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ari\Desktop\Site\data\"/>
    </mc:Choice>
  </mc:AlternateContent>
  <xr:revisionPtr revIDLastSave="0" documentId="8_{9894E3BA-397C-4A28-A557-62B49AF5434B}" xr6:coauthVersionLast="47" xr6:coauthVersionMax="47" xr10:uidLastSave="{00000000-0000-0000-0000-000000000000}"/>
  <bookViews>
    <workbookView xWindow="-98" yWindow="-98" windowWidth="21795" windowHeight="12975" tabRatio="998" xr2:uid="{00000000-000D-0000-FFFF-FFFF00000000}"/>
  </bookViews>
  <sheets>
    <sheet name="village-reports" sheetId="1" r:id="rId1"/>
    <sheet name="Demography" sheetId="2" r:id="rId2"/>
    <sheet name="Data" sheetId="3" r:id="rId3"/>
    <sheet name="Key Leaders" sheetId="4" r:id="rId4"/>
    <sheet name="Back End" sheetId="5" state="hidden" r:id="rId5"/>
    <sheet name="Raw Data - Field Input" sheetId="6" r:id="rId6"/>
    <sheet name="Key Leaders-Past" sheetId="7" r:id="rId7"/>
    <sheet name="Caste Data" sheetId="8" r:id="rId8"/>
    <sheet name="F20-2024" sheetId="9" r:id="rId9"/>
    <sheet name="Village-F20-2024" sheetId="10" r:id="rId10"/>
    <sheet name="Events Planned" sheetId="11" r:id="rId11"/>
    <sheet name="ME" sheetId="12" r:id="rId12"/>
    <sheet name="Sheet14" sheetId="13" r:id="rId13"/>
    <sheet name="Retro Villagewise" sheetId="14" state="hidden" r:id="rId14"/>
    <sheet name="Sheet5" sheetId="15" state="hidden" r:id="rId15"/>
    <sheet name="Cleaned Data for Reports" sheetId="16" state="hidden" r:id="rId16"/>
  </sheets>
  <definedNames>
    <definedName name="_xlnm._FilterDatabase" localSheetId="7" hidden="1">'Caste Data'!$A$1:$Z$5370</definedName>
    <definedName name="_xlnm._FilterDatabase" localSheetId="15" hidden="1">'Cleaned Data for Reports'!$A$1:$AD$1000</definedName>
    <definedName name="_xlnm._FilterDatabase" localSheetId="8" hidden="1">'F20-2024'!$A$1:$AJ$1889</definedName>
    <definedName name="_xlnm._FilterDatabase" localSheetId="6" hidden="1">'Key Leaders-Past'!$A$1:$Z$3656</definedName>
    <definedName name="_xlnm._FilterDatabase" localSheetId="11" hidden="1">ME!$A$1:$Z$898</definedName>
    <definedName name="_xlnm._FilterDatabase" localSheetId="12" hidden="1">Sheet14!$A$1:$D$897</definedName>
    <definedName name="_xlnm._FilterDatabase" localSheetId="0" hidden="1">'village-reports'!$S$1:$U$1000</definedName>
    <definedName name="Z_1CC0F986_DD53_4114_8F40_7D1A2F51471F_.wvu.FilterData" localSheetId="2" hidden="1">Data!$A$1:$R$327</definedName>
  </definedNames>
  <calcPr calcId="191029"/>
  <customWorkbookViews>
    <customWorkbookView name="Filter 1" guid="{1CC0F986-DD53-4114-8F40-7D1A2F51471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5" i="16" l="1"/>
  <c r="A314" i="16"/>
  <c r="A313" i="16"/>
  <c r="A312" i="16"/>
  <c r="A311" i="16"/>
  <c r="A310" i="16"/>
  <c r="A309" i="16"/>
  <c r="A308" i="16"/>
  <c r="A307" i="16"/>
  <c r="A306" i="16"/>
  <c r="A305" i="16"/>
  <c r="A304" i="16"/>
  <c r="A303" i="16"/>
  <c r="A302" i="16"/>
  <c r="A301" i="16"/>
  <c r="A300" i="16"/>
  <c r="A299" i="16"/>
  <c r="A298" i="16"/>
  <c r="A297" i="16"/>
  <c r="A296" i="16"/>
  <c r="A295" i="16"/>
  <c r="A294" i="16"/>
  <c r="A293" i="16"/>
  <c r="A292" i="16"/>
  <c r="A291" i="16"/>
  <c r="A290"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9" i="16"/>
  <c r="A238" i="16"/>
  <c r="A237" i="16"/>
  <c r="A236" i="16"/>
  <c r="A235"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c r="L2" i="13" a="1"/>
  <c r="M34" i="13" s="1"/>
  <c r="W898" i="12"/>
  <c r="W897" i="12"/>
  <c r="K897" i="12"/>
  <c r="W896" i="12"/>
  <c r="K896" i="12"/>
  <c r="W895" i="12"/>
  <c r="K895" i="12"/>
  <c r="W894" i="12"/>
  <c r="K894" i="12"/>
  <c r="K893" i="12"/>
  <c r="W892" i="12"/>
  <c r="K892" i="12"/>
  <c r="W891" i="12"/>
  <c r="K891" i="12"/>
  <c r="W890" i="12"/>
  <c r="K890" i="12"/>
  <c r="W889" i="12"/>
  <c r="K889" i="12"/>
  <c r="W888" i="12"/>
  <c r="K888" i="12"/>
  <c r="K887" i="12"/>
  <c r="W886" i="12"/>
  <c r="K886" i="12"/>
  <c r="W885" i="12"/>
  <c r="K885" i="12"/>
  <c r="W884" i="12"/>
  <c r="K884" i="12"/>
  <c r="W883" i="12"/>
  <c r="K883" i="12"/>
  <c r="W882" i="12"/>
  <c r="K882" i="12"/>
  <c r="W881" i="12"/>
  <c r="K881" i="12"/>
  <c r="W880" i="12"/>
  <c r="K880" i="12"/>
  <c r="W879" i="12"/>
  <c r="K879" i="12"/>
  <c r="W878" i="12"/>
  <c r="K878" i="12"/>
  <c r="W877" i="12"/>
  <c r="K877" i="12"/>
  <c r="W876" i="12"/>
  <c r="K876" i="12"/>
  <c r="W875" i="12"/>
  <c r="K875" i="12"/>
  <c r="W874" i="12"/>
  <c r="K874" i="12"/>
  <c r="W873" i="12"/>
  <c r="K873" i="12"/>
  <c r="W872" i="12"/>
  <c r="K872" i="12"/>
  <c r="W871" i="12"/>
  <c r="K871" i="12"/>
  <c r="W870" i="12"/>
  <c r="K870" i="12"/>
  <c r="W869" i="12"/>
  <c r="K869" i="12"/>
  <c r="W868" i="12"/>
  <c r="K868" i="12"/>
  <c r="W867" i="12"/>
  <c r="K867" i="12"/>
  <c r="W866" i="12"/>
  <c r="K866" i="12"/>
  <c r="W865" i="12"/>
  <c r="K865" i="12"/>
  <c r="W864" i="12"/>
  <c r="K864" i="12"/>
  <c r="W863" i="12"/>
  <c r="K863" i="12"/>
  <c r="W862" i="12"/>
  <c r="K862" i="12"/>
  <c r="W861" i="12"/>
  <c r="K861" i="12"/>
  <c r="W860" i="12"/>
  <c r="K860" i="12"/>
  <c r="W859" i="12"/>
  <c r="K859" i="12"/>
  <c r="W858" i="12"/>
  <c r="K858" i="12"/>
  <c r="K857" i="12"/>
  <c r="W856" i="12"/>
  <c r="K856" i="12"/>
  <c r="W855" i="12"/>
  <c r="K855" i="12"/>
  <c r="W854" i="12"/>
  <c r="K854" i="12"/>
  <c r="W853" i="12"/>
  <c r="K853" i="12"/>
  <c r="W852" i="12"/>
  <c r="K852" i="12"/>
  <c r="W851" i="12"/>
  <c r="K851" i="12"/>
  <c r="W850" i="12"/>
  <c r="K850" i="12"/>
  <c r="W849" i="12"/>
  <c r="K849" i="12"/>
  <c r="W848" i="12"/>
  <c r="K848" i="12"/>
  <c r="W847" i="12"/>
  <c r="K847" i="12"/>
  <c r="W846" i="12"/>
  <c r="K846" i="12"/>
  <c r="W845" i="12"/>
  <c r="K845" i="12"/>
  <c r="W844" i="12"/>
  <c r="K844" i="12"/>
  <c r="W843" i="12"/>
  <c r="K843" i="12"/>
  <c r="K842" i="12"/>
  <c r="W841" i="12"/>
  <c r="K841" i="12"/>
  <c r="W840" i="12"/>
  <c r="K840" i="12"/>
  <c r="W839" i="12"/>
  <c r="K839" i="12"/>
  <c r="W838" i="12"/>
  <c r="K838" i="12"/>
  <c r="W837" i="12"/>
  <c r="K837" i="12"/>
  <c r="W836" i="12"/>
  <c r="K836" i="12"/>
  <c r="W835" i="12"/>
  <c r="K835" i="12"/>
  <c r="W834" i="12"/>
  <c r="K834" i="12"/>
  <c r="W833" i="12"/>
  <c r="K833" i="12"/>
  <c r="W832" i="12"/>
  <c r="K832" i="12"/>
  <c r="K831" i="12"/>
  <c r="W830" i="12"/>
  <c r="K830" i="12"/>
  <c r="W829" i="12"/>
  <c r="K829" i="12"/>
  <c r="W828" i="12"/>
  <c r="K828" i="12"/>
  <c r="W827" i="12"/>
  <c r="K827" i="12"/>
  <c r="W826" i="12"/>
  <c r="K826" i="12"/>
  <c r="W825" i="12"/>
  <c r="K825" i="12"/>
  <c r="W824" i="12"/>
  <c r="K824" i="12"/>
  <c r="W823" i="12"/>
  <c r="K823" i="12"/>
  <c r="W822" i="12"/>
  <c r="K822" i="12"/>
  <c r="W821" i="12"/>
  <c r="K821" i="12"/>
  <c r="W820" i="12"/>
  <c r="K820" i="12"/>
  <c r="W819" i="12"/>
  <c r="K819" i="12"/>
  <c r="W818" i="12"/>
  <c r="K818" i="12"/>
  <c r="W817" i="12"/>
  <c r="K817" i="12"/>
  <c r="W816" i="12"/>
  <c r="K816" i="12"/>
  <c r="W815" i="12"/>
  <c r="K815" i="12"/>
  <c r="W814" i="12"/>
  <c r="K814" i="12"/>
  <c r="W813" i="12"/>
  <c r="K813" i="12"/>
  <c r="W812" i="12"/>
  <c r="K812" i="12"/>
  <c r="W811" i="12"/>
  <c r="K811" i="12"/>
  <c r="W810" i="12"/>
  <c r="K810" i="12"/>
  <c r="W809" i="12"/>
  <c r="K809" i="12"/>
  <c r="W808" i="12"/>
  <c r="K808" i="12"/>
  <c r="W807" i="12"/>
  <c r="K807" i="12"/>
  <c r="W806" i="12"/>
  <c r="K806" i="12"/>
  <c r="W805" i="12"/>
  <c r="K805" i="12"/>
  <c r="W804" i="12"/>
  <c r="K804" i="12"/>
  <c r="W803" i="12"/>
  <c r="K803" i="12"/>
  <c r="W802" i="12"/>
  <c r="K802" i="12"/>
  <c r="W801" i="12"/>
  <c r="K801" i="12"/>
  <c r="W800" i="12"/>
  <c r="K800" i="12"/>
  <c r="W799" i="12"/>
  <c r="K799" i="12"/>
  <c r="W798" i="12"/>
  <c r="K798" i="12"/>
  <c r="W797" i="12"/>
  <c r="K797" i="12"/>
  <c r="W796" i="12"/>
  <c r="K796" i="12"/>
  <c r="W795" i="12"/>
  <c r="K795" i="12"/>
  <c r="W794" i="12"/>
  <c r="K794" i="12"/>
  <c r="W793" i="12"/>
  <c r="K793" i="12"/>
  <c r="W792" i="12"/>
  <c r="K792" i="12"/>
  <c r="W791" i="12"/>
  <c r="K791" i="12"/>
  <c r="W790" i="12"/>
  <c r="K790" i="12"/>
  <c r="W789" i="12"/>
  <c r="K789" i="12"/>
  <c r="W788" i="12"/>
  <c r="K788" i="12"/>
  <c r="K787" i="12"/>
  <c r="W786" i="12"/>
  <c r="K786" i="12"/>
  <c r="W785" i="12"/>
  <c r="K785" i="12"/>
  <c r="W784" i="12"/>
  <c r="K784" i="12"/>
  <c r="W783" i="12"/>
  <c r="K783" i="12"/>
  <c r="W782" i="12"/>
  <c r="K782" i="12"/>
  <c r="W781" i="12"/>
  <c r="K781" i="12"/>
  <c r="K780" i="12"/>
  <c r="W779" i="12"/>
  <c r="K779" i="12"/>
  <c r="W778" i="12"/>
  <c r="K778" i="12"/>
  <c r="W777" i="12"/>
  <c r="K777" i="12"/>
  <c r="W776" i="12"/>
  <c r="K776" i="12"/>
  <c r="W775" i="12"/>
  <c r="K775" i="12"/>
  <c r="W774" i="12"/>
  <c r="K774" i="12"/>
  <c r="W773" i="12"/>
  <c r="K773" i="12"/>
  <c r="W772" i="12"/>
  <c r="K772" i="12"/>
  <c r="K771" i="12"/>
  <c r="W770" i="12"/>
  <c r="K770" i="12"/>
  <c r="W769" i="12"/>
  <c r="K769" i="12"/>
  <c r="W768" i="12"/>
  <c r="K768" i="12"/>
  <c r="W767" i="12"/>
  <c r="K767" i="12"/>
  <c r="K766" i="12"/>
  <c r="W765" i="12"/>
  <c r="K765" i="12"/>
  <c r="W764" i="12"/>
  <c r="K764" i="12"/>
  <c r="W763" i="12"/>
  <c r="K763" i="12"/>
  <c r="W762" i="12"/>
  <c r="K762" i="12"/>
  <c r="W761" i="12"/>
  <c r="K761" i="12"/>
  <c r="W760" i="12"/>
  <c r="K760" i="12"/>
  <c r="W759" i="12"/>
  <c r="K759" i="12"/>
  <c r="W758" i="12"/>
  <c r="K758" i="12"/>
  <c r="W757" i="12"/>
  <c r="K757" i="12"/>
  <c r="W756" i="12"/>
  <c r="K756" i="12"/>
  <c r="K755" i="12"/>
  <c r="W754" i="12"/>
  <c r="K754" i="12"/>
  <c r="W753" i="12"/>
  <c r="K753" i="12"/>
  <c r="W752" i="12"/>
  <c r="K752" i="12"/>
  <c r="W751" i="12"/>
  <c r="K751" i="12"/>
  <c r="K750" i="12"/>
  <c r="W749" i="12"/>
  <c r="K749" i="12"/>
  <c r="W748" i="12"/>
  <c r="K748" i="12"/>
  <c r="W747" i="12"/>
  <c r="K747" i="12"/>
  <c r="W746" i="12"/>
  <c r="K746" i="12"/>
  <c r="W745" i="12"/>
  <c r="K745" i="12"/>
  <c r="W744" i="12"/>
  <c r="K744" i="12"/>
  <c r="W743" i="12"/>
  <c r="K743" i="12"/>
  <c r="W742" i="12"/>
  <c r="K742" i="12"/>
  <c r="W741" i="12"/>
  <c r="K741" i="12"/>
  <c r="W740" i="12"/>
  <c r="K740" i="12"/>
  <c r="W739" i="12"/>
  <c r="K739" i="12"/>
  <c r="W738" i="12"/>
  <c r="K738" i="12"/>
  <c r="W737" i="12"/>
  <c r="K737" i="12"/>
  <c r="W736" i="12"/>
  <c r="K736" i="12"/>
  <c r="W735" i="12"/>
  <c r="K735" i="12"/>
  <c r="W734" i="12"/>
  <c r="K734" i="12"/>
  <c r="W733" i="12"/>
  <c r="K733" i="12"/>
  <c r="W732" i="12"/>
  <c r="K732" i="12"/>
  <c r="W731" i="12"/>
  <c r="K731" i="12"/>
  <c r="W730" i="12"/>
  <c r="K730" i="12"/>
  <c r="W729" i="12"/>
  <c r="K729" i="12"/>
  <c r="W728" i="12"/>
  <c r="K728" i="12"/>
  <c r="W727" i="12"/>
  <c r="K727" i="12"/>
  <c r="W726" i="12"/>
  <c r="K726" i="12"/>
  <c r="W725" i="12"/>
  <c r="K725" i="12"/>
  <c r="W724" i="12"/>
  <c r="K724" i="12"/>
  <c r="W723" i="12"/>
  <c r="K723" i="12"/>
  <c r="W722" i="12"/>
  <c r="K722" i="12"/>
  <c r="W721" i="12"/>
  <c r="K721" i="12"/>
  <c r="W720" i="12"/>
  <c r="K720" i="12"/>
  <c r="W719" i="12"/>
  <c r="K719" i="12"/>
  <c r="W718" i="12"/>
  <c r="K718" i="12"/>
  <c r="W717" i="12"/>
  <c r="K717" i="12"/>
  <c r="W716" i="12"/>
  <c r="K716" i="12"/>
  <c r="W715" i="12"/>
  <c r="K715" i="12"/>
  <c r="W714" i="12"/>
  <c r="K714" i="12"/>
  <c r="W713" i="12"/>
  <c r="K713" i="12"/>
  <c r="K712" i="12"/>
  <c r="W711" i="12"/>
  <c r="K711" i="12"/>
  <c r="W710" i="12"/>
  <c r="K710" i="12"/>
  <c r="W709" i="12"/>
  <c r="K709" i="12"/>
  <c r="W708" i="12"/>
  <c r="K708" i="12"/>
  <c r="W707" i="12"/>
  <c r="K707" i="12"/>
  <c r="W706" i="12"/>
  <c r="K706" i="12"/>
  <c r="W705" i="12"/>
  <c r="K705" i="12"/>
  <c r="W704" i="12"/>
  <c r="K704" i="12"/>
  <c r="W703" i="12"/>
  <c r="K703" i="12"/>
  <c r="W702" i="12"/>
  <c r="K702" i="12"/>
  <c r="W701" i="12"/>
  <c r="K701" i="12"/>
  <c r="W700" i="12"/>
  <c r="K700" i="12"/>
  <c r="W699" i="12"/>
  <c r="K699" i="12"/>
  <c r="W698" i="12"/>
  <c r="K698" i="12"/>
  <c r="W697" i="12"/>
  <c r="K697" i="12"/>
  <c r="W696" i="12"/>
  <c r="K696" i="12"/>
  <c r="K695" i="12"/>
  <c r="W694" i="12"/>
  <c r="K694" i="12"/>
  <c r="W693" i="12"/>
  <c r="K693" i="12"/>
  <c r="W692" i="12"/>
  <c r="K692" i="12"/>
  <c r="W691" i="12"/>
  <c r="K691" i="12"/>
  <c r="W690" i="12"/>
  <c r="K690" i="12"/>
  <c r="W689" i="12"/>
  <c r="K689" i="12"/>
  <c r="W688" i="12"/>
  <c r="K688" i="12"/>
  <c r="W687" i="12"/>
  <c r="K687" i="12"/>
  <c r="W686" i="12"/>
  <c r="K686" i="12"/>
  <c r="K685" i="12"/>
  <c r="W684" i="12"/>
  <c r="K684" i="12"/>
  <c r="W683" i="12"/>
  <c r="K683" i="12"/>
  <c r="W682" i="12"/>
  <c r="K682" i="12"/>
  <c r="K681" i="12"/>
  <c r="W680" i="12"/>
  <c r="K680" i="12"/>
  <c r="W679" i="12"/>
  <c r="K679" i="12"/>
  <c r="W678" i="12"/>
  <c r="K678" i="12"/>
  <c r="W677" i="12"/>
  <c r="K677" i="12"/>
  <c r="K676" i="12"/>
  <c r="W675" i="12"/>
  <c r="K675" i="12"/>
  <c r="W674" i="12"/>
  <c r="K674" i="12"/>
  <c r="W673" i="12"/>
  <c r="K673" i="12"/>
  <c r="W672" i="12"/>
  <c r="K672" i="12"/>
  <c r="W671" i="12"/>
  <c r="K671" i="12"/>
  <c r="W670" i="12"/>
  <c r="Q670" i="12"/>
  <c r="N670" i="12"/>
  <c r="K670" i="12"/>
  <c r="W669" i="12"/>
  <c r="Q669" i="12"/>
  <c r="N669" i="12"/>
  <c r="K669" i="12"/>
  <c r="W668" i="12"/>
  <c r="Q668" i="12"/>
  <c r="N668" i="12"/>
  <c r="K668" i="12"/>
  <c r="W667" i="12"/>
  <c r="Q667" i="12"/>
  <c r="N667" i="12"/>
  <c r="K667" i="12"/>
  <c r="W666" i="12"/>
  <c r="Q666" i="12"/>
  <c r="N666" i="12"/>
  <c r="K666" i="12"/>
  <c r="W665" i="12"/>
  <c r="Q665" i="12"/>
  <c r="N665" i="12"/>
  <c r="K665" i="12"/>
  <c r="W664" i="12"/>
  <c r="Q664" i="12"/>
  <c r="N664" i="12"/>
  <c r="K664" i="12"/>
  <c r="W663" i="12"/>
  <c r="Q663" i="12"/>
  <c r="N663" i="12"/>
  <c r="K663" i="12"/>
  <c r="W662" i="12"/>
  <c r="Q662" i="12"/>
  <c r="N662" i="12"/>
  <c r="K662" i="12"/>
  <c r="W661" i="12"/>
  <c r="Q661" i="12"/>
  <c r="N661" i="12"/>
  <c r="K661" i="12"/>
  <c r="W660" i="12"/>
  <c r="Q660" i="12"/>
  <c r="N660" i="12"/>
  <c r="K660" i="12"/>
  <c r="W659" i="12"/>
  <c r="Q659" i="12"/>
  <c r="N659" i="12"/>
  <c r="K659" i="12"/>
  <c r="W658" i="12"/>
  <c r="Q658" i="12"/>
  <c r="N658" i="12"/>
  <c r="K658" i="12"/>
  <c r="W657" i="12"/>
  <c r="Q657" i="12"/>
  <c r="N657" i="12"/>
  <c r="K657" i="12"/>
  <c r="Q656" i="12"/>
  <c r="N656" i="12"/>
  <c r="K656" i="12"/>
  <c r="W655" i="12"/>
  <c r="Q655" i="12"/>
  <c r="N655" i="12"/>
  <c r="K655" i="12"/>
  <c r="W654" i="12"/>
  <c r="Q654" i="12"/>
  <c r="N654" i="12"/>
  <c r="K654" i="12"/>
  <c r="W653" i="12"/>
  <c r="Q653" i="12"/>
  <c r="N653" i="12"/>
  <c r="K653" i="12"/>
  <c r="W652" i="12"/>
  <c r="Q652" i="12"/>
  <c r="N652" i="12"/>
  <c r="K652" i="12"/>
  <c r="Q651" i="12"/>
  <c r="N651" i="12"/>
  <c r="K651" i="12"/>
  <c r="W650" i="12"/>
  <c r="Q650" i="12"/>
  <c r="N650" i="12"/>
  <c r="K650" i="12"/>
  <c r="W649" i="12"/>
  <c r="Q649" i="12"/>
  <c r="N649" i="12"/>
  <c r="K649" i="12"/>
  <c r="W648" i="12"/>
  <c r="Q648" i="12"/>
  <c r="N648" i="12"/>
  <c r="K648" i="12"/>
  <c r="W647" i="12"/>
  <c r="Q647" i="12"/>
  <c r="N647" i="12"/>
  <c r="K647" i="12"/>
  <c r="W646" i="12"/>
  <c r="Q646" i="12"/>
  <c r="N646" i="12"/>
  <c r="K646" i="12"/>
  <c r="W645" i="12"/>
  <c r="Q645" i="12"/>
  <c r="N645" i="12"/>
  <c r="K645" i="12"/>
  <c r="W644" i="12"/>
  <c r="Q644" i="12"/>
  <c r="N644" i="12"/>
  <c r="K644" i="12"/>
  <c r="Q643" i="12"/>
  <c r="N643" i="12"/>
  <c r="K643" i="12"/>
  <c r="W642" i="12"/>
  <c r="Q642" i="12"/>
  <c r="N642" i="12"/>
  <c r="K642" i="12"/>
  <c r="W641" i="12"/>
  <c r="Q641" i="12"/>
  <c r="N641" i="12"/>
  <c r="K641" i="12"/>
  <c r="W640" i="12"/>
  <c r="Q640" i="12"/>
  <c r="N640" i="12"/>
  <c r="K640" i="12"/>
  <c r="Q639" i="12"/>
  <c r="N639" i="12"/>
  <c r="K639" i="12"/>
  <c r="W638" i="12"/>
  <c r="Q638" i="12"/>
  <c r="N638" i="12"/>
  <c r="K638" i="12"/>
  <c r="W637" i="12"/>
  <c r="Q637" i="12"/>
  <c r="N637" i="12"/>
  <c r="K637" i="12"/>
  <c r="W636" i="12"/>
  <c r="Q636" i="12"/>
  <c r="N636" i="12"/>
  <c r="K636" i="12"/>
  <c r="W635" i="12"/>
  <c r="Q635" i="12"/>
  <c r="N635" i="12"/>
  <c r="K635" i="12"/>
  <c r="W634" i="12"/>
  <c r="Q634" i="12"/>
  <c r="N634" i="12"/>
  <c r="K634" i="12"/>
  <c r="Q633" i="12"/>
  <c r="N633" i="12"/>
  <c r="K633" i="12"/>
  <c r="W632" i="12"/>
  <c r="Q632" i="12"/>
  <c r="N632" i="12"/>
  <c r="K632" i="12"/>
  <c r="W631" i="12"/>
  <c r="Q631" i="12"/>
  <c r="N631" i="12"/>
  <c r="K631" i="12"/>
  <c r="W630" i="12"/>
  <c r="Q630" i="12"/>
  <c r="N630" i="12"/>
  <c r="K630" i="12"/>
  <c r="W629" i="12"/>
  <c r="Q629" i="12"/>
  <c r="N629" i="12"/>
  <c r="K629" i="12"/>
  <c r="Q628" i="12"/>
  <c r="N628" i="12"/>
  <c r="K628" i="12"/>
  <c r="W627" i="12"/>
  <c r="Q627" i="12"/>
  <c r="N627" i="12"/>
  <c r="K627" i="12"/>
  <c r="W626" i="12"/>
  <c r="Q626" i="12"/>
  <c r="N626" i="12"/>
  <c r="K626" i="12"/>
  <c r="W625" i="12"/>
  <c r="Q625" i="12"/>
  <c r="N625" i="12"/>
  <c r="K625" i="12"/>
  <c r="Q624" i="12"/>
  <c r="N624" i="12"/>
  <c r="K624" i="12"/>
  <c r="W623" i="12"/>
  <c r="Q623" i="12"/>
  <c r="N623" i="12"/>
  <c r="K623" i="12"/>
  <c r="W622" i="12"/>
  <c r="Q622" i="12"/>
  <c r="N622" i="12"/>
  <c r="K622" i="12"/>
  <c r="W621" i="12"/>
  <c r="Q621" i="12"/>
  <c r="N621" i="12"/>
  <c r="K621" i="12"/>
  <c r="W620" i="12"/>
  <c r="Q620" i="12"/>
  <c r="N620" i="12"/>
  <c r="K620" i="12"/>
  <c r="W619" i="12"/>
  <c r="Q619" i="12"/>
  <c r="N619" i="12"/>
  <c r="K619" i="12"/>
  <c r="W618" i="12"/>
  <c r="Q618" i="12"/>
  <c r="N618" i="12"/>
  <c r="K618" i="12"/>
  <c r="W617" i="12"/>
  <c r="Q617" i="12"/>
  <c r="N617" i="12"/>
  <c r="K617" i="12"/>
  <c r="W616" i="12"/>
  <c r="Q616" i="12"/>
  <c r="N616" i="12"/>
  <c r="K616" i="12"/>
  <c r="W615" i="12"/>
  <c r="Q615" i="12"/>
  <c r="N615" i="12"/>
  <c r="K615" i="12"/>
  <c r="W614" i="12"/>
  <c r="Q614" i="12"/>
  <c r="N614" i="12"/>
  <c r="K614" i="12"/>
  <c r="W613" i="12"/>
  <c r="Q613" i="12"/>
  <c r="N613" i="12"/>
  <c r="K613" i="12"/>
  <c r="W612" i="12"/>
  <c r="Q612" i="12"/>
  <c r="N612" i="12"/>
  <c r="K612" i="12"/>
  <c r="W611" i="12"/>
  <c r="Q611" i="12"/>
  <c r="N611" i="12"/>
  <c r="K611" i="12"/>
  <c r="W610" i="12"/>
  <c r="Q610" i="12"/>
  <c r="N610" i="12"/>
  <c r="K610" i="12"/>
  <c r="Q609" i="12"/>
  <c r="N609" i="12"/>
  <c r="K609" i="12"/>
  <c r="W608" i="12"/>
  <c r="Q608" i="12"/>
  <c r="N608" i="12"/>
  <c r="K608" i="12"/>
  <c r="W607" i="12"/>
  <c r="Q607" i="12"/>
  <c r="N607" i="12"/>
  <c r="K607" i="12"/>
  <c r="W606" i="12"/>
  <c r="Q606" i="12"/>
  <c r="N606" i="12"/>
  <c r="K606" i="12"/>
  <c r="W605" i="12"/>
  <c r="Q605" i="12"/>
  <c r="N605" i="12"/>
  <c r="K605" i="12"/>
  <c r="W604" i="12"/>
  <c r="Q604" i="12"/>
  <c r="N604" i="12"/>
  <c r="K604" i="12"/>
  <c r="W603" i="12"/>
  <c r="Q603" i="12"/>
  <c r="N603" i="12"/>
  <c r="K603" i="12"/>
  <c r="W602" i="12"/>
  <c r="Q602" i="12"/>
  <c r="N602" i="12"/>
  <c r="K602" i="12"/>
  <c r="Q601" i="12"/>
  <c r="N601" i="12"/>
  <c r="K601" i="12"/>
  <c r="W600" i="12"/>
  <c r="Q600" i="12"/>
  <c r="N600" i="12"/>
  <c r="K600" i="12"/>
  <c r="W599" i="12"/>
  <c r="Q599" i="12"/>
  <c r="N599" i="12"/>
  <c r="K599" i="12"/>
  <c r="W598" i="12"/>
  <c r="Q598" i="12"/>
  <c r="N598" i="12"/>
  <c r="K598" i="12"/>
  <c r="W597" i="12"/>
  <c r="Q597" i="12"/>
  <c r="N597" i="12"/>
  <c r="K597" i="12"/>
  <c r="W596" i="12"/>
  <c r="Q596" i="12"/>
  <c r="N596" i="12"/>
  <c r="K596" i="12"/>
  <c r="W595" i="12"/>
  <c r="Q595" i="12"/>
  <c r="N595" i="12"/>
  <c r="K595" i="12"/>
  <c r="W594" i="12"/>
  <c r="Q594" i="12"/>
  <c r="N594" i="12"/>
  <c r="K594" i="12"/>
  <c r="W593" i="12"/>
  <c r="Q593" i="12"/>
  <c r="N593" i="12"/>
  <c r="K593" i="12"/>
  <c r="W592" i="12"/>
  <c r="Q592" i="12"/>
  <c r="N592" i="12"/>
  <c r="K592" i="12"/>
  <c r="W591" i="12"/>
  <c r="Q591" i="12"/>
  <c r="N591" i="12"/>
  <c r="K591" i="12"/>
  <c r="W590" i="12"/>
  <c r="Q590" i="12"/>
  <c r="N590" i="12"/>
  <c r="K590" i="12"/>
  <c r="W589" i="12"/>
  <c r="Q589" i="12"/>
  <c r="N589" i="12"/>
  <c r="K589" i="12"/>
  <c r="W588" i="12"/>
  <c r="Q588" i="12"/>
  <c r="N588" i="12"/>
  <c r="K588" i="12"/>
  <c r="W587" i="12"/>
  <c r="Q587" i="12"/>
  <c r="N587" i="12"/>
  <c r="K587" i="12"/>
  <c r="W586" i="12"/>
  <c r="Q586" i="12"/>
  <c r="N586" i="12"/>
  <c r="K586" i="12"/>
  <c r="Q585" i="12"/>
  <c r="N585" i="12"/>
  <c r="K585" i="12"/>
  <c r="W584" i="12"/>
  <c r="Q584" i="12"/>
  <c r="N584" i="12"/>
  <c r="K584" i="12"/>
  <c r="W583" i="12"/>
  <c r="Q583" i="12"/>
  <c r="N583" i="12"/>
  <c r="K583" i="12"/>
  <c r="W582" i="12"/>
  <c r="Q582" i="12"/>
  <c r="N582" i="12"/>
  <c r="K582" i="12"/>
  <c r="W581" i="12"/>
  <c r="Q581" i="12"/>
  <c r="N581" i="12"/>
  <c r="K581" i="12"/>
  <c r="Q580" i="12"/>
  <c r="N580" i="12"/>
  <c r="K580" i="12"/>
  <c r="W579" i="12"/>
  <c r="Q579" i="12"/>
  <c r="N579" i="12"/>
  <c r="K579" i="12"/>
  <c r="W578" i="12"/>
  <c r="Q578" i="12"/>
  <c r="N578" i="12"/>
  <c r="K578" i="12"/>
  <c r="W577" i="12"/>
  <c r="Q577" i="12"/>
  <c r="N577" i="12"/>
  <c r="K577" i="12"/>
  <c r="W576" i="12"/>
  <c r="Q576" i="12"/>
  <c r="N576" i="12"/>
  <c r="K576" i="12"/>
  <c r="W575" i="12"/>
  <c r="Q575" i="12"/>
  <c r="N575" i="12"/>
  <c r="K575" i="12"/>
  <c r="W574" i="12"/>
  <c r="Q574" i="12"/>
  <c r="N574" i="12"/>
  <c r="K574" i="12"/>
  <c r="W573" i="12"/>
  <c r="Q573" i="12"/>
  <c r="N573" i="12"/>
  <c r="K573" i="12"/>
  <c r="W572" i="12"/>
  <c r="Q572" i="12"/>
  <c r="N572" i="12"/>
  <c r="K572" i="12"/>
  <c r="W571" i="12"/>
  <c r="Q571" i="12"/>
  <c r="N571" i="12"/>
  <c r="K571" i="12"/>
  <c r="Q570" i="12"/>
  <c r="N570" i="12"/>
  <c r="K570" i="12"/>
  <c r="W569" i="12"/>
  <c r="Q569" i="12"/>
  <c r="N569" i="12"/>
  <c r="K569" i="12"/>
  <c r="W568" i="12"/>
  <c r="Q568" i="12"/>
  <c r="N568" i="12"/>
  <c r="K568" i="12"/>
  <c r="Q567" i="12"/>
  <c r="N567" i="12"/>
  <c r="K567" i="12"/>
  <c r="W566" i="12"/>
  <c r="Q566" i="12"/>
  <c r="N566" i="12"/>
  <c r="K566" i="12"/>
  <c r="W565" i="12"/>
  <c r="Q565" i="12"/>
  <c r="N565" i="12"/>
  <c r="K565" i="12"/>
  <c r="W564" i="12"/>
  <c r="Q564" i="12"/>
  <c r="N564" i="12"/>
  <c r="K564" i="12"/>
  <c r="W563" i="12"/>
  <c r="Q563" i="12"/>
  <c r="N563" i="12"/>
  <c r="K563" i="12"/>
  <c r="W562" i="12"/>
  <c r="Q562" i="12"/>
  <c r="N562" i="12"/>
  <c r="K562" i="12"/>
  <c r="W561" i="12"/>
  <c r="Q561" i="12"/>
  <c r="N561" i="12"/>
  <c r="K561" i="12"/>
  <c r="W560" i="12"/>
  <c r="Q560" i="12"/>
  <c r="N560" i="12"/>
  <c r="K560" i="12"/>
  <c r="W559" i="12"/>
  <c r="Q559" i="12"/>
  <c r="N559" i="12"/>
  <c r="K559" i="12"/>
  <c r="W558" i="12"/>
  <c r="Q558" i="12"/>
  <c r="N558" i="12"/>
  <c r="K558" i="12"/>
  <c r="W557" i="12"/>
  <c r="Q557" i="12"/>
  <c r="N557" i="12"/>
  <c r="K557" i="12"/>
  <c r="W556" i="12"/>
  <c r="Q556" i="12"/>
  <c r="N556" i="12"/>
  <c r="K556" i="12"/>
  <c r="Q555" i="12"/>
  <c r="N555" i="12"/>
  <c r="K555" i="12"/>
  <c r="W554" i="12"/>
  <c r="Q554" i="12"/>
  <c r="N554" i="12"/>
  <c r="K554" i="12"/>
  <c r="W553" i="12"/>
  <c r="Q553" i="12"/>
  <c r="N553" i="12"/>
  <c r="K553" i="12"/>
  <c r="W552" i="12"/>
  <c r="Q552" i="12"/>
  <c r="N552" i="12"/>
  <c r="K552" i="12"/>
  <c r="W551" i="12"/>
  <c r="Q551" i="12"/>
  <c r="N551" i="12"/>
  <c r="K551" i="12"/>
  <c r="W550" i="12"/>
  <c r="Q550" i="12"/>
  <c r="N550" i="12"/>
  <c r="K550" i="12"/>
  <c r="W549" i="12"/>
  <c r="Q549" i="12"/>
  <c r="N549" i="12"/>
  <c r="K549" i="12"/>
  <c r="W548" i="12"/>
  <c r="Q548" i="12"/>
  <c r="N548" i="12"/>
  <c r="K548" i="12"/>
  <c r="W547" i="12"/>
  <c r="Q547" i="12"/>
  <c r="N547" i="12"/>
  <c r="K547" i="12"/>
  <c r="Q546" i="12"/>
  <c r="N546" i="12"/>
  <c r="K546" i="12"/>
  <c r="W545" i="12"/>
  <c r="Q545" i="12"/>
  <c r="N545" i="12"/>
  <c r="K545" i="12"/>
  <c r="W544" i="12"/>
  <c r="Q544" i="12"/>
  <c r="N544" i="12"/>
  <c r="K544" i="12"/>
  <c r="W543" i="12"/>
  <c r="Q543" i="12"/>
  <c r="N543" i="12"/>
  <c r="K543" i="12"/>
  <c r="W542" i="12"/>
  <c r="Q542" i="12"/>
  <c r="N542" i="12"/>
  <c r="K542" i="12"/>
  <c r="W541" i="12"/>
  <c r="Q541" i="12"/>
  <c r="N541" i="12"/>
  <c r="K541" i="12"/>
  <c r="W540" i="12"/>
  <c r="Q540" i="12"/>
  <c r="N540" i="12"/>
  <c r="K540" i="12"/>
  <c r="W539" i="12"/>
  <c r="Q539" i="12"/>
  <c r="N539" i="12"/>
  <c r="K539" i="12"/>
  <c r="W538" i="12"/>
  <c r="Q538" i="12"/>
  <c r="N538" i="12"/>
  <c r="K538" i="12"/>
  <c r="W537" i="12"/>
  <c r="Q537" i="12"/>
  <c r="N537" i="12"/>
  <c r="K537" i="12"/>
  <c r="W536" i="12"/>
  <c r="Q536" i="12"/>
  <c r="N536" i="12"/>
  <c r="K536" i="12"/>
  <c r="W535" i="12"/>
  <c r="Q535" i="12"/>
  <c r="N535" i="12"/>
  <c r="K535" i="12"/>
  <c r="W534" i="12"/>
  <c r="Q534" i="12"/>
  <c r="N534" i="12"/>
  <c r="K534" i="12"/>
  <c r="W533" i="12"/>
  <c r="Q533" i="12"/>
  <c r="N533" i="12"/>
  <c r="K533" i="12"/>
  <c r="W532" i="12"/>
  <c r="Q532" i="12"/>
  <c r="N532" i="12"/>
  <c r="K532" i="12"/>
  <c r="W531" i="12"/>
  <c r="Q531" i="12"/>
  <c r="N531" i="12"/>
  <c r="K531" i="12"/>
  <c r="W530" i="12"/>
  <c r="Q530" i="12"/>
  <c r="N530" i="12"/>
  <c r="K530" i="12"/>
  <c r="Q529" i="12"/>
  <c r="N529" i="12"/>
  <c r="K529" i="12"/>
  <c r="W528" i="12"/>
  <c r="Q528" i="12"/>
  <c r="N528" i="12"/>
  <c r="K528" i="12"/>
  <c r="W527" i="12"/>
  <c r="Q527" i="12"/>
  <c r="N527" i="12"/>
  <c r="K527" i="12"/>
  <c r="W526" i="12"/>
  <c r="Q526" i="12"/>
  <c r="N526" i="12"/>
  <c r="K526" i="12"/>
  <c r="W525" i="12"/>
  <c r="Q525" i="12"/>
  <c r="N525" i="12"/>
  <c r="K525" i="12"/>
  <c r="W524" i="12"/>
  <c r="Q524" i="12"/>
  <c r="N524" i="12"/>
  <c r="K524" i="12"/>
  <c r="W523" i="12"/>
  <c r="Q523" i="12"/>
  <c r="N523" i="12"/>
  <c r="K523" i="12"/>
  <c r="W522" i="12"/>
  <c r="Q522" i="12"/>
  <c r="N522" i="12"/>
  <c r="K522" i="12"/>
  <c r="W521" i="12"/>
  <c r="Q521" i="12"/>
  <c r="N521" i="12"/>
  <c r="K521" i="12"/>
  <c r="W520" i="12"/>
  <c r="Q520" i="12"/>
  <c r="N520" i="12"/>
  <c r="K520" i="12"/>
  <c r="Q519" i="12"/>
  <c r="N519" i="12"/>
  <c r="K519" i="12"/>
  <c r="W518" i="12"/>
  <c r="Q518" i="12"/>
  <c r="N518" i="12"/>
  <c r="K518" i="12"/>
  <c r="W517" i="12"/>
  <c r="Q517" i="12"/>
  <c r="N517" i="12"/>
  <c r="K517" i="12"/>
  <c r="W516" i="12"/>
  <c r="Q516" i="12"/>
  <c r="N516" i="12"/>
  <c r="K516" i="12"/>
  <c r="W515" i="12"/>
  <c r="Q515" i="12"/>
  <c r="N515" i="12"/>
  <c r="K515" i="12"/>
  <c r="W514" i="12"/>
  <c r="Q514" i="12"/>
  <c r="N514" i="12"/>
  <c r="K514" i="12"/>
  <c r="W513" i="12"/>
  <c r="Q513" i="12"/>
  <c r="N513" i="12"/>
  <c r="K513" i="12"/>
  <c r="W512" i="12"/>
  <c r="Q512" i="12"/>
  <c r="N512" i="12"/>
  <c r="K512" i="12"/>
  <c r="W511" i="12"/>
  <c r="Q511" i="12"/>
  <c r="N511" i="12"/>
  <c r="K511" i="12"/>
  <c r="W510" i="12"/>
  <c r="Q510" i="12"/>
  <c r="N510" i="12"/>
  <c r="K510" i="12"/>
  <c r="Q509" i="12"/>
  <c r="N509" i="12"/>
  <c r="K509" i="12"/>
  <c r="W508" i="12"/>
  <c r="Q508" i="12"/>
  <c r="N508" i="12"/>
  <c r="K508" i="12"/>
  <c r="W507" i="12"/>
  <c r="Q507" i="12"/>
  <c r="N507" i="12"/>
  <c r="K507" i="12"/>
  <c r="W506" i="12"/>
  <c r="Q506" i="12"/>
  <c r="N506" i="12"/>
  <c r="K506" i="12"/>
  <c r="W505" i="12"/>
  <c r="Q505" i="12"/>
  <c r="N505" i="12"/>
  <c r="K505" i="12"/>
  <c r="W504" i="12"/>
  <c r="Q504" i="12"/>
  <c r="N504" i="12"/>
  <c r="K504" i="12"/>
  <c r="W503" i="12"/>
  <c r="Q503" i="12"/>
  <c r="N503" i="12"/>
  <c r="K503" i="12"/>
  <c r="W502" i="12"/>
  <c r="Q502" i="12"/>
  <c r="N502" i="12"/>
  <c r="K502" i="12"/>
  <c r="W501" i="12"/>
  <c r="Q501" i="12"/>
  <c r="N501" i="12"/>
  <c r="K501" i="12"/>
  <c r="W500" i="12"/>
  <c r="Q500" i="12"/>
  <c r="N500" i="12"/>
  <c r="K500" i="12"/>
  <c r="W499" i="12"/>
  <c r="Q499" i="12"/>
  <c r="N499" i="12"/>
  <c r="K499" i="12"/>
  <c r="W498" i="12"/>
  <c r="Q498" i="12"/>
  <c r="N498" i="12"/>
  <c r="K498" i="12"/>
  <c r="W497" i="12"/>
  <c r="Q497" i="12"/>
  <c r="N497" i="12"/>
  <c r="K497" i="12"/>
  <c r="W496" i="12"/>
  <c r="Q496" i="12"/>
  <c r="N496" i="12"/>
  <c r="K496" i="12"/>
  <c r="W495" i="12"/>
  <c r="Q495" i="12"/>
  <c r="N495" i="12"/>
  <c r="K495" i="12"/>
  <c r="W494" i="12"/>
  <c r="Q494" i="12"/>
  <c r="N494" i="12"/>
  <c r="K494" i="12"/>
  <c r="W493" i="12"/>
  <c r="Q493" i="12"/>
  <c r="N493" i="12"/>
  <c r="K493" i="12"/>
  <c r="W492" i="12"/>
  <c r="Q492" i="12"/>
  <c r="N492" i="12"/>
  <c r="K492" i="12"/>
  <c r="Q491" i="12"/>
  <c r="N491" i="12"/>
  <c r="K491" i="12"/>
  <c r="W490" i="12"/>
  <c r="Q490" i="12"/>
  <c r="N490" i="12"/>
  <c r="K490" i="12"/>
  <c r="W489" i="12"/>
  <c r="Q489" i="12"/>
  <c r="N489" i="12"/>
  <c r="K489" i="12"/>
  <c r="W488" i="12"/>
  <c r="Q488" i="12"/>
  <c r="N488" i="12"/>
  <c r="K488" i="12"/>
  <c r="W487" i="12"/>
  <c r="Q487" i="12"/>
  <c r="N487" i="12"/>
  <c r="K487" i="12"/>
  <c r="W486" i="12"/>
  <c r="Q486" i="12"/>
  <c r="N486" i="12"/>
  <c r="K486" i="12"/>
  <c r="W485" i="12"/>
  <c r="Q485" i="12"/>
  <c r="N485" i="12"/>
  <c r="K485" i="12"/>
  <c r="W484" i="12"/>
  <c r="Q484" i="12"/>
  <c r="N484" i="12"/>
  <c r="K484" i="12"/>
  <c r="W483" i="12"/>
  <c r="Q483" i="12"/>
  <c r="N483" i="12"/>
  <c r="K483" i="12"/>
  <c r="W482" i="12"/>
  <c r="Q482" i="12"/>
  <c r="N482" i="12"/>
  <c r="K482" i="12"/>
  <c r="W481" i="12"/>
  <c r="Q481" i="12"/>
  <c r="N481" i="12"/>
  <c r="K481" i="12"/>
  <c r="W480" i="12"/>
  <c r="Q480" i="12"/>
  <c r="N480" i="12"/>
  <c r="K480" i="12"/>
  <c r="W479" i="12"/>
  <c r="Q479" i="12"/>
  <c r="N479" i="12"/>
  <c r="K479" i="12"/>
  <c r="W478" i="12"/>
  <c r="Q478" i="12"/>
  <c r="N478" i="12"/>
  <c r="K478" i="12"/>
  <c r="W477" i="12"/>
  <c r="Q477" i="12"/>
  <c r="N477" i="12"/>
  <c r="K477" i="12"/>
  <c r="W476" i="12"/>
  <c r="Q476" i="12"/>
  <c r="N476" i="12"/>
  <c r="K476" i="12"/>
  <c r="W475" i="12"/>
  <c r="Q475" i="12"/>
  <c r="N475" i="12"/>
  <c r="K475" i="12"/>
  <c r="W474" i="12"/>
  <c r="Q474" i="12"/>
  <c r="N474" i="12"/>
  <c r="K474" i="12"/>
  <c r="W473" i="12"/>
  <c r="Q473" i="12"/>
  <c r="N473" i="12"/>
  <c r="K473" i="12"/>
  <c r="W472" i="12"/>
  <c r="Q472" i="12"/>
  <c r="N472" i="12"/>
  <c r="K472" i="12"/>
  <c r="W471" i="12"/>
  <c r="Q471" i="12"/>
  <c r="N471" i="12"/>
  <c r="K471" i="12"/>
  <c r="W470" i="12"/>
  <c r="Q470" i="12"/>
  <c r="N470" i="12"/>
  <c r="K470" i="12"/>
  <c r="W469" i="12"/>
  <c r="Q469" i="12"/>
  <c r="N469" i="12"/>
  <c r="K469" i="12"/>
  <c r="W468" i="12"/>
  <c r="Q468" i="12"/>
  <c r="N468" i="12"/>
  <c r="K468" i="12"/>
  <c r="W467" i="12"/>
  <c r="Q467" i="12"/>
  <c r="N467" i="12"/>
  <c r="K467" i="12"/>
  <c r="W466" i="12"/>
  <c r="Q466" i="12"/>
  <c r="N466" i="12"/>
  <c r="K466" i="12"/>
  <c r="W465" i="12"/>
  <c r="Q465" i="12"/>
  <c r="N465" i="12"/>
  <c r="K465" i="12"/>
  <c r="W464" i="12"/>
  <c r="Q464" i="12"/>
  <c r="N464" i="12"/>
  <c r="K464" i="12"/>
  <c r="W463" i="12"/>
  <c r="Q463" i="12"/>
  <c r="N463" i="12"/>
  <c r="K463" i="12"/>
  <c r="W462" i="12"/>
  <c r="Q462" i="12"/>
  <c r="N462" i="12"/>
  <c r="K462" i="12"/>
  <c r="W461" i="12"/>
  <c r="Q461" i="12"/>
  <c r="N461" i="12"/>
  <c r="K461" i="12"/>
  <c r="W460" i="12"/>
  <c r="Q460" i="12"/>
  <c r="N460" i="12"/>
  <c r="K460" i="12"/>
  <c r="W459" i="12"/>
  <c r="Q459" i="12"/>
  <c r="N459" i="12"/>
  <c r="K459" i="12"/>
  <c r="W458" i="12"/>
  <c r="Q458" i="12"/>
  <c r="N458" i="12"/>
  <c r="K458" i="12"/>
  <c r="W457" i="12"/>
  <c r="Q457" i="12"/>
  <c r="N457" i="12"/>
  <c r="K457" i="12"/>
  <c r="W456" i="12"/>
  <c r="Q456" i="12"/>
  <c r="N456" i="12"/>
  <c r="K456" i="12"/>
  <c r="W455" i="12"/>
  <c r="Q455" i="12"/>
  <c r="N455" i="12"/>
  <c r="K455" i="12"/>
  <c r="W454" i="12"/>
  <c r="Q454" i="12"/>
  <c r="N454" i="12"/>
  <c r="K454" i="12"/>
  <c r="W453" i="12"/>
  <c r="Q453" i="12"/>
  <c r="N453" i="12"/>
  <c r="K453" i="12"/>
  <c r="W452" i="12"/>
  <c r="Q452" i="12"/>
  <c r="N452" i="12"/>
  <c r="K452" i="12"/>
  <c r="W451" i="12"/>
  <c r="Q451" i="12"/>
  <c r="N451" i="12"/>
  <c r="K451" i="12"/>
  <c r="W450" i="12"/>
  <c r="Q450" i="12"/>
  <c r="N450" i="12"/>
  <c r="K450" i="12"/>
  <c r="W449" i="12"/>
  <c r="Q449" i="12"/>
  <c r="N449" i="12"/>
  <c r="K449" i="12"/>
  <c r="W448" i="12"/>
  <c r="Q448" i="12"/>
  <c r="N448" i="12"/>
  <c r="K448" i="12"/>
  <c r="W447" i="12"/>
  <c r="Q447" i="12"/>
  <c r="N447" i="12"/>
  <c r="K447" i="12"/>
  <c r="W446" i="12"/>
  <c r="Q446" i="12"/>
  <c r="N446" i="12"/>
  <c r="K446" i="12"/>
  <c r="W445" i="12"/>
  <c r="Q445" i="12"/>
  <c r="N445" i="12"/>
  <c r="K445" i="12"/>
  <c r="W444" i="12"/>
  <c r="Q444" i="12"/>
  <c r="N444" i="12"/>
  <c r="K444" i="12"/>
  <c r="W443" i="12"/>
  <c r="Q443" i="12"/>
  <c r="N443" i="12"/>
  <c r="K443" i="12"/>
  <c r="W442" i="12"/>
  <c r="Q442" i="12"/>
  <c r="N442" i="12"/>
  <c r="K442" i="12"/>
  <c r="W441" i="12"/>
  <c r="Q441" i="12"/>
  <c r="N441" i="12"/>
  <c r="K441" i="12"/>
  <c r="W440" i="12"/>
  <c r="Q440" i="12"/>
  <c r="N440" i="12"/>
  <c r="K440" i="12"/>
  <c r="W439" i="12"/>
  <c r="Q439" i="12"/>
  <c r="N439" i="12"/>
  <c r="K439" i="12"/>
  <c r="W438" i="12"/>
  <c r="Q438" i="12"/>
  <c r="N438" i="12"/>
  <c r="K438" i="12"/>
  <c r="W437" i="12"/>
  <c r="Q437" i="12"/>
  <c r="N437" i="12"/>
  <c r="K437" i="12"/>
  <c r="W436" i="12"/>
  <c r="Q436" i="12"/>
  <c r="N436" i="12"/>
  <c r="K436" i="12"/>
  <c r="Q435" i="12"/>
  <c r="N435" i="12"/>
  <c r="K435" i="12"/>
  <c r="W434" i="12"/>
  <c r="Q434" i="12"/>
  <c r="N434" i="12"/>
  <c r="K434" i="12"/>
  <c r="W433" i="12"/>
  <c r="Q433" i="12"/>
  <c r="N433" i="12"/>
  <c r="K433" i="12"/>
  <c r="W432" i="12"/>
  <c r="Q432" i="12"/>
  <c r="N432" i="12"/>
  <c r="K432" i="12"/>
  <c r="W431" i="12"/>
  <c r="Q431" i="12"/>
  <c r="N431" i="12"/>
  <c r="K431" i="12"/>
  <c r="W430" i="12"/>
  <c r="Q430" i="12"/>
  <c r="N430" i="12"/>
  <c r="K430" i="12"/>
  <c r="W429" i="12"/>
  <c r="Q429" i="12"/>
  <c r="N429" i="12"/>
  <c r="K429" i="12"/>
  <c r="W428" i="12"/>
  <c r="Q428" i="12"/>
  <c r="N428" i="12"/>
  <c r="K428" i="12"/>
  <c r="W427" i="12"/>
  <c r="Q427" i="12"/>
  <c r="N427" i="12"/>
  <c r="K427" i="12"/>
  <c r="W426" i="12"/>
  <c r="Q426" i="12"/>
  <c r="N426" i="12"/>
  <c r="K426" i="12"/>
  <c r="W425" i="12"/>
  <c r="Q425" i="12"/>
  <c r="N425" i="12"/>
  <c r="K425" i="12"/>
  <c r="W424" i="12"/>
  <c r="Q424" i="12"/>
  <c r="N424" i="12"/>
  <c r="K424" i="12"/>
  <c r="W423" i="12"/>
  <c r="Q423" i="12"/>
  <c r="N423" i="12"/>
  <c r="K423" i="12"/>
  <c r="W422" i="12"/>
  <c r="Q422" i="12"/>
  <c r="N422" i="12"/>
  <c r="K422" i="12"/>
  <c r="W421" i="12"/>
  <c r="Q421" i="12"/>
  <c r="N421" i="12"/>
  <c r="K421" i="12"/>
  <c r="Q420" i="12"/>
  <c r="N420" i="12"/>
  <c r="K420" i="12"/>
  <c r="W419" i="12"/>
  <c r="Q419" i="12"/>
  <c r="N419" i="12"/>
  <c r="K419" i="12"/>
  <c r="W418" i="12"/>
  <c r="Q418" i="12"/>
  <c r="N418" i="12"/>
  <c r="K418" i="12"/>
  <c r="W417" i="12"/>
  <c r="Q417" i="12"/>
  <c r="N417" i="12"/>
  <c r="K417" i="12"/>
  <c r="Q416" i="12"/>
  <c r="N416" i="12"/>
  <c r="K416" i="12"/>
  <c r="W415" i="12"/>
  <c r="Q415" i="12"/>
  <c r="N415" i="12"/>
  <c r="K415" i="12"/>
  <c r="W414" i="12"/>
  <c r="Q414" i="12"/>
  <c r="N414" i="12"/>
  <c r="K414" i="12"/>
  <c r="W413" i="12"/>
  <c r="Q413" i="12"/>
  <c r="N413" i="12"/>
  <c r="K413" i="12"/>
  <c r="W412" i="12"/>
  <c r="Q412" i="12"/>
  <c r="N412" i="12"/>
  <c r="K412" i="12"/>
  <c r="W411" i="12"/>
  <c r="Q411" i="12"/>
  <c r="N411" i="12"/>
  <c r="K411" i="12"/>
  <c r="W410" i="12"/>
  <c r="Q410" i="12"/>
  <c r="N410" i="12"/>
  <c r="K410" i="12"/>
  <c r="W409" i="12"/>
  <c r="Q409" i="12"/>
  <c r="N409" i="12"/>
  <c r="K409" i="12"/>
  <c r="W408" i="12"/>
  <c r="Q408" i="12"/>
  <c r="N408" i="12"/>
  <c r="K408" i="12"/>
  <c r="W407" i="12"/>
  <c r="Q407" i="12"/>
  <c r="N407" i="12"/>
  <c r="K407" i="12"/>
  <c r="W406" i="12"/>
  <c r="Q406" i="12"/>
  <c r="N406" i="12"/>
  <c r="K406" i="12"/>
  <c r="W405" i="12"/>
  <c r="Q405" i="12"/>
  <c r="N405" i="12"/>
  <c r="K405" i="12"/>
  <c r="W404" i="12"/>
  <c r="Q404" i="12"/>
  <c r="N404" i="12"/>
  <c r="K404" i="12"/>
  <c r="W403" i="12"/>
  <c r="Q403" i="12"/>
  <c r="N403" i="12"/>
  <c r="K403" i="12"/>
  <c r="W402" i="12"/>
  <c r="Q402" i="12"/>
  <c r="N402" i="12"/>
  <c r="K402" i="12"/>
  <c r="W401" i="12"/>
  <c r="Q401" i="12"/>
  <c r="N401" i="12"/>
  <c r="K401" i="12"/>
  <c r="W400" i="12"/>
  <c r="Q400" i="12"/>
  <c r="N400" i="12"/>
  <c r="K400" i="12"/>
  <c r="W399" i="12"/>
  <c r="Q399" i="12"/>
  <c r="N399" i="12"/>
  <c r="K399" i="12"/>
  <c r="W398" i="12"/>
  <c r="Q398" i="12"/>
  <c r="N398" i="12"/>
  <c r="K398" i="12"/>
  <c r="W397" i="12"/>
  <c r="Q397" i="12"/>
  <c r="N397" i="12"/>
  <c r="K397" i="12"/>
  <c r="W396" i="12"/>
  <c r="Q396" i="12"/>
  <c r="N396" i="12"/>
  <c r="K396" i="12"/>
  <c r="W395" i="12"/>
  <c r="Q395" i="12"/>
  <c r="N395" i="12"/>
  <c r="K395" i="12"/>
  <c r="W394" i="12"/>
  <c r="Q394" i="12"/>
  <c r="N394" i="12"/>
  <c r="K394" i="12"/>
  <c r="W393" i="12"/>
  <c r="Q393" i="12"/>
  <c r="N393" i="12"/>
  <c r="K393" i="12"/>
  <c r="W392" i="12"/>
  <c r="Q392" i="12"/>
  <c r="N392" i="12"/>
  <c r="K392" i="12"/>
  <c r="W391" i="12"/>
  <c r="Q391" i="12"/>
  <c r="N391" i="12"/>
  <c r="K391" i="12"/>
  <c r="Q390" i="12"/>
  <c r="N390" i="12"/>
  <c r="K390" i="12"/>
  <c r="W389" i="12"/>
  <c r="Q389" i="12"/>
  <c r="N389" i="12"/>
  <c r="K389" i="12"/>
  <c r="W388" i="12"/>
  <c r="Q388" i="12"/>
  <c r="N388" i="12"/>
  <c r="K388" i="12"/>
  <c r="W387" i="12"/>
  <c r="Q387" i="12"/>
  <c r="N387" i="12"/>
  <c r="K387" i="12"/>
  <c r="W386" i="12"/>
  <c r="Q386" i="12"/>
  <c r="N386" i="12"/>
  <c r="K386" i="12"/>
  <c r="W385" i="12"/>
  <c r="Q385" i="12"/>
  <c r="N385" i="12"/>
  <c r="K385" i="12"/>
  <c r="W384" i="12"/>
  <c r="Q384" i="12"/>
  <c r="N384" i="12"/>
  <c r="K384" i="12"/>
  <c r="W383" i="12"/>
  <c r="Q383" i="12"/>
  <c r="N383" i="12"/>
  <c r="K383" i="12"/>
  <c r="W382" i="12"/>
  <c r="Q382" i="12"/>
  <c r="N382" i="12"/>
  <c r="K382" i="12"/>
  <c r="W381" i="12"/>
  <c r="Q381" i="12"/>
  <c r="N381" i="12"/>
  <c r="K381" i="12"/>
  <c r="W380" i="12"/>
  <c r="Q380" i="12"/>
  <c r="N380" i="12"/>
  <c r="K380" i="12"/>
  <c r="W379" i="12"/>
  <c r="Q379" i="12"/>
  <c r="N379" i="12"/>
  <c r="K379" i="12"/>
  <c r="W378" i="12"/>
  <c r="Q378" i="12"/>
  <c r="N378" i="12"/>
  <c r="K378" i="12"/>
  <c r="W377" i="12"/>
  <c r="Q377" i="12"/>
  <c r="N377" i="12"/>
  <c r="K377" i="12"/>
  <c r="W376" i="12"/>
  <c r="Q376" i="12"/>
  <c r="N376" i="12"/>
  <c r="K376" i="12"/>
  <c r="W375" i="12"/>
  <c r="Q375" i="12"/>
  <c r="N375" i="12"/>
  <c r="K375" i="12"/>
  <c r="W374" i="12"/>
  <c r="Q374" i="12"/>
  <c r="N374" i="12"/>
  <c r="K374" i="12"/>
  <c r="W373" i="12"/>
  <c r="Q373" i="12"/>
  <c r="N373" i="12"/>
  <c r="K373" i="12"/>
  <c r="W372" i="12"/>
  <c r="Q372" i="12"/>
  <c r="N372" i="12"/>
  <c r="K372" i="12"/>
  <c r="W371" i="12"/>
  <c r="Q371" i="12"/>
  <c r="N371" i="12"/>
  <c r="K371" i="12"/>
  <c r="W370" i="12"/>
  <c r="Q370" i="12"/>
  <c r="N370" i="12"/>
  <c r="K370" i="12"/>
  <c r="Q369" i="12"/>
  <c r="N369" i="12"/>
  <c r="K369" i="12"/>
  <c r="W368" i="12"/>
  <c r="Q368" i="12"/>
  <c r="N368" i="12"/>
  <c r="K368" i="12"/>
  <c r="W367" i="12"/>
  <c r="Q367" i="12"/>
  <c r="N367" i="12"/>
  <c r="K367" i="12"/>
  <c r="W366" i="12"/>
  <c r="Q366" i="12"/>
  <c r="N366" i="12"/>
  <c r="K366" i="12"/>
  <c r="W365" i="12"/>
  <c r="Q365" i="12"/>
  <c r="N365" i="12"/>
  <c r="K365" i="12"/>
  <c r="W364" i="12"/>
  <c r="Q364" i="12"/>
  <c r="N364" i="12"/>
  <c r="K364" i="12"/>
  <c r="W363" i="12"/>
  <c r="Q363" i="12"/>
  <c r="N363" i="12"/>
  <c r="K363" i="12"/>
  <c r="W362" i="12"/>
  <c r="Q362" i="12"/>
  <c r="N362" i="12"/>
  <c r="K362" i="12"/>
  <c r="Q361" i="12"/>
  <c r="N361" i="12"/>
  <c r="K361" i="12"/>
  <c r="W360" i="12"/>
  <c r="Q360" i="12"/>
  <c r="N360" i="12"/>
  <c r="K360" i="12"/>
  <c r="W359" i="12"/>
  <c r="Q359" i="12"/>
  <c r="N359" i="12"/>
  <c r="K359" i="12"/>
  <c r="Q358" i="12"/>
  <c r="N358" i="12"/>
  <c r="K358" i="12"/>
  <c r="W357" i="12"/>
  <c r="Q357" i="12"/>
  <c r="N357" i="12"/>
  <c r="K357" i="12"/>
  <c r="W356" i="12"/>
  <c r="Q356" i="12"/>
  <c r="N356" i="12"/>
  <c r="K356" i="12"/>
  <c r="W355" i="12"/>
  <c r="Q355" i="12"/>
  <c r="N355" i="12"/>
  <c r="K355" i="12"/>
  <c r="W354" i="12"/>
  <c r="Q354" i="12"/>
  <c r="N354" i="12"/>
  <c r="K354" i="12"/>
  <c r="W353" i="12"/>
  <c r="Q353" i="12"/>
  <c r="N353" i="12"/>
  <c r="K353" i="12"/>
  <c r="Q352" i="12"/>
  <c r="N352" i="12"/>
  <c r="K352" i="12"/>
  <c r="W351" i="12"/>
  <c r="Q351" i="12"/>
  <c r="N351" i="12"/>
  <c r="K351" i="12"/>
  <c r="W350" i="12"/>
  <c r="Q350" i="12"/>
  <c r="N350" i="12"/>
  <c r="K350" i="12"/>
  <c r="W349" i="12"/>
  <c r="Q349" i="12"/>
  <c r="N349" i="12"/>
  <c r="K349" i="12"/>
  <c r="W348" i="12"/>
  <c r="Q348" i="12"/>
  <c r="N348" i="12"/>
  <c r="K348" i="12"/>
  <c r="W347" i="12"/>
  <c r="Q347" i="12"/>
  <c r="N347" i="12"/>
  <c r="K347" i="12"/>
  <c r="W346" i="12"/>
  <c r="Q346" i="12"/>
  <c r="N346" i="12"/>
  <c r="K346" i="12"/>
  <c r="Q345" i="12"/>
  <c r="N345" i="12"/>
  <c r="K345" i="12"/>
  <c r="W344" i="12"/>
  <c r="Q344" i="12"/>
  <c r="N344" i="12"/>
  <c r="K344" i="12"/>
  <c r="W343" i="12"/>
  <c r="Q343" i="12"/>
  <c r="N343" i="12"/>
  <c r="K343" i="12"/>
  <c r="W342" i="12"/>
  <c r="Q342" i="12"/>
  <c r="N342" i="12"/>
  <c r="K342" i="12"/>
  <c r="W341" i="12"/>
  <c r="Q341" i="12"/>
  <c r="N341" i="12"/>
  <c r="K341" i="12"/>
  <c r="W340" i="12"/>
  <c r="Q340" i="12"/>
  <c r="N340" i="12"/>
  <c r="K340" i="12"/>
  <c r="W339" i="12"/>
  <c r="Q339" i="12"/>
  <c r="N339" i="12"/>
  <c r="K339" i="12"/>
  <c r="W338" i="12"/>
  <c r="Q338" i="12"/>
  <c r="N338" i="12"/>
  <c r="K338" i="12"/>
  <c r="W337" i="12"/>
  <c r="Q337" i="12"/>
  <c r="N337" i="12"/>
  <c r="K337" i="12"/>
  <c r="Q336" i="12"/>
  <c r="N336" i="12"/>
  <c r="K336" i="12"/>
  <c r="W335" i="12"/>
  <c r="Q335" i="12"/>
  <c r="N335" i="12"/>
  <c r="K335" i="12"/>
  <c r="W334" i="12"/>
  <c r="Q334" i="12"/>
  <c r="N334" i="12"/>
  <c r="K334" i="12"/>
  <c r="W333" i="12"/>
  <c r="Q333" i="12"/>
  <c r="N333" i="12"/>
  <c r="K333" i="12"/>
  <c r="W332" i="12"/>
  <c r="Q332" i="12"/>
  <c r="N332" i="12"/>
  <c r="K332" i="12"/>
  <c r="W331" i="12"/>
  <c r="Q331" i="12"/>
  <c r="N331" i="12"/>
  <c r="K331" i="12"/>
  <c r="W330" i="12"/>
  <c r="Q330" i="12"/>
  <c r="N330" i="12"/>
  <c r="K330" i="12"/>
  <c r="W329" i="12"/>
  <c r="Q329" i="12"/>
  <c r="N329" i="12"/>
  <c r="K329" i="12"/>
  <c r="W328" i="12"/>
  <c r="Q328" i="12"/>
  <c r="N328" i="12"/>
  <c r="K328" i="12"/>
  <c r="W327" i="12"/>
  <c r="Q327" i="12"/>
  <c r="N327" i="12"/>
  <c r="K327" i="12"/>
  <c r="W326" i="12"/>
  <c r="Q326" i="12"/>
  <c r="N326" i="12"/>
  <c r="K326" i="12"/>
  <c r="W325" i="12"/>
  <c r="Q325" i="12"/>
  <c r="N325" i="12"/>
  <c r="K325" i="12"/>
  <c r="W324" i="12"/>
  <c r="Q324" i="12"/>
  <c r="N324" i="12"/>
  <c r="K324" i="12"/>
  <c r="W323" i="12"/>
  <c r="Q323" i="12"/>
  <c r="N323" i="12"/>
  <c r="K323" i="12"/>
  <c r="W322" i="12"/>
  <c r="Q322" i="12"/>
  <c r="N322" i="12"/>
  <c r="K322" i="12"/>
  <c r="W321" i="12"/>
  <c r="Q321" i="12"/>
  <c r="N321" i="12"/>
  <c r="K321" i="12"/>
  <c r="W320" i="12"/>
  <c r="Q320" i="12"/>
  <c r="N320" i="12"/>
  <c r="K320" i="12"/>
  <c r="W319" i="12"/>
  <c r="Q319" i="12"/>
  <c r="N319" i="12"/>
  <c r="K319" i="12"/>
  <c r="W318" i="12"/>
  <c r="Q318" i="12"/>
  <c r="N318" i="12"/>
  <c r="K318" i="12"/>
  <c r="W317" i="12"/>
  <c r="Q317" i="12"/>
  <c r="N317" i="12"/>
  <c r="K317" i="12"/>
  <c r="W316" i="12"/>
  <c r="Q316" i="12"/>
  <c r="N316" i="12"/>
  <c r="K316" i="12"/>
  <c r="W315" i="12"/>
  <c r="Q315" i="12"/>
  <c r="N315" i="12"/>
  <c r="K315" i="12"/>
  <c r="W314" i="12"/>
  <c r="Q314" i="12"/>
  <c r="N314" i="12"/>
  <c r="K314" i="12"/>
  <c r="W313" i="12"/>
  <c r="Q313" i="12"/>
  <c r="N313" i="12"/>
  <c r="K313" i="12"/>
  <c r="Q312" i="12"/>
  <c r="N312" i="12"/>
  <c r="K312" i="12"/>
  <c r="W311" i="12"/>
  <c r="Q311" i="12"/>
  <c r="N311" i="12"/>
  <c r="K311" i="12"/>
  <c r="W310" i="12"/>
  <c r="Q310" i="12"/>
  <c r="N310" i="12"/>
  <c r="K310" i="12"/>
  <c r="W309" i="12"/>
  <c r="Q309" i="12"/>
  <c r="N309" i="12"/>
  <c r="K309" i="12"/>
  <c r="W308" i="12"/>
  <c r="Q308" i="12"/>
  <c r="N308" i="12"/>
  <c r="K308" i="12"/>
  <c r="W307" i="12"/>
  <c r="Q307" i="12"/>
  <c r="N307" i="12"/>
  <c r="K307" i="12"/>
  <c r="W306" i="12"/>
  <c r="Q306" i="12"/>
  <c r="N306" i="12"/>
  <c r="K306" i="12"/>
  <c r="W305" i="12"/>
  <c r="Q305" i="12"/>
  <c r="N305" i="12"/>
  <c r="K305" i="12"/>
  <c r="W304" i="12"/>
  <c r="Q304" i="12"/>
  <c r="N304" i="12"/>
  <c r="K304" i="12"/>
  <c r="W303" i="12"/>
  <c r="Q303" i="12"/>
  <c r="N303" i="12"/>
  <c r="K303" i="12"/>
  <c r="W302" i="12"/>
  <c r="Q302" i="12"/>
  <c r="N302" i="12"/>
  <c r="K302" i="12"/>
  <c r="W301" i="12"/>
  <c r="Q301" i="12"/>
  <c r="N301" i="12"/>
  <c r="K301" i="12"/>
  <c r="W300" i="12"/>
  <c r="Q300" i="12"/>
  <c r="N300" i="12"/>
  <c r="K300" i="12"/>
  <c r="Q299" i="12"/>
  <c r="N299" i="12"/>
  <c r="K299" i="12"/>
  <c r="W298" i="12"/>
  <c r="Q298" i="12"/>
  <c r="N298" i="12"/>
  <c r="K298" i="12"/>
  <c r="W297" i="12"/>
  <c r="Q297" i="12"/>
  <c r="N297" i="12"/>
  <c r="K297" i="12"/>
  <c r="W296" i="12"/>
  <c r="Q296" i="12"/>
  <c r="N296" i="12"/>
  <c r="K296" i="12"/>
  <c r="W295" i="12"/>
  <c r="Q295" i="12"/>
  <c r="N295" i="12"/>
  <c r="K295" i="12"/>
  <c r="W294" i="12"/>
  <c r="Q294" i="12"/>
  <c r="N294" i="12"/>
  <c r="K294" i="12"/>
  <c r="Q293" i="12"/>
  <c r="N293" i="12"/>
  <c r="K293" i="12"/>
  <c r="W292" i="12"/>
  <c r="Q292" i="12"/>
  <c r="N292" i="12"/>
  <c r="K292" i="12"/>
  <c r="W291" i="12"/>
  <c r="Q291" i="12"/>
  <c r="N291" i="12"/>
  <c r="K291" i="12"/>
  <c r="W290" i="12"/>
  <c r="Q290" i="12"/>
  <c r="N290" i="12"/>
  <c r="K290" i="12"/>
  <c r="W289" i="12"/>
  <c r="Q289" i="12"/>
  <c r="N289" i="12"/>
  <c r="K289" i="12"/>
  <c r="W288" i="12"/>
  <c r="Q288" i="12"/>
  <c r="N288" i="12"/>
  <c r="K288" i="12"/>
  <c r="W287" i="12"/>
  <c r="Q287" i="12"/>
  <c r="N287" i="12"/>
  <c r="K287" i="12"/>
  <c r="W286" i="12"/>
  <c r="Q286" i="12"/>
  <c r="N286" i="12"/>
  <c r="K286" i="12"/>
  <c r="W285" i="12"/>
  <c r="Q285" i="12"/>
  <c r="N285" i="12"/>
  <c r="K285" i="12"/>
  <c r="W284" i="12"/>
  <c r="Q284" i="12"/>
  <c r="N284" i="12"/>
  <c r="K284" i="12"/>
  <c r="W283" i="12"/>
  <c r="Q283" i="12"/>
  <c r="N283" i="12"/>
  <c r="K283" i="12"/>
  <c r="W282" i="12"/>
  <c r="Q282" i="12"/>
  <c r="N282" i="12"/>
  <c r="K282" i="12"/>
  <c r="W281" i="12"/>
  <c r="Q281" i="12"/>
  <c r="N281" i="12"/>
  <c r="K281" i="12"/>
  <c r="W280" i="12"/>
  <c r="Q280" i="12"/>
  <c r="N280" i="12"/>
  <c r="K280" i="12"/>
  <c r="W279" i="12"/>
  <c r="Q279" i="12"/>
  <c r="N279" i="12"/>
  <c r="K279" i="12"/>
  <c r="W278" i="12"/>
  <c r="Q278" i="12"/>
  <c r="N278" i="12"/>
  <c r="K278" i="12"/>
  <c r="W277" i="12"/>
  <c r="Q277" i="12"/>
  <c r="N277" i="12"/>
  <c r="K277" i="12"/>
  <c r="W276" i="12"/>
  <c r="Q276" i="12"/>
  <c r="N276" i="12"/>
  <c r="K276" i="12"/>
  <c r="W275" i="12"/>
  <c r="Q275" i="12"/>
  <c r="N275" i="12"/>
  <c r="K275" i="12"/>
  <c r="W274" i="12"/>
  <c r="Q274" i="12"/>
  <c r="N274" i="12"/>
  <c r="K274" i="12"/>
  <c r="W273" i="12"/>
  <c r="Q273" i="12"/>
  <c r="N273" i="12"/>
  <c r="K273" i="12"/>
  <c r="W272" i="12"/>
  <c r="Q272" i="12"/>
  <c r="N272" i="12"/>
  <c r="K272" i="12"/>
  <c r="W271" i="12"/>
  <c r="Q271" i="12"/>
  <c r="N271" i="12"/>
  <c r="K271" i="12"/>
  <c r="W270" i="12"/>
  <c r="Q270" i="12"/>
  <c r="N270" i="12"/>
  <c r="K270" i="12"/>
  <c r="W269" i="12"/>
  <c r="Q269" i="12"/>
  <c r="N269" i="12"/>
  <c r="K269" i="12"/>
  <c r="W268" i="12"/>
  <c r="Q268" i="12"/>
  <c r="N268" i="12"/>
  <c r="K268" i="12"/>
  <c r="W267" i="12"/>
  <c r="Q267" i="12"/>
  <c r="N267" i="12"/>
  <c r="K267" i="12"/>
  <c r="Q266" i="12"/>
  <c r="N266" i="12"/>
  <c r="K266" i="12"/>
  <c r="W265" i="12"/>
  <c r="Q265" i="12"/>
  <c r="N265" i="12"/>
  <c r="K265" i="12"/>
  <c r="W264" i="12"/>
  <c r="Q264" i="12"/>
  <c r="N264" i="12"/>
  <c r="K264" i="12"/>
  <c r="W263" i="12"/>
  <c r="Q263" i="12"/>
  <c r="N263" i="12"/>
  <c r="K263" i="12"/>
  <c r="W262" i="12"/>
  <c r="Q262" i="12"/>
  <c r="N262" i="12"/>
  <c r="K262" i="12"/>
  <c r="W261" i="12"/>
  <c r="Q261" i="12"/>
  <c r="N261" i="12"/>
  <c r="K261" i="12"/>
  <c r="W260" i="12"/>
  <c r="Q260" i="12"/>
  <c r="N260" i="12"/>
  <c r="K260" i="12"/>
  <c r="W259" i="12"/>
  <c r="Q259" i="12"/>
  <c r="N259" i="12"/>
  <c r="K259" i="12"/>
  <c r="W258" i="12"/>
  <c r="Q258" i="12"/>
  <c r="N258" i="12"/>
  <c r="K258" i="12"/>
  <c r="W257" i="12"/>
  <c r="Q257" i="12"/>
  <c r="N257" i="12"/>
  <c r="K257" i="12"/>
  <c r="W256" i="12"/>
  <c r="Q256" i="12"/>
  <c r="N256" i="12"/>
  <c r="K256" i="12"/>
  <c r="W255" i="12"/>
  <c r="Q255" i="12"/>
  <c r="N255" i="12"/>
  <c r="K255" i="12"/>
  <c r="W254" i="12"/>
  <c r="Q254" i="12"/>
  <c r="N254" i="12"/>
  <c r="K254" i="12"/>
  <c r="W253" i="12"/>
  <c r="Q253" i="12"/>
  <c r="N253" i="12"/>
  <c r="K253" i="12"/>
  <c r="W252" i="12"/>
  <c r="Q252" i="12"/>
  <c r="N252" i="12"/>
  <c r="K252" i="12"/>
  <c r="W251" i="12"/>
  <c r="Q251" i="12"/>
  <c r="N251" i="12"/>
  <c r="K251" i="12"/>
  <c r="W250" i="12"/>
  <c r="Q250" i="12"/>
  <c r="N250" i="12"/>
  <c r="K250" i="12"/>
  <c r="W249" i="12"/>
  <c r="Q249" i="12"/>
  <c r="N249" i="12"/>
  <c r="K249" i="12"/>
  <c r="W248" i="12"/>
  <c r="Q248" i="12"/>
  <c r="N248" i="12"/>
  <c r="K248" i="12"/>
  <c r="W247" i="12"/>
  <c r="Q247" i="12"/>
  <c r="N247" i="12"/>
  <c r="K247" i="12"/>
  <c r="W246" i="12"/>
  <c r="Q246" i="12"/>
  <c r="N246" i="12"/>
  <c r="K246" i="12"/>
  <c r="W245" i="12"/>
  <c r="Q245" i="12"/>
  <c r="N245" i="12"/>
  <c r="K245" i="12"/>
  <c r="W244" i="12"/>
  <c r="Q244" i="12"/>
  <c r="N244" i="12"/>
  <c r="K244" i="12"/>
  <c r="W243" i="12"/>
  <c r="Q243" i="12"/>
  <c r="N243" i="12"/>
  <c r="K243" i="12"/>
  <c r="W242" i="12"/>
  <c r="Q242" i="12"/>
  <c r="N242" i="12"/>
  <c r="K242" i="12"/>
  <c r="W241" i="12"/>
  <c r="Q241" i="12"/>
  <c r="N241" i="12"/>
  <c r="K241" i="12"/>
  <c r="Q240" i="12"/>
  <c r="N240" i="12"/>
  <c r="K240" i="12"/>
  <c r="W239" i="12"/>
  <c r="Q239" i="12"/>
  <c r="N239" i="12"/>
  <c r="K239" i="12"/>
  <c r="W238" i="12"/>
  <c r="Q238" i="12"/>
  <c r="N238" i="12"/>
  <c r="K238" i="12"/>
  <c r="W237" i="12"/>
  <c r="Q237" i="12"/>
  <c r="N237" i="12"/>
  <c r="K237" i="12"/>
  <c r="W236" i="12"/>
  <c r="Q236" i="12"/>
  <c r="N236" i="12"/>
  <c r="K236" i="12"/>
  <c r="W235" i="12"/>
  <c r="Q235" i="12"/>
  <c r="N235" i="12"/>
  <c r="K235" i="12"/>
  <c r="W234" i="12"/>
  <c r="Q234" i="12"/>
  <c r="N234" i="12"/>
  <c r="K234" i="12"/>
  <c r="Q233" i="12"/>
  <c r="N233" i="12"/>
  <c r="K233" i="12"/>
  <c r="W232" i="12"/>
  <c r="Q232" i="12"/>
  <c r="N232" i="12"/>
  <c r="K232" i="12"/>
  <c r="W231" i="12"/>
  <c r="Q231" i="12"/>
  <c r="N231" i="12"/>
  <c r="K231" i="12"/>
  <c r="W230" i="12"/>
  <c r="Q230" i="12"/>
  <c r="N230" i="12"/>
  <c r="K230" i="12"/>
  <c r="W229" i="12"/>
  <c r="Q229" i="12"/>
  <c r="N229" i="12"/>
  <c r="K229" i="12"/>
  <c r="W228" i="12"/>
  <c r="Q228" i="12"/>
  <c r="N228" i="12"/>
  <c r="K228" i="12"/>
  <c r="W227" i="12"/>
  <c r="Q227" i="12"/>
  <c r="N227" i="12"/>
  <c r="K227" i="12"/>
  <c r="W226" i="12"/>
  <c r="Q226" i="12"/>
  <c r="N226" i="12"/>
  <c r="K226" i="12"/>
  <c r="W225" i="12"/>
  <c r="Q225" i="12"/>
  <c r="N225" i="12"/>
  <c r="K225" i="12"/>
  <c r="Q224" i="12"/>
  <c r="N224" i="12"/>
  <c r="K224" i="12"/>
  <c r="W223" i="12"/>
  <c r="Q223" i="12"/>
  <c r="N223" i="12"/>
  <c r="K223" i="12"/>
  <c r="W222" i="12"/>
  <c r="Q222" i="12"/>
  <c r="N222" i="12"/>
  <c r="K222" i="12"/>
  <c r="W221" i="12"/>
  <c r="Q221" i="12"/>
  <c r="N221" i="12"/>
  <c r="K221" i="12"/>
  <c r="W220" i="12"/>
  <c r="Q220" i="12"/>
  <c r="N220" i="12"/>
  <c r="K220" i="12"/>
  <c r="W219" i="12"/>
  <c r="Q219" i="12"/>
  <c r="N219" i="12"/>
  <c r="K219" i="12"/>
  <c r="Q218" i="12"/>
  <c r="N218" i="12"/>
  <c r="K218" i="12"/>
  <c r="W217" i="12"/>
  <c r="Q217" i="12"/>
  <c r="N217" i="12"/>
  <c r="K217" i="12"/>
  <c r="W216" i="12"/>
  <c r="Q216" i="12"/>
  <c r="N216" i="12"/>
  <c r="K216" i="12"/>
  <c r="W215" i="12"/>
  <c r="Q215" i="12"/>
  <c r="N215" i="12"/>
  <c r="K215" i="12"/>
  <c r="W214" i="12"/>
  <c r="Q214" i="12"/>
  <c r="N214" i="12"/>
  <c r="K214" i="12"/>
  <c r="W213" i="12"/>
  <c r="Q213" i="12"/>
  <c r="N213" i="12"/>
  <c r="K213" i="12"/>
  <c r="W212" i="12"/>
  <c r="Q212" i="12"/>
  <c r="N212" i="12"/>
  <c r="K212" i="12"/>
  <c r="W211" i="12"/>
  <c r="Q211" i="12"/>
  <c r="N211" i="12"/>
  <c r="K211" i="12"/>
  <c r="W210" i="12"/>
  <c r="Q210" i="12"/>
  <c r="N210" i="12"/>
  <c r="K210" i="12"/>
  <c r="W209" i="12"/>
  <c r="Q209" i="12"/>
  <c r="N209" i="12"/>
  <c r="K209" i="12"/>
  <c r="W208" i="12"/>
  <c r="Q208" i="12"/>
  <c r="N208" i="12"/>
  <c r="K208" i="12"/>
  <c r="W207" i="12"/>
  <c r="Q207" i="12"/>
  <c r="N207" i="12"/>
  <c r="K207" i="12"/>
  <c r="W206" i="12"/>
  <c r="Q206" i="12"/>
  <c r="N206" i="12"/>
  <c r="K206" i="12"/>
  <c r="W205" i="12"/>
  <c r="Q205" i="12"/>
  <c r="N205" i="12"/>
  <c r="K205" i="12"/>
  <c r="W204" i="12"/>
  <c r="Q204" i="12"/>
  <c r="N204" i="12"/>
  <c r="K204" i="12"/>
  <c r="W203" i="12"/>
  <c r="Q203" i="12"/>
  <c r="N203" i="12"/>
  <c r="K203" i="12"/>
  <c r="W202" i="12"/>
  <c r="Q202" i="12"/>
  <c r="N202" i="12"/>
  <c r="K202" i="12"/>
  <c r="W201" i="12"/>
  <c r="Q201" i="12"/>
  <c r="N201" i="12"/>
  <c r="K201" i="12"/>
  <c r="W200" i="12"/>
  <c r="Q200" i="12"/>
  <c r="N200" i="12"/>
  <c r="K200" i="12"/>
  <c r="W199" i="12"/>
  <c r="Q199" i="12"/>
  <c r="N199" i="12"/>
  <c r="K199" i="12"/>
  <c r="W198" i="12"/>
  <c r="Q198" i="12"/>
  <c r="N198" i="12"/>
  <c r="K198" i="12"/>
  <c r="W197" i="12"/>
  <c r="Q197" i="12"/>
  <c r="N197" i="12"/>
  <c r="K197" i="12"/>
  <c r="W196" i="12"/>
  <c r="Q196" i="12"/>
  <c r="N196" i="12"/>
  <c r="K196" i="12"/>
  <c r="W195" i="12"/>
  <c r="Q195" i="12"/>
  <c r="N195" i="12"/>
  <c r="K195" i="12"/>
  <c r="W194" i="12"/>
  <c r="Q194" i="12"/>
  <c r="N194" i="12"/>
  <c r="K194" i="12"/>
  <c r="W193" i="12"/>
  <c r="Q193" i="12"/>
  <c r="N193" i="12"/>
  <c r="K193" i="12"/>
  <c r="W192" i="12"/>
  <c r="Q192" i="12"/>
  <c r="N192" i="12"/>
  <c r="K192" i="12"/>
  <c r="W191" i="12"/>
  <c r="Q191" i="12"/>
  <c r="N191" i="12"/>
  <c r="K191" i="12"/>
  <c r="W190" i="12"/>
  <c r="Q190" i="12"/>
  <c r="N190" i="12"/>
  <c r="K190" i="12"/>
  <c r="Q189" i="12"/>
  <c r="N189" i="12"/>
  <c r="K189" i="12"/>
  <c r="W188" i="12"/>
  <c r="Q188" i="12"/>
  <c r="N188" i="12"/>
  <c r="K188" i="12"/>
  <c r="W187" i="12"/>
  <c r="Q187" i="12"/>
  <c r="N187" i="12"/>
  <c r="K187" i="12"/>
  <c r="W186" i="12"/>
  <c r="Q186" i="12"/>
  <c r="N186" i="12"/>
  <c r="K186" i="12"/>
  <c r="W185" i="12"/>
  <c r="Q185" i="12"/>
  <c r="N185" i="12"/>
  <c r="K185" i="12"/>
  <c r="W184" i="12"/>
  <c r="Q184" i="12"/>
  <c r="N184" i="12"/>
  <c r="K184" i="12"/>
  <c r="W183" i="12"/>
  <c r="Q183" i="12"/>
  <c r="N183" i="12"/>
  <c r="K183" i="12"/>
  <c r="W182" i="12"/>
  <c r="Q182" i="12"/>
  <c r="N182" i="12"/>
  <c r="K182" i="12"/>
  <c r="W181" i="12"/>
  <c r="Q181" i="12"/>
  <c r="N181" i="12"/>
  <c r="K181" i="12"/>
  <c r="W180" i="12"/>
  <c r="Q180" i="12"/>
  <c r="N180" i="12"/>
  <c r="K180" i="12"/>
  <c r="W179" i="12"/>
  <c r="Q179" i="12"/>
  <c r="N179" i="12"/>
  <c r="K179" i="12"/>
  <c r="W178" i="12"/>
  <c r="Q178" i="12"/>
  <c r="N178" i="12"/>
  <c r="K178" i="12"/>
  <c r="W177" i="12"/>
  <c r="Q177" i="12"/>
  <c r="N177" i="12"/>
  <c r="K177" i="12"/>
  <c r="Q176" i="12"/>
  <c r="N176" i="12"/>
  <c r="K176" i="12"/>
  <c r="W175" i="12"/>
  <c r="Q175" i="12"/>
  <c r="N175" i="12"/>
  <c r="K175" i="12"/>
  <c r="W174" i="12"/>
  <c r="Q174" i="12"/>
  <c r="N174" i="12"/>
  <c r="K174" i="12"/>
  <c r="W173" i="12"/>
  <c r="Q173" i="12"/>
  <c r="N173" i="12"/>
  <c r="K173" i="12"/>
  <c r="W172" i="12"/>
  <c r="Q172" i="12"/>
  <c r="N172" i="12"/>
  <c r="K172" i="12"/>
  <c r="W171" i="12"/>
  <c r="Q171" i="12"/>
  <c r="N171" i="12"/>
  <c r="K171" i="12"/>
  <c r="W170" i="12"/>
  <c r="Q170" i="12"/>
  <c r="N170" i="12"/>
  <c r="K170" i="12"/>
  <c r="W169" i="12"/>
  <c r="Q169" i="12"/>
  <c r="N169" i="12"/>
  <c r="K169" i="12"/>
  <c r="W168" i="12"/>
  <c r="Q168" i="12"/>
  <c r="N168" i="12"/>
  <c r="K168" i="12"/>
  <c r="W167" i="12"/>
  <c r="Q167" i="12"/>
  <c r="N167" i="12"/>
  <c r="K167" i="12"/>
  <c r="W166" i="12"/>
  <c r="Q166" i="12"/>
  <c r="N166" i="12"/>
  <c r="K166" i="12"/>
  <c r="W165" i="12"/>
  <c r="Q165" i="12"/>
  <c r="N165" i="12"/>
  <c r="K165" i="12"/>
  <c r="W164" i="12"/>
  <c r="Q164" i="12"/>
  <c r="N164" i="12"/>
  <c r="K164" i="12"/>
  <c r="W163" i="12"/>
  <c r="Q163" i="12"/>
  <c r="N163" i="12"/>
  <c r="K163" i="12"/>
  <c r="W162" i="12"/>
  <c r="Q162" i="12"/>
  <c r="N162" i="12"/>
  <c r="K162" i="12"/>
  <c r="W161" i="12"/>
  <c r="Q161" i="12"/>
  <c r="N161" i="12"/>
  <c r="K161" i="12"/>
  <c r="W160" i="12"/>
  <c r="Q160" i="12"/>
  <c r="N160" i="12"/>
  <c r="K160" i="12"/>
  <c r="W159" i="12"/>
  <c r="Q159" i="12"/>
  <c r="N159" i="12"/>
  <c r="K159" i="12"/>
  <c r="W158" i="12"/>
  <c r="Q158" i="12"/>
  <c r="N158" i="12"/>
  <c r="K158" i="12"/>
  <c r="W157" i="12"/>
  <c r="Q157" i="12"/>
  <c r="N157" i="12"/>
  <c r="K157" i="12"/>
  <c r="W156" i="12"/>
  <c r="Q156" i="12"/>
  <c r="N156" i="12"/>
  <c r="K156" i="12"/>
  <c r="W155" i="12"/>
  <c r="Q155" i="12"/>
  <c r="N155" i="12"/>
  <c r="K155" i="12"/>
  <c r="W154" i="12"/>
  <c r="Q154" i="12"/>
  <c r="N154" i="12"/>
  <c r="K154" i="12"/>
  <c r="Q153" i="12"/>
  <c r="N153" i="12"/>
  <c r="K153" i="12"/>
  <c r="W152" i="12"/>
  <c r="Q152" i="12"/>
  <c r="N152" i="12"/>
  <c r="K152" i="12"/>
  <c r="W151" i="12"/>
  <c r="Q151" i="12"/>
  <c r="N151" i="12"/>
  <c r="K151" i="12"/>
  <c r="W150" i="12"/>
  <c r="Q150" i="12"/>
  <c r="N150" i="12"/>
  <c r="K150" i="12"/>
  <c r="W149" i="12"/>
  <c r="Q149" i="12"/>
  <c r="N149" i="12"/>
  <c r="K149" i="12"/>
  <c r="W148" i="12"/>
  <c r="Q148" i="12"/>
  <c r="N148" i="12"/>
  <c r="K148" i="12"/>
  <c r="W147" i="12"/>
  <c r="Q147" i="12"/>
  <c r="N147" i="12"/>
  <c r="K147" i="12"/>
  <c r="W146" i="12"/>
  <c r="Q146" i="12"/>
  <c r="N146" i="12"/>
  <c r="K146" i="12"/>
  <c r="Q145" i="12"/>
  <c r="N145" i="12"/>
  <c r="K145" i="12"/>
  <c r="W144" i="12"/>
  <c r="Q144" i="12"/>
  <c r="N144" i="12"/>
  <c r="K144" i="12"/>
  <c r="W143" i="12"/>
  <c r="Q143" i="12"/>
  <c r="N143" i="12"/>
  <c r="K143" i="12"/>
  <c r="W142" i="12"/>
  <c r="Q142" i="12"/>
  <c r="N142" i="12"/>
  <c r="K142" i="12"/>
  <c r="W141" i="12"/>
  <c r="Q141" i="12"/>
  <c r="N141" i="12"/>
  <c r="K141" i="12"/>
  <c r="W140" i="12"/>
  <c r="Q140" i="12"/>
  <c r="N140" i="12"/>
  <c r="K140" i="12"/>
  <c r="W139" i="12"/>
  <c r="Q139" i="12"/>
  <c r="N139" i="12"/>
  <c r="K139" i="12"/>
  <c r="W138" i="12"/>
  <c r="Q138" i="12"/>
  <c r="N138" i="12"/>
  <c r="K138" i="12"/>
  <c r="W137" i="12"/>
  <c r="Q137" i="12"/>
  <c r="N137" i="12"/>
  <c r="K137" i="12"/>
  <c r="W136" i="12"/>
  <c r="Q136" i="12"/>
  <c r="N136" i="12"/>
  <c r="K136" i="12"/>
  <c r="W135" i="12"/>
  <c r="Q135" i="12"/>
  <c r="N135" i="12"/>
  <c r="K135" i="12"/>
  <c r="W134" i="12"/>
  <c r="Q134" i="12"/>
  <c r="N134" i="12"/>
  <c r="K134" i="12"/>
  <c r="W133" i="12"/>
  <c r="Q133" i="12"/>
  <c r="N133" i="12"/>
  <c r="K133" i="12"/>
  <c r="W132" i="12"/>
  <c r="Q132" i="12"/>
  <c r="N132" i="12"/>
  <c r="K132" i="12"/>
  <c r="W131" i="12"/>
  <c r="Q131" i="12"/>
  <c r="N131" i="12"/>
  <c r="K131" i="12"/>
  <c r="W130" i="12"/>
  <c r="Q130" i="12"/>
  <c r="N130" i="12"/>
  <c r="K130" i="12"/>
  <c r="W129" i="12"/>
  <c r="Q129" i="12"/>
  <c r="N129" i="12"/>
  <c r="K129" i="12"/>
  <c r="W128" i="12"/>
  <c r="Q128" i="12"/>
  <c r="N128" i="12"/>
  <c r="K128" i="12"/>
  <c r="Q127" i="12"/>
  <c r="N127" i="12"/>
  <c r="K127" i="12"/>
  <c r="W126" i="12"/>
  <c r="Q126" i="12"/>
  <c r="N126" i="12"/>
  <c r="K126" i="12"/>
  <c r="W125" i="12"/>
  <c r="Q125" i="12"/>
  <c r="N125" i="12"/>
  <c r="K125" i="12"/>
  <c r="W124" i="12"/>
  <c r="Q124" i="12"/>
  <c r="N124" i="12"/>
  <c r="K124" i="12"/>
  <c r="W123" i="12"/>
  <c r="Q123" i="12"/>
  <c r="N123" i="12"/>
  <c r="K123" i="12"/>
  <c r="W122" i="12"/>
  <c r="Q122" i="12"/>
  <c r="N122" i="12"/>
  <c r="K122" i="12"/>
  <c r="W121" i="12"/>
  <c r="Q121" i="12"/>
  <c r="N121" i="12"/>
  <c r="K121" i="12"/>
  <c r="W120" i="12"/>
  <c r="Q120" i="12"/>
  <c r="N120" i="12"/>
  <c r="K120" i="12"/>
  <c r="W119" i="12"/>
  <c r="Q119" i="12"/>
  <c r="N119" i="12"/>
  <c r="K119" i="12"/>
  <c r="W118" i="12"/>
  <c r="Q118" i="12"/>
  <c r="N118" i="12"/>
  <c r="K118" i="12"/>
  <c r="W117" i="12"/>
  <c r="Q117" i="12"/>
  <c r="N117" i="12"/>
  <c r="K117" i="12"/>
  <c r="Q116" i="12"/>
  <c r="N116" i="12"/>
  <c r="K116" i="12"/>
  <c r="W115" i="12"/>
  <c r="Q115" i="12"/>
  <c r="N115" i="12"/>
  <c r="K115" i="12"/>
  <c r="W114" i="12"/>
  <c r="Q114" i="12"/>
  <c r="N114" i="12"/>
  <c r="K114" i="12"/>
  <c r="W113" i="12"/>
  <c r="Q113" i="12"/>
  <c r="N113" i="12"/>
  <c r="K113" i="12"/>
  <c r="W112" i="12"/>
  <c r="Q112" i="12"/>
  <c r="N112" i="12"/>
  <c r="K112" i="12"/>
  <c r="W111" i="12"/>
  <c r="Q111" i="12"/>
  <c r="N111" i="12"/>
  <c r="K111" i="12"/>
  <c r="W110" i="12"/>
  <c r="Q110" i="12"/>
  <c r="N110" i="12"/>
  <c r="K110" i="12"/>
  <c r="Q109" i="12"/>
  <c r="N109" i="12"/>
  <c r="K109" i="12"/>
  <c r="W108" i="12"/>
  <c r="Q108" i="12"/>
  <c r="N108" i="12"/>
  <c r="K108" i="12"/>
  <c r="W107" i="12"/>
  <c r="Q107" i="12"/>
  <c r="N107" i="12"/>
  <c r="K107" i="12"/>
  <c r="W106" i="12"/>
  <c r="Q106" i="12"/>
  <c r="N106" i="12"/>
  <c r="K106" i="12"/>
  <c r="W105" i="12"/>
  <c r="Q105" i="12"/>
  <c r="N105" i="12"/>
  <c r="K105" i="12"/>
  <c r="W104" i="12"/>
  <c r="Q104" i="12"/>
  <c r="N104" i="12"/>
  <c r="K104" i="12"/>
  <c r="W103" i="12"/>
  <c r="Q103" i="12"/>
  <c r="N103" i="12"/>
  <c r="K103" i="12"/>
  <c r="W102" i="12"/>
  <c r="Q102" i="12"/>
  <c r="N102" i="12"/>
  <c r="K102" i="12"/>
  <c r="W101" i="12"/>
  <c r="Q101" i="12"/>
  <c r="N101" i="12"/>
  <c r="K101" i="12"/>
  <c r="W100" i="12"/>
  <c r="Q100" i="12"/>
  <c r="N100" i="12"/>
  <c r="K100" i="12"/>
  <c r="W99" i="12"/>
  <c r="Q99" i="12"/>
  <c r="N99" i="12"/>
  <c r="K99" i="12"/>
  <c r="W98" i="12"/>
  <c r="Q98" i="12"/>
  <c r="N98" i="12"/>
  <c r="K98" i="12"/>
  <c r="W97" i="12"/>
  <c r="Q97" i="12"/>
  <c r="N97" i="12"/>
  <c r="K97" i="12"/>
  <c r="W96" i="12"/>
  <c r="Q96" i="12"/>
  <c r="N96" i="12"/>
  <c r="K96" i="12"/>
  <c r="W95" i="12"/>
  <c r="Q95" i="12"/>
  <c r="N95" i="12"/>
  <c r="K95" i="12"/>
  <c r="W94" i="12"/>
  <c r="Q94" i="12"/>
  <c r="N94" i="12"/>
  <c r="K94" i="12"/>
  <c r="W93" i="12"/>
  <c r="Q93" i="12"/>
  <c r="N93" i="12"/>
  <c r="K93" i="12"/>
  <c r="W92" i="12"/>
  <c r="Q92" i="12"/>
  <c r="N92" i="12"/>
  <c r="K92" i="12"/>
  <c r="W91" i="12"/>
  <c r="Q91" i="12"/>
  <c r="N91" i="12"/>
  <c r="K91" i="12"/>
  <c r="W90" i="12"/>
  <c r="Q90" i="12"/>
  <c r="N90" i="12"/>
  <c r="K90" i="12"/>
  <c r="Q89" i="12"/>
  <c r="N89" i="12"/>
  <c r="K89" i="12"/>
  <c r="W88" i="12"/>
  <c r="Q88" i="12"/>
  <c r="N88" i="12"/>
  <c r="K88" i="12"/>
  <c r="W87" i="12"/>
  <c r="Q87" i="12"/>
  <c r="N87" i="12"/>
  <c r="K87" i="12"/>
  <c r="W86" i="12"/>
  <c r="Q86" i="12"/>
  <c r="N86" i="12"/>
  <c r="K86" i="12"/>
  <c r="W85" i="12"/>
  <c r="Q85" i="12"/>
  <c r="N85" i="12"/>
  <c r="K85" i="12"/>
  <c r="W84" i="12"/>
  <c r="Q84" i="12"/>
  <c r="N84" i="12"/>
  <c r="K84" i="12"/>
  <c r="W83" i="12"/>
  <c r="Q83" i="12"/>
  <c r="N83" i="12"/>
  <c r="K83" i="12"/>
  <c r="Q82" i="12"/>
  <c r="N82" i="12"/>
  <c r="K82" i="12"/>
  <c r="W81" i="12"/>
  <c r="Q81" i="12"/>
  <c r="N81" i="12"/>
  <c r="K81" i="12"/>
  <c r="W80" i="12"/>
  <c r="Q80" i="12"/>
  <c r="N80" i="12"/>
  <c r="K80" i="12"/>
  <c r="W79" i="12"/>
  <c r="Q79" i="12"/>
  <c r="N79" i="12"/>
  <c r="K79" i="12"/>
  <c r="W78" i="12"/>
  <c r="Q78" i="12"/>
  <c r="N78" i="12"/>
  <c r="K78" i="12"/>
  <c r="W77" i="12"/>
  <c r="Q77" i="12"/>
  <c r="N77" i="12"/>
  <c r="K77" i="12"/>
  <c r="W76" i="12"/>
  <c r="Q76" i="12"/>
  <c r="N76" i="12"/>
  <c r="K76" i="12"/>
  <c r="Q75" i="12"/>
  <c r="N75" i="12"/>
  <c r="K75" i="12"/>
  <c r="W74" i="12"/>
  <c r="Q74" i="12"/>
  <c r="N74" i="12"/>
  <c r="K74" i="12"/>
  <c r="W73" i="12"/>
  <c r="Q73" i="12"/>
  <c r="N73" i="12"/>
  <c r="K73" i="12"/>
  <c r="W72" i="12"/>
  <c r="Q72" i="12"/>
  <c r="N72" i="12"/>
  <c r="K72" i="12"/>
  <c r="W71" i="12"/>
  <c r="Q71" i="12"/>
  <c r="N71" i="12"/>
  <c r="K71" i="12"/>
  <c r="Q70" i="12"/>
  <c r="N70" i="12"/>
  <c r="K70" i="12"/>
  <c r="W69" i="12"/>
  <c r="Q69" i="12"/>
  <c r="N69" i="12"/>
  <c r="K69" i="12"/>
  <c r="W68" i="12"/>
  <c r="Q68" i="12"/>
  <c r="N68" i="12"/>
  <c r="K68" i="12"/>
  <c r="W67" i="12"/>
  <c r="Q67" i="12"/>
  <c r="N67" i="12"/>
  <c r="K67" i="12"/>
  <c r="W66" i="12"/>
  <c r="Q66" i="12"/>
  <c r="N66" i="12"/>
  <c r="K66" i="12"/>
  <c r="W65" i="12"/>
  <c r="Q65" i="12"/>
  <c r="N65" i="12"/>
  <c r="K65" i="12"/>
  <c r="W64" i="12"/>
  <c r="Q64" i="12"/>
  <c r="N64" i="12"/>
  <c r="K64" i="12"/>
  <c r="W63" i="12"/>
  <c r="Q63" i="12"/>
  <c r="N63" i="12"/>
  <c r="K63" i="12"/>
  <c r="Q62" i="12"/>
  <c r="N62" i="12"/>
  <c r="K62" i="12"/>
  <c r="W61" i="12"/>
  <c r="Q61" i="12"/>
  <c r="N61" i="12"/>
  <c r="K61" i="12"/>
  <c r="W60" i="12"/>
  <c r="Q60" i="12"/>
  <c r="N60" i="12"/>
  <c r="K60" i="12"/>
  <c r="W59" i="12"/>
  <c r="Q59" i="12"/>
  <c r="N59" i="12"/>
  <c r="K59" i="12"/>
  <c r="W58" i="12"/>
  <c r="Q58" i="12"/>
  <c r="N58" i="12"/>
  <c r="K58" i="12"/>
  <c r="W57" i="12"/>
  <c r="Q57" i="12"/>
  <c r="N57" i="12"/>
  <c r="K57" i="12"/>
  <c r="W56" i="12"/>
  <c r="Q56" i="12"/>
  <c r="N56" i="12"/>
  <c r="K56" i="12"/>
  <c r="W55" i="12"/>
  <c r="Q55" i="12"/>
  <c r="N55" i="12"/>
  <c r="K55" i="12"/>
  <c r="Q54" i="12"/>
  <c r="N54" i="12"/>
  <c r="K54" i="12"/>
  <c r="W53" i="12"/>
  <c r="Q53" i="12"/>
  <c r="N53" i="12"/>
  <c r="K53" i="12"/>
  <c r="Q52" i="12"/>
  <c r="N52" i="12"/>
  <c r="K52" i="12"/>
  <c r="W51" i="12"/>
  <c r="Q51" i="12"/>
  <c r="N51" i="12"/>
  <c r="K51" i="12"/>
  <c r="W50" i="12"/>
  <c r="Q50" i="12"/>
  <c r="N50" i="12"/>
  <c r="K50" i="12"/>
  <c r="W49" i="12"/>
  <c r="Q49" i="12"/>
  <c r="N49" i="12"/>
  <c r="K49" i="12"/>
  <c r="W48" i="12"/>
  <c r="Q48" i="12"/>
  <c r="N48" i="12"/>
  <c r="K48" i="12"/>
  <c r="W47" i="12"/>
  <c r="Q47" i="12"/>
  <c r="N47" i="12"/>
  <c r="K47" i="12"/>
  <c r="W46" i="12"/>
  <c r="Q46" i="12"/>
  <c r="N46" i="12"/>
  <c r="K46" i="12"/>
  <c r="W45" i="12"/>
  <c r="Q45" i="12"/>
  <c r="N45" i="12"/>
  <c r="K45" i="12"/>
  <c r="W44" i="12"/>
  <c r="Q44" i="12"/>
  <c r="N44" i="12"/>
  <c r="K44" i="12"/>
  <c r="W43" i="12"/>
  <c r="Q43" i="12"/>
  <c r="N43" i="12"/>
  <c r="K43" i="12"/>
  <c r="W42" i="12"/>
  <c r="Q42" i="12"/>
  <c r="N42" i="12"/>
  <c r="K42" i="12"/>
  <c r="W41" i="12"/>
  <c r="Q41" i="12"/>
  <c r="N41" i="12"/>
  <c r="K41" i="12"/>
  <c r="W40" i="12"/>
  <c r="Q40" i="12"/>
  <c r="N40" i="12"/>
  <c r="K40" i="12"/>
  <c r="Q39" i="12"/>
  <c r="N39" i="12"/>
  <c r="K39" i="12"/>
  <c r="W38" i="12"/>
  <c r="Q38" i="12"/>
  <c r="N38" i="12"/>
  <c r="K38" i="12"/>
  <c r="W37" i="12"/>
  <c r="Q37" i="12"/>
  <c r="N37" i="12"/>
  <c r="K37" i="12"/>
  <c r="W36" i="12"/>
  <c r="Q36" i="12"/>
  <c r="N36" i="12"/>
  <c r="K36" i="12"/>
  <c r="W35" i="12"/>
  <c r="Q35" i="12"/>
  <c r="N35" i="12"/>
  <c r="K35" i="12"/>
  <c r="W34" i="12"/>
  <c r="Q34" i="12"/>
  <c r="N34" i="12"/>
  <c r="K34" i="12"/>
  <c r="W33" i="12"/>
  <c r="Q33" i="12"/>
  <c r="N33" i="12"/>
  <c r="K33" i="12"/>
  <c r="W32" i="12"/>
  <c r="Q32" i="12"/>
  <c r="N32" i="12"/>
  <c r="K32" i="12"/>
  <c r="W31" i="12"/>
  <c r="Q31" i="12"/>
  <c r="N31" i="12"/>
  <c r="K31" i="12"/>
  <c r="W30" i="12"/>
  <c r="Q30" i="12"/>
  <c r="N30" i="12"/>
  <c r="K30" i="12"/>
  <c r="W29" i="12"/>
  <c r="Q29" i="12"/>
  <c r="N29" i="12"/>
  <c r="K29" i="12"/>
  <c r="W28" i="12"/>
  <c r="Q28" i="12"/>
  <c r="N28" i="12"/>
  <c r="K28" i="12"/>
  <c r="W27" i="12"/>
  <c r="Q27" i="12"/>
  <c r="N27" i="12"/>
  <c r="K27" i="12"/>
  <c r="W26" i="12"/>
  <c r="Q26" i="12"/>
  <c r="N26" i="12"/>
  <c r="K26" i="12"/>
  <c r="Q25" i="12"/>
  <c r="N25" i="12"/>
  <c r="K25" i="12"/>
  <c r="W24" i="12"/>
  <c r="Q24" i="12"/>
  <c r="N24" i="12"/>
  <c r="K24" i="12"/>
  <c r="W23" i="12"/>
  <c r="Q23" i="12"/>
  <c r="N23" i="12"/>
  <c r="K23" i="12"/>
  <c r="W22" i="12"/>
  <c r="Q22" i="12"/>
  <c r="N22" i="12"/>
  <c r="K22" i="12"/>
  <c r="Q21" i="12"/>
  <c r="N21" i="12"/>
  <c r="K21" i="12"/>
  <c r="W20" i="12"/>
  <c r="Q20" i="12"/>
  <c r="N20" i="12"/>
  <c r="K20" i="12"/>
  <c r="E20" i="12"/>
  <c r="W19" i="12"/>
  <c r="Q19" i="12"/>
  <c r="N19" i="12"/>
  <c r="K19" i="12"/>
  <c r="E19" i="12"/>
  <c r="W18" i="12"/>
  <c r="Q18" i="12"/>
  <c r="N18" i="12"/>
  <c r="K18" i="12"/>
  <c r="E18" i="12"/>
  <c r="W17" i="12"/>
  <c r="Q17" i="12"/>
  <c r="N17" i="12"/>
  <c r="K17" i="12"/>
  <c r="E17" i="12"/>
  <c r="W16" i="12"/>
  <c r="Q16" i="12"/>
  <c r="N16" i="12"/>
  <c r="K16" i="12"/>
  <c r="E16" i="12"/>
  <c r="W15" i="12"/>
  <c r="Q15" i="12"/>
  <c r="N15" i="12"/>
  <c r="K15" i="12"/>
  <c r="E15" i="12"/>
  <c r="W14" i="12"/>
  <c r="Q14" i="12"/>
  <c r="N14" i="12"/>
  <c r="K14" i="12"/>
  <c r="E14" i="12"/>
  <c r="W13" i="12"/>
  <c r="Q13" i="12"/>
  <c r="N13" i="12"/>
  <c r="K13" i="12"/>
  <c r="E13" i="12"/>
  <c r="W12" i="12"/>
  <c r="Q12" i="12"/>
  <c r="N12" i="12"/>
  <c r="K12" i="12"/>
  <c r="E12" i="12"/>
  <c r="W11" i="12"/>
  <c r="Q11" i="12"/>
  <c r="N11" i="12"/>
  <c r="K11" i="12"/>
  <c r="E11" i="12"/>
  <c r="W10" i="12"/>
  <c r="Q10" i="12"/>
  <c r="N10" i="12"/>
  <c r="K10" i="12"/>
  <c r="E10" i="12"/>
  <c r="W9" i="12"/>
  <c r="Q9" i="12"/>
  <c r="N9" i="12"/>
  <c r="K9" i="12"/>
  <c r="E9" i="12"/>
  <c r="W8" i="12"/>
  <c r="Q8" i="12"/>
  <c r="N8" i="12"/>
  <c r="K8" i="12"/>
  <c r="E8" i="12"/>
  <c r="W7" i="12"/>
  <c r="Q7" i="12"/>
  <c r="N7" i="12"/>
  <c r="K7" i="12"/>
  <c r="E7" i="12"/>
  <c r="W6" i="12"/>
  <c r="Q6" i="12"/>
  <c r="N6" i="12"/>
  <c r="K6" i="12"/>
  <c r="E6" i="12"/>
  <c r="W5" i="12"/>
  <c r="Q5" i="12"/>
  <c r="N5" i="12"/>
  <c r="K5" i="12"/>
  <c r="E5" i="12"/>
  <c r="W4" i="12"/>
  <c r="Q4" i="12"/>
  <c r="N4" i="12"/>
  <c r="K4" i="12"/>
  <c r="E4" i="12"/>
  <c r="W3" i="12"/>
  <c r="Q3" i="12"/>
  <c r="N3" i="12"/>
  <c r="K3" i="12"/>
  <c r="E3" i="12"/>
  <c r="Q2" i="12"/>
  <c r="N2" i="12"/>
  <c r="K2" i="12"/>
  <c r="E2" i="12"/>
  <c r="B26" i="12"/>
  <c r="B20" i="12"/>
  <c r="A1" i="12" a="1"/>
  <c r="A26" i="12" s="1"/>
  <c r="U327" i="10"/>
  <c r="AC327" i="10" s="1"/>
  <c r="T327" i="10"/>
  <c r="AI327" i="10" s="1"/>
  <c r="S327" i="10"/>
  <c r="AH327" i="10" s="1"/>
  <c r="R327" i="10"/>
  <c r="AG327" i="10" s="1"/>
  <c r="Q327" i="10"/>
  <c r="AF327" i="10" s="1"/>
  <c r="P327" i="10"/>
  <c r="AE327" i="10" s="1"/>
  <c r="O327" i="10"/>
  <c r="AD327" i="10" s="1"/>
  <c r="N327" i="10"/>
  <c r="AA327" i="10" s="1"/>
  <c r="M327" i="10"/>
  <c r="Z327" i="10" s="1"/>
  <c r="L327" i="10"/>
  <c r="Y327" i="10" s="1"/>
  <c r="K327" i="10"/>
  <c r="X327" i="10" s="1"/>
  <c r="J327" i="10"/>
  <c r="W327" i="10" s="1"/>
  <c r="I327" i="10"/>
  <c r="U326" i="10"/>
  <c r="AC326" i="10" s="1"/>
  <c r="T326" i="10"/>
  <c r="AI326" i="10" s="1"/>
  <c r="S326" i="10"/>
  <c r="R326" i="10"/>
  <c r="AG326" i="10" s="1"/>
  <c r="Q326" i="10"/>
  <c r="P326" i="10"/>
  <c r="AE326" i="10" s="1"/>
  <c r="O326" i="10"/>
  <c r="AD326" i="10" s="1"/>
  <c r="N326" i="10"/>
  <c r="AA326" i="10" s="1"/>
  <c r="M326" i="10"/>
  <c r="Z326" i="10" s="1"/>
  <c r="L326" i="10"/>
  <c r="Y326" i="10" s="1"/>
  <c r="K326" i="10"/>
  <c r="X326" i="10" s="1"/>
  <c r="J326" i="10"/>
  <c r="W326" i="10" s="1"/>
  <c r="I326" i="10"/>
  <c r="AH326" i="10" s="1"/>
  <c r="U325" i="10"/>
  <c r="T325" i="10"/>
  <c r="S325" i="10"/>
  <c r="R325" i="10"/>
  <c r="Q325" i="10"/>
  <c r="P325" i="10"/>
  <c r="O325" i="10"/>
  <c r="N325" i="10"/>
  <c r="M325" i="10"/>
  <c r="L325" i="10"/>
  <c r="K325" i="10"/>
  <c r="J325" i="10"/>
  <c r="I325" i="10"/>
  <c r="AI325" i="10" s="1"/>
  <c r="AE324" i="10"/>
  <c r="AC324" i="10"/>
  <c r="U324" i="10"/>
  <c r="T324" i="10"/>
  <c r="AI324" i="10" s="1"/>
  <c r="S324" i="10"/>
  <c r="AH324" i="10" s="1"/>
  <c r="R324" i="10"/>
  <c r="AG324" i="10" s="1"/>
  <c r="Q324" i="10"/>
  <c r="AF324" i="10" s="1"/>
  <c r="P324" i="10"/>
  <c r="O324" i="10"/>
  <c r="AD324" i="10" s="1"/>
  <c r="N324" i="10"/>
  <c r="AA324" i="10" s="1"/>
  <c r="M324" i="10"/>
  <c r="Z324" i="10" s="1"/>
  <c r="L324" i="10"/>
  <c r="Y324" i="10" s="1"/>
  <c r="K324" i="10"/>
  <c r="X324" i="10" s="1"/>
  <c r="J324" i="10"/>
  <c r="W324" i="10" s="1"/>
  <c r="I324" i="10"/>
  <c r="A2" i="10" a="1"/>
  <c r="F312" i="10" s="1"/>
  <c r="AI1641" i="9"/>
  <c r="AH1641" i="9"/>
  <c r="AG1641" i="9"/>
  <c r="AF1641" i="9"/>
  <c r="AE1641" i="9"/>
  <c r="AD1641" i="9"/>
  <c r="AA1641" i="9"/>
  <c r="Z1641" i="9"/>
  <c r="Y1641" i="9"/>
  <c r="X1641" i="9"/>
  <c r="W1641" i="9"/>
  <c r="U1641" i="9"/>
  <c r="AC1641" i="9" s="1"/>
  <c r="AI1640" i="9"/>
  <c r="AH1640" i="9"/>
  <c r="AG1640" i="9"/>
  <c r="AF1640" i="9"/>
  <c r="AE1640" i="9"/>
  <c r="AD1640" i="9"/>
  <c r="AC1640" i="9"/>
  <c r="AA1640" i="9"/>
  <c r="Z1640" i="9"/>
  <c r="Y1640" i="9"/>
  <c r="X1640" i="9"/>
  <c r="W1640" i="9"/>
  <c r="U1640" i="9"/>
  <c r="AI1639" i="9"/>
  <c r="AH1639" i="9"/>
  <c r="AG1639" i="9"/>
  <c r="AF1639" i="9"/>
  <c r="AE1639" i="9"/>
  <c r="AD1639" i="9"/>
  <c r="AC1639" i="9"/>
  <c r="AA1639" i="9"/>
  <c r="Z1639" i="9"/>
  <c r="Y1639" i="9"/>
  <c r="X1639" i="9"/>
  <c r="W1639" i="9"/>
  <c r="U1639" i="9"/>
  <c r="AI1638" i="9"/>
  <c r="AH1638" i="9"/>
  <c r="AG1638" i="9"/>
  <c r="AF1638" i="9"/>
  <c r="AE1638" i="9"/>
  <c r="AD1638" i="9"/>
  <c r="AC1638" i="9"/>
  <c r="AA1638" i="9"/>
  <c r="Z1638" i="9"/>
  <c r="Y1638" i="9"/>
  <c r="X1638" i="9"/>
  <c r="W1638" i="9"/>
  <c r="U1638" i="9"/>
  <c r="AI1637" i="9"/>
  <c r="AH1637" i="9"/>
  <c r="AG1637" i="9"/>
  <c r="AF1637" i="9"/>
  <c r="AE1637" i="9"/>
  <c r="AD1637" i="9"/>
  <c r="AC1637" i="9"/>
  <c r="AA1637" i="9"/>
  <c r="Z1637" i="9"/>
  <c r="Y1637" i="9"/>
  <c r="X1637" i="9"/>
  <c r="W1637" i="9"/>
  <c r="U1637" i="9"/>
  <c r="AI1636" i="9"/>
  <c r="AH1636" i="9"/>
  <c r="AG1636" i="9"/>
  <c r="AF1636" i="9"/>
  <c r="AE1636" i="9"/>
  <c r="AD1636" i="9"/>
  <c r="AC1636" i="9"/>
  <c r="AA1636" i="9"/>
  <c r="Z1636" i="9"/>
  <c r="Y1636" i="9"/>
  <c r="X1636" i="9"/>
  <c r="W1636" i="9"/>
  <c r="U1636" i="9"/>
  <c r="AI1635" i="9"/>
  <c r="AH1635" i="9"/>
  <c r="AG1635" i="9"/>
  <c r="AF1635" i="9"/>
  <c r="AE1635" i="9"/>
  <c r="AD1635" i="9"/>
  <c r="AC1635" i="9"/>
  <c r="AA1635" i="9"/>
  <c r="Z1635" i="9"/>
  <c r="Y1635" i="9"/>
  <c r="X1635" i="9"/>
  <c r="W1635" i="9"/>
  <c r="U1635" i="9"/>
  <c r="AI1634" i="9"/>
  <c r="AH1634" i="9"/>
  <c r="AG1634" i="9"/>
  <c r="AF1634" i="9"/>
  <c r="AE1634" i="9"/>
  <c r="AD1634" i="9"/>
  <c r="AA1634" i="9"/>
  <c r="Z1634" i="9"/>
  <c r="Y1634" i="9"/>
  <c r="X1634" i="9"/>
  <c r="W1634" i="9"/>
  <c r="U1634" i="9"/>
  <c r="AC1634" i="9" s="1"/>
  <c r="AI1633" i="9"/>
  <c r="AH1633" i="9"/>
  <c r="AG1633" i="9"/>
  <c r="AF1633" i="9"/>
  <c r="AE1633" i="9"/>
  <c r="AD1633" i="9"/>
  <c r="AA1633" i="9"/>
  <c r="Z1633" i="9"/>
  <c r="Y1633" i="9"/>
  <c r="X1633" i="9"/>
  <c r="W1633" i="9"/>
  <c r="U1633" i="9"/>
  <c r="AC1633" i="9" s="1"/>
  <c r="AI1632" i="9"/>
  <c r="AH1632" i="9"/>
  <c r="AG1632" i="9"/>
  <c r="AF1632" i="9"/>
  <c r="AE1632" i="9"/>
  <c r="AD1632" i="9"/>
  <c r="AA1632" i="9"/>
  <c r="Z1632" i="9"/>
  <c r="Y1632" i="9"/>
  <c r="X1632" i="9"/>
  <c r="W1632" i="9"/>
  <c r="U1632" i="9"/>
  <c r="AC1632" i="9" s="1"/>
  <c r="AI1631" i="9"/>
  <c r="AH1631" i="9"/>
  <c r="AG1631" i="9"/>
  <c r="AF1631" i="9"/>
  <c r="AE1631" i="9"/>
  <c r="AD1631" i="9"/>
  <c r="AA1631" i="9"/>
  <c r="Z1631" i="9"/>
  <c r="Y1631" i="9"/>
  <c r="X1631" i="9"/>
  <c r="W1631" i="9"/>
  <c r="U1631" i="9"/>
  <c r="AC1631" i="9" s="1"/>
  <c r="AI1630" i="9"/>
  <c r="AH1630" i="9"/>
  <c r="AG1630" i="9"/>
  <c r="AF1630" i="9"/>
  <c r="AE1630" i="9"/>
  <c r="AD1630" i="9"/>
  <c r="AA1630" i="9"/>
  <c r="Z1630" i="9"/>
  <c r="Y1630" i="9"/>
  <c r="X1630" i="9"/>
  <c r="W1630" i="9"/>
  <c r="U1630" i="9"/>
  <c r="AC1630" i="9" s="1"/>
  <c r="AI1629" i="9"/>
  <c r="AH1629" i="9"/>
  <c r="AG1629" i="9"/>
  <c r="AF1629" i="9"/>
  <c r="AE1629" i="9"/>
  <c r="AD1629" i="9"/>
  <c r="AA1629" i="9"/>
  <c r="Z1629" i="9"/>
  <c r="Y1629" i="9"/>
  <c r="X1629" i="9"/>
  <c r="W1629" i="9"/>
  <c r="U1629" i="9"/>
  <c r="AC1629" i="9" s="1"/>
  <c r="AI1628" i="9"/>
  <c r="AH1628" i="9"/>
  <c r="AG1628" i="9"/>
  <c r="AF1628" i="9"/>
  <c r="AE1628" i="9"/>
  <c r="AD1628" i="9"/>
  <c r="AC1628" i="9"/>
  <c r="AA1628" i="9"/>
  <c r="Z1628" i="9"/>
  <c r="Y1628" i="9"/>
  <c r="X1628" i="9"/>
  <c r="W1628" i="9"/>
  <c r="U1628" i="9"/>
  <c r="AI1627" i="9"/>
  <c r="AH1627" i="9"/>
  <c r="AG1627" i="9"/>
  <c r="AF1627" i="9"/>
  <c r="AE1627" i="9"/>
  <c r="AD1627" i="9"/>
  <c r="AC1627" i="9"/>
  <c r="AA1627" i="9"/>
  <c r="Z1627" i="9"/>
  <c r="Y1627" i="9"/>
  <c r="X1627" i="9"/>
  <c r="W1627" i="9"/>
  <c r="U1627" i="9"/>
  <c r="AI1626" i="9"/>
  <c r="AH1626" i="9"/>
  <c r="AG1626" i="9"/>
  <c r="AF1626" i="9"/>
  <c r="AE1626" i="9"/>
  <c r="AD1626" i="9"/>
  <c r="AC1626" i="9"/>
  <c r="AA1626" i="9"/>
  <c r="Z1626" i="9"/>
  <c r="Y1626" i="9"/>
  <c r="X1626" i="9"/>
  <c r="W1626" i="9"/>
  <c r="U1626" i="9"/>
  <c r="AI1625" i="9"/>
  <c r="AH1625" i="9"/>
  <c r="AG1625" i="9"/>
  <c r="AF1625" i="9"/>
  <c r="AE1625" i="9"/>
  <c r="AD1625" i="9"/>
  <c r="AC1625" i="9"/>
  <c r="AA1625" i="9"/>
  <c r="Z1625" i="9"/>
  <c r="Y1625" i="9"/>
  <c r="X1625" i="9"/>
  <c r="W1625" i="9"/>
  <c r="U1625" i="9"/>
  <c r="AI1624" i="9"/>
  <c r="AH1624" i="9"/>
  <c r="AG1624" i="9"/>
  <c r="AF1624" i="9"/>
  <c r="AE1624" i="9"/>
  <c r="AD1624" i="9"/>
  <c r="AC1624" i="9"/>
  <c r="AA1624" i="9"/>
  <c r="Z1624" i="9"/>
  <c r="Y1624" i="9"/>
  <c r="X1624" i="9"/>
  <c r="W1624" i="9"/>
  <c r="U1624" i="9"/>
  <c r="AI1623" i="9"/>
  <c r="AH1623" i="9"/>
  <c r="AG1623" i="9"/>
  <c r="AF1623" i="9"/>
  <c r="AE1623" i="9"/>
  <c r="AD1623" i="9"/>
  <c r="AC1623" i="9"/>
  <c r="AA1623" i="9"/>
  <c r="Z1623" i="9"/>
  <c r="Y1623" i="9"/>
  <c r="X1623" i="9"/>
  <c r="W1623" i="9"/>
  <c r="U1623" i="9"/>
  <c r="AI1622" i="9"/>
  <c r="AH1622" i="9"/>
  <c r="AG1622" i="9"/>
  <c r="AF1622" i="9"/>
  <c r="AE1622" i="9"/>
  <c r="AD1622" i="9"/>
  <c r="AA1622" i="9"/>
  <c r="Z1622" i="9"/>
  <c r="Y1622" i="9"/>
  <c r="X1622" i="9"/>
  <c r="W1622" i="9"/>
  <c r="U1622" i="9"/>
  <c r="AC1622" i="9" s="1"/>
  <c r="AI1621" i="9"/>
  <c r="AH1621" i="9"/>
  <c r="AG1621" i="9"/>
  <c r="AF1621" i="9"/>
  <c r="AE1621" i="9"/>
  <c r="AD1621" i="9"/>
  <c r="AA1621" i="9"/>
  <c r="Z1621" i="9"/>
  <c r="Y1621" i="9"/>
  <c r="X1621" i="9"/>
  <c r="W1621" i="9"/>
  <c r="U1621" i="9"/>
  <c r="AC1621" i="9" s="1"/>
  <c r="AI1620" i="9"/>
  <c r="AH1620" i="9"/>
  <c r="AG1620" i="9"/>
  <c r="AF1620" i="9"/>
  <c r="AE1620" i="9"/>
  <c r="AD1620" i="9"/>
  <c r="AA1620" i="9"/>
  <c r="Z1620" i="9"/>
  <c r="Y1620" i="9"/>
  <c r="X1620" i="9"/>
  <c r="W1620" i="9"/>
  <c r="U1620" i="9"/>
  <c r="AC1620" i="9" s="1"/>
  <c r="AI1619" i="9"/>
  <c r="AH1619" i="9"/>
  <c r="AG1619" i="9"/>
  <c r="AF1619" i="9"/>
  <c r="AE1619" i="9"/>
  <c r="AD1619" i="9"/>
  <c r="AA1619" i="9"/>
  <c r="Z1619" i="9"/>
  <c r="Y1619" i="9"/>
  <c r="X1619" i="9"/>
  <c r="W1619" i="9"/>
  <c r="U1619" i="9"/>
  <c r="AC1619" i="9" s="1"/>
  <c r="AI1618" i="9"/>
  <c r="AH1618" i="9"/>
  <c r="AG1618" i="9"/>
  <c r="AF1618" i="9"/>
  <c r="AE1618" i="9"/>
  <c r="AD1618" i="9"/>
  <c r="AA1618" i="9"/>
  <c r="Z1618" i="9"/>
  <c r="Y1618" i="9"/>
  <c r="X1618" i="9"/>
  <c r="W1618" i="9"/>
  <c r="U1618" i="9"/>
  <c r="AC1618" i="9" s="1"/>
  <c r="AI1617" i="9"/>
  <c r="AH1617" i="9"/>
  <c r="AG1617" i="9"/>
  <c r="AF1617" i="9"/>
  <c r="AE1617" i="9"/>
  <c r="AD1617" i="9"/>
  <c r="AA1617" i="9"/>
  <c r="Z1617" i="9"/>
  <c r="Y1617" i="9"/>
  <c r="X1617" i="9"/>
  <c r="W1617" i="9"/>
  <c r="U1617" i="9"/>
  <c r="AC1617" i="9" s="1"/>
  <c r="AI1616" i="9"/>
  <c r="AH1616" i="9"/>
  <c r="AG1616" i="9"/>
  <c r="AF1616" i="9"/>
  <c r="AE1616" i="9"/>
  <c r="AD1616" i="9"/>
  <c r="AC1616" i="9"/>
  <c r="AA1616" i="9"/>
  <c r="Z1616" i="9"/>
  <c r="Y1616" i="9"/>
  <c r="X1616" i="9"/>
  <c r="W1616" i="9"/>
  <c r="U1616" i="9"/>
  <c r="AI1615" i="9"/>
  <c r="AH1615" i="9"/>
  <c r="AG1615" i="9"/>
  <c r="AF1615" i="9"/>
  <c r="AE1615" i="9"/>
  <c r="AD1615" i="9"/>
  <c r="AC1615" i="9"/>
  <c r="AA1615" i="9"/>
  <c r="Z1615" i="9"/>
  <c r="Y1615" i="9"/>
  <c r="X1615" i="9"/>
  <c r="W1615" i="9"/>
  <c r="U1615" i="9"/>
  <c r="AI1614" i="9"/>
  <c r="AH1614" i="9"/>
  <c r="AG1614" i="9"/>
  <c r="AF1614" i="9"/>
  <c r="AE1614" i="9"/>
  <c r="AD1614" i="9"/>
  <c r="AC1614" i="9"/>
  <c r="AA1614" i="9"/>
  <c r="Z1614" i="9"/>
  <c r="Y1614" i="9"/>
  <c r="X1614" i="9"/>
  <c r="W1614" i="9"/>
  <c r="U1614" i="9"/>
  <c r="AI1613" i="9"/>
  <c r="AH1613" i="9"/>
  <c r="AG1613" i="9"/>
  <c r="AF1613" i="9"/>
  <c r="AE1613" i="9"/>
  <c r="AD1613" i="9"/>
  <c r="AC1613" i="9"/>
  <c r="AA1613" i="9"/>
  <c r="Z1613" i="9"/>
  <c r="Y1613" i="9"/>
  <c r="X1613" i="9"/>
  <c r="W1613" i="9"/>
  <c r="U1613" i="9"/>
  <c r="AI1612" i="9"/>
  <c r="AH1612" i="9"/>
  <c r="AG1612" i="9"/>
  <c r="AF1612" i="9"/>
  <c r="AE1612" i="9"/>
  <c r="AD1612" i="9"/>
  <c r="AC1612" i="9"/>
  <c r="AA1612" i="9"/>
  <c r="Z1612" i="9"/>
  <c r="Y1612" i="9"/>
  <c r="X1612" i="9"/>
  <c r="W1612" i="9"/>
  <c r="U1612" i="9"/>
  <c r="AI1611" i="9"/>
  <c r="AH1611" i="9"/>
  <c r="AG1611" i="9"/>
  <c r="AF1611" i="9"/>
  <c r="AE1611" i="9"/>
  <c r="AD1611" i="9"/>
  <c r="AC1611" i="9"/>
  <c r="AA1611" i="9"/>
  <c r="Z1611" i="9"/>
  <c r="Y1611" i="9"/>
  <c r="X1611" i="9"/>
  <c r="W1611" i="9"/>
  <c r="U1611" i="9"/>
  <c r="AI1610" i="9"/>
  <c r="AH1610" i="9"/>
  <c r="AG1610" i="9"/>
  <c r="AF1610" i="9"/>
  <c r="AE1610" i="9"/>
  <c r="AD1610" i="9"/>
  <c r="AA1610" i="9"/>
  <c r="Z1610" i="9"/>
  <c r="Y1610" i="9"/>
  <c r="X1610" i="9"/>
  <c r="W1610" i="9"/>
  <c r="U1610" i="9"/>
  <c r="AC1610" i="9" s="1"/>
  <c r="AI1609" i="9"/>
  <c r="AH1609" i="9"/>
  <c r="AG1609" i="9"/>
  <c r="AF1609" i="9"/>
  <c r="AE1609" i="9"/>
  <c r="AD1609" i="9"/>
  <c r="AA1609" i="9"/>
  <c r="Z1609" i="9"/>
  <c r="Y1609" i="9"/>
  <c r="X1609" i="9"/>
  <c r="W1609" i="9"/>
  <c r="U1609" i="9"/>
  <c r="AC1609" i="9" s="1"/>
  <c r="AI1608" i="9"/>
  <c r="AH1608" i="9"/>
  <c r="AG1608" i="9"/>
  <c r="AF1608" i="9"/>
  <c r="AE1608" i="9"/>
  <c r="AD1608" i="9"/>
  <c r="AA1608" i="9"/>
  <c r="Z1608" i="9"/>
  <c r="Y1608" i="9"/>
  <c r="X1608" i="9"/>
  <c r="W1608" i="9"/>
  <c r="U1608" i="9"/>
  <c r="AC1608" i="9" s="1"/>
  <c r="AI1607" i="9"/>
  <c r="AH1607" i="9"/>
  <c r="AG1607" i="9"/>
  <c r="AF1607" i="9"/>
  <c r="AE1607" i="9"/>
  <c r="AD1607" i="9"/>
  <c r="AC1607" i="9"/>
  <c r="AA1607" i="9"/>
  <c r="Z1607" i="9"/>
  <c r="Y1607" i="9"/>
  <c r="X1607" i="9"/>
  <c r="W1607" i="9"/>
  <c r="U1607" i="9"/>
  <c r="AI1606" i="9"/>
  <c r="AH1606" i="9"/>
  <c r="AG1606" i="9"/>
  <c r="AF1606" i="9"/>
  <c r="AE1606" i="9"/>
  <c r="AD1606" i="9"/>
  <c r="AA1606" i="9"/>
  <c r="Z1606" i="9"/>
  <c r="Y1606" i="9"/>
  <c r="X1606" i="9"/>
  <c r="W1606" i="9"/>
  <c r="U1606" i="9"/>
  <c r="AC1606" i="9" s="1"/>
  <c r="AI1605" i="9"/>
  <c r="AH1605" i="9"/>
  <c r="AG1605" i="9"/>
  <c r="AF1605" i="9"/>
  <c r="AE1605" i="9"/>
  <c r="AD1605" i="9"/>
  <c r="AA1605" i="9"/>
  <c r="Z1605" i="9"/>
  <c r="Y1605" i="9"/>
  <c r="X1605" i="9"/>
  <c r="W1605" i="9"/>
  <c r="U1605" i="9"/>
  <c r="AC1605" i="9" s="1"/>
  <c r="AI1604" i="9"/>
  <c r="AH1604" i="9"/>
  <c r="AG1604" i="9"/>
  <c r="AF1604" i="9"/>
  <c r="AE1604" i="9"/>
  <c r="AD1604" i="9"/>
  <c r="AC1604" i="9"/>
  <c r="AA1604" i="9"/>
  <c r="Z1604" i="9"/>
  <c r="Y1604" i="9"/>
  <c r="X1604" i="9"/>
  <c r="W1604" i="9"/>
  <c r="U1604" i="9"/>
  <c r="AI1603" i="9"/>
  <c r="AH1603" i="9"/>
  <c r="AG1603" i="9"/>
  <c r="AF1603" i="9"/>
  <c r="AE1603" i="9"/>
  <c r="AD1603" i="9"/>
  <c r="AC1603" i="9"/>
  <c r="AA1603" i="9"/>
  <c r="Z1603" i="9"/>
  <c r="Y1603" i="9"/>
  <c r="X1603" i="9"/>
  <c r="W1603" i="9"/>
  <c r="U1603" i="9"/>
  <c r="AI1602" i="9"/>
  <c r="AH1602" i="9"/>
  <c r="AG1602" i="9"/>
  <c r="AF1602" i="9"/>
  <c r="AE1602" i="9"/>
  <c r="AD1602" i="9"/>
  <c r="AC1602" i="9"/>
  <c r="AA1602" i="9"/>
  <c r="Z1602" i="9"/>
  <c r="Y1602" i="9"/>
  <c r="X1602" i="9"/>
  <c r="W1602" i="9"/>
  <c r="U1602" i="9"/>
  <c r="AI1601" i="9"/>
  <c r="AH1601" i="9"/>
  <c r="AG1601" i="9"/>
  <c r="AF1601" i="9"/>
  <c r="AE1601" i="9"/>
  <c r="AD1601" i="9"/>
  <c r="AA1601" i="9"/>
  <c r="Z1601" i="9"/>
  <c r="Y1601" i="9"/>
  <c r="X1601" i="9"/>
  <c r="W1601" i="9"/>
  <c r="U1601" i="9"/>
  <c r="AC1601" i="9" s="1"/>
  <c r="AI1600" i="9"/>
  <c r="AH1600" i="9"/>
  <c r="AG1600" i="9"/>
  <c r="AF1600" i="9"/>
  <c r="AE1600" i="9"/>
  <c r="AD1600" i="9"/>
  <c r="AC1600" i="9"/>
  <c r="AA1600" i="9"/>
  <c r="Z1600" i="9"/>
  <c r="Y1600" i="9"/>
  <c r="X1600" i="9"/>
  <c r="W1600" i="9"/>
  <c r="U1600" i="9"/>
  <c r="AI1599" i="9"/>
  <c r="AH1599" i="9"/>
  <c r="AG1599" i="9"/>
  <c r="AF1599" i="9"/>
  <c r="AE1599" i="9"/>
  <c r="AD1599" i="9"/>
  <c r="AC1599" i="9"/>
  <c r="AA1599" i="9"/>
  <c r="Z1599" i="9"/>
  <c r="Y1599" i="9"/>
  <c r="X1599" i="9"/>
  <c r="W1599" i="9"/>
  <c r="U1599" i="9"/>
  <c r="AI1598" i="9"/>
  <c r="AH1598" i="9"/>
  <c r="AG1598" i="9"/>
  <c r="AF1598" i="9"/>
  <c r="AE1598" i="9"/>
  <c r="AD1598" i="9"/>
  <c r="AA1598" i="9"/>
  <c r="Z1598" i="9"/>
  <c r="Y1598" i="9"/>
  <c r="X1598" i="9"/>
  <c r="W1598" i="9"/>
  <c r="U1598" i="9"/>
  <c r="AC1598" i="9" s="1"/>
  <c r="AI1597" i="9"/>
  <c r="AH1597" i="9"/>
  <c r="AG1597" i="9"/>
  <c r="AF1597" i="9"/>
  <c r="AE1597" i="9"/>
  <c r="AD1597" i="9"/>
  <c r="AA1597" i="9"/>
  <c r="Z1597" i="9"/>
  <c r="Y1597" i="9"/>
  <c r="X1597" i="9"/>
  <c r="W1597" i="9"/>
  <c r="U1597" i="9"/>
  <c r="AC1597" i="9" s="1"/>
  <c r="AI1596" i="9"/>
  <c r="AH1596" i="9"/>
  <c r="AG1596" i="9"/>
  <c r="AF1596" i="9"/>
  <c r="AE1596" i="9"/>
  <c r="AD1596" i="9"/>
  <c r="AA1596" i="9"/>
  <c r="Z1596" i="9"/>
  <c r="Y1596" i="9"/>
  <c r="X1596" i="9"/>
  <c r="W1596" i="9"/>
  <c r="U1596" i="9"/>
  <c r="AC1596" i="9" s="1"/>
  <c r="AI1595" i="9"/>
  <c r="AH1595" i="9"/>
  <c r="AG1595" i="9"/>
  <c r="AF1595" i="9"/>
  <c r="AE1595" i="9"/>
  <c r="AD1595" i="9"/>
  <c r="AC1595" i="9"/>
  <c r="AA1595" i="9"/>
  <c r="Z1595" i="9"/>
  <c r="Y1595" i="9"/>
  <c r="X1595" i="9"/>
  <c r="W1595" i="9"/>
  <c r="U1595" i="9"/>
  <c r="AI1594" i="9"/>
  <c r="AH1594" i="9"/>
  <c r="AG1594" i="9"/>
  <c r="AF1594" i="9"/>
  <c r="AE1594" i="9"/>
  <c r="AD1594" i="9"/>
  <c r="AA1594" i="9"/>
  <c r="Z1594" i="9"/>
  <c r="Y1594" i="9"/>
  <c r="X1594" i="9"/>
  <c r="W1594" i="9"/>
  <c r="U1594" i="9"/>
  <c r="AC1594" i="9" s="1"/>
  <c r="AI1593" i="9"/>
  <c r="AH1593" i="9"/>
  <c r="AG1593" i="9"/>
  <c r="AF1593" i="9"/>
  <c r="AE1593" i="9"/>
  <c r="AD1593" i="9"/>
  <c r="AA1593" i="9"/>
  <c r="Z1593" i="9"/>
  <c r="Y1593" i="9"/>
  <c r="X1593" i="9"/>
  <c r="W1593" i="9"/>
  <c r="U1593" i="9"/>
  <c r="AC1593" i="9" s="1"/>
  <c r="AI1592" i="9"/>
  <c r="AH1592" i="9"/>
  <c r="AG1592" i="9"/>
  <c r="AF1592" i="9"/>
  <c r="AE1592" i="9"/>
  <c r="AD1592" i="9"/>
  <c r="AC1592" i="9"/>
  <c r="AA1592" i="9"/>
  <c r="Z1592" i="9"/>
  <c r="Y1592" i="9"/>
  <c r="X1592" i="9"/>
  <c r="W1592" i="9"/>
  <c r="U1592" i="9"/>
  <c r="AI1591" i="9"/>
  <c r="AH1591" i="9"/>
  <c r="AG1591" i="9"/>
  <c r="AF1591" i="9"/>
  <c r="AE1591" i="9"/>
  <c r="AD1591" i="9"/>
  <c r="AC1591" i="9"/>
  <c r="AA1591" i="9"/>
  <c r="Z1591" i="9"/>
  <c r="Y1591" i="9"/>
  <c r="X1591" i="9"/>
  <c r="W1591" i="9"/>
  <c r="U1591" i="9"/>
  <c r="AI1590" i="9"/>
  <c r="AH1590" i="9"/>
  <c r="AG1590" i="9"/>
  <c r="AF1590" i="9"/>
  <c r="AE1590" i="9"/>
  <c r="AD1590" i="9"/>
  <c r="AC1590" i="9"/>
  <c r="AA1590" i="9"/>
  <c r="Z1590" i="9"/>
  <c r="Y1590" i="9"/>
  <c r="X1590" i="9"/>
  <c r="W1590" i="9"/>
  <c r="U1590" i="9"/>
  <c r="AI1589" i="9"/>
  <c r="AH1589" i="9"/>
  <c r="AG1589" i="9"/>
  <c r="AF1589" i="9"/>
  <c r="AE1589" i="9"/>
  <c r="AD1589" i="9"/>
  <c r="AC1589" i="9"/>
  <c r="AA1589" i="9"/>
  <c r="Z1589" i="9"/>
  <c r="Y1589" i="9"/>
  <c r="X1589" i="9"/>
  <c r="W1589" i="9"/>
  <c r="U1589" i="9"/>
  <c r="AI1588" i="9"/>
  <c r="AH1588" i="9"/>
  <c r="AG1588" i="9"/>
  <c r="AF1588" i="9"/>
  <c r="AE1588" i="9"/>
  <c r="AD1588" i="9"/>
  <c r="AC1588" i="9"/>
  <c r="AA1588" i="9"/>
  <c r="Z1588" i="9"/>
  <c r="Y1588" i="9"/>
  <c r="X1588" i="9"/>
  <c r="W1588" i="9"/>
  <c r="U1588" i="9"/>
  <c r="AI1587" i="9"/>
  <c r="AH1587" i="9"/>
  <c r="AG1587" i="9"/>
  <c r="AF1587" i="9"/>
  <c r="AE1587" i="9"/>
  <c r="AD1587" i="9"/>
  <c r="AC1587" i="9"/>
  <c r="AA1587" i="9"/>
  <c r="Z1587" i="9"/>
  <c r="Y1587" i="9"/>
  <c r="X1587" i="9"/>
  <c r="W1587" i="9"/>
  <c r="U1587" i="9"/>
  <c r="AI1586" i="9"/>
  <c r="AH1586" i="9"/>
  <c r="AG1586" i="9"/>
  <c r="AF1586" i="9"/>
  <c r="AE1586" i="9"/>
  <c r="AD1586" i="9"/>
  <c r="AA1586" i="9"/>
  <c r="Z1586" i="9"/>
  <c r="Y1586" i="9"/>
  <c r="X1586" i="9"/>
  <c r="W1586" i="9"/>
  <c r="U1586" i="9"/>
  <c r="AC1586" i="9" s="1"/>
  <c r="AI1585" i="9"/>
  <c r="AH1585" i="9"/>
  <c r="AG1585" i="9"/>
  <c r="AF1585" i="9"/>
  <c r="AE1585" i="9"/>
  <c r="AD1585" i="9"/>
  <c r="AA1585" i="9"/>
  <c r="Z1585" i="9"/>
  <c r="Y1585" i="9"/>
  <c r="X1585" i="9"/>
  <c r="W1585" i="9"/>
  <c r="U1585" i="9"/>
  <c r="AC1585" i="9" s="1"/>
  <c r="AI1584" i="9"/>
  <c r="AH1584" i="9"/>
  <c r="AG1584" i="9"/>
  <c r="AF1584" i="9"/>
  <c r="AE1584" i="9"/>
  <c r="AD1584" i="9"/>
  <c r="AA1584" i="9"/>
  <c r="Z1584" i="9"/>
  <c r="Y1584" i="9"/>
  <c r="X1584" i="9"/>
  <c r="W1584" i="9"/>
  <c r="U1584" i="9"/>
  <c r="AC1584" i="9" s="1"/>
  <c r="AI1583" i="9"/>
  <c r="AH1583" i="9"/>
  <c r="AG1583" i="9"/>
  <c r="AF1583" i="9"/>
  <c r="AE1583" i="9"/>
  <c r="AD1583" i="9"/>
  <c r="AC1583" i="9"/>
  <c r="AA1583" i="9"/>
  <c r="Z1583" i="9"/>
  <c r="Y1583" i="9"/>
  <c r="X1583" i="9"/>
  <c r="W1583" i="9"/>
  <c r="U1583" i="9"/>
  <c r="AI1582" i="9"/>
  <c r="AH1582" i="9"/>
  <c r="AG1582" i="9"/>
  <c r="AF1582" i="9"/>
  <c r="AE1582" i="9"/>
  <c r="AD1582" i="9"/>
  <c r="AA1582" i="9"/>
  <c r="Z1582" i="9"/>
  <c r="Y1582" i="9"/>
  <c r="X1582" i="9"/>
  <c r="W1582" i="9"/>
  <c r="U1582" i="9"/>
  <c r="AC1582" i="9" s="1"/>
  <c r="AI1581" i="9"/>
  <c r="AH1581" i="9"/>
  <c r="AG1581" i="9"/>
  <c r="AF1581" i="9"/>
  <c r="AE1581" i="9"/>
  <c r="AD1581" i="9"/>
  <c r="AA1581" i="9"/>
  <c r="Z1581" i="9"/>
  <c r="Y1581" i="9"/>
  <c r="X1581" i="9"/>
  <c r="W1581" i="9"/>
  <c r="U1581" i="9"/>
  <c r="AC1581" i="9" s="1"/>
  <c r="AI1580" i="9"/>
  <c r="AH1580" i="9"/>
  <c r="AG1580" i="9"/>
  <c r="AF1580" i="9"/>
  <c r="AE1580" i="9"/>
  <c r="AD1580" i="9"/>
  <c r="AC1580" i="9"/>
  <c r="AA1580" i="9"/>
  <c r="Z1580" i="9"/>
  <c r="Y1580" i="9"/>
  <c r="X1580" i="9"/>
  <c r="W1580" i="9"/>
  <c r="U1580" i="9"/>
  <c r="AI1579" i="9"/>
  <c r="AH1579" i="9"/>
  <c r="AG1579" i="9"/>
  <c r="AF1579" i="9"/>
  <c r="AE1579" i="9"/>
  <c r="AD1579" i="9"/>
  <c r="AC1579" i="9"/>
  <c r="AA1579" i="9"/>
  <c r="Z1579" i="9"/>
  <c r="Y1579" i="9"/>
  <c r="X1579" i="9"/>
  <c r="W1579" i="9"/>
  <c r="U1579" i="9"/>
  <c r="AI1578" i="9"/>
  <c r="AH1578" i="9"/>
  <c r="AG1578" i="9"/>
  <c r="AF1578" i="9"/>
  <c r="AE1578" i="9"/>
  <c r="AD1578" i="9"/>
  <c r="AC1578" i="9"/>
  <c r="AA1578" i="9"/>
  <c r="Z1578" i="9"/>
  <c r="Y1578" i="9"/>
  <c r="X1578" i="9"/>
  <c r="W1578" i="9"/>
  <c r="U1578" i="9"/>
  <c r="AI1577" i="9"/>
  <c r="AH1577" i="9"/>
  <c r="AG1577" i="9"/>
  <c r="AF1577" i="9"/>
  <c r="AE1577" i="9"/>
  <c r="AD1577" i="9"/>
  <c r="AA1577" i="9"/>
  <c r="Z1577" i="9"/>
  <c r="Y1577" i="9"/>
  <c r="X1577" i="9"/>
  <c r="W1577" i="9"/>
  <c r="U1577" i="9"/>
  <c r="AC1577" i="9" s="1"/>
  <c r="AI1576" i="9"/>
  <c r="AH1576" i="9"/>
  <c r="AG1576" i="9"/>
  <c r="AF1576" i="9"/>
  <c r="AE1576" i="9"/>
  <c r="AD1576" i="9"/>
  <c r="AC1576" i="9"/>
  <c r="AA1576" i="9"/>
  <c r="Z1576" i="9"/>
  <c r="Y1576" i="9"/>
  <c r="X1576" i="9"/>
  <c r="W1576" i="9"/>
  <c r="U1576" i="9"/>
  <c r="AI1575" i="9"/>
  <c r="AH1575" i="9"/>
  <c r="AG1575" i="9"/>
  <c r="AF1575" i="9"/>
  <c r="AE1575" i="9"/>
  <c r="AD1575" i="9"/>
  <c r="AC1575" i="9"/>
  <c r="AA1575" i="9"/>
  <c r="Z1575" i="9"/>
  <c r="Y1575" i="9"/>
  <c r="X1575" i="9"/>
  <c r="W1575" i="9"/>
  <c r="U1575" i="9"/>
  <c r="AI1574" i="9"/>
  <c r="AH1574" i="9"/>
  <c r="AG1574" i="9"/>
  <c r="AF1574" i="9"/>
  <c r="AE1574" i="9"/>
  <c r="AD1574" i="9"/>
  <c r="AA1574" i="9"/>
  <c r="Z1574" i="9"/>
  <c r="Y1574" i="9"/>
  <c r="X1574" i="9"/>
  <c r="W1574" i="9"/>
  <c r="U1574" i="9"/>
  <c r="AC1574" i="9" s="1"/>
  <c r="AI1573" i="9"/>
  <c r="AH1573" i="9"/>
  <c r="AG1573" i="9"/>
  <c r="AF1573" i="9"/>
  <c r="AE1573" i="9"/>
  <c r="AD1573" i="9"/>
  <c r="AA1573" i="9"/>
  <c r="Z1573" i="9"/>
  <c r="Y1573" i="9"/>
  <c r="X1573" i="9"/>
  <c r="W1573" i="9"/>
  <c r="U1573" i="9"/>
  <c r="AC1573" i="9" s="1"/>
  <c r="AI1572" i="9"/>
  <c r="AH1572" i="9"/>
  <c r="AG1572" i="9"/>
  <c r="AF1572" i="9"/>
  <c r="AE1572" i="9"/>
  <c r="AD1572" i="9"/>
  <c r="AA1572" i="9"/>
  <c r="Z1572" i="9"/>
  <c r="Y1572" i="9"/>
  <c r="X1572" i="9"/>
  <c r="W1572" i="9"/>
  <c r="U1572" i="9"/>
  <c r="AC1572" i="9" s="1"/>
  <c r="AI1571" i="9"/>
  <c r="AH1571" i="9"/>
  <c r="AG1571" i="9"/>
  <c r="AF1571" i="9"/>
  <c r="AE1571" i="9"/>
  <c r="AD1571" i="9"/>
  <c r="AC1571" i="9"/>
  <c r="AA1571" i="9"/>
  <c r="Z1571" i="9"/>
  <c r="Y1571" i="9"/>
  <c r="X1571" i="9"/>
  <c r="W1571" i="9"/>
  <c r="U1571" i="9"/>
  <c r="AI1570" i="9"/>
  <c r="AH1570" i="9"/>
  <c r="AG1570" i="9"/>
  <c r="AF1570" i="9"/>
  <c r="AE1570" i="9"/>
  <c r="AD1570" i="9"/>
  <c r="AA1570" i="9"/>
  <c r="Z1570" i="9"/>
  <c r="Y1570" i="9"/>
  <c r="X1570" i="9"/>
  <c r="W1570" i="9"/>
  <c r="U1570" i="9"/>
  <c r="AC1570" i="9" s="1"/>
  <c r="AI1569" i="9"/>
  <c r="AH1569" i="9"/>
  <c r="AG1569" i="9"/>
  <c r="AF1569" i="9"/>
  <c r="AE1569" i="9"/>
  <c r="AD1569" i="9"/>
  <c r="AA1569" i="9"/>
  <c r="Z1569" i="9"/>
  <c r="Y1569" i="9"/>
  <c r="X1569" i="9"/>
  <c r="W1569" i="9"/>
  <c r="U1569" i="9"/>
  <c r="AC1569" i="9" s="1"/>
  <c r="AI1568" i="9"/>
  <c r="AH1568" i="9"/>
  <c r="AG1568" i="9"/>
  <c r="AF1568" i="9"/>
  <c r="AE1568" i="9"/>
  <c r="AD1568" i="9"/>
  <c r="AC1568" i="9"/>
  <c r="AA1568" i="9"/>
  <c r="Z1568" i="9"/>
  <c r="Y1568" i="9"/>
  <c r="X1568" i="9"/>
  <c r="W1568" i="9"/>
  <c r="U1568" i="9"/>
  <c r="AI1567" i="9"/>
  <c r="AH1567" i="9"/>
  <c r="AG1567" i="9"/>
  <c r="AF1567" i="9"/>
  <c r="AE1567" i="9"/>
  <c r="AD1567" i="9"/>
  <c r="AC1567" i="9"/>
  <c r="AA1567" i="9"/>
  <c r="Z1567" i="9"/>
  <c r="Y1567" i="9"/>
  <c r="X1567" i="9"/>
  <c r="W1567" i="9"/>
  <c r="U1567" i="9"/>
  <c r="AI1566" i="9"/>
  <c r="AH1566" i="9"/>
  <c r="AG1566" i="9"/>
  <c r="AF1566" i="9"/>
  <c r="AE1566" i="9"/>
  <c r="AD1566" i="9"/>
  <c r="AC1566" i="9"/>
  <c r="AA1566" i="9"/>
  <c r="Z1566" i="9"/>
  <c r="Y1566" i="9"/>
  <c r="X1566" i="9"/>
  <c r="W1566" i="9"/>
  <c r="U1566" i="9"/>
  <c r="AI1565" i="9"/>
  <c r="AH1565" i="9"/>
  <c r="AG1565" i="9"/>
  <c r="AF1565" i="9"/>
  <c r="AE1565" i="9"/>
  <c r="AD1565" i="9"/>
  <c r="AA1565" i="9"/>
  <c r="Z1565" i="9"/>
  <c r="Y1565" i="9"/>
  <c r="X1565" i="9"/>
  <c r="W1565" i="9"/>
  <c r="U1565" i="9"/>
  <c r="AC1565" i="9" s="1"/>
  <c r="AI1564" i="9"/>
  <c r="AH1564" i="9"/>
  <c r="AG1564" i="9"/>
  <c r="AF1564" i="9"/>
  <c r="AE1564" i="9"/>
  <c r="AD1564" i="9"/>
  <c r="AC1564" i="9"/>
  <c r="AA1564" i="9"/>
  <c r="Z1564" i="9"/>
  <c r="Y1564" i="9"/>
  <c r="X1564" i="9"/>
  <c r="W1564" i="9"/>
  <c r="U1564" i="9"/>
  <c r="AI1563" i="9"/>
  <c r="AH1563" i="9"/>
  <c r="AG1563" i="9"/>
  <c r="AF1563" i="9"/>
  <c r="AE1563" i="9"/>
  <c r="AD1563" i="9"/>
  <c r="AC1563" i="9"/>
  <c r="AA1563" i="9"/>
  <c r="Z1563" i="9"/>
  <c r="Y1563" i="9"/>
  <c r="X1563" i="9"/>
  <c r="W1563" i="9"/>
  <c r="U1563" i="9"/>
  <c r="AI1562" i="9"/>
  <c r="AH1562" i="9"/>
  <c r="AG1562" i="9"/>
  <c r="AF1562" i="9"/>
  <c r="AE1562" i="9"/>
  <c r="AD1562" i="9"/>
  <c r="AA1562" i="9"/>
  <c r="Z1562" i="9"/>
  <c r="Y1562" i="9"/>
  <c r="X1562" i="9"/>
  <c r="W1562" i="9"/>
  <c r="U1562" i="9"/>
  <c r="AC1562" i="9" s="1"/>
  <c r="AI1561" i="9"/>
  <c r="AH1561" i="9"/>
  <c r="AG1561" i="9"/>
  <c r="AF1561" i="9"/>
  <c r="AE1561" i="9"/>
  <c r="AD1561" i="9"/>
  <c r="AA1561" i="9"/>
  <c r="Z1561" i="9"/>
  <c r="Y1561" i="9"/>
  <c r="X1561" i="9"/>
  <c r="W1561" i="9"/>
  <c r="U1561" i="9"/>
  <c r="AC1561" i="9" s="1"/>
  <c r="AI1560" i="9"/>
  <c r="AH1560" i="9"/>
  <c r="AG1560" i="9"/>
  <c r="AF1560" i="9"/>
  <c r="AE1560" i="9"/>
  <c r="AD1560" i="9"/>
  <c r="AA1560" i="9"/>
  <c r="Z1560" i="9"/>
  <c r="Y1560" i="9"/>
  <c r="X1560" i="9"/>
  <c r="W1560" i="9"/>
  <c r="U1560" i="9"/>
  <c r="AC1560" i="9" s="1"/>
  <c r="AI1559" i="9"/>
  <c r="AH1559" i="9"/>
  <c r="AG1559" i="9"/>
  <c r="AF1559" i="9"/>
  <c r="AE1559" i="9"/>
  <c r="AD1559" i="9"/>
  <c r="AA1559" i="9"/>
  <c r="Z1559" i="9"/>
  <c r="Y1559" i="9"/>
  <c r="X1559" i="9"/>
  <c r="W1559" i="9"/>
  <c r="U1559" i="9"/>
  <c r="AC1559" i="9" s="1"/>
  <c r="AI1558" i="9"/>
  <c r="AH1558" i="9"/>
  <c r="AG1558" i="9"/>
  <c r="AF1558" i="9"/>
  <c r="AE1558" i="9"/>
  <c r="AD1558" i="9"/>
  <c r="AA1558" i="9"/>
  <c r="Z1558" i="9"/>
  <c r="Y1558" i="9"/>
  <c r="X1558" i="9"/>
  <c r="W1558" i="9"/>
  <c r="U1558" i="9"/>
  <c r="AC1558" i="9" s="1"/>
  <c r="AI1557" i="9"/>
  <c r="AH1557" i="9"/>
  <c r="AG1557" i="9"/>
  <c r="AF1557" i="9"/>
  <c r="AE1557" i="9"/>
  <c r="AD1557" i="9"/>
  <c r="AA1557" i="9"/>
  <c r="Z1557" i="9"/>
  <c r="Y1557" i="9"/>
  <c r="X1557" i="9"/>
  <c r="W1557" i="9"/>
  <c r="U1557" i="9"/>
  <c r="AC1557" i="9" s="1"/>
  <c r="AI1556" i="9"/>
  <c r="AH1556" i="9"/>
  <c r="AG1556" i="9"/>
  <c r="AF1556" i="9"/>
  <c r="AE1556" i="9"/>
  <c r="AD1556" i="9"/>
  <c r="AC1556" i="9"/>
  <c r="AA1556" i="9"/>
  <c r="Z1556" i="9"/>
  <c r="Y1556" i="9"/>
  <c r="X1556" i="9"/>
  <c r="W1556" i="9"/>
  <c r="U1556" i="9"/>
  <c r="AI1555" i="9"/>
  <c r="AH1555" i="9"/>
  <c r="AG1555" i="9"/>
  <c r="AF1555" i="9"/>
  <c r="AE1555" i="9"/>
  <c r="AD1555" i="9"/>
  <c r="AC1555" i="9"/>
  <c r="AA1555" i="9"/>
  <c r="Z1555" i="9"/>
  <c r="Y1555" i="9"/>
  <c r="X1555" i="9"/>
  <c r="W1555" i="9"/>
  <c r="U1555" i="9"/>
  <c r="AI1554" i="9"/>
  <c r="AH1554" i="9"/>
  <c r="AG1554" i="9"/>
  <c r="AF1554" i="9"/>
  <c r="AE1554" i="9"/>
  <c r="AD1554" i="9"/>
  <c r="AC1554" i="9"/>
  <c r="AA1554" i="9"/>
  <c r="Z1554" i="9"/>
  <c r="Y1554" i="9"/>
  <c r="X1554" i="9"/>
  <c r="W1554" i="9"/>
  <c r="U1554" i="9"/>
  <c r="AI1553" i="9"/>
  <c r="AH1553" i="9"/>
  <c r="AG1553" i="9"/>
  <c r="AF1553" i="9"/>
  <c r="AE1553" i="9"/>
  <c r="AD1553" i="9"/>
  <c r="AA1553" i="9"/>
  <c r="Z1553" i="9"/>
  <c r="Y1553" i="9"/>
  <c r="X1553" i="9"/>
  <c r="W1553" i="9"/>
  <c r="U1553" i="9"/>
  <c r="AC1553" i="9" s="1"/>
  <c r="AI1552" i="9"/>
  <c r="AH1552" i="9"/>
  <c r="AG1552" i="9"/>
  <c r="AF1552" i="9"/>
  <c r="AE1552" i="9"/>
  <c r="AD1552" i="9"/>
  <c r="AC1552" i="9"/>
  <c r="AA1552" i="9"/>
  <c r="Z1552" i="9"/>
  <c r="Y1552" i="9"/>
  <c r="X1552" i="9"/>
  <c r="W1552" i="9"/>
  <c r="U1552" i="9"/>
  <c r="AI1551" i="9"/>
  <c r="AH1551" i="9"/>
  <c r="AG1551" i="9"/>
  <c r="AF1551" i="9"/>
  <c r="AE1551" i="9"/>
  <c r="AD1551" i="9"/>
  <c r="AC1551" i="9"/>
  <c r="AA1551" i="9"/>
  <c r="Z1551" i="9"/>
  <c r="Y1551" i="9"/>
  <c r="X1551" i="9"/>
  <c r="W1551" i="9"/>
  <c r="U1551" i="9"/>
  <c r="AI1550" i="9"/>
  <c r="AH1550" i="9"/>
  <c r="AG1550" i="9"/>
  <c r="AF1550" i="9"/>
  <c r="AE1550" i="9"/>
  <c r="AD1550" i="9"/>
  <c r="AA1550" i="9"/>
  <c r="Z1550" i="9"/>
  <c r="Y1550" i="9"/>
  <c r="X1550" i="9"/>
  <c r="W1550" i="9"/>
  <c r="U1550" i="9"/>
  <c r="AC1550" i="9" s="1"/>
  <c r="AI1549" i="9"/>
  <c r="AH1549" i="9"/>
  <c r="AG1549" i="9"/>
  <c r="AF1549" i="9"/>
  <c r="AE1549" i="9"/>
  <c r="AD1549" i="9"/>
  <c r="AA1549" i="9"/>
  <c r="Z1549" i="9"/>
  <c r="Y1549" i="9"/>
  <c r="X1549" i="9"/>
  <c r="W1549" i="9"/>
  <c r="U1549" i="9"/>
  <c r="AC1549" i="9" s="1"/>
  <c r="AI1548" i="9"/>
  <c r="AH1548" i="9"/>
  <c r="AG1548" i="9"/>
  <c r="AF1548" i="9"/>
  <c r="AE1548" i="9"/>
  <c r="AD1548" i="9"/>
  <c r="AA1548" i="9"/>
  <c r="Z1548" i="9"/>
  <c r="Y1548" i="9"/>
  <c r="X1548" i="9"/>
  <c r="W1548" i="9"/>
  <c r="U1548" i="9"/>
  <c r="AC1548" i="9" s="1"/>
  <c r="AI1547" i="9"/>
  <c r="AH1547" i="9"/>
  <c r="AG1547" i="9"/>
  <c r="AF1547" i="9"/>
  <c r="AE1547" i="9"/>
  <c r="AD1547" i="9"/>
  <c r="AC1547" i="9"/>
  <c r="AA1547" i="9"/>
  <c r="Z1547" i="9"/>
  <c r="Y1547" i="9"/>
  <c r="X1547" i="9"/>
  <c r="W1547" i="9"/>
  <c r="U1547" i="9"/>
  <c r="AI1546" i="9"/>
  <c r="AH1546" i="9"/>
  <c r="AG1546" i="9"/>
  <c r="AF1546" i="9"/>
  <c r="AE1546" i="9"/>
  <c r="AD1546" i="9"/>
  <c r="AA1546" i="9"/>
  <c r="Z1546" i="9"/>
  <c r="Y1546" i="9"/>
  <c r="X1546" i="9"/>
  <c r="W1546" i="9"/>
  <c r="U1546" i="9"/>
  <c r="AC1546" i="9" s="1"/>
  <c r="AI1545" i="9"/>
  <c r="AH1545" i="9"/>
  <c r="AG1545" i="9"/>
  <c r="AF1545" i="9"/>
  <c r="AE1545" i="9"/>
  <c r="AD1545" i="9"/>
  <c r="AA1545" i="9"/>
  <c r="Z1545" i="9"/>
  <c r="Y1545" i="9"/>
  <c r="X1545" i="9"/>
  <c r="W1545" i="9"/>
  <c r="U1545" i="9"/>
  <c r="AC1545" i="9" s="1"/>
  <c r="AI1544" i="9"/>
  <c r="AH1544" i="9"/>
  <c r="AG1544" i="9"/>
  <c r="AF1544" i="9"/>
  <c r="AE1544" i="9"/>
  <c r="AD1544" i="9"/>
  <c r="AC1544" i="9"/>
  <c r="AA1544" i="9"/>
  <c r="Z1544" i="9"/>
  <c r="Y1544" i="9"/>
  <c r="X1544" i="9"/>
  <c r="W1544" i="9"/>
  <c r="U1544" i="9"/>
  <c r="AI1543" i="9"/>
  <c r="AH1543" i="9"/>
  <c r="AG1543" i="9"/>
  <c r="AF1543" i="9"/>
  <c r="AE1543" i="9"/>
  <c r="AD1543" i="9"/>
  <c r="AC1543" i="9"/>
  <c r="AA1543" i="9"/>
  <c r="Z1543" i="9"/>
  <c r="Y1543" i="9"/>
  <c r="X1543" i="9"/>
  <c r="W1543" i="9"/>
  <c r="U1543" i="9"/>
  <c r="AI1542" i="9"/>
  <c r="AH1542" i="9"/>
  <c r="AG1542" i="9"/>
  <c r="AF1542" i="9"/>
  <c r="AE1542" i="9"/>
  <c r="AD1542" i="9"/>
  <c r="AC1542" i="9"/>
  <c r="AA1542" i="9"/>
  <c r="Z1542" i="9"/>
  <c r="Y1542" i="9"/>
  <c r="X1542" i="9"/>
  <c r="W1542" i="9"/>
  <c r="U1542" i="9"/>
  <c r="AI1541" i="9"/>
  <c r="AH1541" i="9"/>
  <c r="AG1541" i="9"/>
  <c r="AF1541" i="9"/>
  <c r="AE1541" i="9"/>
  <c r="AD1541" i="9"/>
  <c r="AA1541" i="9"/>
  <c r="Z1541" i="9"/>
  <c r="Y1541" i="9"/>
  <c r="X1541" i="9"/>
  <c r="W1541" i="9"/>
  <c r="U1541" i="9"/>
  <c r="AC1541" i="9" s="1"/>
  <c r="AI1540" i="9"/>
  <c r="AH1540" i="9"/>
  <c r="AG1540" i="9"/>
  <c r="AF1540" i="9"/>
  <c r="AE1540" i="9"/>
  <c r="AD1540" i="9"/>
  <c r="AC1540" i="9"/>
  <c r="AA1540" i="9"/>
  <c r="Z1540" i="9"/>
  <c r="Y1540" i="9"/>
  <c r="X1540" i="9"/>
  <c r="W1540" i="9"/>
  <c r="U1540" i="9"/>
  <c r="AI1539" i="9"/>
  <c r="AH1539" i="9"/>
  <c r="AG1539" i="9"/>
  <c r="AF1539" i="9"/>
  <c r="AE1539" i="9"/>
  <c r="AD1539" i="9"/>
  <c r="AC1539" i="9"/>
  <c r="AA1539" i="9"/>
  <c r="Z1539" i="9"/>
  <c r="Y1539" i="9"/>
  <c r="X1539" i="9"/>
  <c r="W1539" i="9"/>
  <c r="U1539" i="9"/>
  <c r="AI1538" i="9"/>
  <c r="AH1538" i="9"/>
  <c r="AG1538" i="9"/>
  <c r="AF1538" i="9"/>
  <c r="AE1538" i="9"/>
  <c r="AD1538" i="9"/>
  <c r="AA1538" i="9"/>
  <c r="Z1538" i="9"/>
  <c r="Y1538" i="9"/>
  <c r="X1538" i="9"/>
  <c r="W1538" i="9"/>
  <c r="U1538" i="9"/>
  <c r="AC1538" i="9" s="1"/>
  <c r="AI1537" i="9"/>
  <c r="AH1537" i="9"/>
  <c r="AG1537" i="9"/>
  <c r="AF1537" i="9"/>
  <c r="AE1537" i="9"/>
  <c r="AD1537" i="9"/>
  <c r="AA1537" i="9"/>
  <c r="Z1537" i="9"/>
  <c r="Y1537" i="9"/>
  <c r="X1537" i="9"/>
  <c r="W1537" i="9"/>
  <c r="U1537" i="9"/>
  <c r="AC1537" i="9" s="1"/>
  <c r="AI1536" i="9"/>
  <c r="AH1536" i="9"/>
  <c r="AG1536" i="9"/>
  <c r="AF1536" i="9"/>
  <c r="AE1536" i="9"/>
  <c r="AD1536" i="9"/>
  <c r="AA1536" i="9"/>
  <c r="Z1536" i="9"/>
  <c r="Y1536" i="9"/>
  <c r="X1536" i="9"/>
  <c r="W1536" i="9"/>
  <c r="U1536" i="9"/>
  <c r="AC1536" i="9" s="1"/>
  <c r="AI1535" i="9"/>
  <c r="AH1535" i="9"/>
  <c r="AG1535" i="9"/>
  <c r="AF1535" i="9"/>
  <c r="AE1535" i="9"/>
  <c r="AD1535" i="9"/>
  <c r="AA1535" i="9"/>
  <c r="Z1535" i="9"/>
  <c r="Y1535" i="9"/>
  <c r="X1535" i="9"/>
  <c r="W1535" i="9"/>
  <c r="U1535" i="9"/>
  <c r="AC1535" i="9" s="1"/>
  <c r="AI1534" i="9"/>
  <c r="AH1534" i="9"/>
  <c r="AG1534" i="9"/>
  <c r="AF1534" i="9"/>
  <c r="AE1534" i="9"/>
  <c r="AD1534" i="9"/>
  <c r="AA1534" i="9"/>
  <c r="Z1534" i="9"/>
  <c r="Y1534" i="9"/>
  <c r="X1534" i="9"/>
  <c r="W1534" i="9"/>
  <c r="U1534" i="9"/>
  <c r="AC1534" i="9" s="1"/>
  <c r="AI1533" i="9"/>
  <c r="AH1533" i="9"/>
  <c r="AG1533" i="9"/>
  <c r="AF1533" i="9"/>
  <c r="AE1533" i="9"/>
  <c r="AD1533" i="9"/>
  <c r="AC1533" i="9"/>
  <c r="AA1533" i="9"/>
  <c r="Z1533" i="9"/>
  <c r="Y1533" i="9"/>
  <c r="X1533" i="9"/>
  <c r="W1533" i="9"/>
  <c r="U1533" i="9"/>
  <c r="AI1532" i="9"/>
  <c r="AH1532" i="9"/>
  <c r="AG1532" i="9"/>
  <c r="AF1532" i="9"/>
  <c r="AE1532" i="9"/>
  <c r="AD1532" i="9"/>
  <c r="AC1532" i="9"/>
  <c r="AA1532" i="9"/>
  <c r="Z1532" i="9"/>
  <c r="Y1532" i="9"/>
  <c r="X1532" i="9"/>
  <c r="W1532" i="9"/>
  <c r="U1532" i="9"/>
  <c r="AI1531" i="9"/>
  <c r="AH1531" i="9"/>
  <c r="AG1531" i="9"/>
  <c r="AF1531" i="9"/>
  <c r="AE1531" i="9"/>
  <c r="AD1531" i="9"/>
  <c r="AC1531" i="9"/>
  <c r="AA1531" i="9"/>
  <c r="Z1531" i="9"/>
  <c r="Y1531" i="9"/>
  <c r="X1531" i="9"/>
  <c r="W1531" i="9"/>
  <c r="U1531" i="9"/>
  <c r="AI1530" i="9"/>
  <c r="AH1530" i="9"/>
  <c r="AG1530" i="9"/>
  <c r="AF1530" i="9"/>
  <c r="AE1530" i="9"/>
  <c r="AD1530" i="9"/>
  <c r="AC1530" i="9"/>
  <c r="AA1530" i="9"/>
  <c r="Z1530" i="9"/>
  <c r="Y1530" i="9"/>
  <c r="X1530" i="9"/>
  <c r="W1530" i="9"/>
  <c r="U1530" i="9"/>
  <c r="AI1529" i="9"/>
  <c r="AH1529" i="9"/>
  <c r="AG1529" i="9"/>
  <c r="AF1529" i="9"/>
  <c r="AE1529" i="9"/>
  <c r="AD1529" i="9"/>
  <c r="AC1529" i="9"/>
  <c r="AA1529" i="9"/>
  <c r="Z1529" i="9"/>
  <c r="Y1529" i="9"/>
  <c r="X1529" i="9"/>
  <c r="W1529" i="9"/>
  <c r="U1529" i="9"/>
  <c r="AI1528" i="9"/>
  <c r="AH1528" i="9"/>
  <c r="AG1528" i="9"/>
  <c r="AF1528" i="9"/>
  <c r="AE1528" i="9"/>
  <c r="AD1528" i="9"/>
  <c r="AC1528" i="9"/>
  <c r="AA1528" i="9"/>
  <c r="Z1528" i="9"/>
  <c r="Y1528" i="9"/>
  <c r="X1528" i="9"/>
  <c r="W1528" i="9"/>
  <c r="U1528" i="9"/>
  <c r="AI1527" i="9"/>
  <c r="AH1527" i="9"/>
  <c r="AG1527" i="9"/>
  <c r="AF1527" i="9"/>
  <c r="AE1527" i="9"/>
  <c r="AD1527" i="9"/>
  <c r="AA1527" i="9"/>
  <c r="Z1527" i="9"/>
  <c r="Y1527" i="9"/>
  <c r="X1527" i="9"/>
  <c r="W1527" i="9"/>
  <c r="U1527" i="9"/>
  <c r="AC1527" i="9" s="1"/>
  <c r="AI1526" i="9"/>
  <c r="AH1526" i="9"/>
  <c r="AG1526" i="9"/>
  <c r="AF1526" i="9"/>
  <c r="AE1526" i="9"/>
  <c r="AD1526" i="9"/>
  <c r="AA1526" i="9"/>
  <c r="Z1526" i="9"/>
  <c r="Y1526" i="9"/>
  <c r="X1526" i="9"/>
  <c r="W1526" i="9"/>
  <c r="U1526" i="9"/>
  <c r="AC1526" i="9" s="1"/>
  <c r="AI1525" i="9"/>
  <c r="AH1525" i="9"/>
  <c r="AG1525" i="9"/>
  <c r="AF1525" i="9"/>
  <c r="AE1525" i="9"/>
  <c r="AD1525" i="9"/>
  <c r="AA1525" i="9"/>
  <c r="Z1525" i="9"/>
  <c r="Y1525" i="9"/>
  <c r="X1525" i="9"/>
  <c r="W1525" i="9"/>
  <c r="U1525" i="9"/>
  <c r="AC1525" i="9" s="1"/>
  <c r="AI1524" i="9"/>
  <c r="AH1524" i="9"/>
  <c r="AG1524" i="9"/>
  <c r="AF1524" i="9"/>
  <c r="AE1524" i="9"/>
  <c r="AD1524" i="9"/>
  <c r="AA1524" i="9"/>
  <c r="Z1524" i="9"/>
  <c r="Y1524" i="9"/>
  <c r="X1524" i="9"/>
  <c r="W1524" i="9"/>
  <c r="U1524" i="9"/>
  <c r="AC1524" i="9" s="1"/>
  <c r="AI1523" i="9"/>
  <c r="AH1523" i="9"/>
  <c r="AG1523" i="9"/>
  <c r="AF1523" i="9"/>
  <c r="AE1523" i="9"/>
  <c r="AD1523" i="9"/>
  <c r="AC1523" i="9"/>
  <c r="AA1523" i="9"/>
  <c r="Z1523" i="9"/>
  <c r="Y1523" i="9"/>
  <c r="X1523" i="9"/>
  <c r="W1523" i="9"/>
  <c r="U1523" i="9"/>
  <c r="AI1522" i="9"/>
  <c r="AH1522" i="9"/>
  <c r="AG1522" i="9"/>
  <c r="AF1522" i="9"/>
  <c r="AE1522" i="9"/>
  <c r="AD1522" i="9"/>
  <c r="AA1522" i="9"/>
  <c r="Z1522" i="9"/>
  <c r="Y1522" i="9"/>
  <c r="X1522" i="9"/>
  <c r="W1522" i="9"/>
  <c r="U1522" i="9"/>
  <c r="AC1522" i="9" s="1"/>
  <c r="AI1521" i="9"/>
  <c r="AH1521" i="9"/>
  <c r="AG1521" i="9"/>
  <c r="AF1521" i="9"/>
  <c r="AE1521" i="9"/>
  <c r="AD1521" i="9"/>
  <c r="AA1521" i="9"/>
  <c r="Z1521" i="9"/>
  <c r="Y1521" i="9"/>
  <c r="X1521" i="9"/>
  <c r="W1521" i="9"/>
  <c r="U1521" i="9"/>
  <c r="AC1521" i="9" s="1"/>
  <c r="AI1520" i="9"/>
  <c r="AH1520" i="9"/>
  <c r="AG1520" i="9"/>
  <c r="AF1520" i="9"/>
  <c r="AE1520" i="9"/>
  <c r="AD1520" i="9"/>
  <c r="AC1520" i="9"/>
  <c r="AA1520" i="9"/>
  <c r="Z1520" i="9"/>
  <c r="Y1520" i="9"/>
  <c r="X1520" i="9"/>
  <c r="W1520" i="9"/>
  <c r="U1520" i="9"/>
  <c r="AI1519" i="9"/>
  <c r="AH1519" i="9"/>
  <c r="AG1519" i="9"/>
  <c r="AF1519" i="9"/>
  <c r="AE1519" i="9"/>
  <c r="AD1519" i="9"/>
  <c r="AC1519" i="9"/>
  <c r="AA1519" i="9"/>
  <c r="Z1519" i="9"/>
  <c r="Y1519" i="9"/>
  <c r="X1519" i="9"/>
  <c r="W1519" i="9"/>
  <c r="U1519" i="9"/>
  <c r="AI1518" i="9"/>
  <c r="AH1518" i="9"/>
  <c r="AG1518" i="9"/>
  <c r="AF1518" i="9"/>
  <c r="AE1518" i="9"/>
  <c r="AD1518" i="9"/>
  <c r="AC1518" i="9"/>
  <c r="AA1518" i="9"/>
  <c r="Z1518" i="9"/>
  <c r="Y1518" i="9"/>
  <c r="X1518" i="9"/>
  <c r="W1518" i="9"/>
  <c r="U1518" i="9"/>
  <c r="AI1517" i="9"/>
  <c r="AH1517" i="9"/>
  <c r="AG1517" i="9"/>
  <c r="AF1517" i="9"/>
  <c r="AE1517" i="9"/>
  <c r="AD1517" i="9"/>
  <c r="AC1517" i="9"/>
  <c r="AA1517" i="9"/>
  <c r="Z1517" i="9"/>
  <c r="Y1517" i="9"/>
  <c r="X1517" i="9"/>
  <c r="W1517" i="9"/>
  <c r="U1517" i="9"/>
  <c r="AI1516" i="9"/>
  <c r="AH1516" i="9"/>
  <c r="AG1516" i="9"/>
  <c r="AF1516" i="9"/>
  <c r="AE1516" i="9"/>
  <c r="AD1516" i="9"/>
  <c r="AA1516" i="9"/>
  <c r="Z1516" i="9"/>
  <c r="Y1516" i="9"/>
  <c r="X1516" i="9"/>
  <c r="W1516" i="9"/>
  <c r="U1516" i="9"/>
  <c r="AC1516" i="9" s="1"/>
  <c r="AI1515" i="9"/>
  <c r="AH1515" i="9"/>
  <c r="AG1515" i="9"/>
  <c r="AF1515" i="9"/>
  <c r="AE1515" i="9"/>
  <c r="AD1515" i="9"/>
  <c r="AC1515" i="9"/>
  <c r="AA1515" i="9"/>
  <c r="Z1515" i="9"/>
  <c r="Y1515" i="9"/>
  <c r="X1515" i="9"/>
  <c r="W1515" i="9"/>
  <c r="U1515" i="9"/>
  <c r="AI1514" i="9"/>
  <c r="AH1514" i="9"/>
  <c r="AG1514" i="9"/>
  <c r="AF1514" i="9"/>
  <c r="AE1514" i="9"/>
  <c r="AD1514" i="9"/>
  <c r="AA1514" i="9"/>
  <c r="Z1514" i="9"/>
  <c r="Y1514" i="9"/>
  <c r="X1514" i="9"/>
  <c r="W1514" i="9"/>
  <c r="U1514" i="9"/>
  <c r="AC1514" i="9" s="1"/>
  <c r="AI1513" i="9"/>
  <c r="AH1513" i="9"/>
  <c r="AG1513" i="9"/>
  <c r="AF1513" i="9"/>
  <c r="AE1513" i="9"/>
  <c r="AD1513" i="9"/>
  <c r="AA1513" i="9"/>
  <c r="Z1513" i="9"/>
  <c r="Y1513" i="9"/>
  <c r="X1513" i="9"/>
  <c r="W1513" i="9"/>
  <c r="U1513" i="9"/>
  <c r="AC1513" i="9" s="1"/>
  <c r="AI1512" i="9"/>
  <c r="AH1512" i="9"/>
  <c r="AG1512" i="9"/>
  <c r="AF1512" i="9"/>
  <c r="AE1512" i="9"/>
  <c r="AD1512" i="9"/>
  <c r="AC1512" i="9"/>
  <c r="AA1512" i="9"/>
  <c r="Z1512" i="9"/>
  <c r="Y1512" i="9"/>
  <c r="X1512" i="9"/>
  <c r="W1512" i="9"/>
  <c r="U1512" i="9"/>
  <c r="AI1511" i="9"/>
  <c r="AH1511" i="9"/>
  <c r="AG1511" i="9"/>
  <c r="AF1511" i="9"/>
  <c r="AE1511" i="9"/>
  <c r="AD1511" i="9"/>
  <c r="AC1511" i="9"/>
  <c r="AA1511" i="9"/>
  <c r="Z1511" i="9"/>
  <c r="Y1511" i="9"/>
  <c r="X1511" i="9"/>
  <c r="W1511" i="9"/>
  <c r="U1511" i="9"/>
  <c r="AI1510" i="9"/>
  <c r="AH1510" i="9"/>
  <c r="AG1510" i="9"/>
  <c r="AF1510" i="9"/>
  <c r="AE1510" i="9"/>
  <c r="AD1510" i="9"/>
  <c r="AC1510" i="9"/>
  <c r="AA1510" i="9"/>
  <c r="Z1510" i="9"/>
  <c r="Y1510" i="9"/>
  <c r="X1510" i="9"/>
  <c r="W1510" i="9"/>
  <c r="U1510" i="9"/>
  <c r="AI1509" i="9"/>
  <c r="AH1509" i="9"/>
  <c r="AG1509" i="9"/>
  <c r="AF1509" i="9"/>
  <c r="AE1509" i="9"/>
  <c r="AD1509" i="9"/>
  <c r="AA1509" i="9"/>
  <c r="Z1509" i="9"/>
  <c r="Y1509" i="9"/>
  <c r="X1509" i="9"/>
  <c r="W1509" i="9"/>
  <c r="U1509" i="9"/>
  <c r="AC1509" i="9" s="1"/>
  <c r="AI1508" i="9"/>
  <c r="AH1508" i="9"/>
  <c r="AG1508" i="9"/>
  <c r="AF1508" i="9"/>
  <c r="AE1508" i="9"/>
  <c r="AD1508" i="9"/>
  <c r="AC1508" i="9"/>
  <c r="AA1508" i="9"/>
  <c r="Z1508" i="9"/>
  <c r="Y1508" i="9"/>
  <c r="X1508" i="9"/>
  <c r="W1508" i="9"/>
  <c r="U1508" i="9"/>
  <c r="AI1507" i="9"/>
  <c r="AH1507" i="9"/>
  <c r="AG1507" i="9"/>
  <c r="AF1507" i="9"/>
  <c r="AE1507" i="9"/>
  <c r="AD1507" i="9"/>
  <c r="AC1507" i="9"/>
  <c r="AA1507" i="9"/>
  <c r="Z1507" i="9"/>
  <c r="Y1507" i="9"/>
  <c r="X1507" i="9"/>
  <c r="W1507" i="9"/>
  <c r="U1507" i="9"/>
  <c r="AI1506" i="9"/>
  <c r="AH1506" i="9"/>
  <c r="AG1506" i="9"/>
  <c r="AF1506" i="9"/>
  <c r="AE1506" i="9"/>
  <c r="AD1506" i="9"/>
  <c r="AA1506" i="9"/>
  <c r="Z1506" i="9"/>
  <c r="Y1506" i="9"/>
  <c r="X1506" i="9"/>
  <c r="W1506" i="9"/>
  <c r="U1506" i="9"/>
  <c r="AC1506" i="9" s="1"/>
  <c r="AI1505" i="9"/>
  <c r="AH1505" i="9"/>
  <c r="AG1505" i="9"/>
  <c r="AF1505" i="9"/>
  <c r="AE1505" i="9"/>
  <c r="AD1505" i="9"/>
  <c r="AA1505" i="9"/>
  <c r="Z1505" i="9"/>
  <c r="Y1505" i="9"/>
  <c r="X1505" i="9"/>
  <c r="W1505" i="9"/>
  <c r="U1505" i="9"/>
  <c r="AC1505" i="9" s="1"/>
  <c r="AI1504" i="9"/>
  <c r="AH1504" i="9"/>
  <c r="AG1504" i="9"/>
  <c r="AF1504" i="9"/>
  <c r="AE1504" i="9"/>
  <c r="AD1504" i="9"/>
  <c r="AA1504" i="9"/>
  <c r="Z1504" i="9"/>
  <c r="Y1504" i="9"/>
  <c r="X1504" i="9"/>
  <c r="W1504" i="9"/>
  <c r="U1504" i="9"/>
  <c r="AC1504" i="9" s="1"/>
  <c r="AI1503" i="9"/>
  <c r="AH1503" i="9"/>
  <c r="AG1503" i="9"/>
  <c r="AF1503" i="9"/>
  <c r="AE1503" i="9"/>
  <c r="AD1503" i="9"/>
  <c r="AC1503" i="9"/>
  <c r="AA1503" i="9"/>
  <c r="Z1503" i="9"/>
  <c r="Y1503" i="9"/>
  <c r="X1503" i="9"/>
  <c r="W1503" i="9"/>
  <c r="U1503" i="9"/>
  <c r="AI1502" i="9"/>
  <c r="AH1502" i="9"/>
  <c r="AG1502" i="9"/>
  <c r="AF1502" i="9"/>
  <c r="AE1502" i="9"/>
  <c r="AD1502" i="9"/>
  <c r="AA1502" i="9"/>
  <c r="Z1502" i="9"/>
  <c r="Y1502" i="9"/>
  <c r="X1502" i="9"/>
  <c r="W1502" i="9"/>
  <c r="U1502" i="9"/>
  <c r="AC1502" i="9" s="1"/>
  <c r="AI1501" i="9"/>
  <c r="AH1501" i="9"/>
  <c r="AG1501" i="9"/>
  <c r="AF1501" i="9"/>
  <c r="AE1501" i="9"/>
  <c r="AD1501" i="9"/>
  <c r="AC1501" i="9"/>
  <c r="AA1501" i="9"/>
  <c r="Z1501" i="9"/>
  <c r="Y1501" i="9"/>
  <c r="X1501" i="9"/>
  <c r="W1501" i="9"/>
  <c r="U1501" i="9"/>
  <c r="AI1500" i="9"/>
  <c r="AH1500" i="9"/>
  <c r="AG1500" i="9"/>
  <c r="AF1500" i="9"/>
  <c r="AE1500" i="9"/>
  <c r="AD1500" i="9"/>
  <c r="AC1500" i="9"/>
  <c r="AA1500" i="9"/>
  <c r="Z1500" i="9"/>
  <c r="Y1500" i="9"/>
  <c r="X1500" i="9"/>
  <c r="W1500" i="9"/>
  <c r="U1500" i="9"/>
  <c r="AI1499" i="9"/>
  <c r="AH1499" i="9"/>
  <c r="AG1499" i="9"/>
  <c r="AF1499" i="9"/>
  <c r="AE1499" i="9"/>
  <c r="AD1499" i="9"/>
  <c r="AC1499" i="9"/>
  <c r="AA1499" i="9"/>
  <c r="Z1499" i="9"/>
  <c r="Y1499" i="9"/>
  <c r="X1499" i="9"/>
  <c r="W1499" i="9"/>
  <c r="U1499" i="9"/>
  <c r="AI1498" i="9"/>
  <c r="AH1498" i="9"/>
  <c r="AG1498" i="9"/>
  <c r="AF1498" i="9"/>
  <c r="AE1498" i="9"/>
  <c r="AD1498" i="9"/>
  <c r="AC1498" i="9"/>
  <c r="AA1498" i="9"/>
  <c r="Z1498" i="9"/>
  <c r="Y1498" i="9"/>
  <c r="X1498" i="9"/>
  <c r="W1498" i="9"/>
  <c r="U1498" i="9"/>
  <c r="AI1497" i="9"/>
  <c r="AH1497" i="9"/>
  <c r="AG1497" i="9"/>
  <c r="AF1497" i="9"/>
  <c r="AE1497" i="9"/>
  <c r="AD1497" i="9"/>
  <c r="AA1497" i="9"/>
  <c r="Z1497" i="9"/>
  <c r="Y1497" i="9"/>
  <c r="X1497" i="9"/>
  <c r="W1497" i="9"/>
  <c r="U1497" i="9"/>
  <c r="AC1497" i="9" s="1"/>
  <c r="AI1496" i="9"/>
  <c r="AH1496" i="9"/>
  <c r="AG1496" i="9"/>
  <c r="AF1496" i="9"/>
  <c r="AE1496" i="9"/>
  <c r="AD1496" i="9"/>
  <c r="AC1496" i="9"/>
  <c r="AA1496" i="9"/>
  <c r="Z1496" i="9"/>
  <c r="Y1496" i="9"/>
  <c r="X1496" i="9"/>
  <c r="W1496" i="9"/>
  <c r="U1496" i="9"/>
  <c r="AI1495" i="9"/>
  <c r="AH1495" i="9"/>
  <c r="AG1495" i="9"/>
  <c r="AF1495" i="9"/>
  <c r="AE1495" i="9"/>
  <c r="AD1495" i="9"/>
  <c r="AA1495" i="9"/>
  <c r="Z1495" i="9"/>
  <c r="Y1495" i="9"/>
  <c r="X1495" i="9"/>
  <c r="W1495" i="9"/>
  <c r="U1495" i="9"/>
  <c r="AC1495" i="9" s="1"/>
  <c r="AI1494" i="9"/>
  <c r="AH1494" i="9"/>
  <c r="AG1494" i="9"/>
  <c r="AF1494" i="9"/>
  <c r="AE1494" i="9"/>
  <c r="AD1494" i="9"/>
  <c r="AA1494" i="9"/>
  <c r="Z1494" i="9"/>
  <c r="Y1494" i="9"/>
  <c r="X1494" i="9"/>
  <c r="W1494" i="9"/>
  <c r="U1494" i="9"/>
  <c r="AC1494" i="9" s="1"/>
  <c r="AI1493" i="9"/>
  <c r="AH1493" i="9"/>
  <c r="AG1493" i="9"/>
  <c r="AF1493" i="9"/>
  <c r="AE1493" i="9"/>
  <c r="AD1493" i="9"/>
  <c r="AA1493" i="9"/>
  <c r="Z1493" i="9"/>
  <c r="Y1493" i="9"/>
  <c r="X1493" i="9"/>
  <c r="W1493" i="9"/>
  <c r="U1493" i="9"/>
  <c r="AC1493" i="9" s="1"/>
  <c r="AI1492" i="9"/>
  <c r="AH1492" i="9"/>
  <c r="AG1492" i="9"/>
  <c r="AF1492" i="9"/>
  <c r="AE1492" i="9"/>
  <c r="AD1492" i="9"/>
  <c r="AA1492" i="9"/>
  <c r="Z1492" i="9"/>
  <c r="Y1492" i="9"/>
  <c r="X1492" i="9"/>
  <c r="W1492" i="9"/>
  <c r="U1492" i="9"/>
  <c r="AC1492" i="9" s="1"/>
  <c r="AI1491" i="9"/>
  <c r="AH1491" i="9"/>
  <c r="AG1491" i="9"/>
  <c r="AF1491" i="9"/>
  <c r="AE1491" i="9"/>
  <c r="AD1491" i="9"/>
  <c r="AC1491" i="9"/>
  <c r="AA1491" i="9"/>
  <c r="Z1491" i="9"/>
  <c r="Y1491" i="9"/>
  <c r="X1491" i="9"/>
  <c r="W1491" i="9"/>
  <c r="U1491" i="9"/>
  <c r="AI1490" i="9"/>
  <c r="AH1490" i="9"/>
  <c r="AG1490" i="9"/>
  <c r="AF1490" i="9"/>
  <c r="AE1490" i="9"/>
  <c r="AD1490" i="9"/>
  <c r="AA1490" i="9"/>
  <c r="Z1490" i="9"/>
  <c r="Y1490" i="9"/>
  <c r="X1490" i="9"/>
  <c r="W1490" i="9"/>
  <c r="U1490" i="9"/>
  <c r="AC1490" i="9" s="1"/>
  <c r="AI1489" i="9"/>
  <c r="AH1489" i="9"/>
  <c r="AG1489" i="9"/>
  <c r="AF1489" i="9"/>
  <c r="AE1489" i="9"/>
  <c r="AD1489" i="9"/>
  <c r="AC1489" i="9"/>
  <c r="AA1489" i="9"/>
  <c r="Z1489" i="9"/>
  <c r="Y1489" i="9"/>
  <c r="X1489" i="9"/>
  <c r="W1489" i="9"/>
  <c r="U1489" i="9"/>
  <c r="AI1488" i="9"/>
  <c r="AH1488" i="9"/>
  <c r="AG1488" i="9"/>
  <c r="AF1488" i="9"/>
  <c r="AE1488" i="9"/>
  <c r="AD1488" i="9"/>
  <c r="AC1488" i="9"/>
  <c r="AA1488" i="9"/>
  <c r="Z1488" i="9"/>
  <c r="Y1488" i="9"/>
  <c r="X1488" i="9"/>
  <c r="W1488" i="9"/>
  <c r="U1488" i="9"/>
  <c r="AI1487" i="9"/>
  <c r="AH1487" i="9"/>
  <c r="AG1487" i="9"/>
  <c r="AF1487" i="9"/>
  <c r="AE1487" i="9"/>
  <c r="AD1487" i="9"/>
  <c r="AC1487" i="9"/>
  <c r="AA1487" i="9"/>
  <c r="Z1487" i="9"/>
  <c r="Y1487" i="9"/>
  <c r="X1487" i="9"/>
  <c r="W1487" i="9"/>
  <c r="U1487" i="9"/>
  <c r="AI1486" i="9"/>
  <c r="AH1486" i="9"/>
  <c r="AG1486" i="9"/>
  <c r="AF1486" i="9"/>
  <c r="AE1486" i="9"/>
  <c r="AD1486" i="9"/>
  <c r="AC1486" i="9"/>
  <c r="AA1486" i="9"/>
  <c r="Z1486" i="9"/>
  <c r="Y1486" i="9"/>
  <c r="X1486" i="9"/>
  <c r="W1486" i="9"/>
  <c r="U1486" i="9"/>
  <c r="AI1485" i="9"/>
  <c r="AH1485" i="9"/>
  <c r="AG1485" i="9"/>
  <c r="AF1485" i="9"/>
  <c r="AE1485" i="9"/>
  <c r="AD1485" i="9"/>
  <c r="AC1485" i="9"/>
  <c r="AA1485" i="9"/>
  <c r="Z1485" i="9"/>
  <c r="Y1485" i="9"/>
  <c r="X1485" i="9"/>
  <c r="W1485" i="9"/>
  <c r="U1485" i="9"/>
  <c r="AI1484" i="9"/>
  <c r="AH1484" i="9"/>
  <c r="AG1484" i="9"/>
  <c r="AF1484" i="9"/>
  <c r="AE1484" i="9"/>
  <c r="AD1484" i="9"/>
  <c r="AC1484" i="9"/>
  <c r="AA1484" i="9"/>
  <c r="Z1484" i="9"/>
  <c r="Y1484" i="9"/>
  <c r="X1484" i="9"/>
  <c r="W1484" i="9"/>
  <c r="U1484" i="9"/>
  <c r="AI1483" i="9"/>
  <c r="AH1483" i="9"/>
  <c r="AG1483" i="9"/>
  <c r="AF1483" i="9"/>
  <c r="AE1483" i="9"/>
  <c r="AD1483" i="9"/>
  <c r="AA1483" i="9"/>
  <c r="Z1483" i="9"/>
  <c r="Y1483" i="9"/>
  <c r="X1483" i="9"/>
  <c r="W1483" i="9"/>
  <c r="U1483" i="9"/>
  <c r="AC1483" i="9" s="1"/>
  <c r="AI1482" i="9"/>
  <c r="AH1482" i="9"/>
  <c r="AG1482" i="9"/>
  <c r="AF1482" i="9"/>
  <c r="AE1482" i="9"/>
  <c r="AD1482" i="9"/>
  <c r="AA1482" i="9"/>
  <c r="Z1482" i="9"/>
  <c r="Y1482" i="9"/>
  <c r="X1482" i="9"/>
  <c r="W1482" i="9"/>
  <c r="U1482" i="9"/>
  <c r="AC1482" i="9" s="1"/>
  <c r="AI1481" i="9"/>
  <c r="AH1481" i="9"/>
  <c r="AG1481" i="9"/>
  <c r="AF1481" i="9"/>
  <c r="AE1481" i="9"/>
  <c r="AD1481" i="9"/>
  <c r="AA1481" i="9"/>
  <c r="Z1481" i="9"/>
  <c r="Y1481" i="9"/>
  <c r="X1481" i="9"/>
  <c r="W1481" i="9"/>
  <c r="U1481" i="9"/>
  <c r="AC1481" i="9" s="1"/>
  <c r="AI1480" i="9"/>
  <c r="AH1480" i="9"/>
  <c r="AG1480" i="9"/>
  <c r="AF1480" i="9"/>
  <c r="AE1480" i="9"/>
  <c r="AD1480" i="9"/>
  <c r="AA1480" i="9"/>
  <c r="Z1480" i="9"/>
  <c r="Y1480" i="9"/>
  <c r="X1480" i="9"/>
  <c r="W1480" i="9"/>
  <c r="U1480" i="9"/>
  <c r="AC1480" i="9" s="1"/>
  <c r="AI1479" i="9"/>
  <c r="AH1479" i="9"/>
  <c r="AG1479" i="9"/>
  <c r="AF1479" i="9"/>
  <c r="AE1479" i="9"/>
  <c r="AD1479" i="9"/>
  <c r="AA1479" i="9"/>
  <c r="Z1479" i="9"/>
  <c r="Y1479" i="9"/>
  <c r="X1479" i="9"/>
  <c r="W1479" i="9"/>
  <c r="U1479" i="9"/>
  <c r="AC1479" i="9" s="1"/>
  <c r="AI1478" i="9"/>
  <c r="AH1478" i="9"/>
  <c r="AG1478" i="9"/>
  <c r="AF1478" i="9"/>
  <c r="AE1478" i="9"/>
  <c r="AD1478" i="9"/>
  <c r="AA1478" i="9"/>
  <c r="Z1478" i="9"/>
  <c r="Y1478" i="9"/>
  <c r="X1478" i="9"/>
  <c r="W1478" i="9"/>
  <c r="U1478" i="9"/>
  <c r="AC1478" i="9" s="1"/>
  <c r="AI1477" i="9"/>
  <c r="AH1477" i="9"/>
  <c r="AG1477" i="9"/>
  <c r="AF1477" i="9"/>
  <c r="AE1477" i="9"/>
  <c r="AD1477" i="9"/>
  <c r="AC1477" i="9"/>
  <c r="AA1477" i="9"/>
  <c r="Z1477" i="9"/>
  <c r="Y1477" i="9"/>
  <c r="X1477" i="9"/>
  <c r="W1477" i="9"/>
  <c r="U1477" i="9"/>
  <c r="AI1476" i="9"/>
  <c r="AH1476" i="9"/>
  <c r="AG1476" i="9"/>
  <c r="AF1476" i="9"/>
  <c r="AE1476" i="9"/>
  <c r="AD1476" i="9"/>
  <c r="AC1476" i="9"/>
  <c r="AA1476" i="9"/>
  <c r="Z1476" i="9"/>
  <c r="Y1476" i="9"/>
  <c r="X1476" i="9"/>
  <c r="W1476" i="9"/>
  <c r="U1476" i="9"/>
  <c r="AI1475" i="9"/>
  <c r="AH1475" i="9"/>
  <c r="AG1475" i="9"/>
  <c r="AF1475" i="9"/>
  <c r="AE1475" i="9"/>
  <c r="AD1475" i="9"/>
  <c r="AC1475" i="9"/>
  <c r="AA1475" i="9"/>
  <c r="Z1475" i="9"/>
  <c r="Y1475" i="9"/>
  <c r="X1475" i="9"/>
  <c r="W1475" i="9"/>
  <c r="U1475" i="9"/>
  <c r="AI1474" i="9"/>
  <c r="AH1474" i="9"/>
  <c r="AG1474" i="9"/>
  <c r="AF1474" i="9"/>
  <c r="AE1474" i="9"/>
  <c r="AD1474" i="9"/>
  <c r="AC1474" i="9"/>
  <c r="AA1474" i="9"/>
  <c r="Z1474" i="9"/>
  <c r="Y1474" i="9"/>
  <c r="X1474" i="9"/>
  <c r="W1474" i="9"/>
  <c r="U1474" i="9"/>
  <c r="AI1473" i="9"/>
  <c r="AH1473" i="9"/>
  <c r="AG1473" i="9"/>
  <c r="AF1473" i="9"/>
  <c r="AE1473" i="9"/>
  <c r="AD1473" i="9"/>
  <c r="AC1473" i="9"/>
  <c r="AA1473" i="9"/>
  <c r="Z1473" i="9"/>
  <c r="Y1473" i="9"/>
  <c r="X1473" i="9"/>
  <c r="W1473" i="9"/>
  <c r="U1473" i="9"/>
  <c r="AI1472" i="9"/>
  <c r="AH1472" i="9"/>
  <c r="AG1472" i="9"/>
  <c r="AF1472" i="9"/>
  <c r="AE1472" i="9"/>
  <c r="AD1472" i="9"/>
  <c r="AC1472" i="9"/>
  <c r="AA1472" i="9"/>
  <c r="Z1472" i="9"/>
  <c r="Y1472" i="9"/>
  <c r="X1472" i="9"/>
  <c r="W1472" i="9"/>
  <c r="U1472" i="9"/>
  <c r="AI1471" i="9"/>
  <c r="AH1471" i="9"/>
  <c r="AG1471" i="9"/>
  <c r="AF1471" i="9"/>
  <c r="AE1471" i="9"/>
  <c r="AD1471" i="9"/>
  <c r="AA1471" i="9"/>
  <c r="Z1471" i="9"/>
  <c r="Y1471" i="9"/>
  <c r="X1471" i="9"/>
  <c r="W1471" i="9"/>
  <c r="U1471" i="9"/>
  <c r="AC1471" i="9" s="1"/>
  <c r="AI1470" i="9"/>
  <c r="AH1470" i="9"/>
  <c r="AG1470" i="9"/>
  <c r="AF1470" i="9"/>
  <c r="AE1470" i="9"/>
  <c r="AD1470" i="9"/>
  <c r="AA1470" i="9"/>
  <c r="Z1470" i="9"/>
  <c r="Y1470" i="9"/>
  <c r="X1470" i="9"/>
  <c r="W1470" i="9"/>
  <c r="U1470" i="9"/>
  <c r="AC1470" i="9" s="1"/>
  <c r="AI1469" i="9"/>
  <c r="AH1469" i="9"/>
  <c r="AG1469" i="9"/>
  <c r="AF1469" i="9"/>
  <c r="AE1469" i="9"/>
  <c r="AD1469" i="9"/>
  <c r="AA1469" i="9"/>
  <c r="Z1469" i="9"/>
  <c r="Y1469" i="9"/>
  <c r="X1469" i="9"/>
  <c r="W1469" i="9"/>
  <c r="U1469" i="9"/>
  <c r="AC1469" i="9" s="1"/>
  <c r="AI1468" i="9"/>
  <c r="AH1468" i="9"/>
  <c r="AG1468" i="9"/>
  <c r="AF1468" i="9"/>
  <c r="AE1468" i="9"/>
  <c r="AD1468" i="9"/>
  <c r="AA1468" i="9"/>
  <c r="Z1468" i="9"/>
  <c r="Y1468" i="9"/>
  <c r="X1468" i="9"/>
  <c r="W1468" i="9"/>
  <c r="U1468" i="9"/>
  <c r="AC1468" i="9" s="1"/>
  <c r="AI1467" i="9"/>
  <c r="AH1467" i="9"/>
  <c r="AG1467" i="9"/>
  <c r="AF1467" i="9"/>
  <c r="AE1467" i="9"/>
  <c r="AD1467" i="9"/>
  <c r="AA1467" i="9"/>
  <c r="Z1467" i="9"/>
  <c r="Y1467" i="9"/>
  <c r="X1467" i="9"/>
  <c r="W1467" i="9"/>
  <c r="U1467" i="9"/>
  <c r="AC1467" i="9" s="1"/>
  <c r="AI1466" i="9"/>
  <c r="AH1466" i="9"/>
  <c r="AG1466" i="9"/>
  <c r="AF1466" i="9"/>
  <c r="AE1466" i="9"/>
  <c r="AD1466" i="9"/>
  <c r="AA1466" i="9"/>
  <c r="Z1466" i="9"/>
  <c r="Y1466" i="9"/>
  <c r="X1466" i="9"/>
  <c r="W1466" i="9"/>
  <c r="U1466" i="9"/>
  <c r="AC1466" i="9" s="1"/>
  <c r="AI1465" i="9"/>
  <c r="AH1465" i="9"/>
  <c r="AG1465" i="9"/>
  <c r="AF1465" i="9"/>
  <c r="AE1465" i="9"/>
  <c r="AD1465" i="9"/>
  <c r="AC1465" i="9"/>
  <c r="AA1465" i="9"/>
  <c r="Z1465" i="9"/>
  <c r="Y1465" i="9"/>
  <c r="X1465" i="9"/>
  <c r="W1465" i="9"/>
  <c r="U1465" i="9"/>
  <c r="AI1464" i="9"/>
  <c r="AH1464" i="9"/>
  <c r="AG1464" i="9"/>
  <c r="AF1464" i="9"/>
  <c r="AE1464" i="9"/>
  <c r="AD1464" i="9"/>
  <c r="AC1464" i="9"/>
  <c r="AA1464" i="9"/>
  <c r="Z1464" i="9"/>
  <c r="Y1464" i="9"/>
  <c r="X1464" i="9"/>
  <c r="W1464" i="9"/>
  <c r="U1464" i="9"/>
  <c r="AI1463" i="9"/>
  <c r="AH1463" i="9"/>
  <c r="AG1463" i="9"/>
  <c r="AF1463" i="9"/>
  <c r="AE1463" i="9"/>
  <c r="AD1463" i="9"/>
  <c r="AC1463" i="9"/>
  <c r="AA1463" i="9"/>
  <c r="Z1463" i="9"/>
  <c r="Y1463" i="9"/>
  <c r="X1463" i="9"/>
  <c r="W1463" i="9"/>
  <c r="U1463" i="9"/>
  <c r="AI1462" i="9"/>
  <c r="AH1462" i="9"/>
  <c r="AG1462" i="9"/>
  <c r="AF1462" i="9"/>
  <c r="AE1462" i="9"/>
  <c r="AD1462" i="9"/>
  <c r="AC1462" i="9"/>
  <c r="AA1462" i="9"/>
  <c r="Z1462" i="9"/>
  <c r="Y1462" i="9"/>
  <c r="X1462" i="9"/>
  <c r="W1462" i="9"/>
  <c r="U1462" i="9"/>
  <c r="AI1461" i="9"/>
  <c r="AH1461" i="9"/>
  <c r="AG1461" i="9"/>
  <c r="AF1461" i="9"/>
  <c r="AE1461" i="9"/>
  <c r="AD1461" i="9"/>
  <c r="AC1461" i="9"/>
  <c r="AA1461" i="9"/>
  <c r="Z1461" i="9"/>
  <c r="Y1461" i="9"/>
  <c r="X1461" i="9"/>
  <c r="W1461" i="9"/>
  <c r="U1461" i="9"/>
  <c r="AI1460" i="9"/>
  <c r="AH1460" i="9"/>
  <c r="AG1460" i="9"/>
  <c r="AF1460" i="9"/>
  <c r="AE1460" i="9"/>
  <c r="AD1460" i="9"/>
  <c r="AC1460" i="9"/>
  <c r="AA1460" i="9"/>
  <c r="Z1460" i="9"/>
  <c r="Y1460" i="9"/>
  <c r="X1460" i="9"/>
  <c r="W1460" i="9"/>
  <c r="U1460" i="9"/>
  <c r="AI1459" i="9"/>
  <c r="AH1459" i="9"/>
  <c r="AG1459" i="9"/>
  <c r="AF1459" i="9"/>
  <c r="AE1459" i="9"/>
  <c r="AD1459" i="9"/>
  <c r="AA1459" i="9"/>
  <c r="Z1459" i="9"/>
  <c r="Y1459" i="9"/>
  <c r="X1459" i="9"/>
  <c r="W1459" i="9"/>
  <c r="U1459" i="9"/>
  <c r="AC1459" i="9" s="1"/>
  <c r="AI1458" i="9"/>
  <c r="AH1458" i="9"/>
  <c r="AG1458" i="9"/>
  <c r="AF1458" i="9"/>
  <c r="AE1458" i="9"/>
  <c r="AD1458" i="9"/>
  <c r="AA1458" i="9"/>
  <c r="Z1458" i="9"/>
  <c r="Y1458" i="9"/>
  <c r="X1458" i="9"/>
  <c r="W1458" i="9"/>
  <c r="U1458" i="9"/>
  <c r="AC1458" i="9" s="1"/>
  <c r="AI1457" i="9"/>
  <c r="AH1457" i="9"/>
  <c r="AG1457" i="9"/>
  <c r="AF1457" i="9"/>
  <c r="AE1457" i="9"/>
  <c r="AD1457" i="9"/>
  <c r="AA1457" i="9"/>
  <c r="Z1457" i="9"/>
  <c r="Y1457" i="9"/>
  <c r="X1457" i="9"/>
  <c r="W1457" i="9"/>
  <c r="U1457" i="9"/>
  <c r="AC1457" i="9" s="1"/>
  <c r="AI1456" i="9"/>
  <c r="AH1456" i="9"/>
  <c r="AG1456" i="9"/>
  <c r="AF1456" i="9"/>
  <c r="AE1456" i="9"/>
  <c r="AD1456" i="9"/>
  <c r="AA1456" i="9"/>
  <c r="Z1456" i="9"/>
  <c r="Y1456" i="9"/>
  <c r="X1456" i="9"/>
  <c r="W1456" i="9"/>
  <c r="U1456" i="9"/>
  <c r="AC1456" i="9" s="1"/>
  <c r="AI1455" i="9"/>
  <c r="AH1455" i="9"/>
  <c r="AG1455" i="9"/>
  <c r="AF1455" i="9"/>
  <c r="AE1455" i="9"/>
  <c r="AD1455" i="9"/>
  <c r="AA1455" i="9"/>
  <c r="Z1455" i="9"/>
  <c r="Y1455" i="9"/>
  <c r="X1455" i="9"/>
  <c r="W1455" i="9"/>
  <c r="U1455" i="9"/>
  <c r="AC1455" i="9" s="1"/>
  <c r="AI1454" i="9"/>
  <c r="AH1454" i="9"/>
  <c r="AG1454" i="9"/>
  <c r="AF1454" i="9"/>
  <c r="AE1454" i="9"/>
  <c r="AD1454" i="9"/>
  <c r="AA1454" i="9"/>
  <c r="Z1454" i="9"/>
  <c r="Y1454" i="9"/>
  <c r="X1454" i="9"/>
  <c r="W1454" i="9"/>
  <c r="U1454" i="9"/>
  <c r="AC1454" i="9" s="1"/>
  <c r="AI1453" i="9"/>
  <c r="AH1453" i="9"/>
  <c r="AG1453" i="9"/>
  <c r="AF1453" i="9"/>
  <c r="AE1453" i="9"/>
  <c r="AD1453" i="9"/>
  <c r="AC1453" i="9"/>
  <c r="AA1453" i="9"/>
  <c r="Z1453" i="9"/>
  <c r="Y1453" i="9"/>
  <c r="X1453" i="9"/>
  <c r="W1453" i="9"/>
  <c r="U1453" i="9"/>
  <c r="AI1452" i="9"/>
  <c r="AH1452" i="9"/>
  <c r="AG1452" i="9"/>
  <c r="AF1452" i="9"/>
  <c r="AE1452" i="9"/>
  <c r="AD1452" i="9"/>
  <c r="AC1452" i="9"/>
  <c r="AA1452" i="9"/>
  <c r="Z1452" i="9"/>
  <c r="Y1452" i="9"/>
  <c r="X1452" i="9"/>
  <c r="W1452" i="9"/>
  <c r="U1452" i="9"/>
  <c r="AI1451" i="9"/>
  <c r="AH1451" i="9"/>
  <c r="AG1451" i="9"/>
  <c r="AF1451" i="9"/>
  <c r="AE1451" i="9"/>
  <c r="AD1451" i="9"/>
  <c r="AC1451" i="9"/>
  <c r="AA1451" i="9"/>
  <c r="Z1451" i="9"/>
  <c r="Y1451" i="9"/>
  <c r="X1451" i="9"/>
  <c r="W1451" i="9"/>
  <c r="U1451" i="9"/>
  <c r="AI1450" i="9"/>
  <c r="AH1450" i="9"/>
  <c r="AG1450" i="9"/>
  <c r="AF1450" i="9"/>
  <c r="AE1450" i="9"/>
  <c r="AD1450" i="9"/>
  <c r="AC1450" i="9"/>
  <c r="AA1450" i="9"/>
  <c r="Z1450" i="9"/>
  <c r="Y1450" i="9"/>
  <c r="X1450" i="9"/>
  <c r="W1450" i="9"/>
  <c r="U1450" i="9"/>
  <c r="AI1449" i="9"/>
  <c r="AH1449" i="9"/>
  <c r="AG1449" i="9"/>
  <c r="AF1449" i="9"/>
  <c r="AE1449" i="9"/>
  <c r="AD1449" i="9"/>
  <c r="AC1449" i="9"/>
  <c r="AA1449" i="9"/>
  <c r="Z1449" i="9"/>
  <c r="Y1449" i="9"/>
  <c r="X1449" i="9"/>
  <c r="W1449" i="9"/>
  <c r="U1449" i="9"/>
  <c r="AI1448" i="9"/>
  <c r="AH1448" i="9"/>
  <c r="AG1448" i="9"/>
  <c r="AF1448" i="9"/>
  <c r="AE1448" i="9"/>
  <c r="AD1448" i="9"/>
  <c r="AC1448" i="9"/>
  <c r="AA1448" i="9"/>
  <c r="Z1448" i="9"/>
  <c r="Y1448" i="9"/>
  <c r="X1448" i="9"/>
  <c r="W1448" i="9"/>
  <c r="U1448" i="9"/>
  <c r="AI1447" i="9"/>
  <c r="AH1447" i="9"/>
  <c r="AG1447" i="9"/>
  <c r="AF1447" i="9"/>
  <c r="AE1447" i="9"/>
  <c r="AD1447" i="9"/>
  <c r="AA1447" i="9"/>
  <c r="Z1447" i="9"/>
  <c r="Y1447" i="9"/>
  <c r="X1447" i="9"/>
  <c r="W1447" i="9"/>
  <c r="U1447" i="9"/>
  <c r="AC1447" i="9" s="1"/>
  <c r="AI1446" i="9"/>
  <c r="AH1446" i="9"/>
  <c r="AG1446" i="9"/>
  <c r="AF1446" i="9"/>
  <c r="AE1446" i="9"/>
  <c r="AD1446" i="9"/>
  <c r="AA1446" i="9"/>
  <c r="Z1446" i="9"/>
  <c r="Y1446" i="9"/>
  <c r="X1446" i="9"/>
  <c r="W1446" i="9"/>
  <c r="U1446" i="9"/>
  <c r="AC1446" i="9" s="1"/>
  <c r="AI1445" i="9"/>
  <c r="AH1445" i="9"/>
  <c r="AG1445" i="9"/>
  <c r="AF1445" i="9"/>
  <c r="AE1445" i="9"/>
  <c r="AD1445" i="9"/>
  <c r="AA1445" i="9"/>
  <c r="Z1445" i="9"/>
  <c r="Y1445" i="9"/>
  <c r="X1445" i="9"/>
  <c r="W1445" i="9"/>
  <c r="U1445" i="9"/>
  <c r="AC1445" i="9" s="1"/>
  <c r="AI1444" i="9"/>
  <c r="AH1444" i="9"/>
  <c r="AG1444" i="9"/>
  <c r="AF1444" i="9"/>
  <c r="AE1444" i="9"/>
  <c r="AD1444" i="9"/>
  <c r="AA1444" i="9"/>
  <c r="Z1444" i="9"/>
  <c r="Y1444" i="9"/>
  <c r="X1444" i="9"/>
  <c r="W1444" i="9"/>
  <c r="U1444" i="9"/>
  <c r="AC1444" i="9" s="1"/>
  <c r="AI1443" i="9"/>
  <c r="AH1443" i="9"/>
  <c r="AG1443" i="9"/>
  <c r="AF1443" i="9"/>
  <c r="AE1443" i="9"/>
  <c r="AD1443" i="9"/>
  <c r="AA1443" i="9"/>
  <c r="Z1443" i="9"/>
  <c r="Y1443" i="9"/>
  <c r="X1443" i="9"/>
  <c r="W1443" i="9"/>
  <c r="U1443" i="9"/>
  <c r="AC1443" i="9" s="1"/>
  <c r="AI1442" i="9"/>
  <c r="AH1442" i="9"/>
  <c r="AG1442" i="9"/>
  <c r="AF1442" i="9"/>
  <c r="AE1442" i="9"/>
  <c r="AD1442" i="9"/>
  <c r="AA1442" i="9"/>
  <c r="Z1442" i="9"/>
  <c r="Y1442" i="9"/>
  <c r="X1442" i="9"/>
  <c r="W1442" i="9"/>
  <c r="U1442" i="9"/>
  <c r="AC1442" i="9" s="1"/>
  <c r="AI1441" i="9"/>
  <c r="AH1441" i="9"/>
  <c r="AG1441" i="9"/>
  <c r="AF1441" i="9"/>
  <c r="AE1441" i="9"/>
  <c r="AD1441" i="9"/>
  <c r="AC1441" i="9"/>
  <c r="AA1441" i="9"/>
  <c r="Z1441" i="9"/>
  <c r="Y1441" i="9"/>
  <c r="X1441" i="9"/>
  <c r="W1441" i="9"/>
  <c r="U1441" i="9"/>
  <c r="AI1440" i="9"/>
  <c r="AH1440" i="9"/>
  <c r="AG1440" i="9"/>
  <c r="AF1440" i="9"/>
  <c r="AE1440" i="9"/>
  <c r="AD1440" i="9"/>
  <c r="AC1440" i="9"/>
  <c r="AA1440" i="9"/>
  <c r="Z1440" i="9"/>
  <c r="Y1440" i="9"/>
  <c r="X1440" i="9"/>
  <c r="W1440" i="9"/>
  <c r="U1440" i="9"/>
  <c r="AI1439" i="9"/>
  <c r="AH1439" i="9"/>
  <c r="AG1439" i="9"/>
  <c r="AF1439" i="9"/>
  <c r="AE1439" i="9"/>
  <c r="AD1439" i="9"/>
  <c r="AC1439" i="9"/>
  <c r="AA1439" i="9"/>
  <c r="Z1439" i="9"/>
  <c r="Y1439" i="9"/>
  <c r="X1439" i="9"/>
  <c r="W1439" i="9"/>
  <c r="U1439" i="9"/>
  <c r="AI1438" i="9"/>
  <c r="AH1438" i="9"/>
  <c r="AG1438" i="9"/>
  <c r="AF1438" i="9"/>
  <c r="AE1438" i="9"/>
  <c r="AD1438" i="9"/>
  <c r="AC1438" i="9"/>
  <c r="AA1438" i="9"/>
  <c r="Z1438" i="9"/>
  <c r="Y1438" i="9"/>
  <c r="X1438" i="9"/>
  <c r="W1438" i="9"/>
  <c r="U1438" i="9"/>
  <c r="AI1437" i="9"/>
  <c r="AH1437" i="9"/>
  <c r="AG1437" i="9"/>
  <c r="AF1437" i="9"/>
  <c r="AE1437" i="9"/>
  <c r="AD1437" i="9"/>
  <c r="AC1437" i="9"/>
  <c r="AA1437" i="9"/>
  <c r="Z1437" i="9"/>
  <c r="Y1437" i="9"/>
  <c r="X1437" i="9"/>
  <c r="W1437" i="9"/>
  <c r="U1437" i="9"/>
  <c r="AI1436" i="9"/>
  <c r="AH1436" i="9"/>
  <c r="AG1436" i="9"/>
  <c r="AF1436" i="9"/>
  <c r="AE1436" i="9"/>
  <c r="AD1436" i="9"/>
  <c r="AC1436" i="9"/>
  <c r="AA1436" i="9"/>
  <c r="Z1436" i="9"/>
  <c r="Y1436" i="9"/>
  <c r="X1436" i="9"/>
  <c r="W1436" i="9"/>
  <c r="U1436" i="9"/>
  <c r="AI1435" i="9"/>
  <c r="AH1435" i="9"/>
  <c r="AG1435" i="9"/>
  <c r="AF1435" i="9"/>
  <c r="AE1435" i="9"/>
  <c r="AD1435" i="9"/>
  <c r="AA1435" i="9"/>
  <c r="Z1435" i="9"/>
  <c r="Y1435" i="9"/>
  <c r="X1435" i="9"/>
  <c r="W1435" i="9"/>
  <c r="U1435" i="9"/>
  <c r="AC1435" i="9" s="1"/>
  <c r="AI1434" i="9"/>
  <c r="AH1434" i="9"/>
  <c r="AG1434" i="9"/>
  <c r="AF1434" i="9"/>
  <c r="AE1434" i="9"/>
  <c r="AD1434" i="9"/>
  <c r="AA1434" i="9"/>
  <c r="Z1434" i="9"/>
  <c r="Y1434" i="9"/>
  <c r="X1434" i="9"/>
  <c r="W1434" i="9"/>
  <c r="U1434" i="9"/>
  <c r="AC1434" i="9" s="1"/>
  <c r="AI1433" i="9"/>
  <c r="AH1433" i="9"/>
  <c r="AG1433" i="9"/>
  <c r="AF1433" i="9"/>
  <c r="AE1433" i="9"/>
  <c r="AD1433" i="9"/>
  <c r="AA1433" i="9"/>
  <c r="Z1433" i="9"/>
  <c r="Y1433" i="9"/>
  <c r="X1433" i="9"/>
  <c r="W1433" i="9"/>
  <c r="U1433" i="9"/>
  <c r="AC1433" i="9" s="1"/>
  <c r="AI1432" i="9"/>
  <c r="AH1432" i="9"/>
  <c r="AG1432" i="9"/>
  <c r="AF1432" i="9"/>
  <c r="AE1432" i="9"/>
  <c r="AD1432" i="9"/>
  <c r="AA1432" i="9"/>
  <c r="Z1432" i="9"/>
  <c r="Y1432" i="9"/>
  <c r="X1432" i="9"/>
  <c r="W1432" i="9"/>
  <c r="U1432" i="9"/>
  <c r="AC1432" i="9" s="1"/>
  <c r="AI1431" i="9"/>
  <c r="AH1431" i="9"/>
  <c r="AG1431" i="9"/>
  <c r="AF1431" i="9"/>
  <c r="AE1431" i="9"/>
  <c r="AD1431" i="9"/>
  <c r="AA1431" i="9"/>
  <c r="Z1431" i="9"/>
  <c r="Y1431" i="9"/>
  <c r="X1431" i="9"/>
  <c r="W1431" i="9"/>
  <c r="U1431" i="9"/>
  <c r="AC1431" i="9" s="1"/>
  <c r="AI1430" i="9"/>
  <c r="AH1430" i="9"/>
  <c r="AG1430" i="9"/>
  <c r="AF1430" i="9"/>
  <c r="AE1430" i="9"/>
  <c r="AD1430" i="9"/>
  <c r="AA1430" i="9"/>
  <c r="Z1430" i="9"/>
  <c r="Y1430" i="9"/>
  <c r="X1430" i="9"/>
  <c r="W1430" i="9"/>
  <c r="U1430" i="9"/>
  <c r="AC1430" i="9" s="1"/>
  <c r="AI1429" i="9"/>
  <c r="AH1429" i="9"/>
  <c r="AG1429" i="9"/>
  <c r="AF1429" i="9"/>
  <c r="AE1429" i="9"/>
  <c r="AD1429" i="9"/>
  <c r="AC1429" i="9"/>
  <c r="AA1429" i="9"/>
  <c r="Z1429" i="9"/>
  <c r="Y1429" i="9"/>
  <c r="X1429" i="9"/>
  <c r="W1429" i="9"/>
  <c r="U1429" i="9"/>
  <c r="AI1428" i="9"/>
  <c r="AH1428" i="9"/>
  <c r="AG1428" i="9"/>
  <c r="AF1428" i="9"/>
  <c r="AE1428" i="9"/>
  <c r="AD1428" i="9"/>
  <c r="AC1428" i="9"/>
  <c r="AA1428" i="9"/>
  <c r="Z1428" i="9"/>
  <c r="Y1428" i="9"/>
  <c r="X1428" i="9"/>
  <c r="W1428" i="9"/>
  <c r="U1428" i="9"/>
  <c r="AI1427" i="9"/>
  <c r="AH1427" i="9"/>
  <c r="AG1427" i="9"/>
  <c r="AF1427" i="9"/>
  <c r="AE1427" i="9"/>
  <c r="AD1427" i="9"/>
  <c r="AC1427" i="9"/>
  <c r="AA1427" i="9"/>
  <c r="Z1427" i="9"/>
  <c r="Y1427" i="9"/>
  <c r="X1427" i="9"/>
  <c r="W1427" i="9"/>
  <c r="U1427" i="9"/>
  <c r="AI1426" i="9"/>
  <c r="AH1426" i="9"/>
  <c r="AG1426" i="9"/>
  <c r="AF1426" i="9"/>
  <c r="AE1426" i="9"/>
  <c r="AD1426" i="9"/>
  <c r="AC1426" i="9"/>
  <c r="AA1426" i="9"/>
  <c r="Z1426" i="9"/>
  <c r="Y1426" i="9"/>
  <c r="X1426" i="9"/>
  <c r="W1426" i="9"/>
  <c r="U1426" i="9"/>
  <c r="AI1425" i="9"/>
  <c r="AH1425" i="9"/>
  <c r="AG1425" i="9"/>
  <c r="AF1425" i="9"/>
  <c r="AE1425" i="9"/>
  <c r="AD1425" i="9"/>
  <c r="AC1425" i="9"/>
  <c r="AA1425" i="9"/>
  <c r="Z1425" i="9"/>
  <c r="Y1425" i="9"/>
  <c r="X1425" i="9"/>
  <c r="W1425" i="9"/>
  <c r="U1425" i="9"/>
  <c r="AI1424" i="9"/>
  <c r="AH1424" i="9"/>
  <c r="AG1424" i="9"/>
  <c r="AF1424" i="9"/>
  <c r="AE1424" i="9"/>
  <c r="AD1424" i="9"/>
  <c r="AC1424" i="9"/>
  <c r="AA1424" i="9"/>
  <c r="Z1424" i="9"/>
  <c r="Y1424" i="9"/>
  <c r="X1424" i="9"/>
  <c r="W1424" i="9"/>
  <c r="U1424" i="9"/>
  <c r="AI1423" i="9"/>
  <c r="AH1423" i="9"/>
  <c r="AG1423" i="9"/>
  <c r="AF1423" i="9"/>
  <c r="AE1423" i="9"/>
  <c r="AD1423" i="9"/>
  <c r="AA1423" i="9"/>
  <c r="Z1423" i="9"/>
  <c r="Y1423" i="9"/>
  <c r="X1423" i="9"/>
  <c r="W1423" i="9"/>
  <c r="U1423" i="9"/>
  <c r="AC1423" i="9" s="1"/>
  <c r="AI1422" i="9"/>
  <c r="AH1422" i="9"/>
  <c r="AG1422" i="9"/>
  <c r="AF1422" i="9"/>
  <c r="AE1422" i="9"/>
  <c r="AD1422" i="9"/>
  <c r="AA1422" i="9"/>
  <c r="Z1422" i="9"/>
  <c r="Y1422" i="9"/>
  <c r="X1422" i="9"/>
  <c r="W1422" i="9"/>
  <c r="U1422" i="9"/>
  <c r="AC1422" i="9" s="1"/>
  <c r="AI1421" i="9"/>
  <c r="AH1421" i="9"/>
  <c r="AG1421" i="9"/>
  <c r="AF1421" i="9"/>
  <c r="AE1421" i="9"/>
  <c r="AD1421" i="9"/>
  <c r="AA1421" i="9"/>
  <c r="Z1421" i="9"/>
  <c r="Y1421" i="9"/>
  <c r="X1421" i="9"/>
  <c r="W1421" i="9"/>
  <c r="U1421" i="9"/>
  <c r="AC1421" i="9" s="1"/>
  <c r="AI1420" i="9"/>
  <c r="AH1420" i="9"/>
  <c r="AG1420" i="9"/>
  <c r="AF1420" i="9"/>
  <c r="AE1420" i="9"/>
  <c r="AD1420" i="9"/>
  <c r="AA1420" i="9"/>
  <c r="Z1420" i="9"/>
  <c r="Y1420" i="9"/>
  <c r="X1420" i="9"/>
  <c r="W1420" i="9"/>
  <c r="U1420" i="9"/>
  <c r="AC1420" i="9" s="1"/>
  <c r="AI1419" i="9"/>
  <c r="AH1419" i="9"/>
  <c r="AG1419" i="9"/>
  <c r="AF1419" i="9"/>
  <c r="AE1419" i="9"/>
  <c r="AD1419" i="9"/>
  <c r="AA1419" i="9"/>
  <c r="Z1419" i="9"/>
  <c r="Y1419" i="9"/>
  <c r="X1419" i="9"/>
  <c r="W1419" i="9"/>
  <c r="U1419" i="9"/>
  <c r="AC1419" i="9" s="1"/>
  <c r="AI1418" i="9"/>
  <c r="AH1418" i="9"/>
  <c r="AG1418" i="9"/>
  <c r="AF1418" i="9"/>
  <c r="AE1418" i="9"/>
  <c r="AD1418" i="9"/>
  <c r="AA1418" i="9"/>
  <c r="Z1418" i="9"/>
  <c r="Y1418" i="9"/>
  <c r="X1418" i="9"/>
  <c r="W1418" i="9"/>
  <c r="U1418" i="9"/>
  <c r="AC1418" i="9" s="1"/>
  <c r="AI1417" i="9"/>
  <c r="AH1417" i="9"/>
  <c r="AG1417" i="9"/>
  <c r="AF1417" i="9"/>
  <c r="AE1417" i="9"/>
  <c r="AD1417" i="9"/>
  <c r="AC1417" i="9"/>
  <c r="AA1417" i="9"/>
  <c r="Z1417" i="9"/>
  <c r="Y1417" i="9"/>
  <c r="X1417" i="9"/>
  <c r="W1417" i="9"/>
  <c r="U1417" i="9"/>
  <c r="AI1416" i="9"/>
  <c r="AH1416" i="9"/>
  <c r="AG1416" i="9"/>
  <c r="AF1416" i="9"/>
  <c r="AE1416" i="9"/>
  <c r="AD1416" i="9"/>
  <c r="AC1416" i="9"/>
  <c r="AA1416" i="9"/>
  <c r="Z1416" i="9"/>
  <c r="Y1416" i="9"/>
  <c r="X1416" i="9"/>
  <c r="W1416" i="9"/>
  <c r="U1416" i="9"/>
  <c r="AI1415" i="9"/>
  <c r="AH1415" i="9"/>
  <c r="AG1415" i="9"/>
  <c r="AF1415" i="9"/>
  <c r="AE1415" i="9"/>
  <c r="AD1415" i="9"/>
  <c r="AC1415" i="9"/>
  <c r="AA1415" i="9"/>
  <c r="Z1415" i="9"/>
  <c r="Y1415" i="9"/>
  <c r="X1415" i="9"/>
  <c r="W1415" i="9"/>
  <c r="U1415" i="9"/>
  <c r="AI1414" i="9"/>
  <c r="AH1414" i="9"/>
  <c r="AG1414" i="9"/>
  <c r="AF1414" i="9"/>
  <c r="AE1414" i="9"/>
  <c r="AD1414" i="9"/>
  <c r="AC1414" i="9"/>
  <c r="AA1414" i="9"/>
  <c r="Z1414" i="9"/>
  <c r="Y1414" i="9"/>
  <c r="X1414" i="9"/>
  <c r="W1414" i="9"/>
  <c r="U1414" i="9"/>
  <c r="AI1413" i="9"/>
  <c r="AH1413" i="9"/>
  <c r="AG1413" i="9"/>
  <c r="AF1413" i="9"/>
  <c r="AE1413" i="9"/>
  <c r="AD1413" i="9"/>
  <c r="AC1413" i="9"/>
  <c r="AA1413" i="9"/>
  <c r="Z1413" i="9"/>
  <c r="Y1413" i="9"/>
  <c r="X1413" i="9"/>
  <c r="W1413" i="9"/>
  <c r="U1413" i="9"/>
  <c r="AI1412" i="9"/>
  <c r="AH1412" i="9"/>
  <c r="AG1412" i="9"/>
  <c r="AF1412" i="9"/>
  <c r="AE1412" i="9"/>
  <c r="AD1412" i="9"/>
  <c r="AC1412" i="9"/>
  <c r="AA1412" i="9"/>
  <c r="Z1412" i="9"/>
  <c r="Y1412" i="9"/>
  <c r="X1412" i="9"/>
  <c r="W1412" i="9"/>
  <c r="U1412" i="9"/>
  <c r="AI1411" i="9"/>
  <c r="AH1411" i="9"/>
  <c r="AG1411" i="9"/>
  <c r="AF1411" i="9"/>
  <c r="AE1411" i="9"/>
  <c r="AD1411" i="9"/>
  <c r="AA1411" i="9"/>
  <c r="Z1411" i="9"/>
  <c r="Y1411" i="9"/>
  <c r="X1411" i="9"/>
  <c r="W1411" i="9"/>
  <c r="U1411" i="9"/>
  <c r="AC1411" i="9" s="1"/>
  <c r="AI1410" i="9"/>
  <c r="AH1410" i="9"/>
  <c r="AG1410" i="9"/>
  <c r="AF1410" i="9"/>
  <c r="AE1410" i="9"/>
  <c r="AD1410" i="9"/>
  <c r="AA1410" i="9"/>
  <c r="Z1410" i="9"/>
  <c r="Y1410" i="9"/>
  <c r="X1410" i="9"/>
  <c r="W1410" i="9"/>
  <c r="U1410" i="9"/>
  <c r="AC1410" i="9" s="1"/>
  <c r="AI1409" i="9"/>
  <c r="AH1409" i="9"/>
  <c r="AG1409" i="9"/>
  <c r="AF1409" i="9"/>
  <c r="AE1409" i="9"/>
  <c r="AD1409" i="9"/>
  <c r="AA1409" i="9"/>
  <c r="Z1409" i="9"/>
  <c r="Y1409" i="9"/>
  <c r="X1409" i="9"/>
  <c r="W1409" i="9"/>
  <c r="U1409" i="9"/>
  <c r="AC1409" i="9" s="1"/>
  <c r="AI1408" i="9"/>
  <c r="AH1408" i="9"/>
  <c r="AG1408" i="9"/>
  <c r="AF1408" i="9"/>
  <c r="AE1408" i="9"/>
  <c r="AD1408" i="9"/>
  <c r="AA1408" i="9"/>
  <c r="Z1408" i="9"/>
  <c r="Y1408" i="9"/>
  <c r="X1408" i="9"/>
  <c r="W1408" i="9"/>
  <c r="U1408" i="9"/>
  <c r="AC1408" i="9" s="1"/>
  <c r="AI1407" i="9"/>
  <c r="AH1407" i="9"/>
  <c r="AG1407" i="9"/>
  <c r="AF1407" i="9"/>
  <c r="AE1407" i="9"/>
  <c r="AD1407" i="9"/>
  <c r="AA1407" i="9"/>
  <c r="Z1407" i="9"/>
  <c r="Y1407" i="9"/>
  <c r="X1407" i="9"/>
  <c r="W1407" i="9"/>
  <c r="U1407" i="9"/>
  <c r="AC1407" i="9" s="1"/>
  <c r="AI1406" i="9"/>
  <c r="AH1406" i="9"/>
  <c r="AG1406" i="9"/>
  <c r="AF1406" i="9"/>
  <c r="AE1406" i="9"/>
  <c r="AD1406" i="9"/>
  <c r="AA1406" i="9"/>
  <c r="Z1406" i="9"/>
  <c r="Y1406" i="9"/>
  <c r="X1406" i="9"/>
  <c r="W1406" i="9"/>
  <c r="U1406" i="9"/>
  <c r="AC1406" i="9" s="1"/>
  <c r="AI1405" i="9"/>
  <c r="AH1405" i="9"/>
  <c r="AG1405" i="9"/>
  <c r="AF1405" i="9"/>
  <c r="AE1405" i="9"/>
  <c r="AD1405" i="9"/>
  <c r="AC1405" i="9"/>
  <c r="AA1405" i="9"/>
  <c r="Z1405" i="9"/>
  <c r="Y1405" i="9"/>
  <c r="X1405" i="9"/>
  <c r="W1405" i="9"/>
  <c r="U1405" i="9"/>
  <c r="AI1404" i="9"/>
  <c r="AH1404" i="9"/>
  <c r="AG1404" i="9"/>
  <c r="AF1404" i="9"/>
  <c r="AE1404" i="9"/>
  <c r="AD1404" i="9"/>
  <c r="AC1404" i="9"/>
  <c r="AA1404" i="9"/>
  <c r="Z1404" i="9"/>
  <c r="Y1404" i="9"/>
  <c r="X1404" i="9"/>
  <c r="W1404" i="9"/>
  <c r="U1404" i="9"/>
  <c r="AI1403" i="9"/>
  <c r="AH1403" i="9"/>
  <c r="AG1403" i="9"/>
  <c r="AF1403" i="9"/>
  <c r="AE1403" i="9"/>
  <c r="AD1403" i="9"/>
  <c r="AC1403" i="9"/>
  <c r="AA1403" i="9"/>
  <c r="Z1403" i="9"/>
  <c r="Y1403" i="9"/>
  <c r="X1403" i="9"/>
  <c r="W1403" i="9"/>
  <c r="U1403" i="9"/>
  <c r="AI1402" i="9"/>
  <c r="AH1402" i="9"/>
  <c r="AG1402" i="9"/>
  <c r="AF1402" i="9"/>
  <c r="AE1402" i="9"/>
  <c r="AD1402" i="9"/>
  <c r="AC1402" i="9"/>
  <c r="AA1402" i="9"/>
  <c r="Z1402" i="9"/>
  <c r="Y1402" i="9"/>
  <c r="X1402" i="9"/>
  <c r="W1402" i="9"/>
  <c r="U1402" i="9"/>
  <c r="AI1401" i="9"/>
  <c r="AH1401" i="9"/>
  <c r="AG1401" i="9"/>
  <c r="AF1401" i="9"/>
  <c r="AE1401" i="9"/>
  <c r="AD1401" i="9"/>
  <c r="AC1401" i="9"/>
  <c r="AA1401" i="9"/>
  <c r="Z1401" i="9"/>
  <c r="Y1401" i="9"/>
  <c r="X1401" i="9"/>
  <c r="W1401" i="9"/>
  <c r="U1401" i="9"/>
  <c r="AI1400" i="9"/>
  <c r="AH1400" i="9"/>
  <c r="AG1400" i="9"/>
  <c r="AF1400" i="9"/>
  <c r="AE1400" i="9"/>
  <c r="AD1400" i="9"/>
  <c r="AC1400" i="9"/>
  <c r="AA1400" i="9"/>
  <c r="Z1400" i="9"/>
  <c r="Y1400" i="9"/>
  <c r="X1400" i="9"/>
  <c r="W1400" i="9"/>
  <c r="U1400" i="9"/>
  <c r="AI1399" i="9"/>
  <c r="AH1399" i="9"/>
  <c r="AG1399" i="9"/>
  <c r="AF1399" i="9"/>
  <c r="AE1399" i="9"/>
  <c r="AD1399" i="9"/>
  <c r="AA1399" i="9"/>
  <c r="Z1399" i="9"/>
  <c r="Y1399" i="9"/>
  <c r="X1399" i="9"/>
  <c r="W1399" i="9"/>
  <c r="U1399" i="9"/>
  <c r="AC1399" i="9" s="1"/>
  <c r="AI1398" i="9"/>
  <c r="AH1398" i="9"/>
  <c r="AG1398" i="9"/>
  <c r="AF1398" i="9"/>
  <c r="AE1398" i="9"/>
  <c r="AD1398" i="9"/>
  <c r="AA1398" i="9"/>
  <c r="Z1398" i="9"/>
  <c r="Y1398" i="9"/>
  <c r="X1398" i="9"/>
  <c r="W1398" i="9"/>
  <c r="U1398" i="9"/>
  <c r="AC1398" i="9" s="1"/>
  <c r="AI1397" i="9"/>
  <c r="AH1397" i="9"/>
  <c r="AG1397" i="9"/>
  <c r="AF1397" i="9"/>
  <c r="AE1397" i="9"/>
  <c r="AD1397" i="9"/>
  <c r="AA1397" i="9"/>
  <c r="Z1397" i="9"/>
  <c r="Y1397" i="9"/>
  <c r="X1397" i="9"/>
  <c r="W1397" i="9"/>
  <c r="U1397" i="9"/>
  <c r="AC1397" i="9" s="1"/>
  <c r="AI1396" i="9"/>
  <c r="AH1396" i="9"/>
  <c r="AG1396" i="9"/>
  <c r="AF1396" i="9"/>
  <c r="AE1396" i="9"/>
  <c r="AD1396" i="9"/>
  <c r="AA1396" i="9"/>
  <c r="Z1396" i="9"/>
  <c r="Y1396" i="9"/>
  <c r="X1396" i="9"/>
  <c r="W1396" i="9"/>
  <c r="U1396" i="9"/>
  <c r="AC1396" i="9" s="1"/>
  <c r="AI1395" i="9"/>
  <c r="AH1395" i="9"/>
  <c r="AG1395" i="9"/>
  <c r="AF1395" i="9"/>
  <c r="AE1395" i="9"/>
  <c r="AD1395" i="9"/>
  <c r="AA1395" i="9"/>
  <c r="Z1395" i="9"/>
  <c r="Y1395" i="9"/>
  <c r="X1395" i="9"/>
  <c r="W1395" i="9"/>
  <c r="U1395" i="9"/>
  <c r="AC1395" i="9" s="1"/>
  <c r="AI1394" i="9"/>
  <c r="AH1394" i="9"/>
  <c r="AG1394" i="9"/>
  <c r="AF1394" i="9"/>
  <c r="AE1394" i="9"/>
  <c r="AD1394" i="9"/>
  <c r="AA1394" i="9"/>
  <c r="Z1394" i="9"/>
  <c r="Y1394" i="9"/>
  <c r="X1394" i="9"/>
  <c r="W1394" i="9"/>
  <c r="U1394" i="9"/>
  <c r="AC1394" i="9" s="1"/>
  <c r="AI1393" i="9"/>
  <c r="AH1393" i="9"/>
  <c r="AG1393" i="9"/>
  <c r="AF1393" i="9"/>
  <c r="AE1393" i="9"/>
  <c r="AD1393" i="9"/>
  <c r="AC1393" i="9"/>
  <c r="AA1393" i="9"/>
  <c r="Z1393" i="9"/>
  <c r="Y1393" i="9"/>
  <c r="X1393" i="9"/>
  <c r="W1393" i="9"/>
  <c r="U1393" i="9"/>
  <c r="AI1392" i="9"/>
  <c r="AH1392" i="9"/>
  <c r="AG1392" i="9"/>
  <c r="AF1392" i="9"/>
  <c r="AE1392" i="9"/>
  <c r="AD1392" i="9"/>
  <c r="AC1392" i="9"/>
  <c r="AA1392" i="9"/>
  <c r="Z1392" i="9"/>
  <c r="Y1392" i="9"/>
  <c r="X1392" i="9"/>
  <c r="W1392" i="9"/>
  <c r="U1392" i="9"/>
  <c r="AI1391" i="9"/>
  <c r="AH1391" i="9"/>
  <c r="AG1391" i="9"/>
  <c r="AF1391" i="9"/>
  <c r="AE1391" i="9"/>
  <c r="AD1391" i="9"/>
  <c r="AC1391" i="9"/>
  <c r="AA1391" i="9"/>
  <c r="Z1391" i="9"/>
  <c r="Y1391" i="9"/>
  <c r="X1391" i="9"/>
  <c r="W1391" i="9"/>
  <c r="U1391" i="9"/>
  <c r="AI1390" i="9"/>
  <c r="AH1390" i="9"/>
  <c r="AG1390" i="9"/>
  <c r="AF1390" i="9"/>
  <c r="AE1390" i="9"/>
  <c r="AD1390" i="9"/>
  <c r="AC1390" i="9"/>
  <c r="AA1390" i="9"/>
  <c r="Z1390" i="9"/>
  <c r="Y1390" i="9"/>
  <c r="X1390" i="9"/>
  <c r="W1390" i="9"/>
  <c r="U1390" i="9"/>
  <c r="AI1389" i="9"/>
  <c r="AH1389" i="9"/>
  <c r="AG1389" i="9"/>
  <c r="AF1389" i="9"/>
  <c r="AE1389" i="9"/>
  <c r="AD1389" i="9"/>
  <c r="AC1389" i="9"/>
  <c r="AA1389" i="9"/>
  <c r="Z1389" i="9"/>
  <c r="Y1389" i="9"/>
  <c r="X1389" i="9"/>
  <c r="W1389" i="9"/>
  <c r="U1389" i="9"/>
  <c r="AI1388" i="9"/>
  <c r="AH1388" i="9"/>
  <c r="AG1388" i="9"/>
  <c r="AF1388" i="9"/>
  <c r="AE1388" i="9"/>
  <c r="AD1388" i="9"/>
  <c r="AC1388" i="9"/>
  <c r="AA1388" i="9"/>
  <c r="Z1388" i="9"/>
  <c r="Y1388" i="9"/>
  <c r="X1388" i="9"/>
  <c r="W1388" i="9"/>
  <c r="U1388" i="9"/>
  <c r="AI1387" i="9"/>
  <c r="AH1387" i="9"/>
  <c r="AG1387" i="9"/>
  <c r="AF1387" i="9"/>
  <c r="AE1387" i="9"/>
  <c r="AD1387" i="9"/>
  <c r="AA1387" i="9"/>
  <c r="Z1387" i="9"/>
  <c r="Y1387" i="9"/>
  <c r="X1387" i="9"/>
  <c r="W1387" i="9"/>
  <c r="U1387" i="9"/>
  <c r="AC1387" i="9" s="1"/>
  <c r="AI1386" i="9"/>
  <c r="AH1386" i="9"/>
  <c r="AG1386" i="9"/>
  <c r="AF1386" i="9"/>
  <c r="AE1386" i="9"/>
  <c r="AD1386" i="9"/>
  <c r="AA1386" i="9"/>
  <c r="Z1386" i="9"/>
  <c r="Y1386" i="9"/>
  <c r="X1386" i="9"/>
  <c r="W1386" i="9"/>
  <c r="U1386" i="9"/>
  <c r="AC1386" i="9" s="1"/>
  <c r="AI1385" i="9"/>
  <c r="AH1385" i="9"/>
  <c r="AG1385" i="9"/>
  <c r="AF1385" i="9"/>
  <c r="AE1385" i="9"/>
  <c r="AD1385" i="9"/>
  <c r="AA1385" i="9"/>
  <c r="Z1385" i="9"/>
  <c r="Y1385" i="9"/>
  <c r="X1385" i="9"/>
  <c r="W1385" i="9"/>
  <c r="U1385" i="9"/>
  <c r="AC1385" i="9" s="1"/>
  <c r="AI1384" i="9"/>
  <c r="AH1384" i="9"/>
  <c r="AG1384" i="9"/>
  <c r="AF1384" i="9"/>
  <c r="AE1384" i="9"/>
  <c r="AD1384" i="9"/>
  <c r="AA1384" i="9"/>
  <c r="Z1384" i="9"/>
  <c r="Y1384" i="9"/>
  <c r="X1384" i="9"/>
  <c r="W1384" i="9"/>
  <c r="U1384" i="9"/>
  <c r="AC1384" i="9" s="1"/>
  <c r="AI1383" i="9"/>
  <c r="AH1383" i="9"/>
  <c r="AG1383" i="9"/>
  <c r="AF1383" i="9"/>
  <c r="AE1383" i="9"/>
  <c r="AD1383" i="9"/>
  <c r="AA1383" i="9"/>
  <c r="Z1383" i="9"/>
  <c r="Y1383" i="9"/>
  <c r="X1383" i="9"/>
  <c r="W1383" i="9"/>
  <c r="U1383" i="9"/>
  <c r="AC1383" i="9" s="1"/>
  <c r="AI1382" i="9"/>
  <c r="AH1382" i="9"/>
  <c r="AG1382" i="9"/>
  <c r="AF1382" i="9"/>
  <c r="AE1382" i="9"/>
  <c r="AD1382" i="9"/>
  <c r="AA1382" i="9"/>
  <c r="Z1382" i="9"/>
  <c r="Y1382" i="9"/>
  <c r="X1382" i="9"/>
  <c r="W1382" i="9"/>
  <c r="U1382" i="9"/>
  <c r="AC1382" i="9" s="1"/>
  <c r="AI1381" i="9"/>
  <c r="AH1381" i="9"/>
  <c r="AG1381" i="9"/>
  <c r="AF1381" i="9"/>
  <c r="AE1381" i="9"/>
  <c r="AD1381" i="9"/>
  <c r="AC1381" i="9"/>
  <c r="AA1381" i="9"/>
  <c r="Z1381" i="9"/>
  <c r="Y1381" i="9"/>
  <c r="X1381" i="9"/>
  <c r="W1381" i="9"/>
  <c r="U1381" i="9"/>
  <c r="AI1380" i="9"/>
  <c r="AH1380" i="9"/>
  <c r="AG1380" i="9"/>
  <c r="AF1380" i="9"/>
  <c r="AE1380" i="9"/>
  <c r="AD1380" i="9"/>
  <c r="AC1380" i="9"/>
  <c r="AA1380" i="9"/>
  <c r="Z1380" i="9"/>
  <c r="Y1380" i="9"/>
  <c r="X1380" i="9"/>
  <c r="W1380" i="9"/>
  <c r="U1380" i="9"/>
  <c r="AI1379" i="9"/>
  <c r="AH1379" i="9"/>
  <c r="AG1379" i="9"/>
  <c r="AF1379" i="9"/>
  <c r="AE1379" i="9"/>
  <c r="AD1379" i="9"/>
  <c r="AC1379" i="9"/>
  <c r="AA1379" i="9"/>
  <c r="Z1379" i="9"/>
  <c r="Y1379" i="9"/>
  <c r="X1379" i="9"/>
  <c r="W1379" i="9"/>
  <c r="U1379" i="9"/>
  <c r="AI1378" i="9"/>
  <c r="AH1378" i="9"/>
  <c r="AG1378" i="9"/>
  <c r="AF1378" i="9"/>
  <c r="AE1378" i="9"/>
  <c r="AD1378" i="9"/>
  <c r="AC1378" i="9"/>
  <c r="AA1378" i="9"/>
  <c r="Z1378" i="9"/>
  <c r="Y1378" i="9"/>
  <c r="X1378" i="9"/>
  <c r="W1378" i="9"/>
  <c r="U1378" i="9"/>
  <c r="AI1377" i="9"/>
  <c r="AH1377" i="9"/>
  <c r="AG1377" i="9"/>
  <c r="AF1377" i="9"/>
  <c r="AE1377" i="9"/>
  <c r="AD1377" i="9"/>
  <c r="AC1377" i="9"/>
  <c r="AA1377" i="9"/>
  <c r="Z1377" i="9"/>
  <c r="Y1377" i="9"/>
  <c r="X1377" i="9"/>
  <c r="W1377" i="9"/>
  <c r="U1377" i="9"/>
  <c r="AI1376" i="9"/>
  <c r="AH1376" i="9"/>
  <c r="AG1376" i="9"/>
  <c r="AF1376" i="9"/>
  <c r="AE1376" i="9"/>
  <c r="AD1376" i="9"/>
  <c r="AC1376" i="9"/>
  <c r="AA1376" i="9"/>
  <c r="Z1376" i="9"/>
  <c r="Y1376" i="9"/>
  <c r="X1376" i="9"/>
  <c r="W1376" i="9"/>
  <c r="U1376" i="9"/>
  <c r="AI1375" i="9"/>
  <c r="AH1375" i="9"/>
  <c r="AG1375" i="9"/>
  <c r="AF1375" i="9"/>
  <c r="AE1375" i="9"/>
  <c r="AD1375" i="9"/>
  <c r="AA1375" i="9"/>
  <c r="Z1375" i="9"/>
  <c r="Y1375" i="9"/>
  <c r="X1375" i="9"/>
  <c r="W1375" i="9"/>
  <c r="U1375" i="9"/>
  <c r="AC1375" i="9" s="1"/>
  <c r="AI1374" i="9"/>
  <c r="AH1374" i="9"/>
  <c r="AG1374" i="9"/>
  <c r="AF1374" i="9"/>
  <c r="AE1374" i="9"/>
  <c r="AD1374" i="9"/>
  <c r="AA1374" i="9"/>
  <c r="Z1374" i="9"/>
  <c r="Y1374" i="9"/>
  <c r="X1374" i="9"/>
  <c r="W1374" i="9"/>
  <c r="U1374" i="9"/>
  <c r="AC1374" i="9" s="1"/>
  <c r="AI1373" i="9"/>
  <c r="AH1373" i="9"/>
  <c r="AG1373" i="9"/>
  <c r="AF1373" i="9"/>
  <c r="AE1373" i="9"/>
  <c r="AD1373" i="9"/>
  <c r="AA1373" i="9"/>
  <c r="Z1373" i="9"/>
  <c r="Y1373" i="9"/>
  <c r="X1373" i="9"/>
  <c r="W1373" i="9"/>
  <c r="U1373" i="9"/>
  <c r="AC1373" i="9" s="1"/>
  <c r="AI1372" i="9"/>
  <c r="AH1372" i="9"/>
  <c r="AG1372" i="9"/>
  <c r="AF1372" i="9"/>
  <c r="AE1372" i="9"/>
  <c r="AD1372" i="9"/>
  <c r="AA1372" i="9"/>
  <c r="Z1372" i="9"/>
  <c r="Y1372" i="9"/>
  <c r="X1372" i="9"/>
  <c r="W1372" i="9"/>
  <c r="U1372" i="9"/>
  <c r="AC1372" i="9" s="1"/>
  <c r="AI1371" i="9"/>
  <c r="AH1371" i="9"/>
  <c r="AG1371" i="9"/>
  <c r="AF1371" i="9"/>
  <c r="AE1371" i="9"/>
  <c r="AD1371" i="9"/>
  <c r="AA1371" i="9"/>
  <c r="Z1371" i="9"/>
  <c r="Y1371" i="9"/>
  <c r="X1371" i="9"/>
  <c r="W1371" i="9"/>
  <c r="U1371" i="9"/>
  <c r="AC1371" i="9" s="1"/>
  <c r="AI1370" i="9"/>
  <c r="AH1370" i="9"/>
  <c r="AG1370" i="9"/>
  <c r="AF1370" i="9"/>
  <c r="AE1370" i="9"/>
  <c r="AD1370" i="9"/>
  <c r="AA1370" i="9"/>
  <c r="Z1370" i="9"/>
  <c r="Y1370" i="9"/>
  <c r="X1370" i="9"/>
  <c r="W1370" i="9"/>
  <c r="U1370" i="9"/>
  <c r="AC1370" i="9" s="1"/>
  <c r="AI1369" i="9"/>
  <c r="AH1369" i="9"/>
  <c r="AG1369" i="9"/>
  <c r="AF1369" i="9"/>
  <c r="AE1369" i="9"/>
  <c r="AD1369" i="9"/>
  <c r="AC1369" i="9"/>
  <c r="AA1369" i="9"/>
  <c r="Z1369" i="9"/>
  <c r="Y1369" i="9"/>
  <c r="X1369" i="9"/>
  <c r="W1369" i="9"/>
  <c r="U1369" i="9"/>
  <c r="AI1368" i="9"/>
  <c r="AH1368" i="9"/>
  <c r="AG1368" i="9"/>
  <c r="AF1368" i="9"/>
  <c r="AE1368" i="9"/>
  <c r="AD1368" i="9"/>
  <c r="AC1368" i="9"/>
  <c r="AA1368" i="9"/>
  <c r="Z1368" i="9"/>
  <c r="Y1368" i="9"/>
  <c r="X1368" i="9"/>
  <c r="W1368" i="9"/>
  <c r="U1368" i="9"/>
  <c r="AI1367" i="9"/>
  <c r="AH1367" i="9"/>
  <c r="AG1367" i="9"/>
  <c r="AF1367" i="9"/>
  <c r="AE1367" i="9"/>
  <c r="AD1367" i="9"/>
  <c r="AC1367" i="9"/>
  <c r="AA1367" i="9"/>
  <c r="Z1367" i="9"/>
  <c r="Y1367" i="9"/>
  <c r="X1367" i="9"/>
  <c r="W1367" i="9"/>
  <c r="U1367" i="9"/>
  <c r="AI1366" i="9"/>
  <c r="AH1366" i="9"/>
  <c r="AG1366" i="9"/>
  <c r="AF1366" i="9"/>
  <c r="AE1366" i="9"/>
  <c r="AD1366" i="9"/>
  <c r="AC1366" i="9"/>
  <c r="AA1366" i="9"/>
  <c r="Z1366" i="9"/>
  <c r="Y1366" i="9"/>
  <c r="X1366" i="9"/>
  <c r="W1366" i="9"/>
  <c r="U1366" i="9"/>
  <c r="AI1365" i="9"/>
  <c r="AH1365" i="9"/>
  <c r="AG1365" i="9"/>
  <c r="AF1365" i="9"/>
  <c r="AE1365" i="9"/>
  <c r="AD1365" i="9"/>
  <c r="AC1365" i="9"/>
  <c r="AA1365" i="9"/>
  <c r="Z1365" i="9"/>
  <c r="Y1365" i="9"/>
  <c r="X1365" i="9"/>
  <c r="W1365" i="9"/>
  <c r="U1365" i="9"/>
  <c r="AI1364" i="9"/>
  <c r="AH1364" i="9"/>
  <c r="AG1364" i="9"/>
  <c r="AF1364" i="9"/>
  <c r="AE1364" i="9"/>
  <c r="AD1364" i="9"/>
  <c r="AC1364" i="9"/>
  <c r="AA1364" i="9"/>
  <c r="Z1364" i="9"/>
  <c r="Y1364" i="9"/>
  <c r="X1364" i="9"/>
  <c r="W1364" i="9"/>
  <c r="U1364" i="9"/>
  <c r="AI1363" i="9"/>
  <c r="AH1363" i="9"/>
  <c r="AG1363" i="9"/>
  <c r="AF1363" i="9"/>
  <c r="AE1363" i="9"/>
  <c r="AD1363" i="9"/>
  <c r="AA1363" i="9"/>
  <c r="Z1363" i="9"/>
  <c r="Y1363" i="9"/>
  <c r="X1363" i="9"/>
  <c r="W1363" i="9"/>
  <c r="U1363" i="9"/>
  <c r="AC1363" i="9" s="1"/>
  <c r="AI1362" i="9"/>
  <c r="AH1362" i="9"/>
  <c r="AG1362" i="9"/>
  <c r="AF1362" i="9"/>
  <c r="AE1362" i="9"/>
  <c r="AD1362" i="9"/>
  <c r="AA1362" i="9"/>
  <c r="Z1362" i="9"/>
  <c r="Y1362" i="9"/>
  <c r="X1362" i="9"/>
  <c r="W1362" i="9"/>
  <c r="U1362" i="9"/>
  <c r="AC1362" i="9" s="1"/>
  <c r="AI1361" i="9"/>
  <c r="AH1361" i="9"/>
  <c r="AG1361" i="9"/>
  <c r="AF1361" i="9"/>
  <c r="AE1361" i="9"/>
  <c r="AD1361" i="9"/>
  <c r="AA1361" i="9"/>
  <c r="Z1361" i="9"/>
  <c r="Y1361" i="9"/>
  <c r="X1361" i="9"/>
  <c r="W1361" i="9"/>
  <c r="U1361" i="9"/>
  <c r="AC1361" i="9" s="1"/>
  <c r="AI1360" i="9"/>
  <c r="AH1360" i="9"/>
  <c r="AG1360" i="9"/>
  <c r="AF1360" i="9"/>
  <c r="AE1360" i="9"/>
  <c r="AD1360" i="9"/>
  <c r="AA1360" i="9"/>
  <c r="Z1360" i="9"/>
  <c r="Y1360" i="9"/>
  <c r="X1360" i="9"/>
  <c r="W1360" i="9"/>
  <c r="U1360" i="9"/>
  <c r="AC1360" i="9" s="1"/>
  <c r="AI1359" i="9"/>
  <c r="AH1359" i="9"/>
  <c r="AG1359" i="9"/>
  <c r="AF1359" i="9"/>
  <c r="AE1359" i="9"/>
  <c r="AD1359" i="9"/>
  <c r="AA1359" i="9"/>
  <c r="Z1359" i="9"/>
  <c r="Y1359" i="9"/>
  <c r="X1359" i="9"/>
  <c r="W1359" i="9"/>
  <c r="U1359" i="9"/>
  <c r="AC1359" i="9" s="1"/>
  <c r="AI1358" i="9"/>
  <c r="AH1358" i="9"/>
  <c r="AG1358" i="9"/>
  <c r="AF1358" i="9"/>
  <c r="AE1358" i="9"/>
  <c r="AD1358" i="9"/>
  <c r="AA1358" i="9"/>
  <c r="Z1358" i="9"/>
  <c r="Y1358" i="9"/>
  <c r="X1358" i="9"/>
  <c r="W1358" i="9"/>
  <c r="U1358" i="9"/>
  <c r="AC1358" i="9" s="1"/>
  <c r="AI1357" i="9"/>
  <c r="AH1357" i="9"/>
  <c r="AG1357" i="9"/>
  <c r="AF1357" i="9"/>
  <c r="AE1357" i="9"/>
  <c r="AD1357" i="9"/>
  <c r="AC1357" i="9"/>
  <c r="AA1357" i="9"/>
  <c r="Z1357" i="9"/>
  <c r="Y1357" i="9"/>
  <c r="X1357" i="9"/>
  <c r="W1357" i="9"/>
  <c r="U1357" i="9"/>
  <c r="AI1356" i="9"/>
  <c r="AH1356" i="9"/>
  <c r="AG1356" i="9"/>
  <c r="AF1356" i="9"/>
  <c r="AE1356" i="9"/>
  <c r="AD1356" i="9"/>
  <c r="AC1356" i="9"/>
  <c r="AA1356" i="9"/>
  <c r="Z1356" i="9"/>
  <c r="Y1356" i="9"/>
  <c r="X1356" i="9"/>
  <c r="W1356" i="9"/>
  <c r="U1356" i="9"/>
  <c r="AI1355" i="9"/>
  <c r="AH1355" i="9"/>
  <c r="AG1355" i="9"/>
  <c r="AF1355" i="9"/>
  <c r="AE1355" i="9"/>
  <c r="AD1355" i="9"/>
  <c r="AC1355" i="9"/>
  <c r="AA1355" i="9"/>
  <c r="Z1355" i="9"/>
  <c r="Y1355" i="9"/>
  <c r="X1355" i="9"/>
  <c r="W1355" i="9"/>
  <c r="U1355" i="9"/>
  <c r="AI1354" i="9"/>
  <c r="AH1354" i="9"/>
  <c r="AG1354" i="9"/>
  <c r="AF1354" i="9"/>
  <c r="AE1354" i="9"/>
  <c r="AD1354" i="9"/>
  <c r="AC1354" i="9"/>
  <c r="AA1354" i="9"/>
  <c r="Z1354" i="9"/>
  <c r="Y1354" i="9"/>
  <c r="X1354" i="9"/>
  <c r="W1354" i="9"/>
  <c r="U1354" i="9"/>
  <c r="AI1353" i="9"/>
  <c r="AH1353" i="9"/>
  <c r="AG1353" i="9"/>
  <c r="AF1353" i="9"/>
  <c r="AE1353" i="9"/>
  <c r="AD1353" i="9"/>
  <c r="AC1353" i="9"/>
  <c r="AA1353" i="9"/>
  <c r="Z1353" i="9"/>
  <c r="Y1353" i="9"/>
  <c r="X1353" i="9"/>
  <c r="W1353" i="9"/>
  <c r="U1353" i="9"/>
  <c r="AI1352" i="9"/>
  <c r="AH1352" i="9"/>
  <c r="AG1352" i="9"/>
  <c r="AF1352" i="9"/>
  <c r="AE1352" i="9"/>
  <c r="AD1352" i="9"/>
  <c r="AC1352" i="9"/>
  <c r="AA1352" i="9"/>
  <c r="Z1352" i="9"/>
  <c r="Y1352" i="9"/>
  <c r="X1352" i="9"/>
  <c r="W1352" i="9"/>
  <c r="U1352" i="9"/>
  <c r="AI1351" i="9"/>
  <c r="AH1351" i="9"/>
  <c r="AG1351" i="9"/>
  <c r="AF1351" i="9"/>
  <c r="AE1351" i="9"/>
  <c r="AD1351" i="9"/>
  <c r="AA1351" i="9"/>
  <c r="Z1351" i="9"/>
  <c r="Y1351" i="9"/>
  <c r="X1351" i="9"/>
  <c r="W1351" i="9"/>
  <c r="U1351" i="9"/>
  <c r="AC1351" i="9" s="1"/>
  <c r="AI1350" i="9"/>
  <c r="AH1350" i="9"/>
  <c r="AG1350" i="9"/>
  <c r="AF1350" i="9"/>
  <c r="AE1350" i="9"/>
  <c r="AD1350" i="9"/>
  <c r="AA1350" i="9"/>
  <c r="Z1350" i="9"/>
  <c r="Y1350" i="9"/>
  <c r="X1350" i="9"/>
  <c r="W1350" i="9"/>
  <c r="U1350" i="9"/>
  <c r="AC1350" i="9" s="1"/>
  <c r="AI1349" i="9"/>
  <c r="AH1349" i="9"/>
  <c r="AG1349" i="9"/>
  <c r="AF1349" i="9"/>
  <c r="AE1349" i="9"/>
  <c r="AD1349" i="9"/>
  <c r="AA1349" i="9"/>
  <c r="Z1349" i="9"/>
  <c r="Y1349" i="9"/>
  <c r="X1349" i="9"/>
  <c r="W1349" i="9"/>
  <c r="U1349" i="9"/>
  <c r="AC1349" i="9" s="1"/>
  <c r="AI1348" i="9"/>
  <c r="AH1348" i="9"/>
  <c r="AG1348" i="9"/>
  <c r="AF1348" i="9"/>
  <c r="AE1348" i="9"/>
  <c r="AD1348" i="9"/>
  <c r="AA1348" i="9"/>
  <c r="Z1348" i="9"/>
  <c r="Y1348" i="9"/>
  <c r="X1348" i="9"/>
  <c r="W1348" i="9"/>
  <c r="U1348" i="9"/>
  <c r="AC1348" i="9" s="1"/>
  <c r="AI1347" i="9"/>
  <c r="AH1347" i="9"/>
  <c r="AG1347" i="9"/>
  <c r="AF1347" i="9"/>
  <c r="AE1347" i="9"/>
  <c r="AD1347" i="9"/>
  <c r="AA1347" i="9"/>
  <c r="Z1347" i="9"/>
  <c r="Y1347" i="9"/>
  <c r="X1347" i="9"/>
  <c r="W1347" i="9"/>
  <c r="U1347" i="9"/>
  <c r="AC1347" i="9" s="1"/>
  <c r="AI1346" i="9"/>
  <c r="AH1346" i="9"/>
  <c r="AG1346" i="9"/>
  <c r="AF1346" i="9"/>
  <c r="AE1346" i="9"/>
  <c r="AD1346" i="9"/>
  <c r="AA1346" i="9"/>
  <c r="Z1346" i="9"/>
  <c r="Y1346" i="9"/>
  <c r="X1346" i="9"/>
  <c r="W1346" i="9"/>
  <c r="U1346" i="9"/>
  <c r="AC1346" i="9" s="1"/>
  <c r="AI1345" i="9"/>
  <c r="AH1345" i="9"/>
  <c r="AG1345" i="9"/>
  <c r="AF1345" i="9"/>
  <c r="AE1345" i="9"/>
  <c r="AD1345" i="9"/>
  <c r="AC1345" i="9"/>
  <c r="AA1345" i="9"/>
  <c r="Z1345" i="9"/>
  <c r="Y1345" i="9"/>
  <c r="X1345" i="9"/>
  <c r="W1345" i="9"/>
  <c r="U1345" i="9"/>
  <c r="AI1344" i="9"/>
  <c r="AH1344" i="9"/>
  <c r="AG1344" i="9"/>
  <c r="AF1344" i="9"/>
  <c r="AE1344" i="9"/>
  <c r="AD1344" i="9"/>
  <c r="AC1344" i="9"/>
  <c r="AA1344" i="9"/>
  <c r="Z1344" i="9"/>
  <c r="Y1344" i="9"/>
  <c r="X1344" i="9"/>
  <c r="W1344" i="9"/>
  <c r="U1344" i="9"/>
  <c r="AI1343" i="9"/>
  <c r="AH1343" i="9"/>
  <c r="AG1343" i="9"/>
  <c r="AF1343" i="9"/>
  <c r="AE1343" i="9"/>
  <c r="AD1343" i="9"/>
  <c r="AC1343" i="9"/>
  <c r="AA1343" i="9"/>
  <c r="Z1343" i="9"/>
  <c r="Y1343" i="9"/>
  <c r="X1343" i="9"/>
  <c r="W1343" i="9"/>
  <c r="U1343" i="9"/>
  <c r="AI1342" i="9"/>
  <c r="AH1342" i="9"/>
  <c r="AG1342" i="9"/>
  <c r="AF1342" i="9"/>
  <c r="AE1342" i="9"/>
  <c r="AD1342" i="9"/>
  <c r="AC1342" i="9"/>
  <c r="AA1342" i="9"/>
  <c r="Z1342" i="9"/>
  <c r="Y1342" i="9"/>
  <c r="X1342" i="9"/>
  <c r="W1342" i="9"/>
  <c r="U1342" i="9"/>
  <c r="AI1341" i="9"/>
  <c r="AH1341" i="9"/>
  <c r="AG1341" i="9"/>
  <c r="AF1341" i="9"/>
  <c r="AE1341" i="9"/>
  <c r="AD1341" i="9"/>
  <c r="AC1341" i="9"/>
  <c r="AA1341" i="9"/>
  <c r="Z1341" i="9"/>
  <c r="Y1341" i="9"/>
  <c r="X1341" i="9"/>
  <c r="W1341" i="9"/>
  <c r="U1341" i="9"/>
  <c r="AI1340" i="9"/>
  <c r="AH1340" i="9"/>
  <c r="AG1340" i="9"/>
  <c r="AF1340" i="9"/>
  <c r="AE1340" i="9"/>
  <c r="AD1340" i="9"/>
  <c r="AC1340" i="9"/>
  <c r="AA1340" i="9"/>
  <c r="Z1340" i="9"/>
  <c r="Y1340" i="9"/>
  <c r="X1340" i="9"/>
  <c r="W1340" i="9"/>
  <c r="U1340" i="9"/>
  <c r="AI1339" i="9"/>
  <c r="AH1339" i="9"/>
  <c r="AG1339" i="9"/>
  <c r="AF1339" i="9"/>
  <c r="AE1339" i="9"/>
  <c r="AD1339" i="9"/>
  <c r="AA1339" i="9"/>
  <c r="Z1339" i="9"/>
  <c r="Y1339" i="9"/>
  <c r="X1339" i="9"/>
  <c r="W1339" i="9"/>
  <c r="U1339" i="9"/>
  <c r="AC1339" i="9" s="1"/>
  <c r="AI1338" i="9"/>
  <c r="AH1338" i="9"/>
  <c r="AG1338" i="9"/>
  <c r="AF1338" i="9"/>
  <c r="AE1338" i="9"/>
  <c r="AD1338" i="9"/>
  <c r="AA1338" i="9"/>
  <c r="Z1338" i="9"/>
  <c r="Y1338" i="9"/>
  <c r="X1338" i="9"/>
  <c r="W1338" i="9"/>
  <c r="U1338" i="9"/>
  <c r="AC1338" i="9" s="1"/>
  <c r="AI1337" i="9"/>
  <c r="AH1337" i="9"/>
  <c r="AG1337" i="9"/>
  <c r="AF1337" i="9"/>
  <c r="AE1337" i="9"/>
  <c r="AD1337" i="9"/>
  <c r="AA1337" i="9"/>
  <c r="Z1337" i="9"/>
  <c r="Y1337" i="9"/>
  <c r="X1337" i="9"/>
  <c r="W1337" i="9"/>
  <c r="U1337" i="9"/>
  <c r="AC1337" i="9" s="1"/>
  <c r="AI1336" i="9"/>
  <c r="AH1336" i="9"/>
  <c r="AG1336" i="9"/>
  <c r="AF1336" i="9"/>
  <c r="AE1336" i="9"/>
  <c r="AD1336" i="9"/>
  <c r="AA1336" i="9"/>
  <c r="Z1336" i="9"/>
  <c r="Y1336" i="9"/>
  <c r="X1336" i="9"/>
  <c r="W1336" i="9"/>
  <c r="U1336" i="9"/>
  <c r="AC1336" i="9" s="1"/>
  <c r="AI1335" i="9"/>
  <c r="AH1335" i="9"/>
  <c r="AG1335" i="9"/>
  <c r="AF1335" i="9"/>
  <c r="AE1335" i="9"/>
  <c r="AD1335" i="9"/>
  <c r="AA1335" i="9"/>
  <c r="Z1335" i="9"/>
  <c r="Y1335" i="9"/>
  <c r="X1335" i="9"/>
  <c r="W1335" i="9"/>
  <c r="U1335" i="9"/>
  <c r="AC1335" i="9" s="1"/>
  <c r="AI1334" i="9"/>
  <c r="AH1334" i="9"/>
  <c r="AG1334" i="9"/>
  <c r="AF1334" i="9"/>
  <c r="AE1334" i="9"/>
  <c r="AD1334" i="9"/>
  <c r="AA1334" i="9"/>
  <c r="Z1334" i="9"/>
  <c r="Y1334" i="9"/>
  <c r="X1334" i="9"/>
  <c r="W1334" i="9"/>
  <c r="U1334" i="9"/>
  <c r="AC1334" i="9" s="1"/>
  <c r="AI1333" i="9"/>
  <c r="AH1333" i="9"/>
  <c r="AG1333" i="9"/>
  <c r="AF1333" i="9"/>
  <c r="AE1333" i="9"/>
  <c r="AD1333" i="9"/>
  <c r="AC1333" i="9"/>
  <c r="AA1333" i="9"/>
  <c r="Z1333" i="9"/>
  <c r="Y1333" i="9"/>
  <c r="X1333" i="9"/>
  <c r="W1333" i="9"/>
  <c r="U1333" i="9"/>
  <c r="AI1332" i="9"/>
  <c r="AH1332" i="9"/>
  <c r="AG1332" i="9"/>
  <c r="AF1332" i="9"/>
  <c r="AE1332" i="9"/>
  <c r="AD1332" i="9"/>
  <c r="AC1332" i="9"/>
  <c r="AA1332" i="9"/>
  <c r="Z1332" i="9"/>
  <c r="Y1332" i="9"/>
  <c r="X1332" i="9"/>
  <c r="W1332" i="9"/>
  <c r="U1332" i="9"/>
  <c r="AI1331" i="9"/>
  <c r="AH1331" i="9"/>
  <c r="AG1331" i="9"/>
  <c r="AF1331" i="9"/>
  <c r="AE1331" i="9"/>
  <c r="AD1331" i="9"/>
  <c r="AC1331" i="9"/>
  <c r="AA1331" i="9"/>
  <c r="Z1331" i="9"/>
  <c r="Y1331" i="9"/>
  <c r="X1331" i="9"/>
  <c r="W1331" i="9"/>
  <c r="U1331" i="9"/>
  <c r="AI1330" i="9"/>
  <c r="AH1330" i="9"/>
  <c r="AG1330" i="9"/>
  <c r="AF1330" i="9"/>
  <c r="AE1330" i="9"/>
  <c r="AD1330" i="9"/>
  <c r="AC1330" i="9"/>
  <c r="AA1330" i="9"/>
  <c r="Z1330" i="9"/>
  <c r="Y1330" i="9"/>
  <c r="X1330" i="9"/>
  <c r="W1330" i="9"/>
  <c r="U1330" i="9"/>
  <c r="AI1329" i="9"/>
  <c r="AH1329" i="9"/>
  <c r="AG1329" i="9"/>
  <c r="AF1329" i="9"/>
  <c r="AE1329" i="9"/>
  <c r="AD1329" i="9"/>
  <c r="AC1329" i="9"/>
  <c r="AA1329" i="9"/>
  <c r="Z1329" i="9"/>
  <c r="Y1329" i="9"/>
  <c r="X1329" i="9"/>
  <c r="W1329" i="9"/>
  <c r="U1329" i="9"/>
  <c r="AI1328" i="9"/>
  <c r="AH1328" i="9"/>
  <c r="AG1328" i="9"/>
  <c r="AF1328" i="9"/>
  <c r="AE1328" i="9"/>
  <c r="AD1328" i="9"/>
  <c r="AC1328" i="9"/>
  <c r="AA1328" i="9"/>
  <c r="Z1328" i="9"/>
  <c r="Y1328" i="9"/>
  <c r="X1328" i="9"/>
  <c r="W1328" i="9"/>
  <c r="U1328" i="9"/>
  <c r="AI1327" i="9"/>
  <c r="AH1327" i="9"/>
  <c r="AG1327" i="9"/>
  <c r="AF1327" i="9"/>
  <c r="AE1327" i="9"/>
  <c r="AD1327" i="9"/>
  <c r="AA1327" i="9"/>
  <c r="Z1327" i="9"/>
  <c r="Y1327" i="9"/>
  <c r="X1327" i="9"/>
  <c r="W1327" i="9"/>
  <c r="U1327" i="9"/>
  <c r="AC1327" i="9" s="1"/>
  <c r="AI1326" i="9"/>
  <c r="AH1326" i="9"/>
  <c r="AG1326" i="9"/>
  <c r="AF1326" i="9"/>
  <c r="AE1326" i="9"/>
  <c r="AD1326" i="9"/>
  <c r="AA1326" i="9"/>
  <c r="Z1326" i="9"/>
  <c r="Y1326" i="9"/>
  <c r="X1326" i="9"/>
  <c r="W1326" i="9"/>
  <c r="U1326" i="9"/>
  <c r="AC1326" i="9" s="1"/>
  <c r="AI1325" i="9"/>
  <c r="AH1325" i="9"/>
  <c r="AG1325" i="9"/>
  <c r="AF1325" i="9"/>
  <c r="AE1325" i="9"/>
  <c r="AD1325" i="9"/>
  <c r="AA1325" i="9"/>
  <c r="Z1325" i="9"/>
  <c r="Y1325" i="9"/>
  <c r="X1325" i="9"/>
  <c r="W1325" i="9"/>
  <c r="U1325" i="9"/>
  <c r="AC1325" i="9" s="1"/>
  <c r="AI1324" i="9"/>
  <c r="AH1324" i="9"/>
  <c r="AG1324" i="9"/>
  <c r="AF1324" i="9"/>
  <c r="AE1324" i="9"/>
  <c r="AD1324" i="9"/>
  <c r="AA1324" i="9"/>
  <c r="Z1324" i="9"/>
  <c r="Y1324" i="9"/>
  <c r="X1324" i="9"/>
  <c r="W1324" i="9"/>
  <c r="U1324" i="9"/>
  <c r="AC1324" i="9" s="1"/>
  <c r="AI1323" i="9"/>
  <c r="AH1323" i="9"/>
  <c r="AG1323" i="9"/>
  <c r="AF1323" i="9"/>
  <c r="AE1323" i="9"/>
  <c r="AD1323" i="9"/>
  <c r="AA1323" i="9"/>
  <c r="Z1323" i="9"/>
  <c r="Y1323" i="9"/>
  <c r="X1323" i="9"/>
  <c r="W1323" i="9"/>
  <c r="U1323" i="9"/>
  <c r="AC1323" i="9" s="1"/>
  <c r="AI1322" i="9"/>
  <c r="AH1322" i="9"/>
  <c r="AG1322" i="9"/>
  <c r="AF1322" i="9"/>
  <c r="AE1322" i="9"/>
  <c r="AD1322" i="9"/>
  <c r="AA1322" i="9"/>
  <c r="Z1322" i="9"/>
  <c r="Y1322" i="9"/>
  <c r="X1322" i="9"/>
  <c r="W1322" i="9"/>
  <c r="U1322" i="9"/>
  <c r="AC1322" i="9" s="1"/>
  <c r="AI1321" i="9"/>
  <c r="AH1321" i="9"/>
  <c r="AG1321" i="9"/>
  <c r="AF1321" i="9"/>
  <c r="AE1321" i="9"/>
  <c r="AD1321" i="9"/>
  <c r="AC1321" i="9"/>
  <c r="AA1321" i="9"/>
  <c r="Z1321" i="9"/>
  <c r="Y1321" i="9"/>
  <c r="X1321" i="9"/>
  <c r="W1321" i="9"/>
  <c r="U1321" i="9"/>
  <c r="AI1320" i="9"/>
  <c r="AH1320" i="9"/>
  <c r="AG1320" i="9"/>
  <c r="AF1320" i="9"/>
  <c r="AE1320" i="9"/>
  <c r="AD1320" i="9"/>
  <c r="AC1320" i="9"/>
  <c r="AA1320" i="9"/>
  <c r="Z1320" i="9"/>
  <c r="Y1320" i="9"/>
  <c r="X1320" i="9"/>
  <c r="W1320" i="9"/>
  <c r="U1320" i="9"/>
  <c r="AI1319" i="9"/>
  <c r="AH1319" i="9"/>
  <c r="AG1319" i="9"/>
  <c r="AF1319" i="9"/>
  <c r="AE1319" i="9"/>
  <c r="AD1319" i="9"/>
  <c r="AC1319" i="9"/>
  <c r="AA1319" i="9"/>
  <c r="Z1319" i="9"/>
  <c r="Y1319" i="9"/>
  <c r="X1319" i="9"/>
  <c r="W1319" i="9"/>
  <c r="U1319" i="9"/>
  <c r="AI1318" i="9"/>
  <c r="AH1318" i="9"/>
  <c r="AG1318" i="9"/>
  <c r="AF1318" i="9"/>
  <c r="AE1318" i="9"/>
  <c r="AD1318" i="9"/>
  <c r="AC1318" i="9"/>
  <c r="AA1318" i="9"/>
  <c r="Z1318" i="9"/>
  <c r="Y1318" i="9"/>
  <c r="X1318" i="9"/>
  <c r="W1318" i="9"/>
  <c r="U1318" i="9"/>
  <c r="AI1317" i="9"/>
  <c r="AH1317" i="9"/>
  <c r="AG1317" i="9"/>
  <c r="AF1317" i="9"/>
  <c r="AE1317" i="9"/>
  <c r="AD1317" i="9"/>
  <c r="AC1317" i="9"/>
  <c r="AA1317" i="9"/>
  <c r="Z1317" i="9"/>
  <c r="Y1317" i="9"/>
  <c r="X1317" i="9"/>
  <c r="W1317" i="9"/>
  <c r="U1317" i="9"/>
  <c r="AI1316" i="9"/>
  <c r="AH1316" i="9"/>
  <c r="AG1316" i="9"/>
  <c r="AF1316" i="9"/>
  <c r="AE1316" i="9"/>
  <c r="AD1316" i="9"/>
  <c r="AC1316" i="9"/>
  <c r="AA1316" i="9"/>
  <c r="Z1316" i="9"/>
  <c r="Y1316" i="9"/>
  <c r="X1316" i="9"/>
  <c r="W1316" i="9"/>
  <c r="U1316" i="9"/>
  <c r="AI1315" i="9"/>
  <c r="AH1315" i="9"/>
  <c r="AG1315" i="9"/>
  <c r="AF1315" i="9"/>
  <c r="AE1315" i="9"/>
  <c r="AD1315" i="9"/>
  <c r="AA1315" i="9"/>
  <c r="Z1315" i="9"/>
  <c r="Y1315" i="9"/>
  <c r="X1315" i="9"/>
  <c r="W1315" i="9"/>
  <c r="U1315" i="9"/>
  <c r="AC1315" i="9" s="1"/>
  <c r="AI1314" i="9"/>
  <c r="AH1314" i="9"/>
  <c r="AG1314" i="9"/>
  <c r="AF1314" i="9"/>
  <c r="AE1314" i="9"/>
  <c r="AD1314" i="9"/>
  <c r="AA1314" i="9"/>
  <c r="Z1314" i="9"/>
  <c r="Y1314" i="9"/>
  <c r="X1314" i="9"/>
  <c r="W1314" i="9"/>
  <c r="U1314" i="9"/>
  <c r="AC1314" i="9" s="1"/>
  <c r="AI1313" i="9"/>
  <c r="AH1313" i="9"/>
  <c r="AG1313" i="9"/>
  <c r="AF1313" i="9"/>
  <c r="AE1313" i="9"/>
  <c r="AD1313" i="9"/>
  <c r="AA1313" i="9"/>
  <c r="Z1313" i="9"/>
  <c r="Y1313" i="9"/>
  <c r="X1313" i="9"/>
  <c r="W1313" i="9"/>
  <c r="U1313" i="9"/>
  <c r="AC1313" i="9" s="1"/>
  <c r="AI1312" i="9"/>
  <c r="AH1312" i="9"/>
  <c r="AG1312" i="9"/>
  <c r="AF1312" i="9"/>
  <c r="AE1312" i="9"/>
  <c r="AD1312" i="9"/>
  <c r="AA1312" i="9"/>
  <c r="Z1312" i="9"/>
  <c r="Y1312" i="9"/>
  <c r="X1312" i="9"/>
  <c r="W1312" i="9"/>
  <c r="U1312" i="9"/>
  <c r="AC1312" i="9" s="1"/>
  <c r="AI1311" i="9"/>
  <c r="AH1311" i="9"/>
  <c r="AG1311" i="9"/>
  <c r="AF1311" i="9"/>
  <c r="AE1311" i="9"/>
  <c r="AD1311" i="9"/>
  <c r="AA1311" i="9"/>
  <c r="Z1311" i="9"/>
  <c r="Y1311" i="9"/>
  <c r="X1311" i="9"/>
  <c r="W1311" i="9"/>
  <c r="U1311" i="9"/>
  <c r="AC1311" i="9" s="1"/>
  <c r="AI1310" i="9"/>
  <c r="AH1310" i="9"/>
  <c r="AG1310" i="9"/>
  <c r="AF1310" i="9"/>
  <c r="AE1310" i="9"/>
  <c r="AD1310" i="9"/>
  <c r="AA1310" i="9"/>
  <c r="Z1310" i="9"/>
  <c r="Y1310" i="9"/>
  <c r="X1310" i="9"/>
  <c r="W1310" i="9"/>
  <c r="U1310" i="9"/>
  <c r="AC1310" i="9" s="1"/>
  <c r="AI1309" i="9"/>
  <c r="AH1309" i="9"/>
  <c r="AG1309" i="9"/>
  <c r="AF1309" i="9"/>
  <c r="AE1309" i="9"/>
  <c r="AD1309" i="9"/>
  <c r="AC1309" i="9"/>
  <c r="AA1309" i="9"/>
  <c r="Z1309" i="9"/>
  <c r="Y1309" i="9"/>
  <c r="X1309" i="9"/>
  <c r="W1309" i="9"/>
  <c r="U1309" i="9"/>
  <c r="AI1308" i="9"/>
  <c r="AH1308" i="9"/>
  <c r="AG1308" i="9"/>
  <c r="AF1308" i="9"/>
  <c r="AE1308" i="9"/>
  <c r="AD1308" i="9"/>
  <c r="AC1308" i="9"/>
  <c r="AA1308" i="9"/>
  <c r="Z1308" i="9"/>
  <c r="Y1308" i="9"/>
  <c r="X1308" i="9"/>
  <c r="W1308" i="9"/>
  <c r="U1308" i="9"/>
  <c r="AI1307" i="9"/>
  <c r="AH1307" i="9"/>
  <c r="AG1307" i="9"/>
  <c r="AF1307" i="9"/>
  <c r="AE1307" i="9"/>
  <c r="AD1307" i="9"/>
  <c r="AC1307" i="9"/>
  <c r="AA1307" i="9"/>
  <c r="Z1307" i="9"/>
  <c r="Y1307" i="9"/>
  <c r="X1307" i="9"/>
  <c r="W1307" i="9"/>
  <c r="U1307" i="9"/>
  <c r="AI1306" i="9"/>
  <c r="AH1306" i="9"/>
  <c r="AG1306" i="9"/>
  <c r="AF1306" i="9"/>
  <c r="AE1306" i="9"/>
  <c r="AD1306" i="9"/>
  <c r="AC1306" i="9"/>
  <c r="AA1306" i="9"/>
  <c r="Z1306" i="9"/>
  <c r="Y1306" i="9"/>
  <c r="X1306" i="9"/>
  <c r="W1306" i="9"/>
  <c r="U1306" i="9"/>
  <c r="AI1305" i="9"/>
  <c r="AH1305" i="9"/>
  <c r="AG1305" i="9"/>
  <c r="AF1305" i="9"/>
  <c r="AE1305" i="9"/>
  <c r="AD1305" i="9"/>
  <c r="AC1305" i="9"/>
  <c r="AA1305" i="9"/>
  <c r="Z1305" i="9"/>
  <c r="Y1305" i="9"/>
  <c r="X1305" i="9"/>
  <c r="W1305" i="9"/>
  <c r="U1305" i="9"/>
  <c r="AI1304" i="9"/>
  <c r="AH1304" i="9"/>
  <c r="AG1304" i="9"/>
  <c r="AF1304" i="9"/>
  <c r="AE1304" i="9"/>
  <c r="AD1304" i="9"/>
  <c r="AC1304" i="9"/>
  <c r="AA1304" i="9"/>
  <c r="Z1304" i="9"/>
  <c r="Y1304" i="9"/>
  <c r="X1304" i="9"/>
  <c r="W1304" i="9"/>
  <c r="U1304" i="9"/>
  <c r="AI1303" i="9"/>
  <c r="AH1303" i="9"/>
  <c r="AG1303" i="9"/>
  <c r="AF1303" i="9"/>
  <c r="AE1303" i="9"/>
  <c r="AD1303" i="9"/>
  <c r="AA1303" i="9"/>
  <c r="Z1303" i="9"/>
  <c r="Y1303" i="9"/>
  <c r="X1303" i="9"/>
  <c r="W1303" i="9"/>
  <c r="U1303" i="9"/>
  <c r="AC1303" i="9" s="1"/>
  <c r="AI1302" i="9"/>
  <c r="AH1302" i="9"/>
  <c r="AG1302" i="9"/>
  <c r="AF1302" i="9"/>
  <c r="AE1302" i="9"/>
  <c r="AD1302" i="9"/>
  <c r="AA1302" i="9"/>
  <c r="Z1302" i="9"/>
  <c r="Y1302" i="9"/>
  <c r="X1302" i="9"/>
  <c r="W1302" i="9"/>
  <c r="U1302" i="9"/>
  <c r="AC1302" i="9" s="1"/>
  <c r="AI1301" i="9"/>
  <c r="AH1301" i="9"/>
  <c r="AG1301" i="9"/>
  <c r="AF1301" i="9"/>
  <c r="AE1301" i="9"/>
  <c r="AD1301" i="9"/>
  <c r="AA1301" i="9"/>
  <c r="Z1301" i="9"/>
  <c r="Y1301" i="9"/>
  <c r="X1301" i="9"/>
  <c r="W1301" i="9"/>
  <c r="U1301" i="9"/>
  <c r="AC1301" i="9" s="1"/>
  <c r="AI1300" i="9"/>
  <c r="AH1300" i="9"/>
  <c r="AG1300" i="9"/>
  <c r="AF1300" i="9"/>
  <c r="AE1300" i="9"/>
  <c r="AD1300" i="9"/>
  <c r="AA1300" i="9"/>
  <c r="Z1300" i="9"/>
  <c r="Y1300" i="9"/>
  <c r="X1300" i="9"/>
  <c r="W1300" i="9"/>
  <c r="U1300" i="9"/>
  <c r="AC1300" i="9" s="1"/>
  <c r="AI1299" i="9"/>
  <c r="AH1299" i="9"/>
  <c r="AG1299" i="9"/>
  <c r="AF1299" i="9"/>
  <c r="AE1299" i="9"/>
  <c r="AD1299" i="9"/>
  <c r="AA1299" i="9"/>
  <c r="Z1299" i="9"/>
  <c r="Y1299" i="9"/>
  <c r="X1299" i="9"/>
  <c r="W1299" i="9"/>
  <c r="U1299" i="9"/>
  <c r="AC1299" i="9" s="1"/>
  <c r="AI1298" i="9"/>
  <c r="AH1298" i="9"/>
  <c r="AG1298" i="9"/>
  <c r="AF1298" i="9"/>
  <c r="AE1298" i="9"/>
  <c r="AD1298" i="9"/>
  <c r="AA1298" i="9"/>
  <c r="Z1298" i="9"/>
  <c r="Y1298" i="9"/>
  <c r="X1298" i="9"/>
  <c r="W1298" i="9"/>
  <c r="U1298" i="9"/>
  <c r="AC1298" i="9" s="1"/>
  <c r="AI1297" i="9"/>
  <c r="AH1297" i="9"/>
  <c r="AG1297" i="9"/>
  <c r="AF1297" i="9"/>
  <c r="AE1297" i="9"/>
  <c r="AD1297" i="9"/>
  <c r="AC1297" i="9"/>
  <c r="AA1297" i="9"/>
  <c r="Z1297" i="9"/>
  <c r="Y1297" i="9"/>
  <c r="X1297" i="9"/>
  <c r="W1297" i="9"/>
  <c r="U1297" i="9"/>
  <c r="AI1296" i="9"/>
  <c r="AH1296" i="9"/>
  <c r="AG1296" i="9"/>
  <c r="AF1296" i="9"/>
  <c r="AE1296" i="9"/>
  <c r="AD1296" i="9"/>
  <c r="AC1296" i="9"/>
  <c r="AA1296" i="9"/>
  <c r="Z1296" i="9"/>
  <c r="Y1296" i="9"/>
  <c r="X1296" i="9"/>
  <c r="W1296" i="9"/>
  <c r="U1296" i="9"/>
  <c r="AI1295" i="9"/>
  <c r="AH1295" i="9"/>
  <c r="AG1295" i="9"/>
  <c r="AF1295" i="9"/>
  <c r="AE1295" i="9"/>
  <c r="AD1295" i="9"/>
  <c r="AC1295" i="9"/>
  <c r="AA1295" i="9"/>
  <c r="Z1295" i="9"/>
  <c r="Y1295" i="9"/>
  <c r="X1295" i="9"/>
  <c r="W1295" i="9"/>
  <c r="U1295" i="9"/>
  <c r="AI1294" i="9"/>
  <c r="AH1294" i="9"/>
  <c r="AG1294" i="9"/>
  <c r="AF1294" i="9"/>
  <c r="AE1294" i="9"/>
  <c r="AD1294" i="9"/>
  <c r="AC1294" i="9"/>
  <c r="AA1294" i="9"/>
  <c r="Z1294" i="9"/>
  <c r="Y1294" i="9"/>
  <c r="X1294" i="9"/>
  <c r="W1294" i="9"/>
  <c r="U1294" i="9"/>
  <c r="AI1293" i="9"/>
  <c r="AH1293" i="9"/>
  <c r="AG1293" i="9"/>
  <c r="AF1293" i="9"/>
  <c r="AE1293" i="9"/>
  <c r="AD1293" i="9"/>
  <c r="AC1293" i="9"/>
  <c r="AA1293" i="9"/>
  <c r="Z1293" i="9"/>
  <c r="Y1293" i="9"/>
  <c r="X1293" i="9"/>
  <c r="W1293" i="9"/>
  <c r="U1293" i="9"/>
  <c r="AI1292" i="9"/>
  <c r="AH1292" i="9"/>
  <c r="AG1292" i="9"/>
  <c r="AF1292" i="9"/>
  <c r="AE1292" i="9"/>
  <c r="AD1292" i="9"/>
  <c r="AC1292" i="9"/>
  <c r="AA1292" i="9"/>
  <c r="Z1292" i="9"/>
  <c r="Y1292" i="9"/>
  <c r="X1292" i="9"/>
  <c r="W1292" i="9"/>
  <c r="U1292" i="9"/>
  <c r="AI1291" i="9"/>
  <c r="AH1291" i="9"/>
  <c r="AG1291" i="9"/>
  <c r="AF1291" i="9"/>
  <c r="AE1291" i="9"/>
  <c r="AD1291" i="9"/>
  <c r="AA1291" i="9"/>
  <c r="Z1291" i="9"/>
  <c r="Y1291" i="9"/>
  <c r="X1291" i="9"/>
  <c r="W1291" i="9"/>
  <c r="U1291" i="9"/>
  <c r="AC1291" i="9" s="1"/>
  <c r="AI1290" i="9"/>
  <c r="AH1290" i="9"/>
  <c r="AG1290" i="9"/>
  <c r="AF1290" i="9"/>
  <c r="AE1290" i="9"/>
  <c r="AD1290" i="9"/>
  <c r="AA1290" i="9"/>
  <c r="Z1290" i="9"/>
  <c r="Y1290" i="9"/>
  <c r="X1290" i="9"/>
  <c r="W1290" i="9"/>
  <c r="U1290" i="9"/>
  <c r="AC1290" i="9" s="1"/>
  <c r="AI1289" i="9"/>
  <c r="AH1289" i="9"/>
  <c r="AG1289" i="9"/>
  <c r="AF1289" i="9"/>
  <c r="AE1289" i="9"/>
  <c r="AD1289" i="9"/>
  <c r="AA1289" i="9"/>
  <c r="Z1289" i="9"/>
  <c r="Y1289" i="9"/>
  <c r="X1289" i="9"/>
  <c r="W1289" i="9"/>
  <c r="U1289" i="9"/>
  <c r="AC1289" i="9" s="1"/>
  <c r="AI1288" i="9"/>
  <c r="AH1288" i="9"/>
  <c r="AG1288" i="9"/>
  <c r="AF1288" i="9"/>
  <c r="AE1288" i="9"/>
  <c r="AD1288" i="9"/>
  <c r="AA1288" i="9"/>
  <c r="Z1288" i="9"/>
  <c r="Y1288" i="9"/>
  <c r="X1288" i="9"/>
  <c r="W1288" i="9"/>
  <c r="U1288" i="9"/>
  <c r="AC1288" i="9" s="1"/>
  <c r="AI1287" i="9"/>
  <c r="AH1287" i="9"/>
  <c r="AG1287" i="9"/>
  <c r="AF1287" i="9"/>
  <c r="AE1287" i="9"/>
  <c r="AD1287" i="9"/>
  <c r="AA1287" i="9"/>
  <c r="Z1287" i="9"/>
  <c r="Y1287" i="9"/>
  <c r="X1287" i="9"/>
  <c r="W1287" i="9"/>
  <c r="U1287" i="9"/>
  <c r="AC1287" i="9" s="1"/>
  <c r="AI1286" i="9"/>
  <c r="AH1286" i="9"/>
  <c r="AG1286" i="9"/>
  <c r="AF1286" i="9"/>
  <c r="AE1286" i="9"/>
  <c r="AD1286" i="9"/>
  <c r="AA1286" i="9"/>
  <c r="Z1286" i="9"/>
  <c r="Y1286" i="9"/>
  <c r="X1286" i="9"/>
  <c r="W1286" i="9"/>
  <c r="U1286" i="9"/>
  <c r="AC1286" i="9" s="1"/>
  <c r="AI1285" i="9"/>
  <c r="AH1285" i="9"/>
  <c r="AG1285" i="9"/>
  <c r="AF1285" i="9"/>
  <c r="AE1285" i="9"/>
  <c r="AD1285" i="9"/>
  <c r="AC1285" i="9"/>
  <c r="AA1285" i="9"/>
  <c r="Z1285" i="9"/>
  <c r="Y1285" i="9"/>
  <c r="X1285" i="9"/>
  <c r="W1285" i="9"/>
  <c r="U1285" i="9"/>
  <c r="AI1284" i="9"/>
  <c r="AH1284" i="9"/>
  <c r="AG1284" i="9"/>
  <c r="AF1284" i="9"/>
  <c r="AE1284" i="9"/>
  <c r="AD1284" i="9"/>
  <c r="AC1284" i="9"/>
  <c r="AA1284" i="9"/>
  <c r="Z1284" i="9"/>
  <c r="Y1284" i="9"/>
  <c r="X1284" i="9"/>
  <c r="W1284" i="9"/>
  <c r="U1284" i="9"/>
  <c r="AI1283" i="9"/>
  <c r="AH1283" i="9"/>
  <c r="AG1283" i="9"/>
  <c r="AF1283" i="9"/>
  <c r="AE1283" i="9"/>
  <c r="AD1283" i="9"/>
  <c r="AC1283" i="9"/>
  <c r="AA1283" i="9"/>
  <c r="Z1283" i="9"/>
  <c r="Y1283" i="9"/>
  <c r="X1283" i="9"/>
  <c r="W1283" i="9"/>
  <c r="U1283" i="9"/>
  <c r="AI1282" i="9"/>
  <c r="AH1282" i="9"/>
  <c r="AG1282" i="9"/>
  <c r="AF1282" i="9"/>
  <c r="AE1282" i="9"/>
  <c r="AD1282" i="9"/>
  <c r="AC1282" i="9"/>
  <c r="AA1282" i="9"/>
  <c r="Z1282" i="9"/>
  <c r="Y1282" i="9"/>
  <c r="X1282" i="9"/>
  <c r="W1282" i="9"/>
  <c r="U1282" i="9"/>
  <c r="AI1281" i="9"/>
  <c r="AH1281" i="9"/>
  <c r="AG1281" i="9"/>
  <c r="AF1281" i="9"/>
  <c r="AE1281" i="9"/>
  <c r="AD1281" i="9"/>
  <c r="AC1281" i="9"/>
  <c r="AA1281" i="9"/>
  <c r="Z1281" i="9"/>
  <c r="Y1281" i="9"/>
  <c r="X1281" i="9"/>
  <c r="W1281" i="9"/>
  <c r="U1281" i="9"/>
  <c r="AI1280" i="9"/>
  <c r="AH1280" i="9"/>
  <c r="AG1280" i="9"/>
  <c r="AF1280" i="9"/>
  <c r="AE1280" i="9"/>
  <c r="AD1280" i="9"/>
  <c r="AC1280" i="9"/>
  <c r="AA1280" i="9"/>
  <c r="Z1280" i="9"/>
  <c r="Y1280" i="9"/>
  <c r="X1280" i="9"/>
  <c r="W1280" i="9"/>
  <c r="U1280" i="9"/>
  <c r="AI1279" i="9"/>
  <c r="AH1279" i="9"/>
  <c r="AG1279" i="9"/>
  <c r="AF1279" i="9"/>
  <c r="AE1279" i="9"/>
  <c r="AD1279" i="9"/>
  <c r="AA1279" i="9"/>
  <c r="Z1279" i="9"/>
  <c r="Y1279" i="9"/>
  <c r="X1279" i="9"/>
  <c r="W1279" i="9"/>
  <c r="U1279" i="9"/>
  <c r="AC1279" i="9" s="1"/>
  <c r="AI1278" i="9"/>
  <c r="AH1278" i="9"/>
  <c r="AG1278" i="9"/>
  <c r="AF1278" i="9"/>
  <c r="AE1278" i="9"/>
  <c r="AD1278" i="9"/>
  <c r="AA1278" i="9"/>
  <c r="Z1278" i="9"/>
  <c r="Y1278" i="9"/>
  <c r="X1278" i="9"/>
  <c r="W1278" i="9"/>
  <c r="U1278" i="9"/>
  <c r="AC1278" i="9" s="1"/>
  <c r="AI1277" i="9"/>
  <c r="AH1277" i="9"/>
  <c r="AG1277" i="9"/>
  <c r="AF1277" i="9"/>
  <c r="AE1277" i="9"/>
  <c r="AD1277" i="9"/>
  <c r="AA1277" i="9"/>
  <c r="Z1277" i="9"/>
  <c r="Y1277" i="9"/>
  <c r="X1277" i="9"/>
  <c r="W1277" i="9"/>
  <c r="U1277" i="9"/>
  <c r="AC1277" i="9" s="1"/>
  <c r="AI1276" i="9"/>
  <c r="AH1276" i="9"/>
  <c r="AG1276" i="9"/>
  <c r="AF1276" i="9"/>
  <c r="AE1276" i="9"/>
  <c r="AD1276" i="9"/>
  <c r="AA1276" i="9"/>
  <c r="Z1276" i="9"/>
  <c r="Y1276" i="9"/>
  <c r="X1276" i="9"/>
  <c r="W1276" i="9"/>
  <c r="U1276" i="9"/>
  <c r="AC1276" i="9" s="1"/>
  <c r="AI1275" i="9"/>
  <c r="AH1275" i="9"/>
  <c r="AG1275" i="9"/>
  <c r="AF1275" i="9"/>
  <c r="AE1275" i="9"/>
  <c r="AD1275" i="9"/>
  <c r="AA1275" i="9"/>
  <c r="Z1275" i="9"/>
  <c r="Y1275" i="9"/>
  <c r="X1275" i="9"/>
  <c r="W1275" i="9"/>
  <c r="U1275" i="9"/>
  <c r="AC1275" i="9" s="1"/>
  <c r="AI1274" i="9"/>
  <c r="AH1274" i="9"/>
  <c r="AG1274" i="9"/>
  <c r="AF1274" i="9"/>
  <c r="AE1274" i="9"/>
  <c r="AD1274" i="9"/>
  <c r="AA1274" i="9"/>
  <c r="Z1274" i="9"/>
  <c r="Y1274" i="9"/>
  <c r="X1274" i="9"/>
  <c r="W1274" i="9"/>
  <c r="U1274" i="9"/>
  <c r="AC1274" i="9" s="1"/>
  <c r="AI1273" i="9"/>
  <c r="AH1273" i="9"/>
  <c r="AG1273" i="9"/>
  <c r="AF1273" i="9"/>
  <c r="AE1273" i="9"/>
  <c r="AD1273" i="9"/>
  <c r="AC1273" i="9"/>
  <c r="AA1273" i="9"/>
  <c r="Z1273" i="9"/>
  <c r="Y1273" i="9"/>
  <c r="X1273" i="9"/>
  <c r="W1273" i="9"/>
  <c r="U1273" i="9"/>
  <c r="AI1272" i="9"/>
  <c r="AH1272" i="9"/>
  <c r="AG1272" i="9"/>
  <c r="AF1272" i="9"/>
  <c r="AE1272" i="9"/>
  <c r="AD1272" i="9"/>
  <c r="AC1272" i="9"/>
  <c r="AA1272" i="9"/>
  <c r="Z1272" i="9"/>
  <c r="Y1272" i="9"/>
  <c r="X1272" i="9"/>
  <c r="W1272" i="9"/>
  <c r="U1272" i="9"/>
  <c r="AI1271" i="9"/>
  <c r="AH1271" i="9"/>
  <c r="AG1271" i="9"/>
  <c r="AF1271" i="9"/>
  <c r="AE1271" i="9"/>
  <c r="AD1271" i="9"/>
  <c r="AC1271" i="9"/>
  <c r="AA1271" i="9"/>
  <c r="Z1271" i="9"/>
  <c r="Y1271" i="9"/>
  <c r="X1271" i="9"/>
  <c r="W1271" i="9"/>
  <c r="U1271" i="9"/>
  <c r="AI1270" i="9"/>
  <c r="AH1270" i="9"/>
  <c r="AG1270" i="9"/>
  <c r="AF1270" i="9"/>
  <c r="AE1270" i="9"/>
  <c r="AD1270" i="9"/>
  <c r="AC1270" i="9"/>
  <c r="AA1270" i="9"/>
  <c r="Z1270" i="9"/>
  <c r="Y1270" i="9"/>
  <c r="X1270" i="9"/>
  <c r="W1270" i="9"/>
  <c r="U1270" i="9"/>
  <c r="AI1269" i="9"/>
  <c r="AH1269" i="9"/>
  <c r="AG1269" i="9"/>
  <c r="AF1269" i="9"/>
  <c r="AE1269" i="9"/>
  <c r="AD1269" i="9"/>
  <c r="AC1269" i="9"/>
  <c r="AA1269" i="9"/>
  <c r="Z1269" i="9"/>
  <c r="Y1269" i="9"/>
  <c r="X1269" i="9"/>
  <c r="W1269" i="9"/>
  <c r="U1269" i="9"/>
  <c r="AI1268" i="9"/>
  <c r="AH1268" i="9"/>
  <c r="AG1268" i="9"/>
  <c r="AF1268" i="9"/>
  <c r="AE1268" i="9"/>
  <c r="AD1268" i="9"/>
  <c r="AC1268" i="9"/>
  <c r="AA1268" i="9"/>
  <c r="Z1268" i="9"/>
  <c r="Y1268" i="9"/>
  <c r="X1268" i="9"/>
  <c r="W1268" i="9"/>
  <c r="U1268" i="9"/>
  <c r="AI1267" i="9"/>
  <c r="AH1267" i="9"/>
  <c r="AG1267" i="9"/>
  <c r="AF1267" i="9"/>
  <c r="AE1267" i="9"/>
  <c r="AD1267" i="9"/>
  <c r="AA1267" i="9"/>
  <c r="Z1267" i="9"/>
  <c r="Y1267" i="9"/>
  <c r="X1267" i="9"/>
  <c r="W1267" i="9"/>
  <c r="U1267" i="9"/>
  <c r="AC1267" i="9" s="1"/>
  <c r="AI1266" i="9"/>
  <c r="AH1266" i="9"/>
  <c r="AG1266" i="9"/>
  <c r="AF1266" i="9"/>
  <c r="AE1266" i="9"/>
  <c r="AD1266" i="9"/>
  <c r="AA1266" i="9"/>
  <c r="Z1266" i="9"/>
  <c r="Y1266" i="9"/>
  <c r="X1266" i="9"/>
  <c r="W1266" i="9"/>
  <c r="U1266" i="9"/>
  <c r="AC1266" i="9" s="1"/>
  <c r="AI1265" i="9"/>
  <c r="AH1265" i="9"/>
  <c r="AG1265" i="9"/>
  <c r="AF1265" i="9"/>
  <c r="AE1265" i="9"/>
  <c r="AD1265" i="9"/>
  <c r="AA1265" i="9"/>
  <c r="Z1265" i="9"/>
  <c r="Y1265" i="9"/>
  <c r="X1265" i="9"/>
  <c r="W1265" i="9"/>
  <c r="U1265" i="9"/>
  <c r="AC1265" i="9" s="1"/>
  <c r="AI1264" i="9"/>
  <c r="AH1264" i="9"/>
  <c r="AG1264" i="9"/>
  <c r="AF1264" i="9"/>
  <c r="AE1264" i="9"/>
  <c r="AD1264" i="9"/>
  <c r="AA1264" i="9"/>
  <c r="Z1264" i="9"/>
  <c r="Y1264" i="9"/>
  <c r="X1264" i="9"/>
  <c r="W1264" i="9"/>
  <c r="U1264" i="9"/>
  <c r="AC1264" i="9" s="1"/>
  <c r="AI1263" i="9"/>
  <c r="AH1263" i="9"/>
  <c r="AG1263" i="9"/>
  <c r="AF1263" i="9"/>
  <c r="AE1263" i="9"/>
  <c r="AD1263" i="9"/>
  <c r="AA1263" i="9"/>
  <c r="Z1263" i="9"/>
  <c r="Y1263" i="9"/>
  <c r="X1263" i="9"/>
  <c r="W1263" i="9"/>
  <c r="U1263" i="9"/>
  <c r="AC1263" i="9" s="1"/>
  <c r="AI1262" i="9"/>
  <c r="AH1262" i="9"/>
  <c r="AG1262" i="9"/>
  <c r="AF1262" i="9"/>
  <c r="AE1262" i="9"/>
  <c r="AD1262" i="9"/>
  <c r="AA1262" i="9"/>
  <c r="Z1262" i="9"/>
  <c r="Y1262" i="9"/>
  <c r="X1262" i="9"/>
  <c r="W1262" i="9"/>
  <c r="U1262" i="9"/>
  <c r="AC1262" i="9" s="1"/>
  <c r="AI1261" i="9"/>
  <c r="AH1261" i="9"/>
  <c r="AG1261" i="9"/>
  <c r="AF1261" i="9"/>
  <c r="AE1261" i="9"/>
  <c r="AD1261" i="9"/>
  <c r="AC1261" i="9"/>
  <c r="AA1261" i="9"/>
  <c r="Z1261" i="9"/>
  <c r="Y1261" i="9"/>
  <c r="X1261" i="9"/>
  <c r="W1261" i="9"/>
  <c r="U1261" i="9"/>
  <c r="AI1260" i="9"/>
  <c r="AH1260" i="9"/>
  <c r="AG1260" i="9"/>
  <c r="AF1260" i="9"/>
  <c r="AE1260" i="9"/>
  <c r="AD1260" i="9"/>
  <c r="AC1260" i="9"/>
  <c r="AA1260" i="9"/>
  <c r="Z1260" i="9"/>
  <c r="Y1260" i="9"/>
  <c r="X1260" i="9"/>
  <c r="W1260" i="9"/>
  <c r="U1260" i="9"/>
  <c r="AI1259" i="9"/>
  <c r="AH1259" i="9"/>
  <c r="AG1259" i="9"/>
  <c r="AF1259" i="9"/>
  <c r="AE1259" i="9"/>
  <c r="AD1259" i="9"/>
  <c r="AC1259" i="9"/>
  <c r="AA1259" i="9"/>
  <c r="Z1259" i="9"/>
  <c r="Y1259" i="9"/>
  <c r="X1259" i="9"/>
  <c r="W1259" i="9"/>
  <c r="U1259" i="9"/>
  <c r="AI1258" i="9"/>
  <c r="AH1258" i="9"/>
  <c r="AG1258" i="9"/>
  <c r="AF1258" i="9"/>
  <c r="AE1258" i="9"/>
  <c r="AD1258" i="9"/>
  <c r="AC1258" i="9"/>
  <c r="AA1258" i="9"/>
  <c r="Z1258" i="9"/>
  <c r="Y1258" i="9"/>
  <c r="X1258" i="9"/>
  <c r="W1258" i="9"/>
  <c r="U1258" i="9"/>
  <c r="AI1257" i="9"/>
  <c r="AH1257" i="9"/>
  <c r="AG1257" i="9"/>
  <c r="AF1257" i="9"/>
  <c r="AE1257" i="9"/>
  <c r="AD1257" i="9"/>
  <c r="AC1257" i="9"/>
  <c r="AA1257" i="9"/>
  <c r="Z1257" i="9"/>
  <c r="Y1257" i="9"/>
  <c r="X1257" i="9"/>
  <c r="W1257" i="9"/>
  <c r="U1257" i="9"/>
  <c r="AI1256" i="9"/>
  <c r="AH1256" i="9"/>
  <c r="AG1256" i="9"/>
  <c r="AF1256" i="9"/>
  <c r="AE1256" i="9"/>
  <c r="AD1256" i="9"/>
  <c r="AC1256" i="9"/>
  <c r="AA1256" i="9"/>
  <c r="Z1256" i="9"/>
  <c r="Y1256" i="9"/>
  <c r="X1256" i="9"/>
  <c r="W1256" i="9"/>
  <c r="U1256" i="9"/>
  <c r="AI1255" i="9"/>
  <c r="AH1255" i="9"/>
  <c r="AG1255" i="9"/>
  <c r="AF1255" i="9"/>
  <c r="AE1255" i="9"/>
  <c r="AD1255" i="9"/>
  <c r="AA1255" i="9"/>
  <c r="Z1255" i="9"/>
  <c r="Y1255" i="9"/>
  <c r="X1255" i="9"/>
  <c r="W1255" i="9"/>
  <c r="U1255" i="9"/>
  <c r="AC1255" i="9" s="1"/>
  <c r="AI1254" i="9"/>
  <c r="AH1254" i="9"/>
  <c r="AG1254" i="9"/>
  <c r="AF1254" i="9"/>
  <c r="AE1254" i="9"/>
  <c r="AD1254" i="9"/>
  <c r="AA1254" i="9"/>
  <c r="Z1254" i="9"/>
  <c r="Y1254" i="9"/>
  <c r="X1254" i="9"/>
  <c r="W1254" i="9"/>
  <c r="U1254" i="9"/>
  <c r="AC1254" i="9" s="1"/>
  <c r="AI1253" i="9"/>
  <c r="AH1253" i="9"/>
  <c r="AG1253" i="9"/>
  <c r="AF1253" i="9"/>
  <c r="AE1253" i="9"/>
  <c r="AD1253" i="9"/>
  <c r="AA1253" i="9"/>
  <c r="Z1253" i="9"/>
  <c r="Y1253" i="9"/>
  <c r="X1253" i="9"/>
  <c r="W1253" i="9"/>
  <c r="U1253" i="9"/>
  <c r="AC1253" i="9" s="1"/>
  <c r="AI1252" i="9"/>
  <c r="AH1252" i="9"/>
  <c r="AG1252" i="9"/>
  <c r="AF1252" i="9"/>
  <c r="AE1252" i="9"/>
  <c r="AD1252" i="9"/>
  <c r="AA1252" i="9"/>
  <c r="Z1252" i="9"/>
  <c r="Y1252" i="9"/>
  <c r="X1252" i="9"/>
  <c r="W1252" i="9"/>
  <c r="U1252" i="9"/>
  <c r="AC1252" i="9" s="1"/>
  <c r="AI1251" i="9"/>
  <c r="AH1251" i="9"/>
  <c r="AG1251" i="9"/>
  <c r="AF1251" i="9"/>
  <c r="AE1251" i="9"/>
  <c r="AD1251" i="9"/>
  <c r="AA1251" i="9"/>
  <c r="Z1251" i="9"/>
  <c r="Y1251" i="9"/>
  <c r="X1251" i="9"/>
  <c r="W1251" i="9"/>
  <c r="U1251" i="9"/>
  <c r="AC1251" i="9" s="1"/>
  <c r="AI1250" i="9"/>
  <c r="AH1250" i="9"/>
  <c r="AG1250" i="9"/>
  <c r="AF1250" i="9"/>
  <c r="AE1250" i="9"/>
  <c r="AD1250" i="9"/>
  <c r="AA1250" i="9"/>
  <c r="Z1250" i="9"/>
  <c r="Y1250" i="9"/>
  <c r="X1250" i="9"/>
  <c r="W1250" i="9"/>
  <c r="U1250" i="9"/>
  <c r="AC1250" i="9" s="1"/>
  <c r="AI1249" i="9"/>
  <c r="AH1249" i="9"/>
  <c r="AG1249" i="9"/>
  <c r="AF1249" i="9"/>
  <c r="AE1249" i="9"/>
  <c r="AD1249" i="9"/>
  <c r="AC1249" i="9"/>
  <c r="AA1249" i="9"/>
  <c r="Z1249" i="9"/>
  <c r="Y1249" i="9"/>
  <c r="X1249" i="9"/>
  <c r="W1249" i="9"/>
  <c r="U1249" i="9"/>
  <c r="AI1248" i="9"/>
  <c r="AH1248" i="9"/>
  <c r="AG1248" i="9"/>
  <c r="AF1248" i="9"/>
  <c r="AE1248" i="9"/>
  <c r="AD1248" i="9"/>
  <c r="AC1248" i="9"/>
  <c r="AA1248" i="9"/>
  <c r="Z1248" i="9"/>
  <c r="Y1248" i="9"/>
  <c r="X1248" i="9"/>
  <c r="W1248" i="9"/>
  <c r="U1248" i="9"/>
  <c r="AI1247" i="9"/>
  <c r="AH1247" i="9"/>
  <c r="AG1247" i="9"/>
  <c r="AF1247" i="9"/>
  <c r="AE1247" i="9"/>
  <c r="AD1247" i="9"/>
  <c r="AC1247" i="9"/>
  <c r="AA1247" i="9"/>
  <c r="Z1247" i="9"/>
  <c r="Y1247" i="9"/>
  <c r="X1247" i="9"/>
  <c r="W1247" i="9"/>
  <c r="U1247" i="9"/>
  <c r="AI1246" i="9"/>
  <c r="AH1246" i="9"/>
  <c r="AG1246" i="9"/>
  <c r="AF1246" i="9"/>
  <c r="AE1246" i="9"/>
  <c r="AD1246" i="9"/>
  <c r="AC1246" i="9"/>
  <c r="AA1246" i="9"/>
  <c r="Z1246" i="9"/>
  <c r="Y1246" i="9"/>
  <c r="X1246" i="9"/>
  <c r="W1246" i="9"/>
  <c r="U1246" i="9"/>
  <c r="AI1245" i="9"/>
  <c r="AH1245" i="9"/>
  <c r="AG1245" i="9"/>
  <c r="AF1245" i="9"/>
  <c r="AE1245" i="9"/>
  <c r="AD1245" i="9"/>
  <c r="AC1245" i="9"/>
  <c r="AA1245" i="9"/>
  <c r="Z1245" i="9"/>
  <c r="Y1245" i="9"/>
  <c r="X1245" i="9"/>
  <c r="W1245" i="9"/>
  <c r="U1245" i="9"/>
  <c r="AI1244" i="9"/>
  <c r="AH1244" i="9"/>
  <c r="AG1244" i="9"/>
  <c r="AF1244" i="9"/>
  <c r="AE1244" i="9"/>
  <c r="AD1244" i="9"/>
  <c r="AC1244" i="9"/>
  <c r="AA1244" i="9"/>
  <c r="Z1244" i="9"/>
  <c r="Y1244" i="9"/>
  <c r="X1244" i="9"/>
  <c r="W1244" i="9"/>
  <c r="U1244" i="9"/>
  <c r="AI1243" i="9"/>
  <c r="AH1243" i="9"/>
  <c r="AG1243" i="9"/>
  <c r="AF1243" i="9"/>
  <c r="AE1243" i="9"/>
  <c r="AD1243" i="9"/>
  <c r="AA1243" i="9"/>
  <c r="Z1243" i="9"/>
  <c r="Y1243" i="9"/>
  <c r="X1243" i="9"/>
  <c r="W1243" i="9"/>
  <c r="U1243" i="9"/>
  <c r="AC1243" i="9" s="1"/>
  <c r="AI1242" i="9"/>
  <c r="AH1242" i="9"/>
  <c r="AG1242" i="9"/>
  <c r="AF1242" i="9"/>
  <c r="AE1242" i="9"/>
  <c r="AD1242" i="9"/>
  <c r="AA1242" i="9"/>
  <c r="Z1242" i="9"/>
  <c r="Y1242" i="9"/>
  <c r="X1242" i="9"/>
  <c r="W1242" i="9"/>
  <c r="U1242" i="9"/>
  <c r="AC1242" i="9" s="1"/>
  <c r="AI1241" i="9"/>
  <c r="AH1241" i="9"/>
  <c r="AG1241" i="9"/>
  <c r="AF1241" i="9"/>
  <c r="AE1241" i="9"/>
  <c r="AD1241" i="9"/>
  <c r="AA1241" i="9"/>
  <c r="Z1241" i="9"/>
  <c r="Y1241" i="9"/>
  <c r="X1241" i="9"/>
  <c r="W1241" i="9"/>
  <c r="U1241" i="9"/>
  <c r="AC1241" i="9" s="1"/>
  <c r="AI1240" i="9"/>
  <c r="AH1240" i="9"/>
  <c r="AG1240" i="9"/>
  <c r="AF1240" i="9"/>
  <c r="AE1240" i="9"/>
  <c r="AD1240" i="9"/>
  <c r="AA1240" i="9"/>
  <c r="Z1240" i="9"/>
  <c r="Y1240" i="9"/>
  <c r="X1240" i="9"/>
  <c r="W1240" i="9"/>
  <c r="U1240" i="9"/>
  <c r="AC1240" i="9" s="1"/>
  <c r="AI1239" i="9"/>
  <c r="AH1239" i="9"/>
  <c r="AG1239" i="9"/>
  <c r="AF1239" i="9"/>
  <c r="AE1239" i="9"/>
  <c r="AD1239" i="9"/>
  <c r="AA1239" i="9"/>
  <c r="Z1239" i="9"/>
  <c r="Y1239" i="9"/>
  <c r="X1239" i="9"/>
  <c r="W1239" i="9"/>
  <c r="U1239" i="9"/>
  <c r="AC1239" i="9" s="1"/>
  <c r="AI1238" i="9"/>
  <c r="AH1238" i="9"/>
  <c r="AG1238" i="9"/>
  <c r="AF1238" i="9"/>
  <c r="AE1238" i="9"/>
  <c r="AD1238" i="9"/>
  <c r="AA1238" i="9"/>
  <c r="Z1238" i="9"/>
  <c r="Y1238" i="9"/>
  <c r="X1238" i="9"/>
  <c r="W1238" i="9"/>
  <c r="U1238" i="9"/>
  <c r="AC1238" i="9" s="1"/>
  <c r="AI1237" i="9"/>
  <c r="AH1237" i="9"/>
  <c r="AG1237" i="9"/>
  <c r="AF1237" i="9"/>
  <c r="AE1237" i="9"/>
  <c r="AD1237" i="9"/>
  <c r="AC1237" i="9"/>
  <c r="AA1237" i="9"/>
  <c r="Z1237" i="9"/>
  <c r="Y1237" i="9"/>
  <c r="X1237" i="9"/>
  <c r="W1237" i="9"/>
  <c r="U1237" i="9"/>
  <c r="AI1236" i="9"/>
  <c r="AH1236" i="9"/>
  <c r="AG1236" i="9"/>
  <c r="AF1236" i="9"/>
  <c r="AE1236" i="9"/>
  <c r="AD1236" i="9"/>
  <c r="AC1236" i="9"/>
  <c r="AA1236" i="9"/>
  <c r="Z1236" i="9"/>
  <c r="Y1236" i="9"/>
  <c r="X1236" i="9"/>
  <c r="W1236" i="9"/>
  <c r="U1236" i="9"/>
  <c r="AI1235" i="9"/>
  <c r="AH1235" i="9"/>
  <c r="AG1235" i="9"/>
  <c r="AF1235" i="9"/>
  <c r="AE1235" i="9"/>
  <c r="AD1235" i="9"/>
  <c r="AC1235" i="9"/>
  <c r="AA1235" i="9"/>
  <c r="Z1235" i="9"/>
  <c r="Y1235" i="9"/>
  <c r="X1235" i="9"/>
  <c r="W1235" i="9"/>
  <c r="U1235" i="9"/>
  <c r="AI1234" i="9"/>
  <c r="AH1234" i="9"/>
  <c r="AG1234" i="9"/>
  <c r="AF1234" i="9"/>
  <c r="AE1234" i="9"/>
  <c r="AD1234" i="9"/>
  <c r="AC1234" i="9"/>
  <c r="AA1234" i="9"/>
  <c r="Z1234" i="9"/>
  <c r="Y1234" i="9"/>
  <c r="X1234" i="9"/>
  <c r="W1234" i="9"/>
  <c r="U1234" i="9"/>
  <c r="AI1233" i="9"/>
  <c r="AH1233" i="9"/>
  <c r="AG1233" i="9"/>
  <c r="AF1233" i="9"/>
  <c r="AE1233" i="9"/>
  <c r="AD1233" i="9"/>
  <c r="AC1233" i="9"/>
  <c r="AA1233" i="9"/>
  <c r="Z1233" i="9"/>
  <c r="Y1233" i="9"/>
  <c r="X1233" i="9"/>
  <c r="W1233" i="9"/>
  <c r="U1233" i="9"/>
  <c r="AI1232" i="9"/>
  <c r="AH1232" i="9"/>
  <c r="AG1232" i="9"/>
  <c r="AF1232" i="9"/>
  <c r="AE1232" i="9"/>
  <c r="AD1232" i="9"/>
  <c r="AC1232" i="9"/>
  <c r="AA1232" i="9"/>
  <c r="Z1232" i="9"/>
  <c r="Y1232" i="9"/>
  <c r="X1232" i="9"/>
  <c r="W1232" i="9"/>
  <c r="U1232" i="9"/>
  <c r="AI1231" i="9"/>
  <c r="AH1231" i="9"/>
  <c r="AG1231" i="9"/>
  <c r="AF1231" i="9"/>
  <c r="AE1231" i="9"/>
  <c r="AD1231" i="9"/>
  <c r="AA1231" i="9"/>
  <c r="Z1231" i="9"/>
  <c r="Y1231" i="9"/>
  <c r="X1231" i="9"/>
  <c r="W1231" i="9"/>
  <c r="U1231" i="9"/>
  <c r="AC1231" i="9" s="1"/>
  <c r="AI1230" i="9"/>
  <c r="AH1230" i="9"/>
  <c r="AG1230" i="9"/>
  <c r="AF1230" i="9"/>
  <c r="AE1230" i="9"/>
  <c r="AD1230" i="9"/>
  <c r="AA1230" i="9"/>
  <c r="Z1230" i="9"/>
  <c r="Y1230" i="9"/>
  <c r="X1230" i="9"/>
  <c r="W1230" i="9"/>
  <c r="U1230" i="9"/>
  <c r="AC1230" i="9" s="1"/>
  <c r="AI1229" i="9"/>
  <c r="AH1229" i="9"/>
  <c r="AG1229" i="9"/>
  <c r="AF1229" i="9"/>
  <c r="AE1229" i="9"/>
  <c r="AD1229" i="9"/>
  <c r="AA1229" i="9"/>
  <c r="Z1229" i="9"/>
  <c r="Y1229" i="9"/>
  <c r="X1229" i="9"/>
  <c r="W1229" i="9"/>
  <c r="U1229" i="9"/>
  <c r="AC1229" i="9" s="1"/>
  <c r="AI1228" i="9"/>
  <c r="AH1228" i="9"/>
  <c r="AG1228" i="9"/>
  <c r="AF1228" i="9"/>
  <c r="AE1228" i="9"/>
  <c r="AD1228" i="9"/>
  <c r="AA1228" i="9"/>
  <c r="Z1228" i="9"/>
  <c r="Y1228" i="9"/>
  <c r="X1228" i="9"/>
  <c r="W1228" i="9"/>
  <c r="U1228" i="9"/>
  <c r="AC1228" i="9" s="1"/>
  <c r="AI1227" i="9"/>
  <c r="AH1227" i="9"/>
  <c r="AG1227" i="9"/>
  <c r="AF1227" i="9"/>
  <c r="AE1227" i="9"/>
  <c r="AD1227" i="9"/>
  <c r="AA1227" i="9"/>
  <c r="Z1227" i="9"/>
  <c r="Y1227" i="9"/>
  <c r="X1227" i="9"/>
  <c r="W1227" i="9"/>
  <c r="U1227" i="9"/>
  <c r="AC1227" i="9" s="1"/>
  <c r="AI1226" i="9"/>
  <c r="AH1226" i="9"/>
  <c r="AG1226" i="9"/>
  <c r="AF1226" i="9"/>
  <c r="AE1226" i="9"/>
  <c r="AD1226" i="9"/>
  <c r="AA1226" i="9"/>
  <c r="Z1226" i="9"/>
  <c r="Y1226" i="9"/>
  <c r="X1226" i="9"/>
  <c r="W1226" i="9"/>
  <c r="U1226" i="9"/>
  <c r="AC1226" i="9" s="1"/>
  <c r="AI1225" i="9"/>
  <c r="AH1225" i="9"/>
  <c r="AG1225" i="9"/>
  <c r="AF1225" i="9"/>
  <c r="AE1225" i="9"/>
  <c r="AD1225" i="9"/>
  <c r="AC1225" i="9"/>
  <c r="AA1225" i="9"/>
  <c r="Z1225" i="9"/>
  <c r="Y1225" i="9"/>
  <c r="X1225" i="9"/>
  <c r="W1225" i="9"/>
  <c r="U1225" i="9"/>
  <c r="AI1224" i="9"/>
  <c r="AH1224" i="9"/>
  <c r="AG1224" i="9"/>
  <c r="AF1224" i="9"/>
  <c r="AE1224" i="9"/>
  <c r="AD1224" i="9"/>
  <c r="AC1224" i="9"/>
  <c r="AA1224" i="9"/>
  <c r="Z1224" i="9"/>
  <c r="Y1224" i="9"/>
  <c r="X1224" i="9"/>
  <c r="W1224" i="9"/>
  <c r="U1224" i="9"/>
  <c r="AI1223" i="9"/>
  <c r="AH1223" i="9"/>
  <c r="AG1223" i="9"/>
  <c r="AF1223" i="9"/>
  <c r="AE1223" i="9"/>
  <c r="AD1223" i="9"/>
  <c r="AC1223" i="9"/>
  <c r="AA1223" i="9"/>
  <c r="Z1223" i="9"/>
  <c r="Y1223" i="9"/>
  <c r="X1223" i="9"/>
  <c r="W1223" i="9"/>
  <c r="U1223" i="9"/>
  <c r="AI1222" i="9"/>
  <c r="AH1222" i="9"/>
  <c r="AG1222" i="9"/>
  <c r="AF1222" i="9"/>
  <c r="AE1222" i="9"/>
  <c r="AD1222" i="9"/>
  <c r="AC1222" i="9"/>
  <c r="AA1222" i="9"/>
  <c r="Z1222" i="9"/>
  <c r="Y1222" i="9"/>
  <c r="X1222" i="9"/>
  <c r="W1222" i="9"/>
  <c r="U1222" i="9"/>
  <c r="AI1221" i="9"/>
  <c r="AH1221" i="9"/>
  <c r="AG1221" i="9"/>
  <c r="AF1221" i="9"/>
  <c r="AE1221" i="9"/>
  <c r="AD1221" i="9"/>
  <c r="AC1221" i="9"/>
  <c r="AA1221" i="9"/>
  <c r="Z1221" i="9"/>
  <c r="Y1221" i="9"/>
  <c r="X1221" i="9"/>
  <c r="W1221" i="9"/>
  <c r="U1221" i="9"/>
  <c r="AI1220" i="9"/>
  <c r="AH1220" i="9"/>
  <c r="AG1220" i="9"/>
  <c r="AF1220" i="9"/>
  <c r="AE1220" i="9"/>
  <c r="AD1220" i="9"/>
  <c r="AC1220" i="9"/>
  <c r="AA1220" i="9"/>
  <c r="Z1220" i="9"/>
  <c r="Y1220" i="9"/>
  <c r="X1220" i="9"/>
  <c r="W1220" i="9"/>
  <c r="U1220" i="9"/>
  <c r="AI1219" i="9"/>
  <c r="AH1219" i="9"/>
  <c r="AG1219" i="9"/>
  <c r="AF1219" i="9"/>
  <c r="AE1219" i="9"/>
  <c r="AD1219" i="9"/>
  <c r="AA1219" i="9"/>
  <c r="Z1219" i="9"/>
  <c r="Y1219" i="9"/>
  <c r="X1219" i="9"/>
  <c r="W1219" i="9"/>
  <c r="U1219" i="9"/>
  <c r="AC1219" i="9" s="1"/>
  <c r="AI1218" i="9"/>
  <c r="AH1218" i="9"/>
  <c r="AG1218" i="9"/>
  <c r="AF1218" i="9"/>
  <c r="AE1218" i="9"/>
  <c r="AD1218" i="9"/>
  <c r="AA1218" i="9"/>
  <c r="Z1218" i="9"/>
  <c r="Y1218" i="9"/>
  <c r="X1218" i="9"/>
  <c r="W1218" i="9"/>
  <c r="U1218" i="9"/>
  <c r="AC1218" i="9" s="1"/>
  <c r="AI1217" i="9"/>
  <c r="AH1217" i="9"/>
  <c r="AG1217" i="9"/>
  <c r="AF1217" i="9"/>
  <c r="AE1217" i="9"/>
  <c r="AD1217" i="9"/>
  <c r="AA1217" i="9"/>
  <c r="Z1217" i="9"/>
  <c r="Y1217" i="9"/>
  <c r="X1217" i="9"/>
  <c r="W1217" i="9"/>
  <c r="U1217" i="9"/>
  <c r="AC1217" i="9" s="1"/>
  <c r="AI1216" i="9"/>
  <c r="AH1216" i="9"/>
  <c r="AG1216" i="9"/>
  <c r="AF1216" i="9"/>
  <c r="AE1216" i="9"/>
  <c r="AD1216" i="9"/>
  <c r="AA1216" i="9"/>
  <c r="Z1216" i="9"/>
  <c r="Y1216" i="9"/>
  <c r="X1216" i="9"/>
  <c r="W1216" i="9"/>
  <c r="U1216" i="9"/>
  <c r="AC1216" i="9" s="1"/>
  <c r="AI1215" i="9"/>
  <c r="AH1215" i="9"/>
  <c r="AG1215" i="9"/>
  <c r="AF1215" i="9"/>
  <c r="AE1215" i="9"/>
  <c r="AD1215" i="9"/>
  <c r="AA1215" i="9"/>
  <c r="Z1215" i="9"/>
  <c r="Y1215" i="9"/>
  <c r="X1215" i="9"/>
  <c r="W1215" i="9"/>
  <c r="U1215" i="9"/>
  <c r="AC1215" i="9" s="1"/>
  <c r="AI1214" i="9"/>
  <c r="AH1214" i="9"/>
  <c r="AG1214" i="9"/>
  <c r="AF1214" i="9"/>
  <c r="AE1214" i="9"/>
  <c r="AD1214" i="9"/>
  <c r="AA1214" i="9"/>
  <c r="Z1214" i="9"/>
  <c r="Y1214" i="9"/>
  <c r="X1214" i="9"/>
  <c r="W1214" i="9"/>
  <c r="U1214" i="9"/>
  <c r="AC1214" i="9" s="1"/>
  <c r="AI1213" i="9"/>
  <c r="AH1213" i="9"/>
  <c r="AG1213" i="9"/>
  <c r="AF1213" i="9"/>
  <c r="AE1213" i="9"/>
  <c r="AD1213" i="9"/>
  <c r="AC1213" i="9"/>
  <c r="AA1213" i="9"/>
  <c r="Z1213" i="9"/>
  <c r="Y1213" i="9"/>
  <c r="X1213" i="9"/>
  <c r="W1213" i="9"/>
  <c r="U1213" i="9"/>
  <c r="AI1212" i="9"/>
  <c r="AH1212" i="9"/>
  <c r="AG1212" i="9"/>
  <c r="AF1212" i="9"/>
  <c r="AE1212" i="9"/>
  <c r="AD1212" i="9"/>
  <c r="AC1212" i="9"/>
  <c r="AA1212" i="9"/>
  <c r="Z1212" i="9"/>
  <c r="Y1212" i="9"/>
  <c r="X1212" i="9"/>
  <c r="W1212" i="9"/>
  <c r="U1212" i="9"/>
  <c r="AI1211" i="9"/>
  <c r="AH1211" i="9"/>
  <c r="AG1211" i="9"/>
  <c r="AF1211" i="9"/>
  <c r="AE1211" i="9"/>
  <c r="AD1211" i="9"/>
  <c r="AC1211" i="9"/>
  <c r="AA1211" i="9"/>
  <c r="Z1211" i="9"/>
  <c r="Y1211" i="9"/>
  <c r="X1211" i="9"/>
  <c r="W1211" i="9"/>
  <c r="U1211" i="9"/>
  <c r="AI1210" i="9"/>
  <c r="AH1210" i="9"/>
  <c r="AG1210" i="9"/>
  <c r="AF1210" i="9"/>
  <c r="AE1210" i="9"/>
  <c r="AD1210" i="9"/>
  <c r="AC1210" i="9"/>
  <c r="AA1210" i="9"/>
  <c r="Z1210" i="9"/>
  <c r="Y1210" i="9"/>
  <c r="X1210" i="9"/>
  <c r="W1210" i="9"/>
  <c r="U1210" i="9"/>
  <c r="AI1209" i="9"/>
  <c r="AH1209" i="9"/>
  <c r="AG1209" i="9"/>
  <c r="AF1209" i="9"/>
  <c r="AE1209" i="9"/>
  <c r="AD1209" i="9"/>
  <c r="AC1209" i="9"/>
  <c r="AA1209" i="9"/>
  <c r="Z1209" i="9"/>
  <c r="Y1209" i="9"/>
  <c r="X1209" i="9"/>
  <c r="W1209" i="9"/>
  <c r="U1209" i="9"/>
  <c r="AI1208" i="9"/>
  <c r="AH1208" i="9"/>
  <c r="AG1208" i="9"/>
  <c r="AF1208" i="9"/>
  <c r="AE1208" i="9"/>
  <c r="AD1208" i="9"/>
  <c r="AC1208" i="9"/>
  <c r="AA1208" i="9"/>
  <c r="Z1208" i="9"/>
  <c r="Y1208" i="9"/>
  <c r="X1208" i="9"/>
  <c r="W1208" i="9"/>
  <c r="U1208" i="9"/>
  <c r="AI1207" i="9"/>
  <c r="AH1207" i="9"/>
  <c r="AG1207" i="9"/>
  <c r="AF1207" i="9"/>
  <c r="AE1207" i="9"/>
  <c r="AD1207" i="9"/>
  <c r="AA1207" i="9"/>
  <c r="Z1207" i="9"/>
  <c r="Y1207" i="9"/>
  <c r="X1207" i="9"/>
  <c r="W1207" i="9"/>
  <c r="U1207" i="9"/>
  <c r="AC1207" i="9" s="1"/>
  <c r="AI1206" i="9"/>
  <c r="AH1206" i="9"/>
  <c r="AG1206" i="9"/>
  <c r="AF1206" i="9"/>
  <c r="AE1206" i="9"/>
  <c r="AD1206" i="9"/>
  <c r="AA1206" i="9"/>
  <c r="Z1206" i="9"/>
  <c r="Y1206" i="9"/>
  <c r="X1206" i="9"/>
  <c r="W1206" i="9"/>
  <c r="U1206" i="9"/>
  <c r="AC1206" i="9" s="1"/>
  <c r="AI1205" i="9"/>
  <c r="AH1205" i="9"/>
  <c r="AG1205" i="9"/>
  <c r="AF1205" i="9"/>
  <c r="AE1205" i="9"/>
  <c r="AD1205" i="9"/>
  <c r="AA1205" i="9"/>
  <c r="Z1205" i="9"/>
  <c r="Y1205" i="9"/>
  <c r="X1205" i="9"/>
  <c r="W1205" i="9"/>
  <c r="U1205" i="9"/>
  <c r="AC1205" i="9" s="1"/>
  <c r="AI1204" i="9"/>
  <c r="AH1204" i="9"/>
  <c r="AG1204" i="9"/>
  <c r="AF1204" i="9"/>
  <c r="AE1204" i="9"/>
  <c r="AD1204" i="9"/>
  <c r="AA1204" i="9"/>
  <c r="Z1204" i="9"/>
  <c r="Y1204" i="9"/>
  <c r="X1204" i="9"/>
  <c r="W1204" i="9"/>
  <c r="U1204" i="9"/>
  <c r="AC1204" i="9" s="1"/>
  <c r="AI1203" i="9"/>
  <c r="AH1203" i="9"/>
  <c r="AG1203" i="9"/>
  <c r="AF1203" i="9"/>
  <c r="AE1203" i="9"/>
  <c r="AD1203" i="9"/>
  <c r="AA1203" i="9"/>
  <c r="Z1203" i="9"/>
  <c r="Y1203" i="9"/>
  <c r="X1203" i="9"/>
  <c r="W1203" i="9"/>
  <c r="U1203" i="9"/>
  <c r="AC1203" i="9" s="1"/>
  <c r="AI1202" i="9"/>
  <c r="AH1202" i="9"/>
  <c r="AG1202" i="9"/>
  <c r="AF1202" i="9"/>
  <c r="AE1202" i="9"/>
  <c r="AD1202" i="9"/>
  <c r="AA1202" i="9"/>
  <c r="Z1202" i="9"/>
  <c r="Y1202" i="9"/>
  <c r="X1202" i="9"/>
  <c r="W1202" i="9"/>
  <c r="U1202" i="9"/>
  <c r="AC1202" i="9" s="1"/>
  <c r="AI1201" i="9"/>
  <c r="AH1201" i="9"/>
  <c r="AG1201" i="9"/>
  <c r="AF1201" i="9"/>
  <c r="AE1201" i="9"/>
  <c r="AD1201" i="9"/>
  <c r="AC1201" i="9"/>
  <c r="AA1201" i="9"/>
  <c r="Z1201" i="9"/>
  <c r="Y1201" i="9"/>
  <c r="X1201" i="9"/>
  <c r="W1201" i="9"/>
  <c r="U1201" i="9"/>
  <c r="AI1200" i="9"/>
  <c r="AH1200" i="9"/>
  <c r="AG1200" i="9"/>
  <c r="AF1200" i="9"/>
  <c r="AE1200" i="9"/>
  <c r="AD1200" i="9"/>
  <c r="AC1200" i="9"/>
  <c r="AA1200" i="9"/>
  <c r="Z1200" i="9"/>
  <c r="Y1200" i="9"/>
  <c r="X1200" i="9"/>
  <c r="W1200" i="9"/>
  <c r="U1200" i="9"/>
  <c r="AI1199" i="9"/>
  <c r="AH1199" i="9"/>
  <c r="AG1199" i="9"/>
  <c r="AF1199" i="9"/>
  <c r="AE1199" i="9"/>
  <c r="AD1199" i="9"/>
  <c r="AC1199" i="9"/>
  <c r="AA1199" i="9"/>
  <c r="Z1199" i="9"/>
  <c r="Y1199" i="9"/>
  <c r="X1199" i="9"/>
  <c r="W1199" i="9"/>
  <c r="U1199" i="9"/>
  <c r="AI1198" i="9"/>
  <c r="AH1198" i="9"/>
  <c r="AG1198" i="9"/>
  <c r="AF1198" i="9"/>
  <c r="AE1198" i="9"/>
  <c r="AD1198" i="9"/>
  <c r="AC1198" i="9"/>
  <c r="AA1198" i="9"/>
  <c r="Z1198" i="9"/>
  <c r="Y1198" i="9"/>
  <c r="X1198" i="9"/>
  <c r="W1198" i="9"/>
  <c r="U1198" i="9"/>
  <c r="AI1197" i="9"/>
  <c r="AH1197" i="9"/>
  <c r="AG1197" i="9"/>
  <c r="AF1197" i="9"/>
  <c r="AE1197" i="9"/>
  <c r="AD1197" i="9"/>
  <c r="AC1197" i="9"/>
  <c r="AA1197" i="9"/>
  <c r="Z1197" i="9"/>
  <c r="Y1197" i="9"/>
  <c r="X1197" i="9"/>
  <c r="W1197" i="9"/>
  <c r="U1197" i="9"/>
  <c r="AI1196" i="9"/>
  <c r="AH1196" i="9"/>
  <c r="AG1196" i="9"/>
  <c r="AF1196" i="9"/>
  <c r="AE1196" i="9"/>
  <c r="AD1196" i="9"/>
  <c r="AC1196" i="9"/>
  <c r="AA1196" i="9"/>
  <c r="Z1196" i="9"/>
  <c r="Y1196" i="9"/>
  <c r="X1196" i="9"/>
  <c r="W1196" i="9"/>
  <c r="U1196" i="9"/>
  <c r="AI1195" i="9"/>
  <c r="AH1195" i="9"/>
  <c r="AG1195" i="9"/>
  <c r="AF1195" i="9"/>
  <c r="AE1195" i="9"/>
  <c r="AD1195" i="9"/>
  <c r="AA1195" i="9"/>
  <c r="Z1195" i="9"/>
  <c r="Y1195" i="9"/>
  <c r="X1195" i="9"/>
  <c r="W1195" i="9"/>
  <c r="U1195" i="9"/>
  <c r="AC1195" i="9" s="1"/>
  <c r="AI1194" i="9"/>
  <c r="AH1194" i="9"/>
  <c r="AG1194" i="9"/>
  <c r="AF1194" i="9"/>
  <c r="AE1194" i="9"/>
  <c r="AD1194" i="9"/>
  <c r="AA1194" i="9"/>
  <c r="Z1194" i="9"/>
  <c r="Y1194" i="9"/>
  <c r="X1194" i="9"/>
  <c r="W1194" i="9"/>
  <c r="U1194" i="9"/>
  <c r="AC1194" i="9" s="1"/>
  <c r="AI1193" i="9"/>
  <c r="AH1193" i="9"/>
  <c r="AG1193" i="9"/>
  <c r="AF1193" i="9"/>
  <c r="AE1193" i="9"/>
  <c r="AD1193" i="9"/>
  <c r="AA1193" i="9"/>
  <c r="Z1193" i="9"/>
  <c r="Y1193" i="9"/>
  <c r="X1193" i="9"/>
  <c r="W1193" i="9"/>
  <c r="U1193" i="9"/>
  <c r="AC1193" i="9" s="1"/>
  <c r="AI1192" i="9"/>
  <c r="AH1192" i="9"/>
  <c r="AG1192" i="9"/>
  <c r="AF1192" i="9"/>
  <c r="AE1192" i="9"/>
  <c r="AD1192" i="9"/>
  <c r="AA1192" i="9"/>
  <c r="Z1192" i="9"/>
  <c r="Y1192" i="9"/>
  <c r="X1192" i="9"/>
  <c r="W1192" i="9"/>
  <c r="U1192" i="9"/>
  <c r="AC1192" i="9" s="1"/>
  <c r="AI1191" i="9"/>
  <c r="AH1191" i="9"/>
  <c r="AG1191" i="9"/>
  <c r="AF1191" i="9"/>
  <c r="AE1191" i="9"/>
  <c r="AD1191" i="9"/>
  <c r="AA1191" i="9"/>
  <c r="Z1191" i="9"/>
  <c r="Y1191" i="9"/>
  <c r="X1191" i="9"/>
  <c r="W1191" i="9"/>
  <c r="U1191" i="9"/>
  <c r="AC1191" i="9" s="1"/>
  <c r="AI1190" i="9"/>
  <c r="AH1190" i="9"/>
  <c r="AG1190" i="9"/>
  <c r="AF1190" i="9"/>
  <c r="AE1190" i="9"/>
  <c r="AD1190" i="9"/>
  <c r="AA1190" i="9"/>
  <c r="Z1190" i="9"/>
  <c r="Y1190" i="9"/>
  <c r="X1190" i="9"/>
  <c r="W1190" i="9"/>
  <c r="U1190" i="9"/>
  <c r="AC1190" i="9" s="1"/>
  <c r="AI1189" i="9"/>
  <c r="AH1189" i="9"/>
  <c r="AG1189" i="9"/>
  <c r="AF1189" i="9"/>
  <c r="AE1189" i="9"/>
  <c r="AD1189" i="9"/>
  <c r="AC1189" i="9"/>
  <c r="AA1189" i="9"/>
  <c r="Z1189" i="9"/>
  <c r="Y1189" i="9"/>
  <c r="X1189" i="9"/>
  <c r="W1189" i="9"/>
  <c r="U1189" i="9"/>
  <c r="AI1188" i="9"/>
  <c r="AH1188" i="9"/>
  <c r="AG1188" i="9"/>
  <c r="AF1188" i="9"/>
  <c r="AE1188" i="9"/>
  <c r="AD1188" i="9"/>
  <c r="AC1188" i="9"/>
  <c r="AA1188" i="9"/>
  <c r="Z1188" i="9"/>
  <c r="Y1188" i="9"/>
  <c r="X1188" i="9"/>
  <c r="W1188" i="9"/>
  <c r="U1188" i="9"/>
  <c r="AI1187" i="9"/>
  <c r="AH1187" i="9"/>
  <c r="AG1187" i="9"/>
  <c r="AF1187" i="9"/>
  <c r="AE1187" i="9"/>
  <c r="AD1187" i="9"/>
  <c r="AC1187" i="9"/>
  <c r="AA1187" i="9"/>
  <c r="Z1187" i="9"/>
  <c r="Y1187" i="9"/>
  <c r="X1187" i="9"/>
  <c r="W1187" i="9"/>
  <c r="U1187" i="9"/>
  <c r="AI1186" i="9"/>
  <c r="AH1186" i="9"/>
  <c r="AG1186" i="9"/>
  <c r="AF1186" i="9"/>
  <c r="AE1186" i="9"/>
  <c r="AD1186" i="9"/>
  <c r="AC1186" i="9"/>
  <c r="AA1186" i="9"/>
  <c r="Z1186" i="9"/>
  <c r="Y1186" i="9"/>
  <c r="X1186" i="9"/>
  <c r="W1186" i="9"/>
  <c r="U1186" i="9"/>
  <c r="AI1185" i="9"/>
  <c r="AH1185" i="9"/>
  <c r="AG1185" i="9"/>
  <c r="AF1185" i="9"/>
  <c r="AE1185" i="9"/>
  <c r="AD1185" i="9"/>
  <c r="AC1185" i="9"/>
  <c r="AA1185" i="9"/>
  <c r="Z1185" i="9"/>
  <c r="Y1185" i="9"/>
  <c r="X1185" i="9"/>
  <c r="W1185" i="9"/>
  <c r="U1185" i="9"/>
  <c r="AI1184" i="9"/>
  <c r="AH1184" i="9"/>
  <c r="AG1184" i="9"/>
  <c r="AF1184" i="9"/>
  <c r="AE1184" i="9"/>
  <c r="AD1184" i="9"/>
  <c r="AC1184" i="9"/>
  <c r="AA1184" i="9"/>
  <c r="Z1184" i="9"/>
  <c r="Y1184" i="9"/>
  <c r="X1184" i="9"/>
  <c r="W1184" i="9"/>
  <c r="U1184" i="9"/>
  <c r="AI1183" i="9"/>
  <c r="AH1183" i="9"/>
  <c r="AG1183" i="9"/>
  <c r="AF1183" i="9"/>
  <c r="AE1183" i="9"/>
  <c r="AD1183" i="9"/>
  <c r="AA1183" i="9"/>
  <c r="Z1183" i="9"/>
  <c r="Y1183" i="9"/>
  <c r="X1183" i="9"/>
  <c r="W1183" i="9"/>
  <c r="U1183" i="9"/>
  <c r="AC1183" i="9" s="1"/>
  <c r="AI1182" i="9"/>
  <c r="AH1182" i="9"/>
  <c r="AG1182" i="9"/>
  <c r="AF1182" i="9"/>
  <c r="AE1182" i="9"/>
  <c r="AD1182" i="9"/>
  <c r="AA1182" i="9"/>
  <c r="Z1182" i="9"/>
  <c r="Y1182" i="9"/>
  <c r="X1182" i="9"/>
  <c r="W1182" i="9"/>
  <c r="U1182" i="9"/>
  <c r="AC1182" i="9" s="1"/>
  <c r="AI1181" i="9"/>
  <c r="AH1181" i="9"/>
  <c r="AG1181" i="9"/>
  <c r="AF1181" i="9"/>
  <c r="AE1181" i="9"/>
  <c r="AD1181" i="9"/>
  <c r="AA1181" i="9"/>
  <c r="Z1181" i="9"/>
  <c r="Y1181" i="9"/>
  <c r="X1181" i="9"/>
  <c r="W1181" i="9"/>
  <c r="U1181" i="9"/>
  <c r="AC1181" i="9" s="1"/>
  <c r="AI1180" i="9"/>
  <c r="AH1180" i="9"/>
  <c r="AG1180" i="9"/>
  <c r="AF1180" i="9"/>
  <c r="AE1180" i="9"/>
  <c r="AD1180" i="9"/>
  <c r="AA1180" i="9"/>
  <c r="Z1180" i="9"/>
  <c r="Y1180" i="9"/>
  <c r="X1180" i="9"/>
  <c r="W1180" i="9"/>
  <c r="U1180" i="9"/>
  <c r="AC1180" i="9" s="1"/>
  <c r="AI1179" i="9"/>
  <c r="AH1179" i="9"/>
  <c r="AG1179" i="9"/>
  <c r="AF1179" i="9"/>
  <c r="AE1179" i="9"/>
  <c r="AD1179" i="9"/>
  <c r="AA1179" i="9"/>
  <c r="Z1179" i="9"/>
  <c r="Y1179" i="9"/>
  <c r="X1179" i="9"/>
  <c r="W1179" i="9"/>
  <c r="U1179" i="9"/>
  <c r="AC1179" i="9" s="1"/>
  <c r="AI1178" i="9"/>
  <c r="AH1178" i="9"/>
  <c r="AG1178" i="9"/>
  <c r="AF1178" i="9"/>
  <c r="AE1178" i="9"/>
  <c r="AD1178" i="9"/>
  <c r="AA1178" i="9"/>
  <c r="Z1178" i="9"/>
  <c r="Y1178" i="9"/>
  <c r="X1178" i="9"/>
  <c r="W1178" i="9"/>
  <c r="U1178" i="9"/>
  <c r="AC1178" i="9" s="1"/>
  <c r="AI1177" i="9"/>
  <c r="AH1177" i="9"/>
  <c r="AG1177" i="9"/>
  <c r="AF1177" i="9"/>
  <c r="AE1177" i="9"/>
  <c r="AD1177" i="9"/>
  <c r="AC1177" i="9"/>
  <c r="AA1177" i="9"/>
  <c r="Z1177" i="9"/>
  <c r="Y1177" i="9"/>
  <c r="X1177" i="9"/>
  <c r="W1177" i="9"/>
  <c r="U1177" i="9"/>
  <c r="AI1176" i="9"/>
  <c r="AH1176" i="9"/>
  <c r="AG1176" i="9"/>
  <c r="AF1176" i="9"/>
  <c r="AE1176" i="9"/>
  <c r="AD1176" i="9"/>
  <c r="AC1176" i="9"/>
  <c r="AA1176" i="9"/>
  <c r="Z1176" i="9"/>
  <c r="Y1176" i="9"/>
  <c r="X1176" i="9"/>
  <c r="W1176" i="9"/>
  <c r="U1176" i="9"/>
  <c r="AI1175" i="9"/>
  <c r="AH1175" i="9"/>
  <c r="AG1175" i="9"/>
  <c r="AF1175" i="9"/>
  <c r="AE1175" i="9"/>
  <c r="AD1175" i="9"/>
  <c r="AC1175" i="9"/>
  <c r="AA1175" i="9"/>
  <c r="Z1175" i="9"/>
  <c r="Y1175" i="9"/>
  <c r="X1175" i="9"/>
  <c r="W1175" i="9"/>
  <c r="U1175" i="9"/>
  <c r="AI1174" i="9"/>
  <c r="AH1174" i="9"/>
  <c r="AG1174" i="9"/>
  <c r="AF1174" i="9"/>
  <c r="AE1174" i="9"/>
  <c r="AD1174" i="9"/>
  <c r="AC1174" i="9"/>
  <c r="AA1174" i="9"/>
  <c r="Z1174" i="9"/>
  <c r="Y1174" i="9"/>
  <c r="X1174" i="9"/>
  <c r="W1174" i="9"/>
  <c r="U1174" i="9"/>
  <c r="AI1173" i="9"/>
  <c r="AH1173" i="9"/>
  <c r="AG1173" i="9"/>
  <c r="AF1173" i="9"/>
  <c r="AE1173" i="9"/>
  <c r="AD1173" i="9"/>
  <c r="AC1173" i="9"/>
  <c r="AA1173" i="9"/>
  <c r="Z1173" i="9"/>
  <c r="Y1173" i="9"/>
  <c r="X1173" i="9"/>
  <c r="W1173" i="9"/>
  <c r="U1173" i="9"/>
  <c r="AI1172" i="9"/>
  <c r="AH1172" i="9"/>
  <c r="AG1172" i="9"/>
  <c r="AF1172" i="9"/>
  <c r="AE1172" i="9"/>
  <c r="AD1172" i="9"/>
  <c r="AC1172" i="9"/>
  <c r="AA1172" i="9"/>
  <c r="Z1172" i="9"/>
  <c r="Y1172" i="9"/>
  <c r="X1172" i="9"/>
  <c r="W1172" i="9"/>
  <c r="U1172" i="9"/>
  <c r="AI1171" i="9"/>
  <c r="AH1171" i="9"/>
  <c r="AG1171" i="9"/>
  <c r="AF1171" i="9"/>
  <c r="AE1171" i="9"/>
  <c r="AD1171" i="9"/>
  <c r="AA1171" i="9"/>
  <c r="Z1171" i="9"/>
  <c r="Y1171" i="9"/>
  <c r="X1171" i="9"/>
  <c r="W1171" i="9"/>
  <c r="U1171" i="9"/>
  <c r="AC1171" i="9" s="1"/>
  <c r="AI1170" i="9"/>
  <c r="AH1170" i="9"/>
  <c r="AG1170" i="9"/>
  <c r="AF1170" i="9"/>
  <c r="AE1170" i="9"/>
  <c r="AD1170" i="9"/>
  <c r="AA1170" i="9"/>
  <c r="Z1170" i="9"/>
  <c r="Y1170" i="9"/>
  <c r="X1170" i="9"/>
  <c r="W1170" i="9"/>
  <c r="U1170" i="9"/>
  <c r="AC1170" i="9" s="1"/>
  <c r="AI1169" i="9"/>
  <c r="AH1169" i="9"/>
  <c r="AG1169" i="9"/>
  <c r="AF1169" i="9"/>
  <c r="AE1169" i="9"/>
  <c r="AD1169" i="9"/>
  <c r="AA1169" i="9"/>
  <c r="Z1169" i="9"/>
  <c r="Y1169" i="9"/>
  <c r="X1169" i="9"/>
  <c r="W1169" i="9"/>
  <c r="U1169" i="9"/>
  <c r="AC1169" i="9" s="1"/>
  <c r="AI1168" i="9"/>
  <c r="AH1168" i="9"/>
  <c r="AG1168" i="9"/>
  <c r="AF1168" i="9"/>
  <c r="AE1168" i="9"/>
  <c r="AD1168" i="9"/>
  <c r="AA1168" i="9"/>
  <c r="Z1168" i="9"/>
  <c r="Y1168" i="9"/>
  <c r="X1168" i="9"/>
  <c r="W1168" i="9"/>
  <c r="U1168" i="9"/>
  <c r="AC1168" i="9" s="1"/>
  <c r="AI1167" i="9"/>
  <c r="AH1167" i="9"/>
  <c r="AG1167" i="9"/>
  <c r="AF1167" i="9"/>
  <c r="AE1167" i="9"/>
  <c r="AD1167" i="9"/>
  <c r="AA1167" i="9"/>
  <c r="Z1167" i="9"/>
  <c r="Y1167" i="9"/>
  <c r="X1167" i="9"/>
  <c r="W1167" i="9"/>
  <c r="U1167" i="9"/>
  <c r="AC1167" i="9" s="1"/>
  <c r="AI1166" i="9"/>
  <c r="AH1166" i="9"/>
  <c r="AG1166" i="9"/>
  <c r="AF1166" i="9"/>
  <c r="AE1166" i="9"/>
  <c r="AD1166" i="9"/>
  <c r="AA1166" i="9"/>
  <c r="Z1166" i="9"/>
  <c r="Y1166" i="9"/>
  <c r="X1166" i="9"/>
  <c r="W1166" i="9"/>
  <c r="U1166" i="9"/>
  <c r="AC1166" i="9" s="1"/>
  <c r="AI1165" i="9"/>
  <c r="AH1165" i="9"/>
  <c r="AG1165" i="9"/>
  <c r="AF1165" i="9"/>
  <c r="AE1165" i="9"/>
  <c r="AD1165" i="9"/>
  <c r="AC1165" i="9"/>
  <c r="AA1165" i="9"/>
  <c r="Z1165" i="9"/>
  <c r="Y1165" i="9"/>
  <c r="X1165" i="9"/>
  <c r="W1165" i="9"/>
  <c r="U1165" i="9"/>
  <c r="AI1164" i="9"/>
  <c r="AH1164" i="9"/>
  <c r="AG1164" i="9"/>
  <c r="AF1164" i="9"/>
  <c r="AE1164" i="9"/>
  <c r="AD1164" i="9"/>
  <c r="AC1164" i="9"/>
  <c r="AA1164" i="9"/>
  <c r="Z1164" i="9"/>
  <c r="Y1164" i="9"/>
  <c r="X1164" i="9"/>
  <c r="W1164" i="9"/>
  <c r="U1164" i="9"/>
  <c r="AI1163" i="9"/>
  <c r="AH1163" i="9"/>
  <c r="AG1163" i="9"/>
  <c r="AF1163" i="9"/>
  <c r="AE1163" i="9"/>
  <c r="AD1163" i="9"/>
  <c r="AC1163" i="9"/>
  <c r="AA1163" i="9"/>
  <c r="Z1163" i="9"/>
  <c r="Y1163" i="9"/>
  <c r="X1163" i="9"/>
  <c r="W1163" i="9"/>
  <c r="U1163" i="9"/>
  <c r="AI1162" i="9"/>
  <c r="AH1162" i="9"/>
  <c r="AG1162" i="9"/>
  <c r="AF1162" i="9"/>
  <c r="AE1162" i="9"/>
  <c r="AD1162" i="9"/>
  <c r="AC1162" i="9"/>
  <c r="AA1162" i="9"/>
  <c r="Z1162" i="9"/>
  <c r="Y1162" i="9"/>
  <c r="X1162" i="9"/>
  <c r="W1162" i="9"/>
  <c r="U1162" i="9"/>
  <c r="AI1161" i="9"/>
  <c r="AH1161" i="9"/>
  <c r="AG1161" i="9"/>
  <c r="AF1161" i="9"/>
  <c r="AE1161" i="9"/>
  <c r="AD1161" i="9"/>
  <c r="AC1161" i="9"/>
  <c r="AA1161" i="9"/>
  <c r="Z1161" i="9"/>
  <c r="Y1161" i="9"/>
  <c r="X1161" i="9"/>
  <c r="W1161" i="9"/>
  <c r="U1161" i="9"/>
  <c r="AI1160" i="9"/>
  <c r="AH1160" i="9"/>
  <c r="AG1160" i="9"/>
  <c r="AF1160" i="9"/>
  <c r="AE1160" i="9"/>
  <c r="AD1160" i="9"/>
  <c r="AC1160" i="9"/>
  <c r="AA1160" i="9"/>
  <c r="Z1160" i="9"/>
  <c r="Y1160" i="9"/>
  <c r="X1160" i="9"/>
  <c r="W1160" i="9"/>
  <c r="U1160" i="9"/>
  <c r="AI1159" i="9"/>
  <c r="AH1159" i="9"/>
  <c r="AG1159" i="9"/>
  <c r="AF1159" i="9"/>
  <c r="AE1159" i="9"/>
  <c r="AD1159" i="9"/>
  <c r="AA1159" i="9"/>
  <c r="Z1159" i="9"/>
  <c r="Y1159" i="9"/>
  <c r="X1159" i="9"/>
  <c r="W1159" i="9"/>
  <c r="U1159" i="9"/>
  <c r="AC1159" i="9" s="1"/>
  <c r="AI1158" i="9"/>
  <c r="AH1158" i="9"/>
  <c r="AG1158" i="9"/>
  <c r="AF1158" i="9"/>
  <c r="AE1158" i="9"/>
  <c r="AD1158" i="9"/>
  <c r="AA1158" i="9"/>
  <c r="Z1158" i="9"/>
  <c r="Y1158" i="9"/>
  <c r="X1158" i="9"/>
  <c r="W1158" i="9"/>
  <c r="U1158" i="9"/>
  <c r="AC1158" i="9" s="1"/>
  <c r="AI1157" i="9"/>
  <c r="AH1157" i="9"/>
  <c r="AG1157" i="9"/>
  <c r="AF1157" i="9"/>
  <c r="AE1157" i="9"/>
  <c r="AD1157" i="9"/>
  <c r="AA1157" i="9"/>
  <c r="Z1157" i="9"/>
  <c r="Y1157" i="9"/>
  <c r="X1157" i="9"/>
  <c r="W1157" i="9"/>
  <c r="U1157" i="9"/>
  <c r="AC1157" i="9" s="1"/>
  <c r="AI1156" i="9"/>
  <c r="AH1156" i="9"/>
  <c r="AG1156" i="9"/>
  <c r="AF1156" i="9"/>
  <c r="AE1156" i="9"/>
  <c r="AD1156" i="9"/>
  <c r="AA1156" i="9"/>
  <c r="Z1156" i="9"/>
  <c r="Y1156" i="9"/>
  <c r="X1156" i="9"/>
  <c r="W1156" i="9"/>
  <c r="U1156" i="9"/>
  <c r="AC1156" i="9" s="1"/>
  <c r="AI1155" i="9"/>
  <c r="AH1155" i="9"/>
  <c r="AG1155" i="9"/>
  <c r="AF1155" i="9"/>
  <c r="AE1155" i="9"/>
  <c r="AD1155" i="9"/>
  <c r="AA1155" i="9"/>
  <c r="Z1155" i="9"/>
  <c r="Y1155" i="9"/>
  <c r="X1155" i="9"/>
  <c r="W1155" i="9"/>
  <c r="U1155" i="9"/>
  <c r="AC1155" i="9" s="1"/>
  <c r="AI1154" i="9"/>
  <c r="AH1154" i="9"/>
  <c r="AG1154" i="9"/>
  <c r="AF1154" i="9"/>
  <c r="AE1154" i="9"/>
  <c r="AD1154" i="9"/>
  <c r="AA1154" i="9"/>
  <c r="Z1154" i="9"/>
  <c r="Y1154" i="9"/>
  <c r="X1154" i="9"/>
  <c r="W1154" i="9"/>
  <c r="U1154" i="9"/>
  <c r="AC1154" i="9" s="1"/>
  <c r="AI1153" i="9"/>
  <c r="AH1153" i="9"/>
  <c r="AG1153" i="9"/>
  <c r="AF1153" i="9"/>
  <c r="AE1153" i="9"/>
  <c r="AD1153" i="9"/>
  <c r="AC1153" i="9"/>
  <c r="AA1153" i="9"/>
  <c r="Z1153" i="9"/>
  <c r="Y1153" i="9"/>
  <c r="X1153" i="9"/>
  <c r="W1153" i="9"/>
  <c r="U1153" i="9"/>
  <c r="AI1152" i="9"/>
  <c r="AH1152" i="9"/>
  <c r="AG1152" i="9"/>
  <c r="AF1152" i="9"/>
  <c r="AE1152" i="9"/>
  <c r="AD1152" i="9"/>
  <c r="AC1152" i="9"/>
  <c r="AA1152" i="9"/>
  <c r="Z1152" i="9"/>
  <c r="Y1152" i="9"/>
  <c r="X1152" i="9"/>
  <c r="W1152" i="9"/>
  <c r="U1152" i="9"/>
  <c r="AI1151" i="9"/>
  <c r="AH1151" i="9"/>
  <c r="AG1151" i="9"/>
  <c r="AF1151" i="9"/>
  <c r="AE1151" i="9"/>
  <c r="AD1151" i="9"/>
  <c r="AC1151" i="9"/>
  <c r="AA1151" i="9"/>
  <c r="Z1151" i="9"/>
  <c r="Y1151" i="9"/>
  <c r="X1151" i="9"/>
  <c r="W1151" i="9"/>
  <c r="U1151" i="9"/>
  <c r="AI1150" i="9"/>
  <c r="AH1150" i="9"/>
  <c r="AG1150" i="9"/>
  <c r="AF1150" i="9"/>
  <c r="AE1150" i="9"/>
  <c r="AD1150" i="9"/>
  <c r="AC1150" i="9"/>
  <c r="AA1150" i="9"/>
  <c r="Z1150" i="9"/>
  <c r="Y1150" i="9"/>
  <c r="X1150" i="9"/>
  <c r="W1150" i="9"/>
  <c r="U1150" i="9"/>
  <c r="AI1149" i="9"/>
  <c r="AH1149" i="9"/>
  <c r="AG1149" i="9"/>
  <c r="AF1149" i="9"/>
  <c r="AE1149" i="9"/>
  <c r="AD1149" i="9"/>
  <c r="AC1149" i="9"/>
  <c r="AA1149" i="9"/>
  <c r="Z1149" i="9"/>
  <c r="Y1149" i="9"/>
  <c r="X1149" i="9"/>
  <c r="W1149" i="9"/>
  <c r="U1149" i="9"/>
  <c r="AI1148" i="9"/>
  <c r="AH1148" i="9"/>
  <c r="AG1148" i="9"/>
  <c r="AF1148" i="9"/>
  <c r="AE1148" i="9"/>
  <c r="AD1148" i="9"/>
  <c r="AC1148" i="9"/>
  <c r="AA1148" i="9"/>
  <c r="Z1148" i="9"/>
  <c r="Y1148" i="9"/>
  <c r="X1148" i="9"/>
  <c r="W1148" i="9"/>
  <c r="U1148" i="9"/>
  <c r="AI1147" i="9"/>
  <c r="AH1147" i="9"/>
  <c r="AG1147" i="9"/>
  <c r="AF1147" i="9"/>
  <c r="AE1147" i="9"/>
  <c r="AD1147" i="9"/>
  <c r="AA1147" i="9"/>
  <c r="Z1147" i="9"/>
  <c r="Y1147" i="9"/>
  <c r="X1147" i="9"/>
  <c r="W1147" i="9"/>
  <c r="U1147" i="9"/>
  <c r="AC1147" i="9" s="1"/>
  <c r="AI1146" i="9"/>
  <c r="AH1146" i="9"/>
  <c r="AG1146" i="9"/>
  <c r="AF1146" i="9"/>
  <c r="AE1146" i="9"/>
  <c r="AD1146" i="9"/>
  <c r="AA1146" i="9"/>
  <c r="Z1146" i="9"/>
  <c r="Y1146" i="9"/>
  <c r="X1146" i="9"/>
  <c r="W1146" i="9"/>
  <c r="U1146" i="9"/>
  <c r="AC1146" i="9" s="1"/>
  <c r="AI1145" i="9"/>
  <c r="AH1145" i="9"/>
  <c r="AG1145" i="9"/>
  <c r="AF1145" i="9"/>
  <c r="AE1145" i="9"/>
  <c r="AD1145" i="9"/>
  <c r="AA1145" i="9"/>
  <c r="Z1145" i="9"/>
  <c r="Y1145" i="9"/>
  <c r="X1145" i="9"/>
  <c r="W1145" i="9"/>
  <c r="U1145" i="9"/>
  <c r="AC1145" i="9" s="1"/>
  <c r="AI1144" i="9"/>
  <c r="AH1144" i="9"/>
  <c r="AG1144" i="9"/>
  <c r="AF1144" i="9"/>
  <c r="AE1144" i="9"/>
  <c r="AD1144" i="9"/>
  <c r="AA1144" i="9"/>
  <c r="Z1144" i="9"/>
  <c r="Y1144" i="9"/>
  <c r="X1144" i="9"/>
  <c r="W1144" i="9"/>
  <c r="U1144" i="9"/>
  <c r="AC1144" i="9" s="1"/>
  <c r="AI1143" i="9"/>
  <c r="AH1143" i="9"/>
  <c r="AG1143" i="9"/>
  <c r="AF1143" i="9"/>
  <c r="AE1143" i="9"/>
  <c r="AD1143" i="9"/>
  <c r="AA1143" i="9"/>
  <c r="Z1143" i="9"/>
  <c r="Y1143" i="9"/>
  <c r="X1143" i="9"/>
  <c r="W1143" i="9"/>
  <c r="U1143" i="9"/>
  <c r="AC1143" i="9" s="1"/>
  <c r="AI1142" i="9"/>
  <c r="AH1142" i="9"/>
  <c r="AG1142" i="9"/>
  <c r="AF1142" i="9"/>
  <c r="AE1142" i="9"/>
  <c r="AD1142" i="9"/>
  <c r="AA1142" i="9"/>
  <c r="Z1142" i="9"/>
  <c r="Y1142" i="9"/>
  <c r="X1142" i="9"/>
  <c r="W1142" i="9"/>
  <c r="U1142" i="9"/>
  <c r="AC1142" i="9" s="1"/>
  <c r="AI1141" i="9"/>
  <c r="AH1141" i="9"/>
  <c r="AG1141" i="9"/>
  <c r="AF1141" i="9"/>
  <c r="AE1141" i="9"/>
  <c r="AD1141" i="9"/>
  <c r="AC1141" i="9"/>
  <c r="AA1141" i="9"/>
  <c r="Z1141" i="9"/>
  <c r="Y1141" i="9"/>
  <c r="X1141" i="9"/>
  <c r="W1141" i="9"/>
  <c r="U1141" i="9"/>
  <c r="AI1140" i="9"/>
  <c r="AH1140" i="9"/>
  <c r="AG1140" i="9"/>
  <c r="AF1140" i="9"/>
  <c r="AE1140" i="9"/>
  <c r="AD1140" i="9"/>
  <c r="AC1140" i="9"/>
  <c r="AA1140" i="9"/>
  <c r="Z1140" i="9"/>
  <c r="Y1140" i="9"/>
  <c r="X1140" i="9"/>
  <c r="W1140" i="9"/>
  <c r="U1140" i="9"/>
  <c r="AI1139" i="9"/>
  <c r="AH1139" i="9"/>
  <c r="AG1139" i="9"/>
  <c r="AF1139" i="9"/>
  <c r="AE1139" i="9"/>
  <c r="AD1139" i="9"/>
  <c r="AC1139" i="9"/>
  <c r="AA1139" i="9"/>
  <c r="Z1139" i="9"/>
  <c r="Y1139" i="9"/>
  <c r="X1139" i="9"/>
  <c r="W1139" i="9"/>
  <c r="U1139" i="9"/>
  <c r="AI1138" i="9"/>
  <c r="AH1138" i="9"/>
  <c r="AG1138" i="9"/>
  <c r="AF1138" i="9"/>
  <c r="AE1138" i="9"/>
  <c r="AD1138" i="9"/>
  <c r="AC1138" i="9"/>
  <c r="AA1138" i="9"/>
  <c r="Z1138" i="9"/>
  <c r="Y1138" i="9"/>
  <c r="X1138" i="9"/>
  <c r="W1138" i="9"/>
  <c r="U1138" i="9"/>
  <c r="AI1137" i="9"/>
  <c r="AH1137" i="9"/>
  <c r="AG1137" i="9"/>
  <c r="AF1137" i="9"/>
  <c r="AE1137" i="9"/>
  <c r="AD1137" i="9"/>
  <c r="AC1137" i="9"/>
  <c r="AA1137" i="9"/>
  <c r="Z1137" i="9"/>
  <c r="Y1137" i="9"/>
  <c r="X1137" i="9"/>
  <c r="W1137" i="9"/>
  <c r="U1137" i="9"/>
  <c r="AI1136" i="9"/>
  <c r="AH1136" i="9"/>
  <c r="AG1136" i="9"/>
  <c r="AF1136" i="9"/>
  <c r="AE1136" i="9"/>
  <c r="AD1136" i="9"/>
  <c r="AC1136" i="9"/>
  <c r="AA1136" i="9"/>
  <c r="Z1136" i="9"/>
  <c r="Y1136" i="9"/>
  <c r="X1136" i="9"/>
  <c r="W1136" i="9"/>
  <c r="U1136" i="9"/>
  <c r="AI1135" i="9"/>
  <c r="AH1135" i="9"/>
  <c r="AG1135" i="9"/>
  <c r="AF1135" i="9"/>
  <c r="AE1135" i="9"/>
  <c r="AD1135" i="9"/>
  <c r="AA1135" i="9"/>
  <c r="Z1135" i="9"/>
  <c r="Y1135" i="9"/>
  <c r="X1135" i="9"/>
  <c r="W1135" i="9"/>
  <c r="U1135" i="9"/>
  <c r="AC1135" i="9" s="1"/>
  <c r="AI1134" i="9"/>
  <c r="AH1134" i="9"/>
  <c r="AG1134" i="9"/>
  <c r="AF1134" i="9"/>
  <c r="AE1134" i="9"/>
  <c r="AD1134" i="9"/>
  <c r="AA1134" i="9"/>
  <c r="Z1134" i="9"/>
  <c r="Y1134" i="9"/>
  <c r="X1134" i="9"/>
  <c r="W1134" i="9"/>
  <c r="U1134" i="9"/>
  <c r="AC1134" i="9" s="1"/>
  <c r="AI1133" i="9"/>
  <c r="AH1133" i="9"/>
  <c r="AG1133" i="9"/>
  <c r="AF1133" i="9"/>
  <c r="AE1133" i="9"/>
  <c r="AD1133" i="9"/>
  <c r="AA1133" i="9"/>
  <c r="Z1133" i="9"/>
  <c r="Y1133" i="9"/>
  <c r="X1133" i="9"/>
  <c r="W1133" i="9"/>
  <c r="U1133" i="9"/>
  <c r="AC1133" i="9" s="1"/>
  <c r="AI1132" i="9"/>
  <c r="AH1132" i="9"/>
  <c r="AG1132" i="9"/>
  <c r="AF1132" i="9"/>
  <c r="AE1132" i="9"/>
  <c r="AD1132" i="9"/>
  <c r="AA1132" i="9"/>
  <c r="Z1132" i="9"/>
  <c r="Y1132" i="9"/>
  <c r="X1132" i="9"/>
  <c r="W1132" i="9"/>
  <c r="U1132" i="9"/>
  <c r="AC1132" i="9" s="1"/>
  <c r="AI1131" i="9"/>
  <c r="AH1131" i="9"/>
  <c r="AG1131" i="9"/>
  <c r="AF1131" i="9"/>
  <c r="AE1131" i="9"/>
  <c r="AD1131" i="9"/>
  <c r="AA1131" i="9"/>
  <c r="Z1131" i="9"/>
  <c r="Y1131" i="9"/>
  <c r="X1131" i="9"/>
  <c r="W1131" i="9"/>
  <c r="U1131" i="9"/>
  <c r="AC1131" i="9" s="1"/>
  <c r="AI1130" i="9"/>
  <c r="AH1130" i="9"/>
  <c r="AG1130" i="9"/>
  <c r="AF1130" i="9"/>
  <c r="AE1130" i="9"/>
  <c r="AD1130" i="9"/>
  <c r="AA1130" i="9"/>
  <c r="Z1130" i="9"/>
  <c r="Y1130" i="9"/>
  <c r="X1130" i="9"/>
  <c r="W1130" i="9"/>
  <c r="U1130" i="9"/>
  <c r="AC1130" i="9" s="1"/>
  <c r="AI1129" i="9"/>
  <c r="AH1129" i="9"/>
  <c r="AG1129" i="9"/>
  <c r="AF1129" i="9"/>
  <c r="AE1129" i="9"/>
  <c r="AD1129" i="9"/>
  <c r="AC1129" i="9"/>
  <c r="AA1129" i="9"/>
  <c r="Z1129" i="9"/>
  <c r="Y1129" i="9"/>
  <c r="X1129" i="9"/>
  <c r="W1129" i="9"/>
  <c r="U1129" i="9"/>
  <c r="AI1128" i="9"/>
  <c r="AH1128" i="9"/>
  <c r="AG1128" i="9"/>
  <c r="AF1128" i="9"/>
  <c r="AE1128" i="9"/>
  <c r="AD1128" i="9"/>
  <c r="AC1128" i="9"/>
  <c r="AA1128" i="9"/>
  <c r="Z1128" i="9"/>
  <c r="Y1128" i="9"/>
  <c r="X1128" i="9"/>
  <c r="W1128" i="9"/>
  <c r="U1128" i="9"/>
  <c r="AI1127" i="9"/>
  <c r="AH1127" i="9"/>
  <c r="AG1127" i="9"/>
  <c r="AF1127" i="9"/>
  <c r="AE1127" i="9"/>
  <c r="AD1127" i="9"/>
  <c r="AC1127" i="9"/>
  <c r="AA1127" i="9"/>
  <c r="Z1127" i="9"/>
  <c r="Y1127" i="9"/>
  <c r="X1127" i="9"/>
  <c r="W1127" i="9"/>
  <c r="U1127" i="9"/>
  <c r="AI1126" i="9"/>
  <c r="AH1126" i="9"/>
  <c r="AG1126" i="9"/>
  <c r="AF1126" i="9"/>
  <c r="AE1126" i="9"/>
  <c r="AD1126" i="9"/>
  <c r="AC1126" i="9"/>
  <c r="AA1126" i="9"/>
  <c r="Z1126" i="9"/>
  <c r="Y1126" i="9"/>
  <c r="X1126" i="9"/>
  <c r="W1126" i="9"/>
  <c r="U1126" i="9"/>
  <c r="AI1125" i="9"/>
  <c r="AH1125" i="9"/>
  <c r="AG1125" i="9"/>
  <c r="AF1125" i="9"/>
  <c r="AE1125" i="9"/>
  <c r="AD1125" i="9"/>
  <c r="AC1125" i="9"/>
  <c r="AA1125" i="9"/>
  <c r="Z1125" i="9"/>
  <c r="Y1125" i="9"/>
  <c r="X1125" i="9"/>
  <c r="W1125" i="9"/>
  <c r="U1125" i="9"/>
  <c r="AI1124" i="9"/>
  <c r="AH1124" i="9"/>
  <c r="AG1124" i="9"/>
  <c r="AF1124" i="9"/>
  <c r="AE1124" i="9"/>
  <c r="AD1124" i="9"/>
  <c r="AC1124" i="9"/>
  <c r="AA1124" i="9"/>
  <c r="Z1124" i="9"/>
  <c r="Y1124" i="9"/>
  <c r="X1124" i="9"/>
  <c r="W1124" i="9"/>
  <c r="U1124" i="9"/>
  <c r="AI1123" i="9"/>
  <c r="AH1123" i="9"/>
  <c r="AG1123" i="9"/>
  <c r="AF1123" i="9"/>
  <c r="AE1123" i="9"/>
  <c r="AD1123" i="9"/>
  <c r="AA1123" i="9"/>
  <c r="Z1123" i="9"/>
  <c r="Y1123" i="9"/>
  <c r="X1123" i="9"/>
  <c r="W1123" i="9"/>
  <c r="U1123" i="9"/>
  <c r="AC1123" i="9" s="1"/>
  <c r="AI1122" i="9"/>
  <c r="AH1122" i="9"/>
  <c r="AG1122" i="9"/>
  <c r="AF1122" i="9"/>
  <c r="AE1122" i="9"/>
  <c r="AD1122" i="9"/>
  <c r="AA1122" i="9"/>
  <c r="Z1122" i="9"/>
  <c r="Y1122" i="9"/>
  <c r="X1122" i="9"/>
  <c r="W1122" i="9"/>
  <c r="U1122" i="9"/>
  <c r="AC1122" i="9" s="1"/>
  <c r="AI1121" i="9"/>
  <c r="AH1121" i="9"/>
  <c r="AG1121" i="9"/>
  <c r="AF1121" i="9"/>
  <c r="AE1121" i="9"/>
  <c r="AD1121" i="9"/>
  <c r="AA1121" i="9"/>
  <c r="Z1121" i="9"/>
  <c r="Y1121" i="9"/>
  <c r="X1121" i="9"/>
  <c r="W1121" i="9"/>
  <c r="U1121" i="9"/>
  <c r="AC1121" i="9" s="1"/>
  <c r="AI1120" i="9"/>
  <c r="AH1120" i="9"/>
  <c r="AG1120" i="9"/>
  <c r="AF1120" i="9"/>
  <c r="AE1120" i="9"/>
  <c r="AD1120" i="9"/>
  <c r="AA1120" i="9"/>
  <c r="Z1120" i="9"/>
  <c r="Y1120" i="9"/>
  <c r="X1120" i="9"/>
  <c r="W1120" i="9"/>
  <c r="U1120" i="9"/>
  <c r="AC1120" i="9" s="1"/>
  <c r="AI1119" i="9"/>
  <c r="AH1119" i="9"/>
  <c r="AG1119" i="9"/>
  <c r="AF1119" i="9"/>
  <c r="AE1119" i="9"/>
  <c r="AD1119" i="9"/>
  <c r="AA1119" i="9"/>
  <c r="Z1119" i="9"/>
  <c r="Y1119" i="9"/>
  <c r="X1119" i="9"/>
  <c r="W1119" i="9"/>
  <c r="U1119" i="9"/>
  <c r="AC1119" i="9" s="1"/>
  <c r="AI1118" i="9"/>
  <c r="AH1118" i="9"/>
  <c r="AG1118" i="9"/>
  <c r="AF1118" i="9"/>
  <c r="AE1118" i="9"/>
  <c r="AD1118" i="9"/>
  <c r="AA1118" i="9"/>
  <c r="Z1118" i="9"/>
  <c r="Y1118" i="9"/>
  <c r="X1118" i="9"/>
  <c r="W1118" i="9"/>
  <c r="U1118" i="9"/>
  <c r="AC1118" i="9" s="1"/>
  <c r="AI1117" i="9"/>
  <c r="AH1117" i="9"/>
  <c r="AG1117" i="9"/>
  <c r="AF1117" i="9"/>
  <c r="AE1117" i="9"/>
  <c r="AD1117" i="9"/>
  <c r="AC1117" i="9"/>
  <c r="AA1117" i="9"/>
  <c r="Z1117" i="9"/>
  <c r="Y1117" i="9"/>
  <c r="X1117" i="9"/>
  <c r="W1117" i="9"/>
  <c r="U1117" i="9"/>
  <c r="AI1116" i="9"/>
  <c r="AH1116" i="9"/>
  <c r="AG1116" i="9"/>
  <c r="AF1116" i="9"/>
  <c r="AE1116" i="9"/>
  <c r="AD1116" i="9"/>
  <c r="AC1116" i="9"/>
  <c r="AA1116" i="9"/>
  <c r="Z1116" i="9"/>
  <c r="Y1116" i="9"/>
  <c r="X1116" i="9"/>
  <c r="W1116" i="9"/>
  <c r="U1116" i="9"/>
  <c r="AI1115" i="9"/>
  <c r="AH1115" i="9"/>
  <c r="AG1115" i="9"/>
  <c r="AF1115" i="9"/>
  <c r="AE1115" i="9"/>
  <c r="AD1115" i="9"/>
  <c r="AC1115" i="9"/>
  <c r="AA1115" i="9"/>
  <c r="Z1115" i="9"/>
  <c r="Y1115" i="9"/>
  <c r="X1115" i="9"/>
  <c r="W1115" i="9"/>
  <c r="U1115" i="9"/>
  <c r="AI1114" i="9"/>
  <c r="AH1114" i="9"/>
  <c r="AG1114" i="9"/>
  <c r="AF1114" i="9"/>
  <c r="AE1114" i="9"/>
  <c r="AD1114" i="9"/>
  <c r="AC1114" i="9"/>
  <c r="AA1114" i="9"/>
  <c r="Z1114" i="9"/>
  <c r="Y1114" i="9"/>
  <c r="X1114" i="9"/>
  <c r="W1114" i="9"/>
  <c r="U1114" i="9"/>
  <c r="AI1113" i="9"/>
  <c r="AH1113" i="9"/>
  <c r="AG1113" i="9"/>
  <c r="AF1113" i="9"/>
  <c r="AE1113" i="9"/>
  <c r="AD1113" i="9"/>
  <c r="AC1113" i="9"/>
  <c r="AA1113" i="9"/>
  <c r="Z1113" i="9"/>
  <c r="Y1113" i="9"/>
  <c r="X1113" i="9"/>
  <c r="W1113" i="9"/>
  <c r="U1113" i="9"/>
  <c r="AI1112" i="9"/>
  <c r="AH1112" i="9"/>
  <c r="AG1112" i="9"/>
  <c r="AF1112" i="9"/>
  <c r="AE1112" i="9"/>
  <c r="AD1112" i="9"/>
  <c r="AC1112" i="9"/>
  <c r="AA1112" i="9"/>
  <c r="Z1112" i="9"/>
  <c r="Y1112" i="9"/>
  <c r="X1112" i="9"/>
  <c r="W1112" i="9"/>
  <c r="U1112" i="9"/>
  <c r="AI1111" i="9"/>
  <c r="AH1111" i="9"/>
  <c r="AG1111" i="9"/>
  <c r="AF1111" i="9"/>
  <c r="AE1111" i="9"/>
  <c r="AD1111" i="9"/>
  <c r="AA1111" i="9"/>
  <c r="Z1111" i="9"/>
  <c r="Y1111" i="9"/>
  <c r="X1111" i="9"/>
  <c r="W1111" i="9"/>
  <c r="U1111" i="9"/>
  <c r="AC1111" i="9" s="1"/>
  <c r="AI1110" i="9"/>
  <c r="AH1110" i="9"/>
  <c r="AG1110" i="9"/>
  <c r="AF1110" i="9"/>
  <c r="AE1110" i="9"/>
  <c r="AD1110" i="9"/>
  <c r="AA1110" i="9"/>
  <c r="Z1110" i="9"/>
  <c r="Y1110" i="9"/>
  <c r="X1110" i="9"/>
  <c r="W1110" i="9"/>
  <c r="U1110" i="9"/>
  <c r="AC1110" i="9" s="1"/>
  <c r="AI1109" i="9"/>
  <c r="AH1109" i="9"/>
  <c r="AG1109" i="9"/>
  <c r="AF1109" i="9"/>
  <c r="AE1109" i="9"/>
  <c r="AD1109" i="9"/>
  <c r="AA1109" i="9"/>
  <c r="Z1109" i="9"/>
  <c r="Y1109" i="9"/>
  <c r="X1109" i="9"/>
  <c r="W1109" i="9"/>
  <c r="U1109" i="9"/>
  <c r="AC1109" i="9" s="1"/>
  <c r="AI1108" i="9"/>
  <c r="AH1108" i="9"/>
  <c r="AG1108" i="9"/>
  <c r="AF1108" i="9"/>
  <c r="AE1108" i="9"/>
  <c r="AD1108" i="9"/>
  <c r="AA1108" i="9"/>
  <c r="Z1108" i="9"/>
  <c r="Y1108" i="9"/>
  <c r="X1108" i="9"/>
  <c r="W1108" i="9"/>
  <c r="U1108" i="9"/>
  <c r="AC1108" i="9" s="1"/>
  <c r="AI1107" i="9"/>
  <c r="AH1107" i="9"/>
  <c r="AG1107" i="9"/>
  <c r="AF1107" i="9"/>
  <c r="AE1107" i="9"/>
  <c r="AD1107" i="9"/>
  <c r="AA1107" i="9"/>
  <c r="Z1107" i="9"/>
  <c r="Y1107" i="9"/>
  <c r="X1107" i="9"/>
  <c r="W1107" i="9"/>
  <c r="U1107" i="9"/>
  <c r="AC1107" i="9" s="1"/>
  <c r="AI1106" i="9"/>
  <c r="AH1106" i="9"/>
  <c r="AG1106" i="9"/>
  <c r="AF1106" i="9"/>
  <c r="AE1106" i="9"/>
  <c r="AD1106" i="9"/>
  <c r="AA1106" i="9"/>
  <c r="Z1106" i="9"/>
  <c r="Y1106" i="9"/>
  <c r="X1106" i="9"/>
  <c r="W1106" i="9"/>
  <c r="U1106" i="9"/>
  <c r="AC1106" i="9" s="1"/>
  <c r="AI1105" i="9"/>
  <c r="AH1105" i="9"/>
  <c r="AG1105" i="9"/>
  <c r="AF1105" i="9"/>
  <c r="AE1105" i="9"/>
  <c r="AD1105" i="9"/>
  <c r="AC1105" i="9"/>
  <c r="AA1105" i="9"/>
  <c r="Z1105" i="9"/>
  <c r="Y1105" i="9"/>
  <c r="X1105" i="9"/>
  <c r="W1105" i="9"/>
  <c r="U1105" i="9"/>
  <c r="AI1104" i="9"/>
  <c r="AH1104" i="9"/>
  <c r="AG1104" i="9"/>
  <c r="AF1104" i="9"/>
  <c r="AE1104" i="9"/>
  <c r="AD1104" i="9"/>
  <c r="AC1104" i="9"/>
  <c r="AA1104" i="9"/>
  <c r="Z1104" i="9"/>
  <c r="Y1104" i="9"/>
  <c r="X1104" i="9"/>
  <c r="W1104" i="9"/>
  <c r="U1104" i="9"/>
  <c r="AI1103" i="9"/>
  <c r="AH1103" i="9"/>
  <c r="AG1103" i="9"/>
  <c r="AF1103" i="9"/>
  <c r="AE1103" i="9"/>
  <c r="AD1103" i="9"/>
  <c r="AC1103" i="9"/>
  <c r="AA1103" i="9"/>
  <c r="Z1103" i="9"/>
  <c r="Y1103" i="9"/>
  <c r="X1103" i="9"/>
  <c r="W1103" i="9"/>
  <c r="U1103" i="9"/>
  <c r="AI1102" i="9"/>
  <c r="AH1102" i="9"/>
  <c r="AG1102" i="9"/>
  <c r="AF1102" i="9"/>
  <c r="AE1102" i="9"/>
  <c r="AD1102" i="9"/>
  <c r="AC1102" i="9"/>
  <c r="AA1102" i="9"/>
  <c r="Z1102" i="9"/>
  <c r="Y1102" i="9"/>
  <c r="X1102" i="9"/>
  <c r="W1102" i="9"/>
  <c r="U1102" i="9"/>
  <c r="AI1101" i="9"/>
  <c r="AH1101" i="9"/>
  <c r="AG1101" i="9"/>
  <c r="AF1101" i="9"/>
  <c r="AE1101" i="9"/>
  <c r="AD1101" i="9"/>
  <c r="AC1101" i="9"/>
  <c r="AA1101" i="9"/>
  <c r="Z1101" i="9"/>
  <c r="Y1101" i="9"/>
  <c r="X1101" i="9"/>
  <c r="W1101" i="9"/>
  <c r="U1101" i="9"/>
  <c r="AI1100" i="9"/>
  <c r="AH1100" i="9"/>
  <c r="AG1100" i="9"/>
  <c r="AF1100" i="9"/>
  <c r="AE1100" i="9"/>
  <c r="AD1100" i="9"/>
  <c r="AC1100" i="9"/>
  <c r="AA1100" i="9"/>
  <c r="Z1100" i="9"/>
  <c r="Y1100" i="9"/>
  <c r="X1100" i="9"/>
  <c r="W1100" i="9"/>
  <c r="U1100" i="9"/>
  <c r="AI1099" i="9"/>
  <c r="AH1099" i="9"/>
  <c r="AG1099" i="9"/>
  <c r="AF1099" i="9"/>
  <c r="AE1099" i="9"/>
  <c r="AD1099" i="9"/>
  <c r="AA1099" i="9"/>
  <c r="Z1099" i="9"/>
  <c r="Y1099" i="9"/>
  <c r="X1099" i="9"/>
  <c r="W1099" i="9"/>
  <c r="U1099" i="9"/>
  <c r="AC1099" i="9" s="1"/>
  <c r="AI1098" i="9"/>
  <c r="AH1098" i="9"/>
  <c r="AG1098" i="9"/>
  <c r="AF1098" i="9"/>
  <c r="AE1098" i="9"/>
  <c r="AD1098" i="9"/>
  <c r="AA1098" i="9"/>
  <c r="Z1098" i="9"/>
  <c r="Y1098" i="9"/>
  <c r="X1098" i="9"/>
  <c r="W1098" i="9"/>
  <c r="U1098" i="9"/>
  <c r="AC1098" i="9" s="1"/>
  <c r="AI1097" i="9"/>
  <c r="AH1097" i="9"/>
  <c r="AG1097" i="9"/>
  <c r="AF1097" i="9"/>
  <c r="AE1097" i="9"/>
  <c r="AD1097" i="9"/>
  <c r="AA1097" i="9"/>
  <c r="Z1097" i="9"/>
  <c r="Y1097" i="9"/>
  <c r="X1097" i="9"/>
  <c r="W1097" i="9"/>
  <c r="U1097" i="9"/>
  <c r="AC1097" i="9" s="1"/>
  <c r="AI1096" i="9"/>
  <c r="AH1096" i="9"/>
  <c r="AG1096" i="9"/>
  <c r="AF1096" i="9"/>
  <c r="AE1096" i="9"/>
  <c r="AD1096" i="9"/>
  <c r="AA1096" i="9"/>
  <c r="Z1096" i="9"/>
  <c r="Y1096" i="9"/>
  <c r="X1096" i="9"/>
  <c r="W1096" i="9"/>
  <c r="U1096" i="9"/>
  <c r="AC1096" i="9" s="1"/>
  <c r="AI1095" i="9"/>
  <c r="AH1095" i="9"/>
  <c r="AG1095" i="9"/>
  <c r="AF1095" i="9"/>
  <c r="AE1095" i="9"/>
  <c r="AD1095" i="9"/>
  <c r="AA1095" i="9"/>
  <c r="Z1095" i="9"/>
  <c r="Y1095" i="9"/>
  <c r="X1095" i="9"/>
  <c r="W1095" i="9"/>
  <c r="U1095" i="9"/>
  <c r="AC1095" i="9" s="1"/>
  <c r="AI1094" i="9"/>
  <c r="AH1094" i="9"/>
  <c r="AG1094" i="9"/>
  <c r="AF1094" i="9"/>
  <c r="AE1094" i="9"/>
  <c r="AD1094" i="9"/>
  <c r="AA1094" i="9"/>
  <c r="Z1094" i="9"/>
  <c r="Y1094" i="9"/>
  <c r="X1094" i="9"/>
  <c r="W1094" i="9"/>
  <c r="U1094" i="9"/>
  <c r="AC1094" i="9" s="1"/>
  <c r="AI1093" i="9"/>
  <c r="AH1093" i="9"/>
  <c r="AG1093" i="9"/>
  <c r="AF1093" i="9"/>
  <c r="AE1093" i="9"/>
  <c r="AD1093" i="9"/>
  <c r="AC1093" i="9"/>
  <c r="AA1093" i="9"/>
  <c r="Z1093" i="9"/>
  <c r="Y1093" i="9"/>
  <c r="X1093" i="9"/>
  <c r="W1093" i="9"/>
  <c r="U1093" i="9"/>
  <c r="AI1092" i="9"/>
  <c r="AH1092" i="9"/>
  <c r="AG1092" i="9"/>
  <c r="AF1092" i="9"/>
  <c r="AE1092" i="9"/>
  <c r="AD1092" i="9"/>
  <c r="AC1092" i="9"/>
  <c r="AA1092" i="9"/>
  <c r="Z1092" i="9"/>
  <c r="Y1092" i="9"/>
  <c r="X1092" i="9"/>
  <c r="W1092" i="9"/>
  <c r="U1092" i="9"/>
  <c r="AI1091" i="9"/>
  <c r="AH1091" i="9"/>
  <c r="AG1091" i="9"/>
  <c r="AF1091" i="9"/>
  <c r="AE1091" i="9"/>
  <c r="AD1091" i="9"/>
  <c r="AC1091" i="9"/>
  <c r="AA1091" i="9"/>
  <c r="Z1091" i="9"/>
  <c r="Y1091" i="9"/>
  <c r="X1091" i="9"/>
  <c r="W1091" i="9"/>
  <c r="U1091" i="9"/>
  <c r="AI1090" i="9"/>
  <c r="AH1090" i="9"/>
  <c r="AG1090" i="9"/>
  <c r="AF1090" i="9"/>
  <c r="AE1090" i="9"/>
  <c r="AD1090" i="9"/>
  <c r="AC1090" i="9"/>
  <c r="AA1090" i="9"/>
  <c r="Z1090" i="9"/>
  <c r="Y1090" i="9"/>
  <c r="X1090" i="9"/>
  <c r="W1090" i="9"/>
  <c r="U1090" i="9"/>
  <c r="AI1089" i="9"/>
  <c r="AH1089" i="9"/>
  <c r="AG1089" i="9"/>
  <c r="AF1089" i="9"/>
  <c r="AE1089" i="9"/>
  <c r="AD1089" i="9"/>
  <c r="AC1089" i="9"/>
  <c r="AA1089" i="9"/>
  <c r="Z1089" i="9"/>
  <c r="Y1089" i="9"/>
  <c r="X1089" i="9"/>
  <c r="W1089" i="9"/>
  <c r="U1089" i="9"/>
  <c r="AI1088" i="9"/>
  <c r="AH1088" i="9"/>
  <c r="AG1088" i="9"/>
  <c r="AF1088" i="9"/>
  <c r="AE1088" i="9"/>
  <c r="AD1088" i="9"/>
  <c r="AC1088" i="9"/>
  <c r="AA1088" i="9"/>
  <c r="Z1088" i="9"/>
  <c r="Y1088" i="9"/>
  <c r="X1088" i="9"/>
  <c r="W1088" i="9"/>
  <c r="U1088" i="9"/>
  <c r="AI1087" i="9"/>
  <c r="AH1087" i="9"/>
  <c r="AG1087" i="9"/>
  <c r="AF1087" i="9"/>
  <c r="AE1087" i="9"/>
  <c r="AD1087" i="9"/>
  <c r="AA1087" i="9"/>
  <c r="Z1087" i="9"/>
  <c r="Y1087" i="9"/>
  <c r="X1087" i="9"/>
  <c r="W1087" i="9"/>
  <c r="U1087" i="9"/>
  <c r="AC1087" i="9" s="1"/>
  <c r="AI1086" i="9"/>
  <c r="AH1086" i="9"/>
  <c r="AG1086" i="9"/>
  <c r="AF1086" i="9"/>
  <c r="AE1086" i="9"/>
  <c r="AD1086" i="9"/>
  <c r="AA1086" i="9"/>
  <c r="Z1086" i="9"/>
  <c r="Y1086" i="9"/>
  <c r="X1086" i="9"/>
  <c r="W1086" i="9"/>
  <c r="U1086" i="9"/>
  <c r="AC1086" i="9" s="1"/>
  <c r="AI1085" i="9"/>
  <c r="AH1085" i="9"/>
  <c r="AG1085" i="9"/>
  <c r="AF1085" i="9"/>
  <c r="AE1085" i="9"/>
  <c r="AD1085" i="9"/>
  <c r="AA1085" i="9"/>
  <c r="Z1085" i="9"/>
  <c r="Y1085" i="9"/>
  <c r="X1085" i="9"/>
  <c r="W1085" i="9"/>
  <c r="U1085" i="9"/>
  <c r="AC1085" i="9" s="1"/>
  <c r="AI1084" i="9"/>
  <c r="AH1084" i="9"/>
  <c r="AG1084" i="9"/>
  <c r="AF1084" i="9"/>
  <c r="AE1084" i="9"/>
  <c r="AD1084" i="9"/>
  <c r="AA1084" i="9"/>
  <c r="Z1084" i="9"/>
  <c r="Y1084" i="9"/>
  <c r="X1084" i="9"/>
  <c r="W1084" i="9"/>
  <c r="U1084" i="9"/>
  <c r="AC1084" i="9" s="1"/>
  <c r="AI1083" i="9"/>
  <c r="AH1083" i="9"/>
  <c r="AG1083" i="9"/>
  <c r="AF1083" i="9"/>
  <c r="AE1083" i="9"/>
  <c r="AD1083" i="9"/>
  <c r="AA1083" i="9"/>
  <c r="Z1083" i="9"/>
  <c r="Y1083" i="9"/>
  <c r="X1083" i="9"/>
  <c r="W1083" i="9"/>
  <c r="U1083" i="9"/>
  <c r="AC1083" i="9" s="1"/>
  <c r="AI1082" i="9"/>
  <c r="AH1082" i="9"/>
  <c r="AG1082" i="9"/>
  <c r="AF1082" i="9"/>
  <c r="AE1082" i="9"/>
  <c r="AD1082" i="9"/>
  <c r="AA1082" i="9"/>
  <c r="Z1082" i="9"/>
  <c r="Y1082" i="9"/>
  <c r="X1082" i="9"/>
  <c r="W1082" i="9"/>
  <c r="U1082" i="9"/>
  <c r="AC1082" i="9" s="1"/>
  <c r="AI1081" i="9"/>
  <c r="AH1081" i="9"/>
  <c r="AG1081" i="9"/>
  <c r="AF1081" i="9"/>
  <c r="AE1081" i="9"/>
  <c r="AD1081" i="9"/>
  <c r="AC1081" i="9"/>
  <c r="AA1081" i="9"/>
  <c r="Z1081" i="9"/>
  <c r="Y1081" i="9"/>
  <c r="X1081" i="9"/>
  <c r="W1081" i="9"/>
  <c r="U1081" i="9"/>
  <c r="AI1080" i="9"/>
  <c r="AH1080" i="9"/>
  <c r="AG1080" i="9"/>
  <c r="AF1080" i="9"/>
  <c r="AE1080" i="9"/>
  <c r="AD1080" i="9"/>
  <c r="AC1080" i="9"/>
  <c r="AA1080" i="9"/>
  <c r="Z1080" i="9"/>
  <c r="Y1080" i="9"/>
  <c r="X1080" i="9"/>
  <c r="W1080" i="9"/>
  <c r="U1080" i="9"/>
  <c r="AI1079" i="9"/>
  <c r="AH1079" i="9"/>
  <c r="AG1079" i="9"/>
  <c r="AF1079" i="9"/>
  <c r="AE1079" i="9"/>
  <c r="AD1079" i="9"/>
  <c r="AC1079" i="9"/>
  <c r="AA1079" i="9"/>
  <c r="Z1079" i="9"/>
  <c r="Y1079" i="9"/>
  <c r="X1079" i="9"/>
  <c r="W1079" i="9"/>
  <c r="U1079" i="9"/>
  <c r="AI1078" i="9"/>
  <c r="AH1078" i="9"/>
  <c r="AG1078" i="9"/>
  <c r="AF1078" i="9"/>
  <c r="AE1078" i="9"/>
  <c r="AD1078" i="9"/>
  <c r="AC1078" i="9"/>
  <c r="AA1078" i="9"/>
  <c r="Z1078" i="9"/>
  <c r="Y1078" i="9"/>
  <c r="X1078" i="9"/>
  <c r="W1078" i="9"/>
  <c r="U1078" i="9"/>
  <c r="AI1077" i="9"/>
  <c r="AH1077" i="9"/>
  <c r="AG1077" i="9"/>
  <c r="AF1077" i="9"/>
  <c r="AE1077" i="9"/>
  <c r="AD1077" i="9"/>
  <c r="AC1077" i="9"/>
  <c r="AA1077" i="9"/>
  <c r="Z1077" i="9"/>
  <c r="Y1077" i="9"/>
  <c r="X1077" i="9"/>
  <c r="W1077" i="9"/>
  <c r="U1077" i="9"/>
  <c r="AI1076" i="9"/>
  <c r="AH1076" i="9"/>
  <c r="AG1076" i="9"/>
  <c r="AF1076" i="9"/>
  <c r="AE1076" i="9"/>
  <c r="AD1076" i="9"/>
  <c r="AC1076" i="9"/>
  <c r="AA1076" i="9"/>
  <c r="Z1076" i="9"/>
  <c r="Y1076" i="9"/>
  <c r="X1076" i="9"/>
  <c r="W1076" i="9"/>
  <c r="U1076" i="9"/>
  <c r="AI1075" i="9"/>
  <c r="AH1075" i="9"/>
  <c r="AG1075" i="9"/>
  <c r="AF1075" i="9"/>
  <c r="AE1075" i="9"/>
  <c r="AD1075" i="9"/>
  <c r="AA1075" i="9"/>
  <c r="Z1075" i="9"/>
  <c r="Y1075" i="9"/>
  <c r="X1075" i="9"/>
  <c r="W1075" i="9"/>
  <c r="U1075" i="9"/>
  <c r="AC1075" i="9" s="1"/>
  <c r="AI1074" i="9"/>
  <c r="AH1074" i="9"/>
  <c r="AG1074" i="9"/>
  <c r="AF1074" i="9"/>
  <c r="AE1074" i="9"/>
  <c r="AD1074" i="9"/>
  <c r="AA1074" i="9"/>
  <c r="Z1074" i="9"/>
  <c r="Y1074" i="9"/>
  <c r="X1074" i="9"/>
  <c r="W1074" i="9"/>
  <c r="U1074" i="9"/>
  <c r="AC1074" i="9" s="1"/>
  <c r="AI1073" i="9"/>
  <c r="AH1073" i="9"/>
  <c r="AG1073" i="9"/>
  <c r="AF1073" i="9"/>
  <c r="AE1073" i="9"/>
  <c r="AD1073" i="9"/>
  <c r="AA1073" i="9"/>
  <c r="Z1073" i="9"/>
  <c r="Y1073" i="9"/>
  <c r="X1073" i="9"/>
  <c r="W1073" i="9"/>
  <c r="U1073" i="9"/>
  <c r="AC1073" i="9" s="1"/>
  <c r="AI1072" i="9"/>
  <c r="AH1072" i="9"/>
  <c r="AG1072" i="9"/>
  <c r="AF1072" i="9"/>
  <c r="AE1072" i="9"/>
  <c r="AD1072" i="9"/>
  <c r="AA1072" i="9"/>
  <c r="Z1072" i="9"/>
  <c r="Y1072" i="9"/>
  <c r="X1072" i="9"/>
  <c r="W1072" i="9"/>
  <c r="U1072" i="9"/>
  <c r="AC1072" i="9" s="1"/>
  <c r="AI1071" i="9"/>
  <c r="AH1071" i="9"/>
  <c r="AG1071" i="9"/>
  <c r="AF1071" i="9"/>
  <c r="AE1071" i="9"/>
  <c r="AD1071" i="9"/>
  <c r="AA1071" i="9"/>
  <c r="Z1071" i="9"/>
  <c r="Y1071" i="9"/>
  <c r="X1071" i="9"/>
  <c r="W1071" i="9"/>
  <c r="U1071" i="9"/>
  <c r="AC1071" i="9" s="1"/>
  <c r="AI1070" i="9"/>
  <c r="AH1070" i="9"/>
  <c r="AG1070" i="9"/>
  <c r="AF1070" i="9"/>
  <c r="AE1070" i="9"/>
  <c r="AD1070" i="9"/>
  <c r="AA1070" i="9"/>
  <c r="Z1070" i="9"/>
  <c r="Y1070" i="9"/>
  <c r="X1070" i="9"/>
  <c r="W1070" i="9"/>
  <c r="U1070" i="9"/>
  <c r="AC1070" i="9" s="1"/>
  <c r="AI1069" i="9"/>
  <c r="AH1069" i="9"/>
  <c r="AG1069" i="9"/>
  <c r="AF1069" i="9"/>
  <c r="AE1069" i="9"/>
  <c r="AD1069" i="9"/>
  <c r="AC1069" i="9"/>
  <c r="AA1069" i="9"/>
  <c r="Z1069" i="9"/>
  <c r="Y1069" i="9"/>
  <c r="X1069" i="9"/>
  <c r="W1069" i="9"/>
  <c r="U1069" i="9"/>
  <c r="AI1068" i="9"/>
  <c r="AH1068" i="9"/>
  <c r="AG1068" i="9"/>
  <c r="AF1068" i="9"/>
  <c r="AE1068" i="9"/>
  <c r="AD1068" i="9"/>
  <c r="AC1068" i="9"/>
  <c r="AA1068" i="9"/>
  <c r="Z1068" i="9"/>
  <c r="Y1068" i="9"/>
  <c r="X1068" i="9"/>
  <c r="W1068" i="9"/>
  <c r="U1068" i="9"/>
  <c r="AI1067" i="9"/>
  <c r="AH1067" i="9"/>
  <c r="AG1067" i="9"/>
  <c r="AF1067" i="9"/>
  <c r="AE1067" i="9"/>
  <c r="AD1067" i="9"/>
  <c r="AC1067" i="9"/>
  <c r="AA1067" i="9"/>
  <c r="Z1067" i="9"/>
  <c r="Y1067" i="9"/>
  <c r="X1067" i="9"/>
  <c r="W1067" i="9"/>
  <c r="U1067" i="9"/>
  <c r="AI1066" i="9"/>
  <c r="AH1066" i="9"/>
  <c r="AG1066" i="9"/>
  <c r="AF1066" i="9"/>
  <c r="AE1066" i="9"/>
  <c r="AD1066" i="9"/>
  <c r="AC1066" i="9"/>
  <c r="AA1066" i="9"/>
  <c r="Z1066" i="9"/>
  <c r="Y1066" i="9"/>
  <c r="X1066" i="9"/>
  <c r="W1066" i="9"/>
  <c r="U1066" i="9"/>
  <c r="AI1065" i="9"/>
  <c r="AH1065" i="9"/>
  <c r="AG1065" i="9"/>
  <c r="AF1065" i="9"/>
  <c r="AE1065" i="9"/>
  <c r="AD1065" i="9"/>
  <c r="AC1065" i="9"/>
  <c r="AA1065" i="9"/>
  <c r="Z1065" i="9"/>
  <c r="Y1065" i="9"/>
  <c r="X1065" i="9"/>
  <c r="W1065" i="9"/>
  <c r="U1065" i="9"/>
  <c r="AI1064" i="9"/>
  <c r="AH1064" i="9"/>
  <c r="AG1064" i="9"/>
  <c r="AF1064" i="9"/>
  <c r="AE1064" i="9"/>
  <c r="AD1064" i="9"/>
  <c r="AC1064" i="9"/>
  <c r="AA1064" i="9"/>
  <c r="Z1064" i="9"/>
  <c r="Y1064" i="9"/>
  <c r="X1064" i="9"/>
  <c r="W1064" i="9"/>
  <c r="U1064" i="9"/>
  <c r="AI1063" i="9"/>
  <c r="AH1063" i="9"/>
  <c r="AG1063" i="9"/>
  <c r="AF1063" i="9"/>
  <c r="AE1063" i="9"/>
  <c r="AD1063" i="9"/>
  <c r="AA1063" i="9"/>
  <c r="Z1063" i="9"/>
  <c r="Y1063" i="9"/>
  <c r="X1063" i="9"/>
  <c r="W1063" i="9"/>
  <c r="U1063" i="9"/>
  <c r="AC1063" i="9" s="1"/>
  <c r="AI1062" i="9"/>
  <c r="AH1062" i="9"/>
  <c r="AG1062" i="9"/>
  <c r="AF1062" i="9"/>
  <c r="AE1062" i="9"/>
  <c r="AD1062" i="9"/>
  <c r="AA1062" i="9"/>
  <c r="Z1062" i="9"/>
  <c r="Y1062" i="9"/>
  <c r="X1062" i="9"/>
  <c r="W1062" i="9"/>
  <c r="U1062" i="9"/>
  <c r="AC1062" i="9" s="1"/>
  <c r="AI1061" i="9"/>
  <c r="AH1061" i="9"/>
  <c r="AG1061" i="9"/>
  <c r="AF1061" i="9"/>
  <c r="AE1061" i="9"/>
  <c r="AD1061" i="9"/>
  <c r="AA1061" i="9"/>
  <c r="Z1061" i="9"/>
  <c r="Y1061" i="9"/>
  <c r="X1061" i="9"/>
  <c r="W1061" i="9"/>
  <c r="U1061" i="9"/>
  <c r="AC1061" i="9" s="1"/>
  <c r="AI1060" i="9"/>
  <c r="AH1060" i="9"/>
  <c r="AG1060" i="9"/>
  <c r="AF1060" i="9"/>
  <c r="AE1060" i="9"/>
  <c r="AD1060" i="9"/>
  <c r="AA1060" i="9"/>
  <c r="Z1060" i="9"/>
  <c r="Y1060" i="9"/>
  <c r="X1060" i="9"/>
  <c r="W1060" i="9"/>
  <c r="U1060" i="9"/>
  <c r="AC1060" i="9" s="1"/>
  <c r="AI1059" i="9"/>
  <c r="AH1059" i="9"/>
  <c r="AG1059" i="9"/>
  <c r="AF1059" i="9"/>
  <c r="AE1059" i="9"/>
  <c r="AD1059" i="9"/>
  <c r="AA1059" i="9"/>
  <c r="Z1059" i="9"/>
  <c r="Y1059" i="9"/>
  <c r="X1059" i="9"/>
  <c r="W1059" i="9"/>
  <c r="U1059" i="9"/>
  <c r="AC1059" i="9" s="1"/>
  <c r="AI1058" i="9"/>
  <c r="AH1058" i="9"/>
  <c r="AG1058" i="9"/>
  <c r="AF1058" i="9"/>
  <c r="AE1058" i="9"/>
  <c r="AD1058" i="9"/>
  <c r="AA1058" i="9"/>
  <c r="Z1058" i="9"/>
  <c r="Y1058" i="9"/>
  <c r="X1058" i="9"/>
  <c r="W1058" i="9"/>
  <c r="U1058" i="9"/>
  <c r="AC1058" i="9" s="1"/>
  <c r="AI1057" i="9"/>
  <c r="AH1057" i="9"/>
  <c r="AG1057" i="9"/>
  <c r="AF1057" i="9"/>
  <c r="AE1057" i="9"/>
  <c r="AD1057" i="9"/>
  <c r="AC1057" i="9"/>
  <c r="AA1057" i="9"/>
  <c r="Z1057" i="9"/>
  <c r="Y1057" i="9"/>
  <c r="X1057" i="9"/>
  <c r="W1057" i="9"/>
  <c r="U1057" i="9"/>
  <c r="AI1056" i="9"/>
  <c r="AH1056" i="9"/>
  <c r="AG1056" i="9"/>
  <c r="AF1056" i="9"/>
  <c r="AE1056" i="9"/>
  <c r="AD1056" i="9"/>
  <c r="AC1056" i="9"/>
  <c r="AA1056" i="9"/>
  <c r="Z1056" i="9"/>
  <c r="Y1056" i="9"/>
  <c r="X1056" i="9"/>
  <c r="W1056" i="9"/>
  <c r="U1056" i="9"/>
  <c r="AI1055" i="9"/>
  <c r="AH1055" i="9"/>
  <c r="AG1055" i="9"/>
  <c r="AF1055" i="9"/>
  <c r="AE1055" i="9"/>
  <c r="AD1055" i="9"/>
  <c r="AC1055" i="9"/>
  <c r="AA1055" i="9"/>
  <c r="Z1055" i="9"/>
  <c r="Y1055" i="9"/>
  <c r="X1055" i="9"/>
  <c r="W1055" i="9"/>
  <c r="U1055" i="9"/>
  <c r="AI1054" i="9"/>
  <c r="AH1054" i="9"/>
  <c r="AG1054" i="9"/>
  <c r="AF1054" i="9"/>
  <c r="AE1054" i="9"/>
  <c r="AD1054" i="9"/>
  <c r="AC1054" i="9"/>
  <c r="AA1054" i="9"/>
  <c r="Z1054" i="9"/>
  <c r="Y1054" i="9"/>
  <c r="X1054" i="9"/>
  <c r="W1054" i="9"/>
  <c r="U1054" i="9"/>
  <c r="AI1053" i="9"/>
  <c r="AH1053" i="9"/>
  <c r="AG1053" i="9"/>
  <c r="AF1053" i="9"/>
  <c r="AE1053" i="9"/>
  <c r="AD1053" i="9"/>
  <c r="AC1053" i="9"/>
  <c r="AA1053" i="9"/>
  <c r="Z1053" i="9"/>
  <c r="Y1053" i="9"/>
  <c r="X1053" i="9"/>
  <c r="W1053" i="9"/>
  <c r="U1053" i="9"/>
  <c r="AI1052" i="9"/>
  <c r="AH1052" i="9"/>
  <c r="AG1052" i="9"/>
  <c r="AF1052" i="9"/>
  <c r="AE1052" i="9"/>
  <c r="AD1052" i="9"/>
  <c r="AC1052" i="9"/>
  <c r="AA1052" i="9"/>
  <c r="Z1052" i="9"/>
  <c r="Y1052" i="9"/>
  <c r="X1052" i="9"/>
  <c r="W1052" i="9"/>
  <c r="U1052" i="9"/>
  <c r="AI1051" i="9"/>
  <c r="AH1051" i="9"/>
  <c r="AG1051" i="9"/>
  <c r="AF1051" i="9"/>
  <c r="AE1051" i="9"/>
  <c r="AD1051" i="9"/>
  <c r="AA1051" i="9"/>
  <c r="Z1051" i="9"/>
  <c r="Y1051" i="9"/>
  <c r="X1051" i="9"/>
  <c r="W1051" i="9"/>
  <c r="U1051" i="9"/>
  <c r="AC1051" i="9" s="1"/>
  <c r="AI1050" i="9"/>
  <c r="AH1050" i="9"/>
  <c r="AG1050" i="9"/>
  <c r="AF1050" i="9"/>
  <c r="AE1050" i="9"/>
  <c r="AD1050" i="9"/>
  <c r="AA1050" i="9"/>
  <c r="Z1050" i="9"/>
  <c r="Y1050" i="9"/>
  <c r="X1050" i="9"/>
  <c r="W1050" i="9"/>
  <c r="U1050" i="9"/>
  <c r="AC1050" i="9" s="1"/>
  <c r="AI1049" i="9"/>
  <c r="AH1049" i="9"/>
  <c r="AG1049" i="9"/>
  <c r="AF1049" i="9"/>
  <c r="AE1049" i="9"/>
  <c r="AD1049" i="9"/>
  <c r="AA1049" i="9"/>
  <c r="Z1049" i="9"/>
  <c r="Y1049" i="9"/>
  <c r="X1049" i="9"/>
  <c r="W1049" i="9"/>
  <c r="U1049" i="9"/>
  <c r="AC1049" i="9" s="1"/>
  <c r="AI1048" i="9"/>
  <c r="AH1048" i="9"/>
  <c r="AG1048" i="9"/>
  <c r="AF1048" i="9"/>
  <c r="AE1048" i="9"/>
  <c r="AD1048" i="9"/>
  <c r="AA1048" i="9"/>
  <c r="Z1048" i="9"/>
  <c r="Y1048" i="9"/>
  <c r="X1048" i="9"/>
  <c r="W1048" i="9"/>
  <c r="U1048" i="9"/>
  <c r="AC1048" i="9" s="1"/>
  <c r="AI1047" i="9"/>
  <c r="AH1047" i="9"/>
  <c r="AG1047" i="9"/>
  <c r="AF1047" i="9"/>
  <c r="AE1047" i="9"/>
  <c r="AD1047" i="9"/>
  <c r="AA1047" i="9"/>
  <c r="Z1047" i="9"/>
  <c r="Y1047" i="9"/>
  <c r="X1047" i="9"/>
  <c r="W1047" i="9"/>
  <c r="U1047" i="9"/>
  <c r="AC1047" i="9" s="1"/>
  <c r="AI1046" i="9"/>
  <c r="AH1046" i="9"/>
  <c r="AG1046" i="9"/>
  <c r="AF1046" i="9"/>
  <c r="AE1046" i="9"/>
  <c r="AD1046" i="9"/>
  <c r="AA1046" i="9"/>
  <c r="Z1046" i="9"/>
  <c r="Y1046" i="9"/>
  <c r="X1046" i="9"/>
  <c r="W1046" i="9"/>
  <c r="U1046" i="9"/>
  <c r="AC1046" i="9" s="1"/>
  <c r="AI1045" i="9"/>
  <c r="AH1045" i="9"/>
  <c r="AG1045" i="9"/>
  <c r="AF1045" i="9"/>
  <c r="AE1045" i="9"/>
  <c r="AD1045" i="9"/>
  <c r="AC1045" i="9"/>
  <c r="AA1045" i="9"/>
  <c r="Z1045" i="9"/>
  <c r="Y1045" i="9"/>
  <c r="X1045" i="9"/>
  <c r="W1045" i="9"/>
  <c r="U1045" i="9"/>
  <c r="AI1044" i="9"/>
  <c r="AH1044" i="9"/>
  <c r="AG1044" i="9"/>
  <c r="AF1044" i="9"/>
  <c r="AE1044" i="9"/>
  <c r="AD1044" i="9"/>
  <c r="AC1044" i="9"/>
  <c r="AA1044" i="9"/>
  <c r="Z1044" i="9"/>
  <c r="Y1044" i="9"/>
  <c r="X1044" i="9"/>
  <c r="W1044" i="9"/>
  <c r="U1044" i="9"/>
  <c r="AI1043" i="9"/>
  <c r="AH1043" i="9"/>
  <c r="AG1043" i="9"/>
  <c r="AF1043" i="9"/>
  <c r="AE1043" i="9"/>
  <c r="AD1043" i="9"/>
  <c r="AC1043" i="9"/>
  <c r="AA1043" i="9"/>
  <c r="Z1043" i="9"/>
  <c r="Y1043" i="9"/>
  <c r="X1043" i="9"/>
  <c r="W1043" i="9"/>
  <c r="U1043" i="9"/>
  <c r="AI1042" i="9"/>
  <c r="AH1042" i="9"/>
  <c r="AG1042" i="9"/>
  <c r="AF1042" i="9"/>
  <c r="AE1042" i="9"/>
  <c r="AD1042" i="9"/>
  <c r="AC1042" i="9"/>
  <c r="AA1042" i="9"/>
  <c r="Z1042" i="9"/>
  <c r="Y1042" i="9"/>
  <c r="X1042" i="9"/>
  <c r="W1042" i="9"/>
  <c r="U1042" i="9"/>
  <c r="AI1041" i="9"/>
  <c r="AH1041" i="9"/>
  <c r="AG1041" i="9"/>
  <c r="AF1041" i="9"/>
  <c r="AE1041" i="9"/>
  <c r="AD1041" i="9"/>
  <c r="AC1041" i="9"/>
  <c r="AA1041" i="9"/>
  <c r="Z1041" i="9"/>
  <c r="Y1041" i="9"/>
  <c r="X1041" i="9"/>
  <c r="W1041" i="9"/>
  <c r="U1041" i="9"/>
  <c r="AI1040" i="9"/>
  <c r="AH1040" i="9"/>
  <c r="AG1040" i="9"/>
  <c r="AF1040" i="9"/>
  <c r="AE1040" i="9"/>
  <c r="AD1040" i="9"/>
  <c r="AC1040" i="9"/>
  <c r="AA1040" i="9"/>
  <c r="Z1040" i="9"/>
  <c r="Y1040" i="9"/>
  <c r="X1040" i="9"/>
  <c r="W1040" i="9"/>
  <c r="U1040" i="9"/>
  <c r="AI1039" i="9"/>
  <c r="AH1039" i="9"/>
  <c r="AG1039" i="9"/>
  <c r="AF1039" i="9"/>
  <c r="AE1039" i="9"/>
  <c r="AD1039" i="9"/>
  <c r="AA1039" i="9"/>
  <c r="Z1039" i="9"/>
  <c r="Y1039" i="9"/>
  <c r="X1039" i="9"/>
  <c r="W1039" i="9"/>
  <c r="U1039" i="9"/>
  <c r="AC1039" i="9" s="1"/>
  <c r="AI1038" i="9"/>
  <c r="AH1038" i="9"/>
  <c r="AG1038" i="9"/>
  <c r="AF1038" i="9"/>
  <c r="AE1038" i="9"/>
  <c r="AD1038" i="9"/>
  <c r="AA1038" i="9"/>
  <c r="Z1038" i="9"/>
  <c r="Y1038" i="9"/>
  <c r="X1038" i="9"/>
  <c r="W1038" i="9"/>
  <c r="U1038" i="9"/>
  <c r="AC1038" i="9" s="1"/>
  <c r="AI1037" i="9"/>
  <c r="AH1037" i="9"/>
  <c r="AG1037" i="9"/>
  <c r="AF1037" i="9"/>
  <c r="AE1037" i="9"/>
  <c r="AD1037" i="9"/>
  <c r="AA1037" i="9"/>
  <c r="Z1037" i="9"/>
  <c r="Y1037" i="9"/>
  <c r="X1037" i="9"/>
  <c r="W1037" i="9"/>
  <c r="U1037" i="9"/>
  <c r="AC1037" i="9" s="1"/>
  <c r="AI1036" i="9"/>
  <c r="AH1036" i="9"/>
  <c r="AG1036" i="9"/>
  <c r="AF1036" i="9"/>
  <c r="AE1036" i="9"/>
  <c r="AD1036" i="9"/>
  <c r="AA1036" i="9"/>
  <c r="Z1036" i="9"/>
  <c r="Y1036" i="9"/>
  <c r="X1036" i="9"/>
  <c r="W1036" i="9"/>
  <c r="U1036" i="9"/>
  <c r="AC1036" i="9" s="1"/>
  <c r="AI1035" i="9"/>
  <c r="AH1035" i="9"/>
  <c r="AG1035" i="9"/>
  <c r="AF1035" i="9"/>
  <c r="AE1035" i="9"/>
  <c r="AD1035" i="9"/>
  <c r="AA1035" i="9"/>
  <c r="Z1035" i="9"/>
  <c r="Y1035" i="9"/>
  <c r="X1035" i="9"/>
  <c r="W1035" i="9"/>
  <c r="U1035" i="9"/>
  <c r="AC1035" i="9" s="1"/>
  <c r="AI1034" i="9"/>
  <c r="AH1034" i="9"/>
  <c r="AG1034" i="9"/>
  <c r="AF1034" i="9"/>
  <c r="AE1034" i="9"/>
  <c r="AD1034" i="9"/>
  <c r="AA1034" i="9"/>
  <c r="Z1034" i="9"/>
  <c r="Y1034" i="9"/>
  <c r="X1034" i="9"/>
  <c r="W1034" i="9"/>
  <c r="U1034" i="9"/>
  <c r="AC1034" i="9" s="1"/>
  <c r="AI1033" i="9"/>
  <c r="AH1033" i="9"/>
  <c r="AG1033" i="9"/>
  <c r="AF1033" i="9"/>
  <c r="AE1033" i="9"/>
  <c r="AD1033" i="9"/>
  <c r="AC1033" i="9"/>
  <c r="AA1033" i="9"/>
  <c r="Z1033" i="9"/>
  <c r="Y1033" i="9"/>
  <c r="X1033" i="9"/>
  <c r="W1033" i="9"/>
  <c r="U1033" i="9"/>
  <c r="AI1032" i="9"/>
  <c r="AH1032" i="9"/>
  <c r="AG1032" i="9"/>
  <c r="AF1032" i="9"/>
  <c r="AE1032" i="9"/>
  <c r="AD1032" i="9"/>
  <c r="AC1032" i="9"/>
  <c r="AA1032" i="9"/>
  <c r="Z1032" i="9"/>
  <c r="Y1032" i="9"/>
  <c r="X1032" i="9"/>
  <c r="W1032" i="9"/>
  <c r="U1032" i="9"/>
  <c r="AI1031" i="9"/>
  <c r="AH1031" i="9"/>
  <c r="AG1031" i="9"/>
  <c r="AF1031" i="9"/>
  <c r="AE1031" i="9"/>
  <c r="AD1031" i="9"/>
  <c r="AC1031" i="9"/>
  <c r="AA1031" i="9"/>
  <c r="Z1031" i="9"/>
  <c r="Y1031" i="9"/>
  <c r="X1031" i="9"/>
  <c r="W1031" i="9"/>
  <c r="U1031" i="9"/>
  <c r="AI1030" i="9"/>
  <c r="AH1030" i="9"/>
  <c r="AG1030" i="9"/>
  <c r="AF1030" i="9"/>
  <c r="AE1030" i="9"/>
  <c r="AD1030" i="9"/>
  <c r="AC1030" i="9"/>
  <c r="AA1030" i="9"/>
  <c r="Z1030" i="9"/>
  <c r="Y1030" i="9"/>
  <c r="X1030" i="9"/>
  <c r="W1030" i="9"/>
  <c r="U1030" i="9"/>
  <c r="AI1029" i="9"/>
  <c r="AH1029" i="9"/>
  <c r="AG1029" i="9"/>
  <c r="AF1029" i="9"/>
  <c r="AE1029" i="9"/>
  <c r="AD1029" i="9"/>
  <c r="AC1029" i="9"/>
  <c r="AA1029" i="9"/>
  <c r="Z1029" i="9"/>
  <c r="Y1029" i="9"/>
  <c r="X1029" i="9"/>
  <c r="W1029" i="9"/>
  <c r="U1029" i="9"/>
  <c r="AI1028" i="9"/>
  <c r="AH1028" i="9"/>
  <c r="AG1028" i="9"/>
  <c r="AF1028" i="9"/>
  <c r="AE1028" i="9"/>
  <c r="AD1028" i="9"/>
  <c r="AC1028" i="9"/>
  <c r="AA1028" i="9"/>
  <c r="Z1028" i="9"/>
  <c r="Y1028" i="9"/>
  <c r="X1028" i="9"/>
  <c r="W1028" i="9"/>
  <c r="U1028" i="9"/>
  <c r="AI1027" i="9"/>
  <c r="AH1027" i="9"/>
  <c r="AG1027" i="9"/>
  <c r="AF1027" i="9"/>
  <c r="AE1027" i="9"/>
  <c r="AD1027" i="9"/>
  <c r="AA1027" i="9"/>
  <c r="Z1027" i="9"/>
  <c r="Y1027" i="9"/>
  <c r="X1027" i="9"/>
  <c r="W1027" i="9"/>
  <c r="U1027" i="9"/>
  <c r="AC1027" i="9" s="1"/>
  <c r="AI1026" i="9"/>
  <c r="AH1026" i="9"/>
  <c r="AG1026" i="9"/>
  <c r="AF1026" i="9"/>
  <c r="AE1026" i="9"/>
  <c r="AD1026" i="9"/>
  <c r="AA1026" i="9"/>
  <c r="Z1026" i="9"/>
  <c r="Y1026" i="9"/>
  <c r="X1026" i="9"/>
  <c r="W1026" i="9"/>
  <c r="U1026" i="9"/>
  <c r="AC1026" i="9" s="1"/>
  <c r="AI1025" i="9"/>
  <c r="AH1025" i="9"/>
  <c r="AG1025" i="9"/>
  <c r="AF1025" i="9"/>
  <c r="AE1025" i="9"/>
  <c r="AD1025" i="9"/>
  <c r="AA1025" i="9"/>
  <c r="Z1025" i="9"/>
  <c r="Y1025" i="9"/>
  <c r="X1025" i="9"/>
  <c r="W1025" i="9"/>
  <c r="U1025" i="9"/>
  <c r="AC1025" i="9" s="1"/>
  <c r="AI1024" i="9"/>
  <c r="AH1024" i="9"/>
  <c r="AG1024" i="9"/>
  <c r="AF1024" i="9"/>
  <c r="AE1024" i="9"/>
  <c r="AD1024" i="9"/>
  <c r="AA1024" i="9"/>
  <c r="Z1024" i="9"/>
  <c r="Y1024" i="9"/>
  <c r="X1024" i="9"/>
  <c r="W1024" i="9"/>
  <c r="U1024" i="9"/>
  <c r="AC1024" i="9" s="1"/>
  <c r="AI1023" i="9"/>
  <c r="AH1023" i="9"/>
  <c r="AG1023" i="9"/>
  <c r="AF1023" i="9"/>
  <c r="AE1023" i="9"/>
  <c r="AD1023" i="9"/>
  <c r="AA1023" i="9"/>
  <c r="Z1023" i="9"/>
  <c r="Y1023" i="9"/>
  <c r="X1023" i="9"/>
  <c r="W1023" i="9"/>
  <c r="U1023" i="9"/>
  <c r="AC1023" i="9" s="1"/>
  <c r="AI1022" i="9"/>
  <c r="AH1022" i="9"/>
  <c r="AG1022" i="9"/>
  <c r="AF1022" i="9"/>
  <c r="AE1022" i="9"/>
  <c r="AD1022" i="9"/>
  <c r="AA1022" i="9"/>
  <c r="Z1022" i="9"/>
  <c r="Y1022" i="9"/>
  <c r="X1022" i="9"/>
  <c r="W1022" i="9"/>
  <c r="U1022" i="9"/>
  <c r="AC1022" i="9" s="1"/>
  <c r="AI1021" i="9"/>
  <c r="AH1021" i="9"/>
  <c r="AG1021" i="9"/>
  <c r="AF1021" i="9"/>
  <c r="AE1021" i="9"/>
  <c r="AD1021" i="9"/>
  <c r="AC1021" i="9"/>
  <c r="AA1021" i="9"/>
  <c r="Z1021" i="9"/>
  <c r="Y1021" i="9"/>
  <c r="X1021" i="9"/>
  <c r="W1021" i="9"/>
  <c r="U1021" i="9"/>
  <c r="AI1020" i="9"/>
  <c r="AH1020" i="9"/>
  <c r="AG1020" i="9"/>
  <c r="AF1020" i="9"/>
  <c r="AE1020" i="9"/>
  <c r="AD1020" i="9"/>
  <c r="AC1020" i="9"/>
  <c r="AA1020" i="9"/>
  <c r="Z1020" i="9"/>
  <c r="Y1020" i="9"/>
  <c r="X1020" i="9"/>
  <c r="W1020" i="9"/>
  <c r="U1020" i="9"/>
  <c r="AI1019" i="9"/>
  <c r="AH1019" i="9"/>
  <c r="AG1019" i="9"/>
  <c r="AF1019" i="9"/>
  <c r="AE1019" i="9"/>
  <c r="AD1019" i="9"/>
  <c r="AC1019" i="9"/>
  <c r="AA1019" i="9"/>
  <c r="Z1019" i="9"/>
  <c r="Y1019" i="9"/>
  <c r="X1019" i="9"/>
  <c r="W1019" i="9"/>
  <c r="U1019" i="9"/>
  <c r="AI1018" i="9"/>
  <c r="AH1018" i="9"/>
  <c r="AG1018" i="9"/>
  <c r="AF1018" i="9"/>
  <c r="AE1018" i="9"/>
  <c r="AD1018" i="9"/>
  <c r="AC1018" i="9"/>
  <c r="AA1018" i="9"/>
  <c r="Z1018" i="9"/>
  <c r="Y1018" i="9"/>
  <c r="X1018" i="9"/>
  <c r="W1018" i="9"/>
  <c r="U1018" i="9"/>
  <c r="AI1017" i="9"/>
  <c r="AH1017" i="9"/>
  <c r="AG1017" i="9"/>
  <c r="AF1017" i="9"/>
  <c r="AE1017" i="9"/>
  <c r="AD1017" i="9"/>
  <c r="AC1017" i="9"/>
  <c r="AA1017" i="9"/>
  <c r="Z1017" i="9"/>
  <c r="Y1017" i="9"/>
  <c r="X1017" i="9"/>
  <c r="W1017" i="9"/>
  <c r="U1017" i="9"/>
  <c r="AI1016" i="9"/>
  <c r="AH1016" i="9"/>
  <c r="AG1016" i="9"/>
  <c r="AF1016" i="9"/>
  <c r="AE1016" i="9"/>
  <c r="AD1016" i="9"/>
  <c r="AC1016" i="9"/>
  <c r="AA1016" i="9"/>
  <c r="Z1016" i="9"/>
  <c r="Y1016" i="9"/>
  <c r="X1016" i="9"/>
  <c r="W1016" i="9"/>
  <c r="U1016" i="9"/>
  <c r="AI1015" i="9"/>
  <c r="AH1015" i="9"/>
  <c r="AG1015" i="9"/>
  <c r="AF1015" i="9"/>
  <c r="AE1015" i="9"/>
  <c r="AD1015" i="9"/>
  <c r="AA1015" i="9"/>
  <c r="Z1015" i="9"/>
  <c r="Y1015" i="9"/>
  <c r="X1015" i="9"/>
  <c r="W1015" i="9"/>
  <c r="U1015" i="9"/>
  <c r="AC1015" i="9" s="1"/>
  <c r="AI1014" i="9"/>
  <c r="AH1014" i="9"/>
  <c r="AG1014" i="9"/>
  <c r="AF1014" i="9"/>
  <c r="AE1014" i="9"/>
  <c r="AD1014" i="9"/>
  <c r="AA1014" i="9"/>
  <c r="Z1014" i="9"/>
  <c r="Y1014" i="9"/>
  <c r="X1014" i="9"/>
  <c r="W1014" i="9"/>
  <c r="U1014" i="9"/>
  <c r="AC1014" i="9" s="1"/>
  <c r="AI1013" i="9"/>
  <c r="AH1013" i="9"/>
  <c r="AG1013" i="9"/>
  <c r="AF1013" i="9"/>
  <c r="AE1013" i="9"/>
  <c r="AD1013" i="9"/>
  <c r="AA1013" i="9"/>
  <c r="Z1013" i="9"/>
  <c r="Y1013" i="9"/>
  <c r="X1013" i="9"/>
  <c r="W1013" i="9"/>
  <c r="U1013" i="9"/>
  <c r="AC1013" i="9" s="1"/>
  <c r="AI1012" i="9"/>
  <c r="AH1012" i="9"/>
  <c r="AG1012" i="9"/>
  <c r="AF1012" i="9"/>
  <c r="AE1012" i="9"/>
  <c r="AD1012" i="9"/>
  <c r="AA1012" i="9"/>
  <c r="Z1012" i="9"/>
  <c r="Y1012" i="9"/>
  <c r="X1012" i="9"/>
  <c r="W1012" i="9"/>
  <c r="U1012" i="9"/>
  <c r="AC1012" i="9" s="1"/>
  <c r="AI1011" i="9"/>
  <c r="AH1011" i="9"/>
  <c r="AG1011" i="9"/>
  <c r="AF1011" i="9"/>
  <c r="AE1011" i="9"/>
  <c r="AD1011" i="9"/>
  <c r="AA1011" i="9"/>
  <c r="Z1011" i="9"/>
  <c r="Y1011" i="9"/>
  <c r="X1011" i="9"/>
  <c r="W1011" i="9"/>
  <c r="U1011" i="9"/>
  <c r="AC1011" i="9" s="1"/>
  <c r="AI1010" i="9"/>
  <c r="AH1010" i="9"/>
  <c r="AG1010" i="9"/>
  <c r="AF1010" i="9"/>
  <c r="AE1010" i="9"/>
  <c r="AD1010" i="9"/>
  <c r="AA1010" i="9"/>
  <c r="Z1010" i="9"/>
  <c r="Y1010" i="9"/>
  <c r="X1010" i="9"/>
  <c r="W1010" i="9"/>
  <c r="U1010" i="9"/>
  <c r="AC1010" i="9" s="1"/>
  <c r="AI1009" i="9"/>
  <c r="AH1009" i="9"/>
  <c r="AG1009" i="9"/>
  <c r="AF1009" i="9"/>
  <c r="AE1009" i="9"/>
  <c r="AD1009" i="9"/>
  <c r="AC1009" i="9"/>
  <c r="AA1009" i="9"/>
  <c r="Z1009" i="9"/>
  <c r="Y1009" i="9"/>
  <c r="X1009" i="9"/>
  <c r="W1009" i="9"/>
  <c r="U1009" i="9"/>
  <c r="AI1008" i="9"/>
  <c r="AH1008" i="9"/>
  <c r="AG1008" i="9"/>
  <c r="AF1008" i="9"/>
  <c r="AE1008" i="9"/>
  <c r="AD1008" i="9"/>
  <c r="AC1008" i="9"/>
  <c r="AA1008" i="9"/>
  <c r="Z1008" i="9"/>
  <c r="Y1008" i="9"/>
  <c r="X1008" i="9"/>
  <c r="W1008" i="9"/>
  <c r="U1008" i="9"/>
  <c r="AI1007" i="9"/>
  <c r="AH1007" i="9"/>
  <c r="AG1007" i="9"/>
  <c r="AF1007" i="9"/>
  <c r="AE1007" i="9"/>
  <c r="AD1007" i="9"/>
  <c r="AC1007" i="9"/>
  <c r="AA1007" i="9"/>
  <c r="Z1007" i="9"/>
  <c r="Y1007" i="9"/>
  <c r="X1007" i="9"/>
  <c r="W1007" i="9"/>
  <c r="U1007" i="9"/>
  <c r="AI1006" i="9"/>
  <c r="AH1006" i="9"/>
  <c r="AG1006" i="9"/>
  <c r="AF1006" i="9"/>
  <c r="AE1006" i="9"/>
  <c r="AD1006" i="9"/>
  <c r="AC1006" i="9"/>
  <c r="AA1006" i="9"/>
  <c r="Z1006" i="9"/>
  <c r="Y1006" i="9"/>
  <c r="X1006" i="9"/>
  <c r="W1006" i="9"/>
  <c r="U1006" i="9"/>
  <c r="AI1005" i="9"/>
  <c r="AH1005" i="9"/>
  <c r="AG1005" i="9"/>
  <c r="AF1005" i="9"/>
  <c r="AE1005" i="9"/>
  <c r="AD1005" i="9"/>
  <c r="AC1005" i="9"/>
  <c r="AA1005" i="9"/>
  <c r="Z1005" i="9"/>
  <c r="Y1005" i="9"/>
  <c r="X1005" i="9"/>
  <c r="W1005" i="9"/>
  <c r="U1005" i="9"/>
  <c r="AI1004" i="9"/>
  <c r="AH1004" i="9"/>
  <c r="AG1004" i="9"/>
  <c r="AF1004" i="9"/>
  <c r="AE1004" i="9"/>
  <c r="AD1004" i="9"/>
  <c r="AC1004" i="9"/>
  <c r="AA1004" i="9"/>
  <c r="Z1004" i="9"/>
  <c r="Y1004" i="9"/>
  <c r="X1004" i="9"/>
  <c r="W1004" i="9"/>
  <c r="U1004" i="9"/>
  <c r="AI1003" i="9"/>
  <c r="AH1003" i="9"/>
  <c r="AG1003" i="9"/>
  <c r="AF1003" i="9"/>
  <c r="AE1003" i="9"/>
  <c r="AD1003" i="9"/>
  <c r="AA1003" i="9"/>
  <c r="Z1003" i="9"/>
  <c r="Y1003" i="9"/>
  <c r="X1003" i="9"/>
  <c r="W1003" i="9"/>
  <c r="U1003" i="9"/>
  <c r="AC1003" i="9" s="1"/>
  <c r="AI1002" i="9"/>
  <c r="AH1002" i="9"/>
  <c r="AG1002" i="9"/>
  <c r="AF1002" i="9"/>
  <c r="AE1002" i="9"/>
  <c r="AD1002" i="9"/>
  <c r="AA1002" i="9"/>
  <c r="Z1002" i="9"/>
  <c r="Y1002" i="9"/>
  <c r="X1002" i="9"/>
  <c r="W1002" i="9"/>
  <c r="U1002" i="9"/>
  <c r="AC1002" i="9" s="1"/>
  <c r="AI1001" i="9"/>
  <c r="AH1001" i="9"/>
  <c r="AG1001" i="9"/>
  <c r="AF1001" i="9"/>
  <c r="AE1001" i="9"/>
  <c r="AD1001" i="9"/>
  <c r="AA1001" i="9"/>
  <c r="Z1001" i="9"/>
  <c r="Y1001" i="9"/>
  <c r="X1001" i="9"/>
  <c r="W1001" i="9"/>
  <c r="U1001" i="9"/>
  <c r="AC1001" i="9" s="1"/>
  <c r="AI1000" i="9"/>
  <c r="AH1000" i="9"/>
  <c r="AG1000" i="9"/>
  <c r="AF1000" i="9"/>
  <c r="AE1000" i="9"/>
  <c r="AD1000" i="9"/>
  <c r="AA1000" i="9"/>
  <c r="Z1000" i="9"/>
  <c r="Y1000" i="9"/>
  <c r="X1000" i="9"/>
  <c r="W1000" i="9"/>
  <c r="U1000" i="9"/>
  <c r="AC1000" i="9" s="1"/>
  <c r="AI999" i="9"/>
  <c r="AH999" i="9"/>
  <c r="AG999" i="9"/>
  <c r="AF999" i="9"/>
  <c r="AE999" i="9"/>
  <c r="AD999" i="9"/>
  <c r="AA999" i="9"/>
  <c r="Z999" i="9"/>
  <c r="Y999" i="9"/>
  <c r="X999" i="9"/>
  <c r="W999" i="9"/>
  <c r="U999" i="9"/>
  <c r="AC999" i="9" s="1"/>
  <c r="AI998" i="9"/>
  <c r="AH998" i="9"/>
  <c r="AG998" i="9"/>
  <c r="AF998" i="9"/>
  <c r="AE998" i="9"/>
  <c r="AD998" i="9"/>
  <c r="AA998" i="9"/>
  <c r="Z998" i="9"/>
  <c r="Y998" i="9"/>
  <c r="X998" i="9"/>
  <c r="W998" i="9"/>
  <c r="U998" i="9"/>
  <c r="AC998" i="9" s="1"/>
  <c r="AI997" i="9"/>
  <c r="AH997" i="9"/>
  <c r="AG997" i="9"/>
  <c r="AF997" i="9"/>
  <c r="AE997" i="9"/>
  <c r="AD997" i="9"/>
  <c r="AC997" i="9"/>
  <c r="AA997" i="9"/>
  <c r="Z997" i="9"/>
  <c r="Y997" i="9"/>
  <c r="X997" i="9"/>
  <c r="W997" i="9"/>
  <c r="U997" i="9"/>
  <c r="AI996" i="9"/>
  <c r="AH996" i="9"/>
  <c r="AG996" i="9"/>
  <c r="AF996" i="9"/>
  <c r="AE996" i="9"/>
  <c r="AD996" i="9"/>
  <c r="AC996" i="9"/>
  <c r="AA996" i="9"/>
  <c r="Z996" i="9"/>
  <c r="Y996" i="9"/>
  <c r="X996" i="9"/>
  <c r="W996" i="9"/>
  <c r="U996" i="9"/>
  <c r="AI995" i="9"/>
  <c r="AH995" i="9"/>
  <c r="AG995" i="9"/>
  <c r="AF995" i="9"/>
  <c r="AE995" i="9"/>
  <c r="AD995" i="9"/>
  <c r="AC995" i="9"/>
  <c r="AA995" i="9"/>
  <c r="Z995" i="9"/>
  <c r="Y995" i="9"/>
  <c r="X995" i="9"/>
  <c r="W995" i="9"/>
  <c r="U995" i="9"/>
  <c r="AI994" i="9"/>
  <c r="AH994" i="9"/>
  <c r="AG994" i="9"/>
  <c r="AF994" i="9"/>
  <c r="AE994" i="9"/>
  <c r="AD994" i="9"/>
  <c r="AC994" i="9"/>
  <c r="AA994" i="9"/>
  <c r="Z994" i="9"/>
  <c r="Y994" i="9"/>
  <c r="X994" i="9"/>
  <c r="W994" i="9"/>
  <c r="U994" i="9"/>
  <c r="AI993" i="9"/>
  <c r="AH993" i="9"/>
  <c r="AG993" i="9"/>
  <c r="AF993" i="9"/>
  <c r="AE993" i="9"/>
  <c r="AD993" i="9"/>
  <c r="AC993" i="9"/>
  <c r="AA993" i="9"/>
  <c r="Z993" i="9"/>
  <c r="Y993" i="9"/>
  <c r="X993" i="9"/>
  <c r="W993" i="9"/>
  <c r="U993" i="9"/>
  <c r="AI992" i="9"/>
  <c r="AH992" i="9"/>
  <c r="AG992" i="9"/>
  <c r="AF992" i="9"/>
  <c r="AE992" i="9"/>
  <c r="AD992" i="9"/>
  <c r="AC992" i="9"/>
  <c r="AA992" i="9"/>
  <c r="Z992" i="9"/>
  <c r="Y992" i="9"/>
  <c r="X992" i="9"/>
  <c r="W992" i="9"/>
  <c r="U992" i="9"/>
  <c r="AI991" i="9"/>
  <c r="AH991" i="9"/>
  <c r="AG991" i="9"/>
  <c r="AF991" i="9"/>
  <c r="AE991" i="9"/>
  <c r="AD991" i="9"/>
  <c r="AA991" i="9"/>
  <c r="Z991" i="9"/>
  <c r="Y991" i="9"/>
  <c r="X991" i="9"/>
  <c r="W991" i="9"/>
  <c r="U991" i="9"/>
  <c r="AC991" i="9" s="1"/>
  <c r="AI990" i="9"/>
  <c r="AH990" i="9"/>
  <c r="AG990" i="9"/>
  <c r="AF990" i="9"/>
  <c r="AE990" i="9"/>
  <c r="AD990" i="9"/>
  <c r="AA990" i="9"/>
  <c r="Z990" i="9"/>
  <c r="Y990" i="9"/>
  <c r="X990" i="9"/>
  <c r="W990" i="9"/>
  <c r="U990" i="9"/>
  <c r="AC990" i="9" s="1"/>
  <c r="AI989" i="9"/>
  <c r="AH989" i="9"/>
  <c r="AG989" i="9"/>
  <c r="AF989" i="9"/>
  <c r="AE989" i="9"/>
  <c r="AD989" i="9"/>
  <c r="AA989" i="9"/>
  <c r="Z989" i="9"/>
  <c r="Y989" i="9"/>
  <c r="X989" i="9"/>
  <c r="W989" i="9"/>
  <c r="U989" i="9"/>
  <c r="AC989" i="9" s="1"/>
  <c r="AI988" i="9"/>
  <c r="AH988" i="9"/>
  <c r="AG988" i="9"/>
  <c r="AF988" i="9"/>
  <c r="AE988" i="9"/>
  <c r="AD988" i="9"/>
  <c r="AA988" i="9"/>
  <c r="Z988" i="9"/>
  <c r="Y988" i="9"/>
  <c r="X988" i="9"/>
  <c r="W988" i="9"/>
  <c r="U988" i="9"/>
  <c r="AC988" i="9" s="1"/>
  <c r="AI987" i="9"/>
  <c r="AH987" i="9"/>
  <c r="AG987" i="9"/>
  <c r="AF987" i="9"/>
  <c r="AE987" i="9"/>
  <c r="AD987" i="9"/>
  <c r="AA987" i="9"/>
  <c r="Z987" i="9"/>
  <c r="Y987" i="9"/>
  <c r="X987" i="9"/>
  <c r="W987" i="9"/>
  <c r="U987" i="9"/>
  <c r="AC987" i="9" s="1"/>
  <c r="AI986" i="9"/>
  <c r="AH986" i="9"/>
  <c r="AG986" i="9"/>
  <c r="AF986" i="9"/>
  <c r="AE986" i="9"/>
  <c r="AD986" i="9"/>
  <c r="AA986" i="9"/>
  <c r="Z986" i="9"/>
  <c r="Y986" i="9"/>
  <c r="X986" i="9"/>
  <c r="W986" i="9"/>
  <c r="U986" i="9"/>
  <c r="AC986" i="9" s="1"/>
  <c r="AI985" i="9"/>
  <c r="AH985" i="9"/>
  <c r="AG985" i="9"/>
  <c r="AF985" i="9"/>
  <c r="AE985" i="9"/>
  <c r="AD985" i="9"/>
  <c r="AC985" i="9"/>
  <c r="AA985" i="9"/>
  <c r="Z985" i="9"/>
  <c r="Y985" i="9"/>
  <c r="X985" i="9"/>
  <c r="W985" i="9"/>
  <c r="U985" i="9"/>
  <c r="AI984" i="9"/>
  <c r="AH984" i="9"/>
  <c r="AG984" i="9"/>
  <c r="AF984" i="9"/>
  <c r="AE984" i="9"/>
  <c r="AD984" i="9"/>
  <c r="AC984" i="9"/>
  <c r="AA984" i="9"/>
  <c r="Z984" i="9"/>
  <c r="Y984" i="9"/>
  <c r="X984" i="9"/>
  <c r="W984" i="9"/>
  <c r="U984" i="9"/>
  <c r="AI983" i="9"/>
  <c r="AH983" i="9"/>
  <c r="AG983" i="9"/>
  <c r="AF983" i="9"/>
  <c r="AE983" i="9"/>
  <c r="AD983" i="9"/>
  <c r="AC983" i="9"/>
  <c r="AA983" i="9"/>
  <c r="Z983" i="9"/>
  <c r="Y983" i="9"/>
  <c r="X983" i="9"/>
  <c r="W983" i="9"/>
  <c r="U983" i="9"/>
  <c r="AI982" i="9"/>
  <c r="AH982" i="9"/>
  <c r="AG982" i="9"/>
  <c r="AF982" i="9"/>
  <c r="AE982" i="9"/>
  <c r="AD982" i="9"/>
  <c r="AC982" i="9"/>
  <c r="AA982" i="9"/>
  <c r="Z982" i="9"/>
  <c r="Y982" i="9"/>
  <c r="X982" i="9"/>
  <c r="W982" i="9"/>
  <c r="U982" i="9"/>
  <c r="AI981" i="9"/>
  <c r="AH981" i="9"/>
  <c r="AG981" i="9"/>
  <c r="AF981" i="9"/>
  <c r="AE981" i="9"/>
  <c r="AD981" i="9"/>
  <c r="AC981" i="9"/>
  <c r="AA981" i="9"/>
  <c r="Z981" i="9"/>
  <c r="Y981" i="9"/>
  <c r="X981" i="9"/>
  <c r="W981" i="9"/>
  <c r="U981" i="9"/>
  <c r="AI980" i="9"/>
  <c r="AH980" i="9"/>
  <c r="AG980" i="9"/>
  <c r="AF980" i="9"/>
  <c r="AE980" i="9"/>
  <c r="AD980" i="9"/>
  <c r="AC980" i="9"/>
  <c r="AA980" i="9"/>
  <c r="Z980" i="9"/>
  <c r="Y980" i="9"/>
  <c r="X980" i="9"/>
  <c r="W980" i="9"/>
  <c r="U980" i="9"/>
  <c r="AI979" i="9"/>
  <c r="AH979" i="9"/>
  <c r="AG979" i="9"/>
  <c r="AF979" i="9"/>
  <c r="AE979" i="9"/>
  <c r="AD979" i="9"/>
  <c r="AA979" i="9"/>
  <c r="Z979" i="9"/>
  <c r="Y979" i="9"/>
  <c r="X979" i="9"/>
  <c r="W979" i="9"/>
  <c r="U979" i="9"/>
  <c r="AC979" i="9" s="1"/>
  <c r="AI978" i="9"/>
  <c r="AH978" i="9"/>
  <c r="AG978" i="9"/>
  <c r="AF978" i="9"/>
  <c r="AE978" i="9"/>
  <c r="AD978" i="9"/>
  <c r="AA978" i="9"/>
  <c r="Z978" i="9"/>
  <c r="Y978" i="9"/>
  <c r="X978" i="9"/>
  <c r="W978" i="9"/>
  <c r="U978" i="9"/>
  <c r="AC978" i="9" s="1"/>
  <c r="AI977" i="9"/>
  <c r="AH977" i="9"/>
  <c r="AG977" i="9"/>
  <c r="AF977" i="9"/>
  <c r="AE977" i="9"/>
  <c r="AD977" i="9"/>
  <c r="AA977" i="9"/>
  <c r="Z977" i="9"/>
  <c r="Y977" i="9"/>
  <c r="X977" i="9"/>
  <c r="W977" i="9"/>
  <c r="U977" i="9"/>
  <c r="AC977" i="9" s="1"/>
  <c r="AI976" i="9"/>
  <c r="AH976" i="9"/>
  <c r="AG976" i="9"/>
  <c r="AF976" i="9"/>
  <c r="AE976" i="9"/>
  <c r="AD976" i="9"/>
  <c r="AA976" i="9"/>
  <c r="Z976" i="9"/>
  <c r="Y976" i="9"/>
  <c r="X976" i="9"/>
  <c r="W976" i="9"/>
  <c r="U976" i="9"/>
  <c r="AC976" i="9" s="1"/>
  <c r="AI975" i="9"/>
  <c r="AH975" i="9"/>
  <c r="AG975" i="9"/>
  <c r="AF975" i="9"/>
  <c r="AE975" i="9"/>
  <c r="AD975" i="9"/>
  <c r="AA975" i="9"/>
  <c r="Z975" i="9"/>
  <c r="Y975" i="9"/>
  <c r="X975" i="9"/>
  <c r="W975" i="9"/>
  <c r="U975" i="9"/>
  <c r="AC975" i="9" s="1"/>
  <c r="AI974" i="9"/>
  <c r="AH974" i="9"/>
  <c r="AG974" i="9"/>
  <c r="AF974" i="9"/>
  <c r="AE974" i="9"/>
  <c r="AD974" i="9"/>
  <c r="AA974" i="9"/>
  <c r="Z974" i="9"/>
  <c r="Y974" i="9"/>
  <c r="X974" i="9"/>
  <c r="W974" i="9"/>
  <c r="U974" i="9"/>
  <c r="AC974" i="9" s="1"/>
  <c r="AI973" i="9"/>
  <c r="AH973" i="9"/>
  <c r="AG973" i="9"/>
  <c r="AF973" i="9"/>
  <c r="AE973" i="9"/>
  <c r="AD973" i="9"/>
  <c r="AC973" i="9"/>
  <c r="AA973" i="9"/>
  <c r="Z973" i="9"/>
  <c r="Y973" i="9"/>
  <c r="X973" i="9"/>
  <c r="W973" i="9"/>
  <c r="U973" i="9"/>
  <c r="AI972" i="9"/>
  <c r="AH972" i="9"/>
  <c r="AG972" i="9"/>
  <c r="AF972" i="9"/>
  <c r="AE972" i="9"/>
  <c r="AD972" i="9"/>
  <c r="AC972" i="9"/>
  <c r="AA972" i="9"/>
  <c r="Z972" i="9"/>
  <c r="Y972" i="9"/>
  <c r="X972" i="9"/>
  <c r="W972" i="9"/>
  <c r="U972" i="9"/>
  <c r="AI971" i="9"/>
  <c r="AH971" i="9"/>
  <c r="AG971" i="9"/>
  <c r="AF971" i="9"/>
  <c r="AE971" i="9"/>
  <c r="AD971" i="9"/>
  <c r="AC971" i="9"/>
  <c r="AA971" i="9"/>
  <c r="Z971" i="9"/>
  <c r="Y971" i="9"/>
  <c r="X971" i="9"/>
  <c r="W971" i="9"/>
  <c r="U971" i="9"/>
  <c r="AI970" i="9"/>
  <c r="AH970" i="9"/>
  <c r="AG970" i="9"/>
  <c r="AF970" i="9"/>
  <c r="AE970" i="9"/>
  <c r="AD970" i="9"/>
  <c r="AC970" i="9"/>
  <c r="AA970" i="9"/>
  <c r="Z970" i="9"/>
  <c r="Y970" i="9"/>
  <c r="X970" i="9"/>
  <c r="W970" i="9"/>
  <c r="U970" i="9"/>
  <c r="AI969" i="9"/>
  <c r="AH969" i="9"/>
  <c r="AG969" i="9"/>
  <c r="AF969" i="9"/>
  <c r="AE969" i="9"/>
  <c r="AD969" i="9"/>
  <c r="AC969" i="9"/>
  <c r="AA969" i="9"/>
  <c r="Z969" i="9"/>
  <c r="Y969" i="9"/>
  <c r="X969" i="9"/>
  <c r="W969" i="9"/>
  <c r="U969" i="9"/>
  <c r="AI968" i="9"/>
  <c r="AH968" i="9"/>
  <c r="AG968" i="9"/>
  <c r="AF968" i="9"/>
  <c r="AE968" i="9"/>
  <c r="AD968" i="9"/>
  <c r="AC968" i="9"/>
  <c r="AA968" i="9"/>
  <c r="Z968" i="9"/>
  <c r="Y968" i="9"/>
  <c r="X968" i="9"/>
  <c r="W968" i="9"/>
  <c r="U968" i="9"/>
  <c r="AI967" i="9"/>
  <c r="AH967" i="9"/>
  <c r="AG967" i="9"/>
  <c r="AF967" i="9"/>
  <c r="AE967" i="9"/>
  <c r="AD967" i="9"/>
  <c r="AA967" i="9"/>
  <c r="Z967" i="9"/>
  <c r="Y967" i="9"/>
  <c r="X967" i="9"/>
  <c r="W967" i="9"/>
  <c r="U967" i="9"/>
  <c r="AC967" i="9" s="1"/>
  <c r="AI966" i="9"/>
  <c r="AH966" i="9"/>
  <c r="AG966" i="9"/>
  <c r="AF966" i="9"/>
  <c r="AE966" i="9"/>
  <c r="AD966" i="9"/>
  <c r="AA966" i="9"/>
  <c r="Z966" i="9"/>
  <c r="Y966" i="9"/>
  <c r="X966" i="9"/>
  <c r="W966" i="9"/>
  <c r="U966" i="9"/>
  <c r="AC966" i="9" s="1"/>
  <c r="AI965" i="9"/>
  <c r="AH965" i="9"/>
  <c r="AG965" i="9"/>
  <c r="AF965" i="9"/>
  <c r="AE965" i="9"/>
  <c r="AD965" i="9"/>
  <c r="AA965" i="9"/>
  <c r="Z965" i="9"/>
  <c r="Y965" i="9"/>
  <c r="X965" i="9"/>
  <c r="W965" i="9"/>
  <c r="U965" i="9"/>
  <c r="AC965" i="9" s="1"/>
  <c r="AI964" i="9"/>
  <c r="AH964" i="9"/>
  <c r="AG964" i="9"/>
  <c r="AF964" i="9"/>
  <c r="AE964" i="9"/>
  <c r="AD964" i="9"/>
  <c r="AA964" i="9"/>
  <c r="Z964" i="9"/>
  <c r="Y964" i="9"/>
  <c r="X964" i="9"/>
  <c r="W964" i="9"/>
  <c r="U964" i="9"/>
  <c r="AC964" i="9" s="1"/>
  <c r="AI963" i="9"/>
  <c r="AH963" i="9"/>
  <c r="AG963" i="9"/>
  <c r="AF963" i="9"/>
  <c r="AE963" i="9"/>
  <c r="AD963" i="9"/>
  <c r="AA963" i="9"/>
  <c r="Z963" i="9"/>
  <c r="Y963" i="9"/>
  <c r="X963" i="9"/>
  <c r="W963" i="9"/>
  <c r="U963" i="9"/>
  <c r="AC963" i="9" s="1"/>
  <c r="AI962" i="9"/>
  <c r="AH962" i="9"/>
  <c r="AG962" i="9"/>
  <c r="AF962" i="9"/>
  <c r="AE962" i="9"/>
  <c r="AD962" i="9"/>
  <c r="AA962" i="9"/>
  <c r="Z962" i="9"/>
  <c r="Y962" i="9"/>
  <c r="X962" i="9"/>
  <c r="W962" i="9"/>
  <c r="U962" i="9"/>
  <c r="AC962" i="9" s="1"/>
  <c r="AI961" i="9"/>
  <c r="AH961" i="9"/>
  <c r="AG961" i="9"/>
  <c r="AF961" i="9"/>
  <c r="AE961" i="9"/>
  <c r="AD961" i="9"/>
  <c r="AC961" i="9"/>
  <c r="AA961" i="9"/>
  <c r="Z961" i="9"/>
  <c r="Y961" i="9"/>
  <c r="X961" i="9"/>
  <c r="W961" i="9"/>
  <c r="U961" i="9"/>
  <c r="AI960" i="9"/>
  <c r="AH960" i="9"/>
  <c r="AG960" i="9"/>
  <c r="AF960" i="9"/>
  <c r="AE960" i="9"/>
  <c r="AD960" i="9"/>
  <c r="AC960" i="9"/>
  <c r="AA960" i="9"/>
  <c r="Z960" i="9"/>
  <c r="Y960" i="9"/>
  <c r="X960" i="9"/>
  <c r="W960" i="9"/>
  <c r="U960" i="9"/>
  <c r="AI959" i="9"/>
  <c r="AH959" i="9"/>
  <c r="AG959" i="9"/>
  <c r="AF959" i="9"/>
  <c r="AE959" i="9"/>
  <c r="AD959" i="9"/>
  <c r="AC959" i="9"/>
  <c r="AA959" i="9"/>
  <c r="Z959" i="9"/>
  <c r="Y959" i="9"/>
  <c r="X959" i="9"/>
  <c r="W959" i="9"/>
  <c r="U959" i="9"/>
  <c r="AI958" i="9"/>
  <c r="AH958" i="9"/>
  <c r="AG958" i="9"/>
  <c r="AF958" i="9"/>
  <c r="AE958" i="9"/>
  <c r="AD958" i="9"/>
  <c r="AC958" i="9"/>
  <c r="AA958" i="9"/>
  <c r="Z958" i="9"/>
  <c r="Y958" i="9"/>
  <c r="X958" i="9"/>
  <c r="W958" i="9"/>
  <c r="U958" i="9"/>
  <c r="AI957" i="9"/>
  <c r="AH957" i="9"/>
  <c r="AG957" i="9"/>
  <c r="AF957" i="9"/>
  <c r="AE957" i="9"/>
  <c r="AD957" i="9"/>
  <c r="AC957" i="9"/>
  <c r="AA957" i="9"/>
  <c r="Z957" i="9"/>
  <c r="Y957" i="9"/>
  <c r="X957" i="9"/>
  <c r="W957" i="9"/>
  <c r="U957" i="9"/>
  <c r="AI956" i="9"/>
  <c r="AH956" i="9"/>
  <c r="AG956" i="9"/>
  <c r="AF956" i="9"/>
  <c r="AE956" i="9"/>
  <c r="AD956" i="9"/>
  <c r="AC956" i="9"/>
  <c r="AA956" i="9"/>
  <c r="Z956" i="9"/>
  <c r="Y956" i="9"/>
  <c r="X956" i="9"/>
  <c r="W956" i="9"/>
  <c r="U956" i="9"/>
  <c r="AI955" i="9"/>
  <c r="AH955" i="9"/>
  <c r="AG955" i="9"/>
  <c r="AF955" i="9"/>
  <c r="AE955" i="9"/>
  <c r="AD955" i="9"/>
  <c r="AA955" i="9"/>
  <c r="Z955" i="9"/>
  <c r="Y955" i="9"/>
  <c r="X955" i="9"/>
  <c r="W955" i="9"/>
  <c r="U955" i="9"/>
  <c r="AC955" i="9" s="1"/>
  <c r="AI954" i="9"/>
  <c r="AH954" i="9"/>
  <c r="AG954" i="9"/>
  <c r="AF954" i="9"/>
  <c r="AE954" i="9"/>
  <c r="AD954" i="9"/>
  <c r="AA954" i="9"/>
  <c r="Z954" i="9"/>
  <c r="Y954" i="9"/>
  <c r="X954" i="9"/>
  <c r="W954" i="9"/>
  <c r="U954" i="9"/>
  <c r="AC954" i="9" s="1"/>
  <c r="AI953" i="9"/>
  <c r="AH953" i="9"/>
  <c r="AG953" i="9"/>
  <c r="AF953" i="9"/>
  <c r="AE953" i="9"/>
  <c r="AD953" i="9"/>
  <c r="AA953" i="9"/>
  <c r="Z953" i="9"/>
  <c r="Y953" i="9"/>
  <c r="X953" i="9"/>
  <c r="W953" i="9"/>
  <c r="U953" i="9"/>
  <c r="AC953" i="9" s="1"/>
  <c r="AI952" i="9"/>
  <c r="AH952" i="9"/>
  <c r="AG952" i="9"/>
  <c r="AF952" i="9"/>
  <c r="AE952" i="9"/>
  <c r="AD952" i="9"/>
  <c r="AA952" i="9"/>
  <c r="Z952" i="9"/>
  <c r="Y952" i="9"/>
  <c r="X952" i="9"/>
  <c r="W952" i="9"/>
  <c r="U952" i="9"/>
  <c r="AC952" i="9" s="1"/>
  <c r="AI951" i="9"/>
  <c r="AH951" i="9"/>
  <c r="AG951" i="9"/>
  <c r="AF951" i="9"/>
  <c r="AE951" i="9"/>
  <c r="AD951" i="9"/>
  <c r="AA951" i="9"/>
  <c r="Z951" i="9"/>
  <c r="Y951" i="9"/>
  <c r="X951" i="9"/>
  <c r="W951" i="9"/>
  <c r="U951" i="9"/>
  <c r="AC951" i="9" s="1"/>
  <c r="AI950" i="9"/>
  <c r="AH950" i="9"/>
  <c r="AG950" i="9"/>
  <c r="AF950" i="9"/>
  <c r="AE950" i="9"/>
  <c r="AD950" i="9"/>
  <c r="AA950" i="9"/>
  <c r="Z950" i="9"/>
  <c r="Y950" i="9"/>
  <c r="X950" i="9"/>
  <c r="W950" i="9"/>
  <c r="U950" i="9"/>
  <c r="AC950" i="9" s="1"/>
  <c r="AI949" i="9"/>
  <c r="AH949" i="9"/>
  <c r="AG949" i="9"/>
  <c r="AF949" i="9"/>
  <c r="AE949" i="9"/>
  <c r="AD949" i="9"/>
  <c r="AC949" i="9"/>
  <c r="AA949" i="9"/>
  <c r="Z949" i="9"/>
  <c r="Y949" i="9"/>
  <c r="X949" i="9"/>
  <c r="W949" i="9"/>
  <c r="U949" i="9"/>
  <c r="AI948" i="9"/>
  <c r="AH948" i="9"/>
  <c r="AG948" i="9"/>
  <c r="AF948" i="9"/>
  <c r="AE948" i="9"/>
  <c r="AD948" i="9"/>
  <c r="AC948" i="9"/>
  <c r="AA948" i="9"/>
  <c r="Z948" i="9"/>
  <c r="Y948" i="9"/>
  <c r="X948" i="9"/>
  <c r="W948" i="9"/>
  <c r="U948" i="9"/>
  <c r="AI947" i="9"/>
  <c r="AH947" i="9"/>
  <c r="AG947" i="9"/>
  <c r="AF947" i="9"/>
  <c r="AE947" i="9"/>
  <c r="AD947" i="9"/>
  <c r="AC947" i="9"/>
  <c r="AA947" i="9"/>
  <c r="Z947" i="9"/>
  <c r="Y947" i="9"/>
  <c r="X947" i="9"/>
  <c r="W947" i="9"/>
  <c r="U947" i="9"/>
  <c r="AI946" i="9"/>
  <c r="AH946" i="9"/>
  <c r="AG946" i="9"/>
  <c r="AF946" i="9"/>
  <c r="AE946" i="9"/>
  <c r="AD946" i="9"/>
  <c r="AC946" i="9"/>
  <c r="AA946" i="9"/>
  <c r="Z946" i="9"/>
  <c r="Y946" i="9"/>
  <c r="X946" i="9"/>
  <c r="W946" i="9"/>
  <c r="U946" i="9"/>
  <c r="AI945" i="9"/>
  <c r="AH945" i="9"/>
  <c r="AG945" i="9"/>
  <c r="AF945" i="9"/>
  <c r="AE945" i="9"/>
  <c r="AD945" i="9"/>
  <c r="AC945" i="9"/>
  <c r="AA945" i="9"/>
  <c r="Z945" i="9"/>
  <c r="Y945" i="9"/>
  <c r="X945" i="9"/>
  <c r="W945" i="9"/>
  <c r="U945" i="9"/>
  <c r="AI944" i="9"/>
  <c r="AH944" i="9"/>
  <c r="AG944" i="9"/>
  <c r="AF944" i="9"/>
  <c r="AE944" i="9"/>
  <c r="AD944" i="9"/>
  <c r="AC944" i="9"/>
  <c r="AA944" i="9"/>
  <c r="Z944" i="9"/>
  <c r="Y944" i="9"/>
  <c r="X944" i="9"/>
  <c r="W944" i="9"/>
  <c r="U944" i="9"/>
  <c r="AI943" i="9"/>
  <c r="AH943" i="9"/>
  <c r="AG943" i="9"/>
  <c r="AF943" i="9"/>
  <c r="AE943" i="9"/>
  <c r="AD943" i="9"/>
  <c r="AA943" i="9"/>
  <c r="Z943" i="9"/>
  <c r="Y943" i="9"/>
  <c r="X943" i="9"/>
  <c r="W943" i="9"/>
  <c r="U943" i="9"/>
  <c r="AC943" i="9" s="1"/>
  <c r="AI942" i="9"/>
  <c r="AH942" i="9"/>
  <c r="AG942" i="9"/>
  <c r="AF942" i="9"/>
  <c r="AE942" i="9"/>
  <c r="AD942" i="9"/>
  <c r="AA942" i="9"/>
  <c r="Z942" i="9"/>
  <c r="Y942" i="9"/>
  <c r="X942" i="9"/>
  <c r="W942" i="9"/>
  <c r="U942" i="9"/>
  <c r="AC942" i="9" s="1"/>
  <c r="AI941" i="9"/>
  <c r="AH941" i="9"/>
  <c r="AG941" i="9"/>
  <c r="AF941" i="9"/>
  <c r="AE941" i="9"/>
  <c r="AD941" i="9"/>
  <c r="AA941" i="9"/>
  <c r="Z941" i="9"/>
  <c r="Y941" i="9"/>
  <c r="X941" i="9"/>
  <c r="W941" i="9"/>
  <c r="U941" i="9"/>
  <c r="AC941" i="9" s="1"/>
  <c r="AI940" i="9"/>
  <c r="AH940" i="9"/>
  <c r="AG940" i="9"/>
  <c r="AF940" i="9"/>
  <c r="AE940" i="9"/>
  <c r="AD940" i="9"/>
  <c r="AA940" i="9"/>
  <c r="Z940" i="9"/>
  <c r="Y940" i="9"/>
  <c r="X940" i="9"/>
  <c r="W940" i="9"/>
  <c r="U940" i="9"/>
  <c r="AC940" i="9" s="1"/>
  <c r="AI939" i="9"/>
  <c r="AH939" i="9"/>
  <c r="AG939" i="9"/>
  <c r="AF939" i="9"/>
  <c r="AE939" i="9"/>
  <c r="AD939" i="9"/>
  <c r="AA939" i="9"/>
  <c r="Z939" i="9"/>
  <c r="Y939" i="9"/>
  <c r="X939" i="9"/>
  <c r="W939" i="9"/>
  <c r="U939" i="9"/>
  <c r="AC939" i="9" s="1"/>
  <c r="AI938" i="9"/>
  <c r="AH938" i="9"/>
  <c r="AG938" i="9"/>
  <c r="AF938" i="9"/>
  <c r="AE938" i="9"/>
  <c r="AD938" i="9"/>
  <c r="AA938" i="9"/>
  <c r="Z938" i="9"/>
  <c r="Y938" i="9"/>
  <c r="X938" i="9"/>
  <c r="W938" i="9"/>
  <c r="U938" i="9"/>
  <c r="AC938" i="9" s="1"/>
  <c r="AI937" i="9"/>
  <c r="AH937" i="9"/>
  <c r="AG937" i="9"/>
  <c r="AF937" i="9"/>
  <c r="AE937" i="9"/>
  <c r="AD937" i="9"/>
  <c r="AC937" i="9"/>
  <c r="AA937" i="9"/>
  <c r="Z937" i="9"/>
  <c r="Y937" i="9"/>
  <c r="X937" i="9"/>
  <c r="W937" i="9"/>
  <c r="U937" i="9"/>
  <c r="AI936" i="9"/>
  <c r="AH936" i="9"/>
  <c r="AG936" i="9"/>
  <c r="AF936" i="9"/>
  <c r="AE936" i="9"/>
  <c r="AD936" i="9"/>
  <c r="AC936" i="9"/>
  <c r="AA936" i="9"/>
  <c r="Z936" i="9"/>
  <c r="Y936" i="9"/>
  <c r="X936" i="9"/>
  <c r="W936" i="9"/>
  <c r="U936" i="9"/>
  <c r="AI935" i="9"/>
  <c r="AH935" i="9"/>
  <c r="AG935" i="9"/>
  <c r="AF935" i="9"/>
  <c r="AE935" i="9"/>
  <c r="AD935" i="9"/>
  <c r="AC935" i="9"/>
  <c r="AA935" i="9"/>
  <c r="Z935" i="9"/>
  <c r="Y935" i="9"/>
  <c r="X935" i="9"/>
  <c r="W935" i="9"/>
  <c r="U935" i="9"/>
  <c r="AI934" i="9"/>
  <c r="AH934" i="9"/>
  <c r="AG934" i="9"/>
  <c r="AF934" i="9"/>
  <c r="AE934" i="9"/>
  <c r="AD934" i="9"/>
  <c r="AC934" i="9"/>
  <c r="AA934" i="9"/>
  <c r="Z934" i="9"/>
  <c r="Y934" i="9"/>
  <c r="X934" i="9"/>
  <c r="W934" i="9"/>
  <c r="U934" i="9"/>
  <c r="AI933" i="9"/>
  <c r="AH933" i="9"/>
  <c r="AG933" i="9"/>
  <c r="AF933" i="9"/>
  <c r="AE933" i="9"/>
  <c r="AD933" i="9"/>
  <c r="AC933" i="9"/>
  <c r="AA933" i="9"/>
  <c r="Z933" i="9"/>
  <c r="Y933" i="9"/>
  <c r="X933" i="9"/>
  <c r="W933" i="9"/>
  <c r="U933" i="9"/>
  <c r="AI932" i="9"/>
  <c r="AH932" i="9"/>
  <c r="AG932" i="9"/>
  <c r="AF932" i="9"/>
  <c r="AE932" i="9"/>
  <c r="AD932" i="9"/>
  <c r="AC932" i="9"/>
  <c r="AA932" i="9"/>
  <c r="Z932" i="9"/>
  <c r="Y932" i="9"/>
  <c r="X932" i="9"/>
  <c r="W932" i="9"/>
  <c r="U932" i="9"/>
  <c r="AI931" i="9"/>
  <c r="AH931" i="9"/>
  <c r="AG931" i="9"/>
  <c r="AF931" i="9"/>
  <c r="AE931" i="9"/>
  <c r="AD931" i="9"/>
  <c r="AA931" i="9"/>
  <c r="Z931" i="9"/>
  <c r="Y931" i="9"/>
  <c r="X931" i="9"/>
  <c r="W931" i="9"/>
  <c r="U931" i="9"/>
  <c r="AC931" i="9" s="1"/>
  <c r="AI930" i="9"/>
  <c r="AH930" i="9"/>
  <c r="AG930" i="9"/>
  <c r="AF930" i="9"/>
  <c r="AE930" i="9"/>
  <c r="AD930" i="9"/>
  <c r="AA930" i="9"/>
  <c r="Z930" i="9"/>
  <c r="Y930" i="9"/>
  <c r="X930" i="9"/>
  <c r="W930" i="9"/>
  <c r="U930" i="9"/>
  <c r="AC930" i="9" s="1"/>
  <c r="AI929" i="9"/>
  <c r="AH929" i="9"/>
  <c r="AG929" i="9"/>
  <c r="AF929" i="9"/>
  <c r="AE929" i="9"/>
  <c r="AD929" i="9"/>
  <c r="AA929" i="9"/>
  <c r="Z929" i="9"/>
  <c r="Y929" i="9"/>
  <c r="X929" i="9"/>
  <c r="W929" i="9"/>
  <c r="U929" i="9"/>
  <c r="AC929" i="9" s="1"/>
  <c r="AI928" i="9"/>
  <c r="AH928" i="9"/>
  <c r="AG928" i="9"/>
  <c r="AF928" i="9"/>
  <c r="AE928" i="9"/>
  <c r="AD928" i="9"/>
  <c r="AA928" i="9"/>
  <c r="Z928" i="9"/>
  <c r="Y928" i="9"/>
  <c r="X928" i="9"/>
  <c r="W928" i="9"/>
  <c r="U928" i="9"/>
  <c r="AC928" i="9" s="1"/>
  <c r="AI927" i="9"/>
  <c r="AH927" i="9"/>
  <c r="AG927" i="9"/>
  <c r="AF927" i="9"/>
  <c r="AE927" i="9"/>
  <c r="AD927" i="9"/>
  <c r="AA927" i="9"/>
  <c r="Z927" i="9"/>
  <c r="Y927" i="9"/>
  <c r="X927" i="9"/>
  <c r="W927" i="9"/>
  <c r="U927" i="9"/>
  <c r="AC927" i="9" s="1"/>
  <c r="AI926" i="9"/>
  <c r="AH926" i="9"/>
  <c r="AG926" i="9"/>
  <c r="AF926" i="9"/>
  <c r="AE926" i="9"/>
  <c r="AD926" i="9"/>
  <c r="AA926" i="9"/>
  <c r="Z926" i="9"/>
  <c r="Y926" i="9"/>
  <c r="X926" i="9"/>
  <c r="W926" i="9"/>
  <c r="U926" i="9"/>
  <c r="AC926" i="9" s="1"/>
  <c r="AI925" i="9"/>
  <c r="AH925" i="9"/>
  <c r="AG925" i="9"/>
  <c r="AF925" i="9"/>
  <c r="AE925" i="9"/>
  <c r="AD925" i="9"/>
  <c r="AC925" i="9"/>
  <c r="AA925" i="9"/>
  <c r="Z925" i="9"/>
  <c r="Y925" i="9"/>
  <c r="X925" i="9"/>
  <c r="W925" i="9"/>
  <c r="U925" i="9"/>
  <c r="AI924" i="9"/>
  <c r="AH924" i="9"/>
  <c r="AG924" i="9"/>
  <c r="AF924" i="9"/>
  <c r="AE924" i="9"/>
  <c r="AD924" i="9"/>
  <c r="AC924" i="9"/>
  <c r="AA924" i="9"/>
  <c r="Z924" i="9"/>
  <c r="Y924" i="9"/>
  <c r="X924" i="9"/>
  <c r="W924" i="9"/>
  <c r="U924" i="9"/>
  <c r="AI923" i="9"/>
  <c r="AH923" i="9"/>
  <c r="AG923" i="9"/>
  <c r="AF923" i="9"/>
  <c r="AE923" i="9"/>
  <c r="AD923" i="9"/>
  <c r="AC923" i="9"/>
  <c r="AA923" i="9"/>
  <c r="Z923" i="9"/>
  <c r="Y923" i="9"/>
  <c r="X923" i="9"/>
  <c r="W923" i="9"/>
  <c r="U923" i="9"/>
  <c r="AI922" i="9"/>
  <c r="AH922" i="9"/>
  <c r="AG922" i="9"/>
  <c r="AF922" i="9"/>
  <c r="AE922" i="9"/>
  <c r="AD922" i="9"/>
  <c r="AC922" i="9"/>
  <c r="AA922" i="9"/>
  <c r="Z922" i="9"/>
  <c r="Y922" i="9"/>
  <c r="X922" i="9"/>
  <c r="W922" i="9"/>
  <c r="U922" i="9"/>
  <c r="AI921" i="9"/>
  <c r="AH921" i="9"/>
  <c r="AG921" i="9"/>
  <c r="AF921" i="9"/>
  <c r="AE921" i="9"/>
  <c r="AD921" i="9"/>
  <c r="AC921" i="9"/>
  <c r="AA921" i="9"/>
  <c r="Z921" i="9"/>
  <c r="Y921" i="9"/>
  <c r="X921" i="9"/>
  <c r="W921" i="9"/>
  <c r="U921" i="9"/>
  <c r="AI920" i="9"/>
  <c r="AH920" i="9"/>
  <c r="AG920" i="9"/>
  <c r="AF920" i="9"/>
  <c r="AE920" i="9"/>
  <c r="AD920" i="9"/>
  <c r="AC920" i="9"/>
  <c r="AA920" i="9"/>
  <c r="Z920" i="9"/>
  <c r="Y920" i="9"/>
  <c r="X920" i="9"/>
  <c r="W920" i="9"/>
  <c r="U920" i="9"/>
  <c r="AI919" i="9"/>
  <c r="AH919" i="9"/>
  <c r="AG919" i="9"/>
  <c r="AF919" i="9"/>
  <c r="AE919" i="9"/>
  <c r="AD919" i="9"/>
  <c r="AA919" i="9"/>
  <c r="Z919" i="9"/>
  <c r="Y919" i="9"/>
  <c r="X919" i="9"/>
  <c r="W919" i="9"/>
  <c r="U919" i="9"/>
  <c r="AC919" i="9" s="1"/>
  <c r="AI918" i="9"/>
  <c r="AH918" i="9"/>
  <c r="AG918" i="9"/>
  <c r="AF918" i="9"/>
  <c r="AE918" i="9"/>
  <c r="AD918" i="9"/>
  <c r="AA918" i="9"/>
  <c r="Z918" i="9"/>
  <c r="Y918" i="9"/>
  <c r="X918" i="9"/>
  <c r="W918" i="9"/>
  <c r="U918" i="9"/>
  <c r="AC918" i="9" s="1"/>
  <c r="AI917" i="9"/>
  <c r="AH917" i="9"/>
  <c r="AG917" i="9"/>
  <c r="AF917" i="9"/>
  <c r="AE917" i="9"/>
  <c r="AD917" i="9"/>
  <c r="AA917" i="9"/>
  <c r="Z917" i="9"/>
  <c r="Y917" i="9"/>
  <c r="X917" i="9"/>
  <c r="W917" i="9"/>
  <c r="U917" i="9"/>
  <c r="AC917" i="9" s="1"/>
  <c r="AI916" i="9"/>
  <c r="AH916" i="9"/>
  <c r="AG916" i="9"/>
  <c r="AF916" i="9"/>
  <c r="AE916" i="9"/>
  <c r="AD916" i="9"/>
  <c r="AA916" i="9"/>
  <c r="Z916" i="9"/>
  <c r="Y916" i="9"/>
  <c r="X916" i="9"/>
  <c r="W916" i="9"/>
  <c r="U916" i="9"/>
  <c r="AC916" i="9" s="1"/>
  <c r="AI915" i="9"/>
  <c r="AH915" i="9"/>
  <c r="AG915" i="9"/>
  <c r="AF915" i="9"/>
  <c r="AE915" i="9"/>
  <c r="AD915" i="9"/>
  <c r="AA915" i="9"/>
  <c r="Z915" i="9"/>
  <c r="Y915" i="9"/>
  <c r="X915" i="9"/>
  <c r="W915" i="9"/>
  <c r="U915" i="9"/>
  <c r="AC915" i="9" s="1"/>
  <c r="AI914" i="9"/>
  <c r="AH914" i="9"/>
  <c r="AG914" i="9"/>
  <c r="AF914" i="9"/>
  <c r="AE914" i="9"/>
  <c r="AD914" i="9"/>
  <c r="AA914" i="9"/>
  <c r="Z914" i="9"/>
  <c r="Y914" i="9"/>
  <c r="X914" i="9"/>
  <c r="W914" i="9"/>
  <c r="U914" i="9"/>
  <c r="AC914" i="9" s="1"/>
  <c r="AI913" i="9"/>
  <c r="AH913" i="9"/>
  <c r="AG913" i="9"/>
  <c r="AF913" i="9"/>
  <c r="AE913" i="9"/>
  <c r="AD913" i="9"/>
  <c r="AC913" i="9"/>
  <c r="AA913" i="9"/>
  <c r="Z913" i="9"/>
  <c r="Y913" i="9"/>
  <c r="X913" i="9"/>
  <c r="W913" i="9"/>
  <c r="U913" i="9"/>
  <c r="AI912" i="9"/>
  <c r="AH912" i="9"/>
  <c r="AG912" i="9"/>
  <c r="AF912" i="9"/>
  <c r="AE912" i="9"/>
  <c r="AD912" i="9"/>
  <c r="AC912" i="9"/>
  <c r="AA912" i="9"/>
  <c r="Z912" i="9"/>
  <c r="Y912" i="9"/>
  <c r="X912" i="9"/>
  <c r="W912" i="9"/>
  <c r="U912" i="9"/>
  <c r="AI911" i="9"/>
  <c r="AH911" i="9"/>
  <c r="AG911" i="9"/>
  <c r="AF911" i="9"/>
  <c r="AE911" i="9"/>
  <c r="AD911" i="9"/>
  <c r="AC911" i="9"/>
  <c r="AA911" i="9"/>
  <c r="Z911" i="9"/>
  <c r="Y911" i="9"/>
  <c r="X911" i="9"/>
  <c r="W911" i="9"/>
  <c r="U911" i="9"/>
  <c r="AI910" i="9"/>
  <c r="AH910" i="9"/>
  <c r="AG910" i="9"/>
  <c r="AF910" i="9"/>
  <c r="AE910" i="9"/>
  <c r="AD910" i="9"/>
  <c r="AC910" i="9"/>
  <c r="AA910" i="9"/>
  <c r="Z910" i="9"/>
  <c r="Y910" i="9"/>
  <c r="X910" i="9"/>
  <c r="W910" i="9"/>
  <c r="U910" i="9"/>
  <c r="AI909" i="9"/>
  <c r="AH909" i="9"/>
  <c r="AG909" i="9"/>
  <c r="AF909" i="9"/>
  <c r="AE909" i="9"/>
  <c r="AD909" i="9"/>
  <c r="AC909" i="9"/>
  <c r="AA909" i="9"/>
  <c r="Z909" i="9"/>
  <c r="Y909" i="9"/>
  <c r="X909" i="9"/>
  <c r="W909" i="9"/>
  <c r="U909" i="9"/>
  <c r="AI908" i="9"/>
  <c r="AH908" i="9"/>
  <c r="AG908" i="9"/>
  <c r="AF908" i="9"/>
  <c r="AE908" i="9"/>
  <c r="AD908" i="9"/>
  <c r="AC908" i="9"/>
  <c r="AA908" i="9"/>
  <c r="Z908" i="9"/>
  <c r="Y908" i="9"/>
  <c r="X908" i="9"/>
  <c r="W908" i="9"/>
  <c r="U908" i="9"/>
  <c r="AI907" i="9"/>
  <c r="AH907" i="9"/>
  <c r="AG907" i="9"/>
  <c r="AF907" i="9"/>
  <c r="AE907" i="9"/>
  <c r="AD907" i="9"/>
  <c r="AA907" i="9"/>
  <c r="Z907" i="9"/>
  <c r="Y907" i="9"/>
  <c r="X907" i="9"/>
  <c r="W907" i="9"/>
  <c r="U907" i="9"/>
  <c r="AC907" i="9" s="1"/>
  <c r="AI906" i="9"/>
  <c r="AH906" i="9"/>
  <c r="AG906" i="9"/>
  <c r="AF906" i="9"/>
  <c r="AE906" i="9"/>
  <c r="AD906" i="9"/>
  <c r="AA906" i="9"/>
  <c r="Z906" i="9"/>
  <c r="Y906" i="9"/>
  <c r="X906" i="9"/>
  <c r="W906" i="9"/>
  <c r="U906" i="9"/>
  <c r="AC906" i="9" s="1"/>
  <c r="AI905" i="9"/>
  <c r="AH905" i="9"/>
  <c r="AG905" i="9"/>
  <c r="AF905" i="9"/>
  <c r="AE905" i="9"/>
  <c r="AD905" i="9"/>
  <c r="AA905" i="9"/>
  <c r="Z905" i="9"/>
  <c r="Y905" i="9"/>
  <c r="X905" i="9"/>
  <c r="W905" i="9"/>
  <c r="U905" i="9"/>
  <c r="AC905" i="9" s="1"/>
  <c r="AI904" i="9"/>
  <c r="AH904" i="9"/>
  <c r="AG904" i="9"/>
  <c r="AF904" i="9"/>
  <c r="AE904" i="9"/>
  <c r="AD904" i="9"/>
  <c r="AA904" i="9"/>
  <c r="Z904" i="9"/>
  <c r="Y904" i="9"/>
  <c r="X904" i="9"/>
  <c r="W904" i="9"/>
  <c r="U904" i="9"/>
  <c r="AC904" i="9" s="1"/>
  <c r="AI903" i="9"/>
  <c r="AH903" i="9"/>
  <c r="AG903" i="9"/>
  <c r="AF903" i="9"/>
  <c r="AE903" i="9"/>
  <c r="AD903" i="9"/>
  <c r="AA903" i="9"/>
  <c r="Z903" i="9"/>
  <c r="Y903" i="9"/>
  <c r="X903" i="9"/>
  <c r="W903" i="9"/>
  <c r="U903" i="9"/>
  <c r="AC903" i="9" s="1"/>
  <c r="AI902" i="9"/>
  <c r="AH902" i="9"/>
  <c r="AG902" i="9"/>
  <c r="AF902" i="9"/>
  <c r="AE902" i="9"/>
  <c r="AD902" i="9"/>
  <c r="AA902" i="9"/>
  <c r="Z902" i="9"/>
  <c r="Y902" i="9"/>
  <c r="X902" i="9"/>
  <c r="W902" i="9"/>
  <c r="U902" i="9"/>
  <c r="AC902" i="9" s="1"/>
  <c r="AI901" i="9"/>
  <c r="AH901" i="9"/>
  <c r="AG901" i="9"/>
  <c r="AF901" i="9"/>
  <c r="AE901" i="9"/>
  <c r="AD901" i="9"/>
  <c r="AC901" i="9"/>
  <c r="AA901" i="9"/>
  <c r="Z901" i="9"/>
  <c r="Y901" i="9"/>
  <c r="X901" i="9"/>
  <c r="W901" i="9"/>
  <c r="U901" i="9"/>
  <c r="AI900" i="9"/>
  <c r="AH900" i="9"/>
  <c r="AG900" i="9"/>
  <c r="AF900" i="9"/>
  <c r="AE900" i="9"/>
  <c r="AD900" i="9"/>
  <c r="AC900" i="9"/>
  <c r="AA900" i="9"/>
  <c r="Z900" i="9"/>
  <c r="Y900" i="9"/>
  <c r="X900" i="9"/>
  <c r="W900" i="9"/>
  <c r="U900" i="9"/>
  <c r="AI899" i="9"/>
  <c r="AH899" i="9"/>
  <c r="AG899" i="9"/>
  <c r="AF899" i="9"/>
  <c r="AE899" i="9"/>
  <c r="AD899" i="9"/>
  <c r="AC899" i="9"/>
  <c r="AA899" i="9"/>
  <c r="Z899" i="9"/>
  <c r="Y899" i="9"/>
  <c r="X899" i="9"/>
  <c r="W899" i="9"/>
  <c r="U899" i="9"/>
  <c r="AI898" i="9"/>
  <c r="AH898" i="9"/>
  <c r="AG898" i="9"/>
  <c r="AF898" i="9"/>
  <c r="AE898" i="9"/>
  <c r="AD898" i="9"/>
  <c r="AC898" i="9"/>
  <c r="AA898" i="9"/>
  <c r="Z898" i="9"/>
  <c r="Y898" i="9"/>
  <c r="X898" i="9"/>
  <c r="W898" i="9"/>
  <c r="U898" i="9"/>
  <c r="AI897" i="9"/>
  <c r="AH897" i="9"/>
  <c r="AG897" i="9"/>
  <c r="AF897" i="9"/>
  <c r="AE897" i="9"/>
  <c r="AD897" i="9"/>
  <c r="AC897" i="9"/>
  <c r="AA897" i="9"/>
  <c r="Z897" i="9"/>
  <c r="Y897" i="9"/>
  <c r="X897" i="9"/>
  <c r="W897" i="9"/>
  <c r="U897" i="9"/>
  <c r="AI896" i="9"/>
  <c r="AH896" i="9"/>
  <c r="AG896" i="9"/>
  <c r="AF896" i="9"/>
  <c r="AE896" i="9"/>
  <c r="AD896" i="9"/>
  <c r="AC896" i="9"/>
  <c r="AA896" i="9"/>
  <c r="Z896" i="9"/>
  <c r="Y896" i="9"/>
  <c r="X896" i="9"/>
  <c r="W896" i="9"/>
  <c r="U896" i="9"/>
  <c r="AI895" i="9"/>
  <c r="AH895" i="9"/>
  <c r="AG895" i="9"/>
  <c r="AF895" i="9"/>
  <c r="AE895" i="9"/>
  <c r="AD895" i="9"/>
  <c r="AA895" i="9"/>
  <c r="Z895" i="9"/>
  <c r="Y895" i="9"/>
  <c r="X895" i="9"/>
  <c r="W895" i="9"/>
  <c r="U895" i="9"/>
  <c r="AC895" i="9" s="1"/>
  <c r="AI894" i="9"/>
  <c r="AH894" i="9"/>
  <c r="AG894" i="9"/>
  <c r="AF894" i="9"/>
  <c r="AE894" i="9"/>
  <c r="AD894" i="9"/>
  <c r="AA894" i="9"/>
  <c r="Z894" i="9"/>
  <c r="Y894" i="9"/>
  <c r="X894" i="9"/>
  <c r="W894" i="9"/>
  <c r="U894" i="9"/>
  <c r="AC894" i="9" s="1"/>
  <c r="AI893" i="9"/>
  <c r="AH893" i="9"/>
  <c r="AG893" i="9"/>
  <c r="AF893" i="9"/>
  <c r="AE893" i="9"/>
  <c r="AD893" i="9"/>
  <c r="AA893" i="9"/>
  <c r="Z893" i="9"/>
  <c r="Y893" i="9"/>
  <c r="X893" i="9"/>
  <c r="W893" i="9"/>
  <c r="U893" i="9"/>
  <c r="AC893" i="9" s="1"/>
  <c r="AI892" i="9"/>
  <c r="AH892" i="9"/>
  <c r="AG892" i="9"/>
  <c r="AF892" i="9"/>
  <c r="AE892" i="9"/>
  <c r="AD892" i="9"/>
  <c r="AA892" i="9"/>
  <c r="Z892" i="9"/>
  <c r="Y892" i="9"/>
  <c r="X892" i="9"/>
  <c r="W892" i="9"/>
  <c r="U892" i="9"/>
  <c r="AC892" i="9" s="1"/>
  <c r="AI891" i="9"/>
  <c r="AH891" i="9"/>
  <c r="AG891" i="9"/>
  <c r="AF891" i="9"/>
  <c r="AE891" i="9"/>
  <c r="AD891" i="9"/>
  <c r="AA891" i="9"/>
  <c r="Z891" i="9"/>
  <c r="Y891" i="9"/>
  <c r="X891" i="9"/>
  <c r="W891" i="9"/>
  <c r="U891" i="9"/>
  <c r="AC891" i="9" s="1"/>
  <c r="AI890" i="9"/>
  <c r="AH890" i="9"/>
  <c r="AG890" i="9"/>
  <c r="AF890" i="9"/>
  <c r="AE890" i="9"/>
  <c r="AD890" i="9"/>
  <c r="AA890" i="9"/>
  <c r="Z890" i="9"/>
  <c r="Y890" i="9"/>
  <c r="X890" i="9"/>
  <c r="W890" i="9"/>
  <c r="U890" i="9"/>
  <c r="AC890" i="9" s="1"/>
  <c r="AI889" i="9"/>
  <c r="AH889" i="9"/>
  <c r="AG889" i="9"/>
  <c r="AF889" i="9"/>
  <c r="AE889" i="9"/>
  <c r="AD889" i="9"/>
  <c r="AC889" i="9"/>
  <c r="AA889" i="9"/>
  <c r="Z889" i="9"/>
  <c r="Y889" i="9"/>
  <c r="X889" i="9"/>
  <c r="W889" i="9"/>
  <c r="U889" i="9"/>
  <c r="AI888" i="9"/>
  <c r="AH888" i="9"/>
  <c r="AG888" i="9"/>
  <c r="AF888" i="9"/>
  <c r="AE888" i="9"/>
  <c r="AD888" i="9"/>
  <c r="AC888" i="9"/>
  <c r="AA888" i="9"/>
  <c r="Z888" i="9"/>
  <c r="Y888" i="9"/>
  <c r="X888" i="9"/>
  <c r="W888" i="9"/>
  <c r="U888" i="9"/>
  <c r="AI887" i="9"/>
  <c r="AH887" i="9"/>
  <c r="AG887" i="9"/>
  <c r="AF887" i="9"/>
  <c r="AE887" i="9"/>
  <c r="AD887" i="9"/>
  <c r="AC887" i="9"/>
  <c r="AA887" i="9"/>
  <c r="Z887" i="9"/>
  <c r="Y887" i="9"/>
  <c r="X887" i="9"/>
  <c r="W887" i="9"/>
  <c r="U887" i="9"/>
  <c r="AI886" i="9"/>
  <c r="AH886" i="9"/>
  <c r="AG886" i="9"/>
  <c r="AF886" i="9"/>
  <c r="AE886" i="9"/>
  <c r="AD886" i="9"/>
  <c r="AC886" i="9"/>
  <c r="AA886" i="9"/>
  <c r="Z886" i="9"/>
  <c r="Y886" i="9"/>
  <c r="X886" i="9"/>
  <c r="W886" i="9"/>
  <c r="U886" i="9"/>
  <c r="AI885" i="9"/>
  <c r="AH885" i="9"/>
  <c r="AG885" i="9"/>
  <c r="AF885" i="9"/>
  <c r="AE885" i="9"/>
  <c r="AD885" i="9"/>
  <c r="AC885" i="9"/>
  <c r="AA885" i="9"/>
  <c r="Z885" i="9"/>
  <c r="Y885" i="9"/>
  <c r="X885" i="9"/>
  <c r="W885" i="9"/>
  <c r="U885" i="9"/>
  <c r="AI884" i="9"/>
  <c r="AH884" i="9"/>
  <c r="AG884" i="9"/>
  <c r="AF884" i="9"/>
  <c r="AE884" i="9"/>
  <c r="AD884" i="9"/>
  <c r="AC884" i="9"/>
  <c r="AA884" i="9"/>
  <c r="Z884" i="9"/>
  <c r="Y884" i="9"/>
  <c r="X884" i="9"/>
  <c r="W884" i="9"/>
  <c r="U884" i="9"/>
  <c r="AI883" i="9"/>
  <c r="AH883" i="9"/>
  <c r="AG883" i="9"/>
  <c r="AF883" i="9"/>
  <c r="AE883" i="9"/>
  <c r="AD883" i="9"/>
  <c r="AA883" i="9"/>
  <c r="Z883" i="9"/>
  <c r="Y883" i="9"/>
  <c r="X883" i="9"/>
  <c r="W883" i="9"/>
  <c r="U883" i="9"/>
  <c r="AC883" i="9" s="1"/>
  <c r="AI882" i="9"/>
  <c r="AH882" i="9"/>
  <c r="AG882" i="9"/>
  <c r="AF882" i="9"/>
  <c r="AE882" i="9"/>
  <c r="AD882" i="9"/>
  <c r="AA882" i="9"/>
  <c r="Z882" i="9"/>
  <c r="Y882" i="9"/>
  <c r="X882" i="9"/>
  <c r="W882" i="9"/>
  <c r="U882" i="9"/>
  <c r="AC882" i="9" s="1"/>
  <c r="AI881" i="9"/>
  <c r="AH881" i="9"/>
  <c r="AG881" i="9"/>
  <c r="AF881" i="9"/>
  <c r="AE881" i="9"/>
  <c r="AD881" i="9"/>
  <c r="AA881" i="9"/>
  <c r="Z881" i="9"/>
  <c r="Y881" i="9"/>
  <c r="X881" i="9"/>
  <c r="W881" i="9"/>
  <c r="U881" i="9"/>
  <c r="AC881" i="9" s="1"/>
  <c r="AI880" i="9"/>
  <c r="AH880" i="9"/>
  <c r="AG880" i="9"/>
  <c r="AF880" i="9"/>
  <c r="AE880" i="9"/>
  <c r="AD880" i="9"/>
  <c r="AA880" i="9"/>
  <c r="Z880" i="9"/>
  <c r="Y880" i="9"/>
  <c r="X880" i="9"/>
  <c r="W880" i="9"/>
  <c r="U880" i="9"/>
  <c r="AC880" i="9" s="1"/>
  <c r="AI879" i="9"/>
  <c r="AH879" i="9"/>
  <c r="AG879" i="9"/>
  <c r="AF879" i="9"/>
  <c r="AE879" i="9"/>
  <c r="AD879" i="9"/>
  <c r="AA879" i="9"/>
  <c r="Z879" i="9"/>
  <c r="Y879" i="9"/>
  <c r="X879" i="9"/>
  <c r="W879" i="9"/>
  <c r="U879" i="9"/>
  <c r="AC879" i="9" s="1"/>
  <c r="AI878" i="9"/>
  <c r="AH878" i="9"/>
  <c r="AG878" i="9"/>
  <c r="AF878" i="9"/>
  <c r="AE878" i="9"/>
  <c r="AD878" i="9"/>
  <c r="AA878" i="9"/>
  <c r="Z878" i="9"/>
  <c r="Y878" i="9"/>
  <c r="X878" i="9"/>
  <c r="W878" i="9"/>
  <c r="U878" i="9"/>
  <c r="AC878" i="9" s="1"/>
  <c r="AI877" i="9"/>
  <c r="AH877" i="9"/>
  <c r="AG877" i="9"/>
  <c r="AF877" i="9"/>
  <c r="AE877" i="9"/>
  <c r="AD877" i="9"/>
  <c r="AC877" i="9"/>
  <c r="AA877" i="9"/>
  <c r="Z877" i="9"/>
  <c r="Y877" i="9"/>
  <c r="X877" i="9"/>
  <c r="W877" i="9"/>
  <c r="U877" i="9"/>
  <c r="AI876" i="9"/>
  <c r="AH876" i="9"/>
  <c r="AG876" i="9"/>
  <c r="AF876" i="9"/>
  <c r="AE876" i="9"/>
  <c r="AD876" i="9"/>
  <c r="AC876" i="9"/>
  <c r="AA876" i="9"/>
  <c r="Z876" i="9"/>
  <c r="Y876" i="9"/>
  <c r="X876" i="9"/>
  <c r="W876" i="9"/>
  <c r="U876" i="9"/>
  <c r="AI875" i="9"/>
  <c r="AH875" i="9"/>
  <c r="AG875" i="9"/>
  <c r="AF875" i="9"/>
  <c r="AE875" i="9"/>
  <c r="AD875" i="9"/>
  <c r="AC875" i="9"/>
  <c r="AA875" i="9"/>
  <c r="Z875" i="9"/>
  <c r="Y875" i="9"/>
  <c r="X875" i="9"/>
  <c r="W875" i="9"/>
  <c r="U875" i="9"/>
  <c r="AI874" i="9"/>
  <c r="AH874" i="9"/>
  <c r="AG874" i="9"/>
  <c r="AF874" i="9"/>
  <c r="AE874" i="9"/>
  <c r="AD874" i="9"/>
  <c r="AC874" i="9"/>
  <c r="AA874" i="9"/>
  <c r="Z874" i="9"/>
  <c r="Y874" i="9"/>
  <c r="X874" i="9"/>
  <c r="W874" i="9"/>
  <c r="U874" i="9"/>
  <c r="AI873" i="9"/>
  <c r="AH873" i="9"/>
  <c r="AG873" i="9"/>
  <c r="AF873" i="9"/>
  <c r="AE873" i="9"/>
  <c r="AD873" i="9"/>
  <c r="AC873" i="9"/>
  <c r="AA873" i="9"/>
  <c r="Z873" i="9"/>
  <c r="Y873" i="9"/>
  <c r="X873" i="9"/>
  <c r="W873" i="9"/>
  <c r="U873" i="9"/>
  <c r="AI872" i="9"/>
  <c r="AH872" i="9"/>
  <c r="AG872" i="9"/>
  <c r="AF872" i="9"/>
  <c r="AE872" i="9"/>
  <c r="AD872" i="9"/>
  <c r="AC872" i="9"/>
  <c r="AA872" i="9"/>
  <c r="Z872" i="9"/>
  <c r="Y872" i="9"/>
  <c r="X872" i="9"/>
  <c r="W872" i="9"/>
  <c r="U872" i="9"/>
  <c r="AI871" i="9"/>
  <c r="AH871" i="9"/>
  <c r="AG871" i="9"/>
  <c r="AF871" i="9"/>
  <c r="AE871" i="9"/>
  <c r="AD871" i="9"/>
  <c r="AA871" i="9"/>
  <c r="Z871" i="9"/>
  <c r="Y871" i="9"/>
  <c r="X871" i="9"/>
  <c r="W871" i="9"/>
  <c r="U871" i="9"/>
  <c r="AC871" i="9" s="1"/>
  <c r="AI870" i="9"/>
  <c r="AH870" i="9"/>
  <c r="AG870" i="9"/>
  <c r="AF870" i="9"/>
  <c r="AE870" i="9"/>
  <c r="AD870" i="9"/>
  <c r="AA870" i="9"/>
  <c r="Z870" i="9"/>
  <c r="Y870" i="9"/>
  <c r="X870" i="9"/>
  <c r="W870" i="9"/>
  <c r="U870" i="9"/>
  <c r="AC870" i="9" s="1"/>
  <c r="AI869" i="9"/>
  <c r="AH869" i="9"/>
  <c r="AG869" i="9"/>
  <c r="AF869" i="9"/>
  <c r="AE869" i="9"/>
  <c r="AD869" i="9"/>
  <c r="AA869" i="9"/>
  <c r="Z869" i="9"/>
  <c r="Y869" i="9"/>
  <c r="X869" i="9"/>
  <c r="W869" i="9"/>
  <c r="U869" i="9"/>
  <c r="AC869" i="9" s="1"/>
  <c r="AI868" i="9"/>
  <c r="AH868" i="9"/>
  <c r="AG868" i="9"/>
  <c r="AF868" i="9"/>
  <c r="AE868" i="9"/>
  <c r="AD868" i="9"/>
  <c r="AA868" i="9"/>
  <c r="Z868" i="9"/>
  <c r="Y868" i="9"/>
  <c r="X868" i="9"/>
  <c r="W868" i="9"/>
  <c r="U868" i="9"/>
  <c r="AC868" i="9" s="1"/>
  <c r="AI867" i="9"/>
  <c r="AH867" i="9"/>
  <c r="AG867" i="9"/>
  <c r="AF867" i="9"/>
  <c r="AE867" i="9"/>
  <c r="AD867" i="9"/>
  <c r="AA867" i="9"/>
  <c r="Z867" i="9"/>
  <c r="Y867" i="9"/>
  <c r="X867" i="9"/>
  <c r="W867" i="9"/>
  <c r="U867" i="9"/>
  <c r="AC867" i="9" s="1"/>
  <c r="AI866" i="9"/>
  <c r="AH866" i="9"/>
  <c r="AG866" i="9"/>
  <c r="AF866" i="9"/>
  <c r="AE866" i="9"/>
  <c r="AD866" i="9"/>
  <c r="AA866" i="9"/>
  <c r="Z866" i="9"/>
  <c r="Y866" i="9"/>
  <c r="X866" i="9"/>
  <c r="W866" i="9"/>
  <c r="U866" i="9"/>
  <c r="AC866" i="9" s="1"/>
  <c r="AI865" i="9"/>
  <c r="AH865" i="9"/>
  <c r="AG865" i="9"/>
  <c r="AF865" i="9"/>
  <c r="AE865" i="9"/>
  <c r="AD865" i="9"/>
  <c r="AC865" i="9"/>
  <c r="AA865" i="9"/>
  <c r="Z865" i="9"/>
  <c r="Y865" i="9"/>
  <c r="X865" i="9"/>
  <c r="W865" i="9"/>
  <c r="U865" i="9"/>
  <c r="AI864" i="9"/>
  <c r="AH864" i="9"/>
  <c r="AG864" i="9"/>
  <c r="AF864" i="9"/>
  <c r="AE864" i="9"/>
  <c r="AD864" i="9"/>
  <c r="AC864" i="9"/>
  <c r="AA864" i="9"/>
  <c r="Z864" i="9"/>
  <c r="Y864" i="9"/>
  <c r="X864" i="9"/>
  <c r="W864" i="9"/>
  <c r="U864" i="9"/>
  <c r="AI863" i="9"/>
  <c r="AH863" i="9"/>
  <c r="AG863" i="9"/>
  <c r="AF863" i="9"/>
  <c r="AE863" i="9"/>
  <c r="AD863" i="9"/>
  <c r="AC863" i="9"/>
  <c r="AA863" i="9"/>
  <c r="Z863" i="9"/>
  <c r="Y863" i="9"/>
  <c r="X863" i="9"/>
  <c r="W863" i="9"/>
  <c r="U863" i="9"/>
  <c r="AI862" i="9"/>
  <c r="AH862" i="9"/>
  <c r="AG862" i="9"/>
  <c r="AF862" i="9"/>
  <c r="AE862" i="9"/>
  <c r="AD862" i="9"/>
  <c r="AC862" i="9"/>
  <c r="AA862" i="9"/>
  <c r="Z862" i="9"/>
  <c r="Y862" i="9"/>
  <c r="X862" i="9"/>
  <c r="W862" i="9"/>
  <c r="U862" i="9"/>
  <c r="AI861" i="9"/>
  <c r="AH861" i="9"/>
  <c r="AG861" i="9"/>
  <c r="AF861" i="9"/>
  <c r="AE861" i="9"/>
  <c r="AD861" i="9"/>
  <c r="AC861" i="9"/>
  <c r="AA861" i="9"/>
  <c r="Z861" i="9"/>
  <c r="Y861" i="9"/>
  <c r="X861" i="9"/>
  <c r="W861" i="9"/>
  <c r="U861" i="9"/>
  <c r="AI860" i="9"/>
  <c r="AH860" i="9"/>
  <c r="AG860" i="9"/>
  <c r="AF860" i="9"/>
  <c r="AE860" i="9"/>
  <c r="AD860" i="9"/>
  <c r="AC860" i="9"/>
  <c r="AA860" i="9"/>
  <c r="Z860" i="9"/>
  <c r="Y860" i="9"/>
  <c r="X860" i="9"/>
  <c r="W860" i="9"/>
  <c r="U860" i="9"/>
  <c r="AI859" i="9"/>
  <c r="AH859" i="9"/>
  <c r="AG859" i="9"/>
  <c r="AF859" i="9"/>
  <c r="AE859" i="9"/>
  <c r="AD859" i="9"/>
  <c r="AA859" i="9"/>
  <c r="Z859" i="9"/>
  <c r="Y859" i="9"/>
  <c r="X859" i="9"/>
  <c r="W859" i="9"/>
  <c r="U859" i="9"/>
  <c r="AC859" i="9" s="1"/>
  <c r="AI858" i="9"/>
  <c r="AH858" i="9"/>
  <c r="AG858" i="9"/>
  <c r="AF858" i="9"/>
  <c r="AE858" i="9"/>
  <c r="AD858" i="9"/>
  <c r="AA858" i="9"/>
  <c r="Z858" i="9"/>
  <c r="Y858" i="9"/>
  <c r="X858" i="9"/>
  <c r="W858" i="9"/>
  <c r="U858" i="9"/>
  <c r="AC858" i="9" s="1"/>
  <c r="AI857" i="9"/>
  <c r="AH857" i="9"/>
  <c r="AG857" i="9"/>
  <c r="AF857" i="9"/>
  <c r="AE857" i="9"/>
  <c r="AD857" i="9"/>
  <c r="AA857" i="9"/>
  <c r="Z857" i="9"/>
  <c r="Y857" i="9"/>
  <c r="X857" i="9"/>
  <c r="W857" i="9"/>
  <c r="U857" i="9"/>
  <c r="AC857" i="9" s="1"/>
  <c r="AI856" i="9"/>
  <c r="AH856" i="9"/>
  <c r="AG856" i="9"/>
  <c r="AF856" i="9"/>
  <c r="AE856" i="9"/>
  <c r="AD856" i="9"/>
  <c r="AA856" i="9"/>
  <c r="Z856" i="9"/>
  <c r="Y856" i="9"/>
  <c r="X856" i="9"/>
  <c r="W856" i="9"/>
  <c r="U856" i="9"/>
  <c r="AC856" i="9" s="1"/>
  <c r="AI855" i="9"/>
  <c r="AH855" i="9"/>
  <c r="AG855" i="9"/>
  <c r="AF855" i="9"/>
  <c r="AE855" i="9"/>
  <c r="AD855" i="9"/>
  <c r="AA855" i="9"/>
  <c r="Z855" i="9"/>
  <c r="Y855" i="9"/>
  <c r="X855" i="9"/>
  <c r="W855" i="9"/>
  <c r="U855" i="9"/>
  <c r="AC855" i="9" s="1"/>
  <c r="AI854" i="9"/>
  <c r="AH854" i="9"/>
  <c r="AG854" i="9"/>
  <c r="AF854" i="9"/>
  <c r="AE854" i="9"/>
  <c r="AD854" i="9"/>
  <c r="AA854" i="9"/>
  <c r="Z854" i="9"/>
  <c r="Y854" i="9"/>
  <c r="X854" i="9"/>
  <c r="W854" i="9"/>
  <c r="U854" i="9"/>
  <c r="AC854" i="9" s="1"/>
  <c r="AI853" i="9"/>
  <c r="AH853" i="9"/>
  <c r="AG853" i="9"/>
  <c r="AF853" i="9"/>
  <c r="AE853" i="9"/>
  <c r="AD853" i="9"/>
  <c r="AC853" i="9"/>
  <c r="AA853" i="9"/>
  <c r="Z853" i="9"/>
  <c r="Y853" i="9"/>
  <c r="X853" i="9"/>
  <c r="W853" i="9"/>
  <c r="U853" i="9"/>
  <c r="AI852" i="9"/>
  <c r="AH852" i="9"/>
  <c r="AG852" i="9"/>
  <c r="AF852" i="9"/>
  <c r="AE852" i="9"/>
  <c r="AD852" i="9"/>
  <c r="AC852" i="9"/>
  <c r="AA852" i="9"/>
  <c r="Z852" i="9"/>
  <c r="Y852" i="9"/>
  <c r="X852" i="9"/>
  <c r="W852" i="9"/>
  <c r="U852" i="9"/>
  <c r="AI851" i="9"/>
  <c r="AH851" i="9"/>
  <c r="AG851" i="9"/>
  <c r="AF851" i="9"/>
  <c r="AE851" i="9"/>
  <c r="AD851" i="9"/>
  <c r="AC851" i="9"/>
  <c r="AA851" i="9"/>
  <c r="Z851" i="9"/>
  <c r="Y851" i="9"/>
  <c r="X851" i="9"/>
  <c r="W851" i="9"/>
  <c r="U851" i="9"/>
  <c r="AI850" i="9"/>
  <c r="AH850" i="9"/>
  <c r="AG850" i="9"/>
  <c r="AF850" i="9"/>
  <c r="AE850" i="9"/>
  <c r="AD850" i="9"/>
  <c r="AC850" i="9"/>
  <c r="AA850" i="9"/>
  <c r="Z850" i="9"/>
  <c r="Y850" i="9"/>
  <c r="X850" i="9"/>
  <c r="W850" i="9"/>
  <c r="U850" i="9"/>
  <c r="AI849" i="9"/>
  <c r="AH849" i="9"/>
  <c r="AG849" i="9"/>
  <c r="AF849" i="9"/>
  <c r="AE849" i="9"/>
  <c r="AD849" i="9"/>
  <c r="AC849" i="9"/>
  <c r="AA849" i="9"/>
  <c r="Z849" i="9"/>
  <c r="Y849" i="9"/>
  <c r="X849" i="9"/>
  <c r="W849" i="9"/>
  <c r="U849" i="9"/>
  <c r="AI848" i="9"/>
  <c r="AH848" i="9"/>
  <c r="AG848" i="9"/>
  <c r="AF848" i="9"/>
  <c r="AE848" i="9"/>
  <c r="AD848" i="9"/>
  <c r="AC848" i="9"/>
  <c r="AA848" i="9"/>
  <c r="Z848" i="9"/>
  <c r="Y848" i="9"/>
  <c r="X848" i="9"/>
  <c r="W848" i="9"/>
  <c r="U848" i="9"/>
  <c r="AI847" i="9"/>
  <c r="AH847" i="9"/>
  <c r="AG847" i="9"/>
  <c r="AF847" i="9"/>
  <c r="AE847" i="9"/>
  <c r="AD847" i="9"/>
  <c r="AA847" i="9"/>
  <c r="Z847" i="9"/>
  <c r="Y847" i="9"/>
  <c r="X847" i="9"/>
  <c r="W847" i="9"/>
  <c r="U847" i="9"/>
  <c r="AC847" i="9" s="1"/>
  <c r="AI846" i="9"/>
  <c r="AH846" i="9"/>
  <c r="AG846" i="9"/>
  <c r="AF846" i="9"/>
  <c r="AE846" i="9"/>
  <c r="AD846" i="9"/>
  <c r="AA846" i="9"/>
  <c r="Z846" i="9"/>
  <c r="Y846" i="9"/>
  <c r="X846" i="9"/>
  <c r="W846" i="9"/>
  <c r="U846" i="9"/>
  <c r="AC846" i="9" s="1"/>
  <c r="AI845" i="9"/>
  <c r="AH845" i="9"/>
  <c r="AG845" i="9"/>
  <c r="AF845" i="9"/>
  <c r="AE845" i="9"/>
  <c r="AD845" i="9"/>
  <c r="AA845" i="9"/>
  <c r="Z845" i="9"/>
  <c r="Y845" i="9"/>
  <c r="X845" i="9"/>
  <c r="W845" i="9"/>
  <c r="U845" i="9"/>
  <c r="AC845" i="9" s="1"/>
  <c r="AI844" i="9"/>
  <c r="AH844" i="9"/>
  <c r="AG844" i="9"/>
  <c r="AF844" i="9"/>
  <c r="AE844" i="9"/>
  <c r="AD844" i="9"/>
  <c r="AA844" i="9"/>
  <c r="Z844" i="9"/>
  <c r="Y844" i="9"/>
  <c r="X844" i="9"/>
  <c r="W844" i="9"/>
  <c r="U844" i="9"/>
  <c r="AC844" i="9" s="1"/>
  <c r="AI843" i="9"/>
  <c r="AH843" i="9"/>
  <c r="AG843" i="9"/>
  <c r="AF843" i="9"/>
  <c r="AE843" i="9"/>
  <c r="AD843" i="9"/>
  <c r="AA843" i="9"/>
  <c r="Z843" i="9"/>
  <c r="Y843" i="9"/>
  <c r="X843" i="9"/>
  <c r="W843" i="9"/>
  <c r="U843" i="9"/>
  <c r="AC843" i="9" s="1"/>
  <c r="AI842" i="9"/>
  <c r="AH842" i="9"/>
  <c r="AG842" i="9"/>
  <c r="AF842" i="9"/>
  <c r="AE842" i="9"/>
  <c r="AD842" i="9"/>
  <c r="AA842" i="9"/>
  <c r="Z842" i="9"/>
  <c r="Y842" i="9"/>
  <c r="X842" i="9"/>
  <c r="W842" i="9"/>
  <c r="U842" i="9"/>
  <c r="AC842" i="9" s="1"/>
  <c r="AI841" i="9"/>
  <c r="AH841" i="9"/>
  <c r="AG841" i="9"/>
  <c r="AF841" i="9"/>
  <c r="AE841" i="9"/>
  <c r="AD841" i="9"/>
  <c r="AC841" i="9"/>
  <c r="AA841" i="9"/>
  <c r="Z841" i="9"/>
  <c r="Y841" i="9"/>
  <c r="X841" i="9"/>
  <c r="W841" i="9"/>
  <c r="U841" i="9"/>
  <c r="AI840" i="9"/>
  <c r="AH840" i="9"/>
  <c r="AG840" i="9"/>
  <c r="AF840" i="9"/>
  <c r="AE840" i="9"/>
  <c r="AD840" i="9"/>
  <c r="AC840" i="9"/>
  <c r="AA840" i="9"/>
  <c r="Z840" i="9"/>
  <c r="Y840" i="9"/>
  <c r="X840" i="9"/>
  <c r="W840" i="9"/>
  <c r="U840" i="9"/>
  <c r="AI839" i="9"/>
  <c r="AH839" i="9"/>
  <c r="AG839" i="9"/>
  <c r="AF839" i="9"/>
  <c r="AE839" i="9"/>
  <c r="AD839" i="9"/>
  <c r="AC839" i="9"/>
  <c r="AA839" i="9"/>
  <c r="Z839" i="9"/>
  <c r="Y839" i="9"/>
  <c r="X839" i="9"/>
  <c r="W839" i="9"/>
  <c r="U839" i="9"/>
  <c r="AI838" i="9"/>
  <c r="AH838" i="9"/>
  <c r="AG838" i="9"/>
  <c r="AF838" i="9"/>
  <c r="AE838" i="9"/>
  <c r="AD838" i="9"/>
  <c r="AC838" i="9"/>
  <c r="AA838" i="9"/>
  <c r="Z838" i="9"/>
  <c r="Y838" i="9"/>
  <c r="X838" i="9"/>
  <c r="W838" i="9"/>
  <c r="U838" i="9"/>
  <c r="AI837" i="9"/>
  <c r="AH837" i="9"/>
  <c r="AG837" i="9"/>
  <c r="AF837" i="9"/>
  <c r="AE837" i="9"/>
  <c r="AD837" i="9"/>
  <c r="AC837" i="9"/>
  <c r="AA837" i="9"/>
  <c r="Z837" i="9"/>
  <c r="Y837" i="9"/>
  <c r="X837" i="9"/>
  <c r="W837" i="9"/>
  <c r="U837" i="9"/>
  <c r="AI836" i="9"/>
  <c r="AH836" i="9"/>
  <c r="AG836" i="9"/>
  <c r="AF836" i="9"/>
  <c r="AE836" i="9"/>
  <c r="AD836" i="9"/>
  <c r="AC836" i="9"/>
  <c r="AA836" i="9"/>
  <c r="Z836" i="9"/>
  <c r="Y836" i="9"/>
  <c r="X836" i="9"/>
  <c r="W836" i="9"/>
  <c r="U836" i="9"/>
  <c r="AI835" i="9"/>
  <c r="AH835" i="9"/>
  <c r="AG835" i="9"/>
  <c r="AF835" i="9"/>
  <c r="AE835" i="9"/>
  <c r="AD835" i="9"/>
  <c r="AA835" i="9"/>
  <c r="Z835" i="9"/>
  <c r="Y835" i="9"/>
  <c r="X835" i="9"/>
  <c r="W835" i="9"/>
  <c r="U835" i="9"/>
  <c r="AC835" i="9" s="1"/>
  <c r="AI834" i="9"/>
  <c r="AH834" i="9"/>
  <c r="AG834" i="9"/>
  <c r="AF834" i="9"/>
  <c r="AE834" i="9"/>
  <c r="AD834" i="9"/>
  <c r="AA834" i="9"/>
  <c r="Z834" i="9"/>
  <c r="Y834" i="9"/>
  <c r="X834" i="9"/>
  <c r="W834" i="9"/>
  <c r="U834" i="9"/>
  <c r="AC834" i="9" s="1"/>
  <c r="AI833" i="9"/>
  <c r="AH833" i="9"/>
  <c r="AG833" i="9"/>
  <c r="AF833" i="9"/>
  <c r="AE833" i="9"/>
  <c r="AD833" i="9"/>
  <c r="AA833" i="9"/>
  <c r="Z833" i="9"/>
  <c r="Y833" i="9"/>
  <c r="X833" i="9"/>
  <c r="W833" i="9"/>
  <c r="U833" i="9"/>
  <c r="AC833" i="9" s="1"/>
  <c r="AI832" i="9"/>
  <c r="AH832" i="9"/>
  <c r="AG832" i="9"/>
  <c r="AF832" i="9"/>
  <c r="AE832" i="9"/>
  <c r="AD832" i="9"/>
  <c r="AA832" i="9"/>
  <c r="Z832" i="9"/>
  <c r="Y832" i="9"/>
  <c r="X832" i="9"/>
  <c r="W832" i="9"/>
  <c r="U832" i="9"/>
  <c r="AC832" i="9" s="1"/>
  <c r="AI831" i="9"/>
  <c r="AH831" i="9"/>
  <c r="AG831" i="9"/>
  <c r="AF831" i="9"/>
  <c r="AE831" i="9"/>
  <c r="AD831" i="9"/>
  <c r="AA831" i="9"/>
  <c r="Z831" i="9"/>
  <c r="Y831" i="9"/>
  <c r="X831" i="9"/>
  <c r="W831" i="9"/>
  <c r="U831" i="9"/>
  <c r="AC831" i="9" s="1"/>
  <c r="AI830" i="9"/>
  <c r="AH830" i="9"/>
  <c r="AG830" i="9"/>
  <c r="AF830" i="9"/>
  <c r="AE830" i="9"/>
  <c r="AD830" i="9"/>
  <c r="AA830" i="9"/>
  <c r="Z830" i="9"/>
  <c r="Y830" i="9"/>
  <c r="X830" i="9"/>
  <c r="W830" i="9"/>
  <c r="U830" i="9"/>
  <c r="AC830" i="9" s="1"/>
  <c r="AI829" i="9"/>
  <c r="AH829" i="9"/>
  <c r="AG829" i="9"/>
  <c r="AF829" i="9"/>
  <c r="AE829" i="9"/>
  <c r="AD829" i="9"/>
  <c r="AC829" i="9"/>
  <c r="AA829" i="9"/>
  <c r="Z829" i="9"/>
  <c r="Y829" i="9"/>
  <c r="X829" i="9"/>
  <c r="W829" i="9"/>
  <c r="U829" i="9"/>
  <c r="AI828" i="9"/>
  <c r="AH828" i="9"/>
  <c r="AG828" i="9"/>
  <c r="AF828" i="9"/>
  <c r="AE828" i="9"/>
  <c r="AD828" i="9"/>
  <c r="AC828" i="9"/>
  <c r="AA828" i="9"/>
  <c r="Z828" i="9"/>
  <c r="Y828" i="9"/>
  <c r="X828" i="9"/>
  <c r="W828" i="9"/>
  <c r="U828" i="9"/>
  <c r="AI827" i="9"/>
  <c r="AH827" i="9"/>
  <c r="AG827" i="9"/>
  <c r="AF827" i="9"/>
  <c r="AE827" i="9"/>
  <c r="AD827" i="9"/>
  <c r="AC827" i="9"/>
  <c r="AA827" i="9"/>
  <c r="Z827" i="9"/>
  <c r="Y827" i="9"/>
  <c r="X827" i="9"/>
  <c r="W827" i="9"/>
  <c r="U827" i="9"/>
  <c r="AI826" i="9"/>
  <c r="AH826" i="9"/>
  <c r="AG826" i="9"/>
  <c r="AF826" i="9"/>
  <c r="AE826" i="9"/>
  <c r="AD826" i="9"/>
  <c r="AC826" i="9"/>
  <c r="AA826" i="9"/>
  <c r="Z826" i="9"/>
  <c r="Y826" i="9"/>
  <c r="X826" i="9"/>
  <c r="W826" i="9"/>
  <c r="U826" i="9"/>
  <c r="AI825" i="9"/>
  <c r="AH825" i="9"/>
  <c r="AG825" i="9"/>
  <c r="AF825" i="9"/>
  <c r="AE825" i="9"/>
  <c r="AD825" i="9"/>
  <c r="AC825" i="9"/>
  <c r="AA825" i="9"/>
  <c r="Z825" i="9"/>
  <c r="Y825" i="9"/>
  <c r="X825" i="9"/>
  <c r="W825" i="9"/>
  <c r="U825" i="9"/>
  <c r="AI824" i="9"/>
  <c r="AH824" i="9"/>
  <c r="AG824" i="9"/>
  <c r="AF824" i="9"/>
  <c r="AE824" i="9"/>
  <c r="AD824" i="9"/>
  <c r="AC824" i="9"/>
  <c r="AA824" i="9"/>
  <c r="Z824" i="9"/>
  <c r="Y824" i="9"/>
  <c r="X824" i="9"/>
  <c r="W824" i="9"/>
  <c r="U824" i="9"/>
  <c r="AI823" i="9"/>
  <c r="AH823" i="9"/>
  <c r="AG823" i="9"/>
  <c r="AF823" i="9"/>
  <c r="AE823" i="9"/>
  <c r="AD823" i="9"/>
  <c r="AA823" i="9"/>
  <c r="Z823" i="9"/>
  <c r="Y823" i="9"/>
  <c r="X823" i="9"/>
  <c r="W823" i="9"/>
  <c r="U823" i="9"/>
  <c r="AC823" i="9" s="1"/>
  <c r="AI822" i="9"/>
  <c r="AH822" i="9"/>
  <c r="AG822" i="9"/>
  <c r="AF822" i="9"/>
  <c r="AE822" i="9"/>
  <c r="AD822" i="9"/>
  <c r="AA822" i="9"/>
  <c r="Z822" i="9"/>
  <c r="Y822" i="9"/>
  <c r="X822" i="9"/>
  <c r="W822" i="9"/>
  <c r="U822" i="9"/>
  <c r="AC822" i="9" s="1"/>
  <c r="AI821" i="9"/>
  <c r="AH821" i="9"/>
  <c r="AG821" i="9"/>
  <c r="AF821" i="9"/>
  <c r="AE821" i="9"/>
  <c r="AD821" i="9"/>
  <c r="AA821" i="9"/>
  <c r="Z821" i="9"/>
  <c r="Y821" i="9"/>
  <c r="X821" i="9"/>
  <c r="W821" i="9"/>
  <c r="U821" i="9"/>
  <c r="AC821" i="9" s="1"/>
  <c r="AI820" i="9"/>
  <c r="AH820" i="9"/>
  <c r="AG820" i="9"/>
  <c r="AF820" i="9"/>
  <c r="AE820" i="9"/>
  <c r="AD820" i="9"/>
  <c r="AA820" i="9"/>
  <c r="Z820" i="9"/>
  <c r="Y820" i="9"/>
  <c r="X820" i="9"/>
  <c r="W820" i="9"/>
  <c r="U820" i="9"/>
  <c r="AC820" i="9" s="1"/>
  <c r="AI819" i="9"/>
  <c r="AH819" i="9"/>
  <c r="AG819" i="9"/>
  <c r="AF819" i="9"/>
  <c r="AE819" i="9"/>
  <c r="AD819" i="9"/>
  <c r="AA819" i="9"/>
  <c r="Z819" i="9"/>
  <c r="Y819" i="9"/>
  <c r="X819" i="9"/>
  <c r="W819" i="9"/>
  <c r="U819" i="9"/>
  <c r="AC819" i="9" s="1"/>
  <c r="AI818" i="9"/>
  <c r="AH818" i="9"/>
  <c r="AG818" i="9"/>
  <c r="AF818" i="9"/>
  <c r="AE818" i="9"/>
  <c r="AD818" i="9"/>
  <c r="AA818" i="9"/>
  <c r="Z818" i="9"/>
  <c r="Y818" i="9"/>
  <c r="X818" i="9"/>
  <c r="W818" i="9"/>
  <c r="U818" i="9"/>
  <c r="AC818" i="9" s="1"/>
  <c r="AI817" i="9"/>
  <c r="AH817" i="9"/>
  <c r="AG817" i="9"/>
  <c r="AF817" i="9"/>
  <c r="AE817" i="9"/>
  <c r="AD817" i="9"/>
  <c r="AC817" i="9"/>
  <c r="AA817" i="9"/>
  <c r="Z817" i="9"/>
  <c r="Y817" i="9"/>
  <c r="X817" i="9"/>
  <c r="W817" i="9"/>
  <c r="U817" i="9"/>
  <c r="AI816" i="9"/>
  <c r="AH816" i="9"/>
  <c r="AG816" i="9"/>
  <c r="AF816" i="9"/>
  <c r="AE816" i="9"/>
  <c r="AD816" i="9"/>
  <c r="AC816" i="9"/>
  <c r="AA816" i="9"/>
  <c r="Z816" i="9"/>
  <c r="Y816" i="9"/>
  <c r="X816" i="9"/>
  <c r="W816" i="9"/>
  <c r="U816" i="9"/>
  <c r="AI815" i="9"/>
  <c r="AH815" i="9"/>
  <c r="AG815" i="9"/>
  <c r="AF815" i="9"/>
  <c r="AE815" i="9"/>
  <c r="AD815" i="9"/>
  <c r="AC815" i="9"/>
  <c r="AA815" i="9"/>
  <c r="Z815" i="9"/>
  <c r="Y815" i="9"/>
  <c r="X815" i="9"/>
  <c r="W815" i="9"/>
  <c r="U815" i="9"/>
  <c r="AI814" i="9"/>
  <c r="AH814" i="9"/>
  <c r="AG814" i="9"/>
  <c r="AF814" i="9"/>
  <c r="AE814" i="9"/>
  <c r="AD814" i="9"/>
  <c r="AC814" i="9"/>
  <c r="AA814" i="9"/>
  <c r="Z814" i="9"/>
  <c r="Y814" i="9"/>
  <c r="X814" i="9"/>
  <c r="W814" i="9"/>
  <c r="U814" i="9"/>
  <c r="AI813" i="9"/>
  <c r="AH813" i="9"/>
  <c r="AG813" i="9"/>
  <c r="AF813" i="9"/>
  <c r="AE813" i="9"/>
  <c r="AD813" i="9"/>
  <c r="AC813" i="9"/>
  <c r="AA813" i="9"/>
  <c r="Z813" i="9"/>
  <c r="Y813" i="9"/>
  <c r="X813" i="9"/>
  <c r="W813" i="9"/>
  <c r="U813" i="9"/>
  <c r="AI812" i="9"/>
  <c r="AH812" i="9"/>
  <c r="AG812" i="9"/>
  <c r="AF812" i="9"/>
  <c r="AE812" i="9"/>
  <c r="AD812" i="9"/>
  <c r="AC812" i="9"/>
  <c r="AA812" i="9"/>
  <c r="Z812" i="9"/>
  <c r="Y812" i="9"/>
  <c r="X812" i="9"/>
  <c r="W812" i="9"/>
  <c r="U812" i="9"/>
  <c r="AI811" i="9"/>
  <c r="AH811" i="9"/>
  <c r="AG811" i="9"/>
  <c r="AF811" i="9"/>
  <c r="AE811" i="9"/>
  <c r="AD811" i="9"/>
  <c r="AA811" i="9"/>
  <c r="Z811" i="9"/>
  <c r="Y811" i="9"/>
  <c r="X811" i="9"/>
  <c r="W811" i="9"/>
  <c r="U811" i="9"/>
  <c r="AC811" i="9" s="1"/>
  <c r="AI810" i="9"/>
  <c r="AH810" i="9"/>
  <c r="AG810" i="9"/>
  <c r="AF810" i="9"/>
  <c r="AE810" i="9"/>
  <c r="AD810" i="9"/>
  <c r="AA810" i="9"/>
  <c r="Z810" i="9"/>
  <c r="Y810" i="9"/>
  <c r="X810" i="9"/>
  <c r="W810" i="9"/>
  <c r="U810" i="9"/>
  <c r="AC810" i="9" s="1"/>
  <c r="AI809" i="9"/>
  <c r="AH809" i="9"/>
  <c r="AG809" i="9"/>
  <c r="AF809" i="9"/>
  <c r="AE809" i="9"/>
  <c r="AD809" i="9"/>
  <c r="AA809" i="9"/>
  <c r="Z809" i="9"/>
  <c r="Y809" i="9"/>
  <c r="X809" i="9"/>
  <c r="W809" i="9"/>
  <c r="U809" i="9"/>
  <c r="AC809" i="9" s="1"/>
  <c r="AI808" i="9"/>
  <c r="AH808" i="9"/>
  <c r="AG808" i="9"/>
  <c r="AF808" i="9"/>
  <c r="AE808" i="9"/>
  <c r="AD808" i="9"/>
  <c r="AA808" i="9"/>
  <c r="Z808" i="9"/>
  <c r="Y808" i="9"/>
  <c r="X808" i="9"/>
  <c r="W808" i="9"/>
  <c r="U808" i="9"/>
  <c r="AC808" i="9" s="1"/>
  <c r="AI807" i="9"/>
  <c r="AH807" i="9"/>
  <c r="AG807" i="9"/>
  <c r="AF807" i="9"/>
  <c r="AE807" i="9"/>
  <c r="AD807" i="9"/>
  <c r="AA807" i="9"/>
  <c r="Z807" i="9"/>
  <c r="Y807" i="9"/>
  <c r="X807" i="9"/>
  <c r="W807" i="9"/>
  <c r="U807" i="9"/>
  <c r="AC807" i="9" s="1"/>
  <c r="AI806" i="9"/>
  <c r="AH806" i="9"/>
  <c r="AG806" i="9"/>
  <c r="AF806" i="9"/>
  <c r="AE806" i="9"/>
  <c r="AD806" i="9"/>
  <c r="AA806" i="9"/>
  <c r="Z806" i="9"/>
  <c r="Y806" i="9"/>
  <c r="X806" i="9"/>
  <c r="W806" i="9"/>
  <c r="U806" i="9"/>
  <c r="AC806" i="9" s="1"/>
  <c r="AI805" i="9"/>
  <c r="AH805" i="9"/>
  <c r="AG805" i="9"/>
  <c r="AF805" i="9"/>
  <c r="AE805" i="9"/>
  <c r="AD805" i="9"/>
  <c r="AC805" i="9"/>
  <c r="AA805" i="9"/>
  <c r="Z805" i="9"/>
  <c r="Y805" i="9"/>
  <c r="X805" i="9"/>
  <c r="W805" i="9"/>
  <c r="U805" i="9"/>
  <c r="AI804" i="9"/>
  <c r="AH804" i="9"/>
  <c r="AG804" i="9"/>
  <c r="AF804" i="9"/>
  <c r="AE804" i="9"/>
  <c r="AD804" i="9"/>
  <c r="AC804" i="9"/>
  <c r="AA804" i="9"/>
  <c r="Z804" i="9"/>
  <c r="Y804" i="9"/>
  <c r="X804" i="9"/>
  <c r="W804" i="9"/>
  <c r="U804" i="9"/>
  <c r="AI803" i="9"/>
  <c r="AH803" i="9"/>
  <c r="AG803" i="9"/>
  <c r="AF803" i="9"/>
  <c r="AE803" i="9"/>
  <c r="AD803" i="9"/>
  <c r="AC803" i="9"/>
  <c r="AA803" i="9"/>
  <c r="Z803" i="9"/>
  <c r="Y803" i="9"/>
  <c r="X803" i="9"/>
  <c r="W803" i="9"/>
  <c r="U803" i="9"/>
  <c r="AI802" i="9"/>
  <c r="AH802" i="9"/>
  <c r="AG802" i="9"/>
  <c r="AF802" i="9"/>
  <c r="AE802" i="9"/>
  <c r="AD802" i="9"/>
  <c r="AC802" i="9"/>
  <c r="AA802" i="9"/>
  <c r="Z802" i="9"/>
  <c r="Y802" i="9"/>
  <c r="X802" i="9"/>
  <c r="W802" i="9"/>
  <c r="U802" i="9"/>
  <c r="AI801" i="9"/>
  <c r="AH801" i="9"/>
  <c r="AG801" i="9"/>
  <c r="AF801" i="9"/>
  <c r="AE801" i="9"/>
  <c r="AD801" i="9"/>
  <c r="AC801" i="9"/>
  <c r="AA801" i="9"/>
  <c r="Z801" i="9"/>
  <c r="Y801" i="9"/>
  <c r="X801" i="9"/>
  <c r="W801" i="9"/>
  <c r="U801" i="9"/>
  <c r="AI800" i="9"/>
  <c r="AH800" i="9"/>
  <c r="AG800" i="9"/>
  <c r="AF800" i="9"/>
  <c r="AE800" i="9"/>
  <c r="AD800" i="9"/>
  <c r="AC800" i="9"/>
  <c r="AA800" i="9"/>
  <c r="Z800" i="9"/>
  <c r="Y800" i="9"/>
  <c r="X800" i="9"/>
  <c r="W800" i="9"/>
  <c r="U800" i="9"/>
  <c r="AI799" i="9"/>
  <c r="AH799" i="9"/>
  <c r="AG799" i="9"/>
  <c r="AF799" i="9"/>
  <c r="AE799" i="9"/>
  <c r="AD799" i="9"/>
  <c r="AA799" i="9"/>
  <c r="Z799" i="9"/>
  <c r="Y799" i="9"/>
  <c r="X799" i="9"/>
  <c r="W799" i="9"/>
  <c r="U799" i="9"/>
  <c r="AC799" i="9" s="1"/>
  <c r="AI798" i="9"/>
  <c r="AH798" i="9"/>
  <c r="AG798" i="9"/>
  <c r="AF798" i="9"/>
  <c r="AE798" i="9"/>
  <c r="AD798" i="9"/>
  <c r="AA798" i="9"/>
  <c r="Z798" i="9"/>
  <c r="Y798" i="9"/>
  <c r="X798" i="9"/>
  <c r="W798" i="9"/>
  <c r="U798" i="9"/>
  <c r="AC798" i="9" s="1"/>
  <c r="AI797" i="9"/>
  <c r="AH797" i="9"/>
  <c r="AG797" i="9"/>
  <c r="AF797" i="9"/>
  <c r="AE797" i="9"/>
  <c r="AD797" i="9"/>
  <c r="AA797" i="9"/>
  <c r="Z797" i="9"/>
  <c r="Y797" i="9"/>
  <c r="X797" i="9"/>
  <c r="W797" i="9"/>
  <c r="U797" i="9"/>
  <c r="AC797" i="9" s="1"/>
  <c r="AI796" i="9"/>
  <c r="AH796" i="9"/>
  <c r="AG796" i="9"/>
  <c r="AF796" i="9"/>
  <c r="AE796" i="9"/>
  <c r="AD796" i="9"/>
  <c r="AA796" i="9"/>
  <c r="Z796" i="9"/>
  <c r="Y796" i="9"/>
  <c r="X796" i="9"/>
  <c r="W796" i="9"/>
  <c r="U796" i="9"/>
  <c r="AC796" i="9" s="1"/>
  <c r="AI795" i="9"/>
  <c r="AH795" i="9"/>
  <c r="AG795" i="9"/>
  <c r="AF795" i="9"/>
  <c r="AE795" i="9"/>
  <c r="AD795" i="9"/>
  <c r="AA795" i="9"/>
  <c r="Z795" i="9"/>
  <c r="Y795" i="9"/>
  <c r="X795" i="9"/>
  <c r="W795" i="9"/>
  <c r="U795" i="9"/>
  <c r="AC795" i="9" s="1"/>
  <c r="AI794" i="9"/>
  <c r="AH794" i="9"/>
  <c r="AG794" i="9"/>
  <c r="AF794" i="9"/>
  <c r="AE794" i="9"/>
  <c r="AD794" i="9"/>
  <c r="AA794" i="9"/>
  <c r="Z794" i="9"/>
  <c r="Y794" i="9"/>
  <c r="X794" i="9"/>
  <c r="W794" i="9"/>
  <c r="U794" i="9"/>
  <c r="AC794" i="9" s="1"/>
  <c r="AI793" i="9"/>
  <c r="AH793" i="9"/>
  <c r="AG793" i="9"/>
  <c r="AF793" i="9"/>
  <c r="AE793" i="9"/>
  <c r="AD793" i="9"/>
  <c r="AC793" i="9"/>
  <c r="AA793" i="9"/>
  <c r="Z793" i="9"/>
  <c r="Y793" i="9"/>
  <c r="X793" i="9"/>
  <c r="W793" i="9"/>
  <c r="U793" i="9"/>
  <c r="AI792" i="9"/>
  <c r="AH792" i="9"/>
  <c r="AG792" i="9"/>
  <c r="AF792" i="9"/>
  <c r="AE792" i="9"/>
  <c r="AD792" i="9"/>
  <c r="AC792" i="9"/>
  <c r="AA792" i="9"/>
  <c r="Z792" i="9"/>
  <c r="Y792" i="9"/>
  <c r="X792" i="9"/>
  <c r="W792" i="9"/>
  <c r="U792" i="9"/>
  <c r="AI791" i="9"/>
  <c r="AH791" i="9"/>
  <c r="AG791" i="9"/>
  <c r="AF791" i="9"/>
  <c r="AE791" i="9"/>
  <c r="AD791" i="9"/>
  <c r="AC791" i="9"/>
  <c r="AA791" i="9"/>
  <c r="Z791" i="9"/>
  <c r="Y791" i="9"/>
  <c r="X791" i="9"/>
  <c r="W791" i="9"/>
  <c r="U791" i="9"/>
  <c r="AI790" i="9"/>
  <c r="AH790" i="9"/>
  <c r="AG790" i="9"/>
  <c r="AF790" i="9"/>
  <c r="AE790" i="9"/>
  <c r="AD790" i="9"/>
  <c r="AC790" i="9"/>
  <c r="AA790" i="9"/>
  <c r="Z790" i="9"/>
  <c r="Y790" i="9"/>
  <c r="X790" i="9"/>
  <c r="W790" i="9"/>
  <c r="U790" i="9"/>
  <c r="AI789" i="9"/>
  <c r="AH789" i="9"/>
  <c r="AG789" i="9"/>
  <c r="AF789" i="9"/>
  <c r="AE789" i="9"/>
  <c r="AD789" i="9"/>
  <c r="AC789" i="9"/>
  <c r="AA789" i="9"/>
  <c r="Z789" i="9"/>
  <c r="Y789" i="9"/>
  <c r="X789" i="9"/>
  <c r="W789" i="9"/>
  <c r="U789" i="9"/>
  <c r="AI788" i="9"/>
  <c r="AH788" i="9"/>
  <c r="AG788" i="9"/>
  <c r="AF788" i="9"/>
  <c r="AE788" i="9"/>
  <c r="AD788" i="9"/>
  <c r="AC788" i="9"/>
  <c r="AA788" i="9"/>
  <c r="Z788" i="9"/>
  <c r="Y788" i="9"/>
  <c r="X788" i="9"/>
  <c r="W788" i="9"/>
  <c r="U788" i="9"/>
  <c r="AI787" i="9"/>
  <c r="AH787" i="9"/>
  <c r="AG787" i="9"/>
  <c r="AF787" i="9"/>
  <c r="AE787" i="9"/>
  <c r="AD787" i="9"/>
  <c r="AA787" i="9"/>
  <c r="Z787" i="9"/>
  <c r="Y787" i="9"/>
  <c r="X787" i="9"/>
  <c r="W787" i="9"/>
  <c r="U787" i="9"/>
  <c r="AC787" i="9" s="1"/>
  <c r="AI786" i="9"/>
  <c r="AH786" i="9"/>
  <c r="AG786" i="9"/>
  <c r="AF786" i="9"/>
  <c r="AE786" i="9"/>
  <c r="AD786" i="9"/>
  <c r="AA786" i="9"/>
  <c r="Z786" i="9"/>
  <c r="Y786" i="9"/>
  <c r="X786" i="9"/>
  <c r="W786" i="9"/>
  <c r="U786" i="9"/>
  <c r="AC786" i="9" s="1"/>
  <c r="AI785" i="9"/>
  <c r="AH785" i="9"/>
  <c r="AG785" i="9"/>
  <c r="AF785" i="9"/>
  <c r="AE785" i="9"/>
  <c r="AD785" i="9"/>
  <c r="AA785" i="9"/>
  <c r="Z785" i="9"/>
  <c r="Y785" i="9"/>
  <c r="X785" i="9"/>
  <c r="W785" i="9"/>
  <c r="U785" i="9"/>
  <c r="AC785" i="9" s="1"/>
  <c r="AI784" i="9"/>
  <c r="AH784" i="9"/>
  <c r="AG784" i="9"/>
  <c r="AF784" i="9"/>
  <c r="AE784" i="9"/>
  <c r="AD784" i="9"/>
  <c r="AA784" i="9"/>
  <c r="Z784" i="9"/>
  <c r="Y784" i="9"/>
  <c r="X784" i="9"/>
  <c r="W784" i="9"/>
  <c r="U784" i="9"/>
  <c r="AC784" i="9" s="1"/>
  <c r="AI783" i="9"/>
  <c r="AH783" i="9"/>
  <c r="AG783" i="9"/>
  <c r="AF783" i="9"/>
  <c r="AE783" i="9"/>
  <c r="AD783" i="9"/>
  <c r="AA783" i="9"/>
  <c r="Z783" i="9"/>
  <c r="Y783" i="9"/>
  <c r="X783" i="9"/>
  <c r="W783" i="9"/>
  <c r="U783" i="9"/>
  <c r="AC783" i="9" s="1"/>
  <c r="AI782" i="9"/>
  <c r="AH782" i="9"/>
  <c r="AG782" i="9"/>
  <c r="AF782" i="9"/>
  <c r="AE782" i="9"/>
  <c r="AD782" i="9"/>
  <c r="AA782" i="9"/>
  <c r="Z782" i="9"/>
  <c r="Y782" i="9"/>
  <c r="X782" i="9"/>
  <c r="W782" i="9"/>
  <c r="U782" i="9"/>
  <c r="AC782" i="9" s="1"/>
  <c r="AI781" i="9"/>
  <c r="AH781" i="9"/>
  <c r="AG781" i="9"/>
  <c r="AF781" i="9"/>
  <c r="AE781" i="9"/>
  <c r="AD781" i="9"/>
  <c r="AC781" i="9"/>
  <c r="AA781" i="9"/>
  <c r="Z781" i="9"/>
  <c r="Y781" i="9"/>
  <c r="X781" i="9"/>
  <c r="W781" i="9"/>
  <c r="U781" i="9"/>
  <c r="AI780" i="9"/>
  <c r="AH780" i="9"/>
  <c r="AG780" i="9"/>
  <c r="AF780" i="9"/>
  <c r="AE780" i="9"/>
  <c r="AD780" i="9"/>
  <c r="AC780" i="9"/>
  <c r="AA780" i="9"/>
  <c r="Z780" i="9"/>
  <c r="Y780" i="9"/>
  <c r="X780" i="9"/>
  <c r="W780" i="9"/>
  <c r="U780" i="9"/>
  <c r="AI779" i="9"/>
  <c r="AH779" i="9"/>
  <c r="AG779" i="9"/>
  <c r="AF779" i="9"/>
  <c r="AE779" i="9"/>
  <c r="AD779" i="9"/>
  <c r="AC779" i="9"/>
  <c r="AA779" i="9"/>
  <c r="Z779" i="9"/>
  <c r="Y779" i="9"/>
  <c r="X779" i="9"/>
  <c r="W779" i="9"/>
  <c r="U779" i="9"/>
  <c r="AI778" i="9"/>
  <c r="AH778" i="9"/>
  <c r="AG778" i="9"/>
  <c r="AF778" i="9"/>
  <c r="AE778" i="9"/>
  <c r="AD778" i="9"/>
  <c r="AC778" i="9"/>
  <c r="AA778" i="9"/>
  <c r="Z778" i="9"/>
  <c r="Y778" i="9"/>
  <c r="X778" i="9"/>
  <c r="W778" i="9"/>
  <c r="U778" i="9"/>
  <c r="AI777" i="9"/>
  <c r="AH777" i="9"/>
  <c r="AG777" i="9"/>
  <c r="AF777" i="9"/>
  <c r="AE777" i="9"/>
  <c r="AD777" i="9"/>
  <c r="AC777" i="9"/>
  <c r="AA777" i="9"/>
  <c r="Z777" i="9"/>
  <c r="Y777" i="9"/>
  <c r="X777" i="9"/>
  <c r="W777" i="9"/>
  <c r="U777" i="9"/>
  <c r="AI776" i="9"/>
  <c r="AH776" i="9"/>
  <c r="AG776" i="9"/>
  <c r="AF776" i="9"/>
  <c r="AE776" i="9"/>
  <c r="AD776" i="9"/>
  <c r="AC776" i="9"/>
  <c r="AA776" i="9"/>
  <c r="Z776" i="9"/>
  <c r="Y776" i="9"/>
  <c r="X776" i="9"/>
  <c r="W776" i="9"/>
  <c r="U776" i="9"/>
  <c r="AI775" i="9"/>
  <c r="AH775" i="9"/>
  <c r="AG775" i="9"/>
  <c r="AF775" i="9"/>
  <c r="AE775" i="9"/>
  <c r="AD775" i="9"/>
  <c r="AA775" i="9"/>
  <c r="Z775" i="9"/>
  <c r="Y775" i="9"/>
  <c r="X775" i="9"/>
  <c r="W775" i="9"/>
  <c r="U775" i="9"/>
  <c r="AC775" i="9" s="1"/>
  <c r="AI774" i="9"/>
  <c r="AH774" i="9"/>
  <c r="AG774" i="9"/>
  <c r="AF774" i="9"/>
  <c r="AE774" i="9"/>
  <c r="AD774" i="9"/>
  <c r="AA774" i="9"/>
  <c r="Z774" i="9"/>
  <c r="Y774" i="9"/>
  <c r="X774" i="9"/>
  <c r="W774" i="9"/>
  <c r="U774" i="9"/>
  <c r="AC774" i="9" s="1"/>
  <c r="AI773" i="9"/>
  <c r="AH773" i="9"/>
  <c r="AG773" i="9"/>
  <c r="AF773" i="9"/>
  <c r="AE773" i="9"/>
  <c r="AD773" i="9"/>
  <c r="AA773" i="9"/>
  <c r="Z773" i="9"/>
  <c r="Y773" i="9"/>
  <c r="X773" i="9"/>
  <c r="W773" i="9"/>
  <c r="U773" i="9"/>
  <c r="AC773" i="9" s="1"/>
  <c r="AI772" i="9"/>
  <c r="AH772" i="9"/>
  <c r="AG772" i="9"/>
  <c r="AF772" i="9"/>
  <c r="AE772" i="9"/>
  <c r="AD772" i="9"/>
  <c r="AA772" i="9"/>
  <c r="Z772" i="9"/>
  <c r="Y772" i="9"/>
  <c r="X772" i="9"/>
  <c r="W772" i="9"/>
  <c r="U772" i="9"/>
  <c r="AC772" i="9" s="1"/>
  <c r="AI771" i="9"/>
  <c r="AH771" i="9"/>
  <c r="AG771" i="9"/>
  <c r="AF771" i="9"/>
  <c r="AE771" i="9"/>
  <c r="AD771" i="9"/>
  <c r="AA771" i="9"/>
  <c r="Z771" i="9"/>
  <c r="Y771" i="9"/>
  <c r="X771" i="9"/>
  <c r="W771" i="9"/>
  <c r="U771" i="9"/>
  <c r="AC771" i="9" s="1"/>
  <c r="AI770" i="9"/>
  <c r="AH770" i="9"/>
  <c r="AG770" i="9"/>
  <c r="AF770" i="9"/>
  <c r="AE770" i="9"/>
  <c r="AD770" i="9"/>
  <c r="AA770" i="9"/>
  <c r="Z770" i="9"/>
  <c r="Y770" i="9"/>
  <c r="X770" i="9"/>
  <c r="W770" i="9"/>
  <c r="U770" i="9"/>
  <c r="AC770" i="9" s="1"/>
  <c r="AI769" i="9"/>
  <c r="AH769" i="9"/>
  <c r="AG769" i="9"/>
  <c r="AF769" i="9"/>
  <c r="AE769" i="9"/>
  <c r="AD769" i="9"/>
  <c r="AC769" i="9"/>
  <c r="AA769" i="9"/>
  <c r="Z769" i="9"/>
  <c r="Y769" i="9"/>
  <c r="X769" i="9"/>
  <c r="W769" i="9"/>
  <c r="U769" i="9"/>
  <c r="AI768" i="9"/>
  <c r="AH768" i="9"/>
  <c r="AG768" i="9"/>
  <c r="AF768" i="9"/>
  <c r="AE768" i="9"/>
  <c r="AD768" i="9"/>
  <c r="AC768" i="9"/>
  <c r="AA768" i="9"/>
  <c r="Z768" i="9"/>
  <c r="Y768" i="9"/>
  <c r="X768" i="9"/>
  <c r="W768" i="9"/>
  <c r="U768" i="9"/>
  <c r="AI767" i="9"/>
  <c r="AH767" i="9"/>
  <c r="AG767" i="9"/>
  <c r="AF767" i="9"/>
  <c r="AE767" i="9"/>
  <c r="AD767" i="9"/>
  <c r="AC767" i="9"/>
  <c r="AA767" i="9"/>
  <c r="Z767" i="9"/>
  <c r="Y767" i="9"/>
  <c r="X767" i="9"/>
  <c r="W767" i="9"/>
  <c r="U767" i="9"/>
  <c r="AI766" i="9"/>
  <c r="AH766" i="9"/>
  <c r="AG766" i="9"/>
  <c r="AF766" i="9"/>
  <c r="AE766" i="9"/>
  <c r="AD766" i="9"/>
  <c r="AC766" i="9"/>
  <c r="AA766" i="9"/>
  <c r="Z766" i="9"/>
  <c r="Y766" i="9"/>
  <c r="X766" i="9"/>
  <c r="W766" i="9"/>
  <c r="U766" i="9"/>
  <c r="AI765" i="9"/>
  <c r="AH765" i="9"/>
  <c r="AG765" i="9"/>
  <c r="AF765" i="9"/>
  <c r="AE765" i="9"/>
  <c r="AD765" i="9"/>
  <c r="AC765" i="9"/>
  <c r="AA765" i="9"/>
  <c r="Z765" i="9"/>
  <c r="Y765" i="9"/>
  <c r="X765" i="9"/>
  <c r="W765" i="9"/>
  <c r="U765" i="9"/>
  <c r="AI764" i="9"/>
  <c r="AH764" i="9"/>
  <c r="AG764" i="9"/>
  <c r="AF764" i="9"/>
  <c r="AE764" i="9"/>
  <c r="AD764" i="9"/>
  <c r="AC764" i="9"/>
  <c r="AA764" i="9"/>
  <c r="Z764" i="9"/>
  <c r="Y764" i="9"/>
  <c r="X764" i="9"/>
  <c r="W764" i="9"/>
  <c r="U764" i="9"/>
  <c r="AI763" i="9"/>
  <c r="AH763" i="9"/>
  <c r="AG763" i="9"/>
  <c r="AF763" i="9"/>
  <c r="AE763" i="9"/>
  <c r="AD763" i="9"/>
  <c r="AA763" i="9"/>
  <c r="Z763" i="9"/>
  <c r="Y763" i="9"/>
  <c r="X763" i="9"/>
  <c r="W763" i="9"/>
  <c r="U763" i="9"/>
  <c r="AC763" i="9" s="1"/>
  <c r="AI762" i="9"/>
  <c r="AH762" i="9"/>
  <c r="AG762" i="9"/>
  <c r="AF762" i="9"/>
  <c r="AE762" i="9"/>
  <c r="AD762" i="9"/>
  <c r="AA762" i="9"/>
  <c r="Z762" i="9"/>
  <c r="Y762" i="9"/>
  <c r="X762" i="9"/>
  <c r="W762" i="9"/>
  <c r="U762" i="9"/>
  <c r="AC762" i="9" s="1"/>
  <c r="AI761" i="9"/>
  <c r="AH761" i="9"/>
  <c r="AG761" i="9"/>
  <c r="AF761" i="9"/>
  <c r="AE761" i="9"/>
  <c r="AD761" i="9"/>
  <c r="AA761" i="9"/>
  <c r="Z761" i="9"/>
  <c r="Y761" i="9"/>
  <c r="X761" i="9"/>
  <c r="W761" i="9"/>
  <c r="U761" i="9"/>
  <c r="AC761" i="9" s="1"/>
  <c r="AI760" i="9"/>
  <c r="AH760" i="9"/>
  <c r="AG760" i="9"/>
  <c r="AF760" i="9"/>
  <c r="AE760" i="9"/>
  <c r="AD760" i="9"/>
  <c r="AA760" i="9"/>
  <c r="Z760" i="9"/>
  <c r="Y760" i="9"/>
  <c r="X760" i="9"/>
  <c r="W760" i="9"/>
  <c r="U760" i="9"/>
  <c r="AC760" i="9" s="1"/>
  <c r="AI759" i="9"/>
  <c r="AH759" i="9"/>
  <c r="AG759" i="9"/>
  <c r="AF759" i="9"/>
  <c r="AE759" i="9"/>
  <c r="AD759" i="9"/>
  <c r="AA759" i="9"/>
  <c r="Z759" i="9"/>
  <c r="Y759" i="9"/>
  <c r="X759" i="9"/>
  <c r="W759" i="9"/>
  <c r="U759" i="9"/>
  <c r="AC759" i="9" s="1"/>
  <c r="AI758" i="9"/>
  <c r="AH758" i="9"/>
  <c r="AG758" i="9"/>
  <c r="AF758" i="9"/>
  <c r="AE758" i="9"/>
  <c r="AD758" i="9"/>
  <c r="AA758" i="9"/>
  <c r="Z758" i="9"/>
  <c r="Y758" i="9"/>
  <c r="X758" i="9"/>
  <c r="W758" i="9"/>
  <c r="U758" i="9"/>
  <c r="AC758" i="9" s="1"/>
  <c r="AI757" i="9"/>
  <c r="AH757" i="9"/>
  <c r="AG757" i="9"/>
  <c r="AF757" i="9"/>
  <c r="AE757" i="9"/>
  <c r="AD757" i="9"/>
  <c r="AC757" i="9"/>
  <c r="AA757" i="9"/>
  <c r="Z757" i="9"/>
  <c r="Y757" i="9"/>
  <c r="X757" i="9"/>
  <c r="W757" i="9"/>
  <c r="U757" i="9"/>
  <c r="AI756" i="9"/>
  <c r="AH756" i="9"/>
  <c r="AG756" i="9"/>
  <c r="AF756" i="9"/>
  <c r="AE756" i="9"/>
  <c r="AD756" i="9"/>
  <c r="AC756" i="9"/>
  <c r="AA756" i="9"/>
  <c r="Z756" i="9"/>
  <c r="Y756" i="9"/>
  <c r="X756" i="9"/>
  <c r="W756" i="9"/>
  <c r="U756" i="9"/>
  <c r="AI755" i="9"/>
  <c r="AH755" i="9"/>
  <c r="AG755" i="9"/>
  <c r="AF755" i="9"/>
  <c r="AE755" i="9"/>
  <c r="AD755" i="9"/>
  <c r="AC755" i="9"/>
  <c r="AA755" i="9"/>
  <c r="Z755" i="9"/>
  <c r="Y755" i="9"/>
  <c r="X755" i="9"/>
  <c r="W755" i="9"/>
  <c r="U755" i="9"/>
  <c r="AI754" i="9"/>
  <c r="AH754" i="9"/>
  <c r="AG754" i="9"/>
  <c r="AF754" i="9"/>
  <c r="AE754" i="9"/>
  <c r="AD754" i="9"/>
  <c r="AC754" i="9"/>
  <c r="AA754" i="9"/>
  <c r="Z754" i="9"/>
  <c r="Y754" i="9"/>
  <c r="X754" i="9"/>
  <c r="W754" i="9"/>
  <c r="U754" i="9"/>
  <c r="AI753" i="9"/>
  <c r="AH753" i="9"/>
  <c r="AG753" i="9"/>
  <c r="AF753" i="9"/>
  <c r="AE753" i="9"/>
  <c r="AD753" i="9"/>
  <c r="AC753" i="9"/>
  <c r="AA753" i="9"/>
  <c r="Z753" i="9"/>
  <c r="Y753" i="9"/>
  <c r="X753" i="9"/>
  <c r="W753" i="9"/>
  <c r="U753" i="9"/>
  <c r="AI752" i="9"/>
  <c r="AH752" i="9"/>
  <c r="AG752" i="9"/>
  <c r="AF752" i="9"/>
  <c r="AE752" i="9"/>
  <c r="AD752" i="9"/>
  <c r="AC752" i="9"/>
  <c r="AA752" i="9"/>
  <c r="Z752" i="9"/>
  <c r="Y752" i="9"/>
  <c r="X752" i="9"/>
  <c r="W752" i="9"/>
  <c r="U752" i="9"/>
  <c r="AI751" i="9"/>
  <c r="AH751" i="9"/>
  <c r="AG751" i="9"/>
  <c r="AF751" i="9"/>
  <c r="AE751" i="9"/>
  <c r="AD751" i="9"/>
  <c r="AA751" i="9"/>
  <c r="Z751" i="9"/>
  <c r="Y751" i="9"/>
  <c r="X751" i="9"/>
  <c r="W751" i="9"/>
  <c r="U751" i="9"/>
  <c r="AC751" i="9" s="1"/>
  <c r="AI750" i="9"/>
  <c r="AH750" i="9"/>
  <c r="AG750" i="9"/>
  <c r="AF750" i="9"/>
  <c r="AE750" i="9"/>
  <c r="AD750" i="9"/>
  <c r="AA750" i="9"/>
  <c r="Z750" i="9"/>
  <c r="Y750" i="9"/>
  <c r="X750" i="9"/>
  <c r="W750" i="9"/>
  <c r="U750" i="9"/>
  <c r="AC750" i="9" s="1"/>
  <c r="AI749" i="9"/>
  <c r="AH749" i="9"/>
  <c r="AG749" i="9"/>
  <c r="AF749" i="9"/>
  <c r="AE749" i="9"/>
  <c r="AD749" i="9"/>
  <c r="AA749" i="9"/>
  <c r="Z749" i="9"/>
  <c r="Y749" i="9"/>
  <c r="X749" i="9"/>
  <c r="W749" i="9"/>
  <c r="U749" i="9"/>
  <c r="AC749" i="9" s="1"/>
  <c r="AI748" i="9"/>
  <c r="AH748" i="9"/>
  <c r="AG748" i="9"/>
  <c r="AF748" i="9"/>
  <c r="AE748" i="9"/>
  <c r="AD748" i="9"/>
  <c r="AA748" i="9"/>
  <c r="Z748" i="9"/>
  <c r="Y748" i="9"/>
  <c r="X748" i="9"/>
  <c r="W748" i="9"/>
  <c r="U748" i="9"/>
  <c r="AC748" i="9" s="1"/>
  <c r="AI747" i="9"/>
  <c r="AH747" i="9"/>
  <c r="AG747" i="9"/>
  <c r="AF747" i="9"/>
  <c r="AE747" i="9"/>
  <c r="AD747" i="9"/>
  <c r="AA747" i="9"/>
  <c r="Z747" i="9"/>
  <c r="Y747" i="9"/>
  <c r="X747" i="9"/>
  <c r="W747" i="9"/>
  <c r="U747" i="9"/>
  <c r="AC747" i="9" s="1"/>
  <c r="AI746" i="9"/>
  <c r="AH746" i="9"/>
  <c r="AG746" i="9"/>
  <c r="AF746" i="9"/>
  <c r="AE746" i="9"/>
  <c r="AD746" i="9"/>
  <c r="AA746" i="9"/>
  <c r="Z746" i="9"/>
  <c r="Y746" i="9"/>
  <c r="X746" i="9"/>
  <c r="W746" i="9"/>
  <c r="U746" i="9"/>
  <c r="AC746" i="9" s="1"/>
  <c r="AI745" i="9"/>
  <c r="AH745" i="9"/>
  <c r="AG745" i="9"/>
  <c r="AF745" i="9"/>
  <c r="AE745" i="9"/>
  <c r="AD745" i="9"/>
  <c r="AC745" i="9"/>
  <c r="AA745" i="9"/>
  <c r="Z745" i="9"/>
  <c r="Y745" i="9"/>
  <c r="X745" i="9"/>
  <c r="W745" i="9"/>
  <c r="U745" i="9"/>
  <c r="AI744" i="9"/>
  <c r="AH744" i="9"/>
  <c r="AG744" i="9"/>
  <c r="AF744" i="9"/>
  <c r="AE744" i="9"/>
  <c r="AD744" i="9"/>
  <c r="AC744" i="9"/>
  <c r="AA744" i="9"/>
  <c r="Z744" i="9"/>
  <c r="Y744" i="9"/>
  <c r="X744" i="9"/>
  <c r="W744" i="9"/>
  <c r="U744" i="9"/>
  <c r="AI743" i="9"/>
  <c r="AH743" i="9"/>
  <c r="AG743" i="9"/>
  <c r="AF743" i="9"/>
  <c r="AE743" i="9"/>
  <c r="AD743" i="9"/>
  <c r="AC743" i="9"/>
  <c r="AA743" i="9"/>
  <c r="Z743" i="9"/>
  <c r="Y743" i="9"/>
  <c r="X743" i="9"/>
  <c r="W743" i="9"/>
  <c r="U743" i="9"/>
  <c r="AI742" i="9"/>
  <c r="AH742" i="9"/>
  <c r="AG742" i="9"/>
  <c r="AF742" i="9"/>
  <c r="AE742" i="9"/>
  <c r="AD742" i="9"/>
  <c r="AC742" i="9"/>
  <c r="AA742" i="9"/>
  <c r="Z742" i="9"/>
  <c r="Y742" i="9"/>
  <c r="X742" i="9"/>
  <c r="W742" i="9"/>
  <c r="U742" i="9"/>
  <c r="AI741" i="9"/>
  <c r="AH741" i="9"/>
  <c r="AG741" i="9"/>
  <c r="AF741" i="9"/>
  <c r="AE741" i="9"/>
  <c r="AD741" i="9"/>
  <c r="AC741" i="9"/>
  <c r="AA741" i="9"/>
  <c r="Z741" i="9"/>
  <c r="Y741" i="9"/>
  <c r="X741" i="9"/>
  <c r="W741" i="9"/>
  <c r="U741" i="9"/>
  <c r="AI740" i="9"/>
  <c r="AH740" i="9"/>
  <c r="AG740" i="9"/>
  <c r="AF740" i="9"/>
  <c r="AE740" i="9"/>
  <c r="AD740" i="9"/>
  <c r="AC740" i="9"/>
  <c r="AA740" i="9"/>
  <c r="Z740" i="9"/>
  <c r="Y740" i="9"/>
  <c r="X740" i="9"/>
  <c r="W740" i="9"/>
  <c r="U740" i="9"/>
  <c r="AI739" i="9"/>
  <c r="AH739" i="9"/>
  <c r="AG739" i="9"/>
  <c r="AF739" i="9"/>
  <c r="AE739" i="9"/>
  <c r="AD739" i="9"/>
  <c r="AA739" i="9"/>
  <c r="Z739" i="9"/>
  <c r="Y739" i="9"/>
  <c r="X739" i="9"/>
  <c r="W739" i="9"/>
  <c r="U739" i="9"/>
  <c r="AC739" i="9" s="1"/>
  <c r="AI738" i="9"/>
  <c r="AH738" i="9"/>
  <c r="AG738" i="9"/>
  <c r="AF738" i="9"/>
  <c r="AE738" i="9"/>
  <c r="AD738" i="9"/>
  <c r="AA738" i="9"/>
  <c r="Z738" i="9"/>
  <c r="Y738" i="9"/>
  <c r="X738" i="9"/>
  <c r="W738" i="9"/>
  <c r="U738" i="9"/>
  <c r="AC738" i="9" s="1"/>
  <c r="AI737" i="9"/>
  <c r="AH737" i="9"/>
  <c r="AG737" i="9"/>
  <c r="AF737" i="9"/>
  <c r="AE737" i="9"/>
  <c r="AD737" i="9"/>
  <c r="AA737" i="9"/>
  <c r="Z737" i="9"/>
  <c r="Y737" i="9"/>
  <c r="X737" i="9"/>
  <c r="W737" i="9"/>
  <c r="U737" i="9"/>
  <c r="AC737" i="9" s="1"/>
  <c r="AI736" i="9"/>
  <c r="AH736" i="9"/>
  <c r="AG736" i="9"/>
  <c r="AF736" i="9"/>
  <c r="AE736" i="9"/>
  <c r="AD736" i="9"/>
  <c r="AA736" i="9"/>
  <c r="Z736" i="9"/>
  <c r="Y736" i="9"/>
  <c r="X736" i="9"/>
  <c r="W736" i="9"/>
  <c r="U736" i="9"/>
  <c r="AC736" i="9" s="1"/>
  <c r="AI735" i="9"/>
  <c r="AH735" i="9"/>
  <c r="AG735" i="9"/>
  <c r="AF735" i="9"/>
  <c r="AE735" i="9"/>
  <c r="AD735" i="9"/>
  <c r="AA735" i="9"/>
  <c r="Z735" i="9"/>
  <c r="Y735" i="9"/>
  <c r="X735" i="9"/>
  <c r="W735" i="9"/>
  <c r="U735" i="9"/>
  <c r="AC735" i="9" s="1"/>
  <c r="AI734" i="9"/>
  <c r="AH734" i="9"/>
  <c r="AG734" i="9"/>
  <c r="AF734" i="9"/>
  <c r="AE734" i="9"/>
  <c r="AD734" i="9"/>
  <c r="AA734" i="9"/>
  <c r="Z734" i="9"/>
  <c r="Y734" i="9"/>
  <c r="X734" i="9"/>
  <c r="W734" i="9"/>
  <c r="U734" i="9"/>
  <c r="AC734" i="9" s="1"/>
  <c r="AI733" i="9"/>
  <c r="AH733" i="9"/>
  <c r="AG733" i="9"/>
  <c r="AF733" i="9"/>
  <c r="AE733" i="9"/>
  <c r="AD733" i="9"/>
  <c r="AC733" i="9"/>
  <c r="AA733" i="9"/>
  <c r="Z733" i="9"/>
  <c r="Y733" i="9"/>
  <c r="X733" i="9"/>
  <c r="W733" i="9"/>
  <c r="U733" i="9"/>
  <c r="AI732" i="9"/>
  <c r="AH732" i="9"/>
  <c r="AG732" i="9"/>
  <c r="AF732" i="9"/>
  <c r="AE732" i="9"/>
  <c r="AD732" i="9"/>
  <c r="AC732" i="9"/>
  <c r="AA732" i="9"/>
  <c r="Z732" i="9"/>
  <c r="Y732" i="9"/>
  <c r="X732" i="9"/>
  <c r="W732" i="9"/>
  <c r="U732" i="9"/>
  <c r="AI731" i="9"/>
  <c r="AH731" i="9"/>
  <c r="AG731" i="9"/>
  <c r="AF731" i="9"/>
  <c r="AE731" i="9"/>
  <c r="AD731" i="9"/>
  <c r="AC731" i="9"/>
  <c r="AA731" i="9"/>
  <c r="Z731" i="9"/>
  <c r="Y731" i="9"/>
  <c r="X731" i="9"/>
  <c r="W731" i="9"/>
  <c r="U731" i="9"/>
  <c r="AI730" i="9"/>
  <c r="AH730" i="9"/>
  <c r="AG730" i="9"/>
  <c r="AF730" i="9"/>
  <c r="AE730" i="9"/>
  <c r="AD730" i="9"/>
  <c r="AC730" i="9"/>
  <c r="AA730" i="9"/>
  <c r="Z730" i="9"/>
  <c r="Y730" i="9"/>
  <c r="X730" i="9"/>
  <c r="W730" i="9"/>
  <c r="U730" i="9"/>
  <c r="AI729" i="9"/>
  <c r="AH729" i="9"/>
  <c r="AG729" i="9"/>
  <c r="AF729" i="9"/>
  <c r="AE729" i="9"/>
  <c r="AD729" i="9"/>
  <c r="AC729" i="9"/>
  <c r="AA729" i="9"/>
  <c r="Z729" i="9"/>
  <c r="Y729" i="9"/>
  <c r="X729" i="9"/>
  <c r="W729" i="9"/>
  <c r="U729" i="9"/>
  <c r="AI728" i="9"/>
  <c r="AH728" i="9"/>
  <c r="AG728" i="9"/>
  <c r="AF728" i="9"/>
  <c r="AE728" i="9"/>
  <c r="AD728" i="9"/>
  <c r="AC728" i="9"/>
  <c r="AA728" i="9"/>
  <c r="Z728" i="9"/>
  <c r="Y728" i="9"/>
  <c r="X728" i="9"/>
  <c r="W728" i="9"/>
  <c r="U728" i="9"/>
  <c r="AI727" i="9"/>
  <c r="AH727" i="9"/>
  <c r="AG727" i="9"/>
  <c r="AF727" i="9"/>
  <c r="AE727" i="9"/>
  <c r="AD727" i="9"/>
  <c r="AA727" i="9"/>
  <c r="Z727" i="9"/>
  <c r="Y727" i="9"/>
  <c r="X727" i="9"/>
  <c r="W727" i="9"/>
  <c r="U727" i="9"/>
  <c r="AC727" i="9" s="1"/>
  <c r="AI726" i="9"/>
  <c r="AH726" i="9"/>
  <c r="AG726" i="9"/>
  <c r="AF726" i="9"/>
  <c r="AE726" i="9"/>
  <c r="AD726" i="9"/>
  <c r="AA726" i="9"/>
  <c r="Z726" i="9"/>
  <c r="Y726" i="9"/>
  <c r="X726" i="9"/>
  <c r="W726" i="9"/>
  <c r="U726" i="9"/>
  <c r="AC726" i="9" s="1"/>
  <c r="AI725" i="9"/>
  <c r="AH725" i="9"/>
  <c r="AG725" i="9"/>
  <c r="AF725" i="9"/>
  <c r="AE725" i="9"/>
  <c r="AD725" i="9"/>
  <c r="AA725" i="9"/>
  <c r="Z725" i="9"/>
  <c r="Y725" i="9"/>
  <c r="X725" i="9"/>
  <c r="W725" i="9"/>
  <c r="U725" i="9"/>
  <c r="AC725" i="9" s="1"/>
  <c r="AI724" i="9"/>
  <c r="AH724" i="9"/>
  <c r="AG724" i="9"/>
  <c r="AF724" i="9"/>
  <c r="AE724" i="9"/>
  <c r="AD724" i="9"/>
  <c r="AA724" i="9"/>
  <c r="Z724" i="9"/>
  <c r="Y724" i="9"/>
  <c r="X724" i="9"/>
  <c r="W724" i="9"/>
  <c r="U724" i="9"/>
  <c r="AC724" i="9" s="1"/>
  <c r="AI723" i="9"/>
  <c r="AH723" i="9"/>
  <c r="AG723" i="9"/>
  <c r="AF723" i="9"/>
  <c r="AE723" i="9"/>
  <c r="AD723" i="9"/>
  <c r="AA723" i="9"/>
  <c r="Z723" i="9"/>
  <c r="Y723" i="9"/>
  <c r="X723" i="9"/>
  <c r="W723" i="9"/>
  <c r="U723" i="9"/>
  <c r="AC723" i="9" s="1"/>
  <c r="AI722" i="9"/>
  <c r="AH722" i="9"/>
  <c r="AG722" i="9"/>
  <c r="AF722" i="9"/>
  <c r="AE722" i="9"/>
  <c r="AD722" i="9"/>
  <c r="AA722" i="9"/>
  <c r="Z722" i="9"/>
  <c r="Y722" i="9"/>
  <c r="X722" i="9"/>
  <c r="W722" i="9"/>
  <c r="U722" i="9"/>
  <c r="AC722" i="9" s="1"/>
  <c r="AI721" i="9"/>
  <c r="AH721" i="9"/>
  <c r="AG721" i="9"/>
  <c r="AF721" i="9"/>
  <c r="AE721" i="9"/>
  <c r="AD721" i="9"/>
  <c r="AC721" i="9"/>
  <c r="AA721" i="9"/>
  <c r="Z721" i="9"/>
  <c r="Y721" i="9"/>
  <c r="X721" i="9"/>
  <c r="W721" i="9"/>
  <c r="U721" i="9"/>
  <c r="AI720" i="9"/>
  <c r="AH720" i="9"/>
  <c r="AG720" i="9"/>
  <c r="AF720" i="9"/>
  <c r="AE720" i="9"/>
  <c r="AD720" i="9"/>
  <c r="AC720" i="9"/>
  <c r="AA720" i="9"/>
  <c r="Z720" i="9"/>
  <c r="Y720" i="9"/>
  <c r="X720" i="9"/>
  <c r="W720" i="9"/>
  <c r="U720" i="9"/>
  <c r="AI719" i="9"/>
  <c r="AH719" i="9"/>
  <c r="AG719" i="9"/>
  <c r="AF719" i="9"/>
  <c r="AE719" i="9"/>
  <c r="AD719" i="9"/>
  <c r="AC719" i="9"/>
  <c r="AA719" i="9"/>
  <c r="Z719" i="9"/>
  <c r="Y719" i="9"/>
  <c r="X719" i="9"/>
  <c r="W719" i="9"/>
  <c r="U719" i="9"/>
  <c r="AI718" i="9"/>
  <c r="AH718" i="9"/>
  <c r="AG718" i="9"/>
  <c r="AF718" i="9"/>
  <c r="AE718" i="9"/>
  <c r="AD718" i="9"/>
  <c r="AC718" i="9"/>
  <c r="AA718" i="9"/>
  <c r="Z718" i="9"/>
  <c r="Y718" i="9"/>
  <c r="X718" i="9"/>
  <c r="W718" i="9"/>
  <c r="U718" i="9"/>
  <c r="AI717" i="9"/>
  <c r="AH717" i="9"/>
  <c r="AG717" i="9"/>
  <c r="AF717" i="9"/>
  <c r="AE717" i="9"/>
  <c r="AD717" i="9"/>
  <c r="AC717" i="9"/>
  <c r="AA717" i="9"/>
  <c r="Z717" i="9"/>
  <c r="Y717" i="9"/>
  <c r="X717" i="9"/>
  <c r="W717" i="9"/>
  <c r="U717" i="9"/>
  <c r="AI716" i="9"/>
  <c r="AH716" i="9"/>
  <c r="AG716" i="9"/>
  <c r="AF716" i="9"/>
  <c r="AE716" i="9"/>
  <c r="AD716" i="9"/>
  <c r="AC716" i="9"/>
  <c r="AA716" i="9"/>
  <c r="Z716" i="9"/>
  <c r="Y716" i="9"/>
  <c r="X716" i="9"/>
  <c r="W716" i="9"/>
  <c r="U716" i="9"/>
  <c r="AI715" i="9"/>
  <c r="AH715" i="9"/>
  <c r="AG715" i="9"/>
  <c r="AF715" i="9"/>
  <c r="AE715" i="9"/>
  <c r="AD715" i="9"/>
  <c r="AA715" i="9"/>
  <c r="Z715" i="9"/>
  <c r="Y715" i="9"/>
  <c r="X715" i="9"/>
  <c r="W715" i="9"/>
  <c r="U715" i="9"/>
  <c r="AC715" i="9" s="1"/>
  <c r="AI714" i="9"/>
  <c r="AH714" i="9"/>
  <c r="AG714" i="9"/>
  <c r="AF714" i="9"/>
  <c r="AE714" i="9"/>
  <c r="AD714" i="9"/>
  <c r="AA714" i="9"/>
  <c r="Z714" i="9"/>
  <c r="Y714" i="9"/>
  <c r="X714" i="9"/>
  <c r="W714" i="9"/>
  <c r="U714" i="9"/>
  <c r="AC714" i="9" s="1"/>
  <c r="AI713" i="9"/>
  <c r="AH713" i="9"/>
  <c r="AG713" i="9"/>
  <c r="AF713" i="9"/>
  <c r="AE713" i="9"/>
  <c r="AD713" i="9"/>
  <c r="AA713" i="9"/>
  <c r="Z713" i="9"/>
  <c r="Y713" i="9"/>
  <c r="X713" i="9"/>
  <c r="W713" i="9"/>
  <c r="U713" i="9"/>
  <c r="AC713" i="9" s="1"/>
  <c r="AI712" i="9"/>
  <c r="AH712" i="9"/>
  <c r="AG712" i="9"/>
  <c r="AF712" i="9"/>
  <c r="AE712" i="9"/>
  <c r="AD712" i="9"/>
  <c r="AA712" i="9"/>
  <c r="Z712" i="9"/>
  <c r="Y712" i="9"/>
  <c r="X712" i="9"/>
  <c r="W712" i="9"/>
  <c r="U712" i="9"/>
  <c r="AC712" i="9" s="1"/>
  <c r="AI711" i="9"/>
  <c r="AH711" i="9"/>
  <c r="AG711" i="9"/>
  <c r="AF711" i="9"/>
  <c r="AE711" i="9"/>
  <c r="AD711" i="9"/>
  <c r="AA711" i="9"/>
  <c r="Z711" i="9"/>
  <c r="Y711" i="9"/>
  <c r="X711" i="9"/>
  <c r="W711" i="9"/>
  <c r="U711" i="9"/>
  <c r="AC711" i="9" s="1"/>
  <c r="AI710" i="9"/>
  <c r="AH710" i="9"/>
  <c r="AG710" i="9"/>
  <c r="AF710" i="9"/>
  <c r="AE710" i="9"/>
  <c r="AD710" i="9"/>
  <c r="AA710" i="9"/>
  <c r="Z710" i="9"/>
  <c r="Y710" i="9"/>
  <c r="X710" i="9"/>
  <c r="W710" i="9"/>
  <c r="U710" i="9"/>
  <c r="AC710" i="9" s="1"/>
  <c r="AI709" i="9"/>
  <c r="AH709" i="9"/>
  <c r="AG709" i="9"/>
  <c r="AF709" i="9"/>
  <c r="AE709" i="9"/>
  <c r="AD709" i="9"/>
  <c r="AC709" i="9"/>
  <c r="AA709" i="9"/>
  <c r="Z709" i="9"/>
  <c r="Y709" i="9"/>
  <c r="X709" i="9"/>
  <c r="W709" i="9"/>
  <c r="U709" i="9"/>
  <c r="AI708" i="9"/>
  <c r="AH708" i="9"/>
  <c r="AG708" i="9"/>
  <c r="AF708" i="9"/>
  <c r="AE708" i="9"/>
  <c r="AD708" i="9"/>
  <c r="AC708" i="9"/>
  <c r="AA708" i="9"/>
  <c r="Z708" i="9"/>
  <c r="Y708" i="9"/>
  <c r="X708" i="9"/>
  <c r="W708" i="9"/>
  <c r="U708" i="9"/>
  <c r="AI707" i="9"/>
  <c r="AH707" i="9"/>
  <c r="AG707" i="9"/>
  <c r="AF707" i="9"/>
  <c r="AE707" i="9"/>
  <c r="AD707" i="9"/>
  <c r="AC707" i="9"/>
  <c r="AA707" i="9"/>
  <c r="Z707" i="9"/>
  <c r="Y707" i="9"/>
  <c r="X707" i="9"/>
  <c r="W707" i="9"/>
  <c r="U707" i="9"/>
  <c r="AI706" i="9"/>
  <c r="AH706" i="9"/>
  <c r="AG706" i="9"/>
  <c r="AF706" i="9"/>
  <c r="AE706" i="9"/>
  <c r="AD706" i="9"/>
  <c r="AC706" i="9"/>
  <c r="AA706" i="9"/>
  <c r="Z706" i="9"/>
  <c r="Y706" i="9"/>
  <c r="X706" i="9"/>
  <c r="W706" i="9"/>
  <c r="U706" i="9"/>
  <c r="AI705" i="9"/>
  <c r="AH705" i="9"/>
  <c r="AG705" i="9"/>
  <c r="AF705" i="9"/>
  <c r="AE705" i="9"/>
  <c r="AD705" i="9"/>
  <c r="AC705" i="9"/>
  <c r="AA705" i="9"/>
  <c r="Z705" i="9"/>
  <c r="Y705" i="9"/>
  <c r="X705" i="9"/>
  <c r="W705" i="9"/>
  <c r="U705" i="9"/>
  <c r="AI704" i="9"/>
  <c r="AH704" i="9"/>
  <c r="AG704" i="9"/>
  <c r="AF704" i="9"/>
  <c r="AE704" i="9"/>
  <c r="AD704" i="9"/>
  <c r="AC704" i="9"/>
  <c r="AA704" i="9"/>
  <c r="Z704" i="9"/>
  <c r="Y704" i="9"/>
  <c r="X704" i="9"/>
  <c r="W704" i="9"/>
  <c r="U704" i="9"/>
  <c r="AI703" i="9"/>
  <c r="AH703" i="9"/>
  <c r="AG703" i="9"/>
  <c r="AF703" i="9"/>
  <c r="AE703" i="9"/>
  <c r="AD703" i="9"/>
  <c r="AA703" i="9"/>
  <c r="Z703" i="9"/>
  <c r="Y703" i="9"/>
  <c r="X703" i="9"/>
  <c r="W703" i="9"/>
  <c r="U703" i="9"/>
  <c r="AC703" i="9" s="1"/>
  <c r="AI702" i="9"/>
  <c r="AH702" i="9"/>
  <c r="AG702" i="9"/>
  <c r="AF702" i="9"/>
  <c r="AE702" i="9"/>
  <c r="AD702" i="9"/>
  <c r="AA702" i="9"/>
  <c r="Z702" i="9"/>
  <c r="Y702" i="9"/>
  <c r="X702" i="9"/>
  <c r="W702" i="9"/>
  <c r="U702" i="9"/>
  <c r="AC702" i="9" s="1"/>
  <c r="AI701" i="9"/>
  <c r="AH701" i="9"/>
  <c r="AG701" i="9"/>
  <c r="AF701" i="9"/>
  <c r="AE701" i="9"/>
  <c r="AD701" i="9"/>
  <c r="AA701" i="9"/>
  <c r="Z701" i="9"/>
  <c r="Y701" i="9"/>
  <c r="X701" i="9"/>
  <c r="W701" i="9"/>
  <c r="U701" i="9"/>
  <c r="AC701" i="9" s="1"/>
  <c r="AI700" i="9"/>
  <c r="AH700" i="9"/>
  <c r="AG700" i="9"/>
  <c r="AF700" i="9"/>
  <c r="AE700" i="9"/>
  <c r="AD700" i="9"/>
  <c r="AA700" i="9"/>
  <c r="Z700" i="9"/>
  <c r="Y700" i="9"/>
  <c r="X700" i="9"/>
  <c r="W700" i="9"/>
  <c r="U700" i="9"/>
  <c r="AC700" i="9" s="1"/>
  <c r="AI699" i="9"/>
  <c r="AH699" i="9"/>
  <c r="AG699" i="9"/>
  <c r="AF699" i="9"/>
  <c r="AE699" i="9"/>
  <c r="AD699" i="9"/>
  <c r="AA699" i="9"/>
  <c r="Z699" i="9"/>
  <c r="Y699" i="9"/>
  <c r="X699" i="9"/>
  <c r="W699" i="9"/>
  <c r="U699" i="9"/>
  <c r="AC699" i="9" s="1"/>
  <c r="AI698" i="9"/>
  <c r="AH698" i="9"/>
  <c r="AG698" i="9"/>
  <c r="AF698" i="9"/>
  <c r="AE698" i="9"/>
  <c r="AD698" i="9"/>
  <c r="AA698" i="9"/>
  <c r="Z698" i="9"/>
  <c r="Y698" i="9"/>
  <c r="X698" i="9"/>
  <c r="W698" i="9"/>
  <c r="U698" i="9"/>
  <c r="AC698" i="9" s="1"/>
  <c r="AI697" i="9"/>
  <c r="AH697" i="9"/>
  <c r="AG697" i="9"/>
  <c r="AF697" i="9"/>
  <c r="AE697" i="9"/>
  <c r="AD697" i="9"/>
  <c r="AC697" i="9"/>
  <c r="AA697" i="9"/>
  <c r="Z697" i="9"/>
  <c r="Y697" i="9"/>
  <c r="X697" i="9"/>
  <c r="W697" i="9"/>
  <c r="U697" i="9"/>
  <c r="AI696" i="9"/>
  <c r="AH696" i="9"/>
  <c r="AG696" i="9"/>
  <c r="AF696" i="9"/>
  <c r="AE696" i="9"/>
  <c r="AD696" i="9"/>
  <c r="AC696" i="9"/>
  <c r="AA696" i="9"/>
  <c r="Z696" i="9"/>
  <c r="Y696" i="9"/>
  <c r="X696" i="9"/>
  <c r="W696" i="9"/>
  <c r="U696" i="9"/>
  <c r="AI695" i="9"/>
  <c r="AH695" i="9"/>
  <c r="AG695" i="9"/>
  <c r="AF695" i="9"/>
  <c r="AE695" i="9"/>
  <c r="AD695" i="9"/>
  <c r="AC695" i="9"/>
  <c r="AA695" i="9"/>
  <c r="Z695" i="9"/>
  <c r="Y695" i="9"/>
  <c r="X695" i="9"/>
  <c r="W695" i="9"/>
  <c r="U695" i="9"/>
  <c r="AI694" i="9"/>
  <c r="AH694" i="9"/>
  <c r="AG694" i="9"/>
  <c r="AF694" i="9"/>
  <c r="AE694" i="9"/>
  <c r="AD694" i="9"/>
  <c r="AC694" i="9"/>
  <c r="AA694" i="9"/>
  <c r="Z694" i="9"/>
  <c r="Y694" i="9"/>
  <c r="X694" i="9"/>
  <c r="W694" i="9"/>
  <c r="U694" i="9"/>
  <c r="AI693" i="9"/>
  <c r="AH693" i="9"/>
  <c r="AG693" i="9"/>
  <c r="AF693" i="9"/>
  <c r="AE693" i="9"/>
  <c r="AD693" i="9"/>
  <c r="AC693" i="9"/>
  <c r="AA693" i="9"/>
  <c r="Z693" i="9"/>
  <c r="Y693" i="9"/>
  <c r="X693" i="9"/>
  <c r="W693" i="9"/>
  <c r="U693" i="9"/>
  <c r="AI692" i="9"/>
  <c r="AH692" i="9"/>
  <c r="AG692" i="9"/>
  <c r="AF692" i="9"/>
  <c r="AE692" i="9"/>
  <c r="AD692" i="9"/>
  <c r="AC692" i="9"/>
  <c r="AA692" i="9"/>
  <c r="Z692" i="9"/>
  <c r="Y692" i="9"/>
  <c r="X692" i="9"/>
  <c r="W692" i="9"/>
  <c r="U692" i="9"/>
  <c r="AI691" i="9"/>
  <c r="AH691" i="9"/>
  <c r="AG691" i="9"/>
  <c r="AF691" i="9"/>
  <c r="AE691" i="9"/>
  <c r="AD691" i="9"/>
  <c r="AA691" i="9"/>
  <c r="Z691" i="9"/>
  <c r="Y691" i="9"/>
  <c r="X691" i="9"/>
  <c r="W691" i="9"/>
  <c r="U691" i="9"/>
  <c r="AC691" i="9" s="1"/>
  <c r="AI690" i="9"/>
  <c r="AH690" i="9"/>
  <c r="AG690" i="9"/>
  <c r="AF690" i="9"/>
  <c r="AE690" i="9"/>
  <c r="AD690" i="9"/>
  <c r="AA690" i="9"/>
  <c r="Z690" i="9"/>
  <c r="Y690" i="9"/>
  <c r="X690" i="9"/>
  <c r="W690" i="9"/>
  <c r="U690" i="9"/>
  <c r="AC690" i="9" s="1"/>
  <c r="AI689" i="9"/>
  <c r="AH689" i="9"/>
  <c r="AG689" i="9"/>
  <c r="AF689" i="9"/>
  <c r="AE689" i="9"/>
  <c r="AD689" i="9"/>
  <c r="AA689" i="9"/>
  <c r="Z689" i="9"/>
  <c r="Y689" i="9"/>
  <c r="X689" i="9"/>
  <c r="W689" i="9"/>
  <c r="U689" i="9"/>
  <c r="AC689" i="9" s="1"/>
  <c r="AI688" i="9"/>
  <c r="AH688" i="9"/>
  <c r="AG688" i="9"/>
  <c r="AF688" i="9"/>
  <c r="AE688" i="9"/>
  <c r="AD688" i="9"/>
  <c r="AA688" i="9"/>
  <c r="Z688" i="9"/>
  <c r="Y688" i="9"/>
  <c r="X688" i="9"/>
  <c r="W688" i="9"/>
  <c r="U688" i="9"/>
  <c r="AC688" i="9" s="1"/>
  <c r="AI687" i="9"/>
  <c r="AH687" i="9"/>
  <c r="AG687" i="9"/>
  <c r="AF687" i="9"/>
  <c r="AE687" i="9"/>
  <c r="AD687" i="9"/>
  <c r="AA687" i="9"/>
  <c r="Z687" i="9"/>
  <c r="Y687" i="9"/>
  <c r="X687" i="9"/>
  <c r="W687" i="9"/>
  <c r="U687" i="9"/>
  <c r="AC687" i="9" s="1"/>
  <c r="AI686" i="9"/>
  <c r="AH686" i="9"/>
  <c r="AG686" i="9"/>
  <c r="AF686" i="9"/>
  <c r="AE686" i="9"/>
  <c r="AD686" i="9"/>
  <c r="AA686" i="9"/>
  <c r="Z686" i="9"/>
  <c r="Y686" i="9"/>
  <c r="X686" i="9"/>
  <c r="W686" i="9"/>
  <c r="U686" i="9"/>
  <c r="AC686" i="9" s="1"/>
  <c r="AI685" i="9"/>
  <c r="AH685" i="9"/>
  <c r="AG685" i="9"/>
  <c r="AF685" i="9"/>
  <c r="AE685" i="9"/>
  <c r="AD685" i="9"/>
  <c r="AC685" i="9"/>
  <c r="AA685" i="9"/>
  <c r="Z685" i="9"/>
  <c r="Y685" i="9"/>
  <c r="X685" i="9"/>
  <c r="W685" i="9"/>
  <c r="U685" i="9"/>
  <c r="AI684" i="9"/>
  <c r="AH684" i="9"/>
  <c r="AG684" i="9"/>
  <c r="AF684" i="9"/>
  <c r="AE684" i="9"/>
  <c r="AD684" i="9"/>
  <c r="AC684" i="9"/>
  <c r="AA684" i="9"/>
  <c r="Z684" i="9"/>
  <c r="Y684" i="9"/>
  <c r="X684" i="9"/>
  <c r="W684" i="9"/>
  <c r="U684" i="9"/>
  <c r="AI683" i="9"/>
  <c r="AH683" i="9"/>
  <c r="AG683" i="9"/>
  <c r="AF683" i="9"/>
  <c r="AE683" i="9"/>
  <c r="AD683" i="9"/>
  <c r="AC683" i="9"/>
  <c r="AA683" i="9"/>
  <c r="Z683" i="9"/>
  <c r="Y683" i="9"/>
  <c r="X683" i="9"/>
  <c r="W683" i="9"/>
  <c r="U683" i="9"/>
  <c r="AI682" i="9"/>
  <c r="AH682" i="9"/>
  <c r="AG682" i="9"/>
  <c r="AF682" i="9"/>
  <c r="AE682" i="9"/>
  <c r="AD682" i="9"/>
  <c r="AC682" i="9"/>
  <c r="AA682" i="9"/>
  <c r="Z682" i="9"/>
  <c r="Y682" i="9"/>
  <c r="X682" i="9"/>
  <c r="W682" i="9"/>
  <c r="U682" i="9"/>
  <c r="AI681" i="9"/>
  <c r="AH681" i="9"/>
  <c r="AG681" i="9"/>
  <c r="AF681" i="9"/>
  <c r="AE681" i="9"/>
  <c r="AD681" i="9"/>
  <c r="AC681" i="9"/>
  <c r="AA681" i="9"/>
  <c r="Z681" i="9"/>
  <c r="Y681" i="9"/>
  <c r="X681" i="9"/>
  <c r="W681" i="9"/>
  <c r="U681" i="9"/>
  <c r="AI680" i="9"/>
  <c r="AH680" i="9"/>
  <c r="AG680" i="9"/>
  <c r="AF680" i="9"/>
  <c r="AE680" i="9"/>
  <c r="AD680" i="9"/>
  <c r="AC680" i="9"/>
  <c r="AA680" i="9"/>
  <c r="Z680" i="9"/>
  <c r="Y680" i="9"/>
  <c r="X680" i="9"/>
  <c r="W680" i="9"/>
  <c r="U680" i="9"/>
  <c r="AI679" i="9"/>
  <c r="AH679" i="9"/>
  <c r="AG679" i="9"/>
  <c r="AF679" i="9"/>
  <c r="AE679" i="9"/>
  <c r="AD679" i="9"/>
  <c r="AA679" i="9"/>
  <c r="Z679" i="9"/>
  <c r="Y679" i="9"/>
  <c r="X679" i="9"/>
  <c r="W679" i="9"/>
  <c r="U679" i="9"/>
  <c r="AC679" i="9" s="1"/>
  <c r="AI678" i="9"/>
  <c r="AH678" i="9"/>
  <c r="AG678" i="9"/>
  <c r="AF678" i="9"/>
  <c r="AE678" i="9"/>
  <c r="AD678" i="9"/>
  <c r="AA678" i="9"/>
  <c r="Z678" i="9"/>
  <c r="Y678" i="9"/>
  <c r="X678" i="9"/>
  <c r="W678" i="9"/>
  <c r="U678" i="9"/>
  <c r="AC678" i="9" s="1"/>
  <c r="AI677" i="9"/>
  <c r="AH677" i="9"/>
  <c r="AG677" i="9"/>
  <c r="AF677" i="9"/>
  <c r="AE677" i="9"/>
  <c r="AD677" i="9"/>
  <c r="AA677" i="9"/>
  <c r="Z677" i="9"/>
  <c r="Y677" i="9"/>
  <c r="X677" i="9"/>
  <c r="W677" i="9"/>
  <c r="U677" i="9"/>
  <c r="AC677" i="9" s="1"/>
  <c r="AI676" i="9"/>
  <c r="AH676" i="9"/>
  <c r="AG676" i="9"/>
  <c r="AF676" i="9"/>
  <c r="AE676" i="9"/>
  <c r="AD676" i="9"/>
  <c r="AA676" i="9"/>
  <c r="Z676" i="9"/>
  <c r="Y676" i="9"/>
  <c r="X676" i="9"/>
  <c r="W676" i="9"/>
  <c r="U676" i="9"/>
  <c r="AC676" i="9" s="1"/>
  <c r="AI675" i="9"/>
  <c r="AH675" i="9"/>
  <c r="AG675" i="9"/>
  <c r="AF675" i="9"/>
  <c r="AE675" i="9"/>
  <c r="AD675" i="9"/>
  <c r="AA675" i="9"/>
  <c r="Z675" i="9"/>
  <c r="Y675" i="9"/>
  <c r="X675" i="9"/>
  <c r="W675" i="9"/>
  <c r="U675" i="9"/>
  <c r="AC675" i="9" s="1"/>
  <c r="AI674" i="9"/>
  <c r="AH674" i="9"/>
  <c r="AG674" i="9"/>
  <c r="AF674" i="9"/>
  <c r="AE674" i="9"/>
  <c r="AD674" i="9"/>
  <c r="AA674" i="9"/>
  <c r="Z674" i="9"/>
  <c r="Y674" i="9"/>
  <c r="X674" i="9"/>
  <c r="W674" i="9"/>
  <c r="U674" i="9"/>
  <c r="AC674" i="9" s="1"/>
  <c r="AI673" i="9"/>
  <c r="AH673" i="9"/>
  <c r="AG673" i="9"/>
  <c r="AF673" i="9"/>
  <c r="AE673" i="9"/>
  <c r="AD673" i="9"/>
  <c r="AC673" i="9"/>
  <c r="AA673" i="9"/>
  <c r="Z673" i="9"/>
  <c r="Y673" i="9"/>
  <c r="X673" i="9"/>
  <c r="W673" i="9"/>
  <c r="U673" i="9"/>
  <c r="AI672" i="9"/>
  <c r="AH672" i="9"/>
  <c r="AG672" i="9"/>
  <c r="AF672" i="9"/>
  <c r="AE672" i="9"/>
  <c r="AD672" i="9"/>
  <c r="AC672" i="9"/>
  <c r="AA672" i="9"/>
  <c r="Z672" i="9"/>
  <c r="Y672" i="9"/>
  <c r="X672" i="9"/>
  <c r="W672" i="9"/>
  <c r="U672" i="9"/>
  <c r="AI671" i="9"/>
  <c r="AH671" i="9"/>
  <c r="AG671" i="9"/>
  <c r="AF671" i="9"/>
  <c r="AE671" i="9"/>
  <c r="AD671" i="9"/>
  <c r="AC671" i="9"/>
  <c r="AA671" i="9"/>
  <c r="Z671" i="9"/>
  <c r="Y671" i="9"/>
  <c r="X671" i="9"/>
  <c r="W671" i="9"/>
  <c r="U671" i="9"/>
  <c r="AI670" i="9"/>
  <c r="AH670" i="9"/>
  <c r="AG670" i="9"/>
  <c r="AF670" i="9"/>
  <c r="AE670" i="9"/>
  <c r="AD670" i="9"/>
  <c r="AC670" i="9"/>
  <c r="AA670" i="9"/>
  <c r="Z670" i="9"/>
  <c r="Y670" i="9"/>
  <c r="X670" i="9"/>
  <c r="W670" i="9"/>
  <c r="U670" i="9"/>
  <c r="AI669" i="9"/>
  <c r="AH669" i="9"/>
  <c r="AG669" i="9"/>
  <c r="AF669" i="9"/>
  <c r="AE669" i="9"/>
  <c r="AD669" i="9"/>
  <c r="AC669" i="9"/>
  <c r="AA669" i="9"/>
  <c r="Z669" i="9"/>
  <c r="Y669" i="9"/>
  <c r="X669" i="9"/>
  <c r="W669" i="9"/>
  <c r="U669" i="9"/>
  <c r="AI668" i="9"/>
  <c r="AH668" i="9"/>
  <c r="AG668" i="9"/>
  <c r="AF668" i="9"/>
  <c r="AE668" i="9"/>
  <c r="AD668" i="9"/>
  <c r="AC668" i="9"/>
  <c r="AA668" i="9"/>
  <c r="Z668" i="9"/>
  <c r="Y668" i="9"/>
  <c r="X668" i="9"/>
  <c r="W668" i="9"/>
  <c r="U668" i="9"/>
  <c r="AI667" i="9"/>
  <c r="AH667" i="9"/>
  <c r="AG667" i="9"/>
  <c r="AF667" i="9"/>
  <c r="AE667" i="9"/>
  <c r="AD667" i="9"/>
  <c r="AA667" i="9"/>
  <c r="Z667" i="9"/>
  <c r="Y667" i="9"/>
  <c r="X667" i="9"/>
  <c r="W667" i="9"/>
  <c r="U667" i="9"/>
  <c r="AC667" i="9" s="1"/>
  <c r="AI666" i="9"/>
  <c r="AH666" i="9"/>
  <c r="AG666" i="9"/>
  <c r="AF666" i="9"/>
  <c r="AE666" i="9"/>
  <c r="AD666" i="9"/>
  <c r="AA666" i="9"/>
  <c r="Z666" i="9"/>
  <c r="Y666" i="9"/>
  <c r="X666" i="9"/>
  <c r="W666" i="9"/>
  <c r="U666" i="9"/>
  <c r="AC666" i="9" s="1"/>
  <c r="AI665" i="9"/>
  <c r="AH665" i="9"/>
  <c r="AG665" i="9"/>
  <c r="AF665" i="9"/>
  <c r="AE665" i="9"/>
  <c r="AD665" i="9"/>
  <c r="AA665" i="9"/>
  <c r="Z665" i="9"/>
  <c r="Y665" i="9"/>
  <c r="X665" i="9"/>
  <c r="W665" i="9"/>
  <c r="U665" i="9"/>
  <c r="AC665" i="9" s="1"/>
  <c r="AI664" i="9"/>
  <c r="AH664" i="9"/>
  <c r="AG664" i="9"/>
  <c r="AF664" i="9"/>
  <c r="AE664" i="9"/>
  <c r="AD664" i="9"/>
  <c r="AA664" i="9"/>
  <c r="Z664" i="9"/>
  <c r="Y664" i="9"/>
  <c r="X664" i="9"/>
  <c r="W664" i="9"/>
  <c r="U664" i="9"/>
  <c r="AC664" i="9" s="1"/>
  <c r="AI663" i="9"/>
  <c r="AH663" i="9"/>
  <c r="AG663" i="9"/>
  <c r="AF663" i="9"/>
  <c r="AE663" i="9"/>
  <c r="AD663" i="9"/>
  <c r="AA663" i="9"/>
  <c r="Z663" i="9"/>
  <c r="Y663" i="9"/>
  <c r="X663" i="9"/>
  <c r="W663" i="9"/>
  <c r="U663" i="9"/>
  <c r="AC663" i="9" s="1"/>
  <c r="AI662" i="9"/>
  <c r="AH662" i="9"/>
  <c r="AG662" i="9"/>
  <c r="AF662" i="9"/>
  <c r="AE662" i="9"/>
  <c r="AD662" i="9"/>
  <c r="AA662" i="9"/>
  <c r="Z662" i="9"/>
  <c r="Y662" i="9"/>
  <c r="X662" i="9"/>
  <c r="W662" i="9"/>
  <c r="U662" i="9"/>
  <c r="AC662" i="9" s="1"/>
  <c r="AI661" i="9"/>
  <c r="AH661" i="9"/>
  <c r="AG661" i="9"/>
  <c r="AF661" i="9"/>
  <c r="AE661" i="9"/>
  <c r="AD661" i="9"/>
  <c r="AC661" i="9"/>
  <c r="AA661" i="9"/>
  <c r="Z661" i="9"/>
  <c r="Y661" i="9"/>
  <c r="X661" i="9"/>
  <c r="W661" i="9"/>
  <c r="U661" i="9"/>
  <c r="AI660" i="9"/>
  <c r="AH660" i="9"/>
  <c r="AG660" i="9"/>
  <c r="AF660" i="9"/>
  <c r="AE660" i="9"/>
  <c r="AD660" i="9"/>
  <c r="AC660" i="9"/>
  <c r="AA660" i="9"/>
  <c r="Z660" i="9"/>
  <c r="Y660" i="9"/>
  <c r="X660" i="9"/>
  <c r="W660" i="9"/>
  <c r="U660" i="9"/>
  <c r="AI659" i="9"/>
  <c r="AH659" i="9"/>
  <c r="AG659" i="9"/>
  <c r="AF659" i="9"/>
  <c r="AE659" i="9"/>
  <c r="AD659" i="9"/>
  <c r="AC659" i="9"/>
  <c r="AA659" i="9"/>
  <c r="Z659" i="9"/>
  <c r="Y659" i="9"/>
  <c r="X659" i="9"/>
  <c r="W659" i="9"/>
  <c r="U659" i="9"/>
  <c r="AI658" i="9"/>
  <c r="AH658" i="9"/>
  <c r="AG658" i="9"/>
  <c r="AF658" i="9"/>
  <c r="AE658" i="9"/>
  <c r="AD658" i="9"/>
  <c r="AC658" i="9"/>
  <c r="AA658" i="9"/>
  <c r="Z658" i="9"/>
  <c r="Y658" i="9"/>
  <c r="X658" i="9"/>
  <c r="W658" i="9"/>
  <c r="U658" i="9"/>
  <c r="AI657" i="9"/>
  <c r="AH657" i="9"/>
  <c r="AG657" i="9"/>
  <c r="AF657" i="9"/>
  <c r="AE657" i="9"/>
  <c r="AD657" i="9"/>
  <c r="AC657" i="9"/>
  <c r="AA657" i="9"/>
  <c r="Z657" i="9"/>
  <c r="Y657" i="9"/>
  <c r="X657" i="9"/>
  <c r="W657" i="9"/>
  <c r="U657" i="9"/>
  <c r="AI656" i="9"/>
  <c r="AH656" i="9"/>
  <c r="AG656" i="9"/>
  <c r="AF656" i="9"/>
  <c r="AE656" i="9"/>
  <c r="AD656" i="9"/>
  <c r="AC656" i="9"/>
  <c r="AA656" i="9"/>
  <c r="Z656" i="9"/>
  <c r="Y656" i="9"/>
  <c r="X656" i="9"/>
  <c r="W656" i="9"/>
  <c r="U656" i="9"/>
  <c r="AI655" i="9"/>
  <c r="AH655" i="9"/>
  <c r="AG655" i="9"/>
  <c r="AF655" i="9"/>
  <c r="AE655" i="9"/>
  <c r="AD655" i="9"/>
  <c r="AA655" i="9"/>
  <c r="Z655" i="9"/>
  <c r="Y655" i="9"/>
  <c r="X655" i="9"/>
  <c r="W655" i="9"/>
  <c r="U655" i="9"/>
  <c r="AC655" i="9" s="1"/>
  <c r="AI654" i="9"/>
  <c r="AH654" i="9"/>
  <c r="AG654" i="9"/>
  <c r="AF654" i="9"/>
  <c r="AE654" i="9"/>
  <c r="AD654" i="9"/>
  <c r="AA654" i="9"/>
  <c r="Z654" i="9"/>
  <c r="Y654" i="9"/>
  <c r="X654" i="9"/>
  <c r="W654" i="9"/>
  <c r="U654" i="9"/>
  <c r="AC654" i="9" s="1"/>
  <c r="AI653" i="9"/>
  <c r="AH653" i="9"/>
  <c r="AG653" i="9"/>
  <c r="AF653" i="9"/>
  <c r="AE653" i="9"/>
  <c r="AD653" i="9"/>
  <c r="AA653" i="9"/>
  <c r="Z653" i="9"/>
  <c r="Y653" i="9"/>
  <c r="X653" i="9"/>
  <c r="W653" i="9"/>
  <c r="U653" i="9"/>
  <c r="AC653" i="9" s="1"/>
  <c r="AI652" i="9"/>
  <c r="AH652" i="9"/>
  <c r="AG652" i="9"/>
  <c r="AF652" i="9"/>
  <c r="AE652" i="9"/>
  <c r="AD652" i="9"/>
  <c r="AA652" i="9"/>
  <c r="Z652" i="9"/>
  <c r="Y652" i="9"/>
  <c r="X652" i="9"/>
  <c r="W652" i="9"/>
  <c r="U652" i="9"/>
  <c r="AC652" i="9" s="1"/>
  <c r="AI651" i="9"/>
  <c r="AH651" i="9"/>
  <c r="AG651" i="9"/>
  <c r="AF651" i="9"/>
  <c r="AE651" i="9"/>
  <c r="AD651" i="9"/>
  <c r="AA651" i="9"/>
  <c r="Z651" i="9"/>
  <c r="Y651" i="9"/>
  <c r="X651" i="9"/>
  <c r="W651" i="9"/>
  <c r="U651" i="9"/>
  <c r="AC651" i="9" s="1"/>
  <c r="AI650" i="9"/>
  <c r="AH650" i="9"/>
  <c r="AG650" i="9"/>
  <c r="AF650" i="9"/>
  <c r="AE650" i="9"/>
  <c r="AD650" i="9"/>
  <c r="AA650" i="9"/>
  <c r="Z650" i="9"/>
  <c r="Y650" i="9"/>
  <c r="X650" i="9"/>
  <c r="W650" i="9"/>
  <c r="U650" i="9"/>
  <c r="AC650" i="9" s="1"/>
  <c r="AI649" i="9"/>
  <c r="AH649" i="9"/>
  <c r="AG649" i="9"/>
  <c r="AF649" i="9"/>
  <c r="AE649" i="9"/>
  <c r="AD649" i="9"/>
  <c r="AC649" i="9"/>
  <c r="AA649" i="9"/>
  <c r="Z649" i="9"/>
  <c r="Y649" i="9"/>
  <c r="X649" i="9"/>
  <c r="W649" i="9"/>
  <c r="U649" i="9"/>
  <c r="AI648" i="9"/>
  <c r="AH648" i="9"/>
  <c r="AG648" i="9"/>
  <c r="AF648" i="9"/>
  <c r="AE648" i="9"/>
  <c r="AD648" i="9"/>
  <c r="AC648" i="9"/>
  <c r="AA648" i="9"/>
  <c r="Z648" i="9"/>
  <c r="Y648" i="9"/>
  <c r="X648" i="9"/>
  <c r="W648" i="9"/>
  <c r="U648" i="9"/>
  <c r="AI647" i="9"/>
  <c r="AH647" i="9"/>
  <c r="AG647" i="9"/>
  <c r="AF647" i="9"/>
  <c r="AE647" i="9"/>
  <c r="AD647" i="9"/>
  <c r="AC647" i="9"/>
  <c r="AA647" i="9"/>
  <c r="Z647" i="9"/>
  <c r="Y647" i="9"/>
  <c r="X647" i="9"/>
  <c r="W647" i="9"/>
  <c r="U647" i="9"/>
  <c r="AI646" i="9"/>
  <c r="AH646" i="9"/>
  <c r="AG646" i="9"/>
  <c r="AF646" i="9"/>
  <c r="AE646" i="9"/>
  <c r="AD646" i="9"/>
  <c r="AC646" i="9"/>
  <c r="AA646" i="9"/>
  <c r="Z646" i="9"/>
  <c r="Y646" i="9"/>
  <c r="X646" i="9"/>
  <c r="W646" i="9"/>
  <c r="U646" i="9"/>
  <c r="AI645" i="9"/>
  <c r="AH645" i="9"/>
  <c r="AG645" i="9"/>
  <c r="AF645" i="9"/>
  <c r="AE645" i="9"/>
  <c r="AD645" i="9"/>
  <c r="AC645" i="9"/>
  <c r="AA645" i="9"/>
  <c r="Z645" i="9"/>
  <c r="Y645" i="9"/>
  <c r="X645" i="9"/>
  <c r="W645" i="9"/>
  <c r="U645" i="9"/>
  <c r="AI644" i="9"/>
  <c r="AH644" i="9"/>
  <c r="AG644" i="9"/>
  <c r="AF644" i="9"/>
  <c r="AE644" i="9"/>
  <c r="AD644" i="9"/>
  <c r="AC644" i="9"/>
  <c r="AA644" i="9"/>
  <c r="Z644" i="9"/>
  <c r="Y644" i="9"/>
  <c r="X644" i="9"/>
  <c r="W644" i="9"/>
  <c r="U644" i="9"/>
  <c r="AI643" i="9"/>
  <c r="AH643" i="9"/>
  <c r="AG643" i="9"/>
  <c r="AF643" i="9"/>
  <c r="AE643" i="9"/>
  <c r="AD643" i="9"/>
  <c r="AA643" i="9"/>
  <c r="Z643" i="9"/>
  <c r="Y643" i="9"/>
  <c r="X643" i="9"/>
  <c r="W643" i="9"/>
  <c r="U643" i="9"/>
  <c r="AC643" i="9" s="1"/>
  <c r="AI642" i="9"/>
  <c r="AH642" i="9"/>
  <c r="AG642" i="9"/>
  <c r="AF642" i="9"/>
  <c r="AE642" i="9"/>
  <c r="AD642" i="9"/>
  <c r="AA642" i="9"/>
  <c r="Z642" i="9"/>
  <c r="Y642" i="9"/>
  <c r="X642" i="9"/>
  <c r="W642" i="9"/>
  <c r="U642" i="9"/>
  <c r="AC642" i="9" s="1"/>
  <c r="AI641" i="9"/>
  <c r="AH641" i="9"/>
  <c r="AG641" i="9"/>
  <c r="AF641" i="9"/>
  <c r="AE641" i="9"/>
  <c r="AD641" i="9"/>
  <c r="AA641" i="9"/>
  <c r="Z641" i="9"/>
  <c r="Y641" i="9"/>
  <c r="X641" i="9"/>
  <c r="W641" i="9"/>
  <c r="U641" i="9"/>
  <c r="AC641" i="9" s="1"/>
  <c r="AI640" i="9"/>
  <c r="AH640" i="9"/>
  <c r="AG640" i="9"/>
  <c r="AF640" i="9"/>
  <c r="AE640" i="9"/>
  <c r="AD640" i="9"/>
  <c r="AA640" i="9"/>
  <c r="Z640" i="9"/>
  <c r="Y640" i="9"/>
  <c r="X640" i="9"/>
  <c r="W640" i="9"/>
  <c r="U640" i="9"/>
  <c r="AC640" i="9" s="1"/>
  <c r="AI639" i="9"/>
  <c r="AH639" i="9"/>
  <c r="AG639" i="9"/>
  <c r="AF639" i="9"/>
  <c r="AE639" i="9"/>
  <c r="AD639" i="9"/>
  <c r="AA639" i="9"/>
  <c r="Z639" i="9"/>
  <c r="Y639" i="9"/>
  <c r="X639" i="9"/>
  <c r="W639" i="9"/>
  <c r="U639" i="9"/>
  <c r="AC639" i="9" s="1"/>
  <c r="AI638" i="9"/>
  <c r="AH638" i="9"/>
  <c r="AG638" i="9"/>
  <c r="AF638" i="9"/>
  <c r="AE638" i="9"/>
  <c r="AD638" i="9"/>
  <c r="AA638" i="9"/>
  <c r="Z638" i="9"/>
  <c r="Y638" i="9"/>
  <c r="X638" i="9"/>
  <c r="W638" i="9"/>
  <c r="U638" i="9"/>
  <c r="AC638" i="9" s="1"/>
  <c r="AI637" i="9"/>
  <c r="AH637" i="9"/>
  <c r="AG637" i="9"/>
  <c r="AF637" i="9"/>
  <c r="AE637" i="9"/>
  <c r="AD637" i="9"/>
  <c r="AC637" i="9"/>
  <c r="AA637" i="9"/>
  <c r="Z637" i="9"/>
  <c r="Y637" i="9"/>
  <c r="X637" i="9"/>
  <c r="W637" i="9"/>
  <c r="U637" i="9"/>
  <c r="AI636" i="9"/>
  <c r="AH636" i="9"/>
  <c r="AG636" i="9"/>
  <c r="AF636" i="9"/>
  <c r="AE636" i="9"/>
  <c r="AD636" i="9"/>
  <c r="AC636" i="9"/>
  <c r="AA636" i="9"/>
  <c r="Z636" i="9"/>
  <c r="Y636" i="9"/>
  <c r="X636" i="9"/>
  <c r="W636" i="9"/>
  <c r="U636" i="9"/>
  <c r="AI635" i="9"/>
  <c r="AH635" i="9"/>
  <c r="AG635" i="9"/>
  <c r="AF635" i="9"/>
  <c r="AE635" i="9"/>
  <c r="AD635" i="9"/>
  <c r="AC635" i="9"/>
  <c r="AA635" i="9"/>
  <c r="Z635" i="9"/>
  <c r="Y635" i="9"/>
  <c r="X635" i="9"/>
  <c r="W635" i="9"/>
  <c r="U635" i="9"/>
  <c r="AI634" i="9"/>
  <c r="AH634" i="9"/>
  <c r="AG634" i="9"/>
  <c r="AF634" i="9"/>
  <c r="AE634" i="9"/>
  <c r="AD634" i="9"/>
  <c r="AC634" i="9"/>
  <c r="AA634" i="9"/>
  <c r="Z634" i="9"/>
  <c r="Y634" i="9"/>
  <c r="X634" i="9"/>
  <c r="W634" i="9"/>
  <c r="U634" i="9"/>
  <c r="AI633" i="9"/>
  <c r="AH633" i="9"/>
  <c r="AG633" i="9"/>
  <c r="AF633" i="9"/>
  <c r="AE633" i="9"/>
  <c r="AD633" i="9"/>
  <c r="AC633" i="9"/>
  <c r="AA633" i="9"/>
  <c r="Z633" i="9"/>
  <c r="Y633" i="9"/>
  <c r="X633" i="9"/>
  <c r="W633" i="9"/>
  <c r="U633" i="9"/>
  <c r="AI632" i="9"/>
  <c r="AH632" i="9"/>
  <c r="AG632" i="9"/>
  <c r="AF632" i="9"/>
  <c r="AE632" i="9"/>
  <c r="AD632" i="9"/>
  <c r="AC632" i="9"/>
  <c r="AA632" i="9"/>
  <c r="Z632" i="9"/>
  <c r="Y632" i="9"/>
  <c r="X632" i="9"/>
  <c r="W632" i="9"/>
  <c r="U632" i="9"/>
  <c r="AI631" i="9"/>
  <c r="AH631" i="9"/>
  <c r="AG631" i="9"/>
  <c r="AF631" i="9"/>
  <c r="AE631" i="9"/>
  <c r="AD631" i="9"/>
  <c r="AA631" i="9"/>
  <c r="Z631" i="9"/>
  <c r="Y631" i="9"/>
  <c r="X631" i="9"/>
  <c r="W631" i="9"/>
  <c r="U631" i="9"/>
  <c r="AC631" i="9" s="1"/>
  <c r="AI630" i="9"/>
  <c r="AH630" i="9"/>
  <c r="AG630" i="9"/>
  <c r="AF630" i="9"/>
  <c r="AE630" i="9"/>
  <c r="AD630" i="9"/>
  <c r="AA630" i="9"/>
  <c r="Z630" i="9"/>
  <c r="Y630" i="9"/>
  <c r="X630" i="9"/>
  <c r="W630" i="9"/>
  <c r="U630" i="9"/>
  <c r="AC630" i="9" s="1"/>
  <c r="AI629" i="9"/>
  <c r="AH629" i="9"/>
  <c r="AG629" i="9"/>
  <c r="AF629" i="9"/>
  <c r="AE629" i="9"/>
  <c r="AD629" i="9"/>
  <c r="AA629" i="9"/>
  <c r="Z629" i="9"/>
  <c r="Y629" i="9"/>
  <c r="X629" i="9"/>
  <c r="W629" i="9"/>
  <c r="U629" i="9"/>
  <c r="AC629" i="9" s="1"/>
  <c r="AI628" i="9"/>
  <c r="AH628" i="9"/>
  <c r="AG628" i="9"/>
  <c r="AF628" i="9"/>
  <c r="AE628" i="9"/>
  <c r="AD628" i="9"/>
  <c r="AA628" i="9"/>
  <c r="Z628" i="9"/>
  <c r="Y628" i="9"/>
  <c r="X628" i="9"/>
  <c r="W628" i="9"/>
  <c r="U628" i="9"/>
  <c r="AC628" i="9" s="1"/>
  <c r="AI627" i="9"/>
  <c r="AH627" i="9"/>
  <c r="AG627" i="9"/>
  <c r="AF627" i="9"/>
  <c r="AE627" i="9"/>
  <c r="AD627" i="9"/>
  <c r="AA627" i="9"/>
  <c r="Z627" i="9"/>
  <c r="Y627" i="9"/>
  <c r="X627" i="9"/>
  <c r="W627" i="9"/>
  <c r="U627" i="9"/>
  <c r="AC627" i="9" s="1"/>
  <c r="AI626" i="9"/>
  <c r="AH626" i="9"/>
  <c r="AG626" i="9"/>
  <c r="AF626" i="9"/>
  <c r="AE626" i="9"/>
  <c r="AD626" i="9"/>
  <c r="AA626" i="9"/>
  <c r="Z626" i="9"/>
  <c r="Y626" i="9"/>
  <c r="X626" i="9"/>
  <c r="W626" i="9"/>
  <c r="U626" i="9"/>
  <c r="AC626" i="9" s="1"/>
  <c r="AI625" i="9"/>
  <c r="AH625" i="9"/>
  <c r="AG625" i="9"/>
  <c r="AF625" i="9"/>
  <c r="AE625" i="9"/>
  <c r="AD625" i="9"/>
  <c r="AC625" i="9"/>
  <c r="AA625" i="9"/>
  <c r="Z625" i="9"/>
  <c r="Y625" i="9"/>
  <c r="X625" i="9"/>
  <c r="W625" i="9"/>
  <c r="U625" i="9"/>
  <c r="AI624" i="9"/>
  <c r="AH624" i="9"/>
  <c r="AG624" i="9"/>
  <c r="AF624" i="9"/>
  <c r="AE624" i="9"/>
  <c r="AD624" i="9"/>
  <c r="AC624" i="9"/>
  <c r="AA624" i="9"/>
  <c r="Z624" i="9"/>
  <c r="Y624" i="9"/>
  <c r="X624" i="9"/>
  <c r="W624" i="9"/>
  <c r="U624" i="9"/>
  <c r="AI623" i="9"/>
  <c r="AH623" i="9"/>
  <c r="AG623" i="9"/>
  <c r="AF623" i="9"/>
  <c r="AE623" i="9"/>
  <c r="AD623" i="9"/>
  <c r="AC623" i="9"/>
  <c r="AA623" i="9"/>
  <c r="Z623" i="9"/>
  <c r="Y623" i="9"/>
  <c r="X623" i="9"/>
  <c r="W623" i="9"/>
  <c r="U623" i="9"/>
  <c r="AI622" i="9"/>
  <c r="AH622" i="9"/>
  <c r="AG622" i="9"/>
  <c r="AF622" i="9"/>
  <c r="AE622" i="9"/>
  <c r="AD622" i="9"/>
  <c r="AC622" i="9"/>
  <c r="AA622" i="9"/>
  <c r="Z622" i="9"/>
  <c r="Y622" i="9"/>
  <c r="X622" i="9"/>
  <c r="W622" i="9"/>
  <c r="U622" i="9"/>
  <c r="AI621" i="9"/>
  <c r="AH621" i="9"/>
  <c r="AG621" i="9"/>
  <c r="AF621" i="9"/>
  <c r="AE621" i="9"/>
  <c r="AD621" i="9"/>
  <c r="AC621" i="9"/>
  <c r="AA621" i="9"/>
  <c r="Z621" i="9"/>
  <c r="Y621" i="9"/>
  <c r="X621" i="9"/>
  <c r="W621" i="9"/>
  <c r="U621" i="9"/>
  <c r="AI620" i="9"/>
  <c r="AH620" i="9"/>
  <c r="AG620" i="9"/>
  <c r="AF620" i="9"/>
  <c r="AE620" i="9"/>
  <c r="AD620" i="9"/>
  <c r="AC620" i="9"/>
  <c r="AA620" i="9"/>
  <c r="Z620" i="9"/>
  <c r="Y620" i="9"/>
  <c r="X620" i="9"/>
  <c r="W620" i="9"/>
  <c r="U620" i="9"/>
  <c r="AI619" i="9"/>
  <c r="AH619" i="9"/>
  <c r="AG619" i="9"/>
  <c r="AF619" i="9"/>
  <c r="AE619" i="9"/>
  <c r="AD619" i="9"/>
  <c r="AA619" i="9"/>
  <c r="Z619" i="9"/>
  <c r="Y619" i="9"/>
  <c r="X619" i="9"/>
  <c r="W619" i="9"/>
  <c r="U619" i="9"/>
  <c r="AC619" i="9" s="1"/>
  <c r="AI618" i="9"/>
  <c r="AH618" i="9"/>
  <c r="AG618" i="9"/>
  <c r="AF618" i="9"/>
  <c r="AE618" i="9"/>
  <c r="AD618" i="9"/>
  <c r="AA618" i="9"/>
  <c r="Z618" i="9"/>
  <c r="Y618" i="9"/>
  <c r="X618" i="9"/>
  <c r="W618" i="9"/>
  <c r="U618" i="9"/>
  <c r="AC618" i="9" s="1"/>
  <c r="AI617" i="9"/>
  <c r="AH617" i="9"/>
  <c r="AG617" i="9"/>
  <c r="AF617" i="9"/>
  <c r="AE617" i="9"/>
  <c r="AD617" i="9"/>
  <c r="AA617" i="9"/>
  <c r="Z617" i="9"/>
  <c r="Y617" i="9"/>
  <c r="X617" i="9"/>
  <c r="W617" i="9"/>
  <c r="U617" i="9"/>
  <c r="AC617" i="9" s="1"/>
  <c r="AI616" i="9"/>
  <c r="AH616" i="9"/>
  <c r="AG616" i="9"/>
  <c r="AF616" i="9"/>
  <c r="AE616" i="9"/>
  <c r="AD616" i="9"/>
  <c r="AA616" i="9"/>
  <c r="Z616" i="9"/>
  <c r="Y616" i="9"/>
  <c r="X616" i="9"/>
  <c r="W616" i="9"/>
  <c r="U616" i="9"/>
  <c r="AC616" i="9" s="1"/>
  <c r="AI615" i="9"/>
  <c r="AH615" i="9"/>
  <c r="AG615" i="9"/>
  <c r="AF615" i="9"/>
  <c r="AE615" i="9"/>
  <c r="AD615" i="9"/>
  <c r="AA615" i="9"/>
  <c r="Z615" i="9"/>
  <c r="Y615" i="9"/>
  <c r="X615" i="9"/>
  <c r="W615" i="9"/>
  <c r="U615" i="9"/>
  <c r="AC615" i="9" s="1"/>
  <c r="AI614" i="9"/>
  <c r="AH614" i="9"/>
  <c r="AG614" i="9"/>
  <c r="AF614" i="9"/>
  <c r="AE614" i="9"/>
  <c r="AD614" i="9"/>
  <c r="AA614" i="9"/>
  <c r="Z614" i="9"/>
  <c r="Y614" i="9"/>
  <c r="X614" i="9"/>
  <c r="W614" i="9"/>
  <c r="U614" i="9"/>
  <c r="AC614" i="9" s="1"/>
  <c r="AI613" i="9"/>
  <c r="AH613" i="9"/>
  <c r="AG613" i="9"/>
  <c r="AF613" i="9"/>
  <c r="AE613" i="9"/>
  <c r="AD613" i="9"/>
  <c r="AC613" i="9"/>
  <c r="AA613" i="9"/>
  <c r="Z613" i="9"/>
  <c r="Y613" i="9"/>
  <c r="X613" i="9"/>
  <c r="W613" i="9"/>
  <c r="U613" i="9"/>
  <c r="AI612" i="9"/>
  <c r="AH612" i="9"/>
  <c r="AG612" i="9"/>
  <c r="AF612" i="9"/>
  <c r="AE612" i="9"/>
  <c r="AD612" i="9"/>
  <c r="AA612" i="9"/>
  <c r="Z612" i="9"/>
  <c r="Y612" i="9"/>
  <c r="X612" i="9"/>
  <c r="W612" i="9"/>
  <c r="U612" i="9"/>
  <c r="AC612" i="9" s="1"/>
  <c r="AI611" i="9"/>
  <c r="AH611" i="9"/>
  <c r="AG611" i="9"/>
  <c r="AF611" i="9"/>
  <c r="AE611" i="9"/>
  <c r="AD611" i="9"/>
  <c r="AC611" i="9"/>
  <c r="AA611" i="9"/>
  <c r="Z611" i="9"/>
  <c r="Y611" i="9"/>
  <c r="X611" i="9"/>
  <c r="W611" i="9"/>
  <c r="U611" i="9"/>
  <c r="AI610" i="9"/>
  <c r="AH610" i="9"/>
  <c r="AG610" i="9"/>
  <c r="AF610" i="9"/>
  <c r="AE610" i="9"/>
  <c r="AD610" i="9"/>
  <c r="AC610" i="9"/>
  <c r="AA610" i="9"/>
  <c r="Z610" i="9"/>
  <c r="Y610" i="9"/>
  <c r="X610" i="9"/>
  <c r="W610" i="9"/>
  <c r="U610" i="9"/>
  <c r="AI609" i="9"/>
  <c r="AH609" i="9"/>
  <c r="AG609" i="9"/>
  <c r="AF609" i="9"/>
  <c r="AE609" i="9"/>
  <c r="AD609" i="9"/>
  <c r="AC609" i="9"/>
  <c r="AA609" i="9"/>
  <c r="Z609" i="9"/>
  <c r="Y609" i="9"/>
  <c r="X609" i="9"/>
  <c r="W609" i="9"/>
  <c r="U609" i="9"/>
  <c r="AI608" i="9"/>
  <c r="AH608" i="9"/>
  <c r="AG608" i="9"/>
  <c r="AF608" i="9"/>
  <c r="AE608" i="9"/>
  <c r="AD608" i="9"/>
  <c r="AC608" i="9"/>
  <c r="AA608" i="9"/>
  <c r="Z608" i="9"/>
  <c r="Y608" i="9"/>
  <c r="X608" i="9"/>
  <c r="W608" i="9"/>
  <c r="U608" i="9"/>
  <c r="AI607" i="9"/>
  <c r="AH607" i="9"/>
  <c r="AG607" i="9"/>
  <c r="AF607" i="9"/>
  <c r="AE607" i="9"/>
  <c r="AD607" i="9"/>
  <c r="AA607" i="9"/>
  <c r="Z607" i="9"/>
  <c r="Y607" i="9"/>
  <c r="X607" i="9"/>
  <c r="W607" i="9"/>
  <c r="U607" i="9"/>
  <c r="AC607" i="9" s="1"/>
  <c r="AI606" i="9"/>
  <c r="AH606" i="9"/>
  <c r="AG606" i="9"/>
  <c r="AF606" i="9"/>
  <c r="AE606" i="9"/>
  <c r="AD606" i="9"/>
  <c r="AA606" i="9"/>
  <c r="Z606" i="9"/>
  <c r="Y606" i="9"/>
  <c r="X606" i="9"/>
  <c r="W606" i="9"/>
  <c r="U606" i="9"/>
  <c r="AC606" i="9" s="1"/>
  <c r="AI605" i="9"/>
  <c r="AH605" i="9"/>
  <c r="AG605" i="9"/>
  <c r="AF605" i="9"/>
  <c r="AE605" i="9"/>
  <c r="AD605" i="9"/>
  <c r="AA605" i="9"/>
  <c r="Z605" i="9"/>
  <c r="Y605" i="9"/>
  <c r="X605" i="9"/>
  <c r="W605" i="9"/>
  <c r="U605" i="9"/>
  <c r="AC605" i="9" s="1"/>
  <c r="AI604" i="9"/>
  <c r="AH604" i="9"/>
  <c r="AG604" i="9"/>
  <c r="AF604" i="9"/>
  <c r="AE604" i="9"/>
  <c r="AD604" i="9"/>
  <c r="AA604" i="9"/>
  <c r="Z604" i="9"/>
  <c r="Y604" i="9"/>
  <c r="X604" i="9"/>
  <c r="W604" i="9"/>
  <c r="U604" i="9"/>
  <c r="AC604" i="9" s="1"/>
  <c r="AI603" i="9"/>
  <c r="AH603" i="9"/>
  <c r="AG603" i="9"/>
  <c r="AF603" i="9"/>
  <c r="AE603" i="9"/>
  <c r="AD603" i="9"/>
  <c r="AA603" i="9"/>
  <c r="Z603" i="9"/>
  <c r="Y603" i="9"/>
  <c r="X603" i="9"/>
  <c r="W603" i="9"/>
  <c r="U603" i="9"/>
  <c r="AC603" i="9" s="1"/>
  <c r="AI602" i="9"/>
  <c r="AH602" i="9"/>
  <c r="AG602" i="9"/>
  <c r="AF602" i="9"/>
  <c r="AE602" i="9"/>
  <c r="AD602" i="9"/>
  <c r="AA602" i="9"/>
  <c r="Z602" i="9"/>
  <c r="Y602" i="9"/>
  <c r="X602" i="9"/>
  <c r="W602" i="9"/>
  <c r="U602" i="9"/>
  <c r="AC602" i="9" s="1"/>
  <c r="AI601" i="9"/>
  <c r="AH601" i="9"/>
  <c r="AG601" i="9"/>
  <c r="AF601" i="9"/>
  <c r="AE601" i="9"/>
  <c r="AD601" i="9"/>
  <c r="AC601" i="9"/>
  <c r="AA601" i="9"/>
  <c r="Z601" i="9"/>
  <c r="Y601" i="9"/>
  <c r="X601" i="9"/>
  <c r="W601" i="9"/>
  <c r="U601" i="9"/>
  <c r="AI600" i="9"/>
  <c r="AH600" i="9"/>
  <c r="AG600" i="9"/>
  <c r="AF600" i="9"/>
  <c r="AE600" i="9"/>
  <c r="AD600" i="9"/>
  <c r="AA600" i="9"/>
  <c r="Z600" i="9"/>
  <c r="Y600" i="9"/>
  <c r="X600" i="9"/>
  <c r="W600" i="9"/>
  <c r="U600" i="9"/>
  <c r="AC600" i="9" s="1"/>
  <c r="AI599" i="9"/>
  <c r="AH599" i="9"/>
  <c r="AG599" i="9"/>
  <c r="AF599" i="9"/>
  <c r="AE599" i="9"/>
  <c r="AD599" i="9"/>
  <c r="AC599" i="9"/>
  <c r="AA599" i="9"/>
  <c r="Z599" i="9"/>
  <c r="Y599" i="9"/>
  <c r="X599" i="9"/>
  <c r="W599" i="9"/>
  <c r="U599" i="9"/>
  <c r="AI598" i="9"/>
  <c r="AH598" i="9"/>
  <c r="AG598" i="9"/>
  <c r="AF598" i="9"/>
  <c r="AE598" i="9"/>
  <c r="AD598" i="9"/>
  <c r="AC598" i="9"/>
  <c r="AA598" i="9"/>
  <c r="Z598" i="9"/>
  <c r="Y598" i="9"/>
  <c r="X598" i="9"/>
  <c r="W598" i="9"/>
  <c r="U598" i="9"/>
  <c r="AI597" i="9"/>
  <c r="AH597" i="9"/>
  <c r="AG597" i="9"/>
  <c r="AF597" i="9"/>
  <c r="AE597" i="9"/>
  <c r="AD597" i="9"/>
  <c r="AC597" i="9"/>
  <c r="AA597" i="9"/>
  <c r="Z597" i="9"/>
  <c r="Y597" i="9"/>
  <c r="X597" i="9"/>
  <c r="W597" i="9"/>
  <c r="U597" i="9"/>
  <c r="AI596" i="9"/>
  <c r="AH596" i="9"/>
  <c r="AG596" i="9"/>
  <c r="AF596" i="9"/>
  <c r="AE596" i="9"/>
  <c r="AD596" i="9"/>
  <c r="AC596" i="9"/>
  <c r="AA596" i="9"/>
  <c r="Z596" i="9"/>
  <c r="Y596" i="9"/>
  <c r="X596" i="9"/>
  <c r="W596" i="9"/>
  <c r="U596" i="9"/>
  <c r="AI595" i="9"/>
  <c r="AH595" i="9"/>
  <c r="AG595" i="9"/>
  <c r="AF595" i="9"/>
  <c r="AE595" i="9"/>
  <c r="AD595" i="9"/>
  <c r="AA595" i="9"/>
  <c r="Z595" i="9"/>
  <c r="Y595" i="9"/>
  <c r="X595" i="9"/>
  <c r="W595" i="9"/>
  <c r="U595" i="9"/>
  <c r="AC595" i="9" s="1"/>
  <c r="AI594" i="9"/>
  <c r="AH594" i="9"/>
  <c r="AG594" i="9"/>
  <c r="AF594" i="9"/>
  <c r="AE594" i="9"/>
  <c r="AD594" i="9"/>
  <c r="AC594" i="9"/>
  <c r="AA594" i="9"/>
  <c r="Z594" i="9"/>
  <c r="Y594" i="9"/>
  <c r="X594" i="9"/>
  <c r="W594" i="9"/>
  <c r="U594" i="9"/>
  <c r="AI593" i="9"/>
  <c r="AH593" i="9"/>
  <c r="AG593" i="9"/>
  <c r="AF593" i="9"/>
  <c r="AE593" i="9"/>
  <c r="AD593" i="9"/>
  <c r="AA593" i="9"/>
  <c r="Z593" i="9"/>
  <c r="Y593" i="9"/>
  <c r="X593" i="9"/>
  <c r="W593" i="9"/>
  <c r="U593" i="9"/>
  <c r="AC593" i="9" s="1"/>
  <c r="AI592" i="9"/>
  <c r="AH592" i="9"/>
  <c r="AG592" i="9"/>
  <c r="AF592" i="9"/>
  <c r="AE592" i="9"/>
  <c r="AD592" i="9"/>
  <c r="AA592" i="9"/>
  <c r="Z592" i="9"/>
  <c r="Y592" i="9"/>
  <c r="X592" i="9"/>
  <c r="W592" i="9"/>
  <c r="U592" i="9"/>
  <c r="AC592" i="9" s="1"/>
  <c r="AI591" i="9"/>
  <c r="AH591" i="9"/>
  <c r="AG591" i="9"/>
  <c r="AF591" i="9"/>
  <c r="AE591" i="9"/>
  <c r="AD591" i="9"/>
  <c r="AA591" i="9"/>
  <c r="Z591" i="9"/>
  <c r="Y591" i="9"/>
  <c r="X591" i="9"/>
  <c r="W591" i="9"/>
  <c r="U591" i="9"/>
  <c r="AC591" i="9" s="1"/>
  <c r="AI590" i="9"/>
  <c r="AH590" i="9"/>
  <c r="AG590" i="9"/>
  <c r="AF590" i="9"/>
  <c r="AE590" i="9"/>
  <c r="AD590" i="9"/>
  <c r="AA590" i="9"/>
  <c r="Z590" i="9"/>
  <c r="Y590" i="9"/>
  <c r="X590" i="9"/>
  <c r="W590" i="9"/>
  <c r="U590" i="9"/>
  <c r="AC590" i="9" s="1"/>
  <c r="AI589" i="9"/>
  <c r="AH589" i="9"/>
  <c r="AG589" i="9"/>
  <c r="AF589" i="9"/>
  <c r="AE589" i="9"/>
  <c r="AD589" i="9"/>
  <c r="AC589" i="9"/>
  <c r="AA589" i="9"/>
  <c r="Z589" i="9"/>
  <c r="Y589" i="9"/>
  <c r="X589" i="9"/>
  <c r="W589" i="9"/>
  <c r="U589" i="9"/>
  <c r="AI588" i="9"/>
  <c r="AH588" i="9"/>
  <c r="AG588" i="9"/>
  <c r="AF588" i="9"/>
  <c r="AE588" i="9"/>
  <c r="AD588" i="9"/>
  <c r="AA588" i="9"/>
  <c r="Z588" i="9"/>
  <c r="Y588" i="9"/>
  <c r="X588" i="9"/>
  <c r="W588" i="9"/>
  <c r="U588" i="9"/>
  <c r="AC588" i="9" s="1"/>
  <c r="AI587" i="9"/>
  <c r="AH587" i="9"/>
  <c r="AG587" i="9"/>
  <c r="AF587" i="9"/>
  <c r="AE587" i="9"/>
  <c r="AD587" i="9"/>
  <c r="AC587" i="9"/>
  <c r="AA587" i="9"/>
  <c r="Z587" i="9"/>
  <c r="Y587" i="9"/>
  <c r="X587" i="9"/>
  <c r="W587" i="9"/>
  <c r="U587" i="9"/>
  <c r="AI586" i="9"/>
  <c r="AH586" i="9"/>
  <c r="AG586" i="9"/>
  <c r="AF586" i="9"/>
  <c r="AE586" i="9"/>
  <c r="AD586" i="9"/>
  <c r="AC586" i="9"/>
  <c r="AA586" i="9"/>
  <c r="Z586" i="9"/>
  <c r="Y586" i="9"/>
  <c r="X586" i="9"/>
  <c r="W586" i="9"/>
  <c r="U586" i="9"/>
  <c r="AI585" i="9"/>
  <c r="AH585" i="9"/>
  <c r="AG585" i="9"/>
  <c r="AF585" i="9"/>
  <c r="AE585" i="9"/>
  <c r="AD585" i="9"/>
  <c r="AC585" i="9"/>
  <c r="AA585" i="9"/>
  <c r="Z585" i="9"/>
  <c r="Y585" i="9"/>
  <c r="X585" i="9"/>
  <c r="W585" i="9"/>
  <c r="U585" i="9"/>
  <c r="AI584" i="9"/>
  <c r="AH584" i="9"/>
  <c r="AG584" i="9"/>
  <c r="AF584" i="9"/>
  <c r="AE584" i="9"/>
  <c r="AD584" i="9"/>
  <c r="AC584" i="9"/>
  <c r="AA584" i="9"/>
  <c r="Z584" i="9"/>
  <c r="Y584" i="9"/>
  <c r="X584" i="9"/>
  <c r="W584" i="9"/>
  <c r="U584" i="9"/>
  <c r="AI583" i="9"/>
  <c r="AH583" i="9"/>
  <c r="AG583" i="9"/>
  <c r="AF583" i="9"/>
  <c r="AE583" i="9"/>
  <c r="AD583" i="9"/>
  <c r="AA583" i="9"/>
  <c r="Z583" i="9"/>
  <c r="Y583" i="9"/>
  <c r="X583" i="9"/>
  <c r="W583" i="9"/>
  <c r="U583" i="9"/>
  <c r="AC583" i="9" s="1"/>
  <c r="AI582" i="9"/>
  <c r="AH582" i="9"/>
  <c r="AG582" i="9"/>
  <c r="AF582" i="9"/>
  <c r="AE582" i="9"/>
  <c r="AD582" i="9"/>
  <c r="AC582" i="9"/>
  <c r="AA582" i="9"/>
  <c r="Z582" i="9"/>
  <c r="Y582" i="9"/>
  <c r="X582" i="9"/>
  <c r="W582" i="9"/>
  <c r="U582" i="9"/>
  <c r="AI581" i="9"/>
  <c r="AH581" i="9"/>
  <c r="AG581" i="9"/>
  <c r="AF581" i="9"/>
  <c r="AE581" i="9"/>
  <c r="AD581" i="9"/>
  <c r="AA581" i="9"/>
  <c r="Z581" i="9"/>
  <c r="Y581" i="9"/>
  <c r="X581" i="9"/>
  <c r="W581" i="9"/>
  <c r="U581" i="9"/>
  <c r="AC581" i="9" s="1"/>
  <c r="AI580" i="9"/>
  <c r="AH580" i="9"/>
  <c r="AG580" i="9"/>
  <c r="AF580" i="9"/>
  <c r="AE580" i="9"/>
  <c r="AD580" i="9"/>
  <c r="AA580" i="9"/>
  <c r="Z580" i="9"/>
  <c r="Y580" i="9"/>
  <c r="X580" i="9"/>
  <c r="W580" i="9"/>
  <c r="U580" i="9"/>
  <c r="AC580" i="9" s="1"/>
  <c r="AI579" i="9"/>
  <c r="AH579" i="9"/>
  <c r="AG579" i="9"/>
  <c r="AF579" i="9"/>
  <c r="AE579" i="9"/>
  <c r="AD579" i="9"/>
  <c r="AA579" i="9"/>
  <c r="Z579" i="9"/>
  <c r="Y579" i="9"/>
  <c r="X579" i="9"/>
  <c r="W579" i="9"/>
  <c r="U579" i="9"/>
  <c r="AC579" i="9" s="1"/>
  <c r="AI578" i="9"/>
  <c r="AH578" i="9"/>
  <c r="AG578" i="9"/>
  <c r="AF578" i="9"/>
  <c r="AE578" i="9"/>
  <c r="AD578" i="9"/>
  <c r="AA578" i="9"/>
  <c r="Z578" i="9"/>
  <c r="Y578" i="9"/>
  <c r="X578" i="9"/>
  <c r="W578" i="9"/>
  <c r="U578" i="9"/>
  <c r="AC578" i="9" s="1"/>
  <c r="AI577" i="9"/>
  <c r="AH577" i="9"/>
  <c r="AG577" i="9"/>
  <c r="AF577" i="9"/>
  <c r="AE577" i="9"/>
  <c r="AD577" i="9"/>
  <c r="AC577" i="9"/>
  <c r="AA577" i="9"/>
  <c r="Z577" i="9"/>
  <c r="Y577" i="9"/>
  <c r="X577" i="9"/>
  <c r="W577" i="9"/>
  <c r="U577" i="9"/>
  <c r="AI576" i="9"/>
  <c r="AH576" i="9"/>
  <c r="AG576" i="9"/>
  <c r="AF576" i="9"/>
  <c r="AE576" i="9"/>
  <c r="AD576" i="9"/>
  <c r="AA576" i="9"/>
  <c r="Z576" i="9"/>
  <c r="Y576" i="9"/>
  <c r="X576" i="9"/>
  <c r="W576" i="9"/>
  <c r="U576" i="9"/>
  <c r="AC576" i="9" s="1"/>
  <c r="AI575" i="9"/>
  <c r="AH575" i="9"/>
  <c r="AG575" i="9"/>
  <c r="AF575" i="9"/>
  <c r="AE575" i="9"/>
  <c r="AD575" i="9"/>
  <c r="AC575" i="9"/>
  <c r="AA575" i="9"/>
  <c r="Z575" i="9"/>
  <c r="Y575" i="9"/>
  <c r="X575" i="9"/>
  <c r="W575" i="9"/>
  <c r="U575" i="9"/>
  <c r="AI574" i="9"/>
  <c r="AH574" i="9"/>
  <c r="AG574" i="9"/>
  <c r="AF574" i="9"/>
  <c r="AE574" i="9"/>
  <c r="AD574" i="9"/>
  <c r="AC574" i="9"/>
  <c r="AA574" i="9"/>
  <c r="Z574" i="9"/>
  <c r="Y574" i="9"/>
  <c r="X574" i="9"/>
  <c r="W574" i="9"/>
  <c r="U574" i="9"/>
  <c r="AI573" i="9"/>
  <c r="AH573" i="9"/>
  <c r="AG573" i="9"/>
  <c r="AF573" i="9"/>
  <c r="AE573" i="9"/>
  <c r="AD573" i="9"/>
  <c r="AC573" i="9"/>
  <c r="AA573" i="9"/>
  <c r="Z573" i="9"/>
  <c r="Y573" i="9"/>
  <c r="X573" i="9"/>
  <c r="W573" i="9"/>
  <c r="U573" i="9"/>
  <c r="AI572" i="9"/>
  <c r="AH572" i="9"/>
  <c r="AG572" i="9"/>
  <c r="AF572" i="9"/>
  <c r="AE572" i="9"/>
  <c r="AD572" i="9"/>
  <c r="AC572" i="9"/>
  <c r="AA572" i="9"/>
  <c r="Z572" i="9"/>
  <c r="Y572" i="9"/>
  <c r="X572" i="9"/>
  <c r="W572" i="9"/>
  <c r="U572" i="9"/>
  <c r="AI571" i="9"/>
  <c r="AH571" i="9"/>
  <c r="AG571" i="9"/>
  <c r="AF571" i="9"/>
  <c r="AE571" i="9"/>
  <c r="AD571" i="9"/>
  <c r="AA571" i="9"/>
  <c r="Z571" i="9"/>
  <c r="Y571" i="9"/>
  <c r="X571" i="9"/>
  <c r="W571" i="9"/>
  <c r="U571" i="9"/>
  <c r="AC571" i="9" s="1"/>
  <c r="AI570" i="9"/>
  <c r="AH570" i="9"/>
  <c r="AG570" i="9"/>
  <c r="AF570" i="9"/>
  <c r="AE570" i="9"/>
  <c r="AD570" i="9"/>
  <c r="AC570" i="9"/>
  <c r="AA570" i="9"/>
  <c r="Z570" i="9"/>
  <c r="Y570" i="9"/>
  <c r="X570" i="9"/>
  <c r="W570" i="9"/>
  <c r="U570" i="9"/>
  <c r="AI569" i="9"/>
  <c r="AH569" i="9"/>
  <c r="AG569" i="9"/>
  <c r="AF569" i="9"/>
  <c r="AE569" i="9"/>
  <c r="AD569" i="9"/>
  <c r="AA569" i="9"/>
  <c r="Z569" i="9"/>
  <c r="Y569" i="9"/>
  <c r="X569" i="9"/>
  <c r="W569" i="9"/>
  <c r="U569" i="9"/>
  <c r="AC569" i="9" s="1"/>
  <c r="AI568" i="9"/>
  <c r="AH568" i="9"/>
  <c r="AG568" i="9"/>
  <c r="AF568" i="9"/>
  <c r="AE568" i="9"/>
  <c r="AD568" i="9"/>
  <c r="AA568" i="9"/>
  <c r="Z568" i="9"/>
  <c r="Y568" i="9"/>
  <c r="X568" i="9"/>
  <c r="W568" i="9"/>
  <c r="U568" i="9"/>
  <c r="AC568" i="9" s="1"/>
  <c r="AI567" i="9"/>
  <c r="AH567" i="9"/>
  <c r="AG567" i="9"/>
  <c r="AF567" i="9"/>
  <c r="AE567" i="9"/>
  <c r="AD567" i="9"/>
  <c r="AA567" i="9"/>
  <c r="Z567" i="9"/>
  <c r="Y567" i="9"/>
  <c r="X567" i="9"/>
  <c r="W567" i="9"/>
  <c r="U567" i="9"/>
  <c r="AC567" i="9" s="1"/>
  <c r="AI566" i="9"/>
  <c r="AH566" i="9"/>
  <c r="AG566" i="9"/>
  <c r="AF566" i="9"/>
  <c r="AE566" i="9"/>
  <c r="AD566" i="9"/>
  <c r="AA566" i="9"/>
  <c r="Z566" i="9"/>
  <c r="Y566" i="9"/>
  <c r="X566" i="9"/>
  <c r="W566" i="9"/>
  <c r="U566" i="9"/>
  <c r="AC566" i="9" s="1"/>
  <c r="AI565" i="9"/>
  <c r="AH565" i="9"/>
  <c r="AG565" i="9"/>
  <c r="AF565" i="9"/>
  <c r="AE565" i="9"/>
  <c r="AD565" i="9"/>
  <c r="AC565" i="9"/>
  <c r="AA565" i="9"/>
  <c r="Z565" i="9"/>
  <c r="Y565" i="9"/>
  <c r="X565" i="9"/>
  <c r="W565" i="9"/>
  <c r="U565" i="9"/>
  <c r="AI564" i="9"/>
  <c r="AH564" i="9"/>
  <c r="AG564" i="9"/>
  <c r="AF564" i="9"/>
  <c r="AE564" i="9"/>
  <c r="AD564" i="9"/>
  <c r="AA564" i="9"/>
  <c r="Z564" i="9"/>
  <c r="Y564" i="9"/>
  <c r="X564" i="9"/>
  <c r="W564" i="9"/>
  <c r="U564" i="9"/>
  <c r="AC564" i="9" s="1"/>
  <c r="AI563" i="9"/>
  <c r="AH563" i="9"/>
  <c r="AG563" i="9"/>
  <c r="AF563" i="9"/>
  <c r="AE563" i="9"/>
  <c r="AD563" i="9"/>
  <c r="AC563" i="9"/>
  <c r="AA563" i="9"/>
  <c r="Z563" i="9"/>
  <c r="Y563" i="9"/>
  <c r="X563" i="9"/>
  <c r="W563" i="9"/>
  <c r="U563" i="9"/>
  <c r="AI562" i="9"/>
  <c r="AH562" i="9"/>
  <c r="AG562" i="9"/>
  <c r="AF562" i="9"/>
  <c r="AE562" i="9"/>
  <c r="AD562" i="9"/>
  <c r="AC562" i="9"/>
  <c r="AA562" i="9"/>
  <c r="Z562" i="9"/>
  <c r="Y562" i="9"/>
  <c r="X562" i="9"/>
  <c r="W562" i="9"/>
  <c r="U562" i="9"/>
  <c r="AI561" i="9"/>
  <c r="AH561" i="9"/>
  <c r="AG561" i="9"/>
  <c r="AF561" i="9"/>
  <c r="AE561" i="9"/>
  <c r="AD561" i="9"/>
  <c r="AC561" i="9"/>
  <c r="AA561" i="9"/>
  <c r="Z561" i="9"/>
  <c r="Y561" i="9"/>
  <c r="X561" i="9"/>
  <c r="W561" i="9"/>
  <c r="U561" i="9"/>
  <c r="AI560" i="9"/>
  <c r="AH560" i="9"/>
  <c r="AG560" i="9"/>
  <c r="AF560" i="9"/>
  <c r="AE560" i="9"/>
  <c r="AD560" i="9"/>
  <c r="AC560" i="9"/>
  <c r="AA560" i="9"/>
  <c r="Z560" i="9"/>
  <c r="Y560" i="9"/>
  <c r="X560" i="9"/>
  <c r="W560" i="9"/>
  <c r="U560" i="9"/>
  <c r="AI559" i="9"/>
  <c r="AH559" i="9"/>
  <c r="AG559" i="9"/>
  <c r="AF559" i="9"/>
  <c r="AE559" i="9"/>
  <c r="AD559" i="9"/>
  <c r="AA559" i="9"/>
  <c r="Z559" i="9"/>
  <c r="Y559" i="9"/>
  <c r="X559" i="9"/>
  <c r="W559" i="9"/>
  <c r="U559" i="9"/>
  <c r="AC559" i="9" s="1"/>
  <c r="AI558" i="9"/>
  <c r="AH558" i="9"/>
  <c r="AG558" i="9"/>
  <c r="AF558" i="9"/>
  <c r="AE558" i="9"/>
  <c r="AD558" i="9"/>
  <c r="AC558" i="9"/>
  <c r="AA558" i="9"/>
  <c r="Z558" i="9"/>
  <c r="Y558" i="9"/>
  <c r="X558" i="9"/>
  <c r="W558" i="9"/>
  <c r="U558" i="9"/>
  <c r="AI557" i="9"/>
  <c r="AH557" i="9"/>
  <c r="AG557" i="9"/>
  <c r="AF557" i="9"/>
  <c r="AE557" i="9"/>
  <c r="AD557" i="9"/>
  <c r="AA557" i="9"/>
  <c r="Z557" i="9"/>
  <c r="Y557" i="9"/>
  <c r="X557" i="9"/>
  <c r="W557" i="9"/>
  <c r="U557" i="9"/>
  <c r="AC557" i="9" s="1"/>
  <c r="AI556" i="9"/>
  <c r="AH556" i="9"/>
  <c r="AG556" i="9"/>
  <c r="AF556" i="9"/>
  <c r="AE556" i="9"/>
  <c r="AD556" i="9"/>
  <c r="AA556" i="9"/>
  <c r="Z556" i="9"/>
  <c r="Y556" i="9"/>
  <c r="X556" i="9"/>
  <c r="W556" i="9"/>
  <c r="U556" i="9"/>
  <c r="AC556" i="9" s="1"/>
  <c r="AI555" i="9"/>
  <c r="AH555" i="9"/>
  <c r="AG555" i="9"/>
  <c r="AF555" i="9"/>
  <c r="AE555" i="9"/>
  <c r="AD555" i="9"/>
  <c r="AA555" i="9"/>
  <c r="Z555" i="9"/>
  <c r="Y555" i="9"/>
  <c r="X555" i="9"/>
  <c r="W555" i="9"/>
  <c r="U555" i="9"/>
  <c r="AC555" i="9" s="1"/>
  <c r="AI554" i="9"/>
  <c r="AH554" i="9"/>
  <c r="AG554" i="9"/>
  <c r="AF554" i="9"/>
  <c r="AE554" i="9"/>
  <c r="AD554" i="9"/>
  <c r="AA554" i="9"/>
  <c r="Z554" i="9"/>
  <c r="Y554" i="9"/>
  <c r="X554" i="9"/>
  <c r="W554" i="9"/>
  <c r="U554" i="9"/>
  <c r="AC554" i="9" s="1"/>
  <c r="AI553" i="9"/>
  <c r="AH553" i="9"/>
  <c r="AG553" i="9"/>
  <c r="AF553" i="9"/>
  <c r="AE553" i="9"/>
  <c r="AD553" i="9"/>
  <c r="AC553" i="9"/>
  <c r="AA553" i="9"/>
  <c r="Z553" i="9"/>
  <c r="Y553" i="9"/>
  <c r="X553" i="9"/>
  <c r="W553" i="9"/>
  <c r="U553" i="9"/>
  <c r="AI552" i="9"/>
  <c r="AH552" i="9"/>
  <c r="AG552" i="9"/>
  <c r="AF552" i="9"/>
  <c r="AE552" i="9"/>
  <c r="AD552" i="9"/>
  <c r="AA552" i="9"/>
  <c r="Z552" i="9"/>
  <c r="Y552" i="9"/>
  <c r="X552" i="9"/>
  <c r="W552" i="9"/>
  <c r="U552" i="9"/>
  <c r="AC552" i="9" s="1"/>
  <c r="AI551" i="9"/>
  <c r="AH551" i="9"/>
  <c r="AG551" i="9"/>
  <c r="AF551" i="9"/>
  <c r="AE551" i="9"/>
  <c r="AD551" i="9"/>
  <c r="AC551" i="9"/>
  <c r="AA551" i="9"/>
  <c r="Z551" i="9"/>
  <c r="Y551" i="9"/>
  <c r="X551" i="9"/>
  <c r="W551" i="9"/>
  <c r="U551" i="9"/>
  <c r="AI550" i="9"/>
  <c r="AH550" i="9"/>
  <c r="AG550" i="9"/>
  <c r="AF550" i="9"/>
  <c r="AE550" i="9"/>
  <c r="AD550" i="9"/>
  <c r="AC550" i="9"/>
  <c r="AA550" i="9"/>
  <c r="Z550" i="9"/>
  <c r="Y550" i="9"/>
  <c r="X550" i="9"/>
  <c r="W550" i="9"/>
  <c r="U550" i="9"/>
  <c r="AI549" i="9"/>
  <c r="AH549" i="9"/>
  <c r="AG549" i="9"/>
  <c r="AF549" i="9"/>
  <c r="AE549" i="9"/>
  <c r="AD549" i="9"/>
  <c r="AC549" i="9"/>
  <c r="AA549" i="9"/>
  <c r="Z549" i="9"/>
  <c r="Y549" i="9"/>
  <c r="X549" i="9"/>
  <c r="W549" i="9"/>
  <c r="U549" i="9"/>
  <c r="AI548" i="9"/>
  <c r="AH548" i="9"/>
  <c r="AG548" i="9"/>
  <c r="AF548" i="9"/>
  <c r="AE548" i="9"/>
  <c r="AD548" i="9"/>
  <c r="AC548" i="9"/>
  <c r="AA548" i="9"/>
  <c r="Z548" i="9"/>
  <c r="Y548" i="9"/>
  <c r="X548" i="9"/>
  <c r="W548" i="9"/>
  <c r="U548" i="9"/>
  <c r="AI547" i="9"/>
  <c r="AH547" i="9"/>
  <c r="AG547" i="9"/>
  <c r="AF547" i="9"/>
  <c r="AE547" i="9"/>
  <c r="AD547" i="9"/>
  <c r="AA547" i="9"/>
  <c r="Z547" i="9"/>
  <c r="Y547" i="9"/>
  <c r="X547" i="9"/>
  <c r="W547" i="9"/>
  <c r="U547" i="9"/>
  <c r="AC547" i="9" s="1"/>
  <c r="AI546" i="9"/>
  <c r="AH546" i="9"/>
  <c r="AG546" i="9"/>
  <c r="AF546" i="9"/>
  <c r="AE546" i="9"/>
  <c r="AD546" i="9"/>
  <c r="AC546" i="9"/>
  <c r="AA546" i="9"/>
  <c r="Z546" i="9"/>
  <c r="Y546" i="9"/>
  <c r="X546" i="9"/>
  <c r="W546" i="9"/>
  <c r="U546" i="9"/>
  <c r="AI545" i="9"/>
  <c r="AH545" i="9"/>
  <c r="AG545" i="9"/>
  <c r="AF545" i="9"/>
  <c r="AE545" i="9"/>
  <c r="AD545" i="9"/>
  <c r="AA545" i="9"/>
  <c r="Z545" i="9"/>
  <c r="Y545" i="9"/>
  <c r="X545" i="9"/>
  <c r="W545" i="9"/>
  <c r="U545" i="9"/>
  <c r="AC545" i="9" s="1"/>
  <c r="AI544" i="9"/>
  <c r="AH544" i="9"/>
  <c r="AG544" i="9"/>
  <c r="AF544" i="9"/>
  <c r="AE544" i="9"/>
  <c r="AD544" i="9"/>
  <c r="AA544" i="9"/>
  <c r="Z544" i="9"/>
  <c r="Y544" i="9"/>
  <c r="X544" i="9"/>
  <c r="W544" i="9"/>
  <c r="U544" i="9"/>
  <c r="AC544" i="9" s="1"/>
  <c r="AI543" i="9"/>
  <c r="AH543" i="9"/>
  <c r="AG543" i="9"/>
  <c r="AF543" i="9"/>
  <c r="AE543" i="9"/>
  <c r="AD543" i="9"/>
  <c r="AA543" i="9"/>
  <c r="Z543" i="9"/>
  <c r="Y543" i="9"/>
  <c r="X543" i="9"/>
  <c r="W543" i="9"/>
  <c r="U543" i="9"/>
  <c r="AC543" i="9" s="1"/>
  <c r="AI542" i="9"/>
  <c r="AH542" i="9"/>
  <c r="AG542" i="9"/>
  <c r="AF542" i="9"/>
  <c r="AE542" i="9"/>
  <c r="AD542" i="9"/>
  <c r="AA542" i="9"/>
  <c r="Z542" i="9"/>
  <c r="Y542" i="9"/>
  <c r="X542" i="9"/>
  <c r="W542" i="9"/>
  <c r="U542" i="9"/>
  <c r="AC542" i="9" s="1"/>
  <c r="AI541" i="9"/>
  <c r="AH541" i="9"/>
  <c r="AG541" i="9"/>
  <c r="AF541" i="9"/>
  <c r="AE541" i="9"/>
  <c r="AD541" i="9"/>
  <c r="AC541" i="9"/>
  <c r="AA541" i="9"/>
  <c r="Z541" i="9"/>
  <c r="Y541" i="9"/>
  <c r="X541" i="9"/>
  <c r="W541" i="9"/>
  <c r="U541" i="9"/>
  <c r="AI540" i="9"/>
  <c r="AH540" i="9"/>
  <c r="AG540" i="9"/>
  <c r="AF540" i="9"/>
  <c r="AE540" i="9"/>
  <c r="AD540" i="9"/>
  <c r="AA540" i="9"/>
  <c r="Z540" i="9"/>
  <c r="Y540" i="9"/>
  <c r="X540" i="9"/>
  <c r="W540" i="9"/>
  <c r="U540" i="9"/>
  <c r="AC540" i="9" s="1"/>
  <c r="AI539" i="9"/>
  <c r="AH539" i="9"/>
  <c r="AG539" i="9"/>
  <c r="AF539" i="9"/>
  <c r="AE539" i="9"/>
  <c r="AD539" i="9"/>
  <c r="AC539" i="9"/>
  <c r="AA539" i="9"/>
  <c r="Z539" i="9"/>
  <c r="Y539" i="9"/>
  <c r="X539" i="9"/>
  <c r="W539" i="9"/>
  <c r="U539" i="9"/>
  <c r="AI538" i="9"/>
  <c r="AH538" i="9"/>
  <c r="AG538" i="9"/>
  <c r="AF538" i="9"/>
  <c r="AE538" i="9"/>
  <c r="AD538" i="9"/>
  <c r="AC538" i="9"/>
  <c r="AA538" i="9"/>
  <c r="Z538" i="9"/>
  <c r="Y538" i="9"/>
  <c r="X538" i="9"/>
  <c r="W538" i="9"/>
  <c r="U538" i="9"/>
  <c r="AI537" i="9"/>
  <c r="AH537" i="9"/>
  <c r="AG537" i="9"/>
  <c r="AF537" i="9"/>
  <c r="AE537" i="9"/>
  <c r="AD537" i="9"/>
  <c r="AC537" i="9"/>
  <c r="AA537" i="9"/>
  <c r="Z537" i="9"/>
  <c r="Y537" i="9"/>
  <c r="X537" i="9"/>
  <c r="W537" i="9"/>
  <c r="U537" i="9"/>
  <c r="AI536" i="9"/>
  <c r="AH536" i="9"/>
  <c r="AG536" i="9"/>
  <c r="AF536" i="9"/>
  <c r="AE536" i="9"/>
  <c r="AD536" i="9"/>
  <c r="AC536" i="9"/>
  <c r="AA536" i="9"/>
  <c r="Z536" i="9"/>
  <c r="Y536" i="9"/>
  <c r="X536" i="9"/>
  <c r="W536" i="9"/>
  <c r="U536" i="9"/>
  <c r="AI535" i="9"/>
  <c r="AH535" i="9"/>
  <c r="AG535" i="9"/>
  <c r="AF535" i="9"/>
  <c r="AE535" i="9"/>
  <c r="AD535" i="9"/>
  <c r="AA535" i="9"/>
  <c r="Z535" i="9"/>
  <c r="Y535" i="9"/>
  <c r="X535" i="9"/>
  <c r="W535" i="9"/>
  <c r="U535" i="9"/>
  <c r="AC535" i="9" s="1"/>
  <c r="AI534" i="9"/>
  <c r="AH534" i="9"/>
  <c r="AG534" i="9"/>
  <c r="AF534" i="9"/>
  <c r="AE534" i="9"/>
  <c r="AD534" i="9"/>
  <c r="AC534" i="9"/>
  <c r="AA534" i="9"/>
  <c r="Z534" i="9"/>
  <c r="Y534" i="9"/>
  <c r="X534" i="9"/>
  <c r="W534" i="9"/>
  <c r="U534" i="9"/>
  <c r="AI533" i="9"/>
  <c r="AH533" i="9"/>
  <c r="AG533" i="9"/>
  <c r="AF533" i="9"/>
  <c r="AE533" i="9"/>
  <c r="AD533" i="9"/>
  <c r="AA533" i="9"/>
  <c r="Z533" i="9"/>
  <c r="Y533" i="9"/>
  <c r="X533" i="9"/>
  <c r="W533" i="9"/>
  <c r="U533" i="9"/>
  <c r="AC533" i="9" s="1"/>
  <c r="AI532" i="9"/>
  <c r="AH532" i="9"/>
  <c r="AG532" i="9"/>
  <c r="AF532" i="9"/>
  <c r="AE532" i="9"/>
  <c r="AD532" i="9"/>
  <c r="AA532" i="9"/>
  <c r="Z532" i="9"/>
  <c r="Y532" i="9"/>
  <c r="X532" i="9"/>
  <c r="W532" i="9"/>
  <c r="U532" i="9"/>
  <c r="AC532" i="9" s="1"/>
  <c r="AI531" i="9"/>
  <c r="AH531" i="9"/>
  <c r="AG531" i="9"/>
  <c r="AF531" i="9"/>
  <c r="AE531" i="9"/>
  <c r="AD531" i="9"/>
  <c r="AA531" i="9"/>
  <c r="Z531" i="9"/>
  <c r="Y531" i="9"/>
  <c r="X531" i="9"/>
  <c r="W531" i="9"/>
  <c r="U531" i="9"/>
  <c r="AC531" i="9" s="1"/>
  <c r="AI530" i="9"/>
  <c r="AH530" i="9"/>
  <c r="AG530" i="9"/>
  <c r="AF530" i="9"/>
  <c r="AE530" i="9"/>
  <c r="AD530" i="9"/>
  <c r="AA530" i="9"/>
  <c r="Z530" i="9"/>
  <c r="Y530" i="9"/>
  <c r="X530" i="9"/>
  <c r="W530" i="9"/>
  <c r="U530" i="9"/>
  <c r="AC530" i="9" s="1"/>
  <c r="AI529" i="9"/>
  <c r="AH529" i="9"/>
  <c r="AG529" i="9"/>
  <c r="AF529" i="9"/>
  <c r="AE529" i="9"/>
  <c r="AD529" i="9"/>
  <c r="AC529" i="9"/>
  <c r="AA529" i="9"/>
  <c r="Z529" i="9"/>
  <c r="Y529" i="9"/>
  <c r="X529" i="9"/>
  <c r="W529" i="9"/>
  <c r="U529" i="9"/>
  <c r="AI528" i="9"/>
  <c r="AH528" i="9"/>
  <c r="AG528" i="9"/>
  <c r="AF528" i="9"/>
  <c r="AE528" i="9"/>
  <c r="AD528" i="9"/>
  <c r="AA528" i="9"/>
  <c r="Z528" i="9"/>
  <c r="Y528" i="9"/>
  <c r="X528" i="9"/>
  <c r="W528" i="9"/>
  <c r="U528" i="9"/>
  <c r="AC528" i="9" s="1"/>
  <c r="AI527" i="9"/>
  <c r="AH527" i="9"/>
  <c r="AG527" i="9"/>
  <c r="AF527" i="9"/>
  <c r="AE527" i="9"/>
  <c r="AD527" i="9"/>
  <c r="AC527" i="9"/>
  <c r="AA527" i="9"/>
  <c r="Z527" i="9"/>
  <c r="Y527" i="9"/>
  <c r="X527" i="9"/>
  <c r="W527" i="9"/>
  <c r="U527" i="9"/>
  <c r="AI526" i="9"/>
  <c r="AH526" i="9"/>
  <c r="AG526" i="9"/>
  <c r="AF526" i="9"/>
  <c r="AE526" i="9"/>
  <c r="AD526" i="9"/>
  <c r="AC526" i="9"/>
  <c r="AA526" i="9"/>
  <c r="Z526" i="9"/>
  <c r="Y526" i="9"/>
  <c r="X526" i="9"/>
  <c r="W526" i="9"/>
  <c r="U526" i="9"/>
  <c r="AI525" i="9"/>
  <c r="AH525" i="9"/>
  <c r="AG525" i="9"/>
  <c r="AF525" i="9"/>
  <c r="AE525" i="9"/>
  <c r="AD525" i="9"/>
  <c r="AC525" i="9"/>
  <c r="AA525" i="9"/>
  <c r="Z525" i="9"/>
  <c r="Y525" i="9"/>
  <c r="X525" i="9"/>
  <c r="W525" i="9"/>
  <c r="U525" i="9"/>
  <c r="AI524" i="9"/>
  <c r="AH524" i="9"/>
  <c r="AG524" i="9"/>
  <c r="AF524" i="9"/>
  <c r="AE524" i="9"/>
  <c r="AD524" i="9"/>
  <c r="AC524" i="9"/>
  <c r="AA524" i="9"/>
  <c r="Z524" i="9"/>
  <c r="Y524" i="9"/>
  <c r="X524" i="9"/>
  <c r="W524" i="9"/>
  <c r="U524" i="9"/>
  <c r="AI523" i="9"/>
  <c r="AH523" i="9"/>
  <c r="AG523" i="9"/>
  <c r="AF523" i="9"/>
  <c r="AE523" i="9"/>
  <c r="AD523" i="9"/>
  <c r="AA523" i="9"/>
  <c r="Z523" i="9"/>
  <c r="Y523" i="9"/>
  <c r="X523" i="9"/>
  <c r="W523" i="9"/>
  <c r="U523" i="9"/>
  <c r="AC523" i="9" s="1"/>
  <c r="AI522" i="9"/>
  <c r="AH522" i="9"/>
  <c r="AG522" i="9"/>
  <c r="AF522" i="9"/>
  <c r="AE522" i="9"/>
  <c r="AD522" i="9"/>
  <c r="AC522" i="9"/>
  <c r="AA522" i="9"/>
  <c r="Z522" i="9"/>
  <c r="Y522" i="9"/>
  <c r="X522" i="9"/>
  <c r="W522" i="9"/>
  <c r="U522" i="9"/>
  <c r="AI521" i="9"/>
  <c r="AH521" i="9"/>
  <c r="AG521" i="9"/>
  <c r="AF521" i="9"/>
  <c r="AE521" i="9"/>
  <c r="AD521" i="9"/>
  <c r="AA521" i="9"/>
  <c r="Z521" i="9"/>
  <c r="Y521" i="9"/>
  <c r="X521" i="9"/>
  <c r="W521" i="9"/>
  <c r="U521" i="9"/>
  <c r="AC521" i="9" s="1"/>
  <c r="AI520" i="9"/>
  <c r="AH520" i="9"/>
  <c r="AG520" i="9"/>
  <c r="AF520" i="9"/>
  <c r="AE520" i="9"/>
  <c r="AD520" i="9"/>
  <c r="AA520" i="9"/>
  <c r="Z520" i="9"/>
  <c r="Y520" i="9"/>
  <c r="X520" i="9"/>
  <c r="W520" i="9"/>
  <c r="U520" i="9"/>
  <c r="AC520" i="9" s="1"/>
  <c r="AI519" i="9"/>
  <c r="AH519" i="9"/>
  <c r="AG519" i="9"/>
  <c r="AF519" i="9"/>
  <c r="AE519" i="9"/>
  <c r="AD519" i="9"/>
  <c r="AA519" i="9"/>
  <c r="Z519" i="9"/>
  <c r="Y519" i="9"/>
  <c r="X519" i="9"/>
  <c r="W519" i="9"/>
  <c r="U519" i="9"/>
  <c r="AC519" i="9" s="1"/>
  <c r="AI518" i="9"/>
  <c r="AH518" i="9"/>
  <c r="AG518" i="9"/>
  <c r="AF518" i="9"/>
  <c r="AE518" i="9"/>
  <c r="AD518" i="9"/>
  <c r="AA518" i="9"/>
  <c r="Z518" i="9"/>
  <c r="Y518" i="9"/>
  <c r="X518" i="9"/>
  <c r="W518" i="9"/>
  <c r="U518" i="9"/>
  <c r="AC518" i="9" s="1"/>
  <c r="AI517" i="9"/>
  <c r="AH517" i="9"/>
  <c r="AG517" i="9"/>
  <c r="AF517" i="9"/>
  <c r="AE517" i="9"/>
  <c r="AD517" i="9"/>
  <c r="AC517" i="9"/>
  <c r="AA517" i="9"/>
  <c r="Z517" i="9"/>
  <c r="Y517" i="9"/>
  <c r="X517" i="9"/>
  <c r="W517" i="9"/>
  <c r="U517" i="9"/>
  <c r="AI516" i="9"/>
  <c r="AH516" i="9"/>
  <c r="AG516" i="9"/>
  <c r="AF516" i="9"/>
  <c r="AE516" i="9"/>
  <c r="AD516" i="9"/>
  <c r="AA516" i="9"/>
  <c r="Z516" i="9"/>
  <c r="Y516" i="9"/>
  <c r="X516" i="9"/>
  <c r="W516" i="9"/>
  <c r="U516" i="9"/>
  <c r="AC516" i="9" s="1"/>
  <c r="AI515" i="9"/>
  <c r="AH515" i="9"/>
  <c r="AG515" i="9"/>
  <c r="AF515" i="9"/>
  <c r="AE515" i="9"/>
  <c r="AD515" i="9"/>
  <c r="AC515" i="9"/>
  <c r="AA515" i="9"/>
  <c r="Z515" i="9"/>
  <c r="Y515" i="9"/>
  <c r="X515" i="9"/>
  <c r="W515" i="9"/>
  <c r="U515" i="9"/>
  <c r="AI514" i="9"/>
  <c r="AH514" i="9"/>
  <c r="AG514" i="9"/>
  <c r="AF514" i="9"/>
  <c r="AE514" i="9"/>
  <c r="AD514" i="9"/>
  <c r="AC514" i="9"/>
  <c r="AA514" i="9"/>
  <c r="Z514" i="9"/>
  <c r="Y514" i="9"/>
  <c r="X514" i="9"/>
  <c r="W514" i="9"/>
  <c r="U514" i="9"/>
  <c r="AI513" i="9"/>
  <c r="AH513" i="9"/>
  <c r="AG513" i="9"/>
  <c r="AF513" i="9"/>
  <c r="AE513" i="9"/>
  <c r="AD513" i="9"/>
  <c r="AC513" i="9"/>
  <c r="AA513" i="9"/>
  <c r="Z513" i="9"/>
  <c r="Y513" i="9"/>
  <c r="X513" i="9"/>
  <c r="W513" i="9"/>
  <c r="U513" i="9"/>
  <c r="AI512" i="9"/>
  <c r="AH512" i="9"/>
  <c r="AG512" i="9"/>
  <c r="AF512" i="9"/>
  <c r="AE512" i="9"/>
  <c r="AD512" i="9"/>
  <c r="AC512" i="9"/>
  <c r="AA512" i="9"/>
  <c r="Z512" i="9"/>
  <c r="Y512" i="9"/>
  <c r="X512" i="9"/>
  <c r="W512" i="9"/>
  <c r="U512" i="9"/>
  <c r="AI511" i="9"/>
  <c r="AH511" i="9"/>
  <c r="AG511" i="9"/>
  <c r="AF511" i="9"/>
  <c r="AE511" i="9"/>
  <c r="AD511" i="9"/>
  <c r="AA511" i="9"/>
  <c r="Z511" i="9"/>
  <c r="Y511" i="9"/>
  <c r="X511" i="9"/>
  <c r="W511" i="9"/>
  <c r="U511" i="9"/>
  <c r="AC511" i="9" s="1"/>
  <c r="AI510" i="9"/>
  <c r="AH510" i="9"/>
  <c r="AG510" i="9"/>
  <c r="AF510" i="9"/>
  <c r="AE510" i="9"/>
  <c r="AD510" i="9"/>
  <c r="AC510" i="9"/>
  <c r="AA510" i="9"/>
  <c r="Z510" i="9"/>
  <c r="Y510" i="9"/>
  <c r="X510" i="9"/>
  <c r="W510" i="9"/>
  <c r="U510" i="9"/>
  <c r="AI509" i="9"/>
  <c r="AH509" i="9"/>
  <c r="AG509" i="9"/>
  <c r="AF509" i="9"/>
  <c r="AE509" i="9"/>
  <c r="AD509" i="9"/>
  <c r="AA509" i="9"/>
  <c r="Z509" i="9"/>
  <c r="Y509" i="9"/>
  <c r="X509" i="9"/>
  <c r="W509" i="9"/>
  <c r="U509" i="9"/>
  <c r="AC509" i="9" s="1"/>
  <c r="AI508" i="9"/>
  <c r="AH508" i="9"/>
  <c r="AG508" i="9"/>
  <c r="AF508" i="9"/>
  <c r="AE508" i="9"/>
  <c r="AD508" i="9"/>
  <c r="AA508" i="9"/>
  <c r="Z508" i="9"/>
  <c r="Y508" i="9"/>
  <c r="X508" i="9"/>
  <c r="W508" i="9"/>
  <c r="U508" i="9"/>
  <c r="AC508" i="9" s="1"/>
  <c r="AI507" i="9"/>
  <c r="AH507" i="9"/>
  <c r="AG507" i="9"/>
  <c r="AF507" i="9"/>
  <c r="AE507" i="9"/>
  <c r="AD507" i="9"/>
  <c r="AA507" i="9"/>
  <c r="Z507" i="9"/>
  <c r="Y507" i="9"/>
  <c r="X507" i="9"/>
  <c r="W507" i="9"/>
  <c r="U507" i="9"/>
  <c r="AC507" i="9" s="1"/>
  <c r="AI506" i="9"/>
  <c r="AH506" i="9"/>
  <c r="AG506" i="9"/>
  <c r="AF506" i="9"/>
  <c r="AE506" i="9"/>
  <c r="AD506" i="9"/>
  <c r="AA506" i="9"/>
  <c r="Z506" i="9"/>
  <c r="Y506" i="9"/>
  <c r="X506" i="9"/>
  <c r="W506" i="9"/>
  <c r="U506" i="9"/>
  <c r="AC506" i="9" s="1"/>
  <c r="AI505" i="9"/>
  <c r="AH505" i="9"/>
  <c r="AG505" i="9"/>
  <c r="AF505" i="9"/>
  <c r="AE505" i="9"/>
  <c r="AD505" i="9"/>
  <c r="AC505" i="9"/>
  <c r="AA505" i="9"/>
  <c r="Z505" i="9"/>
  <c r="Y505" i="9"/>
  <c r="X505" i="9"/>
  <c r="W505" i="9"/>
  <c r="U505" i="9"/>
  <c r="AI504" i="9"/>
  <c r="AH504" i="9"/>
  <c r="AG504" i="9"/>
  <c r="AF504" i="9"/>
  <c r="AE504" i="9"/>
  <c r="AD504" i="9"/>
  <c r="AA504" i="9"/>
  <c r="Z504" i="9"/>
  <c r="Y504" i="9"/>
  <c r="X504" i="9"/>
  <c r="W504" i="9"/>
  <c r="U504" i="9"/>
  <c r="AC504" i="9" s="1"/>
  <c r="AI503" i="9"/>
  <c r="AH503" i="9"/>
  <c r="AG503" i="9"/>
  <c r="AF503" i="9"/>
  <c r="AE503" i="9"/>
  <c r="AD503" i="9"/>
  <c r="AC503" i="9"/>
  <c r="AA503" i="9"/>
  <c r="Z503" i="9"/>
  <c r="Y503" i="9"/>
  <c r="X503" i="9"/>
  <c r="W503" i="9"/>
  <c r="U503" i="9"/>
  <c r="AI502" i="9"/>
  <c r="AH502" i="9"/>
  <c r="AG502" i="9"/>
  <c r="AF502" i="9"/>
  <c r="AE502" i="9"/>
  <c r="AD502" i="9"/>
  <c r="AC502" i="9"/>
  <c r="AA502" i="9"/>
  <c r="Z502" i="9"/>
  <c r="Y502" i="9"/>
  <c r="X502" i="9"/>
  <c r="W502" i="9"/>
  <c r="U502" i="9"/>
  <c r="AI501" i="9"/>
  <c r="AH501" i="9"/>
  <c r="AG501" i="9"/>
  <c r="AF501" i="9"/>
  <c r="AE501" i="9"/>
  <c r="AD501" i="9"/>
  <c r="AC501" i="9"/>
  <c r="AA501" i="9"/>
  <c r="Z501" i="9"/>
  <c r="Y501" i="9"/>
  <c r="X501" i="9"/>
  <c r="W501" i="9"/>
  <c r="U501" i="9"/>
  <c r="AI500" i="9"/>
  <c r="AH500" i="9"/>
  <c r="AG500" i="9"/>
  <c r="AF500" i="9"/>
  <c r="AE500" i="9"/>
  <c r="AD500" i="9"/>
  <c r="AC500" i="9"/>
  <c r="AA500" i="9"/>
  <c r="Z500" i="9"/>
  <c r="Y500" i="9"/>
  <c r="X500" i="9"/>
  <c r="W500" i="9"/>
  <c r="U500" i="9"/>
  <c r="AI499" i="9"/>
  <c r="AH499" i="9"/>
  <c r="AG499" i="9"/>
  <c r="AF499" i="9"/>
  <c r="AE499" i="9"/>
  <c r="AD499" i="9"/>
  <c r="AA499" i="9"/>
  <c r="Z499" i="9"/>
  <c r="Y499" i="9"/>
  <c r="X499" i="9"/>
  <c r="W499" i="9"/>
  <c r="U499" i="9"/>
  <c r="AC499" i="9" s="1"/>
  <c r="AI498" i="9"/>
  <c r="AH498" i="9"/>
  <c r="AG498" i="9"/>
  <c r="AF498" i="9"/>
  <c r="AE498" i="9"/>
  <c r="AD498" i="9"/>
  <c r="AC498" i="9"/>
  <c r="AA498" i="9"/>
  <c r="Z498" i="9"/>
  <c r="Y498" i="9"/>
  <c r="X498" i="9"/>
  <c r="W498" i="9"/>
  <c r="U498" i="9"/>
  <c r="AI497" i="9"/>
  <c r="AH497" i="9"/>
  <c r="AG497" i="9"/>
  <c r="AF497" i="9"/>
  <c r="AE497" i="9"/>
  <c r="AD497" i="9"/>
  <c r="AA497" i="9"/>
  <c r="Z497" i="9"/>
  <c r="Y497" i="9"/>
  <c r="X497" i="9"/>
  <c r="W497" i="9"/>
  <c r="U497" i="9"/>
  <c r="AC497" i="9" s="1"/>
  <c r="AI496" i="9"/>
  <c r="AH496" i="9"/>
  <c r="AG496" i="9"/>
  <c r="AF496" i="9"/>
  <c r="AE496" i="9"/>
  <c r="AD496" i="9"/>
  <c r="AA496" i="9"/>
  <c r="Z496" i="9"/>
  <c r="Y496" i="9"/>
  <c r="X496" i="9"/>
  <c r="W496" i="9"/>
  <c r="U496" i="9"/>
  <c r="AC496" i="9" s="1"/>
  <c r="AI495" i="9"/>
  <c r="AH495" i="9"/>
  <c r="AG495" i="9"/>
  <c r="AF495" i="9"/>
  <c r="AE495" i="9"/>
  <c r="AD495" i="9"/>
  <c r="AA495" i="9"/>
  <c r="Z495" i="9"/>
  <c r="Y495" i="9"/>
  <c r="X495" i="9"/>
  <c r="W495" i="9"/>
  <c r="U495" i="9"/>
  <c r="AC495" i="9" s="1"/>
  <c r="AI494" i="9"/>
  <c r="AH494" i="9"/>
  <c r="AG494" i="9"/>
  <c r="AF494" i="9"/>
  <c r="AE494" i="9"/>
  <c r="AD494" i="9"/>
  <c r="AA494" i="9"/>
  <c r="Z494" i="9"/>
  <c r="Y494" i="9"/>
  <c r="X494" i="9"/>
  <c r="W494" i="9"/>
  <c r="U494" i="9"/>
  <c r="AC494" i="9" s="1"/>
  <c r="AI493" i="9"/>
  <c r="AH493" i="9"/>
  <c r="AG493" i="9"/>
  <c r="AF493" i="9"/>
  <c r="AE493" i="9"/>
  <c r="AD493" i="9"/>
  <c r="AC493" i="9"/>
  <c r="AA493" i="9"/>
  <c r="Z493" i="9"/>
  <c r="Y493" i="9"/>
  <c r="X493" i="9"/>
  <c r="W493" i="9"/>
  <c r="U493" i="9"/>
  <c r="AI492" i="9"/>
  <c r="AH492" i="9"/>
  <c r="AG492" i="9"/>
  <c r="AF492" i="9"/>
  <c r="AE492" i="9"/>
  <c r="AD492" i="9"/>
  <c r="AA492" i="9"/>
  <c r="Z492" i="9"/>
  <c r="Y492" i="9"/>
  <c r="X492" i="9"/>
  <c r="W492" i="9"/>
  <c r="U492" i="9"/>
  <c r="AC492" i="9" s="1"/>
  <c r="AI491" i="9"/>
  <c r="AH491" i="9"/>
  <c r="AG491" i="9"/>
  <c r="AF491" i="9"/>
  <c r="AE491" i="9"/>
  <c r="AD491" i="9"/>
  <c r="AC491" i="9"/>
  <c r="AA491" i="9"/>
  <c r="Z491" i="9"/>
  <c r="Y491" i="9"/>
  <c r="X491" i="9"/>
  <c r="W491" i="9"/>
  <c r="U491" i="9"/>
  <c r="AI490" i="9"/>
  <c r="AH490" i="9"/>
  <c r="AG490" i="9"/>
  <c r="AF490" i="9"/>
  <c r="AE490" i="9"/>
  <c r="AD490" i="9"/>
  <c r="AC490" i="9"/>
  <c r="AA490" i="9"/>
  <c r="Z490" i="9"/>
  <c r="Y490" i="9"/>
  <c r="X490" i="9"/>
  <c r="W490" i="9"/>
  <c r="U490" i="9"/>
  <c r="AI489" i="9"/>
  <c r="AH489" i="9"/>
  <c r="AG489" i="9"/>
  <c r="AF489" i="9"/>
  <c r="AE489" i="9"/>
  <c r="AD489" i="9"/>
  <c r="AC489" i="9"/>
  <c r="AA489" i="9"/>
  <c r="Z489" i="9"/>
  <c r="Y489" i="9"/>
  <c r="X489" i="9"/>
  <c r="W489" i="9"/>
  <c r="U489" i="9"/>
  <c r="AI488" i="9"/>
  <c r="AH488" i="9"/>
  <c r="AG488" i="9"/>
  <c r="AF488" i="9"/>
  <c r="AE488" i="9"/>
  <c r="AD488" i="9"/>
  <c r="AC488" i="9"/>
  <c r="AA488" i="9"/>
  <c r="Z488" i="9"/>
  <c r="Y488" i="9"/>
  <c r="X488" i="9"/>
  <c r="W488" i="9"/>
  <c r="U488" i="9"/>
  <c r="AI487" i="9"/>
  <c r="AH487" i="9"/>
  <c r="AG487" i="9"/>
  <c r="AF487" i="9"/>
  <c r="AE487" i="9"/>
  <c r="AD487" i="9"/>
  <c r="AA487" i="9"/>
  <c r="Z487" i="9"/>
  <c r="Y487" i="9"/>
  <c r="X487" i="9"/>
  <c r="W487" i="9"/>
  <c r="U487" i="9"/>
  <c r="AC487" i="9" s="1"/>
  <c r="AI486" i="9"/>
  <c r="AH486" i="9"/>
  <c r="AG486" i="9"/>
  <c r="AF486" i="9"/>
  <c r="AE486" i="9"/>
  <c r="AD486" i="9"/>
  <c r="AC486" i="9"/>
  <c r="AA486" i="9"/>
  <c r="Z486" i="9"/>
  <c r="Y486" i="9"/>
  <c r="X486" i="9"/>
  <c r="W486" i="9"/>
  <c r="U486" i="9"/>
  <c r="AI485" i="9"/>
  <c r="AH485" i="9"/>
  <c r="AG485" i="9"/>
  <c r="AF485" i="9"/>
  <c r="AE485" i="9"/>
  <c r="AD485" i="9"/>
  <c r="AA485" i="9"/>
  <c r="Z485" i="9"/>
  <c r="Y485" i="9"/>
  <c r="X485" i="9"/>
  <c r="W485" i="9"/>
  <c r="U485" i="9"/>
  <c r="AC485" i="9" s="1"/>
  <c r="AI484" i="9"/>
  <c r="AH484" i="9"/>
  <c r="AG484" i="9"/>
  <c r="AF484" i="9"/>
  <c r="AE484" i="9"/>
  <c r="AD484" i="9"/>
  <c r="AA484" i="9"/>
  <c r="Z484" i="9"/>
  <c r="Y484" i="9"/>
  <c r="X484" i="9"/>
  <c r="W484" i="9"/>
  <c r="U484" i="9"/>
  <c r="AC484" i="9" s="1"/>
  <c r="AI483" i="9"/>
  <c r="AH483" i="9"/>
  <c r="AG483" i="9"/>
  <c r="AF483" i="9"/>
  <c r="AE483" i="9"/>
  <c r="AD483" i="9"/>
  <c r="AA483" i="9"/>
  <c r="Z483" i="9"/>
  <c r="Y483" i="9"/>
  <c r="X483" i="9"/>
  <c r="W483" i="9"/>
  <c r="U483" i="9"/>
  <c r="AC483" i="9" s="1"/>
  <c r="AI482" i="9"/>
  <c r="AH482" i="9"/>
  <c r="AG482" i="9"/>
  <c r="AF482" i="9"/>
  <c r="AE482" i="9"/>
  <c r="AD482" i="9"/>
  <c r="AA482" i="9"/>
  <c r="Z482" i="9"/>
  <c r="Y482" i="9"/>
  <c r="X482" i="9"/>
  <c r="W482" i="9"/>
  <c r="U482" i="9"/>
  <c r="AC482" i="9" s="1"/>
  <c r="AI481" i="9"/>
  <c r="AH481" i="9"/>
  <c r="AG481" i="9"/>
  <c r="AF481" i="9"/>
  <c r="AE481" i="9"/>
  <c r="AD481" i="9"/>
  <c r="AC481" i="9"/>
  <c r="AA481" i="9"/>
  <c r="Z481" i="9"/>
  <c r="Y481" i="9"/>
  <c r="X481" i="9"/>
  <c r="W481" i="9"/>
  <c r="U481" i="9"/>
  <c r="AI480" i="9"/>
  <c r="AH480" i="9"/>
  <c r="AG480" i="9"/>
  <c r="AF480" i="9"/>
  <c r="AE480" i="9"/>
  <c r="AD480" i="9"/>
  <c r="AA480" i="9"/>
  <c r="Z480" i="9"/>
  <c r="Y480" i="9"/>
  <c r="X480" i="9"/>
  <c r="W480" i="9"/>
  <c r="U480" i="9"/>
  <c r="AC480" i="9" s="1"/>
  <c r="AI479" i="9"/>
  <c r="AH479" i="9"/>
  <c r="AG479" i="9"/>
  <c r="AF479" i="9"/>
  <c r="AE479" i="9"/>
  <c r="AD479" i="9"/>
  <c r="AC479" i="9"/>
  <c r="AA479" i="9"/>
  <c r="Z479" i="9"/>
  <c r="Y479" i="9"/>
  <c r="X479" i="9"/>
  <c r="W479" i="9"/>
  <c r="U479" i="9"/>
  <c r="AI478" i="9"/>
  <c r="AH478" i="9"/>
  <c r="AG478" i="9"/>
  <c r="AF478" i="9"/>
  <c r="AE478" i="9"/>
  <c r="AD478" i="9"/>
  <c r="AC478" i="9"/>
  <c r="AA478" i="9"/>
  <c r="Z478" i="9"/>
  <c r="Y478" i="9"/>
  <c r="X478" i="9"/>
  <c r="W478" i="9"/>
  <c r="U478" i="9"/>
  <c r="AI477" i="9"/>
  <c r="AH477" i="9"/>
  <c r="AG477" i="9"/>
  <c r="AF477" i="9"/>
  <c r="AE477" i="9"/>
  <c r="AD477" i="9"/>
  <c r="AC477" i="9"/>
  <c r="AA477" i="9"/>
  <c r="Z477" i="9"/>
  <c r="Y477" i="9"/>
  <c r="X477" i="9"/>
  <c r="W477" i="9"/>
  <c r="U477" i="9"/>
  <c r="AI476" i="9"/>
  <c r="AH476" i="9"/>
  <c r="AG476" i="9"/>
  <c r="AF476" i="9"/>
  <c r="AE476" i="9"/>
  <c r="AD476" i="9"/>
  <c r="AC476" i="9"/>
  <c r="AA476" i="9"/>
  <c r="Z476" i="9"/>
  <c r="Y476" i="9"/>
  <c r="X476" i="9"/>
  <c r="W476" i="9"/>
  <c r="U476" i="9"/>
  <c r="AI475" i="9"/>
  <c r="AH475" i="9"/>
  <c r="AG475" i="9"/>
  <c r="AF475" i="9"/>
  <c r="AE475" i="9"/>
  <c r="AD475" i="9"/>
  <c r="AA475" i="9"/>
  <c r="Z475" i="9"/>
  <c r="Y475" i="9"/>
  <c r="X475" i="9"/>
  <c r="W475" i="9"/>
  <c r="U475" i="9"/>
  <c r="AC475" i="9" s="1"/>
  <c r="AI474" i="9"/>
  <c r="AH474" i="9"/>
  <c r="AG474" i="9"/>
  <c r="AF474" i="9"/>
  <c r="AE474" i="9"/>
  <c r="AD474" i="9"/>
  <c r="AC474" i="9"/>
  <c r="AA474" i="9"/>
  <c r="Z474" i="9"/>
  <c r="Y474" i="9"/>
  <c r="X474" i="9"/>
  <c r="W474" i="9"/>
  <c r="U474" i="9"/>
  <c r="AI473" i="9"/>
  <c r="AH473" i="9"/>
  <c r="AG473" i="9"/>
  <c r="AF473" i="9"/>
  <c r="AE473" i="9"/>
  <c r="AD473" i="9"/>
  <c r="AA473" i="9"/>
  <c r="Z473" i="9"/>
  <c r="Y473" i="9"/>
  <c r="X473" i="9"/>
  <c r="W473" i="9"/>
  <c r="U473" i="9"/>
  <c r="AC473" i="9" s="1"/>
  <c r="AI472" i="9"/>
  <c r="AH472" i="9"/>
  <c r="AG472" i="9"/>
  <c r="AF472" i="9"/>
  <c r="AE472" i="9"/>
  <c r="AD472" i="9"/>
  <c r="AA472" i="9"/>
  <c r="Z472" i="9"/>
  <c r="Y472" i="9"/>
  <c r="X472" i="9"/>
  <c r="W472" i="9"/>
  <c r="U472" i="9"/>
  <c r="AC472" i="9" s="1"/>
  <c r="AI471" i="9"/>
  <c r="AH471" i="9"/>
  <c r="AG471" i="9"/>
  <c r="AF471" i="9"/>
  <c r="AE471" i="9"/>
  <c r="AD471" i="9"/>
  <c r="AA471" i="9"/>
  <c r="Z471" i="9"/>
  <c r="Y471" i="9"/>
  <c r="X471" i="9"/>
  <c r="W471" i="9"/>
  <c r="U471" i="9"/>
  <c r="AC471" i="9" s="1"/>
  <c r="AI470" i="9"/>
  <c r="AH470" i="9"/>
  <c r="AG470" i="9"/>
  <c r="AF470" i="9"/>
  <c r="AE470" i="9"/>
  <c r="AD470" i="9"/>
  <c r="AA470" i="9"/>
  <c r="Z470" i="9"/>
  <c r="Y470" i="9"/>
  <c r="X470" i="9"/>
  <c r="W470" i="9"/>
  <c r="U470" i="9"/>
  <c r="AC470" i="9" s="1"/>
  <c r="AI469" i="9"/>
  <c r="AH469" i="9"/>
  <c r="AG469" i="9"/>
  <c r="AF469" i="9"/>
  <c r="AE469" i="9"/>
  <c r="AD469" i="9"/>
  <c r="AC469" i="9"/>
  <c r="AA469" i="9"/>
  <c r="Z469" i="9"/>
  <c r="Y469" i="9"/>
  <c r="X469" i="9"/>
  <c r="W469" i="9"/>
  <c r="U469" i="9"/>
  <c r="AI468" i="9"/>
  <c r="AH468" i="9"/>
  <c r="AG468" i="9"/>
  <c r="AF468" i="9"/>
  <c r="AE468" i="9"/>
  <c r="AD468" i="9"/>
  <c r="AA468" i="9"/>
  <c r="Z468" i="9"/>
  <c r="Y468" i="9"/>
  <c r="X468" i="9"/>
  <c r="W468" i="9"/>
  <c r="U468" i="9"/>
  <c r="AC468" i="9" s="1"/>
  <c r="AI467" i="9"/>
  <c r="AH467" i="9"/>
  <c r="AG467" i="9"/>
  <c r="AF467" i="9"/>
  <c r="AE467" i="9"/>
  <c r="AD467" i="9"/>
  <c r="AC467" i="9"/>
  <c r="AA467" i="9"/>
  <c r="Z467" i="9"/>
  <c r="Y467" i="9"/>
  <c r="X467" i="9"/>
  <c r="W467" i="9"/>
  <c r="U467" i="9"/>
  <c r="AI466" i="9"/>
  <c r="AH466" i="9"/>
  <c r="AG466" i="9"/>
  <c r="AF466" i="9"/>
  <c r="AE466" i="9"/>
  <c r="AD466" i="9"/>
  <c r="AC466" i="9"/>
  <c r="AA466" i="9"/>
  <c r="Z466" i="9"/>
  <c r="Y466" i="9"/>
  <c r="X466" i="9"/>
  <c r="W466" i="9"/>
  <c r="U466" i="9"/>
  <c r="AI465" i="9"/>
  <c r="AH465" i="9"/>
  <c r="AG465" i="9"/>
  <c r="AF465" i="9"/>
  <c r="AE465" i="9"/>
  <c r="AD465" i="9"/>
  <c r="AC465" i="9"/>
  <c r="AA465" i="9"/>
  <c r="Z465" i="9"/>
  <c r="Y465" i="9"/>
  <c r="X465" i="9"/>
  <c r="W465" i="9"/>
  <c r="U465" i="9"/>
  <c r="AI464" i="9"/>
  <c r="AH464" i="9"/>
  <c r="AG464" i="9"/>
  <c r="AF464" i="9"/>
  <c r="AE464" i="9"/>
  <c r="AD464" i="9"/>
  <c r="AC464" i="9"/>
  <c r="AA464" i="9"/>
  <c r="Z464" i="9"/>
  <c r="Y464" i="9"/>
  <c r="X464" i="9"/>
  <c r="W464" i="9"/>
  <c r="U464" i="9"/>
  <c r="AI463" i="9"/>
  <c r="AH463" i="9"/>
  <c r="AG463" i="9"/>
  <c r="AF463" i="9"/>
  <c r="AE463" i="9"/>
  <c r="AD463" i="9"/>
  <c r="AA463" i="9"/>
  <c r="Z463" i="9"/>
  <c r="Y463" i="9"/>
  <c r="X463" i="9"/>
  <c r="W463" i="9"/>
  <c r="U463" i="9"/>
  <c r="AC463" i="9" s="1"/>
  <c r="AI462" i="9"/>
  <c r="AH462" i="9"/>
  <c r="AG462" i="9"/>
  <c r="AF462" i="9"/>
  <c r="AE462" i="9"/>
  <c r="AD462" i="9"/>
  <c r="AA462" i="9"/>
  <c r="Z462" i="9"/>
  <c r="Y462" i="9"/>
  <c r="X462" i="9"/>
  <c r="W462" i="9"/>
  <c r="U462" i="9"/>
  <c r="AC462" i="9" s="1"/>
  <c r="AI461" i="9"/>
  <c r="AH461" i="9"/>
  <c r="AG461" i="9"/>
  <c r="AF461" i="9"/>
  <c r="AE461" i="9"/>
  <c r="AD461" i="9"/>
  <c r="AA461" i="9"/>
  <c r="Z461" i="9"/>
  <c r="Y461" i="9"/>
  <c r="X461" i="9"/>
  <c r="W461" i="9"/>
  <c r="U461" i="9"/>
  <c r="AC461" i="9" s="1"/>
  <c r="AI460" i="9"/>
  <c r="AH460" i="9"/>
  <c r="AG460" i="9"/>
  <c r="AF460" i="9"/>
  <c r="AE460" i="9"/>
  <c r="AD460" i="9"/>
  <c r="AA460" i="9"/>
  <c r="Z460" i="9"/>
  <c r="Y460" i="9"/>
  <c r="X460" i="9"/>
  <c r="W460" i="9"/>
  <c r="U460" i="9"/>
  <c r="AC460" i="9" s="1"/>
  <c r="AI459" i="9"/>
  <c r="AH459" i="9"/>
  <c r="AG459" i="9"/>
  <c r="AF459" i="9"/>
  <c r="AE459" i="9"/>
  <c r="AD459" i="9"/>
  <c r="AA459" i="9"/>
  <c r="Z459" i="9"/>
  <c r="Y459" i="9"/>
  <c r="X459" i="9"/>
  <c r="W459" i="9"/>
  <c r="U459" i="9"/>
  <c r="AC459" i="9" s="1"/>
  <c r="AI458" i="9"/>
  <c r="AH458" i="9"/>
  <c r="AG458" i="9"/>
  <c r="AF458" i="9"/>
  <c r="AE458" i="9"/>
  <c r="AD458" i="9"/>
  <c r="AA458" i="9"/>
  <c r="Z458" i="9"/>
  <c r="Y458" i="9"/>
  <c r="X458" i="9"/>
  <c r="W458" i="9"/>
  <c r="U458" i="9"/>
  <c r="AC458" i="9" s="1"/>
  <c r="AI457" i="9"/>
  <c r="AH457" i="9"/>
  <c r="AG457" i="9"/>
  <c r="AF457" i="9"/>
  <c r="AE457" i="9"/>
  <c r="AD457" i="9"/>
  <c r="AC457" i="9"/>
  <c r="AA457" i="9"/>
  <c r="Z457" i="9"/>
  <c r="Y457" i="9"/>
  <c r="X457" i="9"/>
  <c r="W457" i="9"/>
  <c r="U457" i="9"/>
  <c r="AI456" i="9"/>
  <c r="AH456" i="9"/>
  <c r="AG456" i="9"/>
  <c r="AF456" i="9"/>
  <c r="AE456" i="9"/>
  <c r="AD456" i="9"/>
  <c r="AC456" i="9"/>
  <c r="AA456" i="9"/>
  <c r="Z456" i="9"/>
  <c r="Y456" i="9"/>
  <c r="X456" i="9"/>
  <c r="W456" i="9"/>
  <c r="U456" i="9"/>
  <c r="AI455" i="9"/>
  <c r="AH455" i="9"/>
  <c r="AG455" i="9"/>
  <c r="AF455" i="9"/>
  <c r="AE455" i="9"/>
  <c r="AD455" i="9"/>
  <c r="AC455" i="9"/>
  <c r="AA455" i="9"/>
  <c r="Z455" i="9"/>
  <c r="Y455" i="9"/>
  <c r="X455" i="9"/>
  <c r="W455" i="9"/>
  <c r="U455" i="9"/>
  <c r="AI454" i="9"/>
  <c r="AH454" i="9"/>
  <c r="AG454" i="9"/>
  <c r="AF454" i="9"/>
  <c r="AE454" i="9"/>
  <c r="AD454" i="9"/>
  <c r="AC454" i="9"/>
  <c r="AA454" i="9"/>
  <c r="Z454" i="9"/>
  <c r="Y454" i="9"/>
  <c r="X454" i="9"/>
  <c r="W454" i="9"/>
  <c r="U454" i="9"/>
  <c r="AI453" i="9"/>
  <c r="AH453" i="9"/>
  <c r="AG453" i="9"/>
  <c r="AF453" i="9"/>
  <c r="AE453" i="9"/>
  <c r="AD453" i="9"/>
  <c r="AC453" i="9"/>
  <c r="AA453" i="9"/>
  <c r="Z453" i="9"/>
  <c r="Y453" i="9"/>
  <c r="X453" i="9"/>
  <c r="W453" i="9"/>
  <c r="U453" i="9"/>
  <c r="AI452" i="9"/>
  <c r="AH452" i="9"/>
  <c r="AG452" i="9"/>
  <c r="AF452" i="9"/>
  <c r="AE452" i="9"/>
  <c r="AD452" i="9"/>
  <c r="AC452" i="9"/>
  <c r="AA452" i="9"/>
  <c r="Z452" i="9"/>
  <c r="Y452" i="9"/>
  <c r="X452" i="9"/>
  <c r="W452" i="9"/>
  <c r="U452" i="9"/>
  <c r="AI451" i="9"/>
  <c r="AH451" i="9"/>
  <c r="AG451" i="9"/>
  <c r="AF451" i="9"/>
  <c r="AE451" i="9"/>
  <c r="AD451" i="9"/>
  <c r="AA451" i="9"/>
  <c r="Z451" i="9"/>
  <c r="Y451" i="9"/>
  <c r="X451" i="9"/>
  <c r="W451" i="9"/>
  <c r="U451" i="9"/>
  <c r="AC451" i="9" s="1"/>
  <c r="AI450" i="9"/>
  <c r="AH450" i="9"/>
  <c r="AG450" i="9"/>
  <c r="AF450" i="9"/>
  <c r="AE450" i="9"/>
  <c r="AD450" i="9"/>
  <c r="AA450" i="9"/>
  <c r="Z450" i="9"/>
  <c r="Y450" i="9"/>
  <c r="X450" i="9"/>
  <c r="W450" i="9"/>
  <c r="U450" i="9"/>
  <c r="AC450" i="9" s="1"/>
  <c r="AI449" i="9"/>
  <c r="AH449" i="9"/>
  <c r="AG449" i="9"/>
  <c r="AF449" i="9"/>
  <c r="AE449" i="9"/>
  <c r="AD449" i="9"/>
  <c r="AA449" i="9"/>
  <c r="Z449" i="9"/>
  <c r="Y449" i="9"/>
  <c r="X449" i="9"/>
  <c r="W449" i="9"/>
  <c r="U449" i="9"/>
  <c r="AC449" i="9" s="1"/>
  <c r="AI448" i="9"/>
  <c r="AH448" i="9"/>
  <c r="AG448" i="9"/>
  <c r="AF448" i="9"/>
  <c r="AE448" i="9"/>
  <c r="AD448" i="9"/>
  <c r="AA448" i="9"/>
  <c r="Z448" i="9"/>
  <c r="Y448" i="9"/>
  <c r="X448" i="9"/>
  <c r="W448" i="9"/>
  <c r="U448" i="9"/>
  <c r="AC448" i="9" s="1"/>
  <c r="AI447" i="9"/>
  <c r="AH447" i="9"/>
  <c r="AG447" i="9"/>
  <c r="AF447" i="9"/>
  <c r="AE447" i="9"/>
  <c r="AD447" i="9"/>
  <c r="AA447" i="9"/>
  <c r="Z447" i="9"/>
  <c r="Y447" i="9"/>
  <c r="X447" i="9"/>
  <c r="W447" i="9"/>
  <c r="U447" i="9"/>
  <c r="AC447" i="9" s="1"/>
  <c r="AI446" i="9"/>
  <c r="AH446" i="9"/>
  <c r="AG446" i="9"/>
  <c r="AF446" i="9"/>
  <c r="AE446" i="9"/>
  <c r="AD446" i="9"/>
  <c r="AA446" i="9"/>
  <c r="Z446" i="9"/>
  <c r="Y446" i="9"/>
  <c r="X446" i="9"/>
  <c r="W446" i="9"/>
  <c r="U446" i="9"/>
  <c r="AC446" i="9" s="1"/>
  <c r="AI445" i="9"/>
  <c r="AH445" i="9"/>
  <c r="AG445" i="9"/>
  <c r="AF445" i="9"/>
  <c r="AE445" i="9"/>
  <c r="AD445" i="9"/>
  <c r="AC445" i="9"/>
  <c r="AA445" i="9"/>
  <c r="Z445" i="9"/>
  <c r="Y445" i="9"/>
  <c r="X445" i="9"/>
  <c r="W445" i="9"/>
  <c r="U445" i="9"/>
  <c r="AI444" i="9"/>
  <c r="AH444" i="9"/>
  <c r="AG444" i="9"/>
  <c r="AF444" i="9"/>
  <c r="AE444" i="9"/>
  <c r="AD444" i="9"/>
  <c r="AC444" i="9"/>
  <c r="AA444" i="9"/>
  <c r="Z444" i="9"/>
  <c r="Y444" i="9"/>
  <c r="X444" i="9"/>
  <c r="W444" i="9"/>
  <c r="U444" i="9"/>
  <c r="AI443" i="9"/>
  <c r="AH443" i="9"/>
  <c r="AG443" i="9"/>
  <c r="AF443" i="9"/>
  <c r="AE443" i="9"/>
  <c r="AD443" i="9"/>
  <c r="AC443" i="9"/>
  <c r="AA443" i="9"/>
  <c r="Z443" i="9"/>
  <c r="Y443" i="9"/>
  <c r="X443" i="9"/>
  <c r="W443" i="9"/>
  <c r="U443" i="9"/>
  <c r="AI442" i="9"/>
  <c r="AH442" i="9"/>
  <c r="AG442" i="9"/>
  <c r="AF442" i="9"/>
  <c r="AE442" i="9"/>
  <c r="AD442" i="9"/>
  <c r="AC442" i="9"/>
  <c r="AA442" i="9"/>
  <c r="Z442" i="9"/>
  <c r="Y442" i="9"/>
  <c r="X442" i="9"/>
  <c r="W442" i="9"/>
  <c r="U442" i="9"/>
  <c r="AI441" i="9"/>
  <c r="AH441" i="9"/>
  <c r="AG441" i="9"/>
  <c r="AF441" i="9"/>
  <c r="AE441" i="9"/>
  <c r="AD441" i="9"/>
  <c r="AC441" i="9"/>
  <c r="AA441" i="9"/>
  <c r="Z441" i="9"/>
  <c r="Y441" i="9"/>
  <c r="X441" i="9"/>
  <c r="W441" i="9"/>
  <c r="U441" i="9"/>
  <c r="AI440" i="9"/>
  <c r="AH440" i="9"/>
  <c r="AG440" i="9"/>
  <c r="AF440" i="9"/>
  <c r="AE440" i="9"/>
  <c r="AD440" i="9"/>
  <c r="AC440" i="9"/>
  <c r="AA440" i="9"/>
  <c r="Z440" i="9"/>
  <c r="Y440" i="9"/>
  <c r="X440" i="9"/>
  <c r="W440" i="9"/>
  <c r="U440" i="9"/>
  <c r="AI439" i="9"/>
  <c r="AH439" i="9"/>
  <c r="AG439" i="9"/>
  <c r="AF439" i="9"/>
  <c r="AE439" i="9"/>
  <c r="AD439" i="9"/>
  <c r="AA439" i="9"/>
  <c r="Z439" i="9"/>
  <c r="Y439" i="9"/>
  <c r="X439" i="9"/>
  <c r="W439" i="9"/>
  <c r="U439" i="9"/>
  <c r="AC439" i="9" s="1"/>
  <c r="AI438" i="9"/>
  <c r="AH438" i="9"/>
  <c r="AG438" i="9"/>
  <c r="AF438" i="9"/>
  <c r="AE438" i="9"/>
  <c r="AD438" i="9"/>
  <c r="AA438" i="9"/>
  <c r="Z438" i="9"/>
  <c r="Y438" i="9"/>
  <c r="X438" i="9"/>
  <c r="W438" i="9"/>
  <c r="U438" i="9"/>
  <c r="AC438" i="9" s="1"/>
  <c r="AI437" i="9"/>
  <c r="AH437" i="9"/>
  <c r="AG437" i="9"/>
  <c r="AF437" i="9"/>
  <c r="AE437" i="9"/>
  <c r="AD437" i="9"/>
  <c r="AA437" i="9"/>
  <c r="Z437" i="9"/>
  <c r="Y437" i="9"/>
  <c r="X437" i="9"/>
  <c r="W437" i="9"/>
  <c r="U437" i="9"/>
  <c r="AC437" i="9" s="1"/>
  <c r="AI436" i="9"/>
  <c r="AH436" i="9"/>
  <c r="AG436" i="9"/>
  <c r="AF436" i="9"/>
  <c r="AE436" i="9"/>
  <c r="AD436" i="9"/>
  <c r="AA436" i="9"/>
  <c r="Z436" i="9"/>
  <c r="Y436" i="9"/>
  <c r="X436" i="9"/>
  <c r="W436" i="9"/>
  <c r="U436" i="9"/>
  <c r="AC436" i="9" s="1"/>
  <c r="AI435" i="9"/>
  <c r="AH435" i="9"/>
  <c r="AG435" i="9"/>
  <c r="AF435" i="9"/>
  <c r="AE435" i="9"/>
  <c r="AD435" i="9"/>
  <c r="AA435" i="9"/>
  <c r="Z435" i="9"/>
  <c r="Y435" i="9"/>
  <c r="X435" i="9"/>
  <c r="W435" i="9"/>
  <c r="U435" i="9"/>
  <c r="AC435" i="9" s="1"/>
  <c r="AI434" i="9"/>
  <c r="AH434" i="9"/>
  <c r="AG434" i="9"/>
  <c r="AF434" i="9"/>
  <c r="AE434" i="9"/>
  <c r="AD434" i="9"/>
  <c r="AA434" i="9"/>
  <c r="Z434" i="9"/>
  <c r="Y434" i="9"/>
  <c r="X434" i="9"/>
  <c r="W434" i="9"/>
  <c r="U434" i="9"/>
  <c r="AC434" i="9" s="1"/>
  <c r="AI433" i="9"/>
  <c r="AH433" i="9"/>
  <c r="AG433" i="9"/>
  <c r="AF433" i="9"/>
  <c r="AE433" i="9"/>
  <c r="AD433" i="9"/>
  <c r="AC433" i="9"/>
  <c r="AA433" i="9"/>
  <c r="Z433" i="9"/>
  <c r="Y433" i="9"/>
  <c r="X433" i="9"/>
  <c r="W433" i="9"/>
  <c r="U433" i="9"/>
  <c r="AI432" i="9"/>
  <c r="AH432" i="9"/>
  <c r="AG432" i="9"/>
  <c r="AF432" i="9"/>
  <c r="AE432" i="9"/>
  <c r="AD432" i="9"/>
  <c r="AC432" i="9"/>
  <c r="AA432" i="9"/>
  <c r="Z432" i="9"/>
  <c r="Y432" i="9"/>
  <c r="X432" i="9"/>
  <c r="W432" i="9"/>
  <c r="U432" i="9"/>
  <c r="AI431" i="9"/>
  <c r="AH431" i="9"/>
  <c r="AG431" i="9"/>
  <c r="AF431" i="9"/>
  <c r="AE431" i="9"/>
  <c r="AD431" i="9"/>
  <c r="AC431" i="9"/>
  <c r="AA431" i="9"/>
  <c r="Z431" i="9"/>
  <c r="Y431" i="9"/>
  <c r="X431" i="9"/>
  <c r="W431" i="9"/>
  <c r="U431" i="9"/>
  <c r="AI430" i="9"/>
  <c r="AH430" i="9"/>
  <c r="AG430" i="9"/>
  <c r="AF430" i="9"/>
  <c r="AE430" i="9"/>
  <c r="AD430" i="9"/>
  <c r="AC430" i="9"/>
  <c r="AA430" i="9"/>
  <c r="Z430" i="9"/>
  <c r="Y430" i="9"/>
  <c r="X430" i="9"/>
  <c r="W430" i="9"/>
  <c r="U430" i="9"/>
  <c r="AI429" i="9"/>
  <c r="AH429" i="9"/>
  <c r="AG429" i="9"/>
  <c r="AF429" i="9"/>
  <c r="AE429" i="9"/>
  <c r="AD429" i="9"/>
  <c r="AC429" i="9"/>
  <c r="AA429" i="9"/>
  <c r="Z429" i="9"/>
  <c r="Y429" i="9"/>
  <c r="X429" i="9"/>
  <c r="W429" i="9"/>
  <c r="U429" i="9"/>
  <c r="AI428" i="9"/>
  <c r="AH428" i="9"/>
  <c r="AG428" i="9"/>
  <c r="AF428" i="9"/>
  <c r="AE428" i="9"/>
  <c r="AD428" i="9"/>
  <c r="AC428" i="9"/>
  <c r="AA428" i="9"/>
  <c r="Z428" i="9"/>
  <c r="Y428" i="9"/>
  <c r="X428" i="9"/>
  <c r="W428" i="9"/>
  <c r="U428" i="9"/>
  <c r="AI427" i="9"/>
  <c r="AH427" i="9"/>
  <c r="AG427" i="9"/>
  <c r="AF427" i="9"/>
  <c r="AE427" i="9"/>
  <c r="AD427" i="9"/>
  <c r="AA427" i="9"/>
  <c r="Z427" i="9"/>
  <c r="Y427" i="9"/>
  <c r="X427" i="9"/>
  <c r="W427" i="9"/>
  <c r="U427" i="9"/>
  <c r="AC427" i="9" s="1"/>
  <c r="AI426" i="9"/>
  <c r="AH426" i="9"/>
  <c r="AG426" i="9"/>
  <c r="AF426" i="9"/>
  <c r="AE426" i="9"/>
  <c r="AD426" i="9"/>
  <c r="AA426" i="9"/>
  <c r="Z426" i="9"/>
  <c r="Y426" i="9"/>
  <c r="X426" i="9"/>
  <c r="W426" i="9"/>
  <c r="U426" i="9"/>
  <c r="AC426" i="9" s="1"/>
  <c r="AI425" i="9"/>
  <c r="AH425" i="9"/>
  <c r="AG425" i="9"/>
  <c r="AF425" i="9"/>
  <c r="AE425" i="9"/>
  <c r="AD425" i="9"/>
  <c r="AA425" i="9"/>
  <c r="Z425" i="9"/>
  <c r="Y425" i="9"/>
  <c r="X425" i="9"/>
  <c r="W425" i="9"/>
  <c r="U425" i="9"/>
  <c r="AC425" i="9" s="1"/>
  <c r="AI424" i="9"/>
  <c r="AH424" i="9"/>
  <c r="AG424" i="9"/>
  <c r="AF424" i="9"/>
  <c r="AE424" i="9"/>
  <c r="AD424" i="9"/>
  <c r="AA424" i="9"/>
  <c r="Z424" i="9"/>
  <c r="Y424" i="9"/>
  <c r="X424" i="9"/>
  <c r="W424" i="9"/>
  <c r="U424" i="9"/>
  <c r="AC424" i="9" s="1"/>
  <c r="AI423" i="9"/>
  <c r="AH423" i="9"/>
  <c r="AG423" i="9"/>
  <c r="AF423" i="9"/>
  <c r="AE423" i="9"/>
  <c r="AD423" i="9"/>
  <c r="AA423" i="9"/>
  <c r="Z423" i="9"/>
  <c r="Y423" i="9"/>
  <c r="X423" i="9"/>
  <c r="W423" i="9"/>
  <c r="U423" i="9"/>
  <c r="AC423" i="9" s="1"/>
  <c r="AI422" i="9"/>
  <c r="AH422" i="9"/>
  <c r="AG422" i="9"/>
  <c r="AF422" i="9"/>
  <c r="AE422" i="9"/>
  <c r="AD422" i="9"/>
  <c r="AA422" i="9"/>
  <c r="Z422" i="9"/>
  <c r="Y422" i="9"/>
  <c r="X422" i="9"/>
  <c r="W422" i="9"/>
  <c r="U422" i="9"/>
  <c r="AC422" i="9" s="1"/>
  <c r="AI421" i="9"/>
  <c r="AH421" i="9"/>
  <c r="AG421" i="9"/>
  <c r="AF421" i="9"/>
  <c r="AE421" i="9"/>
  <c r="AD421" i="9"/>
  <c r="AC421" i="9"/>
  <c r="AA421" i="9"/>
  <c r="Z421" i="9"/>
  <c r="Y421" i="9"/>
  <c r="X421" i="9"/>
  <c r="W421" i="9"/>
  <c r="U421" i="9"/>
  <c r="AI420" i="9"/>
  <c r="AH420" i="9"/>
  <c r="AG420" i="9"/>
  <c r="AF420" i="9"/>
  <c r="AE420" i="9"/>
  <c r="AD420" i="9"/>
  <c r="AA420" i="9"/>
  <c r="Z420" i="9"/>
  <c r="Y420" i="9"/>
  <c r="X420" i="9"/>
  <c r="W420" i="9"/>
  <c r="U420" i="9"/>
  <c r="AC420" i="9" s="1"/>
  <c r="AI419" i="9"/>
  <c r="AH419" i="9"/>
  <c r="AG419" i="9"/>
  <c r="AF419" i="9"/>
  <c r="AE419" i="9"/>
  <c r="AD419" i="9"/>
  <c r="AC419" i="9"/>
  <c r="AA419" i="9"/>
  <c r="Z419" i="9"/>
  <c r="Y419" i="9"/>
  <c r="X419" i="9"/>
  <c r="W419" i="9"/>
  <c r="U419" i="9"/>
  <c r="AI418" i="9"/>
  <c r="AH418" i="9"/>
  <c r="AG418" i="9"/>
  <c r="AF418" i="9"/>
  <c r="AE418" i="9"/>
  <c r="AD418" i="9"/>
  <c r="AC418" i="9"/>
  <c r="AA418" i="9"/>
  <c r="Z418" i="9"/>
  <c r="Y418" i="9"/>
  <c r="X418" i="9"/>
  <c r="W418" i="9"/>
  <c r="U418" i="9"/>
  <c r="AI417" i="9"/>
  <c r="AH417" i="9"/>
  <c r="AG417" i="9"/>
  <c r="AF417" i="9"/>
  <c r="AE417" i="9"/>
  <c r="AD417" i="9"/>
  <c r="AC417" i="9"/>
  <c r="AA417" i="9"/>
  <c r="Z417" i="9"/>
  <c r="Y417" i="9"/>
  <c r="X417" i="9"/>
  <c r="W417" i="9"/>
  <c r="U417" i="9"/>
  <c r="AI416" i="9"/>
  <c r="AH416" i="9"/>
  <c r="AG416" i="9"/>
  <c r="AF416" i="9"/>
  <c r="AE416" i="9"/>
  <c r="AD416" i="9"/>
  <c r="AC416" i="9"/>
  <c r="AA416" i="9"/>
  <c r="Z416" i="9"/>
  <c r="Y416" i="9"/>
  <c r="X416" i="9"/>
  <c r="W416" i="9"/>
  <c r="U416" i="9"/>
  <c r="AI415" i="9"/>
  <c r="AH415" i="9"/>
  <c r="AG415" i="9"/>
  <c r="AF415" i="9"/>
  <c r="AE415" i="9"/>
  <c r="AD415" i="9"/>
  <c r="AA415" i="9"/>
  <c r="Z415" i="9"/>
  <c r="Y415" i="9"/>
  <c r="X415" i="9"/>
  <c r="W415" i="9"/>
  <c r="U415" i="9"/>
  <c r="AC415" i="9" s="1"/>
  <c r="AI414" i="9"/>
  <c r="AH414" i="9"/>
  <c r="AG414" i="9"/>
  <c r="AF414" i="9"/>
  <c r="AE414" i="9"/>
  <c r="AD414" i="9"/>
  <c r="AA414" i="9"/>
  <c r="Z414" i="9"/>
  <c r="Y414" i="9"/>
  <c r="X414" i="9"/>
  <c r="W414" i="9"/>
  <c r="U414" i="9"/>
  <c r="AC414" i="9" s="1"/>
  <c r="AI413" i="9"/>
  <c r="AH413" i="9"/>
  <c r="AG413" i="9"/>
  <c r="AF413" i="9"/>
  <c r="AE413" i="9"/>
  <c r="AD413" i="9"/>
  <c r="AA413" i="9"/>
  <c r="Z413" i="9"/>
  <c r="Y413" i="9"/>
  <c r="X413" i="9"/>
  <c r="W413" i="9"/>
  <c r="U413" i="9"/>
  <c r="AC413" i="9" s="1"/>
  <c r="AI412" i="9"/>
  <c r="AH412" i="9"/>
  <c r="AG412" i="9"/>
  <c r="AF412" i="9"/>
  <c r="AE412" i="9"/>
  <c r="AD412" i="9"/>
  <c r="AA412" i="9"/>
  <c r="Z412" i="9"/>
  <c r="Y412" i="9"/>
  <c r="X412" i="9"/>
  <c r="W412" i="9"/>
  <c r="U412" i="9"/>
  <c r="AC412" i="9" s="1"/>
  <c r="AI411" i="9"/>
  <c r="AH411" i="9"/>
  <c r="AG411" i="9"/>
  <c r="AF411" i="9"/>
  <c r="AE411" i="9"/>
  <c r="AD411" i="9"/>
  <c r="AA411" i="9"/>
  <c r="Z411" i="9"/>
  <c r="Y411" i="9"/>
  <c r="X411" i="9"/>
  <c r="W411" i="9"/>
  <c r="U411" i="9"/>
  <c r="AC411" i="9" s="1"/>
  <c r="AI410" i="9"/>
  <c r="AH410" i="9"/>
  <c r="AG410" i="9"/>
  <c r="AF410" i="9"/>
  <c r="AE410" i="9"/>
  <c r="AD410" i="9"/>
  <c r="AA410" i="9"/>
  <c r="Z410" i="9"/>
  <c r="Y410" i="9"/>
  <c r="X410" i="9"/>
  <c r="W410" i="9"/>
  <c r="U410" i="9"/>
  <c r="AC410" i="9" s="1"/>
  <c r="AI409" i="9"/>
  <c r="AH409" i="9"/>
  <c r="AG409" i="9"/>
  <c r="AF409" i="9"/>
  <c r="AE409" i="9"/>
  <c r="AD409" i="9"/>
  <c r="AC409" i="9"/>
  <c r="AA409" i="9"/>
  <c r="Z409" i="9"/>
  <c r="Y409" i="9"/>
  <c r="X409" i="9"/>
  <c r="W409" i="9"/>
  <c r="U409" i="9"/>
  <c r="AI408" i="9"/>
  <c r="AH408" i="9"/>
  <c r="AG408" i="9"/>
  <c r="AF408" i="9"/>
  <c r="AE408" i="9"/>
  <c r="AD408" i="9"/>
  <c r="AA408" i="9"/>
  <c r="Z408" i="9"/>
  <c r="Y408" i="9"/>
  <c r="X408" i="9"/>
  <c r="W408" i="9"/>
  <c r="U408" i="9"/>
  <c r="AC408" i="9" s="1"/>
  <c r="AI407" i="9"/>
  <c r="AH407" i="9"/>
  <c r="AG407" i="9"/>
  <c r="AF407" i="9"/>
  <c r="AE407" i="9"/>
  <c r="AD407" i="9"/>
  <c r="AC407" i="9"/>
  <c r="AA407" i="9"/>
  <c r="Z407" i="9"/>
  <c r="Y407" i="9"/>
  <c r="X407" i="9"/>
  <c r="W407" i="9"/>
  <c r="U407" i="9"/>
  <c r="AI406" i="9"/>
  <c r="AH406" i="9"/>
  <c r="AG406" i="9"/>
  <c r="AF406" i="9"/>
  <c r="AE406" i="9"/>
  <c r="AD406" i="9"/>
  <c r="AC406" i="9"/>
  <c r="AA406" i="9"/>
  <c r="Z406" i="9"/>
  <c r="Y406" i="9"/>
  <c r="X406" i="9"/>
  <c r="W406" i="9"/>
  <c r="U406" i="9"/>
  <c r="AI405" i="9"/>
  <c r="AH405" i="9"/>
  <c r="AG405" i="9"/>
  <c r="AF405" i="9"/>
  <c r="AE405" i="9"/>
  <c r="AD405" i="9"/>
  <c r="AC405" i="9"/>
  <c r="AA405" i="9"/>
  <c r="Z405" i="9"/>
  <c r="Y405" i="9"/>
  <c r="X405" i="9"/>
  <c r="W405" i="9"/>
  <c r="U405" i="9"/>
  <c r="AI404" i="9"/>
  <c r="AH404" i="9"/>
  <c r="AG404" i="9"/>
  <c r="AF404" i="9"/>
  <c r="AE404" i="9"/>
  <c r="AD404" i="9"/>
  <c r="AC404" i="9"/>
  <c r="AA404" i="9"/>
  <c r="Z404" i="9"/>
  <c r="Y404" i="9"/>
  <c r="X404" i="9"/>
  <c r="W404" i="9"/>
  <c r="U404" i="9"/>
  <c r="AI403" i="9"/>
  <c r="AH403" i="9"/>
  <c r="AG403" i="9"/>
  <c r="AF403" i="9"/>
  <c r="AE403" i="9"/>
  <c r="AD403" i="9"/>
  <c r="AA403" i="9"/>
  <c r="Z403" i="9"/>
  <c r="Y403" i="9"/>
  <c r="X403" i="9"/>
  <c r="W403" i="9"/>
  <c r="U403" i="9"/>
  <c r="AC403" i="9" s="1"/>
  <c r="AI402" i="9"/>
  <c r="AH402" i="9"/>
  <c r="AG402" i="9"/>
  <c r="AF402" i="9"/>
  <c r="AE402" i="9"/>
  <c r="AD402" i="9"/>
  <c r="AC402" i="9"/>
  <c r="AA402" i="9"/>
  <c r="Z402" i="9"/>
  <c r="Y402" i="9"/>
  <c r="X402" i="9"/>
  <c r="W402" i="9"/>
  <c r="U402" i="9"/>
  <c r="AI401" i="9"/>
  <c r="AH401" i="9"/>
  <c r="AG401" i="9"/>
  <c r="AF401" i="9"/>
  <c r="AE401" i="9"/>
  <c r="AD401" i="9"/>
  <c r="AA401" i="9"/>
  <c r="Z401" i="9"/>
  <c r="Y401" i="9"/>
  <c r="X401" i="9"/>
  <c r="W401" i="9"/>
  <c r="U401" i="9"/>
  <c r="AC401" i="9" s="1"/>
  <c r="AI400" i="9"/>
  <c r="AH400" i="9"/>
  <c r="AG400" i="9"/>
  <c r="AF400" i="9"/>
  <c r="AE400" i="9"/>
  <c r="AD400" i="9"/>
  <c r="AA400" i="9"/>
  <c r="Z400" i="9"/>
  <c r="Y400" i="9"/>
  <c r="X400" i="9"/>
  <c r="W400" i="9"/>
  <c r="U400" i="9"/>
  <c r="AC400" i="9" s="1"/>
  <c r="AI399" i="9"/>
  <c r="AH399" i="9"/>
  <c r="AG399" i="9"/>
  <c r="AF399" i="9"/>
  <c r="AE399" i="9"/>
  <c r="AD399" i="9"/>
  <c r="AA399" i="9"/>
  <c r="Z399" i="9"/>
  <c r="Y399" i="9"/>
  <c r="X399" i="9"/>
  <c r="W399" i="9"/>
  <c r="U399" i="9"/>
  <c r="AC399" i="9" s="1"/>
  <c r="AI398" i="9"/>
  <c r="AH398" i="9"/>
  <c r="AG398" i="9"/>
  <c r="AF398" i="9"/>
  <c r="AE398" i="9"/>
  <c r="AD398" i="9"/>
  <c r="AA398" i="9"/>
  <c r="Z398" i="9"/>
  <c r="Y398" i="9"/>
  <c r="X398" i="9"/>
  <c r="W398" i="9"/>
  <c r="U398" i="9"/>
  <c r="AC398" i="9" s="1"/>
  <c r="AI397" i="9"/>
  <c r="AH397" i="9"/>
  <c r="AG397" i="9"/>
  <c r="AF397" i="9"/>
  <c r="AE397" i="9"/>
  <c r="AD397" i="9"/>
  <c r="AC397" i="9"/>
  <c r="AA397" i="9"/>
  <c r="Z397" i="9"/>
  <c r="Y397" i="9"/>
  <c r="X397" i="9"/>
  <c r="W397" i="9"/>
  <c r="U397" i="9"/>
  <c r="AI396" i="9"/>
  <c r="AH396" i="9"/>
  <c r="AG396" i="9"/>
  <c r="AF396" i="9"/>
  <c r="AE396" i="9"/>
  <c r="AD396" i="9"/>
  <c r="AA396" i="9"/>
  <c r="Z396" i="9"/>
  <c r="Y396" i="9"/>
  <c r="X396" i="9"/>
  <c r="W396" i="9"/>
  <c r="U396" i="9"/>
  <c r="AC396" i="9" s="1"/>
  <c r="AI395" i="9"/>
  <c r="AH395" i="9"/>
  <c r="AG395" i="9"/>
  <c r="AF395" i="9"/>
  <c r="AE395" i="9"/>
  <c r="AD395" i="9"/>
  <c r="AC395" i="9"/>
  <c r="AA395" i="9"/>
  <c r="Z395" i="9"/>
  <c r="Y395" i="9"/>
  <c r="X395" i="9"/>
  <c r="W395" i="9"/>
  <c r="U395" i="9"/>
  <c r="AI394" i="9"/>
  <c r="AH394" i="9"/>
  <c r="AG394" i="9"/>
  <c r="AF394" i="9"/>
  <c r="AE394" i="9"/>
  <c r="AD394" i="9"/>
  <c r="AC394" i="9"/>
  <c r="AA394" i="9"/>
  <c r="Z394" i="9"/>
  <c r="Y394" i="9"/>
  <c r="X394" i="9"/>
  <c r="W394" i="9"/>
  <c r="U394" i="9"/>
  <c r="AI393" i="9"/>
  <c r="AH393" i="9"/>
  <c r="AG393" i="9"/>
  <c r="AF393" i="9"/>
  <c r="AE393" i="9"/>
  <c r="AD393" i="9"/>
  <c r="AC393" i="9"/>
  <c r="AA393" i="9"/>
  <c r="Z393" i="9"/>
  <c r="Y393" i="9"/>
  <c r="X393" i="9"/>
  <c r="W393" i="9"/>
  <c r="U393" i="9"/>
  <c r="AI392" i="9"/>
  <c r="AH392" i="9"/>
  <c r="AG392" i="9"/>
  <c r="AF392" i="9"/>
  <c r="AE392" i="9"/>
  <c r="AD392" i="9"/>
  <c r="AC392" i="9"/>
  <c r="AA392" i="9"/>
  <c r="Z392" i="9"/>
  <c r="Y392" i="9"/>
  <c r="X392" i="9"/>
  <c r="W392" i="9"/>
  <c r="U392" i="9"/>
  <c r="AI391" i="9"/>
  <c r="AH391" i="9"/>
  <c r="AG391" i="9"/>
  <c r="AF391" i="9"/>
  <c r="AE391" i="9"/>
  <c r="AD391" i="9"/>
  <c r="AA391" i="9"/>
  <c r="Z391" i="9"/>
  <c r="Y391" i="9"/>
  <c r="X391" i="9"/>
  <c r="W391" i="9"/>
  <c r="U391" i="9"/>
  <c r="AC391" i="9" s="1"/>
  <c r="AI390" i="9"/>
  <c r="AH390" i="9"/>
  <c r="AG390" i="9"/>
  <c r="AF390" i="9"/>
  <c r="AE390" i="9"/>
  <c r="AD390" i="9"/>
  <c r="AC390" i="9"/>
  <c r="AA390" i="9"/>
  <c r="Z390" i="9"/>
  <c r="Y390" i="9"/>
  <c r="X390" i="9"/>
  <c r="W390" i="9"/>
  <c r="U390" i="9"/>
  <c r="AI389" i="9"/>
  <c r="AH389" i="9"/>
  <c r="AG389" i="9"/>
  <c r="AF389" i="9"/>
  <c r="AE389" i="9"/>
  <c r="AD389" i="9"/>
  <c r="AA389" i="9"/>
  <c r="Z389" i="9"/>
  <c r="Y389" i="9"/>
  <c r="X389" i="9"/>
  <c r="W389" i="9"/>
  <c r="U389" i="9"/>
  <c r="AC389" i="9" s="1"/>
  <c r="AI388" i="9"/>
  <c r="AH388" i="9"/>
  <c r="AG388" i="9"/>
  <c r="AF388" i="9"/>
  <c r="AE388" i="9"/>
  <c r="AD388" i="9"/>
  <c r="AA388" i="9"/>
  <c r="Z388" i="9"/>
  <c r="Y388" i="9"/>
  <c r="X388" i="9"/>
  <c r="W388" i="9"/>
  <c r="U388" i="9"/>
  <c r="AC388" i="9" s="1"/>
  <c r="AI387" i="9"/>
  <c r="AH387" i="9"/>
  <c r="AG387" i="9"/>
  <c r="AF387" i="9"/>
  <c r="AE387" i="9"/>
  <c r="AD387" i="9"/>
  <c r="AA387" i="9"/>
  <c r="Z387" i="9"/>
  <c r="Y387" i="9"/>
  <c r="X387" i="9"/>
  <c r="W387" i="9"/>
  <c r="U387" i="9"/>
  <c r="AC387" i="9" s="1"/>
  <c r="AI386" i="9"/>
  <c r="AH386" i="9"/>
  <c r="AG386" i="9"/>
  <c r="AF386" i="9"/>
  <c r="AE386" i="9"/>
  <c r="AD386" i="9"/>
  <c r="AA386" i="9"/>
  <c r="Z386" i="9"/>
  <c r="Y386" i="9"/>
  <c r="X386" i="9"/>
  <c r="W386" i="9"/>
  <c r="U386" i="9"/>
  <c r="AC386" i="9" s="1"/>
  <c r="AI385" i="9"/>
  <c r="AH385" i="9"/>
  <c r="AG385" i="9"/>
  <c r="AF385" i="9"/>
  <c r="AE385" i="9"/>
  <c r="AD385" i="9"/>
  <c r="AC385" i="9"/>
  <c r="AA385" i="9"/>
  <c r="Z385" i="9"/>
  <c r="Y385" i="9"/>
  <c r="X385" i="9"/>
  <c r="W385" i="9"/>
  <c r="U385" i="9"/>
  <c r="AI384" i="9"/>
  <c r="AH384" i="9"/>
  <c r="AG384" i="9"/>
  <c r="AF384" i="9"/>
  <c r="AE384" i="9"/>
  <c r="AD384" i="9"/>
  <c r="AA384" i="9"/>
  <c r="Z384" i="9"/>
  <c r="Y384" i="9"/>
  <c r="X384" i="9"/>
  <c r="W384" i="9"/>
  <c r="U384" i="9"/>
  <c r="AC384" i="9" s="1"/>
  <c r="AI383" i="9"/>
  <c r="AH383" i="9"/>
  <c r="AG383" i="9"/>
  <c r="AF383" i="9"/>
  <c r="AE383" i="9"/>
  <c r="AD383" i="9"/>
  <c r="AC383" i="9"/>
  <c r="AA383" i="9"/>
  <c r="Z383" i="9"/>
  <c r="Y383" i="9"/>
  <c r="X383" i="9"/>
  <c r="W383" i="9"/>
  <c r="U383" i="9"/>
  <c r="AI382" i="9"/>
  <c r="AH382" i="9"/>
  <c r="AG382" i="9"/>
  <c r="AF382" i="9"/>
  <c r="AE382" i="9"/>
  <c r="AD382" i="9"/>
  <c r="AC382" i="9"/>
  <c r="AA382" i="9"/>
  <c r="Z382" i="9"/>
  <c r="Y382" i="9"/>
  <c r="X382" i="9"/>
  <c r="W382" i="9"/>
  <c r="U382" i="9"/>
  <c r="AI381" i="9"/>
  <c r="AH381" i="9"/>
  <c r="AG381" i="9"/>
  <c r="AF381" i="9"/>
  <c r="AE381" i="9"/>
  <c r="AD381" i="9"/>
  <c r="AC381" i="9"/>
  <c r="AA381" i="9"/>
  <c r="Z381" i="9"/>
  <c r="Y381" i="9"/>
  <c r="X381" i="9"/>
  <c r="W381" i="9"/>
  <c r="U381" i="9"/>
  <c r="AI380" i="9"/>
  <c r="AH380" i="9"/>
  <c r="AG380" i="9"/>
  <c r="AF380" i="9"/>
  <c r="AE380" i="9"/>
  <c r="AD380" i="9"/>
  <c r="AC380" i="9"/>
  <c r="AA380" i="9"/>
  <c r="Z380" i="9"/>
  <c r="Y380" i="9"/>
  <c r="X380" i="9"/>
  <c r="W380" i="9"/>
  <c r="U380" i="9"/>
  <c r="AI379" i="9"/>
  <c r="AH379" i="9"/>
  <c r="AG379" i="9"/>
  <c r="AF379" i="9"/>
  <c r="AE379" i="9"/>
  <c r="AD379" i="9"/>
  <c r="AA379" i="9"/>
  <c r="Z379" i="9"/>
  <c r="Y379" i="9"/>
  <c r="X379" i="9"/>
  <c r="W379" i="9"/>
  <c r="U379" i="9"/>
  <c r="AC379" i="9" s="1"/>
  <c r="AI378" i="9"/>
  <c r="AH378" i="9"/>
  <c r="AG378" i="9"/>
  <c r="AF378" i="9"/>
  <c r="AE378" i="9"/>
  <c r="AD378" i="9"/>
  <c r="AC378" i="9"/>
  <c r="AA378" i="9"/>
  <c r="Z378" i="9"/>
  <c r="Y378" i="9"/>
  <c r="X378" i="9"/>
  <c r="W378" i="9"/>
  <c r="U378" i="9"/>
  <c r="AI377" i="9"/>
  <c r="AH377" i="9"/>
  <c r="AG377" i="9"/>
  <c r="AF377" i="9"/>
  <c r="AE377" i="9"/>
  <c r="AD377" i="9"/>
  <c r="AA377" i="9"/>
  <c r="Z377" i="9"/>
  <c r="Y377" i="9"/>
  <c r="X377" i="9"/>
  <c r="W377" i="9"/>
  <c r="U377" i="9"/>
  <c r="AC377" i="9" s="1"/>
  <c r="AI376" i="9"/>
  <c r="AH376" i="9"/>
  <c r="AG376" i="9"/>
  <c r="AF376" i="9"/>
  <c r="AE376" i="9"/>
  <c r="AD376" i="9"/>
  <c r="AA376" i="9"/>
  <c r="Z376" i="9"/>
  <c r="Y376" i="9"/>
  <c r="X376" i="9"/>
  <c r="W376" i="9"/>
  <c r="U376" i="9"/>
  <c r="AC376" i="9" s="1"/>
  <c r="AI375" i="9"/>
  <c r="AH375" i="9"/>
  <c r="AG375" i="9"/>
  <c r="AF375" i="9"/>
  <c r="AE375" i="9"/>
  <c r="AD375" i="9"/>
  <c r="AA375" i="9"/>
  <c r="Z375" i="9"/>
  <c r="Y375" i="9"/>
  <c r="X375" i="9"/>
  <c r="W375" i="9"/>
  <c r="U375" i="9"/>
  <c r="AC375" i="9" s="1"/>
  <c r="AI374" i="9"/>
  <c r="AH374" i="9"/>
  <c r="AG374" i="9"/>
  <c r="AF374" i="9"/>
  <c r="AE374" i="9"/>
  <c r="AD374" i="9"/>
  <c r="AA374" i="9"/>
  <c r="Z374" i="9"/>
  <c r="Y374" i="9"/>
  <c r="X374" i="9"/>
  <c r="W374" i="9"/>
  <c r="U374" i="9"/>
  <c r="AC374" i="9" s="1"/>
  <c r="AI373" i="9"/>
  <c r="AH373" i="9"/>
  <c r="AG373" i="9"/>
  <c r="AF373" i="9"/>
  <c r="AE373" i="9"/>
  <c r="AD373" i="9"/>
  <c r="AC373" i="9"/>
  <c r="AA373" i="9"/>
  <c r="Z373" i="9"/>
  <c r="Y373" i="9"/>
  <c r="X373" i="9"/>
  <c r="W373" i="9"/>
  <c r="U373" i="9"/>
  <c r="AI372" i="9"/>
  <c r="AH372" i="9"/>
  <c r="AG372" i="9"/>
  <c r="AF372" i="9"/>
  <c r="AE372" i="9"/>
  <c r="AD372" i="9"/>
  <c r="AA372" i="9"/>
  <c r="Z372" i="9"/>
  <c r="Y372" i="9"/>
  <c r="X372" i="9"/>
  <c r="W372" i="9"/>
  <c r="U372" i="9"/>
  <c r="AC372" i="9" s="1"/>
  <c r="AI371" i="9"/>
  <c r="AH371" i="9"/>
  <c r="AG371" i="9"/>
  <c r="AF371" i="9"/>
  <c r="AE371" i="9"/>
  <c r="AD371" i="9"/>
  <c r="AC371" i="9"/>
  <c r="AA371" i="9"/>
  <c r="Z371" i="9"/>
  <c r="Y371" i="9"/>
  <c r="X371" i="9"/>
  <c r="W371" i="9"/>
  <c r="U371" i="9"/>
  <c r="AI370" i="9"/>
  <c r="AH370" i="9"/>
  <c r="AG370" i="9"/>
  <c r="AF370" i="9"/>
  <c r="AE370" i="9"/>
  <c r="AD370" i="9"/>
  <c r="AC370" i="9"/>
  <c r="AA370" i="9"/>
  <c r="Z370" i="9"/>
  <c r="Y370" i="9"/>
  <c r="X370" i="9"/>
  <c r="W370" i="9"/>
  <c r="U370" i="9"/>
  <c r="AI369" i="9"/>
  <c r="AH369" i="9"/>
  <c r="AG369" i="9"/>
  <c r="AF369" i="9"/>
  <c r="AE369" i="9"/>
  <c r="AD369" i="9"/>
  <c r="AC369" i="9"/>
  <c r="AA369" i="9"/>
  <c r="Z369" i="9"/>
  <c r="Y369" i="9"/>
  <c r="X369" i="9"/>
  <c r="W369" i="9"/>
  <c r="U369" i="9"/>
  <c r="AI368" i="9"/>
  <c r="AH368" i="9"/>
  <c r="AG368" i="9"/>
  <c r="AF368" i="9"/>
  <c r="AE368" i="9"/>
  <c r="AD368" i="9"/>
  <c r="AC368" i="9"/>
  <c r="AA368" i="9"/>
  <c r="Z368" i="9"/>
  <c r="Y368" i="9"/>
  <c r="X368" i="9"/>
  <c r="W368" i="9"/>
  <c r="U368" i="9"/>
  <c r="AI367" i="9"/>
  <c r="AH367" i="9"/>
  <c r="AG367" i="9"/>
  <c r="AF367" i="9"/>
  <c r="AE367" i="9"/>
  <c r="AD367" i="9"/>
  <c r="AA367" i="9"/>
  <c r="Z367" i="9"/>
  <c r="Y367" i="9"/>
  <c r="X367" i="9"/>
  <c r="W367" i="9"/>
  <c r="U367" i="9"/>
  <c r="AC367" i="9" s="1"/>
  <c r="AI366" i="9"/>
  <c r="AH366" i="9"/>
  <c r="AG366" i="9"/>
  <c r="AF366" i="9"/>
  <c r="AE366" i="9"/>
  <c r="AD366" i="9"/>
  <c r="AC366" i="9"/>
  <c r="AA366" i="9"/>
  <c r="Z366" i="9"/>
  <c r="Y366" i="9"/>
  <c r="X366" i="9"/>
  <c r="W366" i="9"/>
  <c r="U366" i="9"/>
  <c r="AI365" i="9"/>
  <c r="AH365" i="9"/>
  <c r="AG365" i="9"/>
  <c r="AF365" i="9"/>
  <c r="AE365" i="9"/>
  <c r="AD365" i="9"/>
  <c r="AA365" i="9"/>
  <c r="Z365" i="9"/>
  <c r="Y365" i="9"/>
  <c r="X365" i="9"/>
  <c r="W365" i="9"/>
  <c r="U365" i="9"/>
  <c r="AC365" i="9" s="1"/>
  <c r="AI364" i="9"/>
  <c r="AH364" i="9"/>
  <c r="AG364" i="9"/>
  <c r="AF364" i="9"/>
  <c r="AE364" i="9"/>
  <c r="AD364" i="9"/>
  <c r="AA364" i="9"/>
  <c r="Z364" i="9"/>
  <c r="Y364" i="9"/>
  <c r="X364" i="9"/>
  <c r="W364" i="9"/>
  <c r="U364" i="9"/>
  <c r="AC364" i="9" s="1"/>
  <c r="AI363" i="9"/>
  <c r="AH363" i="9"/>
  <c r="AG363" i="9"/>
  <c r="AF363" i="9"/>
  <c r="AE363" i="9"/>
  <c r="AD363" i="9"/>
  <c r="AA363" i="9"/>
  <c r="Z363" i="9"/>
  <c r="Y363" i="9"/>
  <c r="X363" i="9"/>
  <c r="W363" i="9"/>
  <c r="U363" i="9"/>
  <c r="AC363" i="9" s="1"/>
  <c r="AI362" i="9"/>
  <c r="AH362" i="9"/>
  <c r="AG362" i="9"/>
  <c r="AF362" i="9"/>
  <c r="AE362" i="9"/>
  <c r="AD362" i="9"/>
  <c r="AA362" i="9"/>
  <c r="Z362" i="9"/>
  <c r="Y362" i="9"/>
  <c r="X362" i="9"/>
  <c r="W362" i="9"/>
  <c r="U362" i="9"/>
  <c r="AC362" i="9" s="1"/>
  <c r="AI361" i="9"/>
  <c r="AH361" i="9"/>
  <c r="AG361" i="9"/>
  <c r="AF361" i="9"/>
  <c r="AE361" i="9"/>
  <c r="AD361" i="9"/>
  <c r="AC361" i="9"/>
  <c r="AA361" i="9"/>
  <c r="Z361" i="9"/>
  <c r="Y361" i="9"/>
  <c r="X361" i="9"/>
  <c r="W361" i="9"/>
  <c r="U361" i="9"/>
  <c r="AI360" i="9"/>
  <c r="AH360" i="9"/>
  <c r="AG360" i="9"/>
  <c r="AF360" i="9"/>
  <c r="AE360" i="9"/>
  <c r="AD360" i="9"/>
  <c r="AA360" i="9"/>
  <c r="Z360" i="9"/>
  <c r="Y360" i="9"/>
  <c r="X360" i="9"/>
  <c r="W360" i="9"/>
  <c r="U360" i="9"/>
  <c r="AC360" i="9" s="1"/>
  <c r="AI359" i="9"/>
  <c r="AH359" i="9"/>
  <c r="AG359" i="9"/>
  <c r="AF359" i="9"/>
  <c r="AE359" i="9"/>
  <c r="AD359" i="9"/>
  <c r="AC359" i="9"/>
  <c r="AA359" i="9"/>
  <c r="Z359" i="9"/>
  <c r="Y359" i="9"/>
  <c r="X359" i="9"/>
  <c r="W359" i="9"/>
  <c r="U359" i="9"/>
  <c r="AI358" i="9"/>
  <c r="AH358" i="9"/>
  <c r="AG358" i="9"/>
  <c r="AF358" i="9"/>
  <c r="AE358" i="9"/>
  <c r="AD358" i="9"/>
  <c r="AC358" i="9"/>
  <c r="AA358" i="9"/>
  <c r="Z358" i="9"/>
  <c r="Y358" i="9"/>
  <c r="X358" i="9"/>
  <c r="W358" i="9"/>
  <c r="U358" i="9"/>
  <c r="AI357" i="9"/>
  <c r="AH357" i="9"/>
  <c r="AG357" i="9"/>
  <c r="AF357" i="9"/>
  <c r="AE357" i="9"/>
  <c r="AD357" i="9"/>
  <c r="AC357" i="9"/>
  <c r="AA357" i="9"/>
  <c r="Z357" i="9"/>
  <c r="Y357" i="9"/>
  <c r="X357" i="9"/>
  <c r="W357" i="9"/>
  <c r="U357" i="9"/>
  <c r="AI356" i="9"/>
  <c r="AH356" i="9"/>
  <c r="AG356" i="9"/>
  <c r="AF356" i="9"/>
  <c r="AE356" i="9"/>
  <c r="AD356" i="9"/>
  <c r="AC356" i="9"/>
  <c r="AA356" i="9"/>
  <c r="Z356" i="9"/>
  <c r="Y356" i="9"/>
  <c r="X356" i="9"/>
  <c r="W356" i="9"/>
  <c r="U356" i="9"/>
  <c r="AI355" i="9"/>
  <c r="AH355" i="9"/>
  <c r="AG355" i="9"/>
  <c r="AF355" i="9"/>
  <c r="AE355" i="9"/>
  <c r="AD355" i="9"/>
  <c r="AA355" i="9"/>
  <c r="Z355" i="9"/>
  <c r="Y355" i="9"/>
  <c r="X355" i="9"/>
  <c r="W355" i="9"/>
  <c r="U355" i="9"/>
  <c r="AC355" i="9" s="1"/>
  <c r="AI354" i="9"/>
  <c r="AH354" i="9"/>
  <c r="AG354" i="9"/>
  <c r="AF354" i="9"/>
  <c r="AE354" i="9"/>
  <c r="AD354" i="9"/>
  <c r="AC354" i="9"/>
  <c r="AA354" i="9"/>
  <c r="Z354" i="9"/>
  <c r="Y354" i="9"/>
  <c r="X354" i="9"/>
  <c r="W354" i="9"/>
  <c r="U354" i="9"/>
  <c r="AI353" i="9"/>
  <c r="AH353" i="9"/>
  <c r="AG353" i="9"/>
  <c r="AF353" i="9"/>
  <c r="AE353" i="9"/>
  <c r="AD353" i="9"/>
  <c r="AA353" i="9"/>
  <c r="Z353" i="9"/>
  <c r="Y353" i="9"/>
  <c r="X353" i="9"/>
  <c r="W353" i="9"/>
  <c r="U353" i="9"/>
  <c r="AC353" i="9" s="1"/>
  <c r="AI352" i="9"/>
  <c r="AH352" i="9"/>
  <c r="AG352" i="9"/>
  <c r="AF352" i="9"/>
  <c r="AE352" i="9"/>
  <c r="AD352" i="9"/>
  <c r="AA352" i="9"/>
  <c r="Z352" i="9"/>
  <c r="Y352" i="9"/>
  <c r="X352" i="9"/>
  <c r="W352" i="9"/>
  <c r="U352" i="9"/>
  <c r="AC352" i="9" s="1"/>
  <c r="AI351" i="9"/>
  <c r="AH351" i="9"/>
  <c r="AG351" i="9"/>
  <c r="AF351" i="9"/>
  <c r="AE351" i="9"/>
  <c r="AD351" i="9"/>
  <c r="AA351" i="9"/>
  <c r="Z351" i="9"/>
  <c r="Y351" i="9"/>
  <c r="X351" i="9"/>
  <c r="W351" i="9"/>
  <c r="U351" i="9"/>
  <c r="AC351" i="9" s="1"/>
  <c r="AI350" i="9"/>
  <c r="AH350" i="9"/>
  <c r="AG350" i="9"/>
  <c r="AF350" i="9"/>
  <c r="AE350" i="9"/>
  <c r="AD350" i="9"/>
  <c r="AA350" i="9"/>
  <c r="Z350" i="9"/>
  <c r="Y350" i="9"/>
  <c r="X350" i="9"/>
  <c r="W350" i="9"/>
  <c r="U350" i="9"/>
  <c r="AC350" i="9" s="1"/>
  <c r="AI349" i="9"/>
  <c r="AH349" i="9"/>
  <c r="AG349" i="9"/>
  <c r="AF349" i="9"/>
  <c r="AE349" i="9"/>
  <c r="AD349" i="9"/>
  <c r="AC349" i="9"/>
  <c r="AA349" i="9"/>
  <c r="Z349" i="9"/>
  <c r="Y349" i="9"/>
  <c r="X349" i="9"/>
  <c r="W349" i="9"/>
  <c r="U349" i="9"/>
  <c r="AI348" i="9"/>
  <c r="AH348" i="9"/>
  <c r="AG348" i="9"/>
  <c r="AF348" i="9"/>
  <c r="AE348" i="9"/>
  <c r="AD348" i="9"/>
  <c r="AA348" i="9"/>
  <c r="Z348" i="9"/>
  <c r="Y348" i="9"/>
  <c r="X348" i="9"/>
  <c r="W348" i="9"/>
  <c r="U348" i="9"/>
  <c r="AC348" i="9" s="1"/>
  <c r="AI347" i="9"/>
  <c r="AH347" i="9"/>
  <c r="AG347" i="9"/>
  <c r="AF347" i="9"/>
  <c r="AE347" i="9"/>
  <c r="AD347" i="9"/>
  <c r="AC347" i="9"/>
  <c r="AA347" i="9"/>
  <c r="Z347" i="9"/>
  <c r="Y347" i="9"/>
  <c r="X347" i="9"/>
  <c r="W347" i="9"/>
  <c r="U347" i="9"/>
  <c r="AI346" i="9"/>
  <c r="AH346" i="9"/>
  <c r="AG346" i="9"/>
  <c r="AF346" i="9"/>
  <c r="AE346" i="9"/>
  <c r="AD346" i="9"/>
  <c r="AC346" i="9"/>
  <c r="AA346" i="9"/>
  <c r="Z346" i="9"/>
  <c r="Y346" i="9"/>
  <c r="X346" i="9"/>
  <c r="W346" i="9"/>
  <c r="U346" i="9"/>
  <c r="AI345" i="9"/>
  <c r="AH345" i="9"/>
  <c r="AG345" i="9"/>
  <c r="AF345" i="9"/>
  <c r="AE345" i="9"/>
  <c r="AD345" i="9"/>
  <c r="AC345" i="9"/>
  <c r="AA345" i="9"/>
  <c r="Z345" i="9"/>
  <c r="Y345" i="9"/>
  <c r="X345" i="9"/>
  <c r="W345" i="9"/>
  <c r="U345" i="9"/>
  <c r="AI344" i="9"/>
  <c r="AH344" i="9"/>
  <c r="AG344" i="9"/>
  <c r="AF344" i="9"/>
  <c r="AE344" i="9"/>
  <c r="AD344" i="9"/>
  <c r="AC344" i="9"/>
  <c r="AA344" i="9"/>
  <c r="Z344" i="9"/>
  <c r="Y344" i="9"/>
  <c r="X344" i="9"/>
  <c r="W344" i="9"/>
  <c r="U344" i="9"/>
  <c r="AI343" i="9"/>
  <c r="AH343" i="9"/>
  <c r="AG343" i="9"/>
  <c r="AF343" i="9"/>
  <c r="AE343" i="9"/>
  <c r="AD343" i="9"/>
  <c r="AA343" i="9"/>
  <c r="Z343" i="9"/>
  <c r="Y343" i="9"/>
  <c r="X343" i="9"/>
  <c r="W343" i="9"/>
  <c r="U343" i="9"/>
  <c r="AC343" i="9" s="1"/>
  <c r="AI342" i="9"/>
  <c r="AH342" i="9"/>
  <c r="AG342" i="9"/>
  <c r="AF342" i="9"/>
  <c r="AE342" i="9"/>
  <c r="AD342" i="9"/>
  <c r="AA342" i="9"/>
  <c r="Z342" i="9"/>
  <c r="Y342" i="9"/>
  <c r="X342" i="9"/>
  <c r="W342" i="9"/>
  <c r="U342" i="9"/>
  <c r="AC342" i="9" s="1"/>
  <c r="AI341" i="9"/>
  <c r="AH341" i="9"/>
  <c r="AG341" i="9"/>
  <c r="AF341" i="9"/>
  <c r="AE341" i="9"/>
  <c r="AD341" i="9"/>
  <c r="AA341" i="9"/>
  <c r="Z341" i="9"/>
  <c r="Y341" i="9"/>
  <c r="X341" i="9"/>
  <c r="W341" i="9"/>
  <c r="U341" i="9"/>
  <c r="AC341" i="9" s="1"/>
  <c r="AI340" i="9"/>
  <c r="AH340" i="9"/>
  <c r="AG340" i="9"/>
  <c r="AF340" i="9"/>
  <c r="AE340" i="9"/>
  <c r="AD340" i="9"/>
  <c r="AA340" i="9"/>
  <c r="Z340" i="9"/>
  <c r="Y340" i="9"/>
  <c r="X340" i="9"/>
  <c r="W340" i="9"/>
  <c r="U340" i="9"/>
  <c r="AC340" i="9" s="1"/>
  <c r="AI339" i="9"/>
  <c r="AH339" i="9"/>
  <c r="AG339" i="9"/>
  <c r="AF339" i="9"/>
  <c r="AE339" i="9"/>
  <c r="AD339" i="9"/>
  <c r="AA339" i="9"/>
  <c r="Z339" i="9"/>
  <c r="Y339" i="9"/>
  <c r="X339" i="9"/>
  <c r="W339" i="9"/>
  <c r="U339" i="9"/>
  <c r="AC339" i="9" s="1"/>
  <c r="AI338" i="9"/>
  <c r="AH338" i="9"/>
  <c r="AG338" i="9"/>
  <c r="AF338" i="9"/>
  <c r="AE338" i="9"/>
  <c r="AD338" i="9"/>
  <c r="AA338" i="9"/>
  <c r="Z338" i="9"/>
  <c r="Y338" i="9"/>
  <c r="X338" i="9"/>
  <c r="W338" i="9"/>
  <c r="U338" i="9"/>
  <c r="AC338" i="9" s="1"/>
  <c r="AI337" i="9"/>
  <c r="AH337" i="9"/>
  <c r="AG337" i="9"/>
  <c r="AF337" i="9"/>
  <c r="AE337" i="9"/>
  <c r="AD337" i="9"/>
  <c r="AC337" i="9"/>
  <c r="AA337" i="9"/>
  <c r="Z337" i="9"/>
  <c r="Y337" i="9"/>
  <c r="X337" i="9"/>
  <c r="W337" i="9"/>
  <c r="U337" i="9"/>
  <c r="AI336" i="9"/>
  <c r="AH336" i="9"/>
  <c r="AG336" i="9"/>
  <c r="AF336" i="9"/>
  <c r="AE336" i="9"/>
  <c r="AD336" i="9"/>
  <c r="AA336" i="9"/>
  <c r="Z336" i="9"/>
  <c r="Y336" i="9"/>
  <c r="X336" i="9"/>
  <c r="W336" i="9"/>
  <c r="U336" i="9"/>
  <c r="AC336" i="9" s="1"/>
  <c r="AI335" i="9"/>
  <c r="AH335" i="9"/>
  <c r="AG335" i="9"/>
  <c r="AF335" i="9"/>
  <c r="AE335" i="9"/>
  <c r="AD335" i="9"/>
  <c r="AC335" i="9"/>
  <c r="AA335" i="9"/>
  <c r="Z335" i="9"/>
  <c r="Y335" i="9"/>
  <c r="X335" i="9"/>
  <c r="W335" i="9"/>
  <c r="U335" i="9"/>
  <c r="AI334" i="9"/>
  <c r="AH334" i="9"/>
  <c r="AG334" i="9"/>
  <c r="AF334" i="9"/>
  <c r="AE334" i="9"/>
  <c r="AD334" i="9"/>
  <c r="AC334" i="9"/>
  <c r="AA334" i="9"/>
  <c r="Z334" i="9"/>
  <c r="Y334" i="9"/>
  <c r="X334" i="9"/>
  <c r="W334" i="9"/>
  <c r="U334" i="9"/>
  <c r="AI333" i="9"/>
  <c r="AH333" i="9"/>
  <c r="AG333" i="9"/>
  <c r="AF333" i="9"/>
  <c r="AE333" i="9"/>
  <c r="AD333" i="9"/>
  <c r="AC333" i="9"/>
  <c r="AA333" i="9"/>
  <c r="Z333" i="9"/>
  <c r="Y333" i="9"/>
  <c r="X333" i="9"/>
  <c r="W333" i="9"/>
  <c r="U333" i="9"/>
  <c r="AI332" i="9"/>
  <c r="AH332" i="9"/>
  <c r="AG332" i="9"/>
  <c r="AF332" i="9"/>
  <c r="AE332" i="9"/>
  <c r="AD332" i="9"/>
  <c r="AC332" i="9"/>
  <c r="AA332" i="9"/>
  <c r="Z332" i="9"/>
  <c r="Y332" i="9"/>
  <c r="X332" i="9"/>
  <c r="W332" i="9"/>
  <c r="U332" i="9"/>
  <c r="AI331" i="9"/>
  <c r="AH331" i="9"/>
  <c r="AG331" i="9"/>
  <c r="AF331" i="9"/>
  <c r="AE331" i="9"/>
  <c r="AD331" i="9"/>
  <c r="AA331" i="9"/>
  <c r="Z331" i="9"/>
  <c r="Y331" i="9"/>
  <c r="X331" i="9"/>
  <c r="W331" i="9"/>
  <c r="U331" i="9"/>
  <c r="AC331" i="9" s="1"/>
  <c r="AI330" i="9"/>
  <c r="AH330" i="9"/>
  <c r="AG330" i="9"/>
  <c r="AF330" i="9"/>
  <c r="AE330" i="9"/>
  <c r="AD330" i="9"/>
  <c r="AC330" i="9"/>
  <c r="AA330" i="9"/>
  <c r="Z330" i="9"/>
  <c r="Y330" i="9"/>
  <c r="X330" i="9"/>
  <c r="W330" i="9"/>
  <c r="U330" i="9"/>
  <c r="AI329" i="9"/>
  <c r="AH329" i="9"/>
  <c r="AG329" i="9"/>
  <c r="AF329" i="9"/>
  <c r="AE329" i="9"/>
  <c r="AD329" i="9"/>
  <c r="AA329" i="9"/>
  <c r="Z329" i="9"/>
  <c r="Y329" i="9"/>
  <c r="X329" i="9"/>
  <c r="W329" i="9"/>
  <c r="U329" i="9"/>
  <c r="AC329" i="9" s="1"/>
  <c r="AI328" i="9"/>
  <c r="AH328" i="9"/>
  <c r="AG328" i="9"/>
  <c r="AF328" i="9"/>
  <c r="AE328" i="9"/>
  <c r="AD328" i="9"/>
  <c r="AA328" i="9"/>
  <c r="Z328" i="9"/>
  <c r="Y328" i="9"/>
  <c r="X328" i="9"/>
  <c r="W328" i="9"/>
  <c r="U328" i="9"/>
  <c r="AC328" i="9" s="1"/>
  <c r="AI327" i="9"/>
  <c r="AH327" i="9"/>
  <c r="AG327" i="9"/>
  <c r="AF327" i="9"/>
  <c r="AE327" i="9"/>
  <c r="AD327" i="9"/>
  <c r="AA327" i="9"/>
  <c r="Z327" i="9"/>
  <c r="Y327" i="9"/>
  <c r="X327" i="9"/>
  <c r="W327" i="9"/>
  <c r="U327" i="9"/>
  <c r="AC327" i="9" s="1"/>
  <c r="AI326" i="9"/>
  <c r="AH326" i="9"/>
  <c r="AG326" i="9"/>
  <c r="AF326" i="9"/>
  <c r="AE326" i="9"/>
  <c r="AD326" i="9"/>
  <c r="AA326" i="9"/>
  <c r="Z326" i="9"/>
  <c r="Y326" i="9"/>
  <c r="X326" i="9"/>
  <c r="W326" i="9"/>
  <c r="U326" i="9"/>
  <c r="AC326" i="9" s="1"/>
  <c r="AI325" i="9"/>
  <c r="AH325" i="9"/>
  <c r="AG325" i="9"/>
  <c r="AF325" i="9"/>
  <c r="AE325" i="9"/>
  <c r="AD325" i="9"/>
  <c r="AC325" i="9"/>
  <c r="AA325" i="9"/>
  <c r="Z325" i="9"/>
  <c r="Y325" i="9"/>
  <c r="X325" i="9"/>
  <c r="W325" i="9"/>
  <c r="U325" i="9"/>
  <c r="AI324" i="9"/>
  <c r="AH324" i="9"/>
  <c r="AG324" i="9"/>
  <c r="AF324" i="9"/>
  <c r="AE324" i="9"/>
  <c r="AD324" i="9"/>
  <c r="AA324" i="9"/>
  <c r="Z324" i="9"/>
  <c r="Y324" i="9"/>
  <c r="X324" i="9"/>
  <c r="W324" i="9"/>
  <c r="U324" i="9"/>
  <c r="AC324" i="9" s="1"/>
  <c r="AI323" i="9"/>
  <c r="AH323" i="9"/>
  <c r="AG323" i="9"/>
  <c r="AF323" i="9"/>
  <c r="AE323" i="9"/>
  <c r="AD323" i="9"/>
  <c r="AC323" i="9"/>
  <c r="AA323" i="9"/>
  <c r="Z323" i="9"/>
  <c r="Y323" i="9"/>
  <c r="X323" i="9"/>
  <c r="W323" i="9"/>
  <c r="U323" i="9"/>
  <c r="AI322" i="9"/>
  <c r="AH322" i="9"/>
  <c r="AG322" i="9"/>
  <c r="AF322" i="9"/>
  <c r="AE322" i="9"/>
  <c r="AD322" i="9"/>
  <c r="AC322" i="9"/>
  <c r="AA322" i="9"/>
  <c r="Z322" i="9"/>
  <c r="Y322" i="9"/>
  <c r="X322" i="9"/>
  <c r="W322" i="9"/>
  <c r="U322" i="9"/>
  <c r="AI321" i="9"/>
  <c r="AH321" i="9"/>
  <c r="AG321" i="9"/>
  <c r="AF321" i="9"/>
  <c r="AE321" i="9"/>
  <c r="AD321" i="9"/>
  <c r="AC321" i="9"/>
  <c r="AA321" i="9"/>
  <c r="Z321" i="9"/>
  <c r="Y321" i="9"/>
  <c r="X321" i="9"/>
  <c r="W321" i="9"/>
  <c r="U321" i="9"/>
  <c r="AI320" i="9"/>
  <c r="AH320" i="9"/>
  <c r="AG320" i="9"/>
  <c r="AF320" i="9"/>
  <c r="AE320" i="9"/>
  <c r="AD320" i="9"/>
  <c r="AC320" i="9"/>
  <c r="AA320" i="9"/>
  <c r="Z320" i="9"/>
  <c r="Y320" i="9"/>
  <c r="X320" i="9"/>
  <c r="W320" i="9"/>
  <c r="U320" i="9"/>
  <c r="AI319" i="9"/>
  <c r="AH319" i="9"/>
  <c r="AG319" i="9"/>
  <c r="AF319" i="9"/>
  <c r="AE319" i="9"/>
  <c r="AD319" i="9"/>
  <c r="AA319" i="9"/>
  <c r="Z319" i="9"/>
  <c r="Y319" i="9"/>
  <c r="X319" i="9"/>
  <c r="W319" i="9"/>
  <c r="U319" i="9"/>
  <c r="AC319" i="9" s="1"/>
  <c r="AI318" i="9"/>
  <c r="AH318" i="9"/>
  <c r="AG318" i="9"/>
  <c r="AF318" i="9"/>
  <c r="AE318" i="9"/>
  <c r="AD318" i="9"/>
  <c r="AA318" i="9"/>
  <c r="Z318" i="9"/>
  <c r="Y318" i="9"/>
  <c r="X318" i="9"/>
  <c r="W318" i="9"/>
  <c r="U318" i="9"/>
  <c r="AC318" i="9" s="1"/>
  <c r="AI317" i="9"/>
  <c r="AH317" i="9"/>
  <c r="AG317" i="9"/>
  <c r="AF317" i="9"/>
  <c r="AE317" i="9"/>
  <c r="AD317" i="9"/>
  <c r="AA317" i="9"/>
  <c r="Z317" i="9"/>
  <c r="Y317" i="9"/>
  <c r="X317" i="9"/>
  <c r="W317" i="9"/>
  <c r="U317" i="9"/>
  <c r="AC317" i="9" s="1"/>
  <c r="AI316" i="9"/>
  <c r="AH316" i="9"/>
  <c r="AG316" i="9"/>
  <c r="AF316" i="9"/>
  <c r="AE316" i="9"/>
  <c r="AD316" i="9"/>
  <c r="AA316" i="9"/>
  <c r="Z316" i="9"/>
  <c r="Y316" i="9"/>
  <c r="X316" i="9"/>
  <c r="W316" i="9"/>
  <c r="U316" i="9"/>
  <c r="AC316" i="9" s="1"/>
  <c r="AI315" i="9"/>
  <c r="AH315" i="9"/>
  <c r="AG315" i="9"/>
  <c r="AF315" i="9"/>
  <c r="AE315" i="9"/>
  <c r="AD315" i="9"/>
  <c r="AA315" i="9"/>
  <c r="Z315" i="9"/>
  <c r="Y315" i="9"/>
  <c r="X315" i="9"/>
  <c r="W315" i="9"/>
  <c r="U315" i="9"/>
  <c r="AC315" i="9" s="1"/>
  <c r="AI314" i="9"/>
  <c r="AH314" i="9"/>
  <c r="AG314" i="9"/>
  <c r="AF314" i="9"/>
  <c r="AE314" i="9"/>
  <c r="AD314" i="9"/>
  <c r="AA314" i="9"/>
  <c r="Z314" i="9"/>
  <c r="Y314" i="9"/>
  <c r="X314" i="9"/>
  <c r="W314" i="9"/>
  <c r="U314" i="9"/>
  <c r="AC314" i="9" s="1"/>
  <c r="AI313" i="9"/>
  <c r="AH313" i="9"/>
  <c r="AG313" i="9"/>
  <c r="AF313" i="9"/>
  <c r="AE313" i="9"/>
  <c r="AD313" i="9"/>
  <c r="AC313" i="9"/>
  <c r="AA313" i="9"/>
  <c r="Z313" i="9"/>
  <c r="Y313" i="9"/>
  <c r="X313" i="9"/>
  <c r="W313" i="9"/>
  <c r="U313" i="9"/>
  <c r="AI312" i="9"/>
  <c r="AH312" i="9"/>
  <c r="AG312" i="9"/>
  <c r="AF312" i="9"/>
  <c r="AE312" i="9"/>
  <c r="AD312" i="9"/>
  <c r="AA312" i="9"/>
  <c r="Z312" i="9"/>
  <c r="Y312" i="9"/>
  <c r="X312" i="9"/>
  <c r="W312" i="9"/>
  <c r="U312" i="9"/>
  <c r="AC312" i="9" s="1"/>
  <c r="AI311" i="9"/>
  <c r="AH311" i="9"/>
  <c r="AG311" i="9"/>
  <c r="AF311" i="9"/>
  <c r="AE311" i="9"/>
  <c r="AD311" i="9"/>
  <c r="AC311" i="9"/>
  <c r="AA311" i="9"/>
  <c r="Z311" i="9"/>
  <c r="Y311" i="9"/>
  <c r="X311" i="9"/>
  <c r="W311" i="9"/>
  <c r="U311" i="9"/>
  <c r="AI310" i="9"/>
  <c r="AH310" i="9"/>
  <c r="AG310" i="9"/>
  <c r="AF310" i="9"/>
  <c r="AE310" i="9"/>
  <c r="AD310" i="9"/>
  <c r="AC310" i="9"/>
  <c r="AA310" i="9"/>
  <c r="Z310" i="9"/>
  <c r="Y310" i="9"/>
  <c r="X310" i="9"/>
  <c r="W310" i="9"/>
  <c r="U310" i="9"/>
  <c r="AI309" i="9"/>
  <c r="AH309" i="9"/>
  <c r="AG309" i="9"/>
  <c r="AF309" i="9"/>
  <c r="AE309" i="9"/>
  <c r="AD309" i="9"/>
  <c r="AC309" i="9"/>
  <c r="AA309" i="9"/>
  <c r="Z309" i="9"/>
  <c r="Y309" i="9"/>
  <c r="X309" i="9"/>
  <c r="W309" i="9"/>
  <c r="U309" i="9"/>
  <c r="AI308" i="9"/>
  <c r="AH308" i="9"/>
  <c r="AG308" i="9"/>
  <c r="AF308" i="9"/>
  <c r="AE308" i="9"/>
  <c r="AD308" i="9"/>
  <c r="AC308" i="9"/>
  <c r="AA308" i="9"/>
  <c r="Z308" i="9"/>
  <c r="Y308" i="9"/>
  <c r="X308" i="9"/>
  <c r="W308" i="9"/>
  <c r="U308" i="9"/>
  <c r="AI307" i="9"/>
  <c r="AH307" i="9"/>
  <c r="AG307" i="9"/>
  <c r="AF307" i="9"/>
  <c r="AE307" i="9"/>
  <c r="AD307" i="9"/>
  <c r="AA307" i="9"/>
  <c r="Z307" i="9"/>
  <c r="Y307" i="9"/>
  <c r="X307" i="9"/>
  <c r="W307" i="9"/>
  <c r="U307" i="9"/>
  <c r="AC307" i="9" s="1"/>
  <c r="AI306" i="9"/>
  <c r="AH306" i="9"/>
  <c r="AG306" i="9"/>
  <c r="AF306" i="9"/>
  <c r="AE306" i="9"/>
  <c r="AD306" i="9"/>
  <c r="AC306" i="9"/>
  <c r="AA306" i="9"/>
  <c r="Z306" i="9"/>
  <c r="Y306" i="9"/>
  <c r="X306" i="9"/>
  <c r="W306" i="9"/>
  <c r="U306" i="9"/>
  <c r="AI305" i="9"/>
  <c r="AH305" i="9"/>
  <c r="AG305" i="9"/>
  <c r="AF305" i="9"/>
  <c r="AE305" i="9"/>
  <c r="AD305" i="9"/>
  <c r="AA305" i="9"/>
  <c r="Z305" i="9"/>
  <c r="Y305" i="9"/>
  <c r="X305" i="9"/>
  <c r="W305" i="9"/>
  <c r="U305" i="9"/>
  <c r="AC305" i="9" s="1"/>
  <c r="AI304" i="9"/>
  <c r="AH304" i="9"/>
  <c r="AG304" i="9"/>
  <c r="AF304" i="9"/>
  <c r="AE304" i="9"/>
  <c r="AD304" i="9"/>
  <c r="AA304" i="9"/>
  <c r="Z304" i="9"/>
  <c r="Y304" i="9"/>
  <c r="X304" i="9"/>
  <c r="W304" i="9"/>
  <c r="U304" i="9"/>
  <c r="AC304" i="9" s="1"/>
  <c r="AI303" i="9"/>
  <c r="AH303" i="9"/>
  <c r="AG303" i="9"/>
  <c r="AF303" i="9"/>
  <c r="AE303" i="9"/>
  <c r="AD303" i="9"/>
  <c r="AA303" i="9"/>
  <c r="Z303" i="9"/>
  <c r="Y303" i="9"/>
  <c r="X303" i="9"/>
  <c r="W303" i="9"/>
  <c r="U303" i="9"/>
  <c r="AC303" i="9" s="1"/>
  <c r="AI302" i="9"/>
  <c r="AH302" i="9"/>
  <c r="AG302" i="9"/>
  <c r="AF302" i="9"/>
  <c r="AE302" i="9"/>
  <c r="AD302" i="9"/>
  <c r="AA302" i="9"/>
  <c r="Z302" i="9"/>
  <c r="Y302" i="9"/>
  <c r="X302" i="9"/>
  <c r="W302" i="9"/>
  <c r="U302" i="9"/>
  <c r="AC302" i="9" s="1"/>
  <c r="AI301" i="9"/>
  <c r="AH301" i="9"/>
  <c r="AG301" i="9"/>
  <c r="AF301" i="9"/>
  <c r="AE301" i="9"/>
  <c r="AD301" i="9"/>
  <c r="AC301" i="9"/>
  <c r="AA301" i="9"/>
  <c r="Z301" i="9"/>
  <c r="Y301" i="9"/>
  <c r="X301" i="9"/>
  <c r="W301" i="9"/>
  <c r="U301" i="9"/>
  <c r="AI300" i="9"/>
  <c r="AH300" i="9"/>
  <c r="AG300" i="9"/>
  <c r="AF300" i="9"/>
  <c r="AE300" i="9"/>
  <c r="AD300" i="9"/>
  <c r="AA300" i="9"/>
  <c r="Z300" i="9"/>
  <c r="Y300" i="9"/>
  <c r="X300" i="9"/>
  <c r="W300" i="9"/>
  <c r="U300" i="9"/>
  <c r="AC300" i="9" s="1"/>
  <c r="AI299" i="9"/>
  <c r="AH299" i="9"/>
  <c r="AG299" i="9"/>
  <c r="AF299" i="9"/>
  <c r="AE299" i="9"/>
  <c r="AD299" i="9"/>
  <c r="AC299" i="9"/>
  <c r="AA299" i="9"/>
  <c r="Z299" i="9"/>
  <c r="Y299" i="9"/>
  <c r="X299" i="9"/>
  <c r="W299" i="9"/>
  <c r="U299" i="9"/>
  <c r="AI298" i="9"/>
  <c r="AH298" i="9"/>
  <c r="AG298" i="9"/>
  <c r="AF298" i="9"/>
  <c r="AE298" i="9"/>
  <c r="AD298" i="9"/>
  <c r="AC298" i="9"/>
  <c r="AA298" i="9"/>
  <c r="Z298" i="9"/>
  <c r="Y298" i="9"/>
  <c r="X298" i="9"/>
  <c r="W298" i="9"/>
  <c r="U298" i="9"/>
  <c r="AI297" i="9"/>
  <c r="AH297" i="9"/>
  <c r="AG297" i="9"/>
  <c r="AF297" i="9"/>
  <c r="AE297" i="9"/>
  <c r="AD297" i="9"/>
  <c r="AC297" i="9"/>
  <c r="AA297" i="9"/>
  <c r="Z297" i="9"/>
  <c r="Y297" i="9"/>
  <c r="X297" i="9"/>
  <c r="W297" i="9"/>
  <c r="U297" i="9"/>
  <c r="AI296" i="9"/>
  <c r="AH296" i="9"/>
  <c r="AG296" i="9"/>
  <c r="AF296" i="9"/>
  <c r="AE296" i="9"/>
  <c r="AD296" i="9"/>
  <c r="AC296" i="9"/>
  <c r="AA296" i="9"/>
  <c r="Z296" i="9"/>
  <c r="Y296" i="9"/>
  <c r="X296" i="9"/>
  <c r="W296" i="9"/>
  <c r="U296" i="9"/>
  <c r="AI295" i="9"/>
  <c r="AH295" i="9"/>
  <c r="AG295" i="9"/>
  <c r="AF295" i="9"/>
  <c r="AE295" i="9"/>
  <c r="AD295" i="9"/>
  <c r="AA295" i="9"/>
  <c r="Z295" i="9"/>
  <c r="Y295" i="9"/>
  <c r="X295" i="9"/>
  <c r="W295" i="9"/>
  <c r="U295" i="9"/>
  <c r="AC295" i="9" s="1"/>
  <c r="AI294" i="9"/>
  <c r="AH294" i="9"/>
  <c r="AG294" i="9"/>
  <c r="AF294" i="9"/>
  <c r="AE294" i="9"/>
  <c r="AD294" i="9"/>
  <c r="AC294" i="9"/>
  <c r="AA294" i="9"/>
  <c r="Z294" i="9"/>
  <c r="Y294" i="9"/>
  <c r="X294" i="9"/>
  <c r="W294" i="9"/>
  <c r="U294" i="9"/>
  <c r="AI293" i="9"/>
  <c r="AH293" i="9"/>
  <c r="AG293" i="9"/>
  <c r="AF293" i="9"/>
  <c r="AE293" i="9"/>
  <c r="AD293" i="9"/>
  <c r="AA293" i="9"/>
  <c r="Z293" i="9"/>
  <c r="Y293" i="9"/>
  <c r="X293" i="9"/>
  <c r="W293" i="9"/>
  <c r="U293" i="9"/>
  <c r="AC293" i="9" s="1"/>
  <c r="AI292" i="9"/>
  <c r="AH292" i="9"/>
  <c r="AG292" i="9"/>
  <c r="AF292" i="9"/>
  <c r="AE292" i="9"/>
  <c r="AD292" i="9"/>
  <c r="AA292" i="9"/>
  <c r="Z292" i="9"/>
  <c r="Y292" i="9"/>
  <c r="X292" i="9"/>
  <c r="W292" i="9"/>
  <c r="U292" i="9"/>
  <c r="AC292" i="9" s="1"/>
  <c r="AI291" i="9"/>
  <c r="AH291" i="9"/>
  <c r="AG291" i="9"/>
  <c r="AF291" i="9"/>
  <c r="AE291" i="9"/>
  <c r="AD291" i="9"/>
  <c r="AA291" i="9"/>
  <c r="Z291" i="9"/>
  <c r="Y291" i="9"/>
  <c r="X291" i="9"/>
  <c r="W291" i="9"/>
  <c r="U291" i="9"/>
  <c r="AC291" i="9" s="1"/>
  <c r="AI290" i="9"/>
  <c r="AH290" i="9"/>
  <c r="AG290" i="9"/>
  <c r="AF290" i="9"/>
  <c r="AE290" i="9"/>
  <c r="AD290" i="9"/>
  <c r="AA290" i="9"/>
  <c r="Z290" i="9"/>
  <c r="Y290" i="9"/>
  <c r="X290" i="9"/>
  <c r="W290" i="9"/>
  <c r="U290" i="9"/>
  <c r="AC290" i="9" s="1"/>
  <c r="AI289" i="9"/>
  <c r="AH289" i="9"/>
  <c r="AG289" i="9"/>
  <c r="AF289" i="9"/>
  <c r="AE289" i="9"/>
  <c r="AD289" i="9"/>
  <c r="AC289" i="9"/>
  <c r="AA289" i="9"/>
  <c r="Z289" i="9"/>
  <c r="Y289" i="9"/>
  <c r="X289" i="9"/>
  <c r="W289" i="9"/>
  <c r="U289" i="9"/>
  <c r="AI288" i="9"/>
  <c r="AH288" i="9"/>
  <c r="AG288" i="9"/>
  <c r="AF288" i="9"/>
  <c r="AE288" i="9"/>
  <c r="AD288" i="9"/>
  <c r="AA288" i="9"/>
  <c r="Z288" i="9"/>
  <c r="Y288" i="9"/>
  <c r="X288" i="9"/>
  <c r="W288" i="9"/>
  <c r="U288" i="9"/>
  <c r="AC288" i="9" s="1"/>
  <c r="AI287" i="9"/>
  <c r="AH287" i="9"/>
  <c r="AG287" i="9"/>
  <c r="AF287" i="9"/>
  <c r="AE287" i="9"/>
  <c r="AD287" i="9"/>
  <c r="AC287" i="9"/>
  <c r="AA287" i="9"/>
  <c r="Z287" i="9"/>
  <c r="Y287" i="9"/>
  <c r="X287" i="9"/>
  <c r="W287" i="9"/>
  <c r="U287" i="9"/>
  <c r="AI286" i="9"/>
  <c r="AH286" i="9"/>
  <c r="AG286" i="9"/>
  <c r="AF286" i="9"/>
  <c r="AE286" i="9"/>
  <c r="AD286" i="9"/>
  <c r="AC286" i="9"/>
  <c r="AA286" i="9"/>
  <c r="Z286" i="9"/>
  <c r="Y286" i="9"/>
  <c r="X286" i="9"/>
  <c r="W286" i="9"/>
  <c r="U286" i="9"/>
  <c r="AI285" i="9"/>
  <c r="AH285" i="9"/>
  <c r="AG285" i="9"/>
  <c r="AF285" i="9"/>
  <c r="AE285" i="9"/>
  <c r="AD285" i="9"/>
  <c r="AC285" i="9"/>
  <c r="AA285" i="9"/>
  <c r="Z285" i="9"/>
  <c r="Y285" i="9"/>
  <c r="X285" i="9"/>
  <c r="W285" i="9"/>
  <c r="U285" i="9"/>
  <c r="AI284" i="9"/>
  <c r="AH284" i="9"/>
  <c r="AG284" i="9"/>
  <c r="AF284" i="9"/>
  <c r="AE284" i="9"/>
  <c r="AD284" i="9"/>
  <c r="AC284" i="9"/>
  <c r="AA284" i="9"/>
  <c r="Z284" i="9"/>
  <c r="Y284" i="9"/>
  <c r="X284" i="9"/>
  <c r="W284" i="9"/>
  <c r="U284" i="9"/>
  <c r="AI283" i="9"/>
  <c r="AH283" i="9"/>
  <c r="AG283" i="9"/>
  <c r="AF283" i="9"/>
  <c r="AE283" i="9"/>
  <c r="AD283" i="9"/>
  <c r="AA283" i="9"/>
  <c r="Z283" i="9"/>
  <c r="Y283" i="9"/>
  <c r="X283" i="9"/>
  <c r="W283" i="9"/>
  <c r="U283" i="9"/>
  <c r="AC283" i="9" s="1"/>
  <c r="AI282" i="9"/>
  <c r="AH282" i="9"/>
  <c r="AG282" i="9"/>
  <c r="AF282" i="9"/>
  <c r="AE282" i="9"/>
  <c r="AD282" i="9"/>
  <c r="AC282" i="9"/>
  <c r="AA282" i="9"/>
  <c r="Z282" i="9"/>
  <c r="Y282" i="9"/>
  <c r="X282" i="9"/>
  <c r="W282" i="9"/>
  <c r="U282" i="9"/>
  <c r="AI281" i="9"/>
  <c r="AH281" i="9"/>
  <c r="AG281" i="9"/>
  <c r="AF281" i="9"/>
  <c r="AE281" i="9"/>
  <c r="AD281" i="9"/>
  <c r="AA281" i="9"/>
  <c r="Z281" i="9"/>
  <c r="Y281" i="9"/>
  <c r="X281" i="9"/>
  <c r="W281" i="9"/>
  <c r="U281" i="9"/>
  <c r="AC281" i="9" s="1"/>
  <c r="AI280" i="9"/>
  <c r="AH280" i="9"/>
  <c r="AG280" i="9"/>
  <c r="AF280" i="9"/>
  <c r="AE280" i="9"/>
  <c r="AD280" i="9"/>
  <c r="AA280" i="9"/>
  <c r="Z280" i="9"/>
  <c r="Y280" i="9"/>
  <c r="X280" i="9"/>
  <c r="W280" i="9"/>
  <c r="U280" i="9"/>
  <c r="AC280" i="9" s="1"/>
  <c r="AI279" i="9"/>
  <c r="AH279" i="9"/>
  <c r="AG279" i="9"/>
  <c r="AF279" i="9"/>
  <c r="AE279" i="9"/>
  <c r="AD279" i="9"/>
  <c r="AA279" i="9"/>
  <c r="Z279" i="9"/>
  <c r="Y279" i="9"/>
  <c r="X279" i="9"/>
  <c r="W279" i="9"/>
  <c r="U279" i="9"/>
  <c r="AC279" i="9" s="1"/>
  <c r="AI278" i="9"/>
  <c r="AH278" i="9"/>
  <c r="AG278" i="9"/>
  <c r="AF278" i="9"/>
  <c r="AE278" i="9"/>
  <c r="AD278" i="9"/>
  <c r="AA278" i="9"/>
  <c r="Z278" i="9"/>
  <c r="Y278" i="9"/>
  <c r="X278" i="9"/>
  <c r="W278" i="9"/>
  <c r="U278" i="9"/>
  <c r="AC278" i="9" s="1"/>
  <c r="AI277" i="9"/>
  <c r="AH277" i="9"/>
  <c r="AG277" i="9"/>
  <c r="AF277" i="9"/>
  <c r="AE277" i="9"/>
  <c r="AD277" i="9"/>
  <c r="AC277" i="9"/>
  <c r="AA277" i="9"/>
  <c r="Z277" i="9"/>
  <c r="Y277" i="9"/>
  <c r="X277" i="9"/>
  <c r="W277" i="9"/>
  <c r="U277" i="9"/>
  <c r="AI276" i="9"/>
  <c r="AH276" i="9"/>
  <c r="AG276" i="9"/>
  <c r="AF276" i="9"/>
  <c r="AE276" i="9"/>
  <c r="AD276" i="9"/>
  <c r="AA276" i="9"/>
  <c r="Z276" i="9"/>
  <c r="Y276" i="9"/>
  <c r="X276" i="9"/>
  <c r="W276" i="9"/>
  <c r="U276" i="9"/>
  <c r="AC276" i="9" s="1"/>
  <c r="AI275" i="9"/>
  <c r="AH275" i="9"/>
  <c r="AG275" i="9"/>
  <c r="AF275" i="9"/>
  <c r="AE275" i="9"/>
  <c r="AD275" i="9"/>
  <c r="AC275" i="9"/>
  <c r="AA275" i="9"/>
  <c r="Z275" i="9"/>
  <c r="Y275" i="9"/>
  <c r="X275" i="9"/>
  <c r="W275" i="9"/>
  <c r="U275" i="9"/>
  <c r="AI274" i="9"/>
  <c r="AH274" i="9"/>
  <c r="AG274" i="9"/>
  <c r="AF274" i="9"/>
  <c r="AE274" i="9"/>
  <c r="AD274" i="9"/>
  <c r="AC274" i="9"/>
  <c r="AA274" i="9"/>
  <c r="Z274" i="9"/>
  <c r="Y274" i="9"/>
  <c r="X274" i="9"/>
  <c r="W274" i="9"/>
  <c r="U274" i="9"/>
  <c r="AI273" i="9"/>
  <c r="AH273" i="9"/>
  <c r="AG273" i="9"/>
  <c r="AF273" i="9"/>
  <c r="AE273" i="9"/>
  <c r="AD273" i="9"/>
  <c r="AC273" i="9"/>
  <c r="AA273" i="9"/>
  <c r="Z273" i="9"/>
  <c r="Y273" i="9"/>
  <c r="X273" i="9"/>
  <c r="W273" i="9"/>
  <c r="U273" i="9"/>
  <c r="AI272" i="9"/>
  <c r="AH272" i="9"/>
  <c r="AG272" i="9"/>
  <c r="AF272" i="9"/>
  <c r="AE272" i="9"/>
  <c r="AD272" i="9"/>
  <c r="AC272" i="9"/>
  <c r="AA272" i="9"/>
  <c r="Z272" i="9"/>
  <c r="Y272" i="9"/>
  <c r="X272" i="9"/>
  <c r="W272" i="9"/>
  <c r="U272" i="9"/>
  <c r="AI271" i="9"/>
  <c r="AH271" i="9"/>
  <c r="AG271" i="9"/>
  <c r="AF271" i="9"/>
  <c r="AE271" i="9"/>
  <c r="AD271" i="9"/>
  <c r="AA271" i="9"/>
  <c r="Z271" i="9"/>
  <c r="Y271" i="9"/>
  <c r="X271" i="9"/>
  <c r="W271" i="9"/>
  <c r="U271" i="9"/>
  <c r="AC271" i="9" s="1"/>
  <c r="AI270" i="9"/>
  <c r="AH270" i="9"/>
  <c r="AG270" i="9"/>
  <c r="AF270" i="9"/>
  <c r="AE270" i="9"/>
  <c r="AD270" i="9"/>
  <c r="AA270" i="9"/>
  <c r="Z270" i="9"/>
  <c r="Y270" i="9"/>
  <c r="X270" i="9"/>
  <c r="W270" i="9"/>
  <c r="U270" i="9"/>
  <c r="AC270" i="9" s="1"/>
  <c r="AI269" i="9"/>
  <c r="AH269" i="9"/>
  <c r="AG269" i="9"/>
  <c r="AF269" i="9"/>
  <c r="AE269" i="9"/>
  <c r="AD269" i="9"/>
  <c r="AA269" i="9"/>
  <c r="Z269" i="9"/>
  <c r="Y269" i="9"/>
  <c r="X269" i="9"/>
  <c r="W269" i="9"/>
  <c r="U269" i="9"/>
  <c r="AC269" i="9" s="1"/>
  <c r="AI268" i="9"/>
  <c r="AH268" i="9"/>
  <c r="AG268" i="9"/>
  <c r="AF268" i="9"/>
  <c r="AE268" i="9"/>
  <c r="AD268" i="9"/>
  <c r="AA268" i="9"/>
  <c r="Z268" i="9"/>
  <c r="Y268" i="9"/>
  <c r="X268" i="9"/>
  <c r="W268" i="9"/>
  <c r="U268" i="9"/>
  <c r="AC268" i="9" s="1"/>
  <c r="AI267" i="9"/>
  <c r="AH267" i="9"/>
  <c r="AG267" i="9"/>
  <c r="AF267" i="9"/>
  <c r="AE267" i="9"/>
  <c r="AD267" i="9"/>
  <c r="AA267" i="9"/>
  <c r="Z267" i="9"/>
  <c r="Y267" i="9"/>
  <c r="X267" i="9"/>
  <c r="W267" i="9"/>
  <c r="U267" i="9"/>
  <c r="AC267" i="9" s="1"/>
  <c r="AI266" i="9"/>
  <c r="AH266" i="9"/>
  <c r="AG266" i="9"/>
  <c r="AF266" i="9"/>
  <c r="AE266" i="9"/>
  <c r="AD266" i="9"/>
  <c r="AA266" i="9"/>
  <c r="Z266" i="9"/>
  <c r="Y266" i="9"/>
  <c r="X266" i="9"/>
  <c r="W266" i="9"/>
  <c r="U266" i="9"/>
  <c r="AC266" i="9" s="1"/>
  <c r="AI265" i="9"/>
  <c r="AH265" i="9"/>
  <c r="AG265" i="9"/>
  <c r="AF265" i="9"/>
  <c r="AE265" i="9"/>
  <c r="AD265" i="9"/>
  <c r="AC265" i="9"/>
  <c r="AA265" i="9"/>
  <c r="Z265" i="9"/>
  <c r="Y265" i="9"/>
  <c r="X265" i="9"/>
  <c r="W265" i="9"/>
  <c r="U265" i="9"/>
  <c r="AI264" i="9"/>
  <c r="AH264" i="9"/>
  <c r="AG264" i="9"/>
  <c r="AF264" i="9"/>
  <c r="AE264" i="9"/>
  <c r="AD264" i="9"/>
  <c r="AA264" i="9"/>
  <c r="Z264" i="9"/>
  <c r="Y264" i="9"/>
  <c r="X264" i="9"/>
  <c r="W264" i="9"/>
  <c r="U264" i="9"/>
  <c r="AC264" i="9" s="1"/>
  <c r="AI263" i="9"/>
  <c r="AH263" i="9"/>
  <c r="AG263" i="9"/>
  <c r="AF263" i="9"/>
  <c r="AE263" i="9"/>
  <c r="AD263" i="9"/>
  <c r="AC263" i="9"/>
  <c r="AA263" i="9"/>
  <c r="Z263" i="9"/>
  <c r="Y263" i="9"/>
  <c r="X263" i="9"/>
  <c r="W263" i="9"/>
  <c r="U263" i="9"/>
  <c r="AI262" i="9"/>
  <c r="AH262" i="9"/>
  <c r="AG262" i="9"/>
  <c r="AF262" i="9"/>
  <c r="AE262" i="9"/>
  <c r="AD262" i="9"/>
  <c r="AC262" i="9"/>
  <c r="AA262" i="9"/>
  <c r="Z262" i="9"/>
  <c r="Y262" i="9"/>
  <c r="X262" i="9"/>
  <c r="W262" i="9"/>
  <c r="U262" i="9"/>
  <c r="AI261" i="9"/>
  <c r="AH261" i="9"/>
  <c r="AG261" i="9"/>
  <c r="AF261" i="9"/>
  <c r="AE261" i="9"/>
  <c r="AD261" i="9"/>
  <c r="AC261" i="9"/>
  <c r="AA261" i="9"/>
  <c r="Z261" i="9"/>
  <c r="Y261" i="9"/>
  <c r="X261" i="9"/>
  <c r="W261" i="9"/>
  <c r="U261" i="9"/>
  <c r="AI260" i="9"/>
  <c r="AH260" i="9"/>
  <c r="AG260" i="9"/>
  <c r="AF260" i="9"/>
  <c r="AE260" i="9"/>
  <c r="AD260" i="9"/>
  <c r="AC260" i="9"/>
  <c r="AA260" i="9"/>
  <c r="Z260" i="9"/>
  <c r="Y260" i="9"/>
  <c r="X260" i="9"/>
  <c r="W260" i="9"/>
  <c r="U260" i="9"/>
  <c r="AI259" i="9"/>
  <c r="AH259" i="9"/>
  <c r="AG259" i="9"/>
  <c r="AF259" i="9"/>
  <c r="AE259" i="9"/>
  <c r="AD259" i="9"/>
  <c r="AA259" i="9"/>
  <c r="Z259" i="9"/>
  <c r="Y259" i="9"/>
  <c r="X259" i="9"/>
  <c r="W259" i="9"/>
  <c r="U259" i="9"/>
  <c r="AC259" i="9" s="1"/>
  <c r="AI258" i="9"/>
  <c r="AH258" i="9"/>
  <c r="AG258" i="9"/>
  <c r="AF258" i="9"/>
  <c r="AE258" i="9"/>
  <c r="AD258" i="9"/>
  <c r="AA258" i="9"/>
  <c r="Z258" i="9"/>
  <c r="Y258" i="9"/>
  <c r="X258" i="9"/>
  <c r="W258" i="9"/>
  <c r="U258" i="9"/>
  <c r="AC258" i="9" s="1"/>
  <c r="AI257" i="9"/>
  <c r="AH257" i="9"/>
  <c r="AG257" i="9"/>
  <c r="AF257" i="9"/>
  <c r="AE257" i="9"/>
  <c r="AD257" i="9"/>
  <c r="AA257" i="9"/>
  <c r="Z257" i="9"/>
  <c r="Y257" i="9"/>
  <c r="X257" i="9"/>
  <c r="W257" i="9"/>
  <c r="U257" i="9"/>
  <c r="AC257" i="9" s="1"/>
  <c r="AI256" i="9"/>
  <c r="AH256" i="9"/>
  <c r="AG256" i="9"/>
  <c r="AF256" i="9"/>
  <c r="AE256" i="9"/>
  <c r="AD256" i="9"/>
  <c r="AA256" i="9"/>
  <c r="Z256" i="9"/>
  <c r="Y256" i="9"/>
  <c r="X256" i="9"/>
  <c r="W256" i="9"/>
  <c r="U256" i="9"/>
  <c r="AC256" i="9" s="1"/>
  <c r="AI255" i="9"/>
  <c r="AH255" i="9"/>
  <c r="AG255" i="9"/>
  <c r="AF255" i="9"/>
  <c r="AE255" i="9"/>
  <c r="AD255" i="9"/>
  <c r="AA255" i="9"/>
  <c r="Z255" i="9"/>
  <c r="Y255" i="9"/>
  <c r="X255" i="9"/>
  <c r="W255" i="9"/>
  <c r="U255" i="9"/>
  <c r="AC255" i="9" s="1"/>
  <c r="AI254" i="9"/>
  <c r="AH254" i="9"/>
  <c r="AG254" i="9"/>
  <c r="AF254" i="9"/>
  <c r="AE254" i="9"/>
  <c r="AD254" i="9"/>
  <c r="AA254" i="9"/>
  <c r="Z254" i="9"/>
  <c r="Y254" i="9"/>
  <c r="X254" i="9"/>
  <c r="W254" i="9"/>
  <c r="U254" i="9"/>
  <c r="AC254" i="9" s="1"/>
  <c r="AI253" i="9"/>
  <c r="AH253" i="9"/>
  <c r="AG253" i="9"/>
  <c r="AF253" i="9"/>
  <c r="AE253" i="9"/>
  <c r="AD253" i="9"/>
  <c r="AC253" i="9"/>
  <c r="AA253" i="9"/>
  <c r="Z253" i="9"/>
  <c r="Y253" i="9"/>
  <c r="X253" i="9"/>
  <c r="W253" i="9"/>
  <c r="U253" i="9"/>
  <c r="AI252" i="9"/>
  <c r="AH252" i="9"/>
  <c r="AG252" i="9"/>
  <c r="AF252" i="9"/>
  <c r="AE252" i="9"/>
  <c r="AD252" i="9"/>
  <c r="AA252" i="9"/>
  <c r="Z252" i="9"/>
  <c r="Y252" i="9"/>
  <c r="X252" i="9"/>
  <c r="W252" i="9"/>
  <c r="U252" i="9"/>
  <c r="AC252" i="9" s="1"/>
  <c r="AI251" i="9"/>
  <c r="AH251" i="9"/>
  <c r="AG251" i="9"/>
  <c r="AF251" i="9"/>
  <c r="AE251" i="9"/>
  <c r="AD251" i="9"/>
  <c r="AC251" i="9"/>
  <c r="AA251" i="9"/>
  <c r="Z251" i="9"/>
  <c r="Y251" i="9"/>
  <c r="X251" i="9"/>
  <c r="W251" i="9"/>
  <c r="U251" i="9"/>
  <c r="AI250" i="9"/>
  <c r="AH250" i="9"/>
  <c r="AG250" i="9"/>
  <c r="AF250" i="9"/>
  <c r="AE250" i="9"/>
  <c r="AD250" i="9"/>
  <c r="AC250" i="9"/>
  <c r="AA250" i="9"/>
  <c r="Z250" i="9"/>
  <c r="Y250" i="9"/>
  <c r="X250" i="9"/>
  <c r="W250" i="9"/>
  <c r="U250" i="9"/>
  <c r="AI249" i="9"/>
  <c r="AH249" i="9"/>
  <c r="AG249" i="9"/>
  <c r="AF249" i="9"/>
  <c r="AE249" i="9"/>
  <c r="AD249" i="9"/>
  <c r="AC249" i="9"/>
  <c r="AA249" i="9"/>
  <c r="Z249" i="9"/>
  <c r="Y249" i="9"/>
  <c r="X249" i="9"/>
  <c r="W249" i="9"/>
  <c r="U249" i="9"/>
  <c r="AI248" i="9"/>
  <c r="AH248" i="9"/>
  <c r="AG248" i="9"/>
  <c r="AF248" i="9"/>
  <c r="AE248" i="9"/>
  <c r="AD248" i="9"/>
  <c r="AC248" i="9"/>
  <c r="AA248" i="9"/>
  <c r="Z248" i="9"/>
  <c r="Y248" i="9"/>
  <c r="X248" i="9"/>
  <c r="W248" i="9"/>
  <c r="U248" i="9"/>
  <c r="AI247" i="9"/>
  <c r="AH247" i="9"/>
  <c r="AG247" i="9"/>
  <c r="AF247" i="9"/>
  <c r="AE247" i="9"/>
  <c r="AD247" i="9"/>
  <c r="AA247" i="9"/>
  <c r="Z247" i="9"/>
  <c r="Y247" i="9"/>
  <c r="X247" i="9"/>
  <c r="W247" i="9"/>
  <c r="U247" i="9"/>
  <c r="AC247" i="9" s="1"/>
  <c r="AI246" i="9"/>
  <c r="AH246" i="9"/>
  <c r="AG246" i="9"/>
  <c r="AF246" i="9"/>
  <c r="AE246" i="9"/>
  <c r="AD246" i="9"/>
  <c r="AA246" i="9"/>
  <c r="Z246" i="9"/>
  <c r="Y246" i="9"/>
  <c r="X246" i="9"/>
  <c r="W246" i="9"/>
  <c r="U246" i="9"/>
  <c r="AC246" i="9" s="1"/>
  <c r="AI245" i="9"/>
  <c r="AH245" i="9"/>
  <c r="AG245" i="9"/>
  <c r="AF245" i="9"/>
  <c r="AE245" i="9"/>
  <c r="AD245" i="9"/>
  <c r="AA245" i="9"/>
  <c r="Z245" i="9"/>
  <c r="Y245" i="9"/>
  <c r="X245" i="9"/>
  <c r="W245" i="9"/>
  <c r="U245" i="9"/>
  <c r="AC245" i="9" s="1"/>
  <c r="AI244" i="9"/>
  <c r="AH244" i="9"/>
  <c r="AG244" i="9"/>
  <c r="AF244" i="9"/>
  <c r="AE244" i="9"/>
  <c r="AD244" i="9"/>
  <c r="AA244" i="9"/>
  <c r="Z244" i="9"/>
  <c r="Y244" i="9"/>
  <c r="X244" i="9"/>
  <c r="W244" i="9"/>
  <c r="U244" i="9"/>
  <c r="AC244" i="9" s="1"/>
  <c r="AI243" i="9"/>
  <c r="AH243" i="9"/>
  <c r="AG243" i="9"/>
  <c r="AF243" i="9"/>
  <c r="AE243" i="9"/>
  <c r="AD243" i="9"/>
  <c r="AA243" i="9"/>
  <c r="Z243" i="9"/>
  <c r="Y243" i="9"/>
  <c r="X243" i="9"/>
  <c r="W243" i="9"/>
  <c r="U243" i="9"/>
  <c r="AC243" i="9" s="1"/>
  <c r="AI242" i="9"/>
  <c r="AH242" i="9"/>
  <c r="AG242" i="9"/>
  <c r="AF242" i="9"/>
  <c r="AE242" i="9"/>
  <c r="AD242" i="9"/>
  <c r="AA242" i="9"/>
  <c r="Z242" i="9"/>
  <c r="Y242" i="9"/>
  <c r="X242" i="9"/>
  <c r="W242" i="9"/>
  <c r="U242" i="9"/>
  <c r="AC242" i="9" s="1"/>
  <c r="AI241" i="9"/>
  <c r="AH241" i="9"/>
  <c r="AG241" i="9"/>
  <c r="AF241" i="9"/>
  <c r="AE241" i="9"/>
  <c r="AD241" i="9"/>
  <c r="AC241" i="9"/>
  <c r="AA241" i="9"/>
  <c r="Z241" i="9"/>
  <c r="Y241" i="9"/>
  <c r="X241" i="9"/>
  <c r="W241" i="9"/>
  <c r="U241" i="9"/>
  <c r="AI240" i="9"/>
  <c r="AH240" i="9"/>
  <c r="AG240" i="9"/>
  <c r="AF240" i="9"/>
  <c r="AE240" i="9"/>
  <c r="AD240" i="9"/>
  <c r="AA240" i="9"/>
  <c r="Z240" i="9"/>
  <c r="Y240" i="9"/>
  <c r="X240" i="9"/>
  <c r="W240" i="9"/>
  <c r="U240" i="9"/>
  <c r="AC240" i="9" s="1"/>
  <c r="AI239" i="9"/>
  <c r="AH239" i="9"/>
  <c r="AG239" i="9"/>
  <c r="AF239" i="9"/>
  <c r="AE239" i="9"/>
  <c r="AD239" i="9"/>
  <c r="AC239" i="9"/>
  <c r="AA239" i="9"/>
  <c r="Z239" i="9"/>
  <c r="Y239" i="9"/>
  <c r="X239" i="9"/>
  <c r="W239" i="9"/>
  <c r="U239" i="9"/>
  <c r="AI238" i="9"/>
  <c r="AH238" i="9"/>
  <c r="AG238" i="9"/>
  <c r="AF238" i="9"/>
  <c r="AE238" i="9"/>
  <c r="AD238" i="9"/>
  <c r="AC238" i="9"/>
  <c r="AA238" i="9"/>
  <c r="Z238" i="9"/>
  <c r="Y238" i="9"/>
  <c r="X238" i="9"/>
  <c r="W238" i="9"/>
  <c r="U238" i="9"/>
  <c r="AI237" i="9"/>
  <c r="AH237" i="9"/>
  <c r="AG237" i="9"/>
  <c r="AF237" i="9"/>
  <c r="AE237" i="9"/>
  <c r="AD237" i="9"/>
  <c r="AC237" i="9"/>
  <c r="AA237" i="9"/>
  <c r="Z237" i="9"/>
  <c r="Y237" i="9"/>
  <c r="X237" i="9"/>
  <c r="W237" i="9"/>
  <c r="U237" i="9"/>
  <c r="AI236" i="9"/>
  <c r="AH236" i="9"/>
  <c r="AG236" i="9"/>
  <c r="AF236" i="9"/>
  <c r="AE236" i="9"/>
  <c r="AD236" i="9"/>
  <c r="AC236" i="9"/>
  <c r="AA236" i="9"/>
  <c r="Z236" i="9"/>
  <c r="Y236" i="9"/>
  <c r="X236" i="9"/>
  <c r="W236" i="9"/>
  <c r="U236" i="9"/>
  <c r="AI235" i="9"/>
  <c r="AH235" i="9"/>
  <c r="AG235" i="9"/>
  <c r="AF235" i="9"/>
  <c r="AE235" i="9"/>
  <c r="AD235" i="9"/>
  <c r="AA235" i="9"/>
  <c r="Z235" i="9"/>
  <c r="Y235" i="9"/>
  <c r="X235" i="9"/>
  <c r="W235" i="9"/>
  <c r="U235" i="9"/>
  <c r="AC235" i="9" s="1"/>
  <c r="AI234" i="9"/>
  <c r="AH234" i="9"/>
  <c r="AG234" i="9"/>
  <c r="AF234" i="9"/>
  <c r="AE234" i="9"/>
  <c r="AD234" i="9"/>
  <c r="AA234" i="9"/>
  <c r="Z234" i="9"/>
  <c r="Y234" i="9"/>
  <c r="X234" i="9"/>
  <c r="W234" i="9"/>
  <c r="U234" i="9"/>
  <c r="AC234" i="9" s="1"/>
  <c r="AI233" i="9"/>
  <c r="AH233" i="9"/>
  <c r="AG233" i="9"/>
  <c r="AF233" i="9"/>
  <c r="AE233" i="9"/>
  <c r="AD233" i="9"/>
  <c r="AA233" i="9"/>
  <c r="Z233" i="9"/>
  <c r="Y233" i="9"/>
  <c r="X233" i="9"/>
  <c r="W233" i="9"/>
  <c r="U233" i="9"/>
  <c r="AC233" i="9" s="1"/>
  <c r="AI232" i="9"/>
  <c r="AH232" i="9"/>
  <c r="AG232" i="9"/>
  <c r="AF232" i="9"/>
  <c r="AE232" i="9"/>
  <c r="AD232" i="9"/>
  <c r="AA232" i="9"/>
  <c r="Z232" i="9"/>
  <c r="Y232" i="9"/>
  <c r="X232" i="9"/>
  <c r="W232" i="9"/>
  <c r="U232" i="9"/>
  <c r="AC232" i="9" s="1"/>
  <c r="AI231" i="9"/>
  <c r="AH231" i="9"/>
  <c r="AG231" i="9"/>
  <c r="AF231" i="9"/>
  <c r="AE231" i="9"/>
  <c r="AD231" i="9"/>
  <c r="AA231" i="9"/>
  <c r="Z231" i="9"/>
  <c r="Y231" i="9"/>
  <c r="X231" i="9"/>
  <c r="W231" i="9"/>
  <c r="U231" i="9"/>
  <c r="AC231" i="9" s="1"/>
  <c r="AI230" i="9"/>
  <c r="AH230" i="9"/>
  <c r="AG230" i="9"/>
  <c r="AF230" i="9"/>
  <c r="AE230" i="9"/>
  <c r="AD230" i="9"/>
  <c r="AA230" i="9"/>
  <c r="Z230" i="9"/>
  <c r="Y230" i="9"/>
  <c r="X230" i="9"/>
  <c r="W230" i="9"/>
  <c r="U230" i="9"/>
  <c r="AC230" i="9" s="1"/>
  <c r="AI229" i="9"/>
  <c r="AH229" i="9"/>
  <c r="AG229" i="9"/>
  <c r="AF229" i="9"/>
  <c r="AE229" i="9"/>
  <c r="AD229" i="9"/>
  <c r="AC229" i="9"/>
  <c r="AA229" i="9"/>
  <c r="Z229" i="9"/>
  <c r="Y229" i="9"/>
  <c r="X229" i="9"/>
  <c r="W229" i="9"/>
  <c r="U229" i="9"/>
  <c r="AI228" i="9"/>
  <c r="AH228" i="9"/>
  <c r="AG228" i="9"/>
  <c r="AF228" i="9"/>
  <c r="AE228" i="9"/>
  <c r="AD228" i="9"/>
  <c r="AA228" i="9"/>
  <c r="Z228" i="9"/>
  <c r="Y228" i="9"/>
  <c r="X228" i="9"/>
  <c r="W228" i="9"/>
  <c r="U228" i="9"/>
  <c r="AC228" i="9" s="1"/>
  <c r="AI227" i="9"/>
  <c r="AH227" i="9"/>
  <c r="AG227" i="9"/>
  <c r="AF227" i="9"/>
  <c r="AE227" i="9"/>
  <c r="AD227" i="9"/>
  <c r="AC227" i="9"/>
  <c r="AA227" i="9"/>
  <c r="Z227" i="9"/>
  <c r="Y227" i="9"/>
  <c r="X227" i="9"/>
  <c r="W227" i="9"/>
  <c r="U227" i="9"/>
  <c r="AI226" i="9"/>
  <c r="AH226" i="9"/>
  <c r="AG226" i="9"/>
  <c r="AF226" i="9"/>
  <c r="AE226" i="9"/>
  <c r="AD226" i="9"/>
  <c r="AC226" i="9"/>
  <c r="AA226" i="9"/>
  <c r="Z226" i="9"/>
  <c r="Y226" i="9"/>
  <c r="X226" i="9"/>
  <c r="W226" i="9"/>
  <c r="U226" i="9"/>
  <c r="AI225" i="9"/>
  <c r="AH225" i="9"/>
  <c r="AG225" i="9"/>
  <c r="AF225" i="9"/>
  <c r="AE225" i="9"/>
  <c r="AD225" i="9"/>
  <c r="AC225" i="9"/>
  <c r="AA225" i="9"/>
  <c r="Z225" i="9"/>
  <c r="Y225" i="9"/>
  <c r="X225" i="9"/>
  <c r="W225" i="9"/>
  <c r="U225" i="9"/>
  <c r="AI224" i="9"/>
  <c r="AH224" i="9"/>
  <c r="AG224" i="9"/>
  <c r="AF224" i="9"/>
  <c r="AE224" i="9"/>
  <c r="AD224" i="9"/>
  <c r="AC224" i="9"/>
  <c r="AA224" i="9"/>
  <c r="Z224" i="9"/>
  <c r="Y224" i="9"/>
  <c r="X224" i="9"/>
  <c r="W224" i="9"/>
  <c r="U224" i="9"/>
  <c r="AI223" i="9"/>
  <c r="AH223" i="9"/>
  <c r="AG223" i="9"/>
  <c r="AF223" i="9"/>
  <c r="AE223" i="9"/>
  <c r="AD223" i="9"/>
  <c r="AA223" i="9"/>
  <c r="Z223" i="9"/>
  <c r="Y223" i="9"/>
  <c r="X223" i="9"/>
  <c r="W223" i="9"/>
  <c r="U223" i="9"/>
  <c r="AC223" i="9" s="1"/>
  <c r="AI222" i="9"/>
  <c r="AH222" i="9"/>
  <c r="AG222" i="9"/>
  <c r="AF222" i="9"/>
  <c r="AE222" i="9"/>
  <c r="AD222" i="9"/>
  <c r="AC222" i="9"/>
  <c r="AA222" i="9"/>
  <c r="Z222" i="9"/>
  <c r="Y222" i="9"/>
  <c r="X222" i="9"/>
  <c r="W222" i="9"/>
  <c r="U222" i="9"/>
  <c r="AI221" i="9"/>
  <c r="AH221" i="9"/>
  <c r="AG221" i="9"/>
  <c r="AF221" i="9"/>
  <c r="AE221" i="9"/>
  <c r="AD221" i="9"/>
  <c r="AA221" i="9"/>
  <c r="Z221" i="9"/>
  <c r="Y221" i="9"/>
  <c r="X221" i="9"/>
  <c r="W221" i="9"/>
  <c r="U221" i="9"/>
  <c r="AC221" i="9" s="1"/>
  <c r="AI220" i="9"/>
  <c r="AH220" i="9"/>
  <c r="AG220" i="9"/>
  <c r="AF220" i="9"/>
  <c r="AE220" i="9"/>
  <c r="AD220" i="9"/>
  <c r="AA220" i="9"/>
  <c r="Z220" i="9"/>
  <c r="Y220" i="9"/>
  <c r="X220" i="9"/>
  <c r="W220" i="9"/>
  <c r="U220" i="9"/>
  <c r="AC220" i="9" s="1"/>
  <c r="AI219" i="9"/>
  <c r="AH219" i="9"/>
  <c r="AG219" i="9"/>
  <c r="AF219" i="9"/>
  <c r="AE219" i="9"/>
  <c r="AD219" i="9"/>
  <c r="AA219" i="9"/>
  <c r="Z219" i="9"/>
  <c r="Y219" i="9"/>
  <c r="X219" i="9"/>
  <c r="W219" i="9"/>
  <c r="U219" i="9"/>
  <c r="AC219" i="9" s="1"/>
  <c r="AI218" i="9"/>
  <c r="AH218" i="9"/>
  <c r="AG218" i="9"/>
  <c r="AF218" i="9"/>
  <c r="AE218" i="9"/>
  <c r="AD218" i="9"/>
  <c r="AA218" i="9"/>
  <c r="Z218" i="9"/>
  <c r="Y218" i="9"/>
  <c r="X218" i="9"/>
  <c r="W218" i="9"/>
  <c r="U218" i="9"/>
  <c r="AC218" i="9" s="1"/>
  <c r="AI217" i="9"/>
  <c r="AH217" i="9"/>
  <c r="AG217" i="9"/>
  <c r="AF217" i="9"/>
  <c r="AE217" i="9"/>
  <c r="AD217" i="9"/>
  <c r="AC217" i="9"/>
  <c r="AA217" i="9"/>
  <c r="Z217" i="9"/>
  <c r="Y217" i="9"/>
  <c r="X217" i="9"/>
  <c r="W217" i="9"/>
  <c r="U217" i="9"/>
  <c r="AI216" i="9"/>
  <c r="AH216" i="9"/>
  <c r="AG216" i="9"/>
  <c r="AF216" i="9"/>
  <c r="AE216" i="9"/>
  <c r="AD216" i="9"/>
  <c r="AA216" i="9"/>
  <c r="Z216" i="9"/>
  <c r="Y216" i="9"/>
  <c r="X216" i="9"/>
  <c r="W216" i="9"/>
  <c r="U216" i="9"/>
  <c r="AC216" i="9" s="1"/>
  <c r="AI215" i="9"/>
  <c r="AH215" i="9"/>
  <c r="AG215" i="9"/>
  <c r="AF215" i="9"/>
  <c r="AE215" i="9"/>
  <c r="AD215" i="9"/>
  <c r="AC215" i="9"/>
  <c r="AA215" i="9"/>
  <c r="Z215" i="9"/>
  <c r="Y215" i="9"/>
  <c r="X215" i="9"/>
  <c r="W215" i="9"/>
  <c r="U215" i="9"/>
  <c r="AI214" i="9"/>
  <c r="AH214" i="9"/>
  <c r="AG214" i="9"/>
  <c r="AF214" i="9"/>
  <c r="AE214" i="9"/>
  <c r="AD214" i="9"/>
  <c r="AC214" i="9"/>
  <c r="AA214" i="9"/>
  <c r="Z214" i="9"/>
  <c r="Y214" i="9"/>
  <c r="X214" i="9"/>
  <c r="W214" i="9"/>
  <c r="U214" i="9"/>
  <c r="AI213" i="9"/>
  <c r="AH213" i="9"/>
  <c r="AG213" i="9"/>
  <c r="AF213" i="9"/>
  <c r="AE213" i="9"/>
  <c r="AD213" i="9"/>
  <c r="AC213" i="9"/>
  <c r="AA213" i="9"/>
  <c r="Z213" i="9"/>
  <c r="Y213" i="9"/>
  <c r="X213" i="9"/>
  <c r="W213" i="9"/>
  <c r="U213" i="9"/>
  <c r="AI212" i="9"/>
  <c r="AH212" i="9"/>
  <c r="AG212" i="9"/>
  <c r="AF212" i="9"/>
  <c r="AE212" i="9"/>
  <c r="AD212" i="9"/>
  <c r="AC212" i="9"/>
  <c r="AA212" i="9"/>
  <c r="Z212" i="9"/>
  <c r="Y212" i="9"/>
  <c r="X212" i="9"/>
  <c r="W212" i="9"/>
  <c r="U212" i="9"/>
  <c r="AI211" i="9"/>
  <c r="AH211" i="9"/>
  <c r="AG211" i="9"/>
  <c r="AF211" i="9"/>
  <c r="AE211" i="9"/>
  <c r="AD211" i="9"/>
  <c r="AA211" i="9"/>
  <c r="Z211" i="9"/>
  <c r="Y211" i="9"/>
  <c r="X211" i="9"/>
  <c r="W211" i="9"/>
  <c r="U211" i="9"/>
  <c r="AC211" i="9" s="1"/>
  <c r="AI210" i="9"/>
  <c r="AH210" i="9"/>
  <c r="AG210" i="9"/>
  <c r="AF210" i="9"/>
  <c r="AE210" i="9"/>
  <c r="AD210" i="9"/>
  <c r="AC210" i="9"/>
  <c r="AA210" i="9"/>
  <c r="Z210" i="9"/>
  <c r="Y210" i="9"/>
  <c r="X210" i="9"/>
  <c r="W210" i="9"/>
  <c r="U210" i="9"/>
  <c r="AI209" i="9"/>
  <c r="AH209" i="9"/>
  <c r="AG209" i="9"/>
  <c r="AF209" i="9"/>
  <c r="AE209" i="9"/>
  <c r="AD209" i="9"/>
  <c r="AA209" i="9"/>
  <c r="Z209" i="9"/>
  <c r="Y209" i="9"/>
  <c r="X209" i="9"/>
  <c r="W209" i="9"/>
  <c r="U209" i="9"/>
  <c r="AC209" i="9" s="1"/>
  <c r="AI208" i="9"/>
  <c r="AH208" i="9"/>
  <c r="AG208" i="9"/>
  <c r="AF208" i="9"/>
  <c r="AE208" i="9"/>
  <c r="AD208" i="9"/>
  <c r="AA208" i="9"/>
  <c r="Z208" i="9"/>
  <c r="Y208" i="9"/>
  <c r="X208" i="9"/>
  <c r="W208" i="9"/>
  <c r="U208" i="9"/>
  <c r="AC208" i="9" s="1"/>
  <c r="AI207" i="9"/>
  <c r="AH207" i="9"/>
  <c r="AG207" i="9"/>
  <c r="AF207" i="9"/>
  <c r="AE207" i="9"/>
  <c r="AD207" i="9"/>
  <c r="AA207" i="9"/>
  <c r="Z207" i="9"/>
  <c r="Y207" i="9"/>
  <c r="X207" i="9"/>
  <c r="W207" i="9"/>
  <c r="U207" i="9"/>
  <c r="AC207" i="9" s="1"/>
  <c r="AI206" i="9"/>
  <c r="AH206" i="9"/>
  <c r="AG206" i="9"/>
  <c r="AF206" i="9"/>
  <c r="AE206" i="9"/>
  <c r="AD206" i="9"/>
  <c r="AA206" i="9"/>
  <c r="Z206" i="9"/>
  <c r="Y206" i="9"/>
  <c r="X206" i="9"/>
  <c r="W206" i="9"/>
  <c r="U206" i="9"/>
  <c r="AC206" i="9" s="1"/>
  <c r="AI205" i="9"/>
  <c r="AH205" i="9"/>
  <c r="AG205" i="9"/>
  <c r="AF205" i="9"/>
  <c r="AE205" i="9"/>
  <c r="AD205" i="9"/>
  <c r="AC205" i="9"/>
  <c r="AA205" i="9"/>
  <c r="Z205" i="9"/>
  <c r="Y205" i="9"/>
  <c r="X205" i="9"/>
  <c r="W205" i="9"/>
  <c r="U205" i="9"/>
  <c r="AI204" i="9"/>
  <c r="AH204" i="9"/>
  <c r="AG204" i="9"/>
  <c r="AF204" i="9"/>
  <c r="AE204" i="9"/>
  <c r="AD204" i="9"/>
  <c r="AA204" i="9"/>
  <c r="Z204" i="9"/>
  <c r="Y204" i="9"/>
  <c r="X204" i="9"/>
  <c r="W204" i="9"/>
  <c r="U204" i="9"/>
  <c r="AC204" i="9" s="1"/>
  <c r="AI203" i="9"/>
  <c r="AH203" i="9"/>
  <c r="AG203" i="9"/>
  <c r="AF203" i="9"/>
  <c r="AE203" i="9"/>
  <c r="AD203" i="9"/>
  <c r="AC203" i="9"/>
  <c r="AA203" i="9"/>
  <c r="Z203" i="9"/>
  <c r="Y203" i="9"/>
  <c r="X203" i="9"/>
  <c r="W203" i="9"/>
  <c r="U203" i="9"/>
  <c r="AI202" i="9"/>
  <c r="AH202" i="9"/>
  <c r="AG202" i="9"/>
  <c r="AF202" i="9"/>
  <c r="AE202" i="9"/>
  <c r="AD202" i="9"/>
  <c r="AC202" i="9"/>
  <c r="AA202" i="9"/>
  <c r="Z202" i="9"/>
  <c r="Y202" i="9"/>
  <c r="X202" i="9"/>
  <c r="W202" i="9"/>
  <c r="U202" i="9"/>
  <c r="AI201" i="9"/>
  <c r="AH201" i="9"/>
  <c r="AG201" i="9"/>
  <c r="AF201" i="9"/>
  <c r="AE201" i="9"/>
  <c r="AD201" i="9"/>
  <c r="AC201" i="9"/>
  <c r="AA201" i="9"/>
  <c r="Z201" i="9"/>
  <c r="Y201" i="9"/>
  <c r="X201" i="9"/>
  <c r="W201" i="9"/>
  <c r="U201" i="9"/>
  <c r="AI200" i="9"/>
  <c r="AH200" i="9"/>
  <c r="AG200" i="9"/>
  <c r="AF200" i="9"/>
  <c r="AE200" i="9"/>
  <c r="AD200" i="9"/>
  <c r="AC200" i="9"/>
  <c r="AA200" i="9"/>
  <c r="Z200" i="9"/>
  <c r="Y200" i="9"/>
  <c r="X200" i="9"/>
  <c r="W200" i="9"/>
  <c r="U200" i="9"/>
  <c r="AI199" i="9"/>
  <c r="AH199" i="9"/>
  <c r="AG199" i="9"/>
  <c r="AF199" i="9"/>
  <c r="AE199" i="9"/>
  <c r="AD199" i="9"/>
  <c r="AA199" i="9"/>
  <c r="Z199" i="9"/>
  <c r="Y199" i="9"/>
  <c r="X199" i="9"/>
  <c r="W199" i="9"/>
  <c r="U199" i="9"/>
  <c r="AC199" i="9" s="1"/>
  <c r="AI198" i="9"/>
  <c r="AH198" i="9"/>
  <c r="AG198" i="9"/>
  <c r="AF198" i="9"/>
  <c r="AE198" i="9"/>
  <c r="AD198" i="9"/>
  <c r="AC198" i="9"/>
  <c r="AA198" i="9"/>
  <c r="Z198" i="9"/>
  <c r="Y198" i="9"/>
  <c r="X198" i="9"/>
  <c r="W198" i="9"/>
  <c r="U198" i="9"/>
  <c r="AI197" i="9"/>
  <c r="AH197" i="9"/>
  <c r="AG197" i="9"/>
  <c r="AF197" i="9"/>
  <c r="AE197" i="9"/>
  <c r="AD197" i="9"/>
  <c r="AA197" i="9"/>
  <c r="Z197" i="9"/>
  <c r="Y197" i="9"/>
  <c r="X197" i="9"/>
  <c r="W197" i="9"/>
  <c r="U197" i="9"/>
  <c r="AC197" i="9" s="1"/>
  <c r="AI196" i="9"/>
  <c r="AH196" i="9"/>
  <c r="AG196" i="9"/>
  <c r="AF196" i="9"/>
  <c r="AE196" i="9"/>
  <c r="AD196" i="9"/>
  <c r="AA196" i="9"/>
  <c r="Z196" i="9"/>
  <c r="Y196" i="9"/>
  <c r="X196" i="9"/>
  <c r="W196" i="9"/>
  <c r="U196" i="9"/>
  <c r="AC196" i="9" s="1"/>
  <c r="AI195" i="9"/>
  <c r="AH195" i="9"/>
  <c r="AG195" i="9"/>
  <c r="AF195" i="9"/>
  <c r="AE195" i="9"/>
  <c r="AD195" i="9"/>
  <c r="AA195" i="9"/>
  <c r="Z195" i="9"/>
  <c r="Y195" i="9"/>
  <c r="X195" i="9"/>
  <c r="W195" i="9"/>
  <c r="U195" i="9"/>
  <c r="AC195" i="9" s="1"/>
  <c r="AI194" i="9"/>
  <c r="AH194" i="9"/>
  <c r="AG194" i="9"/>
  <c r="AF194" i="9"/>
  <c r="AE194" i="9"/>
  <c r="AD194" i="9"/>
  <c r="AA194" i="9"/>
  <c r="Z194" i="9"/>
  <c r="Y194" i="9"/>
  <c r="X194" i="9"/>
  <c r="W194" i="9"/>
  <c r="U194" i="9"/>
  <c r="AC194" i="9" s="1"/>
  <c r="AI193" i="9"/>
  <c r="AH193" i="9"/>
  <c r="AG193" i="9"/>
  <c r="AF193" i="9"/>
  <c r="AE193" i="9"/>
  <c r="AD193" i="9"/>
  <c r="AC193" i="9"/>
  <c r="AA193" i="9"/>
  <c r="Z193" i="9"/>
  <c r="Y193" i="9"/>
  <c r="X193" i="9"/>
  <c r="W193" i="9"/>
  <c r="U193" i="9"/>
  <c r="AI192" i="9"/>
  <c r="AH192" i="9"/>
  <c r="AG192" i="9"/>
  <c r="AF192" i="9"/>
  <c r="AE192" i="9"/>
  <c r="AD192" i="9"/>
  <c r="AA192" i="9"/>
  <c r="Z192" i="9"/>
  <c r="Y192" i="9"/>
  <c r="X192" i="9"/>
  <c r="W192" i="9"/>
  <c r="U192" i="9"/>
  <c r="AC192" i="9" s="1"/>
  <c r="AI191" i="9"/>
  <c r="AH191" i="9"/>
  <c r="AG191" i="9"/>
  <c r="AF191" i="9"/>
  <c r="AE191" i="9"/>
  <c r="AD191" i="9"/>
  <c r="AC191" i="9"/>
  <c r="AA191" i="9"/>
  <c r="Z191" i="9"/>
  <c r="Y191" i="9"/>
  <c r="X191" i="9"/>
  <c r="W191" i="9"/>
  <c r="U191" i="9"/>
  <c r="AI190" i="9"/>
  <c r="AH190" i="9"/>
  <c r="AG190" i="9"/>
  <c r="AF190" i="9"/>
  <c r="AE190" i="9"/>
  <c r="AD190" i="9"/>
  <c r="AC190" i="9"/>
  <c r="AA190" i="9"/>
  <c r="Z190" i="9"/>
  <c r="Y190" i="9"/>
  <c r="X190" i="9"/>
  <c r="W190" i="9"/>
  <c r="U190" i="9"/>
  <c r="AI189" i="9"/>
  <c r="AH189" i="9"/>
  <c r="AG189" i="9"/>
  <c r="AF189" i="9"/>
  <c r="AE189" i="9"/>
  <c r="AD189" i="9"/>
  <c r="AC189" i="9"/>
  <c r="AA189" i="9"/>
  <c r="Z189" i="9"/>
  <c r="Y189" i="9"/>
  <c r="X189" i="9"/>
  <c r="W189" i="9"/>
  <c r="U189" i="9"/>
  <c r="AI188" i="9"/>
  <c r="AH188" i="9"/>
  <c r="AG188" i="9"/>
  <c r="AF188" i="9"/>
  <c r="AE188" i="9"/>
  <c r="AD188" i="9"/>
  <c r="AC188" i="9"/>
  <c r="AA188" i="9"/>
  <c r="Z188" i="9"/>
  <c r="Y188" i="9"/>
  <c r="X188" i="9"/>
  <c r="W188" i="9"/>
  <c r="U188" i="9"/>
  <c r="AI187" i="9"/>
  <c r="AH187" i="9"/>
  <c r="AG187" i="9"/>
  <c r="AF187" i="9"/>
  <c r="AE187" i="9"/>
  <c r="AD187" i="9"/>
  <c r="AA187" i="9"/>
  <c r="Z187" i="9"/>
  <c r="Y187" i="9"/>
  <c r="X187" i="9"/>
  <c r="W187" i="9"/>
  <c r="U187" i="9"/>
  <c r="AC187" i="9" s="1"/>
  <c r="AI186" i="9"/>
  <c r="AH186" i="9"/>
  <c r="AG186" i="9"/>
  <c r="AF186" i="9"/>
  <c r="AE186" i="9"/>
  <c r="AD186" i="9"/>
  <c r="AC186" i="9"/>
  <c r="AA186" i="9"/>
  <c r="Z186" i="9"/>
  <c r="Y186" i="9"/>
  <c r="X186" i="9"/>
  <c r="W186" i="9"/>
  <c r="U186" i="9"/>
  <c r="AI185" i="9"/>
  <c r="AH185" i="9"/>
  <c r="AG185" i="9"/>
  <c r="AF185" i="9"/>
  <c r="AE185" i="9"/>
  <c r="AD185" i="9"/>
  <c r="AA185" i="9"/>
  <c r="Z185" i="9"/>
  <c r="Y185" i="9"/>
  <c r="X185" i="9"/>
  <c r="W185" i="9"/>
  <c r="U185" i="9"/>
  <c r="AC185" i="9" s="1"/>
  <c r="AI184" i="9"/>
  <c r="AH184" i="9"/>
  <c r="AG184" i="9"/>
  <c r="AF184" i="9"/>
  <c r="AE184" i="9"/>
  <c r="AD184" i="9"/>
  <c r="AA184" i="9"/>
  <c r="Z184" i="9"/>
  <c r="Y184" i="9"/>
  <c r="X184" i="9"/>
  <c r="W184" i="9"/>
  <c r="U184" i="9"/>
  <c r="AC184" i="9" s="1"/>
  <c r="AI183" i="9"/>
  <c r="AH183" i="9"/>
  <c r="AG183" i="9"/>
  <c r="AF183" i="9"/>
  <c r="AE183" i="9"/>
  <c r="AD183" i="9"/>
  <c r="AA183" i="9"/>
  <c r="Z183" i="9"/>
  <c r="Y183" i="9"/>
  <c r="X183" i="9"/>
  <c r="W183" i="9"/>
  <c r="U183" i="9"/>
  <c r="AC183" i="9" s="1"/>
  <c r="AI182" i="9"/>
  <c r="AH182" i="9"/>
  <c r="AG182" i="9"/>
  <c r="AF182" i="9"/>
  <c r="AE182" i="9"/>
  <c r="AD182" i="9"/>
  <c r="AA182" i="9"/>
  <c r="Z182" i="9"/>
  <c r="Y182" i="9"/>
  <c r="X182" i="9"/>
  <c r="W182" i="9"/>
  <c r="U182" i="9"/>
  <c r="AC182" i="9" s="1"/>
  <c r="AI181" i="9"/>
  <c r="AH181" i="9"/>
  <c r="AG181" i="9"/>
  <c r="AF181" i="9"/>
  <c r="AE181" i="9"/>
  <c r="AD181" i="9"/>
  <c r="AC181" i="9"/>
  <c r="AA181" i="9"/>
  <c r="Z181" i="9"/>
  <c r="Y181" i="9"/>
  <c r="X181" i="9"/>
  <c r="W181" i="9"/>
  <c r="U181" i="9"/>
  <c r="AI180" i="9"/>
  <c r="AH180" i="9"/>
  <c r="AG180" i="9"/>
  <c r="AF180" i="9"/>
  <c r="AE180" i="9"/>
  <c r="AD180" i="9"/>
  <c r="AA180" i="9"/>
  <c r="Z180" i="9"/>
  <c r="Y180" i="9"/>
  <c r="X180" i="9"/>
  <c r="W180" i="9"/>
  <c r="U180" i="9"/>
  <c r="AC180" i="9" s="1"/>
  <c r="AI179" i="9"/>
  <c r="AH179" i="9"/>
  <c r="AG179" i="9"/>
  <c r="AF179" i="9"/>
  <c r="AE179" i="9"/>
  <c r="AD179" i="9"/>
  <c r="AC179" i="9"/>
  <c r="AA179" i="9"/>
  <c r="Z179" i="9"/>
  <c r="Y179" i="9"/>
  <c r="X179" i="9"/>
  <c r="W179" i="9"/>
  <c r="U179" i="9"/>
  <c r="AI178" i="9"/>
  <c r="AH178" i="9"/>
  <c r="AG178" i="9"/>
  <c r="AF178" i="9"/>
  <c r="AE178" i="9"/>
  <c r="AD178" i="9"/>
  <c r="AC178" i="9"/>
  <c r="AA178" i="9"/>
  <c r="Z178" i="9"/>
  <c r="Y178" i="9"/>
  <c r="X178" i="9"/>
  <c r="W178" i="9"/>
  <c r="U178" i="9"/>
  <c r="AI177" i="9"/>
  <c r="AH177" i="9"/>
  <c r="AG177" i="9"/>
  <c r="AF177" i="9"/>
  <c r="AE177" i="9"/>
  <c r="AD177" i="9"/>
  <c r="AC177" i="9"/>
  <c r="AA177" i="9"/>
  <c r="Z177" i="9"/>
  <c r="Y177" i="9"/>
  <c r="X177" i="9"/>
  <c r="W177" i="9"/>
  <c r="U177" i="9"/>
  <c r="AI176" i="9"/>
  <c r="AH176" i="9"/>
  <c r="AG176" i="9"/>
  <c r="AF176" i="9"/>
  <c r="AE176" i="9"/>
  <c r="AD176" i="9"/>
  <c r="AC176" i="9"/>
  <c r="AA176" i="9"/>
  <c r="Z176" i="9"/>
  <c r="Y176" i="9"/>
  <c r="X176" i="9"/>
  <c r="W176" i="9"/>
  <c r="U176" i="9"/>
  <c r="AI175" i="9"/>
  <c r="AH175" i="9"/>
  <c r="AG175" i="9"/>
  <c r="AF175" i="9"/>
  <c r="AE175" i="9"/>
  <c r="AD175" i="9"/>
  <c r="AA175" i="9"/>
  <c r="Z175" i="9"/>
  <c r="Y175" i="9"/>
  <c r="X175" i="9"/>
  <c r="W175" i="9"/>
  <c r="U175" i="9"/>
  <c r="AC175" i="9" s="1"/>
  <c r="AI174" i="9"/>
  <c r="AH174" i="9"/>
  <c r="AG174" i="9"/>
  <c r="AF174" i="9"/>
  <c r="AE174" i="9"/>
  <c r="AD174" i="9"/>
  <c r="AC174" i="9"/>
  <c r="AA174" i="9"/>
  <c r="Z174" i="9"/>
  <c r="Y174" i="9"/>
  <c r="X174" i="9"/>
  <c r="W174" i="9"/>
  <c r="U174" i="9"/>
  <c r="AI173" i="9"/>
  <c r="AH173" i="9"/>
  <c r="AG173" i="9"/>
  <c r="AF173" i="9"/>
  <c r="AE173" i="9"/>
  <c r="AD173" i="9"/>
  <c r="AA173" i="9"/>
  <c r="Z173" i="9"/>
  <c r="Y173" i="9"/>
  <c r="X173" i="9"/>
  <c r="W173" i="9"/>
  <c r="U173" i="9"/>
  <c r="AC173" i="9" s="1"/>
  <c r="AI172" i="9"/>
  <c r="AH172" i="9"/>
  <c r="AG172" i="9"/>
  <c r="AF172" i="9"/>
  <c r="AE172" i="9"/>
  <c r="AD172" i="9"/>
  <c r="AA172" i="9"/>
  <c r="Z172" i="9"/>
  <c r="Y172" i="9"/>
  <c r="X172" i="9"/>
  <c r="W172" i="9"/>
  <c r="U172" i="9"/>
  <c r="AC172" i="9" s="1"/>
  <c r="AI171" i="9"/>
  <c r="AH171" i="9"/>
  <c r="AG171" i="9"/>
  <c r="AF171" i="9"/>
  <c r="AE171" i="9"/>
  <c r="AD171" i="9"/>
  <c r="AA171" i="9"/>
  <c r="Z171" i="9"/>
  <c r="Y171" i="9"/>
  <c r="X171" i="9"/>
  <c r="W171" i="9"/>
  <c r="U171" i="9"/>
  <c r="AC171" i="9" s="1"/>
  <c r="AI170" i="9"/>
  <c r="AH170" i="9"/>
  <c r="AG170" i="9"/>
  <c r="AF170" i="9"/>
  <c r="AE170" i="9"/>
  <c r="AD170" i="9"/>
  <c r="AA170" i="9"/>
  <c r="Z170" i="9"/>
  <c r="Y170" i="9"/>
  <c r="X170" i="9"/>
  <c r="W170" i="9"/>
  <c r="U170" i="9"/>
  <c r="AC170" i="9" s="1"/>
  <c r="AI169" i="9"/>
  <c r="AH169" i="9"/>
  <c r="AG169" i="9"/>
  <c r="AF169" i="9"/>
  <c r="AE169" i="9"/>
  <c r="AD169" i="9"/>
  <c r="AC169" i="9"/>
  <c r="AA169" i="9"/>
  <c r="Z169" i="9"/>
  <c r="Y169" i="9"/>
  <c r="X169" i="9"/>
  <c r="W169" i="9"/>
  <c r="U169" i="9"/>
  <c r="AI168" i="9"/>
  <c r="AH168" i="9"/>
  <c r="AG168" i="9"/>
  <c r="AF168" i="9"/>
  <c r="AE168" i="9"/>
  <c r="AD168" i="9"/>
  <c r="AA168" i="9"/>
  <c r="Z168" i="9"/>
  <c r="Y168" i="9"/>
  <c r="X168" i="9"/>
  <c r="W168" i="9"/>
  <c r="U168" i="9"/>
  <c r="AC168" i="9" s="1"/>
  <c r="AI167" i="9"/>
  <c r="AH167" i="9"/>
  <c r="AG167" i="9"/>
  <c r="AF167" i="9"/>
  <c r="AE167" i="9"/>
  <c r="AD167" i="9"/>
  <c r="AC167" i="9"/>
  <c r="AA167" i="9"/>
  <c r="Z167" i="9"/>
  <c r="Y167" i="9"/>
  <c r="X167" i="9"/>
  <c r="W167" i="9"/>
  <c r="U167" i="9"/>
  <c r="AI166" i="9"/>
  <c r="AH166" i="9"/>
  <c r="AG166" i="9"/>
  <c r="AF166" i="9"/>
  <c r="AE166" i="9"/>
  <c r="AD166" i="9"/>
  <c r="AC166" i="9"/>
  <c r="AA166" i="9"/>
  <c r="Z166" i="9"/>
  <c r="Y166" i="9"/>
  <c r="X166" i="9"/>
  <c r="W166" i="9"/>
  <c r="U166" i="9"/>
  <c r="AI165" i="9"/>
  <c r="AH165" i="9"/>
  <c r="AG165" i="9"/>
  <c r="AF165" i="9"/>
  <c r="AE165" i="9"/>
  <c r="AD165" i="9"/>
  <c r="AC165" i="9"/>
  <c r="AA165" i="9"/>
  <c r="Z165" i="9"/>
  <c r="Y165" i="9"/>
  <c r="X165" i="9"/>
  <c r="W165" i="9"/>
  <c r="U165" i="9"/>
  <c r="AI164" i="9"/>
  <c r="AH164" i="9"/>
  <c r="AG164" i="9"/>
  <c r="AF164" i="9"/>
  <c r="AE164" i="9"/>
  <c r="AD164" i="9"/>
  <c r="AC164" i="9"/>
  <c r="AA164" i="9"/>
  <c r="Z164" i="9"/>
  <c r="Y164" i="9"/>
  <c r="X164" i="9"/>
  <c r="W164" i="9"/>
  <c r="U164" i="9"/>
  <c r="AI163" i="9"/>
  <c r="AH163" i="9"/>
  <c r="AG163" i="9"/>
  <c r="AF163" i="9"/>
  <c r="AE163" i="9"/>
  <c r="AD163" i="9"/>
  <c r="AA163" i="9"/>
  <c r="Z163" i="9"/>
  <c r="Y163" i="9"/>
  <c r="X163" i="9"/>
  <c r="W163" i="9"/>
  <c r="U163" i="9"/>
  <c r="AC163" i="9" s="1"/>
  <c r="AI162" i="9"/>
  <c r="AH162" i="9"/>
  <c r="AG162" i="9"/>
  <c r="AF162" i="9"/>
  <c r="AE162" i="9"/>
  <c r="AD162" i="9"/>
  <c r="AA162" i="9"/>
  <c r="Z162" i="9"/>
  <c r="Y162" i="9"/>
  <c r="X162" i="9"/>
  <c r="W162" i="9"/>
  <c r="U162" i="9"/>
  <c r="AC162" i="9" s="1"/>
  <c r="AI161" i="9"/>
  <c r="AH161" i="9"/>
  <c r="AG161" i="9"/>
  <c r="AF161" i="9"/>
  <c r="AE161" i="9"/>
  <c r="AD161" i="9"/>
  <c r="AA161" i="9"/>
  <c r="Z161" i="9"/>
  <c r="Y161" i="9"/>
  <c r="X161" i="9"/>
  <c r="W161" i="9"/>
  <c r="U161" i="9"/>
  <c r="AC161" i="9" s="1"/>
  <c r="AI160" i="9"/>
  <c r="AH160" i="9"/>
  <c r="AG160" i="9"/>
  <c r="AF160" i="9"/>
  <c r="AE160" i="9"/>
  <c r="AD160" i="9"/>
  <c r="AA160" i="9"/>
  <c r="Z160" i="9"/>
  <c r="Y160" i="9"/>
  <c r="X160" i="9"/>
  <c r="W160" i="9"/>
  <c r="U160" i="9"/>
  <c r="AC160" i="9" s="1"/>
  <c r="AI159" i="9"/>
  <c r="AH159" i="9"/>
  <c r="AG159" i="9"/>
  <c r="AF159" i="9"/>
  <c r="AE159" i="9"/>
  <c r="AD159" i="9"/>
  <c r="AA159" i="9"/>
  <c r="Z159" i="9"/>
  <c r="Y159" i="9"/>
  <c r="X159" i="9"/>
  <c r="W159" i="9"/>
  <c r="U159" i="9"/>
  <c r="AC159" i="9" s="1"/>
  <c r="AI158" i="9"/>
  <c r="AH158" i="9"/>
  <c r="AG158" i="9"/>
  <c r="AF158" i="9"/>
  <c r="AE158" i="9"/>
  <c r="AD158" i="9"/>
  <c r="AA158" i="9"/>
  <c r="Z158" i="9"/>
  <c r="Y158" i="9"/>
  <c r="X158" i="9"/>
  <c r="W158" i="9"/>
  <c r="U158" i="9"/>
  <c r="AC158" i="9" s="1"/>
  <c r="AI157" i="9"/>
  <c r="AH157" i="9"/>
  <c r="AG157" i="9"/>
  <c r="AF157" i="9"/>
  <c r="AE157" i="9"/>
  <c r="AD157" i="9"/>
  <c r="AC157" i="9"/>
  <c r="AA157" i="9"/>
  <c r="Z157" i="9"/>
  <c r="Y157" i="9"/>
  <c r="X157" i="9"/>
  <c r="W157" i="9"/>
  <c r="U157" i="9"/>
  <c r="AI156" i="9"/>
  <c r="AH156" i="9"/>
  <c r="AG156" i="9"/>
  <c r="AF156" i="9"/>
  <c r="AE156" i="9"/>
  <c r="AD156" i="9"/>
  <c r="AA156" i="9"/>
  <c r="Z156" i="9"/>
  <c r="Y156" i="9"/>
  <c r="X156" i="9"/>
  <c r="W156" i="9"/>
  <c r="U156" i="9"/>
  <c r="AC156" i="9" s="1"/>
  <c r="AI155" i="9"/>
  <c r="AH155" i="9"/>
  <c r="AG155" i="9"/>
  <c r="AF155" i="9"/>
  <c r="AE155" i="9"/>
  <c r="AD155" i="9"/>
  <c r="AC155" i="9"/>
  <c r="AA155" i="9"/>
  <c r="Z155" i="9"/>
  <c r="Y155" i="9"/>
  <c r="X155" i="9"/>
  <c r="W155" i="9"/>
  <c r="U155" i="9"/>
  <c r="AI154" i="9"/>
  <c r="AH154" i="9"/>
  <c r="AG154" i="9"/>
  <c r="AF154" i="9"/>
  <c r="AE154" i="9"/>
  <c r="AD154" i="9"/>
  <c r="AC154" i="9"/>
  <c r="AA154" i="9"/>
  <c r="Z154" i="9"/>
  <c r="Y154" i="9"/>
  <c r="X154" i="9"/>
  <c r="W154" i="9"/>
  <c r="U154" i="9"/>
  <c r="AI153" i="9"/>
  <c r="AH153" i="9"/>
  <c r="AG153" i="9"/>
  <c r="AF153" i="9"/>
  <c r="AE153" i="9"/>
  <c r="AD153" i="9"/>
  <c r="AC153" i="9"/>
  <c r="AA153" i="9"/>
  <c r="Z153" i="9"/>
  <c r="Y153" i="9"/>
  <c r="X153" i="9"/>
  <c r="W153" i="9"/>
  <c r="U153" i="9"/>
  <c r="AI152" i="9"/>
  <c r="AH152" i="9"/>
  <c r="AG152" i="9"/>
  <c r="AF152" i="9"/>
  <c r="AE152" i="9"/>
  <c r="AD152" i="9"/>
  <c r="AC152" i="9"/>
  <c r="AA152" i="9"/>
  <c r="Z152" i="9"/>
  <c r="Y152" i="9"/>
  <c r="X152" i="9"/>
  <c r="W152" i="9"/>
  <c r="U152" i="9"/>
  <c r="AI151" i="9"/>
  <c r="AH151" i="9"/>
  <c r="AG151" i="9"/>
  <c r="AF151" i="9"/>
  <c r="AE151" i="9"/>
  <c r="AD151" i="9"/>
  <c r="AA151" i="9"/>
  <c r="Z151" i="9"/>
  <c r="Y151" i="9"/>
  <c r="X151" i="9"/>
  <c r="W151" i="9"/>
  <c r="U151" i="9"/>
  <c r="AC151" i="9" s="1"/>
  <c r="AI150" i="9"/>
  <c r="AH150" i="9"/>
  <c r="AG150" i="9"/>
  <c r="AF150" i="9"/>
  <c r="AE150" i="9"/>
  <c r="AD150" i="9"/>
  <c r="AA150" i="9"/>
  <c r="Z150" i="9"/>
  <c r="Y150" i="9"/>
  <c r="X150" i="9"/>
  <c r="W150" i="9"/>
  <c r="U150" i="9"/>
  <c r="AC150" i="9" s="1"/>
  <c r="AI149" i="9"/>
  <c r="AH149" i="9"/>
  <c r="AG149" i="9"/>
  <c r="AF149" i="9"/>
  <c r="AE149" i="9"/>
  <c r="AD149" i="9"/>
  <c r="AA149" i="9"/>
  <c r="Z149" i="9"/>
  <c r="Y149" i="9"/>
  <c r="X149" i="9"/>
  <c r="W149" i="9"/>
  <c r="U149" i="9"/>
  <c r="AC149" i="9" s="1"/>
  <c r="AI148" i="9"/>
  <c r="AH148" i="9"/>
  <c r="AG148" i="9"/>
  <c r="AF148" i="9"/>
  <c r="AE148" i="9"/>
  <c r="AD148" i="9"/>
  <c r="AA148" i="9"/>
  <c r="Z148" i="9"/>
  <c r="Y148" i="9"/>
  <c r="X148" i="9"/>
  <c r="W148" i="9"/>
  <c r="U148" i="9"/>
  <c r="AC148" i="9" s="1"/>
  <c r="AI147" i="9"/>
  <c r="AH147" i="9"/>
  <c r="AG147" i="9"/>
  <c r="AF147" i="9"/>
  <c r="AE147" i="9"/>
  <c r="AD147" i="9"/>
  <c r="AA147" i="9"/>
  <c r="Z147" i="9"/>
  <c r="Y147" i="9"/>
  <c r="X147" i="9"/>
  <c r="W147" i="9"/>
  <c r="U147" i="9"/>
  <c r="AC147" i="9" s="1"/>
  <c r="AI146" i="9"/>
  <c r="AH146" i="9"/>
  <c r="AG146" i="9"/>
  <c r="AF146" i="9"/>
  <c r="AE146" i="9"/>
  <c r="AD146" i="9"/>
  <c r="AA146" i="9"/>
  <c r="Z146" i="9"/>
  <c r="Y146" i="9"/>
  <c r="X146" i="9"/>
  <c r="W146" i="9"/>
  <c r="U146" i="9"/>
  <c r="AC146" i="9" s="1"/>
  <c r="AI145" i="9"/>
  <c r="AH145" i="9"/>
  <c r="AG145" i="9"/>
  <c r="AF145" i="9"/>
  <c r="AE145" i="9"/>
  <c r="AD145" i="9"/>
  <c r="AC145" i="9"/>
  <c r="AA145" i="9"/>
  <c r="Z145" i="9"/>
  <c r="Y145" i="9"/>
  <c r="X145" i="9"/>
  <c r="W145" i="9"/>
  <c r="U145" i="9"/>
  <c r="AI144" i="9"/>
  <c r="AH144" i="9"/>
  <c r="AG144" i="9"/>
  <c r="AF144" i="9"/>
  <c r="AE144" i="9"/>
  <c r="AD144" i="9"/>
  <c r="AA144" i="9"/>
  <c r="Z144" i="9"/>
  <c r="Y144" i="9"/>
  <c r="X144" i="9"/>
  <c r="W144" i="9"/>
  <c r="U144" i="9"/>
  <c r="AC144" i="9" s="1"/>
  <c r="AI143" i="9"/>
  <c r="AH143" i="9"/>
  <c r="AG143" i="9"/>
  <c r="AF143" i="9"/>
  <c r="AE143" i="9"/>
  <c r="AD143" i="9"/>
  <c r="AC143" i="9"/>
  <c r="AA143" i="9"/>
  <c r="Z143" i="9"/>
  <c r="Y143" i="9"/>
  <c r="X143" i="9"/>
  <c r="W143" i="9"/>
  <c r="U143" i="9"/>
  <c r="AI142" i="9"/>
  <c r="AH142" i="9"/>
  <c r="AG142" i="9"/>
  <c r="AF142" i="9"/>
  <c r="AE142" i="9"/>
  <c r="AD142" i="9"/>
  <c r="AC142" i="9"/>
  <c r="AA142" i="9"/>
  <c r="Z142" i="9"/>
  <c r="Y142" i="9"/>
  <c r="X142" i="9"/>
  <c r="W142" i="9"/>
  <c r="U142" i="9"/>
  <c r="AI141" i="9"/>
  <c r="AH141" i="9"/>
  <c r="AG141" i="9"/>
  <c r="AF141" i="9"/>
  <c r="AE141" i="9"/>
  <c r="AD141" i="9"/>
  <c r="AC141" i="9"/>
  <c r="AA141" i="9"/>
  <c r="Z141" i="9"/>
  <c r="Y141" i="9"/>
  <c r="X141" i="9"/>
  <c r="W141" i="9"/>
  <c r="U141" i="9"/>
  <c r="AI140" i="9"/>
  <c r="AH140" i="9"/>
  <c r="AG140" i="9"/>
  <c r="AF140" i="9"/>
  <c r="AE140" i="9"/>
  <c r="AD140" i="9"/>
  <c r="AC140" i="9"/>
  <c r="AA140" i="9"/>
  <c r="Z140" i="9"/>
  <c r="Y140" i="9"/>
  <c r="X140" i="9"/>
  <c r="W140" i="9"/>
  <c r="U140" i="9"/>
  <c r="AI139" i="9"/>
  <c r="AH139" i="9"/>
  <c r="AG139" i="9"/>
  <c r="AF139" i="9"/>
  <c r="AE139" i="9"/>
  <c r="AD139" i="9"/>
  <c r="AA139" i="9"/>
  <c r="Z139" i="9"/>
  <c r="Y139" i="9"/>
  <c r="X139" i="9"/>
  <c r="W139" i="9"/>
  <c r="U139" i="9"/>
  <c r="AC139" i="9" s="1"/>
  <c r="AI138" i="9"/>
  <c r="AH138" i="9"/>
  <c r="AG138" i="9"/>
  <c r="AF138" i="9"/>
  <c r="AE138" i="9"/>
  <c r="AD138" i="9"/>
  <c r="AA138" i="9"/>
  <c r="Z138" i="9"/>
  <c r="Y138" i="9"/>
  <c r="X138" i="9"/>
  <c r="W138" i="9"/>
  <c r="U138" i="9"/>
  <c r="AC138" i="9" s="1"/>
  <c r="AI137" i="9"/>
  <c r="AH137" i="9"/>
  <c r="AG137" i="9"/>
  <c r="AF137" i="9"/>
  <c r="AE137" i="9"/>
  <c r="AD137" i="9"/>
  <c r="AA137" i="9"/>
  <c r="Z137" i="9"/>
  <c r="Y137" i="9"/>
  <c r="X137" i="9"/>
  <c r="W137" i="9"/>
  <c r="U137" i="9"/>
  <c r="AC137" i="9" s="1"/>
  <c r="AI136" i="9"/>
  <c r="AH136" i="9"/>
  <c r="AG136" i="9"/>
  <c r="AF136" i="9"/>
  <c r="AE136" i="9"/>
  <c r="AD136" i="9"/>
  <c r="AA136" i="9"/>
  <c r="Z136" i="9"/>
  <c r="Y136" i="9"/>
  <c r="X136" i="9"/>
  <c r="W136" i="9"/>
  <c r="U136" i="9"/>
  <c r="AC136" i="9" s="1"/>
  <c r="AI135" i="9"/>
  <c r="AH135" i="9"/>
  <c r="AG135" i="9"/>
  <c r="AF135" i="9"/>
  <c r="AE135" i="9"/>
  <c r="AD135" i="9"/>
  <c r="AA135" i="9"/>
  <c r="Z135" i="9"/>
  <c r="Y135" i="9"/>
  <c r="X135" i="9"/>
  <c r="W135" i="9"/>
  <c r="U135" i="9"/>
  <c r="AC135" i="9" s="1"/>
  <c r="AI134" i="9"/>
  <c r="AH134" i="9"/>
  <c r="AG134" i="9"/>
  <c r="AF134" i="9"/>
  <c r="AE134" i="9"/>
  <c r="AD134" i="9"/>
  <c r="AA134" i="9"/>
  <c r="Z134" i="9"/>
  <c r="Y134" i="9"/>
  <c r="X134" i="9"/>
  <c r="W134" i="9"/>
  <c r="U134" i="9"/>
  <c r="AC134" i="9" s="1"/>
  <c r="AI133" i="9"/>
  <c r="AH133" i="9"/>
  <c r="AG133" i="9"/>
  <c r="AF133" i="9"/>
  <c r="AE133" i="9"/>
  <c r="AD133" i="9"/>
  <c r="AC133" i="9"/>
  <c r="AA133" i="9"/>
  <c r="Z133" i="9"/>
  <c r="Y133" i="9"/>
  <c r="X133" i="9"/>
  <c r="W133" i="9"/>
  <c r="U133" i="9"/>
  <c r="AI132" i="9"/>
  <c r="AH132" i="9"/>
  <c r="AG132" i="9"/>
  <c r="AF132" i="9"/>
  <c r="AE132" i="9"/>
  <c r="AD132" i="9"/>
  <c r="AA132" i="9"/>
  <c r="Z132" i="9"/>
  <c r="Y132" i="9"/>
  <c r="X132" i="9"/>
  <c r="W132" i="9"/>
  <c r="U132" i="9"/>
  <c r="AC132" i="9" s="1"/>
  <c r="AI131" i="9"/>
  <c r="AH131" i="9"/>
  <c r="AG131" i="9"/>
  <c r="AF131" i="9"/>
  <c r="AE131" i="9"/>
  <c r="AD131" i="9"/>
  <c r="AC131" i="9"/>
  <c r="AA131" i="9"/>
  <c r="Z131" i="9"/>
  <c r="Y131" i="9"/>
  <c r="X131" i="9"/>
  <c r="W131" i="9"/>
  <c r="U131" i="9"/>
  <c r="AI130" i="9"/>
  <c r="AH130" i="9"/>
  <c r="AG130" i="9"/>
  <c r="AF130" i="9"/>
  <c r="AE130" i="9"/>
  <c r="AD130" i="9"/>
  <c r="AC130" i="9"/>
  <c r="AA130" i="9"/>
  <c r="Z130" i="9"/>
  <c r="Y130" i="9"/>
  <c r="X130" i="9"/>
  <c r="W130" i="9"/>
  <c r="U130" i="9"/>
  <c r="AI129" i="9"/>
  <c r="AH129" i="9"/>
  <c r="AG129" i="9"/>
  <c r="AF129" i="9"/>
  <c r="AE129" i="9"/>
  <c r="AD129" i="9"/>
  <c r="AC129" i="9"/>
  <c r="AA129" i="9"/>
  <c r="Z129" i="9"/>
  <c r="Y129" i="9"/>
  <c r="X129" i="9"/>
  <c r="W129" i="9"/>
  <c r="U129" i="9"/>
  <c r="AI128" i="9"/>
  <c r="AH128" i="9"/>
  <c r="AG128" i="9"/>
  <c r="AF128" i="9"/>
  <c r="AE128" i="9"/>
  <c r="AD128" i="9"/>
  <c r="AC128" i="9"/>
  <c r="AA128" i="9"/>
  <c r="Z128" i="9"/>
  <c r="Y128" i="9"/>
  <c r="X128" i="9"/>
  <c r="W128" i="9"/>
  <c r="U128" i="9"/>
  <c r="AI127" i="9"/>
  <c r="AH127" i="9"/>
  <c r="AG127" i="9"/>
  <c r="AF127" i="9"/>
  <c r="AE127" i="9"/>
  <c r="AD127" i="9"/>
  <c r="AA127" i="9"/>
  <c r="Z127" i="9"/>
  <c r="Y127" i="9"/>
  <c r="X127" i="9"/>
  <c r="W127" i="9"/>
  <c r="U127" i="9"/>
  <c r="AC127" i="9" s="1"/>
  <c r="AI126" i="9"/>
  <c r="AH126" i="9"/>
  <c r="AG126" i="9"/>
  <c r="AF126" i="9"/>
  <c r="AE126" i="9"/>
  <c r="AD126" i="9"/>
  <c r="AA126" i="9"/>
  <c r="Z126" i="9"/>
  <c r="Y126" i="9"/>
  <c r="X126" i="9"/>
  <c r="W126" i="9"/>
  <c r="U126" i="9"/>
  <c r="AC126" i="9" s="1"/>
  <c r="AI125" i="9"/>
  <c r="AH125" i="9"/>
  <c r="AG125" i="9"/>
  <c r="AF125" i="9"/>
  <c r="AE125" i="9"/>
  <c r="AD125" i="9"/>
  <c r="AA125" i="9"/>
  <c r="Z125" i="9"/>
  <c r="Y125" i="9"/>
  <c r="X125" i="9"/>
  <c r="W125" i="9"/>
  <c r="U125" i="9"/>
  <c r="AC125" i="9" s="1"/>
  <c r="AI124" i="9"/>
  <c r="AH124" i="9"/>
  <c r="AG124" i="9"/>
  <c r="AF124" i="9"/>
  <c r="AE124" i="9"/>
  <c r="AD124" i="9"/>
  <c r="AA124" i="9"/>
  <c r="Z124" i="9"/>
  <c r="Y124" i="9"/>
  <c r="X124" i="9"/>
  <c r="W124" i="9"/>
  <c r="U124" i="9"/>
  <c r="AC124" i="9" s="1"/>
  <c r="AI123" i="9"/>
  <c r="AH123" i="9"/>
  <c r="AG123" i="9"/>
  <c r="AF123" i="9"/>
  <c r="AE123" i="9"/>
  <c r="AD123" i="9"/>
  <c r="AA123" i="9"/>
  <c r="Z123" i="9"/>
  <c r="Y123" i="9"/>
  <c r="X123" i="9"/>
  <c r="W123" i="9"/>
  <c r="U123" i="9"/>
  <c r="AC123" i="9" s="1"/>
  <c r="AI122" i="9"/>
  <c r="AH122" i="9"/>
  <c r="AG122" i="9"/>
  <c r="AF122" i="9"/>
  <c r="AE122" i="9"/>
  <c r="AD122" i="9"/>
  <c r="AA122" i="9"/>
  <c r="Z122" i="9"/>
  <c r="Y122" i="9"/>
  <c r="X122" i="9"/>
  <c r="W122" i="9"/>
  <c r="U122" i="9"/>
  <c r="AC122" i="9" s="1"/>
  <c r="AI121" i="9"/>
  <c r="AH121" i="9"/>
  <c r="AG121" i="9"/>
  <c r="AF121" i="9"/>
  <c r="AE121" i="9"/>
  <c r="AD121" i="9"/>
  <c r="AC121" i="9"/>
  <c r="AA121" i="9"/>
  <c r="Z121" i="9"/>
  <c r="Y121" i="9"/>
  <c r="X121" i="9"/>
  <c r="W121" i="9"/>
  <c r="U121" i="9"/>
  <c r="AI120" i="9"/>
  <c r="AH120" i="9"/>
  <c r="AG120" i="9"/>
  <c r="AF120" i="9"/>
  <c r="AE120" i="9"/>
  <c r="AD120" i="9"/>
  <c r="AA120" i="9"/>
  <c r="Z120" i="9"/>
  <c r="Y120" i="9"/>
  <c r="X120" i="9"/>
  <c r="W120" i="9"/>
  <c r="U120" i="9"/>
  <c r="AC120" i="9" s="1"/>
  <c r="AI119" i="9"/>
  <c r="AH119" i="9"/>
  <c r="AG119" i="9"/>
  <c r="AF119" i="9"/>
  <c r="AE119" i="9"/>
  <c r="AD119" i="9"/>
  <c r="AC119" i="9"/>
  <c r="AA119" i="9"/>
  <c r="Z119" i="9"/>
  <c r="Y119" i="9"/>
  <c r="X119" i="9"/>
  <c r="W119" i="9"/>
  <c r="U119" i="9"/>
  <c r="AI118" i="9"/>
  <c r="AH118" i="9"/>
  <c r="AG118" i="9"/>
  <c r="AF118" i="9"/>
  <c r="AE118" i="9"/>
  <c r="AD118" i="9"/>
  <c r="AC118" i="9"/>
  <c r="AA118" i="9"/>
  <c r="Z118" i="9"/>
  <c r="Y118" i="9"/>
  <c r="X118" i="9"/>
  <c r="W118" i="9"/>
  <c r="U118" i="9"/>
  <c r="AI117" i="9"/>
  <c r="AH117" i="9"/>
  <c r="AG117" i="9"/>
  <c r="AF117" i="9"/>
  <c r="AE117" i="9"/>
  <c r="AD117" i="9"/>
  <c r="AC117" i="9"/>
  <c r="AA117" i="9"/>
  <c r="Z117" i="9"/>
  <c r="Y117" i="9"/>
  <c r="X117" i="9"/>
  <c r="W117" i="9"/>
  <c r="U117" i="9"/>
  <c r="AI116" i="9"/>
  <c r="AH116" i="9"/>
  <c r="AG116" i="9"/>
  <c r="AF116" i="9"/>
  <c r="AE116" i="9"/>
  <c r="AD116" i="9"/>
  <c r="AC116" i="9"/>
  <c r="AA116" i="9"/>
  <c r="Z116" i="9"/>
  <c r="Y116" i="9"/>
  <c r="X116" i="9"/>
  <c r="W116" i="9"/>
  <c r="U116" i="9"/>
  <c r="AI115" i="9"/>
  <c r="AH115" i="9"/>
  <c r="AG115" i="9"/>
  <c r="AF115" i="9"/>
  <c r="AE115" i="9"/>
  <c r="AD115" i="9"/>
  <c r="AA115" i="9"/>
  <c r="Z115" i="9"/>
  <c r="Y115" i="9"/>
  <c r="X115" i="9"/>
  <c r="W115" i="9"/>
  <c r="U115" i="9"/>
  <c r="AC115" i="9" s="1"/>
  <c r="AI114" i="9"/>
  <c r="AH114" i="9"/>
  <c r="AG114" i="9"/>
  <c r="AF114" i="9"/>
  <c r="AE114" i="9"/>
  <c r="AD114" i="9"/>
  <c r="AC114" i="9"/>
  <c r="AA114" i="9"/>
  <c r="Z114" i="9"/>
  <c r="Y114" i="9"/>
  <c r="X114" i="9"/>
  <c r="W114" i="9"/>
  <c r="U114" i="9"/>
  <c r="AI113" i="9"/>
  <c r="AH113" i="9"/>
  <c r="AG113" i="9"/>
  <c r="AF113" i="9"/>
  <c r="AE113" i="9"/>
  <c r="AD113" i="9"/>
  <c r="AA113" i="9"/>
  <c r="Z113" i="9"/>
  <c r="Y113" i="9"/>
  <c r="X113" i="9"/>
  <c r="W113" i="9"/>
  <c r="U113" i="9"/>
  <c r="AC113" i="9" s="1"/>
  <c r="AI112" i="9"/>
  <c r="AH112" i="9"/>
  <c r="AG112" i="9"/>
  <c r="AF112" i="9"/>
  <c r="AE112" i="9"/>
  <c r="AD112" i="9"/>
  <c r="AA112" i="9"/>
  <c r="Z112" i="9"/>
  <c r="Y112" i="9"/>
  <c r="X112" i="9"/>
  <c r="W112" i="9"/>
  <c r="U112" i="9"/>
  <c r="AC112" i="9" s="1"/>
  <c r="AI111" i="9"/>
  <c r="AH111" i="9"/>
  <c r="AG111" i="9"/>
  <c r="AF111" i="9"/>
  <c r="AE111" i="9"/>
  <c r="AD111" i="9"/>
  <c r="AA111" i="9"/>
  <c r="Z111" i="9"/>
  <c r="Y111" i="9"/>
  <c r="X111" i="9"/>
  <c r="W111" i="9"/>
  <c r="U111" i="9"/>
  <c r="AC111" i="9" s="1"/>
  <c r="AI110" i="9"/>
  <c r="AH110" i="9"/>
  <c r="AG110" i="9"/>
  <c r="AF110" i="9"/>
  <c r="AE110" i="9"/>
  <c r="AD110" i="9"/>
  <c r="AA110" i="9"/>
  <c r="Z110" i="9"/>
  <c r="Y110" i="9"/>
  <c r="X110" i="9"/>
  <c r="W110" i="9"/>
  <c r="U110" i="9"/>
  <c r="AC110" i="9" s="1"/>
  <c r="AI109" i="9"/>
  <c r="AH109" i="9"/>
  <c r="AG109" i="9"/>
  <c r="AF109" i="9"/>
  <c r="AE109" i="9"/>
  <c r="AD109" i="9"/>
  <c r="AC109" i="9"/>
  <c r="AA109" i="9"/>
  <c r="Z109" i="9"/>
  <c r="Y109" i="9"/>
  <c r="X109" i="9"/>
  <c r="W109" i="9"/>
  <c r="U109" i="9"/>
  <c r="AI108" i="9"/>
  <c r="AH108" i="9"/>
  <c r="AG108" i="9"/>
  <c r="AF108" i="9"/>
  <c r="AE108" i="9"/>
  <c r="AD108" i="9"/>
  <c r="AA108" i="9"/>
  <c r="Z108" i="9"/>
  <c r="Y108" i="9"/>
  <c r="X108" i="9"/>
  <c r="W108" i="9"/>
  <c r="U108" i="9"/>
  <c r="AC108" i="9" s="1"/>
  <c r="AI107" i="9"/>
  <c r="AH107" i="9"/>
  <c r="AG107" i="9"/>
  <c r="AF107" i="9"/>
  <c r="AE107" i="9"/>
  <c r="AD107" i="9"/>
  <c r="AC107" i="9"/>
  <c r="AA107" i="9"/>
  <c r="Z107" i="9"/>
  <c r="Y107" i="9"/>
  <c r="X107" i="9"/>
  <c r="W107" i="9"/>
  <c r="U107" i="9"/>
  <c r="AI106" i="9"/>
  <c r="AH106" i="9"/>
  <c r="AG106" i="9"/>
  <c r="AF106" i="9"/>
  <c r="AE106" i="9"/>
  <c r="AD106" i="9"/>
  <c r="AC106" i="9"/>
  <c r="AA106" i="9"/>
  <c r="Z106" i="9"/>
  <c r="Y106" i="9"/>
  <c r="X106" i="9"/>
  <c r="W106" i="9"/>
  <c r="U106" i="9"/>
  <c r="AI105" i="9"/>
  <c r="AH105" i="9"/>
  <c r="AG105" i="9"/>
  <c r="AF105" i="9"/>
  <c r="AE105" i="9"/>
  <c r="AD105" i="9"/>
  <c r="AC105" i="9"/>
  <c r="AA105" i="9"/>
  <c r="Z105" i="9"/>
  <c r="Y105" i="9"/>
  <c r="X105" i="9"/>
  <c r="W105" i="9"/>
  <c r="U105" i="9"/>
  <c r="AI104" i="9"/>
  <c r="AH104" i="9"/>
  <c r="AG104" i="9"/>
  <c r="AF104" i="9"/>
  <c r="AE104" i="9"/>
  <c r="AD104" i="9"/>
  <c r="AC104" i="9"/>
  <c r="AA104" i="9"/>
  <c r="Z104" i="9"/>
  <c r="Y104" i="9"/>
  <c r="X104" i="9"/>
  <c r="W104" i="9"/>
  <c r="U104" i="9"/>
  <c r="AI103" i="9"/>
  <c r="AH103" i="9"/>
  <c r="AG103" i="9"/>
  <c r="AF103" i="9"/>
  <c r="AE103" i="9"/>
  <c r="AD103" i="9"/>
  <c r="AA103" i="9"/>
  <c r="Z103" i="9"/>
  <c r="Y103" i="9"/>
  <c r="X103" i="9"/>
  <c r="W103" i="9"/>
  <c r="U103" i="9"/>
  <c r="AC103" i="9" s="1"/>
  <c r="AI102" i="9"/>
  <c r="AH102" i="9"/>
  <c r="AG102" i="9"/>
  <c r="AF102" i="9"/>
  <c r="AE102" i="9"/>
  <c r="AD102" i="9"/>
  <c r="AC102" i="9"/>
  <c r="AA102" i="9"/>
  <c r="Z102" i="9"/>
  <c r="Y102" i="9"/>
  <c r="X102" i="9"/>
  <c r="W102" i="9"/>
  <c r="U102" i="9"/>
  <c r="AI101" i="9"/>
  <c r="AH101" i="9"/>
  <c r="AG101" i="9"/>
  <c r="AF101" i="9"/>
  <c r="AE101" i="9"/>
  <c r="AD101" i="9"/>
  <c r="AA101" i="9"/>
  <c r="Z101" i="9"/>
  <c r="Y101" i="9"/>
  <c r="X101" i="9"/>
  <c r="W101" i="9"/>
  <c r="U101" i="9"/>
  <c r="AC101" i="9" s="1"/>
  <c r="AI100" i="9"/>
  <c r="AH100" i="9"/>
  <c r="AG100" i="9"/>
  <c r="AF100" i="9"/>
  <c r="AE100" i="9"/>
  <c r="AD100" i="9"/>
  <c r="AA100" i="9"/>
  <c r="Z100" i="9"/>
  <c r="Y100" i="9"/>
  <c r="X100" i="9"/>
  <c r="W100" i="9"/>
  <c r="U100" i="9"/>
  <c r="AC100" i="9" s="1"/>
  <c r="AI99" i="9"/>
  <c r="AH99" i="9"/>
  <c r="AG99" i="9"/>
  <c r="AF99" i="9"/>
  <c r="AE99" i="9"/>
  <c r="AD99" i="9"/>
  <c r="AA99" i="9"/>
  <c r="Z99" i="9"/>
  <c r="Y99" i="9"/>
  <c r="X99" i="9"/>
  <c r="W99" i="9"/>
  <c r="U99" i="9"/>
  <c r="AC99" i="9" s="1"/>
  <c r="AI98" i="9"/>
  <c r="AH98" i="9"/>
  <c r="AG98" i="9"/>
  <c r="AF98" i="9"/>
  <c r="AE98" i="9"/>
  <c r="AD98" i="9"/>
  <c r="AA98" i="9"/>
  <c r="Z98" i="9"/>
  <c r="Y98" i="9"/>
  <c r="X98" i="9"/>
  <c r="W98" i="9"/>
  <c r="U98" i="9"/>
  <c r="AC98" i="9" s="1"/>
  <c r="AI97" i="9"/>
  <c r="AH97" i="9"/>
  <c r="AG97" i="9"/>
  <c r="AF97" i="9"/>
  <c r="AE97" i="9"/>
  <c r="AD97" i="9"/>
  <c r="AC97" i="9"/>
  <c r="AA97" i="9"/>
  <c r="Z97" i="9"/>
  <c r="Y97" i="9"/>
  <c r="X97" i="9"/>
  <c r="W97" i="9"/>
  <c r="U97" i="9"/>
  <c r="AI96" i="9"/>
  <c r="AH96" i="9"/>
  <c r="AG96" i="9"/>
  <c r="AF96" i="9"/>
  <c r="AE96" i="9"/>
  <c r="AD96" i="9"/>
  <c r="AA96" i="9"/>
  <c r="Z96" i="9"/>
  <c r="Y96" i="9"/>
  <c r="X96" i="9"/>
  <c r="W96" i="9"/>
  <c r="U96" i="9"/>
  <c r="AC96" i="9" s="1"/>
  <c r="AI95" i="9"/>
  <c r="AH95" i="9"/>
  <c r="AG95" i="9"/>
  <c r="AF95" i="9"/>
  <c r="AE95" i="9"/>
  <c r="AD95" i="9"/>
  <c r="AC95" i="9"/>
  <c r="AA95" i="9"/>
  <c r="Z95" i="9"/>
  <c r="Y95" i="9"/>
  <c r="X95" i="9"/>
  <c r="W95" i="9"/>
  <c r="U95" i="9"/>
  <c r="AI94" i="9"/>
  <c r="AH94" i="9"/>
  <c r="AG94" i="9"/>
  <c r="AF94" i="9"/>
  <c r="AE94" i="9"/>
  <c r="AD94" i="9"/>
  <c r="AC94" i="9"/>
  <c r="AA94" i="9"/>
  <c r="Z94" i="9"/>
  <c r="Y94" i="9"/>
  <c r="X94" i="9"/>
  <c r="W94" i="9"/>
  <c r="U94" i="9"/>
  <c r="AI93" i="9"/>
  <c r="AH93" i="9"/>
  <c r="AG93" i="9"/>
  <c r="AF93" i="9"/>
  <c r="AE93" i="9"/>
  <c r="AD93" i="9"/>
  <c r="AC93" i="9"/>
  <c r="AA93" i="9"/>
  <c r="Z93" i="9"/>
  <c r="Y93" i="9"/>
  <c r="X93" i="9"/>
  <c r="W93" i="9"/>
  <c r="U93" i="9"/>
  <c r="AI92" i="9"/>
  <c r="AH92" i="9"/>
  <c r="AG92" i="9"/>
  <c r="AF92" i="9"/>
  <c r="AE92" i="9"/>
  <c r="AD92" i="9"/>
  <c r="AC92" i="9"/>
  <c r="AA92" i="9"/>
  <c r="Z92" i="9"/>
  <c r="Y92" i="9"/>
  <c r="X92" i="9"/>
  <c r="W92" i="9"/>
  <c r="U92" i="9"/>
  <c r="AI91" i="9"/>
  <c r="AH91" i="9"/>
  <c r="AG91" i="9"/>
  <c r="AF91" i="9"/>
  <c r="AE91" i="9"/>
  <c r="AD91" i="9"/>
  <c r="AA91" i="9"/>
  <c r="Z91" i="9"/>
  <c r="Y91" i="9"/>
  <c r="X91" i="9"/>
  <c r="W91" i="9"/>
  <c r="U91" i="9"/>
  <c r="AC91" i="9" s="1"/>
  <c r="AI90" i="9"/>
  <c r="AH90" i="9"/>
  <c r="AG90" i="9"/>
  <c r="AF90" i="9"/>
  <c r="AE90" i="9"/>
  <c r="AD90" i="9"/>
  <c r="AC90" i="9"/>
  <c r="AA90" i="9"/>
  <c r="Z90" i="9"/>
  <c r="Y90" i="9"/>
  <c r="X90" i="9"/>
  <c r="W90" i="9"/>
  <c r="U90" i="9"/>
  <c r="AI89" i="9"/>
  <c r="AH89" i="9"/>
  <c r="AG89" i="9"/>
  <c r="AF89" i="9"/>
  <c r="AE89" i="9"/>
  <c r="AD89" i="9"/>
  <c r="AA89" i="9"/>
  <c r="Z89" i="9"/>
  <c r="Y89" i="9"/>
  <c r="X89" i="9"/>
  <c r="W89" i="9"/>
  <c r="U89" i="9"/>
  <c r="AC89" i="9" s="1"/>
  <c r="AI88" i="9"/>
  <c r="AH88" i="9"/>
  <c r="AG88" i="9"/>
  <c r="AF88" i="9"/>
  <c r="AE88" i="9"/>
  <c r="AD88" i="9"/>
  <c r="AA88" i="9"/>
  <c r="Z88" i="9"/>
  <c r="Y88" i="9"/>
  <c r="X88" i="9"/>
  <c r="W88" i="9"/>
  <c r="U88" i="9"/>
  <c r="AC88" i="9" s="1"/>
  <c r="AI87" i="9"/>
  <c r="AH87" i="9"/>
  <c r="AG87" i="9"/>
  <c r="AF87" i="9"/>
  <c r="AE87" i="9"/>
  <c r="AD87" i="9"/>
  <c r="AA87" i="9"/>
  <c r="Z87" i="9"/>
  <c r="Y87" i="9"/>
  <c r="X87" i="9"/>
  <c r="W87" i="9"/>
  <c r="U87" i="9"/>
  <c r="AC87" i="9" s="1"/>
  <c r="AI86" i="9"/>
  <c r="AH86" i="9"/>
  <c r="AG86" i="9"/>
  <c r="AF86" i="9"/>
  <c r="AE86" i="9"/>
  <c r="AD86" i="9"/>
  <c r="AA86" i="9"/>
  <c r="Z86" i="9"/>
  <c r="Y86" i="9"/>
  <c r="X86" i="9"/>
  <c r="W86" i="9"/>
  <c r="U86" i="9"/>
  <c r="AC86" i="9" s="1"/>
  <c r="AI85" i="9"/>
  <c r="AH85" i="9"/>
  <c r="AG85" i="9"/>
  <c r="AF85" i="9"/>
  <c r="AE85" i="9"/>
  <c r="AD85" i="9"/>
  <c r="AC85" i="9"/>
  <c r="AA85" i="9"/>
  <c r="Z85" i="9"/>
  <c r="Y85" i="9"/>
  <c r="X85" i="9"/>
  <c r="W85" i="9"/>
  <c r="U85" i="9"/>
  <c r="AI84" i="9"/>
  <c r="AH84" i="9"/>
  <c r="AG84" i="9"/>
  <c r="AF84" i="9"/>
  <c r="AE84" i="9"/>
  <c r="AD84" i="9"/>
  <c r="AA84" i="9"/>
  <c r="Z84" i="9"/>
  <c r="Y84" i="9"/>
  <c r="X84" i="9"/>
  <c r="W84" i="9"/>
  <c r="U84" i="9"/>
  <c r="AC84" i="9" s="1"/>
  <c r="AI83" i="9"/>
  <c r="AH83" i="9"/>
  <c r="AG83" i="9"/>
  <c r="AF83" i="9"/>
  <c r="AE83" i="9"/>
  <c r="AD83" i="9"/>
  <c r="AC83" i="9"/>
  <c r="AA83" i="9"/>
  <c r="Z83" i="9"/>
  <c r="Y83" i="9"/>
  <c r="X83" i="9"/>
  <c r="W83" i="9"/>
  <c r="U83" i="9"/>
  <c r="AI82" i="9"/>
  <c r="AH82" i="9"/>
  <c r="AG82" i="9"/>
  <c r="AF82" i="9"/>
  <c r="AE82" i="9"/>
  <c r="AD82" i="9"/>
  <c r="AC82" i="9"/>
  <c r="AA82" i="9"/>
  <c r="Z82" i="9"/>
  <c r="Y82" i="9"/>
  <c r="X82" i="9"/>
  <c r="W82" i="9"/>
  <c r="U82" i="9"/>
  <c r="AI81" i="9"/>
  <c r="AH81" i="9"/>
  <c r="AG81" i="9"/>
  <c r="AF81" i="9"/>
  <c r="AE81" i="9"/>
  <c r="AD81" i="9"/>
  <c r="AC81" i="9"/>
  <c r="AA81" i="9"/>
  <c r="Z81" i="9"/>
  <c r="Y81" i="9"/>
  <c r="X81" i="9"/>
  <c r="W81" i="9"/>
  <c r="U81" i="9"/>
  <c r="AI80" i="9"/>
  <c r="AH80" i="9"/>
  <c r="AG80" i="9"/>
  <c r="AF80" i="9"/>
  <c r="AE80" i="9"/>
  <c r="AD80" i="9"/>
  <c r="AC80" i="9"/>
  <c r="AA80" i="9"/>
  <c r="Z80" i="9"/>
  <c r="Y80" i="9"/>
  <c r="X80" i="9"/>
  <c r="W80" i="9"/>
  <c r="U80" i="9"/>
  <c r="AI79" i="9"/>
  <c r="AH79" i="9"/>
  <c r="AG79" i="9"/>
  <c r="AF79" i="9"/>
  <c r="AE79" i="9"/>
  <c r="AD79" i="9"/>
  <c r="AA79" i="9"/>
  <c r="Z79" i="9"/>
  <c r="Y79" i="9"/>
  <c r="X79" i="9"/>
  <c r="W79" i="9"/>
  <c r="U79" i="9"/>
  <c r="AC79" i="9" s="1"/>
  <c r="AI78" i="9"/>
  <c r="AH78" i="9"/>
  <c r="AG78" i="9"/>
  <c r="AF78" i="9"/>
  <c r="AE78" i="9"/>
  <c r="AD78" i="9"/>
  <c r="AC78" i="9"/>
  <c r="AA78" i="9"/>
  <c r="Z78" i="9"/>
  <c r="Y78" i="9"/>
  <c r="X78" i="9"/>
  <c r="W78" i="9"/>
  <c r="U78" i="9"/>
  <c r="AI77" i="9"/>
  <c r="AH77" i="9"/>
  <c r="AG77" i="9"/>
  <c r="AF77" i="9"/>
  <c r="AE77" i="9"/>
  <c r="AD77" i="9"/>
  <c r="AA77" i="9"/>
  <c r="Z77" i="9"/>
  <c r="Y77" i="9"/>
  <c r="X77" i="9"/>
  <c r="W77" i="9"/>
  <c r="U77" i="9"/>
  <c r="AC77" i="9" s="1"/>
  <c r="AI76" i="9"/>
  <c r="AH76" i="9"/>
  <c r="AG76" i="9"/>
  <c r="AF76" i="9"/>
  <c r="AE76" i="9"/>
  <c r="AD76" i="9"/>
  <c r="AA76" i="9"/>
  <c r="Z76" i="9"/>
  <c r="Y76" i="9"/>
  <c r="X76" i="9"/>
  <c r="W76" i="9"/>
  <c r="U76" i="9"/>
  <c r="AC76" i="9" s="1"/>
  <c r="AI75" i="9"/>
  <c r="AH75" i="9"/>
  <c r="AG75" i="9"/>
  <c r="AF75" i="9"/>
  <c r="AE75" i="9"/>
  <c r="AD75" i="9"/>
  <c r="AA75" i="9"/>
  <c r="Z75" i="9"/>
  <c r="Y75" i="9"/>
  <c r="X75" i="9"/>
  <c r="W75" i="9"/>
  <c r="U75" i="9"/>
  <c r="AC75" i="9" s="1"/>
  <c r="AI74" i="9"/>
  <c r="AH74" i="9"/>
  <c r="AG74" i="9"/>
  <c r="AF74" i="9"/>
  <c r="AE74" i="9"/>
  <c r="AD74" i="9"/>
  <c r="AA74" i="9"/>
  <c r="Z74" i="9"/>
  <c r="Y74" i="9"/>
  <c r="X74" i="9"/>
  <c r="W74" i="9"/>
  <c r="U74" i="9"/>
  <c r="AC74" i="9" s="1"/>
  <c r="AI73" i="9"/>
  <c r="AH73" i="9"/>
  <c r="AG73" i="9"/>
  <c r="AF73" i="9"/>
  <c r="AE73" i="9"/>
  <c r="AD73" i="9"/>
  <c r="AC73" i="9"/>
  <c r="AA73" i="9"/>
  <c r="Z73" i="9"/>
  <c r="Y73" i="9"/>
  <c r="X73" i="9"/>
  <c r="W73" i="9"/>
  <c r="U73" i="9"/>
  <c r="AI72" i="9"/>
  <c r="AH72" i="9"/>
  <c r="AG72" i="9"/>
  <c r="AF72" i="9"/>
  <c r="AE72" i="9"/>
  <c r="AD72" i="9"/>
  <c r="AA72" i="9"/>
  <c r="Z72" i="9"/>
  <c r="Y72" i="9"/>
  <c r="X72" i="9"/>
  <c r="W72" i="9"/>
  <c r="U72" i="9"/>
  <c r="AC72" i="9" s="1"/>
  <c r="AI71" i="9"/>
  <c r="AH71" i="9"/>
  <c r="AG71" i="9"/>
  <c r="AF71" i="9"/>
  <c r="AE71" i="9"/>
  <c r="AD71" i="9"/>
  <c r="AC71" i="9"/>
  <c r="AA71" i="9"/>
  <c r="Z71" i="9"/>
  <c r="Y71" i="9"/>
  <c r="X71" i="9"/>
  <c r="W71" i="9"/>
  <c r="U71" i="9"/>
  <c r="AI70" i="9"/>
  <c r="AH70" i="9"/>
  <c r="AG70" i="9"/>
  <c r="AF70" i="9"/>
  <c r="AE70" i="9"/>
  <c r="AD70" i="9"/>
  <c r="AC70" i="9"/>
  <c r="AA70" i="9"/>
  <c r="Z70" i="9"/>
  <c r="Y70" i="9"/>
  <c r="X70" i="9"/>
  <c r="W70" i="9"/>
  <c r="U70" i="9"/>
  <c r="AI69" i="9"/>
  <c r="AH69" i="9"/>
  <c r="AG69" i="9"/>
  <c r="AF69" i="9"/>
  <c r="AE69" i="9"/>
  <c r="AD69" i="9"/>
  <c r="AC69" i="9"/>
  <c r="AA69" i="9"/>
  <c r="Z69" i="9"/>
  <c r="Y69" i="9"/>
  <c r="X69" i="9"/>
  <c r="W69" i="9"/>
  <c r="U69" i="9"/>
  <c r="AI68" i="9"/>
  <c r="AH68" i="9"/>
  <c r="AG68" i="9"/>
  <c r="AF68" i="9"/>
  <c r="AE68" i="9"/>
  <c r="AD68" i="9"/>
  <c r="AC68" i="9"/>
  <c r="AA68" i="9"/>
  <c r="Z68" i="9"/>
  <c r="Y68" i="9"/>
  <c r="X68" i="9"/>
  <c r="W68" i="9"/>
  <c r="U68" i="9"/>
  <c r="AI67" i="9"/>
  <c r="AH67" i="9"/>
  <c r="AG67" i="9"/>
  <c r="AF67" i="9"/>
  <c r="AE67" i="9"/>
  <c r="AD67" i="9"/>
  <c r="AA67" i="9"/>
  <c r="Z67" i="9"/>
  <c r="Y67" i="9"/>
  <c r="X67" i="9"/>
  <c r="W67" i="9"/>
  <c r="U67" i="9"/>
  <c r="AC67" i="9" s="1"/>
  <c r="AI66" i="9"/>
  <c r="AH66" i="9"/>
  <c r="AG66" i="9"/>
  <c r="AF66" i="9"/>
  <c r="AE66" i="9"/>
  <c r="AD66" i="9"/>
  <c r="AC66" i="9"/>
  <c r="AA66" i="9"/>
  <c r="Z66" i="9"/>
  <c r="Y66" i="9"/>
  <c r="X66" i="9"/>
  <c r="W66" i="9"/>
  <c r="U66" i="9"/>
  <c r="AI65" i="9"/>
  <c r="AH65" i="9"/>
  <c r="AG65" i="9"/>
  <c r="AF65" i="9"/>
  <c r="AE65" i="9"/>
  <c r="AD65" i="9"/>
  <c r="AA65" i="9"/>
  <c r="Z65" i="9"/>
  <c r="Y65" i="9"/>
  <c r="X65" i="9"/>
  <c r="W65" i="9"/>
  <c r="U65" i="9"/>
  <c r="AC65" i="9" s="1"/>
  <c r="AI64" i="9"/>
  <c r="AH64" i="9"/>
  <c r="AG64" i="9"/>
  <c r="AF64" i="9"/>
  <c r="AE64" i="9"/>
  <c r="AD64" i="9"/>
  <c r="AA64" i="9"/>
  <c r="Z64" i="9"/>
  <c r="Y64" i="9"/>
  <c r="X64" i="9"/>
  <c r="W64" i="9"/>
  <c r="U64" i="9"/>
  <c r="AC64" i="9" s="1"/>
  <c r="AI63" i="9"/>
  <c r="AH63" i="9"/>
  <c r="AG63" i="9"/>
  <c r="AF63" i="9"/>
  <c r="AE63" i="9"/>
  <c r="AD63" i="9"/>
  <c r="AA63" i="9"/>
  <c r="Z63" i="9"/>
  <c r="Y63" i="9"/>
  <c r="X63" i="9"/>
  <c r="W63" i="9"/>
  <c r="U63" i="9"/>
  <c r="AC63" i="9" s="1"/>
  <c r="AI62" i="9"/>
  <c r="AH62" i="9"/>
  <c r="AG62" i="9"/>
  <c r="AF62" i="9"/>
  <c r="AE62" i="9"/>
  <c r="AD62" i="9"/>
  <c r="AA62" i="9"/>
  <c r="Z62" i="9"/>
  <c r="Y62" i="9"/>
  <c r="X62" i="9"/>
  <c r="W62" i="9"/>
  <c r="U62" i="9"/>
  <c r="AC62" i="9" s="1"/>
  <c r="AI61" i="9"/>
  <c r="AH61" i="9"/>
  <c r="AG61" i="9"/>
  <c r="AF61" i="9"/>
  <c r="AE61" i="9"/>
  <c r="AD61" i="9"/>
  <c r="AC61" i="9"/>
  <c r="AA61" i="9"/>
  <c r="Z61" i="9"/>
  <c r="Y61" i="9"/>
  <c r="X61" i="9"/>
  <c r="W61" i="9"/>
  <c r="U61" i="9"/>
  <c r="AI60" i="9"/>
  <c r="AH60" i="9"/>
  <c r="AG60" i="9"/>
  <c r="AF60" i="9"/>
  <c r="AE60" i="9"/>
  <c r="AD60" i="9"/>
  <c r="AA60" i="9"/>
  <c r="Z60" i="9"/>
  <c r="Y60" i="9"/>
  <c r="X60" i="9"/>
  <c r="W60" i="9"/>
  <c r="U60" i="9"/>
  <c r="AC60" i="9" s="1"/>
  <c r="AI59" i="9"/>
  <c r="AH59" i="9"/>
  <c r="AG59" i="9"/>
  <c r="AF59" i="9"/>
  <c r="AE59" i="9"/>
  <c r="AD59" i="9"/>
  <c r="AC59" i="9"/>
  <c r="AA59" i="9"/>
  <c r="Z59" i="9"/>
  <c r="Y59" i="9"/>
  <c r="X59" i="9"/>
  <c r="W59" i="9"/>
  <c r="U59" i="9"/>
  <c r="AI58" i="9"/>
  <c r="AH58" i="9"/>
  <c r="AG58" i="9"/>
  <c r="AF58" i="9"/>
  <c r="AE58" i="9"/>
  <c r="AD58" i="9"/>
  <c r="AC58" i="9"/>
  <c r="AA58" i="9"/>
  <c r="Z58" i="9"/>
  <c r="Y58" i="9"/>
  <c r="X58" i="9"/>
  <c r="W58" i="9"/>
  <c r="U58" i="9"/>
  <c r="AI57" i="9"/>
  <c r="AH57" i="9"/>
  <c r="AG57" i="9"/>
  <c r="AF57" i="9"/>
  <c r="AE57" i="9"/>
  <c r="AD57" i="9"/>
  <c r="AC57" i="9"/>
  <c r="AA57" i="9"/>
  <c r="Z57" i="9"/>
  <c r="Y57" i="9"/>
  <c r="X57" i="9"/>
  <c r="W57" i="9"/>
  <c r="U57" i="9"/>
  <c r="AI56" i="9"/>
  <c r="AH56" i="9"/>
  <c r="AG56" i="9"/>
  <c r="AF56" i="9"/>
  <c r="AE56" i="9"/>
  <c r="AD56" i="9"/>
  <c r="AC56" i="9"/>
  <c r="AA56" i="9"/>
  <c r="Z56" i="9"/>
  <c r="Y56" i="9"/>
  <c r="X56" i="9"/>
  <c r="W56" i="9"/>
  <c r="U56" i="9"/>
  <c r="AI55" i="9"/>
  <c r="AH55" i="9"/>
  <c r="AG55" i="9"/>
  <c r="AF55" i="9"/>
  <c r="AE55" i="9"/>
  <c r="AD55" i="9"/>
  <c r="AA55" i="9"/>
  <c r="Z55" i="9"/>
  <c r="Y55" i="9"/>
  <c r="X55" i="9"/>
  <c r="W55" i="9"/>
  <c r="U55" i="9"/>
  <c r="AC55" i="9" s="1"/>
  <c r="AI54" i="9"/>
  <c r="AH54" i="9"/>
  <c r="AG54" i="9"/>
  <c r="AF54" i="9"/>
  <c r="AE54" i="9"/>
  <c r="AD54" i="9"/>
  <c r="AC54" i="9"/>
  <c r="AA54" i="9"/>
  <c r="Z54" i="9"/>
  <c r="Y54" i="9"/>
  <c r="X54" i="9"/>
  <c r="W54" i="9"/>
  <c r="U54" i="9"/>
  <c r="AI53" i="9"/>
  <c r="AH53" i="9"/>
  <c r="AG53" i="9"/>
  <c r="AF53" i="9"/>
  <c r="AE53" i="9"/>
  <c r="AD53" i="9"/>
  <c r="AA53" i="9"/>
  <c r="Z53" i="9"/>
  <c r="Y53" i="9"/>
  <c r="X53" i="9"/>
  <c r="W53" i="9"/>
  <c r="U53" i="9"/>
  <c r="AC53" i="9" s="1"/>
  <c r="AI52" i="9"/>
  <c r="AH52" i="9"/>
  <c r="AG52" i="9"/>
  <c r="AF52" i="9"/>
  <c r="AE52" i="9"/>
  <c r="AD52" i="9"/>
  <c r="AA52" i="9"/>
  <c r="Z52" i="9"/>
  <c r="Y52" i="9"/>
  <c r="X52" i="9"/>
  <c r="W52" i="9"/>
  <c r="U52" i="9"/>
  <c r="AC52" i="9" s="1"/>
  <c r="AI51" i="9"/>
  <c r="AH51" i="9"/>
  <c r="AG51" i="9"/>
  <c r="AF51" i="9"/>
  <c r="AE51" i="9"/>
  <c r="AD51" i="9"/>
  <c r="AA51" i="9"/>
  <c r="Z51" i="9"/>
  <c r="Y51" i="9"/>
  <c r="X51" i="9"/>
  <c r="W51" i="9"/>
  <c r="U51" i="9"/>
  <c r="AC51" i="9" s="1"/>
  <c r="AI50" i="9"/>
  <c r="AH50" i="9"/>
  <c r="AG50" i="9"/>
  <c r="AF50" i="9"/>
  <c r="AE50" i="9"/>
  <c r="AD50" i="9"/>
  <c r="AA50" i="9"/>
  <c r="Z50" i="9"/>
  <c r="Y50" i="9"/>
  <c r="X50" i="9"/>
  <c r="W50" i="9"/>
  <c r="U50" i="9"/>
  <c r="AC50" i="9" s="1"/>
  <c r="AI49" i="9"/>
  <c r="AH49" i="9"/>
  <c r="AG49" i="9"/>
  <c r="AF49" i="9"/>
  <c r="AE49" i="9"/>
  <c r="AD49" i="9"/>
  <c r="AC49" i="9"/>
  <c r="AA49" i="9"/>
  <c r="Z49" i="9"/>
  <c r="Y49" i="9"/>
  <c r="X49" i="9"/>
  <c r="W49" i="9"/>
  <c r="U49" i="9"/>
  <c r="AI48" i="9"/>
  <c r="AH48" i="9"/>
  <c r="AG48" i="9"/>
  <c r="AF48" i="9"/>
  <c r="AE48" i="9"/>
  <c r="AD48" i="9"/>
  <c r="AA48" i="9"/>
  <c r="Z48" i="9"/>
  <c r="Y48" i="9"/>
  <c r="X48" i="9"/>
  <c r="W48" i="9"/>
  <c r="U48" i="9"/>
  <c r="AC48" i="9" s="1"/>
  <c r="AI47" i="9"/>
  <c r="AH47" i="9"/>
  <c r="AG47" i="9"/>
  <c r="AF47" i="9"/>
  <c r="AE47" i="9"/>
  <c r="AD47" i="9"/>
  <c r="AC47" i="9"/>
  <c r="AA47" i="9"/>
  <c r="Z47" i="9"/>
  <c r="Y47" i="9"/>
  <c r="X47" i="9"/>
  <c r="W47" i="9"/>
  <c r="U47" i="9"/>
  <c r="AI46" i="9"/>
  <c r="AH46" i="9"/>
  <c r="AG46" i="9"/>
  <c r="AF46" i="9"/>
  <c r="AE46" i="9"/>
  <c r="AD46" i="9"/>
  <c r="AC46" i="9"/>
  <c r="AA46" i="9"/>
  <c r="Z46" i="9"/>
  <c r="Y46" i="9"/>
  <c r="X46" i="9"/>
  <c r="W46" i="9"/>
  <c r="U46" i="9"/>
  <c r="AI45" i="9"/>
  <c r="AH45" i="9"/>
  <c r="AG45" i="9"/>
  <c r="AF45" i="9"/>
  <c r="AE45" i="9"/>
  <c r="AD45" i="9"/>
  <c r="AC45" i="9"/>
  <c r="AA45" i="9"/>
  <c r="Z45" i="9"/>
  <c r="Y45" i="9"/>
  <c r="X45" i="9"/>
  <c r="W45" i="9"/>
  <c r="U45" i="9"/>
  <c r="AI44" i="9"/>
  <c r="AH44" i="9"/>
  <c r="AG44" i="9"/>
  <c r="AF44" i="9"/>
  <c r="AE44" i="9"/>
  <c r="AD44" i="9"/>
  <c r="AC44" i="9"/>
  <c r="AA44" i="9"/>
  <c r="Z44" i="9"/>
  <c r="Y44" i="9"/>
  <c r="X44" i="9"/>
  <c r="W44" i="9"/>
  <c r="U44" i="9"/>
  <c r="AI43" i="9"/>
  <c r="AH43" i="9"/>
  <c r="AG43" i="9"/>
  <c r="AF43" i="9"/>
  <c r="AE43" i="9"/>
  <c r="AD43" i="9"/>
  <c r="AA43" i="9"/>
  <c r="Z43" i="9"/>
  <c r="Y43" i="9"/>
  <c r="X43" i="9"/>
  <c r="W43" i="9"/>
  <c r="U43" i="9"/>
  <c r="AC43" i="9" s="1"/>
  <c r="AI42" i="9"/>
  <c r="AH42" i="9"/>
  <c r="AG42" i="9"/>
  <c r="AF42" i="9"/>
  <c r="AE42" i="9"/>
  <c r="AD42" i="9"/>
  <c r="AA42" i="9"/>
  <c r="Z42" i="9"/>
  <c r="Y42" i="9"/>
  <c r="X42" i="9"/>
  <c r="W42" i="9"/>
  <c r="U42" i="9"/>
  <c r="AC42" i="9" s="1"/>
  <c r="AI41" i="9"/>
  <c r="AH41" i="9"/>
  <c r="AG41" i="9"/>
  <c r="AF41" i="9"/>
  <c r="AE41" i="9"/>
  <c r="AD41" i="9"/>
  <c r="AA41" i="9"/>
  <c r="Z41" i="9"/>
  <c r="Y41" i="9"/>
  <c r="X41" i="9"/>
  <c r="W41" i="9"/>
  <c r="U41" i="9"/>
  <c r="AC41" i="9" s="1"/>
  <c r="AI40" i="9"/>
  <c r="AH40" i="9"/>
  <c r="AG40" i="9"/>
  <c r="AF40" i="9"/>
  <c r="AE40" i="9"/>
  <c r="AD40" i="9"/>
  <c r="AA40" i="9"/>
  <c r="Z40" i="9"/>
  <c r="Y40" i="9"/>
  <c r="X40" i="9"/>
  <c r="W40" i="9"/>
  <c r="U40" i="9"/>
  <c r="AC40" i="9" s="1"/>
  <c r="AI39" i="9"/>
  <c r="AH39" i="9"/>
  <c r="AG39" i="9"/>
  <c r="AF39" i="9"/>
  <c r="AE39" i="9"/>
  <c r="AD39" i="9"/>
  <c r="AA39" i="9"/>
  <c r="Z39" i="9"/>
  <c r="Y39" i="9"/>
  <c r="X39" i="9"/>
  <c r="W39" i="9"/>
  <c r="U39" i="9"/>
  <c r="AC39" i="9" s="1"/>
  <c r="AI38" i="9"/>
  <c r="AH38" i="9"/>
  <c r="AG38" i="9"/>
  <c r="AF38" i="9"/>
  <c r="AE38" i="9"/>
  <c r="AD38" i="9"/>
  <c r="AA38" i="9"/>
  <c r="Z38" i="9"/>
  <c r="Y38" i="9"/>
  <c r="X38" i="9"/>
  <c r="W38" i="9"/>
  <c r="U38" i="9"/>
  <c r="AC38" i="9" s="1"/>
  <c r="AI37" i="9"/>
  <c r="AH37" i="9"/>
  <c r="AG37" i="9"/>
  <c r="AF37" i="9"/>
  <c r="AE37" i="9"/>
  <c r="AD37" i="9"/>
  <c r="AC37" i="9"/>
  <c r="AA37" i="9"/>
  <c r="Z37" i="9"/>
  <c r="Y37" i="9"/>
  <c r="X37" i="9"/>
  <c r="W37" i="9"/>
  <c r="U37" i="9"/>
  <c r="AI36" i="9"/>
  <c r="AH36" i="9"/>
  <c r="AG36" i="9"/>
  <c r="AF36" i="9"/>
  <c r="AE36" i="9"/>
  <c r="AD36" i="9"/>
  <c r="AA36" i="9"/>
  <c r="Z36" i="9"/>
  <c r="Y36" i="9"/>
  <c r="X36" i="9"/>
  <c r="W36" i="9"/>
  <c r="U36" i="9"/>
  <c r="AC36" i="9" s="1"/>
  <c r="AI35" i="9"/>
  <c r="AH35" i="9"/>
  <c r="AG35" i="9"/>
  <c r="AF35" i="9"/>
  <c r="AE35" i="9"/>
  <c r="AD35" i="9"/>
  <c r="AC35" i="9"/>
  <c r="AA35" i="9"/>
  <c r="Z35" i="9"/>
  <c r="Y35" i="9"/>
  <c r="X35" i="9"/>
  <c r="W35" i="9"/>
  <c r="U35" i="9"/>
  <c r="AI34" i="9"/>
  <c r="AH34" i="9"/>
  <c r="AG34" i="9"/>
  <c r="AF34" i="9"/>
  <c r="AE34" i="9"/>
  <c r="AD34" i="9"/>
  <c r="AC34" i="9"/>
  <c r="AA34" i="9"/>
  <c r="Z34" i="9"/>
  <c r="Y34" i="9"/>
  <c r="X34" i="9"/>
  <c r="W34" i="9"/>
  <c r="U34" i="9"/>
  <c r="AI33" i="9"/>
  <c r="AH33" i="9"/>
  <c r="AG33" i="9"/>
  <c r="AF33" i="9"/>
  <c r="AE33" i="9"/>
  <c r="AD33" i="9"/>
  <c r="AC33" i="9"/>
  <c r="AA33" i="9"/>
  <c r="Z33" i="9"/>
  <c r="Y33" i="9"/>
  <c r="X33" i="9"/>
  <c r="W33" i="9"/>
  <c r="U33" i="9"/>
  <c r="AI32" i="9"/>
  <c r="AH32" i="9"/>
  <c r="AG32" i="9"/>
  <c r="AF32" i="9"/>
  <c r="AE32" i="9"/>
  <c r="AD32" i="9"/>
  <c r="AC32" i="9"/>
  <c r="AA32" i="9"/>
  <c r="Z32" i="9"/>
  <c r="Y32" i="9"/>
  <c r="X32" i="9"/>
  <c r="W32" i="9"/>
  <c r="U32" i="9"/>
  <c r="AI31" i="9"/>
  <c r="AH31" i="9"/>
  <c r="AG31" i="9"/>
  <c r="AF31" i="9"/>
  <c r="AE31" i="9"/>
  <c r="AD31" i="9"/>
  <c r="AA31" i="9"/>
  <c r="Z31" i="9"/>
  <c r="Y31" i="9"/>
  <c r="X31" i="9"/>
  <c r="W31" i="9"/>
  <c r="U31" i="9"/>
  <c r="AC31" i="9" s="1"/>
  <c r="AI30" i="9"/>
  <c r="AH30" i="9"/>
  <c r="AG30" i="9"/>
  <c r="AF30" i="9"/>
  <c r="AE30" i="9"/>
  <c r="AD30" i="9"/>
  <c r="AA30" i="9"/>
  <c r="Z30" i="9"/>
  <c r="Y30" i="9"/>
  <c r="X30" i="9"/>
  <c r="W30" i="9"/>
  <c r="U30" i="9"/>
  <c r="AC30" i="9" s="1"/>
  <c r="AI29" i="9"/>
  <c r="AH29" i="9"/>
  <c r="AG29" i="9"/>
  <c r="AF29" i="9"/>
  <c r="AE29" i="9"/>
  <c r="AD29" i="9"/>
  <c r="AA29" i="9"/>
  <c r="Z29" i="9"/>
  <c r="Y29" i="9"/>
  <c r="X29" i="9"/>
  <c r="W29" i="9"/>
  <c r="U29" i="9"/>
  <c r="AC29" i="9" s="1"/>
  <c r="AI28" i="9"/>
  <c r="AH28" i="9"/>
  <c r="AG28" i="9"/>
  <c r="AF28" i="9"/>
  <c r="AE28" i="9"/>
  <c r="AD28" i="9"/>
  <c r="AA28" i="9"/>
  <c r="Z28" i="9"/>
  <c r="Y28" i="9"/>
  <c r="X28" i="9"/>
  <c r="W28" i="9"/>
  <c r="U28" i="9"/>
  <c r="AC28" i="9" s="1"/>
  <c r="AI27" i="9"/>
  <c r="AH27" i="9"/>
  <c r="AG27" i="9"/>
  <c r="AF27" i="9"/>
  <c r="AE27" i="9"/>
  <c r="AD27" i="9"/>
  <c r="AA27" i="9"/>
  <c r="Z27" i="9"/>
  <c r="Y27" i="9"/>
  <c r="X27" i="9"/>
  <c r="W27" i="9"/>
  <c r="U27" i="9"/>
  <c r="AC27" i="9" s="1"/>
  <c r="AI26" i="9"/>
  <c r="AH26" i="9"/>
  <c r="AG26" i="9"/>
  <c r="AF26" i="9"/>
  <c r="AE26" i="9"/>
  <c r="AD26" i="9"/>
  <c r="AA26" i="9"/>
  <c r="Z26" i="9"/>
  <c r="Y26" i="9"/>
  <c r="X26" i="9"/>
  <c r="W26" i="9"/>
  <c r="U26" i="9"/>
  <c r="AC26" i="9" s="1"/>
  <c r="AI25" i="9"/>
  <c r="AH25" i="9"/>
  <c r="AG25" i="9"/>
  <c r="AF25" i="9"/>
  <c r="AE25" i="9"/>
  <c r="AD25" i="9"/>
  <c r="AC25" i="9"/>
  <c r="AA25" i="9"/>
  <c r="Z25" i="9"/>
  <c r="Y25" i="9"/>
  <c r="X25" i="9"/>
  <c r="W25" i="9"/>
  <c r="U25" i="9"/>
  <c r="AI24" i="9"/>
  <c r="AH24" i="9"/>
  <c r="AG24" i="9"/>
  <c r="AF24" i="9"/>
  <c r="AE24" i="9"/>
  <c r="AD24" i="9"/>
  <c r="AA24" i="9"/>
  <c r="Z24" i="9"/>
  <c r="Y24" i="9"/>
  <c r="X24" i="9"/>
  <c r="W24" i="9"/>
  <c r="U24" i="9"/>
  <c r="AC24" i="9" s="1"/>
  <c r="AI23" i="9"/>
  <c r="AH23" i="9"/>
  <c r="AG23" i="9"/>
  <c r="AF23" i="9"/>
  <c r="AE23" i="9"/>
  <c r="AD23" i="9"/>
  <c r="AC23" i="9"/>
  <c r="AA23" i="9"/>
  <c r="Z23" i="9"/>
  <c r="Y23" i="9"/>
  <c r="X23" i="9"/>
  <c r="W23" i="9"/>
  <c r="U23" i="9"/>
  <c r="AI22" i="9"/>
  <c r="AH22" i="9"/>
  <c r="AG22" i="9"/>
  <c r="AF22" i="9"/>
  <c r="AE22" i="9"/>
  <c r="AD22" i="9"/>
  <c r="AC22" i="9"/>
  <c r="AA22" i="9"/>
  <c r="Z22" i="9"/>
  <c r="Y22" i="9"/>
  <c r="X22" i="9"/>
  <c r="W22" i="9"/>
  <c r="U22" i="9"/>
  <c r="AI21" i="9"/>
  <c r="AH21" i="9"/>
  <c r="AG21" i="9"/>
  <c r="AF21" i="9"/>
  <c r="AE21" i="9"/>
  <c r="AD21" i="9"/>
  <c r="AC21" i="9"/>
  <c r="AA21" i="9"/>
  <c r="Z21" i="9"/>
  <c r="Y21" i="9"/>
  <c r="X21" i="9"/>
  <c r="W21" i="9"/>
  <c r="U21" i="9"/>
  <c r="AI20" i="9"/>
  <c r="AH20" i="9"/>
  <c r="AG20" i="9"/>
  <c r="AF20" i="9"/>
  <c r="AE20" i="9"/>
  <c r="AD20" i="9"/>
  <c r="AC20" i="9"/>
  <c r="AA20" i="9"/>
  <c r="Z20" i="9"/>
  <c r="Y20" i="9"/>
  <c r="X20" i="9"/>
  <c r="W20" i="9"/>
  <c r="U20" i="9"/>
  <c r="AI19" i="9"/>
  <c r="AH19" i="9"/>
  <c r="AG19" i="9"/>
  <c r="AF19" i="9"/>
  <c r="AE19" i="9"/>
  <c r="AD19" i="9"/>
  <c r="AA19" i="9"/>
  <c r="Z19" i="9"/>
  <c r="Y19" i="9"/>
  <c r="X19" i="9"/>
  <c r="W19" i="9"/>
  <c r="U19" i="9"/>
  <c r="AC19" i="9" s="1"/>
  <c r="AI18" i="9"/>
  <c r="AH18" i="9"/>
  <c r="AG18" i="9"/>
  <c r="AF18" i="9"/>
  <c r="AE18" i="9"/>
  <c r="AD18" i="9"/>
  <c r="AC18" i="9"/>
  <c r="AA18" i="9"/>
  <c r="Z18" i="9"/>
  <c r="Y18" i="9"/>
  <c r="X18" i="9"/>
  <c r="W18" i="9"/>
  <c r="U18" i="9"/>
  <c r="AI17" i="9"/>
  <c r="AH17" i="9"/>
  <c r="AG17" i="9"/>
  <c r="AF17" i="9"/>
  <c r="AE17" i="9"/>
  <c r="AD17" i="9"/>
  <c r="AA17" i="9"/>
  <c r="Z17" i="9"/>
  <c r="Y17" i="9"/>
  <c r="X17" i="9"/>
  <c r="W17" i="9"/>
  <c r="U17" i="9"/>
  <c r="AC17" i="9" s="1"/>
  <c r="AI16" i="9"/>
  <c r="AH16" i="9"/>
  <c r="AG16" i="9"/>
  <c r="AF16" i="9"/>
  <c r="AE16" i="9"/>
  <c r="AD16" i="9"/>
  <c r="AA16" i="9"/>
  <c r="Z16" i="9"/>
  <c r="Y16" i="9"/>
  <c r="X16" i="9"/>
  <c r="W16" i="9"/>
  <c r="U16" i="9"/>
  <c r="AC16" i="9" s="1"/>
  <c r="AI15" i="9"/>
  <c r="AH15" i="9"/>
  <c r="AG15" i="9"/>
  <c r="AF15" i="9"/>
  <c r="AE15" i="9"/>
  <c r="AD15" i="9"/>
  <c r="AA15" i="9"/>
  <c r="Z15" i="9"/>
  <c r="Y15" i="9"/>
  <c r="X15" i="9"/>
  <c r="W15" i="9"/>
  <c r="U15" i="9"/>
  <c r="AC15" i="9" s="1"/>
  <c r="AI14" i="9"/>
  <c r="AH14" i="9"/>
  <c r="AG14" i="9"/>
  <c r="AF14" i="9"/>
  <c r="AE14" i="9"/>
  <c r="AD14" i="9"/>
  <c r="AA14" i="9"/>
  <c r="Z14" i="9"/>
  <c r="Y14" i="9"/>
  <c r="X14" i="9"/>
  <c r="W14" i="9"/>
  <c r="U14" i="9"/>
  <c r="AC14" i="9" s="1"/>
  <c r="AI13" i="9"/>
  <c r="AH13" i="9"/>
  <c r="AG13" i="9"/>
  <c r="AF13" i="9"/>
  <c r="AE13" i="9"/>
  <c r="AD13" i="9"/>
  <c r="AC13" i="9"/>
  <c r="AA13" i="9"/>
  <c r="Z13" i="9"/>
  <c r="Y13" i="9"/>
  <c r="X13" i="9"/>
  <c r="W13" i="9"/>
  <c r="U13" i="9"/>
  <c r="AI12" i="9"/>
  <c r="AH12" i="9"/>
  <c r="AG12" i="9"/>
  <c r="AF12" i="9"/>
  <c r="AE12" i="9"/>
  <c r="AD12" i="9"/>
  <c r="AA12" i="9"/>
  <c r="Z12" i="9"/>
  <c r="Y12" i="9"/>
  <c r="X12" i="9"/>
  <c r="W12" i="9"/>
  <c r="U12" i="9"/>
  <c r="AC12" i="9" s="1"/>
  <c r="AI11" i="9"/>
  <c r="AH11" i="9"/>
  <c r="AG11" i="9"/>
  <c r="AF11" i="9"/>
  <c r="AE11" i="9"/>
  <c r="AD11" i="9"/>
  <c r="AC11" i="9"/>
  <c r="AA11" i="9"/>
  <c r="Z11" i="9"/>
  <c r="Y11" i="9"/>
  <c r="X11" i="9"/>
  <c r="W11" i="9"/>
  <c r="U11" i="9"/>
  <c r="AI10" i="9"/>
  <c r="AH10" i="9"/>
  <c r="AG10" i="9"/>
  <c r="AF10" i="9"/>
  <c r="AE10" i="9"/>
  <c r="AD10" i="9"/>
  <c r="AC10" i="9"/>
  <c r="AA10" i="9"/>
  <c r="Z10" i="9"/>
  <c r="Y10" i="9"/>
  <c r="X10" i="9"/>
  <c r="W10" i="9"/>
  <c r="U10" i="9"/>
  <c r="AI9" i="9"/>
  <c r="AH9" i="9"/>
  <c r="AG9" i="9"/>
  <c r="AF9" i="9"/>
  <c r="AE9" i="9"/>
  <c r="AD9" i="9"/>
  <c r="AC9" i="9"/>
  <c r="AA9" i="9"/>
  <c r="Z9" i="9"/>
  <c r="Y9" i="9"/>
  <c r="X9" i="9"/>
  <c r="W9" i="9"/>
  <c r="U9" i="9"/>
  <c r="AI8" i="9"/>
  <c r="AH8" i="9"/>
  <c r="AG8" i="9"/>
  <c r="AF8" i="9"/>
  <c r="AE8" i="9"/>
  <c r="AD8" i="9"/>
  <c r="AC8" i="9"/>
  <c r="AA8" i="9"/>
  <c r="Z8" i="9"/>
  <c r="Y8" i="9"/>
  <c r="X8" i="9"/>
  <c r="W8" i="9"/>
  <c r="U8" i="9"/>
  <c r="AI7" i="9"/>
  <c r="AH7" i="9"/>
  <c r="AG7" i="9"/>
  <c r="AF7" i="9"/>
  <c r="AE7" i="9"/>
  <c r="AD7" i="9"/>
  <c r="AA7" i="9"/>
  <c r="Z7" i="9"/>
  <c r="Y7" i="9"/>
  <c r="X7" i="9"/>
  <c r="W7" i="9"/>
  <c r="U7" i="9"/>
  <c r="AC7" i="9" s="1"/>
  <c r="AI6" i="9"/>
  <c r="AH6" i="9"/>
  <c r="AG6" i="9"/>
  <c r="AF6" i="9"/>
  <c r="AE6" i="9"/>
  <c r="AD6" i="9"/>
  <c r="AC6" i="9"/>
  <c r="AA6" i="9"/>
  <c r="Z6" i="9"/>
  <c r="Y6" i="9"/>
  <c r="X6" i="9"/>
  <c r="W6" i="9"/>
  <c r="U6" i="9"/>
  <c r="AI5" i="9"/>
  <c r="AH5" i="9"/>
  <c r="AG5" i="9"/>
  <c r="AF5" i="9"/>
  <c r="AE5" i="9"/>
  <c r="AD5" i="9"/>
  <c r="AA5" i="9"/>
  <c r="Z5" i="9"/>
  <c r="Y5" i="9"/>
  <c r="X5" i="9"/>
  <c r="W5" i="9"/>
  <c r="U5" i="9"/>
  <c r="AC5" i="9" s="1"/>
  <c r="AI4" i="9"/>
  <c r="AH4" i="9"/>
  <c r="AG4" i="9"/>
  <c r="AF4" i="9"/>
  <c r="AE4" i="9"/>
  <c r="AD4" i="9"/>
  <c r="AA4" i="9"/>
  <c r="Z4" i="9"/>
  <c r="Y4" i="9"/>
  <c r="X4" i="9"/>
  <c r="W4" i="9"/>
  <c r="U4" i="9"/>
  <c r="AC4" i="9" s="1"/>
  <c r="AI3" i="9"/>
  <c r="AH3" i="9"/>
  <c r="AG3" i="9"/>
  <c r="AF3" i="9"/>
  <c r="AE3" i="9"/>
  <c r="AD3" i="9"/>
  <c r="AA3" i="9"/>
  <c r="Z3" i="9"/>
  <c r="Y3" i="9"/>
  <c r="X3" i="9"/>
  <c r="W3" i="9"/>
  <c r="U3" i="9"/>
  <c r="AC3" i="9" s="1"/>
  <c r="AI2" i="9"/>
  <c r="AH2" i="9"/>
  <c r="AG2" i="9"/>
  <c r="AF2" i="9"/>
  <c r="AE2" i="9"/>
  <c r="AD2" i="9"/>
  <c r="AA2" i="9"/>
  <c r="Z2" i="9"/>
  <c r="Y2" i="9"/>
  <c r="X2" i="9"/>
  <c r="W2" i="9"/>
  <c r="U2" i="9"/>
  <c r="AC2" i="9" s="1"/>
  <c r="G5370" i="8"/>
  <c r="G5369" i="8"/>
  <c r="G5368" i="8"/>
  <c r="G5367" i="8"/>
  <c r="G5366" i="8"/>
  <c r="G5365" i="8"/>
  <c r="G5364" i="8"/>
  <c r="G5363" i="8"/>
  <c r="G5362" i="8"/>
  <c r="G5361" i="8"/>
  <c r="G5360" i="8"/>
  <c r="G5359" i="8"/>
  <c r="G5358" i="8"/>
  <c r="G5357" i="8"/>
  <c r="G5356" i="8"/>
  <c r="G5355" i="8"/>
  <c r="G5354" i="8"/>
  <c r="G5353" i="8"/>
  <c r="G5352" i="8"/>
  <c r="G5351" i="8"/>
  <c r="G5350" i="8"/>
  <c r="G5349" i="8"/>
  <c r="G5348" i="8"/>
  <c r="G5347" i="8"/>
  <c r="G5346" i="8"/>
  <c r="G5345" i="8"/>
  <c r="G5344" i="8"/>
  <c r="G5343" i="8"/>
  <c r="G5342" i="8"/>
  <c r="G5341" i="8"/>
  <c r="G5340" i="8"/>
  <c r="G5339" i="8"/>
  <c r="G5338" i="8"/>
  <c r="G5337" i="8"/>
  <c r="G5336" i="8"/>
  <c r="G5335" i="8"/>
  <c r="G5334" i="8"/>
  <c r="G5333" i="8"/>
  <c r="G5332" i="8"/>
  <c r="G5331" i="8"/>
  <c r="G5330" i="8"/>
  <c r="G5329" i="8"/>
  <c r="G5328" i="8"/>
  <c r="G5327" i="8"/>
  <c r="G5326" i="8"/>
  <c r="G5325" i="8"/>
  <c r="G5324" i="8"/>
  <c r="G5323" i="8"/>
  <c r="G5322" i="8"/>
  <c r="G5321" i="8"/>
  <c r="G5320" i="8"/>
  <c r="G5319" i="8"/>
  <c r="G5318" i="8"/>
  <c r="G5317" i="8"/>
  <c r="G5316" i="8"/>
  <c r="G5315" i="8"/>
  <c r="G5314" i="8"/>
  <c r="G5313" i="8"/>
  <c r="G5312" i="8"/>
  <c r="G5311" i="8"/>
  <c r="G5310" i="8"/>
  <c r="G5309" i="8"/>
  <c r="G5308" i="8"/>
  <c r="G5307" i="8"/>
  <c r="G5306" i="8"/>
  <c r="G5305" i="8"/>
  <c r="G5304" i="8"/>
  <c r="G5303" i="8"/>
  <c r="G5302" i="8"/>
  <c r="G5301" i="8"/>
  <c r="G5300" i="8"/>
  <c r="G5299" i="8"/>
  <c r="G5298" i="8"/>
  <c r="G5297" i="8"/>
  <c r="G5296" i="8"/>
  <c r="G5295" i="8"/>
  <c r="G5294" i="8"/>
  <c r="G5293" i="8"/>
  <c r="G5292" i="8"/>
  <c r="G5291" i="8"/>
  <c r="G5290" i="8"/>
  <c r="G5289" i="8"/>
  <c r="G5288" i="8"/>
  <c r="G5287" i="8"/>
  <c r="G5286" i="8"/>
  <c r="G5285" i="8"/>
  <c r="G5284" i="8"/>
  <c r="G5283" i="8"/>
  <c r="G5282" i="8"/>
  <c r="G5281" i="8"/>
  <c r="G5280" i="8"/>
  <c r="G5279" i="8"/>
  <c r="G5278" i="8"/>
  <c r="G5277" i="8"/>
  <c r="G5276" i="8"/>
  <c r="G5275" i="8"/>
  <c r="G5274" i="8"/>
  <c r="G5273" i="8"/>
  <c r="G5272" i="8"/>
  <c r="G5271" i="8"/>
  <c r="G5270" i="8"/>
  <c r="G5269" i="8"/>
  <c r="G5268" i="8"/>
  <c r="G5267" i="8"/>
  <c r="G5266" i="8"/>
  <c r="G5265" i="8"/>
  <c r="G5264" i="8"/>
  <c r="G5263" i="8"/>
  <c r="G5262" i="8"/>
  <c r="G5261" i="8"/>
  <c r="G5260" i="8"/>
  <c r="G5259" i="8"/>
  <c r="G5258" i="8"/>
  <c r="G5257" i="8"/>
  <c r="G5256" i="8"/>
  <c r="G5255" i="8"/>
  <c r="G5254" i="8"/>
  <c r="G5253" i="8"/>
  <c r="G5252" i="8"/>
  <c r="G5251" i="8"/>
  <c r="G5250" i="8"/>
  <c r="G5249" i="8"/>
  <c r="G5248" i="8"/>
  <c r="G5247" i="8"/>
  <c r="G5246" i="8"/>
  <c r="G5245" i="8"/>
  <c r="G5244" i="8"/>
  <c r="G5243" i="8"/>
  <c r="G5242" i="8"/>
  <c r="G5241" i="8"/>
  <c r="G5240" i="8"/>
  <c r="G5239" i="8"/>
  <c r="G5238" i="8"/>
  <c r="G5237" i="8"/>
  <c r="G5236" i="8"/>
  <c r="G5235" i="8"/>
  <c r="G5234" i="8"/>
  <c r="G5233" i="8"/>
  <c r="G5232" i="8"/>
  <c r="G5231" i="8"/>
  <c r="G5230" i="8"/>
  <c r="G5229" i="8"/>
  <c r="G5228" i="8"/>
  <c r="G5227" i="8"/>
  <c r="G5226" i="8"/>
  <c r="G5225" i="8"/>
  <c r="G5224" i="8"/>
  <c r="G5223" i="8"/>
  <c r="G5222" i="8"/>
  <c r="G5221" i="8"/>
  <c r="G5220" i="8"/>
  <c r="G5219" i="8"/>
  <c r="G5218" i="8"/>
  <c r="G5217" i="8"/>
  <c r="G5216" i="8"/>
  <c r="G5215" i="8"/>
  <c r="G5214" i="8"/>
  <c r="G5213" i="8"/>
  <c r="G5212" i="8"/>
  <c r="G5211" i="8"/>
  <c r="G5210" i="8"/>
  <c r="G5209" i="8"/>
  <c r="G5208" i="8"/>
  <c r="G5207" i="8"/>
  <c r="G5206" i="8"/>
  <c r="G5205" i="8"/>
  <c r="G5204" i="8"/>
  <c r="G5203" i="8"/>
  <c r="G5202" i="8"/>
  <c r="G5201" i="8"/>
  <c r="G5200" i="8"/>
  <c r="G5199" i="8"/>
  <c r="G5198" i="8"/>
  <c r="G5197" i="8"/>
  <c r="G5196" i="8"/>
  <c r="G5195" i="8"/>
  <c r="G5194" i="8"/>
  <c r="G5193" i="8"/>
  <c r="G5192" i="8"/>
  <c r="G5191" i="8"/>
  <c r="G5190" i="8"/>
  <c r="G5189" i="8"/>
  <c r="G5188" i="8"/>
  <c r="G5187" i="8"/>
  <c r="G5186" i="8"/>
  <c r="G5185" i="8"/>
  <c r="G5184" i="8"/>
  <c r="G5183" i="8"/>
  <c r="G5182" i="8"/>
  <c r="G5181" i="8"/>
  <c r="G5180" i="8"/>
  <c r="G5179" i="8"/>
  <c r="G5178" i="8"/>
  <c r="G5177" i="8"/>
  <c r="G5176" i="8"/>
  <c r="G5175" i="8"/>
  <c r="G5174" i="8"/>
  <c r="G5173" i="8"/>
  <c r="G5172" i="8"/>
  <c r="G5171" i="8"/>
  <c r="G5170" i="8"/>
  <c r="G5169" i="8"/>
  <c r="G5168" i="8"/>
  <c r="G5167" i="8"/>
  <c r="G5166" i="8"/>
  <c r="G5165" i="8"/>
  <c r="G5164" i="8"/>
  <c r="G5163" i="8"/>
  <c r="G5162" i="8"/>
  <c r="G5161" i="8"/>
  <c r="G5160" i="8"/>
  <c r="G5159" i="8"/>
  <c r="G5158" i="8"/>
  <c r="G5157" i="8"/>
  <c r="G5156" i="8"/>
  <c r="G5155" i="8"/>
  <c r="G5154" i="8"/>
  <c r="G5153" i="8"/>
  <c r="G5152" i="8"/>
  <c r="G5151" i="8"/>
  <c r="G5150" i="8"/>
  <c r="G5149" i="8"/>
  <c r="G5148" i="8"/>
  <c r="G5147" i="8"/>
  <c r="G5146" i="8"/>
  <c r="G5145" i="8"/>
  <c r="G5144" i="8"/>
  <c r="G5143" i="8"/>
  <c r="G5142" i="8"/>
  <c r="G5141" i="8"/>
  <c r="G5140" i="8"/>
  <c r="G5139" i="8"/>
  <c r="G5138" i="8"/>
  <c r="G5137" i="8"/>
  <c r="G5136" i="8"/>
  <c r="G5135" i="8"/>
  <c r="G5134" i="8"/>
  <c r="G5133" i="8"/>
  <c r="G5132" i="8"/>
  <c r="G5131" i="8"/>
  <c r="G5130" i="8"/>
  <c r="G5129" i="8"/>
  <c r="G5128" i="8"/>
  <c r="G5127" i="8"/>
  <c r="G5126" i="8"/>
  <c r="G5125" i="8"/>
  <c r="G5124" i="8"/>
  <c r="G5123" i="8"/>
  <c r="G5122" i="8"/>
  <c r="G5121" i="8"/>
  <c r="G5120" i="8"/>
  <c r="G5119" i="8"/>
  <c r="G5118" i="8"/>
  <c r="G5117" i="8"/>
  <c r="G5116" i="8"/>
  <c r="G5115" i="8"/>
  <c r="G5114" i="8"/>
  <c r="G5113" i="8"/>
  <c r="G5112" i="8"/>
  <c r="G5111" i="8"/>
  <c r="G5110" i="8"/>
  <c r="G5109" i="8"/>
  <c r="G5108" i="8"/>
  <c r="G5107" i="8"/>
  <c r="G5106" i="8"/>
  <c r="G5105" i="8"/>
  <c r="G5104" i="8"/>
  <c r="G5103" i="8"/>
  <c r="G5102" i="8"/>
  <c r="G5101" i="8"/>
  <c r="G5100" i="8"/>
  <c r="G5099" i="8"/>
  <c r="G5098" i="8"/>
  <c r="G5097" i="8"/>
  <c r="G5096" i="8"/>
  <c r="G5095" i="8"/>
  <c r="G5094" i="8"/>
  <c r="G5093" i="8"/>
  <c r="G5092" i="8"/>
  <c r="G5091" i="8"/>
  <c r="G5090" i="8"/>
  <c r="G5089" i="8"/>
  <c r="G5088" i="8"/>
  <c r="G5087" i="8"/>
  <c r="G5086" i="8"/>
  <c r="G5085" i="8"/>
  <c r="G5084" i="8"/>
  <c r="G5083" i="8"/>
  <c r="G5082" i="8"/>
  <c r="G5081" i="8"/>
  <c r="G5080" i="8"/>
  <c r="G5079" i="8"/>
  <c r="G5078" i="8"/>
  <c r="G5077" i="8"/>
  <c r="G5076" i="8"/>
  <c r="G5075" i="8"/>
  <c r="G5074" i="8"/>
  <c r="G5073" i="8"/>
  <c r="G5072" i="8"/>
  <c r="G5071" i="8"/>
  <c r="G5070" i="8"/>
  <c r="G5069" i="8"/>
  <c r="G5068" i="8"/>
  <c r="G5067" i="8"/>
  <c r="G5066" i="8"/>
  <c r="G5065" i="8"/>
  <c r="G5064" i="8"/>
  <c r="G5063" i="8"/>
  <c r="G5062" i="8"/>
  <c r="G5061" i="8"/>
  <c r="G5060" i="8"/>
  <c r="G5059" i="8"/>
  <c r="G5058" i="8"/>
  <c r="G5057" i="8"/>
  <c r="G5056" i="8"/>
  <c r="G5055" i="8"/>
  <c r="G5054" i="8"/>
  <c r="G5053" i="8"/>
  <c r="G5052" i="8"/>
  <c r="G5051" i="8"/>
  <c r="G5050" i="8"/>
  <c r="G5049" i="8"/>
  <c r="G5048" i="8"/>
  <c r="G5047" i="8"/>
  <c r="G5046" i="8"/>
  <c r="G5045" i="8"/>
  <c r="G5044" i="8"/>
  <c r="G5043" i="8"/>
  <c r="G5042" i="8"/>
  <c r="G5041" i="8"/>
  <c r="G5040" i="8"/>
  <c r="G5039" i="8"/>
  <c r="G5038" i="8"/>
  <c r="G5037" i="8"/>
  <c r="G5036" i="8"/>
  <c r="G5035" i="8"/>
  <c r="G5034" i="8"/>
  <c r="G5033" i="8"/>
  <c r="G5032" i="8"/>
  <c r="G5031" i="8"/>
  <c r="G5030" i="8"/>
  <c r="G5029" i="8"/>
  <c r="G5028" i="8"/>
  <c r="G5027" i="8"/>
  <c r="G5026" i="8"/>
  <c r="G5025" i="8"/>
  <c r="G5024" i="8"/>
  <c r="G5023" i="8"/>
  <c r="G5022" i="8"/>
  <c r="G5021" i="8"/>
  <c r="G5020" i="8"/>
  <c r="G5019" i="8"/>
  <c r="G5018" i="8"/>
  <c r="G5017" i="8"/>
  <c r="G5016" i="8"/>
  <c r="G5015" i="8"/>
  <c r="G5014" i="8"/>
  <c r="G5013" i="8"/>
  <c r="G5012" i="8"/>
  <c r="G5011" i="8"/>
  <c r="G5010" i="8"/>
  <c r="G5009" i="8"/>
  <c r="G5008" i="8"/>
  <c r="G5007" i="8"/>
  <c r="G5006" i="8"/>
  <c r="G5005" i="8"/>
  <c r="G5004" i="8"/>
  <c r="G5003" i="8"/>
  <c r="G5002" i="8"/>
  <c r="G5001" i="8"/>
  <c r="G5000" i="8"/>
  <c r="G4999" i="8"/>
  <c r="G4998" i="8"/>
  <c r="G4997" i="8"/>
  <c r="G4996" i="8"/>
  <c r="G4995" i="8"/>
  <c r="G4994" i="8"/>
  <c r="G4993" i="8"/>
  <c r="G4992" i="8"/>
  <c r="G4991" i="8"/>
  <c r="G4990" i="8"/>
  <c r="G4989" i="8"/>
  <c r="G4988" i="8"/>
  <c r="G4987" i="8"/>
  <c r="G4986" i="8"/>
  <c r="G4985" i="8"/>
  <c r="G4984" i="8"/>
  <c r="G4983" i="8"/>
  <c r="G4982" i="8"/>
  <c r="G4981" i="8"/>
  <c r="G4980" i="8"/>
  <c r="G4979" i="8"/>
  <c r="G4978" i="8"/>
  <c r="G4977" i="8"/>
  <c r="G4976" i="8"/>
  <c r="G4975" i="8"/>
  <c r="G4974" i="8"/>
  <c r="G4973" i="8"/>
  <c r="G4972" i="8"/>
  <c r="G4971" i="8"/>
  <c r="G4970" i="8"/>
  <c r="G4969" i="8"/>
  <c r="G4968" i="8"/>
  <c r="G4967" i="8"/>
  <c r="G4966" i="8"/>
  <c r="G4965" i="8"/>
  <c r="G4964" i="8"/>
  <c r="G4963" i="8"/>
  <c r="G4962" i="8"/>
  <c r="G4961" i="8"/>
  <c r="G4960" i="8"/>
  <c r="G4959" i="8"/>
  <c r="G4958" i="8"/>
  <c r="G4957" i="8"/>
  <c r="G4956" i="8"/>
  <c r="G4955" i="8"/>
  <c r="G4954" i="8"/>
  <c r="G4953" i="8"/>
  <c r="G4952" i="8"/>
  <c r="G4951" i="8"/>
  <c r="G4950" i="8"/>
  <c r="G4949" i="8"/>
  <c r="G4948" i="8"/>
  <c r="G4947" i="8"/>
  <c r="G4946" i="8"/>
  <c r="G4945" i="8"/>
  <c r="G4944" i="8"/>
  <c r="G4943" i="8"/>
  <c r="G4942" i="8"/>
  <c r="G4941" i="8"/>
  <c r="G4940" i="8"/>
  <c r="G4939" i="8"/>
  <c r="G4938" i="8"/>
  <c r="G4937" i="8"/>
  <c r="G4936" i="8"/>
  <c r="G4935" i="8"/>
  <c r="G4934" i="8"/>
  <c r="G4933" i="8"/>
  <c r="G4932" i="8"/>
  <c r="G4931" i="8"/>
  <c r="G4930" i="8"/>
  <c r="G4929" i="8"/>
  <c r="G4928" i="8"/>
  <c r="G4927" i="8"/>
  <c r="G4926" i="8"/>
  <c r="G4925" i="8"/>
  <c r="G4924" i="8"/>
  <c r="G4923" i="8"/>
  <c r="G4922" i="8"/>
  <c r="G4921" i="8"/>
  <c r="G4920" i="8"/>
  <c r="G4919" i="8"/>
  <c r="G4918" i="8"/>
  <c r="G4917" i="8"/>
  <c r="G4916" i="8"/>
  <c r="G4915" i="8"/>
  <c r="G4914" i="8"/>
  <c r="G4913" i="8"/>
  <c r="G4912" i="8"/>
  <c r="G4911" i="8"/>
  <c r="G4910" i="8"/>
  <c r="G4909" i="8"/>
  <c r="G4908" i="8"/>
  <c r="G4907" i="8"/>
  <c r="G4906" i="8"/>
  <c r="G4905" i="8"/>
  <c r="G4904" i="8"/>
  <c r="G4903" i="8"/>
  <c r="G4902" i="8"/>
  <c r="G4901" i="8"/>
  <c r="G4900" i="8"/>
  <c r="G4899" i="8"/>
  <c r="G4898" i="8"/>
  <c r="G4897" i="8"/>
  <c r="G4896" i="8"/>
  <c r="G4895" i="8"/>
  <c r="G4894" i="8"/>
  <c r="G4893" i="8"/>
  <c r="G4892" i="8"/>
  <c r="G4891" i="8"/>
  <c r="G4890" i="8"/>
  <c r="G4889" i="8"/>
  <c r="G4888" i="8"/>
  <c r="G4887" i="8"/>
  <c r="G4886" i="8"/>
  <c r="G4885" i="8"/>
  <c r="G4884" i="8"/>
  <c r="G4883" i="8"/>
  <c r="G4882" i="8"/>
  <c r="G4881" i="8"/>
  <c r="G4880" i="8"/>
  <c r="G4879" i="8"/>
  <c r="G4878" i="8"/>
  <c r="G4877" i="8"/>
  <c r="G4876" i="8"/>
  <c r="G4875" i="8"/>
  <c r="G4874" i="8"/>
  <c r="G4873" i="8"/>
  <c r="G4872" i="8"/>
  <c r="G4871" i="8"/>
  <c r="G4870" i="8"/>
  <c r="G4869" i="8"/>
  <c r="G4868" i="8"/>
  <c r="G4867" i="8"/>
  <c r="G4866" i="8"/>
  <c r="G4865" i="8"/>
  <c r="G4864" i="8"/>
  <c r="G4863" i="8"/>
  <c r="G4862" i="8"/>
  <c r="G4861" i="8"/>
  <c r="G4860" i="8"/>
  <c r="G4859" i="8"/>
  <c r="G4858" i="8"/>
  <c r="G4857" i="8"/>
  <c r="G4856" i="8"/>
  <c r="G4855" i="8"/>
  <c r="G4854" i="8"/>
  <c r="G4853" i="8"/>
  <c r="G4852" i="8"/>
  <c r="G4851" i="8"/>
  <c r="G4850" i="8"/>
  <c r="G4849" i="8"/>
  <c r="G4848" i="8"/>
  <c r="G4847" i="8"/>
  <c r="G4846" i="8"/>
  <c r="G4845" i="8"/>
  <c r="G4844" i="8"/>
  <c r="G4843" i="8"/>
  <c r="G4842" i="8"/>
  <c r="G4841" i="8"/>
  <c r="G4840" i="8"/>
  <c r="G4839" i="8"/>
  <c r="G4838" i="8"/>
  <c r="G4837" i="8"/>
  <c r="G4836" i="8"/>
  <c r="G4835" i="8"/>
  <c r="G4834" i="8"/>
  <c r="G4833" i="8"/>
  <c r="G4832" i="8"/>
  <c r="G4831" i="8"/>
  <c r="G4830" i="8"/>
  <c r="G4829" i="8"/>
  <c r="G4828" i="8"/>
  <c r="G4827" i="8"/>
  <c r="G4826" i="8"/>
  <c r="G4825" i="8"/>
  <c r="G4824" i="8"/>
  <c r="G4823" i="8"/>
  <c r="G4822" i="8"/>
  <c r="G4821" i="8"/>
  <c r="G4820" i="8"/>
  <c r="G4819" i="8"/>
  <c r="G4818" i="8"/>
  <c r="G4817" i="8"/>
  <c r="G4816" i="8"/>
  <c r="G4815" i="8"/>
  <c r="G4814" i="8"/>
  <c r="G4813" i="8"/>
  <c r="G4812" i="8"/>
  <c r="G4811" i="8"/>
  <c r="G4810" i="8"/>
  <c r="G4809" i="8"/>
  <c r="G4808" i="8"/>
  <c r="G4807" i="8"/>
  <c r="G4806" i="8"/>
  <c r="G4805" i="8"/>
  <c r="G4804" i="8"/>
  <c r="G4803" i="8"/>
  <c r="G4802" i="8"/>
  <c r="G4801" i="8"/>
  <c r="G4800" i="8"/>
  <c r="G4799" i="8"/>
  <c r="G4798" i="8"/>
  <c r="G4797" i="8"/>
  <c r="G4796" i="8"/>
  <c r="G4795" i="8"/>
  <c r="G4794" i="8"/>
  <c r="G4793" i="8"/>
  <c r="G4792" i="8"/>
  <c r="G4791" i="8"/>
  <c r="G4790" i="8"/>
  <c r="G4789" i="8"/>
  <c r="G4788" i="8"/>
  <c r="G4787" i="8"/>
  <c r="G4786" i="8"/>
  <c r="G4785" i="8"/>
  <c r="G4784" i="8"/>
  <c r="G4783" i="8"/>
  <c r="G4782" i="8"/>
  <c r="G4781" i="8"/>
  <c r="G4780" i="8"/>
  <c r="G4779" i="8"/>
  <c r="G4778" i="8"/>
  <c r="G4777" i="8"/>
  <c r="G4776" i="8"/>
  <c r="G4775" i="8"/>
  <c r="G4774" i="8"/>
  <c r="G4773" i="8"/>
  <c r="G4772" i="8"/>
  <c r="G4771" i="8"/>
  <c r="G4770" i="8"/>
  <c r="G4769" i="8"/>
  <c r="G4768" i="8"/>
  <c r="G4767" i="8"/>
  <c r="G4766" i="8"/>
  <c r="G4765" i="8"/>
  <c r="G4764" i="8"/>
  <c r="G4763" i="8"/>
  <c r="G4762" i="8"/>
  <c r="G4761" i="8"/>
  <c r="G4760" i="8"/>
  <c r="G4759" i="8"/>
  <c r="G4758" i="8"/>
  <c r="G4757" i="8"/>
  <c r="G4756" i="8"/>
  <c r="G4755" i="8"/>
  <c r="G4754" i="8"/>
  <c r="G4753" i="8"/>
  <c r="G4752" i="8"/>
  <c r="G4751" i="8"/>
  <c r="G4750" i="8"/>
  <c r="G4749" i="8"/>
  <c r="G4748" i="8"/>
  <c r="G4747" i="8"/>
  <c r="G4746" i="8"/>
  <c r="G4745" i="8"/>
  <c r="G4744" i="8"/>
  <c r="G4743" i="8"/>
  <c r="G4742" i="8"/>
  <c r="G4741" i="8"/>
  <c r="G4740" i="8"/>
  <c r="G4739" i="8"/>
  <c r="G4738" i="8"/>
  <c r="G4737" i="8"/>
  <c r="G4736" i="8"/>
  <c r="G4735" i="8"/>
  <c r="G4734" i="8"/>
  <c r="G4733" i="8"/>
  <c r="G4732" i="8"/>
  <c r="G4731" i="8"/>
  <c r="G4730" i="8"/>
  <c r="G4729" i="8"/>
  <c r="G4728" i="8"/>
  <c r="G4727" i="8"/>
  <c r="G4726" i="8"/>
  <c r="G4725" i="8"/>
  <c r="G4724" i="8"/>
  <c r="G4723" i="8"/>
  <c r="G4722" i="8"/>
  <c r="G4721" i="8"/>
  <c r="G4720" i="8"/>
  <c r="G4719" i="8"/>
  <c r="G4718" i="8"/>
  <c r="G4717" i="8"/>
  <c r="G4716" i="8"/>
  <c r="G4715" i="8"/>
  <c r="G4714" i="8"/>
  <c r="G4713" i="8"/>
  <c r="G4712" i="8"/>
  <c r="G4711" i="8"/>
  <c r="G4710" i="8"/>
  <c r="G4709" i="8"/>
  <c r="G4708" i="8"/>
  <c r="G4707" i="8"/>
  <c r="G4706" i="8"/>
  <c r="G4705" i="8"/>
  <c r="G4704" i="8"/>
  <c r="G4703" i="8"/>
  <c r="G4702" i="8"/>
  <c r="G4701" i="8"/>
  <c r="G4700" i="8"/>
  <c r="G4699" i="8"/>
  <c r="G4698" i="8"/>
  <c r="G4697" i="8"/>
  <c r="G4696" i="8"/>
  <c r="G4695" i="8"/>
  <c r="G4694" i="8"/>
  <c r="G4693" i="8"/>
  <c r="G4692" i="8"/>
  <c r="G4691" i="8"/>
  <c r="G4690" i="8"/>
  <c r="G4689" i="8"/>
  <c r="G4688" i="8"/>
  <c r="G4687" i="8"/>
  <c r="G4686" i="8"/>
  <c r="G4685" i="8"/>
  <c r="G4684" i="8"/>
  <c r="G4683" i="8"/>
  <c r="G4682" i="8"/>
  <c r="G4681" i="8"/>
  <c r="G4680" i="8"/>
  <c r="G4679" i="8"/>
  <c r="G4678" i="8"/>
  <c r="G4677" i="8"/>
  <c r="G4676" i="8"/>
  <c r="G4675" i="8"/>
  <c r="G4674" i="8"/>
  <c r="G4673" i="8"/>
  <c r="G4672" i="8"/>
  <c r="G4671" i="8"/>
  <c r="G4670" i="8"/>
  <c r="G4669" i="8"/>
  <c r="G4668" i="8"/>
  <c r="G4667" i="8"/>
  <c r="G4666" i="8"/>
  <c r="G4665" i="8"/>
  <c r="G4664" i="8"/>
  <c r="G4663" i="8"/>
  <c r="G4662" i="8"/>
  <c r="G4661" i="8"/>
  <c r="G4660" i="8"/>
  <c r="G4659" i="8"/>
  <c r="G4658" i="8"/>
  <c r="G4657" i="8"/>
  <c r="G4656" i="8"/>
  <c r="G4655" i="8"/>
  <c r="G4654" i="8"/>
  <c r="G4653" i="8"/>
  <c r="G4652" i="8"/>
  <c r="G4651" i="8"/>
  <c r="G4650" i="8"/>
  <c r="G4649" i="8"/>
  <c r="G4648" i="8"/>
  <c r="G4647" i="8"/>
  <c r="G4646" i="8"/>
  <c r="G4645" i="8"/>
  <c r="G4644" i="8"/>
  <c r="G4643" i="8"/>
  <c r="G4642" i="8"/>
  <c r="G4641" i="8"/>
  <c r="G4640" i="8"/>
  <c r="G4639" i="8"/>
  <c r="G4638" i="8"/>
  <c r="G4637" i="8"/>
  <c r="G4636" i="8"/>
  <c r="G4635" i="8"/>
  <c r="G4634" i="8"/>
  <c r="G4633" i="8"/>
  <c r="G4632" i="8"/>
  <c r="G4631" i="8"/>
  <c r="G4630" i="8"/>
  <c r="G4629" i="8"/>
  <c r="G4628" i="8"/>
  <c r="G4627" i="8"/>
  <c r="G4626" i="8"/>
  <c r="G4625" i="8"/>
  <c r="G4624" i="8"/>
  <c r="G4623" i="8"/>
  <c r="G4622" i="8"/>
  <c r="G4621" i="8"/>
  <c r="G4620" i="8"/>
  <c r="G4619" i="8"/>
  <c r="G4618" i="8"/>
  <c r="G4617" i="8"/>
  <c r="G4616" i="8"/>
  <c r="G4615" i="8"/>
  <c r="G4614" i="8"/>
  <c r="G4613" i="8"/>
  <c r="G4612" i="8"/>
  <c r="G4611" i="8"/>
  <c r="G4610" i="8"/>
  <c r="G4609" i="8"/>
  <c r="G4608" i="8"/>
  <c r="G4607" i="8"/>
  <c r="G4606" i="8"/>
  <c r="G4605" i="8"/>
  <c r="G4604" i="8"/>
  <c r="G4603" i="8"/>
  <c r="G4602" i="8"/>
  <c r="G4601" i="8"/>
  <c r="G4600" i="8"/>
  <c r="G4599" i="8"/>
  <c r="G4598" i="8"/>
  <c r="G4597" i="8"/>
  <c r="G4596" i="8"/>
  <c r="G4595" i="8"/>
  <c r="G4594" i="8"/>
  <c r="G4593" i="8"/>
  <c r="G4592" i="8"/>
  <c r="G4591" i="8"/>
  <c r="G4590" i="8"/>
  <c r="G4589" i="8"/>
  <c r="G4588" i="8"/>
  <c r="G4587" i="8"/>
  <c r="G4586" i="8"/>
  <c r="G4585" i="8"/>
  <c r="G4584" i="8"/>
  <c r="G4583" i="8"/>
  <c r="G4582" i="8"/>
  <c r="G4581" i="8"/>
  <c r="G4580" i="8"/>
  <c r="G4579" i="8"/>
  <c r="G4578" i="8"/>
  <c r="G4577" i="8"/>
  <c r="G4576" i="8"/>
  <c r="G4575" i="8"/>
  <c r="G4574" i="8"/>
  <c r="G4573" i="8"/>
  <c r="G4572" i="8"/>
  <c r="G4571" i="8"/>
  <c r="G4570" i="8"/>
  <c r="G4569" i="8"/>
  <c r="G4568" i="8"/>
  <c r="G4567" i="8"/>
  <c r="G4566" i="8"/>
  <c r="G4565" i="8"/>
  <c r="G4564" i="8"/>
  <c r="G4563" i="8"/>
  <c r="G4562" i="8"/>
  <c r="G4561" i="8"/>
  <c r="G4560" i="8"/>
  <c r="G4559" i="8"/>
  <c r="G4558" i="8"/>
  <c r="G4557" i="8"/>
  <c r="G4556" i="8"/>
  <c r="G4555" i="8"/>
  <c r="G4554" i="8"/>
  <c r="G4553" i="8"/>
  <c r="G4552" i="8"/>
  <c r="G4551" i="8"/>
  <c r="G4550" i="8"/>
  <c r="G4549" i="8"/>
  <c r="G4548" i="8"/>
  <c r="G4547" i="8"/>
  <c r="G4546" i="8"/>
  <c r="G4545" i="8"/>
  <c r="G4544" i="8"/>
  <c r="G4543" i="8"/>
  <c r="G4542" i="8"/>
  <c r="G4541" i="8"/>
  <c r="G4540" i="8"/>
  <c r="G4539" i="8"/>
  <c r="G4538" i="8"/>
  <c r="G4537" i="8"/>
  <c r="G4536" i="8"/>
  <c r="G4535" i="8"/>
  <c r="G4534" i="8"/>
  <c r="G4533" i="8"/>
  <c r="G4532" i="8"/>
  <c r="G4531" i="8"/>
  <c r="G4530" i="8"/>
  <c r="G4529" i="8"/>
  <c r="G4528" i="8"/>
  <c r="G4527" i="8"/>
  <c r="G4526" i="8"/>
  <c r="G4525" i="8"/>
  <c r="G4524" i="8"/>
  <c r="G4523" i="8"/>
  <c r="G4522" i="8"/>
  <c r="G4521" i="8"/>
  <c r="G4520" i="8"/>
  <c r="G4519" i="8"/>
  <c r="G4518" i="8"/>
  <c r="G4517" i="8"/>
  <c r="G4516" i="8"/>
  <c r="G4515" i="8"/>
  <c r="G4514" i="8"/>
  <c r="G4513" i="8"/>
  <c r="G4512" i="8"/>
  <c r="G4511" i="8"/>
  <c r="G4510" i="8"/>
  <c r="G4509" i="8"/>
  <c r="G4508" i="8"/>
  <c r="G4507" i="8"/>
  <c r="G4506" i="8"/>
  <c r="G4505" i="8"/>
  <c r="G4504" i="8"/>
  <c r="G4503" i="8"/>
  <c r="G4502" i="8"/>
  <c r="G4501" i="8"/>
  <c r="G4500" i="8"/>
  <c r="G4499" i="8"/>
  <c r="G4498" i="8"/>
  <c r="G4497" i="8"/>
  <c r="G4496" i="8"/>
  <c r="G4495" i="8"/>
  <c r="G4494" i="8"/>
  <c r="G4493" i="8"/>
  <c r="G4492" i="8"/>
  <c r="G4491" i="8"/>
  <c r="G4490" i="8"/>
  <c r="G4489" i="8"/>
  <c r="G4488" i="8"/>
  <c r="G4487" i="8"/>
  <c r="G4486" i="8"/>
  <c r="G4485" i="8"/>
  <c r="G4484" i="8"/>
  <c r="G4483" i="8"/>
  <c r="G4482" i="8"/>
  <c r="G4481" i="8"/>
  <c r="G4480" i="8"/>
  <c r="G4479" i="8"/>
  <c r="G4478" i="8"/>
  <c r="G4477" i="8"/>
  <c r="G4476" i="8"/>
  <c r="G4475" i="8"/>
  <c r="G4474" i="8"/>
  <c r="G4473" i="8"/>
  <c r="G4472" i="8"/>
  <c r="G4471" i="8"/>
  <c r="G4470" i="8"/>
  <c r="G4469" i="8"/>
  <c r="G4468" i="8"/>
  <c r="G4467" i="8"/>
  <c r="G4466" i="8"/>
  <c r="G4465" i="8"/>
  <c r="G4464" i="8"/>
  <c r="G4463" i="8"/>
  <c r="G4462" i="8"/>
  <c r="G4461" i="8"/>
  <c r="G4460" i="8"/>
  <c r="G4459" i="8"/>
  <c r="G4458" i="8"/>
  <c r="G4457" i="8"/>
  <c r="G4456" i="8"/>
  <c r="G4455" i="8"/>
  <c r="G4454" i="8"/>
  <c r="G4453" i="8"/>
  <c r="G4452" i="8"/>
  <c r="G4451" i="8"/>
  <c r="G4450" i="8"/>
  <c r="G4449" i="8"/>
  <c r="G4448" i="8"/>
  <c r="G4447" i="8"/>
  <c r="G4446" i="8"/>
  <c r="G4445" i="8"/>
  <c r="G4444" i="8"/>
  <c r="G4443" i="8"/>
  <c r="G4442" i="8"/>
  <c r="G4441" i="8"/>
  <c r="G4440" i="8"/>
  <c r="G4439" i="8"/>
  <c r="G4438" i="8"/>
  <c r="G4437" i="8"/>
  <c r="G4436" i="8"/>
  <c r="G4435" i="8"/>
  <c r="G4434" i="8"/>
  <c r="G4433" i="8"/>
  <c r="G4432" i="8"/>
  <c r="G4431" i="8"/>
  <c r="G4430" i="8"/>
  <c r="G4429" i="8"/>
  <c r="G4428" i="8"/>
  <c r="G4427" i="8"/>
  <c r="G4426" i="8"/>
  <c r="G4425" i="8"/>
  <c r="G4424" i="8"/>
  <c r="G4423" i="8"/>
  <c r="G4422" i="8"/>
  <c r="G4421" i="8"/>
  <c r="G4420" i="8"/>
  <c r="G4419" i="8"/>
  <c r="G4418" i="8"/>
  <c r="G4417" i="8"/>
  <c r="G4416" i="8"/>
  <c r="G4415" i="8"/>
  <c r="G4414" i="8"/>
  <c r="G4413" i="8"/>
  <c r="G4412" i="8"/>
  <c r="G4411" i="8"/>
  <c r="G4410" i="8"/>
  <c r="G4409" i="8"/>
  <c r="G4408" i="8"/>
  <c r="G4407" i="8"/>
  <c r="G4406" i="8"/>
  <c r="G4405" i="8"/>
  <c r="G4404" i="8"/>
  <c r="G4403" i="8"/>
  <c r="G4402" i="8"/>
  <c r="G4401" i="8"/>
  <c r="G4400" i="8"/>
  <c r="G4399" i="8"/>
  <c r="G4398" i="8"/>
  <c r="G4397" i="8"/>
  <c r="G4396" i="8"/>
  <c r="G4395" i="8"/>
  <c r="G4394" i="8"/>
  <c r="G4393" i="8"/>
  <c r="G4392" i="8"/>
  <c r="G4391" i="8"/>
  <c r="G4390" i="8"/>
  <c r="G4389" i="8"/>
  <c r="G4388" i="8"/>
  <c r="G4387" i="8"/>
  <c r="G4386" i="8"/>
  <c r="G4385" i="8"/>
  <c r="G4384" i="8"/>
  <c r="G4383" i="8"/>
  <c r="G4382" i="8"/>
  <c r="G4381" i="8"/>
  <c r="G4380" i="8"/>
  <c r="G4379" i="8"/>
  <c r="G4378" i="8"/>
  <c r="G4377" i="8"/>
  <c r="G4376" i="8"/>
  <c r="G4375" i="8"/>
  <c r="G4374" i="8"/>
  <c r="G4373" i="8"/>
  <c r="G4372" i="8"/>
  <c r="G4371" i="8"/>
  <c r="G4370" i="8"/>
  <c r="G4369" i="8"/>
  <c r="G4368" i="8"/>
  <c r="G4367" i="8"/>
  <c r="G4366" i="8"/>
  <c r="G4365" i="8"/>
  <c r="G4364" i="8"/>
  <c r="G4363" i="8"/>
  <c r="G4362" i="8"/>
  <c r="G4361" i="8"/>
  <c r="G4360" i="8"/>
  <c r="G4359" i="8"/>
  <c r="G4358" i="8"/>
  <c r="G4357" i="8"/>
  <c r="G4356" i="8"/>
  <c r="G4355" i="8"/>
  <c r="G4354" i="8"/>
  <c r="G4353" i="8"/>
  <c r="G4352" i="8"/>
  <c r="G4351" i="8"/>
  <c r="G4350" i="8"/>
  <c r="G4349" i="8"/>
  <c r="G4348" i="8"/>
  <c r="G4347" i="8"/>
  <c r="G4346" i="8"/>
  <c r="G4345" i="8"/>
  <c r="G4344" i="8"/>
  <c r="G4343" i="8"/>
  <c r="G4342" i="8"/>
  <c r="G4341" i="8"/>
  <c r="G4340" i="8"/>
  <c r="G4339" i="8"/>
  <c r="G4338" i="8"/>
  <c r="G4337" i="8"/>
  <c r="G4336" i="8"/>
  <c r="G4335" i="8"/>
  <c r="G4334" i="8"/>
  <c r="G4333" i="8"/>
  <c r="G4332" i="8"/>
  <c r="G4331" i="8"/>
  <c r="G4330" i="8"/>
  <c r="G4329" i="8"/>
  <c r="G4328" i="8"/>
  <c r="G4327" i="8"/>
  <c r="G4326" i="8"/>
  <c r="G4325" i="8"/>
  <c r="G4324" i="8"/>
  <c r="G4323" i="8"/>
  <c r="G4322" i="8"/>
  <c r="G4321" i="8"/>
  <c r="G4320" i="8"/>
  <c r="G4319" i="8"/>
  <c r="G4318" i="8"/>
  <c r="G4317" i="8"/>
  <c r="G4316" i="8"/>
  <c r="G4315" i="8"/>
  <c r="G4314" i="8"/>
  <c r="G4313" i="8"/>
  <c r="G4312" i="8"/>
  <c r="G4311" i="8"/>
  <c r="G4310" i="8"/>
  <c r="G4309" i="8"/>
  <c r="G4308" i="8"/>
  <c r="G4307" i="8"/>
  <c r="G4306" i="8"/>
  <c r="G4305" i="8"/>
  <c r="G4304" i="8"/>
  <c r="G4303" i="8"/>
  <c r="G4302" i="8"/>
  <c r="G4301" i="8"/>
  <c r="G4300" i="8"/>
  <c r="G4299" i="8"/>
  <c r="G4298" i="8"/>
  <c r="G4297" i="8"/>
  <c r="G4296" i="8"/>
  <c r="G4295" i="8"/>
  <c r="G4294" i="8"/>
  <c r="G4293" i="8"/>
  <c r="G4292" i="8"/>
  <c r="G4291" i="8"/>
  <c r="G4290" i="8"/>
  <c r="G4289" i="8"/>
  <c r="G4288" i="8"/>
  <c r="G4287" i="8"/>
  <c r="G4286" i="8"/>
  <c r="G4285" i="8"/>
  <c r="G4284" i="8"/>
  <c r="G4283" i="8"/>
  <c r="G4282" i="8"/>
  <c r="G4281" i="8"/>
  <c r="G4280" i="8"/>
  <c r="G4279" i="8"/>
  <c r="G4278" i="8"/>
  <c r="G4277" i="8"/>
  <c r="G4276" i="8"/>
  <c r="G4275" i="8"/>
  <c r="G4274" i="8"/>
  <c r="G4273" i="8"/>
  <c r="G4272" i="8"/>
  <c r="G4271" i="8"/>
  <c r="G4270" i="8"/>
  <c r="G4269" i="8"/>
  <c r="G4268" i="8"/>
  <c r="G4267" i="8"/>
  <c r="G4266" i="8"/>
  <c r="G4265" i="8"/>
  <c r="G4264" i="8"/>
  <c r="G4263" i="8"/>
  <c r="G4262" i="8"/>
  <c r="G4261" i="8"/>
  <c r="G4260" i="8"/>
  <c r="G4259" i="8"/>
  <c r="G4258" i="8"/>
  <c r="G4257" i="8"/>
  <c r="G4256" i="8"/>
  <c r="G4255" i="8"/>
  <c r="G4254" i="8"/>
  <c r="G4253" i="8"/>
  <c r="G4252" i="8"/>
  <c r="G4251" i="8"/>
  <c r="G4250" i="8"/>
  <c r="G4249" i="8"/>
  <c r="G4248" i="8"/>
  <c r="G4247" i="8"/>
  <c r="G4246" i="8"/>
  <c r="G4245" i="8"/>
  <c r="G4244" i="8"/>
  <c r="G4243" i="8"/>
  <c r="G4242" i="8"/>
  <c r="G4241" i="8"/>
  <c r="G4240" i="8"/>
  <c r="G4239" i="8"/>
  <c r="G4238" i="8"/>
  <c r="G4237" i="8"/>
  <c r="G4236" i="8"/>
  <c r="G4235" i="8"/>
  <c r="G4234" i="8"/>
  <c r="G4233" i="8"/>
  <c r="G4232" i="8"/>
  <c r="G4231" i="8"/>
  <c r="G4230" i="8"/>
  <c r="G4229" i="8"/>
  <c r="G4228" i="8"/>
  <c r="G4227" i="8"/>
  <c r="G4226" i="8"/>
  <c r="G4225" i="8"/>
  <c r="G4224" i="8"/>
  <c r="G4223" i="8"/>
  <c r="G4222" i="8"/>
  <c r="G4221" i="8"/>
  <c r="G4220" i="8"/>
  <c r="G4219" i="8"/>
  <c r="G4218" i="8"/>
  <c r="G4217" i="8"/>
  <c r="G4216" i="8"/>
  <c r="G4215" i="8"/>
  <c r="G4214" i="8"/>
  <c r="G4213" i="8"/>
  <c r="G4212" i="8"/>
  <c r="G4211" i="8"/>
  <c r="G4210" i="8"/>
  <c r="G4209" i="8"/>
  <c r="G4208" i="8"/>
  <c r="G4207" i="8"/>
  <c r="G4206" i="8"/>
  <c r="G4205" i="8"/>
  <c r="G4204" i="8"/>
  <c r="G4203" i="8"/>
  <c r="G4202" i="8"/>
  <c r="G4201" i="8"/>
  <c r="G4200" i="8"/>
  <c r="G4199" i="8"/>
  <c r="G4198" i="8"/>
  <c r="G4197" i="8"/>
  <c r="G4196" i="8"/>
  <c r="G4195" i="8"/>
  <c r="G4194" i="8"/>
  <c r="G4193" i="8"/>
  <c r="G4192" i="8"/>
  <c r="G4191" i="8"/>
  <c r="G4190" i="8"/>
  <c r="G4189" i="8"/>
  <c r="G4188" i="8"/>
  <c r="G4187" i="8"/>
  <c r="G4186" i="8"/>
  <c r="G4185" i="8"/>
  <c r="G4184" i="8"/>
  <c r="G4183" i="8"/>
  <c r="G4182" i="8"/>
  <c r="G4181" i="8"/>
  <c r="G4180" i="8"/>
  <c r="G4179" i="8"/>
  <c r="G4178" i="8"/>
  <c r="G4177" i="8"/>
  <c r="G4176" i="8"/>
  <c r="G4175" i="8"/>
  <c r="G4174" i="8"/>
  <c r="G4173" i="8"/>
  <c r="G4172" i="8"/>
  <c r="G4171" i="8"/>
  <c r="G4170" i="8"/>
  <c r="G4169" i="8"/>
  <c r="G4168" i="8"/>
  <c r="G4167" i="8"/>
  <c r="G4166" i="8"/>
  <c r="G4165" i="8"/>
  <c r="G4164" i="8"/>
  <c r="G4163" i="8"/>
  <c r="G4162" i="8"/>
  <c r="G4161" i="8"/>
  <c r="G4160" i="8"/>
  <c r="G4159" i="8"/>
  <c r="G4158" i="8"/>
  <c r="G4157" i="8"/>
  <c r="G4156" i="8"/>
  <c r="G4155" i="8"/>
  <c r="G4154" i="8"/>
  <c r="G4153" i="8"/>
  <c r="G4152" i="8"/>
  <c r="G4151" i="8"/>
  <c r="G4150" i="8"/>
  <c r="G4149" i="8"/>
  <c r="G4148" i="8"/>
  <c r="G4147" i="8"/>
  <c r="G4146" i="8"/>
  <c r="G4145" i="8"/>
  <c r="G4144" i="8"/>
  <c r="G4143" i="8"/>
  <c r="G4142" i="8"/>
  <c r="G4141" i="8"/>
  <c r="G4140" i="8"/>
  <c r="G4139" i="8"/>
  <c r="G4138" i="8"/>
  <c r="G4137" i="8"/>
  <c r="G4136" i="8"/>
  <c r="G4135" i="8"/>
  <c r="G4134" i="8"/>
  <c r="G4133" i="8"/>
  <c r="G4132" i="8"/>
  <c r="G4131" i="8"/>
  <c r="G4130" i="8"/>
  <c r="G4129" i="8"/>
  <c r="G4128" i="8"/>
  <c r="G4127" i="8"/>
  <c r="G4126" i="8"/>
  <c r="G4125" i="8"/>
  <c r="G4124" i="8"/>
  <c r="G4123" i="8"/>
  <c r="G4122" i="8"/>
  <c r="G4121" i="8"/>
  <c r="G4120" i="8"/>
  <c r="G4119" i="8"/>
  <c r="G4118" i="8"/>
  <c r="G4117" i="8"/>
  <c r="G4116" i="8"/>
  <c r="G4115" i="8"/>
  <c r="G4114" i="8"/>
  <c r="G4113" i="8"/>
  <c r="G4112" i="8"/>
  <c r="G4111" i="8"/>
  <c r="G4110" i="8"/>
  <c r="G4109" i="8"/>
  <c r="G4108" i="8"/>
  <c r="G4107" i="8"/>
  <c r="G4106" i="8"/>
  <c r="G4105" i="8"/>
  <c r="G4104" i="8"/>
  <c r="G4103" i="8"/>
  <c r="G4102" i="8"/>
  <c r="G4101" i="8"/>
  <c r="G4100" i="8"/>
  <c r="G4099" i="8"/>
  <c r="G4098" i="8"/>
  <c r="G4097" i="8"/>
  <c r="G4096" i="8"/>
  <c r="G4095" i="8"/>
  <c r="G4094" i="8"/>
  <c r="G4093" i="8"/>
  <c r="G4092" i="8"/>
  <c r="G4091" i="8"/>
  <c r="G4090" i="8"/>
  <c r="G4089" i="8"/>
  <c r="G4088" i="8"/>
  <c r="G4087" i="8"/>
  <c r="G4086" i="8"/>
  <c r="G4085" i="8"/>
  <c r="G4084" i="8"/>
  <c r="G4083" i="8"/>
  <c r="G4082" i="8"/>
  <c r="G4081" i="8"/>
  <c r="G4080" i="8"/>
  <c r="G4079" i="8"/>
  <c r="G4078" i="8"/>
  <c r="G4077" i="8"/>
  <c r="G4076" i="8"/>
  <c r="G4075" i="8"/>
  <c r="G4074" i="8"/>
  <c r="G4073" i="8"/>
  <c r="G4072" i="8"/>
  <c r="G4071" i="8"/>
  <c r="G4070" i="8"/>
  <c r="G4069" i="8"/>
  <c r="G4068" i="8"/>
  <c r="G4067" i="8"/>
  <c r="G4066" i="8"/>
  <c r="G4065" i="8"/>
  <c r="G4064" i="8"/>
  <c r="G4063" i="8"/>
  <c r="G4062" i="8"/>
  <c r="G4061" i="8"/>
  <c r="G4060" i="8"/>
  <c r="G4059" i="8"/>
  <c r="G4058" i="8"/>
  <c r="G4057" i="8"/>
  <c r="G4056" i="8"/>
  <c r="G4055" i="8"/>
  <c r="G4054" i="8"/>
  <c r="G4053" i="8"/>
  <c r="G4052" i="8"/>
  <c r="G4051" i="8"/>
  <c r="G4050" i="8"/>
  <c r="G4049" i="8"/>
  <c r="G4048" i="8"/>
  <c r="G4047" i="8"/>
  <c r="G4046" i="8"/>
  <c r="G4045" i="8"/>
  <c r="G4044" i="8"/>
  <c r="G4043" i="8"/>
  <c r="G4042" i="8"/>
  <c r="G4041" i="8"/>
  <c r="G4040" i="8"/>
  <c r="G4039" i="8"/>
  <c r="G4038" i="8"/>
  <c r="G4037" i="8"/>
  <c r="G4036" i="8"/>
  <c r="G4035" i="8"/>
  <c r="G4034" i="8"/>
  <c r="G4033" i="8"/>
  <c r="G4032" i="8"/>
  <c r="G4031" i="8"/>
  <c r="G4030" i="8"/>
  <c r="G4029" i="8"/>
  <c r="G4028" i="8"/>
  <c r="G4027" i="8"/>
  <c r="G4026" i="8"/>
  <c r="G4025" i="8"/>
  <c r="G4024" i="8"/>
  <c r="G4023" i="8"/>
  <c r="G4022" i="8"/>
  <c r="G4021" i="8"/>
  <c r="G4020" i="8"/>
  <c r="G4019" i="8"/>
  <c r="G4018" i="8"/>
  <c r="G4017" i="8"/>
  <c r="G4016" i="8"/>
  <c r="G4015" i="8"/>
  <c r="G4014" i="8"/>
  <c r="G4013" i="8"/>
  <c r="G4012" i="8"/>
  <c r="G4011" i="8"/>
  <c r="G4010" i="8"/>
  <c r="G4009" i="8"/>
  <c r="G4008" i="8"/>
  <c r="G4007" i="8"/>
  <c r="G4006" i="8"/>
  <c r="G4005" i="8"/>
  <c r="G4004" i="8"/>
  <c r="G4003" i="8"/>
  <c r="G4002" i="8"/>
  <c r="G4001" i="8"/>
  <c r="G4000" i="8"/>
  <c r="G3999" i="8"/>
  <c r="G3998" i="8"/>
  <c r="G3997" i="8"/>
  <c r="G3996" i="8"/>
  <c r="G3995" i="8"/>
  <c r="G3994" i="8"/>
  <c r="G3993" i="8"/>
  <c r="G3992" i="8"/>
  <c r="G3991" i="8"/>
  <c r="G3990" i="8"/>
  <c r="G3989" i="8"/>
  <c r="G3988" i="8"/>
  <c r="G3987" i="8"/>
  <c r="G3986" i="8"/>
  <c r="G3985" i="8"/>
  <c r="G3984" i="8"/>
  <c r="G3983" i="8"/>
  <c r="G3982" i="8"/>
  <c r="G3981" i="8"/>
  <c r="G3980" i="8"/>
  <c r="G3979" i="8"/>
  <c r="G3978" i="8"/>
  <c r="G3977" i="8"/>
  <c r="G3976" i="8"/>
  <c r="G3975" i="8"/>
  <c r="G3974" i="8"/>
  <c r="G3973" i="8"/>
  <c r="G3972" i="8"/>
  <c r="G3971" i="8"/>
  <c r="G3970" i="8"/>
  <c r="G3969" i="8"/>
  <c r="G3968" i="8"/>
  <c r="G3967" i="8"/>
  <c r="G3966" i="8"/>
  <c r="G3965" i="8"/>
  <c r="G3964" i="8"/>
  <c r="G3963" i="8"/>
  <c r="G3962" i="8"/>
  <c r="G3961" i="8"/>
  <c r="G3960" i="8"/>
  <c r="G3959" i="8"/>
  <c r="G3958" i="8"/>
  <c r="G3957" i="8"/>
  <c r="G3956" i="8"/>
  <c r="G3955" i="8"/>
  <c r="G3954" i="8"/>
  <c r="G3953" i="8"/>
  <c r="G3952" i="8"/>
  <c r="G3951" i="8"/>
  <c r="G3950" i="8"/>
  <c r="G3949" i="8"/>
  <c r="G3948" i="8"/>
  <c r="G3947" i="8"/>
  <c r="G3946" i="8"/>
  <c r="G3945" i="8"/>
  <c r="G3944" i="8"/>
  <c r="G3943" i="8"/>
  <c r="G3942" i="8"/>
  <c r="G3941" i="8"/>
  <c r="G3940" i="8"/>
  <c r="G3939" i="8"/>
  <c r="G3938" i="8"/>
  <c r="G3937" i="8"/>
  <c r="G3936" i="8"/>
  <c r="G3935" i="8"/>
  <c r="G3934" i="8"/>
  <c r="G3933" i="8"/>
  <c r="G3932" i="8"/>
  <c r="G3931" i="8"/>
  <c r="G3930" i="8"/>
  <c r="G3929" i="8"/>
  <c r="G3928" i="8"/>
  <c r="G3927" i="8"/>
  <c r="G3926" i="8"/>
  <c r="G3925" i="8"/>
  <c r="G3924" i="8"/>
  <c r="G3923" i="8"/>
  <c r="G3922" i="8"/>
  <c r="G3921" i="8"/>
  <c r="G3920" i="8"/>
  <c r="G3919" i="8"/>
  <c r="G3918" i="8"/>
  <c r="G3917" i="8"/>
  <c r="G3916" i="8"/>
  <c r="G3915" i="8"/>
  <c r="G3914" i="8"/>
  <c r="G3913" i="8"/>
  <c r="G3912" i="8"/>
  <c r="G3911" i="8"/>
  <c r="G3910" i="8"/>
  <c r="G3909" i="8"/>
  <c r="G3908" i="8"/>
  <c r="G3907" i="8"/>
  <c r="G3906" i="8"/>
  <c r="G3905" i="8"/>
  <c r="G3904" i="8"/>
  <c r="G3903" i="8"/>
  <c r="G3902" i="8"/>
  <c r="G3901" i="8"/>
  <c r="G3900" i="8"/>
  <c r="G3899" i="8"/>
  <c r="G3898" i="8"/>
  <c r="G3897" i="8"/>
  <c r="G3896" i="8"/>
  <c r="G3895" i="8"/>
  <c r="G3894" i="8"/>
  <c r="G3893" i="8"/>
  <c r="G3892" i="8"/>
  <c r="G3891" i="8"/>
  <c r="G3890" i="8"/>
  <c r="G3889" i="8"/>
  <c r="G3888" i="8"/>
  <c r="G3887" i="8"/>
  <c r="G3886" i="8"/>
  <c r="G3885" i="8"/>
  <c r="G3884" i="8"/>
  <c r="G3883" i="8"/>
  <c r="G3882" i="8"/>
  <c r="G3881" i="8"/>
  <c r="G3880" i="8"/>
  <c r="G3879" i="8"/>
  <c r="G3878" i="8"/>
  <c r="G3877" i="8"/>
  <c r="G3876" i="8"/>
  <c r="G3875" i="8"/>
  <c r="G3874" i="8"/>
  <c r="G3873" i="8"/>
  <c r="G3872" i="8"/>
  <c r="G3871" i="8"/>
  <c r="G3870" i="8"/>
  <c r="G3869" i="8"/>
  <c r="G3868" i="8"/>
  <c r="G3867" i="8"/>
  <c r="G3866" i="8"/>
  <c r="G3865" i="8"/>
  <c r="G3864" i="8"/>
  <c r="G3863" i="8"/>
  <c r="G3862" i="8"/>
  <c r="G3861" i="8"/>
  <c r="G3860" i="8"/>
  <c r="G3859" i="8"/>
  <c r="G3858" i="8"/>
  <c r="G3857" i="8"/>
  <c r="G3856" i="8"/>
  <c r="G3855" i="8"/>
  <c r="G3854" i="8"/>
  <c r="G3853" i="8"/>
  <c r="G3852" i="8"/>
  <c r="G3851" i="8"/>
  <c r="G3850" i="8"/>
  <c r="G3849" i="8"/>
  <c r="G3848" i="8"/>
  <c r="G3847" i="8"/>
  <c r="G3846" i="8"/>
  <c r="G3845" i="8"/>
  <c r="G3844" i="8"/>
  <c r="G3843" i="8"/>
  <c r="G3842" i="8"/>
  <c r="G3841" i="8"/>
  <c r="G3840" i="8"/>
  <c r="G3839" i="8"/>
  <c r="G3838" i="8"/>
  <c r="G3837" i="8"/>
  <c r="G3836" i="8"/>
  <c r="G3835" i="8"/>
  <c r="G3834" i="8"/>
  <c r="G3833" i="8"/>
  <c r="G3832" i="8"/>
  <c r="G3831" i="8"/>
  <c r="G3830" i="8"/>
  <c r="G3829" i="8"/>
  <c r="G3828" i="8"/>
  <c r="G3827" i="8"/>
  <c r="G3826" i="8"/>
  <c r="G3825" i="8"/>
  <c r="G3824" i="8"/>
  <c r="G3823" i="8"/>
  <c r="G3822" i="8"/>
  <c r="G3821" i="8"/>
  <c r="G3820" i="8"/>
  <c r="G3819" i="8"/>
  <c r="G3818" i="8"/>
  <c r="G3817" i="8"/>
  <c r="G3816" i="8"/>
  <c r="G3815" i="8"/>
  <c r="G3814" i="8"/>
  <c r="G3813" i="8"/>
  <c r="G3812" i="8"/>
  <c r="G3811" i="8"/>
  <c r="G3810" i="8"/>
  <c r="G3809" i="8"/>
  <c r="G3808" i="8"/>
  <c r="G3807" i="8"/>
  <c r="G3806" i="8"/>
  <c r="G3805" i="8"/>
  <c r="G3804" i="8"/>
  <c r="G3803" i="8"/>
  <c r="G3802" i="8"/>
  <c r="G3801" i="8"/>
  <c r="G3800" i="8"/>
  <c r="G3799" i="8"/>
  <c r="G3798" i="8"/>
  <c r="G3797" i="8"/>
  <c r="G3796" i="8"/>
  <c r="G3795" i="8"/>
  <c r="G3794" i="8"/>
  <c r="G3793" i="8"/>
  <c r="G3792" i="8"/>
  <c r="G3791" i="8"/>
  <c r="G3790" i="8"/>
  <c r="G3789" i="8"/>
  <c r="G3788" i="8"/>
  <c r="G3787" i="8"/>
  <c r="G3786" i="8"/>
  <c r="G3785" i="8"/>
  <c r="G3784" i="8"/>
  <c r="G3783" i="8"/>
  <c r="G3782" i="8"/>
  <c r="G3781" i="8"/>
  <c r="G3780" i="8"/>
  <c r="G3779" i="8"/>
  <c r="G3778" i="8"/>
  <c r="G3777" i="8"/>
  <c r="G3776" i="8"/>
  <c r="G3775" i="8"/>
  <c r="G3774" i="8"/>
  <c r="G3773" i="8"/>
  <c r="G3772" i="8"/>
  <c r="G3771" i="8"/>
  <c r="G3770" i="8"/>
  <c r="G3769" i="8"/>
  <c r="G3768" i="8"/>
  <c r="G3767" i="8"/>
  <c r="G3766" i="8"/>
  <c r="G3765" i="8"/>
  <c r="G3764" i="8"/>
  <c r="G3763" i="8"/>
  <c r="G3762" i="8"/>
  <c r="G3761" i="8"/>
  <c r="G3760" i="8"/>
  <c r="G3759" i="8"/>
  <c r="G3758" i="8"/>
  <c r="G3757" i="8"/>
  <c r="G3756" i="8"/>
  <c r="G3755" i="8"/>
  <c r="G3754" i="8"/>
  <c r="G3753" i="8"/>
  <c r="G3752" i="8"/>
  <c r="G3751" i="8"/>
  <c r="G3750" i="8"/>
  <c r="G3749" i="8"/>
  <c r="G3748" i="8"/>
  <c r="G3747" i="8"/>
  <c r="G3746" i="8"/>
  <c r="G3745" i="8"/>
  <c r="G3744" i="8"/>
  <c r="G3743" i="8"/>
  <c r="G3742" i="8"/>
  <c r="G3741" i="8"/>
  <c r="G3740" i="8"/>
  <c r="G3739" i="8"/>
  <c r="G3738" i="8"/>
  <c r="G3737" i="8"/>
  <c r="G3736" i="8"/>
  <c r="G3735" i="8"/>
  <c r="G3734" i="8"/>
  <c r="G3733" i="8"/>
  <c r="G3732" i="8"/>
  <c r="G3731" i="8"/>
  <c r="G3730" i="8"/>
  <c r="G3729" i="8"/>
  <c r="G3728" i="8"/>
  <c r="G3727" i="8"/>
  <c r="G3726" i="8"/>
  <c r="G3725" i="8"/>
  <c r="G3724" i="8"/>
  <c r="G3723" i="8"/>
  <c r="G3722" i="8"/>
  <c r="G3721" i="8"/>
  <c r="G3720" i="8"/>
  <c r="G3719" i="8"/>
  <c r="G3718" i="8"/>
  <c r="G3717" i="8"/>
  <c r="G3716" i="8"/>
  <c r="G3715" i="8"/>
  <c r="G3714" i="8"/>
  <c r="G3713" i="8"/>
  <c r="G3712" i="8"/>
  <c r="G3711" i="8"/>
  <c r="G3710" i="8"/>
  <c r="G3709" i="8"/>
  <c r="G3708" i="8"/>
  <c r="G3707" i="8"/>
  <c r="G3706" i="8"/>
  <c r="G3705" i="8"/>
  <c r="G3704" i="8"/>
  <c r="G3703" i="8"/>
  <c r="G3702" i="8"/>
  <c r="G3701" i="8"/>
  <c r="G3700" i="8"/>
  <c r="G3699" i="8"/>
  <c r="G3698" i="8"/>
  <c r="G3697" i="8"/>
  <c r="G3696" i="8"/>
  <c r="G3695" i="8"/>
  <c r="G3694" i="8"/>
  <c r="G3693" i="8"/>
  <c r="G3692" i="8"/>
  <c r="G3691" i="8"/>
  <c r="G3690" i="8"/>
  <c r="G3689" i="8"/>
  <c r="G3688" i="8"/>
  <c r="G3687" i="8"/>
  <c r="G3686" i="8"/>
  <c r="G3685" i="8"/>
  <c r="G3684" i="8"/>
  <c r="G3683" i="8"/>
  <c r="G3682" i="8"/>
  <c r="G3681" i="8"/>
  <c r="G3680" i="8"/>
  <c r="G3679" i="8"/>
  <c r="G3678" i="8"/>
  <c r="G3677" i="8"/>
  <c r="G3676" i="8"/>
  <c r="G3675" i="8"/>
  <c r="G3674" i="8"/>
  <c r="G3673" i="8"/>
  <c r="G3672" i="8"/>
  <c r="G3671" i="8"/>
  <c r="G3670" i="8"/>
  <c r="G3669" i="8"/>
  <c r="G3668" i="8"/>
  <c r="G3667" i="8"/>
  <c r="G3666" i="8"/>
  <c r="G3665" i="8"/>
  <c r="G3664" i="8"/>
  <c r="G3663" i="8"/>
  <c r="G3662" i="8"/>
  <c r="G3661" i="8"/>
  <c r="G3660" i="8"/>
  <c r="G3659" i="8"/>
  <c r="G3658" i="8"/>
  <c r="G3657" i="8"/>
  <c r="G3656" i="8"/>
  <c r="G3655" i="8"/>
  <c r="G3654" i="8"/>
  <c r="G3653" i="8"/>
  <c r="G3652" i="8"/>
  <c r="G3651" i="8"/>
  <c r="G3650" i="8"/>
  <c r="G3649" i="8"/>
  <c r="G3648" i="8"/>
  <c r="G3647" i="8"/>
  <c r="G3646" i="8"/>
  <c r="G3645" i="8"/>
  <c r="G3644" i="8"/>
  <c r="G3643" i="8"/>
  <c r="G3642" i="8"/>
  <c r="G3641" i="8"/>
  <c r="G3640" i="8"/>
  <c r="G3639" i="8"/>
  <c r="G3638" i="8"/>
  <c r="G3637" i="8"/>
  <c r="G3636" i="8"/>
  <c r="G3635" i="8"/>
  <c r="G3634" i="8"/>
  <c r="G3633" i="8"/>
  <c r="G3632" i="8"/>
  <c r="G3631" i="8"/>
  <c r="G3630" i="8"/>
  <c r="G3629" i="8"/>
  <c r="G3628" i="8"/>
  <c r="G3627" i="8"/>
  <c r="G3626" i="8"/>
  <c r="G3625" i="8"/>
  <c r="G3624" i="8"/>
  <c r="G3623" i="8"/>
  <c r="G3622" i="8"/>
  <c r="G3621" i="8"/>
  <c r="G3620" i="8"/>
  <c r="G3619" i="8"/>
  <c r="G3618" i="8"/>
  <c r="G3617" i="8"/>
  <c r="G3616" i="8"/>
  <c r="G3615" i="8"/>
  <c r="G3614" i="8"/>
  <c r="G3613" i="8"/>
  <c r="G3612" i="8"/>
  <c r="G3611" i="8"/>
  <c r="G3610" i="8"/>
  <c r="G3609" i="8"/>
  <c r="G3608" i="8"/>
  <c r="G3607" i="8"/>
  <c r="G3606" i="8"/>
  <c r="G3605" i="8"/>
  <c r="G3604" i="8"/>
  <c r="G3603" i="8"/>
  <c r="G3602" i="8"/>
  <c r="G3601" i="8"/>
  <c r="G3600" i="8"/>
  <c r="G3599" i="8"/>
  <c r="G3598" i="8"/>
  <c r="G3597" i="8"/>
  <c r="G3596" i="8"/>
  <c r="G3595" i="8"/>
  <c r="G3594" i="8"/>
  <c r="G3593" i="8"/>
  <c r="G3592" i="8"/>
  <c r="G3591" i="8"/>
  <c r="G3590" i="8"/>
  <c r="G3589" i="8"/>
  <c r="G3588" i="8"/>
  <c r="G3587" i="8"/>
  <c r="G3586" i="8"/>
  <c r="G3585" i="8"/>
  <c r="G3584" i="8"/>
  <c r="G3583" i="8"/>
  <c r="G3582" i="8"/>
  <c r="G3581" i="8"/>
  <c r="G3580" i="8"/>
  <c r="G3579" i="8"/>
  <c r="G3578" i="8"/>
  <c r="G3577" i="8"/>
  <c r="G3576" i="8"/>
  <c r="G3575" i="8"/>
  <c r="G3574" i="8"/>
  <c r="G3573" i="8"/>
  <c r="G3572" i="8"/>
  <c r="G3571" i="8"/>
  <c r="G3570" i="8"/>
  <c r="G3569" i="8"/>
  <c r="G3568" i="8"/>
  <c r="G3567" i="8"/>
  <c r="G3566" i="8"/>
  <c r="G3565" i="8"/>
  <c r="G3564" i="8"/>
  <c r="G3563" i="8"/>
  <c r="G3562" i="8"/>
  <c r="G3561" i="8"/>
  <c r="G3560" i="8"/>
  <c r="G3559" i="8"/>
  <c r="G3558" i="8"/>
  <c r="G3557" i="8"/>
  <c r="G3556" i="8"/>
  <c r="G3555" i="8"/>
  <c r="G3554" i="8"/>
  <c r="G3553" i="8"/>
  <c r="G3552" i="8"/>
  <c r="G3551" i="8"/>
  <c r="G3550" i="8"/>
  <c r="G3549" i="8"/>
  <c r="G3548" i="8"/>
  <c r="G3547" i="8"/>
  <c r="G3546" i="8"/>
  <c r="G3545" i="8"/>
  <c r="G3544" i="8"/>
  <c r="G3543" i="8"/>
  <c r="G3542" i="8"/>
  <c r="G3541" i="8"/>
  <c r="G3540" i="8"/>
  <c r="G3539" i="8"/>
  <c r="G3538" i="8"/>
  <c r="G3537" i="8"/>
  <c r="G3536" i="8"/>
  <c r="G3535" i="8"/>
  <c r="G3534" i="8"/>
  <c r="G3533" i="8"/>
  <c r="G3532" i="8"/>
  <c r="G3531" i="8"/>
  <c r="G3530" i="8"/>
  <c r="G3529" i="8"/>
  <c r="G3528" i="8"/>
  <c r="G3527" i="8"/>
  <c r="G3526" i="8"/>
  <c r="G3525" i="8"/>
  <c r="G3524" i="8"/>
  <c r="G3523" i="8"/>
  <c r="G3522" i="8"/>
  <c r="G3521" i="8"/>
  <c r="G3520" i="8"/>
  <c r="G3519" i="8"/>
  <c r="G3518" i="8"/>
  <c r="G3517" i="8"/>
  <c r="G3516" i="8"/>
  <c r="G3515" i="8"/>
  <c r="G3514" i="8"/>
  <c r="G3513" i="8"/>
  <c r="G3512" i="8"/>
  <c r="G3511" i="8"/>
  <c r="G3510" i="8"/>
  <c r="G3509" i="8"/>
  <c r="G3508" i="8"/>
  <c r="G3507" i="8"/>
  <c r="G3506" i="8"/>
  <c r="G3505" i="8"/>
  <c r="G3504" i="8"/>
  <c r="G3503" i="8"/>
  <c r="G3502" i="8"/>
  <c r="G3501" i="8"/>
  <c r="G3500" i="8"/>
  <c r="G3499" i="8"/>
  <c r="G3498" i="8"/>
  <c r="G3497" i="8"/>
  <c r="G3496" i="8"/>
  <c r="G3495" i="8"/>
  <c r="G3494" i="8"/>
  <c r="G3493" i="8"/>
  <c r="G3492" i="8"/>
  <c r="G3491" i="8"/>
  <c r="G3490" i="8"/>
  <c r="G3489" i="8"/>
  <c r="G3488" i="8"/>
  <c r="G3487" i="8"/>
  <c r="G3486" i="8"/>
  <c r="G3485" i="8"/>
  <c r="G3484" i="8"/>
  <c r="G3483" i="8"/>
  <c r="G3482" i="8"/>
  <c r="G3481" i="8"/>
  <c r="G3480" i="8"/>
  <c r="G3479" i="8"/>
  <c r="G3478" i="8"/>
  <c r="G3477" i="8"/>
  <c r="G3476" i="8"/>
  <c r="G3475" i="8"/>
  <c r="G3474" i="8"/>
  <c r="G3473" i="8"/>
  <c r="G3472" i="8"/>
  <c r="G3471" i="8"/>
  <c r="G3470" i="8"/>
  <c r="G3469" i="8"/>
  <c r="G3468" i="8"/>
  <c r="G3467" i="8"/>
  <c r="G3466" i="8"/>
  <c r="G3465" i="8"/>
  <c r="G3464" i="8"/>
  <c r="G3463" i="8"/>
  <c r="G3462" i="8"/>
  <c r="G3461" i="8"/>
  <c r="G3460" i="8"/>
  <c r="G3459" i="8"/>
  <c r="G3458" i="8"/>
  <c r="G3457" i="8"/>
  <c r="G3456" i="8"/>
  <c r="G3455" i="8"/>
  <c r="G3454" i="8"/>
  <c r="G3453" i="8"/>
  <c r="G3452" i="8"/>
  <c r="G3451" i="8"/>
  <c r="G3450" i="8"/>
  <c r="G3449" i="8"/>
  <c r="G3448" i="8"/>
  <c r="G3447" i="8"/>
  <c r="G3446" i="8"/>
  <c r="G3445" i="8"/>
  <c r="G3444" i="8"/>
  <c r="G3443" i="8"/>
  <c r="G3442" i="8"/>
  <c r="G3441" i="8"/>
  <c r="G3440" i="8"/>
  <c r="G3439" i="8"/>
  <c r="G3438" i="8"/>
  <c r="G3437" i="8"/>
  <c r="G3436" i="8"/>
  <c r="G3435" i="8"/>
  <c r="G3434" i="8"/>
  <c r="G3433" i="8"/>
  <c r="G3432" i="8"/>
  <c r="G3431" i="8"/>
  <c r="G3430" i="8"/>
  <c r="G3429" i="8"/>
  <c r="G3428" i="8"/>
  <c r="G3427" i="8"/>
  <c r="G3426" i="8"/>
  <c r="G3425" i="8"/>
  <c r="G3424" i="8"/>
  <c r="G3423" i="8"/>
  <c r="G3422" i="8"/>
  <c r="G3421" i="8"/>
  <c r="G3420" i="8"/>
  <c r="G3419" i="8"/>
  <c r="G3418" i="8"/>
  <c r="G3417" i="8"/>
  <c r="G3416" i="8"/>
  <c r="G3415" i="8"/>
  <c r="G3414" i="8"/>
  <c r="G3413" i="8"/>
  <c r="G3412" i="8"/>
  <c r="G3411" i="8"/>
  <c r="G3410" i="8"/>
  <c r="G3409" i="8"/>
  <c r="G3408" i="8"/>
  <c r="G3407" i="8"/>
  <c r="G3406" i="8"/>
  <c r="G3405" i="8"/>
  <c r="G3404" i="8"/>
  <c r="G3403" i="8"/>
  <c r="G3402" i="8"/>
  <c r="G3401" i="8"/>
  <c r="G3400" i="8"/>
  <c r="G3399" i="8"/>
  <c r="G3398" i="8"/>
  <c r="G3397" i="8"/>
  <c r="G3396" i="8"/>
  <c r="G3395" i="8"/>
  <c r="G3394" i="8"/>
  <c r="G3393" i="8"/>
  <c r="G3392" i="8"/>
  <c r="G3391" i="8"/>
  <c r="G3390" i="8"/>
  <c r="G3389" i="8"/>
  <c r="G3388" i="8"/>
  <c r="G3387" i="8"/>
  <c r="G3386" i="8"/>
  <c r="G3385" i="8"/>
  <c r="G3384" i="8"/>
  <c r="G3383" i="8"/>
  <c r="G3382" i="8"/>
  <c r="G3381" i="8"/>
  <c r="G3380" i="8"/>
  <c r="G3379" i="8"/>
  <c r="G3378" i="8"/>
  <c r="G3377" i="8"/>
  <c r="G3376" i="8"/>
  <c r="G3375" i="8"/>
  <c r="G3374" i="8"/>
  <c r="G3373" i="8"/>
  <c r="G3372" i="8"/>
  <c r="G3371" i="8"/>
  <c r="G3370" i="8"/>
  <c r="G3369" i="8"/>
  <c r="G3368" i="8"/>
  <c r="G3367" i="8"/>
  <c r="G3366" i="8"/>
  <c r="G3365" i="8"/>
  <c r="G3364" i="8"/>
  <c r="G3363" i="8"/>
  <c r="G3362" i="8"/>
  <c r="G3361" i="8"/>
  <c r="G3360" i="8"/>
  <c r="G3359" i="8"/>
  <c r="G3358" i="8"/>
  <c r="G3357" i="8"/>
  <c r="G3356" i="8"/>
  <c r="G3355" i="8"/>
  <c r="G3354" i="8"/>
  <c r="G3353" i="8"/>
  <c r="G3352" i="8"/>
  <c r="G3351" i="8"/>
  <c r="G3350" i="8"/>
  <c r="G3349" i="8"/>
  <c r="G3348" i="8"/>
  <c r="G3347" i="8"/>
  <c r="G3346" i="8"/>
  <c r="G3345" i="8"/>
  <c r="G3344" i="8"/>
  <c r="G3343" i="8"/>
  <c r="G3342" i="8"/>
  <c r="G3341" i="8"/>
  <c r="G3340" i="8"/>
  <c r="G3339" i="8"/>
  <c r="G3338" i="8"/>
  <c r="G3337" i="8"/>
  <c r="G3336" i="8"/>
  <c r="G3335" i="8"/>
  <c r="G3334" i="8"/>
  <c r="G3333" i="8"/>
  <c r="G3332" i="8"/>
  <c r="G3331" i="8"/>
  <c r="G3330" i="8"/>
  <c r="G3329" i="8"/>
  <c r="G3328" i="8"/>
  <c r="G3327" i="8"/>
  <c r="G3326" i="8"/>
  <c r="G3325" i="8"/>
  <c r="G3324" i="8"/>
  <c r="G3323" i="8"/>
  <c r="G3322" i="8"/>
  <c r="G3321" i="8"/>
  <c r="G3320" i="8"/>
  <c r="G3319" i="8"/>
  <c r="G3318" i="8"/>
  <c r="G3317" i="8"/>
  <c r="G3316" i="8"/>
  <c r="G3315" i="8"/>
  <c r="G3314" i="8"/>
  <c r="G3313" i="8"/>
  <c r="G3312" i="8"/>
  <c r="G3311" i="8"/>
  <c r="G3310" i="8"/>
  <c r="G3309" i="8"/>
  <c r="G3308" i="8"/>
  <c r="G3307" i="8"/>
  <c r="G3306" i="8"/>
  <c r="G3305" i="8"/>
  <c r="G3304" i="8"/>
  <c r="G3303" i="8"/>
  <c r="G3302" i="8"/>
  <c r="G3301" i="8"/>
  <c r="G3300" i="8"/>
  <c r="G3299" i="8"/>
  <c r="G3298" i="8"/>
  <c r="G3297" i="8"/>
  <c r="G3296" i="8"/>
  <c r="G3295" i="8"/>
  <c r="G3294" i="8"/>
  <c r="G3293" i="8"/>
  <c r="G3292" i="8"/>
  <c r="G3291" i="8"/>
  <c r="G3290" i="8"/>
  <c r="G3289" i="8"/>
  <c r="G3288" i="8"/>
  <c r="G3287" i="8"/>
  <c r="G3286" i="8"/>
  <c r="G3285" i="8"/>
  <c r="G3284" i="8"/>
  <c r="G3283" i="8"/>
  <c r="G3282" i="8"/>
  <c r="G3281" i="8"/>
  <c r="G3280" i="8"/>
  <c r="G3279" i="8"/>
  <c r="G3278" i="8"/>
  <c r="G3277" i="8"/>
  <c r="G3276" i="8"/>
  <c r="G3275" i="8"/>
  <c r="G3274" i="8"/>
  <c r="G3273" i="8"/>
  <c r="G3272" i="8"/>
  <c r="G3271" i="8"/>
  <c r="G3270" i="8"/>
  <c r="G3269" i="8"/>
  <c r="G3268" i="8"/>
  <c r="G3267" i="8"/>
  <c r="G3266" i="8"/>
  <c r="G3265" i="8"/>
  <c r="G3264" i="8"/>
  <c r="G3263" i="8"/>
  <c r="G3262" i="8"/>
  <c r="G3261" i="8"/>
  <c r="G3260" i="8"/>
  <c r="G3259" i="8"/>
  <c r="G3258" i="8"/>
  <c r="G3257" i="8"/>
  <c r="G3256" i="8"/>
  <c r="G3255" i="8"/>
  <c r="G3254" i="8"/>
  <c r="G3253" i="8"/>
  <c r="G3252" i="8"/>
  <c r="G3251" i="8"/>
  <c r="G3250" i="8"/>
  <c r="G3249" i="8"/>
  <c r="G3248" i="8"/>
  <c r="G3247" i="8"/>
  <c r="G3246" i="8"/>
  <c r="G3245" i="8"/>
  <c r="G3244" i="8"/>
  <c r="G3243" i="8"/>
  <c r="G3242" i="8"/>
  <c r="G3241" i="8"/>
  <c r="G3240" i="8"/>
  <c r="G3239" i="8"/>
  <c r="G3238" i="8"/>
  <c r="G3237" i="8"/>
  <c r="G3236" i="8"/>
  <c r="G3235" i="8"/>
  <c r="G3234" i="8"/>
  <c r="G3233" i="8"/>
  <c r="G3232" i="8"/>
  <c r="G3231" i="8"/>
  <c r="G3230" i="8"/>
  <c r="G3229" i="8"/>
  <c r="G3228" i="8"/>
  <c r="G3227" i="8"/>
  <c r="G3226" i="8"/>
  <c r="G3225" i="8"/>
  <c r="G3224" i="8"/>
  <c r="G3223" i="8"/>
  <c r="G3222" i="8"/>
  <c r="G3221" i="8"/>
  <c r="G3220" i="8"/>
  <c r="G3219" i="8"/>
  <c r="G3218" i="8"/>
  <c r="G3217" i="8"/>
  <c r="G3216" i="8"/>
  <c r="G3215" i="8"/>
  <c r="G3214" i="8"/>
  <c r="G3213" i="8"/>
  <c r="G3212" i="8"/>
  <c r="G3211" i="8"/>
  <c r="G3210" i="8"/>
  <c r="G3209" i="8"/>
  <c r="G3208" i="8"/>
  <c r="G3207" i="8"/>
  <c r="G3206" i="8"/>
  <c r="G3205" i="8"/>
  <c r="G3204" i="8"/>
  <c r="G3203" i="8"/>
  <c r="G3202" i="8"/>
  <c r="G3201" i="8"/>
  <c r="G3200" i="8"/>
  <c r="G3199" i="8"/>
  <c r="G3198" i="8"/>
  <c r="G3197" i="8"/>
  <c r="G3196" i="8"/>
  <c r="G3195" i="8"/>
  <c r="G3194" i="8"/>
  <c r="G3193" i="8"/>
  <c r="G3192" i="8"/>
  <c r="G3191" i="8"/>
  <c r="G3190" i="8"/>
  <c r="G3189" i="8"/>
  <c r="G3188" i="8"/>
  <c r="G3187" i="8"/>
  <c r="G3186" i="8"/>
  <c r="G3185" i="8"/>
  <c r="G3184" i="8"/>
  <c r="G3183" i="8"/>
  <c r="G3182" i="8"/>
  <c r="G3181" i="8"/>
  <c r="G3180" i="8"/>
  <c r="G3179" i="8"/>
  <c r="G3178" i="8"/>
  <c r="G3177" i="8"/>
  <c r="G3176" i="8"/>
  <c r="G3175" i="8"/>
  <c r="G3174" i="8"/>
  <c r="G3173" i="8"/>
  <c r="G3172" i="8"/>
  <c r="G3171" i="8"/>
  <c r="G3170" i="8"/>
  <c r="G3169" i="8"/>
  <c r="G3168" i="8"/>
  <c r="G3167" i="8"/>
  <c r="G3166" i="8"/>
  <c r="G3165" i="8"/>
  <c r="G3164" i="8"/>
  <c r="G3163" i="8"/>
  <c r="G3162" i="8"/>
  <c r="G3161" i="8"/>
  <c r="G3160" i="8"/>
  <c r="G3159" i="8"/>
  <c r="G3158" i="8"/>
  <c r="G3157" i="8"/>
  <c r="G3156" i="8"/>
  <c r="G3155" i="8"/>
  <c r="G3154" i="8"/>
  <c r="G3153" i="8"/>
  <c r="G3152" i="8"/>
  <c r="G3151" i="8"/>
  <c r="G3150" i="8"/>
  <c r="G3149" i="8"/>
  <c r="G3148" i="8"/>
  <c r="G3147" i="8"/>
  <c r="G3146" i="8"/>
  <c r="G3145" i="8"/>
  <c r="G3144" i="8"/>
  <c r="G3143" i="8"/>
  <c r="G3142" i="8"/>
  <c r="G3141" i="8"/>
  <c r="G3140" i="8"/>
  <c r="G3139" i="8"/>
  <c r="G3138" i="8"/>
  <c r="G3137" i="8"/>
  <c r="G3136" i="8"/>
  <c r="G3135" i="8"/>
  <c r="G3134" i="8"/>
  <c r="G3133" i="8"/>
  <c r="G3132" i="8"/>
  <c r="G3131" i="8"/>
  <c r="G3130" i="8"/>
  <c r="G3129" i="8"/>
  <c r="G3128" i="8"/>
  <c r="G3127" i="8"/>
  <c r="G3126" i="8"/>
  <c r="G3125" i="8"/>
  <c r="G3124" i="8"/>
  <c r="G3123" i="8"/>
  <c r="G3122" i="8"/>
  <c r="G3121" i="8"/>
  <c r="G3120" i="8"/>
  <c r="G3119" i="8"/>
  <c r="G3118" i="8"/>
  <c r="G3117" i="8"/>
  <c r="G3116" i="8"/>
  <c r="G3115" i="8"/>
  <c r="G3114" i="8"/>
  <c r="G3113" i="8"/>
  <c r="G3112" i="8"/>
  <c r="G3111" i="8"/>
  <c r="G3110" i="8"/>
  <c r="G3109" i="8"/>
  <c r="G3108" i="8"/>
  <c r="G3107" i="8"/>
  <c r="G3106" i="8"/>
  <c r="G3105" i="8"/>
  <c r="G3104" i="8"/>
  <c r="G3103" i="8"/>
  <c r="G3102" i="8"/>
  <c r="G3101" i="8"/>
  <c r="G3100" i="8"/>
  <c r="G3099" i="8"/>
  <c r="G3098" i="8"/>
  <c r="G3097" i="8"/>
  <c r="G3096" i="8"/>
  <c r="G3095" i="8"/>
  <c r="G3094" i="8"/>
  <c r="G3093" i="8"/>
  <c r="G3092" i="8"/>
  <c r="G3091" i="8"/>
  <c r="G3090" i="8"/>
  <c r="G3089" i="8"/>
  <c r="G3088" i="8"/>
  <c r="G3087" i="8"/>
  <c r="G3086" i="8"/>
  <c r="G3085" i="8"/>
  <c r="G3084" i="8"/>
  <c r="G3083" i="8"/>
  <c r="G3082" i="8"/>
  <c r="G3081" i="8"/>
  <c r="G3080" i="8"/>
  <c r="G3079" i="8"/>
  <c r="G3078" i="8"/>
  <c r="G3077" i="8"/>
  <c r="G3076" i="8"/>
  <c r="G3075" i="8"/>
  <c r="G3074" i="8"/>
  <c r="G3073" i="8"/>
  <c r="G3072" i="8"/>
  <c r="G3071" i="8"/>
  <c r="G3070" i="8"/>
  <c r="G3069" i="8"/>
  <c r="G3068" i="8"/>
  <c r="G3067" i="8"/>
  <c r="G3066" i="8"/>
  <c r="G3065" i="8"/>
  <c r="G3064" i="8"/>
  <c r="G3063" i="8"/>
  <c r="G3062" i="8"/>
  <c r="G3061" i="8"/>
  <c r="G3060" i="8"/>
  <c r="G3059" i="8"/>
  <c r="G3058" i="8"/>
  <c r="G3057" i="8"/>
  <c r="G3056" i="8"/>
  <c r="G3055" i="8"/>
  <c r="G3054" i="8"/>
  <c r="G3053" i="8"/>
  <c r="G3052" i="8"/>
  <c r="G3051" i="8"/>
  <c r="G3050" i="8"/>
  <c r="G3049" i="8"/>
  <c r="G3048" i="8"/>
  <c r="G3047" i="8"/>
  <c r="G3046" i="8"/>
  <c r="G3045" i="8"/>
  <c r="G3044" i="8"/>
  <c r="G3043" i="8"/>
  <c r="G3042" i="8"/>
  <c r="G3041" i="8"/>
  <c r="G3040" i="8"/>
  <c r="G3039" i="8"/>
  <c r="G3038" i="8"/>
  <c r="G3037" i="8"/>
  <c r="G3036" i="8"/>
  <c r="G3035" i="8"/>
  <c r="G3034" i="8"/>
  <c r="G3033" i="8"/>
  <c r="G3032" i="8"/>
  <c r="G3031" i="8"/>
  <c r="G3030" i="8"/>
  <c r="G3029" i="8"/>
  <c r="G3028" i="8"/>
  <c r="G3027" i="8"/>
  <c r="G3026" i="8"/>
  <c r="G3025" i="8"/>
  <c r="G3024" i="8"/>
  <c r="G3023" i="8"/>
  <c r="G3022" i="8"/>
  <c r="G3021" i="8"/>
  <c r="G3020" i="8"/>
  <c r="G3019" i="8"/>
  <c r="G3018" i="8"/>
  <c r="G3017" i="8"/>
  <c r="G3016" i="8"/>
  <c r="G3015" i="8"/>
  <c r="G3014" i="8"/>
  <c r="G3013" i="8"/>
  <c r="G3012" i="8"/>
  <c r="G3011" i="8"/>
  <c r="G3010" i="8"/>
  <c r="G3009" i="8"/>
  <c r="G3008" i="8"/>
  <c r="G3007" i="8"/>
  <c r="G3006" i="8"/>
  <c r="G3005" i="8"/>
  <c r="G3004" i="8"/>
  <c r="G3003" i="8"/>
  <c r="G3002" i="8"/>
  <c r="G3001" i="8"/>
  <c r="G3000" i="8"/>
  <c r="G2999" i="8"/>
  <c r="G2998" i="8"/>
  <c r="G2997" i="8"/>
  <c r="G2996" i="8"/>
  <c r="G2995" i="8"/>
  <c r="G2994" i="8"/>
  <c r="G2993" i="8"/>
  <c r="G2992" i="8"/>
  <c r="G2991" i="8"/>
  <c r="G2990" i="8"/>
  <c r="G2989" i="8"/>
  <c r="G2988" i="8"/>
  <c r="G2987" i="8"/>
  <c r="G2986" i="8"/>
  <c r="G2985" i="8"/>
  <c r="G2984" i="8"/>
  <c r="G2983" i="8"/>
  <c r="G2982" i="8"/>
  <c r="G2981" i="8"/>
  <c r="G2980" i="8"/>
  <c r="G2979" i="8"/>
  <c r="G2978" i="8"/>
  <c r="G2977" i="8"/>
  <c r="G2976" i="8"/>
  <c r="G2975" i="8"/>
  <c r="G2974" i="8"/>
  <c r="G2973" i="8"/>
  <c r="G2972" i="8"/>
  <c r="G2971" i="8"/>
  <c r="G2970" i="8"/>
  <c r="G2969" i="8"/>
  <c r="G2968" i="8"/>
  <c r="G2967" i="8"/>
  <c r="G2966" i="8"/>
  <c r="G2965" i="8"/>
  <c r="G2964" i="8"/>
  <c r="G2963" i="8"/>
  <c r="G2962" i="8"/>
  <c r="G2961" i="8"/>
  <c r="G2960" i="8"/>
  <c r="G2959" i="8"/>
  <c r="G2958" i="8"/>
  <c r="G2957" i="8"/>
  <c r="G2956" i="8"/>
  <c r="G2955" i="8"/>
  <c r="G2954" i="8"/>
  <c r="G2953" i="8"/>
  <c r="G2952" i="8"/>
  <c r="G2951" i="8"/>
  <c r="G2950" i="8"/>
  <c r="G2949" i="8"/>
  <c r="G2948" i="8"/>
  <c r="G2947" i="8"/>
  <c r="G2946" i="8"/>
  <c r="G2945" i="8"/>
  <c r="G2944" i="8"/>
  <c r="G2943" i="8"/>
  <c r="G2942" i="8"/>
  <c r="G2941" i="8"/>
  <c r="G2940" i="8"/>
  <c r="G2939" i="8"/>
  <c r="G2938" i="8"/>
  <c r="G2937" i="8"/>
  <c r="G2936" i="8"/>
  <c r="G2935" i="8"/>
  <c r="G2934" i="8"/>
  <c r="G2933" i="8"/>
  <c r="G2932" i="8"/>
  <c r="G2931" i="8"/>
  <c r="G2930" i="8"/>
  <c r="G2929" i="8"/>
  <c r="G2928" i="8"/>
  <c r="G2927" i="8"/>
  <c r="G2926" i="8"/>
  <c r="G2925" i="8"/>
  <c r="G2924" i="8"/>
  <c r="G2923" i="8"/>
  <c r="G2922" i="8"/>
  <c r="G2921" i="8"/>
  <c r="G2920" i="8"/>
  <c r="G2919" i="8"/>
  <c r="G2918" i="8"/>
  <c r="G2917" i="8"/>
  <c r="G2916" i="8"/>
  <c r="G2915" i="8"/>
  <c r="G2914" i="8"/>
  <c r="G2913" i="8"/>
  <c r="G2912" i="8"/>
  <c r="G2911" i="8"/>
  <c r="G2910" i="8"/>
  <c r="G2909" i="8"/>
  <c r="G2908" i="8"/>
  <c r="G2907" i="8"/>
  <c r="G2906" i="8"/>
  <c r="G2905" i="8"/>
  <c r="G2904" i="8"/>
  <c r="G2903" i="8"/>
  <c r="G2902" i="8"/>
  <c r="G2901" i="8"/>
  <c r="G2900" i="8"/>
  <c r="G2899" i="8"/>
  <c r="G2898" i="8"/>
  <c r="G2897" i="8"/>
  <c r="G2896" i="8"/>
  <c r="G2895" i="8"/>
  <c r="G2894" i="8"/>
  <c r="G2893" i="8"/>
  <c r="G2892" i="8"/>
  <c r="G2891" i="8"/>
  <c r="G2890" i="8"/>
  <c r="G2889" i="8"/>
  <c r="G2888" i="8"/>
  <c r="G2887" i="8"/>
  <c r="G2886" i="8"/>
  <c r="G2885" i="8"/>
  <c r="G2884" i="8"/>
  <c r="G2883" i="8"/>
  <c r="G2882" i="8"/>
  <c r="G2881" i="8"/>
  <c r="G2880" i="8"/>
  <c r="G2879" i="8"/>
  <c r="G2878" i="8"/>
  <c r="G2877" i="8"/>
  <c r="G2876" i="8"/>
  <c r="G2875" i="8"/>
  <c r="G2874" i="8"/>
  <c r="G2873" i="8"/>
  <c r="G2872" i="8"/>
  <c r="G2871" i="8"/>
  <c r="G2870" i="8"/>
  <c r="G2869" i="8"/>
  <c r="G2868" i="8"/>
  <c r="G2867" i="8"/>
  <c r="G2866" i="8"/>
  <c r="G2865" i="8"/>
  <c r="G2864" i="8"/>
  <c r="G2863" i="8"/>
  <c r="G2862" i="8"/>
  <c r="G2861" i="8"/>
  <c r="G2860" i="8"/>
  <c r="G2859" i="8"/>
  <c r="G2858" i="8"/>
  <c r="G2857" i="8"/>
  <c r="G2856" i="8"/>
  <c r="G2855" i="8"/>
  <c r="G2854" i="8"/>
  <c r="G2853" i="8"/>
  <c r="G2852" i="8"/>
  <c r="G2851" i="8"/>
  <c r="G2850" i="8"/>
  <c r="G2849" i="8"/>
  <c r="G2848" i="8"/>
  <c r="G2847" i="8"/>
  <c r="G2846" i="8"/>
  <c r="G2845" i="8"/>
  <c r="G2844" i="8"/>
  <c r="G2843" i="8"/>
  <c r="G2842" i="8"/>
  <c r="G2841" i="8"/>
  <c r="G2840" i="8"/>
  <c r="G2839" i="8"/>
  <c r="G2838" i="8"/>
  <c r="G2837" i="8"/>
  <c r="G2836" i="8"/>
  <c r="G2835" i="8"/>
  <c r="G2834" i="8"/>
  <c r="G2833" i="8"/>
  <c r="G2832" i="8"/>
  <c r="G2831" i="8"/>
  <c r="G2830" i="8"/>
  <c r="G2829" i="8"/>
  <c r="G2828" i="8"/>
  <c r="G2827" i="8"/>
  <c r="G2826" i="8"/>
  <c r="G2825" i="8"/>
  <c r="G2824" i="8"/>
  <c r="G2823" i="8"/>
  <c r="G2822" i="8"/>
  <c r="G2821" i="8"/>
  <c r="G2820" i="8"/>
  <c r="G2819" i="8"/>
  <c r="G2818" i="8"/>
  <c r="G2817" i="8"/>
  <c r="G2816" i="8"/>
  <c r="G2815" i="8"/>
  <c r="G2814" i="8"/>
  <c r="G2813" i="8"/>
  <c r="G2812" i="8"/>
  <c r="G2811" i="8"/>
  <c r="G2810" i="8"/>
  <c r="G2809" i="8"/>
  <c r="G2808" i="8"/>
  <c r="G2807" i="8"/>
  <c r="G2806" i="8"/>
  <c r="G2805" i="8"/>
  <c r="G2804" i="8"/>
  <c r="G2803" i="8"/>
  <c r="G2802" i="8"/>
  <c r="G2801" i="8"/>
  <c r="G2800" i="8"/>
  <c r="G2799" i="8"/>
  <c r="G2798" i="8"/>
  <c r="G2797" i="8"/>
  <c r="G2796" i="8"/>
  <c r="G2795" i="8"/>
  <c r="G2794" i="8"/>
  <c r="G2793" i="8"/>
  <c r="G2792" i="8"/>
  <c r="G2791" i="8"/>
  <c r="G2790" i="8"/>
  <c r="G2789" i="8"/>
  <c r="G2788" i="8"/>
  <c r="G2787" i="8"/>
  <c r="G2786" i="8"/>
  <c r="G2785" i="8"/>
  <c r="G2784" i="8"/>
  <c r="G2783" i="8"/>
  <c r="G2782" i="8"/>
  <c r="G2781" i="8"/>
  <c r="G2780" i="8"/>
  <c r="G2779" i="8"/>
  <c r="G2778" i="8"/>
  <c r="G2777" i="8"/>
  <c r="G2776" i="8"/>
  <c r="G2775" i="8"/>
  <c r="G2774" i="8"/>
  <c r="G2773" i="8"/>
  <c r="G2772" i="8"/>
  <c r="G2771" i="8"/>
  <c r="G2770" i="8"/>
  <c r="G2769" i="8"/>
  <c r="G2768" i="8"/>
  <c r="G2767" i="8"/>
  <c r="G2766" i="8"/>
  <c r="G2765" i="8"/>
  <c r="G2764" i="8"/>
  <c r="G2763" i="8"/>
  <c r="G2762" i="8"/>
  <c r="G2761" i="8"/>
  <c r="G2760" i="8"/>
  <c r="G2759" i="8"/>
  <c r="G2758" i="8"/>
  <c r="G2757" i="8"/>
  <c r="G2756" i="8"/>
  <c r="G2755" i="8"/>
  <c r="G2754" i="8"/>
  <c r="G2753" i="8"/>
  <c r="G2752" i="8"/>
  <c r="G2751" i="8"/>
  <c r="G2750" i="8"/>
  <c r="G2749" i="8"/>
  <c r="G2748" i="8"/>
  <c r="G2747" i="8"/>
  <c r="G2746" i="8"/>
  <c r="G2745" i="8"/>
  <c r="G2744" i="8"/>
  <c r="G2743" i="8"/>
  <c r="G2742" i="8"/>
  <c r="G2741" i="8"/>
  <c r="G2740" i="8"/>
  <c r="G2739" i="8"/>
  <c r="G2738" i="8"/>
  <c r="G2737" i="8"/>
  <c r="G2736" i="8"/>
  <c r="G2735" i="8"/>
  <c r="G2734" i="8"/>
  <c r="G2733" i="8"/>
  <c r="G2732" i="8"/>
  <c r="G2731" i="8"/>
  <c r="G2730" i="8"/>
  <c r="G2729" i="8"/>
  <c r="G2728" i="8"/>
  <c r="G2727" i="8"/>
  <c r="G2726" i="8"/>
  <c r="G2725" i="8"/>
  <c r="G2724" i="8"/>
  <c r="G2723" i="8"/>
  <c r="G2722" i="8"/>
  <c r="G2721" i="8"/>
  <c r="G2720" i="8"/>
  <c r="G2719" i="8"/>
  <c r="G2718" i="8"/>
  <c r="G2717" i="8"/>
  <c r="G2716" i="8"/>
  <c r="G2715" i="8"/>
  <c r="G2714" i="8"/>
  <c r="G2713" i="8"/>
  <c r="G2712" i="8"/>
  <c r="G2711" i="8"/>
  <c r="G2710" i="8"/>
  <c r="G2709" i="8"/>
  <c r="G2708" i="8"/>
  <c r="G2707" i="8"/>
  <c r="G2706" i="8"/>
  <c r="G2705" i="8"/>
  <c r="G2704" i="8"/>
  <c r="G2703" i="8"/>
  <c r="G2702" i="8"/>
  <c r="G2701" i="8"/>
  <c r="G2700" i="8"/>
  <c r="G2699" i="8"/>
  <c r="G2698" i="8"/>
  <c r="G2697" i="8"/>
  <c r="G2696" i="8"/>
  <c r="G2695" i="8"/>
  <c r="G2694" i="8"/>
  <c r="G2693" i="8"/>
  <c r="G2692" i="8"/>
  <c r="G2691" i="8"/>
  <c r="G2690" i="8"/>
  <c r="G2689" i="8"/>
  <c r="G2688" i="8"/>
  <c r="G2687" i="8"/>
  <c r="G2686" i="8"/>
  <c r="G2685" i="8"/>
  <c r="G2684" i="8"/>
  <c r="G2683" i="8"/>
  <c r="G2682" i="8"/>
  <c r="G2681" i="8"/>
  <c r="G2680" i="8"/>
  <c r="G2679" i="8"/>
  <c r="G2678" i="8"/>
  <c r="G2677" i="8"/>
  <c r="G2676" i="8"/>
  <c r="G2675" i="8"/>
  <c r="G2674" i="8"/>
  <c r="G2673" i="8"/>
  <c r="G2672" i="8"/>
  <c r="G2671" i="8"/>
  <c r="G2670" i="8"/>
  <c r="G2669" i="8"/>
  <c r="G2668" i="8"/>
  <c r="G2667" i="8"/>
  <c r="G2666" i="8"/>
  <c r="G2665" i="8"/>
  <c r="G2664" i="8"/>
  <c r="G2663" i="8"/>
  <c r="G2662" i="8"/>
  <c r="G2661" i="8"/>
  <c r="G2660" i="8"/>
  <c r="G2659" i="8"/>
  <c r="G2658" i="8"/>
  <c r="G2657" i="8"/>
  <c r="G2656" i="8"/>
  <c r="G2655" i="8"/>
  <c r="G2654" i="8"/>
  <c r="G2653" i="8"/>
  <c r="G2652" i="8"/>
  <c r="G2651" i="8"/>
  <c r="G2650" i="8"/>
  <c r="G2649" i="8"/>
  <c r="G2648" i="8"/>
  <c r="G2647" i="8"/>
  <c r="G2646" i="8"/>
  <c r="G2645" i="8"/>
  <c r="G2644" i="8"/>
  <c r="G2643" i="8"/>
  <c r="G2642" i="8"/>
  <c r="G2641" i="8"/>
  <c r="G2640" i="8"/>
  <c r="G2639" i="8"/>
  <c r="G2638" i="8"/>
  <c r="G2637" i="8"/>
  <c r="G2636" i="8"/>
  <c r="G2635" i="8"/>
  <c r="G2634" i="8"/>
  <c r="G2633" i="8"/>
  <c r="G2632" i="8"/>
  <c r="G2631" i="8"/>
  <c r="G2630" i="8"/>
  <c r="G2629" i="8"/>
  <c r="G2628" i="8"/>
  <c r="G2627" i="8"/>
  <c r="G2626" i="8"/>
  <c r="G2625" i="8"/>
  <c r="G2624" i="8"/>
  <c r="G2623" i="8"/>
  <c r="G2622" i="8"/>
  <c r="G2621" i="8"/>
  <c r="G2620" i="8"/>
  <c r="G2619" i="8"/>
  <c r="G2618" i="8"/>
  <c r="G2617" i="8"/>
  <c r="G2616" i="8"/>
  <c r="G2615" i="8"/>
  <c r="G2614" i="8"/>
  <c r="G2613" i="8"/>
  <c r="G2612" i="8"/>
  <c r="G2611" i="8"/>
  <c r="G2610" i="8"/>
  <c r="G2609" i="8"/>
  <c r="G2608" i="8"/>
  <c r="G2607" i="8"/>
  <c r="G2606" i="8"/>
  <c r="G2605" i="8"/>
  <c r="G2604" i="8"/>
  <c r="G2603" i="8"/>
  <c r="G2602" i="8"/>
  <c r="G2601" i="8"/>
  <c r="G2600" i="8"/>
  <c r="G2599" i="8"/>
  <c r="G2598" i="8"/>
  <c r="G2597" i="8"/>
  <c r="G2596" i="8"/>
  <c r="G2595" i="8"/>
  <c r="G2594" i="8"/>
  <c r="G2593" i="8"/>
  <c r="G2592" i="8"/>
  <c r="G2591" i="8"/>
  <c r="G2590" i="8"/>
  <c r="G2589" i="8"/>
  <c r="G2588" i="8"/>
  <c r="G2587" i="8"/>
  <c r="G2586" i="8"/>
  <c r="G2585" i="8"/>
  <c r="G2584" i="8"/>
  <c r="G2583" i="8"/>
  <c r="G2582" i="8"/>
  <c r="G2581" i="8"/>
  <c r="G2580" i="8"/>
  <c r="G2579" i="8"/>
  <c r="G2578" i="8"/>
  <c r="G2577" i="8"/>
  <c r="G2576" i="8"/>
  <c r="G2575" i="8"/>
  <c r="G2574" i="8"/>
  <c r="G2573" i="8"/>
  <c r="G2572" i="8"/>
  <c r="G2571" i="8"/>
  <c r="G2570" i="8"/>
  <c r="G2569" i="8"/>
  <c r="G2568" i="8"/>
  <c r="G2567" i="8"/>
  <c r="G2566" i="8"/>
  <c r="G2565" i="8"/>
  <c r="G2564" i="8"/>
  <c r="G2563" i="8"/>
  <c r="G2562" i="8"/>
  <c r="G2561" i="8"/>
  <c r="G2560" i="8"/>
  <c r="G2559" i="8"/>
  <c r="G2558" i="8"/>
  <c r="G2557" i="8"/>
  <c r="G2556" i="8"/>
  <c r="G2555" i="8"/>
  <c r="G2554" i="8"/>
  <c r="G2553" i="8"/>
  <c r="G2552" i="8"/>
  <c r="G2551" i="8"/>
  <c r="G2550" i="8"/>
  <c r="G2549" i="8"/>
  <c r="G2548" i="8"/>
  <c r="G2547" i="8"/>
  <c r="G2546" i="8"/>
  <c r="G2545" i="8"/>
  <c r="G2544" i="8"/>
  <c r="G2543" i="8"/>
  <c r="G2542" i="8"/>
  <c r="G2541" i="8"/>
  <c r="G2540" i="8"/>
  <c r="G2539" i="8"/>
  <c r="G2538" i="8"/>
  <c r="G2537" i="8"/>
  <c r="G2536" i="8"/>
  <c r="G2535" i="8"/>
  <c r="G2534" i="8"/>
  <c r="G2533" i="8"/>
  <c r="G2532" i="8"/>
  <c r="G2531" i="8"/>
  <c r="G2530" i="8"/>
  <c r="G2529" i="8"/>
  <c r="G2528" i="8"/>
  <c r="G2527" i="8"/>
  <c r="G2526" i="8"/>
  <c r="G2525" i="8"/>
  <c r="G2524" i="8"/>
  <c r="G2523" i="8"/>
  <c r="G2522" i="8"/>
  <c r="G2521" i="8"/>
  <c r="G2520" i="8"/>
  <c r="G2519" i="8"/>
  <c r="G2518" i="8"/>
  <c r="G2517" i="8"/>
  <c r="G2516" i="8"/>
  <c r="G2515" i="8"/>
  <c r="G2514" i="8"/>
  <c r="G2513" i="8"/>
  <c r="G2512" i="8"/>
  <c r="G2511" i="8"/>
  <c r="G2510" i="8"/>
  <c r="G2509" i="8"/>
  <c r="G2508" i="8"/>
  <c r="G2507" i="8"/>
  <c r="G2506" i="8"/>
  <c r="G2505" i="8"/>
  <c r="G2504" i="8"/>
  <c r="G2503" i="8"/>
  <c r="G2502" i="8"/>
  <c r="G2501" i="8"/>
  <c r="G2500" i="8"/>
  <c r="G2499" i="8"/>
  <c r="G2498" i="8"/>
  <c r="G2497" i="8"/>
  <c r="G2496" i="8"/>
  <c r="G2495" i="8"/>
  <c r="G2494" i="8"/>
  <c r="G2493" i="8"/>
  <c r="G2492" i="8"/>
  <c r="G2491" i="8"/>
  <c r="G2490" i="8"/>
  <c r="G2489" i="8"/>
  <c r="G2488" i="8"/>
  <c r="G2487" i="8"/>
  <c r="G2486" i="8"/>
  <c r="G2485" i="8"/>
  <c r="G2484" i="8"/>
  <c r="G2483" i="8"/>
  <c r="G2482" i="8"/>
  <c r="G2481" i="8"/>
  <c r="G2480" i="8"/>
  <c r="G2479" i="8"/>
  <c r="G2478" i="8"/>
  <c r="G2477" i="8"/>
  <c r="G2476" i="8"/>
  <c r="G2475" i="8"/>
  <c r="G2474" i="8"/>
  <c r="G2473" i="8"/>
  <c r="G2472" i="8"/>
  <c r="G2471" i="8"/>
  <c r="G2470" i="8"/>
  <c r="G2469" i="8"/>
  <c r="G2468" i="8"/>
  <c r="G2467" i="8"/>
  <c r="G2466" i="8"/>
  <c r="G2465" i="8"/>
  <c r="G2464" i="8"/>
  <c r="G2463" i="8"/>
  <c r="G2462" i="8"/>
  <c r="G2461" i="8"/>
  <c r="G2460" i="8"/>
  <c r="G2459" i="8"/>
  <c r="G2458" i="8"/>
  <c r="G2457" i="8"/>
  <c r="G2456" i="8"/>
  <c r="G2455" i="8"/>
  <c r="G2454" i="8"/>
  <c r="G2453" i="8"/>
  <c r="G2452" i="8"/>
  <c r="G2451" i="8"/>
  <c r="G2450" i="8"/>
  <c r="G2449" i="8"/>
  <c r="G2448" i="8"/>
  <c r="G2447" i="8"/>
  <c r="G2446" i="8"/>
  <c r="G2445" i="8"/>
  <c r="G2444" i="8"/>
  <c r="G2443" i="8"/>
  <c r="G2442" i="8"/>
  <c r="G2441" i="8"/>
  <c r="G2440" i="8"/>
  <c r="G2439" i="8"/>
  <c r="G2438" i="8"/>
  <c r="G2437" i="8"/>
  <c r="G2436" i="8"/>
  <c r="G2435" i="8"/>
  <c r="G2434" i="8"/>
  <c r="G2433" i="8"/>
  <c r="G2432" i="8"/>
  <c r="G2431" i="8"/>
  <c r="G2430" i="8"/>
  <c r="G2429" i="8"/>
  <c r="G2428" i="8"/>
  <c r="G2427" i="8"/>
  <c r="G2426" i="8"/>
  <c r="G2425" i="8"/>
  <c r="G2424" i="8"/>
  <c r="G2423" i="8"/>
  <c r="G2422" i="8"/>
  <c r="G2421" i="8"/>
  <c r="G2420" i="8"/>
  <c r="G2419" i="8"/>
  <c r="G2418" i="8"/>
  <c r="G2417" i="8"/>
  <c r="G2416" i="8"/>
  <c r="G2415" i="8"/>
  <c r="G2414" i="8"/>
  <c r="G2413" i="8"/>
  <c r="G2412" i="8"/>
  <c r="G2411" i="8"/>
  <c r="G2410" i="8"/>
  <c r="G2409" i="8"/>
  <c r="G2408" i="8"/>
  <c r="G2407" i="8"/>
  <c r="G2406" i="8"/>
  <c r="G2405" i="8"/>
  <c r="G2404" i="8"/>
  <c r="G2403" i="8"/>
  <c r="G2402" i="8"/>
  <c r="G2401" i="8"/>
  <c r="G2400" i="8"/>
  <c r="G2399" i="8"/>
  <c r="G2398" i="8"/>
  <c r="G2397" i="8"/>
  <c r="G2396" i="8"/>
  <c r="G2395" i="8"/>
  <c r="G2394" i="8"/>
  <c r="G2393" i="8"/>
  <c r="G2392" i="8"/>
  <c r="G2391" i="8"/>
  <c r="G2390" i="8"/>
  <c r="G2389" i="8"/>
  <c r="G2388" i="8"/>
  <c r="G2387" i="8"/>
  <c r="G2386" i="8"/>
  <c r="G2385" i="8"/>
  <c r="G2384" i="8"/>
  <c r="G2383" i="8"/>
  <c r="G2382" i="8"/>
  <c r="G2381" i="8"/>
  <c r="G2380" i="8"/>
  <c r="G2379" i="8"/>
  <c r="G2378" i="8"/>
  <c r="G2377" i="8"/>
  <c r="G2376" i="8"/>
  <c r="G2375" i="8"/>
  <c r="G2374" i="8"/>
  <c r="G2373" i="8"/>
  <c r="G2372" i="8"/>
  <c r="G2371" i="8"/>
  <c r="G2370" i="8"/>
  <c r="G2369" i="8"/>
  <c r="G2368" i="8"/>
  <c r="G2367" i="8"/>
  <c r="G2366" i="8"/>
  <c r="G2365" i="8"/>
  <c r="G2364" i="8"/>
  <c r="G2363" i="8"/>
  <c r="G2362" i="8"/>
  <c r="G2361" i="8"/>
  <c r="G2360" i="8"/>
  <c r="G2359" i="8"/>
  <c r="G2358" i="8"/>
  <c r="G2357" i="8"/>
  <c r="G2356" i="8"/>
  <c r="G2355" i="8"/>
  <c r="G2354" i="8"/>
  <c r="G2353" i="8"/>
  <c r="G2352" i="8"/>
  <c r="G2351" i="8"/>
  <c r="G2350" i="8"/>
  <c r="G2349" i="8"/>
  <c r="G2348" i="8"/>
  <c r="G2347" i="8"/>
  <c r="G2346" i="8"/>
  <c r="G2345" i="8"/>
  <c r="G2344" i="8"/>
  <c r="G2343" i="8"/>
  <c r="G2342" i="8"/>
  <c r="G2341" i="8"/>
  <c r="G2340" i="8"/>
  <c r="G2339" i="8"/>
  <c r="G2338" i="8"/>
  <c r="G2337" i="8"/>
  <c r="G2336" i="8"/>
  <c r="G2335" i="8"/>
  <c r="G2334" i="8"/>
  <c r="G2333" i="8"/>
  <c r="G2332" i="8"/>
  <c r="G2331" i="8"/>
  <c r="G2330" i="8"/>
  <c r="G2329" i="8"/>
  <c r="G2328" i="8"/>
  <c r="G2327" i="8"/>
  <c r="G2326" i="8"/>
  <c r="G2325" i="8"/>
  <c r="G2324" i="8"/>
  <c r="G2323" i="8"/>
  <c r="G2322" i="8"/>
  <c r="G2321" i="8"/>
  <c r="G2320" i="8"/>
  <c r="G2319" i="8"/>
  <c r="G2318" i="8"/>
  <c r="G2317" i="8"/>
  <c r="G2316" i="8"/>
  <c r="G2315" i="8"/>
  <c r="G2314" i="8"/>
  <c r="G2313" i="8"/>
  <c r="G2312" i="8"/>
  <c r="G2311" i="8"/>
  <c r="G2310" i="8"/>
  <c r="G2309" i="8"/>
  <c r="G2308" i="8"/>
  <c r="G2307" i="8"/>
  <c r="G2306" i="8"/>
  <c r="G2305" i="8"/>
  <c r="G2304" i="8"/>
  <c r="G2303" i="8"/>
  <c r="G2302" i="8"/>
  <c r="G2301" i="8"/>
  <c r="G2300" i="8"/>
  <c r="G2299" i="8"/>
  <c r="G2298" i="8"/>
  <c r="G2297" i="8"/>
  <c r="G2296" i="8"/>
  <c r="G2295" i="8"/>
  <c r="G2294" i="8"/>
  <c r="G2293" i="8"/>
  <c r="G2292" i="8"/>
  <c r="G2291" i="8"/>
  <c r="G2290" i="8"/>
  <c r="G2289" i="8"/>
  <c r="G2288" i="8"/>
  <c r="G2287" i="8"/>
  <c r="G2286" i="8"/>
  <c r="G2285" i="8"/>
  <c r="G2284" i="8"/>
  <c r="G2283" i="8"/>
  <c r="G2282" i="8"/>
  <c r="G2281" i="8"/>
  <c r="G2280" i="8"/>
  <c r="G2279" i="8"/>
  <c r="G2278" i="8"/>
  <c r="G2277" i="8"/>
  <c r="G2276" i="8"/>
  <c r="G2275" i="8"/>
  <c r="G2274" i="8"/>
  <c r="G2273" i="8"/>
  <c r="G2272" i="8"/>
  <c r="G2271" i="8"/>
  <c r="G2270" i="8"/>
  <c r="G2269" i="8"/>
  <c r="G2268" i="8"/>
  <c r="G2267" i="8"/>
  <c r="G2266" i="8"/>
  <c r="G2265" i="8"/>
  <c r="G2264" i="8"/>
  <c r="G2263" i="8"/>
  <c r="G2262" i="8"/>
  <c r="G2261" i="8"/>
  <c r="G2260" i="8"/>
  <c r="G2259" i="8"/>
  <c r="G2258" i="8"/>
  <c r="G2257" i="8"/>
  <c r="G2256" i="8"/>
  <c r="G2255" i="8"/>
  <c r="G2254" i="8"/>
  <c r="G2253" i="8"/>
  <c r="G2252" i="8"/>
  <c r="G2251" i="8"/>
  <c r="G2250" i="8"/>
  <c r="G2249" i="8"/>
  <c r="G2248" i="8"/>
  <c r="G2247" i="8"/>
  <c r="G2246" i="8"/>
  <c r="G2245" i="8"/>
  <c r="G2244" i="8"/>
  <c r="G2243" i="8"/>
  <c r="G2242" i="8"/>
  <c r="G2241" i="8"/>
  <c r="G2240" i="8"/>
  <c r="G2239" i="8"/>
  <c r="G2238" i="8"/>
  <c r="G2237" i="8"/>
  <c r="G2236" i="8"/>
  <c r="G2235" i="8"/>
  <c r="G2234" i="8"/>
  <c r="G2233" i="8"/>
  <c r="G2232" i="8"/>
  <c r="G2231" i="8"/>
  <c r="G2230" i="8"/>
  <c r="G2229" i="8"/>
  <c r="G2228" i="8"/>
  <c r="G2227" i="8"/>
  <c r="G2226" i="8"/>
  <c r="G2225" i="8"/>
  <c r="G2224" i="8"/>
  <c r="G2223" i="8"/>
  <c r="G2222" i="8"/>
  <c r="G2221" i="8"/>
  <c r="G2220" i="8"/>
  <c r="G2219" i="8"/>
  <c r="G2218" i="8"/>
  <c r="G2217" i="8"/>
  <c r="G2216" i="8"/>
  <c r="G2215" i="8"/>
  <c r="G2214" i="8"/>
  <c r="G2213" i="8"/>
  <c r="G2212" i="8"/>
  <c r="G2211" i="8"/>
  <c r="G2210" i="8"/>
  <c r="G2209" i="8"/>
  <c r="G2208" i="8"/>
  <c r="G2207" i="8"/>
  <c r="G2206" i="8"/>
  <c r="G2205" i="8"/>
  <c r="G2204" i="8"/>
  <c r="G2203" i="8"/>
  <c r="G2202" i="8"/>
  <c r="G2201" i="8"/>
  <c r="G2200" i="8"/>
  <c r="G2199" i="8"/>
  <c r="G2198" i="8"/>
  <c r="G2197" i="8"/>
  <c r="G2196" i="8"/>
  <c r="G2195" i="8"/>
  <c r="G2194" i="8"/>
  <c r="G2193" i="8"/>
  <c r="G2192" i="8"/>
  <c r="G2191" i="8"/>
  <c r="G2190" i="8"/>
  <c r="G2189" i="8"/>
  <c r="G2188" i="8"/>
  <c r="G2187" i="8"/>
  <c r="G2186" i="8"/>
  <c r="G2185" i="8"/>
  <c r="G2184" i="8"/>
  <c r="G2183" i="8"/>
  <c r="G2182" i="8"/>
  <c r="G2181" i="8"/>
  <c r="G2180" i="8"/>
  <c r="G2179" i="8"/>
  <c r="G2178" i="8"/>
  <c r="G2177" i="8"/>
  <c r="G2176" i="8"/>
  <c r="G2175" i="8"/>
  <c r="G2174" i="8"/>
  <c r="G2173" i="8"/>
  <c r="G2172" i="8"/>
  <c r="G2171" i="8"/>
  <c r="G2170" i="8"/>
  <c r="G2169" i="8"/>
  <c r="G2168" i="8"/>
  <c r="G2167" i="8"/>
  <c r="G2166" i="8"/>
  <c r="G2165" i="8"/>
  <c r="G2164" i="8"/>
  <c r="G2163" i="8"/>
  <c r="G2162" i="8"/>
  <c r="G2161" i="8"/>
  <c r="G2160" i="8"/>
  <c r="G2159" i="8"/>
  <c r="G2158" i="8"/>
  <c r="G2157" i="8"/>
  <c r="G2156" i="8"/>
  <c r="G2155" i="8"/>
  <c r="G2154" i="8"/>
  <c r="G2153" i="8"/>
  <c r="G2152" i="8"/>
  <c r="G2151" i="8"/>
  <c r="G2150" i="8"/>
  <c r="G2149" i="8"/>
  <c r="G2148" i="8"/>
  <c r="G2147" i="8"/>
  <c r="G2146" i="8"/>
  <c r="G2145" i="8"/>
  <c r="G2144" i="8"/>
  <c r="G2143" i="8"/>
  <c r="G2142" i="8"/>
  <c r="G2141" i="8"/>
  <c r="G2140" i="8"/>
  <c r="G2139" i="8"/>
  <c r="G2138" i="8"/>
  <c r="G2137" i="8"/>
  <c r="G2136" i="8"/>
  <c r="G2135" i="8"/>
  <c r="G2134" i="8"/>
  <c r="G2133" i="8"/>
  <c r="G2132" i="8"/>
  <c r="G2131" i="8"/>
  <c r="G2130" i="8"/>
  <c r="G2129" i="8"/>
  <c r="G2128" i="8"/>
  <c r="G2127" i="8"/>
  <c r="G2126" i="8"/>
  <c r="G2125" i="8"/>
  <c r="G2124" i="8"/>
  <c r="G2123" i="8"/>
  <c r="G2122" i="8"/>
  <c r="G2121" i="8"/>
  <c r="G2120" i="8"/>
  <c r="G2119" i="8"/>
  <c r="G2118" i="8"/>
  <c r="G2117" i="8"/>
  <c r="G2116" i="8"/>
  <c r="G2115" i="8"/>
  <c r="G2114" i="8"/>
  <c r="G2113" i="8"/>
  <c r="G2112" i="8"/>
  <c r="G2111" i="8"/>
  <c r="G2110" i="8"/>
  <c r="G2109" i="8"/>
  <c r="G2108" i="8"/>
  <c r="G2107" i="8"/>
  <c r="G2106" i="8"/>
  <c r="G2105" i="8"/>
  <c r="G2104" i="8"/>
  <c r="G2103" i="8"/>
  <c r="G2102" i="8"/>
  <c r="G2101" i="8"/>
  <c r="G2100" i="8"/>
  <c r="G2099" i="8"/>
  <c r="G2098" i="8"/>
  <c r="G2097" i="8"/>
  <c r="G2096" i="8"/>
  <c r="G2095" i="8"/>
  <c r="G2094" i="8"/>
  <c r="G2093" i="8"/>
  <c r="G2092" i="8"/>
  <c r="G2091" i="8"/>
  <c r="G2090" i="8"/>
  <c r="G2089" i="8"/>
  <c r="G2088" i="8"/>
  <c r="G2087" i="8"/>
  <c r="G2086" i="8"/>
  <c r="G2085" i="8"/>
  <c r="G2084" i="8"/>
  <c r="G2083" i="8"/>
  <c r="G2082" i="8"/>
  <c r="G2081" i="8"/>
  <c r="G2080" i="8"/>
  <c r="G2079" i="8"/>
  <c r="G2078" i="8"/>
  <c r="G2077" i="8"/>
  <c r="G2076" i="8"/>
  <c r="G2075" i="8"/>
  <c r="G2074" i="8"/>
  <c r="G2073" i="8"/>
  <c r="G2072" i="8"/>
  <c r="G2071" i="8"/>
  <c r="G2070" i="8"/>
  <c r="G2069" i="8"/>
  <c r="G2068" i="8"/>
  <c r="G2067" i="8"/>
  <c r="G2066" i="8"/>
  <c r="G2065" i="8"/>
  <c r="G2064" i="8"/>
  <c r="G2063" i="8"/>
  <c r="G2062" i="8"/>
  <c r="G2061" i="8"/>
  <c r="G2060" i="8"/>
  <c r="G2059" i="8"/>
  <c r="G2058" i="8"/>
  <c r="G2057" i="8"/>
  <c r="G2056" i="8"/>
  <c r="G2055" i="8"/>
  <c r="G2054" i="8"/>
  <c r="G2053" i="8"/>
  <c r="G2052" i="8"/>
  <c r="G2051" i="8"/>
  <c r="G2050" i="8"/>
  <c r="G2049" i="8"/>
  <c r="G2048" i="8"/>
  <c r="G2047" i="8"/>
  <c r="G2046" i="8"/>
  <c r="G2045" i="8"/>
  <c r="G2044" i="8"/>
  <c r="G2043" i="8"/>
  <c r="G2042" i="8"/>
  <c r="G2041" i="8"/>
  <c r="G2040" i="8"/>
  <c r="G2039" i="8"/>
  <c r="G2038" i="8"/>
  <c r="G2037" i="8"/>
  <c r="G2036" i="8"/>
  <c r="G2035" i="8"/>
  <c r="G2034" i="8"/>
  <c r="G2033" i="8"/>
  <c r="G2032" i="8"/>
  <c r="G2031" i="8"/>
  <c r="G2030" i="8"/>
  <c r="G2029" i="8"/>
  <c r="G2028" i="8"/>
  <c r="G2027" i="8"/>
  <c r="G2026" i="8"/>
  <c r="G2025" i="8"/>
  <c r="G2024" i="8"/>
  <c r="G2023" i="8"/>
  <c r="G2022" i="8"/>
  <c r="G2021" i="8"/>
  <c r="G2020" i="8"/>
  <c r="G2019" i="8"/>
  <c r="G2018" i="8"/>
  <c r="G2017" i="8"/>
  <c r="G2016" i="8"/>
  <c r="G2015" i="8"/>
  <c r="G2014" i="8"/>
  <c r="G2013" i="8"/>
  <c r="G2012" i="8"/>
  <c r="G2011" i="8"/>
  <c r="G2010" i="8"/>
  <c r="G2009" i="8"/>
  <c r="G2008" i="8"/>
  <c r="G2007" i="8"/>
  <c r="G2006" i="8"/>
  <c r="G2005" i="8"/>
  <c r="G2004" i="8"/>
  <c r="G2003" i="8"/>
  <c r="G2002" i="8"/>
  <c r="G2001" i="8"/>
  <c r="G2000" i="8"/>
  <c r="G1999" i="8"/>
  <c r="G1998" i="8"/>
  <c r="G1997" i="8"/>
  <c r="G1996" i="8"/>
  <c r="G1995" i="8"/>
  <c r="G1994" i="8"/>
  <c r="G1993" i="8"/>
  <c r="G1992" i="8"/>
  <c r="G1991" i="8"/>
  <c r="G1990" i="8"/>
  <c r="G1989" i="8"/>
  <c r="G1988" i="8"/>
  <c r="G1987" i="8"/>
  <c r="G1986" i="8"/>
  <c r="G1985" i="8"/>
  <c r="G1984" i="8"/>
  <c r="G1983" i="8"/>
  <c r="G1982" i="8"/>
  <c r="G1981" i="8"/>
  <c r="G1980" i="8"/>
  <c r="G1979" i="8"/>
  <c r="G1978" i="8"/>
  <c r="G1977" i="8"/>
  <c r="G1976" i="8"/>
  <c r="G1975" i="8"/>
  <c r="G1974" i="8"/>
  <c r="G1973" i="8"/>
  <c r="G1972" i="8"/>
  <c r="G1971" i="8"/>
  <c r="G1970" i="8"/>
  <c r="G1969" i="8"/>
  <c r="G1968" i="8"/>
  <c r="G1967" i="8"/>
  <c r="G1966" i="8"/>
  <c r="G1965" i="8"/>
  <c r="G1964" i="8"/>
  <c r="G1963" i="8"/>
  <c r="G1962" i="8"/>
  <c r="G1961" i="8"/>
  <c r="G1960" i="8"/>
  <c r="G1959" i="8"/>
  <c r="G1958" i="8"/>
  <c r="G1957" i="8"/>
  <c r="G1956" i="8"/>
  <c r="G1955" i="8"/>
  <c r="G1954" i="8"/>
  <c r="G1953" i="8"/>
  <c r="G1952" i="8"/>
  <c r="G1951" i="8"/>
  <c r="G1950" i="8"/>
  <c r="G1949" i="8"/>
  <c r="G1948" i="8"/>
  <c r="G1947" i="8"/>
  <c r="G1946" i="8"/>
  <c r="G1945" i="8"/>
  <c r="G1944" i="8"/>
  <c r="G1943" i="8"/>
  <c r="G1942" i="8"/>
  <c r="G1941" i="8"/>
  <c r="G1940" i="8"/>
  <c r="G1939" i="8"/>
  <c r="G1938" i="8"/>
  <c r="G1937" i="8"/>
  <c r="G1936" i="8"/>
  <c r="G1935" i="8"/>
  <c r="G1934" i="8"/>
  <c r="G1933" i="8"/>
  <c r="G1932" i="8"/>
  <c r="G1931" i="8"/>
  <c r="G1930" i="8"/>
  <c r="G1929" i="8"/>
  <c r="G1928" i="8"/>
  <c r="G1927" i="8"/>
  <c r="G1926" i="8"/>
  <c r="G1925" i="8"/>
  <c r="G1924" i="8"/>
  <c r="G1923" i="8"/>
  <c r="G1922" i="8"/>
  <c r="G1921" i="8"/>
  <c r="G1920" i="8"/>
  <c r="G1919" i="8"/>
  <c r="G1918" i="8"/>
  <c r="G1917" i="8"/>
  <c r="G1916" i="8"/>
  <c r="G1915" i="8"/>
  <c r="G1914" i="8"/>
  <c r="G1913" i="8"/>
  <c r="G1912" i="8"/>
  <c r="G1911" i="8"/>
  <c r="G1910" i="8"/>
  <c r="G1909" i="8"/>
  <c r="G1908" i="8"/>
  <c r="G1907" i="8"/>
  <c r="G1906" i="8"/>
  <c r="G1905" i="8"/>
  <c r="G1904" i="8"/>
  <c r="G1903" i="8"/>
  <c r="G1902" i="8"/>
  <c r="G1901" i="8"/>
  <c r="G1900" i="8"/>
  <c r="G1899" i="8"/>
  <c r="G1898" i="8"/>
  <c r="G1897" i="8"/>
  <c r="G1896" i="8"/>
  <c r="G1895" i="8"/>
  <c r="G1894" i="8"/>
  <c r="G1893" i="8"/>
  <c r="G1892" i="8"/>
  <c r="G1891" i="8"/>
  <c r="G1890" i="8"/>
  <c r="G1889" i="8"/>
  <c r="G1888" i="8"/>
  <c r="G1887" i="8"/>
  <c r="G1886" i="8"/>
  <c r="G1885" i="8"/>
  <c r="G1884" i="8"/>
  <c r="G1883" i="8"/>
  <c r="G1882" i="8"/>
  <c r="G1881" i="8"/>
  <c r="G1880" i="8"/>
  <c r="G1879" i="8"/>
  <c r="G1878" i="8"/>
  <c r="G1877" i="8"/>
  <c r="G1876" i="8"/>
  <c r="G1875" i="8"/>
  <c r="G1874" i="8"/>
  <c r="G1873" i="8"/>
  <c r="G1872" i="8"/>
  <c r="G1871" i="8"/>
  <c r="G1870" i="8"/>
  <c r="G1869" i="8"/>
  <c r="G1868" i="8"/>
  <c r="G1867" i="8"/>
  <c r="G1866" i="8"/>
  <c r="G1865" i="8"/>
  <c r="G1864" i="8"/>
  <c r="G1863" i="8"/>
  <c r="G1862" i="8"/>
  <c r="G1861" i="8"/>
  <c r="G1860" i="8"/>
  <c r="G1859" i="8"/>
  <c r="G1858" i="8"/>
  <c r="G1857" i="8"/>
  <c r="G1856" i="8"/>
  <c r="G1855" i="8"/>
  <c r="G1854" i="8"/>
  <c r="G1853" i="8"/>
  <c r="G1852" i="8"/>
  <c r="G1851" i="8"/>
  <c r="G1850" i="8"/>
  <c r="G1849" i="8"/>
  <c r="G1848" i="8"/>
  <c r="G1847" i="8"/>
  <c r="G1846" i="8"/>
  <c r="G1845" i="8"/>
  <c r="G1844" i="8"/>
  <c r="G1843" i="8"/>
  <c r="G1842" i="8"/>
  <c r="G1841" i="8"/>
  <c r="G1840" i="8"/>
  <c r="G1839" i="8"/>
  <c r="G1838" i="8"/>
  <c r="G1837" i="8"/>
  <c r="G1836" i="8"/>
  <c r="G1835" i="8"/>
  <c r="G1834" i="8"/>
  <c r="G1833" i="8"/>
  <c r="G1832" i="8"/>
  <c r="G1831" i="8"/>
  <c r="G1830" i="8"/>
  <c r="G1829" i="8"/>
  <c r="G1828" i="8"/>
  <c r="G1827" i="8"/>
  <c r="G1826" i="8"/>
  <c r="G1825" i="8"/>
  <c r="G1824" i="8"/>
  <c r="G1823" i="8"/>
  <c r="G1822" i="8"/>
  <c r="G1821" i="8"/>
  <c r="G1820" i="8"/>
  <c r="G1819" i="8"/>
  <c r="G1818" i="8"/>
  <c r="G1817" i="8"/>
  <c r="G1816" i="8"/>
  <c r="G1815" i="8"/>
  <c r="G1814" i="8"/>
  <c r="G1813" i="8"/>
  <c r="G1812" i="8"/>
  <c r="G1811" i="8"/>
  <c r="G1810" i="8"/>
  <c r="G1809" i="8"/>
  <c r="G1808" i="8"/>
  <c r="G1807" i="8"/>
  <c r="G1806" i="8"/>
  <c r="G1805" i="8"/>
  <c r="G1804" i="8"/>
  <c r="G1803" i="8"/>
  <c r="G1802" i="8"/>
  <c r="G1801" i="8"/>
  <c r="G1800" i="8"/>
  <c r="G1799" i="8"/>
  <c r="G1798" i="8"/>
  <c r="G1797" i="8"/>
  <c r="G1796" i="8"/>
  <c r="G1795" i="8"/>
  <c r="G1794" i="8"/>
  <c r="G1793" i="8"/>
  <c r="G1792" i="8"/>
  <c r="G1791" i="8"/>
  <c r="G1790" i="8"/>
  <c r="G1789" i="8"/>
  <c r="G1788" i="8"/>
  <c r="G1787" i="8"/>
  <c r="G1786" i="8"/>
  <c r="G1785" i="8"/>
  <c r="G1784" i="8"/>
  <c r="G1783" i="8"/>
  <c r="G1782" i="8"/>
  <c r="G1781" i="8"/>
  <c r="G1780" i="8"/>
  <c r="G1779" i="8"/>
  <c r="G1778" i="8"/>
  <c r="G1777" i="8"/>
  <c r="G1776" i="8"/>
  <c r="G1775" i="8"/>
  <c r="G1774" i="8"/>
  <c r="G1773" i="8"/>
  <c r="G1772" i="8"/>
  <c r="G1771" i="8"/>
  <c r="G1770" i="8"/>
  <c r="G1769" i="8"/>
  <c r="G1768" i="8"/>
  <c r="G1767" i="8"/>
  <c r="G1766" i="8"/>
  <c r="G1765" i="8"/>
  <c r="G1764" i="8"/>
  <c r="G1763" i="8"/>
  <c r="G1762" i="8"/>
  <c r="G1761" i="8"/>
  <c r="G1760" i="8"/>
  <c r="G1759" i="8"/>
  <c r="G1758" i="8"/>
  <c r="G1757" i="8"/>
  <c r="G1756" i="8"/>
  <c r="G1755" i="8"/>
  <c r="G1754" i="8"/>
  <c r="G1753" i="8"/>
  <c r="G1752" i="8"/>
  <c r="G1751" i="8"/>
  <c r="G1750" i="8"/>
  <c r="G1749" i="8"/>
  <c r="G1748" i="8"/>
  <c r="G1747" i="8"/>
  <c r="G1746" i="8"/>
  <c r="G1745" i="8"/>
  <c r="G1744" i="8"/>
  <c r="G1743" i="8"/>
  <c r="G1742" i="8"/>
  <c r="G1741" i="8"/>
  <c r="G1740" i="8"/>
  <c r="G1739" i="8"/>
  <c r="G1738" i="8"/>
  <c r="G1737" i="8"/>
  <c r="G1736" i="8"/>
  <c r="G1735" i="8"/>
  <c r="G1734" i="8"/>
  <c r="G1733" i="8"/>
  <c r="G1732" i="8"/>
  <c r="G1731" i="8"/>
  <c r="G1730" i="8"/>
  <c r="G1729" i="8"/>
  <c r="G1728" i="8"/>
  <c r="G1727" i="8"/>
  <c r="G1726" i="8"/>
  <c r="G1725" i="8"/>
  <c r="G1724" i="8"/>
  <c r="G1723" i="8"/>
  <c r="G1722" i="8"/>
  <c r="G1721" i="8"/>
  <c r="G1720" i="8"/>
  <c r="G1719" i="8"/>
  <c r="G1718" i="8"/>
  <c r="G1717" i="8"/>
  <c r="G1716" i="8"/>
  <c r="G1715" i="8"/>
  <c r="G1714" i="8"/>
  <c r="G1713" i="8"/>
  <c r="G1712" i="8"/>
  <c r="G1711" i="8"/>
  <c r="G1710" i="8"/>
  <c r="G1709" i="8"/>
  <c r="G1708" i="8"/>
  <c r="G1707" i="8"/>
  <c r="G1706" i="8"/>
  <c r="G1705" i="8"/>
  <c r="G1704" i="8"/>
  <c r="G1703" i="8"/>
  <c r="G1702" i="8"/>
  <c r="G1701" i="8"/>
  <c r="G1700" i="8"/>
  <c r="G1699" i="8"/>
  <c r="G1698" i="8"/>
  <c r="G1697" i="8"/>
  <c r="G1696" i="8"/>
  <c r="G1695" i="8"/>
  <c r="G1694" i="8"/>
  <c r="G1693" i="8"/>
  <c r="G1692" i="8"/>
  <c r="G1691" i="8"/>
  <c r="G1690" i="8"/>
  <c r="G1689" i="8"/>
  <c r="G1688" i="8"/>
  <c r="G1687" i="8"/>
  <c r="G1686" i="8"/>
  <c r="G1685" i="8"/>
  <c r="G1684" i="8"/>
  <c r="G1683" i="8"/>
  <c r="G1682" i="8"/>
  <c r="G1681" i="8"/>
  <c r="G1680" i="8"/>
  <c r="G1679" i="8"/>
  <c r="G1678" i="8"/>
  <c r="G1677" i="8"/>
  <c r="G1676" i="8"/>
  <c r="G1675" i="8"/>
  <c r="G1674" i="8"/>
  <c r="G1673" i="8"/>
  <c r="G1672" i="8"/>
  <c r="G1671" i="8"/>
  <c r="G1670" i="8"/>
  <c r="G1669" i="8"/>
  <c r="G1668" i="8"/>
  <c r="G1667" i="8"/>
  <c r="G1666" i="8"/>
  <c r="G1665" i="8"/>
  <c r="G1664" i="8"/>
  <c r="G1663" i="8"/>
  <c r="G1662" i="8"/>
  <c r="G1661" i="8"/>
  <c r="G1660" i="8"/>
  <c r="G1659" i="8"/>
  <c r="G1658" i="8"/>
  <c r="G1657" i="8"/>
  <c r="G1656" i="8"/>
  <c r="G1655" i="8"/>
  <c r="G1654" i="8"/>
  <c r="G1653" i="8"/>
  <c r="G1652" i="8"/>
  <c r="G1651" i="8"/>
  <c r="G1650" i="8"/>
  <c r="G1649" i="8"/>
  <c r="G1648" i="8"/>
  <c r="G1647" i="8"/>
  <c r="G1646" i="8"/>
  <c r="G1645" i="8"/>
  <c r="G1644" i="8"/>
  <c r="G1643" i="8"/>
  <c r="G1642" i="8"/>
  <c r="G1641" i="8"/>
  <c r="G1640" i="8"/>
  <c r="G1639" i="8"/>
  <c r="G1638" i="8"/>
  <c r="G1637" i="8"/>
  <c r="G1636" i="8"/>
  <c r="G1635" i="8"/>
  <c r="G1634" i="8"/>
  <c r="G1633" i="8"/>
  <c r="G1632" i="8"/>
  <c r="G1631" i="8"/>
  <c r="G1630" i="8"/>
  <c r="G1629" i="8"/>
  <c r="G1628" i="8"/>
  <c r="G1627" i="8"/>
  <c r="G1626" i="8"/>
  <c r="G1625" i="8"/>
  <c r="G1624" i="8"/>
  <c r="G1623" i="8"/>
  <c r="G1622" i="8"/>
  <c r="G1621" i="8"/>
  <c r="G1620" i="8"/>
  <c r="G1619" i="8"/>
  <c r="G1618" i="8"/>
  <c r="G1617" i="8"/>
  <c r="G1616" i="8"/>
  <c r="G1615" i="8"/>
  <c r="G1614" i="8"/>
  <c r="G1613" i="8"/>
  <c r="G1612" i="8"/>
  <c r="G1611" i="8"/>
  <c r="G1610" i="8"/>
  <c r="G1609" i="8"/>
  <c r="G1608" i="8"/>
  <c r="G1607" i="8"/>
  <c r="G1606" i="8"/>
  <c r="G1605" i="8"/>
  <c r="G1604" i="8"/>
  <c r="G1603" i="8"/>
  <c r="G1602" i="8"/>
  <c r="G1601" i="8"/>
  <c r="G1600" i="8"/>
  <c r="G1599" i="8"/>
  <c r="G1598" i="8"/>
  <c r="G1597" i="8"/>
  <c r="G1596" i="8"/>
  <c r="G1595" i="8"/>
  <c r="G1594" i="8"/>
  <c r="G1593" i="8"/>
  <c r="G1592" i="8"/>
  <c r="G1591" i="8"/>
  <c r="G1590" i="8"/>
  <c r="G1589" i="8"/>
  <c r="G1588" i="8"/>
  <c r="G1587" i="8"/>
  <c r="G1586" i="8"/>
  <c r="G1585" i="8"/>
  <c r="G1584" i="8"/>
  <c r="G1583" i="8"/>
  <c r="G1582" i="8"/>
  <c r="G1581" i="8"/>
  <c r="G1580" i="8"/>
  <c r="G1579" i="8"/>
  <c r="G1578" i="8"/>
  <c r="G1577" i="8"/>
  <c r="G1576" i="8"/>
  <c r="G1575" i="8"/>
  <c r="G1574" i="8"/>
  <c r="G1573" i="8"/>
  <c r="G1572" i="8"/>
  <c r="G1571" i="8"/>
  <c r="G1570" i="8"/>
  <c r="G1569" i="8"/>
  <c r="G1568" i="8"/>
  <c r="G1567" i="8"/>
  <c r="G1566" i="8"/>
  <c r="G1565" i="8"/>
  <c r="G1564" i="8"/>
  <c r="G1563" i="8"/>
  <c r="G1562" i="8"/>
  <c r="G1561" i="8"/>
  <c r="G1560" i="8"/>
  <c r="G1559" i="8"/>
  <c r="G1558" i="8"/>
  <c r="G1557" i="8"/>
  <c r="G1556" i="8"/>
  <c r="G1555" i="8"/>
  <c r="G1554" i="8"/>
  <c r="G1553" i="8"/>
  <c r="G1552" i="8"/>
  <c r="G1551" i="8"/>
  <c r="G1550" i="8"/>
  <c r="G1549" i="8"/>
  <c r="G1548" i="8"/>
  <c r="G1547" i="8"/>
  <c r="G1546" i="8"/>
  <c r="G1545" i="8"/>
  <c r="G1544" i="8"/>
  <c r="G1543" i="8"/>
  <c r="G1542" i="8"/>
  <c r="G1541" i="8"/>
  <c r="G1540" i="8"/>
  <c r="G1539" i="8"/>
  <c r="G1538" i="8"/>
  <c r="G1537" i="8"/>
  <c r="G1536" i="8"/>
  <c r="G1535" i="8"/>
  <c r="G1534" i="8"/>
  <c r="G1533" i="8"/>
  <c r="G1532" i="8"/>
  <c r="G1531" i="8"/>
  <c r="G1530" i="8"/>
  <c r="G1529" i="8"/>
  <c r="G1528" i="8"/>
  <c r="G1527" i="8"/>
  <c r="G1526" i="8"/>
  <c r="G1525" i="8"/>
  <c r="G1524" i="8"/>
  <c r="G1523" i="8"/>
  <c r="G1522" i="8"/>
  <c r="G1521" i="8"/>
  <c r="G1520" i="8"/>
  <c r="G1519" i="8"/>
  <c r="G1518" i="8"/>
  <c r="G1517" i="8"/>
  <c r="G1516" i="8"/>
  <c r="G1515" i="8"/>
  <c r="G1514" i="8"/>
  <c r="G1513" i="8"/>
  <c r="G1512" i="8"/>
  <c r="G1511" i="8"/>
  <c r="G1510" i="8"/>
  <c r="G1509" i="8"/>
  <c r="G1508" i="8"/>
  <c r="G1507" i="8"/>
  <c r="G1506" i="8"/>
  <c r="G1505" i="8"/>
  <c r="G1504" i="8"/>
  <c r="G1503" i="8"/>
  <c r="G1502" i="8"/>
  <c r="G1501" i="8"/>
  <c r="G1500" i="8"/>
  <c r="G1499" i="8"/>
  <c r="G1498" i="8"/>
  <c r="G1497" i="8"/>
  <c r="G1496" i="8"/>
  <c r="G1495" i="8"/>
  <c r="G1494" i="8"/>
  <c r="G1493" i="8"/>
  <c r="G1492" i="8"/>
  <c r="G1491" i="8"/>
  <c r="G1490" i="8"/>
  <c r="G1489" i="8"/>
  <c r="G1488" i="8"/>
  <c r="G1487" i="8"/>
  <c r="G1486" i="8"/>
  <c r="G1485" i="8"/>
  <c r="G1484" i="8"/>
  <c r="G1483" i="8"/>
  <c r="G1482" i="8"/>
  <c r="G1481" i="8"/>
  <c r="G1480" i="8"/>
  <c r="G1479" i="8"/>
  <c r="G1478" i="8"/>
  <c r="G1477" i="8"/>
  <c r="G1476" i="8"/>
  <c r="G1475" i="8"/>
  <c r="G1474" i="8"/>
  <c r="G1473" i="8"/>
  <c r="G1472" i="8"/>
  <c r="G1471" i="8"/>
  <c r="G1470" i="8"/>
  <c r="G1469" i="8"/>
  <c r="G1468" i="8"/>
  <c r="G1467" i="8"/>
  <c r="G1466" i="8"/>
  <c r="G1465" i="8"/>
  <c r="G1464" i="8"/>
  <c r="G1463" i="8"/>
  <c r="G1462" i="8"/>
  <c r="G1461" i="8"/>
  <c r="G1460" i="8"/>
  <c r="G1459" i="8"/>
  <c r="G1458" i="8"/>
  <c r="G1457" i="8"/>
  <c r="G1456" i="8"/>
  <c r="G1455" i="8"/>
  <c r="G1454" i="8"/>
  <c r="G1453" i="8"/>
  <c r="G1452" i="8"/>
  <c r="G1451" i="8"/>
  <c r="G1450" i="8"/>
  <c r="G1449" i="8"/>
  <c r="G1448" i="8"/>
  <c r="G1447" i="8"/>
  <c r="G1446" i="8"/>
  <c r="G1445" i="8"/>
  <c r="G1444" i="8"/>
  <c r="G1443" i="8"/>
  <c r="G1442" i="8"/>
  <c r="G1441" i="8"/>
  <c r="G1440" i="8"/>
  <c r="G1439" i="8"/>
  <c r="G1438" i="8"/>
  <c r="G1437" i="8"/>
  <c r="G1436" i="8"/>
  <c r="G1435" i="8"/>
  <c r="G1434" i="8"/>
  <c r="G1433" i="8"/>
  <c r="G1432" i="8"/>
  <c r="G1431" i="8"/>
  <c r="G1430" i="8"/>
  <c r="G1429" i="8"/>
  <c r="G1428" i="8"/>
  <c r="G1427" i="8"/>
  <c r="G1426" i="8"/>
  <c r="G1425" i="8"/>
  <c r="G1424" i="8"/>
  <c r="G1423" i="8"/>
  <c r="G1422" i="8"/>
  <c r="G1421" i="8"/>
  <c r="G1420" i="8"/>
  <c r="G1419" i="8"/>
  <c r="G1418" i="8"/>
  <c r="G1417" i="8"/>
  <c r="G1416" i="8"/>
  <c r="G1415" i="8"/>
  <c r="G1414" i="8"/>
  <c r="G1413" i="8"/>
  <c r="G1412" i="8"/>
  <c r="G1411" i="8"/>
  <c r="G1410" i="8"/>
  <c r="G1409" i="8"/>
  <c r="G1408" i="8"/>
  <c r="G1407" i="8"/>
  <c r="G1406" i="8"/>
  <c r="G1405" i="8"/>
  <c r="G1404" i="8"/>
  <c r="G1403" i="8"/>
  <c r="G1402" i="8"/>
  <c r="G1401" i="8"/>
  <c r="G1400" i="8"/>
  <c r="G1399" i="8"/>
  <c r="G1398" i="8"/>
  <c r="G1397" i="8"/>
  <c r="G1396" i="8"/>
  <c r="G1395" i="8"/>
  <c r="G1394" i="8"/>
  <c r="G1393" i="8"/>
  <c r="G1392" i="8"/>
  <c r="G1391" i="8"/>
  <c r="G1390" i="8"/>
  <c r="G1389" i="8"/>
  <c r="G1388" i="8"/>
  <c r="G1387" i="8"/>
  <c r="G1386" i="8"/>
  <c r="G1385" i="8"/>
  <c r="G1384" i="8"/>
  <c r="G1383" i="8"/>
  <c r="G1382" i="8"/>
  <c r="G1381" i="8"/>
  <c r="G1380" i="8"/>
  <c r="G1379" i="8"/>
  <c r="G1378" i="8"/>
  <c r="G1377" i="8"/>
  <c r="G1376" i="8"/>
  <c r="G1375" i="8"/>
  <c r="G1374" i="8"/>
  <c r="G1373" i="8"/>
  <c r="G1372" i="8"/>
  <c r="G1371" i="8"/>
  <c r="G1370" i="8"/>
  <c r="G1369" i="8"/>
  <c r="G1368" i="8"/>
  <c r="G1367" i="8"/>
  <c r="G1366" i="8"/>
  <c r="G1365" i="8"/>
  <c r="G1364" i="8"/>
  <c r="G1363" i="8"/>
  <c r="G1362" i="8"/>
  <c r="G1361" i="8"/>
  <c r="G1360" i="8"/>
  <c r="G1359" i="8"/>
  <c r="G1358" i="8"/>
  <c r="G1357" i="8"/>
  <c r="G1356" i="8"/>
  <c r="G1355" i="8"/>
  <c r="G1354" i="8"/>
  <c r="G1353" i="8"/>
  <c r="G1352" i="8"/>
  <c r="G1351" i="8"/>
  <c r="G1350" i="8"/>
  <c r="G1349" i="8"/>
  <c r="G1348" i="8"/>
  <c r="G1347" i="8"/>
  <c r="G1346" i="8"/>
  <c r="G1345" i="8"/>
  <c r="G1344" i="8"/>
  <c r="G1343" i="8"/>
  <c r="G1342" i="8"/>
  <c r="G1341" i="8"/>
  <c r="G1340" i="8"/>
  <c r="G1339" i="8"/>
  <c r="G1338" i="8"/>
  <c r="G1337" i="8"/>
  <c r="G1336" i="8"/>
  <c r="G1335" i="8"/>
  <c r="G1334" i="8"/>
  <c r="G1333" i="8"/>
  <c r="G1332" i="8"/>
  <c r="G1331" i="8"/>
  <c r="G1330" i="8"/>
  <c r="G1329" i="8"/>
  <c r="G1328" i="8"/>
  <c r="G1327" i="8"/>
  <c r="G1326" i="8"/>
  <c r="G1325" i="8"/>
  <c r="G1324" i="8"/>
  <c r="G1323" i="8"/>
  <c r="G1322" i="8"/>
  <c r="G1321" i="8"/>
  <c r="G1320" i="8"/>
  <c r="G1319" i="8"/>
  <c r="G1318" i="8"/>
  <c r="G1317" i="8"/>
  <c r="G1316" i="8"/>
  <c r="G1315" i="8"/>
  <c r="G1314" i="8"/>
  <c r="G1313" i="8"/>
  <c r="G1312" i="8"/>
  <c r="G1311" i="8"/>
  <c r="G1310" i="8"/>
  <c r="G1309" i="8"/>
  <c r="G1308" i="8"/>
  <c r="G1307" i="8"/>
  <c r="G1306" i="8"/>
  <c r="G1305" i="8"/>
  <c r="G1304" i="8"/>
  <c r="G1303" i="8"/>
  <c r="G1302" i="8"/>
  <c r="G1301" i="8"/>
  <c r="G1300" i="8"/>
  <c r="G1299" i="8"/>
  <c r="G1298" i="8"/>
  <c r="G1297" i="8"/>
  <c r="G1296" i="8"/>
  <c r="G1295" i="8"/>
  <c r="G1294" i="8"/>
  <c r="G1293" i="8"/>
  <c r="G1292" i="8"/>
  <c r="G1291" i="8"/>
  <c r="G1290" i="8"/>
  <c r="G1289" i="8"/>
  <c r="G1288" i="8"/>
  <c r="G1287" i="8"/>
  <c r="G1286" i="8"/>
  <c r="G1285" i="8"/>
  <c r="G1284" i="8"/>
  <c r="G1283" i="8"/>
  <c r="G1282" i="8"/>
  <c r="G1281" i="8"/>
  <c r="G1280" i="8"/>
  <c r="G1279" i="8"/>
  <c r="G1278" i="8"/>
  <c r="G1277" i="8"/>
  <c r="G1276" i="8"/>
  <c r="G1275" i="8"/>
  <c r="G1274" i="8"/>
  <c r="G1273" i="8"/>
  <c r="G1272" i="8"/>
  <c r="G1271" i="8"/>
  <c r="G1270" i="8"/>
  <c r="G1269" i="8"/>
  <c r="G1268" i="8"/>
  <c r="G1267" i="8"/>
  <c r="G1266" i="8"/>
  <c r="G1265" i="8"/>
  <c r="G1264" i="8"/>
  <c r="G1263" i="8"/>
  <c r="G1262" i="8"/>
  <c r="G1261" i="8"/>
  <c r="G1260" i="8"/>
  <c r="G1259" i="8"/>
  <c r="G1258" i="8"/>
  <c r="G1257" i="8"/>
  <c r="G1256" i="8"/>
  <c r="G1255" i="8"/>
  <c r="G1254" i="8"/>
  <c r="G1253" i="8"/>
  <c r="G1252" i="8"/>
  <c r="G1251" i="8"/>
  <c r="G1250" i="8"/>
  <c r="G1249" i="8"/>
  <c r="G1248" i="8"/>
  <c r="G1247" i="8"/>
  <c r="G1246" i="8"/>
  <c r="G1245" i="8"/>
  <c r="G1244" i="8"/>
  <c r="G1243" i="8"/>
  <c r="G1242" i="8"/>
  <c r="G1241" i="8"/>
  <c r="G1240" i="8"/>
  <c r="G1239" i="8"/>
  <c r="G1238" i="8"/>
  <c r="G1237" i="8"/>
  <c r="G1236" i="8"/>
  <c r="G1235" i="8"/>
  <c r="G1234" i="8"/>
  <c r="G1233" i="8"/>
  <c r="G1232" i="8"/>
  <c r="G1231" i="8"/>
  <c r="G1230" i="8"/>
  <c r="G1229" i="8"/>
  <c r="G1228" i="8"/>
  <c r="G1227" i="8"/>
  <c r="G1226" i="8"/>
  <c r="G1225" i="8"/>
  <c r="G1224" i="8"/>
  <c r="G1223" i="8"/>
  <c r="G1222" i="8"/>
  <c r="G1221" i="8"/>
  <c r="G1220" i="8"/>
  <c r="G1219" i="8"/>
  <c r="G1218" i="8"/>
  <c r="G1217" i="8"/>
  <c r="G1216" i="8"/>
  <c r="G1215" i="8"/>
  <c r="G1214" i="8"/>
  <c r="G1213" i="8"/>
  <c r="G1212" i="8"/>
  <c r="G1211" i="8"/>
  <c r="G1210" i="8"/>
  <c r="G1209" i="8"/>
  <c r="G1208" i="8"/>
  <c r="G1207" i="8"/>
  <c r="G1206" i="8"/>
  <c r="G1205" i="8"/>
  <c r="G1204" i="8"/>
  <c r="G1203" i="8"/>
  <c r="G1202" i="8"/>
  <c r="G1201" i="8"/>
  <c r="G1200" i="8"/>
  <c r="G1199" i="8"/>
  <c r="G1198" i="8"/>
  <c r="G1197" i="8"/>
  <c r="G1196" i="8"/>
  <c r="G1195" i="8"/>
  <c r="G1194" i="8"/>
  <c r="G1193" i="8"/>
  <c r="G1192" i="8"/>
  <c r="G1191" i="8"/>
  <c r="G1190" i="8"/>
  <c r="G1189" i="8"/>
  <c r="G1188" i="8"/>
  <c r="G1187" i="8"/>
  <c r="G1186" i="8"/>
  <c r="G1185" i="8"/>
  <c r="G1184" i="8"/>
  <c r="G1183" i="8"/>
  <c r="G1182" i="8"/>
  <c r="G1181" i="8"/>
  <c r="G1180" i="8"/>
  <c r="G1179" i="8"/>
  <c r="G1178" i="8"/>
  <c r="G1177" i="8"/>
  <c r="G1176" i="8"/>
  <c r="G1175" i="8"/>
  <c r="G1174" i="8"/>
  <c r="G1173" i="8"/>
  <c r="G1172" i="8"/>
  <c r="G1171" i="8"/>
  <c r="G1170" i="8"/>
  <c r="G1169" i="8"/>
  <c r="G1168" i="8"/>
  <c r="G1167" i="8"/>
  <c r="G1166" i="8"/>
  <c r="G1165" i="8"/>
  <c r="G1164" i="8"/>
  <c r="G1163" i="8"/>
  <c r="G1162" i="8"/>
  <c r="G1161" i="8"/>
  <c r="G1160" i="8"/>
  <c r="G1159" i="8"/>
  <c r="G1158" i="8"/>
  <c r="G1157" i="8"/>
  <c r="G1156" i="8"/>
  <c r="G1155" i="8"/>
  <c r="G1154" i="8"/>
  <c r="G1153" i="8"/>
  <c r="G1152" i="8"/>
  <c r="G1151" i="8"/>
  <c r="G1150" i="8"/>
  <c r="G1149" i="8"/>
  <c r="G1148" i="8"/>
  <c r="G1147" i="8"/>
  <c r="G1146" i="8"/>
  <c r="G1145" i="8"/>
  <c r="G1144" i="8"/>
  <c r="G1143" i="8"/>
  <c r="G1142" i="8"/>
  <c r="G1141" i="8"/>
  <c r="G1140" i="8"/>
  <c r="G1139" i="8"/>
  <c r="G1138" i="8"/>
  <c r="G1137" i="8"/>
  <c r="G1136" i="8"/>
  <c r="G1135" i="8"/>
  <c r="G1134" i="8"/>
  <c r="G1133" i="8"/>
  <c r="G1132" i="8"/>
  <c r="G1131" i="8"/>
  <c r="G1130" i="8"/>
  <c r="G1129" i="8"/>
  <c r="G1128" i="8"/>
  <c r="G1127" i="8"/>
  <c r="G1126" i="8"/>
  <c r="G1125" i="8"/>
  <c r="G1124" i="8"/>
  <c r="G1123" i="8"/>
  <c r="G1122" i="8"/>
  <c r="G1121" i="8"/>
  <c r="G1120" i="8"/>
  <c r="G1119" i="8"/>
  <c r="G1118" i="8"/>
  <c r="G1117" i="8"/>
  <c r="G1116" i="8"/>
  <c r="G1115" i="8"/>
  <c r="G1114" i="8"/>
  <c r="G1113" i="8"/>
  <c r="G1112" i="8"/>
  <c r="G1111" i="8"/>
  <c r="G1110" i="8"/>
  <c r="G1109" i="8"/>
  <c r="G1108" i="8"/>
  <c r="G1107" i="8"/>
  <c r="G1106" i="8"/>
  <c r="G1105" i="8"/>
  <c r="G1104" i="8"/>
  <c r="G1103" i="8"/>
  <c r="G1102" i="8"/>
  <c r="G1101" i="8"/>
  <c r="G1100" i="8"/>
  <c r="G1099" i="8"/>
  <c r="G1098" i="8"/>
  <c r="G1097" i="8"/>
  <c r="G1096" i="8"/>
  <c r="G1095" i="8"/>
  <c r="G1094" i="8"/>
  <c r="G1093" i="8"/>
  <c r="G1092" i="8"/>
  <c r="G1091" i="8"/>
  <c r="G1090" i="8"/>
  <c r="G1089" i="8"/>
  <c r="G1088" i="8"/>
  <c r="G1087" i="8"/>
  <c r="G1086" i="8"/>
  <c r="G1085" i="8"/>
  <c r="G1084" i="8"/>
  <c r="G1083" i="8"/>
  <c r="G1082" i="8"/>
  <c r="G1081" i="8"/>
  <c r="G1080" i="8"/>
  <c r="G1079" i="8"/>
  <c r="G1078" i="8"/>
  <c r="G1077" i="8"/>
  <c r="G1076" i="8"/>
  <c r="G1075" i="8"/>
  <c r="G1074" i="8"/>
  <c r="G1073" i="8"/>
  <c r="G1072" i="8"/>
  <c r="G1071" i="8"/>
  <c r="G1070" i="8"/>
  <c r="G1069" i="8"/>
  <c r="G1068" i="8"/>
  <c r="G1067" i="8"/>
  <c r="G1066" i="8"/>
  <c r="G1065" i="8"/>
  <c r="G1064" i="8"/>
  <c r="G1063" i="8"/>
  <c r="G1062" i="8"/>
  <c r="G1061" i="8"/>
  <c r="G1060" i="8"/>
  <c r="G1059" i="8"/>
  <c r="G1058" i="8"/>
  <c r="G1057" i="8"/>
  <c r="G1056" i="8"/>
  <c r="G1055" i="8"/>
  <c r="G1054" i="8"/>
  <c r="G1053" i="8"/>
  <c r="G1052" i="8"/>
  <c r="G1051" i="8"/>
  <c r="G1050" i="8"/>
  <c r="G1049" i="8"/>
  <c r="G1048" i="8"/>
  <c r="G1047" i="8"/>
  <c r="G1046" i="8"/>
  <c r="G1045" i="8"/>
  <c r="G1044" i="8"/>
  <c r="G1043" i="8"/>
  <c r="G1042" i="8"/>
  <c r="G1041" i="8"/>
  <c r="G1040" i="8"/>
  <c r="G1039" i="8"/>
  <c r="G1038" i="8"/>
  <c r="G1037" i="8"/>
  <c r="G1036" i="8"/>
  <c r="G1035" i="8"/>
  <c r="G1034" i="8"/>
  <c r="G1033" i="8"/>
  <c r="G1032" i="8"/>
  <c r="G1031" i="8"/>
  <c r="G1030" i="8"/>
  <c r="G1029" i="8"/>
  <c r="G1028" i="8"/>
  <c r="G1027" i="8"/>
  <c r="G1026" i="8"/>
  <c r="G1025" i="8"/>
  <c r="G1024" i="8"/>
  <c r="G1023" i="8"/>
  <c r="G1022" i="8"/>
  <c r="G1021" i="8"/>
  <c r="G1020" i="8"/>
  <c r="G1019" i="8"/>
  <c r="G1018" i="8"/>
  <c r="G1017" i="8"/>
  <c r="G1016" i="8"/>
  <c r="G1015" i="8"/>
  <c r="G1014" i="8"/>
  <c r="G1013" i="8"/>
  <c r="G1012" i="8"/>
  <c r="G1011" i="8"/>
  <c r="G1010" i="8"/>
  <c r="G1009" i="8"/>
  <c r="G1008" i="8"/>
  <c r="G1007" i="8"/>
  <c r="G1006" i="8"/>
  <c r="G1005" i="8"/>
  <c r="G1004" i="8"/>
  <c r="G1003" i="8"/>
  <c r="G1002" i="8"/>
  <c r="G1001" i="8"/>
  <c r="G1000" i="8"/>
  <c r="G999" i="8"/>
  <c r="G998" i="8"/>
  <c r="G997" i="8"/>
  <c r="G996" i="8"/>
  <c r="G995" i="8"/>
  <c r="G994" i="8"/>
  <c r="G993" i="8"/>
  <c r="G992" i="8"/>
  <c r="G991" i="8"/>
  <c r="G990" i="8"/>
  <c r="G989" i="8"/>
  <c r="G988" i="8"/>
  <c r="G987" i="8"/>
  <c r="G986" i="8"/>
  <c r="G985" i="8"/>
  <c r="G984" i="8"/>
  <c r="G983" i="8"/>
  <c r="G982" i="8"/>
  <c r="G981" i="8"/>
  <c r="G980" i="8"/>
  <c r="G979" i="8"/>
  <c r="G978" i="8"/>
  <c r="G977" i="8"/>
  <c r="G976" i="8"/>
  <c r="G975" i="8"/>
  <c r="G974" i="8"/>
  <c r="G973" i="8"/>
  <c r="G972" i="8"/>
  <c r="G971" i="8"/>
  <c r="G970" i="8"/>
  <c r="G969" i="8"/>
  <c r="G968" i="8"/>
  <c r="G967" i="8"/>
  <c r="G966" i="8"/>
  <c r="G965" i="8"/>
  <c r="G964" i="8"/>
  <c r="G963" i="8"/>
  <c r="G962" i="8"/>
  <c r="G961" i="8"/>
  <c r="G960" i="8"/>
  <c r="G959" i="8"/>
  <c r="G958" i="8"/>
  <c r="G957" i="8"/>
  <c r="G956" i="8"/>
  <c r="G955" i="8"/>
  <c r="G954" i="8"/>
  <c r="G953" i="8"/>
  <c r="G952" i="8"/>
  <c r="G951" i="8"/>
  <c r="G950" i="8"/>
  <c r="G949" i="8"/>
  <c r="G948" i="8"/>
  <c r="G947" i="8"/>
  <c r="G946" i="8"/>
  <c r="G945" i="8"/>
  <c r="G944" i="8"/>
  <c r="G943" i="8"/>
  <c r="G942" i="8"/>
  <c r="G941" i="8"/>
  <c r="G940" i="8"/>
  <c r="G939" i="8"/>
  <c r="G938" i="8"/>
  <c r="G937" i="8"/>
  <c r="G936" i="8"/>
  <c r="G935" i="8"/>
  <c r="G934" i="8"/>
  <c r="G933" i="8"/>
  <c r="G932" i="8"/>
  <c r="G931" i="8"/>
  <c r="G930" i="8"/>
  <c r="G929" i="8"/>
  <c r="G928" i="8"/>
  <c r="G927" i="8"/>
  <c r="G926" i="8"/>
  <c r="G925" i="8"/>
  <c r="G924" i="8"/>
  <c r="G923" i="8"/>
  <c r="G922" i="8"/>
  <c r="G921" i="8"/>
  <c r="G920" i="8"/>
  <c r="G919" i="8"/>
  <c r="G918" i="8"/>
  <c r="G917" i="8"/>
  <c r="G916" i="8"/>
  <c r="G915" i="8"/>
  <c r="G914" i="8"/>
  <c r="G913" i="8"/>
  <c r="G912" i="8"/>
  <c r="G911" i="8"/>
  <c r="G910" i="8"/>
  <c r="G909" i="8"/>
  <c r="G908" i="8"/>
  <c r="G907" i="8"/>
  <c r="G906" i="8"/>
  <c r="G905" i="8"/>
  <c r="G904" i="8"/>
  <c r="G903" i="8"/>
  <c r="G902" i="8"/>
  <c r="G901" i="8"/>
  <c r="G900" i="8"/>
  <c r="G899" i="8"/>
  <c r="G898" i="8"/>
  <c r="G897" i="8"/>
  <c r="G896" i="8"/>
  <c r="G895" i="8"/>
  <c r="G894" i="8"/>
  <c r="G893" i="8"/>
  <c r="G892" i="8"/>
  <c r="G891" i="8"/>
  <c r="G890" i="8"/>
  <c r="G889" i="8"/>
  <c r="G888" i="8"/>
  <c r="G887" i="8"/>
  <c r="G886" i="8"/>
  <c r="G885" i="8"/>
  <c r="G884" i="8"/>
  <c r="G883" i="8"/>
  <c r="G882" i="8"/>
  <c r="G881" i="8"/>
  <c r="G880" i="8"/>
  <c r="G879" i="8"/>
  <c r="G878" i="8"/>
  <c r="G877" i="8"/>
  <c r="G876" i="8"/>
  <c r="G875" i="8"/>
  <c r="G874" i="8"/>
  <c r="G873" i="8"/>
  <c r="G872" i="8"/>
  <c r="G871" i="8"/>
  <c r="G870" i="8"/>
  <c r="G869" i="8"/>
  <c r="G868" i="8"/>
  <c r="G867" i="8"/>
  <c r="G866" i="8"/>
  <c r="G865" i="8"/>
  <c r="G864" i="8"/>
  <c r="G863" i="8"/>
  <c r="G862" i="8"/>
  <c r="G861" i="8"/>
  <c r="G860" i="8"/>
  <c r="G859" i="8"/>
  <c r="G858" i="8"/>
  <c r="G857" i="8"/>
  <c r="G856" i="8"/>
  <c r="G855" i="8"/>
  <c r="G854" i="8"/>
  <c r="G853" i="8"/>
  <c r="G852" i="8"/>
  <c r="G851" i="8"/>
  <c r="G850" i="8"/>
  <c r="G849" i="8"/>
  <c r="G848" i="8"/>
  <c r="G847" i="8"/>
  <c r="G846" i="8"/>
  <c r="G845" i="8"/>
  <c r="G844" i="8"/>
  <c r="G843" i="8"/>
  <c r="G842" i="8"/>
  <c r="G841" i="8"/>
  <c r="G840" i="8"/>
  <c r="G839" i="8"/>
  <c r="G838" i="8"/>
  <c r="G837" i="8"/>
  <c r="G836" i="8"/>
  <c r="G835" i="8"/>
  <c r="G834" i="8"/>
  <c r="G833" i="8"/>
  <c r="G832" i="8"/>
  <c r="G831" i="8"/>
  <c r="G830" i="8"/>
  <c r="G829" i="8"/>
  <c r="G828" i="8"/>
  <c r="G827" i="8"/>
  <c r="G826" i="8"/>
  <c r="G825" i="8"/>
  <c r="G824" i="8"/>
  <c r="G823" i="8"/>
  <c r="G822" i="8"/>
  <c r="G821" i="8"/>
  <c r="G820" i="8"/>
  <c r="G819" i="8"/>
  <c r="G818" i="8"/>
  <c r="G817" i="8"/>
  <c r="G816" i="8"/>
  <c r="G815" i="8"/>
  <c r="G814" i="8"/>
  <c r="G813" i="8"/>
  <c r="G812" i="8"/>
  <c r="G811" i="8"/>
  <c r="G810" i="8"/>
  <c r="G809" i="8"/>
  <c r="G808" i="8"/>
  <c r="G807" i="8"/>
  <c r="G806" i="8"/>
  <c r="G805" i="8"/>
  <c r="G804" i="8"/>
  <c r="G803" i="8"/>
  <c r="G802" i="8"/>
  <c r="G801" i="8"/>
  <c r="G800" i="8"/>
  <c r="G799" i="8"/>
  <c r="G798" i="8"/>
  <c r="G797" i="8"/>
  <c r="G796" i="8"/>
  <c r="G795" i="8"/>
  <c r="G794" i="8"/>
  <c r="G793" i="8"/>
  <c r="G792" i="8"/>
  <c r="G791" i="8"/>
  <c r="G790" i="8"/>
  <c r="G789" i="8"/>
  <c r="G788" i="8"/>
  <c r="G787" i="8"/>
  <c r="G786" i="8"/>
  <c r="G785" i="8"/>
  <c r="G784" i="8"/>
  <c r="G783" i="8"/>
  <c r="G782" i="8"/>
  <c r="G781" i="8"/>
  <c r="G780" i="8"/>
  <c r="G779" i="8"/>
  <c r="G778" i="8"/>
  <c r="G777" i="8"/>
  <c r="G776" i="8"/>
  <c r="G775" i="8"/>
  <c r="G774" i="8"/>
  <c r="G773" i="8"/>
  <c r="G772" i="8"/>
  <c r="G771" i="8"/>
  <c r="G770" i="8"/>
  <c r="G769" i="8"/>
  <c r="G768" i="8"/>
  <c r="G767" i="8"/>
  <c r="G766" i="8"/>
  <c r="G765" i="8"/>
  <c r="G764" i="8"/>
  <c r="G763" i="8"/>
  <c r="G762" i="8"/>
  <c r="G761" i="8"/>
  <c r="G760" i="8"/>
  <c r="G759" i="8"/>
  <c r="G758" i="8"/>
  <c r="G757" i="8"/>
  <c r="G756" i="8"/>
  <c r="G755" i="8"/>
  <c r="G754" i="8"/>
  <c r="G753" i="8"/>
  <c r="G752" i="8"/>
  <c r="G751" i="8"/>
  <c r="G750" i="8"/>
  <c r="G749" i="8"/>
  <c r="G748" i="8"/>
  <c r="G747" i="8"/>
  <c r="G746" i="8"/>
  <c r="G745" i="8"/>
  <c r="G744" i="8"/>
  <c r="G743" i="8"/>
  <c r="G742" i="8"/>
  <c r="G741" i="8"/>
  <c r="G740" i="8"/>
  <c r="G739" i="8"/>
  <c r="G738" i="8"/>
  <c r="G737" i="8"/>
  <c r="G736" i="8"/>
  <c r="G735" i="8"/>
  <c r="G734" i="8"/>
  <c r="G733" i="8"/>
  <c r="G732" i="8"/>
  <c r="G731" i="8"/>
  <c r="G730" i="8"/>
  <c r="G729" i="8"/>
  <c r="G728" i="8"/>
  <c r="G727" i="8"/>
  <c r="G726" i="8"/>
  <c r="G725" i="8"/>
  <c r="G724" i="8"/>
  <c r="G723" i="8"/>
  <c r="G722" i="8"/>
  <c r="G721" i="8"/>
  <c r="G720" i="8"/>
  <c r="G719" i="8"/>
  <c r="G718" i="8"/>
  <c r="G717" i="8"/>
  <c r="G716" i="8"/>
  <c r="G715" i="8"/>
  <c r="G714" i="8"/>
  <c r="G713" i="8"/>
  <c r="G712" i="8"/>
  <c r="G711" i="8"/>
  <c r="G710" i="8"/>
  <c r="G709" i="8"/>
  <c r="G708" i="8"/>
  <c r="G707" i="8"/>
  <c r="G706" i="8"/>
  <c r="G705" i="8"/>
  <c r="G704" i="8"/>
  <c r="G703" i="8"/>
  <c r="G702" i="8"/>
  <c r="G701" i="8"/>
  <c r="G700" i="8"/>
  <c r="G699" i="8"/>
  <c r="G698" i="8"/>
  <c r="G697" i="8"/>
  <c r="G696" i="8"/>
  <c r="G695" i="8"/>
  <c r="G694" i="8"/>
  <c r="G693" i="8"/>
  <c r="G692" i="8"/>
  <c r="G691" i="8"/>
  <c r="G690" i="8"/>
  <c r="G689" i="8"/>
  <c r="G688" i="8"/>
  <c r="G687" i="8"/>
  <c r="G686" i="8"/>
  <c r="G685" i="8"/>
  <c r="G684" i="8"/>
  <c r="G683" i="8"/>
  <c r="G682" i="8"/>
  <c r="G681" i="8"/>
  <c r="G680" i="8"/>
  <c r="G679" i="8"/>
  <c r="G678" i="8"/>
  <c r="G677" i="8"/>
  <c r="G676" i="8"/>
  <c r="G675" i="8"/>
  <c r="G674" i="8"/>
  <c r="G673" i="8"/>
  <c r="G672" i="8"/>
  <c r="G671" i="8"/>
  <c r="G670" i="8"/>
  <c r="G669" i="8"/>
  <c r="G668" i="8"/>
  <c r="G667" i="8"/>
  <c r="G666" i="8"/>
  <c r="G665" i="8"/>
  <c r="G664" i="8"/>
  <c r="G663" i="8"/>
  <c r="G662" i="8"/>
  <c r="G661" i="8"/>
  <c r="G660" i="8"/>
  <c r="G659" i="8"/>
  <c r="G658" i="8"/>
  <c r="G657" i="8"/>
  <c r="G656" i="8"/>
  <c r="G655" i="8"/>
  <c r="G654" i="8"/>
  <c r="G653" i="8"/>
  <c r="G652" i="8"/>
  <c r="G651" i="8"/>
  <c r="G650" i="8"/>
  <c r="G649" i="8"/>
  <c r="G648" i="8"/>
  <c r="G647" i="8"/>
  <c r="G646" i="8"/>
  <c r="G645" i="8"/>
  <c r="G644" i="8"/>
  <c r="G643" i="8"/>
  <c r="G642" i="8"/>
  <c r="G641" i="8"/>
  <c r="G640" i="8"/>
  <c r="G639" i="8"/>
  <c r="G638" i="8"/>
  <c r="G637" i="8"/>
  <c r="G636" i="8"/>
  <c r="G635" i="8"/>
  <c r="G634" i="8"/>
  <c r="G633" i="8"/>
  <c r="G632" i="8"/>
  <c r="G631" i="8"/>
  <c r="G630" i="8"/>
  <c r="G629" i="8"/>
  <c r="G628" i="8"/>
  <c r="G627" i="8"/>
  <c r="G626" i="8"/>
  <c r="G625" i="8"/>
  <c r="G624" i="8"/>
  <c r="G623" i="8"/>
  <c r="G622" i="8"/>
  <c r="G621" i="8"/>
  <c r="G620" i="8"/>
  <c r="G619" i="8"/>
  <c r="G618" i="8"/>
  <c r="G617" i="8"/>
  <c r="G616" i="8"/>
  <c r="G615" i="8"/>
  <c r="G614" i="8"/>
  <c r="G613" i="8"/>
  <c r="G612" i="8"/>
  <c r="G611" i="8"/>
  <c r="G610" i="8"/>
  <c r="G609" i="8"/>
  <c r="G608" i="8"/>
  <c r="G607" i="8"/>
  <c r="G606" i="8"/>
  <c r="G605" i="8"/>
  <c r="G604" i="8"/>
  <c r="G603" i="8"/>
  <c r="G602" i="8"/>
  <c r="G601" i="8"/>
  <c r="G600" i="8"/>
  <c r="G599" i="8"/>
  <c r="G598" i="8"/>
  <c r="G597" i="8"/>
  <c r="G596" i="8"/>
  <c r="G595" i="8"/>
  <c r="G594" i="8"/>
  <c r="G593" i="8"/>
  <c r="G592" i="8"/>
  <c r="G591" i="8"/>
  <c r="G590" i="8"/>
  <c r="G589" i="8"/>
  <c r="G588" i="8"/>
  <c r="G587" i="8"/>
  <c r="G586" i="8"/>
  <c r="G585" i="8"/>
  <c r="G584" i="8"/>
  <c r="G583" i="8"/>
  <c r="G582" i="8"/>
  <c r="G581" i="8"/>
  <c r="G580" i="8"/>
  <c r="G579" i="8"/>
  <c r="G578" i="8"/>
  <c r="G577" i="8"/>
  <c r="G576" i="8"/>
  <c r="G575" i="8"/>
  <c r="G574" i="8"/>
  <c r="G573" i="8"/>
  <c r="G572" i="8"/>
  <c r="G571" i="8"/>
  <c r="G570" i="8"/>
  <c r="G569" i="8"/>
  <c r="G568" i="8"/>
  <c r="G567" i="8"/>
  <c r="G566" i="8"/>
  <c r="G565" i="8"/>
  <c r="G564" i="8"/>
  <c r="G563" i="8"/>
  <c r="G562" i="8"/>
  <c r="G561" i="8"/>
  <c r="G560" i="8"/>
  <c r="G559" i="8"/>
  <c r="G558" i="8"/>
  <c r="G557" i="8"/>
  <c r="G556" i="8"/>
  <c r="G555" i="8"/>
  <c r="G554" i="8"/>
  <c r="G553" i="8"/>
  <c r="G552" i="8"/>
  <c r="G551" i="8"/>
  <c r="G550" i="8"/>
  <c r="G549" i="8"/>
  <c r="G548" i="8"/>
  <c r="G547" i="8"/>
  <c r="G546" i="8"/>
  <c r="G545" i="8"/>
  <c r="G544" i="8"/>
  <c r="G543" i="8"/>
  <c r="G542" i="8"/>
  <c r="G541" i="8"/>
  <c r="G540" i="8"/>
  <c r="G539" i="8"/>
  <c r="G538" i="8"/>
  <c r="G537" i="8"/>
  <c r="G536" i="8"/>
  <c r="G535" i="8"/>
  <c r="G534" i="8"/>
  <c r="G533" i="8"/>
  <c r="G532" i="8"/>
  <c r="G531" i="8"/>
  <c r="G530" i="8"/>
  <c r="G529" i="8"/>
  <c r="G528" i="8"/>
  <c r="G527" i="8"/>
  <c r="G526" i="8"/>
  <c r="G525" i="8"/>
  <c r="G524" i="8"/>
  <c r="G523" i="8"/>
  <c r="G522" i="8"/>
  <c r="G521" i="8"/>
  <c r="G520" i="8"/>
  <c r="G519" i="8"/>
  <c r="G518" i="8"/>
  <c r="G517" i="8"/>
  <c r="G516" i="8"/>
  <c r="G515" i="8"/>
  <c r="G514" i="8"/>
  <c r="G513" i="8"/>
  <c r="G512" i="8"/>
  <c r="G511" i="8"/>
  <c r="G510" i="8"/>
  <c r="G509" i="8"/>
  <c r="G508" i="8"/>
  <c r="G507" i="8"/>
  <c r="G506" i="8"/>
  <c r="G505" i="8"/>
  <c r="G504" i="8"/>
  <c r="G503" i="8"/>
  <c r="G502" i="8"/>
  <c r="G501" i="8"/>
  <c r="G500" i="8"/>
  <c r="G499" i="8"/>
  <c r="G498" i="8"/>
  <c r="G497" i="8"/>
  <c r="G496" i="8"/>
  <c r="G495" i="8"/>
  <c r="G494" i="8"/>
  <c r="G493" i="8"/>
  <c r="G492" i="8"/>
  <c r="G491" i="8"/>
  <c r="G490" i="8"/>
  <c r="G489" i="8"/>
  <c r="G488" i="8"/>
  <c r="G487" i="8"/>
  <c r="G486" i="8"/>
  <c r="G485" i="8"/>
  <c r="G484" i="8"/>
  <c r="G483" i="8"/>
  <c r="G482" i="8"/>
  <c r="G481" i="8"/>
  <c r="G480" i="8"/>
  <c r="G479" i="8"/>
  <c r="G478" i="8"/>
  <c r="G477" i="8"/>
  <c r="G476" i="8"/>
  <c r="G475" i="8"/>
  <c r="G474" i="8"/>
  <c r="G473" i="8"/>
  <c r="G472" i="8"/>
  <c r="G471" i="8"/>
  <c r="G470" i="8"/>
  <c r="G469" i="8"/>
  <c r="G468" i="8"/>
  <c r="G467" i="8"/>
  <c r="G466" i="8"/>
  <c r="G465" i="8"/>
  <c r="G464" i="8"/>
  <c r="G463" i="8"/>
  <c r="G462" i="8"/>
  <c r="G461" i="8"/>
  <c r="G460" i="8"/>
  <c r="G459" i="8"/>
  <c r="G458" i="8"/>
  <c r="G457" i="8"/>
  <c r="G456" i="8"/>
  <c r="G455" i="8"/>
  <c r="G454" i="8"/>
  <c r="G453" i="8"/>
  <c r="G452" i="8"/>
  <c r="G451" i="8"/>
  <c r="G450" i="8"/>
  <c r="G449" i="8"/>
  <c r="G448" i="8"/>
  <c r="G447" i="8"/>
  <c r="G446" i="8"/>
  <c r="G445" i="8"/>
  <c r="G444" i="8"/>
  <c r="G443" i="8"/>
  <c r="G442" i="8"/>
  <c r="G441" i="8"/>
  <c r="G440" i="8"/>
  <c r="G439" i="8"/>
  <c r="G438" i="8"/>
  <c r="G437" i="8"/>
  <c r="G436" i="8"/>
  <c r="G435" i="8"/>
  <c r="G434" i="8"/>
  <c r="G433" i="8"/>
  <c r="G432" i="8"/>
  <c r="G431" i="8"/>
  <c r="G430" i="8"/>
  <c r="G429" i="8"/>
  <c r="G428" i="8"/>
  <c r="G427" i="8"/>
  <c r="G426" i="8"/>
  <c r="G425" i="8"/>
  <c r="G424" i="8"/>
  <c r="G423" i="8"/>
  <c r="G422" i="8"/>
  <c r="G421" i="8"/>
  <c r="G420" i="8"/>
  <c r="G419" i="8"/>
  <c r="G418" i="8"/>
  <c r="G417" i="8"/>
  <c r="G416" i="8"/>
  <c r="G415" i="8"/>
  <c r="G414" i="8"/>
  <c r="G413" i="8"/>
  <c r="G412" i="8"/>
  <c r="G411" i="8"/>
  <c r="G410" i="8"/>
  <c r="G409" i="8"/>
  <c r="G408" i="8"/>
  <c r="G407" i="8"/>
  <c r="G406" i="8"/>
  <c r="G405" i="8"/>
  <c r="G404" i="8"/>
  <c r="G403" i="8"/>
  <c r="G402" i="8"/>
  <c r="G401" i="8"/>
  <c r="G400" i="8"/>
  <c r="G399" i="8"/>
  <c r="G398" i="8"/>
  <c r="G397" i="8"/>
  <c r="G396" i="8"/>
  <c r="G395" i="8"/>
  <c r="G394" i="8"/>
  <c r="G393" i="8"/>
  <c r="G392" i="8"/>
  <c r="G391" i="8"/>
  <c r="G390" i="8"/>
  <c r="G389" i="8"/>
  <c r="G388" i="8"/>
  <c r="G387" i="8"/>
  <c r="G386" i="8"/>
  <c r="G385" i="8"/>
  <c r="G384" i="8"/>
  <c r="G383" i="8"/>
  <c r="G382" i="8"/>
  <c r="G381" i="8"/>
  <c r="G380" i="8"/>
  <c r="G379" i="8"/>
  <c r="G378" i="8"/>
  <c r="G377" i="8"/>
  <c r="G376" i="8"/>
  <c r="G375" i="8"/>
  <c r="G374" i="8"/>
  <c r="G373" i="8"/>
  <c r="G372" i="8"/>
  <c r="G371" i="8"/>
  <c r="G370" i="8"/>
  <c r="G369" i="8"/>
  <c r="G368" i="8"/>
  <c r="G367" i="8"/>
  <c r="G366" i="8"/>
  <c r="G365" i="8"/>
  <c r="G364" i="8"/>
  <c r="G363" i="8"/>
  <c r="G362" i="8"/>
  <c r="G361" i="8"/>
  <c r="G360" i="8"/>
  <c r="G359" i="8"/>
  <c r="G358" i="8"/>
  <c r="G357" i="8"/>
  <c r="G356" i="8"/>
  <c r="G355" i="8"/>
  <c r="G354" i="8"/>
  <c r="G353" i="8"/>
  <c r="G352" i="8"/>
  <c r="G351" i="8"/>
  <c r="G350" i="8"/>
  <c r="G349" i="8"/>
  <c r="G348" i="8"/>
  <c r="G347" i="8"/>
  <c r="G346" i="8"/>
  <c r="G345" i="8"/>
  <c r="G344" i="8"/>
  <c r="G343" i="8"/>
  <c r="G342" i="8"/>
  <c r="G341" i="8"/>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C3579" i="7"/>
  <c r="C3443" i="7"/>
  <c r="C3442" i="7"/>
  <c r="C3441" i="7"/>
  <c r="C3440" i="7"/>
  <c r="C3439" i="7"/>
  <c r="C3438" i="7"/>
  <c r="C3253" i="7"/>
  <c r="C3252" i="7"/>
  <c r="C3251" i="7"/>
  <c r="C3218" i="7"/>
  <c r="C3216" i="7"/>
  <c r="C3214" i="7"/>
  <c r="C3212" i="7"/>
  <c r="C3210" i="7"/>
  <c r="C3208" i="7"/>
  <c r="C3179" i="7"/>
  <c r="C3178" i="7"/>
  <c r="C3177" i="7"/>
  <c r="C3172" i="7"/>
  <c r="C3171" i="7"/>
  <c r="C3170" i="7"/>
  <c r="C3169" i="7"/>
  <c r="C3168" i="7"/>
  <c r="C3167" i="7"/>
  <c r="C3166" i="7"/>
  <c r="C3165" i="7"/>
  <c r="C3164" i="7"/>
  <c r="C3163" i="7"/>
  <c r="C3162" i="7"/>
  <c r="C3161" i="7"/>
  <c r="C3160" i="7"/>
  <c r="C3159" i="7"/>
  <c r="C3158" i="7"/>
  <c r="C3157" i="7"/>
  <c r="C3090" i="7"/>
  <c r="C3083" i="7"/>
  <c r="C3082" i="7"/>
  <c r="C3081" i="7"/>
  <c r="C3080" i="7"/>
  <c r="C3079" i="7"/>
  <c r="C3078" i="7"/>
  <c r="C3077" i="7"/>
  <c r="C3076" i="7"/>
  <c r="C3075" i="7"/>
  <c r="C3074" i="7"/>
  <c r="C3073" i="7"/>
  <c r="C3072" i="7"/>
  <c r="C3071" i="7"/>
  <c r="C3070" i="7"/>
  <c r="C3069" i="7"/>
  <c r="C3068" i="7"/>
  <c r="C3067" i="7"/>
  <c r="C3066" i="7"/>
  <c r="C3065" i="7"/>
  <c r="C3064" i="7"/>
  <c r="C3063" i="7"/>
  <c r="C3062" i="7"/>
  <c r="C3061" i="7"/>
  <c r="C3060" i="7"/>
  <c r="C3059" i="7"/>
  <c r="C3058" i="7"/>
  <c r="C3057" i="7"/>
  <c r="C3056" i="7"/>
  <c r="C3055" i="7"/>
  <c r="C3054" i="7"/>
  <c r="C3053" i="7"/>
  <c r="C3052" i="7"/>
  <c r="C3051" i="7"/>
  <c r="C3050" i="7"/>
  <c r="C3049" i="7"/>
  <c r="C3048" i="7"/>
  <c r="C3047" i="7"/>
  <c r="C3046" i="7"/>
  <c r="C3045" i="7"/>
  <c r="C3044" i="7"/>
  <c r="C3043" i="7"/>
  <c r="C3042" i="7"/>
  <c r="C3041" i="7"/>
  <c r="C3040" i="7"/>
  <c r="C3039" i="7"/>
  <c r="C3038" i="7"/>
  <c r="C3037" i="7"/>
  <c r="C3036" i="7"/>
  <c r="C3035" i="7"/>
  <c r="C3034" i="7"/>
  <c r="C3033" i="7"/>
  <c r="C3032" i="7"/>
  <c r="C3031" i="7"/>
  <c r="C3030" i="7"/>
  <c r="C3029" i="7"/>
  <c r="C3028" i="7"/>
  <c r="C3027" i="7"/>
  <c r="C3026" i="7"/>
  <c r="C3025" i="7"/>
  <c r="C3024" i="7"/>
  <c r="C3023" i="7"/>
  <c r="C3022" i="7"/>
  <c r="C3021" i="7"/>
  <c r="C3020" i="7"/>
  <c r="C3019" i="7"/>
  <c r="C3018" i="7"/>
  <c r="C3017" i="7"/>
  <c r="C3016" i="7"/>
  <c r="C3015" i="7"/>
  <c r="C3014" i="7"/>
  <c r="C3013" i="7"/>
  <c r="C3012" i="7"/>
  <c r="C3011" i="7"/>
  <c r="C3010" i="7"/>
  <c r="C3009" i="7"/>
  <c r="C3008" i="7"/>
  <c r="C3007" i="7"/>
  <c r="C3006" i="7"/>
  <c r="C3005" i="7"/>
  <c r="C3004" i="7"/>
  <c r="C3003" i="7"/>
  <c r="C3002" i="7"/>
  <c r="C3001" i="7"/>
  <c r="C3000" i="7"/>
  <c r="C2999" i="7"/>
  <c r="C2998" i="7"/>
  <c r="C2997" i="7"/>
  <c r="C2996" i="7"/>
  <c r="C2995" i="7"/>
  <c r="C2994" i="7"/>
  <c r="C2993" i="7"/>
  <c r="C2992" i="7"/>
  <c r="C2991" i="7"/>
  <c r="C2990" i="7"/>
  <c r="C2989" i="7"/>
  <c r="C2988" i="7"/>
  <c r="C2987" i="7"/>
  <c r="C2986" i="7"/>
  <c r="C2985" i="7"/>
  <c r="C2984" i="7"/>
  <c r="C2983" i="7"/>
  <c r="C2982" i="7"/>
  <c r="C2981" i="7"/>
  <c r="C2980" i="7"/>
  <c r="C2979" i="7"/>
  <c r="C2978" i="7"/>
  <c r="C2971" i="7"/>
  <c r="C2970" i="7"/>
  <c r="C2969" i="7"/>
  <c r="C2968" i="7"/>
  <c r="C2967" i="7"/>
  <c r="C2966" i="7"/>
  <c r="C2965" i="7"/>
  <c r="C2964" i="7"/>
  <c r="C2963" i="7"/>
  <c r="C2962" i="7"/>
  <c r="C2961" i="7"/>
  <c r="C2960" i="7"/>
  <c r="C2959" i="7"/>
  <c r="C2958" i="7"/>
  <c r="C2957" i="7"/>
  <c r="C2956" i="7"/>
  <c r="C2955" i="7"/>
  <c r="C2954" i="7"/>
  <c r="C2953" i="7"/>
  <c r="C2952" i="7"/>
  <c r="C2951" i="7"/>
  <c r="C2950" i="7"/>
  <c r="C2949" i="7"/>
  <c r="C2948" i="7"/>
  <c r="C2947" i="7"/>
  <c r="C2946" i="7"/>
  <c r="C2945" i="7"/>
  <c r="C2944" i="7"/>
  <c r="C2943" i="7"/>
  <c r="C2942" i="7"/>
  <c r="C2941" i="7"/>
  <c r="C2940" i="7"/>
  <c r="C2939" i="7"/>
  <c r="C2938" i="7"/>
  <c r="C2937" i="7"/>
  <c r="C2936" i="7"/>
  <c r="C2935" i="7"/>
  <c r="C2934" i="7"/>
  <c r="C2933" i="7"/>
  <c r="C2932" i="7"/>
  <c r="C2931" i="7"/>
  <c r="C2930" i="7"/>
  <c r="C2929" i="7"/>
  <c r="C2928" i="7"/>
  <c r="C2927" i="7"/>
  <c r="C2926" i="7"/>
  <c r="C2925" i="7"/>
  <c r="C2924" i="7"/>
  <c r="C2923" i="7"/>
  <c r="C2922" i="7"/>
  <c r="C2921" i="7"/>
  <c r="C2920" i="7"/>
  <c r="C2919" i="7"/>
  <c r="C2918" i="7"/>
  <c r="C2917" i="7"/>
  <c r="C2916" i="7"/>
  <c r="C2915" i="7"/>
  <c r="C2914" i="7"/>
  <c r="C2913" i="7"/>
  <c r="C2912" i="7"/>
  <c r="C2911" i="7"/>
  <c r="C2910" i="7"/>
  <c r="C2909" i="7"/>
  <c r="C2906" i="7"/>
  <c r="C2905" i="7"/>
  <c r="C2904" i="7"/>
  <c r="C2903" i="7"/>
  <c r="C2902" i="7"/>
  <c r="C2901" i="7"/>
  <c r="C2900" i="7"/>
  <c r="C2899" i="7"/>
  <c r="C2898" i="7"/>
  <c r="C2897" i="7"/>
  <c r="C2896" i="7"/>
  <c r="C2895" i="7"/>
  <c r="C2894" i="7"/>
  <c r="C2893" i="7"/>
  <c r="C2892" i="7"/>
  <c r="C2891" i="7"/>
  <c r="C2890" i="7"/>
  <c r="C2889" i="7"/>
  <c r="C2888" i="7"/>
  <c r="C2887" i="7"/>
  <c r="C2886" i="7"/>
  <c r="C2885" i="7"/>
  <c r="C2884" i="7"/>
  <c r="C2883" i="7"/>
  <c r="C2882" i="7"/>
  <c r="C2881" i="7"/>
  <c r="C2880" i="7"/>
  <c r="C2879" i="7"/>
  <c r="C2878" i="7"/>
  <c r="C2877" i="7"/>
  <c r="C2876" i="7"/>
  <c r="C2875" i="7"/>
  <c r="C2874" i="7"/>
  <c r="C2873" i="7"/>
  <c r="C2872" i="7"/>
  <c r="C2871" i="7"/>
  <c r="C2870" i="7"/>
  <c r="C2869" i="7"/>
  <c r="C2868" i="7"/>
  <c r="C2867" i="7"/>
  <c r="C2866" i="7"/>
  <c r="C2865" i="7"/>
  <c r="C2864" i="7"/>
  <c r="C2863" i="7"/>
  <c r="C2862" i="7"/>
  <c r="C2861" i="7"/>
  <c r="C2860" i="7"/>
  <c r="C2859" i="7"/>
  <c r="C2858" i="7"/>
  <c r="C2857" i="7"/>
  <c r="C2856" i="7"/>
  <c r="C2855" i="7"/>
  <c r="C2854" i="7"/>
  <c r="C2853" i="7"/>
  <c r="C2852" i="7"/>
  <c r="C2851" i="7"/>
  <c r="C2850" i="7"/>
  <c r="C2849" i="7"/>
  <c r="C2848" i="7"/>
  <c r="C2847" i="7"/>
  <c r="C2846" i="7"/>
  <c r="C2845" i="7"/>
  <c r="C2844" i="7"/>
  <c r="C2843" i="7"/>
  <c r="C2842" i="7"/>
  <c r="C2841" i="7"/>
  <c r="C2840" i="7"/>
  <c r="C2839" i="7"/>
  <c r="C2838" i="7"/>
  <c r="C2837" i="7"/>
  <c r="C2836" i="7"/>
  <c r="C2835" i="7"/>
  <c r="C2834" i="7"/>
  <c r="C2833" i="7"/>
  <c r="C2832" i="7"/>
  <c r="C2831" i="7"/>
  <c r="C2830" i="7"/>
  <c r="C2829" i="7"/>
  <c r="C2828" i="7"/>
  <c r="C2827" i="7"/>
  <c r="C2826" i="7"/>
  <c r="C2825" i="7"/>
  <c r="C2824" i="7"/>
  <c r="C2823" i="7"/>
  <c r="C2822" i="7"/>
  <c r="C2821" i="7"/>
  <c r="C2820" i="7"/>
  <c r="C2819" i="7"/>
  <c r="C2818" i="7"/>
  <c r="C2817" i="7"/>
  <c r="C2816" i="7"/>
  <c r="C2814" i="7"/>
  <c r="C2813" i="7"/>
  <c r="C2812" i="7"/>
  <c r="C2811" i="7"/>
  <c r="C2810" i="7"/>
  <c r="C2809" i="7"/>
  <c r="C2803" i="7"/>
  <c r="C2802" i="7"/>
  <c r="C2801" i="7"/>
  <c r="C2800" i="7"/>
  <c r="C2799" i="7"/>
  <c r="C2798" i="7"/>
  <c r="C2797" i="7"/>
  <c r="C2796" i="7"/>
  <c r="C2795" i="7"/>
  <c r="C2794" i="7"/>
  <c r="C2793" i="7"/>
  <c r="C2792" i="7"/>
  <c r="C2791" i="7"/>
  <c r="C2790" i="7"/>
  <c r="C2789" i="7"/>
  <c r="C2788" i="7"/>
  <c r="C2787" i="7"/>
  <c r="C2786" i="7"/>
  <c r="C2785" i="7"/>
  <c r="C2784" i="7"/>
  <c r="C2783" i="7"/>
  <c r="C2782" i="7"/>
  <c r="C2781" i="7"/>
  <c r="C2780" i="7"/>
  <c r="C2773" i="7"/>
  <c r="C2772" i="7"/>
  <c r="C2771" i="7"/>
  <c r="C2770" i="7"/>
  <c r="C2769" i="7"/>
  <c r="C2768" i="7"/>
  <c r="C2767" i="7"/>
  <c r="C2766" i="7"/>
  <c r="C2765" i="7"/>
  <c r="C2764" i="7"/>
  <c r="C2763" i="7"/>
  <c r="C2762" i="7"/>
  <c r="C2761" i="7"/>
  <c r="C2760" i="7"/>
  <c r="C2759" i="7"/>
  <c r="C2758" i="7"/>
  <c r="C2757" i="7"/>
  <c r="C2756" i="7"/>
  <c r="C2755" i="7"/>
  <c r="C2754" i="7"/>
  <c r="C2753" i="7"/>
  <c r="C2752" i="7"/>
  <c r="C2751" i="7"/>
  <c r="C2750" i="7"/>
  <c r="C2749" i="7"/>
  <c r="C2748" i="7"/>
  <c r="C2747" i="7"/>
  <c r="C2746" i="7"/>
  <c r="C2745" i="7"/>
  <c r="C2744" i="7"/>
  <c r="C2743" i="7"/>
  <c r="C2742" i="7"/>
  <c r="C2741" i="7"/>
  <c r="C2740" i="7"/>
  <c r="C2739" i="7"/>
  <c r="C2738" i="7"/>
  <c r="C2737" i="7"/>
  <c r="C2736" i="7"/>
  <c r="C2735" i="7"/>
  <c r="C2734" i="7"/>
  <c r="C2733" i="7"/>
  <c r="C2732" i="7"/>
  <c r="C2731" i="7"/>
  <c r="C2730" i="7"/>
  <c r="C2729" i="7"/>
  <c r="C2728" i="7"/>
  <c r="C2727" i="7"/>
  <c r="C2726" i="7"/>
  <c r="C2725" i="7"/>
  <c r="C2724" i="7"/>
  <c r="C2723" i="7"/>
  <c r="C2722" i="7"/>
  <c r="C2721" i="7"/>
  <c r="C2720" i="7"/>
  <c r="C2719" i="7"/>
  <c r="C2718" i="7"/>
  <c r="C2717" i="7"/>
  <c r="C2716" i="7"/>
  <c r="C2715" i="7"/>
  <c r="C2714" i="7"/>
  <c r="C2713" i="7"/>
  <c r="C2712" i="7"/>
  <c r="C2711" i="7"/>
  <c r="C2710" i="7"/>
  <c r="C2709" i="7"/>
  <c r="C2708" i="7"/>
  <c r="C2707" i="7"/>
  <c r="C2706" i="7"/>
  <c r="C2705" i="7"/>
  <c r="C2704" i="7"/>
  <c r="C2703" i="7"/>
  <c r="C2702" i="7"/>
  <c r="C2701" i="7"/>
  <c r="C2700" i="7"/>
  <c r="C2699" i="7"/>
  <c r="C2698" i="7"/>
  <c r="C2697" i="7"/>
  <c r="C2696" i="7"/>
  <c r="C2695" i="7"/>
  <c r="C2694" i="7"/>
  <c r="C2693" i="7"/>
  <c r="C2687" i="7"/>
  <c r="C2686" i="7"/>
  <c r="C2685" i="7"/>
  <c r="C2684" i="7"/>
  <c r="C2683" i="7"/>
  <c r="C2682" i="7"/>
  <c r="C2681" i="7"/>
  <c r="C2680" i="7"/>
  <c r="C2679" i="7"/>
  <c r="C2678" i="7"/>
  <c r="C2677" i="7"/>
  <c r="C2676" i="7"/>
  <c r="C2675" i="7"/>
  <c r="C2674" i="7"/>
  <c r="C2673" i="7"/>
  <c r="C2672" i="7"/>
  <c r="C2671" i="7"/>
  <c r="C2670" i="7"/>
  <c r="C2669" i="7"/>
  <c r="C2668" i="7"/>
  <c r="C2667" i="7"/>
  <c r="C2666" i="7"/>
  <c r="C2665" i="7"/>
  <c r="C2664" i="7"/>
  <c r="C2663" i="7"/>
  <c r="C2662" i="7"/>
  <c r="C2661" i="7"/>
  <c r="C2660" i="7"/>
  <c r="C2659" i="7"/>
  <c r="C2658" i="7"/>
  <c r="C2657" i="7"/>
  <c r="C2656" i="7"/>
  <c r="C2655" i="7"/>
  <c r="C2654" i="7"/>
  <c r="C2653" i="7"/>
  <c r="C2652" i="7"/>
  <c r="C2651" i="7"/>
  <c r="C2650" i="7"/>
  <c r="C2649" i="7"/>
  <c r="C2648" i="7"/>
  <c r="C2647" i="7"/>
  <c r="C2646" i="7"/>
  <c r="C2645" i="7"/>
  <c r="C2644" i="7"/>
  <c r="C2643" i="7"/>
  <c r="C2642" i="7"/>
  <c r="C2641" i="7"/>
  <c r="C2640" i="7"/>
  <c r="C2639" i="7"/>
  <c r="C2638" i="7"/>
  <c r="C2637" i="7"/>
  <c r="C2636" i="7"/>
  <c r="C2635" i="7"/>
  <c r="C2634" i="7"/>
  <c r="C2633" i="7"/>
  <c r="C2632" i="7"/>
  <c r="C2631" i="7"/>
  <c r="C2630" i="7"/>
  <c r="C2629" i="7"/>
  <c r="C2628" i="7"/>
  <c r="C2627" i="7"/>
  <c r="C2626" i="7"/>
  <c r="C2625" i="7"/>
  <c r="C2624" i="7"/>
  <c r="C2623" i="7"/>
  <c r="C2622" i="7"/>
  <c r="C2621" i="7"/>
  <c r="C2620" i="7"/>
  <c r="C2619" i="7"/>
  <c r="C2618" i="7"/>
  <c r="C2617" i="7"/>
  <c r="C2616" i="7"/>
  <c r="C2615" i="7"/>
  <c r="C2614" i="7"/>
  <c r="C2613" i="7"/>
  <c r="C2612" i="7"/>
  <c r="C2611" i="7"/>
  <c r="C2610" i="7"/>
  <c r="C2609" i="7"/>
  <c r="C2608" i="7"/>
  <c r="C2607" i="7"/>
  <c r="C2606" i="7"/>
  <c r="C2605" i="7"/>
  <c r="C2604" i="7"/>
  <c r="C2603" i="7"/>
  <c r="C2602" i="7"/>
  <c r="C2601" i="7"/>
  <c r="C2600" i="7"/>
  <c r="C2599" i="7"/>
  <c r="C2598" i="7"/>
  <c r="C2597" i="7"/>
  <c r="C2596" i="7"/>
  <c r="C2595" i="7"/>
  <c r="C2594" i="7"/>
  <c r="C2593" i="7"/>
  <c r="C2592" i="7"/>
  <c r="C2591" i="7"/>
  <c r="C2590" i="7"/>
  <c r="C2589" i="7"/>
  <c r="C2588" i="7"/>
  <c r="C2587" i="7"/>
  <c r="C2586" i="7"/>
  <c r="C2585" i="7"/>
  <c r="C2584" i="7"/>
  <c r="C2583" i="7"/>
  <c r="C2582" i="7"/>
  <c r="C2581" i="7"/>
  <c r="C2580" i="7"/>
  <c r="C2579" i="7"/>
  <c r="C2578" i="7"/>
  <c r="C2577" i="7"/>
  <c r="C2576" i="7"/>
  <c r="C2575" i="7"/>
  <c r="C2574" i="7"/>
  <c r="C2573" i="7"/>
  <c r="C2572" i="7"/>
  <c r="C2571" i="7"/>
  <c r="C2570" i="7"/>
  <c r="C2569" i="7"/>
  <c r="C2568" i="7"/>
  <c r="C2567" i="7"/>
  <c r="C2566" i="7"/>
  <c r="C2565" i="7"/>
  <c r="C2564" i="7"/>
  <c r="C2563" i="7"/>
  <c r="C2562" i="7"/>
  <c r="C2561" i="7"/>
  <c r="C2560" i="7"/>
  <c r="C2559" i="7"/>
  <c r="C2558" i="7"/>
  <c r="C2557" i="7"/>
  <c r="C2556" i="7"/>
  <c r="C2555" i="7"/>
  <c r="C2554" i="7"/>
  <c r="C2553" i="7"/>
  <c r="C2552" i="7"/>
  <c r="C2551" i="7"/>
  <c r="C2550" i="7"/>
  <c r="C2549" i="7"/>
  <c r="C2548" i="7"/>
  <c r="C2547" i="7"/>
  <c r="C2546" i="7"/>
  <c r="C2545" i="7"/>
  <c r="C2544" i="7"/>
  <c r="C2543" i="7"/>
  <c r="C2542" i="7"/>
  <c r="C2541" i="7"/>
  <c r="C2540" i="7"/>
  <c r="C2539" i="7"/>
  <c r="C2538" i="7"/>
  <c r="C2537" i="7"/>
  <c r="C2536" i="7"/>
  <c r="C2535" i="7"/>
  <c r="C2534" i="7"/>
  <c r="C2529" i="7"/>
  <c r="C2528" i="7"/>
  <c r="C2527" i="7"/>
  <c r="C2526" i="7"/>
  <c r="C2525" i="7"/>
  <c r="C2522" i="7"/>
  <c r="C2521" i="7"/>
  <c r="C2520" i="7"/>
  <c r="C2519" i="7"/>
  <c r="C2518" i="7"/>
  <c r="C2517" i="7"/>
  <c r="C2516" i="7"/>
  <c r="C2515" i="7"/>
  <c r="C2514" i="7"/>
  <c r="C2513" i="7"/>
  <c r="C2512" i="7"/>
  <c r="C2511" i="7"/>
  <c r="C2510" i="7"/>
  <c r="C2509" i="7"/>
  <c r="C2508" i="7"/>
  <c r="C2507" i="7"/>
  <c r="C2506" i="7"/>
  <c r="C2505" i="7"/>
  <c r="C2504" i="7"/>
  <c r="C2503" i="7"/>
  <c r="C2502" i="7"/>
  <c r="C2501" i="7"/>
  <c r="C2500" i="7"/>
  <c r="C2499" i="7"/>
  <c r="C2498" i="7"/>
  <c r="C2497" i="7"/>
  <c r="C2496" i="7"/>
  <c r="C2495" i="7"/>
  <c r="C2494" i="7"/>
  <c r="C2493" i="7"/>
  <c r="C2492" i="7"/>
  <c r="C2491" i="7"/>
  <c r="C2490" i="7"/>
  <c r="C2489" i="7"/>
  <c r="C2488" i="7"/>
  <c r="C2487" i="7"/>
  <c r="C2486" i="7"/>
  <c r="C2485" i="7"/>
  <c r="C2484" i="7"/>
  <c r="C2483" i="7"/>
  <c r="C2482" i="7"/>
  <c r="C2481" i="7"/>
  <c r="C2480" i="7"/>
  <c r="C2479" i="7"/>
  <c r="C2478" i="7"/>
  <c r="C2477" i="7"/>
  <c r="C2468" i="7"/>
  <c r="C2467" i="7"/>
  <c r="C2466" i="7"/>
  <c r="C2465" i="7"/>
  <c r="C2464" i="7"/>
  <c r="C2463" i="7"/>
  <c r="C2462" i="7"/>
  <c r="C2461" i="7"/>
  <c r="C2460" i="7"/>
  <c r="C2459" i="7"/>
  <c r="C2458" i="7"/>
  <c r="C2457" i="7"/>
  <c r="C2456" i="7"/>
  <c r="C2440" i="7"/>
  <c r="C2439" i="7"/>
  <c r="C2438" i="7"/>
  <c r="C2437" i="7"/>
  <c r="C2436" i="7"/>
  <c r="C2435" i="7"/>
  <c r="C2434" i="7"/>
  <c r="C2433" i="7"/>
  <c r="C2432" i="7"/>
  <c r="C2431" i="7"/>
  <c r="C2430" i="7"/>
  <c r="C2429" i="7"/>
  <c r="C2428" i="7"/>
  <c r="C2427" i="7"/>
  <c r="C2426" i="7"/>
  <c r="C2425" i="7"/>
  <c r="C2424" i="7"/>
  <c r="C2423" i="7"/>
  <c r="C2422" i="7"/>
  <c r="C2421" i="7"/>
  <c r="C2420" i="7"/>
  <c r="C2419" i="7"/>
  <c r="C2418" i="7"/>
  <c r="C2417" i="7"/>
  <c r="C2416" i="7"/>
  <c r="C2415" i="7"/>
  <c r="C2414" i="7"/>
  <c r="C2413" i="7"/>
  <c r="C2412" i="7"/>
  <c r="C2411" i="7"/>
  <c r="C2410" i="7"/>
  <c r="C2409" i="7"/>
  <c r="C2408" i="7"/>
  <c r="C2407" i="7"/>
  <c r="C2406" i="7"/>
  <c r="C2405" i="7"/>
  <c r="C2404" i="7"/>
  <c r="C2403" i="7"/>
  <c r="C2402" i="7"/>
  <c r="C2401" i="7"/>
  <c r="C2400" i="7"/>
  <c r="C2399" i="7"/>
  <c r="C2398" i="7"/>
  <c r="C2397" i="7"/>
  <c r="C2396" i="7"/>
  <c r="C2395" i="7"/>
  <c r="C2394" i="7"/>
  <c r="C2393" i="7"/>
  <c r="C2392" i="7"/>
  <c r="C2391" i="7"/>
  <c r="C2390" i="7"/>
  <c r="C2389" i="7"/>
  <c r="C2388" i="7"/>
  <c r="C2387" i="7"/>
  <c r="C2386" i="7"/>
  <c r="C2385" i="7"/>
  <c r="C2384" i="7"/>
  <c r="C2383" i="7"/>
  <c r="C2382" i="7"/>
  <c r="C2381" i="7"/>
  <c r="C2380" i="7"/>
  <c r="C2379" i="7"/>
  <c r="C2378" i="7"/>
  <c r="C2377" i="7"/>
  <c r="C2376" i="7"/>
  <c r="C2375" i="7"/>
  <c r="C2374" i="7"/>
  <c r="C2373" i="7"/>
  <c r="C2372" i="7"/>
  <c r="C2371" i="7"/>
  <c r="C2370" i="7"/>
  <c r="C2369" i="7"/>
  <c r="C2368" i="7"/>
  <c r="C2367" i="7"/>
  <c r="C2366" i="7"/>
  <c r="C2365" i="7"/>
  <c r="C2364" i="7"/>
  <c r="C2363" i="7"/>
  <c r="C2362" i="7"/>
  <c r="C2361" i="7"/>
  <c r="C2360" i="7"/>
  <c r="C2359" i="7"/>
  <c r="C2350" i="7"/>
  <c r="C2349" i="7"/>
  <c r="C2348" i="7"/>
  <c r="C2347" i="7"/>
  <c r="C2346" i="7"/>
  <c r="C2345" i="7"/>
  <c r="C2344" i="7"/>
  <c r="C2343" i="7"/>
  <c r="C2342" i="7"/>
  <c r="C2341" i="7"/>
  <c r="C2340" i="7"/>
  <c r="C2339" i="7"/>
  <c r="C2338" i="7"/>
  <c r="C2337" i="7"/>
  <c r="C2336" i="7"/>
  <c r="C2335" i="7"/>
  <c r="C2334" i="7"/>
  <c r="C2333" i="7"/>
  <c r="C2332" i="7"/>
  <c r="C2331" i="7"/>
  <c r="C2330" i="7"/>
  <c r="C2329" i="7"/>
  <c r="C2328" i="7"/>
  <c r="C2327" i="7"/>
  <c r="C2326" i="7"/>
  <c r="C2325" i="7"/>
  <c r="C2324" i="7"/>
  <c r="C2323" i="7"/>
  <c r="C2322" i="7"/>
  <c r="C2321" i="7"/>
  <c r="C2320" i="7"/>
  <c r="C2319" i="7"/>
  <c r="C2318" i="7"/>
  <c r="C2317" i="7"/>
  <c r="C2316" i="7"/>
  <c r="C2315" i="7"/>
  <c r="C2314" i="7"/>
  <c r="C2313" i="7"/>
  <c r="C2312" i="7"/>
  <c r="C2311" i="7"/>
  <c r="C2310" i="7"/>
  <c r="C2309" i="7"/>
  <c r="C2308" i="7"/>
  <c r="C2307" i="7"/>
  <c r="C2306" i="7"/>
  <c r="C2305" i="7"/>
  <c r="C2304" i="7"/>
  <c r="C2303" i="7"/>
  <c r="C2302" i="7"/>
  <c r="C2301" i="7"/>
  <c r="C2300" i="7"/>
  <c r="C2299" i="7"/>
  <c r="C2298" i="7"/>
  <c r="C2297" i="7"/>
  <c r="C2296" i="7"/>
  <c r="C2295" i="7"/>
  <c r="C2294" i="7"/>
  <c r="C2293" i="7"/>
  <c r="C2292" i="7"/>
  <c r="C2291" i="7"/>
  <c r="C2290" i="7"/>
  <c r="C2289" i="7"/>
  <c r="C2282" i="7"/>
  <c r="C2281" i="7"/>
  <c r="C2280" i="7"/>
  <c r="C2279" i="7"/>
  <c r="C2278" i="7"/>
  <c r="C2277" i="7"/>
  <c r="C2276" i="7"/>
  <c r="C2275" i="7"/>
  <c r="C2274" i="7"/>
  <c r="C2273" i="7"/>
  <c r="C2272" i="7"/>
  <c r="C2271" i="7"/>
  <c r="C2270" i="7"/>
  <c r="C2269" i="7"/>
  <c r="C2268" i="7"/>
  <c r="C2267" i="7"/>
  <c r="C2266" i="7"/>
  <c r="C2265" i="7"/>
  <c r="C2264" i="7"/>
  <c r="C2263" i="7"/>
  <c r="C2262" i="7"/>
  <c r="C2261" i="7"/>
  <c r="C2260" i="7"/>
  <c r="C2259" i="7"/>
  <c r="C2258" i="7"/>
  <c r="C2257" i="7"/>
  <c r="C2256" i="7"/>
  <c r="C2255" i="7"/>
  <c r="C2254" i="7"/>
  <c r="C2253" i="7"/>
  <c r="C2252" i="7"/>
  <c r="C2251" i="7"/>
  <c r="C2250" i="7"/>
  <c r="C2249" i="7"/>
  <c r="C2248" i="7"/>
  <c r="C2247" i="7"/>
  <c r="C2246" i="7"/>
  <c r="C2245" i="7"/>
  <c r="C2244" i="7"/>
  <c r="C2243" i="7"/>
  <c r="C2242" i="7"/>
  <c r="C2241" i="7"/>
  <c r="C2240" i="7"/>
  <c r="C2239" i="7"/>
  <c r="C2238" i="7"/>
  <c r="C2237" i="7"/>
  <c r="C2236" i="7"/>
  <c r="C2235" i="7"/>
  <c r="C2234" i="7"/>
  <c r="C2233" i="7"/>
  <c r="C2232" i="7"/>
  <c r="C2231" i="7"/>
  <c r="C2230" i="7"/>
  <c r="C2229" i="7"/>
  <c r="C2224" i="7"/>
  <c r="C2223" i="7"/>
  <c r="C2222" i="7"/>
  <c r="C2221" i="7"/>
  <c r="C2220" i="7"/>
  <c r="C2219" i="7"/>
  <c r="C2218" i="7"/>
  <c r="C2217" i="7"/>
  <c r="C2216" i="7"/>
  <c r="C2215" i="7"/>
  <c r="C2214" i="7"/>
  <c r="C2213" i="7"/>
  <c r="C2212" i="7"/>
  <c r="C2211" i="7"/>
  <c r="C2210" i="7"/>
  <c r="C2209" i="7"/>
  <c r="C2208" i="7"/>
  <c r="C2198" i="7"/>
  <c r="C2197" i="7"/>
  <c r="C2196" i="7"/>
  <c r="C2195" i="7"/>
  <c r="C2194" i="7"/>
  <c r="C2193" i="7"/>
  <c r="C2192" i="7"/>
  <c r="C2191" i="7"/>
  <c r="C2190" i="7"/>
  <c r="C2189" i="7"/>
  <c r="C2188" i="7"/>
  <c r="C2187" i="7"/>
  <c r="C2186" i="7"/>
  <c r="C2185" i="7"/>
  <c r="C2184" i="7"/>
  <c r="C2183" i="7"/>
  <c r="C2182" i="7"/>
  <c r="C2181" i="7"/>
  <c r="C2180" i="7"/>
  <c r="C2179" i="7"/>
  <c r="C2178" i="7"/>
  <c r="C2177" i="7"/>
  <c r="C2176" i="7"/>
  <c r="C2175" i="7"/>
  <c r="C2174" i="7"/>
  <c r="C2173" i="7"/>
  <c r="C2172" i="7"/>
  <c r="C2171" i="7"/>
  <c r="C2170" i="7"/>
  <c r="C2169" i="7"/>
  <c r="C2168" i="7"/>
  <c r="C2167" i="7"/>
  <c r="C2166" i="7"/>
  <c r="C2165" i="7"/>
  <c r="C2164" i="7"/>
  <c r="C2163" i="7"/>
  <c r="C2162" i="7"/>
  <c r="C2161" i="7"/>
  <c r="C2160" i="7"/>
  <c r="C2159" i="7"/>
  <c r="C2158" i="7"/>
  <c r="C2157" i="7"/>
  <c r="C2156" i="7"/>
  <c r="C2155" i="7"/>
  <c r="C2154" i="7"/>
  <c r="C2153" i="7"/>
  <c r="C2152" i="7"/>
  <c r="C2151" i="7"/>
  <c r="C2150" i="7"/>
  <c r="C2149" i="7"/>
  <c r="C2148" i="7"/>
  <c r="C2147" i="7"/>
  <c r="C2146" i="7"/>
  <c r="C2145" i="7"/>
  <c r="C2144" i="7"/>
  <c r="C2143" i="7"/>
  <c r="C2142" i="7"/>
  <c r="C2141" i="7"/>
  <c r="C2140" i="7"/>
  <c r="C2139" i="7"/>
  <c r="C2138" i="7"/>
  <c r="C2137" i="7"/>
  <c r="C2136" i="7"/>
  <c r="C2135" i="7"/>
  <c r="C2134" i="7"/>
  <c r="C2133" i="7"/>
  <c r="C2132" i="7"/>
  <c r="C2131" i="7"/>
  <c r="C2130" i="7"/>
  <c r="C2129" i="7"/>
  <c r="C2128" i="7"/>
  <c r="C2127" i="7"/>
  <c r="C2126" i="7"/>
  <c r="C2125" i="7"/>
  <c r="C2124" i="7"/>
  <c r="C2123" i="7"/>
  <c r="C2122" i="7"/>
  <c r="C2121" i="7"/>
  <c r="C2120" i="7"/>
  <c r="C2119" i="7"/>
  <c r="C2118" i="7"/>
  <c r="C2117" i="7"/>
  <c r="C2116" i="7"/>
  <c r="C2115" i="7"/>
  <c r="C2114" i="7"/>
  <c r="C2113" i="7"/>
  <c r="C2112" i="7"/>
  <c r="C2111" i="7"/>
  <c r="C2105" i="7"/>
  <c r="C2104" i="7"/>
  <c r="C2103" i="7"/>
  <c r="C2102" i="7"/>
  <c r="C2101" i="7"/>
  <c r="C2100" i="7"/>
  <c r="C2099" i="7"/>
  <c r="C2098" i="7"/>
  <c r="C2097" i="7"/>
  <c r="C2096" i="7"/>
  <c r="C2095" i="7"/>
  <c r="C2094" i="7"/>
  <c r="C2093" i="7"/>
  <c r="C2092" i="7"/>
  <c r="C2091" i="7"/>
  <c r="C2090" i="7"/>
  <c r="C2089" i="7"/>
  <c r="C2088" i="7"/>
  <c r="C2087" i="7"/>
  <c r="C2086" i="7"/>
  <c r="C2085" i="7"/>
  <c r="C2084" i="7"/>
  <c r="C2083" i="7"/>
  <c r="C2082" i="7"/>
  <c r="C2081" i="7"/>
  <c r="C2080" i="7"/>
  <c r="C2079" i="7"/>
  <c r="C2078" i="7"/>
  <c r="C2077" i="7"/>
  <c r="C2076" i="7"/>
  <c r="C2075" i="7"/>
  <c r="C2074" i="7"/>
  <c r="C2073" i="7"/>
  <c r="C2072" i="7"/>
  <c r="C2071" i="7"/>
  <c r="C2070" i="7"/>
  <c r="C2069" i="7"/>
  <c r="C2068" i="7"/>
  <c r="C2067" i="7"/>
  <c r="C2066" i="7"/>
  <c r="C2065" i="7"/>
  <c r="C2064" i="7"/>
  <c r="C2063" i="7"/>
  <c r="C2062" i="7"/>
  <c r="C2061" i="7"/>
  <c r="C2060" i="7"/>
  <c r="C2059" i="7"/>
  <c r="C2058" i="7"/>
  <c r="C2057" i="7"/>
  <c r="C2056" i="7"/>
  <c r="C2055" i="7"/>
  <c r="C2054" i="7"/>
  <c r="C2053" i="7"/>
  <c r="C2052" i="7"/>
  <c r="C2051" i="7"/>
  <c r="C2050" i="7"/>
  <c r="C2049" i="7"/>
  <c r="C2048" i="7"/>
  <c r="C2047" i="7"/>
  <c r="C2046" i="7"/>
  <c r="C2045" i="7"/>
  <c r="C2044" i="7"/>
  <c r="C2043" i="7"/>
  <c r="C2042" i="7"/>
  <c r="C2041" i="7"/>
  <c r="C2040" i="7"/>
  <c r="C2039" i="7"/>
  <c r="C2038" i="7"/>
  <c r="C2037" i="7"/>
  <c r="C2036" i="7"/>
  <c r="C2035" i="7"/>
  <c r="C2034" i="7"/>
  <c r="C2033" i="7"/>
  <c r="C2032" i="7"/>
  <c r="C2031" i="7"/>
  <c r="C2030" i="7"/>
  <c r="C2029" i="7"/>
  <c r="C2028" i="7"/>
  <c r="C2027" i="7"/>
  <c r="C2026" i="7"/>
  <c r="C2025" i="7"/>
  <c r="C2019" i="7"/>
  <c r="C2018" i="7"/>
  <c r="C2017" i="7"/>
  <c r="C2016" i="7"/>
  <c r="C2015" i="7"/>
  <c r="C2014" i="7"/>
  <c r="C2013" i="7"/>
  <c r="C2012" i="7"/>
  <c r="C2011" i="7"/>
  <c r="C2010" i="7"/>
  <c r="C2009" i="7"/>
  <c r="C2008" i="7"/>
  <c r="C2007" i="7"/>
  <c r="C2006" i="7"/>
  <c r="C2005" i="7"/>
  <c r="C2004" i="7"/>
  <c r="C2003" i="7"/>
  <c r="C2002" i="7"/>
  <c r="C1997" i="7"/>
  <c r="C1996" i="7"/>
  <c r="C1995" i="7"/>
  <c r="C1994" i="7"/>
  <c r="C1993" i="7"/>
  <c r="C1992" i="7"/>
  <c r="C1991" i="7"/>
  <c r="C1990" i="7"/>
  <c r="C1989" i="7"/>
  <c r="C1988" i="7"/>
  <c r="C1987" i="7"/>
  <c r="C1986" i="7"/>
  <c r="C1985" i="7"/>
  <c r="C1984" i="7"/>
  <c r="C1983" i="7"/>
  <c r="C1982" i="7"/>
  <c r="C1981" i="7"/>
  <c r="C1980" i="7"/>
  <c r="C1979" i="7"/>
  <c r="C1978" i="7"/>
  <c r="C1977" i="7"/>
  <c r="C1976" i="7"/>
  <c r="C1975" i="7"/>
  <c r="C1974" i="7"/>
  <c r="C1973" i="7"/>
  <c r="C1972" i="7"/>
  <c r="C1971" i="7"/>
  <c r="C1970" i="7"/>
  <c r="C1969" i="7"/>
  <c r="C1968" i="7"/>
  <c r="C1967" i="7"/>
  <c r="C1966" i="7"/>
  <c r="C1965" i="7"/>
  <c r="C1964" i="7"/>
  <c r="C1963" i="7"/>
  <c r="C1962" i="7"/>
  <c r="C1961" i="7"/>
  <c r="C1960" i="7"/>
  <c r="C1959" i="7"/>
  <c r="C1958" i="7"/>
  <c r="C1957" i="7"/>
  <c r="C1956" i="7"/>
  <c r="C1955" i="7"/>
  <c r="C1954" i="7"/>
  <c r="C1953" i="7"/>
  <c r="C1952" i="7"/>
  <c r="C1951" i="7"/>
  <c r="C1950" i="7"/>
  <c r="C1949" i="7"/>
  <c r="C1948" i="7"/>
  <c r="C1947" i="7"/>
  <c r="C1946" i="7"/>
  <c r="C1945" i="7"/>
  <c r="C1944" i="7"/>
  <c r="C1943" i="7"/>
  <c r="C1942" i="7"/>
  <c r="C1941" i="7"/>
  <c r="C1940" i="7"/>
  <c r="C1939" i="7"/>
  <c r="C1938" i="7"/>
  <c r="C1937" i="7"/>
  <c r="C1936" i="7"/>
  <c r="C1935" i="7"/>
  <c r="C1934" i="7"/>
  <c r="C1933" i="7"/>
  <c r="C1932" i="7"/>
  <c r="C1931" i="7"/>
  <c r="C1930" i="7"/>
  <c r="C1929" i="7"/>
  <c r="C1928" i="7"/>
  <c r="C1927" i="7"/>
  <c r="C1926" i="7"/>
  <c r="C1925" i="7"/>
  <c r="C1924" i="7"/>
  <c r="C1923" i="7"/>
  <c r="C1922" i="7"/>
  <c r="C1921" i="7"/>
  <c r="C1920" i="7"/>
  <c r="C1919" i="7"/>
  <c r="C1918" i="7"/>
  <c r="C1917" i="7"/>
  <c r="C1916" i="7"/>
  <c r="C1915" i="7"/>
  <c r="C1914" i="7"/>
  <c r="C1913" i="7"/>
  <c r="C1912" i="7"/>
  <c r="C1911" i="7"/>
  <c r="C1910" i="7"/>
  <c r="C1909" i="7"/>
  <c r="C1908" i="7"/>
  <c r="C1907" i="7"/>
  <c r="C1906" i="7"/>
  <c r="C1905" i="7"/>
  <c r="C1904" i="7"/>
  <c r="C1903" i="7"/>
  <c r="C1902" i="7"/>
  <c r="C1901" i="7"/>
  <c r="C1900" i="7"/>
  <c r="C1899" i="7"/>
  <c r="C1898" i="7"/>
  <c r="C1897" i="7"/>
  <c r="C1896" i="7"/>
  <c r="C1895" i="7"/>
  <c r="C1894" i="7"/>
  <c r="C1893" i="7"/>
  <c r="C1892" i="7"/>
  <c r="C1891" i="7"/>
  <c r="C1890" i="7"/>
  <c r="C1889" i="7"/>
  <c r="C1888" i="7"/>
  <c r="C1887" i="7"/>
  <c r="C1886" i="7"/>
  <c r="C1885" i="7"/>
  <c r="C1884" i="7"/>
  <c r="C1883" i="7"/>
  <c r="C1882" i="7"/>
  <c r="C1881" i="7"/>
  <c r="C1880" i="7"/>
  <c r="C1879" i="7"/>
  <c r="C1878" i="7"/>
  <c r="C1877" i="7"/>
  <c r="C1876" i="7"/>
  <c r="C1875" i="7"/>
  <c r="C1874" i="7"/>
  <c r="C1873" i="7"/>
  <c r="C1872" i="7"/>
  <c r="C1871" i="7"/>
  <c r="C1870" i="7"/>
  <c r="C1869" i="7"/>
  <c r="C1868" i="7"/>
  <c r="C1867" i="7"/>
  <c r="C1866" i="7"/>
  <c r="C1865" i="7"/>
  <c r="C1864" i="7"/>
  <c r="C1863" i="7"/>
  <c r="C1862" i="7"/>
  <c r="C1861" i="7"/>
  <c r="C1860" i="7"/>
  <c r="C1859" i="7"/>
  <c r="C1858" i="7"/>
  <c r="C1857" i="7"/>
  <c r="C1856" i="7"/>
  <c r="C1855" i="7"/>
  <c r="C1854" i="7"/>
  <c r="C1853" i="7"/>
  <c r="C1852" i="7"/>
  <c r="C1851" i="7"/>
  <c r="C1850" i="7"/>
  <c r="C1849" i="7"/>
  <c r="C1848" i="7"/>
  <c r="C1847" i="7"/>
  <c r="C1846" i="7"/>
  <c r="C1845" i="7"/>
  <c r="C1844" i="7"/>
  <c r="C1843" i="7"/>
  <c r="C1842" i="7"/>
  <c r="C1841" i="7"/>
  <c r="C1840" i="7"/>
  <c r="C1839" i="7"/>
  <c r="C1838" i="7"/>
  <c r="C1837" i="7"/>
  <c r="C1836" i="7"/>
  <c r="C1835" i="7"/>
  <c r="C1834" i="7"/>
  <c r="C1833" i="7"/>
  <c r="C1832" i="7"/>
  <c r="C1831" i="7"/>
  <c r="C1830" i="7"/>
  <c r="C1829" i="7"/>
  <c r="C1828" i="7"/>
  <c r="C1827" i="7"/>
  <c r="C1826" i="7"/>
  <c r="C1825" i="7"/>
  <c r="C1824" i="7"/>
  <c r="C1823" i="7"/>
  <c r="C1822" i="7"/>
  <c r="C1821" i="7"/>
  <c r="C1820" i="7"/>
  <c r="C1819" i="7"/>
  <c r="C1818" i="7"/>
  <c r="C1817" i="7"/>
  <c r="C1816" i="7"/>
  <c r="C1815" i="7"/>
  <c r="C1809" i="7"/>
  <c r="C1808" i="7"/>
  <c r="C1807" i="7"/>
  <c r="C1806" i="7"/>
  <c r="C1797" i="7"/>
  <c r="C1796" i="7"/>
  <c r="C1795" i="7"/>
  <c r="C1794" i="7"/>
  <c r="C1793" i="7"/>
  <c r="C1788" i="7"/>
  <c r="C1787" i="7"/>
  <c r="C1786" i="7"/>
  <c r="C1785" i="7"/>
  <c r="C1784" i="7"/>
  <c r="C1783" i="7"/>
  <c r="C1782" i="7"/>
  <c r="C1781" i="7"/>
  <c r="C1780" i="7"/>
  <c r="C1779" i="7"/>
  <c r="C1778" i="7"/>
  <c r="C1777" i="7"/>
  <c r="C1776" i="7"/>
  <c r="C1775" i="7"/>
  <c r="C1774" i="7"/>
  <c r="C1773" i="7"/>
  <c r="C1772" i="7"/>
  <c r="C1771" i="7"/>
  <c r="C1770" i="7"/>
  <c r="C1769" i="7"/>
  <c r="C1768" i="7"/>
  <c r="C1767" i="7"/>
  <c r="C1766" i="7"/>
  <c r="C1765" i="7"/>
  <c r="C1764" i="7"/>
  <c r="C1763" i="7"/>
  <c r="C1762" i="7"/>
  <c r="C1761" i="7"/>
  <c r="C1760" i="7"/>
  <c r="C1759" i="7"/>
  <c r="C1758" i="7"/>
  <c r="C1757" i="7"/>
  <c r="C1756" i="7"/>
  <c r="C1755" i="7"/>
  <c r="C1754" i="7"/>
  <c r="C1753" i="7"/>
  <c r="C1752" i="7"/>
  <c r="C1751" i="7"/>
  <c r="C1750" i="7"/>
  <c r="C1749" i="7"/>
  <c r="C1748" i="7"/>
  <c r="C1747" i="7"/>
  <c r="C1746" i="7"/>
  <c r="C1745" i="7"/>
  <c r="C1744" i="7"/>
  <c r="C1743" i="7"/>
  <c r="C1742" i="7"/>
  <c r="C1741" i="7"/>
  <c r="C1740" i="7"/>
  <c r="C1739" i="7"/>
  <c r="C1738" i="7"/>
  <c r="C1737" i="7"/>
  <c r="C1736" i="7"/>
  <c r="C1735" i="7"/>
  <c r="C1734" i="7"/>
  <c r="C1733" i="7"/>
  <c r="C1732" i="7"/>
  <c r="C1731" i="7"/>
  <c r="C1730" i="7"/>
  <c r="C1729" i="7"/>
  <c r="C1728" i="7"/>
  <c r="C1727" i="7"/>
  <c r="C1726" i="7"/>
  <c r="C1725" i="7"/>
  <c r="C1724" i="7"/>
  <c r="C1723" i="7"/>
  <c r="C1722" i="7"/>
  <c r="C1721" i="7"/>
  <c r="C1720" i="7"/>
  <c r="C1719" i="7"/>
  <c r="C1718" i="7"/>
  <c r="C1717" i="7"/>
  <c r="C1715" i="7"/>
  <c r="C1714" i="7"/>
  <c r="C1713" i="7"/>
  <c r="C1712" i="7"/>
  <c r="C1711" i="7"/>
  <c r="C1710" i="7"/>
  <c r="C1709" i="7"/>
  <c r="C1708" i="7"/>
  <c r="C1707" i="7"/>
  <c r="C1706" i="7"/>
  <c r="C1705" i="7"/>
  <c r="C1704" i="7"/>
  <c r="C1695" i="7"/>
  <c r="C1694" i="7"/>
  <c r="C1691" i="7"/>
  <c r="C1690" i="7"/>
  <c r="C1689" i="7"/>
  <c r="C1688" i="7"/>
  <c r="C1687" i="7"/>
  <c r="C1686" i="7"/>
  <c r="C1685" i="7"/>
  <c r="C1684" i="7"/>
  <c r="C1683" i="7"/>
  <c r="C1682" i="7"/>
  <c r="C1681" i="7"/>
  <c r="C1680" i="7"/>
  <c r="C1679" i="7"/>
  <c r="C1678" i="7"/>
  <c r="C1677" i="7"/>
  <c r="C1676" i="7"/>
  <c r="C1675" i="7"/>
  <c r="C1674" i="7"/>
  <c r="C1673" i="7"/>
  <c r="C1672" i="7"/>
  <c r="C1671" i="7"/>
  <c r="C1670" i="7"/>
  <c r="C1669" i="7"/>
  <c r="C1668" i="7"/>
  <c r="C1667" i="7"/>
  <c r="C1666" i="7"/>
  <c r="C1665" i="7"/>
  <c r="C1664" i="7"/>
  <c r="C1663" i="7"/>
  <c r="C1662" i="7"/>
  <c r="C1661" i="7"/>
  <c r="C1660" i="7"/>
  <c r="C1659" i="7"/>
  <c r="C1658" i="7"/>
  <c r="C1657" i="7"/>
  <c r="C1656" i="7"/>
  <c r="C1655" i="7"/>
  <c r="C1654" i="7"/>
  <c r="C1653" i="7"/>
  <c r="C1652" i="7"/>
  <c r="C1651" i="7"/>
  <c r="C1650" i="7"/>
  <c r="C1649" i="7"/>
  <c r="C1648" i="7"/>
  <c r="C1647" i="7"/>
  <c r="C1646" i="7"/>
  <c r="C1645" i="7"/>
  <c r="C1644" i="7"/>
  <c r="C1643" i="7"/>
  <c r="C1642" i="7"/>
  <c r="C1641" i="7"/>
  <c r="C1640" i="7"/>
  <c r="C1639" i="7"/>
  <c r="C1638" i="7"/>
  <c r="C1637" i="7"/>
  <c r="C1636" i="7"/>
  <c r="C1635" i="7"/>
  <c r="C1631" i="7"/>
  <c r="C1630" i="7"/>
  <c r="C1629" i="7"/>
  <c r="C1628" i="7"/>
  <c r="C1627" i="7"/>
  <c r="C1626" i="7"/>
  <c r="C1625" i="7"/>
  <c r="C1624" i="7"/>
  <c r="C1623" i="7"/>
  <c r="C1622" i="7"/>
  <c r="C1621" i="7"/>
  <c r="C1620" i="7"/>
  <c r="C1619" i="7"/>
  <c r="C1618" i="7"/>
  <c r="C1617" i="7"/>
  <c r="C1616" i="7"/>
  <c r="C1615" i="7"/>
  <c r="C1614" i="7"/>
  <c r="C1613" i="7"/>
  <c r="C1612" i="7"/>
  <c r="C1611" i="7"/>
  <c r="C1610" i="7"/>
  <c r="C1609" i="7"/>
  <c r="C1608" i="7"/>
  <c r="C1607" i="7"/>
  <c r="C1606" i="7"/>
  <c r="C1605" i="7"/>
  <c r="C1604" i="7"/>
  <c r="C1603" i="7"/>
  <c r="C1602" i="7"/>
  <c r="C1601" i="7"/>
  <c r="C1600" i="7"/>
  <c r="C1599" i="7"/>
  <c r="C1598" i="7"/>
  <c r="C1597" i="7"/>
  <c r="C1596" i="7"/>
  <c r="C1595" i="7"/>
  <c r="C1594" i="7"/>
  <c r="C1593" i="7"/>
  <c r="C1592" i="7"/>
  <c r="C1591" i="7"/>
  <c r="C1590" i="7"/>
  <c r="C1589" i="7"/>
  <c r="C1588" i="7"/>
  <c r="C1587" i="7"/>
  <c r="C1586" i="7"/>
  <c r="C1585" i="7"/>
  <c r="C1584" i="7"/>
  <c r="C1583" i="7"/>
  <c r="C1582" i="7"/>
  <c r="C1581" i="7"/>
  <c r="C1580" i="7"/>
  <c r="C1579" i="7"/>
  <c r="C1578" i="7"/>
  <c r="C1577" i="7"/>
  <c r="C1576" i="7"/>
  <c r="C1575" i="7"/>
  <c r="C1574" i="7"/>
  <c r="C1573" i="7"/>
  <c r="C1572" i="7"/>
  <c r="C1571" i="7"/>
  <c r="C1570" i="7"/>
  <c r="C1569" i="7"/>
  <c r="C1568" i="7"/>
  <c r="C1567" i="7"/>
  <c r="C1566" i="7"/>
  <c r="C1565" i="7"/>
  <c r="C1564" i="7"/>
  <c r="C1563" i="7"/>
  <c r="C1562" i="7"/>
  <c r="C1561" i="7"/>
  <c r="C1560" i="7"/>
  <c r="C1559" i="7"/>
  <c r="C1558" i="7"/>
  <c r="C1555" i="7"/>
  <c r="C1554" i="7"/>
  <c r="C1553" i="7"/>
  <c r="C1552" i="7"/>
  <c r="C1551" i="7"/>
  <c r="C1550" i="7"/>
  <c r="C1549" i="7"/>
  <c r="C1548" i="7"/>
  <c r="C1547" i="7"/>
  <c r="C1546" i="7"/>
  <c r="C1545" i="7"/>
  <c r="C1544" i="7"/>
  <c r="C1543" i="7"/>
  <c r="C1542" i="7"/>
  <c r="C1541" i="7"/>
  <c r="C1540" i="7"/>
  <c r="C1539" i="7"/>
  <c r="C1538" i="7"/>
  <c r="C1537" i="7"/>
  <c r="C1536" i="7"/>
  <c r="C1535" i="7"/>
  <c r="C1534" i="7"/>
  <c r="C1533" i="7"/>
  <c r="C1532" i="7"/>
  <c r="C1531" i="7"/>
  <c r="C1530" i="7"/>
  <c r="C1529" i="7"/>
  <c r="C1528" i="7"/>
  <c r="C1527" i="7"/>
  <c r="C1526" i="7"/>
  <c r="C1525" i="7"/>
  <c r="C1524" i="7"/>
  <c r="C1523" i="7"/>
  <c r="C1522" i="7"/>
  <c r="C1521" i="7"/>
  <c r="C1520" i="7"/>
  <c r="C1519" i="7"/>
  <c r="C1518" i="7"/>
  <c r="C1517" i="7"/>
  <c r="C1516" i="7"/>
  <c r="C1515" i="7"/>
  <c r="C1514" i="7"/>
  <c r="C1513" i="7"/>
  <c r="C1512" i="7"/>
  <c r="C1511" i="7"/>
  <c r="C1510" i="7"/>
  <c r="C1506" i="7"/>
  <c r="C1505" i="7"/>
  <c r="C1504" i="7"/>
  <c r="C1503" i="7"/>
  <c r="C1502" i="7"/>
  <c r="C1501" i="7"/>
  <c r="C1500" i="7"/>
  <c r="C1499" i="7"/>
  <c r="C1498" i="7"/>
  <c r="C1497" i="7"/>
  <c r="C1496" i="7"/>
  <c r="C1495" i="7"/>
  <c r="C1494" i="7"/>
  <c r="C1493" i="7"/>
  <c r="C1492" i="7"/>
  <c r="C1491" i="7"/>
  <c r="C1490" i="7"/>
  <c r="C1488" i="7"/>
  <c r="C1487" i="7"/>
  <c r="C1486" i="7"/>
  <c r="C1485" i="7"/>
  <c r="C1484" i="7"/>
  <c r="C1483" i="7"/>
  <c r="C1482" i="7"/>
  <c r="C1481" i="7"/>
  <c r="C1480" i="7"/>
  <c r="C1479" i="7"/>
  <c r="C1478" i="7"/>
  <c r="C1477" i="7"/>
  <c r="C1476" i="7"/>
  <c r="C1475" i="7"/>
  <c r="C1474" i="7"/>
  <c r="C1473" i="7"/>
  <c r="C1472" i="7"/>
  <c r="C1471" i="7"/>
  <c r="C1470" i="7"/>
  <c r="C1469" i="7"/>
  <c r="C1468" i="7"/>
  <c r="C1467" i="7"/>
  <c r="C1466" i="7"/>
  <c r="C1465" i="7"/>
  <c r="C1464" i="7"/>
  <c r="C1463" i="7"/>
  <c r="C1462" i="7"/>
  <c r="C1461" i="7"/>
  <c r="C1460" i="7"/>
  <c r="C1459" i="7"/>
  <c r="C1458" i="7"/>
  <c r="C1457" i="7"/>
  <c r="C1455" i="7"/>
  <c r="C1454" i="7"/>
  <c r="C1453" i="7"/>
  <c r="C1452" i="7"/>
  <c r="C1451" i="7"/>
  <c r="C1450" i="7"/>
  <c r="C1449" i="7"/>
  <c r="C1448" i="7"/>
  <c r="C1447" i="7"/>
  <c r="C1446" i="7"/>
  <c r="C1445" i="7"/>
  <c r="C1444" i="7"/>
  <c r="C1443" i="7"/>
  <c r="C1442" i="7"/>
  <c r="C1441" i="7"/>
  <c r="C1440" i="7"/>
  <c r="C1439" i="7"/>
  <c r="C1438" i="7"/>
  <c r="C1437" i="7"/>
  <c r="C1436" i="7"/>
  <c r="C1435" i="7"/>
  <c r="C1434" i="7"/>
  <c r="C1433" i="7"/>
  <c r="C1432" i="7"/>
  <c r="C1431" i="7"/>
  <c r="C1430" i="7"/>
  <c r="C1427" i="7"/>
  <c r="C1426" i="7"/>
  <c r="C1425" i="7"/>
  <c r="C1424" i="7"/>
  <c r="C1423" i="7"/>
  <c r="C1421" i="7"/>
  <c r="C1420" i="7"/>
  <c r="C1419" i="7"/>
  <c r="C1418" i="7"/>
  <c r="C1417" i="7"/>
  <c r="C1416" i="7"/>
  <c r="C1415" i="7"/>
  <c r="C1414" i="7"/>
  <c r="C1413" i="7"/>
  <c r="C1412" i="7"/>
  <c r="C1411" i="7"/>
  <c r="C1410" i="7"/>
  <c r="C1409" i="7"/>
  <c r="C1408" i="7"/>
  <c r="C1407" i="7"/>
  <c r="C1406" i="7"/>
  <c r="C1405" i="7"/>
  <c r="C1404" i="7"/>
  <c r="C1403" i="7"/>
  <c r="C1402" i="7"/>
  <c r="C1401" i="7"/>
  <c r="C1400" i="7"/>
  <c r="C1399" i="7"/>
  <c r="C1398" i="7"/>
  <c r="C1397" i="7"/>
  <c r="C1396" i="7"/>
  <c r="C1395" i="7"/>
  <c r="C1394" i="7"/>
  <c r="C1393" i="7"/>
  <c r="C1392" i="7"/>
  <c r="C1391" i="7"/>
  <c r="C1390" i="7"/>
  <c r="C1389" i="7"/>
  <c r="C1388" i="7"/>
  <c r="C1387" i="7"/>
  <c r="C1386" i="7"/>
  <c r="C1385" i="7"/>
  <c r="C1384" i="7"/>
  <c r="C1383" i="7"/>
  <c r="C1382" i="7"/>
  <c r="C1381" i="7"/>
  <c r="C1380" i="7"/>
  <c r="C1379" i="7"/>
  <c r="C1378" i="7"/>
  <c r="C1377" i="7"/>
  <c r="C1376" i="7"/>
  <c r="C1375" i="7"/>
  <c r="C1374" i="7"/>
  <c r="C1373" i="7"/>
  <c r="C1372" i="7"/>
  <c r="C1371" i="7"/>
  <c r="C1370" i="7"/>
  <c r="C1369" i="7"/>
  <c r="C1368" i="7"/>
  <c r="C1367" i="7"/>
  <c r="C1366" i="7"/>
  <c r="C1365" i="7"/>
  <c r="C1364" i="7"/>
  <c r="C1363" i="7"/>
  <c r="C1362" i="7"/>
  <c r="C1361" i="7"/>
  <c r="C1360" i="7"/>
  <c r="C1359" i="7"/>
  <c r="C1358" i="7"/>
  <c r="C1357" i="7"/>
  <c r="C1356" i="7"/>
  <c r="C1355" i="7"/>
  <c r="C1354" i="7"/>
  <c r="C1353" i="7"/>
  <c r="C1352" i="7"/>
  <c r="C1351" i="7"/>
  <c r="C1350" i="7"/>
  <c r="C1349" i="7"/>
  <c r="C1348" i="7"/>
  <c r="C1347" i="7"/>
  <c r="C1346" i="7"/>
  <c r="C1345" i="7"/>
  <c r="C1344" i="7"/>
  <c r="C1343" i="7"/>
  <c r="C1342" i="7"/>
  <c r="C1341" i="7"/>
  <c r="C1340" i="7"/>
  <c r="C1339" i="7"/>
  <c r="C1338" i="7"/>
  <c r="C1337" i="7"/>
  <c r="C1336" i="7"/>
  <c r="C1335" i="7"/>
  <c r="C1334" i="7"/>
  <c r="C1333" i="7"/>
  <c r="C1332" i="7"/>
  <c r="C1331" i="7"/>
  <c r="C1330" i="7"/>
  <c r="C1329" i="7"/>
  <c r="C1328" i="7"/>
  <c r="C1327" i="7"/>
  <c r="C1326" i="7"/>
  <c r="C1325" i="7"/>
  <c r="C1324" i="7"/>
  <c r="C1323" i="7"/>
  <c r="C1322" i="7"/>
  <c r="C1321" i="7"/>
  <c r="C1320" i="7"/>
  <c r="C1319" i="7"/>
  <c r="C1318" i="7"/>
  <c r="C1317" i="7"/>
  <c r="C1316" i="7"/>
  <c r="C1315" i="7"/>
  <c r="C1314" i="7"/>
  <c r="C1313" i="7"/>
  <c r="C1312" i="7"/>
  <c r="C1311" i="7"/>
  <c r="C1310" i="7"/>
  <c r="C1309" i="7"/>
  <c r="C1308" i="7"/>
  <c r="C1307" i="7"/>
  <c r="C1306" i="7"/>
  <c r="C1305" i="7"/>
  <c r="C1304" i="7"/>
  <c r="C1303" i="7"/>
  <c r="C1302" i="7"/>
  <c r="C1301" i="7"/>
  <c r="C1300" i="7"/>
  <c r="C1299" i="7"/>
  <c r="C1298" i="7"/>
  <c r="C1297" i="7"/>
  <c r="C1296" i="7"/>
  <c r="C1295" i="7"/>
  <c r="C1294" i="7"/>
  <c r="C1293" i="7"/>
  <c r="C1292" i="7"/>
  <c r="C1291" i="7"/>
  <c r="C1290" i="7"/>
  <c r="C1289" i="7"/>
  <c r="C1288" i="7"/>
  <c r="C1287" i="7"/>
  <c r="C1286" i="7"/>
  <c r="C1285" i="7"/>
  <c r="C1284" i="7"/>
  <c r="C1277" i="7"/>
  <c r="C1275" i="7"/>
  <c r="C1274" i="7"/>
  <c r="C1273" i="7"/>
  <c r="C1272" i="7"/>
  <c r="C1271" i="7"/>
  <c r="C1270" i="7"/>
  <c r="C1269" i="7"/>
  <c r="C1268" i="7"/>
  <c r="C1267" i="7"/>
  <c r="C1266" i="7"/>
  <c r="C1265" i="7"/>
  <c r="C1264" i="7"/>
  <c r="C1263" i="7"/>
  <c r="C1262" i="7"/>
  <c r="C1261" i="7"/>
  <c r="C1260" i="7"/>
  <c r="C1259" i="7"/>
  <c r="C1258" i="7"/>
  <c r="C1257" i="7"/>
  <c r="C1256" i="7"/>
  <c r="C1255" i="7"/>
  <c r="C1254" i="7"/>
  <c r="C1253" i="7"/>
  <c r="C1252" i="7"/>
  <c r="C1251" i="7"/>
  <c r="C1250" i="7"/>
  <c r="C1249" i="7"/>
  <c r="C1248" i="7"/>
  <c r="C1247" i="7"/>
  <c r="C1246" i="7"/>
  <c r="C1245" i="7"/>
  <c r="C1244" i="7"/>
  <c r="C1243" i="7"/>
  <c r="C1242" i="7"/>
  <c r="C1241" i="7"/>
  <c r="C1240" i="7"/>
  <c r="C1239" i="7"/>
  <c r="C1237" i="7"/>
  <c r="C1236" i="7"/>
  <c r="C1235" i="7"/>
  <c r="C1234" i="7"/>
  <c r="C1233" i="7"/>
  <c r="C1232" i="7"/>
  <c r="C1231" i="7"/>
  <c r="C1230" i="7"/>
  <c r="C1229" i="7"/>
  <c r="C1228" i="7"/>
  <c r="C1227" i="7"/>
  <c r="C1226" i="7"/>
  <c r="C1225" i="7"/>
  <c r="C1224" i="7"/>
  <c r="C1223" i="7"/>
  <c r="C1222" i="7"/>
  <c r="C1221" i="7"/>
  <c r="C1220" i="7"/>
  <c r="C1219" i="7"/>
  <c r="C1218" i="7"/>
  <c r="C1217" i="7"/>
  <c r="C1216" i="7"/>
  <c r="C1215" i="7"/>
  <c r="C1214" i="7"/>
  <c r="C1213" i="7"/>
  <c r="C1212" i="7"/>
  <c r="C1211" i="7"/>
  <c r="C1210" i="7"/>
  <c r="C1209" i="7"/>
  <c r="C1208" i="7"/>
  <c r="C1207" i="7"/>
  <c r="C1206" i="7"/>
  <c r="C1205" i="7"/>
  <c r="C1204" i="7"/>
  <c r="C1203" i="7"/>
  <c r="C1202" i="7"/>
  <c r="C1201" i="7"/>
  <c r="C1200" i="7"/>
  <c r="C1199" i="7"/>
  <c r="C1198" i="7"/>
  <c r="C1197" i="7"/>
  <c r="C1196" i="7"/>
  <c r="C1195" i="7"/>
  <c r="C1194" i="7"/>
  <c r="C1193" i="7"/>
  <c r="C1192" i="7"/>
  <c r="C1191" i="7"/>
  <c r="C1190" i="7"/>
  <c r="C1189"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4" i="7"/>
  <c r="C1103" i="7"/>
  <c r="C1102" i="7"/>
  <c r="C1101"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36" i="7"/>
  <c r="C1035" i="7"/>
  <c r="C1034"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39" i="7"/>
  <c r="C838" i="7"/>
  <c r="C837" i="7"/>
  <c r="C835" i="7"/>
  <c r="C834" i="7"/>
  <c r="C833" i="7"/>
  <c r="C832" i="7"/>
  <c r="C827" i="7"/>
  <c r="C826" i="7"/>
  <c r="C825" i="7"/>
  <c r="C824"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67" i="7"/>
  <c r="C366" i="7"/>
  <c r="C365" i="7"/>
  <c r="C364" i="7"/>
  <c r="C363" i="7"/>
  <c r="C362"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5" i="7"/>
  <c r="C134" i="7"/>
  <c r="C129"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56" i="7"/>
  <c r="C55" i="7"/>
  <c r="C54" i="7"/>
  <c r="C49" i="7"/>
  <c r="C48" i="7"/>
  <c r="C47" i="7"/>
  <c r="C46" i="7"/>
  <c r="C45" i="7"/>
  <c r="C39" i="7"/>
  <c r="C38" i="7"/>
  <c r="C37" i="7"/>
  <c r="C36" i="7"/>
  <c r="C35" i="7"/>
  <c r="C24" i="7"/>
  <c r="C23" i="7"/>
  <c r="C22" i="7"/>
  <c r="C21" i="7"/>
  <c r="C17" i="7"/>
  <c r="C16" i="7"/>
  <c r="C15" i="7"/>
  <c r="C14" i="7"/>
  <c r="C13" i="7"/>
  <c r="C12" i="7"/>
  <c r="C11" i="7"/>
  <c r="C10" i="7"/>
  <c r="C9" i="7"/>
  <c r="C8" i="7"/>
  <c r="N18" i="7"/>
  <c r="N2" i="7" a="1"/>
  <c r="N17" i="7" s="1"/>
  <c r="N2" i="7"/>
  <c r="C132" i="6"/>
  <c r="C131" i="6"/>
  <c r="C130" i="6"/>
  <c r="C129" i="6"/>
  <c r="C128" i="6"/>
  <c r="C127" i="6"/>
  <c r="C126" i="6"/>
  <c r="C125" i="6"/>
  <c r="C124" i="6"/>
  <c r="C123" i="6"/>
  <c r="C122" i="6"/>
  <c r="C121" i="6"/>
  <c r="C120" i="6"/>
  <c r="C119" i="6"/>
  <c r="C118" i="6"/>
  <c r="C117" i="6"/>
  <c r="C116" i="6"/>
  <c r="C114" i="6"/>
  <c r="C112" i="6"/>
  <c r="C111" i="6"/>
  <c r="C109" i="6"/>
  <c r="C108" i="6"/>
  <c r="C107" i="6"/>
  <c r="C106" i="6"/>
  <c r="C105" i="6"/>
  <c r="C104" i="6"/>
  <c r="C103" i="6"/>
  <c r="C102" i="6"/>
  <c r="C101" i="6"/>
  <c r="C100" i="6"/>
  <c r="C99" i="6"/>
  <c r="C98" i="6"/>
  <c r="C96" i="6"/>
  <c r="C95" i="6"/>
  <c r="C94" i="6"/>
  <c r="C93" i="6"/>
  <c r="C92" i="6"/>
  <c r="C91" i="6"/>
  <c r="C90" i="6"/>
  <c r="C88" i="6"/>
  <c r="C87" i="6"/>
  <c r="C86" i="6"/>
  <c r="C84" i="6"/>
  <c r="C83" i="6"/>
  <c r="C82" i="6"/>
  <c r="C81" i="6"/>
  <c r="C80" i="6"/>
  <c r="C79" i="6"/>
  <c r="C78" i="6"/>
  <c r="C77" i="6"/>
  <c r="C76" i="6"/>
  <c r="C75" i="6"/>
  <c r="C74" i="6"/>
  <c r="C73" i="6"/>
  <c r="C72" i="6"/>
  <c r="C71" i="6"/>
  <c r="C70" i="6"/>
  <c r="C69" i="6"/>
  <c r="C68" i="6"/>
  <c r="C66" i="6"/>
  <c r="C65"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G2" i="5"/>
  <c r="F2" i="5"/>
  <c r="E1943" i="5"/>
  <c r="E1942" i="5"/>
  <c r="E1941" i="5"/>
  <c r="E1939" i="5"/>
  <c r="E1938" i="5"/>
  <c r="E1935" i="5"/>
  <c r="E1934" i="5"/>
  <c r="E1933" i="5"/>
  <c r="E1932" i="5"/>
  <c r="E1931" i="5"/>
  <c r="E1930" i="5"/>
  <c r="E1929" i="5"/>
  <c r="E1927" i="5"/>
  <c r="E1926" i="5"/>
  <c r="E1925" i="5"/>
  <c r="E1922" i="5"/>
  <c r="E1921" i="5"/>
  <c r="E1920" i="5"/>
  <c r="E1919" i="5"/>
  <c r="E1918" i="5"/>
  <c r="E1917" i="5"/>
  <c r="E1915" i="5"/>
  <c r="E1914" i="5"/>
  <c r="E1913" i="5"/>
  <c r="E1912" i="5"/>
  <c r="E1909" i="5"/>
  <c r="E1908" i="5"/>
  <c r="E1907" i="5"/>
  <c r="E1906" i="5"/>
  <c r="E1905" i="5"/>
  <c r="E1903" i="5"/>
  <c r="E1902" i="5"/>
  <c r="E1901" i="5"/>
  <c r="E1900" i="5"/>
  <c r="E1899" i="5"/>
  <c r="E1896" i="5"/>
  <c r="E1895" i="5"/>
  <c r="E1894" i="5"/>
  <c r="E1893" i="5"/>
  <c r="E1891" i="5"/>
  <c r="E1890" i="5"/>
  <c r="E1889" i="5"/>
  <c r="E1888" i="5"/>
  <c r="E1887" i="5"/>
  <c r="E1886" i="5"/>
  <c r="E1883" i="5"/>
  <c r="E1882" i="5"/>
  <c r="E1881" i="5"/>
  <c r="E1879" i="5"/>
  <c r="E1878" i="5"/>
  <c r="E1877" i="5"/>
  <c r="E1876" i="5"/>
  <c r="E1875" i="5"/>
  <c r="E1874" i="5"/>
  <c r="E1873" i="5"/>
  <c r="E1870" i="5"/>
  <c r="E1869" i="5"/>
  <c r="E1867" i="5"/>
  <c r="E1866" i="5"/>
  <c r="E1865" i="5"/>
  <c r="E1864" i="5"/>
  <c r="E1863" i="5"/>
  <c r="E1862" i="5"/>
  <c r="E1861" i="5"/>
  <c r="E1860" i="5"/>
  <c r="E1857" i="5"/>
  <c r="E1855" i="5"/>
  <c r="E1854" i="5"/>
  <c r="E1853" i="5"/>
  <c r="E1852" i="5"/>
  <c r="E1851" i="5"/>
  <c r="E1850" i="5"/>
  <c r="E1849" i="5"/>
  <c r="E1848" i="5"/>
  <c r="E1847" i="5"/>
  <c r="E1843" i="5"/>
  <c r="E1842" i="5"/>
  <c r="E1841" i="5"/>
  <c r="E1840" i="5"/>
  <c r="E1839" i="5"/>
  <c r="E1838" i="5"/>
  <c r="E1837" i="5"/>
  <c r="E1836" i="5"/>
  <c r="E1835" i="5"/>
  <c r="E1834" i="5"/>
  <c r="E1830" i="5"/>
  <c r="E1829" i="5"/>
  <c r="E1828" i="5"/>
  <c r="E1827" i="5"/>
  <c r="E1826" i="5"/>
  <c r="E1825" i="5"/>
  <c r="E1824" i="5"/>
  <c r="E1823" i="5"/>
  <c r="E1822" i="5"/>
  <c r="E1821" i="5"/>
  <c r="E1817" i="5"/>
  <c r="E1816" i="5"/>
  <c r="E1815" i="5"/>
  <c r="E1814" i="5"/>
  <c r="E1813" i="5"/>
  <c r="E1812" i="5"/>
  <c r="E1811" i="5"/>
  <c r="E1810" i="5"/>
  <c r="E1809" i="5"/>
  <c r="E1807" i="5"/>
  <c r="E1804" i="5"/>
  <c r="E1803" i="5"/>
  <c r="E1802" i="5"/>
  <c r="E1801" i="5"/>
  <c r="E1800" i="5"/>
  <c r="E1799" i="5"/>
  <c r="E1798" i="5"/>
  <c r="E1797" i="5"/>
  <c r="E1795" i="5"/>
  <c r="E1794" i="5"/>
  <c r="E1791" i="5"/>
  <c r="E1790" i="5"/>
  <c r="E1789" i="5"/>
  <c r="E1788" i="5"/>
  <c r="E1787" i="5"/>
  <c r="E1786" i="5"/>
  <c r="E1785" i="5"/>
  <c r="E1783" i="5"/>
  <c r="E1782" i="5"/>
  <c r="E1781" i="5"/>
  <c r="E1778" i="5"/>
  <c r="E1777" i="5"/>
  <c r="E1776" i="5"/>
  <c r="E1775" i="5"/>
  <c r="E1774" i="5"/>
  <c r="E1773" i="5"/>
  <c r="E1771" i="5"/>
  <c r="E1770" i="5"/>
  <c r="E1769" i="5"/>
  <c r="E1768" i="5"/>
  <c r="E1765" i="5"/>
  <c r="E1764" i="5"/>
  <c r="E1763" i="5"/>
  <c r="E1762" i="5"/>
  <c r="E1761" i="5"/>
  <c r="E1759" i="5"/>
  <c r="E1758" i="5"/>
  <c r="E1757" i="5"/>
  <c r="E1756" i="5"/>
  <c r="E1755" i="5"/>
  <c r="E1752" i="5"/>
  <c r="E1751" i="5"/>
  <c r="E1750" i="5"/>
  <c r="E1749" i="5"/>
  <c r="E1747" i="5"/>
  <c r="E1746" i="5"/>
  <c r="E1745" i="5"/>
  <c r="E1744" i="5"/>
  <c r="E1743" i="5"/>
  <c r="E1742" i="5"/>
  <c r="E1739" i="5"/>
  <c r="E1738" i="5"/>
  <c r="E1737" i="5"/>
  <c r="E1735" i="5"/>
  <c r="E1734" i="5"/>
  <c r="E1733" i="5"/>
  <c r="E1732" i="5"/>
  <c r="E1731" i="5"/>
  <c r="E1730" i="5"/>
  <c r="E1729" i="5"/>
  <c r="E1726" i="5"/>
  <c r="E1725" i="5"/>
  <c r="E1723" i="5"/>
  <c r="E1722" i="5"/>
  <c r="E1721" i="5"/>
  <c r="E1720" i="5"/>
  <c r="E1719" i="5"/>
  <c r="E1718" i="5"/>
  <c r="E1717" i="5"/>
  <c r="E1716" i="5"/>
  <c r="E1713" i="5"/>
  <c r="E1711" i="5"/>
  <c r="E1710" i="5"/>
  <c r="E1709" i="5"/>
  <c r="E1708" i="5"/>
  <c r="E1707" i="5"/>
  <c r="E1706" i="5"/>
  <c r="E1705" i="5"/>
  <c r="E1704" i="5"/>
  <c r="E1703" i="5"/>
  <c r="E1699" i="5"/>
  <c r="E1698" i="5"/>
  <c r="E1697" i="5"/>
  <c r="E1696" i="5"/>
  <c r="E1695" i="5"/>
  <c r="E1694" i="5"/>
  <c r="E1693" i="5"/>
  <c r="E1692" i="5"/>
  <c r="E1691" i="5"/>
  <c r="E1690" i="5"/>
  <c r="E1686" i="5"/>
  <c r="E1685" i="5"/>
  <c r="E1684" i="5"/>
  <c r="E1683" i="5"/>
  <c r="E1682" i="5"/>
  <c r="E1681" i="5"/>
  <c r="E1680" i="5"/>
  <c r="E1679" i="5"/>
  <c r="E1678" i="5"/>
  <c r="E1677" i="5"/>
  <c r="E1673" i="5"/>
  <c r="E1672" i="5"/>
  <c r="E1671" i="5"/>
  <c r="E1670" i="5"/>
  <c r="E1669" i="5"/>
  <c r="E1668" i="5"/>
  <c r="E1667" i="5"/>
  <c r="E1666" i="5"/>
  <c r="E1665" i="5"/>
  <c r="E1663" i="5"/>
  <c r="E1660" i="5"/>
  <c r="E1659" i="5"/>
  <c r="E1658" i="5"/>
  <c r="E1657" i="5"/>
  <c r="E1656" i="5"/>
  <c r="E1655" i="5"/>
  <c r="E1654" i="5"/>
  <c r="E1653" i="5"/>
  <c r="E1651" i="5"/>
  <c r="E1650" i="5"/>
  <c r="E1647" i="5"/>
  <c r="E1646" i="5"/>
  <c r="E1645" i="5"/>
  <c r="E1644" i="5"/>
  <c r="E1643" i="5"/>
  <c r="E1642" i="5"/>
  <c r="E1641" i="5"/>
  <c r="E1639" i="5"/>
  <c r="E1638" i="5"/>
  <c r="E1637" i="5"/>
  <c r="E1634" i="5"/>
  <c r="E1633" i="5"/>
  <c r="E1632" i="5"/>
  <c r="E1631" i="5"/>
  <c r="E1630" i="5"/>
  <c r="E1629" i="5"/>
  <c r="E1627" i="5"/>
  <c r="E1626" i="5"/>
  <c r="E1625" i="5"/>
  <c r="E1624" i="5"/>
  <c r="E1621" i="5"/>
  <c r="E1620" i="5"/>
  <c r="E1619" i="5"/>
  <c r="E1618" i="5"/>
  <c r="E1617" i="5"/>
  <c r="E1615" i="5"/>
  <c r="E1614" i="5"/>
  <c r="E1613" i="5"/>
  <c r="E1612" i="5"/>
  <c r="E1611" i="5"/>
  <c r="E1608" i="5"/>
  <c r="E1607" i="5"/>
  <c r="E1606" i="5"/>
  <c r="E1605" i="5"/>
  <c r="E1603" i="5"/>
  <c r="E1602" i="5"/>
  <c r="E1601" i="5"/>
  <c r="E1600" i="5"/>
  <c r="E1599" i="5"/>
  <c r="E1598" i="5"/>
  <c r="E1595" i="5"/>
  <c r="E1594" i="5"/>
  <c r="E1593" i="5"/>
  <c r="E1591" i="5"/>
  <c r="E1590" i="5"/>
  <c r="E1589" i="5"/>
  <c r="E1588" i="5"/>
  <c r="E1587" i="5"/>
  <c r="E1586" i="5"/>
  <c r="E1585" i="5"/>
  <c r="E1582" i="5"/>
  <c r="E1581" i="5"/>
  <c r="E1579" i="5"/>
  <c r="E1578" i="5"/>
  <c r="E1577" i="5"/>
  <c r="E1576" i="5"/>
  <c r="E1575" i="5"/>
  <c r="E1574" i="5"/>
  <c r="E1573" i="5"/>
  <c r="E1572" i="5"/>
  <c r="E1569" i="5"/>
  <c r="E1567" i="5"/>
  <c r="E1566" i="5"/>
  <c r="E1565" i="5"/>
  <c r="E1564" i="5"/>
  <c r="E1563" i="5"/>
  <c r="E1562" i="5"/>
  <c r="E1561" i="5"/>
  <c r="E1560" i="5"/>
  <c r="E1559" i="5"/>
  <c r="E1555" i="5"/>
  <c r="E1554" i="5"/>
  <c r="E1553" i="5"/>
  <c r="E1552" i="5"/>
  <c r="E1551" i="5"/>
  <c r="E1550" i="5"/>
  <c r="E1549" i="5"/>
  <c r="E1548" i="5"/>
  <c r="E1547" i="5"/>
  <c r="E1546" i="5"/>
  <c r="E1542" i="5"/>
  <c r="E1541" i="5"/>
  <c r="E1540" i="5"/>
  <c r="E1539" i="5"/>
  <c r="E1538" i="5"/>
  <c r="E1537" i="5"/>
  <c r="E1536" i="5"/>
  <c r="E1535" i="5"/>
  <c r="E1534" i="5"/>
  <c r="E1533" i="5"/>
  <c r="E1529" i="5"/>
  <c r="E1528" i="5"/>
  <c r="E1527" i="5"/>
  <c r="E1526" i="5"/>
  <c r="E1525" i="5"/>
  <c r="E1524" i="5"/>
  <c r="E1523" i="5"/>
  <c r="E1522" i="5"/>
  <c r="E1521" i="5"/>
  <c r="E1519" i="5"/>
  <c r="E1516" i="5"/>
  <c r="E1515" i="5"/>
  <c r="E1514" i="5"/>
  <c r="E1513" i="5"/>
  <c r="E1512" i="5"/>
  <c r="E1511" i="5"/>
  <c r="E1510" i="5"/>
  <c r="E1509" i="5"/>
  <c r="E1507" i="5"/>
  <c r="E1506" i="5"/>
  <c r="E1503" i="5"/>
  <c r="E1502" i="5"/>
  <c r="E1501" i="5"/>
  <c r="E1500" i="5"/>
  <c r="E1499" i="5"/>
  <c r="E1498" i="5"/>
  <c r="E1497" i="5"/>
  <c r="E1495" i="5"/>
  <c r="E1494" i="5"/>
  <c r="E1493" i="5"/>
  <c r="E1490" i="5"/>
  <c r="E1489" i="5"/>
  <c r="E1488" i="5"/>
  <c r="E1487" i="5"/>
  <c r="E1486" i="5"/>
  <c r="E1485" i="5"/>
  <c r="E1483" i="5"/>
  <c r="E1482" i="5"/>
  <c r="E1481" i="5"/>
  <c r="E1480" i="5"/>
  <c r="E1477" i="5"/>
  <c r="E1476" i="5"/>
  <c r="E1475" i="5"/>
  <c r="E1474" i="5"/>
  <c r="E1473" i="5"/>
  <c r="E1471" i="5"/>
  <c r="E1470" i="5"/>
  <c r="E1469" i="5"/>
  <c r="E1468" i="5"/>
  <c r="E1467" i="5"/>
  <c r="E1464" i="5"/>
  <c r="E1463" i="5"/>
  <c r="E1462" i="5"/>
  <c r="E1461" i="5"/>
  <c r="E1459" i="5"/>
  <c r="E1458" i="5"/>
  <c r="E1457" i="5"/>
  <c r="E1456" i="5"/>
  <c r="E1455" i="5"/>
  <c r="E1454" i="5"/>
  <c r="E1452" i="5"/>
  <c r="E1451" i="5"/>
  <c r="E1450" i="5"/>
  <c r="E1449" i="5"/>
  <c r="E1447" i="5"/>
  <c r="E1446" i="5"/>
  <c r="E1445" i="5"/>
  <c r="E1444" i="5"/>
  <c r="E1443" i="5"/>
  <c r="E1442" i="5"/>
  <c r="E1441" i="5"/>
  <c r="E1438" i="5"/>
  <c r="E1437" i="5"/>
  <c r="E1435" i="5"/>
  <c r="E1434" i="5"/>
  <c r="E1433" i="5"/>
  <c r="E1432" i="5"/>
  <c r="E1431" i="5"/>
  <c r="E1430" i="5"/>
  <c r="E1429" i="5"/>
  <c r="E1428" i="5"/>
  <c r="E1426" i="5"/>
  <c r="E1425" i="5"/>
  <c r="E1423" i="5"/>
  <c r="E1422" i="5"/>
  <c r="E1421" i="5"/>
  <c r="E1420" i="5"/>
  <c r="E1419" i="5"/>
  <c r="E1418" i="5"/>
  <c r="E1417" i="5"/>
  <c r="E1416" i="5"/>
  <c r="E1415" i="5"/>
  <c r="E1413" i="5"/>
  <c r="E1411" i="5"/>
  <c r="E1410" i="5"/>
  <c r="E1409" i="5"/>
  <c r="E1408" i="5"/>
  <c r="E1407" i="5"/>
  <c r="E1406" i="5"/>
  <c r="E1405" i="5"/>
  <c r="E1404" i="5"/>
  <c r="E1403" i="5"/>
  <c r="E1402" i="5"/>
  <c r="E1399" i="5"/>
  <c r="E1398" i="5"/>
  <c r="E1397" i="5"/>
  <c r="E1396" i="5"/>
  <c r="E1395" i="5"/>
  <c r="E1394" i="5"/>
  <c r="E1393" i="5"/>
  <c r="E1392" i="5"/>
  <c r="E1391" i="5"/>
  <c r="E1390" i="5"/>
  <c r="E1389" i="5"/>
  <c r="E1386" i="5"/>
  <c r="E1385" i="5"/>
  <c r="E1384" i="5"/>
  <c r="E1383" i="5"/>
  <c r="E1382" i="5"/>
  <c r="E1381" i="5"/>
  <c r="E1380" i="5"/>
  <c r="E1379" i="5"/>
  <c r="E1378" i="5"/>
  <c r="E1377" i="5"/>
  <c r="E1375" i="5"/>
  <c r="E1373" i="5"/>
  <c r="E1372" i="5"/>
  <c r="E1371" i="5"/>
  <c r="E1370" i="5"/>
  <c r="E1369" i="5"/>
  <c r="E1368" i="5"/>
  <c r="E1367" i="5"/>
  <c r="E1366" i="5"/>
  <c r="E1365" i="5"/>
  <c r="E1363" i="5"/>
  <c r="E1362" i="5"/>
  <c r="E1360" i="5"/>
  <c r="E1359" i="5"/>
  <c r="E1358" i="5"/>
  <c r="E1357" i="5"/>
  <c r="E1356" i="5"/>
  <c r="E1355" i="5"/>
  <c r="E1354" i="5"/>
  <c r="E1353" i="5"/>
  <c r="E1351" i="5"/>
  <c r="E1350" i="5"/>
  <c r="E1349" i="5"/>
  <c r="E1347" i="5"/>
  <c r="E1346" i="5"/>
  <c r="E1345" i="5"/>
  <c r="E1344" i="5"/>
  <c r="E1343" i="5"/>
  <c r="E1342" i="5"/>
  <c r="E1341" i="5"/>
  <c r="E1339" i="5"/>
  <c r="E1338" i="5"/>
  <c r="E1337" i="5"/>
  <c r="E1336" i="5"/>
  <c r="E1334" i="5"/>
  <c r="E1333" i="5"/>
  <c r="E1332" i="5"/>
  <c r="E1331" i="5"/>
  <c r="E1330" i="5"/>
  <c r="E1329" i="5"/>
  <c r="E1327" i="5"/>
  <c r="E1326" i="5"/>
  <c r="E1325" i="5"/>
  <c r="E1324" i="5"/>
  <c r="E1323" i="5"/>
  <c r="E1321" i="5"/>
  <c r="E1320" i="5"/>
  <c r="E1319" i="5"/>
  <c r="E1318" i="5"/>
  <c r="E1317" i="5"/>
  <c r="E1315" i="5"/>
  <c r="E1314" i="5"/>
  <c r="E1313" i="5"/>
  <c r="E1312" i="5"/>
  <c r="E1311" i="5"/>
  <c r="E1310" i="5"/>
  <c r="E1308" i="5"/>
  <c r="E1307" i="5"/>
  <c r="E1306" i="5"/>
  <c r="E1305" i="5"/>
  <c r="E1303" i="5"/>
  <c r="E1302" i="5"/>
  <c r="E1301" i="5"/>
  <c r="E1300" i="5"/>
  <c r="E1299" i="5"/>
  <c r="E1298" i="5"/>
  <c r="E1297" i="5"/>
  <c r="E1295" i="5"/>
  <c r="E1294" i="5"/>
  <c r="E1293" i="5"/>
  <c r="E1291" i="5"/>
  <c r="E1290" i="5"/>
  <c r="E1289" i="5"/>
  <c r="E1288" i="5"/>
  <c r="E1287" i="5"/>
  <c r="E1286" i="5"/>
  <c r="E1285" i="5"/>
  <c r="E1284" i="5"/>
  <c r="E1282" i="5"/>
  <c r="E1281" i="5"/>
  <c r="E1279" i="5"/>
  <c r="E1278" i="5"/>
  <c r="E1277" i="5"/>
  <c r="E1276" i="5"/>
  <c r="E1275" i="5"/>
  <c r="E1274" i="5"/>
  <c r="E1273" i="5"/>
  <c r="E1272" i="5"/>
  <c r="E1271" i="5"/>
  <c r="E1269" i="5"/>
  <c r="E1267" i="5"/>
  <c r="E1266" i="5"/>
  <c r="E1265" i="5"/>
  <c r="E1264" i="5"/>
  <c r="E1263" i="5"/>
  <c r="E1262" i="5"/>
  <c r="E1261" i="5"/>
  <c r="E1260" i="5"/>
  <c r="E1259" i="5"/>
  <c r="E1258" i="5"/>
  <c r="E1255" i="5"/>
  <c r="E1254" i="5"/>
  <c r="E1253" i="5"/>
  <c r="E1252" i="5"/>
  <c r="E1251" i="5"/>
  <c r="E1250" i="5"/>
  <c r="E1249" i="5"/>
  <c r="E1248" i="5"/>
  <c r="E1247" i="5"/>
  <c r="E1246" i="5"/>
  <c r="E1245" i="5"/>
  <c r="E1242" i="5"/>
  <c r="E1241" i="5"/>
  <c r="E1240" i="5"/>
  <c r="E1239" i="5"/>
  <c r="E1238" i="5"/>
  <c r="E1237" i="5"/>
  <c r="E1236" i="5"/>
  <c r="E1235" i="5"/>
  <c r="E1234" i="5"/>
  <c r="E1233" i="5"/>
  <c r="E1231" i="5"/>
  <c r="E1229" i="5"/>
  <c r="E1228" i="5"/>
  <c r="E1227" i="5"/>
  <c r="E1226" i="5"/>
  <c r="E1225" i="5"/>
  <c r="E1224" i="5"/>
  <c r="E1223" i="5"/>
  <c r="E1222" i="5"/>
  <c r="E1221" i="5"/>
  <c r="E1219" i="5"/>
  <c r="E1218" i="5"/>
  <c r="E1216" i="5"/>
  <c r="E1215" i="5"/>
  <c r="E1214" i="5"/>
  <c r="E1213" i="5"/>
  <c r="E1212" i="5"/>
  <c r="E1211" i="5"/>
  <c r="E1210" i="5"/>
  <c r="E1209" i="5"/>
  <c r="E1207" i="5"/>
  <c r="E1206" i="5"/>
  <c r="E1205" i="5"/>
  <c r="E1203" i="5"/>
  <c r="E1202" i="5"/>
  <c r="E1201" i="5"/>
  <c r="E1200" i="5"/>
  <c r="E1199" i="5"/>
  <c r="E1198" i="5"/>
  <c r="E1197" i="5"/>
  <c r="E1195" i="5"/>
  <c r="E1194" i="5"/>
  <c r="E1193" i="5"/>
  <c r="E1192" i="5"/>
  <c r="E1190" i="5"/>
  <c r="E1189" i="5"/>
  <c r="E1188" i="5"/>
  <c r="E1187" i="5"/>
  <c r="E1186" i="5"/>
  <c r="E1185" i="5"/>
  <c r="E1183" i="5"/>
  <c r="E1182" i="5"/>
  <c r="E1181" i="5"/>
  <c r="E1180" i="5"/>
  <c r="E1179" i="5"/>
  <c r="E1177" i="5"/>
  <c r="E1176" i="5"/>
  <c r="E1175" i="5"/>
  <c r="E1174" i="5"/>
  <c r="E1173" i="5"/>
  <c r="E1171" i="5"/>
  <c r="E1170" i="5"/>
  <c r="E1169" i="5"/>
  <c r="E1168" i="5"/>
  <c r="E1167" i="5"/>
  <c r="E1166" i="5"/>
  <c r="E1164" i="5"/>
  <c r="E1163" i="5"/>
  <c r="E1162" i="5"/>
  <c r="E1161" i="5"/>
  <c r="E1159" i="5"/>
  <c r="E1158" i="5"/>
  <c r="E1157" i="5"/>
  <c r="E1156" i="5"/>
  <c r="E1155" i="5"/>
  <c r="E1154" i="5"/>
  <c r="E1153" i="5"/>
  <c r="E1151" i="5"/>
  <c r="E1150" i="5"/>
  <c r="E1149" i="5"/>
  <c r="E1147" i="5"/>
  <c r="E1146" i="5"/>
  <c r="E1145" i="5"/>
  <c r="E1144" i="5"/>
  <c r="E1143" i="5"/>
  <c r="E1142" i="5"/>
  <c r="E1141" i="5"/>
  <c r="E1140" i="5"/>
  <c r="E1138" i="5"/>
  <c r="E1137" i="5"/>
  <c r="E1135" i="5"/>
  <c r="E1134" i="5"/>
  <c r="E1133" i="5"/>
  <c r="E1132" i="5"/>
  <c r="E1131" i="5"/>
  <c r="E1130" i="5"/>
  <c r="E1129" i="5"/>
  <c r="E1128" i="5"/>
  <c r="E1127" i="5"/>
  <c r="E1125" i="5"/>
  <c r="E1123" i="5"/>
  <c r="E1122" i="5"/>
  <c r="E1121" i="5"/>
  <c r="E1120" i="5"/>
  <c r="E1119" i="5"/>
  <c r="E1118" i="5"/>
  <c r="E1117" i="5"/>
  <c r="E1116" i="5"/>
  <c r="E1115" i="5"/>
  <c r="E1114" i="5"/>
  <c r="E1111" i="5"/>
  <c r="E1110" i="5"/>
  <c r="E1109" i="5"/>
  <c r="E1108" i="5"/>
  <c r="E1107" i="5"/>
  <c r="E1106" i="5"/>
  <c r="E1105" i="5"/>
  <c r="E1104" i="5"/>
  <c r="E1103" i="5"/>
  <c r="E1102" i="5"/>
  <c r="E1101" i="5"/>
  <c r="E1098" i="5"/>
  <c r="E1097" i="5"/>
  <c r="E1096" i="5"/>
  <c r="E1095" i="5"/>
  <c r="E1094" i="5"/>
  <c r="E1093" i="5"/>
  <c r="E1092" i="5"/>
  <c r="E1091" i="5"/>
  <c r="E1090" i="5"/>
  <c r="E1089" i="5"/>
  <c r="E1087" i="5"/>
  <c r="E1085" i="5"/>
  <c r="E1084" i="5"/>
  <c r="E1083" i="5"/>
  <c r="E1082" i="5"/>
  <c r="E1081" i="5"/>
  <c r="E1080" i="5"/>
  <c r="E1079" i="5"/>
  <c r="E1078" i="5"/>
  <c r="E1077" i="5"/>
  <c r="E1075" i="5"/>
  <c r="E1074" i="5"/>
  <c r="E1072" i="5"/>
  <c r="E1071" i="5"/>
  <c r="E1070" i="5"/>
  <c r="E1069" i="5"/>
  <c r="E1068" i="5"/>
  <c r="E1067" i="5"/>
  <c r="E1066" i="5"/>
  <c r="E1065" i="5"/>
  <c r="E1063" i="5"/>
  <c r="E1062" i="5"/>
  <c r="E1061" i="5"/>
  <c r="E1059" i="5"/>
  <c r="E1058" i="5"/>
  <c r="E1057" i="5"/>
  <c r="E1056" i="5"/>
  <c r="E1055" i="5"/>
  <c r="E1054" i="5"/>
  <c r="E1053" i="5"/>
  <c r="E1051" i="5"/>
  <c r="E1050" i="5"/>
  <c r="E1049" i="5"/>
  <c r="E1048" i="5"/>
  <c r="E1046" i="5"/>
  <c r="E1045" i="5"/>
  <c r="E1044" i="5"/>
  <c r="E1043" i="5"/>
  <c r="E1042" i="5"/>
  <c r="E1041" i="5"/>
  <c r="E1039" i="5"/>
  <c r="E1038" i="5"/>
  <c r="E1037" i="5"/>
  <c r="E1036" i="5"/>
  <c r="E1035" i="5"/>
  <c r="E1033" i="5"/>
  <c r="E1032" i="5"/>
  <c r="E1031" i="5"/>
  <c r="E1030" i="5"/>
  <c r="E1029" i="5"/>
  <c r="E1027" i="5"/>
  <c r="E1026" i="5"/>
  <c r="E1025" i="5"/>
  <c r="E1024" i="5"/>
  <c r="E1023" i="5"/>
  <c r="E1022" i="5"/>
  <c r="E1020" i="5"/>
  <c r="E1019" i="5"/>
  <c r="E1018" i="5"/>
  <c r="E1017" i="5"/>
  <c r="E1015" i="5"/>
  <c r="E1014" i="5"/>
  <c r="E1013" i="5"/>
  <c r="E1012" i="5"/>
  <c r="E1011" i="5"/>
  <c r="E1010" i="5"/>
  <c r="E1009" i="5"/>
  <c r="E1007" i="5"/>
  <c r="E1006" i="5"/>
  <c r="E1005" i="5"/>
  <c r="E1003" i="5"/>
  <c r="E1002" i="5"/>
  <c r="E1001" i="5"/>
  <c r="E1000" i="5"/>
  <c r="E999" i="5"/>
  <c r="E998" i="5"/>
  <c r="E997" i="5"/>
  <c r="E996" i="5"/>
  <c r="E994" i="5"/>
  <c r="E993" i="5"/>
  <c r="E991" i="5"/>
  <c r="E990" i="5"/>
  <c r="E989" i="5"/>
  <c r="E988" i="5"/>
  <c r="E987" i="5"/>
  <c r="E986" i="5"/>
  <c r="E985" i="5"/>
  <c r="E984" i="5"/>
  <c r="E983" i="5"/>
  <c r="E981" i="5"/>
  <c r="E979" i="5"/>
  <c r="E978" i="5"/>
  <c r="E977" i="5"/>
  <c r="E976" i="5"/>
  <c r="E975" i="5"/>
  <c r="E974" i="5"/>
  <c r="E973" i="5"/>
  <c r="E972" i="5"/>
  <c r="E971" i="5"/>
  <c r="E970" i="5"/>
  <c r="E967" i="5"/>
  <c r="E966" i="5"/>
  <c r="E965" i="5"/>
  <c r="E964" i="5"/>
  <c r="E963" i="5"/>
  <c r="E962" i="5"/>
  <c r="E961" i="5"/>
  <c r="E960" i="5"/>
  <c r="E959" i="5"/>
  <c r="E958" i="5"/>
  <c r="E957" i="5"/>
  <c r="E954" i="5"/>
  <c r="E953" i="5"/>
  <c r="E952" i="5"/>
  <c r="E951" i="5"/>
  <c r="E950" i="5"/>
  <c r="E949" i="5"/>
  <c r="E948" i="5"/>
  <c r="E947" i="5"/>
  <c r="E946" i="5"/>
  <c r="E945" i="5"/>
  <c r="E943" i="5"/>
  <c r="E941" i="5"/>
  <c r="E940" i="5"/>
  <c r="E939" i="5"/>
  <c r="E938" i="5"/>
  <c r="E937" i="5"/>
  <c r="E936" i="5"/>
  <c r="E935" i="5"/>
  <c r="E934" i="5"/>
  <c r="E933" i="5"/>
  <c r="E931" i="5"/>
  <c r="E930" i="5"/>
  <c r="E928" i="5"/>
  <c r="E927" i="5"/>
  <c r="E926" i="5"/>
  <c r="E925" i="5"/>
  <c r="E924" i="5"/>
  <c r="E923" i="5"/>
  <c r="E922" i="5"/>
  <c r="E921" i="5"/>
  <c r="E919" i="5"/>
  <c r="E918" i="5"/>
  <c r="E917" i="5"/>
  <c r="E915" i="5"/>
  <c r="E914" i="5"/>
  <c r="E913" i="5"/>
  <c r="E912" i="5"/>
  <c r="E911" i="5"/>
  <c r="E910" i="5"/>
  <c r="E909" i="5"/>
  <c r="E907" i="5"/>
  <c r="E906" i="5"/>
  <c r="E905" i="5"/>
  <c r="E904" i="5"/>
  <c r="E902" i="5"/>
  <c r="E901" i="5"/>
  <c r="E900" i="5"/>
  <c r="E899" i="5"/>
  <c r="E898" i="5"/>
  <c r="E897" i="5"/>
  <c r="E895" i="5"/>
  <c r="E894" i="5"/>
  <c r="E893" i="5"/>
  <c r="E892" i="5"/>
  <c r="E891" i="5"/>
  <c r="E889" i="5"/>
  <c r="E888" i="5"/>
  <c r="E887" i="5"/>
  <c r="E886" i="5"/>
  <c r="E885" i="5"/>
  <c r="E883" i="5"/>
  <c r="E882" i="5"/>
  <c r="E881" i="5"/>
  <c r="E880" i="5"/>
  <c r="E879" i="5"/>
  <c r="E878" i="5"/>
  <c r="E876" i="5"/>
  <c r="E875" i="5"/>
  <c r="E874" i="5"/>
  <c r="E873" i="5"/>
  <c r="E871" i="5"/>
  <c r="E870" i="5"/>
  <c r="E869" i="5"/>
  <c r="E868" i="5"/>
  <c r="E867" i="5"/>
  <c r="E866" i="5"/>
  <c r="E865" i="5"/>
  <c r="E863" i="5"/>
  <c r="E862" i="5"/>
  <c r="E861" i="5"/>
  <c r="E859" i="5"/>
  <c r="E858" i="5"/>
  <c r="E857" i="5"/>
  <c r="E856" i="5"/>
  <c r="E855" i="5"/>
  <c r="E854" i="5"/>
  <c r="E853" i="5"/>
  <c r="E852" i="5"/>
  <c r="E850" i="5"/>
  <c r="E849" i="5"/>
  <c r="E847" i="5"/>
  <c r="E846" i="5"/>
  <c r="E845" i="5"/>
  <c r="E844" i="5"/>
  <c r="E843" i="5"/>
  <c r="E842" i="5"/>
  <c r="E841" i="5"/>
  <c r="E840" i="5"/>
  <c r="E839" i="5"/>
  <c r="E837" i="5"/>
  <c r="E835" i="5"/>
  <c r="E834" i="5"/>
  <c r="E833" i="5"/>
  <c r="E832" i="5"/>
  <c r="E831" i="5"/>
  <c r="E830" i="5"/>
  <c r="E829" i="5"/>
  <c r="E828" i="5"/>
  <c r="E827" i="5"/>
  <c r="E826" i="5"/>
  <c r="E823" i="5"/>
  <c r="E822" i="5"/>
  <c r="E821" i="5"/>
  <c r="E820" i="5"/>
  <c r="E819" i="5"/>
  <c r="E818" i="5"/>
  <c r="E817" i="5"/>
  <c r="E816" i="5"/>
  <c r="E815" i="5"/>
  <c r="E814" i="5"/>
  <c r="E813" i="5"/>
  <c r="E810" i="5"/>
  <c r="E809" i="5"/>
  <c r="E808" i="5"/>
  <c r="E807" i="5"/>
  <c r="E806" i="5"/>
  <c r="E805" i="5"/>
  <c r="E804" i="5"/>
  <c r="E803" i="5"/>
  <c r="E802" i="5"/>
  <c r="E801" i="5"/>
  <c r="E799" i="5"/>
  <c r="E797" i="5"/>
  <c r="E796" i="5"/>
  <c r="E795" i="5"/>
  <c r="E794" i="5"/>
  <c r="E793" i="5"/>
  <c r="E792" i="5"/>
  <c r="E791" i="5"/>
  <c r="E790" i="5"/>
  <c r="E789" i="5"/>
  <c r="E787" i="5"/>
  <c r="E786" i="5"/>
  <c r="E784" i="5"/>
  <c r="E783" i="5"/>
  <c r="E782" i="5"/>
  <c r="E781" i="5"/>
  <c r="E780" i="5"/>
  <c r="E779" i="5"/>
  <c r="E778" i="5"/>
  <c r="E777" i="5"/>
  <c r="E775" i="5"/>
  <c r="E774" i="5"/>
  <c r="E773" i="5"/>
  <c r="E771" i="5"/>
  <c r="E770" i="5"/>
  <c r="E769" i="5"/>
  <c r="E768" i="5"/>
  <c r="E767" i="5"/>
  <c r="E766" i="5"/>
  <c r="E765" i="5"/>
  <c r="E763" i="5"/>
  <c r="E762" i="5"/>
  <c r="E761" i="5"/>
  <c r="E760" i="5"/>
  <c r="E758" i="5"/>
  <c r="E757" i="5"/>
  <c r="E756" i="5"/>
  <c r="E755" i="5"/>
  <c r="E754" i="5"/>
  <c r="E753" i="5"/>
  <c r="E751" i="5"/>
  <c r="E750" i="5"/>
  <c r="E749" i="5"/>
  <c r="E748" i="5"/>
  <c r="E747" i="5"/>
  <c r="E745" i="5"/>
  <c r="E744" i="5"/>
  <c r="E743" i="5"/>
  <c r="E742" i="5"/>
  <c r="E741" i="5"/>
  <c r="E739" i="5"/>
  <c r="E738" i="5"/>
  <c r="E737" i="5"/>
  <c r="E736" i="5"/>
  <c r="E735" i="5"/>
  <c r="E734" i="5"/>
  <c r="E732" i="5"/>
  <c r="E731" i="5"/>
  <c r="E730" i="5"/>
  <c r="E729" i="5"/>
  <c r="E727" i="5"/>
  <c r="E726" i="5"/>
  <c r="E725" i="5"/>
  <c r="E724" i="5"/>
  <c r="E723" i="5"/>
  <c r="E722" i="5"/>
  <c r="E721" i="5"/>
  <c r="E719" i="5"/>
  <c r="E718" i="5"/>
  <c r="E717" i="5"/>
  <c r="E715" i="5"/>
  <c r="E714" i="5"/>
  <c r="E713" i="5"/>
  <c r="E712" i="5"/>
  <c r="E711" i="5"/>
  <c r="E710" i="5"/>
  <c r="E709" i="5"/>
  <c r="E708" i="5"/>
  <c r="E706" i="5"/>
  <c r="E705" i="5"/>
  <c r="E703" i="5"/>
  <c r="E702" i="5"/>
  <c r="E701" i="5"/>
  <c r="E700" i="5"/>
  <c r="E699" i="5"/>
  <c r="E698" i="5"/>
  <c r="E697" i="5"/>
  <c r="E696" i="5"/>
  <c r="E695" i="5"/>
  <c r="E693" i="5"/>
  <c r="E691" i="5"/>
  <c r="E690" i="5"/>
  <c r="E689" i="5"/>
  <c r="E688" i="5"/>
  <c r="E687" i="5"/>
  <c r="E686" i="5"/>
  <c r="E685" i="5"/>
  <c r="E684" i="5"/>
  <c r="E683" i="5"/>
  <c r="E682" i="5"/>
  <c r="E679" i="5"/>
  <c r="E678" i="5"/>
  <c r="E677" i="5"/>
  <c r="E676" i="5"/>
  <c r="E675" i="5"/>
  <c r="E674" i="5"/>
  <c r="E673" i="5"/>
  <c r="E672" i="5"/>
  <c r="E671" i="5"/>
  <c r="E670" i="5"/>
  <c r="E669" i="5"/>
  <c r="E666" i="5"/>
  <c r="E665" i="5"/>
  <c r="E664" i="5"/>
  <c r="E663" i="5"/>
  <c r="E662" i="5"/>
  <c r="E661" i="5"/>
  <c r="E660" i="5"/>
  <c r="E659" i="5"/>
  <c r="E658" i="5"/>
  <c r="E657" i="5"/>
  <c r="E655" i="5"/>
  <c r="E653" i="5"/>
  <c r="E652" i="5"/>
  <c r="E651" i="5"/>
  <c r="E650" i="5"/>
  <c r="E649" i="5"/>
  <c r="E648" i="5"/>
  <c r="E647" i="5"/>
  <c r="E646" i="5"/>
  <c r="E645" i="5"/>
  <c r="E643" i="5"/>
  <c r="E642" i="5"/>
  <c r="E640" i="5"/>
  <c r="E639" i="5"/>
  <c r="E638" i="5"/>
  <c r="E637" i="5"/>
  <c r="E636" i="5"/>
  <c r="E635" i="5"/>
  <c r="E634" i="5"/>
  <c r="E633" i="5"/>
  <c r="E631" i="5"/>
  <c r="E630" i="5"/>
  <c r="E629" i="5"/>
  <c r="E627" i="5"/>
  <c r="E626" i="5"/>
  <c r="E625" i="5"/>
  <c r="E624" i="5"/>
  <c r="E623" i="5"/>
  <c r="E622" i="5"/>
  <c r="E621" i="5"/>
  <c r="E619" i="5"/>
  <c r="E618" i="5"/>
  <c r="E617" i="5"/>
  <c r="E616" i="5"/>
  <c r="E614" i="5"/>
  <c r="E613" i="5"/>
  <c r="E612" i="5"/>
  <c r="E611" i="5"/>
  <c r="E610" i="5"/>
  <c r="E609" i="5"/>
  <c r="E607" i="5"/>
  <c r="E606" i="5"/>
  <c r="E605" i="5"/>
  <c r="E604" i="5"/>
  <c r="E603" i="5"/>
  <c r="E601" i="5"/>
  <c r="E600" i="5"/>
  <c r="E599" i="5"/>
  <c r="E598" i="5"/>
  <c r="E597" i="5"/>
  <c r="E595" i="5"/>
  <c r="E594" i="5"/>
  <c r="E593" i="5"/>
  <c r="E592" i="5"/>
  <c r="E591" i="5"/>
  <c r="E590" i="5"/>
  <c r="E588" i="5"/>
  <c r="E587" i="5"/>
  <c r="E586" i="5"/>
  <c r="E585" i="5"/>
  <c r="E583" i="5"/>
  <c r="E582" i="5"/>
  <c r="E581" i="5"/>
  <c r="E580" i="5"/>
  <c r="E579" i="5"/>
  <c r="E578" i="5"/>
  <c r="E577" i="5"/>
  <c r="E575" i="5"/>
  <c r="E574" i="5"/>
  <c r="E573" i="5"/>
  <c r="E571" i="5"/>
  <c r="E570" i="5"/>
  <c r="E569" i="5"/>
  <c r="E568" i="5"/>
  <c r="E567" i="5"/>
  <c r="E566" i="5"/>
  <c r="E565" i="5"/>
  <c r="E564" i="5"/>
  <c r="E562" i="5"/>
  <c r="E561" i="5"/>
  <c r="E559" i="5"/>
  <c r="E558" i="5"/>
  <c r="E557" i="5"/>
  <c r="E556" i="5"/>
  <c r="E555" i="5"/>
  <c r="E554" i="5"/>
  <c r="E553" i="5"/>
  <c r="E552" i="5"/>
  <c r="E551" i="5"/>
  <c r="E549" i="5"/>
  <c r="E547" i="5"/>
  <c r="E546" i="5"/>
  <c r="E545" i="5"/>
  <c r="E544" i="5"/>
  <c r="E543" i="5"/>
  <c r="E542" i="5"/>
  <c r="E541" i="5"/>
  <c r="E540" i="5"/>
  <c r="E539" i="5"/>
  <c r="E538" i="5"/>
  <c r="E535" i="5"/>
  <c r="E534" i="5"/>
  <c r="E533" i="5"/>
  <c r="E532" i="5"/>
  <c r="E531" i="5"/>
  <c r="E530" i="5"/>
  <c r="E529" i="5"/>
  <c r="E528" i="5"/>
  <c r="E527" i="5"/>
  <c r="E526" i="5"/>
  <c r="E525" i="5"/>
  <c r="E522" i="5"/>
  <c r="E521" i="5"/>
  <c r="E520" i="5"/>
  <c r="E519" i="5"/>
  <c r="E518" i="5"/>
  <c r="E517" i="5"/>
  <c r="E516" i="5"/>
  <c r="E515" i="5"/>
  <c r="E514" i="5"/>
  <c r="E513" i="5"/>
  <c r="E511" i="5"/>
  <c r="E509" i="5"/>
  <c r="E508" i="5"/>
  <c r="E507" i="5"/>
  <c r="E506" i="5"/>
  <c r="E505" i="5"/>
  <c r="E504" i="5"/>
  <c r="E503" i="5"/>
  <c r="E502" i="5"/>
  <c r="E501" i="5"/>
  <c r="E499" i="5"/>
  <c r="E498" i="5"/>
  <c r="E496" i="5"/>
  <c r="E495" i="5"/>
  <c r="E494" i="5"/>
  <c r="E493" i="5"/>
  <c r="E492" i="5"/>
  <c r="E491" i="5"/>
  <c r="E490" i="5"/>
  <c r="E489" i="5"/>
  <c r="E487" i="5"/>
  <c r="E486" i="5"/>
  <c r="E485" i="5"/>
  <c r="E483" i="5"/>
  <c r="E482" i="5"/>
  <c r="E481" i="5"/>
  <c r="E480" i="5"/>
  <c r="E479" i="5"/>
  <c r="E478" i="5"/>
  <c r="E477" i="5"/>
  <c r="E475" i="5"/>
  <c r="E474" i="5"/>
  <c r="E473" i="5"/>
  <c r="E472" i="5"/>
  <c r="E470" i="5"/>
  <c r="E469" i="5"/>
  <c r="E468" i="5"/>
  <c r="E467" i="5"/>
  <c r="E466" i="5"/>
  <c r="E465" i="5"/>
  <c r="E463" i="5"/>
  <c r="E462" i="5"/>
  <c r="E461" i="5"/>
  <c r="E460" i="5"/>
  <c r="E459" i="5"/>
  <c r="E457" i="5"/>
  <c r="E456" i="5"/>
  <c r="E455" i="5"/>
  <c r="E454" i="5"/>
  <c r="E453" i="5"/>
  <c r="E451" i="5"/>
  <c r="E450" i="5"/>
  <c r="E449" i="5"/>
  <c r="E448" i="5"/>
  <c r="E447" i="5"/>
  <c r="E446" i="5"/>
  <c r="E444" i="5"/>
  <c r="E443" i="5"/>
  <c r="E442" i="5"/>
  <c r="E441" i="5"/>
  <c r="E439" i="5"/>
  <c r="E438" i="5"/>
  <c r="E437" i="5"/>
  <c r="E436" i="5"/>
  <c r="E435" i="5"/>
  <c r="E434" i="5"/>
  <c r="E433" i="5"/>
  <c r="E431" i="5"/>
  <c r="E430" i="5"/>
  <c r="E429" i="5"/>
  <c r="E427" i="5"/>
  <c r="E426" i="5"/>
  <c r="E425" i="5"/>
  <c r="E424" i="5"/>
  <c r="E423" i="5"/>
  <c r="E422" i="5"/>
  <c r="E421" i="5"/>
  <c r="E420" i="5"/>
  <c r="E418" i="5"/>
  <c r="E417" i="5"/>
  <c r="E416" i="5"/>
  <c r="E415" i="5"/>
  <c r="E414" i="5"/>
  <c r="E413" i="5"/>
  <c r="E412" i="5"/>
  <c r="E411" i="5"/>
  <c r="E410" i="5"/>
  <c r="E409" i="5"/>
  <c r="E408" i="5"/>
  <c r="E406" i="5"/>
  <c r="E405" i="5"/>
  <c r="E404" i="5"/>
  <c r="E403" i="5"/>
  <c r="E402" i="5"/>
  <c r="E401" i="5"/>
  <c r="E400" i="5"/>
  <c r="E399" i="5"/>
  <c r="E398" i="5"/>
  <c r="E397" i="5"/>
  <c r="E396" i="5"/>
  <c r="E394" i="5"/>
  <c r="E393" i="5"/>
  <c r="E392" i="5"/>
  <c r="E391" i="5"/>
  <c r="E390" i="5"/>
  <c r="E389" i="5"/>
  <c r="E388" i="5"/>
  <c r="E387" i="5"/>
  <c r="E386" i="5"/>
  <c r="E385" i="5"/>
  <c r="E384" i="5"/>
  <c r="E382" i="5"/>
  <c r="E381" i="5"/>
  <c r="E380" i="5"/>
  <c r="E379" i="5"/>
  <c r="E378" i="5"/>
  <c r="E377" i="5"/>
  <c r="E376" i="5"/>
  <c r="E375" i="5"/>
  <c r="E374" i="5"/>
  <c r="E373" i="5"/>
  <c r="E372" i="5"/>
  <c r="E370" i="5"/>
  <c r="E369" i="5"/>
  <c r="E368" i="5"/>
  <c r="E367" i="5"/>
  <c r="E366" i="5"/>
  <c r="E365" i="5"/>
  <c r="E364" i="5"/>
  <c r="E363" i="5"/>
  <c r="E362" i="5"/>
  <c r="E361" i="5"/>
  <c r="E360" i="5"/>
  <c r="E358" i="5"/>
  <c r="E357" i="5"/>
  <c r="E356" i="5"/>
  <c r="E355" i="5"/>
  <c r="E354" i="5"/>
  <c r="E353" i="5"/>
  <c r="E352" i="5"/>
  <c r="E351" i="5"/>
  <c r="E350" i="5"/>
  <c r="E349" i="5"/>
  <c r="E348" i="5"/>
  <c r="E346" i="5"/>
  <c r="E345" i="5"/>
  <c r="E344" i="5"/>
  <c r="E343" i="5"/>
  <c r="E342" i="5"/>
  <c r="E341" i="5"/>
  <c r="E340" i="5"/>
  <c r="E339" i="5"/>
  <c r="E338" i="5"/>
  <c r="E337" i="5"/>
  <c r="E336" i="5"/>
  <c r="E334" i="5"/>
  <c r="E333" i="5"/>
  <c r="E332" i="5"/>
  <c r="E331" i="5"/>
  <c r="E330" i="5"/>
  <c r="E329" i="5"/>
  <c r="E328" i="5"/>
  <c r="E327" i="5"/>
  <c r="E326" i="5"/>
  <c r="E325" i="5"/>
  <c r="E324" i="5"/>
  <c r="E322" i="5"/>
  <c r="E321" i="5"/>
  <c r="E320" i="5"/>
  <c r="E319" i="5"/>
  <c r="E318" i="5"/>
  <c r="E317" i="5"/>
  <c r="E316" i="5"/>
  <c r="E315" i="5"/>
  <c r="E314" i="5"/>
  <c r="E313" i="5"/>
  <c r="E312" i="5"/>
  <c r="E310" i="5"/>
  <c r="E309" i="5"/>
  <c r="E308" i="5"/>
  <c r="E307" i="5"/>
  <c r="E306" i="5"/>
  <c r="E305" i="5"/>
  <c r="E304" i="5"/>
  <c r="E303" i="5"/>
  <c r="E302" i="5"/>
  <c r="E301" i="5"/>
  <c r="E300" i="5"/>
  <c r="E298" i="5"/>
  <c r="E297" i="5"/>
  <c r="E296" i="5"/>
  <c r="E295" i="5"/>
  <c r="E294" i="5"/>
  <c r="E293" i="5"/>
  <c r="E292" i="5"/>
  <c r="E291" i="5"/>
  <c r="E290" i="5"/>
  <c r="E289" i="5"/>
  <c r="E288" i="5"/>
  <c r="E286" i="5"/>
  <c r="E285" i="5"/>
  <c r="E284" i="5"/>
  <c r="E283" i="5"/>
  <c r="E282" i="5"/>
  <c r="E281" i="5"/>
  <c r="E280" i="5"/>
  <c r="E279" i="5"/>
  <c r="E278" i="5"/>
  <c r="E277" i="5"/>
  <c r="E276" i="5"/>
  <c r="E274" i="5"/>
  <c r="E273" i="5"/>
  <c r="E272" i="5"/>
  <c r="E271" i="5"/>
  <c r="E270" i="5"/>
  <c r="E269" i="5"/>
  <c r="E268" i="5"/>
  <c r="E267" i="5"/>
  <c r="E266" i="5"/>
  <c r="E265" i="5"/>
  <c r="E264" i="5"/>
  <c r="E262" i="5"/>
  <c r="E261" i="5"/>
  <c r="E260" i="5"/>
  <c r="E259" i="5"/>
  <c r="E258" i="5"/>
  <c r="E257" i="5"/>
  <c r="E256" i="5"/>
  <c r="E255" i="5"/>
  <c r="E254" i="5"/>
  <c r="E253" i="5"/>
  <c r="E252" i="5"/>
  <c r="E250" i="5"/>
  <c r="E249" i="5"/>
  <c r="E248" i="5"/>
  <c r="E247" i="5"/>
  <c r="E246" i="5"/>
  <c r="E245" i="5"/>
  <c r="E244" i="5"/>
  <c r="E243" i="5"/>
  <c r="E242" i="5"/>
  <c r="E241" i="5"/>
  <c r="E240" i="5"/>
  <c r="E238" i="5"/>
  <c r="E237" i="5"/>
  <c r="E236" i="5"/>
  <c r="E235" i="5"/>
  <c r="E234" i="5"/>
  <c r="E233" i="5"/>
  <c r="E232" i="5"/>
  <c r="E231" i="5"/>
  <c r="E230" i="5"/>
  <c r="E229" i="5"/>
  <c r="E228" i="5"/>
  <c r="E226" i="5"/>
  <c r="E225" i="5"/>
  <c r="E224" i="5"/>
  <c r="E223" i="5"/>
  <c r="E222" i="5"/>
  <c r="E221" i="5"/>
  <c r="E220" i="5"/>
  <c r="E219" i="5"/>
  <c r="E218" i="5"/>
  <c r="E217" i="5"/>
  <c r="E216" i="5"/>
  <c r="E214" i="5"/>
  <c r="E213" i="5"/>
  <c r="E212" i="5"/>
  <c r="E211" i="5"/>
  <c r="E210" i="5"/>
  <c r="E209" i="5"/>
  <c r="E208" i="5"/>
  <c r="E207" i="5"/>
  <c r="E206" i="5"/>
  <c r="E205" i="5"/>
  <c r="E204" i="5"/>
  <c r="E202" i="5"/>
  <c r="E201" i="5"/>
  <c r="E200" i="5"/>
  <c r="E199" i="5"/>
  <c r="E198" i="5"/>
  <c r="E197" i="5"/>
  <c r="E196" i="5"/>
  <c r="E195" i="5"/>
  <c r="E194" i="5"/>
  <c r="E193" i="5"/>
  <c r="E192" i="5"/>
  <c r="E190" i="5"/>
  <c r="E189" i="5"/>
  <c r="E188" i="5"/>
  <c r="E187" i="5"/>
  <c r="E186" i="5"/>
  <c r="E185" i="5"/>
  <c r="E184" i="5"/>
  <c r="E183" i="5"/>
  <c r="E182" i="5"/>
  <c r="E181" i="5"/>
  <c r="E180" i="5"/>
  <c r="E178" i="5"/>
  <c r="E177" i="5"/>
  <c r="E176" i="5"/>
  <c r="E175" i="5"/>
  <c r="E174" i="5"/>
  <c r="E173" i="5"/>
  <c r="E172" i="5"/>
  <c r="E171" i="5"/>
  <c r="E170" i="5"/>
  <c r="E169" i="5"/>
  <c r="E168" i="5"/>
  <c r="E166" i="5"/>
  <c r="E165" i="5"/>
  <c r="E164" i="5"/>
  <c r="E163" i="5"/>
  <c r="E162" i="5"/>
  <c r="E161" i="5"/>
  <c r="E160" i="5"/>
  <c r="E159" i="5"/>
  <c r="E158" i="5"/>
  <c r="E157" i="5"/>
  <c r="E156" i="5"/>
  <c r="E154" i="5"/>
  <c r="E153" i="5"/>
  <c r="E152" i="5"/>
  <c r="E151" i="5"/>
  <c r="E150" i="5"/>
  <c r="E149" i="5"/>
  <c r="E148" i="5"/>
  <c r="E147" i="5"/>
  <c r="E146" i="5"/>
  <c r="E145" i="5"/>
  <c r="E144" i="5"/>
  <c r="E142" i="5"/>
  <c r="E141" i="5"/>
  <c r="E140" i="5"/>
  <c r="E139" i="5"/>
  <c r="E138" i="5"/>
  <c r="E137" i="5"/>
  <c r="E136" i="5"/>
  <c r="E135" i="5"/>
  <c r="E134" i="5"/>
  <c r="E133" i="5"/>
  <c r="E132" i="5"/>
  <c r="E130" i="5"/>
  <c r="E129" i="5"/>
  <c r="E128" i="5"/>
  <c r="E127" i="5"/>
  <c r="E126" i="5"/>
  <c r="E125" i="5"/>
  <c r="E124" i="5"/>
  <c r="E123" i="5"/>
  <c r="E122" i="5"/>
  <c r="E121" i="5"/>
  <c r="E120" i="5"/>
  <c r="E118" i="5"/>
  <c r="E117" i="5"/>
  <c r="E116" i="5"/>
  <c r="E115" i="5"/>
  <c r="E114" i="5"/>
  <c r="E113" i="5"/>
  <c r="E112" i="5"/>
  <c r="E111" i="5"/>
  <c r="E110" i="5"/>
  <c r="E109" i="5"/>
  <c r="E108" i="5"/>
  <c r="E106" i="5"/>
  <c r="E105" i="5"/>
  <c r="E104" i="5"/>
  <c r="E103" i="5"/>
  <c r="E102" i="5"/>
  <c r="E101" i="5"/>
  <c r="E100" i="5"/>
  <c r="E99" i="5"/>
  <c r="E98" i="5"/>
  <c r="E97" i="5"/>
  <c r="E96" i="5"/>
  <c r="E94" i="5"/>
  <c r="E93" i="5"/>
  <c r="E92" i="5"/>
  <c r="E91" i="5"/>
  <c r="E90" i="5"/>
  <c r="E89" i="5"/>
  <c r="E88" i="5"/>
  <c r="E87" i="5"/>
  <c r="E86" i="5"/>
  <c r="E85" i="5"/>
  <c r="E84" i="5"/>
  <c r="E82" i="5"/>
  <c r="E81" i="5"/>
  <c r="E80" i="5"/>
  <c r="E79" i="5"/>
  <c r="E78" i="5"/>
  <c r="E77" i="5"/>
  <c r="E76" i="5"/>
  <c r="E75" i="5"/>
  <c r="E74" i="5"/>
  <c r="E73" i="5"/>
  <c r="E72" i="5"/>
  <c r="E70" i="5"/>
  <c r="E69" i="5"/>
  <c r="E68" i="5"/>
  <c r="E67" i="5"/>
  <c r="E66" i="5"/>
  <c r="E65" i="5"/>
  <c r="E64" i="5"/>
  <c r="E63" i="5"/>
  <c r="E62" i="5"/>
  <c r="E61" i="5"/>
  <c r="E60" i="5"/>
  <c r="E58" i="5"/>
  <c r="E57" i="5"/>
  <c r="E56" i="5"/>
  <c r="E55" i="5"/>
  <c r="E54" i="5"/>
  <c r="E53" i="5"/>
  <c r="E52" i="5"/>
  <c r="E51" i="5"/>
  <c r="E50" i="5"/>
  <c r="E49" i="5"/>
  <c r="E48" i="5"/>
  <c r="E46" i="5"/>
  <c r="E45" i="5"/>
  <c r="E44" i="5"/>
  <c r="E43" i="5"/>
  <c r="E42" i="5"/>
  <c r="E41" i="5"/>
  <c r="E40" i="5"/>
  <c r="E39" i="5"/>
  <c r="E38" i="5"/>
  <c r="E37" i="5"/>
  <c r="E36" i="5"/>
  <c r="E34" i="5"/>
  <c r="E33" i="5"/>
  <c r="E32" i="5"/>
  <c r="E31" i="5"/>
  <c r="E30" i="5"/>
  <c r="E29" i="5"/>
  <c r="E28" i="5"/>
  <c r="E27" i="5"/>
  <c r="E26" i="5"/>
  <c r="E25" i="5"/>
  <c r="E24" i="5"/>
  <c r="E22" i="5"/>
  <c r="E21" i="5"/>
  <c r="E20" i="5"/>
  <c r="E19" i="5"/>
  <c r="E18" i="5"/>
  <c r="E17" i="5"/>
  <c r="E16" i="5"/>
  <c r="E15" i="5"/>
  <c r="E14" i="5"/>
  <c r="E13" i="5"/>
  <c r="E12" i="5"/>
  <c r="E10" i="5"/>
  <c r="E9" i="5"/>
  <c r="E8" i="5"/>
  <c r="E7" i="5"/>
  <c r="E6" i="5"/>
  <c r="E5" i="5"/>
  <c r="E4" i="5"/>
  <c r="E3" i="5"/>
  <c r="E2" i="5"/>
  <c r="E1" i="5" a="1"/>
  <c r="E1" i="5"/>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J70" i="1"/>
  <c r="F70" i="1"/>
  <c r="B70" i="1"/>
  <c r="H59" i="1"/>
  <c r="B59" i="1"/>
  <c r="L57" i="1"/>
  <c r="J57" i="1"/>
  <c r="H57" i="1"/>
  <c r="F57" i="1"/>
  <c r="C57" i="1"/>
  <c r="L56" i="1"/>
  <c r="J56" i="1"/>
  <c r="H56" i="1"/>
  <c r="F56" i="1"/>
  <c r="C56" i="1"/>
  <c r="L55" i="1"/>
  <c r="J55" i="1"/>
  <c r="H55" i="1"/>
  <c r="F55" i="1"/>
  <c r="C55" i="1"/>
  <c r="L54" i="1"/>
  <c r="J54" i="1"/>
  <c r="H54" i="1"/>
  <c r="F54" i="1"/>
  <c r="C54" i="1"/>
  <c r="L53" i="1"/>
  <c r="J53" i="1"/>
  <c r="H53" i="1"/>
  <c r="F53" i="1"/>
  <c r="C53" i="1"/>
  <c r="L52" i="1"/>
  <c r="J52" i="1"/>
  <c r="H52" i="1"/>
  <c r="F52" i="1"/>
  <c r="C52" i="1"/>
  <c r="L51" i="1"/>
  <c r="J51" i="1"/>
  <c r="H51" i="1"/>
  <c r="F51" i="1"/>
  <c r="C51" i="1"/>
  <c r="H44" i="1"/>
  <c r="K43" i="1"/>
  <c r="B43" i="1"/>
  <c r="H33" i="1"/>
  <c r="B33" i="1"/>
  <c r="I31" i="1"/>
  <c r="H31" i="1"/>
  <c r="G31" i="1"/>
  <c r="F31" i="1"/>
  <c r="E31" i="1"/>
  <c r="D31" i="1"/>
  <c r="C31" i="1"/>
  <c r="I30" i="1"/>
  <c r="H30" i="1"/>
  <c r="G30" i="1"/>
  <c r="F30" i="1"/>
  <c r="E30" i="1"/>
  <c r="D30" i="1"/>
  <c r="C30" i="1"/>
  <c r="I29" i="1"/>
  <c r="H29" i="1"/>
  <c r="G29" i="1"/>
  <c r="F29" i="1"/>
  <c r="E29" i="1"/>
  <c r="D29" i="1"/>
  <c r="C29" i="1"/>
  <c r="I28" i="1"/>
  <c r="H28" i="1"/>
  <c r="G28" i="1"/>
  <c r="F28" i="1"/>
  <c r="E28" i="1"/>
  <c r="Z4" i="1" s="1"/>
  <c r="D28" i="1"/>
  <c r="Y4" i="1" s="1"/>
  <c r="C28" i="1"/>
  <c r="I27" i="1"/>
  <c r="H27" i="1"/>
  <c r="G27" i="1"/>
  <c r="F27" i="1"/>
  <c r="E27" i="1"/>
  <c r="D27" i="1"/>
  <c r="C27" i="1"/>
  <c r="I26" i="1"/>
  <c r="H26" i="1"/>
  <c r="G26" i="1"/>
  <c r="F26" i="1"/>
  <c r="E26" i="1"/>
  <c r="D26" i="1"/>
  <c r="Y3" i="1" s="1"/>
  <c r="C26" i="1"/>
  <c r="X3" i="1" s="1"/>
  <c r="U24" i="1"/>
  <c r="C24" i="1"/>
  <c r="X2" i="1" s="1"/>
  <c r="U23" i="1"/>
  <c r="U22" i="1"/>
  <c r="U21" i="1"/>
  <c r="U20" i="1"/>
  <c r="K20" i="1"/>
  <c r="I20" i="1"/>
  <c r="U19" i="1"/>
  <c r="K19" i="1"/>
  <c r="I19" i="1"/>
  <c r="U18" i="1"/>
  <c r="K18" i="1"/>
  <c r="I18" i="1"/>
  <c r="U17" i="1"/>
  <c r="K17" i="1"/>
  <c r="I17" i="1"/>
  <c r="D17" i="1"/>
  <c r="U16" i="1"/>
  <c r="K16" i="1"/>
  <c r="I16" i="1"/>
  <c r="F16" i="1"/>
  <c r="D16" i="1"/>
  <c r="U15" i="1"/>
  <c r="K15" i="1"/>
  <c r="I15" i="1"/>
  <c r="F15" i="1"/>
  <c r="D15" i="1"/>
  <c r="U14" i="1"/>
  <c r="K14" i="1"/>
  <c r="I14" i="1"/>
  <c r="F14" i="1"/>
  <c r="D14" i="1"/>
  <c r="U13" i="1"/>
  <c r="K13" i="1"/>
  <c r="I13" i="1"/>
  <c r="F13" i="1"/>
  <c r="D13" i="1"/>
  <c r="U12" i="1"/>
  <c r="K12" i="1"/>
  <c r="I12" i="1"/>
  <c r="F12" i="1"/>
  <c r="D12" i="1"/>
  <c r="U11" i="1"/>
  <c r="K11" i="1"/>
  <c r="I11" i="1"/>
  <c r="U10" i="1"/>
  <c r="B10" i="1"/>
  <c r="U9" i="1"/>
  <c r="U8" i="1"/>
  <c r="U7" i="1"/>
  <c r="U6" i="1"/>
  <c r="T6" i="1"/>
  <c r="L6" i="1"/>
  <c r="H6" i="1"/>
  <c r="D6" i="1"/>
  <c r="U5" i="1"/>
  <c r="T5" i="1"/>
  <c r="X4" i="1"/>
  <c r="U4" i="1"/>
  <c r="T4" i="1"/>
  <c r="Z3" i="1"/>
  <c r="U3" i="1"/>
  <c r="T3" i="1"/>
  <c r="Z2" i="1"/>
  <c r="Y2" i="1"/>
  <c r="U2" i="1"/>
  <c r="T2" i="1"/>
  <c r="B1" i="1"/>
  <c r="B8" i="12" l="1"/>
  <c r="N14" i="7"/>
  <c r="N5" i="7"/>
  <c r="N21" i="7"/>
  <c r="N6" i="7"/>
  <c r="N19" i="7"/>
  <c r="N20" i="7"/>
  <c r="N7" i="7"/>
  <c r="N9" i="7"/>
  <c r="N3" i="7"/>
  <c r="N10" i="7"/>
  <c r="N8" i="7"/>
  <c r="N11" i="7"/>
  <c r="B2" i="12"/>
  <c r="C2" i="12" s="1"/>
  <c r="N13" i="7"/>
  <c r="N12" i="7"/>
  <c r="B14" i="12"/>
  <c r="E1940" i="5"/>
  <c r="E1928" i="5"/>
  <c r="E1916" i="5"/>
  <c r="E1904" i="5"/>
  <c r="E1892" i="5"/>
  <c r="E1880" i="5"/>
  <c r="E1868" i="5"/>
  <c r="E1856" i="5"/>
  <c r="E1844" i="5"/>
  <c r="E1832" i="5"/>
  <c r="E1820" i="5"/>
  <c r="E1808" i="5"/>
  <c r="E1796" i="5"/>
  <c r="E1784" i="5"/>
  <c r="E1772" i="5"/>
  <c r="E1760" i="5"/>
  <c r="E1748" i="5"/>
  <c r="E1736" i="5"/>
  <c r="E1724" i="5"/>
  <c r="E1712" i="5"/>
  <c r="E1700" i="5"/>
  <c r="E1688" i="5"/>
  <c r="E1676" i="5"/>
  <c r="E1664" i="5"/>
  <c r="E1652" i="5"/>
  <c r="E1640" i="5"/>
  <c r="E1628" i="5"/>
  <c r="E1616" i="5"/>
  <c r="E1604" i="5"/>
  <c r="E1592" i="5"/>
  <c r="E1580" i="5"/>
  <c r="E1568" i="5"/>
  <c r="E1556" i="5"/>
  <c r="E1544" i="5"/>
  <c r="E1532" i="5"/>
  <c r="E1520" i="5"/>
  <c r="E1508" i="5"/>
  <c r="E1496" i="5"/>
  <c r="E1484" i="5"/>
  <c r="E1472" i="5"/>
  <c r="E1460" i="5"/>
  <c r="E1448" i="5"/>
  <c r="E1436" i="5"/>
  <c r="E1424" i="5"/>
  <c r="E1412" i="5"/>
  <c r="E1400" i="5"/>
  <c r="E1388" i="5"/>
  <c r="E1376" i="5"/>
  <c r="E1364" i="5"/>
  <c r="E1352" i="5"/>
  <c r="E1340" i="5"/>
  <c r="E1328" i="5"/>
  <c r="E1316" i="5"/>
  <c r="E1304" i="5"/>
  <c r="E1292" i="5"/>
  <c r="E1280" i="5"/>
  <c r="E1268" i="5"/>
  <c r="E1256" i="5"/>
  <c r="E1244" i="5"/>
  <c r="E1232" i="5"/>
  <c r="E1220" i="5"/>
  <c r="E1208" i="5"/>
  <c r="E1196" i="5"/>
  <c r="E1184" i="5"/>
  <c r="E1172" i="5"/>
  <c r="E1160" i="5"/>
  <c r="E1148" i="5"/>
  <c r="E1136" i="5"/>
  <c r="E1124" i="5"/>
  <c r="E1112" i="5"/>
  <c r="E1100" i="5"/>
  <c r="E1088" i="5"/>
  <c r="E1076" i="5"/>
  <c r="E1064" i="5"/>
  <c r="E1052" i="5"/>
  <c r="E1040" i="5"/>
  <c r="E1028" i="5"/>
  <c r="E1016" i="5"/>
  <c r="E1004" i="5"/>
  <c r="E992" i="5"/>
  <c r="E980" i="5"/>
  <c r="E968" i="5"/>
  <c r="E956" i="5"/>
  <c r="E944" i="5"/>
  <c r="E932" i="5"/>
  <c r="E920" i="5"/>
  <c r="E908" i="5"/>
  <c r="E896" i="5"/>
  <c r="E884" i="5"/>
  <c r="E872" i="5"/>
  <c r="E860" i="5"/>
  <c r="E848" i="5"/>
  <c r="E836" i="5"/>
  <c r="E824" i="5"/>
  <c r="E812" i="5"/>
  <c r="E800" i="5"/>
  <c r="E788" i="5"/>
  <c r="E776" i="5"/>
  <c r="E764" i="5"/>
  <c r="E752" i="5"/>
  <c r="E740" i="5"/>
  <c r="E728" i="5"/>
  <c r="E716" i="5"/>
  <c r="E704" i="5"/>
  <c r="E692" i="5"/>
  <c r="E680" i="5"/>
  <c r="E668" i="5"/>
  <c r="E656" i="5"/>
  <c r="E644" i="5"/>
  <c r="E632" i="5"/>
  <c r="E620" i="5"/>
  <c r="E608" i="5"/>
  <c r="E596" i="5"/>
  <c r="E584" i="5"/>
  <c r="E572" i="5"/>
  <c r="E560" i="5"/>
  <c r="E548" i="5"/>
  <c r="E536" i="5"/>
  <c r="E524" i="5"/>
  <c r="E512" i="5"/>
  <c r="E500" i="5"/>
  <c r="E488" i="5"/>
  <c r="E476" i="5"/>
  <c r="E464" i="5"/>
  <c r="E452" i="5"/>
  <c r="E440" i="5"/>
  <c r="E428" i="5"/>
  <c r="E1937" i="5"/>
  <c r="E1924" i="5"/>
  <c r="E1911" i="5"/>
  <c r="E1898" i="5"/>
  <c r="E1885" i="5"/>
  <c r="E1872" i="5"/>
  <c r="E1859" i="5"/>
  <c r="E1846" i="5"/>
  <c r="E1833" i="5"/>
  <c r="E1819" i="5"/>
  <c r="E1806" i="5"/>
  <c r="E1793" i="5"/>
  <c r="E1780" i="5"/>
  <c r="E1767" i="5"/>
  <c r="E1754" i="5"/>
  <c r="E1741" i="5"/>
  <c r="E1728" i="5"/>
  <c r="E1715" i="5"/>
  <c r="E1702" i="5"/>
  <c r="E1689" i="5"/>
  <c r="E1675" i="5"/>
  <c r="E1662" i="5"/>
  <c r="E1649" i="5"/>
  <c r="E1636" i="5"/>
  <c r="E1623" i="5"/>
  <c r="E1610" i="5"/>
  <c r="E1597" i="5"/>
  <c r="E1584" i="5"/>
  <c r="E1571" i="5"/>
  <c r="E1558" i="5"/>
  <c r="E1545" i="5"/>
  <c r="E1531" i="5"/>
  <c r="E1518" i="5"/>
  <c r="E1505" i="5"/>
  <c r="E1492" i="5"/>
  <c r="E1479" i="5"/>
  <c r="E1466" i="5"/>
  <c r="E1453" i="5"/>
  <c r="E1440" i="5"/>
  <c r="E1427" i="5"/>
  <c r="E1414" i="5"/>
  <c r="E1401" i="5"/>
  <c r="E1387" i="5"/>
  <c r="E1374" i="5"/>
  <c r="E1361" i="5"/>
  <c r="E1348" i="5"/>
  <c r="E1335" i="5"/>
  <c r="E1322" i="5"/>
  <c r="E1309" i="5"/>
  <c r="E1296" i="5"/>
  <c r="E1283" i="5"/>
  <c r="E1270" i="5"/>
  <c r="E1257" i="5"/>
  <c r="E1243" i="5"/>
  <c r="E1230" i="5"/>
  <c r="E1217" i="5"/>
  <c r="E1204" i="5"/>
  <c r="E1191" i="5"/>
  <c r="E1178" i="5"/>
  <c r="E1165" i="5"/>
  <c r="E1152" i="5"/>
  <c r="E1139" i="5"/>
  <c r="E1126" i="5"/>
  <c r="E1113" i="5"/>
  <c r="E1099" i="5"/>
  <c r="E1086" i="5"/>
  <c r="E1073" i="5"/>
  <c r="E1060" i="5"/>
  <c r="E1047" i="5"/>
  <c r="E1034" i="5"/>
  <c r="E1021" i="5"/>
  <c r="E1008" i="5"/>
  <c r="E995" i="5"/>
  <c r="E982" i="5"/>
  <c r="E969" i="5"/>
  <c r="E955" i="5"/>
  <c r="E942" i="5"/>
  <c r="E929" i="5"/>
  <c r="E916" i="5"/>
  <c r="E903" i="5"/>
  <c r="E890" i="5"/>
  <c r="E877" i="5"/>
  <c r="E864" i="5"/>
  <c r="E851" i="5"/>
  <c r="E838" i="5"/>
  <c r="E825" i="5"/>
  <c r="E811" i="5"/>
  <c r="E798" i="5"/>
  <c r="E785" i="5"/>
  <c r="E772" i="5"/>
  <c r="E759" i="5"/>
  <c r="E746" i="5"/>
  <c r="E733" i="5"/>
  <c r="E720" i="5"/>
  <c r="E707" i="5"/>
  <c r="E694" i="5"/>
  <c r="E681" i="5"/>
  <c r="E667" i="5"/>
  <c r="E654" i="5"/>
  <c r="E641" i="5"/>
  <c r="E628" i="5"/>
  <c r="E615" i="5"/>
  <c r="E602" i="5"/>
  <c r="E589" i="5"/>
  <c r="E576" i="5"/>
  <c r="E563" i="5"/>
  <c r="E550" i="5"/>
  <c r="E537" i="5"/>
  <c r="E523" i="5"/>
  <c r="E510" i="5"/>
  <c r="E497" i="5"/>
  <c r="E484" i="5"/>
  <c r="E471" i="5"/>
  <c r="E458" i="5"/>
  <c r="E445" i="5"/>
  <c r="E432" i="5"/>
  <c r="E419" i="5"/>
  <c r="E407" i="5"/>
  <c r="E395" i="5"/>
  <c r="E383" i="5"/>
  <c r="E371" i="5"/>
  <c r="E359" i="5"/>
  <c r="E347" i="5"/>
  <c r="E335" i="5"/>
  <c r="E323" i="5"/>
  <c r="E311" i="5"/>
  <c r="E299" i="5"/>
  <c r="E287" i="5"/>
  <c r="E275" i="5"/>
  <c r="E263" i="5"/>
  <c r="E251" i="5"/>
  <c r="E239" i="5"/>
  <c r="E227" i="5"/>
  <c r="E215" i="5"/>
  <c r="E203" i="5"/>
  <c r="E191" i="5"/>
  <c r="E179" i="5"/>
  <c r="E167" i="5"/>
  <c r="E155" i="5"/>
  <c r="E143" i="5"/>
  <c r="E131" i="5"/>
  <c r="E119" i="5"/>
  <c r="E107" i="5"/>
  <c r="E95" i="5"/>
  <c r="E83" i="5"/>
  <c r="E71" i="5"/>
  <c r="E59" i="5"/>
  <c r="E47" i="5"/>
  <c r="E35" i="5"/>
  <c r="E23" i="5"/>
  <c r="E11" i="5"/>
  <c r="E1923" i="5"/>
  <c r="E1897" i="5"/>
  <c r="E1871" i="5"/>
  <c r="E1845" i="5"/>
  <c r="E1818" i="5"/>
  <c r="E1792" i="5"/>
  <c r="E1779" i="5"/>
  <c r="E1753" i="5"/>
  <c r="E1727" i="5"/>
  <c r="E1701" i="5"/>
  <c r="E1674" i="5"/>
  <c r="E1648" i="5"/>
  <c r="E1622" i="5"/>
  <c r="E1596" i="5"/>
  <c r="E1557" i="5"/>
  <c r="E1530" i="5"/>
  <c r="E1504" i="5"/>
  <c r="E1478" i="5"/>
  <c r="E1936" i="5"/>
  <c r="E1910" i="5"/>
  <c r="E1884" i="5"/>
  <c r="E1858" i="5"/>
  <c r="E1831" i="5"/>
  <c r="E1805" i="5"/>
  <c r="E1766" i="5"/>
  <c r="E1740" i="5"/>
  <c r="E1714" i="5"/>
  <c r="E1687" i="5"/>
  <c r="E1661" i="5"/>
  <c r="E1635" i="5"/>
  <c r="E1609" i="5"/>
  <c r="E1583" i="5"/>
  <c r="E1570" i="5"/>
  <c r="E1543" i="5"/>
  <c r="E1517" i="5"/>
  <c r="E1491" i="5"/>
  <c r="E1465" i="5"/>
  <c r="E1439" i="5"/>
  <c r="N16" i="7"/>
  <c r="N4" i="7"/>
  <c r="N15" i="7"/>
  <c r="A6" i="10"/>
  <c r="C10" i="10"/>
  <c r="G14" i="10"/>
  <c r="D20" i="10"/>
  <c r="A25" i="10"/>
  <c r="E30" i="10"/>
  <c r="B35" i="10"/>
  <c r="D39" i="10"/>
  <c r="C45" i="10"/>
  <c r="E49" i="10"/>
  <c r="D55" i="10"/>
  <c r="F59" i="10"/>
  <c r="E64" i="10"/>
  <c r="A71" i="10"/>
  <c r="A76" i="10"/>
  <c r="A82" i="10"/>
  <c r="A87" i="10"/>
  <c r="A92" i="10"/>
  <c r="D98" i="10"/>
  <c r="B105" i="10"/>
  <c r="A112" i="10"/>
  <c r="D119" i="10"/>
  <c r="D128" i="10"/>
  <c r="G137" i="10"/>
  <c r="G146" i="10"/>
  <c r="G155" i="10"/>
  <c r="C165" i="10"/>
  <c r="C174" i="10"/>
  <c r="B185" i="10"/>
  <c r="G196" i="10"/>
  <c r="B209" i="10"/>
  <c r="A222" i="10"/>
  <c r="D236" i="10"/>
  <c r="G259" i="10"/>
  <c r="E283" i="10"/>
  <c r="F306" i="10"/>
  <c r="B6" i="10"/>
  <c r="E10" i="10"/>
  <c r="C16" i="10"/>
  <c r="E20" i="10"/>
  <c r="B25" i="10"/>
  <c r="F30" i="10"/>
  <c r="C35" i="10"/>
  <c r="G40" i="10"/>
  <c r="D45" i="10"/>
  <c r="F49" i="10"/>
  <c r="E55" i="10"/>
  <c r="G59" i="10"/>
  <c r="B66" i="10"/>
  <c r="B71" i="10"/>
  <c r="B76" i="10"/>
  <c r="B82" i="10"/>
  <c r="B87" i="10"/>
  <c r="E93" i="10"/>
  <c r="E98" i="10"/>
  <c r="C105" i="10"/>
  <c r="B112" i="10"/>
  <c r="B121" i="10"/>
  <c r="B130" i="10"/>
  <c r="E139" i="10"/>
  <c r="E148" i="10"/>
  <c r="E157" i="10"/>
  <c r="A167" i="10"/>
  <c r="B176" i="10"/>
  <c r="B187" i="10"/>
  <c r="B199" i="10"/>
  <c r="E211" i="10"/>
  <c r="D224" i="10"/>
  <c r="G240" i="10"/>
  <c r="E264" i="10"/>
  <c r="E287" i="10"/>
  <c r="C311" i="10"/>
  <c r="C6" i="10"/>
  <c r="G10" i="10"/>
  <c r="D16" i="10"/>
  <c r="G20" i="10"/>
  <c r="E26" i="10"/>
  <c r="G30" i="10"/>
  <c r="D35" i="10"/>
  <c r="A41" i="10"/>
  <c r="E45" i="10"/>
  <c r="B51" i="10"/>
  <c r="F55" i="10"/>
  <c r="A60" i="10"/>
  <c r="C66" i="10"/>
  <c r="C71" i="10"/>
  <c r="F77" i="10"/>
  <c r="E82" i="10"/>
  <c r="C87" i="10"/>
  <c r="F93" i="10"/>
  <c r="F98" i="10"/>
  <c r="E105" i="10"/>
  <c r="D112" i="10"/>
  <c r="D121" i="10"/>
  <c r="G130" i="10"/>
  <c r="G139" i="10"/>
  <c r="G148" i="10"/>
  <c r="C158" i="10"/>
  <c r="C167" i="10"/>
  <c r="D176" i="10"/>
  <c r="F187" i="10"/>
  <c r="F199" i="10"/>
  <c r="A212" i="10"/>
  <c r="B225" i="10"/>
  <c r="C242" i="10"/>
  <c r="C265" i="10"/>
  <c r="A289" i="10"/>
  <c r="F322" i="10"/>
  <c r="A321" i="10"/>
  <c r="C319" i="10"/>
  <c r="E317" i="10"/>
  <c r="G315" i="10"/>
  <c r="B314" i="10"/>
  <c r="D312" i="10"/>
  <c r="F310" i="10"/>
  <c r="A309" i="10"/>
  <c r="C307" i="10"/>
  <c r="E305" i="10"/>
  <c r="G303" i="10"/>
  <c r="B302" i="10"/>
  <c r="D300" i="10"/>
  <c r="F298" i="10"/>
  <c r="A297" i="10"/>
  <c r="C295" i="10"/>
  <c r="E293" i="10"/>
  <c r="G291" i="10"/>
  <c r="B290" i="10"/>
  <c r="D288" i="10"/>
  <c r="F286" i="10"/>
  <c r="A285" i="10"/>
  <c r="C283" i="10"/>
  <c r="E281" i="10"/>
  <c r="G279" i="10"/>
  <c r="B278" i="10"/>
  <c r="D276" i="10"/>
  <c r="F274" i="10"/>
  <c r="A273" i="10"/>
  <c r="C271" i="10"/>
  <c r="E269" i="10"/>
  <c r="G267" i="10"/>
  <c r="B266" i="10"/>
  <c r="D264" i="10"/>
  <c r="F262" i="10"/>
  <c r="A261" i="10"/>
  <c r="C259" i="10"/>
  <c r="E257" i="10"/>
  <c r="G255" i="10"/>
  <c r="B254" i="10"/>
  <c r="D252" i="10"/>
  <c r="F250" i="10"/>
  <c r="A249" i="10"/>
  <c r="C247" i="10"/>
  <c r="E245" i="10"/>
  <c r="G243" i="10"/>
  <c r="B242" i="10"/>
  <c r="D240" i="10"/>
  <c r="F238" i="10"/>
  <c r="A237" i="10"/>
  <c r="C235" i="10"/>
  <c r="E233" i="10"/>
  <c r="G231" i="10"/>
  <c r="B230" i="10"/>
  <c r="D228" i="10"/>
  <c r="F226" i="10"/>
  <c r="A225" i="10"/>
  <c r="C223" i="10"/>
  <c r="E221" i="10"/>
  <c r="G219" i="10"/>
  <c r="B218" i="10"/>
  <c r="D216" i="10"/>
  <c r="F214" i="10"/>
  <c r="A213" i="10"/>
  <c r="C211" i="10"/>
  <c r="E209" i="10"/>
  <c r="G207" i="10"/>
  <c r="B206" i="10"/>
  <c r="D204" i="10"/>
  <c r="F202" i="10"/>
  <c r="A201" i="10"/>
  <c r="C199" i="10"/>
  <c r="E197" i="10"/>
  <c r="G195" i="10"/>
  <c r="B194" i="10"/>
  <c r="D192" i="10"/>
  <c r="F190" i="10"/>
  <c r="A189" i="10"/>
  <c r="C187" i="10"/>
  <c r="E185" i="10"/>
  <c r="G183" i="10"/>
  <c r="B182" i="10"/>
  <c r="D180" i="10"/>
  <c r="F178" i="10"/>
  <c r="A177" i="10"/>
  <c r="C175" i="10"/>
  <c r="E322" i="10"/>
  <c r="G320" i="10"/>
  <c r="B319" i="10"/>
  <c r="D317" i="10"/>
  <c r="F315" i="10"/>
  <c r="A314" i="10"/>
  <c r="C312" i="10"/>
  <c r="E310" i="10"/>
  <c r="G308" i="10"/>
  <c r="B307" i="10"/>
  <c r="D305" i="10"/>
  <c r="F303" i="10"/>
  <c r="A302" i="10"/>
  <c r="C300" i="10"/>
  <c r="E298" i="10"/>
  <c r="G296" i="10"/>
  <c r="B295" i="10"/>
  <c r="D293" i="10"/>
  <c r="F291" i="10"/>
  <c r="A290" i="10"/>
  <c r="C288" i="10"/>
  <c r="E286" i="10"/>
  <c r="G284" i="10"/>
  <c r="B283" i="10"/>
  <c r="D281" i="10"/>
  <c r="F279" i="10"/>
  <c r="A278" i="10"/>
  <c r="C276" i="10"/>
  <c r="E274" i="10"/>
  <c r="G272" i="10"/>
  <c r="B271" i="10"/>
  <c r="D269" i="10"/>
  <c r="F267" i="10"/>
  <c r="A266" i="10"/>
  <c r="C264" i="10"/>
  <c r="E262" i="10"/>
  <c r="G260" i="10"/>
  <c r="B259" i="10"/>
  <c r="D257" i="10"/>
  <c r="F255" i="10"/>
  <c r="A254" i="10"/>
  <c r="C252" i="10"/>
  <c r="E250" i="10"/>
  <c r="G248" i="10"/>
  <c r="B247" i="10"/>
  <c r="D245" i="10"/>
  <c r="F243" i="10"/>
  <c r="A242" i="10"/>
  <c r="C240" i="10"/>
  <c r="E238" i="10"/>
  <c r="G236" i="10"/>
  <c r="B235" i="10"/>
  <c r="D322" i="10"/>
  <c r="F320" i="10"/>
  <c r="A319" i="10"/>
  <c r="C317" i="10"/>
  <c r="E315" i="10"/>
  <c r="G313" i="10"/>
  <c r="B312" i="10"/>
  <c r="D310" i="10"/>
  <c r="F308" i="10"/>
  <c r="A307" i="10"/>
  <c r="C305" i="10"/>
  <c r="E303" i="10"/>
  <c r="G301" i="10"/>
  <c r="B300" i="10"/>
  <c r="D298" i="10"/>
  <c r="F296" i="10"/>
  <c r="A295" i="10"/>
  <c r="C293" i="10"/>
  <c r="E291" i="10"/>
  <c r="G289" i="10"/>
  <c r="B288" i="10"/>
  <c r="D286" i="10"/>
  <c r="F284" i="10"/>
  <c r="A283" i="10"/>
  <c r="C281" i="10"/>
  <c r="E279" i="10"/>
  <c r="G277" i="10"/>
  <c r="B276" i="10"/>
  <c r="D274" i="10"/>
  <c r="F272" i="10"/>
  <c r="A271" i="10"/>
  <c r="C269" i="10"/>
  <c r="E267" i="10"/>
  <c r="G265" i="10"/>
  <c r="B264" i="10"/>
  <c r="D262" i="10"/>
  <c r="F260" i="10"/>
  <c r="A259" i="10"/>
  <c r="C257" i="10"/>
  <c r="E255" i="10"/>
  <c r="G253" i="10"/>
  <c r="B252" i="10"/>
  <c r="D250" i="10"/>
  <c r="F248" i="10"/>
  <c r="A247" i="10"/>
  <c r="C245" i="10"/>
  <c r="E243" i="10"/>
  <c r="G241" i="10"/>
  <c r="B240" i="10"/>
  <c r="D238" i="10"/>
  <c r="F236" i="10"/>
  <c r="A235" i="10"/>
  <c r="C233" i="10"/>
  <c r="E231" i="10"/>
  <c r="G229" i="10"/>
  <c r="B228" i="10"/>
  <c r="D226" i="10"/>
  <c r="F224" i="10"/>
  <c r="A223" i="10"/>
  <c r="C221" i="10"/>
  <c r="E219" i="10"/>
  <c r="G217" i="10"/>
  <c r="B216" i="10"/>
  <c r="D214" i="10"/>
  <c r="F212" i="10"/>
  <c r="A211" i="10"/>
  <c r="C209" i="10"/>
  <c r="E207" i="10"/>
  <c r="G205" i="10"/>
  <c r="B204" i="10"/>
  <c r="D202" i="10"/>
  <c r="F200" i="10"/>
  <c r="A199" i="10"/>
  <c r="C197" i="10"/>
  <c r="E195" i="10"/>
  <c r="G193" i="10"/>
  <c r="B192" i="10"/>
  <c r="C322" i="10"/>
  <c r="E320" i="10"/>
  <c r="G318" i="10"/>
  <c r="B317" i="10"/>
  <c r="D315" i="10"/>
  <c r="F313" i="10"/>
  <c r="A312" i="10"/>
  <c r="C310" i="10"/>
  <c r="E308" i="10"/>
  <c r="G306" i="10"/>
  <c r="B305" i="10"/>
  <c r="D303" i="10"/>
  <c r="F301" i="10"/>
  <c r="A300" i="10"/>
  <c r="C298" i="10"/>
  <c r="E296" i="10"/>
  <c r="G294" i="10"/>
  <c r="B293" i="10"/>
  <c r="D291" i="10"/>
  <c r="F289" i="10"/>
  <c r="A288" i="10"/>
  <c r="C286" i="10"/>
  <c r="E284" i="10"/>
  <c r="G282" i="10"/>
  <c r="B281" i="10"/>
  <c r="D279" i="10"/>
  <c r="F277" i="10"/>
  <c r="A276" i="10"/>
  <c r="C274" i="10"/>
  <c r="E272" i="10"/>
  <c r="G270" i="10"/>
  <c r="B269" i="10"/>
  <c r="D267" i="10"/>
  <c r="F265" i="10"/>
  <c r="A264" i="10"/>
  <c r="C262" i="10"/>
  <c r="E260" i="10"/>
  <c r="G258" i="10"/>
  <c r="B257" i="10"/>
  <c r="D255" i="10"/>
  <c r="F253" i="10"/>
  <c r="A252" i="10"/>
  <c r="C250" i="10"/>
  <c r="E248" i="10"/>
  <c r="G246" i="10"/>
  <c r="B245" i="10"/>
  <c r="D243" i="10"/>
  <c r="F241" i="10"/>
  <c r="A240" i="10"/>
  <c r="C238" i="10"/>
  <c r="E236" i="10"/>
  <c r="G234" i="10"/>
  <c r="B233" i="10"/>
  <c r="D231" i="10"/>
  <c r="F323" i="10"/>
  <c r="A322" i="10"/>
  <c r="C320" i="10"/>
  <c r="E318" i="10"/>
  <c r="G316" i="10"/>
  <c r="B315" i="10"/>
  <c r="D313" i="10"/>
  <c r="F311" i="10"/>
  <c r="A310" i="10"/>
  <c r="C308" i="10"/>
  <c r="E306" i="10"/>
  <c r="G304" i="10"/>
  <c r="B303" i="10"/>
  <c r="D301" i="10"/>
  <c r="F299" i="10"/>
  <c r="A298" i="10"/>
  <c r="C296" i="10"/>
  <c r="E294" i="10"/>
  <c r="G292" i="10"/>
  <c r="B291" i="10"/>
  <c r="D289" i="10"/>
  <c r="F287" i="10"/>
  <c r="A286" i="10"/>
  <c r="C284" i="10"/>
  <c r="E282" i="10"/>
  <c r="G280" i="10"/>
  <c r="B279" i="10"/>
  <c r="D277" i="10"/>
  <c r="F275" i="10"/>
  <c r="A274" i="10"/>
  <c r="C272" i="10"/>
  <c r="E270" i="10"/>
  <c r="G268" i="10"/>
  <c r="B267" i="10"/>
  <c r="D265" i="10"/>
  <c r="F263" i="10"/>
  <c r="A262" i="10"/>
  <c r="C260" i="10"/>
  <c r="E258" i="10"/>
  <c r="G256" i="10"/>
  <c r="B255" i="10"/>
  <c r="D253" i="10"/>
  <c r="F251" i="10"/>
  <c r="A250" i="10"/>
  <c r="C248" i="10"/>
  <c r="E246" i="10"/>
  <c r="G244" i="10"/>
  <c r="B243" i="10"/>
  <c r="D241" i="10"/>
  <c r="F239" i="10"/>
  <c r="A238" i="10"/>
  <c r="C236" i="10"/>
  <c r="E234" i="10"/>
  <c r="G232" i="10"/>
  <c r="B231" i="10"/>
  <c r="D229" i="10"/>
  <c r="F227" i="10"/>
  <c r="A226" i="10"/>
  <c r="C224" i="10"/>
  <c r="E222" i="10"/>
  <c r="G220" i="10"/>
  <c r="B219" i="10"/>
  <c r="E323" i="10"/>
  <c r="C321" i="10"/>
  <c r="B318" i="10"/>
  <c r="A315" i="10"/>
  <c r="E312" i="10"/>
  <c r="D309" i="10"/>
  <c r="C306" i="10"/>
  <c r="C303" i="10"/>
  <c r="F300" i="10"/>
  <c r="E297" i="10"/>
  <c r="D294" i="10"/>
  <c r="A292" i="10"/>
  <c r="G288" i="10"/>
  <c r="F285" i="10"/>
  <c r="F282" i="10"/>
  <c r="B280" i="10"/>
  <c r="A277" i="10"/>
  <c r="G273" i="10"/>
  <c r="D271" i="10"/>
  <c r="C268" i="10"/>
  <c r="B265" i="10"/>
  <c r="B262" i="10"/>
  <c r="E259" i="10"/>
  <c r="D256" i="10"/>
  <c r="C253" i="10"/>
  <c r="G250" i="10"/>
  <c r="F247" i="10"/>
  <c r="E244" i="10"/>
  <c r="E241" i="10"/>
  <c r="A239" i="10"/>
  <c r="G235" i="10"/>
  <c r="A233" i="10"/>
  <c r="E230" i="10"/>
  <c r="C228" i="10"/>
  <c r="G225" i="10"/>
  <c r="F223" i="10"/>
  <c r="D221" i="10"/>
  <c r="A219" i="10"/>
  <c r="A217" i="10"/>
  <c r="A215" i="10"/>
  <c r="G212" i="10"/>
  <c r="F210" i="10"/>
  <c r="F208" i="10"/>
  <c r="F206" i="10"/>
  <c r="F204" i="10"/>
  <c r="E202" i="10"/>
  <c r="D200" i="10"/>
  <c r="D198" i="10"/>
  <c r="D196" i="10"/>
  <c r="D194" i="10"/>
  <c r="C192" i="10"/>
  <c r="C190" i="10"/>
  <c r="D188" i="10"/>
  <c r="E186" i="10"/>
  <c r="F184" i="10"/>
  <c r="G182" i="10"/>
  <c r="A181" i="10"/>
  <c r="B179" i="10"/>
  <c r="C177" i="10"/>
  <c r="D175" i="10"/>
  <c r="E173" i="10"/>
  <c r="G171" i="10"/>
  <c r="B170" i="10"/>
  <c r="D168" i="10"/>
  <c r="F166" i="10"/>
  <c r="A165" i="10"/>
  <c r="C163" i="10"/>
  <c r="E161" i="10"/>
  <c r="G159" i="10"/>
  <c r="B158" i="10"/>
  <c r="D156" i="10"/>
  <c r="F154" i="10"/>
  <c r="A153" i="10"/>
  <c r="C151" i="10"/>
  <c r="E149" i="10"/>
  <c r="G147" i="10"/>
  <c r="B146" i="10"/>
  <c r="D144" i="10"/>
  <c r="F142" i="10"/>
  <c r="A141" i="10"/>
  <c r="C139" i="10"/>
  <c r="E137" i="10"/>
  <c r="G135" i="10"/>
  <c r="B134" i="10"/>
  <c r="D132" i="10"/>
  <c r="F130" i="10"/>
  <c r="A129" i="10"/>
  <c r="C127" i="10"/>
  <c r="E125" i="10"/>
  <c r="G123" i="10"/>
  <c r="B122" i="10"/>
  <c r="D120" i="10"/>
  <c r="F118" i="10"/>
  <c r="A117" i="10"/>
  <c r="C115" i="10"/>
  <c r="E113" i="10"/>
  <c r="G111" i="10"/>
  <c r="B110" i="10"/>
  <c r="D108" i="10"/>
  <c r="F106" i="10"/>
  <c r="A105" i="10"/>
  <c r="C103" i="10"/>
  <c r="E101" i="10"/>
  <c r="G99" i="10"/>
  <c r="B98" i="10"/>
  <c r="D96" i="10"/>
  <c r="F94" i="10"/>
  <c r="A93" i="10"/>
  <c r="C91" i="10"/>
  <c r="E89" i="10"/>
  <c r="G87" i="10"/>
  <c r="B86" i="10"/>
  <c r="D84" i="10"/>
  <c r="F82" i="10"/>
  <c r="A81" i="10"/>
  <c r="C79" i="10"/>
  <c r="E77" i="10"/>
  <c r="G75" i="10"/>
  <c r="B74" i="10"/>
  <c r="D72" i="10"/>
  <c r="F70" i="10"/>
  <c r="A69" i="10"/>
  <c r="C67" i="10"/>
  <c r="E65" i="10"/>
  <c r="G63" i="10"/>
  <c r="B62" i="10"/>
  <c r="D60" i="10"/>
  <c r="F58" i="10"/>
  <c r="A57" i="10"/>
  <c r="C55" i="10"/>
  <c r="E53" i="10"/>
  <c r="G51" i="10"/>
  <c r="B50" i="10"/>
  <c r="D48" i="10"/>
  <c r="F46" i="10"/>
  <c r="A45" i="10"/>
  <c r="C43" i="10"/>
  <c r="E41" i="10"/>
  <c r="G39" i="10"/>
  <c r="B38" i="10"/>
  <c r="D36" i="10"/>
  <c r="F34" i="10"/>
  <c r="A33" i="10"/>
  <c r="C31" i="10"/>
  <c r="E29" i="10"/>
  <c r="G27" i="10"/>
  <c r="B26" i="10"/>
  <c r="D24" i="10"/>
  <c r="F22" i="10"/>
  <c r="A21" i="10"/>
  <c r="C19" i="10"/>
  <c r="E17" i="10"/>
  <c r="G15" i="10"/>
  <c r="B14" i="10"/>
  <c r="D12" i="10"/>
  <c r="F10" i="10"/>
  <c r="A9" i="10"/>
  <c r="C7" i="10"/>
  <c r="E5" i="10"/>
  <c r="G3" i="10"/>
  <c r="B2" i="10"/>
  <c r="G323" i="10"/>
  <c r="D323" i="10"/>
  <c r="D320" i="10"/>
  <c r="G317" i="10"/>
  <c r="F314" i="10"/>
  <c r="E311" i="10"/>
  <c r="B309" i="10"/>
  <c r="A306" i="10"/>
  <c r="G302" i="10"/>
  <c r="G299" i="10"/>
  <c r="C297" i="10"/>
  <c r="B294" i="10"/>
  <c r="A291" i="10"/>
  <c r="E288" i="10"/>
  <c r="D285" i="10"/>
  <c r="C282" i="10"/>
  <c r="C279" i="10"/>
  <c r="F276" i="10"/>
  <c r="E273" i="10"/>
  <c r="D270" i="10"/>
  <c r="A268" i="10"/>
  <c r="G264" i="10"/>
  <c r="F261" i="10"/>
  <c r="F258" i="10"/>
  <c r="B256" i="10"/>
  <c r="A253" i="10"/>
  <c r="G249" i="10"/>
  <c r="D247" i="10"/>
  <c r="C244" i="10"/>
  <c r="B241" i="10"/>
  <c r="B238" i="10"/>
  <c r="E235" i="10"/>
  <c r="E232" i="10"/>
  <c r="C230" i="10"/>
  <c r="G227" i="10"/>
  <c r="E225" i="10"/>
  <c r="D223" i="10"/>
  <c r="A221" i="10"/>
  <c r="F218" i="10"/>
  <c r="F216" i="10"/>
  <c r="E214" i="10"/>
  <c r="D212" i="10"/>
  <c r="D210" i="10"/>
  <c r="D208" i="10"/>
  <c r="D206" i="10"/>
  <c r="C204" i="10"/>
  <c r="B202" i="10"/>
  <c r="B200" i="10"/>
  <c r="B198" i="10"/>
  <c r="B196" i="10"/>
  <c r="A194" i="10"/>
  <c r="G191" i="10"/>
  <c r="A190" i="10"/>
  <c r="B188" i="10"/>
  <c r="C186" i="10"/>
  <c r="D184" i="10"/>
  <c r="E182" i="10"/>
  <c r="F180" i="10"/>
  <c r="G178" i="10"/>
  <c r="G176" i="10"/>
  <c r="A175" i="10"/>
  <c r="C173" i="10"/>
  <c r="E171" i="10"/>
  <c r="G169" i="10"/>
  <c r="B168" i="10"/>
  <c r="D166" i="10"/>
  <c r="F164" i="10"/>
  <c r="A163" i="10"/>
  <c r="C161" i="10"/>
  <c r="E159" i="10"/>
  <c r="G157" i="10"/>
  <c r="B156" i="10"/>
  <c r="D154" i="10"/>
  <c r="F152" i="10"/>
  <c r="A151" i="10"/>
  <c r="C149" i="10"/>
  <c r="E147" i="10"/>
  <c r="G145" i="10"/>
  <c r="B144" i="10"/>
  <c r="D142" i="10"/>
  <c r="F140" i="10"/>
  <c r="A139" i="10"/>
  <c r="C137" i="10"/>
  <c r="E135" i="10"/>
  <c r="G133" i="10"/>
  <c r="B132" i="10"/>
  <c r="D130" i="10"/>
  <c r="F128" i="10"/>
  <c r="A127" i="10"/>
  <c r="C125" i="10"/>
  <c r="E123" i="10"/>
  <c r="G121" i="10"/>
  <c r="B120" i="10"/>
  <c r="D118" i="10"/>
  <c r="F116" i="10"/>
  <c r="A115" i="10"/>
  <c r="C113" i="10"/>
  <c r="E111" i="10"/>
  <c r="G109" i="10"/>
  <c r="B108" i="10"/>
  <c r="D106" i="10"/>
  <c r="F104" i="10"/>
  <c r="A103" i="10"/>
  <c r="C101" i="10"/>
  <c r="E99" i="10"/>
  <c r="G97" i="10"/>
  <c r="B96" i="10"/>
  <c r="D94" i="10"/>
  <c r="F92" i="10"/>
  <c r="A91" i="10"/>
  <c r="C89" i="10"/>
  <c r="E87" i="10"/>
  <c r="G85" i="10"/>
  <c r="B84" i="10"/>
  <c r="D82" i="10"/>
  <c r="F80" i="10"/>
  <c r="A79" i="10"/>
  <c r="C77" i="10"/>
  <c r="E75" i="10"/>
  <c r="G73" i="10"/>
  <c r="B72" i="10"/>
  <c r="D70" i="10"/>
  <c r="F68" i="10"/>
  <c r="A67" i="10"/>
  <c r="C65" i="10"/>
  <c r="E63" i="10"/>
  <c r="G61" i="10"/>
  <c r="B60" i="10"/>
  <c r="D58" i="10"/>
  <c r="F56" i="10"/>
  <c r="A55" i="10"/>
  <c r="C53" i="10"/>
  <c r="E51" i="10"/>
  <c r="G49" i="10"/>
  <c r="B48" i="10"/>
  <c r="D46" i="10"/>
  <c r="F44" i="10"/>
  <c r="A43" i="10"/>
  <c r="C41" i="10"/>
  <c r="E39" i="10"/>
  <c r="G37" i="10"/>
  <c r="B36" i="10"/>
  <c r="D34" i="10"/>
  <c r="F32" i="10"/>
  <c r="A31" i="10"/>
  <c r="C29" i="10"/>
  <c r="E27" i="10"/>
  <c r="G25" i="10"/>
  <c r="B24" i="10"/>
  <c r="D22" i="10"/>
  <c r="F20" i="10"/>
  <c r="A19" i="10"/>
  <c r="C17" i="10"/>
  <c r="E15" i="10"/>
  <c r="G13" i="10"/>
  <c r="B12" i="10"/>
  <c r="D10" i="10"/>
  <c r="F8" i="10"/>
  <c r="A7" i="10"/>
  <c r="C5" i="10"/>
  <c r="E3" i="10"/>
  <c r="A2" i="10"/>
  <c r="C323" i="10"/>
  <c r="B320" i="10"/>
  <c r="F317" i="10"/>
  <c r="E314" i="10"/>
  <c r="D311" i="10"/>
  <c r="D308" i="10"/>
  <c r="G305" i="10"/>
  <c r="F302" i="10"/>
  <c r="E299" i="10"/>
  <c r="B297" i="10"/>
  <c r="A294" i="10"/>
  <c r="G290" i="10"/>
  <c r="G287" i="10"/>
  <c r="C285" i="10"/>
  <c r="B282" i="10"/>
  <c r="A279" i="10"/>
  <c r="E276" i="10"/>
  <c r="D273" i="10"/>
  <c r="C270" i="10"/>
  <c r="C267" i="10"/>
  <c r="F264" i="10"/>
  <c r="E261" i="10"/>
  <c r="D258" i="10"/>
  <c r="A256" i="10"/>
  <c r="G252" i="10"/>
  <c r="F249" i="10"/>
  <c r="F246" i="10"/>
  <c r="B244" i="10"/>
  <c r="A241" i="10"/>
  <c r="G237" i="10"/>
  <c r="D235" i="10"/>
  <c r="D232" i="10"/>
  <c r="A230" i="10"/>
  <c r="E227" i="10"/>
  <c r="D225" i="10"/>
  <c r="B223" i="10"/>
  <c r="F220" i="10"/>
  <c r="E218" i="10"/>
  <c r="E216" i="10"/>
  <c r="C214" i="10"/>
  <c r="C212" i="10"/>
  <c r="C210" i="10"/>
  <c r="C208" i="10"/>
  <c r="C206" i="10"/>
  <c r="A204" i="10"/>
  <c r="A202" i="10"/>
  <c r="A200" i="10"/>
  <c r="A198" i="10"/>
  <c r="A196" i="10"/>
  <c r="F193" i="10"/>
  <c r="F191" i="10"/>
  <c r="G189" i="10"/>
  <c r="A188" i="10"/>
  <c r="B186" i="10"/>
  <c r="C184" i="10"/>
  <c r="D182" i="10"/>
  <c r="E180" i="10"/>
  <c r="E178" i="10"/>
  <c r="F176" i="10"/>
  <c r="G174" i="10"/>
  <c r="B173" i="10"/>
  <c r="D171" i="10"/>
  <c r="F169" i="10"/>
  <c r="A168" i="10"/>
  <c r="C166" i="10"/>
  <c r="E164" i="10"/>
  <c r="G162" i="10"/>
  <c r="B161" i="10"/>
  <c r="D159" i="10"/>
  <c r="F157" i="10"/>
  <c r="A156" i="10"/>
  <c r="C154" i="10"/>
  <c r="E152" i="10"/>
  <c r="G150" i="10"/>
  <c r="B149" i="10"/>
  <c r="D147" i="10"/>
  <c r="F145" i="10"/>
  <c r="A144" i="10"/>
  <c r="C142" i="10"/>
  <c r="E140" i="10"/>
  <c r="G138" i="10"/>
  <c r="B137" i="10"/>
  <c r="D135" i="10"/>
  <c r="F133" i="10"/>
  <c r="A132" i="10"/>
  <c r="C130" i="10"/>
  <c r="E128" i="10"/>
  <c r="G126" i="10"/>
  <c r="B125" i="10"/>
  <c r="D123" i="10"/>
  <c r="F121" i="10"/>
  <c r="A120" i="10"/>
  <c r="C118" i="10"/>
  <c r="E116" i="10"/>
  <c r="G114" i="10"/>
  <c r="B113" i="10"/>
  <c r="D111" i="10"/>
  <c r="F109" i="10"/>
  <c r="A108" i="10"/>
  <c r="C106" i="10"/>
  <c r="E104" i="10"/>
  <c r="G102" i="10"/>
  <c r="B101" i="10"/>
  <c r="D99" i="10"/>
  <c r="F97" i="10"/>
  <c r="A96" i="10"/>
  <c r="C94" i="10"/>
  <c r="E92" i="10"/>
  <c r="G90" i="10"/>
  <c r="B89" i="10"/>
  <c r="D87" i="10"/>
  <c r="F85" i="10"/>
  <c r="A84" i="10"/>
  <c r="C82" i="10"/>
  <c r="E80" i="10"/>
  <c r="G78" i="10"/>
  <c r="B77" i="10"/>
  <c r="D75" i="10"/>
  <c r="F73" i="10"/>
  <c r="A72" i="10"/>
  <c r="C70" i="10"/>
  <c r="E68" i="10"/>
  <c r="G66" i="10"/>
  <c r="B65" i="10"/>
  <c r="D63" i="10"/>
  <c r="F61" i="10"/>
  <c r="A323" i="10"/>
  <c r="G319" i="10"/>
  <c r="F316" i="10"/>
  <c r="C314" i="10"/>
  <c r="B311" i="10"/>
  <c r="A308" i="10"/>
  <c r="A305" i="10"/>
  <c r="D302" i="10"/>
  <c r="C299" i="10"/>
  <c r="B296" i="10"/>
  <c r="F293" i="10"/>
  <c r="E290" i="10"/>
  <c r="D287" i="10"/>
  <c r="D284" i="10"/>
  <c r="G281" i="10"/>
  <c r="F278" i="10"/>
  <c r="E275" i="10"/>
  <c r="B273" i="10"/>
  <c r="A270" i="10"/>
  <c r="G266" i="10"/>
  <c r="G263" i="10"/>
  <c r="C261" i="10"/>
  <c r="B258" i="10"/>
  <c r="A255" i="10"/>
  <c r="E252" i="10"/>
  <c r="D249" i="10"/>
  <c r="C246" i="10"/>
  <c r="C243" i="10"/>
  <c r="F240" i="10"/>
  <c r="E237" i="10"/>
  <c r="G322" i="10"/>
  <c r="F319" i="10"/>
  <c r="E316" i="10"/>
  <c r="E313" i="10"/>
  <c r="A311" i="10"/>
  <c r="G307" i="10"/>
  <c r="F304" i="10"/>
  <c r="C302" i="10"/>
  <c r="B299" i="10"/>
  <c r="A296" i="10"/>
  <c r="A293" i="10"/>
  <c r="D290" i="10"/>
  <c r="C287" i="10"/>
  <c r="B284" i="10"/>
  <c r="F281" i="10"/>
  <c r="E278" i="10"/>
  <c r="D275" i="10"/>
  <c r="D272" i="10"/>
  <c r="G269" i="10"/>
  <c r="F266" i="10"/>
  <c r="E263" i="10"/>
  <c r="B261" i="10"/>
  <c r="A258" i="10"/>
  <c r="G254" i="10"/>
  <c r="G251" i="10"/>
  <c r="C249" i="10"/>
  <c r="B246" i="10"/>
  <c r="A243" i="10"/>
  <c r="E240" i="10"/>
  <c r="B322" i="10"/>
  <c r="E319" i="10"/>
  <c r="D316" i="10"/>
  <c r="C313" i="10"/>
  <c r="G310" i="10"/>
  <c r="F307" i="10"/>
  <c r="E304" i="10"/>
  <c r="E301" i="10"/>
  <c r="A299" i="10"/>
  <c r="G295" i="10"/>
  <c r="F292" i="10"/>
  <c r="C290" i="10"/>
  <c r="B287" i="10"/>
  <c r="A284" i="10"/>
  <c r="A281" i="10"/>
  <c r="D278" i="10"/>
  <c r="C275" i="10"/>
  <c r="B272" i="10"/>
  <c r="F269" i="10"/>
  <c r="E266" i="10"/>
  <c r="D263" i="10"/>
  <c r="D260" i="10"/>
  <c r="G257" i="10"/>
  <c r="F254" i="10"/>
  <c r="E251" i="10"/>
  <c r="B249" i="10"/>
  <c r="A246" i="10"/>
  <c r="G242" i="10"/>
  <c r="G239" i="10"/>
  <c r="C237" i="10"/>
  <c r="B234" i="10"/>
  <c r="F231" i="10"/>
  <c r="B229" i="10"/>
  <c r="A227" i="10"/>
  <c r="E224" i="10"/>
  <c r="C222" i="10"/>
  <c r="B220" i="10"/>
  <c r="F217" i="10"/>
  <c r="F215" i="10"/>
  <c r="F213" i="10"/>
  <c r="F211" i="10"/>
  <c r="F209" i="10"/>
  <c r="D207" i="10"/>
  <c r="D205" i="10"/>
  <c r="D203" i="10"/>
  <c r="D201" i="10"/>
  <c r="D199" i="10"/>
  <c r="B197" i="10"/>
  <c r="B195" i="10"/>
  <c r="B193" i="10"/>
  <c r="B191" i="10"/>
  <c r="C189" i="10"/>
  <c r="D187" i="10"/>
  <c r="D185" i="10"/>
  <c r="E183" i="10"/>
  <c r="F181" i="10"/>
  <c r="G179" i="10"/>
  <c r="A178" i="10"/>
  <c r="F321" i="10"/>
  <c r="B316" i="10"/>
  <c r="G309" i="10"/>
  <c r="C304" i="10"/>
  <c r="B298" i="10"/>
  <c r="D292" i="10"/>
  <c r="G286" i="10"/>
  <c r="E280" i="10"/>
  <c r="A275" i="10"/>
  <c r="F268" i="10"/>
  <c r="B263" i="10"/>
  <c r="A257" i="10"/>
  <c r="C251" i="10"/>
  <c r="F245" i="10"/>
  <c r="D239" i="10"/>
  <c r="D234" i="10"/>
  <c r="G230" i="10"/>
  <c r="C227" i="10"/>
  <c r="A224" i="10"/>
  <c r="D220" i="10"/>
  <c r="C217" i="10"/>
  <c r="A214" i="10"/>
  <c r="B211" i="10"/>
  <c r="A208" i="10"/>
  <c r="A205" i="10"/>
  <c r="F201" i="10"/>
  <c r="F198" i="10"/>
  <c r="D195" i="10"/>
  <c r="F192" i="10"/>
  <c r="E189" i="10"/>
  <c r="G186" i="10"/>
  <c r="A184" i="10"/>
  <c r="C181" i="10"/>
  <c r="C178" i="10"/>
  <c r="G175" i="10"/>
  <c r="D173" i="10"/>
  <c r="A171" i="10"/>
  <c r="G168" i="10"/>
  <c r="E166" i="10"/>
  <c r="B164" i="10"/>
  <c r="A162" i="10"/>
  <c r="F159" i="10"/>
  <c r="C157" i="10"/>
  <c r="B155" i="10"/>
  <c r="G152" i="10"/>
  <c r="D150" i="10"/>
  <c r="C148" i="10"/>
  <c r="A146" i="10"/>
  <c r="E143" i="10"/>
  <c r="D141" i="10"/>
  <c r="B139" i="10"/>
  <c r="F136" i="10"/>
  <c r="E134" i="10"/>
  <c r="C132" i="10"/>
  <c r="G129" i="10"/>
  <c r="F127" i="10"/>
  <c r="D125" i="10"/>
  <c r="A123" i="10"/>
  <c r="G120" i="10"/>
  <c r="E118" i="10"/>
  <c r="B116" i="10"/>
  <c r="A114" i="10"/>
  <c r="F111" i="10"/>
  <c r="C109" i="10"/>
  <c r="B107" i="10"/>
  <c r="G104" i="10"/>
  <c r="D102" i="10"/>
  <c r="C100" i="10"/>
  <c r="A98" i="10"/>
  <c r="E95" i="10"/>
  <c r="D93" i="10"/>
  <c r="B91" i="10"/>
  <c r="F88" i="10"/>
  <c r="E86" i="10"/>
  <c r="C84" i="10"/>
  <c r="G81" i="10"/>
  <c r="F79" i="10"/>
  <c r="D77" i="10"/>
  <c r="A75" i="10"/>
  <c r="G72" i="10"/>
  <c r="E70" i="10"/>
  <c r="B68" i="10"/>
  <c r="A66" i="10"/>
  <c r="F63" i="10"/>
  <c r="C61" i="10"/>
  <c r="C59" i="10"/>
  <c r="C57" i="10"/>
  <c r="B55" i="10"/>
  <c r="A53" i="10"/>
  <c r="A51" i="10"/>
  <c r="A49" i="10"/>
  <c r="A47" i="10"/>
  <c r="G44" i="10"/>
  <c r="F42" i="10"/>
  <c r="F40" i="10"/>
  <c r="F38" i="10"/>
  <c r="F36" i="10"/>
  <c r="E34" i="10"/>
  <c r="D32" i="10"/>
  <c r="D30" i="10"/>
  <c r="D28" i="10"/>
  <c r="D26" i="10"/>
  <c r="C24" i="10"/>
  <c r="B22" i="10"/>
  <c r="B20" i="10"/>
  <c r="B18" i="10"/>
  <c r="B16" i="10"/>
  <c r="A14" i="10"/>
  <c r="G11" i="10"/>
  <c r="G9" i="10"/>
  <c r="G7" i="10"/>
  <c r="G5" i="10"/>
  <c r="F3" i="10"/>
  <c r="E321" i="10"/>
  <c r="A316" i="10"/>
  <c r="F309" i="10"/>
  <c r="B304" i="10"/>
  <c r="G297" i="10"/>
  <c r="C292" i="10"/>
  <c r="B286" i="10"/>
  <c r="D280" i="10"/>
  <c r="G274" i="10"/>
  <c r="E268" i="10"/>
  <c r="A263" i="10"/>
  <c r="F256" i="10"/>
  <c r="B251" i="10"/>
  <c r="A245" i="10"/>
  <c r="C239" i="10"/>
  <c r="C234" i="10"/>
  <c r="F230" i="10"/>
  <c r="B227" i="10"/>
  <c r="G223" i="10"/>
  <c r="C220" i="10"/>
  <c r="B217" i="10"/>
  <c r="G213" i="10"/>
  <c r="G210" i="10"/>
  <c r="F207" i="10"/>
  <c r="G204" i="10"/>
  <c r="E201" i="10"/>
  <c r="E198" i="10"/>
  <c r="C195" i="10"/>
  <c r="E192" i="10"/>
  <c r="D189" i="10"/>
  <c r="F186" i="10"/>
  <c r="F183" i="10"/>
  <c r="B181" i="10"/>
  <c r="B178" i="10"/>
  <c r="F175" i="10"/>
  <c r="A173" i="10"/>
  <c r="G170" i="10"/>
  <c r="F168" i="10"/>
  <c r="B166" i="10"/>
  <c r="A164" i="10"/>
  <c r="G161" i="10"/>
  <c r="C159" i="10"/>
  <c r="B157" i="10"/>
  <c r="A155" i="10"/>
  <c r="D152" i="10"/>
  <c r="C150" i="10"/>
  <c r="B148" i="10"/>
  <c r="E145" i="10"/>
  <c r="D143" i="10"/>
  <c r="C141" i="10"/>
  <c r="F138" i="10"/>
  <c r="E136" i="10"/>
  <c r="D134" i="10"/>
  <c r="G131" i="10"/>
  <c r="F129" i="10"/>
  <c r="E127" i="10"/>
  <c r="A125" i="10"/>
  <c r="G122" i="10"/>
  <c r="F120" i="10"/>
  <c r="B118" i="10"/>
  <c r="A116" i="10"/>
  <c r="G113" i="10"/>
  <c r="C111" i="10"/>
  <c r="B109" i="10"/>
  <c r="A107" i="10"/>
  <c r="D104" i="10"/>
  <c r="C102" i="10"/>
  <c r="B100" i="10"/>
  <c r="E97" i="10"/>
  <c r="D95" i="10"/>
  <c r="C93" i="10"/>
  <c r="F90" i="10"/>
  <c r="E88" i="10"/>
  <c r="D86" i="10"/>
  <c r="G83" i="10"/>
  <c r="F81" i="10"/>
  <c r="E79" i="10"/>
  <c r="A77" i="10"/>
  <c r="G74" i="10"/>
  <c r="F72" i="10"/>
  <c r="B70" i="10"/>
  <c r="A68" i="10"/>
  <c r="G65" i="10"/>
  <c r="C63" i="10"/>
  <c r="B61" i="10"/>
  <c r="B59" i="10"/>
  <c r="B57" i="10"/>
  <c r="G54" i="10"/>
  <c r="G52" i="10"/>
  <c r="G50" i="10"/>
  <c r="G48" i="10"/>
  <c r="G46" i="10"/>
  <c r="E44" i="10"/>
  <c r="E42" i="10"/>
  <c r="E40" i="10"/>
  <c r="E38" i="10"/>
  <c r="E36" i="10"/>
  <c r="C34" i="10"/>
  <c r="C32" i="10"/>
  <c r="C30" i="10"/>
  <c r="C28" i="10"/>
  <c r="C26" i="10"/>
  <c r="A24" i="10"/>
  <c r="A22" i="10"/>
  <c r="A20" i="10"/>
  <c r="A18" i="10"/>
  <c r="A16" i="10"/>
  <c r="F13" i="10"/>
  <c r="F11" i="10"/>
  <c r="F9" i="10"/>
  <c r="F7" i="10"/>
  <c r="F5" i="10"/>
  <c r="D3" i="10"/>
  <c r="D321" i="10"/>
  <c r="C315" i="10"/>
  <c r="E309" i="10"/>
  <c r="A304" i="10"/>
  <c r="F297" i="10"/>
  <c r="B292" i="10"/>
  <c r="G285" i="10"/>
  <c r="C280" i="10"/>
  <c r="B274" i="10"/>
  <c r="D268" i="10"/>
  <c r="G262" i="10"/>
  <c r="E256" i="10"/>
  <c r="A251" i="10"/>
  <c r="F244" i="10"/>
  <c r="B239" i="10"/>
  <c r="A234" i="10"/>
  <c r="D230" i="10"/>
  <c r="G226" i="10"/>
  <c r="E223" i="10"/>
  <c r="A220" i="10"/>
  <c r="G216" i="10"/>
  <c r="E213" i="10"/>
  <c r="E210" i="10"/>
  <c r="C207" i="10"/>
  <c r="E204" i="10"/>
  <c r="C201" i="10"/>
  <c r="C198" i="10"/>
  <c r="A195" i="10"/>
  <c r="A192" i="10"/>
  <c r="B189" i="10"/>
  <c r="D186" i="10"/>
  <c r="D183" i="10"/>
  <c r="G180" i="10"/>
  <c r="G177" i="10"/>
  <c r="E175" i="10"/>
  <c r="G172" i="10"/>
  <c r="F170" i="10"/>
  <c r="E168" i="10"/>
  <c r="A166" i="10"/>
  <c r="G163" i="10"/>
  <c r="F161" i="10"/>
  <c r="B159" i="10"/>
  <c r="A157" i="10"/>
  <c r="G154" i="10"/>
  <c r="C152" i="10"/>
  <c r="B150" i="10"/>
  <c r="A148" i="10"/>
  <c r="D145" i="10"/>
  <c r="C143" i="10"/>
  <c r="B141" i="10"/>
  <c r="E138" i="10"/>
  <c r="D136" i="10"/>
  <c r="C134" i="10"/>
  <c r="F131" i="10"/>
  <c r="E129" i="10"/>
  <c r="D127" i="10"/>
  <c r="G124" i="10"/>
  <c r="F122" i="10"/>
  <c r="E120" i="10"/>
  <c r="A118" i="10"/>
  <c r="G115" i="10"/>
  <c r="F113" i="10"/>
  <c r="B111" i="10"/>
  <c r="A109" i="10"/>
  <c r="G106" i="10"/>
  <c r="C104" i="10"/>
  <c r="B102" i="10"/>
  <c r="A100" i="10"/>
  <c r="D97" i="10"/>
  <c r="C95" i="10"/>
  <c r="B93" i="10"/>
  <c r="E90" i="10"/>
  <c r="D88" i="10"/>
  <c r="C86" i="10"/>
  <c r="F83" i="10"/>
  <c r="E81" i="10"/>
  <c r="D79" i="10"/>
  <c r="G76" i="10"/>
  <c r="F74" i="10"/>
  <c r="E72" i="10"/>
  <c r="A70" i="10"/>
  <c r="G67" i="10"/>
  <c r="F65" i="10"/>
  <c r="B63" i="10"/>
  <c r="A61" i="10"/>
  <c r="A59" i="10"/>
  <c r="G56" i="10"/>
  <c r="F54" i="10"/>
  <c r="F52" i="10"/>
  <c r="F50" i="10"/>
  <c r="F48" i="10"/>
  <c r="E46" i="10"/>
  <c r="D44" i="10"/>
  <c r="D42" i="10"/>
  <c r="D40" i="10"/>
  <c r="D38" i="10"/>
  <c r="C36" i="10"/>
  <c r="B34" i="10"/>
  <c r="B32" i="10"/>
  <c r="B30" i="10"/>
  <c r="B28" i="10"/>
  <c r="A26" i="10"/>
  <c r="G23" i="10"/>
  <c r="G21" i="10"/>
  <c r="G19" i="10"/>
  <c r="G17" i="10"/>
  <c r="F15" i="10"/>
  <c r="E13" i="10"/>
  <c r="E11" i="10"/>
  <c r="E9" i="10"/>
  <c r="E7" i="10"/>
  <c r="D5" i="10"/>
  <c r="C3" i="10"/>
  <c r="B321" i="10"/>
  <c r="G314" i="10"/>
  <c r="C309" i="10"/>
  <c r="A303" i="10"/>
  <c r="D297" i="10"/>
  <c r="C291" i="10"/>
  <c r="E285" i="10"/>
  <c r="A280" i="10"/>
  <c r="F273" i="10"/>
  <c r="B268" i="10"/>
  <c r="G261" i="10"/>
  <c r="C256" i="10"/>
  <c r="B250" i="10"/>
  <c r="D244" i="10"/>
  <c r="G238" i="10"/>
  <c r="G233" i="10"/>
  <c r="F229" i="10"/>
  <c r="E226" i="10"/>
  <c r="G222" i="10"/>
  <c r="F219" i="10"/>
  <c r="C216" i="10"/>
  <c r="D213" i="10"/>
  <c r="B210" i="10"/>
  <c r="B207" i="10"/>
  <c r="G203" i="10"/>
  <c r="B201" i="10"/>
  <c r="G197" i="10"/>
  <c r="G194" i="10"/>
  <c r="E191" i="10"/>
  <c r="G188" i="10"/>
  <c r="A186" i="10"/>
  <c r="C183" i="10"/>
  <c r="C180" i="10"/>
  <c r="F177" i="10"/>
  <c r="B175" i="10"/>
  <c r="F172" i="10"/>
  <c r="E170" i="10"/>
  <c r="C168" i="10"/>
  <c r="G165" i="10"/>
  <c r="F163" i="10"/>
  <c r="D161" i="10"/>
  <c r="A159" i="10"/>
  <c r="G156" i="10"/>
  <c r="E154" i="10"/>
  <c r="B152" i="10"/>
  <c r="A150" i="10"/>
  <c r="F147" i="10"/>
  <c r="C145" i="10"/>
  <c r="B143" i="10"/>
  <c r="G140" i="10"/>
  <c r="D138" i="10"/>
  <c r="C136" i="10"/>
  <c r="A134" i="10"/>
  <c r="E131" i="10"/>
  <c r="D129" i="10"/>
  <c r="B127" i="10"/>
  <c r="F124" i="10"/>
  <c r="E122" i="10"/>
  <c r="C120" i="10"/>
  <c r="G117" i="10"/>
  <c r="F115" i="10"/>
  <c r="D113" i="10"/>
  <c r="A111" i="10"/>
  <c r="G108" i="10"/>
  <c r="E106" i="10"/>
  <c r="B104" i="10"/>
  <c r="A102" i="10"/>
  <c r="F99" i="10"/>
  <c r="C97" i="10"/>
  <c r="B95" i="10"/>
  <c r="G92" i="10"/>
  <c r="D90" i="10"/>
  <c r="C88" i="10"/>
  <c r="A86" i="10"/>
  <c r="E83" i="10"/>
  <c r="D81" i="10"/>
  <c r="B79" i="10"/>
  <c r="F76" i="10"/>
  <c r="E74" i="10"/>
  <c r="C72" i="10"/>
  <c r="G69" i="10"/>
  <c r="F67" i="10"/>
  <c r="D65" i="10"/>
  <c r="A63" i="10"/>
  <c r="G60" i="10"/>
  <c r="G58" i="10"/>
  <c r="E56" i="10"/>
  <c r="E54" i="10"/>
  <c r="E52" i="10"/>
  <c r="E50" i="10"/>
  <c r="E48" i="10"/>
  <c r="C46" i="10"/>
  <c r="C44" i="10"/>
  <c r="C42" i="10"/>
  <c r="C40" i="10"/>
  <c r="C38" i="10"/>
  <c r="A36" i="10"/>
  <c r="A34" i="10"/>
  <c r="A32" i="10"/>
  <c r="A30" i="10"/>
  <c r="A28" i="10"/>
  <c r="F25" i="10"/>
  <c r="F23" i="10"/>
  <c r="F21" i="10"/>
  <c r="F19" i="10"/>
  <c r="F17" i="10"/>
  <c r="D15" i="10"/>
  <c r="D13" i="10"/>
  <c r="D11" i="10"/>
  <c r="D9" i="10"/>
  <c r="D7" i="10"/>
  <c r="B5" i="10"/>
  <c r="B3" i="10"/>
  <c r="A320" i="10"/>
  <c r="D314" i="10"/>
  <c r="B308" i="10"/>
  <c r="E302" i="10"/>
  <c r="D296" i="10"/>
  <c r="F290" i="10"/>
  <c r="B285" i="10"/>
  <c r="G278" i="10"/>
  <c r="C273" i="10"/>
  <c r="A267" i="10"/>
  <c r="D261" i="10"/>
  <c r="C255" i="10"/>
  <c r="E249" i="10"/>
  <c r="A244" i="10"/>
  <c r="F237" i="10"/>
  <c r="F233" i="10"/>
  <c r="E229" i="10"/>
  <c r="C226" i="10"/>
  <c r="F222" i="10"/>
  <c r="D219" i="10"/>
  <c r="A216" i="10"/>
  <c r="C213" i="10"/>
  <c r="A210" i="10"/>
  <c r="A207" i="10"/>
  <c r="F203" i="10"/>
  <c r="G200" i="10"/>
  <c r="F197" i="10"/>
  <c r="F194" i="10"/>
  <c r="D191" i="10"/>
  <c r="F188" i="10"/>
  <c r="G185" i="10"/>
  <c r="B183" i="10"/>
  <c r="B180" i="10"/>
  <c r="E177" i="10"/>
  <c r="F174" i="10"/>
  <c r="E172" i="10"/>
  <c r="D170" i="10"/>
  <c r="G167" i="10"/>
  <c r="F165" i="10"/>
  <c r="E163" i="10"/>
  <c r="A161" i="10"/>
  <c r="G158" i="10"/>
  <c r="F156" i="10"/>
  <c r="B154" i="10"/>
  <c r="A152" i="10"/>
  <c r="G149" i="10"/>
  <c r="C147" i="10"/>
  <c r="B145" i="10"/>
  <c r="A143" i="10"/>
  <c r="D140" i="10"/>
  <c r="C138" i="10"/>
  <c r="B136" i="10"/>
  <c r="E133" i="10"/>
  <c r="D131" i="10"/>
  <c r="C129" i="10"/>
  <c r="F126" i="10"/>
  <c r="E124" i="10"/>
  <c r="D122" i="10"/>
  <c r="G119" i="10"/>
  <c r="F117" i="10"/>
  <c r="E115" i="10"/>
  <c r="A113" i="10"/>
  <c r="G110" i="10"/>
  <c r="F108" i="10"/>
  <c r="B106" i="10"/>
  <c r="A104" i="10"/>
  <c r="G101" i="10"/>
  <c r="C99" i="10"/>
  <c r="B97" i="10"/>
  <c r="A95" i="10"/>
  <c r="D92" i="10"/>
  <c r="C90" i="10"/>
  <c r="B88" i="10"/>
  <c r="E85" i="10"/>
  <c r="D83" i="10"/>
  <c r="C81" i="10"/>
  <c r="F78" i="10"/>
  <c r="E76" i="10"/>
  <c r="D74" i="10"/>
  <c r="G71" i="10"/>
  <c r="F69" i="10"/>
  <c r="E67" i="10"/>
  <c r="A65" i="10"/>
  <c r="G62" i="10"/>
  <c r="F60" i="10"/>
  <c r="E58" i="10"/>
  <c r="D56" i="10"/>
  <c r="D54" i="10"/>
  <c r="D52" i="10"/>
  <c r="D50" i="10"/>
  <c r="C48" i="10"/>
  <c r="B46" i="10"/>
  <c r="B44" i="10"/>
  <c r="B42" i="10"/>
  <c r="B40" i="10"/>
  <c r="A38" i="10"/>
  <c r="G35" i="10"/>
  <c r="G33" i="10"/>
  <c r="G31" i="10"/>
  <c r="G29" i="10"/>
  <c r="F27" i="10"/>
  <c r="E25" i="10"/>
  <c r="E23" i="10"/>
  <c r="E21" i="10"/>
  <c r="E19" i="10"/>
  <c r="D17" i="10"/>
  <c r="C15" i="10"/>
  <c r="C13" i="10"/>
  <c r="C11" i="10"/>
  <c r="C9" i="10"/>
  <c r="B7" i="10"/>
  <c r="A5" i="10"/>
  <c r="A3" i="10"/>
  <c r="D319" i="10"/>
  <c r="B313" i="10"/>
  <c r="E307" i="10"/>
  <c r="C301" i="10"/>
  <c r="F295" i="10"/>
  <c r="E289" i="10"/>
  <c r="G283" i="10"/>
  <c r="C278" i="10"/>
  <c r="A272" i="10"/>
  <c r="D266" i="10"/>
  <c r="B260" i="10"/>
  <c r="E254" i="10"/>
  <c r="D248" i="10"/>
  <c r="F242" i="10"/>
  <c r="D237" i="10"/>
  <c r="D233" i="10"/>
  <c r="C229" i="10"/>
  <c r="B226" i="10"/>
  <c r="D222" i="10"/>
  <c r="C219" i="10"/>
  <c r="G215" i="10"/>
  <c r="B213" i="10"/>
  <c r="G209" i="10"/>
  <c r="G206" i="10"/>
  <c r="E203" i="10"/>
  <c r="E200" i="10"/>
  <c r="D197" i="10"/>
  <c r="E194" i="10"/>
  <c r="C191" i="10"/>
  <c r="E188" i="10"/>
  <c r="F185" i="10"/>
  <c r="A183" i="10"/>
  <c r="A180" i="10"/>
  <c r="D177" i="10"/>
  <c r="E174" i="10"/>
  <c r="D172" i="10"/>
  <c r="C170" i="10"/>
  <c r="F167" i="10"/>
  <c r="E165" i="10"/>
  <c r="D163" i="10"/>
  <c r="G160" i="10"/>
  <c r="F158" i="10"/>
  <c r="E156" i="10"/>
  <c r="A154" i="10"/>
  <c r="G151" i="10"/>
  <c r="F149" i="10"/>
  <c r="B147" i="10"/>
  <c r="A145" i="10"/>
  <c r="G142" i="10"/>
  <c r="C140" i="10"/>
  <c r="B138" i="10"/>
  <c r="A136" i="10"/>
  <c r="D133" i="10"/>
  <c r="C131" i="10"/>
  <c r="B129" i="10"/>
  <c r="E126" i="10"/>
  <c r="D124" i="10"/>
  <c r="C122" i="10"/>
  <c r="F119" i="10"/>
  <c r="E117" i="10"/>
  <c r="D115" i="10"/>
  <c r="G112" i="10"/>
  <c r="F110" i="10"/>
  <c r="E108" i="10"/>
  <c r="A106" i="10"/>
  <c r="G103" i="10"/>
  <c r="F101" i="10"/>
  <c r="B99" i="10"/>
  <c r="A97" i="10"/>
  <c r="G94" i="10"/>
  <c r="C92" i="10"/>
  <c r="B90" i="10"/>
  <c r="A88" i="10"/>
  <c r="D85" i="10"/>
  <c r="C83" i="10"/>
  <c r="B81" i="10"/>
  <c r="E78" i="10"/>
  <c r="D76" i="10"/>
  <c r="C74" i="10"/>
  <c r="F71" i="10"/>
  <c r="E69" i="10"/>
  <c r="D67" i="10"/>
  <c r="G64" i="10"/>
  <c r="F62" i="10"/>
  <c r="E60" i="10"/>
  <c r="C58" i="10"/>
  <c r="C56" i="10"/>
  <c r="C54" i="10"/>
  <c r="C52" i="10"/>
  <c r="C50" i="10"/>
  <c r="A48" i="10"/>
  <c r="A46" i="10"/>
  <c r="A44" i="10"/>
  <c r="A42" i="10"/>
  <c r="A40" i="10"/>
  <c r="F37" i="10"/>
  <c r="F35" i="10"/>
  <c r="F33" i="10"/>
  <c r="F31" i="10"/>
  <c r="F29" i="10"/>
  <c r="D27" i="10"/>
  <c r="D25" i="10"/>
  <c r="D23" i="10"/>
  <c r="D21" i="10"/>
  <c r="D19" i="10"/>
  <c r="B17" i="10"/>
  <c r="B15" i="10"/>
  <c r="B13" i="10"/>
  <c r="B11" i="10"/>
  <c r="B9" i="10"/>
  <c r="G6" i="10"/>
  <c r="G4" i="10"/>
  <c r="G2" i="10"/>
  <c r="F318" i="10"/>
  <c r="A313" i="10"/>
  <c r="D307" i="10"/>
  <c r="B301" i="10"/>
  <c r="E295" i="10"/>
  <c r="C289" i="10"/>
  <c r="F283" i="10"/>
  <c r="E277" i="10"/>
  <c r="G271" i="10"/>
  <c r="C266" i="10"/>
  <c r="A260" i="10"/>
  <c r="D254" i="10"/>
  <c r="B248" i="10"/>
  <c r="E242" i="10"/>
  <c r="B237" i="10"/>
  <c r="F232" i="10"/>
  <c r="A229" i="10"/>
  <c r="F225" i="10"/>
  <c r="B222" i="10"/>
  <c r="G218" i="10"/>
  <c r="E215" i="10"/>
  <c r="E212" i="10"/>
  <c r="D209" i="10"/>
  <c r="E206" i="10"/>
  <c r="C203" i="10"/>
  <c r="C200" i="10"/>
  <c r="A197" i="10"/>
  <c r="C194" i="10"/>
  <c r="A191" i="10"/>
  <c r="C188" i="10"/>
  <c r="C185" i="10"/>
  <c r="F182" i="10"/>
  <c r="F179" i="10"/>
  <c r="B177" i="10"/>
  <c r="D174" i="10"/>
  <c r="C172" i="10"/>
  <c r="A170" i="10"/>
  <c r="E167" i="10"/>
  <c r="D165" i="10"/>
  <c r="B163" i="10"/>
  <c r="F160" i="10"/>
  <c r="E158" i="10"/>
  <c r="C156" i="10"/>
  <c r="G153" i="10"/>
  <c r="F151" i="10"/>
  <c r="D149" i="10"/>
  <c r="A147" i="10"/>
  <c r="G144" i="10"/>
  <c r="E142" i="10"/>
  <c r="B140" i="10"/>
  <c r="A138" i="10"/>
  <c r="F135" i="10"/>
  <c r="C133" i="10"/>
  <c r="B131" i="10"/>
  <c r="G128" i="10"/>
  <c r="D126" i="10"/>
  <c r="C124" i="10"/>
  <c r="A122" i="10"/>
  <c r="E119" i="10"/>
  <c r="D117" i="10"/>
  <c r="B115" i="10"/>
  <c r="F112" i="10"/>
  <c r="E110" i="10"/>
  <c r="C108" i="10"/>
  <c r="G105" i="10"/>
  <c r="F103" i="10"/>
  <c r="D101" i="10"/>
  <c r="A99" i="10"/>
  <c r="G96" i="10"/>
  <c r="E94" i="10"/>
  <c r="B92" i="10"/>
  <c r="A90" i="10"/>
  <c r="F87" i="10"/>
  <c r="C85" i="10"/>
  <c r="B83" i="10"/>
  <c r="G80" i="10"/>
  <c r="D78" i="10"/>
  <c r="C76" i="10"/>
  <c r="A74" i="10"/>
  <c r="E71" i="10"/>
  <c r="D69" i="10"/>
  <c r="B67" i="10"/>
  <c r="F64" i="10"/>
  <c r="E62" i="10"/>
  <c r="C60" i="10"/>
  <c r="B58" i="10"/>
  <c r="B56" i="10"/>
  <c r="B54" i="10"/>
  <c r="B52" i="10"/>
  <c r="A50" i="10"/>
  <c r="G47" i="10"/>
  <c r="G45" i="10"/>
  <c r="G43" i="10"/>
  <c r="G41" i="10"/>
  <c r="F39" i="10"/>
  <c r="E37" i="10"/>
  <c r="E35" i="10"/>
  <c r="E33" i="10"/>
  <c r="E31" i="10"/>
  <c r="D29" i="10"/>
  <c r="C27" i="10"/>
  <c r="C25" i="10"/>
  <c r="C23" i="10"/>
  <c r="C21" i="10"/>
  <c r="B19" i="10"/>
  <c r="A17" i="10"/>
  <c r="A15" i="10"/>
  <c r="A13" i="10"/>
  <c r="A11" i="10"/>
  <c r="G8" i="10"/>
  <c r="F6" i="10"/>
  <c r="F4" i="10"/>
  <c r="F2" i="10"/>
  <c r="A318" i="10"/>
  <c r="G311" i="10"/>
  <c r="B306" i="10"/>
  <c r="E300" i="10"/>
  <c r="C294" i="10"/>
  <c r="F288" i="10"/>
  <c r="D282" i="10"/>
  <c r="G276" i="10"/>
  <c r="F270" i="10"/>
  <c r="A265" i="10"/>
  <c r="D259" i="10"/>
  <c r="B253" i="10"/>
  <c r="E247" i="10"/>
  <c r="C241" i="10"/>
  <c r="A236" i="10"/>
  <c r="A232" i="10"/>
  <c r="E228" i="10"/>
  <c r="G224" i="10"/>
  <c r="F221" i="10"/>
  <c r="A218" i="10"/>
  <c r="B215" i="10"/>
  <c r="G211" i="10"/>
  <c r="G208" i="10"/>
  <c r="E205" i="10"/>
  <c r="G202" i="10"/>
  <c r="E199" i="10"/>
  <c r="E196" i="10"/>
  <c r="C193" i="10"/>
  <c r="D190" i="10"/>
  <c r="E187" i="10"/>
  <c r="G184" i="10"/>
  <c r="G181" i="10"/>
  <c r="C179" i="10"/>
  <c r="C176" i="10"/>
  <c r="A174" i="10"/>
  <c r="F171" i="10"/>
  <c r="C169" i="10"/>
  <c r="B167" i="10"/>
  <c r="G164" i="10"/>
  <c r="D162" i="10"/>
  <c r="C160" i="10"/>
  <c r="A158" i="10"/>
  <c r="E155" i="10"/>
  <c r="D153" i="10"/>
  <c r="B151" i="10"/>
  <c r="F148" i="10"/>
  <c r="E146" i="10"/>
  <c r="C144" i="10"/>
  <c r="G141" i="10"/>
  <c r="F139" i="10"/>
  <c r="D137" i="10"/>
  <c r="A135" i="10"/>
  <c r="G132" i="10"/>
  <c r="E130" i="10"/>
  <c r="B128" i="10"/>
  <c r="A126" i="10"/>
  <c r="F123" i="10"/>
  <c r="C121" i="10"/>
  <c r="B119" i="10"/>
  <c r="G116" i="10"/>
  <c r="D114" i="10"/>
  <c r="C112" i="10"/>
  <c r="A110" i="10"/>
  <c r="E107" i="10"/>
  <c r="D105" i="10"/>
  <c r="B103" i="10"/>
  <c r="F100" i="10"/>
  <c r="G321" i="10"/>
  <c r="C316" i="10"/>
  <c r="B310" i="10"/>
  <c r="D304" i="10"/>
  <c r="G298" i="10"/>
  <c r="E292" i="10"/>
  <c r="A287" i="10"/>
  <c r="F280" i="10"/>
  <c r="B275" i="10"/>
  <c r="A269" i="10"/>
  <c r="C263" i="10"/>
  <c r="F257" i="10"/>
  <c r="D251" i="10"/>
  <c r="G245" i="10"/>
  <c r="E239" i="10"/>
  <c r="F234" i="10"/>
  <c r="A231" i="10"/>
  <c r="D227" i="10"/>
  <c r="B224" i="10"/>
  <c r="E220" i="10"/>
  <c r="D217" i="10"/>
  <c r="B214" i="10"/>
  <c r="D211" i="10"/>
  <c r="B208" i="10"/>
  <c r="B205" i="10"/>
  <c r="G201" i="10"/>
  <c r="G198" i="10"/>
  <c r="F195" i="10"/>
  <c r="G192" i="10"/>
  <c r="F189" i="10"/>
  <c r="A187" i="10"/>
  <c r="B184" i="10"/>
  <c r="D181" i="10"/>
  <c r="D178" i="10"/>
  <c r="A176" i="10"/>
  <c r="F173" i="10"/>
  <c r="B171" i="10"/>
  <c r="A169" i="10"/>
  <c r="G166" i="10"/>
  <c r="C164" i="10"/>
  <c r="B162" i="10"/>
  <c r="A160" i="10"/>
  <c r="D157" i="10"/>
  <c r="C155" i="10"/>
  <c r="B153" i="10"/>
  <c r="E150" i="10"/>
  <c r="D148" i="10"/>
  <c r="C146" i="10"/>
  <c r="F143" i="10"/>
  <c r="E141" i="10"/>
  <c r="D139" i="10"/>
  <c r="G136" i="10"/>
  <c r="F134" i="10"/>
  <c r="E132" i="10"/>
  <c r="A130" i="10"/>
  <c r="G127" i="10"/>
  <c r="F125" i="10"/>
  <c r="B123" i="10"/>
  <c r="A121" i="10"/>
  <c r="G118" i="10"/>
  <c r="C116" i="10"/>
  <c r="B114" i="10"/>
  <c r="D6" i="10"/>
  <c r="A12" i="10"/>
  <c r="E16" i="10"/>
  <c r="B21" i="10"/>
  <c r="F26" i="10"/>
  <c r="B31" i="10"/>
  <c r="G36" i="10"/>
  <c r="B41" i="10"/>
  <c r="F45" i="10"/>
  <c r="C51" i="10"/>
  <c r="G55" i="10"/>
  <c r="D61" i="10"/>
  <c r="D66" i="10"/>
  <c r="D71" i="10"/>
  <c r="G77" i="10"/>
  <c r="G82" i="10"/>
  <c r="G88" i="10"/>
  <c r="G93" i="10"/>
  <c r="G98" i="10"/>
  <c r="F105" i="10"/>
  <c r="E112" i="10"/>
  <c r="E121" i="10"/>
  <c r="A131" i="10"/>
  <c r="A140" i="10"/>
  <c r="A149" i="10"/>
  <c r="D158" i="10"/>
  <c r="D167" i="10"/>
  <c r="E176" i="10"/>
  <c r="G187" i="10"/>
  <c r="G199" i="10"/>
  <c r="B212" i="10"/>
  <c r="C225" i="10"/>
  <c r="D242" i="10"/>
  <c r="E265" i="10"/>
  <c r="B289" i="10"/>
  <c r="G312" i="10"/>
  <c r="C2" i="10"/>
  <c r="E6" i="10"/>
  <c r="C12" i="10"/>
  <c r="F16" i="10"/>
  <c r="C22" i="10"/>
  <c r="G26" i="10"/>
  <c r="D31" i="10"/>
  <c r="A37" i="10"/>
  <c r="D41" i="10"/>
  <c r="B47" i="10"/>
  <c r="D51" i="10"/>
  <c r="A56" i="10"/>
  <c r="E61" i="10"/>
  <c r="E66" i="10"/>
  <c r="A73" i="10"/>
  <c r="A78" i="10"/>
  <c r="A83" i="10"/>
  <c r="A89" i="10"/>
  <c r="A94" i="10"/>
  <c r="D100" i="10"/>
  <c r="C107" i="10"/>
  <c r="C114" i="10"/>
  <c r="C123" i="10"/>
  <c r="F132" i="10"/>
  <c r="F141" i="10"/>
  <c r="F150" i="10"/>
  <c r="B160" i="10"/>
  <c r="B169" i="10"/>
  <c r="A179" i="10"/>
  <c r="B190" i="10"/>
  <c r="C202" i="10"/>
  <c r="G214" i="10"/>
  <c r="A228" i="10"/>
  <c r="D246" i="10"/>
  <c r="B270" i="10"/>
  <c r="G293" i="10"/>
  <c r="A317" i="10"/>
  <c r="D2" i="10"/>
  <c r="A8" i="10"/>
  <c r="E12" i="10"/>
  <c r="G16" i="10"/>
  <c r="E22" i="10"/>
  <c r="A27" i="10"/>
  <c r="E32" i="10"/>
  <c r="B37" i="10"/>
  <c r="F41" i="10"/>
  <c r="C47" i="10"/>
  <c r="F51" i="10"/>
  <c r="D57" i="10"/>
  <c r="A62" i="10"/>
  <c r="F66" i="10"/>
  <c r="B73" i="10"/>
  <c r="B78" i="10"/>
  <c r="E84" i="10"/>
  <c r="D89" i="10"/>
  <c r="B94" i="10"/>
  <c r="E100" i="10"/>
  <c r="D107" i="10"/>
  <c r="E114" i="10"/>
  <c r="A124" i="10"/>
  <c r="A133" i="10"/>
  <c r="A142" i="10"/>
  <c r="D151" i="10"/>
  <c r="D160" i="10"/>
  <c r="D169" i="10"/>
  <c r="D179" i="10"/>
  <c r="E190" i="10"/>
  <c r="A203" i="10"/>
  <c r="C215" i="10"/>
  <c r="F228" i="10"/>
  <c r="G247" i="10"/>
  <c r="E271" i="10"/>
  <c r="F294" i="10"/>
  <c r="C318" i="10"/>
  <c r="E2" i="10"/>
  <c r="B8" i="10"/>
  <c r="F12" i="10"/>
  <c r="C18" i="10"/>
  <c r="G22" i="10"/>
  <c r="B27" i="10"/>
  <c r="G32" i="10"/>
  <c r="C37" i="10"/>
  <c r="G42" i="10"/>
  <c r="D47" i="10"/>
  <c r="A52" i="10"/>
  <c r="E57" i="10"/>
  <c r="C62" i="10"/>
  <c r="C68" i="10"/>
  <c r="C73" i="10"/>
  <c r="C78" i="10"/>
  <c r="F84" i="10"/>
  <c r="F89" i="10"/>
  <c r="F95" i="10"/>
  <c r="G100" i="10"/>
  <c r="F107" i="10"/>
  <c r="F114" i="10"/>
  <c r="B124" i="10"/>
  <c r="B133" i="10"/>
  <c r="B142" i="10"/>
  <c r="E151" i="10"/>
  <c r="E160" i="10"/>
  <c r="E169" i="10"/>
  <c r="E179" i="10"/>
  <c r="G190" i="10"/>
  <c r="B203" i="10"/>
  <c r="D215" i="10"/>
  <c r="G228" i="10"/>
  <c r="A248" i="10"/>
  <c r="F271" i="10"/>
  <c r="D295" i="10"/>
  <c r="D318" i="10"/>
  <c r="A4" i="10"/>
  <c r="C8" i="10"/>
  <c r="G12" i="10"/>
  <c r="D18" i="10"/>
  <c r="A23" i="10"/>
  <c r="E28" i="10"/>
  <c r="B33" i="10"/>
  <c r="D37" i="10"/>
  <c r="B43" i="10"/>
  <c r="E47" i="10"/>
  <c r="B53" i="10"/>
  <c r="F57" i="10"/>
  <c r="D62" i="10"/>
  <c r="D68" i="10"/>
  <c r="D73" i="10"/>
  <c r="G79" i="10"/>
  <c r="G84" i="10"/>
  <c r="G89" i="10"/>
  <c r="G95" i="10"/>
  <c r="A101" i="10"/>
  <c r="G107" i="10"/>
  <c r="D116" i="10"/>
  <c r="G125" i="10"/>
  <c r="G134" i="10"/>
  <c r="G143" i="10"/>
  <c r="C153" i="10"/>
  <c r="C162" i="10"/>
  <c r="C171" i="10"/>
  <c r="E181" i="10"/>
  <c r="A193" i="10"/>
  <c r="C205" i="10"/>
  <c r="E217" i="10"/>
  <c r="C231" i="10"/>
  <c r="F252" i="10"/>
  <c r="G275" i="10"/>
  <c r="D299" i="10"/>
  <c r="B323" i="10"/>
  <c r="B4" i="10"/>
  <c r="D8" i="10"/>
  <c r="C14" i="10"/>
  <c r="E18" i="10"/>
  <c r="B23" i="10"/>
  <c r="F28" i="10"/>
  <c r="C33" i="10"/>
  <c r="G38" i="10"/>
  <c r="D43" i="10"/>
  <c r="F47" i="10"/>
  <c r="D53" i="10"/>
  <c r="G57" i="10"/>
  <c r="A64" i="10"/>
  <c r="G68" i="10"/>
  <c r="E73" i="10"/>
  <c r="A80" i="10"/>
  <c r="A85" i="10"/>
  <c r="D91" i="10"/>
  <c r="C96" i="10"/>
  <c r="E102" i="10"/>
  <c r="D109" i="10"/>
  <c r="B117" i="10"/>
  <c r="B126" i="10"/>
  <c r="B135" i="10"/>
  <c r="E144" i="10"/>
  <c r="E153" i="10"/>
  <c r="E162" i="10"/>
  <c r="A172" i="10"/>
  <c r="A182" i="10"/>
  <c r="D193" i="10"/>
  <c r="F205" i="10"/>
  <c r="C218" i="10"/>
  <c r="B232" i="10"/>
  <c r="E253" i="10"/>
  <c r="B277" i="10"/>
  <c r="G300" i="10"/>
  <c r="C4" i="10"/>
  <c r="E8" i="10"/>
  <c r="D14" i="10"/>
  <c r="F18" i="10"/>
  <c r="E24" i="10"/>
  <c r="G28" i="10"/>
  <c r="D33" i="10"/>
  <c r="A39" i="10"/>
  <c r="E43" i="10"/>
  <c r="B49" i="10"/>
  <c r="F53" i="10"/>
  <c r="A58" i="10"/>
  <c r="B64" i="10"/>
  <c r="B69" i="10"/>
  <c r="B75" i="10"/>
  <c r="B80" i="10"/>
  <c r="B85" i="10"/>
  <c r="E91" i="10"/>
  <c r="E96" i="10"/>
  <c r="F102" i="10"/>
  <c r="E109" i="10"/>
  <c r="C117" i="10"/>
  <c r="C126" i="10"/>
  <c r="C135" i="10"/>
  <c r="F144" i="10"/>
  <c r="F153" i="10"/>
  <c r="F162" i="10"/>
  <c r="B172" i="10"/>
  <c r="C182" i="10"/>
  <c r="E193" i="10"/>
  <c r="A206" i="10"/>
  <c r="D218" i="10"/>
  <c r="C232" i="10"/>
  <c r="C254" i="10"/>
  <c r="C277" i="10"/>
  <c r="A301" i="10"/>
  <c r="D4" i="10"/>
  <c r="A10" i="10"/>
  <c r="E14" i="10"/>
  <c r="G18" i="10"/>
  <c r="F24" i="10"/>
  <c r="A29" i="10"/>
  <c r="G34" i="10"/>
  <c r="B39" i="10"/>
  <c r="F43" i="10"/>
  <c r="C49" i="10"/>
  <c r="G53" i="10"/>
  <c r="D59" i="10"/>
  <c r="C64" i="10"/>
  <c r="C69" i="10"/>
  <c r="C75" i="10"/>
  <c r="C80" i="10"/>
  <c r="F86" i="10"/>
  <c r="F91" i="10"/>
  <c r="F96" i="10"/>
  <c r="D103" i="10"/>
  <c r="C110" i="10"/>
  <c r="A119" i="10"/>
  <c r="A128" i="10"/>
  <c r="A137" i="10"/>
  <c r="D146" i="10"/>
  <c r="D155" i="10"/>
  <c r="D164" i="10"/>
  <c r="G173" i="10"/>
  <c r="E184" i="10"/>
  <c r="C196" i="10"/>
  <c r="E208" i="10"/>
  <c r="B221" i="10"/>
  <c r="F235" i="10"/>
  <c r="C258" i="10"/>
  <c r="A282" i="10"/>
  <c r="F305" i="10"/>
  <c r="E4" i="10"/>
  <c r="B10" i="10"/>
  <c r="F14" i="10"/>
  <c r="C20" i="10"/>
  <c r="G24" i="10"/>
  <c r="B29" i="10"/>
  <c r="A35" i="10"/>
  <c r="C39" i="10"/>
  <c r="B45" i="10"/>
  <c r="D49" i="10"/>
  <c r="A54" i="10"/>
  <c r="E59" i="10"/>
  <c r="D64" i="10"/>
  <c r="G70" i="10"/>
  <c r="F75" i="10"/>
  <c r="D80" i="10"/>
  <c r="G86" i="10"/>
  <c r="G91" i="10"/>
  <c r="C98" i="10"/>
  <c r="E103" i="10"/>
  <c r="D110" i="10"/>
  <c r="C119" i="10"/>
  <c r="C128" i="10"/>
  <c r="F137" i="10"/>
  <c r="F146" i="10"/>
  <c r="F155" i="10"/>
  <c r="B165" i="10"/>
  <c r="B174" i="10"/>
  <c r="A185" i="10"/>
  <c r="F196" i="10"/>
  <c r="A209" i="10"/>
  <c r="G221" i="10"/>
  <c r="B236" i="10"/>
  <c r="F259" i="10"/>
  <c r="D283" i="10"/>
  <c r="D306" i="10"/>
  <c r="AC325" i="10"/>
  <c r="Y325" i="10"/>
  <c r="AA325" i="10"/>
  <c r="AD325" i="10"/>
  <c r="AF325" i="10"/>
  <c r="AG325" i="10"/>
  <c r="AH325" i="10"/>
  <c r="W325" i="10"/>
  <c r="X325" i="10"/>
  <c r="Z325" i="10"/>
  <c r="AE325" i="10"/>
  <c r="L5" i="13"/>
  <c r="L11" i="13"/>
  <c r="L17" i="13"/>
  <c r="L23" i="13"/>
  <c r="L29" i="13"/>
  <c r="L35" i="13"/>
  <c r="A3" i="12"/>
  <c r="A9" i="12"/>
  <c r="A15" i="12"/>
  <c r="A21" i="12"/>
  <c r="A27" i="12"/>
  <c r="M5" i="13"/>
  <c r="M11" i="13"/>
  <c r="M17" i="13"/>
  <c r="M23" i="13"/>
  <c r="M29" i="13"/>
  <c r="M35" i="13"/>
  <c r="B3" i="12"/>
  <c r="C3" i="12" s="1"/>
  <c r="B9" i="12"/>
  <c r="B15" i="12"/>
  <c r="B21" i="12"/>
  <c r="B27" i="12"/>
  <c r="L6" i="13"/>
  <c r="L12" i="13"/>
  <c r="L18" i="13"/>
  <c r="L24" i="13"/>
  <c r="L30" i="13"/>
  <c r="L36" i="13"/>
  <c r="AF326" i="10"/>
  <c r="A4" i="12"/>
  <c r="A10" i="12"/>
  <c r="A16" i="12"/>
  <c r="A22" i="12"/>
  <c r="A28" i="12"/>
  <c r="M6" i="13"/>
  <c r="M12" i="13"/>
  <c r="M18" i="13"/>
  <c r="M24" i="13"/>
  <c r="M30" i="13"/>
  <c r="M36" i="13"/>
  <c r="B4" i="12"/>
  <c r="C4" i="12" s="1"/>
  <c r="B10" i="12"/>
  <c r="B16" i="12"/>
  <c r="B22" i="12"/>
  <c r="B28" i="12"/>
  <c r="L7" i="13"/>
  <c r="L13" i="13"/>
  <c r="L19" i="13"/>
  <c r="L25" i="13"/>
  <c r="L31" i="13"/>
  <c r="L37" i="13"/>
  <c r="A5" i="12"/>
  <c r="A11" i="12"/>
  <c r="A17" i="12"/>
  <c r="A23" i="12"/>
  <c r="A29" i="12"/>
  <c r="L2" i="13"/>
  <c r="M7" i="13"/>
  <c r="M13" i="13"/>
  <c r="M19" i="13"/>
  <c r="M25" i="13"/>
  <c r="M31" i="13"/>
  <c r="M37" i="13"/>
  <c r="B5" i="12"/>
  <c r="B11" i="12"/>
  <c r="B17" i="12"/>
  <c r="B23" i="12"/>
  <c r="B29" i="12"/>
  <c r="L8" i="13"/>
  <c r="L14" i="13"/>
  <c r="L20" i="13"/>
  <c r="L26" i="13"/>
  <c r="L32" i="13"/>
  <c r="L38" i="13"/>
  <c r="A6" i="12"/>
  <c r="A12" i="12"/>
  <c r="A18" i="12"/>
  <c r="A24" i="12"/>
  <c r="M2" i="13"/>
  <c r="M8" i="13"/>
  <c r="M14" i="13"/>
  <c r="M20" i="13"/>
  <c r="M26" i="13"/>
  <c r="M32" i="13"/>
  <c r="M38" i="13"/>
  <c r="A1" i="12"/>
  <c r="B6" i="12"/>
  <c r="B12" i="12"/>
  <c r="B18" i="12"/>
  <c r="B24" i="12"/>
  <c r="L3" i="13"/>
  <c r="L9" i="13"/>
  <c r="L15" i="13"/>
  <c r="L21" i="13"/>
  <c r="L27" i="13"/>
  <c r="L33" i="13"/>
  <c r="L39" i="13"/>
  <c r="A7" i="12"/>
  <c r="A13" i="12"/>
  <c r="A19" i="12"/>
  <c r="A25" i="12"/>
  <c r="M3" i="13"/>
  <c r="M9" i="13"/>
  <c r="M15" i="13"/>
  <c r="M21" i="13"/>
  <c r="M27" i="13"/>
  <c r="M33" i="13"/>
  <c r="M39" i="13"/>
  <c r="B1" i="12"/>
  <c r="B7" i="12"/>
  <c r="B13" i="12"/>
  <c r="B19" i="12"/>
  <c r="B25" i="12"/>
  <c r="L4" i="13"/>
  <c r="L10" i="13"/>
  <c r="L16" i="13"/>
  <c r="L22" i="13"/>
  <c r="L28" i="13"/>
  <c r="L34" i="13"/>
  <c r="A2" i="12"/>
  <c r="A8" i="12"/>
  <c r="A14" i="12"/>
  <c r="A20" i="12"/>
  <c r="M4" i="13"/>
  <c r="M10" i="13"/>
  <c r="M16" i="13"/>
  <c r="M22" i="13"/>
  <c r="M28" i="13"/>
  <c r="J306" i="10" l="1"/>
  <c r="Q306" i="10"/>
  <c r="N306" i="10"/>
  <c r="U306" i="10"/>
  <c r="K306" i="10"/>
  <c r="I306" i="10"/>
  <c r="T306" i="10"/>
  <c r="AI306" i="10" s="1"/>
  <c r="O306" i="10"/>
  <c r="M306" i="10"/>
  <c r="Z306" i="10" s="1"/>
  <c r="L306" i="10"/>
  <c r="Y306" i="10" s="1"/>
  <c r="S306" i="10"/>
  <c r="AH306" i="10" s="1"/>
  <c r="R306" i="10"/>
  <c r="AG306" i="10" s="1"/>
  <c r="P306" i="10"/>
  <c r="S283" i="10"/>
  <c r="K283" i="10"/>
  <c r="O283" i="10"/>
  <c r="N283" i="10"/>
  <c r="M283" i="10"/>
  <c r="Q283" i="10"/>
  <c r="P283" i="10"/>
  <c r="L283" i="10"/>
  <c r="J283" i="10"/>
  <c r="I283" i="10"/>
  <c r="U283" i="10"/>
  <c r="AC283" i="10" s="1"/>
  <c r="T283" i="10"/>
  <c r="R283" i="10"/>
  <c r="N110" i="10"/>
  <c r="M110" i="10"/>
  <c r="L110" i="10"/>
  <c r="U110" i="10"/>
  <c r="I110" i="10"/>
  <c r="T110" i="10"/>
  <c r="S110" i="10"/>
  <c r="R110" i="10"/>
  <c r="AG110" i="10" s="1"/>
  <c r="O110" i="10"/>
  <c r="AD110" i="10" s="1"/>
  <c r="Q110" i="10"/>
  <c r="AF110" i="10" s="1"/>
  <c r="P110" i="10"/>
  <c r="K110" i="10"/>
  <c r="J110" i="10"/>
  <c r="T80" i="10"/>
  <c r="S80" i="10"/>
  <c r="R80" i="10"/>
  <c r="Q80" i="10"/>
  <c r="AF80" i="10" s="1"/>
  <c r="P80" i="10"/>
  <c r="AE80" i="10" s="1"/>
  <c r="O80" i="10"/>
  <c r="AD80" i="10" s="1"/>
  <c r="M80" i="10"/>
  <c r="Z80" i="10" s="1"/>
  <c r="L80" i="10"/>
  <c r="Y80" i="10" s="1"/>
  <c r="K80" i="10"/>
  <c r="X80" i="10" s="1"/>
  <c r="J80" i="10"/>
  <c r="U80" i="10"/>
  <c r="N80" i="10"/>
  <c r="I80" i="10"/>
  <c r="R64" i="10"/>
  <c r="Q64" i="10"/>
  <c r="P64" i="10"/>
  <c r="AE64" i="10" s="1"/>
  <c r="N64" i="10"/>
  <c r="AA64" i="10" s="1"/>
  <c r="M64" i="10"/>
  <c r="Z64" i="10" s="1"/>
  <c r="L64" i="10"/>
  <c r="Y64" i="10" s="1"/>
  <c r="K64" i="10"/>
  <c r="X64" i="10" s="1"/>
  <c r="S64" i="10"/>
  <c r="AH64" i="10" s="1"/>
  <c r="O64" i="10"/>
  <c r="J64" i="10"/>
  <c r="I64" i="10"/>
  <c r="T64" i="10"/>
  <c r="U64" i="10"/>
  <c r="AC64" i="10" s="1"/>
  <c r="U49" i="10"/>
  <c r="I49" i="10"/>
  <c r="T49" i="10"/>
  <c r="S49" i="10"/>
  <c r="Q49" i="10"/>
  <c r="AF49" i="10" s="1"/>
  <c r="P49" i="10"/>
  <c r="AE49" i="10" s="1"/>
  <c r="O49" i="10"/>
  <c r="AD49" i="10" s="1"/>
  <c r="N49" i="10"/>
  <c r="R49" i="10"/>
  <c r="M49" i="10"/>
  <c r="L49" i="10"/>
  <c r="K49" i="10"/>
  <c r="J49" i="10"/>
  <c r="J164" i="10"/>
  <c r="T164" i="10"/>
  <c r="U164" i="10"/>
  <c r="S164" i="10"/>
  <c r="AH164" i="10" s="1"/>
  <c r="Q164" i="10"/>
  <c r="AF164" i="10" s="1"/>
  <c r="P164" i="10"/>
  <c r="AE164" i="10" s="1"/>
  <c r="O164" i="10"/>
  <c r="N164" i="10"/>
  <c r="M164" i="10"/>
  <c r="R164" i="10"/>
  <c r="L164" i="10"/>
  <c r="K164" i="10"/>
  <c r="I164" i="10"/>
  <c r="S155" i="10"/>
  <c r="O155" i="10"/>
  <c r="AD155" i="10" s="1"/>
  <c r="N155" i="10"/>
  <c r="AA155" i="10" s="1"/>
  <c r="L155" i="10"/>
  <c r="Y155" i="10" s="1"/>
  <c r="K155" i="10"/>
  <c r="X155" i="10" s="1"/>
  <c r="J155" i="10"/>
  <c r="I155" i="10"/>
  <c r="U155" i="10"/>
  <c r="P155" i="10"/>
  <c r="T155" i="10"/>
  <c r="R155" i="10"/>
  <c r="Q155" i="10"/>
  <c r="AF155" i="10" s="1"/>
  <c r="M155" i="10"/>
  <c r="Z155" i="10" s="1"/>
  <c r="O146" i="10"/>
  <c r="AD146" i="10" s="1"/>
  <c r="M146" i="10"/>
  <c r="Z146" i="10" s="1"/>
  <c r="L146" i="10"/>
  <c r="Y146" i="10" s="1"/>
  <c r="K146" i="10"/>
  <c r="X146" i="10" s="1"/>
  <c r="J146" i="10"/>
  <c r="U146" i="10"/>
  <c r="I146" i="10"/>
  <c r="Q146" i="10"/>
  <c r="T146" i="10"/>
  <c r="AI146" i="10" s="1"/>
  <c r="S146" i="10"/>
  <c r="N146" i="10"/>
  <c r="AA146" i="10" s="1"/>
  <c r="R146" i="10"/>
  <c r="AG146" i="10" s="1"/>
  <c r="P146" i="10"/>
  <c r="AE146" i="10" s="1"/>
  <c r="U103" i="10"/>
  <c r="I103" i="10"/>
  <c r="T103" i="10"/>
  <c r="AI103" i="10" s="1"/>
  <c r="S103" i="10"/>
  <c r="P103" i="10"/>
  <c r="O103" i="10"/>
  <c r="N103" i="10"/>
  <c r="J103" i="10"/>
  <c r="R103" i="10"/>
  <c r="Q103" i="10"/>
  <c r="K103" i="10"/>
  <c r="M103" i="10"/>
  <c r="L103" i="10"/>
  <c r="K59" i="10"/>
  <c r="X59" i="10" s="1"/>
  <c r="J59" i="10"/>
  <c r="W59" i="10" s="1"/>
  <c r="U59" i="10"/>
  <c r="I59" i="10"/>
  <c r="S59" i="10"/>
  <c r="R59" i="10"/>
  <c r="Q59" i="10"/>
  <c r="P59" i="10"/>
  <c r="T59" i="10"/>
  <c r="AI59" i="10" s="1"/>
  <c r="N59" i="10"/>
  <c r="AA59" i="10" s="1"/>
  <c r="M59" i="10"/>
  <c r="Z59" i="10" s="1"/>
  <c r="O59" i="10"/>
  <c r="AD59" i="10" s="1"/>
  <c r="L59" i="10"/>
  <c r="Y59" i="10" s="1"/>
  <c r="J4" i="10"/>
  <c r="W4" i="10" s="1"/>
  <c r="U4" i="10"/>
  <c r="I4" i="10"/>
  <c r="T4" i="10"/>
  <c r="S4" i="10"/>
  <c r="Q4" i="10"/>
  <c r="P4" i="10"/>
  <c r="K4" i="10"/>
  <c r="X4" i="10" s="1"/>
  <c r="R4" i="10"/>
  <c r="AG4" i="10" s="1"/>
  <c r="O4" i="10"/>
  <c r="AD4" i="10" s="1"/>
  <c r="N4" i="10"/>
  <c r="AA4" i="10" s="1"/>
  <c r="M4" i="10"/>
  <c r="Z4" i="10" s="1"/>
  <c r="L4" i="10"/>
  <c r="Y4" i="10" s="1"/>
  <c r="L218" i="10"/>
  <c r="K218" i="10"/>
  <c r="J218" i="10"/>
  <c r="T218" i="10"/>
  <c r="U218" i="10"/>
  <c r="S218" i="10"/>
  <c r="R218" i="10"/>
  <c r="AG218" i="10" s="1"/>
  <c r="Q218" i="10"/>
  <c r="P218" i="10"/>
  <c r="AE218" i="10" s="1"/>
  <c r="O218" i="10"/>
  <c r="AD218" i="10" s="1"/>
  <c r="N218" i="10"/>
  <c r="AA218" i="10" s="1"/>
  <c r="M218" i="10"/>
  <c r="Z218" i="10" s="1"/>
  <c r="I218" i="10"/>
  <c r="M33" i="10"/>
  <c r="L33" i="10"/>
  <c r="K33" i="10"/>
  <c r="U33" i="10"/>
  <c r="I33" i="10"/>
  <c r="T33" i="10"/>
  <c r="AI33" i="10" s="1"/>
  <c r="Q33" i="10"/>
  <c r="P33" i="10"/>
  <c r="AE33" i="10" s="1"/>
  <c r="O33" i="10"/>
  <c r="AD33" i="10" s="1"/>
  <c r="N33" i="10"/>
  <c r="AA33" i="10" s="1"/>
  <c r="R33" i="10"/>
  <c r="AG33" i="10" s="1"/>
  <c r="S33" i="10"/>
  <c r="J33" i="10"/>
  <c r="L14" i="10"/>
  <c r="K14" i="10"/>
  <c r="J14" i="10"/>
  <c r="U14" i="10"/>
  <c r="I14" i="10"/>
  <c r="S14" i="10"/>
  <c r="R14" i="10"/>
  <c r="M14" i="10"/>
  <c r="Z14" i="10" s="1"/>
  <c r="T14" i="10"/>
  <c r="AI14" i="10" s="1"/>
  <c r="P14" i="10"/>
  <c r="AE14" i="10" s="1"/>
  <c r="O14" i="10"/>
  <c r="N14" i="10"/>
  <c r="Q14" i="10"/>
  <c r="Q193" i="10"/>
  <c r="O193" i="10"/>
  <c r="L193" i="10"/>
  <c r="K193" i="10"/>
  <c r="X193" i="10" s="1"/>
  <c r="J193" i="10"/>
  <c r="W193" i="10" s="1"/>
  <c r="U193" i="10"/>
  <c r="AC193" i="10" s="1"/>
  <c r="T193" i="10"/>
  <c r="AI193" i="10" s="1"/>
  <c r="S193" i="10"/>
  <c r="AH193" i="10" s="1"/>
  <c r="R193" i="10"/>
  <c r="AG193" i="10" s="1"/>
  <c r="P193" i="10"/>
  <c r="N193" i="10"/>
  <c r="M193" i="10"/>
  <c r="I193" i="10"/>
  <c r="O109" i="10"/>
  <c r="N109" i="10"/>
  <c r="M109" i="10"/>
  <c r="J109" i="10"/>
  <c r="U109" i="10"/>
  <c r="I109" i="10"/>
  <c r="T109" i="10"/>
  <c r="AI109" i="10" s="1"/>
  <c r="S109" i="10"/>
  <c r="AH109" i="10" s="1"/>
  <c r="P109" i="10"/>
  <c r="L109" i="10"/>
  <c r="K109" i="10"/>
  <c r="R109" i="10"/>
  <c r="Q109" i="10"/>
  <c r="U91" i="10"/>
  <c r="I91" i="10"/>
  <c r="T91" i="10"/>
  <c r="S91" i="10"/>
  <c r="P91" i="10"/>
  <c r="AE91" i="10" s="1"/>
  <c r="O91" i="10"/>
  <c r="AD91" i="10" s="1"/>
  <c r="N91" i="10"/>
  <c r="AA91" i="10" s="1"/>
  <c r="R91" i="10"/>
  <c r="Q91" i="10"/>
  <c r="M91" i="10"/>
  <c r="L91" i="10"/>
  <c r="K91" i="10"/>
  <c r="J91" i="10"/>
  <c r="Q53" i="10"/>
  <c r="P53" i="10"/>
  <c r="O53" i="10"/>
  <c r="M53" i="10"/>
  <c r="Z53" i="10" s="1"/>
  <c r="L53" i="10"/>
  <c r="Y53" i="10" s="1"/>
  <c r="K53" i="10"/>
  <c r="X53" i="10" s="1"/>
  <c r="J53" i="10"/>
  <c r="T53" i="10"/>
  <c r="S53" i="10"/>
  <c r="U53" i="10"/>
  <c r="R53" i="10"/>
  <c r="N53" i="10"/>
  <c r="I53" i="10"/>
  <c r="O43" i="10"/>
  <c r="AD43" i="10" s="1"/>
  <c r="N43" i="10"/>
  <c r="AA43" i="10" s="1"/>
  <c r="M43" i="10"/>
  <c r="Z43" i="10" s="1"/>
  <c r="K43" i="10"/>
  <c r="X43" i="10" s="1"/>
  <c r="J43" i="10"/>
  <c r="W43" i="10" s="1"/>
  <c r="U43" i="10"/>
  <c r="I43" i="10"/>
  <c r="T43" i="10"/>
  <c r="S43" i="10"/>
  <c r="R43" i="10"/>
  <c r="Q43" i="10"/>
  <c r="L43" i="10"/>
  <c r="Y43" i="10" s="1"/>
  <c r="P43" i="10"/>
  <c r="AE43" i="10" s="1"/>
  <c r="R8" i="10"/>
  <c r="Q8" i="10"/>
  <c r="AF8" i="10" s="1"/>
  <c r="P8" i="10"/>
  <c r="AE8" i="10" s="1"/>
  <c r="O8" i="10"/>
  <c r="AD8" i="10" s="1"/>
  <c r="M8" i="10"/>
  <c r="L8" i="10"/>
  <c r="S8" i="10"/>
  <c r="U8" i="10"/>
  <c r="T8" i="10"/>
  <c r="N8" i="10"/>
  <c r="K8" i="10"/>
  <c r="J8" i="10"/>
  <c r="I8" i="10"/>
  <c r="Q299" i="10"/>
  <c r="I299" i="10"/>
  <c r="S299" i="10"/>
  <c r="AH299" i="10" s="1"/>
  <c r="M299" i="10"/>
  <c r="K299" i="10"/>
  <c r="J299" i="10"/>
  <c r="N299" i="10"/>
  <c r="L299" i="10"/>
  <c r="T299" i="10"/>
  <c r="R299" i="10"/>
  <c r="P299" i="10"/>
  <c r="O299" i="10"/>
  <c r="U299" i="10"/>
  <c r="T116" i="10"/>
  <c r="AI116" i="10" s="1"/>
  <c r="S116" i="10"/>
  <c r="AH116" i="10" s="1"/>
  <c r="R116" i="10"/>
  <c r="O116" i="10"/>
  <c r="N116" i="10"/>
  <c r="M116" i="10"/>
  <c r="L116" i="10"/>
  <c r="U116" i="10"/>
  <c r="I116" i="10"/>
  <c r="K116" i="10"/>
  <c r="J116" i="10"/>
  <c r="W116" i="10" s="1"/>
  <c r="Q116" i="10"/>
  <c r="AF116" i="10" s="1"/>
  <c r="P116" i="10"/>
  <c r="AE116" i="10" s="1"/>
  <c r="O73" i="10"/>
  <c r="AD73" i="10" s="1"/>
  <c r="N73" i="10"/>
  <c r="M73" i="10"/>
  <c r="R73" i="10"/>
  <c r="Q73" i="10"/>
  <c r="P73" i="10"/>
  <c r="K73" i="10"/>
  <c r="J73" i="10"/>
  <c r="I73" i="10"/>
  <c r="T73" i="10"/>
  <c r="AI73" i="10" s="1"/>
  <c r="U73" i="10"/>
  <c r="AC73" i="10" s="1"/>
  <c r="S73" i="10"/>
  <c r="AH73" i="10" s="1"/>
  <c r="L73" i="10"/>
  <c r="Y73" i="10" s="1"/>
  <c r="N68" i="10"/>
  <c r="M68" i="10"/>
  <c r="L68" i="10"/>
  <c r="J68" i="10"/>
  <c r="U68" i="10"/>
  <c r="I68" i="10"/>
  <c r="T68" i="10"/>
  <c r="AI68" i="10" s="1"/>
  <c r="S68" i="10"/>
  <c r="R68" i="10"/>
  <c r="AG68" i="10" s="1"/>
  <c r="Q68" i="10"/>
  <c r="AF68" i="10" s="1"/>
  <c r="P68" i="10"/>
  <c r="AE68" i="10" s="1"/>
  <c r="K68" i="10"/>
  <c r="X68" i="10" s="1"/>
  <c r="O68" i="10"/>
  <c r="T62" i="10"/>
  <c r="S62" i="10"/>
  <c r="R62" i="10"/>
  <c r="P62" i="10"/>
  <c r="O62" i="10"/>
  <c r="N62" i="10"/>
  <c r="M62" i="10"/>
  <c r="J62" i="10"/>
  <c r="I62" i="10"/>
  <c r="K62" i="10"/>
  <c r="X62" i="10" s="1"/>
  <c r="U62" i="10"/>
  <c r="AC62" i="10" s="1"/>
  <c r="Q62" i="10"/>
  <c r="L62" i="10"/>
  <c r="U37" i="10"/>
  <c r="I37" i="10"/>
  <c r="T37" i="10"/>
  <c r="S37" i="10"/>
  <c r="Q37" i="10"/>
  <c r="AF37" i="10" s="1"/>
  <c r="P37" i="10"/>
  <c r="AE37" i="10" s="1"/>
  <c r="N37" i="10"/>
  <c r="AA37" i="10" s="1"/>
  <c r="R37" i="10"/>
  <c r="AG37" i="10" s="1"/>
  <c r="O37" i="10"/>
  <c r="AD37" i="10" s="1"/>
  <c r="M37" i="10"/>
  <c r="Z37" i="10" s="1"/>
  <c r="L37" i="10"/>
  <c r="J37" i="10"/>
  <c r="K37" i="10"/>
  <c r="T18" i="10"/>
  <c r="S18" i="10"/>
  <c r="R18" i="10"/>
  <c r="Q18" i="10"/>
  <c r="O18" i="10"/>
  <c r="N18" i="10"/>
  <c r="U18" i="10"/>
  <c r="I18" i="10"/>
  <c r="M18" i="10"/>
  <c r="Z18" i="10" s="1"/>
  <c r="L18" i="10"/>
  <c r="K18" i="10"/>
  <c r="J18" i="10"/>
  <c r="P18" i="10"/>
  <c r="J318" i="10"/>
  <c r="R318" i="10"/>
  <c r="O318" i="10"/>
  <c r="I318" i="10"/>
  <c r="S318" i="10"/>
  <c r="AH318" i="10" s="1"/>
  <c r="U318" i="10"/>
  <c r="AC318" i="10" s="1"/>
  <c r="T318" i="10"/>
  <c r="AI318" i="10" s="1"/>
  <c r="Q318" i="10"/>
  <c r="AF318" i="10" s="1"/>
  <c r="M318" i="10"/>
  <c r="P318" i="10"/>
  <c r="K318" i="10"/>
  <c r="N318" i="10"/>
  <c r="L318" i="10"/>
  <c r="U295" i="10"/>
  <c r="I295" i="10"/>
  <c r="Q295" i="10"/>
  <c r="N295" i="10"/>
  <c r="AA295" i="10" s="1"/>
  <c r="T295" i="10"/>
  <c r="AI295" i="10" s="1"/>
  <c r="R295" i="10"/>
  <c r="AG295" i="10" s="1"/>
  <c r="P295" i="10"/>
  <c r="AE295" i="10" s="1"/>
  <c r="O295" i="10"/>
  <c r="M295" i="10"/>
  <c r="L295" i="10"/>
  <c r="S295" i="10"/>
  <c r="K295" i="10"/>
  <c r="J295" i="10"/>
  <c r="O215" i="10"/>
  <c r="AD215" i="10" s="1"/>
  <c r="N215" i="10"/>
  <c r="AA215" i="10" s="1"/>
  <c r="M215" i="10"/>
  <c r="Z215" i="10" s="1"/>
  <c r="R215" i="10"/>
  <c r="AG215" i="10" s="1"/>
  <c r="Q215" i="10"/>
  <c r="AF215" i="10" s="1"/>
  <c r="P215" i="10"/>
  <c r="AE215" i="10" s="1"/>
  <c r="L215" i="10"/>
  <c r="K215" i="10"/>
  <c r="J215" i="10"/>
  <c r="I215" i="10"/>
  <c r="U215" i="10"/>
  <c r="S215" i="10"/>
  <c r="T215" i="10"/>
  <c r="AI215" i="10" s="1"/>
  <c r="K47" i="10"/>
  <c r="J47" i="10"/>
  <c r="U47" i="10"/>
  <c r="I47" i="10"/>
  <c r="S47" i="10"/>
  <c r="AH47" i="10" s="1"/>
  <c r="R47" i="10"/>
  <c r="Q47" i="10"/>
  <c r="P47" i="10"/>
  <c r="L47" i="10"/>
  <c r="M47" i="10"/>
  <c r="N47" i="10"/>
  <c r="T47" i="10"/>
  <c r="O47" i="10"/>
  <c r="S179" i="10"/>
  <c r="AH179" i="10" s="1"/>
  <c r="R179" i="10"/>
  <c r="AG179" i="10" s="1"/>
  <c r="Q179" i="10"/>
  <c r="AF179" i="10" s="1"/>
  <c r="O179" i="10"/>
  <c r="AD179" i="10" s="1"/>
  <c r="N179" i="10"/>
  <c r="L179" i="10"/>
  <c r="U179" i="10"/>
  <c r="T179" i="10"/>
  <c r="M179" i="10"/>
  <c r="K179" i="10"/>
  <c r="J179" i="10"/>
  <c r="I179" i="10"/>
  <c r="P179" i="10"/>
  <c r="AE179" i="10" s="1"/>
  <c r="Q169" i="10"/>
  <c r="AF169" i="10" s="1"/>
  <c r="O169" i="10"/>
  <c r="AD169" i="10" s="1"/>
  <c r="M169" i="10"/>
  <c r="Z169" i="10" s="1"/>
  <c r="R169" i="10"/>
  <c r="P169" i="10"/>
  <c r="L169" i="10"/>
  <c r="K169" i="10"/>
  <c r="J169" i="10"/>
  <c r="I169" i="10"/>
  <c r="S169" i="10"/>
  <c r="AH169" i="10" s="1"/>
  <c r="U169" i="10"/>
  <c r="T169" i="10"/>
  <c r="AI169" i="10" s="1"/>
  <c r="N169" i="10"/>
  <c r="AA169" i="10" s="1"/>
  <c r="N160" i="10"/>
  <c r="AA160" i="10" s="1"/>
  <c r="U160" i="10"/>
  <c r="AC160" i="10" s="1"/>
  <c r="T160" i="10"/>
  <c r="R160" i="10"/>
  <c r="Q160" i="10"/>
  <c r="P160" i="10"/>
  <c r="O160" i="10"/>
  <c r="M160" i="10"/>
  <c r="I160" i="10"/>
  <c r="S160" i="10"/>
  <c r="L160" i="10"/>
  <c r="Y160" i="10" s="1"/>
  <c r="K160" i="10"/>
  <c r="X160" i="10" s="1"/>
  <c r="J160" i="10"/>
  <c r="W160" i="10" s="1"/>
  <c r="J151" i="10"/>
  <c r="T151" i="10"/>
  <c r="S151" i="10"/>
  <c r="R151" i="10"/>
  <c r="Q151" i="10"/>
  <c r="P151" i="10"/>
  <c r="L151" i="10"/>
  <c r="U151" i="10"/>
  <c r="O151" i="10"/>
  <c r="N151" i="10"/>
  <c r="M151" i="10"/>
  <c r="K151" i="10"/>
  <c r="I151" i="10"/>
  <c r="Q107" i="10"/>
  <c r="P107" i="10"/>
  <c r="O107" i="10"/>
  <c r="L107" i="10"/>
  <c r="K107" i="10"/>
  <c r="J107" i="10"/>
  <c r="U107" i="10"/>
  <c r="AC107" i="10" s="1"/>
  <c r="R107" i="10"/>
  <c r="T107" i="10"/>
  <c r="AI107" i="10" s="1"/>
  <c r="S107" i="10"/>
  <c r="AH107" i="10" s="1"/>
  <c r="N107" i="10"/>
  <c r="AA107" i="10" s="1"/>
  <c r="M107" i="10"/>
  <c r="Z107" i="10" s="1"/>
  <c r="I107" i="10"/>
  <c r="K89" i="10"/>
  <c r="J89" i="10"/>
  <c r="U89" i="10"/>
  <c r="I89" i="10"/>
  <c r="R89" i="10"/>
  <c r="Q89" i="10"/>
  <c r="AF89" i="10" s="1"/>
  <c r="P89" i="10"/>
  <c r="T89" i="10"/>
  <c r="AI89" i="10" s="1"/>
  <c r="S89" i="10"/>
  <c r="AH89" i="10" s="1"/>
  <c r="O89" i="10"/>
  <c r="AD89" i="10" s="1"/>
  <c r="N89" i="10"/>
  <c r="AA89" i="10" s="1"/>
  <c r="M89" i="10"/>
  <c r="L89" i="10"/>
  <c r="M57" i="10"/>
  <c r="L57" i="10"/>
  <c r="K57" i="10"/>
  <c r="U57" i="10"/>
  <c r="I57" i="10"/>
  <c r="T57" i="10"/>
  <c r="S57" i="10"/>
  <c r="AH57" i="10" s="1"/>
  <c r="R57" i="10"/>
  <c r="AG57" i="10" s="1"/>
  <c r="Q57" i="10"/>
  <c r="AF57" i="10" s="1"/>
  <c r="P57" i="10"/>
  <c r="AE57" i="10" s="1"/>
  <c r="O57" i="10"/>
  <c r="N57" i="10"/>
  <c r="J57" i="10"/>
  <c r="L2" i="10"/>
  <c r="K2" i="10"/>
  <c r="J2" i="10"/>
  <c r="U2" i="10"/>
  <c r="I2" i="10"/>
  <c r="S2" i="10"/>
  <c r="AH2" i="10" s="1"/>
  <c r="R2" i="10"/>
  <c r="AG2" i="10" s="1"/>
  <c r="M2" i="10"/>
  <c r="Z2" i="10" s="1"/>
  <c r="N2" i="10"/>
  <c r="AA2" i="10" s="1"/>
  <c r="T2" i="10"/>
  <c r="O2" i="10"/>
  <c r="Q2" i="10"/>
  <c r="P2" i="10"/>
  <c r="Q246" i="10"/>
  <c r="P246" i="10"/>
  <c r="O246" i="10"/>
  <c r="AD246" i="10" s="1"/>
  <c r="M246" i="10"/>
  <c r="N246" i="10"/>
  <c r="AA246" i="10" s="1"/>
  <c r="L246" i="10"/>
  <c r="Y246" i="10" s="1"/>
  <c r="K246" i="10"/>
  <c r="X246" i="10" s="1"/>
  <c r="J246" i="10"/>
  <c r="W246" i="10" s="1"/>
  <c r="I246" i="10"/>
  <c r="U246" i="10"/>
  <c r="T246" i="10"/>
  <c r="S246" i="10"/>
  <c r="R246" i="10"/>
  <c r="L100" i="10"/>
  <c r="K100" i="10"/>
  <c r="X100" i="10" s="1"/>
  <c r="J100" i="10"/>
  <c r="S100" i="10"/>
  <c r="AH100" i="10" s="1"/>
  <c r="R100" i="10"/>
  <c r="AG100" i="10" s="1"/>
  <c r="Q100" i="10"/>
  <c r="AF100" i="10" s="1"/>
  <c r="M100" i="10"/>
  <c r="Z100" i="10" s="1"/>
  <c r="U100" i="10"/>
  <c r="T100" i="10"/>
  <c r="P100" i="10"/>
  <c r="O100" i="10"/>
  <c r="N100" i="10"/>
  <c r="I100" i="10"/>
  <c r="S51" i="10"/>
  <c r="R51" i="10"/>
  <c r="Q51" i="10"/>
  <c r="AF51" i="10" s="1"/>
  <c r="O51" i="10"/>
  <c r="AD51" i="10" s="1"/>
  <c r="N51" i="10"/>
  <c r="AA51" i="10" s="1"/>
  <c r="M51" i="10"/>
  <c r="Z51" i="10" s="1"/>
  <c r="L51" i="10"/>
  <c r="U51" i="10"/>
  <c r="T51" i="10"/>
  <c r="K51" i="10"/>
  <c r="J51" i="10"/>
  <c r="P51" i="10"/>
  <c r="I51" i="10"/>
  <c r="Q41" i="10"/>
  <c r="P41" i="10"/>
  <c r="AE41" i="10" s="1"/>
  <c r="O41" i="10"/>
  <c r="AD41" i="10" s="1"/>
  <c r="M41" i="10"/>
  <c r="Z41" i="10" s="1"/>
  <c r="L41" i="10"/>
  <c r="Y41" i="10" s="1"/>
  <c r="K41" i="10"/>
  <c r="J41" i="10"/>
  <c r="R41" i="10"/>
  <c r="N41" i="10"/>
  <c r="I41" i="10"/>
  <c r="S41" i="10"/>
  <c r="U41" i="10"/>
  <c r="AC41" i="10" s="1"/>
  <c r="T41" i="10"/>
  <c r="O31" i="10"/>
  <c r="AD31" i="10" s="1"/>
  <c r="N31" i="10"/>
  <c r="AA31" i="10" s="1"/>
  <c r="M31" i="10"/>
  <c r="Z31" i="10" s="1"/>
  <c r="K31" i="10"/>
  <c r="X31" i="10" s="1"/>
  <c r="L31" i="10"/>
  <c r="J31" i="10"/>
  <c r="I31" i="10"/>
  <c r="U31" i="10"/>
  <c r="P31" i="10"/>
  <c r="AE31" i="10" s="1"/>
  <c r="T31" i="10"/>
  <c r="S31" i="10"/>
  <c r="AH31" i="10" s="1"/>
  <c r="R31" i="10"/>
  <c r="AG31" i="10" s="1"/>
  <c r="Q31" i="10"/>
  <c r="AF31" i="10" s="1"/>
  <c r="U242" i="10"/>
  <c r="I242" i="10"/>
  <c r="T242" i="10"/>
  <c r="AI242" i="10" s="1"/>
  <c r="S242" i="10"/>
  <c r="Q242" i="10"/>
  <c r="R242" i="10"/>
  <c r="P242" i="10"/>
  <c r="O242" i="10"/>
  <c r="N242" i="10"/>
  <c r="M242" i="10"/>
  <c r="L242" i="10"/>
  <c r="K242" i="10"/>
  <c r="J242" i="10"/>
  <c r="S167" i="10"/>
  <c r="Q167" i="10"/>
  <c r="AF167" i="10" s="1"/>
  <c r="O167" i="10"/>
  <c r="T167" i="10"/>
  <c r="R167" i="10"/>
  <c r="N167" i="10"/>
  <c r="M167" i="10"/>
  <c r="L167" i="10"/>
  <c r="K167" i="10"/>
  <c r="J167" i="10"/>
  <c r="U167" i="10"/>
  <c r="P167" i="10"/>
  <c r="I167" i="10"/>
  <c r="P158" i="10"/>
  <c r="AE158" i="10" s="1"/>
  <c r="S158" i="10"/>
  <c r="R158" i="10"/>
  <c r="O158" i="10"/>
  <c r="N158" i="10"/>
  <c r="M158" i="10"/>
  <c r="L158" i="10"/>
  <c r="K158" i="10"/>
  <c r="T158" i="10"/>
  <c r="U158" i="10"/>
  <c r="I158" i="10"/>
  <c r="Q158" i="10"/>
  <c r="AF158" i="10" s="1"/>
  <c r="J158" i="10"/>
  <c r="W158" i="10" s="1"/>
  <c r="K71" i="10"/>
  <c r="J71" i="10"/>
  <c r="U71" i="10"/>
  <c r="I71" i="10"/>
  <c r="S71" i="10"/>
  <c r="R71" i="10"/>
  <c r="Q71" i="10"/>
  <c r="AF71" i="10" s="1"/>
  <c r="P71" i="10"/>
  <c r="AE71" i="10" s="1"/>
  <c r="M71" i="10"/>
  <c r="Z71" i="10" s="1"/>
  <c r="T71" i="10"/>
  <c r="AI71" i="10" s="1"/>
  <c r="O71" i="10"/>
  <c r="AD71" i="10" s="1"/>
  <c r="L71" i="10"/>
  <c r="Y71" i="10" s="1"/>
  <c r="N71" i="10"/>
  <c r="P66" i="10"/>
  <c r="O66" i="10"/>
  <c r="N66" i="10"/>
  <c r="L66" i="10"/>
  <c r="K66" i="10"/>
  <c r="J66" i="10"/>
  <c r="U66" i="10"/>
  <c r="I66" i="10"/>
  <c r="T66" i="10"/>
  <c r="AI66" i="10" s="1"/>
  <c r="S66" i="10"/>
  <c r="AH66" i="10" s="1"/>
  <c r="R66" i="10"/>
  <c r="AG66" i="10" s="1"/>
  <c r="M66" i="10"/>
  <c r="Q66" i="10"/>
  <c r="U61" i="10"/>
  <c r="I61" i="10"/>
  <c r="T61" i="10"/>
  <c r="S61" i="10"/>
  <c r="Q61" i="10"/>
  <c r="AF61" i="10" s="1"/>
  <c r="P61" i="10"/>
  <c r="AE61" i="10" s="1"/>
  <c r="O61" i="10"/>
  <c r="AD61" i="10" s="1"/>
  <c r="N61" i="10"/>
  <c r="AA61" i="10" s="1"/>
  <c r="J61" i="10"/>
  <c r="W61" i="10" s="1"/>
  <c r="K61" i="10"/>
  <c r="X61" i="10" s="1"/>
  <c r="R61" i="10"/>
  <c r="M61" i="10"/>
  <c r="L61" i="10"/>
  <c r="T6" i="10"/>
  <c r="S6" i="10"/>
  <c r="R6" i="10"/>
  <c r="Q6" i="10"/>
  <c r="O6" i="10"/>
  <c r="N6" i="10"/>
  <c r="U6" i="10"/>
  <c r="I6" i="10"/>
  <c r="M6" i="10"/>
  <c r="Z6" i="10" s="1"/>
  <c r="L6" i="10"/>
  <c r="K6" i="10"/>
  <c r="P6" i="10"/>
  <c r="J6" i="10"/>
  <c r="J139" i="10"/>
  <c r="T139" i="10"/>
  <c r="S139" i="10"/>
  <c r="AH139" i="10" s="1"/>
  <c r="U139" i="10"/>
  <c r="R139" i="10"/>
  <c r="AG139" i="10" s="1"/>
  <c r="Q139" i="10"/>
  <c r="AF139" i="10" s="1"/>
  <c r="P139" i="10"/>
  <c r="AE139" i="10" s="1"/>
  <c r="O139" i="10"/>
  <c r="AD139" i="10" s="1"/>
  <c r="N139" i="10"/>
  <c r="M139" i="10"/>
  <c r="L139" i="10"/>
  <c r="K139" i="10"/>
  <c r="I139" i="10"/>
  <c r="M148" i="10"/>
  <c r="K148" i="10"/>
  <c r="J148" i="10"/>
  <c r="U148" i="10"/>
  <c r="I148" i="10"/>
  <c r="T148" i="10"/>
  <c r="AI148" i="10" s="1"/>
  <c r="S148" i="10"/>
  <c r="AH148" i="10" s="1"/>
  <c r="O148" i="10"/>
  <c r="Q148" i="10"/>
  <c r="P148" i="10"/>
  <c r="N148" i="10"/>
  <c r="L148" i="10"/>
  <c r="R148" i="10"/>
  <c r="Q157" i="10"/>
  <c r="R157" i="10"/>
  <c r="P157" i="10"/>
  <c r="AE157" i="10" s="1"/>
  <c r="N157" i="10"/>
  <c r="AA157" i="10" s="1"/>
  <c r="M157" i="10"/>
  <c r="Z157" i="10" s="1"/>
  <c r="L157" i="10"/>
  <c r="Y157" i="10" s="1"/>
  <c r="K157" i="10"/>
  <c r="J157" i="10"/>
  <c r="S157" i="10"/>
  <c r="U157" i="10"/>
  <c r="T157" i="10"/>
  <c r="O157" i="10"/>
  <c r="I157" i="10"/>
  <c r="T178" i="10"/>
  <c r="S178" i="10"/>
  <c r="AH178" i="10" s="1"/>
  <c r="R178" i="10"/>
  <c r="AG178" i="10" s="1"/>
  <c r="P178" i="10"/>
  <c r="AE178" i="10" s="1"/>
  <c r="O178" i="10"/>
  <c r="AD178" i="10" s="1"/>
  <c r="M178" i="10"/>
  <c r="U178" i="10"/>
  <c r="N178" i="10"/>
  <c r="L178" i="10"/>
  <c r="K178" i="10"/>
  <c r="J178" i="10"/>
  <c r="I178" i="10"/>
  <c r="Q178" i="10"/>
  <c r="Q181" i="10"/>
  <c r="AF181" i="10" s="1"/>
  <c r="R181" i="10"/>
  <c r="AG181" i="10" s="1"/>
  <c r="P181" i="10"/>
  <c r="AE181" i="10" s="1"/>
  <c r="O181" i="10"/>
  <c r="AD181" i="10" s="1"/>
  <c r="M181" i="10"/>
  <c r="L181" i="10"/>
  <c r="K181" i="10"/>
  <c r="J181" i="10"/>
  <c r="U181" i="10"/>
  <c r="T181" i="10"/>
  <c r="N181" i="10"/>
  <c r="I181" i="10"/>
  <c r="S181" i="10"/>
  <c r="AH181" i="10" s="1"/>
  <c r="S211" i="10"/>
  <c r="AH211" i="10" s="1"/>
  <c r="R211" i="10"/>
  <c r="AG211" i="10" s="1"/>
  <c r="Q211" i="10"/>
  <c r="AF211" i="10" s="1"/>
  <c r="U211" i="10"/>
  <c r="T211" i="10"/>
  <c r="P211" i="10"/>
  <c r="O211" i="10"/>
  <c r="N211" i="10"/>
  <c r="M211" i="10"/>
  <c r="K211" i="10"/>
  <c r="J211" i="10"/>
  <c r="I211" i="10"/>
  <c r="L211" i="10"/>
  <c r="Y211" i="10" s="1"/>
  <c r="M217" i="10"/>
  <c r="Z217" i="10" s="1"/>
  <c r="L217" i="10"/>
  <c r="Y217" i="10" s="1"/>
  <c r="K217" i="10"/>
  <c r="P217" i="10"/>
  <c r="O217" i="10"/>
  <c r="N217" i="10"/>
  <c r="J217" i="10"/>
  <c r="I217" i="10"/>
  <c r="R217" i="10"/>
  <c r="AG217" i="10" s="1"/>
  <c r="Q217" i="10"/>
  <c r="U217" i="10"/>
  <c r="AC217" i="10" s="1"/>
  <c r="T217" i="10"/>
  <c r="AI217" i="10" s="1"/>
  <c r="S217" i="10"/>
  <c r="AH217" i="10" s="1"/>
  <c r="O227" i="10"/>
  <c r="N227" i="10"/>
  <c r="M227" i="10"/>
  <c r="L227" i="10"/>
  <c r="K227" i="10"/>
  <c r="U227" i="10"/>
  <c r="T227" i="10"/>
  <c r="S227" i="10"/>
  <c r="R227" i="10"/>
  <c r="Q227" i="10"/>
  <c r="P227" i="10"/>
  <c r="J227" i="10"/>
  <c r="I227" i="10"/>
  <c r="L251" i="10"/>
  <c r="K251" i="10"/>
  <c r="J251" i="10"/>
  <c r="U251" i="10"/>
  <c r="I251" i="10"/>
  <c r="T251" i="10"/>
  <c r="S251" i="10"/>
  <c r="AH251" i="10" s="1"/>
  <c r="P251" i="10"/>
  <c r="AE251" i="10" s="1"/>
  <c r="O251" i="10"/>
  <c r="AD251" i="10" s="1"/>
  <c r="N251" i="10"/>
  <c r="AA251" i="10" s="1"/>
  <c r="M251" i="10"/>
  <c r="Z251" i="10" s="1"/>
  <c r="R251" i="10"/>
  <c r="AG251" i="10" s="1"/>
  <c r="Q251" i="10"/>
  <c r="L304" i="10"/>
  <c r="O304" i="10"/>
  <c r="K304" i="10"/>
  <c r="S304" i="10"/>
  <c r="R304" i="10"/>
  <c r="U304" i="10"/>
  <c r="P304" i="10"/>
  <c r="N304" i="10"/>
  <c r="M304" i="10"/>
  <c r="J304" i="10"/>
  <c r="I304" i="10"/>
  <c r="T304" i="10"/>
  <c r="Q304" i="10"/>
  <c r="S105" i="10"/>
  <c r="R105" i="10"/>
  <c r="Q105" i="10"/>
  <c r="N105" i="10"/>
  <c r="M105" i="10"/>
  <c r="L105" i="10"/>
  <c r="T105" i="10"/>
  <c r="K105" i="10"/>
  <c r="J105" i="10"/>
  <c r="I105" i="10"/>
  <c r="P105" i="10"/>
  <c r="O105" i="10"/>
  <c r="U105" i="10"/>
  <c r="J114" i="10"/>
  <c r="U114" i="10"/>
  <c r="I114" i="10"/>
  <c r="T114" i="10"/>
  <c r="AI114" i="10" s="1"/>
  <c r="Q114" i="10"/>
  <c r="P114" i="10"/>
  <c r="AE114" i="10" s="1"/>
  <c r="O114" i="10"/>
  <c r="AD114" i="10" s="1"/>
  <c r="N114" i="10"/>
  <c r="AA114" i="10" s="1"/>
  <c r="K114" i="10"/>
  <c r="X114" i="10" s="1"/>
  <c r="S114" i="10"/>
  <c r="R114" i="10"/>
  <c r="M114" i="10"/>
  <c r="L114" i="10"/>
  <c r="L137" i="10"/>
  <c r="J137" i="10"/>
  <c r="U137" i="10"/>
  <c r="AC137" i="10" s="1"/>
  <c r="T137" i="10"/>
  <c r="AI137" i="10" s="1"/>
  <c r="S137" i="10"/>
  <c r="AH137" i="10" s="1"/>
  <c r="R137" i="10"/>
  <c r="AG137" i="10" s="1"/>
  <c r="Q137" i="10"/>
  <c r="AF137" i="10" s="1"/>
  <c r="P137" i="10"/>
  <c r="AE137" i="10" s="1"/>
  <c r="O137" i="10"/>
  <c r="N137" i="10"/>
  <c r="AA137" i="10" s="1"/>
  <c r="I137" i="10"/>
  <c r="M137" i="10"/>
  <c r="Z137" i="10" s="1"/>
  <c r="K137" i="10"/>
  <c r="U153" i="10"/>
  <c r="I153" i="10"/>
  <c r="M153" i="10"/>
  <c r="L153" i="10"/>
  <c r="Y153" i="10" s="1"/>
  <c r="J153" i="10"/>
  <c r="W153" i="10" s="1"/>
  <c r="T153" i="10"/>
  <c r="AI153" i="10" s="1"/>
  <c r="S153" i="10"/>
  <c r="AH153" i="10" s="1"/>
  <c r="R153" i="10"/>
  <c r="N153" i="10"/>
  <c r="O153" i="10"/>
  <c r="K153" i="10"/>
  <c r="P153" i="10"/>
  <c r="Q153" i="10"/>
  <c r="L162" i="10"/>
  <c r="J162" i="10"/>
  <c r="N162" i="10"/>
  <c r="M162" i="10"/>
  <c r="I162" i="10"/>
  <c r="U162" i="10"/>
  <c r="AC162" i="10" s="1"/>
  <c r="T162" i="10"/>
  <c r="S162" i="10"/>
  <c r="O162" i="10"/>
  <c r="R162" i="10"/>
  <c r="Q162" i="10"/>
  <c r="P162" i="10"/>
  <c r="K162" i="10"/>
  <c r="T190" i="10"/>
  <c r="AI190" i="10" s="1"/>
  <c r="R190" i="10"/>
  <c r="AG190" i="10" s="1"/>
  <c r="O190" i="10"/>
  <c r="AD190" i="10" s="1"/>
  <c r="N190" i="10"/>
  <c r="AA190" i="10" s="1"/>
  <c r="M190" i="10"/>
  <c r="Z190" i="10" s="1"/>
  <c r="K190" i="10"/>
  <c r="J190" i="10"/>
  <c r="W190" i="10" s="1"/>
  <c r="I190" i="10"/>
  <c r="U190" i="10"/>
  <c r="AC190" i="10" s="1"/>
  <c r="S190" i="10"/>
  <c r="AH190" i="10" s="1"/>
  <c r="Q190" i="10"/>
  <c r="P190" i="10"/>
  <c r="AE190" i="10" s="1"/>
  <c r="L190" i="10"/>
  <c r="Y190" i="10" s="1"/>
  <c r="T259" i="10"/>
  <c r="AI259" i="10" s="1"/>
  <c r="S259" i="10"/>
  <c r="AH259" i="10" s="1"/>
  <c r="R259" i="10"/>
  <c r="AG259" i="10" s="1"/>
  <c r="U259" i="10"/>
  <c r="AC259" i="10" s="1"/>
  <c r="Q259" i="10"/>
  <c r="P259" i="10"/>
  <c r="O259" i="10"/>
  <c r="N259" i="10"/>
  <c r="K259" i="10"/>
  <c r="J259" i="10"/>
  <c r="I259" i="10"/>
  <c r="M259" i="10"/>
  <c r="L259" i="10"/>
  <c r="Y259" i="10" s="1"/>
  <c r="T282" i="10"/>
  <c r="AI282" i="10" s="1"/>
  <c r="L282" i="10"/>
  <c r="Y282" i="10" s="1"/>
  <c r="K282" i="10"/>
  <c r="X282" i="10" s="1"/>
  <c r="J282" i="10"/>
  <c r="I282" i="10"/>
  <c r="U282" i="10"/>
  <c r="S282" i="10"/>
  <c r="R282" i="10"/>
  <c r="Q282" i="10"/>
  <c r="P282" i="10"/>
  <c r="AE282" i="10" s="1"/>
  <c r="O282" i="10"/>
  <c r="AD282" i="10" s="1"/>
  <c r="N282" i="10"/>
  <c r="AA282" i="10" s="1"/>
  <c r="M282" i="10"/>
  <c r="Z282" i="10" s="1"/>
  <c r="Q29" i="10"/>
  <c r="AF29" i="10" s="1"/>
  <c r="P29" i="10"/>
  <c r="AE29" i="10" s="1"/>
  <c r="O29" i="10"/>
  <c r="M29" i="10"/>
  <c r="Z29" i="10" s="1"/>
  <c r="I29" i="10"/>
  <c r="T29" i="10"/>
  <c r="AI29" i="10" s="1"/>
  <c r="S29" i="10"/>
  <c r="AH29" i="10" s="1"/>
  <c r="J29" i="10"/>
  <c r="U29" i="10"/>
  <c r="AC29" i="10" s="1"/>
  <c r="R29" i="10"/>
  <c r="AG29" i="10" s="1"/>
  <c r="N29" i="10"/>
  <c r="AA29" i="10" s="1"/>
  <c r="L29" i="10"/>
  <c r="Y29" i="10" s="1"/>
  <c r="K29" i="10"/>
  <c r="X29" i="10" s="1"/>
  <c r="M69" i="10"/>
  <c r="Z69" i="10" s="1"/>
  <c r="L69" i="10"/>
  <c r="K69" i="10"/>
  <c r="U69" i="10"/>
  <c r="I69" i="10"/>
  <c r="T69" i="10"/>
  <c r="S69" i="10"/>
  <c r="R69" i="10"/>
  <c r="AG69" i="10" s="1"/>
  <c r="J69" i="10"/>
  <c r="W69" i="10" s="1"/>
  <c r="O69" i="10"/>
  <c r="AD69" i="10" s="1"/>
  <c r="N69" i="10"/>
  <c r="AA69" i="10" s="1"/>
  <c r="P69" i="10"/>
  <c r="AE69" i="10" s="1"/>
  <c r="Q69" i="10"/>
  <c r="AF69" i="10" s="1"/>
  <c r="J78" i="10"/>
  <c r="U78" i="10"/>
  <c r="AC78" i="10" s="1"/>
  <c r="I78" i="10"/>
  <c r="T78" i="10"/>
  <c r="AI78" i="10" s="1"/>
  <c r="S78" i="10"/>
  <c r="AH78" i="10" s="1"/>
  <c r="R78" i="10"/>
  <c r="Q78" i="10"/>
  <c r="AF78" i="10" s="1"/>
  <c r="O78" i="10"/>
  <c r="AD78" i="10" s="1"/>
  <c r="N78" i="10"/>
  <c r="AA78" i="10" s="1"/>
  <c r="M78" i="10"/>
  <c r="Z78" i="10" s="1"/>
  <c r="L78" i="10"/>
  <c r="Y78" i="10" s="1"/>
  <c r="P78" i="10"/>
  <c r="AE78" i="10" s="1"/>
  <c r="K78" i="10"/>
  <c r="K101" i="10"/>
  <c r="J101" i="10"/>
  <c r="U101" i="10"/>
  <c r="I101" i="10"/>
  <c r="R101" i="10"/>
  <c r="Q101" i="10"/>
  <c r="AF101" i="10" s="1"/>
  <c r="P101" i="10"/>
  <c r="AE101" i="10" s="1"/>
  <c r="L101" i="10"/>
  <c r="Y101" i="10" s="1"/>
  <c r="T101" i="10"/>
  <c r="AI101" i="10" s="1"/>
  <c r="S101" i="10"/>
  <c r="AH101" i="10" s="1"/>
  <c r="O101" i="10"/>
  <c r="AD101" i="10" s="1"/>
  <c r="N101" i="10"/>
  <c r="M101" i="10"/>
  <c r="S117" i="10"/>
  <c r="R117" i="10"/>
  <c r="AG117" i="10" s="1"/>
  <c r="Q117" i="10"/>
  <c r="O117" i="10"/>
  <c r="N117" i="10"/>
  <c r="AA117" i="10" s="1"/>
  <c r="M117" i="10"/>
  <c r="Z117" i="10" s="1"/>
  <c r="L117" i="10"/>
  <c r="Y117" i="10" s="1"/>
  <c r="K117" i="10"/>
  <c r="X117" i="10" s="1"/>
  <c r="T117" i="10"/>
  <c r="AI117" i="10" s="1"/>
  <c r="U117" i="10"/>
  <c r="AC117" i="10" s="1"/>
  <c r="P117" i="10"/>
  <c r="J117" i="10"/>
  <c r="W117" i="10" s="1"/>
  <c r="I117" i="10"/>
  <c r="K126" i="10"/>
  <c r="T126" i="10"/>
  <c r="S126" i="10"/>
  <c r="R126" i="10"/>
  <c r="AG126" i="10" s="1"/>
  <c r="P126" i="10"/>
  <c r="AE126" i="10" s="1"/>
  <c r="O126" i="10"/>
  <c r="AD126" i="10" s="1"/>
  <c r="N126" i="10"/>
  <c r="AA126" i="10" s="1"/>
  <c r="M126" i="10"/>
  <c r="Z126" i="10" s="1"/>
  <c r="L126" i="10"/>
  <c r="Y126" i="10" s="1"/>
  <c r="U126" i="10"/>
  <c r="I126" i="10"/>
  <c r="Q126" i="10"/>
  <c r="J126" i="10"/>
  <c r="L149" i="10"/>
  <c r="J149" i="10"/>
  <c r="U149" i="10"/>
  <c r="I149" i="10"/>
  <c r="T149" i="10"/>
  <c r="AI149" i="10" s="1"/>
  <c r="S149" i="10"/>
  <c r="AH149" i="10" s="1"/>
  <c r="R149" i="10"/>
  <c r="AG149" i="10" s="1"/>
  <c r="N149" i="10"/>
  <c r="AA149" i="10" s="1"/>
  <c r="Q149" i="10"/>
  <c r="P149" i="10"/>
  <c r="O149" i="10"/>
  <c r="M149" i="10"/>
  <c r="K149" i="10"/>
  <c r="U165" i="10"/>
  <c r="I165" i="10"/>
  <c r="S165" i="10"/>
  <c r="K165" i="10"/>
  <c r="X165" i="10" s="1"/>
  <c r="J165" i="10"/>
  <c r="W165" i="10" s="1"/>
  <c r="T165" i="10"/>
  <c r="AI165" i="10" s="1"/>
  <c r="R165" i="10"/>
  <c r="AG165" i="10" s="1"/>
  <c r="Q165" i="10"/>
  <c r="P165" i="10"/>
  <c r="L165" i="10"/>
  <c r="O165" i="10"/>
  <c r="N165" i="10"/>
  <c r="M165" i="10"/>
  <c r="L174" i="10"/>
  <c r="J174" i="10"/>
  <c r="T174" i="10"/>
  <c r="AI174" i="10" s="1"/>
  <c r="S174" i="10"/>
  <c r="AH174" i="10" s="1"/>
  <c r="Q174" i="10"/>
  <c r="AF174" i="10" s="1"/>
  <c r="R174" i="10"/>
  <c r="AG174" i="10" s="1"/>
  <c r="P174" i="10"/>
  <c r="O174" i="10"/>
  <c r="N174" i="10"/>
  <c r="M174" i="10"/>
  <c r="U174" i="10"/>
  <c r="K174" i="10"/>
  <c r="I174" i="10"/>
  <c r="U209" i="10"/>
  <c r="I209" i="10"/>
  <c r="O209" i="10"/>
  <c r="AD209" i="10" s="1"/>
  <c r="N209" i="10"/>
  <c r="AA209" i="10" s="1"/>
  <c r="M209" i="10"/>
  <c r="Z209" i="10" s="1"/>
  <c r="L209" i="10"/>
  <c r="K209" i="10"/>
  <c r="J209" i="10"/>
  <c r="T209" i="10"/>
  <c r="R209" i="10"/>
  <c r="Q209" i="10"/>
  <c r="P209" i="10"/>
  <c r="S209" i="10"/>
  <c r="M254" i="10"/>
  <c r="Z254" i="10" s="1"/>
  <c r="L254" i="10"/>
  <c r="Y254" i="10" s="1"/>
  <c r="O254" i="10"/>
  <c r="AD254" i="10" s="1"/>
  <c r="N254" i="10"/>
  <c r="AA254" i="10" s="1"/>
  <c r="K254" i="10"/>
  <c r="J254" i="10"/>
  <c r="W254" i="10" s="1"/>
  <c r="I254" i="10"/>
  <c r="S254" i="10"/>
  <c r="AH254" i="10" s="1"/>
  <c r="R254" i="10"/>
  <c r="AG254" i="10" s="1"/>
  <c r="Q254" i="10"/>
  <c r="P254" i="10"/>
  <c r="AE254" i="10" s="1"/>
  <c r="U254" i="10"/>
  <c r="AC254" i="10" s="1"/>
  <c r="T254" i="10"/>
  <c r="AI254" i="10" s="1"/>
  <c r="U307" i="10"/>
  <c r="I307" i="10"/>
  <c r="R307" i="10"/>
  <c r="AG307" i="10" s="1"/>
  <c r="O307" i="10"/>
  <c r="J307" i="10"/>
  <c r="T307" i="10"/>
  <c r="S307" i="10"/>
  <c r="Q307" i="10"/>
  <c r="M307" i="10"/>
  <c r="P307" i="10"/>
  <c r="N307" i="10"/>
  <c r="L307" i="10"/>
  <c r="K307" i="10"/>
  <c r="S19" i="10"/>
  <c r="AH19" i="10" s="1"/>
  <c r="R19" i="10"/>
  <c r="AG19" i="10" s="1"/>
  <c r="Q19" i="10"/>
  <c r="P19" i="10"/>
  <c r="N19" i="10"/>
  <c r="M19" i="10"/>
  <c r="T19" i="10"/>
  <c r="U19" i="10"/>
  <c r="O19" i="10"/>
  <c r="L19" i="10"/>
  <c r="K19" i="10"/>
  <c r="I19" i="10"/>
  <c r="J19" i="10"/>
  <c r="W19" i="10" s="1"/>
  <c r="M21" i="10"/>
  <c r="K21" i="10"/>
  <c r="T21" i="10"/>
  <c r="S21" i="10"/>
  <c r="R21" i="10"/>
  <c r="Q21" i="10"/>
  <c r="O21" i="10"/>
  <c r="N21" i="10"/>
  <c r="U21" i="10"/>
  <c r="P21" i="10"/>
  <c r="L21" i="10"/>
  <c r="J21" i="10"/>
  <c r="I21" i="10"/>
  <c r="K23" i="10"/>
  <c r="U23" i="10"/>
  <c r="AC23" i="10" s="1"/>
  <c r="I23" i="10"/>
  <c r="N23" i="10"/>
  <c r="AA23" i="10" s="1"/>
  <c r="M23" i="10"/>
  <c r="L23" i="10"/>
  <c r="J23" i="10"/>
  <c r="W23" i="10" s="1"/>
  <c r="T23" i="10"/>
  <c r="AI23" i="10" s="1"/>
  <c r="O23" i="10"/>
  <c r="AD23" i="10" s="1"/>
  <c r="Q23" i="10"/>
  <c r="AF23" i="10" s="1"/>
  <c r="P23" i="10"/>
  <c r="AE23" i="10" s="1"/>
  <c r="S23" i="10"/>
  <c r="AH23" i="10" s="1"/>
  <c r="R23" i="10"/>
  <c r="U25" i="10"/>
  <c r="AC25" i="10" s="1"/>
  <c r="I25" i="10"/>
  <c r="S25" i="10"/>
  <c r="AH25" i="10" s="1"/>
  <c r="T25" i="10"/>
  <c r="AI25" i="10" s="1"/>
  <c r="R25" i="10"/>
  <c r="Q25" i="10"/>
  <c r="AF25" i="10" s="1"/>
  <c r="O25" i="10"/>
  <c r="AD25" i="10" s="1"/>
  <c r="N25" i="10"/>
  <c r="AA25" i="10" s="1"/>
  <c r="P25" i="10"/>
  <c r="AE25" i="10" s="1"/>
  <c r="M25" i="10"/>
  <c r="Z25" i="10" s="1"/>
  <c r="J25" i="10"/>
  <c r="W25" i="10" s="1"/>
  <c r="L25" i="10"/>
  <c r="K25" i="10"/>
  <c r="X25" i="10" s="1"/>
  <c r="S27" i="10"/>
  <c r="Q27" i="10"/>
  <c r="N27" i="10"/>
  <c r="M27" i="10"/>
  <c r="L27" i="10"/>
  <c r="K27" i="10"/>
  <c r="I27" i="10"/>
  <c r="O27" i="10"/>
  <c r="AD27" i="10" s="1"/>
  <c r="T27" i="10"/>
  <c r="AI27" i="10" s="1"/>
  <c r="R27" i="10"/>
  <c r="AG27" i="10" s="1"/>
  <c r="P27" i="10"/>
  <c r="J27" i="10"/>
  <c r="U27" i="10"/>
  <c r="O67" i="10"/>
  <c r="N67" i="10"/>
  <c r="M67" i="10"/>
  <c r="K67" i="10"/>
  <c r="J67" i="10"/>
  <c r="U67" i="10"/>
  <c r="I67" i="10"/>
  <c r="T67" i="10"/>
  <c r="AI67" i="10" s="1"/>
  <c r="S67" i="10"/>
  <c r="AH67" i="10" s="1"/>
  <c r="Q67" i="10"/>
  <c r="P67" i="10"/>
  <c r="R67" i="10"/>
  <c r="L67" i="10"/>
  <c r="L76" i="10"/>
  <c r="K76" i="10"/>
  <c r="J76" i="10"/>
  <c r="W76" i="10" s="1"/>
  <c r="U76" i="10"/>
  <c r="AC76" i="10" s="1"/>
  <c r="T76" i="10"/>
  <c r="AI76" i="10" s="1"/>
  <c r="S76" i="10"/>
  <c r="AH76" i="10" s="1"/>
  <c r="Q76" i="10"/>
  <c r="AF76" i="10" s="1"/>
  <c r="P76" i="10"/>
  <c r="AE76" i="10" s="1"/>
  <c r="O76" i="10"/>
  <c r="N76" i="10"/>
  <c r="R76" i="10"/>
  <c r="M76" i="10"/>
  <c r="I76" i="10"/>
  <c r="O85" i="10"/>
  <c r="N85" i="10"/>
  <c r="M85" i="10"/>
  <c r="J85" i="10"/>
  <c r="U85" i="10"/>
  <c r="I85" i="10"/>
  <c r="T85" i="10"/>
  <c r="AI85" i="10" s="1"/>
  <c r="S85" i="10"/>
  <c r="R85" i="10"/>
  <c r="Q85" i="10"/>
  <c r="P85" i="10"/>
  <c r="L85" i="10"/>
  <c r="K85" i="10"/>
  <c r="U115" i="10"/>
  <c r="I115" i="10"/>
  <c r="T115" i="10"/>
  <c r="AI115" i="10" s="1"/>
  <c r="S115" i="10"/>
  <c r="AH115" i="10" s="1"/>
  <c r="P115" i="10"/>
  <c r="AE115" i="10" s="1"/>
  <c r="O115" i="10"/>
  <c r="AD115" i="10" s="1"/>
  <c r="N115" i="10"/>
  <c r="M115" i="10"/>
  <c r="J115" i="10"/>
  <c r="R115" i="10"/>
  <c r="Q115" i="10"/>
  <c r="L115" i="10"/>
  <c r="K115" i="10"/>
  <c r="M124" i="10"/>
  <c r="Z124" i="10" s="1"/>
  <c r="R124" i="10"/>
  <c r="AG124" i="10" s="1"/>
  <c r="Q124" i="10"/>
  <c r="AF124" i="10" s="1"/>
  <c r="P124" i="10"/>
  <c r="AE124" i="10" s="1"/>
  <c r="N124" i="10"/>
  <c r="AA124" i="10" s="1"/>
  <c r="L124" i="10"/>
  <c r="K124" i="10"/>
  <c r="J124" i="10"/>
  <c r="I124" i="10"/>
  <c r="S124" i="10"/>
  <c r="O124" i="10"/>
  <c r="U124" i="10"/>
  <c r="AC124" i="10" s="1"/>
  <c r="T124" i="10"/>
  <c r="AI124" i="10" s="1"/>
  <c r="P133" i="10"/>
  <c r="AE133" i="10" s="1"/>
  <c r="N133" i="10"/>
  <c r="AA133" i="10" s="1"/>
  <c r="U133" i="10"/>
  <c r="AC133" i="10" s="1"/>
  <c r="T133" i="10"/>
  <c r="AI133" i="10" s="1"/>
  <c r="R133" i="10"/>
  <c r="Q133" i="10"/>
  <c r="O133" i="10"/>
  <c r="M133" i="10"/>
  <c r="L133" i="10"/>
  <c r="I133" i="10"/>
  <c r="S133" i="10"/>
  <c r="AH133" i="10" s="1"/>
  <c r="K133" i="10"/>
  <c r="J133" i="10"/>
  <c r="W133" i="10" s="1"/>
  <c r="K163" i="10"/>
  <c r="U163" i="10"/>
  <c r="I163" i="10"/>
  <c r="Q163" i="10"/>
  <c r="P163" i="10"/>
  <c r="N163" i="10"/>
  <c r="M163" i="10"/>
  <c r="L163" i="10"/>
  <c r="J163" i="10"/>
  <c r="R163" i="10"/>
  <c r="T163" i="10"/>
  <c r="S163" i="10"/>
  <c r="O163" i="10"/>
  <c r="N172" i="10"/>
  <c r="AA172" i="10" s="1"/>
  <c r="L172" i="10"/>
  <c r="Y172" i="10" s="1"/>
  <c r="J172" i="10"/>
  <c r="S172" i="10"/>
  <c r="O172" i="10"/>
  <c r="M172" i="10"/>
  <c r="I172" i="10"/>
  <c r="U172" i="10"/>
  <c r="P172" i="10"/>
  <c r="AE172" i="10" s="1"/>
  <c r="Q172" i="10"/>
  <c r="AF172" i="10" s="1"/>
  <c r="K172" i="10"/>
  <c r="X172" i="10" s="1"/>
  <c r="R172" i="10"/>
  <c r="AG172" i="10" s="1"/>
  <c r="T172" i="10"/>
  <c r="AI172" i="10" s="1"/>
  <c r="U177" i="10"/>
  <c r="AC177" i="10" s="1"/>
  <c r="I177" i="10"/>
  <c r="T177" i="10"/>
  <c r="S177" i="10"/>
  <c r="Q177" i="10"/>
  <c r="P177" i="10"/>
  <c r="N177" i="10"/>
  <c r="O177" i="10"/>
  <c r="AD177" i="10" s="1"/>
  <c r="M177" i="10"/>
  <c r="L177" i="10"/>
  <c r="Y177" i="10" s="1"/>
  <c r="K177" i="10"/>
  <c r="X177" i="10" s="1"/>
  <c r="J177" i="10"/>
  <c r="W177" i="10" s="1"/>
  <c r="R177" i="10"/>
  <c r="AG177" i="10" s="1"/>
  <c r="M197" i="10"/>
  <c r="L197" i="10"/>
  <c r="K197" i="10"/>
  <c r="J197" i="10"/>
  <c r="U197" i="10"/>
  <c r="I197" i="10"/>
  <c r="T197" i="10"/>
  <c r="AI197" i="10" s="1"/>
  <c r="S197" i="10"/>
  <c r="R197" i="10"/>
  <c r="AG197" i="10" s="1"/>
  <c r="N197" i="10"/>
  <c r="AA197" i="10" s="1"/>
  <c r="Q197" i="10"/>
  <c r="AF197" i="10" s="1"/>
  <c r="P197" i="10"/>
  <c r="AE197" i="10" s="1"/>
  <c r="O197" i="10"/>
  <c r="T222" i="10"/>
  <c r="S222" i="10"/>
  <c r="R222" i="10"/>
  <c r="Q222" i="10"/>
  <c r="P222" i="10"/>
  <c r="U222" i="10"/>
  <c r="AC222" i="10" s="1"/>
  <c r="O222" i="10"/>
  <c r="N222" i="10"/>
  <c r="AA222" i="10" s="1"/>
  <c r="L222" i="10"/>
  <c r="Y222" i="10" s="1"/>
  <c r="K222" i="10"/>
  <c r="X222" i="10" s="1"/>
  <c r="J222" i="10"/>
  <c r="W222" i="10" s="1"/>
  <c r="I222" i="10"/>
  <c r="M222" i="10"/>
  <c r="U233" i="10"/>
  <c r="I233" i="10"/>
  <c r="T233" i="10"/>
  <c r="S233" i="10"/>
  <c r="R233" i="10"/>
  <c r="AG233" i="10" s="1"/>
  <c r="Q233" i="10"/>
  <c r="AF233" i="10" s="1"/>
  <c r="P233" i="10"/>
  <c r="AE233" i="10" s="1"/>
  <c r="O233" i="10"/>
  <c r="AD233" i="10" s="1"/>
  <c r="N233" i="10"/>
  <c r="AA233" i="10" s="1"/>
  <c r="M233" i="10"/>
  <c r="Z233" i="10" s="1"/>
  <c r="L233" i="10"/>
  <c r="K233" i="10"/>
  <c r="J233" i="10"/>
  <c r="N237" i="10"/>
  <c r="L237" i="10"/>
  <c r="S237" i="10"/>
  <c r="R237" i="10"/>
  <c r="AG237" i="10" s="1"/>
  <c r="Q237" i="10"/>
  <c r="AF237" i="10" s="1"/>
  <c r="P237" i="10"/>
  <c r="AE237" i="10" s="1"/>
  <c r="O237" i="10"/>
  <c r="AD237" i="10" s="1"/>
  <c r="M237" i="10"/>
  <c r="Z237" i="10" s="1"/>
  <c r="U237" i="10"/>
  <c r="AC237" i="10" s="1"/>
  <c r="T237" i="10"/>
  <c r="K237" i="10"/>
  <c r="J237" i="10"/>
  <c r="I237" i="10"/>
  <c r="O248" i="10"/>
  <c r="N248" i="10"/>
  <c r="M248" i="10"/>
  <c r="Z248" i="10" s="1"/>
  <c r="L248" i="10"/>
  <c r="Y248" i="10" s="1"/>
  <c r="K248" i="10"/>
  <c r="X248" i="10" s="1"/>
  <c r="U248" i="10"/>
  <c r="AC248" i="10" s="1"/>
  <c r="T248" i="10"/>
  <c r="AI248" i="10" s="1"/>
  <c r="S248" i="10"/>
  <c r="AH248" i="10" s="1"/>
  <c r="R248" i="10"/>
  <c r="Q248" i="10"/>
  <c r="P248" i="10"/>
  <c r="J248" i="10"/>
  <c r="I248" i="10"/>
  <c r="T266" i="10"/>
  <c r="O266" i="10"/>
  <c r="AD266" i="10" s="1"/>
  <c r="N266" i="10"/>
  <c r="AA266" i="10" s="1"/>
  <c r="M266" i="10"/>
  <c r="Z266" i="10" s="1"/>
  <c r="K266" i="10"/>
  <c r="X266" i="10" s="1"/>
  <c r="S266" i="10"/>
  <c r="AH266" i="10" s="1"/>
  <c r="R266" i="10"/>
  <c r="AG266" i="10" s="1"/>
  <c r="Q266" i="10"/>
  <c r="P266" i="10"/>
  <c r="L266" i="10"/>
  <c r="J266" i="10"/>
  <c r="I266" i="10"/>
  <c r="U266" i="10"/>
  <c r="U319" i="10"/>
  <c r="I319" i="10"/>
  <c r="S319" i="10"/>
  <c r="AH319" i="10" s="1"/>
  <c r="P319" i="10"/>
  <c r="AE319" i="10" s="1"/>
  <c r="K319" i="10"/>
  <c r="X319" i="10" s="1"/>
  <c r="T319" i="10"/>
  <c r="AI319" i="10" s="1"/>
  <c r="O319" i="10"/>
  <c r="N319" i="10"/>
  <c r="M319" i="10"/>
  <c r="L319" i="10"/>
  <c r="J319" i="10"/>
  <c r="R319" i="10"/>
  <c r="Q319" i="10"/>
  <c r="U17" i="10"/>
  <c r="I17" i="10"/>
  <c r="T17" i="10"/>
  <c r="AI17" i="10" s="1"/>
  <c r="S17" i="10"/>
  <c r="AH17" i="10" s="1"/>
  <c r="R17" i="10"/>
  <c r="AG17" i="10" s="1"/>
  <c r="P17" i="10"/>
  <c r="O17" i="10"/>
  <c r="J17" i="10"/>
  <c r="L17" i="10"/>
  <c r="K17" i="10"/>
  <c r="Q17" i="10"/>
  <c r="N17" i="10"/>
  <c r="M17" i="10"/>
  <c r="T50" i="10"/>
  <c r="AI50" i="10" s="1"/>
  <c r="S50" i="10"/>
  <c r="AH50" i="10" s="1"/>
  <c r="R50" i="10"/>
  <c r="AG50" i="10" s="1"/>
  <c r="P50" i="10"/>
  <c r="AE50" i="10" s="1"/>
  <c r="O50" i="10"/>
  <c r="N50" i="10"/>
  <c r="M50" i="10"/>
  <c r="U50" i="10"/>
  <c r="Q50" i="10"/>
  <c r="L50" i="10"/>
  <c r="J50" i="10"/>
  <c r="I50" i="10"/>
  <c r="K50" i="10"/>
  <c r="X50" i="10" s="1"/>
  <c r="R52" i="10"/>
  <c r="Q52" i="10"/>
  <c r="AF52" i="10" s="1"/>
  <c r="P52" i="10"/>
  <c r="AE52" i="10" s="1"/>
  <c r="N52" i="10"/>
  <c r="M52" i="10"/>
  <c r="L52" i="10"/>
  <c r="K52" i="10"/>
  <c r="U52" i="10"/>
  <c r="S52" i="10"/>
  <c r="O52" i="10"/>
  <c r="T52" i="10"/>
  <c r="J52" i="10"/>
  <c r="I52" i="10"/>
  <c r="P54" i="10"/>
  <c r="AE54" i="10" s="1"/>
  <c r="O54" i="10"/>
  <c r="AD54" i="10" s="1"/>
  <c r="N54" i="10"/>
  <c r="L54" i="10"/>
  <c r="K54" i="10"/>
  <c r="J54" i="10"/>
  <c r="U54" i="10"/>
  <c r="I54" i="10"/>
  <c r="T54" i="10"/>
  <c r="AI54" i="10" s="1"/>
  <c r="S54" i="10"/>
  <c r="Q54" i="10"/>
  <c r="AF54" i="10" s="1"/>
  <c r="M54" i="10"/>
  <c r="Z54" i="10" s="1"/>
  <c r="R54" i="10"/>
  <c r="AG54" i="10" s="1"/>
  <c r="N56" i="10"/>
  <c r="AA56" i="10" s="1"/>
  <c r="M56" i="10"/>
  <c r="L56" i="10"/>
  <c r="J56" i="10"/>
  <c r="U56" i="10"/>
  <c r="I56" i="10"/>
  <c r="T56" i="10"/>
  <c r="S56" i="10"/>
  <c r="AH56" i="10" s="1"/>
  <c r="P56" i="10"/>
  <c r="AE56" i="10" s="1"/>
  <c r="O56" i="10"/>
  <c r="AD56" i="10" s="1"/>
  <c r="K56" i="10"/>
  <c r="X56" i="10" s="1"/>
  <c r="Q56" i="10"/>
  <c r="AF56" i="10" s="1"/>
  <c r="R56" i="10"/>
  <c r="AG56" i="10" s="1"/>
  <c r="N74" i="10"/>
  <c r="M74" i="10"/>
  <c r="L74" i="10"/>
  <c r="U74" i="10"/>
  <c r="S74" i="10"/>
  <c r="R74" i="10"/>
  <c r="Q74" i="10"/>
  <c r="AF74" i="10" s="1"/>
  <c r="P74" i="10"/>
  <c r="J74" i="10"/>
  <c r="W74" i="10" s="1"/>
  <c r="T74" i="10"/>
  <c r="AI74" i="10" s="1"/>
  <c r="O74" i="10"/>
  <c r="AD74" i="10" s="1"/>
  <c r="K74" i="10"/>
  <c r="X74" i="10" s="1"/>
  <c r="I74" i="10"/>
  <c r="Q83" i="10"/>
  <c r="P83" i="10"/>
  <c r="O83" i="10"/>
  <c r="L83" i="10"/>
  <c r="K83" i="10"/>
  <c r="I83" i="10"/>
  <c r="U83" i="10"/>
  <c r="T83" i="10"/>
  <c r="AI83" i="10" s="1"/>
  <c r="S83" i="10"/>
  <c r="AH83" i="10" s="1"/>
  <c r="M83" i="10"/>
  <c r="Z83" i="10" s="1"/>
  <c r="N83" i="10"/>
  <c r="AA83" i="10" s="1"/>
  <c r="J83" i="10"/>
  <c r="R83" i="10"/>
  <c r="T92" i="10"/>
  <c r="S92" i="10"/>
  <c r="R92" i="10"/>
  <c r="O92" i="10"/>
  <c r="N92" i="10"/>
  <c r="AA92" i="10" s="1"/>
  <c r="M92" i="10"/>
  <c r="Z92" i="10" s="1"/>
  <c r="U92" i="10"/>
  <c r="AC92" i="10" s="1"/>
  <c r="Q92" i="10"/>
  <c r="AF92" i="10" s="1"/>
  <c r="P92" i="10"/>
  <c r="AE92" i="10" s="1"/>
  <c r="L92" i="10"/>
  <c r="Y92" i="10" s="1"/>
  <c r="K92" i="10"/>
  <c r="J92" i="10"/>
  <c r="I92" i="10"/>
  <c r="O122" i="10"/>
  <c r="P122" i="10"/>
  <c r="N122" i="10"/>
  <c r="M122" i="10"/>
  <c r="K122" i="10"/>
  <c r="J122" i="10"/>
  <c r="I122" i="10"/>
  <c r="U122" i="10"/>
  <c r="AC122" i="10" s="1"/>
  <c r="T122" i="10"/>
  <c r="AI122" i="10" s="1"/>
  <c r="Q122" i="10"/>
  <c r="L122" i="10"/>
  <c r="R122" i="10"/>
  <c r="S122" i="10"/>
  <c r="R131" i="10"/>
  <c r="P131" i="10"/>
  <c r="N131" i="10"/>
  <c r="M131" i="10"/>
  <c r="L131" i="10"/>
  <c r="J131" i="10"/>
  <c r="I131" i="10"/>
  <c r="U131" i="10"/>
  <c r="AC131" i="10" s="1"/>
  <c r="T131" i="10"/>
  <c r="O131" i="10"/>
  <c r="S131" i="10"/>
  <c r="Q131" i="10"/>
  <c r="K131" i="10"/>
  <c r="U140" i="10"/>
  <c r="I140" i="10"/>
  <c r="S140" i="10"/>
  <c r="R140" i="10"/>
  <c r="AG140" i="10" s="1"/>
  <c r="M140" i="10"/>
  <c r="Z140" i="10" s="1"/>
  <c r="L140" i="10"/>
  <c r="Y140" i="10" s="1"/>
  <c r="K140" i="10"/>
  <c r="X140" i="10" s="1"/>
  <c r="J140" i="10"/>
  <c r="T140" i="10"/>
  <c r="Q140" i="10"/>
  <c r="N140" i="10"/>
  <c r="P140" i="10"/>
  <c r="O140" i="10"/>
  <c r="P170" i="10"/>
  <c r="N170" i="10"/>
  <c r="L170" i="10"/>
  <c r="U170" i="10"/>
  <c r="I170" i="10"/>
  <c r="J170" i="10"/>
  <c r="W170" i="10" s="1"/>
  <c r="T170" i="10"/>
  <c r="S170" i="10"/>
  <c r="R170" i="10"/>
  <c r="K170" i="10"/>
  <c r="M170" i="10"/>
  <c r="O170" i="10"/>
  <c r="Q170" i="10"/>
  <c r="S191" i="10"/>
  <c r="AH191" i="10" s="1"/>
  <c r="Q191" i="10"/>
  <c r="AF191" i="10" s="1"/>
  <c r="T191" i="10"/>
  <c r="AI191" i="10" s="1"/>
  <c r="R191" i="10"/>
  <c r="AG191" i="10" s="1"/>
  <c r="P191" i="10"/>
  <c r="AE191" i="10" s="1"/>
  <c r="N191" i="10"/>
  <c r="M191" i="10"/>
  <c r="L191" i="10"/>
  <c r="K191" i="10"/>
  <c r="I191" i="10"/>
  <c r="U191" i="10"/>
  <c r="O191" i="10"/>
  <c r="AD191" i="10" s="1"/>
  <c r="J191" i="10"/>
  <c r="W191" i="10" s="1"/>
  <c r="K219" i="10"/>
  <c r="J219" i="10"/>
  <c r="U219" i="10"/>
  <c r="I219" i="10"/>
  <c r="T219" i="10"/>
  <c r="S219" i="10"/>
  <c r="Q219" i="10"/>
  <c r="P219" i="10"/>
  <c r="O219" i="10"/>
  <c r="N219" i="10"/>
  <c r="M219" i="10"/>
  <c r="L219" i="10"/>
  <c r="R219" i="10"/>
  <c r="R261" i="10"/>
  <c r="Q261" i="10"/>
  <c r="AF261" i="10" s="1"/>
  <c r="P261" i="10"/>
  <c r="AE261" i="10" s="1"/>
  <c r="T261" i="10"/>
  <c r="S261" i="10"/>
  <c r="O261" i="10"/>
  <c r="N261" i="10"/>
  <c r="M261" i="10"/>
  <c r="L261" i="10"/>
  <c r="K261" i="10"/>
  <c r="U261" i="10"/>
  <c r="J261" i="10"/>
  <c r="I261" i="10"/>
  <c r="T296" i="10"/>
  <c r="AI296" i="10" s="1"/>
  <c r="R296" i="10"/>
  <c r="AG296" i="10" s="1"/>
  <c r="O296" i="10"/>
  <c r="J296" i="10"/>
  <c r="P296" i="10"/>
  <c r="N296" i="10"/>
  <c r="M296" i="10"/>
  <c r="S296" i="10"/>
  <c r="Q296" i="10"/>
  <c r="L296" i="10"/>
  <c r="K296" i="10"/>
  <c r="I296" i="10"/>
  <c r="U296" i="10"/>
  <c r="AC296" i="10" s="1"/>
  <c r="N314" i="10"/>
  <c r="M314" i="10"/>
  <c r="J314" i="10"/>
  <c r="R314" i="10"/>
  <c r="O314" i="10"/>
  <c r="U314" i="10"/>
  <c r="T314" i="10"/>
  <c r="P314" i="10"/>
  <c r="S314" i="10"/>
  <c r="Q314" i="10"/>
  <c r="L314" i="10"/>
  <c r="K314" i="10"/>
  <c r="I314" i="10"/>
  <c r="S7" i="10"/>
  <c r="R7" i="10"/>
  <c r="Q7" i="10"/>
  <c r="P7" i="10"/>
  <c r="N7" i="10"/>
  <c r="M7" i="10"/>
  <c r="T7" i="10"/>
  <c r="U7" i="10"/>
  <c r="O7" i="10"/>
  <c r="L7" i="10"/>
  <c r="I7" i="10"/>
  <c r="J7" i="10"/>
  <c r="W7" i="10" s="1"/>
  <c r="K7" i="10"/>
  <c r="Q9" i="10"/>
  <c r="P9" i="10"/>
  <c r="O9" i="10"/>
  <c r="N9" i="10"/>
  <c r="L9" i="10"/>
  <c r="K9" i="10"/>
  <c r="R9" i="10"/>
  <c r="I9" i="10"/>
  <c r="U9" i="10"/>
  <c r="AC9" i="10" s="1"/>
  <c r="T9" i="10"/>
  <c r="AI9" i="10" s="1"/>
  <c r="S9" i="10"/>
  <c r="AH9" i="10" s="1"/>
  <c r="M9" i="10"/>
  <c r="J9" i="10"/>
  <c r="O11" i="10"/>
  <c r="N11" i="10"/>
  <c r="M11" i="10"/>
  <c r="L11" i="10"/>
  <c r="J11" i="10"/>
  <c r="U11" i="10"/>
  <c r="I11" i="10"/>
  <c r="P11" i="10"/>
  <c r="AE11" i="10" s="1"/>
  <c r="R11" i="10"/>
  <c r="AG11" i="10" s="1"/>
  <c r="Q11" i="10"/>
  <c r="AF11" i="10" s="1"/>
  <c r="K11" i="10"/>
  <c r="T11" i="10"/>
  <c r="S11" i="10"/>
  <c r="M13" i="10"/>
  <c r="L13" i="10"/>
  <c r="K13" i="10"/>
  <c r="J13" i="10"/>
  <c r="W13" i="10" s="1"/>
  <c r="T13" i="10"/>
  <c r="AI13" i="10" s="1"/>
  <c r="S13" i="10"/>
  <c r="AH13" i="10" s="1"/>
  <c r="N13" i="10"/>
  <c r="AA13" i="10" s="1"/>
  <c r="U13" i="10"/>
  <c r="AC13" i="10" s="1"/>
  <c r="R13" i="10"/>
  <c r="AG13" i="10" s="1"/>
  <c r="Q13" i="10"/>
  <c r="O13" i="10"/>
  <c r="I13" i="10"/>
  <c r="P13" i="10"/>
  <c r="K15" i="10"/>
  <c r="J15" i="10"/>
  <c r="U15" i="10"/>
  <c r="I15" i="10"/>
  <c r="T15" i="10"/>
  <c r="AI15" i="10" s="1"/>
  <c r="R15" i="10"/>
  <c r="AG15" i="10" s="1"/>
  <c r="Q15" i="10"/>
  <c r="AF15" i="10" s="1"/>
  <c r="L15" i="10"/>
  <c r="Y15" i="10" s="1"/>
  <c r="S15" i="10"/>
  <c r="P15" i="10"/>
  <c r="O15" i="10"/>
  <c r="M15" i="10"/>
  <c r="N15" i="10"/>
  <c r="Q65" i="10"/>
  <c r="P65" i="10"/>
  <c r="AE65" i="10" s="1"/>
  <c r="O65" i="10"/>
  <c r="AD65" i="10" s="1"/>
  <c r="M65" i="10"/>
  <c r="Z65" i="10" s="1"/>
  <c r="L65" i="10"/>
  <c r="Y65" i="10" s="1"/>
  <c r="K65" i="10"/>
  <c r="X65" i="10" s="1"/>
  <c r="J65" i="10"/>
  <c r="W65" i="10" s="1"/>
  <c r="T65" i="10"/>
  <c r="S65" i="10"/>
  <c r="R65" i="10"/>
  <c r="N65" i="10"/>
  <c r="U65" i="10"/>
  <c r="I65" i="10"/>
  <c r="S81" i="10"/>
  <c r="R81" i="10"/>
  <c r="Q81" i="10"/>
  <c r="J81" i="10"/>
  <c r="I81" i="10"/>
  <c r="U81" i="10"/>
  <c r="AC81" i="10" s="1"/>
  <c r="T81" i="10"/>
  <c r="P81" i="10"/>
  <c r="O81" i="10"/>
  <c r="L81" i="10"/>
  <c r="M81" i="10"/>
  <c r="K81" i="10"/>
  <c r="N81" i="10"/>
  <c r="J90" i="10"/>
  <c r="U90" i="10"/>
  <c r="I90" i="10"/>
  <c r="T90" i="10"/>
  <c r="AI90" i="10" s="1"/>
  <c r="Q90" i="10"/>
  <c r="AF90" i="10" s="1"/>
  <c r="P90" i="10"/>
  <c r="O90" i="10"/>
  <c r="S90" i="10"/>
  <c r="R90" i="10"/>
  <c r="N90" i="10"/>
  <c r="M90" i="10"/>
  <c r="L90" i="10"/>
  <c r="K90" i="10"/>
  <c r="K113" i="10"/>
  <c r="J113" i="10"/>
  <c r="U113" i="10"/>
  <c r="I113" i="10"/>
  <c r="R113" i="10"/>
  <c r="Q113" i="10"/>
  <c r="P113" i="10"/>
  <c r="O113" i="10"/>
  <c r="L113" i="10"/>
  <c r="N113" i="10"/>
  <c r="M113" i="10"/>
  <c r="T113" i="10"/>
  <c r="S113" i="10"/>
  <c r="T129" i="10"/>
  <c r="AI129" i="10" s="1"/>
  <c r="K129" i="10"/>
  <c r="X129" i="10" s="1"/>
  <c r="J129" i="10"/>
  <c r="W129" i="10" s="1"/>
  <c r="I129" i="10"/>
  <c r="S129" i="10"/>
  <c r="R129" i="10"/>
  <c r="Q129" i="10"/>
  <c r="P129" i="10"/>
  <c r="O129" i="10"/>
  <c r="L129" i="10"/>
  <c r="Y129" i="10" s="1"/>
  <c r="U129" i="10"/>
  <c r="N129" i="10"/>
  <c r="AA129" i="10" s="1"/>
  <c r="M129" i="10"/>
  <c r="Z129" i="10" s="1"/>
  <c r="K138" i="10"/>
  <c r="X138" i="10" s="1"/>
  <c r="U138" i="10"/>
  <c r="AC138" i="10" s="1"/>
  <c r="I138" i="10"/>
  <c r="T138" i="10"/>
  <c r="O138" i="10"/>
  <c r="N138" i="10"/>
  <c r="M138" i="10"/>
  <c r="L138" i="10"/>
  <c r="J138" i="10"/>
  <c r="W138" i="10" s="1"/>
  <c r="S138" i="10"/>
  <c r="P138" i="10"/>
  <c r="AE138" i="10" s="1"/>
  <c r="Q138" i="10"/>
  <c r="AF138" i="10" s="1"/>
  <c r="R138" i="10"/>
  <c r="AG138" i="10" s="1"/>
  <c r="M161" i="10"/>
  <c r="Z161" i="10" s="1"/>
  <c r="K161" i="10"/>
  <c r="I161" i="10"/>
  <c r="T161" i="10"/>
  <c r="S161" i="10"/>
  <c r="R161" i="10"/>
  <c r="Q161" i="10"/>
  <c r="P161" i="10"/>
  <c r="AE161" i="10" s="1"/>
  <c r="J161" i="10"/>
  <c r="W161" i="10" s="1"/>
  <c r="L161" i="10"/>
  <c r="Y161" i="10" s="1"/>
  <c r="N161" i="10"/>
  <c r="AA161" i="10" s="1"/>
  <c r="U161" i="10"/>
  <c r="AC161" i="10" s="1"/>
  <c r="O161" i="10"/>
  <c r="AD161" i="10" s="1"/>
  <c r="Q213" i="10"/>
  <c r="P213" i="10"/>
  <c r="O213" i="10"/>
  <c r="T213" i="10"/>
  <c r="S213" i="10"/>
  <c r="R213" i="10"/>
  <c r="N213" i="10"/>
  <c r="AA213" i="10" s="1"/>
  <c r="M213" i="10"/>
  <c r="L213" i="10"/>
  <c r="Y213" i="10" s="1"/>
  <c r="K213" i="10"/>
  <c r="X213" i="10" s="1"/>
  <c r="U213" i="10"/>
  <c r="AC213" i="10" s="1"/>
  <c r="J213" i="10"/>
  <c r="W213" i="10" s="1"/>
  <c r="I213" i="10"/>
  <c r="S244" i="10"/>
  <c r="R244" i="10"/>
  <c r="Q244" i="10"/>
  <c r="O244" i="10"/>
  <c r="K244" i="10"/>
  <c r="J244" i="10"/>
  <c r="I244" i="10"/>
  <c r="U244" i="10"/>
  <c r="AC244" i="10" s="1"/>
  <c r="T244" i="10"/>
  <c r="AI244" i="10" s="1"/>
  <c r="P244" i="10"/>
  <c r="AE244" i="10" s="1"/>
  <c r="N244" i="10"/>
  <c r="AA244" i="10" s="1"/>
  <c r="M244" i="10"/>
  <c r="L244" i="10"/>
  <c r="S297" i="10"/>
  <c r="T297" i="10"/>
  <c r="P297" i="10"/>
  <c r="K297" i="10"/>
  <c r="I297" i="10"/>
  <c r="O297" i="10"/>
  <c r="N297" i="10"/>
  <c r="AA297" i="10" s="1"/>
  <c r="M297" i="10"/>
  <c r="Z297" i="10" s="1"/>
  <c r="L297" i="10"/>
  <c r="Y297" i="10" s="1"/>
  <c r="J297" i="10"/>
  <c r="W297" i="10" s="1"/>
  <c r="U297" i="10"/>
  <c r="R297" i="10"/>
  <c r="Q297" i="10"/>
  <c r="U5" i="10"/>
  <c r="I5" i="10"/>
  <c r="T5" i="10"/>
  <c r="S5" i="10"/>
  <c r="AH5" i="10" s="1"/>
  <c r="R5" i="10"/>
  <c r="AG5" i="10" s="1"/>
  <c r="P5" i="10"/>
  <c r="AE5" i="10" s="1"/>
  <c r="O5" i="10"/>
  <c r="AD5" i="10" s="1"/>
  <c r="J5" i="10"/>
  <c r="W5" i="10" s="1"/>
  <c r="Q5" i="10"/>
  <c r="AF5" i="10" s="1"/>
  <c r="N5" i="10"/>
  <c r="L5" i="10"/>
  <c r="K5" i="10"/>
  <c r="M5" i="10"/>
  <c r="T38" i="10"/>
  <c r="S38" i="10"/>
  <c r="R38" i="10"/>
  <c r="AG38" i="10" s="1"/>
  <c r="P38" i="10"/>
  <c r="O38" i="10"/>
  <c r="AD38" i="10" s="1"/>
  <c r="N38" i="10"/>
  <c r="AA38" i="10" s="1"/>
  <c r="M38" i="10"/>
  <c r="Z38" i="10" s="1"/>
  <c r="U38" i="10"/>
  <c r="AC38" i="10" s="1"/>
  <c r="I38" i="10"/>
  <c r="Q38" i="10"/>
  <c r="L38" i="10"/>
  <c r="K38" i="10"/>
  <c r="J38" i="10"/>
  <c r="R40" i="10"/>
  <c r="Q40" i="10"/>
  <c r="AF40" i="10" s="1"/>
  <c r="P40" i="10"/>
  <c r="AE40" i="10" s="1"/>
  <c r="N40" i="10"/>
  <c r="AA40" i="10" s="1"/>
  <c r="M40" i="10"/>
  <c r="Z40" i="10" s="1"/>
  <c r="L40" i="10"/>
  <c r="Y40" i="10" s="1"/>
  <c r="K40" i="10"/>
  <c r="X40" i="10" s="1"/>
  <c r="J40" i="10"/>
  <c r="I40" i="10"/>
  <c r="O40" i="10"/>
  <c r="T40" i="10"/>
  <c r="S40" i="10"/>
  <c r="U40" i="10"/>
  <c r="P42" i="10"/>
  <c r="AE42" i="10" s="1"/>
  <c r="O42" i="10"/>
  <c r="AD42" i="10" s="1"/>
  <c r="N42" i="10"/>
  <c r="AA42" i="10" s="1"/>
  <c r="L42" i="10"/>
  <c r="Y42" i="10" s="1"/>
  <c r="K42" i="10"/>
  <c r="X42" i="10" s="1"/>
  <c r="J42" i="10"/>
  <c r="W42" i="10" s="1"/>
  <c r="U42" i="10"/>
  <c r="I42" i="10"/>
  <c r="S42" i="10"/>
  <c r="R42" i="10"/>
  <c r="Q42" i="10"/>
  <c r="M42" i="10"/>
  <c r="T42" i="10"/>
  <c r="AI42" i="10" s="1"/>
  <c r="N44" i="10"/>
  <c r="M44" i="10"/>
  <c r="Z44" i="10" s="1"/>
  <c r="L44" i="10"/>
  <c r="Y44" i="10" s="1"/>
  <c r="J44" i="10"/>
  <c r="W44" i="10" s="1"/>
  <c r="U44" i="10"/>
  <c r="AC44" i="10" s="1"/>
  <c r="I44" i="10"/>
  <c r="T44" i="10"/>
  <c r="S44" i="10"/>
  <c r="R44" i="10"/>
  <c r="P44" i="10"/>
  <c r="O44" i="10"/>
  <c r="K44" i="10"/>
  <c r="X44" i="10" s="1"/>
  <c r="Q44" i="10"/>
  <c r="U79" i="10"/>
  <c r="I79" i="10"/>
  <c r="T79" i="10"/>
  <c r="AI79" i="10" s="1"/>
  <c r="S79" i="10"/>
  <c r="AH79" i="10" s="1"/>
  <c r="L79" i="10"/>
  <c r="K79" i="10"/>
  <c r="J79" i="10"/>
  <c r="R79" i="10"/>
  <c r="Q79" i="10"/>
  <c r="N79" i="10"/>
  <c r="O79" i="10"/>
  <c r="M79" i="10"/>
  <c r="P79" i="10"/>
  <c r="L88" i="10"/>
  <c r="K88" i="10"/>
  <c r="X88" i="10" s="1"/>
  <c r="J88" i="10"/>
  <c r="W88" i="10" s="1"/>
  <c r="S88" i="10"/>
  <c r="R88" i="10"/>
  <c r="Q88" i="10"/>
  <c r="U88" i="10"/>
  <c r="T88" i="10"/>
  <c r="P88" i="10"/>
  <c r="O88" i="10"/>
  <c r="N88" i="10"/>
  <c r="M88" i="10"/>
  <c r="I88" i="10"/>
  <c r="O97" i="10"/>
  <c r="AD97" i="10" s="1"/>
  <c r="N97" i="10"/>
  <c r="AA97" i="10" s="1"/>
  <c r="M97" i="10"/>
  <c r="J97" i="10"/>
  <c r="U97" i="10"/>
  <c r="I97" i="10"/>
  <c r="T97" i="10"/>
  <c r="Q97" i="10"/>
  <c r="P97" i="10"/>
  <c r="AE97" i="10" s="1"/>
  <c r="L97" i="10"/>
  <c r="Y97" i="10" s="1"/>
  <c r="K97" i="10"/>
  <c r="X97" i="10" s="1"/>
  <c r="S97" i="10"/>
  <c r="AH97" i="10" s="1"/>
  <c r="R97" i="10"/>
  <c r="AG97" i="10" s="1"/>
  <c r="J127" i="10"/>
  <c r="W127" i="10" s="1"/>
  <c r="U127" i="10"/>
  <c r="T127" i="10"/>
  <c r="S127" i="10"/>
  <c r="Q127" i="10"/>
  <c r="P127" i="10"/>
  <c r="O127" i="10"/>
  <c r="N127" i="10"/>
  <c r="M127" i="10"/>
  <c r="I127" i="10"/>
  <c r="R127" i="10"/>
  <c r="AG127" i="10" s="1"/>
  <c r="L127" i="10"/>
  <c r="Y127" i="10" s="1"/>
  <c r="K127" i="10"/>
  <c r="X127" i="10" s="1"/>
  <c r="M136" i="10"/>
  <c r="K136" i="10"/>
  <c r="S136" i="10"/>
  <c r="R136" i="10"/>
  <c r="Q136" i="10"/>
  <c r="P136" i="10"/>
  <c r="O136" i="10"/>
  <c r="N136" i="10"/>
  <c r="L136" i="10"/>
  <c r="J136" i="10"/>
  <c r="I136" i="10"/>
  <c r="T136" i="10"/>
  <c r="AI136" i="10" s="1"/>
  <c r="U136" i="10"/>
  <c r="P145" i="10"/>
  <c r="N145" i="10"/>
  <c r="M145" i="10"/>
  <c r="L145" i="10"/>
  <c r="K145" i="10"/>
  <c r="J145" i="10"/>
  <c r="W145" i="10" s="1"/>
  <c r="R145" i="10"/>
  <c r="AG145" i="10" s="1"/>
  <c r="U145" i="10"/>
  <c r="AC145" i="10" s="1"/>
  <c r="T145" i="10"/>
  <c r="AI145" i="10" s="1"/>
  <c r="S145" i="10"/>
  <c r="AH145" i="10" s="1"/>
  <c r="Q145" i="10"/>
  <c r="AF145" i="10" s="1"/>
  <c r="O145" i="10"/>
  <c r="I145" i="10"/>
  <c r="O183" i="10"/>
  <c r="T183" i="10"/>
  <c r="S183" i="10"/>
  <c r="R183" i="10"/>
  <c r="P183" i="10"/>
  <c r="AE183" i="10" s="1"/>
  <c r="N183" i="10"/>
  <c r="AA183" i="10" s="1"/>
  <c r="M183" i="10"/>
  <c r="Z183" i="10" s="1"/>
  <c r="L183" i="10"/>
  <c r="Y183" i="10" s="1"/>
  <c r="U183" i="10"/>
  <c r="AC183" i="10" s="1"/>
  <c r="Q183" i="10"/>
  <c r="AF183" i="10" s="1"/>
  <c r="K183" i="10"/>
  <c r="J183" i="10"/>
  <c r="I183" i="10"/>
  <c r="L186" i="10"/>
  <c r="J186" i="10"/>
  <c r="O186" i="10"/>
  <c r="N186" i="10"/>
  <c r="M186" i="10"/>
  <c r="I186" i="10"/>
  <c r="U186" i="10"/>
  <c r="AC186" i="10" s="1"/>
  <c r="T186" i="10"/>
  <c r="AI186" i="10" s="1"/>
  <c r="R186" i="10"/>
  <c r="AG186" i="10" s="1"/>
  <c r="Q186" i="10"/>
  <c r="P186" i="10"/>
  <c r="K186" i="10"/>
  <c r="S186" i="10"/>
  <c r="L230" i="10"/>
  <c r="K230" i="10"/>
  <c r="J230" i="10"/>
  <c r="U230" i="10"/>
  <c r="I230" i="10"/>
  <c r="T230" i="10"/>
  <c r="AI230" i="10" s="1"/>
  <c r="S230" i="10"/>
  <c r="AH230" i="10" s="1"/>
  <c r="R230" i="10"/>
  <c r="AG230" i="10" s="1"/>
  <c r="Q230" i="10"/>
  <c r="P230" i="10"/>
  <c r="O230" i="10"/>
  <c r="N230" i="10"/>
  <c r="M230" i="10"/>
  <c r="R268" i="10"/>
  <c r="Q268" i="10"/>
  <c r="AF268" i="10" s="1"/>
  <c r="P268" i="10"/>
  <c r="O268" i="10"/>
  <c r="AD268" i="10" s="1"/>
  <c r="N268" i="10"/>
  <c r="AA268" i="10" s="1"/>
  <c r="M268" i="10"/>
  <c r="Z268" i="10" s="1"/>
  <c r="J268" i="10"/>
  <c r="W268" i="10" s="1"/>
  <c r="I268" i="10"/>
  <c r="U268" i="10"/>
  <c r="T268" i="10"/>
  <c r="S268" i="10"/>
  <c r="L268" i="10"/>
  <c r="K268" i="10"/>
  <c r="S321" i="10"/>
  <c r="I321" i="10"/>
  <c r="R321" i="10"/>
  <c r="AG321" i="10" s="1"/>
  <c r="M321" i="10"/>
  <c r="Z321" i="10" s="1"/>
  <c r="J321" i="10"/>
  <c r="W321" i="10" s="1"/>
  <c r="U321" i="10"/>
  <c r="AC321" i="10" s="1"/>
  <c r="P321" i="10"/>
  <c r="T321" i="10"/>
  <c r="Q321" i="10"/>
  <c r="O321" i="10"/>
  <c r="N321" i="10"/>
  <c r="L321" i="10"/>
  <c r="K321" i="10"/>
  <c r="K3" i="10"/>
  <c r="J3" i="10"/>
  <c r="U3" i="10"/>
  <c r="I3" i="10"/>
  <c r="T3" i="10"/>
  <c r="AI3" i="10" s="1"/>
  <c r="R3" i="10"/>
  <c r="Q3" i="10"/>
  <c r="L3" i="10"/>
  <c r="O3" i="10"/>
  <c r="N3" i="10"/>
  <c r="M3" i="10"/>
  <c r="S3" i="10"/>
  <c r="P3" i="10"/>
  <c r="N86" i="10"/>
  <c r="AA86" i="10" s="1"/>
  <c r="M86" i="10"/>
  <c r="Z86" i="10" s="1"/>
  <c r="L86" i="10"/>
  <c r="Y86" i="10" s="1"/>
  <c r="U86" i="10"/>
  <c r="AC86" i="10" s="1"/>
  <c r="I86" i="10"/>
  <c r="T86" i="10"/>
  <c r="S86" i="10"/>
  <c r="R86" i="10"/>
  <c r="Q86" i="10"/>
  <c r="P86" i="10"/>
  <c r="O86" i="10"/>
  <c r="AD86" i="10" s="1"/>
  <c r="J86" i="10"/>
  <c r="K86" i="10"/>
  <c r="X86" i="10" s="1"/>
  <c r="Q95" i="10"/>
  <c r="AF95" i="10" s="1"/>
  <c r="P95" i="10"/>
  <c r="AE95" i="10" s="1"/>
  <c r="O95" i="10"/>
  <c r="AD95" i="10" s="1"/>
  <c r="L95" i="10"/>
  <c r="K95" i="10"/>
  <c r="J95" i="10"/>
  <c r="S95" i="10"/>
  <c r="R95" i="10"/>
  <c r="N95" i="10"/>
  <c r="M95" i="10"/>
  <c r="I95" i="10"/>
  <c r="U95" i="10"/>
  <c r="AC95" i="10" s="1"/>
  <c r="T95" i="10"/>
  <c r="AI95" i="10" s="1"/>
  <c r="T104" i="10"/>
  <c r="AI104" i="10" s="1"/>
  <c r="S104" i="10"/>
  <c r="AH104" i="10" s="1"/>
  <c r="R104" i="10"/>
  <c r="O104" i="10"/>
  <c r="N104" i="10"/>
  <c r="M104" i="10"/>
  <c r="U104" i="10"/>
  <c r="I104" i="10"/>
  <c r="J104" i="10"/>
  <c r="W104" i="10" s="1"/>
  <c r="L104" i="10"/>
  <c r="Y104" i="10" s="1"/>
  <c r="K104" i="10"/>
  <c r="X104" i="10" s="1"/>
  <c r="P104" i="10"/>
  <c r="AE104" i="10" s="1"/>
  <c r="Q104" i="10"/>
  <c r="AF104" i="10" s="1"/>
  <c r="O134" i="10"/>
  <c r="AD134" i="10" s="1"/>
  <c r="M134" i="10"/>
  <c r="K134" i="10"/>
  <c r="J134" i="10"/>
  <c r="I134" i="10"/>
  <c r="U134" i="10"/>
  <c r="T134" i="10"/>
  <c r="S134" i="10"/>
  <c r="AH134" i="10" s="1"/>
  <c r="R134" i="10"/>
  <c r="AG134" i="10" s="1"/>
  <c r="Q134" i="10"/>
  <c r="AF134" i="10" s="1"/>
  <c r="L134" i="10"/>
  <c r="Y134" i="10" s="1"/>
  <c r="P134" i="10"/>
  <c r="AE134" i="10" s="1"/>
  <c r="N134" i="10"/>
  <c r="AA134" i="10" s="1"/>
  <c r="R143" i="10"/>
  <c r="P143" i="10"/>
  <c r="O143" i="10"/>
  <c r="N143" i="10"/>
  <c r="M143" i="10"/>
  <c r="L143" i="10"/>
  <c r="U143" i="10"/>
  <c r="T143" i="10"/>
  <c r="S143" i="10"/>
  <c r="Q143" i="10"/>
  <c r="I143" i="10"/>
  <c r="K143" i="10"/>
  <c r="X143" i="10" s="1"/>
  <c r="J143" i="10"/>
  <c r="J152" i="10"/>
  <c r="K152" i="10"/>
  <c r="U152" i="10"/>
  <c r="T152" i="10"/>
  <c r="S152" i="10"/>
  <c r="R152" i="10"/>
  <c r="Q152" i="10"/>
  <c r="M152" i="10"/>
  <c r="P152" i="10"/>
  <c r="O152" i="10"/>
  <c r="I152" i="10"/>
  <c r="N152" i="10"/>
  <c r="L152" i="10"/>
  <c r="U189" i="10"/>
  <c r="I189" i="10"/>
  <c r="S189" i="10"/>
  <c r="L189" i="10"/>
  <c r="K189" i="10"/>
  <c r="X189" i="10" s="1"/>
  <c r="J189" i="10"/>
  <c r="W189" i="10" s="1"/>
  <c r="T189" i="10"/>
  <c r="AI189" i="10" s="1"/>
  <c r="R189" i="10"/>
  <c r="AG189" i="10" s="1"/>
  <c r="Q189" i="10"/>
  <c r="AF189" i="10" s="1"/>
  <c r="P189" i="10"/>
  <c r="AE189" i="10" s="1"/>
  <c r="N189" i="10"/>
  <c r="M189" i="10"/>
  <c r="O189" i="10"/>
  <c r="J280" i="10"/>
  <c r="S280" i="10"/>
  <c r="R280" i="10"/>
  <c r="Q280" i="10"/>
  <c r="AF280" i="10" s="1"/>
  <c r="O280" i="10"/>
  <c r="AD280" i="10" s="1"/>
  <c r="N280" i="10"/>
  <c r="AA280" i="10" s="1"/>
  <c r="M280" i="10"/>
  <c r="Z280" i="10" s="1"/>
  <c r="L280" i="10"/>
  <c r="Y280" i="10" s="1"/>
  <c r="K280" i="10"/>
  <c r="X280" i="10" s="1"/>
  <c r="T280" i="10"/>
  <c r="P280" i="10"/>
  <c r="I280" i="10"/>
  <c r="U280" i="10"/>
  <c r="T26" i="10"/>
  <c r="R26" i="10"/>
  <c r="K26" i="10"/>
  <c r="J26" i="10"/>
  <c r="I26" i="10"/>
  <c r="S26" i="10"/>
  <c r="AH26" i="10" s="1"/>
  <c r="Q26" i="10"/>
  <c r="AF26" i="10" s="1"/>
  <c r="L26" i="10"/>
  <c r="Y26" i="10" s="1"/>
  <c r="M26" i="10"/>
  <c r="U26" i="10"/>
  <c r="P26" i="10"/>
  <c r="O26" i="10"/>
  <c r="N26" i="10"/>
  <c r="R28" i="10"/>
  <c r="P28" i="10"/>
  <c r="AE28" i="10" s="1"/>
  <c r="S28" i="10"/>
  <c r="AH28" i="10" s="1"/>
  <c r="Q28" i="10"/>
  <c r="AF28" i="10" s="1"/>
  <c r="O28" i="10"/>
  <c r="AD28" i="10" s="1"/>
  <c r="N28" i="10"/>
  <c r="AA28" i="10" s="1"/>
  <c r="L28" i="10"/>
  <c r="Y28" i="10" s="1"/>
  <c r="K28" i="10"/>
  <c r="T28" i="10"/>
  <c r="M28" i="10"/>
  <c r="J28" i="10"/>
  <c r="I28" i="10"/>
  <c r="U28" i="10"/>
  <c r="P30" i="10"/>
  <c r="O30" i="10"/>
  <c r="N30" i="10"/>
  <c r="AA30" i="10" s="1"/>
  <c r="L30" i="10"/>
  <c r="Y30" i="10" s="1"/>
  <c r="T30" i="10"/>
  <c r="AI30" i="10" s="1"/>
  <c r="S30" i="10"/>
  <c r="AH30" i="10" s="1"/>
  <c r="R30" i="10"/>
  <c r="Q30" i="10"/>
  <c r="K30" i="10"/>
  <c r="J30" i="10"/>
  <c r="U30" i="10"/>
  <c r="M30" i="10"/>
  <c r="I30" i="10"/>
  <c r="N32" i="10"/>
  <c r="M32" i="10"/>
  <c r="Z32" i="10" s="1"/>
  <c r="L32" i="10"/>
  <c r="Y32" i="10" s="1"/>
  <c r="J32" i="10"/>
  <c r="W32" i="10" s="1"/>
  <c r="U32" i="10"/>
  <c r="AC32" i="10" s="1"/>
  <c r="T32" i="10"/>
  <c r="S32" i="10"/>
  <c r="Q32" i="10"/>
  <c r="P32" i="10"/>
  <c r="O32" i="10"/>
  <c r="K32" i="10"/>
  <c r="I32" i="10"/>
  <c r="R32" i="10"/>
  <c r="K77" i="10"/>
  <c r="J77" i="10"/>
  <c r="U77" i="10"/>
  <c r="I77" i="10"/>
  <c r="N77" i="10"/>
  <c r="M77" i="10"/>
  <c r="L77" i="10"/>
  <c r="T77" i="10"/>
  <c r="S77" i="10"/>
  <c r="P77" i="10"/>
  <c r="Q77" i="10"/>
  <c r="O77" i="10"/>
  <c r="R77" i="10"/>
  <c r="S93" i="10"/>
  <c r="R93" i="10"/>
  <c r="AG93" i="10" s="1"/>
  <c r="Q93" i="10"/>
  <c r="AF93" i="10" s="1"/>
  <c r="N93" i="10"/>
  <c r="M93" i="10"/>
  <c r="L93" i="10"/>
  <c r="U93" i="10"/>
  <c r="T93" i="10"/>
  <c r="P93" i="10"/>
  <c r="O93" i="10"/>
  <c r="K93" i="10"/>
  <c r="J93" i="10"/>
  <c r="I93" i="10"/>
  <c r="J102" i="10"/>
  <c r="W102" i="10" s="1"/>
  <c r="U102" i="10"/>
  <c r="AC102" i="10" s="1"/>
  <c r="I102" i="10"/>
  <c r="T102" i="10"/>
  <c r="Q102" i="10"/>
  <c r="P102" i="10"/>
  <c r="O102" i="10"/>
  <c r="K102" i="10"/>
  <c r="S102" i="10"/>
  <c r="AH102" i="10" s="1"/>
  <c r="R102" i="10"/>
  <c r="AG102" i="10" s="1"/>
  <c r="N102" i="10"/>
  <c r="AA102" i="10" s="1"/>
  <c r="M102" i="10"/>
  <c r="Z102" i="10" s="1"/>
  <c r="L102" i="10"/>
  <c r="Y102" i="10" s="1"/>
  <c r="L125" i="10"/>
  <c r="S125" i="10"/>
  <c r="R125" i="10"/>
  <c r="Q125" i="10"/>
  <c r="O125" i="10"/>
  <c r="N125" i="10"/>
  <c r="M125" i="10"/>
  <c r="K125" i="10"/>
  <c r="J125" i="10"/>
  <c r="T125" i="10"/>
  <c r="U125" i="10"/>
  <c r="P125" i="10"/>
  <c r="I125" i="10"/>
  <c r="T141" i="10"/>
  <c r="R141" i="10"/>
  <c r="Q141" i="10"/>
  <c r="U141" i="10"/>
  <c r="S141" i="10"/>
  <c r="P141" i="10"/>
  <c r="O141" i="10"/>
  <c r="AD141" i="10" s="1"/>
  <c r="N141" i="10"/>
  <c r="AA141" i="10" s="1"/>
  <c r="M141" i="10"/>
  <c r="Z141" i="10" s="1"/>
  <c r="L141" i="10"/>
  <c r="Y141" i="10" s="1"/>
  <c r="K141" i="10"/>
  <c r="X141" i="10" s="1"/>
  <c r="J141" i="10"/>
  <c r="W141" i="10" s="1"/>
  <c r="I141" i="10"/>
  <c r="K150" i="10"/>
  <c r="U150" i="10"/>
  <c r="I150" i="10"/>
  <c r="T150" i="10"/>
  <c r="S150" i="10"/>
  <c r="R150" i="10"/>
  <c r="AG150" i="10" s="1"/>
  <c r="Q150" i="10"/>
  <c r="AF150" i="10" s="1"/>
  <c r="M150" i="10"/>
  <c r="Z150" i="10" s="1"/>
  <c r="P150" i="10"/>
  <c r="AE150" i="10" s="1"/>
  <c r="O150" i="10"/>
  <c r="AD150" i="10" s="1"/>
  <c r="N150" i="10"/>
  <c r="AA150" i="10" s="1"/>
  <c r="L150" i="10"/>
  <c r="J150" i="10"/>
  <c r="M173" i="10"/>
  <c r="K173" i="10"/>
  <c r="U173" i="10"/>
  <c r="I173" i="10"/>
  <c r="T173" i="10"/>
  <c r="AI173" i="10" s="1"/>
  <c r="R173" i="10"/>
  <c r="AG173" i="10" s="1"/>
  <c r="S173" i="10"/>
  <c r="AH173" i="10" s="1"/>
  <c r="Q173" i="10"/>
  <c r="AF173" i="10" s="1"/>
  <c r="P173" i="10"/>
  <c r="AE173" i="10" s="1"/>
  <c r="J173" i="10"/>
  <c r="W173" i="10" s="1"/>
  <c r="O173" i="10"/>
  <c r="N173" i="10"/>
  <c r="L173" i="10"/>
  <c r="O195" i="10"/>
  <c r="M195" i="10"/>
  <c r="T195" i="10"/>
  <c r="S195" i="10"/>
  <c r="AH195" i="10" s="1"/>
  <c r="R195" i="10"/>
  <c r="AG195" i="10" s="1"/>
  <c r="P195" i="10"/>
  <c r="AE195" i="10" s="1"/>
  <c r="N195" i="10"/>
  <c r="AA195" i="10" s="1"/>
  <c r="L195" i="10"/>
  <c r="Y195" i="10" s="1"/>
  <c r="K195" i="10"/>
  <c r="X195" i="10" s="1"/>
  <c r="I195" i="10"/>
  <c r="J195" i="10"/>
  <c r="U195" i="10"/>
  <c r="Q195" i="10"/>
  <c r="J220" i="10"/>
  <c r="U220" i="10"/>
  <c r="I220" i="10"/>
  <c r="T220" i="10"/>
  <c r="S220" i="10"/>
  <c r="AH220" i="10" s="1"/>
  <c r="R220" i="10"/>
  <c r="AG220" i="10" s="1"/>
  <c r="N220" i="10"/>
  <c r="AA220" i="10" s="1"/>
  <c r="M220" i="10"/>
  <c r="Z220" i="10" s="1"/>
  <c r="L220" i="10"/>
  <c r="K220" i="10"/>
  <c r="P220" i="10"/>
  <c r="O220" i="10"/>
  <c r="Q220" i="10"/>
  <c r="Q234" i="10"/>
  <c r="O234" i="10"/>
  <c r="AD234" i="10" s="1"/>
  <c r="U234" i="10"/>
  <c r="AC234" i="10" s="1"/>
  <c r="T234" i="10"/>
  <c r="AI234" i="10" s="1"/>
  <c r="S234" i="10"/>
  <c r="AH234" i="10" s="1"/>
  <c r="R234" i="10"/>
  <c r="AG234" i="10" s="1"/>
  <c r="P234" i="10"/>
  <c r="AE234" i="10" s="1"/>
  <c r="N234" i="10"/>
  <c r="M234" i="10"/>
  <c r="L234" i="10"/>
  <c r="K234" i="10"/>
  <c r="J234" i="10"/>
  <c r="I234" i="10"/>
  <c r="L239" i="10"/>
  <c r="Y239" i="10" s="1"/>
  <c r="K239" i="10"/>
  <c r="X239" i="10" s="1"/>
  <c r="J239" i="10"/>
  <c r="W239" i="10" s="1"/>
  <c r="Q239" i="10"/>
  <c r="AF239" i="10" s="1"/>
  <c r="P239" i="10"/>
  <c r="AE239" i="10" s="1"/>
  <c r="O239" i="10"/>
  <c r="AD239" i="10" s="1"/>
  <c r="N239" i="10"/>
  <c r="M239" i="10"/>
  <c r="I239" i="10"/>
  <c r="U239" i="10"/>
  <c r="T239" i="10"/>
  <c r="S239" i="10"/>
  <c r="R239" i="10"/>
  <c r="AG239" i="10" s="1"/>
  <c r="L292" i="10"/>
  <c r="Y292" i="10" s="1"/>
  <c r="N292" i="10"/>
  <c r="AA292" i="10" s="1"/>
  <c r="J292" i="10"/>
  <c r="W292" i="10" s="1"/>
  <c r="R292" i="10"/>
  <c r="AG292" i="10" s="1"/>
  <c r="K292" i="10"/>
  <c r="X292" i="10" s="1"/>
  <c r="I292" i="10"/>
  <c r="U292" i="10"/>
  <c r="T292" i="10"/>
  <c r="S292" i="10"/>
  <c r="Q292" i="10"/>
  <c r="P292" i="10"/>
  <c r="O292" i="10"/>
  <c r="AD292" i="10" s="1"/>
  <c r="M292" i="10"/>
  <c r="Z292" i="10" s="1"/>
  <c r="M185" i="10"/>
  <c r="K185" i="10"/>
  <c r="J185" i="10"/>
  <c r="I185" i="10"/>
  <c r="T185" i="10"/>
  <c r="S185" i="10"/>
  <c r="R185" i="10"/>
  <c r="Q185" i="10"/>
  <c r="P185" i="10"/>
  <c r="O185" i="10"/>
  <c r="L185" i="10"/>
  <c r="U185" i="10"/>
  <c r="N185" i="10"/>
  <c r="K187" i="10"/>
  <c r="U187" i="10"/>
  <c r="I187" i="10"/>
  <c r="R187" i="10"/>
  <c r="Q187" i="10"/>
  <c r="P187" i="10"/>
  <c r="N187" i="10"/>
  <c r="M187" i="10"/>
  <c r="L187" i="10"/>
  <c r="J187" i="10"/>
  <c r="T187" i="10"/>
  <c r="S187" i="10"/>
  <c r="O187" i="10"/>
  <c r="K199" i="10"/>
  <c r="X199" i="10" s="1"/>
  <c r="J199" i="10"/>
  <c r="W199" i="10" s="1"/>
  <c r="U199" i="10"/>
  <c r="I199" i="10"/>
  <c r="T199" i="10"/>
  <c r="S199" i="10"/>
  <c r="R199" i="10"/>
  <c r="Q199" i="10"/>
  <c r="O199" i="10"/>
  <c r="AD199" i="10" s="1"/>
  <c r="N199" i="10"/>
  <c r="AA199" i="10" s="1"/>
  <c r="M199" i="10"/>
  <c r="Z199" i="10" s="1"/>
  <c r="P199" i="10"/>
  <c r="AE199" i="10" s="1"/>
  <c r="L199" i="10"/>
  <c r="Y199" i="10" s="1"/>
  <c r="U201" i="10"/>
  <c r="AC201" i="10" s="1"/>
  <c r="I201" i="10"/>
  <c r="T201" i="10"/>
  <c r="S201" i="10"/>
  <c r="R201" i="10"/>
  <c r="Q201" i="10"/>
  <c r="P201" i="10"/>
  <c r="O201" i="10"/>
  <c r="AD201" i="10" s="1"/>
  <c r="M201" i="10"/>
  <c r="Z201" i="10" s="1"/>
  <c r="L201" i="10"/>
  <c r="Y201" i="10" s="1"/>
  <c r="K201" i="10"/>
  <c r="X201" i="10" s="1"/>
  <c r="J201" i="10"/>
  <c r="W201" i="10" s="1"/>
  <c r="N201" i="10"/>
  <c r="AA201" i="10" s="1"/>
  <c r="S203" i="10"/>
  <c r="R203" i="10"/>
  <c r="Q203" i="10"/>
  <c r="P203" i="10"/>
  <c r="O203" i="10"/>
  <c r="N203" i="10"/>
  <c r="M203" i="10"/>
  <c r="Z203" i="10" s="1"/>
  <c r="U203" i="10"/>
  <c r="AC203" i="10" s="1"/>
  <c r="T203" i="10"/>
  <c r="AI203" i="10" s="1"/>
  <c r="L203" i="10"/>
  <c r="Y203" i="10" s="1"/>
  <c r="K203" i="10"/>
  <c r="X203" i="10" s="1"/>
  <c r="J203" i="10"/>
  <c r="W203" i="10" s="1"/>
  <c r="I203" i="10"/>
  <c r="Q205" i="10"/>
  <c r="P205" i="10"/>
  <c r="O205" i="10"/>
  <c r="N205" i="10"/>
  <c r="M205" i="10"/>
  <c r="L205" i="10"/>
  <c r="K205" i="10"/>
  <c r="I205" i="10"/>
  <c r="U205" i="10"/>
  <c r="AC205" i="10" s="1"/>
  <c r="J205" i="10"/>
  <c r="W205" i="10" s="1"/>
  <c r="R205" i="10"/>
  <c r="AG205" i="10" s="1"/>
  <c r="T205" i="10"/>
  <c r="S205" i="10"/>
  <c r="O207" i="10"/>
  <c r="N207" i="10"/>
  <c r="M207" i="10"/>
  <c r="L207" i="10"/>
  <c r="K207" i="10"/>
  <c r="J207" i="10"/>
  <c r="U207" i="10"/>
  <c r="I207" i="10"/>
  <c r="R207" i="10"/>
  <c r="AG207" i="10" s="1"/>
  <c r="Q207" i="10"/>
  <c r="AF207" i="10" s="1"/>
  <c r="P207" i="10"/>
  <c r="T207" i="10"/>
  <c r="S207" i="10"/>
  <c r="S260" i="10"/>
  <c r="R260" i="10"/>
  <c r="Q260" i="10"/>
  <c r="L260" i="10"/>
  <c r="K260" i="10"/>
  <c r="J260" i="10"/>
  <c r="I260" i="10"/>
  <c r="U260" i="10"/>
  <c r="AC260" i="10" s="1"/>
  <c r="T260" i="10"/>
  <c r="AI260" i="10" s="1"/>
  <c r="P260" i="10"/>
  <c r="O260" i="10"/>
  <c r="N260" i="10"/>
  <c r="M260" i="10"/>
  <c r="P263" i="10"/>
  <c r="O263" i="10"/>
  <c r="N263" i="10"/>
  <c r="L263" i="10"/>
  <c r="T263" i="10"/>
  <c r="S263" i="10"/>
  <c r="R263" i="10"/>
  <c r="Q263" i="10"/>
  <c r="M263" i="10"/>
  <c r="K263" i="10"/>
  <c r="J263" i="10"/>
  <c r="U263" i="10"/>
  <c r="I263" i="10"/>
  <c r="T278" i="10"/>
  <c r="S278" i="10"/>
  <c r="AH278" i="10" s="1"/>
  <c r="R278" i="10"/>
  <c r="AG278" i="10" s="1"/>
  <c r="P278" i="10"/>
  <c r="AE278" i="10" s="1"/>
  <c r="O278" i="10"/>
  <c r="AD278" i="10" s="1"/>
  <c r="N278" i="10"/>
  <c r="AA278" i="10" s="1"/>
  <c r="M278" i="10"/>
  <c r="Z278" i="10" s="1"/>
  <c r="L278" i="10"/>
  <c r="J278" i="10"/>
  <c r="I278" i="10"/>
  <c r="U278" i="10"/>
  <c r="Q278" i="10"/>
  <c r="AF278" i="10" s="1"/>
  <c r="K278" i="10"/>
  <c r="L316" i="10"/>
  <c r="Y316" i="10" s="1"/>
  <c r="P316" i="10"/>
  <c r="AE316" i="10" s="1"/>
  <c r="M316" i="10"/>
  <c r="Z316" i="10" s="1"/>
  <c r="T316" i="10"/>
  <c r="AI316" i="10" s="1"/>
  <c r="Q316" i="10"/>
  <c r="AF316" i="10" s="1"/>
  <c r="K316" i="10"/>
  <c r="X316" i="10" s="1"/>
  <c r="J316" i="10"/>
  <c r="I316" i="10"/>
  <c r="U316" i="10"/>
  <c r="S316" i="10"/>
  <c r="R316" i="10"/>
  <c r="O316" i="10"/>
  <c r="N316" i="10"/>
  <c r="AA316" i="10" s="1"/>
  <c r="N272" i="10"/>
  <c r="AA272" i="10" s="1"/>
  <c r="M272" i="10"/>
  <c r="Z272" i="10" s="1"/>
  <c r="L272" i="10"/>
  <c r="Y272" i="10" s="1"/>
  <c r="K272" i="10"/>
  <c r="X272" i="10" s="1"/>
  <c r="J272" i="10"/>
  <c r="W272" i="10" s="1"/>
  <c r="I272" i="10"/>
  <c r="U272" i="10"/>
  <c r="T272" i="10"/>
  <c r="S272" i="10"/>
  <c r="R272" i="10"/>
  <c r="Q272" i="10"/>
  <c r="P272" i="10"/>
  <c r="AE272" i="10" s="1"/>
  <c r="O272" i="10"/>
  <c r="AD272" i="10" s="1"/>
  <c r="K275" i="10"/>
  <c r="J275" i="10"/>
  <c r="U275" i="10"/>
  <c r="I275" i="10"/>
  <c r="M275" i="10"/>
  <c r="L275" i="10"/>
  <c r="T275" i="10"/>
  <c r="S275" i="10"/>
  <c r="R275" i="10"/>
  <c r="Q275" i="10"/>
  <c r="P275" i="10"/>
  <c r="O275" i="10"/>
  <c r="N275" i="10"/>
  <c r="L290" i="10"/>
  <c r="U290" i="10"/>
  <c r="I290" i="10"/>
  <c r="P290" i="10"/>
  <c r="J290" i="10"/>
  <c r="T290" i="10"/>
  <c r="S290" i="10"/>
  <c r="K290" i="10"/>
  <c r="R290" i="10"/>
  <c r="Q290" i="10"/>
  <c r="O290" i="10"/>
  <c r="N290" i="10"/>
  <c r="M290" i="10"/>
  <c r="N249" i="10"/>
  <c r="AA249" i="10" s="1"/>
  <c r="M249" i="10"/>
  <c r="Z249" i="10" s="1"/>
  <c r="L249" i="10"/>
  <c r="K249" i="10"/>
  <c r="J249" i="10"/>
  <c r="S249" i="10"/>
  <c r="R249" i="10"/>
  <c r="Q249" i="10"/>
  <c r="P249" i="10"/>
  <c r="O249" i="10"/>
  <c r="I249" i="10"/>
  <c r="U249" i="10"/>
  <c r="AC249" i="10" s="1"/>
  <c r="T249" i="10"/>
  <c r="AI249" i="10" s="1"/>
  <c r="R284" i="10"/>
  <c r="AG284" i="10" s="1"/>
  <c r="J284" i="10"/>
  <c r="S284" i="10"/>
  <c r="Q284" i="10"/>
  <c r="P284" i="10"/>
  <c r="K284" i="10"/>
  <c r="I284" i="10"/>
  <c r="N284" i="10"/>
  <c r="AA284" i="10" s="1"/>
  <c r="M284" i="10"/>
  <c r="Z284" i="10" s="1"/>
  <c r="L284" i="10"/>
  <c r="Y284" i="10" s="1"/>
  <c r="U284" i="10"/>
  <c r="AC284" i="10" s="1"/>
  <c r="T284" i="10"/>
  <c r="AI284" i="10" s="1"/>
  <c r="O284" i="10"/>
  <c r="AD284" i="10" s="1"/>
  <c r="O287" i="10"/>
  <c r="L287" i="10"/>
  <c r="S287" i="10"/>
  <c r="U287" i="10"/>
  <c r="T287" i="10"/>
  <c r="R287" i="10"/>
  <c r="P287" i="10"/>
  <c r="AE287" i="10" s="1"/>
  <c r="N287" i="10"/>
  <c r="AA287" i="10" s="1"/>
  <c r="M287" i="10"/>
  <c r="Z287" i="10" s="1"/>
  <c r="K287" i="10"/>
  <c r="X287" i="10" s="1"/>
  <c r="J287" i="10"/>
  <c r="W287" i="10" s="1"/>
  <c r="Q287" i="10"/>
  <c r="AF287" i="10" s="1"/>
  <c r="I287" i="10"/>
  <c r="N302" i="10"/>
  <c r="L302" i="10"/>
  <c r="I302" i="10"/>
  <c r="Q302" i="10"/>
  <c r="U302" i="10"/>
  <c r="T302" i="10"/>
  <c r="AI302" i="10" s="1"/>
  <c r="S302" i="10"/>
  <c r="AH302" i="10" s="1"/>
  <c r="R302" i="10"/>
  <c r="AG302" i="10" s="1"/>
  <c r="P302" i="10"/>
  <c r="AE302" i="10" s="1"/>
  <c r="O302" i="10"/>
  <c r="AD302" i="10" s="1"/>
  <c r="M302" i="10"/>
  <c r="Z302" i="10" s="1"/>
  <c r="K302" i="10"/>
  <c r="J302" i="10"/>
  <c r="S63" i="10"/>
  <c r="R63" i="10"/>
  <c r="Q63" i="10"/>
  <c r="O63" i="10"/>
  <c r="N63" i="10"/>
  <c r="M63" i="10"/>
  <c r="L63" i="10"/>
  <c r="K63" i="10"/>
  <c r="J63" i="10"/>
  <c r="I63" i="10"/>
  <c r="P63" i="10"/>
  <c r="U63" i="10"/>
  <c r="T63" i="10"/>
  <c r="M75" i="10"/>
  <c r="L75" i="10"/>
  <c r="K75" i="10"/>
  <c r="P75" i="10"/>
  <c r="O75" i="10"/>
  <c r="N75" i="10"/>
  <c r="I75" i="10"/>
  <c r="U75" i="10"/>
  <c r="AC75" i="10" s="1"/>
  <c r="R75" i="10"/>
  <c r="AG75" i="10" s="1"/>
  <c r="S75" i="10"/>
  <c r="Q75" i="10"/>
  <c r="J75" i="10"/>
  <c r="T75" i="10"/>
  <c r="M87" i="10"/>
  <c r="L87" i="10"/>
  <c r="K87" i="10"/>
  <c r="X87" i="10" s="1"/>
  <c r="T87" i="10"/>
  <c r="AI87" i="10" s="1"/>
  <c r="S87" i="10"/>
  <c r="AH87" i="10" s="1"/>
  <c r="R87" i="10"/>
  <c r="AG87" i="10" s="1"/>
  <c r="U87" i="10"/>
  <c r="AC87" i="10" s="1"/>
  <c r="Q87" i="10"/>
  <c r="AF87" i="10" s="1"/>
  <c r="P87" i="10"/>
  <c r="O87" i="10"/>
  <c r="N87" i="10"/>
  <c r="J87" i="10"/>
  <c r="I87" i="10"/>
  <c r="M99" i="10"/>
  <c r="L99" i="10"/>
  <c r="Y99" i="10" s="1"/>
  <c r="K99" i="10"/>
  <c r="X99" i="10" s="1"/>
  <c r="T99" i="10"/>
  <c r="AI99" i="10" s="1"/>
  <c r="S99" i="10"/>
  <c r="AH99" i="10" s="1"/>
  <c r="R99" i="10"/>
  <c r="AG99" i="10" s="1"/>
  <c r="N99" i="10"/>
  <c r="AA99" i="10" s="1"/>
  <c r="Q99" i="10"/>
  <c r="P99" i="10"/>
  <c r="O99" i="10"/>
  <c r="J99" i="10"/>
  <c r="I99" i="10"/>
  <c r="U99" i="10"/>
  <c r="M111" i="10"/>
  <c r="L111" i="10"/>
  <c r="K111" i="10"/>
  <c r="X111" i="10" s="1"/>
  <c r="T111" i="10"/>
  <c r="AI111" i="10" s="1"/>
  <c r="S111" i="10"/>
  <c r="AH111" i="10" s="1"/>
  <c r="R111" i="10"/>
  <c r="AG111" i="10" s="1"/>
  <c r="Q111" i="10"/>
  <c r="N111" i="10"/>
  <c r="U111" i="10"/>
  <c r="P111" i="10"/>
  <c r="O111" i="10"/>
  <c r="J111" i="10"/>
  <c r="I111" i="10"/>
  <c r="N123" i="10"/>
  <c r="AA123" i="10" s="1"/>
  <c r="Q123" i="10"/>
  <c r="AF123" i="10" s="1"/>
  <c r="P123" i="10"/>
  <c r="AE123" i="10" s="1"/>
  <c r="O123" i="10"/>
  <c r="AD123" i="10" s="1"/>
  <c r="L123" i="10"/>
  <c r="Y123" i="10" s="1"/>
  <c r="K123" i="10"/>
  <c r="J123" i="10"/>
  <c r="I123" i="10"/>
  <c r="U123" i="10"/>
  <c r="R123" i="10"/>
  <c r="AG123" i="10" s="1"/>
  <c r="T123" i="10"/>
  <c r="S123" i="10"/>
  <c r="AH123" i="10" s="1"/>
  <c r="M123" i="10"/>
  <c r="Z123" i="10" s="1"/>
  <c r="N135" i="10"/>
  <c r="AA135" i="10" s="1"/>
  <c r="L135" i="10"/>
  <c r="Y135" i="10" s="1"/>
  <c r="P135" i="10"/>
  <c r="AE135" i="10" s="1"/>
  <c r="O135" i="10"/>
  <c r="AD135" i="10" s="1"/>
  <c r="M135" i="10"/>
  <c r="J135" i="10"/>
  <c r="I135" i="10"/>
  <c r="U135" i="10"/>
  <c r="T135" i="10"/>
  <c r="AI135" i="10" s="1"/>
  <c r="Q135" i="10"/>
  <c r="K135" i="10"/>
  <c r="X135" i="10" s="1"/>
  <c r="R135" i="10"/>
  <c r="AG135" i="10" s="1"/>
  <c r="S135" i="10"/>
  <c r="AH135" i="10" s="1"/>
  <c r="N147" i="10"/>
  <c r="AA147" i="10" s="1"/>
  <c r="L147" i="10"/>
  <c r="Y147" i="10" s="1"/>
  <c r="K147" i="10"/>
  <c r="X147" i="10" s="1"/>
  <c r="J147" i="10"/>
  <c r="U147" i="10"/>
  <c r="I147" i="10"/>
  <c r="T147" i="10"/>
  <c r="P147" i="10"/>
  <c r="AE147" i="10" s="1"/>
  <c r="O147" i="10"/>
  <c r="M147" i="10"/>
  <c r="Z147" i="10" s="1"/>
  <c r="Q147" i="10"/>
  <c r="AF147" i="10" s="1"/>
  <c r="R147" i="10"/>
  <c r="AG147" i="10" s="1"/>
  <c r="S147" i="10"/>
  <c r="AH147" i="10" s="1"/>
  <c r="O159" i="10"/>
  <c r="T159" i="10"/>
  <c r="AI159" i="10" s="1"/>
  <c r="S159" i="10"/>
  <c r="Q159" i="10"/>
  <c r="P159" i="10"/>
  <c r="N159" i="10"/>
  <c r="M159" i="10"/>
  <c r="L159" i="10"/>
  <c r="U159" i="10"/>
  <c r="R159" i="10"/>
  <c r="K159" i="10"/>
  <c r="J159" i="10"/>
  <c r="I159" i="10"/>
  <c r="O171" i="10"/>
  <c r="M171" i="10"/>
  <c r="K171" i="10"/>
  <c r="T171" i="10"/>
  <c r="U171" i="10"/>
  <c r="S171" i="10"/>
  <c r="Q171" i="10"/>
  <c r="P171" i="10"/>
  <c r="N171" i="10"/>
  <c r="L171" i="10"/>
  <c r="J171" i="10"/>
  <c r="R171" i="10"/>
  <c r="I171" i="10"/>
  <c r="P182" i="10"/>
  <c r="S182" i="10"/>
  <c r="R182" i="10"/>
  <c r="Q182" i="10"/>
  <c r="N182" i="10"/>
  <c r="M182" i="10"/>
  <c r="L182" i="10"/>
  <c r="Y182" i="10" s="1"/>
  <c r="K182" i="10"/>
  <c r="X182" i="10" s="1"/>
  <c r="U182" i="10"/>
  <c r="AC182" i="10" s="1"/>
  <c r="T182" i="10"/>
  <c r="AI182" i="10" s="1"/>
  <c r="O182" i="10"/>
  <c r="AD182" i="10" s="1"/>
  <c r="J182" i="10"/>
  <c r="W182" i="10" s="1"/>
  <c r="I182" i="10"/>
  <c r="Q225" i="10"/>
  <c r="P225" i="10"/>
  <c r="O225" i="10"/>
  <c r="N225" i="10"/>
  <c r="M225" i="10"/>
  <c r="K225" i="10"/>
  <c r="J225" i="10"/>
  <c r="I225" i="10"/>
  <c r="U225" i="10"/>
  <c r="AC225" i="10" s="1"/>
  <c r="T225" i="10"/>
  <c r="AI225" i="10" s="1"/>
  <c r="S225" i="10"/>
  <c r="AH225" i="10" s="1"/>
  <c r="R225" i="10"/>
  <c r="L225" i="10"/>
  <c r="J232" i="10"/>
  <c r="U232" i="10"/>
  <c r="I232" i="10"/>
  <c r="T232" i="10"/>
  <c r="S232" i="10"/>
  <c r="AH232" i="10" s="1"/>
  <c r="R232" i="10"/>
  <c r="AG232" i="10" s="1"/>
  <c r="Q232" i="10"/>
  <c r="AF232" i="10" s="1"/>
  <c r="P232" i="10"/>
  <c r="AE232" i="10" s="1"/>
  <c r="O232" i="10"/>
  <c r="AD232" i="10" s="1"/>
  <c r="N232" i="10"/>
  <c r="AA232" i="10" s="1"/>
  <c r="M232" i="10"/>
  <c r="L232" i="10"/>
  <c r="K232" i="10"/>
  <c r="P235" i="10"/>
  <c r="N235" i="10"/>
  <c r="K235" i="10"/>
  <c r="J235" i="10"/>
  <c r="I235" i="10"/>
  <c r="U235" i="10"/>
  <c r="AC235" i="10" s="1"/>
  <c r="T235" i="10"/>
  <c r="AI235" i="10" s="1"/>
  <c r="S235" i="10"/>
  <c r="AH235" i="10" s="1"/>
  <c r="R235" i="10"/>
  <c r="AG235" i="10" s="1"/>
  <c r="Q235" i="10"/>
  <c r="O235" i="10"/>
  <c r="M235" i="10"/>
  <c r="L235" i="10"/>
  <c r="U258" i="10"/>
  <c r="AC258" i="10" s="1"/>
  <c r="I258" i="10"/>
  <c r="T258" i="10"/>
  <c r="AI258" i="10" s="1"/>
  <c r="O258" i="10"/>
  <c r="AD258" i="10" s="1"/>
  <c r="N258" i="10"/>
  <c r="AA258" i="10" s="1"/>
  <c r="M258" i="10"/>
  <c r="Z258" i="10" s="1"/>
  <c r="L258" i="10"/>
  <c r="Y258" i="10" s="1"/>
  <c r="K258" i="10"/>
  <c r="X258" i="10" s="1"/>
  <c r="J258" i="10"/>
  <c r="S258" i="10"/>
  <c r="R258" i="10"/>
  <c r="Q258" i="10"/>
  <c r="P258" i="10"/>
  <c r="AE258" i="10" s="1"/>
  <c r="M273" i="10"/>
  <c r="L273" i="10"/>
  <c r="Y273" i="10" s="1"/>
  <c r="Q273" i="10"/>
  <c r="AF273" i="10" s="1"/>
  <c r="P273" i="10"/>
  <c r="AE273" i="10" s="1"/>
  <c r="O273" i="10"/>
  <c r="AD273" i="10" s="1"/>
  <c r="N273" i="10"/>
  <c r="AA273" i="10" s="1"/>
  <c r="K273" i="10"/>
  <c r="X273" i="10" s="1"/>
  <c r="U273" i="10"/>
  <c r="T273" i="10"/>
  <c r="S273" i="10"/>
  <c r="R273" i="10"/>
  <c r="J273" i="10"/>
  <c r="W273" i="10" s="1"/>
  <c r="I273" i="10"/>
  <c r="T308" i="10"/>
  <c r="AI308" i="10" s="1"/>
  <c r="S308" i="10"/>
  <c r="AH308" i="10" s="1"/>
  <c r="P308" i="10"/>
  <c r="AE308" i="10" s="1"/>
  <c r="K308" i="10"/>
  <c r="X308" i="10" s="1"/>
  <c r="M308" i="10"/>
  <c r="Z308" i="10" s="1"/>
  <c r="L308" i="10"/>
  <c r="Y308" i="10" s="1"/>
  <c r="J308" i="10"/>
  <c r="I308" i="10"/>
  <c r="N308" i="10"/>
  <c r="U308" i="10"/>
  <c r="R308" i="10"/>
  <c r="Q308" i="10"/>
  <c r="O308" i="10"/>
  <c r="AD308" i="10" s="1"/>
  <c r="Q311" i="10"/>
  <c r="AF311" i="10" s="1"/>
  <c r="J311" i="10"/>
  <c r="W311" i="10" s="1"/>
  <c r="T311" i="10"/>
  <c r="AI311" i="10" s="1"/>
  <c r="N311" i="10"/>
  <c r="AA311" i="10" s="1"/>
  <c r="R311" i="10"/>
  <c r="AG311" i="10" s="1"/>
  <c r="M311" i="10"/>
  <c r="L311" i="10"/>
  <c r="K311" i="10"/>
  <c r="I311" i="10"/>
  <c r="U311" i="10"/>
  <c r="S311" i="10"/>
  <c r="P311" i="10"/>
  <c r="AE311" i="10" s="1"/>
  <c r="O311" i="10"/>
  <c r="AD311" i="10" s="1"/>
  <c r="P10" i="10"/>
  <c r="AE10" i="10" s="1"/>
  <c r="O10" i="10"/>
  <c r="AD10" i="10" s="1"/>
  <c r="N10" i="10"/>
  <c r="AA10" i="10" s="1"/>
  <c r="M10" i="10"/>
  <c r="Z10" i="10" s="1"/>
  <c r="K10" i="10"/>
  <c r="J10" i="10"/>
  <c r="Q10" i="10"/>
  <c r="L10" i="10"/>
  <c r="I10" i="10"/>
  <c r="S10" i="10"/>
  <c r="U10" i="10"/>
  <c r="AC10" i="10" s="1"/>
  <c r="T10" i="10"/>
  <c r="AI10" i="10" s="1"/>
  <c r="R10" i="10"/>
  <c r="AG10" i="10" s="1"/>
  <c r="L22" i="10"/>
  <c r="J22" i="10"/>
  <c r="I22" i="10"/>
  <c r="U22" i="10"/>
  <c r="T22" i="10"/>
  <c r="R22" i="10"/>
  <c r="Q22" i="10"/>
  <c r="K22" i="10"/>
  <c r="S22" i="10"/>
  <c r="P22" i="10"/>
  <c r="O22" i="10"/>
  <c r="N22" i="10"/>
  <c r="M22" i="10"/>
  <c r="L34" i="10"/>
  <c r="Y34" i="10" s="1"/>
  <c r="K34" i="10"/>
  <c r="X34" i="10" s="1"/>
  <c r="J34" i="10"/>
  <c r="T34" i="10"/>
  <c r="S34" i="10"/>
  <c r="N34" i="10"/>
  <c r="M34" i="10"/>
  <c r="Z34" i="10" s="1"/>
  <c r="I34" i="10"/>
  <c r="O34" i="10"/>
  <c r="AD34" i="10" s="1"/>
  <c r="P34" i="10"/>
  <c r="AE34" i="10" s="1"/>
  <c r="U34" i="10"/>
  <c r="AC34" i="10" s="1"/>
  <c r="R34" i="10"/>
  <c r="AG34" i="10" s="1"/>
  <c r="Q34" i="10"/>
  <c r="AF34" i="10" s="1"/>
  <c r="L46" i="10"/>
  <c r="Y46" i="10" s="1"/>
  <c r="K46" i="10"/>
  <c r="J46" i="10"/>
  <c r="T46" i="10"/>
  <c r="S46" i="10"/>
  <c r="R46" i="10"/>
  <c r="Q46" i="10"/>
  <c r="U46" i="10"/>
  <c r="I46" i="10"/>
  <c r="P46" i="10"/>
  <c r="AE46" i="10" s="1"/>
  <c r="O46" i="10"/>
  <c r="AD46" i="10" s="1"/>
  <c r="M46" i="10"/>
  <c r="Z46" i="10" s="1"/>
  <c r="N46" i="10"/>
  <c r="AA46" i="10" s="1"/>
  <c r="L58" i="10"/>
  <c r="K58" i="10"/>
  <c r="J58" i="10"/>
  <c r="T58" i="10"/>
  <c r="S58" i="10"/>
  <c r="R58" i="10"/>
  <c r="Q58" i="10"/>
  <c r="U58" i="10"/>
  <c r="P58" i="10"/>
  <c r="O58" i="10"/>
  <c r="M58" i="10"/>
  <c r="I58" i="10"/>
  <c r="N58" i="10"/>
  <c r="L70" i="10"/>
  <c r="K70" i="10"/>
  <c r="J70" i="10"/>
  <c r="T70" i="10"/>
  <c r="S70" i="10"/>
  <c r="R70" i="10"/>
  <c r="Q70" i="10"/>
  <c r="N70" i="10"/>
  <c r="O70" i="10"/>
  <c r="M70" i="10"/>
  <c r="I70" i="10"/>
  <c r="P70" i="10"/>
  <c r="U70" i="10"/>
  <c r="R82" i="10"/>
  <c r="Q82" i="10"/>
  <c r="P82" i="10"/>
  <c r="O82" i="10"/>
  <c r="N82" i="10"/>
  <c r="M82" i="10"/>
  <c r="K82" i="10"/>
  <c r="J82" i="10"/>
  <c r="I82" i="10"/>
  <c r="T82" i="10"/>
  <c r="AI82" i="10" s="1"/>
  <c r="U82" i="10"/>
  <c r="S82" i="10"/>
  <c r="L82" i="10"/>
  <c r="R94" i="10"/>
  <c r="AG94" i="10" s="1"/>
  <c r="Q94" i="10"/>
  <c r="AF94" i="10" s="1"/>
  <c r="P94" i="10"/>
  <c r="M94" i="10"/>
  <c r="Z94" i="10" s="1"/>
  <c r="L94" i="10"/>
  <c r="Y94" i="10" s="1"/>
  <c r="K94" i="10"/>
  <c r="X94" i="10" s="1"/>
  <c r="T94" i="10"/>
  <c r="AI94" i="10" s="1"/>
  <c r="S94" i="10"/>
  <c r="AH94" i="10" s="1"/>
  <c r="O94" i="10"/>
  <c r="AD94" i="10" s="1"/>
  <c r="N94" i="10"/>
  <c r="J94" i="10"/>
  <c r="I94" i="10"/>
  <c r="U94" i="10"/>
  <c r="AC94" i="10" s="1"/>
  <c r="R106" i="10"/>
  <c r="AG106" i="10" s="1"/>
  <c r="Q106" i="10"/>
  <c r="P106" i="10"/>
  <c r="AE106" i="10" s="1"/>
  <c r="M106" i="10"/>
  <c r="Z106" i="10" s="1"/>
  <c r="L106" i="10"/>
  <c r="Y106" i="10" s="1"/>
  <c r="K106" i="10"/>
  <c r="X106" i="10" s="1"/>
  <c r="S106" i="10"/>
  <c r="AH106" i="10" s="1"/>
  <c r="O106" i="10"/>
  <c r="AD106" i="10" s="1"/>
  <c r="N106" i="10"/>
  <c r="J106" i="10"/>
  <c r="I106" i="10"/>
  <c r="U106" i="10"/>
  <c r="AC106" i="10" s="1"/>
  <c r="T106" i="10"/>
  <c r="AI106" i="10" s="1"/>
  <c r="R118" i="10"/>
  <c r="Q118" i="10"/>
  <c r="AF118" i="10" s="1"/>
  <c r="P118" i="10"/>
  <c r="AE118" i="10" s="1"/>
  <c r="N118" i="10"/>
  <c r="AA118" i="10" s="1"/>
  <c r="M118" i="10"/>
  <c r="Z118" i="10" s="1"/>
  <c r="L118" i="10"/>
  <c r="Y118" i="10" s="1"/>
  <c r="K118" i="10"/>
  <c r="X118" i="10" s="1"/>
  <c r="J118" i="10"/>
  <c r="S118" i="10"/>
  <c r="O118" i="10"/>
  <c r="I118" i="10"/>
  <c r="U118" i="10"/>
  <c r="T118" i="10"/>
  <c r="S130" i="10"/>
  <c r="AH130" i="10" s="1"/>
  <c r="L130" i="10"/>
  <c r="Y130" i="10" s="1"/>
  <c r="K130" i="10"/>
  <c r="X130" i="10" s="1"/>
  <c r="J130" i="10"/>
  <c r="W130" i="10" s="1"/>
  <c r="U130" i="10"/>
  <c r="AC130" i="10" s="1"/>
  <c r="T130" i="10"/>
  <c r="AI130" i="10" s="1"/>
  <c r="R130" i="10"/>
  <c r="Q130" i="10"/>
  <c r="P130" i="10"/>
  <c r="M130" i="10"/>
  <c r="N130" i="10"/>
  <c r="AA130" i="10" s="1"/>
  <c r="I130" i="10"/>
  <c r="O130" i="10"/>
  <c r="AD130" i="10" s="1"/>
  <c r="S142" i="10"/>
  <c r="AH142" i="10" s="1"/>
  <c r="Q142" i="10"/>
  <c r="AF142" i="10" s="1"/>
  <c r="P142" i="10"/>
  <c r="AE142" i="10" s="1"/>
  <c r="O142" i="10"/>
  <c r="AD142" i="10" s="1"/>
  <c r="L142" i="10"/>
  <c r="Y142" i="10" s="1"/>
  <c r="K142" i="10"/>
  <c r="J142" i="10"/>
  <c r="I142" i="10"/>
  <c r="U142" i="10"/>
  <c r="AC142" i="10" s="1"/>
  <c r="T142" i="10"/>
  <c r="AI142" i="10" s="1"/>
  <c r="M142" i="10"/>
  <c r="N142" i="10"/>
  <c r="AA142" i="10" s="1"/>
  <c r="R142" i="10"/>
  <c r="AG142" i="10" s="1"/>
  <c r="T154" i="10"/>
  <c r="AI154" i="10" s="1"/>
  <c r="N154" i="10"/>
  <c r="AA154" i="10" s="1"/>
  <c r="M154" i="10"/>
  <c r="Z154" i="10" s="1"/>
  <c r="K154" i="10"/>
  <c r="X154" i="10" s="1"/>
  <c r="J154" i="10"/>
  <c r="I154" i="10"/>
  <c r="U154" i="10"/>
  <c r="S154" i="10"/>
  <c r="O154" i="10"/>
  <c r="R154" i="10"/>
  <c r="Q154" i="10"/>
  <c r="AF154" i="10" s="1"/>
  <c r="P154" i="10"/>
  <c r="AE154" i="10" s="1"/>
  <c r="L154" i="10"/>
  <c r="Y154" i="10" s="1"/>
  <c r="T166" i="10"/>
  <c r="AI166" i="10" s="1"/>
  <c r="R166" i="10"/>
  <c r="AG166" i="10" s="1"/>
  <c r="N166" i="10"/>
  <c r="AA166" i="10" s="1"/>
  <c r="M166" i="10"/>
  <c r="K166" i="10"/>
  <c r="J166" i="10"/>
  <c r="I166" i="10"/>
  <c r="U166" i="10"/>
  <c r="O166" i="10"/>
  <c r="P166" i="10"/>
  <c r="AE166" i="10" s="1"/>
  <c r="L166" i="10"/>
  <c r="Y166" i="10" s="1"/>
  <c r="Q166" i="10"/>
  <c r="AF166" i="10" s="1"/>
  <c r="S166" i="10"/>
  <c r="AH166" i="10" s="1"/>
  <c r="N184" i="10"/>
  <c r="AA184" i="10" s="1"/>
  <c r="U184" i="10"/>
  <c r="AC184" i="10" s="1"/>
  <c r="T184" i="10"/>
  <c r="S184" i="10"/>
  <c r="Q184" i="10"/>
  <c r="P184" i="10"/>
  <c r="O184" i="10"/>
  <c r="M184" i="10"/>
  <c r="J184" i="10"/>
  <c r="I184" i="10"/>
  <c r="K184" i="10"/>
  <c r="X184" i="10" s="1"/>
  <c r="L184" i="10"/>
  <c r="Y184" i="10" s="1"/>
  <c r="R184" i="10"/>
  <c r="AG184" i="10" s="1"/>
  <c r="P206" i="10"/>
  <c r="AE206" i="10" s="1"/>
  <c r="O206" i="10"/>
  <c r="N206" i="10"/>
  <c r="M206" i="10"/>
  <c r="L206" i="10"/>
  <c r="K206" i="10"/>
  <c r="J206" i="10"/>
  <c r="Q206" i="10"/>
  <c r="I206" i="10"/>
  <c r="U206" i="10"/>
  <c r="AC206" i="10" s="1"/>
  <c r="T206" i="10"/>
  <c r="AI206" i="10" s="1"/>
  <c r="S206" i="10"/>
  <c r="AH206" i="10" s="1"/>
  <c r="R206" i="10"/>
  <c r="AG206" i="10" s="1"/>
  <c r="N208" i="10"/>
  <c r="M208" i="10"/>
  <c r="L208" i="10"/>
  <c r="K208" i="10"/>
  <c r="J208" i="10"/>
  <c r="U208" i="10"/>
  <c r="I208" i="10"/>
  <c r="T208" i="10"/>
  <c r="S208" i="10"/>
  <c r="AH208" i="10" s="1"/>
  <c r="R208" i="10"/>
  <c r="AG208" i="10" s="1"/>
  <c r="Q208" i="10"/>
  <c r="AF208" i="10" s="1"/>
  <c r="O208" i="10"/>
  <c r="AD208" i="10" s="1"/>
  <c r="P208" i="10"/>
  <c r="T210" i="10"/>
  <c r="R210" i="10"/>
  <c r="P210" i="10"/>
  <c r="O210" i="10"/>
  <c r="N210" i="10"/>
  <c r="M210" i="10"/>
  <c r="Z210" i="10" s="1"/>
  <c r="L210" i="10"/>
  <c r="Y210" i="10" s="1"/>
  <c r="K210" i="10"/>
  <c r="X210" i="10" s="1"/>
  <c r="J210" i="10"/>
  <c r="W210" i="10" s="1"/>
  <c r="U210" i="10"/>
  <c r="AC210" i="10" s="1"/>
  <c r="S210" i="10"/>
  <c r="AH210" i="10" s="1"/>
  <c r="Q210" i="10"/>
  <c r="I210" i="10"/>
  <c r="R212" i="10"/>
  <c r="Q212" i="10"/>
  <c r="P212" i="10"/>
  <c r="L212" i="10"/>
  <c r="K212" i="10"/>
  <c r="J212" i="10"/>
  <c r="I212" i="10"/>
  <c r="U212" i="10"/>
  <c r="AC212" i="10" s="1"/>
  <c r="T212" i="10"/>
  <c r="AI212" i="10" s="1"/>
  <c r="S212" i="10"/>
  <c r="AH212" i="10" s="1"/>
  <c r="N212" i="10"/>
  <c r="M212" i="10"/>
  <c r="O212" i="10"/>
  <c r="S223" i="10"/>
  <c r="AH223" i="10" s="1"/>
  <c r="R223" i="10"/>
  <c r="AG223" i="10" s="1"/>
  <c r="Q223" i="10"/>
  <c r="P223" i="10"/>
  <c r="AE223" i="10" s="1"/>
  <c r="O223" i="10"/>
  <c r="AD223" i="10" s="1"/>
  <c r="U223" i="10"/>
  <c r="AC223" i="10" s="1"/>
  <c r="T223" i="10"/>
  <c r="AI223" i="10" s="1"/>
  <c r="N223" i="10"/>
  <c r="AA223" i="10" s="1"/>
  <c r="M223" i="10"/>
  <c r="Z223" i="10" s="1"/>
  <c r="L223" i="10"/>
  <c r="K223" i="10"/>
  <c r="I223" i="10"/>
  <c r="J223" i="10"/>
  <c r="W223" i="10" s="1"/>
  <c r="P247" i="10"/>
  <c r="O247" i="10"/>
  <c r="N247" i="10"/>
  <c r="AA247" i="10" s="1"/>
  <c r="M247" i="10"/>
  <c r="Z247" i="10" s="1"/>
  <c r="L247" i="10"/>
  <c r="Y247" i="10" s="1"/>
  <c r="U247" i="10"/>
  <c r="AC247" i="10" s="1"/>
  <c r="T247" i="10"/>
  <c r="AI247" i="10" s="1"/>
  <c r="S247" i="10"/>
  <c r="AH247" i="10" s="1"/>
  <c r="R247" i="10"/>
  <c r="Q247" i="10"/>
  <c r="K247" i="10"/>
  <c r="J247" i="10"/>
  <c r="I247" i="10"/>
  <c r="P270" i="10"/>
  <c r="T270" i="10"/>
  <c r="AI270" i="10" s="1"/>
  <c r="S270" i="10"/>
  <c r="AH270" i="10" s="1"/>
  <c r="R270" i="10"/>
  <c r="AG270" i="10" s="1"/>
  <c r="Q270" i="10"/>
  <c r="AF270" i="10" s="1"/>
  <c r="O270" i="10"/>
  <c r="AD270" i="10" s="1"/>
  <c r="U270" i="10"/>
  <c r="AC270" i="10" s="1"/>
  <c r="N270" i="10"/>
  <c r="M270" i="10"/>
  <c r="L270" i="10"/>
  <c r="K270" i="10"/>
  <c r="J270" i="10"/>
  <c r="W270" i="10" s="1"/>
  <c r="I270" i="10"/>
  <c r="Q285" i="10"/>
  <c r="U285" i="10"/>
  <c r="I285" i="10"/>
  <c r="T285" i="10"/>
  <c r="AI285" i="10" s="1"/>
  <c r="S285" i="10"/>
  <c r="AH285" i="10" s="1"/>
  <c r="R285" i="10"/>
  <c r="AG285" i="10" s="1"/>
  <c r="P285" i="10"/>
  <c r="O285" i="10"/>
  <c r="N285" i="10"/>
  <c r="M285" i="10"/>
  <c r="L285" i="10"/>
  <c r="K285" i="10"/>
  <c r="J285" i="10"/>
  <c r="T320" i="10"/>
  <c r="U320" i="10"/>
  <c r="Q320" i="10"/>
  <c r="L320" i="10"/>
  <c r="I320" i="10"/>
  <c r="K320" i="10"/>
  <c r="J320" i="10"/>
  <c r="P320" i="10"/>
  <c r="O320" i="10"/>
  <c r="N320" i="10"/>
  <c r="M320" i="10"/>
  <c r="S320" i="10"/>
  <c r="R320" i="10"/>
  <c r="Q323" i="10"/>
  <c r="AF323" i="10" s="1"/>
  <c r="K323" i="10"/>
  <c r="X323" i="10" s="1"/>
  <c r="U323" i="10"/>
  <c r="AC323" i="10" s="1"/>
  <c r="O323" i="10"/>
  <c r="AD323" i="10" s="1"/>
  <c r="L323" i="10"/>
  <c r="N323" i="10"/>
  <c r="M323" i="10"/>
  <c r="J323" i="10"/>
  <c r="T323" i="10"/>
  <c r="R323" i="10"/>
  <c r="P323" i="10"/>
  <c r="I323" i="10"/>
  <c r="S323" i="10"/>
  <c r="AH323" i="10" s="1"/>
  <c r="N12" i="10"/>
  <c r="AA12" i="10" s="1"/>
  <c r="M12" i="10"/>
  <c r="Z12" i="10" s="1"/>
  <c r="L12" i="10"/>
  <c r="Y12" i="10" s="1"/>
  <c r="K12" i="10"/>
  <c r="U12" i="10"/>
  <c r="I12" i="10"/>
  <c r="T12" i="10"/>
  <c r="AI12" i="10" s="1"/>
  <c r="O12" i="10"/>
  <c r="AD12" i="10" s="1"/>
  <c r="S12" i="10"/>
  <c r="R12" i="10"/>
  <c r="AG12" i="10" s="1"/>
  <c r="Q12" i="10"/>
  <c r="AF12" i="10" s="1"/>
  <c r="P12" i="10"/>
  <c r="AE12" i="10" s="1"/>
  <c r="J12" i="10"/>
  <c r="W12" i="10" s="1"/>
  <c r="J24" i="10"/>
  <c r="W24" i="10" s="1"/>
  <c r="T24" i="10"/>
  <c r="AI24" i="10" s="1"/>
  <c r="Q24" i="10"/>
  <c r="P24" i="10"/>
  <c r="O24" i="10"/>
  <c r="N24" i="10"/>
  <c r="L24" i="10"/>
  <c r="K24" i="10"/>
  <c r="R24" i="10"/>
  <c r="U24" i="10"/>
  <c r="S24" i="10"/>
  <c r="I24" i="10"/>
  <c r="M24" i="10"/>
  <c r="Z24" i="10" s="1"/>
  <c r="J36" i="10"/>
  <c r="W36" i="10" s="1"/>
  <c r="U36" i="10"/>
  <c r="I36" i="10"/>
  <c r="T36" i="10"/>
  <c r="R36" i="10"/>
  <c r="Q36" i="10"/>
  <c r="O36" i="10"/>
  <c r="S36" i="10"/>
  <c r="AH36" i="10" s="1"/>
  <c r="P36" i="10"/>
  <c r="AE36" i="10" s="1"/>
  <c r="M36" i="10"/>
  <c r="Z36" i="10" s="1"/>
  <c r="L36" i="10"/>
  <c r="Y36" i="10" s="1"/>
  <c r="K36" i="10"/>
  <c r="X36" i="10" s="1"/>
  <c r="N36" i="10"/>
  <c r="AA36" i="10" s="1"/>
  <c r="J48" i="10"/>
  <c r="U48" i="10"/>
  <c r="I48" i="10"/>
  <c r="T48" i="10"/>
  <c r="AI48" i="10" s="1"/>
  <c r="R48" i="10"/>
  <c r="AG48" i="10" s="1"/>
  <c r="Q48" i="10"/>
  <c r="P48" i="10"/>
  <c r="AE48" i="10" s="1"/>
  <c r="O48" i="10"/>
  <c r="AD48" i="10" s="1"/>
  <c r="M48" i="10"/>
  <c r="Z48" i="10" s="1"/>
  <c r="L48" i="10"/>
  <c r="Y48" i="10" s="1"/>
  <c r="K48" i="10"/>
  <c r="X48" i="10" s="1"/>
  <c r="N48" i="10"/>
  <c r="AA48" i="10" s="1"/>
  <c r="S48" i="10"/>
  <c r="J60" i="10"/>
  <c r="U60" i="10"/>
  <c r="I60" i="10"/>
  <c r="T60" i="10"/>
  <c r="R60" i="10"/>
  <c r="Q60" i="10"/>
  <c r="AF60" i="10" s="1"/>
  <c r="P60" i="10"/>
  <c r="AE60" i="10" s="1"/>
  <c r="O60" i="10"/>
  <c r="AD60" i="10" s="1"/>
  <c r="S60" i="10"/>
  <c r="AH60" i="10" s="1"/>
  <c r="N60" i="10"/>
  <c r="AA60" i="10" s="1"/>
  <c r="M60" i="10"/>
  <c r="Z60" i="10" s="1"/>
  <c r="L60" i="10"/>
  <c r="K60" i="10"/>
  <c r="P72" i="10"/>
  <c r="O72" i="10"/>
  <c r="N72" i="10"/>
  <c r="J72" i="10"/>
  <c r="I72" i="10"/>
  <c r="U72" i="10"/>
  <c r="T72" i="10"/>
  <c r="AI72" i="10" s="1"/>
  <c r="S72" i="10"/>
  <c r="AH72" i="10" s="1"/>
  <c r="R72" i="10"/>
  <c r="AG72" i="10" s="1"/>
  <c r="L72" i="10"/>
  <c r="Y72" i="10" s="1"/>
  <c r="Q72" i="10"/>
  <c r="M72" i="10"/>
  <c r="K72" i="10"/>
  <c r="P84" i="10"/>
  <c r="O84" i="10"/>
  <c r="N84" i="10"/>
  <c r="K84" i="10"/>
  <c r="J84" i="10"/>
  <c r="U84" i="10"/>
  <c r="I84" i="10"/>
  <c r="T84" i="10"/>
  <c r="AI84" i="10" s="1"/>
  <c r="S84" i="10"/>
  <c r="AH84" i="10" s="1"/>
  <c r="R84" i="10"/>
  <c r="Q84" i="10"/>
  <c r="M84" i="10"/>
  <c r="L84" i="10"/>
  <c r="P96" i="10"/>
  <c r="O96" i="10"/>
  <c r="N96" i="10"/>
  <c r="K96" i="10"/>
  <c r="J96" i="10"/>
  <c r="U96" i="10"/>
  <c r="I96" i="10"/>
  <c r="R96" i="10"/>
  <c r="AG96" i="10" s="1"/>
  <c r="Q96" i="10"/>
  <c r="M96" i="10"/>
  <c r="L96" i="10"/>
  <c r="T96" i="10"/>
  <c r="S96" i="10"/>
  <c r="P108" i="10"/>
  <c r="O108" i="10"/>
  <c r="N108" i="10"/>
  <c r="K108" i="10"/>
  <c r="J108" i="10"/>
  <c r="U108" i="10"/>
  <c r="I108" i="10"/>
  <c r="T108" i="10"/>
  <c r="Q108" i="10"/>
  <c r="S108" i="10"/>
  <c r="R108" i="10"/>
  <c r="M108" i="10"/>
  <c r="L108" i="10"/>
  <c r="P120" i="10"/>
  <c r="AE120" i="10" s="1"/>
  <c r="O120" i="10"/>
  <c r="AD120" i="10" s="1"/>
  <c r="N120" i="10"/>
  <c r="AA120" i="10" s="1"/>
  <c r="L120" i="10"/>
  <c r="Y120" i="10" s="1"/>
  <c r="K120" i="10"/>
  <c r="X120" i="10" s="1"/>
  <c r="J120" i="10"/>
  <c r="W120" i="10" s="1"/>
  <c r="U120" i="10"/>
  <c r="I120" i="10"/>
  <c r="T120" i="10"/>
  <c r="Q120" i="10"/>
  <c r="M120" i="10"/>
  <c r="S120" i="10"/>
  <c r="R120" i="10"/>
  <c r="AG120" i="10" s="1"/>
  <c r="Q132" i="10"/>
  <c r="AF132" i="10" s="1"/>
  <c r="O132" i="10"/>
  <c r="AD132" i="10" s="1"/>
  <c r="S132" i="10"/>
  <c r="AH132" i="10" s="1"/>
  <c r="R132" i="10"/>
  <c r="AG132" i="10" s="1"/>
  <c r="P132" i="10"/>
  <c r="AE132" i="10" s="1"/>
  <c r="M132" i="10"/>
  <c r="L132" i="10"/>
  <c r="K132" i="10"/>
  <c r="J132" i="10"/>
  <c r="I132" i="10"/>
  <c r="T132" i="10"/>
  <c r="U132" i="10"/>
  <c r="AC132" i="10" s="1"/>
  <c r="N132" i="10"/>
  <c r="AA132" i="10" s="1"/>
  <c r="Q144" i="10"/>
  <c r="O144" i="10"/>
  <c r="AD144" i="10" s="1"/>
  <c r="N144" i="10"/>
  <c r="AA144" i="10" s="1"/>
  <c r="M144" i="10"/>
  <c r="Z144" i="10" s="1"/>
  <c r="L144" i="10"/>
  <c r="K144" i="10"/>
  <c r="U144" i="10"/>
  <c r="T144" i="10"/>
  <c r="S144" i="10"/>
  <c r="R144" i="10"/>
  <c r="P144" i="10"/>
  <c r="J144" i="10"/>
  <c r="I144" i="10"/>
  <c r="R156" i="10"/>
  <c r="AG156" i="10" s="1"/>
  <c r="P156" i="10"/>
  <c r="AE156" i="10" s="1"/>
  <c r="O156" i="10"/>
  <c r="AD156" i="10" s="1"/>
  <c r="M156" i="10"/>
  <c r="L156" i="10"/>
  <c r="K156" i="10"/>
  <c r="J156" i="10"/>
  <c r="I156" i="10"/>
  <c r="Q156" i="10"/>
  <c r="S156" i="10"/>
  <c r="AH156" i="10" s="1"/>
  <c r="N156" i="10"/>
  <c r="AA156" i="10" s="1"/>
  <c r="T156" i="10"/>
  <c r="AI156" i="10" s="1"/>
  <c r="U156" i="10"/>
  <c r="AC156" i="10" s="1"/>
  <c r="R168" i="10"/>
  <c r="AG168" i="10" s="1"/>
  <c r="P168" i="10"/>
  <c r="AE168" i="10" s="1"/>
  <c r="N168" i="10"/>
  <c r="J168" i="10"/>
  <c r="I168" i="10"/>
  <c r="U168" i="10"/>
  <c r="AC168" i="10" s="1"/>
  <c r="T168" i="10"/>
  <c r="AI168" i="10" s="1"/>
  <c r="S168" i="10"/>
  <c r="Q168" i="10"/>
  <c r="AF168" i="10" s="1"/>
  <c r="K168" i="10"/>
  <c r="X168" i="10" s="1"/>
  <c r="L168" i="10"/>
  <c r="Y168" i="10" s="1"/>
  <c r="M168" i="10"/>
  <c r="Z168" i="10" s="1"/>
  <c r="O168" i="10"/>
  <c r="AD168" i="10" s="1"/>
  <c r="K175" i="10"/>
  <c r="X175" i="10" s="1"/>
  <c r="J175" i="10"/>
  <c r="U175" i="10"/>
  <c r="I175" i="10"/>
  <c r="S175" i="10"/>
  <c r="AH175" i="10" s="1"/>
  <c r="R175" i="10"/>
  <c r="AG175" i="10" s="1"/>
  <c r="P175" i="10"/>
  <c r="Q175" i="10"/>
  <c r="AF175" i="10" s="1"/>
  <c r="O175" i="10"/>
  <c r="AD175" i="10" s="1"/>
  <c r="N175" i="10"/>
  <c r="AA175" i="10" s="1"/>
  <c r="M175" i="10"/>
  <c r="Z175" i="10" s="1"/>
  <c r="L175" i="10"/>
  <c r="Y175" i="10" s="1"/>
  <c r="T175" i="10"/>
  <c r="AI175" i="10" s="1"/>
  <c r="J188" i="10"/>
  <c r="T188" i="10"/>
  <c r="U188" i="10"/>
  <c r="S188" i="10"/>
  <c r="Q188" i="10"/>
  <c r="P188" i="10"/>
  <c r="O188" i="10"/>
  <c r="AD188" i="10" s="1"/>
  <c r="N188" i="10"/>
  <c r="AA188" i="10" s="1"/>
  <c r="L188" i="10"/>
  <c r="Y188" i="10" s="1"/>
  <c r="K188" i="10"/>
  <c r="X188" i="10" s="1"/>
  <c r="M188" i="10"/>
  <c r="Z188" i="10" s="1"/>
  <c r="R188" i="10"/>
  <c r="AG188" i="10" s="1"/>
  <c r="I188" i="10"/>
  <c r="P194" i="10"/>
  <c r="N194" i="10"/>
  <c r="Q194" i="10"/>
  <c r="O194" i="10"/>
  <c r="M194" i="10"/>
  <c r="K194" i="10"/>
  <c r="J194" i="10"/>
  <c r="I194" i="10"/>
  <c r="U194" i="10"/>
  <c r="AC194" i="10" s="1"/>
  <c r="T194" i="10"/>
  <c r="AI194" i="10" s="1"/>
  <c r="S194" i="10"/>
  <c r="AH194" i="10" s="1"/>
  <c r="R194" i="10"/>
  <c r="L194" i="10"/>
  <c r="N196" i="10"/>
  <c r="M196" i="10"/>
  <c r="L196" i="10"/>
  <c r="K196" i="10"/>
  <c r="J196" i="10"/>
  <c r="I196" i="10"/>
  <c r="U196" i="10"/>
  <c r="AC196" i="10" s="1"/>
  <c r="T196" i="10"/>
  <c r="AI196" i="10" s="1"/>
  <c r="S196" i="10"/>
  <c r="AH196" i="10" s="1"/>
  <c r="R196" i="10"/>
  <c r="AG196" i="10" s="1"/>
  <c r="Q196" i="10"/>
  <c r="P196" i="10"/>
  <c r="O196" i="10"/>
  <c r="L198" i="10"/>
  <c r="K198" i="10"/>
  <c r="J198" i="10"/>
  <c r="U198" i="10"/>
  <c r="I198" i="10"/>
  <c r="T198" i="10"/>
  <c r="AI198" i="10" s="1"/>
  <c r="S198" i="10"/>
  <c r="AH198" i="10" s="1"/>
  <c r="R198" i="10"/>
  <c r="AG198" i="10" s="1"/>
  <c r="N198" i="10"/>
  <c r="AA198" i="10" s="1"/>
  <c r="M198" i="10"/>
  <c r="Q198" i="10"/>
  <c r="P198" i="10"/>
  <c r="O198" i="10"/>
  <c r="J200" i="10"/>
  <c r="U200" i="10"/>
  <c r="I200" i="10"/>
  <c r="T200" i="10"/>
  <c r="S200" i="10"/>
  <c r="AH200" i="10" s="1"/>
  <c r="R200" i="10"/>
  <c r="AG200" i="10" s="1"/>
  <c r="Q200" i="10"/>
  <c r="AF200" i="10" s="1"/>
  <c r="P200" i="10"/>
  <c r="AE200" i="10" s="1"/>
  <c r="O200" i="10"/>
  <c r="N200" i="10"/>
  <c r="L200" i="10"/>
  <c r="K200" i="10"/>
  <c r="M200" i="10"/>
  <c r="U221" i="10"/>
  <c r="I221" i="10"/>
  <c r="T221" i="10"/>
  <c r="S221" i="10"/>
  <c r="AH221" i="10" s="1"/>
  <c r="R221" i="10"/>
  <c r="AG221" i="10" s="1"/>
  <c r="Q221" i="10"/>
  <c r="AF221" i="10" s="1"/>
  <c r="K221" i="10"/>
  <c r="X221" i="10" s="1"/>
  <c r="J221" i="10"/>
  <c r="L221" i="10"/>
  <c r="P221" i="10"/>
  <c r="O221" i="10"/>
  <c r="N221" i="10"/>
  <c r="M221" i="10"/>
  <c r="K256" i="10"/>
  <c r="J256" i="10"/>
  <c r="U256" i="10"/>
  <c r="AC256" i="10" s="1"/>
  <c r="T256" i="10"/>
  <c r="AI256" i="10" s="1"/>
  <c r="S256" i="10"/>
  <c r="AH256" i="10" s="1"/>
  <c r="R256" i="10"/>
  <c r="AG256" i="10" s="1"/>
  <c r="Q256" i="10"/>
  <c r="P256" i="10"/>
  <c r="O256" i="10"/>
  <c r="N256" i="10"/>
  <c r="M256" i="10"/>
  <c r="L256" i="10"/>
  <c r="I256" i="10"/>
  <c r="O271" i="10"/>
  <c r="N271" i="10"/>
  <c r="I271" i="10"/>
  <c r="U271" i="10"/>
  <c r="AC271" i="10" s="1"/>
  <c r="T271" i="10"/>
  <c r="AI271" i="10" s="1"/>
  <c r="S271" i="10"/>
  <c r="R271" i="10"/>
  <c r="Q271" i="10"/>
  <c r="P271" i="10"/>
  <c r="M271" i="10"/>
  <c r="L271" i="10"/>
  <c r="K271" i="10"/>
  <c r="J271" i="10"/>
  <c r="J294" i="10"/>
  <c r="P294" i="10"/>
  <c r="AE294" i="10" s="1"/>
  <c r="M294" i="10"/>
  <c r="Z294" i="10" s="1"/>
  <c r="T294" i="10"/>
  <c r="AI294" i="10" s="1"/>
  <c r="N294" i="10"/>
  <c r="L294" i="10"/>
  <c r="K294" i="10"/>
  <c r="U294" i="10"/>
  <c r="S294" i="10"/>
  <c r="R294" i="10"/>
  <c r="Q294" i="10"/>
  <c r="O294" i="10"/>
  <c r="I294" i="10"/>
  <c r="S309" i="10"/>
  <c r="AH309" i="10" s="1"/>
  <c r="U309" i="10"/>
  <c r="AC309" i="10" s="1"/>
  <c r="Q309" i="10"/>
  <c r="AF309" i="10" s="1"/>
  <c r="L309" i="10"/>
  <c r="T309" i="10"/>
  <c r="O309" i="10"/>
  <c r="K309" i="10"/>
  <c r="J309" i="10"/>
  <c r="I309" i="10"/>
  <c r="R309" i="10"/>
  <c r="AG309" i="10" s="1"/>
  <c r="P309" i="10"/>
  <c r="AE309" i="10" s="1"/>
  <c r="N309" i="10"/>
  <c r="AA309" i="10" s="1"/>
  <c r="M309" i="10"/>
  <c r="Z309" i="10" s="1"/>
  <c r="M229" i="10"/>
  <c r="Z229" i="10" s="1"/>
  <c r="L229" i="10"/>
  <c r="Y229" i="10" s="1"/>
  <c r="K229" i="10"/>
  <c r="J229" i="10"/>
  <c r="U229" i="10"/>
  <c r="I229" i="10"/>
  <c r="T229" i="10"/>
  <c r="S229" i="10"/>
  <c r="R229" i="10"/>
  <c r="AG229" i="10" s="1"/>
  <c r="Q229" i="10"/>
  <c r="AF229" i="10" s="1"/>
  <c r="P229" i="10"/>
  <c r="AE229" i="10" s="1"/>
  <c r="O229" i="10"/>
  <c r="AD229" i="10" s="1"/>
  <c r="N229" i="10"/>
  <c r="AA229" i="10" s="1"/>
  <c r="J241" i="10"/>
  <c r="W241" i="10" s="1"/>
  <c r="U241" i="10"/>
  <c r="I241" i="10"/>
  <c r="T241" i="10"/>
  <c r="O241" i="10"/>
  <c r="N241" i="10"/>
  <c r="M241" i="10"/>
  <c r="L241" i="10"/>
  <c r="Y241" i="10" s="1"/>
  <c r="K241" i="10"/>
  <c r="X241" i="10" s="1"/>
  <c r="S241" i="10"/>
  <c r="AH241" i="10" s="1"/>
  <c r="R241" i="10"/>
  <c r="AG241" i="10" s="1"/>
  <c r="Q241" i="10"/>
  <c r="AF241" i="10" s="1"/>
  <c r="P241" i="10"/>
  <c r="AE241" i="10" s="1"/>
  <c r="N253" i="10"/>
  <c r="M253" i="10"/>
  <c r="J253" i="10"/>
  <c r="I253" i="10"/>
  <c r="U253" i="10"/>
  <c r="T253" i="10"/>
  <c r="S253" i="10"/>
  <c r="AH253" i="10" s="1"/>
  <c r="P253" i="10"/>
  <c r="AE253" i="10" s="1"/>
  <c r="O253" i="10"/>
  <c r="AD253" i="10" s="1"/>
  <c r="L253" i="10"/>
  <c r="Y253" i="10" s="1"/>
  <c r="K253" i="10"/>
  <c r="X253" i="10" s="1"/>
  <c r="R253" i="10"/>
  <c r="AG253" i="10" s="1"/>
  <c r="Q253" i="10"/>
  <c r="U265" i="10"/>
  <c r="N265" i="10"/>
  <c r="M265" i="10"/>
  <c r="L265" i="10"/>
  <c r="J265" i="10"/>
  <c r="T265" i="10"/>
  <c r="AI265" i="10" s="1"/>
  <c r="S265" i="10"/>
  <c r="AH265" i="10" s="1"/>
  <c r="R265" i="10"/>
  <c r="AG265" i="10" s="1"/>
  <c r="Q265" i="10"/>
  <c r="AF265" i="10" s="1"/>
  <c r="P265" i="10"/>
  <c r="AE265" i="10" s="1"/>
  <c r="O265" i="10"/>
  <c r="AD265" i="10" s="1"/>
  <c r="K265" i="10"/>
  <c r="I265" i="10"/>
  <c r="U277" i="10"/>
  <c r="I277" i="10"/>
  <c r="T277" i="10"/>
  <c r="S277" i="10"/>
  <c r="K277" i="10"/>
  <c r="X277" i="10" s="1"/>
  <c r="J277" i="10"/>
  <c r="W277" i="10" s="1"/>
  <c r="L277" i="10"/>
  <c r="Y277" i="10" s="1"/>
  <c r="R277" i="10"/>
  <c r="AG277" i="10" s="1"/>
  <c r="M277" i="10"/>
  <c r="Z277" i="10" s="1"/>
  <c r="Q277" i="10"/>
  <c r="AF277" i="10" s="1"/>
  <c r="P277" i="10"/>
  <c r="O277" i="10"/>
  <c r="N277" i="10"/>
  <c r="M289" i="10"/>
  <c r="J289" i="10"/>
  <c r="Q289" i="10"/>
  <c r="S289" i="10"/>
  <c r="R289" i="10"/>
  <c r="P289" i="10"/>
  <c r="I289" i="10"/>
  <c r="U289" i="10"/>
  <c r="AC289" i="10" s="1"/>
  <c r="T289" i="10"/>
  <c r="AI289" i="10" s="1"/>
  <c r="O289" i="10"/>
  <c r="N289" i="10"/>
  <c r="K289" i="10"/>
  <c r="L289" i="10"/>
  <c r="O301" i="10"/>
  <c r="K301" i="10"/>
  <c r="U301" i="10"/>
  <c r="AC301" i="10" s="1"/>
  <c r="P301" i="10"/>
  <c r="AE301" i="10" s="1"/>
  <c r="M301" i="10"/>
  <c r="Z301" i="10" s="1"/>
  <c r="L301" i="10"/>
  <c r="Y301" i="10" s="1"/>
  <c r="J301" i="10"/>
  <c r="W301" i="10" s="1"/>
  <c r="N301" i="10"/>
  <c r="AA301" i="10" s="1"/>
  <c r="I301" i="10"/>
  <c r="T301" i="10"/>
  <c r="S301" i="10"/>
  <c r="R301" i="10"/>
  <c r="Q301" i="10"/>
  <c r="O313" i="10"/>
  <c r="L313" i="10"/>
  <c r="I313" i="10"/>
  <c r="Q313" i="10"/>
  <c r="AF313" i="10" s="1"/>
  <c r="J313" i="10"/>
  <c r="W313" i="10" s="1"/>
  <c r="T313" i="10"/>
  <c r="AI313" i="10" s="1"/>
  <c r="P313" i="10"/>
  <c r="AE313" i="10" s="1"/>
  <c r="N313" i="10"/>
  <c r="M313" i="10"/>
  <c r="K313" i="10"/>
  <c r="S313" i="10"/>
  <c r="R313" i="10"/>
  <c r="U313" i="10"/>
  <c r="K231" i="10"/>
  <c r="J231" i="10"/>
  <c r="U231" i="10"/>
  <c r="I231" i="10"/>
  <c r="T231" i="10"/>
  <c r="AI231" i="10" s="1"/>
  <c r="S231" i="10"/>
  <c r="AH231" i="10" s="1"/>
  <c r="R231" i="10"/>
  <c r="Q231" i="10"/>
  <c r="P231" i="10"/>
  <c r="O231" i="10"/>
  <c r="N231" i="10"/>
  <c r="M231" i="10"/>
  <c r="L231" i="10"/>
  <c r="T243" i="10"/>
  <c r="S243" i="10"/>
  <c r="AH243" i="10" s="1"/>
  <c r="R243" i="10"/>
  <c r="AG243" i="10" s="1"/>
  <c r="P243" i="10"/>
  <c r="AE243" i="10" s="1"/>
  <c r="Q243" i="10"/>
  <c r="AF243" i="10" s="1"/>
  <c r="O243" i="10"/>
  <c r="N243" i="10"/>
  <c r="M243" i="10"/>
  <c r="L243" i="10"/>
  <c r="K243" i="10"/>
  <c r="J243" i="10"/>
  <c r="I243" i="10"/>
  <c r="U243" i="10"/>
  <c r="L255" i="10"/>
  <c r="K255" i="10"/>
  <c r="X255" i="10" s="1"/>
  <c r="R255" i="10"/>
  <c r="AG255" i="10" s="1"/>
  <c r="Q255" i="10"/>
  <c r="AF255" i="10" s="1"/>
  <c r="P255" i="10"/>
  <c r="O255" i="10"/>
  <c r="N255" i="10"/>
  <c r="M255" i="10"/>
  <c r="U255" i="10"/>
  <c r="T255" i="10"/>
  <c r="S255" i="10"/>
  <c r="J255" i="10"/>
  <c r="I255" i="10"/>
  <c r="S267" i="10"/>
  <c r="AH267" i="10" s="1"/>
  <c r="P267" i="10"/>
  <c r="AE267" i="10" s="1"/>
  <c r="O267" i="10"/>
  <c r="AD267" i="10" s="1"/>
  <c r="N267" i="10"/>
  <c r="L267" i="10"/>
  <c r="M267" i="10"/>
  <c r="K267" i="10"/>
  <c r="J267" i="10"/>
  <c r="I267" i="10"/>
  <c r="T267" i="10"/>
  <c r="AI267" i="10" s="1"/>
  <c r="R267" i="10"/>
  <c r="AG267" i="10" s="1"/>
  <c r="Q267" i="10"/>
  <c r="AF267" i="10" s="1"/>
  <c r="U267" i="10"/>
  <c r="AC267" i="10" s="1"/>
  <c r="S279" i="10"/>
  <c r="AH279" i="10" s="1"/>
  <c r="R279" i="10"/>
  <c r="AG279" i="10" s="1"/>
  <c r="Q279" i="10"/>
  <c r="I279" i="10"/>
  <c r="U279" i="10"/>
  <c r="T279" i="10"/>
  <c r="M279" i="10"/>
  <c r="L279" i="10"/>
  <c r="K279" i="10"/>
  <c r="X279" i="10" s="1"/>
  <c r="J279" i="10"/>
  <c r="W279" i="10" s="1"/>
  <c r="P279" i="10"/>
  <c r="AE279" i="10" s="1"/>
  <c r="O279" i="10"/>
  <c r="AD279" i="10" s="1"/>
  <c r="N279" i="10"/>
  <c r="AA279" i="10" s="1"/>
  <c r="M291" i="10"/>
  <c r="Z291" i="10" s="1"/>
  <c r="L291" i="10"/>
  <c r="I291" i="10"/>
  <c r="Q291" i="10"/>
  <c r="S291" i="10"/>
  <c r="R291" i="10"/>
  <c r="P291" i="10"/>
  <c r="U291" i="10"/>
  <c r="AC291" i="10" s="1"/>
  <c r="T291" i="10"/>
  <c r="AI291" i="10" s="1"/>
  <c r="O291" i="10"/>
  <c r="AD291" i="10" s="1"/>
  <c r="N291" i="10"/>
  <c r="AA291" i="10" s="1"/>
  <c r="K291" i="10"/>
  <c r="X291" i="10" s="1"/>
  <c r="J291" i="10"/>
  <c r="W291" i="10" s="1"/>
  <c r="M303" i="10"/>
  <c r="N303" i="10"/>
  <c r="J303" i="10"/>
  <c r="R303" i="10"/>
  <c r="P303" i="10"/>
  <c r="O303" i="10"/>
  <c r="L303" i="10"/>
  <c r="Y303" i="10" s="1"/>
  <c r="U303" i="10"/>
  <c r="AC303" i="10" s="1"/>
  <c r="T303" i="10"/>
  <c r="AI303" i="10" s="1"/>
  <c r="S303" i="10"/>
  <c r="AH303" i="10" s="1"/>
  <c r="Q303" i="10"/>
  <c r="AF303" i="10" s="1"/>
  <c r="K303" i="10"/>
  <c r="X303" i="10" s="1"/>
  <c r="I303" i="10"/>
  <c r="M315" i="10"/>
  <c r="O315" i="10"/>
  <c r="K315" i="10"/>
  <c r="S315" i="10"/>
  <c r="P315" i="10"/>
  <c r="R315" i="10"/>
  <c r="Q315" i="10"/>
  <c r="N315" i="10"/>
  <c r="I315" i="10"/>
  <c r="U315" i="10"/>
  <c r="AC315" i="10" s="1"/>
  <c r="T315" i="10"/>
  <c r="AI315" i="10" s="1"/>
  <c r="L315" i="10"/>
  <c r="J315" i="10"/>
  <c r="T202" i="10"/>
  <c r="S202" i="10"/>
  <c r="AH202" i="10" s="1"/>
  <c r="R202" i="10"/>
  <c r="AG202" i="10" s="1"/>
  <c r="Q202" i="10"/>
  <c r="P202" i="10"/>
  <c r="AE202" i="10" s="1"/>
  <c r="O202" i="10"/>
  <c r="AD202" i="10" s="1"/>
  <c r="N202" i="10"/>
  <c r="AA202" i="10" s="1"/>
  <c r="U202" i="10"/>
  <c r="AC202" i="10" s="1"/>
  <c r="M202" i="10"/>
  <c r="Z202" i="10" s="1"/>
  <c r="L202" i="10"/>
  <c r="Y202" i="10" s="1"/>
  <c r="K202" i="10"/>
  <c r="J202" i="10"/>
  <c r="I202" i="10"/>
  <c r="P214" i="10"/>
  <c r="O214" i="10"/>
  <c r="N214" i="10"/>
  <c r="J214" i="10"/>
  <c r="I214" i="10"/>
  <c r="U214" i="10"/>
  <c r="AC214" i="10" s="1"/>
  <c r="T214" i="10"/>
  <c r="AI214" i="10" s="1"/>
  <c r="S214" i="10"/>
  <c r="AH214" i="10" s="1"/>
  <c r="M214" i="10"/>
  <c r="Z214" i="10" s="1"/>
  <c r="L214" i="10"/>
  <c r="K214" i="10"/>
  <c r="R214" i="10"/>
  <c r="Q214" i="10"/>
  <c r="P226" i="10"/>
  <c r="O226" i="10"/>
  <c r="N226" i="10"/>
  <c r="AA226" i="10" s="1"/>
  <c r="M226" i="10"/>
  <c r="Z226" i="10" s="1"/>
  <c r="L226" i="10"/>
  <c r="Y226" i="10" s="1"/>
  <c r="U226" i="10"/>
  <c r="AC226" i="10" s="1"/>
  <c r="T226" i="10"/>
  <c r="AI226" i="10" s="1"/>
  <c r="S226" i="10"/>
  <c r="AH226" i="10" s="1"/>
  <c r="R226" i="10"/>
  <c r="K226" i="10"/>
  <c r="J226" i="10"/>
  <c r="I226" i="10"/>
  <c r="Q226" i="10"/>
  <c r="M238" i="10"/>
  <c r="L238" i="10"/>
  <c r="K238" i="10"/>
  <c r="I238" i="10"/>
  <c r="U238" i="10"/>
  <c r="AC238" i="10" s="1"/>
  <c r="T238" i="10"/>
  <c r="AI238" i="10" s="1"/>
  <c r="S238" i="10"/>
  <c r="AH238" i="10" s="1"/>
  <c r="R238" i="10"/>
  <c r="Q238" i="10"/>
  <c r="P238" i="10"/>
  <c r="O238" i="10"/>
  <c r="N238" i="10"/>
  <c r="J238" i="10"/>
  <c r="M250" i="10"/>
  <c r="L250" i="10"/>
  <c r="K250" i="10"/>
  <c r="J250" i="10"/>
  <c r="U250" i="10"/>
  <c r="I250" i="10"/>
  <c r="T250" i="10"/>
  <c r="Q250" i="10"/>
  <c r="P250" i="10"/>
  <c r="O250" i="10"/>
  <c r="N250" i="10"/>
  <c r="S250" i="10"/>
  <c r="R250" i="10"/>
  <c r="Q262" i="10"/>
  <c r="P262" i="10"/>
  <c r="O262" i="10"/>
  <c r="J262" i="10"/>
  <c r="I262" i="10"/>
  <c r="U262" i="10"/>
  <c r="T262" i="10"/>
  <c r="S262" i="10"/>
  <c r="L262" i="10"/>
  <c r="K262" i="10"/>
  <c r="R262" i="10"/>
  <c r="N262" i="10"/>
  <c r="M262" i="10"/>
  <c r="L274" i="10"/>
  <c r="Y274" i="10" s="1"/>
  <c r="K274" i="10"/>
  <c r="X274" i="10" s="1"/>
  <c r="T274" i="10"/>
  <c r="AI274" i="10" s="1"/>
  <c r="S274" i="10"/>
  <c r="AH274" i="10" s="1"/>
  <c r="R274" i="10"/>
  <c r="Q274" i="10"/>
  <c r="P274" i="10"/>
  <c r="U274" i="10"/>
  <c r="O274" i="10"/>
  <c r="N274" i="10"/>
  <c r="J274" i="10"/>
  <c r="I274" i="10"/>
  <c r="M274" i="10"/>
  <c r="Z274" i="10" s="1"/>
  <c r="P286" i="10"/>
  <c r="M286" i="10"/>
  <c r="Z286" i="10" s="1"/>
  <c r="T286" i="10"/>
  <c r="AI286" i="10" s="1"/>
  <c r="N286" i="10"/>
  <c r="L286" i="10"/>
  <c r="K286" i="10"/>
  <c r="U286" i="10"/>
  <c r="S286" i="10"/>
  <c r="R286" i="10"/>
  <c r="Q286" i="10"/>
  <c r="O286" i="10"/>
  <c r="J286" i="10"/>
  <c r="I286" i="10"/>
  <c r="R298" i="10"/>
  <c r="AG298" i="10" s="1"/>
  <c r="U298" i="10"/>
  <c r="AC298" i="10" s="1"/>
  <c r="Q298" i="10"/>
  <c r="L298" i="10"/>
  <c r="S298" i="10"/>
  <c r="P298" i="10"/>
  <c r="O298" i="10"/>
  <c r="M298" i="10"/>
  <c r="K298" i="10"/>
  <c r="J298" i="10"/>
  <c r="I298" i="10"/>
  <c r="T298" i="10"/>
  <c r="AI298" i="10" s="1"/>
  <c r="N298" i="10"/>
  <c r="AA298" i="10" s="1"/>
  <c r="R310" i="10"/>
  <c r="AG310" i="10" s="1"/>
  <c r="I310" i="10"/>
  <c r="S310" i="10"/>
  <c r="M310" i="10"/>
  <c r="O310" i="10"/>
  <c r="N310" i="10"/>
  <c r="L310" i="10"/>
  <c r="K310" i="10"/>
  <c r="X310" i="10" s="1"/>
  <c r="J310" i="10"/>
  <c r="W310" i="10" s="1"/>
  <c r="U310" i="10"/>
  <c r="AC310" i="10" s="1"/>
  <c r="T310" i="10"/>
  <c r="AI310" i="10" s="1"/>
  <c r="Q310" i="10"/>
  <c r="AF310" i="10" s="1"/>
  <c r="P310" i="10"/>
  <c r="AE310" i="10" s="1"/>
  <c r="R322" i="10"/>
  <c r="J322" i="10"/>
  <c r="T322" i="10"/>
  <c r="N322" i="10"/>
  <c r="K322" i="10"/>
  <c r="S322" i="10"/>
  <c r="Q322" i="10"/>
  <c r="AF322" i="10" s="1"/>
  <c r="P322" i="10"/>
  <c r="AE322" i="10" s="1"/>
  <c r="L322" i="10"/>
  <c r="Y322" i="10" s="1"/>
  <c r="U322" i="10"/>
  <c r="AC322" i="10" s="1"/>
  <c r="O322" i="10"/>
  <c r="AD322" i="10" s="1"/>
  <c r="M322" i="10"/>
  <c r="Z322" i="10" s="1"/>
  <c r="I322" i="10"/>
  <c r="R245" i="10"/>
  <c r="Q245" i="10"/>
  <c r="P245" i="10"/>
  <c r="N245" i="10"/>
  <c r="U245" i="10"/>
  <c r="T245" i="10"/>
  <c r="AI245" i="10" s="1"/>
  <c r="S245" i="10"/>
  <c r="AH245" i="10" s="1"/>
  <c r="O245" i="10"/>
  <c r="AD245" i="10" s="1"/>
  <c r="M245" i="10"/>
  <c r="Z245" i="10" s="1"/>
  <c r="L245" i="10"/>
  <c r="Y245" i="10" s="1"/>
  <c r="K245" i="10"/>
  <c r="X245" i="10" s="1"/>
  <c r="J245" i="10"/>
  <c r="I245" i="10"/>
  <c r="J257" i="10"/>
  <c r="U257" i="10"/>
  <c r="I257" i="10"/>
  <c r="L257" i="10"/>
  <c r="K257" i="10"/>
  <c r="X257" i="10" s="1"/>
  <c r="T257" i="10"/>
  <c r="AI257" i="10" s="1"/>
  <c r="S257" i="10"/>
  <c r="AH257" i="10" s="1"/>
  <c r="R257" i="10"/>
  <c r="AG257" i="10" s="1"/>
  <c r="Q257" i="10"/>
  <c r="AF257" i="10" s="1"/>
  <c r="P257" i="10"/>
  <c r="AE257" i="10" s="1"/>
  <c r="O257" i="10"/>
  <c r="N257" i="10"/>
  <c r="M257" i="10"/>
  <c r="Q269" i="10"/>
  <c r="S269" i="10"/>
  <c r="R269" i="10"/>
  <c r="P269" i="10"/>
  <c r="O269" i="10"/>
  <c r="N269" i="10"/>
  <c r="I269" i="10"/>
  <c r="U269" i="10"/>
  <c r="AC269" i="10" s="1"/>
  <c r="T269" i="10"/>
  <c r="AI269" i="10" s="1"/>
  <c r="M269" i="10"/>
  <c r="L269" i="10"/>
  <c r="K269" i="10"/>
  <c r="J269" i="10"/>
  <c r="U281" i="10"/>
  <c r="I281" i="10"/>
  <c r="M281" i="10"/>
  <c r="Z281" i="10" s="1"/>
  <c r="T281" i="10"/>
  <c r="AI281" i="10" s="1"/>
  <c r="S281" i="10"/>
  <c r="AH281" i="10" s="1"/>
  <c r="J281" i="10"/>
  <c r="W281" i="10" s="1"/>
  <c r="R281" i="10"/>
  <c r="AG281" i="10" s="1"/>
  <c r="Q281" i="10"/>
  <c r="AF281" i="10" s="1"/>
  <c r="P281" i="10"/>
  <c r="O281" i="10"/>
  <c r="N281" i="10"/>
  <c r="L281" i="10"/>
  <c r="K281" i="10"/>
  <c r="K293" i="10"/>
  <c r="O293" i="10"/>
  <c r="AD293" i="10" s="1"/>
  <c r="L293" i="10"/>
  <c r="Y293" i="10" s="1"/>
  <c r="S293" i="10"/>
  <c r="AH293" i="10" s="1"/>
  <c r="U293" i="10"/>
  <c r="AC293" i="10" s="1"/>
  <c r="T293" i="10"/>
  <c r="AI293" i="10" s="1"/>
  <c r="R293" i="10"/>
  <c r="AG293" i="10" s="1"/>
  <c r="Q293" i="10"/>
  <c r="P293" i="10"/>
  <c r="N293" i="10"/>
  <c r="I293" i="10"/>
  <c r="J293" i="10"/>
  <c r="M293" i="10"/>
  <c r="K305" i="10"/>
  <c r="P305" i="10"/>
  <c r="M305" i="10"/>
  <c r="Z305" i="10" s="1"/>
  <c r="T305" i="10"/>
  <c r="AI305" i="10" s="1"/>
  <c r="R305" i="10"/>
  <c r="AG305" i="10" s="1"/>
  <c r="Q305" i="10"/>
  <c r="AF305" i="10" s="1"/>
  <c r="O305" i="10"/>
  <c r="J305" i="10"/>
  <c r="U305" i="10"/>
  <c r="S305" i="10"/>
  <c r="N305" i="10"/>
  <c r="L305" i="10"/>
  <c r="I305" i="10"/>
  <c r="K317" i="10"/>
  <c r="X317" i="10" s="1"/>
  <c r="Q317" i="10"/>
  <c r="AF317" i="10" s="1"/>
  <c r="N317" i="10"/>
  <c r="AA317" i="10" s="1"/>
  <c r="U317" i="10"/>
  <c r="AC317" i="10" s="1"/>
  <c r="R317" i="10"/>
  <c r="AG317" i="10" s="1"/>
  <c r="S317" i="10"/>
  <c r="O317" i="10"/>
  <c r="M317" i="10"/>
  <c r="L317" i="10"/>
  <c r="J317" i="10"/>
  <c r="I317" i="10"/>
  <c r="T317" i="10"/>
  <c r="AI317" i="10" s="1"/>
  <c r="P317" i="10"/>
  <c r="AE317" i="10" s="1"/>
  <c r="R180" i="10"/>
  <c r="AG180" i="10" s="1"/>
  <c r="Q180" i="10"/>
  <c r="AF180" i="10" s="1"/>
  <c r="P180" i="10"/>
  <c r="AE180" i="10" s="1"/>
  <c r="N180" i="10"/>
  <c r="AA180" i="10" s="1"/>
  <c r="M180" i="10"/>
  <c r="K180" i="10"/>
  <c r="T180" i="10"/>
  <c r="S180" i="10"/>
  <c r="L180" i="10"/>
  <c r="J180" i="10"/>
  <c r="I180" i="10"/>
  <c r="U180" i="10"/>
  <c r="O180" i="10"/>
  <c r="AD180" i="10" s="1"/>
  <c r="R192" i="10"/>
  <c r="P192" i="10"/>
  <c r="I192" i="10"/>
  <c r="U192" i="10"/>
  <c r="S192" i="10"/>
  <c r="Q192" i="10"/>
  <c r="O192" i="10"/>
  <c r="N192" i="10"/>
  <c r="M192" i="10"/>
  <c r="L192" i="10"/>
  <c r="K192" i="10"/>
  <c r="J192" i="10"/>
  <c r="T192" i="10"/>
  <c r="R204" i="10"/>
  <c r="Q204" i="10"/>
  <c r="AF204" i="10" s="1"/>
  <c r="P204" i="10"/>
  <c r="O204" i="10"/>
  <c r="N204" i="10"/>
  <c r="M204" i="10"/>
  <c r="L204" i="10"/>
  <c r="U204" i="10"/>
  <c r="T204" i="10"/>
  <c r="S204" i="10"/>
  <c r="K204" i="10"/>
  <c r="J204" i="10"/>
  <c r="I204" i="10"/>
  <c r="N216" i="10"/>
  <c r="M216" i="10"/>
  <c r="L216" i="10"/>
  <c r="U216" i="10"/>
  <c r="T216" i="10"/>
  <c r="S216" i="10"/>
  <c r="R216" i="10"/>
  <c r="Q216" i="10"/>
  <c r="P216" i="10"/>
  <c r="O216" i="10"/>
  <c r="K216" i="10"/>
  <c r="J216" i="10"/>
  <c r="I216" i="10"/>
  <c r="N228" i="10"/>
  <c r="M228" i="10"/>
  <c r="L228" i="10"/>
  <c r="K228" i="10"/>
  <c r="J228" i="10"/>
  <c r="U228" i="10"/>
  <c r="I228" i="10"/>
  <c r="T228" i="10"/>
  <c r="S228" i="10"/>
  <c r="AH228" i="10" s="1"/>
  <c r="R228" i="10"/>
  <c r="AG228" i="10" s="1"/>
  <c r="Q228" i="10"/>
  <c r="AF228" i="10" s="1"/>
  <c r="P228" i="10"/>
  <c r="AE228" i="10" s="1"/>
  <c r="O228" i="10"/>
  <c r="K240" i="10"/>
  <c r="J240" i="10"/>
  <c r="U240" i="10"/>
  <c r="I240" i="10"/>
  <c r="T240" i="10"/>
  <c r="S240" i="10"/>
  <c r="AH240" i="10" s="1"/>
  <c r="R240" i="10"/>
  <c r="AG240" i="10" s="1"/>
  <c r="Q240" i="10"/>
  <c r="AF240" i="10" s="1"/>
  <c r="P240" i="10"/>
  <c r="AE240" i="10" s="1"/>
  <c r="O240" i="10"/>
  <c r="AD240" i="10" s="1"/>
  <c r="N240" i="10"/>
  <c r="AA240" i="10" s="1"/>
  <c r="M240" i="10"/>
  <c r="L240" i="10"/>
  <c r="K252" i="10"/>
  <c r="J252" i="10"/>
  <c r="U252" i="10"/>
  <c r="I252" i="10"/>
  <c r="T252" i="10"/>
  <c r="AI252" i="10" s="1"/>
  <c r="S252" i="10"/>
  <c r="AH252" i="10" s="1"/>
  <c r="R252" i="10"/>
  <c r="AG252" i="10" s="1"/>
  <c r="O252" i="10"/>
  <c r="AD252" i="10" s="1"/>
  <c r="N252" i="10"/>
  <c r="AA252" i="10" s="1"/>
  <c r="M252" i="10"/>
  <c r="Z252" i="10" s="1"/>
  <c r="L252" i="10"/>
  <c r="Q252" i="10"/>
  <c r="P252" i="10"/>
  <c r="O264" i="10"/>
  <c r="N264" i="10"/>
  <c r="M264" i="10"/>
  <c r="K264" i="10"/>
  <c r="L264" i="10"/>
  <c r="J264" i="10"/>
  <c r="I264" i="10"/>
  <c r="U264" i="10"/>
  <c r="AC264" i="10" s="1"/>
  <c r="T264" i="10"/>
  <c r="AI264" i="10" s="1"/>
  <c r="S264" i="10"/>
  <c r="R264" i="10"/>
  <c r="Q264" i="10"/>
  <c r="P264" i="10"/>
  <c r="J276" i="10"/>
  <c r="U276" i="10"/>
  <c r="I276" i="10"/>
  <c r="T276" i="10"/>
  <c r="R276" i="10"/>
  <c r="AG276" i="10" s="1"/>
  <c r="Q276" i="10"/>
  <c r="AF276" i="10" s="1"/>
  <c r="P276" i="10"/>
  <c r="AE276" i="10" s="1"/>
  <c r="O276" i="10"/>
  <c r="AD276" i="10" s="1"/>
  <c r="N276" i="10"/>
  <c r="S276" i="10"/>
  <c r="M276" i="10"/>
  <c r="L276" i="10"/>
  <c r="K276" i="10"/>
  <c r="N288" i="10"/>
  <c r="K288" i="10"/>
  <c r="R288" i="10"/>
  <c r="L288" i="10"/>
  <c r="J288" i="10"/>
  <c r="I288" i="10"/>
  <c r="O288" i="10"/>
  <c r="AD288" i="10" s="1"/>
  <c r="M288" i="10"/>
  <c r="T288" i="10"/>
  <c r="S288" i="10"/>
  <c r="Q288" i="10"/>
  <c r="P288" i="10"/>
  <c r="U288" i="10"/>
  <c r="P300" i="10"/>
  <c r="AE300" i="10" s="1"/>
  <c r="J300" i="10"/>
  <c r="W300" i="10" s="1"/>
  <c r="T300" i="10"/>
  <c r="AI300" i="10" s="1"/>
  <c r="N300" i="10"/>
  <c r="AA300" i="10" s="1"/>
  <c r="U300" i="10"/>
  <c r="AC300" i="10" s="1"/>
  <c r="S300" i="10"/>
  <c r="AH300" i="10" s="1"/>
  <c r="R300" i="10"/>
  <c r="K300" i="10"/>
  <c r="I300" i="10"/>
  <c r="Q300" i="10"/>
  <c r="O300" i="10"/>
  <c r="AD300" i="10" s="1"/>
  <c r="M300" i="10"/>
  <c r="L300" i="10"/>
  <c r="Y300" i="10" s="1"/>
  <c r="P312" i="10"/>
  <c r="AE312" i="10" s="1"/>
  <c r="K312" i="10"/>
  <c r="X312" i="10" s="1"/>
  <c r="U312" i="10"/>
  <c r="AC312" i="10" s="1"/>
  <c r="O312" i="10"/>
  <c r="AD312" i="10" s="1"/>
  <c r="R312" i="10"/>
  <c r="AG312" i="10" s="1"/>
  <c r="Q312" i="10"/>
  <c r="N312" i="10"/>
  <c r="J312" i="10"/>
  <c r="M312" i="10"/>
  <c r="L312" i="10"/>
  <c r="I312" i="10"/>
  <c r="T312" i="10"/>
  <c r="AI312" i="10" s="1"/>
  <c r="S312" i="10"/>
  <c r="AH312" i="10" s="1"/>
  <c r="J176" i="10"/>
  <c r="U176" i="10"/>
  <c r="I176" i="10"/>
  <c r="T176" i="10"/>
  <c r="AI176" i="10" s="1"/>
  <c r="R176" i="10"/>
  <c r="Q176" i="10"/>
  <c r="O176" i="10"/>
  <c r="P176" i="10"/>
  <c r="N176" i="10"/>
  <c r="M176" i="10"/>
  <c r="L176" i="10"/>
  <c r="K176" i="10"/>
  <c r="S176" i="10"/>
  <c r="O121" i="10"/>
  <c r="AD121" i="10" s="1"/>
  <c r="N121" i="10"/>
  <c r="AA121" i="10" s="1"/>
  <c r="M121" i="10"/>
  <c r="Z121" i="10" s="1"/>
  <c r="K121" i="10"/>
  <c r="J121" i="10"/>
  <c r="U121" i="10"/>
  <c r="I121" i="10"/>
  <c r="T121" i="10"/>
  <c r="S121" i="10"/>
  <c r="P121" i="10"/>
  <c r="AE121" i="10" s="1"/>
  <c r="R121" i="10"/>
  <c r="AG121" i="10" s="1"/>
  <c r="Q121" i="10"/>
  <c r="AF121" i="10" s="1"/>
  <c r="L121" i="10"/>
  <c r="Y121" i="10" s="1"/>
  <c r="L112" i="10"/>
  <c r="Y112" i="10" s="1"/>
  <c r="K112" i="10"/>
  <c r="X112" i="10" s="1"/>
  <c r="J112" i="10"/>
  <c r="S112" i="10"/>
  <c r="R112" i="10"/>
  <c r="Q112" i="10"/>
  <c r="P112" i="10"/>
  <c r="M112" i="10"/>
  <c r="U112" i="10"/>
  <c r="T112" i="10"/>
  <c r="I112" i="10"/>
  <c r="N112" i="10"/>
  <c r="AA112" i="10" s="1"/>
  <c r="O112" i="10"/>
  <c r="AD112" i="10" s="1"/>
  <c r="K35" i="10"/>
  <c r="X35" i="10" s="1"/>
  <c r="J35" i="10"/>
  <c r="U35" i="10"/>
  <c r="I35" i="10"/>
  <c r="S35" i="10"/>
  <c r="R35" i="10"/>
  <c r="AG35" i="10" s="1"/>
  <c r="T35" i="10"/>
  <c r="Q35" i="10"/>
  <c r="AF35" i="10" s="1"/>
  <c r="L35" i="10"/>
  <c r="Y35" i="10" s="1"/>
  <c r="O35" i="10"/>
  <c r="AD35" i="10" s="1"/>
  <c r="N35" i="10"/>
  <c r="AA35" i="10" s="1"/>
  <c r="M35" i="10"/>
  <c r="Z35" i="10" s="1"/>
  <c r="P35" i="10"/>
  <c r="AE35" i="10" s="1"/>
  <c r="J16" i="10"/>
  <c r="U16" i="10"/>
  <c r="I16" i="10"/>
  <c r="T16" i="10"/>
  <c r="S16" i="10"/>
  <c r="AH16" i="10" s="1"/>
  <c r="Q16" i="10"/>
  <c r="P16" i="10"/>
  <c r="AE16" i="10" s="1"/>
  <c r="K16" i="10"/>
  <c r="X16" i="10" s="1"/>
  <c r="R16" i="10"/>
  <c r="AG16" i="10" s="1"/>
  <c r="O16" i="10"/>
  <c r="AD16" i="10" s="1"/>
  <c r="L16" i="10"/>
  <c r="Y16" i="10" s="1"/>
  <c r="M16" i="10"/>
  <c r="Z16" i="10" s="1"/>
  <c r="N16" i="10"/>
  <c r="R224" i="10"/>
  <c r="Q224" i="10"/>
  <c r="P224" i="10"/>
  <c r="O224" i="10"/>
  <c r="N224" i="10"/>
  <c r="S224" i="10"/>
  <c r="M224" i="10"/>
  <c r="L224" i="10"/>
  <c r="K224" i="10"/>
  <c r="J224" i="10"/>
  <c r="I224" i="10"/>
  <c r="T224" i="10"/>
  <c r="U224" i="10"/>
  <c r="M45" i="10"/>
  <c r="L45" i="10"/>
  <c r="K45" i="10"/>
  <c r="U45" i="10"/>
  <c r="I45" i="10"/>
  <c r="T45" i="10"/>
  <c r="S45" i="10"/>
  <c r="AH45" i="10" s="1"/>
  <c r="R45" i="10"/>
  <c r="AG45" i="10" s="1"/>
  <c r="Q45" i="10"/>
  <c r="AF45" i="10" s="1"/>
  <c r="P45" i="10"/>
  <c r="AE45" i="10" s="1"/>
  <c r="O45" i="10"/>
  <c r="N45" i="10"/>
  <c r="J45" i="10"/>
  <c r="O236" i="10"/>
  <c r="M236" i="10"/>
  <c r="P236" i="10"/>
  <c r="N236" i="10"/>
  <c r="L236" i="10"/>
  <c r="K236" i="10"/>
  <c r="J236" i="10"/>
  <c r="I236" i="10"/>
  <c r="U236" i="10"/>
  <c r="AC236" i="10" s="1"/>
  <c r="T236" i="10"/>
  <c r="S236" i="10"/>
  <c r="R236" i="10"/>
  <c r="Q236" i="10"/>
  <c r="U128" i="10"/>
  <c r="I128" i="10"/>
  <c r="J128" i="10"/>
  <c r="W128" i="10" s="1"/>
  <c r="T128" i="10"/>
  <c r="AI128" i="10" s="1"/>
  <c r="R128" i="10"/>
  <c r="AG128" i="10" s="1"/>
  <c r="Q128" i="10"/>
  <c r="AF128" i="10" s="1"/>
  <c r="P128" i="10"/>
  <c r="AE128" i="10" s="1"/>
  <c r="O128" i="10"/>
  <c r="AD128" i="10" s="1"/>
  <c r="N128" i="10"/>
  <c r="K128" i="10"/>
  <c r="L128" i="10"/>
  <c r="S128" i="10"/>
  <c r="M128" i="10"/>
  <c r="Q119" i="10"/>
  <c r="P119" i="10"/>
  <c r="AE119" i="10" s="1"/>
  <c r="O119" i="10"/>
  <c r="AD119" i="10" s="1"/>
  <c r="M119" i="10"/>
  <c r="Z119" i="10" s="1"/>
  <c r="L119" i="10"/>
  <c r="Y119" i="10" s="1"/>
  <c r="K119" i="10"/>
  <c r="X119" i="10" s="1"/>
  <c r="J119" i="10"/>
  <c r="W119" i="10" s="1"/>
  <c r="U119" i="10"/>
  <c r="I119" i="10"/>
  <c r="R119" i="10"/>
  <c r="T119" i="10"/>
  <c r="S119" i="10"/>
  <c r="N119" i="10"/>
  <c r="N98" i="10"/>
  <c r="M98" i="10"/>
  <c r="L98" i="10"/>
  <c r="U98" i="10"/>
  <c r="I98" i="10"/>
  <c r="T98" i="10"/>
  <c r="AI98" i="10" s="1"/>
  <c r="S98" i="10"/>
  <c r="P98" i="10"/>
  <c r="O98" i="10"/>
  <c r="K98" i="10"/>
  <c r="J98" i="10"/>
  <c r="R98" i="10"/>
  <c r="Q98" i="10"/>
  <c r="O55" i="10"/>
  <c r="AD55" i="10" s="1"/>
  <c r="N55" i="10"/>
  <c r="AA55" i="10" s="1"/>
  <c r="M55" i="10"/>
  <c r="Z55" i="10" s="1"/>
  <c r="K55" i="10"/>
  <c r="X55" i="10" s="1"/>
  <c r="J55" i="10"/>
  <c r="W55" i="10" s="1"/>
  <c r="U55" i="10"/>
  <c r="I55" i="10"/>
  <c r="T55" i="10"/>
  <c r="L55" i="10"/>
  <c r="P55" i="10"/>
  <c r="R55" i="10"/>
  <c r="Q55" i="10"/>
  <c r="AF55" i="10" s="1"/>
  <c r="S55" i="10"/>
  <c r="AH55" i="10" s="1"/>
  <c r="S39" i="10"/>
  <c r="AH39" i="10" s="1"/>
  <c r="R39" i="10"/>
  <c r="AG39" i="10" s="1"/>
  <c r="Q39" i="10"/>
  <c r="AF39" i="10" s="1"/>
  <c r="O39" i="10"/>
  <c r="AD39" i="10" s="1"/>
  <c r="N39" i="10"/>
  <c r="M39" i="10"/>
  <c r="L39" i="10"/>
  <c r="I39" i="10"/>
  <c r="J39" i="10"/>
  <c r="U39" i="10"/>
  <c r="T39" i="10"/>
  <c r="AI39" i="10" s="1"/>
  <c r="P39" i="10"/>
  <c r="AE39" i="10" s="1"/>
  <c r="K39" i="10"/>
  <c r="X39" i="10" s="1"/>
  <c r="R20" i="10"/>
  <c r="AG20" i="10" s="1"/>
  <c r="Q20" i="10"/>
  <c r="AF20" i="10" s="1"/>
  <c r="P20" i="10"/>
  <c r="AE20" i="10" s="1"/>
  <c r="O20" i="10"/>
  <c r="M20" i="10"/>
  <c r="L20" i="10"/>
  <c r="S20" i="10"/>
  <c r="U20" i="10"/>
  <c r="T20" i="10"/>
  <c r="N20" i="10"/>
  <c r="J20" i="10"/>
  <c r="I20" i="10"/>
  <c r="K20" i="10"/>
  <c r="X20" i="10" s="1"/>
  <c r="W179" i="10" l="1"/>
  <c r="AG55" i="10"/>
  <c r="AC2" i="10"/>
  <c r="AD318" i="10"/>
  <c r="W73" i="10"/>
  <c r="W39" i="10"/>
  <c r="AE55" i="10"/>
  <c r="AH119" i="10"/>
  <c r="AI121" i="10"/>
  <c r="W293" i="10"/>
  <c r="AA245" i="10"/>
  <c r="AF226" i="10"/>
  <c r="AE226" i="10"/>
  <c r="AE303" i="10"/>
  <c r="AG291" i="10"/>
  <c r="Z279" i="10"/>
  <c r="AI277" i="10"/>
  <c r="Y265" i="10"/>
  <c r="AC253" i="10"/>
  <c r="AA241" i="10"/>
  <c r="AI229" i="10"/>
  <c r="Z120" i="10"/>
  <c r="AI60" i="10"/>
  <c r="AF36" i="10"/>
  <c r="AD210" i="10"/>
  <c r="AC166" i="10"/>
  <c r="AD154" i="10"/>
  <c r="AC118" i="10"/>
  <c r="AC311" i="10"/>
  <c r="AG308" i="10"/>
  <c r="AA182" i="10"/>
  <c r="AF302" i="10"/>
  <c r="AI287" i="10"/>
  <c r="AG316" i="10"/>
  <c r="Z61" i="10"/>
  <c r="W71" i="10"/>
  <c r="X215" i="10"/>
  <c r="W37" i="10"/>
  <c r="AA193" i="10"/>
  <c r="AC80" i="10"/>
  <c r="AA54" i="10"/>
  <c r="W80" i="10"/>
  <c r="Y125" i="10"/>
  <c r="AI55" i="10"/>
  <c r="AG119" i="10"/>
  <c r="AF245" i="10"/>
  <c r="AI322" i="10"/>
  <c r="AA128" i="10"/>
  <c r="AF312" i="10"/>
  <c r="Y309" i="10"/>
  <c r="AA270" i="10"/>
  <c r="AG130" i="10"/>
  <c r="W34" i="10"/>
  <c r="AC273" i="10"/>
  <c r="W258" i="10"/>
  <c r="W284" i="10"/>
  <c r="AA234" i="10"/>
  <c r="AD173" i="10"/>
  <c r="AG104" i="10"/>
  <c r="AI65" i="10"/>
  <c r="Y215" i="10"/>
  <c r="Y37" i="10"/>
  <c r="AE193" i="10"/>
  <c r="AI263" i="10"/>
  <c r="AD53" i="10"/>
  <c r="AH91" i="10"/>
  <c r="AG14" i="10"/>
  <c r="AC164" i="10"/>
  <c r="AH49" i="10"/>
  <c r="AH110" i="10"/>
  <c r="Y283" i="10"/>
  <c r="AD58" i="10"/>
  <c r="AI45" i="10"/>
  <c r="AI276" i="10"/>
  <c r="AI228" i="10"/>
  <c r="AC180" i="10"/>
  <c r="AE305" i="10"/>
  <c r="AC243" i="10"/>
  <c r="AI243" i="10"/>
  <c r="W256" i="10"/>
  <c r="AI221" i="10"/>
  <c r="AI200" i="10"/>
  <c r="AC72" i="10"/>
  <c r="AI208" i="10"/>
  <c r="Y111" i="10"/>
  <c r="Y263" i="10"/>
  <c r="AI220" i="10"/>
  <c r="AG32" i="10"/>
  <c r="AA32" i="10"/>
  <c r="AD30" i="10"/>
  <c r="W86" i="10"/>
  <c r="AE268" i="10"/>
  <c r="AF44" i="10"/>
  <c r="AA44" i="10"/>
  <c r="AE38" i="10"/>
  <c r="AD297" i="10"/>
  <c r="Z213" i="10"/>
  <c r="AH138" i="10"/>
  <c r="AC129" i="10"/>
  <c r="AG263" i="10"/>
  <c r="AH263" i="10"/>
  <c r="W283" i="10"/>
  <c r="AA263" i="10"/>
  <c r="AC110" i="10"/>
  <c r="AF263" i="10"/>
  <c r="AD159" i="10"/>
  <c r="AD70" i="10"/>
  <c r="Z111" i="10"/>
  <c r="Z128" i="10"/>
  <c r="Y312" i="10"/>
  <c r="AF301" i="10"/>
  <c r="W309" i="10"/>
  <c r="X284" i="10"/>
  <c r="AG272" i="10"/>
  <c r="Y55" i="10"/>
  <c r="AI119" i="10"/>
  <c r="AH128" i="10"/>
  <c r="AI16" i="10"/>
  <c r="AH35" i="10"/>
  <c r="Z312" i="10"/>
  <c r="AF300" i="10"/>
  <c r="W252" i="10"/>
  <c r="Y317" i="10"/>
  <c r="Y281" i="10"/>
  <c r="AE245" i="10"/>
  <c r="AA322" i="10"/>
  <c r="AD310" i="10"/>
  <c r="AG303" i="10"/>
  <c r="AH291" i="10"/>
  <c r="AI279" i="10"/>
  <c r="X267" i="10"/>
  <c r="AG301" i="10"/>
  <c r="Z265" i="10"/>
  <c r="AD241" i="10"/>
  <c r="X309" i="10"/>
  <c r="AH188" i="10"/>
  <c r="AF120" i="10"/>
  <c r="AG36" i="10"/>
  <c r="X270" i="10"/>
  <c r="AE210" i="10"/>
  <c r="AH154" i="10"/>
  <c r="Z130" i="10"/>
  <c r="AA34" i="10"/>
  <c r="AC308" i="10"/>
  <c r="AG273" i="10"/>
  <c r="AF258" i="10"/>
  <c r="AF182" i="10"/>
  <c r="AC287" i="10"/>
  <c r="AE284" i="10"/>
  <c r="AH272" i="10"/>
  <c r="AH316" i="10"/>
  <c r="AE203" i="10"/>
  <c r="AG201" i="10"/>
  <c r="AH199" i="10"/>
  <c r="AH292" i="10"/>
  <c r="X234" i="10"/>
  <c r="AF195" i="10"/>
  <c r="AD195" i="10"/>
  <c r="X173" i="10"/>
  <c r="Z310" i="10"/>
  <c r="W303" i="10"/>
  <c r="AF291" i="10"/>
  <c r="AC279" i="10"/>
  <c r="Z267" i="10"/>
  <c r="AH301" i="10"/>
  <c r="AA265" i="10"/>
  <c r="AI241" i="10"/>
  <c r="AD309" i="10"/>
  <c r="AC188" i="10"/>
  <c r="AI120" i="10"/>
  <c r="AI36" i="10"/>
  <c r="Y270" i="10"/>
  <c r="AG210" i="10"/>
  <c r="AC154" i="10"/>
  <c r="AE130" i="10"/>
  <c r="AH34" i="10"/>
  <c r="AA308" i="10"/>
  <c r="AH273" i="10"/>
  <c r="AG258" i="10"/>
  <c r="AG182" i="10"/>
  <c r="Y302" i="10"/>
  <c r="AH287" i="10"/>
  <c r="AF284" i="10"/>
  <c r="AI272" i="10"/>
  <c r="AC316" i="10"/>
  <c r="Y255" i="10"/>
  <c r="AC79" i="10"/>
  <c r="AC128" i="10"/>
  <c r="AC252" i="10"/>
  <c r="W317" i="10"/>
  <c r="X281" i="10"/>
  <c r="AC281" i="10"/>
  <c r="X322" i="10"/>
  <c r="AA310" i="10"/>
  <c r="W267" i="10"/>
  <c r="AD301" i="10"/>
  <c r="AF188" i="10"/>
  <c r="Y128" i="10"/>
  <c r="W312" i="10"/>
  <c r="AE252" i="10"/>
  <c r="X252" i="10"/>
  <c r="Z317" i="10"/>
  <c r="AA281" i="10"/>
  <c r="X128" i="10"/>
  <c r="AA312" i="10"/>
  <c r="AF252" i="10"/>
  <c r="AD317" i="10"/>
  <c r="AD281" i="10"/>
  <c r="W322" i="10"/>
  <c r="AH310" i="10"/>
  <c r="AA303" i="10"/>
  <c r="Y267" i="10"/>
  <c r="AI301" i="10"/>
  <c r="AI309" i="10"/>
  <c r="AI188" i="10"/>
  <c r="Z270" i="10"/>
  <c r="AF130" i="10"/>
  <c r="AI34" i="10"/>
  <c r="AI273" i="10"/>
  <c r="AH258" i="10"/>
  <c r="AH182" i="10"/>
  <c r="Y287" i="10"/>
  <c r="AH284" i="10"/>
  <c r="AC272" i="10"/>
  <c r="AG203" i="10"/>
  <c r="AI201" i="10"/>
  <c r="AC292" i="10"/>
  <c r="Z234" i="10"/>
  <c r="W195" i="10"/>
  <c r="AA173" i="10"/>
  <c r="AG141" i="10"/>
  <c r="AI102" i="10"/>
  <c r="AD104" i="10"/>
  <c r="W82" i="10"/>
  <c r="Y252" i="10"/>
  <c r="AH317" i="10"/>
  <c r="AE281" i="10"/>
  <c r="AA267" i="10"/>
  <c r="AD197" i="10"/>
  <c r="Z197" i="10"/>
  <c r="AH140" i="10"/>
  <c r="AC83" i="10"/>
  <c r="AE74" i="10"/>
  <c r="AH54" i="10"/>
  <c r="AD222" i="10"/>
  <c r="AH197" i="10"/>
  <c r="Z177" i="10"/>
  <c r="X133" i="10"/>
  <c r="W174" i="10"/>
  <c r="AH165" i="10"/>
  <c r="Z259" i="10"/>
  <c r="Z153" i="10"/>
  <c r="AF114" i="10"/>
  <c r="AF217" i="10"/>
  <c r="AF178" i="10"/>
  <c r="W100" i="10"/>
  <c r="Z246" i="10"/>
  <c r="AG107" i="10"/>
  <c r="AC169" i="10"/>
  <c r="AH68" i="10"/>
  <c r="AF33" i="10"/>
  <c r="AF218" i="10"/>
  <c r="AH155" i="10"/>
  <c r="AI110" i="10"/>
  <c r="AD306" i="10"/>
  <c r="AE263" i="10"/>
  <c r="AD203" i="10"/>
  <c r="AF201" i="10"/>
  <c r="AG199" i="10"/>
  <c r="AF292" i="10"/>
  <c r="AI239" i="10"/>
  <c r="W234" i="10"/>
  <c r="Z195" i="10"/>
  <c r="AC173" i="10"/>
  <c r="AI150" i="10"/>
  <c r="AH141" i="10"/>
  <c r="AD102" i="10"/>
  <c r="AH280" i="10"/>
  <c r="AH189" i="10"/>
  <c r="AC134" i="10"/>
  <c r="AC104" i="10"/>
  <c r="AF86" i="10"/>
  <c r="Y268" i="10"/>
  <c r="AH183" i="10"/>
  <c r="Y145" i="10"/>
  <c r="AI97" i="10"/>
  <c r="AE44" i="10"/>
  <c r="AF42" i="10"/>
  <c r="AH40" i="10"/>
  <c r="W38" i="10"/>
  <c r="AI38" i="10"/>
  <c r="AH213" i="10"/>
  <c r="AG161" i="10"/>
  <c r="Z138" i="10"/>
  <c r="AE129" i="10"/>
  <c r="AC65" i="10"/>
  <c r="Y13" i="10"/>
  <c r="AG92" i="10"/>
  <c r="AH74" i="10"/>
  <c r="AC54" i="10"/>
  <c r="Y237" i="10"/>
  <c r="AI233" i="10"/>
  <c r="AF222" i="10"/>
  <c r="AC197" i="10"/>
  <c r="AE177" i="10"/>
  <c r="Y133" i="10"/>
  <c r="AH124" i="10"/>
  <c r="Z23" i="10"/>
  <c r="AI126" i="10"/>
  <c r="AF117" i="10"/>
  <c r="AI69" i="10"/>
  <c r="AG282" i="10"/>
  <c r="X137" i="10"/>
  <c r="Y137" i="10"/>
  <c r="AC114" i="10"/>
  <c r="W217" i="10"/>
  <c r="W139" i="10"/>
  <c r="AI61" i="10"/>
  <c r="AH71" i="10"/>
  <c r="AA100" i="10"/>
  <c r="AG246" i="10"/>
  <c r="AF246" i="10"/>
  <c r="X2" i="10"/>
  <c r="X107" i="10"/>
  <c r="W169" i="10"/>
  <c r="Z179" i="10"/>
  <c r="AC215" i="10"/>
  <c r="X295" i="10"/>
  <c r="Y318" i="10"/>
  <c r="W318" i="10"/>
  <c r="AI37" i="10"/>
  <c r="AC68" i="10"/>
  <c r="AE73" i="10"/>
  <c r="Y116" i="10"/>
  <c r="AG43" i="10"/>
  <c r="AG53" i="10"/>
  <c r="X91" i="10"/>
  <c r="AD193" i="10"/>
  <c r="W14" i="10"/>
  <c r="AC33" i="10"/>
  <c r="AC218" i="10"/>
  <c r="AF4" i="10"/>
  <c r="AF59" i="10"/>
  <c r="AI155" i="10"/>
  <c r="Y164" i="10"/>
  <c r="AG64" i="10"/>
  <c r="AH80" i="10"/>
  <c r="Y110" i="10"/>
  <c r="AA283" i="10"/>
  <c r="X306" i="10"/>
  <c r="AC141" i="10"/>
  <c r="AE102" i="10"/>
  <c r="Z104" i="10"/>
  <c r="AG86" i="10"/>
  <c r="AH268" i="10"/>
  <c r="Z145" i="10"/>
  <c r="AG44" i="10"/>
  <c r="AG42" i="10"/>
  <c r="AI40" i="10"/>
  <c r="X38" i="10"/>
  <c r="AI213" i="10"/>
  <c r="AH161" i="10"/>
  <c r="AA138" i="10"/>
  <c r="AF129" i="10"/>
  <c r="AA65" i="10"/>
  <c r="AC74" i="10"/>
  <c r="W54" i="10"/>
  <c r="AG222" i="10"/>
  <c r="W197" i="10"/>
  <c r="AF177" i="10"/>
  <c r="Z133" i="10"/>
  <c r="W126" i="10"/>
  <c r="X126" i="10"/>
  <c r="AH282" i="10"/>
  <c r="Y114" i="10"/>
  <c r="W114" i="10"/>
  <c r="AA217" i="10"/>
  <c r="AD100" i="10"/>
  <c r="AH246" i="10"/>
  <c r="Y107" i="10"/>
  <c r="X169" i="10"/>
  <c r="W68" i="10"/>
  <c r="X33" i="10"/>
  <c r="Z110" i="10"/>
  <c r="AC306" i="10"/>
  <c r="AF203" i="10"/>
  <c r="AH201" i="10"/>
  <c r="AI199" i="10"/>
  <c r="AI292" i="10"/>
  <c r="Y234" i="10"/>
  <c r="AC195" i="10"/>
  <c r="Y173" i="10"/>
  <c r="Z173" i="10"/>
  <c r="AC150" i="10"/>
  <c r="AF141" i="10"/>
  <c r="AF102" i="10"/>
  <c r="AD189" i="10"/>
  <c r="AC189" i="10"/>
  <c r="W134" i="10"/>
  <c r="AA104" i="10"/>
  <c r="AH86" i="10"/>
  <c r="AI268" i="10"/>
  <c r="AA145" i="10"/>
  <c r="AC97" i="10"/>
  <c r="AH44" i="10"/>
  <c r="AH42" i="10"/>
  <c r="AD40" i="10"/>
  <c r="Y38" i="10"/>
  <c r="AD213" i="10"/>
  <c r="AI161" i="10"/>
  <c r="AD138" i="10"/>
  <c r="AG129" i="10"/>
  <c r="AG65" i="10"/>
  <c r="Y74" i="10"/>
  <c r="X54" i="10"/>
  <c r="W237" i="10"/>
  <c r="W233" i="10"/>
  <c r="AC233" i="10"/>
  <c r="AH222" i="10"/>
  <c r="X197" i="10"/>
  <c r="AH177" i="10"/>
  <c r="AD133" i="10"/>
  <c r="Z114" i="10"/>
  <c r="AD217" i="10"/>
  <c r="Y61" i="10"/>
  <c r="AC61" i="10"/>
  <c r="AC71" i="10"/>
  <c r="AE100" i="10"/>
  <c r="AI246" i="10"/>
  <c r="AD107" i="10"/>
  <c r="Y169" i="10"/>
  <c r="W215" i="10"/>
  <c r="X37" i="10"/>
  <c r="AC37" i="10"/>
  <c r="Y68" i="10"/>
  <c r="AI43" i="10"/>
  <c r="Z193" i="10"/>
  <c r="Y33" i="10"/>
  <c r="W218" i="10"/>
  <c r="AI4" i="10"/>
  <c r="AH59" i="10"/>
  <c r="AC155" i="10"/>
  <c r="AA80" i="10"/>
  <c r="W110" i="10"/>
  <c r="AA110" i="10"/>
  <c r="AA306" i="10"/>
  <c r="AI86" i="10"/>
  <c r="AC268" i="10"/>
  <c r="AI44" i="10"/>
  <c r="AF38" i="10"/>
  <c r="AE213" i="10"/>
  <c r="AI138" i="10"/>
  <c r="AH129" i="10"/>
  <c r="AH65" i="10"/>
  <c r="Z74" i="10"/>
  <c r="Y54" i="10"/>
  <c r="Z222" i="10"/>
  <c r="AI222" i="10"/>
  <c r="Y197" i="10"/>
  <c r="AI177" i="10"/>
  <c r="AF133" i="10"/>
  <c r="AG114" i="10"/>
  <c r="AE217" i="10"/>
  <c r="AI100" i="10"/>
  <c r="AC246" i="10"/>
  <c r="AE107" i="10"/>
  <c r="AE169" i="10"/>
  <c r="Z68" i="10"/>
  <c r="W33" i="10"/>
  <c r="Z33" i="10"/>
  <c r="X218" i="10"/>
  <c r="X110" i="10"/>
  <c r="AF306" i="10"/>
  <c r="AG133" i="10"/>
  <c r="AH114" i="10"/>
  <c r="X217" i="10"/>
  <c r="AC100" i="10"/>
  <c r="AG169" i="10"/>
  <c r="AD68" i="10"/>
  <c r="AA68" i="10"/>
  <c r="AH33" i="10"/>
  <c r="AE110" i="10"/>
  <c r="AE306" i="10"/>
  <c r="W306" i="10"/>
  <c r="AD171" i="10"/>
  <c r="AA314" i="10"/>
  <c r="W151" i="10"/>
  <c r="W224" i="10"/>
  <c r="Y320" i="10"/>
  <c r="Z70" i="10"/>
  <c r="W63" i="10"/>
  <c r="AE125" i="10"/>
  <c r="AC77" i="10"/>
  <c r="AD152" i="10"/>
  <c r="AC98" i="10"/>
  <c r="W236" i="10"/>
  <c r="W204" i="10"/>
  <c r="W250" i="10"/>
  <c r="AC96" i="10"/>
  <c r="AF320" i="10"/>
  <c r="AA216" i="10"/>
  <c r="AC250" i="10"/>
  <c r="AC108" i="10"/>
  <c r="AG171" i="10"/>
  <c r="AC275" i="10"/>
  <c r="W21" i="10"/>
  <c r="W105" i="10"/>
  <c r="AH167" i="10"/>
  <c r="AI192" i="10"/>
  <c r="Z22" i="10"/>
  <c r="Z21" i="10"/>
  <c r="W216" i="10"/>
  <c r="AE192" i="10"/>
  <c r="W262" i="10"/>
  <c r="AC187" i="10"/>
  <c r="AC163" i="10"/>
  <c r="W227" i="10"/>
  <c r="AD227" i="10"/>
  <c r="AG204" i="10"/>
  <c r="Z58" i="10"/>
  <c r="W22" i="10"/>
  <c r="AC290" i="10"/>
  <c r="W185" i="10"/>
  <c r="AC113" i="10"/>
  <c r="X314" i="10"/>
  <c r="AC219" i="10"/>
  <c r="W304" i="10"/>
  <c r="X151" i="10"/>
  <c r="X224" i="10"/>
  <c r="AC176" i="10"/>
  <c r="W288" i="10"/>
  <c r="X216" i="10"/>
  <c r="AG192" i="10"/>
  <c r="AE286" i="10"/>
  <c r="AD262" i="10"/>
  <c r="W108" i="10"/>
  <c r="Y22" i="10"/>
  <c r="W171" i="10"/>
  <c r="Z290" i="10"/>
  <c r="X187" i="10"/>
  <c r="Y88" i="10"/>
  <c r="W113" i="10"/>
  <c r="Y314" i="10"/>
  <c r="AC85" i="10"/>
  <c r="X307" i="10"/>
  <c r="X105" i="10"/>
  <c r="AE227" i="10"/>
  <c r="AC18" i="10"/>
  <c r="AC299" i="10"/>
  <c r="Y98" i="10"/>
  <c r="X236" i="10"/>
  <c r="W176" i="10"/>
  <c r="Y288" i="10"/>
  <c r="W264" i="10"/>
  <c r="W192" i="10"/>
  <c r="AA269" i="10"/>
  <c r="W286" i="10"/>
  <c r="AE262" i="10"/>
  <c r="AC231" i="10"/>
  <c r="AE289" i="10"/>
  <c r="W294" i="10"/>
  <c r="AF144" i="10"/>
  <c r="X108" i="10"/>
  <c r="AA70" i="10"/>
  <c r="Y171" i="10"/>
  <c r="AA75" i="10"/>
  <c r="AA290" i="10"/>
  <c r="AA275" i="10"/>
  <c r="W260" i="10"/>
  <c r="AA185" i="10"/>
  <c r="AI125" i="10"/>
  <c r="W93" i="10"/>
  <c r="X77" i="10"/>
  <c r="Z152" i="10"/>
  <c r="Y136" i="10"/>
  <c r="Z88" i="10"/>
  <c r="AF81" i="10"/>
  <c r="X296" i="10"/>
  <c r="W52" i="10"/>
  <c r="AA162" i="10"/>
  <c r="AA18" i="10"/>
  <c r="AG8" i="10"/>
  <c r="X176" i="10"/>
  <c r="AE216" i="10"/>
  <c r="AD286" i="10"/>
  <c r="X238" i="10"/>
  <c r="AG289" i="10"/>
  <c r="W194" i="10"/>
  <c r="W144" i="10"/>
  <c r="X96" i="10"/>
  <c r="AI320" i="10"/>
  <c r="W212" i="10"/>
  <c r="AG159" i="10"/>
  <c r="AD275" i="10"/>
  <c r="AC185" i="10"/>
  <c r="X93" i="10"/>
  <c r="AI143" i="10"/>
  <c r="AE3" i="10"/>
  <c r="Z186" i="10"/>
  <c r="AC11" i="10"/>
  <c r="Y296" i="10"/>
  <c r="AA170" i="10"/>
  <c r="W67" i="10"/>
  <c r="AC21" i="10"/>
  <c r="W162" i="10"/>
  <c r="Y105" i="10"/>
  <c r="AA236" i="10"/>
  <c r="AC112" i="10"/>
  <c r="AF216" i="10"/>
  <c r="AE269" i="10"/>
  <c r="W274" i="10"/>
  <c r="X194" i="10"/>
  <c r="AD108" i="10"/>
  <c r="AH320" i="10"/>
  <c r="AG70" i="10"/>
  <c r="AE22" i="10"/>
  <c r="W235" i="10"/>
  <c r="AC159" i="10"/>
  <c r="Y260" i="10"/>
  <c r="AF77" i="10"/>
  <c r="AC143" i="10"/>
  <c r="W275" i="10"/>
  <c r="W77" i="10"/>
  <c r="Y7" i="10"/>
  <c r="AG261" i="10"/>
  <c r="W131" i="10"/>
  <c r="AG52" i="10"/>
  <c r="X163" i="10"/>
  <c r="Y21" i="10"/>
  <c r="AC307" i="10"/>
  <c r="Z304" i="10"/>
  <c r="AE167" i="10"/>
  <c r="Z151" i="10"/>
  <c r="Y103" i="10"/>
  <c r="Y224" i="10"/>
  <c r="AD216" i="10"/>
  <c r="X250" i="10"/>
  <c r="AC84" i="10"/>
  <c r="AH24" i="10"/>
  <c r="AC320" i="10"/>
  <c r="AE58" i="10"/>
  <c r="AA22" i="10"/>
  <c r="X159" i="10"/>
  <c r="Y63" i="10"/>
  <c r="X275" i="10"/>
  <c r="AC207" i="10"/>
  <c r="Z185" i="10"/>
  <c r="AH113" i="10"/>
  <c r="W261" i="10"/>
  <c r="AA304" i="10"/>
  <c r="AC158" i="10"/>
  <c r="Z103" i="10"/>
  <c r="Y236" i="10"/>
  <c r="AG288" i="10"/>
  <c r="AD269" i="10"/>
  <c r="AF262" i="10"/>
  <c r="AD271" i="10"/>
  <c r="AA108" i="10"/>
  <c r="AF70" i="10"/>
  <c r="AA171" i="10"/>
  <c r="Z63" i="10"/>
  <c r="AD290" i="10"/>
  <c r="Z79" i="10"/>
  <c r="W90" i="10"/>
  <c r="AG9" i="10"/>
  <c r="Y219" i="10"/>
  <c r="Z131" i="10"/>
  <c r="Y19" i="10"/>
  <c r="AA20" i="10"/>
  <c r="AH224" i="10"/>
  <c r="Y176" i="10"/>
  <c r="AI204" i="10"/>
  <c r="X305" i="10"/>
  <c r="AA262" i="10"/>
  <c r="AH255" i="10"/>
  <c r="Y313" i="10"/>
  <c r="X271" i="10"/>
  <c r="AC198" i="10"/>
  <c r="AE323" i="10"/>
  <c r="W184" i="10"/>
  <c r="AF58" i="10"/>
  <c r="X207" i="10"/>
  <c r="W187" i="10"/>
  <c r="AH321" i="10"/>
  <c r="AD88" i="10"/>
  <c r="Y90" i="10"/>
  <c r="AF296" i="10"/>
  <c r="AE170" i="10"/>
  <c r="W50" i="10"/>
  <c r="AA17" i="10"/>
  <c r="AF319" i="10"/>
  <c r="AC319" i="10"/>
  <c r="AG163" i="10"/>
  <c r="X115" i="10"/>
  <c r="AC115" i="10"/>
  <c r="AA85" i="10"/>
  <c r="X67" i="10"/>
  <c r="Y27" i="10"/>
  <c r="AA21" i="10"/>
  <c r="AD19" i="10"/>
  <c r="AE307" i="10"/>
  <c r="AE209" i="10"/>
  <c r="Y174" i="10"/>
  <c r="AC149" i="10"/>
  <c r="X162" i="10"/>
  <c r="Y162" i="10"/>
  <c r="Z105" i="10"/>
  <c r="AC304" i="10"/>
  <c r="AH227" i="10"/>
  <c r="X211" i="10"/>
  <c r="AA181" i="10"/>
  <c r="AF157" i="10"/>
  <c r="X148" i="10"/>
  <c r="AF6" i="10"/>
  <c r="W66" i="10"/>
  <c r="X158" i="10"/>
  <c r="X167" i="10"/>
  <c r="Z242" i="10"/>
  <c r="AH51" i="10"/>
  <c r="AC151" i="10"/>
  <c r="AI47" i="10"/>
  <c r="AF18" i="10"/>
  <c r="AA62" i="10"/>
  <c r="AG299" i="10"/>
  <c r="X8" i="10"/>
  <c r="AF53" i="10"/>
  <c r="Z109" i="10"/>
  <c r="AF103" i="10"/>
  <c r="W164" i="10"/>
  <c r="AI20" i="10"/>
  <c r="AC39" i="10"/>
  <c r="W159" i="10"/>
  <c r="X63" i="10"/>
  <c r="AD187" i="10"/>
  <c r="AC125" i="10"/>
  <c r="AH93" i="10"/>
  <c r="AF143" i="10"/>
  <c r="AC3" i="10"/>
  <c r="W136" i="10"/>
  <c r="W81" i="10"/>
  <c r="W219" i="10"/>
  <c r="W242" i="10"/>
  <c r="AC47" i="10"/>
  <c r="AC103" i="10"/>
  <c r="X204" i="10"/>
  <c r="X82" i="10"/>
  <c r="AH187" i="10"/>
  <c r="AG77" i="10"/>
  <c r="AH143" i="10"/>
  <c r="W3" i="10"/>
  <c r="AC90" i="10"/>
  <c r="AF314" i="10"/>
  <c r="Y170" i="10"/>
  <c r="AH163" i="10"/>
  <c r="W85" i="10"/>
  <c r="AE21" i="10"/>
  <c r="AF227" i="10"/>
  <c r="AC148" i="10"/>
  <c r="AI112" i="10"/>
  <c r="W298" i="10"/>
  <c r="Y250" i="10"/>
  <c r="AF315" i="10"/>
  <c r="W255" i="10"/>
  <c r="W84" i="10"/>
  <c r="AC24" i="10"/>
  <c r="AC285" i="10"/>
  <c r="W225" i="10"/>
  <c r="X205" i="10"/>
  <c r="AI187" i="10"/>
  <c r="W125" i="10"/>
  <c r="AC230" i="10"/>
  <c r="Z127" i="10"/>
  <c r="X90" i="10"/>
  <c r="AC261" i="10"/>
  <c r="Z17" i="10"/>
  <c r="AH209" i="10"/>
  <c r="AA98" i="10"/>
  <c r="X298" i="10"/>
  <c r="Y238" i="10"/>
  <c r="Y231" i="10"/>
  <c r="AF294" i="10"/>
  <c r="AF206" i="10"/>
  <c r="AA82" i="10"/>
  <c r="AE171" i="10"/>
  <c r="AE275" i="10"/>
  <c r="AD93" i="10"/>
  <c r="X26" i="10"/>
  <c r="X321" i="10"/>
  <c r="AA186" i="10"/>
  <c r="W244" i="10"/>
  <c r="Z113" i="10"/>
  <c r="AC15" i="10"/>
  <c r="AE314" i="10"/>
  <c r="AF170" i="10"/>
  <c r="AA176" i="10"/>
  <c r="W276" i="10"/>
  <c r="W228" i="10"/>
  <c r="Y180" i="10"/>
  <c r="AH286" i="10"/>
  <c r="AA238" i="10"/>
  <c r="AA231" i="10"/>
  <c r="W289" i="10"/>
  <c r="AH294" i="10"/>
  <c r="Z200" i="10"/>
  <c r="AD194" i="10"/>
  <c r="Z108" i="10"/>
  <c r="AA72" i="10"/>
  <c r="Y24" i="10"/>
  <c r="Y285" i="10"/>
  <c r="X206" i="10"/>
  <c r="AH58" i="10"/>
  <c r="AA225" i="10"/>
  <c r="X290" i="10"/>
  <c r="AG260" i="10"/>
  <c r="W220" i="10"/>
  <c r="AH77" i="10"/>
  <c r="AA26" i="10"/>
  <c r="AI152" i="10"/>
  <c r="AG95" i="10"/>
  <c r="AA90" i="10"/>
  <c r="X15" i="10"/>
  <c r="AA7" i="10"/>
  <c r="AD219" i="10"/>
  <c r="X131" i="10"/>
  <c r="Y83" i="10"/>
  <c r="AC52" i="10"/>
  <c r="AF115" i="10"/>
  <c r="AA67" i="10"/>
  <c r="AF21" i="10"/>
  <c r="AG209" i="10"/>
  <c r="Y149" i="10"/>
  <c r="X259" i="10"/>
  <c r="AH304" i="10"/>
  <c r="AA211" i="10"/>
  <c r="Y148" i="10"/>
  <c r="Z167" i="10"/>
  <c r="W51" i="10"/>
  <c r="AE151" i="10"/>
  <c r="Z47" i="10"/>
  <c r="AI8" i="10"/>
  <c r="AF109" i="10"/>
  <c r="W103" i="10"/>
  <c r="AH20" i="10"/>
  <c r="Y45" i="10"/>
  <c r="AF112" i="10"/>
  <c r="AD264" i="10"/>
  <c r="AI216" i="10"/>
  <c r="W269" i="10"/>
  <c r="AC274" i="10"/>
  <c r="X315" i="10"/>
  <c r="AH313" i="10"/>
  <c r="AC294" i="10"/>
  <c r="X200" i="10"/>
  <c r="AF194" i="10"/>
  <c r="W156" i="10"/>
  <c r="AI96" i="10"/>
  <c r="AI7" i="10"/>
  <c r="Z122" i="10"/>
  <c r="AD52" i="10"/>
  <c r="W98" i="10"/>
  <c r="Z236" i="10"/>
  <c r="X276" i="10"/>
  <c r="AA192" i="10"/>
  <c r="AD298" i="10"/>
  <c r="AA250" i="10"/>
  <c r="AD214" i="10"/>
  <c r="X243" i="10"/>
  <c r="Z271" i="10"/>
  <c r="W200" i="10"/>
  <c r="AH144" i="10"/>
  <c r="AH96" i="10"/>
  <c r="AE212" i="10"/>
  <c r="AD184" i="10"/>
  <c r="AG46" i="10"/>
  <c r="AF63" i="10"/>
  <c r="AG249" i="10"/>
  <c r="Z207" i="10"/>
  <c r="AA125" i="10"/>
  <c r="AD32" i="10"/>
  <c r="AI26" i="10"/>
  <c r="Z143" i="10"/>
  <c r="Z230" i="10"/>
  <c r="AI88" i="10"/>
  <c r="AE297" i="10"/>
  <c r="Z11" i="10"/>
  <c r="Z296" i="10"/>
  <c r="AE140" i="10"/>
  <c r="W319" i="10"/>
  <c r="Y76" i="10"/>
  <c r="X149" i="10"/>
  <c r="AE153" i="10"/>
  <c r="AF105" i="10"/>
  <c r="AC227" i="10"/>
  <c r="AI157" i="10"/>
  <c r="AH6" i="10"/>
  <c r="Z158" i="10"/>
  <c r="AE62" i="10"/>
  <c r="Y299" i="10"/>
  <c r="X49" i="10"/>
  <c r="X98" i="10"/>
  <c r="AD236" i="10"/>
  <c r="AE264" i="10"/>
  <c r="AC240" i="10"/>
  <c r="AD192" i="10"/>
  <c r="AC257" i="10"/>
  <c r="AE298" i="10"/>
  <c r="AD250" i="10"/>
  <c r="AE214" i="10"/>
  <c r="Y243" i="10"/>
  <c r="Y289" i="10"/>
  <c r="AD221" i="10"/>
  <c r="Z196" i="10"/>
  <c r="Y290" i="10"/>
  <c r="X185" i="10"/>
  <c r="AE152" i="10"/>
  <c r="AC170" i="10"/>
  <c r="AD163" i="10"/>
  <c r="Z162" i="10"/>
  <c r="AC6" i="10"/>
  <c r="AC242" i="10"/>
  <c r="AF299" i="10"/>
  <c r="AH176" i="10"/>
  <c r="AA315" i="10"/>
  <c r="AA271" i="10"/>
  <c r="W96" i="10"/>
  <c r="AE79" i="10"/>
  <c r="X219" i="10"/>
  <c r="W122" i="10"/>
  <c r="X19" i="10"/>
  <c r="AI105" i="10"/>
  <c r="AC167" i="10"/>
  <c r="AD299" i="10"/>
  <c r="AC109" i="10"/>
  <c r="Y264" i="10"/>
  <c r="AH204" i="10"/>
  <c r="Z262" i="10"/>
  <c r="W231" i="10"/>
  <c r="W271" i="10"/>
  <c r="AG320" i="10"/>
  <c r="AC58" i="10"/>
  <c r="X260" i="10"/>
  <c r="AD77" i="10"/>
  <c r="W26" i="10"/>
  <c r="X3" i="10"/>
  <c r="AA88" i="10"/>
  <c r="AG81" i="10"/>
  <c r="AC7" i="10"/>
  <c r="X122" i="10"/>
  <c r="AC17" i="10"/>
  <c r="AI163" i="10"/>
  <c r="Z85" i="10"/>
  <c r="AC209" i="10"/>
  <c r="AG227" i="10"/>
  <c r="X264" i="10"/>
  <c r="Y192" i="10"/>
  <c r="AG250" i="10"/>
  <c r="AG315" i="10"/>
  <c r="AH289" i="10"/>
  <c r="X256" i="10"/>
  <c r="W196" i="10"/>
  <c r="X84" i="10"/>
  <c r="AG24" i="10"/>
  <c r="AF285" i="10"/>
  <c r="X212" i="10"/>
  <c r="AC46" i="10"/>
  <c r="AA63" i="10"/>
  <c r="AF290" i="10"/>
  <c r="Y205" i="10"/>
  <c r="Y185" i="10"/>
  <c r="AE30" i="10"/>
  <c r="AG152" i="10"/>
  <c r="AH3" i="10"/>
  <c r="W230" i="10"/>
  <c r="AA127" i="10"/>
  <c r="AA81" i="10"/>
  <c r="W11" i="10"/>
  <c r="X261" i="10"/>
  <c r="AA131" i="10"/>
  <c r="AC20" i="10"/>
  <c r="X45" i="10"/>
  <c r="AE288" i="10"/>
  <c r="AA264" i="10"/>
  <c r="AH216" i="10"/>
  <c r="AD274" i="10"/>
  <c r="AC255" i="10"/>
  <c r="AG313" i="10"/>
  <c r="AA221" i="10"/>
  <c r="Y196" i="10"/>
  <c r="AE96" i="10"/>
  <c r="AI323" i="10"/>
  <c r="AE82" i="10"/>
  <c r="AA235" i="10"/>
  <c r="AH171" i="10"/>
  <c r="Y75" i="10"/>
  <c r="AG275" i="10"/>
  <c r="AA205" i="10"/>
  <c r="AE185" i="10"/>
  <c r="AF220" i="10"/>
  <c r="AI93" i="10"/>
  <c r="AA321" i="10"/>
  <c r="W186" i="10"/>
  <c r="AE127" i="10"/>
  <c r="Y113" i="10"/>
  <c r="AA15" i="10"/>
  <c r="AA9" i="10"/>
  <c r="Z261" i="10"/>
  <c r="AG131" i="10"/>
  <c r="AF50" i="10"/>
  <c r="Y163" i="10"/>
  <c r="Y85" i="10"/>
  <c r="AA27" i="10"/>
  <c r="AF307" i="10"/>
  <c r="AA165" i="10"/>
  <c r="AF162" i="10"/>
  <c r="AC181" i="10"/>
  <c r="Y66" i="10"/>
  <c r="AD160" i="10"/>
  <c r="AH18" i="10"/>
  <c r="AD109" i="10"/>
  <c r="AF236" i="10"/>
  <c r="AF288" i="10"/>
  <c r="X228" i="10"/>
  <c r="AH180" i="10"/>
  <c r="AC286" i="10"/>
  <c r="AD238" i="10"/>
  <c r="AD231" i="10"/>
  <c r="Z289" i="10"/>
  <c r="AA256" i="10"/>
  <c r="AD198" i="10"/>
  <c r="AI144" i="10"/>
  <c r="AG108" i="10"/>
  <c r="Y39" i="10"/>
  <c r="X113" i="10"/>
  <c r="AD7" i="10"/>
  <c r="AG219" i="10"/>
  <c r="Y131" i="10"/>
  <c r="AC67" i="10"/>
  <c r="Y307" i="10"/>
  <c r="AA6" i="10"/>
  <c r="X242" i="10"/>
  <c r="AA151" i="10"/>
  <c r="W47" i="10"/>
  <c r="W62" i="10"/>
  <c r="W20" i="10"/>
  <c r="Z98" i="10"/>
  <c r="Z224" i="10"/>
  <c r="X192" i="10"/>
  <c r="AD294" i="10"/>
  <c r="Z82" i="10"/>
  <c r="AD22" i="10"/>
  <c r="AD75" i="10"/>
  <c r="AD249" i="10"/>
  <c r="W207" i="10"/>
  <c r="AF152" i="10"/>
  <c r="AA136" i="10"/>
  <c r="AI113" i="10"/>
  <c r="AH314" i="10"/>
  <c r="AI52" i="10"/>
  <c r="X27" i="10"/>
  <c r="AA307" i="10"/>
  <c r="AE304" i="10"/>
  <c r="W211" i="10"/>
  <c r="AF98" i="10"/>
  <c r="X288" i="10"/>
  <c r="AF286" i="10"/>
  <c r="Z250" i="10"/>
  <c r="W214" i="10"/>
  <c r="X231" i="10"/>
  <c r="AE144" i="10"/>
  <c r="AA96" i="10"/>
  <c r="W285" i="10"/>
  <c r="X225" i="10"/>
  <c r="AE75" i="10"/>
  <c r="AE249" i="10"/>
  <c r="X125" i="10"/>
  <c r="Z95" i="10"/>
  <c r="AD136" i="10"/>
  <c r="AD79" i="10"/>
  <c r="AH81" i="10"/>
  <c r="X9" i="10"/>
  <c r="Z219" i="10"/>
  <c r="AD224" i="10"/>
  <c r="AE112" i="10"/>
  <c r="Y204" i="10"/>
  <c r="AA305" i="10"/>
  <c r="AH269" i="10"/>
  <c r="X262" i="10"/>
  <c r="AH315" i="10"/>
  <c r="Z256" i="10"/>
  <c r="X198" i="10"/>
  <c r="AD84" i="10"/>
  <c r="AA320" i="10"/>
  <c r="AE247" i="10"/>
  <c r="W208" i="10"/>
  <c r="AI70" i="10"/>
  <c r="X22" i="10"/>
  <c r="Z159" i="10"/>
  <c r="AD111" i="10"/>
  <c r="Z87" i="10"/>
  <c r="Z187" i="10"/>
  <c r="AC30" i="10"/>
  <c r="AA3" i="10"/>
  <c r="Y230" i="10"/>
  <c r="AF136" i="10"/>
  <c r="AF79" i="10"/>
  <c r="AD244" i="10"/>
  <c r="Z81" i="10"/>
  <c r="AC314" i="10"/>
  <c r="Z170" i="10"/>
  <c r="AE122" i="10"/>
  <c r="X17" i="10"/>
  <c r="AD248" i="10"/>
  <c r="AI19" i="10"/>
  <c r="AC174" i="10"/>
  <c r="X178" i="10"/>
  <c r="AD242" i="10"/>
  <c r="X57" i="10"/>
  <c r="AE224" i="10"/>
  <c r="AE176" i="10"/>
  <c r="Y276" i="10"/>
  <c r="Z204" i="10"/>
  <c r="AH305" i="10"/>
  <c r="AF269" i="10"/>
  <c r="Y262" i="10"/>
  <c r="AF214" i="10"/>
  <c r="Z255" i="10"/>
  <c r="AE271" i="10"/>
  <c r="Y198" i="10"/>
  <c r="W132" i="10"/>
  <c r="Y20" i="10"/>
  <c r="AD98" i="10"/>
  <c r="AI178" i="10"/>
  <c r="AG157" i="10"/>
  <c r="W148" i="10"/>
  <c r="AC139" i="10"/>
  <c r="AD6" i="10"/>
  <c r="AC66" i="10"/>
  <c r="AI158" i="10"/>
  <c r="W167" i="10"/>
  <c r="Y242" i="10"/>
  <c r="AI41" i="10"/>
  <c r="AF41" i="10"/>
  <c r="AG51" i="10"/>
  <c r="AI57" i="10"/>
  <c r="AE89" i="10"/>
  <c r="AD151" i="10"/>
  <c r="AH160" i="10"/>
  <c r="AD47" i="10"/>
  <c r="X47" i="10"/>
  <c r="AF295" i="10"/>
  <c r="AD18" i="10"/>
  <c r="Z62" i="10"/>
  <c r="X116" i="10"/>
  <c r="AE299" i="10"/>
  <c r="W8" i="10"/>
  <c r="AE53" i="10"/>
  <c r="AI91" i="10"/>
  <c r="W109" i="10"/>
  <c r="AH14" i="10"/>
  <c r="X103" i="10"/>
  <c r="AI164" i="10"/>
  <c r="AI49" i="10"/>
  <c r="AE283" i="10"/>
  <c r="AG98" i="10"/>
  <c r="Y84" i="10"/>
  <c r="AE84" i="10"/>
  <c r="AD72" i="10"/>
  <c r="AA24" i="10"/>
  <c r="W323" i="10"/>
  <c r="AD320" i="10"/>
  <c r="Z285" i="10"/>
  <c r="W247" i="10"/>
  <c r="AF212" i="10"/>
  <c r="X208" i="10"/>
  <c r="Y206" i="10"/>
  <c r="AE184" i="10"/>
  <c r="AF82" i="10"/>
  <c r="W70" i="10"/>
  <c r="AI58" i="10"/>
  <c r="AH46" i="10"/>
  <c r="AF22" i="10"/>
  <c r="Y10" i="10"/>
  <c r="Y235" i="10"/>
  <c r="AE235" i="10"/>
  <c r="AC232" i="10"/>
  <c r="AD225" i="10"/>
  <c r="AC171" i="10"/>
  <c r="AA159" i="10"/>
  <c r="AI147" i="10"/>
  <c r="AC135" i="10"/>
  <c r="AC123" i="10"/>
  <c r="AE111" i="10"/>
  <c r="W99" i="10"/>
  <c r="W87" i="10"/>
  <c r="AI75" i="10"/>
  <c r="Z75" i="10"/>
  <c r="AG63" i="10"/>
  <c r="AH249" i="10"/>
  <c r="AH290" i="10"/>
  <c r="AH275" i="10"/>
  <c r="AC278" i="10"/>
  <c r="AC263" i="10"/>
  <c r="Z260" i="10"/>
  <c r="AH260" i="10"/>
  <c r="AA207" i="10"/>
  <c r="AD205" i="10"/>
  <c r="AA187" i="10"/>
  <c r="AF185" i="10"/>
  <c r="AC239" i="10"/>
  <c r="AD220" i="10"/>
  <c r="AD125" i="10"/>
  <c r="AC93" i="10"/>
  <c r="AI77" i="10"/>
  <c r="AE32" i="10"/>
  <c r="W30" i="10"/>
  <c r="W28" i="10"/>
  <c r="AD26" i="10"/>
  <c r="AC280" i="10"/>
  <c r="W280" i="10"/>
  <c r="AC152" i="10"/>
  <c r="AA143" i="10"/>
  <c r="AH95" i="10"/>
  <c r="AD3" i="10"/>
  <c r="AD321" i="10"/>
  <c r="AA230" i="10"/>
  <c r="AH186" i="10"/>
  <c r="Y186" i="10"/>
  <c r="AI183" i="10"/>
  <c r="AG136" i="10"/>
  <c r="AF127" i="10"/>
  <c r="AC88" i="10"/>
  <c r="AG79" i="10"/>
  <c r="Z5" i="10"/>
  <c r="AC5" i="10"/>
  <c r="AI297" i="10"/>
  <c r="AF244" i="10"/>
  <c r="AD113" i="10"/>
  <c r="AG90" i="10"/>
  <c r="Y81" i="10"/>
  <c r="Z15" i="10"/>
  <c r="AE13" i="10"/>
  <c r="Z13" i="10"/>
  <c r="AA11" i="10"/>
  <c r="AD9" i="10"/>
  <c r="AE7" i="10"/>
  <c r="AD314" i="10"/>
  <c r="AA296" i="10"/>
  <c r="AA261" i="10"/>
  <c r="AE219" i="10"/>
  <c r="Z45" i="10"/>
  <c r="AG112" i="10"/>
  <c r="AD176" i="10"/>
  <c r="AH288" i="10"/>
  <c r="Y228" i="10"/>
  <c r="AF192" i="10"/>
  <c r="AC305" i="10"/>
  <c r="X269" i="10"/>
  <c r="AH298" i="10"/>
  <c r="AE250" i="10"/>
  <c r="AE231" i="10"/>
  <c r="X289" i="10"/>
  <c r="AC229" i="10"/>
  <c r="AF271" i="10"/>
  <c r="Y200" i="10"/>
  <c r="AA196" i="10"/>
  <c r="AC144" i="10"/>
  <c r="AH108" i="10"/>
  <c r="X72" i="10"/>
  <c r="AA285" i="10"/>
  <c r="AF184" i="10"/>
  <c r="AG82" i="10"/>
  <c r="W58" i="10"/>
  <c r="AG22" i="10"/>
  <c r="X311" i="10"/>
  <c r="W232" i="10"/>
  <c r="AE159" i="10"/>
  <c r="AA87" i="10"/>
  <c r="AI63" i="10"/>
  <c r="W249" i="10"/>
  <c r="AI290" i="10"/>
  <c r="AI275" i="10"/>
  <c r="W263" i="10"/>
  <c r="AA260" i="10"/>
  <c r="AH207" i="10"/>
  <c r="AD207" i="10"/>
  <c r="AE205" i="10"/>
  <c r="AE187" i="10"/>
  <c r="AG185" i="10"/>
  <c r="AE220" i="10"/>
  <c r="AF125" i="10"/>
  <c r="Y93" i="10"/>
  <c r="Y77" i="10"/>
  <c r="AF32" i="10"/>
  <c r="X30" i="10"/>
  <c r="Z28" i="10"/>
  <c r="AE26" i="10"/>
  <c r="X152" i="10"/>
  <c r="AD143" i="10"/>
  <c r="W95" i="10"/>
  <c r="Y3" i="10"/>
  <c r="AF321" i="10"/>
  <c r="AD230" i="10"/>
  <c r="X186" i="10"/>
  <c r="AD183" i="10"/>
  <c r="AH136" i="10"/>
  <c r="AH127" i="10"/>
  <c r="AF88" i="10"/>
  <c r="W79" i="10"/>
  <c r="X5" i="10"/>
  <c r="AF297" i="10"/>
  <c r="AH297" i="10"/>
  <c r="AG244" i="10"/>
  <c r="AE113" i="10"/>
  <c r="AH90" i="10"/>
  <c r="AD81" i="10"/>
  <c r="AD15" i="10"/>
  <c r="AH11" i="10"/>
  <c r="AD11" i="10"/>
  <c r="AE9" i="10"/>
  <c r="AF7" i="10"/>
  <c r="AG314" i="10"/>
  <c r="AE296" i="10"/>
  <c r="AD261" i="10"/>
  <c r="AF219" i="10"/>
  <c r="Y191" i="10"/>
  <c r="AG170" i="10"/>
  <c r="W45" i="10"/>
  <c r="AC121" i="10"/>
  <c r="AF264" i="10"/>
  <c r="W240" i="10"/>
  <c r="AA204" i="10"/>
  <c r="W257" i="10"/>
  <c r="AE274" i="10"/>
  <c r="AE238" i="10"/>
  <c r="AG214" i="10"/>
  <c r="AD315" i="10"/>
  <c r="Z243" i="10"/>
  <c r="AC277" i="10"/>
  <c r="W253" i="10"/>
  <c r="AD256" i="10"/>
  <c r="AE198" i="10"/>
  <c r="AA194" i="10"/>
  <c r="X132" i="10"/>
  <c r="Y96" i="10"/>
  <c r="AE72" i="10"/>
  <c r="AD24" i="10"/>
  <c r="AE320" i="10"/>
  <c r="X247" i="10"/>
  <c r="AG212" i="10"/>
  <c r="Z206" i="10"/>
  <c r="W166" i="10"/>
  <c r="Y82" i="10"/>
  <c r="AI46" i="10"/>
  <c r="AF10" i="10"/>
  <c r="X232" i="10"/>
  <c r="AI171" i="10"/>
  <c r="AD99" i="10"/>
  <c r="AH63" i="10"/>
  <c r="Z20" i="10"/>
  <c r="AH236" i="10"/>
  <c r="AC224" i="10"/>
  <c r="AC16" i="10"/>
  <c r="AH112" i="10"/>
  <c r="AF176" i="10"/>
  <c r="X300" i="10"/>
  <c r="AH276" i="10"/>
  <c r="X240" i="10"/>
  <c r="Y216" i="10"/>
  <c r="AH192" i="10"/>
  <c r="AE293" i="10"/>
  <c r="Y269" i="10"/>
  <c r="Y298" i="10"/>
  <c r="AF274" i="10"/>
  <c r="AI262" i="10"/>
  <c r="AF238" i="10"/>
  <c r="X214" i="10"/>
  <c r="W315" i="10"/>
  <c r="AD255" i="10"/>
  <c r="AF231" i="10"/>
  <c r="AD277" i="10"/>
  <c r="AC265" i="10"/>
  <c r="AG271" i="10"/>
  <c r="Y221" i="10"/>
  <c r="AF198" i="10"/>
  <c r="Y194" i="10"/>
  <c r="AC175" i="10"/>
  <c r="Y156" i="10"/>
  <c r="AH184" i="10"/>
  <c r="W106" i="10"/>
  <c r="AH82" i="10"/>
  <c r="Y70" i="10"/>
  <c r="W46" i="10"/>
  <c r="AI22" i="10"/>
  <c r="W10" i="10"/>
  <c r="Y311" i="10"/>
  <c r="AD235" i="10"/>
  <c r="Y232" i="10"/>
  <c r="Y225" i="10"/>
  <c r="AF225" i="10"/>
  <c r="X171" i="10"/>
  <c r="AF159" i="10"/>
  <c r="AC147" i="10"/>
  <c r="W135" i="10"/>
  <c r="W123" i="10"/>
  <c r="AA111" i="10"/>
  <c r="AE99" i="10"/>
  <c r="AD87" i="10"/>
  <c r="AG236" i="10"/>
  <c r="AF224" i="10"/>
  <c r="Z276" i="10"/>
  <c r="AC216" i="10"/>
  <c r="AI180" i="10"/>
  <c r="AA293" i="10"/>
  <c r="Z257" i="10"/>
  <c r="X286" i="10"/>
  <c r="AH262" i="10"/>
  <c r="W226" i="10"/>
  <c r="AI202" i="10"/>
  <c r="AA255" i="10"/>
  <c r="X313" i="10"/>
  <c r="AA277" i="10"/>
  <c r="X294" i="10"/>
  <c r="AE221" i="10"/>
  <c r="AD196" i="10"/>
  <c r="X156" i="10"/>
  <c r="Z84" i="10"/>
  <c r="AC60" i="10"/>
  <c r="Z323" i="10"/>
  <c r="AD212" i="10"/>
  <c r="Y208" i="10"/>
  <c r="AD118" i="10"/>
  <c r="X70" i="10"/>
  <c r="Z235" i="10"/>
  <c r="AE225" i="10"/>
  <c r="AC111" i="10"/>
  <c r="W75" i="10"/>
  <c r="Z39" i="10"/>
  <c r="AE98" i="10"/>
  <c r="AA45" i="10"/>
  <c r="AG224" i="10"/>
  <c r="AC35" i="10"/>
  <c r="W121" i="10"/>
  <c r="AI288" i="10"/>
  <c r="AG264" i="10"/>
  <c r="Y240" i="10"/>
  <c r="Z228" i="10"/>
  <c r="AD204" i="10"/>
  <c r="X180" i="10"/>
  <c r="W305" i="10"/>
  <c r="AA257" i="10"/>
  <c r="AG245" i="10"/>
  <c r="Y286" i="10"/>
  <c r="AF250" i="10"/>
  <c r="X226" i="10"/>
  <c r="W202" i="10"/>
  <c r="Z315" i="10"/>
  <c r="AA243" i="10"/>
  <c r="Z313" i="10"/>
  <c r="AA289" i="10"/>
  <c r="Z253" i="10"/>
  <c r="W229" i="10"/>
  <c r="Y294" i="10"/>
  <c r="AE256" i="10"/>
  <c r="AA200" i="10"/>
  <c r="AE196" i="10"/>
  <c r="AE194" i="10"/>
  <c r="W168" i="10"/>
  <c r="X144" i="10"/>
  <c r="Y132" i="10"/>
  <c r="AF108" i="10"/>
  <c r="Z96" i="10"/>
  <c r="AF84" i="10"/>
  <c r="Z72" i="10"/>
  <c r="X60" i="10"/>
  <c r="W60" i="10"/>
  <c r="AC48" i="10"/>
  <c r="AE24" i="10"/>
  <c r="AC12" i="10"/>
  <c r="AA323" i="10"/>
  <c r="W320" i="10"/>
  <c r="AD285" i="10"/>
  <c r="AF247" i="10"/>
  <c r="X223" i="10"/>
  <c r="Z212" i="10"/>
  <c r="AI210" i="10"/>
  <c r="Z208" i="10"/>
  <c r="AA206" i="10"/>
  <c r="X166" i="10"/>
  <c r="W142" i="10"/>
  <c r="AH118" i="10"/>
  <c r="W94" i="10"/>
  <c r="AC70" i="10"/>
  <c r="X58" i="10"/>
  <c r="AD20" i="10"/>
  <c r="AA39" i="10"/>
  <c r="AC55" i="10"/>
  <c r="AH98" i="10"/>
  <c r="AC119" i="10"/>
  <c r="AI236" i="10"/>
  <c r="AD45" i="10"/>
  <c r="AI224" i="10"/>
  <c r="AA16" i="10"/>
  <c r="W16" i="10"/>
  <c r="W35" i="10"/>
  <c r="W112" i="10"/>
  <c r="X121" i="10"/>
  <c r="AG176" i="10"/>
  <c r="AG300" i="10"/>
  <c r="Z288" i="10"/>
  <c r="AA276" i="10"/>
  <c r="AH264" i="10"/>
  <c r="AA119" i="10"/>
  <c r="AF119" i="10"/>
  <c r="AE236" i="10"/>
  <c r="AC45" i="10"/>
  <c r="AA224" i="10"/>
  <c r="AF16" i="10"/>
  <c r="AI35" i="10"/>
  <c r="Z112" i="10"/>
  <c r="AH121" i="10"/>
  <c r="Z176" i="10"/>
  <c r="Z300" i="10"/>
  <c r="AC288" i="10"/>
  <c r="AA288" i="10"/>
  <c r="AC276" i="10"/>
  <c r="Z264" i="10"/>
  <c r="AI240" i="10"/>
  <c r="AC228" i="10"/>
  <c r="AG216" i="10"/>
  <c r="AC204" i="10"/>
  <c r="Z192" i="10"/>
  <c r="W180" i="10"/>
  <c r="Y305" i="10"/>
  <c r="Z293" i="10"/>
  <c r="X293" i="10"/>
  <c r="AG269" i="10"/>
  <c r="Y257" i="10"/>
  <c r="AC245" i="10"/>
  <c r="AH322" i="10"/>
  <c r="Y310" i="10"/>
  <c r="Z298" i="10"/>
  <c r="AG286" i="10"/>
  <c r="AA274" i="10"/>
  <c r="AG262" i="10"/>
  <c r="AH250" i="10"/>
  <c r="W238" i="10"/>
  <c r="Z238" i="10"/>
  <c r="AD226" i="10"/>
  <c r="AA214" i="10"/>
  <c r="AF202" i="10"/>
  <c r="AE315" i="10"/>
  <c r="AD303" i="10"/>
  <c r="AE291" i="10"/>
  <c r="Y279" i="10"/>
  <c r="AI255" i="10"/>
  <c r="W243" i="10"/>
  <c r="Z231" i="10"/>
  <c r="AC313" i="10"/>
  <c r="AD313" i="10"/>
  <c r="X301" i="10"/>
  <c r="AF289" i="10"/>
  <c r="AH277" i="10"/>
  <c r="W265" i="10"/>
  <c r="AI253" i="10"/>
  <c r="Z241" i="10"/>
  <c r="AH229" i="10"/>
  <c r="AG294" i="10"/>
  <c r="Y271" i="10"/>
  <c r="Y256" i="10"/>
  <c r="Z221" i="10"/>
  <c r="AC221" i="10"/>
  <c r="AC200" i="10"/>
  <c r="W198" i="10"/>
  <c r="X196" i="10"/>
  <c r="Z194" i="10"/>
  <c r="AE188" i="10"/>
  <c r="AE175" i="10"/>
  <c r="AH168" i="10"/>
  <c r="AF156" i="10"/>
  <c r="AG144" i="10"/>
  <c r="AI132" i="10"/>
  <c r="AH120" i="10"/>
  <c r="Y108" i="10"/>
  <c r="AE108" i="10"/>
  <c r="AD96" i="10"/>
  <c r="AA84" i="10"/>
  <c r="W72" i="10"/>
  <c r="AG60" i="10"/>
  <c r="AF48" i="10"/>
  <c r="AD36" i="10"/>
  <c r="X24" i="10"/>
  <c r="AH12" i="10"/>
  <c r="AG323" i="10"/>
  <c r="Z320" i="10"/>
  <c r="X285" i="10"/>
  <c r="AE270" i="10"/>
  <c r="AD247" i="10"/>
  <c r="AF223" i="10"/>
  <c r="Y212" i="10"/>
  <c r="AA210" i="10"/>
  <c r="AC208" i="10"/>
  <c r="W206" i="10"/>
  <c r="Z184" i="10"/>
  <c r="AD166" i="10"/>
  <c r="AG154" i="10"/>
  <c r="Z142" i="10"/>
  <c r="AI118" i="10"/>
  <c r="AG118" i="10"/>
  <c r="AF106" i="10"/>
  <c r="AE94" i="10"/>
  <c r="AD82" i="10"/>
  <c r="AH70" i="10"/>
  <c r="AG58" i="10"/>
  <c r="AF46" i="10"/>
  <c r="AH22" i="10"/>
  <c r="AH10" i="10"/>
  <c r="AH311" i="10"/>
  <c r="AF308" i="10"/>
  <c r="Z273" i="10"/>
  <c r="X235" i="10"/>
  <c r="AI232" i="10"/>
  <c r="Z225" i="10"/>
  <c r="Z182" i="10"/>
  <c r="AF171" i="10"/>
  <c r="Y159" i="10"/>
  <c r="AD147" i="10"/>
  <c r="AF135" i="10"/>
  <c r="AI123" i="10"/>
  <c r="W111" i="10"/>
  <c r="AC99" i="10"/>
  <c r="Z99" i="10"/>
  <c r="Y87" i="10"/>
  <c r="X75" i="10"/>
  <c r="AD63" i="10"/>
  <c r="AC302" i="10"/>
  <c r="AG287" i="10"/>
  <c r="AF249" i="10"/>
  <c r="AG290" i="10"/>
  <c r="AF275" i="10"/>
  <c r="AF272" i="10"/>
  <c r="AD316" i="10"/>
  <c r="X278" i="10"/>
  <c r="AI278" i="10"/>
  <c r="AD263" i="10"/>
  <c r="AF260" i="10"/>
  <c r="Y207" i="10"/>
  <c r="Z205" i="10"/>
  <c r="AA203" i="10"/>
  <c r="AE201" i="10"/>
  <c r="AF199" i="10"/>
  <c r="Y187" i="10"/>
  <c r="AD185" i="10"/>
  <c r="AE292" i="10"/>
  <c r="AH239" i="10"/>
  <c r="AF234" i="10"/>
  <c r="X191" i="10"/>
  <c r="X170" i="10"/>
  <c r="AA140" i="10"/>
  <c r="AF131" i="10"/>
  <c r="AH122" i="10"/>
  <c r="AD122" i="10"/>
  <c r="AH92" i="10"/>
  <c r="AD83" i="10"/>
  <c r="AC56" i="10"/>
  <c r="X52" i="10"/>
  <c r="AC50" i="10"/>
  <c r="Y17" i="10"/>
  <c r="Y319" i="10"/>
  <c r="W266" i="10"/>
  <c r="W248" i="10"/>
  <c r="AA237" i="10"/>
  <c r="Z172" i="10"/>
  <c r="Z163" i="10"/>
  <c r="AG115" i="10"/>
  <c r="AE85" i="10"/>
  <c r="Z76" i="10"/>
  <c r="Y67" i="10"/>
  <c r="AD67" i="10"/>
  <c r="AF27" i="10"/>
  <c r="AG21" i="10"/>
  <c r="Z19" i="10"/>
  <c r="AH307" i="10"/>
  <c r="AI209" i="10"/>
  <c r="Z174" i="10"/>
  <c r="AD165" i="10"/>
  <c r="Z149" i="10"/>
  <c r="AC101" i="10"/>
  <c r="AA259" i="10"/>
  <c r="AG162" i="10"/>
  <c r="X153" i="10"/>
  <c r="AG105" i="10"/>
  <c r="X304" i="10"/>
  <c r="AC251" i="10"/>
  <c r="X227" i="10"/>
  <c r="AD211" i="10"/>
  <c r="W181" i="10"/>
  <c r="Y178" i="10"/>
  <c r="AC157" i="10"/>
  <c r="AA148" i="10"/>
  <c r="X139" i="10"/>
  <c r="AF140" i="10"/>
  <c r="AH131" i="10"/>
  <c r="AG122" i="10"/>
  <c r="AI92" i="10"/>
  <c r="AE83" i="10"/>
  <c r="W56" i="10"/>
  <c r="Y52" i="10"/>
  <c r="Z50" i="10"/>
  <c r="W17" i="10"/>
  <c r="Z319" i="10"/>
  <c r="Y266" i="10"/>
  <c r="AE248" i="10"/>
  <c r="AD172" i="10"/>
  <c r="AA163" i="10"/>
  <c r="AF75" i="10"/>
  <c r="AC63" i="10"/>
  <c r="W302" i="10"/>
  <c r="AA302" i="10"/>
  <c r="X249" i="10"/>
  <c r="W290" i="10"/>
  <c r="Y275" i="10"/>
  <c r="W278" i="10"/>
  <c r="X263" i="10"/>
  <c r="AD260" i="10"/>
  <c r="AI207" i="10"/>
  <c r="AH205" i="10"/>
  <c r="AF205" i="10"/>
  <c r="AF187" i="10"/>
  <c r="AH185" i="10"/>
  <c r="Z239" i="10"/>
  <c r="X220" i="10"/>
  <c r="W150" i="10"/>
  <c r="X150" i="10"/>
  <c r="AG125" i="10"/>
  <c r="Z93" i="10"/>
  <c r="Z77" i="10"/>
  <c r="AH32" i="10"/>
  <c r="AF30" i="10"/>
  <c r="AI28" i="10"/>
  <c r="AC26" i="10"/>
  <c r="AE280" i="10"/>
  <c r="Z189" i="10"/>
  <c r="Y152" i="10"/>
  <c r="W152" i="10"/>
  <c r="AE143" i="10"/>
  <c r="X134" i="10"/>
  <c r="X95" i="10"/>
  <c r="AF3" i="10"/>
  <c r="AI321" i="10"/>
  <c r="AE230" i="10"/>
  <c r="AE186" i="10"/>
  <c r="W183" i="10"/>
  <c r="AE145" i="10"/>
  <c r="X136" i="10"/>
  <c r="AI127" i="10"/>
  <c r="W97" i="10"/>
  <c r="AG88" i="10"/>
  <c r="X79" i="10"/>
  <c r="Y5" i="10"/>
  <c r="AG297" i="10"/>
  <c r="Y244" i="10"/>
  <c r="AH244" i="10"/>
  <c r="AF113" i="10"/>
  <c r="AD90" i="10"/>
  <c r="AE81" i="10"/>
  <c r="AE15" i="10"/>
  <c r="AD13" i="10"/>
  <c r="AI11" i="10"/>
  <c r="W9" i="10"/>
  <c r="AF9" i="10"/>
  <c r="AG7" i="10"/>
  <c r="W314" i="10"/>
  <c r="W296" i="10"/>
  <c r="AH261" i="10"/>
  <c r="AH219" i="10"/>
  <c r="Z191" i="10"/>
  <c r="AH170" i="10"/>
  <c r="AI140" i="10"/>
  <c r="AD131" i="10"/>
  <c r="Y122" i="10"/>
  <c r="W92" i="10"/>
  <c r="AG83" i="10"/>
  <c r="AF83" i="10"/>
  <c r="Y56" i="10"/>
  <c r="Z52" i="10"/>
  <c r="AA50" i="10"/>
  <c r="AD17" i="10"/>
  <c r="AA319" i="10"/>
  <c r="AE266" i="10"/>
  <c r="AF248" i="10"/>
  <c r="X237" i="10"/>
  <c r="X233" i="10"/>
  <c r="AH172" i="10"/>
  <c r="AE163" i="10"/>
  <c r="X124" i="10"/>
  <c r="Z115" i="10"/>
  <c r="AG85" i="10"/>
  <c r="AA76" i="10"/>
  <c r="AE67" i="10"/>
  <c r="Z240" i="10"/>
  <c r="AD228" i="10"/>
  <c r="AA228" i="10"/>
  <c r="Z216" i="10"/>
  <c r="AE204" i="10"/>
  <c r="AC192" i="10"/>
  <c r="Z180" i="10"/>
  <c r="AD305" i="10"/>
  <c r="AF293" i="10"/>
  <c r="Z269" i="10"/>
  <c r="AD257" i="10"/>
  <c r="W245" i="10"/>
  <c r="AG322" i="10"/>
  <c r="AF298" i="10"/>
  <c r="AA286" i="10"/>
  <c r="AG274" i="10"/>
  <c r="AC262" i="10"/>
  <c r="AI250" i="10"/>
  <c r="AG238" i="10"/>
  <c r="AG226" i="10"/>
  <c r="Y214" i="10"/>
  <c r="X202" i="10"/>
  <c r="Y315" i="10"/>
  <c r="Z303" i="10"/>
  <c r="Y291" i="10"/>
  <c r="AF279" i="10"/>
  <c r="AE255" i="10"/>
  <c r="AD243" i="10"/>
  <c r="AG231" i="10"/>
  <c r="AA313" i="10"/>
  <c r="AD289" i="10"/>
  <c r="AE277" i="10"/>
  <c r="X265" i="10"/>
  <c r="AF253" i="10"/>
  <c r="AA253" i="10"/>
  <c r="AC241" i="10"/>
  <c r="X229" i="10"/>
  <c r="AA294" i="10"/>
  <c r="AH271" i="10"/>
  <c r="AF256" i="10"/>
  <c r="W221" i="10"/>
  <c r="AD200" i="10"/>
  <c r="Z198" i="10"/>
  <c r="AF196" i="10"/>
  <c r="AG194" i="10"/>
  <c r="W188" i="10"/>
  <c r="W175" i="10"/>
  <c r="AA168" i="10"/>
  <c r="Z156" i="10"/>
  <c r="Y144" i="10"/>
  <c r="Z132" i="10"/>
  <c r="AC120" i="10"/>
  <c r="AI108" i="10"/>
  <c r="AF96" i="10"/>
  <c r="AG84" i="10"/>
  <c r="AF72" i="10"/>
  <c r="Y60" i="10"/>
  <c r="AH48" i="10"/>
  <c r="W48" i="10"/>
  <c r="AC36" i="10"/>
  <c r="AF24" i="10"/>
  <c r="X12" i="10"/>
  <c r="Y323" i="10"/>
  <c r="X320" i="10"/>
  <c r="AE285" i="10"/>
  <c r="AG247" i="10"/>
  <c r="Y223" i="10"/>
  <c r="AA212" i="10"/>
  <c r="AF210" i="10"/>
  <c r="AE208" i="10"/>
  <c r="AA208" i="10"/>
  <c r="AD206" i="10"/>
  <c r="AI184" i="10"/>
  <c r="Z166" i="10"/>
  <c r="W154" i="10"/>
  <c r="X142" i="10"/>
  <c r="W118" i="10"/>
  <c r="AA106" i="10"/>
  <c r="AA94" i="10"/>
  <c r="AC82" i="10"/>
  <c r="AE70" i="10"/>
  <c r="AA58" i="10"/>
  <c r="Y58" i="10"/>
  <c r="X46" i="10"/>
  <c r="AC22" i="10"/>
  <c r="X10" i="10"/>
  <c r="Z311" i="10"/>
  <c r="W308" i="10"/>
  <c r="AF235" i="10"/>
  <c r="Z232" i="10"/>
  <c r="AG225" i="10"/>
  <c r="AE182" i="10"/>
  <c r="Z171" i="10"/>
  <c r="AH159" i="10"/>
  <c r="W147" i="10"/>
  <c r="Z135" i="10"/>
  <c r="X123" i="10"/>
  <c r="AF111" i="10"/>
  <c r="AF99" i="10"/>
  <c r="AE87" i="10"/>
  <c r="AH75" i="10"/>
  <c r="AE63" i="10"/>
  <c r="X302" i="10"/>
  <c r="AD287" i="10"/>
  <c r="Y249" i="10"/>
  <c r="AE290" i="10"/>
  <c r="Z275" i="10"/>
  <c r="W316" i="10"/>
  <c r="Y278" i="10"/>
  <c r="Z263" i="10"/>
  <c r="AE260" i="10"/>
  <c r="AE207" i="10"/>
  <c r="AI205" i="10"/>
  <c r="AH203" i="10"/>
  <c r="AC199" i="10"/>
  <c r="AG187" i="10"/>
  <c r="AI185" i="10"/>
  <c r="AA239" i="10"/>
  <c r="Y220" i="10"/>
  <c r="Y150" i="10"/>
  <c r="AI141" i="10"/>
  <c r="AC220" i="10"/>
  <c r="AI195" i="10"/>
  <c r="AH150" i="10"/>
  <c r="AE141" i="10"/>
  <c r="Z125" i="10"/>
  <c r="X102" i="10"/>
  <c r="AE93" i="10"/>
  <c r="AE77" i="10"/>
  <c r="X32" i="10"/>
  <c r="Z30" i="10"/>
  <c r="AC28" i="10"/>
  <c r="AG28" i="10"/>
  <c r="AG26" i="10"/>
  <c r="AG280" i="10"/>
  <c r="Y189" i="10"/>
  <c r="AH152" i="10"/>
  <c r="Y143" i="10"/>
  <c r="AI134" i="10"/>
  <c r="AA95" i="10"/>
  <c r="AE86" i="10"/>
  <c r="Z3" i="10"/>
  <c r="Y321" i="10"/>
  <c r="X268" i="10"/>
  <c r="AG268" i="10"/>
  <c r="X230" i="10"/>
  <c r="AD186" i="10"/>
  <c r="AG183" i="10"/>
  <c r="X145" i="10"/>
  <c r="AE136" i="10"/>
  <c r="AD127" i="10"/>
  <c r="AF97" i="10"/>
  <c r="AE88" i="10"/>
  <c r="AA79" i="10"/>
  <c r="AD44" i="10"/>
  <c r="Z42" i="10"/>
  <c r="AC40" i="10"/>
  <c r="AG40" i="10"/>
  <c r="AH38" i="10"/>
  <c r="AI5" i="10"/>
  <c r="X297" i="10"/>
  <c r="X244" i="10"/>
  <c r="AG213" i="10"/>
  <c r="AF161" i="10"/>
  <c r="Y138" i="10"/>
  <c r="AD129" i="10"/>
  <c r="AA113" i="10"/>
  <c r="Z90" i="10"/>
  <c r="X81" i="10"/>
  <c r="AF65" i="10"/>
  <c r="W15" i="10"/>
  <c r="X13" i="10"/>
  <c r="Y11" i="10"/>
  <c r="Y9" i="10"/>
  <c r="Z7" i="10"/>
  <c r="AI314" i="10"/>
  <c r="AH296" i="10"/>
  <c r="Y261" i="10"/>
  <c r="AA219" i="10"/>
  <c r="AC191" i="10"/>
  <c r="AD170" i="10"/>
  <c r="AD140" i="10"/>
  <c r="AC140" i="10"/>
  <c r="AE131" i="10"/>
  <c r="AA122" i="10"/>
  <c r="AD92" i="10"/>
  <c r="X83" i="10"/>
  <c r="AG74" i="10"/>
  <c r="AI56" i="10"/>
  <c r="AH52" i="10"/>
  <c r="Y50" i="10"/>
  <c r="AF17" i="10"/>
  <c r="AG319" i="10"/>
  <c r="AC266" i="10"/>
  <c r="AI266" i="10"/>
  <c r="AA248" i="10"/>
  <c r="AH237" i="10"/>
  <c r="AH233" i="10"/>
  <c r="AE222" i="10"/>
  <c r="AA177" i="10"/>
  <c r="AC172" i="10"/>
  <c r="W163" i="10"/>
  <c r="AD124" i="10"/>
  <c r="Y115" i="10"/>
  <c r="X85" i="10"/>
  <c r="AD85" i="10"/>
  <c r="X76" i="10"/>
  <c r="Z67" i="10"/>
  <c r="Z27" i="10"/>
  <c r="W6" i="10"/>
  <c r="W124" i="10"/>
  <c r="W115" i="10"/>
  <c r="AF85" i="10"/>
  <c r="AG76" i="10"/>
  <c r="AG67" i="10"/>
  <c r="AC27" i="10"/>
  <c r="AH27" i="10"/>
  <c r="AH21" i="10"/>
  <c r="AA19" i="10"/>
  <c r="AI307" i="10"/>
  <c r="W209" i="10"/>
  <c r="AA174" i="10"/>
  <c r="Y165" i="10"/>
  <c r="AD149" i="10"/>
  <c r="AF126" i="10"/>
  <c r="AH117" i="10"/>
  <c r="W101" i="10"/>
  <c r="AC69" i="10"/>
  <c r="AC282" i="10"/>
  <c r="AD259" i="10"/>
  <c r="AD162" i="10"/>
  <c r="AD153" i="10"/>
  <c r="AC105" i="10"/>
  <c r="AH105" i="10"/>
  <c r="AD304" i="10"/>
  <c r="W251" i="10"/>
  <c r="Y227" i="10"/>
  <c r="AE211" i="10"/>
  <c r="X181" i="10"/>
  <c r="AA178" i="10"/>
  <c r="AH157" i="10"/>
  <c r="AE148" i="10"/>
  <c r="Y139" i="10"/>
  <c r="AE6" i="10"/>
  <c r="AD66" i="10"/>
  <c r="AD158" i="10"/>
  <c r="AG167" i="10"/>
  <c r="AG242" i="10"/>
  <c r="AG41" i="10"/>
  <c r="AI51" i="10"/>
  <c r="AF2" i="10"/>
  <c r="W57" i="10"/>
  <c r="Z57" i="10"/>
  <c r="W89" i="10"/>
  <c r="AG151" i="10"/>
  <c r="AF160" i="10"/>
  <c r="AC179" i="10"/>
  <c r="AE47" i="10"/>
  <c r="Y295" i="10"/>
  <c r="X318" i="10"/>
  <c r="W18" i="10"/>
  <c r="AH62" i="10"/>
  <c r="AG73" i="10"/>
  <c r="AA116" i="10"/>
  <c r="W299" i="10"/>
  <c r="AH8" i="10"/>
  <c r="AH53" i="10"/>
  <c r="Z91" i="10"/>
  <c r="X109" i="10"/>
  <c r="AF14" i="10"/>
  <c r="Y14" i="10"/>
  <c r="AD103" i="10"/>
  <c r="Z164" i="10"/>
  <c r="Z49" i="10"/>
  <c r="X283" i="10"/>
  <c r="W27" i="10"/>
  <c r="AI21" i="10"/>
  <c r="AE19" i="10"/>
  <c r="W307" i="10"/>
  <c r="X209" i="10"/>
  <c r="AD174" i="10"/>
  <c r="AE165" i="10"/>
  <c r="AE149" i="10"/>
  <c r="Z101" i="10"/>
  <c r="X101" i="10"/>
  <c r="X69" i="10"/>
  <c r="AE259" i="10"/>
  <c r="AH162" i="10"/>
  <c r="AA153" i="10"/>
  <c r="AD105" i="10"/>
  <c r="AF304" i="10"/>
  <c r="Y304" i="10"/>
  <c r="X251" i="10"/>
  <c r="Z227" i="10"/>
  <c r="AI211" i="10"/>
  <c r="Y181" i="10"/>
  <c r="AC178" i="10"/>
  <c r="W157" i="10"/>
  <c r="AF148" i="10"/>
  <c r="Z139" i="10"/>
  <c r="X6" i="10"/>
  <c r="AF66" i="10"/>
  <c r="AE66" i="10"/>
  <c r="AG158" i="10"/>
  <c r="AI167" i="10"/>
  <c r="AF242" i="10"/>
  <c r="W31" i="10"/>
  <c r="W41" i="10"/>
  <c r="AC51" i="10"/>
  <c r="AD2" i="10"/>
  <c r="AA57" i="10"/>
  <c r="Y89" i="10"/>
  <c r="X89" i="10"/>
  <c r="AH151" i="10"/>
  <c r="AG160" i="10"/>
  <c r="Y179" i="10"/>
  <c r="AF47" i="10"/>
  <c r="Z295" i="10"/>
  <c r="AE318" i="10"/>
  <c r="X18" i="10"/>
  <c r="Y62" i="10"/>
  <c r="AI62" i="10"/>
  <c r="Z73" i="10"/>
  <c r="AD116" i="10"/>
  <c r="X299" i="10"/>
  <c r="Y8" i="10"/>
  <c r="AI53" i="10"/>
  <c r="AF91" i="10"/>
  <c r="Y109" i="10"/>
  <c r="AA14" i="10"/>
  <c r="AE103" i="10"/>
  <c r="AC146" i="10"/>
  <c r="AA164" i="10"/>
  <c r="AG49" i="10"/>
  <c r="W64" i="10"/>
  <c r="AH125" i="10"/>
  <c r="AA93" i="10"/>
  <c r="AA77" i="10"/>
  <c r="AI32" i="10"/>
  <c r="AG30" i="10"/>
  <c r="X28" i="10"/>
  <c r="Z26" i="10"/>
  <c r="AI280" i="10"/>
  <c r="AA189" i="10"/>
  <c r="AA152" i="10"/>
  <c r="W143" i="10"/>
  <c r="AG143" i="10"/>
  <c r="Z134" i="10"/>
  <c r="Y95" i="10"/>
  <c r="AG3" i="10"/>
  <c r="AE321" i="10"/>
  <c r="AF230" i="10"/>
  <c r="AF186" i="10"/>
  <c r="X183" i="10"/>
  <c r="AD145" i="10"/>
  <c r="AC136" i="10"/>
  <c r="Z136" i="10"/>
  <c r="AC127" i="10"/>
  <c r="Z97" i="10"/>
  <c r="AH88" i="10"/>
  <c r="Y79" i="10"/>
  <c r="AC42" i="10"/>
  <c r="W40" i="10"/>
  <c r="AA5" i="10"/>
  <c r="AC297" i="10"/>
  <c r="Z244" i="10"/>
  <c r="AF213" i="10"/>
  <c r="X161" i="10"/>
  <c r="AG113" i="10"/>
  <c r="AE90" i="10"/>
  <c r="AI81" i="10"/>
  <c r="AH15" i="10"/>
  <c r="AF13" i="10"/>
  <c r="X11" i="10"/>
  <c r="Z9" i="10"/>
  <c r="X7" i="10"/>
  <c r="AH7" i="10"/>
  <c r="Z314" i="10"/>
  <c r="AD296" i="10"/>
  <c r="AI261" i="10"/>
  <c r="AI219" i="10"/>
  <c r="AA191" i="10"/>
  <c r="AI170" i="10"/>
  <c r="W140" i="10"/>
  <c r="AI131" i="10"/>
  <c r="AF122" i="10"/>
  <c r="X92" i="10"/>
  <c r="W83" i="10"/>
  <c r="AA74" i="10"/>
  <c r="Z56" i="10"/>
  <c r="AA52" i="10"/>
  <c r="AD50" i="10"/>
  <c r="AE17" i="10"/>
  <c r="AD319" i="10"/>
  <c r="AF266" i="10"/>
  <c r="AG248" i="10"/>
  <c r="AI237" i="10"/>
  <c r="Y233" i="10"/>
  <c r="W172" i="10"/>
  <c r="AF163" i="10"/>
  <c r="Y124" i="10"/>
  <c r="AA115" i="10"/>
  <c r="AH85" i="10"/>
  <c r="AD76" i="10"/>
  <c r="AF67" i="10"/>
  <c r="AE27" i="10"/>
  <c r="Y25" i="10"/>
  <c r="AG23" i="10"/>
  <c r="X23" i="10"/>
  <c r="X21" i="10"/>
  <c r="AF19" i="10"/>
  <c r="AD307" i="10"/>
  <c r="X254" i="10"/>
  <c r="Y209" i="10"/>
  <c r="AE174" i="10"/>
  <c r="AF165" i="10"/>
  <c r="AF149" i="10"/>
  <c r="AC126" i="10"/>
  <c r="AE117" i="10"/>
  <c r="AA101" i="10"/>
  <c r="AF283" i="10"/>
  <c r="AG25" i="10"/>
  <c r="Y23" i="10"/>
  <c r="AD21" i="10"/>
  <c r="AC19" i="10"/>
  <c r="Z307" i="10"/>
  <c r="AF254" i="10"/>
  <c r="AF209" i="10"/>
  <c r="X174" i="10"/>
  <c r="Z165" i="10"/>
  <c r="AC165" i="10"/>
  <c r="W149" i="10"/>
  <c r="AH126" i="10"/>
  <c r="AD117" i="10"/>
  <c r="AG101" i="10"/>
  <c r="AG78" i="10"/>
  <c r="AH69" i="10"/>
  <c r="W29" i="10"/>
  <c r="AF282" i="10"/>
  <c r="W259" i="10"/>
  <c r="AF190" i="10"/>
  <c r="AE162" i="10"/>
  <c r="AF153" i="10"/>
  <c r="AC153" i="10"/>
  <c r="W137" i="10"/>
  <c r="AA105" i="10"/>
  <c r="AG304" i="10"/>
  <c r="AI251" i="10"/>
  <c r="AI227" i="10"/>
  <c r="Z211" i="10"/>
  <c r="AI181" i="10"/>
  <c r="W178" i="10"/>
  <c r="AD157" i="10"/>
  <c r="AG148" i="10"/>
  <c r="Z148" i="10"/>
  <c r="AI139" i="10"/>
  <c r="AG6" i="10"/>
  <c r="AH61" i="10"/>
  <c r="X66" i="10"/>
  <c r="AG71" i="10"/>
  <c r="Y158" i="10"/>
  <c r="Y167" i="10"/>
  <c r="AA242" i="10"/>
  <c r="AI31" i="10"/>
  <c r="AH41" i="10"/>
  <c r="AE51" i="10"/>
  <c r="Y100" i="10"/>
  <c r="AE246" i="10"/>
  <c r="W2" i="10"/>
  <c r="AC57" i="10"/>
  <c r="AG89" i="10"/>
  <c r="W107" i="10"/>
  <c r="Y151" i="10"/>
  <c r="Z160" i="10"/>
  <c r="X179" i="10"/>
  <c r="AA47" i="10"/>
  <c r="AH215" i="10"/>
  <c r="W295" i="10"/>
  <c r="AC295" i="10"/>
  <c r="AG318" i="10"/>
  <c r="AG18" i="10"/>
  <c r="AH37" i="10"/>
  <c r="AD62" i="10"/>
  <c r="X73" i="10"/>
  <c r="AC116" i="10"/>
  <c r="AI299" i="10"/>
  <c r="AA8" i="10"/>
  <c r="AF43" i="10"/>
  <c r="AA53" i="10"/>
  <c r="W91" i="10"/>
  <c r="AC91" i="10"/>
  <c r="AA109" i="10"/>
  <c r="Y193" i="10"/>
  <c r="AC14" i="10"/>
  <c r="AH218" i="10"/>
  <c r="AE4" i="10"/>
  <c r="AE59" i="10"/>
  <c r="AG103" i="10"/>
  <c r="AH146" i="10"/>
  <c r="AG155" i="10"/>
  <c r="X164" i="10"/>
  <c r="W49" i="10"/>
  <c r="AC49" i="10"/>
  <c r="AF64" i="10"/>
  <c r="AG80" i="10"/>
  <c r="Z283" i="10"/>
  <c r="AI6" i="10"/>
  <c r="AA66" i="10"/>
  <c r="AA158" i="10"/>
  <c r="AA167" i="10"/>
  <c r="AE242" i="10"/>
  <c r="AC31" i="10"/>
  <c r="AA41" i="10"/>
  <c r="X51" i="10"/>
  <c r="AE2" i="10"/>
  <c r="Y2" i="10"/>
  <c r="Y57" i="10"/>
  <c r="AC89" i="10"/>
  <c r="AF151" i="10"/>
  <c r="AE160" i="10"/>
  <c r="AI179" i="10"/>
  <c r="Y47" i="10"/>
  <c r="AH295" i="10"/>
  <c r="AA318" i="10"/>
  <c r="AE18" i="10"/>
  <c r="AI18" i="10"/>
  <c r="AG62" i="10"/>
  <c r="AF73" i="10"/>
  <c r="Z116" i="10"/>
  <c r="AA299" i="10"/>
  <c r="AC8" i="10"/>
  <c r="AH43" i="10"/>
  <c r="AC53" i="10"/>
  <c r="Y91" i="10"/>
  <c r="AG109" i="10"/>
  <c r="AF193" i="10"/>
  <c r="X14" i="10"/>
  <c r="AI218" i="10"/>
  <c r="AH4" i="10"/>
  <c r="AG59" i="10"/>
  <c r="AA103" i="10"/>
  <c r="AF146" i="10"/>
  <c r="AE155" i="10"/>
  <c r="AG164" i="10"/>
  <c r="Y49" i="10"/>
  <c r="AI64" i="10"/>
  <c r="AI80" i="10"/>
  <c r="AD283" i="10"/>
  <c r="AG283" i="10"/>
  <c r="AH283" i="10"/>
  <c r="X78" i="10"/>
  <c r="W78" i="10"/>
  <c r="Y69" i="10"/>
  <c r="AD29" i="10"/>
  <c r="W282" i="10"/>
  <c r="AF259" i="10"/>
  <c r="X190" i="10"/>
  <c r="AI162" i="10"/>
  <c r="AG153" i="10"/>
  <c r="AD137" i="10"/>
  <c r="AE105" i="10"/>
  <c r="AI304" i="10"/>
  <c r="AF251" i="10"/>
  <c r="Y251" i="10"/>
  <c r="AA227" i="10"/>
  <c r="AC211" i="10"/>
  <c r="Z181" i="10"/>
  <c r="Z178" i="10"/>
  <c r="X157" i="10"/>
  <c r="AD148" i="10"/>
  <c r="AA139" i="10"/>
  <c r="Y6" i="10"/>
  <c r="AG61" i="10"/>
  <c r="Z66" i="10"/>
  <c r="AA71" i="10"/>
  <c r="X71" i="10"/>
  <c r="AH158" i="10"/>
  <c r="AD167" i="10"/>
  <c r="AH242" i="10"/>
  <c r="Y31" i="10"/>
  <c r="X41" i="10"/>
  <c r="Y51" i="10"/>
  <c r="AI2" i="10"/>
  <c r="AD57" i="10"/>
  <c r="Z89" i="10"/>
  <c r="AF107" i="10"/>
  <c r="AI151" i="10"/>
  <c r="AI160" i="10"/>
  <c r="AA179" i="10"/>
  <c r="AG47" i="10"/>
  <c r="AD295" i="10"/>
  <c r="Z318" i="10"/>
  <c r="Y18" i="10"/>
  <c r="AF62" i="10"/>
  <c r="AA73" i="10"/>
  <c r="AG116" i="10"/>
  <c r="Z299" i="10"/>
  <c r="Z8" i="10"/>
  <c r="AC43" i="10"/>
  <c r="W53" i="10"/>
  <c r="AG91" i="10"/>
  <c r="AE109" i="10"/>
  <c r="AD14" i="10"/>
  <c r="Y218" i="10"/>
  <c r="AC4" i="10"/>
  <c r="AC59" i="10"/>
  <c r="AH103" i="10"/>
  <c r="W146" i="10"/>
  <c r="W155" i="10"/>
  <c r="AD164" i="10"/>
  <c r="AA49" i="10"/>
  <c r="AD64" i="10"/>
  <c r="AI283" i="10"/>
</calcChain>
</file>

<file path=xl/sharedStrings.xml><?xml version="1.0" encoding="utf-8"?>
<sst xmlns="http://schemas.openxmlformats.org/spreadsheetml/2006/main" count="92842" uniqueCount="9788">
  <si>
    <t>Assembly</t>
  </si>
  <si>
    <t>Mandal</t>
  </si>
  <si>
    <t>Panchayat</t>
  </si>
  <si>
    <t>Year</t>
  </si>
  <si>
    <t>TDP</t>
  </si>
  <si>
    <t>YSRCP</t>
  </si>
  <si>
    <t>JSP</t>
  </si>
  <si>
    <t>Tuni</t>
  </si>
  <si>
    <t>Prathipadu</t>
  </si>
  <si>
    <t>Buradakota</t>
  </si>
  <si>
    <t>Pithapuram</t>
  </si>
  <si>
    <t>Kakinada Rural</t>
  </si>
  <si>
    <t>Current Sarpanch</t>
  </si>
  <si>
    <t>Party</t>
  </si>
  <si>
    <t>TDP - Current Position</t>
  </si>
  <si>
    <t>Peddapuram</t>
  </si>
  <si>
    <t>Kakinada Urban</t>
  </si>
  <si>
    <t>Demographics</t>
  </si>
  <si>
    <t>Prominent Castes</t>
  </si>
  <si>
    <t>Jaggampeta</t>
  </si>
  <si>
    <t>S No.</t>
  </si>
  <si>
    <t>Caste</t>
  </si>
  <si>
    <t>Voters</t>
  </si>
  <si>
    <t>Inclination</t>
  </si>
  <si>
    <t>Age</t>
  </si>
  <si>
    <t>Male</t>
  </si>
  <si>
    <t>Female</t>
  </si>
  <si>
    <t>18-24</t>
  </si>
  <si>
    <t>25-44</t>
  </si>
  <si>
    <t>45-59</t>
  </si>
  <si>
    <t>60+</t>
  </si>
  <si>
    <t>Total</t>
  </si>
  <si>
    <t>Cohort Groups</t>
  </si>
  <si>
    <t>Retro</t>
  </si>
  <si>
    <t>Election</t>
  </si>
  <si>
    <t>BJP</t>
  </si>
  <si>
    <t>INC</t>
  </si>
  <si>
    <t>PRP</t>
  </si>
  <si>
    <t>Others</t>
  </si>
  <si>
    <t>AE Results</t>
  </si>
  <si>
    <t>2024 AE</t>
  </si>
  <si>
    <t>2024 PE</t>
  </si>
  <si>
    <t>2019 AE</t>
  </si>
  <si>
    <t>2019 PE</t>
  </si>
  <si>
    <t>2014 AE</t>
  </si>
  <si>
    <t>2014 PE</t>
  </si>
  <si>
    <t>2009 AE</t>
  </si>
  <si>
    <t>2009 PE</t>
  </si>
  <si>
    <t>2024 AE Story</t>
  </si>
  <si>
    <t>2019 AE Story</t>
  </si>
  <si>
    <t>Sarpanch Election Scenario</t>
  </si>
  <si>
    <t>2020 Election Scenario</t>
  </si>
  <si>
    <t>Expected Contestants for 2026 Elections</t>
  </si>
  <si>
    <t>Possible Reservation</t>
  </si>
  <si>
    <t>Key Leaders</t>
  </si>
  <si>
    <t>S No</t>
  </si>
  <si>
    <t>Name</t>
  </si>
  <si>
    <t>Category</t>
  </si>
  <si>
    <t>Designation</t>
  </si>
  <si>
    <t>Mobile</t>
  </si>
  <si>
    <t>Influence</t>
  </si>
  <si>
    <t>Internal Factions</t>
  </si>
  <si>
    <t>Chargesheet Points</t>
  </si>
  <si>
    <t>Key Development Activities</t>
  </si>
  <si>
    <t>Major Issues</t>
  </si>
  <si>
    <t>Additional Information</t>
  </si>
  <si>
    <t>Village</t>
  </si>
  <si>
    <t>Categorisation PE</t>
  </si>
  <si>
    <t>Total PSs</t>
  </si>
  <si>
    <t>Sarpanch Name</t>
  </si>
  <si>
    <t>Sarpanch Party</t>
  </si>
  <si>
    <t>Reservation</t>
  </si>
  <si>
    <t>Sarpanch Caste</t>
  </si>
  <si>
    <t>Sarpanch Mobile No</t>
  </si>
  <si>
    <t>Male Voters</t>
  </si>
  <si>
    <t>Female Voters</t>
  </si>
  <si>
    <t>Total Voters</t>
  </si>
  <si>
    <t>18-24 (F) Voters</t>
  </si>
  <si>
    <t>25-44 (F) Voters</t>
  </si>
  <si>
    <t>45-59 (F) Voters</t>
  </si>
  <si>
    <t>60+ (F) Voters</t>
  </si>
  <si>
    <t>18-24 (M) Voters</t>
  </si>
  <si>
    <t>25-44 (M) Voters</t>
  </si>
  <si>
    <t>45-59 (M) Voters</t>
  </si>
  <si>
    <t>60+ (M) Voters</t>
  </si>
  <si>
    <t>SC</t>
  </si>
  <si>
    <t>ST</t>
  </si>
  <si>
    <t>&gt;50K Benf HH</t>
  </si>
  <si>
    <t>Gandepalle</t>
  </si>
  <si>
    <t>Borrampalem</t>
  </si>
  <si>
    <t>Battleground</t>
  </si>
  <si>
    <t>Pokala Subbarao</t>
  </si>
  <si>
    <t>YCP</t>
  </si>
  <si>
    <t>UR(G)</t>
  </si>
  <si>
    <t>Perika</t>
  </si>
  <si>
    <t>Favourable</t>
  </si>
  <si>
    <t>Rutthala Lalitha Devi</t>
  </si>
  <si>
    <t>BC(W)</t>
  </si>
  <si>
    <t>Velama</t>
  </si>
  <si>
    <t>K. Nayakampalle</t>
  </si>
  <si>
    <t>Safe</t>
  </si>
  <si>
    <t>Mallireddy Mahalakshmi Varahalu</t>
  </si>
  <si>
    <t>UR(W)</t>
  </si>
  <si>
    <t>Kamma</t>
  </si>
  <si>
    <t>K.Gopalapuram</t>
  </si>
  <si>
    <t>Karri Suryakantham</t>
  </si>
  <si>
    <t>OTHERS</t>
  </si>
  <si>
    <t>T.Kapu</t>
  </si>
  <si>
    <t>Mallepalli</t>
  </si>
  <si>
    <t>Ballireddy Varalakshmi</t>
  </si>
  <si>
    <t>Pathuru</t>
  </si>
  <si>
    <t>Murari</t>
  </si>
  <si>
    <t>Kukkala Ananda Babu</t>
  </si>
  <si>
    <t>SC(G)</t>
  </si>
  <si>
    <t>Mala</t>
  </si>
  <si>
    <t>N.T.Rajapuram</t>
  </si>
  <si>
    <t>Bikkina Devi Durga</t>
  </si>
  <si>
    <t>Neeladriraopeta</t>
  </si>
  <si>
    <t>Mulampaka Suresh Babu</t>
  </si>
  <si>
    <t>BC(G)</t>
  </si>
  <si>
    <t>Kummari</t>
  </si>
  <si>
    <t>P. Nayakampalle</t>
  </si>
  <si>
    <t>Mallireddy Annapurna</t>
  </si>
  <si>
    <t>P.Surampalem</t>
  </si>
  <si>
    <t>Marisetti Gangabhavani</t>
  </si>
  <si>
    <t>Setti Balija</t>
  </si>
  <si>
    <t>K.Surampalem</t>
  </si>
  <si>
    <t>Ramayyapalem</t>
  </si>
  <si>
    <t>Mylavarapu Venkatalakshmi</t>
  </si>
  <si>
    <t>Singarampalem</t>
  </si>
  <si>
    <t>Buddaraju Ganapathiraju</t>
  </si>
  <si>
    <t>Kshatriya</t>
  </si>
  <si>
    <t>Subbayamma Peta</t>
  </si>
  <si>
    <t>Bobbara Sivakumar</t>
  </si>
  <si>
    <t>Talluru</t>
  </si>
  <si>
    <t>Seelamanthula Veerababu</t>
  </si>
  <si>
    <t>Padmasali</t>
  </si>
  <si>
    <t>Uppalapadu</t>
  </si>
  <si>
    <t>Adabala Ramanjaneyulu</t>
  </si>
  <si>
    <t>Kapu</t>
  </si>
  <si>
    <t>Yellamilli</t>
  </si>
  <si>
    <t>N. Naga Jyothi</t>
  </si>
  <si>
    <t>SC(W)</t>
  </si>
  <si>
    <t>Yerrampalem</t>
  </si>
  <si>
    <t>Ijjina Chinnari</t>
  </si>
  <si>
    <t>Z.Ragampeta</t>
  </si>
  <si>
    <t>Sri Kandula Chittibabu</t>
  </si>
  <si>
    <t>Gokavaram</t>
  </si>
  <si>
    <t>Atchutapuram</t>
  </si>
  <si>
    <t>Battula Venkata Ramakrishna</t>
  </si>
  <si>
    <t>Gadelapalem</t>
  </si>
  <si>
    <t>Atchibabu Kammila</t>
  </si>
  <si>
    <t>Gangam Palem</t>
  </si>
  <si>
    <t>Doddi Venkata Lakshmi</t>
  </si>
  <si>
    <t>Gavara</t>
  </si>
  <si>
    <t>Takurupalem</t>
  </si>
  <si>
    <t>Sravani Komaram</t>
  </si>
  <si>
    <t>ST(W)</t>
  </si>
  <si>
    <t>Reddika</t>
  </si>
  <si>
    <t>Gummalladuddi</t>
  </si>
  <si>
    <t>Sarakanam Ramalakshmi</t>
  </si>
  <si>
    <t>Itikayala Palle</t>
  </si>
  <si>
    <t>Dara Ramakrishna</t>
  </si>
  <si>
    <t>Kamaraju Peta</t>
  </si>
  <si>
    <t>Venkatarao Adapa</t>
  </si>
  <si>
    <t>Yadava</t>
  </si>
  <si>
    <t>Kothapalle</t>
  </si>
  <si>
    <t>Kanchumarthi Katama Swamy</t>
  </si>
  <si>
    <t>Krishnuni Palem</t>
  </si>
  <si>
    <t>Adilakshmi Rowthu</t>
  </si>
  <si>
    <t>Mallavaram</t>
  </si>
  <si>
    <t>Idudala Lakshmi</t>
  </si>
  <si>
    <t>Sivaramapatnam</t>
  </si>
  <si>
    <t>Rampa Yerrampalem</t>
  </si>
  <si>
    <t>Badampudi Harshita</t>
  </si>
  <si>
    <t>Thanti Konda</t>
  </si>
  <si>
    <t>Satyanarayanamma Baddireddy</t>
  </si>
  <si>
    <t>Tirumalayapalem</t>
  </si>
  <si>
    <t>Puramsetti Chandra Sekhar</t>
  </si>
  <si>
    <t>Vedurupaka</t>
  </si>
  <si>
    <t>Dasari Singaramma</t>
  </si>
  <si>
    <t>Bavojipeta</t>
  </si>
  <si>
    <t>Gollalagunta</t>
  </si>
  <si>
    <t>Tirumalaraju Kumari</t>
  </si>
  <si>
    <t>Govindapuram</t>
  </si>
  <si>
    <t>Kammila Venkateswara Rao</t>
  </si>
  <si>
    <t>Gurra Palem</t>
  </si>
  <si>
    <t>Balabhadrapuram</t>
  </si>
  <si>
    <t>Cheepurupalli Lakshmi</t>
  </si>
  <si>
    <t>Irripaka</t>
  </si>
  <si>
    <t>Thirri Devi</t>
  </si>
  <si>
    <t>J.Kothuru</t>
  </si>
  <si>
    <t>Nakireddy Nageswara Rao</t>
  </si>
  <si>
    <t>Nagaratnam Batchala</t>
  </si>
  <si>
    <t>Seethanagaram</t>
  </si>
  <si>
    <t>Kandregula</t>
  </si>
  <si>
    <t>Bodireddy Chakra Rao</t>
  </si>
  <si>
    <t>Katravulapalle</t>
  </si>
  <si>
    <t>Pitta Sugunarao</t>
  </si>
  <si>
    <t>Mallisala</t>
  </si>
  <si>
    <t>Sarvasiddi Nukaratnam</t>
  </si>
  <si>
    <t>Mamidada</t>
  </si>
  <si>
    <t>Karri Suryakumari</t>
  </si>
  <si>
    <t>Manyanvari Palem</t>
  </si>
  <si>
    <t>Potru Veerraju</t>
  </si>
  <si>
    <t>Sagara</t>
  </si>
  <si>
    <t>Marripaka</t>
  </si>
  <si>
    <t>Jagatham Anandarao</t>
  </si>
  <si>
    <t>Narendrapatnam</t>
  </si>
  <si>
    <t>Burri Lakshmi</t>
  </si>
  <si>
    <t>Bhavavaram</t>
  </si>
  <si>
    <t>Rajapudi</t>
  </si>
  <si>
    <t>Busala Vishnu Murthy</t>
  </si>
  <si>
    <t>Turpu Kapu</t>
  </si>
  <si>
    <t>Krishnapuram</t>
  </si>
  <si>
    <t>Tirupatirajupeta</t>
  </si>
  <si>
    <t>Ramavaram</t>
  </si>
  <si>
    <t>Chayadevi Vatsavayi</t>
  </si>
  <si>
    <t>Vengayamma Puram</t>
  </si>
  <si>
    <t>Challa Kumari</t>
  </si>
  <si>
    <t>Kirlampudi</t>
  </si>
  <si>
    <t>Bhupalapantam</t>
  </si>
  <si>
    <t>Veeramreddy Ramalingeswara Swami</t>
  </si>
  <si>
    <t>Burugupudi</t>
  </si>
  <si>
    <t>Aasapu Ramalakshmi</t>
  </si>
  <si>
    <t>Devanga</t>
  </si>
  <si>
    <t>Geddanapalle</t>
  </si>
  <si>
    <t>Molleti Ganga Bahvani</t>
  </si>
  <si>
    <t>Goneda</t>
  </si>
  <si>
    <t>Allu Vijaya Kumar</t>
  </si>
  <si>
    <t>Jagapathinagaram</t>
  </si>
  <si>
    <t>Chillangi</t>
  </si>
  <si>
    <t>Mahendrada Sri Latha</t>
  </si>
  <si>
    <t>Krishnavaram</t>
  </si>
  <si>
    <t>Gorakapudi Veera Anantha Lakshmi</t>
  </si>
  <si>
    <t>Mukkollu</t>
  </si>
  <si>
    <t>Jyothula Rambabu</t>
  </si>
  <si>
    <t>Palem</t>
  </si>
  <si>
    <t>Adabala Sandya</t>
  </si>
  <si>
    <t>Rajupalem</t>
  </si>
  <si>
    <t>Gode Padmavathi</t>
  </si>
  <si>
    <t>Ramachandra Puram</t>
  </si>
  <si>
    <t>Thummalapalli Sai Guna Sekhar</t>
  </si>
  <si>
    <t>Ramakrishnapuram</t>
  </si>
  <si>
    <t>Saraswathi Kanta</t>
  </si>
  <si>
    <t>S.Thimmapuram</t>
  </si>
  <si>
    <t>Mandeti Veeralakshmi</t>
  </si>
  <si>
    <t>Simhadri Puram</t>
  </si>
  <si>
    <t>Kalapureddy Papayamma</t>
  </si>
  <si>
    <t>Somanarayani Peta</t>
  </si>
  <si>
    <t>Sarise Lakshmi Parvathi</t>
  </si>
  <si>
    <t>Somavaram</t>
  </si>
  <si>
    <t>Jyothula Seeta Rama Lakshmi</t>
  </si>
  <si>
    <t>Sungarayunipalem</t>
  </si>
  <si>
    <t>Pattu Chantibabu</t>
  </si>
  <si>
    <t>Thamarada</t>
  </si>
  <si>
    <t>Thota Annayya</t>
  </si>
  <si>
    <t>Veeravaram</t>
  </si>
  <si>
    <t>Ambati Bujjamma</t>
  </si>
  <si>
    <t>Velanka</t>
  </si>
  <si>
    <t>Rayudu Swami</t>
  </si>
  <si>
    <t>Kakinada (Rural)</t>
  </si>
  <si>
    <t>Chidiga</t>
  </si>
  <si>
    <t>DNA</t>
  </si>
  <si>
    <t>Ganganapalli</t>
  </si>
  <si>
    <t>GEESALA MAHALAKSHMI</t>
  </si>
  <si>
    <t>Indra Palem</t>
  </si>
  <si>
    <t>Kovvada</t>
  </si>
  <si>
    <t>Kotipalli Uma</t>
  </si>
  <si>
    <t>Kovvuru</t>
  </si>
  <si>
    <t>Pilli Chakrarao</t>
  </si>
  <si>
    <t>Nemam</t>
  </si>
  <si>
    <t>Ramadevu Suryaprakasarao</t>
  </si>
  <si>
    <t>P.Venkatapuram</t>
  </si>
  <si>
    <t>Penke Lakshmi</t>
  </si>
  <si>
    <t>Panduru</t>
  </si>
  <si>
    <t>Valavala Ammaji</t>
  </si>
  <si>
    <t>Penumarthi</t>
  </si>
  <si>
    <t>Penke Anand Kumar</t>
  </si>
  <si>
    <t>INDEPENDENT</t>
  </si>
  <si>
    <t>Ramanayyapeta</t>
  </si>
  <si>
    <t>Repuru</t>
  </si>
  <si>
    <t>Nakka Veeranna</t>
  </si>
  <si>
    <t>S. Atchuthapuram</t>
  </si>
  <si>
    <t>Sarpavaram</t>
  </si>
  <si>
    <t>Seelam Nageswara Rao</t>
  </si>
  <si>
    <t>Suryarao Peta</t>
  </si>
  <si>
    <t>Surada Chinni</t>
  </si>
  <si>
    <t>Vadabalija</t>
  </si>
  <si>
    <t>Swamynagar</t>
  </si>
  <si>
    <t>Thammavaram</t>
  </si>
  <si>
    <t>Gollapalli Ramaswamy</t>
  </si>
  <si>
    <t>Thimmapuram</t>
  </si>
  <si>
    <t>Bezwada Veera Venkata Satyanarayana</t>
  </si>
  <si>
    <t>Toorangi</t>
  </si>
  <si>
    <t>Vakalapudi</t>
  </si>
  <si>
    <t>Valasapakalu</t>
  </si>
  <si>
    <t>Karapa</t>
  </si>
  <si>
    <t>Aratlakatta</t>
  </si>
  <si>
    <t>Satyaveni Gopi</t>
  </si>
  <si>
    <t>G. Bhavaram</t>
  </si>
  <si>
    <t>Ganiraju Roakkala</t>
  </si>
  <si>
    <t>Goddatipalem</t>
  </si>
  <si>
    <t>Gorripudi</t>
  </si>
  <si>
    <t>Kanuri Ramadevi</t>
  </si>
  <si>
    <t>Gurajanapalle</t>
  </si>
  <si>
    <t>Anusuri Srinivasarao</t>
  </si>
  <si>
    <t>Sade Asha Jyothi</t>
  </si>
  <si>
    <t>Kongodu</t>
  </si>
  <si>
    <t>Nakka Appala Swamy</t>
  </si>
  <si>
    <t>Koripalle</t>
  </si>
  <si>
    <t>Palivela Nageswara Rao</t>
  </si>
  <si>
    <t>Kurada</t>
  </si>
  <si>
    <t>China Mamidada</t>
  </si>
  <si>
    <t>Vasamsetti Venkata Ramana</t>
  </si>
  <si>
    <t>Nadakuduru</t>
  </si>
  <si>
    <t>Degala Lalitha Kumari</t>
  </si>
  <si>
    <t>Patharlagadda</t>
  </si>
  <si>
    <t>Esubabu Nagireddy</t>
  </si>
  <si>
    <t>Peda Kothuru</t>
  </si>
  <si>
    <t>Chinta Nagalakshmi</t>
  </si>
  <si>
    <t>Peddapurappadu</t>
  </si>
  <si>
    <t>Biruda Saraswathi</t>
  </si>
  <si>
    <t>Penuguduru</t>
  </si>
  <si>
    <t>Reddipalli Venkata Madhavi</t>
  </si>
  <si>
    <t>Siripuram</t>
  </si>
  <si>
    <t>Sujatha Nunna</t>
  </si>
  <si>
    <t>Uppalanka</t>
  </si>
  <si>
    <t>Bommidi Nayomi</t>
  </si>
  <si>
    <t>Vakada</t>
  </si>
  <si>
    <t>Adabala Satya</t>
  </si>
  <si>
    <t>Valasapakulu</t>
  </si>
  <si>
    <t>Vasamsetti Ramarao</t>
  </si>
  <si>
    <t>Velangi</t>
  </si>
  <si>
    <t>Savile Neelima</t>
  </si>
  <si>
    <t>Vemulavada</t>
  </si>
  <si>
    <t>Kamkidi Manga Devi</t>
  </si>
  <si>
    <t>Vijayarayudu Palem</t>
  </si>
  <si>
    <t>Velugubanti Seetha Rama Raghava</t>
  </si>
  <si>
    <t>Yandamuru</t>
  </si>
  <si>
    <t>Marella Srinivasarao</t>
  </si>
  <si>
    <t>Z. Bhavaram</t>
  </si>
  <si>
    <t>Kotha Nagalakshmi</t>
  </si>
  <si>
    <t>Anuru</t>
  </si>
  <si>
    <t>Nookapalli Anitha Rani</t>
  </si>
  <si>
    <t>Rameswaram</t>
  </si>
  <si>
    <t>Chadalada</t>
  </si>
  <si>
    <t>Obilisetti Venkata Peda Reddamma Peda Kapu</t>
  </si>
  <si>
    <t>Chandramampalle</t>
  </si>
  <si>
    <t>Kurumella Lovaraju</t>
  </si>
  <si>
    <t>Chinabrahmadevam</t>
  </si>
  <si>
    <t>Kanchumarthi Srinu</t>
  </si>
  <si>
    <t>Divlli</t>
  </si>
  <si>
    <t>Penke Srinu</t>
  </si>
  <si>
    <t>G. Ragampeta</t>
  </si>
  <si>
    <t>Bunga Sekhar Babu</t>
  </si>
  <si>
    <t>Gorinta</t>
  </si>
  <si>
    <t>Pachipala Neri Kumari</t>
  </si>
  <si>
    <t>Gudivada</t>
  </si>
  <si>
    <t>Kanaparti Nookaraju</t>
  </si>
  <si>
    <t>J. Thimmapuram</t>
  </si>
  <si>
    <t>Kundala Papa</t>
  </si>
  <si>
    <t>Kandrakota</t>
  </si>
  <si>
    <t>Makireddy Srinivas</t>
  </si>
  <si>
    <t>Kattamuru</t>
  </si>
  <si>
    <t>Dimmala Pushpa Rathnam</t>
  </si>
  <si>
    <t>Kondapalle</t>
  </si>
  <si>
    <t>Kotha Chakra Rao</t>
  </si>
  <si>
    <t>Vysya</t>
  </si>
  <si>
    <t>Marlava</t>
  </si>
  <si>
    <t>Thota Rama Krishna</t>
  </si>
  <si>
    <t>Pulimeru</t>
  </si>
  <si>
    <t>Tummala Surekha</t>
  </si>
  <si>
    <t>R.B. Kothuru</t>
  </si>
  <si>
    <t>Addala Mariyamma</t>
  </si>
  <si>
    <t>Rayabhupalapatnam</t>
  </si>
  <si>
    <t>Sirivada</t>
  </si>
  <si>
    <t>Inakonda Krishna Kumari</t>
  </si>
  <si>
    <t>Tatiparthi</t>
  </si>
  <si>
    <t>Tirupati</t>
  </si>
  <si>
    <t>Moyilla Krishna Murthy</t>
  </si>
  <si>
    <t>Turupu Pakalu</t>
  </si>
  <si>
    <t>Padala Annapurna</t>
  </si>
  <si>
    <t>Ulimeswaram</t>
  </si>
  <si>
    <t>Akula Varalaxmi</t>
  </si>
  <si>
    <t>Vadlamuru</t>
  </si>
  <si>
    <t>Devalla Durga Varalakshmi Devi</t>
  </si>
  <si>
    <t>Valuthimmapuram</t>
  </si>
  <si>
    <t>Bullama Sainam</t>
  </si>
  <si>
    <t>Samalkota</t>
  </si>
  <si>
    <t>Atcham  Peta</t>
  </si>
  <si>
    <t>Veeram Reddy Sri Rama Krishna Srinivas Nagabhushanam Rao</t>
  </si>
  <si>
    <t>Koppavaram</t>
  </si>
  <si>
    <t>Boyanapudi</t>
  </si>
  <si>
    <t>Challa Bharathi</t>
  </si>
  <si>
    <t>Chandram Palem</t>
  </si>
  <si>
    <t>Chemala Bhavani</t>
  </si>
  <si>
    <t>G. Kothuru</t>
  </si>
  <si>
    <t>Satyamsetti Mahalakshmi</t>
  </si>
  <si>
    <t>G. Medapadu</t>
  </si>
  <si>
    <t>Devi Patani</t>
  </si>
  <si>
    <t>G.Medapadumetta</t>
  </si>
  <si>
    <t>Gonchala</t>
  </si>
  <si>
    <t>Chodisetti Venkataramana</t>
  </si>
  <si>
    <t>Hussianpuram</t>
  </si>
  <si>
    <t>Marni Nagamani</t>
  </si>
  <si>
    <t>Hussianpuram(H.W)</t>
  </si>
  <si>
    <t>Kapavaram</t>
  </si>
  <si>
    <t>Kuncham Madhavarao</t>
  </si>
  <si>
    <t>Madhavapatnam</t>
  </si>
  <si>
    <t>Medisetti Sugunamma</t>
  </si>
  <si>
    <t>Navara</t>
  </si>
  <si>
    <t>Dammala Lakshmanarao</t>
  </si>
  <si>
    <t>P. Vemavaram</t>
  </si>
  <si>
    <t>Nookaratnam Yelisetti</t>
  </si>
  <si>
    <t>Panasapadu</t>
  </si>
  <si>
    <t>Cheekatla Venkatesh</t>
  </si>
  <si>
    <t>Pandravada</t>
  </si>
  <si>
    <t>Srinu Penke</t>
  </si>
  <si>
    <t>Pavara</t>
  </si>
  <si>
    <t>Seetha Mahalakshmi Naganboyina</t>
  </si>
  <si>
    <t>Pedabrahmadevam</t>
  </si>
  <si>
    <t>Neelapala
  Satyanarayana</t>
  </si>
  <si>
    <t>Unduru</t>
  </si>
  <si>
    <t>Satyadi Dhanalaxmi</t>
  </si>
  <si>
    <t>Valluru</t>
  </si>
  <si>
    <t>Venkatakrishnarayapuram</t>
  </si>
  <si>
    <t>Poornima Mortha</t>
  </si>
  <si>
    <t>Vetlapalem</t>
  </si>
  <si>
    <t>Chilli Venkata Lakshmi</t>
  </si>
  <si>
    <t>Gollaprolu</t>
  </si>
  <si>
    <t>A.K.Mallavaram</t>
  </si>
  <si>
    <t>Satyanarayanamma Arigela</t>
  </si>
  <si>
    <t>Other OCs</t>
  </si>
  <si>
    <t>A.P.Mallavaram</t>
  </si>
  <si>
    <t>Kadimasetti Suseela</t>
  </si>
  <si>
    <t>UR(W) oc reddy</t>
  </si>
  <si>
    <t>Reddy</t>
  </si>
  <si>
    <t>A.Vijayanagaram</t>
  </si>
  <si>
    <t>M Satya Venkata Sita Ramakrishna Raju</t>
  </si>
  <si>
    <t>UR(G) Kshatriya</t>
  </si>
  <si>
    <t>Chebrolu</t>
  </si>
  <si>
    <t>Dondapati Lovathalli</t>
  </si>
  <si>
    <t>Chendurthi</t>
  </si>
  <si>
    <t>Alli Papa</t>
  </si>
  <si>
    <t>China Jaggampeta</t>
  </si>
  <si>
    <t>Vammi Veeralakshmi</t>
  </si>
  <si>
    <t>Durgada</t>
  </si>
  <si>
    <t>Pampana Subbalakshmi</t>
  </si>
  <si>
    <t>Kodavali</t>
  </si>
  <si>
    <t>Burra Naga Ramachandra</t>
  </si>
  <si>
    <t>Telaga</t>
  </si>
  <si>
    <t>Katta Bulleswararao</t>
  </si>
  <si>
    <t>Vannepudi</t>
  </si>
  <si>
    <t>Kanda Subrahmanyam</t>
  </si>
  <si>
    <t>Amaravilli</t>
  </si>
  <si>
    <t>Puli Jayababu</t>
  </si>
  <si>
    <t>Aminabada</t>
  </si>
  <si>
    <t>Manikanta Babu Nakka</t>
  </si>
  <si>
    <t>Gorsa</t>
  </si>
  <si>
    <t>Rongala Veerababu</t>
  </si>
  <si>
    <t>Isukapalli</t>
  </si>
  <si>
    <t>P. Isukapalle</t>
  </si>
  <si>
    <t>Komaragiri</t>
  </si>
  <si>
    <t>Kandepilli Satyasri</t>
  </si>
  <si>
    <t>Kondevaram</t>
  </si>
  <si>
    <t>Vemagiri Chellayamma</t>
  </si>
  <si>
    <t>Madiga</t>
  </si>
  <si>
    <t>Kotha Isukapalle</t>
  </si>
  <si>
    <t>Kotha Mulapeta</t>
  </si>
  <si>
    <t>Gavara Bhavani</t>
  </si>
  <si>
    <t>Kutukudumilli</t>
  </si>
  <si>
    <t>Chinnarao Karri</t>
  </si>
  <si>
    <t>Mulapeta</t>
  </si>
  <si>
    <t>Kambala Monika</t>
  </si>
  <si>
    <t>Nagulapalle</t>
  </si>
  <si>
    <t>Vadisetti Gowri Rajeswari</t>
  </si>
  <si>
    <t>Ponnada</t>
  </si>
  <si>
    <t>Bandi Rani</t>
  </si>
  <si>
    <t>Ramanakkapeta</t>
  </si>
  <si>
    <t>Ammaji Kajuluri</t>
  </si>
  <si>
    <t>Sreeramnagar</t>
  </si>
  <si>
    <t>Uppada</t>
  </si>
  <si>
    <t>Subbampeta</t>
  </si>
  <si>
    <t>Ummidi Mery</t>
  </si>
  <si>
    <t>Vakatippa</t>
  </si>
  <si>
    <t>Dorababu Palani</t>
  </si>
  <si>
    <t>Yendapalle</t>
  </si>
  <si>
    <t>Pedda Apparao Seelam</t>
  </si>
  <si>
    <t>B Prathipadu</t>
  </si>
  <si>
    <t>Voota Ramakrishna</t>
  </si>
  <si>
    <t>B. Kothuru</t>
  </si>
  <si>
    <t>Chekka Sri Laksbhmi</t>
  </si>
  <si>
    <t>Bhogapuram</t>
  </si>
  <si>
    <t>Nepala Varalakshmi</t>
  </si>
  <si>
    <t>Chitrada</t>
  </si>
  <si>
    <t>Kothaluri Sunitha</t>
  </si>
  <si>
    <t>Fakruddinpalem</t>
  </si>
  <si>
    <t>Mummidi Mahalakshmi</t>
  </si>
  <si>
    <t>Gokivada</t>
  </si>
  <si>
    <t>Keerthi Harinatha Babu</t>
  </si>
  <si>
    <t>Jagapathirajpuram</t>
  </si>
  <si>
    <t>Jalluru</t>
  </si>
  <si>
    <t>Govindarajupalem</t>
  </si>
  <si>
    <t>Gutthula Madhavi</t>
  </si>
  <si>
    <t>Jamulapalli</t>
  </si>
  <si>
    <t>Peddinti Rajani</t>
  </si>
  <si>
    <t>Kandarada</t>
  </si>
  <si>
    <t>Saitana Naga Bharathi</t>
  </si>
  <si>
    <t>Kolanka</t>
  </si>
  <si>
    <t>Gatti Lakshmi Subhadra</t>
  </si>
  <si>
    <t>Kumarapuram</t>
  </si>
  <si>
    <t>Nalla Ramarao</t>
  </si>
  <si>
    <t>L N Puram</t>
  </si>
  <si>
    <t>Padala Yedukondalu</t>
  </si>
  <si>
    <t>Madhavapuram</t>
  </si>
  <si>
    <t>Illindrada</t>
  </si>
  <si>
    <t>Bandi Venkata Subbarao</t>
  </si>
  <si>
    <t>Mallam</t>
  </si>
  <si>
    <t>Datla Suribabu</t>
  </si>
  <si>
    <t>Mangiturthi</t>
  </si>
  <si>
    <t>Kasireddy Siva Jyothi</t>
  </si>
  <si>
    <t>P.Velama</t>
  </si>
  <si>
    <t>Narasingapuram</t>
  </si>
  <si>
    <t>Agraharam (Rural)</t>
  </si>
  <si>
    <t>Deyyala Nageswara Rao</t>
  </si>
  <si>
    <t>Navakandravada</t>
  </si>
  <si>
    <t>Balla Rajani</t>
  </si>
  <si>
    <t>P Donthamuru</t>
  </si>
  <si>
    <t>Kothapalli Venkatalakshmi</t>
  </si>
  <si>
    <t>P Rayavaram</t>
  </si>
  <si>
    <t>Madepalli Parvathi</t>
  </si>
  <si>
    <t>P Thimmapuram</t>
  </si>
  <si>
    <t>Paila Sanyasinaidu</t>
  </si>
  <si>
    <t>Raparthi</t>
  </si>
  <si>
    <t>Venna Nikitha</t>
  </si>
  <si>
    <t>Veldurthi</t>
  </si>
  <si>
    <t>Surneedi Suryaprasadarao</t>
  </si>
  <si>
    <t>Virava</t>
  </si>
  <si>
    <t>Nadigatla Chintala Rao</t>
  </si>
  <si>
    <t>Virawada</t>
  </si>
  <si>
    <t>Boyi Nageswara Rao</t>
  </si>
  <si>
    <t>Bavuruvaka</t>
  </si>
  <si>
    <t>Doddi Satyanarayana</t>
  </si>
  <si>
    <t>Chinthala Chinnalamma</t>
  </si>
  <si>
    <t>Konda Dora</t>
  </si>
  <si>
    <t>Chinasankarlapudi</t>
  </si>
  <si>
    <t>Epuri Rama Rao</t>
  </si>
  <si>
    <t>Chintaluru</t>
  </si>
  <si>
    <t>Pandrada Ganga</t>
  </si>
  <si>
    <t>Dharmavaram</t>
  </si>
  <si>
    <t>Benthukurthi Suseela</t>
  </si>
  <si>
    <t>Gajjanapudi</t>
  </si>
  <si>
    <t>Gonagala Appalaraju</t>
  </si>
  <si>
    <t>Kothuru</t>
  </si>
  <si>
    <t>Vanaparthi Rama Lakshmi</t>
  </si>
  <si>
    <t>Vemulapalem</t>
  </si>
  <si>
    <t>Lampakalova</t>
  </si>
  <si>
    <t>Pandi Mani Kumari</t>
  </si>
  <si>
    <t>Pandavulapalem</t>
  </si>
  <si>
    <t>Peda Sankarlapudi</t>
  </si>
  <si>
    <t>Surnidi Nagaratnam</t>
  </si>
  <si>
    <t>Peddipalem</t>
  </si>
  <si>
    <t>Devara Manasa</t>
  </si>
  <si>
    <t>Pothuluru</t>
  </si>
  <si>
    <t>Bondu Rambabu</t>
  </si>
  <si>
    <t>Vijayalakshmi Gudala</t>
  </si>
  <si>
    <t>Rachapalle</t>
  </si>
  <si>
    <t>Saripalli Lova Lakshmi</t>
  </si>
  <si>
    <t>Rowthulapalem</t>
  </si>
  <si>
    <t>Sarabhavaram</t>
  </si>
  <si>
    <t>Amaradi Venkatrao</t>
  </si>
  <si>
    <t>T Rayavaram</t>
  </si>
  <si>
    <t>U.Jagannadhapuram</t>
  </si>
  <si>
    <t>Nadigatla Trimurthulu</t>
  </si>
  <si>
    <t>Uttarakanchi</t>
  </si>
  <si>
    <t>Manthina Venkata Ramana</t>
  </si>
  <si>
    <t>Vakapalle</t>
  </si>
  <si>
    <t>Rongala Nageswara Rao</t>
  </si>
  <si>
    <t>Venkatanagaram</t>
  </si>
  <si>
    <t>Simhadri Ramadevi</t>
  </si>
  <si>
    <t>Vommangi</t>
  </si>
  <si>
    <t>Thummala Bhavani</t>
  </si>
  <si>
    <t>Yeluru</t>
  </si>
  <si>
    <t>P. Jagannadhapuram</t>
  </si>
  <si>
    <t>Rongala Satyanarayana</t>
  </si>
  <si>
    <t>Koppula Velama</t>
  </si>
  <si>
    <t>Rowthulapudi</t>
  </si>
  <si>
    <t>A.Mallavaram</t>
  </si>
  <si>
    <t>Boddu Raju</t>
  </si>
  <si>
    <t>Bapa Bhupalapatnam</t>
  </si>
  <si>
    <t>Kondapalem</t>
  </si>
  <si>
    <t>Balarmpuram</t>
  </si>
  <si>
    <t>Sri Somarowthu Ranganayakulu</t>
  </si>
  <si>
    <t>OC</t>
  </si>
  <si>
    <t>Ontari</t>
  </si>
  <si>
    <t>Bangarayyapeta</t>
  </si>
  <si>
    <t>Dhara Jagannadhapuram</t>
  </si>
  <si>
    <t>Diguva Sivada</t>
  </si>
  <si>
    <t>Gangavaram</t>
  </si>
  <si>
    <t>Gantaimalla Rajyalakshmi</t>
  </si>
  <si>
    <t>Manne Dora</t>
  </si>
  <si>
    <t>Gidajam</t>
  </si>
  <si>
    <t>Surya Kala Ijjapu</t>
  </si>
  <si>
    <t>Gummaregula</t>
  </si>
  <si>
    <t>Jaldam</t>
  </si>
  <si>
    <t>Koduru</t>
  </si>
  <si>
    <t>Lachireddypalem</t>
  </si>
  <si>
    <t>Tirumala rayal sureddy</t>
  </si>
  <si>
    <t>M Chamavaram</t>
  </si>
  <si>
    <t>M.Kothuru</t>
  </si>
  <si>
    <t>Mallampeta</t>
  </si>
  <si>
    <t>Mulagapudi</t>
  </si>
  <si>
    <t>N.N.Patnam</t>
  </si>
  <si>
    <t>Ramanamma Medapureddy</t>
  </si>
  <si>
    <t>BC</t>
  </si>
  <si>
    <t>Koppala Vellama</t>
  </si>
  <si>
    <t>P.Chamavaram</t>
  </si>
  <si>
    <t>Parupaka</t>
  </si>
  <si>
    <t>Venkatalakshmi Geddam</t>
  </si>
  <si>
    <t>kappu</t>
  </si>
  <si>
    <t>Raghavapatnam</t>
  </si>
  <si>
    <t>Aitha Nagaratnam</t>
  </si>
  <si>
    <t>Rajavaram</t>
  </si>
  <si>
    <t>Seetharama Swamy Somarowthu</t>
  </si>
  <si>
    <t>Mangalakshmi Vasireddy</t>
  </si>
  <si>
    <t>Srungadhara Agraharam</t>
  </si>
  <si>
    <t>Kollu Pallayya</t>
  </si>
  <si>
    <t>Yadavs</t>
  </si>
  <si>
    <t>S.Pydipala</t>
  </si>
  <si>
    <t>Rayi Venkatalakshmi</t>
  </si>
  <si>
    <t>Srungavaram</t>
  </si>
  <si>
    <t>Gadi Rajubabu</t>
  </si>
  <si>
    <t>Sankhavaram</t>
  </si>
  <si>
    <t>Achempeta</t>
  </si>
  <si>
    <t>Annavaram</t>
  </si>
  <si>
    <t>Kumara Raja Settibattula</t>
  </si>
  <si>
    <t>G. Kothapalli</t>
  </si>
  <si>
    <t>Egala Vijayadurga</t>
  </si>
  <si>
    <t>BC(w)</t>
  </si>
  <si>
    <t>Gowrampeta</t>
  </si>
  <si>
    <t>Ramisetti Yesubabu</t>
  </si>
  <si>
    <t>Byra Upparao</t>
  </si>
  <si>
    <t>Kathipudi</t>
  </si>
  <si>
    <t>Kollu Venkata Satyanarayana</t>
  </si>
  <si>
    <t>Konthangi</t>
  </si>
  <si>
    <t>Dudala Ramaswamy</t>
  </si>
  <si>
    <t>Mandapam</t>
  </si>
  <si>
    <t>Kunisetti Manikyam</t>
  </si>
  <si>
    <t>Nellipudi</t>
  </si>
  <si>
    <t>Narala Srilatha</t>
  </si>
  <si>
    <t>Peda.Mallapuram</t>
  </si>
  <si>
    <t>Gudem Naga Devi</t>
  </si>
  <si>
    <t>Bandili Ganniyyamma</t>
  </si>
  <si>
    <t>Seethayampeta</t>
  </si>
  <si>
    <t>Vazrakutam</t>
  </si>
  <si>
    <t>Sakuru Gurraju</t>
  </si>
  <si>
    <t>Mekala Subbayamma</t>
  </si>
  <si>
    <t>Yeleswaram</t>
  </si>
  <si>
    <t>Bhadravaram</t>
  </si>
  <si>
    <t>C. Rayavaram</t>
  </si>
  <si>
    <t>East Lakshmipuram</t>
  </si>
  <si>
    <t>Jeddangi Annavaram</t>
  </si>
  <si>
    <t>Lingamparthi</t>
  </si>
  <si>
    <t>Marriveedu</t>
  </si>
  <si>
    <t>Lakkavaram</t>
  </si>
  <si>
    <t>Peddanapalle</t>
  </si>
  <si>
    <t>Peravaram</t>
  </si>
  <si>
    <t>Ramanayya Peta</t>
  </si>
  <si>
    <t>Thirumali</t>
  </si>
  <si>
    <t>Yerravaram</t>
  </si>
  <si>
    <t>Kotananduru</t>
  </si>
  <si>
    <t>Allipudi</t>
  </si>
  <si>
    <t>Tharipe Nookalamma</t>
  </si>
  <si>
    <t>Appalarajupeta</t>
  </si>
  <si>
    <t>B.H.Kota</t>
  </si>
  <si>
    <t>Jigatala Veerababu</t>
  </si>
  <si>
    <t>Billananduru</t>
  </si>
  <si>
    <t>Botsa Manga</t>
  </si>
  <si>
    <t>Boddavaram</t>
  </si>
  <si>
    <t>Vegi Lakshmi</t>
  </si>
  <si>
    <t>Indugapalle</t>
  </si>
  <si>
    <t>Kunche Satyavathi</t>
  </si>
  <si>
    <t>Jagannadhapuram</t>
  </si>
  <si>
    <t>Lekkala Nageshwara Rao</t>
  </si>
  <si>
    <t>K.A.Mallavaram</t>
  </si>
  <si>
    <t>Arthamuru</t>
  </si>
  <si>
    <t>Vemula Satyaveni</t>
  </si>
  <si>
    <t>K.E.Chinnayyapalem</t>
  </si>
  <si>
    <t>Gudlu Sattibabu</t>
  </si>
  <si>
    <t>K.Kottam</t>
  </si>
  <si>
    <t>Darakonda</t>
  </si>
  <si>
    <t>Dogga Lakshmi</t>
  </si>
  <si>
    <t>K.O.Agraharam</t>
  </si>
  <si>
    <t>Sarika Devudu</t>
  </si>
  <si>
    <t>Kakarapalle</t>
  </si>
  <si>
    <t>Venkateswara Rao Bantupalli</t>
  </si>
  <si>
    <t>Garsingi Sivalakshmi</t>
  </si>
  <si>
    <t>L.D.Peta</t>
  </si>
  <si>
    <t>Tummala Rani</t>
  </si>
  <si>
    <t>P.Kottam</t>
  </si>
  <si>
    <t>Varahalu Pasagadugula</t>
  </si>
  <si>
    <t>Surapurajupeta</t>
  </si>
  <si>
    <t>Ruthala Rajeshwari</t>
  </si>
  <si>
    <t>T.J.Nagaram</t>
  </si>
  <si>
    <t>Surla Rambabu</t>
  </si>
  <si>
    <t>Thondangi</t>
  </si>
  <si>
    <t>A.Kothapalle</t>
  </si>
  <si>
    <t>Bekkam Raja Varalakshmi</t>
  </si>
  <si>
    <t>A.V.Nagaram</t>
  </si>
  <si>
    <t>Koyya Jagadeeswari</t>
  </si>
  <si>
    <t>Addaripeta</t>
  </si>
  <si>
    <t>Bendapudi</t>
  </si>
  <si>
    <t>Yeleti Durgadevi</t>
  </si>
  <si>
    <t>Danavaipeta</t>
  </si>
  <si>
    <t>Madada Tirumala Sai Kumari</t>
  </si>
  <si>
    <t>Gollamusalayyapeta</t>
  </si>
  <si>
    <t>Tatiparthi Srinivas</t>
  </si>
  <si>
    <t>Gopalapatnam</t>
  </si>
  <si>
    <t>Katakam Siva Sankar</t>
  </si>
  <si>
    <t>Kodada</t>
  </si>
  <si>
    <t>Burthi Ratnakumari</t>
  </si>
  <si>
    <t>Kommanapalle</t>
  </si>
  <si>
    <t>Kona Ammaji</t>
  </si>
  <si>
    <t>Kothaperumalapuram</t>
  </si>
  <si>
    <t>Yadala Uma Revathi</t>
  </si>
  <si>
    <t>Krishanpuram</t>
  </si>
  <si>
    <t>Kanda Venkateswarao</t>
  </si>
  <si>
    <t>Ontimamidi</t>
  </si>
  <si>
    <t>P.Agraharam</t>
  </si>
  <si>
    <t>Bekkam Lakshmi</t>
  </si>
  <si>
    <t>P.E.Chinnayapalem</t>
  </si>
  <si>
    <t>Padma Vijaya Pasupuleti</t>
  </si>
  <si>
    <t>Pydikonda</t>
  </si>
  <si>
    <t>Narise Nagadevi</t>
  </si>
  <si>
    <t>Ravikampadu</t>
  </si>
  <si>
    <t>Medisetti Mangayyamma</t>
  </si>
  <si>
    <t>Seetharampuram</t>
  </si>
  <si>
    <t>Pendyala Sita</t>
  </si>
  <si>
    <t>Srungavruksham</t>
  </si>
  <si>
    <t>Appanna Dara</t>
  </si>
  <si>
    <t>Somala Prasada Rao</t>
  </si>
  <si>
    <t>Vemavaram</t>
  </si>
  <si>
    <t>Mareti Krishna</t>
  </si>
  <si>
    <t>Yellayyapeta</t>
  </si>
  <si>
    <t>Sigiri Singarao</t>
  </si>
  <si>
    <t>Yerrayyapeta</t>
  </si>
  <si>
    <t>Garikina Ammaji</t>
  </si>
  <si>
    <t>Agraharam</t>
  </si>
  <si>
    <t>Atikivanipalem</t>
  </si>
  <si>
    <t>Gutturthi Parvathi</t>
  </si>
  <si>
    <t>Chamavaram</t>
  </si>
  <si>
    <t>Kondala Rayudu Dora Nagam</t>
  </si>
  <si>
    <t>Chepuru</t>
  </si>
  <si>
    <t>Kondra Nageswararao</t>
  </si>
  <si>
    <t>D.Polavaram</t>
  </si>
  <si>
    <t>Chillapalli Subhadramma</t>
  </si>
  <si>
    <t>Dondavaka</t>
  </si>
  <si>
    <t>SK. Rajanagaram</t>
  </si>
  <si>
    <t>Gantala Laxmi</t>
  </si>
  <si>
    <t>H Kothuru</t>
  </si>
  <si>
    <t>Hamsavaram</t>
  </si>
  <si>
    <t>Rai Meri Avinash</t>
  </si>
  <si>
    <t>K.O.Mallavaram</t>
  </si>
  <si>
    <t>Donka Satyavathi</t>
  </si>
  <si>
    <t>Kolimeru</t>
  </si>
  <si>
    <t>Nagalakshmi Pentapati</t>
  </si>
  <si>
    <t>Nandivampu</t>
  </si>
  <si>
    <t>Velama Kothuru</t>
  </si>
  <si>
    <t>Kummarilova</t>
  </si>
  <si>
    <t>L Kothuru</t>
  </si>
  <si>
    <t>N.Suravaram</t>
  </si>
  <si>
    <t>Chinthamneedi Surya Kama Krishna</t>
  </si>
  <si>
    <t>Rajupeta</t>
  </si>
  <si>
    <t>Rapaka</t>
  </si>
  <si>
    <t>Gudupu Gowri Kumari</t>
  </si>
  <si>
    <t>Rekhavanipalem</t>
  </si>
  <si>
    <t>Maruvada</t>
  </si>
  <si>
    <t>S.Annavaram</t>
  </si>
  <si>
    <t>Tetagunta</t>
  </si>
  <si>
    <t>Atti Nagaraju</t>
  </si>
  <si>
    <t>Timmapuram</t>
  </si>
  <si>
    <t>Athi Varalaxmi</t>
  </si>
  <si>
    <t>Kurra Vijaya Lakshmi</t>
  </si>
  <si>
    <t>Pampanaboyina Sriram</t>
  </si>
  <si>
    <t>Tuni Town</t>
  </si>
  <si>
    <t>Pithapuram Town</t>
  </si>
  <si>
    <t>Gollaprolu Town</t>
  </si>
  <si>
    <t>Yeleswaram Town</t>
  </si>
  <si>
    <t>Peddapuram Town</t>
  </si>
  <si>
    <t>Samalkota Town</t>
  </si>
  <si>
    <t>Kainada Urban</t>
  </si>
  <si>
    <t>Kakinada City</t>
  </si>
  <si>
    <t>Kainada Rural</t>
  </si>
  <si>
    <t>Sarpanch Current Party</t>
  </si>
  <si>
    <t>TDP Current Position</t>
  </si>
  <si>
    <t>2024 GE Scenario</t>
  </si>
  <si>
    <t>2020 Sarpanch Election Scenario</t>
  </si>
  <si>
    <t>Possible Reservation for Upcoming Panchayat Elections</t>
  </si>
  <si>
    <r>
      <rPr>
        <b/>
        <sz val="10"/>
        <color theme="1"/>
        <rFont val="Times New Roman"/>
      </rPr>
      <t xml:space="preserve">2026 Sarpanch Aspirants - Aspirant </t>
    </r>
    <r>
      <rPr>
        <b/>
        <sz val="12"/>
        <color theme="1"/>
        <rFont val="Times New Roman"/>
      </rPr>
      <t>Number</t>
    </r>
    <r>
      <rPr>
        <b/>
        <sz val="10"/>
        <color theme="1"/>
        <rFont val="Times New Roman"/>
      </rPr>
      <t xml:space="preserve"> - Aspirant </t>
    </r>
    <r>
      <rPr>
        <b/>
        <sz val="12"/>
        <color theme="1"/>
        <rFont val="Times New Roman"/>
      </rPr>
      <t>Party</t>
    </r>
    <r>
      <rPr>
        <b/>
        <sz val="10"/>
        <color theme="1"/>
        <rFont val="Times New Roman"/>
      </rPr>
      <t xml:space="preserve"> - Aspirant </t>
    </r>
    <r>
      <rPr>
        <b/>
        <sz val="12"/>
        <color theme="1"/>
        <rFont val="Times New Roman"/>
      </rPr>
      <t>Faction</t>
    </r>
  </si>
  <si>
    <r>
      <rPr>
        <b/>
        <sz val="10"/>
        <color theme="1"/>
        <rFont val="Times New Roman"/>
      </rPr>
      <t xml:space="preserve">Key Leaders - Leader </t>
    </r>
    <r>
      <rPr>
        <b/>
        <sz val="12"/>
        <color theme="1"/>
        <rFont val="Times New Roman"/>
      </rPr>
      <t>Mobile</t>
    </r>
    <r>
      <rPr>
        <b/>
        <sz val="10"/>
        <color theme="1"/>
        <rFont val="Times New Roman"/>
      </rPr>
      <t xml:space="preserve"> - </t>
    </r>
    <r>
      <rPr>
        <b/>
        <sz val="12"/>
        <color theme="1"/>
        <rFont val="Times New Roman"/>
      </rPr>
      <t>Party</t>
    </r>
    <r>
      <rPr>
        <b/>
        <sz val="10"/>
        <color theme="1"/>
        <rFont val="Times New Roman"/>
      </rPr>
      <t xml:space="preserve"> - </t>
    </r>
    <r>
      <rPr>
        <b/>
        <sz val="12"/>
        <color theme="1"/>
        <rFont val="Times New Roman"/>
      </rPr>
      <t>Faction</t>
    </r>
  </si>
  <si>
    <t>Development Activities (2024-2026)</t>
  </si>
  <si>
    <t>Key Issues in Panchayat</t>
  </si>
  <si>
    <t>Illegal Activities</t>
  </si>
  <si>
    <t>Any Aditional Information</t>
  </si>
  <si>
    <t>A.K.MALLAVARAM</t>
  </si>
  <si>
    <t>Satyanarayanamma Arigela - 9705934446</t>
  </si>
  <si>
    <t>Kadimasetti Suseela - 9666243208</t>
  </si>
  <si>
    <t>A.VIJAYANAGARAM</t>
  </si>
  <si>
    <t>M Satya Venkata Sita Ramakrishna Raju - 9618222288</t>
  </si>
  <si>
    <t>CHEBROLU</t>
  </si>
  <si>
    <t>Dondapati Lovathalli - 7386093635</t>
  </si>
  <si>
    <t>CHENDURTHI</t>
  </si>
  <si>
    <t>Alli Papa - 6281745507</t>
  </si>
  <si>
    <t>CHINA JAGGAMPETA</t>
  </si>
  <si>
    <t>Vammi Veeralakshmi - 9959354489</t>
  </si>
  <si>
    <t>Pampana Subbalakshmi - 9290933688</t>
  </si>
  <si>
    <t>KODAVALI</t>
  </si>
  <si>
    <t>Burra Naga Ramachandra - 9866027338</t>
  </si>
  <si>
    <t>TATIPARTHI</t>
  </si>
  <si>
    <t>Katta Bulleswararao - 9848074541</t>
  </si>
  <si>
    <t>VANNEPUDI</t>
  </si>
  <si>
    <t>Kanda Subrahmanyam - 9848657992</t>
  </si>
  <si>
    <t>GANGANAPALLI</t>
  </si>
  <si>
    <t>Geesala Mahalakshmi - 9160699909</t>
  </si>
  <si>
    <t>KOVVADA</t>
  </si>
  <si>
    <t>Kotipalli Uma - 9966097546</t>
  </si>
  <si>
    <t>Pilli Chakrarao - 9848398161</t>
  </si>
  <si>
    <t>NEMAM</t>
  </si>
  <si>
    <t>Ramadevu Suryaprakasarao - 9705389099</t>
  </si>
  <si>
    <t>P.VENKATAPURAM</t>
  </si>
  <si>
    <t>Penke Lakshmi - 9908909820</t>
  </si>
  <si>
    <t>PANDURU</t>
  </si>
  <si>
    <t>Valavala Ammaji - 9848754599</t>
  </si>
  <si>
    <t>PENUMARTHI</t>
  </si>
  <si>
    <t>Penke Anand Kumar - 7893576090</t>
  </si>
  <si>
    <t>REPURU</t>
  </si>
  <si>
    <t>Nakka Veeranna - 9948291614</t>
  </si>
  <si>
    <t>SARPAVARAM</t>
  </si>
  <si>
    <t>Seelam Nageswara Rao - 9848743953</t>
  </si>
  <si>
    <t>SURYARAOPETA</t>
  </si>
  <si>
    <t>Surada Chinni - 9912671919</t>
  </si>
  <si>
    <t>Gollapalli Ramaswamy - 9849998334</t>
  </si>
  <si>
    <t>THIMMAPURAM</t>
  </si>
  <si>
    <t>Bezwada Veera Venkata Satyanarayana - 9848443334</t>
  </si>
  <si>
    <t>ARATLAKATTA</t>
  </si>
  <si>
    <t>Satyaveni Gopi - 7993605566</t>
  </si>
  <si>
    <t>G.BHAVARAM</t>
  </si>
  <si>
    <t>Ganiraju Roakkala - 9502319888</t>
  </si>
  <si>
    <t>GODDETIPALEM</t>
  </si>
  <si>
    <t>Vasamsetti Srinubabu - 9030943999</t>
  </si>
  <si>
    <t>GORRIPUDI</t>
  </si>
  <si>
    <t>Kanuri Ramadevi - 6301293869</t>
  </si>
  <si>
    <t>Gurajanapalli</t>
  </si>
  <si>
    <t>Anusuri Srinivasarao - 9640273737</t>
  </si>
  <si>
    <t>KARAPA</t>
  </si>
  <si>
    <t>Sade Asha Jyothi - 9532066467</t>
  </si>
  <si>
    <t>Nakka Appala Swamy - 9494106999</t>
  </si>
  <si>
    <t>KORIPALLI</t>
  </si>
  <si>
    <t>Palivela Nageswara Rao - 9666375249</t>
  </si>
  <si>
    <t>KURADA</t>
  </si>
  <si>
    <t>Vasamsetti Venkata Ramana - 9849698654</t>
  </si>
  <si>
    <t>NADAKUDURU</t>
  </si>
  <si>
    <t>Degala Lalitha Kumari - 9666566235</t>
  </si>
  <si>
    <t>PATHARLAGADDA</t>
  </si>
  <si>
    <t>Esubabu Nagireddy - 9948445419</t>
  </si>
  <si>
    <t>PEDAKOTHURU</t>
  </si>
  <si>
    <t>Chinta Nagalakshmi - 9848295290</t>
  </si>
  <si>
    <t>PEDDAPURAPPADU</t>
  </si>
  <si>
    <t>Biruda Saraswathi - 7993903954</t>
  </si>
  <si>
    <t>Reddipalli Venkata Madhavi - 8498033555</t>
  </si>
  <si>
    <t>SIRIPURAM</t>
  </si>
  <si>
    <t>Sujatha Nunna - 9989417657</t>
  </si>
  <si>
    <t>Bommidi Nayomi - 6305247836</t>
  </si>
  <si>
    <t>VAKADA</t>
  </si>
  <si>
    <t>Adabala Satya - 9951975888</t>
  </si>
  <si>
    <t>VALASAPAKULU</t>
  </si>
  <si>
    <t>Vasamsetti Ramarao - 9553395145</t>
  </si>
  <si>
    <t>VELANGI</t>
  </si>
  <si>
    <t>Savile Neelima - 8790503563</t>
  </si>
  <si>
    <t>Kamkidi Manga Devi - 9959570866</t>
  </si>
  <si>
    <t>VIJAYARAYUDUPALEM</t>
  </si>
  <si>
    <t>Velugubanti Seetha Rama Raghava - 9182824192</t>
  </si>
  <si>
    <t>YANDAMURU</t>
  </si>
  <si>
    <t>Marella Srinivasarao - 8688433626</t>
  </si>
  <si>
    <t>Z. BHAVARAM</t>
  </si>
  <si>
    <t>Kotha Nagalakshmi - 9014074678</t>
  </si>
  <si>
    <t>B.Kothuru</t>
  </si>
  <si>
    <t>Chekka Sri Laksbhmi - 9494922233</t>
  </si>
  <si>
    <t>B.Prathipadu</t>
  </si>
  <si>
    <t>Voota Ramakrishna - 9848576836</t>
  </si>
  <si>
    <t>Nepala Varalakshmi - 9177038857</t>
  </si>
  <si>
    <t>Kothaluri Sunitha - 8978177792</t>
  </si>
  <si>
    <t>FAKRUDDINPALEM</t>
  </si>
  <si>
    <t>Mummidi Mahalakshmi - 9492508215</t>
  </si>
  <si>
    <t>Gokiwada</t>
  </si>
  <si>
    <t>Keerthi Harinatha Babu - 9866068979</t>
  </si>
  <si>
    <t>Gutthula Madhavi - 9493275878</t>
  </si>
  <si>
    <t>Peddinti Rajani - 8985572731</t>
  </si>
  <si>
    <t>Saitana Naga Bharathi - 9912089345</t>
  </si>
  <si>
    <t>Gatti Lakshmi Subhadra - 9494777666</t>
  </si>
  <si>
    <t>Nalla Ramarao - 9948271513</t>
  </si>
  <si>
    <t>LAKSHMINARSAPURAM</t>
  </si>
  <si>
    <t>Padala Yedukondalu - 8309114579</t>
  </si>
  <si>
    <t>Bandi Venkata Subbarao - 9848673274</t>
  </si>
  <si>
    <t>Datla Suribabu - 9247236387</t>
  </si>
  <si>
    <t>Kasireddy Siva Jyothi - 8500210621</t>
  </si>
  <si>
    <t>Deyyala Nageswara Rao - 9502951625</t>
  </si>
  <si>
    <t>NAVAKANDRAVADA</t>
  </si>
  <si>
    <t>Balla Rajani - 9573176365</t>
  </si>
  <si>
    <t>P.DONTHAMURU</t>
  </si>
  <si>
    <t>Kothapalli Venkatalakshmi - 9989771157</t>
  </si>
  <si>
    <t>P.Rayavaram</t>
  </si>
  <si>
    <t>Madepalli Parvathi - 9885084202</t>
  </si>
  <si>
    <t>P.Thimmapuram</t>
  </si>
  <si>
    <t>Paila Sanyasinaidu - 9618036666</t>
  </si>
  <si>
    <t>Venna Nikitha - 6300261226</t>
  </si>
  <si>
    <t>Surneedi Suryaprasadarao - 9505223212</t>
  </si>
  <si>
    <t>Nadigatla Chintala Rao - 9705490442</t>
  </si>
  <si>
    <t>Boyi Nageswara Rao - 9948821464</t>
  </si>
  <si>
    <t>Atchampeta</t>
  </si>
  <si>
    <t>Veeram Reddy Sri Rama Krishna Srinivas Nagabhushanam Rao - 8297442233</t>
  </si>
  <si>
    <t>BOYANAPUDI</t>
  </si>
  <si>
    <t>Challa Bharathi - 9542661472</t>
  </si>
  <si>
    <t>Chandrampalem</t>
  </si>
  <si>
    <t>Chemala Bhavani - 9494663047</t>
  </si>
  <si>
    <t>G.Kothuru</t>
  </si>
  <si>
    <t>Satyamsetti Mahalakshmi - 9550798444</t>
  </si>
  <si>
    <t>G.Medapadu</t>
  </si>
  <si>
    <t>Devi Patani - 9989310715</t>
  </si>
  <si>
    <t>Chodisetti Venkataramana - 9703412224</t>
  </si>
  <si>
    <t>HUSSIANPURAM</t>
  </si>
  <si>
    <t>Marni Nagamani - 9705025660</t>
  </si>
  <si>
    <t>KAPAVARAM</t>
  </si>
  <si>
    <t>Kuncham Madhavarao - 9502226438</t>
  </si>
  <si>
    <t>Medisetti Sugunamma - 9700398888</t>
  </si>
  <si>
    <t>NAVARA</t>
  </si>
  <si>
    <t>Dammala Lakshmanarao - 9848392555</t>
  </si>
  <si>
    <t>P.Vemavaram</t>
  </si>
  <si>
    <t>Nookaratnam Yelisetti - 9849712918</t>
  </si>
  <si>
    <t>PANASAPADU</t>
  </si>
  <si>
    <t>Cheekatla Venkatesh - 9951288078</t>
  </si>
  <si>
    <t>PANDRAWADA</t>
  </si>
  <si>
    <t>Srinu Penke - 9704566267</t>
  </si>
  <si>
    <t>PAVARA</t>
  </si>
  <si>
    <t>Seetha Mahalakshmi Naganboyina - 9246693679</t>
  </si>
  <si>
    <t>PEDABRAHMADEVAM</t>
  </si>
  <si>
    <t>Neelapala
 Satyanarayana - 9908419954</t>
  </si>
  <si>
    <t>UNDURU</t>
  </si>
  <si>
    <t>Satyadi Dhanalaxmi - 9393111949</t>
  </si>
  <si>
    <t>VENKATAKRISHNARAYAPURAM</t>
  </si>
  <si>
    <t>Poornima Mortha - 9676802086</t>
  </si>
  <si>
    <t>VETLAPALEM</t>
  </si>
  <si>
    <t>Chilli Venkata Lakshmi - 9866439496</t>
  </si>
  <si>
    <t>U.Kothapalli</t>
  </si>
  <si>
    <t>AMARAVILLI</t>
  </si>
  <si>
    <t>Puli Jayababu - 9866155926</t>
  </si>
  <si>
    <t>AMINABADA</t>
  </si>
  <si>
    <t>Manikanta Babu Nakka - 9000221944</t>
  </si>
  <si>
    <t>GORSA</t>
  </si>
  <si>
    <t>Rongala Veerababu - 9701945143</t>
  </si>
  <si>
    <t>ISUKAPALLI</t>
  </si>
  <si>
    <t>Ribka Sanniboyina - 6300134284</t>
  </si>
  <si>
    <t>KOMARAGIRI</t>
  </si>
  <si>
    <t>Kandepilli Satyasri - 9502957047</t>
  </si>
  <si>
    <t>Vemagiri Chellayamma - 9440824419</t>
  </si>
  <si>
    <t>Kotha Isukapalli</t>
  </si>
  <si>
    <t>Tamilisetti Subbireddy - 9491212225</t>
  </si>
  <si>
    <t>KOTHA MOOLAPETA</t>
  </si>
  <si>
    <t>Penumallu   Venkata Kumari - 9553386800</t>
  </si>
  <si>
    <t>KOTHAPALLI</t>
  </si>
  <si>
    <t>Gavara Bhavani - 9959676955</t>
  </si>
  <si>
    <t>KUTUKUDUMILLI</t>
  </si>
  <si>
    <t>Chinnarao Karri - 9398372678</t>
  </si>
  <si>
    <t>MULAPETA</t>
  </si>
  <si>
    <t>Kambala Monika - 9912792666</t>
  </si>
  <si>
    <t>Nagulapalli</t>
  </si>
  <si>
    <t>Vadisetti Gowri Rajeswari - 9959382992</t>
  </si>
  <si>
    <t>PONNADA</t>
  </si>
  <si>
    <t>Bandi Rani - 8498896101</t>
  </si>
  <si>
    <t>RAMANAKKAPETA</t>
  </si>
  <si>
    <t>Ammaji Kajuluri - 9989102916</t>
  </si>
  <si>
    <t>SRIRAMPURAM</t>
  </si>
  <si>
    <t>Ravi Ramesh - 9493959992</t>
  </si>
  <si>
    <t>UPPADA</t>
  </si>
  <si>
    <t>Ummidi Mery - 9959322443</t>
  </si>
  <si>
    <t>VAKATIPPA</t>
  </si>
  <si>
    <t>Dorababu Palani - 7675000748</t>
  </si>
  <si>
    <t>YENDAPALLI</t>
  </si>
  <si>
    <t>Pedda Apparao Seelam - 7013609519</t>
  </si>
  <si>
    <t>Gandepalli</t>
  </si>
  <si>
    <t>Pokala Subbarao - 9705171931</t>
  </si>
  <si>
    <t>In General election TDP got good majority ove YCP, Sarpanch is extremely disgruntled with how YCP handled local leaders taking away sarpanch powers funds, the money distribution during the elections were also not in control of the Sarpanch. The village is domianted by BC comminity especially Pereka.</t>
  </si>
  <si>
    <t>This is predominantly a INC and YCP supported village, this foundationala support along with YSRCP being in power led to a decent win for YCP contestant.</t>
  </si>
  <si>
    <t>BC (Gen)</t>
  </si>
  <si>
    <t xml:space="preserve">Pokala Subbarao (Perika) will contest if the reservation is BC or general.
</t>
  </si>
  <si>
    <t>Pokala Subbarao YCP and his close family member Pallapu Vishnu Chakram (Ex-Sarpanch) are key leaders in YCP, Kalapu Subbarao and his relative Yerramsetti Chandra Rao (Babji) his wife Venkatalaxmi (Ex-ZPTC) are key leaders in TDP.</t>
  </si>
  <si>
    <t>Rutthala Lalitha Devi - 6300566579</t>
  </si>
  <si>
    <t>This village is dominated by Kamma community where TDP secured majority in 2014 and 2019 AEs despite losing the elections due to Kamma's influence on Koppula Velama community. Palakurthi Aadi Narayana (Cluster Incharge) and Pyla Venkanna (Sarpanch Contestant) are very active in TDP. Bodha Rami Reddy (YSRCP- Village President) is leading the YSRCP along with Maddipatla Rama Krishna (MPTC- Kamma).  Bodha Rami Reddy is close to Muthyala Srinivas (Ex AC Incharge of YSRCP -2016) and proposing hsi name for YSRCP Incharge.</t>
  </si>
  <si>
    <t>General</t>
  </si>
  <si>
    <t>Maddipatla Rama Krishna (Kamma- YSRCP - Ex -MPTC)</t>
  </si>
  <si>
    <t>1. Draniage is key issue in Gandepalli Village 
2. 250 Housing Sites were allotted near Polavaram Canal where houses construction not materialised</t>
  </si>
  <si>
    <t>Karri Suryakantham - 9502562392</t>
  </si>
  <si>
    <t xml:space="preserve">TDP was able to secure the majority of 280 votes in the village as Village YSRCP is divided into 2 Groups, Karri Ramanjaneyulu (Thota Narsimham's group) and Parthasarthi (Jyothula Chanti Babu Group) which helped TDP MLA Nehru in elections. Parthasarathi owns around 100 acres in village belongs to Karnam community stayed neutral in elections. On the other hand TDP is led by Bala Subramanyam (Karnalu - Babai of Parthasarathi) who is a 3 times Sarpanch and holds good support in village. Bala Subramanyam stays in Rajahmundry and owns house in the village </t>
  </si>
  <si>
    <t>Karri Suryakantham was unanimously elected as Sarpanch with YSRCP support</t>
  </si>
  <si>
    <t>1.Parthasarathi (YSRCP- Karnalu - Financially Strong 
2. Bala Subramanyam (TDP -Karnalu -3 times Sarpanch)</t>
  </si>
  <si>
    <t>1. Karri Krishna (YSRCP -Turpu Kapu - Active Member of Party)
2. Karri Ramanjaneyulu (YSRCP - Turpu Kapu - Sarpanch Husband)</t>
  </si>
  <si>
    <t xml:space="preserve">1. Road connecvity from K. Gopalapuram to Gandepalli Via NT Rajapuram is completely damaged </t>
  </si>
  <si>
    <t>K.Nayakampalli</t>
  </si>
  <si>
    <t>Mallireddy Mahalakshmi Varahalu - 9441246682</t>
  </si>
  <si>
    <t>Ballireddy Varalakshmi - 9493839571</t>
  </si>
  <si>
    <t>TDP got majority in the village, Domma Srinu (Kapu) joined TDP from YCP before elections.</t>
  </si>
  <si>
    <t>YCP sarpanch Balireddy Varalaxmi wife of Gangaraju won with 1300 votes majority, with 2 MPTC and 10 wards while TDP got 4 wards, Gangaraju does politics without parties and have good relations with everyone, he is a pastor and the village have more than 400 Christians.</t>
  </si>
  <si>
    <t>Ramkurthi Narasimha-JSP-Kapu
Balireddy Gangaraju-Turpu Kapu-YCP-Pastor
Domma Srinu-Kapu-TDP</t>
  </si>
  <si>
    <t>The village only has dirt roads and gravel roads, the village is in need of CC roads.</t>
  </si>
  <si>
    <t>Kukkala Ananda Babu - 9949147450</t>
  </si>
  <si>
    <t>TDP got 500 votes majority in this village in the elections.</t>
  </si>
  <si>
    <t xml:space="preserve">There was no election, the decision was unanimous, Chinnam Matha mother of Chinnam Duragao rao tried to contest but the village farmers decided for unanimous decision, TDP was not eager in participating in the elections. </t>
  </si>
  <si>
    <t xml:space="preserve">The village might got for unanimous this time as well, late Kondaiah Dora's brother Chittibabu who is from Z Ragampeta used to involve alot in the village politics but not involved now.  OC General reservation in the village might stimualte a strong rivalry in the village if Chengala Dorababu (Kamma) YCP decide to contest, against any candidate fielded by Jasthi Vasanth son of Kondaiah Dora </t>
  </si>
  <si>
    <t xml:space="preserve">CC roads are needed
Community hall is expected by the village
</t>
  </si>
  <si>
    <t>Bikkina Devi Durga - 8309596673</t>
  </si>
  <si>
    <t>TDP got 330 votes majority major YCP leaders like Parimi Veera Venkata Sathyanarayana (Parimibabu) ZPTC and sarpanch Bikkina Devi wife of Bikkina gangadher joined TDP right before elections.</t>
  </si>
  <si>
    <t>Kathina Santhosh Kumar wife of Kathina Venkanna Chowdhary was the original YCP candidate and Bikkina Devi is the rebel candidate from YCP there was no canddiate from TDP, rebel candidate won with the support of Parimbabu in the elections. Kathina Venkanna Chowdhary also came to TDP before elections he is a follower of Chantibabu and went to YCP with Chantibabu from TDP before. He is with the Kantipudi Sathyanarayana group in TDP now.</t>
  </si>
  <si>
    <t>SC (Gen)</t>
  </si>
  <si>
    <t>Kantipudi Sathayanarayana TDP, and parimbabu TDP are two groups in the village now, Parimbabu is ZPTC and Bikkina Devi Durga are one group now after joining TDP, he is accused of 23 crores of fraud in DCCB with ED and money laundering cases. Kantipudi Sathyanarayana was Agriculturte society president and PAC chairman before.
Parimi Venkateshwar Rao (YCP) (ex sarpanch) but might not contest as TDP might be in two factions but he might get support from Parimbabu if party orders prevent Parimbabu to contest a candidate.
Parimbabu have Bikkina Ramana, Bikkina Vamshi, Bikkina Venkat rao and Palacharla Sathyanarayna in line to contest as sarpanch candidates they are all his relatives.
Parimbabu was society chairman from TDP in 2004 and went to YCP around 2011 with Nehru, he came back with Nehru 2017, he went to YCP in 2019, he is having CB CID enquiry. people are angry with them as his scams made the banks hike the interest rates.</t>
  </si>
  <si>
    <t>The village have alot of oil palms and Thalluri lift irrigation is important to this village as the village ground water is depleteed now and need this water to even feed their cattle, the bill is granted but the contract is not started yet, House spaces promised by TDP are also a point of contention from people now. village needs drainages and cemetary, Naveen has negative view because he is encouraging Parimbabu, and there is alot of gravel mining in this village and neighbouring village Gopalpuram,  the road contract from Yellamilli to Gopalpuram is only completed 50% becasue the gravel lorries will destroy the road and the contractor wont get the bill, mining lorries were issue for people and MLA asked them to do it only at night now and not allowing in day time, people believe MLA has percentage in this.</t>
  </si>
  <si>
    <t>NEELADRIRAOPETA</t>
  </si>
  <si>
    <t>Mulampaka Suresh Babu - 9059315666</t>
  </si>
  <si>
    <t>TDP got a comfortable 1500 over YCP</t>
  </si>
  <si>
    <t>There were strong contestants from TDP, YCP and JSP as well here but YCP got 830 votes majoriy, Nakka Manish (Sagara) from TDP and Darballa Sadguru Murthy from (JSP) contested, from TDP Gajji Laxmi (Yadava) also contested in the elections.</t>
  </si>
  <si>
    <t>There is a chance for rebel nominations in TDP, Chityala Babji (Kapu) Kurukuri Venkatesh Chowdhary (Kamma), 
Palla Prasad (Kapu) TDP, Suresh Babu (Sagara) YCP, Nakka Venkateshwar Rao (Sagara) and Nakka Annavaram Sathyanarayana Murthy might contest with the support of Suresh Babu</t>
  </si>
  <si>
    <t xml:space="preserve">Darballa Rambabu (ex Sarpanch)
Nakka Venkateshwar Rao (YCP)
Kurukuri Venkatesh Chowdhary Kamma TDP
Dareballa Sadhguru (JSP)
</t>
  </si>
  <si>
    <t>Sarpanch is supporter of Narasimha and claims the cadre here is party loyal and not candidate loyal, claimed Narasimha organized weekly meetings with cadre every week and visits some one every week.</t>
  </si>
  <si>
    <t>Pushkar canal bridge, water tanks facility in the village</t>
  </si>
  <si>
    <t>P.Nayakampalli</t>
  </si>
  <si>
    <t>Mallireddy Annapurna - 9692879999</t>
  </si>
  <si>
    <t>TDP got 280 majority in this village over YCP, YCP Sarpanch Annapurna's Husband Mallireddy Venkataramana passed away his brother Mallireddy Suresh takes care of things now.</t>
  </si>
  <si>
    <t>There was no election, it was unanimous, TDP cadre was not willing to participate and TDP Ex-sarpanch from previous term moved to YCP before 2019 elections.</t>
  </si>
  <si>
    <t>BC (Woman)</t>
  </si>
  <si>
    <t>Dammu Apparao (Settibalija) YCP
Chemmangi Srinu (Settibalija) TDP school committee chairman
Medisetti Subbarai (Settibalija) TDP</t>
  </si>
  <si>
    <t>Malireddy Suresh (Kamma) YCP
Vundavalli Narayana Murthy (Kamma) YCP Ex-sarpanch
Vundavalli Chandra Rao (TDP) Ex MPTC Kamma</t>
  </si>
  <si>
    <t>Mylavarapu Venkatalakshmi - 9618098937</t>
  </si>
  <si>
    <t>- Jyothula Nehru has got a majority of 260 votes (543 for TDP and 283 for YSRCP)
- Village is fully dominated by Turpu Kapu</t>
  </si>
  <si>
    <t>- Contestants include Mylavarapu Srinivas (Defacto Sarpanch for his Wife | YSRCP) and Golavilli Babu Rao (TDP | Ex-Sarpanch 2014)
- Mylavarapu Srinivas has won with a majority of 220 votes (Got around 500) over Baburao (got around 280 votes)
- Mylavarapu Srinivas was backed by Chantibabu during the Sarpanch elections but he is currently with Thota Narasimham
- Kona Peddhayya(Currently TDP - Nehru), a 3 term sarpanch before 2014 still has his candidates stood up in sarpanch elections</t>
  </si>
  <si>
    <t>- Rowthu Sathibabu, relatively a cousin to current Sarpanch Srinivas, and belongs to Thota Narasimham's faction is the major aspirant from YSRCP
- Kona Peddhayya will have one of his candidates in the race from TDP
- Babu Rao, Ex- Sarpanch-2014; Contestant 2020, is also in the race from TDP
- But both Babu Rao and Kona Peddhayya are in Jyothula Nehru's faction
- Golavilli Annavaram, elder brother of Golavilli Baburao also has differences</t>
  </si>
  <si>
    <t>- TDP has two major factions: 1 - Kona Peddhayya; and 2 - Golavilli Babu Rao
- YSRCP has Rowthu Sathibabu (2026 aspirant) and Mylavarapu Srinivas (Defacto Sarpanch-2020) factions but as Srinivas is not expecting ticket for YSRCP is likely to support Sathibabu during the elections</t>
  </si>
  <si>
    <t>- No development activities in the new tenure</t>
  </si>
  <si>
    <t>- Severe drinking water scarcity
- Irrigation water scarcity</t>
  </si>
  <si>
    <t>Buddaraju Ganapathiraju - 9882298866</t>
  </si>
  <si>
    <t>SUBBAYAMMA PETA</t>
  </si>
  <si>
    <t>Bobbara Sivakumar - 9492885777</t>
  </si>
  <si>
    <t>Surampalem</t>
  </si>
  <si>
    <t>Marisetti Gangabhavani - 8897945154</t>
  </si>
  <si>
    <t>Seelamanthula Veerababu - 8309719191</t>
  </si>
  <si>
    <t>- Jyothula Nehru has got a majority of around 670 votes
- Param Cherla Sathyanarayana (Ex Sarpanch | Kamma), Paindi Venkateshwarav Rao(Ex Sarpanch | Kamma) and Seelamanthula Veerababu (Sarpanch | Padmashali | Converted Christian) are the major TDP leaders whose support has brought reasonable Kamma, SC and BC (Padmashali and Yadava)</t>
  </si>
  <si>
    <t>- Seelamanthula Veerababu (Sarpanch | Padmashali | Converted Christian)  was in YSRCP during the general elections but came into TDP party on the understanding between him and Param Cherla Sathyanarayana, Paindi Venkateshwarav Rao as the village is dominated by TDP mostly
- It was BC(G) reservation for which Seelamanthula Veerababu who is aspiring for political benefits has contested with own resources
- Anivelli Rambabu (Dummy candidated from YSRCP), supported by Obinni Veerababu was the contestant against current sarpanch Seelamanthula Veerababu.
- Seelamanthula Veerababu has won with a majority of 227 votes</t>
  </si>
  <si>
    <t>SC (Woman)</t>
  </si>
  <si>
    <t>- One backed by Obinni Veerababu from YSRCP
- One backed by Param Cherla Sathyanarayana and Paindi Venkateshwarav Rao from TDP, if SC or one among these if its General</t>
  </si>
  <si>
    <t>- YSRCP has no major faction but just one Obinni Veerababu who is with Thota Narasimham
- TDP may split to two if Param Cherla Sathyanarayana and Paindi Venkateshwarav Rao does not back current sarpanch Seelamanthula Veerababu</t>
  </si>
  <si>
    <t>- CC Roads worth 50 Lakhs with a stretch of 1.5 KM
- Cemetary for BCs</t>
  </si>
  <si>
    <t>- Cemetary for SCs
- 2-3 internal roads</t>
  </si>
  <si>
    <t>Adabala Ramanjaneyulu - 9951557676</t>
  </si>
  <si>
    <t>- Jyothula Nehru has got a majority of around 650 votes against Thota Narasimham
- Adabala family who are in TDP and village being dominated by Kapu community has helped get the majority</t>
  </si>
  <si>
    <t>- Adabala Ramanjaneyulu (Sarpanch) has won with a majority of around 200 votes against Ramakurthy Ramakrishna Murthy
- Adabala Ramanjaneyulu actually won from YSRCP but later joined TDP
- Adabala Ramanjaneyulu's brother Adabala Bhasker had differences but they both are currently in TDP
- Ramakurthy Ramakrishna Murthy actully contested two times and lost both the times.</t>
  </si>
  <si>
    <t>- Adabala Anjaneyulu is ready to contest the elections if he gets support from the party and Ramakurthy Ramakrishna Murthy will be the other contestant supported by Thota Narasimham</t>
  </si>
  <si>
    <t>- Currently no major internal factions in both the parties but there is a chance of TDP becoming two getting divided betwen Adabala brothers</t>
  </si>
  <si>
    <t>- 3KM CC roads were laid and another 6 KM roads are sanctioned</t>
  </si>
  <si>
    <t>- Drianage system must be improvised</t>
  </si>
  <si>
    <t>N. Naga Jyothi - 9502850451</t>
  </si>
  <si>
    <t>Ijjina Chinnari - 8897265258</t>
  </si>
  <si>
    <t>Sri Kandula Chittibabu - 9618721999</t>
  </si>
  <si>
    <t>GOLLALAGUNTA</t>
  </si>
  <si>
    <t>Tirumalaraju Kumari - 9505415559</t>
  </si>
  <si>
    <t>GOVINDAPURAM</t>
  </si>
  <si>
    <t>Kammila Venkateswara Rao - 9959432912</t>
  </si>
  <si>
    <t>GURRAPPALEM</t>
  </si>
  <si>
    <t>Cheepurupalli Lakshmi - 9010126289</t>
  </si>
  <si>
    <t>IRRIPAKA</t>
  </si>
  <si>
    <t>Thirri Devi - 9885898499</t>
  </si>
  <si>
    <t xml:space="preserve">This is the native village of Nehru even Chanti Babu supported fully after he is denied ticket in YSRCP.TDP was able to secure the majority of around 800 votes. Pantham Babu ( - Previously contested against Jyothula Naveen's Wife -Close to Thota Narsimham) shifted to TDP during 2024 elections after he was promised Sarpanch seat in local elections </t>
  </si>
  <si>
    <t xml:space="preserve">Tirri Devi (W/o Tirri Venkat Ramana - Previously close to Chanti Babu)  secured Sarpanch position with 396 votes majority against Surla Satyavathi (Velama - suppoorted by Nehru), later supported Thota Narsimham in assembly elections. </t>
  </si>
  <si>
    <t>1. Tirri Venkata Ramana (YSRCP - T.Kapu - Sarpanch Husband)
2. Yalla Ramana (YSRCP - T.Kapu - Active Leader)
2. Pantham Babu (Kapu -TDP - Shifted frpm YSRCP in 2024 - Sarpanch Contestant)
3. Jyothula Naga Babu (TDP -Kapu - Close to Jyothula Naveen)</t>
  </si>
  <si>
    <t xml:space="preserve">1. High school should be upgraded to 10th class, adject villages Mamidada, Somavaram already upgraded to 10th 
2. Irrigation water is the major issue, though Yeleru canal passes through village only Nehru and Chanti Babu and few others pump throgh motors and charges 6,000 per farmer to supply the water to them
3. 220 Housing pattas sanctioned even 2 acres of land bought during YSRCP government but not materialised </t>
  </si>
  <si>
    <t>J.KOTHURU</t>
  </si>
  <si>
    <t>Nakireddy Nageswara Rao - 9959581167</t>
  </si>
  <si>
    <t>JAGGAMPETA</t>
  </si>
  <si>
    <t>Nagaratnam Batchala - 9666892228</t>
  </si>
  <si>
    <t xml:space="preserve">TDP MLA candidate Jyothula Nehru was able to secure 4042 votes due to </t>
  </si>
  <si>
    <t>Jaggampeta Village is reserved for SC (W) where Bandaru Raja (Vice Sarpanch) handled all the elections and played second fidel to MLA Chanti Babu. The margin for Sarpanch election is around 800 votes against TDP candidate Sambatula Susheela.</t>
  </si>
  <si>
    <t>Pandrangi Ram Babu (TDP - Turpu Kapu - Senior Leader - ZPTC Contestant)
Rayi Sai (Kapu - Close to Chanti Babu - later joined TDP)</t>
  </si>
  <si>
    <t>Bandaru Raja (YSRCP - Kapu - Vice Sarpanch) 
Chittamani Satya Narayana (MPTC - Setti Balija - YCP) 
Jeeni Mani Babu (Kapu - YSRCP) 
Rayi Sai (Youth Leader - Kapu) 
Vommi Raghu Ram (ZPTC - Yadava - YSRCP)</t>
  </si>
  <si>
    <t>YSRCP divided into 2 Groups 
Bandaru Raja (Kapu - Vice Sarpanch - YSRCP)
Ghafoor (Senior leader)
TDP divided into 2 Groups 
Marisetty Badram (Kapu - TDP - Senior leader) 
Jeeni Manikyala Rao (JVR - Kapu - Mandal President)</t>
  </si>
  <si>
    <t xml:space="preserve">1. Drainage is the major issue in Jaggampeta 
2. Internal Roads in Jaggampeta Village </t>
  </si>
  <si>
    <t>KANDREGULA</t>
  </si>
  <si>
    <t>Bodireddy Chakra Rao - 9573060895</t>
  </si>
  <si>
    <t>KATRAVULAPALLE</t>
  </si>
  <si>
    <t>Pitta Sugunarao - 9885244148</t>
  </si>
  <si>
    <t>TDP got more than 3000 majority in this region, the Kapu voter base of YSRCP moved towards the TDP JSP alliance, TDP also had strong leaders in the village who are financially able to manage the party.</t>
  </si>
  <si>
    <t>The SC reservation seat went to YSRCP where the MLA intentionally changed the reservation to SC to favour the party. As the government was also in power YSRCP was able to win easily as TDP did not work hard to win.</t>
  </si>
  <si>
    <t xml:space="preserve">Yeleti Bobby (Kamma)-TDP (strong leader in village)
Yeleti Dhanukonda (Kamma)-YCP (Grand father was Sarpanch)
</t>
  </si>
  <si>
    <t>Yeleti Bobby (Kamma) TDP
Bindani brothers Bindali Perraju and Arjun Rao Perraju is YCP committee president.</t>
  </si>
  <si>
    <t>MALLISALA</t>
  </si>
  <si>
    <t>Sarvasiddi Nukaratnam - 9951526664</t>
  </si>
  <si>
    <t>TDP got 379 votes majority in this village in general elections.</t>
  </si>
  <si>
    <t xml:space="preserve">TDP supported Rebel surpanch candidate Sarvasiddi Nukaratnam wife of Sarvasiddi Laxaman Rao (Mandal general secreatary TDP) joined TDP after winning, they won against Chalapareddy Nukaratnam wife of Chalapareddy Appalakonda with 39 votes majority. </t>
  </si>
  <si>
    <t>Paidipala Venkata Suryanarayana (OC Kapu) cluster incharge and Athma committe member)</t>
  </si>
  <si>
    <t>Attuluri Nageshwar rao (Nagababu) (Vysya) MPP, and MPTC of Kandregula, his wife Attuluri Nagaratnam is MPTC from Mallisala
Sarvasiddi Laxman Rao (Yadava) sarpanch husband
Palepureddy Sathyanarayana (OC) YCP Narasimham follower
Vanasi Subramanyam (SC Mala)  YCP Narasimham follower
Attuluri Saibabu (Vysya) YCP Chantibabu follower</t>
  </si>
  <si>
    <t>Palepureddy Sathyanarayana (OC) YCP Narasimham follower
Vanasi Subramanyam (SC Mala)  YCP Narasimham follower
Attuluri Saibabu (Vysya) YCP Chantibabu follower</t>
  </si>
  <si>
    <t xml:space="preserve">50 lakhs cc roads
MPP funds 10 lakhs for drains
</t>
  </si>
  <si>
    <t>Housing 2.5 lakhs sceme waiting for bills
Widow pensions and Disabled pensions are facing issues
Cancer and HIV pensions are taken care by party but widow and PH pensions are not getting the attentions</t>
  </si>
  <si>
    <t>MAMIDADA</t>
  </si>
  <si>
    <t>Karri Suryakumari - 7731959657</t>
  </si>
  <si>
    <t xml:space="preserve">This village is adjcent to Nehru's native village Irripaka where holds strong influence in the village, Chanti Babu was denied which helped Nehru's to gain majority of 350 votes in the villages </t>
  </si>
  <si>
    <t>YSRCP was able secure the Sarpanch position with a mere margin of 35 votes as Nehru holds good command in the village. Penkota Jaya Laxmi (Gavara W/o Penkota Satya Narayana) contested from TDP lost by small margin due to YSRCP government presence at state level.</t>
  </si>
  <si>
    <t>1. Penkota Satya Narayana (Gavara- TDP-- Wife Contested as Sarpanch)
2. Boddedi Suman (Gavara, TDP) 
3. Desetti Srinivas (TDP- Devanga)
4. Dadi Venkateshwar Rao (Gavara TDP)
5. Vegi Rama Krishna (Gavara -TDP)</t>
  </si>
  <si>
    <t>YSRCP divided into 2 Groups 
Karri Srinivas (Gavara - Wife Sarpanch - Close to Chanti Babu) 
Sharanam Atchi Raju (Gavara - Close to Thota Narsimham)</t>
  </si>
  <si>
    <t xml:space="preserve">20 Lakhs worth CC roads laid in the village </t>
  </si>
  <si>
    <t>Silt from drainages is not removed regularly which is causing an issue to public</t>
  </si>
  <si>
    <t>MANYANVARIPALEM</t>
  </si>
  <si>
    <t>Potru Veerraju - 9010804737</t>
  </si>
  <si>
    <t>MARRIPAKA</t>
  </si>
  <si>
    <t>Jagatham Anandarao - 9177420734</t>
  </si>
  <si>
    <t>NARENDRAPATNAM</t>
  </si>
  <si>
    <t>Burri Lakshmi - 9959466333</t>
  </si>
  <si>
    <t>TDP got over 200 votes majority in the 2024 AE elections</t>
  </si>
  <si>
    <t xml:space="preserve">Burri Lakshmi wife of Burri Chakrababu (Kapu) YCP won over Burri Ratnakumari wife of Burri Sathyanarayana (Ex-PAC) TDP. Burri Chakrababu and his candidates won Sarpanch elections 4 times now and he was PAC chairman during YCP tenure. </t>
  </si>
  <si>
    <t>Any proxy SC candidate from Burri Chakrababu 
Any proxy SC or BC candidate by Burri Sathyanarayana</t>
  </si>
  <si>
    <t>20 lakhs worth cc roads</t>
  </si>
  <si>
    <t>Jagan Anna Colony land layout distribution issue, 
people are waiting for 2.5 Lakh money for basement level constructions.</t>
  </si>
  <si>
    <t>RAJAPUDI</t>
  </si>
  <si>
    <t>Busala Vishnu Murthy - 9966327502</t>
  </si>
  <si>
    <t>- Jyothula Nehru has got a majority of 640 votes over Thota Narasimham
- Busala Vishnu Murthy(Sarpanch), Chantibabu's faction had shifted to TDP before elctions brongng YSRCP, Chantibabu's cadre votes</t>
  </si>
  <si>
    <t>- All the three major contestants were of YSRCP; Busala Vishnu Murthy (Currently TDP, went Against Chantibabu to contest); Jami Peddakapu (Backed by Thota Trimurtulu), Mummana Somaraju (Backed by Jyothula Chantibabu)
- Busala Vishnu Murthy has won with a majority of 350 even tho others promissed of giving personal funds for the Shivalaya Temple and he didn't commit for the same</t>
  </si>
  <si>
    <r>
      <rPr>
        <sz val="10"/>
        <color theme="1"/>
        <rFont val="Times New Roman"/>
      </rPr>
      <t xml:space="preserve">- Busal Vishnu Murty (expecting from TDP);
- Both the previous YSRCP contestants are not going to contest this time
- Any Yadav leader may emerge as </t>
    </r>
    <r>
      <rPr>
        <b/>
        <sz val="10"/>
        <color theme="1"/>
        <rFont val="Times New Roman"/>
      </rPr>
      <t>"Yadav has never been a sarpanch"</t>
    </r>
    <r>
      <rPr>
        <sz val="10"/>
        <color theme="1"/>
        <rFont val="Times New Roman"/>
      </rPr>
      <t xml:space="preserve"> even tho they have 2nd majority voters(1200) after Turpu Kapu
- TDP may go for Reka Bulraju if Yadavs revolt and Vishnu Murty may again change his faction to Thota Narasimham if he doesnt get backup from TDP</t>
    </r>
  </si>
  <si>
    <t>- No major internal factions in both the parties as YSRCP is almost silent this time and TDP no other powerful leader than Vishnu Murty currently</t>
  </si>
  <si>
    <t>- Recently Koneru development works are santioned (worth yet to decide as of 5th Feb 2026)
- Worth of 20lakh CC-roads were laid in new tenure
- 11 KM interlinked roads to other panchayats are laid
- 3 Cemetaries are developed with power supply and water borewells and taps to bath
- About 52 cr wrere sanctioned for a lift repair which supplies irrigation water to multiple villages (been pending since 3 years)</t>
  </si>
  <si>
    <t>- 80% Sagaras in this village always supports Nehru, irrespictive of party</t>
  </si>
  <si>
    <t>RAMAVARAM</t>
  </si>
  <si>
    <t>Chayadevi Vatsavayi - 9963930222</t>
  </si>
  <si>
    <t>Neutral</t>
  </si>
  <si>
    <t>- Jyothula Nehru (TDP), got about 540 votes majority.
- Current Sarpanch, Sathibabu Raju is Chantibabu's cadre and Ganesh Raja(Contestant) is in Narasimham's Cadre due to which the Chantibabu's cadre did not vote for YSRCP
- And Adapala Venkateshwar Rao has given his complete support to Jyothula Nehru as he holds Telugu Yuvatha State Vice President</t>
  </si>
  <si>
    <r>
      <rPr>
        <sz val="10"/>
        <color theme="1"/>
        <rFont val="Times New Roman"/>
      </rPr>
      <t xml:space="preserve">- Major Contestants are </t>
    </r>
    <r>
      <rPr>
        <b/>
        <sz val="10"/>
        <color theme="1"/>
        <rFont val="Times New Roman"/>
      </rPr>
      <t>Vasthavayu</t>
    </r>
    <r>
      <rPr>
        <sz val="10"/>
        <color theme="1"/>
        <rFont val="Times New Roman"/>
      </rPr>
      <t xml:space="preserve"> </t>
    </r>
    <r>
      <rPr>
        <b/>
        <sz val="10"/>
        <color theme="1"/>
        <rFont val="Times New Roman"/>
      </rPr>
      <t>Sathibabu Raju</t>
    </r>
    <r>
      <rPr>
        <sz val="10"/>
        <color theme="1"/>
        <rFont val="Times New Roman"/>
      </rPr>
      <t xml:space="preserve"> (Current Defacto Sarpanch| Kshatriya | currently Neautral | Chantibabu's Faction; </t>
    </r>
    <r>
      <rPr>
        <b/>
        <sz val="10"/>
        <color theme="1"/>
        <rFont val="Times New Roman"/>
      </rPr>
      <t xml:space="preserve">Ganeshula Raja </t>
    </r>
    <r>
      <rPr>
        <sz val="10"/>
        <color theme="1"/>
        <rFont val="Times New Roman"/>
      </rPr>
      <t xml:space="preserve">(2nd Place | Kapu | YSRCP | Thota Narasimham's Faction); </t>
    </r>
    <r>
      <rPr>
        <b/>
        <sz val="10"/>
        <color theme="1"/>
        <rFont val="Times New Roman"/>
      </rPr>
      <t>Adabala Venkateshwara</t>
    </r>
    <r>
      <rPr>
        <sz val="10"/>
        <color theme="1"/>
        <rFont val="Times New Roman"/>
      </rPr>
      <t xml:space="preserve"> (TDP | Jyothula Nehru's Faction)
- Sathibabu Raju has won with a majority of 600 votes</t>
    </r>
  </si>
  <si>
    <r>
      <rPr>
        <sz val="10"/>
        <color theme="1"/>
        <rFont val="Times New Roman"/>
      </rPr>
      <t xml:space="preserve">- Ganeshula Raju - YSRCP - Thota Narasimham's Faction
- Adabala Venkateshwara </t>
    </r>
    <r>
      <rPr>
        <b/>
        <sz val="10"/>
        <color theme="1"/>
        <rFont val="Times New Roman"/>
      </rPr>
      <t xml:space="preserve">as De-Facto </t>
    </r>
    <r>
      <rPr>
        <sz val="10"/>
        <color theme="1"/>
        <rFont val="Times New Roman"/>
      </rPr>
      <t xml:space="preserve">as he is trying contest for ZPTC elections. 
- Current Sarpanch, Sathibabu is </t>
    </r>
    <r>
      <rPr>
        <b/>
        <sz val="10"/>
        <color theme="1"/>
        <rFont val="Times New Roman"/>
      </rPr>
      <t>politically Not Active</t>
    </r>
    <r>
      <rPr>
        <sz val="10"/>
        <color theme="1"/>
        <rFont val="Times New Roman"/>
      </rPr>
      <t xml:space="preserve"> and currently not thinking to contest for upcoming elections</t>
    </r>
  </si>
  <si>
    <r>
      <rPr>
        <sz val="10"/>
        <color theme="1"/>
        <rFont val="Times New Roman"/>
      </rPr>
      <t xml:space="preserve">- TDP has complete support as the JSP Mandal President, Doddu Srinu has won as MPTC with clear support from </t>
    </r>
    <r>
      <rPr>
        <b/>
        <sz val="10"/>
        <color theme="1"/>
        <rFont val="Times New Roman"/>
      </rPr>
      <t xml:space="preserve">Adabala Venkateshwara
</t>
    </r>
    <r>
      <rPr>
        <sz val="10"/>
        <color theme="1"/>
        <rFont val="Times New Roman"/>
      </rPr>
      <t>- YSRCP's Ganeshula Raja is the only major leader form YSRCP and there is a possibility of another Kapu leader raising through Chantibabu, as there is a politically factional vaccum
- Adabala Suryanarayana, who was in YSRCP (Earlier Chantibabu's faction) is now supporting his younger brother Adabala Venkateshwara
- Adabala Suryanarayana has exitted YSRCP as Chantibabu did not support him for MPTC elections due to which both him and chantibabu's faction had to loose MPTC to Dodda Srinivas (JSP)</t>
    </r>
  </si>
  <si>
    <t xml:space="preserve">- Around 30 lakh rupees worth CC-Roads with a stretch of 2KM has been laid during the new govt. tenure
- Marripaka Raod (3 KM) contruction also was completed </t>
  </si>
  <si>
    <t>VENGAYAMMA PURAM</t>
  </si>
  <si>
    <t>Challa Kumari - 6300843620</t>
  </si>
  <si>
    <t>Bhupalapatnam</t>
  </si>
  <si>
    <t>Veeramreddy Ramalingeswara Swami - 9132631999</t>
  </si>
  <si>
    <t>Aasapu Ramalakshmi - 7386404556</t>
  </si>
  <si>
    <t>In 2024 for MLA seat TDP lost around 1600 votes to Patamsetty Suryachandra who contested independently, Patamsetty Suryachandra who is native to Burgupudi village convinced people to vote for him for MLA and vote for Sunil for MP which reflected in the election results as JSP MP candidate (Uday) did not get near the same amount of votes as TDP MLA candidate (Nehru)</t>
  </si>
  <si>
    <t>In 2020 Patamsetty Nageshwar Rao (Ravi) (Kapu Ex-MPTC) backed Gurajarapu Sathibabu's wife Laxmi (Rajaka) against Asapu Badrarao's wife Asapu Ramalakshmi (Padhmashali, Devanga)</t>
  </si>
  <si>
    <t>General (Woman)</t>
  </si>
  <si>
    <t>Patamsetty Krishnamurthy , his wife Sathyavathi was MPTP and Vice-MPP won with about 1200 majority. 
Patamsetty Suryachandra wife Sridevi might contest in the elections. Suryachandra was able to get 1600 votes when he contested for MLA in 2024 from this village.</t>
  </si>
  <si>
    <t>Kunche Sathyanarayana (Thathaji)-TDP
Patamsetti Krishnamurthy-YCP-Thota Narasimha
Patamsetty Nageshwar Rao Ravi(MPTC)-TDP
Kunche Sitharamayya (Thathaji)-TDP</t>
  </si>
  <si>
    <t>CC road worth 20 lakhs</t>
  </si>
  <si>
    <t>Geddanapalli</t>
  </si>
  <si>
    <t>Molleti Ganga Bahvani - 9010865217</t>
  </si>
  <si>
    <t>- Pantham Gandhi&amp;Chantibabu from YSRCP has more cadre than Narasimham in this panchayat
- Surishetti Venkatashiva Ex-Sarpanch YSRCP joined TDP is the major leader for TDP Nehru's faction.
- Nehru gained 734 votes majority in General Elections 2024 as Chantibabu's and Narasimham's factions got devided
- Late. Govindu (MPTC) is the Narasimham's faction</t>
  </si>
  <si>
    <t>- Molleti Ganga Rao is the De-Facto Sarpanch for his wife Ganga Bhavani, won with a majority of around 800 votes
- Surishetti Venkatashiva, who served as Sarpanch for 2 terms lost to Ganga Rao
- Venkatashiva was alos in YSRCP but joined TDP during the general elections 2024</t>
  </si>
  <si>
    <t>- Akula Naveen (JSP | Kapu), who is seeking YSRCP (Pantham Gandhi's) support is the expected candidate with YSRCP - JSP alliance
- Gangarao, current Sarpanch from YSRCP is thinking to drop out from the contest.
- Surishetti Venkatashiva, is going to be the contestant from TDP even tho alliance JSP party supported Akula Naveen is going with YSRCP
- Pantham Gandhi backed candidate always wins in the village</t>
  </si>
  <si>
    <t>- Pantham Gandhi (Ex-MLA) -  - YSRCP - 
- Surishetti Venkatashiva (Ex-Sarpanch) - Gavara - TDP - Jyothula Nehru
- Molleti Gangarao (De-Facto Sarpanch - Wife) - Gavara - YSRCP - Chantibabu&amp;Pantham Gandhi
- Akula Naveen (JSP Leader) - Kapu - JSP
- Molleti Trimurtulu - Gavara - TDP - Jyothula Nehru (not so impactful)</t>
  </si>
  <si>
    <t>- YSRCP cadre is divided into two factions into Thota Narasimham&amp;Chantibabu's
- TDP has two factions into Venkatashiva and Trimurtulu but not so effective as Trimurtulu has no support
- JSP, Kapu leader Akula Naveen is trying to join hands with the YSRCP and get ticket from the alliance of JSP and YSRCP, which can have Kapu and Gavara, two major caste vote banks</t>
  </si>
  <si>
    <t>- A 3 KM main road was laid during the new TDP tenure towards Kirlampudi</t>
  </si>
  <si>
    <t>- Drainage and Roads are the other major issues</t>
  </si>
  <si>
    <t>- MPTC Govinda who was one of the YSRCP leaders (Narasimha's faction) in the panchayat had passed away recently in an accident</t>
  </si>
  <si>
    <t>Allu Vijaya Kumar - 9848068968</t>
  </si>
  <si>
    <t>- Allu Vijay, who won as Sarpanch in 2020 from YSRCP, joined the TDP (Nehru's Faction) during the 2024 General Election
-  Nehru got 990 votes majority from the village, which had never happened for him.
- Uday also got 935 votes majority</t>
  </si>
  <si>
    <t>- Current reservation - UR(G)
- Possible reservation - SC(G)
- Allu Vijay&amp;Pallikala Gangaraju both from YSRCP contested and the result was a "Tie" with around 1800 votes each
- Allu Vijay won the toss adnd sarpanch chair
- So, there is a possibility of three candidates contesting in 2026, if its general reservation as Vijay is thinking to change party from TDP to YSRCP and possible candidature factions are from Allu Vijay, Neelam Srinivas(TDP), and Pallikala Gangaraju(YSRCP).</t>
  </si>
  <si>
    <r>
      <rPr>
        <b/>
        <sz val="10"/>
        <color theme="1"/>
        <rFont val="Times New Roman"/>
      </rPr>
      <t xml:space="preserve">If resrvation is "Gen"
</t>
    </r>
    <r>
      <rPr>
        <sz val="10"/>
        <color theme="1"/>
        <rFont val="Times New Roman"/>
      </rPr>
      <t>- Allu Vijay (Current Sarpanch) - 9848068968 - Currently TDP may change to YSRCP - 
- Pallikala Gangaraju (Contested Sarpanch) -  - YSRCP (will leave if Vijay comes to YSRCP) - Thota Narasimham
- Neelam Srinivas (Ex Defacto(SC Candidate) Sarpanch) - 9177928888 - TDP - Jyothula Nehru
- Ulise Airaju (JSP Mandal President) - 9182335536 - JSP - Jyothula Nehru even tho JSP (May ask for JSP as part of alliance)
If reservation is SC or Other
- Dummy candidates by three of tthe above: Allu Vijay, Pallikala Gangaraju, Neelam Srinivas</t>
    </r>
  </si>
  <si>
    <t>- If Allu Vijay is in TDP, two factions in TDP with Neelam Srinivas and Allu Vijay
- And if Allu Vijay changes party to YSRCP, two factions in YSRCP with him and Pallikala Gangaraju
- JSP, Airaju is in alliance with TDP and is Nehru's faction
- Thota Narsimham is not ready to loose Pallikala Gangaraju for Allu Vijay for what Vijay has done during the General Elections 2024. Allu Vijay also has raised a complaint with YSRCP party as Thota Narasimham is not allowing him into party.</t>
  </si>
  <si>
    <t>- No major development activities during the new TDP tenure</t>
  </si>
  <si>
    <t>- Damaged road stretching from Rajupalem to Ramavaram and passing through this village. This 12 km stretch of road is severely damaged, causing inconvenience to villagers trying to reach Jaggampeta. (Not Resolved)</t>
  </si>
  <si>
    <r>
      <rPr>
        <b/>
        <sz val="10"/>
        <color theme="1"/>
        <rFont val="Times New Roman"/>
      </rPr>
      <t xml:space="preserve">2nd Feb 2026
Allu Vijay:
Sarpanch (2020) | Kapu | Gen | 54 | TDP
</t>
    </r>
    <r>
      <rPr>
        <sz val="10"/>
        <color theme="1"/>
        <rFont val="Times New Roman"/>
      </rPr>
      <t xml:space="preserve">- Allu Vijay's father has migrated to this village and was sarpanch for 10 years starting from 1981
- Sarpanch in 2001
- Allu Vijay has contested in 2014 ZPTC elections and lost to Veeramareddy Kashibabu with 2000 votes
- He was in Chantibabu's faction during 2014 ZPTC elections and was also mandal president of TDP
- TDP(chantibabu) --&gt; YSRCP (Chantibabu) --&gt; TDP (Nehru) --&gt; thinking to change YSRCP
</t>
    </r>
    <r>
      <rPr>
        <b/>
        <sz val="10"/>
        <color theme="1"/>
        <rFont val="Times New Roman"/>
      </rPr>
      <t xml:space="preserve">Neelam Srinivas:
Dafacto (SC) Ex Sarpanch | Kapu | Gen | 45 | TDP | Jyothula Nehru
</t>
    </r>
    <r>
      <rPr>
        <sz val="10"/>
        <color theme="1"/>
        <rFont val="Times New Roman"/>
      </rPr>
      <t xml:space="preserve">- His father contested against Allu Vijay in 2001 and lost
- Supported a candidate when SC reserved and won
- Cousin of Thota Subbarao
- Follower of Jyothula Nehru
</t>
    </r>
    <r>
      <rPr>
        <b/>
        <sz val="10"/>
        <color theme="1"/>
        <rFont val="Times New Roman"/>
      </rPr>
      <t xml:space="preserve">Pallikala Ganagadhar:
Contested Sarpanch (2020 Tie) | Kapu | Gen |  | YSRCP | Thota Narsimham
</t>
    </r>
    <r>
      <rPr>
        <sz val="10"/>
        <color theme="1"/>
        <rFont val="Times New Roman"/>
      </rPr>
      <t>- Contested against Allu Vjay in 2020 sarpanch election and was a tie with 1800 votes
- Thota Narasimham is backing him currently but may prefer Allu Vijay in future over him</t>
    </r>
  </si>
  <si>
    <t>JAGAPATHINAGARAM</t>
  </si>
  <si>
    <t>Mahendrada Sri Latha - 9160940340</t>
  </si>
  <si>
    <t>Gorakapudi Veera Anantha Lakshmi - Kapu</t>
  </si>
  <si>
    <t xml:space="preserve">TDP got the majority of 96 votes despite huge wage across the AC, There are around 5 villages in entire Jaggampeta where majority for TDP is less than 100 votes and Krishnavaram village is one of them. This has been the traditionally strongold village for INC/YSRCP. For MP elections YSRCP secured majority of 58 votes which shows the dominance of YCP in the viilage </t>
  </si>
  <si>
    <t xml:space="preserve">For Sarpanch elections YSRCP candidate Veera Anantha Laxmi (W/o Gorakapudi Gopinath (GG) secured the majority of 596 votes due to his social work in the village. He runs a water plant with a capacity of 2500 Ltrs serves free water to villagers and a colony in adject village Somaravaram. GG's brother wife got elected as MPTC with 530 votes. GG works in DCCB bank Kakinada and his brother is Government Teacher. Their family have been winning elections for last 3 consecutive terms, TDP candidate Bodiredla Subba Rao (Close to Nehru) his mother elected as MPTC long back by defeating Ungala Satya. There is a perception that Bodireddla family never won Gorkapudi family in Krishnavaram. Bodireddla Thata Rao was a senior leader and his son Subba Rao now aspiring for Sarpanch Position </t>
  </si>
  <si>
    <t xml:space="preserve">For the last 4 elections reservation has been General and dominated by Kapu leaders 
YSRCP - Gorkapudi Veera Anantha Laxmi (GG Wife and Current Sarpanch)
TDP - Bodireddla Subba Rao (Kapu - Jyothula Naveen Close aide) - He owns 2 Acres of land in Krishnavaram, Each acres values around 2 Crores - He runs seperate Toll Gate along Polavaram Canal and collects money for Sand Transporation </t>
  </si>
  <si>
    <t xml:space="preserve">200 Meteres of road laid by TDP Government in the village in last 24 months
200 meters CC road and 180 Housing Sites distributed but only 15 under Construction during YSRCP </t>
  </si>
  <si>
    <t>Jyothula Rambabu - 8886766667</t>
  </si>
  <si>
    <t xml:space="preserve">TDP secured 400 votes majority due to influence of Mukkolu Veera Babu </t>
  </si>
  <si>
    <t>This village is dominated by Bussa (Mukkolu) Veera Babu who is relative of Varapula Raja and Thota Venkata Chalam. His father Bussa Subba Rao previouslu served as Sarpanch of the Village. Mukkolu family constructed bridge and roads which gained positive image in the village. During Sarpanch elections Mediboina Nagarjuna (YSRCP) contested from YSRCP, MPTC candidate Viswandula Chakra Rao had issues after 2019 elections but compromised 1 week before elections but didn't yield positive results. Chakra Rao won as MPTC from YSRCP after 30 years currently neutral. He was stopped joining TDP from Mukkolu Veera Babu for 2024 elections. Jyouthula Ram Babu (Present Sarpanch) is fielded by Mukkolu Veera Babu who runs the show in the village.</t>
  </si>
  <si>
    <t>Two groups in YSRCP 
1. Mediboina Nagarjuna (Sarpanch Contestant and Sachivalayam Conevenor - Runs Dairy Farm in Kakinada Town and Milk Centre in Village)</t>
  </si>
  <si>
    <t>Adabala Sandya - 8639927455</t>
  </si>
  <si>
    <t>Gode Padmavathi - 8790885023</t>
  </si>
  <si>
    <r>
      <rPr>
        <sz val="10"/>
        <color theme="1"/>
        <rFont val="Times New Roman"/>
      </rPr>
      <t xml:space="preserve">- Thota Narasimham, home village, away just 1KM from Rajupalem has got </t>
    </r>
    <r>
      <rPr>
        <b/>
        <sz val="10"/>
        <color theme="1"/>
        <rFont val="Times New Roman"/>
      </rPr>
      <t>339 votes lesser</t>
    </r>
    <r>
      <rPr>
        <sz val="10"/>
        <color theme="1"/>
        <rFont val="Times New Roman"/>
      </rPr>
      <t xml:space="preserve"> than Jythula Nehru.
- Twin Brothers Ganeshula Rambabu and Laxman Rao, big contractors are the supporters and close relatives of Mudragada Padmanabham and are major imactfull leaders in the viillage due to which Thota Narsimham has to losse votes even tho they are from YSRCP
- Gandham Umamaheshwar Rao, and Gode Rajashekar and Varaprasad (brothers) are the major TDP leaders
-  Laxman Rao is also MPTC</t>
    </r>
  </si>
  <si>
    <t>- Gode Yesu is the de-facto Sarpanch of the village for his wife and has a backup by the contractor twin brothers Rambabu and Laxman Rao
- Won with a majority of 280, competing with Gandham Umamaheshwar Rao (Ex-Sarpanch, 2015), Advocate Jokka Srinu (De-Facto Ex Sarpanch-Mother, 2009), and Gode Rajeshekar
- Twin brothers Rambabu and LaxmanRao are very close to Mudragada Padmanabgam and close relatives through Tuni</t>
  </si>
  <si>
    <r>
      <rPr>
        <b/>
        <sz val="10"/>
        <color theme="1"/>
        <rFont val="Times New Roman"/>
      </rPr>
      <t xml:space="preserve">If </t>
    </r>
    <r>
      <rPr>
        <sz val="10"/>
        <color theme="1"/>
        <rFont val="Times New Roman"/>
      </rPr>
      <t xml:space="preserve">reservation is </t>
    </r>
    <r>
      <rPr>
        <b/>
        <sz val="10"/>
        <color theme="1"/>
        <rFont val="Times New Roman"/>
      </rPr>
      <t xml:space="preserve">General:
</t>
    </r>
    <r>
      <rPr>
        <sz val="10"/>
        <color theme="1"/>
        <rFont val="Times New Roman"/>
      </rPr>
      <t xml:space="preserve">- Gandham Umamaheshwar Rao (TDP)
- Jokka Srinu (TDP)
- One supported by Twin Brothers (YSRCP)
</t>
    </r>
    <r>
      <rPr>
        <b/>
        <sz val="10"/>
        <color theme="1"/>
        <rFont val="Times New Roman"/>
      </rPr>
      <t xml:space="preserve">If SC:
</t>
    </r>
    <r>
      <rPr>
        <sz val="10"/>
        <color theme="1"/>
        <rFont val="Times New Roman"/>
      </rPr>
      <t>- One supported by Umamaheshwar Rao (TDP)
- One Supported by Twin Brothers (YSRCP)</t>
    </r>
  </si>
  <si>
    <r>
      <rPr>
        <b/>
        <sz val="10"/>
        <color theme="1"/>
        <rFont val="Times New Roman"/>
      </rPr>
      <t xml:space="preserve">TDP:
</t>
    </r>
    <r>
      <rPr>
        <sz val="10"/>
        <color theme="1"/>
        <rFont val="Times New Roman"/>
      </rPr>
      <t xml:space="preserve">- Gandham Umamaheshwar Rao
- Joka Srinu
</t>
    </r>
    <r>
      <rPr>
        <b/>
        <sz val="10"/>
        <color theme="1"/>
        <rFont val="Times New Roman"/>
      </rPr>
      <t xml:space="preserve">YSRCP:
</t>
    </r>
    <r>
      <rPr>
        <sz val="10"/>
        <color theme="1"/>
        <rFont val="Times New Roman"/>
      </rPr>
      <t>- Twin Brothers  (Mudragada faction)
- One may get raised by Thota Narasimha</t>
    </r>
  </si>
  <si>
    <t>- 2-3 CC Roads were laid in new tenure of Kutami
(Contracted by Gandham Umamaheshwaram&amp;Jokka Srinu)</t>
  </si>
  <si>
    <t>- Ganeshula Rambabu (One among the Twin Brothers) is a close relative to Mudragada Padmanabham
Mudragada Padmanbham's doughter was married to the same family from which Ganeshula Rambabu's daughter-in-law comes from(son's wife)
-  These twin brothers are in business with Jyothula Nehru as they deal many contracts and Nehru gives support in getting new contracts but when it comes to the politics none of them deal with any political benefits or mutual supports</t>
  </si>
  <si>
    <t>Ramachandrapuram</t>
  </si>
  <si>
    <t>Thummalapalli Sai Guna Sekhar - 9848258999</t>
  </si>
  <si>
    <t>TDP got clear majority in general elections with 587 votes</t>
  </si>
  <si>
    <t xml:space="preserve">Katchumarthi Veera Raghava (Kapu) TDP lost elections to Thummalapalli Sai Guna Sekhar (Kapu) YCP by small margin.  Thummalapalli Sai Guna Shekar is brother of Thummalapalli Ramesh, Thummalapalli Ramesh's support will play a key role in deciding the next sarpanch. Thummalapalli Sai Guna Shekar used to be in YCP </t>
  </si>
  <si>
    <t>Ponnaganti Sathyanarayana (Padmashali) his mother Appayamma was sarpanch during 2000. Guthukala Subrahmanyam (Padmashali) TDP cadre.</t>
  </si>
  <si>
    <t>Kachumarthi Veera Raghava's wife Ramalakshmi was MPP during 2016
Thummalapalli Ramesh Babu (JSP Jaggampet ACI)</t>
  </si>
  <si>
    <t>Water tanks and pipelines are needed to solve drinking water issues in the village.</t>
  </si>
  <si>
    <t>RAMAKRISHNAPURAM</t>
  </si>
  <si>
    <t>Saraswathi Kanta - 9493882666</t>
  </si>
  <si>
    <t>Mandeti Veeralakshmi - 9959624492</t>
  </si>
  <si>
    <t>Simhadripuram</t>
  </si>
  <si>
    <t>Kalapureddy Papayamma - 9951135685</t>
  </si>
  <si>
    <t>SOMANARAYANIPETA</t>
  </si>
  <si>
    <t>Sarise Lakshmi Parvathi - 9490153453</t>
  </si>
  <si>
    <t>somavaram</t>
  </si>
  <si>
    <t>Jyothula Seeta Rama Lakshmi - 8686864047</t>
  </si>
  <si>
    <t>SUNGARAYUNIPALEM</t>
  </si>
  <si>
    <t>Pattu Chantibabu - 9848652974</t>
  </si>
  <si>
    <t>Thota Annayya - 8309332929</t>
  </si>
  <si>
    <t xml:space="preserve">Thota Ayyana being the senior leader and close associate of Thota Narsimham was elected unanimously from YSRCP as Sarpanch, YSRCP aspirant and anti group of Thota Ayyanna is Adabala Srinivas (MPTC Contestant) was compromised and convinced by Jyothula Chanti Bbau to contest as MPTC later Thota Ayyanna supported JSP MPTC candidate Gokeda Raja. 
Thota Ayyanna's cross party relations will decide the outcome of the elections, Gokeda Ram Babu (Ex- Nehru Close Aide and Chief Election Agent of Sunil) is currently suffering from Paralysis and his wife may contest as Sarpanch candidate from TDP </t>
  </si>
  <si>
    <t xml:space="preserve">Anukula Srikanth (TDP- Kapu- Ex- Sarpanch (2014), Encouraged by Jyothua Naveen)
Gokeda Raja (JSP -Kapu- MPTC) </t>
  </si>
  <si>
    <t xml:space="preserve">K Shiva Ramakrishna - Vice President - YSRCP - Jyothula Chanti Babu 
Gandham Surya Chakradora - Ward Member - YSRCP - Neutral 
Geddam. Manikanta - Ward Member - YSRCP - Jyouthula Chanti Babu </t>
  </si>
  <si>
    <t>YSRCP divided into two factions 
1. Thota Ayyanna (Sarpanch)
2. Adabala Srinivas (MPTC Contestant)</t>
  </si>
  <si>
    <t>Ambati Bujjamma - 9441807628</t>
  </si>
  <si>
    <t>This is the native village of YSRCP MLA candidate Thota Narsimham, His brothers Thota Ravi (Ex-MPP) and Thota Gandhi (ZPTC) who were revoluted against Narsimham before elections and held a press meet in Kirlampudi. Ravi and Gandhi were perceived as close aides of Chanti Babu after his MLA ticket rejection with the initiation of Bhupalapatnam they joined TDP. Still TDP secured 231 majority in the Village even after Ravi and Gandhi's joining, for MP elections Sunil secured huge majority of 1052 with support of Thota families.</t>
  </si>
  <si>
    <t xml:space="preserve">Ambati Bujjamma (Mala- Reportedly having relationship with Chanti Babu's Mavayya - Sister's husband village), She took blessings from Thota Narsimham for her nomination and supported by Thota family which helped to win the Sarpanch elections </t>
  </si>
  <si>
    <t>Rayudu Swami - 9247855118</t>
  </si>
  <si>
    <t>TDP got 972 votes majority over YSRCP, TDP got majority in every booth. The clear majority shows a change in trend as TDP did not perform well in previous elections even in 2014.</t>
  </si>
  <si>
    <t xml:space="preserve">Dhomala Gangadher (YCP) lost elections with one vote against Rayudu Swami (TDP).  Due to corruption by YCP leaders like Adabala Srinu and Gangadher. TDP got 6 wards and YCP got 6 wards. Gangadher's follower Bolla Venkatrao (SC) was elected in the election before 2020 before Rayudu Swami. </t>
  </si>
  <si>
    <t>Gande Chinna Kasi S/o Gande Chellarao Chinnaraju and Gande Pedha Kasi (land lord) are aspiring for Sarpanch. Gande family have lot of votes in the village and they might decide internally on who should contest. YCP is looking to contest Setti Apparao who runs a sweet shop in Kirlampudi, his extended family contains around 170 votes. He have good relationship with TDP and JSP cadre in the village. Inti Tammarao (Tammaji) is an aspirant from TDP. He did no have the support of current sarpanch Rayudi Swami.</t>
  </si>
  <si>
    <t>YCP two factions
Dhomala Gangadhar (Chantibabu)
Setti Somaraju (Narasimha)</t>
  </si>
  <si>
    <t>Current poles water tanks by sarpanch, NRGC road by MLA</t>
  </si>
  <si>
    <t>ALLIPUDI</t>
  </si>
  <si>
    <t>Tharipe Nookalamma - 9010752300</t>
  </si>
  <si>
    <t>APPALARAJUPETA</t>
  </si>
  <si>
    <t>Nallamilli Surya Kumari - 9573933445</t>
  </si>
  <si>
    <t>BHIMAVARAPUKOTA</t>
  </si>
  <si>
    <t>Jigatala Veerababu - 8096663901</t>
  </si>
  <si>
    <t>BILLANANDURU</t>
  </si>
  <si>
    <t>Botsa Manga - 9951353839</t>
  </si>
  <si>
    <t>BODHAVARAM</t>
  </si>
  <si>
    <t>Vegi Lakshmi - 9491332202</t>
  </si>
  <si>
    <t>INDUGAPALLI</t>
  </si>
  <si>
    <t>Kunche Satyavathi - 9441813892</t>
  </si>
  <si>
    <t>JAGANNADHAPURAM</t>
  </si>
  <si>
    <t>Lekkala Upendra - 6281662204</t>
  </si>
  <si>
    <t>K.A.MALLAVARAM</t>
  </si>
  <si>
    <t>Vemula Satyaveni - 9441326672</t>
  </si>
  <si>
    <t>K.E.CHINNAYYAPALEM</t>
  </si>
  <si>
    <t>Gudlu Sattibabu - 9493138916</t>
  </si>
  <si>
    <t>K.KOTTAM</t>
  </si>
  <si>
    <t>Dogga Lakshmi - 9493327269</t>
  </si>
  <si>
    <t>K.O.AGRAHARAM</t>
  </si>
  <si>
    <t>Sarika Devudu - 9492668264</t>
  </si>
  <si>
    <t>KAKARAPALLI</t>
  </si>
  <si>
    <t>Venkateswara Rao Bantupalli - 9440429349</t>
  </si>
  <si>
    <t>KOTANANDURU</t>
  </si>
  <si>
    <t>Garsingi Sivalakshmi - 9440411887</t>
  </si>
  <si>
    <t>LAKSHMIDEVIPETA</t>
  </si>
  <si>
    <t>Tummala Rani - 9848359996</t>
  </si>
  <si>
    <t>P.KOTTAM</t>
  </si>
  <si>
    <t>Varahalu Pasagadugula - 9542775161</t>
  </si>
  <si>
    <t>SURAPURAJUPETA</t>
  </si>
  <si>
    <t>Ruthala Rajeshwari - 9966342342</t>
  </si>
  <si>
    <t>T.J.NAGARAM</t>
  </si>
  <si>
    <t>Surla Rambabu - 9989151796</t>
  </si>
  <si>
    <t>Nookapalli Anitha Rani - 9515450642</t>
  </si>
  <si>
    <t>Obilisetti Venkata Peda Reddamma Peda Kapu - 9493075496</t>
  </si>
  <si>
    <t>Chandramampalli</t>
  </si>
  <si>
    <t>Kurumella Lovaraju - 9951130283</t>
  </si>
  <si>
    <t>CHINABRAHMADEVAM</t>
  </si>
  <si>
    <t>Kanchumarthi Srinu - 9959353623</t>
  </si>
  <si>
    <t>Divili</t>
  </si>
  <si>
    <t>Penke Srinu - 6301809691</t>
  </si>
  <si>
    <t>G.Ragampeta</t>
  </si>
  <si>
    <t>Bunga Sekhar Babu - 9963775353</t>
  </si>
  <si>
    <t>Pachipala Neri Kumari - 9963655666</t>
  </si>
  <si>
    <t>Kanaparti Nookaraju - 9949136194</t>
  </si>
  <si>
    <t>J.Thimmapuram</t>
  </si>
  <si>
    <t>Kundala Papa - 9154377888</t>
  </si>
  <si>
    <t>Makireddy Srinivas - 9010851504</t>
  </si>
  <si>
    <t>Dimmala Pushpa Rathnam - 9505959106</t>
  </si>
  <si>
    <t>Kondapalli</t>
  </si>
  <si>
    <t>Kotha Chakra Rao - 9866256488</t>
  </si>
  <si>
    <t>MARLAVA</t>
  </si>
  <si>
    <t>Thota Rama Krishna - 9063698888</t>
  </si>
  <si>
    <t>Tummala Surekha - 9866122809</t>
  </si>
  <si>
    <t>R.B.KOTHURU</t>
  </si>
  <si>
    <t>Addala Mariyamma - 9849293050</t>
  </si>
  <si>
    <t>RAYABHUPALAPATNAM</t>
  </si>
  <si>
    <t>Cheekatla Lakshmi - 9866963445</t>
  </si>
  <si>
    <t>Inakonda Krishna Kumari - 9666986444</t>
  </si>
  <si>
    <t>Gopu Surya Kranthi - 9849515309</t>
  </si>
  <si>
    <t>TIRUPATI</t>
  </si>
  <si>
    <t>Moyilla Krishna Murthy - 9494551119</t>
  </si>
  <si>
    <t>TURUPUPAKALU</t>
  </si>
  <si>
    <t>Padala Annapurna - 9010071677</t>
  </si>
  <si>
    <t>Akula Varalaxmi - 9491853648</t>
  </si>
  <si>
    <t>Devalla Durga Varalakshmi Devi - 9542333347</t>
  </si>
  <si>
    <t>VALUTHIMMAPURAM</t>
  </si>
  <si>
    <t>Bullama Sainam - 9494154536</t>
  </si>
  <si>
    <t>BAVURUVAKA</t>
  </si>
  <si>
    <t>Doddi Satyanarayana - 6304928489</t>
  </si>
  <si>
    <t>BURADAKOTA</t>
  </si>
  <si>
    <t>Chinthala Chinnalamma - 9493461257</t>
  </si>
  <si>
    <t>CHINASANKARLAPUDI</t>
  </si>
  <si>
    <t>Epuri Rama Rao - 9177374670</t>
  </si>
  <si>
    <t>TDP got 500 votes majority in the assembly elections.</t>
  </si>
  <si>
    <t>Apuri Rama Rao (Sagara) YCP won against Apuri Sirivas Rao (Sagara) TDP. Miryala Srinu MPTC and Apuri Srinvias Rao used to be two groups in TDP at that time, Srinivas Rao went to YCP before elections.</t>
  </si>
  <si>
    <t>Miryala Srinu (MPTC) TDP
Baddeti Srinu (Sagara) TDP Neeti Sangam president
Yaka Sathyanarayana (Sagara) (TDP)
Apuri Ramarao (Sagara) (YCP) Sarpanch
Pilla Kondal Rao (Chinna) OC Kapu YCP
Apuri Ramarao (Sagara) (Sarpanch contestant last time)</t>
  </si>
  <si>
    <t>Apuri Ramarao (present sarpanch) might be interested in joining TDP.</t>
  </si>
  <si>
    <t>Pilla Kondal Rao allegedly collected bill for a sachivalayam building he did not build and paid back around 6 lakhs from the total bill of around 18 lakhs</t>
  </si>
  <si>
    <t>CHINTALURU</t>
  </si>
  <si>
    <t>Pandrada Ganga - 7032881258</t>
  </si>
  <si>
    <t>DHARMAVARAM</t>
  </si>
  <si>
    <t>Benthukurthi Suseela - 9032206048</t>
  </si>
  <si>
    <t>ELURU</t>
  </si>
  <si>
    <t>Rongala Satyanarayana - 9848851521</t>
  </si>
  <si>
    <t>GAJJANAPUDI</t>
  </si>
  <si>
    <t>Gonagala Appalaraju - 9014143289</t>
  </si>
  <si>
    <t>GOKAVARAM</t>
  </si>
  <si>
    <t>Vanaparthi Rama Lakshmi - 9701654577</t>
  </si>
  <si>
    <t>LAMPAKALOVA</t>
  </si>
  <si>
    <t>Pandi Mani Kumari - 9676356350</t>
  </si>
  <si>
    <t>PANDAVULAPALEM</t>
  </si>
  <si>
    <t>Gummidi Rama Lakshmi - 9948672121</t>
  </si>
  <si>
    <t>PEDA SANKARLAPUDI</t>
  </si>
  <si>
    <t>Surnidi Nagaratnam - 9948498889</t>
  </si>
  <si>
    <t>The sarpanch worked for the assembly elections and moved to JSP after elections Surnidi Nagaratnam son Surnidi Suresh. After MLA won here there has been a conflict for power and joined JSP.</t>
  </si>
  <si>
    <t>In the sarpanch elections Surnidi Nagaratnam won with 70 votes majority, wife of Bullabbai (sarpanch contestant), their son Surnidi Suresh is also active in politics. They won against Dale Chittibabu contested his mother in the elections, he got Annavaram board member after that. Dale Tambarao (Nallababu) won MPTC against TDP candidate Dale Nookaraju, Chittibabu and Tambarao are cousins, Nookaraju is from a seperate family.</t>
  </si>
  <si>
    <t xml:space="preserve">Dale Chittibabu (YCP) (Sarpanch contestant)
Dale Naveern (TDP Raja's cousin) might put up a candidate
</t>
  </si>
  <si>
    <t>Juvvina Thirupathi Rao TDP Kapu</t>
  </si>
  <si>
    <t>PEDDIPALEM</t>
  </si>
  <si>
    <t>Devara Manasa - 9393167777</t>
  </si>
  <si>
    <t>- TDP has secured majority over 800 votes against YSRCP.
- YSRCP had the anti-incumbency as the promised road towards "Uttarakanchi" was not laid. No major infrastructre was developed and the 300 housing Pattas that were given are on the hill top because which no one was ready to move and created anti-incumbency</t>
  </si>
  <si>
    <t>- Devara Manasa w/o Devara Ramesh from YSRCP has won the election with a majority of 369 votes against Reesu Sathibabu who contested from TDP
- Village is Yadav dominated (1500/3500) and Devara Ramesh comes from the Yadav community whereas Reesu Sathibabu comes from the settibalija (700/3500) which gave Ramesh more support</t>
  </si>
  <si>
    <r>
      <rPr>
        <b/>
        <sz val="10"/>
        <color theme="1"/>
        <rFont val="Times New Roman"/>
      </rPr>
      <t xml:space="preserve">- TDP:
</t>
    </r>
    <r>
      <rPr>
        <sz val="10"/>
        <color theme="1"/>
        <rFont val="Times New Roman"/>
      </rPr>
      <t xml:space="preserve">Deva Rajubabu | Yadav 
Kundala Apparao | Yadav are the major contestants
Deva Rajubabu is actually nephew of K Apparao
</t>
    </r>
    <r>
      <rPr>
        <b/>
        <sz val="10"/>
        <color theme="1"/>
        <rFont val="Times New Roman"/>
      </rPr>
      <t xml:space="preserve">- YSRCP:
- </t>
    </r>
    <r>
      <rPr>
        <sz val="10"/>
        <color theme="1"/>
        <rFont val="Times New Roman"/>
      </rPr>
      <t>the top leadership is backing no one but trying to bring kapu leaders forward
- No major contestants and they are very less confident to win 
- Devara Ramesh may contest but only to save the reputation of the group
- If the reservation is Gen, kapu leader Enugu John may contest with the support from Giribabu</t>
    </r>
  </si>
  <si>
    <r>
      <rPr>
        <b/>
        <sz val="10"/>
        <color theme="1"/>
        <rFont val="Times New Roman"/>
      </rPr>
      <t xml:space="preserve">TDP:
</t>
    </r>
    <r>
      <rPr>
        <sz val="10"/>
        <color theme="1"/>
        <rFont val="Times New Roman"/>
      </rPr>
      <t xml:space="preserve">- Deva Rajubabu and Kundala Apparao's are the only factions that are there in the village but will be working under the leadership of MLA Varupula Satyaprabha
</t>
    </r>
    <r>
      <rPr>
        <b/>
        <sz val="10"/>
        <color theme="1"/>
        <rFont val="Times New Roman"/>
      </rPr>
      <t xml:space="preserve">YSRCP:
</t>
    </r>
    <r>
      <rPr>
        <sz val="10"/>
        <color theme="1"/>
        <rFont val="Times New Roman"/>
      </rPr>
      <t>- Devara Ramesh | Yadav
- Enugu John | Kapu | backed by Giribabu</t>
    </r>
  </si>
  <si>
    <t>- The most important road for the village, Uttarakanchi to Peddipalem with a 5 KM stretch was laid by the new govt with an expense of 1.2 Crores.
- 4 more CC roads were also laid with a cost of around 80 lakh rupees</t>
  </si>
  <si>
    <t>- 6 KM long Road from Peddipalem to Pandavulapalem
- Need Drains to be constructed
- Drinking watre scarcity</t>
  </si>
  <si>
    <t>- Current Sarpanch Devara Ramesh, YSRCP is too much disppointed with the top leadership of the constituency and even with YS Jagan</t>
  </si>
  <si>
    <t>POTHULURU</t>
  </si>
  <si>
    <t>Bondu Rambabu - 9492037619</t>
  </si>
  <si>
    <t>PRATHIPADU</t>
  </si>
  <si>
    <t>Vijayalakshmi Gudala - 9849752539</t>
  </si>
  <si>
    <t>RACHAPALLI</t>
  </si>
  <si>
    <t>Saripalli Lova Lakshmi - 9505234510</t>
  </si>
  <si>
    <t>ROWTHUPALEM</t>
  </si>
  <si>
    <t>Kongana Bullammayi - 9581990370</t>
  </si>
  <si>
    <t>SARABHAVARAM</t>
  </si>
  <si>
    <t>Amaradi Venkatrao - 9989798634</t>
  </si>
  <si>
    <t>T.RAYAVARAM</t>
  </si>
  <si>
    <t>Thatavarthy Subbarao - 9948116733</t>
  </si>
  <si>
    <t>U.JAGANNADHAPURAM</t>
  </si>
  <si>
    <t>Nadigatla Trimurthulu - 9849189893</t>
  </si>
  <si>
    <t>UTTARAKANCHI</t>
  </si>
  <si>
    <t>Manthina Venkata Ramana - 9000244888</t>
  </si>
  <si>
    <t>VAKAPALLE</t>
  </si>
  <si>
    <t>Rongala Nageswara Rao - 9949601203</t>
  </si>
  <si>
    <t>VENKATANAGARAM</t>
  </si>
  <si>
    <t>Simhadri Ramadevi - 9676444569</t>
  </si>
  <si>
    <t>VOMMANGI</t>
  </si>
  <si>
    <t>Thummala Bhavani - 9515469466</t>
  </si>
  <si>
    <t>Chindhada Peda Raju - 8977264099</t>
  </si>
  <si>
    <t>BALARMPURAM</t>
  </si>
  <si>
    <t>Daasari Sanyasi - 9849461468</t>
  </si>
  <si>
    <t>Madasu Dongabbai Ane Venkata Ramana - 9676463923</t>
  </si>
  <si>
    <t>BAPA BHUPALAPATNAM</t>
  </si>
  <si>
    <t>Vadalla Satyanarayana - 8978535625</t>
  </si>
  <si>
    <t>Miriyala Jogiraju - 9951566455</t>
  </si>
  <si>
    <t>DIGUVA SIVADA</t>
  </si>
  <si>
    <t>Koruprolu Devudu - 9705199360</t>
  </si>
  <si>
    <t>GANGAVARAM</t>
  </si>
  <si>
    <t>Smt Saipureddi Kanaka Lakshmi - 6305194188</t>
  </si>
  <si>
    <t>Nimmagadla Paramjyothi - 8985490148</t>
  </si>
  <si>
    <t>Raparthi Rama Krishna - 9505161571</t>
  </si>
  <si>
    <t>Yadala Santhi - 9849265494</t>
  </si>
  <si>
    <t>Lanka Sujatha - 7075683588</t>
  </si>
  <si>
    <t>KOTHURU</t>
  </si>
  <si>
    <t>Vanthu Ramalakshmi - 9095490790</t>
  </si>
  <si>
    <t>LATCHIREDDIPALEM</t>
  </si>
  <si>
    <t>Chitra Ramanamma - 8790434146</t>
  </si>
  <si>
    <t>M CHAMAVARAM</t>
  </si>
  <si>
    <t>Adapa Satyavani - 7702973579</t>
  </si>
  <si>
    <t>Poluparthi Seethayyamma - 9959504635</t>
  </si>
  <si>
    <t>Tamarala Satyanarayana - 9912823940</t>
  </si>
  <si>
    <t>Singampalli Venkatalakshmi - 7780509594</t>
  </si>
  <si>
    <t>Pallapu Chamavaram</t>
  </si>
  <si>
    <t>Nandamuri Venkanna Dora - 7893333588</t>
  </si>
  <si>
    <t>Pakkurthi Lakshmi - 8464903315</t>
  </si>
  <si>
    <t>Rayipalli Lova Raju - 7993097006</t>
  </si>
  <si>
    <t>Sri Somarowthu Venkata Varaha Lakshmi Narasayyamma - 9848091015</t>
  </si>
  <si>
    <t>Katari Arjamma - 6300025975</t>
  </si>
  <si>
    <t>S.PYDIPALA</t>
  </si>
  <si>
    <t>Narayanamma Jigireddy - 9866902637</t>
  </si>
  <si>
    <t>SRUNGADHARA AGRAHARAM</t>
  </si>
  <si>
    <t>Sarnam Srinivas - 9705554520</t>
  </si>
  <si>
    <t>SRUNGAVARAM</t>
  </si>
  <si>
    <t>Pulugu Yesubabu - 9642206933</t>
  </si>
  <si>
    <t>Uppampalem</t>
  </si>
  <si>
    <t>Yenumula Koteswara Dora - 9640435373</t>
  </si>
  <si>
    <t>Kumara Raja Settibattula - 9849122371</t>
  </si>
  <si>
    <t>Botta Chaitanya - 9652736673</t>
  </si>
  <si>
    <t>GONDHI KOTHAPALLI</t>
  </si>
  <si>
    <t>Egala Vijayadurga - 9652438990</t>
  </si>
  <si>
    <t>Ramisetti Yesubabu - 6301104373</t>
  </si>
  <si>
    <t>Kollu Venkata Satyanarayana - 7396787777</t>
  </si>
  <si>
    <t>KONTHANGI</t>
  </si>
  <si>
    <t>Dudala Ramaswamy - 9652762333</t>
  </si>
  <si>
    <t>Kunisetti Manikyam - 9848733464</t>
  </si>
  <si>
    <t>Narala Srilatha - 9290552555</t>
  </si>
  <si>
    <t>Pedamallapuram</t>
  </si>
  <si>
    <t>Gudem Naga Devi - 9908629052</t>
  </si>
  <si>
    <t>S.Jaggampeta</t>
  </si>
  <si>
    <t>Byra Upparao - 8498884501</t>
  </si>
  <si>
    <t>Bandili Ganniyyamma - 9515619761</t>
  </si>
  <si>
    <t>SEETHAYAMMAPETA</t>
  </si>
  <si>
    <t>Thota Naga Jyothi - 9989341729</t>
  </si>
  <si>
    <t>VAZRAKUTAM</t>
  </si>
  <si>
    <t>Sakuru Gurraju - 9848159571</t>
  </si>
  <si>
    <t>Mekala Subbayamma - 8465068899</t>
  </si>
  <si>
    <t>A.KOTHAPALLE</t>
  </si>
  <si>
    <t>Bekkam Raja Varalakshmi - 9951444887</t>
  </si>
  <si>
    <t>A.V.NAGARAM</t>
  </si>
  <si>
    <t>Koyya Jagadeeswari - 9848076227</t>
  </si>
  <si>
    <t>Koda Vara Prasadu - 9949749884</t>
  </si>
  <si>
    <t>Addaripeta, Yadalavariooru two habitation Addaripeta fisherman and Yadalavariooru is Yadav community.</t>
  </si>
  <si>
    <t>TDP candidate did not contest last time,  Koda Varapasadu (Varma) won against rebel candidate from YCP&gt;</t>
  </si>
  <si>
    <t>Koda Varaprasad (Vadabalija) (YCP) Sarpanch
Muthi Ramana (Vadabalija) TDP
Yajjala Ramana (Vadabalija) TDP (Mandal TDP organizing Sec)</t>
  </si>
  <si>
    <t>Chokka jagannadham (Vadabalija)  TDP
Yajjala Venkataramana TDP
Muthi Mahesh (Vadabalija) Ex-Telugu Yuvatha Gen Sec, Mandal TDP Org Sec TDP
Chokka Raju (YCP) (Vadabalija)</t>
  </si>
  <si>
    <t>MLA constructed bathrooms for hostel with 6lakhs
20 lakhs NRGES roads</t>
  </si>
  <si>
    <t>Expecting amount from Divis.</t>
  </si>
  <si>
    <t>BENDAPUDI</t>
  </si>
  <si>
    <t>Yeleti Durgadevi - 9949430772</t>
  </si>
  <si>
    <t>DANAVAIPETA</t>
  </si>
  <si>
    <t>Madada Tirumala Sai Kumari - 9492167766</t>
  </si>
  <si>
    <t>Danvaipeta and Narsipeta are two habitations in this panchayat, Danvaipeta is entirely Vadabalija while Narsipeta have some Settibalija population as well. TDP got majority this time, it is more inclined to YCP, YCP sarpanches win most of the time.</t>
  </si>
  <si>
    <t>Chokka Haribabu contested from TDP but did not try to win, Chokka Kashi rao went to YCP before elections but did not get to contests as Madada Hemanth contested his mother, Kashi Rao contested independently and lost, he then went to JSP and came back to TDP now. Chokka Haribabu went to YCP before election and now he wants to contest.</t>
  </si>
  <si>
    <t>Chokka Hari Babu (YCP) Vadaalija
Chokka Kashi Rao (TDP) Vadabalija (Ex-ZPTC)
Chokka Bullabbai (TDP) Vadabalija</t>
  </si>
  <si>
    <t>Merugu Padmalatha (Haribabu) Vadabalija (ZPTC) Vice chairman YCP
Madada Hemanth (Vadabalija) YCP
Chokka Haribabu (YCP) Vadabalija
Chokka Kashi Rao (TDP) Vadabalija (Ex-ZPTC) TDP
Chokka Bullabbai (TDP) Vadabalija TDP</t>
  </si>
  <si>
    <t>Chokka Kashi Rao (TDP) Vadabalija (Ex-ZPTC) TDP
vs Chokka Bullabbai (TDP) Vadabalija TDP
Madada Hemanth (Vadabalija) YCP, Merugu Haribabu vs
Chokka Haribabu (YCP) Vadabalija</t>
  </si>
  <si>
    <t>Divis 63 lakhs cc road
2 crores main road
NRGS roads 50 lakhs
PM Mathsakara Yojana engines 18 people 40% subsidy</t>
  </si>
  <si>
    <t>people are expecting money from Divis. house bills, new pensions</t>
  </si>
  <si>
    <t>GOLLAMUSALAYYAPETA</t>
  </si>
  <si>
    <t>Tatiparthi Srinivas - 9949130899</t>
  </si>
  <si>
    <t xml:space="preserve">Gollamusalaypeta, Vadamusalaypeta, 220 and 221 booths. </t>
  </si>
  <si>
    <t>D Baburao from YCP contested and lost against Tatiparthi Srinivas (Yadav) he has been 3 times Sarpanch, he married someone from Yanamala group.</t>
  </si>
  <si>
    <t>Thatiparthi Srinivas (Yadav) Sarpanch might get unaninous win or name sake contestant from YCP.</t>
  </si>
  <si>
    <t>Siripina Ramana (Vadabalija) YCP
D Baburao (Yadav) YCP</t>
  </si>
  <si>
    <t>CC roads, and BT road from Krishnapuram via Gollamusallayapeta to Yellayyapeta 4 crores road.
40 lakhs NRGS CC roads funding</t>
  </si>
  <si>
    <t>House Bills and New pensions.</t>
  </si>
  <si>
    <t>GOPALAPATNAM</t>
  </si>
  <si>
    <t>Katakam Siva Sankar - 9948455653</t>
  </si>
  <si>
    <t>KODADA</t>
  </si>
  <si>
    <t>Burthi Ratnakumari - 7730047772</t>
  </si>
  <si>
    <t>Kommanapalli</t>
  </si>
  <si>
    <t>Kona Ammaji - 9948012127</t>
  </si>
  <si>
    <t xml:space="preserve">Kona Venkat Rao husband of Kona Ammai (Sarpanch) won in this village </t>
  </si>
  <si>
    <t xml:space="preserve">If SC reservation 
Shivakoti Sahadevudu (SC Mala)
Kakada Nani (SC Mala)
if Kapu reservartion
Kona Nageshwar Rao
Kona Rambabu </t>
  </si>
  <si>
    <t>CC roads</t>
  </si>
  <si>
    <t>KOTHAPERUMALAPURAM</t>
  </si>
  <si>
    <t>Yadala Uma Revathi - 9441746579</t>
  </si>
  <si>
    <t>KRISHANPURAM</t>
  </si>
  <si>
    <t>Kanda Venkateswarao - 9866482999</t>
  </si>
  <si>
    <t>ONTIMAMIDI</t>
  </si>
  <si>
    <t>Anguluri Sudhakar - 7904527938</t>
  </si>
  <si>
    <t>Ontimamidi has Ontimamidi, Thatakulapalem, Kothapakalu habitations, Kothapakalu gave majority to YCP.</t>
  </si>
  <si>
    <t xml:space="preserve">Sudhakar SC mala won from JSP went to YCP and came to TDP before elections. </t>
  </si>
  <si>
    <t xml:space="preserve">Yanamala Nageshwar Rao (Yadav)-TDP
Yanamala Laxman Rao (Yadav)-TDP
Nemala Sathyanarayana (Thasu) (Yadav)-TDP
</t>
  </si>
  <si>
    <t>Peddipudi Ramana (Madiga) is active in YCP, Gosala Kishore (Vadabalija) is not active staying in Kakinada</t>
  </si>
  <si>
    <t>CC roads CSR funding Kothapakalu street lights, RO plant CC roads from DIVIS about 40 lakhs. NRGS phase 1 8 lakhs phase 5 5 lakhs. Washrooms in Ontimamidi school,</t>
  </si>
  <si>
    <t>few farmers did not settle few farmers land yet, new pensions, house bills, house sites.</t>
  </si>
  <si>
    <t>P.AGRAHARAM</t>
  </si>
  <si>
    <t>Bekkam Lakshmi - 9492251988</t>
  </si>
  <si>
    <t>P.E.CHINNAYAPALEM</t>
  </si>
  <si>
    <t>Padma Vijaya Pasupuleti - 9059571118</t>
  </si>
  <si>
    <t xml:space="preserve">SC reservation
Seekolu Chinni (SC Mala) booth incharge Uthama Karyakartha
Rayi Brahmaji (SC Mala) key leader in SC
Dhara Chinna Apparao (MPTC in YCP) in TDP now SC Mala
Kapu reservation
Vadde Nageshwar Rao brother of Vadde Rambabu (key leader) TDP
BC 
Mulki Ramakrishna (Perika) TDP
</t>
  </si>
  <si>
    <t>Community hall
CC roads</t>
  </si>
  <si>
    <t>PYDIKONDA</t>
  </si>
  <si>
    <t>Narise Nagadevi - 9492950589</t>
  </si>
  <si>
    <t>RAVIKAMPADU</t>
  </si>
  <si>
    <t>Medisetti Mangayyamma - 9848559355</t>
  </si>
  <si>
    <t>SEETHARAMPURAM</t>
  </si>
  <si>
    <t>Pendyala Sita - 9505099364</t>
  </si>
  <si>
    <t>SRUNGAVRUKSHAM</t>
  </si>
  <si>
    <t>Appanna Dara - 6309163301</t>
  </si>
  <si>
    <t>Somala Prasada Rao - 9603273331</t>
  </si>
  <si>
    <t>VEMAVARAM</t>
  </si>
  <si>
    <t>Mareti Krishna - 9490214531</t>
  </si>
  <si>
    <t>Vemavaram and Pampadi peta two habitations in this panchayat. Vemavaram is Yadava community and Pampadipeta fisherman. Yadav is higher in this panchayat, fisherman is about 400. both communities voted for TDP, but this village usually supports YCP.</t>
  </si>
  <si>
    <t>Mareti Krishna (Yadav) YCP won against Nemala Babu Rao (Yadav) TDP.</t>
  </si>
  <si>
    <t xml:space="preserve">Nemala Babu rao or his son VIjay (TDP)
Yanamala Govind Raju (TDP)
Mareti Krishna (Yadav) YCP Mareti Krishna might win if the TDP candidates does not support each other irrespective of who gets the chance to contest.
</t>
  </si>
  <si>
    <t>Nemala Dandu (Yadav) YCP (joined from TDP)  Krishnudu follower did mining under Krishnudu earned 3-4 crores
Nemala Srinivas Rao YCP Yadav
Yadala Satish TDP Yadav Ex-TNSF Mandal president</t>
  </si>
  <si>
    <t>Nemala Babu Rao vs Yanamala Govind Raju</t>
  </si>
  <si>
    <t>CC roads 30-40 lakhs</t>
  </si>
  <si>
    <t>YCP leaders conducted checkpost near Annavaram for load vehicles, they  put their vehicles Divis, port and Aurabindo.</t>
  </si>
  <si>
    <t>YELLAYYAPETA</t>
  </si>
  <si>
    <t>Singiri Singarao - 7702973215</t>
  </si>
  <si>
    <t>Yellayyapeta, Kothamusalayyapeta two habitations, Yellayyapeta contains fisherman, Kothamusalayyapeta have Yadavs</t>
  </si>
  <si>
    <t xml:space="preserve">Koda Venkataramana (Vadabalija) TDP lost against Singiri Singarao (Vadabalija), </t>
  </si>
  <si>
    <t>Koda Venkataramana (Vadabalija) TDP he has issues with YRK, in Godavari sand mining, YRK told him to stop, he continued so he sent MRO, SI and RI to seize the operations, Venkataramana put out a press meet making corruption allegations against SI Jaganmohan Rao. He might contest as rebel candidate when he does not get the opportunity to contest from TDP. Koda Venkataramana mother was sarpanch before 10 years his father was Koda Bandayya.
Chokka Jagannadham (Vadabalija) TDP he have large extended family in the village covering alot of votes. 
Singiri Singarao (YCP) (Vadabalija) (Sarpanch)</t>
  </si>
  <si>
    <t>Yeripalli Kodanda (YCP)
Yeripalli Sathyanarayna (YCP)
Kare Rangarao (YCP)
Merugu Prasad (YCP)
Koda Appalraju (TDP)
Chokka Sathyanarayana (TDP) (Ex-Vice MPP)
Chokka Maheshwar Rao (TDP)</t>
  </si>
  <si>
    <t>Chokka Jagannadham vs Koda Venkataramana
The case against Koda Venkataramana is about not illegal sand mining but about mixing sea sand with river sand, but it is not the actual issue there. Chinthamanedi Abbai is already is doing it so YRK doesnt want him to do it as well.</t>
  </si>
  <si>
    <t>MP LADS 48 lakhs for community hall
1.5 crores village main road cc road
NREGS funding 50 laksh, BT road from Krishnapuram via Gollamusallayapeta to Yellayyapeta 4 crores road</t>
  </si>
  <si>
    <t>YERRAYYAPETA</t>
  </si>
  <si>
    <t>Garikina Ammaji - 8464924511</t>
  </si>
  <si>
    <t>Yerrayyapeta, Kothapeta, Annayyapeta, and Kummaripeta four habitations under this panchayat, Kummaripeta have Yadavs and supports YCP the rest are fisherman community also supports fisherman. Yerrayyapeta TDP leader is Surada Rambabu.</t>
  </si>
  <si>
    <t>Bade Manga (Vadabalija) Thondangi mandal TDP Mahila president, she won MPTC before, she lost Garikina Ammaji W/o Pentayya (Vadabalija) from YSRCP. Surada Rambabu did not contest as TDP is not in the power.</t>
  </si>
  <si>
    <t>Bade Manga (TDP) Ex MPTC
Surada Rambabu (Vadabalija) (His father Surada Somanna was sarpanch once) TDP Surada Rambabu is more influenctial leader but Bade Manga might get the chance to contest as she contested when the party is not in power, Rambabu might not do any rebel nominations and follow party decision.</t>
  </si>
  <si>
    <t>Surada Rambabu (TDP)
Sailaja (MPTC) YCP Polavaram canal nominated post holder
Kodanda (YCP)
Surada Devudu (Vice sarpanch) (YCP)
Devudu (Garikina Pentayya son-in-law) (YCP)
Vanka Ramana (YCP)
Chapala Devudu (TDP)
Bade Durgaprasad (Bade Manga son) (TDP)
Surada Ramakrishna (TDP)</t>
  </si>
  <si>
    <t>NRGES 25 lakhs fund CC road internal road.
75 lakhs special funding Annayyapeta, Kothapeta, Yerrayyapeta to beach roads 25 lakhs each from central government. CC roads village to beach.</t>
  </si>
  <si>
    <t>Expecting amount from Divis. TDP govt campaigned for getting this amount so people are expecting.</t>
  </si>
  <si>
    <t>AGRAHARAM</t>
  </si>
  <si>
    <t>Pedakapu Varahala Babu - 9908854433</t>
  </si>
  <si>
    <t>ATIKIVANIPALEM</t>
  </si>
  <si>
    <t>Gutturthi Parvathi - 9542923727</t>
  </si>
  <si>
    <t>Nagam Triveni - 9614144333</t>
  </si>
  <si>
    <t>Kondra Nageswararao - 9603774778</t>
  </si>
  <si>
    <t>Chillapalli Subhadramma - 9491442482</t>
  </si>
  <si>
    <t>DONDAVAKA</t>
  </si>
  <si>
    <t>Gantala Laxmi - 9618291278</t>
  </si>
  <si>
    <t>Katari Subbarao - 9502004587</t>
  </si>
  <si>
    <t>Rai Meri Avinash - 9849263061</t>
  </si>
  <si>
    <t>K.O.MALLAVARAM</t>
  </si>
  <si>
    <t>Donka Satyavathi - 9966713840</t>
  </si>
  <si>
    <t>KOLIMERU</t>
  </si>
  <si>
    <t>Nagalakshmi Pentapati - 9441225719</t>
  </si>
  <si>
    <t>Ganapathi Roja Rani Dungala - 9849994454</t>
  </si>
  <si>
    <t>L KOTHURU</t>
  </si>
  <si>
    <t>Lanka Venkata Lakshmi - 9949356372</t>
  </si>
  <si>
    <t>N.SURAVARAM</t>
  </si>
  <si>
    <t>Chinthamneedi Surya Kama Krishna - 9440576326</t>
  </si>
  <si>
    <t>RAJUPETA</t>
  </si>
  <si>
    <t>Buddala Sathibabu - 8500811055</t>
  </si>
  <si>
    <t>Gudupu Gowri Kumari - 9490741661</t>
  </si>
  <si>
    <t>TETAGUNTA</t>
  </si>
  <si>
    <t>Atti Nagaraju - 9849981456</t>
  </si>
  <si>
    <t>TIMMAPURAM</t>
  </si>
  <si>
    <t>Athi Varalaxmi - 9440693725</t>
  </si>
  <si>
    <t>VALLURU</t>
  </si>
  <si>
    <t>Kurra Vijaya Lakshmi - 9652717165</t>
  </si>
  <si>
    <t>Pampanaboyina Sriram - 9121569932</t>
  </si>
  <si>
    <t>BHADRAVARAM</t>
  </si>
  <si>
    <t>Kunapureddi Subbarao - 6305338287</t>
  </si>
  <si>
    <t>C.RAYAVARAM</t>
  </si>
  <si>
    <t>Gummuluri Jagadeeswari - 6301515169</t>
  </si>
  <si>
    <t>EAST LAKSHMIPURAM</t>
  </si>
  <si>
    <t>Veeramreddi Satyarani Naga Bhargavi - 9951367949</t>
  </si>
  <si>
    <t>JEDDANGI ANNAVARAM</t>
  </si>
  <si>
    <t>Bajinku Kalyani - 6301845584</t>
  </si>
  <si>
    <t>Sambattula Chandra Latha - 9094828888</t>
  </si>
  <si>
    <t>Nanisetti Shankuramma - 9491017807</t>
  </si>
  <si>
    <t>Peddanapalli</t>
  </si>
  <si>
    <t>Surya Prakash Budda - 9849549157</t>
  </si>
  <si>
    <t>Bheri Varalakshmi - 8790185221</t>
  </si>
  <si>
    <t>Mulagapati Suneetha - 9394848876</t>
  </si>
  <si>
    <t>Peethala Nookaraju - 7673985556</t>
  </si>
  <si>
    <t>THIRUMALI</t>
  </si>
  <si>
    <t>Suthi Veera Krishna Prasad - 9849877118</t>
  </si>
  <si>
    <t>Beesetti Appalaraju - 7396443757</t>
  </si>
  <si>
    <t>Sravani Komaram-
9866737300</t>
  </si>
  <si>
    <t>TDP got a strong 2900 votes majority in this village, One of the YCP key leader Dasari Ramesh got brain stroke and not active due to these health issues. Dasari Ramesh is a supporter of Chantibabu and Dasari Chinababu (Venkateshwaraiah) is (ex sarpanch and society chairman) is a supporter of Narasimham.  Gangam Sathyanarayana OC Kapu joined TDP from YCP right before elections. Mangaraju Ramakrishna (ex mandal president of TDP) and Sunkara Veerababu whose wife Sunkara Srivalli is MPP were actively working during elections. Puluri Bose (T.Kapu) ex ZPTC was also actively contributed for the election effort.</t>
  </si>
  <si>
    <t>Komaram Sravani (ST) is widow of Kulaparthy Veera Ventakata Satyanarayna Kapu (OC TDP)'s wifes brother.
for OC reservation Kulaparthy Veera Ventakata Satyanarayna Kapu (OC TDP Ex MPTC) will contest
for BC reservation Vanam Sureka (BC Settibalija) wife Venkata Satyanarayana will contest. They won against Varasani Gangabavani wife of Varasani Prasad who was supporte by Chanti Babu, and Dasari Ramesh. ZPTC.</t>
  </si>
  <si>
    <t>2026 can be BC or OC general it was ST woman for the last two terms</t>
  </si>
  <si>
    <t>Akshanthala Laxman Murthy Raju (Vyshyas) Ex Market yard chairman</t>
  </si>
  <si>
    <t>50% of drainages are completed but 50% are pending need to complete them in this term</t>
  </si>
  <si>
    <t>Bandampudi Harshitha 
Madiga - 9441596400</t>
  </si>
  <si>
    <t>Ungarala Ramu is one of the key leader in for TDP in village, Jyothula Chanti Babu faction (Kasireddy Sathish, Kasireddy Ravi and Narukula Satya Narayana)  supported TDP as he was denied ticket in YSRCP. TDP was able secure the majority of 250 votes. Pantha, Trimruthulu (YCP -TDP), Jajula Vnekateshwar Rao (YCP - BJP), Ungarala Manikanta (YCP - BJP (Kambala Srinivas Faction) left the YCP during elections which hampered YCP chances. Pati Ram Babu (Mandal President - Kapu) is the current Mandal president and close to Thota Narsimhama is running the village onbehalf of YSRCP.</t>
  </si>
  <si>
    <t>Ram Yerrampalem has one halmet (Pentapalli) which has around 1400 votes. YSRCP candidate Karri Aruna is from Pentapalli Hamlet where TDP used the sentiment that Hamlet Village candidate is ruling Ram Yerrampalem which helped TDP candidate Harshita to win the elections with majority of 500 votes. Karri Shiva Rama Krishna - Mala (Mother Sarpanch Contestant joined JSP during elections)
Pentapalli Hamlet Caste Data 
Sagara - 500
Yadava - 300
Mala -200 
Rajaka - 100</t>
  </si>
  <si>
    <t>Ungarama Ramu (Kapu -TDP)</t>
  </si>
  <si>
    <t>The major issue in the village Road from Ram Yerrampalem to Gokavaram (3Km) by Kutami Government</t>
  </si>
  <si>
    <t>Gummaladuddi</t>
  </si>
  <si>
    <t>Sarakanam Ramalakshmi-
7702072955</t>
  </si>
  <si>
    <t>TDP got 500 votes majority in this village in 2024 GE. Thota Narasimham's nephew Semmati Mohan (Nani) is native to this village and takes care of all political matters related to the village. He is known for having good relations with the leaders of the village irrespective of party. Most of Kapu votes are inclined towards YCP in this village.</t>
  </si>
  <si>
    <t xml:space="preserve">TDP candidate Bodisetti Saraswathi wife of Bodisetty Shivaji(BC Gavara)  lost electons against Sarakanam Ramalakshmi wife of Muralikrishna (BC Gavara) in sarpanch elections TDP did not win in a single ward, but won an MPTC by Kota Sathyavati wife of Suribabu (OC Kapu), Nagulapati Ramnarayana Kumar (OC Brahmin) did not let Yeggi Sathyanarayana contest in the elections, who became the village president now. </t>
  </si>
  <si>
    <t>If it is BC Yeggi Sathyanarayana (BC Gavara TDP party village president will contest)
If it is SC Eedi Ashok's wife Ratnakumari (MPP) will contest
Peniketi Achiraju is a promising canddiate for YCP in case of BC Gavara but he might not contest if Yeggi Sathyanarayan contest as they have strong family ties (brother)</t>
  </si>
  <si>
    <t>Pentimeni Apparao (BC Gavara) who joined TDP from YCP is in touch with Chantibabu</t>
  </si>
  <si>
    <t xml:space="preserve">25 lakhs of CC roads
15 lakhs drainages
MPP grants are in works for Smashana vatika development
Indian oil, HP oil has built a water tank in the SC colony pending opening </t>
  </si>
  <si>
    <t>Katama Swamy Kanchumarthi-
9652219718</t>
  </si>
  <si>
    <t>TDP got more than1500 votes majority in General election, a very financially strong leader Janapareddy Subbarao (OC Kapu) joined TDP from YCP, he was in TDP and INC he is Ex-AMC and Ex-MPP, Dhindi Veerabadra Rao (Telaga Kapu) TDP, there are two groups Kapu and Telaga Kapu in this village. There is some dissatisfaction in TDP cadre due to the joining of Janapareddy Subbarao. Many illegal activities like Pond occupation and land scams, fake bills for doing works on ponds are associated with Janapareddy Subbarao Verabadra Rao financially not as strong as Janapareddy Subbarao.</t>
  </si>
  <si>
    <t xml:space="preserve">The sarpanch was supported by Janapareddy Subbarao and </t>
  </si>
  <si>
    <t>There is no opposition of Janapareddy Subbarao (babu) any candidate fielded against Janapareddy candidate is just for name sake participation for elections it wont be unanimous.</t>
  </si>
  <si>
    <t>Nunnam Rambabu (Kapu) YCP Narasimha follower.</t>
  </si>
  <si>
    <t>Adilakshmi Rowthu - 9359889999</t>
  </si>
  <si>
    <t>- TDP has gained around 880 votes majority
- Kannababu (Ex-MPP, Ex-Sarpanch) is the prominent leader who supports TDP in the village
- With 2500 new R&amp;R settled votes included in the panchayat, it has 5300 votes for the general elections.</t>
  </si>
  <si>
    <r>
      <rPr>
        <sz val="10"/>
        <color theme="1"/>
        <rFont val="Times New Roman"/>
      </rPr>
      <t xml:space="preserve">- Contestants include, </t>
    </r>
    <r>
      <rPr>
        <b/>
        <sz val="10"/>
        <color theme="1"/>
        <rFont val="Times New Roman"/>
      </rPr>
      <t>Rowthu Jogeshwar Rao</t>
    </r>
    <r>
      <rPr>
        <sz val="10"/>
        <color theme="1"/>
        <rFont val="Times New Roman"/>
      </rPr>
      <t xml:space="preserve"> (De-Facto Sarpanch | Kapu | YSRCP | Neautral YSRCP Supporter-No faction) and Balaji Mandiga (Kapu | TDP | has backup from Kannababu)
- </t>
    </r>
    <r>
      <rPr>
        <b/>
        <sz val="10"/>
        <color theme="1"/>
        <rFont val="Times New Roman"/>
      </rPr>
      <t>Balaji Mandiga</t>
    </r>
    <r>
      <rPr>
        <sz val="10"/>
        <color theme="1"/>
        <rFont val="Times New Roman"/>
      </rPr>
      <t xml:space="preserve"> was in YSRCP with Jogeshwar Rao before the sarpanch elections but to contest the elections he joined hands with Kannababu (TDP)
- There was a tough fight which made Jogeshwar Rao to get only </t>
    </r>
    <r>
      <rPr>
        <b/>
        <sz val="10"/>
        <color theme="1"/>
        <rFont val="Times New Roman"/>
      </rPr>
      <t>16 votes majority</t>
    </r>
    <r>
      <rPr>
        <sz val="10"/>
        <color theme="1"/>
        <rFont val="Times New Roman"/>
      </rPr>
      <t xml:space="preserve">
- </t>
    </r>
    <r>
      <rPr>
        <b/>
        <sz val="10"/>
        <color theme="1"/>
        <rFont val="Times New Roman"/>
      </rPr>
      <t>Kannababu</t>
    </r>
    <r>
      <rPr>
        <sz val="10"/>
        <color theme="1"/>
        <rFont val="Times New Roman"/>
      </rPr>
      <t xml:space="preserve"> is the major leader for TDP in the village
- The newly R&amp;R settled voters were not part of the panchayat during the sarpanch elections
- Process going on to make it a s</t>
    </r>
    <r>
      <rPr>
        <b/>
        <sz val="10"/>
        <color theme="1"/>
        <rFont val="Times New Roman"/>
      </rPr>
      <t>eparate panchayat</t>
    </r>
  </si>
  <si>
    <t>- There is no major leader who is thriving for the position but whatever the situation, there will be 
one supported by YSRCP Cadre and Jogeshwar Rao or Jogeshwar Rao himself and another supported by Kannababu
- Kannababu is the decider for TDP faction</t>
  </si>
  <si>
    <t>Kannababu | TDP | Coverted Christian (BC)</t>
  </si>
  <si>
    <t>No major factions on both the sides at current situation</t>
  </si>
  <si>
    <t xml:space="preserve">- Drianage construction
- Water Tank constructed
- The govt. is proposing the projects like CC Roads and HelathCare center but no one is coming farward for the tenders as there is a big delay in bills getting cleared </t>
  </si>
  <si>
    <t>Rank</t>
  </si>
  <si>
    <t>Full Name</t>
  </si>
  <si>
    <t>Political Designations</t>
  </si>
  <si>
    <t>Description</t>
  </si>
  <si>
    <t>Panchayat / Village / Hamlet</t>
  </si>
  <si>
    <t>Filtered Mandal</t>
  </si>
  <si>
    <t>Filtered Village</t>
  </si>
  <si>
    <t>TDP Ahead</t>
  </si>
  <si>
    <t>Strong</t>
  </si>
  <si>
    <t xml:space="preserve">Infrastructure </t>
  </si>
  <si>
    <t>UPTO 50 Votes</t>
  </si>
  <si>
    <t>Acharyulu</t>
  </si>
  <si>
    <t>TDP Closely Ahead</t>
  </si>
  <si>
    <t>Medium</t>
  </si>
  <si>
    <t xml:space="preserve">Drinking Water </t>
  </si>
  <si>
    <t>UPTO 100 Votes</t>
  </si>
  <si>
    <t>Adhivelama</t>
  </si>
  <si>
    <t>Split between YSRCP &amp; TDP</t>
  </si>
  <si>
    <t>Weak</t>
  </si>
  <si>
    <t xml:space="preserve">Government Schemess </t>
  </si>
  <si>
    <t>UPTO 200 Votes</t>
  </si>
  <si>
    <t>Agnikula Kshatriya</t>
  </si>
  <si>
    <t>BSP</t>
  </si>
  <si>
    <t>JSP Ahead</t>
  </si>
  <si>
    <t xml:space="preserve">Irrigation Facilities </t>
  </si>
  <si>
    <t>Above 200 Votes</t>
  </si>
  <si>
    <t>Ayyerula</t>
  </si>
  <si>
    <t>CPI / CPM</t>
  </si>
  <si>
    <t>Split between YSRCP &amp; JSP</t>
  </si>
  <si>
    <t>Lack of Funds to GPs</t>
  </si>
  <si>
    <t>Above 600 Votes</t>
  </si>
  <si>
    <t>Balija</t>
  </si>
  <si>
    <t>Others BC</t>
  </si>
  <si>
    <t>YSRCP Ahead</t>
  </si>
  <si>
    <t>Prevalent Liquor</t>
  </si>
  <si>
    <t>Battarajulu</t>
  </si>
  <si>
    <t>Others SC</t>
  </si>
  <si>
    <t>YSRCP Closely Ahead</t>
  </si>
  <si>
    <t xml:space="preserve">Illegal Sand Mining </t>
  </si>
  <si>
    <t>Bondeelu</t>
  </si>
  <si>
    <t>Others ST</t>
  </si>
  <si>
    <t>JSP Closely Ahead</t>
  </si>
  <si>
    <t>Sanitization</t>
  </si>
  <si>
    <t>Brahmin</t>
  </si>
  <si>
    <t>Split between JSP &amp; TDP</t>
  </si>
  <si>
    <t>Other Issues</t>
  </si>
  <si>
    <t>Budaga Gangali</t>
  </si>
  <si>
    <t>Split between YSRCP, TDP &amp; JSP</t>
  </si>
  <si>
    <t>Budaga Jungaalu</t>
  </si>
  <si>
    <t>NA</t>
  </si>
  <si>
    <t>Chittikarnalu</t>
  </si>
  <si>
    <t>Mani Dora</t>
  </si>
  <si>
    <t>Christian</t>
  </si>
  <si>
    <t>Dasari</t>
  </si>
  <si>
    <t>Dommarlu</t>
  </si>
  <si>
    <t>Dora</t>
  </si>
  <si>
    <t>Dudekula</t>
  </si>
  <si>
    <t>Gangireddula</t>
  </si>
  <si>
    <t>Ganjam</t>
  </si>
  <si>
    <t>Gowda</t>
  </si>
  <si>
    <t>Iyyarakala</t>
  </si>
  <si>
    <t>Kaikalu</t>
  </si>
  <si>
    <t>Kalavathula</t>
  </si>
  <si>
    <t>Kammari</t>
  </si>
  <si>
    <t>Karala</t>
  </si>
  <si>
    <t>Karnabathula</t>
  </si>
  <si>
    <t>Karnalu</t>
  </si>
  <si>
    <t>Konda Kammari</t>
  </si>
  <si>
    <t>Konda Kapu</t>
  </si>
  <si>
    <t>Konda Reddi</t>
  </si>
  <si>
    <t>Kondareddy</t>
  </si>
  <si>
    <t>Medari</t>
  </si>
  <si>
    <t>Mondeele</t>
  </si>
  <si>
    <t>Muslim</t>
  </si>
  <si>
    <t>Mutraasi</t>
  </si>
  <si>
    <t>Nagavamsi</t>
  </si>
  <si>
    <t>Nayi Brahmin</t>
  </si>
  <si>
    <t>P Velama</t>
  </si>
  <si>
    <t>Padmashali</t>
  </si>
  <si>
    <t>Patnaik</t>
  </si>
  <si>
    <t>Patrulu</t>
  </si>
  <si>
    <t>Pattusali</t>
  </si>
  <si>
    <t>Rajaka</t>
  </si>
  <si>
    <t>Relli</t>
  </si>
  <si>
    <t>Salivahana</t>
  </si>
  <si>
    <t>Senapathulu</t>
  </si>
  <si>
    <t>Settibalija</t>
  </si>
  <si>
    <t>Shaist/Maravadis</t>
  </si>
  <si>
    <t>Sri Vyshanavulu</t>
  </si>
  <si>
    <t>Suryabalija</t>
  </si>
  <si>
    <t>Tenukula</t>
  </si>
  <si>
    <t>Uppara</t>
  </si>
  <si>
    <t>Vaddilu</t>
  </si>
  <si>
    <t>Valmiki</t>
  </si>
  <si>
    <t>Velama Dora</t>
  </si>
  <si>
    <t>Velama Kapu</t>
  </si>
  <si>
    <t>Vishnava</t>
  </si>
  <si>
    <t>Viswa Brahmin</t>
  </si>
  <si>
    <t>Yanadula</t>
  </si>
  <si>
    <t>Yerukula</t>
  </si>
  <si>
    <t>Telukula</t>
  </si>
  <si>
    <t>Ontadi</t>
  </si>
  <si>
    <t>Bogalu</t>
  </si>
  <si>
    <t>Jangalu</t>
  </si>
  <si>
    <t>Karikala Baktulu</t>
  </si>
  <si>
    <t>Pandari Brahmin</t>
  </si>
  <si>
    <t>Sabari</t>
  </si>
  <si>
    <t>Palli</t>
  </si>
  <si>
    <t>Sistakaranam</t>
  </si>
  <si>
    <t>Pamula</t>
  </si>
  <si>
    <t>Jaggampeta-Jaggampeta-Vengayamma Puram</t>
  </si>
  <si>
    <t>Jaggampeta-Kirlampudi-Bhupalapantam</t>
  </si>
  <si>
    <t>Jaggampeta-Kirlampudi-Burugupudi</t>
  </si>
  <si>
    <t>Jaggampeta-Kirlampudi-Geddanapalle</t>
  </si>
  <si>
    <t>Jaggampeta-Kirlampudi-Goneda</t>
  </si>
  <si>
    <t>Jaggampeta-Kirlampudi-Jagapathinagaram</t>
  </si>
  <si>
    <t>Pithapuram-Kothapalle-Subbampeta-Subbampeta</t>
  </si>
  <si>
    <t>Jaggampeta-Kirlampudi-Krishnavaram</t>
  </si>
  <si>
    <t>Jaggampeta-Kirlampudi-Mukkollu</t>
  </si>
  <si>
    <t>Jaggampeta-Kirlampudi-Palem</t>
  </si>
  <si>
    <t>Jaggampeta-Kirlampudi-Rajupalem</t>
  </si>
  <si>
    <t>Jaggampeta-Kirlampudi-Ramachandra Puram</t>
  </si>
  <si>
    <t>Jaggampeta-Kirlampudi-Ramakrishnapuram</t>
  </si>
  <si>
    <t>Jaggampeta-Kirlampudi-S.Thimmapuram</t>
  </si>
  <si>
    <t>Jaggampeta-Kirlampudi-Simhadri Puram</t>
  </si>
  <si>
    <t>Jaggampeta-Kirlampudi-Somanarayani Peta</t>
  </si>
  <si>
    <t>Jaggampeta-Kirlampudi-Somavaram</t>
  </si>
  <si>
    <t>Jaggampeta-Kirlampudi-Sungarayunipalem</t>
  </si>
  <si>
    <t>Jaggampeta-Kirlampudi-Thamarada</t>
  </si>
  <si>
    <t>Jaggampeta-Kirlampudi-Veeravaram</t>
  </si>
  <si>
    <t>Jaggampeta-Kirlampudi-Velanka</t>
  </si>
  <si>
    <t>Kakinada City-Kakinada Town-Kakinada Town</t>
  </si>
  <si>
    <t>Kakinada Rural-Kakinada (Rural)-Chidiga</t>
  </si>
  <si>
    <t>Kakinada Rural-Kakinada (Rural)-Indra Palem</t>
  </si>
  <si>
    <t>Kakinada Rural-Kakinada (Rural)-Kovvada</t>
  </si>
  <si>
    <t>Kakinada Rural-Kakinada (Rural)-Kovvuru</t>
  </si>
  <si>
    <t>Kakinada Rural-Kakinada (Rural)-Nemam</t>
  </si>
  <si>
    <t>Kakinada Rural-Kakinada (Rural)-P.Venkatapuram</t>
  </si>
  <si>
    <t>Kakinada Rural-Kakinada (Rural)-Panduru</t>
  </si>
  <si>
    <t>Kakinada Rural-Kakinada (Rural)-Penumarthi</t>
  </si>
  <si>
    <t>Kakinada Rural-Kakinada (Rural)-Ramanayyapeta</t>
  </si>
  <si>
    <t>Kakinada Rural-Kakinada (Rural)-Repuru</t>
  </si>
  <si>
    <t>Kakinada Rural-Kakinada (Rural)-S. Atchuthapuram</t>
  </si>
  <si>
    <t>Kakinada Rural-Kakinada (Rural)-Sarpavaram</t>
  </si>
  <si>
    <t>Kakinada Rural-Kakinada (Rural)-Suryarao Peta</t>
  </si>
  <si>
    <t>Kakinada Rural-Kakinada (Rural)-Thammavaram</t>
  </si>
  <si>
    <t>Kakinada Rural-Kakinada (Rural)-Thimmapuram</t>
  </si>
  <si>
    <t>Kakinada Rural-Kakinada (Rural)-Toorangi</t>
  </si>
  <si>
    <t>Kakinada Rural-Kakinada (Rural)-Vakalapudi</t>
  </si>
  <si>
    <t>Kakinada Rural-Kakinada (Rural)-Valasapakalu</t>
  </si>
  <si>
    <t>Kakinada Rural-Kakinada Town-Kakinada Town</t>
  </si>
  <si>
    <t>Kakinada Rural-Karapa-Aratlakatta</t>
  </si>
  <si>
    <t>Kakinada Rural-Karapa-G. Bhavaram</t>
  </si>
  <si>
    <t>Kakinada Rural-Karapa-Gorripudi</t>
  </si>
  <si>
    <t>Kakinada Rural-Karapa-Gurajanapalle</t>
  </si>
  <si>
    <t>Kakinada Rural-Karapa-Karapa</t>
  </si>
  <si>
    <t>Kakinada Rural-Karapa-Kongodu</t>
  </si>
  <si>
    <t>Kakinada Rural-Karapa-Koripalle</t>
  </si>
  <si>
    <t>Kakinada Rural-Karapa-Kurada</t>
  </si>
  <si>
    <t>Kakinada Rural-Karapa-Nadakuduru</t>
  </si>
  <si>
    <t>Kakinada Rural-Karapa-Patharlagadda</t>
  </si>
  <si>
    <t>Kakinada Rural-Karapa-Peda Kothuru</t>
  </si>
  <si>
    <t>Kakinada Rural-Karapa-Peddapurappadu</t>
  </si>
  <si>
    <t>Kakinada Rural-Karapa-Penuguduru</t>
  </si>
  <si>
    <t>Kakinada Rural-Karapa-Siripuram</t>
  </si>
  <si>
    <t>Kakinada Rural-Karapa-Uppalanka</t>
  </si>
  <si>
    <t>Kakinada Rural-Karapa-Vakada</t>
  </si>
  <si>
    <t>Kakinada Rural-Karapa-Valasapakulu</t>
  </si>
  <si>
    <t>Kakinada Rural-Karapa-Velangi</t>
  </si>
  <si>
    <t>Kakinada Rural-Karapa-Vemulavada</t>
  </si>
  <si>
    <t>Kakinada Rural-Karapa-Vijayarayudu Palem</t>
  </si>
  <si>
    <t>Kakinada Rural-Karapa-Yandamuru</t>
  </si>
  <si>
    <t>Kakinada Rural-Karapa-Z. Bhavaram</t>
  </si>
  <si>
    <t>Peddapuram-Peddapuram Town-Peddapuram Town</t>
  </si>
  <si>
    <t>Peddapuram-Peddapuram-Anuru</t>
  </si>
  <si>
    <t>Peddapuram-Peddapuram-Chadalada</t>
  </si>
  <si>
    <t>Peddapuram-Peddapuram-Chandramampalle</t>
  </si>
  <si>
    <t>Peddapuram-Peddapuram-Chinabrahmadevam</t>
  </si>
  <si>
    <t>Peddapuram-Peddapuram-Divlli</t>
  </si>
  <si>
    <t>Peddapuram-Peddapuram-G. Ragampeta</t>
  </si>
  <si>
    <t>Peddapuram-Peddapuram-Gorinta</t>
  </si>
  <si>
    <t>Peddapuram-Peddapuram-Gudivada</t>
  </si>
  <si>
    <t>Peddapuram-Peddapuram-J. Thimmapuram</t>
  </si>
  <si>
    <t>Peddapuram-Peddapuram-Kandrakota</t>
  </si>
  <si>
    <t>Peddapuram-Peddapuram-Kattamuru</t>
  </si>
  <si>
    <t>Peddapuram-Peddapuram-Kondapalle</t>
  </si>
  <si>
    <t>Peddapuram-Peddapuram-Marlava</t>
  </si>
  <si>
    <t>Peddapuram-Peddapuram-Pulimeru</t>
  </si>
  <si>
    <t>Peddapuram-Peddapuram-R.B. Kothuru</t>
  </si>
  <si>
    <t>Peddapuram-Peddapuram-Sirivada</t>
  </si>
  <si>
    <t>Peddapuram-Peddapuram-Tirupati</t>
  </si>
  <si>
    <t>Peddapuram-Peddapuram-Turupu Pakalu</t>
  </si>
  <si>
    <t>Peddapuram-Peddapuram-Ulimeswaram</t>
  </si>
  <si>
    <t>Peddapuram-Peddapuram-Vadlamuru</t>
  </si>
  <si>
    <t>Peddapuram-Peddapuram-Valuthimmapuram</t>
  </si>
  <si>
    <t>Peddapuram-Samalkota Town-Samalkota Town</t>
  </si>
  <si>
    <t>Peddapuram-Samalkota-Atcham  Peta</t>
  </si>
  <si>
    <t>Peddapuram-Samalkota-Boyanapudi</t>
  </si>
  <si>
    <t>Peddapuram-Samalkota-Chandram Palem</t>
  </si>
  <si>
    <t>Peddapuram-Samalkota-G. Kothuru</t>
  </si>
  <si>
    <t>Peddapuram-Samalkota-G. Medapadu</t>
  </si>
  <si>
    <t>Peddapuram-Samalkota-Gonchala</t>
  </si>
  <si>
    <t>Peddapuram-Samalkota-Hussianpuram</t>
  </si>
  <si>
    <t>Peddapuram-Samalkota-Kapavaram</t>
  </si>
  <si>
    <t>Peddapuram-Samalkota-Madhavapatnam</t>
  </si>
  <si>
    <t>Peddapuram-Samalkota-Navara</t>
  </si>
  <si>
    <t>Peddapuram-Samalkota-P. Vemavaram</t>
  </si>
  <si>
    <t>Peddapuram-Samalkota-Panasapadu</t>
  </si>
  <si>
    <t>Peddapuram-Samalkota-Pandravada</t>
  </si>
  <si>
    <t>Peddapuram-Samalkota-Pavara</t>
  </si>
  <si>
    <t>Peddapuram-Samalkota-Pedabrahmadevam</t>
  </si>
  <si>
    <t>Peddapuram-Samalkota-Unduru</t>
  </si>
  <si>
    <t>Peddapuram-Samalkota-Venkatakrishnarayapuram</t>
  </si>
  <si>
    <t>Peddapuram-Samalkota-Vetlapalem</t>
  </si>
  <si>
    <t>Pithapuram-Gollaprolu-A.K.Mallavaram</t>
  </si>
  <si>
    <t>Pithapuram-Gollaprolu-A.P.Mallavaram</t>
  </si>
  <si>
    <t>Pithapuram-Gollaprolu-A.Vijayanagaram</t>
  </si>
  <si>
    <t>Pithapuram-Gollaprolu-Chebrolu</t>
  </si>
  <si>
    <t>Pithapuram-Gollaprolu-Chendurthi</t>
  </si>
  <si>
    <t>Pithapuram-Gollaprolu-China Jaggampeta</t>
  </si>
  <si>
    <t>Pithapuram-Gollaprolu-Durgada</t>
  </si>
  <si>
    <t>Pithapuram-Gollaprolu-Kodavali</t>
  </si>
  <si>
    <t>Pithapuram-Gollaprolu-Tatiparthi</t>
  </si>
  <si>
    <t>Pithapuram-Gollaprolu-Vannepudi</t>
  </si>
  <si>
    <t>Pithapuram-Gollaproplu Town-Gollaproplu Town</t>
  </si>
  <si>
    <t>Pithapuram-Kothapalle-Amaravilli</t>
  </si>
  <si>
    <t>Pithapuram-Kothapalle-Aminabada</t>
  </si>
  <si>
    <t>Pithapuram-Kothapalle-Gorsa</t>
  </si>
  <si>
    <t>Pithapuram-Kothapalle-Isukapalle</t>
  </si>
  <si>
    <t>Pithapuram-Kothapalle-Komaragiri</t>
  </si>
  <si>
    <t>Pithapuram-Kothapalle-Kondevaram</t>
  </si>
  <si>
    <t>Pithapuram-Kothapalle-Kothapalle</t>
  </si>
  <si>
    <t>Pithapuram-Kothapalle-Kutukudumilli</t>
  </si>
  <si>
    <t>Pithapuram-Kothapalle-Mulapeta</t>
  </si>
  <si>
    <t>Pithapuram-Kothapalle-Nagulapalle</t>
  </si>
  <si>
    <t>Pithapuram-Kothapalle-Ponnada</t>
  </si>
  <si>
    <t>Pithapuram-Kothapalle-Ramanakkapeta</t>
  </si>
  <si>
    <t>Pithapuram-Kothapalle-Sreerampuram</t>
  </si>
  <si>
    <t>Pithapuram-Kothapalle-Uppada</t>
  </si>
  <si>
    <t>Pithapuram-Kothapalle-Vakatippa</t>
  </si>
  <si>
    <t>Pithapuram-Kothapalle-Yendapalle</t>
  </si>
  <si>
    <t>Pithapuram-Pithapuram Town-Pithapuram Town</t>
  </si>
  <si>
    <t>Pithapuram-Pithapuram-B Prathipadu</t>
  </si>
  <si>
    <t>Pithapuram-Pithapuram-B. Kothuru</t>
  </si>
  <si>
    <t>Pithapuram-Pithapuram-Bhogapuram</t>
  </si>
  <si>
    <t>Pithapuram-Pithapuram-Chitrada</t>
  </si>
  <si>
    <t>Pithapuram-Pithapuram-Fakruddinpalem</t>
  </si>
  <si>
    <t>Pithapuram-Pithapuram-Gokivada</t>
  </si>
  <si>
    <t>Pithapuram-Pithapuram-Jalluru</t>
  </si>
  <si>
    <t>Pithapuram-Pithapuram-Jamulapalli</t>
  </si>
  <si>
    <t>Pithapuram-Pithapuram-Kandarada</t>
  </si>
  <si>
    <t>Pithapuram-Pithapuram-Kolanka</t>
  </si>
  <si>
    <t>Pithapuram-Pithapuram-Kumarapuram</t>
  </si>
  <si>
    <t>Pithapuram-Pithapuram-L N Puram</t>
  </si>
  <si>
    <t>Pithapuram-Pithapuram-Madhavapuram</t>
  </si>
  <si>
    <t>Pithapuram-Pithapuram-Mallam</t>
  </si>
  <si>
    <t>Pithapuram-Pithapuram-Mangiturthi</t>
  </si>
  <si>
    <t>Pithapuram-Pithapuram-Narasingapuram</t>
  </si>
  <si>
    <t>Pithapuram-Pithapuram-Navakandravada</t>
  </si>
  <si>
    <t>Pithapuram-Pithapuram-P Donthamuru</t>
  </si>
  <si>
    <t>Pithapuram-Pithapuram-P Rayavaram</t>
  </si>
  <si>
    <t>Pithapuram-Pithapuram-P Thimmapuram</t>
  </si>
  <si>
    <t>Pithapuram-Pithapuram-Raparthi</t>
  </si>
  <si>
    <t>Pithapuram-Pithapuram-Veldurthi</t>
  </si>
  <si>
    <t>Pithapuram-Pithapuram-Virava</t>
  </si>
  <si>
    <t>Pithapuram-Pithapuram-Virawada</t>
  </si>
  <si>
    <t>Prathipad-Prathipadu-Bavuruvaka</t>
  </si>
  <si>
    <t>Prathipad-Prathipadu-Buradakota</t>
  </si>
  <si>
    <t>Prathipad-Prathipadu-Chinasankarlapudi</t>
  </si>
  <si>
    <t>Prathipad-Prathipadu-Chintaluru</t>
  </si>
  <si>
    <t>Prathipad-Prathipadu-Dharmavaram</t>
  </si>
  <si>
    <t>Prathipad-Prathipadu-Gajjanapudi</t>
  </si>
  <si>
    <t>Prathipad-Prathipadu-Gokavaram</t>
  </si>
  <si>
    <t>Prathipad-Prathipadu-Lampakalova</t>
  </si>
  <si>
    <t>Prathipad-Prathipadu-Peda Sankarlapudi</t>
  </si>
  <si>
    <t>Prathipad-Prathipadu-Peddipalem</t>
  </si>
  <si>
    <t>Prathipad-Prathipadu-Pothuluru</t>
  </si>
  <si>
    <t>Prathipad-Prathipadu-Prathipadu</t>
  </si>
  <si>
    <t>Prathipad-Prathipadu-Rachapalle</t>
  </si>
  <si>
    <t>Prathipad-Prathipadu-Sarabhavaram</t>
  </si>
  <si>
    <t>Prathipad-Prathipadu-U.Jagannadhapuram</t>
  </si>
  <si>
    <t>Prathipad-Prathipadu-Uttarakanchi</t>
  </si>
  <si>
    <t>Prathipad-Prathipadu-Vakapalle</t>
  </si>
  <si>
    <t>Prathipad-Prathipadu-Venkatanagaram</t>
  </si>
  <si>
    <t>Prathipad-Prathipadu-Vommangi</t>
  </si>
  <si>
    <t>Prathipad-Prathipadu-Yeluru</t>
  </si>
  <si>
    <t>Prathipad-Rowthulapudi-A.Mallavaram</t>
  </si>
  <si>
    <t>Prathipad-Rowthulapudi-Balarmpuram</t>
  </si>
  <si>
    <t>Prathipad-Rowthulapudi-Bangarayyapeta</t>
  </si>
  <si>
    <t>Prathipad-Rowthulapudi-Diguva Sivada</t>
  </si>
  <si>
    <t>Prathipad-Rowthulapudi-Gangavaram</t>
  </si>
  <si>
    <t>Prathipad-Rowthulapudi-Gidajam</t>
  </si>
  <si>
    <t>Prathipad-Rowthulapudi-Gummaregula</t>
  </si>
  <si>
    <t>Prathipad-Rowthulapudi-Jaldam</t>
  </si>
  <si>
    <t>Prathipad-Rowthulapudi-Kothuru</t>
  </si>
  <si>
    <t>Prathipad-Rowthulapudi-L.R.Palem</t>
  </si>
  <si>
    <t>Prathipad-Rowthulapudi-Mulagapudi</t>
  </si>
  <si>
    <t>Prathipad-Rowthulapudi-N.N.Patnam</t>
  </si>
  <si>
    <t>Prathipad-Rowthulapudi-Pallapu Chamavaram</t>
  </si>
  <si>
    <t>Prathipad-Rowthulapudi-Parupaka</t>
  </si>
  <si>
    <t>Prathipad-Rowthulapudi-Raghavapatnam</t>
  </si>
  <si>
    <t>Prathipad-Rowthulapudi-Rajavaram</t>
  </si>
  <si>
    <t>Prathipad-Rowthulapudi-Rowthulapudi</t>
  </si>
  <si>
    <t>Prathipad-Rowthulapudi-S.Pydipala</t>
  </si>
  <si>
    <t>Prathipad-Rowthulapudi-Srungadhara Agraharam</t>
  </si>
  <si>
    <t>Prathipad-Rowthulapudi-Srungavaram</t>
  </si>
  <si>
    <t>Prathipad-Sankhavaram-Annavaram</t>
  </si>
  <si>
    <t>Prathipad-Sankhavaram-G. Kothapalli</t>
  </si>
  <si>
    <t>Prathipad-Sankhavaram-Gowrampeta</t>
  </si>
  <si>
    <t>Prathipad-Sankhavaram-Jaggampeta</t>
  </si>
  <si>
    <t>Prathipad-Sankhavaram-Kathipudi</t>
  </si>
  <si>
    <t>Prathipad-Sankhavaram-Konthangi</t>
  </si>
  <si>
    <t>Prathipad-Sankhavaram-Mandapam</t>
  </si>
  <si>
    <t>Prathipad-Sankhavaram-Nellipudi</t>
  </si>
  <si>
    <t>Prathipad-Sankhavaram-Peda.Mallapuram</t>
  </si>
  <si>
    <t>Prathipad-Sankhavaram-Sankhavaram</t>
  </si>
  <si>
    <t>Prathipad-Sankhavaram-Vazrakutam</t>
  </si>
  <si>
    <t>Prathipad-Sankhavaram-Velangi</t>
  </si>
  <si>
    <t>Prathipad-Yeleshwaram Town-Yeleshwaram Town</t>
  </si>
  <si>
    <t>Prathipad-Yeleshwaram-Bhadravaram</t>
  </si>
  <si>
    <t>Prathipad-Yeleshwaram-C. Rayavaram</t>
  </si>
  <si>
    <t>Prathipad-Yeleshwaram-East Lakshmipuram</t>
  </si>
  <si>
    <t>Prathipad-Yeleshwaram-Jeddangi Annavaram</t>
  </si>
  <si>
    <t>Prathipad-Yeleshwaram-Lingamparthi</t>
  </si>
  <si>
    <t>Prathipad-Yeleshwaram-Marriveedu</t>
  </si>
  <si>
    <t>Prathipad-Yeleshwaram-Peddanapalle</t>
  </si>
  <si>
    <t>Prathipad-Yeleshwaram-Peravaram</t>
  </si>
  <si>
    <t>Prathipad-Yeleshwaram-Ramanayya Peta</t>
  </si>
  <si>
    <t>Prathipad-Yeleshwaram-Siripuram</t>
  </si>
  <si>
    <t>Prathipad-Yeleshwaram-Thirumali</t>
  </si>
  <si>
    <t>Prathipad-Yeleshwaram-Yerravaram</t>
  </si>
  <si>
    <t>Tuni-Kotananduru-Allipudi</t>
  </si>
  <si>
    <t>Tuni-Kotananduru-B.H.Kota</t>
  </si>
  <si>
    <t>Tuni-Kotananduru-Billananduru</t>
  </si>
  <si>
    <t>Tuni-Kotananduru-Boddavaram</t>
  </si>
  <si>
    <t>Tuni-Kotananduru-Indugapalle</t>
  </si>
  <si>
    <t>Tuni-Kotananduru-Jagannadhapuram</t>
  </si>
  <si>
    <t>Tuni-Kotananduru-K.A.Mallavaram</t>
  </si>
  <si>
    <t>Tuni-Kotananduru-K.E.Chinnayyapalem</t>
  </si>
  <si>
    <t>Tuni-Kotananduru-K.Kottam</t>
  </si>
  <si>
    <t>Tuni-Kotananduru-K.O.Agraharam</t>
  </si>
  <si>
    <t>Tuni-Kotananduru-Kakarapalle</t>
  </si>
  <si>
    <t>Tuni-Kotananduru-Kotananduru</t>
  </si>
  <si>
    <t>Tuni-Kotananduru-L.D.Peta</t>
  </si>
  <si>
    <t>Tuni-Kotananduru-P.Kottam</t>
  </si>
  <si>
    <t>Tuni-Kotananduru-Surapurajupeta</t>
  </si>
  <si>
    <t>Tuni-Kotananduru-T.J.Nagaram</t>
  </si>
  <si>
    <t>Tuni-Thondangi-A.Kothapalle</t>
  </si>
  <si>
    <t>Tuni-Thondangi-A.V.Nagaram</t>
  </si>
  <si>
    <t>Tuni-Thondangi-Bendapudi</t>
  </si>
  <si>
    <t>Tuni-Thondangi-Danavaipeta</t>
  </si>
  <si>
    <t>Tuni-Thondangi-Gollamusalayyapeta</t>
  </si>
  <si>
    <t>Tuni-Thondangi-Gopalapatnam</t>
  </si>
  <si>
    <t>Tuni-Thondangi-Kodada</t>
  </si>
  <si>
    <t>Tuni-Thondangi-Kommanapalle</t>
  </si>
  <si>
    <t>Tuni-Thondangi-Kothaperumalapuram</t>
  </si>
  <si>
    <t>Tuni-Thondangi-Krishanpuram</t>
  </si>
  <si>
    <t>Tuni-Thondangi-P.Agraharam</t>
  </si>
  <si>
    <t>Tuni-Thondangi-P.E.Chinnayapalem</t>
  </si>
  <si>
    <t>Tuni-Thondangi-Pydikonda</t>
  </si>
  <si>
    <t>Tuni-Thondangi-Ravikampadu</t>
  </si>
  <si>
    <t>Tuni-Thondangi-Seetharampuram</t>
  </si>
  <si>
    <t>Tuni-Thondangi-Srungavruksham</t>
  </si>
  <si>
    <t>Tuni-Thondangi-Thondangi</t>
  </si>
  <si>
    <t>Tuni-Thondangi-Vemavaram</t>
  </si>
  <si>
    <t>Tuni-Thondangi-Yerrayyapeta</t>
  </si>
  <si>
    <t>Tuni-Tuni Town-Tuni Town</t>
  </si>
  <si>
    <t>Tuni-Tuni-Atikivanipalem</t>
  </si>
  <si>
    <t>Tuni-Tuni-Chamavaram</t>
  </si>
  <si>
    <t>Tuni-Tuni-Chepuru</t>
  </si>
  <si>
    <t>Tuni-Tuni-D.Polavaram</t>
  </si>
  <si>
    <t>Tuni-Tuni-Dondavaka</t>
  </si>
  <si>
    <t>Tuni-Tuni-Hamsavaram</t>
  </si>
  <si>
    <t>Tuni-Tuni-K.O.Mallavaram</t>
  </si>
  <si>
    <t>Tuni-Tuni-Kolimeru</t>
  </si>
  <si>
    <t>Tuni-Tuni-Kummarilova</t>
  </si>
  <si>
    <t>Tuni-Tuni-N S Venkatanagaram</t>
  </si>
  <si>
    <t>Tuni-Tuni-N.Suravaram</t>
  </si>
  <si>
    <t>Tuni-Tuni-Rapaka</t>
  </si>
  <si>
    <t>Tuni-Tuni-Rekhavanipalem</t>
  </si>
  <si>
    <t>Tuni-Tuni-S.Annavaram</t>
  </si>
  <si>
    <t>Tuni-Tuni-Talluru</t>
  </si>
  <si>
    <t>Tuni-Tuni-Tetagunta</t>
  </si>
  <si>
    <t>Tuni-Tuni-Timmapuram</t>
  </si>
  <si>
    <t>Tuni-Tuni-V Kothuru</t>
  </si>
  <si>
    <t>Tuni-Tuni-Valluru</t>
  </si>
  <si>
    <t>Jaggampeta-Gandepalle-Borrampalem</t>
  </si>
  <si>
    <t>Jaggampeta-Gandepalle-Gandepalle</t>
  </si>
  <si>
    <t>Jaggampeta-Gandepalle-K. Nayakampalle</t>
  </si>
  <si>
    <t>Jaggampeta-Gandepalle-K.Gopalapuram</t>
  </si>
  <si>
    <t>Jaggampeta-Gandepalle-Mallepalli</t>
  </si>
  <si>
    <t>Jaggampeta-Gandepalle-Murari</t>
  </si>
  <si>
    <t>Jaggampeta-Gandepalle-N.T.Rajapuram</t>
  </si>
  <si>
    <t>Jaggampeta-Gandepalle-Neeladriraopeta</t>
  </si>
  <si>
    <t>Jaggampeta-Gandepalle-P. Nayakampalle</t>
  </si>
  <si>
    <t>Jaggampeta-Gandepalle-P.Surampalem</t>
  </si>
  <si>
    <t>Jaggampeta-Gandepalle-Ramayyapalem</t>
  </si>
  <si>
    <t>Jaggampeta-Gandepalle-Singarampalem</t>
  </si>
  <si>
    <t>Jaggampeta-Gandepalle-Subbayamma Peta</t>
  </si>
  <si>
    <t>Jaggampeta-Gandepalle-Talluru</t>
  </si>
  <si>
    <t>Jaggampeta-Gandepalle-Uppalapadu</t>
  </si>
  <si>
    <t>Jaggampeta-Gandepalle-Yellamilli</t>
  </si>
  <si>
    <t>Jaggampeta-Gandepalle-Yerrampalem</t>
  </si>
  <si>
    <t>Jaggampeta-Gandepalle-Z.Ragampeta</t>
  </si>
  <si>
    <t>Jaggampeta-Gokavaram-Atchutapuram</t>
  </si>
  <si>
    <t>Jaggampeta-Gokavaram-Gadelapalem</t>
  </si>
  <si>
    <t>Jaggampeta-Gokavaram-Gangam Palem</t>
  </si>
  <si>
    <t>Jaggampeta-Gokavaram-Gokavaram</t>
  </si>
  <si>
    <t>Jaggampeta-Gokavaram-Gummalladuddi</t>
  </si>
  <si>
    <t>Jaggampeta-Gokavaram-Itikayala Palle</t>
  </si>
  <si>
    <t>Jaggampeta-Gokavaram-Kamaraju Peta</t>
  </si>
  <si>
    <t>Jaggampeta-Gokavaram-Kothapalle</t>
  </si>
  <si>
    <t>Jaggampeta-Gokavaram-Krishnuni Palem</t>
  </si>
  <si>
    <t>Jaggampeta-Gokavaram-Mallavaram</t>
  </si>
  <si>
    <t>Jaggampeta-Gokavaram-Rampa Yerrampalem</t>
  </si>
  <si>
    <t>Jaggampeta-Gokavaram-Thanti Konda</t>
  </si>
  <si>
    <t>Jaggampeta-Gokavaram-Tirumalayapalem</t>
  </si>
  <si>
    <t>Jaggampeta-Gokavaram-Vedurupaka</t>
  </si>
  <si>
    <t>Jaggampeta-Jaggampeta-Gollalagunta</t>
  </si>
  <si>
    <t>Jaggampeta-Jaggampeta-Govindapuram</t>
  </si>
  <si>
    <t>Jaggampeta-Jaggampeta-Gurra Palem</t>
  </si>
  <si>
    <t>Jaggampeta-Jaggampeta-Irripaka</t>
  </si>
  <si>
    <t>Jaggampeta-Jaggampeta-J.Kothuru</t>
  </si>
  <si>
    <t>Jaggampeta-Jaggampeta-Jaggampeta</t>
  </si>
  <si>
    <t>Jaggampeta-Jaggampeta-Kandregula</t>
  </si>
  <si>
    <t>Jaggampeta-Jaggampeta-Katravulapalle</t>
  </si>
  <si>
    <t>Jaggampeta-Jaggampeta-Mallisala</t>
  </si>
  <si>
    <t>Jaggampeta-Jaggampeta-Mamidada</t>
  </si>
  <si>
    <t>Jaggampeta-Jaggampeta-Manyanvari Palem</t>
  </si>
  <si>
    <t>Jaggampeta-Jaggampeta-Marripaka</t>
  </si>
  <si>
    <t>Jaggampeta-Jaggampeta-Narendrapatnam</t>
  </si>
  <si>
    <t>Jaggampeta-Jaggampeta-Rajapudi</t>
  </si>
  <si>
    <t>Jaggampeta-Jaggampeta-Ramavaram</t>
  </si>
  <si>
    <t xml:space="preserve">Assembly </t>
  </si>
  <si>
    <t>Mandal Name</t>
  </si>
  <si>
    <t>GP Name</t>
  </si>
  <si>
    <t>Village Hamlet</t>
  </si>
  <si>
    <t xml:space="preserve">Current Categorisation
</t>
  </si>
  <si>
    <t>Field Categorisation</t>
  </si>
  <si>
    <t>Seat Call</t>
  </si>
  <si>
    <t xml:space="preserve">Top Cohorts in the Village </t>
  </si>
  <si>
    <t>Reasons for Win/ Loss in 2019 Elections</t>
  </si>
  <si>
    <t>Elaboration of the Reason</t>
  </si>
  <si>
    <t>Current Party Positioning</t>
  </si>
  <si>
    <t>Reasoning for Party Positioning</t>
  </si>
  <si>
    <t xml:space="preserve"> TDP Assesment</t>
  </si>
  <si>
    <t>Reasoning</t>
  </si>
  <si>
    <t>YSRCP Assesment</t>
  </si>
  <si>
    <t>JSP Assesment</t>
  </si>
  <si>
    <t>Perception on the Government</t>
  </si>
  <si>
    <t>Remarks</t>
  </si>
  <si>
    <t>Field Remarks</t>
  </si>
  <si>
    <t xml:space="preserve">Status </t>
  </si>
  <si>
    <t>Created by</t>
  </si>
  <si>
    <t>1. Farmers
2. Fisherman</t>
  </si>
  <si>
    <t>Caste Composition</t>
  </si>
  <si>
    <t xml:space="preserve">1.SVSN Varma has followed a divide and rule policy in two different castes(kapu and mala) which led to a change of decision in the vote bank.
</t>
  </si>
  <si>
    <t>TDP&gt;YCP&gt;JSP</t>
  </si>
  <si>
    <t>1.  Due to the leader's reputation in the castes of Mala and Settibalija, TDP had a sizable vote base from the beginning.
2. If TDP and JSP are having an alliance then there is a great chance of a huge vote bank.</t>
  </si>
  <si>
    <t>Strong Cadre and Strong Leadership</t>
  </si>
  <si>
    <t xml:space="preserve">Positive </t>
  </si>
  <si>
    <t xml:space="preserve">Positive Image Welfare Schemes </t>
  </si>
  <si>
    <t xml:space="preserve">Review </t>
  </si>
  <si>
    <t>1. Farmers</t>
  </si>
  <si>
    <t xml:space="preserve">1.This is a Kapu-dominated village and JSP was able to secure more of the Kapu vote bank which split the YCP vote Bank.
2.YCP won over JSP with a very small majority of 11 votes.
3.TDP was able to consolidate the vote bank from Maximum BC Communities 
( Senapathulu, Settibalija, and Rajaka)
</t>
  </si>
  <si>
    <t>YCP&gt;TDP&gt;JSP</t>
  </si>
  <si>
    <t xml:space="preserve">1. The JSP &amp; TDP alliance will be the crucial factor in securing the Kapu vote bank along with BC communities.
2)TDP has a strong hold in BC Communities (Yadava).
3) YCP has the majority of the vote bank from SC Community Mala </t>
  </si>
  <si>
    <t xml:space="preserve">Weak </t>
  </si>
  <si>
    <t>Weak Leadership &amp; Weak Cadre</t>
  </si>
  <si>
    <t>Negative</t>
  </si>
  <si>
    <t>No Development</t>
  </si>
  <si>
    <t>Complete</t>
  </si>
  <si>
    <t>1. Paddy Farmers
2. Daily wage Labourers
3. Cashew farmers
4. Mango Farmers
5. Cotton and Vegetable Farmers</t>
  </si>
  <si>
    <t>1.YCP has the majority of the vote bank from Mala and Kondareddy and a slight edge from the Kapu vote bank due to local Leadership.
2.TDP has consolidated the majority vote bank from the Kapu and BC communities (Yadava).</t>
  </si>
  <si>
    <t>The corruption of the YSRCP, the lack of public housing, and the poor condition of the roads under YSRCP government are all being vigorously fought against by the TDP.</t>
  </si>
  <si>
    <t>Prashanth</t>
  </si>
  <si>
    <t>Dead Heat</t>
  </si>
  <si>
    <t xml:space="preserve">1. This is a Kapu-dominated village and JSP was able to split the YCP Vote bank.
2. YSRCP was banking on the SC vote bank (Mala, Madiga) which constitutes 600 votes in the village. 
</t>
  </si>
  <si>
    <t>1)The JSP &amp; TDP alliance will be the crucial factor in securing the Kapu vote bank along with BC communities.
2)TDP has a stronghold in BC Communities (Settibalija, Nayibrahmin, Rajaka).
3) YCP has the majority of the vote bank from SC Community Mala and Madiga.</t>
  </si>
  <si>
    <t>1.Farmers 
2. Labours</t>
  </si>
  <si>
    <t xml:space="preserve">JSP Split the Votes </t>
  </si>
  <si>
    <t>1. This is a Kapu-dominated village and JSP was able to split the YCP's Kapu Vote bank 
2. TDP has consolidated the majority vote bank from  BC communities (Settibalija, Kummari, Rajaka,).</t>
  </si>
  <si>
    <t>1) The JSP &amp; TDP alliance will be the crucial factor in securing the Kapu vote bank along with BC communities(Settibalija, Kummari, Rajaka,).
2) Despite having a vote bank from Mala and Madiga and a little advantage from Kapu, YCP has a slight negative impact because no developments have been made.</t>
  </si>
  <si>
    <t>1.Farmers 
2.Agriculture Labours</t>
  </si>
  <si>
    <t xml:space="preserve">1.This villlage witnesses BC (Settibalija ,Yadava) vs Kapu fight  
2.JSP was able to split the YCP Vote bank.
3.YCP was banking on the SC vote bank (Mala, Madiga) </t>
  </si>
  <si>
    <t>1) The JSP &amp; TDP alliance will be the crucial factor in securing the Kapu vote bank along with BC communities(Settibalija and Yadavas).</t>
  </si>
  <si>
    <t>Strong Cadre Weak Leadership</t>
  </si>
  <si>
    <t>Incomplete</t>
  </si>
  <si>
    <t>1)Farmers (Paddy)
2)labours</t>
  </si>
  <si>
    <t>1. This is the BC (Settibalija) dominant village and this community are split between YCP and TDP.
2. Mala and Madiaga constitute around (1000-Votes ) majorly inclined towards YCP.
3.JSP has negligible presence .</t>
  </si>
  <si>
    <t xml:space="preserve">1. TDP has a strong presence in the Settibalija community and the TDP+JSP alliance may also help to consolidate the majority of the kapu vote bank.
2. Setti Balija community and other minor BC communities are inclined towards TDP due to the local leadership of Rayadu Chinni (Sarpanch contestant).
</t>
  </si>
  <si>
    <t>Strong Leadership but Weak Vote Bank</t>
  </si>
  <si>
    <t>Bills are pending for Ambedkar statue</t>
  </si>
  <si>
    <t xml:space="preserve">1. Farmers
2. Agriculture Labour </t>
  </si>
  <si>
    <t>1. This is a Yadava-dominated village and the community is split between both YSRCP and TDP due to the local leadership. 
2. Setti Balija community and other minor BC communities are inclined towards TDP due to the local leadership of Satti Babu (Sarpanch contestant).
3. Madiga and Mala communities constitute (350- Votes) and are majorly inclined towards YSRCP.</t>
  </si>
  <si>
    <t xml:space="preserve">1. There is disgruntlement in Yadava community due to lack of development and issues between Sarpanch (Devara Manasa- Anti-MLA) and MPTC Londa Babu (Yadav) which will impact YSRCP vote bank 
2. TDP has solid BC vote bank in the village along with strong leadership </t>
  </si>
  <si>
    <t xml:space="preserve">Mixed </t>
  </si>
  <si>
    <t>1. Sarpanch is disgruntled with YSRCP government due to his pending bills issues of 12 lakhs (Works include - CC Roads, Drains, Silting works)</t>
  </si>
  <si>
    <t>GADELAPALEM</t>
  </si>
  <si>
    <t>Difficult</t>
  </si>
  <si>
    <t>TDP Trailing</t>
  </si>
  <si>
    <t>1. Agricultue</t>
  </si>
  <si>
    <t>1. Paddy farmers</t>
  </si>
  <si>
    <t>1. This is Kapu OC's dominant village which is majorly split between TDP, YCP, and JSP.
2. JSP has a good commence in the Kapu community which was able to split the votes which dented the YCP party.</t>
  </si>
  <si>
    <t>TDP&gt;JSP&gt;YCP</t>
  </si>
  <si>
    <t>1. TDP is banking on the OC Kapu community along with other minor BC communities (Settibalija, Padmashali, Yadavas).
2. YCP is banking on SC Communities Mala and Madiga</t>
  </si>
  <si>
    <t>1. Pending bills on water motors, sanitization (5 lakhs)</t>
  </si>
  <si>
    <t>1. Farmers 
2. Labour
3. Masons</t>
  </si>
  <si>
    <t xml:space="preserve">1. This is the BC and OC (Kapu and Settibalija) dominant village.
2. The Kapu community was split between YSRCP, JSP, and TDP due to local leadership.
3. TDP is banking on the Settibalija community in this village 
4. YCP is banking on traditional support of SC Communities (Mala and Madiga)
</t>
  </si>
  <si>
    <t>1. YCP is basically banking on SC Communities (Mala, Madiga), OC Kapu vote bank, along with a slight edge of BC vote bank.
2.JSP +TDP alliance may help these parties secure Kapu vote bank .</t>
  </si>
  <si>
    <t>1.farmers 
2.labor</t>
  </si>
  <si>
    <t>Leader Dominance</t>
  </si>
  <si>
    <t xml:space="preserve">1. This is BC Padmashali's dominant village which is majorly split between TDP and YCP.
2. This is the battleground village where the majority of the communities split between TDP and YCP.
3. OC and SC vote banks are majorly inclined towards the YCP Party while Madiga is inclined towards TDP.
</t>
  </si>
  <si>
    <t>1. People are disgruntled with the government as there are no developments and leaders are not completely responsive towards the people.
2. People are highly satisfied with the TDP government due to the developments made during their time and this is the major X factor for the shift in the vote bank.
3.JSP has bare minimum presence in this village .</t>
  </si>
  <si>
    <t xml:space="preserve">Negative Image on Local Leadership </t>
  </si>
  <si>
    <t>Jayasri</t>
  </si>
  <si>
    <t xml:space="preserve">1. Famers 
2. Agriculture Labour </t>
  </si>
  <si>
    <t>1.This is OC Community Kapu dominant village which is majorly split between YCP and JSP.
2. YCP is majorly banking on SC Communities (Mala and Madiga) with the slight edge of Kapu Vote Bank.
3. Kapu community is present in a decent number but JSP has minimal hold over the community in the village which split the vote bank of YCP.</t>
  </si>
  <si>
    <t>1.YCP is majorly banking on SC Communities (Mala and Madiga) with the slight edge of Kapu Vote Bank and the minimum vote of Settibalija is added beneficial.
2. If TDP and JSP are having an alliance then there is a great chance of an OC  Kapu vote bank</t>
  </si>
  <si>
    <t>Pending bills of amount 5 lakhs on Rudra Graveyard</t>
  </si>
  <si>
    <t xml:space="preserve">1. Paddy farmers </t>
  </si>
  <si>
    <t>1. The Kapu community is split among all the major parties due to the local leadership and party's image, Minor BCs voted in favour of YSRCP which provided an edge to the party. Mala and Madiga communities consolidated in favour of YSRCP 
2. TDP was able to secure majority of the Yadava community vote share due to the local leadership,
3. JSP split the maximum amount of Kapu vote bank which dented prospects of YSRCP in the village.</t>
  </si>
  <si>
    <t xml:space="preserve">1. TDP has stronghold in the Yadava community and JSP alliance will help to secure the majority of the Kapu vote bank 
2. YSRCP is banking on section of the Kapu votes along with SC communities 
3. Swing communities (Minor BCs) will play major role in deciding the outcome in the village </t>
  </si>
  <si>
    <t>1. Sarpanch has pending bills of 14 lakhs (CC Roads, Drains, gravel roads)</t>
  </si>
  <si>
    <t xml:space="preserve">1. Migration Labour working in Cashew Farms </t>
  </si>
  <si>
    <t>Anti-Incumbency on TDP</t>
  </si>
  <si>
    <t xml:space="preserve">1. The major BC communities (Uppara &amp; Yadava) spliit between YSRCP and TDP due to the local leadership and previous election promises of YSRCP 
2. JSP had minimal impact still holds vote bank in SC communities </t>
  </si>
  <si>
    <t>1. High Concentration of BC communities provides an edge to TDP 
2. YSRCP still holds command in BC communities due to local leadership 
3. JSP has minimal impact</t>
  </si>
  <si>
    <t>1. Pending Bills for Sarpanch (6 Lakhs for Sachivalayam Construction)</t>
  </si>
  <si>
    <t>Sankarlapudi</t>
  </si>
  <si>
    <t>Famers</t>
  </si>
  <si>
    <t>welfare schemes</t>
  </si>
  <si>
    <t>Due to welfare schemes last time elections were won by YCP</t>
  </si>
  <si>
    <t xml:space="preserve">majority votes towards tdp </t>
  </si>
  <si>
    <t xml:space="preserve">1. Farmers (Paddy, Cotton,Mirchi)
</t>
  </si>
  <si>
    <t xml:space="preserve">1. This is the OC and BC (Kapu, Padmashali, and Yadavs) dominant village.
2. The OC Community Kapu caste is basically split between YCP and JSP due to local leadership.
</t>
  </si>
  <si>
    <t>1. YCP is banking on the majority of OC caste Kapu,SC caste Mala, and Madiga along with the slight edge of BC caste (Padmashali).
2. TDP is generally banking on BC community (Yadvas -1200) votes.</t>
  </si>
  <si>
    <t>1. Pending bills on road nearly 35 lakhs.
2. Nearly 50 lakhs is pending on Sachyavalayam bills.
3.10 lakhs is pending on each Graveyard road and CC Road.</t>
  </si>
  <si>
    <t>1. Farmers
2. Agricultural Labourers</t>
  </si>
  <si>
    <t xml:space="preserve">1. SC vote bank was completely in favour of YCP
2. Kapu vote bank got split between YCP and DP, this dented the TDP polling
3. It was also a case of YS Rajasekhar Reddy sympathy and Jagan Wave </t>
  </si>
  <si>
    <t>JSP&gt;TDP&gt;YCP</t>
  </si>
  <si>
    <t>1. This is a Kapu community-dominant village
2. JSP Incharge Pengala Uday Bhaskar Srinivas is a proactive leader who responds to healthcare and other needs of villagers
3. YCP MLA P Dora Babu has not been actively involved with people after the elections
4. TDP SVSN Varma is also not very active when it comes to public involvement</t>
  </si>
  <si>
    <t>weak leadership and strong cadre</t>
  </si>
  <si>
    <t>1. Korralu Machine labour</t>
  </si>
  <si>
    <t xml:space="preserve">1. This is the BC and OC dominant Village(Kapu and Uppara ).
2. BC community Uppara is split between YCP and TDP. 
3.YSRCP has an edge over SC communities due to the Pro-SC image 
</t>
  </si>
  <si>
    <t xml:space="preserve">1. YCP is majorly banking on SC communities (Mala and Madiga ) and also with the majority of upper caste due to local leadership.
2. YCP also has an advantage of getting maximum votes from the Kapu community due to local leadership Epuri Ramarao maintaining good relations. </t>
  </si>
  <si>
    <t>20 lakh bill is pending on construction on roads ,drainage system,and bathrooms</t>
  </si>
  <si>
    <t>THANTIKONDA</t>
  </si>
  <si>
    <t xml:space="preserve">1. Paddy Farmers
2. Vegetable Cultivators </t>
  </si>
  <si>
    <t xml:space="preserve">1. This is village witness fight between Koppula Velama (TDP) and Kapu (YSRCP) due to the local dynamics 
2. YSRCP has edge over SC communities due to the Pro-SC image 
3. JSP was not in a position dent the Kapu vote bank due to a lack of local leadership </t>
  </si>
  <si>
    <t xml:space="preserve">1. TDP has complete command over K Velama community and section of Kapu supports the party due to TDP-JSP alliance which provides an edge to the party 
2. YSRCP is banking on Kapu + SC vote bank but there will be split in Kapu community which will impact YSRCP prospects </t>
  </si>
  <si>
    <t xml:space="preserve">One More Chance to Jagan </t>
  </si>
  <si>
    <t>Sarpanch has pending bills of 3 lakhs for infra works and disgruntled with YSRCP government</t>
  </si>
  <si>
    <t xml:space="preserve">1. Paddy Farmers </t>
  </si>
  <si>
    <t xml:space="preserve">1. Mala &amp;  Madiga community is inclined towards YSRCP, there is a split in Perika community due to local leadership 
2. This is a battleground village as majority of the BC communities Rajaka, Setti Balija are split between YSRCP &amp; TDP in the village </t>
  </si>
  <si>
    <t xml:space="preserve">1. YSRCP is sucessful in consolidating SC vote bank and splitting BC vote bank in the village 
2. TDP lacks support in SC communities and highly banking on Koppula Velama &amp; Setti Balija communities 
3. JSP presence is very less in the village due to low concentration of Kapu community </t>
  </si>
  <si>
    <t xml:space="preserve">1. Pending Bills to Sarpanch of 8 lakhs - Gravel Roads 
2. Culverts on Drianges - 30 lakhs </t>
  </si>
  <si>
    <t xml:space="preserve">1. Farmers 
2. Weavers </t>
  </si>
  <si>
    <t xml:space="preserve">1. It's a battleground village and both YSRCP &amp; TDP have equal amount of support in communities. 
2. Kapu community was split between YSRCP and TDP in the previous election due to MLA's candidature.
 3. TDP was banking on the  Senapathulu vote bank along with some sections of minor BCs </t>
  </si>
  <si>
    <t>1. Its battleground village and JSP alliance will favour TDP in securing Kapu vote bank 
2. YSRCP is trying to secure minor BC communities in the village throgh welfare schemes</t>
  </si>
  <si>
    <t>1. Sarpanch has pending bills of 30 lakhs ( Miniral Water Plant, Compound Wall of Burial Ground &amp; CC Roads)</t>
  </si>
  <si>
    <t xml:space="preserve">1. Finance Business 
2. Kiran Shop Owners 
3. Self Business </t>
  </si>
  <si>
    <t>1. This is a Kapu-dominated village where 50% of the population (2500 votes) belong to the Kapu community.
2. The Kapu community was split between YSRCP and JSP, JSP was able to secure a majority of the vote bank due to the party's image and Pantham Nannaji Candidature.
3. TDP was focused on the BC vote bank majorly Setti Balija, Yadava, and Rajaka communities. 
4. Madiga &amp; Mala communities constitute around 1000 votes and are inclined towards YSRCP.</t>
  </si>
  <si>
    <t>1. JSP &amp; TDP alliance will be the crucial factor in securing the Kapu vote bank along with BC communities.
2. YSRCP leaders  (Kotiapally Uma- Kapu) are disgruntled with local MLA Kurasala Kanna Babu leadership.</t>
  </si>
  <si>
    <t>Sarpanch Kotipally Uma (Kapu) has issue of pending bills of 60 lakhs and disgruntled with MLA  Kanna Babu</t>
  </si>
  <si>
    <t xml:space="preserve"> కొవ్వాడ గ్రామం లో వైకాపా పార్టీ వల్లే మూడు వర్గాలుగా విడిపోయారు. రెండు రోజులు క్రితం ఇరు వర్గాలు MLA కార్యాలయం వద్ద గోడవకి దిగారు. ఈ విషయం కురాశాల కన్నబాబు కు చేరింది.ఏంపిపి,ఆమె భర్త ,ఉప సర్పంచ్ ఒక వర్గం,సర్పంచ్,మండల రేషన్ డీలర్  మాజీ అద్యక్షుడు ఒక వర్గం,మాజీ ఉప సర్పంచ్ మూడో వర్గం గా వున్నారు. తన వర్గానికి చెందిన కొందరికి పట్టాలు మంజూరు కాలేదు అని ప్రజలతో కలసి మాజీ ఉప సర్పంచ్ MLA దగ్గరికి చేరుకున్నారు.</t>
  </si>
  <si>
    <t>.</t>
  </si>
  <si>
    <t xml:space="preserve">1. Fisherman
2. Toddy Tappers 
3. Farmers </t>
  </si>
  <si>
    <t>1. The majority of the Setti Balija and Fisherman communities supported TDP which helped to secure the majority in the village.
2. Kapu and Mala communities inclined towards YSRCP along with some sections of Rajaka &amp; Vishwa Brahmin.
3. JSP Impact was minimal and able to split the Kapu votes which dented the YSRCP vote bank.</t>
  </si>
  <si>
    <t xml:space="preserve">1. The Major Caste split between three parties is key reason for party positining 
2. JSP and TDP alliance will play a bigger role in the coming elections </t>
  </si>
  <si>
    <t xml:space="preserve">1. Lack of Basic facilities in Jagan Anna colonies (480 beneficiaries)
</t>
  </si>
  <si>
    <t>farmers</t>
  </si>
  <si>
    <t>1. Turupu kapu (1050 votes) constitute the majority of the votes.
2. Because YCP promised to implement all well-intentioned initiatives and all the welfare schemes to the public.
3. The majority of the Turpu kapu vote bank went to the YCP due to Jyothula Chanti Babu's domination as leader. He is from the caste of the tirpu kapu.</t>
  </si>
  <si>
    <t>1)Due to more caste composition from turpu kapu .
2)Sucessfull schemes like Amma Vodi, Cheyutha and Rythu Barosa</t>
  </si>
  <si>
    <t>Farmers,auto drivers</t>
  </si>
  <si>
    <t xml:space="preserve">
1.This is completely a settibalija-dominant village.
2. Because TDP leader Pilli Ananth Lakshmi belongs to the same settibalija caste as them, TDP received the most votes. 
</t>
  </si>
  <si>
    <t>1)YSRCP has a good image due to good schemes like Ammavodi,vidyadeevan, Asara Pathakam so BC vote bank has a slight shift towards YSRCP.
2)Numerous developments are done during the YSRCP's governance.</t>
  </si>
  <si>
    <t xml:space="preserve">majority votes based on turupu kapu </t>
  </si>
  <si>
    <t>all votes from kapu members for ycp again</t>
  </si>
  <si>
    <t>Job Holders,Farmers</t>
  </si>
  <si>
    <t>1. In order to help the YCP win prior elections, Geesala Sreenivas Rao nearly spent one crore swaying the votes of Kapu and Settibalija, which represent roughly 2000 and 1000 vote banks, respectively.</t>
  </si>
  <si>
    <t>There is a positive image on YSRCP.
2) Ycp is supported by the 2000 Kapu vote bank.
3)If the government fails to give the populace house pattas, then YCP risks losing nearly 1000 votes of settibalija.</t>
  </si>
  <si>
    <t>pending bills on Jagan Pala Kendra of 8 lakhs
panchayath's bill of 16 lakhs is pending.
2. Constructed SC Community hall ,will have good impact on Community.</t>
  </si>
  <si>
    <t>1.Daily Labours</t>
  </si>
  <si>
    <t>1. YCP has a stronghold and majority vote bank from kapu community which is split between YCP and TDP but majorly inclined to YCP.
2. Due to sympathy towards YCP MLA Jyothula Chantibabu as he lost two times being in TDP people gave one chance to him.
3. It was a case of voting out of respect for YS Rajasekhar Reddy and villagers also wanted to give a chance to the new rule of YS Jagan</t>
  </si>
  <si>
    <t>1. People are highly dissatisfied with YCP Party as YCP MLA Jyothula Chanti Babu is not at all responsive towards people but some of them are satisfied with the welfare schemes they are getting.
2. Compared to YCP MLA, TDP MLA Jyothula Nehru is far better and is very responsive towards people and he nearly has a 30% vote bank in the village.
3. JSP has local leaders who are active in this village which may consolidate some of the vote bank.</t>
  </si>
  <si>
    <t>Medium leadership medium vote bank</t>
  </si>
  <si>
    <t xml:space="preserve">1. Paddy Farmers
2.Private Employees </t>
  </si>
  <si>
    <t xml:space="preserve">1. This village is dominated by the Kamma community and inclined towards TDP. Settibalija community along with other SC communities Mala &amp; Madiga shifted towards YSRCP in the previous elections.
2. JSP secured around 250 votes due to the shift of the Kapu community in the village. </t>
  </si>
  <si>
    <t xml:space="preserve">1. There will be complete shift of Kamma and Kapu communities in the next elections due to the allaince of TDP-JSP
2. YSRCP has good presence in village due high concentration of Mala and Erukala (50 votes), along with government schemes beneficiaries like Ammavodi, Cheyutha and Asara </t>
  </si>
  <si>
    <t xml:space="preserve">Farmers(paddy,Vegetables),
</t>
  </si>
  <si>
    <t xml:space="preserve">1. This OC (Kapu)dominant village followed by BC(Settibalija and Velamas).
2. JSP was able to split a decent amount of votes which is a vote bank of the YSRCP Party.
3. YCP strength is majorly based on the SC community (Mala and Madiga ) along with the section of the Kapu vote bank.
</t>
  </si>
  <si>
    <t xml:space="preserve">1. Kapu vote bank is split between all three parties due to local leadership(Kommireddy baburao-TDP, Kasthireddy Akkaya -YCP, Purapa Rajesh -JSP).
2. JSP has a strong presence in the Kapu community due to local leadership (Purapa Rajesh- OC Kapu) and the TDP+JSP alliance will help to consolidate the majority of the vote bank from Kapu as well as the Settibalija ,Velama of BC community.
</t>
  </si>
  <si>
    <t>1.pending bills on Gadpa Gadpa Programme</t>
  </si>
  <si>
    <t>1. This village is dominated Kapu and Setti Balija communities. In the previous elections Kapu votes were split between YSRCP and JSP due to MLA candidates. 
2. TDP was able to secure the majority of the BC vote bank along with Kamma community due to its MLA candidature of Pilli Anantha Laxmi (Setti Balija).</t>
  </si>
  <si>
    <t xml:space="preserve">1. Both YSRCP and TDP are equally strong due to Kapu vs BC equation 
2. TDP &amp; JSP alliance will play crucilal role in coming election </t>
  </si>
  <si>
    <t>1.Fisherman</t>
  </si>
  <si>
    <t xml:space="preserve">1. This is fisherman dominant village (Agnikula Kshatriya.) which is split between YCP and TDP due to local leadership( Bommadi Satish, Sangadi Srinu).
2. JSP was able to gain a slight vote share from the BC Vote bank which dented the TDP prospectus. </t>
  </si>
  <si>
    <t>1. Despite TDP having good alliance with JSP , YCP has more chance due to the subsidies provided by the local leadership (Bommadi Satish)which is nearly 10,000/- directly into their bank accounts.</t>
  </si>
  <si>
    <t xml:space="preserve">1. Toddy Tappers
2. Paddy Farmers </t>
  </si>
  <si>
    <t>1. TDP was able to consolidate Kamma, Setti Balija vote bank in the previous elections 
2. YSRCP was able to secure the majority of the SC vote bank (Mala, Madiga) along with the Erukala community.
3. Kapu vote bank was split between TDP and YSRCP.</t>
  </si>
  <si>
    <t xml:space="preserve">1. This is Kamma dominated village and TDP has stronghold in Kamma &amp; Setti Balija communities 
2. YSRCP has strong vote bank in SC communities along with section of OC Kapu community support
3. Kapu community is present in the decent number but JSP has minimal hold over the community in the village </t>
  </si>
  <si>
    <t xml:space="preserve">1. There are pending bills of street lights, drainages, Roads and Sachivalayam construction
2. Sarpanch opined that volunteers are taking away the power from elected members </t>
  </si>
  <si>
    <t>Farmers(Paddy),
Mestri</t>
  </si>
  <si>
    <t>1. This is Kapu's dominant village OC community which is split equally between all three parties TDP, YCP, and JSP due to local leadership.
2. YCP is completely banking on SC communities (Mala and Madiga )along with minimum votes from the Kapu vote bank.
3. TDP is completely banking on BC communities (Settibalija )along with the split votes from the kapu vote bank.</t>
  </si>
  <si>
    <t>YCP&gt;JSP&gt;TDP</t>
  </si>
  <si>
    <t xml:space="preserve">1. YCP is completely banking on SC communities (Mala and Madiga )along with minimum votes from the kapu vote bank.
2. JSP has a strong presence in the Kapu community due to local leadership (Pabbineni Eswarao - OC Kapu) and  also the TDP+JSP alliance will help to consolidate the majority of the vote bank from Kapu as well as Settibalija BC community.
</t>
  </si>
  <si>
    <t>1.pending bills on sweaper</t>
  </si>
  <si>
    <t>1.Farmers(Agricultural)</t>
  </si>
  <si>
    <t>1.This is Kapu's dominant village and this community is split between TDP and YSRCP.
2. YCP is totally banking on SC communities (Mala) and also has the vote bank of Kapu.
3. TDP is totally banking on BC communities (Velma, Yadavas)</t>
  </si>
  <si>
    <t xml:space="preserve">1. YCP is totally banking on SC communities (Mala) and also has the vote bank of Kapu.
2. JSP had minimal impact and still holds the vote bank in kapu communities.
3. The JSP and TDP alliance will play a bigger role in the coming elections </t>
  </si>
  <si>
    <t>TDP Closely Trailing</t>
  </si>
  <si>
    <t xml:space="preserve">1. Paddy Farmers
2. Horticulture </t>
  </si>
  <si>
    <t xml:space="preserve">1. The majority of the BC communities Perika &amp; Setti Balija communities voted in favour of YSRCP due to anti-incumbency on the TDP government.
2. TDP was able to secure the Perika vote bank due to the local leadership in the village.
</t>
  </si>
  <si>
    <t>1. This is battleground village and leadership hails from Setti Balija &amp; Perika communities in both parties
2. JSP-TDP alliance will have very less impact in the village</t>
  </si>
  <si>
    <t>1. Positive Image among the beneficiaries but developmental works are pending in the village 
2. Pending bills of 2 lakhs to Sarpanch</t>
  </si>
  <si>
    <t>1. Paddy Farmers 
2.Cotton Farmers</t>
  </si>
  <si>
    <t xml:space="preserve">1. These BC (Perika )and OC (Kapu ) are dominant villages.
2. YSRCP is banking on the dominant caste Perika with a huge majority along with the swing of the kapu vote bank and majorly inclined votes of SC (Mala) vote.
3. TDP is banking on the split share of kapu, and yadava along with the support of other BC minorities.
</t>
  </si>
  <si>
    <t xml:space="preserve">1. YSRCP strong presence in Perika (BC) and SC Mala communities.
2. TDP failed to gather votes of the Perika community as well as other minor BC communities' vote bank. </t>
  </si>
  <si>
    <t>1. Pending bills on sanitation,light, and bleaching powder which is of 18 lakhs</t>
  </si>
  <si>
    <t>1. Paddy farmers
2.Daily labours</t>
  </si>
  <si>
    <t>1. This is completely SC (Mala and Madiga Dominant village) which is mostly
inclined towards the YSRCP Party.
2.YCP is banking on Mala and Kapu vote bank due to leaders candidature.</t>
  </si>
  <si>
    <t>1. TDP is banking on BC communities Settibalija, Gavara and other minor communities with very less vote bank .
2. YSRCP's strong presence in Mala , Madiga,and kapu communities</t>
  </si>
  <si>
    <t>1. Agriculture labour
2.masons</t>
  </si>
  <si>
    <t>1. This is BC (Koppula Velma) dominant village,the community is split between TDP and YSRCP.
2.. Other SC  and BC  communities (Rajaka&amp; Nayi Brahmin) voted in favor of YSRCP due to the wave in the previous elections.</t>
  </si>
  <si>
    <t xml:space="preserve">1. Due to the high concentration of the Koppula Velma community YSRCP has a slight edge over the Kapu community due to the local leader's (Nallamali Govindu )candidature.
2.This is a battleground village and leadership hails from Koppula Velma communities in both parties
</t>
  </si>
  <si>
    <t>1. Pending bills on gravel filling for house site</t>
  </si>
  <si>
    <t>1.Agriculture labourers
2. Paddy and Cashew nut Farmers</t>
  </si>
  <si>
    <t>1. This is BC (Koppula Velma dominant) village which is completely inclined towards YSRCP.
2. Other SC  and BC  communities (Rajaka&amp; Nayi Brahmin) voted in favour of YSRCP due to the wave in the previous elections.
3. People were dissatisfied with the TDP Govt so they wanted to experience governance under new govt</t>
  </si>
  <si>
    <t>1. Due to the high concentration of the Koppula Velma community, YSRCP has a maximum hand over the Koppula Velma community due to the local leader's (Bostha Sthibabu)candidature.
2.TDP is totally banking on BC community (Yadavas) and other minor communities of BC.
3. Villagers are happy with the schemes of YCP Govt as they are getting money directly to their accounts</t>
  </si>
  <si>
    <t>1.pending bills on sweeper salaries and sarpanch salary(30 lakhs)</t>
  </si>
  <si>
    <t>1. Fisherman
2.Paddy Farmers
3.Mirchi farmers
4.Cashew Farmers</t>
  </si>
  <si>
    <t>1. This is the BC (Yadava)dominant village, the community is split between majority to TDP and with a minor vote bank towards YCP.
2. YCP is banking on BC (Vadabalija) community along with the slight Swing of other BC and OC Communities (Padmashali and kapu).</t>
  </si>
  <si>
    <t>1. TDP is banking on the majority of BC Yadav community along with other minor communities of BC and also due to local leadership(Talapathi Srinivas )candidature.
2. The JSP+TDP alliance may bring a slight edge for TDP to secure a slight margin of higher votes compared to other parties.</t>
  </si>
  <si>
    <t>1. Paddy Farmers
2. Cotton Farmers
3.Cashew Farming</t>
  </si>
  <si>
    <t>1. This is the OC (Kapu)dominant village, the community split between all three parties TDP, YCP,JSP.
2 SC communities Mala and Madiga are completely inclined towards YCP.</t>
  </si>
  <si>
    <t>1.YCP is banking on Mala ,Madiaga and swing of kapu community with the  majority of vote bank.
2.TDP is banking on BC communities Yadavas,Padmashali and minor communities of BC.</t>
  </si>
  <si>
    <t>1.Pending bills on Ramraju kattu (1 crore)</t>
  </si>
  <si>
    <t xml:space="preserve">1. Paddy Farmers
</t>
  </si>
  <si>
    <t xml:space="preserve">1. This is BC (Koppula Velma ) and SC (madiga dominant village.
2. Koppula velma BC and SC (Madiga) Communities are majorly split between TDP and YCP.
</t>
  </si>
  <si>
    <t>1.YCP is completely banking on BC Koppula Velma community along with SC Communities Mala and Madiga.
2.TDP is banking minor vote bank from  BC communities (Rajaka and Nayi Brahmin)</t>
  </si>
  <si>
    <t>1. Farmers 
2. Labours
3. Masons</t>
  </si>
  <si>
    <t>1.High concentration of Mala &amp; Madiga communities provided an edge to YSRCP.
2. YSRCP was able to split the minor BC communities through manifesto promises 
3. TDP was able to secure majority of the Yadava vote bank in the village but minimal support in other communities 
3. JSP had minimal presence due to the low Kapu vote bank.
4. Reddy community has decent present in the village and inclined towards YSRCP</t>
  </si>
  <si>
    <t xml:space="preserve">1. High Concentration of SC Vote Bank favours YSRCP 
2. Split in BC community hampers TDP Chances 
3. Minimal Impact of JSP </t>
  </si>
  <si>
    <t xml:space="preserve">1. General Public opined that there is no development 
2. Harassment by YSRCP leadership if someone questions on development
3. Sarpanch is financially strong and spent a lot of money on his elections 
</t>
  </si>
  <si>
    <t>1)Farmers (Paddy)
2) Labours</t>
  </si>
  <si>
    <t xml:space="preserve">1. This is BC's dominant village (Uppara) followed by settibalija and Perika.
2. The Uppara vote bank is split between YCP and TDP.
</t>
  </si>
  <si>
    <t xml:space="preserve">1. TDP is banking completely on BC communities ( Uppara , Perika and Settibalija)due to local leadership Kartari Annavaram.
2. YCP is completely banking on SC community Mala and some votes from BC community.
3.JSP has minimal impact in the village </t>
  </si>
  <si>
    <t xml:space="preserve">1. Cashew Farmers  
2. Agriculture Labour 
3. Masons </t>
  </si>
  <si>
    <t>Party Leaders Tacit Understanding with Opposition Leaders</t>
  </si>
  <si>
    <t>1. Killada Satya Narayana (Yadava- Ex-Vice Sarpanch) is very influential in TDP and commands a good hold over the community supported YSRCP in the previous elections
2. Kapu community voted in favour of YSRCP due to Dadisetti Raja's MLA candidature.
3. Minor BC communities Nayi Brahmin inclined towards YSRCP and Padmashali inclined towards TDP.</t>
  </si>
  <si>
    <t>1. There is split in Yadava vote bank due to local dynamics between  YSRCP &amp; TDP. TDP is banking on Yadava committee 
2. JSP alliance will play very minor role due to lack of local leadership in the village</t>
  </si>
  <si>
    <t>1. Sarpanch has pending bills of 4 lakhs and disappointed with the government 
2.YSRCP Sarpanch maintain good relationship with TDP leader Killadi Satya Narayana</t>
  </si>
  <si>
    <t>1. Farmers 
2. Government Employees 
3. Auto Drivers</t>
  </si>
  <si>
    <t xml:space="preserve">1. The majority of the Kapu vote bank inclined towards YSRCP due to the MLA's candidature of Dadsisetty Raja but some sections of Kapu supported TDP due to the local leadership of Nagam Lova Dora (MPTC Contestant).
2. YSRCP has solid support from in Mala and Madiga communities.
</t>
  </si>
  <si>
    <t>1. Due to the high concentration of Kapu community along with SC communities (YSRCP built the graveyard for SC communities)
2. JSP has minimal impact on Kapu community 
3. TDP is successful in spliting the Kapu vote bank along with BC consolidation.</t>
  </si>
  <si>
    <t>1. Auto Drivers in SC support YCP due to 10,000 rupees 
2. Dwacra and Asha workers in favour YSRCP as they secured jobs under this government</t>
  </si>
  <si>
    <t>1. Agriclture Labour
2. Farmers 
3. Fisherman</t>
  </si>
  <si>
    <t xml:space="preserve">1.This is BC dominant village( Vadabalija) followed by Kapu community and voted in favour of YSRCP in the last elections
2. TDP was able to split the Kapu community due to the local leadership 
3.JSP had minimal impact on Kapu vote bank due to lack of local leadership 
</t>
  </si>
  <si>
    <t xml:space="preserve">1. YSRCP holds strong support from Vada Balija communities and section of Kapu community due to MLA's candidature
2. TDP's local leadership in Kapu community and JSP-TDP alliance will help to secure Kapu vote bank in the next elections </t>
  </si>
  <si>
    <t>1.There is no Panchyath building(New Gram  Panchyath).
2.YSRCP rebel Sarpanch candidate won with support of TDP leaders with 150 majority of votes.</t>
  </si>
  <si>
    <t>1. Farmers
2. Govt employees
3. Private employees</t>
  </si>
  <si>
    <t>Issue Based Voting</t>
  </si>
  <si>
    <t>1.This is Velama dominated village and this community is split between both YSRCP and TDP due to the local leadership. 
2. YCP is leading in Mala and Kapu communities, TDP has strong support in Yadava and Settli Balija communities.</t>
  </si>
  <si>
    <t>1. YSRCP has a strong hold on communities like SC  (Mala) and Velma Community</t>
  </si>
  <si>
    <t>1.This is Koppula Velma and Padmashali's dominant village and these communities were split between both YSRCP and TDP.
2. TDP is banking on the BC Community (Yadava) and Padamashali communities 
3. YCP is banking on communities Gavara and Mala.
4.JSP had minimal impact on Kapu vote bank due to weak leadership in the village</t>
  </si>
  <si>
    <t xml:space="preserve">1. TDP has stronghold in major BC communities (K.Velama, Padmashali &amp; Yadava)
2.YSRCP will be impacted due to the high concentration of BC communities 
2. JSP -TDP alliance will have less impact in driving the Kapu vote bank in the village </t>
  </si>
  <si>
    <t>1.Farmers(Paddy)
2.Agricultural labours</t>
  </si>
  <si>
    <t xml:space="preserve">1. This is OC Kapu's dominant village which is split among all three parties JSP, TDP, and JSP. However YSRCP secures majority of the Kapu vote bank in the village due to the MLA's candidature 
2. YCP was able secure maximum SC (Mala) vote bank along with Nayi Brahmin vote bank in the village 
3. TDP was able to secure Rajaka, Koppula Velama and Yadava community vote bank in the village </t>
  </si>
  <si>
    <t xml:space="preserve">
1. JSP has a strong presence in the Kapu community ) and  also the TDP+JSP alliance will help to consolidate the majority of the vote bank from Kapu as well as Settibalija BC community.
</t>
  </si>
  <si>
    <t>1. In the governce of TDP housing sites were given and are occupied by YSRCP in their governance native village of Dadi Setti Raja</t>
  </si>
  <si>
    <t xml:space="preserve">1.The top castes in the village (Mala &amp; Kapu) are inclined towards YSRCP 
2. TDP is banking on Setti Balija and minor BCs in the village but their population very less compared to Mala &amp; Kapu communities 
3. JSP has minimal impact due to lack of leadership in the village </t>
  </si>
  <si>
    <t>JSP&gt;YCP&gt;TDP</t>
  </si>
  <si>
    <t>1. This village has issues between Mala and Kapu communities due to local dynamics which might favour opposition parties  
2. There are high chances of spliting Kapu vote bank in the village due to JSP alliance which will favour TDP
3. JSP is lacking leadership in Kapu community</t>
  </si>
  <si>
    <t xml:space="preserve">1. Mala vs Kapu fight be can be capitalised in the village in order gain Kapu vote bank (Kapu guy harassed Mala girl in the village)
2. Sarpanch has pending bills of 20 Lakhs for infra works </t>
  </si>
  <si>
    <t>1. Paddy Farmers  
2. Masons 
3. Toddy Tappers</t>
  </si>
  <si>
    <t xml:space="preserve">Internal Conflicts </t>
  </si>
  <si>
    <t>1. This village witnessed fight between Kapu vs Yadava communities and the majority of the BC communities Perika, Rajaka along with SC communities (Mala &amp; Madiga) communities inclined towards YSRCP due to strong leadership in the village.
2. TDP is banking on the Yadava vote bank along with a section of the Setti Balija community.
3. Despite the high concentration of the Kapu vote bank JSP has minimal presence due to lack of local leadership.</t>
  </si>
  <si>
    <t xml:space="preserve">1. YSRCP strong Vote bank in Kapu and SC communities 
2. TDP has a Yadava vote bank but lacks support in other BC communities 
3. JSP has minimal presence </t>
  </si>
  <si>
    <t>1 YSRCP Sarpanch is dissatisfied with the government due to pending bills and salaries of sanitation workers of GP
2)TDP MLA candidate Yanmala Divya has a guest house in Yerra Koneru.
3. Sarpanch Atti Nagaraju(Perika) is the least influential and worked as a servant in Kshatriya community.</t>
  </si>
  <si>
    <t>1.Paddy Farming</t>
  </si>
  <si>
    <t>1. This is the OC and SC dominant village with the majority of vote banks from both the castes.
2. OC (Kapu ) and SC (Mala and Madiga) are majorly inclined towards to YCP.</t>
  </si>
  <si>
    <t>1. TDP is banking on split votes of Madiaga and Kapu.
2. YCP is banking on kapu,Mala, and other minorities of the BC caste (Settibalija)</t>
  </si>
  <si>
    <t>Because the YSRCP family holds government employment and the TDP lacks active leaders, the YSRCP won the Sarpanch election while the TDP won the MPTC. If money is distributed, the YSRCP wins.</t>
  </si>
  <si>
    <t>Farmers</t>
  </si>
  <si>
    <t>Impact of Janmabhoomi Commitees</t>
  </si>
  <si>
    <t>1. Good image on Jagan 
2.Impact of Janmabhoomies Commities</t>
  </si>
  <si>
    <t>1.Good Schmes,Selfless  Service
2.The Manifesto Given By TDP Was Not Implemented</t>
  </si>
  <si>
    <t>Farmers(paddy),
cashew farming</t>
  </si>
  <si>
    <t>1. In This completely Kapu-dominant village, the community is able to split between all three parties due to local leadership (Venna Eswarudu-TDP, Gothu Subramanyam-YCP, Medisetti Suryakiran-JSP).
2. TDP is completely banking on the BC Community (Yadavas).
3. YCP is completely banking on the SC community (Mala and Madiga) along with split votes of Kapu.</t>
  </si>
  <si>
    <t>1.YCP is completely banking on the SC community (Mala and Madiga) along with split votes of Kapu along with local leadership (Gothu Subramanyam-YCP).
2.2. JSP has a strong presence in the Kapu community and the TDP+JSP alliance will help to consolidate the majority of the vote bank</t>
  </si>
  <si>
    <t xml:space="preserve">1.Agriculture(paddy)
</t>
  </si>
  <si>
    <t>1. This is a completely Kapu-dominant village, the community is split between YCP and TDP Parties due to local leadership.
2. YCP is completely banking on the SC Community (Mala ) along with Kapu Vote Bank.
3. TDP is dependent on Kapu along with the minimum votes bank from the BC community (Sagara).</t>
  </si>
  <si>
    <t>1. The TDP+JSP alliance will play a major role in the consolidation of the Kapu community.
2. YSRCP is banking on the Mala and Kapu vote banks in the village
3. TDP MLA Jyothula Nehru is very responsive towards people in development and also helps the public.
4.YCP MLA Jyothula Chanti Babu is not all considering public opinions or helping them hence this village is completely against YCP.</t>
  </si>
  <si>
    <t>1.2 lakh bill related to the ground is pending.</t>
  </si>
  <si>
    <t>1. Farmers
2. Daily Labour</t>
  </si>
  <si>
    <t xml:space="preserve">1. The major communities Kapu and Yadava communities voted in favour of YSRCP due to the anti-incumbency on MLA Varma 
2. Other BCs (Rajaka) and Mala communities voted in favour of YSRCP due to last election wave. Still TDP managed secure traditional support of Yadava community failed to curtail split in the community </t>
  </si>
  <si>
    <t xml:space="preserve">1. This village has Kapu and Yadava communities as dominant ones and inclined towards YSRCP and TDP respectively.
2. JSP has the support of Kapu youth in the village but lacks leadership </t>
  </si>
  <si>
    <t xml:space="preserve">1. Sarpanch has pending bills for Drainage works and disgruntled with YCP government </t>
  </si>
  <si>
    <t>Famers,
Mason
Building workers</t>
  </si>
  <si>
    <t>1.This is a Kapu and Settibalija-dominated village and TDP was able to secure a majority of the Settibalija vote bank along with minor BC communities (Yadav, Rajaka &amp; Kummari).
2. The Kapu community was split between YSRCP and JSP due to local leadership and MLA's candidature.</t>
  </si>
  <si>
    <t>1)TDP has a strong vote bank due to the high concentration of BC communities such as Settibalija, Yadava
2)TDP-JSP alliance will play a major role in the consolidation of the Kapu community 
3. YSRCP is banking on the Mala and Kapu vote bank in the village</t>
  </si>
  <si>
    <t>1.Farmers (Paddy)</t>
  </si>
  <si>
    <t>1. This is the OC (Kapu) and BC (settibalija) dominant village.
2.YCP has a strong hold in the Kapu community, the majority of SC (Mala and Madiga ), along with the swing of minor communities from BC communities(Padmashali, Rajaka, Kummari).
3. TDP is totally banking on BC communities ( Settibalija) but still did not able to grasp full vote bank.</t>
  </si>
  <si>
    <t>1. There is a high chance of gaining major votes if TDP +JSP go in alliance.
2.  There is a high chance of losing votes from TDP from BC community Settibalija if both local leaderships are from BC and OC communities.</t>
  </si>
  <si>
    <t>1. Pending bills on sanitization nearly 80,000/-
2. Electrical bills are still pending.</t>
  </si>
  <si>
    <t>Daily Labours, Farmers</t>
  </si>
  <si>
    <t xml:space="preserve">1. This is a completely SC-dominant village (Mala and Madiga ).
2. TDP Completely banked on the BC Community(Padmashali) along with minor voting from the SC Community.
3. YCP completely banked on the majority of SC Community.
</t>
  </si>
  <si>
    <t>1. Due to the high concentration of SC belt TDP alone or the alliance with JSP may not help both parties in gaining the vote bank.</t>
  </si>
  <si>
    <t xml:space="preserve">1.Farmers 
2. Construction Labour 
3. Masons 
4. Drivers 
5. Agriculture Labour </t>
  </si>
  <si>
    <t xml:space="preserve">1. This is Setti Balija-dominated village and the majority of them are inclined toward TDP.
2. Mala, Madiga &amp; Minor BCs (Rajaka) inclined towards YSRCP due to the local leadership. </t>
  </si>
  <si>
    <t xml:space="preserve">1. High Concentration of Setti Balija Vote Bank favours TDP 
2. Less SC communities presence in the village </t>
  </si>
  <si>
    <t>1. Sarpanch has pending bills of 3-4 lakhs (water motors, street lights &amp; drinking water issues)</t>
  </si>
  <si>
    <t xml:space="preserve">1. Port Labour 
2. Daily Labour 
3. Agriculture Labour </t>
  </si>
  <si>
    <t>1. The majority of the K. Velama community voted in favour of YSRCP due to the previous election wave.
2. The Kapu community is split between YSRCP and JSP due to the respective MLA's candidature. 
3. SettiBalija and Minor BC communities are inclined towards TDP.</t>
  </si>
  <si>
    <t xml:space="preserve">1. Majority of top communities Kapu and K.Velama communities inclined towards YSRCP though JSP was able to split up Kapu vote bank 
2. TDP is failed to consolidate BC vote bank due to lack of local leadership 
</t>
  </si>
  <si>
    <t xml:space="preserve">1. The majority of the Kapu along with BC communities inclined towards TDP due to the local leadership.
2. YSRCP was banking on Kapu, Minor BC communities and a section of Kapu inclined towards YSRCP due to MLA's candidature. </t>
  </si>
  <si>
    <t xml:space="preserve">1. High concentration of Kapu community along BC communities    
2. YCP focused Mala and Minor BC communities 
3. JSP has minimal impact on Kapu community </t>
  </si>
  <si>
    <t>1. Sarpanch has pending bills of 15 Lakhs for Infra Works (Drainages, Bores)</t>
  </si>
  <si>
    <t xml:space="preserve">1. This is dominated by the Kapu community and JSP split the Kapu vote bank of TDP which impacted the prospects in the village. 
2. Mala constituted 1500 votes and unanimously supported YSRCP in the previous elections. 
3. TDP failed to consolidate the BC vote bank (Setti Balija) due to a lack of local leadership. </t>
  </si>
  <si>
    <t xml:space="preserve">1. High concerntration of Kapu vote bank and split between YSRCP and JSP 
2. Mala and other minor BC communities inclined towards YSRCP </t>
  </si>
  <si>
    <t xml:space="preserve">1. Agriclture Labour 
2. Factory Labour </t>
  </si>
  <si>
    <t xml:space="preserve">1. There is a split in the Kapu community between YSRCP and TDP in previous elections 
2. The majority of the minor BC communities voted in favour of YSRCP due to the Jagan Manifest promises.
3. JSP had minimal impact on the Kapu community. </t>
  </si>
  <si>
    <t xml:space="preserve">1. Kapu community split between YSRCP &amp; TDP 
2. YSRCP is sligly ahed in minor BC communities due to welfare schemes 
3. JSP alliance will play very minimal role in the village </t>
  </si>
  <si>
    <t>Sarpanch has pending bills of 80,000 and disgruntled with YSRCP government</t>
  </si>
  <si>
    <t>1.Paddy  Agriculture</t>
  </si>
  <si>
    <t>1.This OC (Kapu) and BC (Perika) dominant village which is split between TDP and YCP.
2.YSRCP is banking totally on sc (Mala and Madiga) with slight edge of OC (Kapu )vote bank along with the swing of BC (perika) community.</t>
  </si>
  <si>
    <t xml:space="preserve">1. YSRCP has a strong vote bank in the village in Kapu,Perika and Mala communities along with strong Local leadership(Ganeshula Rambabu) and are satisfied  with welfare schemes and developments. </t>
  </si>
  <si>
    <t>Farmers(Paddy)</t>
  </si>
  <si>
    <t xml:space="preserve">1.This is OC Kapu dominant village,the community is split between the two parties of TDP and YCP.
2.JSP has a very good presence in the Kapu community and can split a good share of votes intended for the YSRCP party.
3. YSRCP is totally banking on SC communities( Mala ) along with a swing of kapu vote share and other minor BC communities.
</t>
  </si>
  <si>
    <t>1.YSRCP is totally banking on SC communities( Mala ) along with a swing of kapu vote share and other minor BC communities and local leadership may also play a crucial role.
2. JSP has a very good presence in the Kapu community, the TDP+JSP alliance is an added advantage along with a majority vote share from the BC community(Settibalija).</t>
  </si>
  <si>
    <t>1. Farmers (Sugar Cane, Paddy, Banana)
2. Agriculture Labour</t>
  </si>
  <si>
    <t>1. Though the major communities Kapu &amp; Perika communities split between YSRCP and TDP, YSRCP took the slight lead in these communities.
2. YSRCP was successful in consolidating Mala and other minor BC communities due to a wave in the previous elections. 
3. JSP secured a minimal amount of Kapu vote share in the village.</t>
  </si>
  <si>
    <t>1. Both YSRCP and TDP has strong vote bank and leadership in the village 
2. JSP impact restricted to Kapu community</t>
  </si>
  <si>
    <t xml:space="preserve">1. GP has pending general funds of 5 lakhs 
and pending 10 lakhs under 15th finance commission </t>
  </si>
  <si>
    <t>1.YCP Won Because Of His Father Influence(Y S Rajashekhar Reddy) And Padayathra Programme  Inpressed To Peoples</t>
  </si>
  <si>
    <t>"""1.Good image on Jagan 
2.Impact OF Janmabhoomies Commities"</t>
  </si>
  <si>
    <t>1.Farmers(,vegetables,cotton)
2.Palm oil company</t>
  </si>
  <si>
    <t>1. This is Kapu OC dominant village which is split between YSRCP and TDP.
2. YSRCP majorly banked on SC ( Mala and Madiga) along with the support of Kapu Vote Bank due to MLAS candidature.</t>
  </si>
  <si>
    <t>1. YCP MLA Jyothula Chanti Babu is positive in public as he is very responsive to them and helped them in many developments and people are also highly satisfied with the schemes.
2.TDP has a little way due to some disgruntled leaders in YCP party and this may become an X Factor</t>
  </si>
  <si>
    <t>1.pending bills on Sachyvalayam and Panchayath (total 14 lakhs)
2. local leader kalpureddy papayam (Kapu ,YSRCP) is disgruntled with the party</t>
  </si>
  <si>
    <t>1. Agriculture (paddy)
2.Drivers
3.Construction worker and daily labour</t>
  </si>
  <si>
    <t>1. This village is BC dominated village, currently TDP is slightly ahead than YSRCP. The BCs are currently inclined towards TDP
2. YSRCP is slightly on backfoot due to disatisfaction among its leadership</t>
  </si>
  <si>
    <t xml:space="preserve">With BC communities and Kapu in support of JSP alliance TDP is ahead in this village </t>
  </si>
  <si>
    <t xml:space="preserve">1. Street Lights, Water Motors Repaire Bills are Pending
2. 15th Finance commssion pending amount 5 lakhs is pending 
</t>
  </si>
  <si>
    <t>1. Agriculture (Paddy)
2.Weavers
3.Pot makers</t>
  </si>
  <si>
    <t xml:space="preserve">1.This is completely OC (kapu) and SC (Mala) dominant village which are completely inclined towards YSRCP .
</t>
  </si>
  <si>
    <t>1. TDP is banking on the BC community (Settibalija)and other minor communities.
2. The TDP +JSP alliance many not have much effect as YSRCP is totally supported by Kapu and SC communities and also due to local MLAS candidature.</t>
  </si>
  <si>
    <t>1.Farmers(Paddy,Sweet corn)
2.Lorry driver</t>
  </si>
  <si>
    <t>1. This is the OC (Kapu) and BC (Thurpu Kapu) dominant village which are split between TDP, YCP, and JSP.
2. YCP is totally banking on the SC (Mala )community along with split votes of Kapu and other minority votes BC caste.
3. JSP was able to split a decent amount of Kapu vote share which dented the prospects of both TDP &amp; YSRCP in the village.</t>
  </si>
  <si>
    <t xml:space="preserve">1.OC (kapu) and Thurpu kapu (BC)communities are slightly disgruntled with the leadership due to the lack of development in the village.
2.JSP has a strong presence in the Kapu community and the TDP+JSP alliance will help to consolidate the majority of the vote bank
</t>
  </si>
  <si>
    <t xml:space="preserve">1. Pending bills of 2 lakhs for drainage.
2. Pending bills on slabs for the market </t>
  </si>
  <si>
    <t>1.YCP got majority votes from the kapu caste and Kana babu is a strong Leader 
2.TDP lost due to local Leaders did not do the campaign Properly.</t>
  </si>
  <si>
    <t>YCP has high Majority to come because He developed so much and gave so many helpful Schemes</t>
  </si>
  <si>
    <t xml:space="preserve">1.Agriculture(Paddy)
</t>
  </si>
  <si>
    <t xml:space="preserve">1.This is Kapu dominant village , the community is majorly split between YSRCP and JSP.
2. Ysrcp is banking on SC communities (Mala ) along with other minor communities of BC and majority of kapu community.
3.Jsp has good hold in Kapu community which able to secure vote share from kapu tended to YSRCP .
</t>
  </si>
  <si>
    <t>1.TDP has a strong presence in the Kapu community and the TDP+JSP alliance will help to consolidate the majority of the vote bank</t>
  </si>
  <si>
    <t>1.pending bills on graveyard,CC Roads and drainage</t>
  </si>
  <si>
    <t>MALLAVARAM</t>
  </si>
  <si>
    <t>1. Agricultural Farming 
2.Potato starch</t>
  </si>
  <si>
    <t>1. This is Thurpu Kapu's dominant village which is majorly inclined towards YCP and rest to TDP.
2. YCP banked on the majority of Thurpu kapu along with SC, ST, and OC (Mala, Kapu, and Konda Dora).
3.JSP has no bare minimum presence in this village.</t>
  </si>
  <si>
    <t>1. YCP has a positive image due to the success of welfare schemes.
2. There is more chance for YCP to win this election because of welfare schemes like Cheyutha and Vidya Deevana. The majority of the vote composition is towards YCP
2. YCP has a strong vote bank in the Kapu Community due to the key local YCP leader hailing from the Thurpu Kapu community</t>
  </si>
  <si>
    <t>Medium Leadership but low vote bank</t>
  </si>
  <si>
    <t>1.Pending bills of 8lakhs on Sachyavalayam buildings and RBK buildings</t>
  </si>
  <si>
    <t>1. This is the OC (Kapu) dominant village which is split between TDP and YSRCP  due to the MLAS Candidature.
2. YCP is totally banking on SC communities(Mala and Madiga).
3. JSP was able to split the vote share of the OC (kapu)community which dented both the parties TDP and YSRCP.</t>
  </si>
  <si>
    <t xml:space="preserve">1.JSP +TDP alliance may work to grab votes of the Kapu vote bank.
2.YSRCP is totally banking on Mala,and Kapu communities due to local leadership </t>
  </si>
  <si>
    <t>1. Pending bills on drainage(45 lakhs)</t>
  </si>
  <si>
    <t>1.Farmers
2.Labours</t>
  </si>
  <si>
    <t>1. Kapu (OC)is totally inclined towards YSRCP along with some minorities of BC and with the majority of SC (mala ) communities.
2. JSP has a good share of votes from Kapu (OC) VOTE bank which dented both the TDP and YSRCP parties.</t>
  </si>
  <si>
    <t>1YSRCP has a major vote share from all the communities majorly from Kapu and SC communities(Mala) where as TDP ha no chance of voting due to local inactive leadership.</t>
  </si>
  <si>
    <t>1.Pending bills on drainage.</t>
  </si>
  <si>
    <t>1.This is a Kapu and Settibalija dominant village.
2.TDP got maximum votes due to settibalija and karikala Bakula (weavers OBC) vote bank.
3.JSP has split the kapu vote bank between them and YCP.</t>
  </si>
  <si>
    <t xml:space="preserve">1)BC vote bank will help both TDP and JSP secure a higher vote bank if they go in alliance in coming elections.
2) JSP and TDP alliance will play a bigger role in the coming elections </t>
  </si>
  <si>
    <t>1.Agriculture Farmers (Paddy,Bannana)</t>
  </si>
  <si>
    <t xml:space="preserve">1. This is a completely Kapu (OC) dominant village where 70% of the majority is inclined towards YSRCP due to MLAs candidature. </t>
  </si>
  <si>
    <t>1) YSRCP is completely banking on mala and madiga (SC)communities along with OC (Kapu), BC (Perika), and other minor communities due to local leadership(Kanarthi Srinivas) and also satisfied welfare schemes.</t>
  </si>
  <si>
    <t>1, pending bills on Sachyavalayam and hospital(15lakhs)</t>
  </si>
  <si>
    <t>1.ycp party has good name among the villagers bcz of schemes 2. Impact of Janmabhoomies Commities</t>
  </si>
  <si>
    <t xml:space="preserve"> YCP Schemes( YSR Raithu Borosa) are very useful for poor people </t>
  </si>
  <si>
    <t>not working</t>
  </si>
  <si>
    <t>RAMPA YERRAMPALEM</t>
  </si>
  <si>
    <t>one chnace to jagan and sympathy and impressed for schemes</t>
  </si>
  <si>
    <t xml:space="preserve">tdp will come bcz of sympathy on chandra babbu naidu </t>
  </si>
  <si>
    <t>VEDURUPAKA</t>
  </si>
  <si>
    <t xml:space="preserve">1. This village is a battleground for both TDP and YSRCP due to the local leadership. TDP has strong leadership in the SC (Mala and Madiga ) community.
2. YSRCP is banking on OC (Kapu) and BC (thurpu Kapu) communities.
</t>
  </si>
  <si>
    <t>1. Both TDP and YSRCP parties are backed by Kapu (OC) and Thurpu Kapu (BC) leadership due to the high concentration of the community.</t>
  </si>
  <si>
    <t>1.Pending bills on drainages(1.5lakhs)</t>
  </si>
  <si>
    <t>1. Paddy Farmers
2. Sweetcorn
3.Vegetable Farming(Tomato,Bitter gaurd,Brinjal)</t>
  </si>
  <si>
    <t>1. This is BC Uppara's dominant village which is majorly split between YCP and the rest of TDP.
2. Jyothula Chanti Babu won due to a shift of votes from TDP to YCP due to the change of party.
3.The majority of the Kapu community tilted towards YCP due to the Leader hailing from the same caste background
4.People wanted a change in govt and favoured the new CM candidature of Jagan "</t>
  </si>
  <si>
    <t>1. People are highly satisfied with all welfare schemes.
2. YCP has a very good chance to consolidate more vote banks due to MLA as well as local leadership candidature.
3.JSP has no presence in the village.
4. YCP MLA Jyothula Chanti Babu has a passive influence here due to his inactive relations with villagers
5.Jyothula Nehru of TDP is more active in terms of involvement with people, so TDP has an edge because of his candidature"</t>
  </si>
  <si>
    <t>1.Pending bills on drainage ,water,Bridges nearly of amount 10lakhs</t>
  </si>
  <si>
    <t>1. Farmers
2. Agricultural Labours</t>
  </si>
  <si>
    <t>1. YSRCP banked on SC (Mala and Madiga )communities along with a slight swing from Kapu community.
2.TDP banked on OC (Kapu ) along with slight BC minorities.</t>
  </si>
  <si>
    <t>1. YSRCP is banked with the majority of BC (koppula Velma)  and OC (kapu) communities along with slightly other minor communities.
YSRCP also has major support from SC Communities (Mala and Madiga)</t>
  </si>
  <si>
    <t>1.Pending bills on roads, drainages and water taps Sachyavalayam and aryogyasri Kendra(10 lakhs)</t>
  </si>
  <si>
    <t xml:space="preserve">1. Farmers 
2. Agriculture Labour </t>
  </si>
  <si>
    <t xml:space="preserve">This Village is dominated by the Perika community and the majority of the Perika community supported YSRCP due to promises like farm loan waiver and local leadership of Pallapu Vishnu Chakram (Perika, Ex-Sarpanch) and Pokal Subba Rao (Sarpanch, Perika). </t>
  </si>
  <si>
    <t>Both TDP and YSRCP parties backed by Perika leadership due to high concentration of the community.</t>
  </si>
  <si>
    <t xml:space="preserve">Around 250 villagers are beneficiaries of the government schemes and Sarpanch is disgruntled due to pending bills (10 lakhs) issue </t>
  </si>
  <si>
    <t>Farmers(Vegetables),hotels</t>
  </si>
  <si>
    <t>1. This is Kapu's dominant village, the community split between TDP and YCP.
2. Ycp is completely banking on the majority of SC community votes (Mala and Madiga) along with a swing of other minor community kapu and BC votes.</t>
  </si>
  <si>
    <t xml:space="preserve">1.Both TDP and YSRCP parties backed by Kapu leadership due to high concentration of the community.
2.TDP has stronger support from kapu vote bank and JSP+TDP alliance is an added advantage
</t>
  </si>
  <si>
    <t xml:space="preserve">1. Pending bills on water(50,000/-)
</t>
  </si>
  <si>
    <t>Prasanth</t>
  </si>
  <si>
    <t xml:space="preserve">1. Agriculture Labour 
2. Cashew Farmers </t>
  </si>
  <si>
    <t>1. This village is a battleground for both TDP and YSRCP due to the local leadership. TDP has strong leadership in Karnalu &amp; Kapu community (Bala Subramanyam- 3 times Sarpanch, Karnalu). 
2. YSRCP is focused on Turpu Kapu &amp; Konda Dora (ST) communities through welfare schemes.</t>
  </si>
  <si>
    <t>1. Madiga &amp; Konda Dora communities constitues around 500 votes and inclined towards YSRCP
2. TDP has strong leadership but majority of the vote bank inclined towards YSRCP due to welfare schemes</t>
  </si>
  <si>
    <t>YSRCP government failed to resolve the issues of Cell Tower and Road connectivity (Gandepelli to K Gopalapuram Village)</t>
  </si>
  <si>
    <t>1.labour
2.Farmers</t>
  </si>
  <si>
    <t>1.This ST  (Konda reddy) BC (Padmashali,rajaka,Velama)dominant village .
2. YCP is majorly banking on SC vote bank (Mala and Madiga) with a slight wave of vote bank from ST.
3. TDP is majorly banking on BC vote bank with all minor BC communities and the majority of ST (Konda Reddy) vote share.</t>
  </si>
  <si>
    <t xml:space="preserve">1.TDP is majorly banking on BC vote bank with all minor BC communities and the majority of ST (Konda Reddy) vote share due to local leadership (Pattem Apparao).
</t>
  </si>
  <si>
    <t>Did not receive bills for construction of schools,water tank and streetlight bills total of 9 lakh</t>
  </si>
  <si>
    <t>Agricultural farmers(paddy field)</t>
  </si>
  <si>
    <t>1)Jsp has second chance because there is a talk that leaders from TDP Nandipathi Sathibabu and Nandipathu Srinu from kapu caste are joining JSP who can influence 30% of votes</t>
  </si>
  <si>
    <t>Many schemes are given like Amma vodi,Vidya deevana and kapu nestahm and all also maximum development is made in present government</t>
  </si>
  <si>
    <t>Agricultural farmers</t>
  </si>
  <si>
    <t>YCP won due to sympathy towards rajashekar reddy and all are against TDP as they did not fulfill their promises</t>
  </si>
  <si>
    <t>1) There is more chance for YCP to win this election because of welfare schemes like Cheyutha and Vidya Deevana. The majority of the vote composition is towards YCP
2. YCP has a strong vote bank in Kapu Community due to the key local YCP leader hailing from Kapu community</t>
  </si>
  <si>
    <t>Good image on government as well as schemes like cheyutha etc</t>
  </si>
  <si>
    <t>1.This is BC  Koppula Velama dominant village which is split majorly to YCP and rest to TDP.
2.There are no TDP leaders at that time and due to high influence of YCP leaders ,YCP secured major vote bank.</t>
  </si>
  <si>
    <t>1.There is more caste composition of vote bank from velma towards YCP 
2.People are highly satisfied with the Welfare schemes like amma vodi ,cheyutha are also in time favouring the public.
3.JSP has no minimal presence in this village.</t>
  </si>
  <si>
    <t>The TDP will win if Nallamili Ravi Shankar stays in the party .</t>
  </si>
  <si>
    <t xml:space="preserve">1. Farmers
2. Construction Labour / Masons - 400
3. Agriclture Labour </t>
  </si>
  <si>
    <t>1. This is a Kapu-dominated village and JSP was able to secure a majority of the Kapu vote bank which split the TDP vote Bank.
2. YSRCP was banking on the SC vote bank (Mala, Madiga) which constitutes 1000 votes in the village.
3. The approximate BC vote bank is around 100 (majorly Setti Balija) and inclined towards TDP.</t>
  </si>
  <si>
    <t>1. This is Kapu dominated village and majority of the community inclined towards JSP. TDP &amp; JSP alliance will play a major role in coming elections
2. YSRCP has solid vote bank in SC communities (1000 votes)
3. Less concentration of BC vote bank is making difficult for TDP</t>
  </si>
  <si>
    <t xml:space="preserve">1. Majority of the public disappointed due to lack of development in the village 
</t>
  </si>
  <si>
    <t>1. Lorry Drivers
2. Agriculture farmers</t>
  </si>
  <si>
    <t>1. Due to internal disputes between JSP and TDP, JSP backed YCP in those elections, which helped YCP win.
2. People wanted a change in government due to the attractive schemes brought out by YCP</t>
  </si>
  <si>
    <t>1. YCP Leader Tangella Uday Srinivas is coordinating with JSP. This will cause the YCP vote bank to shift towards JSP
2. YCP Sarpanch K Sunitha has very little influence over here
3. TDP local leaders belong to the Koppula Velama and Kapu communities. Hence, they might attract these major communities voting towards TDP</t>
  </si>
  <si>
    <t>1. Bills worth 1.5 - 2 Lakhs pending for Drains and Street Lights works</t>
  </si>
  <si>
    <t xml:space="preserve">1. Agriculture 
2. Fisherman </t>
  </si>
  <si>
    <t>1. The major BC communities Palli &amp; Devanga communities split between YSRCP &amp; TDP in the elections due to Jagan Poll Promises.
2. The Kapu community was split between YSRCP &amp; JSP due to respective MLA candidature.</t>
  </si>
  <si>
    <t xml:space="preserve">1. There is resentment in major BC communities due to lack of development in the village, JSP and TDP alliance will play a major role in countering YSRCP vote bank </t>
  </si>
  <si>
    <t>4 Lakhs bills pending for Sarpanch and sligtly disgruntled with government</t>
  </si>
  <si>
    <t xml:space="preserve">1. Paddy Farmers 
</t>
  </si>
  <si>
    <t>1. The majority of the SC communities (Mala &amp; Madiga) which constitute 50% of the population inclined towards YSRCP is the reason for the majority in the previous elections. 
2. Kapu vote bank was split among all the three major parties due to the MLA candidate's candidature which impacted TDP poll prospects.</t>
  </si>
  <si>
    <t xml:space="preserve">1. Due to the high concentration of SC vote bank (majorly Mala community)
2. TDP-JSP allaince will a major role in consolidation of Kapu community </t>
  </si>
  <si>
    <t>1. Farmers 
2. Masons / Construction Labour</t>
  </si>
  <si>
    <t>1. This is a Kapu-dominated village where JSP was able to split the vote bank of both TDP and YSRCP vote bank.
2. TDP was able to consolidate Setti Balija &amp; Rajaka votes due to local leadership.
3. SC communities constitues (500 votes- Mala &amp; Madiga) and inclined towards YSRCP.</t>
  </si>
  <si>
    <t xml:space="preserve">1. TDP+JSP alliance will help to consolidate majority of the vote bank
2. YSRCP has stronghold among SC communities and its beneficiaries </t>
  </si>
  <si>
    <t xml:space="preserve">1. Pending Bills to Sarpanch for infra works </t>
  </si>
  <si>
    <t xml:space="preserve">1.Agriculture Labour </t>
  </si>
  <si>
    <t>Jagan Navaratanalu schemes</t>
  </si>
  <si>
    <t>1. This is a K. Velama-dominated village and split between YSRCP and TDP due to the local leadership.
2. Mala &amp; Madiga constitute around 350 votes and are inclined towards YSRCP.</t>
  </si>
  <si>
    <t xml:space="preserve">1. K. Velama community is more inclined towards TDP which provide an edge to the party in the coming elections 
2. SC communities are sligtly disgruntled with the leadership due to lack of graveyard for them in the village </t>
  </si>
  <si>
    <t xml:space="preserve">1. 15th Finance Commission funds are pending and no development in the village </t>
  </si>
  <si>
    <t xml:space="preserve">1. Agriculture Labour 
2. Daily Labour </t>
  </si>
  <si>
    <t>1. JSP was able to split the majority of the Kapu vote bank which dented the prospects of TDP.
2. The SettiBalija community is split between TDP &amp; YSRCP due to the local leadership.
3. Mala and Bondilu communities supported YSRCP due to the party's image and wave in the last elections.</t>
  </si>
  <si>
    <t>1. YSRCP has strong vote bank in the village in Bondilu and Mala communities along with strong leadership 
2. TDP has strong presence in Setti Balija communities and JSP alliance will help to get Kapu vote bank.</t>
  </si>
  <si>
    <t>1. There is no recognisation for Sarpanch and disgruntled with government over pending biils issues of 10 -12 lakhs 
2. General Public are disappointed with government over lack of development</t>
  </si>
  <si>
    <t>1. Agriculture(Paddy)</t>
  </si>
  <si>
    <t>1. The majority of the Kapu vote bank was divided between YSRCP and them by JSP.
2. YSRCP is banking on Mala and Madiga SC Communities.
3. TDP IS majorly banking on BC communities settibalija, rajaka, etc.</t>
  </si>
  <si>
    <t xml:space="preserve">1. The Kapu community is slightly inclined towards YSRCP along with the majority of Mala and Madiga vote banks.
2. JSP has a strong presence in the Kapu community and the TDP+JSP alliance will help to consolidate the majority of the vote bank
</t>
  </si>
  <si>
    <t>1. 15th Finance Commission funds are pending 
2. Bills are pending on hospital,sachyavalam, and road construction.</t>
  </si>
  <si>
    <t>1. Mason
2.Daily Labour</t>
  </si>
  <si>
    <t>1. This is Kapu's dominant village and the community is divided between TDP and YSRCP.
2.TDP is banking on BC Communities (rajaka, Yadava and Padmashali ).</t>
  </si>
  <si>
    <t xml:space="preserve">1. The Kapu community is slightly inclined towards YSRCP along with the majority of Mala and Madiga vote banks.
2.TDP has a strong presence in the Kapu community and the TDP+JSP alliance will help to consolidate the majority of the vote bank
</t>
  </si>
  <si>
    <t xml:space="preserve">1.6 lakhs is pending in the 20 lakh bill.
2. panchayath water bills is pending.
3. 15th Finance Commission funds are pending 
</t>
  </si>
  <si>
    <t xml:space="preserve">TDP is going to prevail if Paila Paidiraju (K. Velama) contests.Having served in four constituencies as Sarpanch, Paila Paidiraju has twenty years of experience.
</t>
  </si>
  <si>
    <t xml:space="preserve">1. Paddy Farmers 
2. Daily Labour </t>
  </si>
  <si>
    <t>1. This is a Kapu-dominated village but the community is split between YSRCP &amp; TDP due to the local leadership.
2. The majority of the BC &amp; SC communities split between TDP &amp; YSRCP due to local dynamics .</t>
  </si>
  <si>
    <t>1. High concentration of Kapu community in the village and split between YCP &amp; TDP 
2. JSP has minimal impact due to lack of local leadership</t>
  </si>
  <si>
    <t xml:space="preserve">1. Pending bills for developmental works - Drainage and Street Lights 
2. Pending salaries of Sanitation workers </t>
  </si>
  <si>
    <t>1. Famers 
2. Vegetable Cultivation 
3. Agriculture Labour</t>
  </si>
  <si>
    <t>1. The majority of the BC communities (Turpu Kapu, Yadava &amp; Nayi Brahmin) voted in favour of YSRCP due to the anti-incumbency on TDP. SC communities consolidated in favour of YSRCP.
2. JSP was able to split a decent amount of Kapu vote share which dented the prospects of both TDP &amp; YSRCP in the village.</t>
  </si>
  <si>
    <t xml:space="preserve">1. Strong leadership in Kapu community in YSRCP along with split in BC communities  
2. TDP is banking on BC vote bank but couldn't consolidate due to lack of strong local leadership </t>
  </si>
  <si>
    <t>1. Some of the developmental works are in pending like junior college is sanctioned but not materialised</t>
  </si>
  <si>
    <t>1. Labour
2.Agriculture labour</t>
  </si>
  <si>
    <t>1. This is the battleground village where the majority of the communities split between TDP &amp; YSRCP due to local leadership in the village.
2. JSP failed to impact the Kapu vote bank due to weak MLA candidature and lack of local leadership.</t>
  </si>
  <si>
    <t xml:space="preserve">1. Kapu community will a major role in securing the majority in this village 
2. YSRCP has focused Mala &amp; Madiga vote bank along with section of Kapu commity </t>
  </si>
  <si>
    <t>1. Sarpanch is dissatified with the government due to pending bills of drinage construction</t>
  </si>
  <si>
    <t xml:space="preserve">1. Paddy Farmers 
2. Cotton Farmers 
3. Agriculture Labour </t>
  </si>
  <si>
    <t>1. The majority of the Perika community voted in favour of YSRCP along with a section of the Kapu community due to MLA candidature. YSRCP is successful in consolidating the SC vote bank.
2. TDP was banking on a section of Kapu votes along with the Yadava community in the village.
3. JSP has support from Kapu youth but is very minimal.</t>
  </si>
  <si>
    <t xml:space="preserve">1. YSRCP's strong vote bank in Perika and SC communities along with minor BCs 
2. TDP is banking on Yadava and Kapu vote bank in the village 
3. JSP has support from Kapu youth but very minimal </t>
  </si>
  <si>
    <t>1. Sarpanch has pending bills of 15 lakhs (Drainage Construction)</t>
  </si>
  <si>
    <t xml:space="preserve">1. Cotton Farmers 
2. Vegetable Farmers 
3. Paddy Farmers </t>
  </si>
  <si>
    <t>1. The Kapu community was split between YSRCP and TDP in the previous elections due to the local leadership. 
2. The majority of the minor BC communities voted in favor of YSRCP in the previous elections due to Jagan Manifesto promises.
3. JSP had minimal impact on the Kapu vote bank.</t>
  </si>
  <si>
    <t xml:space="preserve">1. Due to the high concentration of Kapu community YSRCP has slight edge over Kapu community due to MLA candidature 
2. There will be split in BC community due to welfare schemes of the government 
3. JSP -TDP alliance will play a role in securing Kapu community in the village </t>
  </si>
  <si>
    <t>1. Sarpanch has pending bills of around 8 lakhs for water pipes and drains cleaning</t>
  </si>
  <si>
    <t>1.Agriculture (Paddy)</t>
  </si>
  <si>
    <t>1. This is Kapu dominant village, and this community is split between YCP, TDP, and JSP due to local leadership.
2. YCP is banking on the SC Community (Mala and Madiga) and also swing votes from other minor communities.
3. JSP has a very good presence in the Kapu community and was able to get a decent amount of votes from the Kapu community which was intended for the TDP party.</t>
  </si>
  <si>
    <t xml:space="preserve">1.JSP -TDP alliance will play a role in securing Kapu community in the village .
2.There will be split in BC community due to welfare schemes of the government </t>
  </si>
  <si>
    <t>1. pending bills on YSR Clinic (14Lakhs)</t>
  </si>
  <si>
    <t>1.Agriculture labours,
2.Palm oil</t>
  </si>
  <si>
    <t xml:space="preserve">1. This is an OC-dominant (Chowdary)village that is completely inclined towards the TDP party.
2. YCP is banking completely on the SC community(Mala and Madiga).
</t>
  </si>
  <si>
    <t xml:space="preserve">1. TDP has very good presence in OC  (chowdary) caste which is completely inclined towards them due to local leadership(Thakura Srinicasrao)  and TDP+JSP alliance is an added advantage.
2.YCP has good presence in SC (Mala and Madiaga) yet there is no chance of gaining votes due to internal conflicts between the leaders due Nikkenti Sai Prasad dominance leadership. </t>
  </si>
  <si>
    <t xml:space="preserve">1.15th Finance Commission funds are pending 
</t>
  </si>
  <si>
    <t>1.Agriculture Farmers(Paddy)
2.Daily Labours</t>
  </si>
  <si>
    <t>1. This is Kapu's dominant village, this community is split between YCP and TDP. 
2. YCP is banking completely on SC communities along with other minor communities of BC (Perika and Nayi Brahmin) (Mala and Madiga).</t>
  </si>
  <si>
    <t xml:space="preserve">
1. TDP has a very good presence in the BC community (Yadav) and there is major support from local leaders from the YCP party (Sai) and the TDP +JSP alliance is an added advantage.</t>
  </si>
  <si>
    <t>1. Sarpanch is neglected by YSRCP and he is disgruntled with the party.
2. Pending bills on sweeper salaries(8lakhs)</t>
  </si>
  <si>
    <t>YCP Sarpanch is dissatisfied because he lacks authority and MPTC is handling everything, whereas TDP is secure.</t>
  </si>
  <si>
    <t>1.Farmers(paddy,Cotton,Mirchi,Vegetables)</t>
  </si>
  <si>
    <t xml:space="preserve">1. This is SC (Mala) and OC (Kshatriya) dominant village,these communities are split between both the parties TDP and JSP.
</t>
  </si>
  <si>
    <t>1.YCP is majorly banking on SC (Mala) community and with slight swing of OC Kshatriya vote bank due to local leadership(Satyavenkata Seetharama krishna raju)</t>
  </si>
  <si>
    <t>1.Agriculture(Paddy)</t>
  </si>
  <si>
    <t>1. This is the Kapu (OC) and BC (Settibalija ) dominant village,the community is split between both the parties TDP and YCP.
2. YCP is banking on the SC caste Mala community along with the slight edge of the Kapu vote share.
3. YCP won as people wanted to see any new developments taking place hence Jagan won.</t>
  </si>
  <si>
    <t>1. TDP has a very good presence in the BC community (Settibalija ) 
2. The TDP+JSP alliance is an added advantage.
3. People are highly dissatisfied with YCP  as it failed to fulfill the promises like making developments etc.
4. Pilli Anantha Lakshmi is very responsive towards people and is attending many functions and campaigns that are being conducted in the village.
5. JSP MLA Pantham Nanaji also has a very good presence in public due to his help that he has done during carona.</t>
  </si>
  <si>
    <t xml:space="preserve">1. Paddy Farmers 
2. Dairy </t>
  </si>
  <si>
    <t>1. YSRCP was successful in securing the majority of the Ontari and SC communities (Mala &amp; Madiga) in the previous elections. 
2. Other BC communities (Rajaka&amp; Nayi Brahmin) voted in favor of YSRCP due to the wave in the previous elections.
3. JSP was able to secure some sections of the Ontari &amp; Kapu vote due to the party's image.</t>
  </si>
  <si>
    <t xml:space="preserve">1. YSRCP's strong presence in Ontari and SC communities 
2. TDP is failed to penetrate into minor BC communities due to lack of vote bank 
3. JSP has decent influence in Kapu community </t>
  </si>
  <si>
    <t xml:space="preserve">1. Sarpanch has pending bills for Sachivalayam construction </t>
  </si>
  <si>
    <t xml:space="preserve">1. Cashew Farmers
</t>
  </si>
  <si>
    <t>1. In This BC (Yadava)dominant village, the community is split between TDP and YSRCPalong with the major votes of other BC communities.
2. JSP had minimal impact on the Kapu vote bank.</t>
  </si>
  <si>
    <t>1. TDP is banking on the BC community (Yadavas ) along with other BC communities(Rajaka and Naya Brahmin).
2. YCP is banking on SC communities Mala and Madiga along with a slight vote bank from the Yadava community.</t>
  </si>
  <si>
    <t>1.Pending bills on school wall (7lakhs)</t>
  </si>
  <si>
    <t>YCP is very strong because there is no one from TDP in conversing.Thats why TDP is difficult as the slope of TDP is very low.</t>
  </si>
  <si>
    <t xml:space="preserve">1. Farming
2. Bricks manfacturing
3. Nursery </t>
  </si>
  <si>
    <t xml:space="preserve">1. This is OC Dominant village (Ontari) this community split with the majority of votes towards TDP and a minor vote bank towards YCP.
</t>
  </si>
  <si>
    <t>1. TDP is banking on the OC community Ontari along with other BC Communities, and there is a maximum chance of gaining more vote banks due to local leadership(Nandamuri Venakana dora-OC -TDP) candidature.
2.YCP is banking on SC communities (Mala and Madiga).</t>
  </si>
  <si>
    <t>1. Pending bills on Rythu Barossa and sachyavalayam which are incomplete (16lakhs)</t>
  </si>
  <si>
    <t>The TDP is safe. In the next election, the TDP is supported by everyone, will be acknowledged as a party. YCP period with a high TDP.</t>
  </si>
  <si>
    <t xml:space="preserve">1.Paddy Farmers </t>
  </si>
  <si>
    <t>1. This village is dominated by K.Velama community and split between both YSRCP and TDP parties 
2. Kapu is highly inclined towards YSRCP and minor BC voted in favour YSRCP due to manifesto promises 
3.JSP couldn't appease Kapu vote bank due to weak leadership</t>
  </si>
  <si>
    <t xml:space="preserve">1. There is split in Koppula Velama community which impacts TDP vote bank 
2.Minor BCs along with Kapu still inclined towards YSRCP due to welfare schemes and Dadisetty Raja 
3. JSP has no leadership and will impact around 50-100 votes in the village </t>
  </si>
  <si>
    <t xml:space="preserve">1. Sarpanch has pending bills of 7 lakhs related to housing sites and RBK buidling painting works
2. Public has positive response due to welfare schemes </t>
  </si>
  <si>
    <t>1. Cashew 
2.Agricultural Farming</t>
  </si>
  <si>
    <t xml:space="preserve">1. This is a completely BC (Yadav)dominant village, this community is split between YCP and TDP.
2. OC (Kapu) community is equally inclined towards both parties.
</t>
  </si>
  <si>
    <t>1.YCP is majorly banking BC Community(yadavs) due to local leader(Miriyala Jogi raju-YCP-Yadava)candidature.
2. SCand BC  (Mala and Rajaka)communities are completely inclined towards YCP.</t>
  </si>
  <si>
    <t xml:space="preserve">1. Pending bills on Gadpa Gadpa programme (10 lakhs)
2. pending bills on sweeper salaries(5 lakhs) </t>
  </si>
  <si>
    <t>After the 2019 TDP and YCP elections, both parties have an equal chance of winning.</t>
  </si>
  <si>
    <t>1. Paddy farming 
2.palm oil 
3.Sugar cane</t>
  </si>
  <si>
    <t>1. This is Kapu's dominant village which is split between all the three parties of YCP, TDP, and JSP.
2. YCP is banking on kapu and mala vote bank. 
3. JSP failed to impact the Kapu vote bank due to weak MLA candidature.</t>
  </si>
  <si>
    <t>1. The TDP+J SP alliance will help to consolidate the majority of the vote bank 
2. YSRCP has a stronghold among SC communities and its beneficiaries.
3. YSRCP has a stronghold among SC  and OC (Mala and Kapu ) communities due to local candidature(Adapa Satyavani).</t>
  </si>
  <si>
    <t>1. Pending bills on Sweeper salaries (7 lakhs)</t>
  </si>
  <si>
    <t>TDP is challenging, but YCP is safe. The YCP president is disappointed that volunteers aren't treated with respect and value.</t>
  </si>
  <si>
    <t>1.Paddy farming</t>
  </si>
  <si>
    <t>1. This is Kapu's dominant village which is split between all the three parties of YCP, TDP, and JSP.
2. JSP has a very good presence in the Kapu OC community which is able to consolidate and split the votes that are dented to both the TDP and YCP party.</t>
  </si>
  <si>
    <t xml:space="preserve">1.TDP+J SP alliance will help to consolidate majority of the vote bank
2. YSRCP has stronghold among SC communities and its beneficiaries </t>
  </si>
  <si>
    <t>1.Pending bills on CC Drains and Gadpa gadapa programmae and hospital construction</t>
  </si>
  <si>
    <t>1.Paddy farming
2.Mirchi
3.Marigold</t>
  </si>
  <si>
    <t>1. This OC and SC (Kapu and Mala ) dominant village.
2. YCP is banking on kapu and mala vote bank. 
3. JSP failed to impact the Kapu vote bank due to weak MLA candidature.</t>
  </si>
  <si>
    <t xml:space="preserve">1. YSRCP has a stronghold among SC  and OC (Mala and Kapu ) communities due to local MLA candidature.
2. JSP has minimal impact due to a lack of local leadership.
3. High concentration of Kapu vote bank and split between YSRCP ,JSP and TDP 
</t>
  </si>
  <si>
    <t>15th finance is pending</t>
  </si>
  <si>
    <t>1. Paddy Farming
2. cotton
3.Daily wage labours</t>
  </si>
  <si>
    <t>1.This ST dominant village (Mani doraand Konda reddy).
2. BC Communities Senepathulu and velmas  and SC Communities Mala and madiga showed their major support towards YCP.</t>
  </si>
  <si>
    <t>1. local leader Gantibala Ramanamma ( TDP -ST -Manidora) has great support from ST communities both Konda Reddy and Mani Dora.
2.TDP+JSP alliance will play an added advantage.</t>
  </si>
  <si>
    <t>1. Pending bills on street lights, current poles, and sanitization and water taps (3 lakhs).
2.Pending bills on sweeper salaries (40,000/-)</t>
  </si>
  <si>
    <t>If TDP is challenging, YCP is secure. TDP will prevail because OC and BC society is dominanting there and the party's leaders are not correct.</t>
  </si>
  <si>
    <t>1. Paddy farming</t>
  </si>
  <si>
    <t>1. This is the OC and BC (Kapu and Padmashali )dominant village.
2. YCP is supported with BC communities Padmashali and rajka communities.</t>
  </si>
  <si>
    <t>1. OC and SC communities(Kapu, Mala, and Madiga) are completely inclined to show interest in the TDP Party.
2.TDP+JSP has the maximum chance to consolidate more kapu and Padmashali vote banks due to local leadership's (Joga Govind-Padmshali)candidature.</t>
  </si>
  <si>
    <t xml:space="preserve">1. Pending bills on housing loans </t>
  </si>
  <si>
    <t>1.Agriculture
2.Mason</t>
  </si>
  <si>
    <t>1.This is BC dominant village (Yadavs ,Settibalija ) these communities were inclined towrds TDP.
2.YCP is banking on SC Communities (Mala and Madiga) along with slight edge of other minor BC Communities.
3.JSP had minimal presence due to the low Kapu vote bank.</t>
  </si>
  <si>
    <t>1.TDP is banking completely on BC Communities (Yadavas and Settibalija.
2.Though YCP has vote bank of SC Communities yet there is neagative impact due to local leadership(Lanka Venkatlakshmi) doing illegal minning activities.</t>
  </si>
  <si>
    <t xml:space="preserve">1.Pending bills  about 60 lakhs.
2.Illegal mining activities by Sarpanch.
3.Welfare Schemes are stopped by local leaders.
</t>
  </si>
  <si>
    <t>1. Paddy Farmers 
2. Cashew Farming
3. Sugarcane 
4.Palmoil
5.Masons</t>
  </si>
  <si>
    <t>1. This is the BC and SC (Yadava and Mala) dominant village and these communities are split between both TDP and YSRCP Parties.
2.Yadava is highly inclined towards TDP and other minor BC voted in favour of YSRCP.
3.JSP has no effect on any of the communities.</t>
  </si>
  <si>
    <t>1. There is a split Yadava community which impacts the TDP vote bank.
2. Minor BCs along with Mala still inclined towards YSRCP due to welfare schemes.</t>
  </si>
  <si>
    <t>1. Pending bills of 18lakhs on Water bore , Roads,silt, handle boards(40k).</t>
  </si>
  <si>
    <t xml:space="preserve">1. Rice Business 
2. Workers in Cashew Factory </t>
  </si>
  <si>
    <t>1. This is Kapu dominated village and majority of the community is split between YSRCP and JSP 
2. TDP has limited presence in the village due to high concentration of Kapu vote bank which inclined to opposition parties 
3. JSP was able to split the majority of the Kapu vote bank which dented YSRCP's majority</t>
  </si>
  <si>
    <t>1. High concentration of Kapu vote bank and JSP has strong influence among Kapu votes in the village 
2. There will be shift from Minor BCs towards YSRCP due to welfare schemes 
3.TDP failed to capture the Kapu vote bank due to lack of local leadership</t>
  </si>
  <si>
    <t xml:space="preserve">1. Sarpanch has pending bills of 15 Lakhs for CC roads </t>
  </si>
  <si>
    <t>1.Farming
2.Cashew farming
3.Labours</t>
  </si>
  <si>
    <t>1. This is BC (Koppula Velma ) dominant village, this community is split between both the parties TDP and YCP.
2. TDP is banking on BC communities (Yadava ) along with swing communities .</t>
  </si>
  <si>
    <t>1. High concentration of Koppula Velma vote bank and due to local leadership (Thamarala Satyanarayana-TDP-Koppula Vema)candidature.</t>
  </si>
  <si>
    <t>1. Pending bills of 39 lakhs and 15 lakhs for Water Pipes, Sanitization,CC Roads ,Street lights</t>
  </si>
  <si>
    <t>While YCP is challenging, TDP is secure because MPTC and Sarpanch are TDP leaders who similarly take the lead from behind.</t>
  </si>
  <si>
    <t>1.Farming</t>
  </si>
  <si>
    <t>1. This is the battleground village where the majority of the communities split between TDP &amp; YSRCP due to local leadership in the village.</t>
  </si>
  <si>
    <t xml:space="preserve">
1. TDP has a very good presence in the BC communities due to local leadership (Lalam Krishna Veni-TDP)</t>
  </si>
  <si>
    <t>50% TDP, 50% YCP Chances TDP is week because those who were a part of it moved to YCP (Somarauthu Dora is an OC community).</t>
  </si>
  <si>
    <t xml:space="preserve">1.Paddy Farming
</t>
  </si>
  <si>
    <t>1. This is Kapu's dominant village and the community is split between TDP and YSRCP.
2. YCP is banking on SC communities (Mala)with the vote bank of BC swing communities.
3.JSP has a weak presence and couldn't secure any votes.</t>
  </si>
  <si>
    <t>1. TDP has a  very good presence in both the communities of SC and BC communities due to local leadership (Murali Krishna- Kapu - TDP) Candidature.
2. TDP is banking on SC (Mala, Madiga ) completely along with the swing votes of BC Communities (rajaka, Nayi Brahmin and Senapathi).
3. TDP +JSP can secure a majority of votes as Dadisetti Raja has very negative impact due to illegal sand mining  and also JSP has more vote bank but it lacks proper local leader .</t>
  </si>
  <si>
    <t>Weak Leadership but strong vote bank</t>
  </si>
  <si>
    <t>1. Pending bills on Sachyavalayam Construction.</t>
  </si>
  <si>
    <t>1. Agriculture Farmers/Workers
2. Daily wage workers</t>
  </si>
  <si>
    <t>1. This is a SC, ST-dominated Village consisting of Mani Dora, Konda Reddi, Malas and Madigas.
2. Strong YSRCP Cadre and Leadership
3. JSP has a weak presence and couldn't impact previous election results</t>
  </si>
  <si>
    <t>1. Strong Presence of YSRCP cadre and Strong Leadership
2. TDP Sarpanch was attacked by YSRCP cadre on network issue
3. TDP Sarpanch is losing power due to strong YSRCP cadre</t>
  </si>
  <si>
    <t xml:space="preserve">Bills worth 2.5 Lakhs pending for TDP Sarpanch.
CC roads and Drainage works related Bills. </t>
  </si>
  <si>
    <t>1. Fishing
2.Yatcharies</t>
  </si>
  <si>
    <t>1. This is BC Yadava's dominant village which is split between both the parties TDP and YCP.
2. People gave one chance to Jagan due to his welfare Schemes and also imagined future better development by the government. 
3.Due to illegal activities by TDP government in case of pensions made people against TDP.</t>
  </si>
  <si>
    <t xml:space="preserve">1. People are highly dissatisfied with the YCP government as there is no development and this village is completely TDP village.
2. TDP MLA Yanamala Divya belongs to this village hence they are fond of her and she is very active and responsive towards people.
3. BC mainly the Yadava vote bank is majorly inclined towards TDP due to MLA Candidature.
4.JSP has major vote bank from youth and TDP+JSP alliance is an added advantage to either of the parties.
</t>
  </si>
  <si>
    <t>1. Agriculture Farmers
2. Paddy and Cotton along with Vegetable farming</t>
  </si>
  <si>
    <r>
      <rPr>
        <sz val="11"/>
        <color rgb="FF3C4043"/>
        <rFont val="Arial"/>
      </rPr>
      <t xml:space="preserve">1. This is a ST dominant village with a majority of Mani Dora and Konda Reddi Community
</t>
    </r>
    <r>
      <rPr>
        <i/>
        <sz val="11"/>
        <color rgb="FF3C4043"/>
        <rFont val="Arial"/>
      </rPr>
      <t xml:space="preserve">2. </t>
    </r>
    <r>
      <rPr>
        <sz val="11"/>
        <color rgb="FF3C4043"/>
        <rFont val="Arial"/>
      </rPr>
      <t xml:space="preserve">TDP vote bank (Nayi Bramhin, Rajaka and Yadav) is weak in numbers.
</t>
    </r>
    <r>
      <rPr>
        <i/>
        <sz val="11"/>
        <color rgb="FF3C4043"/>
        <rFont val="Arial"/>
      </rPr>
      <t xml:space="preserve">3. </t>
    </r>
    <r>
      <rPr>
        <sz val="11"/>
        <color rgb="FF3C4043"/>
        <rFont val="Arial"/>
      </rPr>
      <t xml:space="preserve">YSRCP promised an infrastructure revamp, including new roads </t>
    </r>
  </si>
  <si>
    <t xml:space="preserve">1. Since it is an ST-dominant Village, it has a strong YSRCP vote bank 
2. There is a Pro-Government projection in the village due to welfare schemes 
3. Weak JSP vote bank results in a negligible vote-split 
</t>
  </si>
  <si>
    <t xml:space="preserve">Bills worth 2.4 Lakhs pending for YSRCP Sarpanch
For Roads, Drainages and Sanitatation. </t>
  </si>
  <si>
    <t>1. Paddy Farmers</t>
  </si>
  <si>
    <t>1. It was a close fight that resulted in YSRCP Victory
2. YSRCP was able to split the BC vote bank and also picked up the swing BC Community vote bank
3. JSP couldn't split the YSRCP vote share</t>
  </si>
  <si>
    <t xml:space="preserve">1. A closely contested village with a majority of BC Voters
2. YSRCP has a positive image due to the welfare scheme as well as widespread respect for Rajasekhar Reddy
3. TDP has a strong chance to compete due to a favourable BC vote bank
4. JCP has negligible impact </t>
  </si>
  <si>
    <t xml:space="preserve">Previous YSRCP Sarpanch has 16.5 lakhs pending bills for burial ground shed, water pipelines, CC Roads and drains,
Present, YSRCP Sarpanch has 10 lakhs Pending Bills for CC Roads and Drainages.  </t>
  </si>
  <si>
    <t>1.Fisher Man</t>
  </si>
  <si>
    <t>1. This is BC (Vada-Balija) dominant village, this community is split between two major parties YCP and TDP.
2. YCP banked on Vadabalija along with the swing communities of BC.
3.JSP has a weak presence and couldn't secure considerable vote share.</t>
  </si>
  <si>
    <t>1. YCP has a strong presence in all the BC Communities along with the SC Community and also due to local leadership ( Garikina Ammaji-VadaBalija -Sarpanch -YSRCP)candidature.
2. TDP is banking on split votes of  Vada Balaija (due to local candidature -Surada Rambabu)along with a majority of the Yadava Community.
3. Weak JSP vote bank results in a negligible vote-split 
4. TDP has the possibility to secure the Majority of the vote bank from the VadaBalija BC community due to the negative impact on development promises made by the present government.</t>
  </si>
  <si>
    <t xml:space="preserve">1.There were issues between Vada Balija and Settibalija and Yanamal Krishnudu supported the Vada Balija community hence settibalija community people are disgruntled towards TDP party.
2. Vada Balija community is afriad of losing livelihoods due to the settting up of Aurobindo Pharma and Divis Pharma as they pollute the sea </t>
  </si>
  <si>
    <t>1. This is BC (Vada-Balija) dominant village, this community is split between two major parties YCP and TDP due to local leadership.
2. Since other BC and OC Communities (Vishwa Brahmin, Vyshya and Kamma) are in negligible number TDP and YCP parties are majorly banking on the Vada Balija community.</t>
  </si>
  <si>
    <t>1. This is the battleground village where the majority of the  Vada Blija community is split between TDP &amp; YSRCP due to local leadership (Sigiri Singarao-BC-YSRCP) (Koda VenkatRamana-BC- TDP)in the village.
2. The BC community is disgruntled with TDP  as they failed to provide schemes that are given by the present government.</t>
  </si>
  <si>
    <t>negative image on welfare schemes</t>
  </si>
  <si>
    <t>1. Fishserman community is disgruntled with YSRCP government as there are no subsidies to purchase the fishing nets, boats, enginees, ice storage boxes, oil and local boats. These were provided by TDP government between 2014 to 2019 tenure under Aradhana scheme.
2. 50% of the Vada Baljia community is converted to christianity in this village and might vote in favour of YSRCP
3.TDP Sarpanch contestant Venkat Ramana (Vada Balija) has negative image as he bought Grama Kantam lands for cheaper price which anged general public.</t>
  </si>
  <si>
    <t>1. Agriculture farmers and labourers
2. Paddy farmers</t>
  </si>
  <si>
    <t>1. This Kapu dominant village witnessed a close battle between YCP, TDP and JSP
2. JSP played a major role in splitting the Kapu votes for YCP and TDP
3. YCP managed to secure victory due to Mala and Madiga vote bank</t>
  </si>
  <si>
    <t>1. This is a Three-way Battleground for YCP, TDP and JSP
2. Kapu youth are influencing the JSP vote share, and this impacts the TDP vote share
3. Mixed response from People as some are in favour of strong local leadership while others are worried about inflation and pending promises</t>
  </si>
  <si>
    <t xml:space="preserve">YSRCP Sarpanch has 50 Lakh bills pending from Roads, Drains, Sachiwalayam bathrooms, health care centres, and Govt Raithu Bharosa Kendram works. 
</t>
  </si>
  <si>
    <t xml:space="preserve">Negative Impression on Government due to high inflation and non-fulfillment of promises. </t>
  </si>
  <si>
    <t>1. Farmers
2.Daily Labours</t>
  </si>
  <si>
    <t>1. This is the BC vs SC (Koppula Velma and Mala) dominant village, these communities are split between YSRCP and TDP which is majorly inclined towards YCP.
2. JSP has no presence to secure a majority of votes.</t>
  </si>
  <si>
    <t>1. Both the SC (Mala) and BC (Koppula Velama) communities are majorly inclined towards YCP due to local leadership (Chintakayala Chitti babu-YCP-BC)candidature and negative impact on TDP due to their unfulfilled promises.</t>
  </si>
  <si>
    <t>1. Pending bills of 60 lakhs on Water Tanks, Pipelines, Sachyavalayam Building, High School Building,Gravel Roads,Layout ,Drains.</t>
  </si>
  <si>
    <t>1. Agriculture labourers
2. Taddy Tappers</t>
  </si>
  <si>
    <t>1. Kshetriya community leader Satyanarayana Raju Nadimpalli is an influential leader 
2. The Kshetriya community holds the majority of lands in the village and provides employment to Settibalija, Mala and Uppara communities
3. The Kshetriya community maintains good relations with TDP candidate Varma and influenced these communities in favour of TDP</t>
  </si>
  <si>
    <t>1. YCP is suffocated with internal leader conflicts precisely between MPTC and Sarpanch
2. High chance that MPTC Thata Rao might join TDP which will dent YCP Uppara vote bank
3. YCP failed to get BC vote bank in these villages due to a lack of leadership, They lack the X factor support (Kshetriyas)
4. JSP has very minimal influence, only Perika and Yadava youth supports JSP</t>
  </si>
  <si>
    <t xml:space="preserve">YCP Sarpanch has bills due of 15 lakhs for Sachiwalayam, Gadapa Gadapa Prabuthvam projects.
Sarpanch and MPTC have issues even though they are family-wise related. </t>
  </si>
  <si>
    <t>1. Around 300 members of the Uppara community have migrated to urban spaces, these are major swing votes that need to be tapped.
2. MPTC thatha Rao belongs to MP Vnaga Geetha's faction and disgruntled with MLA Pendam Dora Babu</t>
  </si>
  <si>
    <t>1. Farmers
2. Daily Labours
3.Drivers</t>
  </si>
  <si>
    <t>1. This Kapu-dominant village, this community is majorly inclined towards YCP.
2. Velma, and Padmashali along with split votes of SC communities Mala and Madiga are inclined towards YCP.
3. JSP has no presence to secure a majority of votes.</t>
  </si>
  <si>
    <t>1. Both the Velma and Gavara communities are majorly inclined towards YCP due to local leadership (Vegi Appalanaidu-YCP-BC)candidature and the negative impact on TDP due to their unfulfilled promises.</t>
  </si>
  <si>
    <t>1. Pending bills of 6 lakh on Help Centre.</t>
  </si>
  <si>
    <t>Negative impact on TDP due to Janama Bhoomi Committee issues and their unfulfilled promises like Chandrana Pasupu Kumkuma and relating to Dwakra</t>
  </si>
  <si>
    <t>1. Fishermen Community
2. Weavers</t>
  </si>
  <si>
    <t>1. This is a BC-dominant village. Communities are inclined to both TDP and YCP
2. YCP managed to tap in Vadabalija, Yadava, Padmasali and Mala votes.
3. JSP managed to secure a 9.07% vote share. This impacted the TDP vote bank while leaving less impact on the YCP</t>
  </si>
  <si>
    <t xml:space="preserve">1. Vadabalija and Padmasali votes are crucial in this village. 
2. The YCP cadre is unhappy due to the lack of growth and dominance by local leaders
3. TDP ex-Sarpanch is influential due to his pro-people activities
4. This is a battleground wherein the party that gains BC votes will triumph. </t>
  </si>
  <si>
    <t xml:space="preserve">weak </t>
  </si>
  <si>
    <t xml:space="preserve">1. YSRCP sarpanch has bills pending worth 13 lakhs for Sachiwalayam building (10L) and attached bathrooms(3L) works.
</t>
  </si>
  <si>
    <t xml:space="preserve">Mixed impressions of the local leadership. YCP cadre is unhappy due to benefits only being tapped by the higher-positioned party leaders. The TDP party in charge, Varma, has a positive image due to his previous works, including Road construction from Moolapeta to Fishing Harbour. </t>
  </si>
  <si>
    <t>1. Farmers 
2. Daily Labours</t>
  </si>
  <si>
    <t>1. This is BC's(Koppula Velama) dominant Village that witnessed a split of the vote bank between both the parties YCP and TDP.
2. YCP managed to secure a majority of the vote bank from SC communities Mala and Madig
3. JSP has no presence to secure a majority of votes.</t>
  </si>
  <si>
    <t>1. Negative response towards the TDP party due to their unfulfilled promises during their governance and not implementing their manifesto created a major shift of the vote bank towards YCP.
2. TDP is completely banking on BC Community padmashali along with the split votes from Koppula Velma and Nayi Brahmins.</t>
  </si>
  <si>
    <t>1.Pending bills of 25 to 30 lakhs on irrigation,and gravel roads</t>
  </si>
  <si>
    <t>1. Farmers(Paddy,Pulses)
2.Cotton Farming</t>
  </si>
  <si>
    <t>1. This is a completely OC(Ontari) dominant village that is completely inclined towards YCP.
2. YCP managed to tap in Ontari, Kamma, Kshatriya, and Mala votes.
3. JSP managed to secure a negligible vote share from the balija community.</t>
  </si>
  <si>
    <t>1. Ontari is the crucial vote bank in this village.
2. people are disgruntled with the TDP party due to the lack of their promises towards Runa Mafi and Rythu Bharosa schemes.
3. Ontari, Kamma, Kshatriya, and Mala communities are completely inclined towards YCP due to their schemes and local leadership (Medesetti Mangayamma and Medisetti SubbaRao - Sarpanch and her husband -YCP -Ontari)candidature.
4. JSP has a high chance to secure the Blija youth vote bank.</t>
  </si>
  <si>
    <t xml:space="preserve">1. Pending bills of 12 lakhs on Gravel Roads,Kaccha Drains -4lakhs </t>
  </si>
  <si>
    <t xml:space="preserve">1. Masons
2. Paddy Farming, 
3.cashew Farminhg
</t>
  </si>
  <si>
    <t xml:space="preserve">1. This is the OC vs SC (Kapu and Mala)dominant village, these communities are majorly inclined towards YCP.
2. Kapu, Mala, and other minor BC swing communities like Padmashali, and NayiBrahmin are dented to the YCP party.
3. TDP is banking on split votes from Kapu and Sagara.
4. JSP has a very negligible presence </t>
  </si>
  <si>
    <t>1. Kapu is the crucial vote bank in this village followed by SC (Mala)Communities which is majorly inclined to YCP.
2. People are highly impressed with the developments made by the present government along with the on-time schemes.
3.JSP has a negligible presence in the Kapu community which may not impact both parties</t>
  </si>
  <si>
    <t>1. Pending bills of 15 to 20 lakhs on Graven roads, Drains, Water tanks, Street Lights, and motors.</t>
  </si>
  <si>
    <t>YCP has more chance of winning because people are highly satisfied with the government because of their schemes along with the developments made by them.</t>
  </si>
  <si>
    <t>1. Agricultural Farming
2.Daily Workers</t>
  </si>
  <si>
    <t>1. This is Kapu OC's dominant village, this community is split between all three parties YCP, TDP, and JSP.
2. YCP had a strong vote bank in kapu , Mala  along with Gowda communitie.
3. TDP failed to attract and secure the BC vote bank and JSP has a negligible presence in the kapu community.</t>
  </si>
  <si>
    <t>1. A closely contested village with a majority of OC Voters
2. YSRCP has a positive image due to the welfare scheme as well as widespread respect for Rajasekhar Reddy.
3. JSP has a negligible presence in Kapu community which may not impact both parties</t>
  </si>
  <si>
    <t>1. Pending bills of 6.5lakhs on Sanitization salaries, motors, and street lights.</t>
  </si>
  <si>
    <t>kotananduru</t>
  </si>
  <si>
    <t>1. Daily Wage workers
2. Paddy Farmers
3. Construction workers
4. Auto Drivers</t>
  </si>
  <si>
    <t>1. YCP managed to secure victory due to sympathy for the death of YS Rajasekhar Reddy
2. YCP had a strong vote bank, including Mala, Madiga and Other Backward Communities
3. TDP failed to attract BC voters, JSP had a negligible impact on the elections</t>
  </si>
  <si>
    <t>1. This is a happy hunting village for YCP
2. From the past 2 elections, YCP tasted large majority victories
3. Pro-Govt projection due to Welfare Schemes by YCP
4. YCP fulfilled 2014 election promises and hence might come to power again</t>
  </si>
  <si>
    <t xml:space="preserve">YSRCP Sarpanch has bills pending worth 20 Lakhs for Gadapa Gadapa Program.
Panchayati Funds and Sarpanch Salaries are also not credited. </t>
  </si>
  <si>
    <t xml:space="preserve">TDP might give a fight to YCP because Yadava and Madiga Community votes can go either way. JSP has a very minimal impact due to a weak Cadre. </t>
  </si>
  <si>
    <t>1. Daily Mining Workers
2. Agriculture Farming</t>
  </si>
  <si>
    <t>1. TDP managed to secure a majority victory due to developmental activities
2. Golla and Vellama communities supported TDP
3. Kapu votes got split between TDP and YCP, however this didn't impact YCP since other BC minorities voted for them</t>
  </si>
  <si>
    <t xml:space="preserve">1. TDP has a favourable position to win due to strong leadership, such as Pedda Divanam 
2. NO development took place in the village under YCP. Only minor drains and roads were laid out
3. House Patta fraud took place near the reserve forest area. Also, YCP is unable to solve the Tiger issue near the Forest area 
4. There is an issue regarding Indiramma Illa Pattalu. YCP is trying to capture the allotted TDP house pattas. </t>
  </si>
  <si>
    <t>1. YSRCP Sarpanch has 14 lakhs bills pending for Drainage. CC Roads and Drinking Water Tank works. 
2. Housing land loans were promised. However, for two buildings, the loans weren't given. 
3. Sakshi reporter scam near reserve forest area</t>
  </si>
  <si>
    <t>The TDP Leader is more active compared to the YCP leader when it comes to addressing local issues.</t>
  </si>
  <si>
    <t>1. Labour
2.Agriculture Farming</t>
  </si>
  <si>
    <t>1. This is Kapu OC's dominant village, this community is completely inclined to YCP.
2. BC communities Muslims, Senepathulu, and Settibalija vote bank supported in favor of TDP with spilled vote bank.
3. JSP has a very negligible presence in the Kapu community and it did not affect any of the parties.</t>
  </si>
  <si>
    <t>1. YCP has a favorable position to win due to strong local leadership, such as Kona Venkat Rao husband of Sarpanch Konna Ammaji.
2. No development took place in the village under TDP Governance. 
3. TDP failed to fulfill the schemes like Raythu Bharosa and they neglected TDP party leaders.</t>
  </si>
  <si>
    <t>-</t>
  </si>
  <si>
    <t>1. Fishermen Community</t>
  </si>
  <si>
    <t>1. Local leader Madada Hemanth from the Vadabalija community had a good impression from people
2. He constructed a College in his Grama Panchayat
3. People wanted to provide a chance to Jagan rule; YCP's schemes were attractive 
4. TDP rule and local leadership failed to attract voters through schemes</t>
  </si>
  <si>
    <t>1. This is a fishermen community dominant village
2. Nearly 1500 swing votes favour TDP due to a lack of subsidies for small boats, Large fishing boats, and boat engines.
3. Villagers are disappointed by the YCP rule due to YCP's incapacity to address local fishermen problems</t>
  </si>
  <si>
    <t>Strong Leadership but Weak Cadre</t>
  </si>
  <si>
    <t xml:space="preserve">1. A negative image of the YCP Govt due to the lack of subsidies for the Vadabalija community
2. Housing pattas were alotted in forest area, this is causing discomfort to people
</t>
  </si>
  <si>
    <t>1. Toddy tappers
2. Paddy Farmers</t>
  </si>
  <si>
    <t>1. YSRCP Sarpanch has bills pending worth 20 lakhs for SC Peta Building, Grave Yard Building and Gravel road works
2. 15 lakhs bills for CC roads and drainages</t>
  </si>
  <si>
    <t>There's a good impression of MLA Pendam Dorababu due to his active spending on public activities.
He actively travels into villages.</t>
  </si>
  <si>
    <t>1. Paddy Farming
2.Business
3.Toddy Tappers</t>
  </si>
  <si>
    <t>1. This is a dominant village (Reddys), this community is completely inclined to YCP.
2. All the communities are inclined to YCP due to their respect and sympathy towards Rajashekar Reddy.
3.JSP has no presence in this village.</t>
  </si>
  <si>
    <t xml:space="preserve">1. There's a positive view of YCP Govt due to their schemes
2. YCP has a favorable position to win due to strong local leadership, Vadisetti Gowri Rajeswari-Sarpanch-YCP.
</t>
  </si>
  <si>
    <t>1. Pending bills of 30 lakhs on Sachyavalayam Construction ,Shopping Complex,Mines and sweeper Salaries.</t>
  </si>
  <si>
    <t>1. Paddy farmers
2. Daily wage workers
3. Construction workers</t>
  </si>
  <si>
    <t>1. This was a case for sympathy voting due to Rajasekhar Reddy factor
2. People wanted to give a chance to YCP since their schemes were more promising</t>
  </si>
  <si>
    <t>1. This is a Battleground village
2. There's a positive view of YCP Govt due to their schemes
3. Local TDP cadre is strong 
4. Kondadora community offers support to TDP as it has historically been the case in that village</t>
  </si>
  <si>
    <t>1. YSRCP Sarpanch has bills pending worth 7 Lakhs for Gravel roads, Burial ground development, Natural Fertilizer shed works.</t>
  </si>
  <si>
    <t xml:space="preserve">A potential battleground village due to a strong TDP cadre. YCP schemes are also effective. </t>
  </si>
  <si>
    <t>1.Farming
2.Farming Labours</t>
  </si>
  <si>
    <t xml:space="preserve">1. Agriculture labourers
2. Construction workers
</t>
  </si>
  <si>
    <t xml:space="preserve">1. People wanted to offer a chance to fresh CM candidature of YS Jagan
</t>
  </si>
  <si>
    <t>1. House plots were promised but not given to people, this is causing anti Government sentiments
2. High inflation has caused distress among working-class people
4. JSP has an attractive vote bank from Kapu and BC communities
3. YCP neglects students and the Youth. The unemployment issue is persistent
4. Overall comparison: People feel the TDP rule was better than the YCPs</t>
  </si>
  <si>
    <t xml:space="preserve">TDP Candidature of Verma is more accepted in public due to his active involvement in public affairs. </t>
  </si>
  <si>
    <t>1. Agriculture farmers and labourers
2. Garment Business</t>
  </si>
  <si>
    <t>1. Growing Anti-YCP feelings due to Inflation
2. TDP Leader Jyothula Nehru has a positive image due to his active involvement in village problems and fights
3. villagers criticise the YCP rule due to high inflation on general everyday commodities
4. JSP alliance will help TDP gain edge in this battlefield village</t>
  </si>
  <si>
    <t>1. TDP Sarpanch has bills pending for Shed Construction work.
2. Closure of drains- Bills pending</t>
  </si>
  <si>
    <t>Contractors are afraid to take up works due to pending bills.</t>
  </si>
  <si>
    <t>1. Agricultural Labours
2. Construction Workers
3.Auto Drivers</t>
  </si>
  <si>
    <t>1. This is the OC vs SC dominant village, these communities are split between both the parties YCP and TDP.
2. All the other swing communities belonging to both the parties of SC and BC are majorly inclined towards YCP.
3. JSP has a bare minimum presence in the kapu community.</t>
  </si>
  <si>
    <t xml:space="preserve">1. There's a positive view of the YCP Govt due to their schemes.
2. Local Leadership (Thummala Nageswarao)has a great presence in this village and has a high chance of securing a major kapu vote bank.
3.People are highly satisfied with YCP Governance and willing to give another cahnce .
</t>
  </si>
  <si>
    <t>1. Pending bills of 2 laks on Help Centre,House sites leveling.</t>
  </si>
  <si>
    <t>1. Paddy farmers
2. Daily Wage Workers
3. Centring workers
3. Construction workers</t>
  </si>
  <si>
    <t xml:space="preserve">1. Local Sarpanch Pilli Chakra Rao organised several activities
2. Auto Stand vehicles mostly belong to YCP, and this influenced voting behaviour due to travel access
3. Sarpanch gave emergency Auto vehicle access. This created a positive impact on voters
</t>
  </si>
  <si>
    <t xml:space="preserve">1. JSP has an active youthbase in the village
2. The OC community will swing to JSP due to unemployment and lack of response from YCP towards students
</t>
  </si>
  <si>
    <t>No Bills Pending</t>
  </si>
  <si>
    <t xml:space="preserve">1. Negative Image of YCP by Construction Workers and Daily wage workers and Farmers due to Ryhtu Bharosa delay.  
2. JSP has a strong presence over YCP and TDP. Alliance between TDP and JSP will secure a victory.
</t>
  </si>
  <si>
    <t>1. Hatcheries shop
2. Agricultural labourers
3. Kirana Shops
4. Barber Shops</t>
  </si>
  <si>
    <t>1. Villagers were attracted towards the schemes presented by YCP government</t>
  </si>
  <si>
    <t>1. BC Community hasn't received the promised subsidies
2. Divis company is causing trouble to locals and the YCP isn't taking action on this issue.</t>
  </si>
  <si>
    <t>1. Lorry Owners 
2. Brick Makers 
3. Agriculture Labour 
4.Toddy Tappers</t>
  </si>
  <si>
    <t xml:space="preserve">1. This is OC vs BC dominant village where the Kapu community is split between all three parties TDP, YCP, and JSP  due to MLA  candidature but the BC Yadava community is completely inclined towards the TDP party.
2. TDP won with a majority of 290 votes.
3. YCP banked on SC community Mala along with the split votes kapu.
</t>
  </si>
  <si>
    <t>1. The Bc vote bank along with the kapu vote bank may secure major votes for both the parties of TDP and JSP.
2. The TDP+JSP alliance is a major plus in securing a high vote bank.
3. People are highly disgruntled with House Patta schemes which may affect the YCP vote bank.</t>
  </si>
  <si>
    <t>No Pending Bills</t>
  </si>
  <si>
    <t xml:space="preserve">1. Madiga consolidation: The Madiga vote bank consolidated towards the TDP party whereas the Mala vote bank was split between Three candidates from the YCP party.
2. sympathy: In the previous election sarpanch lost his position with 2 votes so sympathy worked in this election.
3. There were many YCP rebels which became a plus point for TDP.
</t>
  </si>
  <si>
    <t>1. Agriculture farmers</t>
  </si>
  <si>
    <t>1. Villagers wanted to get a taste of the new leadership of YS Jagan
2. Kapu, Mala, and Madiga voters opted for the new rule and voted in YCPs favor.
3. This is BC Gavara's dominant village which is split between both parties.</t>
  </si>
  <si>
    <t>1. YCP local leadership is strong and has a positive image due to their active involvement in village politics
2. Vidya Deewana and other schemes have received appreciation from people
3. YCP has a strong vote bank from the Mala, Madiga and Gavara community
4. The Kapu community is also tilted towards YCP due to the fulfilled promises through schemes</t>
  </si>
  <si>
    <t>1. YCP sarpanch has bills pending for LS Hospitals, Sachiwalayam building</t>
  </si>
  <si>
    <t>1. Agricultural Labourers
2. Teachers
3. RTC Drivers</t>
  </si>
  <si>
    <t>1. YCP local cadre was influential as they were active participants in resolving village conflicts
2. Mala votes were polled in favour of YCP
3. Kapu and Settibalija votes were split between YCP and TDP, this caused a dent to TDP vote bank</t>
  </si>
  <si>
    <t>1. Kondadora and Koyidora Community are in favour of YCP
2. Kapu vote bank is split between YCP and TDP, causing a dent in TDP
3. JSP has neither leaders nor cadre, leaving a negligible impact
4. Kondapodu land patta issue will attract the swing votes</t>
  </si>
  <si>
    <t>1. YCP Sarpanch has bills pending worth 10 Lakhs for RBK building, healthcare centre, water tank construction</t>
  </si>
  <si>
    <t>1. Housing Pattas were given by the YCP government
2. People find the YCP schemes attractive and helpful</t>
  </si>
  <si>
    <t>1. Paddy Farming
2.coconut Farming
3.Raw Banana Farming</t>
  </si>
  <si>
    <t>1. This SC-dominant village is majorly inclined towards YCP and the rest towards TDP.
2. The general public voted for YCP due to Jagan wave and his father's influence
"</t>
  </si>
  <si>
    <t>1. People are highly satisfied with government schemes and their work towards development.
2. JSP has a bare minimum presence.
3. YCP has a higher chance to win due to the Welfare schemes and also due to local leadership candidature.</t>
  </si>
  <si>
    <t>1. Pending bills of 2 lakhs on sanitisation and for sweeper salaries.</t>
  </si>
  <si>
    <t xml:space="preserve">1. Daily  workers
2.Agricultural Labours
</t>
  </si>
  <si>
    <t>1. The YCP MLA candidature of Pendem Dorababu had a positive outreach in the public
2. The general public voted for YCP due to Jagan wave and his father's influence and also for their welfare schemes.
3. Swing votes from all the communities tilted in favor of Jagan Wave</t>
  </si>
  <si>
    <t xml:space="preserve">1. People have a negative opinion towards the government as there is no development.
2. TDP MLA Yanamala Ramakrishna is of the same village and is an x-factor he has the majority of the vote bank from the village.
3. There is an establishment of a new company in the village called Aurobindo Company the village is getting huge benefits from this company like the construction of CC Roads, Drinking water, and Drains rather than getting benefits from panchayath or government.
4,JSP has no presence in this village
</t>
  </si>
  <si>
    <t>1. Panchayati has pending bill for Sachiwalayam building construction</t>
  </si>
  <si>
    <t>1. Agricultural Labourers
2. Daily wage workers
3. Shrimp factory workers</t>
  </si>
  <si>
    <t>1. Jyothula Nehru was initially a YCP leader. He jumped to TDP and contested the election
2. Jyothula Chanti Babu was initially a TDP leader. He jumped to YCP and contested the election
3. Chanti Babu already contested twice and lost, so people voted in his favour to give him a chance
4. Since both parties are jumping cases, Chanti Babu got the edge over J Nehru</t>
  </si>
  <si>
    <t xml:space="preserve">1. YCP has a favourable position even though this is a battleground due to the vote bank of the Kapu, Mala, and Koppula Vellama community
2. TDP can give a tough fight because the locals are sceptical about the continuation of schemes from YCP
</t>
  </si>
  <si>
    <t>1. Bill worth 32 lakhs pending for layout works</t>
  </si>
  <si>
    <t xml:space="preserve">1. Layout work bill is the X factor in this village.
</t>
  </si>
  <si>
    <t>1.Agriculture Farming 
Daily workers</t>
  </si>
  <si>
    <t xml:space="preserve">1. This is ST's dominant village (Konda Dora) which is inclined towards YCP due to MLA candidature Parvataha Prasad who has a very good public image.
2. JSP has a bare minimum presence in this village.
3. Mala and madiga in split are inclined towards TDP.
</t>
  </si>
  <si>
    <t xml:space="preserve">1. YCP has a favorable position even though this is a battleground due to the vote bank of Konda Dora, Mala, and Madiaga communities.
2.TDP can give a tough fight because the locals are sceptical about the continuation of schemes from YCP
</t>
  </si>
  <si>
    <t>1.Pending bills on Sachyavalayam</t>
  </si>
  <si>
    <t xml:space="preserve">1. Agricultural Labourers
2. Lorry drivers
</t>
  </si>
  <si>
    <t>1. Villagers wanted to provide a chance for Jagan
2. Kapu voters were attracted towards YCP schemes and hence voted for it</t>
  </si>
  <si>
    <t>1. The TDP-JSP alliance is the X factor here
2. Kapu vote bank is unhappy with YCP schemes, so they are willing to a change the rule
3. Any minor split in SC voting will dent YCP</t>
  </si>
  <si>
    <t>1. Monthly wages are not paid for Sanitization workers. This bill is worth 1.5 Lakhs</t>
  </si>
  <si>
    <t xml:space="preserve">1. There are disputes between Sarpanch and Volunteers
2. House Patta issue is prevalent here
</t>
  </si>
  <si>
    <t>1. Agriculture Farmers
2. Mango and Cashew farmers</t>
  </si>
  <si>
    <t>1. TDP leaders Varapula Subbarao and Raja Babu shifted to YCP 
2. This shifting resulted in 4000 votes swinging in favour of YCP</t>
  </si>
  <si>
    <t>1. Only BC communities are favouring YCP here
2. The rest of the SC, ST and OC vote bank is drifting towards TDP
3. Villagers dissatisified with high Electricity charges via digital meters and are also complaining about Inflaltion</t>
  </si>
  <si>
    <t>1. Anganwadi bills are pending
2. Public toilets bills are pending
3. CC Roads bills are pending</t>
  </si>
  <si>
    <t>1. There is a sense of "NO Development" feeling in the village
2. Welfare schemes for TDP party workers have been stopped
3. Govt Schemes are not reaching everyone</t>
  </si>
  <si>
    <t xml:space="preserve">1.Paddy Farmers
2. Palm Oil Farmers 
3. Vegetables Farmers 
4. Cotton Farmers </t>
  </si>
  <si>
    <t xml:space="preserve">1.Kapu community is split between TDP and YSRCP due to the local leadership in both parties 
2. YSRCP has stronghold in SC (Mala &amp; Madiga communities) along with some of the BC communities (Rajaka, Nayi Brahmin) which provides an edge to YSRCP in the village 
3. TDP has decent support in Senapathulu and Yadava communities in the village </t>
  </si>
  <si>
    <t xml:space="preserve">1. Though TDP has strong leadership in Kapu community failed to attract the BC vote bank in the village 
2. YSRCP sucessful in attracting the minor BC communities through welfare schemes 
3. JSP has minimal impact on Kapu vote bank in the village </t>
  </si>
  <si>
    <t xml:space="preserve">1. Sarpanch has pending bills of 8 lakhs related to Sachivalayam construction </t>
  </si>
  <si>
    <t>Rajesh</t>
  </si>
  <si>
    <t>1. Paddy and Cotton Farmers</t>
  </si>
  <si>
    <t>1. TDP won due to candidature of Sarpanch Amernath Venkatarmana
3. Kapu, Perika and Padmashali communities voted for TDP rule</t>
  </si>
  <si>
    <t xml:space="preserve">1. TDP leader Varapula Satyprabha has a positive image in the village
2. TDP has actively conducted healthcare programmes and food distribution
3. Kapu, Perika and Padmasali voters are inclined towards TDP
</t>
  </si>
  <si>
    <t>1. Paddy Farmers
2. Migrant labourers
3. Daily wage workers
4. Construction workers</t>
  </si>
  <si>
    <t>1. YCP won with a 4% majority due to support from Rajaka, Yadava, and Uppara communities
2. Kapu votes got split between YCP and TDP, and this dented YCP</t>
  </si>
  <si>
    <t xml:space="preserve">1. YCP has a positive image due to the success of welfare schemes
2. People are afraid that if YCP comes to power, these schemes will be removed
3. YCP has gained a strong vote bank from the Kapu community amassing nearly 700 votes </t>
  </si>
  <si>
    <t>1. Pending bills worth 4 Lakhs for Roads, Drains, Lights and Sanitation works</t>
  </si>
  <si>
    <t>1. Paddy farmers
2. Mango farm owners
3. Cashew farm owners</t>
  </si>
  <si>
    <t>1. Jagan Padayatra and Promising Schemes helped YCP gain an edge over TDP
2. The Koppulavelama community voted for YCP while Kapu votes got split, harming TDP in process</t>
  </si>
  <si>
    <t xml:space="preserve">1. Pro Govt projection due to welfare schemes and active local leadership
2. Local TDP cadre is inactive and unresponsive to local issues and problem
3. SC and BC voters are vote bank of YCP </t>
  </si>
  <si>
    <t xml:space="preserve">1. Pending bills worth 12 Lakhs for Roads, Drainages, Water tanks and Swacchbharat Shed </t>
  </si>
  <si>
    <t>1. Auto Drivers
2. Agricultural labours
3. Brick layers</t>
  </si>
  <si>
    <t xml:space="preserve">1. Kapu, Mala and Madiga communities supported YCP due to sympathy and attractive schemes of YCP
</t>
  </si>
  <si>
    <t>1. Kapu, Settibalija and Yadva votes will swing in favour of TDP due to the negative image of YCP rule
2. Even Mala and Madiga votes will split due to negative opinion, causing a vote share decrease of YCP</t>
  </si>
  <si>
    <t>1. 5 Lakhs worth of bills pending for Water motors, Water tank pumps, Street lights
2. Sweepers salaries are also pending</t>
  </si>
  <si>
    <t>1. Negative image on YCP Rule due to Inflation, unemployment
2. Housing pattas are also not given to them causing distress</t>
  </si>
  <si>
    <t>1. Paddy Farmers
2. Hatcheries (Prawns)</t>
  </si>
  <si>
    <t xml:space="preserve">1. This village is witness fight between Kapu and Yadava communities due to political dominance 
2. Kapu community was split between JSP and YSRCP due to the local leadership 
3. TDP was banking on Yadava community along with Setti Balija, Kshtriya, Brahmin and other minor BC communities 
4. SC communities (Mala, Madiga) voted in favour of YSRCP in the village </t>
  </si>
  <si>
    <t xml:space="preserve">1. TDP-JSP alliance will split the Kapu vote bank in the village, however majority of the Kapu still inclined towards YSRCP due to MLA's candidature 
2.YSRCP is strong due to high concentration of Mala, Madiga and split in minor BC communities </t>
  </si>
  <si>
    <t xml:space="preserve">1. Mala community guy is killed by Kapu community youth and arrested by police. This migh trigger community clash bewteen these groups. Maha Sena Rajesh is also visited the village to support the Kapu youth.
2. TDP cadre eligible pensioners were removed by YSRCP government
3. Local Sarpanch used the money given by hatcheries for his personal gains </t>
  </si>
  <si>
    <t>1. Daily wage workers
2. Pickle sellers
3. Paddy Farmers
4. Construction workers</t>
  </si>
  <si>
    <t>1. YCP sarpanch belonged to the Kapu community, and hence Kapu votes got shifted to YCP
2. TDP has a weak vote bank which didn't impact YCP victory</t>
  </si>
  <si>
    <t xml:space="preserve">1. JSP is clearly ahead due to NO Development in the village under YCP rule
2. The Kapu community is unhappy with village development. They are shifting to JSP, this itself becomes an X factor in deciding the winner </t>
  </si>
  <si>
    <t>1. Banana and Paddy Cultivators
2. Construction workers</t>
  </si>
  <si>
    <t>1. Paddy and Sugarcane Farmers</t>
  </si>
  <si>
    <t>Inactive Local Leadership</t>
  </si>
  <si>
    <t>1. TDP local leaders were disheartened due to local internal politics
2. There was less campaigning from the TDP end
3. YCP cashed in on the vote bank Rajakas, Viswa Bramhins and Kapu votes also got split between YCP and TDP</t>
  </si>
  <si>
    <t>1. This is a Kapu-dominant village, and this community is anti-YCP due to a lack of development
2. YCP will depend on the remaining communities, i.e. Mala and Madiga. 
3. Mala community votes might get split causing dent to YCP votebank</t>
  </si>
  <si>
    <t xml:space="preserve">1. Bills worth 1 Lakh pending for Toilets works
2. Anganwadi Roads worth 5 Lakhs </t>
  </si>
  <si>
    <t xml:space="preserve">1.Daily Labour -Granite Mining 
2. Paddy Farmers </t>
  </si>
  <si>
    <t>1 This village is dominated by Koppula Velama community and Poluparthi Thatatji (YSRCP) has good influnce among the community. He played a crucial role in village to secure the majority for YSRCP. 
2. TDP Koppula Velama leadership was failed to attact the votes for the party</t>
  </si>
  <si>
    <t xml:space="preserve">1. There are two groups in YSRCP one led by Poluparthi Thatatji (Close to Varapula Subba Rao - Ex-MLA, Mother Sarpanch) and other group led by Seeramreddy Srinivas (Sarpanch Contestant, Close to MLA). There are high chances that Poluparthi Thataji might shift to TDP due to differences with MLA
2. TDP and JSP is lacking solid leadership in the village </t>
  </si>
  <si>
    <t xml:space="preserve">1. 75 Cents of land was bought for 30 lakhs  (4 Lakhs commission)by MLA close aides against the market price for housing sites and House pattas were not distributed to beneficiaries </t>
  </si>
  <si>
    <t xml:space="preserve">1.Agriculture Labour 
2. Paddy Farmers </t>
  </si>
  <si>
    <t xml:space="preserve">1.This village is dominated by Kapu community and voted in favour of YSRCP in the previous elections due to Jagan's wave and Jyothula Chanti Babu's image. Mala &amp; Madiga communities voted in favour of YSRCP in the last elections 
2. TDP was banking on Yadava, Setti Balija communities which are less in number in the villages compared to Kapu community 
3. JSP had negligible impact on Kapu vote bank due to lack of local leadership </t>
  </si>
  <si>
    <t>1. Kapu vote bank will be the deciding factor in the village and JSP-TDP alliance will play key role in shifting the Kapu community towards TDP 
2. YSRCP was succesful in gaining the minor BC vote bank due to government schemes along with SC vote bank.</t>
  </si>
  <si>
    <t xml:space="preserve">1. Pending Bills of 16 Lakhs for Sarpanch regarding the Roads and Sachivalayam construction </t>
  </si>
  <si>
    <t>1. Paddy and Cotton farmers
2. Agricultural labourers</t>
  </si>
  <si>
    <t xml:space="preserve">1. YCP got a comfortable victory due to the wide range of Welfare schemes by the Jagan Govt
2. The TDP vote bank of Kapu and other OC communities got split
3. JSP had negligible impact on vote share </t>
  </si>
  <si>
    <t xml:space="preserve">1. TDP Cadre is very weak in the village, and JSP has minimal influence 
2. </t>
  </si>
  <si>
    <t xml:space="preserve">1. Bills pending worth 15 Lakhs for Sachiwalayam construction </t>
  </si>
  <si>
    <t>1. Paddy Farmers
2. Private Employees</t>
  </si>
  <si>
    <t>1. This is an OC vs BC dominant (Kapu and Yadav) village which is split between both YCP and TDP Party.
2. YCP banked on BC  and SC along with the swing communities.</t>
  </si>
  <si>
    <t xml:space="preserve">1. The TDP Cadre and local leadership in the village have a very good presence.
2. The Kapu and Yadava vote bank will be the deciding factor in the village and the JSP-TDP alliance will play a key role in shifting the Kapu community towards TDP.
</t>
  </si>
  <si>
    <t>No pending bills</t>
  </si>
  <si>
    <t>1. Agricultural Farmers 
2. Daily wage workers</t>
  </si>
  <si>
    <t xml:space="preserve">1. Parvatha Purna Prasad received support from Ex Mla's
2. TDP Candidate Varpula Raja was also a strong candidate, However YCP Cadre poured in complete support for Purna Prasad </t>
  </si>
  <si>
    <t>1. Villagers are turning anti-YCP due to an increase in rowdyism, increase in false police cases, etc
2. Mala and Madiga are swinging in favour of TDP due to lack of development in the village
3. Kapu is the dominant community in the village and they are in favour of TDP as well</t>
  </si>
  <si>
    <t>1. Agricultural farmers (Paddy)
2. Daily wage workers</t>
  </si>
  <si>
    <t xml:space="preserve">1. It was a close battle, with YCP winning by a mere 150 votes
2. YCP Leader Purna Chandra Prasad got support from P Bapamma, Varapula Subbarao, Mudragada Padmanabham, P Raja Babu
3.  Consolidated support became the X factor here
4.  JSP had no impact in this election
</t>
  </si>
  <si>
    <t>1. TDP is favourable due to growing leadership and cadre influence
2. General dissatisfaction is observable due to lack of development from YCP
3. TDP has a positive caste demography here since Kapu's are majority, along with this TDP also has vote bank of Perika, Rajaka, Yadava and Padmasali Communities</t>
  </si>
  <si>
    <t xml:space="preserve">1. Bill worth 20 Lakhs pending for Sachiwalayam building construction
</t>
  </si>
  <si>
    <t>1. People are unhappy about the lack of development, inflation and bad infrastructure in the village.
2. There is also an issue of unemployment in the village, daily wage workers are in need of employment</t>
  </si>
  <si>
    <t xml:space="preserve">1. YCP was able to split Kapu votes and successfully consolidated Mala and Madiga votes
2. It was the influence of the Jagan wave along with the swing of giving a new opportunity to new rule </t>
  </si>
  <si>
    <t>1. Bills pending worth 2 Lakhs pending for School building and Sachiwalayam Bathrooms</t>
  </si>
  <si>
    <t>1. Paddy Farmers
2. Daily wage workers</t>
  </si>
  <si>
    <t>1. All communities of the village voted for YCP due to Jagan wave
2. TDP's Varapula Raja's candidature was weak compared to Parvata Purna Chandra Prasad</t>
  </si>
  <si>
    <t xml:space="preserve">1. It is a unanimous village that is favouring YCP
2. Present MLA Purna Chandra Prasad's own village and hence the YCP cadre and leadership is very strong here
3. TDP's Satya Prabha candidature and cadre is weak in this village </t>
  </si>
  <si>
    <t>1. Bills worth 10 Lakhs pending for Sweepers bill, Sanitisation, Street lights and pipelines works.</t>
  </si>
  <si>
    <t>1. Sanitisation workers
2. Annavaram Contract labours</t>
  </si>
  <si>
    <t>1. YCP Parvata Purna Prasad's dominance and candidature was the influential factor here
2. JSP has a negligible presence
3. YCP vote bank is strong with Minority communities also voting for them</t>
  </si>
  <si>
    <t>1. YCP Sitting MLA Parvata Purna Prasad is the X factor in this village. If he receives the ticket, then he has a clear chance of winning
2. Local TDP Leadership as well as cadre is very weak here
3. JSP will hardly play a role in this village</t>
  </si>
  <si>
    <t>1. 25 Lakhs worth of bills pending for Raithu Bharosa Building and Drainages work</t>
  </si>
  <si>
    <t>1. Paddy and Vegetable cultivators</t>
  </si>
  <si>
    <t>1. YCP got a comfortable win due to Jagan's swing
2. YCP addressed water problem and poor roads problem issues during campaign</t>
  </si>
  <si>
    <t>1. Villagers are happy due to the development under YCP
2. Tanks and Pipelines were rolled to solve water problems
3. Yadavas, Settibalija's and SC minorities are favouring YCP</t>
  </si>
  <si>
    <t>1. 25 Lakhs worth of bills pending for drains, CC Roads and Sanitation workers salaries</t>
  </si>
  <si>
    <t>1. Fishermen
2. Textile/Handloom workers
3. Daily wage workers
4. Employees</t>
  </si>
  <si>
    <t>1. This is a Fishermen community dominant village
2. Vadabalija, Kapu and Nayi Brahmin communities voted for TDP
3. TDP was successful due to promises made by Chandra Babu such as Pasupu Kumkuma</t>
  </si>
  <si>
    <t xml:space="preserve">1. People are happy due to employment schemes by YCP, such as Volunteers and Grama Sachiwalayam jobs
2. BSC Jobs notification might play a role because influential voters are employees in this village
3. Fishermen community is leaning towards YCP
4. JSP has minimal influence </t>
  </si>
  <si>
    <t xml:space="preserve">1. Paddy and Cashew Farmers
</t>
  </si>
  <si>
    <t xml:space="preserve">1. SC and BC minorities (Mala and Rajaka) tilted towards YCP
2. It was also a case of sentiment voting due to good influence of Rajasekhar reddy </t>
  </si>
  <si>
    <t xml:space="preserve">1. YCP Parvata Purna Chandra Prasad influences this village
2. YCP Sarpanch D Shiva Kumar is also an influential candidate who can affect YCP winning chances
3. Even though TDP Satya Prabha is active here, their influence doesn't match that of Purna chandra prasad 
</t>
  </si>
  <si>
    <t>1. Bills worth 6 Lakhs pending for CC Roads
2. Raithu Bharosa Kendram Building bill worth 1 Lakh 60 Thousand pending
3. 4 Lakhs worth of bills pending for sanitation and other infrastructure work</t>
  </si>
  <si>
    <t>1. Agriculture Labours
2. Paddy Farmers</t>
  </si>
  <si>
    <t>1. MEGA Company owner supported the candidature of YCP leader Pendem Dorababu. This resulted in swing votes going in favour of YCP
2. MEGA Company owner became the X factor in this village due to their adoption works</t>
  </si>
  <si>
    <t>1. People are unhappy due to the rising inflation and increase in electricity bills
2. SVSN Varma of TDP has grown his influence here, causing a spike in TDP presence in the village
3. The MEGA Company owner has not support to any leader yet
4. Housing sites issue is not resolves, this might also become a deciding factor</t>
  </si>
  <si>
    <t xml:space="preserve">1. Bills worth 1.7 Lakhs pending for Panchayat </t>
  </si>
  <si>
    <t>1. MEGA Company adopts this village, so there are no infrastructure or sanitation related issues as the company looks over these.
2. There's a negative Image over YCP government but people are positive about the welfare schemes by YCP</t>
  </si>
  <si>
    <t xml:space="preserve">1. Agricultural labourers
2. Paddy Farmers
</t>
  </si>
  <si>
    <t>1. YCP Pendem Dorababu got support from the Kapu community
2. Local Sarpanch K Harinadh is an influential person, being an Advocate, he had a positive influence in the village
3. Harinadh supported YCP and this became a crucial factor for YCP Victory</t>
  </si>
  <si>
    <t>1. This is a battleground village with Pendem Dorababu and SVSN Varma factions 
2. Kapu community votes might get split between two parties
3. JSP has minimal influence here
4. Madiga community votes might be a deciding factor in this village</t>
  </si>
  <si>
    <t>1. MEGA Company adopts this village, hence there are no issues regarding Infrastructure and sanitation.</t>
  </si>
  <si>
    <t>1. Agricultural labourers
2. Paddy Farmers
3. Daily wage workers</t>
  </si>
  <si>
    <t>1. This was a battle between the influence of Jyothula Chanti Babu and Jyothula Nehru
2. This is a pro-TDP Village due to the significant influence of Jyothula Nehru 
3. Only SC, ST votes were tilted in favour of YCP</t>
  </si>
  <si>
    <t>1. JSP has minimal influence; only some 50 youths are leaning towards JSP
2. TDP J Nehru influences Perika and Kapu communities
3. The YCP image has deteriorated in the village due to unemployment, inflation</t>
  </si>
  <si>
    <t>1. 10 Lakhs worth of bills pending for Drainage Culverts and Roads construction</t>
  </si>
  <si>
    <t>1. Paddy Farmers 
2. Dal and millet farmers
3. Cashew farmers</t>
  </si>
  <si>
    <t xml:space="preserve">1. This is Kapu OC vs Mala SC dominant village split between tTDP and YCP Parties.
2. People voted for YCP due to catchy schemes like Navaratnalu and other welfare schemes.
3. Kapu, Mala, and   other BC swing communities tilted in favor of YCP"
</t>
  </si>
  <si>
    <t xml:space="preserve">1. People are highly dissatisfied with the present government as there is no development and no schemes that are received in proper time.
2. TDP MLA Varpula Satya Prabha is very responsive towards the public in dealing with the problems of people is an X factor for the shift of the vote bank.
3. JSP has no minimal presence in this village.
</t>
  </si>
  <si>
    <t>1. They didn't receive any funding, hence no bills as well
2. People are receiving the welfare money, but its not of great use to them</t>
  </si>
  <si>
    <t>1. YCP majorly banked on both the SC and BC(Mala and Yadavas) communities  
2. This was a battle between the influence of Jyothula Chanti Babu and Jyothula Nehru.
3. Mala voting influenced BC vote and it affected the shift of vote bank towards YCP</t>
  </si>
  <si>
    <t xml:space="preserve">1. This was a battle between the influence of Jyothula Chanti Babu and Jyothula Nehru
2. People are highly satisfied with present governance as there is no presence of developments seen.
3.JSP +TDP alliance may consolidate a little kapu vote bank. 
</t>
  </si>
  <si>
    <t>1. Bills pending for construction of Veterinary building</t>
  </si>
  <si>
    <t>1. Construction workers
2. Handloom Workers</t>
  </si>
  <si>
    <t>1. BC Communities in the village swung in favour of TDP because, during TDP rule in 2014, Roads were laid out in the village
2. TDP's Bolli Kondababu and Datla Krishna Babu were the key local leaders who influenced the voting</t>
  </si>
  <si>
    <t>1. This is a Kapu, Yadava-dominated village
2. Varapula Satya Prabha's influence is relatively better in this village
3. Only YCP Convenor and MPTC are active, YCP is banking on Mala and Madiga votes</t>
  </si>
  <si>
    <t xml:space="preserve">1. YCP banked on SC Community vote bank
2. </t>
  </si>
  <si>
    <t xml:space="preserve">1. Neeru Chettu bills worth 10 Lakhs, Case filed in court as well
2. CC Roads worth 1.5 Lkhs in which 40 thousand is pending
</t>
  </si>
  <si>
    <t>1. Paddy and Brinjal Farmers
2. Market shop keepers</t>
  </si>
  <si>
    <t xml:space="preserve">1. YCP Leader Jyothula Chanti Babu previously contested 2 times and lost. This time he had sympathy for him
2. OC votes swung in favour of Chanti Babu who belongs to Kapu community
</t>
  </si>
  <si>
    <t>1. Jyothula Chanti Babu's reputation has decreased due to lack of involvement with villagers
2. Even though all the govt schemes are reaching the villagers, they are unhappy with Chanti Babu's egoistic attitude
3. TDP's Jyothula Nehru is a favourable candidate to win this election
4. JSP has minimal influence with only youth supporting it</t>
  </si>
  <si>
    <t>1. JSP can attract nearly 100 swing votes from Youth population</t>
  </si>
  <si>
    <t>1. Paddy Farmers
2. Daily Wage workers</t>
  </si>
  <si>
    <t xml:space="preserve">1. YCP leader Jyothula Chanti Babu had OC community support
2. The general public voted for YCP due to Jagan wave and Chanti Babu's father influence
</t>
  </si>
  <si>
    <t>1. This is a battleground village between YCP-TDP
2. OC Community votes will get split between both parties
3. JSP Influence is minimal, however, TDP might benefit from youth voting
4. SC and BC voting will become a X factor here</t>
  </si>
  <si>
    <t>1. Sachiwalayam building (1) - 14 lakhs
Sachiwalayam Building (2) - 9 lakhs
2. Health centre (1)- 10 lakhs
Health centre (2) - 10 lakhs
3. RBK Building (1) - 12 lakhs
RBK Building (2)- 15 lakhs
3. SC and ST community halls- 10 lakhs
4. Burial ground wall - 6 lakhs
5. MLA Grant - 5 lakhs
6. BC Community hall and road- 5 lakhs
7. Sachiwalyam washrooms-  6 lakhs</t>
  </si>
  <si>
    <t>1. People are happy with welfare schemes but are unhappy due to huge pending bills</t>
  </si>
  <si>
    <t>1. Agriculture farmers- Paddy, Cotton, Green Dal
2. Business
3. Daily wage workers</t>
  </si>
  <si>
    <t xml:space="preserve">1. People were unhappy with the TDP rule because of the lack of development
2. YCP wave and sympathy for Chanti Babu became crucial factors in deciding voting </t>
  </si>
  <si>
    <t>1. Apart from Chanti Babu, other YCP Key leaders are active and are addressing the villagers problems
2. Housing pattas and schemes are reaching the public, hence they have a pro-govt projection in the village</t>
  </si>
  <si>
    <t>1. Masons
2. Daily Labours
3. Agricultural Farmers</t>
  </si>
  <si>
    <t>1. This is Kapu OC's dominant village which is majorly inclined towards YCP and rest is tilted towards TDP.
2. The YCP wave and sympathy for Chanti Babu became crucial factors in deciding to vote.
3. YCP got a comfortable win due to Jagan's swing.</t>
  </si>
  <si>
    <t xml:space="preserve">1. People are highly satisfied with all the schemes(Amma Vodi, Rythu Bharosa) they are receiving irrespective of different caste and religion.
2. YCP Jyothula Chanti Babu is unresponsive towards the public and is very inactive after his previous win.
3. Jyothula Nehru in TDP is very active and responsive towards people.
</t>
  </si>
  <si>
    <t>1. Sugarcane and Paddy Farmers</t>
  </si>
  <si>
    <t>1. Jyothula Chanti Babu won due to the overall government schemes as well as Rajasekhar Reddy's sentiment
2. OC Voters tilted towards YCP based on the community background of Chanti Babu</t>
  </si>
  <si>
    <t>1. YCP Jyothula Chanti Babu is unresponsive towards the public and is very inactive 
2. Comparatively, Jyothula Nehru of TDP is proactive and engages with the public
3. JSP might help TDP gain an edge over here
4. Local MLA related voting will be less, YCP voting will be more based on overall policies</t>
  </si>
  <si>
    <t xml:space="preserve">1. Drainage bills worth 4 Lakhs
2. Sachiwalayam Building - Under Complaint
3. Podi Chettha- Thadi Chettha bills under TDP worth 6 Lakhs
</t>
  </si>
  <si>
    <t>1. Banana, Sugar cane and Paddy farmers</t>
  </si>
  <si>
    <t xml:space="preserve">1. This is Kapu's dominant village which is split between both the parties TDP and YCP.
2. YCP got a comfortable win due to Jagan's swing.
</t>
  </si>
  <si>
    <t>1. Jyothula Nehru in TDP is very active and responsive towards people and they are highly satisfied with his work (layout of roads).
2. YCP Jyothula Chanti Babu is unresponsive towards the public and is very inactive 
3. Comparatively, Jyothula Nehru of TDP is proactive and engages with the public
4. JSP has no presence and only the JSP and TDP alliance can help them in gaining votes.</t>
  </si>
  <si>
    <t>1. Potato Starch
2. Paddy Farming
3.Cashew Farming</t>
  </si>
  <si>
    <t>1. This is Kapu's dominant village which is split between TDP and JSP.
2. YCP Banked on SC caste Mala and Madiga along with swing votes of BC.</t>
  </si>
  <si>
    <t xml:space="preserve">1. Nimakayala Chinna Rajjapa in TDP is very active and responsive towards people and they are highly satisfied with his work.
2. TDP has stronger support from the kapu vote bank and the JSP+TDP alliance is an added advantage.
3. Davvuluri Dorbabu YCP MLA is not very responsive towards people which is an added advantage towards TDP.
</t>
  </si>
  <si>
    <t>1. Pending bills on housing loans (1.5lakhs)</t>
  </si>
  <si>
    <t>1. Agricultural labourers
2. Paddy Farmers</t>
  </si>
  <si>
    <t>1. Jyothula Chanti Babu of YCP received sympathy voting because he previously contested and lost twice
2. local leaders supported Chanti Babu, and the Jagan wave influenced the voting
3. BC Minorities and SC Community votes were in favour of YCP</t>
  </si>
  <si>
    <t xml:space="preserve">1. Jyothula Chanti Babu, local YCP MLA, is unresponsive towards public problems
2. After winning the elections, his interaction with the public has significantly decreased
3. Jyothula Nehru of TDP is proactive with the public and is gaining a good image 
4. JSP Influence is minimal
</t>
  </si>
  <si>
    <t>1. 80 Lakhs worth bills pending for Culvert, Bridge construction and CC Roads</t>
  </si>
  <si>
    <t>People are happy with the welfare schemes but are unhappy with local leadership</t>
  </si>
  <si>
    <t>1. Paddy Farmers
2. Coconut Husk peelers</t>
  </si>
  <si>
    <t>1. TDP Nimmakayala Chinarajappa has a positive image and is active in interactions with the public
2. This is an OC community-dominant village and might favour the TDP party again
3. YCP Davuluri Dorababu has relatively less significance here</t>
  </si>
  <si>
    <t>1. 15th finance, they were supposed to receive 8 Lakhs
2. Sachiwalayam compound wall bill worth 3 Lakhs
3. water pipes bills worth 10 Lakhs
4. CC Roads worth 2 lakhs
5. MP Lat funds worth 5 lakhs</t>
  </si>
  <si>
    <t>1. Farmers
2. Auto drivers
3.Construction Labours 
4.Daily Labours</t>
  </si>
  <si>
    <t>1.  This is the battleground village where the majority of the communities split between TDP &amp; YSRCP due to leadership Candidature in the village.
2. This is BC (Koppula Velma )dominant village which is split between both the parties TDP and YCP.
3.TDP is banking on swing communities of BC.</t>
  </si>
  <si>
    <t>1. People are highly impressed with the present governance because of their Schemes,(Navaratanalu), development regarding roads and graveyards.
2. JSP has no bare presence and could able to consolidate the minimum votre bank of kapu.</t>
  </si>
  <si>
    <t>1. Pending bills of 13 lakhs on drainages and 15 Finance.</t>
  </si>
  <si>
    <t xml:space="preserve">1. Daily wage workers
2. Auto Drivers
3. Construction workers
</t>
  </si>
  <si>
    <t>1. People voted for YCP due to catchy schemes like Navaratnalu and other welfare schemes
2. Kapu, Yadava and Sagara communities tilted in favour of YCP</t>
  </si>
  <si>
    <t>1. Local TDP Candidate Jyothula Nehru is proactive and undertakes many services in the village
2. There is a growing Anti-Gov sentiment in the village due to Housing patta and inflation issue
3. JSP leader Shiva is active in the village affairs and can influence swing votes</t>
  </si>
  <si>
    <t>1. Bills worth 12 Lakhs pending for Drains, Gravel roads, culverts and excess water drain works</t>
  </si>
  <si>
    <t>1. People are unhappy due to high inflation of daily goods</t>
  </si>
  <si>
    <t>1. Paddy Farmers
2. Migrant Workers</t>
  </si>
  <si>
    <t>1. Paddy Farmers
2. Centring Workers
3. Daily wage workers</t>
  </si>
  <si>
    <t>1. Local YCP Sarpanch Seelam Peddaparao is unresponsive towards people's needs and is also ignorant towards them
2. JSP has a strong command over here due to active youth participation
3. Thus, being a Kapu-dominant village, an alliance of JSP-TDP will hamper YCP's chances</t>
  </si>
  <si>
    <t>1. Roads were rolled out near the school. Bills are pending for the same
2. Street lights installation is pending due to clearance of the bills</t>
  </si>
  <si>
    <t>1. Paddy Farmers
2. Agricultural labourers</t>
  </si>
  <si>
    <t>1. Local YCP leader Chittibabu was influential in attracting voters towards YCP
2. Since it is a Kapu-dominant village, they favoured TDP 
3. YCP vote bank got split due to JSP influence</t>
  </si>
  <si>
    <t>1. YCP Sarpanch Nepala Varalakshmi is disgruntled over the volunteer's issue
2. JSP has an active youth population here
3. YCP has prospects of winning due to SC and BC Minorities support
4. TDP leader SVSN Varma is inactive and doesn't involve much with villagers</t>
  </si>
  <si>
    <t>1. 6- 7 Lakhs bills pending for Street lights, Sanitisation worker salaries, Road soil 
2. Bills still yet to be given for Panchayati building and drainages works</t>
  </si>
  <si>
    <t xml:space="preserve">1. People are receiving welfare schemes, but they are unhappy with the rising prices of petrol and diesel. 
2. Since this is a farmer-dominant cohort, they are finding RBK  facility ineffectual </t>
  </si>
  <si>
    <t>1. TDP's Nimmakayala Chinnarajappa was the sitting MLA
2. He had a positive image in the public because of his previous governance in the village
3. Kamma vote bank tilted in favour of TDP
4. JSP had minimal impact</t>
  </si>
  <si>
    <t xml:space="preserve">1. Villagers are happy with TDP's Nimmakayala Chinnarajappa as he is an active leader and well-received in the village
2. YCP's Davuluri Dorababu is inactive and is irregular in public interaction
3. JSP local leaders Ramachandra Rao, Madhava Sai and Venkata Ramana are active campaigners in the village
</t>
  </si>
  <si>
    <t>1. Neeru Chettu bills pending worth 58 Lakhs
2. Gorintta village - 30 Lakhs
3. Polimeru Village- 20 Lakhs
4. Divili- 8 Lakhs</t>
  </si>
  <si>
    <t>1. Paddy Farmers
2. Palm Oil farmers
3. Pulses farmers</t>
  </si>
  <si>
    <t>1. As sitting MLA Nimmakayala Chinnarajappa had a good influence over here
2. SC majority vote bank voted for TDP due to impressive previous governance by MLA</t>
  </si>
  <si>
    <t>1. TDP's Nimmakayala Chinnarajappa is well respected in the village
2. Villagers are unhappy with YCP because they are not receiving welfare schemes
3. YCP's D Dorababu doesn't involve much with villagers
4. Since it's an SC Village. JSP influence is negligible</t>
  </si>
  <si>
    <t>1. 15 Lakhs worth of bills pending for CC Roads
2. Government school building bill worth 1 Lakh
3. Housing pattas bills worth 10 Lakhs</t>
  </si>
  <si>
    <t>1. Paddy farmers and Cotton farmers</t>
  </si>
  <si>
    <t>1. YCP member Varapula Subbarao joined TDP to get a ticket. However, he didn't receive a ticket from TDP, so he supported the YCP candidate Paravata Purna Chandraprasad
2. People were unhappy because they didn't receive TDP welfare schemes such as Pasupu Kumkum</t>
  </si>
  <si>
    <t xml:space="preserve">1. YCP has internal conflicts here
2. YCP Cadre is split into groups. K Venkateshwara Rao maintains one group and another by K Satyanarayana
3. TDP Cadre is consolidated, and people are unhappy with pensions under YCP Govt
</t>
  </si>
  <si>
    <t>1. Graveyard bill pending worth 10 Lakhs</t>
  </si>
  <si>
    <t>1. Palm Oil Farmers
2. Paddy farmers</t>
  </si>
  <si>
    <t>1. People were unhappy due to promised schemes not being fulfilled by TDP
2. TDP promised gold-related schemes, which they didn't fulfil, this improved Anti- TDP sentiment</t>
  </si>
  <si>
    <t xml:space="preserve">1. YCP has a strong vote bank here from SC and ST vote bank
2. Youth are receiving 18 and 15 thousand money from YCP govt, hence youth voters are favouring towards YCP
3. JSP has minimal influence here </t>
  </si>
  <si>
    <t>1. Drainage-related bills pending worth 1.5 Lakhs</t>
  </si>
  <si>
    <t>1. OC and BC voters tilted towards TDP
2. Due to previous administration of Nimakayala Chinnarajappa, villagers give him a second chance due to development promises</t>
  </si>
  <si>
    <t xml:space="preserve">1. This is a Kapu-dominant village, and villagers are dissatisfied with poor infrastructure, drinking water problems and sanitation facilities 
2. Due to these issues, villagers might swing in favour of YCP, Parala Veera Raghava (Kapu) and Patamsetti Naga Raghava Rao (Kapu) are active local YCP leaders
3. JSP has minimal influence </t>
  </si>
  <si>
    <t>1. Bills worth 2.1 lakhs pending for Street light works
2. Sachiwalayam building works worth 8 lakhs pending
3. MPTC Road constructed worth 8 Lakhs pending bills</t>
  </si>
  <si>
    <t xml:space="preserve">1. Kapu and SC voters were favouring YCP due to the attractive welfare schemes and Jagan wave
</t>
  </si>
  <si>
    <t>1. This is a SC Dominant village where Caste based voting is prevalent
2. YCP Jyothula Chanti Babu has a positive influence in this village
3. TDP's N Nageswara Rao and Vishnu Murthy are active Kapu leaders who can influence the community votes
4. JSP has negligible influence</t>
  </si>
  <si>
    <t>1. Sachiwalayam and hospital construction bills worth 15 Lakhs pending
2. Drainage system works worth 5 Lakhs pending
3. CC Roads and Toilets construction bills worth 2.5 Lakhs
4. Panchayati Gravel roads bills worth 5 Lakhs pending
5. Street water pipe bills worth 2 Lakhs pending</t>
  </si>
  <si>
    <t>1. Paddy, Corn and Ground Nut farmers</t>
  </si>
  <si>
    <t>1. Turpu Kapus and Kapus voted for YCP's Chanti Babu due to a willingness in government to change
2. Also, it was a case of the Jagan wave and strong schemes introduced by YCP</t>
  </si>
  <si>
    <t xml:space="preserve">1. YCP Sarpanch is disgruntled due to lack of funds from govt and lack of recognition in the village
2. This is an issue-based voting village where the Field water supply is going to be the X factor
3. Since the village is drought-prone, they need a water stream (Kaluva) for water supply to fields, so whoever solves this issue will gain the swing votes
4. The YCP cadre is also unhappy due to the lack of funds and attention from party </t>
  </si>
  <si>
    <t>1. Sachiwalayam MGNRGS related bills pending worth 6 Lakhs
2. Sanitation workers salaried pending from last 6 months
3. Stamp duties are pending</t>
  </si>
  <si>
    <t xml:space="preserve">1. Paddy and Vegetable farmers
</t>
  </si>
  <si>
    <t>1. YCP's Jyothula Chanti Babu received sympathy votes due to him previously contesting twice and losing elections
2. It was also a case of Jagan wave due to impressive schemes launched by YCP
3. Kapu vote bank got split, and this helped YCP
4. JSP played minimal role</t>
  </si>
  <si>
    <t>1. YCP MLA Chanti Babu has become inactive and doesn't interact much with locals 
2. While Jyothula Nehru is proactive and is more involved with the village issues and problems
3. Solving local issues such as roads and drainages might result in swing voting</t>
  </si>
  <si>
    <t xml:space="preserve">House pattas were promised to Villagers. But they were not given. This is an important issue in this village. </t>
  </si>
  <si>
    <t>1. Paddy farmers
2. Daily wage workers</t>
  </si>
  <si>
    <t>1. ST Konda Dora community votes were polled for TDP, however YCP Paravata Purna Prasad was successful due to favourable voting from other villages</t>
  </si>
  <si>
    <t xml:space="preserve">1. TDP Varapula Satya Prabha visited this village nearly 15 days ago. She promised the villagers new roads and improved sanitation facilities
2. YCP's Parvata Purna Chandra Prasad is inactive and hasn't visited the village since after elections
3. This is a ST dominant new panchayat, and TDP local leader Annavaram influences ST voting
4. JSP has no active leaders; only a few youth associate with party
</t>
  </si>
  <si>
    <t>1. Bills worth 7 Lakhs pending for water tank construction
2. Salaries are not paid to Sarpanches, Sweepers etc</t>
  </si>
  <si>
    <t>1. Daily Labours
2.Mason
3.Paddy Farming</t>
  </si>
  <si>
    <t xml:space="preserve">1. This SC-dominant village is majorly inclined towards the YCP Party.
2. TDP banked on Settibalija and Yadava communities along with the other swing communities of BC which are split between TDP and TCP.
3.JSP played a bare minimum role in securing votes.
4. Pilli Anant Lakshmi did not show any interested in the issues of  SC people and they became completely towards the TDP Government which benifted YCP.
</t>
  </si>
  <si>
    <t>1. People are highly satisfied with Kurasala Kanna  YCP MLA as he is highly responsive towards people in solving their problems and issues like laying of roads and street lights.
2. People are also highly satisfied with the Welfare schemes provided by the government as they are reaching on time.
3.JSP has no bare minimum presence in the village.</t>
  </si>
  <si>
    <t>1. Daily Labours
2. Paddy Farmers
3. Masons
4.Auto Drivers</t>
  </si>
  <si>
    <t>1. This OC Kapu dominant village which is split between YCP and TDP 
2.Kapu and other swing communities of BC are in major support of JSP due to MLA Candidature.</t>
  </si>
  <si>
    <t>1. JSP can consolidate a major number of votes as Pantam Nananji helped people in this village during Carona which was the major X Factor.
2. YCP MLA  Kursala KannaBabu has great influence in the Kapu community with Local sarpanch candidature as a X factor.
3. JSP able to split the votes which dented to YCP and TDP Party.</t>
  </si>
  <si>
    <t>1.Pending bills of 30 lakhs on Road Construction and 8 lakhs on Sachyavalayam Construction.</t>
  </si>
  <si>
    <t xml:space="preserve">1. This SC-dominant village is tilted in favour of the YCP Party due to the Caste factor as well as due to the admiration of YS Rjasekhar reddy
2. They wanted to provide a chance to YS Jagan and hence voted for YCP party </t>
  </si>
  <si>
    <t>1. This is a small village consisting of nearly 500 people. 
2. The majority community is SC Mala and Madigas, who are caste-wise inclined towards voting for the YCP party
3. Harinath Babu (Advocate and Sarpanch) of YCP is a influential local leader, even MPTC is from YCP</t>
  </si>
  <si>
    <t>1. Farmers
2. Cashew Farming
3. Mango Farming
4. Paddy Farming</t>
  </si>
  <si>
    <t xml:space="preserve">This village is not formed in 2019 elections </t>
  </si>
  <si>
    <t>1. This is Kapu dominant village which is majorly inclined towards YCP .
2.This is a new village which is formed after 2019 elections and due to local sarpanch candidature YCP has major chance to win .</t>
  </si>
  <si>
    <t>1. Paddy Farmers
2. Employye working in an oil company
3.labours</t>
  </si>
  <si>
    <t xml:space="preserve">1. This is OC Kapu's dominant village which is split between TDP majorly and the rest are inclined towards YCP.
2. TDP MLA Nimmakayala Chinnarajappa was very responsive towards people and made many developments that encouraged TDP to consolidate more vote banks.
</t>
  </si>
  <si>
    <t>1. People are highly disgruntled with the present government due to increased bills of current and no major developments made and local leaders are not very much responsive towards people.
2. Farmers in the village are also highly disgruntled as they are highly dissatisfied with the schemes from the government.
3.JSP has no bare minimum presence in this village</t>
  </si>
  <si>
    <t>1. Paddy Farmers
2.Masons</t>
  </si>
  <si>
    <t xml:space="preserve">1. This is a Kapu OC-dominated village split between all three parties TDP, JSP, and YCP.
2. JSP is able to split the vote bank which is a majorly inclined towards YCP.
</t>
  </si>
  <si>
    <t xml:space="preserve">1. This is Kapu's dominant village which is majorly inclined towards YCP.
2. YCP MLA  Parvatha Purna Chandra Prasad is very responsive towards people in helping them with House Pattas, and laying of roads, and also promises to bring good infrastructure to government hospitals.
3. After the Demise of Varpula Raja there are no active leaders from TDP and this acts as an X Factor for YCP to shift the vote bank.
4. JSP has no bare minimum presence in this village.
</t>
  </si>
  <si>
    <t xml:space="preserve">1. Pending bills of amount 54 lakhs on water tank </t>
  </si>
  <si>
    <t>1. Paddy Farming
2.Tobbaco
3.Palm oil Farming</t>
  </si>
  <si>
    <t>1. This is Kshtriyas OC's dominant village split between TDP and  YCP.
2. TDP MLA jyothula Nehru is not very responsive toward people.
3.JSP did not able to secure much number of votes.</t>
  </si>
  <si>
    <t>1. YCP MLA Jyothula Chanti Babu has a strong personality compared to Jyothula Nehru and very responsive towards people and active among them.
2. JSP has no bare existence in this village.
3. People are also highly satisfied with government developments and schemes.</t>
  </si>
  <si>
    <t>1. Pending bills on drainages, cement roads, and sweepers nearly 34 lakhs</t>
  </si>
  <si>
    <t>1. Labour
2.Paddy Farming</t>
  </si>
  <si>
    <t>1. This is BC Sagara's dominant village which is majorly inclined towards TDP and the rest to YCP.
2. YCP banked on Mala along with some swing communities of BC.
3. Jyothula Chanti Babu won due to sympathy as he lost the last two elections.</t>
  </si>
  <si>
    <t>1. After electing Jyothula ChantiBabu he became anti towards people and is not responsive towards them.
2. TDP MLA Jyothula Nehru is very responsive toward people and they are highly satisfied with his presence among them.
3. JSP has no presence and cannot consolidate more vote bank.</t>
  </si>
  <si>
    <t>1. Pending bills of 90k on drainages,and Uppa Grama Padkam Sampada Kendram 1lakh.</t>
  </si>
  <si>
    <t>1. Paddy Farmers 
2. Daily Labours</t>
  </si>
  <si>
    <t xml:space="preserve">1. This is Kapu OC's dominant village which is split between JSP and YCP and a very minute vote towards TDP.
2. YCP MLA won due to his work in public by laying roads and constructing street lights.
3. Kursala Kanna Babu also conducted an eye campaign which benefited many members in different ways.
4. JSP was able to split the votes and consolidated majority vote bank as JSP MLA Pantam Nanaji helped people during Carona's time </t>
  </si>
  <si>
    <t xml:space="preserve">1.Kapu community is majorly inclined towards YCP due to MLAS Candidature and also Local leadership Candidature who stood in sarpanch position with the help of businessman Karunasula Sai who is the brother of YCP MLA Kurasala Kanna Babu.
2.TDP +JSP aliance is an added advantage as JSP can consolidate majority of kapu vote bank due to JSP MLAs Candidature .
</t>
  </si>
  <si>
    <t>Strong Leadership but medium Vote bank</t>
  </si>
  <si>
    <t>1. Paddy Farmers
2. Daily Labours
3. Masons
4. Drivers
4.Mini Business</t>
  </si>
  <si>
    <t xml:space="preserve">1. This is Kapu OC's dominant village which is majorly split between all the parties JSP, TDP, and YCP.
2. Kursala Kanna Babu YCP MLA was able to consolidate more votes due to the programmes conducted like Gadpa Gadpa ki Mana Prabhutavam.
3.JSP was able to split the votes and consolidated majority vote bank as JSP MLA Pantam Nanaji helped people during Carona's time </t>
  </si>
  <si>
    <t>1. The Kapu community is majorly inclined towards JSP due to MLAS Candidature and also Local leadership Candidature.
2. All three MLAs of the three parties, Kursala Kanna Babu, Pantham Nanaji, and Pilli Ananth Lakshmiare spending money on the public.
3. The TDP party is spending along with the distribution of pamphlets and is giving promises to the public along with JSP.
4. The TDP+JSP alliance is an added advantage to consolidate more vote bank.
5.JSP candidates are very active in this village</t>
  </si>
  <si>
    <t>1. Pending bills on water Tank nearly of 10 Lakhs</t>
  </si>
  <si>
    <t>1. Paddy and Cotton Farmers
2. Sarugudu Farmers</t>
  </si>
  <si>
    <t>1. Previously under TDP, they were unsatisfied with the village development
2. Due to the attractive welfare schemes, Villagers tilted in favour of YCP</t>
  </si>
  <si>
    <t>1. This is a weavers-dominant village 
2. YCP's Vanga Geetha spent 1 CRORE on Weaver Machines 
3. TDP's Varapula Satyaprabha is not active in this village neither is the TDP cadre
4. JSP has very minimal influence</t>
  </si>
  <si>
    <t>1. Bills worth 70 Lakhs pending for drainages, Market construction, Roads, Borewells works
2. 40 Lakhs bills pending for panchayat works</t>
  </si>
  <si>
    <t>1. Paddy Garmers
2.Auto Drivers</t>
  </si>
  <si>
    <t>1. Previously people were highly satisfied with TDP development but at that time when the welfare schemes were announced they thought to give a chance to the new government.
2.This is Kapu dominant village which is split between the three Parties.
3.YCP banked on SC and kapu communities</t>
  </si>
  <si>
    <t xml:space="preserve">1. People are disgruntled with the present government as they failed to fulfill the promises of development and schemes.
2. This is basically SVSN Varma village and due to the dissatisfaction towards YCP they are again shifting towards TDP.
3.TDP+JSP alliance is an added advantage </t>
  </si>
  <si>
    <t>1.Paddy Farming
2.Starch extraction</t>
  </si>
  <si>
    <t xml:space="preserve">1. YCP got a comfortable victory due to the wide range of Welfare schemes by the Jagan Govt.
2. This is OC Kapu's dominant village which is split between all the parties TDP, JSP andYCP.
3. JSP was able to split the majority of the Kapu vote bank which dented YSRCP's and TSP Parties.
</t>
  </si>
  <si>
    <t xml:space="preserve">1. This is a battleground village for all three parties where all are equally split towards all the parties.
2.. Local leaders of the JSP party (Achanta Veerabararao-Vice President, Maadepalli Srinu-Party leader )are very active and responsive towards people alongside the greater number of youth who are inclined towards JSP.
3. People are highly satisfied with the schemes of the government and their governance and YCP has a chance due to MLA candidature Davuluri Dorababu.
4. The TDP+JSP alliance is an added advantage for both parties in this village.
</t>
  </si>
  <si>
    <t>1. Pending bills of 17 lakhs on drains ,raods</t>
  </si>
  <si>
    <t>1. Paddy farmers
2. Daily wage workers
3. Lorry workers (loading and Unloading)</t>
  </si>
  <si>
    <t>1. TDP MLA Nimmakayala Chinnarajappa has a positive image due to his interaction with people and contribution to village development
2. OC, Gavara and Yadavas voted for TDP</t>
  </si>
  <si>
    <t xml:space="preserve">1. TDP MLA Nimmakayala Chinnarajappa is very proactive and addressed the problems of the villagers
2. Under TDP MLA panchayat building construction, drinking water and electricity facilities have improved, leaving a positive image on TDP
3. YCP Cadre and local leadership are weak and are inactive in village affairs
4. JSP has a strong youth support here but there are no active leaders </t>
  </si>
  <si>
    <t>1. Neeru Chettu program bills worth 25 Lakhs pending
2. Panchayati building construction bills worth 3 Lakhs pending</t>
  </si>
  <si>
    <t>1. Sugarcane, Palm Oil and Paddy Farmers</t>
  </si>
  <si>
    <t>1. TDP MLA Nimmakayala Chinnarajappa has a strong influence due to his previous developmental activities for the village
2. Kapu community votes were tilted in favour of TDP</t>
  </si>
  <si>
    <t>1. TDP MLA Nimmakayla Chinnrajappa has a positive image due to uninterrupted power supply, construction of drains and roads, and improved drinking water facilities
2. This is a Kapu dominant village so vast based favour for TDP is present here
3. JSP has minimal impact only youth population are active</t>
  </si>
  <si>
    <t>1. Bills worth 30 Lakhs pending for Roads (4 Km) and Drainage (1.5 Kms) works</t>
  </si>
  <si>
    <t xml:space="preserve">1. Paddy Farming
</t>
  </si>
  <si>
    <t>1.This is BC dominant village which is majorly inclined to TDP and rest to YCP.
2. YCP banked on SC Mala Community along with other BC Swing communities.
3.Yadava community votes were tilted in favour of TDP.</t>
  </si>
  <si>
    <t>1. People are highly satisfied with the present government due to the developments made and on-time welfare schemes like Amma Vodi and Rythu Bharosa.
2. TDP has no scope because people are disgruntled with the behavior of party as they used to provide the Janmabhoomi committee which is provided only to TDP party members that too for specific persons.
3.JSP has minimal impact only youth population are active</t>
  </si>
  <si>
    <t>1.Pending bills of 3 lakhs on drainage and sweeper salaries</t>
  </si>
  <si>
    <t>1.Agricultural Labours</t>
  </si>
  <si>
    <t xml:space="preserve">1. This is SC dominant village which is majorly inclined towards YCP and the rest to TDP.
2. Due to attractive welfare schemes and Navaratna patakalu people voted for YCP. </t>
  </si>
  <si>
    <t>1. People are highly satisfied with the present government due to the developments made and on-time welfare schemes.
2. As the major community is from SC community Mala, there might be a majority of the vote bank shift towards TDP due to negative opinions on the government.
3.JSP has no minimal presence and can impact minimum number of youth vote bank.</t>
  </si>
  <si>
    <t>1. Due to attractive welfare schemes and Navaratna patakalu people voted for YCP. 
2. YCP banked on both the SC Communities Mala and Madiga.
3.YCP got a comfortable win due to Jagan's swing as people were impressed with welfare schemes at  that time and thought of giving one chance to Jagan.</t>
  </si>
  <si>
    <t>1. People are highly satisfied with the present government due to the developments made and on-time welfare schemes.
2. YCP is banking on complete vote bank Mala and settibalija.
3. TDP has a very minimal vote bank from the BC Sagara community.
4. JSP has no presence in this village.</t>
  </si>
  <si>
    <t>1.paddy farming
 2.cashew farming</t>
  </si>
  <si>
    <t>1. This is ST Konda dora dominant village which is majorly inclined towards YCP party .
2.TDP banked on Kapu along with Bc community of settibalija.
3.TDP failed to fulfil the promises of laying roads and hence there is a shift of vote bank towards YCP party to give it a one chance.</t>
  </si>
  <si>
    <t xml:space="preserve">1.People are highly satisfied with the present government due to the developments made and on-time welfare schemes and also pensions on time.
2.As the major community is from ST community Mala,there is huge support from them towards YCP party.
3.JSP has no presence in this village.
 </t>
  </si>
  <si>
    <t>1.Pending bills on Panchayath works like street lights etc (1.5lakh)</t>
  </si>
  <si>
    <t>1.Paddy Farming
2.Palm Oil,Potato Farming
3.Labours</t>
  </si>
  <si>
    <t>"1. This is Kapu's dominant village which is split between both the parties TDP and YCP.
2. YCP got a comfortable win due to Jagan's swing.</t>
  </si>
  <si>
    <t>1.TDP MLA Nimmakayala Chinna Rajappa is very responsive towards people and helped them in developing the area.
2.The kapu vote bank is majorly inclined towards TDP due to MLAs Candidature.
3.The Women of SC Mala vote bank are highly satisfied with TDP local leadership candidature and this can be added advantage to increase or shift the vote.</t>
  </si>
  <si>
    <t>1.Pending bills on Panchat building and CC roads of nearly 35 lakhs .</t>
  </si>
  <si>
    <t>1.Fisher mans
2.Daily Labours</t>
  </si>
  <si>
    <t>1.This is vadabalija BC dominant village which is split between Both the parties of TDP and YCP.
2.TDP banked on Settibalija along with the minor vote bank of Madiga.
3.People are highly dissatisfied with TDP Governance in 2014 elections as they failed to provide jobs to Fishermans hence people thought to give one chance to jagan to experience new governance with new schemes.</t>
  </si>
  <si>
    <t>1.People are highly gruntled and disatisfied with present government due to many problems like No proper water supply,No provision of house pattas,and very high cureent bill for small families.
2.JSP able to split the votes that dented towards YCP.
3.JSP+TDP alliance is an added advantage to secure more number of vote bank.</t>
  </si>
  <si>
    <t>1.Pending bills of 10 lakhs on water tank.</t>
  </si>
  <si>
    <t>1.Paddy ,Cashew Farming</t>
  </si>
  <si>
    <t>1.This  is BC Yadava dominanat village which is equally split between both the parties TDP and YCP followed by koppula velma which is majorly inclined towards TDP followed by YCP.
2.YCP banked on mala ,madiga along with the swing communities of BC</t>
  </si>
  <si>
    <t xml:space="preserve">1.People are highly satisfied with the development of governmnt and its schemes.
2.There are proper and influenctial leaderts from TDP where as YCP leaders are very active and responsive towards people and this is an added advantage to YCP.
3.JSP ha no presence in this village.
</t>
  </si>
  <si>
    <t>1.Agricultural Farming</t>
  </si>
  <si>
    <t>1.This is Perikas  dominant village which is split between both the parties TDP and YCP.
2. YCP got a comfortable win due to Jagan's swing as people are impressed with welfare schemes at  that time and thought of giving one chance to Jagan.</t>
  </si>
  <si>
    <t xml:space="preserve">1.All Leaders in this village are from TDP and are very active and people are highly satisfied with TDP governance due to local leader (Bekkam Radha Krishna -TDP -Sarpanch) candidature.
2.JSP+TDP alliance will have an added advantage.
3.Whole village from the start are towards TDP and YCP has no chance in this village. </t>
  </si>
  <si>
    <t>1.Farmers 
2.Daily Labours
3.Masons</t>
  </si>
  <si>
    <t>1.This is SC dominant village whuch is majorly inlined towards YCP Party.
2. YCP got a comfortable win due to Jagan's swing as people are impressed with welfare schemes at  that time and thought of giving one chance to Jagan and due to the sympathy of his father.</t>
  </si>
  <si>
    <t xml:space="preserve">1.People are highly impressed with the new schemes told by both the parties of TDP and JSP like providing 3 gas cylinder for house and transportation through buses for ladies is free.
2.People are highly dissatisfied with YCP government due to lack of providing people with what they have promised.
3. As there is no development and and due to negative opinion on government the SC vote bank also got split.
4.TDP+JSPalliance  is an added advantage to both the parties.
</t>
  </si>
  <si>
    <t>1.Farmers
2.Daily Labours
3.Masons</t>
  </si>
  <si>
    <t>1. BC settibalija's dominant village is majorly inclined towards TDP.
2. YCP banked on OC Kapu, ST, and other swing communities.
3. YCP got a comfortable win due to Jagan's swing as people were impressed with welfare schemes at  that time and thought of giving one chance to Jagan.</t>
  </si>
  <si>
    <t>1. TDP MLA Pilli Anantha Lakshmi and JSP MLA Pantham Nanaji actively participate in every event and are very responsive towards people.
2. 2. People are highly dissatisfied with the YCP government due to the lack of providing people with what they have promised also during the Gadpa Gadpa ki Programme they have kept those for only limited number of people and the rest are left aside.
3. The TDP+JSP alliance is an added advantage to either of the parties.</t>
  </si>
  <si>
    <t>1. Paddy Farmers 
2. Tapioca pearl farmers
3. Palm Oil farmers
4. Urad dal cultivators</t>
  </si>
  <si>
    <t>1. This is a battleground village where votes were polled almost equally for TDP and YCP
2. However, JSP was able to split nearly 15% of the vote share resulting in TDP gaining a 9 votes majority from here</t>
  </si>
  <si>
    <t>1. This is a Kapu-dominant battleground village
2. TDP's Nimmakayala Chinnarajappa is active in terms of public interaction and solving people's problems
3. YCP's Davuluri Dorababu is not very active due to internal political issues
4. JSP lacks leadership, however they have a strong youth cadre</t>
  </si>
  <si>
    <t>1.Paddy
2.Cotton</t>
  </si>
  <si>
    <t>1. This is OC Kapu's dominant village which is split between both parties.
2. YCP banked on both the SC Communities Mala and Madiga.
3.YCP got a comfortable win due to Jagan's swing as people were impressed with welfare schemes at  that time and thought of giving one chance to Jagan.</t>
  </si>
  <si>
    <t xml:space="preserve">1. TDP MLA Jyothula Nehru is very active and responsive towards people in supporting them and also helping them with developments people need.
2. If Jyothula Chanti Babu takes place in YCP then there is a major chance that TDP might get a huge vote bank as people are highly dissatisfied with him.
3. IN the same case Thota Narasimha stands for YCP so there is a chance that both the TDP and YCP are in high battle ground.
4.JSP has no presence  in this village.
</t>
  </si>
  <si>
    <t>1.Pending bills on CC roads nearly of 18 lakhs</t>
  </si>
  <si>
    <t>1. Daily Labours
2. Construction Workers
3.Farmers</t>
  </si>
  <si>
    <t xml:space="preserve">1.YCP got a comfortable win due to Jagan's swing as people were impressed with welfare schemes at  that time and thought of giving one chance to Jagan.
2.people are dissatisfied withTDP as they failed to fulfill their promises and manifesto </t>
  </si>
  <si>
    <t xml:space="preserve">1. During Varpula Raja he did all good for the people's welfare and for development.
2. People are highly dissatisfied with the government as they have negative opinions because no developments are made.
3.JSP has minimal presence in the village </t>
  </si>
  <si>
    <t>1. Pending bills of 5 lakhs on gravel roads and also on sanitisation.</t>
  </si>
  <si>
    <t>1. Daily wage labourers
2. Weavers</t>
  </si>
  <si>
    <t>1. This is a Settibalija-dominant village
2. In 2014, under TDP rule, villagers recieved BC Loans and Housing loans
3. Due to this, the villagers again voted in favour of TDP's SVSN Varma</t>
  </si>
  <si>
    <t xml:space="preserve">1. SVSN Varma is actively campaigning in this village and is currently conducting the "Mana Ooru mana Varma" programme to address local issues and problems
2. Pendem Dora Babu has not been very active here, even he has not attended the "Gadapa gadapaki" programme upon invitation from the sarpanch
3. JSP Village in charge "Thengala Uday Srinivas, is also active in reaching out to the village issues
4. TDP-JSP Alliance will certainly dent YCP </t>
  </si>
  <si>
    <t xml:space="preserve">1. Pending bills worth 2.5 lakhs for Water tank repair, sanitisation workers' salaries, street lights works </t>
  </si>
  <si>
    <t>1. Paddy Farmers
2. Milk sellers</t>
  </si>
  <si>
    <t>1. YCP Candidate Parvta Purna Chandra Prasad had a positive image in the village due to his involvement as well as the attractive schemes given by the YCP govt
2. Kapu and Settibalija votes were tilted in favour of YCP</t>
  </si>
  <si>
    <t>1. Due to local politics during the 2019 Sarpanch elections, some influential local cadre left the YCP party due to issues regarding Sarpanch ticket
2. These local leaders are now independent, and if they join TDP, then TDP has a clear chance of gaining a majority over here
3. Mudragada Padmanabham has influence over this village. These independent candidates also can tilt in the direction of his orders
4. JSP has very minimal influence</t>
  </si>
  <si>
    <t>1. Bills worth 8 Lakhs pending for the Water tank, Drainage cleaning works etc</t>
  </si>
  <si>
    <t>1. Paddy, Cotton and Vegetable farmers</t>
  </si>
  <si>
    <t>1. Jyothula Chanti Babu being a Kapu leader, consolidated the Kapu Vote Bank in this village
2. Villagers wanted a change in Government due to the promising schemes under YCP govt</t>
  </si>
  <si>
    <t>1. This is a farmer's dominant village where farmers are unhappy due to the scarcity of water to fields, lakes and streams works are not undertaken by the YCP party
2. Housing pattas are pending, and unemployment among youth is increasing in this village, causing an anti-government feeling locally
3. YCP has a  positive image due to construction of schools and BC Community halls in the village
4. JSP has negligible impact here</t>
  </si>
  <si>
    <t xml:space="preserve">1. BC Community hall building bills worth 10 Lakhs
2. High School construction bills worth 3 Lakhs
3. Jagan Anna Housing sites, Gravel roads works bills worth 8 lakhs
4. Sachiwalayam building works bill worth 6.8 Lakhs pending
</t>
  </si>
  <si>
    <t>1. Those who are receiving pensions and schemes have a positive image on the Govt
2. Unemployed youth are having a negative view of the Govt</t>
  </si>
  <si>
    <t>1. Weavers
2. Agriculture Farmers</t>
  </si>
  <si>
    <t>1. In 2014, Under SVSN Varma, only TDP party members and supporters benefitted from TDP's schemes 
2. The villagers tilted in favour of Pendem Dorababu, who promised that he would ensure the equal access to all govt schemes such as loans, etc</t>
  </si>
  <si>
    <t>1. YCP's Pendem Dorababu has not lived up to the villager's expectations in terms of development and access to housing loans, etc
2. TDP's SVSN Varma is an active leader and might be proactive in the future with some activities
3. JSP Incharge Pengala Udaya Srinivas is an active youth mobiliser who conducts JSP party related events</t>
  </si>
  <si>
    <t>1. Bills worth 15 Lakhs pending for CC Roads and Sachiwalyam works</t>
  </si>
  <si>
    <t>1. Toddy Tappers
2.Daily Labours</t>
  </si>
  <si>
    <t>1. All the government employees in the village supported YCP due to issues they faced at that time.
2. Daily laborers also supported YCP because, during the TDP government, they failed to provide them jobs as promised
3. JSP was able to split the votes which both dented to other two parties TDP and YCP.</t>
  </si>
  <si>
    <t xml:space="preserve">1. People are disgruntled with the behavior of the YCP government as they are not benefitted in any way from this governance and they are also highly dissatisfied with the Local sarpanch.
2. TDP secretary Penke Veera Babu is highly responsive towards the public and he is doing campaigns that are useful to the public.
3. The TDP +JSP alliance is an added advantage as JSP has the capability to consolidate the majority of the kapu vote bank.
</t>
  </si>
  <si>
    <t>1. Pending bills on lake construction which is beside School.</t>
  </si>
  <si>
    <t xml:space="preserve">1. Paddy and Mango export farmers
</t>
  </si>
  <si>
    <t>1. TDP local sarpanch, T Subbarao, played a role in mobilising votes for the party
2. He was available for people and TDP also promised to build roads and improve drinking water facilities in the village</t>
  </si>
  <si>
    <t>1. Villagers are unhappy with the complete lack of development in the village. There is no playground for the school. Housing pattas were given near a hilly region, which became a major issue. 
2. YCP's Parvata Purna Chandra Prasad has not visited the village and is not paying attention to people's problems
3. Varapula Satyaprabha has recently visited the village and assured roads and drainage works
4. There is no major JSP influence here in the village</t>
  </si>
  <si>
    <t>1. Bills worth 2 lakhs pending for Drainage works</t>
  </si>
  <si>
    <t xml:space="preserve">1. Farming
</t>
  </si>
  <si>
    <t>1. Thurpu Kapu's dominant village is majorly split YCP and the rest to TDP.
2. YCP Completely banked on Thurpu Kapu along with SC communities Mala and Madiga.
3.TDP banked on split votes of Thurpu Kapu along with the swing votes of BC Communities.</t>
  </si>
  <si>
    <t xml:space="preserve">1. TDP MLA Nimmakayala Chinna Rajappa is very responsive towards people and is helping people in their development.
2. If the Seat is confirmed for Davvuluri Dorababu then it is a huge loss to YCP as he has a negative and even Thota Vani also has no influence so the vote bank might shift towards TDP.
3. JSP has no presence in this village.
</t>
  </si>
  <si>
    <t>1. Pending bills of Sachyavalayam (6 lakhs)</t>
  </si>
  <si>
    <t>1. Thurpu Kapu's dominant village is majorly inclined towards YCP and the rest to TDP.
2. TDP is banking on Chowdaries along with the split votes of Thurpu Kapu.
3. YCP Completely banked on Thurpu Kapu along with SC communities Mala and Madiga.</t>
  </si>
  <si>
    <t>1. TDP MLA Nimmakayala Chinna Rajappa is very responsive towards people and is helping people in their development with his own money.
2. YCP has no positive in people neither the leaders Davuluri Dorababu and Thota Vani have a positive image in public.</t>
  </si>
  <si>
    <t>1. Pending bills on water pipelines and Roads (1.8lakhs)</t>
  </si>
  <si>
    <t>1. Fisherman
2.Weavers</t>
  </si>
  <si>
    <t>1. YCP won due to Jagans Schemes.
2. This is BC Sagara's dominant village which is split between all the parties TDP,YCP, and JSP.
3. YCP banked on Sagara along with SC community Mala.</t>
  </si>
  <si>
    <t>1. People are highly satisfied with TDP programs like Mana Vooru and Mana Varma and local leaders are highly responsive toward people in solving and understanding their problems.
2. TDP MLA Varma also provided nets to the fishermen in the last few months.
3. People are highly dissatisfied with the government as there is no development and leaders are also not responsive towards people.
4. JSP has minimum presence and the TDP +JSP alliance is an added advantage.</t>
  </si>
  <si>
    <t>1. Pending bills on Jaga anna Illu Pathkam, Drainages (18lakhs)</t>
  </si>
  <si>
    <t>1. Fishemans
2. Daily Labours 
3. Government Employees
4. Drivers
5. Building Constructors</t>
  </si>
  <si>
    <t>1. YCP won due to Jagans Schemes.
2. This is a battleground village where votes were polled almost equally for TDP and YCP
3. However, JSP was able to split the votes that were dented towards both the parties that is either TDP or YCP.
4. TDP at that time failed to fulfill some of the main issues like drinking water and also thought to shift the party to see new governance.</t>
  </si>
  <si>
    <t>1. Whoever fulfills the development or construction of the water tank will be able to consolidate the majority of the vote bank.
2. TDP MLA Pilli Anantha Lakshmi is giving some promises like providing cylinders to houses, reducing pollution, and also to provide jobs, and being very responsive towards people compared to YCP local leadership.
3. JSP has more chance to consolidate more votes due to the high youth vote and MLA  Pantham Nananji is very responsive towards youth as well as other people.
4.TDP+JSP alliance is an added advantage to consolidate more votes for either of the parties.</t>
  </si>
  <si>
    <t>1. Government and Private Job holders
2. Wood factory workers
3. Daily wage labourers
4. Auto Drivers
5. Small business owners</t>
  </si>
  <si>
    <t>"1. YCP got a comfortable victory due to the wide range of Welfare schemes by the Jagan Govt
2. At that time people were highly satisfied with Janma Boomi commities and also last paspu kumkuma which started only for elections became anti-TDP.</t>
  </si>
  <si>
    <t>1. People are highly dissatisfied with the present government due to the increased prices in bills of electricity and petrol so this has become anti-government
2. This is highly a battleground village where YCP has an equal chance due to the campaigns that are being conducted in the village.
3. Local leaders from JSP Nanaboyina Kalyan Kumar, and Bhaskar Rao -Party Leaders are highly active in public so JSP also has a minimum chance to consolidate a minimum vote bank.
4.TDP+JSP is an added advantage to both parties</t>
  </si>
  <si>
    <t>1.Pending bills on repairing Street Lights (3Lakhs)</t>
  </si>
  <si>
    <t>1. MNREGS Works 
2. Mango Cultivation</t>
  </si>
  <si>
    <t xml:space="preserve">1. The majority of the Madiga Konda Dora communities voted in favour of YSRCP due to the Jagan Manifesto promises, Kapu community was spilt between TDP and YSRCP
2. JSP failed to impact Kapu voting due to weak leadership in the village 
3. Swing communities Turpu Kapu, Rajaka communities voted in favour of YSRCP due to anti-incumbency on TDP </t>
  </si>
  <si>
    <t>1. There is huge anti-incumbency on MLA Jyothula Chanti Babu as he failed to provide irrigation facilities in the village as promised in the previous elections 
2.There are high chances that Kapu community will be voted in favour of JSP-TDP 
3. YSRCP is facing anti-incumbency in Konda Dora due to land pattas issue</t>
  </si>
  <si>
    <t xml:space="preserve">1. Pending Bills of CC Roads (15 Lakhs) in ST colony
</t>
  </si>
  <si>
    <t>1. This is BC Perika's dominant village which is split between TDP and YCP.
2. YCP got a comfortable victory due to the wide range of Welfare schemes by the Jagan Govt.</t>
  </si>
  <si>
    <t>1. People are highly satisfied with the present government due to the developments made and on-time welfare schemes.
2. YCP Dadisetti Raja is very responsive towards people and helps people in solving their problems and in development.
3. Yanamala Divya is also active as an equal to YCP leaders but people are highly disgruntled towards TDP due to the last election's behavior of TDP.</t>
  </si>
  <si>
    <t xml:space="preserve">1. Farming 
2.Cashew </t>
  </si>
  <si>
    <t>1. This is OC Vysya's dominant village which is majorly inclined towards YCP and the rest to TDP.
2. YCP got more votes due to illegal voting like machines being wrong and threatening to vote YCP.</t>
  </si>
  <si>
    <t>1. People believe that TDP may help them in development 
as YCP in the present failed to do that and help the people in their bad state.
2. YCP may have an equal chance to consolidate an equal number of votes as TDP due to their welfare schemes that are benefiting some people.
3. JSP ha no minimal presence in this village.</t>
  </si>
  <si>
    <t>1. Farmers 
2.Daily Labours</t>
  </si>
  <si>
    <t xml:space="preserve">1. BC settibalija dominant village is majorly inclined to TDP and the rest to YCP.
2. YCP banked on SC  Mala along with the swing communities of BC communities.
3. People are highly impressed with the government schemes and voted for YCP to visualize the new change in governance and development.
</t>
  </si>
  <si>
    <t xml:space="preserve">1. People are highly disgruntled and dissatisfied with present governance as there is no development made so people thought to shift their vote bank again to TDP as they have made at least some developments according to people's demands.
2. Pilli Ananth Lakshmi is highly active towards people and responsive towards people and also by giving promises of schemes like providing 3 gas cylinders per house along with other promises towards the public.
3. JSP MLA Pantham Nanaji is conducting campaigns along with TDP and attracting the majority of youth towards them.
4.TDP+JSP alliance is an added advantage to either of the parties
</t>
  </si>
  <si>
    <t>1.Pending bills on 4lakhs on laying roads</t>
  </si>
  <si>
    <t>1.Paddy Farmers,and pulses</t>
  </si>
  <si>
    <t xml:space="preserve">1. This is Koppula Velma BC's dominant village which is split between TDP and ycp is slightly ahead.
2. YCP banked on Koppula Velma along with the swing communities of BC.
3.YCP won due to anti-TDP due to Janma Bhoomi Committie and also thought to give one chance to jagan.
4. JSP failed to make any impact due to lack of leadership and low concentration of Kapu vote bank </t>
  </si>
  <si>
    <t>1. People are highly satisfied with the present government as they made all developments required by the people and they all are also happy with the schemes given to the public.
2.TDP+JSP is an added advantage to either of the parties</t>
  </si>
  <si>
    <t>1.Pending bills of 40 lakhs on Panchyath building</t>
  </si>
  <si>
    <t>1.Paddy Farming
2. Palm Oil
3. Vegetables</t>
  </si>
  <si>
    <t>1. This is Kapu's dominant village which is majorly inclined to TDP and the rest towards TCP.
2. YCP spent money to consolidate the vote bank and also people thought to give one chance to Jagan to see some development.
3.YCP banked on Kapu vote bank along with SC Communities Mala along with some vote bank of swing BC Communities.</t>
  </si>
  <si>
    <t>1. TDP MLA Varpula Satya Prabha is of the same village and is very responsive towards people and helping them in development.
2. YCP failed to fulfill its promises of development and jobs.
3. JSP has no presence in this village which cannot impact any of the parties..</t>
  </si>
  <si>
    <t>1.Pending bills on CC Roads and Drainages nearly about 28 lakhs and 5 lakhs on Community hall</t>
  </si>
  <si>
    <t>1. Paddy and Cashew Farmers</t>
  </si>
  <si>
    <t>1. The Koppula Velama community tilted in favour of YCP completely
2. It was a case of voting out of respect for YS Rajasekhar Reddy and villagers also wanted to give a chance to the new rule of YS Jagan</t>
  </si>
  <si>
    <t>1. YCP's Dadisetti Raja is very active and has made improvements for the village, including Drainage works, Drinking water tank construction, etc
2. TDP's Yanamala Divya, Ward Member Somaraju and Surla Thammana are active leaders here. Kummari's and Viswabrahmins are the TDP vote bank here
3. YCP Has a strong vote bank in Koppula Vellama and Senapathis. Also, villagers are happy with the schemes and local administration through sachiwalayam's
4. JSP has no major influence here</t>
  </si>
  <si>
    <t>1. YCP MLA Dadisetti Raja is very active in people and very helpful.
2. This is a battleground village where The BC community Settibalija is split between both the parties TDP and YCP.
3. People gave one chance to Jagan due to their welfare schemes and many promises about their manifesto in those elections.</t>
  </si>
  <si>
    <t>1. This highly battleground village where both the TDP and YCP parties have an equal chance to consolidate votes.
2. People are satisfied with YCP governance due to their schemes yet some people are disgruntled due to the bills that are pending if they receive them there is a high chance YCP can gain more votes.
3. TDP local leaders are equally active as YCP.
4.JSP has no presence in this village.</t>
  </si>
  <si>
    <t>1. Pending bills of 50 lakhs on sweeper salaries and CC Roads  and construction of sachyavalayam .</t>
  </si>
  <si>
    <t>1. Nimmkayala Chinnarajappa of TDP was the sitting MLA; previously, he worked actively and built schools and roads in the village.
2. This is a Kapu Dominant village, and even caste wise he was the strong leader compared to YCP's Dora Babu</t>
  </si>
  <si>
    <t>1. Due to his work in the two previous elections, Nimmakayala Chinnarajappa has a positive image in the village
2. He has actively hosted many events such as Badude Badudu, Idem Karma Rashtraniki and Bavishyath Guarantee program for the villagers
3. YCP's Davuluri Dorababu is not as active as his counterpart
4. JSP's Thummala Ramaswamy is an active leader and might influence Kapu Youth votes</t>
  </si>
  <si>
    <t xml:space="preserve">1. Pending bills worth 40 Lakhs for Bridge construction, Anganwadi building foundation works </t>
  </si>
  <si>
    <t>1. Paddy and Vegetables farmers</t>
  </si>
  <si>
    <t>1. YCP local leaders were very strong, hence most of the voting got consolidated towards YCP
2. SC and BC votes were polled in favour of YCP
3. JSP had minimal impact on the vote share distribution</t>
  </si>
  <si>
    <t>1. The TDP Party cadre is split into two groups. One group, including G Vishumaheshwar rao, Gara Venkattatramana and Namala Babu, are inclined towards YCP. This weakened the TDP local cadre
2. YCP has a strong cadre here. Sarpanch Gudagala Appalraju is a retired SI of the police. He has a strong influence here. MPTC Mulli Veerababu is also very influential
3. If YCP can start the pending works in the village, then they might get swing votes in their favour
4. JSP is not active here</t>
  </si>
  <si>
    <t>1. Pending bills worth 12 Lakhs for Drains and CC Roads related works</t>
  </si>
  <si>
    <t xml:space="preserve">There are many Pending works in the village. These include 24 lakhs worth of CC Roads, sanctioned but not yet started. 16 Lakhs are sanctioned for the graveyard in BC and SC areas. 6 Lakhs sanctioned for Water works near the grave yard. Villagers are unhappy with pending work. </t>
  </si>
  <si>
    <t>1. YCP won and secured most of the BC Sagara vote bank due to their well-established welfare schemes at that time.
2. During the 2014 TDP party people only gave schemes,housing loans to the people who belonged to the same party and rest were left aloof.</t>
  </si>
  <si>
    <t>1. People are not satisfied with the present government as they are not receiving proper schemes and the cost of everything like the diseal for boats is also increased drastically.
2. TDP EX MLA SVSN Varma provided Fishermen with fishing nets and he is also helping people everywhere possible and is active among the people.
3. JSP Local leader Pattam Shiva is active among the public and many youth are supporting JSP here.
4.TDP+JSP alliance is an added advantage to either of the parties.</t>
  </si>
  <si>
    <t>Subbaypeta</t>
  </si>
  <si>
    <t>1. YCP won due to Rajeshakar Reddy's respect and welfare schemes implemented by Jagan.
2. YCP got a comfortable victory due to the wide range of Welfare schemes by the Jagan Govt.
3. This is majorly SC Mala's dominant village which is completely inclined towards YCP party.</t>
  </si>
  <si>
    <t>1. People are highly satisfied with schemes like Raythu Bharosa and developments are done which are the construction of drains, drinking water, tanks and construction of schyavalayam, etc.
2. TDP is also equally active in this village but people are not actively participating there as they are highly impressed with the YCP party.
3. JSP local leader Suresh Chandra is also active and promising some things to be done in the future if JSP comes.
4. The TDP+JSP alliance is an X Factor for both the parties then they can compete with YCP.</t>
  </si>
  <si>
    <t>1.Fisherman
2.Sugarcane Farming
3.Business Man
4.Daily Labour</t>
  </si>
  <si>
    <t>1.YCP won due to one of the major factors as people at that time thought to give Jagan one chance and also wave of Jagan with the help of welfare schemes attracted people more.
2.During 2019 Elections there were many scams done at the polling booths hence the shift of votes is more towards YCP than TDP.
3.JSP able to split the votes whichdented both YCP and TDP Polling.</t>
  </si>
  <si>
    <t>1.People are highly dissatisfied with present government as there are more illegal activities and threating going on like removing TDP animator ,providing house pattas and pensions to only YCP people and TDP people are left aloof.
2.SVSN Varma is more responsive towards people and helping them in their needful time and is very active among the people.
3.JSP is able to consolidate maximum youth votes,TDP +JSP alliance is an added avadantage to secure more number of votes.</t>
  </si>
  <si>
    <t>1.Paddy Farming
2.Daily Labour</t>
  </si>
  <si>
    <t>1.This is BC vs OC Kapu vs Gavara dominant village where Kapu is split between all the three parties that is YCP,TDP and JSP whereas Gavara community people are completely inclined towards TDP majorly and rest to YCP.
2.YCP won due to Rajeshakar Reddy's respect and welfare schemes implemented by Jagan.
3.YCP got a comfortable victory due to the wide range of Welfare schemes by the Jagan Govt.</t>
  </si>
  <si>
    <t>1.TDP has a great chance to consolidate more number of votes due to people sympathy towards Varpula Satya Prabha and due local leader V.Nagesh who is a party leader more active in public.
2. YCP's Parvata Purna Chandra Prasad is inactive and hasn't visited the village since after elections.
3.JSP has no presence in the village .</t>
  </si>
  <si>
    <t>1.Farming
2.Brick labours</t>
  </si>
  <si>
    <t>1.This is kapu dominant village which is split between YCP and JSP.
2JSP was able to split the votes which dented either YCP and TDP.
3.YCP got a comfortable victory due to the wide range of Welfare schemes by the Jagan Govt.</t>
  </si>
  <si>
    <t>1.People are highly satisfied with government due to all weflare schemes which they are receiving on time  and also developments that are made in the village.
2.YCP MLA Kursala Kanna Babu is very responsive towards public and also due to local candidature (Chinta Srinivas husband of Chinta Naga Lakshmi).
3.TDP leaders are very inactive here and people are highly favoured towards YCP.
4.JSP has most of the youth support in this village.</t>
  </si>
  <si>
    <t>1.This is Kapu dominant village which is split between all the three parties TDP,JSP and YCP.
2.YCP got a comfortable victory due to the wide range of Welfare schemes by the Jagan Govt.
3.YCP won due to Rajeshakar Reddy's respect and welfare schemes implemented by Jagan.</t>
  </si>
  <si>
    <t xml:space="preserve">1.During 2014 and 2019 elections Dadisetti Raja won on the sentiment of same community where most of kapu community voted ,but there is a high chance that this time the vote bank may shift beacuse there is no development made and people are highly disgruntled towards this behaviour.
2.The YCP government demolished the existing school in order to give the students a better education, but as there are only 30 pupils enrolled, the students abandoned the demolished school in the midst of the project.
3.They constructed small hospitals in the village but are still unopened.
4.JSP has high chance to consolidate vote bank from kapu.
5.TDP+JSP alliance is an added advantage in this village.
</t>
  </si>
  <si>
    <t>1.Paddy Farming
2.Cattle Farming</t>
  </si>
  <si>
    <t>1.YCP won due to Rajeshakar Reddy's respect and welfare schemes implemented by Jagan.
2.People thought to give one chance to Jagan due to new implementation of schemes and promises.</t>
  </si>
  <si>
    <t>1.This is BC dominant village where the majority of votes are inclined towards TDP party.
2.People are highly disatissafied with how development is not done even after the promises made hence anti-YCP arrised in people.
3.TDP Yanmala Divya is very active resposive towards public and also local candidatures in the party in that village.
4.JSP can impact youth vote bank majorly.</t>
  </si>
  <si>
    <t>1.Paddy Farming
2.Daily Labours</t>
  </si>
  <si>
    <t>1.YCP won with 86 vote majority beacause of welfare schemes.
2.YCP won due to Rajeshakar Reddy's respect and welfare schemes implemented by Jagan.
3.People thought to give one chance to Jagan due to new implementation of schemes and promises.</t>
  </si>
  <si>
    <t xml:space="preserve">1.People's opinions of the government are negative because of issues with water, the lack of CC Road construction, and the lack of programmes despite assurances given.
2.People are not even properly getting welfare schemes as per their promises,hence they turned anti towards the government.
3.JSP has no presence in this village except youth.
</t>
  </si>
  <si>
    <t xml:space="preserve">1.YCP won with 760 vote majority due to promises made by YCP government reagrding welfare schemes .
2.TDP failed to consolidate majority of votes as they failed to provide promised pensions and also TDP party leaders used to not work properly at that time.
</t>
  </si>
  <si>
    <t>1.People are highly satisfied with YCP government as they are receving proper welfare schemes and pensions on time to their door steps.
2.This village is majority of BC Velma community whose vote bank is majorly inclinedtowards TDP party .
3.JSP has 30 votes from youth which can not affect either of the parties.</t>
  </si>
  <si>
    <t>1.Paddy Farming
2.Mason</t>
  </si>
  <si>
    <t xml:space="preserve">Party </t>
  </si>
  <si>
    <t xml:space="preserve">Mobile Number </t>
  </si>
  <si>
    <t>Level Of Influence</t>
  </si>
  <si>
    <t>Pedhakaapu Varahalu</t>
  </si>
  <si>
    <t>Business, Farming</t>
  </si>
  <si>
    <t>Padhilam Babu Rao</t>
  </si>
  <si>
    <t>Ex-Sarpanch</t>
  </si>
  <si>
    <t>Pedhakapu Thatarao</t>
  </si>
  <si>
    <t xml:space="preserve">Musiness ,Mptc </t>
  </si>
  <si>
    <t>Gaadhi Varahalu</t>
  </si>
  <si>
    <t>Gopalarao</t>
  </si>
  <si>
    <t>Leader</t>
  </si>
  <si>
    <t>Kannababu</t>
  </si>
  <si>
    <t>Kurra Vijayalakshmi Wife Of Seetha Rama Swamy</t>
  </si>
  <si>
    <t>Sarpanch</t>
  </si>
  <si>
    <t>Perumaalla Chanti Babu</t>
  </si>
  <si>
    <t>Vice Sarpanch, Timber Business</t>
  </si>
  <si>
    <t>MPTC, Timber Business</t>
  </si>
  <si>
    <t>Kothuru Chanti Babu</t>
  </si>
  <si>
    <t>Sarpanch Contestant</t>
  </si>
  <si>
    <t>Kothuru Narasinga Rao</t>
  </si>
  <si>
    <t>Ration Dealer, Main Leader</t>
  </si>
  <si>
    <t>Option 2</t>
  </si>
  <si>
    <t>Dorababu Kothur</t>
  </si>
  <si>
    <t xml:space="preserve">President </t>
  </si>
  <si>
    <t>Gopi Pedakapu</t>
  </si>
  <si>
    <t xml:space="preserve">TDP Activist </t>
  </si>
  <si>
    <t>Nagamalleshwarar Dasari</t>
  </si>
  <si>
    <t>Kura Nageshwar Rao</t>
  </si>
  <si>
    <t>YSRCP Activist</t>
  </si>
  <si>
    <t>Dasari Eswara Rao</t>
  </si>
  <si>
    <t>Business</t>
  </si>
  <si>
    <t xml:space="preserve">Badda Bhagavan </t>
  </si>
  <si>
    <t>MPTC, Agriculture Labour</t>
  </si>
  <si>
    <t>Mallavarupu Naresh</t>
  </si>
  <si>
    <t>Kuka Murali</t>
  </si>
  <si>
    <t xml:space="preserve"> BC Membership-Vote Unit Incharge</t>
  </si>
  <si>
    <t/>
  </si>
  <si>
    <t>Aadinarayana Kesuboina</t>
  </si>
  <si>
    <t>Farmer</t>
  </si>
  <si>
    <t>Gowri Nelli</t>
  </si>
  <si>
    <t>Booth Convinor</t>
  </si>
  <si>
    <t>Rama Krishna Maddala</t>
  </si>
  <si>
    <t>Sathya Narayan Kukka</t>
  </si>
  <si>
    <t>Raja</t>
  </si>
  <si>
    <t>Mandal Youth President</t>
  </si>
  <si>
    <t>Ravi</t>
  </si>
  <si>
    <t xml:space="preserve">Software </t>
  </si>
  <si>
    <t>Burranaga Ramachandra</t>
  </si>
  <si>
    <t>Mare Sureshkumar</t>
  </si>
  <si>
    <t>CH.Apparao</t>
  </si>
  <si>
    <t>EX-MPTC</t>
  </si>
  <si>
    <t xml:space="preserve">Chevala Apparao </t>
  </si>
  <si>
    <t>Maddala Venkateshwarlu</t>
  </si>
  <si>
    <t>P.Mahalakshmi</t>
  </si>
  <si>
    <t>School Member</t>
  </si>
  <si>
    <t>Wrong Number</t>
  </si>
  <si>
    <t>T.Suribabu</t>
  </si>
  <si>
    <t>Katana Apparao</t>
  </si>
  <si>
    <t>Aadi Narayana Chava</t>
  </si>
  <si>
    <t>Bodha Ramireddy</t>
  </si>
  <si>
    <t>Party President</t>
  </si>
  <si>
    <t>Nakka Chiranjivi</t>
  </si>
  <si>
    <t>Karyakartha</t>
  </si>
  <si>
    <t>Rama Krishna Putchakayala</t>
  </si>
  <si>
    <t xml:space="preserve">He working outside </t>
  </si>
  <si>
    <t>Sunkavalla Ellaiah Srinu</t>
  </si>
  <si>
    <t>Yelamati  Kashi</t>
  </si>
  <si>
    <t>Village Party Presideent</t>
  </si>
  <si>
    <t>Palakurthi Adhi Narayana</t>
  </si>
  <si>
    <t xml:space="preserve"> TDP Cluster Incharge</t>
  </si>
  <si>
    <t>Kalpula Lachaiah Dora</t>
  </si>
  <si>
    <t xml:space="preserve"> Mandal Level Political Leader</t>
  </si>
  <si>
    <t>Thelagala   Dorababu</t>
  </si>
  <si>
    <t xml:space="preserve"> Strong  political leader,MPP</t>
  </si>
  <si>
    <t>Above 1000 Votes</t>
  </si>
  <si>
    <t>Kandula Chittibabu</t>
  </si>
  <si>
    <t>Member</t>
  </si>
  <si>
    <t>Above 1500 Votes</t>
  </si>
  <si>
    <t>Pornam Chinna</t>
  </si>
  <si>
    <t>TDP Leader</t>
  </si>
  <si>
    <t>500 to 800 votes</t>
  </si>
  <si>
    <t>Konasetty Manikyam</t>
  </si>
  <si>
    <t>Konasetti Satyavathi</t>
  </si>
  <si>
    <t>MPTC</t>
  </si>
  <si>
    <t>Gundibelli Prasad</t>
  </si>
  <si>
    <t>Mandal Karyadarsi</t>
  </si>
  <si>
    <t>Vilupula Prasad</t>
  </si>
  <si>
    <t>Village President(Mandpam)</t>
  </si>
  <si>
    <t>400 votes</t>
  </si>
  <si>
    <t>Nagaswararao Nakka</t>
  </si>
  <si>
    <t>Ex MPTC</t>
  </si>
  <si>
    <t>Rajakumar Golagani</t>
  </si>
  <si>
    <t>Ward Member</t>
  </si>
  <si>
    <t>Venkataratnam Polam</t>
  </si>
  <si>
    <t xml:space="preserve">Ex President </t>
  </si>
  <si>
    <t>Vishnumurthy Polam</t>
  </si>
  <si>
    <t>Agriculture Farming</t>
  </si>
  <si>
    <t>Chandaka Ramakrishna</t>
  </si>
  <si>
    <t>Navuri Veerabhadrarao</t>
  </si>
  <si>
    <t>Tailaring</t>
  </si>
  <si>
    <t>Velaga Krishnamraju</t>
  </si>
  <si>
    <t>Photo Studio</t>
  </si>
  <si>
    <t>Nakka Manikyam</t>
  </si>
  <si>
    <t>Vice Sarpanch</t>
  </si>
  <si>
    <t>Nakka Satthibabu</t>
  </si>
  <si>
    <t>Sathata Arjun</t>
  </si>
  <si>
    <t>Chaganti Srinu</t>
  </si>
  <si>
    <t>Golagani Rajesh</t>
  </si>
  <si>
    <t>Ex Sarpanch</t>
  </si>
  <si>
    <t>Bandi Gollababu</t>
  </si>
  <si>
    <t>Party Leader</t>
  </si>
  <si>
    <t>Sarapuru Nagendra</t>
  </si>
  <si>
    <t xml:space="preserve"> S Kumar Raja</t>
  </si>
  <si>
    <t>4000 votes</t>
  </si>
  <si>
    <t>D Ramana</t>
  </si>
  <si>
    <t>Vise MPTC</t>
  </si>
  <si>
    <t>500 votes</t>
  </si>
  <si>
    <t>Virala Kondababu</t>
  </si>
  <si>
    <t>Kondapalli Apparao</t>
  </si>
  <si>
    <t>Rajala Chittibabu</t>
  </si>
  <si>
    <t>`</t>
  </si>
  <si>
    <t>Mafhu Babu</t>
  </si>
  <si>
    <t>Kakinada parliment general secretary</t>
  </si>
  <si>
    <t>1500 to 2000</t>
  </si>
  <si>
    <t>Narasayya</t>
  </si>
  <si>
    <t>Vogalapudi Krishna Rao</t>
  </si>
  <si>
    <t>Ex-Booth Committie Member</t>
  </si>
  <si>
    <t>Vogalapudi Srinivasa Rao</t>
  </si>
  <si>
    <t>Grama Adyakshudu</t>
  </si>
  <si>
    <t>Vogalapudi Suribabu</t>
  </si>
  <si>
    <t>Chakrarao Vangalapudi</t>
  </si>
  <si>
    <t>Ganney  Bags Business</t>
  </si>
  <si>
    <t>Ganapathi Bandaru</t>
  </si>
  <si>
    <t>Mason</t>
  </si>
  <si>
    <t>Nagaswararao Sakuru</t>
  </si>
  <si>
    <t>LIC Agent &amp; Veterinary Doctor</t>
  </si>
  <si>
    <t>Nanibabu Appana</t>
  </si>
  <si>
    <t>Ganney Bags Business</t>
  </si>
  <si>
    <t>Panduranga Atta</t>
  </si>
  <si>
    <t>Realistate</t>
  </si>
  <si>
    <t>Sattibabu Pandi</t>
  </si>
  <si>
    <t>Veeraraju Aakula</t>
  </si>
  <si>
    <t>Venkanna Nambaru</t>
  </si>
  <si>
    <t>Venkata Ramana Bobbili</t>
  </si>
  <si>
    <t>Motor Worker</t>
  </si>
  <si>
    <t>Venkatsuri Pragada</t>
  </si>
  <si>
    <t>Daily Labour</t>
  </si>
  <si>
    <t>Vijay Chintamneedi</t>
  </si>
  <si>
    <t>Driving</t>
  </si>
  <si>
    <t>Chodiseti Venkateshwara Rao</t>
  </si>
  <si>
    <t>Jilla Exicutive Member</t>
  </si>
  <si>
    <t>Chodisetti Polababu</t>
  </si>
  <si>
    <t>Gara Srinivasa Rao</t>
  </si>
  <si>
    <t>Advocate</t>
  </si>
  <si>
    <t>Ganta Chakaraiah</t>
  </si>
  <si>
    <t xml:space="preserve">District Vise President </t>
  </si>
  <si>
    <t>Marri Nanaji</t>
  </si>
  <si>
    <t>Bussiness</t>
  </si>
  <si>
    <t>Polisetti Bhasker Rao</t>
  </si>
  <si>
    <t>Korala Talupula Rao</t>
  </si>
  <si>
    <t>Party Main Leader</t>
  </si>
  <si>
    <t>Dasari Naveen Kumar</t>
  </si>
  <si>
    <t>300 votes</t>
  </si>
  <si>
    <t>Govindu Pampana</t>
  </si>
  <si>
    <t>Booth Committie Member</t>
  </si>
  <si>
    <t>Venkatsatyanarayana Adpa</t>
  </si>
  <si>
    <t>Vishnuvu Rajangam</t>
  </si>
  <si>
    <t>K Raju</t>
  </si>
  <si>
    <t>N Suri Babu</t>
  </si>
  <si>
    <t>ContestedSarpanch</t>
  </si>
  <si>
    <t>Nepati Nageswara Rao</t>
  </si>
  <si>
    <t>K Prasad</t>
  </si>
  <si>
    <t>Venkanna Babu</t>
  </si>
  <si>
    <t>P Nageswara Rao</t>
  </si>
  <si>
    <t>K Venkata Lakshmi</t>
  </si>
  <si>
    <t>Abhiram</t>
  </si>
  <si>
    <t>150 to 200 votes</t>
  </si>
  <si>
    <t>K.Ramana Babji</t>
  </si>
  <si>
    <t>Suri Reddy Lova</t>
  </si>
  <si>
    <t>Vice President,mestri</t>
  </si>
  <si>
    <t>Ysrcp will be win with low majority</t>
  </si>
  <si>
    <t>Dungala Govind</t>
  </si>
  <si>
    <t>MPTC,Farmer</t>
  </si>
  <si>
    <t>Charika Lova Raja</t>
  </si>
  <si>
    <t>MPTC,Daily Labour</t>
  </si>
  <si>
    <t>Ysrcp will be win with high majority</t>
  </si>
  <si>
    <t xml:space="preserve">Thiruma Reddy Ramesh </t>
  </si>
  <si>
    <t xml:space="preserve">Paila  Nani </t>
  </si>
  <si>
    <t>MPTC,Daily labour</t>
  </si>
  <si>
    <t>Rongala Satyanaryana</t>
  </si>
  <si>
    <t>Contestant as sarpanch(lost with 2300 votes),construction work</t>
  </si>
  <si>
    <t>Thamarasu Ramkrishna</t>
  </si>
  <si>
    <t>Ex Sarpanch,Business man</t>
  </si>
  <si>
    <t>Thamarasu Satyanaryana</t>
  </si>
  <si>
    <t>Ex Sarpanc,electrical business</t>
  </si>
  <si>
    <t>Most of the fight will be decided tdp and ysrcp Tdp will be occupie the position</t>
  </si>
  <si>
    <t xml:space="preserve">Pilli Srinu </t>
  </si>
  <si>
    <t>LIC Agent</t>
  </si>
  <si>
    <t>Thurumureddy Chittama</t>
  </si>
  <si>
    <t>House Wife</t>
  </si>
  <si>
    <t>Dungala Ganpathi Roja Raninwife Of Nageswararao</t>
  </si>
  <si>
    <t xml:space="preserve"> K Sanyasirao</t>
  </si>
  <si>
    <t>MPTC,Mestri</t>
  </si>
  <si>
    <t xml:space="preserve">Majority of votting is Ysrcp </t>
  </si>
  <si>
    <t>Bojanki Suresh</t>
  </si>
  <si>
    <t>Majority of votting is TDP</t>
  </si>
  <si>
    <t xml:space="preserve">Surla Lova Raju </t>
  </si>
  <si>
    <t xml:space="preserve">Ex- Chairman of Sugar Factory 
Contractor </t>
  </si>
  <si>
    <t>Edukondalu Karri</t>
  </si>
  <si>
    <t>Farmar</t>
  </si>
  <si>
    <t>Gangu Naidu Surla</t>
  </si>
  <si>
    <t>Real Estate</t>
  </si>
  <si>
    <t>Lovakrishna Yadala</t>
  </si>
  <si>
    <t>Lawyer</t>
  </si>
  <si>
    <t>Nageshwa Rao Gorla</t>
  </si>
  <si>
    <t>Booth agent</t>
  </si>
  <si>
    <t>Rajarao Itmshetty</t>
  </si>
  <si>
    <t>Sanyasirao Nagam</t>
  </si>
  <si>
    <t xml:space="preserve"> 75 Booth agent</t>
  </si>
  <si>
    <t>Varahalu Tamarana</t>
  </si>
  <si>
    <t>Dungala Nageshwarao</t>
  </si>
  <si>
    <t>Mandal Convinor</t>
  </si>
  <si>
    <t>K Sanyasirao</t>
  </si>
  <si>
    <t>Darababu</t>
  </si>
  <si>
    <t>Gorla Gollarao</t>
  </si>
  <si>
    <t>Village leader</t>
  </si>
  <si>
    <t>Pendyala Venkata Ramana</t>
  </si>
  <si>
    <t>Senior Leader</t>
  </si>
  <si>
    <t>Padagala Usha w/o Sagadala Nanaji</t>
  </si>
  <si>
    <t>Pendyala Sitha w/o Venkata Ramana</t>
  </si>
  <si>
    <t>Pendyala Rama Krishna</t>
  </si>
  <si>
    <t>Sarpanch contestant</t>
  </si>
  <si>
    <t>Babu Rao</t>
  </si>
  <si>
    <t>Ginjala Suri Babu</t>
  </si>
  <si>
    <t xml:space="preserve">Surpanch </t>
  </si>
  <si>
    <t>Veeravenkata Ramana Ane Musala Pendyala</t>
  </si>
  <si>
    <t>Booth Convinor,Grama TDP President</t>
  </si>
  <si>
    <t>Badhala Naga Sathi Babu</t>
  </si>
  <si>
    <t>Palla Lova Raju</t>
  </si>
  <si>
    <t>Sri Sama Rowthu Ranganayakulu</t>
  </si>
  <si>
    <t>Achinta Samba</t>
  </si>
  <si>
    <t>Somarauthu Baskar Babu</t>
  </si>
  <si>
    <t>Rowthulapudi co operative societyy member</t>
  </si>
  <si>
    <t>Kotapalli Nagu</t>
  </si>
  <si>
    <t>TDP Supporter,Mestri</t>
  </si>
  <si>
    <t xml:space="preserve">negative on ysrcp </t>
  </si>
  <si>
    <t>Somaraju Chandra Mouli</t>
  </si>
  <si>
    <t>TDP Supporter</t>
  </si>
  <si>
    <t>Pilapadi Raju</t>
  </si>
  <si>
    <t>Ex sarpanch,Influencer</t>
  </si>
  <si>
    <t>out of area</t>
  </si>
  <si>
    <t>Korapurolu Sathiyanarana</t>
  </si>
  <si>
    <t>Influencer</t>
  </si>
  <si>
    <t>Majority of caste is support to TDP</t>
  </si>
  <si>
    <t>Dasari Sanyasi</t>
  </si>
  <si>
    <t>Expired,9849461465</t>
  </si>
  <si>
    <t>774 votes</t>
  </si>
  <si>
    <t>Samburthi Ravi</t>
  </si>
  <si>
    <t>100 votes</t>
  </si>
  <si>
    <t>Prathipad</t>
  </si>
  <si>
    <t>Naidu Paila</t>
  </si>
  <si>
    <t>Satyarprasad Vathara</t>
  </si>
  <si>
    <t>Kaki Yesubabu</t>
  </si>
  <si>
    <t>Swamy Ravi</t>
  </si>
  <si>
    <t>Shiva Jyothi</t>
  </si>
  <si>
    <t>Toleti Sridhar</t>
  </si>
  <si>
    <t>JSP Youth leder</t>
  </si>
  <si>
    <t>Voto Nani</t>
  </si>
  <si>
    <t>Voto Ashok</t>
  </si>
  <si>
    <t>Ch Satyanarayana</t>
  </si>
  <si>
    <t>Conveyor</t>
  </si>
  <si>
    <t>Kasthireddy Akkaya</t>
  </si>
  <si>
    <t>Purapa Rajesh</t>
  </si>
  <si>
    <t>Kommireddy Bbaurao</t>
  </si>
  <si>
    <t>President</t>
  </si>
  <si>
    <t>Sabji Venkatrao</t>
  </si>
  <si>
    <t xml:space="preserve">Chintala Rao </t>
  </si>
  <si>
    <t xml:space="preserve">MPTC </t>
  </si>
  <si>
    <t xml:space="preserve">Kudumula Ram Babu </t>
  </si>
  <si>
    <t>Ex-MPP</t>
  </si>
  <si>
    <t xml:space="preserve">Nadigatla Satya Naryana </t>
  </si>
  <si>
    <t xml:space="preserve">Shubmala Naga Babu </t>
  </si>
  <si>
    <t>Ex-MPTC</t>
  </si>
  <si>
    <t>Nadigatla Annavaram</t>
  </si>
  <si>
    <t>Ex sarpanch,Collecting rents</t>
  </si>
  <si>
    <t>Inactive</t>
  </si>
  <si>
    <t>Tammanaboina Babaji</t>
  </si>
  <si>
    <t>Ex vice sarpanch,farmers</t>
  </si>
  <si>
    <t>Kammara Nageswarao</t>
  </si>
  <si>
    <t>Ex mptc</t>
  </si>
  <si>
    <t xml:space="preserve">T. Srinu </t>
  </si>
  <si>
    <t>Party leader</t>
  </si>
  <si>
    <t>T. Phaneendra</t>
  </si>
  <si>
    <t>Ward member</t>
  </si>
  <si>
    <t>Darapati Abbu</t>
  </si>
  <si>
    <t>Kanda Vijay</t>
  </si>
  <si>
    <t>MPTC (contested)</t>
  </si>
  <si>
    <t>Magapu  Chanti Babu</t>
  </si>
  <si>
    <t>Prominent leader</t>
  </si>
  <si>
    <t>Elugu Banti Lachababu</t>
  </si>
  <si>
    <t>APPOX 170 VOTES</t>
  </si>
  <si>
    <t>Voduri Nagababu</t>
  </si>
  <si>
    <t xml:space="preserve">  Vice Sarpanch</t>
  </si>
  <si>
    <t>Nadigatala Chintalrao</t>
  </si>
  <si>
    <t>Abbai Tammanaboina</t>
  </si>
  <si>
    <t>Adapa Raghu</t>
  </si>
  <si>
    <t>Atchiraju Nadigatla</t>
  </si>
  <si>
    <t>Chinnabbu Garapati</t>
  </si>
  <si>
    <t>Dara.Nageshwara Rao</t>
  </si>
  <si>
    <t>N.Chintala Rao</t>
  </si>
  <si>
    <t>Grama President</t>
  </si>
  <si>
    <t>Nageswara Rao Sakhumalla</t>
  </si>
  <si>
    <t>P.Haribabu</t>
  </si>
  <si>
    <t>Potula Veerabadra Rao</t>
  </si>
  <si>
    <t>YSR Party President</t>
  </si>
  <si>
    <t>Singineedi Thirupathi Rao</t>
  </si>
  <si>
    <t>Koppana Soma Raju</t>
  </si>
  <si>
    <t>Melala Srinivas Rao</t>
  </si>
  <si>
    <t>Rosam Setti Kanyakarao</t>
  </si>
  <si>
    <t xml:space="preserve">Karda Chandra Shekar </t>
  </si>
  <si>
    <t>inactive</t>
  </si>
  <si>
    <t>Suri Babu</t>
  </si>
  <si>
    <t>Batheena.Raju</t>
  </si>
  <si>
    <t>Guttu.Raju</t>
  </si>
  <si>
    <t>Javvadhi.Nukaraju</t>
  </si>
  <si>
    <t>Mandal Party President</t>
  </si>
  <si>
    <t>Krupanandam</t>
  </si>
  <si>
    <t>Politician</t>
  </si>
  <si>
    <t>Gorla Aadinarayana</t>
  </si>
  <si>
    <t>Vice Sarpanch, Retired BSNL Employee</t>
  </si>
  <si>
    <t>Gurthithi Padma</t>
  </si>
  <si>
    <t>Hotel Business</t>
  </si>
  <si>
    <t>Thiramureddy Chittama</t>
  </si>
  <si>
    <t>Housewife</t>
  </si>
  <si>
    <t>Padmavathi Gruthuthi</t>
  </si>
  <si>
    <t>Apparao Gruthuthi</t>
  </si>
  <si>
    <t>D. Manikhyam</t>
  </si>
  <si>
    <t>EX- Talupulamma Temple Board Member</t>
  </si>
  <si>
    <t>Vangalapudi Nageswarao</t>
  </si>
  <si>
    <t>M. Anil Kumar</t>
  </si>
  <si>
    <t>Krishna</t>
  </si>
  <si>
    <t>Lawer</t>
  </si>
  <si>
    <t>Surla. Lovaraju</t>
  </si>
  <si>
    <t>Dist Vice President</t>
  </si>
  <si>
    <t>Palivila Bujjamma</t>
  </si>
  <si>
    <t>Chitti Babu</t>
  </si>
  <si>
    <t>Sarpanch Aspirent</t>
  </si>
  <si>
    <t>Thamarana Vara Lakshmi</t>
  </si>
  <si>
    <t>Lanka Venkata Lakshmi</t>
  </si>
  <si>
    <t xml:space="preserve">Sarpanch  </t>
  </si>
  <si>
    <t>N  Rambau</t>
  </si>
  <si>
    <t>Sarpanch Contest</t>
  </si>
  <si>
    <t>Nookalabanthi Chakram</t>
  </si>
  <si>
    <t>incoming calls notavailable</t>
  </si>
  <si>
    <t>D. Baburao</t>
  </si>
  <si>
    <t>D. Nukka Raju</t>
  </si>
  <si>
    <t>700 votes</t>
  </si>
  <si>
    <t>T Rambabu</t>
  </si>
  <si>
    <t>Dhulam Mangayya</t>
  </si>
  <si>
    <t>Sachivalayam Convener</t>
  </si>
  <si>
    <t>Thatiparthi Gurraya</t>
  </si>
  <si>
    <t>Booth Convener</t>
  </si>
  <si>
    <t>Chinnabbai Yadala</t>
  </si>
  <si>
    <t>Chokka Jagannadharao</t>
  </si>
  <si>
    <t>Dhoolam Paparao</t>
  </si>
  <si>
    <t>Grama Commiittee Presient</t>
  </si>
  <si>
    <t>Ambojipu Gangaraju</t>
  </si>
  <si>
    <t>Saritharika Head</t>
  </si>
  <si>
    <t>Srinivas</t>
  </si>
  <si>
    <t>Thatiparthi Rajababu</t>
  </si>
  <si>
    <t>Ramana</t>
  </si>
  <si>
    <t>Fisherman Head</t>
  </si>
  <si>
    <t>Raparthi Ramkrishna</t>
  </si>
  <si>
    <t>YCP Main leader(Sarpanch)</t>
  </si>
  <si>
    <t>Majority of Ysrcp votting is 50%</t>
  </si>
  <si>
    <t>Padagala Ramana</t>
  </si>
  <si>
    <t>State Youth Organisation Leader</t>
  </si>
  <si>
    <t>Majority of  votting is 30% to TDP</t>
  </si>
  <si>
    <t>Bachala Thataya</t>
  </si>
  <si>
    <t>Ex corporate teacher</t>
  </si>
  <si>
    <t>Acchireddy Sathi Babu</t>
  </si>
  <si>
    <t>Field assistant</t>
  </si>
  <si>
    <t>Majority of Ysrcp votting is 30%</t>
  </si>
  <si>
    <t>Mahalakshmi Konkipudi</t>
  </si>
  <si>
    <t>Sathyanarayan Surla</t>
  </si>
  <si>
    <t>P Sathi Babu</t>
  </si>
  <si>
    <t>Varahaalu Giduthuuri</t>
  </si>
  <si>
    <t>Akula Ramakrishna</t>
  </si>
  <si>
    <t>Secretary</t>
  </si>
  <si>
    <t>Somarowthu Ranghanayakulu( Ravi)</t>
  </si>
  <si>
    <t>Atcharthi Sambhamurthy</t>
  </si>
  <si>
    <t>Contested MPTC</t>
  </si>
  <si>
    <t>Vasireddy Jameel</t>
  </si>
  <si>
    <t>Active Leader</t>
  </si>
  <si>
    <t>Argola Achiyamma</t>
  </si>
  <si>
    <t>K.Buchiraju</t>
  </si>
  <si>
    <t>BLO</t>
  </si>
  <si>
    <t>Palaparthi.Srinuvas</t>
  </si>
  <si>
    <t>K.Subbi Reddy</t>
  </si>
  <si>
    <t>Cable Bussiness</t>
  </si>
  <si>
    <t>K.Sunil Reddy</t>
  </si>
  <si>
    <t>P.Chandra Rao</t>
  </si>
  <si>
    <t>Auto Driver</t>
  </si>
  <si>
    <t>Krishna Murthi Palaparti</t>
  </si>
  <si>
    <t>Youth Vice President</t>
  </si>
  <si>
    <t>Nagaraju Ganasala</t>
  </si>
  <si>
    <t>Vice President</t>
  </si>
  <si>
    <t>Rambabu Pitta</t>
  </si>
  <si>
    <t>Booth Covenor</t>
  </si>
  <si>
    <t>Veeraiah Palaparthi</t>
  </si>
  <si>
    <t xml:space="preserve">Ramayya Dora </t>
  </si>
  <si>
    <t>Mandal party president</t>
  </si>
  <si>
    <t xml:space="preserve">Atchayamma </t>
  </si>
  <si>
    <t>MPP</t>
  </si>
  <si>
    <t xml:space="preserve">Palathi Veeraiah </t>
  </si>
  <si>
    <t>TDP Activist</t>
  </si>
  <si>
    <t>Yadigiri Rajababu</t>
  </si>
  <si>
    <t>Kattamuri Chinna</t>
  </si>
  <si>
    <t>Majjuri Srinu</t>
  </si>
  <si>
    <t>Karri Nageshwar Rao</t>
  </si>
  <si>
    <t>Ex Convenor, Booth Incharge</t>
  </si>
  <si>
    <t xml:space="preserve">Ganga Rao </t>
  </si>
  <si>
    <t>Durga Rao Narala</t>
  </si>
  <si>
    <t>Esu Tipparala</t>
  </si>
  <si>
    <t>Jiyotibaabu Illa</t>
  </si>
  <si>
    <t>Ramesh Reddy Chukka</t>
  </si>
  <si>
    <t>Diddi Govind</t>
  </si>
  <si>
    <t>YSRCP Leader</t>
  </si>
  <si>
    <t>Incoming Calls Are Stopped</t>
  </si>
  <si>
    <t>Muliki Paidiraju</t>
  </si>
  <si>
    <t>Tatarao Killada</t>
  </si>
  <si>
    <t>Booth Convenor, Secretary</t>
  </si>
  <si>
    <t>Apparao Reddy</t>
  </si>
  <si>
    <t>Convenor</t>
  </si>
  <si>
    <t>Devudu Babu Jakkana</t>
  </si>
  <si>
    <t>Krishanamurthy Gedela</t>
  </si>
  <si>
    <t>Parvala Lova Raju</t>
  </si>
  <si>
    <t>Congress Vice Chariman</t>
  </si>
  <si>
    <t>Jakkana Ramchandravrao</t>
  </si>
  <si>
    <t>Jakkana Ramanaidu</t>
  </si>
  <si>
    <t>Majority of Ysrcp votting is 80%</t>
  </si>
  <si>
    <t>Gedela Appalanaidu</t>
  </si>
  <si>
    <t>Parvada Apparao</t>
  </si>
  <si>
    <t>Pothala Rambabu</t>
  </si>
  <si>
    <t>Jilla Velma Conviener</t>
  </si>
  <si>
    <t xml:space="preserve">Majority of votting to polled to TDP </t>
  </si>
  <si>
    <t>Kommara Srinisvas Rao</t>
  </si>
  <si>
    <t>Shaik Dada</t>
  </si>
  <si>
    <t>Sacivalaya Convinor</t>
  </si>
  <si>
    <t>no influence</t>
  </si>
  <si>
    <t>Avagadda Venkataramna</t>
  </si>
  <si>
    <t>Grama President,Ex-MPTC</t>
  </si>
  <si>
    <t>Appalaraju Konduru</t>
  </si>
  <si>
    <t>Veerababu Boddu</t>
  </si>
  <si>
    <t>Venkataramana Malireddi</t>
  </si>
  <si>
    <t>Palacharla Venkanna</t>
  </si>
  <si>
    <t>kamma</t>
  </si>
  <si>
    <t>Krishna Tamarana</t>
  </si>
  <si>
    <t xml:space="preserve">Ex-MPTC </t>
  </si>
  <si>
    <t>Naidu Tamarana</t>
  </si>
  <si>
    <t>Suryanarayana Surla</t>
  </si>
  <si>
    <t>Shaik Mahaboob Subhani</t>
  </si>
  <si>
    <t>Tamaran Srinivasrao</t>
  </si>
  <si>
    <t>YCP Active Lead</t>
  </si>
  <si>
    <t>Sade Vijaya Raju</t>
  </si>
  <si>
    <t>V Raja Naidu</t>
  </si>
  <si>
    <t xml:space="preserve"> Katakam Shiva </t>
  </si>
  <si>
    <t>Yadla Suribabu</t>
  </si>
  <si>
    <t>EX Sarpanch</t>
  </si>
  <si>
    <t>Murali Krishna Bekkam</t>
  </si>
  <si>
    <t>Eashwararao Katakam</t>
  </si>
  <si>
    <t>Gunimanikala Yesubabu</t>
  </si>
  <si>
    <t>Ramesh Pedapati</t>
  </si>
  <si>
    <t>Yadla Venkataramana</t>
  </si>
  <si>
    <t>Nakka Srinivas Rao</t>
  </si>
  <si>
    <t>Grama Committee President</t>
  </si>
  <si>
    <t>Majority of votes shared to Jsp party-1200 avg</t>
  </si>
  <si>
    <t>Pendam Krishna</t>
  </si>
  <si>
    <t>Shyam Ganesh Pendem</t>
  </si>
  <si>
    <t>Suthi Burraya</t>
  </si>
  <si>
    <t xml:space="preserve">Mandal President </t>
  </si>
  <si>
    <t>Pasala Suri Bbabu</t>
  </si>
  <si>
    <t>Sanduvula Raja</t>
  </si>
  <si>
    <t xml:space="preserve">Baddi Krishna </t>
  </si>
  <si>
    <t xml:space="preserve">Village Secretary </t>
  </si>
  <si>
    <t>Pesala Nageswararao</t>
  </si>
  <si>
    <t xml:space="preserve">Pesala Suri Babu </t>
  </si>
  <si>
    <t xml:space="preserve">Chandhuvolu Raja </t>
  </si>
  <si>
    <t>Appalaraju Guggilapu</t>
  </si>
  <si>
    <t>Booth Incharge</t>
  </si>
  <si>
    <t>Lachabaabu Kanuri</t>
  </si>
  <si>
    <t>Nagaraju Chandunolu</t>
  </si>
  <si>
    <t>President  (He Is Expired)</t>
  </si>
  <si>
    <t>Sai Surya Raj Chandunolu</t>
  </si>
  <si>
    <t>S/o Nagaraju</t>
  </si>
  <si>
    <t>Sreeramakrishna Korukonda</t>
  </si>
  <si>
    <t>Swamy Addanki</t>
  </si>
  <si>
    <t>Datti Bulli Raja</t>
  </si>
  <si>
    <t>1000 votes</t>
  </si>
  <si>
    <t>Yelliboyina Rajarao</t>
  </si>
  <si>
    <t>TDP leader</t>
  </si>
  <si>
    <t>300 to 500</t>
  </si>
  <si>
    <t>Challapu Adhi</t>
  </si>
  <si>
    <t>Youth Leader</t>
  </si>
  <si>
    <t>G Lakshmi Subadra</t>
  </si>
  <si>
    <t>Mirayala Subramanyam</t>
  </si>
  <si>
    <t>Jajji Mugula Yamuna</t>
  </si>
  <si>
    <t>Rajarao Elubandi</t>
  </si>
  <si>
    <t>Ramana Vanashetty</t>
  </si>
  <si>
    <t>Venkatasubbarao Ganesula</t>
  </si>
  <si>
    <t>Manga Babu</t>
  </si>
  <si>
    <t>JSP leader</t>
  </si>
  <si>
    <t>Irugula Pramila Prasad</t>
  </si>
  <si>
    <t>300 TO 500</t>
  </si>
  <si>
    <t>Ayyapa Swamy</t>
  </si>
  <si>
    <t xml:space="preserve"> Leader</t>
  </si>
  <si>
    <t>No -clarity</t>
  </si>
  <si>
    <t>Naagbaabu Mudugu</t>
  </si>
  <si>
    <t>Sattibabu Vempatapu</t>
  </si>
  <si>
    <t>Satyanarayana Reddy</t>
  </si>
  <si>
    <t>Rayudu Venkata Subbarao</t>
  </si>
  <si>
    <t>Grama leader</t>
  </si>
  <si>
    <t>Rayudu Galleshwarao</t>
  </si>
  <si>
    <t>BC-Grama committee Leader</t>
  </si>
  <si>
    <t>Kushi Rambabu</t>
  </si>
  <si>
    <t>1300 votes</t>
  </si>
  <si>
    <t>Nageswarao</t>
  </si>
  <si>
    <t>Matha Babulu</t>
  </si>
  <si>
    <t>O Papireddy</t>
  </si>
  <si>
    <t>Kankaratnam</t>
  </si>
  <si>
    <t>Vice Sarpanch(2014)</t>
  </si>
  <si>
    <t>Ulavala.Bhushanam</t>
  </si>
  <si>
    <t>Booth Convenor</t>
  </si>
  <si>
    <t>Ganeswararao Raidu</t>
  </si>
  <si>
    <t xml:space="preserve"> Grama Party President </t>
  </si>
  <si>
    <t>Rambabu Kusi</t>
  </si>
  <si>
    <t>Booth Convenor , MPTC Husband</t>
  </si>
  <si>
    <t>Srinu Kongu</t>
  </si>
  <si>
    <t>Rayadu Ganesh</t>
  </si>
  <si>
    <t>Vulala Kankaratnam</t>
  </si>
  <si>
    <t>H.Kothuru</t>
  </si>
  <si>
    <t>Kattari Subbarao</t>
  </si>
  <si>
    <t>Penke Lova Raju</t>
  </si>
  <si>
    <t xml:space="preserve">Vice Sarpanch </t>
  </si>
  <si>
    <t>Mulki Peediraju</t>
  </si>
  <si>
    <t xml:space="preserve">YSRCP Activist </t>
  </si>
  <si>
    <t>Kattari Chinna Appana</t>
  </si>
  <si>
    <t>Ration Van Driver - YSRCP Leader</t>
  </si>
  <si>
    <t>Katari Ramudu</t>
  </si>
  <si>
    <t xml:space="preserve">Senior Leader </t>
  </si>
  <si>
    <t>Katari Ramaswamy</t>
  </si>
  <si>
    <t xml:space="preserve">Farmer - Activist </t>
  </si>
  <si>
    <t>Katari Annavaram</t>
  </si>
  <si>
    <t>Ration Dealer - TDP Activist</t>
  </si>
  <si>
    <t>Kattumuri Chinna</t>
  </si>
  <si>
    <t>Mulika Peddiraju</t>
  </si>
  <si>
    <t xml:space="preserve">Majority of votting  polled to TDP </t>
  </si>
  <si>
    <t>Chaniboyina Satyanaryana</t>
  </si>
  <si>
    <t>Balganti Buliya</t>
  </si>
  <si>
    <t>Mulithi Suribabu</t>
  </si>
  <si>
    <t>Auto driver</t>
  </si>
  <si>
    <t>150 votes tho lost</t>
  </si>
  <si>
    <t>Nallam Rambabu</t>
  </si>
  <si>
    <t>300 T0 500</t>
  </si>
  <si>
    <t>Virugula Iraraju</t>
  </si>
  <si>
    <t>500 VOTES</t>
  </si>
  <si>
    <t>Geesala Srinivas Rao</t>
  </si>
  <si>
    <t>Village Working Committee Chairman 
YSRCP Youth President</t>
  </si>
  <si>
    <t>Chavakula Gani Lakshmi</t>
  </si>
  <si>
    <t>Mummidi Veera Venkata Subash</t>
  </si>
  <si>
    <t>Kurra Nageswararao</t>
  </si>
  <si>
    <t>Kurra Satya Veni Rani</t>
  </si>
  <si>
    <t>Sandyala Bedina Kumar</t>
  </si>
  <si>
    <t>Patnam Venkatesh Babu</t>
  </si>
  <si>
    <t>Gesala Srinivasrao</t>
  </si>
  <si>
    <t>MPTC,Realestate Bussinesman</t>
  </si>
  <si>
    <t>4000Votes</t>
  </si>
  <si>
    <t>Mummidi Rajababu</t>
  </si>
  <si>
    <t>Political; leader</t>
  </si>
  <si>
    <t>1600 votes</t>
  </si>
  <si>
    <t>Geesala  Mahalakshmi</t>
  </si>
  <si>
    <t>4500 votes</t>
  </si>
  <si>
    <t>D Ramesh(Farmers)</t>
  </si>
  <si>
    <t>Main Leader,Business man</t>
  </si>
  <si>
    <t>Big majority is to be shared to Tdp voters</t>
  </si>
  <si>
    <t>Sattibabu</t>
  </si>
  <si>
    <t>Main Leader,Farmer</t>
  </si>
  <si>
    <t xml:space="preserve"> majority is to be shared to Tdp voters</t>
  </si>
  <si>
    <t>K Apparao</t>
  </si>
  <si>
    <t>Main Leader,</t>
  </si>
  <si>
    <t>Majority of votes to be shared TDP</t>
  </si>
  <si>
    <t>Ratna Kumari</t>
  </si>
  <si>
    <t xml:space="preserve"> majority is to be shared to Ysrcp voters</t>
  </si>
  <si>
    <t>Mitra Nageswarao</t>
  </si>
  <si>
    <t>O Satyaveni</t>
  </si>
  <si>
    <t>People thinking giving opportunity for upcoming party bc party Bode ramachandra yadav</t>
  </si>
  <si>
    <t>Krishnarjunudu Devara</t>
  </si>
  <si>
    <t>Rambabu Kottam</t>
  </si>
  <si>
    <t>Seethayya Rallu</t>
  </si>
  <si>
    <t>Sreenu Gypuri</t>
  </si>
  <si>
    <t>Veeravenkataramana Devara</t>
  </si>
  <si>
    <t xml:space="preserve">Londa Babu </t>
  </si>
  <si>
    <t xml:space="preserve">Deva Laxman </t>
  </si>
  <si>
    <t xml:space="preserve">Volunteer- YCP Inclined </t>
  </si>
  <si>
    <t>Sarpanch - Anti MLA</t>
  </si>
  <si>
    <t>Deva Latchababu</t>
  </si>
  <si>
    <t>Devara Suresh</t>
  </si>
  <si>
    <t>Booth Member</t>
  </si>
  <si>
    <t>Londa Ramaraju</t>
  </si>
  <si>
    <t>Vice MPTC</t>
  </si>
  <si>
    <t>M Chantibabu</t>
  </si>
  <si>
    <t>Maji-MPTC</t>
  </si>
  <si>
    <t>Miriyala Verrababu</t>
  </si>
  <si>
    <t>Vice Sarpanch,bricks supply</t>
  </si>
  <si>
    <t>Padari Edukondalu</t>
  </si>
  <si>
    <t>EX MPTC,Finance</t>
  </si>
  <si>
    <t>B Gangamaheswararo</t>
  </si>
  <si>
    <t xml:space="preserve">Independent </t>
  </si>
  <si>
    <t>Thaki Rambabu</t>
  </si>
  <si>
    <t>Ex vice sarpanch</t>
  </si>
  <si>
    <t>Bhoolokarao  Chintada</t>
  </si>
  <si>
    <t>Srinivas Gatti</t>
  </si>
  <si>
    <t>G.Vishwanadham</t>
  </si>
  <si>
    <t>P.Suresh</t>
  </si>
  <si>
    <t>Gorli Lavanya</t>
  </si>
  <si>
    <t>Bappana Ramu</t>
  </si>
  <si>
    <t>MPTC,Physio doctor</t>
  </si>
  <si>
    <t>Mellu Durga Prasad</t>
  </si>
  <si>
    <t>YCP Main Leader</t>
  </si>
  <si>
    <t>Botta Apparao</t>
  </si>
  <si>
    <t>Gorrula Lova Raju</t>
  </si>
  <si>
    <t>Venkata Ramana</t>
  </si>
  <si>
    <t>Pampana Boyina Raja Babu</t>
  </si>
  <si>
    <t>Main Leader of TDP,mestri</t>
  </si>
  <si>
    <t xml:space="preserve"> majority is to be shared to TDP voters</t>
  </si>
  <si>
    <t>Kollu Babiji</t>
  </si>
  <si>
    <t>Main Leader of TDP</t>
  </si>
  <si>
    <t>Miriyala Surya Chandra</t>
  </si>
  <si>
    <t>Kolla Srinivas</t>
  </si>
  <si>
    <t>Appala Konda</t>
  </si>
  <si>
    <t>Gorla Lavanya Wife Of Vishnu</t>
  </si>
  <si>
    <t>Vice president</t>
  </si>
  <si>
    <t>Mullu Durgarao</t>
  </si>
  <si>
    <t>kirana shop owner</t>
  </si>
  <si>
    <t>Lovaraju</t>
  </si>
  <si>
    <t>Shrinu Pakkurti</t>
  </si>
  <si>
    <t>Srinivasarao Kollu</t>
  </si>
  <si>
    <t>Suryachndrarao Miriyala</t>
  </si>
  <si>
    <t>G Ayyaro</t>
  </si>
  <si>
    <t>VC sarpanch</t>
  </si>
  <si>
    <t>Pothamsetti Venkatrao</t>
  </si>
  <si>
    <t>Contested as sarpanch</t>
  </si>
  <si>
    <t>S Srinivas</t>
  </si>
  <si>
    <t>Ch Naga Soma Raju</t>
  </si>
  <si>
    <t>S Pavan</t>
  </si>
  <si>
    <t>IMP leader</t>
  </si>
  <si>
    <t>Chintamanaedu Ramakrishna</t>
  </si>
  <si>
    <t>Sarpanch,farmer</t>
  </si>
  <si>
    <t>Srinivas Rao</t>
  </si>
  <si>
    <t>Gatti Mayarao</t>
  </si>
  <si>
    <t>Vice president,farmer</t>
  </si>
  <si>
    <t>Chakrar Narse</t>
  </si>
  <si>
    <t>Nageswararao Bandili</t>
  </si>
  <si>
    <t>Party Member</t>
  </si>
  <si>
    <t>Varahalraju Pothamsetty</t>
  </si>
  <si>
    <t>Booth Agent</t>
  </si>
  <si>
    <t>Chintamnedi Mahesh</t>
  </si>
  <si>
    <t>Narise Sattibabu</t>
  </si>
  <si>
    <t xml:space="preserve">Setti Srinivasa Rao </t>
  </si>
  <si>
    <t xml:space="preserve">Ch. Satya Narayana </t>
  </si>
  <si>
    <t xml:space="preserve">Mandal Aatma committee member </t>
  </si>
  <si>
    <t xml:space="preserve">N. Anil Babu </t>
  </si>
  <si>
    <t xml:space="preserve">Temple Director </t>
  </si>
  <si>
    <t>Ganta Veerbabu</t>
  </si>
  <si>
    <t xml:space="preserve">Chintamanedi Naga Soma Raju </t>
  </si>
  <si>
    <t>Main Leader</t>
  </si>
  <si>
    <t>Kadiyala Ravi Chandra</t>
  </si>
  <si>
    <t>Party president</t>
  </si>
  <si>
    <t xml:space="preserve">Tummala Babu  </t>
  </si>
  <si>
    <t>Bathina Chakrapani Manda</t>
  </si>
  <si>
    <t>Rayudu Rama Krishna</t>
  </si>
  <si>
    <t>Neutral Influencer</t>
  </si>
  <si>
    <t>K. Parameswararao</t>
  </si>
  <si>
    <t>"Imp person well educated"</t>
  </si>
  <si>
    <t>Venna Jagan Mohan Rao</t>
  </si>
  <si>
    <t>EX MLA son</t>
  </si>
  <si>
    <t>Viswanathula Veerababu</t>
  </si>
  <si>
    <t>G Madhavi</t>
  </si>
  <si>
    <t>D Kanthamani</t>
  </si>
  <si>
    <t>Mangaraju</t>
  </si>
  <si>
    <t>G Harish</t>
  </si>
  <si>
    <t>Youth leader</t>
  </si>
  <si>
    <t>Vedhi Rambabu</t>
  </si>
  <si>
    <t>Veerabhadrarao Vishvanadhula</t>
  </si>
  <si>
    <t xml:space="preserve">Chintala Ramna </t>
  </si>
  <si>
    <t>Ex sarpanch,Acting as Ycp lead</t>
  </si>
  <si>
    <t>Chitikala Varhala Babu</t>
  </si>
  <si>
    <t>EX MPP,Acting as Ycp lead</t>
  </si>
  <si>
    <t>Palaka Someswarao</t>
  </si>
  <si>
    <t>Varboyina Sambayya</t>
  </si>
  <si>
    <t>Penipothula Nooka Raju</t>
  </si>
  <si>
    <t>Rural president</t>
  </si>
  <si>
    <t>Chitakala Satyavathi</t>
  </si>
  <si>
    <t>Contesting as MPTC</t>
  </si>
  <si>
    <t>Chilapalli Suribabu</t>
  </si>
  <si>
    <t>Chintala Venkatramana</t>
  </si>
  <si>
    <t>Realistic</t>
  </si>
  <si>
    <t>lost with diff of 290 votes</t>
  </si>
  <si>
    <t>Yellapu Mahesh</t>
  </si>
  <si>
    <t>Tuni market yard vegetable shop,vice president</t>
  </si>
  <si>
    <t>Chitukula Varhalu Babu</t>
  </si>
  <si>
    <t>Vice-MPP</t>
  </si>
  <si>
    <t>Palka Someswarao</t>
  </si>
  <si>
    <t>Sarpanch,RMPD octor</t>
  </si>
  <si>
    <t>upto 3000 votes</t>
  </si>
  <si>
    <t>Vadboyina Sambayya</t>
  </si>
  <si>
    <t>Medica shop</t>
  </si>
  <si>
    <t>Almanda Venkatramna</t>
  </si>
  <si>
    <t>EX MPP</t>
  </si>
  <si>
    <t>Ankamreddy Kondababu</t>
  </si>
  <si>
    <t>Gruhasaradhi</t>
  </si>
  <si>
    <t>Gudala Nanaji</t>
  </si>
  <si>
    <t>Rmp doctor</t>
  </si>
  <si>
    <t>Namburi Swami Satyanarayana</t>
  </si>
  <si>
    <t>EX sarpanch</t>
  </si>
  <si>
    <t>Govindu Barla</t>
  </si>
  <si>
    <t>Booth Incharge, Youth President</t>
  </si>
  <si>
    <t>Nagabaabu Doddi</t>
  </si>
  <si>
    <t>Nageswararao Nallala</t>
  </si>
  <si>
    <t>Chintala Venkata Ramana</t>
  </si>
  <si>
    <t>Contested as Sarpanch</t>
  </si>
  <si>
    <t>Nanaji Surla</t>
  </si>
  <si>
    <t>Nookaraju Penupotula</t>
  </si>
  <si>
    <t>Venkataramana Alamanda</t>
  </si>
  <si>
    <t>Palla Varhalu</t>
  </si>
  <si>
    <t>Ex Sarpanch son</t>
  </si>
  <si>
    <t>Gundraju Devanam</t>
  </si>
  <si>
    <t>Palla Acharao</t>
  </si>
  <si>
    <t>KSS-Member</t>
  </si>
  <si>
    <t>Kurra Ganesh</t>
  </si>
  <si>
    <t>500votes</t>
  </si>
  <si>
    <t>Apparao Gundraju</t>
  </si>
  <si>
    <t>Sathyanarayan Kona</t>
  </si>
  <si>
    <t>K Venkataramana</t>
  </si>
  <si>
    <t>D Tambarao</t>
  </si>
  <si>
    <t>D Nookaraju</t>
  </si>
  <si>
    <t>upcoming election will be a tight fight of TDP &amp; YSRCP</t>
  </si>
  <si>
    <t>Chittibabu(Veera Suri Narayana)</t>
  </si>
  <si>
    <t xml:space="preserve">Ex sarpanch,business man,Annavaram Trust board member </t>
  </si>
  <si>
    <t>Majority of votes to be share the ysrcp party</t>
  </si>
  <si>
    <t>Kotha Bhadrarao</t>
  </si>
  <si>
    <t>250 votes</t>
  </si>
  <si>
    <t>Galle Suryachakradhar</t>
  </si>
  <si>
    <t>Son of Chitibabu</t>
  </si>
  <si>
    <t>Surnudi Suresh Kumar</t>
  </si>
  <si>
    <t>Varapula Satyaprabha</t>
  </si>
  <si>
    <t>TDP Incharge</t>
  </si>
  <si>
    <t>2000 votes</t>
  </si>
  <si>
    <t>Yesubaabu Morukurthi</t>
  </si>
  <si>
    <t>Nagaswararao Surnidi</t>
  </si>
  <si>
    <t>Prasad Dale</t>
  </si>
  <si>
    <t>Active Member</t>
  </si>
  <si>
    <t>Dale Chinna Surya  Rajesh</t>
  </si>
  <si>
    <t>Dale Surya Chakradhar</t>
  </si>
  <si>
    <t>Annavaram Trust board member</t>
  </si>
  <si>
    <t>Yeleti Srinu</t>
  </si>
  <si>
    <t>Sady Lovaraju</t>
  </si>
  <si>
    <t>MPTC,Influencer</t>
  </si>
  <si>
    <t>Bachala Naga Shiva</t>
  </si>
  <si>
    <t>TDP Grama Lead,Influencer</t>
  </si>
  <si>
    <t>Vanum Manga</t>
  </si>
  <si>
    <t>Tdp Mahila sangam</t>
  </si>
  <si>
    <t>Pithala Nookaraju</t>
  </si>
  <si>
    <t>Madeni Nani</t>
  </si>
  <si>
    <t>Deepudu</t>
  </si>
  <si>
    <t>Dhenkula Veerabhadrao</t>
  </si>
  <si>
    <t>Mandal Convener</t>
  </si>
  <si>
    <t>Kolluri Narasimha Murthy</t>
  </si>
  <si>
    <t xml:space="preserve">Ganikula Badram </t>
  </si>
  <si>
    <t xml:space="preserve">Village Leader </t>
  </si>
  <si>
    <t xml:space="preserve">Makka Krishna </t>
  </si>
  <si>
    <t xml:space="preserve">Majjuri Surya Narayana </t>
  </si>
  <si>
    <t xml:space="preserve">Ex- Sarpanch </t>
  </si>
  <si>
    <t xml:space="preserve">Acche Veera Babu </t>
  </si>
  <si>
    <t>Village Leader</t>
  </si>
  <si>
    <t>Pilla Srinu</t>
  </si>
  <si>
    <t>Neutral influencer</t>
  </si>
  <si>
    <t>Vakapalli Surya Prakash</t>
  </si>
  <si>
    <t>Pandu</t>
  </si>
  <si>
    <t>Key Leader</t>
  </si>
  <si>
    <t>majority of votes to be share jsp party</t>
  </si>
  <si>
    <t>Chittibabu Vakapalli</t>
  </si>
  <si>
    <t xml:space="preserve">Booth Convener, ITDP </t>
  </si>
  <si>
    <t>Gawarraju Marishe</t>
  </si>
  <si>
    <t>Kannabattula.Kamesh Rao</t>
  </si>
  <si>
    <t>Ramesh Pilla</t>
  </si>
  <si>
    <t>Saithana Vara Prasad</t>
  </si>
  <si>
    <t>President,Sarpanch</t>
  </si>
  <si>
    <t>Chintakayala Chinnababu</t>
  </si>
  <si>
    <t>Vice sarpanch,Farmer</t>
  </si>
  <si>
    <t>Chintakayala Nageswararo</t>
  </si>
  <si>
    <t>Tharpey Satyanarayana</t>
  </si>
  <si>
    <t>Ankotreddy Bulibau</t>
  </si>
  <si>
    <t>Nammadi Satyanaryna</t>
  </si>
  <si>
    <t>Kakinada Zilla Sc vice president</t>
  </si>
  <si>
    <t>Nammadi Pydaraju(  Chittibabu)</t>
  </si>
  <si>
    <t>Vemula Rajubabu</t>
  </si>
  <si>
    <t>Sarpunch</t>
  </si>
  <si>
    <t>B. Venkat Satyagovind</t>
  </si>
  <si>
    <t>Active member</t>
  </si>
  <si>
    <t>Bangarayya Lalam</t>
  </si>
  <si>
    <t>Chellayya Kacchaa</t>
  </si>
  <si>
    <t>Chintakayala Nageshwarao</t>
  </si>
  <si>
    <t>Chintakayala S.R. Vishwanad</t>
  </si>
  <si>
    <t>Mandal President</t>
  </si>
  <si>
    <t>Chitumuri Appalakonda</t>
  </si>
  <si>
    <t>Sc zilla Member</t>
  </si>
  <si>
    <t>Gopi Ankamareddy</t>
  </si>
  <si>
    <t>Naga Prasad Ruttala</t>
  </si>
  <si>
    <t>Nemadi Paidiraju</t>
  </si>
  <si>
    <t>Booth Conener</t>
  </si>
  <si>
    <t>Satayanarayana Nemadi</t>
  </si>
  <si>
    <t>Venkateswarlu Godara</t>
  </si>
  <si>
    <t>Uba Nagini</t>
  </si>
  <si>
    <t>Pabbinidi Ramesh</t>
  </si>
  <si>
    <t>Vice sarpanch,can influence kapu vote bank</t>
  </si>
  <si>
    <t>Thibiri Setti Vara Prasad</t>
  </si>
  <si>
    <t>Ex sarpanch</t>
  </si>
  <si>
    <t>Gollipali Satish Kumar</t>
  </si>
  <si>
    <t>Malladi Bhadrararao</t>
  </si>
  <si>
    <t>Pasuvuleti Manikyam</t>
  </si>
  <si>
    <t>Active</t>
  </si>
  <si>
    <t>Arava  Ramaswami</t>
  </si>
  <si>
    <t>Bachala Prasad</t>
  </si>
  <si>
    <t>Damalanka Pallam Raju</t>
  </si>
  <si>
    <t>Vara Rajababu</t>
  </si>
  <si>
    <t>Expired</t>
  </si>
  <si>
    <t>Gundubogala.Narayanaswamy</t>
  </si>
  <si>
    <t>Nagaswararao Bontu</t>
  </si>
  <si>
    <t>P Kondala Rao</t>
  </si>
  <si>
    <t>Srinu Miriyala</t>
  </si>
  <si>
    <t>Monoru Jogi Raju</t>
  </si>
  <si>
    <t>SC Leader</t>
  </si>
  <si>
    <t>Y Rambabu</t>
  </si>
  <si>
    <t>Nagaswararao Chenuboyina</t>
  </si>
  <si>
    <t>G Kondababu</t>
  </si>
  <si>
    <t>Penupothula Nageswararao</t>
  </si>
  <si>
    <t>Chakradhar</t>
  </si>
  <si>
    <t>Farmer,MPTC</t>
  </si>
  <si>
    <t>Rani</t>
  </si>
  <si>
    <t>Jansetti Nukapathi Rao</t>
  </si>
  <si>
    <t>150 votes</t>
  </si>
  <si>
    <t>Koteti Rayudu</t>
  </si>
  <si>
    <t>300-400 votes</t>
  </si>
  <si>
    <t>Rorangala Satyanarayana</t>
  </si>
  <si>
    <t>Rangla Surya Rao</t>
  </si>
  <si>
    <t>Mahila Parliament member Kakinada</t>
  </si>
  <si>
    <t>Venkata Lakshmi</t>
  </si>
  <si>
    <t>Dadisetty Nookapati Rao</t>
  </si>
  <si>
    <t>Ex- MPTC</t>
  </si>
  <si>
    <t>Chukka Ram Babu</t>
  </si>
  <si>
    <t xml:space="preserve">Jammi Manikyam </t>
  </si>
  <si>
    <t xml:space="preserve">Rongala Eswar Rao </t>
  </si>
  <si>
    <t>Rebel Sarpanch Contestant</t>
  </si>
  <si>
    <t>Thota Satyavathi Mother Of Thota Gandhi</t>
  </si>
  <si>
    <t>MPTC,Business</t>
  </si>
  <si>
    <t>Due to financial strength, they are running in politicals</t>
  </si>
  <si>
    <t>Mulli Veera Babu</t>
  </si>
  <si>
    <t>won with 700 votes(Total MPTC voting is 1800)</t>
  </si>
  <si>
    <t>Drakshrapu Krishna</t>
  </si>
  <si>
    <t>Ganga Raju</t>
  </si>
  <si>
    <t>Surya Bhaskar Babu</t>
  </si>
  <si>
    <t>Ex MPP,Kakinada parilment Farmer Commitee Chairman</t>
  </si>
  <si>
    <t>Puli Madhu Sudhakar Babu</t>
  </si>
  <si>
    <t>DCCB Director, Active Member</t>
  </si>
  <si>
    <t>Has very good realtion with Jagan mohan reddy before the journey of politics but has less capability to influence votes</t>
  </si>
  <si>
    <t>Pila Samba Shiva Rao</t>
  </si>
  <si>
    <t>A Srinu</t>
  </si>
  <si>
    <t>Akula Srikanth</t>
  </si>
  <si>
    <t>K Shiva Ramakrishna</t>
  </si>
  <si>
    <t>P lakshmanrao</t>
  </si>
  <si>
    <t>Important leader</t>
  </si>
  <si>
    <t xml:space="preserve">Budhala Satti Babu </t>
  </si>
  <si>
    <t>Ginjala Prasad</t>
  </si>
  <si>
    <t>Ginjala Subramanyam Devi</t>
  </si>
  <si>
    <t xml:space="preserve">MPTC, House Wife </t>
  </si>
  <si>
    <t xml:space="preserve">E. Konda Babu </t>
  </si>
  <si>
    <t xml:space="preserve">Govind </t>
  </si>
  <si>
    <t xml:space="preserve">Ginjala Appalraju </t>
  </si>
  <si>
    <t>TDP Village Leader</t>
  </si>
  <si>
    <t>Tamrana Ramakrishna</t>
  </si>
  <si>
    <t xml:space="preserve">EX Sarpanch 2009, Kobbari threads company- V.Kothuru Village </t>
  </si>
  <si>
    <t>Saripalli Appalakonda</t>
  </si>
  <si>
    <t xml:space="preserve">Killada Satya Narayana </t>
  </si>
  <si>
    <t>2001 to 2006 Vice president &amp; High school Chairman for 10 Years</t>
  </si>
  <si>
    <t xml:space="preserve">Gorla Nageshwar Rao </t>
  </si>
  <si>
    <t>Kammila Achibabu</t>
  </si>
  <si>
    <t>Gunnpe Yedukondalu</t>
  </si>
  <si>
    <t>P T Siva</t>
  </si>
  <si>
    <t>Sachivalayam convener</t>
  </si>
  <si>
    <t>Galla Krsihna</t>
  </si>
  <si>
    <t>Galla Ramu</t>
  </si>
  <si>
    <t>Constituency Youth</t>
  </si>
  <si>
    <t>Kona Sivanaidu</t>
  </si>
  <si>
    <t>Zilla Youth Convener</t>
  </si>
  <si>
    <t>Pedakapu Varahalu</t>
  </si>
  <si>
    <t xml:space="preserve"> Padilam Baburao</t>
  </si>
  <si>
    <t>Pedakapu Thatalu</t>
  </si>
  <si>
    <t>Gaji Varhalu</t>
  </si>
  <si>
    <t>Gopal Rao</t>
  </si>
  <si>
    <t xml:space="preserve">Senior Leader &amp; Ex-Sarpanch </t>
  </si>
  <si>
    <t>Thumallapalli Prem Sagar</t>
  </si>
  <si>
    <t>Gram President</t>
  </si>
  <si>
    <t>Desala Naresh</t>
  </si>
  <si>
    <t>Kona Venkatewsarao</t>
  </si>
  <si>
    <t>M Chakravarthi</t>
  </si>
  <si>
    <t>Surnidi Surya Prasad Rao</t>
  </si>
  <si>
    <t>Veerababu</t>
  </si>
  <si>
    <t>Bulli  Gangaraju</t>
  </si>
  <si>
    <t>CHINVEERARRAJU VULISHETTY</t>
  </si>
  <si>
    <t>Pokanati veerababu</t>
  </si>
  <si>
    <t>Unit Incharge</t>
  </si>
  <si>
    <t>Venkateswarao</t>
  </si>
  <si>
    <t>Active leader</t>
  </si>
  <si>
    <t>Dontipatla Ram Teja</t>
  </si>
  <si>
    <t>Chakradharudu Yenuganti</t>
  </si>
  <si>
    <t>Chinveerarraju Vulishetty</t>
  </si>
  <si>
    <t>Suryramaiah Palaparthi</t>
  </si>
  <si>
    <t>Ramakrishna  Gontina</t>
  </si>
  <si>
    <t>Mutta Narayana Rao</t>
  </si>
  <si>
    <t>P.Rambabu</t>
  </si>
  <si>
    <t>Penuganti Brahmanandam</t>
  </si>
  <si>
    <t>R.Subba Rao</t>
  </si>
  <si>
    <t>Thathapudi Satyanarayana</t>
  </si>
  <si>
    <t>Mudha Nanni Babu Rao</t>
  </si>
  <si>
    <t>Paila Sanyasi Naidu</t>
  </si>
  <si>
    <t>Barla Apparao</t>
  </si>
  <si>
    <t>ZPTC</t>
  </si>
  <si>
    <t>Barla Appanna</t>
  </si>
  <si>
    <t>Rongala Thathababu</t>
  </si>
  <si>
    <t>TDP President</t>
  </si>
  <si>
    <t>Ksv Ramanamurty</t>
  </si>
  <si>
    <t>Panchayath Secretary</t>
  </si>
  <si>
    <t>Mvn Kiran</t>
  </si>
  <si>
    <t>Gurturthi Parvathi, W/o Gangaraju</t>
  </si>
  <si>
    <t>Atika Veeraraju</t>
  </si>
  <si>
    <t>Lanka Paravth</t>
  </si>
  <si>
    <t>Bekkam Suribabu</t>
  </si>
  <si>
    <t>Ex Sarpanch (2009,2014),Booth Convener</t>
  </si>
  <si>
    <t>Geddam Devudu</t>
  </si>
  <si>
    <t>Sugarcane Exporter</t>
  </si>
  <si>
    <t>Gurthuthi Pentayya</t>
  </si>
  <si>
    <t xml:space="preserve">Tolu Veera Babu </t>
  </si>
  <si>
    <t xml:space="preserve">Gosula Krishna </t>
  </si>
  <si>
    <t>Sachivalayam Convenor</t>
  </si>
  <si>
    <t>S Vijay Babu</t>
  </si>
  <si>
    <t>K Srinu</t>
  </si>
  <si>
    <t>M Pedhabbai</t>
  </si>
  <si>
    <t>Eerugula Arunkumar</t>
  </si>
  <si>
    <t>Nakatlla Apparao</t>
  </si>
  <si>
    <t>Ward member,YSRCP president</t>
  </si>
  <si>
    <t>N.Rama Rao</t>
  </si>
  <si>
    <t>Nvmkrishna Yatham</t>
  </si>
  <si>
    <t>Sathyanarayan Nekkala</t>
  </si>
  <si>
    <t>Sekinala Veerababu</t>
  </si>
  <si>
    <t>Nalla Ram Babu</t>
  </si>
  <si>
    <t>S Kumar</t>
  </si>
  <si>
    <t xml:space="preserve">Sarpanch </t>
  </si>
  <si>
    <t>Dhara Ramana</t>
  </si>
  <si>
    <t>Vice MPP</t>
  </si>
  <si>
    <t>Virla Suribabu</t>
  </si>
  <si>
    <t>Advocate,Active Leader</t>
  </si>
  <si>
    <t>S Madhubabu</t>
  </si>
  <si>
    <t>Parliment member</t>
  </si>
  <si>
    <t>B Suresh</t>
  </si>
  <si>
    <t>Mandal conviner</t>
  </si>
  <si>
    <t>M Narasayyah</t>
  </si>
  <si>
    <t>R Srinivas</t>
  </si>
  <si>
    <t>Legal Cell Member</t>
  </si>
  <si>
    <t>Vijaya Lakshmi</t>
  </si>
  <si>
    <t xml:space="preserve"> </t>
  </si>
  <si>
    <t>upto 400-600 votes</t>
  </si>
  <si>
    <t>S Bhaskar Rao</t>
  </si>
  <si>
    <t>MPTC 1, Ex- ZPTC, MLA</t>
  </si>
  <si>
    <t>upto 200-300 votes</t>
  </si>
  <si>
    <t>Padhmavathi</t>
  </si>
  <si>
    <t>MPTC 2</t>
  </si>
  <si>
    <t>Amrutha Varshini</t>
  </si>
  <si>
    <t>MPTC 3</t>
  </si>
  <si>
    <t>Golla Sudhakar</t>
  </si>
  <si>
    <t>Godala Venkata Ratnam</t>
  </si>
  <si>
    <t>Penke Nooka Raju</t>
  </si>
  <si>
    <t>Village committee President</t>
  </si>
  <si>
    <t>Kosireddy Kasulu</t>
  </si>
  <si>
    <t>Commitee Chairman</t>
  </si>
  <si>
    <t>Chinnari Venkatarao</t>
  </si>
  <si>
    <t xml:space="preserve">YCP leader </t>
  </si>
  <si>
    <t>Bandi Ravi</t>
  </si>
  <si>
    <t>20th ward councilor</t>
  </si>
  <si>
    <t>Bandi Nooka Raju</t>
  </si>
  <si>
    <t>Ex-sarpanch</t>
  </si>
  <si>
    <t>Bandi Harish</t>
  </si>
  <si>
    <t>YCP Yuva sena</t>
  </si>
  <si>
    <t>Memagiri Babji</t>
  </si>
  <si>
    <t>Jyothula Satish</t>
  </si>
  <si>
    <t>Ex-vice sarpanch</t>
  </si>
  <si>
    <t>Karanam Rajendra</t>
  </si>
  <si>
    <t>leaders</t>
  </si>
  <si>
    <t>Ganta Ramana</t>
  </si>
  <si>
    <t>Boyi Nageswarao</t>
  </si>
  <si>
    <t>Arapa Raghu</t>
  </si>
  <si>
    <t>J Babaji</t>
  </si>
  <si>
    <t>MPTC 1</t>
  </si>
  <si>
    <t>A Raghu</t>
  </si>
  <si>
    <t>1500 votes</t>
  </si>
  <si>
    <t>Origanti Raghu</t>
  </si>
  <si>
    <t>Pedhinti Shiva</t>
  </si>
  <si>
    <t>Ulavakayala Lovaraju</t>
  </si>
  <si>
    <t>ZPTC Leader</t>
  </si>
  <si>
    <t>Origanti Chakradarudu</t>
  </si>
  <si>
    <t>Ulavakayala Devendrudu</t>
  </si>
  <si>
    <t>BC Leader</t>
  </si>
  <si>
    <t>Surla Babjji</t>
  </si>
  <si>
    <t>Adigarla Prasad</t>
  </si>
  <si>
    <t>Eka Kanmaya</t>
  </si>
  <si>
    <t>Annam Reddy Veera Raghavalu</t>
  </si>
  <si>
    <t>EX MPTC</t>
  </si>
  <si>
    <t>Ankamreddy Venkat Satyanarayana</t>
  </si>
  <si>
    <t>Chitikela Kamaraju</t>
  </si>
  <si>
    <t>Donka Venkata Benerji</t>
  </si>
  <si>
    <t>Sorla Buchinaidu</t>
  </si>
  <si>
    <t>Vice president,auto driver</t>
  </si>
  <si>
    <t>Satyanaryanamma</t>
  </si>
  <si>
    <t>Chitikala Srinvas</t>
  </si>
  <si>
    <t>EX Sarpanch,Road contarctor</t>
  </si>
  <si>
    <t>has shanthinikethan school</t>
  </si>
  <si>
    <t>Chitikala Ramaswamy</t>
  </si>
  <si>
    <t>EX Sarpanch cousns son</t>
  </si>
  <si>
    <t>Govindrao</t>
  </si>
  <si>
    <t>Used tobe YCP MPTC person but recently shifted to TDP</t>
  </si>
  <si>
    <t>Soorla Godaya</t>
  </si>
  <si>
    <t>MPTC(2014)</t>
  </si>
  <si>
    <t>Boddiya</t>
  </si>
  <si>
    <t>Loeva Raju Setty</t>
  </si>
  <si>
    <t>Narasimha Murthy Lokavarapu</t>
  </si>
  <si>
    <t>Narayanamurthy Gadi</t>
  </si>
  <si>
    <t>Nookaraju Singampalle</t>
  </si>
  <si>
    <t>Pittala Shiva</t>
  </si>
  <si>
    <t>Panchyathi member</t>
  </si>
  <si>
    <t>A.Lovaraju</t>
  </si>
  <si>
    <t>Akula.Venkataraju</t>
  </si>
  <si>
    <t>K.Veerababu</t>
  </si>
  <si>
    <t>M.Satyanarayana</t>
  </si>
  <si>
    <t>U.Eshwarudu</t>
  </si>
  <si>
    <t>U.Surya Rao</t>
  </si>
  <si>
    <t>Dangeti Nageswarao</t>
  </si>
  <si>
    <t>Papana.Venkat Ramana</t>
  </si>
  <si>
    <t>Apparao Kurru</t>
  </si>
  <si>
    <t>Apparao Tumu</t>
  </si>
  <si>
    <t>Dharmaraju Siddanthapu</t>
  </si>
  <si>
    <t>Shrinivas Gollapalli</t>
  </si>
  <si>
    <t>Sitaramaraju Buddharaju</t>
  </si>
  <si>
    <t>Siva Suryanarayana Jeelakarra</t>
  </si>
  <si>
    <t>Talupulu Yinti</t>
  </si>
  <si>
    <t>Jyothula Srinivas</t>
  </si>
  <si>
    <t>JSP leader, founder of sai priya foundation(EX-MPTC)</t>
  </si>
  <si>
    <t>Akula Srinu</t>
  </si>
  <si>
    <t>MPTC member</t>
  </si>
  <si>
    <t>M Srinivas</t>
  </si>
  <si>
    <t>TDP Saarpanch(2019)</t>
  </si>
  <si>
    <t>M Parvathi</t>
  </si>
  <si>
    <t>Madepalli Vijay Bhaskar Rao</t>
  </si>
  <si>
    <t>Society President</t>
  </si>
  <si>
    <t>Madhepalli Padmaraju</t>
  </si>
  <si>
    <t>Bejjavada Suresh</t>
  </si>
  <si>
    <t>Party President ( No Active)</t>
  </si>
  <si>
    <t>K Venkatesh</t>
  </si>
  <si>
    <t>JSP Grama leader</t>
  </si>
  <si>
    <t>Badhireddy Rambabu</t>
  </si>
  <si>
    <t>Thantikonda devasthanam chairman</t>
  </si>
  <si>
    <t>Pedhada Venkannadora</t>
  </si>
  <si>
    <t>Thantikonda devasthanam ex-chairman, ycp leader</t>
  </si>
  <si>
    <t>Madiki Mainorbabu</t>
  </si>
  <si>
    <t>Badhireddy Satyanarayana Appanadora</t>
  </si>
  <si>
    <t>Badhireddy Bobby</t>
  </si>
  <si>
    <t>Thantikonda devasthanam ex-chairman</t>
  </si>
  <si>
    <t>Badhireddy Achanadora</t>
  </si>
  <si>
    <t>Thantikonda devasthanam ex-chairman, tdp main leader</t>
  </si>
  <si>
    <t>Naga Venkatapathi</t>
  </si>
  <si>
    <t>Grama TDP convenor</t>
  </si>
  <si>
    <t>Pedhada Veeravenakata Satyanarayana/ Gaddem Babu</t>
  </si>
  <si>
    <t xml:space="preserve">Active Party Member </t>
  </si>
  <si>
    <t>Miriyala Gandhi</t>
  </si>
  <si>
    <t>Mandal youth president</t>
  </si>
  <si>
    <t>Thota Veerababu</t>
  </si>
  <si>
    <t>P .Raviraju</t>
  </si>
  <si>
    <t>YCP leader</t>
  </si>
  <si>
    <t>Venkataramana</t>
  </si>
  <si>
    <t>Pentakota Sattibabu</t>
  </si>
  <si>
    <t xml:space="preserve">Kunisetty Hari Krishna </t>
  </si>
  <si>
    <t xml:space="preserve">Ward Member </t>
  </si>
  <si>
    <t xml:space="preserve">Sudha Durga Rao </t>
  </si>
  <si>
    <t>Erra Sattibabu</t>
  </si>
  <si>
    <t>Naga Bhaskar Palepu</t>
  </si>
  <si>
    <t>Rambabu Gonela</t>
  </si>
  <si>
    <t>Shrinivas Velga</t>
  </si>
  <si>
    <t>Durgababu Yalamanchili</t>
  </si>
  <si>
    <t>Bavurusetti Rambabu</t>
  </si>
  <si>
    <t xml:space="preserve">TDP leader, MPTC, </t>
  </si>
  <si>
    <t xml:space="preserve">Kanba Babji </t>
  </si>
  <si>
    <t>Bavurisetti Bab Rao</t>
  </si>
  <si>
    <t xml:space="preserve">Bavurusetti Gopala Krishna </t>
  </si>
  <si>
    <t>Active Leader Brother of Sarpanch Contestant</t>
  </si>
  <si>
    <t xml:space="preserve">Kanba Chinna Babu </t>
  </si>
  <si>
    <t>Esuratnam Moyilla</t>
  </si>
  <si>
    <t>Lokeswarudu Rasam Setti</t>
  </si>
  <si>
    <t>Rambabu Moyilla</t>
  </si>
  <si>
    <t>Sattibabu Kanda</t>
  </si>
  <si>
    <t>D.Tirupataiah</t>
  </si>
  <si>
    <t>K.Appa Rao</t>
  </si>
  <si>
    <t>N.Rama Ganesh</t>
  </si>
  <si>
    <t>Yerramsetti Chandrao</t>
  </si>
  <si>
    <t xml:space="preserve">Ex-ZPTC </t>
  </si>
  <si>
    <t xml:space="preserve">Pallapu Vishnu Chakram </t>
  </si>
  <si>
    <t xml:space="preserve">Ex-Sarpanch </t>
  </si>
  <si>
    <t>Srinu Yarramsetti</t>
  </si>
  <si>
    <t>Subbarao Pallapu</t>
  </si>
  <si>
    <t>YCP President</t>
  </si>
  <si>
    <t>Nagamani</t>
  </si>
  <si>
    <t>Panchayat Secretary</t>
  </si>
  <si>
    <t>Surya Prakash Rao</t>
  </si>
  <si>
    <t xml:space="preserve">Seetaiah Dora </t>
  </si>
  <si>
    <t>Sarpanch &amp; Mandal President</t>
  </si>
  <si>
    <t>Mylavarpu Srinivas</t>
  </si>
  <si>
    <t>Sarpach husband</t>
  </si>
  <si>
    <t>Kona Pydayyah</t>
  </si>
  <si>
    <t>Golavili Annavaram</t>
  </si>
  <si>
    <t>Gollavilli Ramakrishna</t>
  </si>
  <si>
    <t>Ycp leader</t>
  </si>
  <si>
    <t>Bolla Srinu</t>
  </si>
  <si>
    <t>Gollavili Appalaraju</t>
  </si>
  <si>
    <t>Adabala Ramanjenyelu</t>
  </si>
  <si>
    <t>Adabala Bhaskararo</t>
  </si>
  <si>
    <t>Sarpanch, business</t>
  </si>
  <si>
    <t>Mallireddy Paparao</t>
  </si>
  <si>
    <t xml:space="preserve">S/o of Sarpanch </t>
  </si>
  <si>
    <t>G Durga Prasad</t>
  </si>
  <si>
    <t>Undavalli Narayana Murthy</t>
  </si>
  <si>
    <t xml:space="preserve">Local Leader </t>
  </si>
  <si>
    <t xml:space="preserve">Undavalli Chander Rao </t>
  </si>
  <si>
    <t xml:space="preserve">Pothula Durga Rao </t>
  </si>
  <si>
    <t xml:space="preserve">Booth Convenor </t>
  </si>
  <si>
    <t>Penke Suribabu</t>
  </si>
  <si>
    <t>Builder</t>
  </si>
  <si>
    <t>30 votes</t>
  </si>
  <si>
    <t>Pilli Srinivasrao</t>
  </si>
  <si>
    <t>Motor Cleaner</t>
  </si>
  <si>
    <t>50 votes</t>
  </si>
  <si>
    <t>Penke Deva Raghu Ram Prasad</t>
  </si>
  <si>
    <t>40 votes</t>
  </si>
  <si>
    <t>G.Dorababu</t>
  </si>
  <si>
    <t>Vice-president,builder</t>
  </si>
  <si>
    <t>Saila Sanayasanaidu</t>
  </si>
  <si>
    <t>200-350</t>
  </si>
  <si>
    <t>ZPTC 2014</t>
  </si>
  <si>
    <t>300 -400</t>
  </si>
  <si>
    <t xml:space="preserve">Kakinada </t>
  </si>
  <si>
    <t>Gona Kumari</t>
  </si>
  <si>
    <t xml:space="preserve">YSRCP Cadre </t>
  </si>
  <si>
    <t>Ele Gurumurthy</t>
  </si>
  <si>
    <t>Gamta Veerababu</t>
  </si>
  <si>
    <t>Kadari Devisri</t>
  </si>
  <si>
    <t>Karri Srinu</t>
  </si>
  <si>
    <t>Ramana Gopi</t>
  </si>
  <si>
    <t>Surya</t>
  </si>
  <si>
    <t>Ganta Veeranna Chowdary</t>
  </si>
  <si>
    <t>Village TDP President</t>
  </si>
  <si>
    <t>1950 votes</t>
  </si>
  <si>
    <t>Srikanduka Chittibabu</t>
  </si>
  <si>
    <t>Kondaiah Chowdary</t>
  </si>
  <si>
    <t>Veerama Vastharayudu</t>
  </si>
  <si>
    <t>YCP Leader</t>
  </si>
  <si>
    <t>Apparaosvami Pedireddy</t>
  </si>
  <si>
    <t>Esubaabu Nakka</t>
  </si>
  <si>
    <t>Rambabu Talatam</t>
  </si>
  <si>
    <t>Srinivasarao Chinabilly</t>
  </si>
  <si>
    <t>Pabbineni Eswarao</t>
  </si>
  <si>
    <t>Saladi Raja Nanda</t>
  </si>
  <si>
    <t>Addala Venkanna Babu</t>
  </si>
  <si>
    <t>Tdp main leader</t>
  </si>
  <si>
    <t>Bandi Siva Sankhar</t>
  </si>
  <si>
    <t>Rowthu Adilakshmi Jogeswarao</t>
  </si>
  <si>
    <t>Thuram Satyavathi</t>
  </si>
  <si>
    <t>Govt hospital employee</t>
  </si>
  <si>
    <t>Sher Shiva</t>
  </si>
  <si>
    <t>Ambati Prasad</t>
  </si>
  <si>
    <t>Kannababu Halloen</t>
  </si>
  <si>
    <t>Ttdp main leader</t>
  </si>
  <si>
    <t>Gundo Siva Prasad</t>
  </si>
  <si>
    <t>Kungarapu Raju</t>
  </si>
  <si>
    <t>Village tdp president</t>
  </si>
  <si>
    <t>Mandhiga Gangadhar</t>
  </si>
  <si>
    <t>Ex-youth president</t>
  </si>
  <si>
    <t>Kodi Krishnaveni</t>
  </si>
  <si>
    <t>Mptc</t>
  </si>
  <si>
    <t>no phone</t>
  </si>
  <si>
    <t>Karibandi Sai</t>
  </si>
  <si>
    <t>Mandal joint secretary</t>
  </si>
  <si>
    <t>Nakka Lakshman</t>
  </si>
  <si>
    <t>Grama committee president</t>
  </si>
  <si>
    <t>Mullapaka Vijay</t>
  </si>
  <si>
    <t>N S Venkata Nagaram</t>
  </si>
  <si>
    <t>Pampanaboina Sriram</t>
  </si>
  <si>
    <t>Botta Varahalabbabu</t>
  </si>
  <si>
    <t>Vice srapanch</t>
  </si>
  <si>
    <t>Shetti Srinivasa Rao</t>
  </si>
  <si>
    <t>Botta Venkataramana</t>
  </si>
  <si>
    <t>EX tdp sarpanch</t>
  </si>
  <si>
    <t>Kolla Ramana</t>
  </si>
  <si>
    <t>Bhira Yesuratnam</t>
  </si>
  <si>
    <t>Nimmagadla Paramjyothi</t>
  </si>
  <si>
    <t>Pandhula Thatarao</t>
  </si>
  <si>
    <t>Vijjupu Nagannadora</t>
  </si>
  <si>
    <t>Sankarapu Ramachadrababu'S Wife</t>
  </si>
  <si>
    <t>Egala  Vijaya Durga w/o Ravi Kumar</t>
  </si>
  <si>
    <t>Egala  Chinnammulu w/o Apparao</t>
  </si>
  <si>
    <t>Gedam Pedhi Raju</t>
  </si>
  <si>
    <t>Botta Appalaraju</t>
  </si>
  <si>
    <t>Nagubabu Mamidi</t>
  </si>
  <si>
    <t>Ramana Eegala</t>
  </si>
  <si>
    <t>Egala Devulu</t>
  </si>
  <si>
    <t>Contested Sarpanch</t>
  </si>
  <si>
    <t>Egala Ganga Venkata Satish</t>
  </si>
  <si>
    <t>Egala Ravi Kumar</t>
  </si>
  <si>
    <t>Yadla Satyanarayana</t>
  </si>
  <si>
    <t>Pasagadugula Nageswararao</t>
  </si>
  <si>
    <t>Guthurthi Nageswararo</t>
  </si>
  <si>
    <t xml:space="preserve">Dugaraju Narayana </t>
  </si>
  <si>
    <t>Present MPTC</t>
  </si>
  <si>
    <t>Gundem Chenchubabu</t>
  </si>
  <si>
    <t>L Venkata Satyanarayana</t>
  </si>
  <si>
    <t>Sivaji Bachala</t>
  </si>
  <si>
    <t>Sri Venkata Lova Prasad Bachala</t>
  </si>
  <si>
    <t>Venkataramana Jarta</t>
  </si>
  <si>
    <t>Basra Veera Venkata Nagendra</t>
  </si>
  <si>
    <t>State committee member</t>
  </si>
  <si>
    <t>sarpanch</t>
  </si>
  <si>
    <t>Dwarapudi Veerabrahmanandham</t>
  </si>
  <si>
    <t>Ex-MPTC,booth community member</t>
  </si>
  <si>
    <t>Vishwanadhula Chakra Rao</t>
  </si>
  <si>
    <t>Mediboena Nagarjuna</t>
  </si>
  <si>
    <t>Ganiraju  Rokkala</t>
  </si>
  <si>
    <t>600 votes</t>
  </si>
  <si>
    <t xml:space="preserve">P V V S V Prasad </t>
  </si>
  <si>
    <t>Mekala Satyanarayana</t>
  </si>
  <si>
    <t>80/ Votes</t>
  </si>
  <si>
    <t>Juggaraju Narayana</t>
  </si>
  <si>
    <t>Pakkala Rambabu</t>
  </si>
  <si>
    <t>Kola Venkataramana</t>
  </si>
  <si>
    <t>Political Leader</t>
  </si>
  <si>
    <t>Gummuluri Nagavenkata Ramana</t>
  </si>
  <si>
    <t>Konam Venkateshwar Rao</t>
  </si>
  <si>
    <t xml:space="preserve">Nammi Krishna </t>
  </si>
  <si>
    <t>Active Cadre</t>
  </si>
  <si>
    <t xml:space="preserve">Pailvela Venkata Subba Rao </t>
  </si>
  <si>
    <t>Kakinada</t>
  </si>
  <si>
    <t>Thata Pathri Dorababu</t>
  </si>
  <si>
    <t>Amalapurapu Durga Prasad</t>
  </si>
  <si>
    <t>Active person</t>
  </si>
  <si>
    <t xml:space="preserve">Anusuri Govind </t>
  </si>
  <si>
    <t xml:space="preserve">Geethu  Srinu </t>
  </si>
  <si>
    <t xml:space="preserve">Penke Mallika </t>
  </si>
  <si>
    <t xml:space="preserve">Husband Ward Member </t>
  </si>
  <si>
    <t xml:space="preserve">Esala Laxmi </t>
  </si>
  <si>
    <t xml:space="preserve">Pilli Bhaskaramma </t>
  </si>
  <si>
    <t xml:space="preserve">Narala Venkat Ramana </t>
  </si>
  <si>
    <t xml:space="preserve">Ex- Vice Sarpanch </t>
  </si>
  <si>
    <t xml:space="preserve">Girasala Srinivas </t>
  </si>
  <si>
    <t>Ravula Prasad</t>
  </si>
  <si>
    <t>2000votes</t>
  </si>
  <si>
    <t>Elugubandla Surya Naryana Murthy</t>
  </si>
  <si>
    <t>Ex-PAC</t>
  </si>
  <si>
    <t>Jaya Ramakrishna</t>
  </si>
  <si>
    <t>Chainam Venkateswrao</t>
  </si>
  <si>
    <t>Rauola Satyanarayan</t>
  </si>
  <si>
    <t>Velugubantla Naraiah</t>
  </si>
  <si>
    <t>Veeranagaswararao Velugubantla</t>
  </si>
  <si>
    <t>350votes</t>
  </si>
  <si>
    <t>Pothala Lova Prasad</t>
  </si>
  <si>
    <t xml:space="preserve">Pyla Govind </t>
  </si>
  <si>
    <t>Wife MPTC</t>
  </si>
  <si>
    <t xml:space="preserve">Gamada Yesu Babu </t>
  </si>
  <si>
    <t>Adabala Subbarayudu</t>
  </si>
  <si>
    <t>Husband of Sarpanch</t>
  </si>
  <si>
    <t>Kanna Koteswarao</t>
  </si>
  <si>
    <t>Sachivalayam convenor</t>
  </si>
  <si>
    <t>Patamsetti Murali Krishna</t>
  </si>
  <si>
    <t xml:space="preserve">Alla Shiva Babu </t>
  </si>
  <si>
    <t>Village Committee President</t>
  </si>
  <si>
    <t xml:space="preserve">Pandi Veera Venkata Satya Narayana </t>
  </si>
  <si>
    <t xml:space="preserve">YSRCP Active member </t>
  </si>
  <si>
    <t xml:space="preserve">A Radha Krishna </t>
  </si>
  <si>
    <t xml:space="preserve">Vice President </t>
  </si>
  <si>
    <t>Bachala Doraiah</t>
  </si>
  <si>
    <t xml:space="preserve">Kopireddy Raja </t>
  </si>
  <si>
    <t xml:space="preserve">Yesu Babu </t>
  </si>
  <si>
    <t xml:space="preserve">Kopireddy Radha Krishna </t>
  </si>
  <si>
    <t>Saladi Thata Ji</t>
  </si>
  <si>
    <t>Yella Subbarao</t>
  </si>
  <si>
    <t>Penke Sri Lakshmi</t>
  </si>
  <si>
    <t>Rampada Rambabu</t>
  </si>
  <si>
    <t>Redipalli Ramesh</t>
  </si>
  <si>
    <t>State Member,Zilla Parshith President,Leader</t>
  </si>
  <si>
    <t>Beaset Appalaraju</t>
  </si>
  <si>
    <t>Neerukonda Ramakumari Satyanarayana</t>
  </si>
  <si>
    <t>Bassa Mahalakshmi Prasad</t>
  </si>
  <si>
    <t>Mairala Kanka Rao</t>
  </si>
  <si>
    <t>Boddu Lakshmana Swami</t>
  </si>
  <si>
    <t>Neerukonda Arjuna Rao</t>
  </si>
  <si>
    <t>Kanchumarthi Katma Swamy</t>
  </si>
  <si>
    <t>Gundelli Chinni</t>
  </si>
  <si>
    <t>Janapa Redyy Subba Rao</t>
  </si>
  <si>
    <t>Market Chairman</t>
  </si>
  <si>
    <t>Veera Badhrarao</t>
  </si>
  <si>
    <t>Head Master</t>
  </si>
  <si>
    <t>Bindi Bhuvaneswari</t>
  </si>
  <si>
    <t xml:space="preserve">Konapareddy Swamy </t>
  </si>
  <si>
    <t xml:space="preserve">Conviner </t>
  </si>
  <si>
    <t>360 votes</t>
  </si>
  <si>
    <t>Chedhada Pedharaju</t>
  </si>
  <si>
    <t>Sirikoti Raju</t>
  </si>
  <si>
    <t>Nakkireddy Appanayudu</t>
  </si>
  <si>
    <t>386 votes</t>
  </si>
  <si>
    <t>K.Shankar</t>
  </si>
  <si>
    <t>Jatla Viajy Rambabu</t>
  </si>
  <si>
    <t>Vijavireddy Ramesh</t>
  </si>
  <si>
    <t xml:space="preserve">Kothem Koti </t>
  </si>
  <si>
    <t>Ex Sarpnch</t>
  </si>
  <si>
    <t>Chikala Subbarao</t>
  </si>
  <si>
    <t>3000votes</t>
  </si>
  <si>
    <t>Akula Rambabu</t>
  </si>
  <si>
    <t>leader</t>
  </si>
  <si>
    <t>Gandi Venkateswararao</t>
  </si>
  <si>
    <t>2000vots</t>
  </si>
  <si>
    <t>Ungarala Rambabu</t>
  </si>
  <si>
    <t>State Farmer President</t>
  </si>
  <si>
    <t>Badampudi Prakash</t>
  </si>
  <si>
    <t>Pati Rambabu</t>
  </si>
  <si>
    <t>Dasari Krishna</t>
  </si>
  <si>
    <t>Ijjapureddy Venkateswarlu</t>
  </si>
  <si>
    <t>Chakravarthi Jagarapu</t>
  </si>
  <si>
    <t>Akkula Subrmanyam</t>
  </si>
  <si>
    <t>Egulaiah Tekumudi</t>
  </si>
  <si>
    <t>Srinivas Gorrela</t>
  </si>
  <si>
    <t>Dsaari Nagavishnu</t>
  </si>
  <si>
    <t>Thirumularaju Krishnaraju</t>
  </si>
  <si>
    <t>Eswarao</t>
  </si>
  <si>
    <t>Kollu Ramakrishna</t>
  </si>
  <si>
    <t>Ex-Vice president</t>
  </si>
  <si>
    <t>Kamela Durga Prasad</t>
  </si>
  <si>
    <t>Booth Committee Member</t>
  </si>
  <si>
    <t>Venkatteswarao</t>
  </si>
  <si>
    <t>Booth Committee Member,Sarpanch</t>
  </si>
  <si>
    <t>Samidha Kondal Rao</t>
  </si>
  <si>
    <t>MPTC(wife)</t>
  </si>
  <si>
    <t>Yella Apparao</t>
  </si>
  <si>
    <t xml:space="preserve">Manipalli Ram Babu </t>
  </si>
  <si>
    <t>Pantham Babu</t>
  </si>
  <si>
    <t>Kusireddy Rambabu</t>
  </si>
  <si>
    <t>Political leader</t>
  </si>
  <si>
    <t>Yella Ramana</t>
  </si>
  <si>
    <t>Thiri Devi</t>
  </si>
  <si>
    <t>Galla Krishna</t>
  </si>
  <si>
    <t>MPTC leader</t>
  </si>
  <si>
    <t>Bala Subrayamanyam</t>
  </si>
  <si>
    <t>Nandipathi Sathibabu</t>
  </si>
  <si>
    <t>Nandithapathi Srinu</t>
  </si>
  <si>
    <t>Venna Chandranna</t>
  </si>
  <si>
    <t>Main leader</t>
  </si>
  <si>
    <t>Bogarappu Ramana Reddy</t>
  </si>
  <si>
    <t>Independent</t>
  </si>
  <si>
    <t>V Nikitha</t>
  </si>
  <si>
    <t>Gopi Krishna</t>
  </si>
  <si>
    <t>Husband of Nikitha</t>
  </si>
  <si>
    <t>Durga Reddy</t>
  </si>
  <si>
    <t>Chinthapelli.Chandra Reddy</t>
  </si>
  <si>
    <t>Durgareddy Muppidi</t>
  </si>
  <si>
    <t>Gangadhararao Deshnidi</t>
  </si>
  <si>
    <t>Sathyanarayan Karri</t>
  </si>
  <si>
    <t>Somaraju Vangalapudi</t>
  </si>
  <si>
    <t>K Durga Bhavani</t>
  </si>
  <si>
    <t>Bhapa Bhupalapatnam</t>
  </si>
  <si>
    <t>Nallamali Ravi Shankar</t>
  </si>
  <si>
    <t>Padala Satyanaryana</t>
  </si>
  <si>
    <t xml:space="preserve">Mummadi Suri Babu </t>
  </si>
  <si>
    <t>Ss Varma</t>
  </si>
  <si>
    <t>Durdu Nagu</t>
  </si>
  <si>
    <t>Thodisetty Appana Dora</t>
  </si>
  <si>
    <t>Ex- Sarpanch</t>
  </si>
  <si>
    <t>Madhava Rao</t>
  </si>
  <si>
    <t xml:space="preserve">Dakala Veera Bhadhararao </t>
  </si>
  <si>
    <t>Appanna Dora Chodisetty</t>
  </si>
  <si>
    <t>Krishnarao Rayavarapu</t>
  </si>
  <si>
    <t xml:space="preserve">Siddu Satti Babu </t>
  </si>
  <si>
    <t>Chikkala Nooka Raju</t>
  </si>
  <si>
    <t xml:space="preserve">Thatikonda Atchi Raju </t>
  </si>
  <si>
    <t>YSRCP Mandal President, PAC Chairman</t>
  </si>
  <si>
    <t>Dammala Laxman Rao</t>
  </si>
  <si>
    <t>Won as Sarpanch in TDP later defected to YSRCP</t>
  </si>
  <si>
    <t>Sanyasi Naidu</t>
  </si>
  <si>
    <t>Arige  Sivaji</t>
  </si>
  <si>
    <t>Durgabaabu Muthyala</t>
  </si>
  <si>
    <t>Veerabhadrar Palakurthi</t>
  </si>
  <si>
    <t>Veeravenkatrao Bikkina</t>
  </si>
  <si>
    <t>Appalakonda Katari</t>
  </si>
  <si>
    <t>Appanna Arige</t>
  </si>
  <si>
    <t>Sathesh Kantipudi</t>
  </si>
  <si>
    <t>Sivayya Dara</t>
  </si>
  <si>
    <t>Vishnumurthy Mungar</t>
  </si>
  <si>
    <t>Katepalli Veerabadrarao</t>
  </si>
  <si>
    <t>oc</t>
  </si>
  <si>
    <t>Bathula Veerababu</t>
  </si>
  <si>
    <t>MPTC-2</t>
  </si>
  <si>
    <t>Bikkara Ramana</t>
  </si>
  <si>
    <t>MPTC-1</t>
  </si>
  <si>
    <t>Chinthapalli Veerabadra Rao</t>
  </si>
  <si>
    <t>Village president,Mandal BC leader</t>
  </si>
  <si>
    <t>Domma Srinu</t>
  </si>
  <si>
    <t xml:space="preserve">Bali Reddy Srinu </t>
  </si>
  <si>
    <t>Booth convener</t>
  </si>
  <si>
    <t>Chandrarao Kavuluri</t>
  </si>
  <si>
    <t>Ella Satyanarayana</t>
  </si>
  <si>
    <t>Koteswarao Bolli</t>
  </si>
  <si>
    <t>Pothula Veera Arjun</t>
  </si>
  <si>
    <t>Prabhakar Bitra</t>
  </si>
  <si>
    <t>Rajashekhar Aakula</t>
  </si>
  <si>
    <t>Active Memeber</t>
  </si>
  <si>
    <t>Ramakrishna Aji</t>
  </si>
  <si>
    <t>Booth Convenerr</t>
  </si>
  <si>
    <t>Shiva Talaari</t>
  </si>
  <si>
    <t>Srinivasarao Karri</t>
  </si>
  <si>
    <t>Vasu Banttu</t>
  </si>
  <si>
    <t>Veera Bhadram Valla Bhashetty</t>
  </si>
  <si>
    <t xml:space="preserve">Bathula Sunil </t>
  </si>
  <si>
    <t>Chandrarao Vundavalli</t>
  </si>
  <si>
    <t xml:space="preserve">Chidipi Bhramaji </t>
  </si>
  <si>
    <t>Durgarao Pothula</t>
  </si>
  <si>
    <t>Harikrishna Masina</t>
  </si>
  <si>
    <t>Marikurthi Mahesh</t>
  </si>
  <si>
    <t>Rajarao Sunkavilli</t>
  </si>
  <si>
    <t xml:space="preserve">Karri Veera Swamy </t>
  </si>
  <si>
    <t>Vasantha Kumar</t>
  </si>
  <si>
    <t>Dora Babu</t>
  </si>
  <si>
    <t>Raja Rao</t>
  </si>
  <si>
    <t>Adivishnu Maheswararao Palapilli</t>
  </si>
  <si>
    <t>Mailavarapu Srinivas</t>
  </si>
  <si>
    <t>Pattabhiramaiah Vempati</t>
  </si>
  <si>
    <t>Vadisala  Veerababu</t>
  </si>
  <si>
    <t>Venkatesh Kanukonala</t>
  </si>
  <si>
    <t>Polaiah Darballa</t>
  </si>
  <si>
    <t>Ramesh Kurukuri</t>
  </si>
  <si>
    <t>Sattibabu Addanki</t>
  </si>
  <si>
    <t>Shrinu Karukonda</t>
  </si>
  <si>
    <t>Veeravenkatchowdri Karukuri</t>
  </si>
  <si>
    <t>Devara Thatharao</t>
  </si>
  <si>
    <t>Nakka Chinnsrinu</t>
  </si>
  <si>
    <t>Satyannarayana Polina</t>
  </si>
  <si>
    <t>Gortha Prasad</t>
  </si>
  <si>
    <t>Ambaabu Singaluri</t>
  </si>
  <si>
    <t>Appa Rao Nakka</t>
  </si>
  <si>
    <t>Mahalakshmi  Bokam</t>
  </si>
  <si>
    <t>Malleshwarrao  Bachchu</t>
  </si>
  <si>
    <t>Narashimha Rao Miriyala</t>
  </si>
  <si>
    <t>Nookaraju Marchi</t>
  </si>
  <si>
    <t>Prasad Boora</t>
  </si>
  <si>
    <t>Veeraraju Sunkavilli</t>
  </si>
  <si>
    <t>Boddaraju Ganapathi Raju</t>
  </si>
  <si>
    <t>Guntapalli Somulu</t>
  </si>
  <si>
    <t>Marla Venkata Ratnam</t>
  </si>
  <si>
    <t>Shrinu Bonda</t>
  </si>
  <si>
    <t>Srinivasarao Appana</t>
  </si>
  <si>
    <t xml:space="preserve">Gollavelli Ramakrishna </t>
  </si>
  <si>
    <t>Baburao</t>
  </si>
  <si>
    <t>District General Secratary</t>
  </si>
  <si>
    <t>Allam Kapu</t>
  </si>
  <si>
    <t>Land Lord</t>
  </si>
  <si>
    <t xml:space="preserve">Balu </t>
  </si>
  <si>
    <t>Guthula Gangadhar</t>
  </si>
  <si>
    <t>Kunche Raja</t>
  </si>
  <si>
    <t>Ycp main leader, zilla secretary</t>
  </si>
  <si>
    <t>Devara Veerababu</t>
  </si>
  <si>
    <t>Anand Kumar Dasari</t>
  </si>
  <si>
    <t>Narayanarao Medish</t>
  </si>
  <si>
    <t>Veera Venkata Ravibabu Chelle</t>
  </si>
  <si>
    <t xml:space="preserve">Ginjala  Prasad </t>
  </si>
  <si>
    <t>Kotti Sivaramakrishna</t>
  </si>
  <si>
    <t>Mangina Vistnu</t>
  </si>
  <si>
    <t>Pothuraju Pilli</t>
  </si>
  <si>
    <t>Ramakrishna Kothapalli</t>
  </si>
  <si>
    <t>Veerabhadra R Tamatam</t>
  </si>
  <si>
    <t>Venkatrao Amaradhi</t>
  </si>
  <si>
    <t xml:space="preserve">K Rama Arjunudu </t>
  </si>
  <si>
    <t>Endla Sattibabu</t>
  </si>
  <si>
    <t>Pulapukoru  Srinu</t>
  </si>
  <si>
    <t>Sukavelli Kameswarao</t>
  </si>
  <si>
    <t>Tegada Rambabu</t>
  </si>
  <si>
    <t>Vvsathyanarayan Maddipudi</t>
  </si>
  <si>
    <t>Bhaskar R Muthyala</t>
  </si>
  <si>
    <t>Baldedu Veera Venkata Satya Narayana</t>
  </si>
  <si>
    <t>Krishan Jalatarapu</t>
  </si>
  <si>
    <t>Prasad Godata</t>
  </si>
  <si>
    <t>Sathyashriniva Kurukuri</t>
  </si>
  <si>
    <t>Varprasad Undavilli</t>
  </si>
  <si>
    <t>Vemagiri Chandrarao</t>
  </si>
  <si>
    <t xml:space="preserve"> Yegi Chinnababu</t>
  </si>
  <si>
    <t>Amara Sathanarayana</t>
  </si>
  <si>
    <t>Aurunababu Pitta</t>
  </si>
  <si>
    <t>Satyanandam Gurrala</t>
  </si>
  <si>
    <t>Venkateshwararao Cola</t>
  </si>
  <si>
    <t>Pillala Ramesh</t>
  </si>
  <si>
    <t>Nagaswararao Yerramsetty</t>
  </si>
  <si>
    <t>Rambabu Dudi</t>
  </si>
  <si>
    <t>Venkatapathi Totta</t>
  </si>
  <si>
    <t>Redna Eswarao</t>
  </si>
  <si>
    <t>Apparao Salapu</t>
  </si>
  <si>
    <t>Nukannadora Kanusu</t>
  </si>
  <si>
    <t>Pentakoti Ganapathirao</t>
  </si>
  <si>
    <t>Mangaraju Ramakrishna</t>
  </si>
  <si>
    <t>Kulaparthy Veera Ventakata Satyanarayna</t>
  </si>
  <si>
    <t>Sarpanch, Ex-MPTC</t>
  </si>
  <si>
    <t>Gunupe Bharath</t>
  </si>
  <si>
    <t>CSC Sangam president</t>
  </si>
  <si>
    <t>Dasari Ramesh</t>
  </si>
  <si>
    <t>Alladi Veerapanduranga</t>
  </si>
  <si>
    <t>Ashkanthala Laxman Murthy Raju</t>
  </si>
  <si>
    <t>Gangaraju Yarra</t>
  </si>
  <si>
    <t>Goudu Murali Krishna</t>
  </si>
  <si>
    <t>Karasu Sivaramakrishna</t>
  </si>
  <si>
    <t>Kondrapu Srinivasurao</t>
  </si>
  <si>
    <t>Marpindi Rambabu</t>
  </si>
  <si>
    <t>Magapu Kondayya</t>
  </si>
  <si>
    <t>Nagmurlikrishna Padala</t>
  </si>
  <si>
    <t>Pallela Sathyanarayana</t>
  </si>
  <si>
    <t>Raju Chigurupalli</t>
  </si>
  <si>
    <t>Raju Chikatla</t>
  </si>
  <si>
    <t>Rambabu Chavvakula</t>
  </si>
  <si>
    <t>Ratnajirao Bhiram</t>
  </si>
  <si>
    <t>Shrinivas Anduboyina</t>
  </si>
  <si>
    <t>Srinivasarao Kondapalli</t>
  </si>
  <si>
    <t>Vallabharaidu Sunkara</t>
  </si>
  <si>
    <t>Vara Prasad Posina</t>
  </si>
  <si>
    <t xml:space="preserve">Town President </t>
  </si>
  <si>
    <t>Varaprasad Meesala</t>
  </si>
  <si>
    <t>Venkata Durga Varaprasad Gubbala</t>
  </si>
  <si>
    <t>Venkateshwararao Srikakulapu</t>
  </si>
  <si>
    <t>Vadusula Nagalu</t>
  </si>
  <si>
    <t>Party Convernor</t>
  </si>
  <si>
    <t>Chinna Raju Kaari</t>
  </si>
  <si>
    <t>Kanakaraju Pilli</t>
  </si>
  <si>
    <t>Gundina Rambabu</t>
  </si>
  <si>
    <t>Pirla Nageswarao</t>
  </si>
  <si>
    <t>Satyanarayana Pilli</t>
  </si>
  <si>
    <t>Srinu Aadireddy</t>
  </si>
  <si>
    <t>Venkatakrishna Masiboyina</t>
  </si>
  <si>
    <t>Mummana Arjunarao</t>
  </si>
  <si>
    <t>Simbothula Sivaji</t>
  </si>
  <si>
    <t>Snapathi Surya Prakasam</t>
  </si>
  <si>
    <t>Amar Vemula</t>
  </si>
  <si>
    <t>Gangadhar Balasa</t>
  </si>
  <si>
    <t>Nalmharaju Salapu</t>
  </si>
  <si>
    <t>Raju Dindi</t>
  </si>
  <si>
    <t>Sreenivasarao Pujula</t>
  </si>
  <si>
    <t>Sri Satya Phaneendhra Kishore Adapaa</t>
  </si>
  <si>
    <t>V V Satyanarayana Vatsavayi</t>
  </si>
  <si>
    <t>Venkateshulu Gondela</t>
  </si>
  <si>
    <t>Venkateshwararao Pirla</t>
  </si>
  <si>
    <t>Venkatrao Muni</t>
  </si>
  <si>
    <t>Dhindi Venkateswarlu</t>
  </si>
  <si>
    <t>Aananda Babu Motaparti</t>
  </si>
  <si>
    <t>Govindharaju Andiboyina</t>
  </si>
  <si>
    <t>Kodanda Rama Prabhu Mandiga</t>
  </si>
  <si>
    <t>Raju Kongarapu</t>
  </si>
  <si>
    <t>Shrinu Dibba</t>
  </si>
  <si>
    <t>Govindarajulu Marishe</t>
  </si>
  <si>
    <t>Kalyanam Pallela</t>
  </si>
  <si>
    <t xml:space="preserve">Party President </t>
  </si>
  <si>
    <t>Mahalaxmi Pallela</t>
  </si>
  <si>
    <t>Nagaswararao Padala</t>
  </si>
  <si>
    <t>Pandava Marise</t>
  </si>
  <si>
    <t>Raju Rachapalle</t>
  </si>
  <si>
    <t>Shrinu Gorrepalli</t>
  </si>
  <si>
    <t>Apikonda Ramana</t>
  </si>
  <si>
    <t>Gorumuchu Chittibabu</t>
  </si>
  <si>
    <t>Nukolli Venkataramana</t>
  </si>
  <si>
    <t>Pallela Nagababu</t>
  </si>
  <si>
    <t>Kasireddy Ravireddy</t>
  </si>
  <si>
    <t>Chandrarao Ganta</t>
  </si>
  <si>
    <t>Gangadharam Dakarpu</t>
  </si>
  <si>
    <t>Murli Narala</t>
  </si>
  <si>
    <t>Nageshwara R Gurturti</t>
  </si>
  <si>
    <t>Raghavulu Pappu</t>
  </si>
  <si>
    <t>Raju Goli</t>
  </si>
  <si>
    <t>Shivramakrishan Gullapalli</t>
  </si>
  <si>
    <t>Venkateshwararao Sathyam</t>
  </si>
  <si>
    <t xml:space="preserve">Jajula Venkateswar Rao </t>
  </si>
  <si>
    <t>Palaki Venkata Ramana</t>
  </si>
  <si>
    <t>Pantham Thrimurthulu</t>
  </si>
  <si>
    <t>Vanduri Gapi Bhaska</t>
  </si>
  <si>
    <t>Harikrishna Varasala</t>
  </si>
  <si>
    <t>Nageswarao Chintala</t>
  </si>
  <si>
    <t>Shrinu Badthiboina</t>
  </si>
  <si>
    <t>Veerayyadora Jutta</t>
  </si>
  <si>
    <t>Venkatapathi Nagam</t>
  </si>
  <si>
    <t>Buddireddy Damodar Reddy</t>
  </si>
  <si>
    <t xml:space="preserve">Jutta Suresh </t>
  </si>
  <si>
    <t>Vakapalli Suribabu</t>
  </si>
  <si>
    <t>Katamaswamy Kotari</t>
  </si>
  <si>
    <t>Sathyanarayan Koduri</t>
  </si>
  <si>
    <t>Sreenivasarao Chenamsetti</t>
  </si>
  <si>
    <t>Veerraju Andiboyina</t>
  </si>
  <si>
    <t>Venkateshulu Bonam</t>
  </si>
  <si>
    <t>Rayuda Arjunna</t>
  </si>
  <si>
    <t>Eashwarar Chintkool</t>
  </si>
  <si>
    <t>Govindu Raidu</t>
  </si>
  <si>
    <t>Veera Venkata Ramana Rayudu</t>
  </si>
  <si>
    <t>Durgaprasad Kammila</t>
  </si>
  <si>
    <t>Enkateshwararao Kammila</t>
  </si>
  <si>
    <t>Esu Dharmaraju Ramireddy</t>
  </si>
  <si>
    <t>Ramireddy Rambabu</t>
  </si>
  <si>
    <t>Durga Prasad Thota</t>
  </si>
  <si>
    <t>Durgaprasad Padaala</t>
  </si>
  <si>
    <t>Gangadhar Muvvala</t>
  </si>
  <si>
    <t>Parameshvarr Yarra</t>
  </si>
  <si>
    <t>Rambabu Mulki</t>
  </si>
  <si>
    <t>TDP Main leader</t>
  </si>
  <si>
    <t>Padala Dharmaraju</t>
  </si>
  <si>
    <t>TDP Ex-sarpanch</t>
  </si>
  <si>
    <t>Parameswara Rao</t>
  </si>
  <si>
    <t>Padala Balaji</t>
  </si>
  <si>
    <t>Bala Naga</t>
  </si>
  <si>
    <t>Cheepurupalli Raghava</t>
  </si>
  <si>
    <t>Padala Vishnumurthy</t>
  </si>
  <si>
    <t>Gandikota Paramesh</t>
  </si>
  <si>
    <t xml:space="preserve">Padala Nukaraju </t>
  </si>
  <si>
    <t>Chepurupalli Venkata Ramana</t>
  </si>
  <si>
    <t>Nakka Veera Venkata Rao</t>
  </si>
  <si>
    <t>Ch.Sathibabu</t>
  </si>
  <si>
    <t>Appanna Pappala</t>
  </si>
  <si>
    <t>Lakshmanarao Kundrapu</t>
  </si>
  <si>
    <t>Nagabhushanar Jyotula</t>
  </si>
  <si>
    <t>Nagavenkatsatyagurraju</t>
  </si>
  <si>
    <t>Sathya Naraayana Kaparapu</t>
  </si>
  <si>
    <t>Nakireddy Eswararao</t>
  </si>
  <si>
    <t xml:space="preserve">Nakireddy Nagaraju </t>
  </si>
  <si>
    <t>Kannarao Chintal</t>
  </si>
  <si>
    <t>Satyanarayana Adapa</t>
  </si>
  <si>
    <t>Shrinu Raidu</t>
  </si>
  <si>
    <t>Srinu Sainam</t>
  </si>
  <si>
    <t>Appalaraju Vaibhogula</t>
  </si>
  <si>
    <t>Chandrasehar Sambathula</t>
  </si>
  <si>
    <t>Chidiri Sattibabu</t>
  </si>
  <si>
    <t>Chiranjeevi Nandla</t>
  </si>
  <si>
    <t>Chittimani  Satyanarayana</t>
  </si>
  <si>
    <t>Esuraju Palivela</t>
  </si>
  <si>
    <t>Ganesh Nemari</t>
  </si>
  <si>
    <t xml:space="preserve">Gatteti Raju </t>
  </si>
  <si>
    <t>Gopala Krishna Bachu</t>
  </si>
  <si>
    <t>Govindareddy Vaka</t>
  </si>
  <si>
    <t>Kapavarapu Venkataraamana</t>
  </si>
  <si>
    <t>Kishor Kumar Thummala</t>
  </si>
  <si>
    <t>Kosuri Sathibabu</t>
  </si>
  <si>
    <t>Kudhupa Murali Krishna</t>
  </si>
  <si>
    <t>Maheshwarar Peela</t>
  </si>
  <si>
    <t>Nagulapalli Raju</t>
  </si>
  <si>
    <t>Nilapalli Apparao</t>
  </si>
  <si>
    <t>Paalubaabu Mukka</t>
  </si>
  <si>
    <t>Paidi Sattibabu Siva</t>
  </si>
  <si>
    <t>Rajanala Laxmanrao</t>
  </si>
  <si>
    <t>Ramanabaabu Risu</t>
  </si>
  <si>
    <t>Rambabu Pandranagi</t>
  </si>
  <si>
    <t>Sathyanarayan Degala</t>
  </si>
  <si>
    <t>Satyannarayana Koduri</t>
  </si>
  <si>
    <t>Satyaveni Geddada</t>
  </si>
  <si>
    <t>Shrinu Kondrotu</t>
  </si>
  <si>
    <t>Vaibogula Srinivas</t>
  </si>
  <si>
    <t>Vallebasetti Suresh</t>
  </si>
  <si>
    <t>Veerababu Gorrela</t>
  </si>
  <si>
    <t>V V V S  Rama Jogaaraavu Vemulkonda</t>
  </si>
  <si>
    <t>Vishnu Bandaru</t>
  </si>
  <si>
    <t>Ravuri  Suri Babu</t>
  </si>
  <si>
    <t>Dorababu Yallapu</t>
  </si>
  <si>
    <t>Boddireddy Chakra Rao</t>
  </si>
  <si>
    <t>Raju Burri</t>
  </si>
  <si>
    <t>Bangaru Siva Sekar Rao</t>
  </si>
  <si>
    <t>Kalleti Chinna Musalayya</t>
  </si>
  <si>
    <t>Musireddy Siva</t>
  </si>
  <si>
    <t>Paila Uday</t>
  </si>
  <si>
    <t xml:space="preserve">Pragadareddy Durgaprasad  </t>
  </si>
  <si>
    <t>Settipalli Durgaprasad</t>
  </si>
  <si>
    <t>Tholati  Veerababu</t>
  </si>
  <si>
    <t>Uggina Gangaraju</t>
  </si>
  <si>
    <t>Varupula Raja</t>
  </si>
  <si>
    <t>Madhu Damrsingu</t>
  </si>
  <si>
    <t>Nageswara Rao Muasireddi</t>
  </si>
  <si>
    <t>Ravishankar Chittedi</t>
  </si>
  <si>
    <t>Sattibabu Surimilli</t>
  </si>
  <si>
    <t>Simhadri Sunkara</t>
  </si>
  <si>
    <t>Sivashankar Venna</t>
  </si>
  <si>
    <t>Srinu Sunkara</t>
  </si>
  <si>
    <t>Suribabu Pallapati</t>
  </si>
  <si>
    <t>Suryanarayana Kante</t>
  </si>
  <si>
    <t>Varahalababu Mondi</t>
  </si>
  <si>
    <t>Mundra Radhakrishna</t>
  </si>
  <si>
    <t>Esu Togar</t>
  </si>
  <si>
    <t>Rama Krishna Kanavareddy</t>
  </si>
  <si>
    <t>Shivramakrishan Shiyadula</t>
  </si>
  <si>
    <t>Shrinu Kondapudi</t>
  </si>
  <si>
    <t>Simhachalam Shiyyadula</t>
  </si>
  <si>
    <t>Ramakrishna Vegi</t>
  </si>
  <si>
    <t>Sathyanarayan Pentakota</t>
  </si>
  <si>
    <t>Suman Boddeti</t>
  </si>
  <si>
    <t>Venkateshwararao Dadi</t>
  </si>
  <si>
    <t>Kurlavenkatraju</t>
  </si>
  <si>
    <t>Polimera Gangadar</t>
  </si>
  <si>
    <t>Erakraju Boddu</t>
  </si>
  <si>
    <t>Ramudu Potru</t>
  </si>
  <si>
    <t>Suryanarain Karnati</t>
  </si>
  <si>
    <t>Anjaneyulu Reddi</t>
  </si>
  <si>
    <t>Apparao Kaapvarapu</t>
  </si>
  <si>
    <t>Nakkireddy Nageswarao</t>
  </si>
  <si>
    <t>Prakasam Kaapvarapu</t>
  </si>
  <si>
    <t>Kaparapu  Ramana</t>
  </si>
  <si>
    <t>Rangula Erakayya</t>
  </si>
  <si>
    <t>Party Secretary</t>
  </si>
  <si>
    <t>Madhireddy Chakra Rao</t>
  </si>
  <si>
    <t>Raju Babu</t>
  </si>
  <si>
    <t>Anandh Rao</t>
  </si>
  <si>
    <t>Ramanna Dora</t>
  </si>
  <si>
    <t>Siribolu Suryarao</t>
  </si>
  <si>
    <t>Kanchi Krishnarjuna</t>
  </si>
  <si>
    <t>Sathyanarayan Ramishetti</t>
  </si>
  <si>
    <t>Sivaveeralovaraju Ungarala</t>
  </si>
  <si>
    <t>Venkataramana Ungrala</t>
  </si>
  <si>
    <t>Bathula Appalaraju</t>
  </si>
  <si>
    <t xml:space="preserve">Chandhaka Apparaju </t>
  </si>
  <si>
    <t>Durgaprasad Mummana</t>
  </si>
  <si>
    <t>Katamoswami  Bathula</t>
  </si>
  <si>
    <t>Kattamuri Bangaramu</t>
  </si>
  <si>
    <t>Kona  Mutyalarao</t>
  </si>
  <si>
    <t>Sangana Sattibabu</t>
  </si>
  <si>
    <t>Sanyasi R  Ganisetty</t>
  </si>
  <si>
    <t>Srinivasarao Nangana</t>
  </si>
  <si>
    <t>Venkateshwarrao Uppalapati</t>
  </si>
  <si>
    <t>Venugopal Reka</t>
  </si>
  <si>
    <t>Adabala Suryanarayana</t>
  </si>
  <si>
    <t>Kurri  Rajababu</t>
  </si>
  <si>
    <t>Mandapaka Venkatathathabaie</t>
  </si>
  <si>
    <t>Nookaraju Chaniboina</t>
  </si>
  <si>
    <t>Paparao Mandapaka</t>
  </si>
  <si>
    <t>Phakeer Adabala</t>
  </si>
  <si>
    <t>Suryanarain Mandapaka</t>
  </si>
  <si>
    <t>Venkateshwararao Mandapaka</t>
  </si>
  <si>
    <t>Gadi Srinu</t>
  </si>
  <si>
    <t>Sathyanarayan Vallepu</t>
  </si>
  <si>
    <t>Veerababu Appana</t>
  </si>
  <si>
    <t>Adubala Kondubabu</t>
  </si>
  <si>
    <t>Karanam Kotiswarao</t>
  </si>
  <si>
    <t>Veera Rama Reddy Ramalingaeswaraswami</t>
  </si>
  <si>
    <t>Babji Gontina</t>
  </si>
  <si>
    <t>Naga  Mouli Dora Garaga</t>
  </si>
  <si>
    <t xml:space="preserve">Karri Narayana Murty </t>
  </si>
  <si>
    <t>Karri Suri Babu</t>
  </si>
  <si>
    <t xml:space="preserve">Karri Suryanarayana Muthry </t>
  </si>
  <si>
    <t>Malluvalasala  Giribabu</t>
  </si>
  <si>
    <t>Patamsetti Applaraju</t>
  </si>
  <si>
    <t>Patamsetti Thammarao</t>
  </si>
  <si>
    <t>Nagaswararao Patamshetty</t>
  </si>
  <si>
    <t>Pedakapu Koppana</t>
  </si>
  <si>
    <t>Peddakapu Karnakula</t>
  </si>
  <si>
    <t>Suribabu Balukula</t>
  </si>
  <si>
    <t>Tammarao Patamshetty</t>
  </si>
  <si>
    <t>Tatabbai Marukurthi</t>
  </si>
  <si>
    <t xml:space="preserve">Pettalu Srinu </t>
  </si>
  <si>
    <t>Yalla Durgasatyanarayana</t>
  </si>
  <si>
    <t xml:space="preserve">Birisi Rajesh </t>
  </si>
  <si>
    <t xml:space="preserve">Neelam Polaraju </t>
  </si>
  <si>
    <t>Chittibabu Gudala</t>
  </si>
  <si>
    <t>Gangarao Molleti</t>
  </si>
  <si>
    <t>Narayanaravu Somu</t>
  </si>
  <si>
    <t>Suribabu Bhisetti</t>
  </si>
  <si>
    <t>Trimurtulu  Molleti</t>
  </si>
  <si>
    <t xml:space="preserve">Jenaki Gangadar </t>
  </si>
  <si>
    <t>Krupa Gangadhar Kottu</t>
  </si>
  <si>
    <t>Padmarajushekhar Neelam</t>
  </si>
  <si>
    <t>Ram Mohan Neelam</t>
  </si>
  <si>
    <t>Shivramakrishan Vulli</t>
  </si>
  <si>
    <t xml:space="preserve">Budda Siva Kumar </t>
  </si>
  <si>
    <t>Durgababu Alla</t>
  </si>
  <si>
    <t>Krishan Yadla</t>
  </si>
  <si>
    <t>Lakshmishiwaram Sarakanam</t>
  </si>
  <si>
    <t>Madhumohan Molleti</t>
  </si>
  <si>
    <t>Manikanta Swamy Maddala</t>
  </si>
  <si>
    <t>Naga Santhosh Pasagodugula</t>
  </si>
  <si>
    <t>Nagemdra Kalla</t>
  </si>
  <si>
    <t>Raj Kumar Saade</t>
  </si>
  <si>
    <t>Sai Ramakrishna Kotari</t>
  </si>
  <si>
    <t>Srimanarayana Aalla</t>
  </si>
  <si>
    <t>Suribabu Doddi</t>
  </si>
  <si>
    <t>V V Ramana Buddha</t>
  </si>
  <si>
    <t>Vasu Senapathi</t>
  </si>
  <si>
    <t>Vvsnstswarupa Kalla</t>
  </si>
  <si>
    <t>Kosanam Manikyam</t>
  </si>
  <si>
    <t>Durgaprasad Rayavarapu</t>
  </si>
  <si>
    <t>Durgarao Nakkana</t>
  </si>
  <si>
    <t>Nagabujji Abbireddi</t>
  </si>
  <si>
    <t>Sanapandi Satyanarayana</t>
  </si>
  <si>
    <t>Paparao Patam Setty</t>
  </si>
  <si>
    <t>Sheo Baabu Alla</t>
  </si>
  <si>
    <t>Subbarao Dadi</t>
  </si>
  <si>
    <t>Gode Yesubabu (Husband)</t>
  </si>
  <si>
    <t>hotel</t>
  </si>
  <si>
    <t>Pasupuleti Umamaheswarao</t>
  </si>
  <si>
    <t>Ganga Bhavano</t>
  </si>
  <si>
    <t>Rambabu</t>
  </si>
  <si>
    <t>Kollu Chandra Rao</t>
  </si>
  <si>
    <t>Rajashekhar Gode</t>
  </si>
  <si>
    <t>Srinivasarao Kakada</t>
  </si>
  <si>
    <t>Booth Committee</t>
  </si>
  <si>
    <t>Varaprasad Gode</t>
  </si>
  <si>
    <t>Gangamhesh Done</t>
  </si>
  <si>
    <t>Nookaraju Geddam</t>
  </si>
  <si>
    <t>Apparao Nagulapalle</t>
  </si>
  <si>
    <t>Badarinarayana Kanta</t>
  </si>
  <si>
    <t>Sreenivas Kanta</t>
  </si>
  <si>
    <t>Polineti Nageswarao</t>
  </si>
  <si>
    <t>Adhinthi Suri Babu</t>
  </si>
  <si>
    <t>Uradasu Rama Dora Babu</t>
  </si>
  <si>
    <t>Nakireddy Sudhakar</t>
  </si>
  <si>
    <t>Devabathula Suvarnaraju</t>
  </si>
  <si>
    <t>Vanaparthi Badra Rao</t>
  </si>
  <si>
    <t>M Pedhi Raju</t>
  </si>
  <si>
    <t>Kanuri Gangadhar Rao</t>
  </si>
  <si>
    <t>Somu Narayana Rao</t>
  </si>
  <si>
    <t>Gadikoti Nageswara Rao</t>
  </si>
  <si>
    <t>Nageswara Rao Namsani</t>
  </si>
  <si>
    <t xml:space="preserve"> Balaraju </t>
  </si>
  <si>
    <t xml:space="preserve"> Brahmanad</t>
  </si>
  <si>
    <t>Achanta Veeraju</t>
  </si>
  <si>
    <t>Adabala Chinnarao</t>
  </si>
  <si>
    <t xml:space="preserve">Adapa Varaprasad </t>
  </si>
  <si>
    <t>Amabati Bojjamma</t>
  </si>
  <si>
    <t>Balla Vistnu</t>
  </si>
  <si>
    <t>Basavanna Nayudu</t>
  </si>
  <si>
    <t>Bayyapu Paparao</t>
  </si>
  <si>
    <t>Bodha Srinu</t>
  </si>
  <si>
    <t xml:space="preserve">Ch Muthyala Rao </t>
  </si>
  <si>
    <t xml:space="preserve">Chandaro Srinu </t>
  </si>
  <si>
    <t>Chandhasi Chinnodu</t>
  </si>
  <si>
    <t>Chitta Lavaraju</t>
  </si>
  <si>
    <t>Chittiboena Siva Senkar</t>
  </si>
  <si>
    <t>Desinadi Suribabu</t>
  </si>
  <si>
    <t>Dhindu Baburao</t>
  </si>
  <si>
    <t xml:space="preserve">Domma Venkanna </t>
  </si>
  <si>
    <t xml:space="preserve">Dommedi Suribabu </t>
  </si>
  <si>
    <t>Dongara Balagana Eswarao</t>
  </si>
  <si>
    <t>Duvva Devidraju</t>
  </si>
  <si>
    <t>Ellapu Veerababu</t>
  </si>
  <si>
    <t>Ganchala Srinivas</t>
  </si>
  <si>
    <t>Gande Badrinad</t>
  </si>
  <si>
    <t>Gande Veeraju</t>
  </si>
  <si>
    <t>Gandham Vishnu</t>
  </si>
  <si>
    <t>Geddam Achtharamakrishna</t>
  </si>
  <si>
    <t>Godagula Kondababu</t>
  </si>
  <si>
    <t>Gundaa Brahmaji</t>
  </si>
  <si>
    <t>Kalaga Achiah</t>
  </si>
  <si>
    <t xml:space="preserve">Karri Sriramulu </t>
  </si>
  <si>
    <t>Kodugudla Srinivas</t>
  </si>
  <si>
    <t>Nandi Venkanna</t>
  </si>
  <si>
    <t>Mirapa Raju</t>
  </si>
  <si>
    <t>Mogili Naga Ganga Babu</t>
  </si>
  <si>
    <t>Nallasetti Suribabu</t>
  </si>
  <si>
    <t>Nandi Krishna Murty</t>
  </si>
  <si>
    <t>Palagala Yesubabu</t>
  </si>
  <si>
    <t>Palipi Reddy Kodhandaramulu</t>
  </si>
  <si>
    <t>Pallapu Srinu</t>
  </si>
  <si>
    <t xml:space="preserve">Pallasetti Srinu </t>
  </si>
  <si>
    <t>Pedhagada Laveraju</t>
  </si>
  <si>
    <t>Pila Suribabu</t>
  </si>
  <si>
    <t>Pindim Anand</t>
  </si>
  <si>
    <t>Raithu Yesubabu</t>
  </si>
  <si>
    <t>Ramanjiyula Janaki</t>
  </si>
  <si>
    <t>Rapeti Appala Dora</t>
  </si>
  <si>
    <t>Rapti Apparao</t>
  </si>
  <si>
    <t>Sammangi Nageswararao</t>
  </si>
  <si>
    <t>Sandaka Srinu</t>
  </si>
  <si>
    <t>Sappa Veera Venkataramana</t>
  </si>
  <si>
    <t>Sarakanam Ganesh</t>
  </si>
  <si>
    <t>Shanapati Satyanarayana</t>
  </si>
  <si>
    <t>Sidda Mohan</t>
  </si>
  <si>
    <t>Simma Apparao</t>
  </si>
  <si>
    <t>Simma Srinu</t>
  </si>
  <si>
    <t xml:space="preserve">Surapu Apparao </t>
  </si>
  <si>
    <t>Suribabu</t>
  </si>
  <si>
    <t>Surla Krishna Dora</t>
  </si>
  <si>
    <t>Thippani Umamaheshswarao</t>
  </si>
  <si>
    <t>Thirumalaraju Ramakrishna</t>
  </si>
  <si>
    <t>Thota  Thrimurthulu</t>
  </si>
  <si>
    <t xml:space="preserve">Ummadi Dorababu </t>
  </si>
  <si>
    <t>Vellepu Yesubabu</t>
  </si>
  <si>
    <t xml:space="preserve">Vempati Sathish </t>
  </si>
  <si>
    <t>Vggina Ramarao</t>
  </si>
  <si>
    <t>Nandi Raja Rao</t>
  </si>
  <si>
    <t>Jaibaabu Kakileti</t>
  </si>
  <si>
    <t>Nandeeswarudu Madepalli</t>
  </si>
  <si>
    <t>Satyanandam Kanda</t>
  </si>
  <si>
    <t>Thota Ravi</t>
  </si>
  <si>
    <t>Mandal president</t>
  </si>
  <si>
    <t>Lovaraju Turpati</t>
  </si>
  <si>
    <t>Ramachandrarao Budha</t>
  </si>
  <si>
    <t>Veerababu Kalla</t>
  </si>
  <si>
    <t>Srinivas Arjampudi</t>
  </si>
  <si>
    <t>Veera Baabu Maccha</t>
  </si>
  <si>
    <t>Veeranagaswararao Dunga</t>
  </si>
  <si>
    <t>Venkateswara Rao Manchikanti</t>
  </si>
  <si>
    <t>Jyothula Padmanabham</t>
  </si>
  <si>
    <t>Water Association Chairman</t>
  </si>
  <si>
    <t>Dhadipolli Nayudu</t>
  </si>
  <si>
    <t>Duvva  Venkateswararao</t>
  </si>
  <si>
    <t xml:space="preserve">Jatla Veera Satya Samba </t>
  </si>
  <si>
    <t>Malireddy Govindu</t>
  </si>
  <si>
    <t>Bojjapu Srinuvas</t>
  </si>
  <si>
    <t>Naraayana Allumalla</t>
  </si>
  <si>
    <t>Ramakrishna Pappala</t>
  </si>
  <si>
    <t>Rambabu Pasala</t>
  </si>
  <si>
    <t>Gandham  Surya Chakradora</t>
  </si>
  <si>
    <t>Geddam. Manikanta</t>
  </si>
  <si>
    <t>Kayala  Venkateswarao</t>
  </si>
  <si>
    <t>Nanaji Mindakuti</t>
  </si>
  <si>
    <t>Paparao Mulugu</t>
  </si>
  <si>
    <t>Suresh Kumar Ulli</t>
  </si>
  <si>
    <t>Venkatraju Panchadi</t>
  </si>
  <si>
    <t>Marothu Venkateswarlu</t>
  </si>
  <si>
    <t>Ram Ramesh Matta</t>
  </si>
  <si>
    <t>Santhosh Kumar Golthi</t>
  </si>
  <si>
    <t>Srinu Kukkala</t>
  </si>
  <si>
    <t>Veerababu Gollapalli</t>
  </si>
  <si>
    <t>Inkaoti Subaarao</t>
  </si>
  <si>
    <t>Veerabhadrar Puli</t>
  </si>
  <si>
    <t>Venkateshwararao Ravulpudi</t>
  </si>
  <si>
    <t>Rajubabu Yerikireddi</t>
  </si>
  <si>
    <t xml:space="preserve">Setti Somaraju </t>
  </si>
  <si>
    <t>Srinivas Cheduluri</t>
  </si>
  <si>
    <t>Svami Raidu</t>
  </si>
  <si>
    <t>Tammanna Inti</t>
  </si>
  <si>
    <t>Veerachellar Inti</t>
  </si>
  <si>
    <t>Saladi Rajababu</t>
  </si>
  <si>
    <t>Sana Sateesh</t>
  </si>
  <si>
    <t>Vasamsetti  Satyanarayana</t>
  </si>
  <si>
    <t>Chinthakula Srinivas Rao</t>
  </si>
  <si>
    <t>Koppasetti Chindabara Dharmajirao</t>
  </si>
  <si>
    <t>Narala Siva Sankara Varaprasad</t>
  </si>
  <si>
    <t>Sunnam Sivaramakrishna</t>
  </si>
  <si>
    <t>Penke Verrababu</t>
  </si>
  <si>
    <t>Rayavarapu Durgaprasad</t>
  </si>
  <si>
    <t>Z.Bhavaram</t>
  </si>
  <si>
    <t>Rokala Ganiraju</t>
  </si>
  <si>
    <t>K.Naga Lakshmi</t>
  </si>
  <si>
    <t>Pithani Parvathi</t>
  </si>
  <si>
    <t xml:space="preserve"> Beera Robert Daniel Roy</t>
  </si>
  <si>
    <t>Anasuri Prabhakarao</t>
  </si>
  <si>
    <t>Chimakurthi Kishore Kumar</t>
  </si>
  <si>
    <t>Gisal Srinu</t>
  </si>
  <si>
    <t>Kothagala Rambabu</t>
  </si>
  <si>
    <t>Manepalli Jyothiprakash</t>
  </si>
  <si>
    <t>Manepalli Veraraghavulu</t>
  </si>
  <si>
    <t>Tekumudi Srinivas</t>
  </si>
  <si>
    <t>Gorrela Srinivaserao</t>
  </si>
  <si>
    <t>Nakka Satyanarayana</t>
  </si>
  <si>
    <t>Patnidi Ssatya Bhemeswarao</t>
  </si>
  <si>
    <t>Sadhe Vera Raghavulu</t>
  </si>
  <si>
    <t>P Bhaskar Rao</t>
  </si>
  <si>
    <t>Bhagav Reddy KondaBabu</t>
  </si>
  <si>
    <t>Penkey Venkataramana</t>
  </si>
  <si>
    <t>Chint Sri Ramachandra Srinivas</t>
  </si>
  <si>
    <t>Chinteswarao</t>
  </si>
  <si>
    <t>Madal President</t>
  </si>
  <si>
    <t>Chintha Srinivas</t>
  </si>
  <si>
    <t>Ramachandrarao Adpa</t>
  </si>
  <si>
    <t>Munjarapu Suryakiran</t>
  </si>
  <si>
    <t>Gopi Shetty Veera Venkata Sathyanarayana</t>
  </si>
  <si>
    <t>Kalla Laxmanarao</t>
  </si>
  <si>
    <t>Kantil Ravi</t>
  </si>
  <si>
    <t>Thotakura Srinivas</t>
  </si>
  <si>
    <t>Kalkanda Sudheer</t>
  </si>
  <si>
    <t>Ward member,realestate</t>
  </si>
  <si>
    <t>Kotipalli Srinivas</t>
  </si>
  <si>
    <t>Ration dealer,husband of sarpanch</t>
  </si>
  <si>
    <t>Sathyanarayan Dulla</t>
  </si>
  <si>
    <t>Gollapalli Sathi Babu</t>
  </si>
  <si>
    <t>Nandipati Veerababu</t>
  </si>
  <si>
    <t>Seeli Rajubabu</t>
  </si>
  <si>
    <t xml:space="preserve">Volavala Venkana </t>
  </si>
  <si>
    <t>Vempala Rambabu</t>
  </si>
  <si>
    <t>Kancherla  Srinu</t>
  </si>
  <si>
    <t>Subbarao</t>
  </si>
  <si>
    <t>Agraharapu  Nanaji</t>
  </si>
  <si>
    <t>G Krishna</t>
  </si>
  <si>
    <t>K Ramakumar ( Janasena Party)</t>
  </si>
  <si>
    <t>Pandula Durga Prasad</t>
  </si>
  <si>
    <t>Vasireddy  Avinash Bhagavan</t>
  </si>
  <si>
    <t>Venkata Pathi Raju</t>
  </si>
  <si>
    <t>Yadamala Venkata Satyanarayana</t>
  </si>
  <si>
    <t>Madavabattula Virababu</t>
  </si>
  <si>
    <t>Moka Krishnam Raju</t>
  </si>
  <si>
    <t>Neridimalli Malikarjunaraju</t>
  </si>
  <si>
    <t>Penke Subramanyam</t>
  </si>
  <si>
    <t>Rekha Reddy w/o Abraham Reddy</t>
  </si>
  <si>
    <t>Sachivalayam Head</t>
  </si>
  <si>
    <t>Nunukurthi Rama Krishna</t>
  </si>
  <si>
    <t>Ganga Ratnam</t>
  </si>
  <si>
    <t>Pulethikurthi Siva Prasad</t>
  </si>
  <si>
    <t xml:space="preserve">Pulugurtha Durga Prasad </t>
  </si>
  <si>
    <t>Tambabathula Sathibabu</t>
  </si>
  <si>
    <t>Vasamsetti Nagendra Babu</t>
  </si>
  <si>
    <t>Bachalla.Rajesh</t>
  </si>
  <si>
    <t>Injarapu Chanttibabu</t>
  </si>
  <si>
    <t>K.V.V. Sathyanarayana</t>
  </si>
  <si>
    <t>Kanchumarthy Gopalakrishna</t>
  </si>
  <si>
    <t>Koppi Shetty Shivakumar</t>
  </si>
  <si>
    <t>Mogali Sathibabu</t>
  </si>
  <si>
    <t>Nalla Milli Enkanna Babu</t>
  </si>
  <si>
    <t>Nimmana Srinu</t>
  </si>
  <si>
    <t>Pulla Ramesh</t>
  </si>
  <si>
    <t>Sivakoti.Apparao</t>
  </si>
  <si>
    <t>Alasili Shimadri</t>
  </si>
  <si>
    <t>Vanka Kashibabu</t>
  </si>
  <si>
    <t>Bandila Sathibabu</t>
  </si>
  <si>
    <t>G Srinu</t>
  </si>
  <si>
    <t>Gangumalla Suresh Kumar</t>
  </si>
  <si>
    <t>Kola Rupavathi</t>
  </si>
  <si>
    <t>Kondapalli Nagaswarao</t>
  </si>
  <si>
    <t>Pepakayala  Manikumar</t>
  </si>
  <si>
    <t>Musali Chinnarao</t>
  </si>
  <si>
    <t>Dadala Vijay Kumar</t>
  </si>
  <si>
    <t>Gollapalli Jaganadham</t>
  </si>
  <si>
    <t>Palapu Venkatesh</t>
  </si>
  <si>
    <t>Velugubanti Subbarao</t>
  </si>
  <si>
    <t>Akula Nagavanekat Panindar Kumar</t>
  </si>
  <si>
    <t>Gapamla Satya Narayana</t>
  </si>
  <si>
    <t>Pukkala Raju</t>
  </si>
  <si>
    <t>Srinivasa Subbarao</t>
  </si>
  <si>
    <t>Lakshmanarao Mata</t>
  </si>
  <si>
    <t>C Sujatha</t>
  </si>
  <si>
    <t>G Krishnamraju</t>
  </si>
  <si>
    <t>Katuri Shivashankar</t>
  </si>
  <si>
    <t>Kota Venkataramana</t>
  </si>
  <si>
    <t>Reddy Nayudu</t>
  </si>
  <si>
    <t>T Satyanarana</t>
  </si>
  <si>
    <t>Vanum Narasimhamurthi</t>
  </si>
  <si>
    <t>Vasanasetti Swarna</t>
  </si>
  <si>
    <t>Manukoorthy Rama Krishna</t>
  </si>
  <si>
    <t>J Srinivas</t>
  </si>
  <si>
    <t>Penke Veerababu</t>
  </si>
  <si>
    <t>Pilli Ramakrishna</t>
  </si>
  <si>
    <t>Venkataramana Vasamshetty</t>
  </si>
  <si>
    <t>Kandhavilli  Guneswararao</t>
  </si>
  <si>
    <t>Palika Veeraraju</t>
  </si>
  <si>
    <t>Meesala Rambabu</t>
  </si>
  <si>
    <t>V Kameswarao</t>
  </si>
  <si>
    <t>Pallu Apparao</t>
  </si>
  <si>
    <t>A Kumar Babu Satyanarayana</t>
  </si>
  <si>
    <t>Marella Venkataramana</t>
  </si>
  <si>
    <t>Saladi Veeraraju</t>
  </si>
  <si>
    <t>Punyamanthula Gangaraju</t>
  </si>
  <si>
    <t>Sripadam Veerabhadra Rao</t>
  </si>
  <si>
    <t>Koppi Shetti Veera Durga Badrarao</t>
  </si>
  <si>
    <t>Srikanth</t>
  </si>
  <si>
    <t>Lankadi Venkateswarao</t>
  </si>
  <si>
    <t>Pabbinidi  Srihari</t>
  </si>
  <si>
    <t>Nakka Appalaswami</t>
  </si>
  <si>
    <t>Mmedi Setty Satyanarayana</t>
  </si>
  <si>
    <t>Mudragadda Verababu</t>
  </si>
  <si>
    <t>Thibirishetti Gajendrudu</t>
  </si>
  <si>
    <t>Daniparthi Srinivasu</t>
  </si>
  <si>
    <t>Javvadi Sateesh</t>
  </si>
  <si>
    <t>Vasamshetti Krishna</t>
  </si>
  <si>
    <t>Amajala Gangaraju</t>
  </si>
  <si>
    <t>Gollapalli Prasad</t>
  </si>
  <si>
    <t>Ponnada Trimurthulu</t>
  </si>
  <si>
    <t>Bandaru Sateesh</t>
  </si>
  <si>
    <t>Bandaru Venkateswararao</t>
  </si>
  <si>
    <t>Sera Veerababu</t>
  </si>
  <si>
    <t>Bommadi Thatarao</t>
  </si>
  <si>
    <t>Works in fishing companies</t>
  </si>
  <si>
    <t>Angadi Veerababu</t>
  </si>
  <si>
    <t>Bommina Sathish</t>
  </si>
  <si>
    <t>Chakkaapalli Pakirrao</t>
  </si>
  <si>
    <t>Dasariveeraramameswararao</t>
  </si>
  <si>
    <t>Jikarra Durga Nageswarao</t>
  </si>
  <si>
    <t>Sana  Suribabu</t>
  </si>
  <si>
    <t>Veeranala Nayudu</t>
  </si>
  <si>
    <t>Pepakayala Pulleswarao</t>
  </si>
  <si>
    <t>Yella Subarao</t>
  </si>
  <si>
    <t>Rajeshkumar Gundapu</t>
  </si>
  <si>
    <t>Karedda Pullayya Nayudu</t>
  </si>
  <si>
    <t>Shrinu Vasamshetty</t>
  </si>
  <si>
    <t>Veeranjaneyulu Vasamshetty</t>
  </si>
  <si>
    <t>Satyasivalingam Gubbala</t>
  </si>
  <si>
    <t>Venkateshwararao Pilli</t>
  </si>
  <si>
    <t>Shrinu Penke</t>
  </si>
  <si>
    <t>Kannarao Pulla</t>
  </si>
  <si>
    <t>Shrinu Yajjul</t>
  </si>
  <si>
    <t>Sattiraju Gollapalli</t>
  </si>
  <si>
    <t>Saibaba Chatrati</t>
  </si>
  <si>
    <t>Appanna Jikki</t>
  </si>
  <si>
    <t>Sathyanarayan Kanate</t>
  </si>
  <si>
    <t>Nageswararao Pabbinidi</t>
  </si>
  <si>
    <t>Venkataramana Chachodpunidi</t>
  </si>
  <si>
    <t>Narayanarao Vanumu</t>
  </si>
  <si>
    <t>Suryprasad Nurikurthi</t>
  </si>
  <si>
    <t>Anil Kumar Chipurapalli</t>
  </si>
  <si>
    <t>Rambabu Pulpkura</t>
  </si>
  <si>
    <t>Somsankararao Gollapalli</t>
  </si>
  <si>
    <t>Rambabu Bandaru</t>
  </si>
  <si>
    <t>Nookaraju Sheru</t>
  </si>
  <si>
    <t>Satti Raju Lakamana</t>
  </si>
  <si>
    <t>Sathyanarayan Medish</t>
  </si>
  <si>
    <t>Kada Venkateswar</t>
  </si>
  <si>
    <t>Mandala JAC conveyor</t>
  </si>
  <si>
    <t>Bhola Raju</t>
  </si>
  <si>
    <t>Yerram Shetty Ramayanrao</t>
  </si>
  <si>
    <t>Senior leader</t>
  </si>
  <si>
    <t>Sathyanarayan Nalla</t>
  </si>
  <si>
    <t>Veeranna Nulukurthi</t>
  </si>
  <si>
    <t>Marrela Srinivas Rao</t>
  </si>
  <si>
    <t>Bomidi Vijay Kumar</t>
  </si>
  <si>
    <t>Suryanarain Palika</t>
  </si>
  <si>
    <t>Rambabu Balla</t>
  </si>
  <si>
    <t>Suresh Boda</t>
  </si>
  <si>
    <t>Surya Prakash Kommana</t>
  </si>
  <si>
    <t>Veerababu Gorakapudi</t>
  </si>
  <si>
    <t>Perumallaiah Kedari</t>
  </si>
  <si>
    <t>Prasad Kalturi</t>
  </si>
  <si>
    <t>Suribabu Ootakuti</t>
  </si>
  <si>
    <t>Sathyanarayan Kantiboyina</t>
  </si>
  <si>
    <t>Srinivasarao Nukalamanti</t>
  </si>
  <si>
    <t>Venkatarao Relangi</t>
  </si>
  <si>
    <t>K Suresh Kumar</t>
  </si>
  <si>
    <t>K Veera Swamy</t>
  </si>
  <si>
    <t>Kanakadurga Achanta</t>
  </si>
  <si>
    <t>Rajababu Achanta</t>
  </si>
  <si>
    <t>Rambabu Achanta</t>
  </si>
  <si>
    <t xml:space="preserve">Kamalaboyina Bujji </t>
  </si>
  <si>
    <t>K Chella Rao</t>
  </si>
  <si>
    <t>T Badram</t>
  </si>
  <si>
    <t>Rayudu Venkateswarao</t>
  </si>
  <si>
    <t>Bartheti Venkateswarao</t>
  </si>
  <si>
    <t>Kanchumarthi Rampandu</t>
  </si>
  <si>
    <t>Achanta Veerabhadrarao</t>
  </si>
  <si>
    <t>M Srinu</t>
  </si>
  <si>
    <t>Ch Balu</t>
  </si>
  <si>
    <t>Venkatarao</t>
  </si>
  <si>
    <t>Raghu Sekhar Nanepalli</t>
  </si>
  <si>
    <t>Srinu Voodi</t>
  </si>
  <si>
    <t>Swamy Nagulapalli</t>
  </si>
  <si>
    <t>Enkanna Boddu</t>
  </si>
  <si>
    <t>Prasad Kasi</t>
  </si>
  <si>
    <t>P Anil</t>
  </si>
  <si>
    <t>B Shiva Ram</t>
  </si>
  <si>
    <t>N Veerababu</t>
  </si>
  <si>
    <t>Raja Pachipala</t>
  </si>
  <si>
    <t>Satya Prasanna Kumar Patchipala</t>
  </si>
  <si>
    <t>Sivagi Rasamsetti</t>
  </si>
  <si>
    <t>Thrimurthulu Vangalapudi</t>
  </si>
  <si>
    <t>P Sathish</t>
  </si>
  <si>
    <t>Janakiramaiah Chaganti</t>
  </si>
  <si>
    <t>Sathyanarayan Chaganti</t>
  </si>
  <si>
    <t>Kanathi Srinivas</t>
  </si>
  <si>
    <t>Kapu president</t>
  </si>
  <si>
    <t>Kotha Veeraraju</t>
  </si>
  <si>
    <t>Ambali Suryaprakash Rao</t>
  </si>
  <si>
    <t>Veera Venkata Satyanarayana Ambati</t>
  </si>
  <si>
    <t>K Nukaraju</t>
  </si>
  <si>
    <t>K Venkatasubramanyam</t>
  </si>
  <si>
    <t>Narayanarao Kurukuri</t>
  </si>
  <si>
    <t>Rambabu Bathina</t>
  </si>
  <si>
    <t>Ramchandrprasad Mallipudi</t>
  </si>
  <si>
    <t>Sathebbai Gonti</t>
  </si>
  <si>
    <t>Appalaraju Sigireddi</t>
  </si>
  <si>
    <t>Chakraprakasarao Elishetti</t>
  </si>
  <si>
    <t>G Subba Rao</t>
  </si>
  <si>
    <t>Hari Krishtu Ragala</t>
  </si>
  <si>
    <t>K Chakra Rao</t>
  </si>
  <si>
    <t>K Srinivas</t>
  </si>
  <si>
    <t>Narayanarao Kurra</t>
  </si>
  <si>
    <t>P Ganga Rao</t>
  </si>
  <si>
    <t>Sanni Gudala</t>
  </si>
  <si>
    <t>Swamy Bavisetti</t>
  </si>
  <si>
    <t>T Venkataramrao</t>
  </si>
  <si>
    <t>Gangadharam Adpa</t>
  </si>
  <si>
    <t>Rajababu Dibbidi</t>
  </si>
  <si>
    <t>Rudrarao Boddu</t>
  </si>
  <si>
    <t>Sairam Chikkala</t>
  </si>
  <si>
    <t>Sattibabu Yeleti</t>
  </si>
  <si>
    <t>Srinivas Medidhi</t>
  </si>
  <si>
    <t>Veerababu Aatla</t>
  </si>
  <si>
    <t>Yeleti Subharao</t>
  </si>
  <si>
    <t>Gandam Uma</t>
  </si>
  <si>
    <t>Bandaru Chantibabu</t>
  </si>
  <si>
    <t>Sidhanthapu Prasad</t>
  </si>
  <si>
    <t>Active Member(Ration dealer)</t>
  </si>
  <si>
    <t>Nallala Govindhu</t>
  </si>
  <si>
    <t>Gram Commity President</t>
  </si>
  <si>
    <t>Jennu Venkata Ramana</t>
  </si>
  <si>
    <t>Sachivalyam Convener</t>
  </si>
  <si>
    <t>Penta Vijya Kumar</t>
  </si>
  <si>
    <t>D Senu</t>
  </si>
  <si>
    <t>Nagaswararao Pagadala</t>
  </si>
  <si>
    <t>Suryachakradhar Pinnam</t>
  </si>
  <si>
    <t>Veerababu Gonchala</t>
  </si>
  <si>
    <t>Yarla Rambabu</t>
  </si>
  <si>
    <t>Cheddi Ganapathi</t>
  </si>
  <si>
    <t>Avin Kumar Daadi</t>
  </si>
  <si>
    <t>Chandrarao Thummala</t>
  </si>
  <si>
    <t>Naga Gangaraju Dake</t>
  </si>
  <si>
    <t>Venkata Chalapati Naidu</t>
  </si>
  <si>
    <t>Ward Consellor</t>
  </si>
  <si>
    <t>Thummala Surekha w/o Thummala Satyanarana</t>
  </si>
  <si>
    <t>Sarpanch's Husband</t>
  </si>
  <si>
    <t>Gachi Ashok</t>
  </si>
  <si>
    <t>Union Leader</t>
  </si>
  <si>
    <t>T Achata Ramaiah</t>
  </si>
  <si>
    <t>T Thumalavenkata Sitaiah</t>
  </si>
  <si>
    <t>Jemesh Nimmalapudi</t>
  </si>
  <si>
    <t>Ramakrishan Goli</t>
  </si>
  <si>
    <t>Ramarao Yendru</t>
  </si>
  <si>
    <t>Sathyanarayan Devaprasad Manyam</t>
  </si>
  <si>
    <t>Nagaswararao Bokka</t>
  </si>
  <si>
    <t>Narayanarao Bhimlingam</t>
  </si>
  <si>
    <t>Puleti Prabhakar</t>
  </si>
  <si>
    <t>Bank volunteers</t>
  </si>
  <si>
    <t>Kunche Venkat Swamy</t>
  </si>
  <si>
    <t>Temple trust member</t>
  </si>
  <si>
    <t>Kunche Bujjiraju</t>
  </si>
  <si>
    <t>E Venkataswamy</t>
  </si>
  <si>
    <t>K Sageswar Rao</t>
  </si>
  <si>
    <t>Karri Jagadeesh</t>
  </si>
  <si>
    <t>Leader, Devasthanam Chairman</t>
  </si>
  <si>
    <t>Jagadeesh Vanka</t>
  </si>
  <si>
    <t>Krishnababu  Moyilla</t>
  </si>
  <si>
    <t>Nookaraju Moyilla</t>
  </si>
  <si>
    <t>Konapareddy Chakram</t>
  </si>
  <si>
    <t>Moyilla Rama Krishna</t>
  </si>
  <si>
    <t>Chandrashekar Peripureddy</t>
  </si>
  <si>
    <t>Lakshmi Perepureddy</t>
  </si>
  <si>
    <t>Parala Veera Raghava</t>
  </si>
  <si>
    <t>Patamsetti Naga Raghava Rao</t>
  </si>
  <si>
    <t xml:space="preserve">Annapurna </t>
  </si>
  <si>
    <t>Rama Rao</t>
  </si>
  <si>
    <t>Chakrar Nagulapalli</t>
  </si>
  <si>
    <t>Veeranaagkrishanaveni Peketi</t>
  </si>
  <si>
    <t>Satish Kumar Devalla</t>
  </si>
  <si>
    <t>Sreenu Pasala</t>
  </si>
  <si>
    <t>Varaprasad Devalla</t>
  </si>
  <si>
    <t>Uma Maheswarao</t>
  </si>
  <si>
    <t>Upendra Swami</t>
  </si>
  <si>
    <t>Goli Rama Chadra Rao</t>
  </si>
  <si>
    <t>U Madhava Sai</t>
  </si>
  <si>
    <t>Gundabogula Venkata Ramana</t>
  </si>
  <si>
    <t>Kante Veera Raghavalu</t>
  </si>
  <si>
    <t>Challa Ramanjaneyulu</t>
  </si>
  <si>
    <t>Bala Rama Krishna</t>
  </si>
  <si>
    <t>K Rajendra</t>
  </si>
  <si>
    <t>N Vinod Kumar</t>
  </si>
  <si>
    <t>Satish Babu Sainam</t>
  </si>
  <si>
    <t>Veerabhadra Rao Pitani</t>
  </si>
  <si>
    <t>Revu Suri Babu</t>
  </si>
  <si>
    <t>Salman Raju</t>
  </si>
  <si>
    <t>V Chinni Raju</t>
  </si>
  <si>
    <t>Bachala Raju</t>
  </si>
  <si>
    <t>V Satyanarayana</t>
  </si>
  <si>
    <t>Venkateshwararao Bollu</t>
  </si>
  <si>
    <t>G Venkata Rao</t>
  </si>
  <si>
    <t>B Nageswar Rao</t>
  </si>
  <si>
    <t>P Venkata Ramana</t>
  </si>
  <si>
    <t>A Satyanarayana</t>
  </si>
  <si>
    <t>J Chanti Babu</t>
  </si>
  <si>
    <t>T Satyanarayana</t>
  </si>
  <si>
    <t>B Polaraju</t>
  </si>
  <si>
    <t>G Chandranna</t>
  </si>
  <si>
    <t>K Subbanna</t>
  </si>
  <si>
    <t>Rambadra Rao</t>
  </si>
  <si>
    <t>B Gangaraju</t>
  </si>
  <si>
    <t>K Pradeep</t>
  </si>
  <si>
    <t>Raju Puppala</t>
  </si>
  <si>
    <t>Shivshankar Challa</t>
  </si>
  <si>
    <t>Achyutaramaiah Talatam</t>
  </si>
  <si>
    <t>Annavaram Gullapalli</t>
  </si>
  <si>
    <t>Chellar Gunnabattula</t>
  </si>
  <si>
    <t>Suribabu Goli</t>
  </si>
  <si>
    <t>Tammiraju Goli</t>
  </si>
  <si>
    <t>Pardha Siva Kumar Madedla</t>
  </si>
  <si>
    <t>Prasad Medisetty</t>
  </si>
  <si>
    <t>Ramakrishna Chandraani</t>
  </si>
  <si>
    <t>Shrinu Vemu</t>
  </si>
  <si>
    <t>Shrinuvasu Mummana</t>
  </si>
  <si>
    <t>Veerraju Kandukuri</t>
  </si>
  <si>
    <t>Venkata Satyanarayana Peela</t>
  </si>
  <si>
    <t>Venkataramana Pilla</t>
  </si>
  <si>
    <t>Vv Satyanarayana Aarimilli</t>
  </si>
  <si>
    <t>Palakurthi Srinubabu</t>
  </si>
  <si>
    <t>District Farmer President</t>
  </si>
  <si>
    <t>A Padukonda</t>
  </si>
  <si>
    <t>B Durga Prasad</t>
  </si>
  <si>
    <t>B Veerabadra Rao</t>
  </si>
  <si>
    <t>J Govindu</t>
  </si>
  <si>
    <t>Chandraiah Pernedi</t>
  </si>
  <si>
    <t>Kamaraju Pernedi</t>
  </si>
  <si>
    <t>Shreenivas Sathyanarayan Pothu</t>
  </si>
  <si>
    <t>Laxman Rao Painni</t>
  </si>
  <si>
    <t>Satyanarayna Challa</t>
  </si>
  <si>
    <t>Veera Prasad Karukonda</t>
  </si>
  <si>
    <t>Nagabhooshanam Thota</t>
  </si>
  <si>
    <t>Nookaraju Venna</t>
  </si>
  <si>
    <t>Padmaraju Kaneti</t>
  </si>
  <si>
    <t>Anusuri Rambabu</t>
  </si>
  <si>
    <t>Durgaprasad Amlapurpu</t>
  </si>
  <si>
    <t>Subrahmanyam Anusuri</t>
  </si>
  <si>
    <t>Janakiram Narala</t>
  </si>
  <si>
    <t>Venkataramana Narala</t>
  </si>
  <si>
    <t>Appanna Baiah</t>
  </si>
  <si>
    <t>Kiran Sanipini</t>
  </si>
  <si>
    <t>Naveen Gunnam</t>
  </si>
  <si>
    <t>Raja Sekhar Bhogila</t>
  </si>
  <si>
    <t>Ramana Vennanti</t>
  </si>
  <si>
    <t>Sreenivas Thotakura</t>
  </si>
  <si>
    <t>Suresh Saanipini</t>
  </si>
  <si>
    <t>Veerabhadrar Marni</t>
  </si>
  <si>
    <t>Venkateshwararao Thotakura</t>
  </si>
  <si>
    <t>Veerababu Cola</t>
  </si>
  <si>
    <t>Veeraswami Koppireddy</t>
  </si>
  <si>
    <t>Nagaswararao Adabala</t>
  </si>
  <si>
    <t>Ramesh Karedla</t>
  </si>
  <si>
    <t>Sivayya Adabala</t>
  </si>
  <si>
    <t>Srinivasarao Mummidi</t>
  </si>
  <si>
    <t>Veerababu Kothapalli</t>
  </si>
  <si>
    <t>Venkatesh Kakara</t>
  </si>
  <si>
    <t>Anil Kumar Kurukuri</t>
  </si>
  <si>
    <t>Kamaraju Goli</t>
  </si>
  <si>
    <t>Lakshmana R Valluri</t>
  </si>
  <si>
    <t>Mattaparti  Naveen</t>
  </si>
  <si>
    <t>Paparao Akashapu</t>
  </si>
  <si>
    <t>Raja Babu Lingam</t>
  </si>
  <si>
    <t>Raju Chint</t>
  </si>
  <si>
    <t>Ramanjaneyulu Puppala</t>
  </si>
  <si>
    <t>Ramateja Manyam</t>
  </si>
  <si>
    <t>Rambabu Gunnam</t>
  </si>
  <si>
    <t>Sangeshwarrao Manyam</t>
  </si>
  <si>
    <t>Subbarao Batchala</t>
  </si>
  <si>
    <t>Vasu Malireddy</t>
  </si>
  <si>
    <t>Veerakumar Gummalla</t>
  </si>
  <si>
    <t>Veeravenkatasatyanarayana Goli</t>
  </si>
  <si>
    <t>Veeravenkatdurgprasad Valluri</t>
  </si>
  <si>
    <t>Madiraddi.Dorababu</t>
  </si>
  <si>
    <t>MPTC(Son)</t>
  </si>
  <si>
    <t>Gorisa .Appa Rao</t>
  </si>
  <si>
    <t>Dasari.Chandra Rao</t>
  </si>
  <si>
    <t>Ponaganti Adi Narayana</t>
  </si>
  <si>
    <t>G.Bhavani</t>
  </si>
  <si>
    <t>Madhireddi Lalitha</t>
  </si>
  <si>
    <t>Konna Lovva Raju</t>
  </si>
  <si>
    <t>Venkata Subba Rao</t>
  </si>
  <si>
    <t>Ch.Raju</t>
  </si>
  <si>
    <t>Peddu Thali Mulapatamaya</t>
  </si>
  <si>
    <t xml:space="preserve">Rajapanthula Nageswarao </t>
  </si>
  <si>
    <t>Yadala Shekar</t>
  </si>
  <si>
    <t>Appi Reddy.Satish Reddy</t>
  </si>
  <si>
    <t>Sreerampuram</t>
  </si>
  <si>
    <t>Mummadi Venkanna</t>
  </si>
  <si>
    <t>Potanna Garla</t>
  </si>
  <si>
    <t>Gunrda.Rajababu</t>
  </si>
  <si>
    <t>Kavaitha</t>
  </si>
  <si>
    <t>M.Seetaramaraju</t>
  </si>
  <si>
    <t>Akula Nagababu</t>
  </si>
  <si>
    <t>Challa.Lakshminarayana</t>
  </si>
  <si>
    <t>Chinnam   Raju</t>
  </si>
  <si>
    <t>K.Rambabu</t>
  </si>
  <si>
    <t>Matla Sattibabu</t>
  </si>
  <si>
    <t>O.Prasad</t>
  </si>
  <si>
    <t>Posina Lovadora</t>
  </si>
  <si>
    <t>Sakhinala Satyanarayana</t>
  </si>
  <si>
    <t>J. Prabhakar Rao</t>
  </si>
  <si>
    <t>Ch. Srinu</t>
  </si>
  <si>
    <t>Y Dorababu</t>
  </si>
  <si>
    <t>Full anti of ysrcp prathipadu consituency</t>
  </si>
  <si>
    <t>Bathina Manga</t>
  </si>
  <si>
    <t>A.Nukaraju</t>
  </si>
  <si>
    <t>Koneti Peddakapu</t>
  </si>
  <si>
    <t>M.Srinivasa Rao</t>
  </si>
  <si>
    <t>Lovaraju Pirla</t>
  </si>
  <si>
    <t>Prasanna Kumari Polimati</t>
  </si>
  <si>
    <t>Siva Tatiparthi</t>
  </si>
  <si>
    <t>Sivanageswararao Bonaboina</t>
  </si>
  <si>
    <t>Uday Kumar Kakada</t>
  </si>
  <si>
    <t>Venkataramana Kannati</t>
  </si>
  <si>
    <t>Pilla Venkataramana</t>
  </si>
  <si>
    <t>Dasam.Kamaraju</t>
  </si>
  <si>
    <t>Gabu.Tataji</t>
  </si>
  <si>
    <t>Garapati.Sattibabu</t>
  </si>
  <si>
    <t>J.Subba Rao</t>
  </si>
  <si>
    <t>S.Gangadhar</t>
  </si>
  <si>
    <t>Sada Kanakaiah</t>
  </si>
  <si>
    <t>B.Srinivas</t>
  </si>
  <si>
    <t>S.Appana Dora</t>
  </si>
  <si>
    <t xml:space="preserve">Shiva </t>
  </si>
  <si>
    <t>Farmer and Small Time Business</t>
  </si>
  <si>
    <t xml:space="preserve">Dasam Venkatesh </t>
  </si>
  <si>
    <t xml:space="preserve">Madiki Sanyasa Rao </t>
  </si>
  <si>
    <t>Ex-ZPTC</t>
  </si>
  <si>
    <t>Baburao Padala</t>
  </si>
  <si>
    <t>Esubaabu Yenugupalli</t>
  </si>
  <si>
    <t>Goralakrishna Meteti</t>
  </si>
  <si>
    <t>Lovaraju Kumpatla</t>
  </si>
  <si>
    <t>Rambabu Jalligampala</t>
  </si>
  <si>
    <t>Shivajee Nakka</t>
  </si>
  <si>
    <t>Veerababu Adabala</t>
  </si>
  <si>
    <t>Veerababu Amlkanti</t>
  </si>
  <si>
    <t>Amaradi Valli</t>
  </si>
  <si>
    <t>JSP President</t>
  </si>
  <si>
    <t>Madiki Prasad</t>
  </si>
  <si>
    <t>EX-ZPTC</t>
  </si>
  <si>
    <t>Gopu Surya Kranthi</t>
  </si>
  <si>
    <t>Gopu Satya Krishna</t>
  </si>
  <si>
    <t xml:space="preserve">Sarpanch Husband </t>
  </si>
  <si>
    <t>Varma Mudhunoori</t>
  </si>
  <si>
    <t>Venkateswararaju Eepuri</t>
  </si>
  <si>
    <t>Ammanna Pendyal</t>
  </si>
  <si>
    <t>Appalnrsimhamurti Matam</t>
  </si>
  <si>
    <t>Apparao Bodapaati</t>
  </si>
  <si>
    <t>Buliseetahaih Challa</t>
  </si>
  <si>
    <t>Chakradharudu Oruganti</t>
  </si>
  <si>
    <t>Enkannadora Posina</t>
  </si>
  <si>
    <t>Gurraiah Kollu</t>
  </si>
  <si>
    <t>Kumar Bandaru</t>
  </si>
  <si>
    <t>Naagbaabu Cheduluri</t>
  </si>
  <si>
    <t>Pampayya Nemala</t>
  </si>
  <si>
    <t>Ramakrishan Yadala</t>
  </si>
  <si>
    <t>Seetababu Yadala</t>
  </si>
  <si>
    <t>Simhachalam Gudala</t>
  </si>
  <si>
    <t>Veerababu Oruganti</t>
  </si>
  <si>
    <t>Satyababu Shiram</t>
  </si>
  <si>
    <t>Subbarao Gurram</t>
  </si>
  <si>
    <t>V.Gurraiah</t>
  </si>
  <si>
    <t>V.Mallikarjunarao</t>
  </si>
  <si>
    <t>Gurram Subba Rao</t>
  </si>
  <si>
    <t>TDP leader, Ex-MPTC</t>
  </si>
  <si>
    <t>Seram Sathibabu</t>
  </si>
  <si>
    <t xml:space="preserve">TDP leader </t>
  </si>
  <si>
    <t>Mallikarjuna Rao</t>
  </si>
  <si>
    <t xml:space="preserve">Husband of Sarpanch </t>
  </si>
  <si>
    <t>Rambabu Reddy Konapalli</t>
  </si>
  <si>
    <t>Sattibabu Yanamareddy</t>
  </si>
  <si>
    <t>Apparao Sikolu</t>
  </si>
  <si>
    <t>TDP Convenor</t>
  </si>
  <si>
    <t>Nagaraju Jakka</t>
  </si>
  <si>
    <t>Convenor, Ward Member</t>
  </si>
  <si>
    <t>Gadham Nageswara Rao</t>
  </si>
  <si>
    <t>Nanaji Seekoti</t>
  </si>
  <si>
    <t>Tatarao Tikakada</t>
  </si>
  <si>
    <t>Pedakapu Prasad</t>
  </si>
  <si>
    <t>Thommandra.Suresh Babu</t>
  </si>
  <si>
    <t>Nakka Manikanta</t>
  </si>
  <si>
    <t>Pandiri Bapi Raju</t>
  </si>
  <si>
    <t>T Hemanth</t>
  </si>
  <si>
    <t>G Tulasi Kumar</t>
  </si>
  <si>
    <t>Ashok Gorla</t>
  </si>
  <si>
    <t>Venkanna Ganta</t>
  </si>
  <si>
    <t>Venkatapathiraju Angraju</t>
  </si>
  <si>
    <t>Venkataramana Kintada</t>
  </si>
  <si>
    <t>Lovaraju Kappala</t>
  </si>
  <si>
    <t>Satyawarprasad Bathula</t>
  </si>
  <si>
    <t>Shriramulu Raidu</t>
  </si>
  <si>
    <t>Surya Chandra Prakasarao Koppisetti</t>
  </si>
  <si>
    <t>Narasinhamurti Raidu</t>
  </si>
  <si>
    <t>Rambabu Vemagiri</t>
  </si>
  <si>
    <t>Sattibabu Dulla</t>
  </si>
  <si>
    <t>Satyanarayana Adabala</t>
  </si>
  <si>
    <t>Shrinu Guthurti</t>
  </si>
  <si>
    <t>Sudhakar Kurakula</t>
  </si>
  <si>
    <t>Balakrishna Mata</t>
  </si>
  <si>
    <t>Krishan Sana</t>
  </si>
  <si>
    <t>Nagendra Babu Mallela</t>
  </si>
  <si>
    <t>Shiva Naresh Gampa</t>
  </si>
  <si>
    <t>Ramakrishna Kukkala</t>
  </si>
  <si>
    <t>Sathyanarayan Mattaparti</t>
  </si>
  <si>
    <t>Venkataramana Danda</t>
  </si>
  <si>
    <t>K.ChinnaRao</t>
  </si>
  <si>
    <t>Vara Lakshmi</t>
  </si>
  <si>
    <t>Rayudu Vishnu Murthy</t>
  </si>
  <si>
    <t>Dorrababu</t>
  </si>
  <si>
    <t>Gram Party President</t>
  </si>
  <si>
    <t>K.Venkatesh</t>
  </si>
  <si>
    <t>Nagaswararao Kandepalli</t>
  </si>
  <si>
    <t>Nageshwarrao Siddi</t>
  </si>
  <si>
    <t>Satyanarayana Siddi</t>
  </si>
  <si>
    <t>Thrimurthulu Guthurti</t>
  </si>
  <si>
    <t>Umamaheswararao Yalamanchili</t>
  </si>
  <si>
    <t>Upmaku Vasupalli</t>
  </si>
  <si>
    <t>Venkataramana Kambala</t>
  </si>
  <si>
    <t>Apparao Yalmanchali</t>
  </si>
  <si>
    <t>Dongabbai Sanniboyina</t>
  </si>
  <si>
    <t>Prabhakaraareddy Billakurti</t>
  </si>
  <si>
    <t>Ravikumar Madiki</t>
  </si>
  <si>
    <t>Sathyanarayan Chintapalli</t>
  </si>
  <si>
    <t>Sattiareddy Kuta</t>
  </si>
  <si>
    <t>Suryachakra Reddy Kadimisetty</t>
  </si>
  <si>
    <t>Venkatdurgareddy Yarkam</t>
  </si>
  <si>
    <t>Rambabu Kollu</t>
  </si>
  <si>
    <t>Ravikumar Rayi</t>
  </si>
  <si>
    <t>Sarasvati Seelam</t>
  </si>
  <si>
    <t>Sathyanarayan Marada</t>
  </si>
  <si>
    <t>Sivaji Benugu</t>
  </si>
  <si>
    <t>Srinu Soorada</t>
  </si>
  <si>
    <t>Aravinda Kumar Penumallu</t>
  </si>
  <si>
    <t>Srinivasareddy Abbiareddy</t>
  </si>
  <si>
    <t>Suribabu Kuta</t>
  </si>
  <si>
    <t>Venkata Ramana Enugupalli</t>
  </si>
  <si>
    <t>Baburao Manumula</t>
  </si>
  <si>
    <t>Baburao Nagalla</t>
  </si>
  <si>
    <t>Chinasathyanarayan Mummidi</t>
  </si>
  <si>
    <t>Annavaram Chokka</t>
  </si>
  <si>
    <t>Devanandham Masakapalli</t>
  </si>
  <si>
    <t>Jagannadam Koda</t>
  </si>
  <si>
    <t>Jagannadam Surada</t>
  </si>
  <si>
    <t>Jagannadham Chokka</t>
  </si>
  <si>
    <t>Jagannadham Rakati</t>
  </si>
  <si>
    <t>Mugu Raju</t>
  </si>
  <si>
    <t>Nagamalleshwarar Akashapu</t>
  </si>
  <si>
    <t>Nagaraju Kovviri</t>
  </si>
  <si>
    <t>Nakka Vijay</t>
  </si>
  <si>
    <t>Prasad Chodipilli</t>
  </si>
  <si>
    <t>Praveen Kumar Dummu</t>
  </si>
  <si>
    <t>Alapu.Prasad</t>
  </si>
  <si>
    <t>G.Buchi Reddy</t>
  </si>
  <si>
    <t>K.Chinna Rao</t>
  </si>
  <si>
    <t>Dasari.Balaji</t>
  </si>
  <si>
    <t>Kare.Salman</t>
  </si>
  <si>
    <t>Nakka.Govindu</t>
  </si>
  <si>
    <t>P.Satish</t>
  </si>
  <si>
    <t>Prasad Chokka</t>
  </si>
  <si>
    <t>S.John</t>
  </si>
  <si>
    <t>Ummidi Syam</t>
  </si>
  <si>
    <t>Bondu.Rambabu</t>
  </si>
  <si>
    <t>S.Durgaprasad</t>
  </si>
  <si>
    <t>Bondu.Srinivas Rao</t>
  </si>
  <si>
    <t>Chinthakayala Police</t>
  </si>
  <si>
    <t>Ammadi Jhon</t>
  </si>
  <si>
    <t>Bandu Chinnapalle</t>
  </si>
  <si>
    <t>Chokka Singanna</t>
  </si>
  <si>
    <t>Surada Raju</t>
  </si>
  <si>
    <t>Surada Apparao</t>
  </si>
  <si>
    <t>Rachapalli Sanapayya</t>
  </si>
  <si>
    <t>Patta Shiva</t>
  </si>
  <si>
    <t>Merugu Bhushan</t>
  </si>
  <si>
    <t>Chikkada Tatarao</t>
  </si>
  <si>
    <t>Chukka Jaganadham</t>
  </si>
  <si>
    <t>Ummidi John</t>
  </si>
  <si>
    <t>Merugu Yellaji</t>
  </si>
  <si>
    <t>Ummidi Jagannadham</t>
  </si>
  <si>
    <t>Apparao Swamireddi</t>
  </si>
  <si>
    <t>Babu Kasi</t>
  </si>
  <si>
    <t>Ravibabu Mudada</t>
  </si>
  <si>
    <t>Sheshuvulu Swamyreddy</t>
  </si>
  <si>
    <t>Veera Ganesh Swamy Reddy</t>
  </si>
  <si>
    <t>P.Krishna Murthy</t>
  </si>
  <si>
    <t>Kunti Madavi Geddam</t>
  </si>
  <si>
    <t>Rambabu Emamula</t>
  </si>
  <si>
    <t>Satibabu Aeimmula</t>
  </si>
  <si>
    <t>Chinnodu Madiki</t>
  </si>
  <si>
    <t>Prasad Thota</t>
  </si>
  <si>
    <t>Srinivasarao Brahmadepu</t>
  </si>
  <si>
    <t>Veeraraju Chanuboyina</t>
  </si>
  <si>
    <t>S Suma</t>
  </si>
  <si>
    <t>K Mariyamma</t>
  </si>
  <si>
    <t>Nepala Vara Lakshmi</t>
  </si>
  <si>
    <t>V Chitti Babu</t>
  </si>
  <si>
    <t>Ganga Neelaveni w/o V Bujji</t>
  </si>
  <si>
    <t>L.Rambabu</t>
  </si>
  <si>
    <t>Sadanala.Yesubabu</t>
  </si>
  <si>
    <t>Bapisetty Shiva</t>
  </si>
  <si>
    <t>Nalam Srinivasa Rao</t>
  </si>
  <si>
    <t>Sheelam Satish</t>
  </si>
  <si>
    <t>Karri Durgaprasad</t>
  </si>
  <si>
    <t>Aaddagarla Siva</t>
  </si>
  <si>
    <t>Ankamreddy Satyanarayana Murthy</t>
  </si>
  <si>
    <t>Chiranjeevi Edla</t>
  </si>
  <si>
    <t>Indana Chinna</t>
  </si>
  <si>
    <t>Koteswarao Surampudi</t>
  </si>
  <si>
    <t>R.Pardasaradhi Mahidar</t>
  </si>
  <si>
    <t>Shivshankar Nealpalli</t>
  </si>
  <si>
    <t>Tatarao Devanakonda</t>
  </si>
  <si>
    <t>Venkata  Lovaraju Kona</t>
  </si>
  <si>
    <t>C.Veerababu</t>
  </si>
  <si>
    <t>Kruparao Jedda</t>
  </si>
  <si>
    <t>Paddaraju Nama</t>
  </si>
  <si>
    <t>K Harinadha Babu</t>
  </si>
  <si>
    <t>Vemagiri Chinni Giri Raju</t>
  </si>
  <si>
    <t>Nana Suresh</t>
  </si>
  <si>
    <t>Oleti Nagireddy</t>
  </si>
  <si>
    <t>G Maheshwara Rao</t>
  </si>
  <si>
    <t>Garaga.Veeranna</t>
  </si>
  <si>
    <t>Chakradharaareddy Muppidi</t>
  </si>
  <si>
    <t>Rajareddy Ambati</t>
  </si>
  <si>
    <t>Sathyanarayan Dadala</t>
  </si>
  <si>
    <t>Peddinti Rajini</t>
  </si>
  <si>
    <t>Vaddi Rambabu</t>
  </si>
  <si>
    <t>Kussi Arjunudu</t>
  </si>
  <si>
    <t>B Kanka Ratnam</t>
  </si>
  <si>
    <t>O.Papireddy</t>
  </si>
  <si>
    <t>P.Pulla Rao</t>
  </si>
  <si>
    <t>P. Sathishbabu</t>
  </si>
  <si>
    <t>P.Nagendra Kumar</t>
  </si>
  <si>
    <t>Ch. Somashekara Reddy</t>
  </si>
  <si>
    <t>G.Satyanarayana</t>
  </si>
  <si>
    <t>M Sattibabu</t>
  </si>
  <si>
    <t>Adibabu Chinnari</t>
  </si>
  <si>
    <t>I.  Venkateshwara Rao</t>
  </si>
  <si>
    <t>Karanam Manikanta</t>
  </si>
  <si>
    <t>Koppisetti Srinu</t>
  </si>
  <si>
    <t>Veera Venkata Papa Rao Karnam</t>
  </si>
  <si>
    <t>A.Gowtam Reddy</t>
  </si>
  <si>
    <t xml:space="preserve">Anandreddy </t>
  </si>
  <si>
    <t>J.Srinivasa Rao</t>
  </si>
  <si>
    <t>K.Appinareddy</t>
  </si>
  <si>
    <t>Vadisetti Nerelareddy</t>
  </si>
  <si>
    <t>Somaraju Mudara</t>
  </si>
  <si>
    <t>Vasamshettykameshwararao</t>
  </si>
  <si>
    <t>Ganesh Subrahmanyam Madepalli</t>
  </si>
  <si>
    <t>Mdigapelli.Rambabu</t>
  </si>
  <si>
    <t>Suresh Bejawada</t>
  </si>
  <si>
    <t>Sathyanarayan Murthi Yadla</t>
  </si>
  <si>
    <t>Tatabaabu Rongala</t>
  </si>
  <si>
    <t>Venkatnageshwarrao Boddu</t>
  </si>
  <si>
    <t>B.Sattibabu</t>
  </si>
  <si>
    <t>K.Nerella Reddy</t>
  </si>
  <si>
    <t>A.Naveen Prasad</t>
  </si>
  <si>
    <t>B.Srinu</t>
  </si>
  <si>
    <t>V.Rambabu</t>
  </si>
  <si>
    <t>Anala.Sudarshan</t>
  </si>
  <si>
    <t>B.Lovaraju</t>
  </si>
  <si>
    <t>Bathina.Lovaraju</t>
  </si>
  <si>
    <t>K.Yesubabu</t>
  </si>
  <si>
    <t>M.Mariyya</t>
  </si>
  <si>
    <t>P.Dorababu</t>
  </si>
  <si>
    <t>Dake Maheswari</t>
  </si>
  <si>
    <t>Krishanababu Jyotula</t>
  </si>
  <si>
    <t>Ramaswamy Geddam</t>
  </si>
  <si>
    <t>Sathyanarayan Ginjala</t>
  </si>
  <si>
    <t>Kanda.Konda Rao</t>
  </si>
  <si>
    <t>Appannabaabu Cola</t>
  </si>
  <si>
    <t>Apparao Komminidi</t>
  </si>
  <si>
    <t>Rambabu Kurakula</t>
  </si>
  <si>
    <t>Thrimurthulu Dara</t>
  </si>
  <si>
    <t>Venkatesh Pedireddy</t>
  </si>
  <si>
    <t>Gogo.Jagannadam</t>
  </si>
  <si>
    <t>K.Laxman Rao</t>
  </si>
  <si>
    <t>K.Srinivasa Rao</t>
  </si>
  <si>
    <t>G.Devudu</t>
  </si>
  <si>
    <t>Penumalu.Narayana Reddy</t>
  </si>
  <si>
    <t>Bandi Darmaraju</t>
  </si>
  <si>
    <t>Paparao Madem</t>
  </si>
  <si>
    <t>Apparao Namda</t>
  </si>
  <si>
    <t>S Shetty Kodanda</t>
  </si>
  <si>
    <t>Srinu Chedala</t>
  </si>
  <si>
    <t>Apparao Nimmala</t>
  </si>
  <si>
    <t>Appalaraju Chipiti</t>
  </si>
  <si>
    <t>Baburao Bulipe</t>
  </si>
  <si>
    <t>Naagprasaad Uddandu</t>
  </si>
  <si>
    <t>Rajubabu Singuluri</t>
  </si>
  <si>
    <t>Subbarao Juvvala</t>
  </si>
  <si>
    <t>Veerababu Gompa</t>
  </si>
  <si>
    <t>Venkataramana Done</t>
  </si>
  <si>
    <t>Venkataramasuryasatyanarayana Koppala</t>
  </si>
  <si>
    <t>Yesubabu Muppanaboina</t>
  </si>
  <si>
    <t>Amdati Ganesh</t>
  </si>
  <si>
    <t>Baliji Veergatlu</t>
  </si>
  <si>
    <t>Bollu Mohan Rao</t>
  </si>
  <si>
    <t>Danakula Ganapati</t>
  </si>
  <si>
    <t>Na</t>
  </si>
  <si>
    <t>Erathi Babji</t>
  </si>
  <si>
    <t>Juvala Srinu</t>
  </si>
  <si>
    <t>Juvvala Kondal Rao</t>
  </si>
  <si>
    <t>Koppu Chinababu</t>
  </si>
  <si>
    <t>Nalla Venkatesh</t>
  </si>
  <si>
    <t>Vanarthi Babiji</t>
  </si>
  <si>
    <t>Kadari Veera Babu</t>
  </si>
  <si>
    <t>Napalli Chanti Babu</t>
  </si>
  <si>
    <t>Pokanati Nani</t>
  </si>
  <si>
    <t>Amaradhi Sathi Babu</t>
  </si>
  <si>
    <t>Dasam Sesha Rao</t>
  </si>
  <si>
    <t>Mogali Ram Babu</t>
  </si>
  <si>
    <t>Bolli Venkateswara Rao</t>
  </si>
  <si>
    <t>Gangaraju Gompa</t>
  </si>
  <si>
    <t>Sathyanarayan Jakka</t>
  </si>
  <si>
    <t>Veeshnumaheshwarar Gonagala</t>
  </si>
  <si>
    <t>Venkatesh Singidi</t>
  </si>
  <si>
    <t>Apparao Aa Nnika</t>
  </si>
  <si>
    <t>Somala Lovababu</t>
  </si>
  <si>
    <t>Naresh Barri</t>
  </si>
  <si>
    <t>Apparao Palika</t>
  </si>
  <si>
    <t>Rammohnrao Chakkapalli</t>
  </si>
  <si>
    <t>Venkatrav Jalligampala</t>
  </si>
  <si>
    <t>Dora Babu Bavi Setti</t>
  </si>
  <si>
    <t>Krishan Setti</t>
  </si>
  <si>
    <t>Lakshmana Gubbala</t>
  </si>
  <si>
    <t>Chantibabu Seemusuru</t>
  </si>
  <si>
    <t>Kishore Appikonda</t>
  </si>
  <si>
    <t>Maheshwarar Nagisetty</t>
  </si>
  <si>
    <t>Nagendrababu Kadugula</t>
  </si>
  <si>
    <t>Nani Babu Setti Battula</t>
  </si>
  <si>
    <t>Radhakrishan Arigela</t>
  </si>
  <si>
    <t>Rajendraprasad Jedda</t>
  </si>
  <si>
    <t>Rambabu Chitra</t>
  </si>
  <si>
    <t>Sathi Raju Ravuri</t>
  </si>
  <si>
    <t>Veerabhadram Chilakamarthy</t>
  </si>
  <si>
    <t>Arjunudu Madiki</t>
  </si>
  <si>
    <t>Bhaskararao Bathula</t>
  </si>
  <si>
    <t>Nagaswararao Pedireddy</t>
  </si>
  <si>
    <t>Sreeramachandramurthi Kare</t>
  </si>
  <si>
    <t>Veerababu Manepalli</t>
  </si>
  <si>
    <t>Jakka Pala Rao</t>
  </si>
  <si>
    <t>Enugula Srinivasa Rao</t>
  </si>
  <si>
    <t>Chinthapalli Chanti</t>
  </si>
  <si>
    <t>Drasharapu Sathi Babu</t>
  </si>
  <si>
    <t>Saripalli Lokesh</t>
  </si>
  <si>
    <t>Papanaboina Thataji</t>
  </si>
  <si>
    <t>Babjee Amaradi</t>
  </si>
  <si>
    <t>Lova Venkata Satyanarayan Rasamsetty</t>
  </si>
  <si>
    <t>Venkata Ramana Ama Raadi</t>
  </si>
  <si>
    <t>Sivashankar Pendyala</t>
  </si>
  <si>
    <t>Bullebbai Mudda</t>
  </si>
  <si>
    <t>Mangaraju Sri Chittibabau Sunkara</t>
  </si>
  <si>
    <t>Muliki Naagsuri</t>
  </si>
  <si>
    <t>R K Satya Prasad Chavala</t>
  </si>
  <si>
    <t>Rajababu Raidu</t>
  </si>
  <si>
    <t>Seetaramaiah Ramishetti</t>
  </si>
  <si>
    <t>Suribabu Goragadla</t>
  </si>
  <si>
    <t>Durga Prasad Molugu</t>
  </si>
  <si>
    <t>Gangababu Gouthu</t>
  </si>
  <si>
    <t>Raamsathyam Jooareddy</t>
  </si>
  <si>
    <t>Shobhanbaabu Surampudi</t>
  </si>
  <si>
    <t>Suribabu Pericharla</t>
  </si>
  <si>
    <t>Nagaraju Gavireddy</t>
  </si>
  <si>
    <t>Shriniva Chintkayala</t>
  </si>
  <si>
    <t>Jamili Bangarau</t>
  </si>
  <si>
    <t>Prasad Bachala</t>
  </si>
  <si>
    <t>Venkataramana Batchala</t>
  </si>
  <si>
    <t>Karri Lava Kumar</t>
  </si>
  <si>
    <t>Nookaraju Gantimalla</t>
  </si>
  <si>
    <t>Chinababu Paila</t>
  </si>
  <si>
    <t>Chinaenkanna Padalu Allam</t>
  </si>
  <si>
    <t>Shrinu Siriki</t>
  </si>
  <si>
    <t>Varahalu Kalla</t>
  </si>
  <si>
    <t>Chinna Nookaraju</t>
  </si>
  <si>
    <t>Ginjala Narasimha Murthy</t>
  </si>
  <si>
    <t>Gadula Varahalababu</t>
  </si>
  <si>
    <t>R Srinu</t>
  </si>
  <si>
    <t>Apparao Sarmalla</t>
  </si>
  <si>
    <t>Nagaswararao Adpa</t>
  </si>
  <si>
    <t>Sathyanarayan Ganta</t>
  </si>
  <si>
    <t>Durgarao Vanthu</t>
  </si>
  <si>
    <t>Gopinath Gollu</t>
  </si>
  <si>
    <t>Govindu Surla</t>
  </si>
  <si>
    <t>Jogeswear Gavireddi</t>
  </si>
  <si>
    <t>Kondabaabu Kolla</t>
  </si>
  <si>
    <t>Lovaraju Chintala</t>
  </si>
  <si>
    <t>Lovaraju Potala</t>
  </si>
  <si>
    <t>Prabhakar Koruprolu</t>
  </si>
  <si>
    <t>Veeraraju Cola</t>
  </si>
  <si>
    <t>Venkata Prasadu Oota</t>
  </si>
  <si>
    <t>Venkataramana Setty</t>
  </si>
  <si>
    <t>Govindu Areddy</t>
  </si>
  <si>
    <t>Satyannarayana Igala</t>
  </si>
  <si>
    <t>Venkataramana Pallem</t>
  </si>
  <si>
    <t>Gangaraju Gampala</t>
  </si>
  <si>
    <t>Gangaram Tatipaka</t>
  </si>
  <si>
    <t>Lakshman Komaragiri</t>
  </si>
  <si>
    <t>Naresh Kolla</t>
  </si>
  <si>
    <t>Narsaiah Merapala</t>
  </si>
  <si>
    <t>Ramesh Gorla</t>
  </si>
  <si>
    <t>Satish Chitikireddi</t>
  </si>
  <si>
    <t>Satyanarayana Mogaliturti</t>
  </si>
  <si>
    <t>Shrinu Kadupukutla</t>
  </si>
  <si>
    <t>Shrinu Merapala</t>
  </si>
  <si>
    <t>Srinivas Kuppili</t>
  </si>
  <si>
    <t>Lakshynaraayana Oleti</t>
  </si>
  <si>
    <t>Bhavani Guddati</t>
  </si>
  <si>
    <t>Durga Prasad Bhurthi</t>
  </si>
  <si>
    <t>Enkanna Muliki</t>
  </si>
  <si>
    <t>Latcharao Jatla</t>
  </si>
  <si>
    <t>Lovaraju Kolluboina</t>
  </si>
  <si>
    <t>Rowthu Venkata Srinivasarao</t>
  </si>
  <si>
    <t>Sathyanarayan Bommidi</t>
  </si>
  <si>
    <t>Shriniva Borra</t>
  </si>
  <si>
    <t>Vara Prasad Parvatha</t>
  </si>
  <si>
    <t>Srinu Sripathi</t>
  </si>
  <si>
    <t>Lakshmanarao Challa</t>
  </si>
  <si>
    <t>Srinivasarao Gamu</t>
  </si>
  <si>
    <t>V.Satyanandgiri Gamu</t>
  </si>
  <si>
    <t>Raju Devara</t>
  </si>
  <si>
    <t>Venkateshwararao Palivela</t>
  </si>
  <si>
    <t>Apparao Burela</t>
  </si>
  <si>
    <t>Srinivasarao Gunupudi</t>
  </si>
  <si>
    <t>Suryanarain  Bank</t>
  </si>
  <si>
    <t>Manga Beesetty</t>
  </si>
  <si>
    <t>Veera Shiva Nakkana</t>
  </si>
  <si>
    <t>Veeraprbhakar Vegi</t>
  </si>
  <si>
    <t>Vijaya Durga Prasad Malla</t>
  </si>
  <si>
    <t>Vinod Boddeti</t>
  </si>
  <si>
    <t>V Nagesh</t>
  </si>
  <si>
    <t>B Vasu</t>
  </si>
  <si>
    <t>Malla Parvathaya</t>
  </si>
  <si>
    <t>Sarpanch Ward member</t>
  </si>
  <si>
    <t>Bodha Surya Prakash</t>
  </si>
  <si>
    <t>Bodha eswararao</t>
  </si>
  <si>
    <t>Maniraju Vetukuri</t>
  </si>
  <si>
    <t>Sathyanarayan Boara</t>
  </si>
  <si>
    <t>Polana Venkata Surya Bhagavan</t>
  </si>
  <si>
    <t>S Nanaji</t>
  </si>
  <si>
    <t>Boddi Suri Babu</t>
  </si>
  <si>
    <t>Boddi Sathi Babu</t>
  </si>
  <si>
    <t>Burra Sathi Babu</t>
  </si>
  <si>
    <t>Srinivas Isarapu</t>
  </si>
  <si>
    <t>Venkta  Ramana Palla</t>
  </si>
  <si>
    <t>Jankala Pakir</t>
  </si>
  <si>
    <t>Barre Bullikapu</t>
  </si>
  <si>
    <t>P Venkatachalam</t>
  </si>
  <si>
    <t>Tatavarthi Ramannadora</t>
  </si>
  <si>
    <t>Anakapalli Nookaraju</t>
  </si>
  <si>
    <t>Salhivahana Community Director</t>
  </si>
  <si>
    <t>Nammi Veerababu</t>
  </si>
  <si>
    <t>Gudagula Appalraju</t>
  </si>
  <si>
    <t>Murrukurthi Subba Rao</t>
  </si>
  <si>
    <t>Modabala Ammaji</t>
  </si>
  <si>
    <t>Ronda Chinthalli</t>
  </si>
  <si>
    <t>Vangalapudi Surya Kantham</t>
  </si>
  <si>
    <t>Chandrada Arjunudu</t>
  </si>
  <si>
    <t>Mumi Srinu</t>
  </si>
  <si>
    <t>Kandakudi Sathyavathi</t>
  </si>
  <si>
    <t>Ponuparthula Nagamani</t>
  </si>
  <si>
    <t>Palla Govindhamma</t>
  </si>
  <si>
    <t>Yellapu Sathyavathi</t>
  </si>
  <si>
    <t>Mandhaparthi Srinu</t>
  </si>
  <si>
    <t xml:space="preserve">Ammaradi Nageswararao </t>
  </si>
  <si>
    <t>Barrla NagaRaju</t>
  </si>
  <si>
    <t>Village President</t>
  </si>
  <si>
    <t>Chandrada Raju</t>
  </si>
  <si>
    <t>Kunnipudi Venkateswarrao</t>
  </si>
  <si>
    <t>Kollu Yesubabu</t>
  </si>
  <si>
    <t>Allu Ganga</t>
  </si>
  <si>
    <t>Egala Chakkara Rao</t>
  </si>
  <si>
    <t>Egala Chanti</t>
  </si>
  <si>
    <t>Palika David Raju</t>
  </si>
  <si>
    <t>Manjuri Siva</t>
  </si>
  <si>
    <t>Shift from Jsp</t>
  </si>
  <si>
    <t>Gonagala Vishnu Maheshwararao</t>
  </si>
  <si>
    <t>Shift from Tdp</t>
  </si>
  <si>
    <t>Garra Venkata Ramana</t>
  </si>
  <si>
    <t>Namala Babu</t>
  </si>
  <si>
    <t>P Nooka Raju</t>
  </si>
  <si>
    <t>S Ammiraju</t>
  </si>
  <si>
    <t>S Subbarao</t>
  </si>
  <si>
    <t>Dara Nookaraju</t>
  </si>
  <si>
    <t>Goku Verabadrarao</t>
  </si>
  <si>
    <t>Gorula Lachibabu</t>
  </si>
  <si>
    <t>Jakka Naga Vishnumurthy</t>
  </si>
  <si>
    <t>K Subbarao</t>
  </si>
  <si>
    <t>Lokareddi  Durga Eswararao</t>
  </si>
  <si>
    <t>Ramisetti Kondalarao</t>
  </si>
  <si>
    <t>Nagulapalli Apparao</t>
  </si>
  <si>
    <t>Palleki Ayan</t>
  </si>
  <si>
    <t>B Laxmi Prasanna</t>
  </si>
  <si>
    <t>B Venkateswararao</t>
  </si>
  <si>
    <t>Kadagula Nookaraju</t>
  </si>
  <si>
    <t>Kadugula Nookaraju</t>
  </si>
  <si>
    <t>Madila Anasuya Devi</t>
  </si>
  <si>
    <t>Madine Nookaraju</t>
  </si>
  <si>
    <t>Nalameli Pavankumar</t>
  </si>
  <si>
    <t>Pinisetti Prakash</t>
  </si>
  <si>
    <t>Satini Srinivasarao</t>
  </si>
  <si>
    <t>Kommula Kannababu</t>
  </si>
  <si>
    <t>Ex President Kakinada</t>
  </si>
  <si>
    <t>Yedla Jagadesh</t>
  </si>
  <si>
    <t>Venugula Nani</t>
  </si>
  <si>
    <t>ITDP President</t>
  </si>
  <si>
    <t>Madhini Dorrababu</t>
  </si>
  <si>
    <t>Murra Vara Prasad</t>
  </si>
  <si>
    <t>EX Sarpanch,EX MPTC</t>
  </si>
  <si>
    <t>Zeda Rajendra</t>
  </si>
  <si>
    <t>Chikkamarthi Veera Bhadram</t>
  </si>
  <si>
    <t>Ambothula Valapurao</t>
  </si>
  <si>
    <t>Settibarrthula Veerababu</t>
  </si>
  <si>
    <t xml:space="preserve">Goppisetti Srinu </t>
  </si>
  <si>
    <t>perika</t>
  </si>
  <si>
    <t>Shift From Jsp</t>
  </si>
  <si>
    <t>Dehra Raja Rajeshwari</t>
  </si>
  <si>
    <t>Dehra Dhora babu</t>
  </si>
  <si>
    <t>EX Mandal Convener</t>
  </si>
  <si>
    <t>Dehra Lakshmi Prasanna</t>
  </si>
  <si>
    <t>District Education President</t>
  </si>
  <si>
    <t>Gudala Vijay Lakshmi</t>
  </si>
  <si>
    <t>Dhoda Sathibabu</t>
  </si>
  <si>
    <t>Bhaskararao Sandrapu</t>
  </si>
  <si>
    <t>Chinthapalli Padhamavthi</t>
  </si>
  <si>
    <t>Akoju Manikyam</t>
  </si>
  <si>
    <t>Gijala  Subrahmanyam</t>
  </si>
  <si>
    <t>Pokavati Apparao</t>
  </si>
  <si>
    <t>L Ganga Durga Eswararao</t>
  </si>
  <si>
    <t>Pasupuleti Chakradhar</t>
  </si>
  <si>
    <t>Ranganadam Abbai</t>
  </si>
  <si>
    <t>K.Govindu</t>
  </si>
  <si>
    <t>Muthidi Nookaraju</t>
  </si>
  <si>
    <t>7093564525
9603313844</t>
  </si>
  <si>
    <t>A Kondababu</t>
  </si>
  <si>
    <t>Lekkala Jogibabu</t>
  </si>
  <si>
    <t>R Satyanarayana</t>
  </si>
  <si>
    <t>Geddam Peerraju</t>
  </si>
  <si>
    <t>Pakkurthi Jeeva Jaya Babu</t>
  </si>
  <si>
    <t>Puparthi Jaybabu</t>
  </si>
  <si>
    <t>Sekala Appala Murhty</t>
  </si>
  <si>
    <t>Dhimmala Anjaneyulu</t>
  </si>
  <si>
    <t>Gaddam Venkata Lakshmi</t>
  </si>
  <si>
    <t>Kollu Kumari</t>
  </si>
  <si>
    <t>Padala Thirumala Venkana Dora</t>
  </si>
  <si>
    <t>Kakara Jaya Raju</t>
  </si>
  <si>
    <t>Srinu Varma</t>
  </si>
  <si>
    <t>Egalu Bodu Raju</t>
  </si>
  <si>
    <t>Geddam Devanam</t>
  </si>
  <si>
    <t>Eegalu Kondababu</t>
  </si>
  <si>
    <t xml:space="preserve">Contested as Sarpanch </t>
  </si>
  <si>
    <t>Chinavenkatsatyamurti Yenugu</t>
  </si>
  <si>
    <t>Srinivas Muvvala</t>
  </si>
  <si>
    <t>Srinivasuane Pothuraju Kakara</t>
  </si>
  <si>
    <t>Channada Beemaraju</t>
  </si>
  <si>
    <t>A Saikumar</t>
  </si>
  <si>
    <t>A Veerababu</t>
  </si>
  <si>
    <t>Etamsetti Balakrishna</t>
  </si>
  <si>
    <t>I Nanaji</t>
  </si>
  <si>
    <t>J Srinu</t>
  </si>
  <si>
    <t>Karaka Srinuvasurao</t>
  </si>
  <si>
    <t>Yenumula Koteswaradora</t>
  </si>
  <si>
    <t>E Simhachala</t>
  </si>
  <si>
    <t>Active Member, Auto Driver</t>
  </si>
  <si>
    <t>Manam Veerababu</t>
  </si>
  <si>
    <t>LIC Agent, Leader</t>
  </si>
  <si>
    <t>Nadipalli Srinu</t>
  </si>
  <si>
    <t>Raju Gadi</t>
  </si>
  <si>
    <t>Booth Convener,MPTC</t>
  </si>
  <si>
    <t>Raju Kasi</t>
  </si>
  <si>
    <t>Sathyasivannarayanamurthi Vasam</t>
  </si>
  <si>
    <t>Venkateswararao Kalluri</t>
  </si>
  <si>
    <t>BOoth Convener</t>
  </si>
  <si>
    <t>Yemana Suresh Babu</t>
  </si>
  <si>
    <t>Londa Devullu</t>
  </si>
  <si>
    <t xml:space="preserve"> Party Member</t>
  </si>
  <si>
    <t>Yemana Siva Kumar</t>
  </si>
  <si>
    <t>Venkatsatyanarayana Igala</t>
  </si>
  <si>
    <t>Takipakka Krishna</t>
  </si>
  <si>
    <t>Amalapuram Sathibabu</t>
  </si>
  <si>
    <t>Asina Srinivasu</t>
  </si>
  <si>
    <t>Dara Venkata Ramana</t>
  </si>
  <si>
    <t>Gulla Anand</t>
  </si>
  <si>
    <t>Merapala Chandrarao</t>
  </si>
  <si>
    <t>Mirapla Chandrarao</t>
  </si>
  <si>
    <t>Nadipalli Ramesh</t>
  </si>
  <si>
    <t>Totada Raju</t>
  </si>
  <si>
    <t>V Satya Venkata Varaha Murthy</t>
  </si>
  <si>
    <t>Apparao Kundeti</t>
  </si>
  <si>
    <t>Babji Chodapuneedi</t>
  </si>
  <si>
    <t>Gangadhar Alamuri</t>
  </si>
  <si>
    <t>Kondabaabu Pirla</t>
  </si>
  <si>
    <t>Sathyanarayan Alpu</t>
  </si>
  <si>
    <t>Sathyanarayan Gaji</t>
  </si>
  <si>
    <t>Srinu Kukka</t>
  </si>
  <si>
    <t>Suribabu Dudi</t>
  </si>
  <si>
    <t>Veera Venkataramana Amajala</t>
  </si>
  <si>
    <t>Venkataramana Gaabu</t>
  </si>
  <si>
    <t>Yesamma</t>
  </si>
  <si>
    <t>Kotla Sathibabu</t>
  </si>
  <si>
    <t>G Nagu</t>
  </si>
  <si>
    <t>Venna Shiva</t>
  </si>
  <si>
    <t>Majority of voters is supported to  TDP party</t>
  </si>
  <si>
    <t>Koyya Ramu</t>
  </si>
  <si>
    <t>Lakshmi Babu</t>
  </si>
  <si>
    <t>Medesetti Suryakiran</t>
  </si>
  <si>
    <t>Satyan Raju</t>
  </si>
  <si>
    <t>Gabu Krishna</t>
  </si>
  <si>
    <t>Gaithu Venkateswararao</t>
  </si>
  <si>
    <t>Gouthu Vera Venkata Ramana</t>
  </si>
  <si>
    <t>Jilakara Lakshmanarao</t>
  </si>
  <si>
    <t>Madipelli Mahesh</t>
  </si>
  <si>
    <t>Origati Veerraju</t>
  </si>
  <si>
    <t>R Venkateswararao</t>
  </si>
  <si>
    <t>Thotada Raju</t>
  </si>
  <si>
    <t>Badhi Suresh</t>
  </si>
  <si>
    <t xml:space="preserve">Leader  </t>
  </si>
  <si>
    <t>Gorli Jogarao</t>
  </si>
  <si>
    <t>Gruha Saradhi, Ex-Convenor</t>
  </si>
  <si>
    <t>Nadigatla Veerraju</t>
  </si>
  <si>
    <t>MPTC, Sachivalayam Convenor, Mandal Vyvasayasaka Salaha Committee Chairman</t>
  </si>
  <si>
    <t>D Rama Swamy</t>
  </si>
  <si>
    <t>D Siva Kumar</t>
  </si>
  <si>
    <t>Leader (S/o Sarpanch)</t>
  </si>
  <si>
    <t>Thota Rambabu</t>
  </si>
  <si>
    <t>Ginjala Konda Babu</t>
  </si>
  <si>
    <t>Govindu Sarnam</t>
  </si>
  <si>
    <t>Party President, Zilla Parliament Secretary</t>
  </si>
  <si>
    <t>Sivarama Krishna Mandapalli</t>
  </si>
  <si>
    <t>Kurada John Babu</t>
  </si>
  <si>
    <t>Narala Tatabai</t>
  </si>
  <si>
    <t>Saitireddy Venkata Krishnayya</t>
  </si>
  <si>
    <t>Narala Srinivasa rao</t>
  </si>
  <si>
    <t>Zilla Ex-President</t>
  </si>
  <si>
    <t>Bathi Rama Rao</t>
  </si>
  <si>
    <t>Enkannadora Arigela</t>
  </si>
  <si>
    <t>Sathyanarayan Pirla</t>
  </si>
  <si>
    <t>Veerababu Talapanti</t>
  </si>
  <si>
    <t>Vijaykumar Chitumuri</t>
  </si>
  <si>
    <t>Adapa Veerababu</t>
  </si>
  <si>
    <t>Bathina Apparao</t>
  </si>
  <si>
    <t>Byra Sriramamurthy</t>
  </si>
  <si>
    <t>Chinthamaneni Kumar</t>
  </si>
  <si>
    <t>Gowthu Srinu</t>
  </si>
  <si>
    <t>Jatla Someswararao</t>
  </si>
  <si>
    <t>Padala Satishkumar</t>
  </si>
  <si>
    <t>Puli Krishna</t>
  </si>
  <si>
    <t>Thungala Suresh</t>
  </si>
  <si>
    <t>Yalanala Subhakalpana</t>
  </si>
  <si>
    <t>Sakuru Vishnamurthy</t>
  </si>
  <si>
    <t>Lowdu Srinu</t>
  </si>
  <si>
    <t>Sarmarla Mosherao</t>
  </si>
  <si>
    <t>M Satyanarayana</t>
  </si>
  <si>
    <t>Gummuluri Venkataramana</t>
  </si>
  <si>
    <t>Sirikoti Ramarao</t>
  </si>
  <si>
    <t>Ejanigiri Sivaprasad</t>
  </si>
  <si>
    <t>Pothala  Mutyalaraju</t>
  </si>
  <si>
    <t>Parimi Nagu</t>
  </si>
  <si>
    <t>Narga Rathnaji</t>
  </si>
  <si>
    <t>Bodapati Srinu</t>
  </si>
  <si>
    <t>Town SC Cell Conviner</t>
  </si>
  <si>
    <t>Sadhu Prasad</t>
  </si>
  <si>
    <t>Dosaparthi Prasad</t>
  </si>
  <si>
    <t>Nanipalli Ramana</t>
  </si>
  <si>
    <t>Shiva Bhaskarrao</t>
  </si>
  <si>
    <t>Apparao Dadi</t>
  </si>
  <si>
    <t>Devata Nandika</t>
  </si>
  <si>
    <t>Kondayyanaidu Geddam</t>
  </si>
  <si>
    <t>Srinivasarao Doddi</t>
  </si>
  <si>
    <t>Gadi Ramanababu</t>
  </si>
  <si>
    <t>Kurasa Mallayya</t>
  </si>
  <si>
    <t>9490887515 9912581779</t>
  </si>
  <si>
    <t>Shriniva Parpalli</t>
  </si>
  <si>
    <t>Shrinivas Rawada</t>
  </si>
  <si>
    <t>Varahalubaabu Emula</t>
  </si>
  <si>
    <t>Boddu  Rambabu</t>
  </si>
  <si>
    <t>Karaka Nageshwarao</t>
  </si>
  <si>
    <t>Lalam Venkataramana</t>
  </si>
  <si>
    <t>Lovaraju Itmshetty</t>
  </si>
  <si>
    <t>Nageswara Rao Allu</t>
  </si>
  <si>
    <t>Ramanamurty Yitamshetty</t>
  </si>
  <si>
    <t>Sanyasipathrudu Amkamreddy</t>
  </si>
  <si>
    <t>Shrinu Bypuareddy</t>
  </si>
  <si>
    <t>Admkhan Mohamed</t>
  </si>
  <si>
    <t>Devarapu Venkateshwarao</t>
  </si>
  <si>
    <t>Krishnarjuna Saamaneedi</t>
  </si>
  <si>
    <t>Lanka Prasad</t>
  </si>
  <si>
    <t>Nagaswararao Vasam</t>
  </si>
  <si>
    <t>Appalaraju Chandaka</t>
  </si>
  <si>
    <t>Chinnabbayi Nandika</t>
  </si>
  <si>
    <t>Chintala Dorababu</t>
  </si>
  <si>
    <t>Darla Suryachandra</t>
  </si>
  <si>
    <t>Garisinghu Dorababu</t>
  </si>
  <si>
    <t>Kuramdasu Rambabu</t>
  </si>
  <si>
    <t>Sachivalayam 2 Conviner</t>
  </si>
  <si>
    <t>Lovaraju Pampanaboyina</t>
  </si>
  <si>
    <t>Nookaraju  Medikonda</t>
  </si>
  <si>
    <t>Ramana Ankiareddy</t>
  </si>
  <si>
    <t>Venkatsatyprasad Gadi</t>
  </si>
  <si>
    <t>Vadlamuri Nageshwarao</t>
  </si>
  <si>
    <t>Prasad Nandika</t>
  </si>
  <si>
    <t>Rameh Chukkala</t>
  </si>
  <si>
    <t>Surendra Kumar Pandiri</t>
  </si>
  <si>
    <t>Chukala Srinu</t>
  </si>
  <si>
    <t>Paila Veera Anjinilu</t>
  </si>
  <si>
    <t>Tolem Nageshwarao</t>
  </si>
  <si>
    <t>Annamreddy Gangunaidu</t>
  </si>
  <si>
    <t>Appalanaidu Bheemiareddy</t>
  </si>
  <si>
    <t>Appalanaidu Sabbarpu</t>
  </si>
  <si>
    <t>Nallamilli Govindu</t>
  </si>
  <si>
    <t>Nukinayudu Gudivada</t>
  </si>
  <si>
    <t>Ruthala Joggiraju</t>
  </si>
  <si>
    <t>Suryaprakashrao Bangaru</t>
  </si>
  <si>
    <t>Lova Surla</t>
  </si>
  <si>
    <t>Nageswararao Surla</t>
  </si>
  <si>
    <t>Dongababu Manimala</t>
  </si>
  <si>
    <t>Gopi Chokka</t>
  </si>
  <si>
    <t>Kondabaabu Yadala</t>
  </si>
  <si>
    <t>Naresh Kumar Dulla</t>
  </si>
  <si>
    <t>Srinivasarao Kaliboyina</t>
  </si>
  <si>
    <t>Subbarao Degala</t>
  </si>
  <si>
    <t>Koyya Venkata Gangadhar Rao</t>
  </si>
  <si>
    <t>Y Nageswarao</t>
  </si>
  <si>
    <t>Koyya Ram Keshava Rao</t>
  </si>
  <si>
    <t>Y Krishna</t>
  </si>
  <si>
    <t>Kakada Singana</t>
  </si>
  <si>
    <t>Tholumu Soma Raju</t>
  </si>
  <si>
    <t>Koyya Jagadeshwari w/o Murali</t>
  </si>
  <si>
    <t>Bathina Madhu</t>
  </si>
  <si>
    <t>Y Surya Rao</t>
  </si>
  <si>
    <t>Koyya Srinubabu</t>
  </si>
  <si>
    <t>Sivakoti Lovaraju</t>
  </si>
  <si>
    <t>Kaliboyin Srinivas</t>
  </si>
  <si>
    <t>Kasimdevala Srinivas</t>
  </si>
  <si>
    <t>Anugupalli Papaji</t>
  </si>
  <si>
    <t>Ashokbabu Aalapu</t>
  </si>
  <si>
    <t>Busala Ganapathi</t>
  </si>
  <si>
    <t>Chinaapparao Muppidi</t>
  </si>
  <si>
    <t>Gopalakrishan Palacharla</t>
  </si>
  <si>
    <t>Kadipalli Apparao</t>
  </si>
  <si>
    <t>Somishetti Venkat Satya Chalapati</t>
  </si>
  <si>
    <t>Sreedevi Nammi</t>
  </si>
  <si>
    <t>Sreenivas Pampana</t>
  </si>
  <si>
    <t>Tata Rao Akula</t>
  </si>
  <si>
    <t>Venkata Krishna Gandreddi</t>
  </si>
  <si>
    <t>Yalati Dharmaraju</t>
  </si>
  <si>
    <t>Polavarapu Sathibabu</t>
  </si>
  <si>
    <t>Baburao  Mareti</t>
  </si>
  <si>
    <t>Bujjibabu Narala</t>
  </si>
  <si>
    <t>Bulliabbai Chokka</t>
  </si>
  <si>
    <t>Manikumar Chokka</t>
  </si>
  <si>
    <t>PSL Member</t>
  </si>
  <si>
    <t>Ramana Chokka</t>
  </si>
  <si>
    <t>Apparao Boorti</t>
  </si>
  <si>
    <t>Simhachalam Burti</t>
  </si>
  <si>
    <t>Yadala Suribabu</t>
  </si>
  <si>
    <t>Madiki Rama Raju</t>
  </si>
  <si>
    <t>Voter List Verifier</t>
  </si>
  <si>
    <t>Yadala Ramu</t>
  </si>
  <si>
    <t>Bhoorthi Chanti Babu</t>
  </si>
  <si>
    <t>Nakka Venkatesh</t>
  </si>
  <si>
    <t>Bhoorthi Naidu</t>
  </si>
  <si>
    <t>Dhadala Apparao</t>
  </si>
  <si>
    <t>Peketi Dora Konda</t>
  </si>
  <si>
    <t>9494766543
9490147543</t>
  </si>
  <si>
    <t>Peketi Rajesh</t>
  </si>
  <si>
    <t>Kaali Ramana</t>
  </si>
  <si>
    <t>Nemala Srinu</t>
  </si>
  <si>
    <t>Bhoorthi Nani</t>
  </si>
  <si>
    <t>Budhi Bujji</t>
  </si>
  <si>
    <t>Dhadala Vijaya Babu</t>
  </si>
  <si>
    <t>Baburao Dulam</t>
  </si>
  <si>
    <t>Baburao Thota</t>
  </si>
  <si>
    <t>China Appalaraju Chandaka</t>
  </si>
  <si>
    <t>Lakshababu Ganta</t>
  </si>
  <si>
    <t>Malleshwarrao Koyya</t>
  </si>
  <si>
    <t>Nagendrababu Kummari</t>
  </si>
  <si>
    <t>Rajesh Peketi</t>
  </si>
  <si>
    <t>Simhachalam Yadala</t>
  </si>
  <si>
    <t>Atthi Ramana</t>
  </si>
  <si>
    <t>Rajubabu Yadla</t>
  </si>
  <si>
    <t>Shubhadrar Namala</t>
  </si>
  <si>
    <t>Suribabu Kolla</t>
  </si>
  <si>
    <t>Yadla Venkata RAmana</t>
  </si>
  <si>
    <t>Y Suresh</t>
  </si>
  <si>
    <t>Dhidi Haribabu</t>
  </si>
  <si>
    <t>Bekam Thamarao</t>
  </si>
  <si>
    <t>Addala Nageswarao</t>
  </si>
  <si>
    <t>Dondapari Mariyadasu</t>
  </si>
  <si>
    <t>Bharathu Nuka Raju</t>
  </si>
  <si>
    <t>Yadla Ganga</t>
  </si>
  <si>
    <t>Bekam Radha Krishna</t>
  </si>
  <si>
    <t>Athimam Manishwarao</t>
  </si>
  <si>
    <t>Wise sarpanch</t>
  </si>
  <si>
    <t>Rayu Raju</t>
  </si>
  <si>
    <t>Tangala Satyanarayana</t>
  </si>
  <si>
    <t>Visam Paddaraju</t>
  </si>
  <si>
    <t>Govindu Thota</t>
  </si>
  <si>
    <t>Kameshwararao Pasupuleti</t>
  </si>
  <si>
    <t>Dulukudi Anjaneyulu</t>
  </si>
  <si>
    <t>Srinu</t>
  </si>
  <si>
    <t>Narayesetti Prakash</t>
  </si>
  <si>
    <t>Srinu Tangella</t>
  </si>
  <si>
    <t>Pulugu Yesu</t>
  </si>
  <si>
    <t>Party Member, Ex-Booth Convenor</t>
  </si>
  <si>
    <t>Sukar Veeravenkatasatyanarayana</t>
  </si>
  <si>
    <t>Vanaparti Suresh</t>
  </si>
  <si>
    <t xml:space="preserve">Appana Dora  </t>
  </si>
  <si>
    <t>Koda Gangadhar</t>
  </si>
  <si>
    <t>Thunedi Chiranjeevi</t>
  </si>
  <si>
    <t>Madiki Nageswarao</t>
  </si>
  <si>
    <t>Dhoolam Apparao</t>
  </si>
  <si>
    <t>Dhoolam Veerababu</t>
  </si>
  <si>
    <t>Aambujalapu Chanti Babu</t>
  </si>
  <si>
    <t>Gangadhar Rao Uandrasapu</t>
  </si>
  <si>
    <t>Kashivishvanadh Togru</t>
  </si>
  <si>
    <t>Sathibabu Juvvala</t>
  </si>
  <si>
    <t>V Narasinhamurti Bobbadi</t>
  </si>
  <si>
    <t>Venkat Subbarao Pappala</t>
  </si>
  <si>
    <t>Sunkara Chakravarthi</t>
  </si>
  <si>
    <t>JSP Cheif Secretary, Main &amp; Active Person</t>
  </si>
  <si>
    <t>Injarapu Gangadhar</t>
  </si>
  <si>
    <t>Kalagani Yesubabu</t>
  </si>
  <si>
    <t>Medisetti Venkateswara Rao</t>
  </si>
  <si>
    <t>Parepalli Suresh</t>
  </si>
  <si>
    <t>Shivakoti Prakash</t>
  </si>
  <si>
    <t>Nookaraju Pakkurti</t>
  </si>
  <si>
    <t>Suribabu Makinead</t>
  </si>
  <si>
    <t>President , Leader</t>
  </si>
  <si>
    <t>Venkateswarulu Dulam</t>
  </si>
  <si>
    <t>Veera Venkata Satyanarayana Mallipam</t>
  </si>
  <si>
    <t>Madadha Maheshwara Rao</t>
  </si>
  <si>
    <t>call again</t>
  </si>
  <si>
    <t>Apparao Boddapati</t>
  </si>
  <si>
    <t>Nagaswararao Badina</t>
  </si>
  <si>
    <t>Rambabu Surada</t>
  </si>
  <si>
    <t>Shiva Badina</t>
  </si>
  <si>
    <t xml:space="preserve">Nagam Triveni </t>
  </si>
  <si>
    <t>Boppana Ramu</t>
  </si>
  <si>
    <t>MPTC , PHSIO</t>
  </si>
  <si>
    <t>Padala Lova Raju</t>
  </si>
  <si>
    <t>Ex- Sarpanch,Milk Dealer</t>
  </si>
  <si>
    <t>Sathyanarayana Adapa</t>
  </si>
  <si>
    <t>Used to be Booth Agent</t>
  </si>
  <si>
    <t>Tammarao Sunkara</t>
  </si>
  <si>
    <t>Varahalababu Siddha</t>
  </si>
  <si>
    <t>Boppana Rambabu</t>
  </si>
  <si>
    <t>Soft job( JSP Leader)</t>
  </si>
  <si>
    <t>Lanka Lakshmi</t>
  </si>
  <si>
    <t>Mavidisetti Srinu</t>
  </si>
  <si>
    <t>Lanka Paravthi Wife Of Achanna</t>
  </si>
  <si>
    <t>Lanka Ramana</t>
  </si>
  <si>
    <t>Lanka Satyanarayana</t>
  </si>
  <si>
    <t>Baburao Pappala</t>
  </si>
  <si>
    <t>Gantla Satyanaryana</t>
  </si>
  <si>
    <t>Ex Sarpanch(7 years)
4 years MPTC</t>
  </si>
  <si>
    <t>Chandrarao Yellamanchili</t>
  </si>
  <si>
    <t>TDP Photographer</t>
  </si>
  <si>
    <t>Devudu Joga</t>
  </si>
  <si>
    <t>Eswaraidu Palla</t>
  </si>
  <si>
    <t>Simhachalam Yeleti</t>
  </si>
  <si>
    <t>Suribabu Busa</t>
  </si>
  <si>
    <t>Rambabu Mamidi</t>
  </si>
  <si>
    <t>Suryanarayana Mamidi</t>
  </si>
  <si>
    <t>Gudpu Kumari Wife Of Rajbabu</t>
  </si>
  <si>
    <t>Kala Seetharam</t>
  </si>
  <si>
    <t>Gantla Ramanama Wife Of Thatarao</t>
  </si>
  <si>
    <t>Gudupu Chitibabu</t>
  </si>
  <si>
    <t>Kari Nageshwarao</t>
  </si>
  <si>
    <t>Field Assistant, Leader</t>
  </si>
  <si>
    <t>Unda Sandhya Wife Of Ramu</t>
  </si>
  <si>
    <t>Ex -President(2014 sarpanch)</t>
  </si>
  <si>
    <t>Gandham Babuji</t>
  </si>
  <si>
    <t>Main person in the village,vyvasaya market director</t>
  </si>
  <si>
    <t>Gantagoru Ramna</t>
  </si>
  <si>
    <t>TDP party memeber</t>
  </si>
  <si>
    <t>Rajavenkatgangadhar Matina</t>
  </si>
  <si>
    <t>Ramana Gantagoru</t>
  </si>
  <si>
    <t>Rambabu Unda</t>
  </si>
  <si>
    <t>Ex-Sarprach, Booth Agent</t>
  </si>
  <si>
    <t>Appanna Urukuttu</t>
  </si>
  <si>
    <t>Shrinu Nadigatla</t>
  </si>
  <si>
    <t>Venkataramana Sadu</t>
  </si>
  <si>
    <t>Venkatesh Ganta</t>
  </si>
  <si>
    <t>Dabburi Nagashiva</t>
  </si>
  <si>
    <t xml:space="preserve">Athi Varalakshmi </t>
  </si>
  <si>
    <t xml:space="preserve">Avula Srinu </t>
  </si>
  <si>
    <t xml:space="preserve">Surisetti Nageswara Rao </t>
  </si>
  <si>
    <t xml:space="preserve">Kaparapu Abbulu </t>
  </si>
  <si>
    <t xml:space="preserve">Athi Achyth Rao </t>
  </si>
  <si>
    <t xml:space="preserve">Reddy Nageswara Rao </t>
  </si>
  <si>
    <t>Appana Sathish</t>
  </si>
  <si>
    <t>Lovaraju Bandham</t>
  </si>
  <si>
    <t>No Incoming Calls</t>
  </si>
  <si>
    <t>Nagaswararao Raavi</t>
  </si>
  <si>
    <t>Satyanarayana Kaparapu</t>
  </si>
  <si>
    <t>Shivramakrishana Athi</t>
  </si>
  <si>
    <t>Out of Service</t>
  </si>
  <si>
    <t>Pothula Ramana</t>
  </si>
  <si>
    <t>N S Venkatanagaram</t>
  </si>
  <si>
    <t xml:space="preserve">Kollu Ramana </t>
  </si>
  <si>
    <t xml:space="preserve">Botta Venkataramana </t>
  </si>
  <si>
    <t xml:space="preserve">EX-Surpanch </t>
  </si>
  <si>
    <t xml:space="preserve">Setti Srinivas Rao </t>
  </si>
  <si>
    <t>Botta Varahalababu</t>
  </si>
  <si>
    <t>Pampanaboyina Srinubabu</t>
  </si>
  <si>
    <t>Chindada Nageshwarao</t>
  </si>
  <si>
    <t>Didhi Satyanarayana</t>
  </si>
  <si>
    <t>Ex-MPTC, Leader</t>
  </si>
  <si>
    <t>Nagaraju</t>
  </si>
  <si>
    <t>Pothula Pedda Kapu</t>
  </si>
  <si>
    <t>Masa Devi (W/O :Durga Rao)</t>
  </si>
  <si>
    <t xml:space="preserve">Pappu Suresh Babu </t>
  </si>
  <si>
    <t xml:space="preserve">Ch Ram Babu Raju </t>
  </si>
  <si>
    <t xml:space="preserve">Aatma Commitee Chairman </t>
  </si>
  <si>
    <t>Guturi Pallaya</t>
  </si>
  <si>
    <t>Gundabelli Venkata Ramana</t>
  </si>
  <si>
    <t>Ganeshula Veera Babu</t>
  </si>
  <si>
    <t xml:space="preserve">Kollu Satya Narayana </t>
  </si>
  <si>
    <t>Gajji Ram Babu</t>
  </si>
  <si>
    <t xml:space="preserve">Gollapalli Nooka Raju </t>
  </si>
  <si>
    <t>Ex-MPTC, Secretary</t>
  </si>
  <si>
    <t>Gollapilli Ram Babu</t>
  </si>
  <si>
    <t>Cluster Incharge</t>
  </si>
  <si>
    <t>Kalaga Srinu</t>
  </si>
  <si>
    <t>Eswararao Manchila</t>
  </si>
  <si>
    <t>Gurumurthy Gaji</t>
  </si>
  <si>
    <t>Veerababu Gorla</t>
  </si>
  <si>
    <t>Veeradurgababu Katari</t>
  </si>
  <si>
    <t xml:space="preserve">Gaji Appala Raju </t>
  </si>
  <si>
    <t>Bandam Bujji</t>
  </si>
  <si>
    <t>Gollapilli Rambabu</t>
  </si>
  <si>
    <t>Venkata Chinna Krishnaiyah Peruri</t>
  </si>
  <si>
    <t xml:space="preserve">Peddapuram </t>
  </si>
  <si>
    <t>Medisetti Venkata Ramana</t>
  </si>
  <si>
    <t>Medisetti Veera Bhadram</t>
  </si>
  <si>
    <t>AMC Chairman</t>
  </si>
  <si>
    <t>Guttula Krishna Arjuna Rao</t>
  </si>
  <si>
    <t>Penke Venkatesh Babu</t>
  </si>
  <si>
    <t>Cluster Incharge, Secretary(Samalakota)</t>
  </si>
  <si>
    <t>Penke Naga Mani</t>
  </si>
  <si>
    <t>Durgaprasad Penke</t>
  </si>
  <si>
    <t>Durgaprasad Pulleti</t>
  </si>
  <si>
    <t>Hemantha Kanaka Srinivas Koppisetti</t>
  </si>
  <si>
    <t>Lovababu Ganduboina</t>
  </si>
  <si>
    <t>Suribabu Raidu</t>
  </si>
  <si>
    <t>Vinod Kumar Koppisetti</t>
  </si>
  <si>
    <t>Veeramani Keasavarapu</t>
  </si>
  <si>
    <t>M Sathi Babu</t>
  </si>
  <si>
    <t>M Veerabadra</t>
  </si>
  <si>
    <t>Out of Coverage</t>
  </si>
  <si>
    <t>Apparao Shreepathi</t>
  </si>
  <si>
    <t>Kondapalli Raju</t>
  </si>
  <si>
    <t xml:space="preserve">Nagaboina Kameshwar Rao / Chanti Babu </t>
  </si>
  <si>
    <t xml:space="preserve">Nagaboina Raja Babu </t>
  </si>
  <si>
    <t>MLA Follower</t>
  </si>
  <si>
    <t xml:space="preserve">Akurini Satti Babu </t>
  </si>
  <si>
    <t>Ex- Sarpanch &amp; Ex-MPTC</t>
  </si>
  <si>
    <t xml:space="preserve">Venna Shiva </t>
  </si>
  <si>
    <t>Adivishnu Kota</t>
  </si>
  <si>
    <t>BC Booth Convenor</t>
  </si>
  <si>
    <t>Chantibabu Talatam</t>
  </si>
  <si>
    <t>Dharmaraju Alpati</t>
  </si>
  <si>
    <t>SC Booth Convenor</t>
  </si>
  <si>
    <t>Shrinivas Parimi</t>
  </si>
  <si>
    <t>T Timmapuram</t>
  </si>
  <si>
    <t xml:space="preserve">Atti Vara Laxmi </t>
  </si>
  <si>
    <t xml:space="preserve">Atti Badra Rao </t>
  </si>
  <si>
    <t xml:space="preserve">Surisetti Nageshwar Rao </t>
  </si>
  <si>
    <t>Avala Srinu</t>
  </si>
  <si>
    <t>Vice President (Defected from YSRCP)</t>
  </si>
  <si>
    <t xml:space="preserve">Kappavarapu Abbulu </t>
  </si>
  <si>
    <t xml:space="preserve">TDP </t>
  </si>
  <si>
    <t>7 Times Sarpanch (Senior Leader)</t>
  </si>
  <si>
    <t xml:space="preserve">Atti Atchuta Rao </t>
  </si>
  <si>
    <t>LIC Agent- TDP leader</t>
  </si>
  <si>
    <t xml:space="preserve">Reddy Nageshwar Rao </t>
  </si>
  <si>
    <t xml:space="preserve">Farmer - TDP Inclined </t>
  </si>
  <si>
    <t>Palla Rajarao</t>
  </si>
  <si>
    <t>Bora Satyanarayana</t>
  </si>
  <si>
    <t>Appana Dora Tadala</t>
  </si>
  <si>
    <t>Adda Subbarao</t>
  </si>
  <si>
    <t>Kanthe Veera Raghav Rao</t>
  </si>
  <si>
    <t>Borrada Satish Babu</t>
  </si>
  <si>
    <t>Thokura Sriniasanka</t>
  </si>
  <si>
    <t>Ginjala Appala Raju</t>
  </si>
  <si>
    <t>Contested sarpanch</t>
  </si>
  <si>
    <t>9676791966,
9989508984</t>
  </si>
  <si>
    <t>Gode Suresh Babu</t>
  </si>
  <si>
    <t>Gode Suribabu</t>
  </si>
  <si>
    <t>Ex-Sarpanch (Wife)</t>
  </si>
  <si>
    <t>Suredddy Dorababu</t>
  </si>
  <si>
    <t>MPTC(Contested)</t>
  </si>
  <si>
    <t>Rambabu Gurram</t>
  </si>
  <si>
    <t>Shivmadhavavenkannapdal Allam</t>
  </si>
  <si>
    <t>Tirumala Venkata Koteswararao Yenumula</t>
  </si>
  <si>
    <t>Apparao Nakka</t>
  </si>
  <si>
    <t>Chitara Arjunrao</t>
  </si>
  <si>
    <t xml:space="preserve">Sai </t>
  </si>
  <si>
    <t xml:space="preserve"> Ch Arjun Rao</t>
  </si>
  <si>
    <t>Ch Harinarayana</t>
  </si>
  <si>
    <t>Naraharisetti Komalayya</t>
  </si>
  <si>
    <t>Secretary, Booth Convenor</t>
  </si>
  <si>
    <t xml:space="preserve">Kadamsetti Bhaskar Reddy </t>
  </si>
  <si>
    <t>Chakrayasnarayanareddy Kadimisetty</t>
  </si>
  <si>
    <t>Enyaschandrareddipenumallu</t>
  </si>
  <si>
    <t xml:space="preserve">Semmaniti Mohan Kumar </t>
  </si>
  <si>
    <t>Village Committee Member</t>
  </si>
  <si>
    <t>Peniketi Achiraju</t>
  </si>
  <si>
    <t xml:space="preserve">Thantikonda Devstanam Trust Board Member </t>
  </si>
  <si>
    <t>Abbireddi Chinni</t>
  </si>
  <si>
    <t>Sammiti Mohanrao</t>
  </si>
  <si>
    <t>Grama Leader</t>
  </si>
  <si>
    <t>Muralikrishna</t>
  </si>
  <si>
    <t>Alla Nagarjuna</t>
  </si>
  <si>
    <t>Convenor 1</t>
  </si>
  <si>
    <t>Ganti Kotaiah</t>
  </si>
  <si>
    <t>Convenor 2</t>
  </si>
  <si>
    <t xml:space="preserve">Yeggi Sathayanarayana </t>
  </si>
  <si>
    <t xml:space="preserve">Village TDP Committee President </t>
  </si>
  <si>
    <t xml:space="preserve">Yeggi Baburao </t>
  </si>
  <si>
    <t>Village TDP Leader</t>
  </si>
  <si>
    <t>Lakshminarayana Chandam</t>
  </si>
  <si>
    <t>Ram Narayankumar Nagulapati</t>
  </si>
  <si>
    <t>Satyavathi Kota</t>
  </si>
  <si>
    <t xml:space="preserve">Varaguntu Sai </t>
  </si>
  <si>
    <t>JSP Activist</t>
  </si>
  <si>
    <t>Chakidala Pandi</t>
  </si>
  <si>
    <t xml:space="preserve">Activte Member </t>
  </si>
  <si>
    <t xml:space="preserve">Adari Mahesh </t>
  </si>
  <si>
    <t xml:space="preserve">Activte Member, he owns a diary firm in their  village </t>
  </si>
  <si>
    <t>Bekam Raja Varalakshmi</t>
  </si>
  <si>
    <t>Badhati Lovaraju</t>
  </si>
  <si>
    <t>N Ramalakshmi</t>
  </si>
  <si>
    <t>Elugubanti Ramalaksmi</t>
  </si>
  <si>
    <t>Dimmili Naga Satyanarayana</t>
  </si>
  <si>
    <t>Papishetti Manikylarao</t>
  </si>
  <si>
    <t>Velugula Padmaraju</t>
  </si>
  <si>
    <t>Vanaparthi Rajaprasad</t>
  </si>
  <si>
    <t>TDP Booth Convenor</t>
  </si>
  <si>
    <t>Chakrar Chikatla</t>
  </si>
  <si>
    <t>Govindu Konjarla</t>
  </si>
  <si>
    <t>Lovaraju Allu</t>
  </si>
  <si>
    <t>Lovaraju Velugu</t>
  </si>
  <si>
    <t>Nallababu Eleti</t>
  </si>
  <si>
    <t>Viswanadham Pothula</t>
  </si>
  <si>
    <t>Yelugubanti Ramakrishna</t>
  </si>
  <si>
    <t>Medapureddy Naidu</t>
  </si>
  <si>
    <t>Usa Apparao</t>
  </si>
  <si>
    <t>Party Member (YSRCP to TDP)</t>
  </si>
  <si>
    <t>Bhaskar Satyanarayana</t>
  </si>
  <si>
    <t>ZPTC (Ex Sarpanch)</t>
  </si>
  <si>
    <t>Rajubaabu Kothapalli</t>
  </si>
  <si>
    <t>Yarrayya Aalla</t>
  </si>
  <si>
    <t>Nallamali Govindu</t>
  </si>
  <si>
    <t>Sarpanch(Suryakumari) husband</t>
  </si>
  <si>
    <t>Dadi Bhadrachalam</t>
  </si>
  <si>
    <t>Panchaythi Member</t>
  </si>
  <si>
    <t>Vemureddy Venkataramana</t>
  </si>
  <si>
    <t>Vice President (Rajeswari)</t>
  </si>
  <si>
    <t>Bangary Ramu</t>
  </si>
  <si>
    <t>EX Vice President (Surapurajupeta)</t>
  </si>
  <si>
    <t>Bheemreddy Appalanaidu</t>
  </si>
  <si>
    <t>Grama Party Incharge</t>
  </si>
  <si>
    <t>Sorla Simhadri Rao</t>
  </si>
  <si>
    <t>conested candidate</t>
  </si>
  <si>
    <t>Bostha Sathibabu</t>
  </si>
  <si>
    <t>Husband of Sarpanch's Wife</t>
  </si>
  <si>
    <t>Karka Sthibabu</t>
  </si>
  <si>
    <t>Masireddy Thatarao</t>
  </si>
  <si>
    <t>Karaka Satyanarayana</t>
  </si>
  <si>
    <t>9701122078 
9398958262</t>
  </si>
  <si>
    <t>Ramesh Karri</t>
  </si>
  <si>
    <t>Ward Mmeber</t>
  </si>
  <si>
    <t>Masireddy Bapiraju</t>
  </si>
  <si>
    <t>Venkata Jannadharao Surisheti</t>
  </si>
  <si>
    <t>Ward Mmeber, Booth Incharge</t>
  </si>
  <si>
    <t>Biadapudi Sri Rama Murthy</t>
  </si>
  <si>
    <t xml:space="preserve">Billananduru </t>
  </si>
  <si>
    <t xml:space="preserve">Lagudu Adhilakshmi </t>
  </si>
  <si>
    <t xml:space="preserve">Ch Ramana </t>
  </si>
  <si>
    <t>K Atchuraju</t>
  </si>
  <si>
    <t>Zilla YCP Member</t>
  </si>
  <si>
    <t>Gudivada Ramu</t>
  </si>
  <si>
    <t>Gudivada Rambabu</t>
  </si>
  <si>
    <t>9490353227 
9441813892</t>
  </si>
  <si>
    <t>Gangaraju Pampanaboyina</t>
  </si>
  <si>
    <t>Varprasad Gudivada</t>
  </si>
  <si>
    <t>Venkataramana Akkanboyina</t>
  </si>
  <si>
    <t>Jabi Ramavenkatrao</t>
  </si>
  <si>
    <t>Attala Boina Venakata Ramana</t>
  </si>
  <si>
    <t>Satyanarayana</t>
  </si>
  <si>
    <t>Gudivada Kondababu</t>
  </si>
  <si>
    <t>Lekkala Venkatramanamurthy</t>
  </si>
  <si>
    <t>Maatireddy Satyanarayana</t>
  </si>
  <si>
    <t>Veera Satyanarayana</t>
  </si>
  <si>
    <t>Ex Sarpanch( 2 years)</t>
  </si>
  <si>
    <t>Lekkala Bhaskar</t>
  </si>
  <si>
    <t xml:space="preserve">Secretary </t>
  </si>
  <si>
    <t>China Satyanarayana Yerra</t>
  </si>
  <si>
    <t xml:space="preserve"> Sarpanch </t>
  </si>
  <si>
    <t>Nagaswararao Palli</t>
  </si>
  <si>
    <t>Rajubabu Gudivada</t>
  </si>
  <si>
    <t>Krishan Sathyanarayana Vattikol</t>
  </si>
  <si>
    <t>Nagaswararao Yenugupalli</t>
  </si>
  <si>
    <t>Party  Leader</t>
  </si>
  <si>
    <t>Narayanarao Tetkayala</t>
  </si>
  <si>
    <t>Ramaswami Aakula</t>
  </si>
  <si>
    <t>MPTC Contested</t>
  </si>
  <si>
    <t>Thrimurthulu Nanubilli</t>
  </si>
  <si>
    <t>Incoming Calls Stopped</t>
  </si>
  <si>
    <t>Reka Venkataramana</t>
  </si>
  <si>
    <t>Does Not Exist</t>
  </si>
  <si>
    <t>Vithikala Nookaraju</t>
  </si>
  <si>
    <t>Ex Booth Convenor</t>
  </si>
  <si>
    <t>Yenugupalli Lova Raju</t>
  </si>
  <si>
    <t>Kollu Pullaya</t>
  </si>
  <si>
    <t>Ginjala Lova  Satyanarayana</t>
  </si>
  <si>
    <t>Secretary, MPP School Chairman, Gruhasaradi</t>
  </si>
  <si>
    <t>Venkata Ramana Nambaru</t>
  </si>
  <si>
    <t>Sattibabu Kollu</t>
  </si>
  <si>
    <t>Simhadri Barla</t>
  </si>
  <si>
    <t xml:space="preserve">Killadi Narayana </t>
  </si>
  <si>
    <t>Appana Babu</t>
  </si>
  <si>
    <t>Vijay Kumar</t>
  </si>
  <si>
    <t>Miryala Jogiraju</t>
  </si>
  <si>
    <t>Ginjala Babulu</t>
  </si>
  <si>
    <t>Adhinarayana</t>
  </si>
  <si>
    <t>G Venkataramana</t>
  </si>
  <si>
    <t>Palla Suribabu</t>
  </si>
  <si>
    <t>Gompa Simhadri</t>
  </si>
  <si>
    <t>Poojam Satish</t>
  </si>
  <si>
    <t>Contested as MPTC</t>
  </si>
  <si>
    <t xml:space="preserve">Velligadla Srinivas </t>
  </si>
  <si>
    <t>Marketing Yard Director (Wife)</t>
  </si>
  <si>
    <t>Vasamsetti  Adhinarayana</t>
  </si>
  <si>
    <t>Gaddam Satyanarayana</t>
  </si>
  <si>
    <t>Pujyam Venkata Rambabu</t>
  </si>
  <si>
    <t>Used to be Booth Convenor</t>
  </si>
  <si>
    <t>Ramachandrarao Koppishetti</t>
  </si>
  <si>
    <t>Pedhiredla Thrimurthulu</t>
  </si>
  <si>
    <t>Viviessannibabu Penaganti</t>
  </si>
  <si>
    <t>Erragada Achhiraju</t>
  </si>
  <si>
    <t>Local Leader</t>
  </si>
  <si>
    <t>Raypalli Nagalakshmi</t>
  </si>
  <si>
    <t>Gattimali Simhachalam</t>
  </si>
  <si>
    <t>Pujyam Venkatrambaabu</t>
  </si>
  <si>
    <t>Gantipalla Ramnamma</t>
  </si>
  <si>
    <t>Kakarpelli Veeram Shetty</t>
  </si>
  <si>
    <t>Nemani Srinivas</t>
  </si>
  <si>
    <t>Party Convenor</t>
  </si>
  <si>
    <t>Koradu Srinu</t>
  </si>
  <si>
    <t>Enugu Dharma Raju</t>
  </si>
  <si>
    <t>Gollapilli Bujji</t>
  </si>
  <si>
    <t>Palika Veera Brahmam</t>
  </si>
  <si>
    <t>YSRCP Member</t>
  </si>
  <si>
    <t>Nimmala Rambabu</t>
  </si>
  <si>
    <t>Booth(4)
Convenor</t>
  </si>
  <si>
    <t>Out of service</t>
  </si>
  <si>
    <t>Kamalabathula Lovaraju</t>
  </si>
  <si>
    <t>Party Volunteer</t>
  </si>
  <si>
    <t>K Venkateswara Rao</t>
  </si>
  <si>
    <t>BC Corporative Society President</t>
  </si>
  <si>
    <t>K Satya Narayana</t>
  </si>
  <si>
    <t>Thaloori Srinu</t>
  </si>
  <si>
    <t>Bajinkku Chandarayya</t>
  </si>
  <si>
    <t>Village Secretary</t>
  </si>
  <si>
    <t>Koppisetti Nagu</t>
  </si>
  <si>
    <t>Mandapatti Alarkaraju</t>
  </si>
  <si>
    <t>Used to be Party President</t>
  </si>
  <si>
    <t>Karada Srinuvasu</t>
  </si>
  <si>
    <t>Nimala Seetharambabu</t>
  </si>
  <si>
    <t>Ex Convenor</t>
  </si>
  <si>
    <t>Yenugu Mahalakshmi Darmaraju</t>
  </si>
  <si>
    <t>Ashok Koppisetti</t>
  </si>
  <si>
    <t>Nagaswararao Dasam</t>
  </si>
  <si>
    <t>Veera Venkata Sathyanarayana Guthulu</t>
  </si>
  <si>
    <t>V V Suryaprakash Koalmari</t>
  </si>
  <si>
    <t>Patnam Veerabadra Rao</t>
  </si>
  <si>
    <t>Kondapu Venkatramana</t>
  </si>
  <si>
    <t>Koppisetti Sathibabu</t>
  </si>
  <si>
    <t>Business
Committee President</t>
  </si>
  <si>
    <t>Nookalama Wife Of Lovaraju</t>
  </si>
  <si>
    <t>Sagireddi Bujji</t>
  </si>
  <si>
    <t>YCP Convenor</t>
  </si>
  <si>
    <t>Pallivela Brahamam</t>
  </si>
  <si>
    <t>Narsi Nagadevi</t>
  </si>
  <si>
    <t>Jakka Ammaji</t>
  </si>
  <si>
    <t>Reddmisetty Thrimurthulu</t>
  </si>
  <si>
    <t>Mediseettu Darababu</t>
  </si>
  <si>
    <t>Madabakthula Krishnarujun Govind</t>
  </si>
  <si>
    <t>YSRCP Secretary</t>
  </si>
  <si>
    <t>Jakka Varahalababu</t>
  </si>
  <si>
    <t>Medishetti Dorababu</t>
  </si>
  <si>
    <t>Naresh Durgababu</t>
  </si>
  <si>
    <t>Akash Appanna Kumar Jagu</t>
  </si>
  <si>
    <t>Pakirrao Narishe</t>
  </si>
  <si>
    <t>Sridhar Utakoti</t>
  </si>
  <si>
    <t>Tammannadora Medish</t>
  </si>
  <si>
    <t>Joga Govind</t>
  </si>
  <si>
    <t>Narsey Pakeer</t>
  </si>
  <si>
    <t>TDP Secretary</t>
  </si>
  <si>
    <t>Nagam Veeraraju</t>
  </si>
  <si>
    <t>Market Yard Head</t>
  </si>
  <si>
    <t>Medesetty Thammam Dora</t>
  </si>
  <si>
    <t>Miriyala Varalaksmi Govind</t>
  </si>
  <si>
    <t>Yemila Padma</t>
  </si>
  <si>
    <t>MPTC(Mallavaram and K.O Agraharam)</t>
  </si>
  <si>
    <t>Yellamanchili Devudu</t>
  </si>
  <si>
    <t>Appalanaidu Bangaru</t>
  </si>
  <si>
    <t>9441462011
9490170553</t>
  </si>
  <si>
    <t>Yemila Rajubabu</t>
  </si>
  <si>
    <t>Gatti Raju Babu</t>
  </si>
  <si>
    <t xml:space="preserve">Paidi Venkata Ram Prasad </t>
  </si>
  <si>
    <t>Reddy Swamynaidu</t>
  </si>
  <si>
    <t>Unsatisfed leader</t>
  </si>
  <si>
    <t>Phanindra Lagudu</t>
  </si>
  <si>
    <t>Raghav Saladi</t>
  </si>
  <si>
    <t>Booth Level Agent</t>
  </si>
  <si>
    <t>Thrimurthulu Allu</t>
  </si>
  <si>
    <t>Venkatsatyanarayana Lagudu</t>
  </si>
  <si>
    <t>Venkinayudu Barla</t>
  </si>
  <si>
    <t xml:space="preserve">Settigala Satya Narayana </t>
  </si>
  <si>
    <t>Satya Narayana</t>
  </si>
  <si>
    <t xml:space="preserve">B. Bulli Raju </t>
  </si>
  <si>
    <t>B.Vasanth Vishnu</t>
  </si>
  <si>
    <t>Bandi Durgaiah</t>
  </si>
  <si>
    <t>Keerthi Buchiraju</t>
  </si>
  <si>
    <t>Sachivalaym Convenor</t>
  </si>
  <si>
    <t>Kudaakula.Vishnumurthi</t>
  </si>
  <si>
    <t>Madasu Veerababu</t>
  </si>
  <si>
    <t>Booth Convenor, Ward Member</t>
  </si>
  <si>
    <t>Krishnarao Bojja</t>
  </si>
  <si>
    <t>Grama General Secretary, Booth Convenor</t>
  </si>
  <si>
    <t>Ramesh Baabu Vuta</t>
  </si>
  <si>
    <t>Satyanaryana Bojja</t>
  </si>
  <si>
    <t xml:space="preserve">Rama Krishna </t>
  </si>
  <si>
    <t>Swami Bojja</t>
  </si>
  <si>
    <t>Rama Laxmi</t>
  </si>
  <si>
    <t xml:space="preserve">Women Leader </t>
  </si>
  <si>
    <t>Chinthakayala Venkatesh</t>
  </si>
  <si>
    <t>Sachivalayam PC</t>
  </si>
  <si>
    <t>Kaparapu Rajubabu</t>
  </si>
  <si>
    <t>R Ramesh</t>
  </si>
  <si>
    <t>Yamala Suresh</t>
  </si>
  <si>
    <t>Vemala Aruna</t>
  </si>
  <si>
    <t>Contestant as MPTC</t>
  </si>
  <si>
    <t>Chintakayala VeeraVenkata Satyanarayana</t>
  </si>
  <si>
    <t>EX MPTC,Contested as Sarpanch</t>
  </si>
  <si>
    <t>Lavudu Venkata Ramana</t>
  </si>
  <si>
    <t>Akkam Reddy Srinu</t>
  </si>
  <si>
    <t>Field Officer</t>
  </si>
  <si>
    <t>Nimmala Kumar</t>
  </si>
  <si>
    <t>Youth Convenor</t>
  </si>
  <si>
    <t>Vemala Suresh</t>
  </si>
  <si>
    <t>Applanaidu Poluparthi</t>
  </si>
  <si>
    <t>Ramana Gaddem</t>
  </si>
  <si>
    <t>Rambabu Gadi</t>
  </si>
  <si>
    <t>Shrinu Ankamareddy</t>
  </si>
  <si>
    <t>Sowma Routhula Seetha Rama Swamy</t>
  </si>
  <si>
    <t>Sathibabu</t>
  </si>
  <si>
    <t>V Raju</t>
  </si>
  <si>
    <t>Panchadi Ashok</t>
  </si>
  <si>
    <t>Shek Sharif</t>
  </si>
  <si>
    <t>Nagaraju Pitla</t>
  </si>
  <si>
    <t>Lalam Krishna Veni</t>
  </si>
  <si>
    <t>Adigarla Varalakshmi</t>
  </si>
  <si>
    <t>Eegala Errayamma</t>
  </si>
  <si>
    <t>Rajababu Chintkayala</t>
  </si>
  <si>
    <t>Venkataramana Panchada</t>
  </si>
  <si>
    <t>Ex- Sarpanch, TDP Zilla Vice President</t>
  </si>
  <si>
    <t>Kadari Lakshman Kumar</t>
  </si>
  <si>
    <t>Kukka Sattibabu</t>
  </si>
  <si>
    <t>Namala Devudu</t>
  </si>
  <si>
    <t>Yadala Rambabu</t>
  </si>
  <si>
    <t>Nemala Babu Rao</t>
  </si>
  <si>
    <t>6301089323
8978273961</t>
  </si>
  <si>
    <t>Nevala Vijay Kumar</t>
  </si>
  <si>
    <t>Voter List Verifier, Unit Incharge,Party President</t>
  </si>
  <si>
    <t>Gawaraiah Pedapudi</t>
  </si>
  <si>
    <t>Gopiraju Nevala</t>
  </si>
  <si>
    <t>Pentaiah Kare</t>
  </si>
  <si>
    <t>Sathyanarayana Yanamala</t>
  </si>
  <si>
    <t>Ex-Party President, Leader</t>
  </si>
  <si>
    <t>Koda Vara Prasad</t>
  </si>
  <si>
    <t>Munisi Jaganadham</t>
  </si>
  <si>
    <t>Kattari Lakshman</t>
  </si>
  <si>
    <t>Muttu Ramana</t>
  </si>
  <si>
    <t>TDP Main Leader,Fish Exporter</t>
  </si>
  <si>
    <t>Yadala Prasad</t>
  </si>
  <si>
    <t>Yejala Venkatramana</t>
  </si>
  <si>
    <t>Mahesh Mutti</t>
  </si>
  <si>
    <t>Rambabu Gara</t>
  </si>
  <si>
    <t>Chokka Bharathi w/o Apparao</t>
  </si>
  <si>
    <t>Koda Venkat Ramana</t>
  </si>
  <si>
    <t>C.H.Jagnathrao</t>
  </si>
  <si>
    <t>Chokka Maheswar Rao</t>
  </si>
  <si>
    <t>Mainampalli JagnadhRao</t>
  </si>
  <si>
    <t>Sigiri Singa Rao</t>
  </si>
  <si>
    <t>Kanda Venkateswar Rao</t>
  </si>
  <si>
    <t>Inti Veera Badra Rao</t>
  </si>
  <si>
    <t>Makinedi Suresh</t>
  </si>
  <si>
    <t>Kanda Satish</t>
  </si>
  <si>
    <t>Venna Murali Krishna</t>
  </si>
  <si>
    <t>Dokkumalla Baburao</t>
  </si>
  <si>
    <t>Apparao Makinidi</t>
  </si>
  <si>
    <t>Garikina Ammaji w/o Pentayya</t>
  </si>
  <si>
    <t>Surada Devudu</t>
  </si>
  <si>
    <t>Tholada Sailaja</t>
  </si>
  <si>
    <t>Surada Rambabu</t>
  </si>
  <si>
    <t>EX Sarpanch(2004)</t>
  </si>
  <si>
    <t>Thadiparthi Chinna Apparao</t>
  </si>
  <si>
    <t>Kattamuri Satya Narayana</t>
  </si>
  <si>
    <t>Edjela Appalaraju</t>
  </si>
  <si>
    <t>Edjela Ramana</t>
  </si>
  <si>
    <t>Chokka Mahankali</t>
  </si>
  <si>
    <t>Surada Mahankali</t>
  </si>
  <si>
    <t>S Satya Babu</t>
  </si>
  <si>
    <t>S Naga Rathnam</t>
  </si>
  <si>
    <t>Vonthu Maha Lakshmi</t>
  </si>
  <si>
    <t>MPTC Contestant</t>
  </si>
  <si>
    <t>Lova Raju</t>
  </si>
  <si>
    <t>Durga Rao</t>
  </si>
  <si>
    <t>Student</t>
  </si>
  <si>
    <t>Arjun</t>
  </si>
  <si>
    <t>Chinnada Devudu</t>
  </si>
  <si>
    <t>R Lova Raju</t>
  </si>
  <si>
    <t>Yadala Sreenu</t>
  </si>
  <si>
    <t>Brother of Sarpanch</t>
  </si>
  <si>
    <t>Yadala Appalakonda</t>
  </si>
  <si>
    <t>Yadala Shanti</t>
  </si>
  <si>
    <t>Mekala Sreenu</t>
  </si>
  <si>
    <t>Aithe Nagaratnam</t>
  </si>
  <si>
    <t>Kakuri Talupulu</t>
  </si>
  <si>
    <t>Ex- Sarpanch and Sarpanch opposite contestant</t>
  </si>
  <si>
    <t>Bacchala Prasad</t>
  </si>
  <si>
    <t>K Lova Raju</t>
  </si>
  <si>
    <t>Kakuri Ramakrishna</t>
  </si>
  <si>
    <t>Somarouthu Sitaramaswamy</t>
  </si>
  <si>
    <t>Chinthakayala Appalnaidu</t>
  </si>
  <si>
    <t>Singampalli Louva Raju</t>
  </si>
  <si>
    <t>Pancheda Chinna Acchuraju</t>
  </si>
  <si>
    <t>Chintakayaala Appalanaidu</t>
  </si>
  <si>
    <t>Pancheda Naga Louva Venkata Ramana</t>
  </si>
  <si>
    <t>Chithikela Adavi Raju</t>
  </si>
  <si>
    <t>S Srinu</t>
  </si>
  <si>
    <t>L Narayana Murthy</t>
  </si>
  <si>
    <t>Korupurolu Devudu</t>
  </si>
  <si>
    <t>Cheelipoina Veera Venkata Naga Satya Devi</t>
  </si>
  <si>
    <t>Kannabathula Kameshwararao</t>
  </si>
  <si>
    <t>K Subba Rao</t>
  </si>
  <si>
    <t>K Raja</t>
  </si>
  <si>
    <t>Chintakayala ChittiBabu</t>
  </si>
  <si>
    <t>Kaparapu Satyanarayana</t>
  </si>
  <si>
    <t>Sachyavalayam Convenor</t>
  </si>
  <si>
    <t>AnkamReddy Yerra Pathrudu</t>
  </si>
  <si>
    <t>Ruthala Srinivas</t>
  </si>
  <si>
    <t>Peddapathruni Srinivas</t>
  </si>
  <si>
    <t>Vegi Appalanaidu</t>
  </si>
  <si>
    <t>Guddi Banji</t>
  </si>
  <si>
    <t>Business Man</t>
  </si>
  <si>
    <t>Yellapu Ramana</t>
  </si>
  <si>
    <t>Vegi Gopi</t>
  </si>
  <si>
    <t>Yellapu Venkatramana</t>
  </si>
  <si>
    <t>Vegi Peddaya</t>
  </si>
  <si>
    <t>Abhishek Surisetti</t>
  </si>
  <si>
    <t>Adda Papa</t>
  </si>
  <si>
    <t>Pasupalli Raju</t>
  </si>
  <si>
    <t>Upmaku</t>
  </si>
  <si>
    <t>Govindamma</t>
  </si>
  <si>
    <t>Opposite Sarpanch Contestant</t>
  </si>
  <si>
    <t xml:space="preserve">R Rambabu </t>
  </si>
  <si>
    <t>Lalam Babji</t>
  </si>
  <si>
    <t>EX chairman(Temple)</t>
  </si>
  <si>
    <t>Lalam Venkata Ramana</t>
  </si>
  <si>
    <t>Karaka Nageswar Rao</t>
  </si>
  <si>
    <t>Ankamreddy Ramesh</t>
  </si>
  <si>
    <t>Ithem Shetty Ram Murthy</t>
  </si>
  <si>
    <t>Aruhula Narayana Murthy</t>
  </si>
  <si>
    <t>Siddha Rambabu</t>
  </si>
  <si>
    <t>Dhoola Ramana</t>
  </si>
  <si>
    <t>Yesu Mandapati</t>
  </si>
  <si>
    <t>Agriculture</t>
  </si>
  <si>
    <t>Sudha Sidda</t>
  </si>
  <si>
    <t>Sidda Appana Dora</t>
  </si>
  <si>
    <t>Adham Babji</t>
  </si>
  <si>
    <t>Pulugu Veera Babu</t>
  </si>
  <si>
    <t>P Babu Rao</t>
  </si>
  <si>
    <t>Velanati Bharath Kumar</t>
  </si>
  <si>
    <t>Mandhapati Pasuraju</t>
  </si>
  <si>
    <t>Velanati Papayya Raju</t>
  </si>
  <si>
    <t>Pithani Raju</t>
  </si>
  <si>
    <t>Medisetti Mangayamma</t>
  </si>
  <si>
    <t>Sidha Nooka Lakshmi</t>
  </si>
  <si>
    <t>Yelanati Vara Lakshmi w/o Bujji</t>
  </si>
  <si>
    <t>Kotibabu</t>
  </si>
  <si>
    <t>Sidha Shivaji</t>
  </si>
  <si>
    <t>Medsetti Subba Rao</t>
  </si>
  <si>
    <t>Poluri Divanam</t>
  </si>
  <si>
    <t>Siddha Srinivas</t>
  </si>
  <si>
    <t>Siddha Surya Narayana</t>
  </si>
  <si>
    <t>V Bujji</t>
  </si>
  <si>
    <t>MTPC(Panchayat)</t>
  </si>
  <si>
    <t>Koduri Apparao</t>
  </si>
  <si>
    <t>Anugu Surya Narayana</t>
  </si>
  <si>
    <t>Garisingi Dorababu</t>
  </si>
  <si>
    <t>Mallampalli Prakash</t>
  </si>
  <si>
    <t>Korruprolu Krishna</t>
  </si>
  <si>
    <t>MPTC two</t>
  </si>
  <si>
    <t>Ulluri Sreenu</t>
  </si>
  <si>
    <t>School Chairman</t>
  </si>
  <si>
    <t>Bodapati Satyanarayana</t>
  </si>
  <si>
    <t>Ex-Sarpanch, Sarpanch contestant</t>
  </si>
  <si>
    <t>Gantuluri Chiranjeevi Raju</t>
  </si>
  <si>
    <t>Ankama Reddy Raja</t>
  </si>
  <si>
    <t>Adhikari Nageswarao</t>
  </si>
  <si>
    <t>Magapu Venkata Rmana</t>
  </si>
  <si>
    <t>Kothapilli Chinni Babu</t>
  </si>
  <si>
    <t>N Bujji</t>
  </si>
  <si>
    <t>K Satya Nrayana</t>
  </si>
  <si>
    <t>Kolla Mlikarjun Rao</t>
  </si>
  <si>
    <t>Ex Sarpanch(2019)</t>
  </si>
  <si>
    <t>K yesubabu</t>
  </si>
  <si>
    <t>Ex Sarpanch(2014)</t>
  </si>
  <si>
    <t>Nallala Venkat Babu</t>
  </si>
  <si>
    <t>Poleti Govind</t>
  </si>
  <si>
    <t xml:space="preserve">Gollu Chinna Divana </t>
  </si>
  <si>
    <t>Rai Venkata Lakshmi</t>
  </si>
  <si>
    <t>Rai Prasad</t>
  </si>
  <si>
    <t>MPTC Husband</t>
  </si>
  <si>
    <t>Cadre member</t>
  </si>
  <si>
    <t>Eegala Sathyababu</t>
  </si>
  <si>
    <t>Ex-Sarpapnch, Sarpanch Contestant</t>
  </si>
  <si>
    <t>Shiva</t>
  </si>
  <si>
    <t>Gollu Pedda Divana</t>
  </si>
  <si>
    <t>Ninja Nagu</t>
  </si>
  <si>
    <t>Kona Venkata Rao</t>
  </si>
  <si>
    <t>Kurra Srinu</t>
  </si>
  <si>
    <t>Gonepalli Shankar Rao</t>
  </si>
  <si>
    <t>Kona Ammaji w/o Satyanarayana</t>
  </si>
  <si>
    <t>Adda Apparao</t>
  </si>
  <si>
    <t>Kona Ramababu</t>
  </si>
  <si>
    <t>Kurra Venkata Rao</t>
  </si>
  <si>
    <t xml:space="preserve">Kakada Nani </t>
  </si>
  <si>
    <t>Sivakoti Srinu</t>
  </si>
  <si>
    <t>Indhana Chandra Sekhar</t>
  </si>
  <si>
    <t>Saadhanala Naga Raju</t>
  </si>
  <si>
    <t>Kona Durga</t>
  </si>
  <si>
    <t>Maddada Hemanth</t>
  </si>
  <si>
    <t>Vasam Setti Sattibabu</t>
  </si>
  <si>
    <t>Chokka Rajendra</t>
  </si>
  <si>
    <t>Chokka Kasi Rao</t>
  </si>
  <si>
    <t>Chokka Haribabu</t>
  </si>
  <si>
    <t>Surada Ramana</t>
  </si>
  <si>
    <t>Guruvulu</t>
  </si>
  <si>
    <t>Mancham Chakkararao</t>
  </si>
  <si>
    <t>Allamuri Veera Bhadrarao</t>
  </si>
  <si>
    <t>Kajuluri Neerelareddy</t>
  </si>
  <si>
    <t>Satish</t>
  </si>
  <si>
    <t>Social Media Coordinator and field assistant</t>
  </si>
  <si>
    <t xml:space="preserve">Raghava </t>
  </si>
  <si>
    <t>State Youth Secretary</t>
  </si>
  <si>
    <t>Sarpanch Husband</t>
  </si>
  <si>
    <t>Gadi Ramanamma</t>
  </si>
  <si>
    <t>Sachiwalaya Convenor</t>
  </si>
  <si>
    <t>Gadi Ammakarna</t>
  </si>
  <si>
    <t>Chitikela Acchipatrudu</t>
  </si>
  <si>
    <t>Ex-Vice President</t>
  </si>
  <si>
    <t>Abbireddy Subbi Reddy</t>
  </si>
  <si>
    <t>Abbireddy Prabhakar Reddy</t>
  </si>
  <si>
    <t>Chiranjeevi Kumar</t>
  </si>
  <si>
    <t>Allishetty Satyananda Reddy</t>
  </si>
  <si>
    <t>Vadisetti Gowri Rajeswari w/o Narayana Reddy</t>
  </si>
  <si>
    <t>Venna Gopi Krishna</t>
  </si>
  <si>
    <t>Karnedi Durga Bhavani</t>
  </si>
  <si>
    <t>Nama Banni</t>
  </si>
  <si>
    <t>Nama Nagendra</t>
  </si>
  <si>
    <t>Adapa bharat Kumar</t>
  </si>
  <si>
    <t>Adpapa Venkata Rama Rao</t>
  </si>
  <si>
    <t>Jujla Prasad</t>
  </si>
  <si>
    <t>Krishan Kunisetty</t>
  </si>
  <si>
    <t>Nagaswararao Kunisetty</t>
  </si>
  <si>
    <t>T.Venkateshwarao</t>
  </si>
  <si>
    <t>Tummala Nageswar Rao</t>
  </si>
  <si>
    <t>Rayi Seetha</t>
  </si>
  <si>
    <t>Penumutchi Narsing Rao</t>
  </si>
  <si>
    <t>Penumutchi Nageswar Rao</t>
  </si>
  <si>
    <t>Bongu Dorayya</t>
  </si>
  <si>
    <t>Penumutchi Nagu</t>
  </si>
  <si>
    <t>kovvuru</t>
  </si>
  <si>
    <t>Pilli Chakra Rao</t>
  </si>
  <si>
    <t>Peddapudi Gavaraiah</t>
  </si>
  <si>
    <t>Booth Convenor, SC mandal General secretary</t>
  </si>
  <si>
    <t>Rajan Ramakrishna</t>
  </si>
  <si>
    <t>Panchayat Member</t>
  </si>
  <si>
    <t>Chokka Nageshwararao</t>
  </si>
  <si>
    <t>Influential Person</t>
  </si>
  <si>
    <t>Kinthadi Yesubabu</t>
  </si>
  <si>
    <t>Botta Raju</t>
  </si>
  <si>
    <t>Pendella Thatharao</t>
  </si>
  <si>
    <t>Rayi Bujji</t>
  </si>
  <si>
    <t>Panchayat Board Member</t>
  </si>
  <si>
    <t>Nemala Kasulu</t>
  </si>
  <si>
    <t>Gara Rambabu</t>
  </si>
  <si>
    <t>Anguluri Sudhakar</t>
  </si>
  <si>
    <t>Gosala Kishore</t>
  </si>
  <si>
    <t>P Isukapalli</t>
  </si>
  <si>
    <t>Gurram Thatha Rao</t>
  </si>
  <si>
    <t>Srinivas Reddy</t>
  </si>
  <si>
    <t>Village Convenor</t>
  </si>
  <si>
    <t>Nooka Raju</t>
  </si>
  <si>
    <t>Veera Bhadra Rao</t>
  </si>
  <si>
    <t>Village Party President</t>
  </si>
  <si>
    <t>Nadimpalli Satyanarayana Raju</t>
  </si>
  <si>
    <t>Nadimpalli Srinivasa Raju</t>
  </si>
  <si>
    <t>Nadimpalli Shankar raju</t>
  </si>
  <si>
    <t xml:space="preserve">Madisetty Babji </t>
  </si>
  <si>
    <t xml:space="preserve">Vemagiri Ram Babu </t>
  </si>
  <si>
    <t>Sarpanch's Son and Key leader</t>
  </si>
  <si>
    <t>Medisetty Sri Ramulu</t>
  </si>
  <si>
    <t xml:space="preserve">Key Leader </t>
  </si>
  <si>
    <t xml:space="preserve">Vastu Setti Surya Prakash </t>
  </si>
  <si>
    <t>Bandla Suri Babu</t>
  </si>
  <si>
    <t xml:space="preserve">Vemagiri Appalaraju </t>
  </si>
  <si>
    <t>Inti Babji</t>
  </si>
  <si>
    <t>Gadiraju Babu</t>
  </si>
  <si>
    <t>Jyotula Chanti babu</t>
  </si>
  <si>
    <t>MLA</t>
  </si>
  <si>
    <t>Petlu Seenu</t>
  </si>
  <si>
    <t>Chodi Krishnaveni</t>
  </si>
  <si>
    <t>Thuram Satyavati</t>
  </si>
  <si>
    <t>YCP Member</t>
  </si>
  <si>
    <t>Ekurthi Siva Babu</t>
  </si>
  <si>
    <t>Covenor</t>
  </si>
  <si>
    <t>Ekurthi Naresh Kumar</t>
  </si>
  <si>
    <t>Gruha Saradhi</t>
  </si>
  <si>
    <t>Dhnunjay Verma</t>
  </si>
  <si>
    <t>JanmaBhoomi Committee Member</t>
  </si>
  <si>
    <t>Motipally Lakshmi Ganesh</t>
  </si>
  <si>
    <t>Sachiwalayam Convenor</t>
  </si>
  <si>
    <t>Peepakayala Gangadhar</t>
  </si>
  <si>
    <t>Neelam Srinivas</t>
  </si>
  <si>
    <t xml:space="preserve">Bodireddy Srinivas </t>
  </si>
  <si>
    <t>Ramnayya Peta</t>
  </si>
  <si>
    <t>Visinigiri Shiva Prasad</t>
  </si>
  <si>
    <t>Thadala Apparao</t>
  </si>
  <si>
    <t>Suparthi Lakshman Dora</t>
  </si>
  <si>
    <t>Nageswara Rao</t>
  </si>
  <si>
    <t>Ward Counselor</t>
  </si>
  <si>
    <t>Alamalla Chalamaih</t>
  </si>
  <si>
    <t>Chairman</t>
  </si>
  <si>
    <t>D Kishore</t>
  </si>
  <si>
    <t>S Venkateshwara rao</t>
  </si>
  <si>
    <t>Ram Babu</t>
  </si>
  <si>
    <t>Paila Bose</t>
  </si>
  <si>
    <t>Madireddy Gopi</t>
  </si>
  <si>
    <t>Karna Bathula Kameshwara Rao</t>
  </si>
  <si>
    <t>Gandham Krishna</t>
  </si>
  <si>
    <t>Gidiga Subramaniam</t>
  </si>
  <si>
    <t>Setti Gangadhar</t>
  </si>
  <si>
    <t>Pilla Sunitha</t>
  </si>
  <si>
    <t>Pilla Gangadhar</t>
  </si>
  <si>
    <t>Anjuri Rambabu</t>
  </si>
  <si>
    <t>Kottipalli Samuel Raju</t>
  </si>
  <si>
    <t>Koonapareddy Durga Rao</t>
  </si>
  <si>
    <t>Koonapareddy Subba Rao</t>
  </si>
  <si>
    <t>Vemagiri Bujji Babu</t>
  </si>
  <si>
    <t>Vemagiri Satyanadh</t>
  </si>
  <si>
    <t>Karri Surya Prakash</t>
  </si>
  <si>
    <t>Karri Subba Rao</t>
  </si>
  <si>
    <t>Barre Vara Lakshmi w/o Barre Arvindh Kumar</t>
  </si>
  <si>
    <t>Boddi Surya Babu</t>
  </si>
  <si>
    <t>Boddi Manga</t>
  </si>
  <si>
    <t>Reskettla Lovaraju</t>
  </si>
  <si>
    <t>Gram Committee Party President</t>
  </si>
  <si>
    <t>Pendyala Rajubabu</t>
  </si>
  <si>
    <t>Thota Kondalrao</t>
  </si>
  <si>
    <t>Gram Secretary</t>
  </si>
  <si>
    <t>Thirumala Simhadri</t>
  </si>
  <si>
    <t>Vatikolla Krishna</t>
  </si>
  <si>
    <t>Sundarapalli Srinu Babu</t>
  </si>
  <si>
    <t>Polling Booth Convenor</t>
  </si>
  <si>
    <t>Jyothula Pedha Babu</t>
  </si>
  <si>
    <t>Nookathati Eswarudu</t>
  </si>
  <si>
    <t>State SC Cell Organisation Secretary</t>
  </si>
  <si>
    <t>Yerllagada Chandralekha</t>
  </si>
  <si>
    <t>Gundupilli Chakram</t>
  </si>
  <si>
    <t>SC Cell Leader</t>
  </si>
  <si>
    <t>Chikkala Lakshman Rao</t>
  </si>
  <si>
    <t>Valamareddy Kondayya</t>
  </si>
  <si>
    <t>Social Media Leader</t>
  </si>
  <si>
    <t>Amar Raju</t>
  </si>
  <si>
    <t>Ranganatham Abbayi</t>
  </si>
  <si>
    <t>Narasimha Murthy</t>
  </si>
  <si>
    <t>Kasi Viswanath</t>
  </si>
  <si>
    <t>Behera Rajeshwari</t>
  </si>
  <si>
    <t>Surya Narayana</t>
  </si>
  <si>
    <t>D Bangaram</t>
  </si>
  <si>
    <t xml:space="preserve">Ruttala Jogi Raju </t>
  </si>
  <si>
    <t xml:space="preserve">Petla Appala Naidu </t>
  </si>
  <si>
    <t xml:space="preserve">Annamareddy Satya Narayana </t>
  </si>
  <si>
    <t xml:space="preserve">Gudivada Thata Babu </t>
  </si>
  <si>
    <t>Pothala Suri Babu</t>
  </si>
  <si>
    <t>panduru</t>
  </si>
  <si>
    <t>N Thirumoorthulu</t>
  </si>
  <si>
    <t>Valavala Suranna</t>
  </si>
  <si>
    <t>U. Jagannadhapuram</t>
  </si>
  <si>
    <t>Vattikola Krishna</t>
  </si>
  <si>
    <t>Medasari Rambabu</t>
  </si>
  <si>
    <t>Gram Committee President</t>
  </si>
  <si>
    <t>Gadhi Satyanarayana</t>
  </si>
  <si>
    <t>Poluparthi Thataji</t>
  </si>
  <si>
    <t>YSRCP Rebel</t>
  </si>
  <si>
    <t>S/o Sarpanch (Seethamma)</t>
  </si>
  <si>
    <t xml:space="preserve">Seeramreddy Srinivas </t>
  </si>
  <si>
    <t xml:space="preserve">Lova Raju </t>
  </si>
  <si>
    <t>Rayavarapu Sanyasi Devudu</t>
  </si>
  <si>
    <t>Rayavarapu Kannaiah</t>
  </si>
  <si>
    <t xml:space="preserve">Kakani Chakramma </t>
  </si>
  <si>
    <t>Kona Satyanarayana</t>
  </si>
  <si>
    <t>Basala Rambabu</t>
  </si>
  <si>
    <t>Mamidi Trimurtulu</t>
  </si>
  <si>
    <t>Gundraju Divanam</t>
  </si>
  <si>
    <t>Farmers Coordinator</t>
  </si>
  <si>
    <t>Kurra Rambabu</t>
  </si>
  <si>
    <t>Palla Lakshmi</t>
  </si>
  <si>
    <t>Ramsetti Yesubabu</t>
  </si>
  <si>
    <t>Yaragada Lova Raju</t>
  </si>
  <si>
    <t>Muripindi Archana</t>
  </si>
  <si>
    <t>Musara Somaraju</t>
  </si>
  <si>
    <t>Gundaraju Chakra Rao</t>
  </si>
  <si>
    <t>Eegala Chinnammulu</t>
  </si>
  <si>
    <t>Udadhala Prasad</t>
  </si>
  <si>
    <t>Pragada Mahesh</t>
  </si>
  <si>
    <t>Thota Apparao</t>
  </si>
  <si>
    <t>Sreerama Murthy</t>
  </si>
  <si>
    <t>Kulli Bathhaih</t>
  </si>
  <si>
    <t>Paravatha Suresh</t>
  </si>
  <si>
    <t>Veerala Suribabu</t>
  </si>
  <si>
    <t>Asina Srinivas</t>
  </si>
  <si>
    <t>Yana Bhaskar Rao</t>
  </si>
  <si>
    <t>Sarmala Madhubabu</t>
  </si>
  <si>
    <t>Nirpala Narasaiah</t>
  </si>
  <si>
    <t>Panchadi Veerababu</t>
  </si>
  <si>
    <t>MPTC, Mandal convenor</t>
  </si>
  <si>
    <t>Vegi Ramakrishna</t>
  </si>
  <si>
    <t>Ratnamma</t>
  </si>
  <si>
    <t>Boddedi Suman</t>
  </si>
  <si>
    <t>Suryakumari</t>
  </si>
  <si>
    <t>Krishnamurthi</t>
  </si>
  <si>
    <t>Viswanatham</t>
  </si>
  <si>
    <t>MLA Close Friend</t>
  </si>
  <si>
    <t>Patham setty Nageswararao</t>
  </si>
  <si>
    <t>Kunche Sitaramayya</t>
  </si>
  <si>
    <t>Ontepalli Ramannadhora</t>
  </si>
  <si>
    <t>Nagupalli Gangadhar</t>
  </si>
  <si>
    <t>Adapala Venkateshwara Rao</t>
  </si>
  <si>
    <t>TDP District Vice President</t>
  </si>
  <si>
    <t>Durga Srinu</t>
  </si>
  <si>
    <t>Ommu Krishna</t>
  </si>
  <si>
    <t>Kalyan</t>
  </si>
  <si>
    <t>Panchayath Member</t>
  </si>
  <si>
    <t>Bodureddy Veeravenkata Satyanarayana</t>
  </si>
  <si>
    <t>Vollupalli Satyanarayana</t>
  </si>
  <si>
    <t>Party Senior Leader</t>
  </si>
  <si>
    <t>P.Shivaji</t>
  </si>
  <si>
    <t>Nambari Shankar</t>
  </si>
  <si>
    <t>Challam Shetty Chakrarao</t>
  </si>
  <si>
    <t>Yerra Chakararao</t>
  </si>
  <si>
    <t>Pattu Chanti Babu</t>
  </si>
  <si>
    <t>Bajjapu Srinu</t>
  </si>
  <si>
    <t xml:space="preserve">Bala Veera Ganesh (Gode) </t>
  </si>
  <si>
    <t>Santhosh Kasa</t>
  </si>
  <si>
    <t>Pasala Rambabu</t>
  </si>
  <si>
    <t>Pappala Sivaram Krishna</t>
  </si>
  <si>
    <t xml:space="preserve">Narayana Alumalla </t>
  </si>
  <si>
    <t>Kalidasu Appikonda</t>
  </si>
  <si>
    <t>Konisetty anand</t>
  </si>
  <si>
    <t>Gorrapudi Gopinath</t>
  </si>
  <si>
    <t>Boddureddy Subbarao</t>
  </si>
  <si>
    <t>Kotha Chakara Rao</t>
  </si>
  <si>
    <t>Bonda Suresh</t>
  </si>
  <si>
    <t>Duvva Dorababu</t>
  </si>
  <si>
    <t>Grama Commiitte President</t>
  </si>
  <si>
    <t>Duvva Raja</t>
  </si>
  <si>
    <t>Market Committe Member</t>
  </si>
  <si>
    <t>Kandivelli Ravi</t>
  </si>
  <si>
    <t>Bargathi Swamy</t>
  </si>
  <si>
    <t>Thogu Kumar</t>
  </si>
  <si>
    <t>S Chanti Babu</t>
  </si>
  <si>
    <t>Mandal TDP President</t>
  </si>
  <si>
    <t>C Bobby</t>
  </si>
  <si>
    <t>Chantipada Nagababu</t>
  </si>
  <si>
    <t>Vobbisetty Venkata Peddha Redamma Peddha Kapu</t>
  </si>
  <si>
    <t>Sailu Ganesh</t>
  </si>
  <si>
    <t>Vasireddy Srinivas</t>
  </si>
  <si>
    <t>Mandal Youth Member</t>
  </si>
  <si>
    <t>Athili Nagababu</t>
  </si>
  <si>
    <t>Berusu Gangadhar</t>
  </si>
  <si>
    <t>Saipu Reddy Venkata Ramana</t>
  </si>
  <si>
    <t>Appalanarasamma Pashala</t>
  </si>
  <si>
    <t>Shrinivas Pasala</t>
  </si>
  <si>
    <t>Matena Paparao</t>
  </si>
  <si>
    <t>Kasula Raju Babu</t>
  </si>
  <si>
    <t>Kasula Satyanarayana Murthy</t>
  </si>
  <si>
    <t>Main Leader TDP from 40 yrs</t>
  </si>
  <si>
    <t>Sirimishetty Satish</t>
  </si>
  <si>
    <t>Rayudu Swamy</t>
  </si>
  <si>
    <t>Tangella Durga Bhavani</t>
  </si>
  <si>
    <t>Guthrthi Veerakrishna</t>
  </si>
  <si>
    <t>Kalla Suryanarayana</t>
  </si>
  <si>
    <t>Devara Daweedu</t>
  </si>
  <si>
    <t>Domala Gangadhar</t>
  </si>
  <si>
    <t>Adabala Sriinu</t>
  </si>
  <si>
    <t>Yelubanti Shiva</t>
  </si>
  <si>
    <t>Koppana Satyanarayana</t>
  </si>
  <si>
    <t>Thota Gandhi</t>
  </si>
  <si>
    <t>Son of ZPTC</t>
  </si>
  <si>
    <t>Yamana Satyanarayana</t>
  </si>
  <si>
    <t>Mortha Narendra</t>
  </si>
  <si>
    <t>Gollapalli Suribabu</t>
  </si>
  <si>
    <t>Party Incharge</t>
  </si>
  <si>
    <t>Siva Kumar</t>
  </si>
  <si>
    <t>Sri Ram</t>
  </si>
  <si>
    <t>Ward Leader/ Youth Co ordinator</t>
  </si>
  <si>
    <t>Vatturi Eswar Rao</t>
  </si>
  <si>
    <t>Vellisetti Srinivas Rao</t>
  </si>
  <si>
    <t>Rekkadi Venu Gopal</t>
  </si>
  <si>
    <t>Karrineti Bulliabbai</t>
  </si>
  <si>
    <t>Busala Babu Rao</t>
  </si>
  <si>
    <t>Devara Raju</t>
  </si>
  <si>
    <t>Nagana Srinivas Rao</t>
  </si>
  <si>
    <t>Burri Satyanarayana</t>
  </si>
  <si>
    <t>Ramisetty Satyanarayana</t>
  </si>
  <si>
    <t>Ungarala Venkata Ramayya</t>
  </si>
  <si>
    <t>TDP(President)</t>
  </si>
  <si>
    <t>Burri Vijya Bhaskar</t>
  </si>
  <si>
    <t>Youth President</t>
  </si>
  <si>
    <t>Kothu Ganga</t>
  </si>
  <si>
    <t>Activist</t>
  </si>
  <si>
    <t xml:space="preserve">Burri Ravi </t>
  </si>
  <si>
    <t>Son of Grama Panchayathi President</t>
  </si>
  <si>
    <t>Burri Kranthi Kiran</t>
  </si>
  <si>
    <t>Kuntilanka Suresh</t>
  </si>
  <si>
    <t>Malla Veera Durga</t>
  </si>
  <si>
    <t>Chakka lakshmi</t>
  </si>
  <si>
    <t>Sarpanch (Wife of Chakka ChinniBabu)</t>
  </si>
  <si>
    <t>Thatapuri Veerababu</t>
  </si>
  <si>
    <t>Vemmagiri China Venakat Rao</t>
  </si>
  <si>
    <t>D.Kumari</t>
  </si>
  <si>
    <t>T.Satyanarayana</t>
  </si>
  <si>
    <t>K.Dinesh</t>
  </si>
  <si>
    <t>Pallivalla Govindh Raj</t>
  </si>
  <si>
    <t>Temple Incharge</t>
  </si>
  <si>
    <t>B.Chinnayya</t>
  </si>
  <si>
    <t>Pastor (Active Leader)</t>
  </si>
  <si>
    <t>Keerthinadi Harinadh Babu</t>
  </si>
  <si>
    <t>Nanna Suresh</t>
  </si>
  <si>
    <t>Chaganti Apparao</t>
  </si>
  <si>
    <t>Sangati Rani</t>
  </si>
  <si>
    <t>Sangati Raju</t>
  </si>
  <si>
    <t>Rayudu Kumari</t>
  </si>
  <si>
    <t>Gottupalli Chinnodu</t>
  </si>
  <si>
    <t>Gottupalli Veeralakshmi</t>
  </si>
  <si>
    <t>Contestant Sarpanch</t>
  </si>
  <si>
    <t>Gokkavaram Sathibabu</t>
  </si>
  <si>
    <t>Royala Annavaram</t>
  </si>
  <si>
    <t>Kovvurupalli Adhinarayana</t>
  </si>
  <si>
    <t>Bandada Chinthayya</t>
  </si>
  <si>
    <t>Kasthuri Naga Babu</t>
  </si>
  <si>
    <t>Eratti Veerababu</t>
  </si>
  <si>
    <t>Somala Veerababu</t>
  </si>
  <si>
    <t>Kothem Rambabu</t>
  </si>
  <si>
    <t>Bandi Rajubabu</t>
  </si>
  <si>
    <t>Active Mmeber</t>
  </si>
  <si>
    <t>Egala Boddu Raju</t>
  </si>
  <si>
    <t>Varma</t>
  </si>
  <si>
    <t>Egala Konda Babu</t>
  </si>
  <si>
    <t>Lanka Sujatha w/o Lanka Srinivasa Rao</t>
  </si>
  <si>
    <t>7075683588
9182393387</t>
  </si>
  <si>
    <t>Cholla Bujii</t>
  </si>
  <si>
    <t>Grama Committe President</t>
  </si>
  <si>
    <t>Pallivella Chandra Sekhar</t>
  </si>
  <si>
    <t>BC Corporation President</t>
  </si>
  <si>
    <t>Chandra Sekhar</t>
  </si>
  <si>
    <t>I Surya Rao</t>
  </si>
  <si>
    <t>Gollu Venkat Ramana</t>
  </si>
  <si>
    <t>Karunasula Sai</t>
  </si>
  <si>
    <t>Active Leader (Bussiness)</t>
  </si>
  <si>
    <t>Anusuri Srinivasrao</t>
  </si>
  <si>
    <t>Lalla Tarun</t>
  </si>
  <si>
    <t>BC Community Leader</t>
  </si>
  <si>
    <t>S Sridevi</t>
  </si>
  <si>
    <t>Welfare Association Director</t>
  </si>
  <si>
    <t>Nallamilli Ravi Shankhar</t>
  </si>
  <si>
    <t>9052292284, 7569949907</t>
  </si>
  <si>
    <t>S Thathilu</t>
  </si>
  <si>
    <t>Ramchati Kondalrao</t>
  </si>
  <si>
    <t>JSP Conevenor</t>
  </si>
  <si>
    <t>Koppanna Gangadhar</t>
  </si>
  <si>
    <t>Sadhanala Apparao</t>
  </si>
  <si>
    <t>Golla Nasikathan</t>
  </si>
  <si>
    <t>Ramasetty Sitharamaiah</t>
  </si>
  <si>
    <t>Kandhula Visweswarao</t>
  </si>
  <si>
    <t>Zilla Youth wise President, Majii Sarpanch</t>
  </si>
  <si>
    <t>E Subharao</t>
  </si>
  <si>
    <t>Mallipudi Srirama Chandra Prasad</t>
  </si>
  <si>
    <t>Bodu Appana</t>
  </si>
  <si>
    <t>Dana Lakshmi</t>
  </si>
  <si>
    <t>M Annamaya</t>
  </si>
  <si>
    <t>S Chinni</t>
  </si>
  <si>
    <t>A Mallavaram</t>
  </si>
  <si>
    <t>Nagireddy Appala Naidu</t>
  </si>
  <si>
    <t>Pulli Jayababu</t>
  </si>
  <si>
    <t>Padhmanabam</t>
  </si>
  <si>
    <t>Balla Rajini</t>
  </si>
  <si>
    <t>Balaa Suresh</t>
  </si>
  <si>
    <t>Wise Sarpanch</t>
  </si>
  <si>
    <t>Kanapathula Kameswararao</t>
  </si>
  <si>
    <t>A Rambabu</t>
  </si>
  <si>
    <t>M Mohan</t>
  </si>
  <si>
    <t xml:space="preserve">Party Leader </t>
  </si>
  <si>
    <t xml:space="preserve">Chiintala Raju </t>
  </si>
  <si>
    <t xml:space="preserve">Pothuri Venkataramana </t>
  </si>
  <si>
    <t>Melina Pothabbai</t>
  </si>
  <si>
    <t xml:space="preserve">Annika Sathibabu </t>
  </si>
  <si>
    <t xml:space="preserve">Anaparthi Srinivas </t>
  </si>
  <si>
    <t>Bandara Apparao</t>
  </si>
  <si>
    <t>Booth Community Member</t>
  </si>
  <si>
    <t>Konna Goppi</t>
  </si>
  <si>
    <t>Bathula Venketeswarao</t>
  </si>
  <si>
    <t>Anaparthi Venkata Subramanyam</t>
  </si>
  <si>
    <t>Sachvalyam Convener</t>
  </si>
  <si>
    <t>Konna Sathibabu</t>
  </si>
  <si>
    <t>P.Babji</t>
  </si>
  <si>
    <t>mala</t>
  </si>
  <si>
    <t>Ammadi Surya Prakash</t>
  </si>
  <si>
    <t>Previous Sarpanch</t>
  </si>
  <si>
    <t>P Chamavaram</t>
  </si>
  <si>
    <t>Koteswarao</t>
  </si>
  <si>
    <t>Bandaru Yesubabu</t>
  </si>
  <si>
    <t>Deyala Baby</t>
  </si>
  <si>
    <t>Deyala Appana Babu</t>
  </si>
  <si>
    <t>K Nageswarao</t>
  </si>
  <si>
    <t>Vasamsetti Suribabu</t>
  </si>
  <si>
    <t>Vasamsetti Subhash</t>
  </si>
  <si>
    <t>Penke Sujatha</t>
  </si>
  <si>
    <t>7702475566, 8948751575</t>
  </si>
  <si>
    <t>J. Kothuru</t>
  </si>
  <si>
    <t>Sanima Srinu</t>
  </si>
  <si>
    <t>Vise President</t>
  </si>
  <si>
    <t>Kesireddi Srinu</t>
  </si>
  <si>
    <t>Chinthala Baburao</t>
  </si>
  <si>
    <t>Nagireddy Suryavathi</t>
  </si>
  <si>
    <t>Dantha Lova Prasad</t>
  </si>
  <si>
    <t>General Secretary</t>
  </si>
  <si>
    <t>Nakkireddi Nageswararao</t>
  </si>
  <si>
    <t xml:space="preserve">Nagireddy Peddakapu </t>
  </si>
  <si>
    <t>Peddapati Venkateswarulu</t>
  </si>
  <si>
    <t>Kuttamukkala Madhu</t>
  </si>
  <si>
    <t>Sythina Nageswararao</t>
  </si>
  <si>
    <t xml:space="preserve">Gulla Kameswari </t>
  </si>
  <si>
    <t>Ex-Vice Sarpanch</t>
  </si>
  <si>
    <t>Mudada Ramana</t>
  </si>
  <si>
    <t>EX President</t>
  </si>
  <si>
    <t>Rongala Nageswararao</t>
  </si>
  <si>
    <t>Rongala Venkataramana</t>
  </si>
  <si>
    <t>R Venkataramana</t>
  </si>
  <si>
    <t>Burrla Yedukondalu</t>
  </si>
  <si>
    <t>Pothuluru Surya Kantham</t>
  </si>
  <si>
    <t>Yetla Venkata Ramana</t>
  </si>
  <si>
    <t>Killadi Babu Rao</t>
  </si>
  <si>
    <t>Ginajala Sathi Babu</t>
  </si>
  <si>
    <t>Chinptirao Kurandasu</t>
  </si>
  <si>
    <t>Ramarao Gandi</t>
  </si>
  <si>
    <t>Karamdasu Appalaraju</t>
  </si>
  <si>
    <t>EX Contestant Sarpanch</t>
  </si>
  <si>
    <t xml:space="preserve">Barla Govindu </t>
  </si>
  <si>
    <t>Chalapathirao</t>
  </si>
  <si>
    <t>Gubbala Veerababu</t>
  </si>
  <si>
    <t>Kolli Satyanarayana</t>
  </si>
  <si>
    <t>Bullam Thatarao</t>
  </si>
  <si>
    <t>Chettaparthi Satish</t>
  </si>
  <si>
    <t>TDP Sevva Mitra</t>
  </si>
  <si>
    <t>Kornamdasu Babu Rao</t>
  </si>
  <si>
    <t>Taralampudi Raju</t>
  </si>
  <si>
    <t>Bodhireddy Surya</t>
  </si>
  <si>
    <t>Active Leader and Field Asistant</t>
  </si>
  <si>
    <t>Ravula Suribabu</t>
  </si>
  <si>
    <t>Dwarapudi Bramham</t>
  </si>
  <si>
    <t>MPTC School Chairman</t>
  </si>
  <si>
    <t>Chintham Reddy Veerabbabu</t>
  </si>
  <si>
    <t>Boggu Venkanababu</t>
  </si>
  <si>
    <t>Thatavarthi SubhaRao</t>
  </si>
  <si>
    <t>Nanvillu Thrimurthulu</t>
  </si>
  <si>
    <t>Kandarakuri Rajababu</t>
  </si>
  <si>
    <t>Thatavarthi Bulli VenkanaDora</t>
  </si>
  <si>
    <t>Pullisetty Venkata Ramana</t>
  </si>
  <si>
    <t>Surampudi NookaRaju</t>
  </si>
  <si>
    <t>Thatavarthi RamanaDora</t>
  </si>
  <si>
    <t>Boyinapudi</t>
  </si>
  <si>
    <t>Yogeswarao</t>
  </si>
  <si>
    <t xml:space="preserve">Pappala Vijay </t>
  </si>
  <si>
    <t>Pappala Rajulu</t>
  </si>
  <si>
    <t>TDP Booth Incharge</t>
  </si>
  <si>
    <t>Shiva Shankar</t>
  </si>
  <si>
    <t>G Ragampeta</t>
  </si>
  <si>
    <t xml:space="preserve">Dusalapudi Yesu </t>
  </si>
  <si>
    <t xml:space="preserve">Devulla Vara Prasad </t>
  </si>
  <si>
    <t xml:space="preserve">Jaldhani Subramanyam </t>
  </si>
  <si>
    <t xml:space="preserve">Boddu Venkanna </t>
  </si>
  <si>
    <t xml:space="preserve">Bandaru Veerababu </t>
  </si>
  <si>
    <t xml:space="preserve">Maji Surpanch </t>
  </si>
  <si>
    <t xml:space="preserve">Bandaru Krishna </t>
  </si>
  <si>
    <t xml:space="preserve">Maji ZPTC </t>
  </si>
  <si>
    <t xml:space="preserve">Naniboyina Kalyan Kumar </t>
  </si>
  <si>
    <t xml:space="preserve">Baskar Rao </t>
  </si>
  <si>
    <t xml:space="preserve">Leader </t>
  </si>
  <si>
    <t xml:space="preserve">M Veerababu </t>
  </si>
  <si>
    <t xml:space="preserve">Mandal Leader </t>
  </si>
  <si>
    <t xml:space="preserve">Katakan Siva Shanker </t>
  </si>
  <si>
    <t xml:space="preserve">Yadla Venkataramana </t>
  </si>
  <si>
    <t xml:space="preserve">Gumanikatla Yesubabu </t>
  </si>
  <si>
    <t xml:space="preserve">Katakam Eswara Rao </t>
  </si>
  <si>
    <t xml:space="preserve">Ex-Surpanch </t>
  </si>
  <si>
    <t xml:space="preserve">Yadla Suribabu </t>
  </si>
  <si>
    <t xml:space="preserve">K. Kottam </t>
  </si>
  <si>
    <t xml:space="preserve">Yere Nageswara Rao </t>
  </si>
  <si>
    <t xml:space="preserve">Tade Satyanarayana </t>
  </si>
  <si>
    <t xml:space="preserve">Konala Muni </t>
  </si>
  <si>
    <t xml:space="preserve">Konala Bujji </t>
  </si>
  <si>
    <t xml:space="preserve">Party Prasident </t>
  </si>
  <si>
    <t xml:space="preserve">Dogga Rama Krishna </t>
  </si>
  <si>
    <t xml:space="preserve">MPTC     </t>
  </si>
  <si>
    <t xml:space="preserve">Manikanta </t>
  </si>
  <si>
    <t xml:space="preserve">Volunteer </t>
  </si>
  <si>
    <t xml:space="preserve">Gangu Naidu </t>
  </si>
  <si>
    <t xml:space="preserve">Anavareddy Satyanarayana </t>
  </si>
  <si>
    <t xml:space="preserve">Petta Appalanaidu </t>
  </si>
  <si>
    <t xml:space="preserve">Pothula Suribabu </t>
  </si>
  <si>
    <t xml:space="preserve">Gudivada Thatababu </t>
  </si>
  <si>
    <t>T.J Nagaram</t>
  </si>
  <si>
    <t>Surla Lova Tammanna</t>
  </si>
  <si>
    <t xml:space="preserve">Soma Raju </t>
  </si>
  <si>
    <t xml:space="preserve">Ward Number Contistant </t>
  </si>
  <si>
    <t xml:space="preserve">Ram Babu </t>
  </si>
  <si>
    <t xml:space="preserve">Gidithuri Rambabu </t>
  </si>
  <si>
    <t xml:space="preserve">Surla Raju </t>
  </si>
  <si>
    <t>Lagudu Srinivas</t>
  </si>
  <si>
    <t xml:space="preserve">Ummidi John </t>
  </si>
  <si>
    <t xml:space="preserve">Bondu Chinnapilla </t>
  </si>
  <si>
    <t xml:space="preserve">Surada Raju </t>
  </si>
  <si>
    <t xml:space="preserve">Surpanch Contistant </t>
  </si>
  <si>
    <t xml:space="preserve">Surada Apparao </t>
  </si>
  <si>
    <t>Rachapalli Sunapayya</t>
  </si>
  <si>
    <t xml:space="preserve">Pattam Shiva </t>
  </si>
  <si>
    <t>G.Kothapalle</t>
  </si>
  <si>
    <t xml:space="preserve">Egala Ravibabu </t>
  </si>
  <si>
    <t xml:space="preserve">Egala Chinnammulu </t>
  </si>
  <si>
    <t xml:space="preserve">Egala Devudu </t>
  </si>
  <si>
    <t xml:space="preserve">Egala Uma Maheswari </t>
  </si>
  <si>
    <t xml:space="preserve">MPTC Contistant </t>
  </si>
  <si>
    <t xml:space="preserve">Ramiestti Yesubabu </t>
  </si>
  <si>
    <t xml:space="preserve">Yeragada  Lovaraju </t>
  </si>
  <si>
    <t xml:space="preserve">Vice Surpanch </t>
  </si>
  <si>
    <t xml:space="preserve">Nandha Lova Lakshmi </t>
  </si>
  <si>
    <t>Mandal / Municpality</t>
  </si>
  <si>
    <t>Village / Ward</t>
  </si>
  <si>
    <t>Votes</t>
  </si>
  <si>
    <t>Tuni Rural Mandal</t>
  </si>
  <si>
    <t>Atakivanipalem</t>
  </si>
  <si>
    <t>Perikilu</t>
  </si>
  <si>
    <t>velama</t>
  </si>
  <si>
    <t>other BCs</t>
  </si>
  <si>
    <t>Naibrhmin</t>
  </si>
  <si>
    <t>Chamavaram.</t>
  </si>
  <si>
    <t>Kapu(ontari)</t>
  </si>
  <si>
    <t>Others Ocs</t>
  </si>
  <si>
    <t>Visya</t>
  </si>
  <si>
    <t>Brahmina</t>
  </si>
  <si>
    <t>viswabrahmin</t>
  </si>
  <si>
    <t>yadava</t>
  </si>
  <si>
    <t>others BCs</t>
  </si>
  <si>
    <t>padmasli</t>
  </si>
  <si>
    <t>visya</t>
  </si>
  <si>
    <t>padmasali</t>
  </si>
  <si>
    <t>Viswabrhmin</t>
  </si>
  <si>
    <t>Naibrhhmin</t>
  </si>
  <si>
    <t>Kummari lova</t>
  </si>
  <si>
    <t>Kshathriya</t>
  </si>
  <si>
    <t>Other BCs</t>
  </si>
  <si>
    <t>kondadora</t>
  </si>
  <si>
    <t>Rekavanipalem</t>
  </si>
  <si>
    <t>Periki</t>
  </si>
  <si>
    <t>muslim</t>
  </si>
  <si>
    <t>Thurpu kapu</t>
  </si>
  <si>
    <t>muslim.Dudhekula</t>
  </si>
  <si>
    <t>Thalluru</t>
  </si>
  <si>
    <t>Kshtriya</t>
  </si>
  <si>
    <t>T.Thimmapuram</t>
  </si>
  <si>
    <t>Others BCs</t>
  </si>
  <si>
    <t>N.S.V.Nagaram</t>
  </si>
  <si>
    <t>P.E.Chinnayyapalem</t>
  </si>
  <si>
    <t>ST.Mannelu</t>
  </si>
  <si>
    <t>BH.Kota</t>
  </si>
  <si>
    <t>Viswa brhmin</t>
  </si>
  <si>
    <t>settibalija</t>
  </si>
  <si>
    <t>Kshthriya</t>
  </si>
  <si>
    <t>Ayyaeraka</t>
  </si>
  <si>
    <t>muslim.dudhekula</t>
  </si>
  <si>
    <t>Indugapalli</t>
  </si>
  <si>
    <t>Naibrahamin</t>
  </si>
  <si>
    <t>ST.Konda dora</t>
  </si>
  <si>
    <t>K.O.Agaraharam</t>
  </si>
  <si>
    <t>Kakarapalli</t>
  </si>
  <si>
    <t>settibalaja</t>
  </si>
  <si>
    <t>Ksthriya</t>
  </si>
  <si>
    <t>others Ocs</t>
  </si>
  <si>
    <t>medhara</t>
  </si>
  <si>
    <t>other</t>
  </si>
  <si>
    <t>ST.KondaDora</t>
  </si>
  <si>
    <t>others</t>
  </si>
  <si>
    <t>S.R.Peta</t>
  </si>
  <si>
    <t>BC'</t>
  </si>
  <si>
    <t>othres</t>
  </si>
  <si>
    <t>otehrs</t>
  </si>
  <si>
    <t>G.Musalayyapeta</t>
  </si>
  <si>
    <t>Vada balija</t>
  </si>
  <si>
    <t>Settibalaja</t>
  </si>
  <si>
    <t>Komanapalli</t>
  </si>
  <si>
    <t>Brhamin</t>
  </si>
  <si>
    <t>K.Perumallapuram</t>
  </si>
  <si>
    <t>A.Kothapalli</t>
  </si>
  <si>
    <t>Shrungavruksham</t>
  </si>
  <si>
    <t>vysya</t>
  </si>
  <si>
    <t>Nahibrahmin</t>
  </si>
  <si>
    <t>Naibrahmin</t>
  </si>
  <si>
    <t>madhihga</t>
  </si>
  <si>
    <t>Eleswaram Mandal</t>
  </si>
  <si>
    <t>SC-Mala</t>
  </si>
  <si>
    <t>N.Brahmin</t>
  </si>
  <si>
    <t>V.Brahmin</t>
  </si>
  <si>
    <t>Others OCs</t>
  </si>
  <si>
    <t>Reddi</t>
  </si>
  <si>
    <t>Perki</t>
  </si>
  <si>
    <t>K.Dora</t>
  </si>
  <si>
    <t>K.Kammari</t>
  </si>
  <si>
    <t>J.Annavaram</t>
  </si>
  <si>
    <t>Ramanayya peta</t>
  </si>
  <si>
    <t>C.Rayavaram</t>
  </si>
  <si>
    <t>Bhadra Varam</t>
  </si>
  <si>
    <t>Eleswaram Madal</t>
  </si>
  <si>
    <t>Yarravaram</t>
  </si>
  <si>
    <t>K.Velama</t>
  </si>
  <si>
    <t>K.Reddi</t>
  </si>
  <si>
    <t>K.Kapu</t>
  </si>
  <si>
    <t>Rowthulapudi Mandal</t>
  </si>
  <si>
    <t>Rowthulapudi village</t>
  </si>
  <si>
    <t>Row thulapudi Mandal</t>
  </si>
  <si>
    <t>Others:</t>
  </si>
  <si>
    <t>Senapathi</t>
  </si>
  <si>
    <t>Lachireddi palem</t>
  </si>
  <si>
    <t>Rowthulapoudi</t>
  </si>
  <si>
    <t>Balaramapuram</t>
  </si>
  <si>
    <t>S.Agraharam</t>
  </si>
  <si>
    <t>Sankavaram</t>
  </si>
  <si>
    <t>Gondi Kothapalli</t>
  </si>
  <si>
    <t>Sankava5ram</t>
  </si>
  <si>
    <t>Rachapalli</t>
  </si>
  <si>
    <t>U.J.Puram</t>
  </si>
  <si>
    <t>Venkata Nagaram</t>
  </si>
  <si>
    <t>Vakapalli</t>
  </si>
  <si>
    <t>Lampaka Lova</t>
  </si>
  <si>
    <t>Bhavuruvaka</t>
  </si>
  <si>
    <t>China Sankarla pudi</t>
  </si>
  <si>
    <t>Chinthaluru</t>
  </si>
  <si>
    <t>perki</t>
  </si>
  <si>
    <t>Sankavaram Mandal</t>
  </si>
  <si>
    <t>Sankavarfam Mandal</t>
  </si>
  <si>
    <t>Sanakvaram Mandal</t>
  </si>
  <si>
    <t>Vajrakut am</t>
  </si>
  <si>
    <t>Pedda Mallapuram</t>
  </si>
  <si>
    <t>Yeleswaram Nagar Panchayath</t>
  </si>
  <si>
    <t>1st Ward</t>
  </si>
  <si>
    <t>Mala (SC)</t>
  </si>
  <si>
    <t>Kapu (OC)</t>
  </si>
  <si>
    <t>Gavara (BC)</t>
  </si>
  <si>
    <t>Yadava (BC)</t>
  </si>
  <si>
    <t>2nd Ward</t>
  </si>
  <si>
    <t>Vysya (OC)</t>
  </si>
  <si>
    <t>Padmasali (BC)</t>
  </si>
  <si>
    <t>3rd Ward</t>
  </si>
  <si>
    <t>Turupu Kapu (BC)</t>
  </si>
  <si>
    <t>4th Ward</t>
  </si>
  <si>
    <t>Devanga (BC)</t>
  </si>
  <si>
    <t>Turupukapu (BC)</t>
  </si>
  <si>
    <t>5th Ward</t>
  </si>
  <si>
    <t>Yerakala (ST)</t>
  </si>
  <si>
    <t>Mandula (BC)</t>
  </si>
  <si>
    <t>6th Ward</t>
  </si>
  <si>
    <t>Madiga (SC)</t>
  </si>
  <si>
    <t>7th Ward</t>
  </si>
  <si>
    <t>8th Ward</t>
  </si>
  <si>
    <t>Rajaka (BC)</t>
  </si>
  <si>
    <t>9th Ward</t>
  </si>
  <si>
    <t>Nelli (BC)</t>
  </si>
  <si>
    <t>10th Ward</t>
  </si>
  <si>
    <t>Settibalija (BC)</t>
  </si>
  <si>
    <t>Koppula Velama (BC)</t>
  </si>
  <si>
    <t>11th Ward</t>
  </si>
  <si>
    <t>Koppulavelama (BC)</t>
  </si>
  <si>
    <t>12th ward</t>
  </si>
  <si>
    <t>Viswabramhin (BC)</t>
  </si>
  <si>
    <t>13th Ward</t>
  </si>
  <si>
    <t>Relly (SC)</t>
  </si>
  <si>
    <t>14th Ward</t>
  </si>
  <si>
    <t>15th Ward</t>
  </si>
  <si>
    <t>16th Ward</t>
  </si>
  <si>
    <t>17th Ward</t>
  </si>
  <si>
    <t>18th Ward</t>
  </si>
  <si>
    <t>19th Ward</t>
  </si>
  <si>
    <t>20th Ward</t>
  </si>
  <si>
    <t>SC Mala</t>
  </si>
  <si>
    <t>OC Others</t>
  </si>
  <si>
    <t>BC Others</t>
  </si>
  <si>
    <t>Telagapamula</t>
  </si>
  <si>
    <t>Kamsali</t>
  </si>
  <si>
    <t>ST.Erukala</t>
  </si>
  <si>
    <t>Gollalu</t>
  </si>
  <si>
    <t>Naibarahmin</t>
  </si>
  <si>
    <t>BC others</t>
  </si>
  <si>
    <t>St. K.Kammara</t>
  </si>
  <si>
    <t>Gangampalem</t>
  </si>
  <si>
    <t>St Kondadora</t>
  </si>
  <si>
    <t>Gummalladoddi</t>
  </si>
  <si>
    <t>Mangali</t>
  </si>
  <si>
    <t>Itikayalapalli</t>
  </si>
  <si>
    <t>kapu</t>
  </si>
  <si>
    <t>Atrrasulu</t>
  </si>
  <si>
    <t>mangali</t>
  </si>
  <si>
    <t>Kamarajupeta</t>
  </si>
  <si>
    <t>Karikala Bakta</t>
  </si>
  <si>
    <t>OC others</t>
  </si>
  <si>
    <t>Kothapalli</t>
  </si>
  <si>
    <t>Kamsalai</t>
  </si>
  <si>
    <t>Sc mala</t>
  </si>
  <si>
    <t>ST.Konda Kammara</t>
  </si>
  <si>
    <t>madika</t>
  </si>
  <si>
    <t>Krishnunipalem</t>
  </si>
  <si>
    <t>SC mala</t>
  </si>
  <si>
    <t>ST Konda Dora</t>
  </si>
  <si>
    <t>V.B</t>
  </si>
  <si>
    <t>Velam</t>
  </si>
  <si>
    <t>senapathi</t>
  </si>
  <si>
    <t>R.Yerrampalem</t>
  </si>
  <si>
    <t>Thantikonda</t>
  </si>
  <si>
    <t>Scmala</t>
  </si>
  <si>
    <t>ScSC</t>
  </si>
  <si>
    <t>Thirumalayapalem</t>
  </si>
  <si>
    <t>Sc Mala</t>
  </si>
  <si>
    <t>st</t>
  </si>
  <si>
    <t>Mylerlu</t>
  </si>
  <si>
    <t>Neeladriraopera</t>
  </si>
  <si>
    <t>Subbayammapeta</t>
  </si>
  <si>
    <t>K,BC</t>
  </si>
  <si>
    <t>Kshatrita</t>
  </si>
  <si>
    <t>SC Madiga</t>
  </si>
  <si>
    <t>OCka</t>
  </si>
  <si>
    <t>K.velama</t>
  </si>
  <si>
    <t>Yadav</t>
  </si>
  <si>
    <t>ST( Yerukala)</t>
  </si>
  <si>
    <t>Rajulu</t>
  </si>
  <si>
    <t>ST(Kondadora)</t>
  </si>
  <si>
    <t>Gurrampalem</t>
  </si>
  <si>
    <t>Nai Brahmin</t>
  </si>
  <si>
    <t>kshatriya</t>
  </si>
  <si>
    <t>Irupaka</t>
  </si>
  <si>
    <t>Katravulapalli</t>
  </si>
  <si>
    <t>ST Yerukala.</t>
  </si>
  <si>
    <t>ST Yerukla</t>
  </si>
  <si>
    <t>Manyamvaripalem</t>
  </si>
  <si>
    <t>Naredrapatnam</t>
  </si>
  <si>
    <t>NaiBrahmin</t>
  </si>
  <si>
    <t>ST(Chechu)</t>
  </si>
  <si>
    <t>SB</t>
  </si>
  <si>
    <t>Vengayammapuram</t>
  </si>
  <si>
    <t>ST Yerukala</t>
  </si>
  <si>
    <t>Bhoolapatnam</t>
  </si>
  <si>
    <t>Burugapudi</t>
  </si>
  <si>
    <t>Shasti karanam</t>
  </si>
  <si>
    <t>Senapthi</t>
  </si>
  <si>
    <t>ST. Yerukala</t>
  </si>
  <si>
    <t>Upparlu</t>
  </si>
  <si>
    <t>Vyshnavulu</t>
  </si>
  <si>
    <t>Other Ocs</t>
  </si>
  <si>
    <t>ST.Yerukula</t>
  </si>
  <si>
    <t>Somarayanampeta</t>
  </si>
  <si>
    <t>Brahmana</t>
  </si>
  <si>
    <t>Kshatiya</t>
  </si>
  <si>
    <t>PEDDAPURAM</t>
  </si>
  <si>
    <t>ANURU</t>
  </si>
  <si>
    <t>Balja</t>
  </si>
  <si>
    <t>TOTAL</t>
  </si>
  <si>
    <t>CHADALADA</t>
  </si>
  <si>
    <t>Naye Brahmin</t>
  </si>
  <si>
    <t>CHANDRAMAMPALLI</t>
  </si>
  <si>
    <t>Oantarlu</t>
  </si>
  <si>
    <t>Rajika</t>
  </si>
  <si>
    <t>Devang</t>
  </si>
  <si>
    <t>C.B.DEVAM</t>
  </si>
  <si>
    <t>Naye Bramin</t>
  </si>
  <si>
    <t>DIVILI</t>
  </si>
  <si>
    <t>G.RAGAMPETA</t>
  </si>
  <si>
    <t>K Velama</t>
  </si>
  <si>
    <t>Kakibathula</t>
  </si>
  <si>
    <t>GORINTA</t>
  </si>
  <si>
    <t>Battaraju</t>
  </si>
  <si>
    <t>vysa</t>
  </si>
  <si>
    <t>J.THIMAPURAM</t>
  </si>
  <si>
    <t>KANDRAKOTA</t>
  </si>
  <si>
    <t>Turpukapu</t>
  </si>
  <si>
    <t>KATAMURU</t>
  </si>
  <si>
    <t>Kaikabathula</t>
  </si>
  <si>
    <t>KONDAPALLI</t>
  </si>
  <si>
    <t>setti baliji</t>
  </si>
  <si>
    <t>rajika</t>
  </si>
  <si>
    <t>kamsali</t>
  </si>
  <si>
    <t>PULIMERU</t>
  </si>
  <si>
    <t>R.B.KOTURU</t>
  </si>
  <si>
    <t>Pichguntalu</t>
  </si>
  <si>
    <t>Viswabrahmin</t>
  </si>
  <si>
    <t>R.B.PATNAM</t>
  </si>
  <si>
    <t>Tirupathi</t>
  </si>
  <si>
    <t>Turupupakala</t>
  </si>
  <si>
    <t>Setibalija</t>
  </si>
  <si>
    <t>Settibaliji</t>
  </si>
  <si>
    <t>SAMALKOTA</t>
  </si>
  <si>
    <t>ATCHAMPETA</t>
  </si>
  <si>
    <t>Toorpu Kapu</t>
  </si>
  <si>
    <t>Viswasbrahmin</t>
  </si>
  <si>
    <t>CHANDRAMPALEM</t>
  </si>
  <si>
    <t>Yaddava</t>
  </si>
  <si>
    <t>G.KOTHURU</t>
  </si>
  <si>
    <t>G.MEDAPADU</t>
  </si>
  <si>
    <t>Aravalu</t>
  </si>
  <si>
    <t>V/bramin</t>
  </si>
  <si>
    <t>GONCHALA</t>
  </si>
  <si>
    <t>HUSSIENPURAM</t>
  </si>
  <si>
    <t>KAPVARAM</t>
  </si>
  <si>
    <t>MADHAVAPATNAM</t>
  </si>
  <si>
    <t>Bondili</t>
  </si>
  <si>
    <t>Nayebrahmin</t>
  </si>
  <si>
    <t>Vysa</t>
  </si>
  <si>
    <t>P.VEMAVARAM</t>
  </si>
  <si>
    <t>PANDRAA</t>
  </si>
  <si>
    <t>Settibala</t>
  </si>
  <si>
    <t>vellama</t>
  </si>
  <si>
    <t>P.B.DEVAM</t>
  </si>
  <si>
    <t>A K Kshatriya</t>
  </si>
  <si>
    <t>V.K.RAYAPURAM</t>
  </si>
  <si>
    <t>NayeBrahmin</t>
  </si>
  <si>
    <t>ViswaBrahmin</t>
  </si>
  <si>
    <t>PEDDAPURAM MUNP</t>
  </si>
  <si>
    <t>WARD No: 1</t>
  </si>
  <si>
    <t>Setti baliji</t>
  </si>
  <si>
    <t>WARD No: 2</t>
  </si>
  <si>
    <t>A.K.Kshatriya</t>
  </si>
  <si>
    <t>WARD No: 3</t>
  </si>
  <si>
    <t>Sttibalija</t>
  </si>
  <si>
    <t>Muslims</t>
  </si>
  <si>
    <t>WARD No: 4</t>
  </si>
  <si>
    <t>T.kapu</t>
  </si>
  <si>
    <t>WARD No: 5</t>
  </si>
  <si>
    <t>WARD No: 6</t>
  </si>
  <si>
    <t>Visvabhramina</t>
  </si>
  <si>
    <t>Bramin</t>
  </si>
  <si>
    <t>Marvadi</t>
  </si>
  <si>
    <t>WARD No: 7</t>
  </si>
  <si>
    <t>Marvai</t>
  </si>
  <si>
    <t>WARD No: 8</t>
  </si>
  <si>
    <t>WARD No: 9</t>
  </si>
  <si>
    <t>Yadhava</t>
  </si>
  <si>
    <t>Vellama</t>
  </si>
  <si>
    <t>WARD No: 10</t>
  </si>
  <si>
    <t>Yanadhula</t>
  </si>
  <si>
    <t>WARD No: 11</t>
  </si>
  <si>
    <t>WARD No: 12</t>
  </si>
  <si>
    <t>Mala &amp; Christian</t>
  </si>
  <si>
    <t>WARD No: 13</t>
  </si>
  <si>
    <t>Patnayak</t>
  </si>
  <si>
    <t>Musilims</t>
  </si>
  <si>
    <t>WARD No: 14</t>
  </si>
  <si>
    <t>K.Vellama</t>
  </si>
  <si>
    <t>WARD No: 15</t>
  </si>
  <si>
    <t>WARD No: 16</t>
  </si>
  <si>
    <t>Medara</t>
  </si>
  <si>
    <t>WARD No: 17</t>
  </si>
  <si>
    <t>Viswabramin</t>
  </si>
  <si>
    <t>WARD No: 18</t>
  </si>
  <si>
    <t>A.K.setriya</t>
  </si>
  <si>
    <t>Nayi bramin</t>
  </si>
  <si>
    <t>WARD No: 19</t>
  </si>
  <si>
    <t>WARD No: 20</t>
  </si>
  <si>
    <t>WARD No: 21</t>
  </si>
  <si>
    <t>WARD No: 22</t>
  </si>
  <si>
    <t>WARD No: 23</t>
  </si>
  <si>
    <t>WARD No: 24</t>
  </si>
  <si>
    <t>WARD No: 25</t>
  </si>
  <si>
    <t>Yerikula</t>
  </si>
  <si>
    <t>WARD No: 26</t>
  </si>
  <si>
    <t>Nayibramin</t>
  </si>
  <si>
    <t>WARD No: 27</t>
  </si>
  <si>
    <t>Visa bramins</t>
  </si>
  <si>
    <t>WARD No: 28</t>
  </si>
  <si>
    <t>PEDDAPURAM MUNPL.</t>
  </si>
  <si>
    <t>WARD No: 29</t>
  </si>
  <si>
    <t>Viswabramins</t>
  </si>
  <si>
    <t>bramins</t>
  </si>
  <si>
    <t>SAMALKOT MUNP</t>
  </si>
  <si>
    <t>WARD No: 01</t>
  </si>
  <si>
    <t>WARD No: 02</t>
  </si>
  <si>
    <t>WARD No: 03</t>
  </si>
  <si>
    <t>WARD No: 04</t>
  </si>
  <si>
    <t>WARD No: 05</t>
  </si>
  <si>
    <t>Bhramin</t>
  </si>
  <si>
    <t>WARD No: 06</t>
  </si>
  <si>
    <t>Kummarlu</t>
  </si>
  <si>
    <t>WARD No: 07</t>
  </si>
  <si>
    <t>Viswabhramin</t>
  </si>
  <si>
    <t>WARD No: 08</t>
  </si>
  <si>
    <t>Gavvarlu</t>
  </si>
  <si>
    <t>thenukula</t>
  </si>
  <si>
    <t>WARD No: 09</t>
  </si>
  <si>
    <t>Nayibhramin</t>
  </si>
  <si>
    <t>Nyibramin</t>
  </si>
  <si>
    <t>Medhara</t>
  </si>
  <si>
    <t>Viswabramina</t>
  </si>
  <si>
    <t>Bhramih</t>
  </si>
  <si>
    <t>Bramina</t>
  </si>
  <si>
    <t>Nayibramins</t>
  </si>
  <si>
    <t>WARD No: 30</t>
  </si>
  <si>
    <t>WARD N0: 31</t>
  </si>
  <si>
    <t>PITHAPURAM</t>
  </si>
  <si>
    <t>P. DONTHAMURU</t>
  </si>
  <si>
    <t>OBC</t>
  </si>
  <si>
    <t>Nayibrahmana</t>
  </si>
  <si>
    <t>VELDURTHI</t>
  </si>
  <si>
    <t>Erukula</t>
  </si>
  <si>
    <t>GOKIWADA</t>
  </si>
  <si>
    <t>AK Kshatriaya</t>
  </si>
  <si>
    <t>P. Thimmapuram</t>
  </si>
  <si>
    <t>Yanadi</t>
  </si>
  <si>
    <t>Mangithurthi</t>
  </si>
  <si>
    <t>Thurpu Kapu</t>
  </si>
  <si>
    <t>JALLURU</t>
  </si>
  <si>
    <t>KANDARADA</t>
  </si>
  <si>
    <t>KUMARAPURAM</t>
  </si>
  <si>
    <t>FK PALEM</t>
  </si>
  <si>
    <t>VIRAWADA</t>
  </si>
  <si>
    <t>Thurpukapu</t>
  </si>
  <si>
    <t>Velamadora</t>
  </si>
  <si>
    <t>LN Puram</t>
  </si>
  <si>
    <t>Raparthy</t>
  </si>
  <si>
    <t>Relly</t>
  </si>
  <si>
    <t>U. KOTHAPALLI</t>
  </si>
  <si>
    <t>U.KOTHAPALLI</t>
  </si>
  <si>
    <t>AK Kshatriya</t>
  </si>
  <si>
    <t>VAKATHIPPA</t>
  </si>
  <si>
    <t>KONDEVARAM</t>
  </si>
  <si>
    <t>AMEENABAD</t>
  </si>
  <si>
    <t>Chenchu</t>
  </si>
  <si>
    <t>YANDAPALLI</t>
  </si>
  <si>
    <t>Yerukala</t>
  </si>
  <si>
    <t>NAGULAAPALLI</t>
  </si>
  <si>
    <t>Konda Reddy</t>
  </si>
  <si>
    <t>KOTHAMULAPETA</t>
  </si>
  <si>
    <t>SRIRAMAPURAM</t>
  </si>
  <si>
    <t>GOLLAPROLU</t>
  </si>
  <si>
    <t>CHEBROLE</t>
  </si>
  <si>
    <t>CHINNA JAGGAMPETA</t>
  </si>
  <si>
    <t>DURGADA</t>
  </si>
  <si>
    <t>Devangula</t>
  </si>
  <si>
    <t>K. MALLAVARAM</t>
  </si>
  <si>
    <t>P. MALLAVARAM</t>
  </si>
  <si>
    <t>VIJAYANAGARAM</t>
  </si>
  <si>
    <t>PITHAPURAM MUNP</t>
  </si>
  <si>
    <t>1 Ward</t>
  </si>
  <si>
    <t>SC MALA</t>
  </si>
  <si>
    <t>KAPU</t>
  </si>
  <si>
    <t>SETTIBALIJA</t>
  </si>
  <si>
    <t>BRAHMIN</t>
  </si>
  <si>
    <t>2 Ward</t>
  </si>
  <si>
    <t>REDDY</t>
  </si>
  <si>
    <t>3 Ward</t>
  </si>
  <si>
    <t>4 Ward</t>
  </si>
  <si>
    <t>5 Ward</t>
  </si>
  <si>
    <t>VELEMA</t>
  </si>
  <si>
    <t>PADMASALI</t>
  </si>
  <si>
    <t>6 Ward</t>
  </si>
  <si>
    <t>VYSYA</t>
  </si>
  <si>
    <t>7 Ward</t>
  </si>
  <si>
    <t>8 Ward</t>
  </si>
  <si>
    <t>9 Ward</t>
  </si>
  <si>
    <t>10 ward</t>
  </si>
  <si>
    <t>BRHAMIN</t>
  </si>
  <si>
    <t>11 Ward</t>
  </si>
  <si>
    <t>KAPKU</t>
  </si>
  <si>
    <t>YADAVA</t>
  </si>
  <si>
    <t>PADAMASALI</t>
  </si>
  <si>
    <t>12 Ward</t>
  </si>
  <si>
    <t>13 Ward</t>
  </si>
  <si>
    <t>MUSLIM</t>
  </si>
  <si>
    <t>SISTIKARNALU</t>
  </si>
  <si>
    <t>14 Ward</t>
  </si>
  <si>
    <t>15 Ward</t>
  </si>
  <si>
    <t>SISTIKARNALAU</t>
  </si>
  <si>
    <t>16 Ward</t>
  </si>
  <si>
    <t>17 Ward</t>
  </si>
  <si>
    <t>18 Ward</t>
  </si>
  <si>
    <t>YANADI</t>
  </si>
  <si>
    <t>19 Ward</t>
  </si>
  <si>
    <t>20 Ward</t>
  </si>
  <si>
    <t>DEVANGA</t>
  </si>
  <si>
    <t>21 Ward</t>
  </si>
  <si>
    <t>22 Ward</t>
  </si>
  <si>
    <t>23 Ward</t>
  </si>
  <si>
    <t>24 Ward</t>
  </si>
  <si>
    <t>25 Ward</t>
  </si>
  <si>
    <t>26 Ward</t>
  </si>
  <si>
    <t>PADMASLAI</t>
  </si>
  <si>
    <t>27 Ward</t>
  </si>
  <si>
    <t>28 Ward</t>
  </si>
  <si>
    <t>SC MAL</t>
  </si>
  <si>
    <t>29 Ward</t>
  </si>
  <si>
    <t>RAJAKA</t>
  </si>
  <si>
    <t>30 Ward</t>
  </si>
  <si>
    <t>GOLLAPROLU NP</t>
  </si>
  <si>
    <t>SC MADIGA</t>
  </si>
  <si>
    <t>VYSYAS</t>
  </si>
  <si>
    <t>SC RELLY</t>
  </si>
  <si>
    <t>10 Ward</t>
  </si>
  <si>
    <t>Kakinada rural</t>
  </si>
  <si>
    <t>Turpu kapu</t>
  </si>
  <si>
    <t>Agnikula kxatriya</t>
  </si>
  <si>
    <t>Gouda</t>
  </si>
  <si>
    <t>V.Dora</t>
  </si>
  <si>
    <t>ST Yerukula</t>
  </si>
  <si>
    <t>Budaga Jangalu</t>
  </si>
  <si>
    <t>Turangi</t>
  </si>
  <si>
    <t>Agnikula Kxatriya</t>
  </si>
  <si>
    <t>Dudekulu</t>
  </si>
  <si>
    <t>Perukulu</t>
  </si>
  <si>
    <t>Kalavanthulu</t>
  </si>
  <si>
    <t>Vaishnava</t>
  </si>
  <si>
    <t>Indrapalem</t>
  </si>
  <si>
    <t>Vontari</t>
  </si>
  <si>
    <t>Madhiga</t>
  </si>
  <si>
    <t>ST Yanadula</t>
  </si>
  <si>
    <t>Cheediga</t>
  </si>
  <si>
    <t>Perukula</t>
  </si>
  <si>
    <t>Senapathula</t>
  </si>
  <si>
    <t>Agnikula Kxatriys</t>
  </si>
  <si>
    <t>ST Koya Dora</t>
  </si>
  <si>
    <t>SC Relli</t>
  </si>
  <si>
    <t>Suryaraopeta</t>
  </si>
  <si>
    <t>Agnikula Ksthriya</t>
  </si>
  <si>
    <t>Koya Dora</t>
  </si>
  <si>
    <t>Surya Balija</t>
  </si>
  <si>
    <t>SC Jangalu</t>
  </si>
  <si>
    <t>Agnikula kshatriya</t>
  </si>
  <si>
    <t>SCRelli</t>
  </si>
  <si>
    <t>Aratakatla</t>
  </si>
  <si>
    <t>Vemulawada</t>
  </si>
  <si>
    <t>Goddetipalem</t>
  </si>
  <si>
    <t>Koripalli</t>
  </si>
  <si>
    <t>Pedakothuru</t>
  </si>
  <si>
    <t>Valasapakala</t>
  </si>
  <si>
    <t>salivahana</t>
  </si>
  <si>
    <t>G.Bhavaram</t>
  </si>
  <si>
    <t>Vijayarayudupalem</t>
  </si>
  <si>
    <t>Kakinada Municipal Corporation</t>
  </si>
  <si>
    <t>DIVISION 1</t>
  </si>
  <si>
    <t>Kahitriya</t>
  </si>
  <si>
    <t>Pallilu</t>
  </si>
  <si>
    <t>Krishna Balaji</t>
  </si>
  <si>
    <t>DIVISION 2</t>
  </si>
  <si>
    <t>A.K</t>
  </si>
  <si>
    <t>DIVISION 3</t>
  </si>
  <si>
    <t>SC Madhiga</t>
  </si>
  <si>
    <t>DIVISION 42</t>
  </si>
  <si>
    <t>Nayi-Brahmin</t>
  </si>
  <si>
    <t>Viswa-Brahmin</t>
  </si>
  <si>
    <t>Vyasaya</t>
  </si>
  <si>
    <t>DIVISION 47</t>
  </si>
  <si>
    <t>Nai-Brahmin</t>
  </si>
  <si>
    <t>DIVISION 48</t>
  </si>
  <si>
    <t>Tenukulu</t>
  </si>
  <si>
    <t>Adi Andra</t>
  </si>
  <si>
    <t>Jamgam</t>
  </si>
  <si>
    <t>DIVISION 49</t>
  </si>
  <si>
    <t>DIVISION 50</t>
  </si>
  <si>
    <t>4th Division</t>
  </si>
  <si>
    <t>Gowda/ S.Balija</t>
  </si>
  <si>
    <t>Surya Baliaj</t>
  </si>
  <si>
    <t>5th Division</t>
  </si>
  <si>
    <t>Srisayana</t>
  </si>
  <si>
    <t>6th Division</t>
  </si>
  <si>
    <t>7th Division</t>
  </si>
  <si>
    <t>Vadbalija</t>
  </si>
  <si>
    <t>Gowda/Settibalija</t>
  </si>
  <si>
    <t>8th Division</t>
  </si>
  <si>
    <t>Lambadi</t>
  </si>
  <si>
    <t>9th Division</t>
  </si>
  <si>
    <t>Other SCs</t>
  </si>
  <si>
    <t>10th Division</t>
  </si>
  <si>
    <t>Vadabaliaj</t>
  </si>
  <si>
    <t>11th Division</t>
  </si>
  <si>
    <t>Vaddi</t>
  </si>
  <si>
    <t>12th Division</t>
  </si>
  <si>
    <t>Agnikula Kshatriya/Jalari</t>
  </si>
  <si>
    <t>13th Division</t>
  </si>
  <si>
    <t>Vishwa Brahmin</t>
  </si>
  <si>
    <t>Agnikula Kshatriay</t>
  </si>
  <si>
    <t>Sisti Karnalu</t>
  </si>
  <si>
    <t>14th Division</t>
  </si>
  <si>
    <t>15th Division</t>
  </si>
  <si>
    <t>16th Division</t>
  </si>
  <si>
    <t>Jalari</t>
  </si>
  <si>
    <t>17th Division</t>
  </si>
  <si>
    <t>Marwadi</t>
  </si>
  <si>
    <t>18th Division</t>
  </si>
  <si>
    <t>19th Division</t>
  </si>
  <si>
    <t>20th Division</t>
  </si>
  <si>
    <t>Telukala</t>
  </si>
  <si>
    <t>21st Division</t>
  </si>
  <si>
    <t>22nd Division</t>
  </si>
  <si>
    <t>23rd Division</t>
  </si>
  <si>
    <t>24th Division</t>
  </si>
  <si>
    <t>25th Division</t>
  </si>
  <si>
    <t>26th Division</t>
  </si>
  <si>
    <t>27th Division</t>
  </si>
  <si>
    <t>Nagaralu</t>
  </si>
  <si>
    <t>28th Division</t>
  </si>
  <si>
    <t>Jangam</t>
  </si>
  <si>
    <t>Other STs</t>
  </si>
  <si>
    <t>29th Division</t>
  </si>
  <si>
    <t>Perkia</t>
  </si>
  <si>
    <t>30th Division</t>
  </si>
  <si>
    <t>Jains</t>
  </si>
  <si>
    <t>31st Division</t>
  </si>
  <si>
    <t>32nd Division</t>
  </si>
  <si>
    <t>33rd Division</t>
  </si>
  <si>
    <t>34th Division</t>
  </si>
  <si>
    <t>35th Division</t>
  </si>
  <si>
    <t>36th Division</t>
  </si>
  <si>
    <t>37th Division</t>
  </si>
  <si>
    <t>Christian Ocs</t>
  </si>
  <si>
    <t>38th Division</t>
  </si>
  <si>
    <t>39th Division</t>
  </si>
  <si>
    <t>40th Division</t>
  </si>
  <si>
    <t>41st Division</t>
  </si>
  <si>
    <t>43rd Division</t>
  </si>
  <si>
    <t>44th Division</t>
  </si>
  <si>
    <t>Other STS</t>
  </si>
  <si>
    <t>45th Division</t>
  </si>
  <si>
    <t>46th Division</t>
  </si>
  <si>
    <t>Christian OC</t>
  </si>
  <si>
    <t>Bondililu</t>
  </si>
  <si>
    <t>AC_No</t>
  </si>
  <si>
    <t>DISTRICT</t>
  </si>
  <si>
    <t>PARLIAMENT</t>
  </si>
  <si>
    <t>CONSTITUENCY</t>
  </si>
  <si>
    <t>MANDAL/ Town</t>
  </si>
  <si>
    <t>VILLAGE</t>
  </si>
  <si>
    <t>Type</t>
  </si>
  <si>
    <t>Booth_No</t>
  </si>
  <si>
    <t>Nehru (TDP)</t>
  </si>
  <si>
    <t>Thota Narsimham (YSRCP)</t>
  </si>
  <si>
    <t>Marothi Siva Ganesh (INC)</t>
  </si>
  <si>
    <t>Juthuka Nageswara Rao(BSP)</t>
  </si>
  <si>
    <t>CPI</t>
  </si>
  <si>
    <t>CPI(M)</t>
  </si>
  <si>
    <t>CPI(ML)(L)</t>
  </si>
  <si>
    <t>NOTA</t>
  </si>
  <si>
    <t>Others_Total</t>
  </si>
  <si>
    <t>Others Total</t>
  </si>
  <si>
    <t>East Godavari</t>
  </si>
  <si>
    <t>KRISHNUNI PALEM</t>
  </si>
  <si>
    <t>THANTI KONDA</t>
  </si>
  <si>
    <t>ITIKAYALA PALLE</t>
  </si>
  <si>
    <t>ATCHUTAPURAM</t>
  </si>
  <si>
    <t>GUMMALLADUDDI</t>
  </si>
  <si>
    <t>TIRUMALAYAPALEM</t>
  </si>
  <si>
    <t>GANGAM PALEM</t>
  </si>
  <si>
    <t>KOTHAPALLE</t>
  </si>
  <si>
    <t>KAMARAJU PETA</t>
  </si>
  <si>
    <t>Z.RAGAMPETA</t>
  </si>
  <si>
    <t>TALLURU</t>
  </si>
  <si>
    <t>UPPALAPADU</t>
  </si>
  <si>
    <t>MALLEPALLI</t>
  </si>
  <si>
    <t>K.GOPALAPURAM</t>
  </si>
  <si>
    <t>N.T.RAJAPURAM</t>
  </si>
  <si>
    <t>GANDEPALLE</t>
  </si>
  <si>
    <t>SINGARAMPALEM</t>
  </si>
  <si>
    <t>MURARI</t>
  </si>
  <si>
    <t>YELLAMILLI</t>
  </si>
  <si>
    <t>P. NAYAKAMPALLE</t>
  </si>
  <si>
    <t>K. NAYAKAMPALLE</t>
  </si>
  <si>
    <t>P.SURAMPALEM</t>
  </si>
  <si>
    <t>YERRAMPALEM</t>
  </si>
  <si>
    <t>MANYANVARI PALEM</t>
  </si>
  <si>
    <t>GURRA PALEM</t>
  </si>
  <si>
    <t>SOMAVARAM</t>
  </si>
  <si>
    <t>BURUGUPUDI</t>
  </si>
  <si>
    <t>PALEM</t>
  </si>
  <si>
    <t>SOMANARAYANI PETA</t>
  </si>
  <si>
    <t>KRISHNAVARAM</t>
  </si>
  <si>
    <t>GEDDANAPALLE</t>
  </si>
  <si>
    <t>S.THIMMAPURAM</t>
  </si>
  <si>
    <t>BHUPALAPANTAM</t>
  </si>
  <si>
    <t>MUKKOLLU</t>
  </si>
  <si>
    <t>RAJUPALEM</t>
  </si>
  <si>
    <t>VEERAVARAM</t>
  </si>
  <si>
    <t>THAMARADA</t>
  </si>
  <si>
    <t>RAMACHANDRA PURAM</t>
  </si>
  <si>
    <t>GONEDA</t>
  </si>
  <si>
    <t>VELANKA</t>
  </si>
  <si>
    <t>SIMHADRI PURAM</t>
  </si>
  <si>
    <t>Kakinada Town</t>
  </si>
  <si>
    <t>6-A</t>
  </si>
  <si>
    <t>J. THIMMAPURAM</t>
  </si>
  <si>
    <t>TURUPU PAKALU</t>
  </si>
  <si>
    <t>KATTAMURU</t>
  </si>
  <si>
    <t>GUDIVADA</t>
  </si>
  <si>
    <t>SIRIVADA</t>
  </si>
  <si>
    <t>ULIMESWARAM</t>
  </si>
  <si>
    <t>CHANDRAMAMPALLE</t>
  </si>
  <si>
    <t>DIVLLI</t>
  </si>
  <si>
    <t>VADLAMURU</t>
  </si>
  <si>
    <t>G. RAGAMPETA</t>
  </si>
  <si>
    <t>62-A</t>
  </si>
  <si>
    <t>R.B. KOTHURU</t>
  </si>
  <si>
    <t>KONDAPALLE</t>
  </si>
  <si>
    <t>G. KOTHURU</t>
  </si>
  <si>
    <t>G. MEDAPADU</t>
  </si>
  <si>
    <t>CHANDRAM PALEM</t>
  </si>
  <si>
    <t>PANDRAVADA</t>
  </si>
  <si>
    <t>P. VEMAVARAM</t>
  </si>
  <si>
    <t>ATCHAM PETA</t>
  </si>
  <si>
    <t>THAMMAVARAM</t>
  </si>
  <si>
    <t>SURYARAO PETA</t>
  </si>
  <si>
    <t>VAKALAPUDI</t>
  </si>
  <si>
    <t>VALASAPAKALU</t>
  </si>
  <si>
    <t>RAMANAYYAPETA</t>
  </si>
  <si>
    <t>S. ATCHUTHAPURAM</t>
  </si>
  <si>
    <t>INDRA PALEM</t>
  </si>
  <si>
    <t>CHIDIGA</t>
  </si>
  <si>
    <t>KOVVURU</t>
  </si>
  <si>
    <t>TOORANGI</t>
  </si>
  <si>
    <t>GODATIPALEM</t>
  </si>
  <si>
    <t>KORIPALLE</t>
  </si>
  <si>
    <t>PENUGUDURU</t>
  </si>
  <si>
    <t>UPPALANKA</t>
  </si>
  <si>
    <t>GURAJANAPALLE</t>
  </si>
  <si>
    <t>KONGODU</t>
  </si>
  <si>
    <t>VEMULAVADA</t>
  </si>
  <si>
    <t>G. BHAVARAM</t>
  </si>
  <si>
    <t>PEDA KOTHURU</t>
  </si>
  <si>
    <t>VIJAYARAYUDU PALEM</t>
  </si>
  <si>
    <t>A.P.MALLAVARAM</t>
  </si>
  <si>
    <t>Gollaproplu Town</t>
  </si>
  <si>
    <t>P DONTHAMURU</t>
  </si>
  <si>
    <t>B. KOTHURU</t>
  </si>
  <si>
    <t>GOKIVADA</t>
  </si>
  <si>
    <t>JAMULAPALLI</t>
  </si>
  <si>
    <t>NARASINGAPURAM</t>
  </si>
  <si>
    <t>RAPARTHI</t>
  </si>
  <si>
    <t>P RAYAVARAM</t>
  </si>
  <si>
    <t>P THIMMAPURAM</t>
  </si>
  <si>
    <t>BHOGAPURAM</t>
  </si>
  <si>
    <t>B PRATHIPADU</t>
  </si>
  <si>
    <t>MADHAVAPURAM</t>
  </si>
  <si>
    <t>L N PURAM</t>
  </si>
  <si>
    <t>KOLANKA</t>
  </si>
  <si>
    <t>MANGITURTHI</t>
  </si>
  <si>
    <t>VIRAVA</t>
  </si>
  <si>
    <t>MALLAM</t>
  </si>
  <si>
    <t>3 0</t>
  </si>
  <si>
    <t>4 0</t>
  </si>
  <si>
    <t>CHITRADA</t>
  </si>
  <si>
    <t>SREERAMPURAM</t>
  </si>
  <si>
    <t>KOTHA MULAPETA</t>
  </si>
  <si>
    <t>YENDAPALLE</t>
  </si>
  <si>
    <t>NAGULAPALLE</t>
  </si>
  <si>
    <t>ISUKAPALLE</t>
  </si>
  <si>
    <t>Yeleshwaram Town</t>
  </si>
  <si>
    <t>L.R.Palem</t>
  </si>
  <si>
    <t>KAKARAPALLE</t>
  </si>
  <si>
    <t>B.H.KOTA</t>
  </si>
  <si>
    <t>L.D.PETA</t>
  </si>
  <si>
    <t>INDUGAPALLE</t>
  </si>
  <si>
    <t>N S VENKATANAGARAM</t>
  </si>
  <si>
    <t>D.POLAVARAM</t>
  </si>
  <si>
    <t>REKHAVANIPALEM</t>
  </si>
  <si>
    <t>RAPAKA</t>
  </si>
  <si>
    <t>KUMMARILOVA</t>
  </si>
  <si>
    <t>V KOTHURU</t>
  </si>
  <si>
    <t>CHAMAVARAM</t>
  </si>
  <si>
    <t>CHEPURU</t>
  </si>
  <si>
    <t>S.ANNAVARAM</t>
  </si>
  <si>
    <t>HAMSAVARAM</t>
  </si>
  <si>
    <t>SE@THARAMPURAM</t>
  </si>
  <si>
    <t>KOMMANAPALLE</t>
  </si>
  <si>
    <t>THONDANGI</t>
  </si>
  <si>
    <t>215A</t>
  </si>
  <si>
    <t>Jasthi Vasanth</t>
  </si>
  <si>
    <t>Events Planned</t>
  </si>
  <si>
    <t>Cadre Outreach</t>
  </si>
  <si>
    <t>N TV interview for spreading story</t>
  </si>
  <si>
    <t>Muraru</t>
  </si>
  <si>
    <t>Social</t>
  </si>
  <si>
    <t>Political</t>
  </si>
  <si>
    <t>Governance</t>
  </si>
  <si>
    <t>TTD Letters</t>
  </si>
  <si>
    <t>Cadre First</t>
  </si>
  <si>
    <t>Biggest Kapu leader</t>
  </si>
  <si>
    <t>Gouri says SSB is free in March</t>
  </si>
  <si>
    <t>SSB Foundation</t>
  </si>
  <si>
    <t>Thanks SSB Rural Cadre meeting without controversy</t>
  </si>
  <si>
    <t>17 Acres stadium in Kakinada</t>
  </si>
  <si>
    <t>Acheived by SSB</t>
  </si>
  <si>
    <t>Match Tickets</t>
  </si>
  <si>
    <t>Next to Pavan Kalyan</t>
  </si>
  <si>
    <t>Construction monthly status</t>
  </si>
  <si>
    <t>Ramaya Palem</t>
  </si>
  <si>
    <t>First Response to Rayudupalm Incident</t>
  </si>
  <si>
    <t>15 Cr skill hub in Kakinada --&gt; Need to create buzz</t>
  </si>
  <si>
    <t>Need to give to influncer across ummadi godavari districts</t>
  </si>
  <si>
    <t>Personal Help</t>
  </si>
  <si>
    <t>Kapu influencers should release videos</t>
  </si>
  <si>
    <t>soil report on wednesday</t>
  </si>
  <si>
    <t>Singaram Palem</t>
  </si>
  <si>
    <t>AMG water plant - 2 lakhs</t>
  </si>
  <si>
    <t>Fisherman Bheema increased to 40 lakh, meeting about scheme in MP office proper meeting set</t>
  </si>
  <si>
    <t>Event Angle with proper set up</t>
  </si>
  <si>
    <t>KKD event success story</t>
  </si>
  <si>
    <t>Thaluru</t>
  </si>
  <si>
    <t>Medicover Incident bill reduced to 60K from 1.45 lakh</t>
  </si>
  <si>
    <t xml:space="preserve">ACA stadium case </t>
  </si>
  <si>
    <t>NT Rajapuram</t>
  </si>
  <si>
    <t>Apollo Tuni (bill)
Allipudi incident (1.5 lakh)</t>
  </si>
  <si>
    <t>KKD stadium publicity</t>
  </si>
  <si>
    <t>Publicity of the private bill in SM</t>
  </si>
  <si>
    <t>Decide narrative for the private bill</t>
  </si>
  <si>
    <t>Facilitate loans</t>
  </si>
  <si>
    <t>Coconut story</t>
  </si>
  <si>
    <t>instant sahre media pressmeet links for the p</t>
  </si>
  <si>
    <t>SSB must come forward in the events, so it gives us content too (SSB should stay on the left)
Center focussed shhot of SSB</t>
  </si>
  <si>
    <t>DRC
Swachandhra (3rd saturday) - Feb 21st
Pensions (Feb 28th)</t>
  </si>
  <si>
    <t>vertical photos</t>
  </si>
  <si>
    <t>Old District</t>
  </si>
  <si>
    <t>New District</t>
  </si>
  <si>
    <t>AC Name</t>
  </si>
  <si>
    <t>Block</t>
  </si>
  <si>
    <t>DNAME</t>
  </si>
  <si>
    <t>DMNAME</t>
  </si>
  <si>
    <t>Corrected Assembly</t>
  </si>
  <si>
    <t>Chittoor</t>
  </si>
  <si>
    <t>Kuppam</t>
  </si>
  <si>
    <t>Santhipuram</t>
  </si>
  <si>
    <t>ANANTAPUR</t>
  </si>
  <si>
    <t>AGALI</t>
  </si>
  <si>
    <t>Madakasira (Sc)</t>
  </si>
  <si>
    <t>Ramakuppam</t>
  </si>
  <si>
    <t>AMADAGUR</t>
  </si>
  <si>
    <t>Puttaparthi</t>
  </si>
  <si>
    <t>Gudupalle</t>
  </si>
  <si>
    <t>AMARAPURAM</t>
  </si>
  <si>
    <t>KIRLAMPUDI</t>
  </si>
  <si>
    <t>Gudipala</t>
  </si>
  <si>
    <t>Anantapur Urban</t>
  </si>
  <si>
    <t>KAKINADA (FULLY URBAN)</t>
  </si>
  <si>
    <t>ATMAKUR1</t>
  </si>
  <si>
    <t>Raptadu</t>
  </si>
  <si>
    <t>Kuppam Town</t>
  </si>
  <si>
    <t>BATHALAPALLE</t>
  </si>
  <si>
    <t>Palamaner</t>
  </si>
  <si>
    <t>Peddapanjani</t>
  </si>
  <si>
    <t>BELUGUPPA</t>
  </si>
  <si>
    <t>Uravakonda</t>
  </si>
  <si>
    <t>BOMMANAHAL</t>
  </si>
  <si>
    <t>Rayadurg</t>
  </si>
  <si>
    <t>Baireddipalle</t>
  </si>
  <si>
    <t>BRAHMASAMUDRAM</t>
  </si>
  <si>
    <t>Kalyandurg</t>
  </si>
  <si>
    <t>KAKINADA (RURAL)</t>
  </si>
  <si>
    <t>Venkatagirikota</t>
  </si>
  <si>
    <t>BUKKAPATNAM</t>
  </si>
  <si>
    <t>BUKKARAYA  SAMUDRAM</t>
  </si>
  <si>
    <t>Singanamala (Sc)</t>
  </si>
  <si>
    <t>Palamaner Town</t>
  </si>
  <si>
    <t>CHENNEKOTHAPALLE</t>
  </si>
  <si>
    <t>Puthalapattu (Sc)</t>
  </si>
  <si>
    <t>Irala</t>
  </si>
  <si>
    <t>CHILAMATHUR</t>
  </si>
  <si>
    <t>Hindupur</t>
  </si>
  <si>
    <t>Puthalapattu</t>
  </si>
  <si>
    <t>D.HIREHAL</t>
  </si>
  <si>
    <t>Chittoor Town</t>
  </si>
  <si>
    <t>Thavanampalle</t>
  </si>
  <si>
    <t>GANDLAPENTA</t>
  </si>
  <si>
    <t>Kadiri</t>
  </si>
  <si>
    <t>KOTHAPALLE1</t>
  </si>
  <si>
    <t>Bangarupalem</t>
  </si>
  <si>
    <t>GARLADINNE</t>
  </si>
  <si>
    <t>YELESWARAM</t>
  </si>
  <si>
    <t>Yadamarri</t>
  </si>
  <si>
    <t>GOOTY</t>
  </si>
  <si>
    <t>Guntakal</t>
  </si>
  <si>
    <t>GORANTLA</t>
  </si>
  <si>
    <t>Penukonda</t>
  </si>
  <si>
    <t>PRATHIPADU1</t>
  </si>
  <si>
    <t>GUDIBANDA</t>
  </si>
  <si>
    <t>ROWTHULAPUDI</t>
  </si>
  <si>
    <t>GUMMAGATTA</t>
  </si>
  <si>
    <t>GUNTAKAL</t>
  </si>
  <si>
    <t>SANKHAVARAM</t>
  </si>
  <si>
    <t>HINDUPUR</t>
  </si>
  <si>
    <t>Gangadhara Nellore (Sc)</t>
  </si>
  <si>
    <t>Penumuru</t>
  </si>
  <si>
    <t>KADIRI</t>
  </si>
  <si>
    <t>TUNI</t>
  </si>
  <si>
    <t>Vedurukuppam</t>
  </si>
  <si>
    <t>KALYANDURG</t>
  </si>
  <si>
    <t>Karvetinagar</t>
  </si>
  <si>
    <t>KAMBADUR</t>
  </si>
  <si>
    <t>Srirangarajapuram</t>
  </si>
  <si>
    <t>KANAGANAPALLE</t>
  </si>
  <si>
    <t>Gangadhara Nellore</t>
  </si>
  <si>
    <t>KANEKAL</t>
  </si>
  <si>
    <t>Palasamudram</t>
  </si>
  <si>
    <t>KOTHACHERUVU</t>
  </si>
  <si>
    <t>Nagari</t>
  </si>
  <si>
    <t>Vadamalapeta</t>
  </si>
  <si>
    <t>KUDAIR</t>
  </si>
  <si>
    <t>Puttur</t>
  </si>
  <si>
    <t>KUNDURPI</t>
  </si>
  <si>
    <t>Puttur Town</t>
  </si>
  <si>
    <t>LEPAKSHI</t>
  </si>
  <si>
    <t>MADAKASIRA</t>
  </si>
  <si>
    <t>Nagari Town</t>
  </si>
  <si>
    <t>MUDIGUBBA</t>
  </si>
  <si>
    <t>Nindra</t>
  </si>
  <si>
    <t>NALLACHERUVU</t>
  </si>
  <si>
    <t>Vijayapuram</t>
  </si>
  <si>
    <t>NALLAMADA</t>
  </si>
  <si>
    <t>NAMBULIPULIKUNTA</t>
  </si>
  <si>
    <t>Satyavedu (Sc)</t>
  </si>
  <si>
    <t>Buchinaidu Kandriga</t>
  </si>
  <si>
    <t>NARPALA</t>
  </si>
  <si>
    <t>Varadaiahpalem</t>
  </si>
  <si>
    <t>OBULADEVARACHERUVU</t>
  </si>
  <si>
    <t>K.V.B.Puram</t>
  </si>
  <si>
    <t>PAMIDI</t>
  </si>
  <si>
    <t>Narayanavanam</t>
  </si>
  <si>
    <t>PARIGI</t>
  </si>
  <si>
    <t>Pichatur</t>
  </si>
  <si>
    <t>PEDDAPAPPUR</t>
  </si>
  <si>
    <t>Tadipatri</t>
  </si>
  <si>
    <t>Nagalapuram</t>
  </si>
  <si>
    <t>PEDDAVADUGUR</t>
  </si>
  <si>
    <t>Satyavedu</t>
  </si>
  <si>
    <t>PENUKONDA</t>
  </si>
  <si>
    <t>Srikalahasti</t>
  </si>
  <si>
    <t>PUTLUR</t>
  </si>
  <si>
    <t>Srikalahasti Town</t>
  </si>
  <si>
    <t>PUTTAPARTHI</t>
  </si>
  <si>
    <t>Renigunta</t>
  </si>
  <si>
    <t>RAMAGIRI</t>
  </si>
  <si>
    <t>Yerpedu</t>
  </si>
  <si>
    <t>RAPTADU</t>
  </si>
  <si>
    <t>Thottambedu</t>
  </si>
  <si>
    <t>RAYADURG</t>
  </si>
  <si>
    <t>RODDAM</t>
  </si>
  <si>
    <t>Tirupati Town</t>
  </si>
  <si>
    <t>ROLLA</t>
  </si>
  <si>
    <t>SETTUR</t>
  </si>
  <si>
    <t>Chandragiri</t>
  </si>
  <si>
    <t>Yerravaripalem</t>
  </si>
  <si>
    <t>SINGANAMALA</t>
  </si>
  <si>
    <t>Chinnagottigallu</t>
  </si>
  <si>
    <t>SOMANDEPALLE</t>
  </si>
  <si>
    <t>Pakala</t>
  </si>
  <si>
    <t>TADIMARRI</t>
  </si>
  <si>
    <t>TADPATRI</t>
  </si>
  <si>
    <t>Tirupati (Rural)</t>
  </si>
  <si>
    <t>TALUPULA</t>
  </si>
  <si>
    <t>Tirupati (Urban)</t>
  </si>
  <si>
    <t>TANAKAL</t>
  </si>
  <si>
    <t>URAVAKONDA</t>
  </si>
  <si>
    <t>VAJRAKARUR</t>
  </si>
  <si>
    <t>Punganur</t>
  </si>
  <si>
    <t>VIDAPANAKAL</t>
  </si>
  <si>
    <t>Punganur Town</t>
  </si>
  <si>
    <t>YADIKI</t>
  </si>
  <si>
    <t>Chowdepalle</t>
  </si>
  <si>
    <t>YELLANUR</t>
  </si>
  <si>
    <t>Somala</t>
  </si>
  <si>
    <t>CHITTOOR</t>
  </si>
  <si>
    <t>B.KOTHAKOTA</t>
  </si>
  <si>
    <t>Thamballapalle</t>
  </si>
  <si>
    <t>Sodam</t>
  </si>
  <si>
    <t>BAIREDDIPALLE</t>
  </si>
  <si>
    <t>Rompicherla</t>
  </si>
  <si>
    <t>BANGARUPALEM</t>
  </si>
  <si>
    <t>Pulicherla</t>
  </si>
  <si>
    <t>BUCHINAIDU  KANDRIGA</t>
  </si>
  <si>
    <t>CHANDRAGIRI</t>
  </si>
  <si>
    <t>Annamayya</t>
  </si>
  <si>
    <t>Madanapalle</t>
  </si>
  <si>
    <t>CHINNAGOTTIGALLU</t>
  </si>
  <si>
    <t>Madanapalle Town</t>
  </si>
  <si>
    <t>Nimmanapalle</t>
  </si>
  <si>
    <t>CHOWDEPALLE</t>
  </si>
  <si>
    <t>Ramasamudram</t>
  </si>
  <si>
    <t>GANGADHARANELLORE</t>
  </si>
  <si>
    <t>GANGAVARAM1</t>
  </si>
  <si>
    <t>Pileru</t>
  </si>
  <si>
    <t>Gurramkonda</t>
  </si>
  <si>
    <t>GUDIPALA</t>
  </si>
  <si>
    <t>Kalakada</t>
  </si>
  <si>
    <t>GUDUPALLE</t>
  </si>
  <si>
    <t>Kambhamvaripalle</t>
  </si>
  <si>
    <t>GURRAMKONDA</t>
  </si>
  <si>
    <t>Valmikipuram</t>
  </si>
  <si>
    <t>IRALA</t>
  </si>
  <si>
    <t>Kalikiri</t>
  </si>
  <si>
    <t>K.V.B.PURAM</t>
  </si>
  <si>
    <t>KALAKADA</t>
  </si>
  <si>
    <t>KALIKIRI</t>
  </si>
  <si>
    <t>Mulakalacheruvu</t>
  </si>
  <si>
    <t>KAMBHAMVARIPALLE</t>
  </si>
  <si>
    <t>KUPPAM</t>
  </si>
  <si>
    <t>Peddamandyam</t>
  </si>
  <si>
    <t>KURABALAKOTA</t>
  </si>
  <si>
    <t>Pedda Thippasamudram</t>
  </si>
  <si>
    <t>MADANAPALLE</t>
  </si>
  <si>
    <t>B.Kothakota</t>
  </si>
  <si>
    <t>MULAKALACHERUVU</t>
  </si>
  <si>
    <t>Kurabalakota</t>
  </si>
  <si>
    <t>NAGALAPURAM</t>
  </si>
  <si>
    <t>NAGARI</t>
  </si>
  <si>
    <t>Anantapur</t>
  </si>
  <si>
    <t>Sri Sathya Sai</t>
  </si>
  <si>
    <t>Talupula</t>
  </si>
  <si>
    <t>NARAYANAVANAM</t>
  </si>
  <si>
    <t>NIMMANAPALLE</t>
  </si>
  <si>
    <t>Kadiri Town</t>
  </si>
  <si>
    <t>NINDRA</t>
  </si>
  <si>
    <t>Gandlapenta</t>
  </si>
  <si>
    <t>PAKALA</t>
  </si>
  <si>
    <t>Nambulipulikunta</t>
  </si>
  <si>
    <t>PALAMANER</t>
  </si>
  <si>
    <t>Nallacheruvu</t>
  </si>
  <si>
    <t>PALASAMUDRAM</t>
  </si>
  <si>
    <t>Tanakal</t>
  </si>
  <si>
    <t>PEDDA THIPPASAMUDRAM</t>
  </si>
  <si>
    <t>Tadimarri</t>
  </si>
  <si>
    <t>PEDDAMANDYAM</t>
  </si>
  <si>
    <t>Mudigubba</t>
  </si>
  <si>
    <t>PEDDAPANJANI</t>
  </si>
  <si>
    <t>Bathalapalle</t>
  </si>
  <si>
    <t>PENUMURU</t>
  </si>
  <si>
    <t>PICHATUR</t>
  </si>
  <si>
    <t>Dharmavaram Town</t>
  </si>
  <si>
    <t>PILERU</t>
  </si>
  <si>
    <t>Kothacheruvu</t>
  </si>
  <si>
    <t>PULICHERLA</t>
  </si>
  <si>
    <t>Bukkapatnam</t>
  </si>
  <si>
    <t>PUNGANUR</t>
  </si>
  <si>
    <t>PUTHALAPATTU</t>
  </si>
  <si>
    <t>Puttaparthi Town</t>
  </si>
  <si>
    <t>PUTTUR</t>
  </si>
  <si>
    <t>Nallamada</t>
  </si>
  <si>
    <t>RAMACHANDRAPURAM1</t>
  </si>
  <si>
    <t>Obuladevaracheruvu</t>
  </si>
  <si>
    <t>RAMAKUPPAM</t>
  </si>
  <si>
    <t>Amadagur</t>
  </si>
  <si>
    <t>RAMASAMUDRAM</t>
  </si>
  <si>
    <t>RENIGUNTA</t>
  </si>
  <si>
    <t>Roddam</t>
  </si>
  <si>
    <t>ROMPICHERLA1</t>
  </si>
  <si>
    <t>Parigi</t>
  </si>
  <si>
    <t>SANTHIPURAM</t>
  </si>
  <si>
    <t>Somandepalle</t>
  </si>
  <si>
    <t>SATYAVEDU</t>
  </si>
  <si>
    <t>SODAM</t>
  </si>
  <si>
    <t>Penukonda Town</t>
  </si>
  <si>
    <t>SOMALA</t>
  </si>
  <si>
    <t>Gorantla</t>
  </si>
  <si>
    <t>SRIKALAHASTI</t>
  </si>
  <si>
    <t>SRIRANGARAJAPURAM</t>
  </si>
  <si>
    <t>THAMBALLAPALLE</t>
  </si>
  <si>
    <t>Hindupur Town</t>
  </si>
  <si>
    <t>THAVANAMPALLE</t>
  </si>
  <si>
    <t>Lepakshi</t>
  </si>
  <si>
    <t>THOTTAMBEDU</t>
  </si>
  <si>
    <t>Chilamathur</t>
  </si>
  <si>
    <t>TIRUPATI (RURAL)</t>
  </si>
  <si>
    <t>Amarapuram</t>
  </si>
  <si>
    <t>TIRUPATI (URBAN)</t>
  </si>
  <si>
    <t>Gudibanda</t>
  </si>
  <si>
    <t>VADAMALAPETA</t>
  </si>
  <si>
    <t>Rolla</t>
  </si>
  <si>
    <t>VARADAIAHPALEM</t>
  </si>
  <si>
    <t>Agali</t>
  </si>
  <si>
    <t>VAYALPAD</t>
  </si>
  <si>
    <t>Madakasira</t>
  </si>
  <si>
    <t>VEDURUKUPPAM</t>
  </si>
  <si>
    <t>Madakasira Town</t>
  </si>
  <si>
    <t>VENKATAGIRIKOTA</t>
  </si>
  <si>
    <t>VIJAYAPURAM</t>
  </si>
  <si>
    <t>Atmakur</t>
  </si>
  <si>
    <t>YADAMARRI</t>
  </si>
  <si>
    <t>YERPEDU</t>
  </si>
  <si>
    <t>YERRAVARIPALEM</t>
  </si>
  <si>
    <t>Kanaganapalle</t>
  </si>
  <si>
    <t>EAST GODAVARI</t>
  </si>
  <si>
    <t>ADDATEEGALA</t>
  </si>
  <si>
    <t>Rampachodavaram (St)</t>
  </si>
  <si>
    <t>Ramagiri</t>
  </si>
  <si>
    <t>AINAVILLI</t>
  </si>
  <si>
    <t>Gannavaram (Sc)</t>
  </si>
  <si>
    <t>Chennekothapalle</t>
  </si>
  <si>
    <t>ALAMURU</t>
  </si>
  <si>
    <t>Kothapeta</t>
  </si>
  <si>
    <t>Brahmasamudram</t>
  </si>
  <si>
    <t>ALLAVARAM</t>
  </si>
  <si>
    <t>Amalapuram (Sc)</t>
  </si>
  <si>
    <t>AMALAPURAM</t>
  </si>
  <si>
    <t>D.Hirehal</t>
  </si>
  <si>
    <t>AMBAJIPETA</t>
  </si>
  <si>
    <t>Kalyandurg Town</t>
  </si>
  <si>
    <t>ANAPARTHY</t>
  </si>
  <si>
    <t>Anaparthy</t>
  </si>
  <si>
    <t>ATREYAPURAM</t>
  </si>
  <si>
    <t>Settur</t>
  </si>
  <si>
    <t>BHADRACHALAM</t>
  </si>
  <si>
    <t>Gooty</t>
  </si>
  <si>
    <t>BICCAVOLU</t>
  </si>
  <si>
    <t>Kundurpi</t>
  </si>
  <si>
    <t>CHINTUR</t>
  </si>
  <si>
    <t>Kambadur</t>
  </si>
  <si>
    <t>DEVIPATNAM</t>
  </si>
  <si>
    <t>Anantapur Town</t>
  </si>
  <si>
    <t>GANGAVARAM2</t>
  </si>
  <si>
    <t>Garladinne</t>
  </si>
  <si>
    <t>Singanamala</t>
  </si>
  <si>
    <t>I. POLAVARAM</t>
  </si>
  <si>
    <t>Mummidivaram</t>
  </si>
  <si>
    <t>Bukkaraya Samudram</t>
  </si>
  <si>
    <t>Narpala</t>
  </si>
  <si>
    <t>KADIAM</t>
  </si>
  <si>
    <t>Rajahmundry Rural</t>
  </si>
  <si>
    <t>KAJULURU</t>
  </si>
  <si>
    <t>Putlur</t>
  </si>
  <si>
    <t>Yellanur</t>
  </si>
  <si>
    <t>KAPILESWARAPURAM</t>
  </si>
  <si>
    <t>Mandapeta</t>
  </si>
  <si>
    <t>Peddavadugur</t>
  </si>
  <si>
    <t>Yadiki</t>
  </si>
  <si>
    <t>KATRENIKONA</t>
  </si>
  <si>
    <t>Peddapappur</t>
  </si>
  <si>
    <t>Tadpatri</t>
  </si>
  <si>
    <t>KORUKONDA</t>
  </si>
  <si>
    <t>Rajanagaram</t>
  </si>
  <si>
    <t>Tadpatri Town</t>
  </si>
  <si>
    <t>Guntakal Town</t>
  </si>
  <si>
    <t>KOTHAPETA</t>
  </si>
  <si>
    <t>KUNAVARAM</t>
  </si>
  <si>
    <t>Gooty Town</t>
  </si>
  <si>
    <t>MALIKIPURAM</t>
  </si>
  <si>
    <t>Razole (Sc)</t>
  </si>
  <si>
    <t>Pamidi</t>
  </si>
  <si>
    <t>MAMIDIKUDURU</t>
  </si>
  <si>
    <t>Pamidi Town</t>
  </si>
  <si>
    <t>MANDAPETA</t>
  </si>
  <si>
    <t>Vidapanakal</t>
  </si>
  <si>
    <t>MAREDUMILLI</t>
  </si>
  <si>
    <t>Vajrakarur</t>
  </si>
  <si>
    <t>MUMMIDIVARAM</t>
  </si>
  <si>
    <t>P.GANNAVARAM</t>
  </si>
  <si>
    <t>Beluguppa</t>
  </si>
  <si>
    <t>PAMARRU1</t>
  </si>
  <si>
    <t>Pamarru (Sc)</t>
  </si>
  <si>
    <t>Kudair</t>
  </si>
  <si>
    <t>PEDAPUDI</t>
  </si>
  <si>
    <t>Bommanahal</t>
  </si>
  <si>
    <t>Kanekal</t>
  </si>
  <si>
    <t>RAJAHMUNDRY (FULLY URBAN)</t>
  </si>
  <si>
    <t>Rajahmundry City</t>
  </si>
  <si>
    <t>Rayadurg Town</t>
  </si>
  <si>
    <t>RAJAHMUNDRY (RURAL)</t>
  </si>
  <si>
    <t>Gummagatta</t>
  </si>
  <si>
    <t>RAJANAGARAM</t>
  </si>
  <si>
    <t>RAJAVOMMANGI</t>
  </si>
  <si>
    <t>Kurnool</t>
  </si>
  <si>
    <t>Alur</t>
  </si>
  <si>
    <t>Holagunda</t>
  </si>
  <si>
    <t>RAMACHANDRAPURAM2</t>
  </si>
  <si>
    <t>Halaharvi</t>
  </si>
  <si>
    <t>RAMPACHODAVARAM</t>
  </si>
  <si>
    <t>Chippagiri</t>
  </si>
  <si>
    <t>RANGAMPETA</t>
  </si>
  <si>
    <t>RAVULAPALEM</t>
  </si>
  <si>
    <t>Aspari</t>
  </si>
  <si>
    <t>RAYAVARAM</t>
  </si>
  <si>
    <t>Devanakonda</t>
  </si>
  <si>
    <t>RAZOLE</t>
  </si>
  <si>
    <t>Adoni</t>
  </si>
  <si>
    <t>Adoni Town</t>
  </si>
  <si>
    <t>SAKHINETIPALLE</t>
  </si>
  <si>
    <t>Mantralayam</t>
  </si>
  <si>
    <t>Kowthalam</t>
  </si>
  <si>
    <t>Kosigi</t>
  </si>
  <si>
    <t>SEETHANAGARAM1</t>
  </si>
  <si>
    <t>Pedda Kadubur</t>
  </si>
  <si>
    <t>THALLAREVU</t>
  </si>
  <si>
    <t>Yemmiganur</t>
  </si>
  <si>
    <t>Nandavaram</t>
  </si>
  <si>
    <t>UPPALAGUPTAM</t>
  </si>
  <si>
    <t>Yemmiganur Town</t>
  </si>
  <si>
    <t>VARARAMACHANDRAPURAM</t>
  </si>
  <si>
    <t>Gonegandla</t>
  </si>
  <si>
    <t>Y.RAMAVARAM</t>
  </si>
  <si>
    <t>Kodumur (Sc)</t>
  </si>
  <si>
    <t>C.Belagal</t>
  </si>
  <si>
    <t>GUNTUR</t>
  </si>
  <si>
    <t>AMARAVATHI</t>
  </si>
  <si>
    <t>Pedakurapadu</t>
  </si>
  <si>
    <t>Kurnool Town</t>
  </si>
  <si>
    <t>AMRUTHALUR</t>
  </si>
  <si>
    <t>Vemuru (Sc)</t>
  </si>
  <si>
    <t>Gudur</t>
  </si>
  <si>
    <t>ATCHAMPET</t>
  </si>
  <si>
    <t>Gudur Town</t>
  </si>
  <si>
    <t>BAPATLA</t>
  </si>
  <si>
    <t>Bapatla</t>
  </si>
  <si>
    <t>Kodumur</t>
  </si>
  <si>
    <t>BELLAMKONDA</t>
  </si>
  <si>
    <t>Pattikonda</t>
  </si>
  <si>
    <t>BHATTIPROLU</t>
  </si>
  <si>
    <t>Maddikera (East)</t>
  </si>
  <si>
    <t>BOLLAPALLE</t>
  </si>
  <si>
    <t>Vinukonda</t>
  </si>
  <si>
    <t>Tuggali</t>
  </si>
  <si>
    <t>Ponnur</t>
  </si>
  <si>
    <t>Krishnagiri</t>
  </si>
  <si>
    <t>CHERUKUPALLE</t>
  </si>
  <si>
    <t>Repalle</t>
  </si>
  <si>
    <t>CHILAKALURIPET</t>
  </si>
  <si>
    <t>Chilakaluripet</t>
  </si>
  <si>
    <t>Nandyal</t>
  </si>
  <si>
    <t>Dhone</t>
  </si>
  <si>
    <t>DACHEPALLE</t>
  </si>
  <si>
    <t>Gurajala</t>
  </si>
  <si>
    <t>Peapally</t>
  </si>
  <si>
    <t>DUGGIRALA</t>
  </si>
  <si>
    <t>Mangalagiri</t>
  </si>
  <si>
    <t>Dhone Town</t>
  </si>
  <si>
    <t>DURGI</t>
  </si>
  <si>
    <t>Macherla</t>
  </si>
  <si>
    <t>Bethamcherla</t>
  </si>
  <si>
    <t>EDLAPADU</t>
  </si>
  <si>
    <t>Bethamcherla Town</t>
  </si>
  <si>
    <t>Prathipadu (Sc)</t>
  </si>
  <si>
    <t>Banaganapalle</t>
  </si>
  <si>
    <t>GURAZALA</t>
  </si>
  <si>
    <t>Owk</t>
  </si>
  <si>
    <t>IPUR</t>
  </si>
  <si>
    <t>Kolimigundla</t>
  </si>
  <si>
    <t>KAKUMANU</t>
  </si>
  <si>
    <t>Sanjamala</t>
  </si>
  <si>
    <t>KAREMPUDI</t>
  </si>
  <si>
    <t>Koilkuntla</t>
  </si>
  <si>
    <t>KARLAPALEM</t>
  </si>
  <si>
    <t>KOLLIPARA</t>
  </si>
  <si>
    <t>Tenali</t>
  </si>
  <si>
    <t>Nandyal Town</t>
  </si>
  <si>
    <t>KOLLUR</t>
  </si>
  <si>
    <t>Gospadu</t>
  </si>
  <si>
    <t>KROSURU</t>
  </si>
  <si>
    <t>MACHAVARAM</t>
  </si>
  <si>
    <t>Panyam</t>
  </si>
  <si>
    <t>Kallur</t>
  </si>
  <si>
    <t>MACHERLA</t>
  </si>
  <si>
    <t>MANGALAGIRI</t>
  </si>
  <si>
    <t>Orvakal</t>
  </si>
  <si>
    <t>MEDIKONDURU</t>
  </si>
  <si>
    <t>Tadikonda (Sc)</t>
  </si>
  <si>
    <t>MUPPALLA</t>
  </si>
  <si>
    <t>Sattenapalle</t>
  </si>
  <si>
    <t>Gadivemula</t>
  </si>
  <si>
    <t>NADENDLA</t>
  </si>
  <si>
    <t>NAGARAM</t>
  </si>
  <si>
    <t>NARASARAOPET</t>
  </si>
  <si>
    <t>Narasaraopet</t>
  </si>
  <si>
    <t>Nandikotkur (Sc)</t>
  </si>
  <si>
    <t>Pagidyala</t>
  </si>
  <si>
    <t>NEKARIKALLU</t>
  </si>
  <si>
    <t>Nandikotkur</t>
  </si>
  <si>
    <t>NIZAMPATNAM</t>
  </si>
  <si>
    <t>Midthur</t>
  </si>
  <si>
    <t>NUZENDLA</t>
  </si>
  <si>
    <t>Nandi Kotkur Town</t>
  </si>
  <si>
    <t>PEDAKAKANI</t>
  </si>
  <si>
    <t>Jupadu Bungalow</t>
  </si>
  <si>
    <t>PEDAKURAPADU</t>
  </si>
  <si>
    <t>PEDANANDIPADU</t>
  </si>
  <si>
    <t>Pamulapadu</t>
  </si>
  <si>
    <t>PHIRANGIPURAM</t>
  </si>
  <si>
    <t>PIDUGURALLA</t>
  </si>
  <si>
    <t>Srisailam</t>
  </si>
  <si>
    <t>PITTALAVANIPALEM</t>
  </si>
  <si>
    <t>PONNUR</t>
  </si>
  <si>
    <t>Atmakuru Town</t>
  </si>
  <si>
    <t>PRATHIPADU2</t>
  </si>
  <si>
    <t>Velgode</t>
  </si>
  <si>
    <t>RAJUPALEM1</t>
  </si>
  <si>
    <t>Bandi Atmakur</t>
  </si>
  <si>
    <t>RENTACHINTALA</t>
  </si>
  <si>
    <t>Mahanandi</t>
  </si>
  <si>
    <t>REPALLE</t>
  </si>
  <si>
    <t>ROMPICHERLA2</t>
  </si>
  <si>
    <t>Allagadda</t>
  </si>
  <si>
    <t>Dornipadu</t>
  </si>
  <si>
    <t>SATTENAPALLE</t>
  </si>
  <si>
    <t>Uyyalawada</t>
  </si>
  <si>
    <t>SAVALYAPURAM</t>
  </si>
  <si>
    <t>Sirvel</t>
  </si>
  <si>
    <t>TADEPALLE</t>
  </si>
  <si>
    <t>TADIKONDA</t>
  </si>
  <si>
    <t>Allagadda Town</t>
  </si>
  <si>
    <t>TENALI</t>
  </si>
  <si>
    <t>Rudravaram</t>
  </si>
  <si>
    <t>THULLUR</t>
  </si>
  <si>
    <t>Chagalamarri</t>
  </si>
  <si>
    <t>TSUNDUR</t>
  </si>
  <si>
    <t>Kadapa</t>
  </si>
  <si>
    <t>Mydukur</t>
  </si>
  <si>
    <t>Duvvur</t>
  </si>
  <si>
    <t>VATTICHERUKURU</t>
  </si>
  <si>
    <t>Muddanur</t>
  </si>
  <si>
    <t>VELDURTHI1</t>
  </si>
  <si>
    <t>S.Mydukur</t>
  </si>
  <si>
    <t>VEMURU</t>
  </si>
  <si>
    <t>Mydukur Town</t>
  </si>
  <si>
    <t>VINUKONDA</t>
  </si>
  <si>
    <t>Chapad</t>
  </si>
  <si>
    <t>KADAPA</t>
  </si>
  <si>
    <t>ATLUR</t>
  </si>
  <si>
    <t>Badvel</t>
  </si>
  <si>
    <t>Khajipet</t>
  </si>
  <si>
    <t>B.KODUR</t>
  </si>
  <si>
    <t>Brahmamgarimattam</t>
  </si>
  <si>
    <t>BADVEL</t>
  </si>
  <si>
    <t>Proddatur</t>
  </si>
  <si>
    <t>BRAHMAMGARIMATTAM</t>
  </si>
  <si>
    <t>CHAKRAYAPET</t>
  </si>
  <si>
    <t>Pulivendla</t>
  </si>
  <si>
    <t>Proddatur Town</t>
  </si>
  <si>
    <t>CHAPAD</t>
  </si>
  <si>
    <t>Jammalamadugu</t>
  </si>
  <si>
    <t>Peddamudium</t>
  </si>
  <si>
    <t>CHENNUR2</t>
  </si>
  <si>
    <t>Kamalapuram</t>
  </si>
  <si>
    <t>Mylavaram</t>
  </si>
  <si>
    <t>CHINNAMANDEM</t>
  </si>
  <si>
    <t>Rayachoti</t>
  </si>
  <si>
    <t>CHINTHAKOMMADINNE</t>
  </si>
  <si>
    <t>Jammalamadugu Town</t>
  </si>
  <si>
    <t>CHITVEL</t>
  </si>
  <si>
    <t>Rajampet</t>
  </si>
  <si>
    <t>Kondapuram</t>
  </si>
  <si>
    <t>DUVVUR</t>
  </si>
  <si>
    <t>GALIVEEDU</t>
  </si>
  <si>
    <t>Yerraguntla</t>
  </si>
  <si>
    <t>GOPAVARAM</t>
  </si>
  <si>
    <t>Yerraguntla Town</t>
  </si>
  <si>
    <t>JAMMALAMADUGU</t>
  </si>
  <si>
    <t>KALASAPADU</t>
  </si>
  <si>
    <t>Kamalapuram Town</t>
  </si>
  <si>
    <t>KAMALAPURAM</t>
  </si>
  <si>
    <t>Chennur</t>
  </si>
  <si>
    <t>KHAJIPET</t>
  </si>
  <si>
    <t>Vallur</t>
  </si>
  <si>
    <t>KODUR</t>
  </si>
  <si>
    <t>Kodur (Sc)</t>
  </si>
  <si>
    <t>Veerapunayunipalle</t>
  </si>
  <si>
    <t>KONDAPURAM1</t>
  </si>
  <si>
    <t>Pendlimarri</t>
  </si>
  <si>
    <t>LAKKIREDDIPALLE</t>
  </si>
  <si>
    <t>Chinthakommadinne</t>
  </si>
  <si>
    <t>LINGALA</t>
  </si>
  <si>
    <t>Cuddapah Town</t>
  </si>
  <si>
    <t>MUDDANUR</t>
  </si>
  <si>
    <t>MYLAVARAM1</t>
  </si>
  <si>
    <t>Lingala</t>
  </si>
  <si>
    <t>NANDALUR</t>
  </si>
  <si>
    <t>OBULAVARIPALLE</t>
  </si>
  <si>
    <t>Pulivendla Town</t>
  </si>
  <si>
    <t>PEDDAMUDIUM</t>
  </si>
  <si>
    <t>Vemula</t>
  </si>
  <si>
    <t>PENAGALUR</t>
  </si>
  <si>
    <t>Thondur</t>
  </si>
  <si>
    <t>PENDLIMARRI</t>
  </si>
  <si>
    <t>Vempalle</t>
  </si>
  <si>
    <t>PORUMAMILLA</t>
  </si>
  <si>
    <t>Chakrayapet</t>
  </si>
  <si>
    <t>PRODDATUR</t>
  </si>
  <si>
    <t>Lakkireddipalle</t>
  </si>
  <si>
    <t>PULIVENDLA</t>
  </si>
  <si>
    <t>T Sundupalle</t>
  </si>
  <si>
    <t>PULLAMPETA</t>
  </si>
  <si>
    <t>Ramapuram</t>
  </si>
  <si>
    <t>RAJAMPET</t>
  </si>
  <si>
    <t>RAJUPALEM2</t>
  </si>
  <si>
    <t>Chitvel</t>
  </si>
  <si>
    <t>RAMAPURAM</t>
  </si>
  <si>
    <t>Rayachoti Town</t>
  </si>
  <si>
    <t>RAYACHOTI</t>
  </si>
  <si>
    <t>Kodur</t>
  </si>
  <si>
    <t>S.MYDUKUR</t>
  </si>
  <si>
    <t>Galiveedu</t>
  </si>
  <si>
    <t>SAMBEPALLE</t>
  </si>
  <si>
    <t>Chinnamandem</t>
  </si>
  <si>
    <t>SIDHOUT</t>
  </si>
  <si>
    <t>Sambepalle</t>
  </si>
  <si>
    <t>SIMHADRIPURAM</t>
  </si>
  <si>
    <t>SRI AVADHUTHA KASINAYANA</t>
  </si>
  <si>
    <t>T SUNDUPALLE</t>
  </si>
  <si>
    <t>THONDUR</t>
  </si>
  <si>
    <t>Obulavaripalle</t>
  </si>
  <si>
    <t>VALLUR</t>
  </si>
  <si>
    <t>Pullampeta</t>
  </si>
  <si>
    <t>VEERABALLE</t>
  </si>
  <si>
    <t>Penagalur</t>
  </si>
  <si>
    <t>VEERAPUNAYUNIPALLE</t>
  </si>
  <si>
    <t>VEMPALLE</t>
  </si>
  <si>
    <t>VEMULA</t>
  </si>
  <si>
    <t>Sidhout</t>
  </si>
  <si>
    <t>VONTIMITTA</t>
  </si>
  <si>
    <t>YERRAGUNTLA</t>
  </si>
  <si>
    <t>Vontimitta</t>
  </si>
  <si>
    <t>KRISHNA</t>
  </si>
  <si>
    <t>A.KONDURU</t>
  </si>
  <si>
    <t>Tiruvuru (Sc)</t>
  </si>
  <si>
    <t>Nandalur</t>
  </si>
  <si>
    <t>AGIRIPALLE</t>
  </si>
  <si>
    <t>Nuzvid</t>
  </si>
  <si>
    <t>AVANIGADDA</t>
  </si>
  <si>
    <t>Avanigadda</t>
  </si>
  <si>
    <t>BANTUMILLI</t>
  </si>
  <si>
    <t>Pedana</t>
  </si>
  <si>
    <t>BAPULAPADU</t>
  </si>
  <si>
    <t>Gannavaram</t>
  </si>
  <si>
    <t>Rajampet Town</t>
  </si>
  <si>
    <t>CHALLAPALLE</t>
  </si>
  <si>
    <t>Veeraballe</t>
  </si>
  <si>
    <t>CHANDARLAPADU</t>
  </si>
  <si>
    <t>Nandigama (Sc)</t>
  </si>
  <si>
    <t>CHATRAI</t>
  </si>
  <si>
    <t>G.KONDURU</t>
  </si>
  <si>
    <t>GAMPALAGUDEM</t>
  </si>
  <si>
    <t>Kalasapadu</t>
  </si>
  <si>
    <t>GANNAVARAM</t>
  </si>
  <si>
    <t>Porumamilla</t>
  </si>
  <si>
    <t>GHANTASALA</t>
  </si>
  <si>
    <t>Sri Avadhutha Kasinayana</t>
  </si>
  <si>
    <t>B.Kodur</t>
  </si>
  <si>
    <t>GUDLAVALLERU</t>
  </si>
  <si>
    <t>GUDURU</t>
  </si>
  <si>
    <t>Badvel Town</t>
  </si>
  <si>
    <t>IBRAHIMPATNAM2</t>
  </si>
  <si>
    <t>Atlur</t>
  </si>
  <si>
    <t>JAGGAYYAPETA</t>
  </si>
  <si>
    <t>Jaggayyapeta</t>
  </si>
  <si>
    <t>Gopavaram</t>
  </si>
  <si>
    <t>KAIKALUR</t>
  </si>
  <si>
    <t>Kaikalur</t>
  </si>
  <si>
    <t>Nellore</t>
  </si>
  <si>
    <t>Udayagiri</t>
  </si>
  <si>
    <t>Seetharamapuram</t>
  </si>
  <si>
    <t>KALIDINDI</t>
  </si>
  <si>
    <t>KANCHIKACHERLA</t>
  </si>
  <si>
    <t>Varikuntapadu</t>
  </si>
  <si>
    <t>KANKIPADU</t>
  </si>
  <si>
    <t>Penamaluru</t>
  </si>
  <si>
    <t>Duttalur</t>
  </si>
  <si>
    <t>KODURU</t>
  </si>
  <si>
    <t>Vinjamur</t>
  </si>
  <si>
    <t>KRUTHIVENNU</t>
  </si>
  <si>
    <t>MACHILIPATNAM</t>
  </si>
  <si>
    <t>Machilipatnam</t>
  </si>
  <si>
    <t>Kaligiri</t>
  </si>
  <si>
    <t>MANDAVALLI</t>
  </si>
  <si>
    <t>Jaladanki</t>
  </si>
  <si>
    <t>MOPIDEVI</t>
  </si>
  <si>
    <t>Venkatagiri</t>
  </si>
  <si>
    <t>Kaluvoya</t>
  </si>
  <si>
    <t>MOVVA</t>
  </si>
  <si>
    <t>Rapur</t>
  </si>
  <si>
    <t>MUDINEPALLE</t>
  </si>
  <si>
    <t>Sydapuram</t>
  </si>
  <si>
    <t>MUSUNURU</t>
  </si>
  <si>
    <t>Balayapalle</t>
  </si>
  <si>
    <t>MYLAVARAM2</t>
  </si>
  <si>
    <t>Dakkili</t>
  </si>
  <si>
    <t>NAGAYALANKA</t>
  </si>
  <si>
    <t>NANDIGAMA</t>
  </si>
  <si>
    <t>Venkatagiri Town</t>
  </si>
  <si>
    <t>NANDIVADA</t>
  </si>
  <si>
    <t>NUZVID</t>
  </si>
  <si>
    <t>Sullurpeta (Sc)</t>
  </si>
  <si>
    <t>Ojili</t>
  </si>
  <si>
    <t>PAMARRU2</t>
  </si>
  <si>
    <t>Naidupet</t>
  </si>
  <si>
    <t>PAMIDIMUKKALA</t>
  </si>
  <si>
    <t>Naidupeta Town</t>
  </si>
  <si>
    <t>PEDANA</t>
  </si>
  <si>
    <t>Pellakur</t>
  </si>
  <si>
    <t>PEDAPARUPUDI</t>
  </si>
  <si>
    <t>Doravarisatram</t>
  </si>
  <si>
    <t>PENAMALURU</t>
  </si>
  <si>
    <t>Sullurpeta</t>
  </si>
  <si>
    <t>PENUGANCHIPROLU</t>
  </si>
  <si>
    <t>Sullurpet Town</t>
  </si>
  <si>
    <t>REDDIGUDEM</t>
  </si>
  <si>
    <t>Tada</t>
  </si>
  <si>
    <t>THOTLAVALLURU</t>
  </si>
  <si>
    <t>TIRUVURU</t>
  </si>
  <si>
    <t>Gudur (Sc)</t>
  </si>
  <si>
    <t>UNGUTURU</t>
  </si>
  <si>
    <t>VATSAVAI</t>
  </si>
  <si>
    <t>Chillakur</t>
  </si>
  <si>
    <t>VEERULLAPADU</t>
  </si>
  <si>
    <t>Kota</t>
  </si>
  <si>
    <t>VIJAYAWADA (RURAL)</t>
  </si>
  <si>
    <t>Vijayawada East</t>
  </si>
  <si>
    <t>Vakadu</t>
  </si>
  <si>
    <t>VIJAYAWADA (URBAN)</t>
  </si>
  <si>
    <t>Vijayawada Central</t>
  </si>
  <si>
    <t>Chittamur</t>
  </si>
  <si>
    <t>VISSANNAPET</t>
  </si>
  <si>
    <t>VUYYURU</t>
  </si>
  <si>
    <t>Sarvepalli</t>
  </si>
  <si>
    <t>Podalakur</t>
  </si>
  <si>
    <t>KURNOOL</t>
  </si>
  <si>
    <t>ADONI</t>
  </si>
  <si>
    <t>Thotapalligudur</t>
  </si>
  <si>
    <t>ALLAGADDA</t>
  </si>
  <si>
    <t>Muthukur</t>
  </si>
  <si>
    <t>ALUR</t>
  </si>
  <si>
    <t>Venkatachalam</t>
  </si>
  <si>
    <t>ASPARI</t>
  </si>
  <si>
    <t>Manubolu</t>
  </si>
  <si>
    <t>ATMAKUR2</t>
  </si>
  <si>
    <t>BANAGANAPALLE</t>
  </si>
  <si>
    <t>Nellore Rural</t>
  </si>
  <si>
    <t>BANDI ATMAKUR</t>
  </si>
  <si>
    <t>Nellore Town</t>
  </si>
  <si>
    <t>BETHAMCHERLA</t>
  </si>
  <si>
    <t>C.BELAGAL</t>
  </si>
  <si>
    <t>Nellore City</t>
  </si>
  <si>
    <t>CHAGALAMARRI</t>
  </si>
  <si>
    <t>Kovur</t>
  </si>
  <si>
    <t>Buchireddipalem</t>
  </si>
  <si>
    <t>CHIPPAGIRI</t>
  </si>
  <si>
    <t>Buchireddipalem Town</t>
  </si>
  <si>
    <t>DEVANAKONDA</t>
  </si>
  <si>
    <t>DHONE</t>
  </si>
  <si>
    <t>Kodavalur</t>
  </si>
  <si>
    <t>DORNIPADU</t>
  </si>
  <si>
    <t>Vidavalur</t>
  </si>
  <si>
    <t>GADIVEMULA</t>
  </si>
  <si>
    <t>Indukurpet</t>
  </si>
  <si>
    <t>GONEGANDLA</t>
  </si>
  <si>
    <t>GOSPADU</t>
  </si>
  <si>
    <t>Marripadu</t>
  </si>
  <si>
    <t>GUDUR1</t>
  </si>
  <si>
    <t>Ananthasagaram</t>
  </si>
  <si>
    <t>HALAHARVI</t>
  </si>
  <si>
    <t>HOLAGUNDA</t>
  </si>
  <si>
    <t>Atmakur Town</t>
  </si>
  <si>
    <t>JUPADU BUNGALOW</t>
  </si>
  <si>
    <t>Anumasamudrampeta</t>
  </si>
  <si>
    <t>KALLUR2</t>
  </si>
  <si>
    <t>Sangam</t>
  </si>
  <si>
    <t>KODUMUR</t>
  </si>
  <si>
    <t>Chejerla</t>
  </si>
  <si>
    <t>KOILKUNTLA</t>
  </si>
  <si>
    <t>Kavali</t>
  </si>
  <si>
    <t>Kavali Town</t>
  </si>
  <si>
    <t>KOLIMIGUNDLA</t>
  </si>
  <si>
    <t>KOSIGI</t>
  </si>
  <si>
    <t>Bogole</t>
  </si>
  <si>
    <t>KOTHAPALLE2</t>
  </si>
  <si>
    <t>Dagadarthi</t>
  </si>
  <si>
    <t>KOWTHALAM</t>
  </si>
  <si>
    <t>Allur Town</t>
  </si>
  <si>
    <t>KRISHNAGIRI</t>
  </si>
  <si>
    <t>Allur</t>
  </si>
  <si>
    <t>Prakasam</t>
  </si>
  <si>
    <t>Kanigiri</t>
  </si>
  <si>
    <t>Hanumanthuni Padu</t>
  </si>
  <si>
    <t>MADDIKERA (EAST)</t>
  </si>
  <si>
    <t>Veligandla</t>
  </si>
  <si>
    <t>MAHANANDI</t>
  </si>
  <si>
    <t>Chandra Sekhara Puram</t>
  </si>
  <si>
    <t>MANTRALAYAM</t>
  </si>
  <si>
    <t>MIDTHUR</t>
  </si>
  <si>
    <t>Kanigiri Town</t>
  </si>
  <si>
    <t>NANDAVARAM</t>
  </si>
  <si>
    <t>Pedacherlo Palle</t>
  </si>
  <si>
    <t>NANDIKOTKUR</t>
  </si>
  <si>
    <t>Pamur</t>
  </si>
  <si>
    <t>NANDYAL</t>
  </si>
  <si>
    <t>ORVAKAL</t>
  </si>
  <si>
    <t>Giddalur</t>
  </si>
  <si>
    <t>Ardhaveedu</t>
  </si>
  <si>
    <t>OWK</t>
  </si>
  <si>
    <t>Cumbum</t>
  </si>
  <si>
    <t>PAGIDYALA</t>
  </si>
  <si>
    <t>Bestawaripeta</t>
  </si>
  <si>
    <t>PAMULAPADU</t>
  </si>
  <si>
    <t>Racherla</t>
  </si>
  <si>
    <t>PANYAM</t>
  </si>
  <si>
    <t>PATTIKONDA</t>
  </si>
  <si>
    <t>Giddalur Town</t>
  </si>
  <si>
    <t>PEAPALLY</t>
  </si>
  <si>
    <t>Komarolu</t>
  </si>
  <si>
    <t>PEDDA KADUBUR</t>
  </si>
  <si>
    <t>Markapuram</t>
  </si>
  <si>
    <t>Markapur</t>
  </si>
  <si>
    <t>RUDRAVARAM</t>
  </si>
  <si>
    <t>Markapur Town</t>
  </si>
  <si>
    <t>SANJAMALA</t>
  </si>
  <si>
    <t>Thallur</t>
  </si>
  <si>
    <t>SIRVEL</t>
  </si>
  <si>
    <t>Konakanamitla</t>
  </si>
  <si>
    <t>SRISAILAM</t>
  </si>
  <si>
    <t>Podili</t>
  </si>
  <si>
    <t>TUGGALI</t>
  </si>
  <si>
    <t>Podili Town</t>
  </si>
  <si>
    <t>UYYALAWADA</t>
  </si>
  <si>
    <t>Kondapi (Sc)</t>
  </si>
  <si>
    <t>Marripudi</t>
  </si>
  <si>
    <t>VELDURTHI2</t>
  </si>
  <si>
    <t>Ponnaluru</t>
  </si>
  <si>
    <t>VELGODE</t>
  </si>
  <si>
    <t>Zarugumilli</t>
  </si>
  <si>
    <t>YEMMIGANUR</t>
  </si>
  <si>
    <t>Kondapi</t>
  </si>
  <si>
    <t>NELLORE</t>
  </si>
  <si>
    <t>ALLUR</t>
  </si>
  <si>
    <t>Tangutur</t>
  </si>
  <si>
    <t>ANANTHASAGARAM</t>
  </si>
  <si>
    <t>Singarayakonda</t>
  </si>
  <si>
    <t>ANUMASAMUDRAMPETA</t>
  </si>
  <si>
    <t>Kandukur</t>
  </si>
  <si>
    <t>Voletivaripalem</t>
  </si>
  <si>
    <t>ATMAKUR4</t>
  </si>
  <si>
    <t>Lingasamudram</t>
  </si>
  <si>
    <t>BALAYAPALLE</t>
  </si>
  <si>
    <t>BOGOLE</t>
  </si>
  <si>
    <t>Kandukur Town</t>
  </si>
  <si>
    <t>BUCHIREDDIPALEM</t>
  </si>
  <si>
    <t>Gudluru</t>
  </si>
  <si>
    <t>CHEJERLA</t>
  </si>
  <si>
    <t>Ulavapadu</t>
  </si>
  <si>
    <t>CHILLAKUR</t>
  </si>
  <si>
    <t>CHITTAMUR</t>
  </si>
  <si>
    <t>Ongole</t>
  </si>
  <si>
    <t>DAGADARTHI</t>
  </si>
  <si>
    <t>Ongole Town</t>
  </si>
  <si>
    <t>DAKKILI</t>
  </si>
  <si>
    <t>Kotha Patnam</t>
  </si>
  <si>
    <t>DORAVARISATRAM</t>
  </si>
  <si>
    <t>DUTTALUR</t>
  </si>
  <si>
    <t>Santhanuthalapadu (Sc)</t>
  </si>
  <si>
    <t>Chimakurthi</t>
  </si>
  <si>
    <t>GUDUR2</t>
  </si>
  <si>
    <t>Chimakurthy Town</t>
  </si>
  <si>
    <t>INDUKURPET</t>
  </si>
  <si>
    <t>Santhanuthala Padu</t>
  </si>
  <si>
    <t>JALADANKI</t>
  </si>
  <si>
    <t>Maddipadu</t>
  </si>
  <si>
    <t>KALIGIRI</t>
  </si>
  <si>
    <t>Naguluppala Padu</t>
  </si>
  <si>
    <t>KALUVOYA</t>
  </si>
  <si>
    <t>Chirala</t>
  </si>
  <si>
    <t>KAVALI</t>
  </si>
  <si>
    <t>Chirala Town</t>
  </si>
  <si>
    <t>KODAVALUR</t>
  </si>
  <si>
    <t>Vetapalem</t>
  </si>
  <si>
    <t>KONDAPURAM2</t>
  </si>
  <si>
    <t>Addanki</t>
  </si>
  <si>
    <t>Santhamaguluru</t>
  </si>
  <si>
    <t>KOTA</t>
  </si>
  <si>
    <t>Ballikurava</t>
  </si>
  <si>
    <t>KOVUR</t>
  </si>
  <si>
    <t>MANUBOLU</t>
  </si>
  <si>
    <t>Addanki Town</t>
  </si>
  <si>
    <t>MARRIPADU</t>
  </si>
  <si>
    <t>Janakavarampanguluru</t>
  </si>
  <si>
    <t>MUTHUKUR</t>
  </si>
  <si>
    <t>Korisapadu</t>
  </si>
  <si>
    <t>NAIDUPET</t>
  </si>
  <si>
    <t>Parchur</t>
  </si>
  <si>
    <t>Martur</t>
  </si>
  <si>
    <t>OJILI</t>
  </si>
  <si>
    <t>Yeddana Pudi</t>
  </si>
  <si>
    <t>PELLAKUR</t>
  </si>
  <si>
    <t>PODALAKUR</t>
  </si>
  <si>
    <t>Karamchedu</t>
  </si>
  <si>
    <t>RAPUR</t>
  </si>
  <si>
    <t>Inkollu</t>
  </si>
  <si>
    <t>SANGAM1</t>
  </si>
  <si>
    <t>Chinaganjam</t>
  </si>
  <si>
    <t>SEETHARAMAPURAM</t>
  </si>
  <si>
    <t>Darsi</t>
  </si>
  <si>
    <t>Donakonda</t>
  </si>
  <si>
    <t>SULLURPETA</t>
  </si>
  <si>
    <t>SYDAPURAM</t>
  </si>
  <si>
    <t>Darsi Town</t>
  </si>
  <si>
    <t>TADA</t>
  </si>
  <si>
    <t>Mundlamuru</t>
  </si>
  <si>
    <t>THOTAPALLIGUDUR</t>
  </si>
  <si>
    <t>UDAYAGIRI</t>
  </si>
  <si>
    <t>Yerragondapalem (Sc)</t>
  </si>
  <si>
    <t>Yerragondapalem</t>
  </si>
  <si>
    <t>VAKADU</t>
  </si>
  <si>
    <t>Pullalacheruvu</t>
  </si>
  <si>
    <t>VARIKUNTAPADU</t>
  </si>
  <si>
    <t>Tripuranthakam</t>
  </si>
  <si>
    <t>VENKATACHALAM</t>
  </si>
  <si>
    <t>Dornala</t>
  </si>
  <si>
    <t>VENKATAGIRI</t>
  </si>
  <si>
    <t>Peda Araveedu</t>
  </si>
  <si>
    <t>VIDAVALUR</t>
  </si>
  <si>
    <t>Guntur</t>
  </si>
  <si>
    <t>Palnadu</t>
  </si>
  <si>
    <t>VINJAMUR</t>
  </si>
  <si>
    <t>Macherla Town</t>
  </si>
  <si>
    <t>PRAKASAM</t>
  </si>
  <si>
    <t>ADDANKI</t>
  </si>
  <si>
    <t>ARDHAVEEDU</t>
  </si>
  <si>
    <t>Durgi</t>
  </si>
  <si>
    <t>BALLIKURAVA</t>
  </si>
  <si>
    <t>Rentachintala</t>
  </si>
  <si>
    <t>BESTAWARIPETA</t>
  </si>
  <si>
    <t>Karempudi</t>
  </si>
  <si>
    <t>CHANDRASEKHARA PURAM</t>
  </si>
  <si>
    <t>Gurazala</t>
  </si>
  <si>
    <t>CHIMAKURTHI</t>
  </si>
  <si>
    <t>Gurazala Town</t>
  </si>
  <si>
    <t>CHINAGANJAM</t>
  </si>
  <si>
    <t>Dachepalle</t>
  </si>
  <si>
    <t>CHIRALA</t>
  </si>
  <si>
    <t>Dachepalle Town</t>
  </si>
  <si>
    <t>CUMBUM</t>
  </si>
  <si>
    <t>Machavaram</t>
  </si>
  <si>
    <t>DARSI</t>
  </si>
  <si>
    <t>Piduguralla</t>
  </si>
  <si>
    <t>DONAKONDA</t>
  </si>
  <si>
    <t>Piduguralla Town</t>
  </si>
  <si>
    <t>DORNALA</t>
  </si>
  <si>
    <t>Bollapalle</t>
  </si>
  <si>
    <t>GIDDALUR</t>
  </si>
  <si>
    <t>Ipur</t>
  </si>
  <si>
    <t>GUDLURU</t>
  </si>
  <si>
    <t>Savalyapuram Ho Kanamarlapudi</t>
  </si>
  <si>
    <t>HANUMANTHUNIPADU</t>
  </si>
  <si>
    <t>INKOLLU</t>
  </si>
  <si>
    <t>Vinukonda Town</t>
  </si>
  <si>
    <t>JANAKAVARAMPANGULURU</t>
  </si>
  <si>
    <t>Nuzendla</t>
  </si>
  <si>
    <t>KANDUKUR1</t>
  </si>
  <si>
    <t>KANIGIRI</t>
  </si>
  <si>
    <t>Sattenapalle Town</t>
  </si>
  <si>
    <t>KARAMCHEDU</t>
  </si>
  <si>
    <t>KOMAROLU</t>
  </si>
  <si>
    <t>Nekarikallu</t>
  </si>
  <si>
    <t>KONAKANAMITLA</t>
  </si>
  <si>
    <t>Muppalla</t>
  </si>
  <si>
    <t>KONDAPI</t>
  </si>
  <si>
    <t>KORISAPADU</t>
  </si>
  <si>
    <t>KOTHA PATNAM</t>
  </si>
  <si>
    <t>Narasaraopet Town</t>
  </si>
  <si>
    <t>KURICHEDU</t>
  </si>
  <si>
    <t>Nadendla</t>
  </si>
  <si>
    <t>LINGASAMUDRAM</t>
  </si>
  <si>
    <t>Edlapadu</t>
  </si>
  <si>
    <t>MADDIPADU</t>
  </si>
  <si>
    <t>Chilakaluripet Ho Purushotha Patnam</t>
  </si>
  <si>
    <t>MARKAPUR</t>
  </si>
  <si>
    <t>Chilakaluripet Ho Purushotha Patnam Town</t>
  </si>
  <si>
    <t>MARRIPUDI</t>
  </si>
  <si>
    <t>Guntur East</t>
  </si>
  <si>
    <t>Guntur Town</t>
  </si>
  <si>
    <t>MARTUR</t>
  </si>
  <si>
    <t>Guntur West</t>
  </si>
  <si>
    <t>MUNDLAMURU</t>
  </si>
  <si>
    <t>NAGULUPPALAPADU</t>
  </si>
  <si>
    <t>ONGOLE</t>
  </si>
  <si>
    <t>Vatticherukuru</t>
  </si>
  <si>
    <t>PAMUR</t>
  </si>
  <si>
    <t>PARCHUR</t>
  </si>
  <si>
    <t>Pedanandipadu</t>
  </si>
  <si>
    <t>PEDA  ARAVEEDU</t>
  </si>
  <si>
    <t>Kakumanu</t>
  </si>
  <si>
    <t>PEDACHERLO PALLE</t>
  </si>
  <si>
    <t>PODILI</t>
  </si>
  <si>
    <t>PONNALURU</t>
  </si>
  <si>
    <t>Bapatla Town</t>
  </si>
  <si>
    <t>PULLALACHERUVU</t>
  </si>
  <si>
    <t>Karlapalem</t>
  </si>
  <si>
    <t>RACHERLA</t>
  </si>
  <si>
    <t>Pittalavanipalem</t>
  </si>
  <si>
    <t>SANTHAMAGULURU</t>
  </si>
  <si>
    <t>SANTHANUTHALA PADU</t>
  </si>
  <si>
    <t>Tenali Town</t>
  </si>
  <si>
    <t>SINGARAYAKONDA</t>
  </si>
  <si>
    <t>Kollipara</t>
  </si>
  <si>
    <t>TANGUTUR</t>
  </si>
  <si>
    <t>Tsundur</t>
  </si>
  <si>
    <t>TARLUPADU</t>
  </si>
  <si>
    <t>Amruthalur</t>
  </si>
  <si>
    <t>THALLUR</t>
  </si>
  <si>
    <t>Vemuru</t>
  </si>
  <si>
    <t>TRIPURANTHAKAM</t>
  </si>
  <si>
    <t>Kollur</t>
  </si>
  <si>
    <t>ULAVAPADU</t>
  </si>
  <si>
    <t>Bhattiprolu</t>
  </si>
  <si>
    <t>VELIGANDLA</t>
  </si>
  <si>
    <t>VETAPALEM</t>
  </si>
  <si>
    <t>Repalle Town</t>
  </si>
  <si>
    <t>VOLETIVARIPALEM</t>
  </si>
  <si>
    <t>Nizampatnam</t>
  </si>
  <si>
    <t>YEDDANAPUDI</t>
  </si>
  <si>
    <t>Nagaram</t>
  </si>
  <si>
    <t>YERRAGONDAPALEM</t>
  </si>
  <si>
    <t>Cherukupalle Ho Arumbaka</t>
  </si>
  <si>
    <t>ZARUGUMILLI</t>
  </si>
  <si>
    <t>SRIKAKULAM</t>
  </si>
  <si>
    <t>AMADALAVALASA</t>
  </si>
  <si>
    <t>Amadalavalasa</t>
  </si>
  <si>
    <t>Pedakakani</t>
  </si>
  <si>
    <t>BHAMINI</t>
  </si>
  <si>
    <t>Palakonda (St)</t>
  </si>
  <si>
    <t>BURJA</t>
  </si>
  <si>
    <t>ETCHERLA</t>
  </si>
  <si>
    <t>Etcherla</t>
  </si>
  <si>
    <t>Ponnur Town</t>
  </si>
  <si>
    <t>GANGUVARISIGADAM</t>
  </si>
  <si>
    <t>Tadepalle</t>
  </si>
  <si>
    <t>GARA</t>
  </si>
  <si>
    <t>Srikakulam</t>
  </si>
  <si>
    <t>Tadepalli  Town</t>
  </si>
  <si>
    <t>HIRAMANDALAM</t>
  </si>
  <si>
    <t>Pathapatnam</t>
  </si>
  <si>
    <t>ICHCHAPURAM</t>
  </si>
  <si>
    <t>Ichchapuram</t>
  </si>
  <si>
    <t>Mangalagiri Town</t>
  </si>
  <si>
    <t>JALUMURU</t>
  </si>
  <si>
    <t>Narasannapeta</t>
  </si>
  <si>
    <t>Duggirala</t>
  </si>
  <si>
    <t>KANCHILI</t>
  </si>
  <si>
    <t>KAVITI</t>
  </si>
  <si>
    <t>Thullur</t>
  </si>
  <si>
    <t>KOTABOMMALI</t>
  </si>
  <si>
    <t>Tekkali</t>
  </si>
  <si>
    <t>Tadikonda</t>
  </si>
  <si>
    <t>Medikonduru</t>
  </si>
  <si>
    <t>LAKSHMINARSUPETA</t>
  </si>
  <si>
    <t>Phirangipuram</t>
  </si>
  <si>
    <t>LAVERU</t>
  </si>
  <si>
    <t>Bellamkonda</t>
  </si>
  <si>
    <t>MANDASA</t>
  </si>
  <si>
    <t>Palasa</t>
  </si>
  <si>
    <t>Atchampet</t>
  </si>
  <si>
    <t>MELIAPUTTI</t>
  </si>
  <si>
    <t>Krosuru</t>
  </si>
  <si>
    <t>NANDIGAM</t>
  </si>
  <si>
    <t>NARASANNAPETA</t>
  </si>
  <si>
    <t>Amaravathi</t>
  </si>
  <si>
    <t>PALAKONDA</t>
  </si>
  <si>
    <t>PALASA</t>
  </si>
  <si>
    <t>NTR</t>
  </si>
  <si>
    <t>PATHAPATNAM</t>
  </si>
  <si>
    <t>Jaggayyapeta Town</t>
  </si>
  <si>
    <t>POLAKI</t>
  </si>
  <si>
    <t>Vatsavai</t>
  </si>
  <si>
    <t>PONDURU</t>
  </si>
  <si>
    <t>Penuganchiprolu</t>
  </si>
  <si>
    <t>RAJAM</t>
  </si>
  <si>
    <t>Rajam (Sc)</t>
  </si>
  <si>
    <t>Nandigama</t>
  </si>
  <si>
    <t>RANASTALAM</t>
  </si>
  <si>
    <t>Chandarlapadu</t>
  </si>
  <si>
    <t>REGIDIAMADALAVALASA</t>
  </si>
  <si>
    <t>SANTHABOMMALI</t>
  </si>
  <si>
    <t>Nandigama Town</t>
  </si>
  <si>
    <t>SANTHAKAVITI</t>
  </si>
  <si>
    <t>Veerullapadu</t>
  </si>
  <si>
    <t>SARAVAKOTA</t>
  </si>
  <si>
    <t>Kanchikacherla</t>
  </si>
  <si>
    <t>SARUBUJJILI</t>
  </si>
  <si>
    <t>Reddigudem</t>
  </si>
  <si>
    <t>SEETHAMPETA</t>
  </si>
  <si>
    <t>SOMPETA</t>
  </si>
  <si>
    <t>G.Konduru</t>
  </si>
  <si>
    <t>Kondapalli Town</t>
  </si>
  <si>
    <t>TEKKALI</t>
  </si>
  <si>
    <t>Ibrahimpatnam</t>
  </si>
  <si>
    <t>VAJRAPUKOTHURU</t>
  </si>
  <si>
    <t>Vijayawada (Rural)</t>
  </si>
  <si>
    <t>VANGARA</t>
  </si>
  <si>
    <t>VEERAGHATTAM</t>
  </si>
  <si>
    <t>Vijayawada Town</t>
  </si>
  <si>
    <t>VISHAKAPATNAM</t>
  </si>
  <si>
    <t>ANAKAPALLI</t>
  </si>
  <si>
    <t>Anakapalle</t>
  </si>
  <si>
    <t>ANANDAPURAM</t>
  </si>
  <si>
    <t>Bhimili</t>
  </si>
  <si>
    <t>Vijayawada West</t>
  </si>
  <si>
    <t>ANANTHAGIRI</t>
  </si>
  <si>
    <t>Araku Valley (St)</t>
  </si>
  <si>
    <t>Ysr Tadigadapa Town</t>
  </si>
  <si>
    <t>ARUKU VALLEY</t>
  </si>
  <si>
    <t>Yelamanchili</t>
  </si>
  <si>
    <t>Kankipadu</t>
  </si>
  <si>
    <t>BHEEMUNIPATNAM</t>
  </si>
  <si>
    <t>Vuyyuru</t>
  </si>
  <si>
    <t>BUTCHAYYAPETA</t>
  </si>
  <si>
    <t>Chodavaram</t>
  </si>
  <si>
    <t>Vuyyuru Town</t>
  </si>
  <si>
    <t>CHEEDIKADA</t>
  </si>
  <si>
    <t>Madugula</t>
  </si>
  <si>
    <t>CHINTAPALLE</t>
  </si>
  <si>
    <t>Paderu (St)</t>
  </si>
  <si>
    <t>Thotlavalluru</t>
  </si>
  <si>
    <t>CHODAVARAM</t>
  </si>
  <si>
    <t>Pamidimukkala</t>
  </si>
  <si>
    <t>DEVARAPALLE1</t>
  </si>
  <si>
    <t>Pedaparupudi</t>
  </si>
  <si>
    <t>DUMBRIGUDA</t>
  </si>
  <si>
    <t>Pamarru</t>
  </si>
  <si>
    <t>G K VEEDHI</t>
  </si>
  <si>
    <t>Movva</t>
  </si>
  <si>
    <t>G MADUGULA</t>
  </si>
  <si>
    <t>Ghantasala</t>
  </si>
  <si>
    <t>GAJUWAKA</t>
  </si>
  <si>
    <t>Gajuwaka</t>
  </si>
  <si>
    <t>Challapalle</t>
  </si>
  <si>
    <t>GOLUGONDA</t>
  </si>
  <si>
    <t>Narsipatnam</t>
  </si>
  <si>
    <t>Mopidevi</t>
  </si>
  <si>
    <t>HUKUMPETA</t>
  </si>
  <si>
    <t>K KOTAPADU</t>
  </si>
  <si>
    <t>KASIMKOTA</t>
  </si>
  <si>
    <t>Nagayalanka</t>
  </si>
  <si>
    <t>KOTAURATLA</t>
  </si>
  <si>
    <t>Payakaraopet (Sc)</t>
  </si>
  <si>
    <t>KOYYURU</t>
  </si>
  <si>
    <t>MADUGULA</t>
  </si>
  <si>
    <t>Machilipatnam Town</t>
  </si>
  <si>
    <t>MAKAVARAPALEM</t>
  </si>
  <si>
    <t>MUNAGAPAKA</t>
  </si>
  <si>
    <t>Guduru</t>
  </si>
  <si>
    <t>MUNCHINGIPUTTU</t>
  </si>
  <si>
    <t>NAKKAPALLI</t>
  </si>
  <si>
    <t>NARSIPATNAM</t>
  </si>
  <si>
    <t>Bantumilli</t>
  </si>
  <si>
    <t>NATHAVARAM</t>
  </si>
  <si>
    <t>Kruthivennu</t>
  </si>
  <si>
    <t>PADERU</t>
  </si>
  <si>
    <t>Eluru</t>
  </si>
  <si>
    <t>Mandavalli</t>
  </si>
  <si>
    <t>PADMANABHAM</t>
  </si>
  <si>
    <t>Mudinepalle</t>
  </si>
  <si>
    <t>PARAVADA</t>
  </si>
  <si>
    <t>Pendurthi</t>
  </si>
  <si>
    <t>PAYAKARAOPETA</t>
  </si>
  <si>
    <t>Kalidindi</t>
  </si>
  <si>
    <t>PEDABAYALU</t>
  </si>
  <si>
    <t>PEDAGANTYADA</t>
  </si>
  <si>
    <t>PENDURTHI</t>
  </si>
  <si>
    <t>RAMBILLI</t>
  </si>
  <si>
    <t>Bapulapadu</t>
  </si>
  <si>
    <t>RAVIKAMATAM</t>
  </si>
  <si>
    <t>Unguturu</t>
  </si>
  <si>
    <t>ROLUGUNTA</t>
  </si>
  <si>
    <t>S RAYAVARAM</t>
  </si>
  <si>
    <t>Chatrai</t>
  </si>
  <si>
    <t>SABBAVARAM</t>
  </si>
  <si>
    <t>Musunuru</t>
  </si>
  <si>
    <t>VISAKHAPATNAM(R)</t>
  </si>
  <si>
    <t>Visakhapatnam East</t>
  </si>
  <si>
    <t>VISAKHAPATNAM(U)</t>
  </si>
  <si>
    <t>Visakhapatnam South</t>
  </si>
  <si>
    <t>Nuzvid Town</t>
  </si>
  <si>
    <t>YELAMANCHILI1</t>
  </si>
  <si>
    <t>Agiripalle</t>
  </si>
  <si>
    <t>VIZIANAGARAM</t>
  </si>
  <si>
    <t>BADANGI</t>
  </si>
  <si>
    <t>Bobbili</t>
  </si>
  <si>
    <t>Gampalagudem</t>
  </si>
  <si>
    <t>BALIJIPETA</t>
  </si>
  <si>
    <t>Parvathipuram (Sc)</t>
  </si>
  <si>
    <t>Tiruvuru</t>
  </si>
  <si>
    <t>Nellimarla</t>
  </si>
  <si>
    <t>Tiruvuru Town</t>
  </si>
  <si>
    <t>BOBBILI</t>
  </si>
  <si>
    <t>Vissannapet</t>
  </si>
  <si>
    <t>BONDAPALLE</t>
  </si>
  <si>
    <t>Gajapathinagaram</t>
  </si>
  <si>
    <t>A.Konduru</t>
  </si>
  <si>
    <t>CHEEPURUPALLE</t>
  </si>
  <si>
    <t>Cheepurupalle</t>
  </si>
  <si>
    <t>West Godavari</t>
  </si>
  <si>
    <t>Chintalapudi (Sc)</t>
  </si>
  <si>
    <t>Chintalapudi</t>
  </si>
  <si>
    <t>DATTIRAJERU</t>
  </si>
  <si>
    <t>Jangareddigudem</t>
  </si>
  <si>
    <t>DENKADA</t>
  </si>
  <si>
    <t>Kamavarapukota</t>
  </si>
  <si>
    <t>GAJAPATHINAGARAM</t>
  </si>
  <si>
    <t>Lingapalem</t>
  </si>
  <si>
    <t>GANTYADA</t>
  </si>
  <si>
    <t>Jangareddigudem Town</t>
  </si>
  <si>
    <t>GARIVIDI</t>
  </si>
  <si>
    <t>GARUGUBILLI</t>
  </si>
  <si>
    <t>Kurupam (St)</t>
  </si>
  <si>
    <t>Polavaram (St)</t>
  </si>
  <si>
    <t>Kukunoor</t>
  </si>
  <si>
    <t>GUMMALAKSHMIPURAM</t>
  </si>
  <si>
    <t>Velairpadu</t>
  </si>
  <si>
    <t>GURLA</t>
  </si>
  <si>
    <t>T.Narasapuram</t>
  </si>
  <si>
    <t>JAMI</t>
  </si>
  <si>
    <t>Srungavarapukota</t>
  </si>
  <si>
    <t>Jeelugu Milli</t>
  </si>
  <si>
    <t>JIYYAMMAVALASA</t>
  </si>
  <si>
    <t>Buttayagudem</t>
  </si>
  <si>
    <t>KOMARADA</t>
  </si>
  <si>
    <t>Koyyalagudem</t>
  </si>
  <si>
    <t>KOTHAVALASA</t>
  </si>
  <si>
    <t>Polavaram</t>
  </si>
  <si>
    <t>KURUPAM</t>
  </si>
  <si>
    <t>LAKKAVARAPUKOTA</t>
  </si>
  <si>
    <t>Gopalapuram (Sc)</t>
  </si>
  <si>
    <t>Gopalapuram</t>
  </si>
  <si>
    <t>MAKKUVA</t>
  </si>
  <si>
    <t>Salur (St)</t>
  </si>
  <si>
    <t>Devarapalle</t>
  </si>
  <si>
    <t>MENTADA</t>
  </si>
  <si>
    <t>Nallajerla</t>
  </si>
  <si>
    <t>MERAKAMUDIDAM</t>
  </si>
  <si>
    <t>Dwarakatirumala</t>
  </si>
  <si>
    <t>NELLIMARLA</t>
  </si>
  <si>
    <t>Eluru Town</t>
  </si>
  <si>
    <t>PACHIPENTA</t>
  </si>
  <si>
    <t>Denduluru</t>
  </si>
  <si>
    <t>Pedavegi</t>
  </si>
  <si>
    <t>PARVATHIPURAM</t>
  </si>
  <si>
    <t>PUSAPATIREGA</t>
  </si>
  <si>
    <t>Pedapadu</t>
  </si>
  <si>
    <t>RAMABHADRAPURAM</t>
  </si>
  <si>
    <t>SALUR</t>
  </si>
  <si>
    <t>SEETHANAGARAM2</t>
  </si>
  <si>
    <t>Ungutur</t>
  </si>
  <si>
    <t>SRUNGAVARAPUKOTA</t>
  </si>
  <si>
    <t>Bhimadole</t>
  </si>
  <si>
    <t>THERLAM</t>
  </si>
  <si>
    <t>Nidamarru</t>
  </si>
  <si>
    <t>VEPADA</t>
  </si>
  <si>
    <t>Ganapavaram</t>
  </si>
  <si>
    <t>Vizianagaram</t>
  </si>
  <si>
    <t>WEST GODAVARI</t>
  </si>
  <si>
    <t>ACHANTA</t>
  </si>
  <si>
    <t>Achanta</t>
  </si>
  <si>
    <t>Tadepalligudem</t>
  </si>
  <si>
    <t>AKIVIDU</t>
  </si>
  <si>
    <t>Undi</t>
  </si>
  <si>
    <t>Tadepalligudem Town</t>
  </si>
  <si>
    <t>ATTILI</t>
  </si>
  <si>
    <t>Tanuku</t>
  </si>
  <si>
    <t>Pentapadu</t>
  </si>
  <si>
    <t>BHIMADOLE</t>
  </si>
  <si>
    <t>BHIMAVARAM</t>
  </si>
  <si>
    <t>Bhimavaram</t>
  </si>
  <si>
    <t>Attili</t>
  </si>
  <si>
    <t>BUTTAYAGUDEM</t>
  </si>
  <si>
    <t>CHAGALLU</t>
  </si>
  <si>
    <t>Kovvur (Sc)</t>
  </si>
  <si>
    <t>Tanuku Town</t>
  </si>
  <si>
    <t>CHINTALAPUDI</t>
  </si>
  <si>
    <t>Iragavaram</t>
  </si>
  <si>
    <t>DENDULURU</t>
  </si>
  <si>
    <t>DEVARAPALLE2</t>
  </si>
  <si>
    <t>Akividu</t>
  </si>
  <si>
    <t>DWARAKA TIRUMALA</t>
  </si>
  <si>
    <t>Palacoderu</t>
  </si>
  <si>
    <t>GANAPAVARAM</t>
  </si>
  <si>
    <t>Akividu Town</t>
  </si>
  <si>
    <t>GOPALAPURAM</t>
  </si>
  <si>
    <t>Kalla</t>
  </si>
  <si>
    <t>IRAGAVARAM</t>
  </si>
  <si>
    <t>JANGAREDDIGUDEM</t>
  </si>
  <si>
    <t>Veeravasaram</t>
  </si>
  <si>
    <t>JEELUGU MILLI</t>
  </si>
  <si>
    <t>KALLA</t>
  </si>
  <si>
    <t>Bhimavaram Town</t>
  </si>
  <si>
    <t>KAMAVARAPUKOTA</t>
  </si>
  <si>
    <t>KOVVUR</t>
  </si>
  <si>
    <t>Narasapuram</t>
  </si>
  <si>
    <t>KOYYALAGUDEM</t>
  </si>
  <si>
    <t>Narsapur Town</t>
  </si>
  <si>
    <t>KUKUNOOR</t>
  </si>
  <si>
    <t>Mogalthur</t>
  </si>
  <si>
    <t>LINGAPALEM</t>
  </si>
  <si>
    <t>Palacole</t>
  </si>
  <si>
    <t>MOGALTHUR</t>
  </si>
  <si>
    <t>Poduru</t>
  </si>
  <si>
    <t>NALLAJERLA</t>
  </si>
  <si>
    <t>NARASAPURAM</t>
  </si>
  <si>
    <t>Palacole Town</t>
  </si>
  <si>
    <t>NIDADAVOLE</t>
  </si>
  <si>
    <t>Nidadavole</t>
  </si>
  <si>
    <t>NIDAMARRU</t>
  </si>
  <si>
    <t>Penumantra</t>
  </si>
  <si>
    <t>PALACODERU</t>
  </si>
  <si>
    <t>Penugonda</t>
  </si>
  <si>
    <t>PALACOLE</t>
  </si>
  <si>
    <t>PEDAPADU</t>
  </si>
  <si>
    <t>PEDAVEGI</t>
  </si>
  <si>
    <t>PENTAPADU</t>
  </si>
  <si>
    <t>PENUGONDA</t>
  </si>
  <si>
    <t>Nidadavole Town</t>
  </si>
  <si>
    <t>PENUMANTRA</t>
  </si>
  <si>
    <t>Undrajavaram</t>
  </si>
  <si>
    <t>PERAVALI</t>
  </si>
  <si>
    <t>Peravali</t>
  </si>
  <si>
    <t>PODURU</t>
  </si>
  <si>
    <t>Tallapudi</t>
  </si>
  <si>
    <t>POLAVARAM</t>
  </si>
  <si>
    <t>Kovvur</t>
  </si>
  <si>
    <t>T.NARASAPURAM</t>
  </si>
  <si>
    <t>Kovvur Town</t>
  </si>
  <si>
    <t>TADEPALLIGUDEM</t>
  </si>
  <si>
    <t>Chagallu</t>
  </si>
  <si>
    <t>TALLAPUDI</t>
  </si>
  <si>
    <t>Alluri Sitharama Raju</t>
  </si>
  <si>
    <t>Y. Ramavaram</t>
  </si>
  <si>
    <t>TANUKU</t>
  </si>
  <si>
    <t>UNDI</t>
  </si>
  <si>
    <t>Addateegala</t>
  </si>
  <si>
    <t>UNDRAJAVARAM</t>
  </si>
  <si>
    <t>Rajavommangi</t>
  </si>
  <si>
    <t>UNGUTUR</t>
  </si>
  <si>
    <t>Devipatnam</t>
  </si>
  <si>
    <t>VEERAVASARAM</t>
  </si>
  <si>
    <t>Maredumilli</t>
  </si>
  <si>
    <t>VELAIRPADU</t>
  </si>
  <si>
    <t>Rampachodavaram</t>
  </si>
  <si>
    <t>YELAMANCHILI2</t>
  </si>
  <si>
    <t>Nellipaka</t>
  </si>
  <si>
    <t>Kunavaram</t>
  </si>
  <si>
    <t>Chintur</t>
  </si>
  <si>
    <t>Vararamachandrapuram</t>
  </si>
  <si>
    <t>Rajahmundry Town</t>
  </si>
  <si>
    <t>Kadiam</t>
  </si>
  <si>
    <t>Korukonda</t>
  </si>
  <si>
    <t>Konaseema</t>
  </si>
  <si>
    <t>Mandapeta Town</t>
  </si>
  <si>
    <t>Rayavaram</t>
  </si>
  <si>
    <t>Kapileswarapuram</t>
  </si>
  <si>
    <t>Atreyapuram</t>
  </si>
  <si>
    <t>Ravulapalem</t>
  </si>
  <si>
    <t>Alamuru</t>
  </si>
  <si>
    <t>Mamidikuduru</t>
  </si>
  <si>
    <t>P.Gannavaram</t>
  </si>
  <si>
    <t>Ambajipeta</t>
  </si>
  <si>
    <t>Ainavilli</t>
  </si>
  <si>
    <t>Sakhinetipalle</t>
  </si>
  <si>
    <t>Malikipuram</t>
  </si>
  <si>
    <t>Razole</t>
  </si>
  <si>
    <t>Amalapuram</t>
  </si>
  <si>
    <t>Amalapuram Town</t>
  </si>
  <si>
    <t>Allavaram</t>
  </si>
  <si>
    <t>Uppalaguptam</t>
  </si>
  <si>
    <t>Mummidivaram Town</t>
  </si>
  <si>
    <t>Katrenikona</t>
  </si>
  <si>
    <t>I. Polavaram</t>
  </si>
  <si>
    <t>Thallarevu</t>
  </si>
  <si>
    <t>Ramachandrapuram Town</t>
  </si>
  <si>
    <t>Kajuluru</t>
  </si>
  <si>
    <t>K.Gangavaram</t>
  </si>
  <si>
    <t>Biccavolu</t>
  </si>
  <si>
    <t>Rangampeta</t>
  </si>
  <si>
    <t>Pedapudi</t>
  </si>
  <si>
    <t>Kakinada (Urban)</t>
  </si>
  <si>
    <t>Visakhapatnam</t>
  </si>
  <si>
    <t>Anakapalli</t>
  </si>
  <si>
    <t>Golugonda</t>
  </si>
  <si>
    <t>Nathavaram</t>
  </si>
  <si>
    <t>Narsipatnam Town</t>
  </si>
  <si>
    <t>Makavarapalem</t>
  </si>
  <si>
    <t>Kotauratla</t>
  </si>
  <si>
    <t>Payakaraopeta</t>
  </si>
  <si>
    <t>Nakkapalle</t>
  </si>
  <si>
    <t>S.Rayavaram</t>
  </si>
  <si>
    <t>Yelamanchili Town</t>
  </si>
  <si>
    <t>Rambilli</t>
  </si>
  <si>
    <t>Munagapaka</t>
  </si>
  <si>
    <t>Sabbavaram</t>
  </si>
  <si>
    <t>Gvmc Town</t>
  </si>
  <si>
    <t>Paravada</t>
  </si>
  <si>
    <t>Kasimkota</t>
  </si>
  <si>
    <t>Gudem Kotha Veedhi</t>
  </si>
  <si>
    <t>Koyyuru</t>
  </si>
  <si>
    <t>Chintapalle</t>
  </si>
  <si>
    <t>Paderu</t>
  </si>
  <si>
    <t>G.Madugula</t>
  </si>
  <si>
    <t>Munchingi Puttu</t>
  </si>
  <si>
    <t>Peda Bayalu</t>
  </si>
  <si>
    <t>Hukumpeta</t>
  </si>
  <si>
    <t>Dumbriguda</t>
  </si>
  <si>
    <t>Araku Valley</t>
  </si>
  <si>
    <t>Ananthagiri</t>
  </si>
  <si>
    <t>Cheedikada</t>
  </si>
  <si>
    <t>K.Kotapadu</t>
  </si>
  <si>
    <t>Rolugunta</t>
  </si>
  <si>
    <t>Ravikamatham</t>
  </si>
  <si>
    <t>Butchayyapeta</t>
  </si>
  <si>
    <t>Visakhapatnam West</t>
  </si>
  <si>
    <t>Visakhapatnam North</t>
  </si>
  <si>
    <t>Padmanabham</t>
  </si>
  <si>
    <t>Anandapuram</t>
  </si>
  <si>
    <t>Bheemunipatnam</t>
  </si>
  <si>
    <t>Vepada</t>
  </si>
  <si>
    <t>Lakkavarapukota</t>
  </si>
  <si>
    <t>Kothavalasa</t>
  </si>
  <si>
    <t>Jami</t>
  </si>
  <si>
    <t>Vizianagaram Town</t>
  </si>
  <si>
    <t>Nellimarla Town</t>
  </si>
  <si>
    <t>Pusapatirega</t>
  </si>
  <si>
    <t>Denkada</t>
  </si>
  <si>
    <t>Dattirajeru</t>
  </si>
  <si>
    <t>Bondapalle</t>
  </si>
  <si>
    <t>Gantyada</t>
  </si>
  <si>
    <t>Merakamudidam</t>
  </si>
  <si>
    <t>Garividi</t>
  </si>
  <si>
    <t>Gurla</t>
  </si>
  <si>
    <t>Meliaputti</t>
  </si>
  <si>
    <t>Lakshminarsupeta</t>
  </si>
  <si>
    <t>Hiramandalam</t>
  </si>
  <si>
    <t>Bobbili Town</t>
  </si>
  <si>
    <t>Ramabhadrapuram</t>
  </si>
  <si>
    <t>Badangi</t>
  </si>
  <si>
    <t>Therlam</t>
  </si>
  <si>
    <t>Parvathipuram Manyam</t>
  </si>
  <si>
    <t>Salur</t>
  </si>
  <si>
    <t>Salur Town</t>
  </si>
  <si>
    <t>Pachipenta</t>
  </si>
  <si>
    <t>Mentada</t>
  </si>
  <si>
    <t>Makkuva</t>
  </si>
  <si>
    <t>Parvathipuram</t>
  </si>
  <si>
    <t>Parvathipuram Town</t>
  </si>
  <si>
    <t>Balijipeta</t>
  </si>
  <si>
    <t>Kurupam</t>
  </si>
  <si>
    <t>Gummalakshmipuram</t>
  </si>
  <si>
    <t>Jiyyammavalasa</t>
  </si>
  <si>
    <t>Komarada</t>
  </si>
  <si>
    <t>Garugubilli</t>
  </si>
  <si>
    <t>Seethampeta</t>
  </si>
  <si>
    <t>Bhamini</t>
  </si>
  <si>
    <t>Palakonda</t>
  </si>
  <si>
    <t>Palakonda Town</t>
  </si>
  <si>
    <t>Veeraghattam</t>
  </si>
  <si>
    <t>Vangara</t>
  </si>
  <si>
    <t>Rajam Town</t>
  </si>
  <si>
    <t>Regidi Amadalavalasa</t>
  </si>
  <si>
    <t>Rajam</t>
  </si>
  <si>
    <t>Santhakaviti</t>
  </si>
  <si>
    <t>Jalumuru</t>
  </si>
  <si>
    <t>Saravakota</t>
  </si>
  <si>
    <t>Polaki</t>
  </si>
  <si>
    <t>Ganguvarisigadam</t>
  </si>
  <si>
    <t>Laveru</t>
  </si>
  <si>
    <t>Ranastalam</t>
  </si>
  <si>
    <t>Amadalavalasa Town</t>
  </si>
  <si>
    <t>Ponduru</t>
  </si>
  <si>
    <t>Sarubujjili</t>
  </si>
  <si>
    <t>Burja</t>
  </si>
  <si>
    <t>Gara</t>
  </si>
  <si>
    <t>Srikakulam Town</t>
  </si>
  <si>
    <t>Nandigam</t>
  </si>
  <si>
    <t>Santhabommali</t>
  </si>
  <si>
    <t>Kotabommali</t>
  </si>
  <si>
    <t>Palasa Kasibugga Town</t>
  </si>
  <si>
    <t>Vajrapukothuru</t>
  </si>
  <si>
    <t>Mandasa</t>
  </si>
  <si>
    <t>Ichchapuram Town</t>
  </si>
  <si>
    <t>Kanchili</t>
  </si>
  <si>
    <t>Kaviti</t>
  </si>
  <si>
    <t>Sompeta</t>
  </si>
  <si>
    <t>Nandivada</t>
  </si>
  <si>
    <t>Gudivada Town</t>
  </si>
  <si>
    <t>Gudlavalleru</t>
  </si>
  <si>
    <t>TDP(2019-PE)</t>
  </si>
  <si>
    <t>YSRCP(2019-PE)</t>
  </si>
  <si>
    <t>JSP(2019-PE)</t>
  </si>
  <si>
    <t>BJP(2019-PE)</t>
  </si>
  <si>
    <t>Leader Name</t>
  </si>
  <si>
    <t>Leader Number</t>
  </si>
  <si>
    <t>Gender</t>
  </si>
  <si>
    <t>DoB</t>
  </si>
  <si>
    <t>Current Party</t>
  </si>
  <si>
    <t>Level of Influence</t>
  </si>
  <si>
    <t>Party Designation</t>
  </si>
  <si>
    <t>Designation Year</t>
  </si>
  <si>
    <t>Protocol/Govt. Designations</t>
  </si>
  <si>
    <t>PS Number</t>
  </si>
  <si>
    <t>Sarpanch Mobile</t>
  </si>
  <si>
    <t>2026 Sarpanch Aspirants - Aspirant Number - Aspirant Party - Aspirant Faction</t>
  </si>
  <si>
    <t>Key Leaders - Leader Mobile - Party - Faction</t>
  </si>
  <si>
    <t>Geesala Mahalakshmi</t>
  </si>
  <si>
    <t>Vasamsetti Srinubabu</t>
  </si>
  <si>
    <t>Neelapala
 Satyanarayana</t>
  </si>
  <si>
    <t>Ribka Sanniboyina</t>
  </si>
  <si>
    <t>Tamilisetti Subbireddy</t>
  </si>
  <si>
    <t>Penumallu   Venkata Kumari</t>
  </si>
  <si>
    <t>Ravi Ramesh</t>
  </si>
  <si>
    <t>Nallamilli Surya Kumari</t>
  </si>
  <si>
    <t>Lekkala Upendra</t>
  </si>
  <si>
    <t>Cheekatla Lakshmi</t>
  </si>
  <si>
    <t>Gummidi Rama Lakshmi</t>
  </si>
  <si>
    <t>Kongana Bullammayi</t>
  </si>
  <si>
    <t>Thatavarthy Subbarao</t>
  </si>
  <si>
    <t>Chindhada Peda Raju</t>
  </si>
  <si>
    <t>Daasari Sanyasi</t>
  </si>
  <si>
    <t>Madasu Dongabbai Ane Venkata Ramana</t>
  </si>
  <si>
    <t>Vadalla Satyanarayana</t>
  </si>
  <si>
    <t>Miriyala Jogiraju</t>
  </si>
  <si>
    <t>Koruprolu Devudu</t>
  </si>
  <si>
    <t>Smt Saipureddi Kanaka Lakshmi</t>
  </si>
  <si>
    <t>Raparthi Rama Krishna</t>
  </si>
  <si>
    <t>Yadala Santhi</t>
  </si>
  <si>
    <t>Lanka Sujatha</t>
  </si>
  <si>
    <t>Vanthu Ramalakshmi</t>
  </si>
  <si>
    <t>Chitra Ramanamma</t>
  </si>
  <si>
    <t>Adapa Satyavani</t>
  </si>
  <si>
    <t>Poluparthi Seethayyamma</t>
  </si>
  <si>
    <t>Tamarala Satyanarayana</t>
  </si>
  <si>
    <t>Singampalli Venkatalakshmi</t>
  </si>
  <si>
    <t>Nandamuri Venkanna Dora</t>
  </si>
  <si>
    <t>Pakkurthi Lakshmi</t>
  </si>
  <si>
    <t>Rayipalli Lova Raju</t>
  </si>
  <si>
    <t>Sri Somarowthu Venkata Varaha Lakshmi Narasayyamma</t>
  </si>
  <si>
    <t>Katari Arjamma</t>
  </si>
  <si>
    <t>Narayanamma Jigireddy</t>
  </si>
  <si>
    <t>Sarnam Srinivas</t>
  </si>
  <si>
    <t>Pulugu Yesubabu</t>
  </si>
  <si>
    <t>Yenumula Koteswara Dora</t>
  </si>
  <si>
    <t>Botta Chaitanya</t>
  </si>
  <si>
    <t>Thota Naga Jyothi</t>
  </si>
  <si>
    <t>Koda Vara Prasadu</t>
  </si>
  <si>
    <t>Singiri Singarao</t>
  </si>
  <si>
    <t>Pedakapu Varahala Babu</t>
  </si>
  <si>
    <t>Nagam Triveni</t>
  </si>
  <si>
    <t>Katari Subbarao</t>
  </si>
  <si>
    <t>Ganapathi Roja Rani Dungala</t>
  </si>
  <si>
    <t>Buddala Sathibabu</t>
  </si>
  <si>
    <t>Kunapureddi Subbarao</t>
  </si>
  <si>
    <t>Gummuluri Jagadeeswari</t>
  </si>
  <si>
    <t>Veeramreddi Satyarani Naga Bhargavi</t>
  </si>
  <si>
    <t>Bajinku Kalyani</t>
  </si>
  <si>
    <t>Sambattula Chandra Latha</t>
  </si>
  <si>
    <t>Nanisetti Shankuramma</t>
  </si>
  <si>
    <t>Surya Prakash Budda</t>
  </si>
  <si>
    <t>Bheri Varalakshmi</t>
  </si>
  <si>
    <t>Mulagapati Suneetha</t>
  </si>
  <si>
    <t>Peethala Nookaraju</t>
  </si>
  <si>
    <t>Suthi Veera Krishna Prasad</t>
  </si>
  <si>
    <t>Beesetti Appalaraju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</si>
</sst>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0"/>
      <color rgb="FF000000"/>
      <name val="Arial"/>
      <scheme val="minor"/>
    </font>
    <font>
      <b/>
      <sz val="20"/>
      <color rgb="FF000000"/>
      <name val="Times New Roman"/>
    </font>
    <font>
      <b/>
      <sz val="20"/>
      <color rgb="FFFFFFFF"/>
      <name val="Times New Roman"/>
    </font>
    <font>
      <sz val="10"/>
      <name val="Arial"/>
    </font>
    <font>
      <sz val="10"/>
      <color theme="1"/>
      <name val="Times New Roman"/>
    </font>
    <font>
      <b/>
      <sz val="10"/>
      <color theme="1"/>
      <name val="Times New Roman"/>
    </font>
    <font>
      <b/>
      <sz val="12"/>
      <color rgb="FF000000"/>
      <name val="Times New Roman"/>
    </font>
    <font>
      <b/>
      <sz val="12"/>
      <color theme="1"/>
      <name val="Times New Roman"/>
    </font>
    <font>
      <b/>
      <sz val="12"/>
      <color rgb="FF990000"/>
      <name val="Times New Roman"/>
    </font>
    <font>
      <b/>
      <sz val="10"/>
      <color theme="1"/>
      <name val="Times New Roman"/>
    </font>
    <font>
      <sz val="10"/>
      <color rgb="FF000000"/>
      <name val="Times New Roman"/>
    </font>
    <font>
      <b/>
      <sz val="13"/>
      <color rgb="FF000000"/>
      <name val="Times New Roman"/>
    </font>
    <font>
      <b/>
      <sz val="13"/>
      <color theme="1"/>
      <name val="Times New Roman"/>
    </font>
    <font>
      <b/>
      <sz val="13"/>
      <color rgb="FFA64D79"/>
      <name val="Times New Roman"/>
    </font>
    <font>
      <b/>
      <sz val="17"/>
      <color theme="1"/>
      <name val="Times New Roman"/>
    </font>
    <font>
      <sz val="11"/>
      <color theme="1"/>
      <name val="Times New Roman"/>
    </font>
    <font>
      <b/>
      <sz val="16"/>
      <color rgb="FF000000"/>
      <name val="Times New Roman"/>
    </font>
    <font>
      <b/>
      <sz val="16"/>
      <color theme="1"/>
      <name val="Times New Roman"/>
    </font>
    <font>
      <b/>
      <sz val="10"/>
      <color rgb="FF000000"/>
      <name val="Times New Roman"/>
    </font>
    <font>
      <sz val="10"/>
      <color theme="1"/>
      <name val="Times New Roman"/>
    </font>
    <font>
      <b/>
      <sz val="24"/>
      <color rgb="FF000000"/>
      <name val="Times New Roman"/>
    </font>
    <font>
      <b/>
      <sz val="24"/>
      <color rgb="FF990000"/>
      <name val="Times New Roman"/>
    </font>
    <font>
      <b/>
      <sz val="10"/>
      <color rgb="FFBF9000"/>
      <name val="Times New Roman"/>
    </font>
    <font>
      <b/>
      <sz val="10"/>
      <color rgb="FF0B5394"/>
      <name val="Times New Roman"/>
    </font>
    <font>
      <b/>
      <sz val="10"/>
      <color rgb="FF990000"/>
      <name val="Times New Roman"/>
    </font>
    <font>
      <b/>
      <sz val="10"/>
      <color rgb="FFFF9900"/>
      <name val="Times New Roman"/>
    </font>
    <font>
      <b/>
      <sz val="10"/>
      <color rgb="FF1155CC"/>
      <name val="Times New Roman"/>
    </font>
    <font>
      <b/>
      <sz val="10"/>
      <color rgb="FF6AA84F"/>
      <name val="Times New Roman"/>
    </font>
    <font>
      <b/>
      <sz val="10"/>
      <color rgb="FF741B47"/>
      <name val="Times New Roman"/>
    </font>
    <font>
      <b/>
      <sz val="17"/>
      <color rgb="FF990000"/>
      <name val="Times New Roman"/>
    </font>
    <font>
      <b/>
      <sz val="13"/>
      <color rgb="FF990000"/>
      <name val="Times New Roman"/>
    </font>
    <font>
      <b/>
      <sz val="10"/>
      <color rgb="FF980000"/>
      <name val="Times New Roman"/>
    </font>
    <font>
      <b/>
      <sz val="10"/>
      <color theme="1"/>
      <name val="Arial"/>
    </font>
    <font>
      <sz val="10"/>
      <color theme="1"/>
      <name val="Arial"/>
    </font>
    <font>
      <sz val="12"/>
      <color theme="1"/>
      <name val="Arial"/>
    </font>
    <font>
      <sz val="9"/>
      <color rgb="FF1F1F1F"/>
      <name val="Google Sans"/>
    </font>
    <font>
      <sz val="10"/>
      <color theme="1"/>
      <name val="Arial"/>
      <scheme val="minor"/>
    </font>
    <font>
      <b/>
      <sz val="10"/>
      <color theme="1"/>
      <name val="Arial"/>
      <scheme val="minor"/>
    </font>
    <font>
      <sz val="11"/>
      <color theme="1"/>
      <name val="Calibri"/>
    </font>
    <font>
      <b/>
      <sz val="11"/>
      <color theme="1"/>
      <name val="Arial"/>
    </font>
    <font>
      <sz val="11"/>
      <color theme="1"/>
      <name val="Arial"/>
    </font>
    <font>
      <sz val="11"/>
      <color rgb="FF1F1F1F"/>
      <name val="Arial"/>
    </font>
    <font>
      <i/>
      <sz val="11"/>
      <color rgb="FF3C4043"/>
      <name val="Arial"/>
    </font>
    <font>
      <sz val="11"/>
      <color rgb="FF1F1F1F"/>
      <name val="Google Sans"/>
    </font>
    <font>
      <sz val="12"/>
      <color rgb="FF1F1F1F"/>
      <name val="Arial"/>
    </font>
    <font>
      <b/>
      <sz val="12"/>
      <color theme="1"/>
      <name val="Calibri"/>
    </font>
    <font>
      <sz val="12"/>
      <color theme="1"/>
      <name val="Calibri"/>
    </font>
    <font>
      <sz val="13"/>
      <color theme="1"/>
      <name val="Arial"/>
    </font>
    <font>
      <sz val="13"/>
      <color rgb="FF1F1F1F"/>
      <name val="Google Sans"/>
    </font>
    <font>
      <sz val="14"/>
      <color theme="1"/>
      <name val="Arial"/>
    </font>
    <font>
      <sz val="15"/>
      <color theme="1"/>
      <name val="Arial"/>
    </font>
    <font>
      <b/>
      <sz val="11"/>
      <color rgb="FF990000"/>
      <name val="Times New Roman"/>
    </font>
    <font>
      <b/>
      <sz val="10"/>
      <color rgb="FFFFD966"/>
      <name val="Arial"/>
    </font>
    <font>
      <b/>
      <sz val="10"/>
      <color rgb="FF073763"/>
      <name val="Arial"/>
    </font>
    <font>
      <sz val="11"/>
      <color rgb="FF3C4043"/>
      <name val="Arial"/>
    </font>
  </fonts>
  <fills count="27">
    <fill>
      <patternFill patternType="none"/>
    </fill>
    <fill>
      <patternFill patternType="gray125"/>
    </fill>
    <fill>
      <patternFill patternType="solid">
        <fgColor rgb="FFFFFFFF"/>
        <bgColor rgb="FFFFFFFF"/>
      </patternFill>
    </fill>
    <fill>
      <patternFill patternType="solid">
        <fgColor rgb="FFBF9000"/>
        <bgColor rgb="FFBF9000"/>
      </patternFill>
    </fill>
    <fill>
      <patternFill patternType="solid">
        <fgColor rgb="FFF1C232"/>
        <bgColor rgb="FFF1C232"/>
      </patternFill>
    </fill>
    <fill>
      <patternFill patternType="solid">
        <fgColor rgb="FFFFD966"/>
        <bgColor rgb="FFFFD966"/>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FFF2CC"/>
        <bgColor rgb="FFFFF2CC"/>
      </patternFill>
    </fill>
    <fill>
      <patternFill patternType="solid">
        <fgColor rgb="FF8E7CC3"/>
        <bgColor rgb="FF8E7CC3"/>
      </patternFill>
    </fill>
    <fill>
      <patternFill patternType="solid">
        <fgColor rgb="FFFFE599"/>
        <bgColor rgb="FFFFE599"/>
      </patternFill>
    </fill>
    <fill>
      <patternFill patternType="solid">
        <fgColor rgb="FFCC0000"/>
        <bgColor rgb="FFCC0000"/>
      </patternFill>
    </fill>
    <fill>
      <patternFill patternType="solid">
        <fgColor rgb="FFA2C4C9"/>
        <bgColor rgb="FFA2C4C9"/>
      </patternFill>
    </fill>
    <fill>
      <patternFill patternType="solid">
        <fgColor rgb="FF76A5AF"/>
        <bgColor rgb="FF76A5AF"/>
      </patternFill>
    </fill>
    <fill>
      <patternFill patternType="solid">
        <fgColor rgb="FFE6B8AF"/>
        <bgColor rgb="FFE6B8AF"/>
      </patternFill>
    </fill>
    <fill>
      <patternFill patternType="solid">
        <fgColor rgb="FFEAD1DC"/>
        <bgColor rgb="FFEAD1DC"/>
      </patternFill>
    </fill>
    <fill>
      <patternFill patternType="solid">
        <fgColor rgb="FFCC4125"/>
        <bgColor rgb="FFCC4125"/>
      </patternFill>
    </fill>
    <fill>
      <patternFill patternType="solid">
        <fgColor rgb="FFAFEEEE"/>
        <bgColor rgb="FFAFEEEE"/>
      </patternFill>
    </fill>
    <fill>
      <patternFill patternType="solid">
        <fgColor rgb="FFF8F9FA"/>
        <bgColor rgb="FFF8F9FA"/>
      </patternFill>
    </fill>
    <fill>
      <patternFill patternType="solid">
        <fgColor rgb="FFFF0000"/>
        <bgColor rgb="FFFF0000"/>
      </patternFill>
    </fill>
    <fill>
      <patternFill patternType="solid">
        <fgColor rgb="FF073763"/>
        <bgColor rgb="FF073763"/>
      </patternFill>
    </fill>
    <fill>
      <patternFill patternType="solid">
        <fgColor rgb="FFD9EAD3"/>
        <bgColor rgb="FFD9EAD3"/>
      </patternFill>
    </fill>
    <fill>
      <patternFill patternType="solid">
        <fgColor rgb="FF93C47D"/>
        <bgColor rgb="FF93C47D"/>
      </patternFill>
    </fill>
    <fill>
      <patternFill patternType="solid">
        <fgColor rgb="FFF3F3F3"/>
        <bgColor rgb="FFF3F3F3"/>
      </patternFill>
    </fill>
    <fill>
      <patternFill patternType="solid">
        <fgColor rgb="FFC9DAF8"/>
        <bgColor rgb="FFC9DAF8"/>
      </patternFill>
    </fill>
    <fill>
      <patternFill patternType="solid">
        <fgColor rgb="FFF6B26B"/>
        <bgColor rgb="FFF6B26B"/>
      </patternFill>
    </fill>
  </fills>
  <borders count="8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bottom style="thin">
        <color rgb="FF000000"/>
      </bottom>
      <diagonal/>
    </border>
    <border>
      <left style="medium">
        <color rgb="FF000000"/>
      </left>
      <right/>
      <top style="medium">
        <color rgb="FFFFFFFF"/>
      </top>
      <bottom/>
      <diagonal/>
    </border>
    <border>
      <left/>
      <right/>
      <top style="medium">
        <color rgb="FFFFFFFF"/>
      </top>
      <bottom/>
      <diagonal/>
    </border>
    <border>
      <left/>
      <right style="medium">
        <color rgb="FFFFFFFF"/>
      </right>
      <top style="medium">
        <color rgb="FFFFFFFF"/>
      </top>
      <bottom/>
      <diagonal/>
    </border>
    <border>
      <left/>
      <right style="medium">
        <color rgb="FF000000"/>
      </right>
      <top style="medium">
        <color rgb="FFFFFFFF"/>
      </top>
      <bottom/>
      <diagonal/>
    </border>
    <border>
      <left/>
      <right style="medium">
        <color rgb="FFFFFFFF"/>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medium">
        <color rgb="FF000000"/>
      </right>
      <top style="thin">
        <color rgb="FF999999"/>
      </top>
      <bottom style="thin">
        <color rgb="FF999999"/>
      </bottom>
      <diagonal/>
    </border>
    <border>
      <left style="medium">
        <color rgb="FF000000"/>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medium">
        <color rgb="FF000000"/>
      </left>
      <right/>
      <top style="thin">
        <color rgb="FF999999"/>
      </top>
      <bottom/>
      <diagonal/>
    </border>
    <border>
      <left/>
      <right style="thin">
        <color rgb="FF999999"/>
      </right>
      <top style="thin">
        <color rgb="FF999999"/>
      </top>
      <bottom/>
      <diagonal/>
    </border>
    <border>
      <left style="thin">
        <color rgb="FF999999"/>
      </left>
      <right/>
      <top style="thin">
        <color rgb="FF999999"/>
      </top>
      <bottom/>
      <diagonal/>
    </border>
    <border>
      <left/>
      <right/>
      <top style="thin">
        <color rgb="FF999999"/>
      </top>
      <bottom/>
      <diagonal/>
    </border>
    <border>
      <left/>
      <right style="medium">
        <color rgb="FF000000"/>
      </right>
      <top style="thin">
        <color rgb="FF999999"/>
      </top>
      <bottom/>
      <diagonal/>
    </border>
    <border>
      <left/>
      <right style="thin">
        <color rgb="FF999999"/>
      </right>
      <top/>
      <bottom/>
      <diagonal/>
    </border>
    <border>
      <left style="thin">
        <color rgb="FF999999"/>
      </left>
      <right/>
      <top/>
      <bottom/>
      <diagonal/>
    </border>
    <border>
      <left style="medium">
        <color rgb="FF000000"/>
      </left>
      <right/>
      <top/>
      <bottom style="thin">
        <color rgb="FF999999"/>
      </bottom>
      <diagonal/>
    </border>
    <border>
      <left/>
      <right style="thin">
        <color rgb="FF999999"/>
      </right>
      <top/>
      <bottom style="thin">
        <color rgb="FF999999"/>
      </bottom>
      <diagonal/>
    </border>
    <border>
      <left style="thin">
        <color rgb="FF999999"/>
      </left>
      <right/>
      <top/>
      <bottom style="thin">
        <color rgb="FF999999"/>
      </bottom>
      <diagonal/>
    </border>
    <border>
      <left/>
      <right/>
      <top/>
      <bottom style="thin">
        <color rgb="FF999999"/>
      </bottom>
      <diagonal/>
    </border>
    <border>
      <left/>
      <right style="medium">
        <color rgb="FF000000"/>
      </right>
      <top/>
      <bottom style="thin">
        <color rgb="FF999999"/>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000000"/>
      </right>
      <top/>
      <bottom style="thin">
        <color rgb="FF999999"/>
      </bottom>
      <diagonal/>
    </border>
    <border>
      <left style="medium">
        <color rgb="FF000000"/>
      </left>
      <right style="thin">
        <color rgb="FF999999"/>
      </right>
      <top style="thin">
        <color rgb="FF999999"/>
      </top>
      <bottom style="thin">
        <color rgb="FF999999"/>
      </bottom>
      <diagonal/>
    </border>
    <border>
      <left style="thin">
        <color rgb="FF999999"/>
      </left>
      <right style="thin">
        <color rgb="FF000000"/>
      </right>
      <top style="thin">
        <color rgb="FF999999"/>
      </top>
      <bottom style="thin">
        <color rgb="FF999999"/>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double">
        <color rgb="FF000000"/>
      </left>
      <right/>
      <top style="medium">
        <color rgb="FF000000"/>
      </top>
      <bottom/>
      <diagonal/>
    </border>
    <border>
      <left/>
      <right style="medium">
        <color rgb="FF000000"/>
      </right>
      <top style="medium">
        <color rgb="FF000000"/>
      </top>
      <bottom/>
      <diagonal/>
    </border>
    <border>
      <left style="double">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double">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63">
    <xf numFmtId="0" fontId="0" fillId="0" borderId="0" xfId="0"/>
    <xf numFmtId="0" fontId="1" fillId="2" borderId="0" xfId="0" applyFont="1" applyFill="1" applyAlignment="1">
      <alignment horizontal="center" vertical="center" wrapText="1"/>
    </xf>
    <xf numFmtId="0" fontId="4" fillId="0" borderId="0" xfId="0" applyFont="1" applyAlignment="1">
      <alignment horizontal="center" vertical="center"/>
    </xf>
    <xf numFmtId="0" fontId="5" fillId="0" borderId="4" xfId="0" applyFont="1" applyBorder="1" applyAlignment="1">
      <alignment horizontal="center" vertical="center"/>
    </xf>
    <xf numFmtId="0" fontId="4" fillId="0" borderId="4" xfId="0" applyFont="1" applyBorder="1" applyAlignment="1">
      <alignment horizontal="center" vertical="center"/>
    </xf>
    <xf numFmtId="10" fontId="5" fillId="0" borderId="4" xfId="0" applyNumberFormat="1" applyFont="1" applyBorder="1" applyAlignment="1">
      <alignment horizontal="center" vertical="center"/>
    </xf>
    <xf numFmtId="0" fontId="6" fillId="2" borderId="0" xfId="0" applyFont="1" applyFill="1" applyAlignment="1">
      <alignment horizontal="center" vertical="center" wrapText="1"/>
    </xf>
    <xf numFmtId="0" fontId="7" fillId="4" borderId="5"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6" xfId="0" applyFont="1" applyFill="1" applyBorder="1" applyAlignment="1">
      <alignment horizontal="center" vertical="center" wrapText="1"/>
    </xf>
    <xf numFmtId="0" fontId="7" fillId="0" borderId="0" xfId="0" applyFont="1" applyAlignment="1">
      <alignment horizontal="center" vertical="center"/>
    </xf>
    <xf numFmtId="10" fontId="9" fillId="0" borderId="4" xfId="0" applyNumberFormat="1" applyFont="1" applyBorder="1" applyAlignment="1">
      <alignment horizontal="center" vertical="center"/>
    </xf>
    <xf numFmtId="0" fontId="10" fillId="2" borderId="0" xfId="0" applyFont="1" applyFill="1" applyAlignment="1">
      <alignment horizontal="center" vertical="center" wrapText="1"/>
    </xf>
    <xf numFmtId="0" fontId="4" fillId="4" borderId="5"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6" xfId="0" applyFont="1" applyFill="1" applyBorder="1" applyAlignment="1">
      <alignment horizontal="center" vertical="center" wrapText="1"/>
    </xf>
    <xf numFmtId="0" fontId="11" fillId="2" borderId="0" xfId="0" applyFont="1" applyFill="1" applyAlignment="1">
      <alignment horizontal="center" vertical="center" wrapText="1"/>
    </xf>
    <xf numFmtId="0" fontId="15" fillId="0" borderId="0" xfId="0" applyFont="1" applyAlignment="1">
      <alignment horizontal="center" vertical="center"/>
    </xf>
    <xf numFmtId="0" fontId="16" fillId="2" borderId="0" xfId="0" applyFont="1" applyFill="1" applyAlignment="1">
      <alignment horizontal="center" vertical="center" wrapText="1"/>
    </xf>
    <xf numFmtId="0" fontId="18" fillId="2" borderId="0" xfId="0" applyFont="1" applyFill="1" applyAlignment="1">
      <alignment horizontal="center" vertical="center" wrapText="1"/>
    </xf>
    <xf numFmtId="0" fontId="5" fillId="7" borderId="13" xfId="0" applyFont="1" applyFill="1" applyBorder="1" applyAlignment="1">
      <alignment horizontal="center" vertical="center" wrapText="1"/>
    </xf>
    <xf numFmtId="0" fontId="4" fillId="0" borderId="18" xfId="0" applyFont="1" applyBorder="1" applyAlignment="1">
      <alignment horizontal="center" vertical="center" wrapText="1"/>
    </xf>
    <xf numFmtId="3" fontId="4" fillId="0" borderId="17" xfId="0" applyNumberFormat="1" applyFont="1" applyBorder="1" applyAlignment="1">
      <alignment horizontal="center" vertical="center" wrapText="1"/>
    </xf>
    <xf numFmtId="0" fontId="20" fillId="2" borderId="0" xfId="0" applyFont="1" applyFill="1" applyAlignment="1">
      <alignment horizontal="center" vertical="center" wrapText="1"/>
    </xf>
    <xf numFmtId="0" fontId="5" fillId="9" borderId="36" xfId="0" applyFont="1" applyFill="1" applyBorder="1" applyAlignment="1">
      <alignment horizontal="center" vertical="center" wrapText="1"/>
    </xf>
    <xf numFmtId="0" fontId="22" fillId="9" borderId="37" xfId="0" applyFont="1" applyFill="1" applyBorder="1" applyAlignment="1">
      <alignment horizontal="center" vertical="center" wrapText="1"/>
    </xf>
    <xf numFmtId="0" fontId="23" fillId="9" borderId="37"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25" fillId="9" borderId="37" xfId="0" applyFont="1" applyFill="1" applyBorder="1" applyAlignment="1">
      <alignment horizontal="center" vertical="center" wrapText="1"/>
    </xf>
    <xf numFmtId="0" fontId="26" fillId="9" borderId="37" xfId="0" applyFont="1" applyFill="1" applyBorder="1" applyAlignment="1">
      <alignment horizontal="center" vertical="center" wrapText="1"/>
    </xf>
    <xf numFmtId="0" fontId="27" fillId="9" borderId="37" xfId="0" applyFont="1" applyFill="1" applyBorder="1" applyAlignment="1">
      <alignment horizontal="center" vertical="center" wrapText="1"/>
    </xf>
    <xf numFmtId="0" fontId="28" fillId="9" borderId="38"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5" fillId="0" borderId="39" xfId="0" applyFont="1" applyBorder="1" applyAlignment="1">
      <alignment horizontal="center" vertical="center" wrapText="1"/>
    </xf>
    <xf numFmtId="10" fontId="4" fillId="0" borderId="18" xfId="0" applyNumberFormat="1" applyFont="1" applyBorder="1" applyAlignment="1">
      <alignment horizontal="center" vertical="center" wrapText="1"/>
    </xf>
    <xf numFmtId="10" fontId="4" fillId="0" borderId="40" xfId="0" applyNumberFormat="1" applyFont="1" applyBorder="1" applyAlignment="1">
      <alignment horizontal="center" vertical="center" wrapText="1"/>
    </xf>
    <xf numFmtId="0" fontId="5" fillId="9" borderId="45" xfId="0" applyFont="1" applyFill="1" applyBorder="1" applyAlignment="1">
      <alignment horizontal="center" vertical="center" wrapText="1"/>
    </xf>
    <xf numFmtId="0" fontId="5" fillId="9" borderId="47" xfId="0" applyFont="1" applyFill="1" applyBorder="1" applyAlignment="1">
      <alignment horizontal="center" vertical="center" wrapText="1"/>
    </xf>
    <xf numFmtId="0" fontId="5" fillId="9" borderId="48" xfId="0" applyFont="1" applyFill="1" applyBorder="1" applyAlignment="1">
      <alignment horizontal="center" vertical="center" wrapText="1"/>
    </xf>
    <xf numFmtId="0" fontId="4" fillId="0" borderId="45"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32" fillId="11" borderId="0" xfId="0" applyFont="1" applyFill="1" applyAlignment="1">
      <alignment horizontal="center" vertical="center" wrapText="1"/>
    </xf>
    <xf numFmtId="0" fontId="33" fillId="11" borderId="0" xfId="0" applyFont="1" applyFill="1" applyAlignment="1">
      <alignment horizontal="center" vertical="center" wrapText="1"/>
    </xf>
    <xf numFmtId="0" fontId="33" fillId="0" borderId="0" xfId="0" applyFont="1" applyAlignment="1">
      <alignment horizontal="center" vertical="center" wrapText="1"/>
    </xf>
    <xf numFmtId="1" fontId="33" fillId="0" borderId="0" xfId="0" applyNumberFormat="1" applyFont="1" applyAlignment="1">
      <alignment horizontal="center" vertical="center" wrapText="1"/>
    </xf>
    <xf numFmtId="0" fontId="33" fillId="12" borderId="0" xfId="0" applyFont="1" applyFill="1" applyAlignment="1">
      <alignment horizontal="center" vertical="center" wrapText="1"/>
    </xf>
    <xf numFmtId="1" fontId="33" fillId="12" borderId="0" xfId="0" applyNumberFormat="1" applyFont="1" applyFill="1" applyAlignment="1">
      <alignment horizontal="center" vertical="center" wrapText="1"/>
    </xf>
    <xf numFmtId="3" fontId="33" fillId="0" borderId="0" xfId="0" applyNumberFormat="1" applyFont="1" applyAlignment="1">
      <alignment horizontal="center" vertical="center" wrapText="1"/>
    </xf>
    <xf numFmtId="0" fontId="34" fillId="0" borderId="47" xfId="0" applyFont="1" applyBorder="1" applyAlignment="1">
      <alignment horizontal="center" vertical="center" wrapText="1"/>
    </xf>
    <xf numFmtId="0" fontId="35" fillId="2" borderId="58" xfId="0" applyFont="1" applyFill="1" applyBorder="1" applyAlignment="1">
      <alignment horizontal="center" vertical="center" wrapText="1"/>
    </xf>
    <xf numFmtId="0" fontId="36" fillId="0" borderId="0" xfId="0" applyFont="1" applyAlignment="1">
      <alignment horizontal="center" vertical="center" wrapText="1"/>
    </xf>
    <xf numFmtId="0" fontId="5" fillId="4" borderId="47" xfId="0" applyFont="1" applyFill="1" applyBorder="1" applyAlignment="1">
      <alignment horizontal="center" vertical="center" wrapText="1"/>
    </xf>
    <xf numFmtId="0" fontId="5" fillId="0" borderId="0" xfId="0" applyFont="1" applyAlignment="1">
      <alignment horizontal="center" vertical="center" wrapText="1"/>
    </xf>
    <xf numFmtId="0" fontId="4" fillId="0" borderId="47" xfId="0" applyFont="1" applyBorder="1" applyAlignment="1">
      <alignment horizontal="left" vertical="center" wrapText="1"/>
    </xf>
    <xf numFmtId="0" fontId="4" fillId="0" borderId="47" xfId="0" applyFont="1" applyBorder="1" applyAlignment="1">
      <alignment horizontal="left"/>
    </xf>
    <xf numFmtId="0" fontId="37" fillId="11" borderId="47" xfId="0" applyFont="1" applyFill="1" applyBorder="1" applyAlignment="1">
      <alignment horizontal="center" vertical="center" wrapText="1"/>
    </xf>
    <xf numFmtId="0" fontId="37" fillId="0" borderId="0" xfId="0" applyFont="1" applyAlignment="1">
      <alignment horizontal="center" vertical="center"/>
    </xf>
    <xf numFmtId="0" fontId="36" fillId="0" borderId="47" xfId="0" applyFont="1" applyBorder="1" applyAlignment="1">
      <alignment horizontal="center" vertical="center" wrapText="1"/>
    </xf>
    <xf numFmtId="0" fontId="36" fillId="0" borderId="0" xfId="0" applyFont="1" applyAlignment="1">
      <alignment horizontal="center" vertical="center"/>
    </xf>
    <xf numFmtId="0" fontId="32" fillId="6" borderId="58" xfId="0" applyFont="1" applyFill="1" applyBorder="1"/>
    <xf numFmtId="0" fontId="33" fillId="0" borderId="0" xfId="0" applyFont="1"/>
    <xf numFmtId="0" fontId="38" fillId="0" borderId="0" xfId="0" applyFont="1"/>
    <xf numFmtId="0" fontId="33" fillId="0" borderId="47" xfId="0" applyFont="1" applyBorder="1"/>
    <xf numFmtId="0" fontId="33" fillId="2" borderId="58" xfId="0" applyFont="1" applyFill="1" applyBorder="1"/>
    <xf numFmtId="0" fontId="39" fillId="13" borderId="47" xfId="0" applyFont="1" applyFill="1" applyBorder="1" applyAlignment="1">
      <alignment horizontal="center" wrapText="1"/>
    </xf>
    <xf numFmtId="0" fontId="40" fillId="14" borderId="47" xfId="0" applyFont="1" applyFill="1" applyBorder="1" applyAlignment="1">
      <alignment horizontal="center" wrapText="1"/>
    </xf>
    <xf numFmtId="0" fontId="40" fillId="0" borderId="47" xfId="0" applyFont="1" applyBorder="1" applyAlignment="1">
      <alignment horizontal="center" wrapText="1"/>
    </xf>
    <xf numFmtId="0" fontId="39" fillId="14" borderId="47" xfId="0" applyFont="1" applyFill="1" applyBorder="1" applyAlignment="1">
      <alignment horizontal="center" wrapText="1"/>
    </xf>
    <xf numFmtId="0" fontId="40" fillId="15" borderId="47" xfId="0" applyFont="1" applyFill="1" applyBorder="1" applyAlignment="1">
      <alignment horizontal="center" wrapText="1"/>
    </xf>
    <xf numFmtId="0" fontId="33" fillId="15" borderId="47" xfId="0" applyFont="1" applyFill="1" applyBorder="1"/>
    <xf numFmtId="0" fontId="33" fillId="2" borderId="47" xfId="0" applyFont="1" applyFill="1" applyBorder="1"/>
    <xf numFmtId="0" fontId="40" fillId="2" borderId="47" xfId="0" applyFont="1" applyFill="1" applyBorder="1" applyAlignment="1">
      <alignment horizontal="center" wrapText="1"/>
    </xf>
    <xf numFmtId="0" fontId="40" fillId="16" borderId="47" xfId="0" applyFont="1" applyFill="1" applyBorder="1" applyAlignment="1">
      <alignment horizontal="center" wrapText="1"/>
    </xf>
    <xf numFmtId="0" fontId="41" fillId="15" borderId="47" xfId="0" applyFont="1" applyFill="1" applyBorder="1" applyAlignment="1">
      <alignment horizontal="center" wrapText="1"/>
    </xf>
    <xf numFmtId="0" fontId="33" fillId="16" borderId="47" xfId="0" applyFont="1" applyFill="1" applyBorder="1"/>
    <xf numFmtId="0" fontId="40" fillId="6" borderId="47" xfId="0" applyFont="1" applyFill="1" applyBorder="1" applyAlignment="1">
      <alignment horizontal="center" wrapText="1"/>
    </xf>
    <xf numFmtId="0" fontId="33" fillId="6" borderId="47" xfId="0" applyFont="1" applyFill="1" applyBorder="1"/>
    <xf numFmtId="0" fontId="42" fillId="15" borderId="47" xfId="0" applyFont="1" applyFill="1" applyBorder="1" applyAlignment="1">
      <alignment horizontal="center" wrapText="1"/>
    </xf>
    <xf numFmtId="0" fontId="40" fillId="15" borderId="47" xfId="0" applyFont="1" applyFill="1" applyBorder="1" applyAlignment="1">
      <alignment wrapText="1"/>
    </xf>
    <xf numFmtId="0" fontId="43" fillId="15" borderId="47" xfId="0" applyFont="1" applyFill="1" applyBorder="1" applyAlignment="1">
      <alignment horizontal="center"/>
    </xf>
    <xf numFmtId="0" fontId="44" fillId="2" borderId="47" xfId="0" applyFont="1" applyFill="1" applyBorder="1" applyAlignment="1">
      <alignment horizontal="center"/>
    </xf>
    <xf numFmtId="0" fontId="40" fillId="0" borderId="47" xfId="0" applyFont="1" applyBorder="1" applyAlignment="1">
      <alignment wrapText="1"/>
    </xf>
    <xf numFmtId="0" fontId="40" fillId="17" borderId="47" xfId="0" applyFont="1" applyFill="1" applyBorder="1" applyAlignment="1">
      <alignment horizontal="center" wrapText="1"/>
    </xf>
    <xf numFmtId="0" fontId="40" fillId="15" borderId="58" xfId="0" applyFont="1" applyFill="1" applyBorder="1" applyAlignment="1">
      <alignment wrapText="1"/>
    </xf>
    <xf numFmtId="0" fontId="33" fillId="0" borderId="0" xfId="0" applyFont="1" applyAlignment="1">
      <alignment wrapText="1"/>
    </xf>
    <xf numFmtId="0" fontId="45" fillId="18" borderId="47" xfId="0" applyFont="1" applyFill="1" applyBorder="1" applyAlignment="1">
      <alignment horizontal="center" wrapText="1"/>
    </xf>
    <xf numFmtId="0" fontId="34" fillId="0" borderId="47" xfId="0" applyFont="1" applyBorder="1" applyAlignment="1">
      <alignment horizontal="center"/>
    </xf>
    <xf numFmtId="0" fontId="34" fillId="0" borderId="47" xfId="0" applyFont="1" applyBorder="1" applyAlignment="1">
      <alignment horizontal="center" wrapText="1"/>
    </xf>
    <xf numFmtId="0" fontId="34" fillId="0" borderId="59" xfId="0" applyFont="1" applyBorder="1" applyAlignment="1">
      <alignment horizontal="center"/>
    </xf>
    <xf numFmtId="0" fontId="46" fillId="0" borderId="47" xfId="0" applyFont="1" applyBorder="1" applyAlignment="1">
      <alignment horizontal="center" wrapText="1"/>
    </xf>
    <xf numFmtId="0" fontId="33" fillId="0" borderId="59" xfId="0" applyFont="1" applyBorder="1"/>
    <xf numFmtId="0" fontId="33" fillId="0" borderId="0" xfId="0" applyFont="1" applyAlignment="1">
      <alignment horizontal="center"/>
    </xf>
    <xf numFmtId="0" fontId="34" fillId="0" borderId="46" xfId="0" applyFont="1" applyBorder="1" applyAlignment="1">
      <alignment horizontal="center" wrapText="1"/>
    </xf>
    <xf numFmtId="0" fontId="47" fillId="0" borderId="46" xfId="0" applyFont="1" applyBorder="1" applyAlignment="1">
      <alignment horizontal="center"/>
    </xf>
    <xf numFmtId="0" fontId="33" fillId="0" borderId="46" xfId="0" applyFont="1" applyBorder="1"/>
    <xf numFmtId="0" fontId="34" fillId="0" borderId="46" xfId="0" applyFont="1" applyBorder="1" applyAlignment="1">
      <alignment horizontal="center"/>
    </xf>
    <xf numFmtId="0" fontId="34" fillId="0" borderId="60" xfId="0" applyFont="1" applyBorder="1" applyAlignment="1">
      <alignment horizontal="center"/>
    </xf>
    <xf numFmtId="0" fontId="34" fillId="0" borderId="59" xfId="0" applyFont="1" applyBorder="1" applyAlignment="1">
      <alignment horizontal="center" wrapText="1"/>
    </xf>
    <xf numFmtId="0" fontId="47" fillId="0" borderId="47" xfId="0" applyFont="1" applyBorder="1" applyAlignment="1">
      <alignment horizontal="center"/>
    </xf>
    <xf numFmtId="0" fontId="47" fillId="0" borderId="46" xfId="0" applyFont="1" applyBorder="1" applyAlignment="1">
      <alignment horizontal="center" wrapText="1"/>
    </xf>
    <xf numFmtId="0" fontId="47" fillId="0" borderId="59" xfId="0" applyFont="1" applyBorder="1" applyAlignment="1">
      <alignment horizontal="center"/>
    </xf>
    <xf numFmtId="0" fontId="47" fillId="0" borderId="59" xfId="0" applyFont="1" applyBorder="1" applyAlignment="1">
      <alignment horizontal="center" wrapText="1"/>
    </xf>
    <xf numFmtId="0" fontId="47" fillId="0" borderId="60" xfId="0" applyFont="1" applyBorder="1" applyAlignment="1">
      <alignment horizontal="center"/>
    </xf>
    <xf numFmtId="0" fontId="33" fillId="19" borderId="47" xfId="0" applyFont="1" applyFill="1" applyBorder="1"/>
    <xf numFmtId="0" fontId="34" fillId="2" borderId="47" xfId="0" applyFont="1" applyFill="1" applyBorder="1" applyAlignment="1">
      <alignment horizontal="center" wrapText="1"/>
    </xf>
    <xf numFmtId="0" fontId="34" fillId="2" borderId="47" xfId="0" applyFont="1" applyFill="1" applyBorder="1" applyAlignment="1">
      <alignment horizontal="center"/>
    </xf>
    <xf numFmtId="0" fontId="48" fillId="2" borderId="58" xfId="0" applyFont="1" applyFill="1" applyBorder="1" applyAlignment="1">
      <alignment horizontal="center"/>
    </xf>
    <xf numFmtId="0" fontId="34" fillId="2" borderId="61" xfId="0" applyFont="1" applyFill="1" applyBorder="1" applyAlignment="1">
      <alignment horizontal="center" wrapText="1"/>
    </xf>
    <xf numFmtId="9" fontId="33" fillId="0" borderId="47" xfId="0" applyNumberFormat="1" applyFont="1" applyBorder="1"/>
    <xf numFmtId="9" fontId="34" fillId="0" borderId="47" xfId="0" applyNumberFormat="1" applyFont="1" applyBorder="1" applyAlignment="1">
      <alignment horizontal="center" wrapText="1"/>
    </xf>
    <xf numFmtId="0" fontId="33" fillId="2" borderId="47" xfId="0" applyFont="1" applyFill="1" applyBorder="1" applyAlignment="1">
      <alignment horizontal="center"/>
    </xf>
    <xf numFmtId="0" fontId="48" fillId="2" borderId="62" xfId="0" applyFont="1" applyFill="1" applyBorder="1" applyAlignment="1">
      <alignment horizontal="center"/>
    </xf>
    <xf numFmtId="0" fontId="48" fillId="2" borderId="47" xfId="0" applyFont="1" applyFill="1" applyBorder="1" applyAlignment="1">
      <alignment horizontal="center"/>
    </xf>
    <xf numFmtId="0" fontId="34" fillId="20" borderId="47" xfId="0" applyFont="1" applyFill="1" applyBorder="1" applyAlignment="1">
      <alignment horizontal="center"/>
    </xf>
    <xf numFmtId="0" fontId="34" fillId="20" borderId="47" xfId="0" applyFont="1" applyFill="1" applyBorder="1" applyAlignment="1">
      <alignment horizontal="center" wrapText="1"/>
    </xf>
    <xf numFmtId="0" fontId="34" fillId="20" borderId="62" xfId="0" applyFont="1" applyFill="1" applyBorder="1" applyAlignment="1">
      <alignment horizontal="center"/>
    </xf>
    <xf numFmtId="0" fontId="33" fillId="20" borderId="47" xfId="0" applyFont="1" applyFill="1" applyBorder="1"/>
    <xf numFmtId="0" fontId="48" fillId="2" borderId="61" xfId="0" applyFont="1" applyFill="1" applyBorder="1" applyAlignment="1">
      <alignment horizontal="center"/>
    </xf>
    <xf numFmtId="0" fontId="34" fillId="2" borderId="62" xfId="0" applyFont="1" applyFill="1" applyBorder="1" applyAlignment="1">
      <alignment horizontal="center" wrapText="1"/>
    </xf>
    <xf numFmtId="0" fontId="33" fillId="0" borderId="46" xfId="0" applyFont="1" applyBorder="1" applyAlignment="1">
      <alignment horizontal="center"/>
    </xf>
    <xf numFmtId="0" fontId="49" fillId="0" borderId="46" xfId="0" applyFont="1" applyBorder="1" applyAlignment="1">
      <alignment horizontal="center"/>
    </xf>
    <xf numFmtId="0" fontId="34" fillId="0" borderId="60" xfId="0" applyFont="1" applyBorder="1" applyAlignment="1">
      <alignment horizontal="center" wrapText="1"/>
    </xf>
    <xf numFmtId="3" fontId="34" fillId="0" borderId="47" xfId="0" applyNumberFormat="1" applyFont="1" applyBorder="1" applyAlignment="1">
      <alignment horizontal="center" wrapText="1"/>
    </xf>
    <xf numFmtId="0" fontId="48" fillId="2" borderId="63" xfId="0" applyFont="1" applyFill="1" applyBorder="1" applyAlignment="1">
      <alignment horizontal="center"/>
    </xf>
    <xf numFmtId="0" fontId="50" fillId="0" borderId="47" xfId="0" applyFont="1" applyBorder="1" applyAlignment="1">
      <alignment horizontal="center"/>
    </xf>
    <xf numFmtId="0" fontId="47" fillId="0" borderId="47" xfId="0" applyFont="1" applyBorder="1" applyAlignment="1">
      <alignment horizontal="center" wrapText="1"/>
    </xf>
    <xf numFmtId="0" fontId="41" fillId="2" borderId="58" xfId="0" applyFont="1" applyFill="1" applyBorder="1" applyAlignment="1">
      <alignment horizontal="center"/>
    </xf>
    <xf numFmtId="0" fontId="47" fillId="0" borderId="60" xfId="0" applyFont="1" applyBorder="1" applyAlignment="1">
      <alignment horizontal="center" wrapText="1"/>
    </xf>
    <xf numFmtId="0" fontId="32" fillId="11" borderId="47" xfId="0" applyFont="1" applyFill="1" applyBorder="1" applyAlignment="1">
      <alignment horizontal="center" wrapText="1"/>
    </xf>
    <xf numFmtId="0" fontId="37" fillId="11" borderId="47" xfId="0" applyFont="1" applyFill="1" applyBorder="1" applyAlignment="1">
      <alignment horizontal="center" wrapText="1"/>
    </xf>
    <xf numFmtId="0" fontId="36" fillId="0" borderId="0" xfId="0" applyFont="1" applyAlignment="1">
      <alignment horizontal="center" wrapText="1"/>
    </xf>
    <xf numFmtId="0" fontId="33" fillId="0" borderId="47" xfId="0" applyFont="1" applyBorder="1" applyAlignment="1">
      <alignment horizontal="center" wrapText="1"/>
    </xf>
    <xf numFmtId="0" fontId="36" fillId="0" borderId="47" xfId="0" applyFont="1" applyBorder="1" applyAlignment="1">
      <alignment horizontal="center" wrapText="1"/>
    </xf>
    <xf numFmtId="0" fontId="36" fillId="0" borderId="0" xfId="0" applyFont="1"/>
    <xf numFmtId="10" fontId="36" fillId="0" borderId="0" xfId="0" applyNumberFormat="1" applyFont="1"/>
    <xf numFmtId="0" fontId="36" fillId="0" borderId="0" xfId="0" applyFont="1" applyAlignment="1">
      <alignment horizontal="center"/>
    </xf>
    <xf numFmtId="10" fontId="36" fillId="0" borderId="0" xfId="0" applyNumberFormat="1" applyFont="1" applyAlignment="1">
      <alignment horizontal="center"/>
    </xf>
    <xf numFmtId="0" fontId="51" fillId="9" borderId="47" xfId="0" applyFont="1" applyFill="1" applyBorder="1" applyAlignment="1">
      <alignment horizontal="center" vertical="center" wrapText="1"/>
    </xf>
    <xf numFmtId="0" fontId="41" fillId="2" borderId="0" xfId="0" applyFont="1" applyFill="1"/>
    <xf numFmtId="0" fontId="32" fillId="0" borderId="47" xfId="0" applyFont="1" applyBorder="1" applyAlignment="1">
      <alignment horizontal="center"/>
    </xf>
    <xf numFmtId="0" fontId="32" fillId="0" borderId="45" xfId="0" applyFont="1" applyBorder="1" applyAlignment="1">
      <alignment horizontal="center"/>
    </xf>
    <xf numFmtId="0" fontId="32" fillId="22" borderId="47" xfId="0" applyFont="1" applyFill="1" applyBorder="1" applyAlignment="1">
      <alignment horizontal="center"/>
    </xf>
    <xf numFmtId="0" fontId="32" fillId="23" borderId="47" xfId="0" applyFont="1" applyFill="1" applyBorder="1" applyAlignment="1">
      <alignment horizontal="center"/>
    </xf>
    <xf numFmtId="0" fontId="32" fillId="24" borderId="43" xfId="0" applyFont="1" applyFill="1" applyBorder="1" applyAlignment="1">
      <alignment horizontal="center"/>
    </xf>
    <xf numFmtId="0" fontId="32" fillId="9" borderId="74" xfId="0" applyFont="1" applyFill="1" applyBorder="1" applyAlignment="1">
      <alignment horizontal="center"/>
    </xf>
    <xf numFmtId="0" fontId="32" fillId="25" borderId="47" xfId="0" applyFont="1" applyFill="1" applyBorder="1" applyAlignment="1">
      <alignment horizontal="center"/>
    </xf>
    <xf numFmtId="0" fontId="32" fillId="15" borderId="47" xfId="0" applyFont="1" applyFill="1" applyBorder="1" applyAlignment="1">
      <alignment horizontal="center"/>
    </xf>
    <xf numFmtId="0" fontId="32" fillId="26" borderId="47" xfId="0" applyFont="1" applyFill="1" applyBorder="1" applyAlignment="1">
      <alignment horizontal="center"/>
    </xf>
    <xf numFmtId="0" fontId="32" fillId="24" borderId="48" xfId="0" applyFont="1" applyFill="1" applyBorder="1" applyAlignment="1">
      <alignment horizontal="center"/>
    </xf>
    <xf numFmtId="0" fontId="32" fillId="9" borderId="45" xfId="0" applyFont="1" applyFill="1" applyBorder="1" applyAlignment="1">
      <alignment horizontal="center"/>
    </xf>
    <xf numFmtId="0" fontId="33" fillId="0" borderId="45" xfId="0" applyFont="1" applyBorder="1" applyAlignment="1">
      <alignment horizontal="right"/>
    </xf>
    <xf numFmtId="0" fontId="33" fillId="0" borderId="47" xfId="0" applyFont="1" applyBorder="1" applyAlignment="1">
      <alignment horizontal="right"/>
    </xf>
    <xf numFmtId="0" fontId="33" fillId="0" borderId="43" xfId="0" applyFont="1" applyBorder="1" applyAlignment="1">
      <alignment horizontal="right"/>
    </xf>
    <xf numFmtId="0" fontId="33" fillId="0" borderId="74" xfId="0" applyFont="1" applyBorder="1" applyAlignment="1">
      <alignment horizontal="right"/>
    </xf>
    <xf numFmtId="0" fontId="33" fillId="0" borderId="48" xfId="0" applyFont="1" applyBorder="1" applyAlignment="1">
      <alignment horizontal="right"/>
    </xf>
    <xf numFmtId="0" fontId="33" fillId="0" borderId="74" xfId="0" applyFont="1" applyBorder="1" applyAlignment="1">
      <alignment horizontal="center"/>
    </xf>
    <xf numFmtId="0" fontId="33" fillId="0" borderId="47" xfId="0" applyFont="1" applyBorder="1" applyAlignment="1">
      <alignment horizontal="center"/>
    </xf>
    <xf numFmtId="0" fontId="33" fillId="0" borderId="48" xfId="0" applyFont="1" applyBorder="1" applyAlignment="1">
      <alignment horizontal="center"/>
    </xf>
    <xf numFmtId="0" fontId="35" fillId="2" borderId="58" xfId="0" applyFont="1" applyFill="1" applyBorder="1"/>
    <xf numFmtId="0" fontId="33" fillId="0" borderId="47" xfId="0" applyFont="1" applyBorder="1" applyAlignment="1">
      <alignment wrapText="1"/>
    </xf>
    <xf numFmtId="0" fontId="33" fillId="0" borderId="75" xfId="0" applyFont="1" applyBorder="1" applyAlignment="1">
      <alignment horizontal="right"/>
    </xf>
    <xf numFmtId="0" fontId="33" fillId="0" borderId="76" xfId="0" applyFont="1" applyBorder="1" applyAlignment="1">
      <alignment horizontal="right"/>
    </xf>
    <xf numFmtId="0" fontId="33" fillId="0" borderId="77" xfId="0" applyFont="1" applyBorder="1" applyAlignment="1">
      <alignment horizontal="right"/>
    </xf>
    <xf numFmtId="0" fontId="33" fillId="0" borderId="78" xfId="0" applyFont="1" applyBorder="1" applyAlignment="1">
      <alignment horizontal="right"/>
    </xf>
    <xf numFmtId="0" fontId="33" fillId="0" borderId="79" xfId="0" applyFont="1" applyBorder="1" applyAlignment="1">
      <alignment horizontal="right"/>
    </xf>
    <xf numFmtId="0" fontId="33" fillId="0" borderId="0" xfId="0" applyFont="1" applyAlignment="1">
      <alignment horizontal="right"/>
    </xf>
    <xf numFmtId="0" fontId="4" fillId="0" borderId="13" xfId="0" applyFont="1" applyBorder="1" applyAlignment="1">
      <alignment horizontal="center" vertical="center" wrapText="1"/>
    </xf>
    <xf numFmtId="0" fontId="3" fillId="0" borderId="15" xfId="0" applyFont="1" applyBorder="1"/>
    <xf numFmtId="0" fontId="4" fillId="2" borderId="22" xfId="0" applyFont="1" applyFill="1" applyBorder="1" applyAlignment="1">
      <alignment horizontal="left" vertical="center" wrapText="1"/>
    </xf>
    <xf numFmtId="0" fontId="3" fillId="0" borderId="22" xfId="0" applyFont="1" applyBorder="1"/>
    <xf numFmtId="0" fontId="3" fillId="0" borderId="23" xfId="0" applyFont="1" applyBorder="1"/>
    <xf numFmtId="0" fontId="0" fillId="0" borderId="0" xfId="0"/>
    <xf numFmtId="0" fontId="3" fillId="0" borderId="6" xfId="0" applyFont="1" applyBorder="1"/>
    <xf numFmtId="0" fontId="3" fillId="0" borderId="29" xfId="0" applyFont="1" applyBorder="1"/>
    <xf numFmtId="0" fontId="3" fillId="0" borderId="30" xfId="0" applyFont="1" applyBorder="1"/>
    <xf numFmtId="0" fontId="5" fillId="7" borderId="13" xfId="0" applyFont="1" applyFill="1" applyBorder="1" applyAlignment="1">
      <alignment horizontal="center" vertical="center" wrapText="1"/>
    </xf>
    <xf numFmtId="0" fontId="5" fillId="0" borderId="16" xfId="0" applyFont="1" applyBorder="1" applyAlignment="1">
      <alignment horizontal="center" vertical="center" wrapText="1"/>
    </xf>
    <xf numFmtId="0" fontId="3" fillId="0" borderId="17" xfId="0" applyFont="1" applyBorder="1"/>
    <xf numFmtId="3" fontId="4" fillId="0" borderId="13" xfId="0" applyNumberFormat="1" applyFont="1" applyBorder="1" applyAlignment="1">
      <alignment horizontal="center" vertical="center" wrapText="1"/>
    </xf>
    <xf numFmtId="3" fontId="19" fillId="0" borderId="13" xfId="0" applyNumberFormat="1" applyFont="1" applyBorder="1" applyAlignment="1">
      <alignment horizontal="center"/>
    </xf>
    <xf numFmtId="0" fontId="4" fillId="0" borderId="14" xfId="0" applyFont="1" applyBorder="1" applyAlignment="1">
      <alignment horizontal="center" vertical="center" wrapText="1"/>
    </xf>
    <xf numFmtId="0" fontId="5" fillId="10" borderId="14" xfId="0" applyFont="1" applyFill="1" applyBorder="1" applyAlignment="1">
      <alignment horizontal="center" vertical="center" wrapText="1"/>
    </xf>
    <xf numFmtId="0" fontId="3" fillId="0" borderId="14" xfId="0" applyFont="1" applyBorder="1"/>
    <xf numFmtId="10" fontId="4" fillId="0" borderId="0" xfId="0" applyNumberFormat="1" applyFont="1" applyAlignment="1">
      <alignment horizontal="left" vertical="center" wrapText="1"/>
    </xf>
    <xf numFmtId="0" fontId="29" fillId="8" borderId="31" xfId="0" applyFont="1" applyFill="1" applyBorder="1" applyAlignment="1">
      <alignment horizontal="center" vertical="center" wrapText="1"/>
    </xf>
    <xf numFmtId="0" fontId="3" fillId="0" borderId="32" xfId="0" applyFont="1" applyBorder="1"/>
    <xf numFmtId="0" fontId="3" fillId="0" borderId="33" xfId="0" applyFont="1" applyBorder="1"/>
    <xf numFmtId="0" fontId="3" fillId="0" borderId="5" xfId="0" applyFont="1" applyBorder="1"/>
    <xf numFmtId="0" fontId="30" fillId="11" borderId="31" xfId="0" applyFont="1" applyFill="1" applyBorder="1" applyAlignment="1">
      <alignment horizontal="center" vertical="center" wrapText="1"/>
    </xf>
    <xf numFmtId="0" fontId="29" fillId="11" borderId="32" xfId="0" applyFont="1" applyFill="1" applyBorder="1" applyAlignment="1">
      <alignment horizontal="center" vertical="center" wrapText="1"/>
    </xf>
    <xf numFmtId="0" fontId="5" fillId="9" borderId="41" xfId="0" applyFont="1" applyFill="1" applyBorder="1" applyAlignment="1">
      <alignment horizontal="center" vertical="center" wrapText="1"/>
    </xf>
    <xf numFmtId="0" fontId="3" fillId="0" borderId="42" xfId="0" applyFont="1" applyBorder="1"/>
    <xf numFmtId="0" fontId="5" fillId="9" borderId="43" xfId="0" applyFont="1" applyFill="1" applyBorder="1" applyAlignment="1">
      <alignment horizontal="center" vertical="center" wrapText="1"/>
    </xf>
    <xf numFmtId="0" fontId="3" fillId="0" borderId="44" xfId="0" applyFont="1" applyBorder="1"/>
    <xf numFmtId="0" fontId="4" fillId="0" borderId="5" xfId="0" applyFont="1" applyBorder="1" applyAlignment="1">
      <alignment horizontal="left" vertical="center" wrapText="1"/>
    </xf>
    <xf numFmtId="0" fontId="3" fillId="0" borderId="34" xfId="0" applyFont="1" applyBorder="1"/>
    <xf numFmtId="0" fontId="3" fillId="0" borderId="7" xfId="0" applyFont="1" applyBorder="1"/>
    <xf numFmtId="0" fontId="3" fillId="0" borderId="35" xfId="0" applyFont="1" applyBorder="1"/>
    <xf numFmtId="0" fontId="3" fillId="0" borderId="46" xfId="0" applyFont="1" applyBorder="1"/>
    <xf numFmtId="0" fontId="4" fillId="0" borderId="43" xfId="0" applyFont="1" applyBorder="1" applyAlignment="1">
      <alignment horizontal="center" vertical="center" wrapText="1"/>
    </xf>
    <xf numFmtId="0" fontId="24" fillId="8" borderId="43" xfId="0" applyFont="1" applyFill="1" applyBorder="1" applyAlignment="1">
      <alignment horizontal="center" vertical="center" wrapText="1"/>
    </xf>
    <xf numFmtId="0" fontId="3" fillId="0" borderId="53" xfId="0" applyFont="1" applyBorder="1"/>
    <xf numFmtId="0" fontId="3" fillId="0" borderId="54" xfId="0" applyFont="1" applyBorder="1"/>
    <xf numFmtId="0" fontId="4" fillId="0" borderId="49" xfId="0" applyFont="1" applyBorder="1" applyAlignment="1">
      <alignment horizontal="left" vertical="center" wrapText="1"/>
    </xf>
    <xf numFmtId="0" fontId="3" fillId="0" borderId="50" xfId="0" applyFont="1" applyBorder="1"/>
    <xf numFmtId="0" fontId="3" fillId="0" borderId="51" xfId="0" applyFont="1" applyBorder="1"/>
    <xf numFmtId="0" fontId="3" fillId="0" borderId="52" xfId="0" applyFont="1" applyBorder="1"/>
    <xf numFmtId="0" fontId="3" fillId="0" borderId="55" xfId="0" applyFont="1" applyBorder="1"/>
    <xf numFmtId="0" fontId="3" fillId="0" borderId="56" xfId="0" applyFont="1" applyBorder="1"/>
    <xf numFmtId="0" fontId="4" fillId="0" borderId="0" xfId="0" applyFont="1" applyAlignment="1">
      <alignment horizontal="left" vertical="center" wrapText="1"/>
    </xf>
    <xf numFmtId="0" fontId="3" fillId="0" borderId="57" xfId="0" applyFont="1" applyBorder="1"/>
    <xf numFmtId="0" fontId="31" fillId="9" borderId="34" xfId="0" applyFont="1" applyFill="1" applyBorder="1" applyAlignment="1">
      <alignment horizontal="center" vertical="center" wrapText="1"/>
    </xf>
    <xf numFmtId="0" fontId="24" fillId="8" borderId="4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4" borderId="0" xfId="0" applyFont="1" applyFill="1" applyAlignment="1">
      <alignment horizontal="center" vertical="center" wrapText="1"/>
    </xf>
    <xf numFmtId="0" fontId="8" fillId="4" borderId="0" xfId="0" applyFont="1" applyFill="1" applyAlignment="1">
      <alignment horizontal="center" vertical="center" wrapText="1"/>
    </xf>
    <xf numFmtId="0" fontId="12" fillId="5" borderId="8" xfId="0" applyFont="1" applyFill="1" applyBorder="1" applyAlignment="1">
      <alignment horizontal="center" vertical="center" wrapText="1"/>
    </xf>
    <xf numFmtId="0" fontId="3" fillId="0" borderId="9" xfId="0" applyFont="1" applyBorder="1"/>
    <xf numFmtId="0" fontId="13" fillId="5" borderId="9" xfId="0" applyFont="1" applyFill="1" applyBorder="1" applyAlignment="1">
      <alignment horizontal="center" vertical="center" wrapText="1"/>
    </xf>
    <xf numFmtId="0" fontId="3" fillId="0" borderId="10" xfId="0" applyFont="1" applyBorder="1"/>
    <xf numFmtId="0" fontId="3" fillId="0" borderId="12" xfId="0" applyFont="1" applyBorder="1"/>
    <xf numFmtId="0" fontId="14" fillId="5"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3" fillId="0" borderId="11" xfId="0" applyFont="1" applyBorder="1"/>
    <xf numFmtId="0" fontId="17" fillId="6" borderId="2"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0" borderId="19" xfId="0" applyFont="1" applyBorder="1" applyAlignment="1">
      <alignment horizontal="center" vertical="center" wrapText="1"/>
    </xf>
    <xf numFmtId="0" fontId="3" fillId="0" borderId="20" xfId="0" applyFont="1" applyBorder="1"/>
    <xf numFmtId="0" fontId="3" fillId="0" borderId="24" xfId="0" applyFont="1" applyBorder="1"/>
    <xf numFmtId="0" fontId="3" fillId="0" borderId="26" xfId="0" applyFont="1" applyBorder="1"/>
    <xf numFmtId="0" fontId="3" fillId="0" borderId="27" xfId="0" applyFont="1" applyBorder="1"/>
    <xf numFmtId="0" fontId="4" fillId="0" borderId="21" xfId="0" applyFont="1" applyBorder="1" applyAlignment="1">
      <alignment horizontal="left" vertical="center" wrapText="1"/>
    </xf>
    <xf numFmtId="0" fontId="3" fillId="0" borderId="25" xfId="0" applyFont="1" applyBorder="1"/>
    <xf numFmtId="0" fontId="3" fillId="0" borderId="28" xfId="0" applyFont="1" applyBorder="1"/>
    <xf numFmtId="0" fontId="5" fillId="10" borderId="26" xfId="0" applyFont="1" applyFill="1" applyBorder="1" applyAlignment="1">
      <alignment horizontal="center" vertical="center" wrapText="1"/>
    </xf>
    <xf numFmtId="0" fontId="4" fillId="0" borderId="31" xfId="0" applyFont="1" applyBorder="1" applyAlignment="1">
      <alignment horizontal="left" vertical="center" wrapText="1"/>
    </xf>
    <xf numFmtId="0" fontId="21" fillId="8" borderId="31" xfId="0" applyFont="1" applyFill="1" applyBorder="1" applyAlignment="1">
      <alignment horizontal="center" vertical="center" wrapText="1"/>
    </xf>
    <xf numFmtId="0" fontId="5" fillId="10" borderId="29" xfId="0" applyFont="1" applyFill="1" applyBorder="1" applyAlignment="1">
      <alignment horizontal="center" vertical="center" wrapText="1"/>
    </xf>
    <xf numFmtId="0" fontId="5" fillId="5" borderId="43" xfId="0" applyFont="1" applyFill="1" applyBorder="1" applyAlignment="1">
      <alignment horizontal="center" vertical="center" wrapText="1"/>
    </xf>
    <xf numFmtId="0" fontId="51" fillId="3" borderId="43" xfId="0" applyFont="1" applyFill="1" applyBorder="1" applyAlignment="1">
      <alignment horizontal="center" vertical="center" wrapText="1"/>
    </xf>
    <xf numFmtId="0" fontId="24" fillId="3" borderId="43" xfId="0" applyFont="1" applyFill="1" applyBorder="1" applyAlignment="1">
      <alignment horizontal="center" vertical="center" wrapText="1"/>
    </xf>
    <xf numFmtId="0" fontId="51" fillId="9" borderId="43" xfId="0" applyFont="1" applyFill="1" applyBorder="1" applyAlignment="1">
      <alignment horizontal="center" vertical="center" wrapText="1"/>
    </xf>
    <xf numFmtId="0" fontId="4" fillId="0" borderId="64" xfId="0" applyFont="1" applyBorder="1" applyAlignment="1">
      <alignment horizontal="center" vertical="center" wrapText="1"/>
    </xf>
    <xf numFmtId="0" fontId="3" fillId="0" borderId="65" xfId="0" applyFont="1" applyBorder="1"/>
    <xf numFmtId="0" fontId="3" fillId="0" borderId="60" xfId="0" applyFont="1" applyBorder="1"/>
    <xf numFmtId="0" fontId="52" fillId="21" borderId="66" xfId="0" applyFont="1" applyFill="1" applyBorder="1" applyAlignment="1">
      <alignment horizontal="center"/>
    </xf>
    <xf numFmtId="0" fontId="3" fillId="0" borderId="67" xfId="0" applyFont="1" applyBorder="1"/>
    <xf numFmtId="0" fontId="3" fillId="0" borderId="68" xfId="0" applyFont="1" applyBorder="1"/>
    <xf numFmtId="0" fontId="53" fillId="4" borderId="69" xfId="0" applyFont="1" applyFill="1" applyBorder="1" applyAlignment="1">
      <alignment horizontal="center"/>
    </xf>
    <xf numFmtId="0" fontId="3" fillId="0" borderId="70" xfId="0" applyFont="1" applyBorder="1"/>
    <xf numFmtId="0" fontId="53" fillId="4" borderId="71" xfId="0" applyFont="1" applyFill="1" applyBorder="1" applyAlignment="1">
      <alignment horizontal="center"/>
    </xf>
    <xf numFmtId="0" fontId="3" fillId="0" borderId="72" xfId="0" applyFont="1" applyBorder="1"/>
    <xf numFmtId="0" fontId="3" fillId="0" borderId="73" xfId="0" applyFont="1" applyBorder="1"/>
  </cellXfs>
  <cellStyles count="1">
    <cellStyle name="Normal" xfId="0" builtinId="0"/>
  </cellStyles>
  <dxfs count="5">
    <dxf>
      <font>
        <color rgb="FFFFFFFF"/>
      </font>
      <fill>
        <patternFill patternType="solid">
          <fgColor rgb="FFCC0000"/>
          <bgColor rgb="FFCC0000"/>
        </patternFill>
      </fill>
    </dxf>
    <dxf>
      <font>
        <color rgb="FFFFFFFF"/>
      </font>
      <fill>
        <patternFill patternType="solid">
          <fgColor rgb="FF93C47D"/>
          <bgColor rgb="FF93C47D"/>
        </patternFill>
      </fill>
    </dxf>
    <dxf>
      <font>
        <color rgb="FFFFFFFF"/>
      </font>
      <fill>
        <patternFill patternType="solid">
          <fgColor rgb="FFFF9900"/>
          <bgColor rgb="FFFF9900"/>
        </patternFill>
      </fill>
    </dxf>
    <dxf>
      <font>
        <color rgb="FF000000"/>
      </font>
      <fill>
        <patternFill patternType="solid">
          <fgColor rgb="FFFFFF00"/>
          <bgColor rgb="FFFFFF00"/>
        </patternFill>
      </fill>
    </dxf>
    <dxf>
      <font>
        <color rgb="FF0B5394"/>
      </font>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mn-lt"/>
              </a:defRPr>
            </a:pPr>
            <a:r>
              <a:rPr lang="en-IN" sz="1600" b="1">
                <a:solidFill>
                  <a:srgbClr val="000000"/>
                </a:solidFill>
                <a:latin typeface="+mn-lt"/>
              </a:rPr>
              <a:t>Assembly Elections - TDP Vs YSRCP</a:t>
            </a:r>
          </a:p>
        </c:rich>
      </c:tx>
      <c:overlay val="0"/>
    </c:title>
    <c:autoTitleDeleted val="0"/>
    <c:plotArea>
      <c:layout/>
      <c:barChart>
        <c:barDir val="col"/>
        <c:grouping val="clustered"/>
        <c:varyColors val="1"/>
        <c:ser>
          <c:idx val="0"/>
          <c:order val="0"/>
          <c:tx>
            <c:strRef>
              <c:f>'village-reports'!$X$1</c:f>
              <c:strCache>
                <c:ptCount val="1"/>
                <c:pt idx="0">
                  <c:v>TDP</c:v>
                </c:pt>
              </c:strCache>
            </c:strRef>
          </c:tx>
          <c:spPr>
            <a:solidFill>
              <a:srgbClr val="FFD966"/>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'village-reports'!$W$2:$W$4</c:f>
              <c:numCache>
                <c:formatCode>General</c:formatCode>
                <c:ptCount val="3"/>
                <c:pt idx="0">
                  <c:v>2024</c:v>
                </c:pt>
                <c:pt idx="1">
                  <c:v>2019</c:v>
                </c:pt>
                <c:pt idx="2">
                  <c:v>2014</c:v>
                </c:pt>
              </c:numCache>
            </c:numRef>
          </c:cat>
          <c:val>
            <c:numRef>
              <c:f>'village-reports'!$X$2:$X$4</c:f>
              <c:numCache>
                <c:formatCode>0.00%</c:formatCode>
                <c:ptCount val="3"/>
                <c:pt idx="0" formatCode="General">
                  <c:v>0</c:v>
                </c:pt>
                <c:pt idx="1">
                  <c:v>0.54149377590000003</c:v>
                </c:pt>
                <c:pt idx="2">
                  <c:v>0.44239631340000002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5F-43F9-A82D-3BB988CD961D}"/>
            </c:ext>
          </c:extLst>
        </c:ser>
        <c:ser>
          <c:idx val="1"/>
          <c:order val="1"/>
          <c:tx>
            <c:strRef>
              <c:f>'village-reports'!$Y$1</c:f>
              <c:strCache>
                <c:ptCount val="1"/>
                <c:pt idx="0">
                  <c:v>YSRCP</c:v>
                </c:pt>
              </c:strCache>
            </c:strRef>
          </c:tx>
          <c:spPr>
            <a:solidFill>
              <a:srgbClr val="3D85C6"/>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'village-reports'!$W$2:$W$4</c:f>
              <c:numCache>
                <c:formatCode>General</c:formatCode>
                <c:ptCount val="3"/>
                <c:pt idx="0">
                  <c:v>2024</c:v>
                </c:pt>
                <c:pt idx="1">
                  <c:v>2019</c:v>
                </c:pt>
                <c:pt idx="2">
                  <c:v>2014</c:v>
                </c:pt>
              </c:numCache>
            </c:numRef>
          </c:cat>
          <c:val>
            <c:numRef>
              <c:f>'village-reports'!$Y$2:$Y$4</c:f>
              <c:numCache>
                <c:formatCode>0.00%</c:formatCode>
                <c:ptCount val="3"/>
                <c:pt idx="0" formatCode="General">
                  <c:v>0</c:v>
                </c:pt>
                <c:pt idx="1">
                  <c:v>0.34439834019999999</c:v>
                </c:pt>
                <c:pt idx="2">
                  <c:v>9.9078341010000001E-2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5F-43F9-A82D-3BB988CD961D}"/>
            </c:ext>
          </c:extLst>
        </c:ser>
        <c:ser>
          <c:idx val="2"/>
          <c:order val="2"/>
          <c:tx>
            <c:strRef>
              <c:f>'village-reports'!$Z$1</c:f>
              <c:strCache>
                <c:ptCount val="1"/>
                <c:pt idx="0">
                  <c:v>JSP</c:v>
                </c:pt>
              </c:strCache>
            </c:strRef>
          </c:tx>
          <c:spPr>
            <a:solidFill>
              <a:srgbClr val="CC0000"/>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'village-reports'!$W$2:$W$4</c:f>
              <c:numCache>
                <c:formatCode>General</c:formatCode>
                <c:ptCount val="3"/>
                <c:pt idx="0">
                  <c:v>2024</c:v>
                </c:pt>
                <c:pt idx="1">
                  <c:v>2019</c:v>
                </c:pt>
                <c:pt idx="2">
                  <c:v>2014</c:v>
                </c:pt>
              </c:numCache>
            </c:numRef>
          </c:cat>
          <c:val>
            <c:numRef>
              <c:f>'village-reports'!$Z$2:$Z$4</c:f>
              <c:numCache>
                <c:formatCode>0.00%</c:formatCode>
                <c:ptCount val="3"/>
                <c:pt idx="0" formatCode="General">
                  <c:v>0</c:v>
                </c:pt>
                <c:pt idx="1">
                  <c:v>1.0373443980000001E-2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5F-43F9-A82D-3BB988CD961D}"/>
            </c:ext>
          </c:extLst>
        </c:ser>
        <c:dLbls>
          <c:showLegendKey val="0"/>
          <c:showVal val="0"/>
          <c:showCatName val="0"/>
          <c:showSerName val="0"/>
          <c:showPercent val="0"/>
          <c:showBubbleSize val="0"/>
        </c:dLbls>
        <c:gapWidth val="150"/>
        <c:axId val="786063564"/>
        <c:axId val="524596880"/>
      </c:barChart>
      <c:catAx>
        <c:axId val="786063564"/>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524596880"/>
        <c:crosses val="autoZero"/>
        <c:auto val="1"/>
        <c:lblAlgn val="ctr"/>
        <c:lblOffset val="100"/>
        <c:noMultiLvlLbl val="1"/>
      </c:catAx>
      <c:valAx>
        <c:axId val="524596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endParaRPr lang="en-US"/>
          </a:p>
        </c:txPr>
        <c:crossAx val="78606356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19050</xdr:colOff>
      <xdr:row>22</xdr:row>
      <xdr:rowOff>190500</xdr:rowOff>
    </xdr:from>
    <xdr:ext cx="3781425" cy="18002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00"/>
  <sheetViews>
    <sheetView showGridLines="0" tabSelected="1" topLeftCell="D7" workbookViewId="0">
      <selection activeCell="J4" sqref="J4:K5"/>
    </sheetView>
  </sheetViews>
  <sheetFormatPr defaultColWidth="12.59765625" defaultRowHeight="15.75" customHeight="1"/>
  <sheetData>
    <row r="1" spans="1:27" ht="24.75">
      <c r="A1" s="1"/>
      <c r="B1" s="218" t="e">
        <f ca="1">_xludf.textjoin("",TRUE,"Panchayat Report: ",J4,", ",G4, " Mandal")</f>
        <v>#NAME?</v>
      </c>
      <c r="C1" s="219"/>
      <c r="D1" s="219"/>
      <c r="E1" s="219"/>
      <c r="F1" s="219"/>
      <c r="G1" s="219"/>
      <c r="H1" s="219"/>
      <c r="I1" s="219"/>
      <c r="J1" s="219"/>
      <c r="K1" s="219"/>
      <c r="L1" s="219"/>
      <c r="M1" s="220"/>
      <c r="N1" s="2"/>
      <c r="O1" s="2"/>
      <c r="P1" s="2"/>
      <c r="Q1" s="2"/>
      <c r="R1" s="2"/>
      <c r="S1" s="2" t="s">
        <v>0</v>
      </c>
      <c r="T1" s="2" t="s">
        <v>1</v>
      </c>
      <c r="U1" s="2" t="s">
        <v>2</v>
      </c>
      <c r="V1" s="2"/>
      <c r="W1" s="3" t="s">
        <v>3</v>
      </c>
      <c r="X1" s="3" t="s">
        <v>4</v>
      </c>
      <c r="Y1" s="3" t="s">
        <v>5</v>
      </c>
      <c r="Z1" s="4" t="s">
        <v>6</v>
      </c>
      <c r="AA1" s="2"/>
    </row>
    <row r="2" spans="1:27" ht="24.75">
      <c r="A2" s="1"/>
      <c r="B2" s="192"/>
      <c r="C2" s="176"/>
      <c r="D2" s="176"/>
      <c r="E2" s="176"/>
      <c r="F2" s="176"/>
      <c r="G2" s="176"/>
      <c r="H2" s="176"/>
      <c r="I2" s="176"/>
      <c r="J2" s="176"/>
      <c r="K2" s="176"/>
      <c r="L2" s="176"/>
      <c r="M2" s="177"/>
      <c r="N2" s="2"/>
      <c r="O2" s="2"/>
      <c r="P2" s="2"/>
      <c r="Q2" s="2"/>
      <c r="R2" s="2"/>
      <c r="S2" s="2" t="s">
        <v>7</v>
      </c>
      <c r="T2" s="2" t="str">
        <f ca="1">IFERROR(__xludf.DUMMYFUNCTION("unique(filter('Back End'!B:B,'Back End'!A:A=D4))"),"Prathipadu")</f>
        <v>Prathipadu</v>
      </c>
      <c r="U2" s="2" t="str">
        <f ca="1">IFERROR(__xludf.DUMMYFUNCTION("unique(filter('Back End'!C:C,'Back End'!A:A=D4,'Back End'!B:B=G4))"),"Bavuruvaka")</f>
        <v>Bavuruvaka</v>
      </c>
      <c r="V2" s="2"/>
      <c r="W2" s="3">
        <v>2024</v>
      </c>
      <c r="X2" s="3" t="str">
        <f t="shared" ref="X2:Z2" ca="1" si="0">C24</f>
        <v>#N/A</v>
      </c>
      <c r="Y2" s="3">
        <f t="shared" si="0"/>
        <v>0</v>
      </c>
      <c r="Z2" s="3">
        <f t="shared" si="0"/>
        <v>0</v>
      </c>
      <c r="AA2" s="2"/>
    </row>
    <row r="3" spans="1:27" ht="24.75">
      <c r="A3" s="1"/>
      <c r="B3" s="192"/>
      <c r="C3" s="176"/>
      <c r="D3" s="176"/>
      <c r="E3" s="176"/>
      <c r="F3" s="176"/>
      <c r="G3" s="176"/>
      <c r="H3" s="176"/>
      <c r="I3" s="176"/>
      <c r="J3" s="176"/>
      <c r="K3" s="176"/>
      <c r="L3" s="176"/>
      <c r="M3" s="177"/>
      <c r="N3" s="2"/>
      <c r="O3" s="2"/>
      <c r="P3" s="2"/>
      <c r="Q3" s="2"/>
      <c r="R3" s="2"/>
      <c r="S3" s="2" t="s">
        <v>8</v>
      </c>
      <c r="T3" s="2" t="str">
        <f ca="1">IFERROR(__xludf.DUMMYFUNCTION("""COMPUTED_VALUE"""),"Rowthulapudi")</f>
        <v>Rowthulapudi</v>
      </c>
      <c r="U3" s="2" t="str">
        <f ca="1">IFERROR(__xludf.DUMMYFUNCTION("""COMPUTED_VALUE"""),"Buradakota")</f>
        <v>Buradakota</v>
      </c>
      <c r="V3" s="2"/>
      <c r="W3" s="3">
        <v>2019</v>
      </c>
      <c r="X3" s="5">
        <f t="shared" ref="X3:Z3" ca="1" si="1">C26</f>
        <v>0.54149377590000003</v>
      </c>
      <c r="Y3" s="5">
        <f t="shared" ca="1" si="1"/>
        <v>0.34439834019999999</v>
      </c>
      <c r="Z3" s="5">
        <f t="shared" ca="1" si="1"/>
        <v>1.0373443980000001E-2</v>
      </c>
      <c r="AA3" s="2"/>
    </row>
    <row r="4" spans="1:27" ht="15">
      <c r="A4" s="6"/>
      <c r="B4" s="7"/>
      <c r="C4" s="221" t="s">
        <v>0</v>
      </c>
      <c r="D4" s="222" t="s">
        <v>8</v>
      </c>
      <c r="E4" s="176"/>
      <c r="F4" s="221" t="s">
        <v>1</v>
      </c>
      <c r="G4" s="222" t="s">
        <v>8</v>
      </c>
      <c r="H4" s="176"/>
      <c r="I4" s="221" t="s">
        <v>2</v>
      </c>
      <c r="J4" s="222" t="s">
        <v>9</v>
      </c>
      <c r="K4" s="176"/>
      <c r="L4" s="8"/>
      <c r="M4" s="9"/>
      <c r="N4" s="10"/>
      <c r="O4" s="10"/>
      <c r="P4" s="10"/>
      <c r="Q4" s="10"/>
      <c r="R4" s="10"/>
      <c r="S4" s="2" t="s">
        <v>10</v>
      </c>
      <c r="T4" s="2" t="str">
        <f ca="1">IFERROR(__xludf.DUMMYFUNCTION("""COMPUTED_VALUE"""),"Sankhavaram")</f>
        <v>Sankhavaram</v>
      </c>
      <c r="U4" s="2" t="str">
        <f ca="1">IFERROR(__xludf.DUMMYFUNCTION("""COMPUTED_VALUE"""),"Chinasankarlapudi")</f>
        <v>Chinasankarlapudi</v>
      </c>
      <c r="V4" s="10"/>
      <c r="W4" s="3">
        <v>2014</v>
      </c>
      <c r="X4" s="5">
        <f t="shared" ref="X4:Z4" ca="1" si="2">C28</f>
        <v>0.44239631340000002</v>
      </c>
      <c r="Y4" s="5">
        <f t="shared" ca="1" si="2"/>
        <v>9.9078341010000001E-2</v>
      </c>
      <c r="Z4" s="11">
        <f t="shared" ca="1" si="2"/>
        <v>0</v>
      </c>
      <c r="AA4" s="10"/>
    </row>
    <row r="5" spans="1:27" ht="13.15">
      <c r="A5" s="12"/>
      <c r="B5" s="13"/>
      <c r="C5" s="201"/>
      <c r="D5" s="201"/>
      <c r="E5" s="201"/>
      <c r="F5" s="201"/>
      <c r="G5" s="201"/>
      <c r="H5" s="201"/>
      <c r="I5" s="201"/>
      <c r="J5" s="201"/>
      <c r="K5" s="201"/>
      <c r="L5" s="14"/>
      <c r="M5" s="15"/>
      <c r="N5" s="2"/>
      <c r="O5" s="2"/>
      <c r="P5" s="2"/>
      <c r="Q5" s="2"/>
      <c r="R5" s="2"/>
      <c r="S5" s="2" t="s">
        <v>11</v>
      </c>
      <c r="T5" s="2" t="str">
        <f ca="1">IFERROR(__xludf.DUMMYFUNCTION("""COMPUTED_VALUE"""),"Yeleswaram")</f>
        <v>Yeleswaram</v>
      </c>
      <c r="U5" s="2" t="str">
        <f ca="1">IFERROR(__xludf.DUMMYFUNCTION("""COMPUTED_VALUE"""),"Chintaluru")</f>
        <v>Chintaluru</v>
      </c>
      <c r="V5" s="2"/>
      <c r="W5" s="2"/>
      <c r="X5" s="2"/>
      <c r="Y5" s="2"/>
      <c r="Z5" s="2"/>
      <c r="AA5" s="2"/>
    </row>
    <row r="6" spans="1:27" ht="16.5">
      <c r="A6" s="16"/>
      <c r="B6" s="223" t="s">
        <v>12</v>
      </c>
      <c r="C6" s="224"/>
      <c r="D6" s="225" t="str">
        <f ca="1">IFERROR(__xludf.DUMMYFUNCTION("filter(Data!F:F,Data!C:C=G4,Data!D:D=J4)"),"Chinthala Chinnalamma - 9493461257")</f>
        <v>Chinthala Chinnalamma - 9493461257</v>
      </c>
      <c r="E6" s="226"/>
      <c r="F6" s="228" t="s">
        <v>13</v>
      </c>
      <c r="G6" s="224"/>
      <c r="H6" s="228" t="str">
        <f ca="1">IFERROR(__xludf.DUMMYFUNCTION("filter(Data!G:G,Data!C:C=G4,Data!D:D=J4)"),"")</f>
        <v/>
      </c>
      <c r="I6" s="226"/>
      <c r="J6" s="229" t="s">
        <v>14</v>
      </c>
      <c r="K6" s="224"/>
      <c r="L6" s="228" t="str">
        <f ca="1">IFERROR(__xludf.DUMMYFUNCTION("filter(Data!H:H,Data!C:C=G4,Data!D:D=J4)"),"")</f>
        <v/>
      </c>
      <c r="M6" s="230"/>
      <c r="N6" s="17"/>
      <c r="O6" s="17"/>
      <c r="P6" s="17"/>
      <c r="Q6" s="17"/>
      <c r="R6" s="17"/>
      <c r="S6" s="17" t="s">
        <v>15</v>
      </c>
      <c r="T6" s="17" t="str">
        <f ca="1">IFERROR(__xludf.DUMMYFUNCTION("""COMPUTED_VALUE"""),"Yeleswaram Town")</f>
        <v>Yeleswaram Town</v>
      </c>
      <c r="U6" s="2" t="str">
        <f ca="1">IFERROR(__xludf.DUMMYFUNCTION("""COMPUTED_VALUE"""),"Dharmavaram")</f>
        <v>Dharmavaram</v>
      </c>
      <c r="V6" s="17"/>
      <c r="W6" s="17"/>
      <c r="X6" s="17"/>
      <c r="Y6" s="17"/>
      <c r="Z6" s="17"/>
      <c r="AA6" s="17"/>
    </row>
    <row r="7" spans="1:27" ht="16.5">
      <c r="A7" s="16"/>
      <c r="B7" s="192"/>
      <c r="C7" s="176"/>
      <c r="D7" s="176"/>
      <c r="E7" s="227"/>
      <c r="F7" s="176"/>
      <c r="G7" s="176"/>
      <c r="H7" s="176"/>
      <c r="I7" s="227"/>
      <c r="J7" s="176"/>
      <c r="K7" s="176"/>
      <c r="L7" s="176"/>
      <c r="M7" s="177"/>
      <c r="N7" s="17"/>
      <c r="O7" s="17"/>
      <c r="P7" s="17"/>
      <c r="Q7" s="17"/>
      <c r="R7" s="17"/>
      <c r="S7" s="17" t="s">
        <v>16</v>
      </c>
      <c r="T7" s="17"/>
      <c r="U7" s="17" t="str">
        <f ca="1">IFERROR(__xludf.DUMMYFUNCTION("""COMPUTED_VALUE"""),"Gajjanapudi")</f>
        <v>Gajjanapudi</v>
      </c>
      <c r="V7" s="17"/>
      <c r="W7" s="17"/>
      <c r="X7" s="17"/>
      <c r="Y7" s="17"/>
      <c r="Z7" s="17"/>
      <c r="AA7" s="17"/>
    </row>
    <row r="8" spans="1:27" ht="19.899999999999999">
      <c r="A8" s="18"/>
      <c r="B8" s="232" t="s">
        <v>17</v>
      </c>
      <c r="C8" s="219"/>
      <c r="D8" s="219"/>
      <c r="E8" s="219"/>
      <c r="F8" s="219"/>
      <c r="G8" s="220"/>
      <c r="H8" s="231" t="s">
        <v>18</v>
      </c>
      <c r="I8" s="219"/>
      <c r="J8" s="219"/>
      <c r="K8" s="219"/>
      <c r="L8" s="219"/>
      <c r="M8" s="220"/>
      <c r="N8" s="2"/>
      <c r="O8" s="2"/>
      <c r="P8" s="2"/>
      <c r="Q8" s="2"/>
      <c r="R8" s="2"/>
      <c r="S8" s="2" t="s">
        <v>19</v>
      </c>
      <c r="T8" s="2"/>
      <c r="U8" s="2" t="str">
        <f ca="1">IFERROR(__xludf.DUMMYFUNCTION("""COMPUTED_VALUE"""),"Gokavaram")</f>
        <v>Gokavaram</v>
      </c>
      <c r="V8" s="2"/>
      <c r="W8" s="2"/>
      <c r="X8" s="2"/>
      <c r="Y8" s="2"/>
      <c r="Z8" s="2"/>
      <c r="AA8" s="2"/>
    </row>
    <row r="9" spans="1:27" ht="19.899999999999999">
      <c r="A9" s="18"/>
      <c r="B9" s="192"/>
      <c r="C9" s="176"/>
      <c r="D9" s="176"/>
      <c r="E9" s="176"/>
      <c r="F9" s="176"/>
      <c r="G9" s="177"/>
      <c r="H9" s="176"/>
      <c r="I9" s="176"/>
      <c r="J9" s="176"/>
      <c r="K9" s="176"/>
      <c r="L9" s="176"/>
      <c r="M9" s="177"/>
      <c r="N9" s="2"/>
      <c r="O9" s="2"/>
      <c r="P9" s="2"/>
      <c r="Q9" s="2"/>
      <c r="R9" s="2"/>
      <c r="S9" s="2"/>
      <c r="T9" s="2"/>
      <c r="U9" s="2" t="str">
        <f ca="1">IFERROR(__xludf.DUMMYFUNCTION("""COMPUTED_VALUE"""),"Lampakalova")</f>
        <v>Lampakalova</v>
      </c>
      <c r="V9" s="2"/>
      <c r="W9" s="2"/>
      <c r="X9" s="2"/>
      <c r="Y9" s="2"/>
      <c r="Z9" s="2"/>
      <c r="AA9" s="2"/>
    </row>
    <row r="10" spans="1:27" ht="13.15">
      <c r="A10" s="19"/>
      <c r="B10" s="233" t="e">
        <f ca="1">_xludf.textjoin("",TRUE,"Age Wise Electors",CHAR(10),"Total: ",D16+F16)</f>
        <v>#NAME?</v>
      </c>
      <c r="C10" s="176"/>
      <c r="D10" s="176"/>
      <c r="E10" s="176"/>
      <c r="F10" s="176"/>
      <c r="G10" s="177"/>
      <c r="H10" s="20" t="s">
        <v>20</v>
      </c>
      <c r="I10" s="180" t="s">
        <v>21</v>
      </c>
      <c r="J10" s="187"/>
      <c r="K10" s="20" t="s">
        <v>22</v>
      </c>
      <c r="L10" s="180" t="s">
        <v>23</v>
      </c>
      <c r="M10" s="172"/>
      <c r="N10" s="2"/>
      <c r="O10" s="2"/>
      <c r="P10" s="2"/>
      <c r="Q10" s="2"/>
      <c r="R10" s="2"/>
      <c r="S10" s="2"/>
      <c r="T10" s="2"/>
      <c r="U10" s="2" t="str">
        <f ca="1">IFERROR(__xludf.DUMMYFUNCTION("""COMPUTED_VALUE"""),"Pandavulapalem")</f>
        <v>Pandavulapalem</v>
      </c>
      <c r="V10" s="2"/>
      <c r="W10" s="2"/>
      <c r="X10" s="2"/>
      <c r="Y10" s="2"/>
      <c r="Z10" s="2"/>
      <c r="AA10" s="2"/>
    </row>
    <row r="11" spans="1:27" ht="13.15">
      <c r="A11" s="19"/>
      <c r="B11" s="234" t="s">
        <v>24</v>
      </c>
      <c r="C11" s="182"/>
      <c r="D11" s="235" t="s">
        <v>25</v>
      </c>
      <c r="E11" s="182"/>
      <c r="F11" s="235" t="s">
        <v>26</v>
      </c>
      <c r="G11" s="172"/>
      <c r="H11" s="21">
        <v>1</v>
      </c>
      <c r="I11" s="185" t="str">
        <f ca="1">IFERROR(__xludf.DUMMYFUNCTION("filter('Caste Data'!D:D,'Caste Data'!A:A=D$4,'Caste Data'!B:B=G$4,'Caste Data'!C:C=J$4,'Caste Data'!G:G=H11)"),"Valmiki")</f>
        <v>Valmiki</v>
      </c>
      <c r="J11" s="182"/>
      <c r="K11" s="22">
        <f ca="1">IFERROR(__xludf.DUMMYFUNCTION("filter('Caste Data'!F:F,'Caste Data'!A:A=D$4,'Caste Data'!B:B=G$4,'Caste Data'!C:C=J$4,'Caste Data'!G:G=H11)"),259)</f>
        <v>259</v>
      </c>
      <c r="L11" s="171"/>
      <c r="M11" s="172"/>
      <c r="N11" s="2"/>
      <c r="O11" s="2"/>
      <c r="P11" s="2"/>
      <c r="Q11" s="2"/>
      <c r="R11" s="2"/>
      <c r="S11" s="2"/>
      <c r="T11" s="2"/>
      <c r="U11" s="2" t="str">
        <f ca="1">IFERROR(__xludf.DUMMYFUNCTION("""COMPUTED_VALUE"""),"Peda Sankarlapudi")</f>
        <v>Peda Sankarlapudi</v>
      </c>
      <c r="V11" s="2"/>
      <c r="W11" s="2"/>
      <c r="X11" s="2"/>
      <c r="Y11" s="2"/>
      <c r="Z11" s="2"/>
      <c r="AA11" s="2"/>
    </row>
    <row r="12" spans="1:27" ht="13.15">
      <c r="A12" s="19"/>
      <c r="B12" s="181" t="s">
        <v>27</v>
      </c>
      <c r="C12" s="182"/>
      <c r="D12" s="183">
        <f ca="1">IFERROR(__xludf.DUMMYFUNCTION("transpose(filter({Demography!S2:V1014,Demography!L2:L1014},Demography!A2:A1014=D4,Demography!B2:B1014=G4,Demography!D2:D1014=J4))"),33)</f>
        <v>33</v>
      </c>
      <c r="E12" s="182"/>
      <c r="F12" s="184">
        <f ca="1">IFERROR(__xludf.DUMMYFUNCTION("transpose(filter({Demography!O2:R1014, Demography!M2:M1014},Demography!A2:A1014=D4,Demography!B2:B1014=G4,Demography!D2:D1014=J4))"),20)</f>
        <v>20</v>
      </c>
      <c r="G12" s="172"/>
      <c r="H12" s="21">
        <v>2</v>
      </c>
      <c r="I12" s="185" t="str">
        <f ca="1">IFERROR(__xludf.DUMMYFUNCTION("filter('Caste Data'!D:D,'Caste Data'!A:A=D$4,'Caste Data'!B:B=G$4,'Caste Data'!C:C=J$4,'Caste Data'!G:G=H12)"),"K.Kapu")</f>
        <v>K.Kapu</v>
      </c>
      <c r="J12" s="182"/>
      <c r="K12" s="22">
        <f ca="1">IFERROR(__xludf.DUMMYFUNCTION("filter('Caste Data'!F:F,'Caste Data'!A:A=D$4,'Caste Data'!B:B=G$4,'Caste Data'!C:C=J$4,'Caste Data'!G:G=H12)"),257)</f>
        <v>257</v>
      </c>
      <c r="L12" s="171"/>
      <c r="M12" s="172"/>
      <c r="N12" s="2"/>
      <c r="O12" s="2"/>
      <c r="P12" s="2"/>
      <c r="Q12" s="2"/>
      <c r="R12" s="2"/>
      <c r="S12" s="2"/>
      <c r="T12" s="2"/>
      <c r="U12" s="2" t="str">
        <f ca="1">IFERROR(__xludf.DUMMYFUNCTION("""COMPUTED_VALUE"""),"Peddipalem")</f>
        <v>Peddipalem</v>
      </c>
      <c r="V12" s="2"/>
      <c r="W12" s="2"/>
      <c r="X12" s="2"/>
      <c r="Y12" s="2"/>
      <c r="Z12" s="2"/>
      <c r="AA12" s="2"/>
    </row>
    <row r="13" spans="1:27" ht="13.15">
      <c r="A13" s="19"/>
      <c r="B13" s="181" t="s">
        <v>28</v>
      </c>
      <c r="C13" s="182"/>
      <c r="D13" s="183">
        <f ca="1">IFERROR(__xludf.DUMMYFUNCTION("""COMPUTED_VALUE"""),155)</f>
        <v>155</v>
      </c>
      <c r="E13" s="182"/>
      <c r="F13" s="184">
        <f ca="1">IFERROR(__xludf.DUMMYFUNCTION("""COMPUTED_VALUE"""),165)</f>
        <v>165</v>
      </c>
      <c r="G13" s="172"/>
      <c r="H13" s="21">
        <v>3</v>
      </c>
      <c r="I13" s="185" t="str">
        <f ca="1">IFERROR(__xludf.DUMMYFUNCTION("filter('Caste Data'!D:D,'Caste Data'!A:A=D$4,'Caste Data'!B:B=G$4,'Caste Data'!C:C=J$4,'Caste Data'!G:G=H13)"),"K.Dora")</f>
        <v>K.Dora</v>
      </c>
      <c r="J13" s="182"/>
      <c r="K13" s="22">
        <f ca="1">IFERROR(__xludf.DUMMYFUNCTION("filter('Caste Data'!F:F,'Caste Data'!A:A=D$4,'Caste Data'!B:B=G$4,'Caste Data'!C:C=J$4,'Caste Data'!G:G=H13)"),200)</f>
        <v>200</v>
      </c>
      <c r="L13" s="171"/>
      <c r="M13" s="172"/>
      <c r="N13" s="2"/>
      <c r="O13" s="2"/>
      <c r="P13" s="2"/>
      <c r="Q13" s="2"/>
      <c r="R13" s="2"/>
      <c r="S13" s="2"/>
      <c r="T13" s="2"/>
      <c r="U13" s="2" t="str">
        <f ca="1">IFERROR(__xludf.DUMMYFUNCTION("""COMPUTED_VALUE"""),"Pothuluru")</f>
        <v>Pothuluru</v>
      </c>
      <c r="V13" s="2"/>
      <c r="W13" s="2"/>
      <c r="X13" s="2"/>
      <c r="Y13" s="2"/>
      <c r="Z13" s="2"/>
      <c r="AA13" s="2"/>
    </row>
    <row r="14" spans="1:27" ht="13.15">
      <c r="A14" s="19"/>
      <c r="B14" s="181" t="s">
        <v>29</v>
      </c>
      <c r="C14" s="182"/>
      <c r="D14" s="183">
        <f ca="1">IFERROR(__xludf.DUMMYFUNCTION("""COMPUTED_VALUE"""),55)</f>
        <v>55</v>
      </c>
      <c r="E14" s="182"/>
      <c r="F14" s="184">
        <f ca="1">IFERROR(__xludf.DUMMYFUNCTION("""COMPUTED_VALUE"""),75)</f>
        <v>75</v>
      </c>
      <c r="G14" s="172"/>
      <c r="H14" s="21">
        <v>4</v>
      </c>
      <c r="I14" s="185" t="str">
        <f ca="1">IFERROR(__xludf.DUMMYFUNCTION("filter('Caste Data'!D:D,'Caste Data'!A:A=D$4,'Caste Data'!B:B=G$4,'Caste Data'!C:C=J$4,'Caste Data'!G:G=H14)"),"Kapu")</f>
        <v>Kapu</v>
      </c>
      <c r="J14" s="182"/>
      <c r="K14" s="22">
        <f ca="1">IFERROR(__xludf.DUMMYFUNCTION("filter('Caste Data'!F:F,'Caste Data'!A:A=D$4,'Caste Data'!B:B=G$4,'Caste Data'!C:C=J$4,'Caste Data'!G:G=H14)"),10)</f>
        <v>10</v>
      </c>
      <c r="L14" s="171"/>
      <c r="M14" s="172"/>
      <c r="N14" s="2"/>
      <c r="O14" s="2"/>
      <c r="P14" s="2"/>
      <c r="Q14" s="2"/>
      <c r="R14" s="2"/>
      <c r="S14" s="2"/>
      <c r="T14" s="2"/>
      <c r="U14" s="2" t="str">
        <f ca="1">IFERROR(__xludf.DUMMYFUNCTION("""COMPUTED_VALUE"""),"Prathipadu")</f>
        <v>Prathipadu</v>
      </c>
      <c r="V14" s="2"/>
      <c r="W14" s="2"/>
      <c r="X14" s="2"/>
      <c r="Y14" s="2"/>
      <c r="Z14" s="2"/>
      <c r="AA14" s="2"/>
    </row>
    <row r="15" spans="1:27" ht="13.15">
      <c r="A15" s="19"/>
      <c r="B15" s="181" t="s">
        <v>30</v>
      </c>
      <c r="C15" s="182"/>
      <c r="D15" s="183">
        <f ca="1">IFERROR(__xludf.DUMMYFUNCTION("""COMPUTED_VALUE"""),25)</f>
        <v>25</v>
      </c>
      <c r="E15" s="182"/>
      <c r="F15" s="184">
        <f ca="1">IFERROR(__xludf.DUMMYFUNCTION("""COMPUTED_VALUE"""),29)</f>
        <v>29</v>
      </c>
      <c r="G15" s="172"/>
      <c r="H15" s="21">
        <v>5</v>
      </c>
      <c r="I15" s="185" t="str">
        <f ca="1">IFERROR(__xludf.DUMMYFUNCTION("filter('Caste Data'!D:D,'Caste Data'!A:A=D$4,'Caste Data'!B:B=G$4,'Caste Data'!C:C=J$4,'Caste Data'!G:G=H15)"),"Yadava")</f>
        <v>Yadava</v>
      </c>
      <c r="J15" s="182"/>
      <c r="K15" s="22">
        <f ca="1">IFERROR(__xludf.DUMMYFUNCTION("filter('Caste Data'!F:F,'Caste Data'!A:A=D$4,'Caste Data'!B:B=G$4,'Caste Data'!C:C=J$4,'Caste Data'!G:G=H15)"),6)</f>
        <v>6</v>
      </c>
      <c r="L15" s="171"/>
      <c r="M15" s="172"/>
      <c r="N15" s="2"/>
      <c r="O15" s="2"/>
      <c r="P15" s="2"/>
      <c r="Q15" s="2"/>
      <c r="R15" s="2"/>
      <c r="S15" s="2"/>
      <c r="T15" s="2"/>
      <c r="U15" s="2" t="str">
        <f ca="1">IFERROR(__xludf.DUMMYFUNCTION("""COMPUTED_VALUE"""),"Rachapalle")</f>
        <v>Rachapalle</v>
      </c>
      <c r="V15" s="2"/>
      <c r="W15" s="2"/>
      <c r="X15" s="2"/>
      <c r="Y15" s="2"/>
      <c r="Z15" s="2"/>
      <c r="AA15" s="2"/>
    </row>
    <row r="16" spans="1:27" ht="13.15">
      <c r="A16" s="19"/>
      <c r="B16" s="181" t="s">
        <v>31</v>
      </c>
      <c r="C16" s="182"/>
      <c r="D16" s="183">
        <f ca="1">IFERROR(__xludf.DUMMYFUNCTION("""COMPUTED_VALUE"""),268)</f>
        <v>268</v>
      </c>
      <c r="E16" s="187"/>
      <c r="F16" s="184">
        <f ca="1">IFERROR(__xludf.DUMMYFUNCTION("""COMPUTED_VALUE"""),289)</f>
        <v>289</v>
      </c>
      <c r="G16" s="172"/>
      <c r="H16" s="21">
        <v>6</v>
      </c>
      <c r="I16" s="185" t="str">
        <f ca="1">IFERROR(__xludf.DUMMYFUNCTION("filter('Caste Data'!D:D,'Caste Data'!A:A=D$4,'Caste Data'!B:B=G$4,'Caste Data'!C:C=J$4,'Caste Data'!G:G=H16)"),"Others BCs")</f>
        <v>Others BCs</v>
      </c>
      <c r="J16" s="182"/>
      <c r="K16" s="22">
        <f ca="1">IFERROR(__xludf.DUMMYFUNCTION("filter('Caste Data'!F:F,'Caste Data'!A:A=D$4,'Caste Data'!B:B=G$4,'Caste Data'!C:C=J$4,'Caste Data'!G:G=H16)"),4)</f>
        <v>4</v>
      </c>
      <c r="L16" s="171"/>
      <c r="M16" s="172"/>
      <c r="N16" s="2"/>
      <c r="O16" s="2"/>
      <c r="P16" s="2"/>
      <c r="Q16" s="2"/>
      <c r="R16" s="2"/>
      <c r="S16" s="2"/>
      <c r="T16" s="2"/>
      <c r="U16" s="2" t="str">
        <f ca="1">IFERROR(__xludf.DUMMYFUNCTION("""COMPUTED_VALUE"""),"Rowthulapalem")</f>
        <v>Rowthulapalem</v>
      </c>
      <c r="V16" s="2"/>
      <c r="W16" s="2"/>
      <c r="X16" s="2"/>
      <c r="Y16" s="2"/>
      <c r="Z16" s="2"/>
      <c r="AA16" s="2"/>
    </row>
    <row r="17" spans="1:27" ht="13.15">
      <c r="A17" s="19"/>
      <c r="B17" s="236" t="s">
        <v>32</v>
      </c>
      <c r="C17" s="237"/>
      <c r="D17" s="241" t="str">
        <f ca="1">IFERROR(__xludf.DUMMYFUNCTION("filter('Raw Data - Field Input'!H2:H1014,'Raw Data - Field Input'!A2:A1014=D4,'Raw Data - Field Input'!B2:B1014=G4,'Raw Data - Field Input'!D2:D1014=J4)"),"1.paddy farming
 2.cashew farming")</f>
        <v>1.paddy farming
 2.cashew farming</v>
      </c>
      <c r="E17" s="174"/>
      <c r="F17" s="174"/>
      <c r="G17" s="175"/>
      <c r="H17" s="21">
        <v>7</v>
      </c>
      <c r="I17" s="185" t="str">
        <f ca="1">IFERROR(__xludf.DUMMYFUNCTION("filter('Caste Data'!D:D,'Caste Data'!A:A=D$4,'Caste Data'!B:B=G$4,'Caste Data'!C:C=J$4,'Caste Data'!G:G=H17)"),"Others OCs")</f>
        <v>Others OCs</v>
      </c>
      <c r="J17" s="182"/>
      <c r="K17" s="22">
        <f ca="1">IFERROR(__xludf.DUMMYFUNCTION("filter('Caste Data'!F:F,'Caste Data'!A:A=D$4,'Caste Data'!B:B=G$4,'Caste Data'!C:C=J$4,'Caste Data'!G:G=H17)"),4)</f>
        <v>4</v>
      </c>
      <c r="L17" s="171"/>
      <c r="M17" s="172"/>
      <c r="N17" s="2"/>
      <c r="O17" s="2"/>
      <c r="P17" s="2"/>
      <c r="Q17" s="2"/>
      <c r="R17" s="2"/>
      <c r="S17" s="2"/>
      <c r="T17" s="2"/>
      <c r="U17" s="2" t="str">
        <f ca="1">IFERROR(__xludf.DUMMYFUNCTION("""COMPUTED_VALUE"""),"Sarabhavaram")</f>
        <v>Sarabhavaram</v>
      </c>
      <c r="V17" s="2"/>
      <c r="W17" s="2"/>
      <c r="X17" s="2"/>
      <c r="Y17" s="2"/>
      <c r="Z17" s="2"/>
      <c r="AA17" s="2"/>
    </row>
    <row r="18" spans="1:27" ht="13.15">
      <c r="A18" s="19"/>
      <c r="B18" s="192"/>
      <c r="C18" s="238"/>
      <c r="D18" s="242"/>
      <c r="E18" s="176"/>
      <c r="F18" s="176"/>
      <c r="G18" s="177"/>
      <c r="H18" s="21">
        <v>8</v>
      </c>
      <c r="I18" s="185" t="str">
        <f ca="1">IFERROR(__xludf.DUMMYFUNCTION("filter('Caste Data'!D:D,'Caste Data'!A:A=D$4,'Caste Data'!B:B=G$4,'Caste Data'!C:C=J$4,'Caste Data'!G:G=H18)"),"#N/A")</f>
        <v>#N/A</v>
      </c>
      <c r="J18" s="182"/>
      <c r="K18" s="22" t="str">
        <f ca="1">IFERROR(__xludf.DUMMYFUNCTION("filter('Caste Data'!F:F,'Caste Data'!A:A=D$4,'Caste Data'!B:B=G$4,'Caste Data'!C:C=J$4,'Caste Data'!G:G=H18)"),"#N/A")</f>
        <v>#N/A</v>
      </c>
      <c r="L18" s="171"/>
      <c r="M18" s="172"/>
      <c r="N18" s="2"/>
      <c r="O18" s="2"/>
      <c r="P18" s="2"/>
      <c r="Q18" s="2"/>
      <c r="R18" s="2"/>
      <c r="S18" s="2"/>
      <c r="T18" s="2"/>
      <c r="U18" s="2" t="str">
        <f ca="1">IFERROR(__xludf.DUMMYFUNCTION("""COMPUTED_VALUE"""),"T Rayavaram")</f>
        <v>T Rayavaram</v>
      </c>
      <c r="V18" s="2"/>
      <c r="W18" s="2"/>
      <c r="X18" s="2"/>
      <c r="Y18" s="2"/>
      <c r="Z18" s="2"/>
      <c r="AA18" s="2"/>
    </row>
    <row r="19" spans="1:27" ht="13.15">
      <c r="A19" s="19"/>
      <c r="B19" s="192"/>
      <c r="C19" s="238"/>
      <c r="D19" s="242"/>
      <c r="E19" s="176"/>
      <c r="F19" s="176"/>
      <c r="G19" s="177"/>
      <c r="H19" s="21">
        <v>9</v>
      </c>
      <c r="I19" s="185" t="str">
        <f ca="1">IFERROR(__xludf.DUMMYFUNCTION("filter('Caste Data'!D:D,'Caste Data'!A:A=D$4,'Caste Data'!B:B=G$4,'Caste Data'!C:C=J$4,'Caste Data'!G:G=H19)"),"#N/A")</f>
        <v>#N/A</v>
      </c>
      <c r="J19" s="182"/>
      <c r="K19" s="22" t="str">
        <f ca="1">IFERROR(__xludf.DUMMYFUNCTION("filter('Caste Data'!F:F,'Caste Data'!A:A=D$4,'Caste Data'!B:B=G$4,'Caste Data'!C:C=J$4,'Caste Data'!G:G=H19)"),"#N/A")</f>
        <v>#N/A</v>
      </c>
      <c r="L19" s="171"/>
      <c r="M19" s="172"/>
      <c r="N19" s="2"/>
      <c r="O19" s="2"/>
      <c r="P19" s="2"/>
      <c r="Q19" s="2"/>
      <c r="R19" s="2"/>
      <c r="S19" s="2"/>
      <c r="T19" s="2"/>
      <c r="U19" s="2" t="str">
        <f ca="1">IFERROR(__xludf.DUMMYFUNCTION("""COMPUTED_VALUE"""),"U.Jagannadhapuram")</f>
        <v>U.Jagannadhapuram</v>
      </c>
      <c r="V19" s="2"/>
      <c r="W19" s="2"/>
      <c r="X19" s="2"/>
      <c r="Y19" s="2"/>
      <c r="Z19" s="2"/>
      <c r="AA19" s="2"/>
    </row>
    <row r="20" spans="1:27" ht="13.15">
      <c r="A20" s="19"/>
      <c r="B20" s="239"/>
      <c r="C20" s="240"/>
      <c r="D20" s="243"/>
      <c r="E20" s="178"/>
      <c r="F20" s="178"/>
      <c r="G20" s="179"/>
      <c r="H20" s="21">
        <v>10</v>
      </c>
      <c r="I20" s="185" t="str">
        <f ca="1">IFERROR(__xludf.DUMMYFUNCTION("filter('Caste Data'!D:D,'Caste Data'!A:A=D$4,'Caste Data'!B:B=G$4,'Caste Data'!C:C=J$4,'Caste Data'!G:G=H20)"),"#N/A")</f>
        <v>#N/A</v>
      </c>
      <c r="J20" s="182"/>
      <c r="K20" s="22" t="str">
        <f ca="1">IFERROR(__xludf.DUMMYFUNCTION("filter('Caste Data'!F:F,'Caste Data'!A:A=D$4,'Caste Data'!B:B=G$4,'Caste Data'!C:C=J$4,'Caste Data'!G:G=H20)"),"#N/A")</f>
        <v>#N/A</v>
      </c>
      <c r="L20" s="171"/>
      <c r="M20" s="172"/>
      <c r="N20" s="2"/>
      <c r="O20" s="2"/>
      <c r="P20" s="2"/>
      <c r="Q20" s="2"/>
      <c r="R20" s="2"/>
      <c r="S20" s="2"/>
      <c r="T20" s="2"/>
      <c r="U20" s="2" t="str">
        <f ca="1">IFERROR(__xludf.DUMMYFUNCTION("""COMPUTED_VALUE"""),"Uttarakanchi")</f>
        <v>Uttarakanchi</v>
      </c>
      <c r="V20" s="2"/>
      <c r="W20" s="2"/>
      <c r="X20" s="2"/>
      <c r="Y20" s="2"/>
      <c r="Z20" s="2"/>
      <c r="AA20" s="2"/>
    </row>
    <row r="21" spans="1:27" ht="30.4">
      <c r="A21" s="23"/>
      <c r="B21" s="246" t="s">
        <v>33</v>
      </c>
      <c r="C21" s="190"/>
      <c r="D21" s="190"/>
      <c r="E21" s="190"/>
      <c r="F21" s="190"/>
      <c r="G21" s="190"/>
      <c r="H21" s="190"/>
      <c r="I21" s="190"/>
      <c r="J21" s="190"/>
      <c r="K21" s="190"/>
      <c r="L21" s="190"/>
      <c r="M21" s="191"/>
      <c r="N21" s="2"/>
      <c r="O21" s="2"/>
      <c r="P21" s="2"/>
      <c r="Q21" s="2"/>
      <c r="R21" s="2"/>
      <c r="S21" s="2"/>
      <c r="T21" s="2"/>
      <c r="U21" s="2" t="str">
        <f ca="1">IFERROR(__xludf.DUMMYFUNCTION("""COMPUTED_VALUE"""),"Vakapalle")</f>
        <v>Vakapalle</v>
      </c>
      <c r="V21" s="2"/>
      <c r="W21" s="2"/>
      <c r="X21" s="2"/>
      <c r="Y21" s="2"/>
      <c r="Z21" s="2"/>
      <c r="AA21" s="2"/>
    </row>
    <row r="22" spans="1:27" ht="30.4">
      <c r="A22" s="23"/>
      <c r="B22" s="200"/>
      <c r="C22" s="201"/>
      <c r="D22" s="201"/>
      <c r="E22" s="201"/>
      <c r="F22" s="201"/>
      <c r="G22" s="201"/>
      <c r="H22" s="201"/>
      <c r="I22" s="201"/>
      <c r="J22" s="201"/>
      <c r="K22" s="201"/>
      <c r="L22" s="201"/>
      <c r="M22" s="202"/>
      <c r="N22" s="2"/>
      <c r="O22" s="2"/>
      <c r="P22" s="2"/>
      <c r="Q22" s="2"/>
      <c r="R22" s="2"/>
      <c r="S22" s="2"/>
      <c r="T22" s="2"/>
      <c r="U22" s="2" t="str">
        <f ca="1">IFERROR(__xludf.DUMMYFUNCTION("""COMPUTED_VALUE"""),"Venkatanagaram")</f>
        <v>Venkatanagaram</v>
      </c>
      <c r="V22" s="2"/>
      <c r="W22" s="2"/>
      <c r="X22" s="2"/>
      <c r="Y22" s="2"/>
      <c r="Z22" s="2"/>
      <c r="AA22" s="2"/>
    </row>
    <row r="23" spans="1:27" ht="13.15">
      <c r="A23" s="19"/>
      <c r="B23" s="24" t="s">
        <v>34</v>
      </c>
      <c r="C23" s="25" t="s">
        <v>4</v>
      </c>
      <c r="D23" s="26" t="s">
        <v>5</v>
      </c>
      <c r="E23" s="27" t="s">
        <v>6</v>
      </c>
      <c r="F23" s="28" t="s">
        <v>35</v>
      </c>
      <c r="G23" s="29" t="s">
        <v>36</v>
      </c>
      <c r="H23" s="30" t="s">
        <v>37</v>
      </c>
      <c r="I23" s="31" t="s">
        <v>38</v>
      </c>
      <c r="J23" s="247" t="s">
        <v>39</v>
      </c>
      <c r="K23" s="178"/>
      <c r="L23" s="178"/>
      <c r="M23" s="179"/>
      <c r="N23" s="2"/>
      <c r="O23" s="2"/>
      <c r="P23" s="2"/>
      <c r="Q23" s="2"/>
      <c r="R23" s="2"/>
      <c r="S23" s="2"/>
      <c r="T23" s="2"/>
      <c r="U23" s="2" t="str">
        <f ca="1">IFERROR(__xludf.DUMMYFUNCTION("""COMPUTED_VALUE"""),"Vommangi")</f>
        <v>Vommangi</v>
      </c>
      <c r="V23" s="2"/>
      <c r="W23" s="2"/>
      <c r="X23" s="2"/>
      <c r="Y23" s="2"/>
      <c r="Z23" s="2"/>
      <c r="AA23" s="2"/>
    </row>
    <row r="24" spans="1:27" ht="18" customHeight="1">
      <c r="A24" s="19"/>
      <c r="B24" s="32" t="s">
        <v>40</v>
      </c>
      <c r="C24" s="33" t="str">
        <f ca="1">IFERROR(__xludf.DUMMYFUNCTION("filter('Village-F20-2024'!W:AC,'Village-F20-2024'!D:D=D$4,'Village-F20-2024'!E:E=G$4,'Village-F20-2024'!F:F=J$4)"),"#N/A")</f>
        <v>#N/A</v>
      </c>
      <c r="D24" s="33"/>
      <c r="E24" s="33"/>
      <c r="F24" s="33"/>
      <c r="G24" s="33"/>
      <c r="H24" s="33"/>
      <c r="I24" s="34"/>
      <c r="J24" s="173"/>
      <c r="K24" s="174"/>
      <c r="L24" s="174"/>
      <c r="M24" s="175"/>
      <c r="N24" s="2"/>
      <c r="O24" s="2"/>
      <c r="P24" s="2"/>
      <c r="Q24" s="2"/>
      <c r="R24" s="2"/>
      <c r="S24" s="2"/>
      <c r="T24" s="2"/>
      <c r="U24" s="2" t="str">
        <f ca="1">IFERROR(__xludf.DUMMYFUNCTION("""COMPUTED_VALUE"""),"Yeluru")</f>
        <v>Yeluru</v>
      </c>
      <c r="V24" s="2"/>
      <c r="W24" s="2"/>
      <c r="X24" s="2"/>
      <c r="Y24" s="2"/>
      <c r="Z24" s="2"/>
      <c r="AA24" s="2"/>
    </row>
    <row r="25" spans="1:27" ht="18" customHeight="1">
      <c r="A25" s="19"/>
      <c r="B25" s="32" t="s">
        <v>41</v>
      </c>
      <c r="C25" s="33"/>
      <c r="D25" s="33"/>
      <c r="E25" s="33"/>
      <c r="F25" s="33"/>
      <c r="G25" s="33"/>
      <c r="H25" s="33"/>
      <c r="I25" s="34"/>
      <c r="J25" s="176"/>
      <c r="K25" s="176"/>
      <c r="L25" s="176"/>
      <c r="M25" s="177"/>
      <c r="N25" s="2"/>
      <c r="O25" s="2"/>
      <c r="P25" s="2"/>
      <c r="Q25" s="2"/>
      <c r="R25" s="2"/>
      <c r="S25" s="2"/>
      <c r="T25" s="2"/>
      <c r="U25" s="2"/>
      <c r="V25" s="2"/>
      <c r="W25" s="2"/>
      <c r="X25" s="2"/>
      <c r="Y25" s="2"/>
      <c r="Z25" s="2"/>
      <c r="AA25" s="2"/>
    </row>
    <row r="26" spans="1:27" ht="18" customHeight="1">
      <c r="A26" s="19"/>
      <c r="B26" s="35" t="s">
        <v>42</v>
      </c>
      <c r="C26" s="36">
        <f ca="1">IFERROR(__xludf.DUMMYFUNCTION("filter('Retro Villagewise'!L2:R1014,'Retro Villagewise'!A2:A1014=D4,'Retro Villagewise'!B2:B1014=G4,'Retro Villagewise'!D2:D1014=J4)"),0.5414937759)</f>
        <v>0.54149377590000003</v>
      </c>
      <c r="D26" s="36">
        <f ca="1">IFERROR(__xludf.DUMMYFUNCTION("""COMPUTED_VALUE"""),0.3443983402)</f>
        <v>0.34439834019999999</v>
      </c>
      <c r="E26" s="36">
        <f ca="1">IFERROR(__xludf.DUMMYFUNCTION("""COMPUTED_VALUE"""),0.01037344398)</f>
        <v>1.0373443980000001E-2</v>
      </c>
      <c r="F26" s="36">
        <f ca="1">IFERROR(__xludf.DUMMYFUNCTION("""COMPUTED_VALUE"""),0)</f>
        <v>0</v>
      </c>
      <c r="G26" s="36">
        <f ca="1">IFERROR(__xludf.DUMMYFUNCTION("""COMPUTED_VALUE"""),0)</f>
        <v>0</v>
      </c>
      <c r="H26" s="36">
        <f ca="1">IFERROR(__xludf.DUMMYFUNCTION("""COMPUTED_VALUE"""),0)</f>
        <v>0</v>
      </c>
      <c r="I26" s="37">
        <f ca="1">IFERROR(__xludf.DUMMYFUNCTION("""COMPUTED_VALUE"""),0.1037344398)</f>
        <v>0.10373443979999999</v>
      </c>
      <c r="J26" s="176"/>
      <c r="K26" s="176"/>
      <c r="L26" s="176"/>
      <c r="M26" s="177"/>
      <c r="N26" s="2"/>
      <c r="O26" s="2"/>
      <c r="P26" s="2"/>
      <c r="Q26" s="2"/>
      <c r="R26" s="2"/>
      <c r="S26" s="2"/>
      <c r="T26" s="2"/>
      <c r="U26" s="2"/>
      <c r="V26" s="2"/>
      <c r="W26" s="2"/>
      <c r="X26" s="2"/>
      <c r="Y26" s="2"/>
      <c r="Z26" s="2"/>
      <c r="AA26" s="2"/>
    </row>
    <row r="27" spans="1:27" ht="18" customHeight="1">
      <c r="A27" s="19"/>
      <c r="B27" s="35" t="s">
        <v>43</v>
      </c>
      <c r="C27" s="36">
        <f ca="1">IFERROR(__xludf.DUMMYFUNCTION("filter('Retro Villagewise'!E2:K1014,'Retro Villagewise'!A2:A1014=D4,'Retro Villagewise'!B2:B1014=G4,'Retro Villagewise'!D2:D1014=J4)"),0.7697095436)</f>
        <v>0.76970954359999999</v>
      </c>
      <c r="D27" s="36">
        <f ca="1">IFERROR(__xludf.DUMMYFUNCTION("""COMPUTED_VALUE"""),0.1095435685)</f>
        <v>0.10954356849999999</v>
      </c>
      <c r="E27" s="36">
        <f ca="1">IFERROR(__xludf.DUMMYFUNCTION("""COMPUTED_VALUE"""),0.01244813278)</f>
        <v>1.2448132779999999E-2</v>
      </c>
      <c r="F27" s="36">
        <f ca="1">IFERROR(__xludf.DUMMYFUNCTION("""COMPUTED_VALUE"""),0.01659751037)</f>
        <v>1.6597510369999999E-2</v>
      </c>
      <c r="G27" s="36">
        <f ca="1">IFERROR(__xludf.DUMMYFUNCTION("""COMPUTED_VALUE"""),0)</f>
        <v>0</v>
      </c>
      <c r="H27" s="36">
        <f ca="1">IFERROR(__xludf.DUMMYFUNCTION("""COMPUTED_VALUE"""),0)</f>
        <v>0</v>
      </c>
      <c r="I27" s="37">
        <f ca="1">IFERROR(__xludf.DUMMYFUNCTION("""COMPUTED_VALUE"""),0.8941908714)</f>
        <v>0.89419087139999998</v>
      </c>
      <c r="J27" s="176"/>
      <c r="K27" s="176"/>
      <c r="L27" s="176"/>
      <c r="M27" s="177"/>
      <c r="N27" s="2"/>
      <c r="O27" s="2"/>
      <c r="P27" s="2"/>
      <c r="Q27" s="2"/>
      <c r="R27" s="2"/>
      <c r="S27" s="2"/>
      <c r="T27" s="2"/>
      <c r="U27" s="2"/>
      <c r="V27" s="2"/>
      <c r="W27" s="2"/>
      <c r="X27" s="2"/>
      <c r="Y27" s="2"/>
      <c r="Z27" s="2"/>
      <c r="AA27" s="2"/>
    </row>
    <row r="28" spans="1:27" ht="18" customHeight="1">
      <c r="A28" s="19"/>
      <c r="B28" s="35" t="s">
        <v>44</v>
      </c>
      <c r="C28" s="36">
        <f ca="1">IFERROR(__xludf.DUMMYFUNCTION("filter('Retro Villagewise'!Z2:AF1014,'Retro Villagewise'!A2:A1014=D4,'Retro Villagewise'!B2:B1014=G4,'Retro Villagewise'!D2:D1014=J4)"),0.4423963134)</f>
        <v>0.44239631340000002</v>
      </c>
      <c r="D28" s="36">
        <f ca="1">IFERROR(__xludf.DUMMYFUNCTION("""COMPUTED_VALUE"""),0.09907834101)</f>
        <v>9.9078341010000001E-2</v>
      </c>
      <c r="E28" s="36">
        <f ca="1">IFERROR(__xludf.DUMMYFUNCTION("""COMPUTED_VALUE"""),0)</f>
        <v>0</v>
      </c>
      <c r="F28" s="36">
        <f ca="1">IFERROR(__xludf.DUMMYFUNCTION("""COMPUTED_VALUE"""),0)</f>
        <v>0</v>
      </c>
      <c r="G28" s="36">
        <f ca="1">IFERROR(__xludf.DUMMYFUNCTION("""COMPUTED_VALUE"""),0.05529953917)</f>
        <v>5.5299539170000002E-2</v>
      </c>
      <c r="H28" s="36">
        <f ca="1">IFERROR(__xludf.DUMMYFUNCTION("""COMPUTED_VALUE"""),0)</f>
        <v>0</v>
      </c>
      <c r="I28" s="37">
        <f ca="1">IFERROR(__xludf.DUMMYFUNCTION("""COMPUTED_VALUE"""),0.4032258065)</f>
        <v>0.40322580650000001</v>
      </c>
      <c r="J28" s="176"/>
      <c r="K28" s="176"/>
      <c r="L28" s="176"/>
      <c r="M28" s="177"/>
      <c r="N28" s="2"/>
      <c r="O28" s="2"/>
      <c r="P28" s="2"/>
      <c r="Q28" s="2"/>
      <c r="R28" s="2"/>
      <c r="S28" s="2"/>
      <c r="T28" s="2"/>
      <c r="U28" s="2"/>
      <c r="V28" s="2"/>
      <c r="W28" s="2"/>
      <c r="X28" s="2"/>
      <c r="Y28" s="2"/>
      <c r="Z28" s="2"/>
      <c r="AA28" s="2"/>
    </row>
    <row r="29" spans="1:27" ht="18" customHeight="1">
      <c r="A29" s="19"/>
      <c r="B29" s="35" t="s">
        <v>45</v>
      </c>
      <c r="C29" s="36">
        <f ca="1">IFERROR(__xludf.DUMMYFUNCTION("filter('Retro Villagewise'!S2:Y1014,'Retro Villagewise'!A2:A1014=D4,'Retro Villagewise'!B2:B1014=G4,'Retro Villagewise'!D2:D1014=J4)"),0.4907834101)</f>
        <v>0.49078341009999998</v>
      </c>
      <c r="D29" s="36">
        <f ca="1">IFERROR(__xludf.DUMMYFUNCTION("""COMPUTED_VALUE"""),0.09447004608)</f>
        <v>9.4470046079999995E-2</v>
      </c>
      <c r="E29" s="36">
        <f ca="1">IFERROR(__xludf.DUMMYFUNCTION("""COMPUTED_VALUE"""),0)</f>
        <v>0</v>
      </c>
      <c r="F29" s="36">
        <f ca="1">IFERROR(__xludf.DUMMYFUNCTION("""COMPUTED_VALUE"""),0)</f>
        <v>0</v>
      </c>
      <c r="G29" s="36">
        <f ca="1">IFERROR(__xludf.DUMMYFUNCTION("""COMPUTED_VALUE"""),0.01382488479)</f>
        <v>1.382488479E-2</v>
      </c>
      <c r="H29" s="36">
        <f ca="1">IFERROR(__xludf.DUMMYFUNCTION("""COMPUTED_VALUE"""),0)</f>
        <v>0</v>
      </c>
      <c r="I29" s="37">
        <f ca="1">IFERROR(__xludf.DUMMYFUNCTION("""COMPUTED_VALUE"""),0.400921659)</f>
        <v>0.40092165899999999</v>
      </c>
      <c r="J29" s="176"/>
      <c r="K29" s="176"/>
      <c r="L29" s="176"/>
      <c r="M29" s="177"/>
      <c r="N29" s="2"/>
      <c r="O29" s="2"/>
      <c r="P29" s="2"/>
      <c r="Q29" s="2"/>
      <c r="R29" s="2"/>
      <c r="S29" s="2"/>
      <c r="T29" s="2"/>
      <c r="U29" s="2"/>
      <c r="V29" s="2"/>
      <c r="W29" s="2"/>
      <c r="X29" s="2"/>
      <c r="Y29" s="2"/>
      <c r="Z29" s="2"/>
      <c r="AA29" s="2"/>
    </row>
    <row r="30" spans="1:27" ht="18" customHeight="1">
      <c r="A30" s="19"/>
      <c r="B30" s="35" t="s">
        <v>46</v>
      </c>
      <c r="C30" s="36">
        <f ca="1">IFERROR(__xludf.DUMMYFUNCTION("filter('Retro Villagewise'!AN2:AT1014,'Retro Villagewise'!A2:A1014=D4,'Retro Villagewise'!B2:B1014=G4,'Retro Villagewise'!D2:D1014=J4)"),0.4293478261)</f>
        <v>0.4293478261</v>
      </c>
      <c r="D30" s="36">
        <f ca="1">IFERROR(__xludf.DUMMYFUNCTION("""COMPUTED_VALUE"""),0)</f>
        <v>0</v>
      </c>
      <c r="E30" s="36">
        <f ca="1">IFERROR(__xludf.DUMMYFUNCTION("""COMPUTED_VALUE"""),0)</f>
        <v>0</v>
      </c>
      <c r="F30" s="36">
        <f ca="1">IFERROR(__xludf.DUMMYFUNCTION("""COMPUTED_VALUE"""),0)</f>
        <v>0</v>
      </c>
      <c r="G30" s="36">
        <f ca="1">IFERROR(__xludf.DUMMYFUNCTION("""COMPUTED_VALUE"""),0.1086956522)</f>
        <v>0.10869565220000001</v>
      </c>
      <c r="H30" s="36">
        <f ca="1">IFERROR(__xludf.DUMMYFUNCTION("""COMPUTED_VALUE"""),0.2092391304)</f>
        <v>0.2092391304</v>
      </c>
      <c r="I30" s="37">
        <f ca="1">IFERROR(__xludf.DUMMYFUNCTION("""COMPUTED_VALUE"""),0.2527173913)</f>
        <v>0.25271739129999998</v>
      </c>
      <c r="J30" s="176"/>
      <c r="K30" s="176"/>
      <c r="L30" s="176"/>
      <c r="M30" s="177"/>
      <c r="N30" s="2"/>
      <c r="O30" s="2"/>
      <c r="P30" s="2"/>
      <c r="Q30" s="2"/>
      <c r="R30" s="2"/>
      <c r="S30" s="2"/>
      <c r="T30" s="2"/>
      <c r="U30" s="2"/>
      <c r="V30" s="2"/>
      <c r="W30" s="2"/>
      <c r="X30" s="2"/>
      <c r="Y30" s="2"/>
      <c r="Z30" s="2"/>
      <c r="AA30" s="2"/>
    </row>
    <row r="31" spans="1:27" ht="18" customHeight="1">
      <c r="A31" s="19"/>
      <c r="B31" s="35" t="s">
        <v>47</v>
      </c>
      <c r="C31" s="36">
        <f ca="1">IFERROR(__xludf.DUMMYFUNCTION("filter('Retro Villagewise'!AG2:AM1014,'Retro Villagewise'!A2:A1014=D4,'Retro Villagewise'!B2:B1014=G4,'Retro Villagewise'!D2:D1014=J4)"),0.4048913043)</f>
        <v>0.40489130429999998</v>
      </c>
      <c r="D31" s="36">
        <f ca="1">IFERROR(__xludf.DUMMYFUNCTION("""COMPUTED_VALUE"""),0)</f>
        <v>0</v>
      </c>
      <c r="E31" s="36">
        <f ca="1">IFERROR(__xludf.DUMMYFUNCTION("""COMPUTED_VALUE"""),0)</f>
        <v>0</v>
      </c>
      <c r="F31" s="36">
        <f ca="1">IFERROR(__xludf.DUMMYFUNCTION("""COMPUTED_VALUE"""),0.01630434783)</f>
        <v>1.630434783E-2</v>
      </c>
      <c r="G31" s="36">
        <f ca="1">IFERROR(__xludf.DUMMYFUNCTION("""COMPUTED_VALUE"""),0.08967391304)</f>
        <v>8.9673913039999997E-2</v>
      </c>
      <c r="H31" s="36">
        <f ca="1">IFERROR(__xludf.DUMMYFUNCTION("""COMPUTED_VALUE"""),0.2255434783)</f>
        <v>0.22554347829999999</v>
      </c>
      <c r="I31" s="37">
        <f ca="1">IFERROR(__xludf.DUMMYFUNCTION("""COMPUTED_VALUE"""),0.2635869565)</f>
        <v>0.26358695650000002</v>
      </c>
      <c r="J31" s="178"/>
      <c r="K31" s="178"/>
      <c r="L31" s="178"/>
      <c r="M31" s="179"/>
      <c r="N31" s="2"/>
      <c r="O31" s="2"/>
      <c r="P31" s="2"/>
      <c r="Q31" s="2"/>
      <c r="R31" s="2"/>
      <c r="S31" s="2"/>
      <c r="T31" s="2"/>
      <c r="U31" s="2"/>
      <c r="V31" s="2"/>
      <c r="W31" s="2"/>
      <c r="X31" s="2"/>
      <c r="Y31" s="2"/>
      <c r="Z31" s="2"/>
      <c r="AA31" s="2"/>
    </row>
    <row r="32" spans="1:27" ht="18" customHeight="1">
      <c r="A32" s="19"/>
      <c r="B32" s="244" t="s">
        <v>48</v>
      </c>
      <c r="C32" s="178"/>
      <c r="D32" s="178"/>
      <c r="E32" s="178"/>
      <c r="F32" s="178"/>
      <c r="G32" s="179"/>
      <c r="H32" s="186" t="s">
        <v>49</v>
      </c>
      <c r="I32" s="187"/>
      <c r="J32" s="187"/>
      <c r="K32" s="187"/>
      <c r="L32" s="187"/>
      <c r="M32" s="172"/>
      <c r="N32" s="2"/>
      <c r="O32" s="2"/>
      <c r="P32" s="2"/>
      <c r="Q32" s="2"/>
      <c r="R32" s="2"/>
      <c r="S32" s="2"/>
      <c r="T32" s="2"/>
      <c r="U32" s="2"/>
      <c r="V32" s="2"/>
      <c r="W32" s="2"/>
      <c r="X32" s="2"/>
      <c r="Y32" s="2"/>
      <c r="Z32" s="2"/>
      <c r="AA32" s="2"/>
    </row>
    <row r="33" spans="1:27" ht="18" customHeight="1">
      <c r="A33" s="19"/>
      <c r="B33" s="199" t="str">
        <f ca="1">IFERROR(__xludf.DUMMYFUNCTION("filter(Data!I:I,Data!C:C=G4,Data!D:D=J4)"),"")</f>
        <v/>
      </c>
      <c r="C33" s="176"/>
      <c r="D33" s="176"/>
      <c r="E33" s="176"/>
      <c r="F33" s="176"/>
      <c r="G33" s="177"/>
      <c r="H33" s="188" t="str">
        <f ca="1">IFERROR(__xludf.DUMMYFUNCTION("filter('Raw Data - Field Input'!J2:J1014,'Raw Data - Field Input'!A2:A1014=D4,'Raw Data - Field Input'!B2:B1014=G4,'Raw Data - Field Input'!D2:D1014=J4)"),"1. This is ST Konda dora dominant village which is majorly inclined towards YCP party .
2.TDP banked on Kapu along with Bc community of settibalija.
3.TDP failed to fulfil the promises of laying roads and hence there is a shift of vote bank towards YCP pa"&amp;"rty to give it a one chance.")</f>
        <v>1. This is ST Konda dora dominant village which is majorly inclined towards YCP party .
2.TDP banked on Kapu along with Bc community of settibalija.
3.TDP failed to fulfil the promises of laying roads and hence there is a shift of vote bank towards YCP party to give it a one chance.</v>
      </c>
      <c r="I33" s="176"/>
      <c r="J33" s="176"/>
      <c r="K33" s="176"/>
      <c r="L33" s="176"/>
      <c r="M33" s="177"/>
      <c r="N33" s="2"/>
      <c r="O33" s="2"/>
      <c r="P33" s="2"/>
      <c r="Q33" s="2"/>
      <c r="R33" s="2"/>
      <c r="S33" s="2"/>
      <c r="T33" s="2"/>
      <c r="U33" s="2"/>
      <c r="V33" s="2"/>
      <c r="W33" s="2"/>
      <c r="X33" s="2"/>
      <c r="Y33" s="2"/>
      <c r="Z33" s="2"/>
      <c r="AA33" s="2"/>
    </row>
    <row r="34" spans="1:27" ht="18" customHeight="1">
      <c r="A34" s="19"/>
      <c r="B34" s="192"/>
      <c r="C34" s="176"/>
      <c r="D34" s="176"/>
      <c r="E34" s="176"/>
      <c r="F34" s="176"/>
      <c r="G34" s="177"/>
      <c r="H34" s="176"/>
      <c r="I34" s="176"/>
      <c r="J34" s="176"/>
      <c r="K34" s="176"/>
      <c r="L34" s="176"/>
      <c r="M34" s="177"/>
      <c r="N34" s="2"/>
      <c r="O34" s="2"/>
      <c r="P34" s="2"/>
      <c r="Q34" s="2"/>
      <c r="R34" s="2"/>
      <c r="S34" s="2"/>
      <c r="T34" s="2"/>
      <c r="U34" s="2"/>
      <c r="V34" s="2"/>
      <c r="W34" s="2"/>
      <c r="X34" s="2"/>
      <c r="Y34" s="2"/>
      <c r="Z34" s="2"/>
      <c r="AA34" s="2"/>
    </row>
    <row r="35" spans="1:27" ht="18" customHeight="1">
      <c r="A35" s="19"/>
      <c r="B35" s="192"/>
      <c r="C35" s="176"/>
      <c r="D35" s="176"/>
      <c r="E35" s="176"/>
      <c r="F35" s="176"/>
      <c r="G35" s="177"/>
      <c r="H35" s="176"/>
      <c r="I35" s="176"/>
      <c r="J35" s="176"/>
      <c r="K35" s="176"/>
      <c r="L35" s="176"/>
      <c r="M35" s="177"/>
      <c r="N35" s="2"/>
      <c r="O35" s="2"/>
      <c r="P35" s="2"/>
      <c r="Q35" s="2"/>
      <c r="R35" s="2"/>
      <c r="S35" s="2"/>
      <c r="T35" s="2"/>
      <c r="U35" s="2"/>
      <c r="V35" s="2"/>
      <c r="W35" s="2"/>
      <c r="X35" s="2"/>
      <c r="Y35" s="2"/>
      <c r="Z35" s="2"/>
      <c r="AA35" s="2"/>
    </row>
    <row r="36" spans="1:27" ht="18" customHeight="1">
      <c r="A36" s="19"/>
      <c r="B36" s="192"/>
      <c r="C36" s="176"/>
      <c r="D36" s="176"/>
      <c r="E36" s="176"/>
      <c r="F36" s="176"/>
      <c r="G36" s="177"/>
      <c r="H36" s="176"/>
      <c r="I36" s="176"/>
      <c r="J36" s="176"/>
      <c r="K36" s="176"/>
      <c r="L36" s="176"/>
      <c r="M36" s="177"/>
      <c r="N36" s="2"/>
      <c r="O36" s="2"/>
      <c r="P36" s="2"/>
      <c r="Q36" s="2"/>
      <c r="R36" s="2"/>
      <c r="S36" s="2"/>
      <c r="T36" s="2"/>
      <c r="U36" s="2"/>
      <c r="V36" s="2"/>
      <c r="W36" s="2"/>
      <c r="X36" s="2"/>
      <c r="Y36" s="2"/>
      <c r="Z36" s="2"/>
      <c r="AA36" s="2"/>
    </row>
    <row r="37" spans="1:27" ht="18" customHeight="1">
      <c r="A37" s="19"/>
      <c r="B37" s="192"/>
      <c r="C37" s="176"/>
      <c r="D37" s="176"/>
      <c r="E37" s="176"/>
      <c r="F37" s="176"/>
      <c r="G37" s="177"/>
      <c r="H37" s="176"/>
      <c r="I37" s="176"/>
      <c r="J37" s="176"/>
      <c r="K37" s="176"/>
      <c r="L37" s="176"/>
      <c r="M37" s="177"/>
      <c r="N37" s="2"/>
      <c r="O37" s="2"/>
      <c r="P37" s="2"/>
      <c r="Q37" s="2"/>
      <c r="R37" s="2"/>
      <c r="S37" s="2"/>
      <c r="T37" s="2"/>
      <c r="U37" s="2"/>
      <c r="V37" s="2"/>
      <c r="W37" s="2"/>
      <c r="X37" s="2"/>
      <c r="Y37" s="2"/>
      <c r="Z37" s="2"/>
      <c r="AA37" s="2"/>
    </row>
    <row r="38" spans="1:27" ht="18" customHeight="1">
      <c r="A38" s="19"/>
      <c r="B38" s="192"/>
      <c r="C38" s="176"/>
      <c r="D38" s="176"/>
      <c r="E38" s="176"/>
      <c r="F38" s="176"/>
      <c r="G38" s="177"/>
      <c r="H38" s="176"/>
      <c r="I38" s="176"/>
      <c r="J38" s="176"/>
      <c r="K38" s="176"/>
      <c r="L38" s="176"/>
      <c r="M38" s="177"/>
      <c r="N38" s="2"/>
      <c r="O38" s="2"/>
      <c r="P38" s="2"/>
      <c r="Q38" s="2"/>
      <c r="R38" s="2"/>
      <c r="S38" s="2"/>
      <c r="T38" s="2"/>
      <c r="U38" s="2"/>
      <c r="V38" s="2"/>
      <c r="W38" s="2"/>
      <c r="X38" s="2"/>
      <c r="Y38" s="2"/>
      <c r="Z38" s="2"/>
      <c r="AA38" s="2"/>
    </row>
    <row r="39" spans="1:27" ht="18" customHeight="1">
      <c r="A39" s="19"/>
      <c r="B39" s="192"/>
      <c r="C39" s="176"/>
      <c r="D39" s="176"/>
      <c r="E39" s="176"/>
      <c r="F39" s="176"/>
      <c r="G39" s="177"/>
      <c r="H39" s="176"/>
      <c r="I39" s="176"/>
      <c r="J39" s="176"/>
      <c r="K39" s="176"/>
      <c r="L39" s="176"/>
      <c r="M39" s="177"/>
      <c r="N39" s="2"/>
      <c r="O39" s="2"/>
      <c r="P39" s="2"/>
      <c r="Q39" s="2"/>
      <c r="R39" s="2"/>
      <c r="S39" s="2"/>
      <c r="T39" s="2"/>
      <c r="U39" s="2"/>
      <c r="V39" s="2"/>
      <c r="W39" s="2"/>
      <c r="X39" s="2"/>
      <c r="Y39" s="2"/>
      <c r="Z39" s="2"/>
      <c r="AA39" s="2"/>
    </row>
    <row r="40" spans="1:27" ht="13.15">
      <c r="A40" s="12"/>
      <c r="B40" s="189" t="s">
        <v>50</v>
      </c>
      <c r="C40" s="190"/>
      <c r="D40" s="190"/>
      <c r="E40" s="190"/>
      <c r="F40" s="190"/>
      <c r="G40" s="190"/>
      <c r="H40" s="190"/>
      <c r="I40" s="190"/>
      <c r="J40" s="190"/>
      <c r="K40" s="190"/>
      <c r="L40" s="190"/>
      <c r="M40" s="191"/>
      <c r="N40" s="2"/>
      <c r="O40" s="2"/>
      <c r="P40" s="2"/>
      <c r="Q40" s="2"/>
      <c r="R40" s="2"/>
      <c r="S40" s="2"/>
      <c r="T40" s="2"/>
      <c r="U40" s="2"/>
      <c r="V40" s="2"/>
      <c r="W40" s="2"/>
      <c r="X40" s="2"/>
      <c r="Y40" s="2"/>
      <c r="Z40" s="2"/>
      <c r="AA40" s="2"/>
    </row>
    <row r="41" spans="1:27" ht="13.15">
      <c r="A41" s="12"/>
      <c r="B41" s="192"/>
      <c r="C41" s="176"/>
      <c r="D41" s="176"/>
      <c r="E41" s="176"/>
      <c r="F41" s="176"/>
      <c r="G41" s="176"/>
      <c r="H41" s="176"/>
      <c r="I41" s="176"/>
      <c r="J41" s="176"/>
      <c r="K41" s="176"/>
      <c r="L41" s="176"/>
      <c r="M41" s="177"/>
      <c r="N41" s="2"/>
      <c r="O41" s="2"/>
      <c r="P41" s="2"/>
      <c r="Q41" s="2"/>
      <c r="R41" s="2"/>
      <c r="S41" s="2"/>
      <c r="T41" s="2"/>
      <c r="U41" s="2"/>
      <c r="V41" s="2"/>
      <c r="W41" s="2"/>
      <c r="X41" s="2"/>
      <c r="Y41" s="2"/>
      <c r="Z41" s="2"/>
      <c r="AA41" s="2"/>
    </row>
    <row r="42" spans="1:27" ht="13.15">
      <c r="A42" s="12"/>
      <c r="B42" s="193" t="s">
        <v>51</v>
      </c>
      <c r="C42" s="190"/>
      <c r="D42" s="190"/>
      <c r="E42" s="190"/>
      <c r="F42" s="190"/>
      <c r="G42" s="191"/>
      <c r="H42" s="194" t="s">
        <v>52</v>
      </c>
      <c r="I42" s="190"/>
      <c r="J42" s="190"/>
      <c r="K42" s="190"/>
      <c r="L42" s="190"/>
      <c r="M42" s="191"/>
      <c r="N42" s="2"/>
      <c r="O42" s="2"/>
      <c r="P42" s="2"/>
      <c r="Q42" s="2"/>
      <c r="R42" s="2"/>
      <c r="S42" s="2"/>
      <c r="T42" s="2"/>
      <c r="U42" s="2"/>
      <c r="V42" s="2"/>
      <c r="W42" s="2"/>
      <c r="X42" s="2"/>
      <c r="Y42" s="2"/>
      <c r="Z42" s="2"/>
      <c r="AA42" s="2"/>
    </row>
    <row r="43" spans="1:27" ht="25.5" customHeight="1">
      <c r="A43" s="12"/>
      <c r="B43" s="245" t="str">
        <f ca="1">IFERROR(__xludf.DUMMYFUNCTION("filter(Data!J:J,Data!C:C=G4,Data!D:D=J4)"),"")</f>
        <v/>
      </c>
      <c r="C43" s="190"/>
      <c r="D43" s="190"/>
      <c r="E43" s="190"/>
      <c r="F43" s="190"/>
      <c r="G43" s="190"/>
      <c r="H43" s="195" t="s">
        <v>53</v>
      </c>
      <c r="I43" s="196"/>
      <c r="J43" s="196"/>
      <c r="K43" s="197" t="str">
        <f ca="1">IFERROR(__xludf.DUMMYFUNCTION("filter(Data!K:K,Data!C:C=G4,Data!D:D=J4)"),"")</f>
        <v/>
      </c>
      <c r="L43" s="196"/>
      <c r="M43" s="198"/>
      <c r="N43" s="2"/>
      <c r="O43" s="2"/>
      <c r="P43" s="2"/>
      <c r="Q43" s="2"/>
      <c r="R43" s="2"/>
      <c r="S43" s="2"/>
      <c r="T43" s="2"/>
      <c r="U43" s="2"/>
      <c r="V43" s="2"/>
      <c r="W43" s="2"/>
      <c r="X43" s="2"/>
      <c r="Y43" s="2"/>
      <c r="Z43" s="2"/>
      <c r="AA43" s="2"/>
    </row>
    <row r="44" spans="1:27" ht="25.5" customHeight="1">
      <c r="A44" s="12"/>
      <c r="B44" s="192"/>
      <c r="C44" s="176"/>
      <c r="D44" s="176"/>
      <c r="E44" s="176"/>
      <c r="F44" s="176"/>
      <c r="G44" s="176"/>
      <c r="H44" s="199" t="str">
        <f ca="1">IFERROR(__xludf.DUMMYFUNCTION("filter(Data!L:L,Data!C:C=G4,Data!D:D=J4)"),"")</f>
        <v/>
      </c>
      <c r="I44" s="176"/>
      <c r="J44" s="176"/>
      <c r="K44" s="176"/>
      <c r="L44" s="176"/>
      <c r="M44" s="177"/>
      <c r="N44" s="2"/>
      <c r="O44" s="2"/>
      <c r="P44" s="2"/>
      <c r="Q44" s="2"/>
      <c r="R44" s="2"/>
      <c r="S44" s="2"/>
      <c r="T44" s="2"/>
      <c r="U44" s="2"/>
      <c r="V44" s="2"/>
      <c r="W44" s="2"/>
      <c r="X44" s="2"/>
      <c r="Y44" s="2"/>
      <c r="Z44" s="2"/>
      <c r="AA44" s="2"/>
    </row>
    <row r="45" spans="1:27" ht="25.5" customHeight="1">
      <c r="A45" s="12"/>
      <c r="B45" s="192"/>
      <c r="C45" s="176"/>
      <c r="D45" s="176"/>
      <c r="E45" s="176"/>
      <c r="F45" s="176"/>
      <c r="G45" s="176"/>
      <c r="H45" s="192"/>
      <c r="I45" s="176"/>
      <c r="J45" s="176"/>
      <c r="K45" s="176"/>
      <c r="L45" s="176"/>
      <c r="M45" s="177"/>
      <c r="N45" s="2"/>
      <c r="O45" s="2"/>
      <c r="P45" s="2"/>
      <c r="Q45" s="2"/>
      <c r="R45" s="2"/>
      <c r="S45" s="2"/>
      <c r="T45" s="2"/>
      <c r="U45" s="2"/>
      <c r="V45" s="2"/>
      <c r="W45" s="2"/>
      <c r="X45" s="2"/>
      <c r="Y45" s="2"/>
      <c r="Z45" s="2"/>
      <c r="AA45" s="2"/>
    </row>
    <row r="46" spans="1:27" ht="25.5" customHeight="1">
      <c r="A46" s="12"/>
      <c r="B46" s="192"/>
      <c r="C46" s="176"/>
      <c r="D46" s="176"/>
      <c r="E46" s="176"/>
      <c r="F46" s="176"/>
      <c r="G46" s="176"/>
      <c r="H46" s="192"/>
      <c r="I46" s="176"/>
      <c r="J46" s="176"/>
      <c r="K46" s="176"/>
      <c r="L46" s="176"/>
      <c r="M46" s="177"/>
      <c r="N46" s="2"/>
      <c r="O46" s="2"/>
      <c r="P46" s="2"/>
      <c r="Q46" s="2"/>
      <c r="R46" s="2"/>
      <c r="S46" s="2"/>
      <c r="T46" s="2"/>
      <c r="U46" s="2"/>
      <c r="V46" s="2"/>
      <c r="W46" s="2"/>
      <c r="X46" s="2"/>
      <c r="Y46" s="2"/>
      <c r="Z46" s="2"/>
      <c r="AA46" s="2"/>
    </row>
    <row r="47" spans="1:27" ht="25.5" customHeight="1">
      <c r="A47" s="12"/>
      <c r="B47" s="200"/>
      <c r="C47" s="201"/>
      <c r="D47" s="201"/>
      <c r="E47" s="201"/>
      <c r="F47" s="201"/>
      <c r="G47" s="201"/>
      <c r="H47" s="200"/>
      <c r="I47" s="201"/>
      <c r="J47" s="201"/>
      <c r="K47" s="201"/>
      <c r="L47" s="201"/>
      <c r="M47" s="202"/>
      <c r="N47" s="2"/>
      <c r="O47" s="2"/>
      <c r="P47" s="2"/>
      <c r="Q47" s="2"/>
      <c r="R47" s="2"/>
      <c r="S47" s="2"/>
      <c r="T47" s="2"/>
      <c r="U47" s="2"/>
      <c r="V47" s="2"/>
      <c r="W47" s="2"/>
      <c r="X47" s="2"/>
      <c r="Y47" s="2"/>
      <c r="Z47" s="2"/>
      <c r="AA47" s="2"/>
    </row>
    <row r="48" spans="1:27" ht="13.15">
      <c r="A48" s="12"/>
      <c r="B48" s="189" t="s">
        <v>54</v>
      </c>
      <c r="C48" s="190"/>
      <c r="D48" s="190"/>
      <c r="E48" s="190"/>
      <c r="F48" s="190"/>
      <c r="G48" s="190"/>
      <c r="H48" s="190"/>
      <c r="I48" s="190"/>
      <c r="J48" s="190"/>
      <c r="K48" s="190"/>
      <c r="L48" s="190"/>
      <c r="M48" s="191"/>
      <c r="N48" s="2"/>
      <c r="O48" s="2"/>
      <c r="P48" s="2"/>
      <c r="Q48" s="2"/>
      <c r="R48" s="2"/>
      <c r="S48" s="2"/>
      <c r="T48" s="2"/>
      <c r="U48" s="2"/>
      <c r="V48" s="2"/>
      <c r="W48" s="2"/>
      <c r="X48" s="2"/>
      <c r="Y48" s="2"/>
      <c r="Z48" s="2"/>
      <c r="AA48" s="2"/>
    </row>
    <row r="49" spans="1:27" ht="13.15">
      <c r="A49" s="12"/>
      <c r="B49" s="192"/>
      <c r="C49" s="176"/>
      <c r="D49" s="176"/>
      <c r="E49" s="176"/>
      <c r="F49" s="176"/>
      <c r="G49" s="176"/>
      <c r="H49" s="176"/>
      <c r="I49" s="176"/>
      <c r="J49" s="176"/>
      <c r="K49" s="176"/>
      <c r="L49" s="176"/>
      <c r="M49" s="177"/>
      <c r="N49" s="2"/>
      <c r="O49" s="2"/>
      <c r="P49" s="2"/>
      <c r="Q49" s="2"/>
      <c r="R49" s="2"/>
      <c r="S49" s="2"/>
      <c r="T49" s="2"/>
      <c r="U49" s="2"/>
      <c r="V49" s="2"/>
      <c r="W49" s="2"/>
      <c r="X49" s="2"/>
      <c r="Y49" s="2"/>
      <c r="Z49" s="2"/>
      <c r="AA49" s="2"/>
    </row>
    <row r="50" spans="1:27" ht="13.15">
      <c r="A50" s="12"/>
      <c r="B50" s="38" t="s">
        <v>55</v>
      </c>
      <c r="C50" s="197" t="s">
        <v>56</v>
      </c>
      <c r="D50" s="196"/>
      <c r="E50" s="203"/>
      <c r="F50" s="197" t="s">
        <v>21</v>
      </c>
      <c r="G50" s="203"/>
      <c r="H50" s="39" t="s">
        <v>57</v>
      </c>
      <c r="I50" s="39" t="s">
        <v>13</v>
      </c>
      <c r="J50" s="197" t="s">
        <v>58</v>
      </c>
      <c r="K50" s="203"/>
      <c r="L50" s="39" t="s">
        <v>59</v>
      </c>
      <c r="M50" s="40" t="s">
        <v>60</v>
      </c>
      <c r="N50" s="2"/>
      <c r="O50" s="2"/>
      <c r="P50" s="2"/>
      <c r="Q50" s="2"/>
      <c r="R50" s="2"/>
      <c r="S50" s="2"/>
      <c r="T50" s="2"/>
      <c r="U50" s="2"/>
      <c r="V50" s="2"/>
      <c r="W50" s="2"/>
      <c r="X50" s="2"/>
      <c r="Y50" s="2"/>
      <c r="Z50" s="2"/>
      <c r="AA50" s="2"/>
    </row>
    <row r="51" spans="1:27" ht="13.15">
      <c r="A51" s="12"/>
      <c r="B51" s="41">
        <v>1</v>
      </c>
      <c r="C51" s="204" t="str">
        <f ca="1">IFERROR(__xludf.DUMMYFUNCTION("filter('Key Leaders'!E:E,'Key Leaders'!D:D=B51,'Key Leaders'!A:A=D$4,'Key Leaders'!B:B=G$4,'Key Leaders'!C:C=J$4)"),"#N/A")</f>
        <v>#N/A</v>
      </c>
      <c r="D51" s="196"/>
      <c r="E51" s="203"/>
      <c r="F51" s="204" t="str">
        <f ca="1">IFERROR(__xludf.DUMMYFUNCTION("filter('Key Leaders'!F:F,'Key Leaders'!D:D=B51,'Key Leaders'!A:A=D$4,'Key Leaders'!B:B=G$4,'Key Leaders'!C:C=J$4)"),"#N/A")</f>
        <v>#N/A</v>
      </c>
      <c r="G51" s="203"/>
      <c r="H51" s="42" t="str">
        <f ca="1">IFERROR(__xludf.DUMMYFUNCTION("filter('Key Leaders'!G:H,'Key Leaders'!D:D=B51,'Key Leaders'!A:A=D$4,'Key Leaders'!B:B=G$4,'Key Leaders'!C:C=J$4)"),"#N/A")</f>
        <v>#N/A</v>
      </c>
      <c r="I51" s="42"/>
      <c r="J51" s="204" t="str">
        <f ca="1">IFERROR(__xludf.DUMMYFUNCTION("filter('Key Leaders'!I:I,'Key Leaders'!D:D=B51,'Key Leaders'!A:A=D$4,'Key Leaders'!B:B=G$4,'Key Leaders'!C:C=J$4)"),"#N/A")</f>
        <v>#N/A</v>
      </c>
      <c r="K51" s="203"/>
      <c r="L51" s="42" t="str">
        <f ca="1">IFERROR(__xludf.DUMMYFUNCTION("filter('Key Leaders'!J:K,'Key Leaders'!D:D=B51,'Key Leaders'!A:A=D$4,'Key Leaders'!B:B=G$4,'Key Leaders'!C:C=J$4)"),"#N/A")</f>
        <v>#N/A</v>
      </c>
      <c r="M51" s="43"/>
      <c r="N51" s="2"/>
      <c r="O51" s="2"/>
      <c r="P51" s="2"/>
      <c r="Q51" s="2"/>
      <c r="R51" s="2"/>
      <c r="S51" s="2"/>
      <c r="T51" s="2"/>
      <c r="U51" s="2"/>
      <c r="V51" s="2"/>
      <c r="W51" s="2"/>
      <c r="X51" s="2"/>
      <c r="Y51" s="2"/>
      <c r="Z51" s="2"/>
      <c r="AA51" s="2"/>
    </row>
    <row r="52" spans="1:27" ht="13.15">
      <c r="A52" s="12"/>
      <c r="B52" s="41">
        <v>2</v>
      </c>
      <c r="C52" s="204" t="str">
        <f ca="1">IFERROR(__xludf.DUMMYFUNCTION("filter('Key Leaders'!E:E,'Key Leaders'!D:D=B52,'Key Leaders'!A:A=D$4,'Key Leaders'!B:B=G$4,'Key Leaders'!C:C=J$4)"),"#N/A")</f>
        <v>#N/A</v>
      </c>
      <c r="D52" s="196"/>
      <c r="E52" s="203"/>
      <c r="F52" s="204" t="str">
        <f ca="1">IFERROR(__xludf.DUMMYFUNCTION("filter('Key Leaders'!F:F,'Key Leaders'!D:D=B52,'Key Leaders'!A:A=D$4,'Key Leaders'!B:B=G$4,'Key Leaders'!C:C=J$4)"),"#N/A")</f>
        <v>#N/A</v>
      </c>
      <c r="G52" s="203"/>
      <c r="H52" s="42" t="str">
        <f ca="1">IFERROR(__xludf.DUMMYFUNCTION("filter('Key Leaders'!G:H,'Key Leaders'!D:D=B52,'Key Leaders'!A:A=D$4,'Key Leaders'!B:B=G$4,'Key Leaders'!C:C=J$4)"),"#N/A")</f>
        <v>#N/A</v>
      </c>
      <c r="I52" s="42"/>
      <c r="J52" s="204" t="str">
        <f ca="1">IFERROR(__xludf.DUMMYFUNCTION("filter('Key Leaders'!I:I,'Key Leaders'!D:D=B52,'Key Leaders'!A:A=D$4,'Key Leaders'!B:B=G$4,'Key Leaders'!C:C=J$4)"),"#N/A")</f>
        <v>#N/A</v>
      </c>
      <c r="K52" s="203"/>
      <c r="L52" s="42" t="str">
        <f ca="1">IFERROR(__xludf.DUMMYFUNCTION("filter('Key Leaders'!J:K,'Key Leaders'!D:D=B52,'Key Leaders'!A:A=D$4,'Key Leaders'!B:B=G$4,'Key Leaders'!C:C=J$4)"),"#N/A")</f>
        <v>#N/A</v>
      </c>
      <c r="M52" s="43"/>
      <c r="N52" s="2"/>
      <c r="O52" s="2"/>
      <c r="P52" s="2"/>
      <c r="Q52" s="2"/>
      <c r="R52" s="2"/>
      <c r="S52" s="2"/>
      <c r="T52" s="2"/>
      <c r="U52" s="2"/>
      <c r="V52" s="2"/>
      <c r="W52" s="2"/>
      <c r="X52" s="2"/>
      <c r="Y52" s="2"/>
      <c r="Z52" s="2"/>
      <c r="AA52" s="2"/>
    </row>
    <row r="53" spans="1:27" ht="13.15">
      <c r="A53" s="12"/>
      <c r="B53" s="41">
        <v>3</v>
      </c>
      <c r="C53" s="204" t="str">
        <f ca="1">IFERROR(__xludf.DUMMYFUNCTION("filter('Key Leaders'!E:E,'Key Leaders'!D:D=B53,'Key Leaders'!A:A=D$4,'Key Leaders'!B:B=G$4,'Key Leaders'!C:C=J$4)"),"#N/A")</f>
        <v>#N/A</v>
      </c>
      <c r="D53" s="196"/>
      <c r="E53" s="203"/>
      <c r="F53" s="204" t="str">
        <f ca="1">IFERROR(__xludf.DUMMYFUNCTION("filter('Key Leaders'!F:F,'Key Leaders'!D:D=B53,'Key Leaders'!A:A=D$4,'Key Leaders'!B:B=G$4,'Key Leaders'!C:C=J$4)"),"#N/A")</f>
        <v>#N/A</v>
      </c>
      <c r="G53" s="203"/>
      <c r="H53" s="42" t="str">
        <f ca="1">IFERROR(__xludf.DUMMYFUNCTION("filter('Key Leaders'!G:H,'Key Leaders'!D:D=B53,'Key Leaders'!A:A=D$4,'Key Leaders'!B:B=G$4,'Key Leaders'!C:C=J$4)"),"#N/A")</f>
        <v>#N/A</v>
      </c>
      <c r="I53" s="42"/>
      <c r="J53" s="204" t="str">
        <f ca="1">IFERROR(__xludf.DUMMYFUNCTION("filter('Key Leaders'!I:I,'Key Leaders'!D:D=B53,'Key Leaders'!A:A=D$4,'Key Leaders'!B:B=G$4,'Key Leaders'!C:C=J$4)"),"#N/A")</f>
        <v>#N/A</v>
      </c>
      <c r="K53" s="203"/>
      <c r="L53" s="42" t="str">
        <f ca="1">IFERROR(__xludf.DUMMYFUNCTION("filter('Key Leaders'!J:K,'Key Leaders'!D:D=B53,'Key Leaders'!A:A=D$4,'Key Leaders'!B:B=G$4,'Key Leaders'!C:C=J$4)"),"#N/A")</f>
        <v>#N/A</v>
      </c>
      <c r="M53" s="43"/>
      <c r="N53" s="2"/>
      <c r="O53" s="2"/>
      <c r="P53" s="2"/>
      <c r="Q53" s="2"/>
      <c r="R53" s="2"/>
      <c r="S53" s="2"/>
      <c r="T53" s="2"/>
      <c r="U53" s="2"/>
      <c r="V53" s="2"/>
      <c r="W53" s="2"/>
      <c r="X53" s="2"/>
      <c r="Y53" s="2"/>
      <c r="Z53" s="2"/>
      <c r="AA53" s="2"/>
    </row>
    <row r="54" spans="1:27" ht="13.15">
      <c r="A54" s="12"/>
      <c r="B54" s="41">
        <v>4</v>
      </c>
      <c r="C54" s="204" t="str">
        <f ca="1">IFERROR(__xludf.DUMMYFUNCTION("filter('Key Leaders'!E:E,'Key Leaders'!D:D=B54,'Key Leaders'!A:A=D$4,'Key Leaders'!B:B=G$4,'Key Leaders'!C:C=J$4)"),"#N/A")</f>
        <v>#N/A</v>
      </c>
      <c r="D54" s="196"/>
      <c r="E54" s="203"/>
      <c r="F54" s="204" t="str">
        <f ca="1">IFERROR(__xludf.DUMMYFUNCTION("filter('Key Leaders'!F:F,'Key Leaders'!D:D=B54,'Key Leaders'!A:A=D$4,'Key Leaders'!B:B=G$4,'Key Leaders'!C:C=J$4)"),"#N/A")</f>
        <v>#N/A</v>
      </c>
      <c r="G54" s="203"/>
      <c r="H54" s="42" t="str">
        <f ca="1">IFERROR(__xludf.DUMMYFUNCTION("filter('Key Leaders'!G:H,'Key Leaders'!D:D=B54,'Key Leaders'!A:A=D$4,'Key Leaders'!B:B=G$4,'Key Leaders'!C:C=J$4)"),"#N/A")</f>
        <v>#N/A</v>
      </c>
      <c r="I54" s="42"/>
      <c r="J54" s="204" t="str">
        <f ca="1">IFERROR(__xludf.DUMMYFUNCTION("filter('Key Leaders'!I:I,'Key Leaders'!D:D=B54,'Key Leaders'!A:A=D$4,'Key Leaders'!B:B=G$4,'Key Leaders'!C:C=J$4)"),"#N/A")</f>
        <v>#N/A</v>
      </c>
      <c r="K54" s="203"/>
      <c r="L54" s="42" t="str">
        <f ca="1">IFERROR(__xludf.DUMMYFUNCTION("filter('Key Leaders'!J:K,'Key Leaders'!D:D=B54,'Key Leaders'!A:A=D$4,'Key Leaders'!B:B=G$4,'Key Leaders'!C:C=J$4)"),"#N/A")</f>
        <v>#N/A</v>
      </c>
      <c r="M54" s="43"/>
      <c r="N54" s="2"/>
      <c r="O54" s="2"/>
      <c r="P54" s="2"/>
      <c r="Q54" s="2"/>
      <c r="R54" s="2"/>
      <c r="S54" s="2"/>
      <c r="T54" s="2"/>
      <c r="U54" s="2"/>
      <c r="V54" s="2"/>
      <c r="W54" s="2"/>
      <c r="X54" s="2"/>
      <c r="Y54" s="2"/>
      <c r="Z54" s="2"/>
      <c r="AA54" s="2"/>
    </row>
    <row r="55" spans="1:27" ht="13.15">
      <c r="A55" s="12"/>
      <c r="B55" s="41">
        <v>5</v>
      </c>
      <c r="C55" s="204" t="str">
        <f ca="1">IFERROR(__xludf.DUMMYFUNCTION("filter('Key Leaders'!E:E,'Key Leaders'!D:D=B55,'Key Leaders'!A:A=D$4,'Key Leaders'!B:B=G$4,'Key Leaders'!C:C=J$4)"),"#N/A")</f>
        <v>#N/A</v>
      </c>
      <c r="D55" s="196"/>
      <c r="E55" s="203"/>
      <c r="F55" s="204" t="str">
        <f ca="1">IFERROR(__xludf.DUMMYFUNCTION("filter('Key Leaders'!F:F,'Key Leaders'!D:D=B55,'Key Leaders'!A:A=D$4,'Key Leaders'!B:B=G$4,'Key Leaders'!C:C=J$4)"),"#N/A")</f>
        <v>#N/A</v>
      </c>
      <c r="G55" s="203"/>
      <c r="H55" s="42" t="str">
        <f ca="1">IFERROR(__xludf.DUMMYFUNCTION("filter('Key Leaders'!G:H,'Key Leaders'!D:D=B55,'Key Leaders'!A:A=D$4,'Key Leaders'!B:B=G$4,'Key Leaders'!C:C=J$4)"),"#N/A")</f>
        <v>#N/A</v>
      </c>
      <c r="I55" s="42"/>
      <c r="J55" s="204" t="str">
        <f ca="1">IFERROR(__xludf.DUMMYFUNCTION("filter('Key Leaders'!I:I,'Key Leaders'!D:D=B55,'Key Leaders'!A:A=D$4,'Key Leaders'!B:B=G$4,'Key Leaders'!C:C=J$4)"),"#N/A")</f>
        <v>#N/A</v>
      </c>
      <c r="K55" s="203"/>
      <c r="L55" s="42" t="str">
        <f ca="1">IFERROR(__xludf.DUMMYFUNCTION("filter('Key Leaders'!J:K,'Key Leaders'!D:D=B55,'Key Leaders'!A:A=D$4,'Key Leaders'!B:B=G$4,'Key Leaders'!C:C=J$4)"),"#N/A")</f>
        <v>#N/A</v>
      </c>
      <c r="M55" s="43"/>
      <c r="N55" s="2"/>
      <c r="O55" s="2"/>
      <c r="P55" s="2"/>
      <c r="Q55" s="2"/>
      <c r="R55" s="2"/>
      <c r="S55" s="2"/>
      <c r="T55" s="2"/>
      <c r="U55" s="2"/>
      <c r="V55" s="2"/>
      <c r="W55" s="2"/>
      <c r="X55" s="2"/>
      <c r="Y55" s="2"/>
      <c r="Z55" s="2"/>
      <c r="AA55" s="2"/>
    </row>
    <row r="56" spans="1:27" ht="13.15">
      <c r="A56" s="12"/>
      <c r="B56" s="41">
        <v>6</v>
      </c>
      <c r="C56" s="204" t="str">
        <f ca="1">IFERROR(__xludf.DUMMYFUNCTION("filter('Key Leaders'!E:E,'Key Leaders'!D:D=B56,'Key Leaders'!A:A=D$4,'Key Leaders'!B:B=G$4,'Key Leaders'!C:C=J$4)"),"#N/A")</f>
        <v>#N/A</v>
      </c>
      <c r="D56" s="196"/>
      <c r="E56" s="203"/>
      <c r="F56" s="204" t="str">
        <f ca="1">IFERROR(__xludf.DUMMYFUNCTION("filter('Key Leaders'!F:F,'Key Leaders'!D:D=B56,'Key Leaders'!A:A=D$4,'Key Leaders'!B:B=G$4,'Key Leaders'!C:C=J$4)"),"#N/A")</f>
        <v>#N/A</v>
      </c>
      <c r="G56" s="203"/>
      <c r="H56" s="42" t="str">
        <f ca="1">IFERROR(__xludf.DUMMYFUNCTION("filter('Key Leaders'!G:H,'Key Leaders'!D:D=B56,'Key Leaders'!A:A=D$4,'Key Leaders'!B:B=G$4,'Key Leaders'!C:C=J$4)"),"#N/A")</f>
        <v>#N/A</v>
      </c>
      <c r="I56" s="42"/>
      <c r="J56" s="204" t="str">
        <f ca="1">IFERROR(__xludf.DUMMYFUNCTION("filter('Key Leaders'!I:I,'Key Leaders'!D:D=B56,'Key Leaders'!A:A=D$4,'Key Leaders'!B:B=G$4,'Key Leaders'!C:C=J$4)"),"#N/A")</f>
        <v>#N/A</v>
      </c>
      <c r="K56" s="203"/>
      <c r="L56" s="42" t="str">
        <f ca="1">IFERROR(__xludf.DUMMYFUNCTION("filter('Key Leaders'!J:K,'Key Leaders'!D:D=B56,'Key Leaders'!A:A=D$4,'Key Leaders'!B:B=G$4,'Key Leaders'!C:C=J$4)"),"#N/A")</f>
        <v>#N/A</v>
      </c>
      <c r="M56" s="43"/>
      <c r="N56" s="2"/>
      <c r="O56" s="2"/>
      <c r="P56" s="2"/>
      <c r="Q56" s="2"/>
      <c r="R56" s="2"/>
      <c r="S56" s="2"/>
      <c r="T56" s="2"/>
      <c r="U56" s="2"/>
      <c r="V56" s="2"/>
      <c r="W56" s="2"/>
      <c r="X56" s="2"/>
      <c r="Y56" s="2"/>
      <c r="Z56" s="2"/>
      <c r="AA56" s="2"/>
    </row>
    <row r="57" spans="1:27" ht="13.15">
      <c r="A57" s="12"/>
      <c r="B57" s="41">
        <v>7</v>
      </c>
      <c r="C57" s="204" t="str">
        <f ca="1">IFERROR(__xludf.DUMMYFUNCTION("filter('Key Leaders'!E:E,'Key Leaders'!D:D=B57,'Key Leaders'!A:A=D$4,'Key Leaders'!B:B=G$4,'Key Leaders'!C:C=J$4)"),"#N/A")</f>
        <v>#N/A</v>
      </c>
      <c r="D57" s="196"/>
      <c r="E57" s="203"/>
      <c r="F57" s="204" t="str">
        <f ca="1">IFERROR(__xludf.DUMMYFUNCTION("filter('Key Leaders'!F:F,'Key Leaders'!D:D=B57,'Key Leaders'!A:A=D$4,'Key Leaders'!B:B=G$4,'Key Leaders'!C:C=J$4)"),"#N/A")</f>
        <v>#N/A</v>
      </c>
      <c r="G57" s="203"/>
      <c r="H57" s="42" t="str">
        <f ca="1">IFERROR(__xludf.DUMMYFUNCTION("filter('Key Leaders'!G:H,'Key Leaders'!D:D=B57,'Key Leaders'!A:A=D$4,'Key Leaders'!B:B=G$4,'Key Leaders'!C:C=J$4)"),"#N/A")</f>
        <v>#N/A</v>
      </c>
      <c r="I57" s="42"/>
      <c r="J57" s="204" t="str">
        <f ca="1">IFERROR(__xludf.DUMMYFUNCTION("filter('Key Leaders'!I:I,'Key Leaders'!D:D=B57,'Key Leaders'!A:A=D$4,'Key Leaders'!B:B=G$4,'Key Leaders'!C:C=J$4)"),"#N/A")</f>
        <v>#N/A</v>
      </c>
      <c r="K57" s="203"/>
      <c r="L57" s="42" t="str">
        <f ca="1">IFERROR(__xludf.DUMMYFUNCTION("filter('Key Leaders'!J:K,'Key Leaders'!D:D=B57,'Key Leaders'!A:A=D$4,'Key Leaders'!B:B=G$4,'Key Leaders'!C:C=J$4)"),"#N/A")</f>
        <v>#N/A</v>
      </c>
      <c r="M57" s="43"/>
      <c r="N57" s="2"/>
      <c r="O57" s="2"/>
      <c r="P57" s="2"/>
      <c r="Q57" s="2"/>
      <c r="R57" s="2"/>
      <c r="S57" s="2"/>
      <c r="T57" s="2"/>
      <c r="U57" s="2"/>
      <c r="V57" s="2"/>
      <c r="W57" s="2"/>
      <c r="X57" s="2"/>
      <c r="Y57" s="2"/>
      <c r="Z57" s="2"/>
      <c r="AA57" s="2"/>
    </row>
    <row r="58" spans="1:27" ht="13.15">
      <c r="A58" s="12"/>
      <c r="B58" s="216" t="s">
        <v>61</v>
      </c>
      <c r="C58" s="201"/>
      <c r="D58" s="201"/>
      <c r="E58" s="201"/>
      <c r="F58" s="201"/>
      <c r="G58" s="201"/>
      <c r="H58" s="216" t="s">
        <v>62</v>
      </c>
      <c r="I58" s="201"/>
      <c r="J58" s="201"/>
      <c r="K58" s="201"/>
      <c r="L58" s="201"/>
      <c r="M58" s="202"/>
      <c r="N58" s="2"/>
      <c r="O58" s="2"/>
      <c r="P58" s="2"/>
      <c r="Q58" s="2"/>
      <c r="R58" s="2"/>
      <c r="S58" s="2"/>
      <c r="T58" s="2"/>
      <c r="U58" s="2"/>
      <c r="V58" s="2"/>
      <c r="W58" s="2"/>
      <c r="X58" s="2"/>
      <c r="Y58" s="2"/>
      <c r="Z58" s="2"/>
      <c r="AA58" s="2"/>
    </row>
    <row r="59" spans="1:27" ht="13.15">
      <c r="A59" s="12"/>
      <c r="B59" s="199" t="str">
        <f ca="1">IFERROR(__xludf.DUMMYFUNCTION("filter(Data!N:N,Data!C:C=G4,Data!D:D=J4)"),"")</f>
        <v/>
      </c>
      <c r="C59" s="176"/>
      <c r="D59" s="176"/>
      <c r="E59" s="176"/>
      <c r="F59" s="176"/>
      <c r="G59" s="176"/>
      <c r="H59" s="199" t="str">
        <f ca="1">IFERROR(__xludf.DUMMYFUNCTION("filter(Data!Q:Q,Data!C:C=G4,Data!D:D=J4)"),"")</f>
        <v/>
      </c>
      <c r="I59" s="176"/>
      <c r="J59" s="176"/>
      <c r="K59" s="176"/>
      <c r="L59" s="176"/>
      <c r="M59" s="177"/>
      <c r="N59" s="2"/>
      <c r="O59" s="2"/>
      <c r="P59" s="2"/>
      <c r="Q59" s="2"/>
      <c r="R59" s="2"/>
      <c r="S59" s="2"/>
      <c r="T59" s="2"/>
      <c r="U59" s="2"/>
      <c r="V59" s="2"/>
      <c r="W59" s="2"/>
      <c r="X59" s="2"/>
      <c r="Y59" s="2"/>
      <c r="Z59" s="2"/>
      <c r="AA59" s="2"/>
    </row>
    <row r="60" spans="1:27" ht="13.15">
      <c r="A60" s="12"/>
      <c r="B60" s="192"/>
      <c r="C60" s="176"/>
      <c r="D60" s="176"/>
      <c r="E60" s="176"/>
      <c r="F60" s="176"/>
      <c r="G60" s="176"/>
      <c r="H60" s="192"/>
      <c r="I60" s="176"/>
      <c r="J60" s="176"/>
      <c r="K60" s="176"/>
      <c r="L60" s="176"/>
      <c r="M60" s="177"/>
      <c r="N60" s="2"/>
      <c r="O60" s="2"/>
      <c r="P60" s="2"/>
      <c r="Q60" s="2"/>
      <c r="R60" s="2"/>
      <c r="S60" s="2"/>
      <c r="T60" s="2"/>
      <c r="U60" s="2"/>
      <c r="V60" s="2"/>
      <c r="W60" s="2"/>
      <c r="X60" s="2"/>
      <c r="Y60" s="2"/>
      <c r="Z60" s="2"/>
      <c r="AA60" s="2"/>
    </row>
    <row r="61" spans="1:27" ht="13.15">
      <c r="A61" s="12"/>
      <c r="B61" s="192"/>
      <c r="C61" s="176"/>
      <c r="D61" s="176"/>
      <c r="E61" s="176"/>
      <c r="F61" s="176"/>
      <c r="G61" s="176"/>
      <c r="H61" s="192"/>
      <c r="I61" s="176"/>
      <c r="J61" s="176"/>
      <c r="K61" s="176"/>
      <c r="L61" s="176"/>
      <c r="M61" s="177"/>
      <c r="N61" s="2"/>
      <c r="O61" s="2"/>
      <c r="P61" s="2"/>
      <c r="Q61" s="2"/>
      <c r="R61" s="2"/>
      <c r="S61" s="2"/>
      <c r="T61" s="2"/>
      <c r="U61" s="2"/>
      <c r="V61" s="2"/>
      <c r="W61" s="2"/>
      <c r="X61" s="2"/>
      <c r="Y61" s="2"/>
      <c r="Z61" s="2"/>
      <c r="AA61" s="2"/>
    </row>
    <row r="62" spans="1:27" ht="13.15">
      <c r="A62" s="12"/>
      <c r="B62" s="192"/>
      <c r="C62" s="176"/>
      <c r="D62" s="176"/>
      <c r="E62" s="176"/>
      <c r="F62" s="176"/>
      <c r="G62" s="176"/>
      <c r="H62" s="192"/>
      <c r="I62" s="176"/>
      <c r="J62" s="176"/>
      <c r="K62" s="176"/>
      <c r="L62" s="176"/>
      <c r="M62" s="177"/>
      <c r="N62" s="2"/>
      <c r="O62" s="2"/>
      <c r="P62" s="2"/>
      <c r="Q62" s="2"/>
      <c r="R62" s="2"/>
      <c r="S62" s="2"/>
      <c r="T62" s="2"/>
      <c r="U62" s="2"/>
      <c r="V62" s="2"/>
      <c r="W62" s="2"/>
      <c r="X62" s="2"/>
      <c r="Y62" s="2"/>
      <c r="Z62" s="2"/>
      <c r="AA62" s="2"/>
    </row>
    <row r="63" spans="1:27" ht="13.15">
      <c r="A63" s="12"/>
      <c r="B63" s="192"/>
      <c r="C63" s="176"/>
      <c r="D63" s="176"/>
      <c r="E63" s="176"/>
      <c r="F63" s="176"/>
      <c r="G63" s="176"/>
      <c r="H63" s="192"/>
      <c r="I63" s="176"/>
      <c r="J63" s="176"/>
      <c r="K63" s="176"/>
      <c r="L63" s="176"/>
      <c r="M63" s="177"/>
      <c r="N63" s="2"/>
      <c r="O63" s="2"/>
      <c r="P63" s="2"/>
      <c r="Q63" s="2"/>
      <c r="R63" s="2"/>
      <c r="S63" s="2"/>
      <c r="T63" s="2"/>
      <c r="U63" s="2"/>
      <c r="V63" s="2"/>
      <c r="W63" s="2"/>
      <c r="X63" s="2"/>
      <c r="Y63" s="2"/>
      <c r="Z63" s="2"/>
      <c r="AA63" s="2"/>
    </row>
    <row r="64" spans="1:27" ht="13.15">
      <c r="A64" s="12"/>
      <c r="B64" s="192"/>
      <c r="C64" s="176"/>
      <c r="D64" s="176"/>
      <c r="E64" s="176"/>
      <c r="F64" s="176"/>
      <c r="G64" s="176"/>
      <c r="H64" s="192"/>
      <c r="I64" s="176"/>
      <c r="J64" s="176"/>
      <c r="K64" s="176"/>
      <c r="L64" s="176"/>
      <c r="M64" s="177"/>
      <c r="N64" s="2"/>
      <c r="O64" s="2"/>
      <c r="P64" s="2"/>
      <c r="Q64" s="2"/>
      <c r="R64" s="2"/>
      <c r="S64" s="2"/>
      <c r="T64" s="2"/>
      <c r="U64" s="2"/>
      <c r="V64" s="2"/>
      <c r="W64" s="2"/>
      <c r="X64" s="2"/>
      <c r="Y64" s="2"/>
      <c r="Z64" s="2"/>
      <c r="AA64" s="2"/>
    </row>
    <row r="65" spans="1:27" ht="13.15">
      <c r="A65" s="12"/>
      <c r="B65" s="192"/>
      <c r="C65" s="176"/>
      <c r="D65" s="176"/>
      <c r="E65" s="176"/>
      <c r="F65" s="176"/>
      <c r="G65" s="176"/>
      <c r="H65" s="192"/>
      <c r="I65" s="176"/>
      <c r="J65" s="176"/>
      <c r="K65" s="176"/>
      <c r="L65" s="176"/>
      <c r="M65" s="177"/>
      <c r="N65" s="2"/>
      <c r="O65" s="2"/>
      <c r="P65" s="2"/>
      <c r="Q65" s="2"/>
      <c r="R65" s="2"/>
      <c r="S65" s="2"/>
      <c r="T65" s="2"/>
      <c r="U65" s="2"/>
      <c r="V65" s="2"/>
      <c r="W65" s="2"/>
      <c r="X65" s="2"/>
      <c r="Y65" s="2"/>
      <c r="Z65" s="2"/>
      <c r="AA65" s="2"/>
    </row>
    <row r="66" spans="1:27" ht="13.15">
      <c r="A66" s="12"/>
      <c r="B66" s="192"/>
      <c r="C66" s="176"/>
      <c r="D66" s="176"/>
      <c r="E66" s="176"/>
      <c r="F66" s="176"/>
      <c r="G66" s="176"/>
      <c r="H66" s="192"/>
      <c r="I66" s="176"/>
      <c r="J66" s="176"/>
      <c r="K66" s="176"/>
      <c r="L66" s="176"/>
      <c r="M66" s="177"/>
      <c r="N66" s="2"/>
      <c r="O66" s="2"/>
      <c r="P66" s="2"/>
      <c r="Q66" s="2"/>
      <c r="R66" s="2"/>
      <c r="S66" s="2"/>
      <c r="T66" s="2"/>
      <c r="U66" s="2"/>
      <c r="V66" s="2"/>
      <c r="W66" s="2"/>
      <c r="X66" s="2"/>
      <c r="Y66" s="2"/>
      <c r="Z66" s="2"/>
      <c r="AA66" s="2"/>
    </row>
    <row r="67" spans="1:27" ht="13.15">
      <c r="A67" s="12"/>
      <c r="B67" s="192"/>
      <c r="C67" s="176"/>
      <c r="D67" s="176"/>
      <c r="E67" s="176"/>
      <c r="F67" s="176"/>
      <c r="G67" s="176"/>
      <c r="H67" s="192"/>
      <c r="I67" s="176"/>
      <c r="J67" s="176"/>
      <c r="K67" s="176"/>
      <c r="L67" s="176"/>
      <c r="M67" s="177"/>
      <c r="N67" s="2"/>
      <c r="O67" s="2"/>
      <c r="P67" s="2"/>
      <c r="Q67" s="2"/>
      <c r="R67" s="2"/>
      <c r="S67" s="2"/>
      <c r="T67" s="2"/>
      <c r="U67" s="2"/>
      <c r="V67" s="2"/>
      <c r="W67" s="2"/>
      <c r="X67" s="2"/>
      <c r="Y67" s="2"/>
      <c r="Z67" s="2"/>
      <c r="AA67" s="2"/>
    </row>
    <row r="68" spans="1:27" ht="13.15">
      <c r="A68" s="12"/>
      <c r="B68" s="192"/>
      <c r="C68" s="176"/>
      <c r="D68" s="176"/>
      <c r="E68" s="176"/>
      <c r="F68" s="176"/>
      <c r="G68" s="176"/>
      <c r="H68" s="192"/>
      <c r="I68" s="176"/>
      <c r="J68" s="176"/>
      <c r="K68" s="176"/>
      <c r="L68" s="176"/>
      <c r="M68" s="177"/>
      <c r="N68" s="2"/>
      <c r="O68" s="2"/>
      <c r="P68" s="2"/>
      <c r="Q68" s="2"/>
      <c r="R68" s="2"/>
      <c r="S68" s="2"/>
      <c r="T68" s="2"/>
      <c r="U68" s="2"/>
      <c r="V68" s="2"/>
      <c r="W68" s="2"/>
      <c r="X68" s="2"/>
      <c r="Y68" s="2"/>
      <c r="Z68" s="2"/>
      <c r="AA68" s="2"/>
    </row>
    <row r="69" spans="1:27" ht="13.15">
      <c r="A69" s="12"/>
      <c r="B69" s="217" t="s">
        <v>63</v>
      </c>
      <c r="C69" s="196"/>
      <c r="D69" s="196"/>
      <c r="E69" s="203"/>
      <c r="F69" s="205" t="s">
        <v>64</v>
      </c>
      <c r="G69" s="196"/>
      <c r="H69" s="196"/>
      <c r="I69" s="203"/>
      <c r="J69" s="205" t="s">
        <v>65</v>
      </c>
      <c r="K69" s="196"/>
      <c r="L69" s="196"/>
      <c r="M69" s="198"/>
      <c r="N69" s="2"/>
      <c r="O69" s="2"/>
      <c r="P69" s="2"/>
      <c r="Q69" s="2"/>
      <c r="R69" s="2"/>
      <c r="S69" s="2"/>
      <c r="T69" s="2"/>
      <c r="U69" s="2"/>
      <c r="V69" s="2"/>
      <c r="W69" s="2"/>
      <c r="X69" s="2"/>
      <c r="Y69" s="2"/>
      <c r="Z69" s="2"/>
      <c r="AA69" s="2"/>
    </row>
    <row r="70" spans="1:27" ht="36.75" customHeight="1">
      <c r="A70" s="12"/>
      <c r="B70" s="199" t="str">
        <f ca="1">IFERROR(__xludf.DUMMYFUNCTION("filter(Data!O:O,Data!C:C=G4,Data!D:D=J4)"),"")</f>
        <v/>
      </c>
      <c r="C70" s="176"/>
      <c r="D70" s="176"/>
      <c r="E70" s="176"/>
      <c r="F70" s="208" t="str">
        <f ca="1">IFERROR(__xludf.DUMMYFUNCTION("filter(Data!P:P,Data!C:C=G4,Data!D:D=J4)"),"")</f>
        <v/>
      </c>
      <c r="G70" s="190"/>
      <c r="H70" s="190"/>
      <c r="I70" s="209"/>
      <c r="J70" s="214" t="str">
        <f ca="1">IFERROR(__xludf.DUMMYFUNCTION("filter(Data!R:R,Data!C:C=G4,Data!D:D=J4)"),"")</f>
        <v/>
      </c>
      <c r="K70" s="176"/>
      <c r="L70" s="176"/>
      <c r="M70" s="177"/>
      <c r="N70" s="2"/>
      <c r="O70" s="2"/>
      <c r="P70" s="2"/>
      <c r="Q70" s="2"/>
      <c r="R70" s="2"/>
      <c r="S70" s="2"/>
      <c r="T70" s="2"/>
      <c r="U70" s="2"/>
      <c r="V70" s="2"/>
      <c r="W70" s="2"/>
      <c r="X70" s="2"/>
      <c r="Y70" s="2"/>
      <c r="Z70" s="2"/>
      <c r="AA70" s="2"/>
    </row>
    <row r="71" spans="1:27" ht="36.75" customHeight="1">
      <c r="A71" s="12"/>
      <c r="B71" s="192"/>
      <c r="C71" s="176"/>
      <c r="D71" s="176"/>
      <c r="E71" s="176"/>
      <c r="F71" s="210"/>
      <c r="G71" s="176"/>
      <c r="H71" s="176"/>
      <c r="I71" s="211"/>
      <c r="J71" s="176"/>
      <c r="K71" s="176"/>
      <c r="L71" s="176"/>
      <c r="M71" s="177"/>
      <c r="N71" s="2"/>
      <c r="O71" s="2"/>
      <c r="P71" s="2"/>
      <c r="Q71" s="2"/>
      <c r="R71" s="2"/>
      <c r="S71" s="2"/>
      <c r="T71" s="2"/>
      <c r="U71" s="2"/>
      <c r="V71" s="2"/>
      <c r="W71" s="2"/>
      <c r="X71" s="2"/>
      <c r="Y71" s="2"/>
      <c r="Z71" s="2"/>
      <c r="AA71" s="2"/>
    </row>
    <row r="72" spans="1:27" ht="36.75" customHeight="1">
      <c r="A72" s="12"/>
      <c r="B72" s="192"/>
      <c r="C72" s="176"/>
      <c r="D72" s="176"/>
      <c r="E72" s="176"/>
      <c r="F72" s="210"/>
      <c r="G72" s="176"/>
      <c r="H72" s="176"/>
      <c r="I72" s="211"/>
      <c r="J72" s="176"/>
      <c r="K72" s="176"/>
      <c r="L72" s="176"/>
      <c r="M72" s="177"/>
      <c r="N72" s="2"/>
      <c r="O72" s="2"/>
      <c r="P72" s="2"/>
      <c r="Q72" s="2"/>
      <c r="R72" s="2"/>
      <c r="S72" s="2"/>
      <c r="T72" s="2"/>
      <c r="U72" s="2"/>
      <c r="V72" s="2"/>
      <c r="W72" s="2"/>
      <c r="X72" s="2"/>
      <c r="Y72" s="2"/>
      <c r="Z72" s="2"/>
      <c r="AA72" s="2"/>
    </row>
    <row r="73" spans="1:27" ht="36.75" customHeight="1">
      <c r="A73" s="12"/>
      <c r="B73" s="192"/>
      <c r="C73" s="176"/>
      <c r="D73" s="176"/>
      <c r="E73" s="176"/>
      <c r="F73" s="210"/>
      <c r="G73" s="176"/>
      <c r="H73" s="176"/>
      <c r="I73" s="211"/>
      <c r="J73" s="176"/>
      <c r="K73" s="176"/>
      <c r="L73" s="176"/>
      <c r="M73" s="177"/>
      <c r="N73" s="2"/>
      <c r="O73" s="2"/>
      <c r="P73" s="2"/>
      <c r="Q73" s="2"/>
      <c r="R73" s="2"/>
      <c r="S73" s="2"/>
      <c r="T73" s="2"/>
      <c r="U73" s="2"/>
      <c r="V73" s="2"/>
      <c r="W73" s="2"/>
      <c r="X73" s="2"/>
      <c r="Y73" s="2"/>
      <c r="Z73" s="2"/>
      <c r="AA73" s="2"/>
    </row>
    <row r="74" spans="1:27" ht="36.75" customHeight="1">
      <c r="A74" s="12"/>
      <c r="B74" s="192"/>
      <c r="C74" s="176"/>
      <c r="D74" s="176"/>
      <c r="E74" s="176"/>
      <c r="F74" s="210"/>
      <c r="G74" s="176"/>
      <c r="H74" s="176"/>
      <c r="I74" s="211"/>
      <c r="J74" s="176"/>
      <c r="K74" s="176"/>
      <c r="L74" s="176"/>
      <c r="M74" s="177"/>
      <c r="N74" s="2"/>
      <c r="O74" s="2"/>
      <c r="P74" s="2"/>
      <c r="Q74" s="2"/>
      <c r="R74" s="2"/>
      <c r="S74" s="2"/>
      <c r="T74" s="2"/>
      <c r="U74" s="2"/>
      <c r="V74" s="2"/>
      <c r="W74" s="2"/>
      <c r="X74" s="2"/>
      <c r="Y74" s="2"/>
      <c r="Z74" s="2"/>
      <c r="AA74" s="2"/>
    </row>
    <row r="75" spans="1:27" ht="36.75" customHeight="1">
      <c r="A75" s="12"/>
      <c r="B75" s="192"/>
      <c r="C75" s="176"/>
      <c r="D75" s="176"/>
      <c r="E75" s="176"/>
      <c r="F75" s="210"/>
      <c r="G75" s="176"/>
      <c r="H75" s="176"/>
      <c r="I75" s="211"/>
      <c r="J75" s="176"/>
      <c r="K75" s="176"/>
      <c r="L75" s="176"/>
      <c r="M75" s="177"/>
      <c r="N75" s="2"/>
      <c r="O75" s="2"/>
      <c r="P75" s="2"/>
      <c r="Q75" s="2"/>
      <c r="R75" s="2"/>
      <c r="S75" s="2"/>
      <c r="T75" s="2"/>
      <c r="U75" s="2"/>
      <c r="V75" s="2"/>
      <c r="W75" s="2"/>
      <c r="X75" s="2"/>
      <c r="Y75" s="2"/>
      <c r="Z75" s="2"/>
      <c r="AA75" s="2"/>
    </row>
    <row r="76" spans="1:27" ht="36.75" customHeight="1">
      <c r="A76" s="12"/>
      <c r="B76" s="192"/>
      <c r="C76" s="176"/>
      <c r="D76" s="176"/>
      <c r="E76" s="176"/>
      <c r="F76" s="210"/>
      <c r="G76" s="176"/>
      <c r="H76" s="176"/>
      <c r="I76" s="211"/>
      <c r="J76" s="176"/>
      <c r="K76" s="176"/>
      <c r="L76" s="176"/>
      <c r="M76" s="177"/>
      <c r="N76" s="2"/>
      <c r="O76" s="2"/>
      <c r="P76" s="2"/>
      <c r="Q76" s="2"/>
      <c r="R76" s="2"/>
      <c r="S76" s="2"/>
      <c r="T76" s="2"/>
      <c r="U76" s="2"/>
      <c r="V76" s="2"/>
      <c r="W76" s="2"/>
      <c r="X76" s="2"/>
      <c r="Y76" s="2"/>
      <c r="Z76" s="2"/>
      <c r="AA76" s="2"/>
    </row>
    <row r="77" spans="1:27" ht="36.75" customHeight="1">
      <c r="A77" s="12"/>
      <c r="B77" s="192"/>
      <c r="C77" s="176"/>
      <c r="D77" s="176"/>
      <c r="E77" s="176"/>
      <c r="F77" s="210"/>
      <c r="G77" s="176"/>
      <c r="H77" s="176"/>
      <c r="I77" s="211"/>
      <c r="J77" s="176"/>
      <c r="K77" s="176"/>
      <c r="L77" s="176"/>
      <c r="M77" s="177"/>
      <c r="N77" s="2"/>
      <c r="O77" s="2"/>
      <c r="P77" s="2"/>
      <c r="Q77" s="2"/>
      <c r="R77" s="2"/>
      <c r="S77" s="2"/>
      <c r="T77" s="2"/>
      <c r="U77" s="2"/>
      <c r="V77" s="2"/>
      <c r="W77" s="2"/>
      <c r="X77" s="2"/>
      <c r="Y77" s="2"/>
      <c r="Z77" s="2"/>
      <c r="AA77" s="2"/>
    </row>
    <row r="78" spans="1:27" ht="36.75" customHeight="1">
      <c r="A78" s="12"/>
      <c r="B78" s="192"/>
      <c r="C78" s="176"/>
      <c r="D78" s="176"/>
      <c r="E78" s="176"/>
      <c r="F78" s="210"/>
      <c r="G78" s="176"/>
      <c r="H78" s="176"/>
      <c r="I78" s="211"/>
      <c r="J78" s="176"/>
      <c r="K78" s="176"/>
      <c r="L78" s="176"/>
      <c r="M78" s="177"/>
      <c r="N78" s="2"/>
      <c r="O78" s="2"/>
      <c r="P78" s="2"/>
      <c r="Q78" s="2"/>
      <c r="R78" s="2"/>
      <c r="S78" s="2"/>
      <c r="T78" s="2"/>
      <c r="U78" s="2"/>
      <c r="V78" s="2"/>
      <c r="W78" s="2"/>
      <c r="X78" s="2"/>
      <c r="Y78" s="2"/>
      <c r="Z78" s="2"/>
      <c r="AA78" s="2"/>
    </row>
    <row r="79" spans="1:27" ht="36.75" customHeight="1">
      <c r="A79" s="12"/>
      <c r="B79" s="206"/>
      <c r="C79" s="207"/>
      <c r="D79" s="207"/>
      <c r="E79" s="207"/>
      <c r="F79" s="212"/>
      <c r="G79" s="207"/>
      <c r="H79" s="207"/>
      <c r="I79" s="213"/>
      <c r="J79" s="207"/>
      <c r="K79" s="207"/>
      <c r="L79" s="207"/>
      <c r="M79" s="215"/>
      <c r="N79" s="2"/>
      <c r="O79" s="2"/>
      <c r="P79" s="2"/>
      <c r="Q79" s="2"/>
      <c r="R79" s="2"/>
      <c r="S79" s="2"/>
      <c r="T79" s="2"/>
      <c r="U79" s="2"/>
      <c r="V79" s="2"/>
      <c r="W79" s="2"/>
      <c r="X79" s="2"/>
      <c r="Y79" s="2"/>
      <c r="Z79" s="2"/>
      <c r="AA79" s="2"/>
    </row>
    <row r="80" spans="1:27" ht="13.15">
      <c r="A80" s="12"/>
      <c r="B80" s="45"/>
      <c r="C80" s="45"/>
      <c r="D80" s="45"/>
      <c r="E80" s="45"/>
      <c r="F80" s="45"/>
      <c r="G80" s="45"/>
      <c r="H80" s="45"/>
      <c r="I80" s="45"/>
      <c r="J80" s="45"/>
      <c r="K80" s="45"/>
      <c r="L80" s="45"/>
      <c r="M80" s="45"/>
      <c r="N80" s="2"/>
      <c r="O80" s="2"/>
      <c r="P80" s="2"/>
      <c r="Q80" s="2"/>
      <c r="R80" s="2"/>
      <c r="S80" s="2"/>
      <c r="T80" s="2"/>
      <c r="U80" s="2"/>
      <c r="V80" s="2"/>
      <c r="W80" s="2"/>
      <c r="X80" s="2"/>
      <c r="Y80" s="2"/>
      <c r="Z80" s="2"/>
      <c r="AA80" s="2"/>
    </row>
    <row r="81" spans="1:27" ht="13.15">
      <c r="A81" s="12"/>
      <c r="B81" s="45"/>
      <c r="C81" s="45"/>
      <c r="D81" s="45"/>
      <c r="E81" s="45"/>
      <c r="F81" s="45"/>
      <c r="G81" s="45"/>
      <c r="H81" s="45"/>
      <c r="I81" s="45"/>
      <c r="J81" s="45"/>
      <c r="K81" s="45"/>
      <c r="L81" s="45"/>
      <c r="M81" s="45"/>
      <c r="N81" s="2"/>
      <c r="O81" s="2"/>
      <c r="P81" s="2"/>
      <c r="Q81" s="2"/>
      <c r="R81" s="2"/>
      <c r="S81" s="2"/>
      <c r="T81" s="2"/>
      <c r="U81" s="2"/>
      <c r="V81" s="2"/>
      <c r="W81" s="2"/>
      <c r="X81" s="2"/>
      <c r="Y81" s="2"/>
      <c r="Z81" s="2"/>
      <c r="AA81" s="2"/>
    </row>
    <row r="82" spans="1:27" ht="13.15">
      <c r="A82" s="12"/>
      <c r="B82" s="45"/>
      <c r="C82" s="45"/>
      <c r="D82" s="45"/>
      <c r="E82" s="45"/>
      <c r="F82" s="45"/>
      <c r="G82" s="45"/>
      <c r="H82" s="45"/>
      <c r="I82" s="45"/>
      <c r="J82" s="45"/>
      <c r="K82" s="45"/>
      <c r="L82" s="45"/>
      <c r="M82" s="45"/>
      <c r="N82" s="2"/>
      <c r="O82" s="2"/>
      <c r="P82" s="2"/>
      <c r="Q82" s="2"/>
      <c r="R82" s="2"/>
      <c r="S82" s="2"/>
      <c r="T82" s="2"/>
      <c r="U82" s="2"/>
      <c r="V82" s="2"/>
      <c r="W82" s="2"/>
      <c r="X82" s="2"/>
      <c r="Y82" s="2"/>
      <c r="Z82" s="2"/>
      <c r="AA82" s="2"/>
    </row>
    <row r="83" spans="1:27" ht="13.15">
      <c r="A83" s="12"/>
      <c r="B83" s="45"/>
      <c r="C83" s="45"/>
      <c r="D83" s="45"/>
      <c r="E83" s="45"/>
      <c r="F83" s="45"/>
      <c r="G83" s="45"/>
      <c r="H83" s="45"/>
      <c r="I83" s="45"/>
      <c r="J83" s="45"/>
      <c r="K83" s="45"/>
      <c r="L83" s="45"/>
      <c r="M83" s="45"/>
      <c r="N83" s="2"/>
      <c r="O83" s="2"/>
      <c r="P83" s="2"/>
      <c r="Q83" s="2"/>
      <c r="R83" s="2"/>
      <c r="S83" s="2"/>
      <c r="T83" s="2"/>
      <c r="U83" s="2"/>
      <c r="V83" s="2"/>
      <c r="W83" s="2"/>
      <c r="X83" s="2"/>
      <c r="Y83" s="2"/>
      <c r="Z83" s="2"/>
      <c r="AA83" s="2"/>
    </row>
    <row r="84" spans="1:27" ht="13.15">
      <c r="A84" s="12"/>
      <c r="B84" s="45"/>
      <c r="C84" s="45"/>
      <c r="D84" s="45"/>
      <c r="E84" s="45"/>
      <c r="F84" s="45"/>
      <c r="G84" s="45"/>
      <c r="H84" s="45"/>
      <c r="I84" s="45"/>
      <c r="J84" s="45"/>
      <c r="K84" s="45"/>
      <c r="L84" s="45"/>
      <c r="M84" s="45"/>
      <c r="N84" s="2"/>
      <c r="O84" s="2"/>
      <c r="P84" s="2"/>
      <c r="Q84" s="2"/>
      <c r="R84" s="2"/>
      <c r="S84" s="2"/>
      <c r="T84" s="2"/>
      <c r="U84" s="2"/>
      <c r="V84" s="2"/>
      <c r="W84" s="2"/>
      <c r="X84" s="2"/>
      <c r="Y84" s="2"/>
      <c r="Z84" s="2"/>
      <c r="AA84" s="2"/>
    </row>
    <row r="85" spans="1:27" ht="13.15">
      <c r="A85" s="12"/>
      <c r="B85" s="45"/>
      <c r="C85" s="45"/>
      <c r="D85" s="45"/>
      <c r="E85" s="45"/>
      <c r="F85" s="45"/>
      <c r="G85" s="45"/>
      <c r="H85" s="45"/>
      <c r="I85" s="45"/>
      <c r="J85" s="45"/>
      <c r="K85" s="45"/>
      <c r="L85" s="45"/>
      <c r="M85" s="45"/>
      <c r="N85" s="2"/>
      <c r="O85" s="2"/>
      <c r="P85" s="2"/>
      <c r="Q85" s="2"/>
      <c r="R85" s="2"/>
      <c r="S85" s="2"/>
      <c r="T85" s="2"/>
      <c r="U85" s="2"/>
      <c r="V85" s="2"/>
      <c r="W85" s="2"/>
      <c r="X85" s="2"/>
      <c r="Y85" s="2"/>
      <c r="Z85" s="2"/>
      <c r="AA85" s="2"/>
    </row>
    <row r="86" spans="1:27" ht="13.15">
      <c r="A86" s="12"/>
      <c r="B86" s="45"/>
      <c r="C86" s="45"/>
      <c r="D86" s="45"/>
      <c r="E86" s="45"/>
      <c r="F86" s="45"/>
      <c r="G86" s="45"/>
      <c r="H86" s="45"/>
      <c r="I86" s="45"/>
      <c r="J86" s="45"/>
      <c r="K86" s="45"/>
      <c r="L86" s="45"/>
      <c r="M86" s="45"/>
      <c r="N86" s="2"/>
      <c r="O86" s="2"/>
      <c r="P86" s="2"/>
      <c r="Q86" s="2"/>
      <c r="R86" s="2"/>
      <c r="S86" s="2"/>
      <c r="T86" s="2"/>
      <c r="U86" s="2"/>
      <c r="V86" s="2"/>
      <c r="W86" s="2"/>
      <c r="X86" s="2"/>
      <c r="Y86" s="2"/>
      <c r="Z86" s="2"/>
      <c r="AA86" s="2"/>
    </row>
    <row r="87" spans="1:27" ht="13.15">
      <c r="A87" s="12"/>
      <c r="B87" s="45"/>
      <c r="C87" s="45"/>
      <c r="D87" s="45"/>
      <c r="E87" s="45"/>
      <c r="F87" s="45"/>
      <c r="G87" s="45"/>
      <c r="H87" s="45"/>
      <c r="I87" s="45"/>
      <c r="J87" s="45"/>
      <c r="K87" s="45"/>
      <c r="L87" s="45"/>
      <c r="M87" s="45"/>
      <c r="N87" s="2"/>
      <c r="O87" s="2"/>
      <c r="P87" s="2"/>
      <c r="Q87" s="2"/>
      <c r="R87" s="2"/>
      <c r="S87" s="2"/>
      <c r="T87" s="2"/>
      <c r="U87" s="2"/>
      <c r="V87" s="2"/>
      <c r="W87" s="2"/>
      <c r="X87" s="2"/>
      <c r="Y87" s="2"/>
      <c r="Z87" s="2"/>
      <c r="AA87" s="2"/>
    </row>
    <row r="88" spans="1:27" ht="13.15">
      <c r="A88" s="12"/>
      <c r="B88" s="45"/>
      <c r="C88" s="45"/>
      <c r="D88" s="45"/>
      <c r="E88" s="45"/>
      <c r="F88" s="45"/>
      <c r="G88" s="45"/>
      <c r="H88" s="45"/>
      <c r="I88" s="45"/>
      <c r="J88" s="45"/>
      <c r="K88" s="45"/>
      <c r="L88" s="45"/>
      <c r="M88" s="45"/>
      <c r="N88" s="2"/>
      <c r="O88" s="2"/>
      <c r="P88" s="2"/>
      <c r="Q88" s="2"/>
      <c r="R88" s="2"/>
      <c r="S88" s="2"/>
      <c r="T88" s="2"/>
      <c r="U88" s="2"/>
      <c r="V88" s="2"/>
      <c r="W88" s="2"/>
      <c r="X88" s="2"/>
      <c r="Y88" s="2"/>
      <c r="Z88" s="2"/>
      <c r="AA88" s="2"/>
    </row>
    <row r="89" spans="1:27" ht="13.15">
      <c r="A89" s="12"/>
      <c r="B89" s="45"/>
      <c r="C89" s="45"/>
      <c r="D89" s="45"/>
      <c r="E89" s="45"/>
      <c r="F89" s="45"/>
      <c r="G89" s="45"/>
      <c r="H89" s="45"/>
      <c r="I89" s="45"/>
      <c r="J89" s="45"/>
      <c r="K89" s="45"/>
      <c r="L89" s="45"/>
      <c r="M89" s="45"/>
      <c r="N89" s="2"/>
      <c r="O89" s="2"/>
      <c r="P89" s="2"/>
      <c r="Q89" s="2"/>
      <c r="R89" s="2"/>
      <c r="S89" s="2"/>
      <c r="T89" s="2"/>
      <c r="U89" s="2"/>
      <c r="V89" s="2"/>
      <c r="W89" s="2"/>
      <c r="X89" s="2"/>
      <c r="Y89" s="2"/>
      <c r="Z89" s="2"/>
      <c r="AA89" s="2"/>
    </row>
    <row r="90" spans="1:27" ht="13.15">
      <c r="A90" s="12"/>
      <c r="B90" s="45"/>
      <c r="C90" s="45"/>
      <c r="D90" s="45"/>
      <c r="E90" s="45"/>
      <c r="F90" s="45"/>
      <c r="G90" s="45"/>
      <c r="H90" s="45"/>
      <c r="I90" s="45"/>
      <c r="J90" s="45"/>
      <c r="K90" s="45"/>
      <c r="L90" s="45"/>
      <c r="M90" s="45"/>
      <c r="N90" s="2"/>
      <c r="O90" s="2"/>
      <c r="P90" s="2"/>
      <c r="Q90" s="2"/>
      <c r="R90" s="2"/>
      <c r="S90" s="2"/>
      <c r="T90" s="2"/>
      <c r="U90" s="2"/>
      <c r="V90" s="2"/>
      <c r="W90" s="2"/>
      <c r="X90" s="2"/>
      <c r="Y90" s="2"/>
      <c r="Z90" s="2"/>
      <c r="AA90" s="2"/>
    </row>
    <row r="91" spans="1:27" ht="13.15">
      <c r="A91" s="12"/>
      <c r="B91" s="45"/>
      <c r="C91" s="45"/>
      <c r="D91" s="45"/>
      <c r="E91" s="45"/>
      <c r="F91" s="45"/>
      <c r="G91" s="45"/>
      <c r="H91" s="45"/>
      <c r="I91" s="45"/>
      <c r="J91" s="45"/>
      <c r="K91" s="45"/>
      <c r="L91" s="45"/>
      <c r="M91" s="45"/>
      <c r="N91" s="2"/>
      <c r="O91" s="2"/>
      <c r="P91" s="2"/>
      <c r="Q91" s="2"/>
      <c r="R91" s="2"/>
      <c r="S91" s="2"/>
      <c r="T91" s="2"/>
      <c r="U91" s="2"/>
      <c r="V91" s="2"/>
      <c r="W91" s="2"/>
      <c r="X91" s="2"/>
      <c r="Y91" s="2"/>
      <c r="Z91" s="2"/>
      <c r="AA91" s="2"/>
    </row>
    <row r="92" spans="1:27" ht="13.15">
      <c r="A92" s="12"/>
      <c r="B92" s="45"/>
      <c r="C92" s="45"/>
      <c r="D92" s="45"/>
      <c r="E92" s="45"/>
      <c r="F92" s="45"/>
      <c r="G92" s="45"/>
      <c r="H92" s="45"/>
      <c r="I92" s="45"/>
      <c r="J92" s="45"/>
      <c r="K92" s="45"/>
      <c r="L92" s="45"/>
      <c r="M92" s="45"/>
      <c r="N92" s="2"/>
      <c r="O92" s="2"/>
      <c r="P92" s="2"/>
      <c r="Q92" s="2"/>
      <c r="R92" s="2"/>
      <c r="S92" s="2"/>
      <c r="T92" s="2"/>
      <c r="U92" s="2"/>
      <c r="V92" s="2"/>
      <c r="W92" s="2"/>
      <c r="X92" s="2"/>
      <c r="Y92" s="2"/>
      <c r="Z92" s="2"/>
      <c r="AA92" s="2"/>
    </row>
    <row r="93" spans="1:27" ht="13.15">
      <c r="A93" s="12"/>
      <c r="B93" s="45"/>
      <c r="C93" s="45"/>
      <c r="D93" s="45"/>
      <c r="E93" s="45"/>
      <c r="F93" s="45"/>
      <c r="G93" s="45"/>
      <c r="H93" s="45"/>
      <c r="I93" s="45"/>
      <c r="J93" s="45"/>
      <c r="K93" s="45"/>
      <c r="L93" s="45"/>
      <c r="M93" s="45"/>
      <c r="N93" s="2"/>
      <c r="O93" s="2"/>
      <c r="P93" s="2"/>
      <c r="Q93" s="2"/>
      <c r="R93" s="2"/>
      <c r="S93" s="2"/>
      <c r="T93" s="2"/>
      <c r="U93" s="2"/>
      <c r="V93" s="2"/>
      <c r="W93" s="2"/>
      <c r="X93" s="2"/>
      <c r="Y93" s="2"/>
      <c r="Z93" s="2"/>
      <c r="AA93" s="2"/>
    </row>
    <row r="94" spans="1:27" ht="13.15">
      <c r="A94" s="12"/>
      <c r="B94" s="45"/>
      <c r="C94" s="45"/>
      <c r="D94" s="45"/>
      <c r="E94" s="45"/>
      <c r="F94" s="45"/>
      <c r="G94" s="45"/>
      <c r="H94" s="45"/>
      <c r="I94" s="45"/>
      <c r="J94" s="45"/>
      <c r="K94" s="45"/>
      <c r="L94" s="45"/>
      <c r="M94" s="45"/>
      <c r="N94" s="2"/>
      <c r="O94" s="2"/>
      <c r="P94" s="2"/>
      <c r="Q94" s="2"/>
      <c r="R94" s="2"/>
      <c r="S94" s="2"/>
      <c r="T94" s="2"/>
      <c r="U94" s="2"/>
      <c r="V94" s="2"/>
      <c r="W94" s="2"/>
      <c r="X94" s="2"/>
      <c r="Y94" s="2"/>
      <c r="Z94" s="2"/>
      <c r="AA94" s="2"/>
    </row>
    <row r="95" spans="1:27" ht="13.15">
      <c r="A95" s="12"/>
      <c r="B95" s="45"/>
      <c r="C95" s="45"/>
      <c r="D95" s="45"/>
      <c r="E95" s="45"/>
      <c r="F95" s="45"/>
      <c r="G95" s="45"/>
      <c r="H95" s="45"/>
      <c r="I95" s="45"/>
      <c r="J95" s="45"/>
      <c r="K95" s="45"/>
      <c r="L95" s="45"/>
      <c r="M95" s="45"/>
      <c r="N95" s="2"/>
      <c r="O95" s="2"/>
      <c r="P95" s="2"/>
      <c r="Q95" s="2"/>
      <c r="R95" s="2"/>
      <c r="S95" s="2"/>
      <c r="T95" s="2"/>
      <c r="U95" s="2"/>
      <c r="V95" s="2"/>
      <c r="W95" s="2"/>
      <c r="X95" s="2"/>
      <c r="Y95" s="2"/>
      <c r="Z95" s="2"/>
      <c r="AA95" s="2"/>
    </row>
    <row r="96" spans="1:27" ht="13.15">
      <c r="A96" s="12"/>
      <c r="B96" s="45"/>
      <c r="C96" s="45"/>
      <c r="D96" s="45"/>
      <c r="E96" s="45"/>
      <c r="F96" s="45"/>
      <c r="G96" s="45"/>
      <c r="H96" s="45"/>
      <c r="I96" s="45"/>
      <c r="J96" s="45"/>
      <c r="K96" s="45"/>
      <c r="L96" s="45"/>
      <c r="M96" s="45"/>
      <c r="N96" s="2"/>
      <c r="O96" s="2"/>
      <c r="P96" s="2"/>
      <c r="Q96" s="2"/>
      <c r="R96" s="2"/>
      <c r="S96" s="2"/>
      <c r="T96" s="2"/>
      <c r="U96" s="2"/>
      <c r="V96" s="2"/>
      <c r="W96" s="2"/>
      <c r="X96" s="2"/>
      <c r="Y96" s="2"/>
      <c r="Z96" s="2"/>
      <c r="AA96" s="2"/>
    </row>
    <row r="97" spans="1:27" ht="13.15">
      <c r="A97" s="12"/>
      <c r="B97" s="45"/>
      <c r="C97" s="45"/>
      <c r="D97" s="45"/>
      <c r="E97" s="45"/>
      <c r="F97" s="45"/>
      <c r="G97" s="45"/>
      <c r="H97" s="45"/>
      <c r="I97" s="45"/>
      <c r="J97" s="45"/>
      <c r="K97" s="45"/>
      <c r="L97" s="45"/>
      <c r="M97" s="45"/>
      <c r="N97" s="2"/>
      <c r="O97" s="2"/>
      <c r="P97" s="2"/>
      <c r="Q97" s="2"/>
      <c r="R97" s="2"/>
      <c r="S97" s="2"/>
      <c r="T97" s="2"/>
      <c r="U97" s="2"/>
      <c r="V97" s="2"/>
      <c r="W97" s="2"/>
      <c r="X97" s="2"/>
      <c r="Y97" s="2"/>
      <c r="Z97" s="2"/>
      <c r="AA97" s="2"/>
    </row>
    <row r="98" spans="1:27" ht="13.15">
      <c r="A98" s="12"/>
      <c r="B98" s="45"/>
      <c r="C98" s="45"/>
      <c r="D98" s="45"/>
      <c r="E98" s="45"/>
      <c r="F98" s="45"/>
      <c r="G98" s="45"/>
      <c r="H98" s="45"/>
      <c r="I98" s="45"/>
      <c r="J98" s="45"/>
      <c r="K98" s="45"/>
      <c r="L98" s="45"/>
      <c r="M98" s="45"/>
      <c r="N98" s="2"/>
      <c r="O98" s="2"/>
      <c r="P98" s="2"/>
      <c r="Q98" s="2"/>
      <c r="R98" s="2"/>
      <c r="S98" s="2"/>
      <c r="T98" s="2"/>
      <c r="U98" s="2"/>
      <c r="V98" s="2"/>
      <c r="W98" s="2"/>
      <c r="X98" s="2"/>
      <c r="Y98" s="2"/>
      <c r="Z98" s="2"/>
      <c r="AA98" s="2"/>
    </row>
    <row r="99" spans="1:27" ht="13.15">
      <c r="A99" s="12"/>
      <c r="B99" s="45"/>
      <c r="C99" s="45"/>
      <c r="D99" s="45"/>
      <c r="E99" s="45"/>
      <c r="F99" s="45"/>
      <c r="G99" s="45"/>
      <c r="H99" s="45"/>
      <c r="I99" s="45"/>
      <c r="J99" s="45"/>
      <c r="K99" s="45"/>
      <c r="L99" s="45"/>
      <c r="M99" s="45"/>
      <c r="N99" s="2"/>
      <c r="O99" s="2"/>
      <c r="P99" s="2"/>
      <c r="Q99" s="2"/>
      <c r="R99" s="2"/>
      <c r="S99" s="2"/>
      <c r="T99" s="2"/>
      <c r="U99" s="2"/>
      <c r="V99" s="2"/>
      <c r="W99" s="2"/>
      <c r="X99" s="2"/>
      <c r="Y99" s="2"/>
      <c r="Z99" s="2"/>
      <c r="AA99" s="2"/>
    </row>
    <row r="100" spans="1:27" ht="13.15">
      <c r="A100" s="12"/>
      <c r="B100" s="45"/>
      <c r="C100" s="45"/>
      <c r="D100" s="45"/>
      <c r="E100" s="45"/>
      <c r="F100" s="45"/>
      <c r="G100" s="45"/>
      <c r="H100" s="45"/>
      <c r="I100" s="45"/>
      <c r="J100" s="45"/>
      <c r="K100" s="45"/>
      <c r="L100" s="45"/>
      <c r="M100" s="45"/>
      <c r="N100" s="2"/>
      <c r="O100" s="2"/>
      <c r="P100" s="2"/>
      <c r="Q100" s="2"/>
      <c r="R100" s="2"/>
      <c r="S100" s="2"/>
      <c r="T100" s="2"/>
      <c r="U100" s="2"/>
      <c r="V100" s="2"/>
      <c r="W100" s="2"/>
      <c r="X100" s="2"/>
      <c r="Y100" s="2"/>
      <c r="Z100" s="2"/>
      <c r="AA100" s="2"/>
    </row>
    <row r="101" spans="1:27" ht="13.15">
      <c r="A101" s="12"/>
      <c r="B101" s="45"/>
      <c r="C101" s="45"/>
      <c r="D101" s="45"/>
      <c r="E101" s="45"/>
      <c r="F101" s="45"/>
      <c r="G101" s="45"/>
      <c r="H101" s="45"/>
      <c r="I101" s="45"/>
      <c r="J101" s="45"/>
      <c r="K101" s="45"/>
      <c r="L101" s="45"/>
      <c r="M101" s="45"/>
      <c r="N101" s="2"/>
      <c r="O101" s="2"/>
      <c r="P101" s="2"/>
      <c r="Q101" s="2"/>
      <c r="R101" s="2"/>
      <c r="S101" s="2"/>
      <c r="T101" s="2"/>
      <c r="U101" s="2"/>
      <c r="V101" s="2"/>
      <c r="W101" s="2"/>
      <c r="X101" s="2"/>
      <c r="Y101" s="2"/>
      <c r="Z101" s="2"/>
      <c r="AA101" s="2"/>
    </row>
    <row r="102" spans="1:27" ht="13.15">
      <c r="A102" s="12"/>
      <c r="B102" s="45"/>
      <c r="C102" s="45"/>
      <c r="D102" s="45"/>
      <c r="E102" s="45"/>
      <c r="F102" s="45"/>
      <c r="G102" s="45"/>
      <c r="H102" s="45"/>
      <c r="I102" s="45"/>
      <c r="J102" s="45"/>
      <c r="K102" s="45"/>
      <c r="L102" s="45"/>
      <c r="M102" s="45"/>
      <c r="N102" s="2"/>
      <c r="O102" s="2"/>
      <c r="P102" s="2"/>
      <c r="Q102" s="2"/>
      <c r="R102" s="2"/>
      <c r="S102" s="2"/>
      <c r="T102" s="2"/>
      <c r="U102" s="2"/>
      <c r="V102" s="2"/>
      <c r="W102" s="2"/>
      <c r="X102" s="2"/>
      <c r="Y102" s="2"/>
      <c r="Z102" s="2"/>
      <c r="AA102" s="2"/>
    </row>
    <row r="103" spans="1:27" ht="13.15">
      <c r="A103" s="12"/>
      <c r="B103" s="45"/>
      <c r="C103" s="45"/>
      <c r="D103" s="45"/>
      <c r="E103" s="45"/>
      <c r="F103" s="45"/>
      <c r="G103" s="45"/>
      <c r="H103" s="45"/>
      <c r="I103" s="45"/>
      <c r="J103" s="45"/>
      <c r="K103" s="45"/>
      <c r="L103" s="45"/>
      <c r="M103" s="45"/>
      <c r="N103" s="2"/>
      <c r="O103" s="2"/>
      <c r="P103" s="2"/>
      <c r="Q103" s="2"/>
      <c r="R103" s="2"/>
      <c r="S103" s="2"/>
      <c r="T103" s="2"/>
      <c r="U103" s="2"/>
      <c r="V103" s="2"/>
      <c r="W103" s="2"/>
      <c r="X103" s="2"/>
      <c r="Y103" s="2"/>
      <c r="Z103" s="2"/>
      <c r="AA103" s="2"/>
    </row>
    <row r="104" spans="1:27" ht="13.15">
      <c r="A104" s="12"/>
      <c r="B104" s="45"/>
      <c r="C104" s="45"/>
      <c r="D104" s="45"/>
      <c r="E104" s="45"/>
      <c r="F104" s="45"/>
      <c r="G104" s="45"/>
      <c r="H104" s="45"/>
      <c r="I104" s="45"/>
      <c r="J104" s="45"/>
      <c r="K104" s="45"/>
      <c r="L104" s="45"/>
      <c r="M104" s="45"/>
      <c r="N104" s="2"/>
      <c r="O104" s="2"/>
      <c r="P104" s="2"/>
      <c r="Q104" s="2"/>
      <c r="R104" s="2"/>
      <c r="S104" s="2"/>
      <c r="T104" s="2"/>
      <c r="U104" s="2"/>
      <c r="V104" s="2"/>
      <c r="W104" s="2"/>
      <c r="X104" s="2"/>
      <c r="Y104" s="2"/>
      <c r="Z104" s="2"/>
      <c r="AA104" s="2"/>
    </row>
    <row r="105" spans="1:27" ht="13.15">
      <c r="A105" s="12"/>
      <c r="B105" s="45"/>
      <c r="C105" s="45"/>
      <c r="D105" s="45"/>
      <c r="E105" s="45"/>
      <c r="F105" s="45"/>
      <c r="G105" s="45"/>
      <c r="H105" s="45"/>
      <c r="I105" s="45"/>
      <c r="J105" s="45"/>
      <c r="K105" s="45"/>
      <c r="L105" s="45"/>
      <c r="M105" s="45"/>
      <c r="N105" s="2"/>
      <c r="O105" s="2"/>
      <c r="P105" s="2"/>
      <c r="Q105" s="2"/>
      <c r="R105" s="2"/>
      <c r="S105" s="2"/>
      <c r="T105" s="2"/>
      <c r="U105" s="2"/>
      <c r="V105" s="2"/>
      <c r="W105" s="2"/>
      <c r="X105" s="2"/>
      <c r="Y105" s="2"/>
      <c r="Z105" s="2"/>
      <c r="AA105" s="2"/>
    </row>
    <row r="106" spans="1:27" ht="13.15">
      <c r="A106" s="12"/>
      <c r="B106" s="45"/>
      <c r="C106" s="45"/>
      <c r="D106" s="45"/>
      <c r="E106" s="45"/>
      <c r="F106" s="45"/>
      <c r="G106" s="45"/>
      <c r="H106" s="45"/>
      <c r="I106" s="45"/>
      <c r="J106" s="45"/>
      <c r="K106" s="45"/>
      <c r="L106" s="45"/>
      <c r="M106" s="45"/>
      <c r="N106" s="2"/>
      <c r="O106" s="2"/>
      <c r="P106" s="2"/>
      <c r="Q106" s="2"/>
      <c r="R106" s="2"/>
      <c r="S106" s="2"/>
      <c r="T106" s="2"/>
      <c r="U106" s="2"/>
      <c r="V106" s="2"/>
      <c r="W106" s="2"/>
      <c r="X106" s="2"/>
      <c r="Y106" s="2"/>
      <c r="Z106" s="2"/>
      <c r="AA106" s="2"/>
    </row>
    <row r="107" spans="1:27" ht="13.15">
      <c r="A107" s="12"/>
      <c r="B107" s="45"/>
      <c r="C107" s="45"/>
      <c r="D107" s="45"/>
      <c r="E107" s="45"/>
      <c r="F107" s="45"/>
      <c r="G107" s="45"/>
      <c r="H107" s="45"/>
      <c r="I107" s="45"/>
      <c r="J107" s="45"/>
      <c r="K107" s="45"/>
      <c r="L107" s="45"/>
      <c r="M107" s="45"/>
      <c r="N107" s="2"/>
      <c r="O107" s="2"/>
      <c r="P107" s="2"/>
      <c r="Q107" s="2"/>
      <c r="R107" s="2"/>
      <c r="S107" s="2"/>
      <c r="T107" s="2"/>
      <c r="U107" s="2"/>
      <c r="V107" s="2"/>
      <c r="W107" s="2"/>
      <c r="X107" s="2"/>
      <c r="Y107" s="2"/>
      <c r="Z107" s="2"/>
      <c r="AA107" s="2"/>
    </row>
    <row r="108" spans="1:27" ht="13.15">
      <c r="A108" s="12"/>
      <c r="B108" s="45"/>
      <c r="C108" s="45"/>
      <c r="D108" s="45"/>
      <c r="E108" s="45"/>
      <c r="F108" s="45"/>
      <c r="G108" s="45"/>
      <c r="H108" s="45"/>
      <c r="I108" s="45"/>
      <c r="J108" s="45"/>
      <c r="K108" s="45"/>
      <c r="L108" s="45"/>
      <c r="M108" s="45"/>
      <c r="N108" s="2"/>
      <c r="O108" s="2"/>
      <c r="P108" s="2"/>
      <c r="Q108" s="2"/>
      <c r="R108" s="2"/>
      <c r="S108" s="2"/>
      <c r="T108" s="2"/>
      <c r="U108" s="2"/>
      <c r="V108" s="2"/>
      <c r="W108" s="2"/>
      <c r="X108" s="2"/>
      <c r="Y108" s="2"/>
      <c r="Z108" s="2"/>
      <c r="AA108" s="2"/>
    </row>
    <row r="109" spans="1:27" ht="13.15">
      <c r="A109" s="12"/>
      <c r="B109" s="45"/>
      <c r="C109" s="45"/>
      <c r="D109" s="45"/>
      <c r="E109" s="45"/>
      <c r="F109" s="45"/>
      <c r="G109" s="45"/>
      <c r="H109" s="45"/>
      <c r="I109" s="45"/>
      <c r="J109" s="45"/>
      <c r="K109" s="45"/>
      <c r="L109" s="45"/>
      <c r="M109" s="45"/>
      <c r="N109" s="2"/>
      <c r="O109" s="2"/>
      <c r="P109" s="2"/>
      <c r="Q109" s="2"/>
      <c r="R109" s="2"/>
      <c r="S109" s="2"/>
      <c r="T109" s="2"/>
      <c r="U109" s="2"/>
      <c r="V109" s="2"/>
      <c r="W109" s="2"/>
      <c r="X109" s="2"/>
      <c r="Y109" s="2"/>
      <c r="Z109" s="2"/>
      <c r="AA109" s="2"/>
    </row>
    <row r="110" spans="1:27" ht="13.15">
      <c r="A110" s="12"/>
      <c r="B110" s="45"/>
      <c r="C110" s="45"/>
      <c r="D110" s="45"/>
      <c r="E110" s="45"/>
      <c r="F110" s="45"/>
      <c r="G110" s="45"/>
      <c r="H110" s="45"/>
      <c r="I110" s="45"/>
      <c r="J110" s="45"/>
      <c r="K110" s="45"/>
      <c r="L110" s="45"/>
      <c r="M110" s="45"/>
      <c r="N110" s="2"/>
      <c r="O110" s="2"/>
      <c r="P110" s="2"/>
      <c r="Q110" s="2"/>
      <c r="R110" s="2"/>
      <c r="S110" s="2"/>
      <c r="T110" s="2"/>
      <c r="U110" s="2"/>
      <c r="V110" s="2"/>
      <c r="W110" s="2"/>
      <c r="X110" s="2"/>
      <c r="Y110" s="2"/>
      <c r="Z110" s="2"/>
      <c r="AA110" s="2"/>
    </row>
    <row r="111" spans="1:27" ht="13.15">
      <c r="A111" s="12"/>
      <c r="B111" s="45"/>
      <c r="C111" s="45"/>
      <c r="D111" s="45"/>
      <c r="E111" s="45"/>
      <c r="F111" s="45"/>
      <c r="G111" s="45"/>
      <c r="H111" s="45"/>
      <c r="I111" s="45"/>
      <c r="J111" s="45"/>
      <c r="K111" s="45"/>
      <c r="L111" s="45"/>
      <c r="M111" s="45"/>
      <c r="N111" s="2"/>
      <c r="O111" s="2"/>
      <c r="P111" s="2"/>
      <c r="Q111" s="2"/>
      <c r="R111" s="2"/>
      <c r="S111" s="2"/>
      <c r="T111" s="2"/>
      <c r="U111" s="2"/>
      <c r="V111" s="2"/>
      <c r="W111" s="2"/>
      <c r="X111" s="2"/>
      <c r="Y111" s="2"/>
      <c r="Z111" s="2"/>
      <c r="AA111" s="2"/>
    </row>
    <row r="112" spans="1:27" ht="13.15">
      <c r="A112" s="12"/>
      <c r="B112" s="45"/>
      <c r="C112" s="45"/>
      <c r="D112" s="45"/>
      <c r="E112" s="45"/>
      <c r="F112" s="45"/>
      <c r="G112" s="45"/>
      <c r="H112" s="45"/>
      <c r="I112" s="45"/>
      <c r="J112" s="45"/>
      <c r="K112" s="45"/>
      <c r="L112" s="45"/>
      <c r="M112" s="45"/>
      <c r="N112" s="2"/>
      <c r="O112" s="2"/>
      <c r="P112" s="2"/>
      <c r="Q112" s="2"/>
      <c r="R112" s="2"/>
      <c r="S112" s="2"/>
      <c r="T112" s="2"/>
      <c r="U112" s="2"/>
      <c r="V112" s="2"/>
      <c r="W112" s="2"/>
      <c r="X112" s="2"/>
      <c r="Y112" s="2"/>
      <c r="Z112" s="2"/>
      <c r="AA112" s="2"/>
    </row>
    <row r="113" spans="1:27" ht="13.15">
      <c r="A113" s="12"/>
      <c r="B113" s="45"/>
      <c r="C113" s="45"/>
      <c r="D113" s="45"/>
      <c r="E113" s="45"/>
      <c r="F113" s="45"/>
      <c r="G113" s="45"/>
      <c r="H113" s="45"/>
      <c r="I113" s="45"/>
      <c r="J113" s="45"/>
      <c r="K113" s="45"/>
      <c r="L113" s="45"/>
      <c r="M113" s="45"/>
      <c r="N113" s="2"/>
      <c r="O113" s="2"/>
      <c r="P113" s="2"/>
      <c r="Q113" s="2"/>
      <c r="R113" s="2"/>
      <c r="S113" s="2"/>
      <c r="T113" s="2"/>
      <c r="U113" s="2"/>
      <c r="V113" s="2"/>
      <c r="W113" s="2"/>
      <c r="X113" s="2"/>
      <c r="Y113" s="2"/>
      <c r="Z113" s="2"/>
      <c r="AA113" s="2"/>
    </row>
    <row r="114" spans="1:27" ht="13.15">
      <c r="A114" s="12"/>
      <c r="B114" s="45"/>
      <c r="C114" s="45"/>
      <c r="D114" s="45"/>
      <c r="E114" s="45"/>
      <c r="F114" s="45"/>
      <c r="G114" s="45"/>
      <c r="H114" s="45"/>
      <c r="I114" s="45"/>
      <c r="J114" s="45"/>
      <c r="K114" s="45"/>
      <c r="L114" s="45"/>
      <c r="M114" s="45"/>
      <c r="N114" s="2"/>
      <c r="O114" s="2"/>
      <c r="P114" s="2"/>
      <c r="Q114" s="2"/>
      <c r="R114" s="2"/>
      <c r="S114" s="2"/>
      <c r="T114" s="2"/>
      <c r="U114" s="2"/>
      <c r="V114" s="2"/>
      <c r="W114" s="2"/>
      <c r="X114" s="2"/>
      <c r="Y114" s="2"/>
      <c r="Z114" s="2"/>
      <c r="AA114" s="2"/>
    </row>
    <row r="115" spans="1:27" ht="13.15">
      <c r="A115" s="12"/>
      <c r="B115" s="45"/>
      <c r="C115" s="45"/>
      <c r="D115" s="45"/>
      <c r="E115" s="45"/>
      <c r="F115" s="45"/>
      <c r="G115" s="45"/>
      <c r="H115" s="45"/>
      <c r="I115" s="45"/>
      <c r="J115" s="45"/>
      <c r="K115" s="45"/>
      <c r="L115" s="45"/>
      <c r="M115" s="45"/>
      <c r="N115" s="2"/>
      <c r="O115" s="2"/>
      <c r="P115" s="2"/>
      <c r="Q115" s="2"/>
      <c r="R115" s="2"/>
      <c r="S115" s="2"/>
      <c r="T115" s="2"/>
      <c r="U115" s="2"/>
      <c r="V115" s="2"/>
      <c r="W115" s="2"/>
      <c r="X115" s="2"/>
      <c r="Y115" s="2"/>
      <c r="Z115" s="2"/>
      <c r="AA115" s="2"/>
    </row>
    <row r="116" spans="1:27" ht="13.15">
      <c r="A116" s="12"/>
      <c r="B116" s="45"/>
      <c r="C116" s="45"/>
      <c r="D116" s="45"/>
      <c r="E116" s="45"/>
      <c r="F116" s="45"/>
      <c r="G116" s="45"/>
      <c r="H116" s="45"/>
      <c r="I116" s="45"/>
      <c r="J116" s="45"/>
      <c r="K116" s="45"/>
      <c r="L116" s="45"/>
      <c r="M116" s="45"/>
      <c r="N116" s="2"/>
      <c r="O116" s="2"/>
      <c r="P116" s="2"/>
      <c r="Q116" s="2"/>
      <c r="R116" s="2"/>
      <c r="S116" s="2"/>
      <c r="T116" s="2"/>
      <c r="U116" s="2"/>
      <c r="V116" s="2"/>
      <c r="W116" s="2"/>
      <c r="X116" s="2"/>
      <c r="Y116" s="2"/>
      <c r="Z116" s="2"/>
      <c r="AA116" s="2"/>
    </row>
    <row r="117" spans="1:27" ht="13.15">
      <c r="A117" s="12"/>
      <c r="B117" s="45"/>
      <c r="C117" s="45"/>
      <c r="D117" s="45"/>
      <c r="E117" s="45"/>
      <c r="F117" s="45"/>
      <c r="G117" s="45"/>
      <c r="H117" s="45"/>
      <c r="I117" s="45"/>
      <c r="J117" s="45"/>
      <c r="K117" s="45"/>
      <c r="L117" s="45"/>
      <c r="M117" s="45"/>
      <c r="N117" s="2"/>
      <c r="O117" s="2"/>
      <c r="P117" s="2"/>
      <c r="Q117" s="2"/>
      <c r="R117" s="2"/>
      <c r="S117" s="2"/>
      <c r="T117" s="2"/>
      <c r="U117" s="2"/>
      <c r="V117" s="2"/>
      <c r="W117" s="2"/>
      <c r="X117" s="2"/>
      <c r="Y117" s="2"/>
      <c r="Z117" s="2"/>
      <c r="AA117" s="2"/>
    </row>
    <row r="118" spans="1:27" ht="13.15">
      <c r="A118" s="12"/>
      <c r="B118" s="45"/>
      <c r="C118" s="45"/>
      <c r="D118" s="45"/>
      <c r="E118" s="45"/>
      <c r="F118" s="45"/>
      <c r="G118" s="45"/>
      <c r="H118" s="45"/>
      <c r="I118" s="45"/>
      <c r="J118" s="45"/>
      <c r="K118" s="45"/>
      <c r="L118" s="45"/>
      <c r="M118" s="45"/>
      <c r="N118" s="2"/>
      <c r="O118" s="2"/>
      <c r="P118" s="2"/>
      <c r="Q118" s="2"/>
      <c r="R118" s="2"/>
      <c r="S118" s="2"/>
      <c r="T118" s="2"/>
      <c r="U118" s="2"/>
      <c r="V118" s="2"/>
      <c r="W118" s="2"/>
      <c r="X118" s="2"/>
      <c r="Y118" s="2"/>
      <c r="Z118" s="2"/>
      <c r="AA118" s="2"/>
    </row>
    <row r="119" spans="1:27" ht="13.15">
      <c r="A119" s="12"/>
      <c r="B119" s="45"/>
      <c r="C119" s="45"/>
      <c r="D119" s="45"/>
      <c r="E119" s="45"/>
      <c r="F119" s="45"/>
      <c r="G119" s="45"/>
      <c r="H119" s="45"/>
      <c r="I119" s="45"/>
      <c r="J119" s="45"/>
      <c r="K119" s="45"/>
      <c r="L119" s="45"/>
      <c r="M119" s="45"/>
      <c r="N119" s="2"/>
      <c r="O119" s="2"/>
      <c r="P119" s="2"/>
      <c r="Q119" s="2"/>
      <c r="R119" s="2"/>
      <c r="S119" s="2"/>
      <c r="T119" s="2"/>
      <c r="U119" s="2"/>
      <c r="V119" s="2"/>
      <c r="W119" s="2"/>
      <c r="X119" s="2"/>
      <c r="Y119" s="2"/>
      <c r="Z119" s="2"/>
      <c r="AA119" s="2"/>
    </row>
    <row r="120" spans="1:27" ht="13.15">
      <c r="A120" s="12"/>
      <c r="B120" s="45"/>
      <c r="C120" s="45"/>
      <c r="D120" s="45"/>
      <c r="E120" s="45"/>
      <c r="F120" s="45"/>
      <c r="G120" s="45"/>
      <c r="H120" s="45"/>
      <c r="I120" s="45"/>
      <c r="J120" s="45"/>
      <c r="K120" s="45"/>
      <c r="L120" s="45"/>
      <c r="M120" s="45"/>
      <c r="N120" s="2"/>
      <c r="O120" s="2"/>
      <c r="P120" s="2"/>
      <c r="Q120" s="2"/>
      <c r="R120" s="2"/>
      <c r="S120" s="2"/>
      <c r="T120" s="2"/>
      <c r="U120" s="2"/>
      <c r="V120" s="2"/>
      <c r="W120" s="2"/>
      <c r="X120" s="2"/>
      <c r="Y120" s="2"/>
      <c r="Z120" s="2"/>
      <c r="AA120" s="2"/>
    </row>
    <row r="121" spans="1:27" ht="13.15">
      <c r="A121" s="12"/>
      <c r="B121" s="45"/>
      <c r="C121" s="45"/>
      <c r="D121" s="45"/>
      <c r="E121" s="45"/>
      <c r="F121" s="45"/>
      <c r="G121" s="45"/>
      <c r="H121" s="45"/>
      <c r="I121" s="45"/>
      <c r="J121" s="45"/>
      <c r="K121" s="45"/>
      <c r="L121" s="45"/>
      <c r="M121" s="45"/>
      <c r="N121" s="2"/>
      <c r="O121" s="2"/>
      <c r="P121" s="2"/>
      <c r="Q121" s="2"/>
      <c r="R121" s="2"/>
      <c r="S121" s="2"/>
      <c r="T121" s="2"/>
      <c r="U121" s="2"/>
      <c r="V121" s="2"/>
      <c r="W121" s="2"/>
      <c r="X121" s="2"/>
      <c r="Y121" s="2"/>
      <c r="Z121" s="2"/>
      <c r="AA121" s="2"/>
    </row>
    <row r="122" spans="1:27" ht="13.15">
      <c r="A122" s="12"/>
      <c r="B122" s="45"/>
      <c r="C122" s="45"/>
      <c r="D122" s="45"/>
      <c r="E122" s="45"/>
      <c r="F122" s="45"/>
      <c r="G122" s="45"/>
      <c r="H122" s="45"/>
      <c r="I122" s="45"/>
      <c r="J122" s="45"/>
      <c r="K122" s="45"/>
      <c r="L122" s="45"/>
      <c r="M122" s="45"/>
      <c r="N122" s="2"/>
      <c r="O122" s="2"/>
      <c r="P122" s="2"/>
      <c r="Q122" s="2"/>
      <c r="R122" s="2"/>
      <c r="S122" s="2"/>
      <c r="T122" s="2"/>
      <c r="U122" s="2"/>
      <c r="V122" s="2"/>
      <c r="W122" s="2"/>
      <c r="X122" s="2"/>
      <c r="Y122" s="2"/>
      <c r="Z122" s="2"/>
      <c r="AA122" s="2"/>
    </row>
    <row r="123" spans="1:27" ht="13.15">
      <c r="A123" s="12"/>
      <c r="B123" s="45"/>
      <c r="C123" s="45"/>
      <c r="D123" s="45"/>
      <c r="E123" s="45"/>
      <c r="F123" s="45"/>
      <c r="G123" s="45"/>
      <c r="H123" s="45"/>
      <c r="I123" s="45"/>
      <c r="J123" s="45"/>
      <c r="K123" s="45"/>
      <c r="L123" s="45"/>
      <c r="M123" s="45"/>
      <c r="N123" s="2"/>
      <c r="O123" s="2"/>
      <c r="P123" s="2"/>
      <c r="Q123" s="2"/>
      <c r="R123" s="2"/>
      <c r="S123" s="2"/>
      <c r="T123" s="2"/>
      <c r="U123" s="2"/>
      <c r="V123" s="2"/>
      <c r="W123" s="2"/>
      <c r="X123" s="2"/>
      <c r="Y123" s="2"/>
      <c r="Z123" s="2"/>
      <c r="AA123" s="2"/>
    </row>
    <row r="124" spans="1:27" ht="13.15">
      <c r="A124" s="12"/>
      <c r="B124" s="45"/>
      <c r="C124" s="45"/>
      <c r="D124" s="45"/>
      <c r="E124" s="45"/>
      <c r="F124" s="45"/>
      <c r="G124" s="45"/>
      <c r="H124" s="45"/>
      <c r="I124" s="45"/>
      <c r="J124" s="45"/>
      <c r="K124" s="45"/>
      <c r="L124" s="45"/>
      <c r="M124" s="45"/>
      <c r="N124" s="2"/>
      <c r="O124" s="2"/>
      <c r="P124" s="2"/>
      <c r="Q124" s="2"/>
      <c r="R124" s="2"/>
      <c r="S124" s="2"/>
      <c r="T124" s="2"/>
      <c r="U124" s="2"/>
      <c r="V124" s="2"/>
      <c r="W124" s="2"/>
      <c r="X124" s="2"/>
      <c r="Y124" s="2"/>
      <c r="Z124" s="2"/>
      <c r="AA124" s="2"/>
    </row>
    <row r="125" spans="1:27" ht="13.15">
      <c r="A125" s="12"/>
      <c r="B125" s="45"/>
      <c r="C125" s="45"/>
      <c r="D125" s="45"/>
      <c r="E125" s="45"/>
      <c r="F125" s="45"/>
      <c r="G125" s="45"/>
      <c r="H125" s="45"/>
      <c r="I125" s="45"/>
      <c r="J125" s="45"/>
      <c r="K125" s="45"/>
      <c r="L125" s="45"/>
      <c r="M125" s="45"/>
      <c r="N125" s="2"/>
      <c r="O125" s="2"/>
      <c r="P125" s="2"/>
      <c r="Q125" s="2"/>
      <c r="R125" s="2"/>
      <c r="S125" s="2"/>
      <c r="T125" s="2"/>
      <c r="U125" s="2"/>
      <c r="V125" s="2"/>
      <c r="W125" s="2"/>
      <c r="X125" s="2"/>
      <c r="Y125" s="2"/>
      <c r="Z125" s="2"/>
      <c r="AA125" s="2"/>
    </row>
    <row r="126" spans="1:27" ht="13.15">
      <c r="A126" s="12"/>
      <c r="B126" s="45"/>
      <c r="C126" s="45"/>
      <c r="D126" s="45"/>
      <c r="E126" s="45"/>
      <c r="F126" s="45"/>
      <c r="G126" s="45"/>
      <c r="H126" s="45"/>
      <c r="I126" s="45"/>
      <c r="J126" s="45"/>
      <c r="K126" s="45"/>
      <c r="L126" s="45"/>
      <c r="M126" s="45"/>
      <c r="N126" s="2"/>
      <c r="O126" s="2"/>
      <c r="P126" s="2"/>
      <c r="Q126" s="2"/>
      <c r="R126" s="2"/>
      <c r="S126" s="2"/>
      <c r="T126" s="2"/>
      <c r="U126" s="2"/>
      <c r="V126" s="2"/>
      <c r="W126" s="2"/>
      <c r="X126" s="2"/>
      <c r="Y126" s="2"/>
      <c r="Z126" s="2"/>
      <c r="AA126" s="2"/>
    </row>
    <row r="127" spans="1:27" ht="13.15">
      <c r="A127" s="12"/>
      <c r="B127" s="45"/>
      <c r="C127" s="45"/>
      <c r="D127" s="45"/>
      <c r="E127" s="45"/>
      <c r="F127" s="45"/>
      <c r="G127" s="45"/>
      <c r="H127" s="45"/>
      <c r="I127" s="45"/>
      <c r="J127" s="45"/>
      <c r="K127" s="45"/>
      <c r="L127" s="45"/>
      <c r="M127" s="45"/>
      <c r="N127" s="2"/>
      <c r="O127" s="2"/>
      <c r="P127" s="2"/>
      <c r="Q127" s="2"/>
      <c r="R127" s="2"/>
      <c r="S127" s="2"/>
      <c r="T127" s="2"/>
      <c r="U127" s="2"/>
      <c r="V127" s="2"/>
      <c r="W127" s="2"/>
      <c r="X127" s="2"/>
      <c r="Y127" s="2"/>
      <c r="Z127" s="2"/>
      <c r="AA127" s="2"/>
    </row>
    <row r="128" spans="1:27" ht="13.15">
      <c r="A128" s="12"/>
      <c r="B128" s="45"/>
      <c r="C128" s="45"/>
      <c r="D128" s="45"/>
      <c r="E128" s="45"/>
      <c r="F128" s="45"/>
      <c r="G128" s="45"/>
      <c r="H128" s="45"/>
      <c r="I128" s="45"/>
      <c r="J128" s="45"/>
      <c r="K128" s="45"/>
      <c r="L128" s="45"/>
      <c r="M128" s="45"/>
      <c r="N128" s="2"/>
      <c r="O128" s="2"/>
      <c r="P128" s="2"/>
      <c r="Q128" s="2"/>
      <c r="R128" s="2"/>
      <c r="S128" s="2"/>
      <c r="T128" s="2"/>
      <c r="U128" s="2"/>
      <c r="V128" s="2"/>
      <c r="W128" s="2"/>
      <c r="X128" s="2"/>
      <c r="Y128" s="2"/>
      <c r="Z128" s="2"/>
      <c r="AA128" s="2"/>
    </row>
    <row r="129" spans="1:27" ht="13.15">
      <c r="A129" s="12"/>
      <c r="B129" s="45"/>
      <c r="C129" s="45"/>
      <c r="D129" s="45"/>
      <c r="E129" s="45"/>
      <c r="F129" s="45"/>
      <c r="G129" s="45"/>
      <c r="H129" s="45"/>
      <c r="I129" s="45"/>
      <c r="J129" s="45"/>
      <c r="K129" s="45"/>
      <c r="L129" s="45"/>
      <c r="M129" s="45"/>
      <c r="N129" s="2"/>
      <c r="O129" s="2"/>
      <c r="P129" s="2"/>
      <c r="Q129" s="2"/>
      <c r="R129" s="2"/>
      <c r="S129" s="2"/>
      <c r="T129" s="2"/>
      <c r="U129" s="2"/>
      <c r="V129" s="2"/>
      <c r="W129" s="2"/>
      <c r="X129" s="2"/>
      <c r="Y129" s="2"/>
      <c r="Z129" s="2"/>
      <c r="AA129" s="2"/>
    </row>
    <row r="130" spans="1:27" ht="13.15">
      <c r="A130" s="12"/>
      <c r="B130" s="45"/>
      <c r="C130" s="45"/>
      <c r="D130" s="45"/>
      <c r="E130" s="45"/>
      <c r="F130" s="45"/>
      <c r="G130" s="45"/>
      <c r="H130" s="45"/>
      <c r="I130" s="45"/>
      <c r="J130" s="45"/>
      <c r="K130" s="45"/>
      <c r="L130" s="45"/>
      <c r="M130" s="45"/>
      <c r="N130" s="2"/>
      <c r="O130" s="2"/>
      <c r="P130" s="2"/>
      <c r="Q130" s="2"/>
      <c r="R130" s="2"/>
      <c r="S130" s="2"/>
      <c r="T130" s="2"/>
      <c r="U130" s="2"/>
      <c r="V130" s="2"/>
      <c r="W130" s="2"/>
      <c r="X130" s="2"/>
      <c r="Y130" s="2"/>
      <c r="Z130" s="2"/>
      <c r="AA130" s="2"/>
    </row>
    <row r="131" spans="1:27" ht="13.15">
      <c r="A131" s="12"/>
      <c r="B131" s="45"/>
      <c r="C131" s="45"/>
      <c r="D131" s="45"/>
      <c r="E131" s="45"/>
      <c r="F131" s="45"/>
      <c r="G131" s="45"/>
      <c r="H131" s="45"/>
      <c r="I131" s="45"/>
      <c r="J131" s="45"/>
      <c r="K131" s="45"/>
      <c r="L131" s="45"/>
      <c r="M131" s="45"/>
      <c r="N131" s="2"/>
      <c r="O131" s="2"/>
      <c r="P131" s="2"/>
      <c r="Q131" s="2"/>
      <c r="R131" s="2"/>
      <c r="S131" s="2"/>
      <c r="T131" s="2"/>
      <c r="U131" s="2"/>
      <c r="V131" s="2"/>
      <c r="W131" s="2"/>
      <c r="X131" s="2"/>
      <c r="Y131" s="2"/>
      <c r="Z131" s="2"/>
      <c r="AA131" s="2"/>
    </row>
    <row r="132" spans="1:27" ht="13.15">
      <c r="A132" s="12"/>
      <c r="B132" s="45"/>
      <c r="C132" s="45"/>
      <c r="D132" s="45"/>
      <c r="E132" s="45"/>
      <c r="F132" s="45"/>
      <c r="G132" s="45"/>
      <c r="H132" s="45"/>
      <c r="I132" s="45"/>
      <c r="J132" s="45"/>
      <c r="K132" s="45"/>
      <c r="L132" s="45"/>
      <c r="M132" s="45"/>
      <c r="N132" s="2"/>
      <c r="O132" s="2"/>
      <c r="P132" s="2"/>
      <c r="Q132" s="2"/>
      <c r="R132" s="2"/>
      <c r="S132" s="2"/>
      <c r="T132" s="2"/>
      <c r="U132" s="2"/>
      <c r="V132" s="2"/>
      <c r="W132" s="2"/>
      <c r="X132" s="2"/>
      <c r="Y132" s="2"/>
      <c r="Z132" s="2"/>
      <c r="AA132" s="2"/>
    </row>
    <row r="133" spans="1:27" ht="13.15">
      <c r="A133" s="12"/>
      <c r="B133" s="45"/>
      <c r="C133" s="45"/>
      <c r="D133" s="45"/>
      <c r="E133" s="45"/>
      <c r="F133" s="45"/>
      <c r="G133" s="45"/>
      <c r="H133" s="45"/>
      <c r="I133" s="45"/>
      <c r="J133" s="45"/>
      <c r="K133" s="45"/>
      <c r="L133" s="45"/>
      <c r="M133" s="45"/>
      <c r="N133" s="2"/>
      <c r="O133" s="2"/>
      <c r="P133" s="2"/>
      <c r="Q133" s="2"/>
      <c r="R133" s="2"/>
      <c r="S133" s="2"/>
      <c r="T133" s="2"/>
      <c r="U133" s="2"/>
      <c r="V133" s="2"/>
      <c r="W133" s="2"/>
      <c r="X133" s="2"/>
      <c r="Y133" s="2"/>
      <c r="Z133" s="2"/>
      <c r="AA133" s="2"/>
    </row>
    <row r="134" spans="1:27" ht="13.15">
      <c r="A134" s="12"/>
      <c r="B134" s="45"/>
      <c r="C134" s="45"/>
      <c r="D134" s="45"/>
      <c r="E134" s="45"/>
      <c r="F134" s="45"/>
      <c r="G134" s="45"/>
      <c r="H134" s="45"/>
      <c r="I134" s="45"/>
      <c r="J134" s="45"/>
      <c r="K134" s="45"/>
      <c r="L134" s="45"/>
      <c r="M134" s="45"/>
      <c r="N134" s="2"/>
      <c r="O134" s="2"/>
      <c r="P134" s="2"/>
      <c r="Q134" s="2"/>
      <c r="R134" s="2"/>
      <c r="S134" s="2"/>
      <c r="T134" s="2"/>
      <c r="U134" s="2"/>
      <c r="V134" s="2"/>
      <c r="W134" s="2"/>
      <c r="X134" s="2"/>
      <c r="Y134" s="2"/>
      <c r="Z134" s="2"/>
      <c r="AA134" s="2"/>
    </row>
    <row r="135" spans="1:27" ht="13.15">
      <c r="A135" s="12"/>
      <c r="B135" s="45"/>
      <c r="C135" s="45"/>
      <c r="D135" s="45"/>
      <c r="E135" s="45"/>
      <c r="F135" s="45"/>
      <c r="G135" s="45"/>
      <c r="H135" s="45"/>
      <c r="I135" s="45"/>
      <c r="J135" s="45"/>
      <c r="K135" s="45"/>
      <c r="L135" s="45"/>
      <c r="M135" s="45"/>
      <c r="N135" s="2"/>
      <c r="O135" s="2"/>
      <c r="P135" s="2"/>
      <c r="Q135" s="2"/>
      <c r="R135" s="2"/>
      <c r="S135" s="2"/>
      <c r="T135" s="2"/>
      <c r="U135" s="2"/>
      <c r="V135" s="2"/>
      <c r="W135" s="2"/>
      <c r="X135" s="2"/>
      <c r="Y135" s="2"/>
      <c r="Z135" s="2"/>
      <c r="AA135" s="2"/>
    </row>
    <row r="136" spans="1:27" ht="13.15">
      <c r="A136" s="12"/>
      <c r="B136" s="45"/>
      <c r="C136" s="45"/>
      <c r="D136" s="45"/>
      <c r="E136" s="45"/>
      <c r="F136" s="45"/>
      <c r="G136" s="45"/>
      <c r="H136" s="45"/>
      <c r="I136" s="45"/>
      <c r="J136" s="45"/>
      <c r="K136" s="45"/>
      <c r="L136" s="45"/>
      <c r="M136" s="45"/>
      <c r="N136" s="2"/>
      <c r="O136" s="2"/>
      <c r="P136" s="2"/>
      <c r="Q136" s="2"/>
      <c r="R136" s="2"/>
      <c r="S136" s="2"/>
      <c r="T136" s="2"/>
      <c r="U136" s="2"/>
      <c r="V136" s="2"/>
      <c r="W136" s="2"/>
      <c r="X136" s="2"/>
      <c r="Y136" s="2"/>
      <c r="Z136" s="2"/>
      <c r="AA136" s="2"/>
    </row>
    <row r="137" spans="1:27" ht="13.15">
      <c r="A137" s="12"/>
      <c r="B137" s="45"/>
      <c r="C137" s="45"/>
      <c r="D137" s="45"/>
      <c r="E137" s="45"/>
      <c r="F137" s="45"/>
      <c r="G137" s="45"/>
      <c r="H137" s="45"/>
      <c r="I137" s="45"/>
      <c r="J137" s="45"/>
      <c r="K137" s="45"/>
      <c r="L137" s="45"/>
      <c r="M137" s="45"/>
      <c r="N137" s="2"/>
      <c r="O137" s="2"/>
      <c r="P137" s="2"/>
      <c r="Q137" s="2"/>
      <c r="R137" s="2"/>
      <c r="S137" s="2"/>
      <c r="T137" s="2"/>
      <c r="U137" s="2"/>
      <c r="V137" s="2"/>
      <c r="W137" s="2"/>
      <c r="X137" s="2"/>
      <c r="Y137" s="2"/>
      <c r="Z137" s="2"/>
      <c r="AA137" s="2"/>
    </row>
    <row r="138" spans="1:27" ht="13.15">
      <c r="A138" s="12"/>
      <c r="B138" s="45"/>
      <c r="C138" s="45"/>
      <c r="D138" s="45"/>
      <c r="E138" s="45"/>
      <c r="F138" s="45"/>
      <c r="G138" s="45"/>
      <c r="H138" s="45"/>
      <c r="I138" s="45"/>
      <c r="J138" s="45"/>
      <c r="K138" s="45"/>
      <c r="L138" s="45"/>
      <c r="M138" s="45"/>
      <c r="N138" s="2"/>
      <c r="O138" s="2"/>
      <c r="P138" s="2"/>
      <c r="Q138" s="2"/>
      <c r="R138" s="2"/>
      <c r="S138" s="2"/>
      <c r="T138" s="2"/>
      <c r="U138" s="2"/>
      <c r="V138" s="2"/>
      <c r="W138" s="2"/>
      <c r="X138" s="2"/>
      <c r="Y138" s="2"/>
      <c r="Z138" s="2"/>
      <c r="AA138" s="2"/>
    </row>
    <row r="139" spans="1:27" ht="13.15">
      <c r="A139" s="12"/>
      <c r="B139" s="45"/>
      <c r="C139" s="45"/>
      <c r="D139" s="45"/>
      <c r="E139" s="45"/>
      <c r="F139" s="45"/>
      <c r="G139" s="45"/>
      <c r="H139" s="45"/>
      <c r="I139" s="45"/>
      <c r="J139" s="45"/>
      <c r="K139" s="45"/>
      <c r="L139" s="45"/>
      <c r="M139" s="45"/>
      <c r="N139" s="2"/>
      <c r="O139" s="2"/>
      <c r="P139" s="2"/>
      <c r="Q139" s="2"/>
      <c r="R139" s="2"/>
      <c r="S139" s="2"/>
      <c r="T139" s="2"/>
      <c r="U139" s="2"/>
      <c r="V139" s="2"/>
      <c r="W139" s="2"/>
      <c r="X139" s="2"/>
      <c r="Y139" s="2"/>
      <c r="Z139" s="2"/>
      <c r="AA139" s="2"/>
    </row>
    <row r="140" spans="1:27" ht="13.15">
      <c r="A140" s="12"/>
      <c r="B140" s="45"/>
      <c r="C140" s="45"/>
      <c r="D140" s="45"/>
      <c r="E140" s="45"/>
      <c r="F140" s="45"/>
      <c r="G140" s="45"/>
      <c r="H140" s="45"/>
      <c r="I140" s="45"/>
      <c r="J140" s="45"/>
      <c r="K140" s="45"/>
      <c r="L140" s="45"/>
      <c r="M140" s="45"/>
      <c r="N140" s="2"/>
      <c r="O140" s="2"/>
      <c r="P140" s="2"/>
      <c r="Q140" s="2"/>
      <c r="R140" s="2"/>
      <c r="S140" s="2"/>
      <c r="T140" s="2"/>
      <c r="U140" s="2"/>
      <c r="V140" s="2"/>
      <c r="W140" s="2"/>
      <c r="X140" s="2"/>
      <c r="Y140" s="2"/>
      <c r="Z140" s="2"/>
      <c r="AA140" s="2"/>
    </row>
    <row r="141" spans="1:27" ht="13.15">
      <c r="A141" s="12"/>
      <c r="B141" s="45"/>
      <c r="C141" s="45"/>
      <c r="D141" s="45"/>
      <c r="E141" s="45"/>
      <c r="F141" s="45"/>
      <c r="G141" s="45"/>
      <c r="H141" s="45"/>
      <c r="I141" s="45"/>
      <c r="J141" s="45"/>
      <c r="K141" s="45"/>
      <c r="L141" s="45"/>
      <c r="M141" s="45"/>
      <c r="N141" s="2"/>
      <c r="O141" s="2"/>
      <c r="P141" s="2"/>
      <c r="Q141" s="2"/>
      <c r="R141" s="2"/>
      <c r="S141" s="2"/>
      <c r="T141" s="2"/>
      <c r="U141" s="2"/>
      <c r="V141" s="2"/>
      <c r="W141" s="2"/>
      <c r="X141" s="2"/>
      <c r="Y141" s="2"/>
      <c r="Z141" s="2"/>
      <c r="AA141" s="2"/>
    </row>
    <row r="142" spans="1:27" ht="13.15">
      <c r="A142" s="12"/>
      <c r="B142" s="45"/>
      <c r="C142" s="45"/>
      <c r="D142" s="45"/>
      <c r="E142" s="45"/>
      <c r="F142" s="45"/>
      <c r="G142" s="45"/>
      <c r="H142" s="45"/>
      <c r="I142" s="45"/>
      <c r="J142" s="45"/>
      <c r="K142" s="45"/>
      <c r="L142" s="45"/>
      <c r="M142" s="45"/>
      <c r="N142" s="2"/>
      <c r="O142" s="2"/>
      <c r="P142" s="2"/>
      <c r="Q142" s="2"/>
      <c r="R142" s="2"/>
      <c r="S142" s="2"/>
      <c r="T142" s="2"/>
      <c r="U142" s="2"/>
      <c r="V142" s="2"/>
      <c r="W142" s="2"/>
      <c r="X142" s="2"/>
      <c r="Y142" s="2"/>
      <c r="Z142" s="2"/>
      <c r="AA142" s="2"/>
    </row>
    <row r="143" spans="1:27" ht="13.15">
      <c r="A143" s="12"/>
      <c r="B143" s="45"/>
      <c r="C143" s="45"/>
      <c r="D143" s="45"/>
      <c r="E143" s="45"/>
      <c r="F143" s="45"/>
      <c r="G143" s="45"/>
      <c r="H143" s="45"/>
      <c r="I143" s="45"/>
      <c r="J143" s="45"/>
      <c r="K143" s="45"/>
      <c r="L143" s="45"/>
      <c r="M143" s="45"/>
      <c r="N143" s="2"/>
      <c r="O143" s="2"/>
      <c r="P143" s="2"/>
      <c r="Q143" s="2"/>
      <c r="R143" s="2"/>
      <c r="S143" s="2"/>
      <c r="T143" s="2"/>
      <c r="U143" s="2"/>
      <c r="V143" s="2"/>
      <c r="W143" s="2"/>
      <c r="X143" s="2"/>
      <c r="Y143" s="2"/>
      <c r="Z143" s="2"/>
      <c r="AA143" s="2"/>
    </row>
    <row r="144" spans="1:27" ht="13.15">
      <c r="A144" s="12"/>
      <c r="B144" s="45"/>
      <c r="C144" s="45"/>
      <c r="D144" s="45"/>
      <c r="E144" s="45"/>
      <c r="F144" s="45"/>
      <c r="G144" s="45"/>
      <c r="H144" s="45"/>
      <c r="I144" s="45"/>
      <c r="J144" s="45"/>
      <c r="K144" s="45"/>
      <c r="L144" s="45"/>
      <c r="M144" s="45"/>
      <c r="N144" s="2"/>
      <c r="O144" s="2"/>
      <c r="P144" s="2"/>
      <c r="Q144" s="2"/>
      <c r="R144" s="2"/>
      <c r="S144" s="2"/>
      <c r="T144" s="2"/>
      <c r="U144" s="2"/>
      <c r="V144" s="2"/>
      <c r="W144" s="2"/>
      <c r="X144" s="2"/>
      <c r="Y144" s="2"/>
      <c r="Z144" s="2"/>
      <c r="AA144" s="2"/>
    </row>
    <row r="145" spans="1:27" ht="13.15">
      <c r="A145" s="12"/>
      <c r="B145" s="45"/>
      <c r="C145" s="45"/>
      <c r="D145" s="45"/>
      <c r="E145" s="45"/>
      <c r="F145" s="45"/>
      <c r="G145" s="45"/>
      <c r="H145" s="45"/>
      <c r="I145" s="45"/>
      <c r="J145" s="45"/>
      <c r="K145" s="45"/>
      <c r="L145" s="45"/>
      <c r="M145" s="45"/>
      <c r="N145" s="2"/>
      <c r="O145" s="2"/>
      <c r="P145" s="2"/>
      <c r="Q145" s="2"/>
      <c r="R145" s="2"/>
      <c r="S145" s="2"/>
      <c r="T145" s="2"/>
      <c r="U145" s="2"/>
      <c r="V145" s="2"/>
      <c r="W145" s="2"/>
      <c r="X145" s="2"/>
      <c r="Y145" s="2"/>
      <c r="Z145" s="2"/>
      <c r="AA145" s="2"/>
    </row>
    <row r="146" spans="1:27" ht="13.15">
      <c r="A146" s="12"/>
      <c r="B146" s="45"/>
      <c r="C146" s="45"/>
      <c r="D146" s="45"/>
      <c r="E146" s="45"/>
      <c r="F146" s="45"/>
      <c r="G146" s="45"/>
      <c r="H146" s="45"/>
      <c r="I146" s="45"/>
      <c r="J146" s="45"/>
      <c r="K146" s="45"/>
      <c r="L146" s="45"/>
      <c r="M146" s="45"/>
      <c r="N146" s="2"/>
      <c r="O146" s="2"/>
      <c r="P146" s="2"/>
      <c r="Q146" s="2"/>
      <c r="R146" s="2"/>
      <c r="S146" s="2"/>
      <c r="T146" s="2"/>
      <c r="U146" s="2"/>
      <c r="V146" s="2"/>
      <c r="W146" s="2"/>
      <c r="X146" s="2"/>
      <c r="Y146" s="2"/>
      <c r="Z146" s="2"/>
      <c r="AA146" s="2"/>
    </row>
    <row r="147" spans="1:27" ht="13.15">
      <c r="A147" s="12"/>
      <c r="B147" s="45"/>
      <c r="C147" s="45"/>
      <c r="D147" s="45"/>
      <c r="E147" s="45"/>
      <c r="F147" s="45"/>
      <c r="G147" s="45"/>
      <c r="H147" s="45"/>
      <c r="I147" s="45"/>
      <c r="J147" s="45"/>
      <c r="K147" s="45"/>
      <c r="L147" s="45"/>
      <c r="M147" s="45"/>
      <c r="N147" s="2"/>
      <c r="O147" s="2"/>
      <c r="P147" s="2"/>
      <c r="Q147" s="2"/>
      <c r="R147" s="2"/>
      <c r="S147" s="2"/>
      <c r="T147" s="2"/>
      <c r="U147" s="2"/>
      <c r="V147" s="2"/>
      <c r="W147" s="2"/>
      <c r="X147" s="2"/>
      <c r="Y147" s="2"/>
      <c r="Z147" s="2"/>
      <c r="AA147" s="2"/>
    </row>
    <row r="148" spans="1:27" ht="13.15">
      <c r="A148" s="12"/>
      <c r="B148" s="45"/>
      <c r="C148" s="45"/>
      <c r="D148" s="45"/>
      <c r="E148" s="45"/>
      <c r="F148" s="45"/>
      <c r="G148" s="45"/>
      <c r="H148" s="45"/>
      <c r="I148" s="45"/>
      <c r="J148" s="45"/>
      <c r="K148" s="45"/>
      <c r="L148" s="45"/>
      <c r="M148" s="45"/>
      <c r="N148" s="2"/>
      <c r="O148" s="2"/>
      <c r="P148" s="2"/>
      <c r="Q148" s="2"/>
      <c r="R148" s="2"/>
      <c r="S148" s="2"/>
      <c r="T148" s="2"/>
      <c r="U148" s="2"/>
      <c r="V148" s="2"/>
      <c r="W148" s="2"/>
      <c r="X148" s="2"/>
      <c r="Y148" s="2"/>
      <c r="Z148" s="2"/>
      <c r="AA148" s="2"/>
    </row>
    <row r="149" spans="1:27" ht="13.15">
      <c r="A149" s="12"/>
      <c r="B149" s="45"/>
      <c r="C149" s="45"/>
      <c r="D149" s="45"/>
      <c r="E149" s="45"/>
      <c r="F149" s="45"/>
      <c r="G149" s="45"/>
      <c r="H149" s="45"/>
      <c r="I149" s="45"/>
      <c r="J149" s="45"/>
      <c r="K149" s="45"/>
      <c r="L149" s="45"/>
      <c r="M149" s="45"/>
      <c r="N149" s="2"/>
      <c r="O149" s="2"/>
      <c r="P149" s="2"/>
      <c r="Q149" s="2"/>
      <c r="R149" s="2"/>
      <c r="S149" s="2"/>
      <c r="T149" s="2"/>
      <c r="U149" s="2"/>
      <c r="V149" s="2"/>
      <c r="W149" s="2"/>
      <c r="X149" s="2"/>
      <c r="Y149" s="2"/>
      <c r="Z149" s="2"/>
      <c r="AA149" s="2"/>
    </row>
    <row r="150" spans="1:27" ht="13.15">
      <c r="A150" s="12"/>
      <c r="B150" s="45"/>
      <c r="C150" s="45"/>
      <c r="D150" s="45"/>
      <c r="E150" s="45"/>
      <c r="F150" s="45"/>
      <c r="G150" s="45"/>
      <c r="H150" s="45"/>
      <c r="I150" s="45"/>
      <c r="J150" s="45"/>
      <c r="K150" s="45"/>
      <c r="L150" s="45"/>
      <c r="M150" s="45"/>
      <c r="N150" s="2"/>
      <c r="O150" s="2"/>
      <c r="P150" s="2"/>
      <c r="Q150" s="2"/>
      <c r="R150" s="2"/>
      <c r="S150" s="2"/>
      <c r="T150" s="2"/>
      <c r="U150" s="2"/>
      <c r="V150" s="2"/>
      <c r="W150" s="2"/>
      <c r="X150" s="2"/>
      <c r="Y150" s="2"/>
      <c r="Z150" s="2"/>
      <c r="AA150" s="2"/>
    </row>
    <row r="151" spans="1:27" ht="13.15">
      <c r="A151" s="12"/>
      <c r="B151" s="45"/>
      <c r="C151" s="45"/>
      <c r="D151" s="45"/>
      <c r="E151" s="45"/>
      <c r="F151" s="45"/>
      <c r="G151" s="45"/>
      <c r="H151" s="45"/>
      <c r="I151" s="45"/>
      <c r="J151" s="45"/>
      <c r="K151" s="45"/>
      <c r="L151" s="45"/>
      <c r="M151" s="45"/>
      <c r="N151" s="2"/>
      <c r="O151" s="2"/>
      <c r="P151" s="2"/>
      <c r="Q151" s="2"/>
      <c r="R151" s="2"/>
      <c r="S151" s="2"/>
      <c r="T151" s="2"/>
      <c r="U151" s="2"/>
      <c r="V151" s="2"/>
      <c r="W151" s="2"/>
      <c r="X151" s="2"/>
      <c r="Y151" s="2"/>
      <c r="Z151" s="2"/>
      <c r="AA151" s="2"/>
    </row>
    <row r="152" spans="1:27" ht="13.15">
      <c r="A152" s="12"/>
      <c r="B152" s="45"/>
      <c r="C152" s="45"/>
      <c r="D152" s="45"/>
      <c r="E152" s="45"/>
      <c r="F152" s="45"/>
      <c r="G152" s="45"/>
      <c r="H152" s="45"/>
      <c r="I152" s="45"/>
      <c r="J152" s="45"/>
      <c r="K152" s="45"/>
      <c r="L152" s="45"/>
      <c r="M152" s="45"/>
      <c r="N152" s="2"/>
      <c r="O152" s="2"/>
      <c r="P152" s="2"/>
      <c r="Q152" s="2"/>
      <c r="R152" s="2"/>
      <c r="S152" s="2"/>
      <c r="T152" s="2"/>
      <c r="U152" s="2"/>
      <c r="V152" s="2"/>
      <c r="W152" s="2"/>
      <c r="X152" s="2"/>
      <c r="Y152" s="2"/>
      <c r="Z152" s="2"/>
      <c r="AA152" s="2"/>
    </row>
    <row r="153" spans="1:27" ht="13.15">
      <c r="A153" s="12"/>
      <c r="B153" s="45"/>
      <c r="C153" s="45"/>
      <c r="D153" s="45"/>
      <c r="E153" s="45"/>
      <c r="F153" s="45"/>
      <c r="G153" s="45"/>
      <c r="H153" s="45"/>
      <c r="I153" s="45"/>
      <c r="J153" s="45"/>
      <c r="K153" s="45"/>
      <c r="L153" s="45"/>
      <c r="M153" s="45"/>
      <c r="N153" s="2"/>
      <c r="O153" s="2"/>
      <c r="P153" s="2"/>
      <c r="Q153" s="2"/>
      <c r="R153" s="2"/>
      <c r="S153" s="2"/>
      <c r="T153" s="2"/>
      <c r="U153" s="2"/>
      <c r="V153" s="2"/>
      <c r="W153" s="2"/>
      <c r="X153" s="2"/>
      <c r="Y153" s="2"/>
      <c r="Z153" s="2"/>
      <c r="AA153" s="2"/>
    </row>
    <row r="154" spans="1:27" ht="13.15">
      <c r="A154" s="12"/>
      <c r="B154" s="45"/>
      <c r="C154" s="45"/>
      <c r="D154" s="45"/>
      <c r="E154" s="45"/>
      <c r="F154" s="45"/>
      <c r="G154" s="45"/>
      <c r="H154" s="45"/>
      <c r="I154" s="45"/>
      <c r="J154" s="45"/>
      <c r="K154" s="45"/>
      <c r="L154" s="45"/>
      <c r="M154" s="45"/>
      <c r="N154" s="2"/>
      <c r="O154" s="2"/>
      <c r="P154" s="2"/>
      <c r="Q154" s="2"/>
      <c r="R154" s="2"/>
      <c r="S154" s="2"/>
      <c r="T154" s="2"/>
      <c r="U154" s="2"/>
      <c r="V154" s="2"/>
      <c r="W154" s="2"/>
      <c r="X154" s="2"/>
      <c r="Y154" s="2"/>
      <c r="Z154" s="2"/>
      <c r="AA154" s="2"/>
    </row>
    <row r="155" spans="1:27" ht="13.15">
      <c r="A155" s="12"/>
      <c r="B155" s="45"/>
      <c r="C155" s="45"/>
      <c r="D155" s="45"/>
      <c r="E155" s="45"/>
      <c r="F155" s="45"/>
      <c r="G155" s="45"/>
      <c r="H155" s="45"/>
      <c r="I155" s="45"/>
      <c r="J155" s="45"/>
      <c r="K155" s="45"/>
      <c r="L155" s="45"/>
      <c r="M155" s="45"/>
      <c r="N155" s="2"/>
      <c r="O155" s="2"/>
      <c r="P155" s="2"/>
      <c r="Q155" s="2"/>
      <c r="R155" s="2"/>
      <c r="S155" s="2"/>
      <c r="T155" s="2"/>
      <c r="U155" s="2"/>
      <c r="V155" s="2"/>
      <c r="W155" s="2"/>
      <c r="X155" s="2"/>
      <c r="Y155" s="2"/>
      <c r="Z155" s="2"/>
      <c r="AA155" s="2"/>
    </row>
    <row r="156" spans="1:27" ht="13.15">
      <c r="A156" s="12"/>
      <c r="B156" s="45"/>
      <c r="C156" s="45"/>
      <c r="D156" s="45"/>
      <c r="E156" s="45"/>
      <c r="F156" s="45"/>
      <c r="G156" s="45"/>
      <c r="H156" s="45"/>
      <c r="I156" s="45"/>
      <c r="J156" s="45"/>
      <c r="K156" s="45"/>
      <c r="L156" s="45"/>
      <c r="M156" s="45"/>
      <c r="N156" s="2"/>
      <c r="O156" s="2"/>
      <c r="P156" s="2"/>
      <c r="Q156" s="2"/>
      <c r="R156" s="2"/>
      <c r="S156" s="2"/>
      <c r="T156" s="2"/>
      <c r="U156" s="2"/>
      <c r="V156" s="2"/>
      <c r="W156" s="2"/>
      <c r="X156" s="2"/>
      <c r="Y156" s="2"/>
      <c r="Z156" s="2"/>
      <c r="AA156" s="2"/>
    </row>
    <row r="157" spans="1:27" ht="13.15">
      <c r="A157" s="12"/>
      <c r="B157" s="45"/>
      <c r="C157" s="45"/>
      <c r="D157" s="45"/>
      <c r="E157" s="45"/>
      <c r="F157" s="45"/>
      <c r="G157" s="45"/>
      <c r="H157" s="45"/>
      <c r="I157" s="45"/>
      <c r="J157" s="45"/>
      <c r="K157" s="45"/>
      <c r="L157" s="45"/>
      <c r="M157" s="45"/>
      <c r="N157" s="2"/>
      <c r="O157" s="2"/>
      <c r="P157" s="2"/>
      <c r="Q157" s="2"/>
      <c r="R157" s="2"/>
      <c r="S157" s="2"/>
      <c r="T157" s="2"/>
      <c r="U157" s="2"/>
      <c r="V157" s="2"/>
      <c r="W157" s="2"/>
      <c r="X157" s="2"/>
      <c r="Y157" s="2"/>
      <c r="Z157" s="2"/>
      <c r="AA157" s="2"/>
    </row>
    <row r="158" spans="1:27" ht="13.15">
      <c r="A158" s="12"/>
      <c r="B158" s="45"/>
      <c r="C158" s="45"/>
      <c r="D158" s="45"/>
      <c r="E158" s="45"/>
      <c r="F158" s="45"/>
      <c r="G158" s="45"/>
      <c r="H158" s="45"/>
      <c r="I158" s="45"/>
      <c r="J158" s="45"/>
      <c r="K158" s="45"/>
      <c r="L158" s="45"/>
      <c r="M158" s="45"/>
      <c r="N158" s="2"/>
      <c r="O158" s="2"/>
      <c r="P158" s="2"/>
      <c r="Q158" s="2"/>
      <c r="R158" s="2"/>
      <c r="S158" s="2"/>
      <c r="T158" s="2"/>
      <c r="U158" s="2"/>
      <c r="V158" s="2"/>
      <c r="W158" s="2"/>
      <c r="X158" s="2"/>
      <c r="Y158" s="2"/>
      <c r="Z158" s="2"/>
      <c r="AA158" s="2"/>
    </row>
    <row r="159" spans="1:27" ht="13.15">
      <c r="A159" s="12"/>
      <c r="B159" s="45"/>
      <c r="C159" s="45"/>
      <c r="D159" s="45"/>
      <c r="E159" s="45"/>
      <c r="F159" s="45"/>
      <c r="G159" s="45"/>
      <c r="H159" s="45"/>
      <c r="I159" s="45"/>
      <c r="J159" s="45"/>
      <c r="K159" s="45"/>
      <c r="L159" s="45"/>
      <c r="M159" s="45"/>
      <c r="N159" s="2"/>
      <c r="O159" s="2"/>
      <c r="P159" s="2"/>
      <c r="Q159" s="2"/>
      <c r="R159" s="2"/>
      <c r="S159" s="2"/>
      <c r="T159" s="2"/>
      <c r="U159" s="2"/>
      <c r="V159" s="2"/>
      <c r="W159" s="2"/>
      <c r="X159" s="2"/>
      <c r="Y159" s="2"/>
      <c r="Z159" s="2"/>
      <c r="AA159" s="2"/>
    </row>
    <row r="160" spans="1:27" ht="13.15">
      <c r="A160" s="12"/>
      <c r="B160" s="45"/>
      <c r="C160" s="45"/>
      <c r="D160" s="45"/>
      <c r="E160" s="45"/>
      <c r="F160" s="45"/>
      <c r="G160" s="45"/>
      <c r="H160" s="45"/>
      <c r="I160" s="45"/>
      <c r="J160" s="45"/>
      <c r="K160" s="45"/>
      <c r="L160" s="45"/>
      <c r="M160" s="45"/>
      <c r="N160" s="2"/>
      <c r="O160" s="2"/>
      <c r="P160" s="2"/>
      <c r="Q160" s="2"/>
      <c r="R160" s="2"/>
      <c r="S160" s="2"/>
      <c r="T160" s="2"/>
      <c r="U160" s="2"/>
      <c r="V160" s="2"/>
      <c r="W160" s="2"/>
      <c r="X160" s="2"/>
      <c r="Y160" s="2"/>
      <c r="Z160" s="2"/>
      <c r="AA160" s="2"/>
    </row>
    <row r="161" spans="1:27" ht="13.15">
      <c r="A161" s="12"/>
      <c r="B161" s="45"/>
      <c r="C161" s="45"/>
      <c r="D161" s="45"/>
      <c r="E161" s="45"/>
      <c r="F161" s="45"/>
      <c r="G161" s="45"/>
      <c r="H161" s="45"/>
      <c r="I161" s="45"/>
      <c r="J161" s="45"/>
      <c r="K161" s="45"/>
      <c r="L161" s="45"/>
      <c r="M161" s="45"/>
      <c r="N161" s="2"/>
      <c r="O161" s="2"/>
      <c r="P161" s="2"/>
      <c r="Q161" s="2"/>
      <c r="R161" s="2"/>
      <c r="S161" s="2"/>
      <c r="T161" s="2"/>
      <c r="U161" s="2"/>
      <c r="V161" s="2"/>
      <c r="W161" s="2"/>
      <c r="X161" s="2"/>
      <c r="Y161" s="2"/>
      <c r="Z161" s="2"/>
      <c r="AA161" s="2"/>
    </row>
    <row r="162" spans="1:27" ht="13.15">
      <c r="A162" s="12"/>
      <c r="B162" s="45"/>
      <c r="C162" s="45"/>
      <c r="D162" s="45"/>
      <c r="E162" s="45"/>
      <c r="F162" s="45"/>
      <c r="G162" s="45"/>
      <c r="H162" s="45"/>
      <c r="I162" s="45"/>
      <c r="J162" s="45"/>
      <c r="K162" s="45"/>
      <c r="L162" s="45"/>
      <c r="M162" s="45"/>
      <c r="N162" s="2"/>
      <c r="O162" s="2"/>
      <c r="P162" s="2"/>
      <c r="Q162" s="2"/>
      <c r="R162" s="2"/>
      <c r="S162" s="2"/>
      <c r="T162" s="2"/>
      <c r="U162" s="2"/>
      <c r="V162" s="2"/>
      <c r="W162" s="2"/>
      <c r="X162" s="2"/>
      <c r="Y162" s="2"/>
      <c r="Z162" s="2"/>
      <c r="AA162" s="2"/>
    </row>
    <row r="163" spans="1:27" ht="13.15">
      <c r="A163" s="12"/>
      <c r="B163" s="45"/>
      <c r="C163" s="45"/>
      <c r="D163" s="45"/>
      <c r="E163" s="45"/>
      <c r="F163" s="45"/>
      <c r="G163" s="45"/>
      <c r="H163" s="45"/>
      <c r="I163" s="45"/>
      <c r="J163" s="45"/>
      <c r="K163" s="45"/>
      <c r="L163" s="45"/>
      <c r="M163" s="45"/>
      <c r="N163" s="2"/>
      <c r="O163" s="2"/>
      <c r="P163" s="2"/>
      <c r="Q163" s="2"/>
      <c r="R163" s="2"/>
      <c r="S163" s="2"/>
      <c r="T163" s="2"/>
      <c r="U163" s="2"/>
      <c r="V163" s="2"/>
      <c r="W163" s="2"/>
      <c r="X163" s="2"/>
      <c r="Y163" s="2"/>
      <c r="Z163" s="2"/>
      <c r="AA163" s="2"/>
    </row>
    <row r="164" spans="1:27" ht="13.15">
      <c r="A164" s="12"/>
      <c r="B164" s="45"/>
      <c r="C164" s="45"/>
      <c r="D164" s="45"/>
      <c r="E164" s="45"/>
      <c r="F164" s="45"/>
      <c r="G164" s="45"/>
      <c r="H164" s="45"/>
      <c r="I164" s="45"/>
      <c r="J164" s="45"/>
      <c r="K164" s="45"/>
      <c r="L164" s="45"/>
      <c r="M164" s="45"/>
      <c r="N164" s="2"/>
      <c r="O164" s="2"/>
      <c r="P164" s="2"/>
      <c r="Q164" s="2"/>
      <c r="R164" s="2"/>
      <c r="S164" s="2"/>
      <c r="T164" s="2"/>
      <c r="U164" s="2"/>
      <c r="V164" s="2"/>
      <c r="W164" s="2"/>
      <c r="X164" s="2"/>
      <c r="Y164" s="2"/>
      <c r="Z164" s="2"/>
      <c r="AA164" s="2"/>
    </row>
    <row r="165" spans="1:27" ht="13.15">
      <c r="A165" s="12"/>
      <c r="B165" s="45"/>
      <c r="C165" s="45"/>
      <c r="D165" s="45"/>
      <c r="E165" s="45"/>
      <c r="F165" s="45"/>
      <c r="G165" s="45"/>
      <c r="H165" s="45"/>
      <c r="I165" s="45"/>
      <c r="J165" s="45"/>
      <c r="K165" s="45"/>
      <c r="L165" s="45"/>
      <c r="M165" s="45"/>
      <c r="N165" s="2"/>
      <c r="O165" s="2"/>
      <c r="P165" s="2"/>
      <c r="Q165" s="2"/>
      <c r="R165" s="2"/>
      <c r="S165" s="2"/>
      <c r="T165" s="2"/>
      <c r="U165" s="2"/>
      <c r="V165" s="2"/>
      <c r="W165" s="2"/>
      <c r="X165" s="2"/>
      <c r="Y165" s="2"/>
      <c r="Z165" s="2"/>
      <c r="AA165" s="2"/>
    </row>
    <row r="166" spans="1:27" ht="13.15">
      <c r="A166" s="12"/>
      <c r="B166" s="45"/>
      <c r="C166" s="45"/>
      <c r="D166" s="45"/>
      <c r="E166" s="45"/>
      <c r="F166" s="45"/>
      <c r="G166" s="45"/>
      <c r="H166" s="45"/>
      <c r="I166" s="45"/>
      <c r="J166" s="45"/>
      <c r="K166" s="45"/>
      <c r="L166" s="45"/>
      <c r="M166" s="45"/>
      <c r="N166" s="2"/>
      <c r="O166" s="2"/>
      <c r="P166" s="2"/>
      <c r="Q166" s="2"/>
      <c r="R166" s="2"/>
      <c r="S166" s="2"/>
      <c r="T166" s="2"/>
      <c r="U166" s="2"/>
      <c r="V166" s="2"/>
      <c r="W166" s="2"/>
      <c r="X166" s="2"/>
      <c r="Y166" s="2"/>
      <c r="Z166" s="2"/>
      <c r="AA166" s="2"/>
    </row>
    <row r="167" spans="1:27" ht="13.15">
      <c r="A167" s="12"/>
      <c r="B167" s="45"/>
      <c r="C167" s="45"/>
      <c r="D167" s="45"/>
      <c r="E167" s="45"/>
      <c r="F167" s="45"/>
      <c r="G167" s="45"/>
      <c r="H167" s="45"/>
      <c r="I167" s="45"/>
      <c r="J167" s="45"/>
      <c r="K167" s="45"/>
      <c r="L167" s="45"/>
      <c r="M167" s="45"/>
      <c r="N167" s="2"/>
      <c r="O167" s="2"/>
      <c r="P167" s="2"/>
      <c r="Q167" s="2"/>
      <c r="R167" s="2"/>
      <c r="S167" s="2"/>
      <c r="T167" s="2"/>
      <c r="U167" s="2"/>
      <c r="V167" s="2"/>
      <c r="W167" s="2"/>
      <c r="X167" s="2"/>
      <c r="Y167" s="2"/>
      <c r="Z167" s="2"/>
      <c r="AA167" s="2"/>
    </row>
    <row r="168" spans="1:27" ht="13.15">
      <c r="A168" s="12"/>
      <c r="B168" s="45"/>
      <c r="C168" s="45"/>
      <c r="D168" s="45"/>
      <c r="E168" s="45"/>
      <c r="F168" s="45"/>
      <c r="G168" s="45"/>
      <c r="H168" s="45"/>
      <c r="I168" s="45"/>
      <c r="J168" s="45"/>
      <c r="K168" s="45"/>
      <c r="L168" s="45"/>
      <c r="M168" s="45"/>
      <c r="N168" s="2"/>
      <c r="O168" s="2"/>
      <c r="P168" s="2"/>
      <c r="Q168" s="2"/>
      <c r="R168" s="2"/>
      <c r="S168" s="2"/>
      <c r="T168" s="2"/>
      <c r="U168" s="2"/>
      <c r="V168" s="2"/>
      <c r="W168" s="2"/>
      <c r="X168" s="2"/>
      <c r="Y168" s="2"/>
      <c r="Z168" s="2"/>
      <c r="AA168" s="2"/>
    </row>
    <row r="169" spans="1:27" ht="13.15">
      <c r="A169" s="12"/>
      <c r="B169" s="45"/>
      <c r="C169" s="45"/>
      <c r="D169" s="45"/>
      <c r="E169" s="45"/>
      <c r="F169" s="45"/>
      <c r="G169" s="45"/>
      <c r="H169" s="45"/>
      <c r="I169" s="45"/>
      <c r="J169" s="45"/>
      <c r="K169" s="45"/>
      <c r="L169" s="45"/>
      <c r="M169" s="45"/>
      <c r="N169" s="2"/>
      <c r="O169" s="2"/>
      <c r="P169" s="2"/>
      <c r="Q169" s="2"/>
      <c r="R169" s="2"/>
      <c r="S169" s="2"/>
      <c r="T169" s="2"/>
      <c r="U169" s="2"/>
      <c r="V169" s="2"/>
      <c r="W169" s="2"/>
      <c r="X169" s="2"/>
      <c r="Y169" s="2"/>
      <c r="Z169" s="2"/>
      <c r="AA169" s="2"/>
    </row>
    <row r="170" spans="1:27" ht="13.15">
      <c r="A170" s="12"/>
      <c r="B170" s="45"/>
      <c r="C170" s="45"/>
      <c r="D170" s="45"/>
      <c r="E170" s="45"/>
      <c r="F170" s="45"/>
      <c r="G170" s="45"/>
      <c r="H170" s="45"/>
      <c r="I170" s="45"/>
      <c r="J170" s="45"/>
      <c r="K170" s="45"/>
      <c r="L170" s="45"/>
      <c r="M170" s="45"/>
      <c r="N170" s="2"/>
      <c r="O170" s="2"/>
      <c r="P170" s="2"/>
      <c r="Q170" s="2"/>
      <c r="R170" s="2"/>
      <c r="S170" s="2"/>
      <c r="T170" s="2"/>
      <c r="U170" s="2"/>
      <c r="V170" s="2"/>
      <c r="W170" s="2"/>
      <c r="X170" s="2"/>
      <c r="Y170" s="2"/>
      <c r="Z170" s="2"/>
      <c r="AA170" s="2"/>
    </row>
    <row r="171" spans="1:27" ht="13.15">
      <c r="A171" s="12"/>
      <c r="B171" s="45"/>
      <c r="C171" s="45"/>
      <c r="D171" s="45"/>
      <c r="E171" s="45"/>
      <c r="F171" s="45"/>
      <c r="G171" s="45"/>
      <c r="H171" s="45"/>
      <c r="I171" s="45"/>
      <c r="J171" s="45"/>
      <c r="K171" s="45"/>
      <c r="L171" s="45"/>
      <c r="M171" s="45"/>
      <c r="N171" s="2"/>
      <c r="O171" s="2"/>
      <c r="P171" s="2"/>
      <c r="Q171" s="2"/>
      <c r="R171" s="2"/>
      <c r="S171" s="2"/>
      <c r="T171" s="2"/>
      <c r="U171" s="2"/>
      <c r="V171" s="2"/>
      <c r="W171" s="2"/>
      <c r="X171" s="2"/>
      <c r="Y171" s="2"/>
      <c r="Z171" s="2"/>
      <c r="AA171" s="2"/>
    </row>
    <row r="172" spans="1:27" ht="13.15">
      <c r="A172" s="12"/>
      <c r="B172" s="45"/>
      <c r="C172" s="45"/>
      <c r="D172" s="45"/>
      <c r="E172" s="45"/>
      <c r="F172" s="45"/>
      <c r="G172" s="45"/>
      <c r="H172" s="45"/>
      <c r="I172" s="45"/>
      <c r="J172" s="45"/>
      <c r="K172" s="45"/>
      <c r="L172" s="45"/>
      <c r="M172" s="45"/>
      <c r="N172" s="2"/>
      <c r="O172" s="2"/>
      <c r="P172" s="2"/>
      <c r="Q172" s="2"/>
      <c r="R172" s="2"/>
      <c r="S172" s="2"/>
      <c r="T172" s="2"/>
      <c r="U172" s="2"/>
      <c r="V172" s="2"/>
      <c r="W172" s="2"/>
      <c r="X172" s="2"/>
      <c r="Y172" s="2"/>
      <c r="Z172" s="2"/>
      <c r="AA172" s="2"/>
    </row>
    <row r="173" spans="1:27" ht="13.15">
      <c r="A173" s="12"/>
      <c r="B173" s="45"/>
      <c r="C173" s="45"/>
      <c r="D173" s="45"/>
      <c r="E173" s="45"/>
      <c r="F173" s="45"/>
      <c r="G173" s="45"/>
      <c r="H173" s="45"/>
      <c r="I173" s="45"/>
      <c r="J173" s="45"/>
      <c r="K173" s="45"/>
      <c r="L173" s="45"/>
      <c r="M173" s="45"/>
      <c r="N173" s="2"/>
      <c r="O173" s="2"/>
      <c r="P173" s="2"/>
      <c r="Q173" s="2"/>
      <c r="R173" s="2"/>
      <c r="S173" s="2"/>
      <c r="T173" s="2"/>
      <c r="U173" s="2"/>
      <c r="V173" s="2"/>
      <c r="W173" s="2"/>
      <c r="X173" s="2"/>
      <c r="Y173" s="2"/>
      <c r="Z173" s="2"/>
      <c r="AA173" s="2"/>
    </row>
    <row r="174" spans="1:27" ht="13.15">
      <c r="A174" s="12"/>
      <c r="B174" s="45"/>
      <c r="C174" s="45"/>
      <c r="D174" s="45"/>
      <c r="E174" s="45"/>
      <c r="F174" s="45"/>
      <c r="G174" s="45"/>
      <c r="H174" s="45"/>
      <c r="I174" s="45"/>
      <c r="J174" s="45"/>
      <c r="K174" s="45"/>
      <c r="L174" s="45"/>
      <c r="M174" s="45"/>
      <c r="N174" s="2"/>
      <c r="O174" s="2"/>
      <c r="P174" s="2"/>
      <c r="Q174" s="2"/>
      <c r="R174" s="2"/>
      <c r="S174" s="2"/>
      <c r="T174" s="2"/>
      <c r="U174" s="2"/>
      <c r="V174" s="2"/>
      <c r="W174" s="2"/>
      <c r="X174" s="2"/>
      <c r="Y174" s="2"/>
      <c r="Z174" s="2"/>
      <c r="AA174" s="2"/>
    </row>
    <row r="175" spans="1:27" ht="13.15">
      <c r="A175" s="12"/>
      <c r="B175" s="45"/>
      <c r="C175" s="45"/>
      <c r="D175" s="45"/>
      <c r="E175" s="45"/>
      <c r="F175" s="45"/>
      <c r="G175" s="45"/>
      <c r="H175" s="45"/>
      <c r="I175" s="45"/>
      <c r="J175" s="45"/>
      <c r="K175" s="45"/>
      <c r="L175" s="45"/>
      <c r="M175" s="45"/>
      <c r="N175" s="2"/>
      <c r="O175" s="2"/>
      <c r="P175" s="2"/>
      <c r="Q175" s="2"/>
      <c r="R175" s="2"/>
      <c r="S175" s="2"/>
      <c r="T175" s="2"/>
      <c r="U175" s="2"/>
      <c r="V175" s="2"/>
      <c r="W175" s="2"/>
      <c r="X175" s="2"/>
      <c r="Y175" s="2"/>
      <c r="Z175" s="2"/>
      <c r="AA175" s="2"/>
    </row>
    <row r="176" spans="1:27" ht="13.15">
      <c r="A176" s="12"/>
      <c r="B176" s="45"/>
      <c r="C176" s="45"/>
      <c r="D176" s="45"/>
      <c r="E176" s="45"/>
      <c r="F176" s="45"/>
      <c r="G176" s="45"/>
      <c r="H176" s="45"/>
      <c r="I176" s="45"/>
      <c r="J176" s="45"/>
      <c r="K176" s="45"/>
      <c r="L176" s="45"/>
      <c r="M176" s="45"/>
      <c r="N176" s="2"/>
      <c r="O176" s="2"/>
      <c r="P176" s="2"/>
      <c r="Q176" s="2"/>
      <c r="R176" s="2"/>
      <c r="S176" s="2"/>
      <c r="T176" s="2"/>
      <c r="U176" s="2"/>
      <c r="V176" s="2"/>
      <c r="W176" s="2"/>
      <c r="X176" s="2"/>
      <c r="Y176" s="2"/>
      <c r="Z176" s="2"/>
      <c r="AA176" s="2"/>
    </row>
    <row r="177" spans="1:27" ht="13.15">
      <c r="A177" s="12"/>
      <c r="B177" s="45"/>
      <c r="C177" s="45"/>
      <c r="D177" s="45"/>
      <c r="E177" s="45"/>
      <c r="F177" s="45"/>
      <c r="G177" s="45"/>
      <c r="H177" s="45"/>
      <c r="I177" s="45"/>
      <c r="J177" s="45"/>
      <c r="K177" s="45"/>
      <c r="L177" s="45"/>
      <c r="M177" s="45"/>
      <c r="N177" s="2"/>
      <c r="O177" s="2"/>
      <c r="P177" s="2"/>
      <c r="Q177" s="2"/>
      <c r="R177" s="2"/>
      <c r="S177" s="2"/>
      <c r="T177" s="2"/>
      <c r="U177" s="2"/>
      <c r="V177" s="2"/>
      <c r="W177" s="2"/>
      <c r="X177" s="2"/>
      <c r="Y177" s="2"/>
      <c r="Z177" s="2"/>
      <c r="AA177" s="2"/>
    </row>
    <row r="178" spans="1:27" ht="13.15">
      <c r="A178" s="12"/>
      <c r="B178" s="45"/>
      <c r="C178" s="45"/>
      <c r="D178" s="45"/>
      <c r="E178" s="45"/>
      <c r="F178" s="45"/>
      <c r="G178" s="45"/>
      <c r="H178" s="45"/>
      <c r="I178" s="45"/>
      <c r="J178" s="45"/>
      <c r="K178" s="45"/>
      <c r="L178" s="45"/>
      <c r="M178" s="45"/>
      <c r="N178" s="2"/>
      <c r="O178" s="2"/>
      <c r="P178" s="2"/>
      <c r="Q178" s="2"/>
      <c r="R178" s="2"/>
      <c r="S178" s="2"/>
      <c r="T178" s="2"/>
      <c r="U178" s="2"/>
      <c r="V178" s="2"/>
      <c r="W178" s="2"/>
      <c r="X178" s="2"/>
      <c r="Y178" s="2"/>
      <c r="Z178" s="2"/>
      <c r="AA178" s="2"/>
    </row>
    <row r="179" spans="1:27" ht="13.15">
      <c r="A179" s="12"/>
      <c r="B179" s="45"/>
      <c r="C179" s="45"/>
      <c r="D179" s="45"/>
      <c r="E179" s="45"/>
      <c r="F179" s="45"/>
      <c r="G179" s="45"/>
      <c r="H179" s="45"/>
      <c r="I179" s="45"/>
      <c r="J179" s="45"/>
      <c r="K179" s="45"/>
      <c r="L179" s="45"/>
      <c r="M179" s="45"/>
      <c r="N179" s="2"/>
      <c r="O179" s="2"/>
      <c r="P179" s="2"/>
      <c r="Q179" s="2"/>
      <c r="R179" s="2"/>
      <c r="S179" s="2"/>
      <c r="T179" s="2"/>
      <c r="U179" s="2"/>
      <c r="V179" s="2"/>
      <c r="W179" s="2"/>
      <c r="X179" s="2"/>
      <c r="Y179" s="2"/>
      <c r="Z179" s="2"/>
      <c r="AA179" s="2"/>
    </row>
    <row r="180" spans="1:27" ht="13.15">
      <c r="A180" s="12"/>
      <c r="B180" s="45"/>
      <c r="C180" s="45"/>
      <c r="D180" s="45"/>
      <c r="E180" s="45"/>
      <c r="F180" s="45"/>
      <c r="G180" s="45"/>
      <c r="H180" s="45"/>
      <c r="I180" s="45"/>
      <c r="J180" s="45"/>
      <c r="K180" s="45"/>
      <c r="L180" s="45"/>
      <c r="M180" s="45"/>
      <c r="N180" s="2"/>
      <c r="O180" s="2"/>
      <c r="P180" s="2"/>
      <c r="Q180" s="2"/>
      <c r="R180" s="2"/>
      <c r="S180" s="2"/>
      <c r="T180" s="2"/>
      <c r="U180" s="2"/>
      <c r="V180" s="2"/>
      <c r="W180" s="2"/>
      <c r="X180" s="2"/>
      <c r="Y180" s="2"/>
      <c r="Z180" s="2"/>
      <c r="AA180" s="2"/>
    </row>
    <row r="181" spans="1:27" ht="13.15">
      <c r="A181" s="12"/>
      <c r="B181" s="45"/>
      <c r="C181" s="45"/>
      <c r="D181" s="45"/>
      <c r="E181" s="45"/>
      <c r="F181" s="45"/>
      <c r="G181" s="45"/>
      <c r="H181" s="45"/>
      <c r="I181" s="45"/>
      <c r="J181" s="45"/>
      <c r="K181" s="45"/>
      <c r="L181" s="45"/>
      <c r="M181" s="45"/>
      <c r="N181" s="2"/>
      <c r="O181" s="2"/>
      <c r="P181" s="2"/>
      <c r="Q181" s="2"/>
      <c r="R181" s="2"/>
      <c r="S181" s="2"/>
      <c r="T181" s="2"/>
      <c r="U181" s="2"/>
      <c r="V181" s="2"/>
      <c r="W181" s="2"/>
      <c r="X181" s="2"/>
      <c r="Y181" s="2"/>
      <c r="Z181" s="2"/>
      <c r="AA181" s="2"/>
    </row>
    <row r="182" spans="1:27" ht="13.15">
      <c r="A182" s="12"/>
      <c r="B182" s="45"/>
      <c r="C182" s="45"/>
      <c r="D182" s="45"/>
      <c r="E182" s="45"/>
      <c r="F182" s="45"/>
      <c r="G182" s="45"/>
      <c r="H182" s="45"/>
      <c r="I182" s="45"/>
      <c r="J182" s="45"/>
      <c r="K182" s="45"/>
      <c r="L182" s="45"/>
      <c r="M182" s="45"/>
      <c r="N182" s="2"/>
      <c r="O182" s="2"/>
      <c r="P182" s="2"/>
      <c r="Q182" s="2"/>
      <c r="R182" s="2"/>
      <c r="S182" s="2"/>
      <c r="T182" s="2"/>
      <c r="U182" s="2"/>
      <c r="V182" s="2"/>
      <c r="W182" s="2"/>
      <c r="X182" s="2"/>
      <c r="Y182" s="2"/>
      <c r="Z182" s="2"/>
      <c r="AA182" s="2"/>
    </row>
    <row r="183" spans="1:27" ht="13.15">
      <c r="A183" s="12"/>
      <c r="B183" s="45"/>
      <c r="C183" s="45"/>
      <c r="D183" s="45"/>
      <c r="E183" s="45"/>
      <c r="F183" s="45"/>
      <c r="G183" s="45"/>
      <c r="H183" s="45"/>
      <c r="I183" s="45"/>
      <c r="J183" s="45"/>
      <c r="K183" s="45"/>
      <c r="L183" s="45"/>
      <c r="M183" s="45"/>
      <c r="N183" s="2"/>
      <c r="O183" s="2"/>
      <c r="P183" s="2"/>
      <c r="Q183" s="2"/>
      <c r="R183" s="2"/>
      <c r="S183" s="2"/>
      <c r="T183" s="2"/>
      <c r="U183" s="2"/>
      <c r="V183" s="2"/>
      <c r="W183" s="2"/>
      <c r="X183" s="2"/>
      <c r="Y183" s="2"/>
      <c r="Z183" s="2"/>
      <c r="AA183" s="2"/>
    </row>
    <row r="184" spans="1:27" ht="13.15">
      <c r="A184" s="12"/>
      <c r="B184" s="45"/>
      <c r="C184" s="45"/>
      <c r="D184" s="45"/>
      <c r="E184" s="45"/>
      <c r="F184" s="45"/>
      <c r="G184" s="45"/>
      <c r="H184" s="45"/>
      <c r="I184" s="45"/>
      <c r="J184" s="45"/>
      <c r="K184" s="45"/>
      <c r="L184" s="45"/>
      <c r="M184" s="45"/>
      <c r="N184" s="2"/>
      <c r="O184" s="2"/>
      <c r="P184" s="2"/>
      <c r="Q184" s="2"/>
      <c r="R184" s="2"/>
      <c r="S184" s="2"/>
      <c r="T184" s="2"/>
      <c r="U184" s="2"/>
      <c r="V184" s="2"/>
      <c r="W184" s="2"/>
      <c r="X184" s="2"/>
      <c r="Y184" s="2"/>
      <c r="Z184" s="2"/>
      <c r="AA184" s="2"/>
    </row>
    <row r="185" spans="1:27" ht="13.15">
      <c r="A185" s="12"/>
      <c r="B185" s="45"/>
      <c r="C185" s="45"/>
      <c r="D185" s="45"/>
      <c r="E185" s="45"/>
      <c r="F185" s="45"/>
      <c r="G185" s="45"/>
      <c r="H185" s="45"/>
      <c r="I185" s="45"/>
      <c r="J185" s="45"/>
      <c r="K185" s="45"/>
      <c r="L185" s="45"/>
      <c r="M185" s="45"/>
      <c r="N185" s="2"/>
      <c r="O185" s="2"/>
      <c r="P185" s="2"/>
      <c r="Q185" s="2"/>
      <c r="R185" s="2"/>
      <c r="S185" s="2"/>
      <c r="T185" s="2"/>
      <c r="U185" s="2"/>
      <c r="V185" s="2"/>
      <c r="W185" s="2"/>
      <c r="X185" s="2"/>
      <c r="Y185" s="2"/>
      <c r="Z185" s="2"/>
      <c r="AA185" s="2"/>
    </row>
    <row r="186" spans="1:27" ht="13.15">
      <c r="A186" s="12"/>
      <c r="B186" s="45"/>
      <c r="C186" s="45"/>
      <c r="D186" s="45"/>
      <c r="E186" s="45"/>
      <c r="F186" s="45"/>
      <c r="G186" s="45"/>
      <c r="H186" s="45"/>
      <c r="I186" s="45"/>
      <c r="J186" s="45"/>
      <c r="K186" s="45"/>
      <c r="L186" s="45"/>
      <c r="M186" s="45"/>
      <c r="N186" s="2"/>
      <c r="O186" s="2"/>
      <c r="P186" s="2"/>
      <c r="Q186" s="2"/>
      <c r="R186" s="2"/>
      <c r="S186" s="2"/>
      <c r="T186" s="2"/>
      <c r="U186" s="2"/>
      <c r="V186" s="2"/>
      <c r="W186" s="2"/>
      <c r="X186" s="2"/>
      <c r="Y186" s="2"/>
      <c r="Z186" s="2"/>
      <c r="AA186" s="2"/>
    </row>
    <row r="187" spans="1:27" ht="13.15">
      <c r="A187" s="12"/>
      <c r="B187" s="45"/>
      <c r="C187" s="45"/>
      <c r="D187" s="45"/>
      <c r="E187" s="45"/>
      <c r="F187" s="45"/>
      <c r="G187" s="45"/>
      <c r="H187" s="45"/>
      <c r="I187" s="45"/>
      <c r="J187" s="45"/>
      <c r="K187" s="45"/>
      <c r="L187" s="45"/>
      <c r="M187" s="45"/>
      <c r="N187" s="2"/>
      <c r="O187" s="2"/>
      <c r="P187" s="2"/>
      <c r="Q187" s="2"/>
      <c r="R187" s="2"/>
      <c r="S187" s="2"/>
      <c r="T187" s="2"/>
      <c r="U187" s="2"/>
      <c r="V187" s="2"/>
      <c r="W187" s="2"/>
      <c r="X187" s="2"/>
      <c r="Y187" s="2"/>
      <c r="Z187" s="2"/>
      <c r="AA187" s="2"/>
    </row>
    <row r="188" spans="1:27" ht="13.15">
      <c r="A188" s="12"/>
      <c r="B188" s="45"/>
      <c r="C188" s="45"/>
      <c r="D188" s="45"/>
      <c r="E188" s="45"/>
      <c r="F188" s="45"/>
      <c r="G188" s="45"/>
      <c r="H188" s="45"/>
      <c r="I188" s="45"/>
      <c r="J188" s="45"/>
      <c r="K188" s="45"/>
      <c r="L188" s="45"/>
      <c r="M188" s="45"/>
      <c r="N188" s="2"/>
      <c r="O188" s="2"/>
      <c r="P188" s="2"/>
      <c r="Q188" s="2"/>
      <c r="R188" s="2"/>
      <c r="S188" s="2"/>
      <c r="T188" s="2"/>
      <c r="U188" s="2"/>
      <c r="V188" s="2"/>
      <c r="W188" s="2"/>
      <c r="X188" s="2"/>
      <c r="Y188" s="2"/>
      <c r="Z188" s="2"/>
      <c r="AA188" s="2"/>
    </row>
    <row r="189" spans="1:27" ht="13.15">
      <c r="A189" s="12"/>
      <c r="B189" s="45"/>
      <c r="C189" s="45"/>
      <c r="D189" s="45"/>
      <c r="E189" s="45"/>
      <c r="F189" s="45"/>
      <c r="G189" s="45"/>
      <c r="H189" s="45"/>
      <c r="I189" s="45"/>
      <c r="J189" s="45"/>
      <c r="K189" s="45"/>
      <c r="L189" s="45"/>
      <c r="M189" s="45"/>
      <c r="N189" s="2"/>
      <c r="O189" s="2"/>
      <c r="P189" s="2"/>
      <c r="Q189" s="2"/>
      <c r="R189" s="2"/>
      <c r="S189" s="2"/>
      <c r="T189" s="2"/>
      <c r="U189" s="2"/>
      <c r="V189" s="2"/>
      <c r="W189" s="2"/>
      <c r="X189" s="2"/>
      <c r="Y189" s="2"/>
      <c r="Z189" s="2"/>
      <c r="AA189" s="2"/>
    </row>
    <row r="190" spans="1:27" ht="13.15">
      <c r="A190" s="12"/>
      <c r="B190" s="45"/>
      <c r="C190" s="45"/>
      <c r="D190" s="45"/>
      <c r="E190" s="45"/>
      <c r="F190" s="45"/>
      <c r="G190" s="45"/>
      <c r="H190" s="45"/>
      <c r="I190" s="45"/>
      <c r="J190" s="45"/>
      <c r="K190" s="45"/>
      <c r="L190" s="45"/>
      <c r="M190" s="45"/>
      <c r="N190" s="2"/>
      <c r="O190" s="2"/>
      <c r="P190" s="2"/>
      <c r="Q190" s="2"/>
      <c r="R190" s="2"/>
      <c r="S190" s="2"/>
      <c r="T190" s="2"/>
      <c r="U190" s="2"/>
      <c r="V190" s="2"/>
      <c r="W190" s="2"/>
      <c r="X190" s="2"/>
      <c r="Y190" s="2"/>
      <c r="Z190" s="2"/>
      <c r="AA190" s="2"/>
    </row>
    <row r="191" spans="1:27" ht="13.15">
      <c r="A191" s="12"/>
      <c r="B191" s="45"/>
      <c r="C191" s="45"/>
      <c r="D191" s="45"/>
      <c r="E191" s="45"/>
      <c r="F191" s="45"/>
      <c r="G191" s="45"/>
      <c r="H191" s="45"/>
      <c r="I191" s="45"/>
      <c r="J191" s="45"/>
      <c r="K191" s="45"/>
      <c r="L191" s="45"/>
      <c r="M191" s="45"/>
      <c r="N191" s="2"/>
      <c r="O191" s="2"/>
      <c r="P191" s="2"/>
      <c r="Q191" s="2"/>
      <c r="R191" s="2"/>
      <c r="S191" s="2"/>
      <c r="T191" s="2"/>
      <c r="U191" s="2"/>
      <c r="V191" s="2"/>
      <c r="W191" s="2"/>
      <c r="X191" s="2"/>
      <c r="Y191" s="2"/>
      <c r="Z191" s="2"/>
      <c r="AA191" s="2"/>
    </row>
    <row r="192" spans="1:27" ht="13.15">
      <c r="A192" s="12"/>
      <c r="B192" s="45"/>
      <c r="C192" s="45"/>
      <c r="D192" s="45"/>
      <c r="E192" s="45"/>
      <c r="F192" s="45"/>
      <c r="G192" s="45"/>
      <c r="H192" s="45"/>
      <c r="I192" s="45"/>
      <c r="J192" s="45"/>
      <c r="K192" s="45"/>
      <c r="L192" s="45"/>
      <c r="M192" s="45"/>
      <c r="N192" s="2"/>
      <c r="O192" s="2"/>
      <c r="P192" s="2"/>
      <c r="Q192" s="2"/>
      <c r="R192" s="2"/>
      <c r="S192" s="2"/>
      <c r="T192" s="2"/>
      <c r="U192" s="2"/>
      <c r="V192" s="2"/>
      <c r="W192" s="2"/>
      <c r="X192" s="2"/>
      <c r="Y192" s="2"/>
      <c r="Z192" s="2"/>
      <c r="AA192" s="2"/>
    </row>
    <row r="193" spans="1:27" ht="13.15">
      <c r="A193" s="12"/>
      <c r="B193" s="45"/>
      <c r="C193" s="45"/>
      <c r="D193" s="45"/>
      <c r="E193" s="45"/>
      <c r="F193" s="45"/>
      <c r="G193" s="45"/>
      <c r="H193" s="45"/>
      <c r="I193" s="45"/>
      <c r="J193" s="45"/>
      <c r="K193" s="45"/>
      <c r="L193" s="45"/>
      <c r="M193" s="45"/>
      <c r="N193" s="2"/>
      <c r="O193" s="2"/>
      <c r="P193" s="2"/>
      <c r="Q193" s="2"/>
      <c r="R193" s="2"/>
      <c r="S193" s="2"/>
      <c r="T193" s="2"/>
      <c r="U193" s="2"/>
      <c r="V193" s="2"/>
      <c r="W193" s="2"/>
      <c r="X193" s="2"/>
      <c r="Y193" s="2"/>
      <c r="Z193" s="2"/>
      <c r="AA193" s="2"/>
    </row>
    <row r="194" spans="1:27" ht="13.15">
      <c r="A194" s="12"/>
      <c r="B194" s="45"/>
      <c r="C194" s="45"/>
      <c r="D194" s="45"/>
      <c r="E194" s="45"/>
      <c r="F194" s="45"/>
      <c r="G194" s="45"/>
      <c r="H194" s="45"/>
      <c r="I194" s="45"/>
      <c r="J194" s="45"/>
      <c r="K194" s="45"/>
      <c r="L194" s="45"/>
      <c r="M194" s="45"/>
      <c r="N194" s="2"/>
      <c r="O194" s="2"/>
      <c r="P194" s="2"/>
      <c r="Q194" s="2"/>
      <c r="R194" s="2"/>
      <c r="S194" s="2"/>
      <c r="T194" s="2"/>
      <c r="U194" s="2"/>
      <c r="V194" s="2"/>
      <c r="W194" s="2"/>
      <c r="X194" s="2"/>
      <c r="Y194" s="2"/>
      <c r="Z194" s="2"/>
      <c r="AA194" s="2"/>
    </row>
    <row r="195" spans="1:27" ht="13.15">
      <c r="A195" s="12"/>
      <c r="B195" s="45"/>
      <c r="C195" s="45"/>
      <c r="D195" s="45"/>
      <c r="E195" s="45"/>
      <c r="F195" s="45"/>
      <c r="G195" s="45"/>
      <c r="H195" s="45"/>
      <c r="I195" s="45"/>
      <c r="J195" s="45"/>
      <c r="K195" s="45"/>
      <c r="L195" s="45"/>
      <c r="M195" s="45"/>
      <c r="N195" s="2"/>
      <c r="O195" s="2"/>
      <c r="P195" s="2"/>
      <c r="Q195" s="2"/>
      <c r="R195" s="2"/>
      <c r="S195" s="2"/>
      <c r="T195" s="2"/>
      <c r="U195" s="2"/>
      <c r="V195" s="2"/>
      <c r="W195" s="2"/>
      <c r="X195" s="2"/>
      <c r="Y195" s="2"/>
      <c r="Z195" s="2"/>
      <c r="AA195" s="2"/>
    </row>
    <row r="196" spans="1:27" ht="13.15">
      <c r="A196" s="12"/>
      <c r="B196" s="45"/>
      <c r="C196" s="45"/>
      <c r="D196" s="45"/>
      <c r="E196" s="45"/>
      <c r="F196" s="45"/>
      <c r="G196" s="45"/>
      <c r="H196" s="45"/>
      <c r="I196" s="45"/>
      <c r="J196" s="45"/>
      <c r="K196" s="45"/>
      <c r="L196" s="45"/>
      <c r="M196" s="45"/>
      <c r="N196" s="2"/>
      <c r="O196" s="2"/>
      <c r="P196" s="2"/>
      <c r="Q196" s="2"/>
      <c r="R196" s="2"/>
      <c r="S196" s="2"/>
      <c r="T196" s="2"/>
      <c r="U196" s="2"/>
      <c r="V196" s="2"/>
      <c r="W196" s="2"/>
      <c r="X196" s="2"/>
      <c r="Y196" s="2"/>
      <c r="Z196" s="2"/>
      <c r="AA196" s="2"/>
    </row>
    <row r="197" spans="1:27" ht="13.15">
      <c r="A197" s="12"/>
      <c r="B197" s="45"/>
      <c r="C197" s="45"/>
      <c r="D197" s="45"/>
      <c r="E197" s="45"/>
      <c r="F197" s="45"/>
      <c r="G197" s="45"/>
      <c r="H197" s="45"/>
      <c r="I197" s="45"/>
      <c r="J197" s="45"/>
      <c r="K197" s="45"/>
      <c r="L197" s="45"/>
      <c r="M197" s="45"/>
      <c r="N197" s="2"/>
      <c r="O197" s="2"/>
      <c r="P197" s="2"/>
      <c r="Q197" s="2"/>
      <c r="R197" s="2"/>
      <c r="S197" s="2"/>
      <c r="T197" s="2"/>
      <c r="U197" s="2"/>
      <c r="V197" s="2"/>
      <c r="W197" s="2"/>
      <c r="X197" s="2"/>
      <c r="Y197" s="2"/>
      <c r="Z197" s="2"/>
      <c r="AA197" s="2"/>
    </row>
    <row r="198" spans="1:27" ht="13.15">
      <c r="A198" s="12"/>
      <c r="B198" s="45"/>
      <c r="C198" s="45"/>
      <c r="D198" s="45"/>
      <c r="E198" s="45"/>
      <c r="F198" s="45"/>
      <c r="G198" s="45"/>
      <c r="H198" s="45"/>
      <c r="I198" s="45"/>
      <c r="J198" s="45"/>
      <c r="K198" s="45"/>
      <c r="L198" s="45"/>
      <c r="M198" s="45"/>
      <c r="N198" s="2"/>
      <c r="O198" s="2"/>
      <c r="P198" s="2"/>
      <c r="Q198" s="2"/>
      <c r="R198" s="2"/>
      <c r="S198" s="2"/>
      <c r="T198" s="2"/>
      <c r="U198" s="2"/>
      <c r="V198" s="2"/>
      <c r="W198" s="2"/>
      <c r="X198" s="2"/>
      <c r="Y198" s="2"/>
      <c r="Z198" s="2"/>
      <c r="AA198" s="2"/>
    </row>
    <row r="199" spans="1:27" ht="13.15">
      <c r="A199" s="12"/>
      <c r="B199" s="45"/>
      <c r="C199" s="45"/>
      <c r="D199" s="45"/>
      <c r="E199" s="45"/>
      <c r="F199" s="45"/>
      <c r="G199" s="45"/>
      <c r="H199" s="45"/>
      <c r="I199" s="45"/>
      <c r="J199" s="45"/>
      <c r="K199" s="45"/>
      <c r="L199" s="45"/>
      <c r="M199" s="45"/>
      <c r="N199" s="2"/>
      <c r="O199" s="2"/>
      <c r="P199" s="2"/>
      <c r="Q199" s="2"/>
      <c r="R199" s="2"/>
      <c r="S199" s="2"/>
      <c r="T199" s="2"/>
      <c r="U199" s="2"/>
      <c r="V199" s="2"/>
      <c r="W199" s="2"/>
      <c r="X199" s="2"/>
      <c r="Y199" s="2"/>
      <c r="Z199" s="2"/>
      <c r="AA199" s="2"/>
    </row>
    <row r="200" spans="1:27" ht="13.15">
      <c r="A200" s="12"/>
      <c r="B200" s="45"/>
      <c r="C200" s="45"/>
      <c r="D200" s="45"/>
      <c r="E200" s="45"/>
      <c r="F200" s="45"/>
      <c r="G200" s="45"/>
      <c r="H200" s="45"/>
      <c r="I200" s="45"/>
      <c r="J200" s="45"/>
      <c r="K200" s="45"/>
      <c r="L200" s="45"/>
      <c r="M200" s="45"/>
      <c r="N200" s="2"/>
      <c r="O200" s="2"/>
      <c r="P200" s="2"/>
      <c r="Q200" s="2"/>
      <c r="R200" s="2"/>
      <c r="S200" s="2"/>
      <c r="T200" s="2"/>
      <c r="U200" s="2"/>
      <c r="V200" s="2"/>
      <c r="W200" s="2"/>
      <c r="X200" s="2"/>
      <c r="Y200" s="2"/>
      <c r="Z200" s="2"/>
      <c r="AA200" s="2"/>
    </row>
    <row r="201" spans="1:27" ht="13.15">
      <c r="A201" s="12"/>
      <c r="B201" s="45"/>
      <c r="C201" s="45"/>
      <c r="D201" s="45"/>
      <c r="E201" s="45"/>
      <c r="F201" s="45"/>
      <c r="G201" s="45"/>
      <c r="H201" s="45"/>
      <c r="I201" s="45"/>
      <c r="J201" s="45"/>
      <c r="K201" s="45"/>
      <c r="L201" s="45"/>
      <c r="M201" s="45"/>
      <c r="N201" s="2"/>
      <c r="O201" s="2"/>
      <c r="P201" s="2"/>
      <c r="Q201" s="2"/>
      <c r="R201" s="2"/>
      <c r="S201" s="2"/>
      <c r="T201" s="2"/>
      <c r="U201" s="2"/>
      <c r="V201" s="2"/>
      <c r="W201" s="2"/>
      <c r="X201" s="2"/>
      <c r="Y201" s="2"/>
      <c r="Z201" s="2"/>
      <c r="AA201" s="2"/>
    </row>
    <row r="202" spans="1:27" ht="13.15">
      <c r="A202" s="12"/>
      <c r="B202" s="45"/>
      <c r="C202" s="45"/>
      <c r="D202" s="45"/>
      <c r="E202" s="45"/>
      <c r="F202" s="45"/>
      <c r="G202" s="45"/>
      <c r="H202" s="45"/>
      <c r="I202" s="45"/>
      <c r="J202" s="45"/>
      <c r="K202" s="45"/>
      <c r="L202" s="45"/>
      <c r="M202" s="45"/>
      <c r="N202" s="2"/>
      <c r="O202" s="2"/>
      <c r="P202" s="2"/>
      <c r="Q202" s="2"/>
      <c r="R202" s="2"/>
      <c r="S202" s="2"/>
      <c r="T202" s="2"/>
      <c r="U202" s="2"/>
      <c r="V202" s="2"/>
      <c r="W202" s="2"/>
      <c r="X202" s="2"/>
      <c r="Y202" s="2"/>
      <c r="Z202" s="2"/>
      <c r="AA202" s="2"/>
    </row>
    <row r="203" spans="1:27" ht="13.15">
      <c r="A203" s="12"/>
      <c r="B203" s="45"/>
      <c r="C203" s="45"/>
      <c r="D203" s="45"/>
      <c r="E203" s="45"/>
      <c r="F203" s="45"/>
      <c r="G203" s="45"/>
      <c r="H203" s="45"/>
      <c r="I203" s="45"/>
      <c r="J203" s="45"/>
      <c r="K203" s="45"/>
      <c r="L203" s="45"/>
      <c r="M203" s="45"/>
      <c r="N203" s="2"/>
      <c r="O203" s="2"/>
      <c r="P203" s="2"/>
      <c r="Q203" s="2"/>
      <c r="R203" s="2"/>
      <c r="S203" s="2"/>
      <c r="T203" s="2"/>
      <c r="U203" s="2"/>
      <c r="V203" s="2"/>
      <c r="W203" s="2"/>
      <c r="X203" s="2"/>
      <c r="Y203" s="2"/>
      <c r="Z203" s="2"/>
      <c r="AA203" s="2"/>
    </row>
    <row r="204" spans="1:27" ht="13.15">
      <c r="A204" s="12"/>
      <c r="B204" s="45"/>
      <c r="C204" s="45"/>
      <c r="D204" s="45"/>
      <c r="E204" s="45"/>
      <c r="F204" s="45"/>
      <c r="G204" s="45"/>
      <c r="H204" s="45"/>
      <c r="I204" s="45"/>
      <c r="J204" s="45"/>
      <c r="K204" s="45"/>
      <c r="L204" s="45"/>
      <c r="M204" s="45"/>
      <c r="N204" s="2"/>
      <c r="O204" s="2"/>
      <c r="P204" s="2"/>
      <c r="Q204" s="2"/>
      <c r="R204" s="2"/>
      <c r="S204" s="2"/>
      <c r="T204" s="2"/>
      <c r="U204" s="2"/>
      <c r="V204" s="2"/>
      <c r="W204" s="2"/>
      <c r="X204" s="2"/>
      <c r="Y204" s="2"/>
      <c r="Z204" s="2"/>
      <c r="AA204" s="2"/>
    </row>
    <row r="205" spans="1:27" ht="13.15">
      <c r="A205" s="12"/>
      <c r="B205" s="45"/>
      <c r="C205" s="45"/>
      <c r="D205" s="45"/>
      <c r="E205" s="45"/>
      <c r="F205" s="45"/>
      <c r="G205" s="45"/>
      <c r="H205" s="45"/>
      <c r="I205" s="45"/>
      <c r="J205" s="45"/>
      <c r="K205" s="45"/>
      <c r="L205" s="45"/>
      <c r="M205" s="45"/>
      <c r="N205" s="2"/>
      <c r="O205" s="2"/>
      <c r="P205" s="2"/>
      <c r="Q205" s="2"/>
      <c r="R205" s="2"/>
      <c r="S205" s="2"/>
      <c r="T205" s="2"/>
      <c r="U205" s="2"/>
      <c r="V205" s="2"/>
      <c r="W205" s="2"/>
      <c r="X205" s="2"/>
      <c r="Y205" s="2"/>
      <c r="Z205" s="2"/>
      <c r="AA205" s="2"/>
    </row>
    <row r="206" spans="1:27" ht="13.15">
      <c r="A206" s="12"/>
      <c r="B206" s="45"/>
      <c r="C206" s="45"/>
      <c r="D206" s="45"/>
      <c r="E206" s="45"/>
      <c r="F206" s="45"/>
      <c r="G206" s="45"/>
      <c r="H206" s="45"/>
      <c r="I206" s="45"/>
      <c r="J206" s="45"/>
      <c r="K206" s="45"/>
      <c r="L206" s="45"/>
      <c r="M206" s="45"/>
      <c r="N206" s="2"/>
      <c r="O206" s="2"/>
      <c r="P206" s="2"/>
      <c r="Q206" s="2"/>
      <c r="R206" s="2"/>
      <c r="S206" s="2"/>
      <c r="T206" s="2"/>
      <c r="U206" s="2"/>
      <c r="V206" s="2"/>
      <c r="W206" s="2"/>
      <c r="X206" s="2"/>
      <c r="Y206" s="2"/>
      <c r="Z206" s="2"/>
      <c r="AA206" s="2"/>
    </row>
    <row r="207" spans="1:27" ht="13.15">
      <c r="A207" s="12"/>
      <c r="B207" s="45"/>
      <c r="C207" s="45"/>
      <c r="D207" s="45"/>
      <c r="E207" s="45"/>
      <c r="F207" s="45"/>
      <c r="G207" s="45"/>
      <c r="H207" s="45"/>
      <c r="I207" s="45"/>
      <c r="J207" s="45"/>
      <c r="K207" s="45"/>
      <c r="L207" s="45"/>
      <c r="M207" s="45"/>
      <c r="N207" s="2"/>
      <c r="O207" s="2"/>
      <c r="P207" s="2"/>
      <c r="Q207" s="2"/>
      <c r="R207" s="2"/>
      <c r="S207" s="2"/>
      <c r="T207" s="2"/>
      <c r="U207" s="2"/>
      <c r="V207" s="2"/>
      <c r="W207" s="2"/>
      <c r="X207" s="2"/>
      <c r="Y207" s="2"/>
      <c r="Z207" s="2"/>
      <c r="AA207" s="2"/>
    </row>
    <row r="208" spans="1:27" ht="13.15">
      <c r="A208" s="12"/>
      <c r="B208" s="45"/>
      <c r="C208" s="45"/>
      <c r="D208" s="45"/>
      <c r="E208" s="45"/>
      <c r="F208" s="45"/>
      <c r="G208" s="45"/>
      <c r="H208" s="45"/>
      <c r="I208" s="45"/>
      <c r="J208" s="45"/>
      <c r="K208" s="45"/>
      <c r="L208" s="45"/>
      <c r="M208" s="45"/>
      <c r="N208" s="2"/>
      <c r="O208" s="2"/>
      <c r="P208" s="2"/>
      <c r="Q208" s="2"/>
      <c r="R208" s="2"/>
      <c r="S208" s="2"/>
      <c r="T208" s="2"/>
      <c r="U208" s="2"/>
      <c r="V208" s="2"/>
      <c r="W208" s="2"/>
      <c r="X208" s="2"/>
      <c r="Y208" s="2"/>
      <c r="Z208" s="2"/>
      <c r="AA208" s="2"/>
    </row>
    <row r="209" spans="1:27" ht="13.15">
      <c r="A209" s="12"/>
      <c r="B209" s="45"/>
      <c r="C209" s="45"/>
      <c r="D209" s="45"/>
      <c r="E209" s="45"/>
      <c r="F209" s="45"/>
      <c r="G209" s="45"/>
      <c r="H209" s="45"/>
      <c r="I209" s="45"/>
      <c r="J209" s="45"/>
      <c r="K209" s="45"/>
      <c r="L209" s="45"/>
      <c r="M209" s="45"/>
      <c r="N209" s="2"/>
      <c r="O209" s="2"/>
      <c r="P209" s="2"/>
      <c r="Q209" s="2"/>
      <c r="R209" s="2"/>
      <c r="S209" s="2"/>
      <c r="T209" s="2"/>
      <c r="U209" s="2"/>
      <c r="V209" s="2"/>
      <c r="W209" s="2"/>
      <c r="X209" s="2"/>
      <c r="Y209" s="2"/>
      <c r="Z209" s="2"/>
      <c r="AA209" s="2"/>
    </row>
    <row r="210" spans="1:27" ht="13.15">
      <c r="A210" s="12"/>
      <c r="B210" s="45"/>
      <c r="C210" s="45"/>
      <c r="D210" s="45"/>
      <c r="E210" s="45"/>
      <c r="F210" s="45"/>
      <c r="G210" s="45"/>
      <c r="H210" s="45"/>
      <c r="I210" s="45"/>
      <c r="J210" s="45"/>
      <c r="K210" s="45"/>
      <c r="L210" s="45"/>
      <c r="M210" s="45"/>
      <c r="N210" s="2"/>
      <c r="O210" s="2"/>
      <c r="P210" s="2"/>
      <c r="Q210" s="2"/>
      <c r="R210" s="2"/>
      <c r="S210" s="2"/>
      <c r="T210" s="2"/>
      <c r="U210" s="2"/>
      <c r="V210" s="2"/>
      <c r="W210" s="2"/>
      <c r="X210" s="2"/>
      <c r="Y210" s="2"/>
      <c r="Z210" s="2"/>
      <c r="AA210" s="2"/>
    </row>
    <row r="211" spans="1:27" ht="13.15">
      <c r="A211" s="12"/>
      <c r="B211" s="45"/>
      <c r="C211" s="45"/>
      <c r="D211" s="45"/>
      <c r="E211" s="45"/>
      <c r="F211" s="45"/>
      <c r="G211" s="45"/>
      <c r="H211" s="45"/>
      <c r="I211" s="45"/>
      <c r="J211" s="45"/>
      <c r="K211" s="45"/>
      <c r="L211" s="45"/>
      <c r="M211" s="45"/>
      <c r="N211" s="2"/>
      <c r="O211" s="2"/>
      <c r="P211" s="2"/>
      <c r="Q211" s="2"/>
      <c r="R211" s="2"/>
      <c r="S211" s="2"/>
      <c r="T211" s="2"/>
      <c r="U211" s="2"/>
      <c r="V211" s="2"/>
      <c r="W211" s="2"/>
      <c r="X211" s="2"/>
      <c r="Y211" s="2"/>
      <c r="Z211" s="2"/>
      <c r="AA211" s="2"/>
    </row>
    <row r="212" spans="1:27" ht="13.15">
      <c r="A212" s="12"/>
      <c r="B212" s="45"/>
      <c r="C212" s="45"/>
      <c r="D212" s="45"/>
      <c r="E212" s="45"/>
      <c r="F212" s="45"/>
      <c r="G212" s="45"/>
      <c r="H212" s="45"/>
      <c r="I212" s="45"/>
      <c r="J212" s="45"/>
      <c r="K212" s="45"/>
      <c r="L212" s="45"/>
      <c r="M212" s="45"/>
      <c r="N212" s="2"/>
      <c r="O212" s="2"/>
      <c r="P212" s="2"/>
      <c r="Q212" s="2"/>
      <c r="R212" s="2"/>
      <c r="S212" s="2"/>
      <c r="T212" s="2"/>
      <c r="U212" s="2"/>
      <c r="V212" s="2"/>
      <c r="W212" s="2"/>
      <c r="X212" s="2"/>
      <c r="Y212" s="2"/>
      <c r="Z212" s="2"/>
      <c r="AA212" s="2"/>
    </row>
    <row r="213" spans="1:27" ht="13.15">
      <c r="A213" s="12"/>
      <c r="B213" s="45"/>
      <c r="C213" s="45"/>
      <c r="D213" s="45"/>
      <c r="E213" s="45"/>
      <c r="F213" s="45"/>
      <c r="G213" s="45"/>
      <c r="H213" s="45"/>
      <c r="I213" s="45"/>
      <c r="J213" s="45"/>
      <c r="K213" s="45"/>
      <c r="L213" s="45"/>
      <c r="M213" s="45"/>
      <c r="N213" s="2"/>
      <c r="O213" s="2"/>
      <c r="P213" s="2"/>
      <c r="Q213" s="2"/>
      <c r="R213" s="2"/>
      <c r="S213" s="2"/>
      <c r="T213" s="2"/>
      <c r="U213" s="2"/>
      <c r="V213" s="2"/>
      <c r="W213" s="2"/>
      <c r="X213" s="2"/>
      <c r="Y213" s="2"/>
      <c r="Z213" s="2"/>
      <c r="AA213" s="2"/>
    </row>
    <row r="214" spans="1:27" ht="13.15">
      <c r="A214" s="12"/>
      <c r="B214" s="45"/>
      <c r="C214" s="45"/>
      <c r="D214" s="45"/>
      <c r="E214" s="45"/>
      <c r="F214" s="45"/>
      <c r="G214" s="45"/>
      <c r="H214" s="45"/>
      <c r="I214" s="45"/>
      <c r="J214" s="45"/>
      <c r="K214" s="45"/>
      <c r="L214" s="45"/>
      <c r="M214" s="45"/>
      <c r="N214" s="2"/>
      <c r="O214" s="2"/>
      <c r="P214" s="2"/>
      <c r="Q214" s="2"/>
      <c r="R214" s="2"/>
      <c r="S214" s="2"/>
      <c r="T214" s="2"/>
      <c r="U214" s="2"/>
      <c r="V214" s="2"/>
      <c r="W214" s="2"/>
      <c r="X214" s="2"/>
      <c r="Y214" s="2"/>
      <c r="Z214" s="2"/>
      <c r="AA214" s="2"/>
    </row>
    <row r="215" spans="1:27" ht="13.15">
      <c r="A215" s="12"/>
      <c r="B215" s="45"/>
      <c r="C215" s="45"/>
      <c r="D215" s="45"/>
      <c r="E215" s="45"/>
      <c r="F215" s="45"/>
      <c r="G215" s="45"/>
      <c r="H215" s="45"/>
      <c r="I215" s="45"/>
      <c r="J215" s="45"/>
      <c r="K215" s="45"/>
      <c r="L215" s="45"/>
      <c r="M215" s="45"/>
      <c r="N215" s="2"/>
      <c r="O215" s="2"/>
      <c r="P215" s="2"/>
      <c r="Q215" s="2"/>
      <c r="R215" s="2"/>
      <c r="S215" s="2"/>
      <c r="T215" s="2"/>
      <c r="U215" s="2"/>
      <c r="V215" s="2"/>
      <c r="W215" s="2"/>
      <c r="X215" s="2"/>
      <c r="Y215" s="2"/>
      <c r="Z215" s="2"/>
      <c r="AA215" s="2"/>
    </row>
    <row r="216" spans="1:27" ht="13.15">
      <c r="A216" s="12"/>
      <c r="B216" s="45"/>
      <c r="C216" s="45"/>
      <c r="D216" s="45"/>
      <c r="E216" s="45"/>
      <c r="F216" s="45"/>
      <c r="G216" s="45"/>
      <c r="H216" s="45"/>
      <c r="I216" s="45"/>
      <c r="J216" s="45"/>
      <c r="K216" s="45"/>
      <c r="L216" s="45"/>
      <c r="M216" s="45"/>
      <c r="N216" s="2"/>
      <c r="O216" s="2"/>
      <c r="P216" s="2"/>
      <c r="Q216" s="2"/>
      <c r="R216" s="2"/>
      <c r="S216" s="2"/>
      <c r="T216" s="2"/>
      <c r="U216" s="2"/>
      <c r="V216" s="2"/>
      <c r="W216" s="2"/>
      <c r="X216" s="2"/>
      <c r="Y216" s="2"/>
      <c r="Z216" s="2"/>
      <c r="AA216" s="2"/>
    </row>
    <row r="217" spans="1:27" ht="13.15">
      <c r="A217" s="12"/>
      <c r="B217" s="45"/>
      <c r="C217" s="45"/>
      <c r="D217" s="45"/>
      <c r="E217" s="45"/>
      <c r="F217" s="45"/>
      <c r="G217" s="45"/>
      <c r="H217" s="45"/>
      <c r="I217" s="45"/>
      <c r="J217" s="45"/>
      <c r="K217" s="45"/>
      <c r="L217" s="45"/>
      <c r="M217" s="45"/>
      <c r="N217" s="2"/>
      <c r="O217" s="2"/>
      <c r="P217" s="2"/>
      <c r="Q217" s="2"/>
      <c r="R217" s="2"/>
      <c r="S217" s="2"/>
      <c r="T217" s="2"/>
      <c r="U217" s="2"/>
      <c r="V217" s="2"/>
      <c r="W217" s="2"/>
      <c r="X217" s="2"/>
      <c r="Y217" s="2"/>
      <c r="Z217" s="2"/>
      <c r="AA217" s="2"/>
    </row>
    <row r="218" spans="1:27" ht="13.15">
      <c r="A218" s="12"/>
      <c r="B218" s="45"/>
      <c r="C218" s="45"/>
      <c r="D218" s="45"/>
      <c r="E218" s="45"/>
      <c r="F218" s="45"/>
      <c r="G218" s="45"/>
      <c r="H218" s="45"/>
      <c r="I218" s="45"/>
      <c r="J218" s="45"/>
      <c r="K218" s="45"/>
      <c r="L218" s="45"/>
      <c r="M218" s="45"/>
      <c r="N218" s="2"/>
      <c r="O218" s="2"/>
      <c r="P218" s="2"/>
      <c r="Q218" s="2"/>
      <c r="R218" s="2"/>
      <c r="S218" s="2"/>
      <c r="T218" s="2"/>
      <c r="U218" s="2"/>
      <c r="V218" s="2"/>
      <c r="W218" s="2"/>
      <c r="X218" s="2"/>
      <c r="Y218" s="2"/>
      <c r="Z218" s="2"/>
      <c r="AA218" s="2"/>
    </row>
    <row r="219" spans="1:27" ht="13.15">
      <c r="A219" s="12"/>
      <c r="B219" s="45"/>
      <c r="C219" s="45"/>
      <c r="D219" s="45"/>
      <c r="E219" s="45"/>
      <c r="F219" s="45"/>
      <c r="G219" s="45"/>
      <c r="H219" s="45"/>
      <c r="I219" s="45"/>
      <c r="J219" s="45"/>
      <c r="K219" s="45"/>
      <c r="L219" s="45"/>
      <c r="M219" s="45"/>
      <c r="N219" s="2"/>
      <c r="O219" s="2"/>
      <c r="P219" s="2"/>
      <c r="Q219" s="2"/>
      <c r="R219" s="2"/>
      <c r="S219" s="2"/>
      <c r="T219" s="2"/>
      <c r="U219" s="2"/>
      <c r="V219" s="2"/>
      <c r="W219" s="2"/>
      <c r="X219" s="2"/>
      <c r="Y219" s="2"/>
      <c r="Z219" s="2"/>
      <c r="AA219" s="2"/>
    </row>
    <row r="220" spans="1:27" ht="13.15">
      <c r="A220" s="12"/>
      <c r="B220" s="45"/>
      <c r="C220" s="45"/>
      <c r="D220" s="45"/>
      <c r="E220" s="45"/>
      <c r="F220" s="45"/>
      <c r="G220" s="45"/>
      <c r="H220" s="45"/>
      <c r="I220" s="45"/>
      <c r="J220" s="45"/>
      <c r="K220" s="45"/>
      <c r="L220" s="45"/>
      <c r="M220" s="45"/>
      <c r="N220" s="2"/>
      <c r="O220" s="2"/>
      <c r="P220" s="2"/>
      <c r="Q220" s="2"/>
      <c r="R220" s="2"/>
      <c r="S220" s="2"/>
      <c r="T220" s="2"/>
      <c r="U220" s="2"/>
      <c r="V220" s="2"/>
      <c r="W220" s="2"/>
      <c r="X220" s="2"/>
      <c r="Y220" s="2"/>
      <c r="Z220" s="2"/>
      <c r="AA220" s="2"/>
    </row>
    <row r="221" spans="1:27" ht="13.15">
      <c r="A221" s="12"/>
      <c r="B221" s="45"/>
      <c r="C221" s="45"/>
      <c r="D221" s="45"/>
      <c r="E221" s="45"/>
      <c r="F221" s="45"/>
      <c r="G221" s="45"/>
      <c r="H221" s="45"/>
      <c r="I221" s="45"/>
      <c r="J221" s="45"/>
      <c r="K221" s="45"/>
      <c r="L221" s="45"/>
      <c r="M221" s="45"/>
      <c r="N221" s="2"/>
      <c r="O221" s="2"/>
      <c r="P221" s="2"/>
      <c r="Q221" s="2"/>
      <c r="R221" s="2"/>
      <c r="S221" s="2"/>
      <c r="T221" s="2"/>
      <c r="U221" s="2"/>
      <c r="V221" s="2"/>
      <c r="W221" s="2"/>
      <c r="X221" s="2"/>
      <c r="Y221" s="2"/>
      <c r="Z221" s="2"/>
      <c r="AA221" s="2"/>
    </row>
    <row r="222" spans="1:27" ht="13.15">
      <c r="A222" s="12"/>
      <c r="B222" s="45"/>
      <c r="C222" s="45"/>
      <c r="D222" s="45"/>
      <c r="E222" s="45"/>
      <c r="F222" s="45"/>
      <c r="G222" s="45"/>
      <c r="H222" s="45"/>
      <c r="I222" s="45"/>
      <c r="J222" s="45"/>
      <c r="K222" s="45"/>
      <c r="L222" s="45"/>
      <c r="M222" s="45"/>
      <c r="N222" s="2"/>
      <c r="O222" s="2"/>
      <c r="P222" s="2"/>
      <c r="Q222" s="2"/>
      <c r="R222" s="2"/>
      <c r="S222" s="2"/>
      <c r="T222" s="2"/>
      <c r="U222" s="2"/>
      <c r="V222" s="2"/>
      <c r="W222" s="2"/>
      <c r="X222" s="2"/>
      <c r="Y222" s="2"/>
      <c r="Z222" s="2"/>
      <c r="AA222" s="2"/>
    </row>
    <row r="223" spans="1:27" ht="13.15">
      <c r="A223" s="12"/>
      <c r="B223" s="45"/>
      <c r="C223" s="45"/>
      <c r="D223" s="45"/>
      <c r="E223" s="45"/>
      <c r="F223" s="45"/>
      <c r="G223" s="45"/>
      <c r="H223" s="45"/>
      <c r="I223" s="45"/>
      <c r="J223" s="45"/>
      <c r="K223" s="45"/>
      <c r="L223" s="45"/>
      <c r="M223" s="45"/>
      <c r="N223" s="2"/>
      <c r="O223" s="2"/>
      <c r="P223" s="2"/>
      <c r="Q223" s="2"/>
      <c r="R223" s="2"/>
      <c r="S223" s="2"/>
      <c r="T223" s="2"/>
      <c r="U223" s="2"/>
      <c r="V223" s="2"/>
      <c r="W223" s="2"/>
      <c r="X223" s="2"/>
      <c r="Y223" s="2"/>
      <c r="Z223" s="2"/>
      <c r="AA223" s="2"/>
    </row>
    <row r="224" spans="1:27" ht="13.15">
      <c r="A224" s="12"/>
      <c r="B224" s="45"/>
      <c r="C224" s="45"/>
      <c r="D224" s="45"/>
      <c r="E224" s="45"/>
      <c r="F224" s="45"/>
      <c r="G224" s="45"/>
      <c r="H224" s="45"/>
      <c r="I224" s="45"/>
      <c r="J224" s="45"/>
      <c r="K224" s="45"/>
      <c r="L224" s="45"/>
      <c r="M224" s="45"/>
      <c r="N224" s="2"/>
      <c r="O224" s="2"/>
      <c r="P224" s="2"/>
      <c r="Q224" s="2"/>
      <c r="R224" s="2"/>
      <c r="S224" s="2"/>
      <c r="T224" s="2"/>
      <c r="U224" s="2"/>
      <c r="V224" s="2"/>
      <c r="W224" s="2"/>
      <c r="X224" s="2"/>
      <c r="Y224" s="2"/>
      <c r="Z224" s="2"/>
      <c r="AA224" s="2"/>
    </row>
    <row r="225" spans="1:27" ht="13.15">
      <c r="A225" s="12"/>
      <c r="B225" s="45"/>
      <c r="C225" s="45"/>
      <c r="D225" s="45"/>
      <c r="E225" s="45"/>
      <c r="F225" s="45"/>
      <c r="G225" s="45"/>
      <c r="H225" s="45"/>
      <c r="I225" s="45"/>
      <c r="J225" s="45"/>
      <c r="K225" s="45"/>
      <c r="L225" s="45"/>
      <c r="M225" s="45"/>
      <c r="N225" s="2"/>
      <c r="O225" s="2"/>
      <c r="P225" s="2"/>
      <c r="Q225" s="2"/>
      <c r="R225" s="2"/>
      <c r="S225" s="2"/>
      <c r="T225" s="2"/>
      <c r="U225" s="2"/>
      <c r="V225" s="2"/>
      <c r="W225" s="2"/>
      <c r="X225" s="2"/>
      <c r="Y225" s="2"/>
      <c r="Z225" s="2"/>
      <c r="AA225" s="2"/>
    </row>
    <row r="226" spans="1:27" ht="13.15">
      <c r="A226" s="12"/>
      <c r="B226" s="45"/>
      <c r="C226" s="45"/>
      <c r="D226" s="45"/>
      <c r="E226" s="45"/>
      <c r="F226" s="45"/>
      <c r="G226" s="45"/>
      <c r="H226" s="45"/>
      <c r="I226" s="45"/>
      <c r="J226" s="45"/>
      <c r="K226" s="45"/>
      <c r="L226" s="45"/>
      <c r="M226" s="45"/>
      <c r="N226" s="2"/>
      <c r="O226" s="2"/>
      <c r="P226" s="2"/>
      <c r="Q226" s="2"/>
      <c r="R226" s="2"/>
      <c r="S226" s="2"/>
      <c r="T226" s="2"/>
      <c r="U226" s="2"/>
      <c r="V226" s="2"/>
      <c r="W226" s="2"/>
      <c r="X226" s="2"/>
      <c r="Y226" s="2"/>
      <c r="Z226" s="2"/>
      <c r="AA226" s="2"/>
    </row>
    <row r="227" spans="1:27" ht="13.15">
      <c r="A227" s="12"/>
      <c r="B227" s="45"/>
      <c r="C227" s="45"/>
      <c r="D227" s="45"/>
      <c r="E227" s="45"/>
      <c r="F227" s="45"/>
      <c r="G227" s="45"/>
      <c r="H227" s="45"/>
      <c r="I227" s="45"/>
      <c r="J227" s="45"/>
      <c r="K227" s="45"/>
      <c r="L227" s="45"/>
      <c r="M227" s="45"/>
      <c r="N227" s="2"/>
      <c r="O227" s="2"/>
      <c r="P227" s="2"/>
      <c r="Q227" s="2"/>
      <c r="R227" s="2"/>
      <c r="S227" s="2"/>
      <c r="T227" s="2"/>
      <c r="U227" s="2"/>
      <c r="V227" s="2"/>
      <c r="W227" s="2"/>
      <c r="X227" s="2"/>
      <c r="Y227" s="2"/>
      <c r="Z227" s="2"/>
      <c r="AA227" s="2"/>
    </row>
    <row r="228" spans="1:27" ht="13.15">
      <c r="A228" s="12"/>
      <c r="B228" s="45"/>
      <c r="C228" s="45"/>
      <c r="D228" s="45"/>
      <c r="E228" s="45"/>
      <c r="F228" s="45"/>
      <c r="G228" s="45"/>
      <c r="H228" s="45"/>
      <c r="I228" s="45"/>
      <c r="J228" s="45"/>
      <c r="K228" s="45"/>
      <c r="L228" s="45"/>
      <c r="M228" s="45"/>
      <c r="N228" s="2"/>
      <c r="O228" s="2"/>
      <c r="P228" s="2"/>
      <c r="Q228" s="2"/>
      <c r="R228" s="2"/>
      <c r="S228" s="2"/>
      <c r="T228" s="2"/>
      <c r="U228" s="2"/>
      <c r="V228" s="2"/>
      <c r="W228" s="2"/>
      <c r="X228" s="2"/>
      <c r="Y228" s="2"/>
      <c r="Z228" s="2"/>
      <c r="AA228" s="2"/>
    </row>
    <row r="229" spans="1:27" ht="13.15">
      <c r="A229" s="12"/>
      <c r="B229" s="45"/>
      <c r="C229" s="45"/>
      <c r="D229" s="45"/>
      <c r="E229" s="45"/>
      <c r="F229" s="45"/>
      <c r="G229" s="45"/>
      <c r="H229" s="45"/>
      <c r="I229" s="45"/>
      <c r="J229" s="45"/>
      <c r="K229" s="45"/>
      <c r="L229" s="45"/>
      <c r="M229" s="45"/>
      <c r="N229" s="2"/>
      <c r="O229" s="2"/>
      <c r="P229" s="2"/>
      <c r="Q229" s="2"/>
      <c r="R229" s="2"/>
      <c r="S229" s="2"/>
      <c r="T229" s="2"/>
      <c r="U229" s="2"/>
      <c r="V229" s="2"/>
      <c r="W229" s="2"/>
      <c r="X229" s="2"/>
      <c r="Y229" s="2"/>
      <c r="Z229" s="2"/>
      <c r="AA229" s="2"/>
    </row>
    <row r="230" spans="1:27" ht="13.15">
      <c r="A230" s="12"/>
      <c r="B230" s="45"/>
      <c r="C230" s="45"/>
      <c r="D230" s="45"/>
      <c r="E230" s="45"/>
      <c r="F230" s="45"/>
      <c r="G230" s="45"/>
      <c r="H230" s="45"/>
      <c r="I230" s="45"/>
      <c r="J230" s="45"/>
      <c r="K230" s="45"/>
      <c r="L230" s="45"/>
      <c r="M230" s="45"/>
      <c r="N230" s="2"/>
      <c r="O230" s="2"/>
      <c r="P230" s="2"/>
      <c r="Q230" s="2"/>
      <c r="R230" s="2"/>
      <c r="S230" s="2"/>
      <c r="T230" s="2"/>
      <c r="U230" s="2"/>
      <c r="V230" s="2"/>
      <c r="W230" s="2"/>
      <c r="X230" s="2"/>
      <c r="Y230" s="2"/>
      <c r="Z230" s="2"/>
      <c r="AA230" s="2"/>
    </row>
    <row r="231" spans="1:27" ht="13.15">
      <c r="A231" s="12"/>
      <c r="B231" s="45"/>
      <c r="C231" s="45"/>
      <c r="D231" s="45"/>
      <c r="E231" s="45"/>
      <c r="F231" s="45"/>
      <c r="G231" s="45"/>
      <c r="H231" s="45"/>
      <c r="I231" s="45"/>
      <c r="J231" s="45"/>
      <c r="K231" s="45"/>
      <c r="L231" s="45"/>
      <c r="M231" s="45"/>
      <c r="N231" s="2"/>
      <c r="O231" s="2"/>
      <c r="P231" s="2"/>
      <c r="Q231" s="2"/>
      <c r="R231" s="2"/>
      <c r="S231" s="2"/>
      <c r="T231" s="2"/>
      <c r="U231" s="2"/>
      <c r="V231" s="2"/>
      <c r="W231" s="2"/>
      <c r="X231" s="2"/>
      <c r="Y231" s="2"/>
      <c r="Z231" s="2"/>
      <c r="AA231" s="2"/>
    </row>
    <row r="232" spans="1:27" ht="13.15">
      <c r="A232" s="12"/>
      <c r="B232" s="45"/>
      <c r="C232" s="45"/>
      <c r="D232" s="45"/>
      <c r="E232" s="45"/>
      <c r="F232" s="45"/>
      <c r="G232" s="45"/>
      <c r="H232" s="45"/>
      <c r="I232" s="45"/>
      <c r="J232" s="45"/>
      <c r="K232" s="45"/>
      <c r="L232" s="45"/>
      <c r="M232" s="45"/>
      <c r="N232" s="2"/>
      <c r="O232" s="2"/>
      <c r="P232" s="2"/>
      <c r="Q232" s="2"/>
      <c r="R232" s="2"/>
      <c r="S232" s="2"/>
      <c r="T232" s="2"/>
      <c r="U232" s="2"/>
      <c r="V232" s="2"/>
      <c r="W232" s="2"/>
      <c r="X232" s="2"/>
      <c r="Y232" s="2"/>
      <c r="Z232" s="2"/>
      <c r="AA232" s="2"/>
    </row>
    <row r="233" spans="1:27" ht="13.15">
      <c r="A233" s="12"/>
      <c r="B233" s="45"/>
      <c r="C233" s="45"/>
      <c r="D233" s="45"/>
      <c r="E233" s="45"/>
      <c r="F233" s="45"/>
      <c r="G233" s="45"/>
      <c r="H233" s="45"/>
      <c r="I233" s="45"/>
      <c r="J233" s="45"/>
      <c r="K233" s="45"/>
      <c r="L233" s="45"/>
      <c r="M233" s="45"/>
      <c r="N233" s="2"/>
      <c r="O233" s="2"/>
      <c r="P233" s="2"/>
      <c r="Q233" s="2"/>
      <c r="R233" s="2"/>
      <c r="S233" s="2"/>
      <c r="T233" s="2"/>
      <c r="U233" s="2"/>
      <c r="V233" s="2"/>
      <c r="W233" s="2"/>
      <c r="X233" s="2"/>
      <c r="Y233" s="2"/>
      <c r="Z233" s="2"/>
      <c r="AA233" s="2"/>
    </row>
    <row r="234" spans="1:27" ht="13.15">
      <c r="A234" s="12"/>
      <c r="B234" s="45"/>
      <c r="C234" s="45"/>
      <c r="D234" s="45"/>
      <c r="E234" s="45"/>
      <c r="F234" s="45"/>
      <c r="G234" s="45"/>
      <c r="H234" s="45"/>
      <c r="I234" s="45"/>
      <c r="J234" s="45"/>
      <c r="K234" s="45"/>
      <c r="L234" s="45"/>
      <c r="M234" s="45"/>
      <c r="N234" s="2"/>
      <c r="O234" s="2"/>
      <c r="P234" s="2"/>
      <c r="Q234" s="2"/>
      <c r="R234" s="2"/>
      <c r="S234" s="2"/>
      <c r="T234" s="2"/>
      <c r="U234" s="2"/>
      <c r="V234" s="2"/>
      <c r="W234" s="2"/>
      <c r="X234" s="2"/>
      <c r="Y234" s="2"/>
      <c r="Z234" s="2"/>
      <c r="AA234" s="2"/>
    </row>
    <row r="235" spans="1:27" ht="13.15">
      <c r="A235" s="12"/>
      <c r="B235" s="45"/>
      <c r="C235" s="45"/>
      <c r="D235" s="45"/>
      <c r="E235" s="45"/>
      <c r="F235" s="45"/>
      <c r="G235" s="45"/>
      <c r="H235" s="45"/>
      <c r="I235" s="45"/>
      <c r="J235" s="45"/>
      <c r="K235" s="45"/>
      <c r="L235" s="45"/>
      <c r="M235" s="45"/>
      <c r="N235" s="2"/>
      <c r="O235" s="2"/>
      <c r="P235" s="2"/>
      <c r="Q235" s="2"/>
      <c r="R235" s="2"/>
      <c r="S235" s="2"/>
      <c r="T235" s="2"/>
      <c r="U235" s="2"/>
      <c r="V235" s="2"/>
      <c r="W235" s="2"/>
      <c r="X235" s="2"/>
      <c r="Y235" s="2"/>
      <c r="Z235" s="2"/>
      <c r="AA235" s="2"/>
    </row>
    <row r="236" spans="1:27" ht="13.15">
      <c r="A236" s="12"/>
      <c r="B236" s="45"/>
      <c r="C236" s="45"/>
      <c r="D236" s="45"/>
      <c r="E236" s="45"/>
      <c r="F236" s="45"/>
      <c r="G236" s="45"/>
      <c r="H236" s="45"/>
      <c r="I236" s="45"/>
      <c r="J236" s="45"/>
      <c r="K236" s="45"/>
      <c r="L236" s="45"/>
      <c r="M236" s="45"/>
      <c r="N236" s="2"/>
      <c r="O236" s="2"/>
      <c r="P236" s="2"/>
      <c r="Q236" s="2"/>
      <c r="R236" s="2"/>
      <c r="S236" s="2"/>
      <c r="T236" s="2"/>
      <c r="U236" s="2"/>
      <c r="V236" s="2"/>
      <c r="W236" s="2"/>
      <c r="X236" s="2"/>
      <c r="Y236" s="2"/>
      <c r="Z236" s="2"/>
      <c r="AA236" s="2"/>
    </row>
    <row r="237" spans="1:27" ht="13.15">
      <c r="A237" s="12"/>
      <c r="B237" s="45"/>
      <c r="C237" s="45"/>
      <c r="D237" s="45"/>
      <c r="E237" s="45"/>
      <c r="F237" s="45"/>
      <c r="G237" s="45"/>
      <c r="H237" s="45"/>
      <c r="I237" s="45"/>
      <c r="J237" s="45"/>
      <c r="K237" s="45"/>
      <c r="L237" s="45"/>
      <c r="M237" s="45"/>
      <c r="N237" s="2"/>
      <c r="O237" s="2"/>
      <c r="P237" s="2"/>
      <c r="Q237" s="2"/>
      <c r="R237" s="2"/>
      <c r="S237" s="2"/>
      <c r="T237" s="2"/>
      <c r="U237" s="2"/>
      <c r="V237" s="2"/>
      <c r="W237" s="2"/>
      <c r="X237" s="2"/>
      <c r="Y237" s="2"/>
      <c r="Z237" s="2"/>
      <c r="AA237" s="2"/>
    </row>
    <row r="238" spans="1:27" ht="13.15">
      <c r="A238" s="12"/>
      <c r="B238" s="45"/>
      <c r="C238" s="45"/>
      <c r="D238" s="45"/>
      <c r="E238" s="45"/>
      <c r="F238" s="45"/>
      <c r="G238" s="45"/>
      <c r="H238" s="45"/>
      <c r="I238" s="45"/>
      <c r="J238" s="45"/>
      <c r="K238" s="45"/>
      <c r="L238" s="45"/>
      <c r="M238" s="45"/>
      <c r="N238" s="2"/>
      <c r="O238" s="2"/>
      <c r="P238" s="2"/>
      <c r="Q238" s="2"/>
      <c r="R238" s="2"/>
      <c r="S238" s="2"/>
      <c r="T238" s="2"/>
      <c r="U238" s="2"/>
      <c r="V238" s="2"/>
      <c r="W238" s="2"/>
      <c r="X238" s="2"/>
      <c r="Y238" s="2"/>
      <c r="Z238" s="2"/>
      <c r="AA238" s="2"/>
    </row>
    <row r="239" spans="1:27" ht="13.15">
      <c r="A239" s="12"/>
      <c r="B239" s="45"/>
      <c r="C239" s="45"/>
      <c r="D239" s="45"/>
      <c r="E239" s="45"/>
      <c r="F239" s="45"/>
      <c r="G239" s="45"/>
      <c r="H239" s="45"/>
      <c r="I239" s="45"/>
      <c r="J239" s="45"/>
      <c r="K239" s="45"/>
      <c r="L239" s="45"/>
      <c r="M239" s="45"/>
      <c r="N239" s="2"/>
      <c r="O239" s="2"/>
      <c r="P239" s="2"/>
      <c r="Q239" s="2"/>
      <c r="R239" s="2"/>
      <c r="S239" s="2"/>
      <c r="T239" s="2"/>
      <c r="U239" s="2"/>
      <c r="V239" s="2"/>
      <c r="W239" s="2"/>
      <c r="X239" s="2"/>
      <c r="Y239" s="2"/>
      <c r="Z239" s="2"/>
      <c r="AA239" s="2"/>
    </row>
    <row r="240" spans="1:27" ht="13.15">
      <c r="A240" s="12"/>
      <c r="B240" s="45"/>
      <c r="C240" s="45"/>
      <c r="D240" s="45"/>
      <c r="E240" s="45"/>
      <c r="F240" s="45"/>
      <c r="G240" s="45"/>
      <c r="H240" s="45"/>
      <c r="I240" s="45"/>
      <c r="J240" s="45"/>
      <c r="K240" s="45"/>
      <c r="L240" s="45"/>
      <c r="M240" s="45"/>
      <c r="N240" s="2"/>
      <c r="O240" s="2"/>
      <c r="P240" s="2"/>
      <c r="Q240" s="2"/>
      <c r="R240" s="2"/>
      <c r="S240" s="2"/>
      <c r="T240" s="2"/>
      <c r="U240" s="2"/>
      <c r="V240" s="2"/>
      <c r="W240" s="2"/>
      <c r="X240" s="2"/>
      <c r="Y240" s="2"/>
      <c r="Z240" s="2"/>
      <c r="AA240" s="2"/>
    </row>
    <row r="241" spans="1:27" ht="13.15">
      <c r="A241" s="12"/>
      <c r="B241" s="45"/>
      <c r="C241" s="45"/>
      <c r="D241" s="45"/>
      <c r="E241" s="45"/>
      <c r="F241" s="45"/>
      <c r="G241" s="45"/>
      <c r="H241" s="45"/>
      <c r="I241" s="45"/>
      <c r="J241" s="45"/>
      <c r="K241" s="45"/>
      <c r="L241" s="45"/>
      <c r="M241" s="45"/>
      <c r="N241" s="2"/>
      <c r="O241" s="2"/>
      <c r="P241" s="2"/>
      <c r="Q241" s="2"/>
      <c r="R241" s="2"/>
      <c r="S241" s="2"/>
      <c r="T241" s="2"/>
      <c r="U241" s="2"/>
      <c r="V241" s="2"/>
      <c r="W241" s="2"/>
      <c r="X241" s="2"/>
      <c r="Y241" s="2"/>
      <c r="Z241" s="2"/>
      <c r="AA241" s="2"/>
    </row>
    <row r="242" spans="1:27" ht="13.15">
      <c r="A242" s="12"/>
      <c r="B242" s="45"/>
      <c r="C242" s="45"/>
      <c r="D242" s="45"/>
      <c r="E242" s="45"/>
      <c r="F242" s="45"/>
      <c r="G242" s="45"/>
      <c r="H242" s="45"/>
      <c r="I242" s="45"/>
      <c r="J242" s="45"/>
      <c r="K242" s="45"/>
      <c r="L242" s="45"/>
      <c r="M242" s="45"/>
      <c r="N242" s="2"/>
      <c r="O242" s="2"/>
      <c r="P242" s="2"/>
      <c r="Q242" s="2"/>
      <c r="R242" s="2"/>
      <c r="S242" s="2"/>
      <c r="T242" s="2"/>
      <c r="U242" s="2"/>
      <c r="V242" s="2"/>
      <c r="W242" s="2"/>
      <c r="X242" s="2"/>
      <c r="Y242" s="2"/>
      <c r="Z242" s="2"/>
      <c r="AA242" s="2"/>
    </row>
    <row r="243" spans="1:27" ht="13.15">
      <c r="A243" s="12"/>
      <c r="B243" s="45"/>
      <c r="C243" s="45"/>
      <c r="D243" s="45"/>
      <c r="E243" s="45"/>
      <c r="F243" s="45"/>
      <c r="G243" s="45"/>
      <c r="H243" s="45"/>
      <c r="I243" s="45"/>
      <c r="J243" s="45"/>
      <c r="K243" s="45"/>
      <c r="L243" s="45"/>
      <c r="M243" s="45"/>
      <c r="N243" s="2"/>
      <c r="O243" s="2"/>
      <c r="P243" s="2"/>
      <c r="Q243" s="2"/>
      <c r="R243" s="2"/>
      <c r="S243" s="2"/>
      <c r="T243" s="2"/>
      <c r="U243" s="2"/>
      <c r="V243" s="2"/>
      <c r="W243" s="2"/>
      <c r="X243" s="2"/>
      <c r="Y243" s="2"/>
      <c r="Z243" s="2"/>
      <c r="AA243" s="2"/>
    </row>
    <row r="244" spans="1:27" ht="13.15">
      <c r="A244" s="12"/>
      <c r="B244" s="45"/>
      <c r="C244" s="45"/>
      <c r="D244" s="45"/>
      <c r="E244" s="45"/>
      <c r="F244" s="45"/>
      <c r="G244" s="45"/>
      <c r="H244" s="45"/>
      <c r="I244" s="45"/>
      <c r="J244" s="45"/>
      <c r="K244" s="45"/>
      <c r="L244" s="45"/>
      <c r="M244" s="45"/>
      <c r="N244" s="2"/>
      <c r="O244" s="2"/>
      <c r="P244" s="2"/>
      <c r="Q244" s="2"/>
      <c r="R244" s="2"/>
      <c r="S244" s="2"/>
      <c r="T244" s="2"/>
      <c r="U244" s="2"/>
      <c r="V244" s="2"/>
      <c r="W244" s="2"/>
      <c r="X244" s="2"/>
      <c r="Y244" s="2"/>
      <c r="Z244" s="2"/>
      <c r="AA244" s="2"/>
    </row>
    <row r="245" spans="1:27" ht="13.15">
      <c r="A245" s="12"/>
      <c r="B245" s="45"/>
      <c r="C245" s="45"/>
      <c r="D245" s="45"/>
      <c r="E245" s="45"/>
      <c r="F245" s="45"/>
      <c r="G245" s="45"/>
      <c r="H245" s="45"/>
      <c r="I245" s="45"/>
      <c r="J245" s="45"/>
      <c r="K245" s="45"/>
      <c r="L245" s="45"/>
      <c r="M245" s="45"/>
      <c r="N245" s="2"/>
      <c r="O245" s="2"/>
      <c r="P245" s="2"/>
      <c r="Q245" s="2"/>
      <c r="R245" s="2"/>
      <c r="S245" s="2"/>
      <c r="T245" s="2"/>
      <c r="U245" s="2"/>
      <c r="V245" s="2"/>
      <c r="W245" s="2"/>
      <c r="X245" s="2"/>
      <c r="Y245" s="2"/>
      <c r="Z245" s="2"/>
      <c r="AA245" s="2"/>
    </row>
    <row r="246" spans="1:27" ht="13.15">
      <c r="A246" s="12"/>
      <c r="B246" s="45"/>
      <c r="C246" s="45"/>
      <c r="D246" s="45"/>
      <c r="E246" s="45"/>
      <c r="F246" s="45"/>
      <c r="G246" s="45"/>
      <c r="H246" s="45"/>
      <c r="I246" s="45"/>
      <c r="J246" s="45"/>
      <c r="K246" s="45"/>
      <c r="L246" s="45"/>
      <c r="M246" s="45"/>
      <c r="N246" s="2"/>
      <c r="O246" s="2"/>
      <c r="P246" s="2"/>
      <c r="Q246" s="2"/>
      <c r="R246" s="2"/>
      <c r="S246" s="2"/>
      <c r="T246" s="2"/>
      <c r="U246" s="2"/>
      <c r="V246" s="2"/>
      <c r="W246" s="2"/>
      <c r="X246" s="2"/>
      <c r="Y246" s="2"/>
      <c r="Z246" s="2"/>
      <c r="AA246" s="2"/>
    </row>
    <row r="247" spans="1:27" ht="13.15">
      <c r="A247" s="12"/>
      <c r="B247" s="45"/>
      <c r="C247" s="45"/>
      <c r="D247" s="45"/>
      <c r="E247" s="45"/>
      <c r="F247" s="45"/>
      <c r="G247" s="45"/>
      <c r="H247" s="45"/>
      <c r="I247" s="45"/>
      <c r="J247" s="45"/>
      <c r="K247" s="45"/>
      <c r="L247" s="45"/>
      <c r="M247" s="45"/>
      <c r="N247" s="2"/>
      <c r="O247" s="2"/>
      <c r="P247" s="2"/>
      <c r="Q247" s="2"/>
      <c r="R247" s="2"/>
      <c r="S247" s="2"/>
      <c r="T247" s="2"/>
      <c r="U247" s="2"/>
      <c r="V247" s="2"/>
      <c r="W247" s="2"/>
      <c r="X247" s="2"/>
      <c r="Y247" s="2"/>
      <c r="Z247" s="2"/>
      <c r="AA247" s="2"/>
    </row>
    <row r="248" spans="1:27" ht="13.15">
      <c r="A248" s="12"/>
      <c r="B248" s="45"/>
      <c r="C248" s="45"/>
      <c r="D248" s="45"/>
      <c r="E248" s="45"/>
      <c r="F248" s="45"/>
      <c r="G248" s="45"/>
      <c r="H248" s="45"/>
      <c r="I248" s="45"/>
      <c r="J248" s="45"/>
      <c r="K248" s="45"/>
      <c r="L248" s="45"/>
      <c r="M248" s="45"/>
      <c r="N248" s="2"/>
      <c r="O248" s="2"/>
      <c r="P248" s="2"/>
      <c r="Q248" s="2"/>
      <c r="R248" s="2"/>
      <c r="S248" s="2"/>
      <c r="T248" s="2"/>
      <c r="U248" s="2"/>
      <c r="V248" s="2"/>
      <c r="W248" s="2"/>
      <c r="X248" s="2"/>
      <c r="Y248" s="2"/>
      <c r="Z248" s="2"/>
      <c r="AA248" s="2"/>
    </row>
    <row r="249" spans="1:27" ht="13.15">
      <c r="A249" s="12"/>
      <c r="B249" s="45"/>
      <c r="C249" s="45"/>
      <c r="D249" s="45"/>
      <c r="E249" s="45"/>
      <c r="F249" s="45"/>
      <c r="G249" s="45"/>
      <c r="H249" s="45"/>
      <c r="I249" s="45"/>
      <c r="J249" s="45"/>
      <c r="K249" s="45"/>
      <c r="L249" s="45"/>
      <c r="M249" s="45"/>
      <c r="N249" s="2"/>
      <c r="O249" s="2"/>
      <c r="P249" s="2"/>
      <c r="Q249" s="2"/>
      <c r="R249" s="2"/>
      <c r="S249" s="2"/>
      <c r="T249" s="2"/>
      <c r="U249" s="2"/>
      <c r="V249" s="2"/>
      <c r="W249" s="2"/>
      <c r="X249" s="2"/>
      <c r="Y249" s="2"/>
      <c r="Z249" s="2"/>
      <c r="AA249" s="2"/>
    </row>
    <row r="250" spans="1:27" ht="13.15">
      <c r="A250" s="12"/>
      <c r="B250" s="45"/>
      <c r="C250" s="45"/>
      <c r="D250" s="45"/>
      <c r="E250" s="45"/>
      <c r="F250" s="45"/>
      <c r="G250" s="45"/>
      <c r="H250" s="45"/>
      <c r="I250" s="45"/>
      <c r="J250" s="45"/>
      <c r="K250" s="45"/>
      <c r="L250" s="45"/>
      <c r="M250" s="45"/>
      <c r="N250" s="2"/>
      <c r="O250" s="2"/>
      <c r="P250" s="2"/>
      <c r="Q250" s="2"/>
      <c r="R250" s="2"/>
      <c r="S250" s="2"/>
      <c r="T250" s="2"/>
      <c r="U250" s="2"/>
      <c r="V250" s="2"/>
      <c r="W250" s="2"/>
      <c r="X250" s="2"/>
      <c r="Y250" s="2"/>
      <c r="Z250" s="2"/>
      <c r="AA250" s="2"/>
    </row>
    <row r="251" spans="1:27" ht="13.15">
      <c r="A251" s="12"/>
      <c r="B251" s="45"/>
      <c r="C251" s="45"/>
      <c r="D251" s="45"/>
      <c r="E251" s="45"/>
      <c r="F251" s="45"/>
      <c r="G251" s="45"/>
      <c r="H251" s="45"/>
      <c r="I251" s="45"/>
      <c r="J251" s="45"/>
      <c r="K251" s="45"/>
      <c r="L251" s="45"/>
      <c r="M251" s="45"/>
      <c r="N251" s="2"/>
      <c r="O251" s="2"/>
      <c r="P251" s="2"/>
      <c r="Q251" s="2"/>
      <c r="R251" s="2"/>
      <c r="S251" s="2"/>
      <c r="T251" s="2"/>
      <c r="U251" s="2"/>
      <c r="V251" s="2"/>
      <c r="W251" s="2"/>
      <c r="X251" s="2"/>
      <c r="Y251" s="2"/>
      <c r="Z251" s="2"/>
      <c r="AA251" s="2"/>
    </row>
    <row r="252" spans="1:27" ht="13.15">
      <c r="A252" s="12"/>
      <c r="B252" s="45"/>
      <c r="C252" s="45"/>
      <c r="D252" s="45"/>
      <c r="E252" s="45"/>
      <c r="F252" s="45"/>
      <c r="G252" s="45"/>
      <c r="H252" s="45"/>
      <c r="I252" s="45"/>
      <c r="J252" s="45"/>
      <c r="K252" s="45"/>
      <c r="L252" s="45"/>
      <c r="M252" s="45"/>
      <c r="N252" s="2"/>
      <c r="O252" s="2"/>
      <c r="P252" s="2"/>
      <c r="Q252" s="2"/>
      <c r="R252" s="2"/>
      <c r="S252" s="2"/>
      <c r="T252" s="2"/>
      <c r="U252" s="2"/>
      <c r="V252" s="2"/>
      <c r="W252" s="2"/>
      <c r="X252" s="2"/>
      <c r="Y252" s="2"/>
      <c r="Z252" s="2"/>
      <c r="AA252" s="2"/>
    </row>
    <row r="253" spans="1:27" ht="13.15">
      <c r="A253" s="12"/>
      <c r="B253" s="45"/>
      <c r="C253" s="45"/>
      <c r="D253" s="45"/>
      <c r="E253" s="45"/>
      <c r="F253" s="45"/>
      <c r="G253" s="45"/>
      <c r="H253" s="45"/>
      <c r="I253" s="45"/>
      <c r="J253" s="45"/>
      <c r="K253" s="45"/>
      <c r="L253" s="45"/>
      <c r="M253" s="45"/>
      <c r="N253" s="2"/>
      <c r="O253" s="2"/>
      <c r="P253" s="2"/>
      <c r="Q253" s="2"/>
      <c r="R253" s="2"/>
      <c r="S253" s="2"/>
      <c r="T253" s="2"/>
      <c r="U253" s="2"/>
      <c r="V253" s="2"/>
      <c r="W253" s="2"/>
      <c r="X253" s="2"/>
      <c r="Y253" s="2"/>
      <c r="Z253" s="2"/>
      <c r="AA253" s="2"/>
    </row>
    <row r="254" spans="1:27" ht="13.15">
      <c r="A254" s="12"/>
      <c r="B254" s="45"/>
      <c r="C254" s="45"/>
      <c r="D254" s="45"/>
      <c r="E254" s="45"/>
      <c r="F254" s="45"/>
      <c r="G254" s="45"/>
      <c r="H254" s="45"/>
      <c r="I254" s="45"/>
      <c r="J254" s="45"/>
      <c r="K254" s="45"/>
      <c r="L254" s="45"/>
      <c r="M254" s="45"/>
      <c r="N254" s="2"/>
      <c r="O254" s="2"/>
      <c r="P254" s="2"/>
      <c r="Q254" s="2"/>
      <c r="R254" s="2"/>
      <c r="S254" s="2"/>
      <c r="T254" s="2"/>
      <c r="U254" s="2"/>
      <c r="V254" s="2"/>
      <c r="W254" s="2"/>
      <c r="X254" s="2"/>
      <c r="Y254" s="2"/>
      <c r="Z254" s="2"/>
      <c r="AA254" s="2"/>
    </row>
    <row r="255" spans="1:27" ht="13.15">
      <c r="A255" s="12"/>
      <c r="B255" s="45"/>
      <c r="C255" s="45"/>
      <c r="D255" s="45"/>
      <c r="E255" s="45"/>
      <c r="F255" s="45"/>
      <c r="G255" s="45"/>
      <c r="H255" s="45"/>
      <c r="I255" s="45"/>
      <c r="J255" s="45"/>
      <c r="K255" s="45"/>
      <c r="L255" s="45"/>
      <c r="M255" s="45"/>
      <c r="N255" s="2"/>
      <c r="O255" s="2"/>
      <c r="P255" s="2"/>
      <c r="Q255" s="2"/>
      <c r="R255" s="2"/>
      <c r="S255" s="2"/>
      <c r="T255" s="2"/>
      <c r="U255" s="2"/>
      <c r="V255" s="2"/>
      <c r="W255" s="2"/>
      <c r="X255" s="2"/>
      <c r="Y255" s="2"/>
      <c r="Z255" s="2"/>
      <c r="AA255" s="2"/>
    </row>
    <row r="256" spans="1:27" ht="13.15">
      <c r="A256" s="12"/>
      <c r="B256" s="45"/>
      <c r="C256" s="45"/>
      <c r="D256" s="45"/>
      <c r="E256" s="45"/>
      <c r="F256" s="45"/>
      <c r="G256" s="45"/>
      <c r="H256" s="45"/>
      <c r="I256" s="45"/>
      <c r="J256" s="45"/>
      <c r="K256" s="45"/>
      <c r="L256" s="45"/>
      <c r="M256" s="45"/>
      <c r="N256" s="2"/>
      <c r="O256" s="2"/>
      <c r="P256" s="2"/>
      <c r="Q256" s="2"/>
      <c r="R256" s="2"/>
      <c r="S256" s="2"/>
      <c r="T256" s="2"/>
      <c r="U256" s="2"/>
      <c r="V256" s="2"/>
      <c r="W256" s="2"/>
      <c r="X256" s="2"/>
      <c r="Y256" s="2"/>
      <c r="Z256" s="2"/>
      <c r="AA256" s="2"/>
    </row>
    <row r="257" spans="1:27" ht="13.15">
      <c r="A257" s="12"/>
      <c r="B257" s="45"/>
      <c r="C257" s="45"/>
      <c r="D257" s="45"/>
      <c r="E257" s="45"/>
      <c r="F257" s="45"/>
      <c r="G257" s="45"/>
      <c r="H257" s="45"/>
      <c r="I257" s="45"/>
      <c r="J257" s="45"/>
      <c r="K257" s="45"/>
      <c r="L257" s="45"/>
      <c r="M257" s="45"/>
      <c r="N257" s="2"/>
      <c r="O257" s="2"/>
      <c r="P257" s="2"/>
      <c r="Q257" s="2"/>
      <c r="R257" s="2"/>
      <c r="S257" s="2"/>
      <c r="T257" s="2"/>
      <c r="U257" s="2"/>
      <c r="V257" s="2"/>
      <c r="W257" s="2"/>
      <c r="X257" s="2"/>
      <c r="Y257" s="2"/>
      <c r="Z257" s="2"/>
      <c r="AA257" s="2"/>
    </row>
    <row r="258" spans="1:27" ht="13.15">
      <c r="A258" s="12"/>
      <c r="B258" s="45"/>
      <c r="C258" s="45"/>
      <c r="D258" s="45"/>
      <c r="E258" s="45"/>
      <c r="F258" s="45"/>
      <c r="G258" s="45"/>
      <c r="H258" s="45"/>
      <c r="I258" s="45"/>
      <c r="J258" s="45"/>
      <c r="K258" s="45"/>
      <c r="L258" s="45"/>
      <c r="M258" s="45"/>
      <c r="N258" s="2"/>
      <c r="O258" s="2"/>
      <c r="P258" s="2"/>
      <c r="Q258" s="2"/>
      <c r="R258" s="2"/>
      <c r="S258" s="2"/>
      <c r="T258" s="2"/>
      <c r="U258" s="2"/>
      <c r="V258" s="2"/>
      <c r="W258" s="2"/>
      <c r="X258" s="2"/>
      <c r="Y258" s="2"/>
      <c r="Z258" s="2"/>
      <c r="AA258" s="2"/>
    </row>
    <row r="259" spans="1:27" ht="13.15">
      <c r="A259" s="12"/>
      <c r="B259" s="45"/>
      <c r="C259" s="45"/>
      <c r="D259" s="45"/>
      <c r="E259" s="45"/>
      <c r="F259" s="45"/>
      <c r="G259" s="45"/>
      <c r="H259" s="45"/>
      <c r="I259" s="45"/>
      <c r="J259" s="45"/>
      <c r="K259" s="45"/>
      <c r="L259" s="45"/>
      <c r="M259" s="45"/>
      <c r="N259" s="2"/>
      <c r="O259" s="2"/>
      <c r="P259" s="2"/>
      <c r="Q259" s="2"/>
      <c r="R259" s="2"/>
      <c r="S259" s="2"/>
      <c r="T259" s="2"/>
      <c r="U259" s="2"/>
      <c r="V259" s="2"/>
      <c r="W259" s="2"/>
      <c r="X259" s="2"/>
      <c r="Y259" s="2"/>
      <c r="Z259" s="2"/>
      <c r="AA259" s="2"/>
    </row>
    <row r="260" spans="1:27" ht="13.15">
      <c r="A260" s="12"/>
      <c r="B260" s="45"/>
      <c r="C260" s="45"/>
      <c r="D260" s="45"/>
      <c r="E260" s="45"/>
      <c r="F260" s="45"/>
      <c r="G260" s="45"/>
      <c r="H260" s="45"/>
      <c r="I260" s="45"/>
      <c r="J260" s="45"/>
      <c r="K260" s="45"/>
      <c r="L260" s="45"/>
      <c r="M260" s="45"/>
      <c r="N260" s="2"/>
      <c r="O260" s="2"/>
      <c r="P260" s="2"/>
      <c r="Q260" s="2"/>
      <c r="R260" s="2"/>
      <c r="S260" s="2"/>
      <c r="T260" s="2"/>
      <c r="U260" s="2"/>
      <c r="V260" s="2"/>
      <c r="W260" s="2"/>
      <c r="X260" s="2"/>
      <c r="Y260" s="2"/>
      <c r="Z260" s="2"/>
      <c r="AA260" s="2"/>
    </row>
    <row r="261" spans="1:27" ht="13.15">
      <c r="A261" s="12"/>
      <c r="B261" s="45"/>
      <c r="C261" s="45"/>
      <c r="D261" s="45"/>
      <c r="E261" s="45"/>
      <c r="F261" s="45"/>
      <c r="G261" s="45"/>
      <c r="H261" s="45"/>
      <c r="I261" s="45"/>
      <c r="J261" s="45"/>
      <c r="K261" s="45"/>
      <c r="L261" s="45"/>
      <c r="M261" s="45"/>
      <c r="N261" s="2"/>
      <c r="O261" s="2"/>
      <c r="P261" s="2"/>
      <c r="Q261" s="2"/>
      <c r="R261" s="2"/>
      <c r="S261" s="2"/>
      <c r="T261" s="2"/>
      <c r="U261" s="2"/>
      <c r="V261" s="2"/>
      <c r="W261" s="2"/>
      <c r="X261" s="2"/>
      <c r="Y261" s="2"/>
      <c r="Z261" s="2"/>
      <c r="AA261" s="2"/>
    </row>
    <row r="262" spans="1:27" ht="13.15">
      <c r="A262" s="12"/>
      <c r="B262" s="45"/>
      <c r="C262" s="45"/>
      <c r="D262" s="45"/>
      <c r="E262" s="45"/>
      <c r="F262" s="45"/>
      <c r="G262" s="45"/>
      <c r="H262" s="45"/>
      <c r="I262" s="45"/>
      <c r="J262" s="45"/>
      <c r="K262" s="45"/>
      <c r="L262" s="45"/>
      <c r="M262" s="45"/>
      <c r="N262" s="2"/>
      <c r="O262" s="2"/>
      <c r="P262" s="2"/>
      <c r="Q262" s="2"/>
      <c r="R262" s="2"/>
      <c r="S262" s="2"/>
      <c r="T262" s="2"/>
      <c r="U262" s="2"/>
      <c r="V262" s="2"/>
      <c r="W262" s="2"/>
      <c r="X262" s="2"/>
      <c r="Y262" s="2"/>
      <c r="Z262" s="2"/>
      <c r="AA262" s="2"/>
    </row>
    <row r="263" spans="1:27" ht="13.15">
      <c r="A263" s="12"/>
      <c r="B263" s="45"/>
      <c r="C263" s="45"/>
      <c r="D263" s="45"/>
      <c r="E263" s="45"/>
      <c r="F263" s="45"/>
      <c r="G263" s="45"/>
      <c r="H263" s="45"/>
      <c r="I263" s="45"/>
      <c r="J263" s="45"/>
      <c r="K263" s="45"/>
      <c r="L263" s="45"/>
      <c r="M263" s="45"/>
      <c r="N263" s="2"/>
      <c r="O263" s="2"/>
      <c r="P263" s="2"/>
      <c r="Q263" s="2"/>
      <c r="R263" s="2"/>
      <c r="S263" s="2"/>
      <c r="T263" s="2"/>
      <c r="U263" s="2"/>
      <c r="V263" s="2"/>
      <c r="W263" s="2"/>
      <c r="X263" s="2"/>
      <c r="Y263" s="2"/>
      <c r="Z263" s="2"/>
      <c r="AA263" s="2"/>
    </row>
    <row r="264" spans="1:27" ht="13.15">
      <c r="A264" s="12"/>
      <c r="B264" s="45"/>
      <c r="C264" s="45"/>
      <c r="D264" s="45"/>
      <c r="E264" s="45"/>
      <c r="F264" s="45"/>
      <c r="G264" s="45"/>
      <c r="H264" s="45"/>
      <c r="I264" s="45"/>
      <c r="J264" s="45"/>
      <c r="K264" s="45"/>
      <c r="L264" s="45"/>
      <c r="M264" s="45"/>
      <c r="N264" s="2"/>
      <c r="O264" s="2"/>
      <c r="P264" s="2"/>
      <c r="Q264" s="2"/>
      <c r="R264" s="2"/>
      <c r="S264" s="2"/>
      <c r="T264" s="2"/>
      <c r="U264" s="2"/>
      <c r="V264" s="2"/>
      <c r="W264" s="2"/>
      <c r="X264" s="2"/>
      <c r="Y264" s="2"/>
      <c r="Z264" s="2"/>
      <c r="AA264" s="2"/>
    </row>
    <row r="265" spans="1:27" ht="13.15">
      <c r="A265" s="12"/>
      <c r="B265" s="45"/>
      <c r="C265" s="45"/>
      <c r="D265" s="45"/>
      <c r="E265" s="45"/>
      <c r="F265" s="45"/>
      <c r="G265" s="45"/>
      <c r="H265" s="45"/>
      <c r="I265" s="45"/>
      <c r="J265" s="45"/>
      <c r="K265" s="45"/>
      <c r="L265" s="45"/>
      <c r="M265" s="45"/>
      <c r="N265" s="2"/>
      <c r="O265" s="2"/>
      <c r="P265" s="2"/>
      <c r="Q265" s="2"/>
      <c r="R265" s="2"/>
      <c r="S265" s="2"/>
      <c r="T265" s="2"/>
      <c r="U265" s="2"/>
      <c r="V265" s="2"/>
      <c r="W265" s="2"/>
      <c r="X265" s="2"/>
      <c r="Y265" s="2"/>
      <c r="Z265" s="2"/>
      <c r="AA265" s="2"/>
    </row>
    <row r="266" spans="1:27" ht="13.15">
      <c r="A266" s="12"/>
      <c r="B266" s="45"/>
      <c r="C266" s="45"/>
      <c r="D266" s="45"/>
      <c r="E266" s="45"/>
      <c r="F266" s="45"/>
      <c r="G266" s="45"/>
      <c r="H266" s="45"/>
      <c r="I266" s="45"/>
      <c r="J266" s="45"/>
      <c r="K266" s="45"/>
      <c r="L266" s="45"/>
      <c r="M266" s="45"/>
      <c r="N266" s="2"/>
      <c r="O266" s="2"/>
      <c r="P266" s="2"/>
      <c r="Q266" s="2"/>
      <c r="R266" s="2"/>
      <c r="S266" s="2"/>
      <c r="T266" s="2"/>
      <c r="U266" s="2"/>
      <c r="V266" s="2"/>
      <c r="W266" s="2"/>
      <c r="X266" s="2"/>
      <c r="Y266" s="2"/>
      <c r="Z266" s="2"/>
      <c r="AA266" s="2"/>
    </row>
    <row r="267" spans="1:27" ht="13.15">
      <c r="A267" s="12"/>
      <c r="B267" s="45"/>
      <c r="C267" s="45"/>
      <c r="D267" s="45"/>
      <c r="E267" s="45"/>
      <c r="F267" s="45"/>
      <c r="G267" s="45"/>
      <c r="H267" s="45"/>
      <c r="I267" s="45"/>
      <c r="J267" s="45"/>
      <c r="K267" s="45"/>
      <c r="L267" s="45"/>
      <c r="M267" s="45"/>
      <c r="N267" s="2"/>
      <c r="O267" s="2"/>
      <c r="P267" s="2"/>
      <c r="Q267" s="2"/>
      <c r="R267" s="2"/>
      <c r="S267" s="2"/>
      <c r="T267" s="2"/>
      <c r="U267" s="2"/>
      <c r="V267" s="2"/>
      <c r="W267" s="2"/>
      <c r="X267" s="2"/>
      <c r="Y267" s="2"/>
      <c r="Z267" s="2"/>
      <c r="AA267" s="2"/>
    </row>
    <row r="268" spans="1:27" ht="13.15">
      <c r="A268" s="12"/>
      <c r="B268" s="45"/>
      <c r="C268" s="45"/>
      <c r="D268" s="45"/>
      <c r="E268" s="45"/>
      <c r="F268" s="45"/>
      <c r="G268" s="45"/>
      <c r="H268" s="45"/>
      <c r="I268" s="45"/>
      <c r="J268" s="45"/>
      <c r="K268" s="45"/>
      <c r="L268" s="45"/>
      <c r="M268" s="45"/>
      <c r="N268" s="2"/>
      <c r="O268" s="2"/>
      <c r="P268" s="2"/>
      <c r="Q268" s="2"/>
      <c r="R268" s="2"/>
      <c r="S268" s="2"/>
      <c r="T268" s="2"/>
      <c r="U268" s="2"/>
      <c r="V268" s="2"/>
      <c r="W268" s="2"/>
      <c r="X268" s="2"/>
      <c r="Y268" s="2"/>
      <c r="Z268" s="2"/>
      <c r="AA268" s="2"/>
    </row>
    <row r="269" spans="1:27" ht="13.15">
      <c r="A269" s="12"/>
      <c r="B269" s="45"/>
      <c r="C269" s="45"/>
      <c r="D269" s="45"/>
      <c r="E269" s="45"/>
      <c r="F269" s="45"/>
      <c r="G269" s="45"/>
      <c r="H269" s="45"/>
      <c r="I269" s="45"/>
      <c r="J269" s="45"/>
      <c r="K269" s="45"/>
      <c r="L269" s="45"/>
      <c r="M269" s="45"/>
      <c r="N269" s="2"/>
      <c r="O269" s="2"/>
      <c r="P269" s="2"/>
      <c r="Q269" s="2"/>
      <c r="R269" s="2"/>
      <c r="S269" s="2"/>
      <c r="T269" s="2"/>
      <c r="U269" s="2"/>
      <c r="V269" s="2"/>
      <c r="W269" s="2"/>
      <c r="X269" s="2"/>
      <c r="Y269" s="2"/>
      <c r="Z269" s="2"/>
      <c r="AA269" s="2"/>
    </row>
    <row r="270" spans="1:27" ht="13.15">
      <c r="A270" s="12"/>
      <c r="B270" s="45"/>
      <c r="C270" s="45"/>
      <c r="D270" s="45"/>
      <c r="E270" s="45"/>
      <c r="F270" s="45"/>
      <c r="G270" s="45"/>
      <c r="H270" s="45"/>
      <c r="I270" s="45"/>
      <c r="J270" s="45"/>
      <c r="K270" s="45"/>
      <c r="L270" s="45"/>
      <c r="M270" s="45"/>
      <c r="N270" s="2"/>
      <c r="O270" s="2"/>
      <c r="P270" s="2"/>
      <c r="Q270" s="2"/>
      <c r="R270" s="2"/>
      <c r="S270" s="2"/>
      <c r="T270" s="2"/>
      <c r="U270" s="2"/>
      <c r="V270" s="2"/>
      <c r="W270" s="2"/>
      <c r="X270" s="2"/>
      <c r="Y270" s="2"/>
      <c r="Z270" s="2"/>
      <c r="AA270" s="2"/>
    </row>
    <row r="271" spans="1:27" ht="13.15">
      <c r="A271" s="12"/>
      <c r="B271" s="45"/>
      <c r="C271" s="45"/>
      <c r="D271" s="45"/>
      <c r="E271" s="45"/>
      <c r="F271" s="45"/>
      <c r="G271" s="45"/>
      <c r="H271" s="45"/>
      <c r="I271" s="45"/>
      <c r="J271" s="45"/>
      <c r="K271" s="45"/>
      <c r="L271" s="45"/>
      <c r="M271" s="45"/>
      <c r="N271" s="2"/>
      <c r="O271" s="2"/>
      <c r="P271" s="2"/>
      <c r="Q271" s="2"/>
      <c r="R271" s="2"/>
      <c r="S271" s="2"/>
      <c r="T271" s="2"/>
      <c r="U271" s="2"/>
      <c r="V271" s="2"/>
      <c r="W271" s="2"/>
      <c r="X271" s="2"/>
      <c r="Y271" s="2"/>
      <c r="Z271" s="2"/>
      <c r="AA271" s="2"/>
    </row>
    <row r="272" spans="1:27" ht="13.15">
      <c r="A272" s="12"/>
      <c r="B272" s="45"/>
      <c r="C272" s="45"/>
      <c r="D272" s="45"/>
      <c r="E272" s="45"/>
      <c r="F272" s="45"/>
      <c r="G272" s="45"/>
      <c r="H272" s="45"/>
      <c r="I272" s="45"/>
      <c r="J272" s="45"/>
      <c r="K272" s="45"/>
      <c r="L272" s="45"/>
      <c r="M272" s="45"/>
      <c r="N272" s="2"/>
      <c r="O272" s="2"/>
      <c r="P272" s="2"/>
      <c r="Q272" s="2"/>
      <c r="R272" s="2"/>
      <c r="S272" s="2"/>
      <c r="T272" s="2"/>
      <c r="U272" s="2"/>
      <c r="V272" s="2"/>
      <c r="W272" s="2"/>
      <c r="X272" s="2"/>
      <c r="Y272" s="2"/>
      <c r="Z272" s="2"/>
      <c r="AA272" s="2"/>
    </row>
    <row r="273" spans="1:27" ht="13.15">
      <c r="A273" s="12"/>
      <c r="B273" s="45"/>
      <c r="C273" s="45"/>
      <c r="D273" s="45"/>
      <c r="E273" s="45"/>
      <c r="F273" s="45"/>
      <c r="G273" s="45"/>
      <c r="H273" s="45"/>
      <c r="I273" s="45"/>
      <c r="J273" s="45"/>
      <c r="K273" s="45"/>
      <c r="L273" s="45"/>
      <c r="M273" s="45"/>
      <c r="N273" s="2"/>
      <c r="O273" s="2"/>
      <c r="P273" s="2"/>
      <c r="Q273" s="2"/>
      <c r="R273" s="2"/>
      <c r="S273" s="2"/>
      <c r="T273" s="2"/>
      <c r="U273" s="2"/>
      <c r="V273" s="2"/>
      <c r="W273" s="2"/>
      <c r="X273" s="2"/>
      <c r="Y273" s="2"/>
      <c r="Z273" s="2"/>
      <c r="AA273" s="2"/>
    </row>
    <row r="274" spans="1:27" ht="13.15">
      <c r="A274" s="12"/>
      <c r="B274" s="45"/>
      <c r="C274" s="45"/>
      <c r="D274" s="45"/>
      <c r="E274" s="45"/>
      <c r="F274" s="45"/>
      <c r="G274" s="45"/>
      <c r="H274" s="45"/>
      <c r="I274" s="45"/>
      <c r="J274" s="45"/>
      <c r="K274" s="45"/>
      <c r="L274" s="45"/>
      <c r="M274" s="45"/>
      <c r="N274" s="2"/>
      <c r="O274" s="2"/>
      <c r="P274" s="2"/>
      <c r="Q274" s="2"/>
      <c r="R274" s="2"/>
      <c r="S274" s="2"/>
      <c r="T274" s="2"/>
      <c r="U274" s="2"/>
      <c r="V274" s="2"/>
      <c r="W274" s="2"/>
      <c r="X274" s="2"/>
      <c r="Y274" s="2"/>
      <c r="Z274" s="2"/>
      <c r="AA274" s="2"/>
    </row>
    <row r="275" spans="1:27" ht="13.15">
      <c r="A275" s="12"/>
      <c r="B275" s="45"/>
      <c r="C275" s="45"/>
      <c r="D275" s="45"/>
      <c r="E275" s="45"/>
      <c r="F275" s="45"/>
      <c r="G275" s="45"/>
      <c r="H275" s="45"/>
      <c r="I275" s="45"/>
      <c r="J275" s="45"/>
      <c r="K275" s="45"/>
      <c r="L275" s="45"/>
      <c r="M275" s="45"/>
      <c r="N275" s="2"/>
      <c r="O275" s="2"/>
      <c r="P275" s="2"/>
      <c r="Q275" s="2"/>
      <c r="R275" s="2"/>
      <c r="S275" s="2"/>
      <c r="T275" s="2"/>
      <c r="U275" s="2"/>
      <c r="V275" s="2"/>
      <c r="W275" s="2"/>
      <c r="X275" s="2"/>
      <c r="Y275" s="2"/>
      <c r="Z275" s="2"/>
      <c r="AA275" s="2"/>
    </row>
    <row r="276" spans="1:27" ht="13.15">
      <c r="A276" s="12"/>
      <c r="B276" s="45"/>
      <c r="C276" s="45"/>
      <c r="D276" s="45"/>
      <c r="E276" s="45"/>
      <c r="F276" s="45"/>
      <c r="G276" s="45"/>
      <c r="H276" s="45"/>
      <c r="I276" s="45"/>
      <c r="J276" s="45"/>
      <c r="K276" s="45"/>
      <c r="L276" s="45"/>
      <c r="M276" s="45"/>
      <c r="N276" s="2"/>
      <c r="O276" s="2"/>
      <c r="P276" s="2"/>
      <c r="Q276" s="2"/>
      <c r="R276" s="2"/>
      <c r="S276" s="2"/>
      <c r="T276" s="2"/>
      <c r="U276" s="2"/>
      <c r="V276" s="2"/>
      <c r="W276" s="2"/>
      <c r="X276" s="2"/>
      <c r="Y276" s="2"/>
      <c r="Z276" s="2"/>
      <c r="AA276" s="2"/>
    </row>
    <row r="277" spans="1:27" ht="13.15">
      <c r="A277" s="12"/>
      <c r="B277" s="45"/>
      <c r="C277" s="45"/>
      <c r="D277" s="45"/>
      <c r="E277" s="45"/>
      <c r="F277" s="45"/>
      <c r="G277" s="45"/>
      <c r="H277" s="45"/>
      <c r="I277" s="45"/>
      <c r="J277" s="45"/>
      <c r="K277" s="45"/>
      <c r="L277" s="45"/>
      <c r="M277" s="45"/>
      <c r="N277" s="2"/>
      <c r="O277" s="2"/>
      <c r="P277" s="2"/>
      <c r="Q277" s="2"/>
      <c r="R277" s="2"/>
      <c r="S277" s="2"/>
      <c r="T277" s="2"/>
      <c r="U277" s="2"/>
      <c r="V277" s="2"/>
      <c r="W277" s="2"/>
      <c r="X277" s="2"/>
      <c r="Y277" s="2"/>
      <c r="Z277" s="2"/>
      <c r="AA277" s="2"/>
    </row>
    <row r="278" spans="1:27" ht="13.15">
      <c r="A278" s="12"/>
      <c r="B278" s="45"/>
      <c r="C278" s="45"/>
      <c r="D278" s="45"/>
      <c r="E278" s="45"/>
      <c r="F278" s="45"/>
      <c r="G278" s="45"/>
      <c r="H278" s="45"/>
      <c r="I278" s="45"/>
      <c r="J278" s="45"/>
      <c r="K278" s="45"/>
      <c r="L278" s="45"/>
      <c r="M278" s="45"/>
      <c r="N278" s="2"/>
      <c r="O278" s="2"/>
      <c r="P278" s="2"/>
      <c r="Q278" s="2"/>
      <c r="R278" s="2"/>
      <c r="S278" s="2"/>
      <c r="T278" s="2"/>
      <c r="U278" s="2"/>
      <c r="V278" s="2"/>
      <c r="W278" s="2"/>
      <c r="X278" s="2"/>
      <c r="Y278" s="2"/>
      <c r="Z278" s="2"/>
      <c r="AA278" s="2"/>
    </row>
    <row r="279" spans="1:27" ht="13.15">
      <c r="A279" s="12"/>
      <c r="B279" s="45"/>
      <c r="C279" s="45"/>
      <c r="D279" s="45"/>
      <c r="E279" s="45"/>
      <c r="F279" s="45"/>
      <c r="G279" s="45"/>
      <c r="H279" s="45"/>
      <c r="I279" s="45"/>
      <c r="J279" s="45"/>
      <c r="K279" s="45"/>
      <c r="L279" s="45"/>
      <c r="M279" s="45"/>
      <c r="N279" s="2"/>
      <c r="O279" s="2"/>
      <c r="P279" s="2"/>
      <c r="Q279" s="2"/>
      <c r="R279" s="2"/>
      <c r="S279" s="2"/>
      <c r="T279" s="2"/>
      <c r="U279" s="2"/>
      <c r="V279" s="2"/>
      <c r="W279" s="2"/>
      <c r="X279" s="2"/>
      <c r="Y279" s="2"/>
      <c r="Z279" s="2"/>
      <c r="AA279" s="2"/>
    </row>
    <row r="280" spans="1:27" ht="13.15">
      <c r="A280" s="12"/>
      <c r="B280" s="45"/>
      <c r="C280" s="45"/>
      <c r="D280" s="45"/>
      <c r="E280" s="45"/>
      <c r="F280" s="45"/>
      <c r="G280" s="45"/>
      <c r="H280" s="45"/>
      <c r="I280" s="45"/>
      <c r="J280" s="45"/>
      <c r="K280" s="45"/>
      <c r="L280" s="45"/>
      <c r="M280" s="45"/>
      <c r="N280" s="2"/>
      <c r="O280" s="2"/>
      <c r="P280" s="2"/>
      <c r="Q280" s="2"/>
      <c r="R280" s="2"/>
      <c r="S280" s="2"/>
      <c r="T280" s="2"/>
      <c r="U280" s="2"/>
      <c r="V280" s="2"/>
      <c r="W280" s="2"/>
      <c r="X280" s="2"/>
      <c r="Y280" s="2"/>
      <c r="Z280" s="2"/>
      <c r="AA280" s="2"/>
    </row>
    <row r="281" spans="1:27" ht="13.15">
      <c r="A281" s="12"/>
      <c r="B281" s="45"/>
      <c r="C281" s="45"/>
      <c r="D281" s="45"/>
      <c r="E281" s="45"/>
      <c r="F281" s="45"/>
      <c r="G281" s="45"/>
      <c r="H281" s="45"/>
      <c r="I281" s="45"/>
      <c r="J281" s="45"/>
      <c r="K281" s="45"/>
      <c r="L281" s="45"/>
      <c r="M281" s="45"/>
      <c r="N281" s="2"/>
      <c r="O281" s="2"/>
      <c r="P281" s="2"/>
      <c r="Q281" s="2"/>
      <c r="R281" s="2"/>
      <c r="S281" s="2"/>
      <c r="T281" s="2"/>
      <c r="U281" s="2"/>
      <c r="V281" s="2"/>
      <c r="W281" s="2"/>
      <c r="X281" s="2"/>
      <c r="Y281" s="2"/>
      <c r="Z281" s="2"/>
      <c r="AA281" s="2"/>
    </row>
    <row r="282" spans="1:27" ht="13.15">
      <c r="A282" s="12"/>
      <c r="B282" s="45"/>
      <c r="C282" s="45"/>
      <c r="D282" s="45"/>
      <c r="E282" s="45"/>
      <c r="F282" s="45"/>
      <c r="G282" s="45"/>
      <c r="H282" s="45"/>
      <c r="I282" s="45"/>
      <c r="J282" s="45"/>
      <c r="K282" s="45"/>
      <c r="L282" s="45"/>
      <c r="M282" s="45"/>
      <c r="N282" s="2"/>
      <c r="O282" s="2"/>
      <c r="P282" s="2"/>
      <c r="Q282" s="2"/>
      <c r="R282" s="2"/>
      <c r="S282" s="2"/>
      <c r="T282" s="2"/>
      <c r="U282" s="2"/>
      <c r="V282" s="2"/>
      <c r="W282" s="2"/>
      <c r="X282" s="2"/>
      <c r="Y282" s="2"/>
      <c r="Z282" s="2"/>
      <c r="AA282" s="2"/>
    </row>
    <row r="283" spans="1:27" ht="13.15">
      <c r="A283" s="12"/>
      <c r="B283" s="45"/>
      <c r="C283" s="45"/>
      <c r="D283" s="45"/>
      <c r="E283" s="45"/>
      <c r="F283" s="45"/>
      <c r="G283" s="45"/>
      <c r="H283" s="45"/>
      <c r="I283" s="45"/>
      <c r="J283" s="45"/>
      <c r="K283" s="45"/>
      <c r="L283" s="45"/>
      <c r="M283" s="45"/>
      <c r="N283" s="2"/>
      <c r="O283" s="2"/>
      <c r="P283" s="2"/>
      <c r="Q283" s="2"/>
      <c r="R283" s="2"/>
      <c r="S283" s="2"/>
      <c r="T283" s="2"/>
      <c r="U283" s="2"/>
      <c r="V283" s="2"/>
      <c r="W283" s="2"/>
      <c r="X283" s="2"/>
      <c r="Y283" s="2"/>
      <c r="Z283" s="2"/>
      <c r="AA283" s="2"/>
    </row>
    <row r="284" spans="1:27" ht="13.15">
      <c r="A284" s="12"/>
      <c r="B284" s="45"/>
      <c r="C284" s="45"/>
      <c r="D284" s="45"/>
      <c r="E284" s="45"/>
      <c r="F284" s="45"/>
      <c r="G284" s="45"/>
      <c r="H284" s="45"/>
      <c r="I284" s="45"/>
      <c r="J284" s="45"/>
      <c r="K284" s="45"/>
      <c r="L284" s="45"/>
      <c r="M284" s="45"/>
      <c r="N284" s="2"/>
      <c r="O284" s="2"/>
      <c r="P284" s="2"/>
      <c r="Q284" s="2"/>
      <c r="R284" s="2"/>
      <c r="S284" s="2"/>
      <c r="T284" s="2"/>
      <c r="U284" s="2"/>
      <c r="V284" s="2"/>
      <c r="W284" s="2"/>
      <c r="X284" s="2"/>
      <c r="Y284" s="2"/>
      <c r="Z284" s="2"/>
      <c r="AA284" s="2"/>
    </row>
    <row r="285" spans="1:27" ht="13.15">
      <c r="A285" s="12"/>
      <c r="B285" s="45"/>
      <c r="C285" s="45"/>
      <c r="D285" s="45"/>
      <c r="E285" s="45"/>
      <c r="F285" s="45"/>
      <c r="G285" s="45"/>
      <c r="H285" s="45"/>
      <c r="I285" s="45"/>
      <c r="J285" s="45"/>
      <c r="K285" s="45"/>
      <c r="L285" s="45"/>
      <c r="M285" s="45"/>
      <c r="N285" s="2"/>
      <c r="O285" s="2"/>
      <c r="P285" s="2"/>
      <c r="Q285" s="2"/>
      <c r="R285" s="2"/>
      <c r="S285" s="2"/>
      <c r="T285" s="2"/>
      <c r="U285" s="2"/>
      <c r="V285" s="2"/>
      <c r="W285" s="2"/>
      <c r="X285" s="2"/>
      <c r="Y285" s="2"/>
      <c r="Z285" s="2"/>
      <c r="AA285" s="2"/>
    </row>
    <row r="286" spans="1:27" ht="13.15">
      <c r="A286" s="12"/>
      <c r="B286" s="45"/>
      <c r="C286" s="45"/>
      <c r="D286" s="45"/>
      <c r="E286" s="45"/>
      <c r="F286" s="45"/>
      <c r="G286" s="45"/>
      <c r="H286" s="45"/>
      <c r="I286" s="45"/>
      <c r="J286" s="45"/>
      <c r="K286" s="45"/>
      <c r="L286" s="45"/>
      <c r="M286" s="45"/>
      <c r="N286" s="2"/>
      <c r="O286" s="2"/>
      <c r="P286" s="2"/>
      <c r="Q286" s="2"/>
      <c r="R286" s="2"/>
      <c r="S286" s="2"/>
      <c r="T286" s="2"/>
      <c r="U286" s="2"/>
      <c r="V286" s="2"/>
      <c r="W286" s="2"/>
      <c r="X286" s="2"/>
      <c r="Y286" s="2"/>
      <c r="Z286" s="2"/>
      <c r="AA286" s="2"/>
    </row>
    <row r="287" spans="1:27" ht="13.15">
      <c r="A287" s="12"/>
      <c r="B287" s="45"/>
      <c r="C287" s="45"/>
      <c r="D287" s="45"/>
      <c r="E287" s="45"/>
      <c r="F287" s="45"/>
      <c r="G287" s="45"/>
      <c r="H287" s="45"/>
      <c r="I287" s="45"/>
      <c r="J287" s="45"/>
      <c r="K287" s="45"/>
      <c r="L287" s="45"/>
      <c r="M287" s="45"/>
      <c r="N287" s="2"/>
      <c r="O287" s="2"/>
      <c r="P287" s="2"/>
      <c r="Q287" s="2"/>
      <c r="R287" s="2"/>
      <c r="S287" s="2"/>
      <c r="T287" s="2"/>
      <c r="U287" s="2"/>
      <c r="V287" s="2"/>
      <c r="W287" s="2"/>
      <c r="X287" s="2"/>
      <c r="Y287" s="2"/>
      <c r="Z287" s="2"/>
      <c r="AA287" s="2"/>
    </row>
    <row r="288" spans="1:27" ht="13.15">
      <c r="A288" s="12"/>
      <c r="B288" s="45"/>
      <c r="C288" s="45"/>
      <c r="D288" s="45"/>
      <c r="E288" s="45"/>
      <c r="F288" s="45"/>
      <c r="G288" s="45"/>
      <c r="H288" s="45"/>
      <c r="I288" s="45"/>
      <c r="J288" s="45"/>
      <c r="K288" s="45"/>
      <c r="L288" s="45"/>
      <c r="M288" s="45"/>
      <c r="N288" s="2"/>
      <c r="O288" s="2"/>
      <c r="P288" s="2"/>
      <c r="Q288" s="2"/>
      <c r="R288" s="2"/>
      <c r="S288" s="2"/>
      <c r="T288" s="2"/>
      <c r="U288" s="2"/>
      <c r="V288" s="2"/>
      <c r="W288" s="2"/>
      <c r="X288" s="2"/>
      <c r="Y288" s="2"/>
      <c r="Z288" s="2"/>
      <c r="AA288" s="2"/>
    </row>
    <row r="289" spans="1:27" ht="13.15">
      <c r="A289" s="12"/>
      <c r="B289" s="45"/>
      <c r="C289" s="45"/>
      <c r="D289" s="45"/>
      <c r="E289" s="45"/>
      <c r="F289" s="45"/>
      <c r="G289" s="45"/>
      <c r="H289" s="45"/>
      <c r="I289" s="45"/>
      <c r="J289" s="45"/>
      <c r="K289" s="45"/>
      <c r="L289" s="45"/>
      <c r="M289" s="45"/>
      <c r="N289" s="2"/>
      <c r="O289" s="2"/>
      <c r="P289" s="2"/>
      <c r="Q289" s="2"/>
      <c r="R289" s="2"/>
      <c r="S289" s="2"/>
      <c r="T289" s="2"/>
      <c r="U289" s="2"/>
      <c r="V289" s="2"/>
      <c r="W289" s="2"/>
      <c r="X289" s="2"/>
      <c r="Y289" s="2"/>
      <c r="Z289" s="2"/>
      <c r="AA289" s="2"/>
    </row>
    <row r="290" spans="1:27" ht="13.15">
      <c r="A290" s="12"/>
      <c r="B290" s="45"/>
      <c r="C290" s="45"/>
      <c r="D290" s="45"/>
      <c r="E290" s="45"/>
      <c r="F290" s="45"/>
      <c r="G290" s="45"/>
      <c r="H290" s="45"/>
      <c r="I290" s="45"/>
      <c r="J290" s="45"/>
      <c r="K290" s="45"/>
      <c r="L290" s="45"/>
      <c r="M290" s="45"/>
      <c r="N290" s="2"/>
      <c r="O290" s="2"/>
      <c r="P290" s="2"/>
      <c r="Q290" s="2"/>
      <c r="R290" s="2"/>
      <c r="S290" s="2"/>
      <c r="T290" s="2"/>
      <c r="U290" s="2"/>
      <c r="V290" s="2"/>
      <c r="W290" s="2"/>
      <c r="X290" s="2"/>
      <c r="Y290" s="2"/>
      <c r="Z290" s="2"/>
      <c r="AA290" s="2"/>
    </row>
    <row r="291" spans="1:27" ht="13.15">
      <c r="A291" s="12"/>
      <c r="B291" s="45"/>
      <c r="C291" s="45"/>
      <c r="D291" s="45"/>
      <c r="E291" s="45"/>
      <c r="F291" s="45"/>
      <c r="G291" s="45"/>
      <c r="H291" s="45"/>
      <c r="I291" s="45"/>
      <c r="J291" s="45"/>
      <c r="K291" s="45"/>
      <c r="L291" s="45"/>
      <c r="M291" s="45"/>
      <c r="N291" s="2"/>
      <c r="O291" s="2"/>
      <c r="P291" s="2"/>
      <c r="Q291" s="2"/>
      <c r="R291" s="2"/>
      <c r="S291" s="2"/>
      <c r="T291" s="2"/>
      <c r="U291" s="2"/>
      <c r="V291" s="2"/>
      <c r="W291" s="2"/>
      <c r="X291" s="2"/>
      <c r="Y291" s="2"/>
      <c r="Z291" s="2"/>
      <c r="AA291" s="2"/>
    </row>
    <row r="292" spans="1:27" ht="13.15">
      <c r="A292" s="12"/>
      <c r="B292" s="45"/>
      <c r="C292" s="45"/>
      <c r="D292" s="45"/>
      <c r="E292" s="45"/>
      <c r="F292" s="45"/>
      <c r="G292" s="45"/>
      <c r="H292" s="45"/>
      <c r="I292" s="45"/>
      <c r="J292" s="45"/>
      <c r="K292" s="45"/>
      <c r="L292" s="45"/>
      <c r="M292" s="45"/>
      <c r="N292" s="2"/>
      <c r="O292" s="2"/>
      <c r="P292" s="2"/>
      <c r="Q292" s="2"/>
      <c r="R292" s="2"/>
      <c r="S292" s="2"/>
      <c r="T292" s="2"/>
      <c r="U292" s="2"/>
      <c r="V292" s="2"/>
      <c r="W292" s="2"/>
      <c r="X292" s="2"/>
      <c r="Y292" s="2"/>
      <c r="Z292" s="2"/>
      <c r="AA292" s="2"/>
    </row>
    <row r="293" spans="1:27" ht="13.15">
      <c r="A293" s="12"/>
      <c r="B293" s="45"/>
      <c r="C293" s="45"/>
      <c r="D293" s="45"/>
      <c r="E293" s="45"/>
      <c r="F293" s="45"/>
      <c r="G293" s="45"/>
      <c r="H293" s="45"/>
      <c r="I293" s="45"/>
      <c r="J293" s="45"/>
      <c r="K293" s="45"/>
      <c r="L293" s="45"/>
      <c r="M293" s="45"/>
      <c r="N293" s="2"/>
      <c r="O293" s="2"/>
      <c r="P293" s="2"/>
      <c r="Q293" s="2"/>
      <c r="R293" s="2"/>
      <c r="S293" s="2"/>
      <c r="T293" s="2"/>
      <c r="U293" s="2"/>
      <c r="V293" s="2"/>
      <c r="W293" s="2"/>
      <c r="X293" s="2"/>
      <c r="Y293" s="2"/>
      <c r="Z293" s="2"/>
      <c r="AA293" s="2"/>
    </row>
    <row r="294" spans="1:27" ht="13.15">
      <c r="A294" s="12"/>
      <c r="B294" s="45"/>
      <c r="C294" s="45"/>
      <c r="D294" s="45"/>
      <c r="E294" s="45"/>
      <c r="F294" s="45"/>
      <c r="G294" s="45"/>
      <c r="H294" s="45"/>
      <c r="I294" s="45"/>
      <c r="J294" s="45"/>
      <c r="K294" s="45"/>
      <c r="L294" s="45"/>
      <c r="M294" s="45"/>
      <c r="N294" s="2"/>
      <c r="O294" s="2"/>
      <c r="P294" s="2"/>
      <c r="Q294" s="2"/>
      <c r="R294" s="2"/>
      <c r="S294" s="2"/>
      <c r="T294" s="2"/>
      <c r="U294" s="2"/>
      <c r="V294" s="2"/>
      <c r="W294" s="2"/>
      <c r="X294" s="2"/>
      <c r="Y294" s="2"/>
      <c r="Z294" s="2"/>
      <c r="AA294" s="2"/>
    </row>
    <row r="295" spans="1:27" ht="13.15">
      <c r="A295" s="12"/>
      <c r="B295" s="45"/>
      <c r="C295" s="45"/>
      <c r="D295" s="45"/>
      <c r="E295" s="45"/>
      <c r="F295" s="45"/>
      <c r="G295" s="45"/>
      <c r="H295" s="45"/>
      <c r="I295" s="45"/>
      <c r="J295" s="45"/>
      <c r="K295" s="45"/>
      <c r="L295" s="45"/>
      <c r="M295" s="45"/>
      <c r="N295" s="2"/>
      <c r="O295" s="2"/>
      <c r="P295" s="2"/>
      <c r="Q295" s="2"/>
      <c r="R295" s="2"/>
      <c r="S295" s="2"/>
      <c r="T295" s="2"/>
      <c r="U295" s="2"/>
      <c r="V295" s="2"/>
      <c r="W295" s="2"/>
      <c r="X295" s="2"/>
      <c r="Y295" s="2"/>
      <c r="Z295" s="2"/>
      <c r="AA295" s="2"/>
    </row>
    <row r="296" spans="1:27" ht="13.15">
      <c r="A296" s="12"/>
      <c r="B296" s="45"/>
      <c r="C296" s="45"/>
      <c r="D296" s="45"/>
      <c r="E296" s="45"/>
      <c r="F296" s="45"/>
      <c r="G296" s="45"/>
      <c r="H296" s="45"/>
      <c r="I296" s="45"/>
      <c r="J296" s="45"/>
      <c r="K296" s="45"/>
      <c r="L296" s="45"/>
      <c r="M296" s="45"/>
      <c r="N296" s="2"/>
      <c r="O296" s="2"/>
      <c r="P296" s="2"/>
      <c r="Q296" s="2"/>
      <c r="R296" s="2"/>
      <c r="S296" s="2"/>
      <c r="T296" s="2"/>
      <c r="U296" s="2"/>
      <c r="V296" s="2"/>
      <c r="W296" s="2"/>
      <c r="X296" s="2"/>
      <c r="Y296" s="2"/>
      <c r="Z296" s="2"/>
      <c r="AA296" s="2"/>
    </row>
    <row r="297" spans="1:27" ht="13.15">
      <c r="A297" s="12"/>
      <c r="B297" s="45"/>
      <c r="C297" s="45"/>
      <c r="D297" s="45"/>
      <c r="E297" s="45"/>
      <c r="F297" s="45"/>
      <c r="G297" s="45"/>
      <c r="H297" s="45"/>
      <c r="I297" s="45"/>
      <c r="J297" s="45"/>
      <c r="K297" s="45"/>
      <c r="L297" s="45"/>
      <c r="M297" s="45"/>
      <c r="N297" s="2"/>
      <c r="O297" s="2"/>
      <c r="P297" s="2"/>
      <c r="Q297" s="2"/>
      <c r="R297" s="2"/>
      <c r="S297" s="2"/>
      <c r="T297" s="2"/>
      <c r="U297" s="2"/>
      <c r="V297" s="2"/>
      <c r="W297" s="2"/>
      <c r="X297" s="2"/>
      <c r="Y297" s="2"/>
      <c r="Z297" s="2"/>
      <c r="AA297" s="2"/>
    </row>
    <row r="298" spans="1:27" ht="13.15">
      <c r="A298" s="12"/>
      <c r="B298" s="45"/>
      <c r="C298" s="45"/>
      <c r="D298" s="45"/>
      <c r="E298" s="45"/>
      <c r="F298" s="45"/>
      <c r="G298" s="45"/>
      <c r="H298" s="45"/>
      <c r="I298" s="45"/>
      <c r="J298" s="45"/>
      <c r="K298" s="45"/>
      <c r="L298" s="45"/>
      <c r="M298" s="45"/>
      <c r="N298" s="2"/>
      <c r="O298" s="2"/>
      <c r="P298" s="2"/>
      <c r="Q298" s="2"/>
      <c r="R298" s="2"/>
      <c r="S298" s="2"/>
      <c r="T298" s="2"/>
      <c r="U298" s="2"/>
      <c r="V298" s="2"/>
      <c r="W298" s="2"/>
      <c r="X298" s="2"/>
      <c r="Y298" s="2"/>
      <c r="Z298" s="2"/>
      <c r="AA298" s="2"/>
    </row>
    <row r="299" spans="1:27" ht="13.15">
      <c r="A299" s="12"/>
      <c r="B299" s="45"/>
      <c r="C299" s="45"/>
      <c r="D299" s="45"/>
      <c r="E299" s="45"/>
      <c r="F299" s="45"/>
      <c r="G299" s="45"/>
      <c r="H299" s="45"/>
      <c r="I299" s="45"/>
      <c r="J299" s="45"/>
      <c r="K299" s="45"/>
      <c r="L299" s="45"/>
      <c r="M299" s="45"/>
      <c r="N299" s="2"/>
      <c r="O299" s="2"/>
      <c r="P299" s="2"/>
      <c r="Q299" s="2"/>
      <c r="R299" s="2"/>
      <c r="S299" s="2"/>
      <c r="T299" s="2"/>
      <c r="U299" s="2"/>
      <c r="V299" s="2"/>
      <c r="W299" s="2"/>
      <c r="X299" s="2"/>
      <c r="Y299" s="2"/>
      <c r="Z299" s="2"/>
      <c r="AA299" s="2"/>
    </row>
    <row r="300" spans="1:27" ht="13.15">
      <c r="A300" s="12"/>
      <c r="B300" s="45"/>
      <c r="C300" s="45"/>
      <c r="D300" s="45"/>
      <c r="E300" s="45"/>
      <c r="F300" s="45"/>
      <c r="G300" s="45"/>
      <c r="H300" s="45"/>
      <c r="I300" s="45"/>
      <c r="J300" s="45"/>
      <c r="K300" s="45"/>
      <c r="L300" s="45"/>
      <c r="M300" s="45"/>
      <c r="N300" s="2"/>
      <c r="O300" s="2"/>
      <c r="P300" s="2"/>
      <c r="Q300" s="2"/>
      <c r="R300" s="2"/>
      <c r="S300" s="2"/>
      <c r="T300" s="2"/>
      <c r="U300" s="2"/>
      <c r="V300" s="2"/>
      <c r="W300" s="2"/>
      <c r="X300" s="2"/>
      <c r="Y300" s="2"/>
      <c r="Z300" s="2"/>
      <c r="AA300" s="2"/>
    </row>
    <row r="301" spans="1:27" ht="13.15">
      <c r="A301" s="12"/>
      <c r="B301" s="45"/>
      <c r="C301" s="45"/>
      <c r="D301" s="45"/>
      <c r="E301" s="45"/>
      <c r="F301" s="45"/>
      <c r="G301" s="45"/>
      <c r="H301" s="45"/>
      <c r="I301" s="45"/>
      <c r="J301" s="45"/>
      <c r="K301" s="45"/>
      <c r="L301" s="45"/>
      <c r="M301" s="45"/>
      <c r="N301" s="2"/>
      <c r="O301" s="2"/>
      <c r="P301" s="2"/>
      <c r="Q301" s="2"/>
      <c r="R301" s="2"/>
      <c r="S301" s="2"/>
      <c r="T301" s="2"/>
      <c r="U301" s="2"/>
      <c r="V301" s="2"/>
      <c r="W301" s="2"/>
      <c r="X301" s="2"/>
      <c r="Y301" s="2"/>
      <c r="Z301" s="2"/>
      <c r="AA301" s="2"/>
    </row>
    <row r="302" spans="1:27" ht="13.15">
      <c r="A302" s="12"/>
      <c r="B302" s="45"/>
      <c r="C302" s="45"/>
      <c r="D302" s="45"/>
      <c r="E302" s="45"/>
      <c r="F302" s="45"/>
      <c r="G302" s="45"/>
      <c r="H302" s="45"/>
      <c r="I302" s="45"/>
      <c r="J302" s="45"/>
      <c r="K302" s="45"/>
      <c r="L302" s="45"/>
      <c r="M302" s="45"/>
      <c r="N302" s="2"/>
      <c r="O302" s="2"/>
      <c r="P302" s="2"/>
      <c r="Q302" s="2"/>
      <c r="R302" s="2"/>
      <c r="S302" s="2"/>
      <c r="T302" s="2"/>
      <c r="U302" s="2"/>
      <c r="V302" s="2"/>
      <c r="W302" s="2"/>
      <c r="X302" s="2"/>
      <c r="Y302" s="2"/>
      <c r="Z302" s="2"/>
      <c r="AA302" s="2"/>
    </row>
    <row r="303" spans="1:27" ht="13.15">
      <c r="A303" s="12"/>
      <c r="B303" s="45"/>
      <c r="C303" s="45"/>
      <c r="D303" s="45"/>
      <c r="E303" s="45"/>
      <c r="F303" s="45"/>
      <c r="G303" s="45"/>
      <c r="H303" s="45"/>
      <c r="I303" s="45"/>
      <c r="J303" s="45"/>
      <c r="K303" s="45"/>
      <c r="L303" s="45"/>
      <c r="M303" s="45"/>
      <c r="N303" s="2"/>
      <c r="O303" s="2"/>
      <c r="P303" s="2"/>
      <c r="Q303" s="2"/>
      <c r="R303" s="2"/>
      <c r="S303" s="2"/>
      <c r="T303" s="2"/>
      <c r="U303" s="2"/>
      <c r="V303" s="2"/>
      <c r="W303" s="2"/>
      <c r="X303" s="2"/>
      <c r="Y303" s="2"/>
      <c r="Z303" s="2"/>
      <c r="AA303" s="2"/>
    </row>
    <row r="304" spans="1:27" ht="13.15">
      <c r="A304" s="12"/>
      <c r="B304" s="45"/>
      <c r="C304" s="45"/>
      <c r="D304" s="45"/>
      <c r="E304" s="45"/>
      <c r="F304" s="45"/>
      <c r="G304" s="45"/>
      <c r="H304" s="45"/>
      <c r="I304" s="45"/>
      <c r="J304" s="45"/>
      <c r="K304" s="45"/>
      <c r="L304" s="45"/>
      <c r="M304" s="45"/>
      <c r="N304" s="2"/>
      <c r="O304" s="2"/>
      <c r="P304" s="2"/>
      <c r="Q304" s="2"/>
      <c r="R304" s="2"/>
      <c r="S304" s="2"/>
      <c r="T304" s="2"/>
      <c r="U304" s="2"/>
      <c r="V304" s="2"/>
      <c r="W304" s="2"/>
      <c r="X304" s="2"/>
      <c r="Y304" s="2"/>
      <c r="Z304" s="2"/>
      <c r="AA304" s="2"/>
    </row>
    <row r="305" spans="1:27" ht="13.15">
      <c r="A305" s="12"/>
      <c r="B305" s="45"/>
      <c r="C305" s="45"/>
      <c r="D305" s="45"/>
      <c r="E305" s="45"/>
      <c r="F305" s="45"/>
      <c r="G305" s="45"/>
      <c r="H305" s="45"/>
      <c r="I305" s="45"/>
      <c r="J305" s="45"/>
      <c r="K305" s="45"/>
      <c r="L305" s="45"/>
      <c r="M305" s="45"/>
      <c r="N305" s="2"/>
      <c r="O305" s="2"/>
      <c r="P305" s="2"/>
      <c r="Q305" s="2"/>
      <c r="R305" s="2"/>
      <c r="S305" s="2"/>
      <c r="T305" s="2"/>
      <c r="U305" s="2"/>
      <c r="V305" s="2"/>
      <c r="W305" s="2"/>
      <c r="X305" s="2"/>
      <c r="Y305" s="2"/>
      <c r="Z305" s="2"/>
      <c r="AA305" s="2"/>
    </row>
    <row r="306" spans="1:27" ht="13.15">
      <c r="A306" s="12"/>
      <c r="B306" s="45"/>
      <c r="C306" s="45"/>
      <c r="D306" s="45"/>
      <c r="E306" s="45"/>
      <c r="F306" s="45"/>
      <c r="G306" s="45"/>
      <c r="H306" s="45"/>
      <c r="I306" s="45"/>
      <c r="J306" s="45"/>
      <c r="K306" s="45"/>
      <c r="L306" s="45"/>
      <c r="M306" s="45"/>
      <c r="N306" s="2"/>
      <c r="O306" s="2"/>
      <c r="P306" s="2"/>
      <c r="Q306" s="2"/>
      <c r="R306" s="2"/>
      <c r="S306" s="2"/>
      <c r="T306" s="2"/>
      <c r="U306" s="2"/>
      <c r="V306" s="2"/>
      <c r="W306" s="2"/>
      <c r="X306" s="2"/>
      <c r="Y306" s="2"/>
      <c r="Z306" s="2"/>
      <c r="AA306" s="2"/>
    </row>
    <row r="307" spans="1:27" ht="13.15">
      <c r="A307" s="12"/>
      <c r="B307" s="45"/>
      <c r="C307" s="45"/>
      <c r="D307" s="45"/>
      <c r="E307" s="45"/>
      <c r="F307" s="45"/>
      <c r="G307" s="45"/>
      <c r="H307" s="45"/>
      <c r="I307" s="45"/>
      <c r="J307" s="45"/>
      <c r="K307" s="45"/>
      <c r="L307" s="45"/>
      <c r="M307" s="45"/>
      <c r="N307" s="2"/>
      <c r="O307" s="2"/>
      <c r="P307" s="2"/>
      <c r="Q307" s="2"/>
      <c r="R307" s="2"/>
      <c r="S307" s="2"/>
      <c r="T307" s="2"/>
      <c r="U307" s="2"/>
      <c r="V307" s="2"/>
      <c r="W307" s="2"/>
      <c r="X307" s="2"/>
      <c r="Y307" s="2"/>
      <c r="Z307" s="2"/>
      <c r="AA307" s="2"/>
    </row>
    <row r="308" spans="1:27" ht="13.15">
      <c r="A308" s="12"/>
      <c r="B308" s="45"/>
      <c r="C308" s="45"/>
      <c r="D308" s="45"/>
      <c r="E308" s="45"/>
      <c r="F308" s="45"/>
      <c r="G308" s="45"/>
      <c r="H308" s="45"/>
      <c r="I308" s="45"/>
      <c r="J308" s="45"/>
      <c r="K308" s="45"/>
      <c r="L308" s="45"/>
      <c r="M308" s="45"/>
      <c r="N308" s="2"/>
      <c r="O308" s="2"/>
      <c r="P308" s="2"/>
      <c r="Q308" s="2"/>
      <c r="R308" s="2"/>
      <c r="S308" s="2"/>
      <c r="T308" s="2"/>
      <c r="U308" s="2"/>
      <c r="V308" s="2"/>
      <c r="W308" s="2"/>
      <c r="X308" s="2"/>
      <c r="Y308" s="2"/>
      <c r="Z308" s="2"/>
      <c r="AA308" s="2"/>
    </row>
    <row r="309" spans="1:27" ht="13.15">
      <c r="A309" s="12"/>
      <c r="B309" s="45"/>
      <c r="C309" s="45"/>
      <c r="D309" s="45"/>
      <c r="E309" s="45"/>
      <c r="F309" s="45"/>
      <c r="G309" s="45"/>
      <c r="H309" s="45"/>
      <c r="I309" s="45"/>
      <c r="J309" s="45"/>
      <c r="K309" s="45"/>
      <c r="L309" s="45"/>
      <c r="M309" s="45"/>
      <c r="N309" s="2"/>
      <c r="O309" s="2"/>
      <c r="P309" s="2"/>
      <c r="Q309" s="2"/>
      <c r="R309" s="2"/>
      <c r="S309" s="2"/>
      <c r="T309" s="2"/>
      <c r="U309" s="2"/>
      <c r="V309" s="2"/>
      <c r="W309" s="2"/>
      <c r="X309" s="2"/>
      <c r="Y309" s="2"/>
      <c r="Z309" s="2"/>
      <c r="AA309" s="2"/>
    </row>
    <row r="310" spans="1:27" ht="13.15">
      <c r="A310" s="12"/>
      <c r="B310" s="45"/>
      <c r="C310" s="45"/>
      <c r="D310" s="45"/>
      <c r="E310" s="45"/>
      <c r="F310" s="45"/>
      <c r="G310" s="45"/>
      <c r="H310" s="45"/>
      <c r="I310" s="45"/>
      <c r="J310" s="45"/>
      <c r="K310" s="45"/>
      <c r="L310" s="45"/>
      <c r="M310" s="45"/>
      <c r="N310" s="2"/>
      <c r="O310" s="2"/>
      <c r="P310" s="2"/>
      <c r="Q310" s="2"/>
      <c r="R310" s="2"/>
      <c r="S310" s="2"/>
      <c r="T310" s="2"/>
      <c r="U310" s="2"/>
      <c r="V310" s="2"/>
      <c r="W310" s="2"/>
      <c r="X310" s="2"/>
      <c r="Y310" s="2"/>
      <c r="Z310" s="2"/>
      <c r="AA310" s="2"/>
    </row>
    <row r="311" spans="1:27" ht="13.15">
      <c r="A311" s="12"/>
      <c r="B311" s="45"/>
      <c r="C311" s="45"/>
      <c r="D311" s="45"/>
      <c r="E311" s="45"/>
      <c r="F311" s="45"/>
      <c r="G311" s="45"/>
      <c r="H311" s="45"/>
      <c r="I311" s="45"/>
      <c r="J311" s="45"/>
      <c r="K311" s="45"/>
      <c r="L311" s="45"/>
      <c r="M311" s="45"/>
      <c r="N311" s="2"/>
      <c r="O311" s="2"/>
      <c r="P311" s="2"/>
      <c r="Q311" s="2"/>
      <c r="R311" s="2"/>
      <c r="S311" s="2"/>
      <c r="T311" s="2"/>
      <c r="U311" s="2"/>
      <c r="V311" s="2"/>
      <c r="W311" s="2"/>
      <c r="X311" s="2"/>
      <c r="Y311" s="2"/>
      <c r="Z311" s="2"/>
      <c r="AA311" s="2"/>
    </row>
    <row r="312" spans="1:27" ht="13.15">
      <c r="A312" s="12"/>
      <c r="B312" s="45"/>
      <c r="C312" s="45"/>
      <c r="D312" s="45"/>
      <c r="E312" s="45"/>
      <c r="F312" s="45"/>
      <c r="G312" s="45"/>
      <c r="H312" s="45"/>
      <c r="I312" s="45"/>
      <c r="J312" s="45"/>
      <c r="K312" s="45"/>
      <c r="L312" s="45"/>
      <c r="M312" s="45"/>
      <c r="N312" s="2"/>
      <c r="O312" s="2"/>
      <c r="P312" s="2"/>
      <c r="Q312" s="2"/>
      <c r="R312" s="2"/>
      <c r="S312" s="2"/>
      <c r="T312" s="2"/>
      <c r="U312" s="2"/>
      <c r="V312" s="2"/>
      <c r="W312" s="2"/>
      <c r="X312" s="2"/>
      <c r="Y312" s="2"/>
      <c r="Z312" s="2"/>
      <c r="AA312" s="2"/>
    </row>
    <row r="313" spans="1:27" ht="13.15">
      <c r="A313" s="12"/>
      <c r="B313" s="45"/>
      <c r="C313" s="45"/>
      <c r="D313" s="45"/>
      <c r="E313" s="45"/>
      <c r="F313" s="45"/>
      <c r="G313" s="45"/>
      <c r="H313" s="45"/>
      <c r="I313" s="45"/>
      <c r="J313" s="45"/>
      <c r="K313" s="45"/>
      <c r="L313" s="45"/>
      <c r="M313" s="45"/>
      <c r="N313" s="2"/>
      <c r="O313" s="2"/>
      <c r="P313" s="2"/>
      <c r="Q313" s="2"/>
      <c r="R313" s="2"/>
      <c r="S313" s="2"/>
      <c r="T313" s="2"/>
      <c r="U313" s="2"/>
      <c r="V313" s="2"/>
      <c r="W313" s="2"/>
      <c r="X313" s="2"/>
      <c r="Y313" s="2"/>
      <c r="Z313" s="2"/>
      <c r="AA313" s="2"/>
    </row>
    <row r="314" spans="1:27" ht="13.15">
      <c r="A314" s="12"/>
      <c r="B314" s="45"/>
      <c r="C314" s="45"/>
      <c r="D314" s="45"/>
      <c r="E314" s="45"/>
      <c r="F314" s="45"/>
      <c r="G314" s="45"/>
      <c r="H314" s="45"/>
      <c r="I314" s="45"/>
      <c r="J314" s="45"/>
      <c r="K314" s="45"/>
      <c r="L314" s="45"/>
      <c r="M314" s="45"/>
      <c r="N314" s="2"/>
      <c r="O314" s="2"/>
      <c r="P314" s="2"/>
      <c r="Q314" s="2"/>
      <c r="R314" s="2"/>
      <c r="S314" s="2"/>
      <c r="T314" s="2"/>
      <c r="U314" s="2"/>
      <c r="V314" s="2"/>
      <c r="W314" s="2"/>
      <c r="X314" s="2"/>
      <c r="Y314" s="2"/>
      <c r="Z314" s="2"/>
      <c r="AA314" s="2"/>
    </row>
    <row r="315" spans="1:27" ht="13.15">
      <c r="A315" s="12"/>
      <c r="B315" s="45"/>
      <c r="C315" s="45"/>
      <c r="D315" s="45"/>
      <c r="E315" s="45"/>
      <c r="F315" s="45"/>
      <c r="G315" s="45"/>
      <c r="H315" s="45"/>
      <c r="I315" s="45"/>
      <c r="J315" s="45"/>
      <c r="K315" s="45"/>
      <c r="L315" s="45"/>
      <c r="M315" s="45"/>
      <c r="N315" s="2"/>
      <c r="O315" s="2"/>
      <c r="P315" s="2"/>
      <c r="Q315" s="2"/>
      <c r="R315" s="2"/>
      <c r="S315" s="2"/>
      <c r="T315" s="2"/>
      <c r="U315" s="2"/>
      <c r="V315" s="2"/>
      <c r="W315" s="2"/>
      <c r="X315" s="2"/>
      <c r="Y315" s="2"/>
      <c r="Z315" s="2"/>
      <c r="AA315" s="2"/>
    </row>
    <row r="316" spans="1:27" ht="13.15">
      <c r="A316" s="12"/>
      <c r="B316" s="45"/>
      <c r="C316" s="45"/>
      <c r="D316" s="45"/>
      <c r="E316" s="45"/>
      <c r="F316" s="45"/>
      <c r="G316" s="45"/>
      <c r="H316" s="45"/>
      <c r="I316" s="45"/>
      <c r="J316" s="45"/>
      <c r="K316" s="45"/>
      <c r="L316" s="45"/>
      <c r="M316" s="45"/>
      <c r="N316" s="2"/>
      <c r="O316" s="2"/>
      <c r="P316" s="2"/>
      <c r="Q316" s="2"/>
      <c r="R316" s="2"/>
      <c r="S316" s="2"/>
      <c r="T316" s="2"/>
      <c r="U316" s="2"/>
      <c r="V316" s="2"/>
      <c r="W316" s="2"/>
      <c r="X316" s="2"/>
      <c r="Y316" s="2"/>
      <c r="Z316" s="2"/>
      <c r="AA316" s="2"/>
    </row>
    <row r="317" spans="1:27" ht="13.15">
      <c r="A317" s="12"/>
      <c r="B317" s="45"/>
      <c r="C317" s="45"/>
      <c r="D317" s="45"/>
      <c r="E317" s="45"/>
      <c r="F317" s="45"/>
      <c r="G317" s="45"/>
      <c r="H317" s="45"/>
      <c r="I317" s="45"/>
      <c r="J317" s="45"/>
      <c r="K317" s="45"/>
      <c r="L317" s="45"/>
      <c r="M317" s="45"/>
      <c r="N317" s="2"/>
      <c r="O317" s="2"/>
      <c r="P317" s="2"/>
      <c r="Q317" s="2"/>
      <c r="R317" s="2"/>
      <c r="S317" s="2"/>
      <c r="T317" s="2"/>
      <c r="U317" s="2"/>
      <c r="V317" s="2"/>
      <c r="W317" s="2"/>
      <c r="X317" s="2"/>
      <c r="Y317" s="2"/>
      <c r="Z317" s="2"/>
      <c r="AA317" s="2"/>
    </row>
    <row r="318" spans="1:27" ht="13.15">
      <c r="A318" s="12"/>
      <c r="B318" s="45"/>
      <c r="C318" s="45"/>
      <c r="D318" s="45"/>
      <c r="E318" s="45"/>
      <c r="F318" s="45"/>
      <c r="G318" s="45"/>
      <c r="H318" s="45"/>
      <c r="I318" s="45"/>
      <c r="J318" s="45"/>
      <c r="K318" s="45"/>
      <c r="L318" s="45"/>
      <c r="M318" s="45"/>
      <c r="N318" s="2"/>
      <c r="O318" s="2"/>
      <c r="P318" s="2"/>
      <c r="Q318" s="2"/>
      <c r="R318" s="2"/>
      <c r="S318" s="2"/>
      <c r="T318" s="2"/>
      <c r="U318" s="2"/>
      <c r="V318" s="2"/>
      <c r="W318" s="2"/>
      <c r="X318" s="2"/>
      <c r="Y318" s="2"/>
      <c r="Z318" s="2"/>
      <c r="AA318" s="2"/>
    </row>
    <row r="319" spans="1:27" ht="13.15">
      <c r="A319" s="12"/>
      <c r="B319" s="45"/>
      <c r="C319" s="45"/>
      <c r="D319" s="45"/>
      <c r="E319" s="45"/>
      <c r="F319" s="45"/>
      <c r="G319" s="45"/>
      <c r="H319" s="45"/>
      <c r="I319" s="45"/>
      <c r="J319" s="45"/>
      <c r="K319" s="45"/>
      <c r="L319" s="45"/>
      <c r="M319" s="45"/>
      <c r="N319" s="2"/>
      <c r="O319" s="2"/>
      <c r="P319" s="2"/>
      <c r="Q319" s="2"/>
      <c r="R319" s="2"/>
      <c r="S319" s="2"/>
      <c r="T319" s="2"/>
      <c r="U319" s="2"/>
      <c r="V319" s="2"/>
      <c r="W319" s="2"/>
      <c r="X319" s="2"/>
      <c r="Y319" s="2"/>
      <c r="Z319" s="2"/>
      <c r="AA319" s="2"/>
    </row>
    <row r="320" spans="1:27" ht="13.15">
      <c r="A320" s="12"/>
      <c r="B320" s="45"/>
      <c r="C320" s="45"/>
      <c r="D320" s="45"/>
      <c r="E320" s="45"/>
      <c r="F320" s="45"/>
      <c r="G320" s="45"/>
      <c r="H320" s="45"/>
      <c r="I320" s="45"/>
      <c r="J320" s="45"/>
      <c r="K320" s="45"/>
      <c r="L320" s="45"/>
      <c r="M320" s="45"/>
      <c r="N320" s="2"/>
      <c r="O320" s="2"/>
      <c r="P320" s="2"/>
      <c r="Q320" s="2"/>
      <c r="R320" s="2"/>
      <c r="S320" s="2"/>
      <c r="T320" s="2"/>
      <c r="U320" s="2"/>
      <c r="V320" s="2"/>
      <c r="W320" s="2"/>
      <c r="X320" s="2"/>
      <c r="Y320" s="2"/>
      <c r="Z320" s="2"/>
      <c r="AA320" s="2"/>
    </row>
    <row r="321" spans="1:27" ht="13.15">
      <c r="A321" s="12"/>
      <c r="B321" s="45"/>
      <c r="C321" s="45"/>
      <c r="D321" s="45"/>
      <c r="E321" s="45"/>
      <c r="F321" s="45"/>
      <c r="G321" s="45"/>
      <c r="H321" s="45"/>
      <c r="I321" s="45"/>
      <c r="J321" s="45"/>
      <c r="K321" s="45"/>
      <c r="L321" s="45"/>
      <c r="M321" s="45"/>
      <c r="N321" s="2"/>
      <c r="O321" s="2"/>
      <c r="P321" s="2"/>
      <c r="Q321" s="2"/>
      <c r="R321" s="2"/>
      <c r="S321" s="2"/>
      <c r="T321" s="2"/>
      <c r="U321" s="2"/>
      <c r="V321" s="2"/>
      <c r="W321" s="2"/>
      <c r="X321" s="2"/>
      <c r="Y321" s="2"/>
      <c r="Z321" s="2"/>
      <c r="AA321" s="2"/>
    </row>
    <row r="322" spans="1:27" ht="13.15">
      <c r="A322" s="12"/>
      <c r="B322" s="45"/>
      <c r="C322" s="45"/>
      <c r="D322" s="45"/>
      <c r="E322" s="45"/>
      <c r="F322" s="45"/>
      <c r="G322" s="45"/>
      <c r="H322" s="45"/>
      <c r="I322" s="45"/>
      <c r="J322" s="45"/>
      <c r="K322" s="45"/>
      <c r="L322" s="45"/>
      <c r="M322" s="45"/>
      <c r="N322" s="2"/>
      <c r="O322" s="2"/>
      <c r="P322" s="2"/>
      <c r="Q322" s="2"/>
      <c r="R322" s="2"/>
      <c r="S322" s="2"/>
      <c r="T322" s="2"/>
      <c r="U322" s="2"/>
      <c r="V322" s="2"/>
      <c r="W322" s="2"/>
      <c r="X322" s="2"/>
      <c r="Y322" s="2"/>
      <c r="Z322" s="2"/>
      <c r="AA322" s="2"/>
    </row>
    <row r="323" spans="1:27" ht="13.15">
      <c r="A323" s="12"/>
      <c r="B323" s="45"/>
      <c r="C323" s="45"/>
      <c r="D323" s="45"/>
      <c r="E323" s="45"/>
      <c r="F323" s="45"/>
      <c r="G323" s="45"/>
      <c r="H323" s="45"/>
      <c r="I323" s="45"/>
      <c r="J323" s="45"/>
      <c r="K323" s="45"/>
      <c r="L323" s="45"/>
      <c r="M323" s="45"/>
      <c r="N323" s="2"/>
      <c r="O323" s="2"/>
      <c r="P323" s="2"/>
      <c r="Q323" s="2"/>
      <c r="R323" s="2"/>
      <c r="S323" s="2"/>
      <c r="T323" s="2"/>
      <c r="U323" s="2"/>
      <c r="V323" s="2"/>
      <c r="W323" s="2"/>
      <c r="X323" s="2"/>
      <c r="Y323" s="2"/>
      <c r="Z323" s="2"/>
      <c r="AA323" s="2"/>
    </row>
    <row r="324" spans="1:27" ht="13.15">
      <c r="A324" s="12"/>
      <c r="B324" s="45"/>
      <c r="C324" s="45"/>
      <c r="D324" s="45"/>
      <c r="E324" s="45"/>
      <c r="F324" s="45"/>
      <c r="G324" s="45"/>
      <c r="H324" s="45"/>
      <c r="I324" s="45"/>
      <c r="J324" s="45"/>
      <c r="K324" s="45"/>
      <c r="L324" s="45"/>
      <c r="M324" s="45"/>
      <c r="N324" s="2"/>
      <c r="O324" s="2"/>
      <c r="P324" s="2"/>
      <c r="Q324" s="2"/>
      <c r="R324" s="2"/>
      <c r="S324" s="2"/>
      <c r="T324" s="2"/>
      <c r="U324" s="2"/>
      <c r="V324" s="2"/>
      <c r="W324" s="2"/>
      <c r="X324" s="2"/>
      <c r="Y324" s="2"/>
      <c r="Z324" s="2"/>
      <c r="AA324" s="2"/>
    </row>
    <row r="325" spans="1:27" ht="13.15">
      <c r="A325" s="12"/>
      <c r="B325" s="45"/>
      <c r="C325" s="45"/>
      <c r="D325" s="45"/>
      <c r="E325" s="45"/>
      <c r="F325" s="45"/>
      <c r="G325" s="45"/>
      <c r="H325" s="45"/>
      <c r="I325" s="45"/>
      <c r="J325" s="45"/>
      <c r="K325" s="45"/>
      <c r="L325" s="45"/>
      <c r="M325" s="45"/>
      <c r="N325" s="2"/>
      <c r="O325" s="2"/>
      <c r="P325" s="2"/>
      <c r="Q325" s="2"/>
      <c r="R325" s="2"/>
      <c r="S325" s="2"/>
      <c r="T325" s="2"/>
      <c r="U325" s="2"/>
      <c r="V325" s="2"/>
      <c r="W325" s="2"/>
      <c r="X325" s="2"/>
      <c r="Y325" s="2"/>
      <c r="Z325" s="2"/>
      <c r="AA325" s="2"/>
    </row>
    <row r="326" spans="1:27" ht="13.15">
      <c r="A326" s="12"/>
      <c r="B326" s="45"/>
      <c r="C326" s="45"/>
      <c r="D326" s="45"/>
      <c r="E326" s="45"/>
      <c r="F326" s="45"/>
      <c r="G326" s="45"/>
      <c r="H326" s="45"/>
      <c r="I326" s="45"/>
      <c r="J326" s="45"/>
      <c r="K326" s="45"/>
      <c r="L326" s="45"/>
      <c r="M326" s="45"/>
      <c r="N326" s="2"/>
      <c r="O326" s="2"/>
      <c r="P326" s="2"/>
      <c r="Q326" s="2"/>
      <c r="R326" s="2"/>
      <c r="S326" s="2"/>
      <c r="T326" s="2"/>
      <c r="U326" s="2"/>
      <c r="V326" s="2"/>
      <c r="W326" s="2"/>
      <c r="X326" s="2"/>
      <c r="Y326" s="2"/>
      <c r="Z326" s="2"/>
      <c r="AA326" s="2"/>
    </row>
    <row r="327" spans="1:27" ht="13.15">
      <c r="A327" s="12"/>
      <c r="B327" s="45"/>
      <c r="C327" s="45"/>
      <c r="D327" s="45"/>
      <c r="E327" s="45"/>
      <c r="F327" s="45"/>
      <c r="G327" s="45"/>
      <c r="H327" s="45"/>
      <c r="I327" s="45"/>
      <c r="J327" s="45"/>
      <c r="K327" s="45"/>
      <c r="L327" s="45"/>
      <c r="M327" s="45"/>
      <c r="N327" s="2"/>
      <c r="O327" s="2"/>
      <c r="P327" s="2"/>
      <c r="Q327" s="2"/>
      <c r="R327" s="2"/>
      <c r="S327" s="2"/>
      <c r="T327" s="2"/>
      <c r="U327" s="2"/>
      <c r="V327" s="2"/>
      <c r="W327" s="2"/>
      <c r="X327" s="2"/>
      <c r="Y327" s="2"/>
      <c r="Z327" s="2"/>
      <c r="AA327" s="2"/>
    </row>
    <row r="328" spans="1:27" ht="13.15">
      <c r="A328" s="12"/>
      <c r="B328" s="45"/>
      <c r="C328" s="45"/>
      <c r="D328" s="45"/>
      <c r="E328" s="45"/>
      <c r="F328" s="45"/>
      <c r="G328" s="45"/>
      <c r="H328" s="45"/>
      <c r="I328" s="45"/>
      <c r="J328" s="45"/>
      <c r="K328" s="45"/>
      <c r="L328" s="45"/>
      <c r="M328" s="45"/>
      <c r="N328" s="2"/>
      <c r="O328" s="2"/>
      <c r="P328" s="2"/>
      <c r="Q328" s="2"/>
      <c r="R328" s="2"/>
      <c r="S328" s="2"/>
      <c r="T328" s="2"/>
      <c r="U328" s="2"/>
      <c r="V328" s="2"/>
      <c r="W328" s="2"/>
      <c r="X328" s="2"/>
      <c r="Y328" s="2"/>
      <c r="Z328" s="2"/>
      <c r="AA328" s="2"/>
    </row>
    <row r="329" spans="1:27" ht="13.15">
      <c r="A329" s="12"/>
      <c r="B329" s="45"/>
      <c r="C329" s="45"/>
      <c r="D329" s="45"/>
      <c r="E329" s="45"/>
      <c r="F329" s="45"/>
      <c r="G329" s="45"/>
      <c r="H329" s="45"/>
      <c r="I329" s="45"/>
      <c r="J329" s="45"/>
      <c r="K329" s="45"/>
      <c r="L329" s="45"/>
      <c r="M329" s="45"/>
      <c r="N329" s="2"/>
      <c r="O329" s="2"/>
      <c r="P329" s="2"/>
      <c r="Q329" s="2"/>
      <c r="R329" s="2"/>
      <c r="S329" s="2"/>
      <c r="T329" s="2"/>
      <c r="U329" s="2"/>
      <c r="V329" s="2"/>
      <c r="W329" s="2"/>
      <c r="X329" s="2"/>
      <c r="Y329" s="2"/>
      <c r="Z329" s="2"/>
      <c r="AA329" s="2"/>
    </row>
    <row r="330" spans="1:27" ht="13.15">
      <c r="A330" s="12"/>
      <c r="B330" s="45"/>
      <c r="C330" s="45"/>
      <c r="D330" s="45"/>
      <c r="E330" s="45"/>
      <c r="F330" s="45"/>
      <c r="G330" s="45"/>
      <c r="H330" s="45"/>
      <c r="I330" s="45"/>
      <c r="J330" s="45"/>
      <c r="K330" s="45"/>
      <c r="L330" s="45"/>
      <c r="M330" s="45"/>
      <c r="N330" s="2"/>
      <c r="O330" s="2"/>
      <c r="P330" s="2"/>
      <c r="Q330" s="2"/>
      <c r="R330" s="2"/>
      <c r="S330" s="2"/>
      <c r="T330" s="2"/>
      <c r="U330" s="2"/>
      <c r="V330" s="2"/>
      <c r="W330" s="2"/>
      <c r="X330" s="2"/>
      <c r="Y330" s="2"/>
      <c r="Z330" s="2"/>
      <c r="AA330" s="2"/>
    </row>
    <row r="331" spans="1:27" ht="13.15">
      <c r="A331" s="12"/>
      <c r="B331" s="45"/>
      <c r="C331" s="45"/>
      <c r="D331" s="45"/>
      <c r="E331" s="45"/>
      <c r="F331" s="45"/>
      <c r="G331" s="45"/>
      <c r="H331" s="45"/>
      <c r="I331" s="45"/>
      <c r="J331" s="45"/>
      <c r="K331" s="45"/>
      <c r="L331" s="45"/>
      <c r="M331" s="45"/>
      <c r="N331" s="2"/>
      <c r="O331" s="2"/>
      <c r="P331" s="2"/>
      <c r="Q331" s="2"/>
      <c r="R331" s="2"/>
      <c r="S331" s="2"/>
      <c r="T331" s="2"/>
      <c r="U331" s="2"/>
      <c r="V331" s="2"/>
      <c r="W331" s="2"/>
      <c r="X331" s="2"/>
      <c r="Y331" s="2"/>
      <c r="Z331" s="2"/>
      <c r="AA331" s="2"/>
    </row>
    <row r="332" spans="1:27" ht="13.15">
      <c r="A332" s="12"/>
      <c r="B332" s="45"/>
      <c r="C332" s="45"/>
      <c r="D332" s="45"/>
      <c r="E332" s="45"/>
      <c r="F332" s="45"/>
      <c r="G332" s="45"/>
      <c r="H332" s="45"/>
      <c r="I332" s="45"/>
      <c r="J332" s="45"/>
      <c r="K332" s="45"/>
      <c r="L332" s="45"/>
      <c r="M332" s="45"/>
      <c r="N332" s="2"/>
      <c r="O332" s="2"/>
      <c r="P332" s="2"/>
      <c r="Q332" s="2"/>
      <c r="R332" s="2"/>
      <c r="S332" s="2"/>
      <c r="T332" s="2"/>
      <c r="U332" s="2"/>
      <c r="V332" s="2"/>
      <c r="W332" s="2"/>
      <c r="X332" s="2"/>
      <c r="Y332" s="2"/>
      <c r="Z332" s="2"/>
      <c r="AA332" s="2"/>
    </row>
    <row r="333" spans="1:27" ht="13.15">
      <c r="A333" s="12"/>
      <c r="B333" s="45"/>
      <c r="C333" s="45"/>
      <c r="D333" s="45"/>
      <c r="E333" s="45"/>
      <c r="F333" s="45"/>
      <c r="G333" s="45"/>
      <c r="H333" s="45"/>
      <c r="I333" s="45"/>
      <c r="J333" s="45"/>
      <c r="K333" s="45"/>
      <c r="L333" s="45"/>
      <c r="M333" s="45"/>
      <c r="N333" s="2"/>
      <c r="O333" s="2"/>
      <c r="P333" s="2"/>
      <c r="Q333" s="2"/>
      <c r="R333" s="2"/>
      <c r="S333" s="2"/>
      <c r="T333" s="2"/>
      <c r="U333" s="2"/>
      <c r="V333" s="2"/>
      <c r="W333" s="2"/>
      <c r="X333" s="2"/>
      <c r="Y333" s="2"/>
      <c r="Z333" s="2"/>
      <c r="AA333" s="2"/>
    </row>
    <row r="334" spans="1:27" ht="13.15">
      <c r="A334" s="12"/>
      <c r="B334" s="45"/>
      <c r="C334" s="45"/>
      <c r="D334" s="45"/>
      <c r="E334" s="45"/>
      <c r="F334" s="45"/>
      <c r="G334" s="45"/>
      <c r="H334" s="45"/>
      <c r="I334" s="45"/>
      <c r="J334" s="45"/>
      <c r="K334" s="45"/>
      <c r="L334" s="45"/>
      <c r="M334" s="45"/>
      <c r="N334" s="2"/>
      <c r="O334" s="2"/>
      <c r="P334" s="2"/>
      <c r="Q334" s="2"/>
      <c r="R334" s="2"/>
      <c r="S334" s="2"/>
      <c r="T334" s="2"/>
      <c r="U334" s="2"/>
      <c r="V334" s="2"/>
      <c r="W334" s="2"/>
      <c r="X334" s="2"/>
      <c r="Y334" s="2"/>
      <c r="Z334" s="2"/>
      <c r="AA334" s="2"/>
    </row>
    <row r="335" spans="1:27" ht="13.15">
      <c r="A335" s="12"/>
      <c r="B335" s="45"/>
      <c r="C335" s="45"/>
      <c r="D335" s="45"/>
      <c r="E335" s="45"/>
      <c r="F335" s="45"/>
      <c r="G335" s="45"/>
      <c r="H335" s="45"/>
      <c r="I335" s="45"/>
      <c r="J335" s="45"/>
      <c r="K335" s="45"/>
      <c r="L335" s="45"/>
      <c r="M335" s="45"/>
      <c r="N335" s="2"/>
      <c r="O335" s="2"/>
      <c r="P335" s="2"/>
      <c r="Q335" s="2"/>
      <c r="R335" s="2"/>
      <c r="S335" s="2"/>
      <c r="T335" s="2"/>
      <c r="U335" s="2"/>
      <c r="V335" s="2"/>
      <c r="W335" s="2"/>
      <c r="X335" s="2"/>
      <c r="Y335" s="2"/>
      <c r="Z335" s="2"/>
      <c r="AA335" s="2"/>
    </row>
    <row r="336" spans="1:27" ht="13.15">
      <c r="A336" s="12"/>
      <c r="B336" s="45"/>
      <c r="C336" s="45"/>
      <c r="D336" s="45"/>
      <c r="E336" s="45"/>
      <c r="F336" s="45"/>
      <c r="G336" s="45"/>
      <c r="H336" s="45"/>
      <c r="I336" s="45"/>
      <c r="J336" s="45"/>
      <c r="K336" s="45"/>
      <c r="L336" s="45"/>
      <c r="M336" s="45"/>
      <c r="N336" s="2"/>
      <c r="O336" s="2"/>
      <c r="P336" s="2"/>
      <c r="Q336" s="2"/>
      <c r="R336" s="2"/>
      <c r="S336" s="2"/>
      <c r="T336" s="2"/>
      <c r="U336" s="2"/>
      <c r="V336" s="2"/>
      <c r="W336" s="2"/>
      <c r="X336" s="2"/>
      <c r="Y336" s="2"/>
      <c r="Z336" s="2"/>
      <c r="AA336" s="2"/>
    </row>
    <row r="337" spans="1:27" ht="13.15">
      <c r="A337" s="12"/>
      <c r="B337" s="45"/>
      <c r="C337" s="45"/>
      <c r="D337" s="45"/>
      <c r="E337" s="45"/>
      <c r="F337" s="45"/>
      <c r="G337" s="45"/>
      <c r="H337" s="45"/>
      <c r="I337" s="45"/>
      <c r="J337" s="45"/>
      <c r="K337" s="45"/>
      <c r="L337" s="45"/>
      <c r="M337" s="45"/>
      <c r="N337" s="2"/>
      <c r="O337" s="2"/>
      <c r="P337" s="2"/>
      <c r="Q337" s="2"/>
      <c r="R337" s="2"/>
      <c r="S337" s="2"/>
      <c r="T337" s="2"/>
      <c r="U337" s="2"/>
      <c r="V337" s="2"/>
      <c r="W337" s="2"/>
      <c r="X337" s="2"/>
      <c r="Y337" s="2"/>
      <c r="Z337" s="2"/>
      <c r="AA337" s="2"/>
    </row>
    <row r="338" spans="1:27" ht="13.15">
      <c r="A338" s="12"/>
      <c r="B338" s="45"/>
      <c r="C338" s="45"/>
      <c r="D338" s="45"/>
      <c r="E338" s="45"/>
      <c r="F338" s="45"/>
      <c r="G338" s="45"/>
      <c r="H338" s="45"/>
      <c r="I338" s="45"/>
      <c r="J338" s="45"/>
      <c r="K338" s="45"/>
      <c r="L338" s="45"/>
      <c r="M338" s="45"/>
      <c r="N338" s="2"/>
      <c r="O338" s="2"/>
      <c r="P338" s="2"/>
      <c r="Q338" s="2"/>
      <c r="R338" s="2"/>
      <c r="S338" s="2"/>
      <c r="T338" s="2"/>
      <c r="U338" s="2"/>
      <c r="V338" s="2"/>
      <c r="W338" s="2"/>
      <c r="X338" s="2"/>
      <c r="Y338" s="2"/>
      <c r="Z338" s="2"/>
      <c r="AA338" s="2"/>
    </row>
    <row r="339" spans="1:27" ht="13.15">
      <c r="A339" s="12"/>
      <c r="B339" s="45"/>
      <c r="C339" s="45"/>
      <c r="D339" s="45"/>
      <c r="E339" s="45"/>
      <c r="F339" s="45"/>
      <c r="G339" s="45"/>
      <c r="H339" s="45"/>
      <c r="I339" s="45"/>
      <c r="J339" s="45"/>
      <c r="K339" s="45"/>
      <c r="L339" s="45"/>
      <c r="M339" s="45"/>
      <c r="N339" s="2"/>
      <c r="O339" s="2"/>
      <c r="P339" s="2"/>
      <c r="Q339" s="2"/>
      <c r="R339" s="2"/>
      <c r="S339" s="2"/>
      <c r="T339" s="2"/>
      <c r="U339" s="2"/>
      <c r="V339" s="2"/>
      <c r="W339" s="2"/>
      <c r="X339" s="2"/>
      <c r="Y339" s="2"/>
      <c r="Z339" s="2"/>
      <c r="AA339" s="2"/>
    </row>
    <row r="340" spans="1:27" ht="13.15">
      <c r="A340" s="12"/>
      <c r="B340" s="45"/>
      <c r="C340" s="45"/>
      <c r="D340" s="45"/>
      <c r="E340" s="45"/>
      <c r="F340" s="45"/>
      <c r="G340" s="45"/>
      <c r="H340" s="45"/>
      <c r="I340" s="45"/>
      <c r="J340" s="45"/>
      <c r="K340" s="45"/>
      <c r="L340" s="45"/>
      <c r="M340" s="45"/>
      <c r="N340" s="2"/>
      <c r="O340" s="2"/>
      <c r="P340" s="2"/>
      <c r="Q340" s="2"/>
      <c r="R340" s="2"/>
      <c r="S340" s="2"/>
      <c r="T340" s="2"/>
      <c r="U340" s="2"/>
      <c r="V340" s="2"/>
      <c r="W340" s="2"/>
      <c r="X340" s="2"/>
      <c r="Y340" s="2"/>
      <c r="Z340" s="2"/>
      <c r="AA340" s="2"/>
    </row>
    <row r="341" spans="1:27" ht="13.15">
      <c r="A341" s="12"/>
      <c r="B341" s="45"/>
      <c r="C341" s="45"/>
      <c r="D341" s="45"/>
      <c r="E341" s="45"/>
      <c r="F341" s="45"/>
      <c r="G341" s="45"/>
      <c r="H341" s="45"/>
      <c r="I341" s="45"/>
      <c r="J341" s="45"/>
      <c r="K341" s="45"/>
      <c r="L341" s="45"/>
      <c r="M341" s="45"/>
      <c r="N341" s="2"/>
      <c r="O341" s="2"/>
      <c r="P341" s="2"/>
      <c r="Q341" s="2"/>
      <c r="R341" s="2"/>
      <c r="S341" s="2"/>
      <c r="T341" s="2"/>
      <c r="U341" s="2"/>
      <c r="V341" s="2"/>
      <c r="W341" s="2"/>
      <c r="X341" s="2"/>
      <c r="Y341" s="2"/>
      <c r="Z341" s="2"/>
      <c r="AA341" s="2"/>
    </row>
    <row r="342" spans="1:27" ht="13.15">
      <c r="A342" s="12"/>
      <c r="B342" s="45"/>
      <c r="C342" s="45"/>
      <c r="D342" s="45"/>
      <c r="E342" s="45"/>
      <c r="F342" s="45"/>
      <c r="G342" s="45"/>
      <c r="H342" s="45"/>
      <c r="I342" s="45"/>
      <c r="J342" s="45"/>
      <c r="K342" s="45"/>
      <c r="L342" s="45"/>
      <c r="M342" s="45"/>
      <c r="N342" s="2"/>
      <c r="O342" s="2"/>
      <c r="P342" s="2"/>
      <c r="Q342" s="2"/>
      <c r="R342" s="2"/>
      <c r="S342" s="2"/>
      <c r="T342" s="2"/>
      <c r="U342" s="2"/>
      <c r="V342" s="2"/>
      <c r="W342" s="2"/>
      <c r="X342" s="2"/>
      <c r="Y342" s="2"/>
      <c r="Z342" s="2"/>
      <c r="AA342" s="2"/>
    </row>
    <row r="343" spans="1:27" ht="13.15">
      <c r="A343" s="12"/>
      <c r="B343" s="45"/>
      <c r="C343" s="45"/>
      <c r="D343" s="45"/>
      <c r="E343" s="45"/>
      <c r="F343" s="45"/>
      <c r="G343" s="45"/>
      <c r="H343" s="45"/>
      <c r="I343" s="45"/>
      <c r="J343" s="45"/>
      <c r="K343" s="45"/>
      <c r="L343" s="45"/>
      <c r="M343" s="45"/>
      <c r="N343" s="2"/>
      <c r="O343" s="2"/>
      <c r="P343" s="2"/>
      <c r="Q343" s="2"/>
      <c r="R343" s="2"/>
      <c r="S343" s="2"/>
      <c r="T343" s="2"/>
      <c r="U343" s="2"/>
      <c r="V343" s="2"/>
      <c r="W343" s="2"/>
      <c r="X343" s="2"/>
      <c r="Y343" s="2"/>
      <c r="Z343" s="2"/>
      <c r="AA343" s="2"/>
    </row>
    <row r="344" spans="1:27" ht="13.15">
      <c r="A344" s="12"/>
      <c r="B344" s="45"/>
      <c r="C344" s="45"/>
      <c r="D344" s="45"/>
      <c r="E344" s="45"/>
      <c r="F344" s="45"/>
      <c r="G344" s="45"/>
      <c r="H344" s="45"/>
      <c r="I344" s="45"/>
      <c r="J344" s="45"/>
      <c r="K344" s="45"/>
      <c r="L344" s="45"/>
      <c r="M344" s="45"/>
      <c r="N344" s="2"/>
      <c r="O344" s="2"/>
      <c r="P344" s="2"/>
      <c r="Q344" s="2"/>
      <c r="R344" s="2"/>
      <c r="S344" s="2"/>
      <c r="T344" s="2"/>
      <c r="U344" s="2"/>
      <c r="V344" s="2"/>
      <c r="W344" s="2"/>
      <c r="X344" s="2"/>
      <c r="Y344" s="2"/>
      <c r="Z344" s="2"/>
      <c r="AA344" s="2"/>
    </row>
    <row r="345" spans="1:27" ht="13.15">
      <c r="A345" s="12"/>
      <c r="B345" s="45"/>
      <c r="C345" s="45"/>
      <c r="D345" s="45"/>
      <c r="E345" s="45"/>
      <c r="F345" s="45"/>
      <c r="G345" s="45"/>
      <c r="H345" s="45"/>
      <c r="I345" s="45"/>
      <c r="J345" s="45"/>
      <c r="K345" s="45"/>
      <c r="L345" s="45"/>
      <c r="M345" s="45"/>
      <c r="N345" s="2"/>
      <c r="O345" s="2"/>
      <c r="P345" s="2"/>
      <c r="Q345" s="2"/>
      <c r="R345" s="2"/>
      <c r="S345" s="2"/>
      <c r="T345" s="2"/>
      <c r="U345" s="2"/>
      <c r="V345" s="2"/>
      <c r="W345" s="2"/>
      <c r="X345" s="2"/>
      <c r="Y345" s="2"/>
      <c r="Z345" s="2"/>
      <c r="AA345" s="2"/>
    </row>
    <row r="346" spans="1:27" ht="13.15">
      <c r="A346" s="12"/>
      <c r="B346" s="45"/>
      <c r="C346" s="45"/>
      <c r="D346" s="45"/>
      <c r="E346" s="45"/>
      <c r="F346" s="45"/>
      <c r="G346" s="45"/>
      <c r="H346" s="45"/>
      <c r="I346" s="45"/>
      <c r="J346" s="45"/>
      <c r="K346" s="45"/>
      <c r="L346" s="45"/>
      <c r="M346" s="45"/>
      <c r="N346" s="2"/>
      <c r="O346" s="2"/>
      <c r="P346" s="2"/>
      <c r="Q346" s="2"/>
      <c r="R346" s="2"/>
      <c r="S346" s="2"/>
      <c r="T346" s="2"/>
      <c r="U346" s="2"/>
      <c r="V346" s="2"/>
      <c r="W346" s="2"/>
      <c r="X346" s="2"/>
      <c r="Y346" s="2"/>
      <c r="Z346" s="2"/>
      <c r="AA346" s="2"/>
    </row>
    <row r="347" spans="1:27" ht="13.15">
      <c r="A347" s="12"/>
      <c r="B347" s="45"/>
      <c r="C347" s="45"/>
      <c r="D347" s="45"/>
      <c r="E347" s="45"/>
      <c r="F347" s="45"/>
      <c r="G347" s="45"/>
      <c r="H347" s="45"/>
      <c r="I347" s="45"/>
      <c r="J347" s="45"/>
      <c r="K347" s="45"/>
      <c r="L347" s="45"/>
      <c r="M347" s="45"/>
      <c r="N347" s="2"/>
      <c r="O347" s="2"/>
      <c r="P347" s="2"/>
      <c r="Q347" s="2"/>
      <c r="R347" s="2"/>
      <c r="S347" s="2"/>
      <c r="T347" s="2"/>
      <c r="U347" s="2"/>
      <c r="V347" s="2"/>
      <c r="W347" s="2"/>
      <c r="X347" s="2"/>
      <c r="Y347" s="2"/>
      <c r="Z347" s="2"/>
      <c r="AA347" s="2"/>
    </row>
    <row r="348" spans="1:27" ht="13.15">
      <c r="A348" s="12"/>
      <c r="B348" s="45"/>
      <c r="C348" s="45"/>
      <c r="D348" s="45"/>
      <c r="E348" s="45"/>
      <c r="F348" s="45"/>
      <c r="G348" s="45"/>
      <c r="H348" s="45"/>
      <c r="I348" s="45"/>
      <c r="J348" s="45"/>
      <c r="K348" s="45"/>
      <c r="L348" s="45"/>
      <c r="M348" s="45"/>
      <c r="N348" s="2"/>
      <c r="O348" s="2"/>
      <c r="P348" s="2"/>
      <c r="Q348" s="2"/>
      <c r="R348" s="2"/>
      <c r="S348" s="2"/>
      <c r="T348" s="2"/>
      <c r="U348" s="2"/>
      <c r="V348" s="2"/>
      <c r="W348" s="2"/>
      <c r="X348" s="2"/>
      <c r="Y348" s="2"/>
      <c r="Z348" s="2"/>
      <c r="AA348" s="2"/>
    </row>
    <row r="349" spans="1:27" ht="13.15">
      <c r="A349" s="12"/>
      <c r="B349" s="45"/>
      <c r="C349" s="45"/>
      <c r="D349" s="45"/>
      <c r="E349" s="45"/>
      <c r="F349" s="45"/>
      <c r="G349" s="45"/>
      <c r="H349" s="45"/>
      <c r="I349" s="45"/>
      <c r="J349" s="45"/>
      <c r="K349" s="45"/>
      <c r="L349" s="45"/>
      <c r="M349" s="45"/>
      <c r="N349" s="2"/>
      <c r="O349" s="2"/>
      <c r="P349" s="2"/>
      <c r="Q349" s="2"/>
      <c r="R349" s="2"/>
      <c r="S349" s="2"/>
      <c r="T349" s="2"/>
      <c r="U349" s="2"/>
      <c r="V349" s="2"/>
      <c r="W349" s="2"/>
      <c r="X349" s="2"/>
      <c r="Y349" s="2"/>
      <c r="Z349" s="2"/>
      <c r="AA349" s="2"/>
    </row>
    <row r="350" spans="1:27" ht="13.15">
      <c r="A350" s="12"/>
      <c r="B350" s="45"/>
      <c r="C350" s="45"/>
      <c r="D350" s="45"/>
      <c r="E350" s="45"/>
      <c r="F350" s="45"/>
      <c r="G350" s="45"/>
      <c r="H350" s="45"/>
      <c r="I350" s="45"/>
      <c r="J350" s="45"/>
      <c r="K350" s="45"/>
      <c r="L350" s="45"/>
      <c r="M350" s="45"/>
      <c r="N350" s="2"/>
      <c r="O350" s="2"/>
      <c r="P350" s="2"/>
      <c r="Q350" s="2"/>
      <c r="R350" s="2"/>
      <c r="S350" s="2"/>
      <c r="T350" s="2"/>
      <c r="U350" s="2"/>
      <c r="V350" s="2"/>
      <c r="W350" s="2"/>
      <c r="X350" s="2"/>
      <c r="Y350" s="2"/>
      <c r="Z350" s="2"/>
      <c r="AA350" s="2"/>
    </row>
    <row r="351" spans="1:27" ht="13.15">
      <c r="A351" s="12"/>
      <c r="B351" s="45"/>
      <c r="C351" s="45"/>
      <c r="D351" s="45"/>
      <c r="E351" s="45"/>
      <c r="F351" s="45"/>
      <c r="G351" s="45"/>
      <c r="H351" s="45"/>
      <c r="I351" s="45"/>
      <c r="J351" s="45"/>
      <c r="K351" s="45"/>
      <c r="L351" s="45"/>
      <c r="M351" s="45"/>
      <c r="N351" s="2"/>
      <c r="O351" s="2"/>
      <c r="P351" s="2"/>
      <c r="Q351" s="2"/>
      <c r="R351" s="2"/>
      <c r="S351" s="2"/>
      <c r="T351" s="2"/>
      <c r="U351" s="2"/>
      <c r="V351" s="2"/>
      <c r="W351" s="2"/>
      <c r="X351" s="2"/>
      <c r="Y351" s="2"/>
      <c r="Z351" s="2"/>
      <c r="AA351" s="2"/>
    </row>
    <row r="352" spans="1:27" ht="13.15">
      <c r="A352" s="12"/>
      <c r="B352" s="45"/>
      <c r="C352" s="45"/>
      <c r="D352" s="45"/>
      <c r="E352" s="45"/>
      <c r="F352" s="45"/>
      <c r="G352" s="45"/>
      <c r="H352" s="45"/>
      <c r="I352" s="45"/>
      <c r="J352" s="45"/>
      <c r="K352" s="45"/>
      <c r="L352" s="45"/>
      <c r="M352" s="45"/>
      <c r="N352" s="2"/>
      <c r="O352" s="2"/>
      <c r="P352" s="2"/>
      <c r="Q352" s="2"/>
      <c r="R352" s="2"/>
      <c r="S352" s="2"/>
      <c r="T352" s="2"/>
      <c r="U352" s="2"/>
      <c r="V352" s="2"/>
      <c r="W352" s="2"/>
      <c r="X352" s="2"/>
      <c r="Y352" s="2"/>
      <c r="Z352" s="2"/>
      <c r="AA352" s="2"/>
    </row>
    <row r="353" spans="1:27" ht="13.15">
      <c r="A353" s="12"/>
      <c r="B353" s="45"/>
      <c r="C353" s="45"/>
      <c r="D353" s="45"/>
      <c r="E353" s="45"/>
      <c r="F353" s="45"/>
      <c r="G353" s="45"/>
      <c r="H353" s="45"/>
      <c r="I353" s="45"/>
      <c r="J353" s="45"/>
      <c r="K353" s="45"/>
      <c r="L353" s="45"/>
      <c r="M353" s="45"/>
      <c r="N353" s="2"/>
      <c r="O353" s="2"/>
      <c r="P353" s="2"/>
      <c r="Q353" s="2"/>
      <c r="R353" s="2"/>
      <c r="S353" s="2"/>
      <c r="T353" s="2"/>
      <c r="U353" s="2"/>
      <c r="V353" s="2"/>
      <c r="W353" s="2"/>
      <c r="X353" s="2"/>
      <c r="Y353" s="2"/>
      <c r="Z353" s="2"/>
      <c r="AA353" s="2"/>
    </row>
    <row r="354" spans="1:27" ht="13.15">
      <c r="A354" s="12"/>
      <c r="B354" s="45"/>
      <c r="C354" s="45"/>
      <c r="D354" s="45"/>
      <c r="E354" s="45"/>
      <c r="F354" s="45"/>
      <c r="G354" s="45"/>
      <c r="H354" s="45"/>
      <c r="I354" s="45"/>
      <c r="J354" s="45"/>
      <c r="K354" s="45"/>
      <c r="L354" s="45"/>
      <c r="M354" s="45"/>
      <c r="N354" s="2"/>
      <c r="O354" s="2"/>
      <c r="P354" s="2"/>
      <c r="Q354" s="2"/>
      <c r="R354" s="2"/>
      <c r="S354" s="2"/>
      <c r="T354" s="2"/>
      <c r="U354" s="2"/>
      <c r="V354" s="2"/>
      <c r="W354" s="2"/>
      <c r="X354" s="2"/>
      <c r="Y354" s="2"/>
      <c r="Z354" s="2"/>
      <c r="AA354" s="2"/>
    </row>
    <row r="355" spans="1:27" ht="13.15">
      <c r="A355" s="12"/>
      <c r="B355" s="45"/>
      <c r="C355" s="45"/>
      <c r="D355" s="45"/>
      <c r="E355" s="45"/>
      <c r="F355" s="45"/>
      <c r="G355" s="45"/>
      <c r="H355" s="45"/>
      <c r="I355" s="45"/>
      <c r="J355" s="45"/>
      <c r="K355" s="45"/>
      <c r="L355" s="45"/>
      <c r="M355" s="45"/>
      <c r="N355" s="2"/>
      <c r="O355" s="2"/>
      <c r="P355" s="2"/>
      <c r="Q355" s="2"/>
      <c r="R355" s="2"/>
      <c r="S355" s="2"/>
      <c r="T355" s="2"/>
      <c r="U355" s="2"/>
      <c r="V355" s="2"/>
      <c r="W355" s="2"/>
      <c r="X355" s="2"/>
      <c r="Y355" s="2"/>
      <c r="Z355" s="2"/>
      <c r="AA355" s="2"/>
    </row>
    <row r="356" spans="1:27" ht="13.15">
      <c r="A356" s="12"/>
      <c r="B356" s="45"/>
      <c r="C356" s="45"/>
      <c r="D356" s="45"/>
      <c r="E356" s="45"/>
      <c r="F356" s="45"/>
      <c r="G356" s="45"/>
      <c r="H356" s="45"/>
      <c r="I356" s="45"/>
      <c r="J356" s="45"/>
      <c r="K356" s="45"/>
      <c r="L356" s="45"/>
      <c r="M356" s="45"/>
      <c r="N356" s="2"/>
      <c r="O356" s="2"/>
      <c r="P356" s="2"/>
      <c r="Q356" s="2"/>
      <c r="R356" s="2"/>
      <c r="S356" s="2"/>
      <c r="T356" s="2"/>
      <c r="U356" s="2"/>
      <c r="V356" s="2"/>
      <c r="W356" s="2"/>
      <c r="X356" s="2"/>
      <c r="Y356" s="2"/>
      <c r="Z356" s="2"/>
      <c r="AA356" s="2"/>
    </row>
    <row r="357" spans="1:27" ht="13.15">
      <c r="A357" s="12"/>
      <c r="B357" s="45"/>
      <c r="C357" s="45"/>
      <c r="D357" s="45"/>
      <c r="E357" s="45"/>
      <c r="F357" s="45"/>
      <c r="G357" s="45"/>
      <c r="H357" s="45"/>
      <c r="I357" s="45"/>
      <c r="J357" s="45"/>
      <c r="K357" s="45"/>
      <c r="L357" s="45"/>
      <c r="M357" s="45"/>
      <c r="N357" s="2"/>
      <c r="O357" s="2"/>
      <c r="P357" s="2"/>
      <c r="Q357" s="2"/>
      <c r="R357" s="2"/>
      <c r="S357" s="2"/>
      <c r="T357" s="2"/>
      <c r="U357" s="2"/>
      <c r="V357" s="2"/>
      <c r="W357" s="2"/>
      <c r="X357" s="2"/>
      <c r="Y357" s="2"/>
      <c r="Z357" s="2"/>
      <c r="AA357" s="2"/>
    </row>
    <row r="358" spans="1:27" ht="13.15">
      <c r="A358" s="12"/>
      <c r="B358" s="45"/>
      <c r="C358" s="45"/>
      <c r="D358" s="45"/>
      <c r="E358" s="45"/>
      <c r="F358" s="45"/>
      <c r="G358" s="45"/>
      <c r="H358" s="45"/>
      <c r="I358" s="45"/>
      <c r="J358" s="45"/>
      <c r="K358" s="45"/>
      <c r="L358" s="45"/>
      <c r="M358" s="45"/>
      <c r="N358" s="2"/>
      <c r="O358" s="2"/>
      <c r="P358" s="2"/>
      <c r="Q358" s="2"/>
      <c r="R358" s="2"/>
      <c r="S358" s="2"/>
      <c r="T358" s="2"/>
      <c r="U358" s="2"/>
      <c r="V358" s="2"/>
      <c r="W358" s="2"/>
      <c r="X358" s="2"/>
      <c r="Y358" s="2"/>
      <c r="Z358" s="2"/>
      <c r="AA358" s="2"/>
    </row>
    <row r="359" spans="1:27" ht="13.15">
      <c r="A359" s="12"/>
      <c r="B359" s="45"/>
      <c r="C359" s="45"/>
      <c r="D359" s="45"/>
      <c r="E359" s="45"/>
      <c r="F359" s="45"/>
      <c r="G359" s="45"/>
      <c r="H359" s="45"/>
      <c r="I359" s="45"/>
      <c r="J359" s="45"/>
      <c r="K359" s="45"/>
      <c r="L359" s="45"/>
      <c r="M359" s="45"/>
      <c r="N359" s="2"/>
      <c r="O359" s="2"/>
      <c r="P359" s="2"/>
      <c r="Q359" s="2"/>
      <c r="R359" s="2"/>
      <c r="S359" s="2"/>
      <c r="T359" s="2"/>
      <c r="U359" s="2"/>
      <c r="V359" s="2"/>
      <c r="W359" s="2"/>
      <c r="X359" s="2"/>
      <c r="Y359" s="2"/>
      <c r="Z359" s="2"/>
      <c r="AA359" s="2"/>
    </row>
    <row r="360" spans="1:27" ht="13.15">
      <c r="A360" s="12"/>
      <c r="B360" s="45"/>
      <c r="C360" s="45"/>
      <c r="D360" s="45"/>
      <c r="E360" s="45"/>
      <c r="F360" s="45"/>
      <c r="G360" s="45"/>
      <c r="H360" s="45"/>
      <c r="I360" s="45"/>
      <c r="J360" s="45"/>
      <c r="K360" s="45"/>
      <c r="L360" s="45"/>
      <c r="M360" s="45"/>
      <c r="N360" s="2"/>
      <c r="O360" s="2"/>
      <c r="P360" s="2"/>
      <c r="Q360" s="2"/>
      <c r="R360" s="2"/>
      <c r="S360" s="2"/>
      <c r="T360" s="2"/>
      <c r="U360" s="2"/>
      <c r="V360" s="2"/>
      <c r="W360" s="2"/>
      <c r="X360" s="2"/>
      <c r="Y360" s="2"/>
      <c r="Z360" s="2"/>
      <c r="AA360" s="2"/>
    </row>
    <row r="361" spans="1:27" ht="13.15">
      <c r="A361" s="12"/>
      <c r="B361" s="45"/>
      <c r="C361" s="45"/>
      <c r="D361" s="45"/>
      <c r="E361" s="45"/>
      <c r="F361" s="45"/>
      <c r="G361" s="45"/>
      <c r="H361" s="45"/>
      <c r="I361" s="45"/>
      <c r="J361" s="45"/>
      <c r="K361" s="45"/>
      <c r="L361" s="45"/>
      <c r="M361" s="45"/>
      <c r="N361" s="2"/>
      <c r="O361" s="2"/>
      <c r="P361" s="2"/>
      <c r="Q361" s="2"/>
      <c r="R361" s="2"/>
      <c r="S361" s="2"/>
      <c r="T361" s="2"/>
      <c r="U361" s="2"/>
      <c r="V361" s="2"/>
      <c r="W361" s="2"/>
      <c r="X361" s="2"/>
      <c r="Y361" s="2"/>
      <c r="Z361" s="2"/>
      <c r="AA361" s="2"/>
    </row>
    <row r="362" spans="1:27" ht="13.15">
      <c r="A362" s="12"/>
      <c r="B362" s="45"/>
      <c r="C362" s="45"/>
      <c r="D362" s="45"/>
      <c r="E362" s="45"/>
      <c r="F362" s="45"/>
      <c r="G362" s="45"/>
      <c r="H362" s="45"/>
      <c r="I362" s="45"/>
      <c r="J362" s="45"/>
      <c r="K362" s="45"/>
      <c r="L362" s="45"/>
      <c r="M362" s="45"/>
      <c r="N362" s="2"/>
      <c r="O362" s="2"/>
      <c r="P362" s="2"/>
      <c r="Q362" s="2"/>
      <c r="R362" s="2"/>
      <c r="S362" s="2"/>
      <c r="T362" s="2"/>
      <c r="U362" s="2"/>
      <c r="V362" s="2"/>
      <c r="W362" s="2"/>
      <c r="X362" s="2"/>
      <c r="Y362" s="2"/>
      <c r="Z362" s="2"/>
      <c r="AA362" s="2"/>
    </row>
    <row r="363" spans="1:27" ht="13.15">
      <c r="A363" s="12"/>
      <c r="B363" s="45"/>
      <c r="C363" s="45"/>
      <c r="D363" s="45"/>
      <c r="E363" s="45"/>
      <c r="F363" s="45"/>
      <c r="G363" s="45"/>
      <c r="H363" s="45"/>
      <c r="I363" s="45"/>
      <c r="J363" s="45"/>
      <c r="K363" s="45"/>
      <c r="L363" s="45"/>
      <c r="M363" s="45"/>
      <c r="N363" s="2"/>
      <c r="O363" s="2"/>
      <c r="P363" s="2"/>
      <c r="Q363" s="2"/>
      <c r="R363" s="2"/>
      <c r="S363" s="2"/>
      <c r="T363" s="2"/>
      <c r="U363" s="2"/>
      <c r="V363" s="2"/>
      <c r="W363" s="2"/>
      <c r="X363" s="2"/>
      <c r="Y363" s="2"/>
      <c r="Z363" s="2"/>
      <c r="AA363" s="2"/>
    </row>
    <row r="364" spans="1:27" ht="13.15">
      <c r="A364" s="12"/>
      <c r="B364" s="45"/>
      <c r="C364" s="45"/>
      <c r="D364" s="45"/>
      <c r="E364" s="45"/>
      <c r="F364" s="45"/>
      <c r="G364" s="45"/>
      <c r="H364" s="45"/>
      <c r="I364" s="45"/>
      <c r="J364" s="45"/>
      <c r="K364" s="45"/>
      <c r="L364" s="45"/>
      <c r="M364" s="45"/>
      <c r="N364" s="2"/>
      <c r="O364" s="2"/>
      <c r="P364" s="2"/>
      <c r="Q364" s="2"/>
      <c r="R364" s="2"/>
      <c r="S364" s="2"/>
      <c r="T364" s="2"/>
      <c r="U364" s="2"/>
      <c r="V364" s="2"/>
      <c r="W364" s="2"/>
      <c r="X364" s="2"/>
      <c r="Y364" s="2"/>
      <c r="Z364" s="2"/>
      <c r="AA364" s="2"/>
    </row>
    <row r="365" spans="1:27" ht="13.15">
      <c r="A365" s="12"/>
      <c r="B365" s="45"/>
      <c r="C365" s="45"/>
      <c r="D365" s="45"/>
      <c r="E365" s="45"/>
      <c r="F365" s="45"/>
      <c r="G365" s="45"/>
      <c r="H365" s="45"/>
      <c r="I365" s="45"/>
      <c r="J365" s="45"/>
      <c r="K365" s="45"/>
      <c r="L365" s="45"/>
      <c r="M365" s="45"/>
      <c r="N365" s="2"/>
      <c r="O365" s="2"/>
      <c r="P365" s="2"/>
      <c r="Q365" s="2"/>
      <c r="R365" s="2"/>
      <c r="S365" s="2"/>
      <c r="T365" s="2"/>
      <c r="U365" s="2"/>
      <c r="V365" s="2"/>
      <c r="W365" s="2"/>
      <c r="X365" s="2"/>
      <c r="Y365" s="2"/>
      <c r="Z365" s="2"/>
      <c r="AA365" s="2"/>
    </row>
    <row r="366" spans="1:27" ht="13.15">
      <c r="A366" s="12"/>
      <c r="B366" s="45"/>
      <c r="C366" s="45"/>
      <c r="D366" s="45"/>
      <c r="E366" s="45"/>
      <c r="F366" s="45"/>
      <c r="G366" s="45"/>
      <c r="H366" s="45"/>
      <c r="I366" s="45"/>
      <c r="J366" s="45"/>
      <c r="K366" s="45"/>
      <c r="L366" s="45"/>
      <c r="M366" s="45"/>
      <c r="N366" s="2"/>
      <c r="O366" s="2"/>
      <c r="P366" s="2"/>
      <c r="Q366" s="2"/>
      <c r="R366" s="2"/>
      <c r="S366" s="2"/>
      <c r="T366" s="2"/>
      <c r="U366" s="2"/>
      <c r="V366" s="2"/>
      <c r="W366" s="2"/>
      <c r="X366" s="2"/>
      <c r="Y366" s="2"/>
      <c r="Z366" s="2"/>
      <c r="AA366" s="2"/>
    </row>
    <row r="367" spans="1:27" ht="13.15">
      <c r="A367" s="12"/>
      <c r="B367" s="45"/>
      <c r="C367" s="45"/>
      <c r="D367" s="45"/>
      <c r="E367" s="45"/>
      <c r="F367" s="45"/>
      <c r="G367" s="45"/>
      <c r="H367" s="45"/>
      <c r="I367" s="45"/>
      <c r="J367" s="45"/>
      <c r="K367" s="45"/>
      <c r="L367" s="45"/>
      <c r="M367" s="45"/>
      <c r="N367" s="2"/>
      <c r="O367" s="2"/>
      <c r="P367" s="2"/>
      <c r="Q367" s="2"/>
      <c r="R367" s="2"/>
      <c r="S367" s="2"/>
      <c r="T367" s="2"/>
      <c r="U367" s="2"/>
      <c r="V367" s="2"/>
      <c r="W367" s="2"/>
      <c r="X367" s="2"/>
      <c r="Y367" s="2"/>
      <c r="Z367" s="2"/>
      <c r="AA367" s="2"/>
    </row>
    <row r="368" spans="1:27" ht="13.15">
      <c r="A368" s="12"/>
      <c r="B368" s="45"/>
      <c r="C368" s="45"/>
      <c r="D368" s="45"/>
      <c r="E368" s="45"/>
      <c r="F368" s="45"/>
      <c r="G368" s="45"/>
      <c r="H368" s="45"/>
      <c r="I368" s="45"/>
      <c r="J368" s="45"/>
      <c r="K368" s="45"/>
      <c r="L368" s="45"/>
      <c r="M368" s="45"/>
      <c r="N368" s="2"/>
      <c r="O368" s="2"/>
      <c r="P368" s="2"/>
      <c r="Q368" s="2"/>
      <c r="R368" s="2"/>
      <c r="S368" s="2"/>
      <c r="T368" s="2"/>
      <c r="U368" s="2"/>
      <c r="V368" s="2"/>
      <c r="W368" s="2"/>
      <c r="X368" s="2"/>
      <c r="Y368" s="2"/>
      <c r="Z368" s="2"/>
      <c r="AA368" s="2"/>
    </row>
    <row r="369" spans="1:27" ht="13.15">
      <c r="A369" s="12"/>
      <c r="B369" s="45"/>
      <c r="C369" s="45"/>
      <c r="D369" s="45"/>
      <c r="E369" s="45"/>
      <c r="F369" s="45"/>
      <c r="G369" s="45"/>
      <c r="H369" s="45"/>
      <c r="I369" s="45"/>
      <c r="J369" s="45"/>
      <c r="K369" s="45"/>
      <c r="L369" s="45"/>
      <c r="M369" s="45"/>
      <c r="N369" s="2"/>
      <c r="O369" s="2"/>
      <c r="P369" s="2"/>
      <c r="Q369" s="2"/>
      <c r="R369" s="2"/>
      <c r="S369" s="2"/>
      <c r="T369" s="2"/>
      <c r="U369" s="2"/>
      <c r="V369" s="2"/>
      <c r="W369" s="2"/>
      <c r="X369" s="2"/>
      <c r="Y369" s="2"/>
      <c r="Z369" s="2"/>
      <c r="AA369" s="2"/>
    </row>
    <row r="370" spans="1:27" ht="13.15">
      <c r="A370" s="12"/>
      <c r="B370" s="45"/>
      <c r="C370" s="45"/>
      <c r="D370" s="45"/>
      <c r="E370" s="45"/>
      <c r="F370" s="45"/>
      <c r="G370" s="45"/>
      <c r="H370" s="45"/>
      <c r="I370" s="45"/>
      <c r="J370" s="45"/>
      <c r="K370" s="45"/>
      <c r="L370" s="45"/>
      <c r="M370" s="45"/>
      <c r="N370" s="2"/>
      <c r="O370" s="2"/>
      <c r="P370" s="2"/>
      <c r="Q370" s="2"/>
      <c r="R370" s="2"/>
      <c r="S370" s="2"/>
      <c r="T370" s="2"/>
      <c r="U370" s="2"/>
      <c r="V370" s="2"/>
      <c r="W370" s="2"/>
      <c r="X370" s="2"/>
      <c r="Y370" s="2"/>
      <c r="Z370" s="2"/>
      <c r="AA370" s="2"/>
    </row>
    <row r="371" spans="1:27" ht="13.15">
      <c r="A371" s="12"/>
      <c r="B371" s="45"/>
      <c r="C371" s="45"/>
      <c r="D371" s="45"/>
      <c r="E371" s="45"/>
      <c r="F371" s="45"/>
      <c r="G371" s="45"/>
      <c r="H371" s="45"/>
      <c r="I371" s="45"/>
      <c r="J371" s="45"/>
      <c r="K371" s="45"/>
      <c r="L371" s="45"/>
      <c r="M371" s="45"/>
      <c r="N371" s="2"/>
      <c r="O371" s="2"/>
      <c r="P371" s="2"/>
      <c r="Q371" s="2"/>
      <c r="R371" s="2"/>
      <c r="S371" s="2"/>
      <c r="T371" s="2"/>
      <c r="U371" s="2"/>
      <c r="V371" s="2"/>
      <c r="W371" s="2"/>
      <c r="X371" s="2"/>
      <c r="Y371" s="2"/>
      <c r="Z371" s="2"/>
      <c r="AA371" s="2"/>
    </row>
    <row r="372" spans="1:27" ht="13.15">
      <c r="A372" s="12"/>
      <c r="B372" s="45"/>
      <c r="C372" s="45"/>
      <c r="D372" s="45"/>
      <c r="E372" s="45"/>
      <c r="F372" s="45"/>
      <c r="G372" s="45"/>
      <c r="H372" s="45"/>
      <c r="I372" s="45"/>
      <c r="J372" s="45"/>
      <c r="K372" s="45"/>
      <c r="L372" s="45"/>
      <c r="M372" s="45"/>
      <c r="N372" s="2"/>
      <c r="O372" s="2"/>
      <c r="P372" s="2"/>
      <c r="Q372" s="2"/>
      <c r="R372" s="2"/>
      <c r="S372" s="2"/>
      <c r="T372" s="2"/>
      <c r="U372" s="2"/>
      <c r="V372" s="2"/>
      <c r="W372" s="2"/>
      <c r="X372" s="2"/>
      <c r="Y372" s="2"/>
      <c r="Z372" s="2"/>
      <c r="AA372" s="2"/>
    </row>
    <row r="373" spans="1:27" ht="13.15">
      <c r="A373" s="12"/>
      <c r="B373" s="45"/>
      <c r="C373" s="45"/>
      <c r="D373" s="45"/>
      <c r="E373" s="45"/>
      <c r="F373" s="45"/>
      <c r="G373" s="45"/>
      <c r="H373" s="45"/>
      <c r="I373" s="45"/>
      <c r="J373" s="45"/>
      <c r="K373" s="45"/>
      <c r="L373" s="45"/>
      <c r="M373" s="45"/>
      <c r="N373" s="2"/>
      <c r="O373" s="2"/>
      <c r="P373" s="2"/>
      <c r="Q373" s="2"/>
      <c r="R373" s="2"/>
      <c r="S373" s="2"/>
      <c r="T373" s="2"/>
      <c r="U373" s="2"/>
      <c r="V373" s="2"/>
      <c r="W373" s="2"/>
      <c r="X373" s="2"/>
      <c r="Y373" s="2"/>
      <c r="Z373" s="2"/>
      <c r="AA373" s="2"/>
    </row>
    <row r="374" spans="1:27" ht="13.15">
      <c r="A374" s="12"/>
      <c r="B374" s="45"/>
      <c r="C374" s="45"/>
      <c r="D374" s="45"/>
      <c r="E374" s="45"/>
      <c r="F374" s="45"/>
      <c r="G374" s="45"/>
      <c r="H374" s="45"/>
      <c r="I374" s="45"/>
      <c r="J374" s="45"/>
      <c r="K374" s="45"/>
      <c r="L374" s="45"/>
      <c r="M374" s="45"/>
      <c r="N374" s="2"/>
      <c r="O374" s="2"/>
      <c r="P374" s="2"/>
      <c r="Q374" s="2"/>
      <c r="R374" s="2"/>
      <c r="S374" s="2"/>
      <c r="T374" s="2"/>
      <c r="U374" s="2"/>
      <c r="V374" s="2"/>
      <c r="W374" s="2"/>
      <c r="X374" s="2"/>
      <c r="Y374" s="2"/>
      <c r="Z374" s="2"/>
      <c r="AA374" s="2"/>
    </row>
    <row r="375" spans="1:27" ht="13.15">
      <c r="A375" s="12"/>
      <c r="B375" s="45"/>
      <c r="C375" s="45"/>
      <c r="D375" s="45"/>
      <c r="E375" s="45"/>
      <c r="F375" s="45"/>
      <c r="G375" s="45"/>
      <c r="H375" s="45"/>
      <c r="I375" s="45"/>
      <c r="J375" s="45"/>
      <c r="K375" s="45"/>
      <c r="L375" s="45"/>
      <c r="M375" s="45"/>
      <c r="N375" s="2"/>
      <c r="O375" s="2"/>
      <c r="P375" s="2"/>
      <c r="Q375" s="2"/>
      <c r="R375" s="2"/>
      <c r="S375" s="2"/>
      <c r="T375" s="2"/>
      <c r="U375" s="2"/>
      <c r="V375" s="2"/>
      <c r="W375" s="2"/>
      <c r="X375" s="2"/>
      <c r="Y375" s="2"/>
      <c r="Z375" s="2"/>
      <c r="AA375" s="2"/>
    </row>
    <row r="376" spans="1:27" ht="13.15">
      <c r="A376" s="12"/>
      <c r="B376" s="45"/>
      <c r="C376" s="45"/>
      <c r="D376" s="45"/>
      <c r="E376" s="45"/>
      <c r="F376" s="45"/>
      <c r="G376" s="45"/>
      <c r="H376" s="45"/>
      <c r="I376" s="45"/>
      <c r="J376" s="45"/>
      <c r="K376" s="45"/>
      <c r="L376" s="45"/>
      <c r="M376" s="45"/>
      <c r="N376" s="2"/>
      <c r="O376" s="2"/>
      <c r="P376" s="2"/>
      <c r="Q376" s="2"/>
      <c r="R376" s="2"/>
      <c r="S376" s="2"/>
      <c r="T376" s="2"/>
      <c r="U376" s="2"/>
      <c r="V376" s="2"/>
      <c r="W376" s="2"/>
      <c r="X376" s="2"/>
      <c r="Y376" s="2"/>
      <c r="Z376" s="2"/>
      <c r="AA376" s="2"/>
    </row>
    <row r="377" spans="1:27" ht="13.15">
      <c r="A377" s="12"/>
      <c r="B377" s="45"/>
      <c r="C377" s="45"/>
      <c r="D377" s="45"/>
      <c r="E377" s="45"/>
      <c r="F377" s="45"/>
      <c r="G377" s="45"/>
      <c r="H377" s="45"/>
      <c r="I377" s="45"/>
      <c r="J377" s="45"/>
      <c r="K377" s="45"/>
      <c r="L377" s="45"/>
      <c r="M377" s="45"/>
      <c r="N377" s="2"/>
      <c r="O377" s="2"/>
      <c r="P377" s="2"/>
      <c r="Q377" s="2"/>
      <c r="R377" s="2"/>
      <c r="S377" s="2"/>
      <c r="T377" s="2"/>
      <c r="U377" s="2"/>
      <c r="V377" s="2"/>
      <c r="W377" s="2"/>
      <c r="X377" s="2"/>
      <c r="Y377" s="2"/>
      <c r="Z377" s="2"/>
      <c r="AA377" s="2"/>
    </row>
    <row r="378" spans="1:27" ht="13.15">
      <c r="A378" s="12"/>
      <c r="B378" s="45"/>
      <c r="C378" s="45"/>
      <c r="D378" s="45"/>
      <c r="E378" s="45"/>
      <c r="F378" s="45"/>
      <c r="G378" s="45"/>
      <c r="H378" s="45"/>
      <c r="I378" s="45"/>
      <c r="J378" s="45"/>
      <c r="K378" s="45"/>
      <c r="L378" s="45"/>
      <c r="M378" s="45"/>
      <c r="N378" s="2"/>
      <c r="O378" s="2"/>
      <c r="P378" s="2"/>
      <c r="Q378" s="2"/>
      <c r="R378" s="2"/>
      <c r="S378" s="2"/>
      <c r="T378" s="2"/>
      <c r="U378" s="2"/>
      <c r="V378" s="2"/>
      <c r="W378" s="2"/>
      <c r="X378" s="2"/>
      <c r="Y378" s="2"/>
      <c r="Z378" s="2"/>
      <c r="AA378" s="2"/>
    </row>
    <row r="379" spans="1:27" ht="13.15">
      <c r="A379" s="12"/>
      <c r="B379" s="45"/>
      <c r="C379" s="45"/>
      <c r="D379" s="45"/>
      <c r="E379" s="45"/>
      <c r="F379" s="45"/>
      <c r="G379" s="45"/>
      <c r="H379" s="45"/>
      <c r="I379" s="45"/>
      <c r="J379" s="45"/>
      <c r="K379" s="45"/>
      <c r="L379" s="45"/>
      <c r="M379" s="45"/>
      <c r="N379" s="2"/>
      <c r="O379" s="2"/>
      <c r="P379" s="2"/>
      <c r="Q379" s="2"/>
      <c r="R379" s="2"/>
      <c r="S379" s="2"/>
      <c r="T379" s="2"/>
      <c r="U379" s="2"/>
      <c r="V379" s="2"/>
      <c r="W379" s="2"/>
      <c r="X379" s="2"/>
      <c r="Y379" s="2"/>
      <c r="Z379" s="2"/>
      <c r="AA379" s="2"/>
    </row>
    <row r="380" spans="1:27" ht="13.15">
      <c r="A380" s="12"/>
      <c r="B380" s="45"/>
      <c r="C380" s="45"/>
      <c r="D380" s="45"/>
      <c r="E380" s="45"/>
      <c r="F380" s="45"/>
      <c r="G380" s="45"/>
      <c r="H380" s="45"/>
      <c r="I380" s="45"/>
      <c r="J380" s="45"/>
      <c r="K380" s="45"/>
      <c r="L380" s="45"/>
      <c r="M380" s="45"/>
      <c r="N380" s="2"/>
      <c r="O380" s="2"/>
      <c r="P380" s="2"/>
      <c r="Q380" s="2"/>
      <c r="R380" s="2"/>
      <c r="S380" s="2"/>
      <c r="T380" s="2"/>
      <c r="U380" s="2"/>
      <c r="V380" s="2"/>
      <c r="W380" s="2"/>
      <c r="X380" s="2"/>
      <c r="Y380" s="2"/>
      <c r="Z380" s="2"/>
      <c r="AA380" s="2"/>
    </row>
    <row r="381" spans="1:27" ht="13.15">
      <c r="A381" s="12"/>
      <c r="B381" s="45"/>
      <c r="C381" s="45"/>
      <c r="D381" s="45"/>
      <c r="E381" s="45"/>
      <c r="F381" s="45"/>
      <c r="G381" s="45"/>
      <c r="H381" s="45"/>
      <c r="I381" s="45"/>
      <c r="J381" s="45"/>
      <c r="K381" s="45"/>
      <c r="L381" s="45"/>
      <c r="M381" s="45"/>
      <c r="N381" s="2"/>
      <c r="O381" s="2"/>
      <c r="P381" s="2"/>
      <c r="Q381" s="2"/>
      <c r="R381" s="2"/>
      <c r="S381" s="2"/>
      <c r="T381" s="2"/>
      <c r="U381" s="2"/>
      <c r="V381" s="2"/>
      <c r="W381" s="2"/>
      <c r="X381" s="2"/>
      <c r="Y381" s="2"/>
      <c r="Z381" s="2"/>
      <c r="AA381" s="2"/>
    </row>
    <row r="382" spans="1:27" ht="13.15">
      <c r="A382" s="12"/>
      <c r="B382" s="45"/>
      <c r="C382" s="45"/>
      <c r="D382" s="45"/>
      <c r="E382" s="45"/>
      <c r="F382" s="45"/>
      <c r="G382" s="45"/>
      <c r="H382" s="45"/>
      <c r="I382" s="45"/>
      <c r="J382" s="45"/>
      <c r="K382" s="45"/>
      <c r="L382" s="45"/>
      <c r="M382" s="45"/>
      <c r="N382" s="2"/>
      <c r="O382" s="2"/>
      <c r="P382" s="2"/>
      <c r="Q382" s="2"/>
      <c r="R382" s="2"/>
      <c r="S382" s="2"/>
      <c r="T382" s="2"/>
      <c r="U382" s="2"/>
      <c r="V382" s="2"/>
      <c r="W382" s="2"/>
      <c r="X382" s="2"/>
      <c r="Y382" s="2"/>
      <c r="Z382" s="2"/>
      <c r="AA382" s="2"/>
    </row>
    <row r="383" spans="1:27" ht="13.15">
      <c r="A383" s="12"/>
      <c r="B383" s="45"/>
      <c r="C383" s="45"/>
      <c r="D383" s="45"/>
      <c r="E383" s="45"/>
      <c r="F383" s="45"/>
      <c r="G383" s="45"/>
      <c r="H383" s="45"/>
      <c r="I383" s="45"/>
      <c r="J383" s="45"/>
      <c r="K383" s="45"/>
      <c r="L383" s="45"/>
      <c r="M383" s="45"/>
      <c r="N383" s="2"/>
      <c r="O383" s="2"/>
      <c r="P383" s="2"/>
      <c r="Q383" s="2"/>
      <c r="R383" s="2"/>
      <c r="S383" s="2"/>
      <c r="T383" s="2"/>
      <c r="U383" s="2"/>
      <c r="V383" s="2"/>
      <c r="W383" s="2"/>
      <c r="X383" s="2"/>
      <c r="Y383" s="2"/>
      <c r="Z383" s="2"/>
      <c r="AA383" s="2"/>
    </row>
    <row r="384" spans="1:27" ht="13.15">
      <c r="A384" s="12"/>
      <c r="B384" s="45"/>
      <c r="C384" s="45"/>
      <c r="D384" s="45"/>
      <c r="E384" s="45"/>
      <c r="F384" s="45"/>
      <c r="G384" s="45"/>
      <c r="H384" s="45"/>
      <c r="I384" s="45"/>
      <c r="J384" s="45"/>
      <c r="K384" s="45"/>
      <c r="L384" s="45"/>
      <c r="M384" s="45"/>
      <c r="N384" s="2"/>
      <c r="O384" s="2"/>
      <c r="P384" s="2"/>
      <c r="Q384" s="2"/>
      <c r="R384" s="2"/>
      <c r="S384" s="2"/>
      <c r="T384" s="2"/>
      <c r="U384" s="2"/>
      <c r="V384" s="2"/>
      <c r="W384" s="2"/>
      <c r="X384" s="2"/>
      <c r="Y384" s="2"/>
      <c r="Z384" s="2"/>
      <c r="AA384" s="2"/>
    </row>
    <row r="385" spans="1:27" ht="13.15">
      <c r="A385" s="12"/>
      <c r="B385" s="45"/>
      <c r="C385" s="45"/>
      <c r="D385" s="45"/>
      <c r="E385" s="45"/>
      <c r="F385" s="45"/>
      <c r="G385" s="45"/>
      <c r="H385" s="45"/>
      <c r="I385" s="45"/>
      <c r="J385" s="45"/>
      <c r="K385" s="45"/>
      <c r="L385" s="45"/>
      <c r="M385" s="45"/>
      <c r="N385" s="2"/>
      <c r="O385" s="2"/>
      <c r="P385" s="2"/>
      <c r="Q385" s="2"/>
      <c r="R385" s="2"/>
      <c r="S385" s="2"/>
      <c r="T385" s="2"/>
      <c r="U385" s="2"/>
      <c r="V385" s="2"/>
      <c r="W385" s="2"/>
      <c r="X385" s="2"/>
      <c r="Y385" s="2"/>
      <c r="Z385" s="2"/>
      <c r="AA385" s="2"/>
    </row>
    <row r="386" spans="1:27" ht="13.15">
      <c r="A386" s="12"/>
      <c r="B386" s="45"/>
      <c r="C386" s="45"/>
      <c r="D386" s="45"/>
      <c r="E386" s="45"/>
      <c r="F386" s="45"/>
      <c r="G386" s="45"/>
      <c r="H386" s="45"/>
      <c r="I386" s="45"/>
      <c r="J386" s="45"/>
      <c r="K386" s="45"/>
      <c r="L386" s="45"/>
      <c r="M386" s="45"/>
      <c r="N386" s="2"/>
      <c r="O386" s="2"/>
      <c r="P386" s="2"/>
      <c r="Q386" s="2"/>
      <c r="R386" s="2"/>
      <c r="S386" s="2"/>
      <c r="T386" s="2"/>
      <c r="U386" s="2"/>
      <c r="V386" s="2"/>
      <c r="W386" s="2"/>
      <c r="X386" s="2"/>
      <c r="Y386" s="2"/>
      <c r="Z386" s="2"/>
      <c r="AA386" s="2"/>
    </row>
    <row r="387" spans="1:27" ht="13.15">
      <c r="A387" s="12"/>
      <c r="B387" s="45"/>
      <c r="C387" s="45"/>
      <c r="D387" s="45"/>
      <c r="E387" s="45"/>
      <c r="F387" s="45"/>
      <c r="G387" s="45"/>
      <c r="H387" s="45"/>
      <c r="I387" s="45"/>
      <c r="J387" s="45"/>
      <c r="K387" s="45"/>
      <c r="L387" s="45"/>
      <c r="M387" s="45"/>
      <c r="N387" s="2"/>
      <c r="O387" s="2"/>
      <c r="P387" s="2"/>
      <c r="Q387" s="2"/>
      <c r="R387" s="2"/>
      <c r="S387" s="2"/>
      <c r="T387" s="2"/>
      <c r="U387" s="2"/>
      <c r="V387" s="2"/>
      <c r="W387" s="2"/>
      <c r="X387" s="2"/>
      <c r="Y387" s="2"/>
      <c r="Z387" s="2"/>
      <c r="AA387" s="2"/>
    </row>
    <row r="388" spans="1:27" ht="13.15">
      <c r="A388" s="12"/>
      <c r="B388" s="45"/>
      <c r="C388" s="45"/>
      <c r="D388" s="45"/>
      <c r="E388" s="45"/>
      <c r="F388" s="45"/>
      <c r="G388" s="45"/>
      <c r="H388" s="45"/>
      <c r="I388" s="45"/>
      <c r="J388" s="45"/>
      <c r="K388" s="45"/>
      <c r="L388" s="45"/>
      <c r="M388" s="45"/>
      <c r="N388" s="2"/>
      <c r="O388" s="2"/>
      <c r="P388" s="2"/>
      <c r="Q388" s="2"/>
      <c r="R388" s="2"/>
      <c r="S388" s="2"/>
      <c r="T388" s="2"/>
      <c r="U388" s="2"/>
      <c r="V388" s="2"/>
      <c r="W388" s="2"/>
      <c r="X388" s="2"/>
      <c r="Y388" s="2"/>
      <c r="Z388" s="2"/>
      <c r="AA388" s="2"/>
    </row>
    <row r="389" spans="1:27" ht="13.15">
      <c r="A389" s="12"/>
      <c r="B389" s="45"/>
      <c r="C389" s="45"/>
      <c r="D389" s="45"/>
      <c r="E389" s="45"/>
      <c r="F389" s="45"/>
      <c r="G389" s="45"/>
      <c r="H389" s="45"/>
      <c r="I389" s="45"/>
      <c r="J389" s="45"/>
      <c r="K389" s="45"/>
      <c r="L389" s="45"/>
      <c r="M389" s="45"/>
      <c r="N389" s="2"/>
      <c r="O389" s="2"/>
      <c r="P389" s="2"/>
      <c r="Q389" s="2"/>
      <c r="R389" s="2"/>
      <c r="S389" s="2"/>
      <c r="T389" s="2"/>
      <c r="U389" s="2"/>
      <c r="V389" s="2"/>
      <c r="W389" s="2"/>
      <c r="X389" s="2"/>
      <c r="Y389" s="2"/>
      <c r="Z389" s="2"/>
      <c r="AA389" s="2"/>
    </row>
    <row r="390" spans="1:27" ht="13.15">
      <c r="A390" s="12"/>
      <c r="B390" s="45"/>
      <c r="C390" s="45"/>
      <c r="D390" s="45"/>
      <c r="E390" s="45"/>
      <c r="F390" s="45"/>
      <c r="G390" s="45"/>
      <c r="H390" s="45"/>
      <c r="I390" s="45"/>
      <c r="J390" s="45"/>
      <c r="K390" s="45"/>
      <c r="L390" s="45"/>
      <c r="M390" s="45"/>
      <c r="N390" s="2"/>
      <c r="O390" s="2"/>
      <c r="P390" s="2"/>
      <c r="Q390" s="2"/>
      <c r="R390" s="2"/>
      <c r="S390" s="2"/>
      <c r="T390" s="2"/>
      <c r="U390" s="2"/>
      <c r="V390" s="2"/>
      <c r="W390" s="2"/>
      <c r="X390" s="2"/>
      <c r="Y390" s="2"/>
      <c r="Z390" s="2"/>
      <c r="AA390" s="2"/>
    </row>
    <row r="391" spans="1:27" ht="13.15">
      <c r="A391" s="12"/>
      <c r="B391" s="45"/>
      <c r="C391" s="45"/>
      <c r="D391" s="45"/>
      <c r="E391" s="45"/>
      <c r="F391" s="45"/>
      <c r="G391" s="45"/>
      <c r="H391" s="45"/>
      <c r="I391" s="45"/>
      <c r="J391" s="45"/>
      <c r="K391" s="45"/>
      <c r="L391" s="45"/>
      <c r="M391" s="45"/>
      <c r="N391" s="2"/>
      <c r="O391" s="2"/>
      <c r="P391" s="2"/>
      <c r="Q391" s="2"/>
      <c r="R391" s="2"/>
      <c r="S391" s="2"/>
      <c r="T391" s="2"/>
      <c r="U391" s="2"/>
      <c r="V391" s="2"/>
      <c r="W391" s="2"/>
      <c r="X391" s="2"/>
      <c r="Y391" s="2"/>
      <c r="Z391" s="2"/>
      <c r="AA391" s="2"/>
    </row>
    <row r="392" spans="1:27" ht="13.15">
      <c r="A392" s="12"/>
      <c r="B392" s="45"/>
      <c r="C392" s="45"/>
      <c r="D392" s="45"/>
      <c r="E392" s="45"/>
      <c r="F392" s="45"/>
      <c r="G392" s="45"/>
      <c r="H392" s="45"/>
      <c r="I392" s="45"/>
      <c r="J392" s="45"/>
      <c r="K392" s="45"/>
      <c r="L392" s="45"/>
      <c r="M392" s="45"/>
      <c r="N392" s="2"/>
      <c r="O392" s="2"/>
      <c r="P392" s="2"/>
      <c r="Q392" s="2"/>
      <c r="R392" s="2"/>
      <c r="S392" s="2"/>
      <c r="T392" s="2"/>
      <c r="U392" s="2"/>
      <c r="V392" s="2"/>
      <c r="W392" s="2"/>
      <c r="X392" s="2"/>
      <c r="Y392" s="2"/>
      <c r="Z392" s="2"/>
      <c r="AA392" s="2"/>
    </row>
    <row r="393" spans="1:27" ht="13.15">
      <c r="A393" s="12"/>
      <c r="B393" s="45"/>
      <c r="C393" s="45"/>
      <c r="D393" s="45"/>
      <c r="E393" s="45"/>
      <c r="F393" s="45"/>
      <c r="G393" s="45"/>
      <c r="H393" s="45"/>
      <c r="I393" s="45"/>
      <c r="J393" s="45"/>
      <c r="K393" s="45"/>
      <c r="L393" s="45"/>
      <c r="M393" s="45"/>
      <c r="N393" s="2"/>
      <c r="O393" s="2"/>
      <c r="P393" s="2"/>
      <c r="Q393" s="2"/>
      <c r="R393" s="2"/>
      <c r="S393" s="2"/>
      <c r="T393" s="2"/>
      <c r="U393" s="2"/>
      <c r="V393" s="2"/>
      <c r="W393" s="2"/>
      <c r="X393" s="2"/>
      <c r="Y393" s="2"/>
      <c r="Z393" s="2"/>
      <c r="AA393" s="2"/>
    </row>
    <row r="394" spans="1:27" ht="13.15">
      <c r="A394" s="12"/>
      <c r="B394" s="45"/>
      <c r="C394" s="45"/>
      <c r="D394" s="45"/>
      <c r="E394" s="45"/>
      <c r="F394" s="45"/>
      <c r="G394" s="45"/>
      <c r="H394" s="45"/>
      <c r="I394" s="45"/>
      <c r="J394" s="45"/>
      <c r="K394" s="45"/>
      <c r="L394" s="45"/>
      <c r="M394" s="45"/>
      <c r="N394" s="2"/>
      <c r="O394" s="2"/>
      <c r="P394" s="2"/>
      <c r="Q394" s="2"/>
      <c r="R394" s="2"/>
      <c r="S394" s="2"/>
      <c r="T394" s="2"/>
      <c r="U394" s="2"/>
      <c r="V394" s="2"/>
      <c r="W394" s="2"/>
      <c r="X394" s="2"/>
      <c r="Y394" s="2"/>
      <c r="Z394" s="2"/>
      <c r="AA394" s="2"/>
    </row>
    <row r="395" spans="1:27" ht="13.15">
      <c r="A395" s="12"/>
      <c r="B395" s="45"/>
      <c r="C395" s="45"/>
      <c r="D395" s="45"/>
      <c r="E395" s="45"/>
      <c r="F395" s="45"/>
      <c r="G395" s="45"/>
      <c r="H395" s="45"/>
      <c r="I395" s="45"/>
      <c r="J395" s="45"/>
      <c r="K395" s="45"/>
      <c r="L395" s="45"/>
      <c r="M395" s="45"/>
      <c r="N395" s="2"/>
      <c r="O395" s="2"/>
      <c r="P395" s="2"/>
      <c r="Q395" s="2"/>
      <c r="R395" s="2"/>
      <c r="S395" s="2"/>
      <c r="T395" s="2"/>
      <c r="U395" s="2"/>
      <c r="V395" s="2"/>
      <c r="W395" s="2"/>
      <c r="X395" s="2"/>
      <c r="Y395" s="2"/>
      <c r="Z395" s="2"/>
      <c r="AA395" s="2"/>
    </row>
    <row r="396" spans="1:27" ht="13.15">
      <c r="A396" s="12"/>
      <c r="B396" s="45"/>
      <c r="C396" s="45"/>
      <c r="D396" s="45"/>
      <c r="E396" s="45"/>
      <c r="F396" s="45"/>
      <c r="G396" s="45"/>
      <c r="H396" s="45"/>
      <c r="I396" s="45"/>
      <c r="J396" s="45"/>
      <c r="K396" s="45"/>
      <c r="L396" s="45"/>
      <c r="M396" s="45"/>
      <c r="N396" s="2"/>
      <c r="O396" s="2"/>
      <c r="P396" s="2"/>
      <c r="Q396" s="2"/>
      <c r="R396" s="2"/>
      <c r="S396" s="2"/>
      <c r="T396" s="2"/>
      <c r="U396" s="2"/>
      <c r="V396" s="2"/>
      <c r="W396" s="2"/>
      <c r="X396" s="2"/>
      <c r="Y396" s="2"/>
      <c r="Z396" s="2"/>
      <c r="AA396" s="2"/>
    </row>
    <row r="397" spans="1:27" ht="13.15">
      <c r="A397" s="12"/>
      <c r="B397" s="45"/>
      <c r="C397" s="45"/>
      <c r="D397" s="45"/>
      <c r="E397" s="45"/>
      <c r="F397" s="45"/>
      <c r="G397" s="45"/>
      <c r="H397" s="45"/>
      <c r="I397" s="45"/>
      <c r="J397" s="45"/>
      <c r="K397" s="45"/>
      <c r="L397" s="45"/>
      <c r="M397" s="45"/>
      <c r="N397" s="2"/>
      <c r="O397" s="2"/>
      <c r="P397" s="2"/>
      <c r="Q397" s="2"/>
      <c r="R397" s="2"/>
      <c r="S397" s="2"/>
      <c r="T397" s="2"/>
      <c r="U397" s="2"/>
      <c r="V397" s="2"/>
      <c r="W397" s="2"/>
      <c r="X397" s="2"/>
      <c r="Y397" s="2"/>
      <c r="Z397" s="2"/>
      <c r="AA397" s="2"/>
    </row>
    <row r="398" spans="1:27" ht="13.15">
      <c r="A398" s="12"/>
      <c r="B398" s="45"/>
      <c r="C398" s="45"/>
      <c r="D398" s="45"/>
      <c r="E398" s="45"/>
      <c r="F398" s="45"/>
      <c r="G398" s="45"/>
      <c r="H398" s="45"/>
      <c r="I398" s="45"/>
      <c r="J398" s="45"/>
      <c r="K398" s="45"/>
      <c r="L398" s="45"/>
      <c r="M398" s="45"/>
      <c r="N398" s="2"/>
      <c r="O398" s="2"/>
      <c r="P398" s="2"/>
      <c r="Q398" s="2"/>
      <c r="R398" s="2"/>
      <c r="S398" s="2"/>
      <c r="T398" s="2"/>
      <c r="U398" s="2"/>
      <c r="V398" s="2"/>
      <c r="W398" s="2"/>
      <c r="X398" s="2"/>
      <c r="Y398" s="2"/>
      <c r="Z398" s="2"/>
      <c r="AA398" s="2"/>
    </row>
    <row r="399" spans="1:27" ht="13.15">
      <c r="A399" s="12"/>
      <c r="B399" s="45"/>
      <c r="C399" s="45"/>
      <c r="D399" s="45"/>
      <c r="E399" s="45"/>
      <c r="F399" s="45"/>
      <c r="G399" s="45"/>
      <c r="H399" s="45"/>
      <c r="I399" s="45"/>
      <c r="J399" s="45"/>
      <c r="K399" s="45"/>
      <c r="L399" s="45"/>
      <c r="M399" s="45"/>
      <c r="N399" s="2"/>
      <c r="O399" s="2"/>
      <c r="P399" s="2"/>
      <c r="Q399" s="2"/>
      <c r="R399" s="2"/>
      <c r="S399" s="2"/>
      <c r="T399" s="2"/>
      <c r="U399" s="2"/>
      <c r="V399" s="2"/>
      <c r="W399" s="2"/>
      <c r="X399" s="2"/>
      <c r="Y399" s="2"/>
      <c r="Z399" s="2"/>
      <c r="AA399" s="2"/>
    </row>
    <row r="400" spans="1:27" ht="13.15">
      <c r="A400" s="12"/>
      <c r="B400" s="45"/>
      <c r="C400" s="45"/>
      <c r="D400" s="45"/>
      <c r="E400" s="45"/>
      <c r="F400" s="45"/>
      <c r="G400" s="45"/>
      <c r="H400" s="45"/>
      <c r="I400" s="45"/>
      <c r="J400" s="45"/>
      <c r="K400" s="45"/>
      <c r="L400" s="45"/>
      <c r="M400" s="45"/>
      <c r="N400" s="2"/>
      <c r="O400" s="2"/>
      <c r="P400" s="2"/>
      <c r="Q400" s="2"/>
      <c r="R400" s="2"/>
      <c r="S400" s="2"/>
      <c r="T400" s="2"/>
      <c r="U400" s="2"/>
      <c r="V400" s="2"/>
      <c r="W400" s="2"/>
      <c r="X400" s="2"/>
      <c r="Y400" s="2"/>
      <c r="Z400" s="2"/>
      <c r="AA400" s="2"/>
    </row>
    <row r="401" spans="1:27" ht="13.15">
      <c r="A401" s="12"/>
      <c r="B401" s="45"/>
      <c r="C401" s="45"/>
      <c r="D401" s="45"/>
      <c r="E401" s="45"/>
      <c r="F401" s="45"/>
      <c r="G401" s="45"/>
      <c r="H401" s="45"/>
      <c r="I401" s="45"/>
      <c r="J401" s="45"/>
      <c r="K401" s="45"/>
      <c r="L401" s="45"/>
      <c r="M401" s="45"/>
      <c r="N401" s="2"/>
      <c r="O401" s="2"/>
      <c r="P401" s="2"/>
      <c r="Q401" s="2"/>
      <c r="R401" s="2"/>
      <c r="S401" s="2"/>
      <c r="T401" s="2"/>
      <c r="U401" s="2"/>
      <c r="V401" s="2"/>
      <c r="W401" s="2"/>
      <c r="X401" s="2"/>
      <c r="Y401" s="2"/>
      <c r="Z401" s="2"/>
      <c r="AA401" s="2"/>
    </row>
    <row r="402" spans="1:27" ht="13.15">
      <c r="A402" s="12"/>
      <c r="B402" s="45"/>
      <c r="C402" s="45"/>
      <c r="D402" s="45"/>
      <c r="E402" s="45"/>
      <c r="F402" s="45"/>
      <c r="G402" s="45"/>
      <c r="H402" s="45"/>
      <c r="I402" s="45"/>
      <c r="J402" s="45"/>
      <c r="K402" s="45"/>
      <c r="L402" s="45"/>
      <c r="M402" s="45"/>
      <c r="N402" s="2"/>
      <c r="O402" s="2"/>
      <c r="P402" s="2"/>
      <c r="Q402" s="2"/>
      <c r="R402" s="2"/>
      <c r="S402" s="2"/>
      <c r="T402" s="2"/>
      <c r="U402" s="2"/>
      <c r="V402" s="2"/>
      <c r="W402" s="2"/>
      <c r="X402" s="2"/>
      <c r="Y402" s="2"/>
      <c r="Z402" s="2"/>
      <c r="AA402" s="2"/>
    </row>
    <row r="403" spans="1:27" ht="13.15">
      <c r="A403" s="12"/>
      <c r="B403" s="45"/>
      <c r="C403" s="45"/>
      <c r="D403" s="45"/>
      <c r="E403" s="45"/>
      <c r="F403" s="45"/>
      <c r="G403" s="45"/>
      <c r="H403" s="45"/>
      <c r="I403" s="45"/>
      <c r="J403" s="45"/>
      <c r="K403" s="45"/>
      <c r="L403" s="45"/>
      <c r="M403" s="45"/>
      <c r="N403" s="2"/>
      <c r="O403" s="2"/>
      <c r="P403" s="2"/>
      <c r="Q403" s="2"/>
      <c r="R403" s="2"/>
      <c r="S403" s="2"/>
      <c r="T403" s="2"/>
      <c r="U403" s="2"/>
      <c r="V403" s="2"/>
      <c r="W403" s="2"/>
      <c r="X403" s="2"/>
      <c r="Y403" s="2"/>
      <c r="Z403" s="2"/>
      <c r="AA403" s="2"/>
    </row>
    <row r="404" spans="1:27" ht="13.15">
      <c r="A404" s="12"/>
      <c r="B404" s="45"/>
      <c r="C404" s="45"/>
      <c r="D404" s="45"/>
      <c r="E404" s="45"/>
      <c r="F404" s="45"/>
      <c r="G404" s="45"/>
      <c r="H404" s="45"/>
      <c r="I404" s="45"/>
      <c r="J404" s="45"/>
      <c r="K404" s="45"/>
      <c r="L404" s="45"/>
      <c r="M404" s="45"/>
      <c r="N404" s="2"/>
      <c r="O404" s="2"/>
      <c r="P404" s="2"/>
      <c r="Q404" s="2"/>
      <c r="R404" s="2"/>
      <c r="S404" s="2"/>
      <c r="T404" s="2"/>
      <c r="U404" s="2"/>
      <c r="V404" s="2"/>
      <c r="W404" s="2"/>
      <c r="X404" s="2"/>
      <c r="Y404" s="2"/>
      <c r="Z404" s="2"/>
      <c r="AA404" s="2"/>
    </row>
    <row r="405" spans="1:27" ht="13.15">
      <c r="A405" s="12"/>
      <c r="B405" s="45"/>
      <c r="C405" s="45"/>
      <c r="D405" s="45"/>
      <c r="E405" s="45"/>
      <c r="F405" s="45"/>
      <c r="G405" s="45"/>
      <c r="H405" s="45"/>
      <c r="I405" s="45"/>
      <c r="J405" s="45"/>
      <c r="K405" s="45"/>
      <c r="L405" s="45"/>
      <c r="M405" s="45"/>
      <c r="N405" s="2"/>
      <c r="O405" s="2"/>
      <c r="P405" s="2"/>
      <c r="Q405" s="2"/>
      <c r="R405" s="2"/>
      <c r="S405" s="2"/>
      <c r="T405" s="2"/>
      <c r="U405" s="2"/>
      <c r="V405" s="2"/>
      <c r="W405" s="2"/>
      <c r="X405" s="2"/>
      <c r="Y405" s="2"/>
      <c r="Z405" s="2"/>
      <c r="AA405" s="2"/>
    </row>
    <row r="406" spans="1:27" ht="13.15">
      <c r="A406" s="12"/>
      <c r="B406" s="45"/>
      <c r="C406" s="45"/>
      <c r="D406" s="45"/>
      <c r="E406" s="45"/>
      <c r="F406" s="45"/>
      <c r="G406" s="45"/>
      <c r="H406" s="45"/>
      <c r="I406" s="45"/>
      <c r="J406" s="45"/>
      <c r="K406" s="45"/>
      <c r="L406" s="45"/>
      <c r="M406" s="45"/>
      <c r="N406" s="2"/>
      <c r="O406" s="2"/>
      <c r="P406" s="2"/>
      <c r="Q406" s="2"/>
      <c r="R406" s="2"/>
      <c r="S406" s="2"/>
      <c r="T406" s="2"/>
      <c r="U406" s="2"/>
      <c r="V406" s="2"/>
      <c r="W406" s="2"/>
      <c r="X406" s="2"/>
      <c r="Y406" s="2"/>
      <c r="Z406" s="2"/>
      <c r="AA406" s="2"/>
    </row>
    <row r="407" spans="1:27" ht="13.15">
      <c r="A407" s="12"/>
      <c r="B407" s="45"/>
      <c r="C407" s="45"/>
      <c r="D407" s="45"/>
      <c r="E407" s="45"/>
      <c r="F407" s="45"/>
      <c r="G407" s="45"/>
      <c r="H407" s="45"/>
      <c r="I407" s="45"/>
      <c r="J407" s="45"/>
      <c r="K407" s="45"/>
      <c r="L407" s="45"/>
      <c r="M407" s="45"/>
      <c r="N407" s="2"/>
      <c r="O407" s="2"/>
      <c r="P407" s="2"/>
      <c r="Q407" s="2"/>
      <c r="R407" s="2"/>
      <c r="S407" s="2"/>
      <c r="T407" s="2"/>
      <c r="U407" s="2"/>
      <c r="V407" s="2"/>
      <c r="W407" s="2"/>
      <c r="X407" s="2"/>
      <c r="Y407" s="2"/>
      <c r="Z407" s="2"/>
      <c r="AA407" s="2"/>
    </row>
    <row r="408" spans="1:27" ht="13.15">
      <c r="A408" s="12"/>
      <c r="B408" s="45"/>
      <c r="C408" s="45"/>
      <c r="D408" s="45"/>
      <c r="E408" s="45"/>
      <c r="F408" s="45"/>
      <c r="G408" s="45"/>
      <c r="H408" s="45"/>
      <c r="I408" s="45"/>
      <c r="J408" s="45"/>
      <c r="K408" s="45"/>
      <c r="L408" s="45"/>
      <c r="M408" s="45"/>
      <c r="N408" s="2"/>
      <c r="O408" s="2"/>
      <c r="P408" s="2"/>
      <c r="Q408" s="2"/>
      <c r="R408" s="2"/>
      <c r="S408" s="2"/>
      <c r="T408" s="2"/>
      <c r="U408" s="2"/>
      <c r="V408" s="2"/>
      <c r="W408" s="2"/>
      <c r="X408" s="2"/>
      <c r="Y408" s="2"/>
      <c r="Z408" s="2"/>
      <c r="AA408" s="2"/>
    </row>
    <row r="409" spans="1:27" ht="13.15">
      <c r="A409" s="12"/>
      <c r="B409" s="45"/>
      <c r="C409" s="45"/>
      <c r="D409" s="45"/>
      <c r="E409" s="45"/>
      <c r="F409" s="45"/>
      <c r="G409" s="45"/>
      <c r="H409" s="45"/>
      <c r="I409" s="45"/>
      <c r="J409" s="45"/>
      <c r="K409" s="45"/>
      <c r="L409" s="45"/>
      <c r="M409" s="45"/>
      <c r="N409" s="2"/>
      <c r="O409" s="2"/>
      <c r="P409" s="2"/>
      <c r="Q409" s="2"/>
      <c r="R409" s="2"/>
      <c r="S409" s="2"/>
      <c r="T409" s="2"/>
      <c r="U409" s="2"/>
      <c r="V409" s="2"/>
      <c r="W409" s="2"/>
      <c r="X409" s="2"/>
      <c r="Y409" s="2"/>
      <c r="Z409" s="2"/>
      <c r="AA409" s="2"/>
    </row>
    <row r="410" spans="1:27" ht="13.15">
      <c r="A410" s="12"/>
      <c r="B410" s="45"/>
      <c r="C410" s="45"/>
      <c r="D410" s="45"/>
      <c r="E410" s="45"/>
      <c r="F410" s="45"/>
      <c r="G410" s="45"/>
      <c r="H410" s="45"/>
      <c r="I410" s="45"/>
      <c r="J410" s="45"/>
      <c r="K410" s="45"/>
      <c r="L410" s="45"/>
      <c r="M410" s="45"/>
      <c r="N410" s="2"/>
      <c r="O410" s="2"/>
      <c r="P410" s="2"/>
      <c r="Q410" s="2"/>
      <c r="R410" s="2"/>
      <c r="S410" s="2"/>
      <c r="T410" s="2"/>
      <c r="U410" s="2"/>
      <c r="V410" s="2"/>
      <c r="W410" s="2"/>
      <c r="X410" s="2"/>
      <c r="Y410" s="2"/>
      <c r="Z410" s="2"/>
      <c r="AA410" s="2"/>
    </row>
    <row r="411" spans="1:27" ht="13.15">
      <c r="A411" s="12"/>
      <c r="B411" s="45"/>
      <c r="C411" s="45"/>
      <c r="D411" s="45"/>
      <c r="E411" s="45"/>
      <c r="F411" s="45"/>
      <c r="G411" s="45"/>
      <c r="H411" s="45"/>
      <c r="I411" s="45"/>
      <c r="J411" s="45"/>
      <c r="K411" s="45"/>
      <c r="L411" s="45"/>
      <c r="M411" s="45"/>
      <c r="N411" s="2"/>
      <c r="O411" s="2"/>
      <c r="P411" s="2"/>
      <c r="Q411" s="2"/>
      <c r="R411" s="2"/>
      <c r="S411" s="2"/>
      <c r="T411" s="2"/>
      <c r="U411" s="2"/>
      <c r="V411" s="2"/>
      <c r="W411" s="2"/>
      <c r="X411" s="2"/>
      <c r="Y411" s="2"/>
      <c r="Z411" s="2"/>
      <c r="AA411" s="2"/>
    </row>
    <row r="412" spans="1:27" ht="13.15">
      <c r="A412" s="12"/>
      <c r="B412" s="45"/>
      <c r="C412" s="45"/>
      <c r="D412" s="45"/>
      <c r="E412" s="45"/>
      <c r="F412" s="45"/>
      <c r="G412" s="45"/>
      <c r="H412" s="45"/>
      <c r="I412" s="45"/>
      <c r="J412" s="45"/>
      <c r="K412" s="45"/>
      <c r="L412" s="45"/>
      <c r="M412" s="45"/>
      <c r="N412" s="2"/>
      <c r="O412" s="2"/>
      <c r="P412" s="2"/>
      <c r="Q412" s="2"/>
      <c r="R412" s="2"/>
      <c r="S412" s="2"/>
      <c r="T412" s="2"/>
      <c r="U412" s="2"/>
      <c r="V412" s="2"/>
      <c r="W412" s="2"/>
      <c r="X412" s="2"/>
      <c r="Y412" s="2"/>
      <c r="Z412" s="2"/>
      <c r="AA412" s="2"/>
    </row>
    <row r="413" spans="1:27" ht="13.15">
      <c r="A413" s="12"/>
      <c r="B413" s="45"/>
      <c r="C413" s="45"/>
      <c r="D413" s="45"/>
      <c r="E413" s="45"/>
      <c r="F413" s="45"/>
      <c r="G413" s="45"/>
      <c r="H413" s="45"/>
      <c r="I413" s="45"/>
      <c r="J413" s="45"/>
      <c r="K413" s="45"/>
      <c r="L413" s="45"/>
      <c r="M413" s="45"/>
      <c r="N413" s="2"/>
      <c r="O413" s="2"/>
      <c r="P413" s="2"/>
      <c r="Q413" s="2"/>
      <c r="R413" s="2"/>
      <c r="S413" s="2"/>
      <c r="T413" s="2"/>
      <c r="U413" s="2"/>
      <c r="V413" s="2"/>
      <c r="W413" s="2"/>
      <c r="X413" s="2"/>
      <c r="Y413" s="2"/>
      <c r="Z413" s="2"/>
      <c r="AA413" s="2"/>
    </row>
    <row r="414" spans="1:27" ht="13.15">
      <c r="A414" s="12"/>
      <c r="B414" s="45"/>
      <c r="C414" s="45"/>
      <c r="D414" s="45"/>
      <c r="E414" s="45"/>
      <c r="F414" s="45"/>
      <c r="G414" s="45"/>
      <c r="H414" s="45"/>
      <c r="I414" s="45"/>
      <c r="J414" s="45"/>
      <c r="K414" s="45"/>
      <c r="L414" s="45"/>
      <c r="M414" s="45"/>
      <c r="N414" s="2"/>
      <c r="O414" s="2"/>
      <c r="P414" s="2"/>
      <c r="Q414" s="2"/>
      <c r="R414" s="2"/>
      <c r="S414" s="2"/>
      <c r="T414" s="2"/>
      <c r="U414" s="2"/>
      <c r="V414" s="2"/>
      <c r="W414" s="2"/>
      <c r="X414" s="2"/>
      <c r="Y414" s="2"/>
      <c r="Z414" s="2"/>
      <c r="AA414" s="2"/>
    </row>
    <row r="415" spans="1:27" ht="13.15">
      <c r="A415" s="12"/>
      <c r="B415" s="45"/>
      <c r="C415" s="45"/>
      <c r="D415" s="45"/>
      <c r="E415" s="45"/>
      <c r="F415" s="45"/>
      <c r="G415" s="45"/>
      <c r="H415" s="45"/>
      <c r="I415" s="45"/>
      <c r="J415" s="45"/>
      <c r="K415" s="45"/>
      <c r="L415" s="45"/>
      <c r="M415" s="45"/>
      <c r="N415" s="2"/>
      <c r="O415" s="2"/>
      <c r="P415" s="2"/>
      <c r="Q415" s="2"/>
      <c r="R415" s="2"/>
      <c r="S415" s="2"/>
      <c r="T415" s="2"/>
      <c r="U415" s="2"/>
      <c r="V415" s="2"/>
      <c r="W415" s="2"/>
      <c r="X415" s="2"/>
      <c r="Y415" s="2"/>
      <c r="Z415" s="2"/>
      <c r="AA415" s="2"/>
    </row>
    <row r="416" spans="1:27" ht="13.15">
      <c r="A416" s="12"/>
      <c r="B416" s="45"/>
      <c r="C416" s="45"/>
      <c r="D416" s="45"/>
      <c r="E416" s="45"/>
      <c r="F416" s="45"/>
      <c r="G416" s="45"/>
      <c r="H416" s="45"/>
      <c r="I416" s="45"/>
      <c r="J416" s="45"/>
      <c r="K416" s="45"/>
      <c r="L416" s="45"/>
      <c r="M416" s="45"/>
      <c r="N416" s="2"/>
      <c r="O416" s="2"/>
      <c r="P416" s="2"/>
      <c r="Q416" s="2"/>
      <c r="R416" s="2"/>
      <c r="S416" s="2"/>
      <c r="T416" s="2"/>
      <c r="U416" s="2"/>
      <c r="V416" s="2"/>
      <c r="W416" s="2"/>
      <c r="X416" s="2"/>
      <c r="Y416" s="2"/>
      <c r="Z416" s="2"/>
      <c r="AA416" s="2"/>
    </row>
    <row r="417" spans="1:27" ht="13.15">
      <c r="A417" s="12"/>
      <c r="B417" s="45"/>
      <c r="C417" s="45"/>
      <c r="D417" s="45"/>
      <c r="E417" s="45"/>
      <c r="F417" s="45"/>
      <c r="G417" s="45"/>
      <c r="H417" s="45"/>
      <c r="I417" s="45"/>
      <c r="J417" s="45"/>
      <c r="K417" s="45"/>
      <c r="L417" s="45"/>
      <c r="M417" s="45"/>
      <c r="N417" s="2"/>
      <c r="O417" s="2"/>
      <c r="P417" s="2"/>
      <c r="Q417" s="2"/>
      <c r="R417" s="2"/>
      <c r="S417" s="2"/>
      <c r="T417" s="2"/>
      <c r="U417" s="2"/>
      <c r="V417" s="2"/>
      <c r="W417" s="2"/>
      <c r="X417" s="2"/>
      <c r="Y417" s="2"/>
      <c r="Z417" s="2"/>
      <c r="AA417" s="2"/>
    </row>
    <row r="418" spans="1:27" ht="13.15">
      <c r="A418" s="12"/>
      <c r="B418" s="45"/>
      <c r="C418" s="45"/>
      <c r="D418" s="45"/>
      <c r="E418" s="45"/>
      <c r="F418" s="45"/>
      <c r="G418" s="45"/>
      <c r="H418" s="45"/>
      <c r="I418" s="45"/>
      <c r="J418" s="45"/>
      <c r="K418" s="45"/>
      <c r="L418" s="45"/>
      <c r="M418" s="45"/>
      <c r="N418" s="2"/>
      <c r="O418" s="2"/>
      <c r="P418" s="2"/>
      <c r="Q418" s="2"/>
      <c r="R418" s="2"/>
      <c r="S418" s="2"/>
      <c r="T418" s="2"/>
      <c r="U418" s="2"/>
      <c r="V418" s="2"/>
      <c r="W418" s="2"/>
      <c r="X418" s="2"/>
      <c r="Y418" s="2"/>
      <c r="Z418" s="2"/>
      <c r="AA418" s="2"/>
    </row>
    <row r="419" spans="1:27" ht="13.15">
      <c r="A419" s="12"/>
      <c r="B419" s="45"/>
      <c r="C419" s="45"/>
      <c r="D419" s="45"/>
      <c r="E419" s="45"/>
      <c r="F419" s="45"/>
      <c r="G419" s="45"/>
      <c r="H419" s="45"/>
      <c r="I419" s="45"/>
      <c r="J419" s="45"/>
      <c r="K419" s="45"/>
      <c r="L419" s="45"/>
      <c r="M419" s="45"/>
      <c r="N419" s="2"/>
      <c r="O419" s="2"/>
      <c r="P419" s="2"/>
      <c r="Q419" s="2"/>
      <c r="R419" s="2"/>
      <c r="S419" s="2"/>
      <c r="T419" s="2"/>
      <c r="U419" s="2"/>
      <c r="V419" s="2"/>
      <c r="W419" s="2"/>
      <c r="X419" s="2"/>
      <c r="Y419" s="2"/>
      <c r="Z419" s="2"/>
      <c r="AA419" s="2"/>
    </row>
    <row r="420" spans="1:27" ht="13.15">
      <c r="A420" s="12"/>
      <c r="B420" s="45"/>
      <c r="C420" s="45"/>
      <c r="D420" s="45"/>
      <c r="E420" s="45"/>
      <c r="F420" s="45"/>
      <c r="G420" s="45"/>
      <c r="H420" s="45"/>
      <c r="I420" s="45"/>
      <c r="J420" s="45"/>
      <c r="K420" s="45"/>
      <c r="L420" s="45"/>
      <c r="M420" s="45"/>
      <c r="N420" s="2"/>
      <c r="O420" s="2"/>
      <c r="P420" s="2"/>
      <c r="Q420" s="2"/>
      <c r="R420" s="2"/>
      <c r="S420" s="2"/>
      <c r="T420" s="2"/>
      <c r="U420" s="2"/>
      <c r="V420" s="2"/>
      <c r="W420" s="2"/>
      <c r="X420" s="2"/>
      <c r="Y420" s="2"/>
      <c r="Z420" s="2"/>
      <c r="AA420" s="2"/>
    </row>
    <row r="421" spans="1:27" ht="13.15">
      <c r="A421" s="12"/>
      <c r="B421" s="45"/>
      <c r="C421" s="45"/>
      <c r="D421" s="45"/>
      <c r="E421" s="45"/>
      <c r="F421" s="45"/>
      <c r="G421" s="45"/>
      <c r="H421" s="45"/>
      <c r="I421" s="45"/>
      <c r="J421" s="45"/>
      <c r="K421" s="45"/>
      <c r="L421" s="45"/>
      <c r="M421" s="45"/>
      <c r="N421" s="2"/>
      <c r="O421" s="2"/>
      <c r="P421" s="2"/>
      <c r="Q421" s="2"/>
      <c r="R421" s="2"/>
      <c r="S421" s="2"/>
      <c r="T421" s="2"/>
      <c r="U421" s="2"/>
      <c r="V421" s="2"/>
      <c r="W421" s="2"/>
      <c r="X421" s="2"/>
      <c r="Y421" s="2"/>
      <c r="Z421" s="2"/>
      <c r="AA421" s="2"/>
    </row>
    <row r="422" spans="1:27" ht="13.15">
      <c r="A422" s="12"/>
      <c r="B422" s="45"/>
      <c r="C422" s="45"/>
      <c r="D422" s="45"/>
      <c r="E422" s="45"/>
      <c r="F422" s="45"/>
      <c r="G422" s="45"/>
      <c r="H422" s="45"/>
      <c r="I422" s="45"/>
      <c r="J422" s="45"/>
      <c r="K422" s="45"/>
      <c r="L422" s="45"/>
      <c r="M422" s="45"/>
      <c r="N422" s="2"/>
      <c r="O422" s="2"/>
      <c r="P422" s="2"/>
      <c r="Q422" s="2"/>
      <c r="R422" s="2"/>
      <c r="S422" s="2"/>
      <c r="T422" s="2"/>
      <c r="U422" s="2"/>
      <c r="V422" s="2"/>
      <c r="W422" s="2"/>
      <c r="X422" s="2"/>
      <c r="Y422" s="2"/>
      <c r="Z422" s="2"/>
      <c r="AA422" s="2"/>
    </row>
    <row r="423" spans="1:27" ht="13.15">
      <c r="A423" s="12"/>
      <c r="B423" s="45"/>
      <c r="C423" s="45"/>
      <c r="D423" s="45"/>
      <c r="E423" s="45"/>
      <c r="F423" s="45"/>
      <c r="G423" s="45"/>
      <c r="H423" s="45"/>
      <c r="I423" s="45"/>
      <c r="J423" s="45"/>
      <c r="K423" s="45"/>
      <c r="L423" s="45"/>
      <c r="M423" s="45"/>
      <c r="N423" s="2"/>
      <c r="O423" s="2"/>
      <c r="P423" s="2"/>
      <c r="Q423" s="2"/>
      <c r="R423" s="2"/>
      <c r="S423" s="2"/>
      <c r="T423" s="2"/>
      <c r="U423" s="2"/>
      <c r="V423" s="2"/>
      <c r="W423" s="2"/>
      <c r="X423" s="2"/>
      <c r="Y423" s="2"/>
      <c r="Z423" s="2"/>
      <c r="AA423" s="2"/>
    </row>
    <row r="424" spans="1:27" ht="13.15">
      <c r="A424" s="12"/>
      <c r="B424" s="45"/>
      <c r="C424" s="45"/>
      <c r="D424" s="45"/>
      <c r="E424" s="45"/>
      <c r="F424" s="45"/>
      <c r="G424" s="45"/>
      <c r="H424" s="45"/>
      <c r="I424" s="45"/>
      <c r="J424" s="45"/>
      <c r="K424" s="45"/>
      <c r="L424" s="45"/>
      <c r="M424" s="45"/>
      <c r="N424" s="2"/>
      <c r="O424" s="2"/>
      <c r="P424" s="2"/>
      <c r="Q424" s="2"/>
      <c r="R424" s="2"/>
      <c r="S424" s="2"/>
      <c r="T424" s="2"/>
      <c r="U424" s="2"/>
      <c r="V424" s="2"/>
      <c r="W424" s="2"/>
      <c r="X424" s="2"/>
      <c r="Y424" s="2"/>
      <c r="Z424" s="2"/>
      <c r="AA424" s="2"/>
    </row>
    <row r="425" spans="1:27" ht="13.15">
      <c r="A425" s="12"/>
      <c r="B425" s="45"/>
      <c r="C425" s="45"/>
      <c r="D425" s="45"/>
      <c r="E425" s="45"/>
      <c r="F425" s="45"/>
      <c r="G425" s="45"/>
      <c r="H425" s="45"/>
      <c r="I425" s="45"/>
      <c r="J425" s="45"/>
      <c r="K425" s="45"/>
      <c r="L425" s="45"/>
      <c r="M425" s="45"/>
      <c r="N425" s="2"/>
      <c r="O425" s="2"/>
      <c r="P425" s="2"/>
      <c r="Q425" s="2"/>
      <c r="R425" s="2"/>
      <c r="S425" s="2"/>
      <c r="T425" s="2"/>
      <c r="U425" s="2"/>
      <c r="V425" s="2"/>
      <c r="W425" s="2"/>
      <c r="X425" s="2"/>
      <c r="Y425" s="2"/>
      <c r="Z425" s="2"/>
      <c r="AA425" s="2"/>
    </row>
    <row r="426" spans="1:27" ht="13.15">
      <c r="A426" s="12"/>
      <c r="B426" s="45"/>
      <c r="C426" s="45"/>
      <c r="D426" s="45"/>
      <c r="E426" s="45"/>
      <c r="F426" s="45"/>
      <c r="G426" s="45"/>
      <c r="H426" s="45"/>
      <c r="I426" s="45"/>
      <c r="J426" s="45"/>
      <c r="K426" s="45"/>
      <c r="L426" s="45"/>
      <c r="M426" s="45"/>
      <c r="N426" s="2"/>
      <c r="O426" s="2"/>
      <c r="P426" s="2"/>
      <c r="Q426" s="2"/>
      <c r="R426" s="2"/>
      <c r="S426" s="2"/>
      <c r="T426" s="2"/>
      <c r="U426" s="2"/>
      <c r="V426" s="2"/>
      <c r="W426" s="2"/>
      <c r="X426" s="2"/>
      <c r="Y426" s="2"/>
      <c r="Z426" s="2"/>
      <c r="AA426" s="2"/>
    </row>
    <row r="427" spans="1:27" ht="13.15">
      <c r="A427" s="12"/>
      <c r="B427" s="45"/>
      <c r="C427" s="45"/>
      <c r="D427" s="45"/>
      <c r="E427" s="45"/>
      <c r="F427" s="45"/>
      <c r="G427" s="45"/>
      <c r="H427" s="45"/>
      <c r="I427" s="45"/>
      <c r="J427" s="45"/>
      <c r="K427" s="45"/>
      <c r="L427" s="45"/>
      <c r="M427" s="45"/>
      <c r="N427" s="2"/>
      <c r="O427" s="2"/>
      <c r="P427" s="2"/>
      <c r="Q427" s="2"/>
      <c r="R427" s="2"/>
      <c r="S427" s="2"/>
      <c r="T427" s="2"/>
      <c r="U427" s="2"/>
      <c r="V427" s="2"/>
      <c r="W427" s="2"/>
      <c r="X427" s="2"/>
      <c r="Y427" s="2"/>
      <c r="Z427" s="2"/>
      <c r="AA427" s="2"/>
    </row>
    <row r="428" spans="1:27" ht="13.15">
      <c r="A428" s="12"/>
      <c r="B428" s="45"/>
      <c r="C428" s="45"/>
      <c r="D428" s="45"/>
      <c r="E428" s="45"/>
      <c r="F428" s="45"/>
      <c r="G428" s="45"/>
      <c r="H428" s="45"/>
      <c r="I428" s="45"/>
      <c r="J428" s="45"/>
      <c r="K428" s="45"/>
      <c r="L428" s="45"/>
      <c r="M428" s="45"/>
      <c r="N428" s="2"/>
      <c r="O428" s="2"/>
      <c r="P428" s="2"/>
      <c r="Q428" s="2"/>
      <c r="R428" s="2"/>
      <c r="S428" s="2"/>
      <c r="T428" s="2"/>
      <c r="U428" s="2"/>
      <c r="V428" s="2"/>
      <c r="W428" s="2"/>
      <c r="X428" s="2"/>
      <c r="Y428" s="2"/>
      <c r="Z428" s="2"/>
      <c r="AA428" s="2"/>
    </row>
    <row r="429" spans="1:27" ht="13.15">
      <c r="A429" s="12"/>
      <c r="B429" s="45"/>
      <c r="C429" s="45"/>
      <c r="D429" s="45"/>
      <c r="E429" s="45"/>
      <c r="F429" s="45"/>
      <c r="G429" s="45"/>
      <c r="H429" s="45"/>
      <c r="I429" s="45"/>
      <c r="J429" s="45"/>
      <c r="K429" s="45"/>
      <c r="L429" s="45"/>
      <c r="M429" s="45"/>
      <c r="N429" s="2"/>
      <c r="O429" s="2"/>
      <c r="P429" s="2"/>
      <c r="Q429" s="2"/>
      <c r="R429" s="2"/>
      <c r="S429" s="2"/>
      <c r="T429" s="2"/>
      <c r="U429" s="2"/>
      <c r="V429" s="2"/>
      <c r="W429" s="2"/>
      <c r="X429" s="2"/>
      <c r="Y429" s="2"/>
      <c r="Z429" s="2"/>
      <c r="AA429" s="2"/>
    </row>
    <row r="430" spans="1:27" ht="13.15">
      <c r="A430" s="12"/>
      <c r="B430" s="45"/>
      <c r="C430" s="45"/>
      <c r="D430" s="45"/>
      <c r="E430" s="45"/>
      <c r="F430" s="45"/>
      <c r="G430" s="45"/>
      <c r="H430" s="45"/>
      <c r="I430" s="45"/>
      <c r="J430" s="45"/>
      <c r="K430" s="45"/>
      <c r="L430" s="45"/>
      <c r="M430" s="45"/>
      <c r="N430" s="2"/>
      <c r="O430" s="2"/>
      <c r="P430" s="2"/>
      <c r="Q430" s="2"/>
      <c r="R430" s="2"/>
      <c r="S430" s="2"/>
      <c r="T430" s="2"/>
      <c r="U430" s="2"/>
      <c r="V430" s="2"/>
      <c r="W430" s="2"/>
      <c r="X430" s="2"/>
      <c r="Y430" s="2"/>
      <c r="Z430" s="2"/>
      <c r="AA430" s="2"/>
    </row>
    <row r="431" spans="1:27" ht="13.15">
      <c r="A431" s="12"/>
      <c r="B431" s="45"/>
      <c r="C431" s="45"/>
      <c r="D431" s="45"/>
      <c r="E431" s="45"/>
      <c r="F431" s="45"/>
      <c r="G431" s="45"/>
      <c r="H431" s="45"/>
      <c r="I431" s="45"/>
      <c r="J431" s="45"/>
      <c r="K431" s="45"/>
      <c r="L431" s="45"/>
      <c r="M431" s="45"/>
      <c r="N431" s="2"/>
      <c r="O431" s="2"/>
      <c r="P431" s="2"/>
      <c r="Q431" s="2"/>
      <c r="R431" s="2"/>
      <c r="S431" s="2"/>
      <c r="T431" s="2"/>
      <c r="U431" s="2"/>
      <c r="V431" s="2"/>
      <c r="W431" s="2"/>
      <c r="X431" s="2"/>
      <c r="Y431" s="2"/>
      <c r="Z431" s="2"/>
      <c r="AA431" s="2"/>
    </row>
    <row r="432" spans="1:27" ht="13.15">
      <c r="A432" s="12"/>
      <c r="B432" s="45"/>
      <c r="C432" s="45"/>
      <c r="D432" s="45"/>
      <c r="E432" s="45"/>
      <c r="F432" s="45"/>
      <c r="G432" s="45"/>
      <c r="H432" s="45"/>
      <c r="I432" s="45"/>
      <c r="J432" s="45"/>
      <c r="K432" s="45"/>
      <c r="L432" s="45"/>
      <c r="M432" s="45"/>
      <c r="N432" s="2"/>
      <c r="O432" s="2"/>
      <c r="P432" s="2"/>
      <c r="Q432" s="2"/>
      <c r="R432" s="2"/>
      <c r="S432" s="2"/>
      <c r="T432" s="2"/>
      <c r="U432" s="2"/>
      <c r="V432" s="2"/>
      <c r="W432" s="2"/>
      <c r="X432" s="2"/>
      <c r="Y432" s="2"/>
      <c r="Z432" s="2"/>
      <c r="AA432" s="2"/>
    </row>
    <row r="433" spans="1:27" ht="13.15">
      <c r="A433" s="12"/>
      <c r="B433" s="45"/>
      <c r="C433" s="45"/>
      <c r="D433" s="45"/>
      <c r="E433" s="45"/>
      <c r="F433" s="45"/>
      <c r="G433" s="45"/>
      <c r="H433" s="45"/>
      <c r="I433" s="45"/>
      <c r="J433" s="45"/>
      <c r="K433" s="45"/>
      <c r="L433" s="45"/>
      <c r="M433" s="45"/>
      <c r="N433" s="2"/>
      <c r="O433" s="2"/>
      <c r="P433" s="2"/>
      <c r="Q433" s="2"/>
      <c r="R433" s="2"/>
      <c r="S433" s="2"/>
      <c r="T433" s="2"/>
      <c r="U433" s="2"/>
      <c r="V433" s="2"/>
      <c r="W433" s="2"/>
      <c r="X433" s="2"/>
      <c r="Y433" s="2"/>
      <c r="Z433" s="2"/>
      <c r="AA433" s="2"/>
    </row>
    <row r="434" spans="1:27" ht="13.15">
      <c r="A434" s="12"/>
      <c r="B434" s="45"/>
      <c r="C434" s="45"/>
      <c r="D434" s="45"/>
      <c r="E434" s="45"/>
      <c r="F434" s="45"/>
      <c r="G434" s="45"/>
      <c r="H434" s="45"/>
      <c r="I434" s="45"/>
      <c r="J434" s="45"/>
      <c r="K434" s="45"/>
      <c r="L434" s="45"/>
      <c r="M434" s="45"/>
      <c r="N434" s="2"/>
      <c r="O434" s="2"/>
      <c r="P434" s="2"/>
      <c r="Q434" s="2"/>
      <c r="R434" s="2"/>
      <c r="S434" s="2"/>
      <c r="T434" s="2"/>
      <c r="U434" s="2"/>
      <c r="V434" s="2"/>
      <c r="W434" s="2"/>
      <c r="X434" s="2"/>
      <c r="Y434" s="2"/>
      <c r="Z434" s="2"/>
      <c r="AA434" s="2"/>
    </row>
    <row r="435" spans="1:27" ht="13.15">
      <c r="A435" s="12"/>
      <c r="B435" s="45"/>
      <c r="C435" s="45"/>
      <c r="D435" s="45"/>
      <c r="E435" s="45"/>
      <c r="F435" s="45"/>
      <c r="G435" s="45"/>
      <c r="H435" s="45"/>
      <c r="I435" s="45"/>
      <c r="J435" s="45"/>
      <c r="K435" s="45"/>
      <c r="L435" s="45"/>
      <c r="M435" s="45"/>
      <c r="N435" s="2"/>
      <c r="O435" s="2"/>
      <c r="P435" s="2"/>
      <c r="Q435" s="2"/>
      <c r="R435" s="2"/>
      <c r="S435" s="2"/>
      <c r="T435" s="2"/>
      <c r="U435" s="2"/>
      <c r="V435" s="2"/>
      <c r="W435" s="2"/>
      <c r="X435" s="2"/>
      <c r="Y435" s="2"/>
      <c r="Z435" s="2"/>
      <c r="AA435" s="2"/>
    </row>
    <row r="436" spans="1:27" ht="13.15">
      <c r="A436" s="12"/>
      <c r="B436" s="45"/>
      <c r="C436" s="45"/>
      <c r="D436" s="45"/>
      <c r="E436" s="45"/>
      <c r="F436" s="45"/>
      <c r="G436" s="45"/>
      <c r="H436" s="45"/>
      <c r="I436" s="45"/>
      <c r="J436" s="45"/>
      <c r="K436" s="45"/>
      <c r="L436" s="45"/>
      <c r="M436" s="45"/>
      <c r="N436" s="2"/>
      <c r="O436" s="2"/>
      <c r="P436" s="2"/>
      <c r="Q436" s="2"/>
      <c r="R436" s="2"/>
      <c r="S436" s="2"/>
      <c r="T436" s="2"/>
      <c r="U436" s="2"/>
      <c r="V436" s="2"/>
      <c r="W436" s="2"/>
      <c r="X436" s="2"/>
      <c r="Y436" s="2"/>
      <c r="Z436" s="2"/>
      <c r="AA436" s="2"/>
    </row>
    <row r="437" spans="1:27" ht="13.15">
      <c r="A437" s="12"/>
      <c r="B437" s="45"/>
      <c r="C437" s="45"/>
      <c r="D437" s="45"/>
      <c r="E437" s="45"/>
      <c r="F437" s="45"/>
      <c r="G437" s="45"/>
      <c r="H437" s="45"/>
      <c r="I437" s="45"/>
      <c r="J437" s="45"/>
      <c r="K437" s="45"/>
      <c r="L437" s="45"/>
      <c r="M437" s="45"/>
      <c r="N437" s="2"/>
      <c r="O437" s="2"/>
      <c r="P437" s="2"/>
      <c r="Q437" s="2"/>
      <c r="R437" s="2"/>
      <c r="S437" s="2"/>
      <c r="T437" s="2"/>
      <c r="U437" s="2"/>
      <c r="V437" s="2"/>
      <c r="W437" s="2"/>
      <c r="X437" s="2"/>
      <c r="Y437" s="2"/>
      <c r="Z437" s="2"/>
      <c r="AA437" s="2"/>
    </row>
    <row r="438" spans="1:27" ht="13.15">
      <c r="A438" s="12"/>
      <c r="B438" s="45"/>
      <c r="C438" s="45"/>
      <c r="D438" s="45"/>
      <c r="E438" s="45"/>
      <c r="F438" s="45"/>
      <c r="G438" s="45"/>
      <c r="H438" s="45"/>
      <c r="I438" s="45"/>
      <c r="J438" s="45"/>
      <c r="K438" s="45"/>
      <c r="L438" s="45"/>
      <c r="M438" s="45"/>
      <c r="N438" s="2"/>
      <c r="O438" s="2"/>
      <c r="P438" s="2"/>
      <c r="Q438" s="2"/>
      <c r="R438" s="2"/>
      <c r="S438" s="2"/>
      <c r="T438" s="2"/>
      <c r="U438" s="2"/>
      <c r="V438" s="2"/>
      <c r="W438" s="2"/>
      <c r="X438" s="2"/>
      <c r="Y438" s="2"/>
      <c r="Z438" s="2"/>
      <c r="AA438" s="2"/>
    </row>
    <row r="439" spans="1:27" ht="13.15">
      <c r="A439" s="12"/>
      <c r="B439" s="45"/>
      <c r="C439" s="45"/>
      <c r="D439" s="45"/>
      <c r="E439" s="45"/>
      <c r="F439" s="45"/>
      <c r="G439" s="45"/>
      <c r="H439" s="45"/>
      <c r="I439" s="45"/>
      <c r="J439" s="45"/>
      <c r="K439" s="45"/>
      <c r="L439" s="45"/>
      <c r="M439" s="45"/>
      <c r="N439" s="2"/>
      <c r="O439" s="2"/>
      <c r="P439" s="2"/>
      <c r="Q439" s="2"/>
      <c r="R439" s="2"/>
      <c r="S439" s="2"/>
      <c r="T439" s="2"/>
      <c r="U439" s="2"/>
      <c r="V439" s="2"/>
      <c r="W439" s="2"/>
      <c r="X439" s="2"/>
      <c r="Y439" s="2"/>
      <c r="Z439" s="2"/>
      <c r="AA439" s="2"/>
    </row>
    <row r="440" spans="1:27" ht="13.15">
      <c r="A440" s="12"/>
      <c r="B440" s="45"/>
      <c r="C440" s="45"/>
      <c r="D440" s="45"/>
      <c r="E440" s="45"/>
      <c r="F440" s="45"/>
      <c r="G440" s="45"/>
      <c r="H440" s="45"/>
      <c r="I440" s="45"/>
      <c r="J440" s="45"/>
      <c r="K440" s="45"/>
      <c r="L440" s="45"/>
      <c r="M440" s="45"/>
      <c r="N440" s="2"/>
      <c r="O440" s="2"/>
      <c r="P440" s="2"/>
      <c r="Q440" s="2"/>
      <c r="R440" s="2"/>
      <c r="S440" s="2"/>
      <c r="T440" s="2"/>
      <c r="U440" s="2"/>
      <c r="V440" s="2"/>
      <c r="W440" s="2"/>
      <c r="X440" s="2"/>
      <c r="Y440" s="2"/>
      <c r="Z440" s="2"/>
      <c r="AA440" s="2"/>
    </row>
    <row r="441" spans="1:27" ht="13.15">
      <c r="A441" s="12"/>
      <c r="B441" s="45"/>
      <c r="C441" s="45"/>
      <c r="D441" s="45"/>
      <c r="E441" s="45"/>
      <c r="F441" s="45"/>
      <c r="G441" s="45"/>
      <c r="H441" s="45"/>
      <c r="I441" s="45"/>
      <c r="J441" s="45"/>
      <c r="K441" s="45"/>
      <c r="L441" s="45"/>
      <c r="M441" s="45"/>
      <c r="N441" s="2"/>
      <c r="O441" s="2"/>
      <c r="P441" s="2"/>
      <c r="Q441" s="2"/>
      <c r="R441" s="2"/>
      <c r="S441" s="2"/>
      <c r="T441" s="2"/>
      <c r="U441" s="2"/>
      <c r="V441" s="2"/>
      <c r="W441" s="2"/>
      <c r="X441" s="2"/>
      <c r="Y441" s="2"/>
      <c r="Z441" s="2"/>
      <c r="AA441" s="2"/>
    </row>
    <row r="442" spans="1:27" ht="13.15">
      <c r="A442" s="12"/>
      <c r="B442" s="45"/>
      <c r="C442" s="45"/>
      <c r="D442" s="45"/>
      <c r="E442" s="45"/>
      <c r="F442" s="45"/>
      <c r="G442" s="45"/>
      <c r="H442" s="45"/>
      <c r="I442" s="45"/>
      <c r="J442" s="45"/>
      <c r="K442" s="45"/>
      <c r="L442" s="45"/>
      <c r="M442" s="45"/>
      <c r="N442" s="2"/>
      <c r="O442" s="2"/>
      <c r="P442" s="2"/>
      <c r="Q442" s="2"/>
      <c r="R442" s="2"/>
      <c r="S442" s="2"/>
      <c r="T442" s="2"/>
      <c r="U442" s="2"/>
      <c r="V442" s="2"/>
      <c r="W442" s="2"/>
      <c r="X442" s="2"/>
      <c r="Y442" s="2"/>
      <c r="Z442" s="2"/>
      <c r="AA442" s="2"/>
    </row>
    <row r="443" spans="1:27" ht="13.15">
      <c r="A443" s="12"/>
      <c r="B443" s="45"/>
      <c r="C443" s="45"/>
      <c r="D443" s="45"/>
      <c r="E443" s="45"/>
      <c r="F443" s="45"/>
      <c r="G443" s="45"/>
      <c r="H443" s="45"/>
      <c r="I443" s="45"/>
      <c r="J443" s="45"/>
      <c r="K443" s="45"/>
      <c r="L443" s="45"/>
      <c r="M443" s="45"/>
      <c r="N443" s="2"/>
      <c r="O443" s="2"/>
      <c r="P443" s="2"/>
      <c r="Q443" s="2"/>
      <c r="R443" s="2"/>
      <c r="S443" s="2"/>
      <c r="T443" s="2"/>
      <c r="U443" s="2"/>
      <c r="V443" s="2"/>
      <c r="W443" s="2"/>
      <c r="X443" s="2"/>
      <c r="Y443" s="2"/>
      <c r="Z443" s="2"/>
      <c r="AA443" s="2"/>
    </row>
    <row r="444" spans="1:27" ht="13.15">
      <c r="A444" s="12"/>
      <c r="B444" s="45"/>
      <c r="C444" s="45"/>
      <c r="D444" s="45"/>
      <c r="E444" s="45"/>
      <c r="F444" s="45"/>
      <c r="G444" s="45"/>
      <c r="H444" s="45"/>
      <c r="I444" s="45"/>
      <c r="J444" s="45"/>
      <c r="K444" s="45"/>
      <c r="L444" s="45"/>
      <c r="M444" s="45"/>
      <c r="N444" s="2"/>
      <c r="O444" s="2"/>
      <c r="P444" s="2"/>
      <c r="Q444" s="2"/>
      <c r="R444" s="2"/>
      <c r="S444" s="2"/>
      <c r="T444" s="2"/>
      <c r="U444" s="2"/>
      <c r="V444" s="2"/>
      <c r="W444" s="2"/>
      <c r="X444" s="2"/>
      <c r="Y444" s="2"/>
      <c r="Z444" s="2"/>
      <c r="AA444" s="2"/>
    </row>
    <row r="445" spans="1:27" ht="13.15">
      <c r="A445" s="12"/>
      <c r="B445" s="45"/>
      <c r="C445" s="45"/>
      <c r="D445" s="45"/>
      <c r="E445" s="45"/>
      <c r="F445" s="45"/>
      <c r="G445" s="45"/>
      <c r="H445" s="45"/>
      <c r="I445" s="45"/>
      <c r="J445" s="45"/>
      <c r="K445" s="45"/>
      <c r="L445" s="45"/>
      <c r="M445" s="45"/>
      <c r="N445" s="2"/>
      <c r="O445" s="2"/>
      <c r="P445" s="2"/>
      <c r="Q445" s="2"/>
      <c r="R445" s="2"/>
      <c r="S445" s="2"/>
      <c r="T445" s="2"/>
      <c r="U445" s="2"/>
      <c r="V445" s="2"/>
      <c r="W445" s="2"/>
      <c r="X445" s="2"/>
      <c r="Y445" s="2"/>
      <c r="Z445" s="2"/>
      <c r="AA445" s="2"/>
    </row>
    <row r="446" spans="1:27" ht="13.15">
      <c r="A446" s="12"/>
      <c r="B446" s="45"/>
      <c r="C446" s="45"/>
      <c r="D446" s="45"/>
      <c r="E446" s="45"/>
      <c r="F446" s="45"/>
      <c r="G446" s="45"/>
      <c r="H446" s="45"/>
      <c r="I446" s="45"/>
      <c r="J446" s="45"/>
      <c r="K446" s="45"/>
      <c r="L446" s="45"/>
      <c r="M446" s="45"/>
      <c r="N446" s="2"/>
      <c r="O446" s="2"/>
      <c r="P446" s="2"/>
      <c r="Q446" s="2"/>
      <c r="R446" s="2"/>
      <c r="S446" s="2"/>
      <c r="T446" s="2"/>
      <c r="U446" s="2"/>
      <c r="V446" s="2"/>
      <c r="W446" s="2"/>
      <c r="X446" s="2"/>
      <c r="Y446" s="2"/>
      <c r="Z446" s="2"/>
      <c r="AA446" s="2"/>
    </row>
    <row r="447" spans="1:27" ht="13.15">
      <c r="A447" s="12"/>
      <c r="B447" s="45"/>
      <c r="C447" s="45"/>
      <c r="D447" s="45"/>
      <c r="E447" s="45"/>
      <c r="F447" s="45"/>
      <c r="G447" s="45"/>
      <c r="H447" s="45"/>
      <c r="I447" s="45"/>
      <c r="J447" s="45"/>
      <c r="K447" s="45"/>
      <c r="L447" s="45"/>
      <c r="M447" s="45"/>
      <c r="N447" s="2"/>
      <c r="O447" s="2"/>
      <c r="P447" s="2"/>
      <c r="Q447" s="2"/>
      <c r="R447" s="2"/>
      <c r="S447" s="2"/>
      <c r="T447" s="2"/>
      <c r="U447" s="2"/>
      <c r="V447" s="2"/>
      <c r="W447" s="2"/>
      <c r="X447" s="2"/>
      <c r="Y447" s="2"/>
      <c r="Z447" s="2"/>
      <c r="AA447" s="2"/>
    </row>
    <row r="448" spans="1:27" ht="13.15">
      <c r="A448" s="12"/>
      <c r="B448" s="45"/>
      <c r="C448" s="45"/>
      <c r="D448" s="45"/>
      <c r="E448" s="45"/>
      <c r="F448" s="45"/>
      <c r="G448" s="45"/>
      <c r="H448" s="45"/>
      <c r="I448" s="45"/>
      <c r="J448" s="45"/>
      <c r="K448" s="45"/>
      <c r="L448" s="45"/>
      <c r="M448" s="45"/>
      <c r="N448" s="2"/>
      <c r="O448" s="2"/>
      <c r="P448" s="2"/>
      <c r="Q448" s="2"/>
      <c r="R448" s="2"/>
      <c r="S448" s="2"/>
      <c r="T448" s="2"/>
      <c r="U448" s="2"/>
      <c r="V448" s="2"/>
      <c r="W448" s="2"/>
      <c r="X448" s="2"/>
      <c r="Y448" s="2"/>
      <c r="Z448" s="2"/>
      <c r="AA448" s="2"/>
    </row>
    <row r="449" spans="1:27" ht="13.15">
      <c r="A449" s="12"/>
      <c r="B449" s="45"/>
      <c r="C449" s="45"/>
      <c r="D449" s="45"/>
      <c r="E449" s="45"/>
      <c r="F449" s="45"/>
      <c r="G449" s="45"/>
      <c r="H449" s="45"/>
      <c r="I449" s="45"/>
      <c r="J449" s="45"/>
      <c r="K449" s="45"/>
      <c r="L449" s="45"/>
      <c r="M449" s="45"/>
      <c r="N449" s="2"/>
      <c r="O449" s="2"/>
      <c r="P449" s="2"/>
      <c r="Q449" s="2"/>
      <c r="R449" s="2"/>
      <c r="S449" s="2"/>
      <c r="T449" s="2"/>
      <c r="U449" s="2"/>
      <c r="V449" s="2"/>
      <c r="W449" s="2"/>
      <c r="X449" s="2"/>
      <c r="Y449" s="2"/>
      <c r="Z449" s="2"/>
      <c r="AA449" s="2"/>
    </row>
    <row r="450" spans="1:27" ht="13.15">
      <c r="A450" s="12"/>
      <c r="B450" s="45"/>
      <c r="C450" s="45"/>
      <c r="D450" s="45"/>
      <c r="E450" s="45"/>
      <c r="F450" s="45"/>
      <c r="G450" s="45"/>
      <c r="H450" s="45"/>
      <c r="I450" s="45"/>
      <c r="J450" s="45"/>
      <c r="K450" s="45"/>
      <c r="L450" s="45"/>
      <c r="M450" s="45"/>
      <c r="N450" s="2"/>
      <c r="O450" s="2"/>
      <c r="P450" s="2"/>
      <c r="Q450" s="2"/>
      <c r="R450" s="2"/>
      <c r="S450" s="2"/>
      <c r="T450" s="2"/>
      <c r="U450" s="2"/>
      <c r="V450" s="2"/>
      <c r="W450" s="2"/>
      <c r="X450" s="2"/>
      <c r="Y450" s="2"/>
      <c r="Z450" s="2"/>
      <c r="AA450" s="2"/>
    </row>
    <row r="451" spans="1:27" ht="13.15">
      <c r="A451" s="12"/>
      <c r="B451" s="45"/>
      <c r="C451" s="45"/>
      <c r="D451" s="45"/>
      <c r="E451" s="45"/>
      <c r="F451" s="45"/>
      <c r="G451" s="45"/>
      <c r="H451" s="45"/>
      <c r="I451" s="45"/>
      <c r="J451" s="45"/>
      <c r="K451" s="45"/>
      <c r="L451" s="45"/>
      <c r="M451" s="45"/>
      <c r="N451" s="2"/>
      <c r="O451" s="2"/>
      <c r="P451" s="2"/>
      <c r="Q451" s="2"/>
      <c r="R451" s="2"/>
      <c r="S451" s="2"/>
      <c r="T451" s="2"/>
      <c r="U451" s="2"/>
      <c r="V451" s="2"/>
      <c r="W451" s="2"/>
      <c r="X451" s="2"/>
      <c r="Y451" s="2"/>
      <c r="Z451" s="2"/>
      <c r="AA451" s="2"/>
    </row>
    <row r="452" spans="1:27" ht="13.15">
      <c r="A452" s="12"/>
      <c r="B452" s="45"/>
      <c r="C452" s="45"/>
      <c r="D452" s="45"/>
      <c r="E452" s="45"/>
      <c r="F452" s="45"/>
      <c r="G452" s="45"/>
      <c r="H452" s="45"/>
      <c r="I452" s="45"/>
      <c r="J452" s="45"/>
      <c r="K452" s="45"/>
      <c r="L452" s="45"/>
      <c r="M452" s="45"/>
      <c r="N452" s="2"/>
      <c r="O452" s="2"/>
      <c r="P452" s="2"/>
      <c r="Q452" s="2"/>
      <c r="R452" s="2"/>
      <c r="S452" s="2"/>
      <c r="T452" s="2"/>
      <c r="U452" s="2"/>
      <c r="V452" s="2"/>
      <c r="W452" s="2"/>
      <c r="X452" s="2"/>
      <c r="Y452" s="2"/>
      <c r="Z452" s="2"/>
      <c r="AA452" s="2"/>
    </row>
    <row r="453" spans="1:27" ht="13.15">
      <c r="A453" s="12"/>
      <c r="B453" s="45"/>
      <c r="C453" s="45"/>
      <c r="D453" s="45"/>
      <c r="E453" s="45"/>
      <c r="F453" s="45"/>
      <c r="G453" s="45"/>
      <c r="H453" s="45"/>
      <c r="I453" s="45"/>
      <c r="J453" s="45"/>
      <c r="K453" s="45"/>
      <c r="L453" s="45"/>
      <c r="M453" s="45"/>
      <c r="N453" s="2"/>
      <c r="O453" s="2"/>
      <c r="P453" s="2"/>
      <c r="Q453" s="2"/>
      <c r="R453" s="2"/>
      <c r="S453" s="2"/>
      <c r="T453" s="2"/>
      <c r="U453" s="2"/>
      <c r="V453" s="2"/>
      <c r="W453" s="2"/>
      <c r="X453" s="2"/>
      <c r="Y453" s="2"/>
      <c r="Z453" s="2"/>
      <c r="AA453" s="2"/>
    </row>
    <row r="454" spans="1:27" ht="13.15">
      <c r="A454" s="12"/>
      <c r="B454" s="45"/>
      <c r="C454" s="45"/>
      <c r="D454" s="45"/>
      <c r="E454" s="45"/>
      <c r="F454" s="45"/>
      <c r="G454" s="45"/>
      <c r="H454" s="45"/>
      <c r="I454" s="45"/>
      <c r="J454" s="45"/>
      <c r="K454" s="45"/>
      <c r="L454" s="45"/>
      <c r="M454" s="45"/>
      <c r="N454" s="2"/>
      <c r="O454" s="2"/>
      <c r="P454" s="2"/>
      <c r="Q454" s="2"/>
      <c r="R454" s="2"/>
      <c r="S454" s="2"/>
      <c r="T454" s="2"/>
      <c r="U454" s="2"/>
      <c r="V454" s="2"/>
      <c r="W454" s="2"/>
      <c r="X454" s="2"/>
      <c r="Y454" s="2"/>
      <c r="Z454" s="2"/>
      <c r="AA454" s="2"/>
    </row>
    <row r="455" spans="1:27" ht="13.15">
      <c r="A455" s="12"/>
      <c r="B455" s="45"/>
      <c r="C455" s="45"/>
      <c r="D455" s="45"/>
      <c r="E455" s="45"/>
      <c r="F455" s="45"/>
      <c r="G455" s="45"/>
      <c r="H455" s="45"/>
      <c r="I455" s="45"/>
      <c r="J455" s="45"/>
      <c r="K455" s="45"/>
      <c r="L455" s="45"/>
      <c r="M455" s="45"/>
      <c r="N455" s="2"/>
      <c r="O455" s="2"/>
      <c r="P455" s="2"/>
      <c r="Q455" s="2"/>
      <c r="R455" s="2"/>
      <c r="S455" s="2"/>
      <c r="T455" s="2"/>
      <c r="U455" s="2"/>
      <c r="V455" s="2"/>
      <c r="W455" s="2"/>
      <c r="X455" s="2"/>
      <c r="Y455" s="2"/>
      <c r="Z455" s="2"/>
      <c r="AA455" s="2"/>
    </row>
    <row r="456" spans="1:27" ht="13.15">
      <c r="A456" s="12"/>
      <c r="B456" s="45"/>
      <c r="C456" s="45"/>
      <c r="D456" s="45"/>
      <c r="E456" s="45"/>
      <c r="F456" s="45"/>
      <c r="G456" s="45"/>
      <c r="H456" s="45"/>
      <c r="I456" s="45"/>
      <c r="J456" s="45"/>
      <c r="K456" s="45"/>
      <c r="L456" s="45"/>
      <c r="M456" s="45"/>
      <c r="N456" s="2"/>
      <c r="O456" s="2"/>
      <c r="P456" s="2"/>
      <c r="Q456" s="2"/>
      <c r="R456" s="2"/>
      <c r="S456" s="2"/>
      <c r="T456" s="2"/>
      <c r="U456" s="2"/>
      <c r="V456" s="2"/>
      <c r="W456" s="2"/>
      <c r="X456" s="2"/>
      <c r="Y456" s="2"/>
      <c r="Z456" s="2"/>
      <c r="AA456" s="2"/>
    </row>
    <row r="457" spans="1:27" ht="13.15">
      <c r="A457" s="12"/>
      <c r="B457" s="45"/>
      <c r="C457" s="45"/>
      <c r="D457" s="45"/>
      <c r="E457" s="45"/>
      <c r="F457" s="45"/>
      <c r="G457" s="45"/>
      <c r="H457" s="45"/>
      <c r="I457" s="45"/>
      <c r="J457" s="45"/>
      <c r="K457" s="45"/>
      <c r="L457" s="45"/>
      <c r="M457" s="45"/>
      <c r="N457" s="2"/>
      <c r="O457" s="2"/>
      <c r="P457" s="2"/>
      <c r="Q457" s="2"/>
      <c r="R457" s="2"/>
      <c r="S457" s="2"/>
      <c r="T457" s="2"/>
      <c r="U457" s="2"/>
      <c r="V457" s="2"/>
      <c r="W457" s="2"/>
      <c r="X457" s="2"/>
      <c r="Y457" s="2"/>
      <c r="Z457" s="2"/>
      <c r="AA457" s="2"/>
    </row>
    <row r="458" spans="1:27" ht="13.15">
      <c r="A458" s="12"/>
      <c r="B458" s="45"/>
      <c r="C458" s="45"/>
      <c r="D458" s="45"/>
      <c r="E458" s="45"/>
      <c r="F458" s="45"/>
      <c r="G458" s="45"/>
      <c r="H458" s="45"/>
      <c r="I458" s="45"/>
      <c r="J458" s="45"/>
      <c r="K458" s="45"/>
      <c r="L458" s="45"/>
      <c r="M458" s="45"/>
      <c r="N458" s="2"/>
      <c r="O458" s="2"/>
      <c r="P458" s="2"/>
      <c r="Q458" s="2"/>
      <c r="R458" s="2"/>
      <c r="S458" s="2"/>
      <c r="T458" s="2"/>
      <c r="U458" s="2"/>
      <c r="V458" s="2"/>
      <c r="W458" s="2"/>
      <c r="X458" s="2"/>
      <c r="Y458" s="2"/>
      <c r="Z458" s="2"/>
      <c r="AA458" s="2"/>
    </row>
    <row r="459" spans="1:27" ht="13.15">
      <c r="A459" s="12"/>
      <c r="B459" s="45"/>
      <c r="C459" s="45"/>
      <c r="D459" s="45"/>
      <c r="E459" s="45"/>
      <c r="F459" s="45"/>
      <c r="G459" s="45"/>
      <c r="H459" s="45"/>
      <c r="I459" s="45"/>
      <c r="J459" s="45"/>
      <c r="K459" s="45"/>
      <c r="L459" s="45"/>
      <c r="M459" s="45"/>
      <c r="N459" s="2"/>
      <c r="O459" s="2"/>
      <c r="P459" s="2"/>
      <c r="Q459" s="2"/>
      <c r="R459" s="2"/>
      <c r="S459" s="2"/>
      <c r="T459" s="2"/>
      <c r="U459" s="2"/>
      <c r="V459" s="2"/>
      <c r="W459" s="2"/>
      <c r="X459" s="2"/>
      <c r="Y459" s="2"/>
      <c r="Z459" s="2"/>
      <c r="AA459" s="2"/>
    </row>
    <row r="460" spans="1:27" ht="13.15">
      <c r="A460" s="12"/>
      <c r="B460" s="45"/>
      <c r="C460" s="45"/>
      <c r="D460" s="45"/>
      <c r="E460" s="45"/>
      <c r="F460" s="45"/>
      <c r="G460" s="45"/>
      <c r="H460" s="45"/>
      <c r="I460" s="45"/>
      <c r="J460" s="45"/>
      <c r="K460" s="45"/>
      <c r="L460" s="45"/>
      <c r="M460" s="45"/>
      <c r="N460" s="2"/>
      <c r="O460" s="2"/>
      <c r="P460" s="2"/>
      <c r="Q460" s="2"/>
      <c r="R460" s="2"/>
      <c r="S460" s="2"/>
      <c r="T460" s="2"/>
      <c r="U460" s="2"/>
      <c r="V460" s="2"/>
      <c r="W460" s="2"/>
      <c r="X460" s="2"/>
      <c r="Y460" s="2"/>
      <c r="Z460" s="2"/>
      <c r="AA460" s="2"/>
    </row>
    <row r="461" spans="1:27" ht="13.15">
      <c r="A461" s="12"/>
      <c r="B461" s="45"/>
      <c r="C461" s="45"/>
      <c r="D461" s="45"/>
      <c r="E461" s="45"/>
      <c r="F461" s="45"/>
      <c r="G461" s="45"/>
      <c r="H461" s="45"/>
      <c r="I461" s="45"/>
      <c r="J461" s="45"/>
      <c r="K461" s="45"/>
      <c r="L461" s="45"/>
      <c r="M461" s="45"/>
      <c r="N461" s="2"/>
      <c r="O461" s="2"/>
      <c r="P461" s="2"/>
      <c r="Q461" s="2"/>
      <c r="R461" s="2"/>
      <c r="S461" s="2"/>
      <c r="T461" s="2"/>
      <c r="U461" s="2"/>
      <c r="V461" s="2"/>
      <c r="W461" s="2"/>
      <c r="X461" s="2"/>
      <c r="Y461" s="2"/>
      <c r="Z461" s="2"/>
      <c r="AA461" s="2"/>
    </row>
    <row r="462" spans="1:27" ht="13.15">
      <c r="A462" s="12"/>
      <c r="B462" s="45"/>
      <c r="C462" s="45"/>
      <c r="D462" s="45"/>
      <c r="E462" s="45"/>
      <c r="F462" s="45"/>
      <c r="G462" s="45"/>
      <c r="H462" s="45"/>
      <c r="I462" s="45"/>
      <c r="J462" s="45"/>
      <c r="K462" s="45"/>
      <c r="L462" s="45"/>
      <c r="M462" s="45"/>
      <c r="N462" s="2"/>
      <c r="O462" s="2"/>
      <c r="P462" s="2"/>
      <c r="Q462" s="2"/>
      <c r="R462" s="2"/>
      <c r="S462" s="2"/>
      <c r="T462" s="2"/>
      <c r="U462" s="2"/>
      <c r="V462" s="2"/>
      <c r="W462" s="2"/>
      <c r="X462" s="2"/>
      <c r="Y462" s="2"/>
      <c r="Z462" s="2"/>
      <c r="AA462" s="2"/>
    </row>
    <row r="463" spans="1:27" ht="13.15">
      <c r="A463" s="12"/>
      <c r="B463" s="45"/>
      <c r="C463" s="45"/>
      <c r="D463" s="45"/>
      <c r="E463" s="45"/>
      <c r="F463" s="45"/>
      <c r="G463" s="45"/>
      <c r="H463" s="45"/>
      <c r="I463" s="45"/>
      <c r="J463" s="45"/>
      <c r="K463" s="45"/>
      <c r="L463" s="45"/>
      <c r="M463" s="45"/>
      <c r="N463" s="2"/>
      <c r="O463" s="2"/>
      <c r="P463" s="2"/>
      <c r="Q463" s="2"/>
      <c r="R463" s="2"/>
      <c r="S463" s="2"/>
      <c r="T463" s="2"/>
      <c r="U463" s="2"/>
      <c r="V463" s="2"/>
      <c r="W463" s="2"/>
      <c r="X463" s="2"/>
      <c r="Y463" s="2"/>
      <c r="Z463" s="2"/>
      <c r="AA463" s="2"/>
    </row>
    <row r="464" spans="1:27" ht="13.15">
      <c r="A464" s="12"/>
      <c r="B464" s="45"/>
      <c r="C464" s="45"/>
      <c r="D464" s="45"/>
      <c r="E464" s="45"/>
      <c r="F464" s="45"/>
      <c r="G464" s="45"/>
      <c r="H464" s="45"/>
      <c r="I464" s="45"/>
      <c r="J464" s="45"/>
      <c r="K464" s="45"/>
      <c r="L464" s="45"/>
      <c r="M464" s="45"/>
      <c r="N464" s="2"/>
      <c r="O464" s="2"/>
      <c r="P464" s="2"/>
      <c r="Q464" s="2"/>
      <c r="R464" s="2"/>
      <c r="S464" s="2"/>
      <c r="T464" s="2"/>
      <c r="U464" s="2"/>
      <c r="V464" s="2"/>
      <c r="W464" s="2"/>
      <c r="X464" s="2"/>
      <c r="Y464" s="2"/>
      <c r="Z464" s="2"/>
      <c r="AA464" s="2"/>
    </row>
    <row r="465" spans="1:27" ht="13.15">
      <c r="A465" s="12"/>
      <c r="B465" s="45"/>
      <c r="C465" s="45"/>
      <c r="D465" s="45"/>
      <c r="E465" s="45"/>
      <c r="F465" s="45"/>
      <c r="G465" s="45"/>
      <c r="H465" s="45"/>
      <c r="I465" s="45"/>
      <c r="J465" s="45"/>
      <c r="K465" s="45"/>
      <c r="L465" s="45"/>
      <c r="M465" s="45"/>
      <c r="N465" s="2"/>
      <c r="O465" s="2"/>
      <c r="P465" s="2"/>
      <c r="Q465" s="2"/>
      <c r="R465" s="2"/>
      <c r="S465" s="2"/>
      <c r="T465" s="2"/>
      <c r="U465" s="2"/>
      <c r="V465" s="2"/>
      <c r="W465" s="2"/>
      <c r="X465" s="2"/>
      <c r="Y465" s="2"/>
      <c r="Z465" s="2"/>
      <c r="AA465" s="2"/>
    </row>
    <row r="466" spans="1:27" ht="13.15">
      <c r="A466" s="12"/>
      <c r="B466" s="45"/>
      <c r="C466" s="45"/>
      <c r="D466" s="45"/>
      <c r="E466" s="45"/>
      <c r="F466" s="45"/>
      <c r="G466" s="45"/>
      <c r="H466" s="45"/>
      <c r="I466" s="45"/>
      <c r="J466" s="45"/>
      <c r="K466" s="45"/>
      <c r="L466" s="45"/>
      <c r="M466" s="45"/>
      <c r="N466" s="2"/>
      <c r="O466" s="2"/>
      <c r="P466" s="2"/>
      <c r="Q466" s="2"/>
      <c r="R466" s="2"/>
      <c r="S466" s="2"/>
      <c r="T466" s="2"/>
      <c r="U466" s="2"/>
      <c r="V466" s="2"/>
      <c r="W466" s="2"/>
      <c r="X466" s="2"/>
      <c r="Y466" s="2"/>
      <c r="Z466" s="2"/>
      <c r="AA466" s="2"/>
    </row>
    <row r="467" spans="1:27" ht="13.15">
      <c r="A467" s="12"/>
      <c r="B467" s="45"/>
      <c r="C467" s="45"/>
      <c r="D467" s="45"/>
      <c r="E467" s="45"/>
      <c r="F467" s="45"/>
      <c r="G467" s="45"/>
      <c r="H467" s="45"/>
      <c r="I467" s="45"/>
      <c r="J467" s="45"/>
      <c r="K467" s="45"/>
      <c r="L467" s="45"/>
      <c r="M467" s="45"/>
      <c r="N467" s="2"/>
      <c r="O467" s="2"/>
      <c r="P467" s="2"/>
      <c r="Q467" s="2"/>
      <c r="R467" s="2"/>
      <c r="S467" s="2"/>
      <c r="T467" s="2"/>
      <c r="U467" s="2"/>
      <c r="V467" s="2"/>
      <c r="W467" s="2"/>
      <c r="X467" s="2"/>
      <c r="Y467" s="2"/>
      <c r="Z467" s="2"/>
      <c r="AA467" s="2"/>
    </row>
    <row r="468" spans="1:27" ht="13.15">
      <c r="A468" s="12"/>
      <c r="B468" s="45"/>
      <c r="C468" s="45"/>
      <c r="D468" s="45"/>
      <c r="E468" s="45"/>
      <c r="F468" s="45"/>
      <c r="G468" s="45"/>
      <c r="H468" s="45"/>
      <c r="I468" s="45"/>
      <c r="J468" s="45"/>
      <c r="K468" s="45"/>
      <c r="L468" s="45"/>
      <c r="M468" s="45"/>
      <c r="N468" s="2"/>
      <c r="O468" s="2"/>
      <c r="P468" s="2"/>
      <c r="Q468" s="2"/>
      <c r="R468" s="2"/>
      <c r="S468" s="2"/>
      <c r="T468" s="2"/>
      <c r="U468" s="2"/>
      <c r="V468" s="2"/>
      <c r="W468" s="2"/>
      <c r="X468" s="2"/>
      <c r="Y468" s="2"/>
      <c r="Z468" s="2"/>
      <c r="AA468" s="2"/>
    </row>
    <row r="469" spans="1:27" ht="13.15">
      <c r="A469" s="12"/>
      <c r="B469" s="45"/>
      <c r="C469" s="45"/>
      <c r="D469" s="45"/>
      <c r="E469" s="45"/>
      <c r="F469" s="45"/>
      <c r="G469" s="45"/>
      <c r="H469" s="45"/>
      <c r="I469" s="45"/>
      <c r="J469" s="45"/>
      <c r="K469" s="45"/>
      <c r="L469" s="45"/>
      <c r="M469" s="45"/>
      <c r="N469" s="2"/>
      <c r="O469" s="2"/>
      <c r="P469" s="2"/>
      <c r="Q469" s="2"/>
      <c r="R469" s="2"/>
      <c r="S469" s="2"/>
      <c r="T469" s="2"/>
      <c r="U469" s="2"/>
      <c r="V469" s="2"/>
      <c r="W469" s="2"/>
      <c r="X469" s="2"/>
      <c r="Y469" s="2"/>
      <c r="Z469" s="2"/>
      <c r="AA469" s="2"/>
    </row>
    <row r="470" spans="1:27" ht="13.15">
      <c r="A470" s="12"/>
      <c r="B470" s="45"/>
      <c r="C470" s="45"/>
      <c r="D470" s="45"/>
      <c r="E470" s="45"/>
      <c r="F470" s="45"/>
      <c r="G470" s="45"/>
      <c r="H470" s="45"/>
      <c r="I470" s="45"/>
      <c r="J470" s="45"/>
      <c r="K470" s="45"/>
      <c r="L470" s="45"/>
      <c r="M470" s="45"/>
      <c r="N470" s="2"/>
      <c r="O470" s="2"/>
      <c r="P470" s="2"/>
      <c r="Q470" s="2"/>
      <c r="R470" s="2"/>
      <c r="S470" s="2"/>
      <c r="T470" s="2"/>
      <c r="U470" s="2"/>
      <c r="V470" s="2"/>
      <c r="W470" s="2"/>
      <c r="X470" s="2"/>
      <c r="Y470" s="2"/>
      <c r="Z470" s="2"/>
      <c r="AA470" s="2"/>
    </row>
    <row r="471" spans="1:27" ht="13.15">
      <c r="A471" s="12"/>
      <c r="B471" s="45"/>
      <c r="C471" s="45"/>
      <c r="D471" s="45"/>
      <c r="E471" s="45"/>
      <c r="F471" s="45"/>
      <c r="G471" s="45"/>
      <c r="H471" s="45"/>
      <c r="I471" s="45"/>
      <c r="J471" s="45"/>
      <c r="K471" s="45"/>
      <c r="L471" s="45"/>
      <c r="M471" s="45"/>
      <c r="N471" s="2"/>
      <c r="O471" s="2"/>
      <c r="P471" s="2"/>
      <c r="Q471" s="2"/>
      <c r="R471" s="2"/>
      <c r="S471" s="2"/>
      <c r="T471" s="2"/>
      <c r="U471" s="2"/>
      <c r="V471" s="2"/>
      <c r="W471" s="2"/>
      <c r="X471" s="2"/>
      <c r="Y471" s="2"/>
      <c r="Z471" s="2"/>
      <c r="AA471" s="2"/>
    </row>
    <row r="472" spans="1:27" ht="13.15">
      <c r="A472" s="12"/>
      <c r="B472" s="45"/>
      <c r="C472" s="45"/>
      <c r="D472" s="45"/>
      <c r="E472" s="45"/>
      <c r="F472" s="45"/>
      <c r="G472" s="45"/>
      <c r="H472" s="45"/>
      <c r="I472" s="45"/>
      <c r="J472" s="45"/>
      <c r="K472" s="45"/>
      <c r="L472" s="45"/>
      <c r="M472" s="45"/>
      <c r="N472" s="2"/>
      <c r="O472" s="2"/>
      <c r="P472" s="2"/>
      <c r="Q472" s="2"/>
      <c r="R472" s="2"/>
      <c r="S472" s="2"/>
      <c r="T472" s="2"/>
      <c r="U472" s="2"/>
      <c r="V472" s="2"/>
      <c r="W472" s="2"/>
      <c r="X472" s="2"/>
      <c r="Y472" s="2"/>
      <c r="Z472" s="2"/>
      <c r="AA472" s="2"/>
    </row>
    <row r="473" spans="1:27" ht="13.15">
      <c r="A473" s="12"/>
      <c r="B473" s="45"/>
      <c r="C473" s="45"/>
      <c r="D473" s="45"/>
      <c r="E473" s="45"/>
      <c r="F473" s="45"/>
      <c r="G473" s="45"/>
      <c r="H473" s="45"/>
      <c r="I473" s="45"/>
      <c r="J473" s="45"/>
      <c r="K473" s="45"/>
      <c r="L473" s="45"/>
      <c r="M473" s="45"/>
      <c r="N473" s="2"/>
      <c r="O473" s="2"/>
      <c r="P473" s="2"/>
      <c r="Q473" s="2"/>
      <c r="R473" s="2"/>
      <c r="S473" s="2"/>
      <c r="T473" s="2"/>
      <c r="U473" s="2"/>
      <c r="V473" s="2"/>
      <c r="W473" s="2"/>
      <c r="X473" s="2"/>
      <c r="Y473" s="2"/>
      <c r="Z473" s="2"/>
      <c r="AA473" s="2"/>
    </row>
    <row r="474" spans="1:27" ht="13.15">
      <c r="A474" s="12"/>
      <c r="B474" s="45"/>
      <c r="C474" s="45"/>
      <c r="D474" s="45"/>
      <c r="E474" s="45"/>
      <c r="F474" s="45"/>
      <c r="G474" s="45"/>
      <c r="H474" s="45"/>
      <c r="I474" s="45"/>
      <c r="J474" s="45"/>
      <c r="K474" s="45"/>
      <c r="L474" s="45"/>
      <c r="M474" s="45"/>
      <c r="N474" s="2"/>
      <c r="O474" s="2"/>
      <c r="P474" s="2"/>
      <c r="Q474" s="2"/>
      <c r="R474" s="2"/>
      <c r="S474" s="2"/>
      <c r="T474" s="2"/>
      <c r="U474" s="2"/>
      <c r="V474" s="2"/>
      <c r="W474" s="2"/>
      <c r="X474" s="2"/>
      <c r="Y474" s="2"/>
      <c r="Z474" s="2"/>
      <c r="AA474" s="2"/>
    </row>
    <row r="475" spans="1:27" ht="13.15">
      <c r="A475" s="12"/>
      <c r="B475" s="45"/>
      <c r="C475" s="45"/>
      <c r="D475" s="45"/>
      <c r="E475" s="45"/>
      <c r="F475" s="45"/>
      <c r="G475" s="45"/>
      <c r="H475" s="45"/>
      <c r="I475" s="45"/>
      <c r="J475" s="45"/>
      <c r="K475" s="45"/>
      <c r="L475" s="45"/>
      <c r="M475" s="45"/>
      <c r="N475" s="2"/>
      <c r="O475" s="2"/>
      <c r="P475" s="2"/>
      <c r="Q475" s="2"/>
      <c r="R475" s="2"/>
      <c r="S475" s="2"/>
      <c r="T475" s="2"/>
      <c r="U475" s="2"/>
      <c r="V475" s="2"/>
      <c r="W475" s="2"/>
      <c r="X475" s="2"/>
      <c r="Y475" s="2"/>
      <c r="Z475" s="2"/>
      <c r="AA475" s="2"/>
    </row>
    <row r="476" spans="1:27" ht="13.15">
      <c r="A476" s="12"/>
      <c r="B476" s="45"/>
      <c r="C476" s="45"/>
      <c r="D476" s="45"/>
      <c r="E476" s="45"/>
      <c r="F476" s="45"/>
      <c r="G476" s="45"/>
      <c r="H476" s="45"/>
      <c r="I476" s="45"/>
      <c r="J476" s="45"/>
      <c r="K476" s="45"/>
      <c r="L476" s="45"/>
      <c r="M476" s="45"/>
      <c r="N476" s="2"/>
      <c r="O476" s="2"/>
      <c r="P476" s="2"/>
      <c r="Q476" s="2"/>
      <c r="R476" s="2"/>
      <c r="S476" s="2"/>
      <c r="T476" s="2"/>
      <c r="U476" s="2"/>
      <c r="V476" s="2"/>
      <c r="W476" s="2"/>
      <c r="X476" s="2"/>
      <c r="Y476" s="2"/>
      <c r="Z476" s="2"/>
      <c r="AA476" s="2"/>
    </row>
    <row r="477" spans="1:27" ht="13.15">
      <c r="A477" s="12"/>
      <c r="B477" s="45"/>
      <c r="C477" s="45"/>
      <c r="D477" s="45"/>
      <c r="E477" s="45"/>
      <c r="F477" s="45"/>
      <c r="G477" s="45"/>
      <c r="H477" s="45"/>
      <c r="I477" s="45"/>
      <c r="J477" s="45"/>
      <c r="K477" s="45"/>
      <c r="L477" s="45"/>
      <c r="M477" s="45"/>
      <c r="N477" s="2"/>
      <c r="O477" s="2"/>
      <c r="P477" s="2"/>
      <c r="Q477" s="2"/>
      <c r="R477" s="2"/>
      <c r="S477" s="2"/>
      <c r="T477" s="2"/>
      <c r="U477" s="2"/>
      <c r="V477" s="2"/>
      <c r="W477" s="2"/>
      <c r="X477" s="2"/>
      <c r="Y477" s="2"/>
      <c r="Z477" s="2"/>
      <c r="AA477" s="2"/>
    </row>
    <row r="478" spans="1:27" ht="13.15">
      <c r="A478" s="12"/>
      <c r="B478" s="45"/>
      <c r="C478" s="45"/>
      <c r="D478" s="45"/>
      <c r="E478" s="45"/>
      <c r="F478" s="45"/>
      <c r="G478" s="45"/>
      <c r="H478" s="45"/>
      <c r="I478" s="45"/>
      <c r="J478" s="45"/>
      <c r="K478" s="45"/>
      <c r="L478" s="45"/>
      <c r="M478" s="45"/>
      <c r="N478" s="2"/>
      <c r="O478" s="2"/>
      <c r="P478" s="2"/>
      <c r="Q478" s="2"/>
      <c r="R478" s="2"/>
      <c r="S478" s="2"/>
      <c r="T478" s="2"/>
      <c r="U478" s="2"/>
      <c r="V478" s="2"/>
      <c r="W478" s="2"/>
      <c r="X478" s="2"/>
      <c r="Y478" s="2"/>
      <c r="Z478" s="2"/>
      <c r="AA478" s="2"/>
    </row>
    <row r="479" spans="1:27" ht="13.15">
      <c r="A479" s="12"/>
      <c r="B479" s="45"/>
      <c r="C479" s="45"/>
      <c r="D479" s="45"/>
      <c r="E479" s="45"/>
      <c r="F479" s="45"/>
      <c r="G479" s="45"/>
      <c r="H479" s="45"/>
      <c r="I479" s="45"/>
      <c r="J479" s="45"/>
      <c r="K479" s="45"/>
      <c r="L479" s="45"/>
      <c r="M479" s="45"/>
      <c r="N479" s="2"/>
      <c r="O479" s="2"/>
      <c r="P479" s="2"/>
      <c r="Q479" s="2"/>
      <c r="R479" s="2"/>
      <c r="S479" s="2"/>
      <c r="T479" s="2"/>
      <c r="U479" s="2"/>
      <c r="V479" s="2"/>
      <c r="W479" s="2"/>
      <c r="X479" s="2"/>
      <c r="Y479" s="2"/>
      <c r="Z479" s="2"/>
      <c r="AA479" s="2"/>
    </row>
    <row r="480" spans="1:27" ht="13.15">
      <c r="A480" s="12"/>
      <c r="B480" s="45"/>
      <c r="C480" s="45"/>
      <c r="D480" s="45"/>
      <c r="E480" s="45"/>
      <c r="F480" s="45"/>
      <c r="G480" s="45"/>
      <c r="H480" s="45"/>
      <c r="I480" s="45"/>
      <c r="J480" s="45"/>
      <c r="K480" s="45"/>
      <c r="L480" s="45"/>
      <c r="M480" s="45"/>
      <c r="N480" s="2"/>
      <c r="O480" s="2"/>
      <c r="P480" s="2"/>
      <c r="Q480" s="2"/>
      <c r="R480" s="2"/>
      <c r="S480" s="2"/>
      <c r="T480" s="2"/>
      <c r="U480" s="2"/>
      <c r="V480" s="2"/>
      <c r="W480" s="2"/>
      <c r="X480" s="2"/>
      <c r="Y480" s="2"/>
      <c r="Z480" s="2"/>
      <c r="AA480" s="2"/>
    </row>
    <row r="481" spans="1:27" ht="13.15">
      <c r="A481" s="12"/>
      <c r="B481" s="45"/>
      <c r="C481" s="45"/>
      <c r="D481" s="45"/>
      <c r="E481" s="45"/>
      <c r="F481" s="45"/>
      <c r="G481" s="45"/>
      <c r="H481" s="45"/>
      <c r="I481" s="45"/>
      <c r="J481" s="45"/>
      <c r="K481" s="45"/>
      <c r="L481" s="45"/>
      <c r="M481" s="45"/>
      <c r="N481" s="2"/>
      <c r="O481" s="2"/>
      <c r="P481" s="2"/>
      <c r="Q481" s="2"/>
      <c r="R481" s="2"/>
      <c r="S481" s="2"/>
      <c r="T481" s="2"/>
      <c r="U481" s="2"/>
      <c r="V481" s="2"/>
      <c r="W481" s="2"/>
      <c r="X481" s="2"/>
      <c r="Y481" s="2"/>
      <c r="Z481" s="2"/>
      <c r="AA481" s="2"/>
    </row>
    <row r="482" spans="1:27" ht="13.15">
      <c r="A482" s="12"/>
      <c r="B482" s="45"/>
      <c r="C482" s="45"/>
      <c r="D482" s="45"/>
      <c r="E482" s="45"/>
      <c r="F482" s="45"/>
      <c r="G482" s="45"/>
      <c r="H482" s="45"/>
      <c r="I482" s="45"/>
      <c r="J482" s="45"/>
      <c r="K482" s="45"/>
      <c r="L482" s="45"/>
      <c r="M482" s="45"/>
      <c r="N482" s="2"/>
      <c r="O482" s="2"/>
      <c r="P482" s="2"/>
      <c r="Q482" s="2"/>
      <c r="R482" s="2"/>
      <c r="S482" s="2"/>
      <c r="T482" s="2"/>
      <c r="U482" s="2"/>
      <c r="V482" s="2"/>
      <c r="W482" s="2"/>
      <c r="X482" s="2"/>
      <c r="Y482" s="2"/>
      <c r="Z482" s="2"/>
      <c r="AA482" s="2"/>
    </row>
    <row r="483" spans="1:27" ht="13.15">
      <c r="A483" s="12"/>
      <c r="B483" s="45"/>
      <c r="C483" s="45"/>
      <c r="D483" s="45"/>
      <c r="E483" s="45"/>
      <c r="F483" s="45"/>
      <c r="G483" s="45"/>
      <c r="H483" s="45"/>
      <c r="I483" s="45"/>
      <c r="J483" s="45"/>
      <c r="K483" s="45"/>
      <c r="L483" s="45"/>
      <c r="M483" s="45"/>
      <c r="N483" s="2"/>
      <c r="O483" s="2"/>
      <c r="P483" s="2"/>
      <c r="Q483" s="2"/>
      <c r="R483" s="2"/>
      <c r="S483" s="2"/>
      <c r="T483" s="2"/>
      <c r="U483" s="2"/>
      <c r="V483" s="2"/>
      <c r="W483" s="2"/>
      <c r="X483" s="2"/>
      <c r="Y483" s="2"/>
      <c r="Z483" s="2"/>
      <c r="AA483" s="2"/>
    </row>
    <row r="484" spans="1:27" ht="13.15">
      <c r="A484" s="12"/>
      <c r="B484" s="45"/>
      <c r="C484" s="45"/>
      <c r="D484" s="45"/>
      <c r="E484" s="45"/>
      <c r="F484" s="45"/>
      <c r="G484" s="45"/>
      <c r="H484" s="45"/>
      <c r="I484" s="45"/>
      <c r="J484" s="45"/>
      <c r="K484" s="45"/>
      <c r="L484" s="45"/>
      <c r="M484" s="45"/>
      <c r="N484" s="2"/>
      <c r="O484" s="2"/>
      <c r="P484" s="2"/>
      <c r="Q484" s="2"/>
      <c r="R484" s="2"/>
      <c r="S484" s="2"/>
      <c r="T484" s="2"/>
      <c r="U484" s="2"/>
      <c r="V484" s="2"/>
      <c r="W484" s="2"/>
      <c r="X484" s="2"/>
      <c r="Y484" s="2"/>
      <c r="Z484" s="2"/>
      <c r="AA484" s="2"/>
    </row>
    <row r="485" spans="1:27" ht="13.15">
      <c r="A485" s="12"/>
      <c r="B485" s="45"/>
      <c r="C485" s="45"/>
      <c r="D485" s="45"/>
      <c r="E485" s="45"/>
      <c r="F485" s="45"/>
      <c r="G485" s="45"/>
      <c r="H485" s="45"/>
      <c r="I485" s="45"/>
      <c r="J485" s="45"/>
      <c r="K485" s="45"/>
      <c r="L485" s="45"/>
      <c r="M485" s="45"/>
      <c r="N485" s="2"/>
      <c r="O485" s="2"/>
      <c r="P485" s="2"/>
      <c r="Q485" s="2"/>
      <c r="R485" s="2"/>
      <c r="S485" s="2"/>
      <c r="T485" s="2"/>
      <c r="U485" s="2"/>
      <c r="V485" s="2"/>
      <c r="W485" s="2"/>
      <c r="X485" s="2"/>
      <c r="Y485" s="2"/>
      <c r="Z485" s="2"/>
      <c r="AA485" s="2"/>
    </row>
    <row r="486" spans="1:27" ht="13.15">
      <c r="A486" s="12"/>
      <c r="B486" s="45"/>
      <c r="C486" s="45"/>
      <c r="D486" s="45"/>
      <c r="E486" s="45"/>
      <c r="F486" s="45"/>
      <c r="G486" s="45"/>
      <c r="H486" s="45"/>
      <c r="I486" s="45"/>
      <c r="J486" s="45"/>
      <c r="K486" s="45"/>
      <c r="L486" s="45"/>
      <c r="M486" s="45"/>
      <c r="N486" s="2"/>
      <c r="O486" s="2"/>
      <c r="P486" s="2"/>
      <c r="Q486" s="2"/>
      <c r="R486" s="2"/>
      <c r="S486" s="2"/>
      <c r="T486" s="2"/>
      <c r="U486" s="2"/>
      <c r="V486" s="2"/>
      <c r="W486" s="2"/>
      <c r="X486" s="2"/>
      <c r="Y486" s="2"/>
      <c r="Z486" s="2"/>
      <c r="AA486" s="2"/>
    </row>
    <row r="487" spans="1:27" ht="13.15">
      <c r="A487" s="12"/>
      <c r="B487" s="45"/>
      <c r="C487" s="45"/>
      <c r="D487" s="45"/>
      <c r="E487" s="45"/>
      <c r="F487" s="45"/>
      <c r="G487" s="45"/>
      <c r="H487" s="45"/>
      <c r="I487" s="45"/>
      <c r="J487" s="45"/>
      <c r="K487" s="45"/>
      <c r="L487" s="45"/>
      <c r="M487" s="45"/>
      <c r="N487" s="2"/>
      <c r="O487" s="2"/>
      <c r="P487" s="2"/>
      <c r="Q487" s="2"/>
      <c r="R487" s="2"/>
      <c r="S487" s="2"/>
      <c r="T487" s="2"/>
      <c r="U487" s="2"/>
      <c r="V487" s="2"/>
      <c r="W487" s="2"/>
      <c r="X487" s="2"/>
      <c r="Y487" s="2"/>
      <c r="Z487" s="2"/>
      <c r="AA487" s="2"/>
    </row>
    <row r="488" spans="1:27" ht="13.15">
      <c r="A488" s="12"/>
      <c r="B488" s="45"/>
      <c r="C488" s="45"/>
      <c r="D488" s="45"/>
      <c r="E488" s="45"/>
      <c r="F488" s="45"/>
      <c r="G488" s="45"/>
      <c r="H488" s="45"/>
      <c r="I488" s="45"/>
      <c r="J488" s="45"/>
      <c r="K488" s="45"/>
      <c r="L488" s="45"/>
      <c r="M488" s="45"/>
      <c r="N488" s="2"/>
      <c r="O488" s="2"/>
      <c r="P488" s="2"/>
      <c r="Q488" s="2"/>
      <c r="R488" s="2"/>
      <c r="S488" s="2"/>
      <c r="T488" s="2"/>
      <c r="U488" s="2"/>
      <c r="V488" s="2"/>
      <c r="W488" s="2"/>
      <c r="X488" s="2"/>
      <c r="Y488" s="2"/>
      <c r="Z488" s="2"/>
      <c r="AA488" s="2"/>
    </row>
    <row r="489" spans="1:27" ht="13.15">
      <c r="A489" s="12"/>
      <c r="B489" s="45"/>
      <c r="C489" s="45"/>
      <c r="D489" s="45"/>
      <c r="E489" s="45"/>
      <c r="F489" s="45"/>
      <c r="G489" s="45"/>
      <c r="H489" s="45"/>
      <c r="I489" s="45"/>
      <c r="J489" s="45"/>
      <c r="K489" s="45"/>
      <c r="L489" s="45"/>
      <c r="M489" s="45"/>
      <c r="N489" s="2"/>
      <c r="O489" s="2"/>
      <c r="P489" s="2"/>
      <c r="Q489" s="2"/>
      <c r="R489" s="2"/>
      <c r="S489" s="2"/>
      <c r="T489" s="2"/>
      <c r="U489" s="2"/>
      <c r="V489" s="2"/>
      <c r="W489" s="2"/>
      <c r="X489" s="2"/>
      <c r="Y489" s="2"/>
      <c r="Z489" s="2"/>
      <c r="AA489" s="2"/>
    </row>
    <row r="490" spans="1:27" ht="13.15">
      <c r="A490" s="12"/>
      <c r="B490" s="45"/>
      <c r="C490" s="45"/>
      <c r="D490" s="45"/>
      <c r="E490" s="45"/>
      <c r="F490" s="45"/>
      <c r="G490" s="45"/>
      <c r="H490" s="45"/>
      <c r="I490" s="45"/>
      <c r="J490" s="45"/>
      <c r="K490" s="45"/>
      <c r="L490" s="45"/>
      <c r="M490" s="45"/>
      <c r="N490" s="2"/>
      <c r="O490" s="2"/>
      <c r="P490" s="2"/>
      <c r="Q490" s="2"/>
      <c r="R490" s="2"/>
      <c r="S490" s="2"/>
      <c r="T490" s="2"/>
      <c r="U490" s="2"/>
      <c r="V490" s="2"/>
      <c r="W490" s="2"/>
      <c r="X490" s="2"/>
      <c r="Y490" s="2"/>
      <c r="Z490" s="2"/>
      <c r="AA490" s="2"/>
    </row>
    <row r="491" spans="1:27" ht="13.15">
      <c r="A491" s="12"/>
      <c r="B491" s="45"/>
      <c r="C491" s="45"/>
      <c r="D491" s="45"/>
      <c r="E491" s="45"/>
      <c r="F491" s="45"/>
      <c r="G491" s="45"/>
      <c r="H491" s="45"/>
      <c r="I491" s="45"/>
      <c r="J491" s="45"/>
      <c r="K491" s="45"/>
      <c r="L491" s="45"/>
      <c r="M491" s="45"/>
      <c r="N491" s="2"/>
      <c r="O491" s="2"/>
      <c r="P491" s="2"/>
      <c r="Q491" s="2"/>
      <c r="R491" s="2"/>
      <c r="S491" s="2"/>
      <c r="T491" s="2"/>
      <c r="U491" s="2"/>
      <c r="V491" s="2"/>
      <c r="W491" s="2"/>
      <c r="X491" s="2"/>
      <c r="Y491" s="2"/>
      <c r="Z491" s="2"/>
      <c r="AA491" s="2"/>
    </row>
    <row r="492" spans="1:27" ht="13.15">
      <c r="A492" s="12"/>
      <c r="B492" s="45"/>
      <c r="C492" s="45"/>
      <c r="D492" s="45"/>
      <c r="E492" s="45"/>
      <c r="F492" s="45"/>
      <c r="G492" s="45"/>
      <c r="H492" s="45"/>
      <c r="I492" s="45"/>
      <c r="J492" s="45"/>
      <c r="K492" s="45"/>
      <c r="L492" s="45"/>
      <c r="M492" s="45"/>
      <c r="N492" s="2"/>
      <c r="O492" s="2"/>
      <c r="P492" s="2"/>
      <c r="Q492" s="2"/>
      <c r="R492" s="2"/>
      <c r="S492" s="2"/>
      <c r="T492" s="2"/>
      <c r="U492" s="2"/>
      <c r="V492" s="2"/>
      <c r="W492" s="2"/>
      <c r="X492" s="2"/>
      <c r="Y492" s="2"/>
      <c r="Z492" s="2"/>
      <c r="AA492" s="2"/>
    </row>
    <row r="493" spans="1:27" ht="13.15">
      <c r="A493" s="12"/>
      <c r="B493" s="45"/>
      <c r="C493" s="45"/>
      <c r="D493" s="45"/>
      <c r="E493" s="45"/>
      <c r="F493" s="45"/>
      <c r="G493" s="45"/>
      <c r="H493" s="45"/>
      <c r="I493" s="45"/>
      <c r="J493" s="45"/>
      <c r="K493" s="45"/>
      <c r="L493" s="45"/>
      <c r="M493" s="45"/>
      <c r="N493" s="2"/>
      <c r="O493" s="2"/>
      <c r="P493" s="2"/>
      <c r="Q493" s="2"/>
      <c r="R493" s="2"/>
      <c r="S493" s="2"/>
      <c r="T493" s="2"/>
      <c r="U493" s="2"/>
      <c r="V493" s="2"/>
      <c r="W493" s="2"/>
      <c r="X493" s="2"/>
      <c r="Y493" s="2"/>
      <c r="Z493" s="2"/>
      <c r="AA493" s="2"/>
    </row>
    <row r="494" spans="1:27" ht="13.15">
      <c r="A494" s="12"/>
      <c r="B494" s="45"/>
      <c r="C494" s="45"/>
      <c r="D494" s="45"/>
      <c r="E494" s="45"/>
      <c r="F494" s="45"/>
      <c r="G494" s="45"/>
      <c r="H494" s="45"/>
      <c r="I494" s="45"/>
      <c r="J494" s="45"/>
      <c r="K494" s="45"/>
      <c r="L494" s="45"/>
      <c r="M494" s="45"/>
      <c r="N494" s="2"/>
      <c r="O494" s="2"/>
      <c r="P494" s="2"/>
      <c r="Q494" s="2"/>
      <c r="R494" s="2"/>
      <c r="S494" s="2"/>
      <c r="T494" s="2"/>
      <c r="U494" s="2"/>
      <c r="V494" s="2"/>
      <c r="W494" s="2"/>
      <c r="X494" s="2"/>
      <c r="Y494" s="2"/>
      <c r="Z494" s="2"/>
      <c r="AA494" s="2"/>
    </row>
    <row r="495" spans="1:27" ht="13.15">
      <c r="A495" s="12"/>
      <c r="B495" s="45"/>
      <c r="C495" s="45"/>
      <c r="D495" s="45"/>
      <c r="E495" s="45"/>
      <c r="F495" s="45"/>
      <c r="G495" s="45"/>
      <c r="H495" s="45"/>
      <c r="I495" s="45"/>
      <c r="J495" s="45"/>
      <c r="K495" s="45"/>
      <c r="L495" s="45"/>
      <c r="M495" s="45"/>
      <c r="N495" s="2"/>
      <c r="O495" s="2"/>
      <c r="P495" s="2"/>
      <c r="Q495" s="2"/>
      <c r="R495" s="2"/>
      <c r="S495" s="2"/>
      <c r="T495" s="2"/>
      <c r="U495" s="2"/>
      <c r="V495" s="2"/>
      <c r="W495" s="2"/>
      <c r="X495" s="2"/>
      <c r="Y495" s="2"/>
      <c r="Z495" s="2"/>
      <c r="AA495" s="2"/>
    </row>
    <row r="496" spans="1:27" ht="13.15">
      <c r="A496" s="12"/>
      <c r="B496" s="45"/>
      <c r="C496" s="45"/>
      <c r="D496" s="45"/>
      <c r="E496" s="45"/>
      <c r="F496" s="45"/>
      <c r="G496" s="45"/>
      <c r="H496" s="45"/>
      <c r="I496" s="45"/>
      <c r="J496" s="45"/>
      <c r="K496" s="45"/>
      <c r="L496" s="45"/>
      <c r="M496" s="45"/>
      <c r="N496" s="2"/>
      <c r="O496" s="2"/>
      <c r="P496" s="2"/>
      <c r="Q496" s="2"/>
      <c r="R496" s="2"/>
      <c r="S496" s="2"/>
      <c r="T496" s="2"/>
      <c r="U496" s="2"/>
      <c r="V496" s="2"/>
      <c r="W496" s="2"/>
      <c r="X496" s="2"/>
      <c r="Y496" s="2"/>
      <c r="Z496" s="2"/>
      <c r="AA496" s="2"/>
    </row>
    <row r="497" spans="1:27" ht="13.15">
      <c r="A497" s="12"/>
      <c r="B497" s="45"/>
      <c r="C497" s="45"/>
      <c r="D497" s="45"/>
      <c r="E497" s="45"/>
      <c r="F497" s="45"/>
      <c r="G497" s="45"/>
      <c r="H497" s="45"/>
      <c r="I497" s="45"/>
      <c r="J497" s="45"/>
      <c r="K497" s="45"/>
      <c r="L497" s="45"/>
      <c r="M497" s="45"/>
      <c r="N497" s="2"/>
      <c r="O497" s="2"/>
      <c r="P497" s="2"/>
      <c r="Q497" s="2"/>
      <c r="R497" s="2"/>
      <c r="S497" s="2"/>
      <c r="T497" s="2"/>
      <c r="U497" s="2"/>
      <c r="V497" s="2"/>
      <c r="W497" s="2"/>
      <c r="X497" s="2"/>
      <c r="Y497" s="2"/>
      <c r="Z497" s="2"/>
      <c r="AA497" s="2"/>
    </row>
    <row r="498" spans="1:27" ht="13.15">
      <c r="A498" s="12"/>
      <c r="B498" s="45"/>
      <c r="C498" s="45"/>
      <c r="D498" s="45"/>
      <c r="E498" s="45"/>
      <c r="F498" s="45"/>
      <c r="G498" s="45"/>
      <c r="H498" s="45"/>
      <c r="I498" s="45"/>
      <c r="J498" s="45"/>
      <c r="K498" s="45"/>
      <c r="L498" s="45"/>
      <c r="M498" s="45"/>
      <c r="N498" s="2"/>
      <c r="O498" s="2"/>
      <c r="P498" s="2"/>
      <c r="Q498" s="2"/>
      <c r="R498" s="2"/>
      <c r="S498" s="2"/>
      <c r="T498" s="2"/>
      <c r="U498" s="2"/>
      <c r="V498" s="2"/>
      <c r="W498" s="2"/>
      <c r="X498" s="2"/>
      <c r="Y498" s="2"/>
      <c r="Z498" s="2"/>
      <c r="AA498" s="2"/>
    </row>
    <row r="499" spans="1:27" ht="13.15">
      <c r="A499" s="12"/>
      <c r="B499" s="45"/>
      <c r="C499" s="45"/>
      <c r="D499" s="45"/>
      <c r="E499" s="45"/>
      <c r="F499" s="45"/>
      <c r="G499" s="45"/>
      <c r="H499" s="45"/>
      <c r="I499" s="45"/>
      <c r="J499" s="45"/>
      <c r="K499" s="45"/>
      <c r="L499" s="45"/>
      <c r="M499" s="45"/>
      <c r="N499" s="2"/>
      <c r="O499" s="2"/>
      <c r="P499" s="2"/>
      <c r="Q499" s="2"/>
      <c r="R499" s="2"/>
      <c r="S499" s="2"/>
      <c r="T499" s="2"/>
      <c r="U499" s="2"/>
      <c r="V499" s="2"/>
      <c r="W499" s="2"/>
      <c r="X499" s="2"/>
      <c r="Y499" s="2"/>
      <c r="Z499" s="2"/>
      <c r="AA499" s="2"/>
    </row>
    <row r="500" spans="1:27" ht="13.15">
      <c r="A500" s="12"/>
      <c r="B500" s="45"/>
      <c r="C500" s="45"/>
      <c r="D500" s="45"/>
      <c r="E500" s="45"/>
      <c r="F500" s="45"/>
      <c r="G500" s="45"/>
      <c r="H500" s="45"/>
      <c r="I500" s="45"/>
      <c r="J500" s="45"/>
      <c r="K500" s="45"/>
      <c r="L500" s="45"/>
      <c r="M500" s="45"/>
      <c r="N500" s="2"/>
      <c r="O500" s="2"/>
      <c r="P500" s="2"/>
      <c r="Q500" s="2"/>
      <c r="R500" s="2"/>
      <c r="S500" s="2"/>
      <c r="T500" s="2"/>
      <c r="U500" s="2"/>
      <c r="V500" s="2"/>
      <c r="W500" s="2"/>
      <c r="X500" s="2"/>
      <c r="Y500" s="2"/>
      <c r="Z500" s="2"/>
      <c r="AA500" s="2"/>
    </row>
    <row r="501" spans="1:27" ht="13.15">
      <c r="A501" s="12"/>
      <c r="B501" s="45"/>
      <c r="C501" s="45"/>
      <c r="D501" s="45"/>
      <c r="E501" s="45"/>
      <c r="F501" s="45"/>
      <c r="G501" s="45"/>
      <c r="H501" s="45"/>
      <c r="I501" s="45"/>
      <c r="J501" s="45"/>
      <c r="K501" s="45"/>
      <c r="L501" s="45"/>
      <c r="M501" s="45"/>
      <c r="N501" s="2"/>
      <c r="O501" s="2"/>
      <c r="P501" s="2"/>
      <c r="Q501" s="2"/>
      <c r="R501" s="2"/>
      <c r="S501" s="2"/>
      <c r="T501" s="2"/>
      <c r="U501" s="2"/>
      <c r="V501" s="2"/>
      <c r="W501" s="2"/>
      <c r="X501" s="2"/>
      <c r="Y501" s="2"/>
      <c r="Z501" s="2"/>
      <c r="AA501" s="2"/>
    </row>
    <row r="502" spans="1:27" ht="13.15">
      <c r="A502" s="12"/>
      <c r="B502" s="45"/>
      <c r="C502" s="45"/>
      <c r="D502" s="45"/>
      <c r="E502" s="45"/>
      <c r="F502" s="45"/>
      <c r="G502" s="45"/>
      <c r="H502" s="45"/>
      <c r="I502" s="45"/>
      <c r="J502" s="45"/>
      <c r="K502" s="45"/>
      <c r="L502" s="45"/>
      <c r="M502" s="45"/>
      <c r="N502" s="2"/>
      <c r="O502" s="2"/>
      <c r="P502" s="2"/>
      <c r="Q502" s="2"/>
      <c r="R502" s="2"/>
      <c r="S502" s="2"/>
      <c r="T502" s="2"/>
      <c r="U502" s="2"/>
      <c r="V502" s="2"/>
      <c r="W502" s="2"/>
      <c r="X502" s="2"/>
      <c r="Y502" s="2"/>
      <c r="Z502" s="2"/>
      <c r="AA502" s="2"/>
    </row>
    <row r="503" spans="1:27" ht="13.15">
      <c r="A503" s="12"/>
      <c r="B503" s="45"/>
      <c r="C503" s="45"/>
      <c r="D503" s="45"/>
      <c r="E503" s="45"/>
      <c r="F503" s="45"/>
      <c r="G503" s="45"/>
      <c r="H503" s="45"/>
      <c r="I503" s="45"/>
      <c r="J503" s="45"/>
      <c r="K503" s="45"/>
      <c r="L503" s="45"/>
      <c r="M503" s="45"/>
      <c r="N503" s="2"/>
      <c r="O503" s="2"/>
      <c r="P503" s="2"/>
      <c r="Q503" s="2"/>
      <c r="R503" s="2"/>
      <c r="S503" s="2"/>
      <c r="T503" s="2"/>
      <c r="U503" s="2"/>
      <c r="V503" s="2"/>
      <c r="W503" s="2"/>
      <c r="X503" s="2"/>
      <c r="Y503" s="2"/>
      <c r="Z503" s="2"/>
      <c r="AA503" s="2"/>
    </row>
    <row r="504" spans="1:27" ht="13.15">
      <c r="A504" s="12"/>
      <c r="B504" s="45"/>
      <c r="C504" s="45"/>
      <c r="D504" s="45"/>
      <c r="E504" s="45"/>
      <c r="F504" s="45"/>
      <c r="G504" s="45"/>
      <c r="H504" s="45"/>
      <c r="I504" s="45"/>
      <c r="J504" s="45"/>
      <c r="K504" s="45"/>
      <c r="L504" s="45"/>
      <c r="M504" s="45"/>
      <c r="N504" s="2"/>
      <c r="O504" s="2"/>
      <c r="P504" s="2"/>
      <c r="Q504" s="2"/>
      <c r="R504" s="2"/>
      <c r="S504" s="2"/>
      <c r="T504" s="2"/>
      <c r="U504" s="2"/>
      <c r="V504" s="2"/>
      <c r="W504" s="2"/>
      <c r="X504" s="2"/>
      <c r="Y504" s="2"/>
      <c r="Z504" s="2"/>
      <c r="AA504" s="2"/>
    </row>
    <row r="505" spans="1:27" ht="13.15">
      <c r="A505" s="12"/>
      <c r="B505" s="45"/>
      <c r="C505" s="45"/>
      <c r="D505" s="45"/>
      <c r="E505" s="45"/>
      <c r="F505" s="45"/>
      <c r="G505" s="45"/>
      <c r="H505" s="45"/>
      <c r="I505" s="45"/>
      <c r="J505" s="45"/>
      <c r="K505" s="45"/>
      <c r="L505" s="45"/>
      <c r="M505" s="45"/>
      <c r="N505" s="2"/>
      <c r="O505" s="2"/>
      <c r="P505" s="2"/>
      <c r="Q505" s="2"/>
      <c r="R505" s="2"/>
      <c r="S505" s="2"/>
      <c r="T505" s="2"/>
      <c r="U505" s="2"/>
      <c r="V505" s="2"/>
      <c r="W505" s="2"/>
      <c r="X505" s="2"/>
      <c r="Y505" s="2"/>
      <c r="Z505" s="2"/>
      <c r="AA505" s="2"/>
    </row>
    <row r="506" spans="1:27" ht="13.15">
      <c r="A506" s="12"/>
      <c r="B506" s="45"/>
      <c r="C506" s="45"/>
      <c r="D506" s="45"/>
      <c r="E506" s="45"/>
      <c r="F506" s="45"/>
      <c r="G506" s="45"/>
      <c r="H506" s="45"/>
      <c r="I506" s="45"/>
      <c r="J506" s="45"/>
      <c r="K506" s="45"/>
      <c r="L506" s="45"/>
      <c r="M506" s="45"/>
      <c r="N506" s="2"/>
      <c r="O506" s="2"/>
      <c r="P506" s="2"/>
      <c r="Q506" s="2"/>
      <c r="R506" s="2"/>
      <c r="S506" s="2"/>
      <c r="T506" s="2"/>
      <c r="U506" s="2"/>
      <c r="V506" s="2"/>
      <c r="W506" s="2"/>
      <c r="X506" s="2"/>
      <c r="Y506" s="2"/>
      <c r="Z506" s="2"/>
      <c r="AA506" s="2"/>
    </row>
    <row r="507" spans="1:27" ht="13.15">
      <c r="A507" s="12"/>
      <c r="B507" s="45"/>
      <c r="C507" s="45"/>
      <c r="D507" s="45"/>
      <c r="E507" s="45"/>
      <c r="F507" s="45"/>
      <c r="G507" s="45"/>
      <c r="H507" s="45"/>
      <c r="I507" s="45"/>
      <c r="J507" s="45"/>
      <c r="K507" s="45"/>
      <c r="L507" s="45"/>
      <c r="M507" s="45"/>
      <c r="N507" s="2"/>
      <c r="O507" s="2"/>
      <c r="P507" s="2"/>
      <c r="Q507" s="2"/>
      <c r="R507" s="2"/>
      <c r="S507" s="2"/>
      <c r="T507" s="2"/>
      <c r="U507" s="2"/>
      <c r="V507" s="2"/>
      <c r="W507" s="2"/>
      <c r="X507" s="2"/>
      <c r="Y507" s="2"/>
      <c r="Z507" s="2"/>
      <c r="AA507" s="2"/>
    </row>
    <row r="508" spans="1:27" ht="13.15">
      <c r="A508" s="12"/>
      <c r="B508" s="45"/>
      <c r="C508" s="45"/>
      <c r="D508" s="45"/>
      <c r="E508" s="45"/>
      <c r="F508" s="45"/>
      <c r="G508" s="45"/>
      <c r="H508" s="45"/>
      <c r="I508" s="45"/>
      <c r="J508" s="45"/>
      <c r="K508" s="45"/>
      <c r="L508" s="45"/>
      <c r="M508" s="45"/>
      <c r="N508" s="2"/>
      <c r="O508" s="2"/>
      <c r="P508" s="2"/>
      <c r="Q508" s="2"/>
      <c r="R508" s="2"/>
      <c r="S508" s="2"/>
      <c r="T508" s="2"/>
      <c r="U508" s="2"/>
      <c r="V508" s="2"/>
      <c r="W508" s="2"/>
      <c r="X508" s="2"/>
      <c r="Y508" s="2"/>
      <c r="Z508" s="2"/>
      <c r="AA508" s="2"/>
    </row>
    <row r="509" spans="1:27" ht="13.15">
      <c r="A509" s="12"/>
      <c r="B509" s="45"/>
      <c r="C509" s="45"/>
      <c r="D509" s="45"/>
      <c r="E509" s="45"/>
      <c r="F509" s="45"/>
      <c r="G509" s="45"/>
      <c r="H509" s="45"/>
      <c r="I509" s="45"/>
      <c r="J509" s="45"/>
      <c r="K509" s="45"/>
      <c r="L509" s="45"/>
      <c r="M509" s="45"/>
      <c r="N509" s="2"/>
      <c r="O509" s="2"/>
      <c r="P509" s="2"/>
      <c r="Q509" s="2"/>
      <c r="R509" s="2"/>
      <c r="S509" s="2"/>
      <c r="T509" s="2"/>
      <c r="U509" s="2"/>
      <c r="V509" s="2"/>
      <c r="W509" s="2"/>
      <c r="X509" s="2"/>
      <c r="Y509" s="2"/>
      <c r="Z509" s="2"/>
      <c r="AA509" s="2"/>
    </row>
    <row r="510" spans="1:27" ht="13.15">
      <c r="A510" s="12"/>
      <c r="B510" s="45"/>
      <c r="C510" s="45"/>
      <c r="D510" s="45"/>
      <c r="E510" s="45"/>
      <c r="F510" s="45"/>
      <c r="G510" s="45"/>
      <c r="H510" s="45"/>
      <c r="I510" s="45"/>
      <c r="J510" s="45"/>
      <c r="K510" s="45"/>
      <c r="L510" s="45"/>
      <c r="M510" s="45"/>
      <c r="N510" s="2"/>
      <c r="O510" s="2"/>
      <c r="P510" s="2"/>
      <c r="Q510" s="2"/>
      <c r="R510" s="2"/>
      <c r="S510" s="2"/>
      <c r="T510" s="2"/>
      <c r="U510" s="2"/>
      <c r="V510" s="2"/>
      <c r="W510" s="2"/>
      <c r="X510" s="2"/>
      <c r="Y510" s="2"/>
      <c r="Z510" s="2"/>
      <c r="AA510" s="2"/>
    </row>
    <row r="511" spans="1:27" ht="13.15">
      <c r="A511" s="12"/>
      <c r="B511" s="45"/>
      <c r="C511" s="45"/>
      <c r="D511" s="45"/>
      <c r="E511" s="45"/>
      <c r="F511" s="45"/>
      <c r="G511" s="45"/>
      <c r="H511" s="45"/>
      <c r="I511" s="45"/>
      <c r="J511" s="45"/>
      <c r="K511" s="45"/>
      <c r="L511" s="45"/>
      <c r="M511" s="45"/>
      <c r="N511" s="2"/>
      <c r="O511" s="2"/>
      <c r="P511" s="2"/>
      <c r="Q511" s="2"/>
      <c r="R511" s="2"/>
      <c r="S511" s="2"/>
      <c r="T511" s="2"/>
      <c r="U511" s="2"/>
      <c r="V511" s="2"/>
      <c r="W511" s="2"/>
      <c r="X511" s="2"/>
      <c r="Y511" s="2"/>
      <c r="Z511" s="2"/>
      <c r="AA511" s="2"/>
    </row>
    <row r="512" spans="1:27" ht="13.15">
      <c r="A512" s="12"/>
      <c r="B512" s="45"/>
      <c r="C512" s="45"/>
      <c r="D512" s="45"/>
      <c r="E512" s="45"/>
      <c r="F512" s="45"/>
      <c r="G512" s="45"/>
      <c r="H512" s="45"/>
      <c r="I512" s="45"/>
      <c r="J512" s="45"/>
      <c r="K512" s="45"/>
      <c r="L512" s="45"/>
      <c r="M512" s="45"/>
      <c r="N512" s="2"/>
      <c r="O512" s="2"/>
      <c r="P512" s="2"/>
      <c r="Q512" s="2"/>
      <c r="R512" s="2"/>
      <c r="S512" s="2"/>
      <c r="T512" s="2"/>
      <c r="U512" s="2"/>
      <c r="V512" s="2"/>
      <c r="W512" s="2"/>
      <c r="X512" s="2"/>
      <c r="Y512" s="2"/>
      <c r="Z512" s="2"/>
      <c r="AA512" s="2"/>
    </row>
    <row r="513" spans="1:27" ht="13.15">
      <c r="A513" s="12"/>
      <c r="B513" s="45"/>
      <c r="C513" s="45"/>
      <c r="D513" s="45"/>
      <c r="E513" s="45"/>
      <c r="F513" s="45"/>
      <c r="G513" s="45"/>
      <c r="H513" s="45"/>
      <c r="I513" s="45"/>
      <c r="J513" s="45"/>
      <c r="K513" s="45"/>
      <c r="L513" s="45"/>
      <c r="M513" s="45"/>
      <c r="N513" s="2"/>
      <c r="O513" s="2"/>
      <c r="P513" s="2"/>
      <c r="Q513" s="2"/>
      <c r="R513" s="2"/>
      <c r="S513" s="2"/>
      <c r="T513" s="2"/>
      <c r="U513" s="2"/>
      <c r="V513" s="2"/>
      <c r="W513" s="2"/>
      <c r="X513" s="2"/>
      <c r="Y513" s="2"/>
      <c r="Z513" s="2"/>
      <c r="AA513" s="2"/>
    </row>
    <row r="514" spans="1:27" ht="13.15">
      <c r="A514" s="12"/>
      <c r="B514" s="45"/>
      <c r="C514" s="45"/>
      <c r="D514" s="45"/>
      <c r="E514" s="45"/>
      <c r="F514" s="45"/>
      <c r="G514" s="45"/>
      <c r="H514" s="45"/>
      <c r="I514" s="45"/>
      <c r="J514" s="45"/>
      <c r="K514" s="45"/>
      <c r="L514" s="45"/>
      <c r="M514" s="45"/>
      <c r="N514" s="2"/>
      <c r="O514" s="2"/>
      <c r="P514" s="2"/>
      <c r="Q514" s="2"/>
      <c r="R514" s="2"/>
      <c r="S514" s="2"/>
      <c r="T514" s="2"/>
      <c r="U514" s="2"/>
      <c r="V514" s="2"/>
      <c r="W514" s="2"/>
      <c r="X514" s="2"/>
      <c r="Y514" s="2"/>
      <c r="Z514" s="2"/>
      <c r="AA514" s="2"/>
    </row>
    <row r="515" spans="1:27" ht="13.15">
      <c r="A515" s="12"/>
      <c r="B515" s="45"/>
      <c r="C515" s="45"/>
      <c r="D515" s="45"/>
      <c r="E515" s="45"/>
      <c r="F515" s="45"/>
      <c r="G515" s="45"/>
      <c r="H515" s="45"/>
      <c r="I515" s="45"/>
      <c r="J515" s="45"/>
      <c r="K515" s="45"/>
      <c r="L515" s="45"/>
      <c r="M515" s="45"/>
      <c r="N515" s="2"/>
      <c r="O515" s="2"/>
      <c r="P515" s="2"/>
      <c r="Q515" s="2"/>
      <c r="R515" s="2"/>
      <c r="S515" s="2"/>
      <c r="T515" s="2"/>
      <c r="U515" s="2"/>
      <c r="V515" s="2"/>
      <c r="W515" s="2"/>
      <c r="X515" s="2"/>
      <c r="Y515" s="2"/>
      <c r="Z515" s="2"/>
      <c r="AA515" s="2"/>
    </row>
    <row r="516" spans="1:27" ht="13.15">
      <c r="A516" s="12"/>
      <c r="B516" s="45"/>
      <c r="C516" s="45"/>
      <c r="D516" s="45"/>
      <c r="E516" s="45"/>
      <c r="F516" s="45"/>
      <c r="G516" s="45"/>
      <c r="H516" s="45"/>
      <c r="I516" s="45"/>
      <c r="J516" s="45"/>
      <c r="K516" s="45"/>
      <c r="L516" s="45"/>
      <c r="M516" s="45"/>
      <c r="N516" s="2"/>
      <c r="O516" s="2"/>
      <c r="P516" s="2"/>
      <c r="Q516" s="2"/>
      <c r="R516" s="2"/>
      <c r="S516" s="2"/>
      <c r="T516" s="2"/>
      <c r="U516" s="2"/>
      <c r="V516" s="2"/>
      <c r="W516" s="2"/>
      <c r="X516" s="2"/>
      <c r="Y516" s="2"/>
      <c r="Z516" s="2"/>
      <c r="AA516" s="2"/>
    </row>
    <row r="517" spans="1:27" ht="13.15">
      <c r="A517" s="12"/>
      <c r="B517" s="45"/>
      <c r="C517" s="45"/>
      <c r="D517" s="45"/>
      <c r="E517" s="45"/>
      <c r="F517" s="45"/>
      <c r="G517" s="45"/>
      <c r="H517" s="45"/>
      <c r="I517" s="45"/>
      <c r="J517" s="45"/>
      <c r="K517" s="45"/>
      <c r="L517" s="45"/>
      <c r="M517" s="45"/>
      <c r="N517" s="2"/>
      <c r="O517" s="2"/>
      <c r="P517" s="2"/>
      <c r="Q517" s="2"/>
      <c r="R517" s="2"/>
      <c r="S517" s="2"/>
      <c r="T517" s="2"/>
      <c r="U517" s="2"/>
      <c r="V517" s="2"/>
      <c r="W517" s="2"/>
      <c r="X517" s="2"/>
      <c r="Y517" s="2"/>
      <c r="Z517" s="2"/>
      <c r="AA517" s="2"/>
    </row>
    <row r="518" spans="1:27" ht="13.15">
      <c r="A518" s="12"/>
      <c r="B518" s="45"/>
      <c r="C518" s="45"/>
      <c r="D518" s="45"/>
      <c r="E518" s="45"/>
      <c r="F518" s="45"/>
      <c r="G518" s="45"/>
      <c r="H518" s="45"/>
      <c r="I518" s="45"/>
      <c r="J518" s="45"/>
      <c r="K518" s="45"/>
      <c r="L518" s="45"/>
      <c r="M518" s="45"/>
      <c r="N518" s="2"/>
      <c r="O518" s="2"/>
      <c r="P518" s="2"/>
      <c r="Q518" s="2"/>
      <c r="R518" s="2"/>
      <c r="S518" s="2"/>
      <c r="T518" s="2"/>
      <c r="U518" s="2"/>
      <c r="V518" s="2"/>
      <c r="W518" s="2"/>
      <c r="X518" s="2"/>
      <c r="Y518" s="2"/>
      <c r="Z518" s="2"/>
      <c r="AA518" s="2"/>
    </row>
    <row r="519" spans="1:27" ht="13.15">
      <c r="A519" s="12"/>
      <c r="B519" s="45"/>
      <c r="C519" s="45"/>
      <c r="D519" s="45"/>
      <c r="E519" s="45"/>
      <c r="F519" s="45"/>
      <c r="G519" s="45"/>
      <c r="H519" s="45"/>
      <c r="I519" s="45"/>
      <c r="J519" s="45"/>
      <c r="K519" s="45"/>
      <c r="L519" s="45"/>
      <c r="M519" s="45"/>
      <c r="N519" s="2"/>
      <c r="O519" s="2"/>
      <c r="P519" s="2"/>
      <c r="Q519" s="2"/>
      <c r="R519" s="2"/>
      <c r="S519" s="2"/>
      <c r="T519" s="2"/>
      <c r="U519" s="2"/>
      <c r="V519" s="2"/>
      <c r="W519" s="2"/>
      <c r="X519" s="2"/>
      <c r="Y519" s="2"/>
      <c r="Z519" s="2"/>
      <c r="AA519" s="2"/>
    </row>
    <row r="520" spans="1:27" ht="13.15">
      <c r="A520" s="12"/>
      <c r="B520" s="45"/>
      <c r="C520" s="45"/>
      <c r="D520" s="45"/>
      <c r="E520" s="45"/>
      <c r="F520" s="45"/>
      <c r="G520" s="45"/>
      <c r="H520" s="45"/>
      <c r="I520" s="45"/>
      <c r="J520" s="45"/>
      <c r="K520" s="45"/>
      <c r="L520" s="45"/>
      <c r="M520" s="45"/>
      <c r="N520" s="2"/>
      <c r="O520" s="2"/>
      <c r="P520" s="2"/>
      <c r="Q520" s="2"/>
      <c r="R520" s="2"/>
      <c r="S520" s="2"/>
      <c r="T520" s="2"/>
      <c r="U520" s="2"/>
      <c r="V520" s="2"/>
      <c r="W520" s="2"/>
      <c r="X520" s="2"/>
      <c r="Y520" s="2"/>
      <c r="Z520" s="2"/>
      <c r="AA520" s="2"/>
    </row>
    <row r="521" spans="1:27" ht="13.15">
      <c r="A521" s="12"/>
      <c r="B521" s="45"/>
      <c r="C521" s="45"/>
      <c r="D521" s="45"/>
      <c r="E521" s="45"/>
      <c r="F521" s="45"/>
      <c r="G521" s="45"/>
      <c r="H521" s="45"/>
      <c r="I521" s="45"/>
      <c r="J521" s="45"/>
      <c r="K521" s="45"/>
      <c r="L521" s="45"/>
      <c r="M521" s="45"/>
      <c r="N521" s="2"/>
      <c r="O521" s="2"/>
      <c r="P521" s="2"/>
      <c r="Q521" s="2"/>
      <c r="R521" s="2"/>
      <c r="S521" s="2"/>
      <c r="T521" s="2"/>
      <c r="U521" s="2"/>
      <c r="V521" s="2"/>
      <c r="W521" s="2"/>
      <c r="X521" s="2"/>
      <c r="Y521" s="2"/>
      <c r="Z521" s="2"/>
      <c r="AA521" s="2"/>
    </row>
    <row r="522" spans="1:27" ht="13.15">
      <c r="A522" s="12"/>
      <c r="B522" s="45"/>
      <c r="C522" s="45"/>
      <c r="D522" s="45"/>
      <c r="E522" s="45"/>
      <c r="F522" s="45"/>
      <c r="G522" s="45"/>
      <c r="H522" s="45"/>
      <c r="I522" s="45"/>
      <c r="J522" s="45"/>
      <c r="K522" s="45"/>
      <c r="L522" s="45"/>
      <c r="M522" s="45"/>
      <c r="N522" s="2"/>
      <c r="O522" s="2"/>
      <c r="P522" s="2"/>
      <c r="Q522" s="2"/>
      <c r="R522" s="2"/>
      <c r="S522" s="2"/>
      <c r="T522" s="2"/>
      <c r="U522" s="2"/>
      <c r="V522" s="2"/>
      <c r="W522" s="2"/>
      <c r="X522" s="2"/>
      <c r="Y522" s="2"/>
      <c r="Z522" s="2"/>
      <c r="AA522" s="2"/>
    </row>
    <row r="523" spans="1:27" ht="13.15">
      <c r="A523" s="12"/>
      <c r="B523" s="45"/>
      <c r="C523" s="45"/>
      <c r="D523" s="45"/>
      <c r="E523" s="45"/>
      <c r="F523" s="45"/>
      <c r="G523" s="45"/>
      <c r="H523" s="45"/>
      <c r="I523" s="45"/>
      <c r="J523" s="45"/>
      <c r="K523" s="45"/>
      <c r="L523" s="45"/>
      <c r="M523" s="45"/>
      <c r="N523" s="2"/>
      <c r="O523" s="2"/>
      <c r="P523" s="2"/>
      <c r="Q523" s="2"/>
      <c r="R523" s="2"/>
      <c r="S523" s="2"/>
      <c r="T523" s="2"/>
      <c r="U523" s="2"/>
      <c r="V523" s="2"/>
      <c r="W523" s="2"/>
      <c r="X523" s="2"/>
      <c r="Y523" s="2"/>
      <c r="Z523" s="2"/>
      <c r="AA523" s="2"/>
    </row>
    <row r="524" spans="1:27" ht="13.15">
      <c r="A524" s="12"/>
      <c r="B524" s="45"/>
      <c r="C524" s="45"/>
      <c r="D524" s="45"/>
      <c r="E524" s="45"/>
      <c r="F524" s="45"/>
      <c r="G524" s="45"/>
      <c r="H524" s="45"/>
      <c r="I524" s="45"/>
      <c r="J524" s="45"/>
      <c r="K524" s="45"/>
      <c r="L524" s="45"/>
      <c r="M524" s="45"/>
      <c r="N524" s="2"/>
      <c r="O524" s="2"/>
      <c r="P524" s="2"/>
      <c r="Q524" s="2"/>
      <c r="R524" s="2"/>
      <c r="S524" s="2"/>
      <c r="T524" s="2"/>
      <c r="U524" s="2"/>
      <c r="V524" s="2"/>
      <c r="W524" s="2"/>
      <c r="X524" s="2"/>
      <c r="Y524" s="2"/>
      <c r="Z524" s="2"/>
      <c r="AA524" s="2"/>
    </row>
    <row r="525" spans="1:27" ht="13.15">
      <c r="A525" s="12"/>
      <c r="B525" s="45"/>
      <c r="C525" s="45"/>
      <c r="D525" s="45"/>
      <c r="E525" s="45"/>
      <c r="F525" s="45"/>
      <c r="G525" s="45"/>
      <c r="H525" s="45"/>
      <c r="I525" s="45"/>
      <c r="J525" s="45"/>
      <c r="K525" s="45"/>
      <c r="L525" s="45"/>
      <c r="M525" s="45"/>
      <c r="N525" s="2"/>
      <c r="O525" s="2"/>
      <c r="P525" s="2"/>
      <c r="Q525" s="2"/>
      <c r="R525" s="2"/>
      <c r="S525" s="2"/>
      <c r="T525" s="2"/>
      <c r="U525" s="2"/>
      <c r="V525" s="2"/>
      <c r="W525" s="2"/>
      <c r="X525" s="2"/>
      <c r="Y525" s="2"/>
      <c r="Z525" s="2"/>
      <c r="AA525" s="2"/>
    </row>
    <row r="526" spans="1:27" ht="13.15">
      <c r="A526" s="12"/>
      <c r="B526" s="45"/>
      <c r="C526" s="45"/>
      <c r="D526" s="45"/>
      <c r="E526" s="45"/>
      <c r="F526" s="45"/>
      <c r="G526" s="45"/>
      <c r="H526" s="45"/>
      <c r="I526" s="45"/>
      <c r="J526" s="45"/>
      <c r="K526" s="45"/>
      <c r="L526" s="45"/>
      <c r="M526" s="45"/>
      <c r="N526" s="2"/>
      <c r="O526" s="2"/>
      <c r="P526" s="2"/>
      <c r="Q526" s="2"/>
      <c r="R526" s="2"/>
      <c r="S526" s="2"/>
      <c r="T526" s="2"/>
      <c r="U526" s="2"/>
      <c r="V526" s="2"/>
      <c r="W526" s="2"/>
      <c r="X526" s="2"/>
      <c r="Y526" s="2"/>
      <c r="Z526" s="2"/>
      <c r="AA526" s="2"/>
    </row>
    <row r="527" spans="1:27" ht="13.15">
      <c r="A527" s="12"/>
      <c r="B527" s="45"/>
      <c r="C527" s="45"/>
      <c r="D527" s="45"/>
      <c r="E527" s="45"/>
      <c r="F527" s="45"/>
      <c r="G527" s="45"/>
      <c r="H527" s="45"/>
      <c r="I527" s="45"/>
      <c r="J527" s="45"/>
      <c r="K527" s="45"/>
      <c r="L527" s="45"/>
      <c r="M527" s="45"/>
      <c r="N527" s="2"/>
      <c r="O527" s="2"/>
      <c r="P527" s="2"/>
      <c r="Q527" s="2"/>
      <c r="R527" s="2"/>
      <c r="S527" s="2"/>
      <c r="T527" s="2"/>
      <c r="U527" s="2"/>
      <c r="V527" s="2"/>
      <c r="W527" s="2"/>
      <c r="X527" s="2"/>
      <c r="Y527" s="2"/>
      <c r="Z527" s="2"/>
      <c r="AA527" s="2"/>
    </row>
    <row r="528" spans="1:27" ht="13.15">
      <c r="A528" s="12"/>
      <c r="B528" s="45"/>
      <c r="C528" s="45"/>
      <c r="D528" s="45"/>
      <c r="E528" s="45"/>
      <c r="F528" s="45"/>
      <c r="G528" s="45"/>
      <c r="H528" s="45"/>
      <c r="I528" s="45"/>
      <c r="J528" s="45"/>
      <c r="K528" s="45"/>
      <c r="L528" s="45"/>
      <c r="M528" s="45"/>
      <c r="N528" s="2"/>
      <c r="O528" s="2"/>
      <c r="P528" s="2"/>
      <c r="Q528" s="2"/>
      <c r="R528" s="2"/>
      <c r="S528" s="2"/>
      <c r="T528" s="2"/>
      <c r="U528" s="2"/>
      <c r="V528" s="2"/>
      <c r="W528" s="2"/>
      <c r="X528" s="2"/>
      <c r="Y528" s="2"/>
      <c r="Z528" s="2"/>
      <c r="AA528" s="2"/>
    </row>
    <row r="529" spans="1:27" ht="13.15">
      <c r="A529" s="12"/>
      <c r="B529" s="45"/>
      <c r="C529" s="45"/>
      <c r="D529" s="45"/>
      <c r="E529" s="45"/>
      <c r="F529" s="45"/>
      <c r="G529" s="45"/>
      <c r="H529" s="45"/>
      <c r="I529" s="45"/>
      <c r="J529" s="45"/>
      <c r="K529" s="45"/>
      <c r="L529" s="45"/>
      <c r="M529" s="45"/>
      <c r="N529" s="2"/>
      <c r="O529" s="2"/>
      <c r="P529" s="2"/>
      <c r="Q529" s="2"/>
      <c r="R529" s="2"/>
      <c r="S529" s="2"/>
      <c r="T529" s="2"/>
      <c r="U529" s="2"/>
      <c r="V529" s="2"/>
      <c r="W529" s="2"/>
      <c r="X529" s="2"/>
      <c r="Y529" s="2"/>
      <c r="Z529" s="2"/>
      <c r="AA529" s="2"/>
    </row>
    <row r="530" spans="1:27" ht="13.15">
      <c r="A530" s="12"/>
      <c r="B530" s="45"/>
      <c r="C530" s="45"/>
      <c r="D530" s="45"/>
      <c r="E530" s="45"/>
      <c r="F530" s="45"/>
      <c r="G530" s="45"/>
      <c r="H530" s="45"/>
      <c r="I530" s="45"/>
      <c r="J530" s="45"/>
      <c r="K530" s="45"/>
      <c r="L530" s="45"/>
      <c r="M530" s="45"/>
      <c r="N530" s="2"/>
      <c r="O530" s="2"/>
      <c r="P530" s="2"/>
      <c r="Q530" s="2"/>
      <c r="R530" s="2"/>
      <c r="S530" s="2"/>
      <c r="T530" s="2"/>
      <c r="U530" s="2"/>
      <c r="V530" s="2"/>
      <c r="W530" s="2"/>
      <c r="X530" s="2"/>
      <c r="Y530" s="2"/>
      <c r="Z530" s="2"/>
      <c r="AA530" s="2"/>
    </row>
    <row r="531" spans="1:27" ht="13.15">
      <c r="A531" s="12"/>
      <c r="B531" s="45"/>
      <c r="C531" s="45"/>
      <c r="D531" s="45"/>
      <c r="E531" s="45"/>
      <c r="F531" s="45"/>
      <c r="G531" s="45"/>
      <c r="H531" s="45"/>
      <c r="I531" s="45"/>
      <c r="J531" s="45"/>
      <c r="K531" s="45"/>
      <c r="L531" s="45"/>
      <c r="M531" s="45"/>
      <c r="N531" s="2"/>
      <c r="O531" s="2"/>
      <c r="P531" s="2"/>
      <c r="Q531" s="2"/>
      <c r="R531" s="2"/>
      <c r="S531" s="2"/>
      <c r="T531" s="2"/>
      <c r="U531" s="2"/>
      <c r="V531" s="2"/>
      <c r="W531" s="2"/>
      <c r="X531" s="2"/>
      <c r="Y531" s="2"/>
      <c r="Z531" s="2"/>
      <c r="AA531" s="2"/>
    </row>
    <row r="532" spans="1:27" ht="13.15">
      <c r="A532" s="12"/>
      <c r="B532" s="45"/>
      <c r="C532" s="45"/>
      <c r="D532" s="45"/>
      <c r="E532" s="45"/>
      <c r="F532" s="45"/>
      <c r="G532" s="45"/>
      <c r="H532" s="45"/>
      <c r="I532" s="45"/>
      <c r="J532" s="45"/>
      <c r="K532" s="45"/>
      <c r="L532" s="45"/>
      <c r="M532" s="45"/>
      <c r="N532" s="2"/>
      <c r="O532" s="2"/>
      <c r="P532" s="2"/>
      <c r="Q532" s="2"/>
      <c r="R532" s="2"/>
      <c r="S532" s="2"/>
      <c r="T532" s="2"/>
      <c r="U532" s="2"/>
      <c r="V532" s="2"/>
      <c r="W532" s="2"/>
      <c r="X532" s="2"/>
      <c r="Y532" s="2"/>
      <c r="Z532" s="2"/>
      <c r="AA532" s="2"/>
    </row>
    <row r="533" spans="1:27" ht="13.15">
      <c r="A533" s="12"/>
      <c r="B533" s="45"/>
      <c r="C533" s="45"/>
      <c r="D533" s="45"/>
      <c r="E533" s="45"/>
      <c r="F533" s="45"/>
      <c r="G533" s="45"/>
      <c r="H533" s="45"/>
      <c r="I533" s="45"/>
      <c r="J533" s="45"/>
      <c r="K533" s="45"/>
      <c r="L533" s="45"/>
      <c r="M533" s="45"/>
      <c r="N533" s="2"/>
      <c r="O533" s="2"/>
      <c r="P533" s="2"/>
      <c r="Q533" s="2"/>
      <c r="R533" s="2"/>
      <c r="S533" s="2"/>
      <c r="T533" s="2"/>
      <c r="U533" s="2"/>
      <c r="V533" s="2"/>
      <c r="W533" s="2"/>
      <c r="X533" s="2"/>
      <c r="Y533" s="2"/>
      <c r="Z533" s="2"/>
      <c r="AA533" s="2"/>
    </row>
    <row r="534" spans="1:27" ht="13.15">
      <c r="A534" s="12"/>
      <c r="B534" s="45"/>
      <c r="C534" s="45"/>
      <c r="D534" s="45"/>
      <c r="E534" s="45"/>
      <c r="F534" s="45"/>
      <c r="G534" s="45"/>
      <c r="H534" s="45"/>
      <c r="I534" s="45"/>
      <c r="J534" s="45"/>
      <c r="K534" s="45"/>
      <c r="L534" s="45"/>
      <c r="M534" s="45"/>
      <c r="N534" s="2"/>
      <c r="O534" s="2"/>
      <c r="P534" s="2"/>
      <c r="Q534" s="2"/>
      <c r="R534" s="2"/>
      <c r="S534" s="2"/>
      <c r="T534" s="2"/>
      <c r="U534" s="2"/>
      <c r="V534" s="2"/>
      <c r="W534" s="2"/>
      <c r="X534" s="2"/>
      <c r="Y534" s="2"/>
      <c r="Z534" s="2"/>
      <c r="AA534" s="2"/>
    </row>
    <row r="535" spans="1:27" ht="13.15">
      <c r="A535" s="12"/>
      <c r="B535" s="45"/>
      <c r="C535" s="45"/>
      <c r="D535" s="45"/>
      <c r="E535" s="45"/>
      <c r="F535" s="45"/>
      <c r="G535" s="45"/>
      <c r="H535" s="45"/>
      <c r="I535" s="45"/>
      <c r="J535" s="45"/>
      <c r="K535" s="45"/>
      <c r="L535" s="45"/>
      <c r="M535" s="45"/>
      <c r="N535" s="2"/>
      <c r="O535" s="2"/>
      <c r="P535" s="2"/>
      <c r="Q535" s="2"/>
      <c r="R535" s="2"/>
      <c r="S535" s="2"/>
      <c r="T535" s="2"/>
      <c r="U535" s="2"/>
      <c r="V535" s="2"/>
      <c r="W535" s="2"/>
      <c r="X535" s="2"/>
      <c r="Y535" s="2"/>
      <c r="Z535" s="2"/>
      <c r="AA535" s="2"/>
    </row>
    <row r="536" spans="1:27" ht="13.15">
      <c r="A536" s="12"/>
      <c r="B536" s="45"/>
      <c r="C536" s="45"/>
      <c r="D536" s="45"/>
      <c r="E536" s="45"/>
      <c r="F536" s="45"/>
      <c r="G536" s="45"/>
      <c r="H536" s="45"/>
      <c r="I536" s="45"/>
      <c r="J536" s="45"/>
      <c r="K536" s="45"/>
      <c r="L536" s="45"/>
      <c r="M536" s="45"/>
      <c r="N536" s="2"/>
      <c r="O536" s="2"/>
      <c r="P536" s="2"/>
      <c r="Q536" s="2"/>
      <c r="R536" s="2"/>
      <c r="S536" s="2"/>
      <c r="T536" s="2"/>
      <c r="U536" s="2"/>
      <c r="V536" s="2"/>
      <c r="W536" s="2"/>
      <c r="X536" s="2"/>
      <c r="Y536" s="2"/>
      <c r="Z536" s="2"/>
      <c r="AA536" s="2"/>
    </row>
    <row r="537" spans="1:27" ht="13.15">
      <c r="A537" s="12"/>
      <c r="B537" s="45"/>
      <c r="C537" s="45"/>
      <c r="D537" s="45"/>
      <c r="E537" s="45"/>
      <c r="F537" s="45"/>
      <c r="G537" s="45"/>
      <c r="H537" s="45"/>
      <c r="I537" s="45"/>
      <c r="J537" s="45"/>
      <c r="K537" s="45"/>
      <c r="L537" s="45"/>
      <c r="M537" s="45"/>
      <c r="N537" s="2"/>
      <c r="O537" s="2"/>
      <c r="P537" s="2"/>
      <c r="Q537" s="2"/>
      <c r="R537" s="2"/>
      <c r="S537" s="2"/>
      <c r="T537" s="2"/>
      <c r="U537" s="2"/>
      <c r="V537" s="2"/>
      <c r="W537" s="2"/>
      <c r="X537" s="2"/>
      <c r="Y537" s="2"/>
      <c r="Z537" s="2"/>
      <c r="AA537" s="2"/>
    </row>
    <row r="538" spans="1:27" ht="13.15">
      <c r="A538" s="12"/>
      <c r="B538" s="45"/>
      <c r="C538" s="45"/>
      <c r="D538" s="45"/>
      <c r="E538" s="45"/>
      <c r="F538" s="45"/>
      <c r="G538" s="45"/>
      <c r="H538" s="45"/>
      <c r="I538" s="45"/>
      <c r="J538" s="45"/>
      <c r="K538" s="45"/>
      <c r="L538" s="45"/>
      <c r="M538" s="45"/>
      <c r="N538" s="2"/>
      <c r="O538" s="2"/>
      <c r="P538" s="2"/>
      <c r="Q538" s="2"/>
      <c r="R538" s="2"/>
      <c r="S538" s="2"/>
      <c r="T538" s="2"/>
      <c r="U538" s="2"/>
      <c r="V538" s="2"/>
      <c r="W538" s="2"/>
      <c r="X538" s="2"/>
      <c r="Y538" s="2"/>
      <c r="Z538" s="2"/>
      <c r="AA538" s="2"/>
    </row>
    <row r="539" spans="1:27" ht="13.15">
      <c r="A539" s="12"/>
      <c r="B539" s="45"/>
      <c r="C539" s="45"/>
      <c r="D539" s="45"/>
      <c r="E539" s="45"/>
      <c r="F539" s="45"/>
      <c r="G539" s="45"/>
      <c r="H539" s="45"/>
      <c r="I539" s="45"/>
      <c r="J539" s="45"/>
      <c r="K539" s="45"/>
      <c r="L539" s="45"/>
      <c r="M539" s="45"/>
      <c r="N539" s="2"/>
      <c r="O539" s="2"/>
      <c r="P539" s="2"/>
      <c r="Q539" s="2"/>
      <c r="R539" s="2"/>
      <c r="S539" s="2"/>
      <c r="T539" s="2"/>
      <c r="U539" s="2"/>
      <c r="V539" s="2"/>
      <c r="W539" s="2"/>
      <c r="X539" s="2"/>
      <c r="Y539" s="2"/>
      <c r="Z539" s="2"/>
      <c r="AA539" s="2"/>
    </row>
    <row r="540" spans="1:27" ht="13.15">
      <c r="A540" s="12"/>
      <c r="B540" s="45"/>
      <c r="C540" s="45"/>
      <c r="D540" s="45"/>
      <c r="E540" s="45"/>
      <c r="F540" s="45"/>
      <c r="G540" s="45"/>
      <c r="H540" s="45"/>
      <c r="I540" s="45"/>
      <c r="J540" s="45"/>
      <c r="K540" s="45"/>
      <c r="L540" s="45"/>
      <c r="M540" s="45"/>
      <c r="N540" s="2"/>
      <c r="O540" s="2"/>
      <c r="P540" s="2"/>
      <c r="Q540" s="2"/>
      <c r="R540" s="2"/>
      <c r="S540" s="2"/>
      <c r="T540" s="2"/>
      <c r="U540" s="2"/>
      <c r="V540" s="2"/>
      <c r="W540" s="2"/>
      <c r="X540" s="2"/>
      <c r="Y540" s="2"/>
      <c r="Z540" s="2"/>
      <c r="AA540" s="2"/>
    </row>
    <row r="541" spans="1:27" ht="13.15">
      <c r="A541" s="12"/>
      <c r="B541" s="45"/>
      <c r="C541" s="45"/>
      <c r="D541" s="45"/>
      <c r="E541" s="45"/>
      <c r="F541" s="45"/>
      <c r="G541" s="45"/>
      <c r="H541" s="45"/>
      <c r="I541" s="45"/>
      <c r="J541" s="45"/>
      <c r="K541" s="45"/>
      <c r="L541" s="45"/>
      <c r="M541" s="45"/>
      <c r="N541" s="2"/>
      <c r="O541" s="2"/>
      <c r="P541" s="2"/>
      <c r="Q541" s="2"/>
      <c r="R541" s="2"/>
      <c r="S541" s="2"/>
      <c r="T541" s="2"/>
      <c r="U541" s="2"/>
      <c r="V541" s="2"/>
      <c r="W541" s="2"/>
      <c r="X541" s="2"/>
      <c r="Y541" s="2"/>
      <c r="Z541" s="2"/>
      <c r="AA541" s="2"/>
    </row>
    <row r="542" spans="1:27" ht="13.15">
      <c r="A542" s="12"/>
      <c r="B542" s="45"/>
      <c r="C542" s="45"/>
      <c r="D542" s="45"/>
      <c r="E542" s="45"/>
      <c r="F542" s="45"/>
      <c r="G542" s="45"/>
      <c r="H542" s="45"/>
      <c r="I542" s="45"/>
      <c r="J542" s="45"/>
      <c r="K542" s="45"/>
      <c r="L542" s="45"/>
      <c r="M542" s="45"/>
      <c r="N542" s="2"/>
      <c r="O542" s="2"/>
      <c r="P542" s="2"/>
      <c r="Q542" s="2"/>
      <c r="R542" s="2"/>
      <c r="S542" s="2"/>
      <c r="T542" s="2"/>
      <c r="U542" s="2"/>
      <c r="V542" s="2"/>
      <c r="W542" s="2"/>
      <c r="X542" s="2"/>
      <c r="Y542" s="2"/>
      <c r="Z542" s="2"/>
      <c r="AA542" s="2"/>
    </row>
    <row r="543" spans="1:27" ht="13.15">
      <c r="A543" s="12"/>
      <c r="B543" s="45"/>
      <c r="C543" s="45"/>
      <c r="D543" s="45"/>
      <c r="E543" s="45"/>
      <c r="F543" s="45"/>
      <c r="G543" s="45"/>
      <c r="H543" s="45"/>
      <c r="I543" s="45"/>
      <c r="J543" s="45"/>
      <c r="K543" s="45"/>
      <c r="L543" s="45"/>
      <c r="M543" s="45"/>
      <c r="N543" s="2"/>
      <c r="O543" s="2"/>
      <c r="P543" s="2"/>
      <c r="Q543" s="2"/>
      <c r="R543" s="2"/>
      <c r="S543" s="2"/>
      <c r="T543" s="2"/>
      <c r="U543" s="2"/>
      <c r="V543" s="2"/>
      <c r="W543" s="2"/>
      <c r="X543" s="2"/>
      <c r="Y543" s="2"/>
      <c r="Z543" s="2"/>
      <c r="AA543" s="2"/>
    </row>
    <row r="544" spans="1:27" ht="13.15">
      <c r="A544" s="12"/>
      <c r="B544" s="45"/>
      <c r="C544" s="45"/>
      <c r="D544" s="45"/>
      <c r="E544" s="45"/>
      <c r="F544" s="45"/>
      <c r="G544" s="45"/>
      <c r="H544" s="45"/>
      <c r="I544" s="45"/>
      <c r="J544" s="45"/>
      <c r="K544" s="45"/>
      <c r="L544" s="45"/>
      <c r="M544" s="45"/>
      <c r="N544" s="2"/>
      <c r="O544" s="2"/>
      <c r="P544" s="2"/>
      <c r="Q544" s="2"/>
      <c r="R544" s="2"/>
      <c r="S544" s="2"/>
      <c r="T544" s="2"/>
      <c r="U544" s="2"/>
      <c r="V544" s="2"/>
      <c r="W544" s="2"/>
      <c r="X544" s="2"/>
      <c r="Y544" s="2"/>
      <c r="Z544" s="2"/>
      <c r="AA544" s="2"/>
    </row>
    <row r="545" spans="1:27" ht="13.15">
      <c r="A545" s="12"/>
      <c r="B545" s="45"/>
      <c r="C545" s="45"/>
      <c r="D545" s="45"/>
      <c r="E545" s="45"/>
      <c r="F545" s="45"/>
      <c r="G545" s="45"/>
      <c r="H545" s="45"/>
      <c r="I545" s="45"/>
      <c r="J545" s="45"/>
      <c r="K545" s="45"/>
      <c r="L545" s="45"/>
      <c r="M545" s="45"/>
      <c r="N545" s="2"/>
      <c r="O545" s="2"/>
      <c r="P545" s="2"/>
      <c r="Q545" s="2"/>
      <c r="R545" s="2"/>
      <c r="S545" s="2"/>
      <c r="T545" s="2"/>
      <c r="U545" s="2"/>
      <c r="V545" s="2"/>
      <c r="W545" s="2"/>
      <c r="X545" s="2"/>
      <c r="Y545" s="2"/>
      <c r="Z545" s="2"/>
      <c r="AA545" s="2"/>
    </row>
    <row r="546" spans="1:27" ht="13.15">
      <c r="A546" s="12"/>
      <c r="B546" s="45"/>
      <c r="C546" s="45"/>
      <c r="D546" s="45"/>
      <c r="E546" s="45"/>
      <c r="F546" s="45"/>
      <c r="G546" s="45"/>
      <c r="H546" s="45"/>
      <c r="I546" s="45"/>
      <c r="J546" s="45"/>
      <c r="K546" s="45"/>
      <c r="L546" s="45"/>
      <c r="M546" s="45"/>
      <c r="N546" s="2"/>
      <c r="O546" s="2"/>
      <c r="P546" s="2"/>
      <c r="Q546" s="2"/>
      <c r="R546" s="2"/>
      <c r="S546" s="2"/>
      <c r="T546" s="2"/>
      <c r="U546" s="2"/>
      <c r="V546" s="2"/>
      <c r="W546" s="2"/>
      <c r="X546" s="2"/>
      <c r="Y546" s="2"/>
      <c r="Z546" s="2"/>
      <c r="AA546" s="2"/>
    </row>
    <row r="547" spans="1:27" ht="13.15">
      <c r="A547" s="12"/>
      <c r="B547" s="45"/>
      <c r="C547" s="45"/>
      <c r="D547" s="45"/>
      <c r="E547" s="45"/>
      <c r="F547" s="45"/>
      <c r="G547" s="45"/>
      <c r="H547" s="45"/>
      <c r="I547" s="45"/>
      <c r="J547" s="45"/>
      <c r="K547" s="45"/>
      <c r="L547" s="45"/>
      <c r="M547" s="45"/>
      <c r="N547" s="2"/>
      <c r="O547" s="2"/>
      <c r="P547" s="2"/>
      <c r="Q547" s="2"/>
      <c r="R547" s="2"/>
      <c r="S547" s="2"/>
      <c r="T547" s="2"/>
      <c r="U547" s="2"/>
      <c r="V547" s="2"/>
      <c r="W547" s="2"/>
      <c r="X547" s="2"/>
      <c r="Y547" s="2"/>
      <c r="Z547" s="2"/>
      <c r="AA547" s="2"/>
    </row>
    <row r="548" spans="1:27" ht="13.15">
      <c r="A548" s="12"/>
      <c r="B548" s="45"/>
      <c r="C548" s="45"/>
      <c r="D548" s="45"/>
      <c r="E548" s="45"/>
      <c r="F548" s="45"/>
      <c r="G548" s="45"/>
      <c r="H548" s="45"/>
      <c r="I548" s="45"/>
      <c r="J548" s="45"/>
      <c r="K548" s="45"/>
      <c r="L548" s="45"/>
      <c r="M548" s="45"/>
      <c r="N548" s="2"/>
      <c r="O548" s="2"/>
      <c r="P548" s="2"/>
      <c r="Q548" s="2"/>
      <c r="R548" s="2"/>
      <c r="S548" s="2"/>
      <c r="T548" s="2"/>
      <c r="U548" s="2"/>
      <c r="V548" s="2"/>
      <c r="W548" s="2"/>
      <c r="X548" s="2"/>
      <c r="Y548" s="2"/>
      <c r="Z548" s="2"/>
      <c r="AA548" s="2"/>
    </row>
    <row r="549" spans="1:27" ht="13.15">
      <c r="A549" s="12"/>
      <c r="B549" s="45"/>
      <c r="C549" s="45"/>
      <c r="D549" s="45"/>
      <c r="E549" s="45"/>
      <c r="F549" s="45"/>
      <c r="G549" s="45"/>
      <c r="H549" s="45"/>
      <c r="I549" s="45"/>
      <c r="J549" s="45"/>
      <c r="K549" s="45"/>
      <c r="L549" s="45"/>
      <c r="M549" s="45"/>
      <c r="N549" s="2"/>
      <c r="O549" s="2"/>
      <c r="P549" s="2"/>
      <c r="Q549" s="2"/>
      <c r="R549" s="2"/>
      <c r="S549" s="2"/>
      <c r="T549" s="2"/>
      <c r="U549" s="2"/>
      <c r="V549" s="2"/>
      <c r="W549" s="2"/>
      <c r="X549" s="2"/>
      <c r="Y549" s="2"/>
      <c r="Z549" s="2"/>
      <c r="AA549" s="2"/>
    </row>
    <row r="550" spans="1:27" ht="13.15">
      <c r="A550" s="12"/>
      <c r="B550" s="45"/>
      <c r="C550" s="45"/>
      <c r="D550" s="45"/>
      <c r="E550" s="45"/>
      <c r="F550" s="45"/>
      <c r="G550" s="45"/>
      <c r="H550" s="45"/>
      <c r="I550" s="45"/>
      <c r="J550" s="45"/>
      <c r="K550" s="45"/>
      <c r="L550" s="45"/>
      <c r="M550" s="45"/>
      <c r="N550" s="2"/>
      <c r="O550" s="2"/>
      <c r="P550" s="2"/>
      <c r="Q550" s="2"/>
      <c r="R550" s="2"/>
      <c r="S550" s="2"/>
      <c r="T550" s="2"/>
      <c r="U550" s="2"/>
      <c r="V550" s="2"/>
      <c r="W550" s="2"/>
      <c r="X550" s="2"/>
      <c r="Y550" s="2"/>
      <c r="Z550" s="2"/>
      <c r="AA550" s="2"/>
    </row>
    <row r="551" spans="1:27" ht="13.15">
      <c r="A551" s="12"/>
      <c r="B551" s="45"/>
      <c r="C551" s="45"/>
      <c r="D551" s="45"/>
      <c r="E551" s="45"/>
      <c r="F551" s="45"/>
      <c r="G551" s="45"/>
      <c r="H551" s="45"/>
      <c r="I551" s="45"/>
      <c r="J551" s="45"/>
      <c r="K551" s="45"/>
      <c r="L551" s="45"/>
      <c r="M551" s="45"/>
      <c r="N551" s="2"/>
      <c r="O551" s="2"/>
      <c r="P551" s="2"/>
      <c r="Q551" s="2"/>
      <c r="R551" s="2"/>
      <c r="S551" s="2"/>
      <c r="T551" s="2"/>
      <c r="U551" s="2"/>
      <c r="V551" s="2"/>
      <c r="W551" s="2"/>
      <c r="X551" s="2"/>
      <c r="Y551" s="2"/>
      <c r="Z551" s="2"/>
      <c r="AA551" s="2"/>
    </row>
    <row r="552" spans="1:27" ht="13.15">
      <c r="A552" s="12"/>
      <c r="B552" s="45"/>
      <c r="C552" s="45"/>
      <c r="D552" s="45"/>
      <c r="E552" s="45"/>
      <c r="F552" s="45"/>
      <c r="G552" s="45"/>
      <c r="H552" s="45"/>
      <c r="I552" s="45"/>
      <c r="J552" s="45"/>
      <c r="K552" s="45"/>
      <c r="L552" s="45"/>
      <c r="M552" s="45"/>
      <c r="N552" s="2"/>
      <c r="O552" s="2"/>
      <c r="P552" s="2"/>
      <c r="Q552" s="2"/>
      <c r="R552" s="2"/>
      <c r="S552" s="2"/>
      <c r="T552" s="2"/>
      <c r="U552" s="2"/>
      <c r="V552" s="2"/>
      <c r="W552" s="2"/>
      <c r="X552" s="2"/>
      <c r="Y552" s="2"/>
      <c r="Z552" s="2"/>
      <c r="AA552" s="2"/>
    </row>
    <row r="553" spans="1:27" ht="13.15">
      <c r="A553" s="12"/>
      <c r="B553" s="45"/>
      <c r="C553" s="45"/>
      <c r="D553" s="45"/>
      <c r="E553" s="45"/>
      <c r="F553" s="45"/>
      <c r="G553" s="45"/>
      <c r="H553" s="45"/>
      <c r="I553" s="45"/>
      <c r="J553" s="45"/>
      <c r="K553" s="45"/>
      <c r="L553" s="45"/>
      <c r="M553" s="45"/>
      <c r="N553" s="2"/>
      <c r="O553" s="2"/>
      <c r="P553" s="2"/>
      <c r="Q553" s="2"/>
      <c r="R553" s="2"/>
      <c r="S553" s="2"/>
      <c r="T553" s="2"/>
      <c r="U553" s="2"/>
      <c r="V553" s="2"/>
      <c r="W553" s="2"/>
      <c r="X553" s="2"/>
      <c r="Y553" s="2"/>
      <c r="Z553" s="2"/>
      <c r="AA553" s="2"/>
    </row>
    <row r="554" spans="1:27" ht="13.15">
      <c r="A554" s="12"/>
      <c r="B554" s="45"/>
      <c r="C554" s="45"/>
      <c r="D554" s="45"/>
      <c r="E554" s="45"/>
      <c r="F554" s="45"/>
      <c r="G554" s="45"/>
      <c r="H554" s="45"/>
      <c r="I554" s="45"/>
      <c r="J554" s="45"/>
      <c r="K554" s="45"/>
      <c r="L554" s="45"/>
      <c r="M554" s="45"/>
      <c r="N554" s="2"/>
      <c r="O554" s="2"/>
      <c r="P554" s="2"/>
      <c r="Q554" s="2"/>
      <c r="R554" s="2"/>
      <c r="S554" s="2"/>
      <c r="T554" s="2"/>
      <c r="U554" s="2"/>
      <c r="V554" s="2"/>
      <c r="W554" s="2"/>
      <c r="X554" s="2"/>
      <c r="Y554" s="2"/>
      <c r="Z554" s="2"/>
      <c r="AA554" s="2"/>
    </row>
    <row r="555" spans="1:27" ht="13.15">
      <c r="A555" s="12"/>
      <c r="B555" s="45"/>
      <c r="C555" s="45"/>
      <c r="D555" s="45"/>
      <c r="E555" s="45"/>
      <c r="F555" s="45"/>
      <c r="G555" s="45"/>
      <c r="H555" s="45"/>
      <c r="I555" s="45"/>
      <c r="J555" s="45"/>
      <c r="K555" s="45"/>
      <c r="L555" s="45"/>
      <c r="M555" s="45"/>
      <c r="N555" s="2"/>
      <c r="O555" s="2"/>
      <c r="P555" s="2"/>
      <c r="Q555" s="2"/>
      <c r="R555" s="2"/>
      <c r="S555" s="2"/>
      <c r="T555" s="2"/>
      <c r="U555" s="2"/>
      <c r="V555" s="2"/>
      <c r="W555" s="2"/>
      <c r="X555" s="2"/>
      <c r="Y555" s="2"/>
      <c r="Z555" s="2"/>
      <c r="AA555" s="2"/>
    </row>
    <row r="556" spans="1:27" ht="13.15">
      <c r="A556" s="12"/>
      <c r="B556" s="45"/>
      <c r="C556" s="45"/>
      <c r="D556" s="45"/>
      <c r="E556" s="45"/>
      <c r="F556" s="45"/>
      <c r="G556" s="45"/>
      <c r="H556" s="45"/>
      <c r="I556" s="45"/>
      <c r="J556" s="45"/>
      <c r="K556" s="45"/>
      <c r="L556" s="45"/>
      <c r="M556" s="45"/>
      <c r="N556" s="2"/>
      <c r="O556" s="2"/>
      <c r="P556" s="2"/>
      <c r="Q556" s="2"/>
      <c r="R556" s="2"/>
      <c r="S556" s="2"/>
      <c r="T556" s="2"/>
      <c r="U556" s="2"/>
      <c r="V556" s="2"/>
      <c r="W556" s="2"/>
      <c r="X556" s="2"/>
      <c r="Y556" s="2"/>
      <c r="Z556" s="2"/>
      <c r="AA556" s="2"/>
    </row>
    <row r="557" spans="1:27" ht="13.15">
      <c r="A557" s="12"/>
      <c r="B557" s="45"/>
      <c r="C557" s="45"/>
      <c r="D557" s="45"/>
      <c r="E557" s="45"/>
      <c r="F557" s="45"/>
      <c r="G557" s="45"/>
      <c r="H557" s="45"/>
      <c r="I557" s="45"/>
      <c r="J557" s="45"/>
      <c r="K557" s="45"/>
      <c r="L557" s="45"/>
      <c r="M557" s="45"/>
      <c r="N557" s="2"/>
      <c r="O557" s="2"/>
      <c r="P557" s="2"/>
      <c r="Q557" s="2"/>
      <c r="R557" s="2"/>
      <c r="S557" s="2"/>
      <c r="T557" s="2"/>
      <c r="U557" s="2"/>
      <c r="V557" s="2"/>
      <c r="W557" s="2"/>
      <c r="X557" s="2"/>
      <c r="Y557" s="2"/>
      <c r="Z557" s="2"/>
      <c r="AA557" s="2"/>
    </row>
    <row r="558" spans="1:27" ht="13.15">
      <c r="A558" s="12"/>
      <c r="B558" s="45"/>
      <c r="C558" s="45"/>
      <c r="D558" s="45"/>
      <c r="E558" s="45"/>
      <c r="F558" s="45"/>
      <c r="G558" s="45"/>
      <c r="H558" s="45"/>
      <c r="I558" s="45"/>
      <c r="J558" s="45"/>
      <c r="K558" s="45"/>
      <c r="L558" s="45"/>
      <c r="M558" s="45"/>
      <c r="N558" s="2"/>
      <c r="O558" s="2"/>
      <c r="P558" s="2"/>
      <c r="Q558" s="2"/>
      <c r="R558" s="2"/>
      <c r="S558" s="2"/>
      <c r="T558" s="2"/>
      <c r="U558" s="2"/>
      <c r="V558" s="2"/>
      <c r="W558" s="2"/>
      <c r="X558" s="2"/>
      <c r="Y558" s="2"/>
      <c r="Z558" s="2"/>
      <c r="AA558" s="2"/>
    </row>
    <row r="559" spans="1:27" ht="13.15">
      <c r="A559" s="12"/>
      <c r="B559" s="45"/>
      <c r="C559" s="45"/>
      <c r="D559" s="45"/>
      <c r="E559" s="45"/>
      <c r="F559" s="45"/>
      <c r="G559" s="45"/>
      <c r="H559" s="45"/>
      <c r="I559" s="45"/>
      <c r="J559" s="45"/>
      <c r="K559" s="45"/>
      <c r="L559" s="45"/>
      <c r="M559" s="45"/>
      <c r="N559" s="2"/>
      <c r="O559" s="2"/>
      <c r="P559" s="2"/>
      <c r="Q559" s="2"/>
      <c r="R559" s="2"/>
      <c r="S559" s="2"/>
      <c r="T559" s="2"/>
      <c r="U559" s="2"/>
      <c r="V559" s="2"/>
      <c r="W559" s="2"/>
      <c r="X559" s="2"/>
      <c r="Y559" s="2"/>
      <c r="Z559" s="2"/>
      <c r="AA559" s="2"/>
    </row>
    <row r="560" spans="1:27" ht="13.15">
      <c r="A560" s="12"/>
      <c r="B560" s="45"/>
      <c r="C560" s="45"/>
      <c r="D560" s="45"/>
      <c r="E560" s="45"/>
      <c r="F560" s="45"/>
      <c r="G560" s="45"/>
      <c r="H560" s="45"/>
      <c r="I560" s="45"/>
      <c r="J560" s="45"/>
      <c r="K560" s="45"/>
      <c r="L560" s="45"/>
      <c r="M560" s="45"/>
      <c r="N560" s="2"/>
      <c r="O560" s="2"/>
      <c r="P560" s="2"/>
      <c r="Q560" s="2"/>
      <c r="R560" s="2"/>
      <c r="S560" s="2"/>
      <c r="T560" s="2"/>
      <c r="U560" s="2"/>
      <c r="V560" s="2"/>
      <c r="W560" s="2"/>
      <c r="X560" s="2"/>
      <c r="Y560" s="2"/>
      <c r="Z560" s="2"/>
      <c r="AA560" s="2"/>
    </row>
    <row r="561" spans="1:27" ht="13.15">
      <c r="A561" s="12"/>
      <c r="B561" s="45"/>
      <c r="C561" s="45"/>
      <c r="D561" s="45"/>
      <c r="E561" s="45"/>
      <c r="F561" s="45"/>
      <c r="G561" s="45"/>
      <c r="H561" s="45"/>
      <c r="I561" s="45"/>
      <c r="J561" s="45"/>
      <c r="K561" s="45"/>
      <c r="L561" s="45"/>
      <c r="M561" s="45"/>
      <c r="N561" s="2"/>
      <c r="O561" s="2"/>
      <c r="P561" s="2"/>
      <c r="Q561" s="2"/>
      <c r="R561" s="2"/>
      <c r="S561" s="2"/>
      <c r="T561" s="2"/>
      <c r="U561" s="2"/>
      <c r="V561" s="2"/>
      <c r="W561" s="2"/>
      <c r="X561" s="2"/>
      <c r="Y561" s="2"/>
      <c r="Z561" s="2"/>
      <c r="AA561" s="2"/>
    </row>
    <row r="562" spans="1:27" ht="13.15">
      <c r="A562" s="12"/>
      <c r="B562" s="45"/>
      <c r="C562" s="45"/>
      <c r="D562" s="45"/>
      <c r="E562" s="45"/>
      <c r="F562" s="45"/>
      <c r="G562" s="45"/>
      <c r="H562" s="45"/>
      <c r="I562" s="45"/>
      <c r="J562" s="45"/>
      <c r="K562" s="45"/>
      <c r="L562" s="45"/>
      <c r="M562" s="45"/>
      <c r="N562" s="2"/>
      <c r="O562" s="2"/>
      <c r="P562" s="2"/>
      <c r="Q562" s="2"/>
      <c r="R562" s="2"/>
      <c r="S562" s="2"/>
      <c r="T562" s="2"/>
      <c r="U562" s="2"/>
      <c r="V562" s="2"/>
      <c r="W562" s="2"/>
      <c r="X562" s="2"/>
      <c r="Y562" s="2"/>
      <c r="Z562" s="2"/>
      <c r="AA562" s="2"/>
    </row>
    <row r="563" spans="1:27" ht="13.15">
      <c r="A563" s="12"/>
      <c r="B563" s="45"/>
      <c r="C563" s="45"/>
      <c r="D563" s="45"/>
      <c r="E563" s="45"/>
      <c r="F563" s="45"/>
      <c r="G563" s="45"/>
      <c r="H563" s="45"/>
      <c r="I563" s="45"/>
      <c r="J563" s="45"/>
      <c r="K563" s="45"/>
      <c r="L563" s="45"/>
      <c r="M563" s="45"/>
      <c r="N563" s="2"/>
      <c r="O563" s="2"/>
      <c r="P563" s="2"/>
      <c r="Q563" s="2"/>
      <c r="R563" s="2"/>
      <c r="S563" s="2"/>
      <c r="T563" s="2"/>
      <c r="U563" s="2"/>
      <c r="V563" s="2"/>
      <c r="W563" s="2"/>
      <c r="X563" s="2"/>
      <c r="Y563" s="2"/>
      <c r="Z563" s="2"/>
      <c r="AA563" s="2"/>
    </row>
    <row r="564" spans="1:27" ht="13.15">
      <c r="A564" s="12"/>
      <c r="B564" s="45"/>
      <c r="C564" s="45"/>
      <c r="D564" s="45"/>
      <c r="E564" s="45"/>
      <c r="F564" s="45"/>
      <c r="G564" s="45"/>
      <c r="H564" s="45"/>
      <c r="I564" s="45"/>
      <c r="J564" s="45"/>
      <c r="K564" s="45"/>
      <c r="L564" s="45"/>
      <c r="M564" s="45"/>
      <c r="N564" s="2"/>
      <c r="O564" s="2"/>
      <c r="P564" s="2"/>
      <c r="Q564" s="2"/>
      <c r="R564" s="2"/>
      <c r="S564" s="2"/>
      <c r="T564" s="2"/>
      <c r="U564" s="2"/>
      <c r="V564" s="2"/>
      <c r="W564" s="2"/>
      <c r="X564" s="2"/>
      <c r="Y564" s="2"/>
      <c r="Z564" s="2"/>
      <c r="AA564" s="2"/>
    </row>
    <row r="565" spans="1:27" ht="13.15">
      <c r="A565" s="12"/>
      <c r="B565" s="45"/>
      <c r="C565" s="45"/>
      <c r="D565" s="45"/>
      <c r="E565" s="45"/>
      <c r="F565" s="45"/>
      <c r="G565" s="45"/>
      <c r="H565" s="45"/>
      <c r="I565" s="45"/>
      <c r="J565" s="45"/>
      <c r="K565" s="45"/>
      <c r="L565" s="45"/>
      <c r="M565" s="45"/>
      <c r="N565" s="2"/>
      <c r="O565" s="2"/>
      <c r="P565" s="2"/>
      <c r="Q565" s="2"/>
      <c r="R565" s="2"/>
      <c r="S565" s="2"/>
      <c r="T565" s="2"/>
      <c r="U565" s="2"/>
      <c r="V565" s="2"/>
      <c r="W565" s="2"/>
      <c r="X565" s="2"/>
      <c r="Y565" s="2"/>
      <c r="Z565" s="2"/>
      <c r="AA565" s="2"/>
    </row>
    <row r="566" spans="1:27" ht="13.15">
      <c r="A566" s="12"/>
      <c r="B566" s="45"/>
      <c r="C566" s="45"/>
      <c r="D566" s="45"/>
      <c r="E566" s="45"/>
      <c r="F566" s="45"/>
      <c r="G566" s="45"/>
      <c r="H566" s="45"/>
      <c r="I566" s="45"/>
      <c r="J566" s="45"/>
      <c r="K566" s="45"/>
      <c r="L566" s="45"/>
      <c r="M566" s="45"/>
      <c r="N566" s="2"/>
      <c r="O566" s="2"/>
      <c r="P566" s="2"/>
      <c r="Q566" s="2"/>
      <c r="R566" s="2"/>
      <c r="S566" s="2"/>
      <c r="T566" s="2"/>
      <c r="U566" s="2"/>
      <c r="V566" s="2"/>
      <c r="W566" s="2"/>
      <c r="X566" s="2"/>
      <c r="Y566" s="2"/>
      <c r="Z566" s="2"/>
      <c r="AA566" s="2"/>
    </row>
    <row r="567" spans="1:27" ht="13.15">
      <c r="A567" s="12"/>
      <c r="B567" s="45"/>
      <c r="C567" s="45"/>
      <c r="D567" s="45"/>
      <c r="E567" s="45"/>
      <c r="F567" s="45"/>
      <c r="G567" s="45"/>
      <c r="H567" s="45"/>
      <c r="I567" s="45"/>
      <c r="J567" s="45"/>
      <c r="K567" s="45"/>
      <c r="L567" s="45"/>
      <c r="M567" s="45"/>
      <c r="N567" s="2"/>
      <c r="O567" s="2"/>
      <c r="P567" s="2"/>
      <c r="Q567" s="2"/>
      <c r="R567" s="2"/>
      <c r="S567" s="2"/>
      <c r="T567" s="2"/>
      <c r="U567" s="2"/>
      <c r="V567" s="2"/>
      <c r="W567" s="2"/>
      <c r="X567" s="2"/>
      <c r="Y567" s="2"/>
      <c r="Z567" s="2"/>
      <c r="AA567" s="2"/>
    </row>
    <row r="568" spans="1:27" ht="13.15">
      <c r="A568" s="12"/>
      <c r="B568" s="45"/>
      <c r="C568" s="45"/>
      <c r="D568" s="45"/>
      <c r="E568" s="45"/>
      <c r="F568" s="45"/>
      <c r="G568" s="45"/>
      <c r="H568" s="45"/>
      <c r="I568" s="45"/>
      <c r="J568" s="45"/>
      <c r="K568" s="45"/>
      <c r="L568" s="45"/>
      <c r="M568" s="45"/>
      <c r="N568" s="2"/>
      <c r="O568" s="2"/>
      <c r="P568" s="2"/>
      <c r="Q568" s="2"/>
      <c r="R568" s="2"/>
      <c r="S568" s="2"/>
      <c r="T568" s="2"/>
      <c r="U568" s="2"/>
      <c r="V568" s="2"/>
      <c r="W568" s="2"/>
      <c r="X568" s="2"/>
      <c r="Y568" s="2"/>
      <c r="Z568" s="2"/>
      <c r="AA568" s="2"/>
    </row>
    <row r="569" spans="1:27" ht="13.15">
      <c r="A569" s="12"/>
      <c r="B569" s="45"/>
      <c r="C569" s="45"/>
      <c r="D569" s="45"/>
      <c r="E569" s="45"/>
      <c r="F569" s="45"/>
      <c r="G569" s="45"/>
      <c r="H569" s="45"/>
      <c r="I569" s="45"/>
      <c r="J569" s="45"/>
      <c r="K569" s="45"/>
      <c r="L569" s="45"/>
      <c r="M569" s="45"/>
      <c r="N569" s="2"/>
      <c r="O569" s="2"/>
      <c r="P569" s="2"/>
      <c r="Q569" s="2"/>
      <c r="R569" s="2"/>
      <c r="S569" s="2"/>
      <c r="T569" s="2"/>
      <c r="U569" s="2"/>
      <c r="V569" s="2"/>
      <c r="W569" s="2"/>
      <c r="X569" s="2"/>
      <c r="Y569" s="2"/>
      <c r="Z569" s="2"/>
      <c r="AA569" s="2"/>
    </row>
    <row r="570" spans="1:27" ht="13.15">
      <c r="A570" s="12"/>
      <c r="B570" s="45"/>
      <c r="C570" s="45"/>
      <c r="D570" s="45"/>
      <c r="E570" s="45"/>
      <c r="F570" s="45"/>
      <c r="G570" s="45"/>
      <c r="H570" s="45"/>
      <c r="I570" s="45"/>
      <c r="J570" s="45"/>
      <c r="K570" s="45"/>
      <c r="L570" s="45"/>
      <c r="M570" s="45"/>
      <c r="N570" s="2"/>
      <c r="O570" s="2"/>
      <c r="P570" s="2"/>
      <c r="Q570" s="2"/>
      <c r="R570" s="2"/>
      <c r="S570" s="2"/>
      <c r="T570" s="2"/>
      <c r="U570" s="2"/>
      <c r="V570" s="2"/>
      <c r="W570" s="2"/>
      <c r="X570" s="2"/>
      <c r="Y570" s="2"/>
      <c r="Z570" s="2"/>
      <c r="AA570" s="2"/>
    </row>
    <row r="571" spans="1:27" ht="13.15">
      <c r="A571" s="12"/>
      <c r="B571" s="45"/>
      <c r="C571" s="45"/>
      <c r="D571" s="45"/>
      <c r="E571" s="45"/>
      <c r="F571" s="45"/>
      <c r="G571" s="45"/>
      <c r="H571" s="45"/>
      <c r="I571" s="45"/>
      <c r="J571" s="45"/>
      <c r="K571" s="45"/>
      <c r="L571" s="45"/>
      <c r="M571" s="45"/>
      <c r="N571" s="2"/>
      <c r="O571" s="2"/>
      <c r="P571" s="2"/>
      <c r="Q571" s="2"/>
      <c r="R571" s="2"/>
      <c r="S571" s="2"/>
      <c r="T571" s="2"/>
      <c r="U571" s="2"/>
      <c r="V571" s="2"/>
      <c r="W571" s="2"/>
      <c r="X571" s="2"/>
      <c r="Y571" s="2"/>
      <c r="Z571" s="2"/>
      <c r="AA571" s="2"/>
    </row>
    <row r="572" spans="1:27" ht="13.15">
      <c r="A572" s="12"/>
      <c r="B572" s="45"/>
      <c r="C572" s="45"/>
      <c r="D572" s="45"/>
      <c r="E572" s="45"/>
      <c r="F572" s="45"/>
      <c r="G572" s="45"/>
      <c r="H572" s="45"/>
      <c r="I572" s="45"/>
      <c r="J572" s="45"/>
      <c r="K572" s="45"/>
      <c r="L572" s="45"/>
      <c r="M572" s="45"/>
      <c r="N572" s="2"/>
      <c r="O572" s="2"/>
      <c r="P572" s="2"/>
      <c r="Q572" s="2"/>
      <c r="R572" s="2"/>
      <c r="S572" s="2"/>
      <c r="T572" s="2"/>
      <c r="U572" s="2"/>
      <c r="V572" s="2"/>
      <c r="W572" s="2"/>
      <c r="X572" s="2"/>
      <c r="Y572" s="2"/>
      <c r="Z572" s="2"/>
      <c r="AA572" s="2"/>
    </row>
    <row r="573" spans="1:27" ht="13.15">
      <c r="A573" s="12"/>
      <c r="B573" s="45"/>
      <c r="C573" s="45"/>
      <c r="D573" s="45"/>
      <c r="E573" s="45"/>
      <c r="F573" s="45"/>
      <c r="G573" s="45"/>
      <c r="H573" s="45"/>
      <c r="I573" s="45"/>
      <c r="J573" s="45"/>
      <c r="K573" s="45"/>
      <c r="L573" s="45"/>
      <c r="M573" s="45"/>
      <c r="N573" s="2"/>
      <c r="O573" s="2"/>
      <c r="P573" s="2"/>
      <c r="Q573" s="2"/>
      <c r="R573" s="2"/>
      <c r="S573" s="2"/>
      <c r="T573" s="2"/>
      <c r="U573" s="2"/>
      <c r="V573" s="2"/>
      <c r="W573" s="2"/>
      <c r="X573" s="2"/>
      <c r="Y573" s="2"/>
      <c r="Z573" s="2"/>
      <c r="AA573" s="2"/>
    </row>
    <row r="574" spans="1:27" ht="13.15">
      <c r="A574" s="12"/>
      <c r="B574" s="45"/>
      <c r="C574" s="45"/>
      <c r="D574" s="45"/>
      <c r="E574" s="45"/>
      <c r="F574" s="45"/>
      <c r="G574" s="45"/>
      <c r="H574" s="45"/>
      <c r="I574" s="45"/>
      <c r="J574" s="45"/>
      <c r="K574" s="45"/>
      <c r="L574" s="45"/>
      <c r="M574" s="45"/>
      <c r="N574" s="2"/>
      <c r="O574" s="2"/>
      <c r="P574" s="2"/>
      <c r="Q574" s="2"/>
      <c r="R574" s="2"/>
      <c r="S574" s="2"/>
      <c r="T574" s="2"/>
      <c r="U574" s="2"/>
      <c r="V574" s="2"/>
      <c r="W574" s="2"/>
      <c r="X574" s="2"/>
      <c r="Y574" s="2"/>
      <c r="Z574" s="2"/>
      <c r="AA574" s="2"/>
    </row>
    <row r="575" spans="1:27" ht="13.15">
      <c r="A575" s="12"/>
      <c r="B575" s="45"/>
      <c r="C575" s="45"/>
      <c r="D575" s="45"/>
      <c r="E575" s="45"/>
      <c r="F575" s="45"/>
      <c r="G575" s="45"/>
      <c r="H575" s="45"/>
      <c r="I575" s="45"/>
      <c r="J575" s="45"/>
      <c r="K575" s="45"/>
      <c r="L575" s="45"/>
      <c r="M575" s="45"/>
      <c r="N575" s="2"/>
      <c r="O575" s="2"/>
      <c r="P575" s="2"/>
      <c r="Q575" s="2"/>
      <c r="R575" s="2"/>
      <c r="S575" s="2"/>
      <c r="T575" s="2"/>
      <c r="U575" s="2"/>
      <c r="V575" s="2"/>
      <c r="W575" s="2"/>
      <c r="X575" s="2"/>
      <c r="Y575" s="2"/>
      <c r="Z575" s="2"/>
      <c r="AA575" s="2"/>
    </row>
    <row r="576" spans="1:27" ht="13.15">
      <c r="A576" s="12"/>
      <c r="B576" s="45"/>
      <c r="C576" s="45"/>
      <c r="D576" s="45"/>
      <c r="E576" s="45"/>
      <c r="F576" s="45"/>
      <c r="G576" s="45"/>
      <c r="H576" s="45"/>
      <c r="I576" s="45"/>
      <c r="J576" s="45"/>
      <c r="K576" s="45"/>
      <c r="L576" s="45"/>
      <c r="M576" s="45"/>
      <c r="N576" s="2"/>
      <c r="O576" s="2"/>
      <c r="P576" s="2"/>
      <c r="Q576" s="2"/>
      <c r="R576" s="2"/>
      <c r="S576" s="2"/>
      <c r="T576" s="2"/>
      <c r="U576" s="2"/>
      <c r="V576" s="2"/>
      <c r="W576" s="2"/>
      <c r="X576" s="2"/>
      <c r="Y576" s="2"/>
      <c r="Z576" s="2"/>
      <c r="AA576" s="2"/>
    </row>
    <row r="577" spans="1:27" ht="13.15">
      <c r="A577" s="12"/>
      <c r="B577" s="45"/>
      <c r="C577" s="45"/>
      <c r="D577" s="45"/>
      <c r="E577" s="45"/>
      <c r="F577" s="45"/>
      <c r="G577" s="45"/>
      <c r="H577" s="45"/>
      <c r="I577" s="45"/>
      <c r="J577" s="45"/>
      <c r="K577" s="45"/>
      <c r="L577" s="45"/>
      <c r="M577" s="45"/>
      <c r="N577" s="2"/>
      <c r="O577" s="2"/>
      <c r="P577" s="2"/>
      <c r="Q577" s="2"/>
      <c r="R577" s="2"/>
      <c r="S577" s="2"/>
      <c r="T577" s="2"/>
      <c r="U577" s="2"/>
      <c r="V577" s="2"/>
      <c r="W577" s="2"/>
      <c r="X577" s="2"/>
      <c r="Y577" s="2"/>
      <c r="Z577" s="2"/>
      <c r="AA577" s="2"/>
    </row>
    <row r="578" spans="1:27" ht="13.15">
      <c r="A578" s="12"/>
      <c r="B578" s="45"/>
      <c r="C578" s="45"/>
      <c r="D578" s="45"/>
      <c r="E578" s="45"/>
      <c r="F578" s="45"/>
      <c r="G578" s="45"/>
      <c r="H578" s="45"/>
      <c r="I578" s="45"/>
      <c r="J578" s="45"/>
      <c r="K578" s="45"/>
      <c r="L578" s="45"/>
      <c r="M578" s="45"/>
      <c r="N578" s="2"/>
      <c r="O578" s="2"/>
      <c r="P578" s="2"/>
      <c r="Q578" s="2"/>
      <c r="R578" s="2"/>
      <c r="S578" s="2"/>
      <c r="T578" s="2"/>
      <c r="U578" s="2"/>
      <c r="V578" s="2"/>
      <c r="W578" s="2"/>
      <c r="X578" s="2"/>
      <c r="Y578" s="2"/>
      <c r="Z578" s="2"/>
      <c r="AA578" s="2"/>
    </row>
    <row r="579" spans="1:27" ht="13.15">
      <c r="A579" s="12"/>
      <c r="B579" s="45"/>
      <c r="C579" s="45"/>
      <c r="D579" s="45"/>
      <c r="E579" s="45"/>
      <c r="F579" s="45"/>
      <c r="G579" s="45"/>
      <c r="H579" s="45"/>
      <c r="I579" s="45"/>
      <c r="J579" s="45"/>
      <c r="K579" s="45"/>
      <c r="L579" s="45"/>
      <c r="M579" s="45"/>
      <c r="N579" s="2"/>
      <c r="O579" s="2"/>
      <c r="P579" s="2"/>
      <c r="Q579" s="2"/>
      <c r="R579" s="2"/>
      <c r="S579" s="2"/>
      <c r="T579" s="2"/>
      <c r="U579" s="2"/>
      <c r="V579" s="2"/>
      <c r="W579" s="2"/>
      <c r="X579" s="2"/>
      <c r="Y579" s="2"/>
      <c r="Z579" s="2"/>
      <c r="AA579" s="2"/>
    </row>
    <row r="580" spans="1:27" ht="13.15">
      <c r="A580" s="12"/>
      <c r="B580" s="45"/>
      <c r="C580" s="45"/>
      <c r="D580" s="45"/>
      <c r="E580" s="45"/>
      <c r="F580" s="45"/>
      <c r="G580" s="45"/>
      <c r="H580" s="45"/>
      <c r="I580" s="45"/>
      <c r="J580" s="45"/>
      <c r="K580" s="45"/>
      <c r="L580" s="45"/>
      <c r="M580" s="45"/>
      <c r="N580" s="2"/>
      <c r="O580" s="2"/>
      <c r="P580" s="2"/>
      <c r="Q580" s="2"/>
      <c r="R580" s="2"/>
      <c r="S580" s="2"/>
      <c r="T580" s="2"/>
      <c r="U580" s="2"/>
      <c r="V580" s="2"/>
      <c r="W580" s="2"/>
      <c r="X580" s="2"/>
      <c r="Y580" s="2"/>
      <c r="Z580" s="2"/>
      <c r="AA580" s="2"/>
    </row>
    <row r="581" spans="1:27" ht="13.15">
      <c r="A581" s="12"/>
      <c r="B581" s="45"/>
      <c r="C581" s="45"/>
      <c r="D581" s="45"/>
      <c r="E581" s="45"/>
      <c r="F581" s="45"/>
      <c r="G581" s="45"/>
      <c r="H581" s="45"/>
      <c r="I581" s="45"/>
      <c r="J581" s="45"/>
      <c r="K581" s="45"/>
      <c r="L581" s="45"/>
      <c r="M581" s="45"/>
      <c r="N581" s="2"/>
      <c r="O581" s="2"/>
      <c r="P581" s="2"/>
      <c r="Q581" s="2"/>
      <c r="R581" s="2"/>
      <c r="S581" s="2"/>
      <c r="T581" s="2"/>
      <c r="U581" s="2"/>
      <c r="V581" s="2"/>
      <c r="W581" s="2"/>
      <c r="X581" s="2"/>
      <c r="Y581" s="2"/>
      <c r="Z581" s="2"/>
      <c r="AA581" s="2"/>
    </row>
    <row r="582" spans="1:27" ht="13.15">
      <c r="A582" s="12"/>
      <c r="B582" s="45"/>
      <c r="C582" s="45"/>
      <c r="D582" s="45"/>
      <c r="E582" s="45"/>
      <c r="F582" s="45"/>
      <c r="G582" s="45"/>
      <c r="H582" s="45"/>
      <c r="I582" s="45"/>
      <c r="J582" s="45"/>
      <c r="K582" s="45"/>
      <c r="L582" s="45"/>
      <c r="M582" s="45"/>
      <c r="N582" s="2"/>
      <c r="O582" s="2"/>
      <c r="P582" s="2"/>
      <c r="Q582" s="2"/>
      <c r="R582" s="2"/>
      <c r="S582" s="2"/>
      <c r="T582" s="2"/>
      <c r="U582" s="2"/>
      <c r="V582" s="2"/>
      <c r="W582" s="2"/>
      <c r="X582" s="2"/>
      <c r="Y582" s="2"/>
      <c r="Z582" s="2"/>
      <c r="AA582" s="2"/>
    </row>
    <row r="583" spans="1:27" ht="13.15">
      <c r="A583" s="12"/>
      <c r="B583" s="45"/>
      <c r="C583" s="45"/>
      <c r="D583" s="45"/>
      <c r="E583" s="45"/>
      <c r="F583" s="45"/>
      <c r="G583" s="45"/>
      <c r="H583" s="45"/>
      <c r="I583" s="45"/>
      <c r="J583" s="45"/>
      <c r="K583" s="45"/>
      <c r="L583" s="45"/>
      <c r="M583" s="45"/>
      <c r="N583" s="2"/>
      <c r="O583" s="2"/>
      <c r="P583" s="2"/>
      <c r="Q583" s="2"/>
      <c r="R583" s="2"/>
      <c r="S583" s="2"/>
      <c r="T583" s="2"/>
      <c r="U583" s="2"/>
      <c r="V583" s="2"/>
      <c r="W583" s="2"/>
      <c r="X583" s="2"/>
      <c r="Y583" s="2"/>
      <c r="Z583" s="2"/>
      <c r="AA583" s="2"/>
    </row>
    <row r="584" spans="1:27" ht="13.15">
      <c r="A584" s="12"/>
      <c r="B584" s="45"/>
      <c r="C584" s="45"/>
      <c r="D584" s="45"/>
      <c r="E584" s="45"/>
      <c r="F584" s="45"/>
      <c r="G584" s="45"/>
      <c r="H584" s="45"/>
      <c r="I584" s="45"/>
      <c r="J584" s="45"/>
      <c r="K584" s="45"/>
      <c r="L584" s="45"/>
      <c r="M584" s="45"/>
      <c r="N584" s="2"/>
      <c r="O584" s="2"/>
      <c r="P584" s="2"/>
      <c r="Q584" s="2"/>
      <c r="R584" s="2"/>
      <c r="S584" s="2"/>
      <c r="T584" s="2"/>
      <c r="U584" s="2"/>
      <c r="V584" s="2"/>
      <c r="W584" s="2"/>
      <c r="X584" s="2"/>
      <c r="Y584" s="2"/>
      <c r="Z584" s="2"/>
      <c r="AA584" s="2"/>
    </row>
    <row r="585" spans="1:27" ht="13.15">
      <c r="A585" s="12"/>
      <c r="B585" s="45"/>
      <c r="C585" s="45"/>
      <c r="D585" s="45"/>
      <c r="E585" s="45"/>
      <c r="F585" s="45"/>
      <c r="G585" s="45"/>
      <c r="H585" s="45"/>
      <c r="I585" s="45"/>
      <c r="J585" s="45"/>
      <c r="K585" s="45"/>
      <c r="L585" s="45"/>
      <c r="M585" s="45"/>
      <c r="N585" s="2"/>
      <c r="O585" s="2"/>
      <c r="P585" s="2"/>
      <c r="Q585" s="2"/>
      <c r="R585" s="2"/>
      <c r="S585" s="2"/>
      <c r="T585" s="2"/>
      <c r="U585" s="2"/>
      <c r="V585" s="2"/>
      <c r="W585" s="2"/>
      <c r="X585" s="2"/>
      <c r="Y585" s="2"/>
      <c r="Z585" s="2"/>
      <c r="AA585" s="2"/>
    </row>
    <row r="586" spans="1:27" ht="13.15">
      <c r="A586" s="12"/>
      <c r="B586" s="45"/>
      <c r="C586" s="45"/>
      <c r="D586" s="45"/>
      <c r="E586" s="45"/>
      <c r="F586" s="45"/>
      <c r="G586" s="45"/>
      <c r="H586" s="45"/>
      <c r="I586" s="45"/>
      <c r="J586" s="45"/>
      <c r="K586" s="45"/>
      <c r="L586" s="45"/>
      <c r="M586" s="45"/>
      <c r="N586" s="2"/>
      <c r="O586" s="2"/>
      <c r="P586" s="2"/>
      <c r="Q586" s="2"/>
      <c r="R586" s="2"/>
      <c r="S586" s="2"/>
      <c r="T586" s="2"/>
      <c r="U586" s="2"/>
      <c r="V586" s="2"/>
      <c r="W586" s="2"/>
      <c r="X586" s="2"/>
      <c r="Y586" s="2"/>
      <c r="Z586" s="2"/>
      <c r="AA586" s="2"/>
    </row>
    <row r="587" spans="1:27" ht="13.15">
      <c r="A587" s="12"/>
      <c r="B587" s="45"/>
      <c r="C587" s="45"/>
      <c r="D587" s="45"/>
      <c r="E587" s="45"/>
      <c r="F587" s="45"/>
      <c r="G587" s="45"/>
      <c r="H587" s="45"/>
      <c r="I587" s="45"/>
      <c r="J587" s="45"/>
      <c r="K587" s="45"/>
      <c r="L587" s="45"/>
      <c r="M587" s="45"/>
      <c r="N587" s="2"/>
      <c r="O587" s="2"/>
      <c r="P587" s="2"/>
      <c r="Q587" s="2"/>
      <c r="R587" s="2"/>
      <c r="S587" s="2"/>
      <c r="T587" s="2"/>
      <c r="U587" s="2"/>
      <c r="V587" s="2"/>
      <c r="W587" s="2"/>
      <c r="X587" s="2"/>
      <c r="Y587" s="2"/>
      <c r="Z587" s="2"/>
      <c r="AA587" s="2"/>
    </row>
    <row r="588" spans="1:27" ht="13.15">
      <c r="A588" s="12"/>
      <c r="B588" s="45"/>
      <c r="C588" s="45"/>
      <c r="D588" s="45"/>
      <c r="E588" s="45"/>
      <c r="F588" s="45"/>
      <c r="G588" s="45"/>
      <c r="H588" s="45"/>
      <c r="I588" s="45"/>
      <c r="J588" s="45"/>
      <c r="K588" s="45"/>
      <c r="L588" s="45"/>
      <c r="M588" s="45"/>
      <c r="N588" s="2"/>
      <c r="O588" s="2"/>
      <c r="P588" s="2"/>
      <c r="Q588" s="2"/>
      <c r="R588" s="2"/>
      <c r="S588" s="2"/>
      <c r="T588" s="2"/>
      <c r="U588" s="2"/>
      <c r="V588" s="2"/>
      <c r="W588" s="2"/>
      <c r="X588" s="2"/>
      <c r="Y588" s="2"/>
      <c r="Z588" s="2"/>
      <c r="AA588" s="2"/>
    </row>
    <row r="589" spans="1:27" ht="13.15">
      <c r="A589" s="12"/>
      <c r="B589" s="45"/>
      <c r="C589" s="45"/>
      <c r="D589" s="45"/>
      <c r="E589" s="45"/>
      <c r="F589" s="45"/>
      <c r="G589" s="45"/>
      <c r="H589" s="45"/>
      <c r="I589" s="45"/>
      <c r="J589" s="45"/>
      <c r="K589" s="45"/>
      <c r="L589" s="45"/>
      <c r="M589" s="45"/>
      <c r="N589" s="2"/>
      <c r="O589" s="2"/>
      <c r="P589" s="2"/>
      <c r="Q589" s="2"/>
      <c r="R589" s="2"/>
      <c r="S589" s="2"/>
      <c r="T589" s="2"/>
      <c r="U589" s="2"/>
      <c r="V589" s="2"/>
      <c r="W589" s="2"/>
      <c r="X589" s="2"/>
      <c r="Y589" s="2"/>
      <c r="Z589" s="2"/>
      <c r="AA589" s="2"/>
    </row>
    <row r="590" spans="1:27" ht="13.15">
      <c r="A590" s="12"/>
      <c r="B590" s="45"/>
      <c r="C590" s="45"/>
      <c r="D590" s="45"/>
      <c r="E590" s="45"/>
      <c r="F590" s="45"/>
      <c r="G590" s="45"/>
      <c r="H590" s="45"/>
      <c r="I590" s="45"/>
      <c r="J590" s="45"/>
      <c r="K590" s="45"/>
      <c r="L590" s="45"/>
      <c r="M590" s="45"/>
      <c r="N590" s="2"/>
      <c r="O590" s="2"/>
      <c r="P590" s="2"/>
      <c r="Q590" s="2"/>
      <c r="R590" s="2"/>
      <c r="S590" s="2"/>
      <c r="T590" s="2"/>
      <c r="U590" s="2"/>
      <c r="V590" s="2"/>
      <c r="W590" s="2"/>
      <c r="X590" s="2"/>
      <c r="Y590" s="2"/>
      <c r="Z590" s="2"/>
      <c r="AA590" s="2"/>
    </row>
    <row r="591" spans="1:27" ht="13.15">
      <c r="A591" s="12"/>
      <c r="B591" s="45"/>
      <c r="C591" s="45"/>
      <c r="D591" s="45"/>
      <c r="E591" s="45"/>
      <c r="F591" s="45"/>
      <c r="G591" s="45"/>
      <c r="H591" s="45"/>
      <c r="I591" s="45"/>
      <c r="J591" s="45"/>
      <c r="K591" s="45"/>
      <c r="L591" s="45"/>
      <c r="M591" s="45"/>
      <c r="N591" s="2"/>
      <c r="O591" s="2"/>
      <c r="P591" s="2"/>
      <c r="Q591" s="2"/>
      <c r="R591" s="2"/>
      <c r="S591" s="2"/>
      <c r="T591" s="2"/>
      <c r="U591" s="2"/>
      <c r="V591" s="2"/>
      <c r="W591" s="2"/>
      <c r="X591" s="2"/>
      <c r="Y591" s="2"/>
      <c r="Z591" s="2"/>
      <c r="AA591" s="2"/>
    </row>
    <row r="592" spans="1:27" ht="13.15">
      <c r="A592" s="12"/>
      <c r="B592" s="45"/>
      <c r="C592" s="45"/>
      <c r="D592" s="45"/>
      <c r="E592" s="45"/>
      <c r="F592" s="45"/>
      <c r="G592" s="45"/>
      <c r="H592" s="45"/>
      <c r="I592" s="45"/>
      <c r="J592" s="45"/>
      <c r="K592" s="45"/>
      <c r="L592" s="45"/>
      <c r="M592" s="45"/>
      <c r="N592" s="2"/>
      <c r="O592" s="2"/>
      <c r="P592" s="2"/>
      <c r="Q592" s="2"/>
      <c r="R592" s="2"/>
      <c r="S592" s="2"/>
      <c r="T592" s="2"/>
      <c r="U592" s="2"/>
      <c r="V592" s="2"/>
      <c r="W592" s="2"/>
      <c r="X592" s="2"/>
      <c r="Y592" s="2"/>
      <c r="Z592" s="2"/>
      <c r="AA592" s="2"/>
    </row>
    <row r="593" spans="1:27" ht="13.15">
      <c r="A593" s="12"/>
      <c r="B593" s="45"/>
      <c r="C593" s="45"/>
      <c r="D593" s="45"/>
      <c r="E593" s="45"/>
      <c r="F593" s="45"/>
      <c r="G593" s="45"/>
      <c r="H593" s="45"/>
      <c r="I593" s="45"/>
      <c r="J593" s="45"/>
      <c r="K593" s="45"/>
      <c r="L593" s="45"/>
      <c r="M593" s="45"/>
      <c r="N593" s="2"/>
      <c r="O593" s="2"/>
      <c r="P593" s="2"/>
      <c r="Q593" s="2"/>
      <c r="R593" s="2"/>
      <c r="S593" s="2"/>
      <c r="T593" s="2"/>
      <c r="U593" s="2"/>
      <c r="V593" s="2"/>
      <c r="W593" s="2"/>
      <c r="X593" s="2"/>
      <c r="Y593" s="2"/>
      <c r="Z593" s="2"/>
      <c r="AA593" s="2"/>
    </row>
    <row r="594" spans="1:27" ht="13.15">
      <c r="A594" s="12"/>
      <c r="B594" s="45"/>
      <c r="C594" s="45"/>
      <c r="D594" s="45"/>
      <c r="E594" s="45"/>
      <c r="F594" s="45"/>
      <c r="G594" s="45"/>
      <c r="H594" s="45"/>
      <c r="I594" s="45"/>
      <c r="J594" s="45"/>
      <c r="K594" s="45"/>
      <c r="L594" s="45"/>
      <c r="M594" s="45"/>
      <c r="N594" s="2"/>
      <c r="O594" s="2"/>
      <c r="P594" s="2"/>
      <c r="Q594" s="2"/>
      <c r="R594" s="2"/>
      <c r="S594" s="2"/>
      <c r="T594" s="2"/>
      <c r="U594" s="2"/>
      <c r="V594" s="2"/>
      <c r="W594" s="2"/>
      <c r="X594" s="2"/>
      <c r="Y594" s="2"/>
      <c r="Z594" s="2"/>
      <c r="AA594" s="2"/>
    </row>
    <row r="595" spans="1:27" ht="13.15">
      <c r="A595" s="12"/>
      <c r="B595" s="45"/>
      <c r="C595" s="45"/>
      <c r="D595" s="45"/>
      <c r="E595" s="45"/>
      <c r="F595" s="45"/>
      <c r="G595" s="45"/>
      <c r="H595" s="45"/>
      <c r="I595" s="45"/>
      <c r="J595" s="45"/>
      <c r="K595" s="45"/>
      <c r="L595" s="45"/>
      <c r="M595" s="45"/>
      <c r="N595" s="2"/>
      <c r="O595" s="2"/>
      <c r="P595" s="2"/>
      <c r="Q595" s="2"/>
      <c r="R595" s="2"/>
      <c r="S595" s="2"/>
      <c r="T595" s="2"/>
      <c r="U595" s="2"/>
      <c r="V595" s="2"/>
      <c r="W595" s="2"/>
      <c r="X595" s="2"/>
      <c r="Y595" s="2"/>
      <c r="Z595" s="2"/>
      <c r="AA595" s="2"/>
    </row>
    <row r="596" spans="1:27" ht="13.15">
      <c r="A596" s="12"/>
      <c r="B596" s="45"/>
      <c r="C596" s="45"/>
      <c r="D596" s="45"/>
      <c r="E596" s="45"/>
      <c r="F596" s="45"/>
      <c r="G596" s="45"/>
      <c r="H596" s="45"/>
      <c r="I596" s="45"/>
      <c r="J596" s="45"/>
      <c r="K596" s="45"/>
      <c r="L596" s="45"/>
      <c r="M596" s="45"/>
      <c r="N596" s="2"/>
      <c r="O596" s="2"/>
      <c r="P596" s="2"/>
      <c r="Q596" s="2"/>
      <c r="R596" s="2"/>
      <c r="S596" s="2"/>
      <c r="T596" s="2"/>
      <c r="U596" s="2"/>
      <c r="V596" s="2"/>
      <c r="W596" s="2"/>
      <c r="X596" s="2"/>
      <c r="Y596" s="2"/>
      <c r="Z596" s="2"/>
      <c r="AA596" s="2"/>
    </row>
    <row r="597" spans="1:27" ht="13.15">
      <c r="A597" s="12"/>
      <c r="B597" s="45"/>
      <c r="C597" s="45"/>
      <c r="D597" s="45"/>
      <c r="E597" s="45"/>
      <c r="F597" s="45"/>
      <c r="G597" s="45"/>
      <c r="H597" s="45"/>
      <c r="I597" s="45"/>
      <c r="J597" s="45"/>
      <c r="K597" s="45"/>
      <c r="L597" s="45"/>
      <c r="M597" s="45"/>
      <c r="N597" s="2"/>
      <c r="O597" s="2"/>
      <c r="P597" s="2"/>
      <c r="Q597" s="2"/>
      <c r="R597" s="2"/>
      <c r="S597" s="2"/>
      <c r="T597" s="2"/>
      <c r="U597" s="2"/>
      <c r="V597" s="2"/>
      <c r="W597" s="2"/>
      <c r="X597" s="2"/>
      <c r="Y597" s="2"/>
      <c r="Z597" s="2"/>
      <c r="AA597" s="2"/>
    </row>
    <row r="598" spans="1:27" ht="13.15">
      <c r="A598" s="12"/>
      <c r="B598" s="45"/>
      <c r="C598" s="45"/>
      <c r="D598" s="45"/>
      <c r="E598" s="45"/>
      <c r="F598" s="45"/>
      <c r="G598" s="45"/>
      <c r="H598" s="45"/>
      <c r="I598" s="45"/>
      <c r="J598" s="45"/>
      <c r="K598" s="45"/>
      <c r="L598" s="45"/>
      <c r="M598" s="45"/>
      <c r="N598" s="2"/>
      <c r="O598" s="2"/>
      <c r="P598" s="2"/>
      <c r="Q598" s="2"/>
      <c r="R598" s="2"/>
      <c r="S598" s="2"/>
      <c r="T598" s="2"/>
      <c r="U598" s="2"/>
      <c r="V598" s="2"/>
      <c r="W598" s="2"/>
      <c r="X598" s="2"/>
      <c r="Y598" s="2"/>
      <c r="Z598" s="2"/>
      <c r="AA598" s="2"/>
    </row>
    <row r="599" spans="1:27" ht="13.15">
      <c r="A599" s="12"/>
      <c r="B599" s="45"/>
      <c r="C599" s="45"/>
      <c r="D599" s="45"/>
      <c r="E599" s="45"/>
      <c r="F599" s="45"/>
      <c r="G599" s="45"/>
      <c r="H599" s="45"/>
      <c r="I599" s="45"/>
      <c r="J599" s="45"/>
      <c r="K599" s="45"/>
      <c r="L599" s="45"/>
      <c r="M599" s="45"/>
      <c r="N599" s="2"/>
      <c r="O599" s="2"/>
      <c r="P599" s="2"/>
      <c r="Q599" s="2"/>
      <c r="R599" s="2"/>
      <c r="S599" s="2"/>
      <c r="T599" s="2"/>
      <c r="U599" s="2"/>
      <c r="V599" s="2"/>
      <c r="W599" s="2"/>
      <c r="X599" s="2"/>
      <c r="Y599" s="2"/>
      <c r="Z599" s="2"/>
      <c r="AA599" s="2"/>
    </row>
    <row r="600" spans="1:27" ht="13.15">
      <c r="A600" s="12"/>
      <c r="B600" s="45"/>
      <c r="C600" s="45"/>
      <c r="D600" s="45"/>
      <c r="E600" s="45"/>
      <c r="F600" s="45"/>
      <c r="G600" s="45"/>
      <c r="H600" s="45"/>
      <c r="I600" s="45"/>
      <c r="J600" s="45"/>
      <c r="K600" s="45"/>
      <c r="L600" s="45"/>
      <c r="M600" s="45"/>
      <c r="N600" s="2"/>
      <c r="O600" s="2"/>
      <c r="P600" s="2"/>
      <c r="Q600" s="2"/>
      <c r="R600" s="2"/>
      <c r="S600" s="2"/>
      <c r="T600" s="2"/>
      <c r="U600" s="2"/>
      <c r="V600" s="2"/>
      <c r="W600" s="2"/>
      <c r="X600" s="2"/>
      <c r="Y600" s="2"/>
      <c r="Z600" s="2"/>
      <c r="AA600" s="2"/>
    </row>
    <row r="601" spans="1:27" ht="13.15">
      <c r="A601" s="12"/>
      <c r="B601" s="45"/>
      <c r="C601" s="45"/>
      <c r="D601" s="45"/>
      <c r="E601" s="45"/>
      <c r="F601" s="45"/>
      <c r="G601" s="45"/>
      <c r="H601" s="45"/>
      <c r="I601" s="45"/>
      <c r="J601" s="45"/>
      <c r="K601" s="45"/>
      <c r="L601" s="45"/>
      <c r="M601" s="45"/>
      <c r="N601" s="2"/>
      <c r="O601" s="2"/>
      <c r="P601" s="2"/>
      <c r="Q601" s="2"/>
      <c r="R601" s="2"/>
      <c r="S601" s="2"/>
      <c r="T601" s="2"/>
      <c r="U601" s="2"/>
      <c r="V601" s="2"/>
      <c r="W601" s="2"/>
      <c r="X601" s="2"/>
      <c r="Y601" s="2"/>
      <c r="Z601" s="2"/>
      <c r="AA601" s="2"/>
    </row>
    <row r="602" spans="1:27" ht="13.15">
      <c r="A602" s="12"/>
      <c r="B602" s="45"/>
      <c r="C602" s="45"/>
      <c r="D602" s="45"/>
      <c r="E602" s="45"/>
      <c r="F602" s="45"/>
      <c r="G602" s="45"/>
      <c r="H602" s="45"/>
      <c r="I602" s="45"/>
      <c r="J602" s="45"/>
      <c r="K602" s="45"/>
      <c r="L602" s="45"/>
      <c r="M602" s="45"/>
      <c r="N602" s="2"/>
      <c r="O602" s="2"/>
      <c r="P602" s="2"/>
      <c r="Q602" s="2"/>
      <c r="R602" s="2"/>
      <c r="S602" s="2"/>
      <c r="T602" s="2"/>
      <c r="U602" s="2"/>
      <c r="V602" s="2"/>
      <c r="W602" s="2"/>
      <c r="X602" s="2"/>
      <c r="Y602" s="2"/>
      <c r="Z602" s="2"/>
      <c r="AA602" s="2"/>
    </row>
    <row r="603" spans="1:27" ht="13.15">
      <c r="A603" s="12"/>
      <c r="B603" s="45"/>
      <c r="C603" s="45"/>
      <c r="D603" s="45"/>
      <c r="E603" s="45"/>
      <c r="F603" s="45"/>
      <c r="G603" s="45"/>
      <c r="H603" s="45"/>
      <c r="I603" s="45"/>
      <c r="J603" s="45"/>
      <c r="K603" s="45"/>
      <c r="L603" s="45"/>
      <c r="M603" s="45"/>
      <c r="N603" s="2"/>
      <c r="O603" s="2"/>
      <c r="P603" s="2"/>
      <c r="Q603" s="2"/>
      <c r="R603" s="2"/>
      <c r="S603" s="2"/>
      <c r="T603" s="2"/>
      <c r="U603" s="2"/>
      <c r="V603" s="2"/>
      <c r="W603" s="2"/>
      <c r="X603" s="2"/>
      <c r="Y603" s="2"/>
      <c r="Z603" s="2"/>
      <c r="AA603" s="2"/>
    </row>
    <row r="604" spans="1:27" ht="13.15">
      <c r="A604" s="12"/>
      <c r="B604" s="45"/>
      <c r="C604" s="45"/>
      <c r="D604" s="45"/>
      <c r="E604" s="45"/>
      <c r="F604" s="45"/>
      <c r="G604" s="45"/>
      <c r="H604" s="45"/>
      <c r="I604" s="45"/>
      <c r="J604" s="45"/>
      <c r="K604" s="45"/>
      <c r="L604" s="45"/>
      <c r="M604" s="45"/>
      <c r="N604" s="2"/>
      <c r="O604" s="2"/>
      <c r="P604" s="2"/>
      <c r="Q604" s="2"/>
      <c r="R604" s="2"/>
      <c r="S604" s="2"/>
      <c r="T604" s="2"/>
      <c r="U604" s="2"/>
      <c r="V604" s="2"/>
      <c r="W604" s="2"/>
      <c r="X604" s="2"/>
      <c r="Y604" s="2"/>
      <c r="Z604" s="2"/>
      <c r="AA604" s="2"/>
    </row>
    <row r="605" spans="1:27" ht="13.15">
      <c r="A605" s="12"/>
      <c r="B605" s="45"/>
      <c r="C605" s="45"/>
      <c r="D605" s="45"/>
      <c r="E605" s="45"/>
      <c r="F605" s="45"/>
      <c r="G605" s="45"/>
      <c r="H605" s="45"/>
      <c r="I605" s="45"/>
      <c r="J605" s="45"/>
      <c r="K605" s="45"/>
      <c r="L605" s="45"/>
      <c r="M605" s="45"/>
      <c r="N605" s="2"/>
      <c r="O605" s="2"/>
      <c r="P605" s="2"/>
      <c r="Q605" s="2"/>
      <c r="R605" s="2"/>
      <c r="S605" s="2"/>
      <c r="T605" s="2"/>
      <c r="U605" s="2"/>
      <c r="V605" s="2"/>
      <c r="W605" s="2"/>
      <c r="X605" s="2"/>
      <c r="Y605" s="2"/>
      <c r="Z605" s="2"/>
      <c r="AA605" s="2"/>
    </row>
    <row r="606" spans="1:27" ht="13.15">
      <c r="A606" s="12"/>
      <c r="B606" s="45"/>
      <c r="C606" s="45"/>
      <c r="D606" s="45"/>
      <c r="E606" s="45"/>
      <c r="F606" s="45"/>
      <c r="G606" s="45"/>
      <c r="H606" s="45"/>
      <c r="I606" s="45"/>
      <c r="J606" s="45"/>
      <c r="K606" s="45"/>
      <c r="L606" s="45"/>
      <c r="M606" s="45"/>
      <c r="N606" s="2"/>
      <c r="O606" s="2"/>
      <c r="P606" s="2"/>
      <c r="Q606" s="2"/>
      <c r="R606" s="2"/>
      <c r="S606" s="2"/>
      <c r="T606" s="2"/>
      <c r="U606" s="2"/>
      <c r="V606" s="2"/>
      <c r="W606" s="2"/>
      <c r="X606" s="2"/>
      <c r="Y606" s="2"/>
      <c r="Z606" s="2"/>
      <c r="AA606" s="2"/>
    </row>
    <row r="607" spans="1:27" ht="13.15">
      <c r="A607" s="12"/>
      <c r="B607" s="45"/>
      <c r="C607" s="45"/>
      <c r="D607" s="45"/>
      <c r="E607" s="45"/>
      <c r="F607" s="45"/>
      <c r="G607" s="45"/>
      <c r="H607" s="45"/>
      <c r="I607" s="45"/>
      <c r="J607" s="45"/>
      <c r="K607" s="45"/>
      <c r="L607" s="45"/>
      <c r="M607" s="45"/>
      <c r="N607" s="2"/>
      <c r="O607" s="2"/>
      <c r="P607" s="2"/>
      <c r="Q607" s="2"/>
      <c r="R607" s="2"/>
      <c r="S607" s="2"/>
      <c r="T607" s="2"/>
      <c r="U607" s="2"/>
      <c r="V607" s="2"/>
      <c r="W607" s="2"/>
      <c r="X607" s="2"/>
      <c r="Y607" s="2"/>
      <c r="Z607" s="2"/>
      <c r="AA607" s="2"/>
    </row>
    <row r="608" spans="1:27" ht="13.15">
      <c r="A608" s="12"/>
      <c r="B608" s="45"/>
      <c r="C608" s="45"/>
      <c r="D608" s="45"/>
      <c r="E608" s="45"/>
      <c r="F608" s="45"/>
      <c r="G608" s="45"/>
      <c r="H608" s="45"/>
      <c r="I608" s="45"/>
      <c r="J608" s="45"/>
      <c r="K608" s="45"/>
      <c r="L608" s="45"/>
      <c r="M608" s="45"/>
      <c r="N608" s="2"/>
      <c r="O608" s="2"/>
      <c r="P608" s="2"/>
      <c r="Q608" s="2"/>
      <c r="R608" s="2"/>
      <c r="S608" s="2"/>
      <c r="T608" s="2"/>
      <c r="U608" s="2"/>
      <c r="V608" s="2"/>
      <c r="W608" s="2"/>
      <c r="X608" s="2"/>
      <c r="Y608" s="2"/>
      <c r="Z608" s="2"/>
      <c r="AA608" s="2"/>
    </row>
    <row r="609" spans="1:27" ht="13.15">
      <c r="A609" s="12"/>
      <c r="B609" s="45"/>
      <c r="C609" s="45"/>
      <c r="D609" s="45"/>
      <c r="E609" s="45"/>
      <c r="F609" s="45"/>
      <c r="G609" s="45"/>
      <c r="H609" s="45"/>
      <c r="I609" s="45"/>
      <c r="J609" s="45"/>
      <c r="K609" s="45"/>
      <c r="L609" s="45"/>
      <c r="M609" s="45"/>
      <c r="N609" s="2"/>
      <c r="O609" s="2"/>
      <c r="P609" s="2"/>
      <c r="Q609" s="2"/>
      <c r="R609" s="2"/>
      <c r="S609" s="2"/>
      <c r="T609" s="2"/>
      <c r="U609" s="2"/>
      <c r="V609" s="2"/>
      <c r="W609" s="2"/>
      <c r="X609" s="2"/>
      <c r="Y609" s="2"/>
      <c r="Z609" s="2"/>
      <c r="AA609" s="2"/>
    </row>
    <row r="610" spans="1:27" ht="13.15">
      <c r="A610" s="12"/>
      <c r="B610" s="45"/>
      <c r="C610" s="45"/>
      <c r="D610" s="45"/>
      <c r="E610" s="45"/>
      <c r="F610" s="45"/>
      <c r="G610" s="45"/>
      <c r="H610" s="45"/>
      <c r="I610" s="45"/>
      <c r="J610" s="45"/>
      <c r="K610" s="45"/>
      <c r="L610" s="45"/>
      <c r="M610" s="45"/>
      <c r="N610" s="2"/>
      <c r="O610" s="2"/>
      <c r="P610" s="2"/>
      <c r="Q610" s="2"/>
      <c r="R610" s="2"/>
      <c r="S610" s="2"/>
      <c r="T610" s="2"/>
      <c r="U610" s="2"/>
      <c r="V610" s="2"/>
      <c r="W610" s="2"/>
      <c r="X610" s="2"/>
      <c r="Y610" s="2"/>
      <c r="Z610" s="2"/>
      <c r="AA610" s="2"/>
    </row>
    <row r="611" spans="1:27" ht="13.15">
      <c r="A611" s="12"/>
      <c r="B611" s="45"/>
      <c r="C611" s="45"/>
      <c r="D611" s="45"/>
      <c r="E611" s="45"/>
      <c r="F611" s="45"/>
      <c r="G611" s="45"/>
      <c r="H611" s="45"/>
      <c r="I611" s="45"/>
      <c r="J611" s="45"/>
      <c r="K611" s="45"/>
      <c r="L611" s="45"/>
      <c r="M611" s="45"/>
      <c r="N611" s="2"/>
      <c r="O611" s="2"/>
      <c r="P611" s="2"/>
      <c r="Q611" s="2"/>
      <c r="R611" s="2"/>
      <c r="S611" s="2"/>
      <c r="T611" s="2"/>
      <c r="U611" s="2"/>
      <c r="V611" s="2"/>
      <c r="W611" s="2"/>
      <c r="X611" s="2"/>
      <c r="Y611" s="2"/>
      <c r="Z611" s="2"/>
      <c r="AA611" s="2"/>
    </row>
    <row r="612" spans="1:27" ht="13.15">
      <c r="A612" s="12"/>
      <c r="B612" s="45"/>
      <c r="C612" s="45"/>
      <c r="D612" s="45"/>
      <c r="E612" s="45"/>
      <c r="F612" s="45"/>
      <c r="G612" s="45"/>
      <c r="H612" s="45"/>
      <c r="I612" s="45"/>
      <c r="J612" s="45"/>
      <c r="K612" s="45"/>
      <c r="L612" s="45"/>
      <c r="M612" s="45"/>
      <c r="N612" s="2"/>
      <c r="O612" s="2"/>
      <c r="P612" s="2"/>
      <c r="Q612" s="2"/>
      <c r="R612" s="2"/>
      <c r="S612" s="2"/>
      <c r="T612" s="2"/>
      <c r="U612" s="2"/>
      <c r="V612" s="2"/>
      <c r="W612" s="2"/>
      <c r="X612" s="2"/>
      <c r="Y612" s="2"/>
      <c r="Z612" s="2"/>
      <c r="AA612" s="2"/>
    </row>
    <row r="613" spans="1:27" ht="13.15">
      <c r="A613" s="12"/>
      <c r="B613" s="45"/>
      <c r="C613" s="45"/>
      <c r="D613" s="45"/>
      <c r="E613" s="45"/>
      <c r="F613" s="45"/>
      <c r="G613" s="45"/>
      <c r="H613" s="45"/>
      <c r="I613" s="45"/>
      <c r="J613" s="45"/>
      <c r="K613" s="45"/>
      <c r="L613" s="45"/>
      <c r="M613" s="45"/>
      <c r="N613" s="2"/>
      <c r="O613" s="2"/>
      <c r="P613" s="2"/>
      <c r="Q613" s="2"/>
      <c r="R613" s="2"/>
      <c r="S613" s="2"/>
      <c r="T613" s="2"/>
      <c r="U613" s="2"/>
      <c r="V613" s="2"/>
      <c r="W613" s="2"/>
      <c r="X613" s="2"/>
      <c r="Y613" s="2"/>
      <c r="Z613" s="2"/>
      <c r="AA613" s="2"/>
    </row>
    <row r="614" spans="1:27" ht="13.15">
      <c r="A614" s="12"/>
      <c r="B614" s="45"/>
      <c r="C614" s="45"/>
      <c r="D614" s="45"/>
      <c r="E614" s="45"/>
      <c r="F614" s="45"/>
      <c r="G614" s="45"/>
      <c r="H614" s="45"/>
      <c r="I614" s="45"/>
      <c r="J614" s="45"/>
      <c r="K614" s="45"/>
      <c r="L614" s="45"/>
      <c r="M614" s="45"/>
      <c r="N614" s="2"/>
      <c r="O614" s="2"/>
      <c r="P614" s="2"/>
      <c r="Q614" s="2"/>
      <c r="R614" s="2"/>
      <c r="S614" s="2"/>
      <c r="T614" s="2"/>
      <c r="U614" s="2"/>
      <c r="V614" s="2"/>
      <c r="W614" s="2"/>
      <c r="X614" s="2"/>
      <c r="Y614" s="2"/>
      <c r="Z614" s="2"/>
      <c r="AA614" s="2"/>
    </row>
    <row r="615" spans="1:27" ht="13.15">
      <c r="A615" s="12"/>
      <c r="B615" s="45"/>
      <c r="C615" s="45"/>
      <c r="D615" s="45"/>
      <c r="E615" s="45"/>
      <c r="F615" s="45"/>
      <c r="G615" s="45"/>
      <c r="H615" s="45"/>
      <c r="I615" s="45"/>
      <c r="J615" s="45"/>
      <c r="K615" s="45"/>
      <c r="L615" s="45"/>
      <c r="M615" s="45"/>
      <c r="N615" s="2"/>
      <c r="O615" s="2"/>
      <c r="P615" s="2"/>
      <c r="Q615" s="2"/>
      <c r="R615" s="2"/>
      <c r="S615" s="2"/>
      <c r="T615" s="2"/>
      <c r="U615" s="2"/>
      <c r="V615" s="2"/>
      <c r="W615" s="2"/>
      <c r="X615" s="2"/>
      <c r="Y615" s="2"/>
      <c r="Z615" s="2"/>
      <c r="AA615" s="2"/>
    </row>
    <row r="616" spans="1:27" ht="13.15">
      <c r="A616" s="12"/>
      <c r="B616" s="45"/>
      <c r="C616" s="45"/>
      <c r="D616" s="45"/>
      <c r="E616" s="45"/>
      <c r="F616" s="45"/>
      <c r="G616" s="45"/>
      <c r="H616" s="45"/>
      <c r="I616" s="45"/>
      <c r="J616" s="45"/>
      <c r="K616" s="45"/>
      <c r="L616" s="45"/>
      <c r="M616" s="45"/>
      <c r="N616" s="2"/>
      <c r="O616" s="2"/>
      <c r="P616" s="2"/>
      <c r="Q616" s="2"/>
      <c r="R616" s="2"/>
      <c r="S616" s="2"/>
      <c r="T616" s="2"/>
      <c r="U616" s="2"/>
      <c r="V616" s="2"/>
      <c r="W616" s="2"/>
      <c r="X616" s="2"/>
      <c r="Y616" s="2"/>
      <c r="Z616" s="2"/>
      <c r="AA616" s="2"/>
    </row>
    <row r="617" spans="1:27" ht="13.15">
      <c r="A617" s="12"/>
      <c r="B617" s="45"/>
      <c r="C617" s="45"/>
      <c r="D617" s="45"/>
      <c r="E617" s="45"/>
      <c r="F617" s="45"/>
      <c r="G617" s="45"/>
      <c r="H617" s="45"/>
      <c r="I617" s="45"/>
      <c r="J617" s="45"/>
      <c r="K617" s="45"/>
      <c r="L617" s="45"/>
      <c r="M617" s="45"/>
      <c r="N617" s="2"/>
      <c r="O617" s="2"/>
      <c r="P617" s="2"/>
      <c r="Q617" s="2"/>
      <c r="R617" s="2"/>
      <c r="S617" s="2"/>
      <c r="T617" s="2"/>
      <c r="U617" s="2"/>
      <c r="V617" s="2"/>
      <c r="W617" s="2"/>
      <c r="X617" s="2"/>
      <c r="Y617" s="2"/>
      <c r="Z617" s="2"/>
      <c r="AA617" s="2"/>
    </row>
    <row r="618" spans="1:27" ht="13.15">
      <c r="A618" s="12"/>
      <c r="B618" s="45"/>
      <c r="C618" s="45"/>
      <c r="D618" s="45"/>
      <c r="E618" s="45"/>
      <c r="F618" s="45"/>
      <c r="G618" s="45"/>
      <c r="H618" s="45"/>
      <c r="I618" s="45"/>
      <c r="J618" s="45"/>
      <c r="K618" s="45"/>
      <c r="L618" s="45"/>
      <c r="M618" s="45"/>
      <c r="N618" s="2"/>
      <c r="O618" s="2"/>
      <c r="P618" s="2"/>
      <c r="Q618" s="2"/>
      <c r="R618" s="2"/>
      <c r="S618" s="2"/>
      <c r="T618" s="2"/>
      <c r="U618" s="2"/>
      <c r="V618" s="2"/>
      <c r="W618" s="2"/>
      <c r="X618" s="2"/>
      <c r="Y618" s="2"/>
      <c r="Z618" s="2"/>
      <c r="AA618" s="2"/>
    </row>
    <row r="619" spans="1:27" ht="13.15">
      <c r="A619" s="12"/>
      <c r="B619" s="45"/>
      <c r="C619" s="45"/>
      <c r="D619" s="45"/>
      <c r="E619" s="45"/>
      <c r="F619" s="45"/>
      <c r="G619" s="45"/>
      <c r="H619" s="45"/>
      <c r="I619" s="45"/>
      <c r="J619" s="45"/>
      <c r="K619" s="45"/>
      <c r="L619" s="45"/>
      <c r="M619" s="45"/>
      <c r="N619" s="2"/>
      <c r="O619" s="2"/>
      <c r="P619" s="2"/>
      <c r="Q619" s="2"/>
      <c r="R619" s="2"/>
      <c r="S619" s="2"/>
      <c r="T619" s="2"/>
      <c r="U619" s="2"/>
      <c r="V619" s="2"/>
      <c r="W619" s="2"/>
      <c r="X619" s="2"/>
      <c r="Y619" s="2"/>
      <c r="Z619" s="2"/>
      <c r="AA619" s="2"/>
    </row>
    <row r="620" spans="1:27" ht="13.15">
      <c r="A620" s="12"/>
      <c r="B620" s="45"/>
      <c r="C620" s="45"/>
      <c r="D620" s="45"/>
      <c r="E620" s="45"/>
      <c r="F620" s="45"/>
      <c r="G620" s="45"/>
      <c r="H620" s="45"/>
      <c r="I620" s="45"/>
      <c r="J620" s="45"/>
      <c r="K620" s="45"/>
      <c r="L620" s="45"/>
      <c r="M620" s="45"/>
      <c r="N620" s="2"/>
      <c r="O620" s="2"/>
      <c r="P620" s="2"/>
      <c r="Q620" s="2"/>
      <c r="R620" s="2"/>
      <c r="S620" s="2"/>
      <c r="T620" s="2"/>
      <c r="U620" s="2"/>
      <c r="V620" s="2"/>
      <c r="W620" s="2"/>
      <c r="X620" s="2"/>
      <c r="Y620" s="2"/>
      <c r="Z620" s="2"/>
      <c r="AA620" s="2"/>
    </row>
    <row r="621" spans="1:27" ht="13.15">
      <c r="A621" s="12"/>
      <c r="B621" s="45"/>
      <c r="C621" s="45"/>
      <c r="D621" s="45"/>
      <c r="E621" s="45"/>
      <c r="F621" s="45"/>
      <c r="G621" s="45"/>
      <c r="H621" s="45"/>
      <c r="I621" s="45"/>
      <c r="J621" s="45"/>
      <c r="K621" s="45"/>
      <c r="L621" s="45"/>
      <c r="M621" s="45"/>
      <c r="N621" s="2"/>
      <c r="O621" s="2"/>
      <c r="P621" s="2"/>
      <c r="Q621" s="2"/>
      <c r="R621" s="2"/>
      <c r="S621" s="2"/>
      <c r="T621" s="2"/>
      <c r="U621" s="2"/>
      <c r="V621" s="2"/>
      <c r="W621" s="2"/>
      <c r="X621" s="2"/>
      <c r="Y621" s="2"/>
      <c r="Z621" s="2"/>
      <c r="AA621" s="2"/>
    </row>
    <row r="622" spans="1:27" ht="13.15">
      <c r="A622" s="12"/>
      <c r="B622" s="45"/>
      <c r="C622" s="45"/>
      <c r="D622" s="45"/>
      <c r="E622" s="45"/>
      <c r="F622" s="45"/>
      <c r="G622" s="45"/>
      <c r="H622" s="45"/>
      <c r="I622" s="45"/>
      <c r="J622" s="45"/>
      <c r="K622" s="45"/>
      <c r="L622" s="45"/>
      <c r="M622" s="45"/>
      <c r="N622" s="2"/>
      <c r="O622" s="2"/>
      <c r="P622" s="2"/>
      <c r="Q622" s="2"/>
      <c r="R622" s="2"/>
      <c r="S622" s="2"/>
      <c r="T622" s="2"/>
      <c r="U622" s="2"/>
      <c r="V622" s="2"/>
      <c r="W622" s="2"/>
      <c r="X622" s="2"/>
      <c r="Y622" s="2"/>
      <c r="Z622" s="2"/>
      <c r="AA622" s="2"/>
    </row>
    <row r="623" spans="1:27" ht="13.15">
      <c r="A623" s="12"/>
      <c r="B623" s="45"/>
      <c r="C623" s="45"/>
      <c r="D623" s="45"/>
      <c r="E623" s="45"/>
      <c r="F623" s="45"/>
      <c r="G623" s="45"/>
      <c r="H623" s="45"/>
      <c r="I623" s="45"/>
      <c r="J623" s="45"/>
      <c r="K623" s="45"/>
      <c r="L623" s="45"/>
      <c r="M623" s="45"/>
      <c r="N623" s="2"/>
      <c r="O623" s="2"/>
      <c r="P623" s="2"/>
      <c r="Q623" s="2"/>
      <c r="R623" s="2"/>
      <c r="S623" s="2"/>
      <c r="T623" s="2"/>
      <c r="U623" s="2"/>
      <c r="V623" s="2"/>
      <c r="W623" s="2"/>
      <c r="X623" s="2"/>
      <c r="Y623" s="2"/>
      <c r="Z623" s="2"/>
      <c r="AA623" s="2"/>
    </row>
    <row r="624" spans="1:27" ht="13.15">
      <c r="A624" s="12"/>
      <c r="B624" s="45"/>
      <c r="C624" s="45"/>
      <c r="D624" s="45"/>
      <c r="E624" s="45"/>
      <c r="F624" s="45"/>
      <c r="G624" s="45"/>
      <c r="H624" s="45"/>
      <c r="I624" s="45"/>
      <c r="J624" s="45"/>
      <c r="K624" s="45"/>
      <c r="L624" s="45"/>
      <c r="M624" s="45"/>
      <c r="N624" s="2"/>
      <c r="O624" s="2"/>
      <c r="P624" s="2"/>
      <c r="Q624" s="2"/>
      <c r="R624" s="2"/>
      <c r="S624" s="2"/>
      <c r="T624" s="2"/>
      <c r="U624" s="2"/>
      <c r="V624" s="2"/>
      <c r="W624" s="2"/>
      <c r="X624" s="2"/>
      <c r="Y624" s="2"/>
      <c r="Z624" s="2"/>
      <c r="AA624" s="2"/>
    </row>
    <row r="625" spans="1:27" ht="13.15">
      <c r="A625" s="12"/>
      <c r="B625" s="45"/>
      <c r="C625" s="45"/>
      <c r="D625" s="45"/>
      <c r="E625" s="45"/>
      <c r="F625" s="45"/>
      <c r="G625" s="45"/>
      <c r="H625" s="45"/>
      <c r="I625" s="45"/>
      <c r="J625" s="45"/>
      <c r="K625" s="45"/>
      <c r="L625" s="45"/>
      <c r="M625" s="45"/>
      <c r="N625" s="2"/>
      <c r="O625" s="2"/>
      <c r="P625" s="2"/>
      <c r="Q625" s="2"/>
      <c r="R625" s="2"/>
      <c r="S625" s="2"/>
      <c r="T625" s="2"/>
      <c r="U625" s="2"/>
      <c r="V625" s="2"/>
      <c r="W625" s="2"/>
      <c r="X625" s="2"/>
      <c r="Y625" s="2"/>
      <c r="Z625" s="2"/>
      <c r="AA625" s="2"/>
    </row>
    <row r="626" spans="1:27" ht="13.15">
      <c r="A626" s="12"/>
      <c r="B626" s="45"/>
      <c r="C626" s="45"/>
      <c r="D626" s="45"/>
      <c r="E626" s="45"/>
      <c r="F626" s="45"/>
      <c r="G626" s="45"/>
      <c r="H626" s="45"/>
      <c r="I626" s="45"/>
      <c r="J626" s="45"/>
      <c r="K626" s="45"/>
      <c r="L626" s="45"/>
      <c r="M626" s="45"/>
      <c r="N626" s="2"/>
      <c r="O626" s="2"/>
      <c r="P626" s="2"/>
      <c r="Q626" s="2"/>
      <c r="R626" s="2"/>
      <c r="S626" s="2"/>
      <c r="T626" s="2"/>
      <c r="U626" s="2"/>
      <c r="V626" s="2"/>
      <c r="W626" s="2"/>
      <c r="X626" s="2"/>
      <c r="Y626" s="2"/>
      <c r="Z626" s="2"/>
      <c r="AA626" s="2"/>
    </row>
    <row r="627" spans="1:27" ht="13.15">
      <c r="A627" s="12"/>
      <c r="B627" s="45"/>
      <c r="C627" s="45"/>
      <c r="D627" s="45"/>
      <c r="E627" s="45"/>
      <c r="F627" s="45"/>
      <c r="G627" s="45"/>
      <c r="H627" s="45"/>
      <c r="I627" s="45"/>
      <c r="J627" s="45"/>
      <c r="K627" s="45"/>
      <c r="L627" s="45"/>
      <c r="M627" s="45"/>
      <c r="N627" s="2"/>
      <c r="O627" s="2"/>
      <c r="P627" s="2"/>
      <c r="Q627" s="2"/>
      <c r="R627" s="2"/>
      <c r="S627" s="2"/>
      <c r="T627" s="2"/>
      <c r="U627" s="2"/>
      <c r="V627" s="2"/>
      <c r="W627" s="2"/>
      <c r="X627" s="2"/>
      <c r="Y627" s="2"/>
      <c r="Z627" s="2"/>
      <c r="AA627" s="2"/>
    </row>
    <row r="628" spans="1:27" ht="13.15">
      <c r="A628" s="12"/>
      <c r="B628" s="45"/>
      <c r="C628" s="45"/>
      <c r="D628" s="45"/>
      <c r="E628" s="45"/>
      <c r="F628" s="45"/>
      <c r="G628" s="45"/>
      <c r="H628" s="45"/>
      <c r="I628" s="45"/>
      <c r="J628" s="45"/>
      <c r="K628" s="45"/>
      <c r="L628" s="45"/>
      <c r="M628" s="45"/>
      <c r="N628" s="2"/>
      <c r="O628" s="2"/>
      <c r="P628" s="2"/>
      <c r="Q628" s="2"/>
      <c r="R628" s="2"/>
      <c r="S628" s="2"/>
      <c r="T628" s="2"/>
      <c r="U628" s="2"/>
      <c r="V628" s="2"/>
      <c r="W628" s="2"/>
      <c r="X628" s="2"/>
      <c r="Y628" s="2"/>
      <c r="Z628" s="2"/>
      <c r="AA628" s="2"/>
    </row>
    <row r="629" spans="1:27" ht="13.15">
      <c r="A629" s="12"/>
      <c r="B629" s="45"/>
      <c r="C629" s="45"/>
      <c r="D629" s="45"/>
      <c r="E629" s="45"/>
      <c r="F629" s="45"/>
      <c r="G629" s="45"/>
      <c r="H629" s="45"/>
      <c r="I629" s="45"/>
      <c r="J629" s="45"/>
      <c r="K629" s="45"/>
      <c r="L629" s="45"/>
      <c r="M629" s="45"/>
      <c r="N629" s="2"/>
      <c r="O629" s="2"/>
      <c r="P629" s="2"/>
      <c r="Q629" s="2"/>
      <c r="R629" s="2"/>
      <c r="S629" s="2"/>
      <c r="T629" s="2"/>
      <c r="U629" s="2"/>
      <c r="V629" s="2"/>
      <c r="W629" s="2"/>
      <c r="X629" s="2"/>
      <c r="Y629" s="2"/>
      <c r="Z629" s="2"/>
      <c r="AA629" s="2"/>
    </row>
    <row r="630" spans="1:27" ht="13.15">
      <c r="A630" s="12"/>
      <c r="B630" s="45"/>
      <c r="C630" s="45"/>
      <c r="D630" s="45"/>
      <c r="E630" s="45"/>
      <c r="F630" s="45"/>
      <c r="G630" s="45"/>
      <c r="H630" s="45"/>
      <c r="I630" s="45"/>
      <c r="J630" s="45"/>
      <c r="K630" s="45"/>
      <c r="L630" s="45"/>
      <c r="M630" s="45"/>
      <c r="N630" s="2"/>
      <c r="O630" s="2"/>
      <c r="P630" s="2"/>
      <c r="Q630" s="2"/>
      <c r="R630" s="2"/>
      <c r="S630" s="2"/>
      <c r="T630" s="2"/>
      <c r="U630" s="2"/>
      <c r="V630" s="2"/>
      <c r="W630" s="2"/>
      <c r="X630" s="2"/>
      <c r="Y630" s="2"/>
      <c r="Z630" s="2"/>
      <c r="AA630" s="2"/>
    </row>
    <row r="631" spans="1:27" ht="13.15">
      <c r="A631" s="12"/>
      <c r="B631" s="45"/>
      <c r="C631" s="45"/>
      <c r="D631" s="45"/>
      <c r="E631" s="45"/>
      <c r="F631" s="45"/>
      <c r="G631" s="45"/>
      <c r="H631" s="45"/>
      <c r="I631" s="45"/>
      <c r="J631" s="45"/>
      <c r="K631" s="45"/>
      <c r="L631" s="45"/>
      <c r="M631" s="45"/>
      <c r="N631" s="2"/>
      <c r="O631" s="2"/>
      <c r="P631" s="2"/>
      <c r="Q631" s="2"/>
      <c r="R631" s="2"/>
      <c r="S631" s="2"/>
      <c r="T631" s="2"/>
      <c r="U631" s="2"/>
      <c r="V631" s="2"/>
      <c r="W631" s="2"/>
      <c r="X631" s="2"/>
      <c r="Y631" s="2"/>
      <c r="Z631" s="2"/>
      <c r="AA631" s="2"/>
    </row>
    <row r="632" spans="1:27" ht="13.15">
      <c r="A632" s="12"/>
      <c r="B632" s="45"/>
      <c r="C632" s="45"/>
      <c r="D632" s="45"/>
      <c r="E632" s="45"/>
      <c r="F632" s="45"/>
      <c r="G632" s="45"/>
      <c r="H632" s="45"/>
      <c r="I632" s="45"/>
      <c r="J632" s="45"/>
      <c r="K632" s="45"/>
      <c r="L632" s="45"/>
      <c r="M632" s="45"/>
      <c r="N632" s="2"/>
      <c r="O632" s="2"/>
      <c r="P632" s="2"/>
      <c r="Q632" s="2"/>
      <c r="R632" s="2"/>
      <c r="S632" s="2"/>
      <c r="T632" s="2"/>
      <c r="U632" s="2"/>
      <c r="V632" s="2"/>
      <c r="W632" s="2"/>
      <c r="X632" s="2"/>
      <c r="Y632" s="2"/>
      <c r="Z632" s="2"/>
      <c r="AA632" s="2"/>
    </row>
    <row r="633" spans="1:27" ht="13.15">
      <c r="A633" s="12"/>
      <c r="B633" s="45"/>
      <c r="C633" s="45"/>
      <c r="D633" s="45"/>
      <c r="E633" s="45"/>
      <c r="F633" s="45"/>
      <c r="G633" s="45"/>
      <c r="H633" s="45"/>
      <c r="I633" s="45"/>
      <c r="J633" s="45"/>
      <c r="K633" s="45"/>
      <c r="L633" s="45"/>
      <c r="M633" s="45"/>
      <c r="N633" s="2"/>
      <c r="O633" s="2"/>
      <c r="P633" s="2"/>
      <c r="Q633" s="2"/>
      <c r="R633" s="2"/>
      <c r="S633" s="2"/>
      <c r="T633" s="2"/>
      <c r="U633" s="2"/>
      <c r="V633" s="2"/>
      <c r="W633" s="2"/>
      <c r="X633" s="2"/>
      <c r="Y633" s="2"/>
      <c r="Z633" s="2"/>
      <c r="AA633" s="2"/>
    </row>
    <row r="634" spans="1:27" ht="13.15">
      <c r="A634" s="12"/>
      <c r="B634" s="45"/>
      <c r="C634" s="45"/>
      <c r="D634" s="45"/>
      <c r="E634" s="45"/>
      <c r="F634" s="45"/>
      <c r="G634" s="45"/>
      <c r="H634" s="45"/>
      <c r="I634" s="45"/>
      <c r="J634" s="45"/>
      <c r="K634" s="45"/>
      <c r="L634" s="45"/>
      <c r="M634" s="45"/>
      <c r="N634" s="2"/>
      <c r="O634" s="2"/>
      <c r="P634" s="2"/>
      <c r="Q634" s="2"/>
      <c r="R634" s="2"/>
      <c r="S634" s="2"/>
      <c r="T634" s="2"/>
      <c r="U634" s="2"/>
      <c r="V634" s="2"/>
      <c r="W634" s="2"/>
      <c r="X634" s="2"/>
      <c r="Y634" s="2"/>
      <c r="Z634" s="2"/>
      <c r="AA634" s="2"/>
    </row>
    <row r="635" spans="1:27" ht="13.15">
      <c r="A635" s="12"/>
      <c r="B635" s="45"/>
      <c r="C635" s="45"/>
      <c r="D635" s="45"/>
      <c r="E635" s="45"/>
      <c r="F635" s="45"/>
      <c r="G635" s="45"/>
      <c r="H635" s="45"/>
      <c r="I635" s="45"/>
      <c r="J635" s="45"/>
      <c r="K635" s="45"/>
      <c r="L635" s="45"/>
      <c r="M635" s="45"/>
      <c r="N635" s="2"/>
      <c r="O635" s="2"/>
      <c r="P635" s="2"/>
      <c r="Q635" s="2"/>
      <c r="R635" s="2"/>
      <c r="S635" s="2"/>
      <c r="T635" s="2"/>
      <c r="U635" s="2"/>
      <c r="V635" s="2"/>
      <c r="W635" s="2"/>
      <c r="X635" s="2"/>
      <c r="Y635" s="2"/>
      <c r="Z635" s="2"/>
      <c r="AA635" s="2"/>
    </row>
    <row r="636" spans="1:27" ht="13.15">
      <c r="A636" s="12"/>
      <c r="B636" s="45"/>
      <c r="C636" s="45"/>
      <c r="D636" s="45"/>
      <c r="E636" s="45"/>
      <c r="F636" s="45"/>
      <c r="G636" s="45"/>
      <c r="H636" s="45"/>
      <c r="I636" s="45"/>
      <c r="J636" s="45"/>
      <c r="K636" s="45"/>
      <c r="L636" s="45"/>
      <c r="M636" s="45"/>
      <c r="N636" s="2"/>
      <c r="O636" s="2"/>
      <c r="P636" s="2"/>
      <c r="Q636" s="2"/>
      <c r="R636" s="2"/>
      <c r="S636" s="2"/>
      <c r="T636" s="2"/>
      <c r="U636" s="2"/>
      <c r="V636" s="2"/>
      <c r="W636" s="2"/>
      <c r="X636" s="2"/>
      <c r="Y636" s="2"/>
      <c r="Z636" s="2"/>
      <c r="AA636" s="2"/>
    </row>
    <row r="637" spans="1:27" ht="13.15">
      <c r="A637" s="12"/>
      <c r="B637" s="45"/>
      <c r="C637" s="45"/>
      <c r="D637" s="45"/>
      <c r="E637" s="45"/>
      <c r="F637" s="45"/>
      <c r="G637" s="45"/>
      <c r="H637" s="45"/>
      <c r="I637" s="45"/>
      <c r="J637" s="45"/>
      <c r="K637" s="45"/>
      <c r="L637" s="45"/>
      <c r="M637" s="45"/>
      <c r="N637" s="2"/>
      <c r="O637" s="2"/>
      <c r="P637" s="2"/>
      <c r="Q637" s="2"/>
      <c r="R637" s="2"/>
      <c r="S637" s="2"/>
      <c r="T637" s="2"/>
      <c r="U637" s="2"/>
      <c r="V637" s="2"/>
      <c r="W637" s="2"/>
      <c r="X637" s="2"/>
      <c r="Y637" s="2"/>
      <c r="Z637" s="2"/>
      <c r="AA637" s="2"/>
    </row>
    <row r="638" spans="1:27" ht="13.15">
      <c r="A638" s="12"/>
      <c r="B638" s="45"/>
      <c r="C638" s="45"/>
      <c r="D638" s="45"/>
      <c r="E638" s="45"/>
      <c r="F638" s="45"/>
      <c r="G638" s="45"/>
      <c r="H638" s="45"/>
      <c r="I638" s="45"/>
      <c r="J638" s="45"/>
      <c r="K638" s="45"/>
      <c r="L638" s="45"/>
      <c r="M638" s="45"/>
      <c r="N638" s="2"/>
      <c r="O638" s="2"/>
      <c r="P638" s="2"/>
      <c r="Q638" s="2"/>
      <c r="R638" s="2"/>
      <c r="S638" s="2"/>
      <c r="T638" s="2"/>
      <c r="U638" s="2"/>
      <c r="V638" s="2"/>
      <c r="W638" s="2"/>
      <c r="X638" s="2"/>
      <c r="Y638" s="2"/>
      <c r="Z638" s="2"/>
      <c r="AA638" s="2"/>
    </row>
    <row r="639" spans="1:27" ht="13.15">
      <c r="A639" s="12"/>
      <c r="B639" s="45"/>
      <c r="C639" s="45"/>
      <c r="D639" s="45"/>
      <c r="E639" s="45"/>
      <c r="F639" s="45"/>
      <c r="G639" s="45"/>
      <c r="H639" s="45"/>
      <c r="I639" s="45"/>
      <c r="J639" s="45"/>
      <c r="K639" s="45"/>
      <c r="L639" s="45"/>
      <c r="M639" s="45"/>
      <c r="N639" s="2"/>
      <c r="O639" s="2"/>
      <c r="P639" s="2"/>
      <c r="Q639" s="2"/>
      <c r="R639" s="2"/>
      <c r="S639" s="2"/>
      <c r="T639" s="2"/>
      <c r="U639" s="2"/>
      <c r="V639" s="2"/>
      <c r="W639" s="2"/>
      <c r="X639" s="2"/>
      <c r="Y639" s="2"/>
      <c r="Z639" s="2"/>
      <c r="AA639" s="2"/>
    </row>
    <row r="640" spans="1:27" ht="13.15">
      <c r="A640" s="12"/>
      <c r="B640" s="45"/>
      <c r="C640" s="45"/>
      <c r="D640" s="45"/>
      <c r="E640" s="45"/>
      <c r="F640" s="45"/>
      <c r="G640" s="45"/>
      <c r="H640" s="45"/>
      <c r="I640" s="45"/>
      <c r="J640" s="45"/>
      <c r="K640" s="45"/>
      <c r="L640" s="45"/>
      <c r="M640" s="45"/>
      <c r="N640" s="2"/>
      <c r="O640" s="2"/>
      <c r="P640" s="2"/>
      <c r="Q640" s="2"/>
      <c r="R640" s="2"/>
      <c r="S640" s="2"/>
      <c r="T640" s="2"/>
      <c r="U640" s="2"/>
      <c r="V640" s="2"/>
      <c r="W640" s="2"/>
      <c r="X640" s="2"/>
      <c r="Y640" s="2"/>
      <c r="Z640" s="2"/>
      <c r="AA640" s="2"/>
    </row>
    <row r="641" spans="1:27" ht="13.15">
      <c r="A641" s="12"/>
      <c r="B641" s="45"/>
      <c r="C641" s="45"/>
      <c r="D641" s="45"/>
      <c r="E641" s="45"/>
      <c r="F641" s="45"/>
      <c r="G641" s="45"/>
      <c r="H641" s="45"/>
      <c r="I641" s="45"/>
      <c r="J641" s="45"/>
      <c r="K641" s="45"/>
      <c r="L641" s="45"/>
      <c r="M641" s="45"/>
      <c r="N641" s="2"/>
      <c r="O641" s="2"/>
      <c r="P641" s="2"/>
      <c r="Q641" s="2"/>
      <c r="R641" s="2"/>
      <c r="S641" s="2"/>
      <c r="T641" s="2"/>
      <c r="U641" s="2"/>
      <c r="V641" s="2"/>
      <c r="W641" s="2"/>
      <c r="X641" s="2"/>
      <c r="Y641" s="2"/>
      <c r="Z641" s="2"/>
      <c r="AA641" s="2"/>
    </row>
    <row r="642" spans="1:27" ht="13.15">
      <c r="A642" s="12"/>
      <c r="B642" s="45"/>
      <c r="C642" s="45"/>
      <c r="D642" s="45"/>
      <c r="E642" s="45"/>
      <c r="F642" s="45"/>
      <c r="G642" s="45"/>
      <c r="H642" s="45"/>
      <c r="I642" s="45"/>
      <c r="J642" s="45"/>
      <c r="K642" s="45"/>
      <c r="L642" s="45"/>
      <c r="M642" s="45"/>
      <c r="N642" s="2"/>
      <c r="O642" s="2"/>
      <c r="P642" s="2"/>
      <c r="Q642" s="2"/>
      <c r="R642" s="2"/>
      <c r="S642" s="2"/>
      <c r="T642" s="2"/>
      <c r="U642" s="2"/>
      <c r="V642" s="2"/>
      <c r="W642" s="2"/>
      <c r="X642" s="2"/>
      <c r="Y642" s="2"/>
      <c r="Z642" s="2"/>
      <c r="AA642" s="2"/>
    </row>
    <row r="643" spans="1:27" ht="13.15">
      <c r="A643" s="12"/>
      <c r="B643" s="45"/>
      <c r="C643" s="45"/>
      <c r="D643" s="45"/>
      <c r="E643" s="45"/>
      <c r="F643" s="45"/>
      <c r="G643" s="45"/>
      <c r="H643" s="45"/>
      <c r="I643" s="45"/>
      <c r="J643" s="45"/>
      <c r="K643" s="45"/>
      <c r="L643" s="45"/>
      <c r="M643" s="45"/>
      <c r="N643" s="2"/>
      <c r="O643" s="2"/>
      <c r="P643" s="2"/>
      <c r="Q643" s="2"/>
      <c r="R643" s="2"/>
      <c r="S643" s="2"/>
      <c r="T643" s="2"/>
      <c r="U643" s="2"/>
      <c r="V643" s="2"/>
      <c r="W643" s="2"/>
      <c r="X643" s="2"/>
      <c r="Y643" s="2"/>
      <c r="Z643" s="2"/>
      <c r="AA643" s="2"/>
    </row>
    <row r="644" spans="1:27" ht="13.15">
      <c r="A644" s="12"/>
      <c r="B644" s="45"/>
      <c r="C644" s="45"/>
      <c r="D644" s="45"/>
      <c r="E644" s="45"/>
      <c r="F644" s="45"/>
      <c r="G644" s="45"/>
      <c r="H644" s="45"/>
      <c r="I644" s="45"/>
      <c r="J644" s="45"/>
      <c r="K644" s="45"/>
      <c r="L644" s="45"/>
      <c r="M644" s="45"/>
      <c r="N644" s="2"/>
      <c r="O644" s="2"/>
      <c r="P644" s="2"/>
      <c r="Q644" s="2"/>
      <c r="R644" s="2"/>
      <c r="S644" s="2"/>
      <c r="T644" s="2"/>
      <c r="U644" s="2"/>
      <c r="V644" s="2"/>
      <c r="W644" s="2"/>
      <c r="X644" s="2"/>
      <c r="Y644" s="2"/>
      <c r="Z644" s="2"/>
      <c r="AA644" s="2"/>
    </row>
    <row r="645" spans="1:27" ht="13.15">
      <c r="A645" s="12"/>
      <c r="B645" s="45"/>
      <c r="C645" s="45"/>
      <c r="D645" s="45"/>
      <c r="E645" s="45"/>
      <c r="F645" s="45"/>
      <c r="G645" s="45"/>
      <c r="H645" s="45"/>
      <c r="I645" s="45"/>
      <c r="J645" s="45"/>
      <c r="K645" s="45"/>
      <c r="L645" s="45"/>
      <c r="M645" s="45"/>
      <c r="N645" s="2"/>
      <c r="O645" s="2"/>
      <c r="P645" s="2"/>
      <c r="Q645" s="2"/>
      <c r="R645" s="2"/>
      <c r="S645" s="2"/>
      <c r="T645" s="2"/>
      <c r="U645" s="2"/>
      <c r="V645" s="2"/>
      <c r="W645" s="2"/>
      <c r="X645" s="2"/>
      <c r="Y645" s="2"/>
      <c r="Z645" s="2"/>
      <c r="AA645" s="2"/>
    </row>
    <row r="646" spans="1:27" ht="13.15">
      <c r="A646" s="12"/>
      <c r="B646" s="45"/>
      <c r="C646" s="45"/>
      <c r="D646" s="45"/>
      <c r="E646" s="45"/>
      <c r="F646" s="45"/>
      <c r="G646" s="45"/>
      <c r="H646" s="45"/>
      <c r="I646" s="45"/>
      <c r="J646" s="45"/>
      <c r="K646" s="45"/>
      <c r="L646" s="45"/>
      <c r="M646" s="45"/>
      <c r="N646" s="2"/>
      <c r="O646" s="2"/>
      <c r="P646" s="2"/>
      <c r="Q646" s="2"/>
      <c r="R646" s="2"/>
      <c r="S646" s="2"/>
      <c r="T646" s="2"/>
      <c r="U646" s="2"/>
      <c r="V646" s="2"/>
      <c r="W646" s="2"/>
      <c r="X646" s="2"/>
      <c r="Y646" s="2"/>
      <c r="Z646" s="2"/>
      <c r="AA646" s="2"/>
    </row>
    <row r="647" spans="1:27" ht="13.15">
      <c r="A647" s="12"/>
      <c r="B647" s="45"/>
      <c r="C647" s="45"/>
      <c r="D647" s="45"/>
      <c r="E647" s="45"/>
      <c r="F647" s="45"/>
      <c r="G647" s="45"/>
      <c r="H647" s="45"/>
      <c r="I647" s="45"/>
      <c r="J647" s="45"/>
      <c r="K647" s="45"/>
      <c r="L647" s="45"/>
      <c r="M647" s="45"/>
      <c r="N647" s="2"/>
      <c r="O647" s="2"/>
      <c r="P647" s="2"/>
      <c r="Q647" s="2"/>
      <c r="R647" s="2"/>
      <c r="S647" s="2"/>
      <c r="T647" s="2"/>
      <c r="U647" s="2"/>
      <c r="V647" s="2"/>
      <c r="W647" s="2"/>
      <c r="X647" s="2"/>
      <c r="Y647" s="2"/>
      <c r="Z647" s="2"/>
      <c r="AA647" s="2"/>
    </row>
    <row r="648" spans="1:27" ht="13.15">
      <c r="A648" s="12"/>
      <c r="B648" s="45"/>
      <c r="C648" s="45"/>
      <c r="D648" s="45"/>
      <c r="E648" s="45"/>
      <c r="F648" s="45"/>
      <c r="G648" s="45"/>
      <c r="H648" s="45"/>
      <c r="I648" s="45"/>
      <c r="J648" s="45"/>
      <c r="K648" s="45"/>
      <c r="L648" s="45"/>
      <c r="M648" s="45"/>
      <c r="N648" s="2"/>
      <c r="O648" s="2"/>
      <c r="P648" s="2"/>
      <c r="Q648" s="2"/>
      <c r="R648" s="2"/>
      <c r="S648" s="2"/>
      <c r="T648" s="2"/>
      <c r="U648" s="2"/>
      <c r="V648" s="2"/>
      <c r="W648" s="2"/>
      <c r="X648" s="2"/>
      <c r="Y648" s="2"/>
      <c r="Z648" s="2"/>
      <c r="AA648" s="2"/>
    </row>
    <row r="649" spans="1:27" ht="13.15">
      <c r="A649" s="12"/>
      <c r="B649" s="45"/>
      <c r="C649" s="45"/>
      <c r="D649" s="45"/>
      <c r="E649" s="45"/>
      <c r="F649" s="45"/>
      <c r="G649" s="45"/>
      <c r="H649" s="45"/>
      <c r="I649" s="45"/>
      <c r="J649" s="45"/>
      <c r="K649" s="45"/>
      <c r="L649" s="45"/>
      <c r="M649" s="45"/>
      <c r="N649" s="2"/>
      <c r="O649" s="2"/>
      <c r="P649" s="2"/>
      <c r="Q649" s="2"/>
      <c r="R649" s="2"/>
      <c r="S649" s="2"/>
      <c r="T649" s="2"/>
      <c r="U649" s="2"/>
      <c r="V649" s="2"/>
      <c r="W649" s="2"/>
      <c r="X649" s="2"/>
      <c r="Y649" s="2"/>
      <c r="Z649" s="2"/>
      <c r="AA649" s="2"/>
    </row>
    <row r="650" spans="1:27" ht="13.15">
      <c r="A650" s="12"/>
      <c r="B650" s="45"/>
      <c r="C650" s="45"/>
      <c r="D650" s="45"/>
      <c r="E650" s="45"/>
      <c r="F650" s="45"/>
      <c r="G650" s="45"/>
      <c r="H650" s="45"/>
      <c r="I650" s="45"/>
      <c r="J650" s="45"/>
      <c r="K650" s="45"/>
      <c r="L650" s="45"/>
      <c r="M650" s="45"/>
      <c r="N650" s="2"/>
      <c r="O650" s="2"/>
      <c r="P650" s="2"/>
      <c r="Q650" s="2"/>
      <c r="R650" s="2"/>
      <c r="S650" s="2"/>
      <c r="T650" s="2"/>
      <c r="U650" s="2"/>
      <c r="V650" s="2"/>
      <c r="W650" s="2"/>
      <c r="X650" s="2"/>
      <c r="Y650" s="2"/>
      <c r="Z650" s="2"/>
      <c r="AA650" s="2"/>
    </row>
    <row r="651" spans="1:27" ht="13.15">
      <c r="A651" s="12"/>
      <c r="B651" s="45"/>
      <c r="C651" s="45"/>
      <c r="D651" s="45"/>
      <c r="E651" s="45"/>
      <c r="F651" s="45"/>
      <c r="G651" s="45"/>
      <c r="H651" s="45"/>
      <c r="I651" s="45"/>
      <c r="J651" s="45"/>
      <c r="K651" s="45"/>
      <c r="L651" s="45"/>
      <c r="M651" s="45"/>
      <c r="N651" s="2"/>
      <c r="O651" s="2"/>
      <c r="P651" s="2"/>
      <c r="Q651" s="2"/>
      <c r="R651" s="2"/>
      <c r="S651" s="2"/>
      <c r="T651" s="2"/>
      <c r="U651" s="2"/>
      <c r="V651" s="2"/>
      <c r="W651" s="2"/>
      <c r="X651" s="2"/>
      <c r="Y651" s="2"/>
      <c r="Z651" s="2"/>
      <c r="AA651" s="2"/>
    </row>
    <row r="652" spans="1:27" ht="13.15">
      <c r="A652" s="12"/>
      <c r="B652" s="45"/>
      <c r="C652" s="45"/>
      <c r="D652" s="45"/>
      <c r="E652" s="45"/>
      <c r="F652" s="45"/>
      <c r="G652" s="45"/>
      <c r="H652" s="45"/>
      <c r="I652" s="45"/>
      <c r="J652" s="45"/>
      <c r="K652" s="45"/>
      <c r="L652" s="45"/>
      <c r="M652" s="45"/>
      <c r="N652" s="2"/>
      <c r="O652" s="2"/>
      <c r="P652" s="2"/>
      <c r="Q652" s="2"/>
      <c r="R652" s="2"/>
      <c r="S652" s="2"/>
      <c r="T652" s="2"/>
      <c r="U652" s="2"/>
      <c r="V652" s="2"/>
      <c r="W652" s="2"/>
      <c r="X652" s="2"/>
      <c r="Y652" s="2"/>
      <c r="Z652" s="2"/>
      <c r="AA652" s="2"/>
    </row>
    <row r="653" spans="1:27" ht="13.15">
      <c r="A653" s="12"/>
      <c r="B653" s="45"/>
      <c r="C653" s="45"/>
      <c r="D653" s="45"/>
      <c r="E653" s="45"/>
      <c r="F653" s="45"/>
      <c r="G653" s="45"/>
      <c r="H653" s="45"/>
      <c r="I653" s="45"/>
      <c r="J653" s="45"/>
      <c r="K653" s="45"/>
      <c r="L653" s="45"/>
      <c r="M653" s="45"/>
      <c r="N653" s="2"/>
      <c r="O653" s="2"/>
      <c r="P653" s="2"/>
      <c r="Q653" s="2"/>
      <c r="R653" s="2"/>
      <c r="S653" s="2"/>
      <c r="T653" s="2"/>
      <c r="U653" s="2"/>
      <c r="V653" s="2"/>
      <c r="W653" s="2"/>
      <c r="X653" s="2"/>
      <c r="Y653" s="2"/>
      <c r="Z653" s="2"/>
      <c r="AA653" s="2"/>
    </row>
    <row r="654" spans="1:27" ht="13.15">
      <c r="A654" s="12"/>
      <c r="B654" s="45"/>
      <c r="C654" s="45"/>
      <c r="D654" s="45"/>
      <c r="E654" s="45"/>
      <c r="F654" s="45"/>
      <c r="G654" s="45"/>
      <c r="H654" s="45"/>
      <c r="I654" s="45"/>
      <c r="J654" s="45"/>
      <c r="K654" s="45"/>
      <c r="L654" s="45"/>
      <c r="M654" s="45"/>
      <c r="N654" s="2"/>
      <c r="O654" s="2"/>
      <c r="P654" s="2"/>
      <c r="Q654" s="2"/>
      <c r="R654" s="2"/>
      <c r="S654" s="2"/>
      <c r="T654" s="2"/>
      <c r="U654" s="2"/>
      <c r="V654" s="2"/>
      <c r="W654" s="2"/>
      <c r="X654" s="2"/>
      <c r="Y654" s="2"/>
      <c r="Z654" s="2"/>
      <c r="AA654" s="2"/>
    </row>
    <row r="655" spans="1:27" ht="13.15">
      <c r="A655" s="12"/>
      <c r="B655" s="45"/>
      <c r="C655" s="45"/>
      <c r="D655" s="45"/>
      <c r="E655" s="45"/>
      <c r="F655" s="45"/>
      <c r="G655" s="45"/>
      <c r="H655" s="45"/>
      <c r="I655" s="45"/>
      <c r="J655" s="45"/>
      <c r="K655" s="45"/>
      <c r="L655" s="45"/>
      <c r="M655" s="45"/>
      <c r="N655" s="2"/>
      <c r="O655" s="2"/>
      <c r="P655" s="2"/>
      <c r="Q655" s="2"/>
      <c r="R655" s="2"/>
      <c r="S655" s="2"/>
      <c r="T655" s="2"/>
      <c r="U655" s="2"/>
      <c r="V655" s="2"/>
      <c r="W655" s="2"/>
      <c r="X655" s="2"/>
      <c r="Y655" s="2"/>
      <c r="Z655" s="2"/>
      <c r="AA655" s="2"/>
    </row>
    <row r="656" spans="1:27" ht="13.15">
      <c r="A656" s="12"/>
      <c r="B656" s="45"/>
      <c r="C656" s="45"/>
      <c r="D656" s="45"/>
      <c r="E656" s="45"/>
      <c r="F656" s="45"/>
      <c r="G656" s="45"/>
      <c r="H656" s="45"/>
      <c r="I656" s="45"/>
      <c r="J656" s="45"/>
      <c r="K656" s="45"/>
      <c r="L656" s="45"/>
      <c r="M656" s="45"/>
      <c r="N656" s="2"/>
      <c r="O656" s="2"/>
      <c r="P656" s="2"/>
      <c r="Q656" s="2"/>
      <c r="R656" s="2"/>
      <c r="S656" s="2"/>
      <c r="T656" s="2"/>
      <c r="U656" s="2"/>
      <c r="V656" s="2"/>
      <c r="W656" s="2"/>
      <c r="X656" s="2"/>
      <c r="Y656" s="2"/>
      <c r="Z656" s="2"/>
      <c r="AA656" s="2"/>
    </row>
    <row r="657" spans="1:27" ht="13.15">
      <c r="A657" s="12"/>
      <c r="B657" s="45"/>
      <c r="C657" s="45"/>
      <c r="D657" s="45"/>
      <c r="E657" s="45"/>
      <c r="F657" s="45"/>
      <c r="G657" s="45"/>
      <c r="H657" s="45"/>
      <c r="I657" s="45"/>
      <c r="J657" s="45"/>
      <c r="K657" s="45"/>
      <c r="L657" s="45"/>
      <c r="M657" s="45"/>
      <c r="N657" s="2"/>
      <c r="O657" s="2"/>
      <c r="P657" s="2"/>
      <c r="Q657" s="2"/>
      <c r="R657" s="2"/>
      <c r="S657" s="2"/>
      <c r="T657" s="2"/>
      <c r="U657" s="2"/>
      <c r="V657" s="2"/>
      <c r="W657" s="2"/>
      <c r="X657" s="2"/>
      <c r="Y657" s="2"/>
      <c r="Z657" s="2"/>
      <c r="AA657" s="2"/>
    </row>
    <row r="658" spans="1:27" ht="13.15">
      <c r="A658" s="12"/>
      <c r="B658" s="45"/>
      <c r="C658" s="45"/>
      <c r="D658" s="45"/>
      <c r="E658" s="45"/>
      <c r="F658" s="45"/>
      <c r="G658" s="45"/>
      <c r="H658" s="45"/>
      <c r="I658" s="45"/>
      <c r="J658" s="45"/>
      <c r="K658" s="45"/>
      <c r="L658" s="45"/>
      <c r="M658" s="45"/>
      <c r="N658" s="2"/>
      <c r="O658" s="2"/>
      <c r="P658" s="2"/>
      <c r="Q658" s="2"/>
      <c r="R658" s="2"/>
      <c r="S658" s="2"/>
      <c r="T658" s="2"/>
      <c r="U658" s="2"/>
      <c r="V658" s="2"/>
      <c r="W658" s="2"/>
      <c r="X658" s="2"/>
      <c r="Y658" s="2"/>
      <c r="Z658" s="2"/>
      <c r="AA658" s="2"/>
    </row>
    <row r="659" spans="1:27" ht="13.15">
      <c r="A659" s="12"/>
      <c r="B659" s="45"/>
      <c r="C659" s="45"/>
      <c r="D659" s="45"/>
      <c r="E659" s="45"/>
      <c r="F659" s="45"/>
      <c r="G659" s="45"/>
      <c r="H659" s="45"/>
      <c r="I659" s="45"/>
      <c r="J659" s="45"/>
      <c r="K659" s="45"/>
      <c r="L659" s="45"/>
      <c r="M659" s="45"/>
      <c r="N659" s="2"/>
      <c r="O659" s="2"/>
      <c r="P659" s="2"/>
      <c r="Q659" s="2"/>
      <c r="R659" s="2"/>
      <c r="S659" s="2"/>
      <c r="T659" s="2"/>
      <c r="U659" s="2"/>
      <c r="V659" s="2"/>
      <c r="W659" s="2"/>
      <c r="X659" s="2"/>
      <c r="Y659" s="2"/>
      <c r="Z659" s="2"/>
      <c r="AA659" s="2"/>
    </row>
    <row r="660" spans="1:27" ht="13.15">
      <c r="A660" s="12"/>
      <c r="B660" s="45"/>
      <c r="C660" s="45"/>
      <c r="D660" s="45"/>
      <c r="E660" s="45"/>
      <c r="F660" s="45"/>
      <c r="G660" s="45"/>
      <c r="H660" s="45"/>
      <c r="I660" s="45"/>
      <c r="J660" s="45"/>
      <c r="K660" s="45"/>
      <c r="L660" s="45"/>
      <c r="M660" s="45"/>
      <c r="N660" s="2"/>
      <c r="O660" s="2"/>
      <c r="P660" s="2"/>
      <c r="Q660" s="2"/>
      <c r="R660" s="2"/>
      <c r="S660" s="2"/>
      <c r="T660" s="2"/>
      <c r="U660" s="2"/>
      <c r="V660" s="2"/>
      <c r="W660" s="2"/>
      <c r="X660" s="2"/>
      <c r="Y660" s="2"/>
      <c r="Z660" s="2"/>
      <c r="AA660" s="2"/>
    </row>
    <row r="661" spans="1:27" ht="13.15">
      <c r="A661" s="12"/>
      <c r="B661" s="45"/>
      <c r="C661" s="45"/>
      <c r="D661" s="45"/>
      <c r="E661" s="45"/>
      <c r="F661" s="45"/>
      <c r="G661" s="45"/>
      <c r="H661" s="45"/>
      <c r="I661" s="45"/>
      <c r="J661" s="45"/>
      <c r="K661" s="45"/>
      <c r="L661" s="45"/>
      <c r="M661" s="45"/>
      <c r="N661" s="2"/>
      <c r="O661" s="2"/>
      <c r="P661" s="2"/>
      <c r="Q661" s="2"/>
      <c r="R661" s="2"/>
      <c r="S661" s="2"/>
      <c r="T661" s="2"/>
      <c r="U661" s="2"/>
      <c r="V661" s="2"/>
      <c r="W661" s="2"/>
      <c r="X661" s="2"/>
      <c r="Y661" s="2"/>
      <c r="Z661" s="2"/>
      <c r="AA661" s="2"/>
    </row>
    <row r="662" spans="1:27" ht="13.15">
      <c r="A662" s="12"/>
      <c r="B662" s="45"/>
      <c r="C662" s="45"/>
      <c r="D662" s="45"/>
      <c r="E662" s="45"/>
      <c r="F662" s="45"/>
      <c r="G662" s="45"/>
      <c r="H662" s="45"/>
      <c r="I662" s="45"/>
      <c r="J662" s="45"/>
      <c r="K662" s="45"/>
      <c r="L662" s="45"/>
      <c r="M662" s="45"/>
      <c r="N662" s="2"/>
      <c r="O662" s="2"/>
      <c r="P662" s="2"/>
      <c r="Q662" s="2"/>
      <c r="R662" s="2"/>
      <c r="S662" s="2"/>
      <c r="T662" s="2"/>
      <c r="U662" s="2"/>
      <c r="V662" s="2"/>
      <c r="W662" s="2"/>
      <c r="X662" s="2"/>
      <c r="Y662" s="2"/>
      <c r="Z662" s="2"/>
      <c r="AA662" s="2"/>
    </row>
    <row r="663" spans="1:27" ht="13.15">
      <c r="A663" s="12"/>
      <c r="B663" s="45"/>
      <c r="C663" s="45"/>
      <c r="D663" s="45"/>
      <c r="E663" s="45"/>
      <c r="F663" s="45"/>
      <c r="G663" s="45"/>
      <c r="H663" s="45"/>
      <c r="I663" s="45"/>
      <c r="J663" s="45"/>
      <c r="K663" s="45"/>
      <c r="L663" s="45"/>
      <c r="M663" s="45"/>
      <c r="N663" s="2"/>
      <c r="O663" s="2"/>
      <c r="P663" s="2"/>
      <c r="Q663" s="2"/>
      <c r="R663" s="2"/>
      <c r="S663" s="2"/>
      <c r="T663" s="2"/>
      <c r="U663" s="2"/>
      <c r="V663" s="2"/>
      <c r="W663" s="2"/>
      <c r="X663" s="2"/>
      <c r="Y663" s="2"/>
      <c r="Z663" s="2"/>
      <c r="AA663" s="2"/>
    </row>
    <row r="664" spans="1:27" ht="13.15">
      <c r="A664" s="12"/>
      <c r="B664" s="45"/>
      <c r="C664" s="45"/>
      <c r="D664" s="45"/>
      <c r="E664" s="45"/>
      <c r="F664" s="45"/>
      <c r="G664" s="45"/>
      <c r="H664" s="45"/>
      <c r="I664" s="45"/>
      <c r="J664" s="45"/>
      <c r="K664" s="45"/>
      <c r="L664" s="45"/>
      <c r="M664" s="45"/>
      <c r="N664" s="2"/>
      <c r="O664" s="2"/>
      <c r="P664" s="2"/>
      <c r="Q664" s="2"/>
      <c r="R664" s="2"/>
      <c r="S664" s="2"/>
      <c r="T664" s="2"/>
      <c r="U664" s="2"/>
      <c r="V664" s="2"/>
      <c r="W664" s="2"/>
      <c r="X664" s="2"/>
      <c r="Y664" s="2"/>
      <c r="Z664" s="2"/>
      <c r="AA664" s="2"/>
    </row>
    <row r="665" spans="1:27" ht="13.15">
      <c r="A665" s="12"/>
      <c r="B665" s="45"/>
      <c r="C665" s="45"/>
      <c r="D665" s="45"/>
      <c r="E665" s="45"/>
      <c r="F665" s="45"/>
      <c r="G665" s="45"/>
      <c r="H665" s="45"/>
      <c r="I665" s="45"/>
      <c r="J665" s="45"/>
      <c r="K665" s="45"/>
      <c r="L665" s="45"/>
      <c r="M665" s="45"/>
      <c r="N665" s="2"/>
      <c r="O665" s="2"/>
      <c r="P665" s="2"/>
      <c r="Q665" s="2"/>
      <c r="R665" s="2"/>
      <c r="S665" s="2"/>
      <c r="T665" s="2"/>
      <c r="U665" s="2"/>
      <c r="V665" s="2"/>
      <c r="W665" s="2"/>
      <c r="X665" s="2"/>
      <c r="Y665" s="2"/>
      <c r="Z665" s="2"/>
      <c r="AA665" s="2"/>
    </row>
    <row r="666" spans="1:27" ht="13.15">
      <c r="A666" s="12"/>
      <c r="B666" s="45"/>
      <c r="C666" s="45"/>
      <c r="D666" s="45"/>
      <c r="E666" s="45"/>
      <c r="F666" s="45"/>
      <c r="G666" s="45"/>
      <c r="H666" s="45"/>
      <c r="I666" s="45"/>
      <c r="J666" s="45"/>
      <c r="K666" s="45"/>
      <c r="L666" s="45"/>
      <c r="M666" s="45"/>
      <c r="N666" s="2"/>
      <c r="O666" s="2"/>
      <c r="P666" s="2"/>
      <c r="Q666" s="2"/>
      <c r="R666" s="2"/>
      <c r="S666" s="2"/>
      <c r="T666" s="2"/>
      <c r="U666" s="2"/>
      <c r="V666" s="2"/>
      <c r="W666" s="2"/>
      <c r="X666" s="2"/>
      <c r="Y666" s="2"/>
      <c r="Z666" s="2"/>
      <c r="AA666" s="2"/>
    </row>
    <row r="667" spans="1:27" ht="13.15">
      <c r="A667" s="12"/>
      <c r="B667" s="45"/>
      <c r="C667" s="45"/>
      <c r="D667" s="45"/>
      <c r="E667" s="45"/>
      <c r="F667" s="45"/>
      <c r="G667" s="45"/>
      <c r="H667" s="45"/>
      <c r="I667" s="45"/>
      <c r="J667" s="45"/>
      <c r="K667" s="45"/>
      <c r="L667" s="45"/>
      <c r="M667" s="45"/>
      <c r="N667" s="2"/>
      <c r="O667" s="2"/>
      <c r="P667" s="2"/>
      <c r="Q667" s="2"/>
      <c r="R667" s="2"/>
      <c r="S667" s="2"/>
      <c r="T667" s="2"/>
      <c r="U667" s="2"/>
      <c r="V667" s="2"/>
      <c r="W667" s="2"/>
      <c r="X667" s="2"/>
      <c r="Y667" s="2"/>
      <c r="Z667" s="2"/>
      <c r="AA667" s="2"/>
    </row>
    <row r="668" spans="1:27" ht="13.15">
      <c r="A668" s="12"/>
      <c r="B668" s="45"/>
      <c r="C668" s="45"/>
      <c r="D668" s="45"/>
      <c r="E668" s="45"/>
      <c r="F668" s="45"/>
      <c r="G668" s="45"/>
      <c r="H668" s="45"/>
      <c r="I668" s="45"/>
      <c r="J668" s="45"/>
      <c r="K668" s="45"/>
      <c r="L668" s="45"/>
      <c r="M668" s="45"/>
      <c r="N668" s="2"/>
      <c r="O668" s="2"/>
      <c r="P668" s="2"/>
      <c r="Q668" s="2"/>
      <c r="R668" s="2"/>
      <c r="S668" s="2"/>
      <c r="T668" s="2"/>
      <c r="U668" s="2"/>
      <c r="V668" s="2"/>
      <c r="W668" s="2"/>
      <c r="X668" s="2"/>
      <c r="Y668" s="2"/>
      <c r="Z668" s="2"/>
      <c r="AA668" s="2"/>
    </row>
    <row r="669" spans="1:27" ht="13.15">
      <c r="A669" s="12"/>
      <c r="B669" s="45"/>
      <c r="C669" s="45"/>
      <c r="D669" s="45"/>
      <c r="E669" s="45"/>
      <c r="F669" s="45"/>
      <c r="G669" s="45"/>
      <c r="H669" s="45"/>
      <c r="I669" s="45"/>
      <c r="J669" s="45"/>
      <c r="K669" s="45"/>
      <c r="L669" s="45"/>
      <c r="M669" s="45"/>
      <c r="N669" s="2"/>
      <c r="O669" s="2"/>
      <c r="P669" s="2"/>
      <c r="Q669" s="2"/>
      <c r="R669" s="2"/>
      <c r="S669" s="2"/>
      <c r="T669" s="2"/>
      <c r="U669" s="2"/>
      <c r="V669" s="2"/>
      <c r="W669" s="2"/>
      <c r="X669" s="2"/>
      <c r="Y669" s="2"/>
      <c r="Z669" s="2"/>
      <c r="AA669" s="2"/>
    </row>
    <row r="670" spans="1:27" ht="13.15">
      <c r="A670" s="12"/>
      <c r="B670" s="45"/>
      <c r="C670" s="45"/>
      <c r="D670" s="45"/>
      <c r="E670" s="45"/>
      <c r="F670" s="45"/>
      <c r="G670" s="45"/>
      <c r="H670" s="45"/>
      <c r="I670" s="45"/>
      <c r="J670" s="45"/>
      <c r="K670" s="45"/>
      <c r="L670" s="45"/>
      <c r="M670" s="45"/>
      <c r="N670" s="2"/>
      <c r="O670" s="2"/>
      <c r="P670" s="2"/>
      <c r="Q670" s="2"/>
      <c r="R670" s="2"/>
      <c r="S670" s="2"/>
      <c r="T670" s="2"/>
      <c r="U670" s="2"/>
      <c r="V670" s="2"/>
      <c r="W670" s="2"/>
      <c r="X670" s="2"/>
      <c r="Y670" s="2"/>
      <c r="Z670" s="2"/>
      <c r="AA670" s="2"/>
    </row>
    <row r="671" spans="1:27" ht="13.15">
      <c r="A671" s="12"/>
      <c r="B671" s="45"/>
      <c r="C671" s="45"/>
      <c r="D671" s="45"/>
      <c r="E671" s="45"/>
      <c r="F671" s="45"/>
      <c r="G671" s="45"/>
      <c r="H671" s="45"/>
      <c r="I671" s="45"/>
      <c r="J671" s="45"/>
      <c r="K671" s="45"/>
      <c r="L671" s="45"/>
      <c r="M671" s="45"/>
      <c r="N671" s="2"/>
      <c r="O671" s="2"/>
      <c r="P671" s="2"/>
      <c r="Q671" s="2"/>
      <c r="R671" s="2"/>
      <c r="S671" s="2"/>
      <c r="T671" s="2"/>
      <c r="U671" s="2"/>
      <c r="V671" s="2"/>
      <c r="W671" s="2"/>
      <c r="X671" s="2"/>
      <c r="Y671" s="2"/>
      <c r="Z671" s="2"/>
      <c r="AA671" s="2"/>
    </row>
    <row r="672" spans="1:27" ht="13.15">
      <c r="A672" s="12"/>
      <c r="B672" s="45"/>
      <c r="C672" s="45"/>
      <c r="D672" s="45"/>
      <c r="E672" s="45"/>
      <c r="F672" s="45"/>
      <c r="G672" s="45"/>
      <c r="H672" s="45"/>
      <c r="I672" s="45"/>
      <c r="J672" s="45"/>
      <c r="K672" s="45"/>
      <c r="L672" s="45"/>
      <c r="M672" s="45"/>
      <c r="N672" s="2"/>
      <c r="O672" s="2"/>
      <c r="P672" s="2"/>
      <c r="Q672" s="2"/>
      <c r="R672" s="2"/>
      <c r="S672" s="2"/>
      <c r="T672" s="2"/>
      <c r="U672" s="2"/>
      <c r="V672" s="2"/>
      <c r="W672" s="2"/>
      <c r="X672" s="2"/>
      <c r="Y672" s="2"/>
      <c r="Z672" s="2"/>
      <c r="AA672" s="2"/>
    </row>
    <row r="673" spans="1:27" ht="13.15">
      <c r="A673" s="12"/>
      <c r="B673" s="45"/>
      <c r="C673" s="45"/>
      <c r="D673" s="45"/>
      <c r="E673" s="45"/>
      <c r="F673" s="45"/>
      <c r="G673" s="45"/>
      <c r="H673" s="45"/>
      <c r="I673" s="45"/>
      <c r="J673" s="45"/>
      <c r="K673" s="45"/>
      <c r="L673" s="45"/>
      <c r="M673" s="45"/>
      <c r="N673" s="2"/>
      <c r="O673" s="2"/>
      <c r="P673" s="2"/>
      <c r="Q673" s="2"/>
      <c r="R673" s="2"/>
      <c r="S673" s="2"/>
      <c r="T673" s="2"/>
      <c r="U673" s="2"/>
      <c r="V673" s="2"/>
      <c r="W673" s="2"/>
      <c r="X673" s="2"/>
      <c r="Y673" s="2"/>
      <c r="Z673" s="2"/>
      <c r="AA673" s="2"/>
    </row>
    <row r="674" spans="1:27" ht="13.15">
      <c r="A674" s="12"/>
      <c r="B674" s="45"/>
      <c r="C674" s="45"/>
      <c r="D674" s="45"/>
      <c r="E674" s="45"/>
      <c r="F674" s="45"/>
      <c r="G674" s="45"/>
      <c r="H674" s="45"/>
      <c r="I674" s="45"/>
      <c r="J674" s="45"/>
      <c r="K674" s="45"/>
      <c r="L674" s="45"/>
      <c r="M674" s="45"/>
      <c r="N674" s="2"/>
      <c r="O674" s="2"/>
      <c r="P674" s="2"/>
      <c r="Q674" s="2"/>
      <c r="R674" s="2"/>
      <c r="S674" s="2"/>
      <c r="T674" s="2"/>
      <c r="U674" s="2"/>
      <c r="V674" s="2"/>
      <c r="W674" s="2"/>
      <c r="X674" s="2"/>
      <c r="Y674" s="2"/>
      <c r="Z674" s="2"/>
      <c r="AA674" s="2"/>
    </row>
    <row r="675" spans="1:27" ht="13.15">
      <c r="A675" s="12"/>
      <c r="B675" s="45"/>
      <c r="C675" s="45"/>
      <c r="D675" s="45"/>
      <c r="E675" s="45"/>
      <c r="F675" s="45"/>
      <c r="G675" s="45"/>
      <c r="H675" s="45"/>
      <c r="I675" s="45"/>
      <c r="J675" s="45"/>
      <c r="K675" s="45"/>
      <c r="L675" s="45"/>
      <c r="M675" s="45"/>
      <c r="N675" s="2"/>
      <c r="O675" s="2"/>
      <c r="P675" s="2"/>
      <c r="Q675" s="2"/>
      <c r="R675" s="2"/>
      <c r="S675" s="2"/>
      <c r="T675" s="2"/>
      <c r="U675" s="2"/>
      <c r="V675" s="2"/>
      <c r="W675" s="2"/>
      <c r="X675" s="2"/>
      <c r="Y675" s="2"/>
      <c r="Z675" s="2"/>
      <c r="AA675" s="2"/>
    </row>
    <row r="676" spans="1:27" ht="13.15">
      <c r="A676" s="12"/>
      <c r="B676" s="45"/>
      <c r="C676" s="45"/>
      <c r="D676" s="45"/>
      <c r="E676" s="45"/>
      <c r="F676" s="45"/>
      <c r="G676" s="45"/>
      <c r="H676" s="45"/>
      <c r="I676" s="45"/>
      <c r="J676" s="45"/>
      <c r="K676" s="45"/>
      <c r="L676" s="45"/>
      <c r="M676" s="45"/>
      <c r="N676" s="2"/>
      <c r="O676" s="2"/>
      <c r="P676" s="2"/>
      <c r="Q676" s="2"/>
      <c r="R676" s="2"/>
      <c r="S676" s="2"/>
      <c r="T676" s="2"/>
      <c r="U676" s="2"/>
      <c r="V676" s="2"/>
      <c r="W676" s="2"/>
      <c r="X676" s="2"/>
      <c r="Y676" s="2"/>
      <c r="Z676" s="2"/>
      <c r="AA676" s="2"/>
    </row>
    <row r="677" spans="1:27" ht="13.15">
      <c r="A677" s="12"/>
      <c r="B677" s="45"/>
      <c r="C677" s="45"/>
      <c r="D677" s="45"/>
      <c r="E677" s="45"/>
      <c r="F677" s="45"/>
      <c r="G677" s="45"/>
      <c r="H677" s="45"/>
      <c r="I677" s="45"/>
      <c r="J677" s="45"/>
      <c r="K677" s="45"/>
      <c r="L677" s="45"/>
      <c r="M677" s="45"/>
      <c r="N677" s="2"/>
      <c r="O677" s="2"/>
      <c r="P677" s="2"/>
      <c r="Q677" s="2"/>
      <c r="R677" s="2"/>
      <c r="S677" s="2"/>
      <c r="T677" s="2"/>
      <c r="U677" s="2"/>
      <c r="V677" s="2"/>
      <c r="W677" s="2"/>
      <c r="X677" s="2"/>
      <c r="Y677" s="2"/>
      <c r="Z677" s="2"/>
      <c r="AA677" s="2"/>
    </row>
    <row r="678" spans="1:27" ht="13.15">
      <c r="A678" s="12"/>
      <c r="B678" s="45"/>
      <c r="C678" s="45"/>
      <c r="D678" s="45"/>
      <c r="E678" s="45"/>
      <c r="F678" s="45"/>
      <c r="G678" s="45"/>
      <c r="H678" s="45"/>
      <c r="I678" s="45"/>
      <c r="J678" s="45"/>
      <c r="K678" s="45"/>
      <c r="L678" s="45"/>
      <c r="M678" s="45"/>
      <c r="N678" s="2"/>
      <c r="O678" s="2"/>
      <c r="P678" s="2"/>
      <c r="Q678" s="2"/>
      <c r="R678" s="2"/>
      <c r="S678" s="2"/>
      <c r="T678" s="2"/>
      <c r="U678" s="2"/>
      <c r="V678" s="2"/>
      <c r="W678" s="2"/>
      <c r="X678" s="2"/>
      <c r="Y678" s="2"/>
      <c r="Z678" s="2"/>
      <c r="AA678" s="2"/>
    </row>
    <row r="679" spans="1:27" ht="13.15">
      <c r="A679" s="12"/>
      <c r="B679" s="45"/>
      <c r="C679" s="45"/>
      <c r="D679" s="45"/>
      <c r="E679" s="45"/>
      <c r="F679" s="45"/>
      <c r="G679" s="45"/>
      <c r="H679" s="45"/>
      <c r="I679" s="45"/>
      <c r="J679" s="45"/>
      <c r="K679" s="45"/>
      <c r="L679" s="45"/>
      <c r="M679" s="45"/>
      <c r="N679" s="2"/>
      <c r="O679" s="2"/>
      <c r="P679" s="2"/>
      <c r="Q679" s="2"/>
      <c r="R679" s="2"/>
      <c r="S679" s="2"/>
      <c r="T679" s="2"/>
      <c r="U679" s="2"/>
      <c r="V679" s="2"/>
      <c r="W679" s="2"/>
      <c r="X679" s="2"/>
      <c r="Y679" s="2"/>
      <c r="Z679" s="2"/>
      <c r="AA679" s="2"/>
    </row>
    <row r="680" spans="1:27" ht="13.15">
      <c r="A680" s="12"/>
      <c r="B680" s="45"/>
      <c r="C680" s="45"/>
      <c r="D680" s="45"/>
      <c r="E680" s="45"/>
      <c r="F680" s="45"/>
      <c r="G680" s="45"/>
      <c r="H680" s="45"/>
      <c r="I680" s="45"/>
      <c r="J680" s="45"/>
      <c r="K680" s="45"/>
      <c r="L680" s="45"/>
      <c r="M680" s="45"/>
      <c r="N680" s="2"/>
      <c r="O680" s="2"/>
      <c r="P680" s="2"/>
      <c r="Q680" s="2"/>
      <c r="R680" s="2"/>
      <c r="S680" s="2"/>
      <c r="T680" s="2"/>
      <c r="U680" s="2"/>
      <c r="V680" s="2"/>
      <c r="W680" s="2"/>
      <c r="X680" s="2"/>
      <c r="Y680" s="2"/>
      <c r="Z680" s="2"/>
      <c r="AA680" s="2"/>
    </row>
    <row r="681" spans="1:27" ht="13.15">
      <c r="A681" s="12"/>
      <c r="B681" s="45"/>
      <c r="C681" s="45"/>
      <c r="D681" s="45"/>
      <c r="E681" s="45"/>
      <c r="F681" s="45"/>
      <c r="G681" s="45"/>
      <c r="H681" s="45"/>
      <c r="I681" s="45"/>
      <c r="J681" s="45"/>
      <c r="K681" s="45"/>
      <c r="L681" s="45"/>
      <c r="M681" s="45"/>
      <c r="N681" s="2"/>
      <c r="O681" s="2"/>
      <c r="P681" s="2"/>
      <c r="Q681" s="2"/>
      <c r="R681" s="2"/>
      <c r="S681" s="2"/>
      <c r="T681" s="2"/>
      <c r="U681" s="2"/>
      <c r="V681" s="2"/>
      <c r="W681" s="2"/>
      <c r="X681" s="2"/>
      <c r="Y681" s="2"/>
      <c r="Z681" s="2"/>
      <c r="AA681" s="2"/>
    </row>
    <row r="682" spans="1:27" ht="13.15">
      <c r="A682" s="12"/>
      <c r="B682" s="45"/>
      <c r="C682" s="45"/>
      <c r="D682" s="45"/>
      <c r="E682" s="45"/>
      <c r="F682" s="45"/>
      <c r="G682" s="45"/>
      <c r="H682" s="45"/>
      <c r="I682" s="45"/>
      <c r="J682" s="45"/>
      <c r="K682" s="45"/>
      <c r="L682" s="45"/>
      <c r="M682" s="45"/>
      <c r="N682" s="2"/>
      <c r="O682" s="2"/>
      <c r="P682" s="2"/>
      <c r="Q682" s="2"/>
      <c r="R682" s="2"/>
      <c r="S682" s="2"/>
      <c r="T682" s="2"/>
      <c r="U682" s="2"/>
      <c r="V682" s="2"/>
      <c r="W682" s="2"/>
      <c r="X682" s="2"/>
      <c r="Y682" s="2"/>
      <c r="Z682" s="2"/>
      <c r="AA682" s="2"/>
    </row>
    <row r="683" spans="1:27" ht="13.15">
      <c r="A683" s="12"/>
      <c r="B683" s="45"/>
      <c r="C683" s="45"/>
      <c r="D683" s="45"/>
      <c r="E683" s="45"/>
      <c r="F683" s="45"/>
      <c r="G683" s="45"/>
      <c r="H683" s="45"/>
      <c r="I683" s="45"/>
      <c r="J683" s="45"/>
      <c r="K683" s="45"/>
      <c r="L683" s="45"/>
      <c r="M683" s="45"/>
      <c r="N683" s="2"/>
      <c r="O683" s="2"/>
      <c r="P683" s="2"/>
      <c r="Q683" s="2"/>
      <c r="R683" s="2"/>
      <c r="S683" s="2"/>
      <c r="T683" s="2"/>
      <c r="U683" s="2"/>
      <c r="V683" s="2"/>
      <c r="W683" s="2"/>
      <c r="X683" s="2"/>
      <c r="Y683" s="2"/>
      <c r="Z683" s="2"/>
      <c r="AA683" s="2"/>
    </row>
    <row r="684" spans="1:27" ht="13.15">
      <c r="A684" s="12"/>
      <c r="B684" s="45"/>
      <c r="C684" s="45"/>
      <c r="D684" s="45"/>
      <c r="E684" s="45"/>
      <c r="F684" s="45"/>
      <c r="G684" s="45"/>
      <c r="H684" s="45"/>
      <c r="I684" s="45"/>
      <c r="J684" s="45"/>
      <c r="K684" s="45"/>
      <c r="L684" s="45"/>
      <c r="M684" s="45"/>
      <c r="N684" s="2"/>
      <c r="O684" s="2"/>
      <c r="P684" s="2"/>
      <c r="Q684" s="2"/>
      <c r="R684" s="2"/>
      <c r="S684" s="2"/>
      <c r="T684" s="2"/>
      <c r="U684" s="2"/>
      <c r="V684" s="2"/>
      <c r="W684" s="2"/>
      <c r="X684" s="2"/>
      <c r="Y684" s="2"/>
      <c r="Z684" s="2"/>
      <c r="AA684" s="2"/>
    </row>
    <row r="685" spans="1:27" ht="13.15">
      <c r="A685" s="12"/>
      <c r="B685" s="45"/>
      <c r="C685" s="45"/>
      <c r="D685" s="45"/>
      <c r="E685" s="45"/>
      <c r="F685" s="45"/>
      <c r="G685" s="45"/>
      <c r="H685" s="45"/>
      <c r="I685" s="45"/>
      <c r="J685" s="45"/>
      <c r="K685" s="45"/>
      <c r="L685" s="45"/>
      <c r="M685" s="45"/>
      <c r="N685" s="2"/>
      <c r="O685" s="2"/>
      <c r="P685" s="2"/>
      <c r="Q685" s="2"/>
      <c r="R685" s="2"/>
      <c r="S685" s="2"/>
      <c r="T685" s="2"/>
      <c r="U685" s="2"/>
      <c r="V685" s="2"/>
      <c r="W685" s="2"/>
      <c r="X685" s="2"/>
      <c r="Y685" s="2"/>
      <c r="Z685" s="2"/>
      <c r="AA685" s="2"/>
    </row>
    <row r="686" spans="1:27" ht="13.15">
      <c r="A686" s="12"/>
      <c r="B686" s="45"/>
      <c r="C686" s="45"/>
      <c r="D686" s="45"/>
      <c r="E686" s="45"/>
      <c r="F686" s="45"/>
      <c r="G686" s="45"/>
      <c r="H686" s="45"/>
      <c r="I686" s="45"/>
      <c r="J686" s="45"/>
      <c r="K686" s="45"/>
      <c r="L686" s="45"/>
      <c r="M686" s="45"/>
      <c r="N686" s="2"/>
      <c r="O686" s="2"/>
      <c r="P686" s="2"/>
      <c r="Q686" s="2"/>
      <c r="R686" s="2"/>
      <c r="S686" s="2"/>
      <c r="T686" s="2"/>
      <c r="U686" s="2"/>
      <c r="V686" s="2"/>
      <c r="W686" s="2"/>
      <c r="X686" s="2"/>
      <c r="Y686" s="2"/>
      <c r="Z686" s="2"/>
      <c r="AA686" s="2"/>
    </row>
    <row r="687" spans="1:27" ht="13.15">
      <c r="A687" s="12"/>
      <c r="B687" s="45"/>
      <c r="C687" s="45"/>
      <c r="D687" s="45"/>
      <c r="E687" s="45"/>
      <c r="F687" s="45"/>
      <c r="G687" s="45"/>
      <c r="H687" s="45"/>
      <c r="I687" s="45"/>
      <c r="J687" s="45"/>
      <c r="K687" s="45"/>
      <c r="L687" s="45"/>
      <c r="M687" s="45"/>
      <c r="N687" s="2"/>
      <c r="O687" s="2"/>
      <c r="P687" s="2"/>
      <c r="Q687" s="2"/>
      <c r="R687" s="2"/>
      <c r="S687" s="2"/>
      <c r="T687" s="2"/>
      <c r="U687" s="2"/>
      <c r="V687" s="2"/>
      <c r="W687" s="2"/>
      <c r="X687" s="2"/>
      <c r="Y687" s="2"/>
      <c r="Z687" s="2"/>
      <c r="AA687" s="2"/>
    </row>
    <row r="688" spans="1:27" ht="13.15">
      <c r="A688" s="12"/>
      <c r="B688" s="45"/>
      <c r="C688" s="45"/>
      <c r="D688" s="45"/>
      <c r="E688" s="45"/>
      <c r="F688" s="45"/>
      <c r="G688" s="45"/>
      <c r="H688" s="45"/>
      <c r="I688" s="45"/>
      <c r="J688" s="45"/>
      <c r="K688" s="45"/>
      <c r="L688" s="45"/>
      <c r="M688" s="45"/>
      <c r="N688" s="2"/>
      <c r="O688" s="2"/>
      <c r="P688" s="2"/>
      <c r="Q688" s="2"/>
      <c r="R688" s="2"/>
      <c r="S688" s="2"/>
      <c r="T688" s="2"/>
      <c r="U688" s="2"/>
      <c r="V688" s="2"/>
      <c r="W688" s="2"/>
      <c r="X688" s="2"/>
      <c r="Y688" s="2"/>
      <c r="Z688" s="2"/>
      <c r="AA688" s="2"/>
    </row>
    <row r="689" spans="1:27" ht="13.15">
      <c r="A689" s="12"/>
      <c r="B689" s="45"/>
      <c r="C689" s="45"/>
      <c r="D689" s="45"/>
      <c r="E689" s="45"/>
      <c r="F689" s="45"/>
      <c r="G689" s="45"/>
      <c r="H689" s="45"/>
      <c r="I689" s="45"/>
      <c r="J689" s="45"/>
      <c r="K689" s="45"/>
      <c r="L689" s="45"/>
      <c r="M689" s="45"/>
      <c r="N689" s="2"/>
      <c r="O689" s="2"/>
      <c r="P689" s="2"/>
      <c r="Q689" s="2"/>
      <c r="R689" s="2"/>
      <c r="S689" s="2"/>
      <c r="T689" s="2"/>
      <c r="U689" s="2"/>
      <c r="V689" s="2"/>
      <c r="W689" s="2"/>
      <c r="X689" s="2"/>
      <c r="Y689" s="2"/>
      <c r="Z689" s="2"/>
      <c r="AA689" s="2"/>
    </row>
    <row r="690" spans="1:27" ht="13.15">
      <c r="A690" s="12"/>
      <c r="B690" s="45"/>
      <c r="C690" s="45"/>
      <c r="D690" s="45"/>
      <c r="E690" s="45"/>
      <c r="F690" s="45"/>
      <c r="G690" s="45"/>
      <c r="H690" s="45"/>
      <c r="I690" s="45"/>
      <c r="J690" s="45"/>
      <c r="K690" s="45"/>
      <c r="L690" s="45"/>
      <c r="M690" s="45"/>
      <c r="N690" s="2"/>
      <c r="O690" s="2"/>
      <c r="P690" s="2"/>
      <c r="Q690" s="2"/>
      <c r="R690" s="2"/>
      <c r="S690" s="2"/>
      <c r="T690" s="2"/>
      <c r="U690" s="2"/>
      <c r="V690" s="2"/>
      <c r="W690" s="2"/>
      <c r="X690" s="2"/>
      <c r="Y690" s="2"/>
      <c r="Z690" s="2"/>
      <c r="AA690" s="2"/>
    </row>
    <row r="691" spans="1:27" ht="13.15">
      <c r="A691" s="12"/>
      <c r="B691" s="45"/>
      <c r="C691" s="45"/>
      <c r="D691" s="45"/>
      <c r="E691" s="45"/>
      <c r="F691" s="45"/>
      <c r="G691" s="45"/>
      <c r="H691" s="45"/>
      <c r="I691" s="45"/>
      <c r="J691" s="45"/>
      <c r="K691" s="45"/>
      <c r="L691" s="45"/>
      <c r="M691" s="45"/>
      <c r="N691" s="2"/>
      <c r="O691" s="2"/>
      <c r="P691" s="2"/>
      <c r="Q691" s="2"/>
      <c r="R691" s="2"/>
      <c r="S691" s="2"/>
      <c r="T691" s="2"/>
      <c r="U691" s="2"/>
      <c r="V691" s="2"/>
      <c r="W691" s="2"/>
      <c r="X691" s="2"/>
      <c r="Y691" s="2"/>
      <c r="Z691" s="2"/>
      <c r="AA691" s="2"/>
    </row>
    <row r="692" spans="1:27" ht="13.15">
      <c r="A692" s="12"/>
      <c r="B692" s="45"/>
      <c r="C692" s="45"/>
      <c r="D692" s="45"/>
      <c r="E692" s="45"/>
      <c r="F692" s="45"/>
      <c r="G692" s="45"/>
      <c r="H692" s="45"/>
      <c r="I692" s="45"/>
      <c r="J692" s="45"/>
      <c r="K692" s="45"/>
      <c r="L692" s="45"/>
      <c r="M692" s="45"/>
      <c r="N692" s="2"/>
      <c r="O692" s="2"/>
      <c r="P692" s="2"/>
      <c r="Q692" s="2"/>
      <c r="R692" s="2"/>
      <c r="S692" s="2"/>
      <c r="T692" s="2"/>
      <c r="U692" s="2"/>
      <c r="V692" s="2"/>
      <c r="W692" s="2"/>
      <c r="X692" s="2"/>
      <c r="Y692" s="2"/>
      <c r="Z692" s="2"/>
      <c r="AA692" s="2"/>
    </row>
    <row r="693" spans="1:27" ht="13.15">
      <c r="A693" s="12"/>
      <c r="B693" s="45"/>
      <c r="C693" s="45"/>
      <c r="D693" s="45"/>
      <c r="E693" s="45"/>
      <c r="F693" s="45"/>
      <c r="G693" s="45"/>
      <c r="H693" s="45"/>
      <c r="I693" s="45"/>
      <c r="J693" s="45"/>
      <c r="K693" s="45"/>
      <c r="L693" s="45"/>
      <c r="M693" s="45"/>
      <c r="N693" s="2"/>
      <c r="O693" s="2"/>
      <c r="P693" s="2"/>
      <c r="Q693" s="2"/>
      <c r="R693" s="2"/>
      <c r="S693" s="2"/>
      <c r="T693" s="2"/>
      <c r="U693" s="2"/>
      <c r="V693" s="2"/>
      <c r="W693" s="2"/>
      <c r="X693" s="2"/>
      <c r="Y693" s="2"/>
      <c r="Z693" s="2"/>
      <c r="AA693" s="2"/>
    </row>
    <row r="694" spans="1:27" ht="13.15">
      <c r="A694" s="12"/>
      <c r="B694" s="45"/>
      <c r="C694" s="45"/>
      <c r="D694" s="45"/>
      <c r="E694" s="45"/>
      <c r="F694" s="45"/>
      <c r="G694" s="45"/>
      <c r="H694" s="45"/>
      <c r="I694" s="45"/>
      <c r="J694" s="45"/>
      <c r="K694" s="45"/>
      <c r="L694" s="45"/>
      <c r="M694" s="45"/>
      <c r="N694" s="2"/>
      <c r="O694" s="2"/>
      <c r="P694" s="2"/>
      <c r="Q694" s="2"/>
      <c r="R694" s="2"/>
      <c r="S694" s="2"/>
      <c r="T694" s="2"/>
      <c r="U694" s="2"/>
      <c r="V694" s="2"/>
      <c r="W694" s="2"/>
      <c r="X694" s="2"/>
      <c r="Y694" s="2"/>
      <c r="Z694" s="2"/>
      <c r="AA694" s="2"/>
    </row>
    <row r="695" spans="1:27" ht="13.15">
      <c r="A695" s="12"/>
      <c r="B695" s="45"/>
      <c r="C695" s="45"/>
      <c r="D695" s="45"/>
      <c r="E695" s="45"/>
      <c r="F695" s="45"/>
      <c r="G695" s="45"/>
      <c r="H695" s="45"/>
      <c r="I695" s="45"/>
      <c r="J695" s="45"/>
      <c r="K695" s="45"/>
      <c r="L695" s="45"/>
      <c r="M695" s="45"/>
      <c r="N695" s="2"/>
      <c r="O695" s="2"/>
      <c r="P695" s="2"/>
      <c r="Q695" s="2"/>
      <c r="R695" s="2"/>
      <c r="S695" s="2"/>
      <c r="T695" s="2"/>
      <c r="U695" s="2"/>
      <c r="V695" s="2"/>
      <c r="W695" s="2"/>
      <c r="X695" s="2"/>
      <c r="Y695" s="2"/>
      <c r="Z695" s="2"/>
      <c r="AA695" s="2"/>
    </row>
    <row r="696" spans="1:27" ht="13.15">
      <c r="A696" s="12"/>
      <c r="B696" s="45"/>
      <c r="C696" s="45"/>
      <c r="D696" s="45"/>
      <c r="E696" s="45"/>
      <c r="F696" s="45"/>
      <c r="G696" s="45"/>
      <c r="H696" s="45"/>
      <c r="I696" s="45"/>
      <c r="J696" s="45"/>
      <c r="K696" s="45"/>
      <c r="L696" s="45"/>
      <c r="M696" s="45"/>
      <c r="N696" s="2"/>
      <c r="O696" s="2"/>
      <c r="P696" s="2"/>
      <c r="Q696" s="2"/>
      <c r="R696" s="2"/>
      <c r="S696" s="2"/>
      <c r="T696" s="2"/>
      <c r="U696" s="2"/>
      <c r="V696" s="2"/>
      <c r="W696" s="2"/>
      <c r="X696" s="2"/>
      <c r="Y696" s="2"/>
      <c r="Z696" s="2"/>
      <c r="AA696" s="2"/>
    </row>
    <row r="697" spans="1:27" ht="13.15">
      <c r="A697" s="12"/>
      <c r="B697" s="45"/>
      <c r="C697" s="45"/>
      <c r="D697" s="45"/>
      <c r="E697" s="45"/>
      <c r="F697" s="45"/>
      <c r="G697" s="45"/>
      <c r="H697" s="45"/>
      <c r="I697" s="45"/>
      <c r="J697" s="45"/>
      <c r="K697" s="45"/>
      <c r="L697" s="45"/>
      <c r="M697" s="45"/>
      <c r="N697" s="2"/>
      <c r="O697" s="2"/>
      <c r="P697" s="2"/>
      <c r="Q697" s="2"/>
      <c r="R697" s="2"/>
      <c r="S697" s="2"/>
      <c r="T697" s="2"/>
      <c r="U697" s="2"/>
      <c r="V697" s="2"/>
      <c r="W697" s="2"/>
      <c r="X697" s="2"/>
      <c r="Y697" s="2"/>
      <c r="Z697" s="2"/>
      <c r="AA697" s="2"/>
    </row>
    <row r="698" spans="1:27" ht="13.15">
      <c r="A698" s="12"/>
      <c r="B698" s="45"/>
      <c r="C698" s="45"/>
      <c r="D698" s="45"/>
      <c r="E698" s="45"/>
      <c r="F698" s="45"/>
      <c r="G698" s="45"/>
      <c r="H698" s="45"/>
      <c r="I698" s="45"/>
      <c r="J698" s="45"/>
      <c r="K698" s="45"/>
      <c r="L698" s="45"/>
      <c r="M698" s="45"/>
      <c r="N698" s="2"/>
      <c r="O698" s="2"/>
      <c r="P698" s="2"/>
      <c r="Q698" s="2"/>
      <c r="R698" s="2"/>
      <c r="S698" s="2"/>
      <c r="T698" s="2"/>
      <c r="U698" s="2"/>
      <c r="V698" s="2"/>
      <c r="W698" s="2"/>
      <c r="X698" s="2"/>
      <c r="Y698" s="2"/>
      <c r="Z698" s="2"/>
      <c r="AA698" s="2"/>
    </row>
    <row r="699" spans="1:27" ht="13.15">
      <c r="A699" s="12"/>
      <c r="B699" s="45"/>
      <c r="C699" s="45"/>
      <c r="D699" s="45"/>
      <c r="E699" s="45"/>
      <c r="F699" s="45"/>
      <c r="G699" s="45"/>
      <c r="H699" s="45"/>
      <c r="I699" s="45"/>
      <c r="J699" s="45"/>
      <c r="K699" s="45"/>
      <c r="L699" s="45"/>
      <c r="M699" s="45"/>
      <c r="N699" s="2"/>
      <c r="O699" s="2"/>
      <c r="P699" s="2"/>
      <c r="Q699" s="2"/>
      <c r="R699" s="2"/>
      <c r="S699" s="2"/>
      <c r="T699" s="2"/>
      <c r="U699" s="2"/>
      <c r="V699" s="2"/>
      <c r="W699" s="2"/>
      <c r="X699" s="2"/>
      <c r="Y699" s="2"/>
      <c r="Z699" s="2"/>
      <c r="AA699" s="2"/>
    </row>
    <row r="700" spans="1:27" ht="13.15">
      <c r="A700" s="12"/>
      <c r="B700" s="45"/>
      <c r="C700" s="45"/>
      <c r="D700" s="45"/>
      <c r="E700" s="45"/>
      <c r="F700" s="45"/>
      <c r="G700" s="45"/>
      <c r="H700" s="45"/>
      <c r="I700" s="45"/>
      <c r="J700" s="45"/>
      <c r="K700" s="45"/>
      <c r="L700" s="45"/>
      <c r="M700" s="45"/>
      <c r="N700" s="2"/>
      <c r="O700" s="2"/>
      <c r="P700" s="2"/>
      <c r="Q700" s="2"/>
      <c r="R700" s="2"/>
      <c r="S700" s="2"/>
      <c r="T700" s="2"/>
      <c r="U700" s="2"/>
      <c r="V700" s="2"/>
      <c r="W700" s="2"/>
      <c r="X700" s="2"/>
      <c r="Y700" s="2"/>
      <c r="Z700" s="2"/>
      <c r="AA700" s="2"/>
    </row>
    <row r="701" spans="1:27" ht="13.15">
      <c r="A701" s="12"/>
      <c r="B701" s="45"/>
      <c r="C701" s="45"/>
      <c r="D701" s="45"/>
      <c r="E701" s="45"/>
      <c r="F701" s="45"/>
      <c r="G701" s="45"/>
      <c r="H701" s="45"/>
      <c r="I701" s="45"/>
      <c r="J701" s="45"/>
      <c r="K701" s="45"/>
      <c r="L701" s="45"/>
      <c r="M701" s="45"/>
      <c r="N701" s="2"/>
      <c r="O701" s="2"/>
      <c r="P701" s="2"/>
      <c r="Q701" s="2"/>
      <c r="R701" s="2"/>
      <c r="S701" s="2"/>
      <c r="T701" s="2"/>
      <c r="U701" s="2"/>
      <c r="V701" s="2"/>
      <c r="W701" s="2"/>
      <c r="X701" s="2"/>
      <c r="Y701" s="2"/>
      <c r="Z701" s="2"/>
      <c r="AA701" s="2"/>
    </row>
    <row r="702" spans="1:27" ht="13.15">
      <c r="A702" s="12"/>
      <c r="B702" s="45"/>
      <c r="C702" s="45"/>
      <c r="D702" s="45"/>
      <c r="E702" s="45"/>
      <c r="F702" s="45"/>
      <c r="G702" s="45"/>
      <c r="H702" s="45"/>
      <c r="I702" s="45"/>
      <c r="J702" s="45"/>
      <c r="K702" s="45"/>
      <c r="L702" s="45"/>
      <c r="M702" s="45"/>
      <c r="N702" s="2"/>
      <c r="O702" s="2"/>
      <c r="P702" s="2"/>
      <c r="Q702" s="2"/>
      <c r="R702" s="2"/>
      <c r="S702" s="2"/>
      <c r="T702" s="2"/>
      <c r="U702" s="2"/>
      <c r="V702" s="2"/>
      <c r="W702" s="2"/>
      <c r="X702" s="2"/>
      <c r="Y702" s="2"/>
      <c r="Z702" s="2"/>
      <c r="AA702" s="2"/>
    </row>
    <row r="703" spans="1:27" ht="13.15">
      <c r="A703" s="12"/>
      <c r="B703" s="45"/>
      <c r="C703" s="45"/>
      <c r="D703" s="45"/>
      <c r="E703" s="45"/>
      <c r="F703" s="45"/>
      <c r="G703" s="45"/>
      <c r="H703" s="45"/>
      <c r="I703" s="45"/>
      <c r="J703" s="45"/>
      <c r="K703" s="45"/>
      <c r="L703" s="45"/>
      <c r="M703" s="45"/>
      <c r="N703" s="2"/>
      <c r="O703" s="2"/>
      <c r="P703" s="2"/>
      <c r="Q703" s="2"/>
      <c r="R703" s="2"/>
      <c r="S703" s="2"/>
      <c r="T703" s="2"/>
      <c r="U703" s="2"/>
      <c r="V703" s="2"/>
      <c r="W703" s="2"/>
      <c r="X703" s="2"/>
      <c r="Y703" s="2"/>
      <c r="Z703" s="2"/>
      <c r="AA703" s="2"/>
    </row>
    <row r="704" spans="1:27" ht="13.15">
      <c r="A704" s="12"/>
      <c r="B704" s="45"/>
      <c r="C704" s="45"/>
      <c r="D704" s="45"/>
      <c r="E704" s="45"/>
      <c r="F704" s="45"/>
      <c r="G704" s="45"/>
      <c r="H704" s="45"/>
      <c r="I704" s="45"/>
      <c r="J704" s="45"/>
      <c r="K704" s="45"/>
      <c r="L704" s="45"/>
      <c r="M704" s="45"/>
      <c r="N704" s="2"/>
      <c r="O704" s="2"/>
      <c r="P704" s="2"/>
      <c r="Q704" s="2"/>
      <c r="R704" s="2"/>
      <c r="S704" s="2"/>
      <c r="T704" s="2"/>
      <c r="U704" s="2"/>
      <c r="V704" s="2"/>
      <c r="W704" s="2"/>
      <c r="X704" s="2"/>
      <c r="Y704" s="2"/>
      <c r="Z704" s="2"/>
      <c r="AA704" s="2"/>
    </row>
    <row r="705" spans="1:27" ht="13.15">
      <c r="A705" s="12"/>
      <c r="B705" s="45"/>
      <c r="C705" s="45"/>
      <c r="D705" s="45"/>
      <c r="E705" s="45"/>
      <c r="F705" s="45"/>
      <c r="G705" s="45"/>
      <c r="H705" s="45"/>
      <c r="I705" s="45"/>
      <c r="J705" s="45"/>
      <c r="K705" s="45"/>
      <c r="L705" s="45"/>
      <c r="M705" s="45"/>
      <c r="N705" s="2"/>
      <c r="O705" s="2"/>
      <c r="P705" s="2"/>
      <c r="Q705" s="2"/>
      <c r="R705" s="2"/>
      <c r="S705" s="2"/>
      <c r="T705" s="2"/>
      <c r="U705" s="2"/>
      <c r="V705" s="2"/>
      <c r="W705" s="2"/>
      <c r="X705" s="2"/>
      <c r="Y705" s="2"/>
      <c r="Z705" s="2"/>
      <c r="AA705" s="2"/>
    </row>
    <row r="706" spans="1:27" ht="13.15">
      <c r="A706" s="12"/>
      <c r="B706" s="45"/>
      <c r="C706" s="45"/>
      <c r="D706" s="45"/>
      <c r="E706" s="45"/>
      <c r="F706" s="45"/>
      <c r="G706" s="45"/>
      <c r="H706" s="45"/>
      <c r="I706" s="45"/>
      <c r="J706" s="45"/>
      <c r="K706" s="45"/>
      <c r="L706" s="45"/>
      <c r="M706" s="45"/>
      <c r="N706" s="2"/>
      <c r="O706" s="2"/>
      <c r="P706" s="2"/>
      <c r="Q706" s="2"/>
      <c r="R706" s="2"/>
      <c r="S706" s="2"/>
      <c r="T706" s="2"/>
      <c r="U706" s="2"/>
      <c r="V706" s="2"/>
      <c r="W706" s="2"/>
      <c r="X706" s="2"/>
      <c r="Y706" s="2"/>
      <c r="Z706" s="2"/>
      <c r="AA706" s="2"/>
    </row>
    <row r="707" spans="1:27" ht="13.15">
      <c r="A707" s="12"/>
      <c r="B707" s="45"/>
      <c r="C707" s="45"/>
      <c r="D707" s="45"/>
      <c r="E707" s="45"/>
      <c r="F707" s="45"/>
      <c r="G707" s="45"/>
      <c r="H707" s="45"/>
      <c r="I707" s="45"/>
      <c r="J707" s="45"/>
      <c r="K707" s="45"/>
      <c r="L707" s="45"/>
      <c r="M707" s="45"/>
      <c r="N707" s="2"/>
      <c r="O707" s="2"/>
      <c r="P707" s="2"/>
      <c r="Q707" s="2"/>
      <c r="R707" s="2"/>
      <c r="S707" s="2"/>
      <c r="T707" s="2"/>
      <c r="U707" s="2"/>
      <c r="V707" s="2"/>
      <c r="W707" s="2"/>
      <c r="X707" s="2"/>
      <c r="Y707" s="2"/>
      <c r="Z707" s="2"/>
      <c r="AA707" s="2"/>
    </row>
    <row r="708" spans="1:27" ht="13.15">
      <c r="A708" s="12"/>
      <c r="B708" s="45"/>
      <c r="C708" s="45"/>
      <c r="D708" s="45"/>
      <c r="E708" s="45"/>
      <c r="F708" s="45"/>
      <c r="G708" s="45"/>
      <c r="H708" s="45"/>
      <c r="I708" s="45"/>
      <c r="J708" s="45"/>
      <c r="K708" s="45"/>
      <c r="L708" s="45"/>
      <c r="M708" s="45"/>
      <c r="N708" s="2"/>
      <c r="O708" s="2"/>
      <c r="P708" s="2"/>
      <c r="Q708" s="2"/>
      <c r="R708" s="2"/>
      <c r="S708" s="2"/>
      <c r="T708" s="2"/>
      <c r="U708" s="2"/>
      <c r="V708" s="2"/>
      <c r="W708" s="2"/>
      <c r="X708" s="2"/>
      <c r="Y708" s="2"/>
      <c r="Z708" s="2"/>
      <c r="AA708" s="2"/>
    </row>
    <row r="709" spans="1:27" ht="13.15">
      <c r="A709" s="12"/>
      <c r="B709" s="45"/>
      <c r="C709" s="45"/>
      <c r="D709" s="45"/>
      <c r="E709" s="45"/>
      <c r="F709" s="45"/>
      <c r="G709" s="45"/>
      <c r="H709" s="45"/>
      <c r="I709" s="45"/>
      <c r="J709" s="45"/>
      <c r="K709" s="45"/>
      <c r="L709" s="45"/>
      <c r="M709" s="45"/>
      <c r="N709" s="2"/>
      <c r="O709" s="2"/>
      <c r="P709" s="2"/>
      <c r="Q709" s="2"/>
      <c r="R709" s="2"/>
      <c r="S709" s="2"/>
      <c r="T709" s="2"/>
      <c r="U709" s="2"/>
      <c r="V709" s="2"/>
      <c r="W709" s="2"/>
      <c r="X709" s="2"/>
      <c r="Y709" s="2"/>
      <c r="Z709" s="2"/>
      <c r="AA709" s="2"/>
    </row>
    <row r="710" spans="1:27" ht="13.15">
      <c r="A710" s="12"/>
      <c r="B710" s="45"/>
      <c r="C710" s="45"/>
      <c r="D710" s="45"/>
      <c r="E710" s="45"/>
      <c r="F710" s="45"/>
      <c r="G710" s="45"/>
      <c r="H710" s="45"/>
      <c r="I710" s="45"/>
      <c r="J710" s="45"/>
      <c r="K710" s="45"/>
      <c r="L710" s="45"/>
      <c r="M710" s="45"/>
      <c r="N710" s="2"/>
      <c r="O710" s="2"/>
      <c r="P710" s="2"/>
      <c r="Q710" s="2"/>
      <c r="R710" s="2"/>
      <c r="S710" s="2"/>
      <c r="T710" s="2"/>
      <c r="U710" s="2"/>
      <c r="V710" s="2"/>
      <c r="W710" s="2"/>
      <c r="X710" s="2"/>
      <c r="Y710" s="2"/>
      <c r="Z710" s="2"/>
      <c r="AA710" s="2"/>
    </row>
    <row r="711" spans="1:27" ht="13.15">
      <c r="A711" s="12"/>
      <c r="B711" s="45"/>
      <c r="C711" s="45"/>
      <c r="D711" s="45"/>
      <c r="E711" s="45"/>
      <c r="F711" s="45"/>
      <c r="G711" s="45"/>
      <c r="H711" s="45"/>
      <c r="I711" s="45"/>
      <c r="J711" s="45"/>
      <c r="K711" s="45"/>
      <c r="L711" s="45"/>
      <c r="M711" s="45"/>
      <c r="N711" s="2"/>
      <c r="O711" s="2"/>
      <c r="P711" s="2"/>
      <c r="Q711" s="2"/>
      <c r="R711" s="2"/>
      <c r="S711" s="2"/>
      <c r="T711" s="2"/>
      <c r="U711" s="2"/>
      <c r="V711" s="2"/>
      <c r="W711" s="2"/>
      <c r="X711" s="2"/>
      <c r="Y711" s="2"/>
      <c r="Z711" s="2"/>
      <c r="AA711" s="2"/>
    </row>
    <row r="712" spans="1:27" ht="13.15">
      <c r="A712" s="12"/>
      <c r="B712" s="45"/>
      <c r="C712" s="45"/>
      <c r="D712" s="45"/>
      <c r="E712" s="45"/>
      <c r="F712" s="45"/>
      <c r="G712" s="45"/>
      <c r="H712" s="45"/>
      <c r="I712" s="45"/>
      <c r="J712" s="45"/>
      <c r="K712" s="45"/>
      <c r="L712" s="45"/>
      <c r="M712" s="45"/>
      <c r="N712" s="2"/>
      <c r="O712" s="2"/>
      <c r="P712" s="2"/>
      <c r="Q712" s="2"/>
      <c r="R712" s="2"/>
      <c r="S712" s="2"/>
      <c r="T712" s="2"/>
      <c r="U712" s="2"/>
      <c r="V712" s="2"/>
      <c r="W712" s="2"/>
      <c r="X712" s="2"/>
      <c r="Y712" s="2"/>
      <c r="Z712" s="2"/>
      <c r="AA712" s="2"/>
    </row>
    <row r="713" spans="1:27" ht="13.15">
      <c r="A713" s="12"/>
      <c r="B713" s="45"/>
      <c r="C713" s="45"/>
      <c r="D713" s="45"/>
      <c r="E713" s="45"/>
      <c r="F713" s="45"/>
      <c r="G713" s="45"/>
      <c r="H713" s="45"/>
      <c r="I713" s="45"/>
      <c r="J713" s="45"/>
      <c r="K713" s="45"/>
      <c r="L713" s="45"/>
      <c r="M713" s="45"/>
      <c r="N713" s="2"/>
      <c r="O713" s="2"/>
      <c r="P713" s="2"/>
      <c r="Q713" s="2"/>
      <c r="R713" s="2"/>
      <c r="S713" s="2"/>
      <c r="T713" s="2"/>
      <c r="U713" s="2"/>
      <c r="V713" s="2"/>
      <c r="W713" s="2"/>
      <c r="X713" s="2"/>
      <c r="Y713" s="2"/>
      <c r="Z713" s="2"/>
      <c r="AA713" s="2"/>
    </row>
    <row r="714" spans="1:27" ht="13.15">
      <c r="A714" s="12"/>
      <c r="B714" s="45"/>
      <c r="C714" s="45"/>
      <c r="D714" s="45"/>
      <c r="E714" s="45"/>
      <c r="F714" s="45"/>
      <c r="G714" s="45"/>
      <c r="H714" s="45"/>
      <c r="I714" s="45"/>
      <c r="J714" s="45"/>
      <c r="K714" s="45"/>
      <c r="L714" s="45"/>
      <c r="M714" s="45"/>
      <c r="N714" s="2"/>
      <c r="O714" s="2"/>
      <c r="P714" s="2"/>
      <c r="Q714" s="2"/>
      <c r="R714" s="2"/>
      <c r="S714" s="2"/>
      <c r="T714" s="2"/>
      <c r="U714" s="2"/>
      <c r="V714" s="2"/>
      <c r="W714" s="2"/>
      <c r="X714" s="2"/>
      <c r="Y714" s="2"/>
      <c r="Z714" s="2"/>
      <c r="AA714" s="2"/>
    </row>
    <row r="715" spans="1:27" ht="13.15">
      <c r="A715" s="12"/>
      <c r="B715" s="45"/>
      <c r="C715" s="45"/>
      <c r="D715" s="45"/>
      <c r="E715" s="45"/>
      <c r="F715" s="45"/>
      <c r="G715" s="45"/>
      <c r="H715" s="45"/>
      <c r="I715" s="45"/>
      <c r="J715" s="45"/>
      <c r="K715" s="45"/>
      <c r="L715" s="45"/>
      <c r="M715" s="45"/>
      <c r="N715" s="2"/>
      <c r="O715" s="2"/>
      <c r="P715" s="2"/>
      <c r="Q715" s="2"/>
      <c r="R715" s="2"/>
      <c r="S715" s="2"/>
      <c r="T715" s="2"/>
      <c r="U715" s="2"/>
      <c r="V715" s="2"/>
      <c r="W715" s="2"/>
      <c r="X715" s="2"/>
      <c r="Y715" s="2"/>
      <c r="Z715" s="2"/>
      <c r="AA715" s="2"/>
    </row>
    <row r="716" spans="1:27" ht="13.15">
      <c r="A716" s="12"/>
      <c r="B716" s="45"/>
      <c r="C716" s="45"/>
      <c r="D716" s="45"/>
      <c r="E716" s="45"/>
      <c r="F716" s="45"/>
      <c r="G716" s="45"/>
      <c r="H716" s="45"/>
      <c r="I716" s="45"/>
      <c r="J716" s="45"/>
      <c r="K716" s="45"/>
      <c r="L716" s="45"/>
      <c r="M716" s="45"/>
      <c r="N716" s="2"/>
      <c r="O716" s="2"/>
      <c r="P716" s="2"/>
      <c r="Q716" s="2"/>
      <c r="R716" s="2"/>
      <c r="S716" s="2"/>
      <c r="T716" s="2"/>
      <c r="U716" s="2"/>
      <c r="V716" s="2"/>
      <c r="W716" s="2"/>
      <c r="X716" s="2"/>
      <c r="Y716" s="2"/>
      <c r="Z716" s="2"/>
      <c r="AA716" s="2"/>
    </row>
    <row r="717" spans="1:27" ht="13.15">
      <c r="A717" s="12"/>
      <c r="B717" s="45"/>
      <c r="C717" s="45"/>
      <c r="D717" s="45"/>
      <c r="E717" s="45"/>
      <c r="F717" s="45"/>
      <c r="G717" s="45"/>
      <c r="H717" s="45"/>
      <c r="I717" s="45"/>
      <c r="J717" s="45"/>
      <c r="K717" s="45"/>
      <c r="L717" s="45"/>
      <c r="M717" s="45"/>
      <c r="N717" s="2"/>
      <c r="O717" s="2"/>
      <c r="P717" s="2"/>
      <c r="Q717" s="2"/>
      <c r="R717" s="2"/>
      <c r="S717" s="2"/>
      <c r="T717" s="2"/>
      <c r="U717" s="2"/>
      <c r="V717" s="2"/>
      <c r="W717" s="2"/>
      <c r="X717" s="2"/>
      <c r="Y717" s="2"/>
      <c r="Z717" s="2"/>
      <c r="AA717" s="2"/>
    </row>
    <row r="718" spans="1:27" ht="13.15">
      <c r="A718" s="12"/>
      <c r="B718" s="45"/>
      <c r="C718" s="45"/>
      <c r="D718" s="45"/>
      <c r="E718" s="45"/>
      <c r="F718" s="45"/>
      <c r="G718" s="45"/>
      <c r="H718" s="45"/>
      <c r="I718" s="45"/>
      <c r="J718" s="45"/>
      <c r="K718" s="45"/>
      <c r="L718" s="45"/>
      <c r="M718" s="45"/>
      <c r="N718" s="2"/>
      <c r="O718" s="2"/>
      <c r="P718" s="2"/>
      <c r="Q718" s="2"/>
      <c r="R718" s="2"/>
      <c r="S718" s="2"/>
      <c r="T718" s="2"/>
      <c r="U718" s="2"/>
      <c r="V718" s="2"/>
      <c r="W718" s="2"/>
      <c r="X718" s="2"/>
      <c r="Y718" s="2"/>
      <c r="Z718" s="2"/>
      <c r="AA718" s="2"/>
    </row>
    <row r="719" spans="1:27" ht="13.15">
      <c r="A719" s="12"/>
      <c r="B719" s="45"/>
      <c r="C719" s="45"/>
      <c r="D719" s="45"/>
      <c r="E719" s="45"/>
      <c r="F719" s="45"/>
      <c r="G719" s="45"/>
      <c r="H719" s="45"/>
      <c r="I719" s="45"/>
      <c r="J719" s="45"/>
      <c r="K719" s="45"/>
      <c r="L719" s="45"/>
      <c r="M719" s="45"/>
      <c r="N719" s="2"/>
      <c r="O719" s="2"/>
      <c r="P719" s="2"/>
      <c r="Q719" s="2"/>
      <c r="R719" s="2"/>
      <c r="S719" s="2"/>
      <c r="T719" s="2"/>
      <c r="U719" s="2"/>
      <c r="V719" s="2"/>
      <c r="W719" s="2"/>
      <c r="X719" s="2"/>
      <c r="Y719" s="2"/>
      <c r="Z719" s="2"/>
      <c r="AA719" s="2"/>
    </row>
    <row r="720" spans="1:27" ht="13.15">
      <c r="A720" s="12"/>
      <c r="B720" s="45"/>
      <c r="C720" s="45"/>
      <c r="D720" s="45"/>
      <c r="E720" s="45"/>
      <c r="F720" s="45"/>
      <c r="G720" s="45"/>
      <c r="H720" s="45"/>
      <c r="I720" s="45"/>
      <c r="J720" s="45"/>
      <c r="K720" s="45"/>
      <c r="L720" s="45"/>
      <c r="M720" s="45"/>
      <c r="N720" s="2"/>
      <c r="O720" s="2"/>
      <c r="P720" s="2"/>
      <c r="Q720" s="2"/>
      <c r="R720" s="2"/>
      <c r="S720" s="2"/>
      <c r="T720" s="2"/>
      <c r="U720" s="2"/>
      <c r="V720" s="2"/>
      <c r="W720" s="2"/>
      <c r="X720" s="2"/>
      <c r="Y720" s="2"/>
      <c r="Z720" s="2"/>
      <c r="AA720" s="2"/>
    </row>
    <row r="721" spans="1:27" ht="13.15">
      <c r="A721" s="12"/>
      <c r="B721" s="45"/>
      <c r="C721" s="45"/>
      <c r="D721" s="45"/>
      <c r="E721" s="45"/>
      <c r="F721" s="45"/>
      <c r="G721" s="45"/>
      <c r="H721" s="45"/>
      <c r="I721" s="45"/>
      <c r="J721" s="45"/>
      <c r="K721" s="45"/>
      <c r="L721" s="45"/>
      <c r="M721" s="45"/>
      <c r="N721" s="2"/>
      <c r="O721" s="2"/>
      <c r="P721" s="2"/>
      <c r="Q721" s="2"/>
      <c r="R721" s="2"/>
      <c r="S721" s="2"/>
      <c r="T721" s="2"/>
      <c r="U721" s="2"/>
      <c r="V721" s="2"/>
      <c r="W721" s="2"/>
      <c r="X721" s="2"/>
      <c r="Y721" s="2"/>
      <c r="Z721" s="2"/>
      <c r="AA721" s="2"/>
    </row>
    <row r="722" spans="1:27" ht="13.15">
      <c r="A722" s="12"/>
      <c r="B722" s="45"/>
      <c r="C722" s="45"/>
      <c r="D722" s="45"/>
      <c r="E722" s="45"/>
      <c r="F722" s="45"/>
      <c r="G722" s="45"/>
      <c r="H722" s="45"/>
      <c r="I722" s="45"/>
      <c r="J722" s="45"/>
      <c r="K722" s="45"/>
      <c r="L722" s="45"/>
      <c r="M722" s="45"/>
      <c r="N722" s="2"/>
      <c r="O722" s="2"/>
      <c r="P722" s="2"/>
      <c r="Q722" s="2"/>
      <c r="R722" s="2"/>
      <c r="S722" s="2"/>
      <c r="T722" s="2"/>
      <c r="U722" s="2"/>
      <c r="V722" s="2"/>
      <c r="W722" s="2"/>
      <c r="X722" s="2"/>
      <c r="Y722" s="2"/>
      <c r="Z722" s="2"/>
      <c r="AA722" s="2"/>
    </row>
    <row r="723" spans="1:27" ht="13.15">
      <c r="A723" s="12"/>
      <c r="B723" s="45"/>
      <c r="C723" s="45"/>
      <c r="D723" s="45"/>
      <c r="E723" s="45"/>
      <c r="F723" s="45"/>
      <c r="G723" s="45"/>
      <c r="H723" s="45"/>
      <c r="I723" s="45"/>
      <c r="J723" s="45"/>
      <c r="K723" s="45"/>
      <c r="L723" s="45"/>
      <c r="M723" s="45"/>
      <c r="N723" s="2"/>
      <c r="O723" s="2"/>
      <c r="P723" s="2"/>
      <c r="Q723" s="2"/>
      <c r="R723" s="2"/>
      <c r="S723" s="2"/>
      <c r="T723" s="2"/>
      <c r="U723" s="2"/>
      <c r="V723" s="2"/>
      <c r="W723" s="2"/>
      <c r="X723" s="2"/>
      <c r="Y723" s="2"/>
      <c r="Z723" s="2"/>
      <c r="AA723" s="2"/>
    </row>
    <row r="724" spans="1:27" ht="13.15">
      <c r="A724" s="12"/>
      <c r="B724" s="45"/>
      <c r="C724" s="45"/>
      <c r="D724" s="45"/>
      <c r="E724" s="45"/>
      <c r="F724" s="45"/>
      <c r="G724" s="45"/>
      <c r="H724" s="45"/>
      <c r="I724" s="45"/>
      <c r="J724" s="45"/>
      <c r="K724" s="45"/>
      <c r="L724" s="45"/>
      <c r="M724" s="45"/>
      <c r="N724" s="2"/>
      <c r="O724" s="2"/>
      <c r="P724" s="2"/>
      <c r="Q724" s="2"/>
      <c r="R724" s="2"/>
      <c r="S724" s="2"/>
      <c r="T724" s="2"/>
      <c r="U724" s="2"/>
      <c r="V724" s="2"/>
      <c r="W724" s="2"/>
      <c r="X724" s="2"/>
      <c r="Y724" s="2"/>
      <c r="Z724" s="2"/>
      <c r="AA724" s="2"/>
    </row>
    <row r="725" spans="1:27" ht="13.15">
      <c r="A725" s="12"/>
      <c r="B725" s="45"/>
      <c r="C725" s="45"/>
      <c r="D725" s="45"/>
      <c r="E725" s="45"/>
      <c r="F725" s="45"/>
      <c r="G725" s="45"/>
      <c r="H725" s="45"/>
      <c r="I725" s="45"/>
      <c r="J725" s="45"/>
      <c r="K725" s="45"/>
      <c r="L725" s="45"/>
      <c r="M725" s="45"/>
      <c r="N725" s="2"/>
      <c r="O725" s="2"/>
      <c r="P725" s="2"/>
      <c r="Q725" s="2"/>
      <c r="R725" s="2"/>
      <c r="S725" s="2"/>
      <c r="T725" s="2"/>
      <c r="U725" s="2"/>
      <c r="V725" s="2"/>
      <c r="W725" s="2"/>
      <c r="X725" s="2"/>
      <c r="Y725" s="2"/>
      <c r="Z725" s="2"/>
      <c r="AA725" s="2"/>
    </row>
    <row r="726" spans="1:27" ht="13.15">
      <c r="A726" s="12"/>
      <c r="B726" s="45"/>
      <c r="C726" s="45"/>
      <c r="D726" s="45"/>
      <c r="E726" s="45"/>
      <c r="F726" s="45"/>
      <c r="G726" s="45"/>
      <c r="H726" s="45"/>
      <c r="I726" s="45"/>
      <c r="J726" s="45"/>
      <c r="K726" s="45"/>
      <c r="L726" s="45"/>
      <c r="M726" s="45"/>
      <c r="N726" s="2"/>
      <c r="O726" s="2"/>
      <c r="P726" s="2"/>
      <c r="Q726" s="2"/>
      <c r="R726" s="2"/>
      <c r="S726" s="2"/>
      <c r="T726" s="2"/>
      <c r="U726" s="2"/>
      <c r="V726" s="2"/>
      <c r="W726" s="2"/>
      <c r="X726" s="2"/>
      <c r="Y726" s="2"/>
      <c r="Z726" s="2"/>
      <c r="AA726" s="2"/>
    </row>
    <row r="727" spans="1:27" ht="13.15">
      <c r="A727" s="12"/>
      <c r="B727" s="45"/>
      <c r="C727" s="45"/>
      <c r="D727" s="45"/>
      <c r="E727" s="45"/>
      <c r="F727" s="45"/>
      <c r="G727" s="45"/>
      <c r="H727" s="45"/>
      <c r="I727" s="45"/>
      <c r="J727" s="45"/>
      <c r="K727" s="45"/>
      <c r="L727" s="45"/>
      <c r="M727" s="45"/>
      <c r="N727" s="2"/>
      <c r="O727" s="2"/>
      <c r="P727" s="2"/>
      <c r="Q727" s="2"/>
      <c r="R727" s="2"/>
      <c r="S727" s="2"/>
      <c r="T727" s="2"/>
      <c r="U727" s="2"/>
      <c r="V727" s="2"/>
      <c r="W727" s="2"/>
      <c r="X727" s="2"/>
      <c r="Y727" s="2"/>
      <c r="Z727" s="2"/>
      <c r="AA727" s="2"/>
    </row>
    <row r="728" spans="1:27" ht="13.15">
      <c r="A728" s="12"/>
      <c r="B728" s="45"/>
      <c r="C728" s="45"/>
      <c r="D728" s="45"/>
      <c r="E728" s="45"/>
      <c r="F728" s="45"/>
      <c r="G728" s="45"/>
      <c r="H728" s="45"/>
      <c r="I728" s="45"/>
      <c r="J728" s="45"/>
      <c r="K728" s="45"/>
      <c r="L728" s="45"/>
      <c r="M728" s="45"/>
      <c r="N728" s="2"/>
      <c r="O728" s="2"/>
      <c r="P728" s="2"/>
      <c r="Q728" s="2"/>
      <c r="R728" s="2"/>
      <c r="S728" s="2"/>
      <c r="T728" s="2"/>
      <c r="U728" s="2"/>
      <c r="V728" s="2"/>
      <c r="W728" s="2"/>
      <c r="X728" s="2"/>
      <c r="Y728" s="2"/>
      <c r="Z728" s="2"/>
      <c r="AA728" s="2"/>
    </row>
    <row r="729" spans="1:27" ht="13.15">
      <c r="A729" s="12"/>
      <c r="B729" s="45"/>
      <c r="C729" s="45"/>
      <c r="D729" s="45"/>
      <c r="E729" s="45"/>
      <c r="F729" s="45"/>
      <c r="G729" s="45"/>
      <c r="H729" s="45"/>
      <c r="I729" s="45"/>
      <c r="J729" s="45"/>
      <c r="K729" s="45"/>
      <c r="L729" s="45"/>
      <c r="M729" s="45"/>
      <c r="N729" s="2"/>
      <c r="O729" s="2"/>
      <c r="P729" s="2"/>
      <c r="Q729" s="2"/>
      <c r="R729" s="2"/>
      <c r="S729" s="2"/>
      <c r="T729" s="2"/>
      <c r="U729" s="2"/>
      <c r="V729" s="2"/>
      <c r="W729" s="2"/>
      <c r="X729" s="2"/>
      <c r="Y729" s="2"/>
      <c r="Z729" s="2"/>
      <c r="AA729" s="2"/>
    </row>
    <row r="730" spans="1:27" ht="13.15">
      <c r="A730" s="12"/>
      <c r="B730" s="45"/>
      <c r="C730" s="45"/>
      <c r="D730" s="45"/>
      <c r="E730" s="45"/>
      <c r="F730" s="45"/>
      <c r="G730" s="45"/>
      <c r="H730" s="45"/>
      <c r="I730" s="45"/>
      <c r="J730" s="45"/>
      <c r="K730" s="45"/>
      <c r="L730" s="45"/>
      <c r="M730" s="45"/>
      <c r="N730" s="2"/>
      <c r="O730" s="2"/>
      <c r="P730" s="2"/>
      <c r="Q730" s="2"/>
      <c r="R730" s="2"/>
      <c r="S730" s="2"/>
      <c r="T730" s="2"/>
      <c r="U730" s="2"/>
      <c r="V730" s="2"/>
      <c r="W730" s="2"/>
      <c r="X730" s="2"/>
      <c r="Y730" s="2"/>
      <c r="Z730" s="2"/>
      <c r="AA730" s="2"/>
    </row>
    <row r="731" spans="1:27" ht="13.15">
      <c r="A731" s="12"/>
      <c r="B731" s="45"/>
      <c r="C731" s="45"/>
      <c r="D731" s="45"/>
      <c r="E731" s="45"/>
      <c r="F731" s="45"/>
      <c r="G731" s="45"/>
      <c r="H731" s="45"/>
      <c r="I731" s="45"/>
      <c r="J731" s="45"/>
      <c r="K731" s="45"/>
      <c r="L731" s="45"/>
      <c r="M731" s="45"/>
      <c r="N731" s="2"/>
      <c r="O731" s="2"/>
      <c r="P731" s="2"/>
      <c r="Q731" s="2"/>
      <c r="R731" s="2"/>
      <c r="S731" s="2"/>
      <c r="T731" s="2"/>
      <c r="U731" s="2"/>
      <c r="V731" s="2"/>
      <c r="W731" s="2"/>
      <c r="X731" s="2"/>
      <c r="Y731" s="2"/>
      <c r="Z731" s="2"/>
      <c r="AA731" s="2"/>
    </row>
    <row r="732" spans="1:27" ht="13.15">
      <c r="A732" s="12"/>
      <c r="B732" s="45"/>
      <c r="C732" s="45"/>
      <c r="D732" s="45"/>
      <c r="E732" s="45"/>
      <c r="F732" s="45"/>
      <c r="G732" s="45"/>
      <c r="H732" s="45"/>
      <c r="I732" s="45"/>
      <c r="J732" s="45"/>
      <c r="K732" s="45"/>
      <c r="L732" s="45"/>
      <c r="M732" s="45"/>
      <c r="N732" s="2"/>
      <c r="O732" s="2"/>
      <c r="P732" s="2"/>
      <c r="Q732" s="2"/>
      <c r="R732" s="2"/>
      <c r="S732" s="2"/>
      <c r="T732" s="2"/>
      <c r="U732" s="2"/>
      <c r="V732" s="2"/>
      <c r="W732" s="2"/>
      <c r="X732" s="2"/>
      <c r="Y732" s="2"/>
      <c r="Z732" s="2"/>
      <c r="AA732" s="2"/>
    </row>
    <row r="733" spans="1:27" ht="13.15">
      <c r="A733" s="12"/>
      <c r="B733" s="45"/>
      <c r="C733" s="45"/>
      <c r="D733" s="45"/>
      <c r="E733" s="45"/>
      <c r="F733" s="45"/>
      <c r="G733" s="45"/>
      <c r="H733" s="45"/>
      <c r="I733" s="45"/>
      <c r="J733" s="45"/>
      <c r="K733" s="45"/>
      <c r="L733" s="45"/>
      <c r="M733" s="45"/>
      <c r="N733" s="2"/>
      <c r="O733" s="2"/>
      <c r="P733" s="2"/>
      <c r="Q733" s="2"/>
      <c r="R733" s="2"/>
      <c r="S733" s="2"/>
      <c r="T733" s="2"/>
      <c r="U733" s="2"/>
      <c r="V733" s="2"/>
      <c r="W733" s="2"/>
      <c r="X733" s="2"/>
      <c r="Y733" s="2"/>
      <c r="Z733" s="2"/>
      <c r="AA733" s="2"/>
    </row>
    <row r="734" spans="1:27" ht="13.15">
      <c r="A734" s="12"/>
      <c r="B734" s="45"/>
      <c r="C734" s="45"/>
      <c r="D734" s="45"/>
      <c r="E734" s="45"/>
      <c r="F734" s="45"/>
      <c r="G734" s="45"/>
      <c r="H734" s="45"/>
      <c r="I734" s="45"/>
      <c r="J734" s="45"/>
      <c r="K734" s="45"/>
      <c r="L734" s="45"/>
      <c r="M734" s="45"/>
      <c r="N734" s="2"/>
      <c r="O734" s="2"/>
      <c r="P734" s="2"/>
      <c r="Q734" s="2"/>
      <c r="R734" s="2"/>
      <c r="S734" s="2"/>
      <c r="T734" s="2"/>
      <c r="U734" s="2"/>
      <c r="V734" s="2"/>
      <c r="W734" s="2"/>
      <c r="X734" s="2"/>
      <c r="Y734" s="2"/>
      <c r="Z734" s="2"/>
      <c r="AA734" s="2"/>
    </row>
    <row r="735" spans="1:27" ht="13.15">
      <c r="A735" s="12"/>
      <c r="B735" s="45"/>
      <c r="C735" s="45"/>
      <c r="D735" s="45"/>
      <c r="E735" s="45"/>
      <c r="F735" s="45"/>
      <c r="G735" s="45"/>
      <c r="H735" s="45"/>
      <c r="I735" s="45"/>
      <c r="J735" s="45"/>
      <c r="K735" s="45"/>
      <c r="L735" s="45"/>
      <c r="M735" s="45"/>
      <c r="N735" s="2"/>
      <c r="O735" s="2"/>
      <c r="P735" s="2"/>
      <c r="Q735" s="2"/>
      <c r="R735" s="2"/>
      <c r="S735" s="2"/>
      <c r="T735" s="2"/>
      <c r="U735" s="2"/>
      <c r="V735" s="2"/>
      <c r="W735" s="2"/>
      <c r="X735" s="2"/>
      <c r="Y735" s="2"/>
      <c r="Z735" s="2"/>
      <c r="AA735" s="2"/>
    </row>
    <row r="736" spans="1:27" ht="13.15">
      <c r="A736" s="12"/>
      <c r="B736" s="45"/>
      <c r="C736" s="45"/>
      <c r="D736" s="45"/>
      <c r="E736" s="45"/>
      <c r="F736" s="45"/>
      <c r="G736" s="45"/>
      <c r="H736" s="45"/>
      <c r="I736" s="45"/>
      <c r="J736" s="45"/>
      <c r="K736" s="45"/>
      <c r="L736" s="45"/>
      <c r="M736" s="45"/>
      <c r="N736" s="2"/>
      <c r="O736" s="2"/>
      <c r="P736" s="2"/>
      <c r="Q736" s="2"/>
      <c r="R736" s="2"/>
      <c r="S736" s="2"/>
      <c r="T736" s="2"/>
      <c r="U736" s="2"/>
      <c r="V736" s="2"/>
      <c r="W736" s="2"/>
      <c r="X736" s="2"/>
      <c r="Y736" s="2"/>
      <c r="Z736" s="2"/>
      <c r="AA736" s="2"/>
    </row>
    <row r="737" spans="1:27" ht="13.15">
      <c r="A737" s="12"/>
      <c r="B737" s="45"/>
      <c r="C737" s="45"/>
      <c r="D737" s="45"/>
      <c r="E737" s="45"/>
      <c r="F737" s="45"/>
      <c r="G737" s="45"/>
      <c r="H737" s="45"/>
      <c r="I737" s="45"/>
      <c r="J737" s="45"/>
      <c r="K737" s="45"/>
      <c r="L737" s="45"/>
      <c r="M737" s="45"/>
      <c r="N737" s="2"/>
      <c r="O737" s="2"/>
      <c r="P737" s="2"/>
      <c r="Q737" s="2"/>
      <c r="R737" s="2"/>
      <c r="S737" s="2"/>
      <c r="T737" s="2"/>
      <c r="U737" s="2"/>
      <c r="V737" s="2"/>
      <c r="W737" s="2"/>
      <c r="X737" s="2"/>
      <c r="Y737" s="2"/>
      <c r="Z737" s="2"/>
      <c r="AA737" s="2"/>
    </row>
    <row r="738" spans="1:27" ht="13.15">
      <c r="A738" s="12"/>
      <c r="B738" s="45"/>
      <c r="C738" s="45"/>
      <c r="D738" s="45"/>
      <c r="E738" s="45"/>
      <c r="F738" s="45"/>
      <c r="G738" s="45"/>
      <c r="H738" s="45"/>
      <c r="I738" s="45"/>
      <c r="J738" s="45"/>
      <c r="K738" s="45"/>
      <c r="L738" s="45"/>
      <c r="M738" s="45"/>
      <c r="N738" s="2"/>
      <c r="O738" s="2"/>
      <c r="P738" s="2"/>
      <c r="Q738" s="2"/>
      <c r="R738" s="2"/>
      <c r="S738" s="2"/>
      <c r="T738" s="2"/>
      <c r="U738" s="2"/>
      <c r="V738" s="2"/>
      <c r="W738" s="2"/>
      <c r="X738" s="2"/>
      <c r="Y738" s="2"/>
      <c r="Z738" s="2"/>
      <c r="AA738" s="2"/>
    </row>
    <row r="739" spans="1:27" ht="13.15">
      <c r="A739" s="12"/>
      <c r="B739" s="45"/>
      <c r="C739" s="45"/>
      <c r="D739" s="45"/>
      <c r="E739" s="45"/>
      <c r="F739" s="45"/>
      <c r="G739" s="45"/>
      <c r="H739" s="45"/>
      <c r="I739" s="45"/>
      <c r="J739" s="45"/>
      <c r="K739" s="45"/>
      <c r="L739" s="45"/>
      <c r="M739" s="45"/>
      <c r="N739" s="2"/>
      <c r="O739" s="2"/>
      <c r="P739" s="2"/>
      <c r="Q739" s="2"/>
      <c r="R739" s="2"/>
      <c r="S739" s="2"/>
      <c r="T739" s="2"/>
      <c r="U739" s="2"/>
      <c r="V739" s="2"/>
      <c r="W739" s="2"/>
      <c r="X739" s="2"/>
      <c r="Y739" s="2"/>
      <c r="Z739" s="2"/>
      <c r="AA739" s="2"/>
    </row>
    <row r="740" spans="1:27" ht="13.15">
      <c r="A740" s="12"/>
      <c r="B740" s="45"/>
      <c r="C740" s="45"/>
      <c r="D740" s="45"/>
      <c r="E740" s="45"/>
      <c r="F740" s="45"/>
      <c r="G740" s="45"/>
      <c r="H740" s="45"/>
      <c r="I740" s="45"/>
      <c r="J740" s="45"/>
      <c r="K740" s="45"/>
      <c r="L740" s="45"/>
      <c r="M740" s="45"/>
      <c r="N740" s="2"/>
      <c r="O740" s="2"/>
      <c r="P740" s="2"/>
      <c r="Q740" s="2"/>
      <c r="R740" s="2"/>
      <c r="S740" s="2"/>
      <c r="T740" s="2"/>
      <c r="U740" s="2"/>
      <c r="V740" s="2"/>
      <c r="W740" s="2"/>
      <c r="X740" s="2"/>
      <c r="Y740" s="2"/>
      <c r="Z740" s="2"/>
      <c r="AA740" s="2"/>
    </row>
    <row r="741" spans="1:27" ht="13.15">
      <c r="A741" s="12"/>
      <c r="B741" s="45"/>
      <c r="C741" s="45"/>
      <c r="D741" s="45"/>
      <c r="E741" s="45"/>
      <c r="F741" s="45"/>
      <c r="G741" s="45"/>
      <c r="H741" s="45"/>
      <c r="I741" s="45"/>
      <c r="J741" s="45"/>
      <c r="K741" s="45"/>
      <c r="L741" s="45"/>
      <c r="M741" s="45"/>
      <c r="N741" s="2"/>
      <c r="O741" s="2"/>
      <c r="P741" s="2"/>
      <c r="Q741" s="2"/>
      <c r="R741" s="2"/>
      <c r="S741" s="2"/>
      <c r="T741" s="2"/>
      <c r="U741" s="2"/>
      <c r="V741" s="2"/>
      <c r="W741" s="2"/>
      <c r="X741" s="2"/>
      <c r="Y741" s="2"/>
      <c r="Z741" s="2"/>
      <c r="AA741" s="2"/>
    </row>
    <row r="742" spans="1:27" ht="13.15">
      <c r="A742" s="12"/>
      <c r="B742" s="45"/>
      <c r="C742" s="45"/>
      <c r="D742" s="45"/>
      <c r="E742" s="45"/>
      <c r="F742" s="45"/>
      <c r="G742" s="45"/>
      <c r="H742" s="45"/>
      <c r="I742" s="45"/>
      <c r="J742" s="45"/>
      <c r="K742" s="45"/>
      <c r="L742" s="45"/>
      <c r="M742" s="45"/>
      <c r="N742" s="2"/>
      <c r="O742" s="2"/>
      <c r="P742" s="2"/>
      <c r="Q742" s="2"/>
      <c r="R742" s="2"/>
      <c r="S742" s="2"/>
      <c r="T742" s="2"/>
      <c r="U742" s="2"/>
      <c r="V742" s="2"/>
      <c r="W742" s="2"/>
      <c r="X742" s="2"/>
      <c r="Y742" s="2"/>
      <c r="Z742" s="2"/>
      <c r="AA742" s="2"/>
    </row>
    <row r="743" spans="1:27" ht="13.15">
      <c r="A743" s="12"/>
      <c r="B743" s="45"/>
      <c r="C743" s="45"/>
      <c r="D743" s="45"/>
      <c r="E743" s="45"/>
      <c r="F743" s="45"/>
      <c r="G743" s="45"/>
      <c r="H743" s="45"/>
      <c r="I743" s="45"/>
      <c r="J743" s="45"/>
      <c r="K743" s="45"/>
      <c r="L743" s="45"/>
      <c r="M743" s="45"/>
      <c r="N743" s="2"/>
      <c r="O743" s="2"/>
      <c r="P743" s="2"/>
      <c r="Q743" s="2"/>
      <c r="R743" s="2"/>
      <c r="S743" s="2"/>
      <c r="T743" s="2"/>
      <c r="U743" s="2"/>
      <c r="V743" s="2"/>
      <c r="W743" s="2"/>
      <c r="X743" s="2"/>
      <c r="Y743" s="2"/>
      <c r="Z743" s="2"/>
      <c r="AA743" s="2"/>
    </row>
    <row r="744" spans="1:27" ht="13.15">
      <c r="A744" s="12"/>
      <c r="B744" s="45"/>
      <c r="C744" s="45"/>
      <c r="D744" s="45"/>
      <c r="E744" s="45"/>
      <c r="F744" s="45"/>
      <c r="G744" s="45"/>
      <c r="H744" s="45"/>
      <c r="I744" s="45"/>
      <c r="J744" s="45"/>
      <c r="K744" s="45"/>
      <c r="L744" s="45"/>
      <c r="M744" s="45"/>
      <c r="N744" s="2"/>
      <c r="O744" s="2"/>
      <c r="P744" s="2"/>
      <c r="Q744" s="2"/>
      <c r="R744" s="2"/>
      <c r="S744" s="2"/>
      <c r="T744" s="2"/>
      <c r="U744" s="2"/>
      <c r="V744" s="2"/>
      <c r="W744" s="2"/>
      <c r="X744" s="2"/>
      <c r="Y744" s="2"/>
      <c r="Z744" s="2"/>
      <c r="AA744" s="2"/>
    </row>
    <row r="745" spans="1:27" ht="13.15">
      <c r="A745" s="12"/>
      <c r="B745" s="45"/>
      <c r="C745" s="45"/>
      <c r="D745" s="45"/>
      <c r="E745" s="45"/>
      <c r="F745" s="45"/>
      <c r="G745" s="45"/>
      <c r="H745" s="45"/>
      <c r="I745" s="45"/>
      <c r="J745" s="45"/>
      <c r="K745" s="45"/>
      <c r="L745" s="45"/>
      <c r="M745" s="45"/>
      <c r="N745" s="2"/>
      <c r="O745" s="2"/>
      <c r="P745" s="2"/>
      <c r="Q745" s="2"/>
      <c r="R745" s="2"/>
      <c r="S745" s="2"/>
      <c r="T745" s="2"/>
      <c r="U745" s="2"/>
      <c r="V745" s="2"/>
      <c r="W745" s="2"/>
      <c r="X745" s="2"/>
      <c r="Y745" s="2"/>
      <c r="Z745" s="2"/>
      <c r="AA745" s="2"/>
    </row>
    <row r="746" spans="1:27" ht="13.15">
      <c r="A746" s="12"/>
      <c r="B746" s="45"/>
      <c r="C746" s="45"/>
      <c r="D746" s="45"/>
      <c r="E746" s="45"/>
      <c r="F746" s="45"/>
      <c r="G746" s="45"/>
      <c r="H746" s="45"/>
      <c r="I746" s="45"/>
      <c r="J746" s="45"/>
      <c r="K746" s="45"/>
      <c r="L746" s="45"/>
      <c r="M746" s="45"/>
      <c r="N746" s="2"/>
      <c r="O746" s="2"/>
      <c r="P746" s="2"/>
      <c r="Q746" s="2"/>
      <c r="R746" s="2"/>
      <c r="S746" s="2"/>
      <c r="T746" s="2"/>
      <c r="U746" s="2"/>
      <c r="V746" s="2"/>
      <c r="W746" s="2"/>
      <c r="X746" s="2"/>
      <c r="Y746" s="2"/>
      <c r="Z746" s="2"/>
      <c r="AA746" s="2"/>
    </row>
    <row r="747" spans="1:27" ht="13.15">
      <c r="A747" s="12"/>
      <c r="B747" s="45"/>
      <c r="C747" s="45"/>
      <c r="D747" s="45"/>
      <c r="E747" s="45"/>
      <c r="F747" s="45"/>
      <c r="G747" s="45"/>
      <c r="H747" s="45"/>
      <c r="I747" s="45"/>
      <c r="J747" s="45"/>
      <c r="K747" s="45"/>
      <c r="L747" s="45"/>
      <c r="M747" s="45"/>
      <c r="N747" s="2"/>
      <c r="O747" s="2"/>
      <c r="P747" s="2"/>
      <c r="Q747" s="2"/>
      <c r="R747" s="2"/>
      <c r="S747" s="2"/>
      <c r="T747" s="2"/>
      <c r="U747" s="2"/>
      <c r="V747" s="2"/>
      <c r="W747" s="2"/>
      <c r="X747" s="2"/>
      <c r="Y747" s="2"/>
      <c r="Z747" s="2"/>
      <c r="AA747" s="2"/>
    </row>
    <row r="748" spans="1:27" ht="13.15">
      <c r="A748" s="12"/>
      <c r="B748" s="45"/>
      <c r="C748" s="45"/>
      <c r="D748" s="45"/>
      <c r="E748" s="45"/>
      <c r="F748" s="45"/>
      <c r="G748" s="45"/>
      <c r="H748" s="45"/>
      <c r="I748" s="45"/>
      <c r="J748" s="45"/>
      <c r="K748" s="45"/>
      <c r="L748" s="45"/>
      <c r="M748" s="45"/>
      <c r="N748" s="2"/>
      <c r="O748" s="2"/>
      <c r="P748" s="2"/>
      <c r="Q748" s="2"/>
      <c r="R748" s="2"/>
      <c r="S748" s="2"/>
      <c r="T748" s="2"/>
      <c r="U748" s="2"/>
      <c r="V748" s="2"/>
      <c r="W748" s="2"/>
      <c r="X748" s="2"/>
      <c r="Y748" s="2"/>
      <c r="Z748" s="2"/>
      <c r="AA748" s="2"/>
    </row>
    <row r="749" spans="1:27" ht="13.15">
      <c r="A749" s="12"/>
      <c r="B749" s="45"/>
      <c r="C749" s="45"/>
      <c r="D749" s="45"/>
      <c r="E749" s="45"/>
      <c r="F749" s="45"/>
      <c r="G749" s="45"/>
      <c r="H749" s="45"/>
      <c r="I749" s="45"/>
      <c r="J749" s="45"/>
      <c r="K749" s="45"/>
      <c r="L749" s="45"/>
      <c r="M749" s="45"/>
      <c r="N749" s="2"/>
      <c r="O749" s="2"/>
      <c r="P749" s="2"/>
      <c r="Q749" s="2"/>
      <c r="R749" s="2"/>
      <c r="S749" s="2"/>
      <c r="T749" s="2"/>
      <c r="U749" s="2"/>
      <c r="V749" s="2"/>
      <c r="W749" s="2"/>
      <c r="X749" s="2"/>
      <c r="Y749" s="2"/>
      <c r="Z749" s="2"/>
      <c r="AA749" s="2"/>
    </row>
    <row r="750" spans="1:27" ht="13.15">
      <c r="A750" s="12"/>
      <c r="B750" s="45"/>
      <c r="C750" s="45"/>
      <c r="D750" s="45"/>
      <c r="E750" s="45"/>
      <c r="F750" s="45"/>
      <c r="G750" s="45"/>
      <c r="H750" s="45"/>
      <c r="I750" s="45"/>
      <c r="J750" s="45"/>
      <c r="K750" s="45"/>
      <c r="L750" s="45"/>
      <c r="M750" s="45"/>
      <c r="N750" s="2"/>
      <c r="O750" s="2"/>
      <c r="P750" s="2"/>
      <c r="Q750" s="2"/>
      <c r="R750" s="2"/>
      <c r="S750" s="2"/>
      <c r="T750" s="2"/>
      <c r="U750" s="2"/>
      <c r="V750" s="2"/>
      <c r="W750" s="2"/>
      <c r="X750" s="2"/>
      <c r="Y750" s="2"/>
      <c r="Z750" s="2"/>
      <c r="AA750" s="2"/>
    </row>
    <row r="751" spans="1:27" ht="13.15">
      <c r="A751" s="12"/>
      <c r="B751" s="45"/>
      <c r="C751" s="45"/>
      <c r="D751" s="45"/>
      <c r="E751" s="45"/>
      <c r="F751" s="45"/>
      <c r="G751" s="45"/>
      <c r="H751" s="45"/>
      <c r="I751" s="45"/>
      <c r="J751" s="45"/>
      <c r="K751" s="45"/>
      <c r="L751" s="45"/>
      <c r="M751" s="45"/>
      <c r="N751" s="2"/>
      <c r="O751" s="2"/>
      <c r="P751" s="2"/>
      <c r="Q751" s="2"/>
      <c r="R751" s="2"/>
      <c r="S751" s="2"/>
      <c r="T751" s="2"/>
      <c r="U751" s="2"/>
      <c r="V751" s="2"/>
      <c r="W751" s="2"/>
      <c r="X751" s="2"/>
      <c r="Y751" s="2"/>
      <c r="Z751" s="2"/>
      <c r="AA751" s="2"/>
    </row>
    <row r="752" spans="1:27" ht="13.15">
      <c r="A752" s="12"/>
      <c r="B752" s="45"/>
      <c r="C752" s="45"/>
      <c r="D752" s="45"/>
      <c r="E752" s="45"/>
      <c r="F752" s="45"/>
      <c r="G752" s="45"/>
      <c r="H752" s="45"/>
      <c r="I752" s="45"/>
      <c r="J752" s="45"/>
      <c r="K752" s="45"/>
      <c r="L752" s="45"/>
      <c r="M752" s="45"/>
      <c r="N752" s="2"/>
      <c r="O752" s="2"/>
      <c r="P752" s="2"/>
      <c r="Q752" s="2"/>
      <c r="R752" s="2"/>
      <c r="S752" s="2"/>
      <c r="T752" s="2"/>
      <c r="U752" s="2"/>
      <c r="V752" s="2"/>
      <c r="W752" s="2"/>
      <c r="X752" s="2"/>
      <c r="Y752" s="2"/>
      <c r="Z752" s="2"/>
      <c r="AA752" s="2"/>
    </row>
    <row r="753" spans="1:27" ht="13.15">
      <c r="A753" s="12"/>
      <c r="B753" s="45"/>
      <c r="C753" s="45"/>
      <c r="D753" s="45"/>
      <c r="E753" s="45"/>
      <c r="F753" s="45"/>
      <c r="G753" s="45"/>
      <c r="H753" s="45"/>
      <c r="I753" s="45"/>
      <c r="J753" s="45"/>
      <c r="K753" s="45"/>
      <c r="L753" s="45"/>
      <c r="M753" s="45"/>
      <c r="N753" s="2"/>
      <c r="O753" s="2"/>
      <c r="P753" s="2"/>
      <c r="Q753" s="2"/>
      <c r="R753" s="2"/>
      <c r="S753" s="2"/>
      <c r="T753" s="2"/>
      <c r="U753" s="2"/>
      <c r="V753" s="2"/>
      <c r="W753" s="2"/>
      <c r="X753" s="2"/>
      <c r="Y753" s="2"/>
      <c r="Z753" s="2"/>
      <c r="AA753" s="2"/>
    </row>
    <row r="754" spans="1:27" ht="13.15">
      <c r="A754" s="12"/>
      <c r="B754" s="45"/>
      <c r="C754" s="45"/>
      <c r="D754" s="45"/>
      <c r="E754" s="45"/>
      <c r="F754" s="45"/>
      <c r="G754" s="45"/>
      <c r="H754" s="45"/>
      <c r="I754" s="45"/>
      <c r="J754" s="45"/>
      <c r="K754" s="45"/>
      <c r="L754" s="45"/>
      <c r="M754" s="45"/>
      <c r="N754" s="2"/>
      <c r="O754" s="2"/>
      <c r="P754" s="2"/>
      <c r="Q754" s="2"/>
      <c r="R754" s="2"/>
      <c r="S754" s="2"/>
      <c r="T754" s="2"/>
      <c r="U754" s="2"/>
      <c r="V754" s="2"/>
      <c r="W754" s="2"/>
      <c r="X754" s="2"/>
      <c r="Y754" s="2"/>
      <c r="Z754" s="2"/>
      <c r="AA754" s="2"/>
    </row>
    <row r="755" spans="1:27" ht="13.15">
      <c r="A755" s="12"/>
      <c r="B755" s="45"/>
      <c r="C755" s="45"/>
      <c r="D755" s="45"/>
      <c r="E755" s="45"/>
      <c r="F755" s="45"/>
      <c r="G755" s="45"/>
      <c r="H755" s="45"/>
      <c r="I755" s="45"/>
      <c r="J755" s="45"/>
      <c r="K755" s="45"/>
      <c r="L755" s="45"/>
      <c r="M755" s="45"/>
      <c r="N755" s="2"/>
      <c r="O755" s="2"/>
      <c r="P755" s="2"/>
      <c r="Q755" s="2"/>
      <c r="R755" s="2"/>
      <c r="S755" s="2"/>
      <c r="T755" s="2"/>
      <c r="U755" s="2"/>
      <c r="V755" s="2"/>
      <c r="W755" s="2"/>
      <c r="X755" s="2"/>
      <c r="Y755" s="2"/>
      <c r="Z755" s="2"/>
      <c r="AA755" s="2"/>
    </row>
    <row r="756" spans="1:27" ht="13.15">
      <c r="A756" s="12"/>
      <c r="B756" s="45"/>
      <c r="C756" s="45"/>
      <c r="D756" s="45"/>
      <c r="E756" s="45"/>
      <c r="F756" s="45"/>
      <c r="G756" s="45"/>
      <c r="H756" s="45"/>
      <c r="I756" s="45"/>
      <c r="J756" s="45"/>
      <c r="K756" s="45"/>
      <c r="L756" s="45"/>
      <c r="M756" s="45"/>
      <c r="N756" s="2"/>
      <c r="O756" s="2"/>
      <c r="P756" s="2"/>
      <c r="Q756" s="2"/>
      <c r="R756" s="2"/>
      <c r="S756" s="2"/>
      <c r="T756" s="2"/>
      <c r="U756" s="2"/>
      <c r="V756" s="2"/>
      <c r="W756" s="2"/>
      <c r="X756" s="2"/>
      <c r="Y756" s="2"/>
      <c r="Z756" s="2"/>
      <c r="AA756" s="2"/>
    </row>
    <row r="757" spans="1:27" ht="13.15">
      <c r="A757" s="12"/>
      <c r="B757" s="45"/>
      <c r="C757" s="45"/>
      <c r="D757" s="45"/>
      <c r="E757" s="45"/>
      <c r="F757" s="45"/>
      <c r="G757" s="45"/>
      <c r="H757" s="45"/>
      <c r="I757" s="45"/>
      <c r="J757" s="45"/>
      <c r="K757" s="45"/>
      <c r="L757" s="45"/>
      <c r="M757" s="45"/>
      <c r="N757" s="2"/>
      <c r="O757" s="2"/>
      <c r="P757" s="2"/>
      <c r="Q757" s="2"/>
      <c r="R757" s="2"/>
      <c r="S757" s="2"/>
      <c r="T757" s="2"/>
      <c r="U757" s="2"/>
      <c r="V757" s="2"/>
      <c r="W757" s="2"/>
      <c r="X757" s="2"/>
      <c r="Y757" s="2"/>
      <c r="Z757" s="2"/>
      <c r="AA757" s="2"/>
    </row>
    <row r="758" spans="1:27" ht="13.15">
      <c r="A758" s="12"/>
      <c r="B758" s="45"/>
      <c r="C758" s="45"/>
      <c r="D758" s="45"/>
      <c r="E758" s="45"/>
      <c r="F758" s="45"/>
      <c r="G758" s="45"/>
      <c r="H758" s="45"/>
      <c r="I758" s="45"/>
      <c r="J758" s="45"/>
      <c r="K758" s="45"/>
      <c r="L758" s="45"/>
      <c r="M758" s="45"/>
      <c r="N758" s="2"/>
      <c r="O758" s="2"/>
      <c r="P758" s="2"/>
      <c r="Q758" s="2"/>
      <c r="R758" s="2"/>
      <c r="S758" s="2"/>
      <c r="T758" s="2"/>
      <c r="U758" s="2"/>
      <c r="V758" s="2"/>
      <c r="W758" s="2"/>
      <c r="X758" s="2"/>
      <c r="Y758" s="2"/>
      <c r="Z758" s="2"/>
      <c r="AA758" s="2"/>
    </row>
    <row r="759" spans="1:27" ht="13.15">
      <c r="A759" s="12"/>
      <c r="B759" s="45"/>
      <c r="C759" s="45"/>
      <c r="D759" s="45"/>
      <c r="E759" s="45"/>
      <c r="F759" s="45"/>
      <c r="G759" s="45"/>
      <c r="H759" s="45"/>
      <c r="I759" s="45"/>
      <c r="J759" s="45"/>
      <c r="K759" s="45"/>
      <c r="L759" s="45"/>
      <c r="M759" s="45"/>
      <c r="N759" s="2"/>
      <c r="O759" s="2"/>
      <c r="P759" s="2"/>
      <c r="Q759" s="2"/>
      <c r="R759" s="2"/>
      <c r="S759" s="2"/>
      <c r="T759" s="2"/>
      <c r="U759" s="2"/>
      <c r="V759" s="2"/>
      <c r="W759" s="2"/>
      <c r="X759" s="2"/>
      <c r="Y759" s="2"/>
      <c r="Z759" s="2"/>
      <c r="AA759" s="2"/>
    </row>
    <row r="760" spans="1:27" ht="13.15">
      <c r="A760" s="12"/>
      <c r="B760" s="45"/>
      <c r="C760" s="45"/>
      <c r="D760" s="45"/>
      <c r="E760" s="45"/>
      <c r="F760" s="45"/>
      <c r="G760" s="45"/>
      <c r="H760" s="45"/>
      <c r="I760" s="45"/>
      <c r="J760" s="45"/>
      <c r="K760" s="45"/>
      <c r="L760" s="45"/>
      <c r="M760" s="45"/>
      <c r="N760" s="2"/>
      <c r="O760" s="2"/>
      <c r="P760" s="2"/>
      <c r="Q760" s="2"/>
      <c r="R760" s="2"/>
      <c r="S760" s="2"/>
      <c r="T760" s="2"/>
      <c r="U760" s="2"/>
      <c r="V760" s="2"/>
      <c r="W760" s="2"/>
      <c r="X760" s="2"/>
      <c r="Y760" s="2"/>
      <c r="Z760" s="2"/>
      <c r="AA760" s="2"/>
    </row>
    <row r="761" spans="1:27" ht="13.15">
      <c r="A761" s="12"/>
      <c r="B761" s="45"/>
      <c r="C761" s="45"/>
      <c r="D761" s="45"/>
      <c r="E761" s="45"/>
      <c r="F761" s="45"/>
      <c r="G761" s="45"/>
      <c r="H761" s="45"/>
      <c r="I761" s="45"/>
      <c r="J761" s="45"/>
      <c r="K761" s="45"/>
      <c r="L761" s="45"/>
      <c r="M761" s="45"/>
      <c r="N761" s="2"/>
      <c r="O761" s="2"/>
      <c r="P761" s="2"/>
      <c r="Q761" s="2"/>
      <c r="R761" s="2"/>
      <c r="S761" s="2"/>
      <c r="T761" s="2"/>
      <c r="U761" s="2"/>
      <c r="V761" s="2"/>
      <c r="W761" s="2"/>
      <c r="X761" s="2"/>
      <c r="Y761" s="2"/>
      <c r="Z761" s="2"/>
      <c r="AA761" s="2"/>
    </row>
    <row r="762" spans="1:27" ht="13.15">
      <c r="A762" s="12"/>
      <c r="B762" s="45"/>
      <c r="C762" s="45"/>
      <c r="D762" s="45"/>
      <c r="E762" s="45"/>
      <c r="F762" s="45"/>
      <c r="G762" s="45"/>
      <c r="H762" s="45"/>
      <c r="I762" s="45"/>
      <c r="J762" s="45"/>
      <c r="K762" s="45"/>
      <c r="L762" s="45"/>
      <c r="M762" s="45"/>
      <c r="N762" s="2"/>
      <c r="O762" s="2"/>
      <c r="P762" s="2"/>
      <c r="Q762" s="2"/>
      <c r="R762" s="2"/>
      <c r="S762" s="2"/>
      <c r="T762" s="2"/>
      <c r="U762" s="2"/>
      <c r="V762" s="2"/>
      <c r="W762" s="2"/>
      <c r="X762" s="2"/>
      <c r="Y762" s="2"/>
      <c r="Z762" s="2"/>
      <c r="AA762" s="2"/>
    </row>
    <row r="763" spans="1:27" ht="13.15">
      <c r="A763" s="12"/>
      <c r="B763" s="45"/>
      <c r="C763" s="45"/>
      <c r="D763" s="45"/>
      <c r="E763" s="45"/>
      <c r="F763" s="45"/>
      <c r="G763" s="45"/>
      <c r="H763" s="45"/>
      <c r="I763" s="45"/>
      <c r="J763" s="45"/>
      <c r="K763" s="45"/>
      <c r="L763" s="45"/>
      <c r="M763" s="45"/>
      <c r="N763" s="2"/>
      <c r="O763" s="2"/>
      <c r="P763" s="2"/>
      <c r="Q763" s="2"/>
      <c r="R763" s="2"/>
      <c r="S763" s="2"/>
      <c r="T763" s="2"/>
      <c r="U763" s="2"/>
      <c r="V763" s="2"/>
      <c r="W763" s="2"/>
      <c r="X763" s="2"/>
      <c r="Y763" s="2"/>
      <c r="Z763" s="2"/>
      <c r="AA763" s="2"/>
    </row>
    <row r="764" spans="1:27" ht="13.15">
      <c r="A764" s="12"/>
      <c r="B764" s="45"/>
      <c r="C764" s="45"/>
      <c r="D764" s="45"/>
      <c r="E764" s="45"/>
      <c r="F764" s="45"/>
      <c r="G764" s="45"/>
      <c r="H764" s="45"/>
      <c r="I764" s="45"/>
      <c r="J764" s="45"/>
      <c r="K764" s="45"/>
      <c r="L764" s="45"/>
      <c r="M764" s="45"/>
      <c r="N764" s="2"/>
      <c r="O764" s="2"/>
      <c r="P764" s="2"/>
      <c r="Q764" s="2"/>
      <c r="R764" s="2"/>
      <c r="S764" s="2"/>
      <c r="T764" s="2"/>
      <c r="U764" s="2"/>
      <c r="V764" s="2"/>
      <c r="W764" s="2"/>
      <c r="X764" s="2"/>
      <c r="Y764" s="2"/>
      <c r="Z764" s="2"/>
      <c r="AA764" s="2"/>
    </row>
    <row r="765" spans="1:27" ht="13.15">
      <c r="A765" s="12"/>
      <c r="B765" s="45"/>
      <c r="C765" s="45"/>
      <c r="D765" s="45"/>
      <c r="E765" s="45"/>
      <c r="F765" s="45"/>
      <c r="G765" s="45"/>
      <c r="H765" s="45"/>
      <c r="I765" s="45"/>
      <c r="J765" s="45"/>
      <c r="K765" s="45"/>
      <c r="L765" s="45"/>
      <c r="M765" s="45"/>
      <c r="N765" s="2"/>
      <c r="O765" s="2"/>
      <c r="P765" s="2"/>
      <c r="Q765" s="2"/>
      <c r="R765" s="2"/>
      <c r="S765" s="2"/>
      <c r="T765" s="2"/>
      <c r="U765" s="2"/>
      <c r="V765" s="2"/>
      <c r="W765" s="2"/>
      <c r="X765" s="2"/>
      <c r="Y765" s="2"/>
      <c r="Z765" s="2"/>
      <c r="AA765" s="2"/>
    </row>
    <row r="766" spans="1:27" ht="13.15">
      <c r="A766" s="12"/>
      <c r="B766" s="45"/>
      <c r="C766" s="45"/>
      <c r="D766" s="45"/>
      <c r="E766" s="45"/>
      <c r="F766" s="45"/>
      <c r="G766" s="45"/>
      <c r="H766" s="45"/>
      <c r="I766" s="45"/>
      <c r="J766" s="45"/>
      <c r="K766" s="45"/>
      <c r="L766" s="45"/>
      <c r="M766" s="45"/>
      <c r="N766" s="2"/>
      <c r="O766" s="2"/>
      <c r="P766" s="2"/>
      <c r="Q766" s="2"/>
      <c r="R766" s="2"/>
      <c r="S766" s="2"/>
      <c r="T766" s="2"/>
      <c r="U766" s="2"/>
      <c r="V766" s="2"/>
      <c r="W766" s="2"/>
      <c r="X766" s="2"/>
      <c r="Y766" s="2"/>
      <c r="Z766" s="2"/>
      <c r="AA766" s="2"/>
    </row>
    <row r="767" spans="1:27" ht="13.15">
      <c r="A767" s="12"/>
      <c r="B767" s="45"/>
      <c r="C767" s="45"/>
      <c r="D767" s="45"/>
      <c r="E767" s="45"/>
      <c r="F767" s="45"/>
      <c r="G767" s="45"/>
      <c r="H767" s="45"/>
      <c r="I767" s="45"/>
      <c r="J767" s="45"/>
      <c r="K767" s="45"/>
      <c r="L767" s="45"/>
      <c r="M767" s="45"/>
      <c r="N767" s="2"/>
      <c r="O767" s="2"/>
      <c r="P767" s="2"/>
      <c r="Q767" s="2"/>
      <c r="R767" s="2"/>
      <c r="S767" s="2"/>
      <c r="T767" s="2"/>
      <c r="U767" s="2"/>
      <c r="V767" s="2"/>
      <c r="W767" s="2"/>
      <c r="X767" s="2"/>
      <c r="Y767" s="2"/>
      <c r="Z767" s="2"/>
      <c r="AA767" s="2"/>
    </row>
    <row r="768" spans="1:27" ht="13.15">
      <c r="A768" s="12"/>
      <c r="B768" s="45"/>
      <c r="C768" s="45"/>
      <c r="D768" s="45"/>
      <c r="E768" s="45"/>
      <c r="F768" s="45"/>
      <c r="G768" s="45"/>
      <c r="H768" s="45"/>
      <c r="I768" s="45"/>
      <c r="J768" s="45"/>
      <c r="K768" s="45"/>
      <c r="L768" s="45"/>
      <c r="M768" s="45"/>
      <c r="N768" s="2"/>
      <c r="O768" s="2"/>
      <c r="P768" s="2"/>
      <c r="Q768" s="2"/>
      <c r="R768" s="2"/>
      <c r="S768" s="2"/>
      <c r="T768" s="2"/>
      <c r="U768" s="2"/>
      <c r="V768" s="2"/>
      <c r="W768" s="2"/>
      <c r="X768" s="2"/>
      <c r="Y768" s="2"/>
      <c r="Z768" s="2"/>
      <c r="AA768" s="2"/>
    </row>
    <row r="769" spans="1:27" ht="13.15">
      <c r="A769" s="12"/>
      <c r="B769" s="45"/>
      <c r="C769" s="45"/>
      <c r="D769" s="45"/>
      <c r="E769" s="45"/>
      <c r="F769" s="45"/>
      <c r="G769" s="45"/>
      <c r="H769" s="45"/>
      <c r="I769" s="45"/>
      <c r="J769" s="45"/>
      <c r="K769" s="45"/>
      <c r="L769" s="45"/>
      <c r="M769" s="45"/>
      <c r="N769" s="2"/>
      <c r="O769" s="2"/>
      <c r="P769" s="2"/>
      <c r="Q769" s="2"/>
      <c r="R769" s="2"/>
      <c r="S769" s="2"/>
      <c r="T769" s="2"/>
      <c r="U769" s="2"/>
      <c r="V769" s="2"/>
      <c r="W769" s="2"/>
      <c r="X769" s="2"/>
      <c r="Y769" s="2"/>
      <c r="Z769" s="2"/>
      <c r="AA769" s="2"/>
    </row>
    <row r="770" spans="1:27" ht="13.15">
      <c r="A770" s="12"/>
      <c r="B770" s="45"/>
      <c r="C770" s="45"/>
      <c r="D770" s="45"/>
      <c r="E770" s="45"/>
      <c r="F770" s="45"/>
      <c r="G770" s="45"/>
      <c r="H770" s="45"/>
      <c r="I770" s="45"/>
      <c r="J770" s="45"/>
      <c r="K770" s="45"/>
      <c r="L770" s="45"/>
      <c r="M770" s="45"/>
      <c r="N770" s="2"/>
      <c r="O770" s="2"/>
      <c r="P770" s="2"/>
      <c r="Q770" s="2"/>
      <c r="R770" s="2"/>
      <c r="S770" s="2"/>
      <c r="T770" s="2"/>
      <c r="U770" s="2"/>
      <c r="V770" s="2"/>
      <c r="W770" s="2"/>
      <c r="X770" s="2"/>
      <c r="Y770" s="2"/>
      <c r="Z770" s="2"/>
      <c r="AA770" s="2"/>
    </row>
    <row r="771" spans="1:27" ht="13.15">
      <c r="A771" s="12"/>
      <c r="B771" s="45"/>
      <c r="C771" s="45"/>
      <c r="D771" s="45"/>
      <c r="E771" s="45"/>
      <c r="F771" s="45"/>
      <c r="G771" s="45"/>
      <c r="H771" s="45"/>
      <c r="I771" s="45"/>
      <c r="J771" s="45"/>
      <c r="K771" s="45"/>
      <c r="L771" s="45"/>
      <c r="M771" s="45"/>
      <c r="N771" s="2"/>
      <c r="O771" s="2"/>
      <c r="P771" s="2"/>
      <c r="Q771" s="2"/>
      <c r="R771" s="2"/>
      <c r="S771" s="2"/>
      <c r="T771" s="2"/>
      <c r="U771" s="2"/>
      <c r="V771" s="2"/>
      <c r="W771" s="2"/>
      <c r="X771" s="2"/>
      <c r="Y771" s="2"/>
      <c r="Z771" s="2"/>
      <c r="AA771" s="2"/>
    </row>
    <row r="772" spans="1:27" ht="13.15">
      <c r="A772" s="12"/>
      <c r="B772" s="45"/>
      <c r="C772" s="45"/>
      <c r="D772" s="45"/>
      <c r="E772" s="45"/>
      <c r="F772" s="45"/>
      <c r="G772" s="45"/>
      <c r="H772" s="45"/>
      <c r="I772" s="45"/>
      <c r="J772" s="45"/>
      <c r="K772" s="45"/>
      <c r="L772" s="45"/>
      <c r="M772" s="45"/>
      <c r="N772" s="2"/>
      <c r="O772" s="2"/>
      <c r="P772" s="2"/>
      <c r="Q772" s="2"/>
      <c r="R772" s="2"/>
      <c r="S772" s="2"/>
      <c r="T772" s="2"/>
      <c r="U772" s="2"/>
      <c r="V772" s="2"/>
      <c r="W772" s="2"/>
      <c r="X772" s="2"/>
      <c r="Y772" s="2"/>
      <c r="Z772" s="2"/>
      <c r="AA772" s="2"/>
    </row>
    <row r="773" spans="1:27" ht="13.15">
      <c r="A773" s="12"/>
      <c r="B773" s="45"/>
      <c r="C773" s="45"/>
      <c r="D773" s="45"/>
      <c r="E773" s="45"/>
      <c r="F773" s="45"/>
      <c r="G773" s="45"/>
      <c r="H773" s="45"/>
      <c r="I773" s="45"/>
      <c r="J773" s="45"/>
      <c r="K773" s="45"/>
      <c r="L773" s="45"/>
      <c r="M773" s="45"/>
      <c r="N773" s="2"/>
      <c r="O773" s="2"/>
      <c r="P773" s="2"/>
      <c r="Q773" s="2"/>
      <c r="R773" s="2"/>
      <c r="S773" s="2"/>
      <c r="T773" s="2"/>
      <c r="U773" s="2"/>
      <c r="V773" s="2"/>
      <c r="W773" s="2"/>
      <c r="X773" s="2"/>
      <c r="Y773" s="2"/>
      <c r="Z773" s="2"/>
      <c r="AA773" s="2"/>
    </row>
    <row r="774" spans="1:27" ht="13.15">
      <c r="A774" s="12"/>
      <c r="B774" s="45"/>
      <c r="C774" s="45"/>
      <c r="D774" s="45"/>
      <c r="E774" s="45"/>
      <c r="F774" s="45"/>
      <c r="G774" s="45"/>
      <c r="H774" s="45"/>
      <c r="I774" s="45"/>
      <c r="J774" s="45"/>
      <c r="K774" s="45"/>
      <c r="L774" s="45"/>
      <c r="M774" s="45"/>
      <c r="N774" s="2"/>
      <c r="O774" s="2"/>
      <c r="P774" s="2"/>
      <c r="Q774" s="2"/>
      <c r="R774" s="2"/>
      <c r="S774" s="2"/>
      <c r="T774" s="2"/>
      <c r="U774" s="2"/>
      <c r="V774" s="2"/>
      <c r="W774" s="2"/>
      <c r="X774" s="2"/>
      <c r="Y774" s="2"/>
      <c r="Z774" s="2"/>
      <c r="AA774" s="2"/>
    </row>
    <row r="775" spans="1:27" ht="13.15">
      <c r="A775" s="12"/>
      <c r="B775" s="45"/>
      <c r="C775" s="45"/>
      <c r="D775" s="45"/>
      <c r="E775" s="45"/>
      <c r="F775" s="45"/>
      <c r="G775" s="45"/>
      <c r="H775" s="45"/>
      <c r="I775" s="45"/>
      <c r="J775" s="45"/>
      <c r="K775" s="45"/>
      <c r="L775" s="45"/>
      <c r="M775" s="45"/>
      <c r="N775" s="2"/>
      <c r="O775" s="2"/>
      <c r="P775" s="2"/>
      <c r="Q775" s="2"/>
      <c r="R775" s="2"/>
      <c r="S775" s="2"/>
      <c r="T775" s="2"/>
      <c r="U775" s="2"/>
      <c r="V775" s="2"/>
      <c r="W775" s="2"/>
      <c r="X775" s="2"/>
      <c r="Y775" s="2"/>
      <c r="Z775" s="2"/>
      <c r="AA775" s="2"/>
    </row>
    <row r="776" spans="1:27" ht="13.15">
      <c r="A776" s="12"/>
      <c r="B776" s="45"/>
      <c r="C776" s="45"/>
      <c r="D776" s="45"/>
      <c r="E776" s="45"/>
      <c r="F776" s="45"/>
      <c r="G776" s="45"/>
      <c r="H776" s="45"/>
      <c r="I776" s="45"/>
      <c r="J776" s="45"/>
      <c r="K776" s="45"/>
      <c r="L776" s="45"/>
      <c r="M776" s="45"/>
      <c r="N776" s="2"/>
      <c r="O776" s="2"/>
      <c r="P776" s="2"/>
      <c r="Q776" s="2"/>
      <c r="R776" s="2"/>
      <c r="S776" s="2"/>
      <c r="T776" s="2"/>
      <c r="U776" s="2"/>
      <c r="V776" s="2"/>
      <c r="W776" s="2"/>
      <c r="X776" s="2"/>
      <c r="Y776" s="2"/>
      <c r="Z776" s="2"/>
      <c r="AA776" s="2"/>
    </row>
    <row r="777" spans="1:27" ht="13.15">
      <c r="A777" s="12"/>
      <c r="B777" s="45"/>
      <c r="C777" s="45"/>
      <c r="D777" s="45"/>
      <c r="E777" s="45"/>
      <c r="F777" s="45"/>
      <c r="G777" s="45"/>
      <c r="H777" s="45"/>
      <c r="I777" s="45"/>
      <c r="J777" s="45"/>
      <c r="K777" s="45"/>
      <c r="L777" s="45"/>
      <c r="M777" s="45"/>
      <c r="N777" s="2"/>
      <c r="O777" s="2"/>
      <c r="P777" s="2"/>
      <c r="Q777" s="2"/>
      <c r="R777" s="2"/>
      <c r="S777" s="2"/>
      <c r="T777" s="2"/>
      <c r="U777" s="2"/>
      <c r="V777" s="2"/>
      <c r="W777" s="2"/>
      <c r="X777" s="2"/>
      <c r="Y777" s="2"/>
      <c r="Z777" s="2"/>
      <c r="AA777" s="2"/>
    </row>
    <row r="778" spans="1:27" ht="13.15">
      <c r="A778" s="12"/>
      <c r="B778" s="45"/>
      <c r="C778" s="45"/>
      <c r="D778" s="45"/>
      <c r="E778" s="45"/>
      <c r="F778" s="45"/>
      <c r="G778" s="45"/>
      <c r="H778" s="45"/>
      <c r="I778" s="45"/>
      <c r="J778" s="45"/>
      <c r="K778" s="45"/>
      <c r="L778" s="45"/>
      <c r="M778" s="45"/>
      <c r="N778" s="2"/>
      <c r="O778" s="2"/>
      <c r="P778" s="2"/>
      <c r="Q778" s="2"/>
      <c r="R778" s="2"/>
      <c r="S778" s="2"/>
      <c r="T778" s="2"/>
      <c r="U778" s="2"/>
      <c r="V778" s="2"/>
      <c r="W778" s="2"/>
      <c r="X778" s="2"/>
      <c r="Y778" s="2"/>
      <c r="Z778" s="2"/>
      <c r="AA778" s="2"/>
    </row>
    <row r="779" spans="1:27" ht="13.15">
      <c r="A779" s="12"/>
      <c r="B779" s="45"/>
      <c r="C779" s="45"/>
      <c r="D779" s="45"/>
      <c r="E779" s="45"/>
      <c r="F779" s="45"/>
      <c r="G779" s="45"/>
      <c r="H779" s="45"/>
      <c r="I779" s="45"/>
      <c r="J779" s="45"/>
      <c r="K779" s="45"/>
      <c r="L779" s="45"/>
      <c r="M779" s="45"/>
      <c r="N779" s="2"/>
      <c r="O779" s="2"/>
      <c r="P779" s="2"/>
      <c r="Q779" s="2"/>
      <c r="R779" s="2"/>
      <c r="S779" s="2"/>
      <c r="T779" s="2"/>
      <c r="U779" s="2"/>
      <c r="V779" s="2"/>
      <c r="W779" s="2"/>
      <c r="X779" s="2"/>
      <c r="Y779" s="2"/>
      <c r="Z779" s="2"/>
      <c r="AA779" s="2"/>
    </row>
    <row r="780" spans="1:27" ht="13.15">
      <c r="A780" s="12"/>
      <c r="B780" s="45"/>
      <c r="C780" s="45"/>
      <c r="D780" s="45"/>
      <c r="E780" s="45"/>
      <c r="F780" s="45"/>
      <c r="G780" s="45"/>
      <c r="H780" s="45"/>
      <c r="I780" s="45"/>
      <c r="J780" s="45"/>
      <c r="K780" s="45"/>
      <c r="L780" s="45"/>
      <c r="M780" s="45"/>
      <c r="N780" s="2"/>
      <c r="O780" s="2"/>
      <c r="P780" s="2"/>
      <c r="Q780" s="2"/>
      <c r="R780" s="2"/>
      <c r="S780" s="2"/>
      <c r="T780" s="2"/>
      <c r="U780" s="2"/>
      <c r="V780" s="2"/>
      <c r="W780" s="2"/>
      <c r="X780" s="2"/>
      <c r="Y780" s="2"/>
      <c r="Z780" s="2"/>
      <c r="AA780" s="2"/>
    </row>
    <row r="781" spans="1:27" ht="13.15">
      <c r="A781" s="12"/>
      <c r="B781" s="45"/>
      <c r="C781" s="45"/>
      <c r="D781" s="45"/>
      <c r="E781" s="45"/>
      <c r="F781" s="45"/>
      <c r="G781" s="45"/>
      <c r="H781" s="45"/>
      <c r="I781" s="45"/>
      <c r="J781" s="45"/>
      <c r="K781" s="45"/>
      <c r="L781" s="45"/>
      <c r="M781" s="45"/>
      <c r="N781" s="2"/>
      <c r="O781" s="2"/>
      <c r="P781" s="2"/>
      <c r="Q781" s="2"/>
      <c r="R781" s="2"/>
      <c r="S781" s="2"/>
      <c r="T781" s="2"/>
      <c r="U781" s="2"/>
      <c r="V781" s="2"/>
      <c r="W781" s="2"/>
      <c r="X781" s="2"/>
      <c r="Y781" s="2"/>
      <c r="Z781" s="2"/>
      <c r="AA781" s="2"/>
    </row>
    <row r="782" spans="1:27" ht="13.15">
      <c r="A782" s="12"/>
      <c r="B782" s="45"/>
      <c r="C782" s="45"/>
      <c r="D782" s="45"/>
      <c r="E782" s="45"/>
      <c r="F782" s="45"/>
      <c r="G782" s="45"/>
      <c r="H782" s="45"/>
      <c r="I782" s="45"/>
      <c r="J782" s="45"/>
      <c r="K782" s="45"/>
      <c r="L782" s="45"/>
      <c r="M782" s="45"/>
      <c r="N782" s="2"/>
      <c r="O782" s="2"/>
      <c r="P782" s="2"/>
      <c r="Q782" s="2"/>
      <c r="R782" s="2"/>
      <c r="S782" s="2"/>
      <c r="T782" s="2"/>
      <c r="U782" s="2"/>
      <c r="V782" s="2"/>
      <c r="W782" s="2"/>
      <c r="X782" s="2"/>
      <c r="Y782" s="2"/>
      <c r="Z782" s="2"/>
      <c r="AA782" s="2"/>
    </row>
    <row r="783" spans="1:27" ht="13.15">
      <c r="A783" s="12"/>
      <c r="B783" s="45"/>
      <c r="C783" s="45"/>
      <c r="D783" s="45"/>
      <c r="E783" s="45"/>
      <c r="F783" s="45"/>
      <c r="G783" s="45"/>
      <c r="H783" s="45"/>
      <c r="I783" s="45"/>
      <c r="J783" s="45"/>
      <c r="K783" s="45"/>
      <c r="L783" s="45"/>
      <c r="M783" s="45"/>
      <c r="N783" s="2"/>
      <c r="O783" s="2"/>
      <c r="P783" s="2"/>
      <c r="Q783" s="2"/>
      <c r="R783" s="2"/>
      <c r="S783" s="2"/>
      <c r="T783" s="2"/>
      <c r="U783" s="2"/>
      <c r="V783" s="2"/>
      <c r="W783" s="2"/>
      <c r="X783" s="2"/>
      <c r="Y783" s="2"/>
      <c r="Z783" s="2"/>
      <c r="AA783" s="2"/>
    </row>
    <row r="784" spans="1:27" ht="13.15">
      <c r="A784" s="12"/>
      <c r="B784" s="45"/>
      <c r="C784" s="45"/>
      <c r="D784" s="45"/>
      <c r="E784" s="45"/>
      <c r="F784" s="45"/>
      <c r="G784" s="45"/>
      <c r="H784" s="45"/>
      <c r="I784" s="45"/>
      <c r="J784" s="45"/>
      <c r="K784" s="45"/>
      <c r="L784" s="45"/>
      <c r="M784" s="45"/>
      <c r="N784" s="2"/>
      <c r="O784" s="2"/>
      <c r="P784" s="2"/>
      <c r="Q784" s="2"/>
      <c r="R784" s="2"/>
      <c r="S784" s="2"/>
      <c r="T784" s="2"/>
      <c r="U784" s="2"/>
      <c r="V784" s="2"/>
      <c r="W784" s="2"/>
      <c r="X784" s="2"/>
      <c r="Y784" s="2"/>
      <c r="Z784" s="2"/>
      <c r="AA784" s="2"/>
    </row>
    <row r="785" spans="1:27" ht="13.15">
      <c r="A785" s="12"/>
      <c r="B785" s="45"/>
      <c r="C785" s="45"/>
      <c r="D785" s="45"/>
      <c r="E785" s="45"/>
      <c r="F785" s="45"/>
      <c r="G785" s="45"/>
      <c r="H785" s="45"/>
      <c r="I785" s="45"/>
      <c r="J785" s="45"/>
      <c r="K785" s="45"/>
      <c r="L785" s="45"/>
      <c r="M785" s="45"/>
      <c r="N785" s="2"/>
      <c r="O785" s="2"/>
      <c r="P785" s="2"/>
      <c r="Q785" s="2"/>
      <c r="R785" s="2"/>
      <c r="S785" s="2"/>
      <c r="T785" s="2"/>
      <c r="U785" s="2"/>
      <c r="V785" s="2"/>
      <c r="W785" s="2"/>
      <c r="X785" s="2"/>
      <c r="Y785" s="2"/>
      <c r="Z785" s="2"/>
      <c r="AA785" s="2"/>
    </row>
    <row r="786" spans="1:27" ht="13.15">
      <c r="A786" s="12"/>
      <c r="B786" s="45"/>
      <c r="C786" s="45"/>
      <c r="D786" s="45"/>
      <c r="E786" s="45"/>
      <c r="F786" s="45"/>
      <c r="G786" s="45"/>
      <c r="H786" s="45"/>
      <c r="I786" s="45"/>
      <c r="J786" s="45"/>
      <c r="K786" s="45"/>
      <c r="L786" s="45"/>
      <c r="M786" s="45"/>
      <c r="N786" s="2"/>
      <c r="O786" s="2"/>
      <c r="P786" s="2"/>
      <c r="Q786" s="2"/>
      <c r="R786" s="2"/>
      <c r="S786" s="2"/>
      <c r="T786" s="2"/>
      <c r="U786" s="2"/>
      <c r="V786" s="2"/>
      <c r="W786" s="2"/>
      <c r="X786" s="2"/>
      <c r="Y786" s="2"/>
      <c r="Z786" s="2"/>
      <c r="AA786" s="2"/>
    </row>
    <row r="787" spans="1:27" ht="13.15">
      <c r="A787" s="12"/>
      <c r="B787" s="45"/>
      <c r="C787" s="45"/>
      <c r="D787" s="45"/>
      <c r="E787" s="45"/>
      <c r="F787" s="45"/>
      <c r="G787" s="45"/>
      <c r="H787" s="45"/>
      <c r="I787" s="45"/>
      <c r="J787" s="45"/>
      <c r="K787" s="45"/>
      <c r="L787" s="45"/>
      <c r="M787" s="45"/>
      <c r="N787" s="2"/>
      <c r="O787" s="2"/>
      <c r="P787" s="2"/>
      <c r="Q787" s="2"/>
      <c r="R787" s="2"/>
      <c r="S787" s="2"/>
      <c r="T787" s="2"/>
      <c r="U787" s="2"/>
      <c r="V787" s="2"/>
      <c r="W787" s="2"/>
      <c r="X787" s="2"/>
      <c r="Y787" s="2"/>
      <c r="Z787" s="2"/>
      <c r="AA787" s="2"/>
    </row>
    <row r="788" spans="1:27" ht="13.15">
      <c r="A788" s="12"/>
      <c r="B788" s="45"/>
      <c r="C788" s="45"/>
      <c r="D788" s="45"/>
      <c r="E788" s="45"/>
      <c r="F788" s="45"/>
      <c r="G788" s="45"/>
      <c r="H788" s="45"/>
      <c r="I788" s="45"/>
      <c r="J788" s="45"/>
      <c r="K788" s="45"/>
      <c r="L788" s="45"/>
      <c r="M788" s="45"/>
      <c r="N788" s="2"/>
      <c r="O788" s="2"/>
      <c r="P788" s="2"/>
      <c r="Q788" s="2"/>
      <c r="R788" s="2"/>
      <c r="S788" s="2"/>
      <c r="T788" s="2"/>
      <c r="U788" s="2"/>
      <c r="V788" s="2"/>
      <c r="W788" s="2"/>
      <c r="X788" s="2"/>
      <c r="Y788" s="2"/>
      <c r="Z788" s="2"/>
      <c r="AA788" s="2"/>
    </row>
    <row r="789" spans="1:27" ht="13.15">
      <c r="A789" s="12"/>
      <c r="B789" s="45"/>
      <c r="C789" s="45"/>
      <c r="D789" s="45"/>
      <c r="E789" s="45"/>
      <c r="F789" s="45"/>
      <c r="G789" s="45"/>
      <c r="H789" s="45"/>
      <c r="I789" s="45"/>
      <c r="J789" s="45"/>
      <c r="K789" s="45"/>
      <c r="L789" s="45"/>
      <c r="M789" s="45"/>
      <c r="N789" s="2"/>
      <c r="O789" s="2"/>
      <c r="P789" s="2"/>
      <c r="Q789" s="2"/>
      <c r="R789" s="2"/>
      <c r="S789" s="2"/>
      <c r="T789" s="2"/>
      <c r="U789" s="2"/>
      <c r="V789" s="2"/>
      <c r="W789" s="2"/>
      <c r="X789" s="2"/>
      <c r="Y789" s="2"/>
      <c r="Z789" s="2"/>
      <c r="AA789" s="2"/>
    </row>
    <row r="790" spans="1:27" ht="13.15">
      <c r="A790" s="12"/>
      <c r="B790" s="45"/>
      <c r="C790" s="45"/>
      <c r="D790" s="45"/>
      <c r="E790" s="45"/>
      <c r="F790" s="45"/>
      <c r="G790" s="45"/>
      <c r="H790" s="45"/>
      <c r="I790" s="45"/>
      <c r="J790" s="45"/>
      <c r="K790" s="45"/>
      <c r="L790" s="45"/>
      <c r="M790" s="45"/>
      <c r="N790" s="2"/>
      <c r="O790" s="2"/>
      <c r="P790" s="2"/>
      <c r="Q790" s="2"/>
      <c r="R790" s="2"/>
      <c r="S790" s="2"/>
      <c r="T790" s="2"/>
      <c r="U790" s="2"/>
      <c r="V790" s="2"/>
      <c r="W790" s="2"/>
      <c r="X790" s="2"/>
      <c r="Y790" s="2"/>
      <c r="Z790" s="2"/>
      <c r="AA790" s="2"/>
    </row>
    <row r="791" spans="1:27" ht="13.15">
      <c r="A791" s="12"/>
      <c r="B791" s="45"/>
      <c r="C791" s="45"/>
      <c r="D791" s="45"/>
      <c r="E791" s="45"/>
      <c r="F791" s="45"/>
      <c r="G791" s="45"/>
      <c r="H791" s="45"/>
      <c r="I791" s="45"/>
      <c r="J791" s="45"/>
      <c r="K791" s="45"/>
      <c r="L791" s="45"/>
      <c r="M791" s="45"/>
      <c r="N791" s="2"/>
      <c r="O791" s="2"/>
      <c r="P791" s="2"/>
      <c r="Q791" s="2"/>
      <c r="R791" s="2"/>
      <c r="S791" s="2"/>
      <c r="T791" s="2"/>
      <c r="U791" s="2"/>
      <c r="V791" s="2"/>
      <c r="W791" s="2"/>
      <c r="X791" s="2"/>
      <c r="Y791" s="2"/>
      <c r="Z791" s="2"/>
      <c r="AA791" s="2"/>
    </row>
    <row r="792" spans="1:27" ht="13.15">
      <c r="A792" s="12"/>
      <c r="B792" s="45"/>
      <c r="C792" s="45"/>
      <c r="D792" s="45"/>
      <c r="E792" s="45"/>
      <c r="F792" s="45"/>
      <c r="G792" s="45"/>
      <c r="H792" s="45"/>
      <c r="I792" s="45"/>
      <c r="J792" s="45"/>
      <c r="K792" s="45"/>
      <c r="L792" s="45"/>
      <c r="M792" s="45"/>
      <c r="N792" s="2"/>
      <c r="O792" s="2"/>
      <c r="P792" s="2"/>
      <c r="Q792" s="2"/>
      <c r="R792" s="2"/>
      <c r="S792" s="2"/>
      <c r="T792" s="2"/>
      <c r="U792" s="2"/>
      <c r="V792" s="2"/>
      <c r="W792" s="2"/>
      <c r="X792" s="2"/>
      <c r="Y792" s="2"/>
      <c r="Z792" s="2"/>
      <c r="AA792" s="2"/>
    </row>
    <row r="793" spans="1:27" ht="13.15">
      <c r="A793" s="12"/>
      <c r="B793" s="45"/>
      <c r="C793" s="45"/>
      <c r="D793" s="45"/>
      <c r="E793" s="45"/>
      <c r="F793" s="45"/>
      <c r="G793" s="45"/>
      <c r="H793" s="45"/>
      <c r="I793" s="45"/>
      <c r="J793" s="45"/>
      <c r="K793" s="45"/>
      <c r="L793" s="45"/>
      <c r="M793" s="45"/>
      <c r="N793" s="2"/>
      <c r="O793" s="2"/>
      <c r="P793" s="2"/>
      <c r="Q793" s="2"/>
      <c r="R793" s="2"/>
      <c r="S793" s="2"/>
      <c r="T793" s="2"/>
      <c r="U793" s="2"/>
      <c r="V793" s="2"/>
      <c r="W793" s="2"/>
      <c r="X793" s="2"/>
      <c r="Y793" s="2"/>
      <c r="Z793" s="2"/>
      <c r="AA793" s="2"/>
    </row>
    <row r="794" spans="1:27" ht="13.15">
      <c r="A794" s="12"/>
      <c r="B794" s="45"/>
      <c r="C794" s="45"/>
      <c r="D794" s="45"/>
      <c r="E794" s="45"/>
      <c r="F794" s="45"/>
      <c r="G794" s="45"/>
      <c r="H794" s="45"/>
      <c r="I794" s="45"/>
      <c r="J794" s="45"/>
      <c r="K794" s="45"/>
      <c r="L794" s="45"/>
      <c r="M794" s="45"/>
      <c r="N794" s="2"/>
      <c r="O794" s="2"/>
      <c r="P794" s="2"/>
      <c r="Q794" s="2"/>
      <c r="R794" s="2"/>
      <c r="S794" s="2"/>
      <c r="T794" s="2"/>
      <c r="U794" s="2"/>
      <c r="V794" s="2"/>
      <c r="W794" s="2"/>
      <c r="X794" s="2"/>
      <c r="Y794" s="2"/>
      <c r="Z794" s="2"/>
      <c r="AA794" s="2"/>
    </row>
    <row r="795" spans="1:27" ht="13.15">
      <c r="A795" s="12"/>
      <c r="B795" s="45"/>
      <c r="C795" s="45"/>
      <c r="D795" s="45"/>
      <c r="E795" s="45"/>
      <c r="F795" s="45"/>
      <c r="G795" s="45"/>
      <c r="H795" s="45"/>
      <c r="I795" s="45"/>
      <c r="J795" s="45"/>
      <c r="K795" s="45"/>
      <c r="L795" s="45"/>
      <c r="M795" s="45"/>
      <c r="N795" s="2"/>
      <c r="O795" s="2"/>
      <c r="P795" s="2"/>
      <c r="Q795" s="2"/>
      <c r="R795" s="2"/>
      <c r="S795" s="2"/>
      <c r="T795" s="2"/>
      <c r="U795" s="2"/>
      <c r="V795" s="2"/>
      <c r="W795" s="2"/>
      <c r="X795" s="2"/>
      <c r="Y795" s="2"/>
      <c r="Z795" s="2"/>
      <c r="AA795" s="2"/>
    </row>
    <row r="796" spans="1:27" ht="13.15">
      <c r="A796" s="12"/>
      <c r="B796" s="45"/>
      <c r="C796" s="45"/>
      <c r="D796" s="45"/>
      <c r="E796" s="45"/>
      <c r="F796" s="45"/>
      <c r="G796" s="45"/>
      <c r="H796" s="45"/>
      <c r="I796" s="45"/>
      <c r="J796" s="45"/>
      <c r="K796" s="45"/>
      <c r="L796" s="45"/>
      <c r="M796" s="45"/>
      <c r="N796" s="2"/>
      <c r="O796" s="2"/>
      <c r="P796" s="2"/>
      <c r="Q796" s="2"/>
      <c r="R796" s="2"/>
      <c r="S796" s="2"/>
      <c r="T796" s="2"/>
      <c r="U796" s="2"/>
      <c r="V796" s="2"/>
      <c r="W796" s="2"/>
      <c r="X796" s="2"/>
      <c r="Y796" s="2"/>
      <c r="Z796" s="2"/>
      <c r="AA796" s="2"/>
    </row>
    <row r="797" spans="1:27" ht="13.15">
      <c r="A797" s="12"/>
      <c r="B797" s="45"/>
      <c r="C797" s="45"/>
      <c r="D797" s="45"/>
      <c r="E797" s="45"/>
      <c r="F797" s="45"/>
      <c r="G797" s="45"/>
      <c r="H797" s="45"/>
      <c r="I797" s="45"/>
      <c r="J797" s="45"/>
      <c r="K797" s="45"/>
      <c r="L797" s="45"/>
      <c r="M797" s="45"/>
      <c r="N797" s="2"/>
      <c r="O797" s="2"/>
      <c r="P797" s="2"/>
      <c r="Q797" s="2"/>
      <c r="R797" s="2"/>
      <c r="S797" s="2"/>
      <c r="T797" s="2"/>
      <c r="U797" s="2"/>
      <c r="V797" s="2"/>
      <c r="W797" s="2"/>
      <c r="X797" s="2"/>
      <c r="Y797" s="2"/>
      <c r="Z797" s="2"/>
      <c r="AA797" s="2"/>
    </row>
    <row r="798" spans="1:27" ht="13.15">
      <c r="A798" s="12"/>
      <c r="B798" s="45"/>
      <c r="C798" s="45"/>
      <c r="D798" s="45"/>
      <c r="E798" s="45"/>
      <c r="F798" s="45"/>
      <c r="G798" s="45"/>
      <c r="H798" s="45"/>
      <c r="I798" s="45"/>
      <c r="J798" s="45"/>
      <c r="K798" s="45"/>
      <c r="L798" s="45"/>
      <c r="M798" s="45"/>
      <c r="N798" s="2"/>
      <c r="O798" s="2"/>
      <c r="P798" s="2"/>
      <c r="Q798" s="2"/>
      <c r="R798" s="2"/>
      <c r="S798" s="2"/>
      <c r="T798" s="2"/>
      <c r="U798" s="2"/>
      <c r="V798" s="2"/>
      <c r="W798" s="2"/>
      <c r="X798" s="2"/>
      <c r="Y798" s="2"/>
      <c r="Z798" s="2"/>
      <c r="AA798" s="2"/>
    </row>
    <row r="799" spans="1:27" ht="13.15">
      <c r="A799" s="12"/>
      <c r="B799" s="45"/>
      <c r="C799" s="45"/>
      <c r="D799" s="45"/>
      <c r="E799" s="45"/>
      <c r="F799" s="45"/>
      <c r="G799" s="45"/>
      <c r="H799" s="45"/>
      <c r="I799" s="45"/>
      <c r="J799" s="45"/>
      <c r="K799" s="45"/>
      <c r="L799" s="45"/>
      <c r="M799" s="45"/>
      <c r="N799" s="2"/>
      <c r="O799" s="2"/>
      <c r="P799" s="2"/>
      <c r="Q799" s="2"/>
      <c r="R799" s="2"/>
      <c r="S799" s="2"/>
      <c r="T799" s="2"/>
      <c r="U799" s="2"/>
      <c r="V799" s="2"/>
      <c r="W799" s="2"/>
      <c r="X799" s="2"/>
      <c r="Y799" s="2"/>
      <c r="Z799" s="2"/>
      <c r="AA799" s="2"/>
    </row>
    <row r="800" spans="1:27" ht="13.15">
      <c r="A800" s="12"/>
      <c r="B800" s="45"/>
      <c r="C800" s="45"/>
      <c r="D800" s="45"/>
      <c r="E800" s="45"/>
      <c r="F800" s="45"/>
      <c r="G800" s="45"/>
      <c r="H800" s="45"/>
      <c r="I800" s="45"/>
      <c r="J800" s="45"/>
      <c r="K800" s="45"/>
      <c r="L800" s="45"/>
      <c r="M800" s="45"/>
      <c r="N800" s="2"/>
      <c r="O800" s="2"/>
      <c r="P800" s="2"/>
      <c r="Q800" s="2"/>
      <c r="R800" s="2"/>
      <c r="S800" s="2"/>
      <c r="T800" s="2"/>
      <c r="U800" s="2"/>
      <c r="V800" s="2"/>
      <c r="W800" s="2"/>
      <c r="X800" s="2"/>
      <c r="Y800" s="2"/>
      <c r="Z800" s="2"/>
      <c r="AA800" s="2"/>
    </row>
    <row r="801" spans="1:27" ht="13.15">
      <c r="A801" s="12"/>
      <c r="B801" s="45"/>
      <c r="C801" s="45"/>
      <c r="D801" s="45"/>
      <c r="E801" s="45"/>
      <c r="F801" s="45"/>
      <c r="G801" s="45"/>
      <c r="H801" s="45"/>
      <c r="I801" s="45"/>
      <c r="J801" s="45"/>
      <c r="K801" s="45"/>
      <c r="L801" s="45"/>
      <c r="M801" s="45"/>
      <c r="N801" s="2"/>
      <c r="O801" s="2"/>
      <c r="P801" s="2"/>
      <c r="Q801" s="2"/>
      <c r="R801" s="2"/>
      <c r="S801" s="2"/>
      <c r="T801" s="2"/>
      <c r="U801" s="2"/>
      <c r="V801" s="2"/>
      <c r="W801" s="2"/>
      <c r="X801" s="2"/>
      <c r="Y801" s="2"/>
      <c r="Z801" s="2"/>
      <c r="AA801" s="2"/>
    </row>
    <row r="802" spans="1:27" ht="13.15">
      <c r="A802" s="12"/>
      <c r="B802" s="45"/>
      <c r="C802" s="45"/>
      <c r="D802" s="45"/>
      <c r="E802" s="45"/>
      <c r="F802" s="45"/>
      <c r="G802" s="45"/>
      <c r="H802" s="45"/>
      <c r="I802" s="45"/>
      <c r="J802" s="45"/>
      <c r="K802" s="45"/>
      <c r="L802" s="45"/>
      <c r="M802" s="45"/>
      <c r="N802" s="2"/>
      <c r="O802" s="2"/>
      <c r="P802" s="2"/>
      <c r="Q802" s="2"/>
      <c r="R802" s="2"/>
      <c r="S802" s="2"/>
      <c r="T802" s="2"/>
      <c r="U802" s="2"/>
      <c r="V802" s="2"/>
      <c r="W802" s="2"/>
      <c r="X802" s="2"/>
      <c r="Y802" s="2"/>
      <c r="Z802" s="2"/>
      <c r="AA802" s="2"/>
    </row>
    <row r="803" spans="1:27" ht="13.15">
      <c r="A803" s="12"/>
      <c r="B803" s="45"/>
      <c r="C803" s="45"/>
      <c r="D803" s="45"/>
      <c r="E803" s="45"/>
      <c r="F803" s="45"/>
      <c r="G803" s="45"/>
      <c r="H803" s="45"/>
      <c r="I803" s="45"/>
      <c r="J803" s="45"/>
      <c r="K803" s="45"/>
      <c r="L803" s="45"/>
      <c r="M803" s="45"/>
      <c r="N803" s="2"/>
      <c r="O803" s="2"/>
      <c r="P803" s="2"/>
      <c r="Q803" s="2"/>
      <c r="R803" s="2"/>
      <c r="S803" s="2"/>
      <c r="T803" s="2"/>
      <c r="U803" s="2"/>
      <c r="V803" s="2"/>
      <c r="W803" s="2"/>
      <c r="X803" s="2"/>
      <c r="Y803" s="2"/>
      <c r="Z803" s="2"/>
      <c r="AA803" s="2"/>
    </row>
    <row r="804" spans="1:27" ht="13.15">
      <c r="A804" s="12"/>
      <c r="B804" s="45"/>
      <c r="C804" s="45"/>
      <c r="D804" s="45"/>
      <c r="E804" s="45"/>
      <c r="F804" s="45"/>
      <c r="G804" s="45"/>
      <c r="H804" s="45"/>
      <c r="I804" s="45"/>
      <c r="J804" s="45"/>
      <c r="K804" s="45"/>
      <c r="L804" s="45"/>
      <c r="M804" s="45"/>
      <c r="N804" s="2"/>
      <c r="O804" s="2"/>
      <c r="P804" s="2"/>
      <c r="Q804" s="2"/>
      <c r="R804" s="2"/>
      <c r="S804" s="2"/>
      <c r="T804" s="2"/>
      <c r="U804" s="2"/>
      <c r="V804" s="2"/>
      <c r="W804" s="2"/>
      <c r="X804" s="2"/>
      <c r="Y804" s="2"/>
      <c r="Z804" s="2"/>
      <c r="AA804" s="2"/>
    </row>
    <row r="805" spans="1:27" ht="13.15">
      <c r="A805" s="12"/>
      <c r="B805" s="45"/>
      <c r="C805" s="45"/>
      <c r="D805" s="45"/>
      <c r="E805" s="45"/>
      <c r="F805" s="45"/>
      <c r="G805" s="45"/>
      <c r="H805" s="45"/>
      <c r="I805" s="45"/>
      <c r="J805" s="45"/>
      <c r="K805" s="45"/>
      <c r="L805" s="45"/>
      <c r="M805" s="45"/>
      <c r="N805" s="2"/>
      <c r="O805" s="2"/>
      <c r="P805" s="2"/>
      <c r="Q805" s="2"/>
      <c r="R805" s="2"/>
      <c r="S805" s="2"/>
      <c r="T805" s="2"/>
      <c r="U805" s="2"/>
      <c r="V805" s="2"/>
      <c r="W805" s="2"/>
      <c r="X805" s="2"/>
      <c r="Y805" s="2"/>
      <c r="Z805" s="2"/>
      <c r="AA805" s="2"/>
    </row>
    <row r="806" spans="1:27" ht="13.15">
      <c r="A806" s="12"/>
      <c r="B806" s="45"/>
      <c r="C806" s="45"/>
      <c r="D806" s="45"/>
      <c r="E806" s="45"/>
      <c r="F806" s="45"/>
      <c r="G806" s="45"/>
      <c r="H806" s="45"/>
      <c r="I806" s="45"/>
      <c r="J806" s="45"/>
      <c r="K806" s="45"/>
      <c r="L806" s="45"/>
      <c r="M806" s="45"/>
      <c r="N806" s="2"/>
      <c r="O806" s="2"/>
      <c r="P806" s="2"/>
      <c r="Q806" s="2"/>
      <c r="R806" s="2"/>
      <c r="S806" s="2"/>
      <c r="T806" s="2"/>
      <c r="U806" s="2"/>
      <c r="V806" s="2"/>
      <c r="W806" s="2"/>
      <c r="X806" s="2"/>
      <c r="Y806" s="2"/>
      <c r="Z806" s="2"/>
      <c r="AA806" s="2"/>
    </row>
    <row r="807" spans="1:27" ht="13.15">
      <c r="A807" s="12"/>
      <c r="B807" s="45"/>
      <c r="C807" s="45"/>
      <c r="D807" s="45"/>
      <c r="E807" s="45"/>
      <c r="F807" s="45"/>
      <c r="G807" s="45"/>
      <c r="H807" s="45"/>
      <c r="I807" s="45"/>
      <c r="J807" s="45"/>
      <c r="K807" s="45"/>
      <c r="L807" s="45"/>
      <c r="M807" s="45"/>
      <c r="N807" s="2"/>
      <c r="O807" s="2"/>
      <c r="P807" s="2"/>
      <c r="Q807" s="2"/>
      <c r="R807" s="2"/>
      <c r="S807" s="2"/>
      <c r="T807" s="2"/>
      <c r="U807" s="2"/>
      <c r="V807" s="2"/>
      <c r="W807" s="2"/>
      <c r="X807" s="2"/>
      <c r="Y807" s="2"/>
      <c r="Z807" s="2"/>
      <c r="AA807" s="2"/>
    </row>
    <row r="808" spans="1:27" ht="13.15">
      <c r="A808" s="12"/>
      <c r="B808" s="45"/>
      <c r="C808" s="45"/>
      <c r="D808" s="45"/>
      <c r="E808" s="45"/>
      <c r="F808" s="45"/>
      <c r="G808" s="45"/>
      <c r="H808" s="45"/>
      <c r="I808" s="45"/>
      <c r="J808" s="45"/>
      <c r="K808" s="45"/>
      <c r="L808" s="45"/>
      <c r="M808" s="45"/>
      <c r="N808" s="2"/>
      <c r="O808" s="2"/>
      <c r="P808" s="2"/>
      <c r="Q808" s="2"/>
      <c r="R808" s="2"/>
      <c r="S808" s="2"/>
      <c r="T808" s="2"/>
      <c r="U808" s="2"/>
      <c r="V808" s="2"/>
      <c r="W808" s="2"/>
      <c r="X808" s="2"/>
      <c r="Y808" s="2"/>
      <c r="Z808" s="2"/>
      <c r="AA808" s="2"/>
    </row>
    <row r="809" spans="1:27" ht="13.15">
      <c r="A809" s="12"/>
      <c r="B809" s="45"/>
      <c r="C809" s="45"/>
      <c r="D809" s="45"/>
      <c r="E809" s="45"/>
      <c r="F809" s="45"/>
      <c r="G809" s="45"/>
      <c r="H809" s="45"/>
      <c r="I809" s="45"/>
      <c r="J809" s="45"/>
      <c r="K809" s="45"/>
      <c r="L809" s="45"/>
      <c r="M809" s="45"/>
      <c r="N809" s="2"/>
      <c r="O809" s="2"/>
      <c r="P809" s="2"/>
      <c r="Q809" s="2"/>
      <c r="R809" s="2"/>
      <c r="S809" s="2"/>
      <c r="T809" s="2"/>
      <c r="U809" s="2"/>
      <c r="V809" s="2"/>
      <c r="W809" s="2"/>
      <c r="X809" s="2"/>
      <c r="Y809" s="2"/>
      <c r="Z809" s="2"/>
      <c r="AA809" s="2"/>
    </row>
    <row r="810" spans="1:27" ht="13.15">
      <c r="A810" s="12"/>
      <c r="B810" s="45"/>
      <c r="C810" s="45"/>
      <c r="D810" s="45"/>
      <c r="E810" s="45"/>
      <c r="F810" s="45"/>
      <c r="G810" s="45"/>
      <c r="H810" s="45"/>
      <c r="I810" s="45"/>
      <c r="J810" s="45"/>
      <c r="K810" s="45"/>
      <c r="L810" s="45"/>
      <c r="M810" s="45"/>
      <c r="N810" s="2"/>
      <c r="O810" s="2"/>
      <c r="P810" s="2"/>
      <c r="Q810" s="2"/>
      <c r="R810" s="2"/>
      <c r="S810" s="2"/>
      <c r="T810" s="2"/>
      <c r="U810" s="2"/>
      <c r="V810" s="2"/>
      <c r="W810" s="2"/>
      <c r="X810" s="2"/>
      <c r="Y810" s="2"/>
      <c r="Z810" s="2"/>
      <c r="AA810" s="2"/>
    </row>
    <row r="811" spans="1:27" ht="13.15">
      <c r="A811" s="12"/>
      <c r="B811" s="45"/>
      <c r="C811" s="45"/>
      <c r="D811" s="45"/>
      <c r="E811" s="45"/>
      <c r="F811" s="45"/>
      <c r="G811" s="45"/>
      <c r="H811" s="45"/>
      <c r="I811" s="45"/>
      <c r="J811" s="45"/>
      <c r="K811" s="45"/>
      <c r="L811" s="45"/>
      <c r="M811" s="45"/>
      <c r="N811" s="2"/>
      <c r="O811" s="2"/>
      <c r="P811" s="2"/>
      <c r="Q811" s="2"/>
      <c r="R811" s="2"/>
      <c r="S811" s="2"/>
      <c r="T811" s="2"/>
      <c r="U811" s="2"/>
      <c r="V811" s="2"/>
      <c r="W811" s="2"/>
      <c r="X811" s="2"/>
      <c r="Y811" s="2"/>
      <c r="Z811" s="2"/>
      <c r="AA811" s="2"/>
    </row>
    <row r="812" spans="1:27" ht="13.15">
      <c r="A812" s="12"/>
      <c r="B812" s="45"/>
      <c r="C812" s="45"/>
      <c r="D812" s="45"/>
      <c r="E812" s="45"/>
      <c r="F812" s="45"/>
      <c r="G812" s="45"/>
      <c r="H812" s="45"/>
      <c r="I812" s="45"/>
      <c r="J812" s="45"/>
      <c r="K812" s="45"/>
      <c r="L812" s="45"/>
      <c r="M812" s="45"/>
      <c r="N812" s="2"/>
      <c r="O812" s="2"/>
      <c r="P812" s="2"/>
      <c r="Q812" s="2"/>
      <c r="R812" s="2"/>
      <c r="S812" s="2"/>
      <c r="T812" s="2"/>
      <c r="U812" s="2"/>
      <c r="V812" s="2"/>
      <c r="W812" s="2"/>
      <c r="X812" s="2"/>
      <c r="Y812" s="2"/>
      <c r="Z812" s="2"/>
      <c r="AA812" s="2"/>
    </row>
    <row r="813" spans="1:27" ht="13.15">
      <c r="A813" s="12"/>
      <c r="B813" s="45"/>
      <c r="C813" s="45"/>
      <c r="D813" s="45"/>
      <c r="E813" s="45"/>
      <c r="F813" s="45"/>
      <c r="G813" s="45"/>
      <c r="H813" s="45"/>
      <c r="I813" s="45"/>
      <c r="J813" s="45"/>
      <c r="K813" s="45"/>
      <c r="L813" s="45"/>
      <c r="M813" s="45"/>
      <c r="N813" s="2"/>
      <c r="O813" s="2"/>
      <c r="P813" s="2"/>
      <c r="Q813" s="2"/>
      <c r="R813" s="2"/>
      <c r="S813" s="2"/>
      <c r="T813" s="2"/>
      <c r="U813" s="2"/>
      <c r="V813" s="2"/>
      <c r="W813" s="2"/>
      <c r="X813" s="2"/>
      <c r="Y813" s="2"/>
      <c r="Z813" s="2"/>
      <c r="AA813" s="2"/>
    </row>
    <row r="814" spans="1:27" ht="13.15">
      <c r="A814" s="12"/>
      <c r="B814" s="45"/>
      <c r="C814" s="45"/>
      <c r="D814" s="45"/>
      <c r="E814" s="45"/>
      <c r="F814" s="45"/>
      <c r="G814" s="45"/>
      <c r="H814" s="45"/>
      <c r="I814" s="45"/>
      <c r="J814" s="45"/>
      <c r="K814" s="45"/>
      <c r="L814" s="45"/>
      <c r="M814" s="45"/>
      <c r="N814" s="2"/>
      <c r="O814" s="2"/>
      <c r="P814" s="2"/>
      <c r="Q814" s="2"/>
      <c r="R814" s="2"/>
      <c r="S814" s="2"/>
      <c r="T814" s="2"/>
      <c r="U814" s="2"/>
      <c r="V814" s="2"/>
      <c r="W814" s="2"/>
      <c r="X814" s="2"/>
      <c r="Y814" s="2"/>
      <c r="Z814" s="2"/>
      <c r="AA814" s="2"/>
    </row>
    <row r="815" spans="1:27" ht="13.15">
      <c r="A815" s="12"/>
      <c r="B815" s="45"/>
      <c r="C815" s="45"/>
      <c r="D815" s="45"/>
      <c r="E815" s="45"/>
      <c r="F815" s="45"/>
      <c r="G815" s="45"/>
      <c r="H815" s="45"/>
      <c r="I815" s="45"/>
      <c r="J815" s="45"/>
      <c r="K815" s="45"/>
      <c r="L815" s="45"/>
      <c r="M815" s="45"/>
      <c r="N815" s="2"/>
      <c r="O815" s="2"/>
      <c r="P815" s="2"/>
      <c r="Q815" s="2"/>
      <c r="R815" s="2"/>
      <c r="S815" s="2"/>
      <c r="T815" s="2"/>
      <c r="U815" s="2"/>
      <c r="V815" s="2"/>
      <c r="W815" s="2"/>
      <c r="X815" s="2"/>
      <c r="Y815" s="2"/>
      <c r="Z815" s="2"/>
      <c r="AA815" s="2"/>
    </row>
    <row r="816" spans="1:27" ht="13.15">
      <c r="A816" s="12"/>
      <c r="B816" s="45"/>
      <c r="C816" s="45"/>
      <c r="D816" s="45"/>
      <c r="E816" s="45"/>
      <c r="F816" s="45"/>
      <c r="G816" s="45"/>
      <c r="H816" s="45"/>
      <c r="I816" s="45"/>
      <c r="J816" s="45"/>
      <c r="K816" s="45"/>
      <c r="L816" s="45"/>
      <c r="M816" s="45"/>
      <c r="N816" s="2"/>
      <c r="O816" s="2"/>
      <c r="P816" s="2"/>
      <c r="Q816" s="2"/>
      <c r="R816" s="2"/>
      <c r="S816" s="2"/>
      <c r="T816" s="2"/>
      <c r="U816" s="2"/>
      <c r="V816" s="2"/>
      <c r="W816" s="2"/>
      <c r="X816" s="2"/>
      <c r="Y816" s="2"/>
      <c r="Z816" s="2"/>
      <c r="AA816" s="2"/>
    </row>
    <row r="817" spans="1:27" ht="13.15">
      <c r="A817" s="12"/>
      <c r="B817" s="45"/>
      <c r="C817" s="45"/>
      <c r="D817" s="45"/>
      <c r="E817" s="45"/>
      <c r="F817" s="45"/>
      <c r="G817" s="45"/>
      <c r="H817" s="45"/>
      <c r="I817" s="45"/>
      <c r="J817" s="45"/>
      <c r="K817" s="45"/>
      <c r="L817" s="45"/>
      <c r="M817" s="45"/>
      <c r="N817" s="2"/>
      <c r="O817" s="2"/>
      <c r="P817" s="2"/>
      <c r="Q817" s="2"/>
      <c r="R817" s="2"/>
      <c r="S817" s="2"/>
      <c r="T817" s="2"/>
      <c r="U817" s="2"/>
      <c r="V817" s="2"/>
      <c r="W817" s="2"/>
      <c r="X817" s="2"/>
      <c r="Y817" s="2"/>
      <c r="Z817" s="2"/>
      <c r="AA817" s="2"/>
    </row>
    <row r="818" spans="1:27" ht="13.15">
      <c r="A818" s="12"/>
      <c r="B818" s="45"/>
      <c r="C818" s="45"/>
      <c r="D818" s="45"/>
      <c r="E818" s="45"/>
      <c r="F818" s="45"/>
      <c r="G818" s="45"/>
      <c r="H818" s="45"/>
      <c r="I818" s="45"/>
      <c r="J818" s="45"/>
      <c r="K818" s="45"/>
      <c r="L818" s="45"/>
      <c r="M818" s="45"/>
      <c r="N818" s="2"/>
      <c r="O818" s="2"/>
      <c r="P818" s="2"/>
      <c r="Q818" s="2"/>
      <c r="R818" s="2"/>
      <c r="S818" s="2"/>
      <c r="T818" s="2"/>
      <c r="U818" s="2"/>
      <c r="V818" s="2"/>
      <c r="W818" s="2"/>
      <c r="X818" s="2"/>
      <c r="Y818" s="2"/>
      <c r="Z818" s="2"/>
      <c r="AA818" s="2"/>
    </row>
    <row r="819" spans="1:27" ht="13.15">
      <c r="A819" s="12"/>
      <c r="B819" s="45"/>
      <c r="C819" s="45"/>
      <c r="D819" s="45"/>
      <c r="E819" s="45"/>
      <c r="F819" s="45"/>
      <c r="G819" s="45"/>
      <c r="H819" s="45"/>
      <c r="I819" s="45"/>
      <c r="J819" s="45"/>
      <c r="K819" s="45"/>
      <c r="L819" s="45"/>
      <c r="M819" s="45"/>
      <c r="N819" s="2"/>
      <c r="O819" s="2"/>
      <c r="P819" s="2"/>
      <c r="Q819" s="2"/>
      <c r="R819" s="2"/>
      <c r="S819" s="2"/>
      <c r="T819" s="2"/>
      <c r="U819" s="2"/>
      <c r="V819" s="2"/>
      <c r="W819" s="2"/>
      <c r="X819" s="2"/>
      <c r="Y819" s="2"/>
      <c r="Z819" s="2"/>
      <c r="AA819" s="2"/>
    </row>
    <row r="820" spans="1:27" ht="13.15">
      <c r="A820" s="12"/>
      <c r="B820" s="45"/>
      <c r="C820" s="45"/>
      <c r="D820" s="45"/>
      <c r="E820" s="45"/>
      <c r="F820" s="45"/>
      <c r="G820" s="45"/>
      <c r="H820" s="45"/>
      <c r="I820" s="45"/>
      <c r="J820" s="45"/>
      <c r="K820" s="45"/>
      <c r="L820" s="45"/>
      <c r="M820" s="45"/>
      <c r="N820" s="2"/>
      <c r="O820" s="2"/>
      <c r="P820" s="2"/>
      <c r="Q820" s="2"/>
      <c r="R820" s="2"/>
      <c r="S820" s="2"/>
      <c r="T820" s="2"/>
      <c r="U820" s="2"/>
      <c r="V820" s="2"/>
      <c r="W820" s="2"/>
      <c r="X820" s="2"/>
      <c r="Y820" s="2"/>
      <c r="Z820" s="2"/>
      <c r="AA820" s="2"/>
    </row>
    <row r="821" spans="1:27" ht="13.15">
      <c r="A821" s="12"/>
      <c r="B821" s="45"/>
      <c r="C821" s="45"/>
      <c r="D821" s="45"/>
      <c r="E821" s="45"/>
      <c r="F821" s="45"/>
      <c r="G821" s="45"/>
      <c r="H821" s="45"/>
      <c r="I821" s="45"/>
      <c r="J821" s="45"/>
      <c r="K821" s="45"/>
      <c r="L821" s="45"/>
      <c r="M821" s="45"/>
      <c r="N821" s="2"/>
      <c r="O821" s="2"/>
      <c r="P821" s="2"/>
      <c r="Q821" s="2"/>
      <c r="R821" s="2"/>
      <c r="S821" s="2"/>
      <c r="T821" s="2"/>
      <c r="U821" s="2"/>
      <c r="V821" s="2"/>
      <c r="W821" s="2"/>
      <c r="X821" s="2"/>
      <c r="Y821" s="2"/>
      <c r="Z821" s="2"/>
      <c r="AA821" s="2"/>
    </row>
    <row r="822" spans="1:27" ht="13.15">
      <c r="A822" s="12"/>
      <c r="B822" s="45"/>
      <c r="C822" s="45"/>
      <c r="D822" s="45"/>
      <c r="E822" s="45"/>
      <c r="F822" s="45"/>
      <c r="G822" s="45"/>
      <c r="H822" s="45"/>
      <c r="I822" s="45"/>
      <c r="J822" s="45"/>
      <c r="K822" s="45"/>
      <c r="L822" s="45"/>
      <c r="M822" s="45"/>
      <c r="N822" s="2"/>
      <c r="O822" s="2"/>
      <c r="P822" s="2"/>
      <c r="Q822" s="2"/>
      <c r="R822" s="2"/>
      <c r="S822" s="2"/>
      <c r="T822" s="2"/>
      <c r="U822" s="2"/>
      <c r="V822" s="2"/>
      <c r="W822" s="2"/>
      <c r="X822" s="2"/>
      <c r="Y822" s="2"/>
      <c r="Z822" s="2"/>
      <c r="AA822" s="2"/>
    </row>
    <row r="823" spans="1:27" ht="13.15">
      <c r="A823" s="12"/>
      <c r="B823" s="45"/>
      <c r="C823" s="45"/>
      <c r="D823" s="45"/>
      <c r="E823" s="45"/>
      <c r="F823" s="45"/>
      <c r="G823" s="45"/>
      <c r="H823" s="45"/>
      <c r="I823" s="45"/>
      <c r="J823" s="45"/>
      <c r="K823" s="45"/>
      <c r="L823" s="45"/>
      <c r="M823" s="45"/>
      <c r="N823" s="2"/>
      <c r="O823" s="2"/>
      <c r="P823" s="2"/>
      <c r="Q823" s="2"/>
      <c r="R823" s="2"/>
      <c r="S823" s="2"/>
      <c r="T823" s="2"/>
      <c r="U823" s="2"/>
      <c r="V823" s="2"/>
      <c r="W823" s="2"/>
      <c r="X823" s="2"/>
      <c r="Y823" s="2"/>
      <c r="Z823" s="2"/>
      <c r="AA823" s="2"/>
    </row>
    <row r="824" spans="1:27" ht="13.15">
      <c r="A824" s="12"/>
      <c r="B824" s="45"/>
      <c r="C824" s="45"/>
      <c r="D824" s="45"/>
      <c r="E824" s="45"/>
      <c r="F824" s="45"/>
      <c r="G824" s="45"/>
      <c r="H824" s="45"/>
      <c r="I824" s="45"/>
      <c r="J824" s="45"/>
      <c r="K824" s="45"/>
      <c r="L824" s="45"/>
      <c r="M824" s="45"/>
      <c r="N824" s="2"/>
      <c r="O824" s="2"/>
      <c r="P824" s="2"/>
      <c r="Q824" s="2"/>
      <c r="R824" s="2"/>
      <c r="S824" s="2"/>
      <c r="T824" s="2"/>
      <c r="U824" s="2"/>
      <c r="V824" s="2"/>
      <c r="W824" s="2"/>
      <c r="X824" s="2"/>
      <c r="Y824" s="2"/>
      <c r="Z824" s="2"/>
      <c r="AA824" s="2"/>
    </row>
    <row r="825" spans="1:27" ht="13.15">
      <c r="A825" s="12"/>
      <c r="B825" s="45"/>
      <c r="C825" s="45"/>
      <c r="D825" s="45"/>
      <c r="E825" s="45"/>
      <c r="F825" s="45"/>
      <c r="G825" s="45"/>
      <c r="H825" s="45"/>
      <c r="I825" s="45"/>
      <c r="J825" s="45"/>
      <c r="K825" s="45"/>
      <c r="L825" s="45"/>
      <c r="M825" s="45"/>
      <c r="N825" s="2"/>
      <c r="O825" s="2"/>
      <c r="P825" s="2"/>
      <c r="Q825" s="2"/>
      <c r="R825" s="2"/>
      <c r="S825" s="2"/>
      <c r="T825" s="2"/>
      <c r="U825" s="2"/>
      <c r="V825" s="2"/>
      <c r="W825" s="2"/>
      <c r="X825" s="2"/>
      <c r="Y825" s="2"/>
      <c r="Z825" s="2"/>
      <c r="AA825" s="2"/>
    </row>
    <row r="826" spans="1:27" ht="13.15">
      <c r="A826" s="12"/>
      <c r="B826" s="45"/>
      <c r="C826" s="45"/>
      <c r="D826" s="45"/>
      <c r="E826" s="45"/>
      <c r="F826" s="45"/>
      <c r="G826" s="45"/>
      <c r="H826" s="45"/>
      <c r="I826" s="45"/>
      <c r="J826" s="45"/>
      <c r="K826" s="45"/>
      <c r="L826" s="45"/>
      <c r="M826" s="45"/>
      <c r="N826" s="2"/>
      <c r="O826" s="2"/>
      <c r="P826" s="2"/>
      <c r="Q826" s="2"/>
      <c r="R826" s="2"/>
      <c r="S826" s="2"/>
      <c r="T826" s="2"/>
      <c r="U826" s="2"/>
      <c r="V826" s="2"/>
      <c r="W826" s="2"/>
      <c r="X826" s="2"/>
      <c r="Y826" s="2"/>
      <c r="Z826" s="2"/>
      <c r="AA826" s="2"/>
    </row>
    <row r="827" spans="1:27" ht="13.15">
      <c r="A827" s="12"/>
      <c r="B827" s="45"/>
      <c r="C827" s="45"/>
      <c r="D827" s="45"/>
      <c r="E827" s="45"/>
      <c r="F827" s="45"/>
      <c r="G827" s="45"/>
      <c r="H827" s="45"/>
      <c r="I827" s="45"/>
      <c r="J827" s="45"/>
      <c r="K827" s="45"/>
      <c r="L827" s="45"/>
      <c r="M827" s="45"/>
      <c r="N827" s="2"/>
      <c r="O827" s="2"/>
      <c r="P827" s="2"/>
      <c r="Q827" s="2"/>
      <c r="R827" s="2"/>
      <c r="S827" s="2"/>
      <c r="T827" s="2"/>
      <c r="U827" s="2"/>
      <c r="V827" s="2"/>
      <c r="W827" s="2"/>
      <c r="X827" s="2"/>
      <c r="Y827" s="2"/>
      <c r="Z827" s="2"/>
      <c r="AA827" s="2"/>
    </row>
    <row r="828" spans="1:27" ht="13.15">
      <c r="A828" s="12"/>
      <c r="B828" s="45"/>
      <c r="C828" s="45"/>
      <c r="D828" s="45"/>
      <c r="E828" s="45"/>
      <c r="F828" s="45"/>
      <c r="G828" s="45"/>
      <c r="H828" s="45"/>
      <c r="I828" s="45"/>
      <c r="J828" s="45"/>
      <c r="K828" s="45"/>
      <c r="L828" s="45"/>
      <c r="M828" s="45"/>
      <c r="N828" s="2"/>
      <c r="O828" s="2"/>
      <c r="P828" s="2"/>
      <c r="Q828" s="2"/>
      <c r="R828" s="2"/>
      <c r="S828" s="2"/>
      <c r="T828" s="2"/>
      <c r="U828" s="2"/>
      <c r="V828" s="2"/>
      <c r="W828" s="2"/>
      <c r="X828" s="2"/>
      <c r="Y828" s="2"/>
      <c r="Z828" s="2"/>
      <c r="AA828" s="2"/>
    </row>
    <row r="829" spans="1:27" ht="13.15">
      <c r="A829" s="12"/>
      <c r="B829" s="45"/>
      <c r="C829" s="45"/>
      <c r="D829" s="45"/>
      <c r="E829" s="45"/>
      <c r="F829" s="45"/>
      <c r="G829" s="45"/>
      <c r="H829" s="45"/>
      <c r="I829" s="45"/>
      <c r="J829" s="45"/>
      <c r="K829" s="45"/>
      <c r="L829" s="45"/>
      <c r="M829" s="45"/>
      <c r="N829" s="2"/>
      <c r="O829" s="2"/>
      <c r="P829" s="2"/>
      <c r="Q829" s="2"/>
      <c r="R829" s="2"/>
      <c r="S829" s="2"/>
      <c r="T829" s="2"/>
      <c r="U829" s="2"/>
      <c r="V829" s="2"/>
      <c r="W829" s="2"/>
      <c r="X829" s="2"/>
      <c r="Y829" s="2"/>
      <c r="Z829" s="2"/>
      <c r="AA829" s="2"/>
    </row>
    <row r="830" spans="1:27" ht="13.15">
      <c r="A830" s="12"/>
      <c r="B830" s="45"/>
      <c r="C830" s="45"/>
      <c r="D830" s="45"/>
      <c r="E830" s="45"/>
      <c r="F830" s="45"/>
      <c r="G830" s="45"/>
      <c r="H830" s="45"/>
      <c r="I830" s="45"/>
      <c r="J830" s="45"/>
      <c r="K830" s="45"/>
      <c r="L830" s="45"/>
      <c r="M830" s="45"/>
      <c r="N830" s="2"/>
      <c r="O830" s="2"/>
      <c r="P830" s="2"/>
      <c r="Q830" s="2"/>
      <c r="R830" s="2"/>
      <c r="S830" s="2"/>
      <c r="T830" s="2"/>
      <c r="U830" s="2"/>
      <c r="V830" s="2"/>
      <c r="W830" s="2"/>
      <c r="X830" s="2"/>
      <c r="Y830" s="2"/>
      <c r="Z830" s="2"/>
      <c r="AA830" s="2"/>
    </row>
    <row r="831" spans="1:27" ht="13.15">
      <c r="A831" s="12"/>
      <c r="B831" s="45"/>
      <c r="C831" s="45"/>
      <c r="D831" s="45"/>
      <c r="E831" s="45"/>
      <c r="F831" s="45"/>
      <c r="G831" s="45"/>
      <c r="H831" s="45"/>
      <c r="I831" s="45"/>
      <c r="J831" s="45"/>
      <c r="K831" s="45"/>
      <c r="L831" s="45"/>
      <c r="M831" s="45"/>
      <c r="N831" s="2"/>
      <c r="O831" s="2"/>
      <c r="P831" s="2"/>
      <c r="Q831" s="2"/>
      <c r="R831" s="2"/>
      <c r="S831" s="2"/>
      <c r="T831" s="2"/>
      <c r="U831" s="2"/>
      <c r="V831" s="2"/>
      <c r="W831" s="2"/>
      <c r="X831" s="2"/>
      <c r="Y831" s="2"/>
      <c r="Z831" s="2"/>
      <c r="AA831" s="2"/>
    </row>
    <row r="832" spans="1:27" ht="13.15">
      <c r="A832" s="12"/>
      <c r="B832" s="45"/>
      <c r="C832" s="45"/>
      <c r="D832" s="45"/>
      <c r="E832" s="45"/>
      <c r="F832" s="45"/>
      <c r="G832" s="45"/>
      <c r="H832" s="45"/>
      <c r="I832" s="45"/>
      <c r="J832" s="45"/>
      <c r="K832" s="45"/>
      <c r="L832" s="45"/>
      <c r="M832" s="45"/>
      <c r="N832" s="2"/>
      <c r="O832" s="2"/>
      <c r="P832" s="2"/>
      <c r="Q832" s="2"/>
      <c r="R832" s="2"/>
      <c r="S832" s="2"/>
      <c r="T832" s="2"/>
      <c r="U832" s="2"/>
      <c r="V832" s="2"/>
      <c r="W832" s="2"/>
      <c r="X832" s="2"/>
      <c r="Y832" s="2"/>
      <c r="Z832" s="2"/>
      <c r="AA832" s="2"/>
    </row>
    <row r="833" spans="1:27" ht="13.15">
      <c r="A833" s="12"/>
      <c r="B833" s="45"/>
      <c r="C833" s="45"/>
      <c r="D833" s="45"/>
      <c r="E833" s="45"/>
      <c r="F833" s="45"/>
      <c r="G833" s="45"/>
      <c r="H833" s="45"/>
      <c r="I833" s="45"/>
      <c r="J833" s="45"/>
      <c r="K833" s="45"/>
      <c r="L833" s="45"/>
      <c r="M833" s="45"/>
      <c r="N833" s="2"/>
      <c r="O833" s="2"/>
      <c r="P833" s="2"/>
      <c r="Q833" s="2"/>
      <c r="R833" s="2"/>
      <c r="S833" s="2"/>
      <c r="T833" s="2"/>
      <c r="U833" s="2"/>
      <c r="V833" s="2"/>
      <c r="W833" s="2"/>
      <c r="X833" s="2"/>
      <c r="Y833" s="2"/>
      <c r="Z833" s="2"/>
      <c r="AA833" s="2"/>
    </row>
    <row r="834" spans="1:27" ht="13.15">
      <c r="A834" s="12"/>
      <c r="B834" s="45"/>
      <c r="C834" s="45"/>
      <c r="D834" s="45"/>
      <c r="E834" s="45"/>
      <c r="F834" s="45"/>
      <c r="G834" s="45"/>
      <c r="H834" s="45"/>
      <c r="I834" s="45"/>
      <c r="J834" s="45"/>
      <c r="K834" s="45"/>
      <c r="L834" s="45"/>
      <c r="M834" s="45"/>
      <c r="N834" s="2"/>
      <c r="O834" s="2"/>
      <c r="P834" s="2"/>
      <c r="Q834" s="2"/>
      <c r="R834" s="2"/>
      <c r="S834" s="2"/>
      <c r="T834" s="2"/>
      <c r="U834" s="2"/>
      <c r="V834" s="2"/>
      <c r="W834" s="2"/>
      <c r="X834" s="2"/>
      <c r="Y834" s="2"/>
      <c r="Z834" s="2"/>
      <c r="AA834" s="2"/>
    </row>
    <row r="835" spans="1:27" ht="13.15">
      <c r="A835" s="12"/>
      <c r="B835" s="45"/>
      <c r="C835" s="45"/>
      <c r="D835" s="45"/>
      <c r="E835" s="45"/>
      <c r="F835" s="45"/>
      <c r="G835" s="45"/>
      <c r="H835" s="45"/>
      <c r="I835" s="45"/>
      <c r="J835" s="45"/>
      <c r="K835" s="45"/>
      <c r="L835" s="45"/>
      <c r="M835" s="45"/>
      <c r="N835" s="2"/>
      <c r="O835" s="2"/>
      <c r="P835" s="2"/>
      <c r="Q835" s="2"/>
      <c r="R835" s="2"/>
      <c r="S835" s="2"/>
      <c r="T835" s="2"/>
      <c r="U835" s="2"/>
      <c r="V835" s="2"/>
      <c r="W835" s="2"/>
      <c r="X835" s="2"/>
      <c r="Y835" s="2"/>
      <c r="Z835" s="2"/>
      <c r="AA835" s="2"/>
    </row>
    <row r="836" spans="1:27" ht="13.15">
      <c r="A836" s="12"/>
      <c r="B836" s="45"/>
      <c r="C836" s="45"/>
      <c r="D836" s="45"/>
      <c r="E836" s="45"/>
      <c r="F836" s="45"/>
      <c r="G836" s="45"/>
      <c r="H836" s="45"/>
      <c r="I836" s="45"/>
      <c r="J836" s="45"/>
      <c r="K836" s="45"/>
      <c r="L836" s="45"/>
      <c r="M836" s="45"/>
      <c r="N836" s="2"/>
      <c r="O836" s="2"/>
      <c r="P836" s="2"/>
      <c r="Q836" s="2"/>
      <c r="R836" s="2"/>
      <c r="S836" s="2"/>
      <c r="T836" s="2"/>
      <c r="U836" s="2"/>
      <c r="V836" s="2"/>
      <c r="W836" s="2"/>
      <c r="X836" s="2"/>
      <c r="Y836" s="2"/>
      <c r="Z836" s="2"/>
      <c r="AA836" s="2"/>
    </row>
    <row r="837" spans="1:27" ht="13.15">
      <c r="A837" s="12"/>
      <c r="B837" s="45"/>
      <c r="C837" s="45"/>
      <c r="D837" s="45"/>
      <c r="E837" s="45"/>
      <c r="F837" s="45"/>
      <c r="G837" s="45"/>
      <c r="H837" s="45"/>
      <c r="I837" s="45"/>
      <c r="J837" s="45"/>
      <c r="K837" s="45"/>
      <c r="L837" s="45"/>
      <c r="M837" s="45"/>
      <c r="N837" s="2"/>
      <c r="O837" s="2"/>
      <c r="P837" s="2"/>
      <c r="Q837" s="2"/>
      <c r="R837" s="2"/>
      <c r="S837" s="2"/>
      <c r="T837" s="2"/>
      <c r="U837" s="2"/>
      <c r="V837" s="2"/>
      <c r="W837" s="2"/>
      <c r="X837" s="2"/>
      <c r="Y837" s="2"/>
      <c r="Z837" s="2"/>
      <c r="AA837" s="2"/>
    </row>
    <row r="838" spans="1:27" ht="13.15">
      <c r="A838" s="12"/>
      <c r="B838" s="45"/>
      <c r="C838" s="45"/>
      <c r="D838" s="45"/>
      <c r="E838" s="45"/>
      <c r="F838" s="45"/>
      <c r="G838" s="45"/>
      <c r="H838" s="45"/>
      <c r="I838" s="45"/>
      <c r="J838" s="45"/>
      <c r="K838" s="45"/>
      <c r="L838" s="45"/>
      <c r="M838" s="45"/>
      <c r="N838" s="2"/>
      <c r="O838" s="2"/>
      <c r="P838" s="2"/>
      <c r="Q838" s="2"/>
      <c r="R838" s="2"/>
      <c r="S838" s="2"/>
      <c r="T838" s="2"/>
      <c r="U838" s="2"/>
      <c r="V838" s="2"/>
      <c r="W838" s="2"/>
      <c r="X838" s="2"/>
      <c r="Y838" s="2"/>
      <c r="Z838" s="2"/>
      <c r="AA838" s="2"/>
    </row>
    <row r="839" spans="1:27" ht="13.15">
      <c r="A839" s="12"/>
      <c r="B839" s="45"/>
      <c r="C839" s="45"/>
      <c r="D839" s="45"/>
      <c r="E839" s="45"/>
      <c r="F839" s="45"/>
      <c r="G839" s="45"/>
      <c r="H839" s="45"/>
      <c r="I839" s="45"/>
      <c r="J839" s="45"/>
      <c r="K839" s="45"/>
      <c r="L839" s="45"/>
      <c r="M839" s="45"/>
      <c r="N839" s="2"/>
      <c r="O839" s="2"/>
      <c r="P839" s="2"/>
      <c r="Q839" s="2"/>
      <c r="R839" s="2"/>
      <c r="S839" s="2"/>
      <c r="T839" s="2"/>
      <c r="U839" s="2"/>
      <c r="V839" s="2"/>
      <c r="W839" s="2"/>
      <c r="X839" s="2"/>
      <c r="Y839" s="2"/>
      <c r="Z839" s="2"/>
      <c r="AA839" s="2"/>
    </row>
    <row r="840" spans="1:27" ht="13.15">
      <c r="A840" s="12"/>
      <c r="B840" s="45"/>
      <c r="C840" s="45"/>
      <c r="D840" s="45"/>
      <c r="E840" s="45"/>
      <c r="F840" s="45"/>
      <c r="G840" s="45"/>
      <c r="H840" s="45"/>
      <c r="I840" s="45"/>
      <c r="J840" s="45"/>
      <c r="K840" s="45"/>
      <c r="L840" s="45"/>
      <c r="M840" s="45"/>
      <c r="N840" s="2"/>
      <c r="O840" s="2"/>
      <c r="P840" s="2"/>
      <c r="Q840" s="2"/>
      <c r="R840" s="2"/>
      <c r="S840" s="2"/>
      <c r="T840" s="2"/>
      <c r="U840" s="2"/>
      <c r="V840" s="2"/>
      <c r="W840" s="2"/>
      <c r="X840" s="2"/>
      <c r="Y840" s="2"/>
      <c r="Z840" s="2"/>
      <c r="AA840" s="2"/>
    </row>
    <row r="841" spans="1:27" ht="13.15">
      <c r="A841" s="12"/>
      <c r="B841" s="45"/>
      <c r="C841" s="45"/>
      <c r="D841" s="45"/>
      <c r="E841" s="45"/>
      <c r="F841" s="45"/>
      <c r="G841" s="45"/>
      <c r="H841" s="45"/>
      <c r="I841" s="45"/>
      <c r="J841" s="45"/>
      <c r="K841" s="45"/>
      <c r="L841" s="45"/>
      <c r="M841" s="45"/>
      <c r="N841" s="2"/>
      <c r="O841" s="2"/>
      <c r="P841" s="2"/>
      <c r="Q841" s="2"/>
      <c r="R841" s="2"/>
      <c r="S841" s="2"/>
      <c r="T841" s="2"/>
      <c r="U841" s="2"/>
      <c r="V841" s="2"/>
      <c r="W841" s="2"/>
      <c r="X841" s="2"/>
      <c r="Y841" s="2"/>
      <c r="Z841" s="2"/>
      <c r="AA841" s="2"/>
    </row>
    <row r="842" spans="1:27" ht="13.15">
      <c r="A842" s="12"/>
      <c r="B842" s="45"/>
      <c r="C842" s="45"/>
      <c r="D842" s="45"/>
      <c r="E842" s="45"/>
      <c r="F842" s="45"/>
      <c r="G842" s="45"/>
      <c r="H842" s="45"/>
      <c r="I842" s="45"/>
      <c r="J842" s="45"/>
      <c r="K842" s="45"/>
      <c r="L842" s="45"/>
      <c r="M842" s="45"/>
      <c r="N842" s="2"/>
      <c r="O842" s="2"/>
      <c r="P842" s="2"/>
      <c r="Q842" s="2"/>
      <c r="R842" s="2"/>
      <c r="S842" s="2"/>
      <c r="T842" s="2"/>
      <c r="U842" s="2"/>
      <c r="V842" s="2"/>
      <c r="W842" s="2"/>
      <c r="X842" s="2"/>
      <c r="Y842" s="2"/>
      <c r="Z842" s="2"/>
      <c r="AA842" s="2"/>
    </row>
    <row r="843" spans="1:27" ht="13.15">
      <c r="A843" s="12"/>
      <c r="B843" s="45"/>
      <c r="C843" s="45"/>
      <c r="D843" s="45"/>
      <c r="E843" s="45"/>
      <c r="F843" s="45"/>
      <c r="G843" s="45"/>
      <c r="H843" s="45"/>
      <c r="I843" s="45"/>
      <c r="J843" s="45"/>
      <c r="K843" s="45"/>
      <c r="L843" s="45"/>
      <c r="M843" s="45"/>
      <c r="N843" s="2"/>
      <c r="O843" s="2"/>
      <c r="P843" s="2"/>
      <c r="Q843" s="2"/>
      <c r="R843" s="2"/>
      <c r="S843" s="2"/>
      <c r="T843" s="2"/>
      <c r="U843" s="2"/>
      <c r="V843" s="2"/>
      <c r="W843" s="2"/>
      <c r="X843" s="2"/>
      <c r="Y843" s="2"/>
      <c r="Z843" s="2"/>
      <c r="AA843" s="2"/>
    </row>
    <row r="844" spans="1:27" ht="13.15">
      <c r="A844" s="12"/>
      <c r="B844" s="45"/>
      <c r="C844" s="45"/>
      <c r="D844" s="45"/>
      <c r="E844" s="45"/>
      <c r="F844" s="45"/>
      <c r="G844" s="45"/>
      <c r="H844" s="45"/>
      <c r="I844" s="45"/>
      <c r="J844" s="45"/>
      <c r="K844" s="45"/>
      <c r="L844" s="45"/>
      <c r="M844" s="45"/>
      <c r="N844" s="2"/>
      <c r="O844" s="2"/>
      <c r="P844" s="2"/>
      <c r="Q844" s="2"/>
      <c r="R844" s="2"/>
      <c r="S844" s="2"/>
      <c r="T844" s="2"/>
      <c r="U844" s="2"/>
      <c r="V844" s="2"/>
      <c r="W844" s="2"/>
      <c r="X844" s="2"/>
      <c r="Y844" s="2"/>
      <c r="Z844" s="2"/>
      <c r="AA844" s="2"/>
    </row>
    <row r="845" spans="1:27" ht="13.15">
      <c r="A845" s="12"/>
      <c r="B845" s="45"/>
      <c r="C845" s="45"/>
      <c r="D845" s="45"/>
      <c r="E845" s="45"/>
      <c r="F845" s="45"/>
      <c r="G845" s="45"/>
      <c r="H845" s="45"/>
      <c r="I845" s="45"/>
      <c r="J845" s="45"/>
      <c r="K845" s="45"/>
      <c r="L845" s="45"/>
      <c r="M845" s="45"/>
      <c r="N845" s="2"/>
      <c r="O845" s="2"/>
      <c r="P845" s="2"/>
      <c r="Q845" s="2"/>
      <c r="R845" s="2"/>
      <c r="S845" s="2"/>
      <c r="T845" s="2"/>
      <c r="U845" s="2"/>
      <c r="V845" s="2"/>
      <c r="W845" s="2"/>
      <c r="X845" s="2"/>
      <c r="Y845" s="2"/>
      <c r="Z845" s="2"/>
      <c r="AA845" s="2"/>
    </row>
    <row r="846" spans="1:27" ht="13.15">
      <c r="A846" s="12"/>
      <c r="B846" s="45"/>
      <c r="C846" s="45"/>
      <c r="D846" s="45"/>
      <c r="E846" s="45"/>
      <c r="F846" s="45"/>
      <c r="G846" s="45"/>
      <c r="H846" s="45"/>
      <c r="I846" s="45"/>
      <c r="J846" s="45"/>
      <c r="K846" s="45"/>
      <c r="L846" s="45"/>
      <c r="M846" s="45"/>
      <c r="N846" s="2"/>
      <c r="O846" s="2"/>
      <c r="P846" s="2"/>
      <c r="Q846" s="2"/>
      <c r="R846" s="2"/>
      <c r="S846" s="2"/>
      <c r="T846" s="2"/>
      <c r="U846" s="2"/>
      <c r="V846" s="2"/>
      <c r="W846" s="2"/>
      <c r="X846" s="2"/>
      <c r="Y846" s="2"/>
      <c r="Z846" s="2"/>
      <c r="AA846" s="2"/>
    </row>
    <row r="847" spans="1:27" ht="13.15">
      <c r="A847" s="12"/>
      <c r="B847" s="45"/>
      <c r="C847" s="45"/>
      <c r="D847" s="45"/>
      <c r="E847" s="45"/>
      <c r="F847" s="45"/>
      <c r="G847" s="45"/>
      <c r="H847" s="45"/>
      <c r="I847" s="45"/>
      <c r="J847" s="45"/>
      <c r="K847" s="45"/>
      <c r="L847" s="45"/>
      <c r="M847" s="45"/>
      <c r="N847" s="2"/>
      <c r="O847" s="2"/>
      <c r="P847" s="2"/>
      <c r="Q847" s="2"/>
      <c r="R847" s="2"/>
      <c r="S847" s="2"/>
      <c r="T847" s="2"/>
      <c r="U847" s="2"/>
      <c r="V847" s="2"/>
      <c r="W847" s="2"/>
      <c r="X847" s="2"/>
      <c r="Y847" s="2"/>
      <c r="Z847" s="2"/>
      <c r="AA847" s="2"/>
    </row>
    <row r="848" spans="1:27" ht="13.15">
      <c r="A848" s="12"/>
      <c r="B848" s="45"/>
      <c r="C848" s="45"/>
      <c r="D848" s="45"/>
      <c r="E848" s="45"/>
      <c r="F848" s="45"/>
      <c r="G848" s="45"/>
      <c r="H848" s="45"/>
      <c r="I848" s="45"/>
      <c r="J848" s="45"/>
      <c r="K848" s="45"/>
      <c r="L848" s="45"/>
      <c r="M848" s="45"/>
      <c r="N848" s="2"/>
      <c r="O848" s="2"/>
      <c r="P848" s="2"/>
      <c r="Q848" s="2"/>
      <c r="R848" s="2"/>
      <c r="S848" s="2"/>
      <c r="T848" s="2"/>
      <c r="U848" s="2"/>
      <c r="V848" s="2"/>
      <c r="W848" s="2"/>
      <c r="X848" s="2"/>
      <c r="Y848" s="2"/>
      <c r="Z848" s="2"/>
      <c r="AA848" s="2"/>
    </row>
    <row r="849" spans="1:27" ht="13.15">
      <c r="A849" s="12"/>
      <c r="B849" s="45"/>
      <c r="C849" s="45"/>
      <c r="D849" s="45"/>
      <c r="E849" s="45"/>
      <c r="F849" s="45"/>
      <c r="G849" s="45"/>
      <c r="H849" s="45"/>
      <c r="I849" s="45"/>
      <c r="J849" s="45"/>
      <c r="K849" s="45"/>
      <c r="L849" s="45"/>
      <c r="M849" s="45"/>
      <c r="N849" s="2"/>
      <c r="O849" s="2"/>
      <c r="P849" s="2"/>
      <c r="Q849" s="2"/>
      <c r="R849" s="2"/>
      <c r="S849" s="2"/>
      <c r="T849" s="2"/>
      <c r="U849" s="2"/>
      <c r="V849" s="2"/>
      <c r="W849" s="2"/>
      <c r="X849" s="2"/>
      <c r="Y849" s="2"/>
      <c r="Z849" s="2"/>
      <c r="AA849" s="2"/>
    </row>
    <row r="850" spans="1:27" ht="13.15">
      <c r="A850" s="12"/>
      <c r="B850" s="45"/>
      <c r="C850" s="45"/>
      <c r="D850" s="45"/>
      <c r="E850" s="45"/>
      <c r="F850" s="45"/>
      <c r="G850" s="45"/>
      <c r="H850" s="45"/>
      <c r="I850" s="45"/>
      <c r="J850" s="45"/>
      <c r="K850" s="45"/>
      <c r="L850" s="45"/>
      <c r="M850" s="45"/>
      <c r="N850" s="2"/>
      <c r="O850" s="2"/>
      <c r="P850" s="2"/>
      <c r="Q850" s="2"/>
      <c r="R850" s="2"/>
      <c r="S850" s="2"/>
      <c r="T850" s="2"/>
      <c r="U850" s="2"/>
      <c r="V850" s="2"/>
      <c r="W850" s="2"/>
      <c r="X850" s="2"/>
      <c r="Y850" s="2"/>
      <c r="Z850" s="2"/>
      <c r="AA850" s="2"/>
    </row>
    <row r="851" spans="1:27" ht="13.15">
      <c r="A851" s="12"/>
      <c r="B851" s="45"/>
      <c r="C851" s="45"/>
      <c r="D851" s="45"/>
      <c r="E851" s="45"/>
      <c r="F851" s="45"/>
      <c r="G851" s="45"/>
      <c r="H851" s="45"/>
      <c r="I851" s="45"/>
      <c r="J851" s="45"/>
      <c r="K851" s="45"/>
      <c r="L851" s="45"/>
      <c r="M851" s="45"/>
      <c r="N851" s="2"/>
      <c r="O851" s="2"/>
      <c r="P851" s="2"/>
      <c r="Q851" s="2"/>
      <c r="R851" s="2"/>
      <c r="S851" s="2"/>
      <c r="T851" s="2"/>
      <c r="U851" s="2"/>
      <c r="V851" s="2"/>
      <c r="W851" s="2"/>
      <c r="X851" s="2"/>
      <c r="Y851" s="2"/>
      <c r="Z851" s="2"/>
      <c r="AA851" s="2"/>
    </row>
    <row r="852" spans="1:27" ht="13.15">
      <c r="A852" s="12"/>
      <c r="B852" s="45"/>
      <c r="C852" s="45"/>
      <c r="D852" s="45"/>
      <c r="E852" s="45"/>
      <c r="F852" s="45"/>
      <c r="G852" s="45"/>
      <c r="H852" s="45"/>
      <c r="I852" s="45"/>
      <c r="J852" s="45"/>
      <c r="K852" s="45"/>
      <c r="L852" s="45"/>
      <c r="M852" s="45"/>
      <c r="N852" s="2"/>
      <c r="O852" s="2"/>
      <c r="P852" s="2"/>
      <c r="Q852" s="2"/>
      <c r="R852" s="2"/>
      <c r="S852" s="2"/>
      <c r="T852" s="2"/>
      <c r="U852" s="2"/>
      <c r="V852" s="2"/>
      <c r="W852" s="2"/>
      <c r="X852" s="2"/>
      <c r="Y852" s="2"/>
      <c r="Z852" s="2"/>
      <c r="AA852" s="2"/>
    </row>
    <row r="853" spans="1:27" ht="13.15">
      <c r="A853" s="12"/>
      <c r="B853" s="45"/>
      <c r="C853" s="45"/>
      <c r="D853" s="45"/>
      <c r="E853" s="45"/>
      <c r="F853" s="45"/>
      <c r="G853" s="45"/>
      <c r="H853" s="45"/>
      <c r="I853" s="45"/>
      <c r="J853" s="45"/>
      <c r="K853" s="45"/>
      <c r="L853" s="45"/>
      <c r="M853" s="45"/>
      <c r="N853" s="2"/>
      <c r="O853" s="2"/>
      <c r="P853" s="2"/>
      <c r="Q853" s="2"/>
      <c r="R853" s="2"/>
      <c r="S853" s="2"/>
      <c r="T853" s="2"/>
      <c r="U853" s="2"/>
      <c r="V853" s="2"/>
      <c r="W853" s="2"/>
      <c r="X853" s="2"/>
      <c r="Y853" s="2"/>
      <c r="Z853" s="2"/>
      <c r="AA853" s="2"/>
    </row>
    <row r="854" spans="1:27" ht="13.15">
      <c r="A854" s="12"/>
      <c r="B854" s="45"/>
      <c r="C854" s="45"/>
      <c r="D854" s="45"/>
      <c r="E854" s="45"/>
      <c r="F854" s="45"/>
      <c r="G854" s="45"/>
      <c r="H854" s="45"/>
      <c r="I854" s="45"/>
      <c r="J854" s="45"/>
      <c r="K854" s="45"/>
      <c r="L854" s="45"/>
      <c r="M854" s="45"/>
      <c r="N854" s="2"/>
      <c r="O854" s="2"/>
      <c r="P854" s="2"/>
      <c r="Q854" s="2"/>
      <c r="R854" s="2"/>
      <c r="S854" s="2"/>
      <c r="T854" s="2"/>
      <c r="U854" s="2"/>
      <c r="V854" s="2"/>
      <c r="W854" s="2"/>
      <c r="X854" s="2"/>
      <c r="Y854" s="2"/>
      <c r="Z854" s="2"/>
      <c r="AA854" s="2"/>
    </row>
    <row r="855" spans="1:27" ht="13.15">
      <c r="A855" s="12"/>
      <c r="B855" s="45"/>
      <c r="C855" s="45"/>
      <c r="D855" s="45"/>
      <c r="E855" s="45"/>
      <c r="F855" s="45"/>
      <c r="G855" s="45"/>
      <c r="H855" s="45"/>
      <c r="I855" s="45"/>
      <c r="J855" s="45"/>
      <c r="K855" s="45"/>
      <c r="L855" s="45"/>
      <c r="M855" s="45"/>
      <c r="N855" s="2"/>
      <c r="O855" s="2"/>
      <c r="P855" s="2"/>
      <c r="Q855" s="2"/>
      <c r="R855" s="2"/>
      <c r="S855" s="2"/>
      <c r="T855" s="2"/>
      <c r="U855" s="2"/>
      <c r="V855" s="2"/>
      <c r="W855" s="2"/>
      <c r="X855" s="2"/>
      <c r="Y855" s="2"/>
      <c r="Z855" s="2"/>
      <c r="AA855" s="2"/>
    </row>
    <row r="856" spans="1:27" ht="13.15">
      <c r="A856" s="12"/>
      <c r="B856" s="45"/>
      <c r="C856" s="45"/>
      <c r="D856" s="45"/>
      <c r="E856" s="45"/>
      <c r="F856" s="45"/>
      <c r="G856" s="45"/>
      <c r="H856" s="45"/>
      <c r="I856" s="45"/>
      <c r="J856" s="45"/>
      <c r="K856" s="45"/>
      <c r="L856" s="45"/>
      <c r="M856" s="45"/>
      <c r="N856" s="2"/>
      <c r="O856" s="2"/>
      <c r="P856" s="2"/>
      <c r="Q856" s="2"/>
      <c r="R856" s="2"/>
      <c r="S856" s="2"/>
      <c r="T856" s="2"/>
      <c r="U856" s="2"/>
      <c r="V856" s="2"/>
      <c r="W856" s="2"/>
      <c r="X856" s="2"/>
      <c r="Y856" s="2"/>
      <c r="Z856" s="2"/>
      <c r="AA856" s="2"/>
    </row>
    <row r="857" spans="1:27" ht="13.15">
      <c r="A857" s="12"/>
      <c r="B857" s="45"/>
      <c r="C857" s="45"/>
      <c r="D857" s="45"/>
      <c r="E857" s="45"/>
      <c r="F857" s="45"/>
      <c r="G857" s="45"/>
      <c r="H857" s="45"/>
      <c r="I857" s="45"/>
      <c r="J857" s="45"/>
      <c r="K857" s="45"/>
      <c r="L857" s="45"/>
      <c r="M857" s="45"/>
      <c r="N857" s="2"/>
      <c r="O857" s="2"/>
      <c r="P857" s="2"/>
      <c r="Q857" s="2"/>
      <c r="R857" s="2"/>
      <c r="S857" s="2"/>
      <c r="T857" s="2"/>
      <c r="U857" s="2"/>
      <c r="V857" s="2"/>
      <c r="W857" s="2"/>
      <c r="X857" s="2"/>
      <c r="Y857" s="2"/>
      <c r="Z857" s="2"/>
      <c r="AA857" s="2"/>
    </row>
    <row r="858" spans="1:27" ht="13.15">
      <c r="A858" s="12"/>
      <c r="B858" s="45"/>
      <c r="C858" s="45"/>
      <c r="D858" s="45"/>
      <c r="E858" s="45"/>
      <c r="F858" s="45"/>
      <c r="G858" s="45"/>
      <c r="H858" s="45"/>
      <c r="I858" s="45"/>
      <c r="J858" s="45"/>
      <c r="K858" s="45"/>
      <c r="L858" s="45"/>
      <c r="M858" s="45"/>
      <c r="N858" s="2"/>
      <c r="O858" s="2"/>
      <c r="P858" s="2"/>
      <c r="Q858" s="2"/>
      <c r="R858" s="2"/>
      <c r="S858" s="2"/>
      <c r="T858" s="2"/>
      <c r="U858" s="2"/>
      <c r="V858" s="2"/>
      <c r="W858" s="2"/>
      <c r="X858" s="2"/>
      <c r="Y858" s="2"/>
      <c r="Z858" s="2"/>
      <c r="AA858" s="2"/>
    </row>
    <row r="859" spans="1:27" ht="13.15">
      <c r="A859" s="12"/>
      <c r="B859" s="45"/>
      <c r="C859" s="45"/>
      <c r="D859" s="45"/>
      <c r="E859" s="45"/>
      <c r="F859" s="45"/>
      <c r="G859" s="45"/>
      <c r="H859" s="45"/>
      <c r="I859" s="45"/>
      <c r="J859" s="45"/>
      <c r="K859" s="45"/>
      <c r="L859" s="45"/>
      <c r="M859" s="45"/>
      <c r="N859" s="2"/>
      <c r="O859" s="2"/>
      <c r="P859" s="2"/>
      <c r="Q859" s="2"/>
      <c r="R859" s="2"/>
      <c r="S859" s="2"/>
      <c r="T859" s="2"/>
      <c r="U859" s="2"/>
      <c r="V859" s="2"/>
      <c r="W859" s="2"/>
      <c r="X859" s="2"/>
      <c r="Y859" s="2"/>
      <c r="Z859" s="2"/>
      <c r="AA859" s="2"/>
    </row>
    <row r="860" spans="1:27" ht="13.15">
      <c r="A860" s="12"/>
      <c r="B860" s="45"/>
      <c r="C860" s="45"/>
      <c r="D860" s="45"/>
      <c r="E860" s="45"/>
      <c r="F860" s="45"/>
      <c r="G860" s="45"/>
      <c r="H860" s="45"/>
      <c r="I860" s="45"/>
      <c r="J860" s="45"/>
      <c r="K860" s="45"/>
      <c r="L860" s="45"/>
      <c r="M860" s="45"/>
      <c r="N860" s="2"/>
      <c r="O860" s="2"/>
      <c r="P860" s="2"/>
      <c r="Q860" s="2"/>
      <c r="R860" s="2"/>
      <c r="S860" s="2"/>
      <c r="T860" s="2"/>
      <c r="U860" s="2"/>
      <c r="V860" s="2"/>
      <c r="W860" s="2"/>
      <c r="X860" s="2"/>
      <c r="Y860" s="2"/>
      <c r="Z860" s="2"/>
      <c r="AA860" s="2"/>
    </row>
    <row r="861" spans="1:27" ht="13.15">
      <c r="A861" s="12"/>
      <c r="B861" s="45"/>
      <c r="C861" s="45"/>
      <c r="D861" s="45"/>
      <c r="E861" s="45"/>
      <c r="F861" s="45"/>
      <c r="G861" s="45"/>
      <c r="H861" s="45"/>
      <c r="I861" s="45"/>
      <c r="J861" s="45"/>
      <c r="K861" s="45"/>
      <c r="L861" s="45"/>
      <c r="M861" s="45"/>
      <c r="N861" s="2"/>
      <c r="O861" s="2"/>
      <c r="P861" s="2"/>
      <c r="Q861" s="2"/>
      <c r="R861" s="2"/>
      <c r="S861" s="2"/>
      <c r="T861" s="2"/>
      <c r="U861" s="2"/>
      <c r="V861" s="2"/>
      <c r="W861" s="2"/>
      <c r="X861" s="2"/>
      <c r="Y861" s="2"/>
      <c r="Z861" s="2"/>
      <c r="AA861" s="2"/>
    </row>
    <row r="862" spans="1:27" ht="13.15">
      <c r="A862" s="12"/>
      <c r="B862" s="45"/>
      <c r="C862" s="45"/>
      <c r="D862" s="45"/>
      <c r="E862" s="45"/>
      <c r="F862" s="45"/>
      <c r="G862" s="45"/>
      <c r="H862" s="45"/>
      <c r="I862" s="45"/>
      <c r="J862" s="45"/>
      <c r="K862" s="45"/>
      <c r="L862" s="45"/>
      <c r="M862" s="45"/>
      <c r="N862" s="2"/>
      <c r="O862" s="2"/>
      <c r="P862" s="2"/>
      <c r="Q862" s="2"/>
      <c r="R862" s="2"/>
      <c r="S862" s="2"/>
      <c r="T862" s="2"/>
      <c r="U862" s="2"/>
      <c r="V862" s="2"/>
      <c r="W862" s="2"/>
      <c r="X862" s="2"/>
      <c r="Y862" s="2"/>
      <c r="Z862" s="2"/>
      <c r="AA862" s="2"/>
    </row>
    <row r="863" spans="1:27" ht="13.15">
      <c r="A863" s="12"/>
      <c r="B863" s="45"/>
      <c r="C863" s="45"/>
      <c r="D863" s="45"/>
      <c r="E863" s="45"/>
      <c r="F863" s="45"/>
      <c r="G863" s="45"/>
      <c r="H863" s="45"/>
      <c r="I863" s="45"/>
      <c r="J863" s="45"/>
      <c r="K863" s="45"/>
      <c r="L863" s="45"/>
      <c r="M863" s="45"/>
      <c r="N863" s="2"/>
      <c r="O863" s="2"/>
      <c r="P863" s="2"/>
      <c r="Q863" s="2"/>
      <c r="R863" s="2"/>
      <c r="S863" s="2"/>
      <c r="T863" s="2"/>
      <c r="U863" s="2"/>
      <c r="V863" s="2"/>
      <c r="W863" s="2"/>
      <c r="X863" s="2"/>
      <c r="Y863" s="2"/>
      <c r="Z863" s="2"/>
      <c r="AA863" s="2"/>
    </row>
    <row r="864" spans="1:27" ht="13.15">
      <c r="A864" s="12"/>
      <c r="B864" s="45"/>
      <c r="C864" s="45"/>
      <c r="D864" s="45"/>
      <c r="E864" s="45"/>
      <c r="F864" s="45"/>
      <c r="G864" s="45"/>
      <c r="H864" s="45"/>
      <c r="I864" s="45"/>
      <c r="J864" s="45"/>
      <c r="K864" s="45"/>
      <c r="L864" s="45"/>
      <c r="M864" s="45"/>
      <c r="N864" s="2"/>
      <c r="O864" s="2"/>
      <c r="P864" s="2"/>
      <c r="Q864" s="2"/>
      <c r="R864" s="2"/>
      <c r="S864" s="2"/>
      <c r="T864" s="2"/>
      <c r="U864" s="2"/>
      <c r="V864" s="2"/>
      <c r="W864" s="2"/>
      <c r="X864" s="2"/>
      <c r="Y864" s="2"/>
      <c r="Z864" s="2"/>
      <c r="AA864" s="2"/>
    </row>
    <row r="865" spans="1:27" ht="13.15">
      <c r="A865" s="12"/>
      <c r="B865" s="45"/>
      <c r="C865" s="45"/>
      <c r="D865" s="45"/>
      <c r="E865" s="45"/>
      <c r="F865" s="45"/>
      <c r="G865" s="45"/>
      <c r="H865" s="45"/>
      <c r="I865" s="45"/>
      <c r="J865" s="45"/>
      <c r="K865" s="45"/>
      <c r="L865" s="45"/>
      <c r="M865" s="45"/>
      <c r="N865" s="2"/>
      <c r="O865" s="2"/>
      <c r="P865" s="2"/>
      <c r="Q865" s="2"/>
      <c r="R865" s="2"/>
      <c r="S865" s="2"/>
      <c r="T865" s="2"/>
      <c r="U865" s="2"/>
      <c r="V865" s="2"/>
      <c r="W865" s="2"/>
      <c r="X865" s="2"/>
      <c r="Y865" s="2"/>
      <c r="Z865" s="2"/>
      <c r="AA865" s="2"/>
    </row>
    <row r="866" spans="1:27" ht="13.15">
      <c r="A866" s="12"/>
      <c r="B866" s="45"/>
      <c r="C866" s="45"/>
      <c r="D866" s="45"/>
      <c r="E866" s="45"/>
      <c r="F866" s="45"/>
      <c r="G866" s="45"/>
      <c r="H866" s="45"/>
      <c r="I866" s="45"/>
      <c r="J866" s="45"/>
      <c r="K866" s="45"/>
      <c r="L866" s="45"/>
      <c r="M866" s="45"/>
      <c r="N866" s="2"/>
      <c r="O866" s="2"/>
      <c r="P866" s="2"/>
      <c r="Q866" s="2"/>
      <c r="R866" s="2"/>
      <c r="S866" s="2"/>
      <c r="T866" s="2"/>
      <c r="U866" s="2"/>
      <c r="V866" s="2"/>
      <c r="W866" s="2"/>
      <c r="X866" s="2"/>
      <c r="Y866" s="2"/>
      <c r="Z866" s="2"/>
      <c r="AA866" s="2"/>
    </row>
    <row r="867" spans="1:27" ht="13.15">
      <c r="A867" s="12"/>
      <c r="B867" s="45"/>
      <c r="C867" s="45"/>
      <c r="D867" s="45"/>
      <c r="E867" s="45"/>
      <c r="F867" s="45"/>
      <c r="G867" s="45"/>
      <c r="H867" s="45"/>
      <c r="I867" s="45"/>
      <c r="J867" s="45"/>
      <c r="K867" s="45"/>
      <c r="L867" s="45"/>
      <c r="M867" s="45"/>
      <c r="N867" s="2"/>
      <c r="O867" s="2"/>
      <c r="P867" s="2"/>
      <c r="Q867" s="2"/>
      <c r="R867" s="2"/>
      <c r="S867" s="2"/>
      <c r="T867" s="2"/>
      <c r="U867" s="2"/>
      <c r="V867" s="2"/>
      <c r="W867" s="2"/>
      <c r="X867" s="2"/>
      <c r="Y867" s="2"/>
      <c r="Z867" s="2"/>
      <c r="AA867" s="2"/>
    </row>
    <row r="868" spans="1:27" ht="13.15">
      <c r="A868" s="12"/>
      <c r="B868" s="45"/>
      <c r="C868" s="45"/>
      <c r="D868" s="45"/>
      <c r="E868" s="45"/>
      <c r="F868" s="45"/>
      <c r="G868" s="45"/>
      <c r="H868" s="45"/>
      <c r="I868" s="45"/>
      <c r="J868" s="45"/>
      <c r="K868" s="45"/>
      <c r="L868" s="45"/>
      <c r="M868" s="45"/>
      <c r="N868" s="2"/>
      <c r="O868" s="2"/>
      <c r="P868" s="2"/>
      <c r="Q868" s="2"/>
      <c r="R868" s="2"/>
      <c r="S868" s="2"/>
      <c r="T868" s="2"/>
      <c r="U868" s="2"/>
      <c r="V868" s="2"/>
      <c r="W868" s="2"/>
      <c r="X868" s="2"/>
      <c r="Y868" s="2"/>
      <c r="Z868" s="2"/>
      <c r="AA868" s="2"/>
    </row>
    <row r="869" spans="1:27" ht="13.15">
      <c r="A869" s="12"/>
      <c r="B869" s="45"/>
      <c r="C869" s="45"/>
      <c r="D869" s="45"/>
      <c r="E869" s="45"/>
      <c r="F869" s="45"/>
      <c r="G869" s="45"/>
      <c r="H869" s="45"/>
      <c r="I869" s="45"/>
      <c r="J869" s="45"/>
      <c r="K869" s="45"/>
      <c r="L869" s="45"/>
      <c r="M869" s="45"/>
      <c r="N869" s="2"/>
      <c r="O869" s="2"/>
      <c r="P869" s="2"/>
      <c r="Q869" s="2"/>
      <c r="R869" s="2"/>
      <c r="S869" s="2"/>
      <c r="T869" s="2"/>
      <c r="U869" s="2"/>
      <c r="V869" s="2"/>
      <c r="W869" s="2"/>
      <c r="X869" s="2"/>
      <c r="Y869" s="2"/>
      <c r="Z869" s="2"/>
      <c r="AA869" s="2"/>
    </row>
    <row r="870" spans="1:27" ht="13.15">
      <c r="A870" s="12"/>
      <c r="B870" s="45"/>
      <c r="C870" s="45"/>
      <c r="D870" s="45"/>
      <c r="E870" s="45"/>
      <c r="F870" s="45"/>
      <c r="G870" s="45"/>
      <c r="H870" s="45"/>
      <c r="I870" s="45"/>
      <c r="J870" s="45"/>
      <c r="K870" s="45"/>
      <c r="L870" s="45"/>
      <c r="M870" s="45"/>
      <c r="N870" s="2"/>
      <c r="O870" s="2"/>
      <c r="P870" s="2"/>
      <c r="Q870" s="2"/>
      <c r="R870" s="2"/>
      <c r="S870" s="2"/>
      <c r="T870" s="2"/>
      <c r="U870" s="2"/>
      <c r="V870" s="2"/>
      <c r="W870" s="2"/>
      <c r="X870" s="2"/>
      <c r="Y870" s="2"/>
      <c r="Z870" s="2"/>
      <c r="AA870" s="2"/>
    </row>
    <row r="871" spans="1:27" ht="13.15">
      <c r="A871" s="12"/>
      <c r="B871" s="45"/>
      <c r="C871" s="45"/>
      <c r="D871" s="45"/>
      <c r="E871" s="45"/>
      <c r="F871" s="45"/>
      <c r="G871" s="45"/>
      <c r="H871" s="45"/>
      <c r="I871" s="45"/>
      <c r="J871" s="45"/>
      <c r="K871" s="45"/>
      <c r="L871" s="45"/>
      <c r="M871" s="45"/>
      <c r="N871" s="2"/>
      <c r="O871" s="2"/>
      <c r="P871" s="2"/>
      <c r="Q871" s="2"/>
      <c r="R871" s="2"/>
      <c r="S871" s="2"/>
      <c r="T871" s="2"/>
      <c r="U871" s="2"/>
      <c r="V871" s="2"/>
      <c r="W871" s="2"/>
      <c r="X871" s="2"/>
      <c r="Y871" s="2"/>
      <c r="Z871" s="2"/>
      <c r="AA871" s="2"/>
    </row>
    <row r="872" spans="1:27" ht="13.15">
      <c r="A872" s="12"/>
      <c r="B872" s="45"/>
      <c r="C872" s="45"/>
      <c r="D872" s="45"/>
      <c r="E872" s="45"/>
      <c r="F872" s="45"/>
      <c r="G872" s="45"/>
      <c r="H872" s="45"/>
      <c r="I872" s="45"/>
      <c r="J872" s="45"/>
      <c r="K872" s="45"/>
      <c r="L872" s="45"/>
      <c r="M872" s="45"/>
      <c r="N872" s="2"/>
      <c r="O872" s="2"/>
      <c r="P872" s="2"/>
      <c r="Q872" s="2"/>
      <c r="R872" s="2"/>
      <c r="S872" s="2"/>
      <c r="T872" s="2"/>
      <c r="U872" s="2"/>
      <c r="V872" s="2"/>
      <c r="W872" s="2"/>
      <c r="X872" s="2"/>
      <c r="Y872" s="2"/>
      <c r="Z872" s="2"/>
      <c r="AA872" s="2"/>
    </row>
    <row r="873" spans="1:27" ht="13.15">
      <c r="A873" s="12"/>
      <c r="B873" s="45"/>
      <c r="C873" s="45"/>
      <c r="D873" s="45"/>
      <c r="E873" s="45"/>
      <c r="F873" s="45"/>
      <c r="G873" s="45"/>
      <c r="H873" s="45"/>
      <c r="I873" s="45"/>
      <c r="J873" s="45"/>
      <c r="K873" s="45"/>
      <c r="L873" s="45"/>
      <c r="M873" s="45"/>
      <c r="N873" s="2"/>
      <c r="O873" s="2"/>
      <c r="P873" s="2"/>
      <c r="Q873" s="2"/>
      <c r="R873" s="2"/>
      <c r="S873" s="2"/>
      <c r="T873" s="2"/>
      <c r="U873" s="2"/>
      <c r="V873" s="2"/>
      <c r="W873" s="2"/>
      <c r="X873" s="2"/>
      <c r="Y873" s="2"/>
      <c r="Z873" s="2"/>
      <c r="AA873" s="2"/>
    </row>
    <row r="874" spans="1:27" ht="13.15">
      <c r="A874" s="12"/>
      <c r="B874" s="45"/>
      <c r="C874" s="45"/>
      <c r="D874" s="45"/>
      <c r="E874" s="45"/>
      <c r="F874" s="45"/>
      <c r="G874" s="45"/>
      <c r="H874" s="45"/>
      <c r="I874" s="45"/>
      <c r="J874" s="45"/>
      <c r="K874" s="45"/>
      <c r="L874" s="45"/>
      <c r="M874" s="45"/>
      <c r="N874" s="2"/>
      <c r="O874" s="2"/>
      <c r="P874" s="2"/>
      <c r="Q874" s="2"/>
      <c r="R874" s="2"/>
      <c r="S874" s="2"/>
      <c r="T874" s="2"/>
      <c r="U874" s="2"/>
      <c r="V874" s="2"/>
      <c r="W874" s="2"/>
      <c r="X874" s="2"/>
      <c r="Y874" s="2"/>
      <c r="Z874" s="2"/>
      <c r="AA874" s="2"/>
    </row>
    <row r="875" spans="1:27" ht="13.15">
      <c r="A875" s="12"/>
      <c r="B875" s="45"/>
      <c r="C875" s="45"/>
      <c r="D875" s="45"/>
      <c r="E875" s="45"/>
      <c r="F875" s="45"/>
      <c r="G875" s="45"/>
      <c r="H875" s="45"/>
      <c r="I875" s="45"/>
      <c r="J875" s="45"/>
      <c r="K875" s="45"/>
      <c r="L875" s="45"/>
      <c r="M875" s="45"/>
      <c r="N875" s="2"/>
      <c r="O875" s="2"/>
      <c r="P875" s="2"/>
      <c r="Q875" s="2"/>
      <c r="R875" s="2"/>
      <c r="S875" s="2"/>
      <c r="T875" s="2"/>
      <c r="U875" s="2"/>
      <c r="V875" s="2"/>
      <c r="W875" s="2"/>
      <c r="X875" s="2"/>
      <c r="Y875" s="2"/>
      <c r="Z875" s="2"/>
      <c r="AA875" s="2"/>
    </row>
    <row r="876" spans="1:27" ht="13.15">
      <c r="A876" s="12"/>
      <c r="B876" s="45"/>
      <c r="C876" s="45"/>
      <c r="D876" s="45"/>
      <c r="E876" s="45"/>
      <c r="F876" s="45"/>
      <c r="G876" s="45"/>
      <c r="H876" s="45"/>
      <c r="I876" s="45"/>
      <c r="J876" s="45"/>
      <c r="K876" s="45"/>
      <c r="L876" s="45"/>
      <c r="M876" s="45"/>
      <c r="N876" s="2"/>
      <c r="O876" s="2"/>
      <c r="P876" s="2"/>
      <c r="Q876" s="2"/>
      <c r="R876" s="2"/>
      <c r="S876" s="2"/>
      <c r="T876" s="2"/>
      <c r="U876" s="2"/>
      <c r="V876" s="2"/>
      <c r="W876" s="2"/>
      <c r="X876" s="2"/>
      <c r="Y876" s="2"/>
      <c r="Z876" s="2"/>
      <c r="AA876" s="2"/>
    </row>
    <row r="877" spans="1:27" ht="13.15">
      <c r="A877" s="12"/>
      <c r="B877" s="45"/>
      <c r="C877" s="45"/>
      <c r="D877" s="45"/>
      <c r="E877" s="45"/>
      <c r="F877" s="45"/>
      <c r="G877" s="45"/>
      <c r="H877" s="45"/>
      <c r="I877" s="45"/>
      <c r="J877" s="45"/>
      <c r="K877" s="45"/>
      <c r="L877" s="45"/>
      <c r="M877" s="45"/>
      <c r="N877" s="2"/>
      <c r="O877" s="2"/>
      <c r="P877" s="2"/>
      <c r="Q877" s="2"/>
      <c r="R877" s="2"/>
      <c r="S877" s="2"/>
      <c r="T877" s="2"/>
      <c r="U877" s="2"/>
      <c r="V877" s="2"/>
      <c r="W877" s="2"/>
      <c r="X877" s="2"/>
      <c r="Y877" s="2"/>
      <c r="Z877" s="2"/>
      <c r="AA877" s="2"/>
    </row>
    <row r="878" spans="1:27" ht="13.15">
      <c r="A878" s="12"/>
      <c r="B878" s="45"/>
      <c r="C878" s="45"/>
      <c r="D878" s="45"/>
      <c r="E878" s="45"/>
      <c r="F878" s="45"/>
      <c r="G878" s="45"/>
      <c r="H878" s="45"/>
      <c r="I878" s="45"/>
      <c r="J878" s="45"/>
      <c r="K878" s="45"/>
      <c r="L878" s="45"/>
      <c r="M878" s="45"/>
      <c r="N878" s="2"/>
      <c r="O878" s="2"/>
      <c r="P878" s="2"/>
      <c r="Q878" s="2"/>
      <c r="R878" s="2"/>
      <c r="S878" s="2"/>
      <c r="T878" s="2"/>
      <c r="U878" s="2"/>
      <c r="V878" s="2"/>
      <c r="W878" s="2"/>
      <c r="X878" s="2"/>
      <c r="Y878" s="2"/>
      <c r="Z878" s="2"/>
      <c r="AA878" s="2"/>
    </row>
    <row r="879" spans="1:27" ht="13.15">
      <c r="A879" s="12"/>
      <c r="B879" s="45"/>
      <c r="C879" s="45"/>
      <c r="D879" s="45"/>
      <c r="E879" s="45"/>
      <c r="F879" s="45"/>
      <c r="G879" s="45"/>
      <c r="H879" s="45"/>
      <c r="I879" s="45"/>
      <c r="J879" s="45"/>
      <c r="K879" s="45"/>
      <c r="L879" s="45"/>
      <c r="M879" s="45"/>
      <c r="N879" s="2"/>
      <c r="O879" s="2"/>
      <c r="P879" s="2"/>
      <c r="Q879" s="2"/>
      <c r="R879" s="2"/>
      <c r="S879" s="2"/>
      <c r="T879" s="2"/>
      <c r="U879" s="2"/>
      <c r="V879" s="2"/>
      <c r="W879" s="2"/>
      <c r="X879" s="2"/>
      <c r="Y879" s="2"/>
      <c r="Z879" s="2"/>
      <c r="AA879" s="2"/>
    </row>
    <row r="880" spans="1:27" ht="13.15">
      <c r="A880" s="12"/>
      <c r="B880" s="45"/>
      <c r="C880" s="45"/>
      <c r="D880" s="45"/>
      <c r="E880" s="45"/>
      <c r="F880" s="45"/>
      <c r="G880" s="45"/>
      <c r="H880" s="45"/>
      <c r="I880" s="45"/>
      <c r="J880" s="45"/>
      <c r="K880" s="45"/>
      <c r="L880" s="45"/>
      <c r="M880" s="45"/>
      <c r="N880" s="2"/>
      <c r="O880" s="2"/>
      <c r="P880" s="2"/>
      <c r="Q880" s="2"/>
      <c r="R880" s="2"/>
      <c r="S880" s="2"/>
      <c r="T880" s="2"/>
      <c r="U880" s="2"/>
      <c r="V880" s="2"/>
      <c r="W880" s="2"/>
      <c r="X880" s="2"/>
      <c r="Y880" s="2"/>
      <c r="Z880" s="2"/>
      <c r="AA880" s="2"/>
    </row>
    <row r="881" spans="1:27" ht="13.15">
      <c r="A881" s="12"/>
      <c r="B881" s="45"/>
      <c r="C881" s="45"/>
      <c r="D881" s="45"/>
      <c r="E881" s="45"/>
      <c r="F881" s="45"/>
      <c r="G881" s="45"/>
      <c r="H881" s="45"/>
      <c r="I881" s="45"/>
      <c r="J881" s="45"/>
      <c r="K881" s="45"/>
      <c r="L881" s="45"/>
      <c r="M881" s="45"/>
      <c r="N881" s="2"/>
      <c r="O881" s="2"/>
      <c r="P881" s="2"/>
      <c r="Q881" s="2"/>
      <c r="R881" s="2"/>
      <c r="S881" s="2"/>
      <c r="T881" s="2"/>
      <c r="U881" s="2"/>
      <c r="V881" s="2"/>
      <c r="W881" s="2"/>
      <c r="X881" s="2"/>
      <c r="Y881" s="2"/>
      <c r="Z881" s="2"/>
      <c r="AA881" s="2"/>
    </row>
    <row r="882" spans="1:27" ht="13.15">
      <c r="A882" s="12"/>
      <c r="B882" s="45"/>
      <c r="C882" s="45"/>
      <c r="D882" s="45"/>
      <c r="E882" s="45"/>
      <c r="F882" s="45"/>
      <c r="G882" s="45"/>
      <c r="H882" s="45"/>
      <c r="I882" s="45"/>
      <c r="J882" s="45"/>
      <c r="K882" s="45"/>
      <c r="L882" s="45"/>
      <c r="M882" s="45"/>
      <c r="N882" s="2"/>
      <c r="O882" s="2"/>
      <c r="P882" s="2"/>
      <c r="Q882" s="2"/>
      <c r="R882" s="2"/>
      <c r="S882" s="2"/>
      <c r="T882" s="2"/>
      <c r="U882" s="2"/>
      <c r="V882" s="2"/>
      <c r="W882" s="2"/>
      <c r="X882" s="2"/>
      <c r="Y882" s="2"/>
      <c r="Z882" s="2"/>
      <c r="AA882" s="2"/>
    </row>
    <row r="883" spans="1:27" ht="13.15">
      <c r="A883" s="12"/>
      <c r="B883" s="45"/>
      <c r="C883" s="45"/>
      <c r="D883" s="45"/>
      <c r="E883" s="45"/>
      <c r="F883" s="45"/>
      <c r="G883" s="45"/>
      <c r="H883" s="45"/>
      <c r="I883" s="45"/>
      <c r="J883" s="45"/>
      <c r="K883" s="45"/>
      <c r="L883" s="45"/>
      <c r="M883" s="45"/>
      <c r="N883" s="2"/>
      <c r="O883" s="2"/>
      <c r="P883" s="2"/>
      <c r="Q883" s="2"/>
      <c r="R883" s="2"/>
      <c r="S883" s="2"/>
      <c r="T883" s="2"/>
      <c r="U883" s="2"/>
      <c r="V883" s="2"/>
      <c r="W883" s="2"/>
      <c r="X883" s="2"/>
      <c r="Y883" s="2"/>
      <c r="Z883" s="2"/>
      <c r="AA883" s="2"/>
    </row>
    <row r="884" spans="1:27" ht="13.15">
      <c r="A884" s="12"/>
      <c r="B884" s="45"/>
      <c r="C884" s="45"/>
      <c r="D884" s="45"/>
      <c r="E884" s="45"/>
      <c r="F884" s="45"/>
      <c r="G884" s="45"/>
      <c r="H884" s="45"/>
      <c r="I884" s="45"/>
      <c r="J884" s="45"/>
      <c r="K884" s="45"/>
      <c r="L884" s="45"/>
      <c r="M884" s="45"/>
      <c r="N884" s="2"/>
      <c r="O884" s="2"/>
      <c r="P884" s="2"/>
      <c r="Q884" s="2"/>
      <c r="R884" s="2"/>
      <c r="S884" s="2"/>
      <c r="T884" s="2"/>
      <c r="U884" s="2"/>
      <c r="V884" s="2"/>
      <c r="W884" s="2"/>
      <c r="X884" s="2"/>
      <c r="Y884" s="2"/>
      <c r="Z884" s="2"/>
      <c r="AA884" s="2"/>
    </row>
    <row r="885" spans="1:27" ht="13.15">
      <c r="A885" s="12"/>
      <c r="B885" s="45"/>
      <c r="C885" s="45"/>
      <c r="D885" s="45"/>
      <c r="E885" s="45"/>
      <c r="F885" s="45"/>
      <c r="G885" s="45"/>
      <c r="H885" s="45"/>
      <c r="I885" s="45"/>
      <c r="J885" s="45"/>
      <c r="K885" s="45"/>
      <c r="L885" s="45"/>
      <c r="M885" s="45"/>
      <c r="N885" s="2"/>
      <c r="O885" s="2"/>
      <c r="P885" s="2"/>
      <c r="Q885" s="2"/>
      <c r="R885" s="2"/>
      <c r="S885" s="2"/>
      <c r="T885" s="2"/>
      <c r="U885" s="2"/>
      <c r="V885" s="2"/>
      <c r="W885" s="2"/>
      <c r="X885" s="2"/>
      <c r="Y885" s="2"/>
      <c r="Z885" s="2"/>
      <c r="AA885" s="2"/>
    </row>
    <row r="886" spans="1:27" ht="13.15">
      <c r="A886" s="12"/>
      <c r="B886" s="45"/>
      <c r="C886" s="45"/>
      <c r="D886" s="45"/>
      <c r="E886" s="45"/>
      <c r="F886" s="45"/>
      <c r="G886" s="45"/>
      <c r="H886" s="45"/>
      <c r="I886" s="45"/>
      <c r="J886" s="45"/>
      <c r="K886" s="45"/>
      <c r="L886" s="45"/>
      <c r="M886" s="45"/>
      <c r="N886" s="2"/>
      <c r="O886" s="2"/>
      <c r="P886" s="2"/>
      <c r="Q886" s="2"/>
      <c r="R886" s="2"/>
      <c r="S886" s="2"/>
      <c r="T886" s="2"/>
      <c r="U886" s="2"/>
      <c r="V886" s="2"/>
      <c r="W886" s="2"/>
      <c r="X886" s="2"/>
      <c r="Y886" s="2"/>
      <c r="Z886" s="2"/>
      <c r="AA886" s="2"/>
    </row>
    <row r="887" spans="1:27" ht="13.15">
      <c r="A887" s="12"/>
      <c r="B887" s="45"/>
      <c r="C887" s="45"/>
      <c r="D887" s="45"/>
      <c r="E887" s="45"/>
      <c r="F887" s="45"/>
      <c r="G887" s="45"/>
      <c r="H887" s="45"/>
      <c r="I887" s="45"/>
      <c r="J887" s="45"/>
      <c r="K887" s="45"/>
      <c r="L887" s="45"/>
      <c r="M887" s="45"/>
      <c r="N887" s="2"/>
      <c r="O887" s="2"/>
      <c r="P887" s="2"/>
      <c r="Q887" s="2"/>
      <c r="R887" s="2"/>
      <c r="S887" s="2"/>
      <c r="T887" s="2"/>
      <c r="U887" s="2"/>
      <c r="V887" s="2"/>
      <c r="W887" s="2"/>
      <c r="X887" s="2"/>
      <c r="Y887" s="2"/>
      <c r="Z887" s="2"/>
      <c r="AA887" s="2"/>
    </row>
    <row r="888" spans="1:27" ht="13.15">
      <c r="A888" s="12"/>
      <c r="B888" s="45"/>
      <c r="C888" s="45"/>
      <c r="D888" s="45"/>
      <c r="E888" s="45"/>
      <c r="F888" s="45"/>
      <c r="G888" s="45"/>
      <c r="H888" s="45"/>
      <c r="I888" s="45"/>
      <c r="J888" s="45"/>
      <c r="K888" s="45"/>
      <c r="L888" s="45"/>
      <c r="M888" s="45"/>
      <c r="N888" s="2"/>
      <c r="O888" s="2"/>
      <c r="P888" s="2"/>
      <c r="Q888" s="2"/>
      <c r="R888" s="2"/>
      <c r="S888" s="2"/>
      <c r="T888" s="2"/>
      <c r="U888" s="2"/>
      <c r="V888" s="2"/>
      <c r="W888" s="2"/>
      <c r="X888" s="2"/>
      <c r="Y888" s="2"/>
      <c r="Z888" s="2"/>
      <c r="AA888" s="2"/>
    </row>
    <row r="889" spans="1:27" ht="13.15">
      <c r="A889" s="12"/>
      <c r="B889" s="45"/>
      <c r="C889" s="45"/>
      <c r="D889" s="45"/>
      <c r="E889" s="45"/>
      <c r="F889" s="45"/>
      <c r="G889" s="45"/>
      <c r="H889" s="45"/>
      <c r="I889" s="45"/>
      <c r="J889" s="45"/>
      <c r="K889" s="45"/>
      <c r="L889" s="45"/>
      <c r="M889" s="45"/>
      <c r="N889" s="2"/>
      <c r="O889" s="2"/>
      <c r="P889" s="2"/>
      <c r="Q889" s="2"/>
      <c r="R889" s="2"/>
      <c r="S889" s="2"/>
      <c r="T889" s="2"/>
      <c r="U889" s="2"/>
      <c r="V889" s="2"/>
      <c r="W889" s="2"/>
      <c r="X889" s="2"/>
      <c r="Y889" s="2"/>
      <c r="Z889" s="2"/>
      <c r="AA889" s="2"/>
    </row>
    <row r="890" spans="1:27" ht="13.15">
      <c r="A890" s="12"/>
      <c r="B890" s="45"/>
      <c r="C890" s="45"/>
      <c r="D890" s="45"/>
      <c r="E890" s="45"/>
      <c r="F890" s="45"/>
      <c r="G890" s="45"/>
      <c r="H890" s="45"/>
      <c r="I890" s="45"/>
      <c r="J890" s="45"/>
      <c r="K890" s="45"/>
      <c r="L890" s="45"/>
      <c r="M890" s="45"/>
      <c r="N890" s="2"/>
      <c r="O890" s="2"/>
      <c r="P890" s="2"/>
      <c r="Q890" s="2"/>
      <c r="R890" s="2"/>
      <c r="S890" s="2"/>
      <c r="T890" s="2"/>
      <c r="U890" s="2"/>
      <c r="V890" s="2"/>
      <c r="W890" s="2"/>
      <c r="X890" s="2"/>
      <c r="Y890" s="2"/>
      <c r="Z890" s="2"/>
      <c r="AA890" s="2"/>
    </row>
    <row r="891" spans="1:27" ht="13.15">
      <c r="A891" s="12"/>
      <c r="B891" s="45"/>
      <c r="C891" s="45"/>
      <c r="D891" s="45"/>
      <c r="E891" s="45"/>
      <c r="F891" s="45"/>
      <c r="G891" s="45"/>
      <c r="H891" s="45"/>
      <c r="I891" s="45"/>
      <c r="J891" s="45"/>
      <c r="K891" s="45"/>
      <c r="L891" s="45"/>
      <c r="M891" s="45"/>
      <c r="N891" s="2"/>
      <c r="O891" s="2"/>
      <c r="P891" s="2"/>
      <c r="Q891" s="2"/>
      <c r="R891" s="2"/>
      <c r="S891" s="2"/>
      <c r="T891" s="2"/>
      <c r="U891" s="2"/>
      <c r="V891" s="2"/>
      <c r="W891" s="2"/>
      <c r="X891" s="2"/>
      <c r="Y891" s="2"/>
      <c r="Z891" s="2"/>
      <c r="AA891" s="2"/>
    </row>
    <row r="892" spans="1:27" ht="13.15">
      <c r="A892" s="12"/>
      <c r="B892" s="45"/>
      <c r="C892" s="45"/>
      <c r="D892" s="45"/>
      <c r="E892" s="45"/>
      <c r="F892" s="45"/>
      <c r="G892" s="45"/>
      <c r="H892" s="45"/>
      <c r="I892" s="45"/>
      <c r="J892" s="45"/>
      <c r="K892" s="45"/>
      <c r="L892" s="45"/>
      <c r="M892" s="45"/>
      <c r="N892" s="2"/>
      <c r="O892" s="2"/>
      <c r="P892" s="2"/>
      <c r="Q892" s="2"/>
      <c r="R892" s="2"/>
      <c r="S892" s="2"/>
      <c r="T892" s="2"/>
      <c r="U892" s="2"/>
      <c r="V892" s="2"/>
      <c r="W892" s="2"/>
      <c r="X892" s="2"/>
      <c r="Y892" s="2"/>
      <c r="Z892" s="2"/>
      <c r="AA892" s="2"/>
    </row>
    <row r="893" spans="1:27" ht="13.15">
      <c r="A893" s="12"/>
      <c r="B893" s="45"/>
      <c r="C893" s="45"/>
      <c r="D893" s="45"/>
      <c r="E893" s="45"/>
      <c r="F893" s="45"/>
      <c r="G893" s="45"/>
      <c r="H893" s="45"/>
      <c r="I893" s="45"/>
      <c r="J893" s="45"/>
      <c r="K893" s="45"/>
      <c r="L893" s="45"/>
      <c r="M893" s="45"/>
      <c r="N893" s="2"/>
      <c r="O893" s="2"/>
      <c r="P893" s="2"/>
      <c r="Q893" s="2"/>
      <c r="R893" s="2"/>
      <c r="S893" s="2"/>
      <c r="T893" s="2"/>
      <c r="U893" s="2"/>
      <c r="V893" s="2"/>
      <c r="W893" s="2"/>
      <c r="X893" s="2"/>
      <c r="Y893" s="2"/>
      <c r="Z893" s="2"/>
      <c r="AA893" s="2"/>
    </row>
    <row r="894" spans="1:27" ht="13.15">
      <c r="A894" s="12"/>
      <c r="B894" s="45"/>
      <c r="C894" s="45"/>
      <c r="D894" s="45"/>
      <c r="E894" s="45"/>
      <c r="F894" s="45"/>
      <c r="G894" s="45"/>
      <c r="H894" s="45"/>
      <c r="I894" s="45"/>
      <c r="J894" s="45"/>
      <c r="K894" s="45"/>
      <c r="L894" s="45"/>
      <c r="M894" s="45"/>
      <c r="N894" s="2"/>
      <c r="O894" s="2"/>
      <c r="P894" s="2"/>
      <c r="Q894" s="2"/>
      <c r="R894" s="2"/>
      <c r="S894" s="2"/>
      <c r="T894" s="2"/>
      <c r="U894" s="2"/>
      <c r="V894" s="2"/>
      <c r="W894" s="2"/>
      <c r="X894" s="2"/>
      <c r="Y894" s="2"/>
      <c r="Z894" s="2"/>
      <c r="AA894" s="2"/>
    </row>
    <row r="895" spans="1:27" ht="13.15">
      <c r="A895" s="12"/>
      <c r="B895" s="45"/>
      <c r="C895" s="45"/>
      <c r="D895" s="45"/>
      <c r="E895" s="45"/>
      <c r="F895" s="45"/>
      <c r="G895" s="45"/>
      <c r="H895" s="45"/>
      <c r="I895" s="45"/>
      <c r="J895" s="45"/>
      <c r="K895" s="45"/>
      <c r="L895" s="45"/>
      <c r="M895" s="45"/>
      <c r="N895" s="2"/>
      <c r="O895" s="2"/>
      <c r="P895" s="2"/>
      <c r="Q895" s="2"/>
      <c r="R895" s="2"/>
      <c r="S895" s="2"/>
      <c r="T895" s="2"/>
      <c r="U895" s="2"/>
      <c r="V895" s="2"/>
      <c r="W895" s="2"/>
      <c r="X895" s="2"/>
      <c r="Y895" s="2"/>
      <c r="Z895" s="2"/>
      <c r="AA895" s="2"/>
    </row>
    <row r="896" spans="1:27" ht="13.15">
      <c r="A896" s="12"/>
      <c r="B896" s="45"/>
      <c r="C896" s="45"/>
      <c r="D896" s="45"/>
      <c r="E896" s="45"/>
      <c r="F896" s="45"/>
      <c r="G896" s="45"/>
      <c r="H896" s="45"/>
      <c r="I896" s="45"/>
      <c r="J896" s="45"/>
      <c r="K896" s="45"/>
      <c r="L896" s="45"/>
      <c r="M896" s="45"/>
      <c r="N896" s="2"/>
      <c r="O896" s="2"/>
      <c r="P896" s="2"/>
      <c r="Q896" s="2"/>
      <c r="R896" s="2"/>
      <c r="S896" s="2"/>
      <c r="T896" s="2"/>
      <c r="U896" s="2"/>
      <c r="V896" s="2"/>
      <c r="W896" s="2"/>
      <c r="X896" s="2"/>
      <c r="Y896" s="2"/>
      <c r="Z896" s="2"/>
      <c r="AA896" s="2"/>
    </row>
    <row r="897" spans="1:27" ht="13.15">
      <c r="A897" s="12"/>
      <c r="B897" s="45"/>
      <c r="C897" s="45"/>
      <c r="D897" s="45"/>
      <c r="E897" s="45"/>
      <c r="F897" s="45"/>
      <c r="G897" s="45"/>
      <c r="H897" s="45"/>
      <c r="I897" s="45"/>
      <c r="J897" s="45"/>
      <c r="K897" s="45"/>
      <c r="L897" s="45"/>
      <c r="M897" s="45"/>
      <c r="N897" s="2"/>
      <c r="O897" s="2"/>
      <c r="P897" s="2"/>
      <c r="Q897" s="2"/>
      <c r="R897" s="2"/>
      <c r="S897" s="2"/>
      <c r="T897" s="2"/>
      <c r="U897" s="2"/>
      <c r="V897" s="2"/>
      <c r="W897" s="2"/>
      <c r="X897" s="2"/>
      <c r="Y897" s="2"/>
      <c r="Z897" s="2"/>
      <c r="AA897" s="2"/>
    </row>
    <row r="898" spans="1:27" ht="13.15">
      <c r="A898" s="12"/>
      <c r="B898" s="45"/>
      <c r="C898" s="45"/>
      <c r="D898" s="45"/>
      <c r="E898" s="45"/>
      <c r="F898" s="45"/>
      <c r="G898" s="45"/>
      <c r="H898" s="45"/>
      <c r="I898" s="45"/>
      <c r="J898" s="45"/>
      <c r="K898" s="45"/>
      <c r="L898" s="45"/>
      <c r="M898" s="45"/>
      <c r="N898" s="2"/>
      <c r="O898" s="2"/>
      <c r="P898" s="2"/>
      <c r="Q898" s="2"/>
      <c r="R898" s="2"/>
      <c r="S898" s="2"/>
      <c r="T898" s="2"/>
      <c r="U898" s="2"/>
      <c r="V898" s="2"/>
      <c r="W898" s="2"/>
      <c r="X898" s="2"/>
      <c r="Y898" s="2"/>
      <c r="Z898" s="2"/>
      <c r="AA898" s="2"/>
    </row>
    <row r="899" spans="1:27" ht="13.15">
      <c r="A899" s="12"/>
      <c r="B899" s="45"/>
      <c r="C899" s="45"/>
      <c r="D899" s="45"/>
      <c r="E899" s="45"/>
      <c r="F899" s="45"/>
      <c r="G899" s="45"/>
      <c r="H899" s="45"/>
      <c r="I899" s="45"/>
      <c r="J899" s="45"/>
      <c r="K899" s="45"/>
      <c r="L899" s="45"/>
      <c r="M899" s="45"/>
      <c r="N899" s="2"/>
      <c r="O899" s="2"/>
      <c r="P899" s="2"/>
      <c r="Q899" s="2"/>
      <c r="R899" s="2"/>
      <c r="S899" s="2"/>
      <c r="T899" s="2"/>
      <c r="U899" s="2"/>
      <c r="V899" s="2"/>
      <c r="W899" s="2"/>
      <c r="X899" s="2"/>
      <c r="Y899" s="2"/>
      <c r="Z899" s="2"/>
      <c r="AA899" s="2"/>
    </row>
    <row r="900" spans="1:27" ht="13.15">
      <c r="A900" s="12"/>
      <c r="B900" s="45"/>
      <c r="C900" s="45"/>
      <c r="D900" s="45"/>
      <c r="E900" s="45"/>
      <c r="F900" s="45"/>
      <c r="G900" s="45"/>
      <c r="H900" s="45"/>
      <c r="I900" s="45"/>
      <c r="J900" s="45"/>
      <c r="K900" s="45"/>
      <c r="L900" s="45"/>
      <c r="M900" s="45"/>
      <c r="N900" s="2"/>
      <c r="O900" s="2"/>
      <c r="P900" s="2"/>
      <c r="Q900" s="2"/>
      <c r="R900" s="2"/>
      <c r="S900" s="2"/>
      <c r="T900" s="2"/>
      <c r="U900" s="2"/>
      <c r="V900" s="2"/>
      <c r="W900" s="2"/>
      <c r="X900" s="2"/>
      <c r="Y900" s="2"/>
      <c r="Z900" s="2"/>
      <c r="AA900" s="2"/>
    </row>
    <row r="901" spans="1:27" ht="13.15">
      <c r="A901" s="12"/>
      <c r="B901" s="45"/>
      <c r="C901" s="45"/>
      <c r="D901" s="45"/>
      <c r="E901" s="45"/>
      <c r="F901" s="45"/>
      <c r="G901" s="45"/>
      <c r="H901" s="45"/>
      <c r="I901" s="45"/>
      <c r="J901" s="45"/>
      <c r="K901" s="45"/>
      <c r="L901" s="45"/>
      <c r="M901" s="45"/>
      <c r="N901" s="2"/>
      <c r="O901" s="2"/>
      <c r="P901" s="2"/>
      <c r="Q901" s="2"/>
      <c r="R901" s="2"/>
      <c r="S901" s="2"/>
      <c r="T901" s="2"/>
      <c r="U901" s="2"/>
      <c r="V901" s="2"/>
      <c r="W901" s="2"/>
      <c r="X901" s="2"/>
      <c r="Y901" s="2"/>
      <c r="Z901" s="2"/>
      <c r="AA901" s="2"/>
    </row>
    <row r="902" spans="1:27" ht="13.15">
      <c r="A902" s="12"/>
      <c r="B902" s="45"/>
      <c r="C902" s="45"/>
      <c r="D902" s="45"/>
      <c r="E902" s="45"/>
      <c r="F902" s="45"/>
      <c r="G902" s="45"/>
      <c r="H902" s="45"/>
      <c r="I902" s="45"/>
      <c r="J902" s="45"/>
      <c r="K902" s="45"/>
      <c r="L902" s="45"/>
      <c r="M902" s="45"/>
      <c r="N902" s="2"/>
      <c r="O902" s="2"/>
      <c r="P902" s="2"/>
      <c r="Q902" s="2"/>
      <c r="R902" s="2"/>
      <c r="S902" s="2"/>
      <c r="T902" s="2"/>
      <c r="U902" s="2"/>
      <c r="V902" s="2"/>
      <c r="W902" s="2"/>
      <c r="X902" s="2"/>
      <c r="Y902" s="2"/>
      <c r="Z902" s="2"/>
      <c r="AA902" s="2"/>
    </row>
    <row r="903" spans="1:27" ht="13.15">
      <c r="A903" s="12"/>
      <c r="B903" s="45"/>
      <c r="C903" s="45"/>
      <c r="D903" s="45"/>
      <c r="E903" s="45"/>
      <c r="F903" s="45"/>
      <c r="G903" s="45"/>
      <c r="H903" s="45"/>
      <c r="I903" s="45"/>
      <c r="J903" s="45"/>
      <c r="K903" s="45"/>
      <c r="L903" s="45"/>
      <c r="M903" s="45"/>
      <c r="N903" s="2"/>
      <c r="O903" s="2"/>
      <c r="P903" s="2"/>
      <c r="Q903" s="2"/>
      <c r="R903" s="2"/>
      <c r="S903" s="2"/>
      <c r="T903" s="2"/>
      <c r="U903" s="2"/>
      <c r="V903" s="2"/>
      <c r="W903" s="2"/>
      <c r="X903" s="2"/>
      <c r="Y903" s="2"/>
      <c r="Z903" s="2"/>
      <c r="AA903" s="2"/>
    </row>
    <row r="904" spans="1:27" ht="13.15">
      <c r="A904" s="12"/>
      <c r="B904" s="45"/>
      <c r="C904" s="45"/>
      <c r="D904" s="45"/>
      <c r="E904" s="45"/>
      <c r="F904" s="45"/>
      <c r="G904" s="45"/>
      <c r="H904" s="45"/>
      <c r="I904" s="45"/>
      <c r="J904" s="45"/>
      <c r="K904" s="45"/>
      <c r="L904" s="45"/>
      <c r="M904" s="45"/>
      <c r="N904" s="2"/>
      <c r="O904" s="2"/>
      <c r="P904" s="2"/>
      <c r="Q904" s="2"/>
      <c r="R904" s="2"/>
      <c r="S904" s="2"/>
      <c r="T904" s="2"/>
      <c r="U904" s="2"/>
      <c r="V904" s="2"/>
      <c r="W904" s="2"/>
      <c r="X904" s="2"/>
      <c r="Y904" s="2"/>
      <c r="Z904" s="2"/>
      <c r="AA904" s="2"/>
    </row>
    <row r="905" spans="1:27" ht="13.15">
      <c r="A905" s="12"/>
      <c r="B905" s="45"/>
      <c r="C905" s="45"/>
      <c r="D905" s="45"/>
      <c r="E905" s="45"/>
      <c r="F905" s="45"/>
      <c r="G905" s="45"/>
      <c r="H905" s="45"/>
      <c r="I905" s="45"/>
      <c r="J905" s="45"/>
      <c r="K905" s="45"/>
      <c r="L905" s="45"/>
      <c r="M905" s="45"/>
      <c r="N905" s="2"/>
      <c r="O905" s="2"/>
      <c r="P905" s="2"/>
      <c r="Q905" s="2"/>
      <c r="R905" s="2"/>
      <c r="S905" s="2"/>
      <c r="T905" s="2"/>
      <c r="U905" s="2"/>
      <c r="V905" s="2"/>
      <c r="W905" s="2"/>
      <c r="X905" s="2"/>
      <c r="Y905" s="2"/>
      <c r="Z905" s="2"/>
      <c r="AA905" s="2"/>
    </row>
    <row r="906" spans="1:27" ht="13.15">
      <c r="A906" s="12"/>
      <c r="B906" s="45"/>
      <c r="C906" s="45"/>
      <c r="D906" s="45"/>
      <c r="E906" s="45"/>
      <c r="F906" s="45"/>
      <c r="G906" s="45"/>
      <c r="H906" s="45"/>
      <c r="I906" s="45"/>
      <c r="J906" s="45"/>
      <c r="K906" s="45"/>
      <c r="L906" s="45"/>
      <c r="M906" s="45"/>
      <c r="N906" s="2"/>
      <c r="O906" s="2"/>
      <c r="P906" s="2"/>
      <c r="Q906" s="2"/>
      <c r="R906" s="2"/>
      <c r="S906" s="2"/>
      <c r="T906" s="2"/>
      <c r="U906" s="2"/>
      <c r="V906" s="2"/>
      <c r="W906" s="2"/>
      <c r="X906" s="2"/>
      <c r="Y906" s="2"/>
      <c r="Z906" s="2"/>
      <c r="AA906" s="2"/>
    </row>
    <row r="907" spans="1:27" ht="13.15">
      <c r="A907" s="12"/>
      <c r="B907" s="45"/>
      <c r="C907" s="45"/>
      <c r="D907" s="45"/>
      <c r="E907" s="45"/>
      <c r="F907" s="45"/>
      <c r="G907" s="45"/>
      <c r="H907" s="45"/>
      <c r="I907" s="45"/>
      <c r="J907" s="45"/>
      <c r="K907" s="45"/>
      <c r="L907" s="45"/>
      <c r="M907" s="45"/>
      <c r="N907" s="2"/>
      <c r="O907" s="2"/>
      <c r="P907" s="2"/>
      <c r="Q907" s="2"/>
      <c r="R907" s="2"/>
      <c r="S907" s="2"/>
      <c r="T907" s="2"/>
      <c r="U907" s="2"/>
      <c r="V907" s="2"/>
      <c r="W907" s="2"/>
      <c r="X907" s="2"/>
      <c r="Y907" s="2"/>
      <c r="Z907" s="2"/>
      <c r="AA907" s="2"/>
    </row>
    <row r="908" spans="1:27" ht="13.15">
      <c r="A908" s="12"/>
      <c r="B908" s="45"/>
      <c r="C908" s="45"/>
      <c r="D908" s="45"/>
      <c r="E908" s="45"/>
      <c r="F908" s="45"/>
      <c r="G908" s="45"/>
      <c r="H908" s="45"/>
      <c r="I908" s="45"/>
      <c r="J908" s="45"/>
      <c r="K908" s="45"/>
      <c r="L908" s="45"/>
      <c r="M908" s="45"/>
      <c r="N908" s="2"/>
      <c r="O908" s="2"/>
      <c r="P908" s="2"/>
      <c r="Q908" s="2"/>
      <c r="R908" s="2"/>
      <c r="S908" s="2"/>
      <c r="T908" s="2"/>
      <c r="U908" s="2"/>
      <c r="V908" s="2"/>
      <c r="W908" s="2"/>
      <c r="X908" s="2"/>
      <c r="Y908" s="2"/>
      <c r="Z908" s="2"/>
      <c r="AA908" s="2"/>
    </row>
    <row r="909" spans="1:27" ht="13.15">
      <c r="A909" s="12"/>
      <c r="B909" s="45"/>
      <c r="C909" s="45"/>
      <c r="D909" s="45"/>
      <c r="E909" s="45"/>
      <c r="F909" s="45"/>
      <c r="G909" s="45"/>
      <c r="H909" s="45"/>
      <c r="I909" s="45"/>
      <c r="J909" s="45"/>
      <c r="K909" s="45"/>
      <c r="L909" s="45"/>
      <c r="M909" s="45"/>
      <c r="N909" s="2"/>
      <c r="O909" s="2"/>
      <c r="P909" s="2"/>
      <c r="Q909" s="2"/>
      <c r="R909" s="2"/>
      <c r="S909" s="2"/>
      <c r="T909" s="2"/>
      <c r="U909" s="2"/>
      <c r="V909" s="2"/>
      <c r="W909" s="2"/>
      <c r="X909" s="2"/>
      <c r="Y909" s="2"/>
      <c r="Z909" s="2"/>
      <c r="AA909" s="2"/>
    </row>
    <row r="910" spans="1:27" ht="13.15">
      <c r="A910" s="12"/>
      <c r="B910" s="45"/>
      <c r="C910" s="45"/>
      <c r="D910" s="45"/>
      <c r="E910" s="45"/>
      <c r="F910" s="45"/>
      <c r="G910" s="45"/>
      <c r="H910" s="45"/>
      <c r="I910" s="45"/>
      <c r="J910" s="45"/>
      <c r="K910" s="45"/>
      <c r="L910" s="45"/>
      <c r="M910" s="45"/>
      <c r="N910" s="2"/>
      <c r="O910" s="2"/>
      <c r="P910" s="2"/>
      <c r="Q910" s="2"/>
      <c r="R910" s="2"/>
      <c r="S910" s="2"/>
      <c r="T910" s="2"/>
      <c r="U910" s="2"/>
      <c r="V910" s="2"/>
      <c r="W910" s="2"/>
      <c r="X910" s="2"/>
      <c r="Y910" s="2"/>
      <c r="Z910" s="2"/>
      <c r="AA910" s="2"/>
    </row>
    <row r="911" spans="1:27" ht="13.15">
      <c r="A911" s="12"/>
      <c r="B911" s="45"/>
      <c r="C911" s="45"/>
      <c r="D911" s="45"/>
      <c r="E911" s="45"/>
      <c r="F911" s="45"/>
      <c r="G911" s="45"/>
      <c r="H911" s="45"/>
      <c r="I911" s="45"/>
      <c r="J911" s="45"/>
      <c r="K911" s="45"/>
      <c r="L911" s="45"/>
      <c r="M911" s="45"/>
      <c r="N911" s="2"/>
      <c r="O911" s="2"/>
      <c r="P911" s="2"/>
      <c r="Q911" s="2"/>
      <c r="R911" s="2"/>
      <c r="S911" s="2"/>
      <c r="T911" s="2"/>
      <c r="U911" s="2"/>
      <c r="V911" s="2"/>
      <c r="W911" s="2"/>
      <c r="X911" s="2"/>
      <c r="Y911" s="2"/>
      <c r="Z911" s="2"/>
      <c r="AA911" s="2"/>
    </row>
    <row r="912" spans="1:27" ht="13.15">
      <c r="A912" s="12"/>
      <c r="B912" s="45"/>
      <c r="C912" s="45"/>
      <c r="D912" s="45"/>
      <c r="E912" s="45"/>
      <c r="F912" s="45"/>
      <c r="G912" s="45"/>
      <c r="H912" s="45"/>
      <c r="I912" s="45"/>
      <c r="J912" s="45"/>
      <c r="K912" s="45"/>
      <c r="L912" s="45"/>
      <c r="M912" s="45"/>
      <c r="N912" s="2"/>
      <c r="O912" s="2"/>
      <c r="P912" s="2"/>
      <c r="Q912" s="2"/>
      <c r="R912" s="2"/>
      <c r="S912" s="2"/>
      <c r="T912" s="2"/>
      <c r="U912" s="2"/>
      <c r="V912" s="2"/>
      <c r="W912" s="2"/>
      <c r="X912" s="2"/>
      <c r="Y912" s="2"/>
      <c r="Z912" s="2"/>
      <c r="AA912" s="2"/>
    </row>
    <row r="913" spans="1:27" ht="13.15">
      <c r="A913" s="12"/>
      <c r="B913" s="45"/>
      <c r="C913" s="45"/>
      <c r="D913" s="45"/>
      <c r="E913" s="45"/>
      <c r="F913" s="45"/>
      <c r="G913" s="45"/>
      <c r="H913" s="45"/>
      <c r="I913" s="45"/>
      <c r="J913" s="45"/>
      <c r="K913" s="45"/>
      <c r="L913" s="45"/>
      <c r="M913" s="45"/>
      <c r="N913" s="2"/>
      <c r="O913" s="2"/>
      <c r="P913" s="2"/>
      <c r="Q913" s="2"/>
      <c r="R913" s="2"/>
      <c r="S913" s="2"/>
      <c r="T913" s="2"/>
      <c r="U913" s="2"/>
      <c r="V913" s="2"/>
      <c r="W913" s="2"/>
      <c r="X913" s="2"/>
      <c r="Y913" s="2"/>
      <c r="Z913" s="2"/>
      <c r="AA913" s="2"/>
    </row>
    <row r="914" spans="1:27" ht="13.15">
      <c r="A914" s="12"/>
      <c r="B914" s="45"/>
      <c r="C914" s="45"/>
      <c r="D914" s="45"/>
      <c r="E914" s="45"/>
      <c r="F914" s="45"/>
      <c r="G914" s="45"/>
      <c r="H914" s="45"/>
      <c r="I914" s="45"/>
      <c r="J914" s="45"/>
      <c r="K914" s="45"/>
      <c r="L914" s="45"/>
      <c r="M914" s="45"/>
      <c r="N914" s="2"/>
      <c r="O914" s="2"/>
      <c r="P914" s="2"/>
      <c r="Q914" s="2"/>
      <c r="R914" s="2"/>
      <c r="S914" s="2"/>
      <c r="T914" s="2"/>
      <c r="U914" s="2"/>
      <c r="V914" s="2"/>
      <c r="W914" s="2"/>
      <c r="X914" s="2"/>
      <c r="Y914" s="2"/>
      <c r="Z914" s="2"/>
      <c r="AA914" s="2"/>
    </row>
    <row r="915" spans="1:27" ht="13.15">
      <c r="A915" s="12"/>
      <c r="B915" s="45"/>
      <c r="C915" s="45"/>
      <c r="D915" s="45"/>
      <c r="E915" s="45"/>
      <c r="F915" s="45"/>
      <c r="G915" s="45"/>
      <c r="H915" s="45"/>
      <c r="I915" s="45"/>
      <c r="J915" s="45"/>
      <c r="K915" s="45"/>
      <c r="L915" s="45"/>
      <c r="M915" s="45"/>
      <c r="N915" s="2"/>
      <c r="O915" s="2"/>
      <c r="P915" s="2"/>
      <c r="Q915" s="2"/>
      <c r="R915" s="2"/>
      <c r="S915" s="2"/>
      <c r="T915" s="2"/>
      <c r="U915" s="2"/>
      <c r="V915" s="2"/>
      <c r="W915" s="2"/>
      <c r="X915" s="2"/>
      <c r="Y915" s="2"/>
      <c r="Z915" s="2"/>
      <c r="AA915" s="2"/>
    </row>
    <row r="916" spans="1:27" ht="13.15">
      <c r="A916" s="12"/>
      <c r="B916" s="45"/>
      <c r="C916" s="45"/>
      <c r="D916" s="45"/>
      <c r="E916" s="45"/>
      <c r="F916" s="45"/>
      <c r="G916" s="45"/>
      <c r="H916" s="45"/>
      <c r="I916" s="45"/>
      <c r="J916" s="45"/>
      <c r="K916" s="45"/>
      <c r="L916" s="45"/>
      <c r="M916" s="45"/>
      <c r="N916" s="2"/>
      <c r="O916" s="2"/>
      <c r="P916" s="2"/>
      <c r="Q916" s="2"/>
      <c r="R916" s="2"/>
      <c r="S916" s="2"/>
      <c r="T916" s="2"/>
      <c r="U916" s="2"/>
      <c r="V916" s="2"/>
      <c r="W916" s="2"/>
      <c r="X916" s="2"/>
      <c r="Y916" s="2"/>
      <c r="Z916" s="2"/>
      <c r="AA916" s="2"/>
    </row>
    <row r="917" spans="1:27" ht="13.15">
      <c r="A917" s="12"/>
      <c r="B917" s="45"/>
      <c r="C917" s="45"/>
      <c r="D917" s="45"/>
      <c r="E917" s="45"/>
      <c r="F917" s="45"/>
      <c r="G917" s="45"/>
      <c r="H917" s="45"/>
      <c r="I917" s="45"/>
      <c r="J917" s="45"/>
      <c r="K917" s="45"/>
      <c r="L917" s="45"/>
      <c r="M917" s="45"/>
      <c r="N917" s="2"/>
      <c r="O917" s="2"/>
      <c r="P917" s="2"/>
      <c r="Q917" s="2"/>
      <c r="R917" s="2"/>
      <c r="S917" s="2"/>
      <c r="T917" s="2"/>
      <c r="U917" s="2"/>
      <c r="V917" s="2"/>
      <c r="W917" s="2"/>
      <c r="X917" s="2"/>
      <c r="Y917" s="2"/>
      <c r="Z917" s="2"/>
      <c r="AA917" s="2"/>
    </row>
    <row r="918" spans="1:27" ht="13.15">
      <c r="A918" s="12"/>
      <c r="B918" s="45"/>
      <c r="C918" s="45"/>
      <c r="D918" s="45"/>
      <c r="E918" s="45"/>
      <c r="F918" s="45"/>
      <c r="G918" s="45"/>
      <c r="H918" s="45"/>
      <c r="I918" s="45"/>
      <c r="J918" s="45"/>
      <c r="K918" s="45"/>
      <c r="L918" s="45"/>
      <c r="M918" s="45"/>
      <c r="N918" s="2"/>
      <c r="O918" s="2"/>
      <c r="P918" s="2"/>
      <c r="Q918" s="2"/>
      <c r="R918" s="2"/>
      <c r="S918" s="2"/>
      <c r="T918" s="2"/>
      <c r="U918" s="2"/>
      <c r="V918" s="2"/>
      <c r="W918" s="2"/>
      <c r="X918" s="2"/>
      <c r="Y918" s="2"/>
      <c r="Z918" s="2"/>
      <c r="AA918" s="2"/>
    </row>
    <row r="919" spans="1:27" ht="13.15">
      <c r="A919" s="12"/>
      <c r="B919" s="45"/>
      <c r="C919" s="45"/>
      <c r="D919" s="45"/>
      <c r="E919" s="45"/>
      <c r="F919" s="45"/>
      <c r="G919" s="45"/>
      <c r="H919" s="45"/>
      <c r="I919" s="45"/>
      <c r="J919" s="45"/>
      <c r="K919" s="45"/>
      <c r="L919" s="45"/>
      <c r="M919" s="45"/>
      <c r="N919" s="2"/>
      <c r="O919" s="2"/>
      <c r="P919" s="2"/>
      <c r="Q919" s="2"/>
      <c r="R919" s="2"/>
      <c r="S919" s="2"/>
      <c r="T919" s="2"/>
      <c r="U919" s="2"/>
      <c r="V919" s="2"/>
      <c r="W919" s="2"/>
      <c r="X919" s="2"/>
      <c r="Y919" s="2"/>
      <c r="Z919" s="2"/>
      <c r="AA919" s="2"/>
    </row>
    <row r="920" spans="1:27" ht="13.15">
      <c r="A920" s="12"/>
      <c r="B920" s="45"/>
      <c r="C920" s="45"/>
      <c r="D920" s="45"/>
      <c r="E920" s="45"/>
      <c r="F920" s="45"/>
      <c r="G920" s="45"/>
      <c r="H920" s="45"/>
      <c r="I920" s="45"/>
      <c r="J920" s="45"/>
      <c r="K920" s="45"/>
      <c r="L920" s="45"/>
      <c r="M920" s="45"/>
      <c r="N920" s="2"/>
      <c r="O920" s="2"/>
      <c r="P920" s="2"/>
      <c r="Q920" s="2"/>
      <c r="R920" s="2"/>
      <c r="S920" s="2"/>
      <c r="T920" s="2"/>
      <c r="U920" s="2"/>
      <c r="V920" s="2"/>
      <c r="W920" s="2"/>
      <c r="X920" s="2"/>
      <c r="Y920" s="2"/>
      <c r="Z920" s="2"/>
      <c r="AA920" s="2"/>
    </row>
    <row r="921" spans="1:27" ht="13.15">
      <c r="A921" s="12"/>
      <c r="B921" s="45"/>
      <c r="C921" s="45"/>
      <c r="D921" s="45"/>
      <c r="E921" s="45"/>
      <c r="F921" s="45"/>
      <c r="G921" s="45"/>
      <c r="H921" s="45"/>
      <c r="I921" s="45"/>
      <c r="J921" s="45"/>
      <c r="K921" s="45"/>
      <c r="L921" s="45"/>
      <c r="M921" s="45"/>
      <c r="N921" s="2"/>
      <c r="O921" s="2"/>
      <c r="P921" s="2"/>
      <c r="Q921" s="2"/>
      <c r="R921" s="2"/>
      <c r="S921" s="2"/>
      <c r="T921" s="2"/>
      <c r="U921" s="2"/>
      <c r="V921" s="2"/>
      <c r="W921" s="2"/>
      <c r="X921" s="2"/>
      <c r="Y921" s="2"/>
      <c r="Z921" s="2"/>
      <c r="AA921" s="2"/>
    </row>
    <row r="922" spans="1:27" ht="13.15">
      <c r="A922" s="12"/>
      <c r="B922" s="45"/>
      <c r="C922" s="45"/>
      <c r="D922" s="45"/>
      <c r="E922" s="45"/>
      <c r="F922" s="45"/>
      <c r="G922" s="45"/>
      <c r="H922" s="45"/>
      <c r="I922" s="45"/>
      <c r="J922" s="45"/>
      <c r="K922" s="45"/>
      <c r="L922" s="45"/>
      <c r="M922" s="45"/>
      <c r="N922" s="2"/>
      <c r="O922" s="2"/>
      <c r="P922" s="2"/>
      <c r="Q922" s="2"/>
      <c r="R922" s="2"/>
      <c r="S922" s="2"/>
      <c r="T922" s="2"/>
      <c r="U922" s="2"/>
      <c r="V922" s="2"/>
      <c r="W922" s="2"/>
      <c r="X922" s="2"/>
      <c r="Y922" s="2"/>
      <c r="Z922" s="2"/>
      <c r="AA922" s="2"/>
    </row>
    <row r="923" spans="1:27" ht="13.15">
      <c r="A923" s="12"/>
      <c r="B923" s="45"/>
      <c r="C923" s="45"/>
      <c r="D923" s="45"/>
      <c r="E923" s="45"/>
      <c r="F923" s="45"/>
      <c r="G923" s="45"/>
      <c r="H923" s="45"/>
      <c r="I923" s="45"/>
      <c r="J923" s="45"/>
      <c r="K923" s="45"/>
      <c r="L923" s="45"/>
      <c r="M923" s="45"/>
      <c r="N923" s="2"/>
      <c r="O923" s="2"/>
      <c r="P923" s="2"/>
      <c r="Q923" s="2"/>
      <c r="R923" s="2"/>
      <c r="S923" s="2"/>
      <c r="T923" s="2"/>
      <c r="U923" s="2"/>
      <c r="V923" s="2"/>
      <c r="W923" s="2"/>
      <c r="X923" s="2"/>
      <c r="Y923" s="2"/>
      <c r="Z923" s="2"/>
      <c r="AA923" s="2"/>
    </row>
    <row r="924" spans="1:27" ht="13.15">
      <c r="A924" s="12"/>
      <c r="B924" s="45"/>
      <c r="C924" s="45"/>
      <c r="D924" s="45"/>
      <c r="E924" s="45"/>
      <c r="F924" s="45"/>
      <c r="G924" s="45"/>
      <c r="H924" s="45"/>
      <c r="I924" s="45"/>
      <c r="J924" s="45"/>
      <c r="K924" s="45"/>
      <c r="L924" s="45"/>
      <c r="M924" s="45"/>
      <c r="N924" s="2"/>
      <c r="O924" s="2"/>
      <c r="P924" s="2"/>
      <c r="Q924" s="2"/>
      <c r="R924" s="2"/>
      <c r="S924" s="2"/>
      <c r="T924" s="2"/>
      <c r="U924" s="2"/>
      <c r="V924" s="2"/>
      <c r="W924" s="2"/>
      <c r="X924" s="2"/>
      <c r="Y924" s="2"/>
      <c r="Z924" s="2"/>
      <c r="AA924" s="2"/>
    </row>
    <row r="925" spans="1:27" ht="13.15">
      <c r="A925" s="12"/>
      <c r="B925" s="45"/>
      <c r="C925" s="45"/>
      <c r="D925" s="45"/>
      <c r="E925" s="45"/>
      <c r="F925" s="45"/>
      <c r="G925" s="45"/>
      <c r="H925" s="45"/>
      <c r="I925" s="45"/>
      <c r="J925" s="45"/>
      <c r="K925" s="45"/>
      <c r="L925" s="45"/>
      <c r="M925" s="45"/>
      <c r="N925" s="2"/>
      <c r="O925" s="2"/>
      <c r="P925" s="2"/>
      <c r="Q925" s="2"/>
      <c r="R925" s="2"/>
      <c r="S925" s="2"/>
      <c r="T925" s="2"/>
      <c r="U925" s="2"/>
      <c r="V925" s="2"/>
      <c r="W925" s="2"/>
      <c r="X925" s="2"/>
      <c r="Y925" s="2"/>
      <c r="Z925" s="2"/>
      <c r="AA925" s="2"/>
    </row>
    <row r="926" spans="1:27" ht="13.15">
      <c r="A926" s="12"/>
      <c r="B926" s="45"/>
      <c r="C926" s="45"/>
      <c r="D926" s="45"/>
      <c r="E926" s="45"/>
      <c r="F926" s="45"/>
      <c r="G926" s="45"/>
      <c r="H926" s="45"/>
      <c r="I926" s="45"/>
      <c r="J926" s="45"/>
      <c r="K926" s="45"/>
      <c r="L926" s="45"/>
      <c r="M926" s="45"/>
      <c r="N926" s="2"/>
      <c r="O926" s="2"/>
      <c r="P926" s="2"/>
      <c r="Q926" s="2"/>
      <c r="R926" s="2"/>
      <c r="S926" s="2"/>
      <c r="T926" s="2"/>
      <c r="U926" s="2"/>
      <c r="V926" s="2"/>
      <c r="W926" s="2"/>
      <c r="X926" s="2"/>
      <c r="Y926" s="2"/>
      <c r="Z926" s="2"/>
      <c r="AA926" s="2"/>
    </row>
    <row r="927" spans="1:27" ht="13.15">
      <c r="A927" s="12"/>
      <c r="B927" s="45"/>
      <c r="C927" s="45"/>
      <c r="D927" s="45"/>
      <c r="E927" s="45"/>
      <c r="F927" s="45"/>
      <c r="G927" s="45"/>
      <c r="H927" s="45"/>
      <c r="I927" s="45"/>
      <c r="J927" s="45"/>
      <c r="K927" s="45"/>
      <c r="L927" s="45"/>
      <c r="M927" s="45"/>
      <c r="N927" s="2"/>
      <c r="O927" s="2"/>
      <c r="P927" s="2"/>
      <c r="Q927" s="2"/>
      <c r="R927" s="2"/>
      <c r="S927" s="2"/>
      <c r="T927" s="2"/>
      <c r="U927" s="2"/>
      <c r="V927" s="2"/>
      <c r="W927" s="2"/>
      <c r="X927" s="2"/>
      <c r="Y927" s="2"/>
      <c r="Z927" s="2"/>
      <c r="AA927" s="2"/>
    </row>
    <row r="928" spans="1:27" ht="13.15">
      <c r="A928" s="12"/>
      <c r="B928" s="45"/>
      <c r="C928" s="45"/>
      <c r="D928" s="45"/>
      <c r="E928" s="45"/>
      <c r="F928" s="45"/>
      <c r="G928" s="45"/>
      <c r="H928" s="45"/>
      <c r="I928" s="45"/>
      <c r="J928" s="45"/>
      <c r="K928" s="45"/>
      <c r="L928" s="45"/>
      <c r="M928" s="45"/>
      <c r="N928" s="2"/>
      <c r="O928" s="2"/>
      <c r="P928" s="2"/>
      <c r="Q928" s="2"/>
      <c r="R928" s="2"/>
      <c r="S928" s="2"/>
      <c r="T928" s="2"/>
      <c r="U928" s="2"/>
      <c r="V928" s="2"/>
      <c r="W928" s="2"/>
      <c r="X928" s="2"/>
      <c r="Y928" s="2"/>
      <c r="Z928" s="2"/>
      <c r="AA928" s="2"/>
    </row>
    <row r="929" spans="1:27" ht="13.15">
      <c r="A929" s="12"/>
      <c r="B929" s="45"/>
      <c r="C929" s="45"/>
      <c r="D929" s="45"/>
      <c r="E929" s="45"/>
      <c r="F929" s="45"/>
      <c r="G929" s="45"/>
      <c r="H929" s="45"/>
      <c r="I929" s="45"/>
      <c r="J929" s="45"/>
      <c r="K929" s="45"/>
      <c r="L929" s="45"/>
      <c r="M929" s="45"/>
      <c r="N929" s="2"/>
      <c r="O929" s="2"/>
      <c r="P929" s="2"/>
      <c r="Q929" s="2"/>
      <c r="R929" s="2"/>
      <c r="S929" s="2"/>
      <c r="T929" s="2"/>
      <c r="U929" s="2"/>
      <c r="V929" s="2"/>
      <c r="W929" s="2"/>
      <c r="X929" s="2"/>
      <c r="Y929" s="2"/>
      <c r="Z929" s="2"/>
      <c r="AA929" s="2"/>
    </row>
    <row r="930" spans="1:27" ht="13.15">
      <c r="A930" s="12"/>
      <c r="B930" s="45"/>
      <c r="C930" s="45"/>
      <c r="D930" s="45"/>
      <c r="E930" s="45"/>
      <c r="F930" s="45"/>
      <c r="G930" s="45"/>
      <c r="H930" s="45"/>
      <c r="I930" s="45"/>
      <c r="J930" s="45"/>
      <c r="K930" s="45"/>
      <c r="L930" s="45"/>
      <c r="M930" s="45"/>
      <c r="N930" s="2"/>
      <c r="O930" s="2"/>
      <c r="P930" s="2"/>
      <c r="Q930" s="2"/>
      <c r="R930" s="2"/>
      <c r="S930" s="2"/>
      <c r="T930" s="2"/>
      <c r="U930" s="2"/>
      <c r="V930" s="2"/>
      <c r="W930" s="2"/>
      <c r="X930" s="2"/>
      <c r="Y930" s="2"/>
      <c r="Z930" s="2"/>
      <c r="AA930" s="2"/>
    </row>
    <row r="931" spans="1:27" ht="13.15">
      <c r="A931" s="12"/>
      <c r="B931" s="45"/>
      <c r="C931" s="45"/>
      <c r="D931" s="45"/>
      <c r="E931" s="45"/>
      <c r="F931" s="45"/>
      <c r="G931" s="45"/>
      <c r="H931" s="45"/>
      <c r="I931" s="45"/>
      <c r="J931" s="45"/>
      <c r="K931" s="45"/>
      <c r="L931" s="45"/>
      <c r="M931" s="45"/>
      <c r="N931" s="2"/>
      <c r="O931" s="2"/>
      <c r="P931" s="2"/>
      <c r="Q931" s="2"/>
      <c r="R931" s="2"/>
      <c r="S931" s="2"/>
      <c r="T931" s="2"/>
      <c r="U931" s="2"/>
      <c r="V931" s="2"/>
      <c r="W931" s="2"/>
      <c r="X931" s="2"/>
      <c r="Y931" s="2"/>
      <c r="Z931" s="2"/>
      <c r="AA931" s="2"/>
    </row>
    <row r="932" spans="1:27" ht="13.15">
      <c r="A932" s="12"/>
      <c r="B932" s="45"/>
      <c r="C932" s="45"/>
      <c r="D932" s="45"/>
      <c r="E932" s="45"/>
      <c r="F932" s="45"/>
      <c r="G932" s="45"/>
      <c r="H932" s="45"/>
      <c r="I932" s="45"/>
      <c r="J932" s="45"/>
      <c r="K932" s="45"/>
      <c r="L932" s="45"/>
      <c r="M932" s="45"/>
      <c r="N932" s="2"/>
      <c r="O932" s="2"/>
      <c r="P932" s="2"/>
      <c r="Q932" s="2"/>
      <c r="R932" s="2"/>
      <c r="S932" s="2"/>
      <c r="T932" s="2"/>
      <c r="U932" s="2"/>
      <c r="V932" s="2"/>
      <c r="W932" s="2"/>
      <c r="X932" s="2"/>
      <c r="Y932" s="2"/>
      <c r="Z932" s="2"/>
      <c r="AA932" s="2"/>
    </row>
    <row r="933" spans="1:27" ht="13.15">
      <c r="A933" s="12"/>
      <c r="B933" s="45"/>
      <c r="C933" s="45"/>
      <c r="D933" s="45"/>
      <c r="E933" s="45"/>
      <c r="F933" s="45"/>
      <c r="G933" s="45"/>
      <c r="H933" s="45"/>
      <c r="I933" s="45"/>
      <c r="J933" s="45"/>
      <c r="K933" s="45"/>
      <c r="L933" s="45"/>
      <c r="M933" s="45"/>
      <c r="N933" s="2"/>
      <c r="O933" s="2"/>
      <c r="P933" s="2"/>
      <c r="Q933" s="2"/>
      <c r="R933" s="2"/>
      <c r="S933" s="2"/>
      <c r="T933" s="2"/>
      <c r="U933" s="2"/>
      <c r="V933" s="2"/>
      <c r="W933" s="2"/>
      <c r="X933" s="2"/>
      <c r="Y933" s="2"/>
      <c r="Z933" s="2"/>
      <c r="AA933" s="2"/>
    </row>
    <row r="934" spans="1:27" ht="13.15">
      <c r="A934" s="12"/>
      <c r="B934" s="45"/>
      <c r="C934" s="45"/>
      <c r="D934" s="45"/>
      <c r="E934" s="45"/>
      <c r="F934" s="45"/>
      <c r="G934" s="45"/>
      <c r="H934" s="45"/>
      <c r="I934" s="45"/>
      <c r="J934" s="45"/>
      <c r="K934" s="45"/>
      <c r="L934" s="45"/>
      <c r="M934" s="45"/>
      <c r="N934" s="2"/>
      <c r="O934" s="2"/>
      <c r="P934" s="2"/>
      <c r="Q934" s="2"/>
      <c r="R934" s="2"/>
      <c r="S934" s="2"/>
      <c r="T934" s="2"/>
      <c r="U934" s="2"/>
      <c r="V934" s="2"/>
      <c r="W934" s="2"/>
      <c r="X934" s="2"/>
      <c r="Y934" s="2"/>
      <c r="Z934" s="2"/>
      <c r="AA934" s="2"/>
    </row>
    <row r="935" spans="1:27" ht="13.15">
      <c r="A935" s="12"/>
      <c r="B935" s="45"/>
      <c r="C935" s="45"/>
      <c r="D935" s="45"/>
      <c r="E935" s="45"/>
      <c r="F935" s="45"/>
      <c r="G935" s="45"/>
      <c r="H935" s="45"/>
      <c r="I935" s="45"/>
      <c r="J935" s="45"/>
      <c r="K935" s="45"/>
      <c r="L935" s="45"/>
      <c r="M935" s="45"/>
      <c r="N935" s="2"/>
      <c r="O935" s="2"/>
      <c r="P935" s="2"/>
      <c r="Q935" s="2"/>
      <c r="R935" s="2"/>
      <c r="S935" s="2"/>
      <c r="T935" s="2"/>
      <c r="U935" s="2"/>
      <c r="V935" s="2"/>
      <c r="W935" s="2"/>
      <c r="X935" s="2"/>
      <c r="Y935" s="2"/>
      <c r="Z935" s="2"/>
      <c r="AA935" s="2"/>
    </row>
    <row r="936" spans="1:27" ht="13.15">
      <c r="A936" s="12"/>
      <c r="B936" s="45"/>
      <c r="C936" s="45"/>
      <c r="D936" s="45"/>
      <c r="E936" s="45"/>
      <c r="F936" s="45"/>
      <c r="G936" s="45"/>
      <c r="H936" s="45"/>
      <c r="I936" s="45"/>
      <c r="J936" s="45"/>
      <c r="K936" s="45"/>
      <c r="L936" s="45"/>
      <c r="M936" s="45"/>
      <c r="N936" s="2"/>
      <c r="O936" s="2"/>
      <c r="P936" s="2"/>
      <c r="Q936" s="2"/>
      <c r="R936" s="2"/>
      <c r="S936" s="2"/>
      <c r="T936" s="2"/>
      <c r="U936" s="2"/>
      <c r="V936" s="2"/>
      <c r="W936" s="2"/>
      <c r="X936" s="2"/>
      <c r="Y936" s="2"/>
      <c r="Z936" s="2"/>
      <c r="AA936" s="2"/>
    </row>
    <row r="937" spans="1:27" ht="13.15">
      <c r="A937" s="12"/>
      <c r="B937" s="45"/>
      <c r="C937" s="45"/>
      <c r="D937" s="45"/>
      <c r="E937" s="45"/>
      <c r="F937" s="45"/>
      <c r="G937" s="45"/>
      <c r="H937" s="45"/>
      <c r="I937" s="45"/>
      <c r="J937" s="45"/>
      <c r="K937" s="45"/>
      <c r="L937" s="45"/>
      <c r="M937" s="45"/>
      <c r="N937" s="2"/>
      <c r="O937" s="2"/>
      <c r="P937" s="2"/>
      <c r="Q937" s="2"/>
      <c r="R937" s="2"/>
      <c r="S937" s="2"/>
      <c r="T937" s="2"/>
      <c r="U937" s="2"/>
      <c r="V937" s="2"/>
      <c r="W937" s="2"/>
      <c r="X937" s="2"/>
      <c r="Y937" s="2"/>
      <c r="Z937" s="2"/>
      <c r="AA937" s="2"/>
    </row>
    <row r="938" spans="1:27" ht="13.15">
      <c r="A938" s="12"/>
      <c r="B938" s="45"/>
      <c r="C938" s="45"/>
      <c r="D938" s="45"/>
      <c r="E938" s="45"/>
      <c r="F938" s="45"/>
      <c r="G938" s="45"/>
      <c r="H938" s="45"/>
      <c r="I938" s="45"/>
      <c r="J938" s="45"/>
      <c r="K938" s="45"/>
      <c r="L938" s="45"/>
      <c r="M938" s="45"/>
      <c r="N938" s="2"/>
      <c r="O938" s="2"/>
      <c r="P938" s="2"/>
      <c r="Q938" s="2"/>
      <c r="R938" s="2"/>
      <c r="S938" s="2"/>
      <c r="T938" s="2"/>
      <c r="U938" s="2"/>
      <c r="V938" s="2"/>
      <c r="W938" s="2"/>
      <c r="X938" s="2"/>
      <c r="Y938" s="2"/>
      <c r="Z938" s="2"/>
      <c r="AA938" s="2"/>
    </row>
    <row r="939" spans="1:27" ht="13.15">
      <c r="A939" s="12"/>
      <c r="B939" s="45"/>
      <c r="C939" s="45"/>
      <c r="D939" s="45"/>
      <c r="E939" s="45"/>
      <c r="F939" s="45"/>
      <c r="G939" s="45"/>
      <c r="H939" s="45"/>
      <c r="I939" s="45"/>
      <c r="J939" s="45"/>
      <c r="K939" s="45"/>
      <c r="L939" s="45"/>
      <c r="M939" s="45"/>
      <c r="N939" s="2"/>
      <c r="O939" s="2"/>
      <c r="P939" s="2"/>
      <c r="Q939" s="2"/>
      <c r="R939" s="2"/>
      <c r="S939" s="2"/>
      <c r="T939" s="2"/>
      <c r="U939" s="2"/>
      <c r="V939" s="2"/>
      <c r="W939" s="2"/>
      <c r="X939" s="2"/>
      <c r="Y939" s="2"/>
      <c r="Z939" s="2"/>
      <c r="AA939" s="2"/>
    </row>
    <row r="940" spans="1:27" ht="13.15">
      <c r="A940" s="12"/>
      <c r="B940" s="45"/>
      <c r="C940" s="45"/>
      <c r="D940" s="45"/>
      <c r="E940" s="45"/>
      <c r="F940" s="45"/>
      <c r="G940" s="45"/>
      <c r="H940" s="45"/>
      <c r="I940" s="45"/>
      <c r="J940" s="45"/>
      <c r="K940" s="45"/>
      <c r="L940" s="45"/>
      <c r="M940" s="45"/>
      <c r="N940" s="2"/>
      <c r="O940" s="2"/>
      <c r="P940" s="2"/>
      <c r="Q940" s="2"/>
      <c r="R940" s="2"/>
      <c r="S940" s="2"/>
      <c r="T940" s="2"/>
      <c r="U940" s="2"/>
      <c r="V940" s="2"/>
      <c r="W940" s="2"/>
      <c r="X940" s="2"/>
      <c r="Y940" s="2"/>
      <c r="Z940" s="2"/>
      <c r="AA940" s="2"/>
    </row>
    <row r="941" spans="1:27" ht="13.15">
      <c r="A941" s="12"/>
      <c r="B941" s="45"/>
      <c r="C941" s="45"/>
      <c r="D941" s="45"/>
      <c r="E941" s="45"/>
      <c r="F941" s="45"/>
      <c r="G941" s="45"/>
      <c r="H941" s="45"/>
      <c r="I941" s="45"/>
      <c r="J941" s="45"/>
      <c r="K941" s="45"/>
      <c r="L941" s="45"/>
      <c r="M941" s="45"/>
      <c r="N941" s="2"/>
      <c r="O941" s="2"/>
      <c r="P941" s="2"/>
      <c r="Q941" s="2"/>
      <c r="R941" s="2"/>
      <c r="S941" s="2"/>
      <c r="T941" s="2"/>
      <c r="U941" s="2"/>
      <c r="V941" s="2"/>
      <c r="W941" s="2"/>
      <c r="X941" s="2"/>
      <c r="Y941" s="2"/>
      <c r="Z941" s="2"/>
      <c r="AA941" s="2"/>
    </row>
    <row r="942" spans="1:27" ht="13.15">
      <c r="A942" s="12"/>
      <c r="B942" s="45"/>
      <c r="C942" s="45"/>
      <c r="D942" s="45"/>
      <c r="E942" s="45"/>
      <c r="F942" s="45"/>
      <c r="G942" s="45"/>
      <c r="H942" s="45"/>
      <c r="I942" s="45"/>
      <c r="J942" s="45"/>
      <c r="K942" s="45"/>
      <c r="L942" s="45"/>
      <c r="M942" s="45"/>
      <c r="N942" s="2"/>
      <c r="O942" s="2"/>
      <c r="P942" s="2"/>
      <c r="Q942" s="2"/>
      <c r="R942" s="2"/>
      <c r="S942" s="2"/>
      <c r="T942" s="2"/>
      <c r="U942" s="2"/>
      <c r="V942" s="2"/>
      <c r="W942" s="2"/>
      <c r="X942" s="2"/>
      <c r="Y942" s="2"/>
      <c r="Z942" s="2"/>
      <c r="AA942" s="2"/>
    </row>
    <row r="943" spans="1:27" ht="13.15">
      <c r="A943" s="12"/>
      <c r="B943" s="45"/>
      <c r="C943" s="45"/>
      <c r="D943" s="45"/>
      <c r="E943" s="45"/>
      <c r="F943" s="45"/>
      <c r="G943" s="45"/>
      <c r="H943" s="45"/>
      <c r="I943" s="45"/>
      <c r="J943" s="45"/>
      <c r="K943" s="45"/>
      <c r="L943" s="45"/>
      <c r="M943" s="45"/>
      <c r="N943" s="2"/>
      <c r="O943" s="2"/>
      <c r="P943" s="2"/>
      <c r="Q943" s="2"/>
      <c r="R943" s="2"/>
      <c r="S943" s="2"/>
      <c r="T943" s="2"/>
      <c r="U943" s="2"/>
      <c r="V943" s="2"/>
      <c r="W943" s="2"/>
      <c r="X943" s="2"/>
      <c r="Y943" s="2"/>
      <c r="Z943" s="2"/>
      <c r="AA943" s="2"/>
    </row>
    <row r="944" spans="1:27" ht="13.15">
      <c r="A944" s="12"/>
      <c r="B944" s="45"/>
      <c r="C944" s="45"/>
      <c r="D944" s="45"/>
      <c r="E944" s="45"/>
      <c r="F944" s="45"/>
      <c r="G944" s="45"/>
      <c r="H944" s="45"/>
      <c r="I944" s="45"/>
      <c r="J944" s="45"/>
      <c r="K944" s="45"/>
      <c r="L944" s="45"/>
      <c r="M944" s="45"/>
      <c r="N944" s="2"/>
      <c r="O944" s="2"/>
      <c r="P944" s="2"/>
      <c r="Q944" s="2"/>
      <c r="R944" s="2"/>
      <c r="S944" s="2"/>
      <c r="T944" s="2"/>
      <c r="U944" s="2"/>
      <c r="V944" s="2"/>
      <c r="W944" s="2"/>
      <c r="X944" s="2"/>
      <c r="Y944" s="2"/>
      <c r="Z944" s="2"/>
      <c r="AA944" s="2"/>
    </row>
    <row r="945" spans="1:27" ht="13.15">
      <c r="A945" s="12"/>
      <c r="B945" s="45"/>
      <c r="C945" s="45"/>
      <c r="D945" s="45"/>
      <c r="E945" s="45"/>
      <c r="F945" s="45"/>
      <c r="G945" s="45"/>
      <c r="H945" s="45"/>
      <c r="I945" s="45"/>
      <c r="J945" s="45"/>
      <c r="K945" s="45"/>
      <c r="L945" s="45"/>
      <c r="M945" s="45"/>
      <c r="N945" s="2"/>
      <c r="O945" s="2"/>
      <c r="P945" s="2"/>
      <c r="Q945" s="2"/>
      <c r="R945" s="2"/>
      <c r="S945" s="2"/>
      <c r="T945" s="2"/>
      <c r="U945" s="2"/>
      <c r="V945" s="2"/>
      <c r="W945" s="2"/>
      <c r="X945" s="2"/>
      <c r="Y945" s="2"/>
      <c r="Z945" s="2"/>
      <c r="AA945" s="2"/>
    </row>
    <row r="946" spans="1:27" ht="13.15">
      <c r="A946" s="12"/>
      <c r="B946" s="45"/>
      <c r="C946" s="45"/>
      <c r="D946" s="45"/>
      <c r="E946" s="45"/>
      <c r="F946" s="45"/>
      <c r="G946" s="45"/>
      <c r="H946" s="45"/>
      <c r="I946" s="45"/>
      <c r="J946" s="45"/>
      <c r="K946" s="45"/>
      <c r="L946" s="45"/>
      <c r="M946" s="45"/>
      <c r="N946" s="2"/>
      <c r="O946" s="2"/>
      <c r="P946" s="2"/>
      <c r="Q946" s="2"/>
      <c r="R946" s="2"/>
      <c r="S946" s="2"/>
      <c r="T946" s="2"/>
      <c r="U946" s="2"/>
      <c r="V946" s="2"/>
      <c r="W946" s="2"/>
      <c r="X946" s="2"/>
      <c r="Y946" s="2"/>
      <c r="Z946" s="2"/>
      <c r="AA946" s="2"/>
    </row>
    <row r="947" spans="1:27" ht="13.15">
      <c r="A947" s="12"/>
      <c r="B947" s="45"/>
      <c r="C947" s="45"/>
      <c r="D947" s="45"/>
      <c r="E947" s="45"/>
      <c r="F947" s="45"/>
      <c r="G947" s="45"/>
      <c r="H947" s="45"/>
      <c r="I947" s="45"/>
      <c r="J947" s="45"/>
      <c r="K947" s="45"/>
      <c r="L947" s="45"/>
      <c r="M947" s="45"/>
      <c r="N947" s="2"/>
      <c r="O947" s="2"/>
      <c r="P947" s="2"/>
      <c r="Q947" s="2"/>
      <c r="R947" s="2"/>
      <c r="S947" s="2"/>
      <c r="T947" s="2"/>
      <c r="U947" s="2"/>
      <c r="V947" s="2"/>
      <c r="W947" s="2"/>
      <c r="X947" s="2"/>
      <c r="Y947" s="2"/>
      <c r="Z947" s="2"/>
      <c r="AA947" s="2"/>
    </row>
    <row r="948" spans="1:27" ht="13.15">
      <c r="A948" s="12"/>
      <c r="B948" s="45"/>
      <c r="C948" s="45"/>
      <c r="D948" s="45"/>
      <c r="E948" s="45"/>
      <c r="F948" s="45"/>
      <c r="G948" s="45"/>
      <c r="H948" s="45"/>
      <c r="I948" s="45"/>
      <c r="J948" s="45"/>
      <c r="K948" s="45"/>
      <c r="L948" s="45"/>
      <c r="M948" s="45"/>
      <c r="N948" s="2"/>
      <c r="O948" s="2"/>
      <c r="P948" s="2"/>
      <c r="Q948" s="2"/>
      <c r="R948" s="2"/>
      <c r="S948" s="2"/>
      <c r="T948" s="2"/>
      <c r="U948" s="2"/>
      <c r="V948" s="2"/>
      <c r="W948" s="2"/>
      <c r="X948" s="2"/>
      <c r="Y948" s="2"/>
      <c r="Z948" s="2"/>
      <c r="AA948" s="2"/>
    </row>
    <row r="949" spans="1:27" ht="13.15">
      <c r="A949" s="12"/>
      <c r="B949" s="45"/>
      <c r="C949" s="45"/>
      <c r="D949" s="45"/>
      <c r="E949" s="45"/>
      <c r="F949" s="45"/>
      <c r="G949" s="45"/>
      <c r="H949" s="45"/>
      <c r="I949" s="45"/>
      <c r="J949" s="45"/>
      <c r="K949" s="45"/>
      <c r="L949" s="45"/>
      <c r="M949" s="45"/>
      <c r="N949" s="2"/>
      <c r="O949" s="2"/>
      <c r="P949" s="2"/>
      <c r="Q949" s="2"/>
      <c r="R949" s="2"/>
      <c r="S949" s="2"/>
      <c r="T949" s="2"/>
      <c r="U949" s="2"/>
      <c r="V949" s="2"/>
      <c r="W949" s="2"/>
      <c r="X949" s="2"/>
      <c r="Y949" s="2"/>
      <c r="Z949" s="2"/>
      <c r="AA949" s="2"/>
    </row>
    <row r="950" spans="1:27" ht="13.15">
      <c r="A950" s="12"/>
      <c r="B950" s="45"/>
      <c r="C950" s="45"/>
      <c r="D950" s="45"/>
      <c r="E950" s="45"/>
      <c r="F950" s="45"/>
      <c r="G950" s="45"/>
      <c r="H950" s="45"/>
      <c r="I950" s="45"/>
      <c r="J950" s="45"/>
      <c r="K950" s="45"/>
      <c r="L950" s="45"/>
      <c r="M950" s="45"/>
      <c r="N950" s="2"/>
      <c r="O950" s="2"/>
      <c r="P950" s="2"/>
      <c r="Q950" s="2"/>
      <c r="R950" s="2"/>
      <c r="S950" s="2"/>
      <c r="T950" s="2"/>
      <c r="U950" s="2"/>
      <c r="V950" s="2"/>
      <c r="W950" s="2"/>
      <c r="X950" s="2"/>
      <c r="Y950" s="2"/>
      <c r="Z950" s="2"/>
      <c r="AA950" s="2"/>
    </row>
    <row r="951" spans="1:27" ht="13.15">
      <c r="A951" s="12"/>
      <c r="B951" s="45"/>
      <c r="C951" s="45"/>
      <c r="D951" s="45"/>
      <c r="E951" s="45"/>
      <c r="F951" s="45"/>
      <c r="G951" s="45"/>
      <c r="H951" s="45"/>
      <c r="I951" s="45"/>
      <c r="J951" s="45"/>
      <c r="K951" s="45"/>
      <c r="L951" s="45"/>
      <c r="M951" s="45"/>
      <c r="N951" s="2"/>
      <c r="O951" s="2"/>
      <c r="P951" s="2"/>
      <c r="Q951" s="2"/>
      <c r="R951" s="2"/>
      <c r="S951" s="2"/>
      <c r="T951" s="2"/>
      <c r="U951" s="2"/>
      <c r="V951" s="2"/>
      <c r="W951" s="2"/>
      <c r="X951" s="2"/>
      <c r="Y951" s="2"/>
      <c r="Z951" s="2"/>
      <c r="AA951" s="2"/>
    </row>
    <row r="952" spans="1:27" ht="13.15">
      <c r="A952" s="12"/>
      <c r="B952" s="45"/>
      <c r="C952" s="45"/>
      <c r="D952" s="45"/>
      <c r="E952" s="45"/>
      <c r="F952" s="45"/>
      <c r="G952" s="45"/>
      <c r="H952" s="45"/>
      <c r="I952" s="45"/>
      <c r="J952" s="45"/>
      <c r="K952" s="45"/>
      <c r="L952" s="45"/>
      <c r="M952" s="45"/>
      <c r="N952" s="2"/>
      <c r="O952" s="2"/>
      <c r="P952" s="2"/>
      <c r="Q952" s="2"/>
      <c r="R952" s="2"/>
      <c r="S952" s="2"/>
      <c r="T952" s="2"/>
      <c r="U952" s="2"/>
      <c r="V952" s="2"/>
      <c r="W952" s="2"/>
      <c r="X952" s="2"/>
      <c r="Y952" s="2"/>
      <c r="Z952" s="2"/>
      <c r="AA952" s="2"/>
    </row>
    <row r="953" spans="1:27" ht="13.15">
      <c r="A953" s="12"/>
      <c r="B953" s="45"/>
      <c r="C953" s="45"/>
      <c r="D953" s="45"/>
      <c r="E953" s="45"/>
      <c r="F953" s="45"/>
      <c r="G953" s="45"/>
      <c r="H953" s="45"/>
      <c r="I953" s="45"/>
      <c r="J953" s="45"/>
      <c r="K953" s="45"/>
      <c r="L953" s="45"/>
      <c r="M953" s="45"/>
      <c r="N953" s="2"/>
      <c r="O953" s="2"/>
      <c r="P953" s="2"/>
      <c r="Q953" s="2"/>
      <c r="R953" s="2"/>
      <c r="S953" s="2"/>
      <c r="T953" s="2"/>
      <c r="U953" s="2"/>
      <c r="V953" s="2"/>
      <c r="W953" s="2"/>
      <c r="X953" s="2"/>
      <c r="Y953" s="2"/>
      <c r="Z953" s="2"/>
      <c r="AA953" s="2"/>
    </row>
    <row r="954" spans="1:27" ht="13.15">
      <c r="A954" s="12"/>
      <c r="B954" s="45"/>
      <c r="C954" s="45"/>
      <c r="D954" s="45"/>
      <c r="E954" s="45"/>
      <c r="F954" s="45"/>
      <c r="G954" s="45"/>
      <c r="H954" s="45"/>
      <c r="I954" s="45"/>
      <c r="J954" s="45"/>
      <c r="K954" s="45"/>
      <c r="L954" s="45"/>
      <c r="M954" s="45"/>
      <c r="N954" s="2"/>
      <c r="O954" s="2"/>
      <c r="P954" s="2"/>
      <c r="Q954" s="2"/>
      <c r="R954" s="2"/>
      <c r="S954" s="2"/>
      <c r="T954" s="2"/>
      <c r="U954" s="2"/>
      <c r="V954" s="2"/>
      <c r="W954" s="2"/>
      <c r="X954" s="2"/>
      <c r="Y954" s="2"/>
      <c r="Z954" s="2"/>
      <c r="AA954" s="2"/>
    </row>
    <row r="955" spans="1:27" ht="13.15">
      <c r="A955" s="12"/>
      <c r="B955" s="45"/>
      <c r="C955" s="45"/>
      <c r="D955" s="45"/>
      <c r="E955" s="45"/>
      <c r="F955" s="45"/>
      <c r="G955" s="45"/>
      <c r="H955" s="45"/>
      <c r="I955" s="45"/>
      <c r="J955" s="45"/>
      <c r="K955" s="45"/>
      <c r="L955" s="45"/>
      <c r="M955" s="45"/>
      <c r="N955" s="2"/>
      <c r="O955" s="2"/>
      <c r="P955" s="2"/>
      <c r="Q955" s="2"/>
      <c r="R955" s="2"/>
      <c r="S955" s="2"/>
      <c r="T955" s="2"/>
      <c r="U955" s="2"/>
      <c r="V955" s="2"/>
      <c r="W955" s="2"/>
      <c r="X955" s="2"/>
      <c r="Y955" s="2"/>
      <c r="Z955" s="2"/>
      <c r="AA955" s="2"/>
    </row>
    <row r="956" spans="1:27" ht="13.15">
      <c r="A956" s="12"/>
      <c r="B956" s="45"/>
      <c r="C956" s="45"/>
      <c r="D956" s="45"/>
      <c r="E956" s="45"/>
      <c r="F956" s="45"/>
      <c r="G956" s="45"/>
      <c r="H956" s="45"/>
      <c r="I956" s="45"/>
      <c r="J956" s="45"/>
      <c r="K956" s="45"/>
      <c r="L956" s="45"/>
      <c r="M956" s="45"/>
      <c r="N956" s="2"/>
      <c r="O956" s="2"/>
      <c r="P956" s="2"/>
      <c r="Q956" s="2"/>
      <c r="R956" s="2"/>
      <c r="S956" s="2"/>
      <c r="T956" s="2"/>
      <c r="U956" s="2"/>
      <c r="V956" s="2"/>
      <c r="W956" s="2"/>
      <c r="X956" s="2"/>
      <c r="Y956" s="2"/>
      <c r="Z956" s="2"/>
      <c r="AA956" s="2"/>
    </row>
    <row r="957" spans="1:27" ht="13.15">
      <c r="A957" s="12"/>
      <c r="B957" s="45"/>
      <c r="C957" s="45"/>
      <c r="D957" s="45"/>
      <c r="E957" s="45"/>
      <c r="F957" s="45"/>
      <c r="G957" s="45"/>
      <c r="H957" s="45"/>
      <c r="I957" s="45"/>
      <c r="J957" s="45"/>
      <c r="K957" s="45"/>
      <c r="L957" s="45"/>
      <c r="M957" s="45"/>
      <c r="N957" s="2"/>
      <c r="O957" s="2"/>
      <c r="P957" s="2"/>
      <c r="Q957" s="2"/>
      <c r="R957" s="2"/>
      <c r="S957" s="2"/>
      <c r="T957" s="2"/>
      <c r="U957" s="2"/>
      <c r="V957" s="2"/>
      <c r="W957" s="2"/>
      <c r="X957" s="2"/>
      <c r="Y957" s="2"/>
      <c r="Z957" s="2"/>
      <c r="AA957" s="2"/>
    </row>
    <row r="958" spans="1:27" ht="13.15">
      <c r="A958" s="12"/>
      <c r="B958" s="45"/>
      <c r="C958" s="45"/>
      <c r="D958" s="45"/>
      <c r="E958" s="45"/>
      <c r="F958" s="45"/>
      <c r="G958" s="45"/>
      <c r="H958" s="45"/>
      <c r="I958" s="45"/>
      <c r="J958" s="45"/>
      <c r="K958" s="45"/>
      <c r="L958" s="45"/>
      <c r="M958" s="45"/>
      <c r="N958" s="2"/>
      <c r="O958" s="2"/>
      <c r="P958" s="2"/>
      <c r="Q958" s="2"/>
      <c r="R958" s="2"/>
      <c r="S958" s="2"/>
      <c r="T958" s="2"/>
      <c r="U958" s="2"/>
      <c r="V958" s="2"/>
      <c r="W958" s="2"/>
      <c r="X958" s="2"/>
      <c r="Y958" s="2"/>
      <c r="Z958" s="2"/>
      <c r="AA958" s="2"/>
    </row>
    <row r="959" spans="1:27" ht="13.15">
      <c r="A959" s="12"/>
      <c r="B959" s="45"/>
      <c r="C959" s="45"/>
      <c r="D959" s="45"/>
      <c r="E959" s="45"/>
      <c r="F959" s="45"/>
      <c r="G959" s="45"/>
      <c r="H959" s="45"/>
      <c r="I959" s="45"/>
      <c r="J959" s="45"/>
      <c r="K959" s="45"/>
      <c r="L959" s="45"/>
      <c r="M959" s="45"/>
      <c r="N959" s="2"/>
      <c r="O959" s="2"/>
      <c r="P959" s="2"/>
      <c r="Q959" s="2"/>
      <c r="R959" s="2"/>
      <c r="S959" s="2"/>
      <c r="T959" s="2"/>
      <c r="U959" s="2"/>
      <c r="V959" s="2"/>
      <c r="W959" s="2"/>
      <c r="X959" s="2"/>
      <c r="Y959" s="2"/>
      <c r="Z959" s="2"/>
      <c r="AA959" s="2"/>
    </row>
    <row r="960" spans="1:27" ht="13.15">
      <c r="A960" s="12"/>
      <c r="B960" s="45"/>
      <c r="C960" s="45"/>
      <c r="D960" s="45"/>
      <c r="E960" s="45"/>
      <c r="F960" s="45"/>
      <c r="G960" s="45"/>
      <c r="H960" s="45"/>
      <c r="I960" s="45"/>
      <c r="J960" s="45"/>
      <c r="K960" s="45"/>
      <c r="L960" s="45"/>
      <c r="M960" s="45"/>
      <c r="N960" s="2"/>
      <c r="O960" s="2"/>
      <c r="P960" s="2"/>
      <c r="Q960" s="2"/>
      <c r="R960" s="2"/>
      <c r="S960" s="2"/>
      <c r="T960" s="2"/>
      <c r="U960" s="2"/>
      <c r="V960" s="2"/>
      <c r="W960" s="2"/>
      <c r="X960" s="2"/>
      <c r="Y960" s="2"/>
      <c r="Z960" s="2"/>
      <c r="AA960" s="2"/>
    </row>
    <row r="961" spans="1:27" ht="13.15">
      <c r="A961" s="12"/>
      <c r="B961" s="45"/>
      <c r="C961" s="45"/>
      <c r="D961" s="45"/>
      <c r="E961" s="45"/>
      <c r="F961" s="45"/>
      <c r="G961" s="45"/>
      <c r="H961" s="45"/>
      <c r="I961" s="45"/>
      <c r="J961" s="45"/>
      <c r="K961" s="45"/>
      <c r="L961" s="45"/>
      <c r="M961" s="45"/>
      <c r="N961" s="2"/>
      <c r="O961" s="2"/>
      <c r="P961" s="2"/>
      <c r="Q961" s="2"/>
      <c r="R961" s="2"/>
      <c r="S961" s="2"/>
      <c r="T961" s="2"/>
      <c r="U961" s="2"/>
      <c r="V961" s="2"/>
      <c r="W961" s="2"/>
      <c r="X961" s="2"/>
      <c r="Y961" s="2"/>
      <c r="Z961" s="2"/>
      <c r="AA961" s="2"/>
    </row>
    <row r="962" spans="1:27" ht="13.15">
      <c r="A962" s="12"/>
      <c r="B962" s="45"/>
      <c r="C962" s="45"/>
      <c r="D962" s="45"/>
      <c r="E962" s="45"/>
      <c r="F962" s="45"/>
      <c r="G962" s="45"/>
      <c r="H962" s="45"/>
      <c r="I962" s="45"/>
      <c r="J962" s="45"/>
      <c r="K962" s="45"/>
      <c r="L962" s="45"/>
      <c r="M962" s="45"/>
      <c r="N962" s="2"/>
      <c r="O962" s="2"/>
      <c r="P962" s="2"/>
      <c r="Q962" s="2"/>
      <c r="R962" s="2"/>
      <c r="S962" s="2"/>
      <c r="T962" s="2"/>
      <c r="U962" s="2"/>
      <c r="V962" s="2"/>
      <c r="W962" s="2"/>
      <c r="X962" s="2"/>
      <c r="Y962" s="2"/>
      <c r="Z962" s="2"/>
      <c r="AA962" s="2"/>
    </row>
    <row r="963" spans="1:27" ht="13.15">
      <c r="A963" s="12"/>
      <c r="B963" s="45"/>
      <c r="C963" s="45"/>
      <c r="D963" s="45"/>
      <c r="E963" s="45"/>
      <c r="F963" s="45"/>
      <c r="G963" s="45"/>
      <c r="H963" s="45"/>
      <c r="I963" s="45"/>
      <c r="J963" s="45"/>
      <c r="K963" s="45"/>
      <c r="L963" s="45"/>
      <c r="M963" s="45"/>
      <c r="N963" s="2"/>
      <c r="O963" s="2"/>
      <c r="P963" s="2"/>
      <c r="Q963" s="2"/>
      <c r="R963" s="2"/>
      <c r="S963" s="2"/>
      <c r="T963" s="2"/>
      <c r="U963" s="2"/>
      <c r="V963" s="2"/>
      <c r="W963" s="2"/>
      <c r="X963" s="2"/>
      <c r="Y963" s="2"/>
      <c r="Z963" s="2"/>
      <c r="AA963" s="2"/>
    </row>
    <row r="964" spans="1:27" ht="13.15">
      <c r="A964" s="12"/>
      <c r="B964" s="45"/>
      <c r="C964" s="45"/>
      <c r="D964" s="45"/>
      <c r="E964" s="45"/>
      <c r="F964" s="45"/>
      <c r="G964" s="45"/>
      <c r="H964" s="45"/>
      <c r="I964" s="45"/>
      <c r="J964" s="45"/>
      <c r="K964" s="45"/>
      <c r="L964" s="45"/>
      <c r="M964" s="45"/>
      <c r="N964" s="2"/>
      <c r="O964" s="2"/>
      <c r="P964" s="2"/>
      <c r="Q964" s="2"/>
      <c r="R964" s="2"/>
      <c r="S964" s="2"/>
      <c r="T964" s="2"/>
      <c r="U964" s="2"/>
      <c r="V964" s="2"/>
      <c r="W964" s="2"/>
      <c r="X964" s="2"/>
      <c r="Y964" s="2"/>
      <c r="Z964" s="2"/>
      <c r="AA964" s="2"/>
    </row>
    <row r="965" spans="1:27" ht="13.15">
      <c r="A965" s="12"/>
      <c r="B965" s="45"/>
      <c r="C965" s="45"/>
      <c r="D965" s="45"/>
      <c r="E965" s="45"/>
      <c r="F965" s="45"/>
      <c r="G965" s="45"/>
      <c r="H965" s="45"/>
      <c r="I965" s="45"/>
      <c r="J965" s="45"/>
      <c r="K965" s="45"/>
      <c r="L965" s="45"/>
      <c r="M965" s="45"/>
      <c r="N965" s="2"/>
      <c r="O965" s="2"/>
      <c r="P965" s="2"/>
      <c r="Q965" s="2"/>
      <c r="R965" s="2"/>
      <c r="S965" s="2"/>
      <c r="T965" s="2"/>
      <c r="U965" s="2"/>
      <c r="V965" s="2"/>
      <c r="W965" s="2"/>
      <c r="X965" s="2"/>
      <c r="Y965" s="2"/>
      <c r="Z965" s="2"/>
      <c r="AA965" s="2"/>
    </row>
    <row r="966" spans="1:27" ht="13.15">
      <c r="A966" s="12"/>
      <c r="B966" s="45"/>
      <c r="C966" s="45"/>
      <c r="D966" s="45"/>
      <c r="E966" s="45"/>
      <c r="F966" s="45"/>
      <c r="G966" s="45"/>
      <c r="H966" s="45"/>
      <c r="I966" s="45"/>
      <c r="J966" s="45"/>
      <c r="K966" s="45"/>
      <c r="L966" s="45"/>
      <c r="M966" s="45"/>
      <c r="N966" s="2"/>
      <c r="O966" s="2"/>
      <c r="P966" s="2"/>
      <c r="Q966" s="2"/>
      <c r="R966" s="2"/>
      <c r="S966" s="2"/>
      <c r="T966" s="2"/>
      <c r="U966" s="2"/>
      <c r="V966" s="2"/>
      <c r="W966" s="2"/>
      <c r="X966" s="2"/>
      <c r="Y966" s="2"/>
      <c r="Z966" s="2"/>
      <c r="AA966" s="2"/>
    </row>
    <row r="967" spans="1:27" ht="13.15">
      <c r="A967" s="12"/>
      <c r="B967" s="45"/>
      <c r="C967" s="45"/>
      <c r="D967" s="45"/>
      <c r="E967" s="45"/>
      <c r="F967" s="45"/>
      <c r="G967" s="45"/>
      <c r="H967" s="45"/>
      <c r="I967" s="45"/>
      <c r="J967" s="45"/>
      <c r="K967" s="45"/>
      <c r="L967" s="45"/>
      <c r="M967" s="45"/>
      <c r="N967" s="2"/>
      <c r="O967" s="2"/>
      <c r="P967" s="2"/>
      <c r="Q967" s="2"/>
      <c r="R967" s="2"/>
      <c r="S967" s="2"/>
      <c r="T967" s="2"/>
      <c r="U967" s="2"/>
      <c r="V967" s="2"/>
      <c r="W967" s="2"/>
      <c r="X967" s="2"/>
      <c r="Y967" s="2"/>
      <c r="Z967" s="2"/>
      <c r="AA967" s="2"/>
    </row>
    <row r="968" spans="1:27" ht="13.15">
      <c r="A968" s="12"/>
      <c r="B968" s="45"/>
      <c r="C968" s="45"/>
      <c r="D968" s="45"/>
      <c r="E968" s="45"/>
      <c r="F968" s="45"/>
      <c r="G968" s="45"/>
      <c r="H968" s="45"/>
      <c r="I968" s="45"/>
      <c r="J968" s="45"/>
      <c r="K968" s="45"/>
      <c r="L968" s="45"/>
      <c r="M968" s="45"/>
      <c r="N968" s="2"/>
      <c r="O968" s="2"/>
      <c r="P968" s="2"/>
      <c r="Q968" s="2"/>
      <c r="R968" s="2"/>
      <c r="S968" s="2"/>
      <c r="T968" s="2"/>
      <c r="U968" s="2"/>
      <c r="V968" s="2"/>
      <c r="W968" s="2"/>
      <c r="X968" s="2"/>
      <c r="Y968" s="2"/>
      <c r="Z968" s="2"/>
      <c r="AA968" s="2"/>
    </row>
    <row r="969" spans="1:27" ht="13.15">
      <c r="A969" s="12"/>
      <c r="B969" s="45"/>
      <c r="C969" s="45"/>
      <c r="D969" s="45"/>
      <c r="E969" s="45"/>
      <c r="F969" s="45"/>
      <c r="G969" s="45"/>
      <c r="H969" s="45"/>
      <c r="I969" s="45"/>
      <c r="J969" s="45"/>
      <c r="K969" s="45"/>
      <c r="L969" s="45"/>
      <c r="M969" s="45"/>
      <c r="N969" s="2"/>
      <c r="O969" s="2"/>
      <c r="P969" s="2"/>
      <c r="Q969" s="2"/>
      <c r="R969" s="2"/>
      <c r="S969" s="2"/>
      <c r="T969" s="2"/>
      <c r="U969" s="2"/>
      <c r="V969" s="2"/>
      <c r="W969" s="2"/>
      <c r="X969" s="2"/>
      <c r="Y969" s="2"/>
      <c r="Z969" s="2"/>
      <c r="AA969" s="2"/>
    </row>
    <row r="970" spans="1:27" ht="13.15">
      <c r="A970" s="12"/>
      <c r="B970" s="45"/>
      <c r="C970" s="45"/>
      <c r="D970" s="45"/>
      <c r="E970" s="45"/>
      <c r="F970" s="45"/>
      <c r="G970" s="45"/>
      <c r="H970" s="45"/>
      <c r="I970" s="45"/>
      <c r="J970" s="45"/>
      <c r="K970" s="45"/>
      <c r="L970" s="45"/>
      <c r="M970" s="45"/>
      <c r="N970" s="2"/>
      <c r="O970" s="2"/>
      <c r="P970" s="2"/>
      <c r="Q970" s="2"/>
      <c r="R970" s="2"/>
      <c r="S970" s="2"/>
      <c r="T970" s="2"/>
      <c r="U970" s="2"/>
      <c r="V970" s="2"/>
      <c r="W970" s="2"/>
      <c r="X970" s="2"/>
      <c r="Y970" s="2"/>
      <c r="Z970" s="2"/>
      <c r="AA970" s="2"/>
    </row>
    <row r="971" spans="1:27" ht="13.15">
      <c r="A971" s="12"/>
      <c r="B971" s="45"/>
      <c r="C971" s="45"/>
      <c r="D971" s="45"/>
      <c r="E971" s="45"/>
      <c r="F971" s="45"/>
      <c r="G971" s="45"/>
      <c r="H971" s="45"/>
      <c r="I971" s="45"/>
      <c r="J971" s="45"/>
      <c r="K971" s="45"/>
      <c r="L971" s="45"/>
      <c r="M971" s="45"/>
      <c r="N971" s="2"/>
      <c r="O971" s="2"/>
      <c r="P971" s="2"/>
      <c r="Q971" s="2"/>
      <c r="R971" s="2"/>
      <c r="S971" s="2"/>
      <c r="T971" s="2"/>
      <c r="U971" s="2"/>
      <c r="V971" s="2"/>
      <c r="W971" s="2"/>
      <c r="X971" s="2"/>
      <c r="Y971" s="2"/>
      <c r="Z971" s="2"/>
      <c r="AA971" s="2"/>
    </row>
    <row r="972" spans="1:27" ht="13.15">
      <c r="A972" s="12"/>
      <c r="B972" s="45"/>
      <c r="C972" s="45"/>
      <c r="D972" s="45"/>
      <c r="E972" s="45"/>
      <c r="F972" s="45"/>
      <c r="G972" s="45"/>
      <c r="H972" s="45"/>
      <c r="I972" s="45"/>
      <c r="J972" s="45"/>
      <c r="K972" s="45"/>
      <c r="L972" s="45"/>
      <c r="M972" s="45"/>
      <c r="N972" s="2"/>
      <c r="O972" s="2"/>
      <c r="P972" s="2"/>
      <c r="Q972" s="2"/>
      <c r="R972" s="2"/>
      <c r="S972" s="2"/>
      <c r="T972" s="2"/>
      <c r="U972" s="2"/>
      <c r="V972" s="2"/>
      <c r="W972" s="2"/>
      <c r="X972" s="2"/>
      <c r="Y972" s="2"/>
      <c r="Z972" s="2"/>
      <c r="AA972" s="2"/>
    </row>
    <row r="973" spans="1:27" ht="13.15">
      <c r="A973" s="12"/>
      <c r="B973" s="45"/>
      <c r="C973" s="45"/>
      <c r="D973" s="45"/>
      <c r="E973" s="45"/>
      <c r="F973" s="45"/>
      <c r="G973" s="45"/>
      <c r="H973" s="45"/>
      <c r="I973" s="45"/>
      <c r="J973" s="45"/>
      <c r="K973" s="45"/>
      <c r="L973" s="45"/>
      <c r="M973" s="45"/>
      <c r="N973" s="2"/>
      <c r="O973" s="2"/>
      <c r="P973" s="2"/>
      <c r="Q973" s="2"/>
      <c r="R973" s="2"/>
      <c r="S973" s="2"/>
      <c r="T973" s="2"/>
      <c r="U973" s="2"/>
      <c r="V973" s="2"/>
      <c r="W973" s="2"/>
      <c r="X973" s="2"/>
      <c r="Y973" s="2"/>
      <c r="Z973" s="2"/>
      <c r="AA973" s="2"/>
    </row>
    <row r="974" spans="1:27" ht="13.15">
      <c r="A974" s="12"/>
      <c r="B974" s="45"/>
      <c r="C974" s="45"/>
      <c r="D974" s="45"/>
      <c r="E974" s="45"/>
      <c r="F974" s="45"/>
      <c r="G974" s="45"/>
      <c r="H974" s="45"/>
      <c r="I974" s="45"/>
      <c r="J974" s="45"/>
      <c r="K974" s="45"/>
      <c r="L974" s="45"/>
      <c r="M974" s="45"/>
      <c r="N974" s="2"/>
      <c r="O974" s="2"/>
      <c r="P974" s="2"/>
      <c r="Q974" s="2"/>
      <c r="R974" s="2"/>
      <c r="S974" s="2"/>
      <c r="T974" s="2"/>
      <c r="U974" s="2"/>
      <c r="V974" s="2"/>
      <c r="W974" s="2"/>
      <c r="X974" s="2"/>
      <c r="Y974" s="2"/>
      <c r="Z974" s="2"/>
      <c r="AA974" s="2"/>
    </row>
    <row r="975" spans="1:27" ht="13.15">
      <c r="A975" s="12"/>
      <c r="B975" s="45"/>
      <c r="C975" s="45"/>
      <c r="D975" s="45"/>
      <c r="E975" s="45"/>
      <c r="F975" s="45"/>
      <c r="G975" s="45"/>
      <c r="H975" s="45"/>
      <c r="I975" s="45"/>
      <c r="J975" s="45"/>
      <c r="K975" s="45"/>
      <c r="L975" s="45"/>
      <c r="M975" s="45"/>
      <c r="N975" s="2"/>
      <c r="O975" s="2"/>
      <c r="P975" s="2"/>
      <c r="Q975" s="2"/>
      <c r="R975" s="2"/>
      <c r="S975" s="2"/>
      <c r="T975" s="2"/>
      <c r="U975" s="2"/>
      <c r="V975" s="2"/>
      <c r="W975" s="2"/>
      <c r="X975" s="2"/>
      <c r="Y975" s="2"/>
      <c r="Z975" s="2"/>
      <c r="AA975" s="2"/>
    </row>
    <row r="976" spans="1:27" ht="13.15">
      <c r="A976" s="12"/>
      <c r="B976" s="45"/>
      <c r="C976" s="45"/>
      <c r="D976" s="45"/>
      <c r="E976" s="45"/>
      <c r="F976" s="45"/>
      <c r="G976" s="45"/>
      <c r="H976" s="45"/>
      <c r="I976" s="45"/>
      <c r="J976" s="45"/>
      <c r="K976" s="45"/>
      <c r="L976" s="45"/>
      <c r="M976" s="45"/>
      <c r="N976" s="2"/>
      <c r="O976" s="2"/>
      <c r="P976" s="2"/>
      <c r="Q976" s="2"/>
      <c r="R976" s="2"/>
      <c r="S976" s="2"/>
      <c r="T976" s="2"/>
      <c r="U976" s="2"/>
      <c r="V976" s="2"/>
      <c r="W976" s="2"/>
      <c r="X976" s="2"/>
      <c r="Y976" s="2"/>
      <c r="Z976" s="2"/>
      <c r="AA976" s="2"/>
    </row>
    <row r="977" spans="1:27" ht="13.15">
      <c r="A977" s="12"/>
      <c r="B977" s="45"/>
      <c r="C977" s="45"/>
      <c r="D977" s="45"/>
      <c r="E977" s="45"/>
      <c r="F977" s="45"/>
      <c r="G977" s="45"/>
      <c r="H977" s="45"/>
      <c r="I977" s="45"/>
      <c r="J977" s="45"/>
      <c r="K977" s="45"/>
      <c r="L977" s="45"/>
      <c r="M977" s="45"/>
      <c r="N977" s="2"/>
      <c r="O977" s="2"/>
      <c r="P977" s="2"/>
      <c r="Q977" s="2"/>
      <c r="R977" s="2"/>
      <c r="S977" s="2"/>
      <c r="T977" s="2"/>
      <c r="U977" s="2"/>
      <c r="V977" s="2"/>
      <c r="W977" s="2"/>
      <c r="X977" s="2"/>
      <c r="Y977" s="2"/>
      <c r="Z977" s="2"/>
      <c r="AA977" s="2"/>
    </row>
    <row r="978" spans="1:27" ht="13.15">
      <c r="A978" s="12"/>
      <c r="B978" s="45"/>
      <c r="C978" s="45"/>
      <c r="D978" s="45"/>
      <c r="E978" s="45"/>
      <c r="F978" s="45"/>
      <c r="G978" s="45"/>
      <c r="H978" s="45"/>
      <c r="I978" s="45"/>
      <c r="J978" s="45"/>
      <c r="K978" s="45"/>
      <c r="L978" s="45"/>
      <c r="M978" s="45"/>
      <c r="N978" s="2"/>
      <c r="O978" s="2"/>
      <c r="P978" s="2"/>
      <c r="Q978" s="2"/>
      <c r="R978" s="2"/>
      <c r="S978" s="2"/>
      <c r="T978" s="2"/>
      <c r="U978" s="2"/>
      <c r="V978" s="2"/>
      <c r="W978" s="2"/>
      <c r="X978" s="2"/>
      <c r="Y978" s="2"/>
      <c r="Z978" s="2"/>
      <c r="AA978" s="2"/>
    </row>
    <row r="979" spans="1:27" ht="13.15">
      <c r="A979" s="12"/>
      <c r="B979" s="45"/>
      <c r="C979" s="45"/>
      <c r="D979" s="45"/>
      <c r="E979" s="45"/>
      <c r="F979" s="45"/>
      <c r="G979" s="45"/>
      <c r="H979" s="45"/>
      <c r="I979" s="45"/>
      <c r="J979" s="45"/>
      <c r="K979" s="45"/>
      <c r="L979" s="45"/>
      <c r="M979" s="45"/>
      <c r="N979" s="2"/>
      <c r="O979" s="2"/>
      <c r="P979" s="2"/>
      <c r="Q979" s="2"/>
      <c r="R979" s="2"/>
      <c r="S979" s="2"/>
      <c r="T979" s="2"/>
      <c r="U979" s="2"/>
      <c r="V979" s="2"/>
      <c r="W979" s="2"/>
      <c r="X979" s="2"/>
      <c r="Y979" s="2"/>
      <c r="Z979" s="2"/>
      <c r="AA979" s="2"/>
    </row>
    <row r="980" spans="1:27" ht="13.15">
      <c r="A980" s="12"/>
      <c r="B980" s="45"/>
      <c r="C980" s="45"/>
      <c r="D980" s="45"/>
      <c r="E980" s="45"/>
      <c r="F980" s="45"/>
      <c r="G980" s="45"/>
      <c r="H980" s="45"/>
      <c r="I980" s="45"/>
      <c r="J980" s="45"/>
      <c r="K980" s="45"/>
      <c r="L980" s="45"/>
      <c r="M980" s="45"/>
      <c r="N980" s="2"/>
      <c r="O980" s="2"/>
      <c r="P980" s="2"/>
      <c r="Q980" s="2"/>
      <c r="R980" s="2"/>
      <c r="S980" s="2"/>
      <c r="T980" s="2"/>
      <c r="U980" s="2"/>
      <c r="V980" s="2"/>
      <c r="W980" s="2"/>
      <c r="X980" s="2"/>
      <c r="Y980" s="2"/>
      <c r="Z980" s="2"/>
      <c r="AA980" s="2"/>
    </row>
    <row r="981" spans="1:27" ht="13.15">
      <c r="A981" s="12"/>
      <c r="B981" s="45"/>
      <c r="C981" s="45"/>
      <c r="D981" s="45"/>
      <c r="E981" s="45"/>
      <c r="F981" s="45"/>
      <c r="G981" s="45"/>
      <c r="H981" s="45"/>
      <c r="I981" s="45"/>
      <c r="J981" s="45"/>
      <c r="K981" s="45"/>
      <c r="L981" s="45"/>
      <c r="M981" s="45"/>
      <c r="N981" s="2"/>
      <c r="O981" s="2"/>
      <c r="P981" s="2"/>
      <c r="Q981" s="2"/>
      <c r="R981" s="2"/>
      <c r="S981" s="2"/>
      <c r="T981" s="2"/>
      <c r="U981" s="2"/>
      <c r="V981" s="2"/>
      <c r="W981" s="2"/>
      <c r="X981" s="2"/>
      <c r="Y981" s="2"/>
      <c r="Z981" s="2"/>
      <c r="AA981" s="2"/>
    </row>
    <row r="982" spans="1:27" ht="13.15">
      <c r="A982" s="12"/>
      <c r="B982" s="45"/>
      <c r="C982" s="45"/>
      <c r="D982" s="45"/>
      <c r="E982" s="45"/>
      <c r="F982" s="45"/>
      <c r="G982" s="45"/>
      <c r="H982" s="45"/>
      <c r="I982" s="45"/>
      <c r="J982" s="45"/>
      <c r="K982" s="45"/>
      <c r="L982" s="45"/>
      <c r="M982" s="45"/>
      <c r="N982" s="2"/>
      <c r="O982" s="2"/>
      <c r="P982" s="2"/>
      <c r="Q982" s="2"/>
      <c r="R982" s="2"/>
      <c r="S982" s="2"/>
      <c r="T982" s="2"/>
      <c r="U982" s="2"/>
      <c r="V982" s="2"/>
      <c r="W982" s="2"/>
      <c r="X982" s="2"/>
      <c r="Y982" s="2"/>
      <c r="Z982" s="2"/>
      <c r="AA982" s="2"/>
    </row>
    <row r="983" spans="1:27" ht="13.15">
      <c r="A983" s="12"/>
      <c r="B983" s="45"/>
      <c r="C983" s="45"/>
      <c r="D983" s="45"/>
      <c r="E983" s="45"/>
      <c r="F983" s="45"/>
      <c r="G983" s="45"/>
      <c r="H983" s="45"/>
      <c r="I983" s="45"/>
      <c r="J983" s="45"/>
      <c r="K983" s="45"/>
      <c r="L983" s="45"/>
      <c r="M983" s="45"/>
      <c r="N983" s="2"/>
      <c r="O983" s="2"/>
      <c r="P983" s="2"/>
      <c r="Q983" s="2"/>
      <c r="R983" s="2"/>
      <c r="S983" s="2"/>
      <c r="T983" s="2"/>
      <c r="U983" s="2"/>
      <c r="V983" s="2"/>
      <c r="W983" s="2"/>
      <c r="X983" s="2"/>
      <c r="Y983" s="2"/>
      <c r="Z983" s="2"/>
      <c r="AA983" s="2"/>
    </row>
    <row r="984" spans="1:27" ht="13.15">
      <c r="A984" s="12"/>
      <c r="B984" s="45"/>
      <c r="C984" s="45"/>
      <c r="D984" s="45"/>
      <c r="E984" s="45"/>
      <c r="F984" s="45"/>
      <c r="G984" s="45"/>
      <c r="H984" s="45"/>
      <c r="I984" s="45"/>
      <c r="J984" s="45"/>
      <c r="K984" s="45"/>
      <c r="L984" s="45"/>
      <c r="M984" s="45"/>
      <c r="N984" s="2"/>
      <c r="O984" s="2"/>
      <c r="P984" s="2"/>
      <c r="Q984" s="2"/>
      <c r="R984" s="2"/>
      <c r="S984" s="2"/>
      <c r="T984" s="2"/>
      <c r="U984" s="2"/>
      <c r="V984" s="2"/>
      <c r="W984" s="2"/>
      <c r="X984" s="2"/>
      <c r="Y984" s="2"/>
      <c r="Z984" s="2"/>
      <c r="AA984" s="2"/>
    </row>
    <row r="985" spans="1:27" ht="13.15">
      <c r="A985" s="12"/>
      <c r="B985" s="45"/>
      <c r="C985" s="45"/>
      <c r="D985" s="45"/>
      <c r="E985" s="45"/>
      <c r="F985" s="45"/>
      <c r="G985" s="45"/>
      <c r="H985" s="45"/>
      <c r="I985" s="45"/>
      <c r="J985" s="45"/>
      <c r="K985" s="45"/>
      <c r="L985" s="45"/>
      <c r="M985" s="45"/>
      <c r="N985" s="2"/>
      <c r="O985" s="2"/>
      <c r="P985" s="2"/>
      <c r="Q985" s="2"/>
      <c r="R985" s="2"/>
      <c r="S985" s="2"/>
      <c r="T985" s="2"/>
      <c r="U985" s="2"/>
      <c r="V985" s="2"/>
      <c r="W985" s="2"/>
      <c r="X985" s="2"/>
      <c r="Y985" s="2"/>
      <c r="Z985" s="2"/>
      <c r="AA985" s="2"/>
    </row>
    <row r="986" spans="1:27" ht="13.15">
      <c r="A986" s="12"/>
      <c r="B986" s="45"/>
      <c r="C986" s="45"/>
      <c r="D986" s="45"/>
      <c r="E986" s="45"/>
      <c r="F986" s="45"/>
      <c r="G986" s="45"/>
      <c r="H986" s="45"/>
      <c r="I986" s="45"/>
      <c r="J986" s="45"/>
      <c r="K986" s="45"/>
      <c r="L986" s="45"/>
      <c r="M986" s="45"/>
      <c r="N986" s="2"/>
      <c r="O986" s="2"/>
      <c r="P986" s="2"/>
      <c r="Q986" s="2"/>
      <c r="R986" s="2"/>
      <c r="S986" s="2"/>
      <c r="T986" s="2"/>
      <c r="U986" s="2"/>
      <c r="V986" s="2"/>
      <c r="W986" s="2"/>
      <c r="X986" s="2"/>
      <c r="Y986" s="2"/>
      <c r="Z986" s="2"/>
      <c r="AA986" s="2"/>
    </row>
    <row r="987" spans="1:27" ht="13.15">
      <c r="A987" s="12"/>
      <c r="B987" s="45"/>
      <c r="C987" s="45"/>
      <c r="D987" s="45"/>
      <c r="E987" s="45"/>
      <c r="F987" s="45"/>
      <c r="G987" s="45"/>
      <c r="H987" s="45"/>
      <c r="I987" s="45"/>
      <c r="J987" s="45"/>
      <c r="K987" s="45"/>
      <c r="L987" s="45"/>
      <c r="M987" s="45"/>
      <c r="N987" s="2"/>
      <c r="O987" s="2"/>
      <c r="P987" s="2"/>
      <c r="Q987" s="2"/>
      <c r="R987" s="2"/>
      <c r="S987" s="2"/>
      <c r="T987" s="2"/>
      <c r="U987" s="2"/>
      <c r="V987" s="2"/>
      <c r="W987" s="2"/>
      <c r="X987" s="2"/>
      <c r="Y987" s="2"/>
      <c r="Z987" s="2"/>
      <c r="AA987" s="2"/>
    </row>
    <row r="988" spans="1:27" ht="13.15">
      <c r="A988" s="12"/>
      <c r="B988" s="45"/>
      <c r="C988" s="45"/>
      <c r="D988" s="45"/>
      <c r="E988" s="45"/>
      <c r="F988" s="45"/>
      <c r="G988" s="45"/>
      <c r="H988" s="45"/>
      <c r="I988" s="45"/>
      <c r="J988" s="45"/>
      <c r="K988" s="45"/>
      <c r="L988" s="45"/>
      <c r="M988" s="45"/>
      <c r="N988" s="2"/>
      <c r="O988" s="2"/>
      <c r="P988" s="2"/>
      <c r="Q988" s="2"/>
      <c r="R988" s="2"/>
      <c r="S988" s="2"/>
      <c r="T988" s="2"/>
      <c r="U988" s="2"/>
      <c r="V988" s="2"/>
      <c r="W988" s="2"/>
      <c r="X988" s="2"/>
      <c r="Y988" s="2"/>
      <c r="Z988" s="2"/>
      <c r="AA988" s="2"/>
    </row>
    <row r="989" spans="1:27" ht="13.15">
      <c r="A989" s="12"/>
      <c r="B989" s="45"/>
      <c r="C989" s="45"/>
      <c r="D989" s="45"/>
      <c r="E989" s="45"/>
      <c r="F989" s="45"/>
      <c r="G989" s="45"/>
      <c r="H989" s="45"/>
      <c r="I989" s="45"/>
      <c r="J989" s="45"/>
      <c r="K989" s="45"/>
      <c r="L989" s="45"/>
      <c r="M989" s="45"/>
      <c r="N989" s="2"/>
      <c r="O989" s="2"/>
      <c r="P989" s="2"/>
      <c r="Q989" s="2"/>
      <c r="R989" s="2"/>
      <c r="S989" s="2"/>
      <c r="T989" s="2"/>
      <c r="U989" s="2"/>
      <c r="V989" s="2"/>
      <c r="W989" s="2"/>
      <c r="X989" s="2"/>
      <c r="Y989" s="2"/>
      <c r="Z989" s="2"/>
      <c r="AA989" s="2"/>
    </row>
    <row r="990" spans="1:27" ht="13.15">
      <c r="A990" s="12"/>
      <c r="B990" s="45"/>
      <c r="C990" s="45"/>
      <c r="D990" s="45"/>
      <c r="E990" s="45"/>
      <c r="F990" s="45"/>
      <c r="G990" s="45"/>
      <c r="H990" s="45"/>
      <c r="I990" s="45"/>
      <c r="J990" s="45"/>
      <c r="K990" s="45"/>
      <c r="L990" s="45"/>
      <c r="M990" s="45"/>
      <c r="N990" s="2"/>
      <c r="O990" s="2"/>
      <c r="P990" s="2"/>
      <c r="Q990" s="2"/>
      <c r="R990" s="2"/>
      <c r="S990" s="2"/>
      <c r="T990" s="2"/>
      <c r="U990" s="2"/>
      <c r="V990" s="2"/>
      <c r="W990" s="2"/>
      <c r="X990" s="2"/>
      <c r="Y990" s="2"/>
      <c r="Z990" s="2"/>
      <c r="AA990" s="2"/>
    </row>
    <row r="991" spans="1:27" ht="13.15">
      <c r="A991" s="12"/>
      <c r="B991" s="45"/>
      <c r="C991" s="45"/>
      <c r="D991" s="45"/>
      <c r="E991" s="45"/>
      <c r="F991" s="45"/>
      <c r="G991" s="45"/>
      <c r="H991" s="45"/>
      <c r="I991" s="45"/>
      <c r="J991" s="45"/>
      <c r="K991" s="45"/>
      <c r="L991" s="45"/>
      <c r="M991" s="45"/>
      <c r="N991" s="2"/>
      <c r="O991" s="2"/>
      <c r="P991" s="2"/>
      <c r="Q991" s="2"/>
      <c r="R991" s="2"/>
      <c r="S991" s="2"/>
      <c r="T991" s="2"/>
      <c r="U991" s="2"/>
      <c r="V991" s="2"/>
      <c r="W991" s="2"/>
      <c r="X991" s="2"/>
      <c r="Y991" s="2"/>
      <c r="Z991" s="2"/>
      <c r="AA991" s="2"/>
    </row>
    <row r="992" spans="1:27" ht="13.15">
      <c r="A992" s="12"/>
      <c r="B992" s="45"/>
      <c r="C992" s="45"/>
      <c r="D992" s="45"/>
      <c r="E992" s="45"/>
      <c r="F992" s="45"/>
      <c r="G992" s="45"/>
      <c r="H992" s="45"/>
      <c r="I992" s="45"/>
      <c r="J992" s="45"/>
      <c r="K992" s="45"/>
      <c r="L992" s="45"/>
      <c r="M992" s="45"/>
      <c r="N992" s="2"/>
      <c r="O992" s="2"/>
      <c r="P992" s="2"/>
      <c r="Q992" s="2"/>
      <c r="R992" s="2"/>
      <c r="S992" s="2"/>
      <c r="T992" s="2"/>
      <c r="U992" s="2"/>
      <c r="V992" s="2"/>
      <c r="W992" s="2"/>
      <c r="X992" s="2"/>
      <c r="Y992" s="2"/>
      <c r="Z992" s="2"/>
      <c r="AA992" s="2"/>
    </row>
    <row r="993" spans="1:27" ht="13.15">
      <c r="A993" s="12"/>
      <c r="B993" s="45"/>
      <c r="C993" s="45"/>
      <c r="D993" s="45"/>
      <c r="E993" s="45"/>
      <c r="F993" s="45"/>
      <c r="G993" s="45"/>
      <c r="H993" s="45"/>
      <c r="I993" s="45"/>
      <c r="J993" s="45"/>
      <c r="K993" s="45"/>
      <c r="L993" s="45"/>
      <c r="M993" s="45"/>
      <c r="N993" s="2"/>
      <c r="O993" s="2"/>
      <c r="P993" s="2"/>
      <c r="Q993" s="2"/>
      <c r="R993" s="2"/>
      <c r="S993" s="2"/>
      <c r="T993" s="2"/>
      <c r="U993" s="2"/>
      <c r="V993" s="2"/>
      <c r="W993" s="2"/>
      <c r="X993" s="2"/>
      <c r="Y993" s="2"/>
      <c r="Z993" s="2"/>
      <c r="AA993" s="2"/>
    </row>
    <row r="994" spans="1:27" ht="13.15">
      <c r="A994" s="12"/>
      <c r="B994" s="45"/>
      <c r="C994" s="45"/>
      <c r="D994" s="45"/>
      <c r="E994" s="45"/>
      <c r="F994" s="45"/>
      <c r="G994" s="45"/>
      <c r="H994" s="45"/>
      <c r="I994" s="45"/>
      <c r="J994" s="45"/>
      <c r="K994" s="45"/>
      <c r="L994" s="45"/>
      <c r="M994" s="45"/>
      <c r="N994" s="2"/>
      <c r="O994" s="2"/>
      <c r="P994" s="2"/>
      <c r="Q994" s="2"/>
      <c r="R994" s="2"/>
      <c r="S994" s="2"/>
      <c r="T994" s="2"/>
      <c r="U994" s="2"/>
      <c r="V994" s="2"/>
      <c r="W994" s="2"/>
      <c r="X994" s="2"/>
      <c r="Y994" s="2"/>
      <c r="Z994" s="2"/>
      <c r="AA994" s="2"/>
    </row>
    <row r="995" spans="1:27" ht="13.15">
      <c r="A995" s="12"/>
      <c r="B995" s="45"/>
      <c r="C995" s="45"/>
      <c r="D995" s="45"/>
      <c r="E995" s="45"/>
      <c r="F995" s="45"/>
      <c r="G995" s="45"/>
      <c r="H995" s="45"/>
      <c r="I995" s="45"/>
      <c r="J995" s="45"/>
      <c r="K995" s="45"/>
      <c r="L995" s="45"/>
      <c r="M995" s="45"/>
      <c r="N995" s="2"/>
      <c r="O995" s="2"/>
      <c r="P995" s="2"/>
      <c r="Q995" s="2"/>
      <c r="R995" s="2"/>
      <c r="S995" s="2"/>
      <c r="T995" s="2"/>
      <c r="U995" s="2"/>
      <c r="V995" s="2"/>
      <c r="W995" s="2"/>
      <c r="X995" s="2"/>
      <c r="Y995" s="2"/>
      <c r="Z995" s="2"/>
      <c r="AA995" s="2"/>
    </row>
    <row r="996" spans="1:27" ht="13.15">
      <c r="A996" s="12"/>
      <c r="B996" s="45"/>
      <c r="C996" s="45"/>
      <c r="D996" s="45"/>
      <c r="E996" s="45"/>
      <c r="F996" s="45"/>
      <c r="G996" s="45"/>
      <c r="H996" s="45"/>
      <c r="I996" s="45"/>
      <c r="J996" s="45"/>
      <c r="K996" s="45"/>
      <c r="L996" s="45"/>
      <c r="M996" s="45"/>
      <c r="N996" s="2"/>
      <c r="O996" s="2"/>
      <c r="P996" s="2"/>
      <c r="Q996" s="2"/>
      <c r="R996" s="2"/>
      <c r="S996" s="2"/>
      <c r="T996" s="2"/>
      <c r="U996" s="2"/>
      <c r="V996" s="2"/>
      <c r="W996" s="2"/>
      <c r="X996" s="2"/>
      <c r="Y996" s="2"/>
      <c r="Z996" s="2"/>
      <c r="AA996" s="2"/>
    </row>
    <row r="997" spans="1:27" ht="13.15">
      <c r="A997" s="12"/>
      <c r="B997" s="45"/>
      <c r="C997" s="45"/>
      <c r="D997" s="45"/>
      <c r="E997" s="45"/>
      <c r="F997" s="45"/>
      <c r="G997" s="45"/>
      <c r="H997" s="45"/>
      <c r="I997" s="45"/>
      <c r="J997" s="45"/>
      <c r="K997" s="45"/>
      <c r="L997" s="45"/>
      <c r="M997" s="45"/>
      <c r="N997" s="2"/>
      <c r="O997" s="2"/>
      <c r="P997" s="2"/>
      <c r="Q997" s="2"/>
      <c r="R997" s="2"/>
      <c r="S997" s="2"/>
      <c r="T997" s="2"/>
      <c r="U997" s="2"/>
      <c r="V997" s="2"/>
      <c r="W997" s="2"/>
      <c r="X997" s="2"/>
      <c r="Y997" s="2"/>
      <c r="Z997" s="2"/>
      <c r="AA997" s="2"/>
    </row>
    <row r="998" spans="1:27" ht="13.15">
      <c r="A998" s="12"/>
      <c r="B998" s="45"/>
      <c r="C998" s="45"/>
      <c r="D998" s="45"/>
      <c r="E998" s="45"/>
      <c r="F998" s="45"/>
      <c r="G998" s="45"/>
      <c r="H998" s="45"/>
      <c r="I998" s="45"/>
      <c r="J998" s="45"/>
      <c r="K998" s="45"/>
      <c r="L998" s="45"/>
      <c r="M998" s="45"/>
      <c r="N998" s="2"/>
      <c r="O998" s="2"/>
      <c r="P998" s="2"/>
      <c r="Q998" s="2"/>
      <c r="R998" s="2"/>
      <c r="S998" s="2"/>
      <c r="T998" s="2"/>
      <c r="U998" s="2"/>
      <c r="V998" s="2"/>
      <c r="W998" s="2"/>
      <c r="X998" s="2"/>
      <c r="Y998" s="2"/>
      <c r="Z998" s="2"/>
      <c r="AA998" s="2"/>
    </row>
    <row r="999" spans="1:27" ht="13.15">
      <c r="A999" s="12"/>
      <c r="B999" s="45"/>
      <c r="C999" s="45"/>
      <c r="D999" s="45"/>
      <c r="E999" s="45"/>
      <c r="F999" s="45"/>
      <c r="G999" s="45"/>
      <c r="H999" s="45"/>
      <c r="I999" s="45"/>
      <c r="J999" s="45"/>
      <c r="K999" s="45"/>
      <c r="L999" s="45"/>
      <c r="M999" s="45"/>
      <c r="N999" s="2"/>
      <c r="O999" s="2"/>
      <c r="P999" s="2"/>
      <c r="Q999" s="2"/>
      <c r="R999" s="2"/>
      <c r="S999" s="2"/>
      <c r="T999" s="2"/>
      <c r="U999" s="2"/>
      <c r="V999" s="2"/>
      <c r="W999" s="2"/>
      <c r="X999" s="2"/>
      <c r="Y999" s="2"/>
      <c r="Z999" s="2"/>
      <c r="AA999" s="2"/>
    </row>
    <row r="1000" spans="1:27" ht="13.15">
      <c r="A1000" s="12"/>
      <c r="B1000" s="45"/>
      <c r="C1000" s="45"/>
      <c r="D1000" s="45"/>
      <c r="E1000" s="45"/>
      <c r="F1000" s="45"/>
      <c r="G1000" s="45"/>
      <c r="H1000" s="45"/>
      <c r="I1000" s="45"/>
      <c r="J1000" s="45"/>
      <c r="K1000" s="45"/>
      <c r="L1000" s="45"/>
      <c r="M1000" s="45"/>
      <c r="N1000" s="2"/>
      <c r="O1000" s="2"/>
      <c r="P1000" s="2"/>
      <c r="Q1000" s="2"/>
      <c r="R1000" s="2"/>
      <c r="S1000" s="2"/>
      <c r="T1000" s="2"/>
      <c r="U1000" s="2"/>
      <c r="V1000" s="2"/>
      <c r="W1000" s="2"/>
      <c r="X1000" s="2"/>
      <c r="Y1000" s="2"/>
      <c r="Z1000" s="2"/>
      <c r="AA1000" s="2"/>
    </row>
  </sheetData>
  <autoFilter ref="S1:U1000" xr:uid="{00000000-0009-0000-0000-000000000000}"/>
  <mergeCells count="107">
    <mergeCell ref="B16:C16"/>
    <mergeCell ref="D16:E16"/>
    <mergeCell ref="F16:G16"/>
    <mergeCell ref="B17:C20"/>
    <mergeCell ref="D17:G20"/>
    <mergeCell ref="B32:G32"/>
    <mergeCell ref="B33:G39"/>
    <mergeCell ref="B43:G47"/>
    <mergeCell ref="L19:M19"/>
    <mergeCell ref="L20:M20"/>
    <mergeCell ref="B21:M22"/>
    <mergeCell ref="J23:M23"/>
    <mergeCell ref="H8:M9"/>
    <mergeCell ref="B8:G9"/>
    <mergeCell ref="B10:G10"/>
    <mergeCell ref="I10:J10"/>
    <mergeCell ref="B11:C11"/>
    <mergeCell ref="D11:E11"/>
    <mergeCell ref="F11:G11"/>
    <mergeCell ref="I11:J11"/>
    <mergeCell ref="B12:C12"/>
    <mergeCell ref="D12:E12"/>
    <mergeCell ref="F12:G12"/>
    <mergeCell ref="I12:J12"/>
    <mergeCell ref="B1:M3"/>
    <mergeCell ref="C4:C5"/>
    <mergeCell ref="D4:E5"/>
    <mergeCell ref="F4:F5"/>
    <mergeCell ref="G4:H5"/>
    <mergeCell ref="I4:I5"/>
    <mergeCell ref="J4:K5"/>
    <mergeCell ref="B6:C7"/>
    <mergeCell ref="D6:E7"/>
    <mergeCell ref="F6:G7"/>
    <mergeCell ref="H6:I7"/>
    <mergeCell ref="J6:K7"/>
    <mergeCell ref="L6:M7"/>
    <mergeCell ref="F69:I69"/>
    <mergeCell ref="J69:M69"/>
    <mergeCell ref="B70:E79"/>
    <mergeCell ref="F70:I79"/>
    <mergeCell ref="J70:M79"/>
    <mergeCell ref="C57:E57"/>
    <mergeCell ref="F57:G57"/>
    <mergeCell ref="B58:G58"/>
    <mergeCell ref="H58:M58"/>
    <mergeCell ref="B59:G68"/>
    <mergeCell ref="H59:M68"/>
    <mergeCell ref="B69:E69"/>
    <mergeCell ref="C50:E50"/>
    <mergeCell ref="F50:G50"/>
    <mergeCell ref="J50:K50"/>
    <mergeCell ref="F51:G51"/>
    <mergeCell ref="J51:K51"/>
    <mergeCell ref="J55:K55"/>
    <mergeCell ref="J56:K56"/>
    <mergeCell ref="J57:K57"/>
    <mergeCell ref="C54:E54"/>
    <mergeCell ref="F54:G54"/>
    <mergeCell ref="J54:K54"/>
    <mergeCell ref="C55:E55"/>
    <mergeCell ref="F55:G55"/>
    <mergeCell ref="C56:E56"/>
    <mergeCell ref="F56:G56"/>
    <mergeCell ref="C51:E51"/>
    <mergeCell ref="C52:E52"/>
    <mergeCell ref="F52:G52"/>
    <mergeCell ref="J52:K52"/>
    <mergeCell ref="C53:E53"/>
    <mergeCell ref="F53:G53"/>
    <mergeCell ref="J53:K53"/>
    <mergeCell ref="H32:M32"/>
    <mergeCell ref="H33:M39"/>
    <mergeCell ref="B40:M41"/>
    <mergeCell ref="B42:G42"/>
    <mergeCell ref="H42:M42"/>
    <mergeCell ref="H43:J43"/>
    <mergeCell ref="K43:M43"/>
    <mergeCell ref="H44:M47"/>
    <mergeCell ref="B48:M49"/>
    <mergeCell ref="B13:C13"/>
    <mergeCell ref="B14:C14"/>
    <mergeCell ref="D14:E14"/>
    <mergeCell ref="F14:G14"/>
    <mergeCell ref="B15:C15"/>
    <mergeCell ref="D15:E15"/>
    <mergeCell ref="F15:G15"/>
    <mergeCell ref="I14:J14"/>
    <mergeCell ref="I15:J15"/>
    <mergeCell ref="D13:E13"/>
    <mergeCell ref="F13:G13"/>
    <mergeCell ref="I13:J13"/>
    <mergeCell ref="L17:M17"/>
    <mergeCell ref="L18:M18"/>
    <mergeCell ref="J24:M31"/>
    <mergeCell ref="L10:M10"/>
    <mergeCell ref="L11:M11"/>
    <mergeCell ref="L12:M12"/>
    <mergeCell ref="L13:M13"/>
    <mergeCell ref="L14:M14"/>
    <mergeCell ref="L15:M15"/>
    <mergeCell ref="L16:M16"/>
    <mergeCell ref="I16:J16"/>
    <mergeCell ref="I17:J17"/>
    <mergeCell ref="I18:J18"/>
    <mergeCell ref="I19:J19"/>
    <mergeCell ref="I20:J20"/>
  </mergeCells>
  <conditionalFormatting sqref="H6:I7">
    <cfRule type="cellIs" dxfId="4" priority="1" operator="equal">
      <formula>"YSRCP"</formula>
    </cfRule>
    <cfRule type="cellIs" dxfId="3" priority="2" operator="equal">
      <formula>"TDP"</formula>
    </cfRule>
  </conditionalFormatting>
  <conditionalFormatting sqref="L6:M7">
    <cfRule type="cellIs" dxfId="2" priority="3" operator="equal">
      <formula>"Battleground"</formula>
    </cfRule>
    <cfRule type="cellIs" dxfId="1" priority="4" operator="equal">
      <formula>"Favourable"</formula>
    </cfRule>
    <cfRule type="cellIs" dxfId="0" priority="5" operator="equal">
      <formula>"Difficult"</formula>
    </cfRule>
  </conditionalFormatting>
  <dataValidations count="3">
    <dataValidation type="list" allowBlank="1" showErrorMessage="1" sqref="J4" xr:uid="{00000000-0002-0000-0000-000000000000}">
      <formula1>$U$2:$U1000</formula1>
    </dataValidation>
    <dataValidation type="list" allowBlank="1" showErrorMessage="1" sqref="D4" xr:uid="{00000000-0002-0000-0000-000001000000}">
      <formula1>$S$2:$S$21</formula1>
    </dataValidation>
    <dataValidation type="list" allowBlank="1" showErrorMessage="1" sqref="G4" xr:uid="{00000000-0002-0000-0000-000002000000}">
      <formula1>$T$2:$T1000</formula1>
    </dataValidation>
  </dataValidations>
  <printOptions horizontalCentered="1" gridLines="1"/>
  <pageMargins left="0.7" right="0.7" top="0.75" bottom="0.75" header="0" footer="0"/>
  <pageSetup fitToWidth="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59765625" defaultRowHeight="15.75" customHeight="1"/>
  <sheetData>
    <row r="1" spans="1:29">
      <c r="A1" s="46" t="s">
        <v>0</v>
      </c>
      <c r="B1" s="46" t="s">
        <v>1</v>
      </c>
      <c r="C1" s="47"/>
      <c r="D1" s="46" t="s">
        <v>66</v>
      </c>
      <c r="E1" s="46" t="s">
        <v>67</v>
      </c>
      <c r="F1" s="46" t="s">
        <v>68</v>
      </c>
      <c r="G1" s="46" t="s">
        <v>69</v>
      </c>
      <c r="H1" s="46" t="s">
        <v>70</v>
      </c>
      <c r="I1" s="46" t="s">
        <v>71</v>
      </c>
      <c r="J1" s="46" t="s">
        <v>72</v>
      </c>
      <c r="K1" s="46" t="s">
        <v>73</v>
      </c>
      <c r="L1" s="46" t="s">
        <v>74</v>
      </c>
      <c r="M1" s="46" t="s">
        <v>75</v>
      </c>
      <c r="N1" s="46" t="s">
        <v>76</v>
      </c>
      <c r="O1" s="46" t="s">
        <v>77</v>
      </c>
      <c r="P1" s="46" t="s">
        <v>78</v>
      </c>
      <c r="Q1" s="46" t="s">
        <v>79</v>
      </c>
      <c r="R1" s="46" t="s">
        <v>80</v>
      </c>
      <c r="S1" s="46" t="s">
        <v>81</v>
      </c>
      <c r="T1" s="46" t="s">
        <v>82</v>
      </c>
      <c r="U1" s="46" t="s">
        <v>83</v>
      </c>
      <c r="V1" s="46" t="s">
        <v>84</v>
      </c>
      <c r="W1" s="46" t="s">
        <v>27</v>
      </c>
      <c r="X1" s="46" t="s">
        <v>28</v>
      </c>
      <c r="Y1" s="46" t="s">
        <v>29</v>
      </c>
      <c r="Z1" s="46" t="s">
        <v>30</v>
      </c>
      <c r="AA1" s="46" t="s">
        <v>85</v>
      </c>
      <c r="AB1" s="46" t="s">
        <v>86</v>
      </c>
      <c r="AC1" s="46" t="s">
        <v>87</v>
      </c>
    </row>
    <row r="2" spans="1:29">
      <c r="A2" s="48" t="s">
        <v>19</v>
      </c>
      <c r="B2" s="48" t="s">
        <v>88</v>
      </c>
      <c r="C2" s="48" t="s">
        <v>89</v>
      </c>
      <c r="D2" s="48" t="s">
        <v>89</v>
      </c>
      <c r="E2" s="48" t="s">
        <v>90</v>
      </c>
      <c r="F2" s="48">
        <v>1</v>
      </c>
      <c r="G2" s="48" t="s">
        <v>91</v>
      </c>
      <c r="H2" s="48" t="s">
        <v>92</v>
      </c>
      <c r="I2" s="48" t="s">
        <v>93</v>
      </c>
      <c r="J2" s="48" t="s">
        <v>94</v>
      </c>
      <c r="K2" s="48">
        <v>9705171931</v>
      </c>
      <c r="L2" s="48">
        <v>515</v>
      </c>
      <c r="M2" s="48">
        <v>502</v>
      </c>
      <c r="N2" s="48">
        <v>1017</v>
      </c>
      <c r="O2" s="48">
        <v>49</v>
      </c>
      <c r="P2" s="48">
        <v>205</v>
      </c>
      <c r="Q2" s="48">
        <v>160</v>
      </c>
      <c r="R2" s="48">
        <v>87</v>
      </c>
      <c r="S2" s="48">
        <v>57</v>
      </c>
      <c r="T2" s="48">
        <v>257</v>
      </c>
      <c r="U2" s="48">
        <v>125</v>
      </c>
      <c r="V2" s="48">
        <v>76</v>
      </c>
      <c r="W2" s="48"/>
      <c r="X2" s="48"/>
      <c r="Y2" s="48"/>
      <c r="Z2" s="48"/>
      <c r="AA2" s="49"/>
      <c r="AB2" s="49"/>
      <c r="AC2" s="48">
        <v>67</v>
      </c>
    </row>
    <row r="3" spans="1:29">
      <c r="A3" s="48" t="s">
        <v>19</v>
      </c>
      <c r="B3" s="48" t="s">
        <v>88</v>
      </c>
      <c r="C3" s="48" t="s">
        <v>88</v>
      </c>
      <c r="D3" s="48" t="s">
        <v>88</v>
      </c>
      <c r="E3" s="48" t="s">
        <v>95</v>
      </c>
      <c r="F3" s="48">
        <v>2</v>
      </c>
      <c r="G3" s="48" t="s">
        <v>96</v>
      </c>
      <c r="H3" s="48" t="s">
        <v>92</v>
      </c>
      <c r="I3" s="48" t="s">
        <v>97</v>
      </c>
      <c r="J3" s="48" t="s">
        <v>98</v>
      </c>
      <c r="K3" s="48">
        <v>6300566579</v>
      </c>
      <c r="L3" s="48">
        <v>1096</v>
      </c>
      <c r="M3" s="48">
        <v>1114</v>
      </c>
      <c r="N3" s="48">
        <v>2211</v>
      </c>
      <c r="O3" s="48">
        <v>59</v>
      </c>
      <c r="P3" s="48">
        <v>433</v>
      </c>
      <c r="Q3" s="48">
        <v>380</v>
      </c>
      <c r="R3" s="48">
        <v>242</v>
      </c>
      <c r="S3" s="48">
        <v>70</v>
      </c>
      <c r="T3" s="48">
        <v>422</v>
      </c>
      <c r="U3" s="48">
        <v>329</v>
      </c>
      <c r="V3" s="48">
        <v>275</v>
      </c>
      <c r="W3" s="48"/>
      <c r="X3" s="48"/>
      <c r="Y3" s="48"/>
      <c r="Z3" s="48"/>
      <c r="AA3" s="49"/>
      <c r="AB3" s="49"/>
      <c r="AC3" s="48">
        <v>61</v>
      </c>
    </row>
    <row r="4" spans="1:29">
      <c r="A4" s="48" t="s">
        <v>19</v>
      </c>
      <c r="B4" s="48" t="s">
        <v>88</v>
      </c>
      <c r="C4" s="48" t="s">
        <v>99</v>
      </c>
      <c r="D4" s="48" t="s">
        <v>99</v>
      </c>
      <c r="E4" s="48" t="s">
        <v>100</v>
      </c>
      <c r="F4" s="48">
        <v>1</v>
      </c>
      <c r="G4" s="48" t="s">
        <v>101</v>
      </c>
      <c r="H4" s="48" t="s">
        <v>92</v>
      </c>
      <c r="I4" s="48" t="s">
        <v>102</v>
      </c>
      <c r="J4" s="48" t="s">
        <v>103</v>
      </c>
      <c r="K4" s="48">
        <v>9441246682</v>
      </c>
      <c r="L4" s="48">
        <v>402</v>
      </c>
      <c r="M4" s="48">
        <v>415</v>
      </c>
      <c r="N4" s="48">
        <v>817</v>
      </c>
      <c r="O4" s="48">
        <v>29</v>
      </c>
      <c r="P4" s="48">
        <v>179</v>
      </c>
      <c r="Q4" s="48">
        <v>114</v>
      </c>
      <c r="R4" s="48">
        <v>93</v>
      </c>
      <c r="S4" s="48">
        <v>24</v>
      </c>
      <c r="T4" s="48">
        <v>193</v>
      </c>
      <c r="U4" s="48">
        <v>104</v>
      </c>
      <c r="V4" s="48">
        <v>81</v>
      </c>
      <c r="W4" s="48"/>
      <c r="X4" s="48"/>
      <c r="Y4" s="48"/>
      <c r="Z4" s="48"/>
      <c r="AA4" s="49"/>
      <c r="AB4" s="49"/>
      <c r="AC4" s="48">
        <v>66</v>
      </c>
    </row>
    <row r="5" spans="1:29">
      <c r="A5" s="50" t="s">
        <v>19</v>
      </c>
      <c r="B5" s="50" t="s">
        <v>88</v>
      </c>
      <c r="C5" s="50" t="s">
        <v>104</v>
      </c>
      <c r="D5" s="50" t="s">
        <v>104</v>
      </c>
      <c r="E5" s="50" t="s">
        <v>90</v>
      </c>
      <c r="F5" s="50">
        <v>6</v>
      </c>
      <c r="G5" s="50" t="s">
        <v>105</v>
      </c>
      <c r="H5" s="50" t="s">
        <v>106</v>
      </c>
      <c r="I5" s="50" t="s">
        <v>102</v>
      </c>
      <c r="J5" s="50" t="s">
        <v>107</v>
      </c>
      <c r="K5" s="50">
        <v>9502562392</v>
      </c>
      <c r="L5" s="50">
        <v>2900</v>
      </c>
      <c r="M5" s="50">
        <v>2950</v>
      </c>
      <c r="N5" s="50">
        <v>5854</v>
      </c>
      <c r="O5" s="50">
        <v>164</v>
      </c>
      <c r="P5" s="50">
        <v>1374</v>
      </c>
      <c r="Q5" s="50">
        <v>827</v>
      </c>
      <c r="R5" s="50">
        <v>585</v>
      </c>
      <c r="S5" s="50">
        <v>231</v>
      </c>
      <c r="T5" s="50">
        <v>1480</v>
      </c>
      <c r="U5" s="50">
        <v>713</v>
      </c>
      <c r="V5" s="50">
        <v>475</v>
      </c>
      <c r="W5" s="50"/>
      <c r="X5" s="50"/>
      <c r="Y5" s="50"/>
      <c r="Z5" s="50"/>
      <c r="AA5" s="51"/>
      <c r="AB5" s="51"/>
      <c r="AC5" s="50">
        <v>83</v>
      </c>
    </row>
    <row r="6" spans="1:29">
      <c r="A6" s="48" t="s">
        <v>19</v>
      </c>
      <c r="B6" s="48" t="s">
        <v>88</v>
      </c>
      <c r="C6" s="48" t="s">
        <v>108</v>
      </c>
      <c r="D6" s="48" t="s">
        <v>108</v>
      </c>
      <c r="E6" s="48" t="s">
        <v>90</v>
      </c>
      <c r="F6" s="48">
        <v>4</v>
      </c>
      <c r="G6" s="48" t="s">
        <v>109</v>
      </c>
      <c r="H6" s="48" t="s">
        <v>92</v>
      </c>
      <c r="I6" s="48" t="s">
        <v>97</v>
      </c>
      <c r="J6" s="48" t="s">
        <v>107</v>
      </c>
      <c r="K6" s="48">
        <v>9493839571</v>
      </c>
      <c r="L6" s="48">
        <v>2006</v>
      </c>
      <c r="M6" s="48">
        <v>1951</v>
      </c>
      <c r="N6" s="48">
        <v>3957</v>
      </c>
      <c r="O6" s="48">
        <v>110</v>
      </c>
      <c r="P6" s="48">
        <v>913</v>
      </c>
      <c r="Q6" s="48">
        <v>514</v>
      </c>
      <c r="R6" s="48">
        <v>412</v>
      </c>
      <c r="S6" s="48">
        <v>138</v>
      </c>
      <c r="T6" s="48">
        <v>1063</v>
      </c>
      <c r="U6" s="48">
        <v>459</v>
      </c>
      <c r="V6" s="48">
        <v>346</v>
      </c>
      <c r="W6" s="48"/>
      <c r="X6" s="48"/>
      <c r="Y6" s="48"/>
      <c r="Z6" s="48"/>
      <c r="AA6" s="49"/>
      <c r="AB6" s="49"/>
      <c r="AC6" s="48">
        <v>83</v>
      </c>
    </row>
    <row r="7" spans="1:29">
      <c r="A7" s="48" t="s">
        <v>19</v>
      </c>
      <c r="B7" s="48" t="s">
        <v>88</v>
      </c>
      <c r="C7" s="48" t="s">
        <v>108</v>
      </c>
      <c r="D7" s="48" t="s">
        <v>110</v>
      </c>
      <c r="E7" s="48" t="s">
        <v>90</v>
      </c>
      <c r="F7" s="48">
        <v>1</v>
      </c>
      <c r="G7" s="48" t="s">
        <v>109</v>
      </c>
      <c r="H7" s="48" t="s">
        <v>92</v>
      </c>
      <c r="I7" s="48" t="s">
        <v>97</v>
      </c>
      <c r="J7" s="48" t="s">
        <v>107</v>
      </c>
      <c r="K7" s="48">
        <v>9493839571</v>
      </c>
      <c r="L7" s="48">
        <v>470</v>
      </c>
      <c r="M7" s="48">
        <v>513</v>
      </c>
      <c r="N7" s="48">
        <v>983</v>
      </c>
      <c r="O7" s="48">
        <v>21</v>
      </c>
      <c r="P7" s="48">
        <v>223</v>
      </c>
      <c r="Q7" s="48">
        <v>152</v>
      </c>
      <c r="R7" s="48">
        <v>117</v>
      </c>
      <c r="S7" s="48">
        <v>23</v>
      </c>
      <c r="T7" s="48">
        <v>252</v>
      </c>
      <c r="U7" s="48">
        <v>124</v>
      </c>
      <c r="V7" s="48">
        <v>71</v>
      </c>
      <c r="W7" s="48"/>
      <c r="X7" s="48"/>
      <c r="Y7" s="48"/>
      <c r="Z7" s="48"/>
      <c r="AA7" s="49"/>
      <c r="AB7" s="49"/>
      <c r="AC7" s="48">
        <v>83</v>
      </c>
    </row>
    <row r="8" spans="1:29">
      <c r="A8" s="48" t="s">
        <v>19</v>
      </c>
      <c r="B8" s="48" t="s">
        <v>88</v>
      </c>
      <c r="C8" s="48" t="s">
        <v>111</v>
      </c>
      <c r="D8" s="48" t="s">
        <v>111</v>
      </c>
      <c r="E8" s="48" t="s">
        <v>95</v>
      </c>
      <c r="F8" s="48">
        <v>3</v>
      </c>
      <c r="G8" s="48" t="s">
        <v>112</v>
      </c>
      <c r="H8" s="48" t="s">
        <v>106</v>
      </c>
      <c r="I8" s="48" t="s">
        <v>113</v>
      </c>
      <c r="J8" s="48" t="s">
        <v>114</v>
      </c>
      <c r="K8" s="48">
        <v>9949147450</v>
      </c>
      <c r="L8" s="48">
        <v>1659</v>
      </c>
      <c r="M8" s="48">
        <v>1732</v>
      </c>
      <c r="N8" s="48">
        <v>3392</v>
      </c>
      <c r="O8" s="48">
        <v>95</v>
      </c>
      <c r="P8" s="48">
        <v>831</v>
      </c>
      <c r="Q8" s="48">
        <v>453</v>
      </c>
      <c r="R8" s="48">
        <v>352</v>
      </c>
      <c r="S8" s="48">
        <v>124</v>
      </c>
      <c r="T8" s="48">
        <v>829</v>
      </c>
      <c r="U8" s="48">
        <v>422</v>
      </c>
      <c r="V8" s="48">
        <v>283</v>
      </c>
      <c r="W8" s="48"/>
      <c r="X8" s="48"/>
      <c r="Y8" s="48"/>
      <c r="Z8" s="48"/>
      <c r="AA8" s="49"/>
      <c r="AB8" s="49"/>
      <c r="AC8" s="48">
        <v>62</v>
      </c>
    </row>
    <row r="9" spans="1:29">
      <c r="A9" s="48" t="s">
        <v>19</v>
      </c>
      <c r="B9" s="48" t="s">
        <v>88</v>
      </c>
      <c r="C9" s="48" t="s">
        <v>115</v>
      </c>
      <c r="D9" s="48" t="s">
        <v>115</v>
      </c>
      <c r="E9" s="48" t="s">
        <v>90</v>
      </c>
      <c r="F9" s="48">
        <v>2</v>
      </c>
      <c r="G9" s="48" t="s">
        <v>116</v>
      </c>
      <c r="H9" s="48" t="s">
        <v>92</v>
      </c>
      <c r="I9" s="48" t="s">
        <v>102</v>
      </c>
      <c r="J9" s="48" t="s">
        <v>103</v>
      </c>
      <c r="K9" s="48">
        <v>8309596673</v>
      </c>
      <c r="L9" s="48">
        <v>718</v>
      </c>
      <c r="M9" s="48">
        <v>765</v>
      </c>
      <c r="N9" s="48">
        <v>1484</v>
      </c>
      <c r="O9" s="48">
        <v>44</v>
      </c>
      <c r="P9" s="48">
        <v>375</v>
      </c>
      <c r="Q9" s="48">
        <v>225</v>
      </c>
      <c r="R9" s="48">
        <v>121</v>
      </c>
      <c r="S9" s="48">
        <v>59</v>
      </c>
      <c r="T9" s="48">
        <v>373</v>
      </c>
      <c r="U9" s="48">
        <v>176</v>
      </c>
      <c r="V9" s="48">
        <v>110</v>
      </c>
      <c r="W9" s="48"/>
      <c r="X9" s="48"/>
      <c r="Y9" s="48"/>
      <c r="Z9" s="48"/>
      <c r="AA9" s="49"/>
      <c r="AB9" s="49"/>
      <c r="AC9" s="48">
        <v>90</v>
      </c>
    </row>
    <row r="10" spans="1:29">
      <c r="A10" s="48" t="s">
        <v>19</v>
      </c>
      <c r="B10" s="48" t="s">
        <v>88</v>
      </c>
      <c r="C10" s="48" t="s">
        <v>117</v>
      </c>
      <c r="D10" s="48" t="s">
        <v>117</v>
      </c>
      <c r="E10" s="48" t="s">
        <v>90</v>
      </c>
      <c r="F10" s="48">
        <v>5</v>
      </c>
      <c r="G10" s="48" t="s">
        <v>118</v>
      </c>
      <c r="H10" s="48" t="s">
        <v>92</v>
      </c>
      <c r="I10" s="48" t="s">
        <v>119</v>
      </c>
      <c r="J10" s="48" t="s">
        <v>120</v>
      </c>
      <c r="K10" s="48">
        <v>9059315666</v>
      </c>
      <c r="L10" s="48">
        <v>2396</v>
      </c>
      <c r="M10" s="48">
        <v>2407</v>
      </c>
      <c r="N10" s="48">
        <v>4804</v>
      </c>
      <c r="O10" s="48">
        <v>152</v>
      </c>
      <c r="P10" s="48">
        <v>1134</v>
      </c>
      <c r="Q10" s="48">
        <v>702</v>
      </c>
      <c r="R10" s="48">
        <v>417</v>
      </c>
      <c r="S10" s="48">
        <v>205</v>
      </c>
      <c r="T10" s="48">
        <v>1248</v>
      </c>
      <c r="U10" s="48">
        <v>586</v>
      </c>
      <c r="V10" s="48">
        <v>357</v>
      </c>
      <c r="W10" s="48"/>
      <c r="X10" s="48"/>
      <c r="Y10" s="48"/>
      <c r="Z10" s="48"/>
      <c r="AA10" s="49"/>
      <c r="AB10" s="49"/>
      <c r="AC10" s="48">
        <v>87</v>
      </c>
    </row>
    <row r="11" spans="1:29">
      <c r="A11" s="48" t="s">
        <v>19</v>
      </c>
      <c r="B11" s="48" t="s">
        <v>88</v>
      </c>
      <c r="C11" s="48" t="s">
        <v>121</v>
      </c>
      <c r="D11" s="48" t="s">
        <v>121</v>
      </c>
      <c r="E11" s="48" t="s">
        <v>90</v>
      </c>
      <c r="F11" s="48">
        <v>2</v>
      </c>
      <c r="G11" s="48" t="s">
        <v>122</v>
      </c>
      <c r="H11" s="48" t="s">
        <v>92</v>
      </c>
      <c r="I11" s="48" t="s">
        <v>102</v>
      </c>
      <c r="J11" s="48" t="s">
        <v>103</v>
      </c>
      <c r="K11" s="48">
        <v>9692879999</v>
      </c>
      <c r="L11" s="48">
        <v>871</v>
      </c>
      <c r="M11" s="48">
        <v>876</v>
      </c>
      <c r="N11" s="48">
        <v>1749</v>
      </c>
      <c r="O11" s="48">
        <v>53</v>
      </c>
      <c r="P11" s="48">
        <v>422</v>
      </c>
      <c r="Q11" s="48">
        <v>217</v>
      </c>
      <c r="R11" s="48">
        <v>183</v>
      </c>
      <c r="S11" s="48">
        <v>58</v>
      </c>
      <c r="T11" s="48">
        <v>417</v>
      </c>
      <c r="U11" s="48">
        <v>240</v>
      </c>
      <c r="V11" s="48">
        <v>156</v>
      </c>
      <c r="W11" s="48"/>
      <c r="X11" s="48"/>
      <c r="Y11" s="48"/>
      <c r="Z11" s="48"/>
      <c r="AA11" s="49"/>
      <c r="AB11" s="49"/>
      <c r="AC11" s="48">
        <v>66</v>
      </c>
    </row>
    <row r="12" spans="1:29">
      <c r="A12" s="48" t="s">
        <v>19</v>
      </c>
      <c r="B12" s="48" t="s">
        <v>88</v>
      </c>
      <c r="C12" s="48" t="s">
        <v>123</v>
      </c>
      <c r="D12" s="48" t="s">
        <v>123</v>
      </c>
      <c r="E12" s="48" t="s">
        <v>90</v>
      </c>
      <c r="F12" s="48">
        <v>2</v>
      </c>
      <c r="G12" s="48" t="s">
        <v>124</v>
      </c>
      <c r="H12" s="48" t="s">
        <v>92</v>
      </c>
      <c r="I12" s="48" t="s">
        <v>97</v>
      </c>
      <c r="J12" s="48" t="s">
        <v>125</v>
      </c>
      <c r="K12" s="48">
        <v>8897945154</v>
      </c>
      <c r="L12" s="48">
        <v>876</v>
      </c>
      <c r="M12" s="48">
        <v>854</v>
      </c>
      <c r="N12" s="48">
        <v>1731</v>
      </c>
      <c r="O12" s="48">
        <v>78</v>
      </c>
      <c r="P12" s="48">
        <v>427</v>
      </c>
      <c r="Q12" s="48">
        <v>221</v>
      </c>
      <c r="R12" s="48">
        <v>128</v>
      </c>
      <c r="S12" s="48">
        <v>83</v>
      </c>
      <c r="T12" s="48">
        <v>433</v>
      </c>
      <c r="U12" s="48">
        <v>238</v>
      </c>
      <c r="V12" s="48">
        <v>122</v>
      </c>
      <c r="W12" s="48"/>
      <c r="X12" s="48"/>
      <c r="Y12" s="48"/>
      <c r="Z12" s="48"/>
      <c r="AA12" s="49"/>
      <c r="AB12" s="49"/>
      <c r="AC12" s="48">
        <v>82</v>
      </c>
    </row>
    <row r="13" spans="1:29">
      <c r="A13" s="48" t="s">
        <v>19</v>
      </c>
      <c r="B13" s="48" t="s">
        <v>88</v>
      </c>
      <c r="C13" s="48" t="s">
        <v>123</v>
      </c>
      <c r="D13" s="48" t="s">
        <v>126</v>
      </c>
      <c r="E13" s="48" t="s">
        <v>90</v>
      </c>
      <c r="F13" s="48">
        <v>2</v>
      </c>
      <c r="G13" s="48" t="s">
        <v>124</v>
      </c>
      <c r="H13" s="48" t="s">
        <v>92</v>
      </c>
      <c r="I13" s="48" t="s">
        <v>97</v>
      </c>
      <c r="J13" s="48" t="s">
        <v>125</v>
      </c>
      <c r="K13" s="48">
        <v>8897945154</v>
      </c>
      <c r="L13" s="48">
        <v>839</v>
      </c>
      <c r="M13" s="48">
        <v>757</v>
      </c>
      <c r="N13" s="48">
        <v>1596</v>
      </c>
      <c r="O13" s="48">
        <v>37</v>
      </c>
      <c r="P13" s="48">
        <v>324</v>
      </c>
      <c r="Q13" s="48">
        <v>235</v>
      </c>
      <c r="R13" s="48">
        <v>161</v>
      </c>
      <c r="S13" s="48">
        <v>54</v>
      </c>
      <c r="T13" s="48">
        <v>360</v>
      </c>
      <c r="U13" s="48">
        <v>272</v>
      </c>
      <c r="V13" s="48">
        <v>153</v>
      </c>
      <c r="W13" s="48"/>
      <c r="X13" s="48"/>
      <c r="Y13" s="48"/>
      <c r="Z13" s="48"/>
      <c r="AA13" s="49"/>
      <c r="AB13" s="49"/>
      <c r="AC13" s="48">
        <v>82</v>
      </c>
    </row>
    <row r="14" spans="1:29">
      <c r="A14" s="48" t="s">
        <v>19</v>
      </c>
      <c r="B14" s="48" t="s">
        <v>88</v>
      </c>
      <c r="C14" s="48" t="s">
        <v>127</v>
      </c>
      <c r="D14" s="48" t="s">
        <v>127</v>
      </c>
      <c r="E14" s="48" t="s">
        <v>90</v>
      </c>
      <c r="F14" s="48">
        <v>1</v>
      </c>
      <c r="G14" s="48" t="s">
        <v>128</v>
      </c>
      <c r="H14" s="48" t="s">
        <v>92</v>
      </c>
      <c r="I14" s="48" t="s">
        <v>97</v>
      </c>
      <c r="J14" s="48" t="s">
        <v>107</v>
      </c>
      <c r="K14" s="48">
        <v>9618098937</v>
      </c>
      <c r="L14" s="48">
        <v>492</v>
      </c>
      <c r="M14" s="48">
        <v>538</v>
      </c>
      <c r="N14" s="48">
        <v>1030</v>
      </c>
      <c r="O14" s="48">
        <v>48</v>
      </c>
      <c r="P14" s="48">
        <v>277</v>
      </c>
      <c r="Q14" s="48">
        <v>123</v>
      </c>
      <c r="R14" s="48">
        <v>90</v>
      </c>
      <c r="S14" s="48">
        <v>57</v>
      </c>
      <c r="T14" s="48">
        <v>255</v>
      </c>
      <c r="U14" s="48">
        <v>111</v>
      </c>
      <c r="V14" s="48">
        <v>69</v>
      </c>
      <c r="W14" s="48"/>
      <c r="X14" s="48"/>
      <c r="Y14" s="48"/>
      <c r="Z14" s="48"/>
      <c r="AA14" s="49"/>
      <c r="AB14" s="49"/>
      <c r="AC14" s="48">
        <v>90</v>
      </c>
    </row>
    <row r="15" spans="1:29">
      <c r="A15" s="48" t="s">
        <v>19</v>
      </c>
      <c r="B15" s="48" t="s">
        <v>88</v>
      </c>
      <c r="C15" s="48" t="s">
        <v>129</v>
      </c>
      <c r="D15" s="48" t="s">
        <v>129</v>
      </c>
      <c r="E15" s="48" t="s">
        <v>100</v>
      </c>
      <c r="F15" s="48">
        <v>1</v>
      </c>
      <c r="G15" s="48" t="s">
        <v>130</v>
      </c>
      <c r="H15" s="48" t="s">
        <v>92</v>
      </c>
      <c r="I15" s="48" t="s">
        <v>93</v>
      </c>
      <c r="J15" s="48" t="s">
        <v>131</v>
      </c>
      <c r="K15" s="48">
        <v>9882298866</v>
      </c>
      <c r="L15" s="48">
        <v>399</v>
      </c>
      <c r="M15" s="48">
        <v>417</v>
      </c>
      <c r="N15" s="48">
        <v>816</v>
      </c>
      <c r="O15" s="48">
        <v>39</v>
      </c>
      <c r="P15" s="48">
        <v>185</v>
      </c>
      <c r="Q15" s="48">
        <v>103</v>
      </c>
      <c r="R15" s="48">
        <v>90</v>
      </c>
      <c r="S15" s="48">
        <v>40</v>
      </c>
      <c r="T15" s="48">
        <v>206</v>
      </c>
      <c r="U15" s="48">
        <v>87</v>
      </c>
      <c r="V15" s="48">
        <v>66</v>
      </c>
      <c r="W15" s="48"/>
      <c r="X15" s="48"/>
      <c r="Y15" s="48"/>
      <c r="Z15" s="48"/>
      <c r="AA15" s="49"/>
      <c r="AB15" s="49"/>
      <c r="AC15" s="48">
        <v>83</v>
      </c>
    </row>
    <row r="16" spans="1:29">
      <c r="A16" s="48" t="s">
        <v>19</v>
      </c>
      <c r="B16" s="48" t="s">
        <v>88</v>
      </c>
      <c r="C16" s="48" t="s">
        <v>132</v>
      </c>
      <c r="D16" s="48" t="s">
        <v>132</v>
      </c>
      <c r="E16" s="48" t="s">
        <v>90</v>
      </c>
      <c r="F16" s="48">
        <v>1</v>
      </c>
      <c r="G16" s="48" t="s">
        <v>133</v>
      </c>
      <c r="H16" s="48" t="s">
        <v>92</v>
      </c>
      <c r="I16" s="48" t="s">
        <v>93</v>
      </c>
      <c r="J16" s="48" t="s">
        <v>107</v>
      </c>
      <c r="K16" s="48">
        <v>9492885777</v>
      </c>
      <c r="L16" s="48">
        <v>430</v>
      </c>
      <c r="M16" s="48">
        <v>363</v>
      </c>
      <c r="N16" s="48">
        <v>794</v>
      </c>
      <c r="O16" s="48">
        <v>13</v>
      </c>
      <c r="P16" s="48">
        <v>173</v>
      </c>
      <c r="Q16" s="48">
        <v>102</v>
      </c>
      <c r="R16" s="48">
        <v>75</v>
      </c>
      <c r="S16" s="48">
        <v>21</v>
      </c>
      <c r="T16" s="48">
        <v>242</v>
      </c>
      <c r="U16" s="48">
        <v>108</v>
      </c>
      <c r="V16" s="48">
        <v>59</v>
      </c>
      <c r="W16" s="48"/>
      <c r="X16" s="48"/>
      <c r="Y16" s="48"/>
      <c r="Z16" s="48"/>
      <c r="AA16" s="49"/>
      <c r="AB16" s="49"/>
      <c r="AC16" s="48">
        <v>78</v>
      </c>
    </row>
    <row r="17" spans="1:29">
      <c r="A17" s="48" t="s">
        <v>19</v>
      </c>
      <c r="B17" s="48" t="s">
        <v>88</v>
      </c>
      <c r="C17" s="48" t="s">
        <v>134</v>
      </c>
      <c r="D17" s="48" t="s">
        <v>134</v>
      </c>
      <c r="E17" s="48" t="s">
        <v>95</v>
      </c>
      <c r="F17" s="48">
        <v>3</v>
      </c>
      <c r="G17" s="48" t="s">
        <v>135</v>
      </c>
      <c r="H17" s="48" t="s">
        <v>4</v>
      </c>
      <c r="I17" s="48" t="s">
        <v>119</v>
      </c>
      <c r="J17" s="48" t="s">
        <v>136</v>
      </c>
      <c r="K17" s="48">
        <v>8309719191</v>
      </c>
      <c r="L17" s="52">
        <v>1510</v>
      </c>
      <c r="M17" s="48">
        <v>1596</v>
      </c>
      <c r="N17" s="48">
        <v>3108</v>
      </c>
      <c r="O17" s="48">
        <v>70</v>
      </c>
      <c r="P17" s="48">
        <v>823</v>
      </c>
      <c r="Q17" s="48">
        <v>412</v>
      </c>
      <c r="R17" s="48">
        <v>291</v>
      </c>
      <c r="S17" s="48">
        <v>97</v>
      </c>
      <c r="T17" s="48">
        <v>816</v>
      </c>
      <c r="U17" s="48">
        <v>354</v>
      </c>
      <c r="V17" s="48">
        <v>242</v>
      </c>
      <c r="W17" s="48"/>
      <c r="X17" s="52"/>
      <c r="Y17" s="48"/>
      <c r="Z17" s="48"/>
      <c r="AA17" s="49"/>
      <c r="AB17" s="49"/>
      <c r="AC17" s="48">
        <v>84</v>
      </c>
    </row>
    <row r="18" spans="1:29">
      <c r="A18" s="48" t="s">
        <v>19</v>
      </c>
      <c r="B18" s="48" t="s">
        <v>88</v>
      </c>
      <c r="C18" s="48" t="s">
        <v>137</v>
      </c>
      <c r="D18" s="48" t="s">
        <v>137</v>
      </c>
      <c r="E18" s="48" t="s">
        <v>90</v>
      </c>
      <c r="F18" s="48">
        <v>3</v>
      </c>
      <c r="G18" s="48" t="s">
        <v>138</v>
      </c>
      <c r="H18" s="48" t="s">
        <v>92</v>
      </c>
      <c r="I18" s="48" t="s">
        <v>93</v>
      </c>
      <c r="J18" s="48" t="s">
        <v>139</v>
      </c>
      <c r="K18" s="48">
        <v>9951557676</v>
      </c>
      <c r="L18" s="48">
        <v>1288</v>
      </c>
      <c r="M18" s="48">
        <v>1404</v>
      </c>
      <c r="N18" s="48">
        <v>2692</v>
      </c>
      <c r="O18" s="48">
        <v>114</v>
      </c>
      <c r="P18" s="48">
        <v>695</v>
      </c>
      <c r="Q18" s="48">
        <v>345</v>
      </c>
      <c r="R18" s="48">
        <v>248</v>
      </c>
      <c r="S18" s="48">
        <v>112</v>
      </c>
      <c r="T18" s="48">
        <v>672</v>
      </c>
      <c r="U18" s="48">
        <v>310</v>
      </c>
      <c r="V18" s="48">
        <v>194</v>
      </c>
      <c r="W18" s="48"/>
      <c r="X18" s="48"/>
      <c r="Y18" s="48"/>
      <c r="Z18" s="48"/>
      <c r="AA18" s="49"/>
      <c r="AB18" s="49"/>
      <c r="AC18" s="48">
        <v>78</v>
      </c>
    </row>
    <row r="19" spans="1:29">
      <c r="A19" s="48" t="s">
        <v>19</v>
      </c>
      <c r="B19" s="48" t="s">
        <v>88</v>
      </c>
      <c r="C19" s="48" t="s">
        <v>140</v>
      </c>
      <c r="D19" s="48" t="s">
        <v>140</v>
      </c>
      <c r="E19" s="48" t="s">
        <v>95</v>
      </c>
      <c r="F19" s="48">
        <v>3</v>
      </c>
      <c r="G19" s="48" t="s">
        <v>141</v>
      </c>
      <c r="H19" s="48" t="s">
        <v>92</v>
      </c>
      <c r="I19" s="48" t="s">
        <v>142</v>
      </c>
      <c r="J19" s="48" t="s">
        <v>114</v>
      </c>
      <c r="K19" s="48">
        <v>9502850451</v>
      </c>
      <c r="L19" s="48">
        <v>1267</v>
      </c>
      <c r="M19" s="48">
        <v>1231</v>
      </c>
      <c r="N19" s="48">
        <v>2499</v>
      </c>
      <c r="O19" s="48">
        <v>65</v>
      </c>
      <c r="P19" s="48">
        <v>533</v>
      </c>
      <c r="Q19" s="48">
        <v>300</v>
      </c>
      <c r="R19" s="48">
        <v>332</v>
      </c>
      <c r="S19" s="48">
        <v>80</v>
      </c>
      <c r="T19" s="48">
        <v>545</v>
      </c>
      <c r="U19" s="48">
        <v>378</v>
      </c>
      <c r="V19" s="48">
        <v>264</v>
      </c>
      <c r="W19" s="48"/>
      <c r="X19" s="48"/>
      <c r="Y19" s="48"/>
      <c r="Z19" s="48"/>
      <c r="AA19" s="49"/>
      <c r="AB19" s="49"/>
      <c r="AC19" s="48">
        <v>82</v>
      </c>
    </row>
    <row r="20" spans="1:29">
      <c r="A20" s="48" t="s">
        <v>19</v>
      </c>
      <c r="B20" s="48" t="s">
        <v>88</v>
      </c>
      <c r="C20" s="48" t="s">
        <v>143</v>
      </c>
      <c r="D20" s="48" t="s">
        <v>143</v>
      </c>
      <c r="E20" s="48" t="s">
        <v>95</v>
      </c>
      <c r="F20" s="48">
        <v>2</v>
      </c>
      <c r="G20" s="48" t="s">
        <v>144</v>
      </c>
      <c r="H20" s="48" t="s">
        <v>4</v>
      </c>
      <c r="I20" s="48" t="s">
        <v>142</v>
      </c>
      <c r="J20" s="48" t="s">
        <v>114</v>
      </c>
      <c r="K20" s="48">
        <v>8897265258</v>
      </c>
      <c r="L20" s="48">
        <v>711</v>
      </c>
      <c r="M20" s="48">
        <v>745</v>
      </c>
      <c r="N20" s="48">
        <v>1456</v>
      </c>
      <c r="O20" s="48">
        <v>58</v>
      </c>
      <c r="P20" s="48">
        <v>334</v>
      </c>
      <c r="Q20" s="48">
        <v>185</v>
      </c>
      <c r="R20" s="48">
        <v>168</v>
      </c>
      <c r="S20" s="48">
        <v>48</v>
      </c>
      <c r="T20" s="48">
        <v>323</v>
      </c>
      <c r="U20" s="48">
        <v>186</v>
      </c>
      <c r="V20" s="48">
        <v>153</v>
      </c>
      <c r="W20" s="48"/>
      <c r="X20" s="48"/>
      <c r="Y20" s="48"/>
      <c r="Z20" s="48"/>
      <c r="AA20" s="49"/>
      <c r="AB20" s="49"/>
      <c r="AC20" s="48">
        <v>72</v>
      </c>
    </row>
    <row r="21" spans="1:29">
      <c r="A21" s="48" t="s">
        <v>19</v>
      </c>
      <c r="B21" s="48" t="s">
        <v>88</v>
      </c>
      <c r="C21" s="48" t="s">
        <v>145</v>
      </c>
      <c r="D21" s="48" t="s">
        <v>145</v>
      </c>
      <c r="E21" s="48" t="s">
        <v>100</v>
      </c>
      <c r="F21" s="48">
        <v>2</v>
      </c>
      <c r="G21" s="48" t="s">
        <v>146</v>
      </c>
      <c r="H21" s="48" t="s">
        <v>92</v>
      </c>
      <c r="I21" s="48" t="s">
        <v>93</v>
      </c>
      <c r="J21" s="48" t="s">
        <v>103</v>
      </c>
      <c r="K21" s="48">
        <v>9618721999</v>
      </c>
      <c r="L21" s="48">
        <v>801</v>
      </c>
      <c r="M21" s="48">
        <v>838</v>
      </c>
      <c r="N21" s="48">
        <v>1639</v>
      </c>
      <c r="O21" s="48">
        <v>47</v>
      </c>
      <c r="P21" s="48">
        <v>391</v>
      </c>
      <c r="Q21" s="48">
        <v>215</v>
      </c>
      <c r="R21" s="48">
        <v>185</v>
      </c>
      <c r="S21" s="48">
        <v>63</v>
      </c>
      <c r="T21" s="48">
        <v>404</v>
      </c>
      <c r="U21" s="48">
        <v>177</v>
      </c>
      <c r="V21" s="48">
        <v>157</v>
      </c>
      <c r="W21" s="48"/>
      <c r="X21" s="48"/>
      <c r="Y21" s="48"/>
      <c r="Z21" s="48"/>
      <c r="AA21" s="49"/>
      <c r="AB21" s="49"/>
      <c r="AC21" s="48">
        <v>87</v>
      </c>
    </row>
    <row r="22" spans="1:29">
      <c r="A22" s="48" t="s">
        <v>19</v>
      </c>
      <c r="B22" s="48" t="s">
        <v>147</v>
      </c>
      <c r="C22" s="48" t="s">
        <v>148</v>
      </c>
      <c r="D22" s="48" t="s">
        <v>148</v>
      </c>
      <c r="E22" s="48" t="s">
        <v>90</v>
      </c>
      <c r="F22" s="48">
        <v>2</v>
      </c>
      <c r="G22" s="48" t="s">
        <v>149</v>
      </c>
      <c r="H22" s="48" t="s">
        <v>92</v>
      </c>
      <c r="I22" s="48" t="s">
        <v>93</v>
      </c>
      <c r="J22" s="48" t="s">
        <v>139</v>
      </c>
      <c r="K22" s="48">
        <v>9381440055</v>
      </c>
      <c r="L22" s="48">
        <v>927</v>
      </c>
      <c r="M22" s="48">
        <v>900</v>
      </c>
      <c r="N22" s="48">
        <v>1827</v>
      </c>
      <c r="O22" s="48">
        <v>33</v>
      </c>
      <c r="P22" s="48">
        <v>395</v>
      </c>
      <c r="Q22" s="48">
        <v>290</v>
      </c>
      <c r="R22" s="48">
        <v>182</v>
      </c>
      <c r="S22" s="48">
        <v>50</v>
      </c>
      <c r="T22" s="48">
        <v>438</v>
      </c>
      <c r="U22" s="48">
        <v>270</v>
      </c>
      <c r="V22" s="48">
        <v>169</v>
      </c>
      <c r="W22" s="48"/>
      <c r="X22" s="48"/>
      <c r="Y22" s="48"/>
      <c r="Z22" s="48"/>
      <c r="AA22" s="49"/>
      <c r="AB22" s="49"/>
      <c r="AC22" s="48">
        <v>73</v>
      </c>
    </row>
    <row r="23" spans="1:29">
      <c r="A23" s="48" t="s">
        <v>19</v>
      </c>
      <c r="B23" s="48" t="s">
        <v>147</v>
      </c>
      <c r="C23" s="48" t="s">
        <v>150</v>
      </c>
      <c r="D23" s="48" t="s">
        <v>150</v>
      </c>
      <c r="E23" s="48" t="s">
        <v>90</v>
      </c>
      <c r="F23" s="48">
        <v>2</v>
      </c>
      <c r="G23" s="48" t="s">
        <v>151</v>
      </c>
      <c r="H23" s="48" t="s">
        <v>92</v>
      </c>
      <c r="I23" s="48" t="s">
        <v>93</v>
      </c>
      <c r="J23" s="48" t="s">
        <v>139</v>
      </c>
      <c r="K23" s="48">
        <v>9443586869</v>
      </c>
      <c r="L23" s="48">
        <v>748</v>
      </c>
      <c r="M23" s="48">
        <v>762</v>
      </c>
      <c r="N23" s="48">
        <v>1510</v>
      </c>
      <c r="O23" s="48">
        <v>64</v>
      </c>
      <c r="P23" s="48">
        <v>358</v>
      </c>
      <c r="Q23" s="48">
        <v>212</v>
      </c>
      <c r="R23" s="48">
        <v>128</v>
      </c>
      <c r="S23" s="48">
        <v>61</v>
      </c>
      <c r="T23" s="48">
        <v>353</v>
      </c>
      <c r="U23" s="48">
        <v>210</v>
      </c>
      <c r="V23" s="48">
        <v>124</v>
      </c>
      <c r="W23" s="48"/>
      <c r="X23" s="48"/>
      <c r="Y23" s="48"/>
      <c r="Z23" s="48"/>
      <c r="AA23" s="49"/>
      <c r="AB23" s="49"/>
      <c r="AC23" s="48">
        <v>87</v>
      </c>
    </row>
    <row r="24" spans="1:29">
      <c r="A24" s="48" t="s">
        <v>19</v>
      </c>
      <c r="B24" s="48" t="s">
        <v>147</v>
      </c>
      <c r="C24" s="48" t="s">
        <v>152</v>
      </c>
      <c r="D24" s="48" t="s">
        <v>152</v>
      </c>
      <c r="E24" s="48" t="s">
        <v>90</v>
      </c>
      <c r="F24" s="48">
        <v>1</v>
      </c>
      <c r="G24" s="48" t="s">
        <v>153</v>
      </c>
      <c r="H24" s="48" t="s">
        <v>92</v>
      </c>
      <c r="I24" s="48" t="s">
        <v>102</v>
      </c>
      <c r="J24" s="48" t="s">
        <v>154</v>
      </c>
      <c r="K24" s="48">
        <v>9010545620</v>
      </c>
      <c r="L24" s="48">
        <v>589</v>
      </c>
      <c r="M24" s="48">
        <v>590</v>
      </c>
      <c r="N24" s="48">
        <v>1179</v>
      </c>
      <c r="O24" s="48">
        <v>42</v>
      </c>
      <c r="P24" s="48">
        <v>266</v>
      </c>
      <c r="Q24" s="48">
        <v>216</v>
      </c>
      <c r="R24" s="48">
        <v>66</v>
      </c>
      <c r="S24" s="48">
        <v>64</v>
      </c>
      <c r="T24" s="48">
        <v>285</v>
      </c>
      <c r="U24" s="48">
        <v>164</v>
      </c>
      <c r="V24" s="48">
        <v>76</v>
      </c>
      <c r="W24" s="48"/>
      <c r="X24" s="48"/>
      <c r="Y24" s="48"/>
      <c r="Z24" s="48"/>
      <c r="AA24" s="49"/>
      <c r="AB24" s="49"/>
      <c r="AC24" s="48"/>
    </row>
    <row r="25" spans="1:29">
      <c r="A25" s="48" t="s">
        <v>19</v>
      </c>
      <c r="B25" s="48" t="s">
        <v>147</v>
      </c>
      <c r="C25" s="48" t="s">
        <v>152</v>
      </c>
      <c r="D25" s="48" t="s">
        <v>155</v>
      </c>
      <c r="E25" s="48" t="s">
        <v>90</v>
      </c>
      <c r="F25" s="48">
        <v>1</v>
      </c>
      <c r="G25" s="48" t="s">
        <v>153</v>
      </c>
      <c r="H25" s="48" t="s">
        <v>92</v>
      </c>
      <c r="I25" s="48" t="s">
        <v>102</v>
      </c>
      <c r="J25" s="48" t="s">
        <v>154</v>
      </c>
      <c r="K25" s="48">
        <v>9010545620</v>
      </c>
      <c r="L25" s="48">
        <v>234</v>
      </c>
      <c r="M25" s="48">
        <v>263</v>
      </c>
      <c r="N25" s="48">
        <v>497</v>
      </c>
      <c r="O25" s="48">
        <v>24</v>
      </c>
      <c r="P25" s="48">
        <v>114</v>
      </c>
      <c r="Q25" s="48">
        <v>74</v>
      </c>
      <c r="R25" s="48">
        <v>50</v>
      </c>
      <c r="S25" s="48">
        <v>24</v>
      </c>
      <c r="T25" s="48">
        <v>116</v>
      </c>
      <c r="U25" s="48">
        <v>53</v>
      </c>
      <c r="V25" s="48">
        <v>41</v>
      </c>
      <c r="W25" s="48"/>
      <c r="X25" s="48"/>
      <c r="Y25" s="48"/>
      <c r="Z25" s="48"/>
      <c r="AA25" s="49"/>
      <c r="AB25" s="49"/>
      <c r="AC25" s="48"/>
    </row>
    <row r="26" spans="1:29">
      <c r="A26" s="48" t="s">
        <v>19</v>
      </c>
      <c r="B26" s="48" t="s">
        <v>147</v>
      </c>
      <c r="C26" s="48" t="s">
        <v>147</v>
      </c>
      <c r="D26" s="48" t="s">
        <v>147</v>
      </c>
      <c r="E26" s="48" t="s">
        <v>90</v>
      </c>
      <c r="F26" s="48">
        <v>13</v>
      </c>
      <c r="G26" s="48" t="s">
        <v>156</v>
      </c>
      <c r="H26" s="48" t="s">
        <v>4</v>
      </c>
      <c r="I26" s="48" t="s">
        <v>157</v>
      </c>
      <c r="J26" s="48" t="s">
        <v>158</v>
      </c>
      <c r="K26" s="48">
        <v>9866737300</v>
      </c>
      <c r="L26" s="48">
        <v>5198</v>
      </c>
      <c r="M26" s="48">
        <v>5750</v>
      </c>
      <c r="N26" s="48">
        <v>12062</v>
      </c>
      <c r="O26" s="48">
        <v>331</v>
      </c>
      <c r="P26" s="48">
        <v>2678</v>
      </c>
      <c r="Q26" s="48">
        <v>1727</v>
      </c>
      <c r="R26" s="48">
        <v>1012</v>
      </c>
      <c r="S26" s="48">
        <v>345</v>
      </c>
      <c r="T26" s="48">
        <v>2466</v>
      </c>
      <c r="U26" s="48">
        <v>1534</v>
      </c>
      <c r="V26" s="48">
        <v>853</v>
      </c>
      <c r="W26" s="48"/>
      <c r="X26" s="48"/>
      <c r="Y26" s="48"/>
      <c r="Z26" s="48"/>
      <c r="AA26" s="49"/>
      <c r="AB26" s="49"/>
      <c r="AC26" s="48">
        <v>76</v>
      </c>
    </row>
    <row r="27" spans="1:29">
      <c r="A27" s="48" t="s">
        <v>19</v>
      </c>
      <c r="B27" s="48" t="s">
        <v>147</v>
      </c>
      <c r="C27" s="48" t="s">
        <v>159</v>
      </c>
      <c r="D27" s="48" t="s">
        <v>159</v>
      </c>
      <c r="E27" s="48" t="s">
        <v>95</v>
      </c>
      <c r="F27" s="48">
        <v>2</v>
      </c>
      <c r="G27" s="48" t="s">
        <v>160</v>
      </c>
      <c r="H27" s="48" t="s">
        <v>92</v>
      </c>
      <c r="I27" s="48" t="s">
        <v>97</v>
      </c>
      <c r="J27" s="48" t="s">
        <v>154</v>
      </c>
      <c r="K27" s="48">
        <v>7702072955</v>
      </c>
      <c r="L27" s="48">
        <v>980</v>
      </c>
      <c r="M27" s="48">
        <v>998</v>
      </c>
      <c r="N27" s="48">
        <v>1978</v>
      </c>
      <c r="O27" s="48">
        <v>35</v>
      </c>
      <c r="P27" s="48">
        <v>468</v>
      </c>
      <c r="Q27" s="48">
        <v>318</v>
      </c>
      <c r="R27" s="48">
        <v>177</v>
      </c>
      <c r="S27" s="48">
        <v>64</v>
      </c>
      <c r="T27" s="48">
        <v>465</v>
      </c>
      <c r="U27" s="48">
        <v>283</v>
      </c>
      <c r="V27" s="48">
        <v>168</v>
      </c>
      <c r="W27" s="48"/>
      <c r="X27" s="48"/>
      <c r="Y27" s="48"/>
      <c r="Z27" s="48"/>
      <c r="AA27" s="49"/>
      <c r="AB27" s="49"/>
      <c r="AC27" s="48">
        <v>76</v>
      </c>
    </row>
    <row r="28" spans="1:29">
      <c r="A28" s="48" t="s">
        <v>19</v>
      </c>
      <c r="B28" s="48" t="s">
        <v>147</v>
      </c>
      <c r="C28" s="48" t="s">
        <v>161</v>
      </c>
      <c r="D28" s="48" t="s">
        <v>161</v>
      </c>
      <c r="E28" s="48" t="s">
        <v>95</v>
      </c>
      <c r="F28" s="48">
        <v>1</v>
      </c>
      <c r="G28" s="48" t="s">
        <v>162</v>
      </c>
      <c r="H28" s="48" t="s">
        <v>4</v>
      </c>
      <c r="I28" s="48" t="s">
        <v>93</v>
      </c>
      <c r="J28" s="48" t="s">
        <v>125</v>
      </c>
      <c r="K28" s="48">
        <v>9849668073</v>
      </c>
      <c r="L28" s="48">
        <v>515</v>
      </c>
      <c r="M28" s="48">
        <v>564</v>
      </c>
      <c r="N28" s="48">
        <v>1079</v>
      </c>
      <c r="O28" s="48">
        <v>26</v>
      </c>
      <c r="P28" s="48">
        <v>246</v>
      </c>
      <c r="Q28" s="48">
        <v>194</v>
      </c>
      <c r="R28" s="48">
        <v>98</v>
      </c>
      <c r="S28" s="48">
        <v>30</v>
      </c>
      <c r="T28" s="48">
        <v>246</v>
      </c>
      <c r="U28" s="48">
        <v>155</v>
      </c>
      <c r="V28" s="48">
        <v>84</v>
      </c>
      <c r="W28" s="48"/>
      <c r="X28" s="48"/>
      <c r="Y28" s="48"/>
      <c r="Z28" s="48"/>
      <c r="AA28" s="49"/>
      <c r="AB28" s="49"/>
      <c r="AC28" s="48"/>
    </row>
    <row r="29" spans="1:29">
      <c r="A29" s="48" t="s">
        <v>19</v>
      </c>
      <c r="B29" s="48" t="s">
        <v>147</v>
      </c>
      <c r="C29" s="48" t="s">
        <v>163</v>
      </c>
      <c r="D29" s="48" t="s">
        <v>163</v>
      </c>
      <c r="E29" s="48" t="s">
        <v>95</v>
      </c>
      <c r="F29" s="48">
        <v>5</v>
      </c>
      <c r="G29" s="48" t="s">
        <v>164</v>
      </c>
      <c r="H29" s="48" t="s">
        <v>4</v>
      </c>
      <c r="I29" s="48" t="s">
        <v>119</v>
      </c>
      <c r="J29" s="48" t="s">
        <v>165</v>
      </c>
      <c r="K29" s="48">
        <v>9640604838</v>
      </c>
      <c r="L29" s="48">
        <v>0</v>
      </c>
      <c r="M29" s="48">
        <v>0</v>
      </c>
      <c r="N29" s="48">
        <v>4938</v>
      </c>
      <c r="O29" s="48">
        <v>0</v>
      </c>
      <c r="P29" s="48">
        <v>0</v>
      </c>
      <c r="Q29" s="48">
        <v>0</v>
      </c>
      <c r="R29" s="48">
        <v>0</v>
      </c>
      <c r="S29" s="48">
        <v>0</v>
      </c>
      <c r="T29" s="48">
        <v>0</v>
      </c>
      <c r="U29" s="48">
        <v>0</v>
      </c>
      <c r="V29" s="48">
        <v>0</v>
      </c>
      <c r="W29" s="48"/>
      <c r="X29" s="48"/>
      <c r="Y29" s="48"/>
      <c r="Z29" s="48"/>
      <c r="AA29" s="49"/>
      <c r="AB29" s="49"/>
      <c r="AC29" s="48"/>
    </row>
    <row r="30" spans="1:29">
      <c r="A30" s="48" t="s">
        <v>19</v>
      </c>
      <c r="B30" s="48" t="s">
        <v>147</v>
      </c>
      <c r="C30" s="48" t="s">
        <v>166</v>
      </c>
      <c r="D30" s="48" t="s">
        <v>166</v>
      </c>
      <c r="E30" s="48" t="s">
        <v>90</v>
      </c>
      <c r="F30" s="48">
        <v>7</v>
      </c>
      <c r="G30" s="48" t="s">
        <v>167</v>
      </c>
      <c r="H30" s="48" t="s">
        <v>92</v>
      </c>
      <c r="I30" s="48" t="s">
        <v>113</v>
      </c>
      <c r="J30" s="48" t="s">
        <v>114</v>
      </c>
      <c r="K30" s="48">
        <v>9652219718</v>
      </c>
      <c r="L30" s="48">
        <v>2868</v>
      </c>
      <c r="M30" s="48">
        <v>3032</v>
      </c>
      <c r="N30" s="48">
        <v>5917</v>
      </c>
      <c r="O30" s="48">
        <v>52</v>
      </c>
      <c r="P30" s="48">
        <v>531</v>
      </c>
      <c r="Q30" s="48">
        <v>405</v>
      </c>
      <c r="R30" s="48">
        <v>343</v>
      </c>
      <c r="S30" s="48">
        <v>55</v>
      </c>
      <c r="T30" s="48">
        <v>546</v>
      </c>
      <c r="U30" s="48">
        <v>431</v>
      </c>
      <c r="V30" s="48">
        <v>255</v>
      </c>
      <c r="W30" s="48"/>
      <c r="X30" s="48"/>
      <c r="Y30" s="48"/>
      <c r="Z30" s="48"/>
      <c r="AA30" s="49"/>
      <c r="AB30" s="49"/>
      <c r="AC30" s="48">
        <v>78</v>
      </c>
    </row>
    <row r="31" spans="1:29">
      <c r="A31" s="48" t="s">
        <v>19</v>
      </c>
      <c r="B31" s="48" t="s">
        <v>147</v>
      </c>
      <c r="C31" s="48" t="s">
        <v>168</v>
      </c>
      <c r="D31" s="48" t="s">
        <v>168</v>
      </c>
      <c r="E31" s="48" t="s">
        <v>90</v>
      </c>
      <c r="F31" s="48">
        <v>5</v>
      </c>
      <c r="G31" s="48" t="s">
        <v>169</v>
      </c>
      <c r="H31" s="48" t="s">
        <v>92</v>
      </c>
      <c r="I31" s="48" t="s">
        <v>102</v>
      </c>
      <c r="J31" s="48" t="s">
        <v>98</v>
      </c>
      <c r="K31" s="48">
        <v>9359889999</v>
      </c>
      <c r="L31" s="48">
        <v>1621</v>
      </c>
      <c r="M31" s="48">
        <v>2071</v>
      </c>
      <c r="N31" s="48">
        <v>4953</v>
      </c>
      <c r="O31" s="48">
        <v>129</v>
      </c>
      <c r="P31" s="48">
        <v>933</v>
      </c>
      <c r="Q31" s="48">
        <v>644</v>
      </c>
      <c r="R31" s="48">
        <v>364</v>
      </c>
      <c r="S31" s="48">
        <v>124</v>
      </c>
      <c r="T31" s="48">
        <v>811</v>
      </c>
      <c r="U31" s="48">
        <v>437</v>
      </c>
      <c r="V31" s="48">
        <v>249</v>
      </c>
      <c r="W31" s="48"/>
      <c r="X31" s="48"/>
      <c r="Y31" s="48"/>
      <c r="Z31" s="48"/>
      <c r="AA31" s="49"/>
      <c r="AB31" s="49"/>
      <c r="AC31" s="48">
        <v>84</v>
      </c>
    </row>
    <row r="32" spans="1:29">
      <c r="A32" s="48" t="s">
        <v>19</v>
      </c>
      <c r="B32" s="48" t="s">
        <v>147</v>
      </c>
      <c r="C32" s="48" t="s">
        <v>170</v>
      </c>
      <c r="D32" s="48" t="s">
        <v>170</v>
      </c>
      <c r="E32" s="48" t="s">
        <v>90</v>
      </c>
      <c r="F32" s="48">
        <v>6</v>
      </c>
      <c r="G32" s="48" t="s">
        <v>171</v>
      </c>
      <c r="H32" s="48" t="s">
        <v>4</v>
      </c>
      <c r="I32" s="48" t="s">
        <v>97</v>
      </c>
      <c r="J32" s="48" t="s">
        <v>107</v>
      </c>
      <c r="K32" s="48">
        <v>8099534455</v>
      </c>
      <c r="L32" s="48">
        <v>0</v>
      </c>
      <c r="M32" s="48">
        <v>0</v>
      </c>
      <c r="N32" s="48">
        <v>4652</v>
      </c>
      <c r="O32" s="48">
        <v>0</v>
      </c>
      <c r="P32" s="48">
        <v>0</v>
      </c>
      <c r="Q32" s="48">
        <v>0</v>
      </c>
      <c r="R32" s="48">
        <v>0</v>
      </c>
      <c r="S32" s="48">
        <v>0</v>
      </c>
      <c r="T32" s="48">
        <v>0</v>
      </c>
      <c r="U32" s="48">
        <v>0</v>
      </c>
      <c r="V32" s="48">
        <v>0</v>
      </c>
      <c r="W32" s="48"/>
      <c r="X32" s="48"/>
      <c r="Y32" s="48"/>
      <c r="Z32" s="48"/>
      <c r="AA32" s="49"/>
      <c r="AB32" s="49"/>
      <c r="AC32" s="48">
        <v>67</v>
      </c>
    </row>
    <row r="33" spans="1:29">
      <c r="A33" s="48" t="s">
        <v>19</v>
      </c>
      <c r="B33" s="48" t="s">
        <v>147</v>
      </c>
      <c r="C33" s="48" t="s">
        <v>170</v>
      </c>
      <c r="D33" s="48" t="s">
        <v>172</v>
      </c>
      <c r="E33" s="48" t="s">
        <v>95</v>
      </c>
      <c r="F33" s="48">
        <v>1</v>
      </c>
      <c r="G33" s="48" t="s">
        <v>171</v>
      </c>
      <c r="H33" s="48" t="s">
        <v>4</v>
      </c>
      <c r="I33" s="48" t="s">
        <v>97</v>
      </c>
      <c r="J33" s="48" t="s">
        <v>107</v>
      </c>
      <c r="K33" s="48">
        <v>8099534455</v>
      </c>
      <c r="L33" s="48">
        <v>0</v>
      </c>
      <c r="M33" s="48">
        <v>0</v>
      </c>
      <c r="N33" s="48">
        <v>1004</v>
      </c>
      <c r="O33" s="48">
        <v>0</v>
      </c>
      <c r="P33" s="48">
        <v>0</v>
      </c>
      <c r="Q33" s="48">
        <v>0</v>
      </c>
      <c r="R33" s="48">
        <v>0</v>
      </c>
      <c r="S33" s="48">
        <v>0</v>
      </c>
      <c r="T33" s="48">
        <v>0</v>
      </c>
      <c r="U33" s="48">
        <v>0</v>
      </c>
      <c r="V33" s="48">
        <v>0</v>
      </c>
      <c r="W33" s="48"/>
      <c r="X33" s="48"/>
      <c r="Y33" s="48"/>
      <c r="Z33" s="48"/>
      <c r="AA33" s="49"/>
      <c r="AB33" s="49"/>
      <c r="AC33" s="48">
        <v>67</v>
      </c>
    </row>
    <row r="34" spans="1:29">
      <c r="A34" s="48" t="s">
        <v>19</v>
      </c>
      <c r="B34" s="48" t="s">
        <v>147</v>
      </c>
      <c r="C34" s="48" t="s">
        <v>173</v>
      </c>
      <c r="D34" s="48" t="s">
        <v>173</v>
      </c>
      <c r="E34" s="48" t="s">
        <v>95</v>
      </c>
      <c r="F34" s="48">
        <v>7</v>
      </c>
      <c r="G34" s="48" t="s">
        <v>174</v>
      </c>
      <c r="H34" s="48" t="s">
        <v>4</v>
      </c>
      <c r="I34" s="48" t="s">
        <v>142</v>
      </c>
      <c r="J34" s="48" t="s">
        <v>114</v>
      </c>
      <c r="K34" s="48">
        <v>9441596400</v>
      </c>
      <c r="L34" s="48">
        <v>2589</v>
      </c>
      <c r="M34" s="48">
        <v>2711</v>
      </c>
      <c r="N34" s="48">
        <v>5301</v>
      </c>
      <c r="O34" s="48">
        <v>116</v>
      </c>
      <c r="P34" s="48">
        <v>1225</v>
      </c>
      <c r="Q34" s="48">
        <v>826</v>
      </c>
      <c r="R34" s="48">
        <v>543</v>
      </c>
      <c r="S34" s="48">
        <v>164</v>
      </c>
      <c r="T34" s="48">
        <v>1231</v>
      </c>
      <c r="U34" s="48">
        <v>784</v>
      </c>
      <c r="V34" s="48">
        <v>409</v>
      </c>
      <c r="W34" s="48"/>
      <c r="X34" s="48"/>
      <c r="Y34" s="48"/>
      <c r="Z34" s="48"/>
      <c r="AA34" s="49"/>
      <c r="AB34" s="49"/>
      <c r="AC34" s="48">
        <v>79</v>
      </c>
    </row>
    <row r="35" spans="1:29">
      <c r="A35" s="48" t="s">
        <v>19</v>
      </c>
      <c r="B35" s="48" t="s">
        <v>147</v>
      </c>
      <c r="C35" s="48" t="s">
        <v>175</v>
      </c>
      <c r="D35" s="48" t="s">
        <v>175</v>
      </c>
      <c r="E35" s="48" t="s">
        <v>90</v>
      </c>
      <c r="F35" s="48">
        <v>4</v>
      </c>
      <c r="G35" s="48" t="s">
        <v>176</v>
      </c>
      <c r="H35" s="48" t="s">
        <v>92</v>
      </c>
      <c r="I35" s="48" t="s">
        <v>102</v>
      </c>
      <c r="J35" s="48" t="s">
        <v>139</v>
      </c>
      <c r="K35" s="48">
        <v>9848106951</v>
      </c>
      <c r="L35" s="48">
        <v>1660</v>
      </c>
      <c r="M35" s="48">
        <v>1716</v>
      </c>
      <c r="N35" s="48">
        <v>3377</v>
      </c>
      <c r="O35" s="48">
        <v>102</v>
      </c>
      <c r="P35" s="48">
        <v>785</v>
      </c>
      <c r="Q35" s="48">
        <v>465</v>
      </c>
      <c r="R35" s="48">
        <v>364</v>
      </c>
      <c r="S35" s="48">
        <v>126</v>
      </c>
      <c r="T35" s="48">
        <v>793</v>
      </c>
      <c r="U35" s="48">
        <v>433</v>
      </c>
      <c r="V35" s="48">
        <v>308</v>
      </c>
      <c r="W35" s="48"/>
      <c r="X35" s="48"/>
      <c r="Y35" s="48"/>
      <c r="Z35" s="48"/>
      <c r="AA35" s="49"/>
      <c r="AB35" s="49"/>
      <c r="AC35" s="48">
        <v>78</v>
      </c>
    </row>
    <row r="36" spans="1:29">
      <c r="A36" s="48" t="s">
        <v>19</v>
      </c>
      <c r="B36" s="48" t="s">
        <v>147</v>
      </c>
      <c r="C36" s="48" t="s">
        <v>177</v>
      </c>
      <c r="D36" s="48" t="s">
        <v>177</v>
      </c>
      <c r="E36" s="48" t="s">
        <v>90</v>
      </c>
      <c r="F36" s="48">
        <v>4</v>
      </c>
      <c r="G36" s="48" t="s">
        <v>178</v>
      </c>
      <c r="H36" s="48" t="s">
        <v>4</v>
      </c>
      <c r="I36" s="48" t="s">
        <v>93</v>
      </c>
      <c r="J36" s="48" t="s">
        <v>139</v>
      </c>
      <c r="K36" s="48">
        <v>9573277999</v>
      </c>
      <c r="L36" s="48">
        <v>912</v>
      </c>
      <c r="M36" s="48">
        <v>940</v>
      </c>
      <c r="N36" s="48">
        <v>2608</v>
      </c>
      <c r="O36" s="48">
        <v>36</v>
      </c>
      <c r="P36" s="48">
        <v>407</v>
      </c>
      <c r="Q36" s="48">
        <v>297</v>
      </c>
      <c r="R36" s="48">
        <v>200</v>
      </c>
      <c r="S36" s="48">
        <v>73</v>
      </c>
      <c r="T36" s="48">
        <v>399</v>
      </c>
      <c r="U36" s="48">
        <v>285</v>
      </c>
      <c r="V36" s="48">
        <v>154</v>
      </c>
      <c r="W36" s="48"/>
      <c r="X36" s="48"/>
      <c r="Y36" s="48"/>
      <c r="Z36" s="48"/>
      <c r="AA36" s="49"/>
      <c r="AB36" s="49"/>
      <c r="AC36" s="48">
        <v>87</v>
      </c>
    </row>
    <row r="37" spans="1:29">
      <c r="A37" s="48" t="s">
        <v>19</v>
      </c>
      <c r="B37" s="48" t="s">
        <v>147</v>
      </c>
      <c r="C37" s="48" t="s">
        <v>179</v>
      </c>
      <c r="D37" s="48" t="s">
        <v>179</v>
      </c>
      <c r="E37" s="48" t="s">
        <v>95</v>
      </c>
      <c r="F37" s="48">
        <v>2</v>
      </c>
      <c r="G37" s="48" t="s">
        <v>180</v>
      </c>
      <c r="H37" s="48" t="s">
        <v>92</v>
      </c>
      <c r="I37" s="48" t="s">
        <v>119</v>
      </c>
      <c r="J37" s="48" t="s">
        <v>107</v>
      </c>
      <c r="K37" s="48">
        <v>9618328505</v>
      </c>
      <c r="L37" s="48">
        <v>672</v>
      </c>
      <c r="M37" s="48">
        <v>700</v>
      </c>
      <c r="N37" s="48">
        <v>1372</v>
      </c>
      <c r="O37" s="48">
        <v>44</v>
      </c>
      <c r="P37" s="48">
        <v>315</v>
      </c>
      <c r="Q37" s="48">
        <v>213</v>
      </c>
      <c r="R37" s="48">
        <v>128</v>
      </c>
      <c r="S37" s="48">
        <v>35</v>
      </c>
      <c r="T37" s="48">
        <v>351</v>
      </c>
      <c r="U37" s="48">
        <v>170</v>
      </c>
      <c r="V37" s="48">
        <v>115</v>
      </c>
      <c r="W37" s="48"/>
      <c r="X37" s="48"/>
      <c r="Y37" s="48"/>
      <c r="Z37" s="48"/>
      <c r="AA37" s="49"/>
      <c r="AB37" s="49"/>
      <c r="AC37" s="48"/>
    </row>
    <row r="38" spans="1:29">
      <c r="A38" s="48" t="s">
        <v>19</v>
      </c>
      <c r="B38" s="48" t="s">
        <v>147</v>
      </c>
      <c r="C38" s="48" t="s">
        <v>179</v>
      </c>
      <c r="D38" s="48" t="s">
        <v>181</v>
      </c>
      <c r="E38" s="48" t="s">
        <v>100</v>
      </c>
      <c r="F38" s="48">
        <v>1</v>
      </c>
      <c r="G38" s="48" t="s">
        <v>180</v>
      </c>
      <c r="H38" s="48" t="s">
        <v>92</v>
      </c>
      <c r="I38" s="48" t="s">
        <v>119</v>
      </c>
      <c r="J38" s="48" t="s">
        <v>107</v>
      </c>
      <c r="K38" s="48">
        <v>9618328505</v>
      </c>
      <c r="L38" s="48">
        <v>370</v>
      </c>
      <c r="M38" s="48">
        <v>351</v>
      </c>
      <c r="N38" s="48">
        <v>721</v>
      </c>
      <c r="O38" s="48">
        <v>19</v>
      </c>
      <c r="P38" s="48">
        <v>184</v>
      </c>
      <c r="Q38" s="48">
        <v>89</v>
      </c>
      <c r="R38" s="48">
        <v>59</v>
      </c>
      <c r="S38" s="48">
        <v>24</v>
      </c>
      <c r="T38" s="48">
        <v>203</v>
      </c>
      <c r="U38" s="48">
        <v>96</v>
      </c>
      <c r="V38" s="48">
        <v>47</v>
      </c>
      <c r="W38" s="48"/>
      <c r="X38" s="48"/>
      <c r="Y38" s="48"/>
      <c r="Z38" s="48"/>
      <c r="AA38" s="49"/>
      <c r="AB38" s="49"/>
      <c r="AC38" s="48"/>
    </row>
    <row r="39" spans="1:29">
      <c r="A39" s="48" t="s">
        <v>19</v>
      </c>
      <c r="B39" s="48" t="s">
        <v>19</v>
      </c>
      <c r="C39" s="48" t="s">
        <v>182</v>
      </c>
      <c r="D39" s="48" t="s">
        <v>182</v>
      </c>
      <c r="E39" s="48" t="s">
        <v>90</v>
      </c>
      <c r="F39" s="48">
        <v>2</v>
      </c>
      <c r="G39" s="48" t="s">
        <v>183</v>
      </c>
      <c r="H39" s="48" t="s">
        <v>92</v>
      </c>
      <c r="I39" s="48" t="s">
        <v>102</v>
      </c>
      <c r="J39" s="48" t="s">
        <v>139</v>
      </c>
      <c r="K39" s="48">
        <v>9505415559</v>
      </c>
      <c r="L39" s="48">
        <v>680</v>
      </c>
      <c r="M39" s="48">
        <v>648</v>
      </c>
      <c r="N39" s="48">
        <v>1328</v>
      </c>
      <c r="O39" s="48">
        <v>46</v>
      </c>
      <c r="P39" s="48">
        <v>312</v>
      </c>
      <c r="Q39" s="48">
        <v>184</v>
      </c>
      <c r="R39" s="48">
        <v>106</v>
      </c>
      <c r="S39" s="48">
        <v>77</v>
      </c>
      <c r="T39" s="48">
        <v>331</v>
      </c>
      <c r="U39" s="48">
        <v>164</v>
      </c>
      <c r="V39" s="48">
        <v>108</v>
      </c>
      <c r="W39" s="48"/>
      <c r="X39" s="48"/>
      <c r="Y39" s="48"/>
      <c r="Z39" s="48"/>
      <c r="AA39" s="49"/>
      <c r="AB39" s="49"/>
      <c r="AC39" s="48">
        <v>78</v>
      </c>
    </row>
    <row r="40" spans="1:29">
      <c r="A40" s="48" t="s">
        <v>19</v>
      </c>
      <c r="B40" s="48" t="s">
        <v>19</v>
      </c>
      <c r="C40" s="48" t="s">
        <v>184</v>
      </c>
      <c r="D40" s="48" t="s">
        <v>184</v>
      </c>
      <c r="E40" s="48" t="s">
        <v>90</v>
      </c>
      <c r="F40" s="48">
        <v>2</v>
      </c>
      <c r="G40" s="48" t="s">
        <v>185</v>
      </c>
      <c r="H40" s="48" t="s">
        <v>4</v>
      </c>
      <c r="I40" s="48" t="s">
        <v>93</v>
      </c>
      <c r="J40" s="48" t="s">
        <v>103</v>
      </c>
      <c r="K40" s="48">
        <v>9959432912</v>
      </c>
      <c r="L40" s="48">
        <v>752</v>
      </c>
      <c r="M40" s="48">
        <v>795</v>
      </c>
      <c r="N40" s="48">
        <v>1547</v>
      </c>
      <c r="O40" s="48">
        <v>65</v>
      </c>
      <c r="P40" s="48">
        <v>407</v>
      </c>
      <c r="Q40" s="48">
        <v>189</v>
      </c>
      <c r="R40" s="48">
        <v>134</v>
      </c>
      <c r="S40" s="48">
        <v>76</v>
      </c>
      <c r="T40" s="48">
        <v>395</v>
      </c>
      <c r="U40" s="48">
        <v>169</v>
      </c>
      <c r="V40" s="48">
        <v>112</v>
      </c>
      <c r="W40" s="48"/>
      <c r="X40" s="48"/>
      <c r="Y40" s="48"/>
      <c r="Z40" s="48"/>
      <c r="AA40" s="49"/>
      <c r="AB40" s="49"/>
      <c r="AC40" s="48">
        <v>85</v>
      </c>
    </row>
    <row r="41" spans="1:29">
      <c r="A41" s="48" t="s">
        <v>19</v>
      </c>
      <c r="B41" s="48" t="s">
        <v>19</v>
      </c>
      <c r="C41" s="48" t="s">
        <v>186</v>
      </c>
      <c r="D41" s="48" t="s">
        <v>187</v>
      </c>
      <c r="E41" s="48" t="s">
        <v>90</v>
      </c>
      <c r="F41" s="48">
        <v>1</v>
      </c>
      <c r="G41" s="48" t="s">
        <v>188</v>
      </c>
      <c r="H41" s="48" t="s">
        <v>92</v>
      </c>
      <c r="I41" s="48" t="s">
        <v>119</v>
      </c>
      <c r="J41" s="48" t="s">
        <v>98</v>
      </c>
      <c r="K41" s="48">
        <v>9010126289</v>
      </c>
      <c r="L41" s="48">
        <v>190</v>
      </c>
      <c r="M41" s="48">
        <v>176</v>
      </c>
      <c r="N41" s="48">
        <v>366</v>
      </c>
      <c r="O41" s="48">
        <v>6</v>
      </c>
      <c r="P41" s="48">
        <v>95</v>
      </c>
      <c r="Q41" s="52">
        <v>45</v>
      </c>
      <c r="R41" s="48">
        <v>30</v>
      </c>
      <c r="S41" s="48">
        <v>14</v>
      </c>
      <c r="T41" s="48">
        <v>99</v>
      </c>
      <c r="U41" s="48">
        <v>45</v>
      </c>
      <c r="V41" s="48">
        <v>32</v>
      </c>
      <c r="W41" s="48"/>
      <c r="X41" s="48"/>
      <c r="Y41" s="52"/>
      <c r="Z41" s="52"/>
      <c r="AA41" s="49"/>
      <c r="AB41" s="49"/>
      <c r="AC41" s="48">
        <v>80</v>
      </c>
    </row>
    <row r="42" spans="1:29">
      <c r="A42" s="48" t="s">
        <v>19</v>
      </c>
      <c r="B42" s="48" t="s">
        <v>19</v>
      </c>
      <c r="C42" s="48" t="s">
        <v>186</v>
      </c>
      <c r="D42" s="48" t="s">
        <v>186</v>
      </c>
      <c r="E42" s="48" t="s">
        <v>90</v>
      </c>
      <c r="F42" s="48">
        <v>2</v>
      </c>
      <c r="G42" s="48" t="s">
        <v>188</v>
      </c>
      <c r="H42" s="48" t="s">
        <v>92</v>
      </c>
      <c r="I42" s="48" t="s">
        <v>119</v>
      </c>
      <c r="J42" s="48" t="s">
        <v>98</v>
      </c>
      <c r="K42" s="48">
        <v>9010126289</v>
      </c>
      <c r="L42" s="48">
        <v>1039</v>
      </c>
      <c r="M42" s="48">
        <v>1013</v>
      </c>
      <c r="N42" s="48">
        <v>2052</v>
      </c>
      <c r="O42" s="48">
        <v>76</v>
      </c>
      <c r="P42" s="48">
        <v>506</v>
      </c>
      <c r="Q42" s="48">
        <v>271</v>
      </c>
      <c r="R42" s="48">
        <v>160</v>
      </c>
      <c r="S42" s="48">
        <v>155</v>
      </c>
      <c r="T42" s="48">
        <v>503</v>
      </c>
      <c r="U42" s="48">
        <v>262</v>
      </c>
      <c r="V42" s="48">
        <v>118</v>
      </c>
      <c r="W42" s="48"/>
      <c r="X42" s="52"/>
      <c r="Y42" s="48"/>
      <c r="Z42" s="48"/>
      <c r="AA42" s="49"/>
      <c r="AB42" s="49"/>
      <c r="AC42" s="48">
        <v>80</v>
      </c>
    </row>
    <row r="43" spans="1:29">
      <c r="A43" s="48" t="s">
        <v>19</v>
      </c>
      <c r="B43" s="48" t="s">
        <v>19</v>
      </c>
      <c r="C43" s="48" t="s">
        <v>189</v>
      </c>
      <c r="D43" s="48" t="s">
        <v>189</v>
      </c>
      <c r="E43" s="48" t="s">
        <v>90</v>
      </c>
      <c r="F43" s="48">
        <v>4</v>
      </c>
      <c r="G43" s="48" t="s">
        <v>190</v>
      </c>
      <c r="H43" s="48" t="s">
        <v>92</v>
      </c>
      <c r="I43" s="48" t="s">
        <v>97</v>
      </c>
      <c r="J43" s="48" t="s">
        <v>107</v>
      </c>
      <c r="K43" s="48">
        <v>9885898499</v>
      </c>
      <c r="L43" s="48">
        <v>1354</v>
      </c>
      <c r="M43" s="48">
        <v>1436</v>
      </c>
      <c r="N43" s="48">
        <v>2790</v>
      </c>
      <c r="O43" s="48">
        <v>57</v>
      </c>
      <c r="P43" s="48">
        <v>683</v>
      </c>
      <c r="Q43" s="48">
        <v>413</v>
      </c>
      <c r="R43" s="48">
        <v>283</v>
      </c>
      <c r="S43" s="48">
        <v>91</v>
      </c>
      <c r="T43" s="48">
        <v>675</v>
      </c>
      <c r="U43" s="48">
        <v>379</v>
      </c>
      <c r="V43" s="48">
        <v>209</v>
      </c>
      <c r="W43" s="48"/>
      <c r="X43" s="48"/>
      <c r="Y43" s="48"/>
      <c r="Z43" s="48"/>
      <c r="AA43" s="49"/>
      <c r="AB43" s="49"/>
      <c r="AC43" s="48">
        <v>71</v>
      </c>
    </row>
    <row r="44" spans="1:29">
      <c r="A44" s="48" t="s">
        <v>19</v>
      </c>
      <c r="B44" s="48" t="s">
        <v>19</v>
      </c>
      <c r="C44" s="48" t="s">
        <v>191</v>
      </c>
      <c r="D44" s="48" t="s">
        <v>191</v>
      </c>
      <c r="E44" s="48" t="s">
        <v>90</v>
      </c>
      <c r="F44" s="48">
        <v>3</v>
      </c>
      <c r="G44" s="48" t="s">
        <v>192</v>
      </c>
      <c r="H44" s="48" t="s">
        <v>92</v>
      </c>
      <c r="I44" s="48" t="s">
        <v>93</v>
      </c>
      <c r="J44" s="48" t="s">
        <v>139</v>
      </c>
      <c r="K44" s="48">
        <v>9959581167</v>
      </c>
      <c r="L44" s="48">
        <v>1386</v>
      </c>
      <c r="M44" s="48">
        <v>1393</v>
      </c>
      <c r="N44" s="48">
        <v>2779</v>
      </c>
      <c r="O44" s="48">
        <v>92</v>
      </c>
      <c r="P44" s="48">
        <v>703</v>
      </c>
      <c r="Q44" s="48">
        <v>356</v>
      </c>
      <c r="R44" s="48">
        <v>242</v>
      </c>
      <c r="S44" s="48">
        <v>120</v>
      </c>
      <c r="T44" s="48">
        <v>745</v>
      </c>
      <c r="U44" s="48">
        <v>337</v>
      </c>
      <c r="V44" s="48">
        <v>182</v>
      </c>
      <c r="W44" s="48"/>
      <c r="X44" s="48"/>
      <c r="Y44" s="48"/>
      <c r="Z44" s="48"/>
      <c r="AA44" s="49"/>
      <c r="AB44" s="49"/>
      <c r="AC44" s="48">
        <v>72</v>
      </c>
    </row>
    <row r="45" spans="1:29">
      <c r="A45" s="48" t="s">
        <v>19</v>
      </c>
      <c r="B45" s="48" t="s">
        <v>19</v>
      </c>
      <c r="C45" s="48" t="s">
        <v>19</v>
      </c>
      <c r="D45" s="48" t="s">
        <v>19</v>
      </c>
      <c r="E45" s="48" t="s">
        <v>90</v>
      </c>
      <c r="F45" s="48">
        <v>18</v>
      </c>
      <c r="G45" s="48" t="s">
        <v>193</v>
      </c>
      <c r="H45" s="48" t="s">
        <v>92</v>
      </c>
      <c r="I45" s="48" t="s">
        <v>142</v>
      </c>
      <c r="J45" s="48" t="s">
        <v>114</v>
      </c>
      <c r="K45" s="48">
        <v>9666892228</v>
      </c>
      <c r="L45" s="48">
        <v>7495</v>
      </c>
      <c r="M45" s="48">
        <v>8184</v>
      </c>
      <c r="N45" s="48">
        <v>15688</v>
      </c>
      <c r="O45" s="48">
        <v>540</v>
      </c>
      <c r="P45" s="48">
        <v>4108</v>
      </c>
      <c r="Q45" s="48">
        <v>2248</v>
      </c>
      <c r="R45" s="48">
        <v>1286</v>
      </c>
      <c r="S45" s="48">
        <v>566</v>
      </c>
      <c r="T45" s="48">
        <v>3847</v>
      </c>
      <c r="U45" s="48">
        <v>1948</v>
      </c>
      <c r="V45" s="48">
        <v>1134</v>
      </c>
      <c r="W45" s="48"/>
      <c r="X45" s="48"/>
      <c r="Y45" s="48"/>
      <c r="Z45" s="48"/>
      <c r="AA45" s="49"/>
      <c r="AB45" s="49"/>
      <c r="AC45" s="48">
        <v>82</v>
      </c>
    </row>
    <row r="46" spans="1:29">
      <c r="A46" s="48" t="s">
        <v>19</v>
      </c>
      <c r="B46" s="48" t="s">
        <v>19</v>
      </c>
      <c r="C46" s="48" t="s">
        <v>19</v>
      </c>
      <c r="D46" s="48" t="s">
        <v>194</v>
      </c>
      <c r="E46" s="48" t="s">
        <v>100</v>
      </c>
      <c r="F46" s="48">
        <v>1</v>
      </c>
      <c r="G46" s="48" t="s">
        <v>193</v>
      </c>
      <c r="H46" s="48" t="s">
        <v>92</v>
      </c>
      <c r="I46" s="48" t="s">
        <v>142</v>
      </c>
      <c r="J46" s="48" t="s">
        <v>114</v>
      </c>
      <c r="K46" s="48">
        <v>9666892228</v>
      </c>
      <c r="L46" s="48">
        <v>466</v>
      </c>
      <c r="M46" s="48">
        <v>469</v>
      </c>
      <c r="N46" s="48">
        <v>935</v>
      </c>
      <c r="O46" s="48">
        <v>39</v>
      </c>
      <c r="P46" s="48">
        <v>196</v>
      </c>
      <c r="Q46" s="48">
        <v>137</v>
      </c>
      <c r="R46" s="48">
        <v>96</v>
      </c>
      <c r="S46" s="48">
        <v>36</v>
      </c>
      <c r="T46" s="48">
        <v>191</v>
      </c>
      <c r="U46" s="48">
        <v>146</v>
      </c>
      <c r="V46" s="48">
        <v>93</v>
      </c>
      <c r="W46" s="48"/>
      <c r="X46" s="48"/>
      <c r="Y46" s="48"/>
      <c r="Z46" s="48"/>
      <c r="AA46" s="49"/>
      <c r="AB46" s="49"/>
      <c r="AC46" s="48">
        <v>82</v>
      </c>
    </row>
    <row r="47" spans="1:29">
      <c r="A47" s="48" t="s">
        <v>19</v>
      </c>
      <c r="B47" s="48" t="s">
        <v>19</v>
      </c>
      <c r="C47" s="48" t="s">
        <v>195</v>
      </c>
      <c r="D47" s="48" t="s">
        <v>195</v>
      </c>
      <c r="E47" s="48" t="s">
        <v>90</v>
      </c>
      <c r="F47" s="48">
        <v>2</v>
      </c>
      <c r="G47" s="48" t="s">
        <v>196</v>
      </c>
      <c r="H47" s="48" t="s">
        <v>92</v>
      </c>
      <c r="I47" s="48" t="s">
        <v>93</v>
      </c>
      <c r="J47" s="48" t="s">
        <v>139</v>
      </c>
      <c r="K47" s="48">
        <v>9573060895</v>
      </c>
      <c r="L47" s="48">
        <v>994</v>
      </c>
      <c r="M47" s="48">
        <v>936</v>
      </c>
      <c r="N47" s="48">
        <v>1930</v>
      </c>
      <c r="O47" s="48">
        <v>64</v>
      </c>
      <c r="P47" s="48">
        <v>466</v>
      </c>
      <c r="Q47" s="48">
        <v>256</v>
      </c>
      <c r="R47" s="48">
        <v>150</v>
      </c>
      <c r="S47" s="48">
        <v>67</v>
      </c>
      <c r="T47" s="48">
        <v>541</v>
      </c>
      <c r="U47" s="48">
        <v>237</v>
      </c>
      <c r="V47" s="48">
        <v>149</v>
      </c>
      <c r="W47" s="48"/>
      <c r="X47" s="48"/>
      <c r="Y47" s="48"/>
      <c r="Z47" s="48"/>
      <c r="AA47" s="49"/>
      <c r="AB47" s="49"/>
      <c r="AC47" s="48">
        <v>50</v>
      </c>
    </row>
    <row r="48" spans="1:29">
      <c r="A48" s="48" t="s">
        <v>19</v>
      </c>
      <c r="B48" s="48" t="s">
        <v>19</v>
      </c>
      <c r="C48" s="48" t="s">
        <v>197</v>
      </c>
      <c r="D48" s="48" t="s">
        <v>197</v>
      </c>
      <c r="E48" s="48" t="s">
        <v>90</v>
      </c>
      <c r="F48" s="48">
        <v>9</v>
      </c>
      <c r="G48" s="48" t="s">
        <v>198</v>
      </c>
      <c r="H48" s="48" t="s">
        <v>92</v>
      </c>
      <c r="I48" s="48" t="s">
        <v>113</v>
      </c>
      <c r="J48" s="48" t="s">
        <v>114</v>
      </c>
      <c r="K48" s="48">
        <v>9885244148</v>
      </c>
      <c r="L48" s="48">
        <v>4324</v>
      </c>
      <c r="M48" s="48">
        <v>4310</v>
      </c>
      <c r="N48" s="48">
        <v>8634</v>
      </c>
      <c r="O48" s="48">
        <v>160</v>
      </c>
      <c r="P48" s="48">
        <v>2232</v>
      </c>
      <c r="Q48" s="48">
        <v>1166</v>
      </c>
      <c r="R48" s="48">
        <v>751</v>
      </c>
      <c r="S48" s="48">
        <v>301</v>
      </c>
      <c r="T48" s="48">
        <v>2270</v>
      </c>
      <c r="U48" s="48">
        <v>1101</v>
      </c>
      <c r="V48" s="48">
        <v>651</v>
      </c>
      <c r="W48" s="48"/>
      <c r="X48" s="48"/>
      <c r="Y48" s="48"/>
      <c r="Z48" s="48"/>
      <c r="AA48" s="49"/>
      <c r="AB48" s="49"/>
      <c r="AC48" s="48">
        <v>82</v>
      </c>
    </row>
    <row r="49" spans="1:29">
      <c r="A49" s="48" t="s">
        <v>19</v>
      </c>
      <c r="B49" s="48" t="s">
        <v>19</v>
      </c>
      <c r="C49" s="48" t="s">
        <v>199</v>
      </c>
      <c r="D49" s="48" t="s">
        <v>199</v>
      </c>
      <c r="E49" s="48" t="s">
        <v>90</v>
      </c>
      <c r="F49" s="48">
        <v>4</v>
      </c>
      <c r="G49" s="48" t="s">
        <v>200</v>
      </c>
      <c r="H49" s="48" t="s">
        <v>92</v>
      </c>
      <c r="I49" s="48" t="s">
        <v>97</v>
      </c>
      <c r="J49" s="48" t="s">
        <v>165</v>
      </c>
      <c r="K49" s="48">
        <v>9951526664</v>
      </c>
      <c r="L49" s="48">
        <v>1754</v>
      </c>
      <c r="M49" s="48">
        <v>1766</v>
      </c>
      <c r="N49" s="48">
        <v>3520</v>
      </c>
      <c r="O49" s="48">
        <v>101</v>
      </c>
      <c r="P49" s="48">
        <v>842</v>
      </c>
      <c r="Q49" s="48">
        <v>479</v>
      </c>
      <c r="R49" s="48">
        <v>344</v>
      </c>
      <c r="S49" s="48">
        <v>126</v>
      </c>
      <c r="T49" s="48">
        <v>935</v>
      </c>
      <c r="U49" s="48">
        <v>434</v>
      </c>
      <c r="V49" s="48">
        <v>257</v>
      </c>
      <c r="W49" s="48"/>
      <c r="X49" s="48"/>
      <c r="Y49" s="48"/>
      <c r="Z49" s="48"/>
      <c r="AA49" s="49"/>
      <c r="AB49" s="49"/>
      <c r="AC49" s="48">
        <v>87</v>
      </c>
    </row>
    <row r="50" spans="1:29">
      <c r="A50" s="48" t="s">
        <v>19</v>
      </c>
      <c r="B50" s="48" t="s">
        <v>19</v>
      </c>
      <c r="C50" s="48" t="s">
        <v>201</v>
      </c>
      <c r="D50" s="48" t="s">
        <v>201</v>
      </c>
      <c r="E50" s="48" t="s">
        <v>90</v>
      </c>
      <c r="F50" s="48">
        <v>3</v>
      </c>
      <c r="G50" s="48" t="s">
        <v>202</v>
      </c>
      <c r="H50" s="48" t="s">
        <v>92</v>
      </c>
      <c r="I50" s="48" t="s">
        <v>97</v>
      </c>
      <c r="J50" s="48" t="s">
        <v>154</v>
      </c>
      <c r="K50" s="48">
        <v>7731959657</v>
      </c>
      <c r="L50" s="48">
        <v>1157</v>
      </c>
      <c r="M50" s="48">
        <v>1206</v>
      </c>
      <c r="N50" s="48">
        <v>2363</v>
      </c>
      <c r="O50" s="48">
        <v>58</v>
      </c>
      <c r="P50" s="48">
        <v>602</v>
      </c>
      <c r="Q50" s="48">
        <v>319</v>
      </c>
      <c r="R50" s="48">
        <v>227</v>
      </c>
      <c r="S50" s="48">
        <v>99</v>
      </c>
      <c r="T50" s="48">
        <v>557</v>
      </c>
      <c r="U50" s="48">
        <v>319</v>
      </c>
      <c r="V50" s="48">
        <v>180</v>
      </c>
      <c r="W50" s="48"/>
      <c r="X50" s="48"/>
      <c r="Y50" s="48"/>
      <c r="Z50" s="48"/>
      <c r="AA50" s="49"/>
      <c r="AB50" s="49"/>
      <c r="AC50" s="48">
        <v>73</v>
      </c>
    </row>
    <row r="51" spans="1:29">
      <c r="A51" s="48" t="s">
        <v>19</v>
      </c>
      <c r="B51" s="48" t="s">
        <v>19</v>
      </c>
      <c r="C51" s="48" t="s">
        <v>203</v>
      </c>
      <c r="D51" s="48" t="s">
        <v>203</v>
      </c>
      <c r="E51" s="48" t="s">
        <v>90</v>
      </c>
      <c r="F51" s="48">
        <v>3</v>
      </c>
      <c r="G51" s="48" t="s">
        <v>204</v>
      </c>
      <c r="H51" s="48" t="s">
        <v>92</v>
      </c>
      <c r="I51" s="48" t="s">
        <v>119</v>
      </c>
      <c r="J51" s="48" t="s">
        <v>205</v>
      </c>
      <c r="K51" s="48">
        <v>9010804737</v>
      </c>
      <c r="L51" s="48">
        <v>1593</v>
      </c>
      <c r="M51" s="48">
        <v>1618</v>
      </c>
      <c r="N51" s="48">
        <v>3211</v>
      </c>
      <c r="O51" s="48">
        <v>51</v>
      </c>
      <c r="P51" s="48">
        <v>795</v>
      </c>
      <c r="Q51" s="48">
        <v>460</v>
      </c>
      <c r="R51" s="48">
        <v>312</v>
      </c>
      <c r="S51" s="48">
        <v>107</v>
      </c>
      <c r="T51" s="48">
        <v>842</v>
      </c>
      <c r="U51" s="48">
        <v>393</v>
      </c>
      <c r="V51" s="48">
        <v>251</v>
      </c>
      <c r="W51" s="48"/>
      <c r="X51" s="48"/>
      <c r="Y51" s="48"/>
      <c r="Z51" s="48"/>
      <c r="AA51" s="49"/>
      <c r="AB51" s="49"/>
      <c r="AC51" s="48">
        <v>42</v>
      </c>
    </row>
    <row r="52" spans="1:29">
      <c r="A52" s="48" t="s">
        <v>19</v>
      </c>
      <c r="B52" s="48" t="s">
        <v>19</v>
      </c>
      <c r="C52" s="48" t="s">
        <v>206</v>
      </c>
      <c r="D52" s="48" t="s">
        <v>206</v>
      </c>
      <c r="E52" s="48" t="s">
        <v>90</v>
      </c>
      <c r="F52" s="48">
        <v>2</v>
      </c>
      <c r="G52" s="48" t="s">
        <v>207</v>
      </c>
      <c r="H52" s="48" t="s">
        <v>92</v>
      </c>
      <c r="I52" s="48" t="s">
        <v>93</v>
      </c>
      <c r="J52" s="48" t="s">
        <v>139</v>
      </c>
      <c r="K52" s="48">
        <v>9177420734</v>
      </c>
      <c r="L52" s="48">
        <v>736</v>
      </c>
      <c r="M52" s="48">
        <v>715</v>
      </c>
      <c r="N52" s="48">
        <v>1451</v>
      </c>
      <c r="O52" s="48">
        <v>47</v>
      </c>
      <c r="P52" s="48">
        <v>316</v>
      </c>
      <c r="Q52" s="48">
        <v>203</v>
      </c>
      <c r="R52" s="48">
        <v>149</v>
      </c>
      <c r="S52" s="48">
        <v>62</v>
      </c>
      <c r="T52" s="48">
        <v>356</v>
      </c>
      <c r="U52" s="48">
        <v>214</v>
      </c>
      <c r="V52" s="48">
        <v>104</v>
      </c>
      <c r="W52" s="48"/>
      <c r="X52" s="48"/>
      <c r="Y52" s="48"/>
      <c r="Z52" s="48"/>
      <c r="AA52" s="49"/>
      <c r="AB52" s="49"/>
      <c r="AC52" s="48">
        <v>90</v>
      </c>
    </row>
    <row r="53" spans="1:29">
      <c r="A53" s="48" t="s">
        <v>19</v>
      </c>
      <c r="B53" s="48" t="s">
        <v>19</v>
      </c>
      <c r="C53" s="48" t="s">
        <v>208</v>
      </c>
      <c r="D53" s="48" t="s">
        <v>208</v>
      </c>
      <c r="E53" s="48" t="s">
        <v>90</v>
      </c>
      <c r="F53" s="48">
        <v>2</v>
      </c>
      <c r="G53" s="48" t="s">
        <v>209</v>
      </c>
      <c r="H53" s="48" t="s">
        <v>92</v>
      </c>
      <c r="I53" s="48" t="s">
        <v>102</v>
      </c>
      <c r="J53" s="48" t="s">
        <v>139</v>
      </c>
      <c r="K53" s="48">
        <v>9959466333</v>
      </c>
      <c r="L53" s="48">
        <v>947</v>
      </c>
      <c r="M53" s="48">
        <v>943</v>
      </c>
      <c r="N53" s="48">
        <v>1890</v>
      </c>
      <c r="O53" s="48">
        <v>42</v>
      </c>
      <c r="P53" s="48">
        <v>424</v>
      </c>
      <c r="Q53" s="48">
        <v>271</v>
      </c>
      <c r="R53" s="48">
        <v>206</v>
      </c>
      <c r="S53" s="48">
        <v>62</v>
      </c>
      <c r="T53" s="48">
        <v>460</v>
      </c>
      <c r="U53" s="48">
        <v>239</v>
      </c>
      <c r="V53" s="48">
        <v>185</v>
      </c>
      <c r="W53" s="48"/>
      <c r="X53" s="48"/>
      <c r="Y53" s="48"/>
      <c r="Z53" s="48"/>
      <c r="AA53" s="49"/>
      <c r="AB53" s="49"/>
      <c r="AC53" s="48">
        <v>75</v>
      </c>
    </row>
    <row r="54" spans="1:29">
      <c r="A54" s="48" t="s">
        <v>19</v>
      </c>
      <c r="B54" s="48" t="s">
        <v>19</v>
      </c>
      <c r="C54" s="48" t="s">
        <v>208</v>
      </c>
      <c r="D54" s="48" t="s">
        <v>210</v>
      </c>
      <c r="E54" s="48" t="s">
        <v>90</v>
      </c>
      <c r="F54" s="48">
        <v>1</v>
      </c>
      <c r="G54" s="48" t="s">
        <v>209</v>
      </c>
      <c r="H54" s="48" t="s">
        <v>92</v>
      </c>
      <c r="I54" s="48" t="s">
        <v>102</v>
      </c>
      <c r="J54" s="48" t="s">
        <v>139</v>
      </c>
      <c r="K54" s="48">
        <v>9959466333</v>
      </c>
      <c r="L54" s="48">
        <v>460</v>
      </c>
      <c r="M54" s="48">
        <v>460</v>
      </c>
      <c r="N54" s="48">
        <v>920</v>
      </c>
      <c r="O54" s="48">
        <v>31</v>
      </c>
      <c r="P54" s="48">
        <v>234</v>
      </c>
      <c r="Q54" s="52">
        <v>145</v>
      </c>
      <c r="R54" s="52">
        <v>50</v>
      </c>
      <c r="S54" s="48">
        <v>28</v>
      </c>
      <c r="T54" s="48">
        <v>232</v>
      </c>
      <c r="U54" s="48">
        <v>146</v>
      </c>
      <c r="V54" s="48">
        <v>54</v>
      </c>
      <c r="W54" s="48"/>
      <c r="X54" s="48"/>
      <c r="Y54" s="52"/>
      <c r="Z54" s="52"/>
      <c r="AA54" s="49"/>
      <c r="AB54" s="49"/>
      <c r="AC54" s="48">
        <v>75</v>
      </c>
    </row>
    <row r="55" spans="1:29">
      <c r="A55" s="48" t="s">
        <v>19</v>
      </c>
      <c r="B55" s="48" t="s">
        <v>19</v>
      </c>
      <c r="C55" s="48" t="s">
        <v>211</v>
      </c>
      <c r="D55" s="48" t="s">
        <v>211</v>
      </c>
      <c r="E55" s="48" t="s">
        <v>90</v>
      </c>
      <c r="F55" s="48">
        <v>4</v>
      </c>
      <c r="G55" s="48" t="s">
        <v>212</v>
      </c>
      <c r="H55" s="48" t="s">
        <v>92</v>
      </c>
      <c r="I55" s="48" t="s">
        <v>119</v>
      </c>
      <c r="J55" s="48" t="s">
        <v>213</v>
      </c>
      <c r="K55" s="48">
        <v>9966327502</v>
      </c>
      <c r="L55" s="48">
        <v>2164</v>
      </c>
      <c r="M55" s="48">
        <v>2228</v>
      </c>
      <c r="N55" s="48">
        <v>4392</v>
      </c>
      <c r="O55" s="48">
        <v>116</v>
      </c>
      <c r="P55" s="48">
        <v>1060</v>
      </c>
      <c r="Q55" s="48">
        <v>649</v>
      </c>
      <c r="R55" s="48">
        <v>403</v>
      </c>
      <c r="S55" s="48">
        <v>190</v>
      </c>
      <c r="T55" s="48">
        <v>1104</v>
      </c>
      <c r="U55" s="48">
        <v>554</v>
      </c>
      <c r="V55" s="48">
        <v>315</v>
      </c>
      <c r="W55" s="48"/>
      <c r="X55" s="48"/>
      <c r="Y55" s="48"/>
      <c r="Z55" s="48"/>
      <c r="AA55" s="49"/>
      <c r="AB55" s="49"/>
      <c r="AC55" s="48">
        <v>78</v>
      </c>
    </row>
    <row r="56" spans="1:29">
      <c r="A56" s="48" t="s">
        <v>19</v>
      </c>
      <c r="B56" s="48" t="s">
        <v>19</v>
      </c>
      <c r="C56" s="48" t="s">
        <v>211</v>
      </c>
      <c r="D56" s="48" t="s">
        <v>214</v>
      </c>
      <c r="E56" s="48" t="s">
        <v>90</v>
      </c>
      <c r="F56" s="48">
        <v>1</v>
      </c>
      <c r="G56" s="48" t="s">
        <v>212</v>
      </c>
      <c r="H56" s="48" t="s">
        <v>92</v>
      </c>
      <c r="I56" s="48" t="s">
        <v>119</v>
      </c>
      <c r="J56" s="48" t="s">
        <v>213</v>
      </c>
      <c r="K56" s="48">
        <v>9966327502</v>
      </c>
      <c r="L56" s="48">
        <v>289</v>
      </c>
      <c r="M56" s="48">
        <v>279</v>
      </c>
      <c r="N56" s="48">
        <v>568</v>
      </c>
      <c r="O56" s="48">
        <v>21</v>
      </c>
      <c r="P56" s="48">
        <v>146</v>
      </c>
      <c r="Q56" s="48">
        <v>50</v>
      </c>
      <c r="R56" s="48">
        <v>62</v>
      </c>
      <c r="S56" s="48">
        <v>31</v>
      </c>
      <c r="T56" s="48">
        <v>153</v>
      </c>
      <c r="U56" s="48">
        <v>49</v>
      </c>
      <c r="V56" s="48">
        <v>56</v>
      </c>
      <c r="W56" s="48"/>
      <c r="X56" s="48"/>
      <c r="Y56" s="48"/>
      <c r="Z56" s="48"/>
      <c r="AA56" s="49"/>
      <c r="AB56" s="49"/>
      <c r="AC56" s="48">
        <v>78</v>
      </c>
    </row>
    <row r="57" spans="1:29">
      <c r="A57" s="48" t="s">
        <v>19</v>
      </c>
      <c r="B57" s="48" t="s">
        <v>19</v>
      </c>
      <c r="C57" s="48" t="s">
        <v>211</v>
      </c>
      <c r="D57" s="48" t="s">
        <v>215</v>
      </c>
      <c r="E57" s="48" t="s">
        <v>90</v>
      </c>
      <c r="F57" s="48">
        <v>1</v>
      </c>
      <c r="G57" s="48" t="s">
        <v>212</v>
      </c>
      <c r="H57" s="48" t="s">
        <v>92</v>
      </c>
      <c r="I57" s="48" t="s">
        <v>119</v>
      </c>
      <c r="J57" s="48" t="s">
        <v>213</v>
      </c>
      <c r="K57" s="48">
        <v>9966327502</v>
      </c>
      <c r="L57" s="48">
        <v>551</v>
      </c>
      <c r="M57" s="48">
        <v>543</v>
      </c>
      <c r="N57" s="48">
        <v>1095</v>
      </c>
      <c r="O57" s="48">
        <v>39</v>
      </c>
      <c r="P57" s="48">
        <v>263</v>
      </c>
      <c r="Q57" s="48">
        <v>142</v>
      </c>
      <c r="R57" s="48">
        <v>99</v>
      </c>
      <c r="S57" s="48">
        <v>68</v>
      </c>
      <c r="T57" s="48">
        <v>265</v>
      </c>
      <c r="U57" s="48">
        <v>142</v>
      </c>
      <c r="V57" s="48">
        <v>76</v>
      </c>
      <c r="W57" s="48"/>
      <c r="X57" s="48"/>
      <c r="Y57" s="48"/>
      <c r="Z57" s="48"/>
      <c r="AA57" s="49"/>
      <c r="AB57" s="49"/>
      <c r="AC57" s="48">
        <v>78</v>
      </c>
    </row>
    <row r="58" spans="1:29">
      <c r="A58" s="48" t="s">
        <v>19</v>
      </c>
      <c r="B58" s="48" t="s">
        <v>19</v>
      </c>
      <c r="C58" s="48" t="s">
        <v>216</v>
      </c>
      <c r="D58" s="48" t="s">
        <v>216</v>
      </c>
      <c r="E58" s="48" t="s">
        <v>90</v>
      </c>
      <c r="F58" s="48">
        <v>4</v>
      </c>
      <c r="G58" s="48" t="s">
        <v>217</v>
      </c>
      <c r="H58" s="48" t="s">
        <v>92</v>
      </c>
      <c r="I58" s="48" t="s">
        <v>102</v>
      </c>
      <c r="J58" s="48" t="s">
        <v>131</v>
      </c>
      <c r="K58" s="48">
        <v>9963930222</v>
      </c>
      <c r="L58" s="48">
        <v>2183</v>
      </c>
      <c r="M58" s="48">
        <v>2240</v>
      </c>
      <c r="N58" s="48">
        <v>4424</v>
      </c>
      <c r="O58" s="48">
        <v>141</v>
      </c>
      <c r="P58" s="48">
        <v>1136</v>
      </c>
      <c r="Q58" s="48">
        <v>555</v>
      </c>
      <c r="R58" s="48">
        <v>407</v>
      </c>
      <c r="S58" s="48">
        <v>148</v>
      </c>
      <c r="T58" s="48">
        <v>1186</v>
      </c>
      <c r="U58" s="48">
        <v>500</v>
      </c>
      <c r="V58" s="48">
        <v>349</v>
      </c>
      <c r="W58" s="48"/>
      <c r="X58" s="48"/>
      <c r="Y58" s="48"/>
      <c r="Z58" s="48"/>
      <c r="AA58" s="49"/>
      <c r="AB58" s="49"/>
      <c r="AC58" s="48">
        <v>85</v>
      </c>
    </row>
    <row r="59" spans="1:29">
      <c r="A59" s="48" t="s">
        <v>19</v>
      </c>
      <c r="B59" s="48" t="s">
        <v>19</v>
      </c>
      <c r="C59" s="48" t="s">
        <v>218</v>
      </c>
      <c r="D59" s="48" t="s">
        <v>218</v>
      </c>
      <c r="E59" s="48" t="s">
        <v>90</v>
      </c>
      <c r="F59" s="48">
        <v>2</v>
      </c>
      <c r="G59" s="48" t="s">
        <v>219</v>
      </c>
      <c r="H59" s="48" t="s">
        <v>92</v>
      </c>
      <c r="I59" s="48" t="s">
        <v>102</v>
      </c>
      <c r="J59" s="48" t="s">
        <v>213</v>
      </c>
      <c r="K59" s="48">
        <v>6300843620</v>
      </c>
      <c r="L59" s="48">
        <v>662</v>
      </c>
      <c r="M59" s="48">
        <v>641</v>
      </c>
      <c r="N59" s="48">
        <v>1303</v>
      </c>
      <c r="O59" s="48">
        <v>42</v>
      </c>
      <c r="P59" s="48">
        <v>290</v>
      </c>
      <c r="Q59" s="48">
        <v>187</v>
      </c>
      <c r="R59" s="48">
        <v>122</v>
      </c>
      <c r="S59" s="48">
        <v>72</v>
      </c>
      <c r="T59" s="48">
        <v>326</v>
      </c>
      <c r="U59" s="48">
        <v>164</v>
      </c>
      <c r="V59" s="48">
        <v>100</v>
      </c>
      <c r="W59" s="48"/>
      <c r="X59" s="48"/>
      <c r="Y59" s="48"/>
      <c r="Z59" s="48"/>
      <c r="AA59" s="49"/>
      <c r="AB59" s="49"/>
      <c r="AC59" s="48">
        <v>78</v>
      </c>
    </row>
    <row r="60" spans="1:29">
      <c r="A60" s="48" t="s">
        <v>19</v>
      </c>
      <c r="B60" s="48" t="s">
        <v>220</v>
      </c>
      <c r="C60" s="48" t="s">
        <v>221</v>
      </c>
      <c r="D60" s="48" t="s">
        <v>221</v>
      </c>
      <c r="E60" s="48" t="s">
        <v>90</v>
      </c>
      <c r="F60" s="48">
        <v>2</v>
      </c>
      <c r="G60" s="48" t="s">
        <v>222</v>
      </c>
      <c r="H60" s="48" t="s">
        <v>4</v>
      </c>
      <c r="I60" s="48" t="s">
        <v>93</v>
      </c>
      <c r="J60" s="48" t="s">
        <v>139</v>
      </c>
      <c r="K60" s="48">
        <v>9132631999</v>
      </c>
      <c r="L60" s="48">
        <v>689</v>
      </c>
      <c r="M60" s="48">
        <v>686</v>
      </c>
      <c r="N60" s="48">
        <v>1375</v>
      </c>
      <c r="O60" s="48">
        <v>49</v>
      </c>
      <c r="P60" s="48">
        <v>321</v>
      </c>
      <c r="Q60" s="48">
        <v>191</v>
      </c>
      <c r="R60" s="48">
        <v>125</v>
      </c>
      <c r="S60" s="48">
        <v>66</v>
      </c>
      <c r="T60" s="48">
        <v>345</v>
      </c>
      <c r="U60" s="48">
        <v>168</v>
      </c>
      <c r="V60" s="48">
        <v>110</v>
      </c>
      <c r="W60" s="48"/>
      <c r="X60" s="48"/>
      <c r="Y60" s="48"/>
      <c r="Z60" s="48"/>
      <c r="AA60" s="49"/>
      <c r="AB60" s="49"/>
      <c r="AC60" s="48">
        <v>92</v>
      </c>
    </row>
    <row r="61" spans="1:29">
      <c r="A61" s="48" t="s">
        <v>19</v>
      </c>
      <c r="B61" s="48" t="s">
        <v>220</v>
      </c>
      <c r="C61" s="48" t="s">
        <v>223</v>
      </c>
      <c r="D61" s="48" t="s">
        <v>223</v>
      </c>
      <c r="E61" s="48" t="s">
        <v>90</v>
      </c>
      <c r="F61" s="48">
        <v>5</v>
      </c>
      <c r="G61" s="48" t="s">
        <v>224</v>
      </c>
      <c r="H61" s="48" t="s">
        <v>92</v>
      </c>
      <c r="I61" s="48" t="s">
        <v>97</v>
      </c>
      <c r="J61" s="48" t="s">
        <v>225</v>
      </c>
      <c r="K61" s="48">
        <v>7386404556</v>
      </c>
      <c r="L61" s="48">
        <v>2225</v>
      </c>
      <c r="M61" s="48">
        <v>2185</v>
      </c>
      <c r="N61" s="48">
        <v>4410</v>
      </c>
      <c r="O61" s="48">
        <v>132</v>
      </c>
      <c r="P61" s="48">
        <v>1064</v>
      </c>
      <c r="Q61" s="48">
        <v>601</v>
      </c>
      <c r="R61" s="48">
        <v>388</v>
      </c>
      <c r="S61" s="48">
        <v>203</v>
      </c>
      <c r="T61" s="48">
        <v>1097</v>
      </c>
      <c r="U61" s="48">
        <v>620</v>
      </c>
      <c r="V61" s="48">
        <v>305</v>
      </c>
      <c r="W61" s="48"/>
      <c r="X61" s="48"/>
      <c r="Y61" s="48"/>
      <c r="Z61" s="48"/>
      <c r="AA61" s="49"/>
      <c r="AB61" s="49"/>
      <c r="AC61" s="48">
        <v>85</v>
      </c>
    </row>
    <row r="62" spans="1:29">
      <c r="A62" s="48" t="s">
        <v>19</v>
      </c>
      <c r="B62" s="48" t="s">
        <v>220</v>
      </c>
      <c r="C62" s="48" t="s">
        <v>226</v>
      </c>
      <c r="D62" s="48" t="s">
        <v>226</v>
      </c>
      <c r="E62" s="48" t="s">
        <v>90</v>
      </c>
      <c r="F62" s="48">
        <v>4</v>
      </c>
      <c r="G62" s="48" t="s">
        <v>227</v>
      </c>
      <c r="H62" s="48" t="s">
        <v>92</v>
      </c>
      <c r="I62" s="48" t="s">
        <v>97</v>
      </c>
      <c r="J62" s="48" t="s">
        <v>154</v>
      </c>
      <c r="K62" s="48">
        <v>9010865217</v>
      </c>
      <c r="L62" s="48">
        <v>1848</v>
      </c>
      <c r="M62" s="48">
        <v>1825</v>
      </c>
      <c r="N62" s="48">
        <v>3675</v>
      </c>
      <c r="O62" s="48">
        <v>100</v>
      </c>
      <c r="P62" s="48">
        <v>853</v>
      </c>
      <c r="Q62" s="48">
        <v>495</v>
      </c>
      <c r="R62" s="48">
        <v>376</v>
      </c>
      <c r="S62" s="48">
        <v>169</v>
      </c>
      <c r="T62" s="48">
        <v>913</v>
      </c>
      <c r="U62" s="48">
        <v>450</v>
      </c>
      <c r="V62" s="48">
        <v>314</v>
      </c>
      <c r="W62" s="48"/>
      <c r="X62" s="48"/>
      <c r="Y62" s="48"/>
      <c r="Z62" s="48"/>
      <c r="AA62" s="49"/>
      <c r="AB62" s="49"/>
      <c r="AC62" s="48">
        <v>83</v>
      </c>
    </row>
    <row r="63" spans="1:29">
      <c r="A63" s="48" t="s">
        <v>19</v>
      </c>
      <c r="B63" s="48" t="s">
        <v>220</v>
      </c>
      <c r="C63" s="48" t="s">
        <v>228</v>
      </c>
      <c r="D63" s="48" t="s">
        <v>228</v>
      </c>
      <c r="E63" s="48" t="s">
        <v>90</v>
      </c>
      <c r="F63" s="48">
        <v>4</v>
      </c>
      <c r="G63" s="48" t="s">
        <v>229</v>
      </c>
      <c r="H63" s="48" t="s">
        <v>92</v>
      </c>
      <c r="I63" s="48" t="s">
        <v>93</v>
      </c>
      <c r="J63" s="48" t="s">
        <v>139</v>
      </c>
      <c r="K63" s="48">
        <v>9848068968</v>
      </c>
      <c r="L63" s="48">
        <v>1811</v>
      </c>
      <c r="M63" s="48">
        <v>1816</v>
      </c>
      <c r="N63" s="48">
        <v>3627</v>
      </c>
      <c r="O63" s="48">
        <v>139</v>
      </c>
      <c r="P63" s="48">
        <v>933</v>
      </c>
      <c r="Q63" s="48">
        <v>432</v>
      </c>
      <c r="R63" s="48">
        <v>312</v>
      </c>
      <c r="S63" s="48">
        <v>122</v>
      </c>
      <c r="T63" s="48">
        <v>1018</v>
      </c>
      <c r="U63" s="48">
        <v>406</v>
      </c>
      <c r="V63" s="48">
        <v>265</v>
      </c>
      <c r="W63" s="48"/>
      <c r="X63" s="48"/>
      <c r="Y63" s="48"/>
      <c r="Z63" s="48"/>
      <c r="AA63" s="49"/>
      <c r="AB63" s="49"/>
      <c r="AC63" s="48">
        <v>58</v>
      </c>
    </row>
    <row r="64" spans="1:29">
      <c r="A64" s="48" t="s">
        <v>19</v>
      </c>
      <c r="B64" s="48" t="s">
        <v>220</v>
      </c>
      <c r="C64" s="48" t="s">
        <v>230</v>
      </c>
      <c r="D64" s="48" t="s">
        <v>231</v>
      </c>
      <c r="E64" s="48" t="s">
        <v>95</v>
      </c>
      <c r="F64" s="48">
        <v>3</v>
      </c>
      <c r="G64" s="48" t="s">
        <v>232</v>
      </c>
      <c r="H64" s="48" t="s">
        <v>92</v>
      </c>
      <c r="I64" s="48" t="s">
        <v>142</v>
      </c>
      <c r="J64" s="48" t="s">
        <v>114</v>
      </c>
      <c r="K64" s="48">
        <v>9160940340</v>
      </c>
      <c r="L64" s="48">
        <v>1564</v>
      </c>
      <c r="M64" s="48">
        <v>1498</v>
      </c>
      <c r="N64" s="48">
        <v>3064</v>
      </c>
      <c r="O64" s="48">
        <v>65</v>
      </c>
      <c r="P64" s="48">
        <v>685</v>
      </c>
      <c r="Q64" s="48">
        <v>460</v>
      </c>
      <c r="R64" s="48">
        <v>288</v>
      </c>
      <c r="S64" s="48">
        <v>84</v>
      </c>
      <c r="T64" s="48">
        <v>717</v>
      </c>
      <c r="U64" s="48">
        <v>464</v>
      </c>
      <c r="V64" s="48">
        <v>298</v>
      </c>
      <c r="W64" s="48"/>
      <c r="X64" s="48"/>
      <c r="Y64" s="48"/>
      <c r="Z64" s="48"/>
      <c r="AA64" s="49"/>
      <c r="AB64" s="49"/>
      <c r="AC64" s="48">
        <v>82</v>
      </c>
    </row>
    <row r="65" spans="1:29">
      <c r="A65" s="48" t="s">
        <v>19</v>
      </c>
      <c r="B65" s="48" t="s">
        <v>220</v>
      </c>
      <c r="C65" s="48" t="s">
        <v>230</v>
      </c>
      <c r="D65" s="48" t="s">
        <v>230</v>
      </c>
      <c r="E65" s="48" t="s">
        <v>95</v>
      </c>
      <c r="F65" s="48">
        <v>5</v>
      </c>
      <c r="G65" s="48" t="s">
        <v>232</v>
      </c>
      <c r="H65" s="48" t="s">
        <v>92</v>
      </c>
      <c r="I65" s="48" t="s">
        <v>142</v>
      </c>
      <c r="J65" s="48" t="s">
        <v>114</v>
      </c>
      <c r="K65" s="48">
        <v>9160940340</v>
      </c>
      <c r="L65" s="48">
        <v>2947</v>
      </c>
      <c r="M65" s="48">
        <v>2868</v>
      </c>
      <c r="N65" s="48">
        <v>5815</v>
      </c>
      <c r="O65" s="48">
        <v>183</v>
      </c>
      <c r="P65" s="48">
        <v>1374</v>
      </c>
      <c r="Q65" s="48">
        <v>780</v>
      </c>
      <c r="R65" s="48">
        <v>531</v>
      </c>
      <c r="S65" s="48">
        <v>284</v>
      </c>
      <c r="T65" s="48">
        <v>1504</v>
      </c>
      <c r="U65" s="48">
        <v>765</v>
      </c>
      <c r="V65" s="48">
        <v>394</v>
      </c>
      <c r="W65" s="48"/>
      <c r="X65" s="48"/>
      <c r="Y65" s="48"/>
      <c r="Z65" s="48"/>
      <c r="AA65" s="49"/>
      <c r="AB65" s="49"/>
      <c r="AC65" s="48">
        <v>82</v>
      </c>
    </row>
    <row r="66" spans="1:29">
      <c r="A66" s="48" t="s">
        <v>19</v>
      </c>
      <c r="B66" s="48" t="s">
        <v>220</v>
      </c>
      <c r="C66" s="48" t="s">
        <v>230</v>
      </c>
      <c r="D66" s="48" t="s">
        <v>220</v>
      </c>
      <c r="E66" s="48" t="s">
        <v>90</v>
      </c>
      <c r="F66" s="48">
        <v>6</v>
      </c>
      <c r="G66" s="48" t="s">
        <v>232</v>
      </c>
      <c r="H66" s="48" t="s">
        <v>92</v>
      </c>
      <c r="I66" s="48" t="s">
        <v>142</v>
      </c>
      <c r="J66" s="48" t="s">
        <v>114</v>
      </c>
      <c r="K66" s="48">
        <v>9160940340</v>
      </c>
      <c r="L66" s="48">
        <v>2787</v>
      </c>
      <c r="M66" s="48">
        <v>2735</v>
      </c>
      <c r="N66" s="48">
        <v>5530</v>
      </c>
      <c r="O66" s="48">
        <v>130</v>
      </c>
      <c r="P66" s="48">
        <v>1242</v>
      </c>
      <c r="Q66" s="48">
        <v>849</v>
      </c>
      <c r="R66" s="48">
        <v>514</v>
      </c>
      <c r="S66" s="48">
        <v>177</v>
      </c>
      <c r="T66" s="48">
        <v>1308</v>
      </c>
      <c r="U66" s="48">
        <v>792</v>
      </c>
      <c r="V66" s="48">
        <v>510</v>
      </c>
      <c r="W66" s="48"/>
      <c r="X66" s="48"/>
      <c r="Y66" s="48"/>
      <c r="Z66" s="48"/>
      <c r="AA66" s="49"/>
      <c r="AB66" s="49"/>
      <c r="AC66" s="48">
        <v>82</v>
      </c>
    </row>
    <row r="67" spans="1:29">
      <c r="A67" s="48" t="s">
        <v>19</v>
      </c>
      <c r="B67" s="48" t="s">
        <v>220</v>
      </c>
      <c r="C67" s="48" t="s">
        <v>233</v>
      </c>
      <c r="D67" s="48" t="s">
        <v>233</v>
      </c>
      <c r="E67" s="48" t="s">
        <v>90</v>
      </c>
      <c r="F67" s="48">
        <v>2</v>
      </c>
      <c r="G67" s="48" t="s">
        <v>234</v>
      </c>
      <c r="H67" s="48" t="s">
        <v>92</v>
      </c>
      <c r="I67" s="48" t="s">
        <v>102</v>
      </c>
      <c r="J67" s="48" t="s">
        <v>139</v>
      </c>
      <c r="K67" s="48">
        <v>9493788888</v>
      </c>
      <c r="L67" s="48">
        <v>975</v>
      </c>
      <c r="M67" s="48">
        <v>1027</v>
      </c>
      <c r="N67" s="48">
        <v>2003</v>
      </c>
      <c r="O67" s="48">
        <v>96</v>
      </c>
      <c r="P67" s="48">
        <v>529</v>
      </c>
      <c r="Q67" s="48">
        <v>226</v>
      </c>
      <c r="R67" s="48">
        <v>176</v>
      </c>
      <c r="S67" s="48">
        <v>99</v>
      </c>
      <c r="T67" s="48">
        <v>529</v>
      </c>
      <c r="U67" s="48">
        <v>225</v>
      </c>
      <c r="V67" s="48">
        <v>122</v>
      </c>
      <c r="W67" s="48"/>
      <c r="X67" s="48"/>
      <c r="Y67" s="48"/>
      <c r="Z67" s="48"/>
      <c r="AA67" s="49"/>
      <c r="AB67" s="49"/>
      <c r="AC67" s="48">
        <v>94</v>
      </c>
    </row>
    <row r="68" spans="1:29">
      <c r="A68" s="48" t="s">
        <v>19</v>
      </c>
      <c r="B68" s="48" t="s">
        <v>220</v>
      </c>
      <c r="C68" s="48" t="s">
        <v>235</v>
      </c>
      <c r="D68" s="48" t="s">
        <v>235</v>
      </c>
      <c r="E68" s="48" t="s">
        <v>90</v>
      </c>
      <c r="F68" s="48">
        <v>2</v>
      </c>
      <c r="G68" s="48" t="s">
        <v>236</v>
      </c>
      <c r="H68" s="48" t="s">
        <v>4</v>
      </c>
      <c r="I68" s="48" t="s">
        <v>93</v>
      </c>
      <c r="J68" s="48" t="s">
        <v>139</v>
      </c>
      <c r="K68" s="48">
        <v>8886766667</v>
      </c>
      <c r="L68" s="48">
        <v>961</v>
      </c>
      <c r="M68" s="48">
        <v>942</v>
      </c>
      <c r="N68" s="48">
        <v>1903</v>
      </c>
      <c r="O68" s="48">
        <v>51</v>
      </c>
      <c r="P68" s="48">
        <v>436</v>
      </c>
      <c r="Q68" s="48">
        <v>254</v>
      </c>
      <c r="R68" s="48">
        <v>201</v>
      </c>
      <c r="S68" s="48">
        <v>63</v>
      </c>
      <c r="T68" s="48">
        <v>501</v>
      </c>
      <c r="U68" s="48">
        <v>257</v>
      </c>
      <c r="V68" s="48">
        <v>140</v>
      </c>
      <c r="W68" s="48"/>
      <c r="X68" s="48"/>
      <c r="Y68" s="48"/>
      <c r="Z68" s="48"/>
      <c r="AA68" s="49"/>
      <c r="AB68" s="49"/>
      <c r="AC68" s="48">
        <v>90</v>
      </c>
    </row>
    <row r="69" spans="1:29">
      <c r="A69" s="48" t="s">
        <v>19</v>
      </c>
      <c r="B69" s="48" t="s">
        <v>220</v>
      </c>
      <c r="C69" s="48" t="s">
        <v>237</v>
      </c>
      <c r="D69" s="48" t="s">
        <v>237</v>
      </c>
      <c r="E69" s="48" t="s">
        <v>90</v>
      </c>
      <c r="F69" s="48">
        <v>2</v>
      </c>
      <c r="G69" s="48" t="s">
        <v>238</v>
      </c>
      <c r="H69" s="48" t="s">
        <v>92</v>
      </c>
      <c r="I69" s="48" t="s">
        <v>102</v>
      </c>
      <c r="J69" s="48" t="s">
        <v>139</v>
      </c>
      <c r="K69" s="48">
        <v>8639927455</v>
      </c>
      <c r="L69" s="48">
        <v>703</v>
      </c>
      <c r="M69" s="48">
        <v>693</v>
      </c>
      <c r="N69" s="48">
        <v>1396</v>
      </c>
      <c r="O69" s="48">
        <v>64</v>
      </c>
      <c r="P69" s="48">
        <v>332</v>
      </c>
      <c r="Q69" s="48">
        <v>175</v>
      </c>
      <c r="R69" s="48">
        <v>122</v>
      </c>
      <c r="S69" s="48">
        <v>88</v>
      </c>
      <c r="T69" s="48">
        <v>331</v>
      </c>
      <c r="U69" s="48">
        <v>189</v>
      </c>
      <c r="V69" s="48">
        <v>95</v>
      </c>
      <c r="W69" s="48"/>
      <c r="X69" s="48"/>
      <c r="Y69" s="48"/>
      <c r="Z69" s="48"/>
      <c r="AA69" s="49"/>
      <c r="AB69" s="49"/>
      <c r="AC69" s="48"/>
    </row>
    <row r="70" spans="1:29">
      <c r="A70" s="48" t="s">
        <v>19</v>
      </c>
      <c r="B70" s="48" t="s">
        <v>220</v>
      </c>
      <c r="C70" s="48" t="s">
        <v>239</v>
      </c>
      <c r="D70" s="48" t="s">
        <v>239</v>
      </c>
      <c r="E70" s="48" t="s">
        <v>90</v>
      </c>
      <c r="F70" s="48">
        <v>2</v>
      </c>
      <c r="G70" s="48" t="s">
        <v>240</v>
      </c>
      <c r="H70" s="48" t="s">
        <v>92</v>
      </c>
      <c r="I70" s="48" t="s">
        <v>97</v>
      </c>
      <c r="J70" s="48" t="s">
        <v>94</v>
      </c>
      <c r="K70" s="48">
        <v>8790885023</v>
      </c>
      <c r="L70" s="48">
        <v>871</v>
      </c>
      <c r="M70" s="48">
        <v>929</v>
      </c>
      <c r="N70" s="48">
        <v>1800</v>
      </c>
      <c r="O70" s="48">
        <v>64</v>
      </c>
      <c r="P70" s="48">
        <v>446</v>
      </c>
      <c r="Q70" s="52">
        <v>247</v>
      </c>
      <c r="R70" s="48">
        <v>172</v>
      </c>
      <c r="S70" s="48">
        <v>100</v>
      </c>
      <c r="T70" s="48">
        <v>430</v>
      </c>
      <c r="U70" s="48">
        <v>224</v>
      </c>
      <c r="V70" s="48">
        <v>117</v>
      </c>
      <c r="W70" s="48"/>
      <c r="X70" s="48"/>
      <c r="Y70" s="52"/>
      <c r="Z70" s="48"/>
      <c r="AA70" s="49"/>
      <c r="AB70" s="49"/>
      <c r="AC70" s="48">
        <v>67</v>
      </c>
    </row>
    <row r="71" spans="1:29">
      <c r="A71" s="48" t="s">
        <v>19</v>
      </c>
      <c r="B71" s="48" t="s">
        <v>220</v>
      </c>
      <c r="C71" s="48" t="s">
        <v>241</v>
      </c>
      <c r="D71" s="48" t="s">
        <v>241</v>
      </c>
      <c r="E71" s="48" t="s">
        <v>90</v>
      </c>
      <c r="F71" s="48">
        <v>2</v>
      </c>
      <c r="G71" s="48" t="s">
        <v>242</v>
      </c>
      <c r="H71" s="48" t="s">
        <v>92</v>
      </c>
      <c r="I71" s="48" t="s">
        <v>93</v>
      </c>
      <c r="J71" s="48" t="s">
        <v>139</v>
      </c>
      <c r="K71" s="48">
        <v>9848258999</v>
      </c>
      <c r="L71" s="48">
        <v>862</v>
      </c>
      <c r="M71" s="48">
        <v>858</v>
      </c>
      <c r="N71" s="48">
        <v>1721</v>
      </c>
      <c r="O71" s="48">
        <v>69</v>
      </c>
      <c r="P71" s="48">
        <v>461</v>
      </c>
      <c r="Q71" s="48">
        <v>218</v>
      </c>
      <c r="R71" s="48">
        <v>110</v>
      </c>
      <c r="S71" s="48">
        <v>67</v>
      </c>
      <c r="T71" s="48">
        <v>453</v>
      </c>
      <c r="U71" s="48">
        <v>236</v>
      </c>
      <c r="V71" s="48">
        <v>106</v>
      </c>
      <c r="W71" s="48"/>
      <c r="X71" s="48"/>
      <c r="Y71" s="48"/>
      <c r="Z71" s="48"/>
      <c r="AA71" s="49"/>
      <c r="AB71" s="49"/>
      <c r="AC71" s="48"/>
    </row>
    <row r="72" spans="1:29">
      <c r="A72" s="48" t="s">
        <v>19</v>
      </c>
      <c r="B72" s="48" t="s">
        <v>220</v>
      </c>
      <c r="C72" s="48" t="s">
        <v>243</v>
      </c>
      <c r="D72" s="48" t="s">
        <v>243</v>
      </c>
      <c r="E72" s="48" t="s">
        <v>90</v>
      </c>
      <c r="F72" s="48">
        <v>1</v>
      </c>
      <c r="G72" s="48" t="s">
        <v>244</v>
      </c>
      <c r="H72" s="48" t="s">
        <v>4</v>
      </c>
      <c r="I72" s="48" t="s">
        <v>102</v>
      </c>
      <c r="J72" s="48" t="s">
        <v>94</v>
      </c>
      <c r="K72" s="48">
        <v>9493882666</v>
      </c>
      <c r="L72" s="48">
        <v>481</v>
      </c>
      <c r="M72" s="48">
        <v>528</v>
      </c>
      <c r="N72" s="48">
        <v>1011</v>
      </c>
      <c r="O72" s="48">
        <v>21</v>
      </c>
      <c r="P72" s="48">
        <v>246</v>
      </c>
      <c r="Q72" s="48">
        <v>130</v>
      </c>
      <c r="R72" s="48">
        <v>130</v>
      </c>
      <c r="S72" s="48">
        <v>30</v>
      </c>
      <c r="T72" s="48">
        <v>247</v>
      </c>
      <c r="U72" s="48">
        <v>123</v>
      </c>
      <c r="V72" s="48">
        <v>81</v>
      </c>
      <c r="W72" s="48"/>
      <c r="X72" s="48"/>
      <c r="Y72" s="52"/>
      <c r="Z72" s="48"/>
      <c r="AA72" s="49"/>
      <c r="AB72" s="49"/>
      <c r="AC72" s="48">
        <v>75</v>
      </c>
    </row>
    <row r="73" spans="1:29">
      <c r="A73" s="48" t="s">
        <v>19</v>
      </c>
      <c r="B73" s="48" t="s">
        <v>220</v>
      </c>
      <c r="C73" s="48" t="s">
        <v>245</v>
      </c>
      <c r="D73" s="48" t="s">
        <v>245</v>
      </c>
      <c r="E73" s="48" t="s">
        <v>90</v>
      </c>
      <c r="F73" s="48">
        <v>2</v>
      </c>
      <c r="G73" s="48" t="s">
        <v>246</v>
      </c>
      <c r="H73" s="48" t="s">
        <v>92</v>
      </c>
      <c r="I73" s="48" t="s">
        <v>142</v>
      </c>
      <c r="J73" s="48" t="s">
        <v>114</v>
      </c>
      <c r="K73" s="48">
        <v>9959624492</v>
      </c>
      <c r="L73" s="48">
        <v>758</v>
      </c>
      <c r="M73" s="48">
        <v>744</v>
      </c>
      <c r="N73" s="48">
        <v>1502</v>
      </c>
      <c r="O73" s="48">
        <v>40</v>
      </c>
      <c r="P73" s="48">
        <v>380</v>
      </c>
      <c r="Q73" s="48">
        <v>186</v>
      </c>
      <c r="R73" s="48">
        <v>138</v>
      </c>
      <c r="S73" s="48">
        <v>74</v>
      </c>
      <c r="T73" s="48">
        <v>404</v>
      </c>
      <c r="U73" s="48">
        <v>174</v>
      </c>
      <c r="V73" s="48">
        <v>105</v>
      </c>
      <c r="W73" s="48"/>
      <c r="X73" s="48"/>
      <c r="Y73" s="48"/>
      <c r="Z73" s="48"/>
      <c r="AA73" s="49"/>
      <c r="AB73" s="49"/>
      <c r="AC73" s="48">
        <v>85</v>
      </c>
    </row>
    <row r="74" spans="1:29">
      <c r="A74" s="48" t="s">
        <v>19</v>
      </c>
      <c r="B74" s="48" t="s">
        <v>220</v>
      </c>
      <c r="C74" s="48" t="s">
        <v>247</v>
      </c>
      <c r="D74" s="48" t="s">
        <v>247</v>
      </c>
      <c r="E74" s="48" t="s">
        <v>90</v>
      </c>
      <c r="F74" s="48">
        <v>3</v>
      </c>
      <c r="G74" s="48" t="s">
        <v>248</v>
      </c>
      <c r="H74" s="48" t="s">
        <v>92</v>
      </c>
      <c r="I74" s="48" t="s">
        <v>102</v>
      </c>
      <c r="J74" s="48" t="s">
        <v>139</v>
      </c>
      <c r="K74" s="48">
        <v>9951135685</v>
      </c>
      <c r="L74" s="48">
        <v>1170</v>
      </c>
      <c r="M74" s="48">
        <v>1079</v>
      </c>
      <c r="N74" s="48">
        <v>2249</v>
      </c>
      <c r="O74" s="48">
        <v>49</v>
      </c>
      <c r="P74" s="48">
        <v>542</v>
      </c>
      <c r="Q74" s="48">
        <v>274</v>
      </c>
      <c r="R74" s="48">
        <v>214</v>
      </c>
      <c r="S74" s="48">
        <v>77</v>
      </c>
      <c r="T74" s="48">
        <v>601</v>
      </c>
      <c r="U74" s="48">
        <v>293</v>
      </c>
      <c r="V74" s="48">
        <v>199</v>
      </c>
      <c r="W74" s="48"/>
      <c r="X74" s="48"/>
      <c r="Y74" s="48"/>
      <c r="Z74" s="48"/>
      <c r="AA74" s="49"/>
      <c r="AB74" s="49"/>
      <c r="AC74" s="48"/>
    </row>
    <row r="75" spans="1:29">
      <c r="A75" s="48" t="s">
        <v>19</v>
      </c>
      <c r="B75" s="48" t="s">
        <v>220</v>
      </c>
      <c r="C75" s="48" t="s">
        <v>249</v>
      </c>
      <c r="D75" s="48" t="s">
        <v>249</v>
      </c>
      <c r="E75" s="48" t="s">
        <v>90</v>
      </c>
      <c r="F75" s="48">
        <v>2</v>
      </c>
      <c r="G75" s="48" t="s">
        <v>250</v>
      </c>
      <c r="H75" s="48" t="s">
        <v>92</v>
      </c>
      <c r="I75" s="48" t="s">
        <v>119</v>
      </c>
      <c r="J75" s="48" t="s">
        <v>154</v>
      </c>
      <c r="K75" s="48">
        <v>9490153453</v>
      </c>
      <c r="L75" s="48">
        <v>625</v>
      </c>
      <c r="M75" s="48">
        <v>648</v>
      </c>
      <c r="N75" s="48">
        <v>1273</v>
      </c>
      <c r="O75" s="48">
        <v>54</v>
      </c>
      <c r="P75" s="48">
        <v>333</v>
      </c>
      <c r="Q75" s="48">
        <v>165</v>
      </c>
      <c r="R75" s="48">
        <v>96</v>
      </c>
      <c r="S75" s="48">
        <v>40</v>
      </c>
      <c r="T75" s="48">
        <v>346</v>
      </c>
      <c r="U75" s="48">
        <v>148</v>
      </c>
      <c r="V75" s="48">
        <v>91</v>
      </c>
      <c r="W75" s="48"/>
      <c r="X75" s="48"/>
      <c r="Y75" s="48"/>
      <c r="Z75" s="48"/>
      <c r="AA75" s="49"/>
      <c r="AB75" s="49"/>
      <c r="AC75" s="48"/>
    </row>
    <row r="76" spans="1:29">
      <c r="A76" s="48" t="s">
        <v>19</v>
      </c>
      <c r="B76" s="48" t="s">
        <v>220</v>
      </c>
      <c r="C76" s="48" t="s">
        <v>251</v>
      </c>
      <c r="D76" s="48" t="s">
        <v>251</v>
      </c>
      <c r="E76" s="48" t="s">
        <v>90</v>
      </c>
      <c r="F76" s="48">
        <v>3</v>
      </c>
      <c r="G76" s="48" t="s">
        <v>252</v>
      </c>
      <c r="H76" s="48" t="s">
        <v>92</v>
      </c>
      <c r="I76" s="48" t="s">
        <v>102</v>
      </c>
      <c r="J76" s="48" t="s">
        <v>139</v>
      </c>
      <c r="K76" s="48">
        <v>8686864047</v>
      </c>
      <c r="L76" s="48">
        <v>1461</v>
      </c>
      <c r="M76" s="48">
        <v>1377</v>
      </c>
      <c r="N76" s="48">
        <v>2840</v>
      </c>
      <c r="O76" s="48">
        <v>64</v>
      </c>
      <c r="P76" s="48">
        <v>685</v>
      </c>
      <c r="Q76" s="48">
        <v>388</v>
      </c>
      <c r="R76" s="48">
        <v>240</v>
      </c>
      <c r="S76" s="48">
        <v>117</v>
      </c>
      <c r="T76" s="48">
        <v>726</v>
      </c>
      <c r="U76" s="48">
        <v>402</v>
      </c>
      <c r="V76" s="48">
        <v>216</v>
      </c>
      <c r="W76" s="48"/>
      <c r="X76" s="48"/>
      <c r="Y76" s="48"/>
      <c r="Z76" s="48"/>
      <c r="AA76" s="49"/>
      <c r="AB76" s="49"/>
      <c r="AC76" s="48">
        <v>88</v>
      </c>
    </row>
    <row r="77" spans="1:29">
      <c r="A77" s="48" t="s">
        <v>19</v>
      </c>
      <c r="B77" s="48" t="s">
        <v>220</v>
      </c>
      <c r="C77" s="48" t="s">
        <v>253</v>
      </c>
      <c r="D77" s="48" t="s">
        <v>253</v>
      </c>
      <c r="E77" s="48" t="s">
        <v>90</v>
      </c>
      <c r="F77" s="48">
        <v>2</v>
      </c>
      <c r="G77" s="48" t="s">
        <v>254</v>
      </c>
      <c r="H77" s="48" t="s">
        <v>92</v>
      </c>
      <c r="I77" s="48" t="s">
        <v>119</v>
      </c>
      <c r="J77" s="48" t="s">
        <v>94</v>
      </c>
      <c r="K77" s="48">
        <v>9848652974</v>
      </c>
      <c r="L77" s="48">
        <v>1180</v>
      </c>
      <c r="M77" s="48">
        <v>1157</v>
      </c>
      <c r="N77" s="48">
        <v>2337</v>
      </c>
      <c r="O77" s="48">
        <v>60</v>
      </c>
      <c r="P77" s="48">
        <v>533</v>
      </c>
      <c r="Q77" s="48">
        <v>339</v>
      </c>
      <c r="R77" s="48">
        <v>225</v>
      </c>
      <c r="S77" s="48">
        <v>97</v>
      </c>
      <c r="T77" s="48">
        <v>541</v>
      </c>
      <c r="U77" s="48">
        <v>347</v>
      </c>
      <c r="V77" s="48">
        <v>195</v>
      </c>
      <c r="W77" s="48"/>
      <c r="X77" s="48"/>
      <c r="Y77" s="48"/>
      <c r="Z77" s="48"/>
      <c r="AA77" s="49"/>
      <c r="AB77" s="49"/>
      <c r="AC77" s="48">
        <v>77</v>
      </c>
    </row>
    <row r="78" spans="1:29">
      <c r="A78" s="48" t="s">
        <v>19</v>
      </c>
      <c r="B78" s="48" t="s">
        <v>220</v>
      </c>
      <c r="C78" s="48" t="s">
        <v>255</v>
      </c>
      <c r="D78" s="48" t="s">
        <v>255</v>
      </c>
      <c r="E78" s="48" t="s">
        <v>90</v>
      </c>
      <c r="F78" s="48">
        <v>3</v>
      </c>
      <c r="G78" s="48" t="s">
        <v>256</v>
      </c>
      <c r="H78" s="48" t="s">
        <v>92</v>
      </c>
      <c r="I78" s="48" t="s">
        <v>93</v>
      </c>
      <c r="J78" s="48" t="s">
        <v>139</v>
      </c>
      <c r="K78" s="48">
        <v>8309332929</v>
      </c>
      <c r="L78" s="52">
        <v>1287</v>
      </c>
      <c r="M78" s="48">
        <v>1293</v>
      </c>
      <c r="N78" s="48">
        <v>2582</v>
      </c>
      <c r="O78" s="48">
        <v>55</v>
      </c>
      <c r="P78" s="48">
        <v>687</v>
      </c>
      <c r="Q78" s="48">
        <v>335</v>
      </c>
      <c r="R78" s="48">
        <v>216</v>
      </c>
      <c r="S78" s="48">
        <v>107</v>
      </c>
      <c r="T78" s="48">
        <v>659</v>
      </c>
      <c r="U78" s="48">
        <v>355</v>
      </c>
      <c r="V78" s="48">
        <v>165</v>
      </c>
      <c r="W78" s="48"/>
      <c r="X78" s="52"/>
      <c r="Y78" s="48"/>
      <c r="Z78" s="48"/>
      <c r="AA78" s="49"/>
      <c r="AB78" s="49"/>
      <c r="AC78" s="48">
        <v>72</v>
      </c>
    </row>
    <row r="79" spans="1:29">
      <c r="A79" s="48" t="s">
        <v>19</v>
      </c>
      <c r="B79" s="48" t="s">
        <v>220</v>
      </c>
      <c r="C79" s="48" t="s">
        <v>257</v>
      </c>
      <c r="D79" s="48" t="s">
        <v>257</v>
      </c>
      <c r="E79" s="48" t="s">
        <v>90</v>
      </c>
      <c r="F79" s="48">
        <v>6</v>
      </c>
      <c r="G79" s="48" t="s">
        <v>258</v>
      </c>
      <c r="H79" s="48" t="s">
        <v>92</v>
      </c>
      <c r="I79" s="48" t="s">
        <v>113</v>
      </c>
      <c r="J79" s="48" t="s">
        <v>114</v>
      </c>
      <c r="K79" s="48">
        <v>9441807628</v>
      </c>
      <c r="L79" s="48">
        <v>2257</v>
      </c>
      <c r="M79" s="48">
        <v>2252</v>
      </c>
      <c r="N79" s="48">
        <v>4512</v>
      </c>
      <c r="O79" s="48">
        <v>91</v>
      </c>
      <c r="P79" s="48">
        <v>1029</v>
      </c>
      <c r="Q79" s="48">
        <v>633</v>
      </c>
      <c r="R79" s="48">
        <v>499</v>
      </c>
      <c r="S79" s="48">
        <v>180</v>
      </c>
      <c r="T79" s="48">
        <v>1043</v>
      </c>
      <c r="U79" s="48">
        <v>591</v>
      </c>
      <c r="V79" s="48">
        <v>443</v>
      </c>
      <c r="W79" s="48"/>
      <c r="X79" s="48"/>
      <c r="Y79" s="48"/>
      <c r="Z79" s="48"/>
      <c r="AA79" s="49"/>
      <c r="AB79" s="49"/>
      <c r="AC79" s="48">
        <v>86</v>
      </c>
    </row>
    <row r="80" spans="1:29">
      <c r="A80" s="48" t="s">
        <v>19</v>
      </c>
      <c r="B80" s="48" t="s">
        <v>220</v>
      </c>
      <c r="C80" s="48" t="s">
        <v>259</v>
      </c>
      <c r="D80" s="48" t="s">
        <v>259</v>
      </c>
      <c r="E80" s="48" t="s">
        <v>90</v>
      </c>
      <c r="F80" s="48">
        <v>4</v>
      </c>
      <c r="G80" s="48" t="s">
        <v>260</v>
      </c>
      <c r="H80" s="48" t="s">
        <v>4</v>
      </c>
      <c r="I80" s="48" t="s">
        <v>119</v>
      </c>
      <c r="J80" s="48" t="s">
        <v>125</v>
      </c>
      <c r="K80" s="48">
        <v>9247855118</v>
      </c>
      <c r="L80" s="52">
        <v>1597</v>
      </c>
      <c r="M80" s="48">
        <v>1594</v>
      </c>
      <c r="N80" s="48">
        <v>3193</v>
      </c>
      <c r="O80" s="48">
        <v>79</v>
      </c>
      <c r="P80" s="48">
        <v>749</v>
      </c>
      <c r="Q80" s="52">
        <v>480</v>
      </c>
      <c r="R80" s="48">
        <v>286</v>
      </c>
      <c r="S80" s="48">
        <v>118</v>
      </c>
      <c r="T80" s="52">
        <v>791</v>
      </c>
      <c r="U80" s="52">
        <v>455</v>
      </c>
      <c r="V80" s="48">
        <v>233</v>
      </c>
      <c r="W80" s="52"/>
      <c r="X80" s="52"/>
      <c r="Y80" s="52"/>
      <c r="Z80" s="52"/>
      <c r="AA80" s="49"/>
      <c r="AB80" s="49"/>
      <c r="AC80" s="48">
        <v>80</v>
      </c>
    </row>
    <row r="81" spans="1:29">
      <c r="A81" s="48" t="s">
        <v>11</v>
      </c>
      <c r="B81" s="48" t="s">
        <v>261</v>
      </c>
      <c r="C81" s="48" t="s">
        <v>262</v>
      </c>
      <c r="D81" s="48" t="s">
        <v>262</v>
      </c>
      <c r="E81" s="48" t="s">
        <v>90</v>
      </c>
      <c r="F81" s="48">
        <v>7</v>
      </c>
      <c r="G81" s="48" t="s">
        <v>263</v>
      </c>
      <c r="H81" s="48" t="s">
        <v>263</v>
      </c>
      <c r="I81" s="48" t="s">
        <v>263</v>
      </c>
      <c r="J81" s="48" t="s">
        <v>263</v>
      </c>
      <c r="K81" s="48" t="s">
        <v>263</v>
      </c>
      <c r="L81" s="48">
        <v>3032</v>
      </c>
      <c r="M81" s="48">
        <v>3084</v>
      </c>
      <c r="N81" s="48">
        <v>6124</v>
      </c>
      <c r="O81" s="48">
        <v>191</v>
      </c>
      <c r="P81" s="48">
        <v>1482</v>
      </c>
      <c r="Q81" s="48">
        <v>877</v>
      </c>
      <c r="R81" s="48">
        <v>533</v>
      </c>
      <c r="S81" s="48">
        <v>208</v>
      </c>
      <c r="T81" s="48">
        <v>1398</v>
      </c>
      <c r="U81" s="48">
        <v>846</v>
      </c>
      <c r="V81" s="48">
        <v>579</v>
      </c>
      <c r="W81" s="48"/>
      <c r="X81" s="48"/>
      <c r="Y81" s="48"/>
      <c r="Z81" s="48"/>
      <c r="AA81" s="49"/>
      <c r="AB81" s="49"/>
      <c r="AC81" s="48">
        <v>48</v>
      </c>
    </row>
    <row r="82" spans="1:29">
      <c r="A82" s="48" t="s">
        <v>11</v>
      </c>
      <c r="B82" s="48" t="s">
        <v>261</v>
      </c>
      <c r="C82" s="48" t="s">
        <v>264</v>
      </c>
      <c r="D82" s="48" t="s">
        <v>264</v>
      </c>
      <c r="E82" s="48" t="s">
        <v>90</v>
      </c>
      <c r="F82" s="48">
        <v>7</v>
      </c>
      <c r="G82" s="53" t="s">
        <v>265</v>
      </c>
      <c r="H82" s="48" t="s">
        <v>92</v>
      </c>
      <c r="I82" s="48"/>
      <c r="J82" s="48"/>
      <c r="K82" s="53">
        <v>9160699909</v>
      </c>
      <c r="L82" s="48">
        <v>3316</v>
      </c>
      <c r="M82" s="48">
        <v>3449</v>
      </c>
      <c r="N82" s="48">
        <v>6777</v>
      </c>
      <c r="O82" s="48">
        <v>246</v>
      </c>
      <c r="P82" s="48">
        <v>1643</v>
      </c>
      <c r="Q82" s="48">
        <v>964</v>
      </c>
      <c r="R82" s="48">
        <v>594</v>
      </c>
      <c r="S82" s="48">
        <v>301</v>
      </c>
      <c r="T82" s="48">
        <v>1624</v>
      </c>
      <c r="U82" s="48">
        <v>814</v>
      </c>
      <c r="V82" s="48">
        <v>576</v>
      </c>
      <c r="W82" s="48"/>
      <c r="X82" s="48"/>
      <c r="Y82" s="48"/>
      <c r="Z82" s="48"/>
      <c r="AA82" s="49"/>
      <c r="AB82" s="49"/>
      <c r="AC82" s="48" t="e">
        <v>#N/A</v>
      </c>
    </row>
    <row r="83" spans="1:29">
      <c r="A83" s="48" t="s">
        <v>11</v>
      </c>
      <c r="B83" s="48" t="s">
        <v>261</v>
      </c>
      <c r="C83" s="48" t="s">
        <v>266</v>
      </c>
      <c r="D83" s="48" t="s">
        <v>266</v>
      </c>
      <c r="E83" s="48" t="s">
        <v>90</v>
      </c>
      <c r="F83" s="48">
        <v>10</v>
      </c>
      <c r="G83" s="48" t="s">
        <v>263</v>
      </c>
      <c r="H83" s="48" t="s">
        <v>263</v>
      </c>
      <c r="I83" s="48" t="s">
        <v>263</v>
      </c>
      <c r="J83" s="48" t="s">
        <v>263</v>
      </c>
      <c r="K83" s="48" t="s">
        <v>263</v>
      </c>
      <c r="L83" s="48">
        <v>4387</v>
      </c>
      <c r="M83" s="48">
        <v>4496</v>
      </c>
      <c r="N83" s="48">
        <v>8897</v>
      </c>
      <c r="O83" s="48">
        <v>272</v>
      </c>
      <c r="P83" s="48">
        <v>2148</v>
      </c>
      <c r="Q83" s="48">
        <v>1312</v>
      </c>
      <c r="R83" s="48">
        <v>763</v>
      </c>
      <c r="S83" s="48">
        <v>289</v>
      </c>
      <c r="T83" s="48">
        <v>2082</v>
      </c>
      <c r="U83" s="48">
        <v>1273</v>
      </c>
      <c r="V83" s="48">
        <v>742</v>
      </c>
      <c r="W83" s="48"/>
      <c r="X83" s="48"/>
      <c r="Y83" s="48"/>
      <c r="Z83" s="48"/>
      <c r="AA83" s="49"/>
      <c r="AB83" s="49"/>
      <c r="AC83" s="48"/>
    </row>
    <row r="84" spans="1:29">
      <c r="A84" s="48" t="s">
        <v>11</v>
      </c>
      <c r="B84" s="48" t="s">
        <v>261</v>
      </c>
      <c r="C84" s="48" t="s">
        <v>267</v>
      </c>
      <c r="D84" s="48" t="s">
        <v>267</v>
      </c>
      <c r="E84" s="48" t="s">
        <v>90</v>
      </c>
      <c r="F84" s="48">
        <v>5</v>
      </c>
      <c r="G84" s="48" t="s">
        <v>268</v>
      </c>
      <c r="H84" s="48" t="s">
        <v>92</v>
      </c>
      <c r="I84" s="48" t="s">
        <v>93</v>
      </c>
      <c r="J84" s="48"/>
      <c r="K84" s="48">
        <v>9966097546</v>
      </c>
      <c r="L84" s="52">
        <v>2481</v>
      </c>
      <c r="M84" s="52">
        <v>2482</v>
      </c>
      <c r="N84" s="48">
        <v>4967</v>
      </c>
      <c r="O84" s="48">
        <v>173</v>
      </c>
      <c r="P84" s="52">
        <v>1166</v>
      </c>
      <c r="Q84" s="52">
        <v>700</v>
      </c>
      <c r="R84" s="52">
        <v>441</v>
      </c>
      <c r="S84" s="48">
        <v>201</v>
      </c>
      <c r="T84" s="52">
        <v>1152</v>
      </c>
      <c r="U84" s="52">
        <v>676</v>
      </c>
      <c r="V84" s="52">
        <v>449</v>
      </c>
      <c r="W84" s="52"/>
      <c r="X84" s="52"/>
      <c r="Y84" s="52"/>
      <c r="Z84" s="52"/>
      <c r="AA84" s="49"/>
      <c r="AB84" s="49"/>
      <c r="AC84" s="48">
        <v>60</v>
      </c>
    </row>
    <row r="85" spans="1:29">
      <c r="A85" s="48" t="s">
        <v>11</v>
      </c>
      <c r="B85" s="48" t="s">
        <v>261</v>
      </c>
      <c r="C85" s="48" t="s">
        <v>269</v>
      </c>
      <c r="D85" s="48" t="s">
        <v>269</v>
      </c>
      <c r="E85" s="48" t="s">
        <v>90</v>
      </c>
      <c r="F85" s="48">
        <v>7</v>
      </c>
      <c r="G85" s="48" t="s">
        <v>270</v>
      </c>
      <c r="H85" s="48" t="s">
        <v>92</v>
      </c>
      <c r="I85" s="48" t="s">
        <v>119</v>
      </c>
      <c r="J85" s="48" t="s">
        <v>125</v>
      </c>
      <c r="K85" s="48">
        <v>9848398161</v>
      </c>
      <c r="L85" s="48">
        <v>3095</v>
      </c>
      <c r="M85" s="48">
        <v>3173</v>
      </c>
      <c r="N85" s="48">
        <v>6271</v>
      </c>
      <c r="O85" s="48">
        <v>212</v>
      </c>
      <c r="P85" s="48">
        <v>1510</v>
      </c>
      <c r="Q85" s="48">
        <v>959</v>
      </c>
      <c r="R85" s="48">
        <v>490</v>
      </c>
      <c r="S85" s="48">
        <v>220</v>
      </c>
      <c r="T85" s="48">
        <v>1490</v>
      </c>
      <c r="U85" s="48">
        <v>922</v>
      </c>
      <c r="V85" s="48">
        <v>463</v>
      </c>
      <c r="W85" s="48"/>
      <c r="X85" s="48"/>
      <c r="Y85" s="48"/>
      <c r="Z85" s="48"/>
      <c r="AA85" s="49"/>
      <c r="AB85" s="49"/>
      <c r="AC85" s="48">
        <v>87</v>
      </c>
    </row>
    <row r="86" spans="1:29">
      <c r="A86" s="48" t="s">
        <v>11</v>
      </c>
      <c r="B86" s="48" t="s">
        <v>261</v>
      </c>
      <c r="C86" s="48" t="s">
        <v>271</v>
      </c>
      <c r="D86" s="48" t="s">
        <v>271</v>
      </c>
      <c r="E86" s="48" t="s">
        <v>90</v>
      </c>
      <c r="F86" s="48">
        <v>4</v>
      </c>
      <c r="G86" s="48" t="s">
        <v>272</v>
      </c>
      <c r="H86" s="48" t="s">
        <v>92</v>
      </c>
      <c r="I86" s="48" t="s">
        <v>93</v>
      </c>
      <c r="J86" s="48" t="s">
        <v>139</v>
      </c>
      <c r="K86" s="48">
        <v>9705389099</v>
      </c>
      <c r="L86" s="48">
        <v>1750</v>
      </c>
      <c r="M86" s="48">
        <v>1705</v>
      </c>
      <c r="N86" s="48">
        <v>3455</v>
      </c>
      <c r="O86" s="48">
        <v>131</v>
      </c>
      <c r="P86" s="48">
        <v>834</v>
      </c>
      <c r="Q86" s="48">
        <v>446</v>
      </c>
      <c r="R86" s="48">
        <v>293</v>
      </c>
      <c r="S86" s="48">
        <v>166</v>
      </c>
      <c r="T86" s="48">
        <v>896</v>
      </c>
      <c r="U86" s="48">
        <v>420</v>
      </c>
      <c r="V86" s="48">
        <v>265</v>
      </c>
      <c r="W86" s="48"/>
      <c r="X86" s="48"/>
      <c r="Y86" s="52"/>
      <c r="Z86" s="48"/>
      <c r="AA86" s="49"/>
      <c r="AB86" s="49"/>
      <c r="AC86" s="48">
        <v>66</v>
      </c>
    </row>
    <row r="87" spans="1:29">
      <c r="A87" s="48" t="s">
        <v>11</v>
      </c>
      <c r="B87" s="48" t="s">
        <v>261</v>
      </c>
      <c r="C87" s="48" t="s">
        <v>273</v>
      </c>
      <c r="D87" s="48" t="s">
        <v>273</v>
      </c>
      <c r="E87" s="48" t="s">
        <v>100</v>
      </c>
      <c r="F87" s="48">
        <v>2</v>
      </c>
      <c r="G87" s="48" t="s">
        <v>274</v>
      </c>
      <c r="H87" s="48" t="s">
        <v>92</v>
      </c>
      <c r="I87" s="48" t="s">
        <v>102</v>
      </c>
      <c r="J87" s="48" t="s">
        <v>125</v>
      </c>
      <c r="K87" s="48">
        <v>9908909820</v>
      </c>
      <c r="L87" s="48">
        <v>887</v>
      </c>
      <c r="M87" s="48">
        <v>927</v>
      </c>
      <c r="N87" s="48">
        <v>1814</v>
      </c>
      <c r="O87" s="48">
        <v>99</v>
      </c>
      <c r="P87" s="48">
        <v>438</v>
      </c>
      <c r="Q87" s="48">
        <v>238</v>
      </c>
      <c r="R87" s="48">
        <v>151</v>
      </c>
      <c r="S87" s="48">
        <v>69</v>
      </c>
      <c r="T87" s="48">
        <v>436</v>
      </c>
      <c r="U87" s="48">
        <v>245</v>
      </c>
      <c r="V87" s="48">
        <v>137</v>
      </c>
      <c r="W87" s="48"/>
      <c r="X87" s="48"/>
      <c r="Y87" s="48"/>
      <c r="Z87" s="48"/>
      <c r="AA87" s="49"/>
      <c r="AB87" s="49"/>
      <c r="AC87" s="48">
        <v>63</v>
      </c>
    </row>
    <row r="88" spans="1:29">
      <c r="A88" s="48" t="s">
        <v>11</v>
      </c>
      <c r="B88" s="48" t="s">
        <v>261</v>
      </c>
      <c r="C88" s="48" t="s">
        <v>275</v>
      </c>
      <c r="D88" s="48" t="s">
        <v>275</v>
      </c>
      <c r="E88" s="48" t="s">
        <v>90</v>
      </c>
      <c r="F88" s="48">
        <v>5</v>
      </c>
      <c r="G88" s="48" t="s">
        <v>276</v>
      </c>
      <c r="H88" s="48" t="s">
        <v>92</v>
      </c>
      <c r="I88" s="48" t="s">
        <v>102</v>
      </c>
      <c r="J88" s="48" t="s">
        <v>139</v>
      </c>
      <c r="K88" s="48">
        <v>9848754599</v>
      </c>
      <c r="L88" s="48">
        <v>2178</v>
      </c>
      <c r="M88" s="48">
        <v>2062</v>
      </c>
      <c r="N88" s="48">
        <v>4241</v>
      </c>
      <c r="O88" s="48">
        <v>154</v>
      </c>
      <c r="P88" s="48">
        <v>907</v>
      </c>
      <c r="Q88" s="48">
        <v>613</v>
      </c>
      <c r="R88" s="48">
        <v>388</v>
      </c>
      <c r="S88" s="48">
        <v>170</v>
      </c>
      <c r="T88" s="48">
        <v>1035</v>
      </c>
      <c r="U88" s="48">
        <v>640</v>
      </c>
      <c r="V88" s="48">
        <v>333</v>
      </c>
      <c r="W88" s="48"/>
      <c r="X88" s="48"/>
      <c r="Y88" s="48"/>
      <c r="Z88" s="48"/>
      <c r="AA88" s="49"/>
      <c r="AB88" s="49"/>
      <c r="AC88" s="48">
        <v>63</v>
      </c>
    </row>
    <row r="89" spans="1:29">
      <c r="A89" s="48" t="s">
        <v>11</v>
      </c>
      <c r="B89" s="48" t="s">
        <v>261</v>
      </c>
      <c r="C89" s="48" t="s">
        <v>277</v>
      </c>
      <c r="D89" s="48" t="s">
        <v>277</v>
      </c>
      <c r="E89" s="48" t="s">
        <v>90</v>
      </c>
      <c r="F89" s="48">
        <v>2</v>
      </c>
      <c r="G89" s="48" t="s">
        <v>278</v>
      </c>
      <c r="H89" s="48" t="s">
        <v>279</v>
      </c>
      <c r="I89" s="48" t="s">
        <v>93</v>
      </c>
      <c r="J89" s="48" t="s">
        <v>125</v>
      </c>
      <c r="K89" s="48">
        <v>7893576090</v>
      </c>
      <c r="L89" s="48">
        <v>668</v>
      </c>
      <c r="M89" s="48">
        <v>671</v>
      </c>
      <c r="N89" s="48">
        <v>1339</v>
      </c>
      <c r="O89" s="48">
        <v>52</v>
      </c>
      <c r="P89" s="48">
        <v>357</v>
      </c>
      <c r="Q89" s="48">
        <v>138</v>
      </c>
      <c r="R89" s="48">
        <v>124</v>
      </c>
      <c r="S89" s="48">
        <v>64</v>
      </c>
      <c r="T89" s="48">
        <v>361</v>
      </c>
      <c r="U89" s="48">
        <v>128</v>
      </c>
      <c r="V89" s="48">
        <v>114</v>
      </c>
      <c r="W89" s="48"/>
      <c r="X89" s="48"/>
      <c r="Y89" s="52"/>
      <c r="Z89" s="48"/>
      <c r="AA89" s="49"/>
      <c r="AB89" s="49"/>
      <c r="AC89" s="48">
        <v>86</v>
      </c>
    </row>
    <row r="90" spans="1:29">
      <c r="A90" s="48" t="s">
        <v>11</v>
      </c>
      <c r="B90" s="48" t="s">
        <v>261</v>
      </c>
      <c r="C90" s="48" t="s">
        <v>280</v>
      </c>
      <c r="D90" s="48" t="s">
        <v>280</v>
      </c>
      <c r="E90" s="48" t="s">
        <v>90</v>
      </c>
      <c r="F90" s="48">
        <v>33</v>
      </c>
      <c r="G90" s="48" t="s">
        <v>263</v>
      </c>
      <c r="H90" s="48" t="s">
        <v>263</v>
      </c>
      <c r="I90" s="48" t="s">
        <v>263</v>
      </c>
      <c r="J90" s="48" t="s">
        <v>263</v>
      </c>
      <c r="K90" s="48" t="s">
        <v>263</v>
      </c>
      <c r="L90" s="52">
        <v>15514</v>
      </c>
      <c r="M90" s="48">
        <v>15698</v>
      </c>
      <c r="N90" s="48">
        <v>34137</v>
      </c>
      <c r="O90" s="48">
        <v>832</v>
      </c>
      <c r="P90" s="48">
        <v>7259</v>
      </c>
      <c r="Q90" s="48">
        <v>4575</v>
      </c>
      <c r="R90" s="48">
        <v>2988</v>
      </c>
      <c r="S90" s="48">
        <v>1014</v>
      </c>
      <c r="T90" s="48">
        <v>6573</v>
      </c>
      <c r="U90" s="48">
        <v>4546</v>
      </c>
      <c r="V90" s="48">
        <v>3335</v>
      </c>
      <c r="W90" s="48"/>
      <c r="X90" s="48"/>
      <c r="Y90" s="52"/>
      <c r="Z90" s="48"/>
      <c r="AA90" s="49"/>
      <c r="AB90" s="49"/>
      <c r="AC90" s="48">
        <v>37</v>
      </c>
    </row>
    <row r="91" spans="1:29">
      <c r="A91" s="48" t="s">
        <v>11</v>
      </c>
      <c r="B91" s="48" t="s">
        <v>261</v>
      </c>
      <c r="C91" s="48" t="s">
        <v>281</v>
      </c>
      <c r="D91" s="48" t="s">
        <v>281</v>
      </c>
      <c r="E91" s="48" t="s">
        <v>90</v>
      </c>
      <c r="F91" s="48">
        <v>2</v>
      </c>
      <c r="G91" s="48" t="s">
        <v>282</v>
      </c>
      <c r="H91" s="48" t="s">
        <v>92</v>
      </c>
      <c r="I91" s="48" t="s">
        <v>93</v>
      </c>
      <c r="J91" s="48" t="s">
        <v>139</v>
      </c>
      <c r="K91" s="48">
        <v>9948291614</v>
      </c>
      <c r="L91" s="48">
        <v>1139</v>
      </c>
      <c r="M91" s="48">
        <v>1127</v>
      </c>
      <c r="N91" s="48">
        <v>2268</v>
      </c>
      <c r="O91" s="48">
        <v>76</v>
      </c>
      <c r="P91" s="48">
        <v>574</v>
      </c>
      <c r="Q91" s="52">
        <v>294</v>
      </c>
      <c r="R91" s="48">
        <v>183</v>
      </c>
      <c r="S91" s="48">
        <v>75</v>
      </c>
      <c r="T91" s="48">
        <v>556</v>
      </c>
      <c r="U91" s="48">
        <v>317</v>
      </c>
      <c r="V91" s="48">
        <v>191</v>
      </c>
      <c r="W91" s="48"/>
      <c r="X91" s="48"/>
      <c r="Y91" s="52"/>
      <c r="Z91" s="52"/>
      <c r="AA91" s="49"/>
      <c r="AB91" s="49"/>
      <c r="AC91" s="48">
        <v>1</v>
      </c>
    </row>
    <row r="92" spans="1:29">
      <c r="A92" s="48" t="s">
        <v>11</v>
      </c>
      <c r="B92" s="48" t="s">
        <v>261</v>
      </c>
      <c r="C92" s="48" t="s">
        <v>283</v>
      </c>
      <c r="D92" s="48" t="s">
        <v>283</v>
      </c>
      <c r="E92" s="48" t="s">
        <v>90</v>
      </c>
      <c r="F92" s="48">
        <v>10</v>
      </c>
      <c r="G92" s="48" t="s">
        <v>263</v>
      </c>
      <c r="H92" s="48" t="s">
        <v>263</v>
      </c>
      <c r="I92" s="48" t="s">
        <v>263</v>
      </c>
      <c r="J92" s="48" t="s">
        <v>263</v>
      </c>
      <c r="K92" s="48" t="s">
        <v>263</v>
      </c>
      <c r="L92" s="48">
        <v>4428</v>
      </c>
      <c r="M92" s="48">
        <v>4402</v>
      </c>
      <c r="N92" s="48">
        <v>9434</v>
      </c>
      <c r="O92" s="48">
        <v>270</v>
      </c>
      <c r="P92" s="48">
        <v>1943</v>
      </c>
      <c r="Q92" s="48">
        <v>1235</v>
      </c>
      <c r="R92" s="48">
        <v>946</v>
      </c>
      <c r="S92" s="48">
        <v>262</v>
      </c>
      <c r="T92" s="48">
        <v>1853</v>
      </c>
      <c r="U92" s="48">
        <v>1282</v>
      </c>
      <c r="V92" s="48">
        <v>1026</v>
      </c>
      <c r="W92" s="48"/>
      <c r="X92" s="48"/>
      <c r="Y92" s="48"/>
      <c r="Z92" s="48"/>
      <c r="AA92" s="49"/>
      <c r="AB92" s="49"/>
      <c r="AC92" s="48"/>
    </row>
    <row r="93" spans="1:29">
      <c r="A93" s="48" t="s">
        <v>11</v>
      </c>
      <c r="B93" s="48" t="s">
        <v>261</v>
      </c>
      <c r="C93" s="48" t="s">
        <v>284</v>
      </c>
      <c r="D93" s="48" t="s">
        <v>284</v>
      </c>
      <c r="E93" s="48" t="s">
        <v>90</v>
      </c>
      <c r="F93" s="48">
        <v>13</v>
      </c>
      <c r="G93" s="48" t="s">
        <v>285</v>
      </c>
      <c r="H93" s="48" t="s">
        <v>92</v>
      </c>
      <c r="I93" s="48" t="s">
        <v>119</v>
      </c>
      <c r="J93" s="48" t="s">
        <v>125</v>
      </c>
      <c r="K93" s="48">
        <v>9848743953</v>
      </c>
      <c r="L93" s="48">
        <v>6093</v>
      </c>
      <c r="M93" s="48">
        <v>5949</v>
      </c>
      <c r="N93" s="48">
        <v>12820</v>
      </c>
      <c r="O93" s="48">
        <v>479</v>
      </c>
      <c r="P93" s="48">
        <v>2951</v>
      </c>
      <c r="Q93" s="48">
        <v>1567</v>
      </c>
      <c r="R93" s="48">
        <v>947</v>
      </c>
      <c r="S93" s="48">
        <v>569</v>
      </c>
      <c r="T93" s="48">
        <v>2994</v>
      </c>
      <c r="U93" s="48">
        <v>1566</v>
      </c>
      <c r="V93" s="48">
        <v>963</v>
      </c>
      <c r="W93" s="48"/>
      <c r="X93" s="48"/>
      <c r="Y93" s="48"/>
      <c r="Z93" s="48"/>
      <c r="AA93" s="49"/>
      <c r="AB93" s="49"/>
      <c r="AC93" s="48">
        <v>59</v>
      </c>
    </row>
    <row r="94" spans="1:29">
      <c r="A94" s="48" t="s">
        <v>11</v>
      </c>
      <c r="B94" s="48" t="s">
        <v>261</v>
      </c>
      <c r="C94" s="48" t="s">
        <v>286</v>
      </c>
      <c r="D94" s="48" t="s">
        <v>286</v>
      </c>
      <c r="E94" s="48" t="s">
        <v>95</v>
      </c>
      <c r="F94" s="48">
        <v>4</v>
      </c>
      <c r="G94" s="48" t="s">
        <v>287</v>
      </c>
      <c r="H94" s="48" t="s">
        <v>92</v>
      </c>
      <c r="I94" s="48" t="s">
        <v>97</v>
      </c>
      <c r="J94" s="48" t="s">
        <v>288</v>
      </c>
      <c r="K94" s="48">
        <v>9912671919</v>
      </c>
      <c r="L94" s="48">
        <v>1897</v>
      </c>
      <c r="M94" s="48">
        <v>1928</v>
      </c>
      <c r="N94" s="48">
        <v>3834</v>
      </c>
      <c r="O94" s="48">
        <v>92</v>
      </c>
      <c r="P94" s="48">
        <v>844</v>
      </c>
      <c r="Q94" s="48">
        <v>583</v>
      </c>
      <c r="R94" s="48">
        <v>409</v>
      </c>
      <c r="S94" s="48">
        <v>110</v>
      </c>
      <c r="T94" s="48">
        <v>740</v>
      </c>
      <c r="U94" s="48">
        <v>621</v>
      </c>
      <c r="V94" s="48">
        <v>425</v>
      </c>
      <c r="W94" s="48"/>
      <c r="X94" s="48"/>
      <c r="Y94" s="48"/>
      <c r="Z94" s="48"/>
      <c r="AA94" s="49"/>
      <c r="AB94" s="49"/>
      <c r="AC94" s="48">
        <v>49</v>
      </c>
    </row>
    <row r="95" spans="1:29">
      <c r="A95" s="48" t="s">
        <v>11</v>
      </c>
      <c r="B95" s="48" t="s">
        <v>261</v>
      </c>
      <c r="C95" s="48" t="s">
        <v>289</v>
      </c>
      <c r="D95" s="48" t="s">
        <v>289</v>
      </c>
      <c r="E95" s="48" t="s">
        <v>95</v>
      </c>
      <c r="F95" s="48">
        <v>1</v>
      </c>
      <c r="G95" s="48" t="e">
        <v>#N/A</v>
      </c>
      <c r="H95" s="48"/>
      <c r="I95" s="48"/>
      <c r="J95" s="48"/>
      <c r="K95" s="48"/>
      <c r="L95" s="48">
        <v>361</v>
      </c>
      <c r="M95" s="48">
        <v>432</v>
      </c>
      <c r="N95" s="48">
        <v>793</v>
      </c>
      <c r="O95" s="48">
        <v>24</v>
      </c>
      <c r="P95" s="48">
        <v>229</v>
      </c>
      <c r="Q95" s="48">
        <v>102</v>
      </c>
      <c r="R95" s="48">
        <v>77</v>
      </c>
      <c r="S95" s="48">
        <v>19</v>
      </c>
      <c r="T95" s="48">
        <v>199</v>
      </c>
      <c r="U95" s="48">
        <v>85</v>
      </c>
      <c r="V95" s="48">
        <v>58</v>
      </c>
      <c r="W95" s="48"/>
      <c r="X95" s="48"/>
      <c r="Y95" s="48"/>
      <c r="Z95" s="48"/>
      <c r="AA95" s="49"/>
      <c r="AB95" s="49"/>
      <c r="AC95" s="48" t="e">
        <v>#N/A</v>
      </c>
    </row>
    <row r="96" spans="1:29">
      <c r="A96" s="48" t="s">
        <v>11</v>
      </c>
      <c r="B96" s="48" t="s">
        <v>261</v>
      </c>
      <c r="C96" s="48" t="s">
        <v>290</v>
      </c>
      <c r="D96" s="48" t="s">
        <v>290</v>
      </c>
      <c r="E96" s="48" t="s">
        <v>90</v>
      </c>
      <c r="F96" s="48">
        <v>8</v>
      </c>
      <c r="G96" s="48" t="s">
        <v>291</v>
      </c>
      <c r="H96" s="48" t="s">
        <v>92</v>
      </c>
      <c r="I96" s="48" t="s">
        <v>93</v>
      </c>
      <c r="J96" s="48" t="s">
        <v>107</v>
      </c>
      <c r="K96" s="48">
        <v>9849998334</v>
      </c>
      <c r="L96" s="48">
        <v>3533</v>
      </c>
      <c r="M96" s="48">
        <v>3387</v>
      </c>
      <c r="N96" s="48">
        <v>6920</v>
      </c>
      <c r="O96" s="48">
        <v>268</v>
      </c>
      <c r="P96" s="48">
        <v>1669</v>
      </c>
      <c r="Q96" s="48">
        <v>879</v>
      </c>
      <c r="R96" s="48">
        <v>570</v>
      </c>
      <c r="S96" s="48">
        <v>370</v>
      </c>
      <c r="T96" s="48">
        <v>1837</v>
      </c>
      <c r="U96" s="48">
        <v>862</v>
      </c>
      <c r="V96" s="48">
        <v>462</v>
      </c>
      <c r="W96" s="48"/>
      <c r="X96" s="48"/>
      <c r="Y96" s="48"/>
      <c r="Z96" s="48"/>
      <c r="AA96" s="49"/>
      <c r="AB96" s="49"/>
      <c r="AC96" s="48">
        <v>74</v>
      </c>
    </row>
    <row r="97" spans="1:29">
      <c r="A97" s="48" t="s">
        <v>11</v>
      </c>
      <c r="B97" s="48" t="s">
        <v>261</v>
      </c>
      <c r="C97" s="48" t="s">
        <v>292</v>
      </c>
      <c r="D97" s="48" t="s">
        <v>292</v>
      </c>
      <c r="E97" s="48" t="s">
        <v>90</v>
      </c>
      <c r="F97" s="48">
        <v>8</v>
      </c>
      <c r="G97" s="48" t="s">
        <v>293</v>
      </c>
      <c r="H97" s="48" t="s">
        <v>92</v>
      </c>
      <c r="I97" s="48" t="s">
        <v>93</v>
      </c>
      <c r="J97" s="48" t="s">
        <v>107</v>
      </c>
      <c r="K97" s="48">
        <v>9848443334</v>
      </c>
      <c r="L97" s="48">
        <v>3671</v>
      </c>
      <c r="M97" s="48">
        <v>3717</v>
      </c>
      <c r="N97" s="48">
        <v>7389</v>
      </c>
      <c r="O97" s="48">
        <v>289</v>
      </c>
      <c r="P97" s="48">
        <v>1841</v>
      </c>
      <c r="Q97" s="48">
        <v>955</v>
      </c>
      <c r="R97" s="48">
        <v>630</v>
      </c>
      <c r="S97" s="48">
        <v>316</v>
      </c>
      <c r="T97" s="48">
        <v>1796</v>
      </c>
      <c r="U97" s="48">
        <v>968</v>
      </c>
      <c r="V97" s="48">
        <v>591</v>
      </c>
      <c r="W97" s="48"/>
      <c r="X97" s="48"/>
      <c r="Y97" s="48"/>
      <c r="Z97" s="48"/>
      <c r="AA97" s="49"/>
      <c r="AB97" s="49"/>
      <c r="AC97" s="48">
        <v>71</v>
      </c>
    </row>
    <row r="98" spans="1:29">
      <c r="A98" s="48" t="s">
        <v>11</v>
      </c>
      <c r="B98" s="48" t="s">
        <v>261</v>
      </c>
      <c r="C98" s="48" t="s">
        <v>294</v>
      </c>
      <c r="D98" s="48" t="s">
        <v>294</v>
      </c>
      <c r="E98" s="48" t="s">
        <v>90</v>
      </c>
      <c r="F98" s="48">
        <v>22</v>
      </c>
      <c r="G98" s="48" t="s">
        <v>263</v>
      </c>
      <c r="H98" s="48" t="s">
        <v>263</v>
      </c>
      <c r="I98" s="48" t="s">
        <v>263</v>
      </c>
      <c r="J98" s="48" t="s">
        <v>263</v>
      </c>
      <c r="K98" s="48" t="s">
        <v>263</v>
      </c>
      <c r="L98" s="48">
        <v>8806</v>
      </c>
      <c r="M98" s="48">
        <v>9156</v>
      </c>
      <c r="N98" s="48">
        <v>19887</v>
      </c>
      <c r="O98" s="48">
        <v>587</v>
      </c>
      <c r="P98" s="48">
        <v>4524</v>
      </c>
      <c r="Q98" s="48">
        <v>2550</v>
      </c>
      <c r="R98" s="48">
        <v>1492</v>
      </c>
      <c r="S98" s="48">
        <v>613</v>
      </c>
      <c r="T98" s="48">
        <v>4269</v>
      </c>
      <c r="U98" s="48">
        <v>2437</v>
      </c>
      <c r="V98" s="48">
        <v>1482</v>
      </c>
      <c r="W98" s="48"/>
      <c r="X98" s="48"/>
      <c r="Y98" s="48"/>
      <c r="Z98" s="48"/>
      <c r="AA98" s="49"/>
      <c r="AB98" s="49"/>
      <c r="AC98" s="48">
        <v>59</v>
      </c>
    </row>
    <row r="99" spans="1:29">
      <c r="A99" s="48" t="s">
        <v>11</v>
      </c>
      <c r="B99" s="48" t="s">
        <v>261</v>
      </c>
      <c r="C99" s="48" t="s">
        <v>295</v>
      </c>
      <c r="D99" s="48" t="s">
        <v>295</v>
      </c>
      <c r="E99" s="48" t="s">
        <v>90</v>
      </c>
      <c r="F99" s="48">
        <v>10</v>
      </c>
      <c r="G99" s="48" t="s">
        <v>263</v>
      </c>
      <c r="H99" s="48" t="s">
        <v>263</v>
      </c>
      <c r="I99" s="48" t="s">
        <v>263</v>
      </c>
      <c r="J99" s="48" t="s">
        <v>263</v>
      </c>
      <c r="K99" s="48" t="s">
        <v>263</v>
      </c>
      <c r="L99" s="48">
        <v>4668</v>
      </c>
      <c r="M99" s="48">
        <v>4735</v>
      </c>
      <c r="N99" s="48">
        <v>9406</v>
      </c>
      <c r="O99" s="48">
        <v>335</v>
      </c>
      <c r="P99" s="48">
        <v>2326</v>
      </c>
      <c r="Q99" s="48">
        <v>1187</v>
      </c>
      <c r="R99" s="48">
        <v>882</v>
      </c>
      <c r="S99" s="48">
        <v>340</v>
      </c>
      <c r="T99" s="48">
        <v>2213</v>
      </c>
      <c r="U99" s="48">
        <v>1192</v>
      </c>
      <c r="V99" s="48">
        <v>920</v>
      </c>
      <c r="W99" s="48"/>
      <c r="X99" s="48"/>
      <c r="Y99" s="48"/>
      <c r="Z99" s="48"/>
      <c r="AA99" s="49"/>
      <c r="AB99" s="49"/>
      <c r="AC99" s="48">
        <v>59</v>
      </c>
    </row>
    <row r="100" spans="1:29">
      <c r="A100" s="48" t="s">
        <v>11</v>
      </c>
      <c r="B100" s="48" t="s">
        <v>261</v>
      </c>
      <c r="C100" s="48" t="s">
        <v>296</v>
      </c>
      <c r="D100" s="48" t="s">
        <v>296</v>
      </c>
      <c r="E100" s="48" t="s">
        <v>95</v>
      </c>
      <c r="F100" s="48">
        <v>9</v>
      </c>
      <c r="G100" s="48" t="s">
        <v>263</v>
      </c>
      <c r="H100" s="48" t="s">
        <v>263</v>
      </c>
      <c r="I100" s="48" t="s">
        <v>263</v>
      </c>
      <c r="J100" s="48" t="s">
        <v>263</v>
      </c>
      <c r="K100" s="48" t="s">
        <v>263</v>
      </c>
      <c r="L100" s="48">
        <v>4114</v>
      </c>
      <c r="M100" s="48">
        <v>4126</v>
      </c>
      <c r="N100" s="48">
        <v>8778</v>
      </c>
      <c r="O100" s="48">
        <v>241</v>
      </c>
      <c r="P100" s="48">
        <v>1903</v>
      </c>
      <c r="Q100" s="48">
        <v>1197</v>
      </c>
      <c r="R100" s="48">
        <v>746</v>
      </c>
      <c r="S100" s="48">
        <v>264</v>
      </c>
      <c r="T100" s="48">
        <v>1726</v>
      </c>
      <c r="U100" s="48">
        <v>1243</v>
      </c>
      <c r="V100" s="48">
        <v>845</v>
      </c>
      <c r="W100" s="48"/>
      <c r="X100" s="48"/>
      <c r="Y100" s="48"/>
      <c r="Z100" s="48"/>
      <c r="AA100" s="49"/>
      <c r="AB100" s="49"/>
      <c r="AC100" s="48"/>
    </row>
    <row r="101" spans="1:29">
      <c r="A101" s="48" t="s">
        <v>11</v>
      </c>
      <c r="B101" s="48" t="s">
        <v>297</v>
      </c>
      <c r="C101" s="48" t="s">
        <v>298</v>
      </c>
      <c r="D101" s="48" t="s">
        <v>298</v>
      </c>
      <c r="E101" s="48" t="s">
        <v>95</v>
      </c>
      <c r="F101" s="48">
        <v>4</v>
      </c>
      <c r="G101" s="48" t="s">
        <v>299</v>
      </c>
      <c r="H101" s="48" t="s">
        <v>92</v>
      </c>
      <c r="I101" s="48" t="s">
        <v>97</v>
      </c>
      <c r="J101" s="48"/>
      <c r="K101" s="48">
        <v>7993605566</v>
      </c>
      <c r="L101" s="48">
        <v>1971</v>
      </c>
      <c r="M101" s="48">
        <v>2022</v>
      </c>
      <c r="N101" s="48">
        <v>3993</v>
      </c>
      <c r="O101" s="48">
        <v>116</v>
      </c>
      <c r="P101" s="48">
        <v>994</v>
      </c>
      <c r="Q101" s="48">
        <v>513</v>
      </c>
      <c r="R101" s="48">
        <v>399</v>
      </c>
      <c r="S101" s="48">
        <v>160</v>
      </c>
      <c r="T101" s="48">
        <v>1018</v>
      </c>
      <c r="U101" s="48">
        <v>463</v>
      </c>
      <c r="V101" s="48">
        <v>329</v>
      </c>
      <c r="W101" s="48"/>
      <c r="X101" s="52"/>
      <c r="Y101" s="48"/>
      <c r="Z101" s="48"/>
      <c r="AA101" s="49"/>
      <c r="AB101" s="49"/>
      <c r="AC101" s="48">
        <v>69</v>
      </c>
    </row>
    <row r="102" spans="1:29">
      <c r="A102" s="48" t="s">
        <v>11</v>
      </c>
      <c r="B102" s="48" t="s">
        <v>297</v>
      </c>
      <c r="C102" s="48" t="s">
        <v>300</v>
      </c>
      <c r="D102" s="48" t="s">
        <v>300</v>
      </c>
      <c r="E102" s="48" t="s">
        <v>90</v>
      </c>
      <c r="F102" s="48">
        <v>1</v>
      </c>
      <c r="G102" s="48" t="s">
        <v>301</v>
      </c>
      <c r="H102" s="48" t="s">
        <v>92</v>
      </c>
      <c r="I102" s="48" t="s">
        <v>93</v>
      </c>
      <c r="J102" s="48"/>
      <c r="K102" s="48">
        <v>9502319888</v>
      </c>
      <c r="L102" s="48">
        <v>376</v>
      </c>
      <c r="M102" s="48">
        <v>334</v>
      </c>
      <c r="N102" s="48">
        <v>710</v>
      </c>
      <c r="O102" s="48">
        <v>15</v>
      </c>
      <c r="P102" s="48">
        <v>139</v>
      </c>
      <c r="Q102" s="48">
        <v>87</v>
      </c>
      <c r="R102" s="48">
        <v>93</v>
      </c>
      <c r="S102" s="48">
        <v>35</v>
      </c>
      <c r="T102" s="48">
        <v>176</v>
      </c>
      <c r="U102" s="48">
        <v>104</v>
      </c>
      <c r="V102" s="48">
        <v>61</v>
      </c>
      <c r="W102" s="48"/>
      <c r="X102" s="48"/>
      <c r="Y102" s="48"/>
      <c r="Z102" s="48"/>
      <c r="AA102" s="49"/>
      <c r="AB102" s="49"/>
      <c r="AC102" s="48">
        <v>66</v>
      </c>
    </row>
    <row r="103" spans="1:29">
      <c r="A103" s="48" t="s">
        <v>11</v>
      </c>
      <c r="B103" s="48" t="s">
        <v>297</v>
      </c>
      <c r="C103" s="48" t="s">
        <v>302</v>
      </c>
      <c r="D103" s="48" t="s">
        <v>302</v>
      </c>
      <c r="E103" s="48" t="s">
        <v>95</v>
      </c>
      <c r="F103" s="48">
        <v>1</v>
      </c>
      <c r="G103" s="48" t="e">
        <v>#N/A</v>
      </c>
      <c r="H103" s="48"/>
      <c r="I103" s="48"/>
      <c r="J103" s="48"/>
      <c r="K103" s="48"/>
      <c r="L103" s="48">
        <v>417</v>
      </c>
      <c r="M103" s="48">
        <v>413</v>
      </c>
      <c r="N103" s="48">
        <v>830</v>
      </c>
      <c r="O103" s="48">
        <v>29</v>
      </c>
      <c r="P103" s="48">
        <v>193</v>
      </c>
      <c r="Q103" s="48">
        <v>101</v>
      </c>
      <c r="R103" s="48">
        <v>90</v>
      </c>
      <c r="S103" s="48">
        <v>28</v>
      </c>
      <c r="T103" s="48">
        <v>229</v>
      </c>
      <c r="U103" s="48">
        <v>78</v>
      </c>
      <c r="V103" s="48">
        <v>82</v>
      </c>
      <c r="W103" s="48"/>
      <c r="X103" s="48"/>
      <c r="Y103" s="48"/>
      <c r="Z103" s="48"/>
      <c r="AA103" s="49"/>
      <c r="AB103" s="49"/>
      <c r="AC103" s="48" t="e">
        <v>#N/A</v>
      </c>
    </row>
    <row r="104" spans="1:29">
      <c r="A104" s="48" t="s">
        <v>11</v>
      </c>
      <c r="B104" s="48" t="s">
        <v>297</v>
      </c>
      <c r="C104" s="48" t="s">
        <v>303</v>
      </c>
      <c r="D104" s="48" t="s">
        <v>303</v>
      </c>
      <c r="E104" s="48" t="s">
        <v>90</v>
      </c>
      <c r="F104" s="48">
        <v>5</v>
      </c>
      <c r="G104" s="48" t="s">
        <v>304</v>
      </c>
      <c r="H104" s="48" t="s">
        <v>92</v>
      </c>
      <c r="I104" s="48" t="s">
        <v>97</v>
      </c>
      <c r="J104" s="48" t="s">
        <v>136</v>
      </c>
      <c r="K104" s="48">
        <v>6301293869</v>
      </c>
      <c r="L104" s="48">
        <v>2479</v>
      </c>
      <c r="M104" s="48">
        <v>2518</v>
      </c>
      <c r="N104" s="48">
        <v>4999</v>
      </c>
      <c r="O104" s="48">
        <v>157</v>
      </c>
      <c r="P104" s="48">
        <v>1266</v>
      </c>
      <c r="Q104" s="48">
        <v>641</v>
      </c>
      <c r="R104" s="48">
        <v>453</v>
      </c>
      <c r="S104" s="48">
        <v>215</v>
      </c>
      <c r="T104" s="48">
        <v>1291</v>
      </c>
      <c r="U104" s="48">
        <v>574</v>
      </c>
      <c r="V104" s="48">
        <v>399</v>
      </c>
      <c r="W104" s="48"/>
      <c r="X104" s="48"/>
      <c r="Y104" s="52"/>
      <c r="Z104" s="52"/>
      <c r="AA104" s="49"/>
      <c r="AB104" s="49"/>
      <c r="AC104" s="48">
        <v>84</v>
      </c>
    </row>
    <row r="105" spans="1:29">
      <c r="A105" s="48" t="s">
        <v>11</v>
      </c>
      <c r="B105" s="48" t="s">
        <v>297</v>
      </c>
      <c r="C105" s="48" t="s">
        <v>305</v>
      </c>
      <c r="D105" s="48" t="s">
        <v>305</v>
      </c>
      <c r="E105" s="48" t="s">
        <v>90</v>
      </c>
      <c r="F105" s="48">
        <v>4</v>
      </c>
      <c r="G105" s="48" t="s">
        <v>306</v>
      </c>
      <c r="H105" s="48" t="s">
        <v>92</v>
      </c>
      <c r="I105" s="48" t="s">
        <v>119</v>
      </c>
      <c r="J105" s="48"/>
      <c r="K105" s="48">
        <v>9640273737</v>
      </c>
      <c r="L105" s="48">
        <v>1893</v>
      </c>
      <c r="M105" s="48">
        <v>1858</v>
      </c>
      <c r="N105" s="48">
        <v>3754</v>
      </c>
      <c r="O105" s="48">
        <v>112</v>
      </c>
      <c r="P105" s="48">
        <v>881</v>
      </c>
      <c r="Q105" s="48">
        <v>511</v>
      </c>
      <c r="R105" s="48">
        <v>354</v>
      </c>
      <c r="S105" s="48">
        <v>104</v>
      </c>
      <c r="T105" s="48">
        <v>961</v>
      </c>
      <c r="U105" s="48">
        <v>495</v>
      </c>
      <c r="V105" s="48">
        <v>333</v>
      </c>
      <c r="W105" s="48"/>
      <c r="X105" s="48"/>
      <c r="Y105" s="48"/>
      <c r="Z105" s="48"/>
      <c r="AA105" s="49"/>
      <c r="AB105" s="49"/>
      <c r="AC105" s="48">
        <v>88</v>
      </c>
    </row>
    <row r="106" spans="1:29">
      <c r="A106" s="48" t="s">
        <v>11</v>
      </c>
      <c r="B106" s="48" t="s">
        <v>297</v>
      </c>
      <c r="C106" s="48" t="s">
        <v>297</v>
      </c>
      <c r="D106" s="48" t="s">
        <v>297</v>
      </c>
      <c r="E106" s="48" t="s">
        <v>90</v>
      </c>
      <c r="F106" s="48">
        <v>10</v>
      </c>
      <c r="G106" s="48" t="s">
        <v>307</v>
      </c>
      <c r="H106" s="48" t="s">
        <v>92</v>
      </c>
      <c r="I106" s="48" t="s">
        <v>142</v>
      </c>
      <c r="J106" s="48"/>
      <c r="K106" s="48">
        <v>9532066467</v>
      </c>
      <c r="L106" s="48">
        <v>4574</v>
      </c>
      <c r="M106" s="48">
        <v>4485</v>
      </c>
      <c r="N106" s="48">
        <v>9062</v>
      </c>
      <c r="O106" s="48">
        <v>275</v>
      </c>
      <c r="P106" s="48">
        <v>2132</v>
      </c>
      <c r="Q106" s="48">
        <v>1179</v>
      </c>
      <c r="R106" s="48">
        <v>896</v>
      </c>
      <c r="S106" s="48">
        <v>350</v>
      </c>
      <c r="T106" s="48">
        <v>2243</v>
      </c>
      <c r="U106" s="48">
        <v>1156</v>
      </c>
      <c r="V106" s="48">
        <v>824</v>
      </c>
      <c r="W106" s="48"/>
      <c r="X106" s="48"/>
      <c r="Y106" s="48"/>
      <c r="Z106" s="48"/>
      <c r="AA106" s="49"/>
      <c r="AB106" s="49"/>
      <c r="AC106" s="48">
        <v>80</v>
      </c>
    </row>
    <row r="107" spans="1:29">
      <c r="A107" s="48" t="s">
        <v>11</v>
      </c>
      <c r="B107" s="48" t="s">
        <v>297</v>
      </c>
      <c r="C107" s="48" t="s">
        <v>308</v>
      </c>
      <c r="D107" s="48" t="s">
        <v>308</v>
      </c>
      <c r="E107" s="48" t="s">
        <v>90</v>
      </c>
      <c r="F107" s="48">
        <v>2</v>
      </c>
      <c r="G107" s="48" t="s">
        <v>309</v>
      </c>
      <c r="H107" s="48" t="s">
        <v>92</v>
      </c>
      <c r="I107" s="48" t="s">
        <v>93</v>
      </c>
      <c r="J107" s="48" t="s">
        <v>139</v>
      </c>
      <c r="K107" s="48">
        <v>9494106999</v>
      </c>
      <c r="L107" s="48">
        <v>893</v>
      </c>
      <c r="M107" s="48">
        <v>877</v>
      </c>
      <c r="N107" s="48">
        <v>1770</v>
      </c>
      <c r="O107" s="48">
        <v>85</v>
      </c>
      <c r="P107" s="48">
        <v>418</v>
      </c>
      <c r="Q107" s="48">
        <v>212</v>
      </c>
      <c r="R107" s="48">
        <v>161</v>
      </c>
      <c r="S107" s="48">
        <v>103</v>
      </c>
      <c r="T107" s="48">
        <v>409</v>
      </c>
      <c r="U107" s="48">
        <v>231</v>
      </c>
      <c r="V107" s="48">
        <v>149</v>
      </c>
      <c r="W107" s="48"/>
      <c r="X107" s="48"/>
      <c r="Y107" s="48"/>
      <c r="Z107" s="48"/>
      <c r="AA107" s="49"/>
      <c r="AB107" s="49"/>
      <c r="AC107" s="48">
        <v>84</v>
      </c>
    </row>
    <row r="108" spans="1:29">
      <c r="A108" s="48" t="s">
        <v>11</v>
      </c>
      <c r="B108" s="48" t="s">
        <v>297</v>
      </c>
      <c r="C108" s="48" t="s">
        <v>310</v>
      </c>
      <c r="D108" s="48" t="s">
        <v>310</v>
      </c>
      <c r="E108" s="48" t="s">
        <v>90</v>
      </c>
      <c r="F108" s="48">
        <v>2</v>
      </c>
      <c r="G108" s="48" t="s">
        <v>311</v>
      </c>
      <c r="H108" s="48" t="s">
        <v>92</v>
      </c>
      <c r="I108" s="48" t="s">
        <v>93</v>
      </c>
      <c r="J108" s="48"/>
      <c r="K108" s="48">
        <v>9666375249</v>
      </c>
      <c r="L108" s="48">
        <v>730</v>
      </c>
      <c r="M108" s="48">
        <v>706</v>
      </c>
      <c r="N108" s="48">
        <v>1436</v>
      </c>
      <c r="O108" s="48">
        <v>57</v>
      </c>
      <c r="P108" s="48">
        <v>331</v>
      </c>
      <c r="Q108" s="48">
        <v>193</v>
      </c>
      <c r="R108" s="48">
        <v>125</v>
      </c>
      <c r="S108" s="48">
        <v>70</v>
      </c>
      <c r="T108" s="48">
        <v>326</v>
      </c>
      <c r="U108" s="48">
        <v>217</v>
      </c>
      <c r="V108" s="48">
        <v>117</v>
      </c>
      <c r="W108" s="48"/>
      <c r="X108" s="48"/>
      <c r="Y108" s="48"/>
      <c r="Z108" s="48"/>
      <c r="AA108" s="49"/>
      <c r="AB108" s="49"/>
      <c r="AC108" s="48">
        <v>75</v>
      </c>
    </row>
    <row r="109" spans="1:29">
      <c r="A109" s="48" t="s">
        <v>11</v>
      </c>
      <c r="B109" s="48" t="s">
        <v>297</v>
      </c>
      <c r="C109" s="48" t="s">
        <v>312</v>
      </c>
      <c r="D109" s="48" t="s">
        <v>313</v>
      </c>
      <c r="E109" s="48" t="s">
        <v>90</v>
      </c>
      <c r="F109" s="48">
        <v>1</v>
      </c>
      <c r="G109" s="48" t="s">
        <v>314</v>
      </c>
      <c r="H109" s="48" t="s">
        <v>92</v>
      </c>
      <c r="I109" s="48" t="s">
        <v>119</v>
      </c>
      <c r="J109" s="48"/>
      <c r="K109" s="48">
        <v>9849698654</v>
      </c>
      <c r="L109" s="48">
        <v>294</v>
      </c>
      <c r="M109" s="48">
        <v>316</v>
      </c>
      <c r="N109" s="48">
        <v>611</v>
      </c>
      <c r="O109" s="48">
        <v>15</v>
      </c>
      <c r="P109" s="48">
        <v>130</v>
      </c>
      <c r="Q109" s="48">
        <v>91</v>
      </c>
      <c r="R109" s="48">
        <v>79</v>
      </c>
      <c r="S109" s="48">
        <v>14</v>
      </c>
      <c r="T109" s="48">
        <v>143</v>
      </c>
      <c r="U109" s="48">
        <v>75</v>
      </c>
      <c r="V109" s="48">
        <v>62</v>
      </c>
      <c r="W109" s="48"/>
      <c r="X109" s="48"/>
      <c r="Y109" s="48"/>
      <c r="Z109" s="48"/>
      <c r="AA109" s="49"/>
      <c r="AB109" s="49"/>
      <c r="AC109" s="48">
        <v>52</v>
      </c>
    </row>
    <row r="110" spans="1:29">
      <c r="A110" s="48" t="s">
        <v>11</v>
      </c>
      <c r="B110" s="48" t="s">
        <v>297</v>
      </c>
      <c r="C110" s="48" t="s">
        <v>312</v>
      </c>
      <c r="D110" s="48" t="s">
        <v>312</v>
      </c>
      <c r="E110" s="48" t="s">
        <v>90</v>
      </c>
      <c r="F110" s="48">
        <v>2</v>
      </c>
      <c r="G110" s="48" t="s">
        <v>314</v>
      </c>
      <c r="H110" s="48" t="s">
        <v>92</v>
      </c>
      <c r="I110" s="48" t="s">
        <v>119</v>
      </c>
      <c r="J110" s="48"/>
      <c r="K110" s="48">
        <v>9849698654</v>
      </c>
      <c r="L110" s="48">
        <v>936</v>
      </c>
      <c r="M110" s="48">
        <v>916</v>
      </c>
      <c r="N110" s="48">
        <v>1852</v>
      </c>
      <c r="O110" s="48">
        <v>50</v>
      </c>
      <c r="P110" s="48">
        <v>372</v>
      </c>
      <c r="Q110" s="48">
        <v>280</v>
      </c>
      <c r="R110" s="48">
        <v>214</v>
      </c>
      <c r="S110" s="48">
        <v>52</v>
      </c>
      <c r="T110" s="48">
        <v>418</v>
      </c>
      <c r="U110" s="48">
        <v>258</v>
      </c>
      <c r="V110" s="48">
        <v>208</v>
      </c>
      <c r="W110" s="48"/>
      <c r="X110" s="48"/>
      <c r="Y110" s="48"/>
      <c r="Z110" s="48"/>
      <c r="AA110" s="49"/>
      <c r="AB110" s="49"/>
      <c r="AC110" s="48">
        <v>52</v>
      </c>
    </row>
    <row r="111" spans="1:29">
      <c r="A111" s="48" t="s">
        <v>11</v>
      </c>
      <c r="B111" s="48" t="s">
        <v>297</v>
      </c>
      <c r="C111" s="48" t="s">
        <v>315</v>
      </c>
      <c r="D111" s="48" t="s">
        <v>315</v>
      </c>
      <c r="E111" s="48" t="s">
        <v>90</v>
      </c>
      <c r="F111" s="48">
        <v>6</v>
      </c>
      <c r="G111" s="48" t="s">
        <v>316</v>
      </c>
      <c r="H111" s="48" t="s">
        <v>92</v>
      </c>
      <c r="I111" s="48" t="s">
        <v>113</v>
      </c>
      <c r="J111" s="48" t="s">
        <v>114</v>
      </c>
      <c r="K111" s="48">
        <v>9666566235</v>
      </c>
      <c r="L111" s="48">
        <v>2839</v>
      </c>
      <c r="M111" s="48">
        <v>2781</v>
      </c>
      <c r="N111" s="48">
        <v>5620</v>
      </c>
      <c r="O111" s="48">
        <v>198</v>
      </c>
      <c r="P111" s="48">
        <v>1326</v>
      </c>
      <c r="Q111" s="48">
        <v>766</v>
      </c>
      <c r="R111" s="48">
        <v>486</v>
      </c>
      <c r="S111" s="48">
        <v>228</v>
      </c>
      <c r="T111" s="48">
        <v>1376</v>
      </c>
      <c r="U111" s="48">
        <v>771</v>
      </c>
      <c r="V111" s="48">
        <v>464</v>
      </c>
      <c r="W111" s="48"/>
      <c r="X111" s="48"/>
      <c r="Y111" s="48"/>
      <c r="Z111" s="48"/>
      <c r="AA111" s="49"/>
      <c r="AB111" s="49"/>
      <c r="AC111" s="48">
        <v>63</v>
      </c>
    </row>
    <row r="112" spans="1:29">
      <c r="A112" s="48" t="s">
        <v>11</v>
      </c>
      <c r="B112" s="48" t="s">
        <v>297</v>
      </c>
      <c r="C112" s="48" t="s">
        <v>317</v>
      </c>
      <c r="D112" s="48" t="s">
        <v>317</v>
      </c>
      <c r="E112" s="48" t="s">
        <v>95</v>
      </c>
      <c r="F112" s="48">
        <v>1</v>
      </c>
      <c r="G112" s="48" t="s">
        <v>318</v>
      </c>
      <c r="H112" s="48" t="s">
        <v>92</v>
      </c>
      <c r="I112" s="48" t="s">
        <v>93</v>
      </c>
      <c r="J112" s="48" t="s">
        <v>139</v>
      </c>
      <c r="K112" s="48">
        <v>9948445419</v>
      </c>
      <c r="L112" s="48">
        <v>453</v>
      </c>
      <c r="M112" s="48">
        <v>488</v>
      </c>
      <c r="N112" s="48">
        <v>941</v>
      </c>
      <c r="O112" s="48">
        <v>56</v>
      </c>
      <c r="P112" s="48">
        <v>237</v>
      </c>
      <c r="Q112" s="48">
        <v>134</v>
      </c>
      <c r="R112" s="48">
        <v>61</v>
      </c>
      <c r="S112" s="48">
        <v>51</v>
      </c>
      <c r="T112" s="48">
        <v>216</v>
      </c>
      <c r="U112" s="48">
        <v>125</v>
      </c>
      <c r="V112" s="48">
        <v>61</v>
      </c>
      <c r="W112" s="48"/>
      <c r="X112" s="48"/>
      <c r="Y112" s="48"/>
      <c r="Z112" s="48"/>
      <c r="AA112" s="49"/>
      <c r="AB112" s="49"/>
      <c r="AC112" s="48">
        <v>78</v>
      </c>
    </row>
    <row r="113" spans="1:29">
      <c r="A113" s="48" t="s">
        <v>11</v>
      </c>
      <c r="B113" s="48" t="s">
        <v>297</v>
      </c>
      <c r="C113" s="48" t="s">
        <v>319</v>
      </c>
      <c r="D113" s="48" t="s">
        <v>319</v>
      </c>
      <c r="E113" s="48" t="s">
        <v>90</v>
      </c>
      <c r="F113" s="48">
        <v>1</v>
      </c>
      <c r="G113" s="48" t="s">
        <v>320</v>
      </c>
      <c r="H113" s="48" t="s">
        <v>92</v>
      </c>
      <c r="I113" s="48" t="s">
        <v>102</v>
      </c>
      <c r="J113" s="48"/>
      <c r="K113" s="48">
        <v>9848295290</v>
      </c>
      <c r="L113" s="48">
        <v>414</v>
      </c>
      <c r="M113" s="48">
        <v>421</v>
      </c>
      <c r="N113" s="48">
        <v>836</v>
      </c>
      <c r="O113" s="48">
        <v>33</v>
      </c>
      <c r="P113" s="48">
        <v>215</v>
      </c>
      <c r="Q113" s="48">
        <v>92</v>
      </c>
      <c r="R113" s="48">
        <v>81</v>
      </c>
      <c r="S113" s="48">
        <v>56</v>
      </c>
      <c r="T113" s="48">
        <v>202</v>
      </c>
      <c r="U113" s="48">
        <v>95</v>
      </c>
      <c r="V113" s="48">
        <v>61</v>
      </c>
      <c r="W113" s="48"/>
      <c r="X113" s="48"/>
      <c r="Y113" s="48"/>
      <c r="Z113" s="48"/>
      <c r="AA113" s="49"/>
      <c r="AB113" s="49"/>
      <c r="AC113" s="48">
        <v>68</v>
      </c>
    </row>
    <row r="114" spans="1:29">
      <c r="A114" s="48" t="s">
        <v>11</v>
      </c>
      <c r="B114" s="48" t="s">
        <v>297</v>
      </c>
      <c r="C114" s="48" t="s">
        <v>321</v>
      </c>
      <c r="D114" s="48" t="s">
        <v>321</v>
      </c>
      <c r="E114" s="48" t="s">
        <v>90</v>
      </c>
      <c r="F114" s="48">
        <v>2</v>
      </c>
      <c r="G114" s="48" t="s">
        <v>322</v>
      </c>
      <c r="H114" s="48" t="s">
        <v>106</v>
      </c>
      <c r="I114" s="48" t="s">
        <v>102</v>
      </c>
      <c r="J114" s="48"/>
      <c r="K114" s="48">
        <v>7993903954</v>
      </c>
      <c r="L114" s="48">
        <v>1160</v>
      </c>
      <c r="M114" s="48">
        <v>1114</v>
      </c>
      <c r="N114" s="48">
        <v>2275</v>
      </c>
      <c r="O114" s="48">
        <v>68</v>
      </c>
      <c r="P114" s="48">
        <v>509</v>
      </c>
      <c r="Q114" s="48">
        <v>301</v>
      </c>
      <c r="R114" s="48">
        <v>236</v>
      </c>
      <c r="S114" s="48">
        <v>95</v>
      </c>
      <c r="T114" s="48">
        <v>561</v>
      </c>
      <c r="U114" s="48">
        <v>300</v>
      </c>
      <c r="V114" s="48">
        <v>204</v>
      </c>
      <c r="W114" s="48"/>
      <c r="X114" s="48"/>
      <c r="Y114" s="48"/>
      <c r="Z114" s="48"/>
      <c r="AA114" s="49"/>
      <c r="AB114" s="49"/>
      <c r="AC114" s="48">
        <v>80</v>
      </c>
    </row>
    <row r="115" spans="1:29">
      <c r="A115" s="48" t="s">
        <v>11</v>
      </c>
      <c r="B115" s="48" t="s">
        <v>297</v>
      </c>
      <c r="C115" s="48" t="s">
        <v>323</v>
      </c>
      <c r="D115" s="48" t="s">
        <v>323</v>
      </c>
      <c r="E115" s="48" t="s">
        <v>90</v>
      </c>
      <c r="F115" s="48">
        <v>4</v>
      </c>
      <c r="G115" s="48" t="s">
        <v>324</v>
      </c>
      <c r="H115" s="48" t="s">
        <v>279</v>
      </c>
      <c r="I115" s="48" t="s">
        <v>102</v>
      </c>
      <c r="J115" s="48" t="s">
        <v>139</v>
      </c>
      <c r="K115" s="48">
        <v>8498033555</v>
      </c>
      <c r="L115" s="52">
        <v>1770</v>
      </c>
      <c r="M115" s="48">
        <v>1790</v>
      </c>
      <c r="N115" s="48">
        <v>3566</v>
      </c>
      <c r="O115" s="48">
        <v>110</v>
      </c>
      <c r="P115" s="48">
        <v>923</v>
      </c>
      <c r="Q115" s="48">
        <v>464</v>
      </c>
      <c r="R115" s="48">
        <v>292</v>
      </c>
      <c r="S115" s="48">
        <v>122</v>
      </c>
      <c r="T115" s="48">
        <v>897</v>
      </c>
      <c r="U115" s="48">
        <v>454</v>
      </c>
      <c r="V115" s="48">
        <v>295</v>
      </c>
      <c r="W115" s="48"/>
      <c r="X115" s="52"/>
      <c r="Y115" s="48"/>
      <c r="Z115" s="48"/>
      <c r="AA115" s="49"/>
      <c r="AB115" s="49"/>
      <c r="AC115" s="48">
        <v>85</v>
      </c>
    </row>
    <row r="116" spans="1:29">
      <c r="A116" s="48" t="s">
        <v>11</v>
      </c>
      <c r="B116" s="48" t="s">
        <v>297</v>
      </c>
      <c r="C116" s="48" t="s">
        <v>325</v>
      </c>
      <c r="D116" s="48" t="s">
        <v>325</v>
      </c>
      <c r="E116" s="48" t="s">
        <v>90</v>
      </c>
      <c r="F116" s="48">
        <v>1</v>
      </c>
      <c r="G116" s="48" t="s">
        <v>326</v>
      </c>
      <c r="H116" s="48" t="s">
        <v>92</v>
      </c>
      <c r="I116" s="48" t="s">
        <v>102</v>
      </c>
      <c r="J116" s="48" t="s">
        <v>139</v>
      </c>
      <c r="K116" s="48">
        <v>9989417657</v>
      </c>
      <c r="L116" s="48">
        <v>565</v>
      </c>
      <c r="M116" s="48">
        <v>562</v>
      </c>
      <c r="N116" s="48">
        <v>1129</v>
      </c>
      <c r="O116" s="48">
        <v>44</v>
      </c>
      <c r="P116" s="48">
        <v>253</v>
      </c>
      <c r="Q116" s="48">
        <v>140</v>
      </c>
      <c r="R116" s="48">
        <v>125</v>
      </c>
      <c r="S116" s="48">
        <v>61</v>
      </c>
      <c r="T116" s="48">
        <v>248</v>
      </c>
      <c r="U116" s="48">
        <v>149</v>
      </c>
      <c r="V116" s="48">
        <v>107</v>
      </c>
      <c r="W116" s="48"/>
      <c r="X116" s="48"/>
      <c r="Y116" s="48"/>
      <c r="Z116" s="48"/>
      <c r="AA116" s="49"/>
      <c r="AB116" s="49"/>
      <c r="AC116" s="48">
        <v>61</v>
      </c>
    </row>
    <row r="117" spans="1:29">
      <c r="A117" s="48" t="s">
        <v>11</v>
      </c>
      <c r="B117" s="48" t="s">
        <v>297</v>
      </c>
      <c r="C117" s="48" t="s">
        <v>327</v>
      </c>
      <c r="D117" s="48" t="s">
        <v>327</v>
      </c>
      <c r="E117" s="48" t="s">
        <v>95</v>
      </c>
      <c r="F117" s="48">
        <v>2</v>
      </c>
      <c r="G117" s="48" t="s">
        <v>328</v>
      </c>
      <c r="H117" s="48" t="s">
        <v>92</v>
      </c>
      <c r="I117" s="48" t="s">
        <v>97</v>
      </c>
      <c r="J117" s="48"/>
      <c r="K117" s="48">
        <v>6305247836</v>
      </c>
      <c r="L117" s="48">
        <v>944</v>
      </c>
      <c r="M117" s="48">
        <v>970</v>
      </c>
      <c r="N117" s="48">
        <v>1914</v>
      </c>
      <c r="O117" s="48">
        <v>95</v>
      </c>
      <c r="P117" s="48">
        <v>534</v>
      </c>
      <c r="Q117" s="48">
        <v>210</v>
      </c>
      <c r="R117" s="48">
        <v>131</v>
      </c>
      <c r="S117" s="48">
        <v>105</v>
      </c>
      <c r="T117" s="48">
        <v>528</v>
      </c>
      <c r="U117" s="48">
        <v>235</v>
      </c>
      <c r="V117" s="48">
        <v>76</v>
      </c>
      <c r="W117" s="48"/>
      <c r="X117" s="48"/>
      <c r="Y117" s="52"/>
      <c r="Z117" s="52"/>
      <c r="AA117" s="49"/>
      <c r="AB117" s="49"/>
      <c r="AC117" s="48">
        <v>88</v>
      </c>
    </row>
    <row r="118" spans="1:29">
      <c r="A118" s="48" t="s">
        <v>11</v>
      </c>
      <c r="B118" s="48" t="s">
        <v>297</v>
      </c>
      <c r="C118" s="48" t="s">
        <v>329</v>
      </c>
      <c r="D118" s="48" t="s">
        <v>329</v>
      </c>
      <c r="E118" s="48" t="s">
        <v>90</v>
      </c>
      <c r="F118" s="48">
        <v>2</v>
      </c>
      <c r="G118" s="48" t="s">
        <v>330</v>
      </c>
      <c r="H118" s="48" t="s">
        <v>92</v>
      </c>
      <c r="I118" s="48" t="s">
        <v>102</v>
      </c>
      <c r="J118" s="48"/>
      <c r="K118" s="48">
        <v>9951975888</v>
      </c>
      <c r="L118" s="48">
        <v>949</v>
      </c>
      <c r="M118" s="48">
        <v>957</v>
      </c>
      <c r="N118" s="48">
        <v>1907</v>
      </c>
      <c r="O118" s="48">
        <v>79</v>
      </c>
      <c r="P118" s="48">
        <v>459</v>
      </c>
      <c r="Q118" s="48">
        <v>237</v>
      </c>
      <c r="R118" s="48">
        <v>182</v>
      </c>
      <c r="S118" s="48">
        <v>77</v>
      </c>
      <c r="T118" s="48">
        <v>488</v>
      </c>
      <c r="U118" s="48">
        <v>211</v>
      </c>
      <c r="V118" s="48">
        <v>173</v>
      </c>
      <c r="W118" s="48"/>
      <c r="X118" s="48"/>
      <c r="Y118" s="52"/>
      <c r="Z118" s="48"/>
      <c r="AA118" s="49"/>
      <c r="AB118" s="49"/>
      <c r="AC118" s="48">
        <v>72</v>
      </c>
    </row>
    <row r="119" spans="1:29">
      <c r="A119" s="48" t="s">
        <v>11</v>
      </c>
      <c r="B119" s="48" t="s">
        <v>297</v>
      </c>
      <c r="C119" s="48" t="s">
        <v>331</v>
      </c>
      <c r="D119" s="48" t="s">
        <v>331</v>
      </c>
      <c r="E119" s="48" t="s">
        <v>90</v>
      </c>
      <c r="F119" s="48">
        <v>1</v>
      </c>
      <c r="G119" s="48" t="s">
        <v>332</v>
      </c>
      <c r="H119" s="48" t="s">
        <v>92</v>
      </c>
      <c r="I119" s="48" t="s">
        <v>119</v>
      </c>
      <c r="J119" s="48"/>
      <c r="K119" s="48">
        <v>9553395145</v>
      </c>
      <c r="L119" s="48">
        <v>601</v>
      </c>
      <c r="M119" s="48">
        <v>566</v>
      </c>
      <c r="N119" s="48">
        <v>1167</v>
      </c>
      <c r="O119" s="48">
        <v>13</v>
      </c>
      <c r="P119" s="48">
        <v>265</v>
      </c>
      <c r="Q119" s="48">
        <v>174</v>
      </c>
      <c r="R119" s="48">
        <v>113</v>
      </c>
      <c r="S119" s="48">
        <v>37</v>
      </c>
      <c r="T119" s="48">
        <v>295</v>
      </c>
      <c r="U119" s="48">
        <v>165</v>
      </c>
      <c r="V119" s="48">
        <v>103</v>
      </c>
      <c r="W119" s="48"/>
      <c r="X119" s="48"/>
      <c r="Y119" s="48"/>
      <c r="Z119" s="48"/>
      <c r="AA119" s="49"/>
      <c r="AB119" s="49"/>
      <c r="AC119" s="48">
        <v>63</v>
      </c>
    </row>
    <row r="120" spans="1:29">
      <c r="A120" s="48" t="s">
        <v>11</v>
      </c>
      <c r="B120" s="48" t="s">
        <v>297</v>
      </c>
      <c r="C120" s="48" t="s">
        <v>333</v>
      </c>
      <c r="D120" s="48" t="s">
        <v>333</v>
      </c>
      <c r="E120" s="48" t="s">
        <v>90</v>
      </c>
      <c r="F120" s="48">
        <v>6</v>
      </c>
      <c r="G120" s="48" t="s">
        <v>334</v>
      </c>
      <c r="H120" s="48" t="s">
        <v>92</v>
      </c>
      <c r="I120" s="48" t="s">
        <v>142</v>
      </c>
      <c r="J120" s="48"/>
      <c r="K120" s="48">
        <v>8790503563</v>
      </c>
      <c r="L120" s="48">
        <v>2960</v>
      </c>
      <c r="M120" s="48">
        <v>3061</v>
      </c>
      <c r="N120" s="48">
        <v>6024</v>
      </c>
      <c r="O120" s="48">
        <v>165</v>
      </c>
      <c r="P120" s="48">
        <v>1259</v>
      </c>
      <c r="Q120" s="48">
        <v>949</v>
      </c>
      <c r="R120" s="48">
        <v>685</v>
      </c>
      <c r="S120" s="48">
        <v>216</v>
      </c>
      <c r="T120" s="48">
        <v>1297</v>
      </c>
      <c r="U120" s="48">
        <v>871</v>
      </c>
      <c r="V120" s="48">
        <v>575</v>
      </c>
      <c r="W120" s="48"/>
      <c r="X120" s="48"/>
      <c r="Y120" s="48"/>
      <c r="Z120" s="48"/>
      <c r="AA120" s="49"/>
      <c r="AB120" s="49"/>
      <c r="AC120" s="48">
        <v>67</v>
      </c>
    </row>
    <row r="121" spans="1:29">
      <c r="A121" s="48" t="s">
        <v>11</v>
      </c>
      <c r="B121" s="48" t="s">
        <v>297</v>
      </c>
      <c r="C121" s="48" t="s">
        <v>335</v>
      </c>
      <c r="D121" s="48" t="s">
        <v>335</v>
      </c>
      <c r="E121" s="48" t="s">
        <v>90</v>
      </c>
      <c r="F121" s="48">
        <v>3</v>
      </c>
      <c r="G121" s="48" t="s">
        <v>336</v>
      </c>
      <c r="H121" s="48" t="s">
        <v>92</v>
      </c>
      <c r="I121" s="48" t="s">
        <v>97</v>
      </c>
      <c r="J121" s="48"/>
      <c r="K121" s="48">
        <v>9959570866</v>
      </c>
      <c r="L121" s="48">
        <v>1435</v>
      </c>
      <c r="M121" s="48">
        <v>1463</v>
      </c>
      <c r="N121" s="48">
        <v>2898</v>
      </c>
      <c r="O121" s="48">
        <v>84</v>
      </c>
      <c r="P121" s="48">
        <v>671</v>
      </c>
      <c r="Q121" s="48">
        <v>381</v>
      </c>
      <c r="R121" s="48">
        <v>320</v>
      </c>
      <c r="S121" s="48">
        <v>83</v>
      </c>
      <c r="T121" s="48">
        <v>710</v>
      </c>
      <c r="U121" s="48">
        <v>364</v>
      </c>
      <c r="V121" s="48">
        <v>276</v>
      </c>
      <c r="W121" s="48"/>
      <c r="X121" s="48"/>
      <c r="Y121" s="48"/>
      <c r="Z121" s="48"/>
      <c r="AA121" s="49"/>
      <c r="AB121" s="49"/>
      <c r="AC121" s="48">
        <v>63</v>
      </c>
    </row>
    <row r="122" spans="1:29">
      <c r="A122" s="48" t="s">
        <v>11</v>
      </c>
      <c r="B122" s="48" t="s">
        <v>297</v>
      </c>
      <c r="C122" s="48" t="s">
        <v>337</v>
      </c>
      <c r="D122" s="48" t="s">
        <v>337</v>
      </c>
      <c r="E122" s="48" t="s">
        <v>90</v>
      </c>
      <c r="F122" s="48">
        <v>1</v>
      </c>
      <c r="G122" s="48" t="s">
        <v>338</v>
      </c>
      <c r="H122" s="48" t="s">
        <v>92</v>
      </c>
      <c r="I122" s="48" t="s">
        <v>93</v>
      </c>
      <c r="J122" s="48"/>
      <c r="K122" s="48">
        <v>9182824192</v>
      </c>
      <c r="L122" s="48">
        <v>437</v>
      </c>
      <c r="M122" s="48">
        <v>423</v>
      </c>
      <c r="N122" s="48">
        <v>861</v>
      </c>
      <c r="O122" s="48">
        <v>22</v>
      </c>
      <c r="P122" s="48">
        <v>189</v>
      </c>
      <c r="Q122" s="48">
        <v>126</v>
      </c>
      <c r="R122" s="48">
        <v>86</v>
      </c>
      <c r="S122" s="48">
        <v>36</v>
      </c>
      <c r="T122" s="48">
        <v>184</v>
      </c>
      <c r="U122" s="48">
        <v>126</v>
      </c>
      <c r="V122" s="48">
        <v>89</v>
      </c>
      <c r="W122" s="48"/>
      <c r="X122" s="48"/>
      <c r="Y122" s="48"/>
      <c r="Z122" s="48"/>
      <c r="AA122" s="49"/>
      <c r="AB122" s="49"/>
      <c r="AC122" s="48">
        <v>80</v>
      </c>
    </row>
    <row r="123" spans="1:29">
      <c r="A123" s="48" t="s">
        <v>11</v>
      </c>
      <c r="B123" s="48" t="s">
        <v>297</v>
      </c>
      <c r="C123" s="48" t="s">
        <v>339</v>
      </c>
      <c r="D123" s="48" t="s">
        <v>339</v>
      </c>
      <c r="E123" s="48" t="s">
        <v>90</v>
      </c>
      <c r="F123" s="48">
        <v>3</v>
      </c>
      <c r="G123" s="48" t="s">
        <v>340</v>
      </c>
      <c r="H123" s="48" t="s">
        <v>4</v>
      </c>
      <c r="I123" s="48" t="s">
        <v>113</v>
      </c>
      <c r="J123" s="48"/>
      <c r="K123" s="48">
        <v>8688433626</v>
      </c>
      <c r="L123" s="48">
        <v>1417</v>
      </c>
      <c r="M123" s="48">
        <v>1335</v>
      </c>
      <c r="N123" s="48">
        <v>2755</v>
      </c>
      <c r="O123" s="48">
        <v>85</v>
      </c>
      <c r="P123" s="48">
        <v>640</v>
      </c>
      <c r="Q123" s="48">
        <v>351</v>
      </c>
      <c r="R123" s="48">
        <v>259</v>
      </c>
      <c r="S123" s="48">
        <v>123</v>
      </c>
      <c r="T123" s="48">
        <v>703</v>
      </c>
      <c r="U123" s="48">
        <v>346</v>
      </c>
      <c r="V123" s="48">
        <v>243</v>
      </c>
      <c r="W123" s="48"/>
      <c r="X123" s="48"/>
      <c r="Y123" s="48"/>
      <c r="Z123" s="48"/>
      <c r="AA123" s="49"/>
      <c r="AB123" s="49"/>
      <c r="AC123" s="48">
        <v>68</v>
      </c>
    </row>
    <row r="124" spans="1:29">
      <c r="A124" s="48" t="s">
        <v>11</v>
      </c>
      <c r="B124" s="48" t="s">
        <v>297</v>
      </c>
      <c r="C124" s="48" t="s">
        <v>341</v>
      </c>
      <c r="D124" s="48" t="s">
        <v>341</v>
      </c>
      <c r="E124" s="48" t="s">
        <v>90</v>
      </c>
      <c r="F124" s="48">
        <v>1</v>
      </c>
      <c r="G124" s="48" t="s">
        <v>342</v>
      </c>
      <c r="H124" s="48" t="s">
        <v>92</v>
      </c>
      <c r="I124" s="48" t="s">
        <v>102</v>
      </c>
      <c r="J124" s="48" t="s">
        <v>139</v>
      </c>
      <c r="K124" s="48">
        <v>9014074678</v>
      </c>
      <c r="L124" s="48">
        <v>554</v>
      </c>
      <c r="M124" s="48">
        <v>557</v>
      </c>
      <c r="N124" s="48">
        <v>1113</v>
      </c>
      <c r="O124" s="48">
        <v>42</v>
      </c>
      <c r="P124" s="48">
        <v>251</v>
      </c>
      <c r="Q124" s="48">
        <v>135</v>
      </c>
      <c r="R124" s="48">
        <v>129</v>
      </c>
      <c r="S124" s="48">
        <v>40</v>
      </c>
      <c r="T124" s="48">
        <v>253</v>
      </c>
      <c r="U124" s="48">
        <v>131</v>
      </c>
      <c r="V124" s="48">
        <v>129</v>
      </c>
      <c r="W124" s="48"/>
      <c r="X124" s="48"/>
      <c r="Y124" s="48"/>
      <c r="Z124" s="48"/>
      <c r="AA124" s="49"/>
      <c r="AB124" s="49"/>
      <c r="AC124" s="48">
        <v>83</v>
      </c>
    </row>
    <row r="125" spans="1:29">
      <c r="A125" s="48" t="s">
        <v>15</v>
      </c>
      <c r="B125" s="48" t="s">
        <v>15</v>
      </c>
      <c r="C125" s="48" t="s">
        <v>343</v>
      </c>
      <c r="D125" s="48" t="s">
        <v>343</v>
      </c>
      <c r="E125" s="48" t="s">
        <v>90</v>
      </c>
      <c r="F125" s="48">
        <v>1</v>
      </c>
      <c r="G125" s="48" t="s">
        <v>344</v>
      </c>
      <c r="H125" s="48" t="s">
        <v>92</v>
      </c>
      <c r="I125" s="48" t="s">
        <v>102</v>
      </c>
      <c r="J125" s="48"/>
      <c r="K125" s="48">
        <v>9515450642</v>
      </c>
      <c r="L125" s="48">
        <v>379</v>
      </c>
      <c r="M125" s="48">
        <v>358</v>
      </c>
      <c r="N125" s="48">
        <v>737</v>
      </c>
      <c r="O125" s="48">
        <v>15</v>
      </c>
      <c r="P125" s="48">
        <v>180</v>
      </c>
      <c r="Q125" s="48">
        <v>103</v>
      </c>
      <c r="R125" s="48">
        <v>60</v>
      </c>
      <c r="S125" s="48">
        <v>19</v>
      </c>
      <c r="T125" s="48">
        <v>211</v>
      </c>
      <c r="U125" s="48">
        <v>91</v>
      </c>
      <c r="V125" s="48">
        <v>58</v>
      </c>
      <c r="W125" s="48"/>
      <c r="X125" s="48"/>
      <c r="Y125" s="48"/>
      <c r="Z125" s="48"/>
      <c r="AA125" s="49"/>
      <c r="AB125" s="49"/>
      <c r="AC125" s="48">
        <v>53</v>
      </c>
    </row>
    <row r="126" spans="1:29">
      <c r="A126" s="48" t="s">
        <v>15</v>
      </c>
      <c r="B126" s="48" t="s">
        <v>15</v>
      </c>
      <c r="C126" s="48" t="s">
        <v>343</v>
      </c>
      <c r="D126" s="48" t="s">
        <v>345</v>
      </c>
      <c r="E126" s="48" t="s">
        <v>90</v>
      </c>
      <c r="F126" s="48">
        <v>1</v>
      </c>
      <c r="G126" s="48" t="s">
        <v>344</v>
      </c>
      <c r="H126" s="48" t="s">
        <v>92</v>
      </c>
      <c r="I126" s="48" t="s">
        <v>102</v>
      </c>
      <c r="J126" s="48"/>
      <c r="K126" s="48">
        <v>9515450642</v>
      </c>
      <c r="L126" s="48">
        <v>954</v>
      </c>
      <c r="M126" s="48">
        <v>897</v>
      </c>
      <c r="N126" s="48">
        <v>1851</v>
      </c>
      <c r="O126" s="48">
        <v>78</v>
      </c>
      <c r="P126" s="48">
        <v>405</v>
      </c>
      <c r="Q126" s="48">
        <v>238</v>
      </c>
      <c r="R126" s="48">
        <v>175</v>
      </c>
      <c r="S126" s="48">
        <v>103</v>
      </c>
      <c r="T126" s="48">
        <v>484</v>
      </c>
      <c r="U126" s="48">
        <v>210</v>
      </c>
      <c r="V126" s="48">
        <v>157</v>
      </c>
      <c r="W126" s="48"/>
      <c r="X126" s="48"/>
      <c r="Y126" s="48"/>
      <c r="Z126" s="48"/>
      <c r="AA126" s="49"/>
      <c r="AB126" s="49"/>
      <c r="AC126" s="48">
        <v>53</v>
      </c>
    </row>
    <row r="127" spans="1:29">
      <c r="A127" s="48" t="s">
        <v>15</v>
      </c>
      <c r="B127" s="48" t="s">
        <v>15</v>
      </c>
      <c r="C127" s="48" t="s">
        <v>346</v>
      </c>
      <c r="D127" s="48" t="s">
        <v>346</v>
      </c>
      <c r="E127" s="48" t="s">
        <v>90</v>
      </c>
      <c r="F127" s="48">
        <v>2</v>
      </c>
      <c r="G127" s="48" t="s">
        <v>347</v>
      </c>
      <c r="H127" s="48" t="s">
        <v>92</v>
      </c>
      <c r="I127" s="48" t="s">
        <v>93</v>
      </c>
      <c r="J127" s="48" t="s">
        <v>139</v>
      </c>
      <c r="K127" s="48">
        <v>9493075496</v>
      </c>
      <c r="L127" s="48">
        <v>931</v>
      </c>
      <c r="M127" s="48">
        <v>882</v>
      </c>
      <c r="N127" s="48">
        <v>1813</v>
      </c>
      <c r="O127" s="48">
        <v>70</v>
      </c>
      <c r="P127" s="48">
        <v>408</v>
      </c>
      <c r="Q127" s="48">
        <v>232</v>
      </c>
      <c r="R127" s="48">
        <v>171</v>
      </c>
      <c r="S127" s="48">
        <v>93</v>
      </c>
      <c r="T127" s="48">
        <v>425</v>
      </c>
      <c r="U127" s="48">
        <v>258</v>
      </c>
      <c r="V127" s="48">
        <v>154</v>
      </c>
      <c r="W127" s="48"/>
      <c r="X127" s="48"/>
      <c r="Y127" s="48"/>
      <c r="Z127" s="48"/>
      <c r="AA127" s="49"/>
      <c r="AB127" s="49"/>
      <c r="AC127" s="48">
        <v>85</v>
      </c>
    </row>
    <row r="128" spans="1:29">
      <c r="A128" s="48" t="s">
        <v>15</v>
      </c>
      <c r="B128" s="48" t="s">
        <v>15</v>
      </c>
      <c r="C128" s="48" t="s">
        <v>348</v>
      </c>
      <c r="D128" s="48" t="s">
        <v>348</v>
      </c>
      <c r="E128" s="48" t="s">
        <v>90</v>
      </c>
      <c r="F128" s="48">
        <v>2</v>
      </c>
      <c r="G128" s="48" t="s">
        <v>349</v>
      </c>
      <c r="H128" s="48" t="s">
        <v>92</v>
      </c>
      <c r="I128" s="48" t="s">
        <v>93</v>
      </c>
      <c r="J128" s="48"/>
      <c r="K128" s="48">
        <v>9951130283</v>
      </c>
      <c r="L128" s="48">
        <v>771</v>
      </c>
      <c r="M128" s="48">
        <v>746</v>
      </c>
      <c r="N128" s="48">
        <v>1517</v>
      </c>
      <c r="O128" s="48">
        <v>49</v>
      </c>
      <c r="P128" s="48">
        <v>359</v>
      </c>
      <c r="Q128" s="48">
        <v>212</v>
      </c>
      <c r="R128" s="48">
        <v>125</v>
      </c>
      <c r="S128" s="48">
        <v>69</v>
      </c>
      <c r="T128" s="48">
        <v>366</v>
      </c>
      <c r="U128" s="48">
        <v>199</v>
      </c>
      <c r="V128" s="48">
        <v>137</v>
      </c>
      <c r="W128" s="48"/>
      <c r="X128" s="48"/>
      <c r="Y128" s="48"/>
      <c r="Z128" s="48"/>
      <c r="AA128" s="49"/>
      <c r="AB128" s="49"/>
      <c r="AC128" s="48">
        <v>80</v>
      </c>
    </row>
    <row r="129" spans="1:29">
      <c r="A129" s="48" t="s">
        <v>15</v>
      </c>
      <c r="B129" s="48" t="s">
        <v>15</v>
      </c>
      <c r="C129" s="48" t="s">
        <v>350</v>
      </c>
      <c r="D129" s="48" t="s">
        <v>350</v>
      </c>
      <c r="E129" s="48" t="s">
        <v>90</v>
      </c>
      <c r="F129" s="48">
        <v>2</v>
      </c>
      <c r="G129" s="48" t="s">
        <v>351</v>
      </c>
      <c r="H129" s="48" t="s">
        <v>92</v>
      </c>
      <c r="I129" s="48" t="s">
        <v>93</v>
      </c>
      <c r="J129" s="48" t="s">
        <v>139</v>
      </c>
      <c r="K129" s="48">
        <v>9959353623</v>
      </c>
      <c r="L129" s="48">
        <v>499</v>
      </c>
      <c r="M129" s="48">
        <v>458</v>
      </c>
      <c r="N129" s="48">
        <v>957</v>
      </c>
      <c r="O129" s="48">
        <v>30</v>
      </c>
      <c r="P129" s="48">
        <v>234</v>
      </c>
      <c r="Q129" s="48">
        <v>121</v>
      </c>
      <c r="R129" s="48">
        <v>73</v>
      </c>
      <c r="S129" s="48">
        <v>62</v>
      </c>
      <c r="T129" s="48">
        <v>254</v>
      </c>
      <c r="U129" s="48">
        <v>115</v>
      </c>
      <c r="V129" s="48">
        <v>68</v>
      </c>
      <c r="W129" s="48"/>
      <c r="X129" s="48"/>
      <c r="Y129" s="48"/>
      <c r="Z129" s="48"/>
      <c r="AA129" s="49"/>
      <c r="AB129" s="49"/>
      <c r="AC129" s="48">
        <v>86</v>
      </c>
    </row>
    <row r="130" spans="1:29">
      <c r="A130" s="48" t="s">
        <v>15</v>
      </c>
      <c r="B130" s="48" t="s">
        <v>15</v>
      </c>
      <c r="C130" s="48" t="s">
        <v>352</v>
      </c>
      <c r="D130" s="48" t="s">
        <v>352</v>
      </c>
      <c r="E130" s="48" t="s">
        <v>90</v>
      </c>
      <c r="F130" s="48">
        <v>3</v>
      </c>
      <c r="G130" s="48" t="s">
        <v>353</v>
      </c>
      <c r="H130" s="48" t="s">
        <v>92</v>
      </c>
      <c r="I130" s="48" t="s">
        <v>119</v>
      </c>
      <c r="J130" s="48" t="s">
        <v>125</v>
      </c>
      <c r="K130" s="48">
        <v>6301809691</v>
      </c>
      <c r="L130" s="48">
        <v>1852</v>
      </c>
      <c r="M130" s="48">
        <v>1814</v>
      </c>
      <c r="N130" s="48">
        <v>3667</v>
      </c>
      <c r="O130" s="48">
        <v>102</v>
      </c>
      <c r="P130" s="48">
        <v>928</v>
      </c>
      <c r="Q130" s="48">
        <v>485</v>
      </c>
      <c r="R130" s="48">
        <v>297</v>
      </c>
      <c r="S130" s="48">
        <v>129</v>
      </c>
      <c r="T130" s="48">
        <v>979</v>
      </c>
      <c r="U130" s="48">
        <v>483</v>
      </c>
      <c r="V130" s="48">
        <v>261</v>
      </c>
      <c r="W130" s="48"/>
      <c r="X130" s="48"/>
      <c r="Y130" s="48"/>
      <c r="Z130" s="48"/>
      <c r="AA130" s="49"/>
      <c r="AB130" s="49"/>
      <c r="AC130" s="48">
        <v>85</v>
      </c>
    </row>
    <row r="131" spans="1:29">
      <c r="A131" s="48" t="s">
        <v>15</v>
      </c>
      <c r="B131" s="48" t="s">
        <v>15</v>
      </c>
      <c r="C131" s="48" t="s">
        <v>354</v>
      </c>
      <c r="D131" s="48" t="s">
        <v>354</v>
      </c>
      <c r="E131" s="48" t="s">
        <v>90</v>
      </c>
      <c r="F131" s="48">
        <v>3</v>
      </c>
      <c r="G131" s="48" t="s">
        <v>355</v>
      </c>
      <c r="H131" s="48" t="s">
        <v>4</v>
      </c>
      <c r="I131" s="48" t="s">
        <v>113</v>
      </c>
      <c r="J131" s="48"/>
      <c r="K131" s="48">
        <v>9963775353</v>
      </c>
      <c r="L131" s="48">
        <v>1456</v>
      </c>
      <c r="M131" s="48">
        <v>1481</v>
      </c>
      <c r="N131" s="48">
        <v>2939</v>
      </c>
      <c r="O131" s="48">
        <v>118</v>
      </c>
      <c r="P131" s="48">
        <v>704</v>
      </c>
      <c r="Q131" s="48">
        <v>377</v>
      </c>
      <c r="R131" s="48">
        <v>282</v>
      </c>
      <c r="S131" s="48">
        <v>129</v>
      </c>
      <c r="T131" s="48">
        <v>743</v>
      </c>
      <c r="U131" s="48">
        <v>346</v>
      </c>
      <c r="V131" s="48">
        <v>238</v>
      </c>
      <c r="W131" s="48"/>
      <c r="X131" s="48"/>
      <c r="Y131" s="48"/>
      <c r="Z131" s="48"/>
      <c r="AA131" s="49"/>
      <c r="AB131" s="49"/>
      <c r="AC131" s="48">
        <v>79</v>
      </c>
    </row>
    <row r="132" spans="1:29">
      <c r="A132" s="48" t="s">
        <v>15</v>
      </c>
      <c r="B132" s="48" t="s">
        <v>15</v>
      </c>
      <c r="C132" s="48" t="s">
        <v>356</v>
      </c>
      <c r="D132" s="48" t="s">
        <v>356</v>
      </c>
      <c r="E132" s="48" t="s">
        <v>90</v>
      </c>
      <c r="F132" s="48">
        <v>3</v>
      </c>
      <c r="G132" s="48" t="s">
        <v>357</v>
      </c>
      <c r="H132" s="48" t="s">
        <v>4</v>
      </c>
      <c r="I132" s="48" t="s">
        <v>102</v>
      </c>
      <c r="J132" s="48"/>
      <c r="K132" s="48">
        <v>9963655666</v>
      </c>
      <c r="L132" s="48">
        <v>1409</v>
      </c>
      <c r="M132" s="48">
        <v>1443</v>
      </c>
      <c r="N132" s="48">
        <v>2852</v>
      </c>
      <c r="O132" s="48">
        <v>94</v>
      </c>
      <c r="P132" s="48">
        <v>713</v>
      </c>
      <c r="Q132" s="48">
        <v>367</v>
      </c>
      <c r="R132" s="48">
        <v>268</v>
      </c>
      <c r="S132" s="48">
        <v>106</v>
      </c>
      <c r="T132" s="48">
        <v>710</v>
      </c>
      <c r="U132" s="48">
        <v>357</v>
      </c>
      <c r="V132" s="48">
        <v>235</v>
      </c>
      <c r="W132" s="48"/>
      <c r="X132" s="48"/>
      <c r="Y132" s="48"/>
      <c r="Z132" s="48"/>
      <c r="AA132" s="49"/>
      <c r="AB132" s="49"/>
      <c r="AC132" s="48">
        <v>84</v>
      </c>
    </row>
    <row r="133" spans="1:29">
      <c r="A133" s="48" t="s">
        <v>15</v>
      </c>
      <c r="B133" s="48" t="s">
        <v>15</v>
      </c>
      <c r="C133" s="48" t="s">
        <v>358</v>
      </c>
      <c r="D133" s="48" t="s">
        <v>358</v>
      </c>
      <c r="E133" s="48" t="s">
        <v>90</v>
      </c>
      <c r="F133" s="48">
        <v>2</v>
      </c>
      <c r="G133" s="48" t="s">
        <v>359</v>
      </c>
      <c r="H133" s="48" t="s">
        <v>92</v>
      </c>
      <c r="I133" s="48" t="s">
        <v>93</v>
      </c>
      <c r="J133" s="48" t="s">
        <v>139</v>
      </c>
      <c r="K133" s="48">
        <v>9949136194</v>
      </c>
      <c r="L133" s="48">
        <v>957</v>
      </c>
      <c r="M133" s="48">
        <v>863</v>
      </c>
      <c r="N133" s="48">
        <v>1820</v>
      </c>
      <c r="O133" s="48">
        <v>62</v>
      </c>
      <c r="P133" s="48">
        <v>426</v>
      </c>
      <c r="Q133" s="48">
        <v>235</v>
      </c>
      <c r="R133" s="48">
        <v>140</v>
      </c>
      <c r="S133" s="48">
        <v>83</v>
      </c>
      <c r="T133" s="48">
        <v>477</v>
      </c>
      <c r="U133" s="48">
        <v>255</v>
      </c>
      <c r="V133" s="48">
        <v>141</v>
      </c>
      <c r="W133" s="48"/>
      <c r="X133" s="48"/>
      <c r="Y133" s="48"/>
      <c r="Z133" s="48"/>
      <c r="AA133" s="49"/>
      <c r="AB133" s="49"/>
      <c r="AC133" s="48">
        <v>82</v>
      </c>
    </row>
    <row r="134" spans="1:29">
      <c r="A134" s="48" t="s">
        <v>15</v>
      </c>
      <c r="B134" s="48" t="s">
        <v>15</v>
      </c>
      <c r="C134" s="48" t="s">
        <v>360</v>
      </c>
      <c r="D134" s="48" t="s">
        <v>360</v>
      </c>
      <c r="E134" s="48" t="s">
        <v>95</v>
      </c>
      <c r="F134" s="48">
        <v>3</v>
      </c>
      <c r="G134" s="48" t="s">
        <v>361</v>
      </c>
      <c r="H134" s="48" t="s">
        <v>92</v>
      </c>
      <c r="I134" s="48" t="s">
        <v>97</v>
      </c>
      <c r="J134" s="48"/>
      <c r="K134" s="48">
        <v>9154377888</v>
      </c>
      <c r="L134" s="48">
        <v>3118</v>
      </c>
      <c r="M134" s="48">
        <v>3258</v>
      </c>
      <c r="N134" s="48">
        <v>6379</v>
      </c>
      <c r="O134" s="48">
        <v>235</v>
      </c>
      <c r="P134" s="48">
        <v>1616</v>
      </c>
      <c r="Q134" s="48">
        <v>785</v>
      </c>
      <c r="R134" s="48">
        <v>622</v>
      </c>
      <c r="S134" s="48">
        <v>324</v>
      </c>
      <c r="T134" s="48">
        <v>1599</v>
      </c>
      <c r="U134" s="48">
        <v>695</v>
      </c>
      <c r="V134" s="48">
        <v>498</v>
      </c>
      <c r="W134" s="48"/>
      <c r="X134" s="48"/>
      <c r="Y134" s="48"/>
      <c r="Z134" s="48"/>
      <c r="AA134" s="49"/>
      <c r="AB134" s="49"/>
      <c r="AC134" s="48">
        <v>77</v>
      </c>
    </row>
    <row r="135" spans="1:29">
      <c r="A135" s="48" t="s">
        <v>15</v>
      </c>
      <c r="B135" s="48" t="s">
        <v>15</v>
      </c>
      <c r="C135" s="48" t="s">
        <v>362</v>
      </c>
      <c r="D135" s="48" t="s">
        <v>362</v>
      </c>
      <c r="E135" s="48" t="s">
        <v>95</v>
      </c>
      <c r="F135" s="48">
        <v>5</v>
      </c>
      <c r="G135" s="48" t="s">
        <v>363</v>
      </c>
      <c r="H135" s="48" t="s">
        <v>92</v>
      </c>
      <c r="I135" s="48" t="s">
        <v>119</v>
      </c>
      <c r="J135" s="48"/>
      <c r="K135" s="48">
        <v>9010851504</v>
      </c>
      <c r="L135" s="48">
        <v>2045</v>
      </c>
      <c r="M135" s="48">
        <v>1978</v>
      </c>
      <c r="N135" s="48">
        <v>4025</v>
      </c>
      <c r="O135" s="48">
        <v>124</v>
      </c>
      <c r="P135" s="48">
        <v>940</v>
      </c>
      <c r="Q135" s="48">
        <v>513</v>
      </c>
      <c r="R135" s="48">
        <v>401</v>
      </c>
      <c r="S135" s="48">
        <v>180</v>
      </c>
      <c r="T135" s="48">
        <v>978</v>
      </c>
      <c r="U135" s="48">
        <v>488</v>
      </c>
      <c r="V135" s="48">
        <v>396</v>
      </c>
      <c r="W135" s="48"/>
      <c r="X135" s="48"/>
      <c r="Y135" s="48"/>
      <c r="Z135" s="48"/>
      <c r="AA135" s="49"/>
      <c r="AB135" s="49"/>
      <c r="AC135" s="48">
        <v>81</v>
      </c>
    </row>
    <row r="136" spans="1:29">
      <c r="A136" s="48" t="s">
        <v>15</v>
      </c>
      <c r="B136" s="48" t="s">
        <v>15</v>
      </c>
      <c r="C136" s="48" t="s">
        <v>364</v>
      </c>
      <c r="D136" s="48" t="s">
        <v>364</v>
      </c>
      <c r="E136" s="48" t="s">
        <v>90</v>
      </c>
      <c r="F136" s="48">
        <v>7</v>
      </c>
      <c r="G136" s="48" t="s">
        <v>365</v>
      </c>
      <c r="H136" s="48" t="s">
        <v>106</v>
      </c>
      <c r="I136" s="48" t="s">
        <v>113</v>
      </c>
      <c r="J136" s="48"/>
      <c r="K136" s="48">
        <v>9505959106</v>
      </c>
      <c r="L136" s="48">
        <v>3515</v>
      </c>
      <c r="M136" s="48">
        <v>3443</v>
      </c>
      <c r="N136" s="48">
        <v>6960</v>
      </c>
      <c r="O136" s="48">
        <v>223</v>
      </c>
      <c r="P136" s="48">
        <v>1569</v>
      </c>
      <c r="Q136" s="48">
        <v>955</v>
      </c>
      <c r="R136" s="48">
        <v>693</v>
      </c>
      <c r="S136" s="48">
        <v>271</v>
      </c>
      <c r="T136" s="48">
        <v>1733</v>
      </c>
      <c r="U136" s="48">
        <v>898</v>
      </c>
      <c r="V136" s="48">
        <v>610</v>
      </c>
      <c r="W136" s="48"/>
      <c r="X136" s="48"/>
      <c r="Y136" s="48"/>
      <c r="Z136" s="48"/>
      <c r="AA136" s="49"/>
      <c r="AB136" s="49"/>
      <c r="AC136" s="48">
        <v>78</v>
      </c>
    </row>
    <row r="137" spans="1:29">
      <c r="A137" s="48" t="s">
        <v>15</v>
      </c>
      <c r="B137" s="48" t="s">
        <v>15</v>
      </c>
      <c r="C137" s="48" t="s">
        <v>366</v>
      </c>
      <c r="D137" s="48" t="s">
        <v>366</v>
      </c>
      <c r="E137" s="48" t="s">
        <v>90</v>
      </c>
      <c r="F137" s="48">
        <v>2</v>
      </c>
      <c r="G137" s="48" t="s">
        <v>367</v>
      </c>
      <c r="H137" s="48" t="s">
        <v>92</v>
      </c>
      <c r="I137" s="48" t="s">
        <v>93</v>
      </c>
      <c r="J137" s="48" t="s">
        <v>368</v>
      </c>
      <c r="K137" s="48">
        <v>9866256488</v>
      </c>
      <c r="L137" s="48">
        <v>1228</v>
      </c>
      <c r="M137" s="48">
        <v>1053</v>
      </c>
      <c r="N137" s="48">
        <v>2281</v>
      </c>
      <c r="O137" s="48">
        <v>58</v>
      </c>
      <c r="P137" s="48">
        <v>515</v>
      </c>
      <c r="Q137" s="48">
        <v>271</v>
      </c>
      <c r="R137" s="48">
        <v>209</v>
      </c>
      <c r="S137" s="48">
        <v>114</v>
      </c>
      <c r="T137" s="48">
        <v>599</v>
      </c>
      <c r="U137" s="48">
        <v>318</v>
      </c>
      <c r="V137" s="48">
        <v>197</v>
      </c>
      <c r="W137" s="48"/>
      <c r="X137" s="48"/>
      <c r="Y137" s="48"/>
      <c r="Z137" s="48"/>
      <c r="AA137" s="49"/>
      <c r="AB137" s="49"/>
      <c r="AC137" s="48">
        <v>53</v>
      </c>
    </row>
    <row r="138" spans="1:29">
      <c r="A138" s="48" t="s">
        <v>15</v>
      </c>
      <c r="B138" s="48" t="s">
        <v>15</v>
      </c>
      <c r="C138" s="48" t="s">
        <v>369</v>
      </c>
      <c r="D138" s="48" t="s">
        <v>369</v>
      </c>
      <c r="E138" s="48" t="s">
        <v>90</v>
      </c>
      <c r="F138" s="48">
        <v>2</v>
      </c>
      <c r="G138" s="48" t="s">
        <v>370</v>
      </c>
      <c r="H138" s="48" t="s">
        <v>4</v>
      </c>
      <c r="I138" s="48" t="s">
        <v>93</v>
      </c>
      <c r="J138" s="48" t="s">
        <v>139</v>
      </c>
      <c r="K138" s="48">
        <v>9063698888</v>
      </c>
      <c r="L138" s="48">
        <v>1217</v>
      </c>
      <c r="M138" s="48">
        <v>1214</v>
      </c>
      <c r="N138" s="48">
        <v>2431</v>
      </c>
      <c r="O138" s="48">
        <v>93</v>
      </c>
      <c r="P138" s="48">
        <v>547</v>
      </c>
      <c r="Q138" s="48">
        <v>320</v>
      </c>
      <c r="R138" s="48">
        <v>254</v>
      </c>
      <c r="S138" s="48">
        <v>92</v>
      </c>
      <c r="T138" s="48">
        <v>621</v>
      </c>
      <c r="U138" s="48">
        <v>280</v>
      </c>
      <c r="V138" s="48">
        <v>223</v>
      </c>
      <c r="W138" s="48"/>
      <c r="X138" s="48"/>
      <c r="Y138" s="48"/>
      <c r="Z138" s="48"/>
      <c r="AA138" s="49"/>
      <c r="AB138" s="49"/>
      <c r="AC138" s="48">
        <v>90</v>
      </c>
    </row>
    <row r="139" spans="1:29">
      <c r="A139" s="48" t="s">
        <v>15</v>
      </c>
      <c r="B139" s="48" t="s">
        <v>15</v>
      </c>
      <c r="C139" s="48" t="s">
        <v>371</v>
      </c>
      <c r="D139" s="48" t="s">
        <v>371</v>
      </c>
      <c r="E139" s="48" t="s">
        <v>90</v>
      </c>
      <c r="F139" s="48">
        <v>3</v>
      </c>
      <c r="G139" s="48" t="s">
        <v>372</v>
      </c>
      <c r="H139" s="48" t="s">
        <v>4</v>
      </c>
      <c r="I139" s="48" t="s">
        <v>102</v>
      </c>
      <c r="J139" s="48" t="s">
        <v>139</v>
      </c>
      <c r="K139" s="48">
        <v>9866122809</v>
      </c>
      <c r="L139" s="48">
        <v>1534</v>
      </c>
      <c r="M139" s="48">
        <v>1520</v>
      </c>
      <c r="N139" s="48">
        <v>3061</v>
      </c>
      <c r="O139" s="48">
        <v>109</v>
      </c>
      <c r="P139" s="48">
        <v>720</v>
      </c>
      <c r="Q139" s="48">
        <v>399</v>
      </c>
      <c r="R139" s="48">
        <v>291</v>
      </c>
      <c r="S139" s="48">
        <v>169</v>
      </c>
      <c r="T139" s="48">
        <v>737</v>
      </c>
      <c r="U139" s="48">
        <v>377</v>
      </c>
      <c r="V139" s="48">
        <v>248</v>
      </c>
      <c r="W139" s="48"/>
      <c r="X139" s="48"/>
      <c r="Y139" s="48"/>
      <c r="Z139" s="48"/>
      <c r="AA139" s="49"/>
      <c r="AB139" s="49"/>
      <c r="AC139" s="48">
        <v>88</v>
      </c>
    </row>
    <row r="140" spans="1:29">
      <c r="A140" s="48" t="s">
        <v>15</v>
      </c>
      <c r="B140" s="48" t="s">
        <v>15</v>
      </c>
      <c r="C140" s="48" t="s">
        <v>373</v>
      </c>
      <c r="D140" s="48" t="s">
        <v>373</v>
      </c>
      <c r="E140" s="48" t="s">
        <v>90</v>
      </c>
      <c r="F140" s="48">
        <v>3</v>
      </c>
      <c r="G140" s="48" t="s">
        <v>374</v>
      </c>
      <c r="H140" s="48" t="s">
        <v>92</v>
      </c>
      <c r="I140" s="48" t="s">
        <v>142</v>
      </c>
      <c r="J140" s="48"/>
      <c r="K140" s="48">
        <v>9849293050</v>
      </c>
      <c r="L140" s="48">
        <v>1495</v>
      </c>
      <c r="M140" s="48">
        <v>1566</v>
      </c>
      <c r="N140" s="48">
        <v>3061</v>
      </c>
      <c r="O140" s="48">
        <v>102</v>
      </c>
      <c r="P140" s="48">
        <v>833</v>
      </c>
      <c r="Q140" s="48">
        <v>354</v>
      </c>
      <c r="R140" s="48">
        <v>277</v>
      </c>
      <c r="S140" s="48">
        <v>156</v>
      </c>
      <c r="T140" s="48">
        <v>776</v>
      </c>
      <c r="U140" s="48">
        <v>340</v>
      </c>
      <c r="V140" s="48">
        <v>223</v>
      </c>
      <c r="W140" s="48"/>
      <c r="X140" s="48"/>
      <c r="Y140" s="48"/>
      <c r="Z140" s="48"/>
      <c r="AA140" s="49"/>
      <c r="AB140" s="49"/>
      <c r="AC140" s="48">
        <v>76</v>
      </c>
    </row>
    <row r="141" spans="1:29">
      <c r="A141" s="48" t="s">
        <v>15</v>
      </c>
      <c r="B141" s="48" t="s">
        <v>15</v>
      </c>
      <c r="C141" s="48" t="s">
        <v>375</v>
      </c>
      <c r="D141" s="48" t="s">
        <v>375</v>
      </c>
      <c r="E141" s="48" t="s">
        <v>95</v>
      </c>
      <c r="F141" s="48">
        <v>3</v>
      </c>
      <c r="G141" s="48" t="e">
        <v>#N/A</v>
      </c>
      <c r="H141" s="48"/>
      <c r="I141" s="48"/>
      <c r="J141" s="48"/>
      <c r="K141" s="48"/>
      <c r="L141" s="48">
        <v>1705</v>
      </c>
      <c r="M141" s="48">
        <v>1679</v>
      </c>
      <c r="N141" s="48">
        <v>3384</v>
      </c>
      <c r="O141" s="48">
        <v>113</v>
      </c>
      <c r="P141" s="48">
        <v>714</v>
      </c>
      <c r="Q141" s="48">
        <v>474</v>
      </c>
      <c r="R141" s="48">
        <v>378</v>
      </c>
      <c r="S141" s="48">
        <v>164</v>
      </c>
      <c r="T141" s="48">
        <v>771</v>
      </c>
      <c r="U141" s="48">
        <v>438</v>
      </c>
      <c r="V141" s="48">
        <v>331</v>
      </c>
      <c r="W141" s="48"/>
      <c r="X141" s="48"/>
      <c r="Y141" s="48"/>
      <c r="Z141" s="48"/>
      <c r="AA141" s="49"/>
      <c r="AB141" s="49"/>
      <c r="AC141" s="48" t="e">
        <v>#N/A</v>
      </c>
    </row>
    <row r="142" spans="1:29">
      <c r="A142" s="48" t="s">
        <v>15</v>
      </c>
      <c r="B142" s="48" t="s">
        <v>15</v>
      </c>
      <c r="C142" s="48" t="s">
        <v>376</v>
      </c>
      <c r="D142" s="48" t="s">
        <v>376</v>
      </c>
      <c r="E142" s="48" t="s">
        <v>90</v>
      </c>
      <c r="F142" s="48">
        <v>1</v>
      </c>
      <c r="G142" s="48" t="s">
        <v>377</v>
      </c>
      <c r="H142" s="48" t="s">
        <v>92</v>
      </c>
      <c r="I142" s="48" t="s">
        <v>102</v>
      </c>
      <c r="J142" s="48" t="s">
        <v>139</v>
      </c>
      <c r="K142" s="48">
        <v>9666986444</v>
      </c>
      <c r="L142" s="48">
        <v>532</v>
      </c>
      <c r="M142" s="48">
        <v>548</v>
      </c>
      <c r="N142" s="48">
        <v>1080</v>
      </c>
      <c r="O142" s="48">
        <v>42</v>
      </c>
      <c r="P142" s="48">
        <v>258</v>
      </c>
      <c r="Q142" s="48">
        <v>144</v>
      </c>
      <c r="R142" s="48">
        <v>104</v>
      </c>
      <c r="S142" s="48">
        <v>44</v>
      </c>
      <c r="T142" s="48">
        <v>248</v>
      </c>
      <c r="U142" s="48">
        <v>155</v>
      </c>
      <c r="V142" s="48">
        <v>85</v>
      </c>
      <c r="W142" s="48"/>
      <c r="X142" s="48"/>
      <c r="Y142" s="48"/>
      <c r="Z142" s="48"/>
      <c r="AA142" s="49"/>
      <c r="AB142" s="49"/>
      <c r="AC142" s="48">
        <v>85</v>
      </c>
    </row>
    <row r="143" spans="1:29">
      <c r="A143" s="48" t="s">
        <v>15</v>
      </c>
      <c r="B143" s="48" t="s">
        <v>15</v>
      </c>
      <c r="C143" s="48" t="s">
        <v>378</v>
      </c>
      <c r="D143" s="48" t="s">
        <v>378</v>
      </c>
      <c r="E143" s="48" t="s">
        <v>90</v>
      </c>
      <c r="F143" s="48">
        <v>2</v>
      </c>
      <c r="G143" s="48" t="e">
        <v>#N/A</v>
      </c>
      <c r="H143" s="48"/>
      <c r="I143" s="48"/>
      <c r="J143" s="48"/>
      <c r="K143" s="48"/>
      <c r="L143" s="48">
        <v>1005</v>
      </c>
      <c r="M143" s="48">
        <v>1013</v>
      </c>
      <c r="N143" s="48">
        <v>2018</v>
      </c>
      <c r="O143" s="48">
        <v>81</v>
      </c>
      <c r="P143" s="48">
        <v>478</v>
      </c>
      <c r="Q143" s="48">
        <v>241</v>
      </c>
      <c r="R143" s="48">
        <v>213</v>
      </c>
      <c r="S143" s="48">
        <v>79</v>
      </c>
      <c r="T143" s="48">
        <v>501</v>
      </c>
      <c r="U143" s="48">
        <v>257</v>
      </c>
      <c r="V143" s="48">
        <v>168</v>
      </c>
      <c r="W143" s="48"/>
      <c r="X143" s="48"/>
      <c r="Y143" s="48"/>
      <c r="Z143" s="48"/>
      <c r="AA143" s="49"/>
      <c r="AB143" s="49"/>
      <c r="AC143" s="48" t="e">
        <v>#N/A</v>
      </c>
    </row>
    <row r="144" spans="1:29">
      <c r="A144" s="48" t="s">
        <v>15</v>
      </c>
      <c r="B144" s="48" t="s">
        <v>15</v>
      </c>
      <c r="C144" s="48" t="s">
        <v>379</v>
      </c>
      <c r="D144" s="48" t="s">
        <v>379</v>
      </c>
      <c r="E144" s="48" t="s">
        <v>90</v>
      </c>
      <c r="F144" s="48">
        <v>2</v>
      </c>
      <c r="G144" s="48" t="s">
        <v>380</v>
      </c>
      <c r="H144" s="48" t="s">
        <v>4</v>
      </c>
      <c r="I144" s="48" t="s">
        <v>93</v>
      </c>
      <c r="J144" s="48" t="s">
        <v>139</v>
      </c>
      <c r="K144" s="48">
        <v>9494551119</v>
      </c>
      <c r="L144" s="48">
        <v>1400</v>
      </c>
      <c r="M144" s="48">
        <v>1301</v>
      </c>
      <c r="N144" s="48">
        <v>2702</v>
      </c>
      <c r="O144" s="48">
        <v>81</v>
      </c>
      <c r="P144" s="48">
        <v>684</v>
      </c>
      <c r="Q144" s="52">
        <v>356</v>
      </c>
      <c r="R144" s="48">
        <v>180</v>
      </c>
      <c r="S144" s="48">
        <v>118</v>
      </c>
      <c r="T144" s="48">
        <v>682</v>
      </c>
      <c r="U144" s="48">
        <v>375</v>
      </c>
      <c r="V144" s="48">
        <v>225</v>
      </c>
      <c r="W144" s="48"/>
      <c r="X144" s="48"/>
      <c r="Y144" s="52"/>
      <c r="Z144" s="52"/>
      <c r="AA144" s="49"/>
      <c r="AB144" s="49"/>
      <c r="AC144" s="48">
        <v>70</v>
      </c>
    </row>
    <row r="145" spans="1:29">
      <c r="A145" s="48" t="s">
        <v>15</v>
      </c>
      <c r="B145" s="48" t="s">
        <v>15</v>
      </c>
      <c r="C145" s="48" t="s">
        <v>381</v>
      </c>
      <c r="D145" s="48" t="s">
        <v>381</v>
      </c>
      <c r="E145" s="48" t="s">
        <v>90</v>
      </c>
      <c r="F145" s="48">
        <v>1</v>
      </c>
      <c r="G145" s="48" t="s">
        <v>382</v>
      </c>
      <c r="H145" s="48" t="s">
        <v>106</v>
      </c>
      <c r="I145" s="48" t="s">
        <v>93</v>
      </c>
      <c r="J145" s="48" t="s">
        <v>139</v>
      </c>
      <c r="K145" s="48">
        <v>9010071677</v>
      </c>
      <c r="L145" s="48">
        <v>487</v>
      </c>
      <c r="M145" s="48">
        <v>498</v>
      </c>
      <c r="N145" s="48">
        <v>985</v>
      </c>
      <c r="O145" s="48">
        <v>56</v>
      </c>
      <c r="P145" s="48">
        <v>235</v>
      </c>
      <c r="Q145" s="48">
        <v>112</v>
      </c>
      <c r="R145" s="48">
        <v>95</v>
      </c>
      <c r="S145" s="48">
        <v>65</v>
      </c>
      <c r="T145" s="48">
        <v>237</v>
      </c>
      <c r="U145" s="48">
        <v>113</v>
      </c>
      <c r="V145" s="48">
        <v>71</v>
      </c>
      <c r="W145" s="48"/>
      <c r="X145" s="48"/>
      <c r="Y145" s="48"/>
      <c r="Z145" s="48"/>
      <c r="AA145" s="49"/>
      <c r="AB145" s="49"/>
      <c r="AC145" s="48">
        <v>81</v>
      </c>
    </row>
    <row r="146" spans="1:29">
      <c r="A146" s="48" t="s">
        <v>15</v>
      </c>
      <c r="B146" s="48" t="s">
        <v>15</v>
      </c>
      <c r="C146" s="48" t="s">
        <v>383</v>
      </c>
      <c r="D146" s="48" t="s">
        <v>383</v>
      </c>
      <c r="E146" s="48" t="s">
        <v>90</v>
      </c>
      <c r="F146" s="48">
        <v>2</v>
      </c>
      <c r="G146" s="48" t="s">
        <v>384</v>
      </c>
      <c r="H146" s="48" t="s">
        <v>92</v>
      </c>
      <c r="I146" s="48" t="s">
        <v>102</v>
      </c>
      <c r="J146" s="48" t="s">
        <v>139</v>
      </c>
      <c r="K146" s="48">
        <v>9491853648</v>
      </c>
      <c r="L146" s="52">
        <v>829</v>
      </c>
      <c r="M146" s="48">
        <v>798</v>
      </c>
      <c r="N146" s="48">
        <v>1627</v>
      </c>
      <c r="O146" s="48">
        <v>63</v>
      </c>
      <c r="P146" s="48">
        <v>385</v>
      </c>
      <c r="Q146" s="48">
        <v>217</v>
      </c>
      <c r="R146" s="48">
        <v>133</v>
      </c>
      <c r="S146" s="48">
        <v>68</v>
      </c>
      <c r="T146" s="48">
        <v>395</v>
      </c>
      <c r="U146" s="48">
        <v>229</v>
      </c>
      <c r="V146" s="48">
        <v>137</v>
      </c>
      <c r="W146" s="48"/>
      <c r="X146" s="48"/>
      <c r="Y146" s="52"/>
      <c r="Z146" s="48"/>
      <c r="AA146" s="49"/>
      <c r="AB146" s="49"/>
      <c r="AC146" s="48">
        <v>89</v>
      </c>
    </row>
    <row r="147" spans="1:29">
      <c r="A147" s="48" t="s">
        <v>15</v>
      </c>
      <c r="B147" s="48" t="s">
        <v>15</v>
      </c>
      <c r="C147" s="48" t="s">
        <v>385</v>
      </c>
      <c r="D147" s="48" t="s">
        <v>385</v>
      </c>
      <c r="E147" s="48" t="s">
        <v>95</v>
      </c>
      <c r="F147" s="48">
        <v>3</v>
      </c>
      <c r="G147" s="48" t="s">
        <v>386</v>
      </c>
      <c r="H147" s="48" t="s">
        <v>4</v>
      </c>
      <c r="I147" s="48" t="s">
        <v>102</v>
      </c>
      <c r="J147" s="48" t="s">
        <v>103</v>
      </c>
      <c r="K147" s="48">
        <v>9542333347</v>
      </c>
      <c r="L147" s="48">
        <v>1262</v>
      </c>
      <c r="M147" s="48">
        <v>1233</v>
      </c>
      <c r="N147" s="48">
        <v>2496</v>
      </c>
      <c r="O147" s="48">
        <v>90</v>
      </c>
      <c r="P147" s="48">
        <v>561</v>
      </c>
      <c r="Q147" s="48">
        <v>330</v>
      </c>
      <c r="R147" s="48">
        <v>252</v>
      </c>
      <c r="S147" s="48">
        <v>122</v>
      </c>
      <c r="T147" s="48">
        <v>607</v>
      </c>
      <c r="U147" s="48">
        <v>320</v>
      </c>
      <c r="V147" s="48">
        <v>213</v>
      </c>
      <c r="W147" s="48"/>
      <c r="X147" s="48"/>
      <c r="Y147" s="48"/>
      <c r="Z147" s="48"/>
      <c r="AA147" s="49"/>
      <c r="AB147" s="49"/>
      <c r="AC147" s="48">
        <v>95</v>
      </c>
    </row>
    <row r="148" spans="1:29">
      <c r="A148" s="48" t="s">
        <v>15</v>
      </c>
      <c r="B148" s="48" t="s">
        <v>15</v>
      </c>
      <c r="C148" s="48" t="s">
        <v>387</v>
      </c>
      <c r="D148" s="48" t="s">
        <v>387</v>
      </c>
      <c r="E148" s="48" t="s">
        <v>90</v>
      </c>
      <c r="F148" s="48">
        <v>1</v>
      </c>
      <c r="G148" s="48" t="s">
        <v>388</v>
      </c>
      <c r="H148" s="48" t="s">
        <v>4</v>
      </c>
      <c r="I148" s="48" t="s">
        <v>142</v>
      </c>
      <c r="J148" s="48" t="s">
        <v>114</v>
      </c>
      <c r="K148" s="48">
        <v>9494154536</v>
      </c>
      <c r="L148" s="48">
        <v>521</v>
      </c>
      <c r="M148" s="48">
        <v>584</v>
      </c>
      <c r="N148" s="48">
        <v>1105</v>
      </c>
      <c r="O148" s="48">
        <v>26</v>
      </c>
      <c r="P148" s="48">
        <v>314</v>
      </c>
      <c r="Q148" s="48">
        <v>155</v>
      </c>
      <c r="R148" s="48">
        <v>89</v>
      </c>
      <c r="S148" s="48">
        <v>18</v>
      </c>
      <c r="T148" s="48">
        <v>318</v>
      </c>
      <c r="U148" s="48">
        <v>112</v>
      </c>
      <c r="V148" s="48">
        <v>73</v>
      </c>
      <c r="W148" s="48"/>
      <c r="X148" s="48"/>
      <c r="Y148" s="48"/>
      <c r="Z148" s="48"/>
      <c r="AA148" s="49"/>
      <c r="AB148" s="49"/>
      <c r="AC148" s="48">
        <v>85</v>
      </c>
    </row>
    <row r="149" spans="1:29">
      <c r="A149" s="48" t="s">
        <v>15</v>
      </c>
      <c r="B149" s="48" t="s">
        <v>389</v>
      </c>
      <c r="C149" s="48" t="s">
        <v>390</v>
      </c>
      <c r="D149" s="48" t="s">
        <v>390</v>
      </c>
      <c r="E149" s="48" t="s">
        <v>90</v>
      </c>
      <c r="F149" s="48">
        <v>2</v>
      </c>
      <c r="G149" s="48" t="s">
        <v>391</v>
      </c>
      <c r="H149" s="48" t="s">
        <v>92</v>
      </c>
      <c r="I149" s="48" t="s">
        <v>93</v>
      </c>
      <c r="J149" s="48" t="s">
        <v>139</v>
      </c>
      <c r="K149" s="48">
        <v>8297442233</v>
      </c>
      <c r="L149" s="48">
        <v>1170</v>
      </c>
      <c r="M149" s="48">
        <v>1112</v>
      </c>
      <c r="N149" s="48">
        <v>2282</v>
      </c>
      <c r="O149" s="48">
        <v>63</v>
      </c>
      <c r="P149" s="48">
        <v>533</v>
      </c>
      <c r="Q149" s="48">
        <v>311</v>
      </c>
      <c r="R149" s="48">
        <v>204</v>
      </c>
      <c r="S149" s="48">
        <v>91</v>
      </c>
      <c r="T149" s="48">
        <v>554</v>
      </c>
      <c r="U149" s="48">
        <v>334</v>
      </c>
      <c r="V149" s="48">
        <v>191</v>
      </c>
      <c r="W149" s="48"/>
      <c r="X149" s="48"/>
      <c r="Y149" s="48"/>
      <c r="Z149" s="48"/>
      <c r="AA149" s="49"/>
      <c r="AB149" s="49"/>
      <c r="AC149" s="48">
        <v>80</v>
      </c>
    </row>
    <row r="150" spans="1:29">
      <c r="A150" s="48" t="s">
        <v>15</v>
      </c>
      <c r="B150" s="48" t="s">
        <v>389</v>
      </c>
      <c r="C150" s="48" t="s">
        <v>390</v>
      </c>
      <c r="D150" s="48" t="s">
        <v>392</v>
      </c>
      <c r="E150" s="48" t="s">
        <v>90</v>
      </c>
      <c r="F150" s="48">
        <v>1</v>
      </c>
      <c r="G150" s="48" t="s">
        <v>391</v>
      </c>
      <c r="H150" s="48" t="s">
        <v>92</v>
      </c>
      <c r="I150" s="48" t="s">
        <v>93</v>
      </c>
      <c r="J150" s="48" t="s">
        <v>139</v>
      </c>
      <c r="K150" s="48">
        <v>8297442233</v>
      </c>
      <c r="L150" s="48">
        <v>494</v>
      </c>
      <c r="M150" s="48">
        <v>497</v>
      </c>
      <c r="N150" s="48">
        <v>991</v>
      </c>
      <c r="O150" s="48">
        <v>17</v>
      </c>
      <c r="P150" s="48">
        <v>202</v>
      </c>
      <c r="Q150" s="48">
        <v>156</v>
      </c>
      <c r="R150" s="48">
        <v>121</v>
      </c>
      <c r="S150" s="48">
        <v>21</v>
      </c>
      <c r="T150" s="48">
        <v>226</v>
      </c>
      <c r="U150" s="48">
        <v>155</v>
      </c>
      <c r="V150" s="48">
        <v>92</v>
      </c>
      <c r="W150" s="48"/>
      <c r="X150" s="48"/>
      <c r="Y150" s="48"/>
      <c r="Z150" s="48"/>
      <c r="AA150" s="49"/>
      <c r="AB150" s="49"/>
      <c r="AC150" s="48">
        <v>80</v>
      </c>
    </row>
    <row r="151" spans="1:29">
      <c r="A151" s="48" t="s">
        <v>15</v>
      </c>
      <c r="B151" s="48" t="s">
        <v>389</v>
      </c>
      <c r="C151" s="48" t="s">
        <v>393</v>
      </c>
      <c r="D151" s="48" t="s">
        <v>393</v>
      </c>
      <c r="E151" s="48" t="s">
        <v>95</v>
      </c>
      <c r="F151" s="48">
        <v>1</v>
      </c>
      <c r="G151" s="48" t="s">
        <v>394</v>
      </c>
      <c r="H151" s="48" t="s">
        <v>92</v>
      </c>
      <c r="I151" s="48" t="s">
        <v>97</v>
      </c>
      <c r="J151" s="48"/>
      <c r="K151" s="48">
        <v>9542661472</v>
      </c>
      <c r="L151" s="48">
        <v>536</v>
      </c>
      <c r="M151" s="48">
        <v>588</v>
      </c>
      <c r="N151" s="48">
        <v>1124</v>
      </c>
      <c r="O151" s="48">
        <v>49</v>
      </c>
      <c r="P151" s="48">
        <v>284</v>
      </c>
      <c r="Q151" s="48">
        <v>118</v>
      </c>
      <c r="R151" s="48">
        <v>137</v>
      </c>
      <c r="S151" s="48">
        <v>56</v>
      </c>
      <c r="T151" s="48">
        <v>254</v>
      </c>
      <c r="U151" s="48">
        <v>130</v>
      </c>
      <c r="V151" s="48">
        <v>96</v>
      </c>
      <c r="W151" s="48"/>
      <c r="X151" s="48"/>
      <c r="Y151" s="48"/>
      <c r="Z151" s="48"/>
      <c r="AA151" s="49"/>
      <c r="AB151" s="49"/>
      <c r="AC151" s="48">
        <v>84</v>
      </c>
    </row>
    <row r="152" spans="1:29">
      <c r="A152" s="48" t="s">
        <v>15</v>
      </c>
      <c r="B152" s="48" t="s">
        <v>389</v>
      </c>
      <c r="C152" s="48" t="s">
        <v>395</v>
      </c>
      <c r="D152" s="48" t="s">
        <v>395</v>
      </c>
      <c r="E152" s="48" t="s">
        <v>90</v>
      </c>
      <c r="F152" s="48">
        <v>2</v>
      </c>
      <c r="G152" s="48" t="s">
        <v>396</v>
      </c>
      <c r="H152" s="48" t="s">
        <v>92</v>
      </c>
      <c r="I152" s="48" t="s">
        <v>113</v>
      </c>
      <c r="J152" s="48" t="s">
        <v>114</v>
      </c>
      <c r="K152" s="48">
        <v>9494663047</v>
      </c>
      <c r="L152" s="48">
        <v>877</v>
      </c>
      <c r="M152" s="48">
        <v>859</v>
      </c>
      <c r="N152" s="48">
        <v>1737</v>
      </c>
      <c r="O152" s="48">
        <v>46</v>
      </c>
      <c r="P152" s="48">
        <v>389</v>
      </c>
      <c r="Q152" s="48">
        <v>255</v>
      </c>
      <c r="R152" s="48">
        <v>169</v>
      </c>
      <c r="S152" s="48">
        <v>67</v>
      </c>
      <c r="T152" s="48">
        <v>403</v>
      </c>
      <c r="U152" s="48">
        <v>271</v>
      </c>
      <c r="V152" s="48">
        <v>136</v>
      </c>
      <c r="W152" s="48"/>
      <c r="X152" s="48"/>
      <c r="Y152" s="48"/>
      <c r="Z152" s="48"/>
      <c r="AA152" s="49"/>
      <c r="AB152" s="49"/>
      <c r="AC152" s="48">
        <v>81</v>
      </c>
    </row>
    <row r="153" spans="1:29">
      <c r="A153" s="48" t="s">
        <v>15</v>
      </c>
      <c r="B153" s="48" t="s">
        <v>389</v>
      </c>
      <c r="C153" s="48" t="s">
        <v>397</v>
      </c>
      <c r="D153" s="48" t="s">
        <v>397</v>
      </c>
      <c r="E153" s="48" t="s">
        <v>90</v>
      </c>
      <c r="F153" s="48">
        <v>1</v>
      </c>
      <c r="G153" s="48" t="s">
        <v>398</v>
      </c>
      <c r="H153" s="48" t="s">
        <v>92</v>
      </c>
      <c r="I153" s="48" t="s">
        <v>102</v>
      </c>
      <c r="J153" s="48" t="s">
        <v>139</v>
      </c>
      <c r="K153" s="48">
        <v>9550798444</v>
      </c>
      <c r="L153" s="52">
        <v>432</v>
      </c>
      <c r="M153" s="52">
        <v>437</v>
      </c>
      <c r="N153" s="48">
        <v>869</v>
      </c>
      <c r="O153" s="48">
        <v>30</v>
      </c>
      <c r="P153" s="48">
        <v>190</v>
      </c>
      <c r="Q153" s="48">
        <v>124</v>
      </c>
      <c r="R153" s="48">
        <v>93</v>
      </c>
      <c r="S153" s="48">
        <v>33</v>
      </c>
      <c r="T153" s="48">
        <v>212</v>
      </c>
      <c r="U153" s="48">
        <v>108</v>
      </c>
      <c r="V153" s="48">
        <v>79</v>
      </c>
      <c r="W153" s="48"/>
      <c r="X153" s="52"/>
      <c r="Y153" s="48"/>
      <c r="Z153" s="48"/>
      <c r="AA153" s="49"/>
      <c r="AB153" s="49"/>
      <c r="AC153" s="48">
        <v>73</v>
      </c>
    </row>
    <row r="154" spans="1:29">
      <c r="A154" s="48" t="s">
        <v>15</v>
      </c>
      <c r="B154" s="48" t="s">
        <v>389</v>
      </c>
      <c r="C154" s="48" t="s">
        <v>399</v>
      </c>
      <c r="D154" s="48" t="s">
        <v>399</v>
      </c>
      <c r="E154" s="48" t="s">
        <v>95</v>
      </c>
      <c r="F154" s="48">
        <v>7</v>
      </c>
      <c r="G154" s="48" t="s">
        <v>400</v>
      </c>
      <c r="H154" s="48" t="s">
        <v>92</v>
      </c>
      <c r="I154" s="48" t="s">
        <v>97</v>
      </c>
      <c r="J154" s="48" t="s">
        <v>213</v>
      </c>
      <c r="K154" s="48">
        <v>9989310715</v>
      </c>
      <c r="L154" s="48">
        <v>3084</v>
      </c>
      <c r="M154" s="48">
        <v>3384</v>
      </c>
      <c r="N154" s="48">
        <v>6469</v>
      </c>
      <c r="O154" s="48">
        <v>195</v>
      </c>
      <c r="P154" s="48">
        <v>1535</v>
      </c>
      <c r="Q154" s="52">
        <v>885</v>
      </c>
      <c r="R154" s="48">
        <v>769</v>
      </c>
      <c r="S154" s="48">
        <v>243</v>
      </c>
      <c r="T154" s="48">
        <v>1501</v>
      </c>
      <c r="U154" s="48">
        <v>702</v>
      </c>
      <c r="V154" s="48">
        <v>638</v>
      </c>
      <c r="W154" s="48"/>
      <c r="X154" s="48"/>
      <c r="Y154" s="52"/>
      <c r="Z154" s="52"/>
      <c r="AA154" s="49"/>
      <c r="AB154" s="49"/>
      <c r="AC154" s="48">
        <v>73</v>
      </c>
    </row>
    <row r="155" spans="1:29">
      <c r="A155" s="48" t="s">
        <v>15</v>
      </c>
      <c r="B155" s="48" t="s">
        <v>389</v>
      </c>
      <c r="C155" s="48" t="s">
        <v>401</v>
      </c>
      <c r="D155" s="48" t="s">
        <v>401</v>
      </c>
      <c r="E155" s="48" t="s">
        <v>95</v>
      </c>
      <c r="F155" s="48">
        <v>1</v>
      </c>
      <c r="G155" s="48" t="e">
        <v>#N/A</v>
      </c>
      <c r="H155" s="48"/>
      <c r="I155" s="48"/>
      <c r="J155" s="48"/>
      <c r="K155" s="48"/>
      <c r="L155" s="48">
        <v>465</v>
      </c>
      <c r="M155" s="48">
        <v>496</v>
      </c>
      <c r="N155" s="48">
        <v>962</v>
      </c>
      <c r="O155" s="48">
        <v>47</v>
      </c>
      <c r="P155" s="48">
        <v>243</v>
      </c>
      <c r="Q155" s="48">
        <v>113</v>
      </c>
      <c r="R155" s="48">
        <v>93</v>
      </c>
      <c r="S155" s="48">
        <v>42</v>
      </c>
      <c r="T155" s="48">
        <v>223</v>
      </c>
      <c r="U155" s="48">
        <v>119</v>
      </c>
      <c r="V155" s="48">
        <v>81</v>
      </c>
      <c r="W155" s="48"/>
      <c r="X155" s="48"/>
      <c r="Y155" s="48"/>
      <c r="Z155" s="48"/>
      <c r="AA155" s="49"/>
      <c r="AB155" s="49"/>
      <c r="AC155" s="48" t="e">
        <v>#N/A</v>
      </c>
    </row>
    <row r="156" spans="1:29">
      <c r="A156" s="48" t="s">
        <v>15</v>
      </c>
      <c r="B156" s="48" t="s">
        <v>389</v>
      </c>
      <c r="C156" s="48" t="s">
        <v>402</v>
      </c>
      <c r="D156" s="48" t="s">
        <v>402</v>
      </c>
      <c r="E156" s="48" t="s">
        <v>90</v>
      </c>
      <c r="F156" s="48">
        <v>2</v>
      </c>
      <c r="G156" s="48" t="s">
        <v>403</v>
      </c>
      <c r="H156" s="48" t="s">
        <v>92</v>
      </c>
      <c r="I156" s="48" t="s">
        <v>93</v>
      </c>
      <c r="J156" s="48" t="s">
        <v>139</v>
      </c>
      <c r="K156" s="48">
        <v>9703412224</v>
      </c>
      <c r="L156" s="52">
        <v>1266</v>
      </c>
      <c r="M156" s="48">
        <v>1156</v>
      </c>
      <c r="N156" s="48">
        <v>2422</v>
      </c>
      <c r="O156" s="48">
        <v>85</v>
      </c>
      <c r="P156" s="48">
        <v>515</v>
      </c>
      <c r="Q156" s="48">
        <v>313</v>
      </c>
      <c r="R156" s="48">
        <v>243</v>
      </c>
      <c r="S156" s="48">
        <v>104</v>
      </c>
      <c r="T156" s="48">
        <v>581</v>
      </c>
      <c r="U156" s="48">
        <v>326</v>
      </c>
      <c r="V156" s="48">
        <v>255</v>
      </c>
      <c r="W156" s="48"/>
      <c r="X156" s="48"/>
      <c r="Y156" s="52"/>
      <c r="Z156" s="52"/>
      <c r="AA156" s="49"/>
      <c r="AB156" s="49"/>
      <c r="AC156" s="48">
        <v>79</v>
      </c>
    </row>
    <row r="157" spans="1:29">
      <c r="A157" s="48" t="s">
        <v>15</v>
      </c>
      <c r="B157" s="48" t="s">
        <v>389</v>
      </c>
      <c r="C157" s="48" t="s">
        <v>404</v>
      </c>
      <c r="D157" s="48" t="s">
        <v>404</v>
      </c>
      <c r="E157" s="48" t="s">
        <v>90</v>
      </c>
      <c r="F157" s="48">
        <v>1</v>
      </c>
      <c r="G157" s="48" t="s">
        <v>405</v>
      </c>
      <c r="H157" s="48" t="s">
        <v>92</v>
      </c>
      <c r="I157" s="48" t="s">
        <v>102</v>
      </c>
      <c r="J157" s="48" t="s">
        <v>103</v>
      </c>
      <c r="K157" s="48">
        <v>9705025660</v>
      </c>
      <c r="L157" s="48">
        <v>405</v>
      </c>
      <c r="M157" s="48">
        <v>433</v>
      </c>
      <c r="N157" s="48">
        <v>838</v>
      </c>
      <c r="O157" s="48">
        <v>52</v>
      </c>
      <c r="P157" s="48">
        <v>196</v>
      </c>
      <c r="Q157" s="48">
        <v>115</v>
      </c>
      <c r="R157" s="48">
        <v>70</v>
      </c>
      <c r="S157" s="48">
        <v>60</v>
      </c>
      <c r="T157" s="48">
        <v>209</v>
      </c>
      <c r="U157" s="48">
        <v>93</v>
      </c>
      <c r="V157" s="48">
        <v>43</v>
      </c>
      <c r="W157" s="48"/>
      <c r="X157" s="48"/>
      <c r="Y157" s="48"/>
      <c r="Z157" s="48"/>
      <c r="AA157" s="49"/>
      <c r="AB157" s="49"/>
      <c r="AC157" s="48">
        <v>92</v>
      </c>
    </row>
    <row r="158" spans="1:29">
      <c r="A158" s="48" t="s">
        <v>15</v>
      </c>
      <c r="B158" s="48" t="s">
        <v>389</v>
      </c>
      <c r="C158" s="48" t="s">
        <v>404</v>
      </c>
      <c r="D158" s="48" t="s">
        <v>406</v>
      </c>
      <c r="E158" s="48" t="s">
        <v>90</v>
      </c>
      <c r="F158" s="48">
        <v>1</v>
      </c>
      <c r="G158" s="48" t="s">
        <v>405</v>
      </c>
      <c r="H158" s="48" t="s">
        <v>92</v>
      </c>
      <c r="I158" s="48" t="s">
        <v>102</v>
      </c>
      <c r="J158" s="48" t="s">
        <v>103</v>
      </c>
      <c r="K158" s="48">
        <v>9705025660</v>
      </c>
      <c r="L158" s="48">
        <v>565</v>
      </c>
      <c r="M158" s="48">
        <v>545</v>
      </c>
      <c r="N158" s="48">
        <v>1110</v>
      </c>
      <c r="O158" s="48">
        <v>50</v>
      </c>
      <c r="P158" s="48">
        <v>248</v>
      </c>
      <c r="Q158" s="48">
        <v>165</v>
      </c>
      <c r="R158" s="48">
        <v>82</v>
      </c>
      <c r="S158" s="48">
        <v>50</v>
      </c>
      <c r="T158" s="48">
        <v>294</v>
      </c>
      <c r="U158" s="48">
        <v>136</v>
      </c>
      <c r="V158" s="48">
        <v>85</v>
      </c>
      <c r="W158" s="48"/>
      <c r="X158" s="48"/>
      <c r="Y158" s="48"/>
      <c r="Z158" s="48"/>
      <c r="AA158" s="49"/>
      <c r="AB158" s="49"/>
      <c r="AC158" s="48">
        <v>92</v>
      </c>
    </row>
    <row r="159" spans="1:29">
      <c r="A159" s="48" t="s">
        <v>15</v>
      </c>
      <c r="B159" s="48" t="s">
        <v>389</v>
      </c>
      <c r="C159" s="48" t="s">
        <v>407</v>
      </c>
      <c r="D159" s="48" t="s">
        <v>407</v>
      </c>
      <c r="E159" s="48" t="s">
        <v>90</v>
      </c>
      <c r="F159" s="48">
        <v>1</v>
      </c>
      <c r="G159" s="48" t="s">
        <v>408</v>
      </c>
      <c r="H159" s="48" t="s">
        <v>92</v>
      </c>
      <c r="I159" s="48" t="s">
        <v>93</v>
      </c>
      <c r="J159" s="48" t="s">
        <v>139</v>
      </c>
      <c r="K159" s="48">
        <v>9502226438</v>
      </c>
      <c r="L159" s="48">
        <v>553</v>
      </c>
      <c r="M159" s="48">
        <v>493</v>
      </c>
      <c r="N159" s="48">
        <v>1046</v>
      </c>
      <c r="O159" s="48">
        <v>33</v>
      </c>
      <c r="P159" s="48">
        <v>224</v>
      </c>
      <c r="Q159" s="48">
        <v>133</v>
      </c>
      <c r="R159" s="48">
        <v>103</v>
      </c>
      <c r="S159" s="48">
        <v>49</v>
      </c>
      <c r="T159" s="48">
        <v>262</v>
      </c>
      <c r="U159" s="48">
        <v>131</v>
      </c>
      <c r="V159" s="48">
        <v>111</v>
      </c>
      <c r="W159" s="48"/>
      <c r="X159" s="48"/>
      <c r="Y159" s="48"/>
      <c r="Z159" s="48"/>
      <c r="AA159" s="49"/>
      <c r="AB159" s="49"/>
      <c r="AC159" s="48">
        <v>92</v>
      </c>
    </row>
    <row r="160" spans="1:29">
      <c r="A160" s="48" t="s">
        <v>15</v>
      </c>
      <c r="B160" s="48" t="s">
        <v>389</v>
      </c>
      <c r="C160" s="48" t="s">
        <v>409</v>
      </c>
      <c r="D160" s="48" t="s">
        <v>409</v>
      </c>
      <c r="E160" s="48" t="s">
        <v>90</v>
      </c>
      <c r="F160" s="48">
        <v>6</v>
      </c>
      <c r="G160" s="48" t="s">
        <v>410</v>
      </c>
      <c r="H160" s="48" t="s">
        <v>92</v>
      </c>
      <c r="I160" s="48" t="s">
        <v>97</v>
      </c>
      <c r="J160" s="48" t="s">
        <v>125</v>
      </c>
      <c r="K160" s="48">
        <v>9700398888</v>
      </c>
      <c r="L160" s="48">
        <v>3231</v>
      </c>
      <c r="M160" s="48">
        <v>3316</v>
      </c>
      <c r="N160" s="48">
        <v>6553</v>
      </c>
      <c r="O160" s="48">
        <v>210</v>
      </c>
      <c r="P160" s="48">
        <v>1767</v>
      </c>
      <c r="Q160" s="48">
        <v>860</v>
      </c>
      <c r="R160" s="48">
        <v>479</v>
      </c>
      <c r="S160" s="48">
        <v>247</v>
      </c>
      <c r="T160" s="48">
        <v>1682</v>
      </c>
      <c r="U160" s="48">
        <v>794</v>
      </c>
      <c r="V160" s="48">
        <v>508</v>
      </c>
      <c r="W160" s="48"/>
      <c r="X160" s="48"/>
      <c r="Y160" s="48"/>
      <c r="Z160" s="48"/>
      <c r="AA160" s="49"/>
      <c r="AB160" s="49"/>
      <c r="AC160" s="48">
        <v>84</v>
      </c>
    </row>
    <row r="161" spans="1:29">
      <c r="A161" s="48" t="s">
        <v>15</v>
      </c>
      <c r="B161" s="48" t="s">
        <v>389</v>
      </c>
      <c r="C161" s="48" t="s">
        <v>411</v>
      </c>
      <c r="D161" s="48" t="s">
        <v>411</v>
      </c>
      <c r="E161" s="48" t="s">
        <v>90</v>
      </c>
      <c r="F161" s="48">
        <v>3</v>
      </c>
      <c r="G161" s="48" t="s">
        <v>412</v>
      </c>
      <c r="H161" s="48" t="s">
        <v>4</v>
      </c>
      <c r="I161" s="48" t="s">
        <v>93</v>
      </c>
      <c r="J161" s="48" t="s">
        <v>139</v>
      </c>
      <c r="K161" s="48">
        <v>9848392555</v>
      </c>
      <c r="L161" s="48">
        <v>1604</v>
      </c>
      <c r="M161" s="48">
        <v>1414</v>
      </c>
      <c r="N161" s="48">
        <v>3018</v>
      </c>
      <c r="O161" s="48">
        <v>93</v>
      </c>
      <c r="P161" s="48">
        <v>603</v>
      </c>
      <c r="Q161" s="48">
        <v>407</v>
      </c>
      <c r="R161" s="48">
        <v>311</v>
      </c>
      <c r="S161" s="48">
        <v>172</v>
      </c>
      <c r="T161" s="48">
        <v>724</v>
      </c>
      <c r="U161" s="48">
        <v>440</v>
      </c>
      <c r="V161" s="48">
        <v>268</v>
      </c>
      <c r="W161" s="48"/>
      <c r="X161" s="48"/>
      <c r="Y161" s="52"/>
      <c r="Z161" s="48"/>
      <c r="AA161" s="49"/>
      <c r="AB161" s="49"/>
      <c r="AC161" s="48">
        <v>79</v>
      </c>
    </row>
    <row r="162" spans="1:29">
      <c r="A162" s="48" t="s">
        <v>15</v>
      </c>
      <c r="B162" s="48" t="s">
        <v>389</v>
      </c>
      <c r="C162" s="48" t="s">
        <v>413</v>
      </c>
      <c r="D162" s="48" t="s">
        <v>413</v>
      </c>
      <c r="E162" s="48" t="s">
        <v>90</v>
      </c>
      <c r="F162" s="48">
        <v>2</v>
      </c>
      <c r="G162" s="48" t="s">
        <v>414</v>
      </c>
      <c r="H162" s="48" t="s">
        <v>92</v>
      </c>
      <c r="I162" s="48" t="s">
        <v>102</v>
      </c>
      <c r="J162" s="48" t="s">
        <v>139</v>
      </c>
      <c r="K162" s="48">
        <v>9849712918</v>
      </c>
      <c r="L162" s="48">
        <v>1055</v>
      </c>
      <c r="M162" s="48">
        <v>1004</v>
      </c>
      <c r="N162" s="48">
        <v>2060</v>
      </c>
      <c r="O162" s="48">
        <v>69</v>
      </c>
      <c r="P162" s="48">
        <v>448</v>
      </c>
      <c r="Q162" s="48">
        <v>261</v>
      </c>
      <c r="R162" s="48">
        <v>226</v>
      </c>
      <c r="S162" s="48">
        <v>92</v>
      </c>
      <c r="T162" s="48">
        <v>439</v>
      </c>
      <c r="U162" s="48">
        <v>322</v>
      </c>
      <c r="V162" s="48">
        <v>202</v>
      </c>
      <c r="W162" s="48"/>
      <c r="X162" s="48"/>
      <c r="Y162" s="48"/>
      <c r="Z162" s="48"/>
      <c r="AA162" s="49"/>
      <c r="AB162" s="49"/>
      <c r="AC162" s="48">
        <v>87</v>
      </c>
    </row>
    <row r="163" spans="1:29">
      <c r="A163" s="48" t="s">
        <v>15</v>
      </c>
      <c r="B163" s="48" t="s">
        <v>389</v>
      </c>
      <c r="C163" s="48" t="s">
        <v>415</v>
      </c>
      <c r="D163" s="48" t="s">
        <v>415</v>
      </c>
      <c r="E163" s="48" t="s">
        <v>90</v>
      </c>
      <c r="F163" s="48">
        <v>3</v>
      </c>
      <c r="G163" s="48" t="s">
        <v>416</v>
      </c>
      <c r="H163" s="48" t="s">
        <v>4</v>
      </c>
      <c r="I163" s="48" t="s">
        <v>119</v>
      </c>
      <c r="J163" s="48" t="s">
        <v>125</v>
      </c>
      <c r="K163" s="48">
        <v>9951288078</v>
      </c>
      <c r="L163" s="48">
        <v>1563</v>
      </c>
      <c r="M163" s="48">
        <v>1472</v>
      </c>
      <c r="N163" s="48">
        <v>3035</v>
      </c>
      <c r="O163" s="48">
        <v>85</v>
      </c>
      <c r="P163" s="48">
        <v>728</v>
      </c>
      <c r="Q163" s="48">
        <v>393</v>
      </c>
      <c r="R163" s="48">
        <v>266</v>
      </c>
      <c r="S163" s="48">
        <v>138</v>
      </c>
      <c r="T163" s="48">
        <v>771</v>
      </c>
      <c r="U163" s="48">
        <v>367</v>
      </c>
      <c r="V163" s="48">
        <v>287</v>
      </c>
      <c r="W163" s="48"/>
      <c r="X163" s="48"/>
      <c r="Y163" s="48"/>
      <c r="Z163" s="48"/>
      <c r="AA163" s="49"/>
      <c r="AB163" s="49"/>
      <c r="AC163" s="48">
        <v>79</v>
      </c>
    </row>
    <row r="164" spans="1:29">
      <c r="A164" s="48" t="s">
        <v>15</v>
      </c>
      <c r="B164" s="48" t="s">
        <v>389</v>
      </c>
      <c r="C164" s="48" t="s">
        <v>417</v>
      </c>
      <c r="D164" s="48" t="s">
        <v>417</v>
      </c>
      <c r="E164" s="48" t="s">
        <v>100</v>
      </c>
      <c r="F164" s="48">
        <v>1</v>
      </c>
      <c r="G164" s="48" t="s">
        <v>418</v>
      </c>
      <c r="H164" s="48" t="s">
        <v>92</v>
      </c>
      <c r="I164" s="48" t="s">
        <v>93</v>
      </c>
      <c r="J164" s="48" t="s">
        <v>125</v>
      </c>
      <c r="K164" s="48">
        <v>9704566267</v>
      </c>
      <c r="L164" s="48">
        <v>457</v>
      </c>
      <c r="M164" s="48">
        <v>462</v>
      </c>
      <c r="N164" s="48">
        <v>919</v>
      </c>
      <c r="O164" s="48">
        <v>22</v>
      </c>
      <c r="P164" s="48">
        <v>241</v>
      </c>
      <c r="Q164" s="48">
        <v>117</v>
      </c>
      <c r="R164" s="48">
        <v>82</v>
      </c>
      <c r="S164" s="48">
        <v>34</v>
      </c>
      <c r="T164" s="48">
        <v>248</v>
      </c>
      <c r="U164" s="48">
        <v>105</v>
      </c>
      <c r="V164" s="48">
        <v>70</v>
      </c>
      <c r="W164" s="48"/>
      <c r="X164" s="48"/>
      <c r="Y164" s="48"/>
      <c r="Z164" s="48"/>
      <c r="AA164" s="49"/>
      <c r="AB164" s="49"/>
      <c r="AC164" s="48">
        <v>61</v>
      </c>
    </row>
    <row r="165" spans="1:29">
      <c r="A165" s="48" t="s">
        <v>15</v>
      </c>
      <c r="B165" s="48" t="s">
        <v>389</v>
      </c>
      <c r="C165" s="48" t="s">
        <v>419</v>
      </c>
      <c r="D165" s="48" t="s">
        <v>419</v>
      </c>
      <c r="E165" s="48" t="s">
        <v>90</v>
      </c>
      <c r="F165" s="48">
        <v>4</v>
      </c>
      <c r="G165" s="48" t="s">
        <v>420</v>
      </c>
      <c r="H165" s="48" t="s">
        <v>92</v>
      </c>
      <c r="I165" s="48" t="s">
        <v>102</v>
      </c>
      <c r="J165" s="48" t="s">
        <v>139</v>
      </c>
      <c r="K165" s="48">
        <v>9246693679</v>
      </c>
      <c r="L165" s="48">
        <v>1303</v>
      </c>
      <c r="M165" s="48">
        <v>1252</v>
      </c>
      <c r="N165" s="48">
        <v>2556</v>
      </c>
      <c r="O165" s="48">
        <v>73</v>
      </c>
      <c r="P165" s="48">
        <v>549</v>
      </c>
      <c r="Q165" s="48">
        <v>388</v>
      </c>
      <c r="R165" s="48">
        <v>242</v>
      </c>
      <c r="S165" s="48">
        <v>113</v>
      </c>
      <c r="T165" s="48">
        <v>535</v>
      </c>
      <c r="U165" s="48">
        <v>377</v>
      </c>
      <c r="V165" s="48">
        <v>278</v>
      </c>
      <c r="W165" s="48"/>
      <c r="X165" s="48"/>
      <c r="Y165" s="48"/>
      <c r="Z165" s="48"/>
      <c r="AA165" s="49"/>
      <c r="AB165" s="49"/>
      <c r="AC165" s="48">
        <v>81</v>
      </c>
    </row>
    <row r="166" spans="1:29">
      <c r="A166" s="48" t="s">
        <v>15</v>
      </c>
      <c r="B166" s="48" t="s">
        <v>389</v>
      </c>
      <c r="C166" s="48" t="s">
        <v>421</v>
      </c>
      <c r="D166" s="48" t="s">
        <v>421</v>
      </c>
      <c r="E166" s="48" t="s">
        <v>90</v>
      </c>
      <c r="F166" s="48">
        <v>5</v>
      </c>
      <c r="G166" s="48" t="s">
        <v>422</v>
      </c>
      <c r="H166" s="48" t="s">
        <v>92</v>
      </c>
      <c r="I166" s="48" t="s">
        <v>119</v>
      </c>
      <c r="J166" s="48"/>
      <c r="K166" s="48">
        <v>9908419954</v>
      </c>
      <c r="L166" s="52">
        <v>2935</v>
      </c>
      <c r="M166" s="48">
        <v>2756</v>
      </c>
      <c r="N166" s="48">
        <v>5730</v>
      </c>
      <c r="O166" s="48">
        <v>170</v>
      </c>
      <c r="P166" s="48">
        <v>1246</v>
      </c>
      <c r="Q166" s="48">
        <v>756</v>
      </c>
      <c r="R166" s="48">
        <v>582</v>
      </c>
      <c r="S166" s="48">
        <v>210</v>
      </c>
      <c r="T166" s="52">
        <v>1391</v>
      </c>
      <c r="U166" s="48">
        <v>791</v>
      </c>
      <c r="V166" s="48">
        <v>542</v>
      </c>
      <c r="W166" s="48"/>
      <c r="X166" s="52"/>
      <c r="Y166" s="52"/>
      <c r="Z166" s="48"/>
      <c r="AA166" s="49"/>
      <c r="AB166" s="49"/>
      <c r="AC166" s="48">
        <v>85</v>
      </c>
    </row>
    <row r="167" spans="1:29">
      <c r="A167" s="48" t="s">
        <v>15</v>
      </c>
      <c r="B167" s="48" t="s">
        <v>389</v>
      </c>
      <c r="C167" s="48" t="s">
        <v>423</v>
      </c>
      <c r="D167" s="48" t="s">
        <v>423</v>
      </c>
      <c r="E167" s="48" t="s">
        <v>90</v>
      </c>
      <c r="F167" s="48">
        <v>3</v>
      </c>
      <c r="G167" s="48" t="s">
        <v>424</v>
      </c>
      <c r="H167" s="48" t="s">
        <v>92</v>
      </c>
      <c r="I167" s="48" t="s">
        <v>142</v>
      </c>
      <c r="J167" s="48"/>
      <c r="K167" s="48">
        <v>9393111949</v>
      </c>
      <c r="L167" s="48">
        <v>1661</v>
      </c>
      <c r="M167" s="48">
        <v>1600</v>
      </c>
      <c r="N167" s="48">
        <v>3263</v>
      </c>
      <c r="O167" s="48">
        <v>113</v>
      </c>
      <c r="P167" s="48">
        <v>697</v>
      </c>
      <c r="Q167" s="48">
        <v>461</v>
      </c>
      <c r="R167" s="48">
        <v>329</v>
      </c>
      <c r="S167" s="48">
        <v>170</v>
      </c>
      <c r="T167" s="48">
        <v>761</v>
      </c>
      <c r="U167" s="48">
        <v>438</v>
      </c>
      <c r="V167" s="48">
        <v>291</v>
      </c>
      <c r="W167" s="48"/>
      <c r="X167" s="48"/>
      <c r="Y167" s="52"/>
      <c r="Z167" s="52"/>
      <c r="AA167" s="49"/>
      <c r="AB167" s="49"/>
      <c r="AC167" s="48">
        <v>79</v>
      </c>
    </row>
    <row r="168" spans="1:29">
      <c r="A168" s="48" t="s">
        <v>15</v>
      </c>
      <c r="B168" s="48" t="s">
        <v>389</v>
      </c>
      <c r="C168" s="48" t="s">
        <v>423</v>
      </c>
      <c r="D168" s="48" t="s">
        <v>425</v>
      </c>
      <c r="E168" s="48" t="s">
        <v>90</v>
      </c>
      <c r="F168" s="48">
        <v>1</v>
      </c>
      <c r="G168" s="48" t="s">
        <v>424</v>
      </c>
      <c r="H168" s="48" t="s">
        <v>92</v>
      </c>
      <c r="I168" s="48" t="s">
        <v>142</v>
      </c>
      <c r="J168" s="48"/>
      <c r="K168" s="48">
        <v>9393111949</v>
      </c>
      <c r="L168" s="48">
        <v>561</v>
      </c>
      <c r="M168" s="48">
        <v>580</v>
      </c>
      <c r="N168" s="48">
        <v>1141</v>
      </c>
      <c r="O168" s="48">
        <v>38</v>
      </c>
      <c r="P168" s="48">
        <v>286</v>
      </c>
      <c r="Q168" s="48">
        <v>153</v>
      </c>
      <c r="R168" s="48">
        <v>103</v>
      </c>
      <c r="S168" s="48">
        <v>63</v>
      </c>
      <c r="T168" s="48">
        <v>284</v>
      </c>
      <c r="U168" s="48">
        <v>140</v>
      </c>
      <c r="V168" s="48">
        <v>74</v>
      </c>
      <c r="W168" s="48"/>
      <c r="X168" s="48"/>
      <c r="Y168" s="52"/>
      <c r="Z168" s="52"/>
      <c r="AA168" s="49"/>
      <c r="AB168" s="49"/>
      <c r="AC168" s="48">
        <v>79</v>
      </c>
    </row>
    <row r="169" spans="1:29">
      <c r="A169" s="48" t="s">
        <v>15</v>
      </c>
      <c r="B169" s="48" t="s">
        <v>389</v>
      </c>
      <c r="C169" s="48" t="s">
        <v>426</v>
      </c>
      <c r="D169" s="48" t="s">
        <v>426</v>
      </c>
      <c r="E169" s="48" t="s">
        <v>90</v>
      </c>
      <c r="F169" s="48">
        <v>6</v>
      </c>
      <c r="G169" s="48" t="s">
        <v>427</v>
      </c>
      <c r="H169" s="48" t="s">
        <v>279</v>
      </c>
      <c r="I169" s="48" t="s">
        <v>113</v>
      </c>
      <c r="J169" s="48"/>
      <c r="K169" s="48">
        <v>9676802086</v>
      </c>
      <c r="L169" s="48">
        <v>2477</v>
      </c>
      <c r="M169" s="48">
        <v>2314</v>
      </c>
      <c r="N169" s="48">
        <v>4793</v>
      </c>
      <c r="O169" s="48">
        <v>185</v>
      </c>
      <c r="P169" s="48">
        <v>1160</v>
      </c>
      <c r="Q169" s="48">
        <v>619</v>
      </c>
      <c r="R169" s="48">
        <v>350</v>
      </c>
      <c r="S169" s="48">
        <v>233</v>
      </c>
      <c r="T169" s="48">
        <v>1272</v>
      </c>
      <c r="U169" s="48">
        <v>593</v>
      </c>
      <c r="V169" s="48">
        <v>379</v>
      </c>
      <c r="W169" s="48"/>
      <c r="X169" s="48"/>
      <c r="Y169" s="48"/>
      <c r="Z169" s="48"/>
      <c r="AA169" s="49"/>
      <c r="AB169" s="49"/>
      <c r="AC169" s="48">
        <v>91</v>
      </c>
    </row>
    <row r="170" spans="1:29">
      <c r="A170" s="48" t="s">
        <v>15</v>
      </c>
      <c r="B170" s="48" t="s">
        <v>389</v>
      </c>
      <c r="C170" s="48" t="s">
        <v>428</v>
      </c>
      <c r="D170" s="48" t="s">
        <v>428</v>
      </c>
      <c r="E170" s="48" t="s">
        <v>95</v>
      </c>
      <c r="F170" s="48">
        <v>15</v>
      </c>
      <c r="G170" s="48" t="s">
        <v>429</v>
      </c>
      <c r="H170" s="48" t="s">
        <v>4</v>
      </c>
      <c r="I170" s="48" t="s">
        <v>113</v>
      </c>
      <c r="J170" s="48"/>
      <c r="K170" s="48">
        <v>9866439496</v>
      </c>
      <c r="L170" s="48">
        <v>6684</v>
      </c>
      <c r="M170" s="48">
        <v>7205</v>
      </c>
      <c r="N170" s="48">
        <v>13896</v>
      </c>
      <c r="O170" s="48">
        <v>439</v>
      </c>
      <c r="P170" s="48">
        <v>3262</v>
      </c>
      <c r="Q170" s="48">
        <v>1948</v>
      </c>
      <c r="R170" s="48">
        <v>1555</v>
      </c>
      <c r="S170" s="48">
        <v>526</v>
      </c>
      <c r="T170" s="48">
        <v>3174</v>
      </c>
      <c r="U170" s="48">
        <v>1720</v>
      </c>
      <c r="V170" s="48">
        <v>1263</v>
      </c>
      <c r="W170" s="48"/>
      <c r="X170" s="48"/>
      <c r="Y170" s="48"/>
      <c r="Z170" s="48"/>
      <c r="AA170" s="49"/>
      <c r="AB170" s="49"/>
      <c r="AC170" s="48">
        <v>74</v>
      </c>
    </row>
    <row r="171" spans="1:29">
      <c r="A171" s="48" t="s">
        <v>10</v>
      </c>
      <c r="B171" s="48" t="s">
        <v>430</v>
      </c>
      <c r="C171" s="48" t="s">
        <v>431</v>
      </c>
      <c r="D171" s="48" t="s">
        <v>431</v>
      </c>
      <c r="E171" s="48" t="s">
        <v>90</v>
      </c>
      <c r="F171" s="48">
        <v>3</v>
      </c>
      <c r="G171" s="48" t="s">
        <v>432</v>
      </c>
      <c r="H171" s="48" t="s">
        <v>92</v>
      </c>
      <c r="I171" s="48" t="s">
        <v>102</v>
      </c>
      <c r="J171" s="48" t="s">
        <v>433</v>
      </c>
      <c r="K171" s="48">
        <v>9705934446</v>
      </c>
      <c r="L171" s="48">
        <v>1373</v>
      </c>
      <c r="M171" s="48">
        <v>1278</v>
      </c>
      <c r="N171" s="48">
        <v>2651</v>
      </c>
      <c r="O171" s="48">
        <v>81</v>
      </c>
      <c r="P171" s="48">
        <v>659</v>
      </c>
      <c r="Q171" s="52">
        <v>355</v>
      </c>
      <c r="R171" s="52">
        <v>183</v>
      </c>
      <c r="S171" s="48">
        <v>111</v>
      </c>
      <c r="T171" s="48">
        <v>739</v>
      </c>
      <c r="U171" s="48">
        <v>330</v>
      </c>
      <c r="V171" s="48">
        <v>193</v>
      </c>
      <c r="W171" s="48"/>
      <c r="X171" s="48"/>
      <c r="Y171" s="52"/>
      <c r="Z171" s="52"/>
      <c r="AA171" s="49"/>
      <c r="AB171" s="49"/>
      <c r="AC171" s="48">
        <v>32</v>
      </c>
    </row>
    <row r="172" spans="1:29">
      <c r="A172" s="48" t="s">
        <v>10</v>
      </c>
      <c r="B172" s="48" t="s">
        <v>430</v>
      </c>
      <c r="C172" s="48" t="s">
        <v>434</v>
      </c>
      <c r="D172" s="48" t="s">
        <v>434</v>
      </c>
      <c r="E172" s="48" t="s">
        <v>90</v>
      </c>
      <c r="F172" s="48">
        <v>2</v>
      </c>
      <c r="G172" s="48" t="s">
        <v>435</v>
      </c>
      <c r="H172" s="48" t="s">
        <v>92</v>
      </c>
      <c r="I172" s="48" t="s">
        <v>436</v>
      </c>
      <c r="J172" s="48" t="s">
        <v>437</v>
      </c>
      <c r="K172" s="48">
        <v>9666243208</v>
      </c>
      <c r="L172" s="48">
        <v>641</v>
      </c>
      <c r="M172" s="48">
        <v>672</v>
      </c>
      <c r="N172" s="48">
        <v>1313</v>
      </c>
      <c r="O172" s="48">
        <v>39</v>
      </c>
      <c r="P172" s="48">
        <v>297</v>
      </c>
      <c r="Q172" s="48">
        <v>196</v>
      </c>
      <c r="R172" s="48">
        <v>140</v>
      </c>
      <c r="S172" s="48">
        <v>38</v>
      </c>
      <c r="T172" s="48">
        <v>309</v>
      </c>
      <c r="U172" s="48">
        <v>177</v>
      </c>
      <c r="V172" s="48">
        <v>117</v>
      </c>
      <c r="W172" s="48"/>
      <c r="X172" s="48"/>
      <c r="Y172" s="48"/>
      <c r="Z172" s="48"/>
      <c r="AA172" s="49"/>
      <c r="AB172" s="49"/>
      <c r="AC172" s="48">
        <v>32</v>
      </c>
    </row>
    <row r="173" spans="1:29">
      <c r="A173" s="48" t="s">
        <v>10</v>
      </c>
      <c r="B173" s="48" t="s">
        <v>430</v>
      </c>
      <c r="C173" s="48" t="s">
        <v>438</v>
      </c>
      <c r="D173" s="48" t="s">
        <v>438</v>
      </c>
      <c r="E173" s="48" t="s">
        <v>90</v>
      </c>
      <c r="F173" s="48">
        <v>1</v>
      </c>
      <c r="G173" s="48" t="s">
        <v>439</v>
      </c>
      <c r="H173" s="48" t="s">
        <v>92</v>
      </c>
      <c r="I173" s="48" t="s">
        <v>440</v>
      </c>
      <c r="J173" s="48"/>
      <c r="K173" s="48">
        <v>9618222288</v>
      </c>
      <c r="L173" s="52">
        <v>375</v>
      </c>
      <c r="M173" s="52">
        <v>435</v>
      </c>
      <c r="N173" s="48">
        <v>810</v>
      </c>
      <c r="O173" s="48">
        <v>23</v>
      </c>
      <c r="P173" s="48">
        <v>199</v>
      </c>
      <c r="Q173" s="48">
        <v>128</v>
      </c>
      <c r="R173" s="48">
        <v>85</v>
      </c>
      <c r="S173" s="48">
        <v>22</v>
      </c>
      <c r="T173" s="48">
        <v>182</v>
      </c>
      <c r="U173" s="48">
        <v>108</v>
      </c>
      <c r="V173" s="48">
        <v>63</v>
      </c>
      <c r="W173" s="48"/>
      <c r="X173" s="52"/>
      <c r="Y173" s="52"/>
      <c r="Z173" s="48"/>
      <c r="AA173" s="49"/>
      <c r="AB173" s="49"/>
      <c r="AC173" s="48">
        <v>83</v>
      </c>
    </row>
    <row r="174" spans="1:29">
      <c r="A174" s="48" t="s">
        <v>10</v>
      </c>
      <c r="B174" s="48" t="s">
        <v>430</v>
      </c>
      <c r="C174" s="48" t="s">
        <v>441</v>
      </c>
      <c r="D174" s="48" t="s">
        <v>441</v>
      </c>
      <c r="E174" s="48" t="s">
        <v>90</v>
      </c>
      <c r="F174" s="48">
        <v>13</v>
      </c>
      <c r="G174" s="48" t="s">
        <v>442</v>
      </c>
      <c r="H174" s="48" t="s">
        <v>92</v>
      </c>
      <c r="I174" s="48" t="s">
        <v>113</v>
      </c>
      <c r="J174" s="48" t="s">
        <v>114</v>
      </c>
      <c r="K174" s="48">
        <v>7386093635</v>
      </c>
      <c r="L174" s="48">
        <v>6140</v>
      </c>
      <c r="M174" s="48">
        <v>5800</v>
      </c>
      <c r="N174" s="48">
        <v>11940</v>
      </c>
      <c r="O174" s="48">
        <v>269</v>
      </c>
      <c r="P174" s="48">
        <v>2973</v>
      </c>
      <c r="Q174" s="48">
        <v>1620</v>
      </c>
      <c r="R174" s="48">
        <v>938</v>
      </c>
      <c r="S174" s="48">
        <v>433</v>
      </c>
      <c r="T174" s="48">
        <v>3158</v>
      </c>
      <c r="U174" s="48">
        <v>1634</v>
      </c>
      <c r="V174" s="48">
        <v>915</v>
      </c>
      <c r="W174" s="48"/>
      <c r="X174" s="48"/>
      <c r="Y174" s="48"/>
      <c r="Z174" s="48"/>
      <c r="AA174" s="49"/>
      <c r="AB174" s="49"/>
      <c r="AC174" s="48">
        <v>81</v>
      </c>
    </row>
    <row r="175" spans="1:29">
      <c r="A175" s="48" t="s">
        <v>10</v>
      </c>
      <c r="B175" s="48" t="s">
        <v>430</v>
      </c>
      <c r="C175" s="48" t="s">
        <v>443</v>
      </c>
      <c r="D175" s="48" t="s">
        <v>443</v>
      </c>
      <c r="E175" s="48" t="s">
        <v>90</v>
      </c>
      <c r="F175" s="48">
        <v>5</v>
      </c>
      <c r="G175" s="48" t="s">
        <v>444</v>
      </c>
      <c r="H175" s="48" t="s">
        <v>92</v>
      </c>
      <c r="I175" s="48" t="s">
        <v>142</v>
      </c>
      <c r="J175" s="48" t="s">
        <v>114</v>
      </c>
      <c r="K175" s="48">
        <v>6281745507</v>
      </c>
      <c r="L175" s="48">
        <v>1914</v>
      </c>
      <c r="M175" s="48">
        <v>1938</v>
      </c>
      <c r="N175" s="48">
        <v>3852</v>
      </c>
      <c r="O175" s="48">
        <v>98</v>
      </c>
      <c r="P175" s="48">
        <v>1040</v>
      </c>
      <c r="Q175" s="48">
        <v>486</v>
      </c>
      <c r="R175" s="48">
        <v>314</v>
      </c>
      <c r="S175" s="48">
        <v>173</v>
      </c>
      <c r="T175" s="48">
        <v>1084</v>
      </c>
      <c r="U175" s="48">
        <v>407</v>
      </c>
      <c r="V175" s="48">
        <v>250</v>
      </c>
      <c r="W175" s="48"/>
      <c r="X175" s="48"/>
      <c r="Y175" s="48"/>
      <c r="Z175" s="48"/>
      <c r="AA175" s="49"/>
      <c r="AB175" s="49"/>
      <c r="AC175" s="48">
        <v>83</v>
      </c>
    </row>
    <row r="176" spans="1:29">
      <c r="A176" s="48" t="s">
        <v>10</v>
      </c>
      <c r="B176" s="48" t="s">
        <v>430</v>
      </c>
      <c r="C176" s="48" t="s">
        <v>445</v>
      </c>
      <c r="D176" s="48" t="s">
        <v>445</v>
      </c>
      <c r="E176" s="48" t="s">
        <v>90</v>
      </c>
      <c r="F176" s="48">
        <v>2</v>
      </c>
      <c r="G176" s="48" t="s">
        <v>446</v>
      </c>
      <c r="H176" s="48" t="s">
        <v>92</v>
      </c>
      <c r="I176" s="48" t="s">
        <v>97</v>
      </c>
      <c r="J176" s="48" t="s">
        <v>165</v>
      </c>
      <c r="K176" s="48">
        <v>9959354489</v>
      </c>
      <c r="L176" s="48">
        <v>1136</v>
      </c>
      <c r="M176" s="48">
        <v>1110</v>
      </c>
      <c r="N176" s="48">
        <v>2246</v>
      </c>
      <c r="O176" s="48">
        <v>49</v>
      </c>
      <c r="P176" s="48">
        <v>548</v>
      </c>
      <c r="Q176" s="48">
        <v>280</v>
      </c>
      <c r="R176" s="48">
        <v>233</v>
      </c>
      <c r="S176" s="48">
        <v>70</v>
      </c>
      <c r="T176" s="48">
        <v>574</v>
      </c>
      <c r="U176" s="48">
        <v>277</v>
      </c>
      <c r="V176" s="48">
        <v>215</v>
      </c>
      <c r="W176" s="48"/>
      <c r="X176" s="48"/>
      <c r="Y176" s="48"/>
      <c r="Z176" s="48"/>
      <c r="AA176" s="49"/>
      <c r="AB176" s="49"/>
      <c r="AC176" s="48">
        <v>49</v>
      </c>
    </row>
    <row r="177" spans="1:29">
      <c r="A177" s="48" t="s">
        <v>10</v>
      </c>
      <c r="B177" s="48" t="s">
        <v>430</v>
      </c>
      <c r="C177" s="48" t="s">
        <v>447</v>
      </c>
      <c r="D177" s="48" t="s">
        <v>447</v>
      </c>
      <c r="E177" s="48" t="s">
        <v>90</v>
      </c>
      <c r="F177" s="48">
        <v>7</v>
      </c>
      <c r="G177" s="48" t="s">
        <v>448</v>
      </c>
      <c r="H177" s="48" t="s">
        <v>92</v>
      </c>
      <c r="I177" s="48" t="s">
        <v>97</v>
      </c>
      <c r="J177" s="48" t="s">
        <v>136</v>
      </c>
      <c r="K177" s="48">
        <v>9290933688</v>
      </c>
      <c r="L177" s="52">
        <v>4270</v>
      </c>
      <c r="M177" s="48">
        <v>3852</v>
      </c>
      <c r="N177" s="48">
        <v>8122</v>
      </c>
      <c r="O177" s="48">
        <v>177</v>
      </c>
      <c r="P177" s="48">
        <v>1996</v>
      </c>
      <c r="Q177" s="48">
        <v>1002</v>
      </c>
      <c r="R177" s="48">
        <v>677</v>
      </c>
      <c r="S177" s="48">
        <v>355</v>
      </c>
      <c r="T177" s="52">
        <v>2285</v>
      </c>
      <c r="U177" s="48">
        <v>1020</v>
      </c>
      <c r="V177" s="48">
        <v>610</v>
      </c>
      <c r="W177" s="48"/>
      <c r="X177" s="52"/>
      <c r="Y177" s="52"/>
      <c r="Z177" s="52"/>
      <c r="AA177" s="49"/>
      <c r="AB177" s="49"/>
      <c r="AC177" s="48">
        <v>78</v>
      </c>
    </row>
    <row r="178" spans="1:29">
      <c r="A178" s="48" t="s">
        <v>10</v>
      </c>
      <c r="B178" s="48" t="s">
        <v>430</v>
      </c>
      <c r="C178" s="54" t="s">
        <v>449</v>
      </c>
      <c r="D178" s="54" t="s">
        <v>449</v>
      </c>
      <c r="E178" s="48" t="s">
        <v>90</v>
      </c>
      <c r="F178" s="48">
        <v>3</v>
      </c>
      <c r="G178" s="48" t="s">
        <v>450</v>
      </c>
      <c r="H178" s="48" t="s">
        <v>4</v>
      </c>
      <c r="I178" s="48" t="s">
        <v>93</v>
      </c>
      <c r="J178" s="48" t="s">
        <v>451</v>
      </c>
      <c r="K178" s="48">
        <v>9618222288</v>
      </c>
      <c r="L178" s="48">
        <v>1600</v>
      </c>
      <c r="M178" s="48">
        <v>1554</v>
      </c>
      <c r="N178" s="48">
        <v>3154</v>
      </c>
      <c r="O178" s="48">
        <v>80</v>
      </c>
      <c r="P178" s="48">
        <v>853</v>
      </c>
      <c r="Q178" s="48">
        <v>391</v>
      </c>
      <c r="R178" s="48">
        <v>230</v>
      </c>
      <c r="S178" s="48">
        <v>134</v>
      </c>
      <c r="T178" s="48">
        <v>869</v>
      </c>
      <c r="U178" s="48">
        <v>396</v>
      </c>
      <c r="V178" s="48">
        <v>201</v>
      </c>
      <c r="W178" s="48"/>
      <c r="X178" s="48"/>
      <c r="Y178" s="48"/>
      <c r="Z178" s="48"/>
      <c r="AA178" s="49"/>
      <c r="AB178" s="49"/>
      <c r="AC178" s="48">
        <v>66</v>
      </c>
    </row>
    <row r="179" spans="1:29">
      <c r="A179" s="48" t="s">
        <v>10</v>
      </c>
      <c r="B179" s="48" t="s">
        <v>430</v>
      </c>
      <c r="C179" s="48" t="s">
        <v>378</v>
      </c>
      <c r="D179" s="48" t="s">
        <v>378</v>
      </c>
      <c r="E179" s="48" t="s">
        <v>90</v>
      </c>
      <c r="F179" s="48">
        <v>7</v>
      </c>
      <c r="G179" s="48" t="s">
        <v>452</v>
      </c>
      <c r="H179" s="48" t="s">
        <v>92</v>
      </c>
      <c r="I179" s="48" t="s">
        <v>119</v>
      </c>
      <c r="J179" s="48" t="s">
        <v>136</v>
      </c>
      <c r="K179" s="48">
        <v>9848074541</v>
      </c>
      <c r="L179" s="48">
        <v>3570</v>
      </c>
      <c r="M179" s="48">
        <v>3251</v>
      </c>
      <c r="N179" s="48">
        <v>6821</v>
      </c>
      <c r="O179" s="48">
        <v>169</v>
      </c>
      <c r="P179" s="48">
        <v>1651</v>
      </c>
      <c r="Q179" s="48">
        <v>864</v>
      </c>
      <c r="R179" s="48">
        <v>567</v>
      </c>
      <c r="S179" s="48">
        <v>284</v>
      </c>
      <c r="T179" s="48">
        <v>1787</v>
      </c>
      <c r="U179" s="48">
        <v>957</v>
      </c>
      <c r="V179" s="48">
        <v>542</v>
      </c>
      <c r="W179" s="48"/>
      <c r="X179" s="48"/>
      <c r="Y179" s="48"/>
      <c r="Z179" s="48"/>
      <c r="AA179" s="49"/>
      <c r="AB179" s="49"/>
      <c r="AC179" s="48">
        <v>71</v>
      </c>
    </row>
    <row r="180" spans="1:29">
      <c r="A180" s="48" t="s">
        <v>10</v>
      </c>
      <c r="B180" s="48" t="s">
        <v>430</v>
      </c>
      <c r="C180" s="48" t="s">
        <v>453</v>
      </c>
      <c r="D180" s="48" t="s">
        <v>453</v>
      </c>
      <c r="E180" s="48" t="s">
        <v>90</v>
      </c>
      <c r="F180" s="48">
        <v>3</v>
      </c>
      <c r="G180" s="48" t="s">
        <v>454</v>
      </c>
      <c r="H180" s="48" t="s">
        <v>4</v>
      </c>
      <c r="I180" s="48" t="s">
        <v>93</v>
      </c>
      <c r="J180" s="48" t="s">
        <v>139</v>
      </c>
      <c r="K180" s="48">
        <v>9848657992</v>
      </c>
      <c r="L180" s="48">
        <v>1576</v>
      </c>
      <c r="M180" s="48">
        <v>1562</v>
      </c>
      <c r="N180" s="48">
        <v>3138</v>
      </c>
      <c r="O180" s="48">
        <v>133</v>
      </c>
      <c r="P180" s="48">
        <v>754</v>
      </c>
      <c r="Q180" s="48">
        <v>388</v>
      </c>
      <c r="R180" s="48">
        <v>287</v>
      </c>
      <c r="S180" s="48">
        <v>125</v>
      </c>
      <c r="T180" s="48">
        <v>833</v>
      </c>
      <c r="U180" s="48">
        <v>383</v>
      </c>
      <c r="V180" s="48">
        <v>235</v>
      </c>
      <c r="W180" s="48"/>
      <c r="X180" s="48"/>
      <c r="Y180" s="48"/>
      <c r="Z180" s="48"/>
      <c r="AA180" s="49"/>
      <c r="AB180" s="49"/>
      <c r="AC180" s="48">
        <v>31</v>
      </c>
    </row>
    <row r="181" spans="1:29">
      <c r="A181" s="48" t="s">
        <v>10</v>
      </c>
      <c r="B181" s="48" t="s">
        <v>166</v>
      </c>
      <c r="C181" s="48" t="s">
        <v>455</v>
      </c>
      <c r="D181" s="48" t="s">
        <v>455</v>
      </c>
      <c r="E181" s="48" t="s">
        <v>90</v>
      </c>
      <c r="F181" s="48">
        <v>1</v>
      </c>
      <c r="G181" s="48" t="s">
        <v>456</v>
      </c>
      <c r="H181" s="48" t="s">
        <v>92</v>
      </c>
      <c r="I181" s="48" t="s">
        <v>93</v>
      </c>
      <c r="J181" s="48" t="s">
        <v>158</v>
      </c>
      <c r="K181" s="48">
        <v>9866155926</v>
      </c>
      <c r="L181" s="48">
        <v>398</v>
      </c>
      <c r="M181" s="48">
        <v>392</v>
      </c>
      <c r="N181" s="48">
        <v>790</v>
      </c>
      <c r="O181" s="48">
        <v>21</v>
      </c>
      <c r="P181" s="48">
        <v>175</v>
      </c>
      <c r="Q181" s="48">
        <v>108</v>
      </c>
      <c r="R181" s="48">
        <v>88</v>
      </c>
      <c r="S181" s="48">
        <v>36</v>
      </c>
      <c r="T181" s="48">
        <v>207</v>
      </c>
      <c r="U181" s="48">
        <v>104</v>
      </c>
      <c r="V181" s="48">
        <v>51</v>
      </c>
      <c r="W181" s="48"/>
      <c r="X181" s="48"/>
      <c r="Y181" s="48"/>
      <c r="Z181" s="48"/>
      <c r="AA181" s="49"/>
      <c r="AB181" s="49"/>
      <c r="AC181" s="48"/>
    </row>
    <row r="182" spans="1:29">
      <c r="A182" s="48" t="s">
        <v>10</v>
      </c>
      <c r="B182" s="48" t="s">
        <v>166</v>
      </c>
      <c r="C182" s="48" t="s">
        <v>457</v>
      </c>
      <c r="D182" s="48" t="s">
        <v>457</v>
      </c>
      <c r="E182" s="48" t="s">
        <v>90</v>
      </c>
      <c r="F182" s="48">
        <v>4</v>
      </c>
      <c r="G182" s="48" t="s">
        <v>458</v>
      </c>
      <c r="H182" s="48" t="s">
        <v>4</v>
      </c>
      <c r="I182" s="48" t="s">
        <v>119</v>
      </c>
      <c r="J182" s="48" t="s">
        <v>288</v>
      </c>
      <c r="K182" s="48">
        <v>9000221944</v>
      </c>
      <c r="L182" s="48">
        <v>2170</v>
      </c>
      <c r="M182" s="48">
        <v>2096</v>
      </c>
      <c r="N182" s="48">
        <v>4266</v>
      </c>
      <c r="O182" s="48">
        <v>127</v>
      </c>
      <c r="P182" s="48">
        <v>1078</v>
      </c>
      <c r="Q182" s="48">
        <v>528</v>
      </c>
      <c r="R182" s="48">
        <v>363</v>
      </c>
      <c r="S182" s="48">
        <v>205</v>
      </c>
      <c r="T182" s="48">
        <v>1181</v>
      </c>
      <c r="U182" s="48">
        <v>524</v>
      </c>
      <c r="V182" s="48">
        <v>260</v>
      </c>
      <c r="W182" s="48"/>
      <c r="X182" s="48"/>
      <c r="Y182" s="48"/>
      <c r="Z182" s="48"/>
      <c r="AA182" s="49"/>
      <c r="AB182" s="49"/>
      <c r="AC182" s="48"/>
    </row>
    <row r="183" spans="1:29">
      <c r="A183" s="48" t="s">
        <v>10</v>
      </c>
      <c r="B183" s="48" t="s">
        <v>166</v>
      </c>
      <c r="C183" s="48" t="s">
        <v>459</v>
      </c>
      <c r="D183" s="48" t="s">
        <v>459</v>
      </c>
      <c r="E183" s="48" t="s">
        <v>90</v>
      </c>
      <c r="F183" s="48">
        <v>2</v>
      </c>
      <c r="G183" s="48" t="s">
        <v>460</v>
      </c>
      <c r="H183" s="48" t="s">
        <v>4</v>
      </c>
      <c r="I183" s="48" t="s">
        <v>93</v>
      </c>
      <c r="J183" s="48" t="s">
        <v>98</v>
      </c>
      <c r="K183" s="48">
        <v>9701945143</v>
      </c>
      <c r="L183" s="48">
        <v>1046</v>
      </c>
      <c r="M183" s="48">
        <v>1001</v>
      </c>
      <c r="N183" s="48">
        <v>2047</v>
      </c>
      <c r="O183" s="48">
        <v>58</v>
      </c>
      <c r="P183" s="48">
        <v>511</v>
      </c>
      <c r="Q183" s="48">
        <v>255</v>
      </c>
      <c r="R183" s="48">
        <v>177</v>
      </c>
      <c r="S183" s="48">
        <v>105</v>
      </c>
      <c r="T183" s="48">
        <v>508</v>
      </c>
      <c r="U183" s="48">
        <v>271</v>
      </c>
      <c r="V183" s="48">
        <v>162</v>
      </c>
      <c r="W183" s="48"/>
      <c r="X183" s="48"/>
      <c r="Y183" s="48"/>
      <c r="Z183" s="48"/>
      <c r="AA183" s="49"/>
      <c r="AB183" s="49"/>
      <c r="AC183" s="48"/>
    </row>
    <row r="184" spans="1:29">
      <c r="A184" s="48" t="s">
        <v>10</v>
      </c>
      <c r="B184" s="48" t="s">
        <v>166</v>
      </c>
      <c r="C184" s="48" t="s">
        <v>461</v>
      </c>
      <c r="D184" s="48" t="s">
        <v>462</v>
      </c>
      <c r="E184" s="48" t="s">
        <v>90</v>
      </c>
      <c r="F184" s="48">
        <v>2</v>
      </c>
      <c r="G184" s="48" t="e">
        <v>#N/A</v>
      </c>
      <c r="H184" s="48"/>
      <c r="I184" s="48"/>
      <c r="J184" s="48"/>
      <c r="K184" s="48"/>
      <c r="L184" s="48">
        <v>956</v>
      </c>
      <c r="M184" s="48">
        <v>960</v>
      </c>
      <c r="N184" s="48">
        <v>1916</v>
      </c>
      <c r="O184" s="48">
        <v>74</v>
      </c>
      <c r="P184" s="48">
        <v>386</v>
      </c>
      <c r="Q184" s="48">
        <v>268</v>
      </c>
      <c r="R184" s="48">
        <v>232</v>
      </c>
      <c r="S184" s="48">
        <v>70</v>
      </c>
      <c r="T184" s="48">
        <v>440</v>
      </c>
      <c r="U184" s="48">
        <v>266</v>
      </c>
      <c r="V184" s="48">
        <v>180</v>
      </c>
      <c r="W184" s="48"/>
      <c r="X184" s="48"/>
      <c r="Y184" s="48"/>
      <c r="Z184" s="48"/>
      <c r="AA184" s="49"/>
      <c r="AB184" s="49"/>
      <c r="AC184" s="48" t="e">
        <v>#N/A</v>
      </c>
    </row>
    <row r="185" spans="1:29">
      <c r="A185" s="48" t="s">
        <v>10</v>
      </c>
      <c r="B185" s="48" t="s">
        <v>166</v>
      </c>
      <c r="C185" s="48" t="s">
        <v>463</v>
      </c>
      <c r="D185" s="48" t="s">
        <v>463</v>
      </c>
      <c r="E185" s="48" t="s">
        <v>90</v>
      </c>
      <c r="F185" s="48">
        <v>4</v>
      </c>
      <c r="G185" s="48" t="s">
        <v>464</v>
      </c>
      <c r="H185" s="48" t="s">
        <v>92</v>
      </c>
      <c r="I185" s="48" t="s">
        <v>119</v>
      </c>
      <c r="J185" s="48" t="s">
        <v>125</v>
      </c>
      <c r="K185" s="48">
        <v>9502957047</v>
      </c>
      <c r="L185" s="48">
        <v>2341</v>
      </c>
      <c r="M185" s="48">
        <v>2230</v>
      </c>
      <c r="N185" s="48">
        <v>4571</v>
      </c>
      <c r="O185" s="48">
        <v>167</v>
      </c>
      <c r="P185" s="48">
        <v>967</v>
      </c>
      <c r="Q185" s="48">
        <v>618</v>
      </c>
      <c r="R185" s="48">
        <v>478</v>
      </c>
      <c r="S185" s="48">
        <v>235</v>
      </c>
      <c r="T185" s="48">
        <v>1044</v>
      </c>
      <c r="U185" s="48">
        <v>628</v>
      </c>
      <c r="V185" s="48">
        <v>434</v>
      </c>
      <c r="W185" s="48"/>
      <c r="X185" s="48"/>
      <c r="Y185" s="48"/>
      <c r="Z185" s="48"/>
      <c r="AA185" s="49"/>
      <c r="AB185" s="49"/>
      <c r="AC185" s="48"/>
    </row>
    <row r="186" spans="1:29">
      <c r="A186" s="48" t="s">
        <v>10</v>
      </c>
      <c r="B186" s="48" t="s">
        <v>166</v>
      </c>
      <c r="C186" s="48" t="s">
        <v>465</v>
      </c>
      <c r="D186" s="48" t="s">
        <v>465</v>
      </c>
      <c r="E186" s="48" t="s">
        <v>95</v>
      </c>
      <c r="F186" s="48">
        <v>6</v>
      </c>
      <c r="G186" s="48" t="s">
        <v>466</v>
      </c>
      <c r="H186" s="48" t="s">
        <v>92</v>
      </c>
      <c r="I186" s="48" t="s">
        <v>142</v>
      </c>
      <c r="J186" s="48" t="s">
        <v>467</v>
      </c>
      <c r="K186" s="48">
        <v>9440824419</v>
      </c>
      <c r="L186" s="48">
        <v>2651</v>
      </c>
      <c r="M186" s="48">
        <v>2603</v>
      </c>
      <c r="N186" s="48">
        <v>5254</v>
      </c>
      <c r="O186" s="48">
        <v>160</v>
      </c>
      <c r="P186" s="48">
        <v>1160</v>
      </c>
      <c r="Q186" s="48">
        <v>689</v>
      </c>
      <c r="R186" s="48">
        <v>594</v>
      </c>
      <c r="S186" s="48">
        <v>211</v>
      </c>
      <c r="T186" s="48">
        <v>1277</v>
      </c>
      <c r="U186" s="48">
        <v>678</v>
      </c>
      <c r="V186" s="48">
        <v>485</v>
      </c>
      <c r="W186" s="48"/>
      <c r="X186" s="48"/>
      <c r="Y186" s="48"/>
      <c r="Z186" s="48"/>
      <c r="AA186" s="49"/>
      <c r="AB186" s="49"/>
      <c r="AC186" s="48"/>
    </row>
    <row r="187" spans="1:29">
      <c r="A187" s="48" t="s">
        <v>10</v>
      </c>
      <c r="B187" s="48" t="s">
        <v>166</v>
      </c>
      <c r="C187" s="48" t="s">
        <v>468</v>
      </c>
      <c r="D187" s="48" t="s">
        <v>468</v>
      </c>
      <c r="E187" s="48" t="s">
        <v>90</v>
      </c>
      <c r="F187" s="48">
        <v>2</v>
      </c>
      <c r="G187" s="48" t="e">
        <v>#N/A</v>
      </c>
      <c r="H187" s="48"/>
      <c r="I187" s="48"/>
      <c r="J187" s="48"/>
      <c r="K187" s="48"/>
      <c r="L187" s="48">
        <v>889</v>
      </c>
      <c r="M187" s="48">
        <v>921</v>
      </c>
      <c r="N187" s="48">
        <v>1810</v>
      </c>
      <c r="O187" s="48">
        <v>70</v>
      </c>
      <c r="P187" s="48">
        <v>388</v>
      </c>
      <c r="Q187" s="48">
        <v>239</v>
      </c>
      <c r="R187" s="48">
        <v>224</v>
      </c>
      <c r="S187" s="48">
        <v>68</v>
      </c>
      <c r="T187" s="48">
        <v>389</v>
      </c>
      <c r="U187" s="48">
        <v>268</v>
      </c>
      <c r="V187" s="48">
        <v>164</v>
      </c>
      <c r="W187" s="48"/>
      <c r="X187" s="48"/>
      <c r="Y187" s="48"/>
      <c r="Z187" s="48"/>
      <c r="AA187" s="49"/>
      <c r="AB187" s="49"/>
      <c r="AC187" s="48" t="e">
        <v>#N/A</v>
      </c>
    </row>
    <row r="188" spans="1:29">
      <c r="A188" s="48" t="s">
        <v>10</v>
      </c>
      <c r="B188" s="48" t="s">
        <v>166</v>
      </c>
      <c r="C188" s="48" t="s">
        <v>469</v>
      </c>
      <c r="D188" s="48" t="s">
        <v>469</v>
      </c>
      <c r="E188" s="48" t="s">
        <v>90</v>
      </c>
      <c r="F188" s="48">
        <v>1</v>
      </c>
      <c r="G188" s="48" t="e">
        <v>#N/A</v>
      </c>
      <c r="H188" s="48"/>
      <c r="I188" s="48"/>
      <c r="J188" s="48"/>
      <c r="K188" s="48"/>
      <c r="L188" s="48">
        <v>533</v>
      </c>
      <c r="M188" s="48">
        <v>571</v>
      </c>
      <c r="N188" s="48">
        <v>1104</v>
      </c>
      <c r="O188" s="48">
        <v>38</v>
      </c>
      <c r="P188" s="48">
        <v>298</v>
      </c>
      <c r="Q188" s="48">
        <v>151</v>
      </c>
      <c r="R188" s="48">
        <v>84</v>
      </c>
      <c r="S188" s="48">
        <v>53</v>
      </c>
      <c r="T188" s="48">
        <v>248</v>
      </c>
      <c r="U188" s="48">
        <v>142</v>
      </c>
      <c r="V188" s="48">
        <v>90</v>
      </c>
      <c r="W188" s="48"/>
      <c r="X188" s="48"/>
      <c r="Y188" s="48"/>
      <c r="Z188" s="48"/>
      <c r="AA188" s="49"/>
      <c r="AB188" s="49"/>
      <c r="AC188" s="48" t="e">
        <v>#N/A</v>
      </c>
    </row>
    <row r="189" spans="1:29">
      <c r="A189" s="48" t="s">
        <v>10</v>
      </c>
      <c r="B189" s="48" t="s">
        <v>166</v>
      </c>
      <c r="C189" s="48" t="s">
        <v>166</v>
      </c>
      <c r="D189" s="48" t="s">
        <v>166</v>
      </c>
      <c r="E189" s="48" t="s">
        <v>90</v>
      </c>
      <c r="F189" s="48">
        <v>3</v>
      </c>
      <c r="G189" s="48" t="s">
        <v>470</v>
      </c>
      <c r="H189" s="48" t="s">
        <v>92</v>
      </c>
      <c r="I189" s="48" t="s">
        <v>102</v>
      </c>
      <c r="J189" s="48" t="s">
        <v>139</v>
      </c>
      <c r="K189" s="48">
        <v>9959676955</v>
      </c>
      <c r="L189" s="48">
        <v>1447</v>
      </c>
      <c r="M189" s="48">
        <v>1460</v>
      </c>
      <c r="N189" s="48">
        <v>2907</v>
      </c>
      <c r="O189" s="48">
        <v>88</v>
      </c>
      <c r="P189" s="48">
        <v>638</v>
      </c>
      <c r="Q189" s="48">
        <v>415</v>
      </c>
      <c r="R189" s="48">
        <v>319</v>
      </c>
      <c r="S189" s="48">
        <v>95</v>
      </c>
      <c r="T189" s="48">
        <v>670</v>
      </c>
      <c r="U189" s="48">
        <v>380</v>
      </c>
      <c r="V189" s="48">
        <v>302</v>
      </c>
      <c r="W189" s="48"/>
      <c r="X189" s="48"/>
      <c r="Y189" s="48"/>
      <c r="Z189" s="48"/>
      <c r="AA189" s="49"/>
      <c r="AB189" s="49"/>
      <c r="AC189" s="48"/>
    </row>
    <row r="190" spans="1:29">
      <c r="A190" s="48" t="s">
        <v>10</v>
      </c>
      <c r="B190" s="48" t="s">
        <v>166</v>
      </c>
      <c r="C190" s="48" t="s">
        <v>471</v>
      </c>
      <c r="D190" s="48" t="s">
        <v>471</v>
      </c>
      <c r="E190" s="48" t="s">
        <v>95</v>
      </c>
      <c r="F190" s="48">
        <v>2</v>
      </c>
      <c r="G190" s="48" t="s">
        <v>472</v>
      </c>
      <c r="H190" s="48" t="s">
        <v>4</v>
      </c>
      <c r="I190" s="48" t="s">
        <v>93</v>
      </c>
      <c r="J190" s="48" t="s">
        <v>125</v>
      </c>
      <c r="K190" s="48">
        <v>9398372678</v>
      </c>
      <c r="L190" s="48">
        <v>762</v>
      </c>
      <c r="M190" s="48">
        <v>743</v>
      </c>
      <c r="N190" s="48">
        <v>1505</v>
      </c>
      <c r="O190" s="48">
        <v>58</v>
      </c>
      <c r="P190" s="48">
        <v>335</v>
      </c>
      <c r="Q190" s="48">
        <v>185</v>
      </c>
      <c r="R190" s="48">
        <v>165</v>
      </c>
      <c r="S190" s="48">
        <v>70</v>
      </c>
      <c r="T190" s="48">
        <v>327</v>
      </c>
      <c r="U190" s="48">
        <v>199</v>
      </c>
      <c r="V190" s="48">
        <v>166</v>
      </c>
      <c r="W190" s="48"/>
      <c r="X190" s="48"/>
      <c r="Y190" s="48"/>
      <c r="Z190" s="48"/>
      <c r="AA190" s="49"/>
      <c r="AB190" s="49"/>
      <c r="AC190" s="48"/>
    </row>
    <row r="191" spans="1:29">
      <c r="A191" s="48" t="s">
        <v>10</v>
      </c>
      <c r="B191" s="48" t="s">
        <v>166</v>
      </c>
      <c r="C191" s="48" t="s">
        <v>473</v>
      </c>
      <c r="D191" s="48" t="s">
        <v>473</v>
      </c>
      <c r="E191" s="48" t="s">
        <v>90</v>
      </c>
      <c r="F191" s="48">
        <v>6</v>
      </c>
      <c r="G191" s="48" t="s">
        <v>474</v>
      </c>
      <c r="H191" s="48" t="s">
        <v>92</v>
      </c>
      <c r="I191" s="48" t="s">
        <v>97</v>
      </c>
      <c r="J191" s="48" t="s">
        <v>288</v>
      </c>
      <c r="K191" s="48">
        <v>9912792666</v>
      </c>
      <c r="L191" s="48">
        <v>2448</v>
      </c>
      <c r="M191" s="48">
        <v>2543</v>
      </c>
      <c r="N191" s="48">
        <v>4991</v>
      </c>
      <c r="O191" s="48">
        <v>157</v>
      </c>
      <c r="P191" s="48">
        <v>1263</v>
      </c>
      <c r="Q191" s="48">
        <v>627</v>
      </c>
      <c r="R191" s="48">
        <v>496</v>
      </c>
      <c r="S191" s="48">
        <v>210</v>
      </c>
      <c r="T191" s="48">
        <v>1314</v>
      </c>
      <c r="U191" s="48">
        <v>549</v>
      </c>
      <c r="V191" s="48">
        <v>375</v>
      </c>
      <c r="W191" s="48"/>
      <c r="X191" s="48"/>
      <c r="Y191" s="48"/>
      <c r="Z191" s="48"/>
      <c r="AA191" s="49"/>
      <c r="AB191" s="49"/>
      <c r="AC191" s="48"/>
    </row>
    <row r="192" spans="1:29">
      <c r="A192" s="48" t="s">
        <v>10</v>
      </c>
      <c r="B192" s="48" t="s">
        <v>166</v>
      </c>
      <c r="C192" s="48" t="s">
        <v>475</v>
      </c>
      <c r="D192" s="48" t="s">
        <v>475</v>
      </c>
      <c r="E192" s="48" t="s">
        <v>90</v>
      </c>
      <c r="F192" s="48">
        <v>7</v>
      </c>
      <c r="G192" s="48" t="s">
        <v>476</v>
      </c>
      <c r="H192" s="48" t="s">
        <v>92</v>
      </c>
      <c r="I192" s="48" t="s">
        <v>102</v>
      </c>
      <c r="J192" s="48" t="s">
        <v>437</v>
      </c>
      <c r="K192" s="48">
        <v>9959382992</v>
      </c>
      <c r="L192" s="48">
        <v>3014</v>
      </c>
      <c r="M192" s="48">
        <v>2987</v>
      </c>
      <c r="N192" s="48">
        <v>6001</v>
      </c>
      <c r="O192" s="48">
        <v>123</v>
      </c>
      <c r="P192" s="48">
        <v>1067</v>
      </c>
      <c r="Q192" s="48">
        <v>954</v>
      </c>
      <c r="R192" s="48">
        <v>843</v>
      </c>
      <c r="S192" s="48">
        <v>179</v>
      </c>
      <c r="T192" s="48">
        <v>1150</v>
      </c>
      <c r="U192" s="48">
        <v>889</v>
      </c>
      <c r="V192" s="48">
        <v>796</v>
      </c>
      <c r="W192" s="48"/>
      <c r="X192" s="48"/>
      <c r="Y192" s="48"/>
      <c r="Z192" s="48"/>
      <c r="AA192" s="49"/>
      <c r="AB192" s="49"/>
      <c r="AC192" s="48"/>
    </row>
    <row r="193" spans="1:29">
      <c r="A193" s="48" t="s">
        <v>10</v>
      </c>
      <c r="B193" s="48" t="s">
        <v>166</v>
      </c>
      <c r="C193" s="48" t="s">
        <v>477</v>
      </c>
      <c r="D193" s="48" t="s">
        <v>477</v>
      </c>
      <c r="E193" s="48" t="s">
        <v>90</v>
      </c>
      <c r="F193" s="48">
        <v>6</v>
      </c>
      <c r="G193" s="48" t="s">
        <v>478</v>
      </c>
      <c r="H193" s="48" t="s">
        <v>92</v>
      </c>
      <c r="I193" s="48" t="s">
        <v>142</v>
      </c>
      <c r="J193" s="48" t="s">
        <v>114</v>
      </c>
      <c r="K193" s="48">
        <v>8498896101</v>
      </c>
      <c r="L193" s="48">
        <v>3192</v>
      </c>
      <c r="M193" s="48">
        <v>3194</v>
      </c>
      <c r="N193" s="48">
        <v>6386</v>
      </c>
      <c r="O193" s="48">
        <v>168</v>
      </c>
      <c r="P193" s="48">
        <v>1586</v>
      </c>
      <c r="Q193" s="48">
        <v>885</v>
      </c>
      <c r="R193" s="48">
        <v>555</v>
      </c>
      <c r="S193" s="48">
        <v>244</v>
      </c>
      <c r="T193" s="48">
        <v>1709</v>
      </c>
      <c r="U193" s="48">
        <v>775</v>
      </c>
      <c r="V193" s="48">
        <v>464</v>
      </c>
      <c r="W193" s="48"/>
      <c r="X193" s="48"/>
      <c r="Y193" s="48"/>
      <c r="Z193" s="48"/>
      <c r="AA193" s="49"/>
      <c r="AB193" s="49"/>
      <c r="AC193" s="48"/>
    </row>
    <row r="194" spans="1:29">
      <c r="A194" s="48" t="s">
        <v>10</v>
      </c>
      <c r="B194" s="48" t="s">
        <v>166</v>
      </c>
      <c r="C194" s="48" t="s">
        <v>479</v>
      </c>
      <c r="D194" s="48" t="s">
        <v>479</v>
      </c>
      <c r="E194" s="48" t="s">
        <v>90</v>
      </c>
      <c r="F194" s="48">
        <v>3</v>
      </c>
      <c r="G194" s="48" t="s">
        <v>480</v>
      </c>
      <c r="H194" s="48" t="s">
        <v>92</v>
      </c>
      <c r="I194" s="48" t="s">
        <v>102</v>
      </c>
      <c r="J194" s="48" t="s">
        <v>437</v>
      </c>
      <c r="K194" s="48">
        <v>9989102916</v>
      </c>
      <c r="L194" s="48">
        <v>1513</v>
      </c>
      <c r="M194" s="48">
        <v>1479</v>
      </c>
      <c r="N194" s="48">
        <v>2992</v>
      </c>
      <c r="O194" s="48">
        <v>85</v>
      </c>
      <c r="P194" s="48">
        <v>631</v>
      </c>
      <c r="Q194" s="48">
        <v>404</v>
      </c>
      <c r="R194" s="48">
        <v>359</v>
      </c>
      <c r="S194" s="48">
        <v>112</v>
      </c>
      <c r="T194" s="48">
        <v>721</v>
      </c>
      <c r="U194" s="48">
        <v>413</v>
      </c>
      <c r="V194" s="48">
        <v>267</v>
      </c>
      <c r="W194" s="48"/>
      <c r="X194" s="48"/>
      <c r="Y194" s="48"/>
      <c r="Z194" s="48"/>
      <c r="AA194" s="49"/>
      <c r="AB194" s="49"/>
      <c r="AC194" s="48"/>
    </row>
    <row r="195" spans="1:29">
      <c r="A195" s="48" t="s">
        <v>10</v>
      </c>
      <c r="B195" s="48" t="s">
        <v>166</v>
      </c>
      <c r="C195" s="48" t="s">
        <v>481</v>
      </c>
      <c r="D195" s="48" t="s">
        <v>481</v>
      </c>
      <c r="E195" s="48" t="s">
        <v>90</v>
      </c>
      <c r="F195" s="48">
        <v>2</v>
      </c>
      <c r="G195" s="48" t="e">
        <v>#N/A</v>
      </c>
      <c r="H195" s="48"/>
      <c r="I195" s="48"/>
      <c r="J195" s="48"/>
      <c r="K195" s="48"/>
      <c r="L195" s="52">
        <v>845</v>
      </c>
      <c r="M195" s="52">
        <v>802</v>
      </c>
      <c r="N195" s="48">
        <v>1647</v>
      </c>
      <c r="O195" s="48">
        <v>59</v>
      </c>
      <c r="P195" s="48">
        <v>440</v>
      </c>
      <c r="Q195" s="48">
        <v>171</v>
      </c>
      <c r="R195" s="48">
        <v>132</v>
      </c>
      <c r="S195" s="48">
        <v>72</v>
      </c>
      <c r="T195" s="48">
        <v>447</v>
      </c>
      <c r="U195" s="48">
        <v>198</v>
      </c>
      <c r="V195" s="48">
        <v>128</v>
      </c>
      <c r="W195" s="48"/>
      <c r="X195" s="52"/>
      <c r="Y195" s="48"/>
      <c r="Z195" s="48"/>
      <c r="AA195" s="49"/>
      <c r="AB195" s="49"/>
      <c r="AC195" s="48" t="e">
        <v>#N/A</v>
      </c>
    </row>
    <row r="196" spans="1:29">
      <c r="A196" s="48" t="s">
        <v>10</v>
      </c>
      <c r="B196" s="48" t="s">
        <v>166</v>
      </c>
      <c r="C196" s="48" t="s">
        <v>482</v>
      </c>
      <c r="D196" s="48" t="s">
        <v>483</v>
      </c>
      <c r="E196" s="48" t="s">
        <v>90</v>
      </c>
      <c r="F196" s="48">
        <v>1</v>
      </c>
      <c r="G196" s="48" t="s">
        <v>484</v>
      </c>
      <c r="H196" s="48" t="s">
        <v>92</v>
      </c>
      <c r="I196" s="48" t="s">
        <v>97</v>
      </c>
      <c r="J196" s="48" t="s">
        <v>288</v>
      </c>
      <c r="K196" s="48">
        <v>9959322443</v>
      </c>
      <c r="L196" s="52">
        <v>496</v>
      </c>
      <c r="M196" s="48">
        <v>478</v>
      </c>
      <c r="N196" s="48">
        <v>974</v>
      </c>
      <c r="O196" s="48">
        <v>30</v>
      </c>
      <c r="P196" s="48">
        <v>208</v>
      </c>
      <c r="Q196" s="48">
        <v>114</v>
      </c>
      <c r="R196" s="48">
        <v>126</v>
      </c>
      <c r="S196" s="48">
        <v>44</v>
      </c>
      <c r="T196" s="48">
        <v>238</v>
      </c>
      <c r="U196" s="48">
        <v>124</v>
      </c>
      <c r="V196" s="48">
        <v>90</v>
      </c>
      <c r="W196" s="48"/>
      <c r="X196" s="52"/>
      <c r="Y196" s="48"/>
      <c r="Z196" s="48"/>
      <c r="AA196" s="49"/>
      <c r="AB196" s="49"/>
      <c r="AC196" s="48"/>
    </row>
    <row r="197" spans="1:29">
      <c r="A197" s="48" t="s">
        <v>10</v>
      </c>
      <c r="B197" s="48" t="s">
        <v>166</v>
      </c>
      <c r="C197" s="48" t="s">
        <v>482</v>
      </c>
      <c r="D197" s="48" t="s">
        <v>482</v>
      </c>
      <c r="E197" s="48" t="s">
        <v>90</v>
      </c>
      <c r="F197" s="48">
        <v>10</v>
      </c>
      <c r="G197" s="48" t="s">
        <v>484</v>
      </c>
      <c r="H197" s="48" t="s">
        <v>92</v>
      </c>
      <c r="I197" s="48" t="s">
        <v>97</v>
      </c>
      <c r="J197" s="48" t="s">
        <v>288</v>
      </c>
      <c r="K197" s="48">
        <v>9959322443</v>
      </c>
      <c r="L197" s="48">
        <v>5204</v>
      </c>
      <c r="M197" s="48">
        <v>5102</v>
      </c>
      <c r="N197" s="48">
        <v>10306</v>
      </c>
      <c r="O197" s="48">
        <v>320</v>
      </c>
      <c r="P197" s="48">
        <v>2422</v>
      </c>
      <c r="Q197" s="48">
        <v>1314</v>
      </c>
      <c r="R197" s="48">
        <v>1046</v>
      </c>
      <c r="S197" s="48">
        <v>524</v>
      </c>
      <c r="T197" s="48">
        <v>2569</v>
      </c>
      <c r="U197" s="48">
        <v>1318</v>
      </c>
      <c r="V197" s="48">
        <v>793</v>
      </c>
      <c r="W197" s="48"/>
      <c r="X197" s="48"/>
      <c r="Y197" s="48"/>
      <c r="Z197" s="48"/>
      <c r="AA197" s="49"/>
      <c r="AB197" s="49"/>
      <c r="AC197" s="48"/>
    </row>
    <row r="198" spans="1:29">
      <c r="A198" s="48" t="s">
        <v>10</v>
      </c>
      <c r="B198" s="48" t="s">
        <v>166</v>
      </c>
      <c r="C198" s="54" t="s">
        <v>485</v>
      </c>
      <c r="D198" s="54" t="s">
        <v>485</v>
      </c>
      <c r="E198" s="48" t="s">
        <v>90</v>
      </c>
      <c r="F198" s="48">
        <v>3</v>
      </c>
      <c r="G198" s="48" t="s">
        <v>486</v>
      </c>
      <c r="H198" s="48" t="s">
        <v>92</v>
      </c>
      <c r="I198" s="48" t="s">
        <v>119</v>
      </c>
      <c r="J198" s="48" t="s">
        <v>136</v>
      </c>
      <c r="K198" s="48">
        <v>7675000748</v>
      </c>
      <c r="L198" s="48">
        <v>1496</v>
      </c>
      <c r="M198" s="48">
        <v>1500</v>
      </c>
      <c r="N198" s="48">
        <v>2996</v>
      </c>
      <c r="O198" s="48">
        <v>75</v>
      </c>
      <c r="P198" s="48">
        <v>680</v>
      </c>
      <c r="Q198" s="48">
        <v>394</v>
      </c>
      <c r="R198" s="48">
        <v>351</v>
      </c>
      <c r="S198" s="48">
        <v>99</v>
      </c>
      <c r="T198" s="48">
        <v>632</v>
      </c>
      <c r="U198" s="48">
        <v>468</v>
      </c>
      <c r="V198" s="48">
        <v>297</v>
      </c>
      <c r="W198" s="48"/>
      <c r="X198" s="48"/>
      <c r="Y198" s="48"/>
      <c r="Z198" s="48"/>
      <c r="AA198" s="49"/>
      <c r="AB198" s="49"/>
      <c r="AC198" s="48"/>
    </row>
    <row r="199" spans="1:29">
      <c r="A199" s="48" t="s">
        <v>10</v>
      </c>
      <c r="B199" s="48" t="s">
        <v>166</v>
      </c>
      <c r="C199" s="48" t="s">
        <v>487</v>
      </c>
      <c r="D199" s="48" t="s">
        <v>487</v>
      </c>
      <c r="E199" s="48" t="s">
        <v>90</v>
      </c>
      <c r="F199" s="48">
        <v>5</v>
      </c>
      <c r="G199" s="48" t="s">
        <v>488</v>
      </c>
      <c r="H199" s="48" t="s">
        <v>92</v>
      </c>
      <c r="I199" s="48" t="s">
        <v>113</v>
      </c>
      <c r="J199" s="48" t="s">
        <v>114</v>
      </c>
      <c r="K199" s="48">
        <v>7013609519</v>
      </c>
      <c r="L199" s="48">
        <v>2129</v>
      </c>
      <c r="M199" s="48">
        <v>2016</v>
      </c>
      <c r="N199" s="48">
        <v>4145</v>
      </c>
      <c r="O199" s="48">
        <v>140</v>
      </c>
      <c r="P199" s="48">
        <v>842</v>
      </c>
      <c r="Q199" s="48">
        <v>534</v>
      </c>
      <c r="R199" s="48">
        <v>500</v>
      </c>
      <c r="S199" s="48">
        <v>165</v>
      </c>
      <c r="T199" s="48">
        <v>967</v>
      </c>
      <c r="U199" s="48">
        <v>553</v>
      </c>
      <c r="V199" s="48">
        <v>444</v>
      </c>
      <c r="W199" s="48"/>
      <c r="X199" s="48"/>
      <c r="Y199" s="48"/>
      <c r="Z199" s="48"/>
      <c r="AA199" s="49"/>
      <c r="AB199" s="49"/>
      <c r="AC199" s="48"/>
    </row>
    <row r="200" spans="1:29">
      <c r="A200" s="48" t="s">
        <v>10</v>
      </c>
      <c r="B200" s="48" t="s">
        <v>10</v>
      </c>
      <c r="C200" s="54" t="s">
        <v>489</v>
      </c>
      <c r="D200" s="54" t="s">
        <v>489</v>
      </c>
      <c r="E200" s="48" t="s">
        <v>90</v>
      </c>
      <c r="F200" s="48">
        <v>3</v>
      </c>
      <c r="G200" s="48" t="s">
        <v>490</v>
      </c>
      <c r="H200" s="48" t="s">
        <v>92</v>
      </c>
      <c r="I200" s="48" t="s">
        <v>93</v>
      </c>
      <c r="J200" s="48" t="s">
        <v>139</v>
      </c>
      <c r="K200" s="48">
        <v>9848576836</v>
      </c>
      <c r="L200" s="48">
        <v>1517</v>
      </c>
      <c r="M200" s="48">
        <v>1397</v>
      </c>
      <c r="N200" s="48">
        <v>2914</v>
      </c>
      <c r="O200" s="48">
        <v>75</v>
      </c>
      <c r="P200" s="48">
        <v>655</v>
      </c>
      <c r="Q200" s="48">
        <v>420</v>
      </c>
      <c r="R200" s="48">
        <v>247</v>
      </c>
      <c r="S200" s="48">
        <v>108</v>
      </c>
      <c r="T200" s="48">
        <v>777</v>
      </c>
      <c r="U200" s="48">
        <v>365</v>
      </c>
      <c r="V200" s="48">
        <v>267</v>
      </c>
      <c r="W200" s="48"/>
      <c r="X200" s="48"/>
      <c r="Y200" s="48"/>
      <c r="Z200" s="48"/>
      <c r="AA200" s="49"/>
      <c r="AB200" s="49"/>
      <c r="AC200" s="48">
        <v>62</v>
      </c>
    </row>
    <row r="201" spans="1:29">
      <c r="A201" s="48" t="s">
        <v>10</v>
      </c>
      <c r="B201" s="48" t="s">
        <v>10</v>
      </c>
      <c r="C201" s="48" t="s">
        <v>491</v>
      </c>
      <c r="D201" s="48" t="s">
        <v>491</v>
      </c>
      <c r="E201" s="48" t="s">
        <v>90</v>
      </c>
      <c r="F201" s="48">
        <v>2</v>
      </c>
      <c r="G201" s="48" t="s">
        <v>492</v>
      </c>
      <c r="H201" s="48" t="s">
        <v>92</v>
      </c>
      <c r="I201" s="48" t="s">
        <v>102</v>
      </c>
      <c r="J201" s="48" t="s">
        <v>139</v>
      </c>
      <c r="K201" s="48">
        <v>9494922233</v>
      </c>
      <c r="L201" s="48">
        <v>740</v>
      </c>
      <c r="M201" s="48">
        <v>750</v>
      </c>
      <c r="N201" s="48">
        <v>1490</v>
      </c>
      <c r="O201" s="48">
        <v>63</v>
      </c>
      <c r="P201" s="48">
        <v>405</v>
      </c>
      <c r="Q201" s="48">
        <v>185</v>
      </c>
      <c r="R201" s="48">
        <v>97</v>
      </c>
      <c r="S201" s="48">
        <v>71</v>
      </c>
      <c r="T201" s="48">
        <v>392</v>
      </c>
      <c r="U201" s="48">
        <v>175</v>
      </c>
      <c r="V201" s="48">
        <v>102</v>
      </c>
      <c r="W201" s="48"/>
      <c r="X201" s="48"/>
      <c r="Y201" s="48"/>
      <c r="Z201" s="48"/>
      <c r="AA201" s="49"/>
      <c r="AB201" s="49"/>
      <c r="AC201" s="48">
        <v>86</v>
      </c>
    </row>
    <row r="202" spans="1:29">
      <c r="A202" s="48" t="s">
        <v>10</v>
      </c>
      <c r="B202" s="48" t="s">
        <v>10</v>
      </c>
      <c r="C202" s="48" t="s">
        <v>493</v>
      </c>
      <c r="D202" s="48" t="s">
        <v>493</v>
      </c>
      <c r="E202" s="48" t="s">
        <v>90</v>
      </c>
      <c r="F202" s="48">
        <v>3</v>
      </c>
      <c r="G202" s="48" t="s">
        <v>494</v>
      </c>
      <c r="H202" s="48" t="s">
        <v>92</v>
      </c>
      <c r="I202" s="48" t="s">
        <v>142</v>
      </c>
      <c r="J202" s="48" t="s">
        <v>114</v>
      </c>
      <c r="K202" s="48">
        <v>9177038857</v>
      </c>
      <c r="L202" s="48">
        <v>1400</v>
      </c>
      <c r="M202" s="48">
        <v>1349</v>
      </c>
      <c r="N202" s="48">
        <v>2749</v>
      </c>
      <c r="O202" s="48">
        <v>99</v>
      </c>
      <c r="P202" s="48">
        <v>733</v>
      </c>
      <c r="Q202" s="48">
        <v>343</v>
      </c>
      <c r="R202" s="48">
        <v>174</v>
      </c>
      <c r="S202" s="48">
        <v>124</v>
      </c>
      <c r="T202" s="48">
        <v>803</v>
      </c>
      <c r="U202" s="48">
        <v>322</v>
      </c>
      <c r="V202" s="48">
        <v>151</v>
      </c>
      <c r="W202" s="48"/>
      <c r="X202" s="48"/>
      <c r="Y202" s="48"/>
      <c r="Z202" s="48"/>
      <c r="AA202" s="49"/>
      <c r="AB202" s="49"/>
      <c r="AC202" s="48">
        <v>57</v>
      </c>
    </row>
    <row r="203" spans="1:29">
      <c r="A203" s="48" t="s">
        <v>10</v>
      </c>
      <c r="B203" s="48" t="s">
        <v>10</v>
      </c>
      <c r="C203" s="48" t="s">
        <v>495</v>
      </c>
      <c r="D203" s="48" t="s">
        <v>495</v>
      </c>
      <c r="E203" s="48" t="s">
        <v>90</v>
      </c>
      <c r="F203" s="48">
        <v>6</v>
      </c>
      <c r="G203" s="48" t="s">
        <v>496</v>
      </c>
      <c r="H203" s="48" t="s">
        <v>92</v>
      </c>
      <c r="I203" s="48" t="s">
        <v>142</v>
      </c>
      <c r="J203" s="48" t="s">
        <v>114</v>
      </c>
      <c r="K203" s="48">
        <v>8978177792</v>
      </c>
      <c r="L203" s="48">
        <v>3281</v>
      </c>
      <c r="M203" s="48">
        <v>3282</v>
      </c>
      <c r="N203" s="48">
        <v>6563</v>
      </c>
      <c r="O203" s="48">
        <v>200</v>
      </c>
      <c r="P203" s="48">
        <v>1666</v>
      </c>
      <c r="Q203" s="48">
        <v>836</v>
      </c>
      <c r="R203" s="48">
        <v>580</v>
      </c>
      <c r="S203" s="48">
        <v>221</v>
      </c>
      <c r="T203" s="48">
        <v>1786</v>
      </c>
      <c r="U203" s="48">
        <v>838</v>
      </c>
      <c r="V203" s="48">
        <v>436</v>
      </c>
      <c r="W203" s="48"/>
      <c r="X203" s="48"/>
      <c r="Y203" s="48"/>
      <c r="Z203" s="48"/>
      <c r="AA203" s="49"/>
      <c r="AB203" s="49"/>
      <c r="AC203" s="48">
        <v>64</v>
      </c>
    </row>
    <row r="204" spans="1:29">
      <c r="A204" s="48" t="s">
        <v>10</v>
      </c>
      <c r="B204" s="48" t="s">
        <v>10</v>
      </c>
      <c r="C204" s="48" t="s">
        <v>497</v>
      </c>
      <c r="D204" s="48" t="s">
        <v>497</v>
      </c>
      <c r="E204" s="48" t="s">
        <v>90</v>
      </c>
      <c r="F204" s="48">
        <v>2</v>
      </c>
      <c r="G204" s="48" t="s">
        <v>498</v>
      </c>
      <c r="H204" s="48" t="s">
        <v>4</v>
      </c>
      <c r="I204" s="48" t="s">
        <v>102</v>
      </c>
      <c r="J204" s="48" t="s">
        <v>139</v>
      </c>
      <c r="K204" s="48">
        <v>9492508215</v>
      </c>
      <c r="L204" s="48">
        <v>752</v>
      </c>
      <c r="M204" s="48">
        <v>759</v>
      </c>
      <c r="N204" s="48">
        <v>1511</v>
      </c>
      <c r="O204" s="48">
        <v>59</v>
      </c>
      <c r="P204" s="48">
        <v>352</v>
      </c>
      <c r="Q204" s="48">
        <v>224</v>
      </c>
      <c r="R204" s="48">
        <v>124</v>
      </c>
      <c r="S204" s="48">
        <v>61</v>
      </c>
      <c r="T204" s="48">
        <v>383</v>
      </c>
      <c r="U204" s="48">
        <v>203</v>
      </c>
      <c r="V204" s="48">
        <v>105</v>
      </c>
      <c r="W204" s="48"/>
      <c r="X204" s="48"/>
      <c r="Y204" s="48"/>
      <c r="Z204" s="48"/>
      <c r="AA204" s="49"/>
      <c r="AB204" s="49"/>
      <c r="AC204" s="48">
        <v>41</v>
      </c>
    </row>
    <row r="205" spans="1:29">
      <c r="A205" s="48" t="s">
        <v>10</v>
      </c>
      <c r="B205" s="48" t="s">
        <v>10</v>
      </c>
      <c r="C205" s="48" t="s">
        <v>499</v>
      </c>
      <c r="D205" s="48" t="s">
        <v>499</v>
      </c>
      <c r="E205" s="48" t="s">
        <v>90</v>
      </c>
      <c r="F205" s="48">
        <v>2</v>
      </c>
      <c r="G205" s="48" t="s">
        <v>500</v>
      </c>
      <c r="H205" s="48" t="s">
        <v>4</v>
      </c>
      <c r="I205" s="48" t="s">
        <v>93</v>
      </c>
      <c r="J205" s="48" t="s">
        <v>139</v>
      </c>
      <c r="K205" s="48">
        <v>9866068979</v>
      </c>
      <c r="L205" s="48">
        <v>841</v>
      </c>
      <c r="M205" s="48">
        <v>758</v>
      </c>
      <c r="N205" s="48">
        <v>1599</v>
      </c>
      <c r="O205" s="48">
        <v>58</v>
      </c>
      <c r="P205" s="48">
        <v>359</v>
      </c>
      <c r="Q205" s="48">
        <v>200</v>
      </c>
      <c r="R205" s="48">
        <v>141</v>
      </c>
      <c r="S205" s="48">
        <v>84</v>
      </c>
      <c r="T205" s="48">
        <v>430</v>
      </c>
      <c r="U205" s="48">
        <v>215</v>
      </c>
      <c r="V205" s="48">
        <v>112</v>
      </c>
      <c r="W205" s="48"/>
      <c r="X205" s="48"/>
      <c r="Y205" s="48"/>
      <c r="Z205" s="48"/>
      <c r="AA205" s="49"/>
      <c r="AB205" s="49"/>
      <c r="AC205" s="48">
        <v>75</v>
      </c>
    </row>
    <row r="206" spans="1:29">
      <c r="A206" s="48" t="s">
        <v>10</v>
      </c>
      <c r="B206" s="48" t="s">
        <v>10</v>
      </c>
      <c r="C206" s="48" t="s">
        <v>501</v>
      </c>
      <c r="D206" s="48" t="s">
        <v>501</v>
      </c>
      <c r="E206" s="48" t="s">
        <v>90</v>
      </c>
      <c r="F206" s="48">
        <v>2</v>
      </c>
      <c r="G206" s="48" t="e">
        <v>#N/A</v>
      </c>
      <c r="H206" s="48"/>
      <c r="I206" s="48"/>
      <c r="J206" s="48"/>
      <c r="K206" s="48"/>
      <c r="L206" s="48">
        <v>600</v>
      </c>
      <c r="M206" s="48">
        <v>605</v>
      </c>
      <c r="N206" s="48">
        <v>1205</v>
      </c>
      <c r="O206" s="48">
        <v>37</v>
      </c>
      <c r="P206" s="48">
        <v>292</v>
      </c>
      <c r="Q206" s="48">
        <v>156</v>
      </c>
      <c r="R206" s="48">
        <v>120</v>
      </c>
      <c r="S206" s="48">
        <v>83</v>
      </c>
      <c r="T206" s="48">
        <v>297</v>
      </c>
      <c r="U206" s="48">
        <v>120</v>
      </c>
      <c r="V206" s="48">
        <v>100</v>
      </c>
      <c r="W206" s="48"/>
      <c r="X206" s="48"/>
      <c r="Y206" s="48"/>
      <c r="Z206" s="48"/>
      <c r="AA206" s="49"/>
      <c r="AB206" s="49"/>
      <c r="AC206" s="48" t="e">
        <v>#N/A</v>
      </c>
    </row>
    <row r="207" spans="1:29">
      <c r="A207" s="48" t="s">
        <v>10</v>
      </c>
      <c r="B207" s="48" t="s">
        <v>10</v>
      </c>
      <c r="C207" s="48" t="s">
        <v>502</v>
      </c>
      <c r="D207" s="48" t="s">
        <v>503</v>
      </c>
      <c r="E207" s="48" t="s">
        <v>90</v>
      </c>
      <c r="F207" s="48">
        <v>1</v>
      </c>
      <c r="G207" s="48" t="s">
        <v>504</v>
      </c>
      <c r="H207" s="48" t="s">
        <v>92</v>
      </c>
      <c r="I207" s="48" t="s">
        <v>97</v>
      </c>
      <c r="J207" s="48" t="s">
        <v>125</v>
      </c>
      <c r="K207" s="48">
        <v>9493275878</v>
      </c>
      <c r="L207" s="48">
        <v>415</v>
      </c>
      <c r="M207" s="48">
        <v>375</v>
      </c>
      <c r="N207" s="48">
        <v>790</v>
      </c>
      <c r="O207" s="48">
        <v>22</v>
      </c>
      <c r="P207" s="48">
        <v>130</v>
      </c>
      <c r="Q207" s="48">
        <v>120</v>
      </c>
      <c r="R207" s="48">
        <v>103</v>
      </c>
      <c r="S207" s="48">
        <v>25</v>
      </c>
      <c r="T207" s="48">
        <v>171</v>
      </c>
      <c r="U207" s="48">
        <v>119</v>
      </c>
      <c r="V207" s="48">
        <v>100</v>
      </c>
      <c r="W207" s="48"/>
      <c r="X207" s="48"/>
      <c r="Y207" s="48"/>
      <c r="Z207" s="48"/>
      <c r="AA207" s="49"/>
      <c r="AB207" s="49"/>
      <c r="AC207" s="48">
        <v>65</v>
      </c>
    </row>
    <row r="208" spans="1:29">
      <c r="A208" s="48" t="s">
        <v>10</v>
      </c>
      <c r="B208" s="48" t="s">
        <v>10</v>
      </c>
      <c r="C208" s="48" t="s">
        <v>502</v>
      </c>
      <c r="D208" s="48" t="s">
        <v>502</v>
      </c>
      <c r="E208" s="48" t="s">
        <v>90</v>
      </c>
      <c r="F208" s="48">
        <v>1</v>
      </c>
      <c r="G208" s="48" t="s">
        <v>504</v>
      </c>
      <c r="H208" s="48" t="s">
        <v>92</v>
      </c>
      <c r="I208" s="48" t="s">
        <v>97</v>
      </c>
      <c r="J208" s="48" t="s">
        <v>125</v>
      </c>
      <c r="K208" s="48">
        <v>9493275878</v>
      </c>
      <c r="L208" s="48">
        <v>491</v>
      </c>
      <c r="M208" s="48">
        <v>452</v>
      </c>
      <c r="N208" s="48">
        <v>943</v>
      </c>
      <c r="O208" s="48">
        <v>29</v>
      </c>
      <c r="P208" s="48">
        <v>218</v>
      </c>
      <c r="Q208" s="48">
        <v>134</v>
      </c>
      <c r="R208" s="48">
        <v>71</v>
      </c>
      <c r="S208" s="48">
        <v>33</v>
      </c>
      <c r="T208" s="48">
        <v>258</v>
      </c>
      <c r="U208" s="48">
        <v>122</v>
      </c>
      <c r="V208" s="48">
        <v>78</v>
      </c>
      <c r="W208" s="48"/>
      <c r="X208" s="48"/>
      <c r="Y208" s="48"/>
      <c r="Z208" s="48"/>
      <c r="AA208" s="49"/>
      <c r="AB208" s="49"/>
      <c r="AC208" s="48">
        <v>65</v>
      </c>
    </row>
    <row r="209" spans="1:29">
      <c r="A209" s="48" t="s">
        <v>10</v>
      </c>
      <c r="B209" s="48" t="s">
        <v>10</v>
      </c>
      <c r="C209" s="48" t="s">
        <v>505</v>
      </c>
      <c r="D209" s="48" t="s">
        <v>505</v>
      </c>
      <c r="E209" s="48" t="s">
        <v>90</v>
      </c>
      <c r="F209" s="48">
        <v>2</v>
      </c>
      <c r="G209" s="48" t="s">
        <v>506</v>
      </c>
      <c r="H209" s="48" t="s">
        <v>4</v>
      </c>
      <c r="I209" s="48" t="s">
        <v>102</v>
      </c>
      <c r="J209" s="48" t="s">
        <v>437</v>
      </c>
      <c r="K209" s="48">
        <v>8985572731</v>
      </c>
      <c r="L209" s="48">
        <v>638</v>
      </c>
      <c r="M209" s="48">
        <v>630</v>
      </c>
      <c r="N209" s="48">
        <v>1268</v>
      </c>
      <c r="O209" s="48">
        <v>51</v>
      </c>
      <c r="P209" s="48">
        <v>274</v>
      </c>
      <c r="Q209" s="48">
        <v>193</v>
      </c>
      <c r="R209" s="48">
        <v>112</v>
      </c>
      <c r="S209" s="48">
        <v>56</v>
      </c>
      <c r="T209" s="48">
        <v>265</v>
      </c>
      <c r="U209" s="48">
        <v>206</v>
      </c>
      <c r="V209" s="48">
        <v>111</v>
      </c>
      <c r="W209" s="48"/>
      <c r="X209" s="48"/>
      <c r="Y209" s="48"/>
      <c r="Z209" s="48"/>
      <c r="AA209" s="49"/>
      <c r="AB209" s="49"/>
      <c r="AC209" s="48">
        <v>61</v>
      </c>
    </row>
    <row r="210" spans="1:29">
      <c r="A210" s="48" t="s">
        <v>10</v>
      </c>
      <c r="B210" s="48" t="s">
        <v>10</v>
      </c>
      <c r="C210" s="48" t="s">
        <v>507</v>
      </c>
      <c r="D210" s="48" t="s">
        <v>507</v>
      </c>
      <c r="E210" s="48" t="s">
        <v>90</v>
      </c>
      <c r="F210" s="48">
        <v>2</v>
      </c>
      <c r="G210" s="48" t="s">
        <v>508</v>
      </c>
      <c r="H210" s="48" t="s">
        <v>4</v>
      </c>
      <c r="I210" s="48" t="s">
        <v>102</v>
      </c>
      <c r="J210" s="48" t="s">
        <v>139</v>
      </c>
      <c r="K210" s="48">
        <v>9912089345</v>
      </c>
      <c r="L210" s="48">
        <v>1064</v>
      </c>
      <c r="M210" s="48">
        <v>969</v>
      </c>
      <c r="N210" s="48">
        <v>2033</v>
      </c>
      <c r="O210" s="48">
        <v>74</v>
      </c>
      <c r="P210" s="48">
        <v>449</v>
      </c>
      <c r="Q210" s="48">
        <v>291</v>
      </c>
      <c r="R210" s="48">
        <v>155</v>
      </c>
      <c r="S210" s="48">
        <v>90</v>
      </c>
      <c r="T210" s="48">
        <v>552</v>
      </c>
      <c r="U210" s="48">
        <v>290</v>
      </c>
      <c r="V210" s="48">
        <v>132</v>
      </c>
      <c r="W210" s="48"/>
      <c r="X210" s="48"/>
      <c r="Y210" s="48"/>
      <c r="Z210" s="48"/>
      <c r="AA210" s="49"/>
      <c r="AB210" s="49"/>
      <c r="AC210" s="48">
        <v>31</v>
      </c>
    </row>
    <row r="211" spans="1:29">
      <c r="A211" s="48" t="s">
        <v>10</v>
      </c>
      <c r="B211" s="48" t="s">
        <v>10</v>
      </c>
      <c r="C211" s="48" t="s">
        <v>507</v>
      </c>
      <c r="D211" s="48" t="s">
        <v>251</v>
      </c>
      <c r="E211" s="48" t="s">
        <v>90</v>
      </c>
      <c r="F211" s="48">
        <v>1</v>
      </c>
      <c r="G211" s="48" t="s">
        <v>508</v>
      </c>
      <c r="H211" s="48" t="s">
        <v>4</v>
      </c>
      <c r="I211" s="48" t="s">
        <v>102</v>
      </c>
      <c r="J211" s="48" t="s">
        <v>139</v>
      </c>
      <c r="K211" s="48">
        <v>9912089345</v>
      </c>
      <c r="L211" s="48">
        <v>599</v>
      </c>
      <c r="M211" s="48">
        <v>616</v>
      </c>
      <c r="N211" s="48">
        <v>1215</v>
      </c>
      <c r="O211" s="48">
        <v>49</v>
      </c>
      <c r="P211" s="48">
        <v>312</v>
      </c>
      <c r="Q211" s="48">
        <v>171</v>
      </c>
      <c r="R211" s="48">
        <v>84</v>
      </c>
      <c r="S211" s="48">
        <v>59</v>
      </c>
      <c r="T211" s="48">
        <v>318</v>
      </c>
      <c r="U211" s="48">
        <v>133</v>
      </c>
      <c r="V211" s="48">
        <v>89</v>
      </c>
      <c r="W211" s="48"/>
      <c r="X211" s="48"/>
      <c r="Y211" s="48"/>
      <c r="Z211" s="48"/>
      <c r="AA211" s="49"/>
      <c r="AB211" s="49"/>
      <c r="AC211" s="48">
        <v>31</v>
      </c>
    </row>
    <row r="212" spans="1:29">
      <c r="A212" s="48" t="s">
        <v>10</v>
      </c>
      <c r="B212" s="48" t="s">
        <v>10</v>
      </c>
      <c r="C212" s="48" t="s">
        <v>509</v>
      </c>
      <c r="D212" s="48" t="s">
        <v>509</v>
      </c>
      <c r="E212" s="48" t="s">
        <v>90</v>
      </c>
      <c r="F212" s="48">
        <v>2</v>
      </c>
      <c r="G212" s="48" t="s">
        <v>510</v>
      </c>
      <c r="H212" s="48" t="s">
        <v>92</v>
      </c>
      <c r="I212" s="48" t="s">
        <v>102</v>
      </c>
      <c r="J212" s="48" t="s">
        <v>139</v>
      </c>
      <c r="K212" s="48">
        <v>9494777666</v>
      </c>
      <c r="L212" s="48">
        <v>1138</v>
      </c>
      <c r="M212" s="48">
        <v>1122</v>
      </c>
      <c r="N212" s="48">
        <v>2260</v>
      </c>
      <c r="O212" s="48">
        <v>72</v>
      </c>
      <c r="P212" s="48">
        <v>519</v>
      </c>
      <c r="Q212" s="48">
        <v>301</v>
      </c>
      <c r="R212" s="48">
        <v>230</v>
      </c>
      <c r="S212" s="48">
        <v>92</v>
      </c>
      <c r="T212" s="48">
        <v>538</v>
      </c>
      <c r="U212" s="48">
        <v>295</v>
      </c>
      <c r="V212" s="48">
        <v>213</v>
      </c>
      <c r="W212" s="48"/>
      <c r="X212" s="48"/>
      <c r="Y212" s="48"/>
      <c r="Z212" s="48"/>
      <c r="AA212" s="49"/>
      <c r="AB212" s="49"/>
      <c r="AC212" s="48">
        <v>80</v>
      </c>
    </row>
    <row r="213" spans="1:29">
      <c r="A213" s="48" t="s">
        <v>10</v>
      </c>
      <c r="B213" s="48" t="s">
        <v>10</v>
      </c>
      <c r="C213" s="48" t="s">
        <v>511</v>
      </c>
      <c r="D213" s="48" t="s">
        <v>511</v>
      </c>
      <c r="E213" s="48" t="s">
        <v>90</v>
      </c>
      <c r="F213" s="48">
        <v>2</v>
      </c>
      <c r="G213" s="48" t="s">
        <v>512</v>
      </c>
      <c r="H213" s="48" t="s">
        <v>92</v>
      </c>
      <c r="I213" s="48" t="s">
        <v>93</v>
      </c>
      <c r="J213" s="48" t="s">
        <v>139</v>
      </c>
      <c r="K213" s="48">
        <v>9948271513</v>
      </c>
      <c r="L213" s="48">
        <v>1045</v>
      </c>
      <c r="M213" s="48">
        <v>1056</v>
      </c>
      <c r="N213" s="48">
        <v>2101</v>
      </c>
      <c r="O213" s="48">
        <v>104</v>
      </c>
      <c r="P213" s="48">
        <v>521</v>
      </c>
      <c r="Q213" s="48">
        <v>281</v>
      </c>
      <c r="R213" s="48">
        <v>150</v>
      </c>
      <c r="S213" s="48">
        <v>97</v>
      </c>
      <c r="T213" s="48">
        <v>545</v>
      </c>
      <c r="U213" s="48">
        <v>285</v>
      </c>
      <c r="V213" s="48">
        <v>118</v>
      </c>
      <c r="W213" s="48"/>
      <c r="X213" s="48"/>
      <c r="Y213" s="48"/>
      <c r="Z213" s="48"/>
      <c r="AA213" s="49"/>
      <c r="AB213" s="49"/>
      <c r="AC213" s="48"/>
    </row>
    <row r="214" spans="1:29">
      <c r="A214" s="48" t="s">
        <v>10</v>
      </c>
      <c r="B214" s="48" t="s">
        <v>10</v>
      </c>
      <c r="C214" s="48" t="s">
        <v>513</v>
      </c>
      <c r="D214" s="48" t="s">
        <v>513</v>
      </c>
      <c r="E214" s="48" t="s">
        <v>90</v>
      </c>
      <c r="F214" s="48">
        <v>2</v>
      </c>
      <c r="G214" s="48" t="s">
        <v>514</v>
      </c>
      <c r="H214" s="48" t="s">
        <v>92</v>
      </c>
      <c r="I214" s="48" t="s">
        <v>119</v>
      </c>
      <c r="J214" s="48" t="s">
        <v>136</v>
      </c>
      <c r="K214" s="48">
        <v>8309114579</v>
      </c>
      <c r="L214" s="48">
        <v>917</v>
      </c>
      <c r="M214" s="48">
        <v>860</v>
      </c>
      <c r="N214" s="48">
        <v>1777</v>
      </c>
      <c r="O214" s="48">
        <v>46</v>
      </c>
      <c r="P214" s="48">
        <v>429</v>
      </c>
      <c r="Q214" s="48">
        <v>238</v>
      </c>
      <c r="R214" s="48">
        <v>147</v>
      </c>
      <c r="S214" s="48">
        <v>95</v>
      </c>
      <c r="T214" s="48">
        <v>465</v>
      </c>
      <c r="U214" s="48">
        <v>221</v>
      </c>
      <c r="V214" s="48">
        <v>136</v>
      </c>
      <c r="W214" s="48"/>
      <c r="X214" s="48"/>
      <c r="Y214" s="48"/>
      <c r="Z214" s="48"/>
      <c r="AA214" s="49"/>
      <c r="AB214" s="49"/>
      <c r="AC214" s="48">
        <v>80</v>
      </c>
    </row>
    <row r="215" spans="1:29">
      <c r="A215" s="48" t="s">
        <v>10</v>
      </c>
      <c r="B215" s="48" t="s">
        <v>10</v>
      </c>
      <c r="C215" s="48" t="s">
        <v>515</v>
      </c>
      <c r="D215" s="48" t="s">
        <v>516</v>
      </c>
      <c r="E215" s="48" t="s">
        <v>90</v>
      </c>
      <c r="F215" s="48">
        <v>1</v>
      </c>
      <c r="G215" s="48" t="s">
        <v>517</v>
      </c>
      <c r="H215" s="48" t="s">
        <v>92</v>
      </c>
      <c r="I215" s="48" t="s">
        <v>93</v>
      </c>
      <c r="J215" s="48" t="s">
        <v>139</v>
      </c>
      <c r="K215" s="48">
        <v>9848673274</v>
      </c>
      <c r="L215" s="48">
        <v>495</v>
      </c>
      <c r="M215" s="48">
        <v>453</v>
      </c>
      <c r="N215" s="48">
        <v>948</v>
      </c>
      <c r="O215" s="48">
        <v>31</v>
      </c>
      <c r="P215" s="48">
        <v>215</v>
      </c>
      <c r="Q215" s="48">
        <v>135</v>
      </c>
      <c r="R215" s="48">
        <v>72</v>
      </c>
      <c r="S215" s="48">
        <v>43</v>
      </c>
      <c r="T215" s="48">
        <v>259</v>
      </c>
      <c r="U215" s="48">
        <v>104</v>
      </c>
      <c r="V215" s="48">
        <v>89</v>
      </c>
      <c r="W215" s="48"/>
      <c r="X215" s="48"/>
      <c r="Y215" s="48"/>
      <c r="Z215" s="48"/>
      <c r="AA215" s="49"/>
      <c r="AB215" s="49"/>
      <c r="AC215" s="48">
        <v>53</v>
      </c>
    </row>
    <row r="216" spans="1:29">
      <c r="A216" s="48" t="s">
        <v>10</v>
      </c>
      <c r="B216" s="48" t="s">
        <v>10</v>
      </c>
      <c r="C216" s="48" t="s">
        <v>515</v>
      </c>
      <c r="D216" s="48" t="s">
        <v>515</v>
      </c>
      <c r="E216" s="48" t="s">
        <v>90</v>
      </c>
      <c r="F216" s="48">
        <v>1</v>
      </c>
      <c r="G216" s="48" t="s">
        <v>517</v>
      </c>
      <c r="H216" s="48" t="s">
        <v>92</v>
      </c>
      <c r="I216" s="48" t="s">
        <v>93</v>
      </c>
      <c r="J216" s="48" t="s">
        <v>139</v>
      </c>
      <c r="K216" s="48">
        <v>9848673274</v>
      </c>
      <c r="L216" s="48">
        <v>481</v>
      </c>
      <c r="M216" s="48">
        <v>497</v>
      </c>
      <c r="N216" s="48">
        <v>978</v>
      </c>
      <c r="O216" s="48">
        <v>32</v>
      </c>
      <c r="P216" s="48">
        <v>259</v>
      </c>
      <c r="Q216" s="48">
        <v>128</v>
      </c>
      <c r="R216" s="48">
        <v>78</v>
      </c>
      <c r="S216" s="48">
        <v>42</v>
      </c>
      <c r="T216" s="48">
        <v>240</v>
      </c>
      <c r="U216" s="48">
        <v>119</v>
      </c>
      <c r="V216" s="48">
        <v>80</v>
      </c>
      <c r="W216" s="48"/>
      <c r="X216" s="48"/>
      <c r="Y216" s="48"/>
      <c r="Z216" s="48"/>
      <c r="AA216" s="49"/>
      <c r="AB216" s="49"/>
      <c r="AC216" s="48">
        <v>53</v>
      </c>
    </row>
    <row r="217" spans="1:29">
      <c r="A217" s="48" t="s">
        <v>10</v>
      </c>
      <c r="B217" s="48" t="s">
        <v>10</v>
      </c>
      <c r="C217" s="48" t="s">
        <v>518</v>
      </c>
      <c r="D217" s="48" t="s">
        <v>518</v>
      </c>
      <c r="E217" s="48" t="s">
        <v>90</v>
      </c>
      <c r="F217" s="48">
        <v>4</v>
      </c>
      <c r="G217" s="48" t="s">
        <v>519</v>
      </c>
      <c r="H217" s="48" t="s">
        <v>92</v>
      </c>
      <c r="I217" s="48" t="s">
        <v>113</v>
      </c>
      <c r="J217" s="48" t="s">
        <v>114</v>
      </c>
      <c r="K217" s="48">
        <v>9247236387</v>
      </c>
      <c r="L217" s="52">
        <v>2056</v>
      </c>
      <c r="M217" s="48">
        <v>1999</v>
      </c>
      <c r="N217" s="48">
        <v>4055</v>
      </c>
      <c r="O217" s="48">
        <v>78</v>
      </c>
      <c r="P217" s="48">
        <v>951</v>
      </c>
      <c r="Q217" s="48">
        <v>648</v>
      </c>
      <c r="R217" s="48">
        <v>322</v>
      </c>
      <c r="S217" s="48">
        <v>164</v>
      </c>
      <c r="T217" s="48">
        <v>1029</v>
      </c>
      <c r="U217" s="48">
        <v>551</v>
      </c>
      <c r="V217" s="48">
        <v>312</v>
      </c>
      <c r="W217" s="48"/>
      <c r="X217" s="52"/>
      <c r="Y217" s="52"/>
      <c r="Z217" s="48"/>
      <c r="AA217" s="49"/>
      <c r="AB217" s="49"/>
      <c r="AC217" s="48">
        <v>45</v>
      </c>
    </row>
    <row r="218" spans="1:29">
      <c r="A218" s="48" t="s">
        <v>10</v>
      </c>
      <c r="B218" s="48" t="s">
        <v>10</v>
      </c>
      <c r="C218" s="48" t="s">
        <v>520</v>
      </c>
      <c r="D218" s="48" t="s">
        <v>520</v>
      </c>
      <c r="E218" s="48" t="s">
        <v>90</v>
      </c>
      <c r="F218" s="48">
        <v>2</v>
      </c>
      <c r="G218" s="48" t="s">
        <v>521</v>
      </c>
      <c r="H218" s="48" t="s">
        <v>92</v>
      </c>
      <c r="I218" s="48" t="s">
        <v>97</v>
      </c>
      <c r="J218" s="48" t="s">
        <v>522</v>
      </c>
      <c r="K218" s="48">
        <v>8500210621</v>
      </c>
      <c r="L218" s="48">
        <v>1117</v>
      </c>
      <c r="M218" s="48">
        <v>1049</v>
      </c>
      <c r="N218" s="48">
        <v>2166</v>
      </c>
      <c r="O218" s="48">
        <v>36</v>
      </c>
      <c r="P218" s="48">
        <v>531</v>
      </c>
      <c r="Q218" s="48">
        <v>315</v>
      </c>
      <c r="R218" s="48">
        <v>167</v>
      </c>
      <c r="S218" s="48">
        <v>81</v>
      </c>
      <c r="T218" s="48">
        <v>522</v>
      </c>
      <c r="U218" s="48">
        <v>319</v>
      </c>
      <c r="V218" s="48">
        <v>195</v>
      </c>
      <c r="W218" s="48"/>
      <c r="X218" s="48"/>
      <c r="Y218" s="48"/>
      <c r="Z218" s="48"/>
      <c r="AA218" s="49"/>
      <c r="AB218" s="49"/>
      <c r="AC218" s="48">
        <v>84</v>
      </c>
    </row>
    <row r="219" spans="1:29">
      <c r="A219" s="48" t="s">
        <v>10</v>
      </c>
      <c r="B219" s="48" t="s">
        <v>10</v>
      </c>
      <c r="C219" s="48" t="s">
        <v>523</v>
      </c>
      <c r="D219" s="48" t="s">
        <v>524</v>
      </c>
      <c r="E219" s="48" t="s">
        <v>90</v>
      </c>
      <c r="F219" s="48">
        <v>1</v>
      </c>
      <c r="G219" s="48" t="s">
        <v>525</v>
      </c>
      <c r="H219" s="48" t="s">
        <v>92</v>
      </c>
      <c r="I219" s="48" t="s">
        <v>119</v>
      </c>
      <c r="J219" s="48" t="s">
        <v>125</v>
      </c>
      <c r="K219" s="48">
        <v>9502951625</v>
      </c>
      <c r="L219" s="48">
        <v>511</v>
      </c>
      <c r="M219" s="48">
        <v>539</v>
      </c>
      <c r="N219" s="48">
        <v>1050</v>
      </c>
      <c r="O219" s="48">
        <v>35</v>
      </c>
      <c r="P219" s="48">
        <v>286</v>
      </c>
      <c r="Q219" s="48">
        <v>158</v>
      </c>
      <c r="R219" s="48">
        <v>60</v>
      </c>
      <c r="S219" s="48">
        <v>34</v>
      </c>
      <c r="T219" s="48">
        <v>264</v>
      </c>
      <c r="U219" s="48">
        <v>159</v>
      </c>
      <c r="V219" s="48">
        <v>54</v>
      </c>
      <c r="W219" s="48"/>
      <c r="X219" s="48"/>
      <c r="Y219" s="48"/>
      <c r="Z219" s="48"/>
      <c r="AA219" s="49"/>
      <c r="AB219" s="49"/>
      <c r="AC219" s="48"/>
    </row>
    <row r="220" spans="1:29">
      <c r="A220" s="48" t="s">
        <v>10</v>
      </c>
      <c r="B220" s="48" t="s">
        <v>10</v>
      </c>
      <c r="C220" s="48" t="s">
        <v>523</v>
      </c>
      <c r="D220" s="48" t="s">
        <v>523</v>
      </c>
      <c r="E220" s="48" t="s">
        <v>90</v>
      </c>
      <c r="F220" s="48">
        <v>1</v>
      </c>
      <c r="G220" s="48" t="s">
        <v>525</v>
      </c>
      <c r="H220" s="48" t="s">
        <v>92</v>
      </c>
      <c r="I220" s="48" t="s">
        <v>119</v>
      </c>
      <c r="J220" s="48" t="s">
        <v>125</v>
      </c>
      <c r="K220" s="48">
        <v>9502951625</v>
      </c>
      <c r="L220" s="48">
        <v>623</v>
      </c>
      <c r="M220" s="48">
        <v>561</v>
      </c>
      <c r="N220" s="48">
        <v>1184</v>
      </c>
      <c r="O220" s="48">
        <v>38</v>
      </c>
      <c r="P220" s="48">
        <v>301</v>
      </c>
      <c r="Q220" s="48">
        <v>166</v>
      </c>
      <c r="R220" s="48">
        <v>56</v>
      </c>
      <c r="S220" s="48">
        <v>66</v>
      </c>
      <c r="T220" s="48">
        <v>322</v>
      </c>
      <c r="U220" s="48">
        <v>149</v>
      </c>
      <c r="V220" s="48">
        <v>86</v>
      </c>
      <c r="W220" s="48"/>
      <c r="X220" s="48"/>
      <c r="Y220" s="48"/>
      <c r="Z220" s="48"/>
      <c r="AA220" s="49"/>
      <c r="AB220" s="49"/>
      <c r="AC220" s="48"/>
    </row>
    <row r="221" spans="1:29">
      <c r="A221" s="48" t="s">
        <v>10</v>
      </c>
      <c r="B221" s="48" t="s">
        <v>10</v>
      </c>
      <c r="C221" s="48" t="s">
        <v>526</v>
      </c>
      <c r="D221" s="48" t="s">
        <v>526</v>
      </c>
      <c r="E221" s="48" t="s">
        <v>90</v>
      </c>
      <c r="F221" s="48">
        <v>2</v>
      </c>
      <c r="G221" s="48" t="s">
        <v>527</v>
      </c>
      <c r="H221" s="48" t="s">
        <v>4</v>
      </c>
      <c r="I221" s="48" t="s">
        <v>142</v>
      </c>
      <c r="J221" s="48" t="s">
        <v>114</v>
      </c>
      <c r="K221" s="48">
        <v>9573176365</v>
      </c>
      <c r="L221" s="48">
        <v>703</v>
      </c>
      <c r="M221" s="48">
        <v>728</v>
      </c>
      <c r="N221" s="48">
        <v>1431</v>
      </c>
      <c r="O221" s="48">
        <v>39</v>
      </c>
      <c r="P221" s="48">
        <v>365</v>
      </c>
      <c r="Q221" s="48">
        <v>215</v>
      </c>
      <c r="R221" s="48">
        <v>109</v>
      </c>
      <c r="S221" s="48">
        <v>52</v>
      </c>
      <c r="T221" s="48">
        <v>376</v>
      </c>
      <c r="U221" s="48">
        <v>180</v>
      </c>
      <c r="V221" s="48">
        <v>95</v>
      </c>
      <c r="W221" s="48"/>
      <c r="X221" s="48"/>
      <c r="Y221" s="48"/>
      <c r="Z221" s="48"/>
      <c r="AA221" s="49"/>
      <c r="AB221" s="49"/>
      <c r="AC221" s="48">
        <v>66</v>
      </c>
    </row>
    <row r="222" spans="1:29">
      <c r="A222" s="48" t="s">
        <v>10</v>
      </c>
      <c r="B222" s="48" t="s">
        <v>10</v>
      </c>
      <c r="C222" s="48" t="s">
        <v>528</v>
      </c>
      <c r="D222" s="48" t="s">
        <v>528</v>
      </c>
      <c r="E222" s="48" t="s">
        <v>90</v>
      </c>
      <c r="F222" s="48">
        <v>2</v>
      </c>
      <c r="G222" s="48" t="s">
        <v>529</v>
      </c>
      <c r="H222" s="48" t="s">
        <v>92</v>
      </c>
      <c r="I222" s="48" t="s">
        <v>97</v>
      </c>
      <c r="J222" s="48" t="s">
        <v>125</v>
      </c>
      <c r="K222" s="48">
        <v>9989771157</v>
      </c>
      <c r="L222" s="48">
        <v>1205</v>
      </c>
      <c r="M222" s="48">
        <v>1158</v>
      </c>
      <c r="N222" s="48">
        <v>2363</v>
      </c>
      <c r="O222" s="48">
        <v>62</v>
      </c>
      <c r="P222" s="48">
        <v>535</v>
      </c>
      <c r="Q222" s="48">
        <v>336</v>
      </c>
      <c r="R222" s="48">
        <v>225</v>
      </c>
      <c r="S222" s="48">
        <v>104</v>
      </c>
      <c r="T222" s="48">
        <v>555</v>
      </c>
      <c r="U222" s="48">
        <v>320</v>
      </c>
      <c r="V222" s="48">
        <v>226</v>
      </c>
      <c r="W222" s="48"/>
      <c r="X222" s="48"/>
      <c r="Y222" s="48"/>
      <c r="Z222" s="48"/>
      <c r="AA222" s="49"/>
      <c r="AB222" s="49"/>
      <c r="AC222" s="48">
        <v>64</v>
      </c>
    </row>
    <row r="223" spans="1:29">
      <c r="A223" s="48" t="s">
        <v>10</v>
      </c>
      <c r="B223" s="48" t="s">
        <v>10</v>
      </c>
      <c r="C223" s="48" t="s">
        <v>530</v>
      </c>
      <c r="D223" s="48" t="s">
        <v>530</v>
      </c>
      <c r="E223" s="48" t="s">
        <v>90</v>
      </c>
      <c r="F223" s="48">
        <v>2</v>
      </c>
      <c r="G223" s="48" t="s">
        <v>531</v>
      </c>
      <c r="H223" s="48" t="s">
        <v>92</v>
      </c>
      <c r="I223" s="48" t="s">
        <v>93</v>
      </c>
      <c r="J223" s="48" t="s">
        <v>139</v>
      </c>
      <c r="K223" s="48">
        <v>9885084202</v>
      </c>
      <c r="L223" s="48">
        <v>955</v>
      </c>
      <c r="M223" s="48">
        <v>877</v>
      </c>
      <c r="N223" s="48">
        <v>1832</v>
      </c>
      <c r="O223" s="48">
        <v>65</v>
      </c>
      <c r="P223" s="48">
        <v>387</v>
      </c>
      <c r="Q223" s="48">
        <v>262</v>
      </c>
      <c r="R223" s="48">
        <v>163</v>
      </c>
      <c r="S223" s="48">
        <v>71</v>
      </c>
      <c r="T223" s="48">
        <v>448</v>
      </c>
      <c r="U223" s="48">
        <v>244</v>
      </c>
      <c r="V223" s="48">
        <v>192</v>
      </c>
      <c r="W223" s="48"/>
      <c r="X223" s="48"/>
      <c r="Y223" s="48"/>
      <c r="Z223" s="48"/>
      <c r="AA223" s="49"/>
      <c r="AB223" s="49"/>
      <c r="AC223" s="48">
        <v>48</v>
      </c>
    </row>
    <row r="224" spans="1:29">
      <c r="A224" s="48" t="s">
        <v>10</v>
      </c>
      <c r="B224" s="48" t="s">
        <v>10</v>
      </c>
      <c r="C224" s="48" t="s">
        <v>532</v>
      </c>
      <c r="D224" s="48" t="s">
        <v>532</v>
      </c>
      <c r="E224" s="48" t="s">
        <v>90</v>
      </c>
      <c r="F224" s="48">
        <v>2</v>
      </c>
      <c r="G224" s="48" t="s">
        <v>533</v>
      </c>
      <c r="H224" s="48" t="s">
        <v>92</v>
      </c>
      <c r="I224" s="48" t="s">
        <v>119</v>
      </c>
      <c r="J224" s="48" t="s">
        <v>522</v>
      </c>
      <c r="K224" s="48">
        <v>9618036666</v>
      </c>
      <c r="L224" s="48">
        <v>890</v>
      </c>
      <c r="M224" s="48">
        <v>877</v>
      </c>
      <c r="N224" s="48">
        <v>1767</v>
      </c>
      <c r="O224" s="48">
        <v>77</v>
      </c>
      <c r="P224" s="48">
        <v>379</v>
      </c>
      <c r="Q224" s="48">
        <v>235</v>
      </c>
      <c r="R224" s="48">
        <v>186</v>
      </c>
      <c r="S224" s="48">
        <v>89</v>
      </c>
      <c r="T224" s="48">
        <v>358</v>
      </c>
      <c r="U224" s="48">
        <v>232</v>
      </c>
      <c r="V224" s="48">
        <v>211</v>
      </c>
      <c r="W224" s="48"/>
      <c r="X224" s="48"/>
      <c r="Y224" s="48"/>
      <c r="Z224" s="48"/>
      <c r="AA224" s="49"/>
      <c r="AB224" s="49"/>
      <c r="AC224" s="48">
        <v>48</v>
      </c>
    </row>
    <row r="225" spans="1:29">
      <c r="A225" s="48" t="s">
        <v>10</v>
      </c>
      <c r="B225" s="48" t="s">
        <v>10</v>
      </c>
      <c r="C225" s="48" t="s">
        <v>534</v>
      </c>
      <c r="D225" s="48" t="s">
        <v>534</v>
      </c>
      <c r="E225" s="48" t="s">
        <v>90</v>
      </c>
      <c r="F225" s="48">
        <v>3</v>
      </c>
      <c r="G225" s="48" t="s">
        <v>535</v>
      </c>
      <c r="H225" s="48" t="s">
        <v>4</v>
      </c>
      <c r="I225" s="48" t="s">
        <v>102</v>
      </c>
      <c r="J225" s="48" t="s">
        <v>139</v>
      </c>
      <c r="K225" s="48">
        <v>6300261226</v>
      </c>
      <c r="L225" s="48">
        <v>1493</v>
      </c>
      <c r="M225" s="48">
        <v>1446</v>
      </c>
      <c r="N225" s="48">
        <v>2939</v>
      </c>
      <c r="O225" s="48">
        <v>91</v>
      </c>
      <c r="P225" s="48">
        <v>642</v>
      </c>
      <c r="Q225" s="48">
        <v>390</v>
      </c>
      <c r="R225" s="48">
        <v>323</v>
      </c>
      <c r="S225" s="48">
        <v>111</v>
      </c>
      <c r="T225" s="48">
        <v>689</v>
      </c>
      <c r="U225" s="48">
        <v>407</v>
      </c>
      <c r="V225" s="48">
        <v>286</v>
      </c>
      <c r="W225" s="48"/>
      <c r="X225" s="48"/>
      <c r="Y225" s="48"/>
      <c r="Z225" s="48"/>
      <c r="AA225" s="49"/>
      <c r="AB225" s="49"/>
      <c r="AC225" s="48">
        <v>26</v>
      </c>
    </row>
    <row r="226" spans="1:29">
      <c r="A226" s="48" t="s">
        <v>10</v>
      </c>
      <c r="B226" s="48" t="s">
        <v>10</v>
      </c>
      <c r="C226" s="48" t="s">
        <v>536</v>
      </c>
      <c r="D226" s="48" t="s">
        <v>536</v>
      </c>
      <c r="E226" s="48" t="s">
        <v>90</v>
      </c>
      <c r="F226" s="48">
        <v>3</v>
      </c>
      <c r="G226" s="48" t="s">
        <v>537</v>
      </c>
      <c r="H226" s="48" t="s">
        <v>4</v>
      </c>
      <c r="I226" s="48" t="s">
        <v>93</v>
      </c>
      <c r="J226" s="48" t="s">
        <v>139</v>
      </c>
      <c r="K226" s="48">
        <v>9505223212</v>
      </c>
      <c r="L226" s="48">
        <v>1374</v>
      </c>
      <c r="M226" s="48">
        <v>1286</v>
      </c>
      <c r="N226" s="48">
        <v>2660</v>
      </c>
      <c r="O226" s="48">
        <v>62</v>
      </c>
      <c r="P226" s="48">
        <v>612</v>
      </c>
      <c r="Q226" s="48">
        <v>378</v>
      </c>
      <c r="R226" s="48">
        <v>234</v>
      </c>
      <c r="S226" s="48">
        <v>124</v>
      </c>
      <c r="T226" s="48">
        <v>635</v>
      </c>
      <c r="U226" s="48">
        <v>376</v>
      </c>
      <c r="V226" s="48">
        <v>239</v>
      </c>
      <c r="W226" s="48"/>
      <c r="X226" s="48"/>
      <c r="Y226" s="48"/>
      <c r="Z226" s="48"/>
      <c r="AA226" s="49"/>
      <c r="AB226" s="49"/>
      <c r="AC226" s="48">
        <v>55</v>
      </c>
    </row>
    <row r="227" spans="1:29">
      <c r="A227" s="48" t="s">
        <v>10</v>
      </c>
      <c r="B227" s="48" t="s">
        <v>10</v>
      </c>
      <c r="C227" s="54" t="s">
        <v>538</v>
      </c>
      <c r="D227" s="54" t="s">
        <v>538</v>
      </c>
      <c r="E227" s="48" t="s">
        <v>90</v>
      </c>
      <c r="F227" s="48">
        <v>3</v>
      </c>
      <c r="G227" s="48" t="s">
        <v>539</v>
      </c>
      <c r="H227" s="48" t="s">
        <v>92</v>
      </c>
      <c r="I227" s="48" t="s">
        <v>93</v>
      </c>
      <c r="J227" s="48" t="s">
        <v>139</v>
      </c>
      <c r="K227" s="48">
        <v>9705490442</v>
      </c>
      <c r="L227" s="48">
        <v>1790</v>
      </c>
      <c r="M227" s="48">
        <v>1733</v>
      </c>
      <c r="N227" s="48">
        <v>3523</v>
      </c>
      <c r="O227" s="48">
        <v>119</v>
      </c>
      <c r="P227" s="48">
        <v>873</v>
      </c>
      <c r="Q227" s="48">
        <v>434</v>
      </c>
      <c r="R227" s="48">
        <v>307</v>
      </c>
      <c r="S227" s="48">
        <v>174</v>
      </c>
      <c r="T227" s="48">
        <v>918</v>
      </c>
      <c r="U227" s="48">
        <v>437</v>
      </c>
      <c r="V227" s="48">
        <v>261</v>
      </c>
      <c r="W227" s="48"/>
      <c r="X227" s="48"/>
      <c r="Y227" s="48"/>
      <c r="Z227" s="48"/>
      <c r="AA227" s="49"/>
      <c r="AB227" s="49"/>
      <c r="AC227" s="48">
        <v>65</v>
      </c>
    </row>
    <row r="228" spans="1:29">
      <c r="A228" s="48" t="s">
        <v>10</v>
      </c>
      <c r="B228" s="48" t="s">
        <v>10</v>
      </c>
      <c r="C228" s="48" t="s">
        <v>540</v>
      </c>
      <c r="D228" s="48" t="s">
        <v>540</v>
      </c>
      <c r="E228" s="48" t="s">
        <v>90</v>
      </c>
      <c r="F228" s="48">
        <v>5</v>
      </c>
      <c r="G228" s="48" t="s">
        <v>541</v>
      </c>
      <c r="H228" s="48" t="s">
        <v>4</v>
      </c>
      <c r="I228" s="48" t="s">
        <v>113</v>
      </c>
      <c r="J228" s="48" t="s">
        <v>114</v>
      </c>
      <c r="K228" s="48">
        <v>9948821464</v>
      </c>
      <c r="L228" s="48">
        <v>2810</v>
      </c>
      <c r="M228" s="48">
        <v>2499</v>
      </c>
      <c r="N228" s="48">
        <v>5309</v>
      </c>
      <c r="O228" s="48">
        <v>109</v>
      </c>
      <c r="P228" s="48">
        <v>1137</v>
      </c>
      <c r="Q228" s="48">
        <v>794</v>
      </c>
      <c r="R228" s="48">
        <v>459</v>
      </c>
      <c r="S228" s="48">
        <v>223</v>
      </c>
      <c r="T228" s="48">
        <v>1346</v>
      </c>
      <c r="U228" s="48">
        <v>812</v>
      </c>
      <c r="V228" s="48">
        <v>429</v>
      </c>
      <c r="W228" s="48"/>
      <c r="X228" s="48"/>
      <c r="Y228" s="48"/>
      <c r="Z228" s="48"/>
      <c r="AA228" s="49"/>
      <c r="AB228" s="49"/>
      <c r="AC228" s="48">
        <v>59</v>
      </c>
    </row>
    <row r="229" spans="1:29">
      <c r="A229" s="48" t="s">
        <v>8</v>
      </c>
      <c r="B229" s="48" t="s">
        <v>8</v>
      </c>
      <c r="C229" s="48" t="s">
        <v>542</v>
      </c>
      <c r="D229" s="48" t="s">
        <v>542</v>
      </c>
      <c r="E229" s="48" t="s">
        <v>100</v>
      </c>
      <c r="F229" s="48">
        <v>1</v>
      </c>
      <c r="G229" s="48" t="s">
        <v>543</v>
      </c>
      <c r="H229" s="48" t="s">
        <v>92</v>
      </c>
      <c r="I229" s="48" t="s">
        <v>93</v>
      </c>
      <c r="J229" s="48" t="s">
        <v>125</v>
      </c>
      <c r="K229" s="48">
        <v>6304928489</v>
      </c>
      <c r="L229" s="48">
        <v>287</v>
      </c>
      <c r="M229" s="48">
        <v>336</v>
      </c>
      <c r="N229" s="48">
        <v>623</v>
      </c>
      <c r="O229" s="48">
        <v>32</v>
      </c>
      <c r="P229" s="48">
        <v>157</v>
      </c>
      <c r="Q229" s="48">
        <v>72</v>
      </c>
      <c r="R229" s="48">
        <v>75</v>
      </c>
      <c r="S229" s="48">
        <v>28</v>
      </c>
      <c r="T229" s="48">
        <v>138</v>
      </c>
      <c r="U229" s="48">
        <v>53</v>
      </c>
      <c r="V229" s="48">
        <v>68</v>
      </c>
      <c r="W229" s="48"/>
      <c r="X229" s="48"/>
      <c r="Y229" s="48"/>
      <c r="Z229" s="48"/>
      <c r="AA229" s="49"/>
      <c r="AB229" s="49"/>
      <c r="AC229" s="48">
        <v>98</v>
      </c>
    </row>
    <row r="230" spans="1:29">
      <c r="A230" s="48" t="s">
        <v>8</v>
      </c>
      <c r="B230" s="48" t="s">
        <v>8</v>
      </c>
      <c r="C230" s="48" t="s">
        <v>9</v>
      </c>
      <c r="D230" s="48" t="s">
        <v>9</v>
      </c>
      <c r="E230" s="48" t="s">
        <v>100</v>
      </c>
      <c r="F230" s="48">
        <v>1</v>
      </c>
      <c r="G230" s="48" t="s">
        <v>544</v>
      </c>
      <c r="H230" s="48" t="s">
        <v>92</v>
      </c>
      <c r="I230" s="48" t="s">
        <v>157</v>
      </c>
      <c r="J230" s="48" t="s">
        <v>545</v>
      </c>
      <c r="K230" s="48">
        <v>9493461257</v>
      </c>
      <c r="L230" s="48">
        <v>268</v>
      </c>
      <c r="M230" s="48">
        <v>289</v>
      </c>
      <c r="N230" s="48">
        <v>557</v>
      </c>
      <c r="O230" s="48">
        <v>20</v>
      </c>
      <c r="P230" s="48">
        <v>165</v>
      </c>
      <c r="Q230" s="48">
        <v>75</v>
      </c>
      <c r="R230" s="48">
        <v>29</v>
      </c>
      <c r="S230" s="48">
        <v>33</v>
      </c>
      <c r="T230" s="48">
        <v>155</v>
      </c>
      <c r="U230" s="48">
        <v>55</v>
      </c>
      <c r="V230" s="48">
        <v>25</v>
      </c>
      <c r="W230" s="48"/>
      <c r="X230" s="48"/>
      <c r="Y230" s="48"/>
      <c r="Z230" s="48"/>
      <c r="AA230" s="49"/>
      <c r="AB230" s="49"/>
      <c r="AC230" s="48">
        <v>89</v>
      </c>
    </row>
    <row r="231" spans="1:29">
      <c r="A231" s="48" t="s">
        <v>8</v>
      </c>
      <c r="B231" s="48" t="s">
        <v>8</v>
      </c>
      <c r="C231" s="48" t="s">
        <v>546</v>
      </c>
      <c r="D231" s="48" t="s">
        <v>546</v>
      </c>
      <c r="E231" s="48" t="s">
        <v>90</v>
      </c>
      <c r="F231" s="48">
        <v>2</v>
      </c>
      <c r="G231" s="48" t="s">
        <v>547</v>
      </c>
      <c r="H231" s="48" t="s">
        <v>92</v>
      </c>
      <c r="I231" s="48" t="s">
        <v>119</v>
      </c>
      <c r="J231" s="48" t="s">
        <v>205</v>
      </c>
      <c r="K231" s="48">
        <v>9177374670</v>
      </c>
      <c r="L231" s="48">
        <v>1137</v>
      </c>
      <c r="M231" s="48">
        <v>1153</v>
      </c>
      <c r="N231" s="48">
        <v>2290</v>
      </c>
      <c r="O231" s="48">
        <v>71</v>
      </c>
      <c r="P231" s="48">
        <v>487</v>
      </c>
      <c r="Q231" s="48">
        <v>370</v>
      </c>
      <c r="R231" s="48">
        <v>225</v>
      </c>
      <c r="S231" s="48">
        <v>115</v>
      </c>
      <c r="T231" s="48">
        <v>552</v>
      </c>
      <c r="U231" s="48">
        <v>323</v>
      </c>
      <c r="V231" s="48">
        <v>147</v>
      </c>
      <c r="W231" s="48"/>
      <c r="X231" s="48"/>
      <c r="Y231" s="48"/>
      <c r="Z231" s="48"/>
      <c r="AA231" s="49"/>
      <c r="AB231" s="49"/>
      <c r="AC231" s="48">
        <v>91</v>
      </c>
    </row>
    <row r="232" spans="1:29">
      <c r="A232" s="48" t="s">
        <v>8</v>
      </c>
      <c r="B232" s="48" t="s">
        <v>8</v>
      </c>
      <c r="C232" s="48" t="s">
        <v>548</v>
      </c>
      <c r="D232" s="48" t="s">
        <v>548</v>
      </c>
      <c r="E232" s="48" t="s">
        <v>90</v>
      </c>
      <c r="F232" s="48">
        <v>2</v>
      </c>
      <c r="G232" s="48" t="s">
        <v>549</v>
      </c>
      <c r="H232" s="48" t="s">
        <v>92</v>
      </c>
      <c r="I232" s="48" t="s">
        <v>142</v>
      </c>
      <c r="J232" s="48" t="s">
        <v>114</v>
      </c>
      <c r="K232" s="48">
        <v>7032881258</v>
      </c>
      <c r="L232" s="48">
        <v>55</v>
      </c>
      <c r="M232" s="48">
        <v>55</v>
      </c>
      <c r="N232" s="48">
        <v>2279</v>
      </c>
      <c r="O232" s="48">
        <v>0</v>
      </c>
      <c r="P232" s="48">
        <v>2</v>
      </c>
      <c r="Q232" s="48">
        <v>0</v>
      </c>
      <c r="R232" s="48">
        <v>0</v>
      </c>
      <c r="S232" s="48">
        <v>0</v>
      </c>
      <c r="T232" s="48">
        <v>0</v>
      </c>
      <c r="U232" s="48">
        <v>0</v>
      </c>
      <c r="V232" s="48">
        <v>0</v>
      </c>
      <c r="W232" s="48"/>
      <c r="X232" s="48"/>
      <c r="Y232" s="48"/>
      <c r="Z232" s="48"/>
      <c r="AA232" s="49"/>
      <c r="AB232" s="49"/>
      <c r="AC232" s="48">
        <v>84</v>
      </c>
    </row>
    <row r="233" spans="1:29">
      <c r="A233" s="48" t="s">
        <v>8</v>
      </c>
      <c r="B233" s="48" t="s">
        <v>8</v>
      </c>
      <c r="C233" s="48" t="s">
        <v>550</v>
      </c>
      <c r="D233" s="48" t="s">
        <v>550</v>
      </c>
      <c r="E233" s="48" t="s">
        <v>90</v>
      </c>
      <c r="F233" s="48">
        <v>10</v>
      </c>
      <c r="G233" s="48" t="s">
        <v>551</v>
      </c>
      <c r="H233" s="48" t="s">
        <v>92</v>
      </c>
      <c r="I233" s="48" t="s">
        <v>142</v>
      </c>
      <c r="J233" s="48" t="s">
        <v>114</v>
      </c>
      <c r="K233" s="48">
        <v>9032206048</v>
      </c>
      <c r="L233" s="48">
        <v>268</v>
      </c>
      <c r="M233" s="48">
        <v>277</v>
      </c>
      <c r="N233" s="48">
        <v>9894</v>
      </c>
      <c r="O233" s="48">
        <v>2</v>
      </c>
      <c r="P233" s="48">
        <v>1</v>
      </c>
      <c r="Q233" s="48">
        <v>1</v>
      </c>
      <c r="R233" s="48">
        <v>0</v>
      </c>
      <c r="S233" s="48">
        <v>0</v>
      </c>
      <c r="T233" s="48">
        <v>5</v>
      </c>
      <c r="U233" s="48">
        <v>0</v>
      </c>
      <c r="V233" s="48">
        <v>0</v>
      </c>
      <c r="W233" s="48"/>
      <c r="X233" s="48"/>
      <c r="Y233" s="48"/>
      <c r="Z233" s="48"/>
      <c r="AA233" s="49"/>
      <c r="AB233" s="49"/>
      <c r="AC233" s="48">
        <v>84</v>
      </c>
    </row>
    <row r="234" spans="1:29">
      <c r="A234" s="48" t="s">
        <v>8</v>
      </c>
      <c r="B234" s="48" t="s">
        <v>8</v>
      </c>
      <c r="C234" s="48" t="s">
        <v>552</v>
      </c>
      <c r="D234" s="48" t="s">
        <v>552</v>
      </c>
      <c r="E234" s="48" t="s">
        <v>90</v>
      </c>
      <c r="F234" s="48">
        <v>2</v>
      </c>
      <c r="G234" s="48" t="s">
        <v>553</v>
      </c>
      <c r="H234" s="48" t="s">
        <v>92</v>
      </c>
      <c r="I234" s="48" t="s">
        <v>119</v>
      </c>
      <c r="J234" s="48" t="s">
        <v>165</v>
      </c>
      <c r="K234" s="48">
        <v>9014143289</v>
      </c>
      <c r="L234" s="48">
        <v>58</v>
      </c>
      <c r="M234" s="48">
        <v>52</v>
      </c>
      <c r="N234" s="48">
        <v>2018</v>
      </c>
      <c r="O234" s="48">
        <v>0</v>
      </c>
      <c r="P234" s="48">
        <v>1</v>
      </c>
      <c r="Q234" s="48">
        <v>0</v>
      </c>
      <c r="R234" s="48">
        <v>0</v>
      </c>
      <c r="S234" s="48">
        <v>0</v>
      </c>
      <c r="T234" s="48">
        <v>1</v>
      </c>
      <c r="U234" s="48">
        <v>0</v>
      </c>
      <c r="V234" s="48">
        <v>0</v>
      </c>
      <c r="W234" s="48"/>
      <c r="X234" s="48"/>
      <c r="Y234" s="48"/>
      <c r="Z234" s="48"/>
      <c r="AA234" s="49"/>
      <c r="AB234" s="49"/>
      <c r="AC234" s="48">
        <v>76</v>
      </c>
    </row>
    <row r="235" spans="1:29">
      <c r="A235" s="48" t="s">
        <v>8</v>
      </c>
      <c r="B235" s="48" t="s">
        <v>8</v>
      </c>
      <c r="C235" s="48" t="s">
        <v>552</v>
      </c>
      <c r="D235" s="48" t="s">
        <v>554</v>
      </c>
      <c r="E235" s="48" t="s">
        <v>90</v>
      </c>
      <c r="F235" s="48">
        <v>1</v>
      </c>
      <c r="G235" s="48" t="s">
        <v>553</v>
      </c>
      <c r="H235" s="48" t="s">
        <v>92</v>
      </c>
      <c r="I235" s="48" t="s">
        <v>119</v>
      </c>
      <c r="J235" s="48" t="s">
        <v>165</v>
      </c>
      <c r="K235" s="48">
        <v>9014143289</v>
      </c>
      <c r="L235" s="48">
        <v>23</v>
      </c>
      <c r="M235" s="48">
        <v>32</v>
      </c>
      <c r="N235" s="48">
        <v>846</v>
      </c>
      <c r="O235" s="48">
        <v>1</v>
      </c>
      <c r="P235" s="48">
        <v>0</v>
      </c>
      <c r="Q235" s="48">
        <v>0</v>
      </c>
      <c r="R235" s="48">
        <v>0</v>
      </c>
      <c r="S235" s="48">
        <v>0</v>
      </c>
      <c r="T235" s="48">
        <v>0</v>
      </c>
      <c r="U235" s="48">
        <v>0</v>
      </c>
      <c r="V235" s="48">
        <v>0</v>
      </c>
      <c r="W235" s="48"/>
      <c r="X235" s="48"/>
      <c r="Y235" s="48"/>
      <c r="Z235" s="48"/>
      <c r="AA235" s="49"/>
      <c r="AB235" s="49"/>
      <c r="AC235" s="48">
        <v>76</v>
      </c>
    </row>
    <row r="236" spans="1:29">
      <c r="A236" s="48" t="s">
        <v>8</v>
      </c>
      <c r="B236" s="48" t="s">
        <v>8</v>
      </c>
      <c r="C236" s="48" t="s">
        <v>147</v>
      </c>
      <c r="D236" s="48" t="s">
        <v>147</v>
      </c>
      <c r="E236" s="48" t="s">
        <v>100</v>
      </c>
      <c r="F236" s="48">
        <v>1</v>
      </c>
      <c r="G236" s="48" t="s">
        <v>555</v>
      </c>
      <c r="H236" s="48" t="s">
        <v>4</v>
      </c>
      <c r="I236" s="48" t="s">
        <v>97</v>
      </c>
      <c r="J236" s="48" t="s">
        <v>94</v>
      </c>
      <c r="K236" s="48">
        <v>9701654577</v>
      </c>
      <c r="L236" s="48">
        <v>280</v>
      </c>
      <c r="M236" s="48">
        <v>358</v>
      </c>
      <c r="N236" s="48">
        <v>638</v>
      </c>
      <c r="O236" s="48">
        <v>22</v>
      </c>
      <c r="P236" s="48">
        <v>184</v>
      </c>
      <c r="Q236" s="48">
        <v>97</v>
      </c>
      <c r="R236" s="48">
        <v>55</v>
      </c>
      <c r="S236" s="48">
        <v>25</v>
      </c>
      <c r="T236" s="48">
        <v>159</v>
      </c>
      <c r="U236" s="48">
        <v>61</v>
      </c>
      <c r="V236" s="48">
        <v>35</v>
      </c>
      <c r="W236" s="48"/>
      <c r="X236" s="48"/>
      <c r="Y236" s="48"/>
      <c r="Z236" s="48"/>
      <c r="AA236" s="49"/>
      <c r="AB236" s="49"/>
      <c r="AC236" s="48"/>
    </row>
    <row r="237" spans="1:29">
      <c r="A237" s="48" t="s">
        <v>8</v>
      </c>
      <c r="B237" s="48" t="s">
        <v>8</v>
      </c>
      <c r="C237" s="48" t="s">
        <v>147</v>
      </c>
      <c r="D237" s="48" t="s">
        <v>556</v>
      </c>
      <c r="E237" s="48" t="s">
        <v>90</v>
      </c>
      <c r="F237" s="48">
        <v>1</v>
      </c>
      <c r="G237" s="48" t="s">
        <v>555</v>
      </c>
      <c r="H237" s="48" t="s">
        <v>4</v>
      </c>
      <c r="I237" s="48" t="s">
        <v>97</v>
      </c>
      <c r="J237" s="48" t="s">
        <v>94</v>
      </c>
      <c r="K237" s="48">
        <v>9701654577</v>
      </c>
      <c r="L237" s="48">
        <v>443</v>
      </c>
      <c r="M237" s="48">
        <v>409</v>
      </c>
      <c r="N237" s="48">
        <v>852</v>
      </c>
      <c r="O237" s="48">
        <v>26</v>
      </c>
      <c r="P237" s="48">
        <v>196</v>
      </c>
      <c r="Q237" s="48">
        <v>109</v>
      </c>
      <c r="R237" s="48">
        <v>77</v>
      </c>
      <c r="S237" s="48">
        <v>49</v>
      </c>
      <c r="T237" s="48">
        <v>222</v>
      </c>
      <c r="U237" s="48">
        <v>109</v>
      </c>
      <c r="V237" s="48">
        <v>63</v>
      </c>
      <c r="W237" s="48"/>
      <c r="X237" s="48"/>
      <c r="Y237" s="48"/>
      <c r="Z237" s="48"/>
      <c r="AA237" s="49"/>
      <c r="AB237" s="49"/>
      <c r="AC237" s="48"/>
    </row>
    <row r="238" spans="1:29">
      <c r="A238" s="48" t="s">
        <v>8</v>
      </c>
      <c r="B238" s="48" t="s">
        <v>8</v>
      </c>
      <c r="C238" s="48" t="s">
        <v>557</v>
      </c>
      <c r="D238" s="48" t="s">
        <v>557</v>
      </c>
      <c r="E238" s="48" t="s">
        <v>95</v>
      </c>
      <c r="F238" s="48">
        <v>2</v>
      </c>
      <c r="G238" s="48" t="s">
        <v>558</v>
      </c>
      <c r="H238" s="48" t="s">
        <v>4</v>
      </c>
      <c r="I238" s="48" t="s">
        <v>102</v>
      </c>
      <c r="J238" s="48" t="s">
        <v>139</v>
      </c>
      <c r="K238" s="48">
        <v>9676356350</v>
      </c>
      <c r="L238" s="48">
        <v>840</v>
      </c>
      <c r="M238" s="48">
        <v>895</v>
      </c>
      <c r="N238" s="48">
        <v>1735</v>
      </c>
      <c r="O238" s="48">
        <v>46</v>
      </c>
      <c r="P238" s="48">
        <v>408</v>
      </c>
      <c r="Q238" s="48">
        <v>232</v>
      </c>
      <c r="R238" s="48">
        <v>151</v>
      </c>
      <c r="S238" s="48">
        <v>77</v>
      </c>
      <c r="T238" s="48">
        <v>387</v>
      </c>
      <c r="U238" s="48">
        <v>181</v>
      </c>
      <c r="V238" s="48">
        <v>119</v>
      </c>
      <c r="W238" s="48"/>
      <c r="X238" s="48"/>
      <c r="Y238" s="48"/>
      <c r="Z238" s="48"/>
      <c r="AA238" s="49"/>
      <c r="AB238" s="49"/>
      <c r="AC238" s="48">
        <v>79</v>
      </c>
    </row>
    <row r="239" spans="1:29">
      <c r="A239" s="48" t="s">
        <v>8</v>
      </c>
      <c r="B239" s="48" t="s">
        <v>8</v>
      </c>
      <c r="C239" s="48" t="s">
        <v>559</v>
      </c>
      <c r="D239" s="48" t="s">
        <v>559</v>
      </c>
      <c r="E239" s="48" t="s">
        <v>95</v>
      </c>
      <c r="F239" s="48">
        <v>1</v>
      </c>
      <c r="G239" s="48" t="e">
        <v>#N/A</v>
      </c>
      <c r="H239" s="48"/>
      <c r="I239" s="48"/>
      <c r="J239" s="48"/>
      <c r="K239" s="48"/>
      <c r="L239" s="48">
        <v>28</v>
      </c>
      <c r="M239" s="48">
        <v>27</v>
      </c>
      <c r="N239" s="48">
        <v>604</v>
      </c>
      <c r="O239" s="48">
        <v>0</v>
      </c>
      <c r="P239" s="48">
        <v>0</v>
      </c>
      <c r="Q239" s="48">
        <v>0</v>
      </c>
      <c r="R239" s="48">
        <v>0</v>
      </c>
      <c r="S239" s="48">
        <v>0</v>
      </c>
      <c r="T239" s="48">
        <v>0</v>
      </c>
      <c r="U239" s="48">
        <v>0</v>
      </c>
      <c r="V239" s="48">
        <v>1</v>
      </c>
      <c r="W239" s="48"/>
      <c r="X239" s="48"/>
      <c r="Y239" s="48"/>
      <c r="Z239" s="48"/>
      <c r="AA239" s="49"/>
      <c r="AB239" s="49"/>
      <c r="AC239" s="48" t="e">
        <v>#N/A</v>
      </c>
    </row>
    <row r="240" spans="1:29">
      <c r="A240" s="48" t="s">
        <v>8</v>
      </c>
      <c r="B240" s="48" t="s">
        <v>8</v>
      </c>
      <c r="C240" s="48" t="s">
        <v>560</v>
      </c>
      <c r="D240" s="48" t="s">
        <v>560</v>
      </c>
      <c r="E240" s="48" t="s">
        <v>90</v>
      </c>
      <c r="F240" s="48">
        <v>2</v>
      </c>
      <c r="G240" s="48" t="s">
        <v>561</v>
      </c>
      <c r="H240" s="48" t="s">
        <v>4</v>
      </c>
      <c r="I240" s="48" t="s">
        <v>102</v>
      </c>
      <c r="J240" s="48" t="s">
        <v>139</v>
      </c>
      <c r="K240" s="48">
        <v>9948498889</v>
      </c>
      <c r="L240" s="48">
        <v>828</v>
      </c>
      <c r="M240" s="48">
        <v>832</v>
      </c>
      <c r="N240" s="48">
        <v>1662</v>
      </c>
      <c r="O240" s="48">
        <v>76</v>
      </c>
      <c r="P240" s="48">
        <v>354</v>
      </c>
      <c r="Q240" s="48">
        <v>244</v>
      </c>
      <c r="R240" s="48">
        <v>157</v>
      </c>
      <c r="S240" s="48">
        <v>92</v>
      </c>
      <c r="T240" s="48">
        <v>359</v>
      </c>
      <c r="U240" s="48">
        <v>202</v>
      </c>
      <c r="V240" s="48">
        <v>175</v>
      </c>
      <c r="W240" s="48"/>
      <c r="X240" s="48"/>
      <c r="Y240" s="48"/>
      <c r="Z240" s="48"/>
      <c r="AA240" s="49"/>
      <c r="AB240" s="49"/>
      <c r="AC240" s="48">
        <v>82</v>
      </c>
    </row>
    <row r="241" spans="1:29">
      <c r="A241" s="48" t="s">
        <v>8</v>
      </c>
      <c r="B241" s="48" t="s">
        <v>8</v>
      </c>
      <c r="C241" s="48" t="s">
        <v>562</v>
      </c>
      <c r="D241" s="48" t="s">
        <v>562</v>
      </c>
      <c r="E241" s="48" t="s">
        <v>90</v>
      </c>
      <c r="F241" s="48">
        <v>3</v>
      </c>
      <c r="G241" s="48" t="s">
        <v>563</v>
      </c>
      <c r="H241" s="48" t="s">
        <v>92</v>
      </c>
      <c r="I241" s="48" t="s">
        <v>97</v>
      </c>
      <c r="J241" s="48" t="s">
        <v>165</v>
      </c>
      <c r="K241" s="48">
        <v>9393167777</v>
      </c>
      <c r="L241" s="48">
        <v>1545</v>
      </c>
      <c r="M241" s="48">
        <v>1599</v>
      </c>
      <c r="N241" s="48">
        <v>3146</v>
      </c>
      <c r="O241" s="48">
        <v>62</v>
      </c>
      <c r="P241" s="48">
        <v>793</v>
      </c>
      <c r="Q241" s="48">
        <v>447</v>
      </c>
      <c r="R241" s="48">
        <v>296</v>
      </c>
      <c r="S241" s="48">
        <v>94</v>
      </c>
      <c r="T241" s="48">
        <v>825</v>
      </c>
      <c r="U241" s="48">
        <v>374</v>
      </c>
      <c r="V241" s="48">
        <v>252</v>
      </c>
      <c r="W241" s="48"/>
      <c r="X241" s="48"/>
      <c r="Y241" s="48"/>
      <c r="Z241" s="48"/>
      <c r="AA241" s="49"/>
      <c r="AB241" s="49"/>
      <c r="AC241" s="48">
        <v>88</v>
      </c>
    </row>
    <row r="242" spans="1:29">
      <c r="A242" s="48" t="s">
        <v>8</v>
      </c>
      <c r="B242" s="48" t="s">
        <v>8</v>
      </c>
      <c r="C242" s="48" t="s">
        <v>564</v>
      </c>
      <c r="D242" s="48" t="s">
        <v>564</v>
      </c>
      <c r="E242" s="48" t="s">
        <v>90</v>
      </c>
      <c r="F242" s="48">
        <v>3</v>
      </c>
      <c r="G242" s="48" t="s">
        <v>565</v>
      </c>
      <c r="H242" s="48" t="s">
        <v>92</v>
      </c>
      <c r="I242" s="48" t="s">
        <v>113</v>
      </c>
      <c r="J242" s="48" t="s">
        <v>114</v>
      </c>
      <c r="K242" s="48">
        <v>9492037619</v>
      </c>
      <c r="L242" s="48">
        <v>63</v>
      </c>
      <c r="M242" s="48">
        <v>100</v>
      </c>
      <c r="N242" s="48">
        <v>2673</v>
      </c>
      <c r="O242" s="48">
        <v>0</v>
      </c>
      <c r="P242" s="48">
        <v>2</v>
      </c>
      <c r="Q242" s="48">
        <v>0</v>
      </c>
      <c r="R242" s="48">
        <v>0</v>
      </c>
      <c r="S242" s="48">
        <v>0</v>
      </c>
      <c r="T242" s="48">
        <v>0</v>
      </c>
      <c r="U242" s="48">
        <v>0</v>
      </c>
      <c r="V242" s="48">
        <v>0</v>
      </c>
      <c r="W242" s="48"/>
      <c r="X242" s="48"/>
      <c r="Y242" s="48"/>
      <c r="Z242" s="48"/>
      <c r="AA242" s="49"/>
      <c r="AB242" s="49"/>
      <c r="AC242" s="48">
        <v>63</v>
      </c>
    </row>
    <row r="243" spans="1:29">
      <c r="A243" s="48" t="s">
        <v>8</v>
      </c>
      <c r="B243" s="48" t="s">
        <v>8</v>
      </c>
      <c r="C243" s="48" t="s">
        <v>8</v>
      </c>
      <c r="D243" s="48" t="s">
        <v>8</v>
      </c>
      <c r="E243" s="48" t="s">
        <v>90</v>
      </c>
      <c r="F243" s="48">
        <v>9</v>
      </c>
      <c r="G243" s="48" t="s">
        <v>566</v>
      </c>
      <c r="H243" s="48" t="s">
        <v>92</v>
      </c>
      <c r="I243" s="48" t="s">
        <v>142</v>
      </c>
      <c r="J243" s="48" t="s">
        <v>114</v>
      </c>
      <c r="K243" s="48">
        <v>9849752539</v>
      </c>
      <c r="L243" s="48">
        <v>4629</v>
      </c>
      <c r="M243" s="48">
        <v>4877</v>
      </c>
      <c r="N243" s="48">
        <v>9509</v>
      </c>
      <c r="O243" s="48">
        <v>375</v>
      </c>
      <c r="P243" s="48">
        <v>2401</v>
      </c>
      <c r="Q243" s="48">
        <v>1278</v>
      </c>
      <c r="R243" s="48">
        <v>816</v>
      </c>
      <c r="S243" s="48">
        <v>426</v>
      </c>
      <c r="T243" s="48">
        <v>2302</v>
      </c>
      <c r="U243" s="48">
        <v>1255</v>
      </c>
      <c r="V243" s="48">
        <v>642</v>
      </c>
      <c r="W243" s="48"/>
      <c r="X243" s="48"/>
      <c r="Y243" s="48"/>
      <c r="Z243" s="48"/>
      <c r="AA243" s="49"/>
      <c r="AB243" s="49"/>
      <c r="AC243" s="48">
        <v>84</v>
      </c>
    </row>
    <row r="244" spans="1:29">
      <c r="A244" s="48" t="s">
        <v>8</v>
      </c>
      <c r="B244" s="48" t="s">
        <v>8</v>
      </c>
      <c r="C244" s="48" t="s">
        <v>567</v>
      </c>
      <c r="D244" s="48" t="s">
        <v>567</v>
      </c>
      <c r="E244" s="48" t="s">
        <v>90</v>
      </c>
      <c r="F244" s="48">
        <v>4</v>
      </c>
      <c r="G244" s="48" t="s">
        <v>568</v>
      </c>
      <c r="H244" s="48" t="s">
        <v>92</v>
      </c>
      <c r="I244" s="48" t="s">
        <v>97</v>
      </c>
      <c r="J244" s="48" t="s">
        <v>165</v>
      </c>
      <c r="K244" s="48">
        <v>9505234510</v>
      </c>
      <c r="L244" s="48">
        <v>109</v>
      </c>
      <c r="M244" s="48">
        <v>109</v>
      </c>
      <c r="N244" s="48">
        <v>4788</v>
      </c>
      <c r="O244" s="48">
        <v>0</v>
      </c>
      <c r="P244" s="48">
        <v>1</v>
      </c>
      <c r="Q244" s="48">
        <v>0</v>
      </c>
      <c r="R244" s="48">
        <v>0</v>
      </c>
      <c r="S244" s="48">
        <v>0</v>
      </c>
      <c r="T244" s="48">
        <v>0</v>
      </c>
      <c r="U244" s="48">
        <v>0</v>
      </c>
      <c r="V244" s="48">
        <v>2</v>
      </c>
      <c r="W244" s="48"/>
      <c r="X244" s="48"/>
      <c r="Y244" s="48"/>
      <c r="Z244" s="48"/>
      <c r="AA244" s="49"/>
      <c r="AB244" s="49"/>
      <c r="AC244" s="48">
        <v>68</v>
      </c>
    </row>
    <row r="245" spans="1:29">
      <c r="A245" s="48" t="s">
        <v>8</v>
      </c>
      <c r="B245" s="48" t="s">
        <v>8</v>
      </c>
      <c r="C245" s="48" t="s">
        <v>569</v>
      </c>
      <c r="D245" s="48" t="s">
        <v>569</v>
      </c>
      <c r="E245" s="48" t="s">
        <v>90</v>
      </c>
      <c r="F245" s="48">
        <v>1</v>
      </c>
      <c r="G245" s="48" t="e">
        <v>#N/A</v>
      </c>
      <c r="H245" s="48"/>
      <c r="I245" s="48"/>
      <c r="J245" s="48"/>
      <c r="K245" s="48"/>
      <c r="L245" s="48">
        <v>503</v>
      </c>
      <c r="M245" s="48">
        <v>540</v>
      </c>
      <c r="N245" s="48">
        <v>1045</v>
      </c>
      <c r="O245" s="48">
        <v>37</v>
      </c>
      <c r="P245" s="48">
        <v>264</v>
      </c>
      <c r="Q245" s="48">
        <v>162</v>
      </c>
      <c r="R245" s="48">
        <v>77</v>
      </c>
      <c r="S245" s="48">
        <v>48</v>
      </c>
      <c r="T245" s="48">
        <v>250</v>
      </c>
      <c r="U245" s="48">
        <v>142</v>
      </c>
      <c r="V245" s="48">
        <v>63</v>
      </c>
      <c r="W245" s="48"/>
      <c r="X245" s="48"/>
      <c r="Y245" s="48"/>
      <c r="Z245" s="48"/>
      <c r="AA245" s="49"/>
      <c r="AB245" s="49"/>
      <c r="AC245" s="48" t="e">
        <v>#N/A</v>
      </c>
    </row>
    <row r="246" spans="1:29">
      <c r="A246" s="48" t="s">
        <v>8</v>
      </c>
      <c r="B246" s="48" t="s">
        <v>8</v>
      </c>
      <c r="C246" s="48" t="s">
        <v>570</v>
      </c>
      <c r="D246" s="48" t="s">
        <v>570</v>
      </c>
      <c r="E246" s="48" t="s">
        <v>90</v>
      </c>
      <c r="F246" s="48">
        <v>2</v>
      </c>
      <c r="G246" s="48" t="s">
        <v>571</v>
      </c>
      <c r="H246" s="48" t="s">
        <v>4</v>
      </c>
      <c r="I246" s="48" t="s">
        <v>93</v>
      </c>
      <c r="J246" s="48" t="s">
        <v>139</v>
      </c>
      <c r="K246" s="48">
        <v>9989798634</v>
      </c>
      <c r="L246" s="48">
        <v>56</v>
      </c>
      <c r="M246" s="48">
        <v>53</v>
      </c>
      <c r="N246" s="48">
        <v>2094</v>
      </c>
      <c r="O246" s="48">
        <v>0</v>
      </c>
      <c r="P246" s="48">
        <v>0</v>
      </c>
      <c r="Q246" s="48">
        <v>0</v>
      </c>
      <c r="R246" s="48">
        <v>0</v>
      </c>
      <c r="S246" s="48">
        <v>0</v>
      </c>
      <c r="T246" s="48">
        <v>1</v>
      </c>
      <c r="U246" s="48">
        <v>1</v>
      </c>
      <c r="V246" s="48">
        <v>0</v>
      </c>
      <c r="W246" s="48"/>
      <c r="X246" s="48"/>
      <c r="Y246" s="48"/>
      <c r="Z246" s="48"/>
      <c r="AA246" s="49"/>
      <c r="AB246" s="49"/>
      <c r="AC246" s="48">
        <v>83</v>
      </c>
    </row>
    <row r="247" spans="1:29">
      <c r="A247" s="48" t="s">
        <v>8</v>
      </c>
      <c r="B247" s="48" t="s">
        <v>8</v>
      </c>
      <c r="C247" s="48" t="s">
        <v>572</v>
      </c>
      <c r="D247" s="48" t="s">
        <v>572</v>
      </c>
      <c r="E247" s="48" t="s">
        <v>90</v>
      </c>
      <c r="F247" s="48">
        <v>1</v>
      </c>
      <c r="G247" s="48" t="e">
        <v>#N/A</v>
      </c>
      <c r="H247" s="48"/>
      <c r="I247" s="48"/>
      <c r="J247" s="48"/>
      <c r="K247" s="48"/>
      <c r="L247" s="48">
        <v>480</v>
      </c>
      <c r="M247" s="48">
        <v>497</v>
      </c>
      <c r="N247" s="48">
        <v>977</v>
      </c>
      <c r="O247" s="48">
        <v>37</v>
      </c>
      <c r="P247" s="48">
        <v>257</v>
      </c>
      <c r="Q247" s="48">
        <v>147</v>
      </c>
      <c r="R247" s="48">
        <v>56</v>
      </c>
      <c r="S247" s="48">
        <v>43</v>
      </c>
      <c r="T247" s="48">
        <v>247</v>
      </c>
      <c r="U247" s="48">
        <v>139</v>
      </c>
      <c r="V247" s="48">
        <v>51</v>
      </c>
      <c r="W247" s="48"/>
      <c r="X247" s="48"/>
      <c r="Y247" s="48"/>
      <c r="Z247" s="48"/>
      <c r="AA247" s="49"/>
      <c r="AB247" s="49"/>
      <c r="AC247" s="48" t="e">
        <v>#N/A</v>
      </c>
    </row>
    <row r="248" spans="1:29">
      <c r="A248" s="48" t="s">
        <v>8</v>
      </c>
      <c r="B248" s="48" t="s">
        <v>8</v>
      </c>
      <c r="C248" s="48" t="s">
        <v>573</v>
      </c>
      <c r="D248" s="48" t="s">
        <v>573</v>
      </c>
      <c r="E248" s="48" t="s">
        <v>95</v>
      </c>
      <c r="F248" s="48">
        <v>2</v>
      </c>
      <c r="G248" s="48" t="s">
        <v>574</v>
      </c>
      <c r="H248" s="48" t="s">
        <v>92</v>
      </c>
      <c r="I248" s="48" t="s">
        <v>93</v>
      </c>
      <c r="J248" s="48" t="s">
        <v>139</v>
      </c>
      <c r="K248" s="48">
        <v>9849189893</v>
      </c>
      <c r="L248" s="48">
        <v>58</v>
      </c>
      <c r="M248" s="48">
        <v>52</v>
      </c>
      <c r="N248" s="48">
        <v>1663</v>
      </c>
      <c r="O248" s="48">
        <v>0</v>
      </c>
      <c r="P248" s="48">
        <v>0</v>
      </c>
      <c r="Q248" s="48">
        <v>0</v>
      </c>
      <c r="R248" s="48">
        <v>0</v>
      </c>
      <c r="S248" s="48">
        <v>0</v>
      </c>
      <c r="T248" s="48">
        <v>2</v>
      </c>
      <c r="U248" s="48">
        <v>0</v>
      </c>
      <c r="V248" s="48">
        <v>0</v>
      </c>
      <c r="W248" s="48"/>
      <c r="X248" s="48"/>
      <c r="Y248" s="48"/>
      <c r="Z248" s="48"/>
      <c r="AA248" s="49"/>
      <c r="AB248" s="49"/>
      <c r="AC248" s="48">
        <v>93</v>
      </c>
    </row>
    <row r="249" spans="1:29">
      <c r="A249" s="48" t="s">
        <v>8</v>
      </c>
      <c r="B249" s="48" t="s">
        <v>8</v>
      </c>
      <c r="C249" s="48" t="s">
        <v>575</v>
      </c>
      <c r="D249" s="48" t="s">
        <v>575</v>
      </c>
      <c r="E249" s="48" t="s">
        <v>90</v>
      </c>
      <c r="F249" s="48">
        <v>2</v>
      </c>
      <c r="G249" s="48" t="s">
        <v>576</v>
      </c>
      <c r="H249" s="48" t="s">
        <v>4</v>
      </c>
      <c r="I249" s="48" t="s">
        <v>93</v>
      </c>
      <c r="J249" s="48" t="s">
        <v>139</v>
      </c>
      <c r="K249" s="48">
        <v>9000244888</v>
      </c>
      <c r="L249" s="48">
        <v>1180</v>
      </c>
      <c r="M249" s="48">
        <v>1132</v>
      </c>
      <c r="N249" s="48">
        <v>2314</v>
      </c>
      <c r="O249" s="48">
        <v>70</v>
      </c>
      <c r="P249" s="48">
        <v>568</v>
      </c>
      <c r="Q249" s="48">
        <v>294</v>
      </c>
      <c r="R249" s="48">
        <v>200</v>
      </c>
      <c r="S249" s="48">
        <v>109</v>
      </c>
      <c r="T249" s="48">
        <v>569</v>
      </c>
      <c r="U249" s="48">
        <v>315</v>
      </c>
      <c r="V249" s="48">
        <v>187</v>
      </c>
      <c r="W249" s="48"/>
      <c r="X249" s="48"/>
      <c r="Y249" s="48"/>
      <c r="Z249" s="48"/>
      <c r="AA249" s="49"/>
      <c r="AB249" s="49"/>
      <c r="AC249" s="48">
        <v>67</v>
      </c>
    </row>
    <row r="250" spans="1:29">
      <c r="A250" s="48" t="s">
        <v>8</v>
      </c>
      <c r="B250" s="48" t="s">
        <v>8</v>
      </c>
      <c r="C250" s="48" t="s">
        <v>577</v>
      </c>
      <c r="D250" s="48" t="s">
        <v>577</v>
      </c>
      <c r="E250" s="48" t="s">
        <v>95</v>
      </c>
      <c r="F250" s="48">
        <v>1</v>
      </c>
      <c r="G250" s="48" t="s">
        <v>578</v>
      </c>
      <c r="H250" s="48" t="s">
        <v>92</v>
      </c>
      <c r="I250" s="48" t="s">
        <v>93</v>
      </c>
      <c r="J250" s="48" t="s">
        <v>98</v>
      </c>
      <c r="K250" s="48">
        <v>9949601203</v>
      </c>
      <c r="L250" s="48">
        <v>25</v>
      </c>
      <c r="M250" s="48">
        <v>29</v>
      </c>
      <c r="N250" s="48">
        <v>1129</v>
      </c>
      <c r="O250" s="48">
        <v>1</v>
      </c>
      <c r="P250" s="48">
        <v>0</v>
      </c>
      <c r="Q250" s="48">
        <v>0</v>
      </c>
      <c r="R250" s="48">
        <v>0</v>
      </c>
      <c r="S250" s="48">
        <v>0</v>
      </c>
      <c r="T250" s="48">
        <v>0</v>
      </c>
      <c r="U250" s="48">
        <v>0</v>
      </c>
      <c r="V250" s="48">
        <v>0</v>
      </c>
      <c r="W250" s="48"/>
      <c r="X250" s="48"/>
      <c r="Y250" s="48"/>
      <c r="Z250" s="48"/>
      <c r="AA250" s="49"/>
      <c r="AB250" s="49"/>
      <c r="AC250" s="48">
        <v>77</v>
      </c>
    </row>
    <row r="251" spans="1:29">
      <c r="A251" s="48" t="s">
        <v>8</v>
      </c>
      <c r="B251" s="48" t="s">
        <v>8</v>
      </c>
      <c r="C251" s="48" t="s">
        <v>579</v>
      </c>
      <c r="D251" s="48" t="s">
        <v>579</v>
      </c>
      <c r="E251" s="48" t="s">
        <v>90</v>
      </c>
      <c r="F251" s="48">
        <v>1</v>
      </c>
      <c r="G251" s="48" t="s">
        <v>580</v>
      </c>
      <c r="H251" s="48" t="s">
        <v>92</v>
      </c>
      <c r="I251" s="48" t="s">
        <v>93</v>
      </c>
      <c r="J251" s="48" t="s">
        <v>139</v>
      </c>
      <c r="K251" s="48">
        <v>9676444569</v>
      </c>
      <c r="L251" s="48">
        <v>26</v>
      </c>
      <c r="M251" s="48">
        <v>28</v>
      </c>
      <c r="N251" s="48">
        <v>927</v>
      </c>
      <c r="O251" s="48">
        <v>0</v>
      </c>
      <c r="P251" s="48">
        <v>0</v>
      </c>
      <c r="Q251" s="48">
        <v>0</v>
      </c>
      <c r="R251" s="48">
        <v>1</v>
      </c>
      <c r="S251" s="48">
        <v>0</v>
      </c>
      <c r="T251" s="48">
        <v>0</v>
      </c>
      <c r="U251" s="48">
        <v>0</v>
      </c>
      <c r="V251" s="48">
        <v>0</v>
      </c>
      <c r="W251" s="48"/>
      <c r="X251" s="48"/>
      <c r="Y251" s="48"/>
      <c r="Z251" s="48"/>
      <c r="AA251" s="49"/>
      <c r="AB251" s="49"/>
      <c r="AC251" s="48">
        <v>80</v>
      </c>
    </row>
    <row r="252" spans="1:29">
      <c r="A252" s="48" t="s">
        <v>8</v>
      </c>
      <c r="B252" s="48" t="s">
        <v>8</v>
      </c>
      <c r="C252" s="48" t="s">
        <v>581</v>
      </c>
      <c r="D252" s="48" t="s">
        <v>581</v>
      </c>
      <c r="E252" s="48" t="s">
        <v>90</v>
      </c>
      <c r="F252" s="48">
        <v>6</v>
      </c>
      <c r="G252" s="48" t="s">
        <v>582</v>
      </c>
      <c r="H252" s="48" t="s">
        <v>4</v>
      </c>
      <c r="I252" s="48" t="s">
        <v>113</v>
      </c>
      <c r="J252" s="48" t="s">
        <v>114</v>
      </c>
      <c r="K252" s="48">
        <v>9515469466</v>
      </c>
      <c r="L252" s="48">
        <v>2142</v>
      </c>
      <c r="M252" s="48">
        <v>2117</v>
      </c>
      <c r="N252" s="48">
        <v>6055</v>
      </c>
      <c r="O252" s="48">
        <v>78</v>
      </c>
      <c r="P252" s="48">
        <v>843</v>
      </c>
      <c r="Q252" s="48">
        <v>641</v>
      </c>
      <c r="R252" s="48">
        <v>494</v>
      </c>
      <c r="S252" s="48">
        <v>158</v>
      </c>
      <c r="T252" s="48">
        <v>916</v>
      </c>
      <c r="U252" s="48">
        <v>585</v>
      </c>
      <c r="V252" s="48">
        <v>436</v>
      </c>
      <c r="W252" s="48"/>
      <c r="X252" s="48"/>
      <c r="Y252" s="48"/>
      <c r="Z252" s="48"/>
      <c r="AA252" s="49"/>
      <c r="AB252" s="49"/>
      <c r="AC252" s="48">
        <v>80</v>
      </c>
    </row>
    <row r="253" spans="1:29">
      <c r="A253" s="48" t="s">
        <v>8</v>
      </c>
      <c r="B253" s="48" t="s">
        <v>8</v>
      </c>
      <c r="C253" s="48" t="s">
        <v>583</v>
      </c>
      <c r="D253" s="48" t="s">
        <v>584</v>
      </c>
      <c r="E253" s="48" t="s">
        <v>90</v>
      </c>
      <c r="F253" s="48">
        <v>2</v>
      </c>
      <c r="G253" s="48" t="s">
        <v>585</v>
      </c>
      <c r="H253" s="48" t="s">
        <v>92</v>
      </c>
      <c r="I253" s="48" t="s">
        <v>119</v>
      </c>
      <c r="J253" s="48" t="s">
        <v>586</v>
      </c>
      <c r="K253" s="48">
        <v>9848851521</v>
      </c>
      <c r="L253" s="48">
        <v>529</v>
      </c>
      <c r="M253" s="48">
        <v>506</v>
      </c>
      <c r="N253" s="48">
        <v>1036</v>
      </c>
      <c r="O253" s="48">
        <v>31</v>
      </c>
      <c r="P253" s="48">
        <v>252</v>
      </c>
      <c r="Q253" s="48">
        <v>122</v>
      </c>
      <c r="R253" s="48">
        <v>101</v>
      </c>
      <c r="S253" s="48">
        <v>48</v>
      </c>
      <c r="T253" s="48">
        <v>275</v>
      </c>
      <c r="U253" s="48">
        <v>119</v>
      </c>
      <c r="V253" s="48">
        <v>86</v>
      </c>
      <c r="W253" s="48"/>
      <c r="X253" s="48"/>
      <c r="Y253" s="48"/>
      <c r="Z253" s="48"/>
      <c r="AA253" s="49"/>
      <c r="AB253" s="49"/>
      <c r="AC253" s="48">
        <v>41</v>
      </c>
    </row>
    <row r="254" spans="1:29">
      <c r="A254" s="48" t="s">
        <v>8</v>
      </c>
      <c r="B254" s="48" t="s">
        <v>8</v>
      </c>
      <c r="C254" s="48" t="s">
        <v>583</v>
      </c>
      <c r="D254" s="48" t="s">
        <v>583</v>
      </c>
      <c r="E254" s="48" t="s">
        <v>90</v>
      </c>
      <c r="F254" s="48">
        <v>4</v>
      </c>
      <c r="G254" s="48" t="s">
        <v>585</v>
      </c>
      <c r="H254" s="48" t="s">
        <v>92</v>
      </c>
      <c r="I254" s="48" t="s">
        <v>119</v>
      </c>
      <c r="J254" s="48" t="s">
        <v>586</v>
      </c>
      <c r="K254" s="48">
        <v>9848851521</v>
      </c>
      <c r="L254" s="48">
        <v>1650</v>
      </c>
      <c r="M254" s="48">
        <v>1573</v>
      </c>
      <c r="N254" s="48">
        <v>3223</v>
      </c>
      <c r="O254" s="48">
        <v>96</v>
      </c>
      <c r="P254" s="48">
        <v>688</v>
      </c>
      <c r="Q254" s="48">
        <v>467</v>
      </c>
      <c r="R254" s="48">
        <v>321</v>
      </c>
      <c r="S254" s="48">
        <v>181</v>
      </c>
      <c r="T254" s="48">
        <v>789</v>
      </c>
      <c r="U254" s="48">
        <v>409</v>
      </c>
      <c r="V254" s="48">
        <v>271</v>
      </c>
      <c r="W254" s="48"/>
      <c r="X254" s="48"/>
      <c r="Y254" s="48"/>
      <c r="Z254" s="48"/>
      <c r="AA254" s="49"/>
      <c r="AB254" s="49"/>
      <c r="AC254" s="48">
        <v>41</v>
      </c>
    </row>
    <row r="255" spans="1:29">
      <c r="A255" s="48" t="s">
        <v>8</v>
      </c>
      <c r="B255" s="48" t="s">
        <v>587</v>
      </c>
      <c r="C255" s="48" t="s">
        <v>588</v>
      </c>
      <c r="D255" s="48" t="s">
        <v>588</v>
      </c>
      <c r="E255" s="48" t="s">
        <v>90</v>
      </c>
      <c r="F255" s="48">
        <v>1</v>
      </c>
      <c r="G255" s="48" t="s">
        <v>589</v>
      </c>
      <c r="H255" s="48"/>
      <c r="I255" s="48" t="s">
        <v>85</v>
      </c>
      <c r="J255" s="48" t="s">
        <v>114</v>
      </c>
      <c r="K255" s="48">
        <v>9052292284</v>
      </c>
      <c r="L255" s="48">
        <v>0</v>
      </c>
      <c r="M255" s="48">
        <v>0</v>
      </c>
      <c r="N255" s="48">
        <v>1022</v>
      </c>
      <c r="O255" s="48">
        <v>0</v>
      </c>
      <c r="P255" s="48">
        <v>0</v>
      </c>
      <c r="Q255" s="48">
        <v>0</v>
      </c>
      <c r="R255" s="48">
        <v>0</v>
      </c>
      <c r="S255" s="48">
        <v>0</v>
      </c>
      <c r="T255" s="48">
        <v>0</v>
      </c>
      <c r="U255" s="48">
        <v>0</v>
      </c>
      <c r="V255" s="48">
        <v>0</v>
      </c>
      <c r="W255" s="48"/>
      <c r="X255" s="48"/>
      <c r="Y255" s="48"/>
      <c r="Z255" s="48"/>
      <c r="AA255" s="49"/>
      <c r="AB255" s="49"/>
      <c r="AC255" s="48">
        <v>50</v>
      </c>
    </row>
    <row r="256" spans="1:29">
      <c r="A256" s="48" t="s">
        <v>8</v>
      </c>
      <c r="B256" s="48" t="s">
        <v>587</v>
      </c>
      <c r="C256" s="48" t="s">
        <v>590</v>
      </c>
      <c r="D256" s="48" t="s">
        <v>590</v>
      </c>
      <c r="E256" s="48" t="s">
        <v>95</v>
      </c>
      <c r="F256" s="48">
        <v>1</v>
      </c>
      <c r="G256" s="48" t="e">
        <v>#N/A</v>
      </c>
      <c r="H256" s="48"/>
      <c r="I256" s="48"/>
      <c r="J256" s="48"/>
      <c r="K256" s="48"/>
      <c r="L256" s="48">
        <v>0</v>
      </c>
      <c r="M256" s="48">
        <v>0</v>
      </c>
      <c r="N256" s="48">
        <v>634</v>
      </c>
      <c r="O256" s="48">
        <v>0</v>
      </c>
      <c r="P256" s="48">
        <v>0</v>
      </c>
      <c r="Q256" s="48">
        <v>0</v>
      </c>
      <c r="R256" s="48">
        <v>0</v>
      </c>
      <c r="S256" s="48">
        <v>0</v>
      </c>
      <c r="T256" s="48">
        <v>0</v>
      </c>
      <c r="U256" s="48">
        <v>0</v>
      </c>
      <c r="V256" s="48">
        <v>0</v>
      </c>
      <c r="W256" s="48"/>
      <c r="X256" s="48"/>
      <c r="Y256" s="48"/>
      <c r="Z256" s="48"/>
      <c r="AA256" s="49"/>
      <c r="AB256" s="49"/>
      <c r="AC256" s="48" t="e">
        <v>#N/A</v>
      </c>
    </row>
    <row r="257" spans="1:29">
      <c r="A257" s="48" t="s">
        <v>8</v>
      </c>
      <c r="B257" s="48" t="s">
        <v>587</v>
      </c>
      <c r="C257" s="48" t="s">
        <v>588</v>
      </c>
      <c r="D257" s="48" t="s">
        <v>591</v>
      </c>
      <c r="E257" s="48" t="s">
        <v>90</v>
      </c>
      <c r="F257" s="48">
        <v>1</v>
      </c>
      <c r="G257" s="48" t="s">
        <v>589</v>
      </c>
      <c r="H257" s="48"/>
      <c r="I257" s="48" t="s">
        <v>85</v>
      </c>
      <c r="J257" s="48" t="s">
        <v>114</v>
      </c>
      <c r="K257" s="48">
        <v>9052292284</v>
      </c>
      <c r="L257" s="48">
        <v>0</v>
      </c>
      <c r="M257" s="48">
        <v>0</v>
      </c>
      <c r="N257" s="48">
        <v>797</v>
      </c>
      <c r="O257" s="48">
        <v>0</v>
      </c>
      <c r="P257" s="48">
        <v>0</v>
      </c>
      <c r="Q257" s="48">
        <v>0</v>
      </c>
      <c r="R257" s="48">
        <v>0</v>
      </c>
      <c r="S257" s="48">
        <v>0</v>
      </c>
      <c r="T257" s="48">
        <v>0</v>
      </c>
      <c r="U257" s="48">
        <v>0</v>
      </c>
      <c r="V257" s="48">
        <v>0</v>
      </c>
      <c r="W257" s="48"/>
      <c r="X257" s="48"/>
      <c r="Y257" s="48"/>
      <c r="Z257" s="48"/>
      <c r="AA257" s="49"/>
      <c r="AB257" s="49"/>
      <c r="AC257" s="48">
        <v>50</v>
      </c>
    </row>
    <row r="258" spans="1:29">
      <c r="A258" s="48" t="s">
        <v>8</v>
      </c>
      <c r="B258" s="48" t="s">
        <v>587</v>
      </c>
      <c r="C258" s="48" t="s">
        <v>592</v>
      </c>
      <c r="D258" s="48" t="s">
        <v>592</v>
      </c>
      <c r="E258" s="48" t="s">
        <v>90</v>
      </c>
      <c r="F258" s="48">
        <v>2</v>
      </c>
      <c r="G258" s="48" t="s">
        <v>593</v>
      </c>
      <c r="H258" s="48"/>
      <c r="I258" s="48" t="s">
        <v>594</v>
      </c>
      <c r="J258" s="48" t="s">
        <v>595</v>
      </c>
      <c r="K258" s="48">
        <v>9701168594</v>
      </c>
      <c r="L258" s="48">
        <v>0</v>
      </c>
      <c r="M258" s="48">
        <v>0</v>
      </c>
      <c r="N258" s="48">
        <v>1582</v>
      </c>
      <c r="O258" s="48">
        <v>0</v>
      </c>
      <c r="P258" s="48">
        <v>0</v>
      </c>
      <c r="Q258" s="48">
        <v>0</v>
      </c>
      <c r="R258" s="48">
        <v>0</v>
      </c>
      <c r="S258" s="48">
        <v>0</v>
      </c>
      <c r="T258" s="48">
        <v>0</v>
      </c>
      <c r="U258" s="48">
        <v>0</v>
      </c>
      <c r="V258" s="48">
        <v>0</v>
      </c>
      <c r="W258" s="48"/>
      <c r="X258" s="48"/>
      <c r="Y258" s="48"/>
      <c r="Z258" s="48"/>
      <c r="AA258" s="49"/>
      <c r="AB258" s="49"/>
      <c r="AC258" s="48">
        <v>69</v>
      </c>
    </row>
    <row r="259" spans="1:29">
      <c r="A259" s="48" t="s">
        <v>8</v>
      </c>
      <c r="B259" s="48" t="s">
        <v>587</v>
      </c>
      <c r="C259" s="48" t="s">
        <v>596</v>
      </c>
      <c r="D259" s="48" t="s">
        <v>596</v>
      </c>
      <c r="E259" s="48" t="s">
        <v>95</v>
      </c>
      <c r="F259" s="48">
        <v>1</v>
      </c>
      <c r="G259" s="48" t="s">
        <v>263</v>
      </c>
      <c r="H259" s="48" t="s">
        <v>263</v>
      </c>
      <c r="I259" s="48" t="s">
        <v>263</v>
      </c>
      <c r="J259" s="48" t="s">
        <v>263</v>
      </c>
      <c r="K259" s="48" t="s">
        <v>263</v>
      </c>
      <c r="L259" s="48">
        <v>29</v>
      </c>
      <c r="M259" s="48">
        <v>24</v>
      </c>
      <c r="N259" s="48">
        <v>939</v>
      </c>
      <c r="O259" s="48">
        <v>0</v>
      </c>
      <c r="P259" s="48">
        <v>0</v>
      </c>
      <c r="Q259" s="48">
        <v>0</v>
      </c>
      <c r="R259" s="48">
        <v>0</v>
      </c>
      <c r="S259" s="48">
        <v>0</v>
      </c>
      <c r="T259" s="48">
        <v>0</v>
      </c>
      <c r="U259" s="48">
        <v>0</v>
      </c>
      <c r="V259" s="48">
        <v>0</v>
      </c>
      <c r="W259" s="48"/>
      <c r="X259" s="48"/>
      <c r="Y259" s="48"/>
      <c r="Z259" s="48"/>
      <c r="AA259" s="49"/>
      <c r="AB259" s="49"/>
      <c r="AC259" s="48">
        <v>69</v>
      </c>
    </row>
    <row r="260" spans="1:29">
      <c r="A260" s="48" t="s">
        <v>8</v>
      </c>
      <c r="B260" s="48" t="s">
        <v>587</v>
      </c>
      <c r="C260" s="48" t="s">
        <v>597</v>
      </c>
      <c r="D260" s="48" t="s">
        <v>597</v>
      </c>
      <c r="E260" s="48" t="s">
        <v>100</v>
      </c>
      <c r="F260" s="48">
        <v>1</v>
      </c>
      <c r="G260" s="48" t="e">
        <v>#N/A</v>
      </c>
      <c r="H260" s="48"/>
      <c r="I260" s="48"/>
      <c r="J260" s="48"/>
      <c r="K260" s="48"/>
      <c r="L260" s="48">
        <v>25</v>
      </c>
      <c r="M260" s="48">
        <v>28</v>
      </c>
      <c r="N260" s="48">
        <v>653</v>
      </c>
      <c r="O260" s="48">
        <v>0</v>
      </c>
      <c r="P260" s="48">
        <v>0</v>
      </c>
      <c r="Q260" s="48">
        <v>0</v>
      </c>
      <c r="R260" s="48">
        <v>0</v>
      </c>
      <c r="S260" s="48">
        <v>0</v>
      </c>
      <c r="T260" s="48">
        <v>0</v>
      </c>
      <c r="U260" s="48">
        <v>0</v>
      </c>
      <c r="V260" s="48">
        <v>0</v>
      </c>
      <c r="W260" s="48"/>
      <c r="X260" s="48"/>
      <c r="Y260" s="48"/>
      <c r="Z260" s="48"/>
      <c r="AA260" s="49"/>
      <c r="AB260" s="49"/>
      <c r="AC260" s="48" t="e">
        <v>#N/A</v>
      </c>
    </row>
    <row r="261" spans="1:29">
      <c r="A261" s="48" t="s">
        <v>8</v>
      </c>
      <c r="B261" s="48" t="s">
        <v>587</v>
      </c>
      <c r="C261" s="48" t="s">
        <v>598</v>
      </c>
      <c r="D261" s="48" t="s">
        <v>598</v>
      </c>
      <c r="E261" s="48" t="s">
        <v>95</v>
      </c>
      <c r="F261" s="48">
        <v>1</v>
      </c>
      <c r="G261" s="48" t="s">
        <v>263</v>
      </c>
      <c r="H261" s="48" t="s">
        <v>263</v>
      </c>
      <c r="I261" s="48" t="s">
        <v>263</v>
      </c>
      <c r="J261" s="48" t="s">
        <v>263</v>
      </c>
      <c r="K261" s="48" t="s">
        <v>263</v>
      </c>
      <c r="L261" s="48">
        <v>0</v>
      </c>
      <c r="M261" s="48">
        <v>0</v>
      </c>
      <c r="N261" s="48">
        <v>868</v>
      </c>
      <c r="O261" s="48">
        <v>0</v>
      </c>
      <c r="P261" s="48">
        <v>0</v>
      </c>
      <c r="Q261" s="48">
        <v>0</v>
      </c>
      <c r="R261" s="48">
        <v>0</v>
      </c>
      <c r="S261" s="48">
        <v>0</v>
      </c>
      <c r="T261" s="48">
        <v>0</v>
      </c>
      <c r="U261" s="48">
        <v>0</v>
      </c>
      <c r="V261" s="48">
        <v>0</v>
      </c>
      <c r="W261" s="48"/>
      <c r="X261" s="48"/>
      <c r="Y261" s="48"/>
      <c r="Z261" s="48"/>
      <c r="AA261" s="49"/>
      <c r="AB261" s="49"/>
      <c r="AC261" s="48">
        <v>25</v>
      </c>
    </row>
    <row r="262" spans="1:29">
      <c r="A262" s="48" t="s">
        <v>8</v>
      </c>
      <c r="B262" s="48" t="s">
        <v>587</v>
      </c>
      <c r="C262" s="48" t="s">
        <v>599</v>
      </c>
      <c r="D262" s="48" t="s">
        <v>599</v>
      </c>
      <c r="E262" s="48" t="s">
        <v>95</v>
      </c>
      <c r="F262" s="48">
        <v>1</v>
      </c>
      <c r="G262" s="48" t="s">
        <v>600</v>
      </c>
      <c r="H262" s="48"/>
      <c r="I262" s="48" t="s">
        <v>86</v>
      </c>
      <c r="J262" s="48" t="s">
        <v>601</v>
      </c>
      <c r="K262" s="48">
        <v>9505588958</v>
      </c>
      <c r="L262" s="48">
        <v>0</v>
      </c>
      <c r="M262" s="48">
        <v>0</v>
      </c>
      <c r="N262" s="48">
        <v>1188</v>
      </c>
      <c r="O262" s="48">
        <v>0</v>
      </c>
      <c r="P262" s="48">
        <v>0</v>
      </c>
      <c r="Q262" s="48">
        <v>0</v>
      </c>
      <c r="R262" s="48">
        <v>0</v>
      </c>
      <c r="S262" s="48">
        <v>0</v>
      </c>
      <c r="T262" s="48">
        <v>0</v>
      </c>
      <c r="U262" s="48">
        <v>0</v>
      </c>
      <c r="V262" s="48">
        <v>0</v>
      </c>
      <c r="W262" s="48"/>
      <c r="X262" s="48"/>
      <c r="Y262" s="48"/>
      <c r="Z262" s="48"/>
      <c r="AA262" s="49"/>
      <c r="AB262" s="49"/>
      <c r="AC262" s="48">
        <v>59</v>
      </c>
    </row>
    <row r="263" spans="1:29">
      <c r="A263" s="48" t="s">
        <v>8</v>
      </c>
      <c r="B263" s="48" t="s">
        <v>587</v>
      </c>
      <c r="C263" s="48" t="s">
        <v>602</v>
      </c>
      <c r="D263" s="48" t="s">
        <v>602</v>
      </c>
      <c r="E263" s="48" t="s">
        <v>90</v>
      </c>
      <c r="F263" s="48">
        <v>2</v>
      </c>
      <c r="G263" s="48" t="s">
        <v>603</v>
      </c>
      <c r="H263" s="48"/>
      <c r="I263" s="48" t="s">
        <v>594</v>
      </c>
      <c r="J263" s="48" t="s">
        <v>139</v>
      </c>
      <c r="K263" s="48">
        <v>9912989884</v>
      </c>
      <c r="L263" s="48">
        <v>44</v>
      </c>
      <c r="M263" s="48">
        <v>64</v>
      </c>
      <c r="N263" s="48">
        <v>2176</v>
      </c>
      <c r="O263" s="48">
        <v>0</v>
      </c>
      <c r="P263" s="48">
        <v>0</v>
      </c>
      <c r="Q263" s="48">
        <v>0</v>
      </c>
      <c r="R263" s="48">
        <v>0</v>
      </c>
      <c r="S263" s="48">
        <v>0</v>
      </c>
      <c r="T263" s="48">
        <v>0</v>
      </c>
      <c r="U263" s="48">
        <v>0</v>
      </c>
      <c r="V263" s="48">
        <v>0</v>
      </c>
      <c r="W263" s="48"/>
      <c r="X263" s="48"/>
      <c r="Y263" s="48"/>
      <c r="Z263" s="48"/>
      <c r="AA263" s="49"/>
      <c r="AB263" s="49"/>
      <c r="AC263" s="48">
        <v>74</v>
      </c>
    </row>
    <row r="264" spans="1:29">
      <c r="A264" s="48" t="s">
        <v>8</v>
      </c>
      <c r="B264" s="48" t="s">
        <v>587</v>
      </c>
      <c r="C264" s="48" t="s">
        <v>604</v>
      </c>
      <c r="D264" s="48" t="s">
        <v>604</v>
      </c>
      <c r="E264" s="48" t="s">
        <v>95</v>
      </c>
      <c r="F264" s="48">
        <v>2</v>
      </c>
      <c r="G264" s="48" t="s">
        <v>263</v>
      </c>
      <c r="H264" s="48" t="s">
        <v>263</v>
      </c>
      <c r="I264" s="48" t="s">
        <v>263</v>
      </c>
      <c r="J264" s="48" t="s">
        <v>263</v>
      </c>
      <c r="K264" s="48" t="s">
        <v>263</v>
      </c>
      <c r="L264" s="48">
        <v>0</v>
      </c>
      <c r="M264" s="48">
        <v>0</v>
      </c>
      <c r="N264" s="48">
        <v>1278</v>
      </c>
      <c r="O264" s="48">
        <v>0</v>
      </c>
      <c r="P264" s="48">
        <v>0</v>
      </c>
      <c r="Q264" s="48">
        <v>0</v>
      </c>
      <c r="R264" s="48">
        <v>0</v>
      </c>
      <c r="S264" s="48">
        <v>0</v>
      </c>
      <c r="T264" s="48">
        <v>0</v>
      </c>
      <c r="U264" s="48">
        <v>0</v>
      </c>
      <c r="V264" s="48">
        <v>0</v>
      </c>
      <c r="W264" s="48"/>
      <c r="X264" s="48"/>
      <c r="Y264" s="48"/>
      <c r="Z264" s="48"/>
      <c r="AA264" s="49"/>
      <c r="AB264" s="49"/>
      <c r="AC264" s="48">
        <v>74</v>
      </c>
    </row>
    <row r="265" spans="1:29">
      <c r="A265" s="48" t="s">
        <v>8</v>
      </c>
      <c r="B265" s="48" t="s">
        <v>587</v>
      </c>
      <c r="C265" s="48" t="s">
        <v>605</v>
      </c>
      <c r="D265" s="48" t="s">
        <v>605</v>
      </c>
      <c r="E265" s="48" t="s">
        <v>90</v>
      </c>
      <c r="F265" s="48">
        <v>1</v>
      </c>
      <c r="G265" s="48" t="s">
        <v>263</v>
      </c>
      <c r="H265" s="48" t="s">
        <v>263</v>
      </c>
      <c r="I265" s="48" t="s">
        <v>263</v>
      </c>
      <c r="J265" s="48" t="s">
        <v>263</v>
      </c>
      <c r="K265" s="48" t="s">
        <v>263</v>
      </c>
      <c r="L265" s="48">
        <v>30</v>
      </c>
      <c r="M265" s="48">
        <v>24</v>
      </c>
      <c r="N265" s="48">
        <v>1086</v>
      </c>
      <c r="O265" s="48">
        <v>0</v>
      </c>
      <c r="P265" s="48">
        <v>0</v>
      </c>
      <c r="Q265" s="48">
        <v>0</v>
      </c>
      <c r="R265" s="48">
        <v>0</v>
      </c>
      <c r="S265" s="48">
        <v>0</v>
      </c>
      <c r="T265" s="48">
        <v>0</v>
      </c>
      <c r="U265" s="48">
        <v>0</v>
      </c>
      <c r="V265" s="48">
        <v>0</v>
      </c>
      <c r="W265" s="48"/>
      <c r="X265" s="48"/>
      <c r="Y265" s="48"/>
      <c r="Z265" s="48"/>
      <c r="AA265" s="49"/>
      <c r="AB265" s="49"/>
      <c r="AC265" s="48">
        <v>22</v>
      </c>
    </row>
    <row r="266" spans="1:29">
      <c r="A266" s="48" t="s">
        <v>8</v>
      </c>
      <c r="B266" s="48" t="s">
        <v>587</v>
      </c>
      <c r="C266" s="48" t="s">
        <v>606</v>
      </c>
      <c r="D266" s="48" t="s">
        <v>606</v>
      </c>
      <c r="E266" s="48" t="s">
        <v>90</v>
      </c>
      <c r="F266" s="48">
        <v>1</v>
      </c>
      <c r="G266" s="48" t="e">
        <v>#N/A</v>
      </c>
      <c r="H266" s="48"/>
      <c r="I266" s="48"/>
      <c r="J266" s="48"/>
      <c r="K266" s="48"/>
      <c r="L266" s="48">
        <v>33</v>
      </c>
      <c r="M266" s="48">
        <v>21</v>
      </c>
      <c r="N266" s="48">
        <v>1166</v>
      </c>
      <c r="O266" s="48">
        <v>0</v>
      </c>
      <c r="P266" s="48">
        <v>0</v>
      </c>
      <c r="Q266" s="48">
        <v>0</v>
      </c>
      <c r="R266" s="48">
        <v>0</v>
      </c>
      <c r="S266" s="48">
        <v>0</v>
      </c>
      <c r="T266" s="48">
        <v>0</v>
      </c>
      <c r="U266" s="48">
        <v>0</v>
      </c>
      <c r="V266" s="48">
        <v>0</v>
      </c>
      <c r="W266" s="48"/>
      <c r="X266" s="48"/>
      <c r="Y266" s="48"/>
      <c r="Z266" s="48"/>
      <c r="AA266" s="49"/>
      <c r="AB266" s="49"/>
      <c r="AC266" s="48" t="e">
        <v>#N/A</v>
      </c>
    </row>
    <row r="267" spans="1:29">
      <c r="A267" s="48" t="s">
        <v>8</v>
      </c>
      <c r="B267" s="48" t="s">
        <v>587</v>
      </c>
      <c r="C267" s="48" t="s">
        <v>607</v>
      </c>
      <c r="D267" s="48" t="s">
        <v>607</v>
      </c>
      <c r="E267" s="48" t="s">
        <v>90</v>
      </c>
      <c r="F267" s="48">
        <v>3</v>
      </c>
      <c r="G267" s="48" t="s">
        <v>608</v>
      </c>
      <c r="H267" s="48"/>
      <c r="I267" s="48" t="s">
        <v>594</v>
      </c>
      <c r="J267" s="48" t="s">
        <v>595</v>
      </c>
      <c r="K267" s="48">
        <v>9989577907</v>
      </c>
      <c r="L267" s="48">
        <v>0</v>
      </c>
      <c r="M267" s="48">
        <v>0</v>
      </c>
      <c r="N267" s="48">
        <v>2385</v>
      </c>
      <c r="O267" s="48">
        <v>0</v>
      </c>
      <c r="P267" s="48">
        <v>0</v>
      </c>
      <c r="Q267" s="48">
        <v>0</v>
      </c>
      <c r="R267" s="48">
        <v>0</v>
      </c>
      <c r="S267" s="48">
        <v>0</v>
      </c>
      <c r="T267" s="48">
        <v>0</v>
      </c>
      <c r="U267" s="48">
        <v>0</v>
      </c>
      <c r="V267" s="48">
        <v>0</v>
      </c>
      <c r="W267" s="48"/>
      <c r="X267" s="48"/>
      <c r="Y267" s="48"/>
      <c r="Z267" s="48"/>
      <c r="AA267" s="49"/>
      <c r="AB267" s="49"/>
      <c r="AC267" s="48">
        <v>52</v>
      </c>
    </row>
    <row r="268" spans="1:29">
      <c r="A268" s="48" t="s">
        <v>8</v>
      </c>
      <c r="B268" s="48" t="s">
        <v>587</v>
      </c>
      <c r="C268" s="48" t="s">
        <v>609</v>
      </c>
      <c r="D268" s="48" t="s">
        <v>609</v>
      </c>
      <c r="E268" s="48" t="s">
        <v>90</v>
      </c>
      <c r="F268" s="48">
        <v>1</v>
      </c>
      <c r="G268" s="48" t="e">
        <v>#N/A</v>
      </c>
      <c r="H268" s="48"/>
      <c r="I268" s="48"/>
      <c r="J268" s="48"/>
      <c r="K268" s="48"/>
      <c r="L268" s="48">
        <v>25</v>
      </c>
      <c r="M268" s="48">
        <v>29</v>
      </c>
      <c r="N268" s="48">
        <v>1314</v>
      </c>
      <c r="O268" s="48">
        <v>0</v>
      </c>
      <c r="P268" s="48">
        <v>0</v>
      </c>
      <c r="Q268" s="48">
        <v>0</v>
      </c>
      <c r="R268" s="48">
        <v>0</v>
      </c>
      <c r="S268" s="48">
        <v>0</v>
      </c>
      <c r="T268" s="48">
        <v>0</v>
      </c>
      <c r="U268" s="48">
        <v>0</v>
      </c>
      <c r="V268" s="48">
        <v>0</v>
      </c>
      <c r="W268" s="48"/>
      <c r="X268" s="48"/>
      <c r="Y268" s="48"/>
      <c r="Z268" s="48"/>
      <c r="AA268" s="49"/>
      <c r="AB268" s="49"/>
      <c r="AC268" s="48" t="e">
        <v>#N/A</v>
      </c>
    </row>
    <row r="269" spans="1:29">
      <c r="A269" s="48" t="s">
        <v>8</v>
      </c>
      <c r="B269" s="48" t="s">
        <v>587</v>
      </c>
      <c r="C269" s="48" t="s">
        <v>610</v>
      </c>
      <c r="D269" s="48" t="s">
        <v>610</v>
      </c>
      <c r="E269" s="48" t="s">
        <v>100</v>
      </c>
      <c r="F269" s="48">
        <v>1</v>
      </c>
      <c r="G269" s="48" t="e">
        <v>#N/A</v>
      </c>
      <c r="H269" s="48"/>
      <c r="I269" s="48"/>
      <c r="J269" s="48"/>
      <c r="K269" s="48"/>
      <c r="L269" s="48">
        <v>0</v>
      </c>
      <c r="M269" s="48">
        <v>0</v>
      </c>
      <c r="N269" s="48">
        <v>884</v>
      </c>
      <c r="O269" s="48">
        <v>0</v>
      </c>
      <c r="P269" s="48">
        <v>0</v>
      </c>
      <c r="Q269" s="48">
        <v>0</v>
      </c>
      <c r="R269" s="48">
        <v>0</v>
      </c>
      <c r="S269" s="48">
        <v>0</v>
      </c>
      <c r="T269" s="48">
        <v>0</v>
      </c>
      <c r="U269" s="48">
        <v>0</v>
      </c>
      <c r="V269" s="48">
        <v>0</v>
      </c>
      <c r="W269" s="48"/>
      <c r="X269" s="48"/>
      <c r="Y269" s="48"/>
      <c r="Z269" s="48"/>
      <c r="AA269" s="49"/>
      <c r="AB269" s="49"/>
      <c r="AC269" s="48" t="e">
        <v>#N/A</v>
      </c>
    </row>
    <row r="270" spans="1:29">
      <c r="A270" s="48" t="s">
        <v>8</v>
      </c>
      <c r="B270" s="48" t="s">
        <v>587</v>
      </c>
      <c r="C270" s="48" t="s">
        <v>611</v>
      </c>
      <c r="D270" s="48" t="s">
        <v>611</v>
      </c>
      <c r="E270" s="48" t="s">
        <v>95</v>
      </c>
      <c r="F270" s="48">
        <v>1</v>
      </c>
      <c r="G270" s="48" t="e">
        <v>#N/A</v>
      </c>
      <c r="H270" s="48"/>
      <c r="I270" s="48"/>
      <c r="J270" s="48"/>
      <c r="K270" s="48"/>
      <c r="L270" s="48">
        <v>0</v>
      </c>
      <c r="M270" s="48">
        <v>0</v>
      </c>
      <c r="N270" s="48">
        <v>1170</v>
      </c>
      <c r="O270" s="48">
        <v>0</v>
      </c>
      <c r="P270" s="48">
        <v>0</v>
      </c>
      <c r="Q270" s="48">
        <v>0</v>
      </c>
      <c r="R270" s="48">
        <v>0</v>
      </c>
      <c r="S270" s="48">
        <v>0</v>
      </c>
      <c r="T270" s="48">
        <v>0</v>
      </c>
      <c r="U270" s="48">
        <v>0</v>
      </c>
      <c r="V270" s="48">
        <v>0</v>
      </c>
      <c r="W270" s="48"/>
      <c r="X270" s="48"/>
      <c r="Y270" s="48"/>
      <c r="Z270" s="48"/>
      <c r="AA270" s="49"/>
      <c r="AB270" s="49"/>
      <c r="AC270" s="48" t="e">
        <v>#N/A</v>
      </c>
    </row>
    <row r="271" spans="1:29">
      <c r="A271" s="48" t="s">
        <v>8</v>
      </c>
      <c r="B271" s="48" t="s">
        <v>587</v>
      </c>
      <c r="C271" s="48" t="s">
        <v>612</v>
      </c>
      <c r="D271" s="48" t="s">
        <v>612</v>
      </c>
      <c r="E271" s="48" t="s">
        <v>95</v>
      </c>
      <c r="F271" s="48">
        <v>4</v>
      </c>
      <c r="G271" s="48" t="s">
        <v>263</v>
      </c>
      <c r="H271" s="48" t="s">
        <v>263</v>
      </c>
      <c r="I271" s="48" t="s">
        <v>263</v>
      </c>
      <c r="J271" s="48" t="s">
        <v>263</v>
      </c>
      <c r="K271" s="48" t="s">
        <v>263</v>
      </c>
      <c r="L271" s="48">
        <v>0</v>
      </c>
      <c r="M271" s="48">
        <v>0</v>
      </c>
      <c r="N271" s="48">
        <v>3695</v>
      </c>
      <c r="O271" s="48">
        <v>0</v>
      </c>
      <c r="P271" s="48">
        <v>0</v>
      </c>
      <c r="Q271" s="48">
        <v>0</v>
      </c>
      <c r="R271" s="48">
        <v>0</v>
      </c>
      <c r="S271" s="48">
        <v>0</v>
      </c>
      <c r="T271" s="48">
        <v>0</v>
      </c>
      <c r="U271" s="48">
        <v>0</v>
      </c>
      <c r="V271" s="48">
        <v>0</v>
      </c>
      <c r="W271" s="48"/>
      <c r="X271" s="48"/>
      <c r="Y271" s="48"/>
      <c r="Z271" s="48"/>
      <c r="AA271" s="49"/>
      <c r="AB271" s="49"/>
      <c r="AC271" s="48">
        <v>50</v>
      </c>
    </row>
    <row r="272" spans="1:29">
      <c r="A272" s="48" t="s">
        <v>8</v>
      </c>
      <c r="B272" s="48" t="s">
        <v>587</v>
      </c>
      <c r="C272" s="48" t="s">
        <v>613</v>
      </c>
      <c r="D272" s="48" t="s">
        <v>613</v>
      </c>
      <c r="E272" s="48" t="s">
        <v>90</v>
      </c>
      <c r="F272" s="48">
        <v>3</v>
      </c>
      <c r="G272" s="48" t="s">
        <v>614</v>
      </c>
      <c r="H272" s="48"/>
      <c r="I272" s="48" t="s">
        <v>615</v>
      </c>
      <c r="J272" s="48" t="s">
        <v>616</v>
      </c>
      <c r="K272" s="48">
        <v>8977671298</v>
      </c>
      <c r="L272" s="48">
        <v>0</v>
      </c>
      <c r="M272" s="48">
        <v>0</v>
      </c>
      <c r="N272" s="48">
        <v>2582</v>
      </c>
      <c r="O272" s="48">
        <v>0</v>
      </c>
      <c r="P272" s="48">
        <v>0</v>
      </c>
      <c r="Q272" s="48">
        <v>0</v>
      </c>
      <c r="R272" s="48">
        <v>0</v>
      </c>
      <c r="S272" s="48">
        <v>0</v>
      </c>
      <c r="T272" s="48">
        <v>0</v>
      </c>
      <c r="U272" s="48">
        <v>0</v>
      </c>
      <c r="V272" s="48">
        <v>0</v>
      </c>
      <c r="W272" s="48"/>
      <c r="X272" s="48"/>
      <c r="Y272" s="48"/>
      <c r="Z272" s="48"/>
      <c r="AA272" s="49"/>
      <c r="AB272" s="49"/>
      <c r="AC272" s="48">
        <v>41</v>
      </c>
    </row>
    <row r="273" spans="1:29">
      <c r="A273" s="48" t="s">
        <v>8</v>
      </c>
      <c r="B273" s="48" t="s">
        <v>587</v>
      </c>
      <c r="C273" s="48" t="s">
        <v>617</v>
      </c>
      <c r="D273" s="48" t="s">
        <v>617</v>
      </c>
      <c r="E273" s="48" t="s">
        <v>90</v>
      </c>
      <c r="F273" s="48">
        <v>1</v>
      </c>
      <c r="G273" s="48" t="e">
        <v>#N/A</v>
      </c>
      <c r="H273" s="48"/>
      <c r="I273" s="48"/>
      <c r="J273" s="48"/>
      <c r="K273" s="48"/>
      <c r="L273" s="48">
        <v>30</v>
      </c>
      <c r="M273" s="48">
        <v>22</v>
      </c>
      <c r="N273" s="48">
        <v>1234</v>
      </c>
      <c r="O273" s="48">
        <v>0</v>
      </c>
      <c r="P273" s="48">
        <v>0</v>
      </c>
      <c r="Q273" s="48">
        <v>0</v>
      </c>
      <c r="R273" s="48">
        <v>0</v>
      </c>
      <c r="S273" s="48">
        <v>0</v>
      </c>
      <c r="T273" s="48">
        <v>0</v>
      </c>
      <c r="U273" s="48">
        <v>0</v>
      </c>
      <c r="V273" s="48">
        <v>0</v>
      </c>
      <c r="W273" s="48"/>
      <c r="X273" s="48"/>
      <c r="Y273" s="48"/>
      <c r="Z273" s="48"/>
      <c r="AA273" s="49"/>
      <c r="AB273" s="49"/>
      <c r="AC273" s="48" t="e">
        <v>#N/A</v>
      </c>
    </row>
    <row r="274" spans="1:29">
      <c r="A274" s="48" t="s">
        <v>8</v>
      </c>
      <c r="B274" s="48" t="s">
        <v>587</v>
      </c>
      <c r="C274" s="48" t="s">
        <v>618</v>
      </c>
      <c r="D274" s="48" t="s">
        <v>618</v>
      </c>
      <c r="E274" s="48" t="s">
        <v>90</v>
      </c>
      <c r="F274" s="48">
        <v>1</v>
      </c>
      <c r="G274" s="48" t="s">
        <v>619</v>
      </c>
      <c r="H274" s="48"/>
      <c r="I274" s="48" t="s">
        <v>594</v>
      </c>
      <c r="J274" s="48" t="s">
        <v>620</v>
      </c>
      <c r="K274" s="48">
        <v>8985038699</v>
      </c>
      <c r="L274" s="48">
        <v>29</v>
      </c>
      <c r="M274" s="48">
        <v>25</v>
      </c>
      <c r="N274" s="48">
        <v>197</v>
      </c>
      <c r="O274" s="48">
        <v>0</v>
      </c>
      <c r="P274" s="48">
        <v>0</v>
      </c>
      <c r="Q274" s="48">
        <v>0</v>
      </c>
      <c r="R274" s="48">
        <v>0</v>
      </c>
      <c r="S274" s="48">
        <v>0</v>
      </c>
      <c r="T274" s="48">
        <v>0</v>
      </c>
      <c r="U274" s="48">
        <v>0</v>
      </c>
      <c r="V274" s="48">
        <v>0</v>
      </c>
      <c r="W274" s="48"/>
      <c r="X274" s="48"/>
      <c r="Y274" s="48"/>
      <c r="Z274" s="48"/>
      <c r="AA274" s="49"/>
      <c r="AB274" s="49"/>
      <c r="AC274" s="48">
        <v>43</v>
      </c>
    </row>
    <row r="275" spans="1:29">
      <c r="A275" s="48" t="s">
        <v>8</v>
      </c>
      <c r="B275" s="48" t="s">
        <v>587</v>
      </c>
      <c r="C275" s="48" t="s">
        <v>621</v>
      </c>
      <c r="D275" s="48" t="s">
        <v>621</v>
      </c>
      <c r="E275" s="48" t="s">
        <v>95</v>
      </c>
      <c r="F275" s="48">
        <v>1</v>
      </c>
      <c r="G275" s="48" t="s">
        <v>622</v>
      </c>
      <c r="H275" s="48"/>
      <c r="I275" s="48" t="s">
        <v>86</v>
      </c>
      <c r="J275" s="48" t="s">
        <v>601</v>
      </c>
      <c r="K275" s="48">
        <v>9441908851</v>
      </c>
      <c r="L275" s="48">
        <v>28</v>
      </c>
      <c r="M275" s="48">
        <v>25</v>
      </c>
      <c r="N275" s="48">
        <v>662</v>
      </c>
      <c r="O275" s="48">
        <v>0</v>
      </c>
      <c r="P275" s="48">
        <v>0</v>
      </c>
      <c r="Q275" s="48">
        <v>0</v>
      </c>
      <c r="R275" s="48">
        <v>0</v>
      </c>
      <c r="S275" s="48">
        <v>0</v>
      </c>
      <c r="T275" s="48">
        <v>0</v>
      </c>
      <c r="U275" s="48">
        <v>0</v>
      </c>
      <c r="V275" s="48">
        <v>0</v>
      </c>
      <c r="W275" s="48"/>
      <c r="X275" s="48"/>
      <c r="Y275" s="48"/>
      <c r="Z275" s="48"/>
      <c r="AA275" s="49"/>
      <c r="AB275" s="49"/>
      <c r="AC275" s="48">
        <v>26</v>
      </c>
    </row>
    <row r="276" spans="1:29">
      <c r="A276" s="48" t="s">
        <v>8</v>
      </c>
      <c r="B276" s="48" t="s">
        <v>587</v>
      </c>
      <c r="C276" s="48" t="s">
        <v>623</v>
      </c>
      <c r="D276" s="48" t="s">
        <v>623</v>
      </c>
      <c r="E276" s="48" t="s">
        <v>95</v>
      </c>
      <c r="F276" s="48">
        <v>1</v>
      </c>
      <c r="G276" s="48" t="s">
        <v>624</v>
      </c>
      <c r="H276" s="48"/>
      <c r="I276" s="48" t="s">
        <v>594</v>
      </c>
      <c r="J276" s="48" t="s">
        <v>595</v>
      </c>
      <c r="K276" s="48">
        <v>9951762464</v>
      </c>
      <c r="L276" s="48">
        <v>0</v>
      </c>
      <c r="M276" s="48">
        <v>0</v>
      </c>
      <c r="N276" s="48">
        <v>848</v>
      </c>
      <c r="O276" s="48">
        <v>0</v>
      </c>
      <c r="P276" s="48">
        <v>0</v>
      </c>
      <c r="Q276" s="48">
        <v>0</v>
      </c>
      <c r="R276" s="48">
        <v>0</v>
      </c>
      <c r="S276" s="48">
        <v>0</v>
      </c>
      <c r="T276" s="48">
        <v>0</v>
      </c>
      <c r="U276" s="48">
        <v>0</v>
      </c>
      <c r="V276" s="48">
        <v>0</v>
      </c>
      <c r="W276" s="48"/>
      <c r="X276" s="48"/>
      <c r="Y276" s="48"/>
      <c r="Z276" s="48"/>
      <c r="AA276" s="49"/>
      <c r="AB276" s="49"/>
      <c r="AC276" s="48">
        <v>77</v>
      </c>
    </row>
    <row r="277" spans="1:29">
      <c r="A277" s="48" t="s">
        <v>8</v>
      </c>
      <c r="B277" s="48" t="s">
        <v>587</v>
      </c>
      <c r="C277" s="48" t="s">
        <v>587</v>
      </c>
      <c r="D277" s="48" t="s">
        <v>587</v>
      </c>
      <c r="E277" s="48" t="s">
        <v>90</v>
      </c>
      <c r="F277" s="48">
        <v>8</v>
      </c>
      <c r="G277" s="48" t="s">
        <v>625</v>
      </c>
      <c r="H277" s="48"/>
      <c r="I277" s="48" t="s">
        <v>615</v>
      </c>
      <c r="J277" s="48" t="s">
        <v>616</v>
      </c>
      <c r="K277" s="48">
        <v>9849665916</v>
      </c>
      <c r="L277" s="48">
        <v>220</v>
      </c>
      <c r="M277" s="48">
        <v>213</v>
      </c>
      <c r="N277" s="48">
        <v>7586</v>
      </c>
      <c r="O277" s="48">
        <v>0</v>
      </c>
      <c r="P277" s="48">
        <v>0</v>
      </c>
      <c r="Q277" s="48">
        <v>0</v>
      </c>
      <c r="R277" s="48">
        <v>0</v>
      </c>
      <c r="S277" s="48">
        <v>0</v>
      </c>
      <c r="T277" s="48">
        <v>0</v>
      </c>
      <c r="U277" s="48">
        <v>0</v>
      </c>
      <c r="V277" s="48">
        <v>0</v>
      </c>
      <c r="W277" s="48"/>
      <c r="X277" s="48"/>
      <c r="Y277" s="48"/>
      <c r="Z277" s="48"/>
      <c r="AA277" s="49"/>
      <c r="AB277" s="49"/>
      <c r="AC277" s="48">
        <v>69</v>
      </c>
    </row>
    <row r="278" spans="1:29">
      <c r="A278" s="48" t="s">
        <v>8</v>
      </c>
      <c r="B278" s="48" t="s">
        <v>587</v>
      </c>
      <c r="C278" s="48" t="s">
        <v>626</v>
      </c>
      <c r="D278" s="48" t="s">
        <v>626</v>
      </c>
      <c r="E278" s="48" t="s">
        <v>95</v>
      </c>
      <c r="F278" s="48">
        <v>2</v>
      </c>
      <c r="G278" s="48" t="s">
        <v>627</v>
      </c>
      <c r="H278" s="48"/>
      <c r="I278" s="48" t="s">
        <v>615</v>
      </c>
      <c r="J278" s="48" t="s">
        <v>628</v>
      </c>
      <c r="K278" s="48">
        <v>9154488101</v>
      </c>
      <c r="L278" s="48">
        <v>35</v>
      </c>
      <c r="M278" s="48">
        <v>73</v>
      </c>
      <c r="N278" s="48">
        <v>1976</v>
      </c>
      <c r="O278" s="48">
        <v>0</v>
      </c>
      <c r="P278" s="48">
        <v>0</v>
      </c>
      <c r="Q278" s="48">
        <v>0</v>
      </c>
      <c r="R278" s="48">
        <v>0</v>
      </c>
      <c r="S278" s="48">
        <v>0</v>
      </c>
      <c r="T278" s="48">
        <v>0</v>
      </c>
      <c r="U278" s="48">
        <v>0</v>
      </c>
      <c r="V278" s="48">
        <v>0</v>
      </c>
      <c r="W278" s="48"/>
      <c r="X278" s="48"/>
      <c r="Y278" s="48"/>
      <c r="Z278" s="48"/>
      <c r="AA278" s="49"/>
      <c r="AB278" s="49"/>
      <c r="AC278" s="48">
        <v>72</v>
      </c>
    </row>
    <row r="279" spans="1:29">
      <c r="A279" s="48" t="s">
        <v>8</v>
      </c>
      <c r="B279" s="48" t="s">
        <v>587</v>
      </c>
      <c r="C279" s="48" t="s">
        <v>629</v>
      </c>
      <c r="D279" s="48" t="s">
        <v>629</v>
      </c>
      <c r="E279" s="48" t="s">
        <v>90</v>
      </c>
      <c r="F279" s="48">
        <v>2</v>
      </c>
      <c r="G279" s="48" t="s">
        <v>630</v>
      </c>
      <c r="H279" s="48"/>
      <c r="I279" s="48" t="s">
        <v>594</v>
      </c>
      <c r="J279" s="48" t="s">
        <v>139</v>
      </c>
      <c r="K279" s="48">
        <v>9581289958</v>
      </c>
      <c r="L279" s="48">
        <v>0</v>
      </c>
      <c r="M279" s="48">
        <v>0</v>
      </c>
      <c r="N279" s="48">
        <v>2071</v>
      </c>
      <c r="O279" s="48">
        <v>0</v>
      </c>
      <c r="P279" s="48">
        <v>0</v>
      </c>
      <c r="Q279" s="48">
        <v>0</v>
      </c>
      <c r="R279" s="48">
        <v>0</v>
      </c>
      <c r="S279" s="48">
        <v>0</v>
      </c>
      <c r="T279" s="48">
        <v>0</v>
      </c>
      <c r="U279" s="48">
        <v>0</v>
      </c>
      <c r="V279" s="48">
        <v>0</v>
      </c>
      <c r="W279" s="48"/>
      <c r="X279" s="48"/>
      <c r="Y279" s="48"/>
      <c r="Z279" s="48"/>
      <c r="AA279" s="49"/>
      <c r="AB279" s="49"/>
      <c r="AC279" s="48">
        <v>49</v>
      </c>
    </row>
    <row r="280" spans="1:29">
      <c r="A280" s="48" t="s">
        <v>8</v>
      </c>
      <c r="B280" s="48" t="s">
        <v>587</v>
      </c>
      <c r="C280" s="48" t="s">
        <v>631</v>
      </c>
      <c r="D280" s="48" t="s">
        <v>631</v>
      </c>
      <c r="E280" s="48" t="s">
        <v>95</v>
      </c>
      <c r="F280" s="48">
        <v>4</v>
      </c>
      <c r="G280" s="48" t="s">
        <v>632</v>
      </c>
      <c r="H280" s="48"/>
      <c r="I280" s="48" t="s">
        <v>594</v>
      </c>
      <c r="J280" s="48" t="s">
        <v>139</v>
      </c>
      <c r="K280" s="48">
        <v>9666261117</v>
      </c>
      <c r="L280" s="48">
        <v>109</v>
      </c>
      <c r="M280" s="48">
        <v>105</v>
      </c>
      <c r="N280" s="48">
        <v>2934</v>
      </c>
      <c r="O280" s="48">
        <v>0</v>
      </c>
      <c r="P280" s="48">
        <v>0</v>
      </c>
      <c r="Q280" s="48">
        <v>0</v>
      </c>
      <c r="R280" s="48">
        <v>0</v>
      </c>
      <c r="S280" s="48">
        <v>0</v>
      </c>
      <c r="T280" s="48">
        <v>0</v>
      </c>
      <c r="U280" s="48">
        <v>0</v>
      </c>
      <c r="V280" s="48">
        <v>0</v>
      </c>
      <c r="W280" s="48"/>
      <c r="X280" s="48"/>
      <c r="Y280" s="48"/>
      <c r="Z280" s="48"/>
      <c r="AA280" s="49"/>
      <c r="AB280" s="49"/>
      <c r="AC280" s="48">
        <v>80</v>
      </c>
    </row>
    <row r="281" spans="1:29">
      <c r="A281" s="48" t="s">
        <v>8</v>
      </c>
      <c r="B281" s="48" t="s">
        <v>633</v>
      </c>
      <c r="C281" s="48" t="s">
        <v>634</v>
      </c>
      <c r="D281" s="48" t="s">
        <v>634</v>
      </c>
      <c r="E281" s="48" t="s">
        <v>90</v>
      </c>
      <c r="F281" s="48">
        <v>1</v>
      </c>
      <c r="G281" s="48" t="e">
        <v>#N/A</v>
      </c>
      <c r="H281" s="48"/>
      <c r="I281" s="48"/>
      <c r="J281" s="48"/>
      <c r="K281" s="48"/>
      <c r="L281" s="48">
        <v>25</v>
      </c>
      <c r="M281" s="48">
        <v>28</v>
      </c>
      <c r="N281" s="48">
        <v>994</v>
      </c>
      <c r="O281" s="48">
        <v>0</v>
      </c>
      <c r="P281" s="48">
        <v>0</v>
      </c>
      <c r="Q281" s="48">
        <v>0</v>
      </c>
      <c r="R281" s="48">
        <v>0</v>
      </c>
      <c r="S281" s="48">
        <v>0</v>
      </c>
      <c r="T281" s="48">
        <v>0</v>
      </c>
      <c r="U281" s="48">
        <v>0</v>
      </c>
      <c r="V281" s="48">
        <v>0</v>
      </c>
      <c r="W281" s="48"/>
      <c r="X281" s="48"/>
      <c r="Y281" s="48"/>
      <c r="Z281" s="48"/>
      <c r="AA281" s="49"/>
      <c r="AB281" s="49"/>
      <c r="AC281" s="48" t="e">
        <v>#N/A</v>
      </c>
    </row>
    <row r="282" spans="1:29">
      <c r="A282" s="48" t="s">
        <v>8</v>
      </c>
      <c r="B282" s="48" t="s">
        <v>633</v>
      </c>
      <c r="C282" s="48" t="s">
        <v>635</v>
      </c>
      <c r="D282" s="48" t="s">
        <v>635</v>
      </c>
      <c r="E282" s="48" t="s">
        <v>95</v>
      </c>
      <c r="F282" s="48">
        <v>11</v>
      </c>
      <c r="G282" s="48" t="s">
        <v>636</v>
      </c>
      <c r="H282" s="48" t="s">
        <v>92</v>
      </c>
      <c r="I282" s="48" t="s">
        <v>113</v>
      </c>
      <c r="J282" s="48" t="s">
        <v>114</v>
      </c>
      <c r="K282" s="48">
        <v>9849122371</v>
      </c>
      <c r="L282" s="48">
        <v>254</v>
      </c>
      <c r="M282" s="48">
        <v>295</v>
      </c>
      <c r="N282" s="48">
        <v>8959</v>
      </c>
      <c r="O282" s="48">
        <v>0</v>
      </c>
      <c r="P282" s="48">
        <v>0</v>
      </c>
      <c r="Q282" s="48">
        <v>0</v>
      </c>
      <c r="R282" s="48">
        <v>0</v>
      </c>
      <c r="S282" s="48">
        <v>0</v>
      </c>
      <c r="T282" s="48">
        <v>2</v>
      </c>
      <c r="U282" s="48">
        <v>0</v>
      </c>
      <c r="V282" s="48">
        <v>0</v>
      </c>
      <c r="W282" s="48"/>
      <c r="X282" s="48"/>
      <c r="Y282" s="48"/>
      <c r="Z282" s="48"/>
      <c r="AA282" s="49"/>
      <c r="AB282" s="49"/>
      <c r="AC282" s="48">
        <v>89</v>
      </c>
    </row>
    <row r="283" spans="1:29">
      <c r="A283" s="48" t="s">
        <v>8</v>
      </c>
      <c r="B283" s="48" t="s">
        <v>633</v>
      </c>
      <c r="C283" s="48" t="s">
        <v>637</v>
      </c>
      <c r="D283" s="48" t="s">
        <v>637</v>
      </c>
      <c r="E283" s="48" t="s">
        <v>90</v>
      </c>
      <c r="F283" s="48">
        <v>2</v>
      </c>
      <c r="G283" s="48" t="s">
        <v>638</v>
      </c>
      <c r="H283" s="48" t="s">
        <v>92</v>
      </c>
      <c r="I283" s="48" t="s">
        <v>639</v>
      </c>
      <c r="J283" s="48" t="s">
        <v>165</v>
      </c>
      <c r="K283" s="48">
        <v>9652438990</v>
      </c>
      <c r="L283" s="48">
        <v>57</v>
      </c>
      <c r="M283" s="48">
        <v>52</v>
      </c>
      <c r="N283" s="48">
        <v>2041</v>
      </c>
      <c r="O283" s="48">
        <v>0</v>
      </c>
      <c r="P283" s="48">
        <v>1</v>
      </c>
      <c r="Q283" s="48">
        <v>0</v>
      </c>
      <c r="R283" s="48">
        <v>0</v>
      </c>
      <c r="S283" s="48">
        <v>0</v>
      </c>
      <c r="T283" s="48">
        <v>0</v>
      </c>
      <c r="U283" s="48">
        <v>0</v>
      </c>
      <c r="V283" s="48">
        <v>0</v>
      </c>
      <c r="W283" s="48"/>
      <c r="X283" s="48"/>
      <c r="Y283" s="48"/>
      <c r="Z283" s="48"/>
      <c r="AA283" s="49"/>
      <c r="AB283" s="49"/>
      <c r="AC283" s="48">
        <v>88</v>
      </c>
    </row>
    <row r="284" spans="1:29">
      <c r="A284" s="48" t="s">
        <v>8</v>
      </c>
      <c r="B284" s="48" t="s">
        <v>633</v>
      </c>
      <c r="C284" s="48" t="s">
        <v>640</v>
      </c>
      <c r="D284" s="48" t="s">
        <v>640</v>
      </c>
      <c r="E284" s="48" t="s">
        <v>95</v>
      </c>
      <c r="F284" s="48">
        <v>1</v>
      </c>
      <c r="G284" s="48" t="s">
        <v>641</v>
      </c>
      <c r="H284" s="48" t="s">
        <v>92</v>
      </c>
      <c r="I284" s="48" t="s">
        <v>93</v>
      </c>
      <c r="J284" s="48" t="s">
        <v>139</v>
      </c>
      <c r="K284" s="48">
        <v>6301104373</v>
      </c>
      <c r="L284" s="48">
        <v>30</v>
      </c>
      <c r="M284" s="48">
        <v>24</v>
      </c>
      <c r="N284" s="48">
        <v>1200</v>
      </c>
      <c r="O284" s="48">
        <v>0</v>
      </c>
      <c r="P284" s="48">
        <v>0</v>
      </c>
      <c r="Q284" s="48">
        <v>0</v>
      </c>
      <c r="R284" s="48">
        <v>0</v>
      </c>
      <c r="S284" s="48">
        <v>0</v>
      </c>
      <c r="T284" s="48">
        <v>0</v>
      </c>
      <c r="U284" s="48">
        <v>0</v>
      </c>
      <c r="V284" s="48">
        <v>0</v>
      </c>
      <c r="W284" s="48"/>
      <c r="X284" s="48"/>
      <c r="Y284" s="48"/>
      <c r="Z284" s="48"/>
      <c r="AA284" s="49"/>
      <c r="AB284" s="49"/>
      <c r="AC284" s="48">
        <v>78</v>
      </c>
    </row>
    <row r="285" spans="1:29">
      <c r="A285" s="48" t="s">
        <v>8</v>
      </c>
      <c r="B285" s="48" t="s">
        <v>633</v>
      </c>
      <c r="C285" s="48" t="s">
        <v>19</v>
      </c>
      <c r="D285" s="48" t="s">
        <v>19</v>
      </c>
      <c r="E285" s="48" t="s">
        <v>100</v>
      </c>
      <c r="F285" s="48">
        <v>1</v>
      </c>
      <c r="G285" s="48" t="s">
        <v>642</v>
      </c>
      <c r="H285" s="48" t="s">
        <v>92</v>
      </c>
      <c r="I285" s="48" t="s">
        <v>93</v>
      </c>
      <c r="J285" s="48" t="s">
        <v>139</v>
      </c>
      <c r="K285" s="48">
        <v>8498884501</v>
      </c>
      <c r="L285" s="48">
        <v>32</v>
      </c>
      <c r="M285" s="48">
        <v>22</v>
      </c>
      <c r="N285" s="48">
        <v>424</v>
      </c>
      <c r="O285" s="48">
        <v>0</v>
      </c>
      <c r="P285" s="48">
        <v>0</v>
      </c>
      <c r="Q285" s="48">
        <v>0</v>
      </c>
      <c r="R285" s="48">
        <v>0</v>
      </c>
      <c r="S285" s="48">
        <v>0</v>
      </c>
      <c r="T285" s="48">
        <v>0</v>
      </c>
      <c r="U285" s="48">
        <v>0</v>
      </c>
      <c r="V285" s="48">
        <v>1</v>
      </c>
      <c r="W285" s="48"/>
      <c r="X285" s="48"/>
      <c r="Y285" s="48"/>
      <c r="Z285" s="48"/>
      <c r="AA285" s="49"/>
      <c r="AB285" s="49"/>
      <c r="AC285" s="48"/>
    </row>
    <row r="286" spans="1:29">
      <c r="A286" s="48" t="s">
        <v>8</v>
      </c>
      <c r="B286" s="48" t="s">
        <v>633</v>
      </c>
      <c r="C286" s="48" t="s">
        <v>643</v>
      </c>
      <c r="D286" s="48" t="s">
        <v>643</v>
      </c>
      <c r="E286" s="48" t="s">
        <v>90</v>
      </c>
      <c r="F286" s="48">
        <v>10</v>
      </c>
      <c r="G286" s="48" t="s">
        <v>644</v>
      </c>
      <c r="H286" s="48" t="s">
        <v>92</v>
      </c>
      <c r="I286" s="48" t="s">
        <v>119</v>
      </c>
      <c r="J286" s="48" t="s">
        <v>165</v>
      </c>
      <c r="K286" s="48">
        <v>7396787777</v>
      </c>
      <c r="L286" s="48">
        <v>269</v>
      </c>
      <c r="M286" s="48">
        <v>283</v>
      </c>
      <c r="N286" s="48">
        <v>9136</v>
      </c>
      <c r="O286" s="48">
        <v>0</v>
      </c>
      <c r="P286" s="48">
        <v>4</v>
      </c>
      <c r="Q286" s="48">
        <v>0</v>
      </c>
      <c r="R286" s="48">
        <v>0</v>
      </c>
      <c r="S286" s="48">
        <v>0</v>
      </c>
      <c r="T286" s="48">
        <v>1</v>
      </c>
      <c r="U286" s="48">
        <v>0</v>
      </c>
      <c r="V286" s="48">
        <v>1</v>
      </c>
      <c r="W286" s="48"/>
      <c r="X286" s="48"/>
      <c r="Y286" s="48"/>
      <c r="Z286" s="48"/>
      <c r="AA286" s="49"/>
      <c r="AB286" s="49"/>
      <c r="AC286" s="48">
        <v>88</v>
      </c>
    </row>
    <row r="287" spans="1:29">
      <c r="A287" s="48" t="s">
        <v>8</v>
      </c>
      <c r="B287" s="48" t="s">
        <v>633</v>
      </c>
      <c r="C287" s="48" t="s">
        <v>645</v>
      </c>
      <c r="D287" s="48" t="s">
        <v>645</v>
      </c>
      <c r="E287" s="48" t="s">
        <v>90</v>
      </c>
      <c r="F287" s="48">
        <v>3</v>
      </c>
      <c r="G287" s="48" t="s">
        <v>646</v>
      </c>
      <c r="H287" s="48" t="s">
        <v>92</v>
      </c>
      <c r="I287" s="48" t="s">
        <v>119</v>
      </c>
      <c r="J287" s="48" t="s">
        <v>165</v>
      </c>
      <c r="K287" s="48">
        <v>9652762333</v>
      </c>
      <c r="L287" s="48">
        <v>88</v>
      </c>
      <c r="M287" s="48">
        <v>77</v>
      </c>
      <c r="N287" s="48">
        <v>2497</v>
      </c>
      <c r="O287" s="48">
        <v>0</v>
      </c>
      <c r="P287" s="48">
        <v>2</v>
      </c>
      <c r="Q287" s="48">
        <v>0</v>
      </c>
      <c r="R287" s="48">
        <v>0</v>
      </c>
      <c r="S287" s="48">
        <v>0</v>
      </c>
      <c r="T287" s="48">
        <v>0</v>
      </c>
      <c r="U287" s="48">
        <v>0</v>
      </c>
      <c r="V287" s="48">
        <v>0</v>
      </c>
      <c r="W287" s="48"/>
      <c r="X287" s="48"/>
      <c r="Y287" s="48"/>
      <c r="Z287" s="48"/>
      <c r="AA287" s="49"/>
      <c r="AB287" s="49"/>
      <c r="AC287" s="48">
        <v>96</v>
      </c>
    </row>
    <row r="288" spans="1:29">
      <c r="A288" s="48" t="s">
        <v>8</v>
      </c>
      <c r="B288" s="48" t="s">
        <v>633</v>
      </c>
      <c r="C288" s="48" t="s">
        <v>647</v>
      </c>
      <c r="D288" s="48" t="s">
        <v>647</v>
      </c>
      <c r="E288" s="48" t="s">
        <v>95</v>
      </c>
      <c r="F288" s="48">
        <v>3</v>
      </c>
      <c r="G288" s="48" t="s">
        <v>648</v>
      </c>
      <c r="H288" s="48" t="s">
        <v>92</v>
      </c>
      <c r="I288" s="48" t="s">
        <v>93</v>
      </c>
      <c r="J288" s="48" t="s">
        <v>139</v>
      </c>
      <c r="K288" s="48">
        <v>9848733464</v>
      </c>
      <c r="L288" s="48">
        <v>86</v>
      </c>
      <c r="M288" s="48">
        <v>77</v>
      </c>
      <c r="N288" s="48">
        <v>3046</v>
      </c>
      <c r="O288" s="48">
        <v>0</v>
      </c>
      <c r="P288" s="48">
        <v>0</v>
      </c>
      <c r="Q288" s="48">
        <v>0</v>
      </c>
      <c r="R288" s="48">
        <v>0</v>
      </c>
      <c r="S288" s="48">
        <v>1</v>
      </c>
      <c r="T288" s="48">
        <v>0</v>
      </c>
      <c r="U288" s="48">
        <v>0</v>
      </c>
      <c r="V288" s="48">
        <v>0</v>
      </c>
      <c r="W288" s="48"/>
      <c r="X288" s="48"/>
      <c r="Y288" s="48"/>
      <c r="Z288" s="48"/>
      <c r="AA288" s="49"/>
      <c r="AB288" s="49"/>
      <c r="AC288" s="48">
        <v>70</v>
      </c>
    </row>
    <row r="289" spans="1:29">
      <c r="A289" s="48" t="s">
        <v>8</v>
      </c>
      <c r="B289" s="48" t="s">
        <v>633</v>
      </c>
      <c r="C289" s="48" t="s">
        <v>649</v>
      </c>
      <c r="D289" s="48" t="s">
        <v>649</v>
      </c>
      <c r="E289" s="48" t="s">
        <v>95</v>
      </c>
      <c r="F289" s="48">
        <v>3</v>
      </c>
      <c r="G289" s="48" t="s">
        <v>650</v>
      </c>
      <c r="H289" s="48" t="s">
        <v>92</v>
      </c>
      <c r="I289" s="48" t="s">
        <v>97</v>
      </c>
      <c r="J289" s="48" t="s">
        <v>165</v>
      </c>
      <c r="K289" s="48">
        <v>9290552555</v>
      </c>
      <c r="L289" s="48">
        <v>85</v>
      </c>
      <c r="M289" s="48">
        <v>81</v>
      </c>
      <c r="N289" s="48">
        <v>2335</v>
      </c>
      <c r="O289" s="48">
        <v>0</v>
      </c>
      <c r="P289" s="48">
        <v>1</v>
      </c>
      <c r="Q289" s="48">
        <v>0</v>
      </c>
      <c r="R289" s="48">
        <v>0</v>
      </c>
      <c r="S289" s="48">
        <v>1</v>
      </c>
      <c r="T289" s="48">
        <v>1</v>
      </c>
      <c r="U289" s="48">
        <v>0</v>
      </c>
      <c r="V289" s="48">
        <v>0</v>
      </c>
      <c r="W289" s="48"/>
      <c r="X289" s="48"/>
      <c r="Y289" s="48"/>
      <c r="Z289" s="48"/>
      <c r="AA289" s="49"/>
      <c r="AB289" s="49"/>
      <c r="AC289" s="48">
        <v>94</v>
      </c>
    </row>
    <row r="290" spans="1:29">
      <c r="A290" s="48" t="s">
        <v>8</v>
      </c>
      <c r="B290" s="48" t="s">
        <v>633</v>
      </c>
      <c r="C290" s="48" t="s">
        <v>651</v>
      </c>
      <c r="D290" s="48" t="s">
        <v>651</v>
      </c>
      <c r="E290" s="48" t="s">
        <v>95</v>
      </c>
      <c r="F290" s="48">
        <v>2</v>
      </c>
      <c r="G290" s="48" t="s">
        <v>652</v>
      </c>
      <c r="H290" s="48" t="s">
        <v>92</v>
      </c>
      <c r="I290" s="48" t="s">
        <v>157</v>
      </c>
      <c r="J290" s="48"/>
      <c r="K290" s="48">
        <v>9908629052</v>
      </c>
      <c r="L290" s="48">
        <v>66</v>
      </c>
      <c r="M290" s="48">
        <v>41</v>
      </c>
      <c r="N290" s="48">
        <v>2025</v>
      </c>
      <c r="O290" s="48">
        <v>0</v>
      </c>
      <c r="P290" s="48">
        <v>1</v>
      </c>
      <c r="Q290" s="48">
        <v>0</v>
      </c>
      <c r="R290" s="48">
        <v>0</v>
      </c>
      <c r="S290" s="48">
        <v>0</v>
      </c>
      <c r="T290" s="48">
        <v>1</v>
      </c>
      <c r="U290" s="48">
        <v>0</v>
      </c>
      <c r="V290" s="48">
        <v>0</v>
      </c>
      <c r="W290" s="48"/>
      <c r="X290" s="48"/>
      <c r="Y290" s="48"/>
      <c r="Z290" s="48"/>
      <c r="AA290" s="49"/>
      <c r="AB290" s="49"/>
      <c r="AC290" s="48">
        <v>84</v>
      </c>
    </row>
    <row r="291" spans="1:29">
      <c r="A291" s="48" t="s">
        <v>8</v>
      </c>
      <c r="B291" s="48" t="s">
        <v>633</v>
      </c>
      <c r="C291" s="48" t="s">
        <v>633</v>
      </c>
      <c r="D291" s="48" t="s">
        <v>633</v>
      </c>
      <c r="E291" s="48" t="s">
        <v>90</v>
      </c>
      <c r="F291" s="48">
        <v>8</v>
      </c>
      <c r="G291" s="48" t="s">
        <v>653</v>
      </c>
      <c r="H291" s="48" t="s">
        <v>92</v>
      </c>
      <c r="I291" s="48" t="s">
        <v>113</v>
      </c>
      <c r="J291" s="48" t="s">
        <v>114</v>
      </c>
      <c r="K291" s="48">
        <v>9515619761</v>
      </c>
      <c r="L291" s="48">
        <v>200</v>
      </c>
      <c r="M291" s="48">
        <v>242</v>
      </c>
      <c r="N291" s="48">
        <v>8068</v>
      </c>
      <c r="O291" s="48">
        <v>0</v>
      </c>
      <c r="P291" s="48">
        <v>4</v>
      </c>
      <c r="Q291" s="48">
        <v>0</v>
      </c>
      <c r="R291" s="48">
        <v>0</v>
      </c>
      <c r="S291" s="48">
        <v>1</v>
      </c>
      <c r="T291" s="48">
        <v>1</v>
      </c>
      <c r="U291" s="48">
        <v>0</v>
      </c>
      <c r="V291" s="48">
        <v>0</v>
      </c>
      <c r="W291" s="48"/>
      <c r="X291" s="48"/>
      <c r="Y291" s="48"/>
      <c r="Z291" s="48"/>
      <c r="AA291" s="49"/>
      <c r="AB291" s="49"/>
      <c r="AC291" s="48">
        <v>89</v>
      </c>
    </row>
    <row r="292" spans="1:29">
      <c r="A292" s="48" t="s">
        <v>8</v>
      </c>
      <c r="B292" s="48" t="s">
        <v>633</v>
      </c>
      <c r="C292" s="48" t="s">
        <v>654</v>
      </c>
      <c r="D292" s="48" t="s">
        <v>654</v>
      </c>
      <c r="E292" s="48" t="s">
        <v>95</v>
      </c>
      <c r="F292" s="48">
        <v>1</v>
      </c>
      <c r="G292" s="48" t="e">
        <v>#N/A</v>
      </c>
      <c r="H292" s="48"/>
      <c r="I292" s="48"/>
      <c r="J292" s="48"/>
      <c r="K292" s="48"/>
      <c r="L292" s="48">
        <v>28</v>
      </c>
      <c r="M292" s="48">
        <v>28</v>
      </c>
      <c r="N292" s="48">
        <v>801</v>
      </c>
      <c r="O292" s="48">
        <v>0</v>
      </c>
      <c r="P292" s="48">
        <v>0</v>
      </c>
      <c r="Q292" s="48">
        <v>0</v>
      </c>
      <c r="R292" s="48">
        <v>0</v>
      </c>
      <c r="S292" s="48">
        <v>0</v>
      </c>
      <c r="T292" s="48">
        <v>1</v>
      </c>
      <c r="U292" s="48">
        <v>0</v>
      </c>
      <c r="V292" s="48">
        <v>0</v>
      </c>
      <c r="W292" s="48"/>
      <c r="X292" s="48"/>
      <c r="Y292" s="48"/>
      <c r="Z292" s="48"/>
      <c r="AA292" s="49"/>
      <c r="AB292" s="49"/>
      <c r="AC292" s="48" t="e">
        <v>#N/A</v>
      </c>
    </row>
    <row r="293" spans="1:29">
      <c r="A293" s="48" t="s">
        <v>8</v>
      </c>
      <c r="B293" s="48" t="s">
        <v>633</v>
      </c>
      <c r="C293" s="48" t="s">
        <v>655</v>
      </c>
      <c r="D293" s="48" t="s">
        <v>655</v>
      </c>
      <c r="E293" s="48" t="s">
        <v>95</v>
      </c>
      <c r="F293" s="48">
        <v>1</v>
      </c>
      <c r="G293" s="48" t="s">
        <v>656</v>
      </c>
      <c r="H293" s="48" t="s">
        <v>92</v>
      </c>
      <c r="I293" s="48" t="s">
        <v>93</v>
      </c>
      <c r="J293" s="48" t="s">
        <v>139</v>
      </c>
      <c r="K293" s="48">
        <v>9848159571</v>
      </c>
      <c r="L293" s="48">
        <v>28</v>
      </c>
      <c r="M293" s="48">
        <v>27</v>
      </c>
      <c r="N293" s="48">
        <v>817</v>
      </c>
      <c r="O293" s="48">
        <v>0</v>
      </c>
      <c r="P293" s="48">
        <v>0</v>
      </c>
      <c r="Q293" s="48">
        <v>0</v>
      </c>
      <c r="R293" s="48">
        <v>0</v>
      </c>
      <c r="S293" s="48">
        <v>0</v>
      </c>
      <c r="T293" s="48">
        <v>0</v>
      </c>
      <c r="U293" s="48">
        <v>0</v>
      </c>
      <c r="V293" s="48">
        <v>0</v>
      </c>
      <c r="W293" s="48"/>
      <c r="X293" s="48"/>
      <c r="Y293" s="48"/>
      <c r="Z293" s="48"/>
      <c r="AA293" s="49"/>
      <c r="AB293" s="49"/>
      <c r="AC293" s="48">
        <v>77</v>
      </c>
    </row>
    <row r="294" spans="1:29">
      <c r="A294" s="48" t="s">
        <v>8</v>
      </c>
      <c r="B294" s="48" t="s">
        <v>633</v>
      </c>
      <c r="C294" s="48" t="s">
        <v>333</v>
      </c>
      <c r="D294" s="48" t="s">
        <v>333</v>
      </c>
      <c r="E294" s="48" t="s">
        <v>95</v>
      </c>
      <c r="F294" s="48">
        <v>2</v>
      </c>
      <c r="G294" s="48" t="s">
        <v>657</v>
      </c>
      <c r="H294" s="48" t="s">
        <v>92</v>
      </c>
      <c r="I294" s="48" t="s">
        <v>102</v>
      </c>
      <c r="J294" s="48" t="s">
        <v>165</v>
      </c>
      <c r="K294" s="48">
        <v>8465068899</v>
      </c>
      <c r="L294" s="48">
        <v>59</v>
      </c>
      <c r="M294" s="48">
        <v>50</v>
      </c>
      <c r="N294" s="48">
        <v>1337</v>
      </c>
      <c r="O294" s="48">
        <v>0</v>
      </c>
      <c r="P294" s="48">
        <v>1</v>
      </c>
      <c r="Q294" s="48">
        <v>0</v>
      </c>
      <c r="R294" s="48">
        <v>0</v>
      </c>
      <c r="S294" s="48">
        <v>0</v>
      </c>
      <c r="T294" s="48">
        <v>0</v>
      </c>
      <c r="U294" s="48">
        <v>0</v>
      </c>
      <c r="V294" s="48">
        <v>0</v>
      </c>
      <c r="W294" s="48"/>
      <c r="X294" s="48"/>
      <c r="Y294" s="48"/>
      <c r="Z294" s="48"/>
      <c r="AA294" s="49"/>
      <c r="AB294" s="49"/>
      <c r="AC294" s="48"/>
    </row>
    <row r="295" spans="1:29">
      <c r="A295" s="48" t="s">
        <v>8</v>
      </c>
      <c r="B295" s="48" t="s">
        <v>658</v>
      </c>
      <c r="C295" s="48" t="s">
        <v>659</v>
      </c>
      <c r="D295" s="48" t="s">
        <v>659</v>
      </c>
      <c r="E295" s="48" t="s">
        <v>90</v>
      </c>
      <c r="F295" s="48">
        <v>2</v>
      </c>
      <c r="G295" s="48" t="e">
        <v>#N/A</v>
      </c>
      <c r="H295" s="48"/>
      <c r="I295" s="48"/>
      <c r="J295" s="48"/>
      <c r="K295" s="48"/>
      <c r="L295" s="48">
        <v>1010</v>
      </c>
      <c r="M295" s="48">
        <v>998</v>
      </c>
      <c r="N295" s="48">
        <v>2009</v>
      </c>
      <c r="O295" s="48">
        <v>64</v>
      </c>
      <c r="P295" s="48">
        <v>456</v>
      </c>
      <c r="Q295" s="48">
        <v>302</v>
      </c>
      <c r="R295" s="48">
        <v>175</v>
      </c>
      <c r="S295" s="48">
        <v>82</v>
      </c>
      <c r="T295" s="48">
        <v>485</v>
      </c>
      <c r="U295" s="48">
        <v>287</v>
      </c>
      <c r="V295" s="48">
        <v>153</v>
      </c>
      <c r="W295" s="48"/>
      <c r="X295" s="48"/>
      <c r="Y295" s="48"/>
      <c r="Z295" s="48"/>
      <c r="AA295" s="49"/>
      <c r="AB295" s="49"/>
      <c r="AC295" s="48" t="e">
        <v>#N/A</v>
      </c>
    </row>
    <row r="296" spans="1:29">
      <c r="A296" s="48" t="s">
        <v>8</v>
      </c>
      <c r="B296" s="48" t="s">
        <v>658</v>
      </c>
      <c r="C296" s="48" t="s">
        <v>660</v>
      </c>
      <c r="D296" s="48" t="s">
        <v>660</v>
      </c>
      <c r="E296" s="48" t="s">
        <v>90</v>
      </c>
      <c r="F296" s="48">
        <v>1</v>
      </c>
      <c r="G296" s="48" t="e">
        <v>#N/A</v>
      </c>
      <c r="H296" s="48"/>
      <c r="I296" s="48"/>
      <c r="J296" s="48"/>
      <c r="K296" s="48"/>
      <c r="L296" s="48">
        <v>0</v>
      </c>
      <c r="M296" s="48">
        <v>0</v>
      </c>
      <c r="N296" s="48">
        <v>738</v>
      </c>
      <c r="O296" s="48">
        <v>0</v>
      </c>
      <c r="P296" s="48">
        <v>0</v>
      </c>
      <c r="Q296" s="48">
        <v>0</v>
      </c>
      <c r="R296" s="48">
        <v>0</v>
      </c>
      <c r="S296" s="48">
        <v>0</v>
      </c>
      <c r="T296" s="48">
        <v>0</v>
      </c>
      <c r="U296" s="48">
        <v>0</v>
      </c>
      <c r="V296" s="48">
        <v>0</v>
      </c>
      <c r="W296" s="48"/>
      <c r="X296" s="48"/>
      <c r="Y296" s="48"/>
      <c r="Z296" s="48"/>
      <c r="AA296" s="49"/>
      <c r="AB296" s="49"/>
      <c r="AC296" s="48" t="e">
        <v>#N/A</v>
      </c>
    </row>
    <row r="297" spans="1:29">
      <c r="A297" s="48" t="s">
        <v>8</v>
      </c>
      <c r="B297" s="48" t="s">
        <v>658</v>
      </c>
      <c r="C297" s="48" t="s">
        <v>661</v>
      </c>
      <c r="D297" s="48" t="s">
        <v>661</v>
      </c>
      <c r="E297" s="48" t="s">
        <v>90</v>
      </c>
      <c r="F297" s="48">
        <v>2</v>
      </c>
      <c r="G297" s="48" t="e">
        <v>#N/A</v>
      </c>
      <c r="H297" s="48"/>
      <c r="I297" s="48"/>
      <c r="J297" s="48"/>
      <c r="K297" s="48"/>
      <c r="L297" s="48">
        <v>714</v>
      </c>
      <c r="M297" s="48">
        <v>700</v>
      </c>
      <c r="N297" s="48">
        <v>1414</v>
      </c>
      <c r="O297" s="48">
        <v>53</v>
      </c>
      <c r="P297" s="48">
        <v>375</v>
      </c>
      <c r="Q297" s="48">
        <v>189</v>
      </c>
      <c r="R297" s="48">
        <v>83</v>
      </c>
      <c r="S297" s="48">
        <v>61</v>
      </c>
      <c r="T297" s="48">
        <v>350</v>
      </c>
      <c r="U297" s="48">
        <v>210</v>
      </c>
      <c r="V297" s="48">
        <v>93</v>
      </c>
      <c r="W297" s="48"/>
      <c r="X297" s="48"/>
      <c r="Y297" s="48"/>
      <c r="Z297" s="48"/>
      <c r="AA297" s="49"/>
      <c r="AB297" s="49"/>
      <c r="AC297" s="48" t="e">
        <v>#N/A</v>
      </c>
    </row>
    <row r="298" spans="1:29">
      <c r="A298" s="48" t="s">
        <v>8</v>
      </c>
      <c r="B298" s="48" t="s">
        <v>658</v>
      </c>
      <c r="C298" s="48" t="s">
        <v>662</v>
      </c>
      <c r="D298" s="48" t="s">
        <v>662</v>
      </c>
      <c r="E298" s="48" t="s">
        <v>95</v>
      </c>
      <c r="F298" s="48">
        <v>4</v>
      </c>
      <c r="G298" s="48" t="e">
        <v>#N/A</v>
      </c>
      <c r="H298" s="48"/>
      <c r="I298" s="48"/>
      <c r="J298" s="48"/>
      <c r="K298" s="48"/>
      <c r="L298" s="48">
        <v>926</v>
      </c>
      <c r="M298" s="48">
        <v>946</v>
      </c>
      <c r="N298" s="48">
        <v>2658</v>
      </c>
      <c r="O298" s="48">
        <v>55</v>
      </c>
      <c r="P298" s="48">
        <v>432</v>
      </c>
      <c r="Q298" s="48">
        <v>263</v>
      </c>
      <c r="R298" s="48">
        <v>194</v>
      </c>
      <c r="S298" s="48">
        <v>62</v>
      </c>
      <c r="T298" s="48">
        <v>460</v>
      </c>
      <c r="U298" s="48">
        <v>235</v>
      </c>
      <c r="V298" s="48">
        <v>169</v>
      </c>
      <c r="W298" s="48"/>
      <c r="X298" s="48"/>
      <c r="Y298" s="48"/>
      <c r="Z298" s="48"/>
      <c r="AA298" s="49"/>
      <c r="AB298" s="49"/>
      <c r="AC298" s="48" t="e">
        <v>#N/A</v>
      </c>
    </row>
    <row r="299" spans="1:29">
      <c r="A299" s="48" t="s">
        <v>8</v>
      </c>
      <c r="B299" s="48" t="s">
        <v>658</v>
      </c>
      <c r="C299" s="48" t="s">
        <v>663</v>
      </c>
      <c r="D299" s="48" t="s">
        <v>663</v>
      </c>
      <c r="E299" s="48" t="s">
        <v>90</v>
      </c>
      <c r="F299" s="48">
        <v>8</v>
      </c>
      <c r="G299" s="48" t="e">
        <v>#N/A</v>
      </c>
      <c r="H299" s="48"/>
      <c r="I299" s="48"/>
      <c r="J299" s="48"/>
      <c r="K299" s="48"/>
      <c r="L299" s="48">
        <v>691</v>
      </c>
      <c r="M299" s="48">
        <v>631</v>
      </c>
      <c r="N299" s="48">
        <v>8342</v>
      </c>
      <c r="O299" s="48">
        <v>36</v>
      </c>
      <c r="P299" s="48">
        <v>292</v>
      </c>
      <c r="Q299" s="48">
        <v>154</v>
      </c>
      <c r="R299" s="48">
        <v>85</v>
      </c>
      <c r="S299" s="48">
        <v>53</v>
      </c>
      <c r="T299" s="48">
        <v>284</v>
      </c>
      <c r="U299" s="48">
        <v>123</v>
      </c>
      <c r="V299" s="48">
        <v>79</v>
      </c>
      <c r="W299" s="48"/>
      <c r="X299" s="48"/>
      <c r="Y299" s="48"/>
      <c r="Z299" s="48"/>
      <c r="AA299" s="49"/>
      <c r="AB299" s="49"/>
      <c r="AC299" s="48" t="e">
        <v>#N/A</v>
      </c>
    </row>
    <row r="300" spans="1:29">
      <c r="A300" s="48" t="s">
        <v>8</v>
      </c>
      <c r="B300" s="48" t="s">
        <v>658</v>
      </c>
      <c r="C300" s="48" t="s">
        <v>664</v>
      </c>
      <c r="D300" s="48" t="s">
        <v>665</v>
      </c>
      <c r="E300" s="48" t="s">
        <v>90</v>
      </c>
      <c r="F300" s="48">
        <v>1</v>
      </c>
      <c r="G300" s="48" t="e">
        <v>#N/A</v>
      </c>
      <c r="H300" s="48"/>
      <c r="I300" s="48"/>
      <c r="J300" s="48"/>
      <c r="K300" s="48"/>
      <c r="L300" s="48">
        <v>0</v>
      </c>
      <c r="M300" s="48">
        <v>0</v>
      </c>
      <c r="N300" s="48">
        <v>651</v>
      </c>
      <c r="O300" s="48">
        <v>0</v>
      </c>
      <c r="P300" s="48">
        <v>0</v>
      </c>
      <c r="Q300" s="48">
        <v>0</v>
      </c>
      <c r="R300" s="48">
        <v>0</v>
      </c>
      <c r="S300" s="48">
        <v>0</v>
      </c>
      <c r="T300" s="48">
        <v>0</v>
      </c>
      <c r="U300" s="48">
        <v>0</v>
      </c>
      <c r="V300" s="48">
        <v>0</v>
      </c>
      <c r="W300" s="48"/>
      <c r="X300" s="48"/>
      <c r="Y300" s="48"/>
      <c r="Z300" s="48"/>
      <c r="AA300" s="49"/>
      <c r="AB300" s="49"/>
      <c r="AC300" s="48" t="e">
        <v>#N/A</v>
      </c>
    </row>
    <row r="301" spans="1:29">
      <c r="A301" s="48" t="s">
        <v>8</v>
      </c>
      <c r="B301" s="48" t="s">
        <v>658</v>
      </c>
      <c r="C301" s="48" t="s">
        <v>664</v>
      </c>
      <c r="D301" s="48" t="s">
        <v>664</v>
      </c>
      <c r="E301" s="48" t="s">
        <v>90</v>
      </c>
      <c r="F301" s="48">
        <v>2</v>
      </c>
      <c r="G301" s="48" t="e">
        <v>#N/A</v>
      </c>
      <c r="H301" s="48"/>
      <c r="I301" s="48"/>
      <c r="J301" s="48"/>
      <c r="K301" s="48"/>
      <c r="L301" s="48">
        <v>62</v>
      </c>
      <c r="M301" s="48">
        <v>99</v>
      </c>
      <c r="N301" s="48">
        <v>2101</v>
      </c>
      <c r="O301" s="48">
        <v>0</v>
      </c>
      <c r="P301" s="48">
        <v>0</v>
      </c>
      <c r="Q301" s="48">
        <v>0</v>
      </c>
      <c r="R301" s="48">
        <v>0</v>
      </c>
      <c r="S301" s="48">
        <v>0</v>
      </c>
      <c r="T301" s="48">
        <v>1</v>
      </c>
      <c r="U301" s="48">
        <v>1</v>
      </c>
      <c r="V301" s="48">
        <v>0</v>
      </c>
      <c r="W301" s="48"/>
      <c r="X301" s="48"/>
      <c r="Y301" s="48"/>
      <c r="Z301" s="48"/>
      <c r="AA301" s="49"/>
      <c r="AB301" s="49"/>
      <c r="AC301" s="48" t="e">
        <v>#N/A</v>
      </c>
    </row>
    <row r="302" spans="1:29">
      <c r="A302" s="48" t="s">
        <v>8</v>
      </c>
      <c r="B302" s="48" t="s">
        <v>658</v>
      </c>
      <c r="C302" s="48" t="s">
        <v>666</v>
      </c>
      <c r="D302" s="48" t="s">
        <v>666</v>
      </c>
      <c r="E302" s="48" t="s">
        <v>95</v>
      </c>
      <c r="F302" s="48">
        <v>5</v>
      </c>
      <c r="G302" s="48" t="e">
        <v>#N/A</v>
      </c>
      <c r="H302" s="48"/>
      <c r="I302" s="48"/>
      <c r="J302" s="48"/>
      <c r="K302" s="48"/>
      <c r="L302" s="48">
        <v>2101</v>
      </c>
      <c r="M302" s="48">
        <v>2220</v>
      </c>
      <c r="N302" s="48">
        <v>4734</v>
      </c>
      <c r="O302" s="48">
        <v>162</v>
      </c>
      <c r="P302" s="48">
        <v>1120</v>
      </c>
      <c r="Q302" s="48">
        <v>514</v>
      </c>
      <c r="R302" s="48">
        <v>423</v>
      </c>
      <c r="S302" s="48">
        <v>163</v>
      </c>
      <c r="T302" s="48">
        <v>1064</v>
      </c>
      <c r="U302" s="48">
        <v>484</v>
      </c>
      <c r="V302" s="48">
        <v>390</v>
      </c>
      <c r="W302" s="48"/>
      <c r="X302" s="48"/>
      <c r="Y302" s="48"/>
      <c r="Z302" s="48"/>
      <c r="AA302" s="49"/>
      <c r="AB302" s="49"/>
      <c r="AC302" s="48" t="e">
        <v>#N/A</v>
      </c>
    </row>
    <row r="303" spans="1:29">
      <c r="A303" s="48" t="s">
        <v>8</v>
      </c>
      <c r="B303" s="48" t="s">
        <v>658</v>
      </c>
      <c r="C303" s="48" t="s">
        <v>667</v>
      </c>
      <c r="D303" s="48" t="s">
        <v>667</v>
      </c>
      <c r="E303" s="48" t="s">
        <v>90</v>
      </c>
      <c r="F303" s="48">
        <v>3</v>
      </c>
      <c r="G303" s="48" t="e">
        <v>#N/A</v>
      </c>
      <c r="H303" s="48"/>
      <c r="I303" s="48"/>
      <c r="J303" s="48"/>
      <c r="K303" s="48"/>
      <c r="L303" s="48">
        <v>1098</v>
      </c>
      <c r="M303" s="48">
        <v>1176</v>
      </c>
      <c r="N303" s="48">
        <v>2275</v>
      </c>
      <c r="O303" s="48">
        <v>66</v>
      </c>
      <c r="P303" s="48">
        <v>594</v>
      </c>
      <c r="Q303" s="48">
        <v>311</v>
      </c>
      <c r="R303" s="48">
        <v>205</v>
      </c>
      <c r="S303" s="48">
        <v>85</v>
      </c>
      <c r="T303" s="48">
        <v>543</v>
      </c>
      <c r="U303" s="48">
        <v>305</v>
      </c>
      <c r="V303" s="48">
        <v>165</v>
      </c>
      <c r="W303" s="48"/>
      <c r="X303" s="48"/>
      <c r="Y303" s="48"/>
      <c r="Z303" s="48"/>
      <c r="AA303" s="49"/>
      <c r="AB303" s="49"/>
      <c r="AC303" s="48" t="e">
        <v>#N/A</v>
      </c>
    </row>
    <row r="304" spans="1:29">
      <c r="A304" s="48" t="s">
        <v>8</v>
      </c>
      <c r="B304" s="48" t="s">
        <v>658</v>
      </c>
      <c r="C304" s="48" t="s">
        <v>668</v>
      </c>
      <c r="D304" s="48" t="s">
        <v>668</v>
      </c>
      <c r="E304" s="48" t="s">
        <v>90</v>
      </c>
      <c r="F304" s="48">
        <v>1</v>
      </c>
      <c r="G304" s="48" t="e">
        <v>#N/A</v>
      </c>
      <c r="H304" s="48"/>
      <c r="I304" s="48"/>
      <c r="J304" s="48"/>
      <c r="K304" s="48"/>
      <c r="L304" s="48">
        <v>23</v>
      </c>
      <c r="M304" s="48">
        <v>29</v>
      </c>
      <c r="N304" s="48">
        <v>1183</v>
      </c>
      <c r="O304" s="48">
        <v>0</v>
      </c>
      <c r="P304" s="48">
        <v>0</v>
      </c>
      <c r="Q304" s="48">
        <v>0</v>
      </c>
      <c r="R304" s="48">
        <v>0</v>
      </c>
      <c r="S304" s="48">
        <v>0</v>
      </c>
      <c r="T304" s="48">
        <v>0</v>
      </c>
      <c r="U304" s="48">
        <v>0</v>
      </c>
      <c r="V304" s="48">
        <v>0</v>
      </c>
      <c r="W304" s="48"/>
      <c r="X304" s="48"/>
      <c r="Y304" s="48"/>
      <c r="Z304" s="48"/>
      <c r="AA304" s="49"/>
      <c r="AB304" s="49"/>
      <c r="AC304" s="48" t="e">
        <v>#N/A</v>
      </c>
    </row>
    <row r="305" spans="1:29">
      <c r="A305" s="48" t="s">
        <v>8</v>
      </c>
      <c r="B305" s="48" t="s">
        <v>658</v>
      </c>
      <c r="C305" s="48" t="s">
        <v>325</v>
      </c>
      <c r="D305" s="48" t="s">
        <v>325</v>
      </c>
      <c r="E305" s="48" t="s">
        <v>90</v>
      </c>
      <c r="F305" s="48">
        <v>1</v>
      </c>
      <c r="G305" s="48" t="e">
        <v>#N/A</v>
      </c>
      <c r="H305" s="48"/>
      <c r="I305" s="48"/>
      <c r="J305" s="48"/>
      <c r="K305" s="48"/>
      <c r="L305" s="48">
        <v>1636</v>
      </c>
      <c r="M305" s="48">
        <v>1631</v>
      </c>
      <c r="N305" s="48">
        <v>3267</v>
      </c>
      <c r="O305" s="48">
        <v>74</v>
      </c>
      <c r="P305" s="48">
        <v>801</v>
      </c>
      <c r="Q305" s="48">
        <v>465</v>
      </c>
      <c r="R305" s="48">
        <v>290</v>
      </c>
      <c r="S305" s="48">
        <v>149</v>
      </c>
      <c r="T305" s="48">
        <v>801</v>
      </c>
      <c r="U305" s="48">
        <v>449</v>
      </c>
      <c r="V305" s="48">
        <v>236</v>
      </c>
      <c r="W305" s="48"/>
      <c r="X305" s="48"/>
      <c r="Y305" s="48"/>
      <c r="Z305" s="48"/>
      <c r="AA305" s="49"/>
      <c r="AB305" s="49"/>
      <c r="AC305" s="48" t="e">
        <v>#N/A</v>
      </c>
    </row>
    <row r="306" spans="1:29">
      <c r="A306" s="48" t="s">
        <v>8</v>
      </c>
      <c r="B306" s="48" t="s">
        <v>658</v>
      </c>
      <c r="C306" s="48" t="s">
        <v>669</v>
      </c>
      <c r="D306" s="48" t="s">
        <v>669</v>
      </c>
      <c r="E306" s="48" t="s">
        <v>90</v>
      </c>
      <c r="F306" s="48">
        <v>4</v>
      </c>
      <c r="G306" s="48" t="e">
        <v>#N/A</v>
      </c>
      <c r="H306" s="48"/>
      <c r="I306" s="48"/>
      <c r="J306" s="48"/>
      <c r="K306" s="48"/>
      <c r="L306" s="48">
        <v>1740</v>
      </c>
      <c r="M306" s="48">
        <v>1636</v>
      </c>
      <c r="N306" s="48">
        <v>3376</v>
      </c>
      <c r="O306" s="48">
        <v>84</v>
      </c>
      <c r="P306" s="48">
        <v>742</v>
      </c>
      <c r="Q306" s="48">
        <v>487</v>
      </c>
      <c r="R306" s="48">
        <v>323</v>
      </c>
      <c r="S306" s="48">
        <v>137</v>
      </c>
      <c r="T306" s="48">
        <v>890</v>
      </c>
      <c r="U306" s="48">
        <v>438</v>
      </c>
      <c r="V306" s="48">
        <v>274</v>
      </c>
      <c r="W306" s="48"/>
      <c r="X306" s="48"/>
      <c r="Y306" s="48"/>
      <c r="Z306" s="48"/>
      <c r="AA306" s="49"/>
      <c r="AB306" s="49"/>
      <c r="AC306" s="48" t="e">
        <v>#N/A</v>
      </c>
    </row>
    <row r="307" spans="1:29">
      <c r="A307" s="48" t="s">
        <v>8</v>
      </c>
      <c r="B307" s="48" t="s">
        <v>658</v>
      </c>
      <c r="C307" s="48" t="s">
        <v>670</v>
      </c>
      <c r="D307" s="48" t="s">
        <v>670</v>
      </c>
      <c r="E307" s="48" t="s">
        <v>90</v>
      </c>
      <c r="F307" s="48">
        <v>4</v>
      </c>
      <c r="G307" s="48" t="e">
        <v>#N/A</v>
      </c>
      <c r="H307" s="48"/>
      <c r="I307" s="48"/>
      <c r="J307" s="48"/>
      <c r="K307" s="48"/>
      <c r="L307" s="48">
        <v>2222</v>
      </c>
      <c r="M307" s="48">
        <v>2205</v>
      </c>
      <c r="N307" s="48">
        <v>4428</v>
      </c>
      <c r="O307" s="48">
        <v>147</v>
      </c>
      <c r="P307" s="48">
        <v>1046</v>
      </c>
      <c r="Q307" s="48">
        <v>645</v>
      </c>
      <c r="R307" s="48">
        <v>367</v>
      </c>
      <c r="S307" s="48">
        <v>210</v>
      </c>
      <c r="T307" s="48">
        <v>1174</v>
      </c>
      <c r="U307" s="48">
        <v>554</v>
      </c>
      <c r="V307" s="48">
        <v>283</v>
      </c>
      <c r="W307" s="48"/>
      <c r="X307" s="48"/>
      <c r="Y307" s="48"/>
      <c r="Z307" s="48"/>
      <c r="AA307" s="49"/>
      <c r="AB307" s="49"/>
      <c r="AC307" s="48" t="e">
        <v>#N/A</v>
      </c>
    </row>
    <row r="308" spans="1:29">
      <c r="A308" s="48" t="s">
        <v>7</v>
      </c>
      <c r="B308" s="48" t="s">
        <v>671</v>
      </c>
      <c r="C308" s="48" t="s">
        <v>672</v>
      </c>
      <c r="D308" s="48" t="s">
        <v>672</v>
      </c>
      <c r="E308" s="48" t="s">
        <v>90</v>
      </c>
      <c r="F308" s="48">
        <v>5</v>
      </c>
      <c r="G308" s="48" t="s">
        <v>673</v>
      </c>
      <c r="H308" s="48" t="s">
        <v>92</v>
      </c>
      <c r="I308" s="48" t="s">
        <v>142</v>
      </c>
      <c r="J308" s="48" t="s">
        <v>114</v>
      </c>
      <c r="K308" s="48">
        <v>9010752300</v>
      </c>
      <c r="L308" s="48">
        <v>1940</v>
      </c>
      <c r="M308" s="48">
        <v>2069</v>
      </c>
      <c r="N308" s="48">
        <v>4009</v>
      </c>
      <c r="O308" s="48">
        <v>153</v>
      </c>
      <c r="P308" s="48">
        <v>976</v>
      </c>
      <c r="Q308" s="48">
        <v>567</v>
      </c>
      <c r="R308" s="48">
        <v>373</v>
      </c>
      <c r="S308" s="48">
        <v>186</v>
      </c>
      <c r="T308" s="48">
        <v>915</v>
      </c>
      <c r="U308" s="48">
        <v>538</v>
      </c>
      <c r="V308" s="48">
        <v>301</v>
      </c>
      <c r="W308" s="48"/>
      <c r="X308" s="48"/>
      <c r="Y308" s="48"/>
      <c r="Z308" s="48"/>
      <c r="AA308" s="49"/>
      <c r="AB308" s="49"/>
      <c r="AC308" s="48">
        <v>77</v>
      </c>
    </row>
    <row r="309" spans="1:29">
      <c r="A309" s="48" t="s">
        <v>7</v>
      </c>
      <c r="B309" s="48" t="s">
        <v>671</v>
      </c>
      <c r="C309" s="48" t="s">
        <v>674</v>
      </c>
      <c r="D309" s="48" t="s">
        <v>674</v>
      </c>
      <c r="E309" s="48" t="s">
        <v>90</v>
      </c>
      <c r="F309" s="48">
        <v>1</v>
      </c>
      <c r="G309" s="48" t="e">
        <v>#N/A</v>
      </c>
      <c r="H309" s="48"/>
      <c r="I309" s="48"/>
      <c r="J309" s="48"/>
      <c r="K309" s="48"/>
      <c r="L309" s="48">
        <v>541</v>
      </c>
      <c r="M309" s="48">
        <v>578</v>
      </c>
      <c r="N309" s="48">
        <v>1119</v>
      </c>
      <c r="O309" s="48">
        <v>36</v>
      </c>
      <c r="P309" s="48">
        <v>267</v>
      </c>
      <c r="Q309" s="48">
        <v>166</v>
      </c>
      <c r="R309" s="48">
        <v>108</v>
      </c>
      <c r="S309" s="48">
        <v>53</v>
      </c>
      <c r="T309" s="48">
        <v>239</v>
      </c>
      <c r="U309" s="48">
        <v>118</v>
      </c>
      <c r="V309" s="48">
        <v>131</v>
      </c>
      <c r="W309" s="48"/>
      <c r="X309" s="48"/>
      <c r="Y309" s="48"/>
      <c r="Z309" s="48"/>
      <c r="AA309" s="49"/>
      <c r="AB309" s="49"/>
      <c r="AC309" s="48" t="e">
        <v>#N/A</v>
      </c>
    </row>
    <row r="310" spans="1:29">
      <c r="A310" s="48" t="s">
        <v>7</v>
      </c>
      <c r="B310" s="48" t="s">
        <v>671</v>
      </c>
      <c r="C310" s="48" t="s">
        <v>675</v>
      </c>
      <c r="D310" s="48" t="s">
        <v>675</v>
      </c>
      <c r="E310" s="48" t="s">
        <v>90</v>
      </c>
      <c r="F310" s="48">
        <v>2</v>
      </c>
      <c r="G310" s="48" t="s">
        <v>676</v>
      </c>
      <c r="H310" s="48" t="s">
        <v>92</v>
      </c>
      <c r="I310" s="48" t="s">
        <v>113</v>
      </c>
      <c r="J310" s="48" t="s">
        <v>114</v>
      </c>
      <c r="K310" s="48">
        <v>8096663901</v>
      </c>
      <c r="L310" s="48">
        <v>0</v>
      </c>
      <c r="M310" s="48">
        <v>0</v>
      </c>
      <c r="N310" s="48">
        <v>2091</v>
      </c>
      <c r="O310" s="48">
        <v>0</v>
      </c>
      <c r="P310" s="48">
        <v>0</v>
      </c>
      <c r="Q310" s="48">
        <v>0</v>
      </c>
      <c r="R310" s="48">
        <v>0</v>
      </c>
      <c r="S310" s="48">
        <v>0</v>
      </c>
      <c r="T310" s="48">
        <v>0</v>
      </c>
      <c r="U310" s="48">
        <v>0</v>
      </c>
      <c r="V310" s="48">
        <v>0</v>
      </c>
      <c r="W310" s="48"/>
      <c r="X310" s="48"/>
      <c r="Y310" s="48"/>
      <c r="Z310" s="48"/>
      <c r="AA310" s="49"/>
      <c r="AB310" s="49"/>
      <c r="AC310" s="48">
        <v>57</v>
      </c>
    </row>
    <row r="311" spans="1:29">
      <c r="A311" s="48" t="s">
        <v>7</v>
      </c>
      <c r="B311" s="48" t="s">
        <v>671</v>
      </c>
      <c r="C311" s="48" t="s">
        <v>677</v>
      </c>
      <c r="D311" s="48" t="s">
        <v>677</v>
      </c>
      <c r="E311" s="48" t="s">
        <v>90</v>
      </c>
      <c r="F311" s="48">
        <v>2</v>
      </c>
      <c r="G311" s="48" t="s">
        <v>678</v>
      </c>
      <c r="H311" s="48" t="s">
        <v>92</v>
      </c>
      <c r="I311" s="48" t="s">
        <v>97</v>
      </c>
      <c r="J311" s="48" t="s">
        <v>586</v>
      </c>
      <c r="K311" s="48">
        <v>9951353839</v>
      </c>
      <c r="L311" s="48">
        <v>1014</v>
      </c>
      <c r="M311" s="48">
        <v>1089</v>
      </c>
      <c r="N311" s="48">
        <v>2103</v>
      </c>
      <c r="O311" s="48">
        <v>79</v>
      </c>
      <c r="P311" s="48">
        <v>531</v>
      </c>
      <c r="Q311" s="48">
        <v>278</v>
      </c>
      <c r="R311" s="48">
        <v>201</v>
      </c>
      <c r="S311" s="48">
        <v>102</v>
      </c>
      <c r="T311" s="48">
        <v>484</v>
      </c>
      <c r="U311" s="48">
        <v>250</v>
      </c>
      <c r="V311" s="48">
        <v>178</v>
      </c>
      <c r="W311" s="48"/>
      <c r="X311" s="48"/>
      <c r="Y311" s="48"/>
      <c r="Z311" s="48"/>
      <c r="AA311" s="49"/>
      <c r="AB311" s="49"/>
      <c r="AC311" s="48">
        <v>75</v>
      </c>
    </row>
    <row r="312" spans="1:29">
      <c r="A312" s="48" t="s">
        <v>7</v>
      </c>
      <c r="B312" s="48" t="s">
        <v>671</v>
      </c>
      <c r="C312" s="48" t="s">
        <v>679</v>
      </c>
      <c r="D312" s="48" t="s">
        <v>679</v>
      </c>
      <c r="E312" s="48" t="s">
        <v>90</v>
      </c>
      <c r="F312" s="48">
        <v>3</v>
      </c>
      <c r="G312" s="48" t="s">
        <v>680</v>
      </c>
      <c r="H312" s="48" t="s">
        <v>92</v>
      </c>
      <c r="I312" s="48" t="s">
        <v>97</v>
      </c>
      <c r="J312" s="48" t="s">
        <v>154</v>
      </c>
      <c r="K312" s="48">
        <v>9491332202</v>
      </c>
      <c r="L312" s="48">
        <v>1392</v>
      </c>
      <c r="M312" s="48">
        <v>1414</v>
      </c>
      <c r="N312" s="48">
        <v>2806</v>
      </c>
      <c r="O312" s="48">
        <v>79</v>
      </c>
      <c r="P312" s="48">
        <v>714</v>
      </c>
      <c r="Q312" s="48">
        <v>391</v>
      </c>
      <c r="R312" s="48">
        <v>230</v>
      </c>
      <c r="S312" s="48">
        <v>133</v>
      </c>
      <c r="T312" s="48">
        <v>645</v>
      </c>
      <c r="U312" s="48">
        <v>375</v>
      </c>
      <c r="V312" s="48">
        <v>239</v>
      </c>
      <c r="W312" s="48"/>
      <c r="X312" s="48"/>
      <c r="Y312" s="48"/>
      <c r="Z312" s="48"/>
      <c r="AA312" s="49"/>
      <c r="AB312" s="49"/>
      <c r="AC312" s="48">
        <v>87</v>
      </c>
    </row>
    <row r="313" spans="1:29">
      <c r="A313" s="48" t="s">
        <v>7</v>
      </c>
      <c r="B313" s="48" t="s">
        <v>671</v>
      </c>
      <c r="C313" s="48" t="s">
        <v>681</v>
      </c>
      <c r="D313" s="48" t="s">
        <v>681</v>
      </c>
      <c r="E313" s="48" t="s">
        <v>90</v>
      </c>
      <c r="F313" s="48">
        <v>2</v>
      </c>
      <c r="G313" s="48" t="s">
        <v>682</v>
      </c>
      <c r="H313" s="48" t="s">
        <v>92</v>
      </c>
      <c r="I313" s="48" t="s">
        <v>102</v>
      </c>
      <c r="J313" s="48" t="s">
        <v>139</v>
      </c>
      <c r="K313" s="48">
        <v>9441813892</v>
      </c>
      <c r="L313" s="48">
        <v>660</v>
      </c>
      <c r="M313" s="48">
        <v>677</v>
      </c>
      <c r="N313" s="48">
        <v>1337</v>
      </c>
      <c r="O313" s="48">
        <v>60</v>
      </c>
      <c r="P313" s="48">
        <v>348</v>
      </c>
      <c r="Q313" s="48">
        <v>165</v>
      </c>
      <c r="R313" s="48">
        <v>103</v>
      </c>
      <c r="S313" s="48">
        <v>63</v>
      </c>
      <c r="T313" s="48">
        <v>332</v>
      </c>
      <c r="U313" s="48">
        <v>176</v>
      </c>
      <c r="V313" s="48">
        <v>89</v>
      </c>
      <c r="W313" s="48"/>
      <c r="X313" s="48"/>
      <c r="Y313" s="48"/>
      <c r="Z313" s="48"/>
      <c r="AA313" s="49"/>
      <c r="AB313" s="49"/>
      <c r="AC313" s="48">
        <v>59</v>
      </c>
    </row>
    <row r="314" spans="1:29">
      <c r="A314" s="48" t="s">
        <v>7</v>
      </c>
      <c r="B314" s="48" t="s">
        <v>671</v>
      </c>
      <c r="C314" s="54" t="s">
        <v>683</v>
      </c>
      <c r="D314" s="54" t="s">
        <v>683</v>
      </c>
      <c r="E314" s="48" t="s">
        <v>90</v>
      </c>
      <c r="F314" s="48">
        <v>2</v>
      </c>
      <c r="G314" s="48" t="s">
        <v>684</v>
      </c>
      <c r="H314" s="48" t="s">
        <v>92</v>
      </c>
      <c r="I314" s="48" t="s">
        <v>119</v>
      </c>
      <c r="J314" s="48" t="s">
        <v>586</v>
      </c>
      <c r="K314" s="48">
        <v>9492257191</v>
      </c>
      <c r="L314" s="48">
        <v>976</v>
      </c>
      <c r="M314" s="48">
        <v>987</v>
      </c>
      <c r="N314" s="48">
        <v>1964</v>
      </c>
      <c r="O314" s="48">
        <v>60</v>
      </c>
      <c r="P314" s="48">
        <v>430</v>
      </c>
      <c r="Q314" s="48">
        <v>303</v>
      </c>
      <c r="R314" s="48">
        <v>194</v>
      </c>
      <c r="S314" s="48">
        <v>81</v>
      </c>
      <c r="T314" s="48">
        <v>456</v>
      </c>
      <c r="U314" s="48">
        <v>275</v>
      </c>
      <c r="V314" s="48">
        <v>164</v>
      </c>
      <c r="W314" s="48"/>
      <c r="X314" s="48"/>
      <c r="Y314" s="48"/>
      <c r="Z314" s="48"/>
      <c r="AA314" s="49"/>
      <c r="AB314" s="49"/>
      <c r="AC314" s="48">
        <v>59</v>
      </c>
    </row>
    <row r="315" spans="1:29">
      <c r="A315" s="48" t="s">
        <v>7</v>
      </c>
      <c r="B315" s="48" t="s">
        <v>671</v>
      </c>
      <c r="C315" s="48" t="s">
        <v>685</v>
      </c>
      <c r="D315" s="48" t="s">
        <v>686</v>
      </c>
      <c r="E315" s="48" t="s">
        <v>90</v>
      </c>
      <c r="F315" s="48">
        <v>1</v>
      </c>
      <c r="G315" s="48" t="s">
        <v>687</v>
      </c>
      <c r="H315" s="48" t="s">
        <v>92</v>
      </c>
      <c r="I315" s="48" t="s">
        <v>102</v>
      </c>
      <c r="J315" s="48" t="s">
        <v>586</v>
      </c>
      <c r="K315" s="48">
        <v>9441326672</v>
      </c>
      <c r="L315" s="48">
        <v>402</v>
      </c>
      <c r="M315" s="48">
        <v>478</v>
      </c>
      <c r="N315" s="48">
        <v>880</v>
      </c>
      <c r="O315" s="48">
        <v>39</v>
      </c>
      <c r="P315" s="48">
        <v>200</v>
      </c>
      <c r="Q315" s="48">
        <v>153</v>
      </c>
      <c r="R315" s="48">
        <v>86</v>
      </c>
      <c r="S315" s="48">
        <v>36</v>
      </c>
      <c r="T315" s="48">
        <v>184</v>
      </c>
      <c r="U315" s="48">
        <v>105</v>
      </c>
      <c r="V315" s="48">
        <v>77</v>
      </c>
      <c r="W315" s="48"/>
      <c r="X315" s="48"/>
      <c r="Y315" s="48"/>
      <c r="Z315" s="48"/>
      <c r="AA315" s="49"/>
      <c r="AB315" s="49"/>
      <c r="AC315" s="48">
        <v>69</v>
      </c>
    </row>
    <row r="316" spans="1:29">
      <c r="A316" s="48" t="s">
        <v>7</v>
      </c>
      <c r="B316" s="48" t="s">
        <v>671</v>
      </c>
      <c r="C316" s="48" t="s">
        <v>685</v>
      </c>
      <c r="D316" s="48" t="s">
        <v>685</v>
      </c>
      <c r="E316" s="48" t="s">
        <v>90</v>
      </c>
      <c r="F316" s="48">
        <v>1</v>
      </c>
      <c r="G316" s="48" t="s">
        <v>687</v>
      </c>
      <c r="H316" s="48" t="s">
        <v>92</v>
      </c>
      <c r="I316" s="48" t="s">
        <v>102</v>
      </c>
      <c r="J316" s="48" t="s">
        <v>586</v>
      </c>
      <c r="K316" s="48">
        <v>9441326672</v>
      </c>
      <c r="L316" s="48">
        <v>558</v>
      </c>
      <c r="M316" s="48">
        <v>502</v>
      </c>
      <c r="N316" s="48">
        <v>1060</v>
      </c>
      <c r="O316" s="48">
        <v>22</v>
      </c>
      <c r="P316" s="48">
        <v>219</v>
      </c>
      <c r="Q316" s="48">
        <v>147</v>
      </c>
      <c r="R316" s="48">
        <v>114</v>
      </c>
      <c r="S316" s="48">
        <v>32</v>
      </c>
      <c r="T316" s="48">
        <v>264</v>
      </c>
      <c r="U316" s="48">
        <v>143</v>
      </c>
      <c r="V316" s="48">
        <v>119</v>
      </c>
      <c r="W316" s="48"/>
      <c r="X316" s="48"/>
      <c r="Y316" s="48"/>
      <c r="Z316" s="48"/>
      <c r="AA316" s="48"/>
      <c r="AB316" s="48"/>
      <c r="AC316" s="48">
        <v>69</v>
      </c>
    </row>
    <row r="317" spans="1:29">
      <c r="A317" s="48" t="s">
        <v>7</v>
      </c>
      <c r="B317" s="48" t="s">
        <v>671</v>
      </c>
      <c r="C317" s="48" t="s">
        <v>688</v>
      </c>
      <c r="D317" s="48" t="s">
        <v>688</v>
      </c>
      <c r="E317" s="48" t="s">
        <v>90</v>
      </c>
      <c r="F317" s="48">
        <v>4</v>
      </c>
      <c r="G317" s="48" t="s">
        <v>689</v>
      </c>
      <c r="H317" s="48" t="s">
        <v>92</v>
      </c>
      <c r="I317" s="48" t="s">
        <v>113</v>
      </c>
      <c r="J317" s="48" t="s">
        <v>114</v>
      </c>
      <c r="K317" s="48">
        <v>9493138916</v>
      </c>
      <c r="L317" s="48">
        <v>1563</v>
      </c>
      <c r="M317" s="48">
        <v>1670</v>
      </c>
      <c r="N317" s="48">
        <v>3234</v>
      </c>
      <c r="O317" s="48">
        <v>103</v>
      </c>
      <c r="P317" s="48">
        <v>841</v>
      </c>
      <c r="Q317" s="48">
        <v>391</v>
      </c>
      <c r="R317" s="48">
        <v>335</v>
      </c>
      <c r="S317" s="48">
        <v>130</v>
      </c>
      <c r="T317" s="48">
        <v>758</v>
      </c>
      <c r="U317" s="48">
        <v>413</v>
      </c>
      <c r="V317" s="48">
        <v>262</v>
      </c>
      <c r="W317" s="48"/>
      <c r="X317" s="48"/>
      <c r="Y317" s="48"/>
      <c r="Z317" s="48"/>
      <c r="AA317" s="48"/>
      <c r="AB317" s="48"/>
      <c r="AC317" s="48">
        <v>63</v>
      </c>
    </row>
    <row r="318" spans="1:29">
      <c r="A318" s="48" t="s">
        <v>7</v>
      </c>
      <c r="B318" s="48" t="s">
        <v>671</v>
      </c>
      <c r="C318" s="48" t="s">
        <v>690</v>
      </c>
      <c r="D318" s="48" t="s">
        <v>691</v>
      </c>
      <c r="E318" s="48" t="s">
        <v>90</v>
      </c>
      <c r="F318" s="48">
        <v>1</v>
      </c>
      <c r="G318" s="48" t="s">
        <v>692</v>
      </c>
      <c r="H318" s="48" t="s">
        <v>92</v>
      </c>
      <c r="I318" s="48" t="s">
        <v>93</v>
      </c>
      <c r="J318" s="48" t="s">
        <v>586</v>
      </c>
      <c r="K318" s="48">
        <v>9493327269</v>
      </c>
      <c r="L318" s="48">
        <v>357</v>
      </c>
      <c r="M318" s="48">
        <v>366</v>
      </c>
      <c r="N318" s="48">
        <v>723</v>
      </c>
      <c r="O318" s="48">
        <v>21</v>
      </c>
      <c r="P318" s="48">
        <v>213</v>
      </c>
      <c r="Q318" s="48">
        <v>83</v>
      </c>
      <c r="R318" s="48">
        <v>49</v>
      </c>
      <c r="S318" s="48">
        <v>25</v>
      </c>
      <c r="T318" s="48">
        <v>215</v>
      </c>
      <c r="U318" s="48">
        <v>80</v>
      </c>
      <c r="V318" s="48">
        <v>37</v>
      </c>
      <c r="W318" s="48"/>
      <c r="X318" s="48"/>
      <c r="Y318" s="48"/>
      <c r="Z318" s="48"/>
      <c r="AA318" s="48"/>
      <c r="AB318" s="48"/>
      <c r="AC318" s="48">
        <v>59</v>
      </c>
    </row>
    <row r="319" spans="1:29">
      <c r="A319" s="48" t="s">
        <v>7</v>
      </c>
      <c r="B319" s="48" t="s">
        <v>671</v>
      </c>
      <c r="C319" s="48" t="s">
        <v>690</v>
      </c>
      <c r="D319" s="48" t="s">
        <v>690</v>
      </c>
      <c r="E319" s="48" t="s">
        <v>90</v>
      </c>
      <c r="F319" s="48">
        <v>3</v>
      </c>
      <c r="G319" s="48" t="s">
        <v>692</v>
      </c>
      <c r="H319" s="48" t="s">
        <v>92</v>
      </c>
      <c r="I319" s="48" t="s">
        <v>93</v>
      </c>
      <c r="J319" s="48" t="s">
        <v>586</v>
      </c>
      <c r="K319" s="48">
        <v>9493327269</v>
      </c>
      <c r="L319" s="48">
        <v>1402</v>
      </c>
      <c r="M319" s="48">
        <v>1381</v>
      </c>
      <c r="N319" s="48">
        <v>2783</v>
      </c>
      <c r="O319" s="48">
        <v>104</v>
      </c>
      <c r="P319" s="48">
        <v>589</v>
      </c>
      <c r="Q319" s="48">
        <v>326</v>
      </c>
      <c r="R319" s="48">
        <v>271</v>
      </c>
      <c r="S319" s="48">
        <v>102</v>
      </c>
      <c r="T319" s="48">
        <v>594</v>
      </c>
      <c r="U319" s="48">
        <v>352</v>
      </c>
      <c r="V319" s="48">
        <v>255</v>
      </c>
      <c r="W319" s="48"/>
      <c r="X319" s="48"/>
      <c r="Y319" s="48"/>
      <c r="Z319" s="48"/>
      <c r="AA319" s="48"/>
      <c r="AB319" s="48"/>
      <c r="AC319" s="48">
        <v>59</v>
      </c>
    </row>
    <row r="320" spans="1:29">
      <c r="A320" s="48" t="s">
        <v>7</v>
      </c>
      <c r="B320" s="48" t="s">
        <v>671</v>
      </c>
      <c r="C320" s="48" t="s">
        <v>693</v>
      </c>
      <c r="D320" s="48" t="s">
        <v>693</v>
      </c>
      <c r="E320" s="48" t="s">
        <v>90</v>
      </c>
      <c r="F320" s="48">
        <v>1</v>
      </c>
      <c r="G320" s="48" t="s">
        <v>694</v>
      </c>
      <c r="H320" s="48" t="s">
        <v>92</v>
      </c>
      <c r="I320" s="48" t="s">
        <v>93</v>
      </c>
      <c r="J320" s="48" t="s">
        <v>114</v>
      </c>
      <c r="K320" s="48">
        <v>9492668264</v>
      </c>
      <c r="L320" s="48">
        <v>530</v>
      </c>
      <c r="M320" s="48">
        <v>570</v>
      </c>
      <c r="N320" s="48">
        <v>1100</v>
      </c>
      <c r="O320" s="48">
        <v>37</v>
      </c>
      <c r="P320" s="48">
        <v>284</v>
      </c>
      <c r="Q320" s="48">
        <v>137</v>
      </c>
      <c r="R320" s="48">
        <v>112</v>
      </c>
      <c r="S320" s="48">
        <v>54</v>
      </c>
      <c r="T320" s="48">
        <v>258</v>
      </c>
      <c r="U320" s="48">
        <v>105</v>
      </c>
      <c r="V320" s="48">
        <v>113</v>
      </c>
      <c r="W320" s="48"/>
      <c r="X320" s="48"/>
      <c r="Y320" s="48"/>
      <c r="Z320" s="48"/>
      <c r="AA320" s="48"/>
      <c r="AB320" s="48"/>
      <c r="AC320" s="48">
        <v>57</v>
      </c>
    </row>
    <row r="321" spans="1:29">
      <c r="A321" s="48" t="s">
        <v>7</v>
      </c>
      <c r="B321" s="48" t="s">
        <v>671</v>
      </c>
      <c r="C321" s="48" t="s">
        <v>695</v>
      </c>
      <c r="D321" s="48" t="s">
        <v>695</v>
      </c>
      <c r="E321" s="48" t="s">
        <v>90</v>
      </c>
      <c r="F321" s="48">
        <v>2</v>
      </c>
      <c r="G321" s="48" t="s">
        <v>696</v>
      </c>
      <c r="H321" s="48" t="s">
        <v>92</v>
      </c>
      <c r="I321" s="48" t="s">
        <v>93</v>
      </c>
      <c r="J321" s="48" t="s">
        <v>139</v>
      </c>
      <c r="K321" s="48">
        <v>9440429349</v>
      </c>
      <c r="L321" s="48">
        <v>403</v>
      </c>
      <c r="M321" s="48">
        <v>405</v>
      </c>
      <c r="N321" s="48">
        <v>808</v>
      </c>
      <c r="O321" s="48">
        <v>35</v>
      </c>
      <c r="P321" s="48">
        <v>198</v>
      </c>
      <c r="Q321" s="48">
        <v>113</v>
      </c>
      <c r="R321" s="48">
        <v>59</v>
      </c>
      <c r="S321" s="48">
        <v>44</v>
      </c>
      <c r="T321" s="48">
        <v>202</v>
      </c>
      <c r="U321" s="48">
        <v>98</v>
      </c>
      <c r="V321" s="48">
        <v>59</v>
      </c>
      <c r="W321" s="48"/>
      <c r="X321" s="48"/>
      <c r="Y321" s="48"/>
      <c r="Z321" s="48"/>
      <c r="AA321" s="48"/>
      <c r="AB321" s="48"/>
      <c r="AC321" s="48">
        <v>82</v>
      </c>
    </row>
    <row r="322" spans="1:29">
      <c r="A322" s="48" t="s">
        <v>7</v>
      </c>
      <c r="B322" s="48" t="s">
        <v>671</v>
      </c>
      <c r="C322" s="48" t="s">
        <v>671</v>
      </c>
      <c r="D322" s="48" t="s">
        <v>671</v>
      </c>
      <c r="E322" s="48" t="s">
        <v>90</v>
      </c>
      <c r="F322" s="48">
        <v>5</v>
      </c>
      <c r="G322" s="48" t="s">
        <v>697</v>
      </c>
      <c r="H322" s="48" t="s">
        <v>92</v>
      </c>
      <c r="I322" s="48" t="s">
        <v>142</v>
      </c>
      <c r="J322" s="48" t="s">
        <v>114</v>
      </c>
      <c r="K322" s="48">
        <v>9440411887</v>
      </c>
      <c r="L322" s="48">
        <v>1991</v>
      </c>
      <c r="M322" s="48">
        <v>2102</v>
      </c>
      <c r="N322" s="48">
        <v>4094</v>
      </c>
      <c r="O322" s="48">
        <v>156</v>
      </c>
      <c r="P322" s="48">
        <v>1003</v>
      </c>
      <c r="Q322" s="48">
        <v>555</v>
      </c>
      <c r="R322" s="48">
        <v>388</v>
      </c>
      <c r="S322" s="48">
        <v>162</v>
      </c>
      <c r="T322" s="48">
        <v>962</v>
      </c>
      <c r="U322" s="48">
        <v>570</v>
      </c>
      <c r="V322" s="48">
        <v>297</v>
      </c>
      <c r="W322" s="48"/>
      <c r="X322" s="48"/>
      <c r="Y322" s="48"/>
      <c r="Z322" s="48"/>
      <c r="AA322" s="48"/>
      <c r="AB322" s="48"/>
      <c r="AC322" s="48">
        <v>83</v>
      </c>
    </row>
    <row r="323" spans="1:29">
      <c r="A323" s="48" t="s">
        <v>7</v>
      </c>
      <c r="B323" s="48" t="s">
        <v>671</v>
      </c>
      <c r="C323" s="48" t="s">
        <v>698</v>
      </c>
      <c r="D323" s="48" t="s">
        <v>698</v>
      </c>
      <c r="E323" s="48" t="s">
        <v>90</v>
      </c>
      <c r="F323" s="48">
        <v>1</v>
      </c>
      <c r="G323" s="48" t="s">
        <v>699</v>
      </c>
      <c r="H323" s="48" t="s">
        <v>92</v>
      </c>
      <c r="I323" s="48" t="s">
        <v>102</v>
      </c>
      <c r="J323" s="48" t="s">
        <v>139</v>
      </c>
      <c r="K323" s="48">
        <v>9848359996</v>
      </c>
      <c r="L323" s="48">
        <v>548</v>
      </c>
      <c r="M323" s="48">
        <v>545</v>
      </c>
      <c r="N323" s="48">
        <v>1093</v>
      </c>
      <c r="O323" s="48">
        <v>39</v>
      </c>
      <c r="P323" s="48">
        <v>253</v>
      </c>
      <c r="Q323" s="48">
        <v>135</v>
      </c>
      <c r="R323" s="48">
        <v>118</v>
      </c>
      <c r="S323" s="48">
        <v>55</v>
      </c>
      <c r="T323" s="48">
        <v>254</v>
      </c>
      <c r="U323" s="48">
        <v>143</v>
      </c>
      <c r="V323" s="48">
        <v>96</v>
      </c>
      <c r="W323" s="48"/>
      <c r="X323" s="48"/>
      <c r="Y323" s="48"/>
      <c r="Z323" s="48"/>
      <c r="AA323" s="48"/>
      <c r="AB323" s="48"/>
      <c r="AC323" s="48">
        <v>61</v>
      </c>
    </row>
    <row r="324" spans="1:29">
      <c r="A324" s="48" t="s">
        <v>7</v>
      </c>
      <c r="B324" s="48" t="s">
        <v>671</v>
      </c>
      <c r="C324" s="48" t="s">
        <v>700</v>
      </c>
      <c r="D324" s="48" t="s">
        <v>700</v>
      </c>
      <c r="E324" s="48" t="s">
        <v>90</v>
      </c>
      <c r="F324" s="48">
        <v>2</v>
      </c>
      <c r="G324" s="48" t="s">
        <v>701</v>
      </c>
      <c r="H324" s="48" t="s">
        <v>92</v>
      </c>
      <c r="I324" s="48" t="s">
        <v>119</v>
      </c>
      <c r="J324" s="48" t="s">
        <v>136</v>
      </c>
      <c r="K324" s="48">
        <v>9542775161</v>
      </c>
      <c r="L324" s="48">
        <v>1103</v>
      </c>
      <c r="M324" s="48">
        <v>1075</v>
      </c>
      <c r="N324" s="48">
        <v>2178</v>
      </c>
      <c r="O324" s="48">
        <v>56</v>
      </c>
      <c r="P324" s="48">
        <v>611</v>
      </c>
      <c r="Q324" s="48">
        <v>252</v>
      </c>
      <c r="R324" s="48">
        <v>156</v>
      </c>
      <c r="S324" s="48">
        <v>86</v>
      </c>
      <c r="T324" s="48">
        <v>573</v>
      </c>
      <c r="U324" s="48">
        <v>277</v>
      </c>
      <c r="V324" s="48">
        <v>167</v>
      </c>
      <c r="W324" s="48"/>
      <c r="X324" s="48"/>
      <c r="Y324" s="48"/>
      <c r="Z324" s="48"/>
      <c r="AA324" s="48"/>
      <c r="AB324" s="48"/>
      <c r="AC324" s="48">
        <v>59</v>
      </c>
    </row>
    <row r="325" spans="1:29">
      <c r="A325" s="48" t="s">
        <v>7</v>
      </c>
      <c r="B325" s="48" t="s">
        <v>671</v>
      </c>
      <c r="C325" s="48" t="s">
        <v>702</v>
      </c>
      <c r="D325" s="48" t="s">
        <v>702</v>
      </c>
      <c r="E325" s="48" t="s">
        <v>90</v>
      </c>
      <c r="F325" s="48">
        <v>2</v>
      </c>
      <c r="G325" s="48" t="s">
        <v>703</v>
      </c>
      <c r="H325" s="48" t="s">
        <v>92</v>
      </c>
      <c r="I325" s="48" t="s">
        <v>102</v>
      </c>
      <c r="J325" s="48" t="s">
        <v>586</v>
      </c>
      <c r="K325" s="48">
        <v>9966342342</v>
      </c>
      <c r="L325" s="48">
        <v>940</v>
      </c>
      <c r="M325" s="48">
        <v>1014</v>
      </c>
      <c r="N325" s="48">
        <v>1954</v>
      </c>
      <c r="O325" s="48">
        <v>60</v>
      </c>
      <c r="P325" s="48">
        <v>577</v>
      </c>
      <c r="Q325" s="48">
        <v>206</v>
      </c>
      <c r="R325" s="48">
        <v>171</v>
      </c>
      <c r="S325" s="48">
        <v>65</v>
      </c>
      <c r="T325" s="48">
        <v>507</v>
      </c>
      <c r="U325" s="48">
        <v>232</v>
      </c>
      <c r="V325" s="48">
        <v>136</v>
      </c>
      <c r="W325" s="48"/>
      <c r="X325" s="48"/>
      <c r="Y325" s="48"/>
      <c r="Z325" s="48"/>
      <c r="AA325" s="48"/>
      <c r="AB325" s="48"/>
      <c r="AC325" s="48">
        <v>84</v>
      </c>
    </row>
    <row r="326" spans="1:29">
      <c r="A326" s="48" t="s">
        <v>7</v>
      </c>
      <c r="B326" s="48" t="s">
        <v>671</v>
      </c>
      <c r="C326" s="48" t="s">
        <v>704</v>
      </c>
      <c r="D326" s="48" t="s">
        <v>704</v>
      </c>
      <c r="E326" s="48" t="s">
        <v>90</v>
      </c>
      <c r="F326" s="48">
        <v>1</v>
      </c>
      <c r="G326" s="48" t="s">
        <v>705</v>
      </c>
      <c r="H326" s="48" t="s">
        <v>92</v>
      </c>
      <c r="I326" s="48" t="s">
        <v>93</v>
      </c>
      <c r="J326" s="48" t="s">
        <v>586</v>
      </c>
      <c r="K326" s="48">
        <v>9989151796</v>
      </c>
      <c r="L326" s="48">
        <v>485</v>
      </c>
      <c r="M326" s="48">
        <v>501</v>
      </c>
      <c r="N326" s="48">
        <v>986</v>
      </c>
      <c r="O326" s="48">
        <v>35</v>
      </c>
      <c r="P326" s="48">
        <v>249</v>
      </c>
      <c r="Q326" s="48">
        <v>142</v>
      </c>
      <c r="R326" s="48">
        <v>75</v>
      </c>
      <c r="S326" s="48">
        <v>46</v>
      </c>
      <c r="T326" s="48">
        <v>222</v>
      </c>
      <c r="U326" s="48">
        <v>151</v>
      </c>
      <c r="V326" s="48">
        <v>66</v>
      </c>
      <c r="W326" s="48"/>
      <c r="X326" s="48"/>
      <c r="Y326" s="48"/>
      <c r="Z326" s="48"/>
      <c r="AA326" s="48"/>
      <c r="AB326" s="48"/>
      <c r="AC326" s="48">
        <v>87</v>
      </c>
    </row>
    <row r="327" spans="1:29">
      <c r="A327" s="48" t="s">
        <v>7</v>
      </c>
      <c r="B327" s="48" t="s">
        <v>706</v>
      </c>
      <c r="C327" s="48" t="s">
        <v>707</v>
      </c>
      <c r="D327" s="48" t="s">
        <v>707</v>
      </c>
      <c r="E327" s="48" t="s">
        <v>90</v>
      </c>
      <c r="F327" s="48">
        <v>5</v>
      </c>
      <c r="G327" s="48" t="s">
        <v>708</v>
      </c>
      <c r="H327" s="48" t="s">
        <v>92</v>
      </c>
      <c r="I327" s="48" t="s">
        <v>97</v>
      </c>
      <c r="J327" s="48" t="s">
        <v>94</v>
      </c>
      <c r="K327" s="48">
        <v>9951444887</v>
      </c>
      <c r="L327" s="48">
        <v>2743</v>
      </c>
      <c r="M327" s="48">
        <v>2701</v>
      </c>
      <c r="N327" s="48">
        <v>5446</v>
      </c>
      <c r="O327" s="48">
        <v>129</v>
      </c>
      <c r="P327" s="48">
        <v>1266</v>
      </c>
      <c r="Q327" s="48">
        <v>793</v>
      </c>
      <c r="R327" s="48">
        <v>511</v>
      </c>
      <c r="S327" s="48">
        <v>227</v>
      </c>
      <c r="T327" s="48">
        <v>1317</v>
      </c>
      <c r="U327" s="48">
        <v>789</v>
      </c>
      <c r="V327" s="48">
        <v>410</v>
      </c>
      <c r="W327" s="48"/>
      <c r="X327" s="48"/>
      <c r="Y327" s="48"/>
      <c r="Z327" s="48"/>
      <c r="AA327" s="48"/>
      <c r="AB327" s="48"/>
      <c r="AC327" s="48">
        <v>66</v>
      </c>
    </row>
    <row r="328" spans="1:29">
      <c r="A328" s="48" t="s">
        <v>7</v>
      </c>
      <c r="B328" s="48" t="s">
        <v>706</v>
      </c>
      <c r="C328" s="48" t="s">
        <v>709</v>
      </c>
      <c r="D328" s="48" t="s">
        <v>709</v>
      </c>
      <c r="E328" s="48" t="s">
        <v>90</v>
      </c>
      <c r="F328" s="48">
        <v>6</v>
      </c>
      <c r="G328" s="48" t="s">
        <v>710</v>
      </c>
      <c r="H328" s="48" t="s">
        <v>92</v>
      </c>
      <c r="I328" s="48" t="s">
        <v>119</v>
      </c>
      <c r="J328" s="48" t="s">
        <v>165</v>
      </c>
      <c r="K328" s="48">
        <v>9848076227</v>
      </c>
      <c r="L328" s="48">
        <v>3723</v>
      </c>
      <c r="M328" s="48">
        <v>3622</v>
      </c>
      <c r="N328" s="48">
        <v>7347</v>
      </c>
      <c r="O328" s="48">
        <v>324</v>
      </c>
      <c r="P328" s="48">
        <v>1726</v>
      </c>
      <c r="Q328" s="48">
        <v>979</v>
      </c>
      <c r="R328" s="48">
        <v>591</v>
      </c>
      <c r="S328" s="48">
        <v>398</v>
      </c>
      <c r="T328" s="48">
        <v>2012</v>
      </c>
      <c r="U328" s="48">
        <v>825</v>
      </c>
      <c r="V328" s="48">
        <v>486</v>
      </c>
      <c r="W328" s="48"/>
      <c r="X328" s="48"/>
      <c r="Y328" s="48"/>
      <c r="Z328" s="48"/>
      <c r="AA328" s="48"/>
      <c r="AB328" s="48"/>
      <c r="AC328" s="48">
        <v>72</v>
      </c>
    </row>
    <row r="329" spans="1:29">
      <c r="A329" s="48" t="s">
        <v>7</v>
      </c>
      <c r="B329" s="48" t="s">
        <v>706</v>
      </c>
      <c r="C329" s="48" t="s">
        <v>711</v>
      </c>
      <c r="D329" s="48" t="s">
        <v>711</v>
      </c>
      <c r="E329" s="48" t="s">
        <v>90</v>
      </c>
      <c r="F329" s="48">
        <v>1</v>
      </c>
      <c r="G329" s="48" t="e">
        <v>#N/A</v>
      </c>
      <c r="H329" s="48"/>
      <c r="I329" s="48"/>
      <c r="J329" s="48"/>
      <c r="K329" s="48"/>
      <c r="L329" s="48">
        <v>472</v>
      </c>
      <c r="M329" s="48">
        <v>466</v>
      </c>
      <c r="N329" s="48">
        <v>938</v>
      </c>
      <c r="O329" s="48">
        <v>34</v>
      </c>
      <c r="P329" s="48">
        <v>266</v>
      </c>
      <c r="Q329" s="48">
        <v>100</v>
      </c>
      <c r="R329" s="48">
        <v>66</v>
      </c>
      <c r="S329" s="48">
        <v>47</v>
      </c>
      <c r="T329" s="48">
        <v>256</v>
      </c>
      <c r="U329" s="48">
        <v>112</v>
      </c>
      <c r="V329" s="48">
        <v>56</v>
      </c>
      <c r="W329" s="48"/>
      <c r="X329" s="48"/>
      <c r="Y329" s="48"/>
      <c r="Z329" s="48"/>
      <c r="AA329" s="48"/>
      <c r="AB329" s="48"/>
      <c r="AC329" s="48" t="e">
        <v>#N/A</v>
      </c>
    </row>
    <row r="330" spans="1:29">
      <c r="A330" s="48" t="s">
        <v>7</v>
      </c>
      <c r="B330" s="48" t="s">
        <v>706</v>
      </c>
      <c r="C330" s="48" t="s">
        <v>712</v>
      </c>
      <c r="D330" s="48" t="s">
        <v>712</v>
      </c>
      <c r="E330" s="48" t="s">
        <v>90</v>
      </c>
      <c r="F330" s="48">
        <v>6</v>
      </c>
      <c r="G330" s="48" t="s">
        <v>713</v>
      </c>
      <c r="H330" s="48" t="s">
        <v>92</v>
      </c>
      <c r="I330" s="48" t="s">
        <v>142</v>
      </c>
      <c r="J330" s="48" t="s">
        <v>114</v>
      </c>
      <c r="K330" s="48">
        <v>9949430772</v>
      </c>
      <c r="L330" s="48">
        <v>3148</v>
      </c>
      <c r="M330" s="48">
        <v>3076</v>
      </c>
      <c r="N330" s="48">
        <v>6228</v>
      </c>
      <c r="O330" s="48">
        <v>180</v>
      </c>
      <c r="P330" s="48">
        <v>1459</v>
      </c>
      <c r="Q330" s="48">
        <v>871</v>
      </c>
      <c r="R330" s="48">
        <v>562</v>
      </c>
      <c r="S330" s="48">
        <v>274</v>
      </c>
      <c r="T330" s="48">
        <v>1652</v>
      </c>
      <c r="U330" s="48">
        <v>771</v>
      </c>
      <c r="V330" s="48">
        <v>448</v>
      </c>
      <c r="W330" s="48"/>
      <c r="X330" s="48"/>
      <c r="Y330" s="48"/>
      <c r="Z330" s="48"/>
      <c r="AA330" s="48"/>
      <c r="AB330" s="48"/>
      <c r="AC330" s="48">
        <v>54</v>
      </c>
    </row>
    <row r="331" spans="1:29">
      <c r="A331" s="48" t="s">
        <v>7</v>
      </c>
      <c r="B331" s="48" t="s">
        <v>706</v>
      </c>
      <c r="C331" s="48" t="s">
        <v>714</v>
      </c>
      <c r="D331" s="48" t="s">
        <v>714</v>
      </c>
      <c r="E331" s="48" t="s">
        <v>90</v>
      </c>
      <c r="F331" s="48">
        <v>4</v>
      </c>
      <c r="G331" s="48" t="s">
        <v>715</v>
      </c>
      <c r="H331" s="48" t="s">
        <v>92</v>
      </c>
      <c r="I331" s="48" t="s">
        <v>97</v>
      </c>
      <c r="J331" s="48" t="s">
        <v>288</v>
      </c>
      <c r="K331" s="48">
        <v>9492167766</v>
      </c>
      <c r="L331" s="48">
        <v>2012</v>
      </c>
      <c r="M331" s="48">
        <v>1941</v>
      </c>
      <c r="N331" s="48">
        <v>3953</v>
      </c>
      <c r="O331" s="48">
        <v>162</v>
      </c>
      <c r="P331" s="48">
        <v>959</v>
      </c>
      <c r="Q331" s="48">
        <v>520</v>
      </c>
      <c r="R331" s="48">
        <v>299</v>
      </c>
      <c r="S331" s="48">
        <v>177</v>
      </c>
      <c r="T331" s="48">
        <v>1077</v>
      </c>
      <c r="U331" s="48">
        <v>503</v>
      </c>
      <c r="V331" s="48">
        <v>255</v>
      </c>
      <c r="W331" s="48"/>
      <c r="X331" s="48"/>
      <c r="Y331" s="48"/>
      <c r="Z331" s="48"/>
      <c r="AA331" s="48"/>
      <c r="AB331" s="48"/>
      <c r="AC331" s="48">
        <v>79</v>
      </c>
    </row>
    <row r="332" spans="1:29">
      <c r="A332" s="48" t="s">
        <v>7</v>
      </c>
      <c r="B332" s="48" t="s">
        <v>706</v>
      </c>
      <c r="C332" s="48" t="s">
        <v>716</v>
      </c>
      <c r="D332" s="48" t="s">
        <v>716</v>
      </c>
      <c r="E332" s="48" t="s">
        <v>95</v>
      </c>
      <c r="F332" s="48">
        <v>3</v>
      </c>
      <c r="G332" s="48" t="s">
        <v>717</v>
      </c>
      <c r="H332" s="48" t="s">
        <v>4</v>
      </c>
      <c r="I332" s="48" t="s">
        <v>93</v>
      </c>
      <c r="J332" s="48" t="s">
        <v>165</v>
      </c>
      <c r="K332" s="48">
        <v>9949130899</v>
      </c>
      <c r="L332" s="48">
        <v>1297</v>
      </c>
      <c r="M332" s="48">
        <v>1203</v>
      </c>
      <c r="N332" s="48">
        <v>2500</v>
      </c>
      <c r="O332" s="48">
        <v>78</v>
      </c>
      <c r="P332" s="48">
        <v>599</v>
      </c>
      <c r="Q332" s="48">
        <v>313</v>
      </c>
      <c r="R332" s="48">
        <v>211</v>
      </c>
      <c r="S332" s="48">
        <v>138</v>
      </c>
      <c r="T332" s="48">
        <v>678</v>
      </c>
      <c r="U332" s="48">
        <v>315</v>
      </c>
      <c r="V332" s="48">
        <v>166</v>
      </c>
      <c r="W332" s="48"/>
      <c r="X332" s="48"/>
      <c r="Y332" s="48"/>
      <c r="Z332" s="48"/>
      <c r="AA332" s="48"/>
      <c r="AB332" s="48"/>
      <c r="AC332" s="48">
        <v>78</v>
      </c>
    </row>
    <row r="333" spans="1:29">
      <c r="A333" s="48" t="s">
        <v>7</v>
      </c>
      <c r="B333" s="48" t="s">
        <v>706</v>
      </c>
      <c r="C333" s="48" t="s">
        <v>718</v>
      </c>
      <c r="D333" s="48" t="s">
        <v>718</v>
      </c>
      <c r="E333" s="48" t="s">
        <v>95</v>
      </c>
      <c r="F333" s="48">
        <v>2</v>
      </c>
      <c r="G333" s="48" t="s">
        <v>719</v>
      </c>
      <c r="H333" s="48" t="s">
        <v>92</v>
      </c>
      <c r="I333" s="48" t="s">
        <v>93</v>
      </c>
      <c r="J333" s="48" t="s">
        <v>94</v>
      </c>
      <c r="K333" s="48">
        <v>9948455653</v>
      </c>
      <c r="L333" s="48">
        <v>992</v>
      </c>
      <c r="M333" s="48">
        <v>1072</v>
      </c>
      <c r="N333" s="48">
        <v>2065</v>
      </c>
      <c r="O333" s="48">
        <v>49</v>
      </c>
      <c r="P333" s="48">
        <v>559</v>
      </c>
      <c r="Q333" s="48">
        <v>289</v>
      </c>
      <c r="R333" s="48">
        <v>175</v>
      </c>
      <c r="S333" s="48">
        <v>62</v>
      </c>
      <c r="T333" s="48">
        <v>548</v>
      </c>
      <c r="U333" s="48">
        <v>252</v>
      </c>
      <c r="V333" s="48">
        <v>130</v>
      </c>
      <c r="W333" s="48"/>
      <c r="X333" s="48"/>
      <c r="Y333" s="48"/>
      <c r="Z333" s="48"/>
      <c r="AA333" s="48"/>
      <c r="AB333" s="48"/>
      <c r="AC333" s="48">
        <v>85</v>
      </c>
    </row>
    <row r="334" spans="1:29">
      <c r="A334" s="48" t="s">
        <v>7</v>
      </c>
      <c r="B334" s="48" t="s">
        <v>706</v>
      </c>
      <c r="C334" s="48" t="s">
        <v>720</v>
      </c>
      <c r="D334" s="48" t="s">
        <v>720</v>
      </c>
      <c r="E334" s="48" t="s">
        <v>90</v>
      </c>
      <c r="F334" s="48">
        <v>2</v>
      </c>
      <c r="G334" s="48" t="s">
        <v>721</v>
      </c>
      <c r="H334" s="48" t="s">
        <v>4</v>
      </c>
      <c r="I334" s="48" t="s">
        <v>142</v>
      </c>
      <c r="J334" s="48" t="s">
        <v>114</v>
      </c>
      <c r="K334" s="48">
        <v>7730047772</v>
      </c>
      <c r="L334" s="48">
        <v>838</v>
      </c>
      <c r="M334" s="48">
        <v>869</v>
      </c>
      <c r="N334" s="48">
        <v>1707</v>
      </c>
      <c r="O334" s="48">
        <v>85</v>
      </c>
      <c r="P334" s="48">
        <v>452</v>
      </c>
      <c r="Q334" s="48">
        <v>207</v>
      </c>
      <c r="R334" s="48">
        <v>125</v>
      </c>
      <c r="S334" s="48">
        <v>101</v>
      </c>
      <c r="T334" s="48">
        <v>437</v>
      </c>
      <c r="U334" s="48">
        <v>216</v>
      </c>
      <c r="V334" s="48">
        <v>83</v>
      </c>
      <c r="W334" s="48"/>
      <c r="X334" s="48"/>
      <c r="Y334" s="48"/>
      <c r="Z334" s="48"/>
      <c r="AA334" s="48"/>
      <c r="AB334" s="48"/>
      <c r="AC334" s="48">
        <v>79</v>
      </c>
    </row>
    <row r="335" spans="1:29">
      <c r="A335" s="48" t="s">
        <v>7</v>
      </c>
      <c r="B335" s="48" t="s">
        <v>706</v>
      </c>
      <c r="C335" s="48" t="s">
        <v>722</v>
      </c>
      <c r="D335" s="48" t="s">
        <v>722</v>
      </c>
      <c r="E335" s="48" t="s">
        <v>90</v>
      </c>
      <c r="F335" s="48">
        <v>1</v>
      </c>
      <c r="G335" s="48" t="s">
        <v>723</v>
      </c>
      <c r="H335" s="48" t="s">
        <v>92</v>
      </c>
      <c r="I335" s="48" t="s">
        <v>102</v>
      </c>
      <c r="J335" s="48" t="s">
        <v>139</v>
      </c>
      <c r="K335" s="48">
        <v>9948012127</v>
      </c>
      <c r="L335" s="48">
        <v>642</v>
      </c>
      <c r="M335" s="48">
        <v>607</v>
      </c>
      <c r="N335" s="48">
        <v>1249</v>
      </c>
      <c r="O335" s="48">
        <v>56</v>
      </c>
      <c r="P335" s="48">
        <v>309</v>
      </c>
      <c r="Q335" s="48">
        <v>139</v>
      </c>
      <c r="R335" s="48">
        <v>103</v>
      </c>
      <c r="S335" s="48">
        <v>57</v>
      </c>
      <c r="T335" s="48">
        <v>321</v>
      </c>
      <c r="U335" s="48">
        <v>173</v>
      </c>
      <c r="V335" s="48">
        <v>90</v>
      </c>
      <c r="W335" s="48"/>
      <c r="X335" s="48"/>
      <c r="Y335" s="48"/>
      <c r="Z335" s="48"/>
      <c r="AA335" s="48"/>
      <c r="AB335" s="48"/>
      <c r="AC335" s="48">
        <v>64</v>
      </c>
    </row>
    <row r="336" spans="1:29">
      <c r="A336" s="48" t="s">
        <v>7</v>
      </c>
      <c r="B336" s="48" t="s">
        <v>706</v>
      </c>
      <c r="C336" s="48" t="s">
        <v>724</v>
      </c>
      <c r="D336" s="48" t="s">
        <v>724</v>
      </c>
      <c r="E336" s="48" t="s">
        <v>95</v>
      </c>
      <c r="F336" s="48">
        <v>7</v>
      </c>
      <c r="G336" s="48" t="s">
        <v>725</v>
      </c>
      <c r="H336" s="48" t="s">
        <v>92</v>
      </c>
      <c r="I336" s="48" t="s">
        <v>97</v>
      </c>
      <c r="J336" s="48" t="s">
        <v>165</v>
      </c>
      <c r="K336" s="48">
        <v>9441746579</v>
      </c>
      <c r="L336" s="48">
        <v>3918</v>
      </c>
      <c r="M336" s="48">
        <v>3796</v>
      </c>
      <c r="N336" s="48">
        <v>7716</v>
      </c>
      <c r="O336" s="48">
        <v>316</v>
      </c>
      <c r="P336" s="48">
        <v>1770</v>
      </c>
      <c r="Q336" s="48">
        <v>972</v>
      </c>
      <c r="R336" s="48">
        <v>736</v>
      </c>
      <c r="S336" s="48">
        <v>377</v>
      </c>
      <c r="T336" s="48">
        <v>2025</v>
      </c>
      <c r="U336" s="48">
        <v>907</v>
      </c>
      <c r="V336" s="48">
        <v>608</v>
      </c>
      <c r="W336" s="48"/>
      <c r="X336" s="48"/>
      <c r="Y336" s="48"/>
      <c r="Z336" s="48"/>
      <c r="AA336" s="48"/>
      <c r="AB336" s="48"/>
      <c r="AC336" s="48">
        <v>75</v>
      </c>
    </row>
    <row r="337" spans="1:29">
      <c r="A337" s="48" t="s">
        <v>7</v>
      </c>
      <c r="B337" s="48" t="s">
        <v>706</v>
      </c>
      <c r="C337" s="48" t="s">
        <v>726</v>
      </c>
      <c r="D337" s="48" t="s">
        <v>726</v>
      </c>
      <c r="E337" s="48" t="s">
        <v>90</v>
      </c>
      <c r="F337" s="48">
        <v>2</v>
      </c>
      <c r="G337" s="48" t="s">
        <v>727</v>
      </c>
      <c r="H337" s="48" t="s">
        <v>92</v>
      </c>
      <c r="I337" s="48" t="s">
        <v>93</v>
      </c>
      <c r="J337" s="48" t="s">
        <v>139</v>
      </c>
      <c r="K337" s="48">
        <v>9866482999</v>
      </c>
      <c r="L337" s="48">
        <v>1140</v>
      </c>
      <c r="M337" s="48">
        <v>1097</v>
      </c>
      <c r="N337" s="48">
        <v>2237</v>
      </c>
      <c r="O337" s="48">
        <v>61</v>
      </c>
      <c r="P337" s="48">
        <v>516</v>
      </c>
      <c r="Q337" s="48">
        <v>291</v>
      </c>
      <c r="R337" s="48">
        <v>228</v>
      </c>
      <c r="S337" s="48">
        <v>74</v>
      </c>
      <c r="T337" s="48">
        <v>519</v>
      </c>
      <c r="U337" s="48">
        <v>318</v>
      </c>
      <c r="V337" s="48">
        <v>229</v>
      </c>
      <c r="W337" s="48"/>
      <c r="X337" s="48"/>
      <c r="Y337" s="48"/>
      <c r="Z337" s="48"/>
      <c r="AA337" s="48"/>
      <c r="AB337" s="48"/>
      <c r="AC337" s="48">
        <v>67</v>
      </c>
    </row>
    <row r="338" spans="1:29">
      <c r="A338" s="48" t="s">
        <v>7</v>
      </c>
      <c r="B338" s="48" t="s">
        <v>706</v>
      </c>
      <c r="C338" s="48" t="s">
        <v>728</v>
      </c>
      <c r="D338" s="48" t="s">
        <v>728</v>
      </c>
      <c r="E338" s="48" t="s">
        <v>95</v>
      </c>
      <c r="F338" s="48">
        <v>1</v>
      </c>
      <c r="G338" s="48" t="e">
        <v>#N/A</v>
      </c>
      <c r="H338" s="48"/>
      <c r="I338" s="48"/>
      <c r="J338" s="48"/>
      <c r="K338" s="48"/>
      <c r="L338" s="48">
        <v>687</v>
      </c>
      <c r="M338" s="48">
        <v>684</v>
      </c>
      <c r="N338" s="48">
        <v>1371</v>
      </c>
      <c r="O338" s="48">
        <v>43</v>
      </c>
      <c r="P338" s="48">
        <v>355</v>
      </c>
      <c r="Q338" s="48">
        <v>181</v>
      </c>
      <c r="R338" s="48">
        <v>105</v>
      </c>
      <c r="S338" s="48">
        <v>74</v>
      </c>
      <c r="T338" s="48">
        <v>380</v>
      </c>
      <c r="U338" s="48">
        <v>147</v>
      </c>
      <c r="V338" s="48">
        <v>86</v>
      </c>
      <c r="W338" s="48"/>
      <c r="X338" s="48"/>
      <c r="Y338" s="48"/>
      <c r="Z338" s="48"/>
      <c r="AA338" s="48"/>
      <c r="AB338" s="48"/>
      <c r="AC338" s="48" t="e">
        <v>#N/A</v>
      </c>
    </row>
    <row r="339" spans="1:29">
      <c r="A339" s="48" t="s">
        <v>7</v>
      </c>
      <c r="B339" s="48" t="s">
        <v>706</v>
      </c>
      <c r="C339" s="48" t="s">
        <v>729</v>
      </c>
      <c r="D339" s="48" t="s">
        <v>729</v>
      </c>
      <c r="E339" s="48" t="s">
        <v>95</v>
      </c>
      <c r="F339" s="48">
        <v>2</v>
      </c>
      <c r="G339" s="48" t="s">
        <v>730</v>
      </c>
      <c r="H339" s="48" t="s">
        <v>4</v>
      </c>
      <c r="I339" s="48" t="s">
        <v>102</v>
      </c>
      <c r="J339" s="48" t="s">
        <v>94</v>
      </c>
      <c r="K339" s="48">
        <v>9492251988</v>
      </c>
      <c r="L339" s="48">
        <v>634</v>
      </c>
      <c r="M339" s="48">
        <v>622</v>
      </c>
      <c r="N339" s="48">
        <v>1257</v>
      </c>
      <c r="O339" s="48">
        <v>36</v>
      </c>
      <c r="P339" s="48">
        <v>265</v>
      </c>
      <c r="Q339" s="48">
        <v>167</v>
      </c>
      <c r="R339" s="48">
        <v>154</v>
      </c>
      <c r="S339" s="48">
        <v>45</v>
      </c>
      <c r="T339" s="48">
        <v>298</v>
      </c>
      <c r="U339" s="48">
        <v>172</v>
      </c>
      <c r="V339" s="48">
        <v>119</v>
      </c>
      <c r="W339" s="48"/>
      <c r="X339" s="48"/>
      <c r="Y339" s="48"/>
      <c r="Z339" s="48"/>
      <c r="AA339" s="48"/>
      <c r="AB339" s="48"/>
      <c r="AC339" s="48">
        <v>60</v>
      </c>
    </row>
    <row r="340" spans="1:29">
      <c r="A340" s="48" t="s">
        <v>7</v>
      </c>
      <c r="B340" s="48" t="s">
        <v>706</v>
      </c>
      <c r="C340" s="48" t="s">
        <v>731</v>
      </c>
      <c r="D340" s="48" t="s">
        <v>731</v>
      </c>
      <c r="E340" s="48" t="s">
        <v>90</v>
      </c>
      <c r="F340" s="48">
        <v>3</v>
      </c>
      <c r="G340" s="48" t="s">
        <v>732</v>
      </c>
      <c r="H340" s="48" t="s">
        <v>92</v>
      </c>
      <c r="I340" s="48" t="s">
        <v>93</v>
      </c>
      <c r="J340" s="48" t="s">
        <v>139</v>
      </c>
      <c r="K340" s="48">
        <v>9059571118</v>
      </c>
      <c r="L340" s="48">
        <v>1771</v>
      </c>
      <c r="M340" s="48">
        <v>1676</v>
      </c>
      <c r="N340" s="48">
        <v>3450</v>
      </c>
      <c r="O340" s="48">
        <v>148</v>
      </c>
      <c r="P340" s="48">
        <v>795</v>
      </c>
      <c r="Q340" s="48">
        <v>454</v>
      </c>
      <c r="R340" s="48">
        <v>279</v>
      </c>
      <c r="S340" s="48">
        <v>233</v>
      </c>
      <c r="T340" s="48">
        <v>823</v>
      </c>
      <c r="U340" s="48">
        <v>463</v>
      </c>
      <c r="V340" s="48">
        <v>251</v>
      </c>
      <c r="W340" s="48"/>
      <c r="X340" s="48"/>
      <c r="Y340" s="48"/>
      <c r="Z340" s="48"/>
      <c r="AA340" s="48"/>
      <c r="AB340" s="48"/>
      <c r="AC340" s="48">
        <v>88</v>
      </c>
    </row>
    <row r="341" spans="1:29">
      <c r="A341" s="48" t="s">
        <v>7</v>
      </c>
      <c r="B341" s="48" t="s">
        <v>706</v>
      </c>
      <c r="C341" s="48" t="s">
        <v>733</v>
      </c>
      <c r="D341" s="48" t="s">
        <v>343</v>
      </c>
      <c r="E341" s="48" t="s">
        <v>90</v>
      </c>
      <c r="F341" s="48">
        <v>1</v>
      </c>
      <c r="G341" s="48" t="s">
        <v>734</v>
      </c>
      <c r="H341" s="48" t="s">
        <v>92</v>
      </c>
      <c r="I341" s="48" t="s">
        <v>102</v>
      </c>
      <c r="J341" s="48" t="s">
        <v>139</v>
      </c>
      <c r="K341" s="48">
        <v>9492950589</v>
      </c>
      <c r="L341" s="48">
        <v>379</v>
      </c>
      <c r="M341" s="48">
        <v>393</v>
      </c>
      <c r="N341" s="48">
        <v>773</v>
      </c>
      <c r="O341" s="48">
        <v>22</v>
      </c>
      <c r="P341" s="48">
        <v>206</v>
      </c>
      <c r="Q341" s="48">
        <v>89</v>
      </c>
      <c r="R341" s="48">
        <v>76</v>
      </c>
      <c r="S341" s="48">
        <v>44</v>
      </c>
      <c r="T341" s="48">
        <v>191</v>
      </c>
      <c r="U341" s="48">
        <v>85</v>
      </c>
      <c r="V341" s="48">
        <v>59</v>
      </c>
      <c r="W341" s="48"/>
      <c r="X341" s="48"/>
      <c r="Y341" s="48"/>
      <c r="Z341" s="48"/>
      <c r="AA341" s="48"/>
      <c r="AB341" s="48"/>
      <c r="AC341" s="48">
        <v>73</v>
      </c>
    </row>
    <row r="342" spans="1:29">
      <c r="A342" s="48" t="s">
        <v>7</v>
      </c>
      <c r="B342" s="48" t="s">
        <v>706</v>
      </c>
      <c r="C342" s="48" t="s">
        <v>733</v>
      </c>
      <c r="D342" s="48" t="s">
        <v>733</v>
      </c>
      <c r="E342" s="48" t="s">
        <v>90</v>
      </c>
      <c r="F342" s="48">
        <v>2</v>
      </c>
      <c r="G342" s="48" t="s">
        <v>734</v>
      </c>
      <c r="H342" s="48" t="s">
        <v>92</v>
      </c>
      <c r="I342" s="48" t="s">
        <v>102</v>
      </c>
      <c r="J342" s="48" t="s">
        <v>139</v>
      </c>
      <c r="K342" s="48">
        <v>9492950589</v>
      </c>
      <c r="L342" s="48">
        <v>1065</v>
      </c>
      <c r="M342" s="48">
        <v>1049</v>
      </c>
      <c r="N342" s="48">
        <v>2114</v>
      </c>
      <c r="O342" s="48">
        <v>66</v>
      </c>
      <c r="P342" s="48">
        <v>497</v>
      </c>
      <c r="Q342" s="48">
        <v>319</v>
      </c>
      <c r="R342" s="48">
        <v>167</v>
      </c>
      <c r="S342" s="48">
        <v>83</v>
      </c>
      <c r="T342" s="48">
        <v>548</v>
      </c>
      <c r="U342" s="48">
        <v>303</v>
      </c>
      <c r="V342" s="48">
        <v>131</v>
      </c>
      <c r="W342" s="48"/>
      <c r="X342" s="48"/>
      <c r="Y342" s="48"/>
      <c r="Z342" s="48"/>
      <c r="AA342" s="48"/>
      <c r="AB342" s="48"/>
      <c r="AC342" s="48">
        <v>73</v>
      </c>
    </row>
    <row r="343" spans="1:29">
      <c r="A343" s="48" t="s">
        <v>7</v>
      </c>
      <c r="B343" s="48" t="s">
        <v>706</v>
      </c>
      <c r="C343" s="48" t="s">
        <v>735</v>
      </c>
      <c r="D343" s="48" t="s">
        <v>735</v>
      </c>
      <c r="E343" s="48" t="s">
        <v>90</v>
      </c>
      <c r="F343" s="48">
        <v>4</v>
      </c>
      <c r="G343" s="48" t="s">
        <v>736</v>
      </c>
      <c r="H343" s="48" t="s">
        <v>92</v>
      </c>
      <c r="I343" s="48" t="s">
        <v>102</v>
      </c>
      <c r="J343" s="48" t="s">
        <v>139</v>
      </c>
      <c r="K343" s="48">
        <v>9848559355</v>
      </c>
      <c r="L343" s="48">
        <v>1915</v>
      </c>
      <c r="M343" s="48">
        <v>1829</v>
      </c>
      <c r="N343" s="48">
        <v>3744</v>
      </c>
      <c r="O343" s="48">
        <v>118</v>
      </c>
      <c r="P343" s="48">
        <v>886</v>
      </c>
      <c r="Q343" s="48">
        <v>473</v>
      </c>
      <c r="R343" s="48">
        <v>352</v>
      </c>
      <c r="S343" s="48">
        <v>178</v>
      </c>
      <c r="T343" s="48">
        <v>927</v>
      </c>
      <c r="U343" s="48">
        <v>534</v>
      </c>
      <c r="V343" s="48">
        <v>275</v>
      </c>
      <c r="W343" s="48"/>
      <c r="X343" s="48"/>
      <c r="Y343" s="48"/>
      <c r="Z343" s="48"/>
      <c r="AA343" s="48"/>
      <c r="AB343" s="48"/>
      <c r="AC343" s="48">
        <v>79</v>
      </c>
    </row>
    <row r="344" spans="1:29">
      <c r="A344" s="48" t="s">
        <v>7</v>
      </c>
      <c r="B344" s="48" t="s">
        <v>706</v>
      </c>
      <c r="C344" s="48" t="s">
        <v>737</v>
      </c>
      <c r="D344" s="48" t="s">
        <v>737</v>
      </c>
      <c r="E344" s="48" t="s">
        <v>95</v>
      </c>
      <c r="F344" s="48">
        <v>2</v>
      </c>
      <c r="G344" s="48" t="s">
        <v>738</v>
      </c>
      <c r="H344" s="48" t="s">
        <v>92</v>
      </c>
      <c r="I344" s="48" t="s">
        <v>102</v>
      </c>
      <c r="J344" s="48" t="s">
        <v>165</v>
      </c>
      <c r="K344" s="48">
        <v>9505099364</v>
      </c>
      <c r="L344" s="48">
        <v>849</v>
      </c>
      <c r="M344" s="48">
        <v>836</v>
      </c>
      <c r="N344" s="48">
        <v>1685</v>
      </c>
      <c r="O344" s="48">
        <v>66</v>
      </c>
      <c r="P344" s="48">
        <v>433</v>
      </c>
      <c r="Q344" s="48">
        <v>199</v>
      </c>
      <c r="R344" s="48">
        <v>138</v>
      </c>
      <c r="S344" s="48">
        <v>85</v>
      </c>
      <c r="T344" s="48">
        <v>476</v>
      </c>
      <c r="U344" s="48">
        <v>179</v>
      </c>
      <c r="V344" s="48">
        <v>109</v>
      </c>
      <c r="W344" s="48"/>
      <c r="X344" s="48"/>
      <c r="Y344" s="48"/>
      <c r="Z344" s="48"/>
      <c r="AA344" s="48"/>
      <c r="AB344" s="48"/>
      <c r="AC344" s="48">
        <v>66</v>
      </c>
    </row>
    <row r="345" spans="1:29">
      <c r="A345" s="48" t="s">
        <v>7</v>
      </c>
      <c r="B345" s="48" t="s">
        <v>706</v>
      </c>
      <c r="C345" s="48" t="s">
        <v>739</v>
      </c>
      <c r="D345" s="48" t="s">
        <v>739</v>
      </c>
      <c r="E345" s="48" t="s">
        <v>90</v>
      </c>
      <c r="F345" s="48">
        <v>4</v>
      </c>
      <c r="G345" s="48" t="s">
        <v>740</v>
      </c>
      <c r="H345" s="48" t="s">
        <v>92</v>
      </c>
      <c r="I345" s="48" t="s">
        <v>119</v>
      </c>
      <c r="J345" s="48" t="s">
        <v>165</v>
      </c>
      <c r="K345" s="48">
        <v>6309163301</v>
      </c>
      <c r="L345" s="48">
        <v>1944</v>
      </c>
      <c r="M345" s="48">
        <v>1863</v>
      </c>
      <c r="N345" s="48">
        <v>3808</v>
      </c>
      <c r="O345" s="48">
        <v>98</v>
      </c>
      <c r="P345" s="48">
        <v>915</v>
      </c>
      <c r="Q345" s="48">
        <v>531</v>
      </c>
      <c r="R345" s="48">
        <v>319</v>
      </c>
      <c r="S345" s="48">
        <v>153</v>
      </c>
      <c r="T345" s="48">
        <v>953</v>
      </c>
      <c r="U345" s="48">
        <v>533</v>
      </c>
      <c r="V345" s="48">
        <v>305</v>
      </c>
      <c r="W345" s="48"/>
      <c r="X345" s="48"/>
      <c r="Y345" s="48"/>
      <c r="Z345" s="48"/>
      <c r="AA345" s="48"/>
      <c r="AB345" s="48"/>
      <c r="AC345" s="48">
        <v>79</v>
      </c>
    </row>
    <row r="346" spans="1:29">
      <c r="A346" s="48" t="s">
        <v>7</v>
      </c>
      <c r="B346" s="48" t="s">
        <v>706</v>
      </c>
      <c r="C346" s="48" t="s">
        <v>706</v>
      </c>
      <c r="D346" s="48" t="s">
        <v>706</v>
      </c>
      <c r="E346" s="48" t="s">
        <v>90</v>
      </c>
      <c r="F346" s="48">
        <v>5</v>
      </c>
      <c r="G346" s="48" t="s">
        <v>741</v>
      </c>
      <c r="H346" s="48" t="s">
        <v>92</v>
      </c>
      <c r="I346" s="48" t="s">
        <v>113</v>
      </c>
      <c r="J346" s="48" t="s">
        <v>114</v>
      </c>
      <c r="K346" s="48">
        <v>9603273331</v>
      </c>
      <c r="L346" s="48">
        <v>2732</v>
      </c>
      <c r="M346" s="48">
        <v>2635</v>
      </c>
      <c r="N346" s="48">
        <v>5367</v>
      </c>
      <c r="O346" s="48">
        <v>181</v>
      </c>
      <c r="P346" s="48">
        <v>1255</v>
      </c>
      <c r="Q346" s="48">
        <v>689</v>
      </c>
      <c r="R346" s="48">
        <v>510</v>
      </c>
      <c r="S346" s="48">
        <v>243</v>
      </c>
      <c r="T346" s="48">
        <v>1403</v>
      </c>
      <c r="U346" s="48">
        <v>680</v>
      </c>
      <c r="V346" s="48">
        <v>404</v>
      </c>
      <c r="W346" s="48"/>
      <c r="X346" s="48"/>
      <c r="Y346" s="48"/>
      <c r="Z346" s="48"/>
      <c r="AA346" s="48"/>
      <c r="AB346" s="48"/>
      <c r="AC346" s="48">
        <v>79</v>
      </c>
    </row>
    <row r="347" spans="1:29">
      <c r="A347" s="48" t="s">
        <v>7</v>
      </c>
      <c r="B347" s="48" t="s">
        <v>706</v>
      </c>
      <c r="C347" s="48" t="s">
        <v>742</v>
      </c>
      <c r="D347" s="48" t="s">
        <v>742</v>
      </c>
      <c r="E347" s="48" t="s">
        <v>90</v>
      </c>
      <c r="F347" s="48">
        <v>3</v>
      </c>
      <c r="G347" s="48" t="s">
        <v>743</v>
      </c>
      <c r="H347" s="48" t="s">
        <v>92</v>
      </c>
      <c r="I347" s="48" t="s">
        <v>119</v>
      </c>
      <c r="J347" s="48" t="s">
        <v>165</v>
      </c>
      <c r="K347" s="48">
        <v>9490214531</v>
      </c>
      <c r="L347" s="48">
        <v>1392</v>
      </c>
      <c r="M347" s="48">
        <v>1353</v>
      </c>
      <c r="N347" s="48">
        <v>2746</v>
      </c>
      <c r="O347" s="48">
        <v>109</v>
      </c>
      <c r="P347" s="48">
        <v>717</v>
      </c>
      <c r="Q347" s="48">
        <v>348</v>
      </c>
      <c r="R347" s="48">
        <v>179</v>
      </c>
      <c r="S347" s="48">
        <v>122</v>
      </c>
      <c r="T347" s="48">
        <v>780</v>
      </c>
      <c r="U347" s="48">
        <v>312</v>
      </c>
      <c r="V347" s="48">
        <v>178</v>
      </c>
      <c r="W347" s="48"/>
      <c r="X347" s="48"/>
      <c r="Y347" s="48"/>
      <c r="Z347" s="48"/>
      <c r="AA347" s="48"/>
      <c r="AB347" s="48"/>
      <c r="AC347" s="48">
        <v>76</v>
      </c>
    </row>
    <row r="348" spans="1:29">
      <c r="A348" s="48" t="s">
        <v>7</v>
      </c>
      <c r="B348" s="48" t="s">
        <v>706</v>
      </c>
      <c r="C348" s="48" t="s">
        <v>744</v>
      </c>
      <c r="D348" s="48" t="s">
        <v>744</v>
      </c>
      <c r="E348" s="48" t="s">
        <v>90</v>
      </c>
      <c r="F348" s="48">
        <v>1</v>
      </c>
      <c r="G348" s="48" t="s">
        <v>745</v>
      </c>
      <c r="H348" s="48" t="s">
        <v>92</v>
      </c>
      <c r="I348" s="48" t="s">
        <v>615</v>
      </c>
      <c r="J348" s="48" t="s">
        <v>288</v>
      </c>
      <c r="K348" s="48">
        <v>7702973215</v>
      </c>
      <c r="L348" s="48">
        <v>515</v>
      </c>
      <c r="M348" s="48">
        <v>470</v>
      </c>
      <c r="N348" s="48">
        <v>986</v>
      </c>
      <c r="O348" s="48">
        <v>60</v>
      </c>
      <c r="P348" s="48">
        <v>279</v>
      </c>
      <c r="Q348" s="48">
        <v>80</v>
      </c>
      <c r="R348" s="48">
        <v>50</v>
      </c>
      <c r="S348" s="48">
        <v>85</v>
      </c>
      <c r="T348" s="48">
        <v>292</v>
      </c>
      <c r="U348" s="48">
        <v>100</v>
      </c>
      <c r="V348" s="48">
        <v>37</v>
      </c>
      <c r="W348" s="48"/>
      <c r="X348" s="48"/>
      <c r="Y348" s="48"/>
      <c r="Z348" s="48"/>
      <c r="AA348" s="48"/>
      <c r="AB348" s="48"/>
      <c r="AC348" s="48" t="e">
        <v>#N/A</v>
      </c>
    </row>
    <row r="349" spans="1:29">
      <c r="A349" s="48" t="s">
        <v>7</v>
      </c>
      <c r="B349" s="48" t="s">
        <v>706</v>
      </c>
      <c r="C349" s="48" t="s">
        <v>746</v>
      </c>
      <c r="D349" s="48" t="s">
        <v>746</v>
      </c>
      <c r="E349" s="48" t="s">
        <v>90</v>
      </c>
      <c r="F349" s="48">
        <v>3</v>
      </c>
      <c r="G349" s="48" t="s">
        <v>747</v>
      </c>
      <c r="H349" s="48" t="s">
        <v>92</v>
      </c>
      <c r="I349" s="48" t="s">
        <v>97</v>
      </c>
      <c r="J349" s="48" t="s">
        <v>288</v>
      </c>
      <c r="K349" s="48">
        <v>8464924511</v>
      </c>
      <c r="L349" s="48">
        <v>1531</v>
      </c>
      <c r="M349" s="48">
        <v>1572</v>
      </c>
      <c r="N349" s="48">
        <v>3103</v>
      </c>
      <c r="O349" s="48">
        <v>139</v>
      </c>
      <c r="P349" s="48">
        <v>830</v>
      </c>
      <c r="Q349" s="48">
        <v>394</v>
      </c>
      <c r="R349" s="48">
        <v>207</v>
      </c>
      <c r="S349" s="48">
        <v>150</v>
      </c>
      <c r="T349" s="48">
        <v>870</v>
      </c>
      <c r="U349" s="48">
        <v>354</v>
      </c>
      <c r="V349" s="48">
        <v>157</v>
      </c>
      <c r="W349" s="48"/>
      <c r="X349" s="48"/>
      <c r="Y349" s="48"/>
      <c r="Z349" s="48"/>
      <c r="AA349" s="48"/>
      <c r="AB349" s="48"/>
      <c r="AC349" s="48">
        <v>78</v>
      </c>
    </row>
    <row r="350" spans="1:29">
      <c r="A350" s="48" t="s">
        <v>7</v>
      </c>
      <c r="B350" s="48" t="s">
        <v>7</v>
      </c>
      <c r="C350" s="48" t="s">
        <v>748</v>
      </c>
      <c r="D350" s="48" t="s">
        <v>748</v>
      </c>
      <c r="E350" s="48" t="s">
        <v>95</v>
      </c>
      <c r="F350" s="48">
        <v>1</v>
      </c>
      <c r="G350" s="48" t="e">
        <v>#N/A</v>
      </c>
      <c r="H350" s="48"/>
      <c r="I350" s="48"/>
      <c r="J350" s="48"/>
      <c r="K350" s="48"/>
      <c r="L350" s="48">
        <v>568</v>
      </c>
      <c r="M350" s="48">
        <v>550</v>
      </c>
      <c r="N350" s="48">
        <v>1118</v>
      </c>
      <c r="O350" s="48">
        <v>45</v>
      </c>
      <c r="P350" s="48">
        <v>258</v>
      </c>
      <c r="Q350" s="48">
        <v>149</v>
      </c>
      <c r="R350" s="48">
        <v>98</v>
      </c>
      <c r="S350" s="48">
        <v>58</v>
      </c>
      <c r="T350" s="48">
        <v>274</v>
      </c>
      <c r="U350" s="48">
        <v>144</v>
      </c>
      <c r="V350" s="48">
        <v>91</v>
      </c>
      <c r="W350" s="48"/>
      <c r="X350" s="48"/>
      <c r="Y350" s="48"/>
      <c r="Z350" s="48"/>
      <c r="AA350" s="48"/>
      <c r="AB350" s="48"/>
      <c r="AC350" s="48" t="e">
        <v>#N/A</v>
      </c>
    </row>
    <row r="351" spans="1:29">
      <c r="A351" s="48" t="s">
        <v>7</v>
      </c>
      <c r="B351" s="48" t="s">
        <v>7</v>
      </c>
      <c r="C351" s="48" t="s">
        <v>749</v>
      </c>
      <c r="D351" s="48" t="s">
        <v>749</v>
      </c>
      <c r="E351" s="48" t="s">
        <v>90</v>
      </c>
      <c r="F351" s="48">
        <v>1</v>
      </c>
      <c r="G351" s="48" t="s">
        <v>750</v>
      </c>
      <c r="H351" s="48" t="s">
        <v>92</v>
      </c>
      <c r="I351" s="48" t="s">
        <v>102</v>
      </c>
      <c r="J351" s="48" t="s">
        <v>125</v>
      </c>
      <c r="K351" s="48">
        <v>9542923727</v>
      </c>
      <c r="L351" s="48">
        <v>351</v>
      </c>
      <c r="M351" s="48">
        <v>353</v>
      </c>
      <c r="N351" s="48">
        <v>704</v>
      </c>
      <c r="O351" s="48">
        <v>28</v>
      </c>
      <c r="P351" s="48">
        <v>152</v>
      </c>
      <c r="Q351" s="48">
        <v>109</v>
      </c>
      <c r="R351" s="48">
        <v>64</v>
      </c>
      <c r="S351" s="48">
        <v>36</v>
      </c>
      <c r="T351" s="48">
        <v>162</v>
      </c>
      <c r="U351" s="48">
        <v>87</v>
      </c>
      <c r="V351" s="48">
        <v>66</v>
      </c>
      <c r="W351" s="48"/>
      <c r="X351" s="48"/>
      <c r="Y351" s="48"/>
      <c r="Z351" s="48"/>
      <c r="AA351" s="48"/>
      <c r="AB351" s="48"/>
      <c r="AC351" s="48">
        <v>84</v>
      </c>
    </row>
    <row r="352" spans="1:29">
      <c r="A352" s="48" t="s">
        <v>7</v>
      </c>
      <c r="B352" s="48" t="s">
        <v>7</v>
      </c>
      <c r="C352" s="48" t="s">
        <v>751</v>
      </c>
      <c r="D352" s="48" t="s">
        <v>751</v>
      </c>
      <c r="E352" s="48" t="s">
        <v>90</v>
      </c>
      <c r="F352" s="48">
        <v>2</v>
      </c>
      <c r="G352" s="48" t="s">
        <v>752</v>
      </c>
      <c r="H352" s="48" t="s">
        <v>92</v>
      </c>
      <c r="I352" s="48" t="s">
        <v>93</v>
      </c>
      <c r="J352" s="48" t="s">
        <v>139</v>
      </c>
      <c r="K352" s="48">
        <v>9949469333</v>
      </c>
      <c r="L352" s="48">
        <v>1004</v>
      </c>
      <c r="M352" s="48">
        <v>969</v>
      </c>
      <c r="N352" s="48">
        <v>1973</v>
      </c>
      <c r="O352" s="48">
        <v>69</v>
      </c>
      <c r="P352" s="48">
        <v>495</v>
      </c>
      <c r="Q352" s="48">
        <v>252</v>
      </c>
      <c r="R352" s="48">
        <v>153</v>
      </c>
      <c r="S352" s="48">
        <v>106</v>
      </c>
      <c r="T352" s="48">
        <v>492</v>
      </c>
      <c r="U352" s="48">
        <v>247</v>
      </c>
      <c r="V352" s="48">
        <v>159</v>
      </c>
      <c r="W352" s="48"/>
      <c r="X352" s="48"/>
      <c r="Y352" s="48"/>
      <c r="Z352" s="48"/>
      <c r="AA352" s="48"/>
      <c r="AB352" s="48"/>
      <c r="AC352" s="48">
        <v>76</v>
      </c>
    </row>
    <row r="353" spans="1:29">
      <c r="A353" s="48" t="s">
        <v>7</v>
      </c>
      <c r="B353" s="48" t="s">
        <v>7</v>
      </c>
      <c r="C353" s="48" t="s">
        <v>753</v>
      </c>
      <c r="D353" s="48" t="s">
        <v>753</v>
      </c>
      <c r="E353" s="48" t="s">
        <v>95</v>
      </c>
      <c r="F353" s="48">
        <v>2</v>
      </c>
      <c r="G353" s="48" t="s">
        <v>754</v>
      </c>
      <c r="H353" s="48" t="s">
        <v>92</v>
      </c>
      <c r="I353" s="48" t="s">
        <v>93</v>
      </c>
      <c r="J353" s="48" t="s">
        <v>165</v>
      </c>
      <c r="K353" s="48">
        <v>9603774778</v>
      </c>
      <c r="L353" s="48">
        <v>773</v>
      </c>
      <c r="M353" s="48">
        <v>731</v>
      </c>
      <c r="N353" s="48">
        <v>1505</v>
      </c>
      <c r="O353" s="48">
        <v>49</v>
      </c>
      <c r="P353" s="48">
        <v>382</v>
      </c>
      <c r="Q353" s="48">
        <v>181</v>
      </c>
      <c r="R353" s="48">
        <v>119</v>
      </c>
      <c r="S353" s="48">
        <v>100</v>
      </c>
      <c r="T353" s="48">
        <v>398</v>
      </c>
      <c r="U353" s="48">
        <v>157</v>
      </c>
      <c r="V353" s="48">
        <v>118</v>
      </c>
      <c r="W353" s="48"/>
      <c r="X353" s="48"/>
      <c r="Y353" s="48"/>
      <c r="Z353" s="48"/>
      <c r="AA353" s="48"/>
      <c r="AB353" s="48"/>
      <c r="AC353" s="48">
        <v>91</v>
      </c>
    </row>
    <row r="354" spans="1:29">
      <c r="A354" s="48" t="s">
        <v>7</v>
      </c>
      <c r="B354" s="48" t="s">
        <v>7</v>
      </c>
      <c r="C354" s="48" t="s">
        <v>755</v>
      </c>
      <c r="D354" s="48" t="s">
        <v>755</v>
      </c>
      <c r="E354" s="48" t="s">
        <v>90</v>
      </c>
      <c r="F354" s="48">
        <v>6</v>
      </c>
      <c r="G354" s="48" t="s">
        <v>756</v>
      </c>
      <c r="H354" s="48" t="s">
        <v>4</v>
      </c>
      <c r="I354" s="48" t="s">
        <v>97</v>
      </c>
      <c r="J354" s="48" t="s">
        <v>98</v>
      </c>
      <c r="K354" s="48">
        <v>9491442482</v>
      </c>
      <c r="L354" s="48">
        <v>2592</v>
      </c>
      <c r="M354" s="48">
        <v>2717</v>
      </c>
      <c r="N354" s="48">
        <v>5312</v>
      </c>
      <c r="O354" s="48">
        <v>224</v>
      </c>
      <c r="P354" s="48">
        <v>1296</v>
      </c>
      <c r="Q354" s="48">
        <v>725</v>
      </c>
      <c r="R354" s="48">
        <v>471</v>
      </c>
      <c r="S354" s="48">
        <v>286</v>
      </c>
      <c r="T354" s="48">
        <v>1313</v>
      </c>
      <c r="U354" s="48">
        <v>676</v>
      </c>
      <c r="V354" s="48">
        <v>317</v>
      </c>
      <c r="W354" s="48"/>
      <c r="X354" s="48"/>
      <c r="Y354" s="48"/>
      <c r="Z354" s="48"/>
      <c r="AA354" s="48"/>
      <c r="AB354" s="48"/>
      <c r="AC354" s="48">
        <v>87</v>
      </c>
    </row>
    <row r="355" spans="1:29">
      <c r="A355" s="48" t="s">
        <v>7</v>
      </c>
      <c r="B355" s="48" t="s">
        <v>7</v>
      </c>
      <c r="C355" s="48" t="s">
        <v>757</v>
      </c>
      <c r="D355" s="48" t="s">
        <v>758</v>
      </c>
      <c r="E355" s="48" t="s">
        <v>95</v>
      </c>
      <c r="F355" s="48">
        <v>1</v>
      </c>
      <c r="G355" s="48" t="s">
        <v>759</v>
      </c>
      <c r="H355" s="48" t="s">
        <v>92</v>
      </c>
      <c r="I355" s="48" t="s">
        <v>102</v>
      </c>
      <c r="J355" s="48" t="s">
        <v>139</v>
      </c>
      <c r="K355" s="48">
        <v>9618291278</v>
      </c>
      <c r="L355" s="48">
        <v>214</v>
      </c>
      <c r="M355" s="48">
        <v>210</v>
      </c>
      <c r="N355" s="48">
        <v>424</v>
      </c>
      <c r="O355" s="48">
        <v>19</v>
      </c>
      <c r="P355" s="48">
        <v>104</v>
      </c>
      <c r="Q355" s="48">
        <v>51</v>
      </c>
      <c r="R355" s="48">
        <v>36</v>
      </c>
      <c r="S355" s="48">
        <v>16</v>
      </c>
      <c r="T355" s="48">
        <v>99</v>
      </c>
      <c r="U355" s="48">
        <v>60</v>
      </c>
      <c r="V355" s="48">
        <v>39</v>
      </c>
      <c r="W355" s="48"/>
      <c r="X355" s="48"/>
      <c r="Y355" s="48"/>
      <c r="Z355" s="48"/>
      <c r="AA355" s="48"/>
      <c r="AB355" s="48"/>
      <c r="AC355" s="48">
        <v>55</v>
      </c>
    </row>
    <row r="356" spans="1:29">
      <c r="A356" s="48" t="s">
        <v>7</v>
      </c>
      <c r="B356" s="48" t="s">
        <v>7</v>
      </c>
      <c r="C356" s="48" t="s">
        <v>757</v>
      </c>
      <c r="D356" s="48" t="s">
        <v>757</v>
      </c>
      <c r="E356" s="48" t="s">
        <v>90</v>
      </c>
      <c r="F356" s="48">
        <v>4</v>
      </c>
      <c r="G356" s="48" t="s">
        <v>759</v>
      </c>
      <c r="H356" s="48" t="s">
        <v>92</v>
      </c>
      <c r="I356" s="48" t="s">
        <v>102</v>
      </c>
      <c r="J356" s="48" t="s">
        <v>139</v>
      </c>
      <c r="K356" s="48">
        <v>9618291278</v>
      </c>
      <c r="L356" s="48">
        <v>1844</v>
      </c>
      <c r="M356" s="48">
        <v>1929</v>
      </c>
      <c r="N356" s="48">
        <v>3774</v>
      </c>
      <c r="O356" s="48">
        <v>197</v>
      </c>
      <c r="P356" s="48">
        <v>897</v>
      </c>
      <c r="Q356" s="48">
        <v>509</v>
      </c>
      <c r="R356" s="48">
        <v>324</v>
      </c>
      <c r="S356" s="48">
        <v>196</v>
      </c>
      <c r="T356" s="48">
        <v>956</v>
      </c>
      <c r="U356" s="48">
        <v>448</v>
      </c>
      <c r="V356" s="48">
        <v>242</v>
      </c>
      <c r="W356" s="48"/>
      <c r="X356" s="48"/>
      <c r="Y356" s="48"/>
      <c r="Z356" s="48"/>
      <c r="AA356" s="48"/>
      <c r="AB356" s="48"/>
      <c r="AC356" s="48">
        <v>55</v>
      </c>
    </row>
    <row r="357" spans="1:29">
      <c r="A357" s="48" t="s">
        <v>7</v>
      </c>
      <c r="B357" s="48" t="s">
        <v>7</v>
      </c>
      <c r="C357" s="48" t="s">
        <v>760</v>
      </c>
      <c r="D357" s="48" t="s">
        <v>760</v>
      </c>
      <c r="E357" s="48" t="s">
        <v>95</v>
      </c>
      <c r="F357" s="48">
        <v>2</v>
      </c>
      <c r="G357" s="48" t="e">
        <v>#N/A</v>
      </c>
      <c r="H357" s="48"/>
      <c r="I357" s="48"/>
      <c r="J357" s="48"/>
      <c r="K357" s="48"/>
      <c r="L357" s="48">
        <v>793</v>
      </c>
      <c r="M357" s="48">
        <v>715</v>
      </c>
      <c r="N357" s="48">
        <v>1734</v>
      </c>
      <c r="O357" s="48">
        <v>32</v>
      </c>
      <c r="P357" s="48">
        <v>334</v>
      </c>
      <c r="Q357" s="48">
        <v>214</v>
      </c>
      <c r="R357" s="48">
        <v>135</v>
      </c>
      <c r="S357" s="48">
        <v>69</v>
      </c>
      <c r="T357" s="48">
        <v>400</v>
      </c>
      <c r="U357" s="48">
        <v>184</v>
      </c>
      <c r="V357" s="48">
        <v>140</v>
      </c>
      <c r="W357" s="48"/>
      <c r="X357" s="48"/>
      <c r="Y357" s="48"/>
      <c r="Z357" s="48"/>
      <c r="AA357" s="48"/>
      <c r="AB357" s="48"/>
      <c r="AC357" s="48" t="e">
        <v>#N/A</v>
      </c>
    </row>
    <row r="358" spans="1:29">
      <c r="A358" s="48" t="s">
        <v>7</v>
      </c>
      <c r="B358" s="48" t="s">
        <v>7</v>
      </c>
      <c r="C358" s="48" t="s">
        <v>761</v>
      </c>
      <c r="D358" s="48" t="s">
        <v>761</v>
      </c>
      <c r="E358" s="48" t="s">
        <v>90</v>
      </c>
      <c r="F358" s="48">
        <v>4</v>
      </c>
      <c r="G358" s="48" t="s">
        <v>762</v>
      </c>
      <c r="H358" s="48" t="s">
        <v>92</v>
      </c>
      <c r="I358" s="48" t="s">
        <v>142</v>
      </c>
      <c r="J358" s="48" t="s">
        <v>114</v>
      </c>
      <c r="K358" s="48">
        <v>9849263061</v>
      </c>
      <c r="L358" s="48">
        <v>1705</v>
      </c>
      <c r="M358" s="48">
        <v>1715</v>
      </c>
      <c r="N358" s="48">
        <v>3420</v>
      </c>
      <c r="O358" s="48">
        <v>158</v>
      </c>
      <c r="P358" s="48">
        <v>869</v>
      </c>
      <c r="Q358" s="48">
        <v>384</v>
      </c>
      <c r="R358" s="48">
        <v>304</v>
      </c>
      <c r="S358" s="48">
        <v>180</v>
      </c>
      <c r="T358" s="48">
        <v>897</v>
      </c>
      <c r="U358" s="48">
        <v>367</v>
      </c>
      <c r="V358" s="48">
        <v>261</v>
      </c>
      <c r="W358" s="48"/>
      <c r="X358" s="48"/>
      <c r="Y358" s="48"/>
      <c r="Z358" s="48"/>
      <c r="AA358" s="48"/>
      <c r="AB358" s="48"/>
      <c r="AC358" s="48">
        <v>90</v>
      </c>
    </row>
    <row r="359" spans="1:29">
      <c r="A359" s="48" t="s">
        <v>7</v>
      </c>
      <c r="B359" s="48" t="s">
        <v>7</v>
      </c>
      <c r="C359" s="48" t="s">
        <v>763</v>
      </c>
      <c r="D359" s="48" t="s">
        <v>763</v>
      </c>
      <c r="E359" s="48" t="s">
        <v>90</v>
      </c>
      <c r="F359" s="48">
        <v>3</v>
      </c>
      <c r="G359" s="48" t="s">
        <v>764</v>
      </c>
      <c r="H359" s="48" t="s">
        <v>92</v>
      </c>
      <c r="I359" s="48" t="s">
        <v>97</v>
      </c>
      <c r="J359" s="48" t="s">
        <v>98</v>
      </c>
      <c r="K359" s="48">
        <v>9966713840</v>
      </c>
      <c r="L359" s="48">
        <v>1658</v>
      </c>
      <c r="M359" s="48">
        <v>1755</v>
      </c>
      <c r="N359" s="48">
        <v>3414</v>
      </c>
      <c r="O359" s="48">
        <v>158</v>
      </c>
      <c r="P359" s="48">
        <v>771</v>
      </c>
      <c r="Q359" s="48">
        <v>476</v>
      </c>
      <c r="R359" s="48">
        <v>349</v>
      </c>
      <c r="S359" s="48">
        <v>176</v>
      </c>
      <c r="T359" s="48">
        <v>743</v>
      </c>
      <c r="U359" s="48">
        <v>441</v>
      </c>
      <c r="V359" s="48">
        <v>298</v>
      </c>
      <c r="W359" s="48"/>
      <c r="X359" s="48"/>
      <c r="Y359" s="48"/>
      <c r="Z359" s="48"/>
      <c r="AA359" s="48"/>
      <c r="AB359" s="48"/>
      <c r="AC359" s="48">
        <v>82</v>
      </c>
    </row>
    <row r="360" spans="1:29">
      <c r="A360" s="48" t="s">
        <v>7</v>
      </c>
      <c r="B360" s="48" t="s">
        <v>7</v>
      </c>
      <c r="C360" s="48" t="s">
        <v>765</v>
      </c>
      <c r="D360" s="48" t="s">
        <v>765</v>
      </c>
      <c r="E360" s="48" t="s">
        <v>90</v>
      </c>
      <c r="F360" s="48">
        <v>2</v>
      </c>
      <c r="G360" s="48" t="s">
        <v>766</v>
      </c>
      <c r="H360" s="48" t="s">
        <v>92</v>
      </c>
      <c r="I360" s="48" t="s">
        <v>102</v>
      </c>
      <c r="J360" s="48" t="s">
        <v>139</v>
      </c>
      <c r="K360" s="48">
        <v>9441225719</v>
      </c>
      <c r="L360" s="48">
        <v>935</v>
      </c>
      <c r="M360" s="48">
        <v>944</v>
      </c>
      <c r="N360" s="48">
        <v>1930</v>
      </c>
      <c r="O360" s="48">
        <v>88</v>
      </c>
      <c r="P360" s="48">
        <v>440</v>
      </c>
      <c r="Q360" s="48">
        <v>254</v>
      </c>
      <c r="R360" s="48">
        <v>142</v>
      </c>
      <c r="S360" s="48">
        <v>87</v>
      </c>
      <c r="T360" s="48">
        <v>450</v>
      </c>
      <c r="U360" s="48">
        <v>229</v>
      </c>
      <c r="V360" s="48">
        <v>132</v>
      </c>
      <c r="W360" s="48"/>
      <c r="X360" s="48"/>
      <c r="Y360" s="48"/>
      <c r="Z360" s="48"/>
      <c r="AA360" s="48"/>
      <c r="AB360" s="48"/>
      <c r="AC360" s="48">
        <v>87</v>
      </c>
    </row>
    <row r="361" spans="1:29">
      <c r="A361" s="48" t="s">
        <v>7</v>
      </c>
      <c r="B361" s="48" t="s">
        <v>7</v>
      </c>
      <c r="C361" s="48" t="s">
        <v>765</v>
      </c>
      <c r="D361" s="48" t="s">
        <v>767</v>
      </c>
      <c r="E361" s="48" t="s">
        <v>95</v>
      </c>
      <c r="F361" s="48">
        <v>1</v>
      </c>
      <c r="G361" s="48" t="s">
        <v>766</v>
      </c>
      <c r="H361" s="48" t="s">
        <v>92</v>
      </c>
      <c r="I361" s="48" t="s">
        <v>102</v>
      </c>
      <c r="J361" s="48" t="s">
        <v>139</v>
      </c>
      <c r="K361" s="48">
        <v>9441225719</v>
      </c>
      <c r="L361" s="48">
        <v>258</v>
      </c>
      <c r="M361" s="48">
        <v>269</v>
      </c>
      <c r="N361" s="48">
        <v>529</v>
      </c>
      <c r="O361" s="48">
        <v>20</v>
      </c>
      <c r="P361" s="48">
        <v>129</v>
      </c>
      <c r="Q361" s="48">
        <v>62</v>
      </c>
      <c r="R361" s="48">
        <v>58</v>
      </c>
      <c r="S361" s="48">
        <v>28</v>
      </c>
      <c r="T361" s="48">
        <v>134</v>
      </c>
      <c r="U361" s="48">
        <v>57</v>
      </c>
      <c r="V361" s="48">
        <v>39</v>
      </c>
      <c r="W361" s="48"/>
      <c r="X361" s="48"/>
      <c r="Y361" s="48"/>
      <c r="Z361" s="48"/>
      <c r="AA361" s="48"/>
      <c r="AB361" s="48"/>
      <c r="AC361" s="48">
        <v>87</v>
      </c>
    </row>
    <row r="362" spans="1:29">
      <c r="A362" s="48" t="s">
        <v>7</v>
      </c>
      <c r="B362" s="48" t="s">
        <v>7</v>
      </c>
      <c r="C362" s="48" t="s">
        <v>554</v>
      </c>
      <c r="D362" s="48" t="s">
        <v>554</v>
      </c>
      <c r="E362" s="48" t="s">
        <v>90</v>
      </c>
      <c r="F362" s="48">
        <v>1</v>
      </c>
      <c r="G362" s="48" t="e">
        <v>#N/A</v>
      </c>
      <c r="H362" s="48"/>
      <c r="I362" s="48"/>
      <c r="J362" s="48"/>
      <c r="K362" s="48"/>
      <c r="L362" s="48">
        <v>488</v>
      </c>
      <c r="M362" s="48">
        <v>486</v>
      </c>
      <c r="N362" s="48">
        <v>974</v>
      </c>
      <c r="O362" s="48">
        <v>42</v>
      </c>
      <c r="P362" s="48">
        <v>224</v>
      </c>
      <c r="Q362" s="48">
        <v>150</v>
      </c>
      <c r="R362" s="48">
        <v>70</v>
      </c>
      <c r="S362" s="48">
        <v>56</v>
      </c>
      <c r="T362" s="48">
        <v>239</v>
      </c>
      <c r="U362" s="48">
        <v>144</v>
      </c>
      <c r="V362" s="48">
        <v>49</v>
      </c>
      <c r="W362" s="48"/>
      <c r="X362" s="48"/>
      <c r="Y362" s="48"/>
      <c r="Z362" s="48"/>
      <c r="AA362" s="48"/>
      <c r="AB362" s="48"/>
      <c r="AC362" s="48" t="e">
        <v>#N/A</v>
      </c>
    </row>
    <row r="363" spans="1:29">
      <c r="A363" s="48" t="s">
        <v>7</v>
      </c>
      <c r="B363" s="48" t="s">
        <v>7</v>
      </c>
      <c r="C363" s="48" t="s">
        <v>554</v>
      </c>
      <c r="D363" s="48" t="s">
        <v>768</v>
      </c>
      <c r="E363" s="48" t="s">
        <v>90</v>
      </c>
      <c r="F363" s="48">
        <v>3</v>
      </c>
      <c r="G363" s="48" t="e">
        <v>#N/A</v>
      </c>
      <c r="H363" s="48"/>
      <c r="I363" s="48"/>
      <c r="J363" s="48"/>
      <c r="K363" s="48"/>
      <c r="L363" s="48">
        <v>1699</v>
      </c>
      <c r="M363" s="48">
        <v>1684</v>
      </c>
      <c r="N363" s="48">
        <v>3384</v>
      </c>
      <c r="O363" s="48">
        <v>164</v>
      </c>
      <c r="P363" s="48">
        <v>702</v>
      </c>
      <c r="Q363" s="48">
        <v>521</v>
      </c>
      <c r="R363" s="48">
        <v>295</v>
      </c>
      <c r="S363" s="48">
        <v>207</v>
      </c>
      <c r="T363" s="48">
        <v>709</v>
      </c>
      <c r="U363" s="48">
        <v>502</v>
      </c>
      <c r="V363" s="48">
        <v>281</v>
      </c>
      <c r="W363" s="48"/>
      <c r="X363" s="48"/>
      <c r="Y363" s="48"/>
      <c r="Z363" s="48"/>
      <c r="AA363" s="48"/>
      <c r="AB363" s="48"/>
      <c r="AC363" s="48" t="e">
        <v>#N/A</v>
      </c>
    </row>
    <row r="364" spans="1:29">
      <c r="A364" s="48" t="s">
        <v>7</v>
      </c>
      <c r="B364" s="48" t="s">
        <v>7</v>
      </c>
      <c r="C364" s="48" t="s">
        <v>769</v>
      </c>
      <c r="D364" s="48" t="s">
        <v>769</v>
      </c>
      <c r="E364" s="48" t="s">
        <v>90</v>
      </c>
      <c r="F364" s="48">
        <v>2</v>
      </c>
      <c r="G364" s="48" t="s">
        <v>263</v>
      </c>
      <c r="H364" s="48" t="s">
        <v>263</v>
      </c>
      <c r="I364" s="48" t="s">
        <v>263</v>
      </c>
      <c r="J364" s="48" t="s">
        <v>263</v>
      </c>
      <c r="K364" s="48" t="s">
        <v>263</v>
      </c>
      <c r="L364" s="48">
        <v>722</v>
      </c>
      <c r="M364" s="48">
        <v>735</v>
      </c>
      <c r="N364" s="48">
        <v>1457</v>
      </c>
      <c r="O364" s="48">
        <v>54</v>
      </c>
      <c r="P364" s="48">
        <v>358</v>
      </c>
      <c r="Q364" s="48">
        <v>217</v>
      </c>
      <c r="R364" s="48">
        <v>106</v>
      </c>
      <c r="S364" s="48">
        <v>70</v>
      </c>
      <c r="T364" s="48">
        <v>366</v>
      </c>
      <c r="U364" s="48">
        <v>194</v>
      </c>
      <c r="V364" s="48">
        <v>92</v>
      </c>
      <c r="W364" s="48"/>
      <c r="X364" s="48"/>
      <c r="Y364" s="48"/>
      <c r="Z364" s="48"/>
      <c r="AA364" s="48"/>
      <c r="AB364" s="48"/>
      <c r="AC364" s="48">
        <v>91</v>
      </c>
    </row>
    <row r="365" spans="1:29">
      <c r="A365" s="48" t="s">
        <v>7</v>
      </c>
      <c r="B365" s="48" t="s">
        <v>7</v>
      </c>
      <c r="C365" s="48" t="s">
        <v>770</v>
      </c>
      <c r="D365" s="48" t="s">
        <v>770</v>
      </c>
      <c r="E365" s="48" t="s">
        <v>90</v>
      </c>
      <c r="F365" s="48">
        <v>1</v>
      </c>
      <c r="G365" s="48" t="e">
        <v>#N/A</v>
      </c>
      <c r="H365" s="48"/>
      <c r="I365" s="48"/>
      <c r="J365" s="48"/>
      <c r="K365" s="48"/>
      <c r="L365" s="48">
        <v>605</v>
      </c>
      <c r="M365" s="48">
        <v>613</v>
      </c>
      <c r="N365" s="48">
        <v>1218</v>
      </c>
      <c r="O365" s="48">
        <v>63</v>
      </c>
      <c r="P365" s="48">
        <v>297</v>
      </c>
      <c r="Q365" s="48">
        <v>154</v>
      </c>
      <c r="R365" s="48">
        <v>99</v>
      </c>
      <c r="S365" s="48">
        <v>65</v>
      </c>
      <c r="T365" s="48">
        <v>328</v>
      </c>
      <c r="U365" s="48">
        <v>135</v>
      </c>
      <c r="V365" s="48">
        <v>77</v>
      </c>
      <c r="W365" s="48"/>
      <c r="X365" s="48"/>
      <c r="Y365" s="48"/>
      <c r="Z365" s="48"/>
      <c r="AA365" s="48"/>
      <c r="AB365" s="48"/>
      <c r="AC365" s="48" t="e">
        <v>#N/A</v>
      </c>
    </row>
    <row r="366" spans="1:29">
      <c r="A366" s="48" t="s">
        <v>7</v>
      </c>
      <c r="B366" s="48" t="s">
        <v>7</v>
      </c>
      <c r="C366" s="48" t="s">
        <v>771</v>
      </c>
      <c r="D366" s="48" t="s">
        <v>771</v>
      </c>
      <c r="E366" s="48" t="s">
        <v>90</v>
      </c>
      <c r="F366" s="48">
        <v>2</v>
      </c>
      <c r="G366" s="48" t="s">
        <v>772</v>
      </c>
      <c r="H366" s="48" t="s">
        <v>92</v>
      </c>
      <c r="I366" s="48" t="s">
        <v>93</v>
      </c>
      <c r="J366" s="48" t="s">
        <v>139</v>
      </c>
      <c r="K366" s="48">
        <v>9440576326</v>
      </c>
      <c r="L366" s="48">
        <v>755</v>
      </c>
      <c r="M366" s="48">
        <v>756</v>
      </c>
      <c r="N366" s="48">
        <v>1511</v>
      </c>
      <c r="O366" s="48">
        <v>72</v>
      </c>
      <c r="P366" s="48">
        <v>362</v>
      </c>
      <c r="Q366" s="48">
        <v>183</v>
      </c>
      <c r="R366" s="48">
        <v>139</v>
      </c>
      <c r="S366" s="48">
        <v>81</v>
      </c>
      <c r="T366" s="48">
        <v>369</v>
      </c>
      <c r="U366" s="48">
        <v>199</v>
      </c>
      <c r="V366" s="48">
        <v>106</v>
      </c>
      <c r="W366" s="48"/>
      <c r="X366" s="48"/>
      <c r="Y366" s="48"/>
      <c r="Z366" s="48"/>
      <c r="AA366" s="48"/>
      <c r="AB366" s="48"/>
      <c r="AC366" s="48">
        <v>78</v>
      </c>
    </row>
    <row r="367" spans="1:29">
      <c r="A367" s="48" t="s">
        <v>7</v>
      </c>
      <c r="B367" s="48" t="s">
        <v>7</v>
      </c>
      <c r="C367" s="48" t="s">
        <v>773</v>
      </c>
      <c r="D367" s="48" t="s">
        <v>773</v>
      </c>
      <c r="E367" s="48" t="s">
        <v>90</v>
      </c>
      <c r="F367" s="48">
        <v>1</v>
      </c>
      <c r="G367" s="48" t="e">
        <v>#N/A</v>
      </c>
      <c r="H367" s="48"/>
      <c r="I367" s="48"/>
      <c r="J367" s="48"/>
      <c r="K367" s="48"/>
      <c r="L367" s="48">
        <v>557</v>
      </c>
      <c r="M367" s="48">
        <v>535</v>
      </c>
      <c r="N367" s="48">
        <v>1092</v>
      </c>
      <c r="O367" s="48">
        <v>72</v>
      </c>
      <c r="P367" s="48">
        <v>257</v>
      </c>
      <c r="Q367" s="48">
        <v>137</v>
      </c>
      <c r="R367" s="48">
        <v>68</v>
      </c>
      <c r="S367" s="48">
        <v>112</v>
      </c>
      <c r="T367" s="48">
        <v>261</v>
      </c>
      <c r="U367" s="48">
        <v>124</v>
      </c>
      <c r="V367" s="48">
        <v>60</v>
      </c>
      <c r="W367" s="48"/>
      <c r="X367" s="48"/>
      <c r="Y367" s="48"/>
      <c r="Z367" s="48"/>
      <c r="AA367" s="48"/>
      <c r="AB367" s="48"/>
      <c r="AC367" s="48" t="e">
        <v>#N/A</v>
      </c>
    </row>
    <row r="368" spans="1:29">
      <c r="A368" s="48" t="s">
        <v>7</v>
      </c>
      <c r="B368" s="48" t="s">
        <v>7</v>
      </c>
      <c r="C368" s="48" t="s">
        <v>774</v>
      </c>
      <c r="D368" s="48" t="s">
        <v>774</v>
      </c>
      <c r="E368" s="48" t="s">
        <v>90</v>
      </c>
      <c r="F368" s="48">
        <v>2</v>
      </c>
      <c r="G368" s="48" t="s">
        <v>775</v>
      </c>
      <c r="H368" s="48" t="s">
        <v>92</v>
      </c>
      <c r="I368" s="48" t="s">
        <v>102</v>
      </c>
      <c r="J368" s="48" t="s">
        <v>139</v>
      </c>
      <c r="K368" s="48">
        <v>9490741661</v>
      </c>
      <c r="L368" s="48">
        <v>698</v>
      </c>
      <c r="M368" s="48">
        <v>732</v>
      </c>
      <c r="N368" s="48">
        <v>1665</v>
      </c>
      <c r="O368" s="48">
        <v>77</v>
      </c>
      <c r="P368" s="48">
        <v>366</v>
      </c>
      <c r="Q368" s="48">
        <v>162</v>
      </c>
      <c r="R368" s="48">
        <v>127</v>
      </c>
      <c r="S368" s="48">
        <v>82</v>
      </c>
      <c r="T368" s="48">
        <v>348</v>
      </c>
      <c r="U368" s="48">
        <v>154</v>
      </c>
      <c r="V368" s="48">
        <v>114</v>
      </c>
      <c r="W368" s="48"/>
      <c r="X368" s="48"/>
      <c r="Y368" s="48"/>
      <c r="Z368" s="48"/>
      <c r="AA368" s="48"/>
      <c r="AB368" s="48"/>
      <c r="AC368" s="48">
        <v>77</v>
      </c>
    </row>
    <row r="369" spans="1:29">
      <c r="A369" s="48" t="s">
        <v>7</v>
      </c>
      <c r="B369" s="48" t="s">
        <v>7</v>
      </c>
      <c r="C369" s="48" t="s">
        <v>776</v>
      </c>
      <c r="D369" s="48" t="s">
        <v>777</v>
      </c>
      <c r="E369" s="48" t="s">
        <v>90</v>
      </c>
      <c r="F369" s="48">
        <v>1</v>
      </c>
      <c r="G369" s="48" t="s">
        <v>263</v>
      </c>
      <c r="H369" s="48" t="s">
        <v>263</v>
      </c>
      <c r="I369" s="48" t="s">
        <v>263</v>
      </c>
      <c r="J369" s="48" t="s">
        <v>263</v>
      </c>
      <c r="K369" s="48" t="s">
        <v>263</v>
      </c>
      <c r="L369" s="48">
        <v>410</v>
      </c>
      <c r="M369" s="48">
        <v>422</v>
      </c>
      <c r="N369" s="48">
        <v>832</v>
      </c>
      <c r="O369" s="48">
        <v>48</v>
      </c>
      <c r="P369" s="48">
        <v>198</v>
      </c>
      <c r="Q369" s="48">
        <v>112</v>
      </c>
      <c r="R369" s="48">
        <v>64</v>
      </c>
      <c r="S369" s="48">
        <v>56</v>
      </c>
      <c r="T369" s="48">
        <v>210</v>
      </c>
      <c r="U369" s="48">
        <v>96</v>
      </c>
      <c r="V369" s="48">
        <v>48</v>
      </c>
      <c r="W369" s="48"/>
      <c r="X369" s="48"/>
      <c r="Y369" s="48"/>
      <c r="Z369" s="48"/>
      <c r="AA369" s="48"/>
      <c r="AB369" s="48"/>
      <c r="AC369" s="48">
        <v>91</v>
      </c>
    </row>
    <row r="370" spans="1:29">
      <c r="A370" s="48" t="s">
        <v>7</v>
      </c>
      <c r="B370" s="48" t="s">
        <v>7</v>
      </c>
      <c r="C370" s="48" t="s">
        <v>776</v>
      </c>
      <c r="D370" s="48" t="s">
        <v>776</v>
      </c>
      <c r="E370" s="48" t="s">
        <v>90</v>
      </c>
      <c r="F370" s="48">
        <v>2</v>
      </c>
      <c r="G370" s="48" t="s">
        <v>263</v>
      </c>
      <c r="H370" s="48" t="s">
        <v>263</v>
      </c>
      <c r="I370" s="48" t="s">
        <v>263</v>
      </c>
      <c r="J370" s="48" t="s">
        <v>263</v>
      </c>
      <c r="K370" s="48" t="s">
        <v>263</v>
      </c>
      <c r="L370" s="48">
        <v>620</v>
      </c>
      <c r="M370" s="48">
        <v>639</v>
      </c>
      <c r="N370" s="48">
        <v>1259</v>
      </c>
      <c r="O370" s="48">
        <v>58</v>
      </c>
      <c r="P370" s="48">
        <v>339</v>
      </c>
      <c r="Q370" s="48">
        <v>160</v>
      </c>
      <c r="R370" s="48">
        <v>82</v>
      </c>
      <c r="S370" s="48">
        <v>73</v>
      </c>
      <c r="T370" s="48">
        <v>354</v>
      </c>
      <c r="U370" s="48">
        <v>136</v>
      </c>
      <c r="V370" s="48">
        <v>57</v>
      </c>
      <c r="W370" s="48"/>
      <c r="X370" s="48"/>
      <c r="Y370" s="48"/>
      <c r="Z370" s="48"/>
      <c r="AA370" s="48"/>
      <c r="AB370" s="48"/>
      <c r="AC370" s="48">
        <v>91</v>
      </c>
    </row>
    <row r="371" spans="1:29">
      <c r="A371" s="48" t="s">
        <v>7</v>
      </c>
      <c r="B371" s="48" t="s">
        <v>7</v>
      </c>
      <c r="C371" s="48" t="s">
        <v>778</v>
      </c>
      <c r="D371" s="48" t="s">
        <v>778</v>
      </c>
      <c r="E371" s="48" t="s">
        <v>90</v>
      </c>
      <c r="F371" s="48">
        <v>11</v>
      </c>
      <c r="G371" s="48" t="s">
        <v>263</v>
      </c>
      <c r="H371" s="48" t="s">
        <v>263</v>
      </c>
      <c r="I371" s="48" t="s">
        <v>263</v>
      </c>
      <c r="J371" s="48" t="s">
        <v>263</v>
      </c>
      <c r="K371" s="48" t="s">
        <v>263</v>
      </c>
      <c r="L371" s="48">
        <v>4876</v>
      </c>
      <c r="M371" s="48">
        <v>4910</v>
      </c>
      <c r="N371" s="48">
        <v>9787</v>
      </c>
      <c r="O371" s="48">
        <v>402</v>
      </c>
      <c r="P371" s="48">
        <v>2316</v>
      </c>
      <c r="Q371" s="48">
        <v>1364</v>
      </c>
      <c r="R371" s="48">
        <v>828</v>
      </c>
      <c r="S371" s="48">
        <v>501</v>
      </c>
      <c r="T371" s="48">
        <v>2268</v>
      </c>
      <c r="U371" s="48">
        <v>1385</v>
      </c>
      <c r="V371" s="48">
        <v>722</v>
      </c>
      <c r="W371" s="48"/>
      <c r="X371" s="48"/>
      <c r="Y371" s="48"/>
      <c r="Z371" s="48"/>
      <c r="AA371" s="48"/>
      <c r="AB371" s="48"/>
      <c r="AC371" s="48">
        <v>84</v>
      </c>
    </row>
    <row r="372" spans="1:29">
      <c r="A372" s="48" t="s">
        <v>7</v>
      </c>
      <c r="B372" s="48" t="s">
        <v>7</v>
      </c>
      <c r="C372" s="48" t="s">
        <v>134</v>
      </c>
      <c r="D372" s="48" t="s">
        <v>134</v>
      </c>
      <c r="E372" s="48" t="s">
        <v>90</v>
      </c>
      <c r="F372" s="48">
        <v>2</v>
      </c>
      <c r="G372" s="48" t="s">
        <v>263</v>
      </c>
      <c r="H372" s="48" t="s">
        <v>263</v>
      </c>
      <c r="I372" s="48" t="s">
        <v>263</v>
      </c>
      <c r="J372" s="48" t="s">
        <v>263</v>
      </c>
      <c r="K372" s="48" t="s">
        <v>263</v>
      </c>
      <c r="L372" s="48">
        <v>1155</v>
      </c>
      <c r="M372" s="48">
        <v>1172</v>
      </c>
      <c r="N372" s="48">
        <v>2327</v>
      </c>
      <c r="O372" s="48">
        <v>82</v>
      </c>
      <c r="P372" s="48">
        <v>593</v>
      </c>
      <c r="Q372" s="48">
        <v>289</v>
      </c>
      <c r="R372" s="48">
        <v>208</v>
      </c>
      <c r="S372" s="48">
        <v>119</v>
      </c>
      <c r="T372" s="48">
        <v>567</v>
      </c>
      <c r="U372" s="48">
        <v>291</v>
      </c>
      <c r="V372" s="48">
        <v>178</v>
      </c>
      <c r="W372" s="48"/>
      <c r="X372" s="48"/>
      <c r="Y372" s="48"/>
      <c r="Z372" s="48"/>
      <c r="AA372" s="48"/>
      <c r="AB372" s="48"/>
      <c r="AC372" s="48"/>
    </row>
    <row r="373" spans="1:29">
      <c r="A373" s="48" t="s">
        <v>7</v>
      </c>
      <c r="B373" s="48" t="s">
        <v>7</v>
      </c>
      <c r="C373" s="48" t="s">
        <v>779</v>
      </c>
      <c r="D373" s="48" t="s">
        <v>779</v>
      </c>
      <c r="E373" s="48" t="s">
        <v>90</v>
      </c>
      <c r="F373" s="48">
        <v>6</v>
      </c>
      <c r="G373" s="48" t="s">
        <v>780</v>
      </c>
      <c r="H373" s="48" t="s">
        <v>92</v>
      </c>
      <c r="I373" s="48" t="s">
        <v>119</v>
      </c>
      <c r="J373" s="48" t="s">
        <v>94</v>
      </c>
      <c r="K373" s="48">
        <v>9849981456</v>
      </c>
      <c r="L373" s="48">
        <v>2806</v>
      </c>
      <c r="M373" s="48">
        <v>2804</v>
      </c>
      <c r="N373" s="48">
        <v>5611</v>
      </c>
      <c r="O373" s="48">
        <v>148</v>
      </c>
      <c r="P373" s="48">
        <v>1390</v>
      </c>
      <c r="Q373" s="48">
        <v>736</v>
      </c>
      <c r="R373" s="48">
        <v>530</v>
      </c>
      <c r="S373" s="48">
        <v>247</v>
      </c>
      <c r="T373" s="48">
        <v>1397</v>
      </c>
      <c r="U373" s="48">
        <v>708</v>
      </c>
      <c r="V373" s="48">
        <v>453</v>
      </c>
      <c r="W373" s="48"/>
      <c r="X373" s="48"/>
      <c r="Y373" s="48"/>
      <c r="Z373" s="48"/>
      <c r="AA373" s="48"/>
      <c r="AB373" s="48"/>
      <c r="AC373" s="48">
        <v>81</v>
      </c>
    </row>
    <row r="374" spans="1:29">
      <c r="A374" s="48" t="s">
        <v>7</v>
      </c>
      <c r="B374" s="48" t="s">
        <v>7</v>
      </c>
      <c r="C374" s="48" t="s">
        <v>781</v>
      </c>
      <c r="D374" s="48" t="s">
        <v>781</v>
      </c>
      <c r="E374" s="48" t="s">
        <v>90</v>
      </c>
      <c r="F374" s="48">
        <v>4</v>
      </c>
      <c r="G374" s="48" t="s">
        <v>782</v>
      </c>
      <c r="H374" s="48" t="s">
        <v>92</v>
      </c>
      <c r="I374" s="48" t="s">
        <v>97</v>
      </c>
      <c r="J374" s="48" t="s">
        <v>94</v>
      </c>
      <c r="K374" s="48">
        <v>9440693725</v>
      </c>
      <c r="L374" s="48">
        <v>1987</v>
      </c>
      <c r="M374" s="48">
        <v>2016</v>
      </c>
      <c r="N374" s="48">
        <v>4003</v>
      </c>
      <c r="O374" s="48">
        <v>150</v>
      </c>
      <c r="P374" s="48">
        <v>935</v>
      </c>
      <c r="Q374" s="48">
        <v>534</v>
      </c>
      <c r="R374" s="48">
        <v>397</v>
      </c>
      <c r="S374" s="48">
        <v>207</v>
      </c>
      <c r="T374" s="48">
        <v>952</v>
      </c>
      <c r="U374" s="48">
        <v>516</v>
      </c>
      <c r="V374" s="48">
        <v>312</v>
      </c>
      <c r="W374" s="48"/>
      <c r="X374" s="48"/>
      <c r="Y374" s="48"/>
      <c r="Z374" s="48"/>
      <c r="AA374" s="48"/>
      <c r="AB374" s="48"/>
      <c r="AC374" s="48">
        <v>81</v>
      </c>
    </row>
    <row r="375" spans="1:29">
      <c r="A375" s="48" t="s">
        <v>7</v>
      </c>
      <c r="B375" s="48" t="s">
        <v>7</v>
      </c>
      <c r="C375" s="48" t="s">
        <v>425</v>
      </c>
      <c r="D375" s="48" t="s">
        <v>425</v>
      </c>
      <c r="E375" s="48" t="s">
        <v>90</v>
      </c>
      <c r="F375" s="48">
        <v>2</v>
      </c>
      <c r="G375" s="48" t="s">
        <v>783</v>
      </c>
      <c r="H375" s="48" t="s">
        <v>92</v>
      </c>
      <c r="I375" s="48" t="s">
        <v>102</v>
      </c>
      <c r="J375" s="48" t="s">
        <v>139</v>
      </c>
      <c r="K375" s="48">
        <v>9652717165</v>
      </c>
      <c r="L375" s="48">
        <v>843</v>
      </c>
      <c r="M375" s="48">
        <v>829</v>
      </c>
      <c r="N375" s="48">
        <v>1672</v>
      </c>
      <c r="O375" s="48">
        <v>55</v>
      </c>
      <c r="P375" s="48">
        <v>409</v>
      </c>
      <c r="Q375" s="48">
        <v>194</v>
      </c>
      <c r="R375" s="48">
        <v>171</v>
      </c>
      <c r="S375" s="48">
        <v>90</v>
      </c>
      <c r="T375" s="48">
        <v>399</v>
      </c>
      <c r="U375" s="48">
        <v>222</v>
      </c>
      <c r="V375" s="48">
        <v>132</v>
      </c>
      <c r="W375" s="48"/>
      <c r="X375" s="48"/>
      <c r="Y375" s="48"/>
      <c r="Z375" s="48"/>
      <c r="AA375" s="48"/>
      <c r="AB375" s="48"/>
      <c r="AC375" s="48">
        <v>83</v>
      </c>
    </row>
    <row r="376" spans="1:29">
      <c r="A376" s="48" t="s">
        <v>7</v>
      </c>
      <c r="B376" s="48" t="s">
        <v>7</v>
      </c>
      <c r="C376" s="48" t="s">
        <v>579</v>
      </c>
      <c r="D376" s="48" t="s">
        <v>579</v>
      </c>
      <c r="E376" s="48" t="s">
        <v>95</v>
      </c>
      <c r="F376" s="48">
        <v>2</v>
      </c>
      <c r="G376" s="48" t="s">
        <v>784</v>
      </c>
      <c r="H376" s="48" t="s">
        <v>92</v>
      </c>
      <c r="I376" s="48" t="s">
        <v>93</v>
      </c>
      <c r="J376" s="48" t="s">
        <v>165</v>
      </c>
      <c r="K376" s="48">
        <v>9121569932</v>
      </c>
      <c r="L376" s="48">
        <v>773</v>
      </c>
      <c r="M376" s="48">
        <v>788</v>
      </c>
      <c r="N376" s="48">
        <v>1562</v>
      </c>
      <c r="O376" s="48">
        <v>81</v>
      </c>
      <c r="P376" s="48">
        <v>364</v>
      </c>
      <c r="Q376" s="48">
        <v>187</v>
      </c>
      <c r="R376" s="48">
        <v>156</v>
      </c>
      <c r="S376" s="48">
        <v>100</v>
      </c>
      <c r="T376" s="48">
        <v>364</v>
      </c>
      <c r="U376" s="48">
        <v>197</v>
      </c>
      <c r="V376" s="48">
        <v>112</v>
      </c>
      <c r="W376" s="48"/>
      <c r="X376" s="48"/>
      <c r="Y376" s="48"/>
      <c r="Z376" s="48"/>
      <c r="AA376" s="48"/>
      <c r="AB376" s="48"/>
      <c r="AC376" s="48">
        <v>78</v>
      </c>
    </row>
    <row r="377" spans="1:29">
      <c r="A377" s="48" t="s">
        <v>7</v>
      </c>
      <c r="B377" s="48" t="s">
        <v>785</v>
      </c>
      <c r="C377" s="48" t="s">
        <v>785</v>
      </c>
      <c r="D377" s="48" t="s">
        <v>785</v>
      </c>
      <c r="E377" s="48"/>
      <c r="F377" s="48">
        <v>39</v>
      </c>
      <c r="G377" s="48"/>
      <c r="H377" s="48"/>
      <c r="I377" s="48"/>
      <c r="J377" s="48"/>
      <c r="K377" s="48"/>
      <c r="L377" s="48">
        <v>7813</v>
      </c>
      <c r="M377" s="48">
        <v>8601</v>
      </c>
      <c r="N377" s="48">
        <v>28360</v>
      </c>
      <c r="O377" s="48">
        <v>669</v>
      </c>
      <c r="P377" s="48">
        <v>4034</v>
      </c>
      <c r="Q377" s="48">
        <v>2178</v>
      </c>
      <c r="R377" s="48">
        <v>1171</v>
      </c>
      <c r="S377" s="48">
        <v>721</v>
      </c>
      <c r="T377" s="48">
        <v>3711</v>
      </c>
      <c r="U377" s="48">
        <v>1916</v>
      </c>
      <c r="V377" s="48">
        <v>962</v>
      </c>
      <c r="W377" s="48"/>
      <c r="X377" s="48"/>
      <c r="Y377" s="48"/>
      <c r="Z377" s="48"/>
      <c r="AA377" s="48"/>
      <c r="AB377" s="48"/>
      <c r="AC377" s="48"/>
    </row>
    <row r="378" spans="1:29">
      <c r="A378" s="48" t="s">
        <v>10</v>
      </c>
      <c r="B378" s="48" t="s">
        <v>786</v>
      </c>
      <c r="C378" s="48" t="s">
        <v>786</v>
      </c>
      <c r="D378" s="48" t="s">
        <v>786</v>
      </c>
      <c r="E378" s="48"/>
      <c r="F378" s="48">
        <v>43</v>
      </c>
      <c r="G378" s="48"/>
      <c r="H378" s="48"/>
      <c r="I378" s="48"/>
      <c r="J378" s="48"/>
      <c r="K378" s="48"/>
      <c r="L378" s="48">
        <v>20936</v>
      </c>
      <c r="M378" s="48">
        <v>22426</v>
      </c>
      <c r="N378" s="48">
        <v>43362</v>
      </c>
      <c r="O378" s="48">
        <v>1552</v>
      </c>
      <c r="P378" s="48">
        <v>10945</v>
      </c>
      <c r="Q378" s="48">
        <v>6255</v>
      </c>
      <c r="R378" s="48">
        <v>3674</v>
      </c>
      <c r="S378" s="48">
        <v>1743</v>
      </c>
      <c r="T378" s="48">
        <v>10434</v>
      </c>
      <c r="U378" s="48">
        <v>5590</v>
      </c>
      <c r="V378" s="48">
        <v>3169</v>
      </c>
      <c r="W378" s="48"/>
      <c r="X378" s="48"/>
      <c r="Y378" s="48"/>
      <c r="Z378" s="48"/>
      <c r="AA378" s="48"/>
      <c r="AB378" s="48"/>
      <c r="AC378" s="48"/>
    </row>
    <row r="379" spans="1:29">
      <c r="A379" s="48" t="s">
        <v>10</v>
      </c>
      <c r="B379" s="48" t="s">
        <v>787</v>
      </c>
      <c r="C379" s="48" t="s">
        <v>787</v>
      </c>
      <c r="D379" s="48" t="s">
        <v>787</v>
      </c>
      <c r="E379" s="48"/>
      <c r="F379" s="48">
        <v>18</v>
      </c>
      <c r="G379" s="48"/>
      <c r="H379" s="48"/>
      <c r="I379" s="48"/>
      <c r="J379" s="48"/>
      <c r="K379" s="48"/>
      <c r="L379" s="48">
        <v>10362</v>
      </c>
      <c r="M379" s="48">
        <v>10173</v>
      </c>
      <c r="N379" s="48">
        <v>20535</v>
      </c>
      <c r="O379" s="48">
        <v>643</v>
      </c>
      <c r="P379" s="48">
        <v>5143</v>
      </c>
      <c r="Q379" s="48">
        <v>2678</v>
      </c>
      <c r="R379" s="48">
        <v>1709</v>
      </c>
      <c r="S379" s="48">
        <v>803</v>
      </c>
      <c r="T379" s="48">
        <v>5309</v>
      </c>
      <c r="U379" s="48">
        <v>2604</v>
      </c>
      <c r="V379" s="48">
        <v>1646</v>
      </c>
      <c r="W379" s="48"/>
      <c r="X379" s="48"/>
      <c r="Y379" s="48"/>
      <c r="Z379" s="48"/>
      <c r="AA379" s="48"/>
      <c r="AB379" s="48"/>
      <c r="AC379" s="48"/>
    </row>
    <row r="380" spans="1:29">
      <c r="A380" s="48" t="s">
        <v>8</v>
      </c>
      <c r="B380" s="48" t="s">
        <v>788</v>
      </c>
      <c r="C380" s="48" t="s">
        <v>788</v>
      </c>
      <c r="D380" s="48" t="s">
        <v>788</v>
      </c>
      <c r="E380" s="48"/>
      <c r="F380" s="48">
        <v>22</v>
      </c>
      <c r="G380" s="48"/>
      <c r="H380" s="48"/>
      <c r="I380" s="48"/>
      <c r="J380" s="48"/>
      <c r="K380" s="48"/>
      <c r="L380" s="48">
        <v>266</v>
      </c>
      <c r="M380" s="48">
        <v>286</v>
      </c>
      <c r="N380" s="48">
        <v>23412</v>
      </c>
      <c r="O380" s="48">
        <v>2</v>
      </c>
      <c r="P380" s="48">
        <v>2</v>
      </c>
      <c r="Q380" s="48">
        <v>1</v>
      </c>
      <c r="R380" s="48">
        <v>0</v>
      </c>
      <c r="S380" s="48">
        <v>1</v>
      </c>
      <c r="T380" s="48">
        <v>0</v>
      </c>
      <c r="U380" s="48">
        <v>1</v>
      </c>
      <c r="V380" s="48">
        <v>0</v>
      </c>
      <c r="W380" s="48"/>
      <c r="X380" s="48"/>
      <c r="Y380" s="48"/>
      <c r="Z380" s="48"/>
      <c r="AA380" s="48"/>
      <c r="AB380" s="48"/>
      <c r="AC380" s="48"/>
    </row>
    <row r="381" spans="1:29">
      <c r="A381" s="48" t="s">
        <v>15</v>
      </c>
      <c r="B381" s="48" t="s">
        <v>789</v>
      </c>
      <c r="C381" s="48" t="s">
        <v>789</v>
      </c>
      <c r="D381" s="48" t="s">
        <v>789</v>
      </c>
      <c r="E381" s="48"/>
      <c r="F381" s="48">
        <v>35</v>
      </c>
      <c r="G381" s="48"/>
      <c r="H381" s="48"/>
      <c r="I381" s="48"/>
      <c r="J381" s="48"/>
      <c r="K381" s="48"/>
      <c r="L381" s="48">
        <v>19071</v>
      </c>
      <c r="M381" s="48">
        <v>20479</v>
      </c>
      <c r="N381" s="48">
        <v>40513</v>
      </c>
      <c r="O381" s="48">
        <v>1224</v>
      </c>
      <c r="P381" s="48">
        <v>9518</v>
      </c>
      <c r="Q381" s="48">
        <v>5405</v>
      </c>
      <c r="R381" s="48">
        <v>3863</v>
      </c>
      <c r="S381" s="48">
        <v>1397</v>
      </c>
      <c r="T381" s="48">
        <v>9046</v>
      </c>
      <c r="U381" s="48">
        <v>4867</v>
      </c>
      <c r="V381" s="48">
        <v>3331</v>
      </c>
      <c r="W381" s="48"/>
      <c r="X381" s="48"/>
      <c r="Y381" s="48"/>
      <c r="Z381" s="48"/>
      <c r="AA381" s="48"/>
      <c r="AB381" s="48"/>
      <c r="AC381" s="48"/>
    </row>
    <row r="382" spans="1:29">
      <c r="A382" s="48" t="s">
        <v>15</v>
      </c>
      <c r="B382" s="48" t="s">
        <v>790</v>
      </c>
      <c r="C382" s="48" t="s">
        <v>790</v>
      </c>
      <c r="D382" s="48" t="s">
        <v>790</v>
      </c>
      <c r="E382" s="48"/>
      <c r="F382" s="48">
        <v>37</v>
      </c>
      <c r="G382" s="48"/>
      <c r="H382" s="48"/>
      <c r="I382" s="48"/>
      <c r="J382" s="48"/>
      <c r="K382" s="48"/>
      <c r="L382" s="48">
        <v>19526</v>
      </c>
      <c r="M382" s="48">
        <v>20560</v>
      </c>
      <c r="N382" s="48">
        <v>41293</v>
      </c>
      <c r="O382" s="48">
        <v>1526</v>
      </c>
      <c r="P382" s="48">
        <v>9921</v>
      </c>
      <c r="Q382" s="48">
        <v>5657</v>
      </c>
      <c r="R382" s="48">
        <v>3446</v>
      </c>
      <c r="S382" s="48">
        <v>1712</v>
      </c>
      <c r="T382" s="48">
        <v>9575</v>
      </c>
      <c r="U382" s="48">
        <v>5098</v>
      </c>
      <c r="V382" s="48">
        <v>3135</v>
      </c>
      <c r="W382" s="48"/>
      <c r="X382" s="48"/>
      <c r="Y382" s="48"/>
      <c r="Z382" s="48"/>
      <c r="AA382" s="48"/>
      <c r="AB382" s="48"/>
      <c r="AC382" s="48"/>
    </row>
    <row r="383" spans="1:29">
      <c r="A383" s="48" t="s">
        <v>791</v>
      </c>
      <c r="B383" s="48" t="s">
        <v>792</v>
      </c>
      <c r="C383" s="48" t="s">
        <v>792</v>
      </c>
      <c r="D383" s="48" t="s">
        <v>792</v>
      </c>
      <c r="E383" s="48"/>
      <c r="F383" s="48">
        <v>233</v>
      </c>
      <c r="G383" s="48"/>
      <c r="H383" s="48"/>
      <c r="I383" s="48"/>
      <c r="J383" s="48"/>
      <c r="K383" s="48"/>
      <c r="L383" s="48">
        <v>0</v>
      </c>
      <c r="M383" s="48">
        <v>0</v>
      </c>
      <c r="N383" s="48">
        <v>0</v>
      </c>
      <c r="O383" s="48">
        <v>0</v>
      </c>
      <c r="P383" s="48">
        <v>0</v>
      </c>
      <c r="Q383" s="48">
        <v>0</v>
      </c>
      <c r="R383" s="48">
        <v>0</v>
      </c>
      <c r="S383" s="48">
        <v>0</v>
      </c>
      <c r="T383" s="48">
        <v>0</v>
      </c>
      <c r="U383" s="48">
        <v>0</v>
      </c>
      <c r="V383" s="48">
        <v>0</v>
      </c>
      <c r="W383" s="48"/>
      <c r="X383" s="48"/>
      <c r="Y383" s="48"/>
      <c r="Z383" s="48"/>
      <c r="AA383" s="48"/>
      <c r="AB383" s="48"/>
      <c r="AC383" s="48"/>
    </row>
    <row r="384" spans="1:29">
      <c r="A384" s="48" t="s">
        <v>793</v>
      </c>
      <c r="B384" s="48" t="s">
        <v>792</v>
      </c>
      <c r="C384" s="48" t="s">
        <v>792</v>
      </c>
      <c r="D384" s="48" t="s">
        <v>792</v>
      </c>
      <c r="E384" s="48"/>
      <c r="F384" s="48">
        <v>29</v>
      </c>
      <c r="G384" s="48"/>
      <c r="H384" s="48"/>
      <c r="I384" s="48"/>
      <c r="J384" s="48"/>
      <c r="K384" s="48"/>
      <c r="L384" s="48">
        <v>0</v>
      </c>
      <c r="M384" s="48">
        <v>0</v>
      </c>
      <c r="N384" s="48">
        <v>0</v>
      </c>
      <c r="O384" s="48">
        <v>0</v>
      </c>
      <c r="P384" s="48">
        <v>0</v>
      </c>
      <c r="Q384" s="48">
        <v>0</v>
      </c>
      <c r="R384" s="48">
        <v>0</v>
      </c>
      <c r="S384" s="48">
        <v>0</v>
      </c>
      <c r="T384" s="48">
        <v>0</v>
      </c>
      <c r="U384" s="48">
        <v>0</v>
      </c>
      <c r="V384" s="48">
        <v>0</v>
      </c>
      <c r="W384" s="48"/>
      <c r="X384" s="48"/>
      <c r="Y384" s="48"/>
      <c r="Z384" s="48"/>
      <c r="AA384" s="48"/>
      <c r="AB384" s="48"/>
      <c r="AC384" s="48"/>
    </row>
    <row r="385" spans="1:29">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row>
    <row r="386" spans="1:29">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row>
    <row r="387" spans="1:29">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row>
    <row r="388" spans="1:29">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row>
    <row r="389" spans="1:2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row>
    <row r="390" spans="1:29">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row>
    <row r="391" spans="1:29">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row>
    <row r="392" spans="1:29">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row>
    <row r="393" spans="1:29">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row>
    <row r="394" spans="1:29">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row>
    <row r="395" spans="1:29">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row>
    <row r="396" spans="1:29">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row>
    <row r="397" spans="1:29">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row>
    <row r="398" spans="1:29">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row>
    <row r="399" spans="1:2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row>
    <row r="400" spans="1:29">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row>
    <row r="401" spans="1:29">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row>
    <row r="402" spans="1:29">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row>
    <row r="403" spans="1:29">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row>
    <row r="404" spans="1:29">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row>
    <row r="405" spans="1:29">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row>
    <row r="406" spans="1:29">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row>
    <row r="407" spans="1:29">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row>
    <row r="408" spans="1:29">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row>
    <row r="409" spans="1:2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row>
    <row r="410" spans="1:29">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row>
    <row r="411" spans="1:29">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row>
    <row r="412" spans="1:29">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row>
    <row r="413" spans="1:29">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row>
    <row r="414" spans="1:29">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row>
    <row r="415" spans="1:29">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row>
    <row r="416" spans="1:29">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row>
    <row r="417" spans="1:29">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row>
    <row r="418" spans="1:29">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row>
    <row r="419" spans="1:2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row>
    <row r="420" spans="1:29">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row>
    <row r="421" spans="1:29">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row>
    <row r="422" spans="1:29">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row>
    <row r="423" spans="1:29">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row>
    <row r="424" spans="1:29">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row>
    <row r="425" spans="1:29">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row>
    <row r="426" spans="1:29">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row>
    <row r="427" spans="1:29">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row>
    <row r="428" spans="1:29">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row>
    <row r="429" spans="1: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row>
    <row r="430" spans="1:29">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row>
    <row r="431" spans="1:29">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row>
    <row r="432" spans="1:29">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row>
    <row r="433" spans="1:29">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row>
    <row r="434" spans="1:29">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row>
    <row r="435" spans="1:29">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row>
    <row r="436" spans="1:29">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row>
    <row r="437" spans="1:29">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row>
    <row r="438" spans="1:29">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row>
    <row r="439" spans="1:2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row>
    <row r="440" spans="1:29">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row>
    <row r="441" spans="1:29">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row>
    <row r="442" spans="1:29">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row>
    <row r="443" spans="1:29">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row>
    <row r="444" spans="1:29">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row>
    <row r="445" spans="1:29">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row>
    <row r="446" spans="1:29">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row>
    <row r="447" spans="1:29">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row>
    <row r="448" spans="1:29">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row>
    <row r="449" spans="1:2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row>
    <row r="450" spans="1:29">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row>
    <row r="451" spans="1:29">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row>
    <row r="452" spans="1:29">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row>
    <row r="453" spans="1:29">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row>
    <row r="454" spans="1:29">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row>
    <row r="455" spans="1:29">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row>
    <row r="456" spans="1:29">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row>
    <row r="457" spans="1:29">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row>
    <row r="458" spans="1:29">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row>
    <row r="459" spans="1:2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row>
    <row r="460" spans="1:29">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row>
    <row r="461" spans="1:29">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row>
    <row r="462" spans="1:29">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row>
    <row r="463" spans="1:29">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row>
    <row r="464" spans="1:29">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row>
    <row r="465" spans="1:29">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row>
    <row r="466" spans="1:29">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row>
    <row r="467" spans="1:29">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row>
    <row r="468" spans="1:29">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row>
    <row r="469" spans="1:2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row>
    <row r="470" spans="1:29">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row>
    <row r="471" spans="1:29">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row>
    <row r="472" spans="1:29">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row>
    <row r="473" spans="1:29">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row>
    <row r="474" spans="1:29">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row>
    <row r="475" spans="1:29">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row>
    <row r="476" spans="1:29">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row>
    <row r="477" spans="1:29">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row>
    <row r="478" spans="1:29">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row>
    <row r="479" spans="1:2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row>
    <row r="480" spans="1:29">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row>
    <row r="481" spans="1:29">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row>
    <row r="482" spans="1:29">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row>
    <row r="483" spans="1:29">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row>
    <row r="484" spans="1:29">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row>
    <row r="485" spans="1:29">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row>
    <row r="486" spans="1:29">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row>
    <row r="487" spans="1:29">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row>
    <row r="488" spans="1:29">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row>
    <row r="489" spans="1:2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row>
    <row r="490" spans="1:29">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row>
    <row r="491" spans="1:29">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row>
    <row r="492" spans="1:29">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row>
    <row r="493" spans="1:29">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row>
    <row r="494" spans="1:29">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row>
    <row r="495" spans="1:29">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row>
    <row r="496" spans="1:29">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row>
    <row r="497" spans="1:29">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row>
    <row r="498" spans="1:29">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row>
    <row r="499" spans="1:2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row>
    <row r="500" spans="1:29">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row>
    <row r="501" spans="1:29">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row>
    <row r="502" spans="1:29">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row>
    <row r="503" spans="1:29">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row>
    <row r="504" spans="1:29">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row>
    <row r="505" spans="1:29">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row>
    <row r="506" spans="1:29">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row>
    <row r="507" spans="1:29">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row>
    <row r="508" spans="1:29">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row>
    <row r="509" spans="1:2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row>
    <row r="510" spans="1:29">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row>
    <row r="511" spans="1:29">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row>
    <row r="512" spans="1:29">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row>
    <row r="513" spans="1:29">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row>
    <row r="514" spans="1:29">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row>
    <row r="515" spans="1:29">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row>
    <row r="516" spans="1:29">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row>
    <row r="517" spans="1:29">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row>
    <row r="518" spans="1:29">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row>
    <row r="519" spans="1:2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row>
    <row r="520" spans="1:29">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row>
    <row r="521" spans="1:29">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row>
    <row r="522" spans="1:29">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row>
    <row r="523" spans="1:29">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row>
    <row r="524" spans="1:29">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row>
    <row r="525" spans="1:29">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row>
    <row r="526" spans="1:29">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row>
    <row r="527" spans="1:29">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row>
    <row r="528" spans="1:29">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row>
    <row r="529" spans="1: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row>
    <row r="530" spans="1:29">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row>
    <row r="531" spans="1:29">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row>
    <row r="532" spans="1:29">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row>
    <row r="533" spans="1:29">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row>
    <row r="534" spans="1:29">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row>
    <row r="535" spans="1:29">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row>
    <row r="536" spans="1:29">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row>
    <row r="537" spans="1:29">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row>
    <row r="538" spans="1:29">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row>
    <row r="539" spans="1:2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row>
    <row r="540" spans="1:29">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row>
    <row r="541" spans="1:29">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row>
    <row r="542" spans="1:29">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row>
    <row r="543" spans="1:29">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row>
    <row r="544" spans="1:29">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row>
    <row r="545" spans="1:29">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row>
    <row r="546" spans="1:29">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row>
    <row r="547" spans="1:29">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row>
    <row r="548" spans="1:29">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row>
    <row r="549" spans="1:2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row>
    <row r="550" spans="1:29">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row>
    <row r="551" spans="1:29">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row>
    <row r="552" spans="1:29">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row>
    <row r="553" spans="1:29">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row>
    <row r="554" spans="1:29">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row>
    <row r="555" spans="1:29">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row>
    <row r="556" spans="1:29">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row>
    <row r="557" spans="1:29">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row>
    <row r="558" spans="1:29">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row>
    <row r="559" spans="1:2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row>
    <row r="560" spans="1:29">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row>
    <row r="561" spans="1:29">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row>
    <row r="562" spans="1:29">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row>
    <row r="563" spans="1:29">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spans="1:29">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row>
    <row r="565" spans="1:29">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row>
    <row r="566" spans="1:29">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row>
    <row r="567" spans="1:29">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row>
    <row r="568" spans="1:29">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row>
    <row r="569" spans="1:2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row>
    <row r="570" spans="1:29">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row>
    <row r="571" spans="1:29">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row>
    <row r="572" spans="1:29">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row>
    <row r="573" spans="1:29">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row>
    <row r="574" spans="1:29">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row>
    <row r="575" spans="1:29">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row>
    <row r="576" spans="1:29">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row>
    <row r="577" spans="1:29">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row>
    <row r="578" spans="1:29">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row>
    <row r="579" spans="1:2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row>
    <row r="580" spans="1:29">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row>
    <row r="581" spans="1:29">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row>
    <row r="582" spans="1:29">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row>
    <row r="583" spans="1:29">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row>
    <row r="584" spans="1:29">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row>
    <row r="585" spans="1:29">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row>
    <row r="586" spans="1:29">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row>
    <row r="587" spans="1:29">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row>
    <row r="588" spans="1:29">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row>
    <row r="589" spans="1:2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row>
    <row r="590" spans="1:29">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row>
    <row r="591" spans="1:29">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row>
    <row r="592" spans="1:29">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row>
    <row r="593" spans="1:29">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row>
    <row r="594" spans="1:29">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row>
    <row r="595" spans="1:29">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row>
    <row r="596" spans="1:29">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row>
    <row r="597" spans="1:29">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row>
    <row r="598" spans="1:29">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row>
    <row r="599" spans="1:2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row>
    <row r="600" spans="1:29">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row>
    <row r="601" spans="1:29">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row>
    <row r="602" spans="1:29">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row>
    <row r="603" spans="1:29">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row>
    <row r="604" spans="1:29">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row>
    <row r="605" spans="1:29">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row>
    <row r="606" spans="1:29">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row>
    <row r="607" spans="1:29">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row>
    <row r="608" spans="1:29">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row>
    <row r="609" spans="1:2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row>
    <row r="610" spans="1:29">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row>
    <row r="611" spans="1:29">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row>
    <row r="612" spans="1:29">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row>
    <row r="613" spans="1:29">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row>
    <row r="614" spans="1:29">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row>
    <row r="615" spans="1:29">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row>
    <row r="616" spans="1:29">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row>
    <row r="617" spans="1:29">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row>
    <row r="618" spans="1:29">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row>
    <row r="619" spans="1:2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row>
    <row r="620" spans="1:29">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row>
    <row r="621" spans="1:29">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row>
    <row r="622" spans="1:29">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row>
    <row r="623" spans="1:29">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row>
    <row r="624" spans="1:29">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row>
    <row r="625" spans="1:29">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row>
    <row r="626" spans="1:29">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row>
    <row r="627" spans="1:29">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row>
    <row r="628" spans="1:29">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row>
    <row r="629" spans="1: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row>
    <row r="630" spans="1:29">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row>
    <row r="631" spans="1:29">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row>
    <row r="632" spans="1:29">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row>
    <row r="633" spans="1:29">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row>
    <row r="634" spans="1:29">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row>
    <row r="635" spans="1:29">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row>
    <row r="636" spans="1:29">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row>
    <row r="637" spans="1:29">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row>
    <row r="638" spans="1:29">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row>
    <row r="639" spans="1:2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row>
    <row r="640" spans="1:29">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row>
    <row r="641" spans="1:29">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row>
    <row r="642" spans="1:29">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row>
    <row r="643" spans="1:29">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row>
    <row r="644" spans="1:29">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row>
    <row r="645" spans="1:29">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row>
    <row r="646" spans="1:29">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row>
    <row r="647" spans="1:29">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row>
    <row r="648" spans="1:29">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row>
    <row r="649" spans="1:2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row>
    <row r="650" spans="1:29">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row>
    <row r="651" spans="1:29">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row>
    <row r="652" spans="1:29">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row>
    <row r="653" spans="1:29">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row>
    <row r="654" spans="1:29">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row>
    <row r="655" spans="1:29">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row>
    <row r="656" spans="1:29">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row>
    <row r="657" spans="1:29">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row>
    <row r="658" spans="1:29">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row>
    <row r="659" spans="1:2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row>
    <row r="660" spans="1:29">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row>
    <row r="661" spans="1:29">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row>
    <row r="662" spans="1:29">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row>
    <row r="663" spans="1:29">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row>
    <row r="664" spans="1:29">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row>
    <row r="665" spans="1:29">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row>
    <row r="666" spans="1:29">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row>
    <row r="667" spans="1:29">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row>
    <row r="668" spans="1:29">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row>
    <row r="669" spans="1:2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row>
    <row r="670" spans="1:29">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row>
    <row r="671" spans="1:29">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row>
    <row r="672" spans="1:29">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row>
    <row r="673" spans="1:29">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row>
    <row r="674" spans="1:29">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row>
    <row r="675" spans="1:29">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row>
    <row r="676" spans="1:29">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row>
    <row r="677" spans="1:29">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row>
    <row r="678" spans="1:29">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row>
    <row r="679" spans="1:2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row>
    <row r="680" spans="1:29">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row>
    <row r="681" spans="1:29">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row>
    <row r="682" spans="1:29">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row>
    <row r="683" spans="1:29">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row>
    <row r="684" spans="1:29">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row>
    <row r="685" spans="1:29">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row>
    <row r="686" spans="1:29">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row>
    <row r="687" spans="1:29">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row>
    <row r="688" spans="1:29">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row>
    <row r="689" spans="1:2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row>
    <row r="690" spans="1:29">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row>
    <row r="691" spans="1:29">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row>
    <row r="692" spans="1:29">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row>
    <row r="693" spans="1:29">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row>
    <row r="694" spans="1:29">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spans="1:29">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spans="1:29">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spans="1:29">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spans="1:29">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row>
    <row r="699" spans="1:2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row>
    <row r="700" spans="1:29">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row>
    <row r="701" spans="1:29">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row>
    <row r="702" spans="1:29">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row>
    <row r="703" spans="1:29">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row>
    <row r="704" spans="1:29">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row>
    <row r="705" spans="1:29">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row>
    <row r="706" spans="1:29">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row>
    <row r="707" spans="1:29">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row>
    <row r="708" spans="1:29">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row>
    <row r="709" spans="1:2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row>
    <row r="710" spans="1:29">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row>
    <row r="711" spans="1:29">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row>
    <row r="712" spans="1:29">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row>
    <row r="713" spans="1:29">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row>
    <row r="714" spans="1:29">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row>
    <row r="715" spans="1:29">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row>
    <row r="716" spans="1:29">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row>
    <row r="717" spans="1:29">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row>
    <row r="718" spans="1:29">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row>
    <row r="719" spans="1:2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row>
    <row r="720" spans="1:29">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row>
    <row r="721" spans="1:29">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row>
    <row r="722" spans="1:29">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row>
    <row r="723" spans="1:29">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row>
    <row r="724" spans="1:29">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row>
    <row r="725" spans="1:29">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row>
    <row r="726" spans="1:29">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row>
    <row r="727" spans="1:29">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row>
    <row r="728" spans="1:29">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row>
    <row r="729" spans="1: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row>
    <row r="730" spans="1:29">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row>
    <row r="731" spans="1:29">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row>
    <row r="732" spans="1:29">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row>
    <row r="733" spans="1:29">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row>
    <row r="734" spans="1:29">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row>
    <row r="735" spans="1:29">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row>
    <row r="736" spans="1:29">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row>
    <row r="737" spans="1:29">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row>
    <row r="738" spans="1:29">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row>
    <row r="739" spans="1:2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row>
    <row r="740" spans="1:29">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row>
    <row r="741" spans="1:29">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row>
    <row r="742" spans="1:29">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row>
    <row r="743" spans="1:29">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row>
    <row r="744" spans="1:29">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row>
    <row r="745" spans="1:29">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row>
    <row r="746" spans="1:29">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row>
    <row r="747" spans="1:29">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row>
    <row r="748" spans="1:29">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row>
    <row r="749" spans="1:2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row>
    <row r="750" spans="1:29">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row>
    <row r="751" spans="1:29">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row>
    <row r="752" spans="1:29">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row>
    <row r="753" spans="1:29">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row>
    <row r="754" spans="1:29">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row>
    <row r="755" spans="1:29">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row>
    <row r="756" spans="1:29">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row>
    <row r="757" spans="1:29">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row>
    <row r="758" spans="1:29">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row>
    <row r="759" spans="1:2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row>
    <row r="760" spans="1:29">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row>
    <row r="761" spans="1:29">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row>
    <row r="762" spans="1:29">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row>
    <row r="763" spans="1:29">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row>
    <row r="764" spans="1:29">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row>
    <row r="765" spans="1:29">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row>
    <row r="766" spans="1:29">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row>
    <row r="767" spans="1:29">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row>
    <row r="768" spans="1:29">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row>
    <row r="769" spans="1:2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row>
    <row r="770" spans="1:29">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row>
    <row r="771" spans="1:29">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row>
    <row r="772" spans="1:29">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row>
    <row r="773" spans="1:29">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row>
    <row r="774" spans="1:29">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row>
    <row r="775" spans="1:29">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row>
    <row r="776" spans="1:29">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row>
    <row r="777" spans="1:29">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row>
    <row r="778" spans="1:29">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row>
    <row r="779" spans="1:2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row>
    <row r="780" spans="1:29">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row>
    <row r="781" spans="1:29">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row>
    <row r="782" spans="1:29">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row>
    <row r="783" spans="1:29">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row>
    <row r="784" spans="1:29">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row>
    <row r="785" spans="1:29">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row>
    <row r="786" spans="1:29">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row>
    <row r="787" spans="1:29">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row>
    <row r="788" spans="1:29">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row>
    <row r="789" spans="1:2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row>
    <row r="790" spans="1:29">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row>
    <row r="791" spans="1:29">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row>
    <row r="792" spans="1:29">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row>
    <row r="793" spans="1:29">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row>
    <row r="794" spans="1:29">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row>
    <row r="795" spans="1:29">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row>
    <row r="796" spans="1:29">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row>
    <row r="797" spans="1:29">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row>
    <row r="798" spans="1:29">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row>
    <row r="799" spans="1:2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row>
    <row r="800" spans="1:29">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row>
    <row r="801" spans="1:29">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row>
    <row r="802" spans="1:29">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row>
    <row r="803" spans="1:29">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row>
    <row r="804" spans="1:29">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row>
    <row r="805" spans="1:29">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row>
    <row r="806" spans="1:29">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row>
    <row r="807" spans="1:29">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row>
    <row r="808" spans="1:29">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row>
    <row r="809" spans="1:2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row>
    <row r="810" spans="1:29">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row>
    <row r="811" spans="1:29">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row>
    <row r="812" spans="1:29">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row>
    <row r="813" spans="1:29">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row>
    <row r="814" spans="1:29">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row>
    <row r="815" spans="1:29">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row>
    <row r="816" spans="1:29">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row>
    <row r="817" spans="1:29">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row>
    <row r="818" spans="1:29">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row>
    <row r="819" spans="1:2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row>
    <row r="820" spans="1:29">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row>
    <row r="821" spans="1:29">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row>
    <row r="822" spans="1:29">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row>
    <row r="823" spans="1:29">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row>
    <row r="824" spans="1:29">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row>
    <row r="825" spans="1:29">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row>
    <row r="826" spans="1:29">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row>
    <row r="827" spans="1:29">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row>
    <row r="828" spans="1:29">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row>
    <row r="829" spans="1: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row>
    <row r="830" spans="1:29">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row>
    <row r="831" spans="1:29">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row>
    <row r="832" spans="1:29">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row>
    <row r="833" spans="1:29">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row>
    <row r="834" spans="1:29">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row>
    <row r="835" spans="1:29">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row>
    <row r="836" spans="1:29">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row>
    <row r="837" spans="1:29">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row>
    <row r="838" spans="1:29">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row>
    <row r="839" spans="1:2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row>
    <row r="840" spans="1:29">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row>
    <row r="841" spans="1:29">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row>
    <row r="842" spans="1:29">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row>
    <row r="843" spans="1:29">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row>
    <row r="844" spans="1:29">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row>
    <row r="845" spans="1:29">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row>
    <row r="846" spans="1:29">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row>
    <row r="847" spans="1:29">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row>
    <row r="848" spans="1:29">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row>
    <row r="849" spans="1:2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row>
    <row r="850" spans="1:29">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row>
    <row r="851" spans="1:29">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row>
    <row r="852" spans="1:29">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row>
    <row r="853" spans="1:29">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row>
    <row r="854" spans="1:29">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row>
    <row r="855" spans="1:29">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row>
    <row r="856" spans="1:29">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row>
    <row r="857" spans="1:29">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row>
    <row r="858" spans="1:29">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row>
    <row r="859" spans="1:2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row>
    <row r="860" spans="1:29">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row>
    <row r="861" spans="1:29">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row>
    <row r="862" spans="1:29">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row>
    <row r="863" spans="1:29">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row>
    <row r="864" spans="1:29">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row>
    <row r="865" spans="1:29">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row>
    <row r="866" spans="1:29">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row>
    <row r="867" spans="1:29">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row>
    <row r="868" spans="1:29">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row>
    <row r="869" spans="1:2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row>
    <row r="870" spans="1:29">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row>
    <row r="871" spans="1:29">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row>
    <row r="872" spans="1:29">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row>
    <row r="873" spans="1:29">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row>
    <row r="874" spans="1:29">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row>
    <row r="875" spans="1:29">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row>
    <row r="876" spans="1:29">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row>
    <row r="877" spans="1:29">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row>
    <row r="878" spans="1:29">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row>
    <row r="879" spans="1:2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row>
    <row r="880" spans="1:29">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row>
    <row r="881" spans="1:29">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row>
    <row r="882" spans="1:29">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row>
    <row r="883" spans="1:29">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row>
    <row r="884" spans="1:29">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row>
    <row r="885" spans="1:29">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row>
    <row r="886" spans="1:29">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row>
    <row r="887" spans="1:29">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row>
    <row r="888" spans="1:29">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row>
    <row r="889" spans="1:2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row>
    <row r="890" spans="1:29">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row>
    <row r="891" spans="1:29">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row>
    <row r="892" spans="1:29">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row>
    <row r="893" spans="1:29">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row>
    <row r="894" spans="1:29">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row>
    <row r="895" spans="1:29">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row>
    <row r="896" spans="1:29">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row>
    <row r="897" spans="1:29">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row>
    <row r="898" spans="1:29">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row>
    <row r="899" spans="1:2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row>
    <row r="900" spans="1:29">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row>
    <row r="901" spans="1:29">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row>
    <row r="902" spans="1:29">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row>
    <row r="903" spans="1:29">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row>
    <row r="904" spans="1:29">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row>
    <row r="905" spans="1:29">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row>
    <row r="906" spans="1:29">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row>
    <row r="907" spans="1:29">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row>
    <row r="908" spans="1:29">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row>
    <row r="909" spans="1:2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row>
    <row r="910" spans="1:29">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row>
    <row r="911" spans="1:29">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row>
    <row r="912" spans="1:29">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row>
    <row r="913" spans="1:29">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row>
    <row r="914" spans="1:29">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row>
    <row r="915" spans="1:29">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row>
    <row r="916" spans="1:29">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row>
    <row r="917" spans="1:29">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row>
    <row r="918" spans="1:29">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row>
    <row r="919" spans="1:2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row>
    <row r="920" spans="1:29">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row>
    <row r="921" spans="1:29">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row>
    <row r="922" spans="1:29">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row>
    <row r="923" spans="1:29">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row>
    <row r="924" spans="1:29">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row>
    <row r="925" spans="1:29">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row>
    <row r="926" spans="1:29">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row>
    <row r="927" spans="1:29">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row>
    <row r="928" spans="1:29">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row>
    <row r="929" spans="1: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row>
    <row r="930" spans="1:29">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row>
    <row r="931" spans="1:29">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row>
    <row r="932" spans="1:29">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row>
    <row r="933" spans="1:29">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row>
    <row r="934" spans="1:29">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row>
    <row r="935" spans="1:29">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row>
    <row r="936" spans="1:29">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row>
    <row r="937" spans="1:29">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row>
    <row r="938" spans="1:29">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row>
    <row r="939" spans="1:2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row>
    <row r="940" spans="1:29">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row>
    <row r="941" spans="1:29">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row>
    <row r="942" spans="1:29">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row>
    <row r="943" spans="1:29">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row>
    <row r="944" spans="1:29">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row>
    <row r="945" spans="1:29">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row>
    <row r="946" spans="1:29">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row>
    <row r="947" spans="1:29">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row>
    <row r="948" spans="1:29">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row>
    <row r="949" spans="1:2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row>
    <row r="950" spans="1:29">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row>
    <row r="951" spans="1:29">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row>
    <row r="952" spans="1:29">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row>
    <row r="953" spans="1:29">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row>
    <row r="954" spans="1:29">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row>
    <row r="955" spans="1:29">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row>
    <row r="956" spans="1:29">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row>
    <row r="957" spans="1:29">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row>
    <row r="958" spans="1:29">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row>
    <row r="959" spans="1:2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row>
    <row r="960" spans="1:29">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row>
    <row r="961" spans="1:29">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row>
    <row r="962" spans="1:29">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row>
    <row r="963" spans="1:29">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row>
    <row r="964" spans="1:29">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row>
    <row r="965" spans="1:29">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row>
    <row r="966" spans="1:29">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row>
    <row r="967" spans="1:29">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row>
    <row r="968" spans="1:29">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row>
    <row r="969" spans="1:2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row>
    <row r="970" spans="1:29">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row>
    <row r="971" spans="1:29">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row>
    <row r="972" spans="1:29">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row>
    <row r="973" spans="1:29">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row>
    <row r="974" spans="1:29">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row>
    <row r="975" spans="1:29">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row>
    <row r="976" spans="1:29">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row>
    <row r="977" spans="1:29">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row>
    <row r="978" spans="1:29">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row>
    <row r="979" spans="1:2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row>
    <row r="980" spans="1:29">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row>
    <row r="981" spans="1:29">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row>
    <row r="982" spans="1:29">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row>
    <row r="983" spans="1:29">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row>
    <row r="984" spans="1:29">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row>
    <row r="985" spans="1:29">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row>
    <row r="986" spans="1:29">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row>
    <row r="987" spans="1:29">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row>
    <row r="988" spans="1:29">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row>
    <row r="989" spans="1:2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row>
    <row r="990" spans="1:29">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row>
    <row r="991" spans="1:29">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row>
    <row r="992" spans="1:29">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row>
    <row r="993" spans="1:29">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row>
    <row r="994" spans="1:29">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row>
    <row r="995" spans="1:29">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row>
    <row r="996" spans="1:29">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row>
    <row r="997" spans="1:29">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row>
    <row r="998" spans="1:29">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row>
    <row r="999" spans="1:2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row>
    <row r="1000" spans="1:29">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59765625" defaultRowHeight="15.75" customHeight="1"/>
  <cols>
    <col min="6" max="7" width="18.86328125" customWidth="1"/>
    <col min="8" max="8" width="20.46484375" customWidth="1"/>
    <col min="9" max="9" width="29.265625" customWidth="1"/>
    <col min="10" max="10" width="38.3984375" customWidth="1"/>
    <col min="11" max="11" width="18.73046875" customWidth="1"/>
    <col min="12" max="12" width="37.265625" customWidth="1"/>
    <col min="13" max="13" width="41.59765625" customWidth="1"/>
    <col min="14" max="14" width="30" customWidth="1"/>
    <col min="15" max="17" width="34.86328125" customWidth="1"/>
    <col min="18" max="18" width="41" customWidth="1"/>
  </cols>
  <sheetData>
    <row r="1" spans="1:29" ht="42.75">
      <c r="A1" s="56" t="s">
        <v>55</v>
      </c>
      <c r="B1" s="56" t="s">
        <v>0</v>
      </c>
      <c r="C1" s="56" t="s">
        <v>1</v>
      </c>
      <c r="D1" s="56" t="s">
        <v>2</v>
      </c>
      <c r="E1" s="56" t="s">
        <v>66</v>
      </c>
      <c r="F1" s="56" t="s">
        <v>12</v>
      </c>
      <c r="G1" s="56" t="s">
        <v>794</v>
      </c>
      <c r="H1" s="56" t="s">
        <v>795</v>
      </c>
      <c r="I1" s="56" t="s">
        <v>796</v>
      </c>
      <c r="J1" s="56" t="s">
        <v>797</v>
      </c>
      <c r="K1" s="56" t="s">
        <v>798</v>
      </c>
      <c r="L1" s="56" t="s">
        <v>799</v>
      </c>
      <c r="M1" s="56" t="s">
        <v>800</v>
      </c>
      <c r="N1" s="56" t="s">
        <v>61</v>
      </c>
      <c r="O1" s="56" t="s">
        <v>801</v>
      </c>
      <c r="P1" s="56" t="s">
        <v>802</v>
      </c>
      <c r="Q1" s="56" t="s">
        <v>803</v>
      </c>
      <c r="R1" s="56" t="s">
        <v>804</v>
      </c>
      <c r="S1" s="57"/>
      <c r="T1" s="57"/>
      <c r="U1" s="57"/>
      <c r="V1" s="57"/>
      <c r="W1" s="57"/>
      <c r="X1" s="57"/>
      <c r="Y1" s="57"/>
      <c r="Z1" s="57"/>
      <c r="AA1" s="57"/>
      <c r="AB1" s="57"/>
      <c r="AC1" s="57"/>
    </row>
    <row r="2" spans="1:29" ht="26.25">
      <c r="A2" s="42">
        <f t="shared" ref="A2:A256" si="0">ROW(A1)</f>
        <v>1</v>
      </c>
      <c r="B2" s="42"/>
      <c r="C2" s="42" t="s">
        <v>430</v>
      </c>
      <c r="D2" s="42" t="s">
        <v>805</v>
      </c>
      <c r="E2" s="42"/>
      <c r="F2" s="42" t="s">
        <v>806</v>
      </c>
      <c r="G2" s="42"/>
      <c r="H2" s="42"/>
      <c r="I2" s="58"/>
      <c r="J2" s="58"/>
      <c r="K2" s="42"/>
      <c r="L2" s="58"/>
      <c r="M2" s="58"/>
      <c r="N2" s="58"/>
      <c r="O2" s="58"/>
      <c r="P2" s="58"/>
      <c r="Q2" s="58"/>
      <c r="R2" s="58"/>
      <c r="S2" s="45"/>
      <c r="T2" s="45"/>
      <c r="U2" s="45"/>
      <c r="V2" s="45"/>
      <c r="W2" s="45"/>
      <c r="X2" s="45"/>
      <c r="Y2" s="45"/>
      <c r="Z2" s="45"/>
      <c r="AA2" s="45"/>
      <c r="AB2" s="45"/>
      <c r="AC2" s="45"/>
    </row>
    <row r="3" spans="1:29" ht="26.25">
      <c r="A3" s="42">
        <f t="shared" si="0"/>
        <v>2</v>
      </c>
      <c r="B3" s="42"/>
      <c r="C3" s="42" t="s">
        <v>430</v>
      </c>
      <c r="D3" s="42" t="s">
        <v>434</v>
      </c>
      <c r="E3" s="42"/>
      <c r="F3" s="42" t="s">
        <v>807</v>
      </c>
      <c r="G3" s="42"/>
      <c r="H3" s="42"/>
      <c r="I3" s="58"/>
      <c r="J3" s="58"/>
      <c r="K3" s="42"/>
      <c r="L3" s="58"/>
      <c r="M3" s="58"/>
      <c r="N3" s="58"/>
      <c r="O3" s="58"/>
      <c r="P3" s="58"/>
      <c r="Q3" s="58"/>
      <c r="R3" s="58"/>
      <c r="S3" s="45"/>
      <c r="T3" s="45"/>
      <c r="U3" s="45"/>
      <c r="V3" s="45"/>
      <c r="W3" s="45"/>
      <c r="X3" s="45"/>
      <c r="Y3" s="45"/>
      <c r="Z3" s="45"/>
      <c r="AA3" s="45"/>
      <c r="AB3" s="45"/>
      <c r="AC3" s="45"/>
    </row>
    <row r="4" spans="1:29" ht="39.4">
      <c r="A4" s="42">
        <f t="shared" si="0"/>
        <v>3</v>
      </c>
      <c r="B4" s="42"/>
      <c r="C4" s="42" t="s">
        <v>430</v>
      </c>
      <c r="D4" s="42" t="s">
        <v>808</v>
      </c>
      <c r="E4" s="42"/>
      <c r="F4" s="42" t="s">
        <v>809</v>
      </c>
      <c r="G4" s="42"/>
      <c r="H4" s="42"/>
      <c r="I4" s="58"/>
      <c r="J4" s="58"/>
      <c r="K4" s="42"/>
      <c r="L4" s="58"/>
      <c r="M4" s="58"/>
      <c r="N4" s="58"/>
      <c r="O4" s="58"/>
      <c r="P4" s="58"/>
      <c r="Q4" s="58"/>
      <c r="R4" s="58"/>
      <c r="S4" s="45"/>
      <c r="T4" s="45"/>
      <c r="U4" s="45"/>
      <c r="V4" s="45"/>
      <c r="W4" s="45"/>
      <c r="X4" s="45"/>
      <c r="Y4" s="45"/>
      <c r="Z4" s="45"/>
      <c r="AA4" s="45"/>
      <c r="AB4" s="45"/>
      <c r="AC4" s="45"/>
    </row>
    <row r="5" spans="1:29" ht="26.25">
      <c r="A5" s="42">
        <f t="shared" si="0"/>
        <v>4</v>
      </c>
      <c r="B5" s="42"/>
      <c r="C5" s="42" t="s">
        <v>430</v>
      </c>
      <c r="D5" s="42" t="s">
        <v>810</v>
      </c>
      <c r="E5" s="42"/>
      <c r="F5" s="42" t="s">
        <v>811</v>
      </c>
      <c r="G5" s="42"/>
      <c r="H5" s="42"/>
      <c r="I5" s="58"/>
      <c r="J5" s="58"/>
      <c r="K5" s="42"/>
      <c r="L5" s="58"/>
      <c r="M5" s="58"/>
      <c r="N5" s="58"/>
      <c r="O5" s="58"/>
      <c r="P5" s="58"/>
      <c r="Q5" s="58"/>
      <c r="R5" s="58"/>
      <c r="S5" s="45"/>
      <c r="T5" s="45"/>
      <c r="U5" s="45"/>
      <c r="V5" s="45"/>
      <c r="W5" s="45"/>
      <c r="X5" s="45"/>
      <c r="Y5" s="45"/>
      <c r="Z5" s="45"/>
      <c r="AA5" s="45"/>
      <c r="AB5" s="45"/>
      <c r="AC5" s="45"/>
    </row>
    <row r="6" spans="1:29" ht="13.15">
      <c r="A6" s="42">
        <f t="shared" si="0"/>
        <v>5</v>
      </c>
      <c r="B6" s="42"/>
      <c r="C6" s="42" t="s">
        <v>430</v>
      </c>
      <c r="D6" s="42" t="s">
        <v>812</v>
      </c>
      <c r="E6" s="42"/>
      <c r="F6" s="42" t="s">
        <v>813</v>
      </c>
      <c r="G6" s="42"/>
      <c r="H6" s="42"/>
      <c r="I6" s="58"/>
      <c r="J6" s="58"/>
      <c r="K6" s="42"/>
      <c r="L6" s="58"/>
      <c r="M6" s="58"/>
      <c r="N6" s="58"/>
      <c r="O6" s="58"/>
      <c r="P6" s="58"/>
      <c r="Q6" s="58"/>
      <c r="R6" s="58"/>
      <c r="S6" s="45"/>
      <c r="T6" s="45"/>
      <c r="U6" s="45"/>
      <c r="V6" s="45"/>
      <c r="W6" s="45"/>
      <c r="X6" s="45"/>
      <c r="Y6" s="45"/>
      <c r="Z6" s="45"/>
      <c r="AA6" s="45"/>
      <c r="AB6" s="45"/>
      <c r="AC6" s="45"/>
    </row>
    <row r="7" spans="1:29" ht="26.25">
      <c r="A7" s="42">
        <f t="shared" si="0"/>
        <v>6</v>
      </c>
      <c r="B7" s="42"/>
      <c r="C7" s="42" t="s">
        <v>430</v>
      </c>
      <c r="D7" s="42" t="s">
        <v>814</v>
      </c>
      <c r="E7" s="42"/>
      <c r="F7" s="42" t="s">
        <v>815</v>
      </c>
      <c r="G7" s="42"/>
      <c r="H7" s="42"/>
      <c r="I7" s="58"/>
      <c r="J7" s="58"/>
      <c r="K7" s="42"/>
      <c r="L7" s="58"/>
      <c r="M7" s="58"/>
      <c r="N7" s="58"/>
      <c r="O7" s="58"/>
      <c r="P7" s="58"/>
      <c r="Q7" s="58"/>
      <c r="R7" s="58"/>
      <c r="S7" s="45"/>
      <c r="T7" s="45"/>
      <c r="U7" s="45"/>
      <c r="V7" s="45"/>
      <c r="W7" s="45"/>
      <c r="X7" s="45"/>
      <c r="Y7" s="45"/>
      <c r="Z7" s="45"/>
      <c r="AA7" s="45"/>
      <c r="AB7" s="45"/>
      <c r="AC7" s="45"/>
    </row>
    <row r="8" spans="1:29" ht="26.25">
      <c r="A8" s="42">
        <f t="shared" si="0"/>
        <v>7</v>
      </c>
      <c r="B8" s="42"/>
      <c r="C8" s="42" t="s">
        <v>430</v>
      </c>
      <c r="D8" s="42" t="s">
        <v>447</v>
      </c>
      <c r="E8" s="42"/>
      <c r="F8" s="42" t="s">
        <v>816</v>
      </c>
      <c r="G8" s="42"/>
      <c r="H8" s="42"/>
      <c r="I8" s="58"/>
      <c r="J8" s="58"/>
      <c r="K8" s="42"/>
      <c r="L8" s="58"/>
      <c r="M8" s="58"/>
      <c r="N8" s="58"/>
      <c r="O8" s="58"/>
      <c r="P8" s="58"/>
      <c r="Q8" s="58"/>
      <c r="R8" s="58"/>
      <c r="S8" s="45"/>
      <c r="T8" s="45"/>
      <c r="U8" s="45"/>
      <c r="V8" s="45"/>
      <c r="W8" s="45"/>
      <c r="X8" s="45"/>
      <c r="Y8" s="45"/>
      <c r="Z8" s="45"/>
      <c r="AA8" s="45"/>
      <c r="AB8" s="45"/>
      <c r="AC8" s="45"/>
    </row>
    <row r="9" spans="1:29" ht="39.4">
      <c r="A9" s="42">
        <f t="shared" si="0"/>
        <v>8</v>
      </c>
      <c r="B9" s="42"/>
      <c r="C9" s="42" t="s">
        <v>430</v>
      </c>
      <c r="D9" s="42" t="s">
        <v>817</v>
      </c>
      <c r="E9" s="42"/>
      <c r="F9" s="42" t="s">
        <v>818</v>
      </c>
      <c r="G9" s="42"/>
      <c r="H9" s="42"/>
      <c r="I9" s="58"/>
      <c r="J9" s="58"/>
      <c r="K9" s="42"/>
      <c r="L9" s="58"/>
      <c r="M9" s="58"/>
      <c r="N9" s="58"/>
      <c r="O9" s="58"/>
      <c r="P9" s="58"/>
      <c r="Q9" s="58"/>
      <c r="R9" s="58"/>
      <c r="S9" s="45"/>
      <c r="T9" s="45"/>
      <c r="U9" s="45"/>
      <c r="V9" s="45"/>
      <c r="W9" s="45"/>
      <c r="X9" s="45"/>
      <c r="Y9" s="45"/>
      <c r="Z9" s="45"/>
      <c r="AA9" s="45"/>
      <c r="AB9" s="45"/>
      <c r="AC9" s="45"/>
    </row>
    <row r="10" spans="1:29" ht="26.25">
      <c r="A10" s="42">
        <f t="shared" si="0"/>
        <v>9</v>
      </c>
      <c r="B10" s="42"/>
      <c r="C10" s="42" t="s">
        <v>430</v>
      </c>
      <c r="D10" s="42" t="s">
        <v>819</v>
      </c>
      <c r="E10" s="42"/>
      <c r="F10" s="42" t="s">
        <v>820</v>
      </c>
      <c r="G10" s="42"/>
      <c r="H10" s="42"/>
      <c r="I10" s="58"/>
      <c r="J10" s="58"/>
      <c r="K10" s="42"/>
      <c r="L10" s="58"/>
      <c r="M10" s="58"/>
      <c r="N10" s="58"/>
      <c r="O10" s="58"/>
      <c r="P10" s="58"/>
      <c r="Q10" s="58"/>
      <c r="R10" s="58"/>
      <c r="S10" s="45"/>
      <c r="T10" s="45"/>
      <c r="U10" s="45"/>
      <c r="V10" s="45"/>
      <c r="W10" s="45"/>
      <c r="X10" s="45"/>
      <c r="Y10" s="45"/>
      <c r="Z10" s="45"/>
      <c r="AA10" s="45"/>
      <c r="AB10" s="45"/>
      <c r="AC10" s="45"/>
    </row>
    <row r="11" spans="1:29" ht="26.25">
      <c r="A11" s="42">
        <f t="shared" si="0"/>
        <v>10</v>
      </c>
      <c r="B11" s="42"/>
      <c r="C11" s="42" t="s">
        <v>430</v>
      </c>
      <c r="D11" s="42" t="s">
        <v>821</v>
      </c>
      <c r="E11" s="42"/>
      <c r="F11" s="42" t="s">
        <v>822</v>
      </c>
      <c r="G11" s="42"/>
      <c r="H11" s="42"/>
      <c r="I11" s="58"/>
      <c r="J11" s="58"/>
      <c r="K11" s="42"/>
      <c r="L11" s="58"/>
      <c r="M11" s="58"/>
      <c r="N11" s="58"/>
      <c r="O11" s="58"/>
      <c r="P11" s="58"/>
      <c r="Q11" s="58"/>
      <c r="R11" s="58"/>
      <c r="S11" s="45"/>
      <c r="T11" s="45"/>
      <c r="U11" s="45"/>
      <c r="V11" s="45"/>
      <c r="W11" s="45"/>
      <c r="X11" s="45"/>
      <c r="Y11" s="45"/>
      <c r="Z11" s="45"/>
      <c r="AA11" s="45"/>
      <c r="AB11" s="45"/>
      <c r="AC11" s="45"/>
    </row>
    <row r="12" spans="1:29" ht="26.25">
      <c r="A12" s="42">
        <f t="shared" si="0"/>
        <v>11</v>
      </c>
      <c r="B12" s="42"/>
      <c r="C12" s="42" t="s">
        <v>11</v>
      </c>
      <c r="D12" s="42" t="s">
        <v>823</v>
      </c>
      <c r="E12" s="42"/>
      <c r="F12" s="42" t="s">
        <v>824</v>
      </c>
      <c r="G12" s="42"/>
      <c r="H12" s="42"/>
      <c r="I12" s="58"/>
      <c r="J12" s="58"/>
      <c r="K12" s="42"/>
      <c r="L12" s="58"/>
      <c r="M12" s="58"/>
      <c r="N12" s="58"/>
      <c r="O12" s="58"/>
      <c r="P12" s="58"/>
      <c r="Q12" s="58"/>
      <c r="R12" s="58"/>
      <c r="S12" s="45"/>
      <c r="T12" s="45"/>
      <c r="U12" s="45"/>
      <c r="V12" s="45"/>
      <c r="W12" s="45"/>
      <c r="X12" s="45"/>
      <c r="Y12" s="45"/>
      <c r="Z12" s="45"/>
      <c r="AA12" s="45"/>
      <c r="AB12" s="45"/>
      <c r="AC12" s="45"/>
    </row>
    <row r="13" spans="1:29" ht="26.25">
      <c r="A13" s="42">
        <f t="shared" si="0"/>
        <v>12</v>
      </c>
      <c r="B13" s="42"/>
      <c r="C13" s="42" t="s">
        <v>11</v>
      </c>
      <c r="D13" s="42" t="s">
        <v>825</v>
      </c>
      <c r="E13" s="42"/>
      <c r="F13" s="42" t="s">
        <v>826</v>
      </c>
      <c r="G13" s="42"/>
      <c r="H13" s="42"/>
      <c r="I13" s="58"/>
      <c r="J13" s="58"/>
      <c r="K13" s="42"/>
      <c r="L13" s="58"/>
      <c r="M13" s="58"/>
      <c r="N13" s="58"/>
      <c r="O13" s="58"/>
      <c r="P13" s="58"/>
      <c r="Q13" s="58"/>
      <c r="R13" s="58"/>
      <c r="S13" s="45"/>
      <c r="T13" s="45"/>
      <c r="U13" s="45"/>
      <c r="V13" s="45"/>
      <c r="W13" s="45"/>
      <c r="X13" s="45"/>
      <c r="Y13" s="45"/>
      <c r="Z13" s="45"/>
      <c r="AA13" s="45"/>
      <c r="AB13" s="45"/>
      <c r="AC13" s="45"/>
    </row>
    <row r="14" spans="1:29" ht="26.25">
      <c r="A14" s="42">
        <f t="shared" si="0"/>
        <v>13</v>
      </c>
      <c r="B14" s="42"/>
      <c r="C14" s="42" t="s">
        <v>11</v>
      </c>
      <c r="D14" s="42" t="s">
        <v>269</v>
      </c>
      <c r="E14" s="42"/>
      <c r="F14" s="42" t="s">
        <v>827</v>
      </c>
      <c r="G14" s="42"/>
      <c r="H14" s="42"/>
      <c r="I14" s="58"/>
      <c r="J14" s="58"/>
      <c r="K14" s="42"/>
      <c r="L14" s="58"/>
      <c r="M14" s="58"/>
      <c r="N14" s="58"/>
      <c r="O14" s="58"/>
      <c r="P14" s="58"/>
      <c r="Q14" s="58"/>
      <c r="R14" s="58"/>
      <c r="S14" s="45"/>
      <c r="T14" s="45"/>
      <c r="U14" s="45"/>
      <c r="V14" s="45"/>
      <c r="W14" s="45"/>
      <c r="X14" s="45"/>
      <c r="Y14" s="45"/>
      <c r="Z14" s="45"/>
      <c r="AA14" s="45"/>
      <c r="AB14" s="45"/>
      <c r="AC14" s="45"/>
    </row>
    <row r="15" spans="1:29" ht="39.4">
      <c r="A15" s="42">
        <f t="shared" si="0"/>
        <v>14</v>
      </c>
      <c r="B15" s="42"/>
      <c r="C15" s="42" t="s">
        <v>11</v>
      </c>
      <c r="D15" s="42" t="s">
        <v>828</v>
      </c>
      <c r="E15" s="42"/>
      <c r="F15" s="42" t="s">
        <v>829</v>
      </c>
      <c r="G15" s="42"/>
      <c r="H15" s="42"/>
      <c r="I15" s="58"/>
      <c r="J15" s="58"/>
      <c r="K15" s="42"/>
      <c r="L15" s="58"/>
      <c r="M15" s="58"/>
      <c r="N15" s="58"/>
      <c r="O15" s="58"/>
      <c r="P15" s="58"/>
      <c r="Q15" s="58"/>
      <c r="R15" s="58"/>
      <c r="S15" s="45"/>
      <c r="T15" s="45"/>
      <c r="U15" s="45"/>
      <c r="V15" s="45"/>
      <c r="W15" s="45"/>
      <c r="X15" s="45"/>
      <c r="Y15" s="45"/>
      <c r="Z15" s="45"/>
      <c r="AA15" s="45"/>
      <c r="AB15" s="45"/>
      <c r="AC15" s="45"/>
    </row>
    <row r="16" spans="1:29" ht="26.25">
      <c r="A16" s="42">
        <f t="shared" si="0"/>
        <v>15</v>
      </c>
      <c r="B16" s="42"/>
      <c r="C16" s="42" t="s">
        <v>11</v>
      </c>
      <c r="D16" s="42" t="s">
        <v>830</v>
      </c>
      <c r="E16" s="42"/>
      <c r="F16" s="42" t="s">
        <v>831</v>
      </c>
      <c r="G16" s="42"/>
      <c r="H16" s="42"/>
      <c r="I16" s="58"/>
      <c r="J16" s="58"/>
      <c r="K16" s="42"/>
      <c r="L16" s="58"/>
      <c r="M16" s="58"/>
      <c r="N16" s="58"/>
      <c r="O16" s="58"/>
      <c r="P16" s="58"/>
      <c r="Q16" s="58"/>
      <c r="R16" s="58"/>
      <c r="S16" s="45"/>
      <c r="T16" s="45"/>
      <c r="U16" s="45"/>
      <c r="V16" s="45"/>
      <c r="W16" s="45"/>
      <c r="X16" s="45"/>
      <c r="Y16" s="45"/>
      <c r="Z16" s="45"/>
      <c r="AA16" s="45"/>
      <c r="AB16" s="45"/>
      <c r="AC16" s="45"/>
    </row>
    <row r="17" spans="1:29" ht="26.25">
      <c r="A17" s="42">
        <f t="shared" si="0"/>
        <v>16</v>
      </c>
      <c r="B17" s="42"/>
      <c r="C17" s="42" t="s">
        <v>11</v>
      </c>
      <c r="D17" s="42" t="s">
        <v>832</v>
      </c>
      <c r="E17" s="42"/>
      <c r="F17" s="42" t="s">
        <v>833</v>
      </c>
      <c r="G17" s="42"/>
      <c r="H17" s="42"/>
      <c r="I17" s="58"/>
      <c r="J17" s="58"/>
      <c r="K17" s="42"/>
      <c r="L17" s="58"/>
      <c r="M17" s="58"/>
      <c r="N17" s="58"/>
      <c r="O17" s="58"/>
      <c r="P17" s="58"/>
      <c r="Q17" s="58"/>
      <c r="R17" s="58"/>
      <c r="S17" s="45"/>
      <c r="T17" s="45"/>
      <c r="U17" s="45"/>
      <c r="V17" s="45"/>
      <c r="W17" s="45"/>
      <c r="X17" s="45"/>
      <c r="Y17" s="45"/>
      <c r="Z17" s="45"/>
      <c r="AA17" s="45"/>
      <c r="AB17" s="45"/>
      <c r="AC17" s="45"/>
    </row>
    <row r="18" spans="1:29" ht="26.25">
      <c r="A18" s="42">
        <f t="shared" si="0"/>
        <v>17</v>
      </c>
      <c r="B18" s="42"/>
      <c r="C18" s="42" t="s">
        <v>11</v>
      </c>
      <c r="D18" s="42" t="s">
        <v>834</v>
      </c>
      <c r="E18" s="42"/>
      <c r="F18" s="42" t="s">
        <v>835</v>
      </c>
      <c r="G18" s="42"/>
      <c r="H18" s="42"/>
      <c r="I18" s="58"/>
      <c r="J18" s="58"/>
      <c r="K18" s="42"/>
      <c r="L18" s="58"/>
      <c r="M18" s="58"/>
      <c r="N18" s="58"/>
      <c r="O18" s="58"/>
      <c r="P18" s="58"/>
      <c r="Q18" s="58"/>
      <c r="R18" s="58"/>
      <c r="S18" s="45"/>
      <c r="T18" s="45"/>
      <c r="U18" s="45"/>
      <c r="V18" s="45"/>
      <c r="W18" s="45"/>
      <c r="X18" s="45"/>
      <c r="Y18" s="45"/>
      <c r="Z18" s="45"/>
      <c r="AA18" s="45"/>
      <c r="AB18" s="45"/>
      <c r="AC18" s="45"/>
    </row>
    <row r="19" spans="1:29" ht="26.25">
      <c r="A19" s="42">
        <f t="shared" si="0"/>
        <v>18</v>
      </c>
      <c r="B19" s="42"/>
      <c r="C19" s="42" t="s">
        <v>11</v>
      </c>
      <c r="D19" s="42" t="s">
        <v>836</v>
      </c>
      <c r="E19" s="42"/>
      <c r="F19" s="42" t="s">
        <v>837</v>
      </c>
      <c r="G19" s="42"/>
      <c r="H19" s="42"/>
      <c r="I19" s="58"/>
      <c r="J19" s="58"/>
      <c r="K19" s="42"/>
      <c r="L19" s="58"/>
      <c r="M19" s="58"/>
      <c r="N19" s="58"/>
      <c r="O19" s="58"/>
      <c r="P19" s="58"/>
      <c r="Q19" s="58"/>
      <c r="R19" s="58"/>
      <c r="S19" s="45"/>
      <c r="T19" s="45"/>
      <c r="U19" s="45"/>
      <c r="V19" s="45"/>
      <c r="W19" s="45"/>
      <c r="X19" s="45"/>
      <c r="Y19" s="45"/>
      <c r="Z19" s="45"/>
      <c r="AA19" s="45"/>
      <c r="AB19" s="45"/>
      <c r="AC19" s="45"/>
    </row>
    <row r="20" spans="1:29" ht="26.25">
      <c r="A20" s="42">
        <f t="shared" si="0"/>
        <v>19</v>
      </c>
      <c r="B20" s="42"/>
      <c r="C20" s="42" t="s">
        <v>11</v>
      </c>
      <c r="D20" s="42" t="s">
        <v>838</v>
      </c>
      <c r="E20" s="42"/>
      <c r="F20" s="42" t="s">
        <v>839</v>
      </c>
      <c r="G20" s="42"/>
      <c r="H20" s="42"/>
      <c r="I20" s="58"/>
      <c r="J20" s="58"/>
      <c r="K20" s="42"/>
      <c r="L20" s="58"/>
      <c r="M20" s="58"/>
      <c r="N20" s="58"/>
      <c r="O20" s="58"/>
      <c r="P20" s="58"/>
      <c r="Q20" s="58"/>
      <c r="R20" s="58"/>
      <c r="S20" s="45"/>
      <c r="T20" s="45"/>
      <c r="U20" s="45"/>
      <c r="V20" s="45"/>
      <c r="W20" s="45"/>
      <c r="X20" s="45"/>
      <c r="Y20" s="45"/>
      <c r="Z20" s="45"/>
      <c r="AA20" s="45"/>
      <c r="AB20" s="45"/>
      <c r="AC20" s="45"/>
    </row>
    <row r="21" spans="1:29" ht="26.25">
      <c r="A21" s="42">
        <f t="shared" si="0"/>
        <v>20</v>
      </c>
      <c r="B21" s="42"/>
      <c r="C21" s="42" t="s">
        <v>11</v>
      </c>
      <c r="D21" s="42" t="s">
        <v>840</v>
      </c>
      <c r="E21" s="42"/>
      <c r="F21" s="42" t="s">
        <v>841</v>
      </c>
      <c r="G21" s="42"/>
      <c r="H21" s="42"/>
      <c r="I21" s="58"/>
      <c r="J21" s="58"/>
      <c r="K21" s="42"/>
      <c r="L21" s="58"/>
      <c r="M21" s="58"/>
      <c r="N21" s="58"/>
      <c r="O21" s="58"/>
      <c r="P21" s="58"/>
      <c r="Q21" s="58"/>
      <c r="R21" s="58"/>
      <c r="S21" s="45"/>
      <c r="T21" s="45"/>
      <c r="U21" s="45"/>
      <c r="V21" s="45"/>
      <c r="W21" s="45"/>
      <c r="X21" s="45"/>
      <c r="Y21" s="45"/>
      <c r="Z21" s="45"/>
      <c r="AA21" s="45"/>
      <c r="AB21" s="45"/>
      <c r="AC21" s="45"/>
    </row>
    <row r="22" spans="1:29" ht="26.25">
      <c r="A22" s="42">
        <f t="shared" si="0"/>
        <v>21</v>
      </c>
      <c r="B22" s="42"/>
      <c r="C22" s="42" t="s">
        <v>11</v>
      </c>
      <c r="D22" s="42" t="s">
        <v>290</v>
      </c>
      <c r="E22" s="42"/>
      <c r="F22" s="42" t="s">
        <v>842</v>
      </c>
      <c r="G22" s="42"/>
      <c r="H22" s="42"/>
      <c r="I22" s="58"/>
      <c r="J22" s="58"/>
      <c r="K22" s="42"/>
      <c r="L22" s="58"/>
      <c r="M22" s="58"/>
      <c r="N22" s="58"/>
      <c r="O22" s="58"/>
      <c r="P22" s="58"/>
      <c r="Q22" s="58"/>
      <c r="R22" s="58"/>
      <c r="S22" s="45"/>
      <c r="T22" s="45"/>
      <c r="U22" s="45"/>
      <c r="V22" s="45"/>
      <c r="W22" s="45"/>
      <c r="X22" s="45"/>
      <c r="Y22" s="45"/>
      <c r="Z22" s="45"/>
      <c r="AA22" s="45"/>
      <c r="AB22" s="45"/>
      <c r="AC22" s="45"/>
    </row>
    <row r="23" spans="1:29" ht="39.4">
      <c r="A23" s="42">
        <f t="shared" si="0"/>
        <v>22</v>
      </c>
      <c r="B23" s="42"/>
      <c r="C23" s="42" t="s">
        <v>11</v>
      </c>
      <c r="D23" s="42" t="s">
        <v>843</v>
      </c>
      <c r="E23" s="42"/>
      <c r="F23" s="42" t="s">
        <v>844</v>
      </c>
      <c r="G23" s="42"/>
      <c r="H23" s="42"/>
      <c r="I23" s="58"/>
      <c r="J23" s="58"/>
      <c r="K23" s="42"/>
      <c r="L23" s="58"/>
      <c r="M23" s="58"/>
      <c r="N23" s="58"/>
      <c r="O23" s="58"/>
      <c r="P23" s="58"/>
      <c r="Q23" s="58"/>
      <c r="R23" s="58"/>
      <c r="S23" s="45"/>
      <c r="T23" s="45"/>
      <c r="U23" s="45"/>
      <c r="V23" s="45"/>
      <c r="W23" s="45"/>
      <c r="X23" s="45"/>
      <c r="Y23" s="45"/>
      <c r="Z23" s="45"/>
      <c r="AA23" s="45"/>
      <c r="AB23" s="45"/>
      <c r="AC23" s="45"/>
    </row>
    <row r="24" spans="1:29" ht="26.25">
      <c r="A24" s="42">
        <f t="shared" si="0"/>
        <v>23</v>
      </c>
      <c r="B24" s="42"/>
      <c r="C24" s="42" t="s">
        <v>297</v>
      </c>
      <c r="D24" s="42" t="s">
        <v>845</v>
      </c>
      <c r="E24" s="42"/>
      <c r="F24" s="42" t="s">
        <v>846</v>
      </c>
      <c r="G24" s="42"/>
      <c r="H24" s="42"/>
      <c r="I24" s="58"/>
      <c r="J24" s="58"/>
      <c r="K24" s="42"/>
      <c r="L24" s="58"/>
      <c r="M24" s="58"/>
      <c r="N24" s="58"/>
      <c r="O24" s="58"/>
      <c r="P24" s="58"/>
      <c r="Q24" s="58"/>
      <c r="R24" s="58"/>
      <c r="S24" s="45"/>
      <c r="T24" s="45"/>
      <c r="U24" s="45"/>
      <c r="V24" s="45"/>
      <c r="W24" s="45"/>
      <c r="X24" s="45"/>
      <c r="Y24" s="45"/>
      <c r="Z24" s="45"/>
      <c r="AA24" s="45"/>
      <c r="AB24" s="45"/>
      <c r="AC24" s="45"/>
    </row>
    <row r="25" spans="1:29" ht="26.25">
      <c r="A25" s="42">
        <f t="shared" si="0"/>
        <v>24</v>
      </c>
      <c r="B25" s="42"/>
      <c r="C25" s="42" t="s">
        <v>297</v>
      </c>
      <c r="D25" s="42" t="s">
        <v>847</v>
      </c>
      <c r="E25" s="42"/>
      <c r="F25" s="42" t="s">
        <v>848</v>
      </c>
      <c r="G25" s="42"/>
      <c r="H25" s="42"/>
      <c r="I25" s="58"/>
      <c r="J25" s="58"/>
      <c r="K25" s="42"/>
      <c r="L25" s="58"/>
      <c r="M25" s="58"/>
      <c r="N25" s="58"/>
      <c r="O25" s="58"/>
      <c r="P25" s="58"/>
      <c r="Q25" s="58"/>
      <c r="R25" s="58"/>
      <c r="S25" s="45"/>
      <c r="T25" s="45"/>
      <c r="U25" s="45"/>
      <c r="V25" s="45"/>
      <c r="W25" s="45"/>
      <c r="X25" s="45"/>
      <c r="Y25" s="45"/>
      <c r="Z25" s="45"/>
      <c r="AA25" s="45"/>
      <c r="AB25" s="45"/>
      <c r="AC25" s="45"/>
    </row>
    <row r="26" spans="1:29" ht="26.25">
      <c r="A26" s="42">
        <f t="shared" si="0"/>
        <v>25</v>
      </c>
      <c r="B26" s="42"/>
      <c r="C26" s="42" t="s">
        <v>297</v>
      </c>
      <c r="D26" s="42" t="s">
        <v>849</v>
      </c>
      <c r="E26" s="42"/>
      <c r="F26" s="42" t="s">
        <v>850</v>
      </c>
      <c r="G26" s="42"/>
      <c r="H26" s="42"/>
      <c r="I26" s="58"/>
      <c r="J26" s="58"/>
      <c r="K26" s="42"/>
      <c r="L26" s="58"/>
      <c r="M26" s="58"/>
      <c r="N26" s="58"/>
      <c r="O26" s="58"/>
      <c r="P26" s="58"/>
      <c r="Q26" s="58"/>
      <c r="R26" s="58"/>
      <c r="S26" s="45"/>
      <c r="T26" s="45"/>
      <c r="U26" s="45"/>
      <c r="V26" s="45"/>
      <c r="W26" s="45"/>
      <c r="X26" s="45"/>
      <c r="Y26" s="45"/>
      <c r="Z26" s="45"/>
      <c r="AA26" s="45"/>
      <c r="AB26" s="45"/>
      <c r="AC26" s="45"/>
    </row>
    <row r="27" spans="1:29" ht="26.25">
      <c r="A27" s="42">
        <f t="shared" si="0"/>
        <v>26</v>
      </c>
      <c r="B27" s="42"/>
      <c r="C27" s="42" t="s">
        <v>297</v>
      </c>
      <c r="D27" s="42" t="s">
        <v>851</v>
      </c>
      <c r="E27" s="42"/>
      <c r="F27" s="42" t="s">
        <v>852</v>
      </c>
      <c r="G27" s="42"/>
      <c r="H27" s="42"/>
      <c r="I27" s="58"/>
      <c r="J27" s="58"/>
      <c r="K27" s="42"/>
      <c r="L27" s="58"/>
      <c r="M27" s="58"/>
      <c r="N27" s="58"/>
      <c r="O27" s="58"/>
      <c r="P27" s="58"/>
      <c r="Q27" s="58"/>
      <c r="R27" s="58"/>
      <c r="S27" s="45"/>
      <c r="T27" s="45"/>
      <c r="U27" s="45"/>
      <c r="V27" s="45"/>
      <c r="W27" s="45"/>
      <c r="X27" s="45"/>
      <c r="Y27" s="45"/>
      <c r="Z27" s="45"/>
      <c r="AA27" s="45"/>
      <c r="AB27" s="45"/>
      <c r="AC27" s="45"/>
    </row>
    <row r="28" spans="1:29" ht="26.25">
      <c r="A28" s="42">
        <f t="shared" si="0"/>
        <v>27</v>
      </c>
      <c r="B28" s="42"/>
      <c r="C28" s="42" t="s">
        <v>297</v>
      </c>
      <c r="D28" s="42" t="s">
        <v>853</v>
      </c>
      <c r="E28" s="42"/>
      <c r="F28" s="42" t="s">
        <v>854</v>
      </c>
      <c r="G28" s="42"/>
      <c r="H28" s="42"/>
      <c r="I28" s="58"/>
      <c r="J28" s="58"/>
      <c r="K28" s="42"/>
      <c r="L28" s="58"/>
      <c r="M28" s="58"/>
      <c r="N28" s="58"/>
      <c r="O28" s="58"/>
      <c r="P28" s="58"/>
      <c r="Q28" s="58"/>
      <c r="R28" s="58"/>
      <c r="S28" s="45"/>
      <c r="T28" s="45"/>
      <c r="U28" s="45"/>
      <c r="V28" s="45"/>
      <c r="W28" s="45"/>
      <c r="X28" s="45"/>
      <c r="Y28" s="45"/>
      <c r="Z28" s="45"/>
      <c r="AA28" s="45"/>
      <c r="AB28" s="45"/>
      <c r="AC28" s="45"/>
    </row>
    <row r="29" spans="1:29" ht="26.25">
      <c r="A29" s="42">
        <f t="shared" si="0"/>
        <v>28</v>
      </c>
      <c r="B29" s="42"/>
      <c r="C29" s="42" t="s">
        <v>297</v>
      </c>
      <c r="D29" s="42" t="s">
        <v>855</v>
      </c>
      <c r="E29" s="42"/>
      <c r="F29" s="42" t="s">
        <v>856</v>
      </c>
      <c r="G29" s="42"/>
      <c r="H29" s="42"/>
      <c r="I29" s="58"/>
      <c r="J29" s="58"/>
      <c r="K29" s="42"/>
      <c r="L29" s="58"/>
      <c r="M29" s="58"/>
      <c r="N29" s="58"/>
      <c r="O29" s="58"/>
      <c r="P29" s="58"/>
      <c r="Q29" s="58"/>
      <c r="R29" s="58"/>
      <c r="S29" s="45"/>
      <c r="T29" s="45"/>
      <c r="U29" s="45"/>
      <c r="V29" s="45"/>
      <c r="W29" s="45"/>
      <c r="X29" s="45"/>
      <c r="Y29" s="45"/>
      <c r="Z29" s="45"/>
      <c r="AA29" s="45"/>
      <c r="AB29" s="45"/>
      <c r="AC29" s="45"/>
    </row>
    <row r="30" spans="1:29" ht="26.25">
      <c r="A30" s="42">
        <f t="shared" si="0"/>
        <v>29</v>
      </c>
      <c r="B30" s="42"/>
      <c r="C30" s="42" t="s">
        <v>297</v>
      </c>
      <c r="D30" s="42" t="s">
        <v>308</v>
      </c>
      <c r="E30" s="42"/>
      <c r="F30" s="42" t="s">
        <v>857</v>
      </c>
      <c r="G30" s="42"/>
      <c r="H30" s="42"/>
      <c r="I30" s="58"/>
      <c r="J30" s="58"/>
      <c r="K30" s="42"/>
      <c r="L30" s="58"/>
      <c r="M30" s="58"/>
      <c r="N30" s="58"/>
      <c r="O30" s="58"/>
      <c r="P30" s="58"/>
      <c r="Q30" s="58"/>
      <c r="R30" s="58"/>
      <c r="S30" s="45"/>
      <c r="T30" s="45"/>
      <c r="U30" s="45"/>
      <c r="V30" s="45"/>
      <c r="W30" s="45"/>
      <c r="X30" s="45"/>
      <c r="Y30" s="45"/>
      <c r="Z30" s="45"/>
      <c r="AA30" s="45"/>
      <c r="AB30" s="45"/>
      <c r="AC30" s="45"/>
    </row>
    <row r="31" spans="1:29" ht="26.25">
      <c r="A31" s="42">
        <f t="shared" si="0"/>
        <v>30</v>
      </c>
      <c r="B31" s="42"/>
      <c r="C31" s="42" t="s">
        <v>297</v>
      </c>
      <c r="D31" s="42" t="s">
        <v>858</v>
      </c>
      <c r="E31" s="42"/>
      <c r="F31" s="42" t="s">
        <v>859</v>
      </c>
      <c r="G31" s="42"/>
      <c r="H31" s="42"/>
      <c r="I31" s="58"/>
      <c r="J31" s="58"/>
      <c r="K31" s="42"/>
      <c r="L31" s="58"/>
      <c r="M31" s="58"/>
      <c r="N31" s="58"/>
      <c r="O31" s="58"/>
      <c r="P31" s="58"/>
      <c r="Q31" s="58"/>
      <c r="R31" s="58"/>
      <c r="S31" s="45"/>
      <c r="T31" s="45"/>
      <c r="U31" s="45"/>
      <c r="V31" s="45"/>
      <c r="W31" s="45"/>
      <c r="X31" s="45"/>
      <c r="Y31" s="45"/>
      <c r="Z31" s="45"/>
      <c r="AA31" s="45"/>
      <c r="AB31" s="45"/>
      <c r="AC31" s="45"/>
    </row>
    <row r="32" spans="1:29" ht="26.25">
      <c r="A32" s="42">
        <f t="shared" si="0"/>
        <v>31</v>
      </c>
      <c r="B32" s="42"/>
      <c r="C32" s="42" t="s">
        <v>297</v>
      </c>
      <c r="D32" s="42" t="s">
        <v>860</v>
      </c>
      <c r="E32" s="42"/>
      <c r="F32" s="42" t="s">
        <v>861</v>
      </c>
      <c r="G32" s="42"/>
      <c r="H32" s="42"/>
      <c r="I32" s="58"/>
      <c r="J32" s="58"/>
      <c r="K32" s="42"/>
      <c r="L32" s="58"/>
      <c r="M32" s="58"/>
      <c r="N32" s="58"/>
      <c r="O32" s="58"/>
      <c r="P32" s="58"/>
      <c r="Q32" s="58"/>
      <c r="R32" s="58"/>
      <c r="S32" s="45"/>
      <c r="T32" s="45"/>
      <c r="U32" s="45"/>
      <c r="V32" s="45"/>
      <c r="W32" s="45"/>
      <c r="X32" s="45"/>
      <c r="Y32" s="45"/>
      <c r="Z32" s="45"/>
      <c r="AA32" s="45"/>
      <c r="AB32" s="45"/>
      <c r="AC32" s="45"/>
    </row>
    <row r="33" spans="1:29" ht="26.25">
      <c r="A33" s="42">
        <f t="shared" si="0"/>
        <v>32</v>
      </c>
      <c r="B33" s="42"/>
      <c r="C33" s="42" t="s">
        <v>297</v>
      </c>
      <c r="D33" s="42" t="s">
        <v>862</v>
      </c>
      <c r="E33" s="42"/>
      <c r="F33" s="42" t="s">
        <v>863</v>
      </c>
      <c r="G33" s="42"/>
      <c r="H33" s="42"/>
      <c r="I33" s="58"/>
      <c r="J33" s="58"/>
      <c r="K33" s="42"/>
      <c r="L33" s="58"/>
      <c r="M33" s="58"/>
      <c r="N33" s="58"/>
      <c r="O33" s="58"/>
      <c r="P33" s="58"/>
      <c r="Q33" s="58"/>
      <c r="R33" s="58"/>
      <c r="S33" s="45"/>
      <c r="T33" s="45"/>
      <c r="U33" s="45"/>
      <c r="V33" s="45"/>
      <c r="W33" s="45"/>
      <c r="X33" s="45"/>
      <c r="Y33" s="45"/>
      <c r="Z33" s="45"/>
      <c r="AA33" s="45"/>
      <c r="AB33" s="45"/>
      <c r="AC33" s="45"/>
    </row>
    <row r="34" spans="1:29" ht="26.25">
      <c r="A34" s="42">
        <f t="shared" si="0"/>
        <v>33</v>
      </c>
      <c r="B34" s="42"/>
      <c r="C34" s="42" t="s">
        <v>297</v>
      </c>
      <c r="D34" s="42" t="s">
        <v>864</v>
      </c>
      <c r="E34" s="42"/>
      <c r="F34" s="42" t="s">
        <v>865</v>
      </c>
      <c r="G34" s="42"/>
      <c r="H34" s="42"/>
      <c r="I34" s="58"/>
      <c r="J34" s="58"/>
      <c r="K34" s="42"/>
      <c r="L34" s="58"/>
      <c r="M34" s="58"/>
      <c r="N34" s="58"/>
      <c r="O34" s="58"/>
      <c r="P34" s="58"/>
      <c r="Q34" s="58"/>
      <c r="R34" s="58"/>
      <c r="S34" s="45"/>
      <c r="T34" s="45"/>
      <c r="U34" s="45"/>
      <c r="V34" s="45"/>
      <c r="W34" s="45"/>
      <c r="X34" s="45"/>
      <c r="Y34" s="45"/>
      <c r="Z34" s="45"/>
      <c r="AA34" s="45"/>
      <c r="AB34" s="45"/>
      <c r="AC34" s="45"/>
    </row>
    <row r="35" spans="1:29" ht="26.25">
      <c r="A35" s="42">
        <f t="shared" si="0"/>
        <v>34</v>
      </c>
      <c r="B35" s="42"/>
      <c r="C35" s="42" t="s">
        <v>297</v>
      </c>
      <c r="D35" s="42" t="s">
        <v>866</v>
      </c>
      <c r="E35" s="42"/>
      <c r="F35" s="42" t="s">
        <v>867</v>
      </c>
      <c r="G35" s="42"/>
      <c r="H35" s="42"/>
      <c r="I35" s="58"/>
      <c r="J35" s="58"/>
      <c r="K35" s="42"/>
      <c r="L35" s="58"/>
      <c r="M35" s="58"/>
      <c r="N35" s="58"/>
      <c r="O35" s="58"/>
      <c r="P35" s="58"/>
      <c r="Q35" s="58"/>
      <c r="R35" s="58"/>
      <c r="S35" s="45"/>
      <c r="T35" s="45"/>
      <c r="U35" s="45"/>
      <c r="V35" s="45"/>
      <c r="W35" s="45"/>
      <c r="X35" s="45"/>
      <c r="Y35" s="45"/>
      <c r="Z35" s="45"/>
      <c r="AA35" s="45"/>
      <c r="AB35" s="45"/>
      <c r="AC35" s="45"/>
    </row>
    <row r="36" spans="1:29" ht="26.25">
      <c r="A36" s="42">
        <f t="shared" si="0"/>
        <v>35</v>
      </c>
      <c r="B36" s="42"/>
      <c r="C36" s="42" t="s">
        <v>297</v>
      </c>
      <c r="D36" s="42" t="s">
        <v>868</v>
      </c>
      <c r="E36" s="42"/>
      <c r="F36" s="42" t="s">
        <v>869</v>
      </c>
      <c r="G36" s="42"/>
      <c r="H36" s="42"/>
      <c r="I36" s="58"/>
      <c r="J36" s="58"/>
      <c r="K36" s="42"/>
      <c r="L36" s="58"/>
      <c r="M36" s="58"/>
      <c r="N36" s="58"/>
      <c r="O36" s="58"/>
      <c r="P36" s="58"/>
      <c r="Q36" s="58"/>
      <c r="R36" s="58"/>
      <c r="S36" s="45"/>
      <c r="T36" s="45"/>
      <c r="U36" s="45"/>
      <c r="V36" s="45"/>
      <c r="W36" s="45"/>
      <c r="X36" s="45"/>
      <c r="Y36" s="45"/>
      <c r="Z36" s="45"/>
      <c r="AA36" s="45"/>
      <c r="AB36" s="45"/>
      <c r="AC36" s="45"/>
    </row>
    <row r="37" spans="1:29" ht="26.25">
      <c r="A37" s="42">
        <f t="shared" si="0"/>
        <v>36</v>
      </c>
      <c r="B37" s="42"/>
      <c r="C37" s="42" t="s">
        <v>297</v>
      </c>
      <c r="D37" s="42" t="s">
        <v>323</v>
      </c>
      <c r="E37" s="42"/>
      <c r="F37" s="42" t="s">
        <v>870</v>
      </c>
      <c r="G37" s="42"/>
      <c r="H37" s="42"/>
      <c r="I37" s="58"/>
      <c r="J37" s="58"/>
      <c r="K37" s="42"/>
      <c r="L37" s="58"/>
      <c r="M37" s="58"/>
      <c r="N37" s="58"/>
      <c r="O37" s="58"/>
      <c r="P37" s="58"/>
      <c r="Q37" s="58"/>
      <c r="R37" s="58"/>
      <c r="S37" s="45"/>
      <c r="T37" s="45"/>
      <c r="U37" s="45"/>
      <c r="V37" s="45"/>
      <c r="W37" s="45"/>
      <c r="X37" s="45"/>
      <c r="Y37" s="45"/>
      <c r="Z37" s="45"/>
      <c r="AA37" s="45"/>
      <c r="AB37" s="45"/>
      <c r="AC37" s="45"/>
    </row>
    <row r="38" spans="1:29" ht="26.25">
      <c r="A38" s="42">
        <f t="shared" si="0"/>
        <v>37</v>
      </c>
      <c r="B38" s="42"/>
      <c r="C38" s="42" t="s">
        <v>297</v>
      </c>
      <c r="D38" s="42" t="s">
        <v>871</v>
      </c>
      <c r="E38" s="42"/>
      <c r="F38" s="42" t="s">
        <v>872</v>
      </c>
      <c r="G38" s="42"/>
      <c r="H38" s="42"/>
      <c r="I38" s="58"/>
      <c r="J38" s="58"/>
      <c r="K38" s="42"/>
      <c r="L38" s="58"/>
      <c r="M38" s="58"/>
      <c r="N38" s="58"/>
      <c r="O38" s="58"/>
      <c r="P38" s="58"/>
      <c r="Q38" s="58"/>
      <c r="R38" s="58"/>
      <c r="S38" s="45"/>
      <c r="T38" s="45"/>
      <c r="U38" s="45"/>
      <c r="V38" s="45"/>
      <c r="W38" s="45"/>
      <c r="X38" s="45"/>
      <c r="Y38" s="45"/>
      <c r="Z38" s="45"/>
      <c r="AA38" s="45"/>
      <c r="AB38" s="45"/>
      <c r="AC38" s="45"/>
    </row>
    <row r="39" spans="1:29" ht="26.25">
      <c r="A39" s="42">
        <f t="shared" si="0"/>
        <v>38</v>
      </c>
      <c r="B39" s="42"/>
      <c r="C39" s="42" t="s">
        <v>297</v>
      </c>
      <c r="D39" s="42" t="s">
        <v>327</v>
      </c>
      <c r="E39" s="42"/>
      <c r="F39" s="42" t="s">
        <v>873</v>
      </c>
      <c r="G39" s="42"/>
      <c r="H39" s="42"/>
      <c r="I39" s="58"/>
      <c r="J39" s="58"/>
      <c r="K39" s="42"/>
      <c r="L39" s="58"/>
      <c r="M39" s="58"/>
      <c r="N39" s="58"/>
      <c r="O39" s="58"/>
      <c r="P39" s="58"/>
      <c r="Q39" s="58"/>
      <c r="R39" s="58"/>
      <c r="S39" s="45"/>
      <c r="T39" s="45"/>
      <c r="U39" s="45"/>
      <c r="V39" s="45"/>
      <c r="W39" s="45"/>
      <c r="X39" s="45"/>
      <c r="Y39" s="45"/>
      <c r="Z39" s="45"/>
      <c r="AA39" s="45"/>
      <c r="AB39" s="45"/>
      <c r="AC39" s="45"/>
    </row>
    <row r="40" spans="1:29" ht="26.25">
      <c r="A40" s="42">
        <f t="shared" si="0"/>
        <v>39</v>
      </c>
      <c r="B40" s="42"/>
      <c r="C40" s="42" t="s">
        <v>297</v>
      </c>
      <c r="D40" s="42" t="s">
        <v>874</v>
      </c>
      <c r="E40" s="42"/>
      <c r="F40" s="42" t="s">
        <v>875</v>
      </c>
      <c r="G40" s="42"/>
      <c r="H40" s="42"/>
      <c r="I40" s="58"/>
      <c r="J40" s="58"/>
      <c r="K40" s="42"/>
      <c r="L40" s="58"/>
      <c r="M40" s="58"/>
      <c r="N40" s="58"/>
      <c r="O40" s="58"/>
      <c r="P40" s="58"/>
      <c r="Q40" s="58"/>
      <c r="R40" s="58"/>
      <c r="S40" s="45"/>
      <c r="T40" s="45"/>
      <c r="U40" s="45"/>
      <c r="V40" s="45"/>
      <c r="W40" s="45"/>
      <c r="X40" s="45"/>
      <c r="Y40" s="45"/>
      <c r="Z40" s="45"/>
      <c r="AA40" s="45"/>
      <c r="AB40" s="45"/>
      <c r="AC40" s="45"/>
    </row>
    <row r="41" spans="1:29" ht="26.25">
      <c r="A41" s="42">
        <f t="shared" si="0"/>
        <v>40</v>
      </c>
      <c r="B41" s="42"/>
      <c r="C41" s="42" t="s">
        <v>297</v>
      </c>
      <c r="D41" s="42" t="s">
        <v>876</v>
      </c>
      <c r="E41" s="42"/>
      <c r="F41" s="42" t="s">
        <v>877</v>
      </c>
      <c r="G41" s="42"/>
      <c r="H41" s="42"/>
      <c r="I41" s="58"/>
      <c r="J41" s="58"/>
      <c r="K41" s="42"/>
      <c r="L41" s="58"/>
      <c r="M41" s="58"/>
      <c r="N41" s="58"/>
      <c r="O41" s="58"/>
      <c r="P41" s="58"/>
      <c r="Q41" s="58"/>
      <c r="R41" s="58"/>
      <c r="S41" s="45"/>
      <c r="T41" s="45"/>
      <c r="U41" s="45"/>
      <c r="V41" s="45"/>
      <c r="W41" s="45"/>
      <c r="X41" s="45"/>
      <c r="Y41" s="45"/>
      <c r="Z41" s="45"/>
      <c r="AA41" s="45"/>
      <c r="AB41" s="45"/>
      <c r="AC41" s="45"/>
    </row>
    <row r="42" spans="1:29" ht="26.25">
      <c r="A42" s="42">
        <f t="shared" si="0"/>
        <v>41</v>
      </c>
      <c r="B42" s="42"/>
      <c r="C42" s="42" t="s">
        <v>297</v>
      </c>
      <c r="D42" s="42" t="s">
        <v>878</v>
      </c>
      <c r="E42" s="42"/>
      <c r="F42" s="42" t="s">
        <v>879</v>
      </c>
      <c r="G42" s="42"/>
      <c r="H42" s="42"/>
      <c r="I42" s="58"/>
      <c r="J42" s="58"/>
      <c r="K42" s="42"/>
      <c r="L42" s="58"/>
      <c r="M42" s="58"/>
      <c r="N42" s="58"/>
      <c r="O42" s="58"/>
      <c r="P42" s="58"/>
      <c r="Q42" s="58"/>
      <c r="R42" s="58"/>
      <c r="S42" s="45"/>
      <c r="T42" s="45"/>
      <c r="U42" s="45"/>
      <c r="V42" s="45"/>
      <c r="W42" s="45"/>
      <c r="X42" s="45"/>
      <c r="Y42" s="45"/>
      <c r="Z42" s="45"/>
      <c r="AA42" s="45"/>
      <c r="AB42" s="45"/>
      <c r="AC42" s="45"/>
    </row>
    <row r="43" spans="1:29" ht="26.25">
      <c r="A43" s="42">
        <f t="shared" si="0"/>
        <v>42</v>
      </c>
      <c r="B43" s="42"/>
      <c r="C43" s="42" t="s">
        <v>297</v>
      </c>
      <c r="D43" s="42" t="s">
        <v>335</v>
      </c>
      <c r="E43" s="42"/>
      <c r="F43" s="42" t="s">
        <v>880</v>
      </c>
      <c r="G43" s="42"/>
      <c r="H43" s="42"/>
      <c r="I43" s="58"/>
      <c r="J43" s="58"/>
      <c r="K43" s="42"/>
      <c r="L43" s="58"/>
      <c r="M43" s="58"/>
      <c r="N43" s="58"/>
      <c r="O43" s="58"/>
      <c r="P43" s="58"/>
      <c r="Q43" s="58"/>
      <c r="R43" s="58"/>
      <c r="S43" s="45"/>
      <c r="T43" s="45"/>
      <c r="U43" s="45"/>
      <c r="V43" s="45"/>
      <c r="W43" s="45"/>
      <c r="X43" s="45"/>
      <c r="Y43" s="45"/>
      <c r="Z43" s="45"/>
      <c r="AA43" s="45"/>
      <c r="AB43" s="45"/>
      <c r="AC43" s="45"/>
    </row>
    <row r="44" spans="1:29" ht="39.4">
      <c r="A44" s="42">
        <f t="shared" si="0"/>
        <v>43</v>
      </c>
      <c r="B44" s="42"/>
      <c r="C44" s="42" t="s">
        <v>297</v>
      </c>
      <c r="D44" s="42" t="s">
        <v>881</v>
      </c>
      <c r="E44" s="42"/>
      <c r="F44" s="42" t="s">
        <v>882</v>
      </c>
      <c r="G44" s="42"/>
      <c r="H44" s="42"/>
      <c r="I44" s="58"/>
      <c r="J44" s="58"/>
      <c r="K44" s="42"/>
      <c r="L44" s="58"/>
      <c r="M44" s="58"/>
      <c r="N44" s="58"/>
      <c r="O44" s="58"/>
      <c r="P44" s="58"/>
      <c r="Q44" s="58"/>
      <c r="R44" s="58"/>
      <c r="S44" s="45"/>
      <c r="T44" s="45"/>
      <c r="U44" s="45"/>
      <c r="V44" s="45"/>
      <c r="W44" s="45"/>
      <c r="X44" s="45"/>
      <c r="Y44" s="45"/>
      <c r="Z44" s="45"/>
      <c r="AA44" s="45"/>
      <c r="AB44" s="45"/>
      <c r="AC44" s="45"/>
    </row>
    <row r="45" spans="1:29" ht="26.25">
      <c r="A45" s="42">
        <f t="shared" si="0"/>
        <v>44</v>
      </c>
      <c r="B45" s="42"/>
      <c r="C45" s="42" t="s">
        <v>297</v>
      </c>
      <c r="D45" s="42" t="s">
        <v>883</v>
      </c>
      <c r="E45" s="42"/>
      <c r="F45" s="42" t="s">
        <v>884</v>
      </c>
      <c r="G45" s="42"/>
      <c r="H45" s="42"/>
      <c r="I45" s="58"/>
      <c r="J45" s="58"/>
      <c r="K45" s="42"/>
      <c r="L45" s="58"/>
      <c r="M45" s="58"/>
      <c r="N45" s="58"/>
      <c r="O45" s="58"/>
      <c r="P45" s="58"/>
      <c r="Q45" s="58"/>
      <c r="R45" s="58"/>
      <c r="S45" s="45"/>
      <c r="T45" s="45"/>
      <c r="U45" s="45"/>
      <c r="V45" s="45"/>
      <c r="W45" s="45"/>
      <c r="X45" s="45"/>
      <c r="Y45" s="45"/>
      <c r="Z45" s="45"/>
      <c r="AA45" s="45"/>
      <c r="AB45" s="45"/>
      <c r="AC45" s="45"/>
    </row>
    <row r="46" spans="1:29" ht="26.25">
      <c r="A46" s="42">
        <f t="shared" si="0"/>
        <v>45</v>
      </c>
      <c r="B46" s="42"/>
      <c r="C46" s="42" t="s">
        <v>297</v>
      </c>
      <c r="D46" s="42" t="s">
        <v>885</v>
      </c>
      <c r="E46" s="42"/>
      <c r="F46" s="42" t="s">
        <v>886</v>
      </c>
      <c r="G46" s="42"/>
      <c r="H46" s="42"/>
      <c r="I46" s="58"/>
      <c r="J46" s="58"/>
      <c r="K46" s="42"/>
      <c r="L46" s="58"/>
      <c r="M46" s="58"/>
      <c r="N46" s="58"/>
      <c r="O46" s="58"/>
      <c r="P46" s="58"/>
      <c r="Q46" s="58"/>
      <c r="R46" s="58"/>
      <c r="S46" s="45"/>
      <c r="T46" s="45"/>
      <c r="U46" s="45"/>
      <c r="V46" s="45"/>
      <c r="W46" s="45"/>
      <c r="X46" s="45"/>
      <c r="Y46" s="45"/>
      <c r="Z46" s="45"/>
      <c r="AA46" s="45"/>
      <c r="AB46" s="45"/>
      <c r="AC46" s="45"/>
    </row>
    <row r="47" spans="1:29" ht="26.25">
      <c r="A47" s="42">
        <f t="shared" si="0"/>
        <v>46</v>
      </c>
      <c r="B47" s="42"/>
      <c r="C47" s="42" t="s">
        <v>10</v>
      </c>
      <c r="D47" s="42" t="s">
        <v>887</v>
      </c>
      <c r="E47" s="42"/>
      <c r="F47" s="42" t="s">
        <v>888</v>
      </c>
      <c r="G47" s="42"/>
      <c r="H47" s="42"/>
      <c r="I47" s="58"/>
      <c r="J47" s="58"/>
      <c r="K47" s="42"/>
      <c r="L47" s="58"/>
      <c r="M47" s="58"/>
      <c r="N47" s="58"/>
      <c r="O47" s="58"/>
      <c r="P47" s="58"/>
      <c r="Q47" s="58"/>
      <c r="R47" s="58"/>
      <c r="S47" s="45"/>
      <c r="T47" s="45"/>
      <c r="U47" s="45"/>
      <c r="V47" s="45"/>
      <c r="W47" s="45"/>
      <c r="X47" s="45"/>
      <c r="Y47" s="45"/>
      <c r="Z47" s="45"/>
      <c r="AA47" s="45"/>
      <c r="AB47" s="45"/>
      <c r="AC47" s="45"/>
    </row>
    <row r="48" spans="1:29" ht="26.25">
      <c r="A48" s="42">
        <f t="shared" si="0"/>
        <v>47</v>
      </c>
      <c r="B48" s="42"/>
      <c r="C48" s="42" t="s">
        <v>10</v>
      </c>
      <c r="D48" s="42" t="s">
        <v>889</v>
      </c>
      <c r="E48" s="42"/>
      <c r="F48" s="42" t="s">
        <v>890</v>
      </c>
      <c r="G48" s="42"/>
      <c r="H48" s="42"/>
      <c r="I48" s="58"/>
      <c r="J48" s="58"/>
      <c r="K48" s="42"/>
      <c r="L48" s="58"/>
      <c r="M48" s="58"/>
      <c r="N48" s="58"/>
      <c r="O48" s="58"/>
      <c r="P48" s="58"/>
      <c r="Q48" s="58"/>
      <c r="R48" s="58"/>
      <c r="S48" s="45"/>
      <c r="T48" s="45"/>
      <c r="U48" s="45"/>
      <c r="V48" s="45"/>
      <c r="W48" s="45"/>
      <c r="X48" s="45"/>
      <c r="Y48" s="45"/>
      <c r="Z48" s="45"/>
      <c r="AA48" s="45"/>
      <c r="AB48" s="45"/>
      <c r="AC48" s="45"/>
    </row>
    <row r="49" spans="1:29" ht="26.25">
      <c r="A49" s="42">
        <f t="shared" si="0"/>
        <v>48</v>
      </c>
      <c r="B49" s="42"/>
      <c r="C49" s="42" t="s">
        <v>10</v>
      </c>
      <c r="D49" s="42" t="s">
        <v>493</v>
      </c>
      <c r="E49" s="42"/>
      <c r="F49" s="42" t="s">
        <v>891</v>
      </c>
      <c r="G49" s="42"/>
      <c r="H49" s="42"/>
      <c r="I49" s="58"/>
      <c r="J49" s="58"/>
      <c r="K49" s="42"/>
      <c r="L49" s="58"/>
      <c r="M49" s="58"/>
      <c r="N49" s="58"/>
      <c r="O49" s="58"/>
      <c r="P49" s="58"/>
      <c r="Q49" s="58"/>
      <c r="R49" s="58"/>
      <c r="S49" s="45"/>
      <c r="T49" s="45"/>
      <c r="U49" s="45"/>
      <c r="V49" s="45"/>
      <c r="W49" s="45"/>
      <c r="X49" s="45"/>
      <c r="Y49" s="45"/>
      <c r="Z49" s="45"/>
      <c r="AA49" s="45"/>
      <c r="AB49" s="45"/>
      <c r="AC49" s="45"/>
    </row>
    <row r="50" spans="1:29" ht="26.25">
      <c r="A50" s="42">
        <f t="shared" si="0"/>
        <v>49</v>
      </c>
      <c r="B50" s="42"/>
      <c r="C50" s="42" t="s">
        <v>10</v>
      </c>
      <c r="D50" s="42" t="s">
        <v>495</v>
      </c>
      <c r="E50" s="42"/>
      <c r="F50" s="42" t="s">
        <v>892</v>
      </c>
      <c r="G50" s="42"/>
      <c r="H50" s="42"/>
      <c r="I50" s="58"/>
      <c r="J50" s="58"/>
      <c r="K50" s="42"/>
      <c r="L50" s="58"/>
      <c r="M50" s="58"/>
      <c r="N50" s="58"/>
      <c r="O50" s="58"/>
      <c r="P50" s="58"/>
      <c r="Q50" s="58"/>
      <c r="R50" s="58"/>
      <c r="S50" s="45"/>
      <c r="T50" s="45"/>
      <c r="U50" s="45"/>
      <c r="V50" s="45"/>
      <c r="W50" s="45"/>
      <c r="X50" s="45"/>
      <c r="Y50" s="45"/>
      <c r="Z50" s="45"/>
      <c r="AA50" s="45"/>
      <c r="AB50" s="45"/>
      <c r="AC50" s="45"/>
    </row>
    <row r="51" spans="1:29" ht="26.25">
      <c r="A51" s="42">
        <f t="shared" si="0"/>
        <v>50</v>
      </c>
      <c r="B51" s="42"/>
      <c r="C51" s="42" t="s">
        <v>10</v>
      </c>
      <c r="D51" s="42" t="s">
        <v>893</v>
      </c>
      <c r="E51" s="42"/>
      <c r="F51" s="42" t="s">
        <v>894</v>
      </c>
      <c r="G51" s="42"/>
      <c r="H51" s="42"/>
      <c r="I51" s="58"/>
      <c r="J51" s="58"/>
      <c r="K51" s="42"/>
      <c r="L51" s="58"/>
      <c r="M51" s="58"/>
      <c r="N51" s="58"/>
      <c r="O51" s="58"/>
      <c r="P51" s="58"/>
      <c r="Q51" s="58"/>
      <c r="R51" s="58"/>
      <c r="S51" s="45"/>
      <c r="T51" s="45"/>
      <c r="U51" s="45"/>
      <c r="V51" s="45"/>
      <c r="W51" s="45"/>
      <c r="X51" s="45"/>
      <c r="Y51" s="45"/>
      <c r="Z51" s="45"/>
      <c r="AA51" s="45"/>
      <c r="AB51" s="45"/>
      <c r="AC51" s="45"/>
    </row>
    <row r="52" spans="1:29" ht="26.25">
      <c r="A52" s="42">
        <f t="shared" si="0"/>
        <v>51</v>
      </c>
      <c r="B52" s="42"/>
      <c r="C52" s="42" t="s">
        <v>10</v>
      </c>
      <c r="D52" s="42" t="s">
        <v>895</v>
      </c>
      <c r="E52" s="42"/>
      <c r="F52" s="42" t="s">
        <v>896</v>
      </c>
      <c r="G52" s="42"/>
      <c r="H52" s="42"/>
      <c r="I52" s="58"/>
      <c r="J52" s="58"/>
      <c r="K52" s="42"/>
      <c r="L52" s="58"/>
      <c r="M52" s="58"/>
      <c r="N52" s="58"/>
      <c r="O52" s="58"/>
      <c r="P52" s="58"/>
      <c r="Q52" s="58"/>
      <c r="R52" s="58"/>
      <c r="S52" s="45"/>
      <c r="T52" s="45"/>
      <c r="U52" s="45"/>
      <c r="V52" s="45"/>
      <c r="W52" s="45"/>
      <c r="X52" s="45"/>
      <c r="Y52" s="45"/>
      <c r="Z52" s="45"/>
      <c r="AA52" s="45"/>
      <c r="AB52" s="45"/>
      <c r="AC52" s="45"/>
    </row>
    <row r="53" spans="1:29" ht="26.25">
      <c r="A53" s="42">
        <f t="shared" si="0"/>
        <v>52</v>
      </c>
      <c r="B53" s="42"/>
      <c r="C53" s="42" t="s">
        <v>10</v>
      </c>
      <c r="D53" s="42" t="s">
        <v>502</v>
      </c>
      <c r="E53" s="42"/>
      <c r="F53" s="42" t="s">
        <v>897</v>
      </c>
      <c r="G53" s="42"/>
      <c r="H53" s="42"/>
      <c r="I53" s="58"/>
      <c r="J53" s="58"/>
      <c r="K53" s="42"/>
      <c r="L53" s="58"/>
      <c r="M53" s="58"/>
      <c r="N53" s="58"/>
      <c r="O53" s="58"/>
      <c r="P53" s="58"/>
      <c r="Q53" s="58"/>
      <c r="R53" s="58"/>
      <c r="S53" s="45"/>
      <c r="T53" s="45"/>
      <c r="U53" s="45"/>
      <c r="V53" s="45"/>
      <c r="W53" s="45"/>
      <c r="X53" s="45"/>
      <c r="Y53" s="45"/>
      <c r="Z53" s="45"/>
      <c r="AA53" s="45"/>
      <c r="AB53" s="45"/>
      <c r="AC53" s="45"/>
    </row>
    <row r="54" spans="1:29" ht="26.25">
      <c r="A54" s="42">
        <f t="shared" si="0"/>
        <v>53</v>
      </c>
      <c r="B54" s="42"/>
      <c r="C54" s="42" t="s">
        <v>10</v>
      </c>
      <c r="D54" s="42" t="s">
        <v>505</v>
      </c>
      <c r="E54" s="42"/>
      <c r="F54" s="42" t="s">
        <v>898</v>
      </c>
      <c r="G54" s="42"/>
      <c r="H54" s="42"/>
      <c r="I54" s="58"/>
      <c r="J54" s="58"/>
      <c r="K54" s="42"/>
      <c r="L54" s="58"/>
      <c r="M54" s="58"/>
      <c r="N54" s="58"/>
      <c r="O54" s="58"/>
      <c r="P54" s="58"/>
      <c r="Q54" s="58"/>
      <c r="R54" s="58"/>
      <c r="S54" s="45"/>
      <c r="T54" s="45"/>
      <c r="U54" s="45"/>
      <c r="V54" s="45"/>
      <c r="W54" s="45"/>
      <c r="X54" s="45"/>
      <c r="Y54" s="45"/>
      <c r="Z54" s="45"/>
      <c r="AA54" s="45"/>
      <c r="AB54" s="45"/>
      <c r="AC54" s="45"/>
    </row>
    <row r="55" spans="1:29" ht="26.25">
      <c r="A55" s="42">
        <f t="shared" si="0"/>
        <v>54</v>
      </c>
      <c r="B55" s="42"/>
      <c r="C55" s="42" t="s">
        <v>10</v>
      </c>
      <c r="D55" s="42" t="s">
        <v>507</v>
      </c>
      <c r="E55" s="42"/>
      <c r="F55" s="42" t="s">
        <v>899</v>
      </c>
      <c r="G55" s="42"/>
      <c r="H55" s="42"/>
      <c r="I55" s="58"/>
      <c r="J55" s="58"/>
      <c r="K55" s="42"/>
      <c r="L55" s="58"/>
      <c r="M55" s="58"/>
      <c r="N55" s="58"/>
      <c r="O55" s="58"/>
      <c r="P55" s="58"/>
      <c r="Q55" s="58"/>
      <c r="R55" s="58"/>
      <c r="S55" s="45"/>
      <c r="T55" s="45"/>
      <c r="U55" s="45"/>
      <c r="V55" s="45"/>
      <c r="W55" s="45"/>
      <c r="X55" s="45"/>
      <c r="Y55" s="45"/>
      <c r="Z55" s="45"/>
      <c r="AA55" s="45"/>
      <c r="AB55" s="45"/>
      <c r="AC55" s="45"/>
    </row>
    <row r="56" spans="1:29" ht="26.25">
      <c r="A56" s="42">
        <f t="shared" si="0"/>
        <v>55</v>
      </c>
      <c r="B56" s="42"/>
      <c r="C56" s="42" t="s">
        <v>10</v>
      </c>
      <c r="D56" s="42" t="s">
        <v>509</v>
      </c>
      <c r="E56" s="42"/>
      <c r="F56" s="42" t="s">
        <v>900</v>
      </c>
      <c r="G56" s="42"/>
      <c r="H56" s="42"/>
      <c r="I56" s="58"/>
      <c r="J56" s="58"/>
      <c r="K56" s="42"/>
      <c r="L56" s="58"/>
      <c r="M56" s="58"/>
      <c r="N56" s="58"/>
      <c r="O56" s="58"/>
      <c r="P56" s="58"/>
      <c r="Q56" s="58"/>
      <c r="R56" s="58"/>
      <c r="S56" s="45"/>
      <c r="T56" s="45"/>
      <c r="U56" s="45"/>
      <c r="V56" s="45"/>
      <c r="W56" s="45"/>
      <c r="X56" s="45"/>
      <c r="Y56" s="45"/>
      <c r="Z56" s="45"/>
      <c r="AA56" s="45"/>
      <c r="AB56" s="45"/>
      <c r="AC56" s="45"/>
    </row>
    <row r="57" spans="1:29" ht="26.25">
      <c r="A57" s="42">
        <f t="shared" si="0"/>
        <v>56</v>
      </c>
      <c r="B57" s="42"/>
      <c r="C57" s="42" t="s">
        <v>10</v>
      </c>
      <c r="D57" s="42" t="s">
        <v>511</v>
      </c>
      <c r="E57" s="42"/>
      <c r="F57" s="42" t="s">
        <v>901</v>
      </c>
      <c r="G57" s="42"/>
      <c r="H57" s="42"/>
      <c r="I57" s="58"/>
      <c r="J57" s="58"/>
      <c r="K57" s="42"/>
      <c r="L57" s="58"/>
      <c r="M57" s="58"/>
      <c r="N57" s="58"/>
      <c r="O57" s="58"/>
      <c r="P57" s="58"/>
      <c r="Q57" s="58"/>
      <c r="R57" s="58"/>
      <c r="S57" s="45"/>
      <c r="T57" s="45"/>
      <c r="U57" s="45"/>
      <c r="V57" s="45"/>
      <c r="W57" s="45"/>
      <c r="X57" s="45"/>
      <c r="Y57" s="45"/>
      <c r="Z57" s="45"/>
      <c r="AA57" s="45"/>
      <c r="AB57" s="45"/>
      <c r="AC57" s="45"/>
    </row>
    <row r="58" spans="1:29" ht="26.25">
      <c r="A58" s="42">
        <f t="shared" si="0"/>
        <v>57</v>
      </c>
      <c r="B58" s="42"/>
      <c r="C58" s="42" t="s">
        <v>10</v>
      </c>
      <c r="D58" s="42" t="s">
        <v>902</v>
      </c>
      <c r="E58" s="42"/>
      <c r="F58" s="42" t="s">
        <v>903</v>
      </c>
      <c r="G58" s="42"/>
      <c r="H58" s="42"/>
      <c r="I58" s="58"/>
      <c r="J58" s="58"/>
      <c r="K58" s="42"/>
      <c r="L58" s="58"/>
      <c r="M58" s="58"/>
      <c r="N58" s="58"/>
      <c r="O58" s="58"/>
      <c r="P58" s="58"/>
      <c r="Q58" s="58"/>
      <c r="R58" s="58"/>
      <c r="S58" s="45"/>
      <c r="T58" s="45"/>
      <c r="U58" s="45"/>
      <c r="V58" s="45"/>
      <c r="W58" s="45"/>
      <c r="X58" s="45"/>
      <c r="Y58" s="45"/>
      <c r="Z58" s="45"/>
      <c r="AA58" s="45"/>
      <c r="AB58" s="45"/>
      <c r="AC58" s="45"/>
    </row>
    <row r="59" spans="1:29" ht="26.25">
      <c r="A59" s="42">
        <f t="shared" si="0"/>
        <v>58</v>
      </c>
      <c r="B59" s="42"/>
      <c r="C59" s="42" t="s">
        <v>10</v>
      </c>
      <c r="D59" s="42" t="s">
        <v>515</v>
      </c>
      <c r="E59" s="42"/>
      <c r="F59" s="42" t="s">
        <v>904</v>
      </c>
      <c r="G59" s="42"/>
      <c r="H59" s="42"/>
      <c r="I59" s="58"/>
      <c r="J59" s="58"/>
      <c r="K59" s="42"/>
      <c r="L59" s="58"/>
      <c r="M59" s="58"/>
      <c r="N59" s="58"/>
      <c r="O59" s="58"/>
      <c r="P59" s="58"/>
      <c r="Q59" s="58"/>
      <c r="R59" s="58"/>
      <c r="S59" s="45"/>
      <c r="T59" s="45"/>
      <c r="U59" s="45"/>
      <c r="V59" s="45"/>
      <c r="W59" s="45"/>
      <c r="X59" s="45"/>
      <c r="Y59" s="45"/>
      <c r="Z59" s="45"/>
      <c r="AA59" s="45"/>
      <c r="AB59" s="45"/>
      <c r="AC59" s="45"/>
    </row>
    <row r="60" spans="1:29" ht="26.25">
      <c r="A60" s="42">
        <f t="shared" si="0"/>
        <v>59</v>
      </c>
      <c r="B60" s="42"/>
      <c r="C60" s="42" t="s">
        <v>10</v>
      </c>
      <c r="D60" s="42" t="s">
        <v>518</v>
      </c>
      <c r="E60" s="42"/>
      <c r="F60" s="42" t="s">
        <v>905</v>
      </c>
      <c r="G60" s="42"/>
      <c r="H60" s="42"/>
      <c r="I60" s="58"/>
      <c r="J60" s="58"/>
      <c r="K60" s="42"/>
      <c r="L60" s="58"/>
      <c r="M60" s="58"/>
      <c r="N60" s="58"/>
      <c r="O60" s="58"/>
      <c r="P60" s="58"/>
      <c r="Q60" s="58"/>
      <c r="R60" s="58"/>
      <c r="S60" s="45"/>
      <c r="T60" s="45"/>
      <c r="U60" s="45"/>
      <c r="V60" s="45"/>
      <c r="W60" s="45"/>
      <c r="X60" s="45"/>
      <c r="Y60" s="45"/>
      <c r="Z60" s="45"/>
      <c r="AA60" s="45"/>
      <c r="AB60" s="45"/>
      <c r="AC60" s="45"/>
    </row>
    <row r="61" spans="1:29" ht="26.25">
      <c r="A61" s="42">
        <f t="shared" si="0"/>
        <v>60</v>
      </c>
      <c r="B61" s="42"/>
      <c r="C61" s="42" t="s">
        <v>10</v>
      </c>
      <c r="D61" s="42" t="s">
        <v>520</v>
      </c>
      <c r="E61" s="42"/>
      <c r="F61" s="42" t="s">
        <v>906</v>
      </c>
      <c r="G61" s="42"/>
      <c r="H61" s="42"/>
      <c r="I61" s="58"/>
      <c r="J61" s="58"/>
      <c r="K61" s="42"/>
      <c r="L61" s="58"/>
      <c r="M61" s="58"/>
      <c r="N61" s="58"/>
      <c r="O61" s="58"/>
      <c r="P61" s="58"/>
      <c r="Q61" s="58"/>
      <c r="R61" s="58"/>
      <c r="S61" s="45"/>
      <c r="T61" s="45"/>
      <c r="U61" s="45"/>
      <c r="V61" s="45"/>
      <c r="W61" s="45"/>
      <c r="X61" s="45"/>
      <c r="Y61" s="45"/>
      <c r="Z61" s="45"/>
      <c r="AA61" s="45"/>
      <c r="AB61" s="45"/>
      <c r="AC61" s="45"/>
    </row>
    <row r="62" spans="1:29" ht="26.25">
      <c r="A62" s="42">
        <f t="shared" si="0"/>
        <v>61</v>
      </c>
      <c r="B62" s="42"/>
      <c r="C62" s="42" t="s">
        <v>10</v>
      </c>
      <c r="D62" s="42" t="s">
        <v>523</v>
      </c>
      <c r="E62" s="42"/>
      <c r="F62" s="42" t="s">
        <v>907</v>
      </c>
      <c r="G62" s="42"/>
      <c r="H62" s="42"/>
      <c r="I62" s="58"/>
      <c r="J62" s="58"/>
      <c r="K62" s="42"/>
      <c r="L62" s="58"/>
      <c r="M62" s="58"/>
      <c r="N62" s="58"/>
      <c r="O62" s="58"/>
      <c r="P62" s="58"/>
      <c r="Q62" s="58"/>
      <c r="R62" s="58"/>
      <c r="S62" s="45"/>
      <c r="T62" s="45"/>
      <c r="U62" s="45"/>
      <c r="V62" s="45"/>
      <c r="W62" s="45"/>
      <c r="X62" s="45"/>
      <c r="Y62" s="45"/>
      <c r="Z62" s="45"/>
      <c r="AA62" s="45"/>
      <c r="AB62" s="45"/>
      <c r="AC62" s="45"/>
    </row>
    <row r="63" spans="1:29" ht="26.25">
      <c r="A63" s="42">
        <f t="shared" si="0"/>
        <v>62</v>
      </c>
      <c r="B63" s="42"/>
      <c r="C63" s="42" t="s">
        <v>10</v>
      </c>
      <c r="D63" s="42" t="s">
        <v>908</v>
      </c>
      <c r="E63" s="42"/>
      <c r="F63" s="42" t="s">
        <v>909</v>
      </c>
      <c r="G63" s="42"/>
      <c r="H63" s="42"/>
      <c r="I63" s="58"/>
      <c r="J63" s="58"/>
      <c r="K63" s="42"/>
      <c r="L63" s="58"/>
      <c r="M63" s="58"/>
      <c r="N63" s="58"/>
      <c r="O63" s="58"/>
      <c r="P63" s="58"/>
      <c r="Q63" s="58"/>
      <c r="R63" s="58"/>
      <c r="S63" s="45"/>
      <c r="T63" s="45"/>
      <c r="U63" s="45"/>
      <c r="V63" s="45"/>
      <c r="W63" s="45"/>
      <c r="X63" s="45"/>
      <c r="Y63" s="45"/>
      <c r="Z63" s="45"/>
      <c r="AA63" s="45"/>
      <c r="AB63" s="45"/>
      <c r="AC63" s="45"/>
    </row>
    <row r="64" spans="1:29" ht="39.4">
      <c r="A64" s="42">
        <f t="shared" si="0"/>
        <v>63</v>
      </c>
      <c r="B64" s="42"/>
      <c r="C64" s="42" t="s">
        <v>10</v>
      </c>
      <c r="D64" s="42" t="s">
        <v>910</v>
      </c>
      <c r="E64" s="42"/>
      <c r="F64" s="42" t="s">
        <v>911</v>
      </c>
      <c r="G64" s="42"/>
      <c r="H64" s="42"/>
      <c r="I64" s="58"/>
      <c r="J64" s="58"/>
      <c r="K64" s="42"/>
      <c r="L64" s="58"/>
      <c r="M64" s="58"/>
      <c r="N64" s="58"/>
      <c r="O64" s="58"/>
      <c r="P64" s="58"/>
      <c r="Q64" s="58"/>
      <c r="R64" s="58"/>
      <c r="S64" s="45"/>
      <c r="T64" s="45"/>
      <c r="U64" s="45"/>
      <c r="V64" s="45"/>
      <c r="W64" s="45"/>
      <c r="X64" s="45"/>
      <c r="Y64" s="45"/>
      <c r="Z64" s="45"/>
      <c r="AA64" s="45"/>
      <c r="AB64" s="45"/>
      <c r="AC64" s="45"/>
    </row>
    <row r="65" spans="1:29" ht="26.25">
      <c r="A65" s="42">
        <f t="shared" si="0"/>
        <v>64</v>
      </c>
      <c r="B65" s="42"/>
      <c r="C65" s="42" t="s">
        <v>10</v>
      </c>
      <c r="D65" s="42" t="s">
        <v>912</v>
      </c>
      <c r="E65" s="42"/>
      <c r="F65" s="42" t="s">
        <v>913</v>
      </c>
      <c r="G65" s="42"/>
      <c r="H65" s="42"/>
      <c r="I65" s="58"/>
      <c r="J65" s="58"/>
      <c r="K65" s="42"/>
      <c r="L65" s="58"/>
      <c r="M65" s="58"/>
      <c r="N65" s="58"/>
      <c r="O65" s="58"/>
      <c r="P65" s="58"/>
      <c r="Q65" s="58"/>
      <c r="R65" s="58"/>
      <c r="S65" s="45"/>
      <c r="T65" s="45"/>
      <c r="U65" s="45"/>
      <c r="V65" s="45"/>
      <c r="W65" s="45"/>
      <c r="X65" s="45"/>
      <c r="Y65" s="45"/>
      <c r="Z65" s="45"/>
      <c r="AA65" s="45"/>
      <c r="AB65" s="45"/>
      <c r="AC65" s="45"/>
    </row>
    <row r="66" spans="1:29" ht="26.25">
      <c r="A66" s="42">
        <f t="shared" si="0"/>
        <v>65</v>
      </c>
      <c r="B66" s="42"/>
      <c r="C66" s="42" t="s">
        <v>10</v>
      </c>
      <c r="D66" s="42" t="s">
        <v>914</v>
      </c>
      <c r="E66" s="42"/>
      <c r="F66" s="42" t="s">
        <v>915</v>
      </c>
      <c r="G66" s="42"/>
      <c r="H66" s="42"/>
      <c r="I66" s="58"/>
      <c r="J66" s="58"/>
      <c r="K66" s="42"/>
      <c r="L66" s="58"/>
      <c r="M66" s="58"/>
      <c r="N66" s="58"/>
      <c r="O66" s="58"/>
      <c r="P66" s="58"/>
      <c r="Q66" s="58"/>
      <c r="R66" s="58"/>
      <c r="S66" s="45"/>
      <c r="T66" s="45"/>
      <c r="U66" s="45"/>
      <c r="V66" s="45"/>
      <c r="W66" s="45"/>
      <c r="X66" s="45"/>
      <c r="Y66" s="45"/>
      <c r="Z66" s="45"/>
      <c r="AA66" s="45"/>
      <c r="AB66" s="45"/>
      <c r="AC66" s="45"/>
    </row>
    <row r="67" spans="1:29" ht="26.25">
      <c r="A67" s="42">
        <f t="shared" si="0"/>
        <v>66</v>
      </c>
      <c r="B67" s="42"/>
      <c r="C67" s="42" t="s">
        <v>10</v>
      </c>
      <c r="D67" s="42" t="s">
        <v>534</v>
      </c>
      <c r="E67" s="42"/>
      <c r="F67" s="42" t="s">
        <v>916</v>
      </c>
      <c r="G67" s="42"/>
      <c r="H67" s="42"/>
      <c r="I67" s="58"/>
      <c r="J67" s="58"/>
      <c r="K67" s="42"/>
      <c r="L67" s="58"/>
      <c r="M67" s="58"/>
      <c r="N67" s="58"/>
      <c r="O67" s="58"/>
      <c r="P67" s="58"/>
      <c r="Q67" s="58"/>
      <c r="R67" s="58"/>
      <c r="S67" s="45"/>
      <c r="T67" s="45"/>
      <c r="U67" s="45"/>
      <c r="V67" s="45"/>
      <c r="W67" s="45"/>
      <c r="X67" s="45"/>
      <c r="Y67" s="45"/>
      <c r="Z67" s="45"/>
      <c r="AA67" s="45"/>
      <c r="AB67" s="45"/>
      <c r="AC67" s="45"/>
    </row>
    <row r="68" spans="1:29" ht="39.4">
      <c r="A68" s="42">
        <f t="shared" si="0"/>
        <v>67</v>
      </c>
      <c r="B68" s="42"/>
      <c r="C68" s="42" t="s">
        <v>10</v>
      </c>
      <c r="D68" s="42" t="s">
        <v>536</v>
      </c>
      <c r="E68" s="42"/>
      <c r="F68" s="42" t="s">
        <v>917</v>
      </c>
      <c r="G68" s="42"/>
      <c r="H68" s="42"/>
      <c r="I68" s="58"/>
      <c r="J68" s="58"/>
      <c r="K68" s="42"/>
      <c r="L68" s="58"/>
      <c r="M68" s="58"/>
      <c r="N68" s="58"/>
      <c r="O68" s="58"/>
      <c r="P68" s="58"/>
      <c r="Q68" s="58"/>
      <c r="R68" s="58"/>
      <c r="S68" s="45"/>
      <c r="T68" s="45"/>
      <c r="U68" s="45"/>
      <c r="V68" s="45"/>
      <c r="W68" s="45"/>
      <c r="X68" s="45"/>
      <c r="Y68" s="45"/>
      <c r="Z68" s="45"/>
      <c r="AA68" s="45"/>
      <c r="AB68" s="45"/>
      <c r="AC68" s="45"/>
    </row>
    <row r="69" spans="1:29" ht="26.25">
      <c r="A69" s="42">
        <f t="shared" si="0"/>
        <v>68</v>
      </c>
      <c r="B69" s="42"/>
      <c r="C69" s="42" t="s">
        <v>10</v>
      </c>
      <c r="D69" s="42" t="s">
        <v>538</v>
      </c>
      <c r="E69" s="42"/>
      <c r="F69" s="42" t="s">
        <v>918</v>
      </c>
      <c r="G69" s="42"/>
      <c r="H69" s="42"/>
      <c r="I69" s="58"/>
      <c r="J69" s="58"/>
      <c r="K69" s="42"/>
      <c r="L69" s="58"/>
      <c r="M69" s="58"/>
      <c r="N69" s="58"/>
      <c r="O69" s="58"/>
      <c r="P69" s="58"/>
      <c r="Q69" s="58"/>
      <c r="R69" s="58"/>
      <c r="S69" s="45"/>
      <c r="T69" s="45"/>
      <c r="U69" s="45"/>
      <c r="V69" s="45"/>
      <c r="W69" s="45"/>
      <c r="X69" s="45"/>
      <c r="Y69" s="45"/>
      <c r="Z69" s="45"/>
      <c r="AA69" s="45"/>
      <c r="AB69" s="45"/>
      <c r="AC69" s="45"/>
    </row>
    <row r="70" spans="1:29" ht="26.25">
      <c r="A70" s="42">
        <f t="shared" si="0"/>
        <v>69</v>
      </c>
      <c r="B70" s="42"/>
      <c r="C70" s="42" t="s">
        <v>10</v>
      </c>
      <c r="D70" s="42" t="s">
        <v>540</v>
      </c>
      <c r="E70" s="42"/>
      <c r="F70" s="42" t="s">
        <v>919</v>
      </c>
      <c r="G70" s="42"/>
      <c r="H70" s="42"/>
      <c r="I70" s="58"/>
      <c r="J70" s="58"/>
      <c r="K70" s="42"/>
      <c r="L70" s="58"/>
      <c r="M70" s="58"/>
      <c r="N70" s="58"/>
      <c r="O70" s="58"/>
      <c r="P70" s="58"/>
      <c r="Q70" s="58"/>
      <c r="R70" s="58"/>
      <c r="S70" s="45"/>
      <c r="T70" s="45"/>
      <c r="U70" s="45"/>
      <c r="V70" s="45"/>
      <c r="W70" s="45"/>
      <c r="X70" s="45"/>
      <c r="Y70" s="45"/>
      <c r="Z70" s="45"/>
      <c r="AA70" s="45"/>
      <c r="AB70" s="45"/>
      <c r="AC70" s="45"/>
    </row>
    <row r="71" spans="1:29" ht="52.5">
      <c r="A71" s="42">
        <f t="shared" si="0"/>
        <v>70</v>
      </c>
      <c r="B71" s="42"/>
      <c r="C71" s="42" t="s">
        <v>389</v>
      </c>
      <c r="D71" s="42" t="s">
        <v>920</v>
      </c>
      <c r="E71" s="42"/>
      <c r="F71" s="42" t="s">
        <v>921</v>
      </c>
      <c r="G71" s="42"/>
      <c r="H71" s="42"/>
      <c r="I71" s="58"/>
      <c r="J71" s="58"/>
      <c r="K71" s="42"/>
      <c r="L71" s="58"/>
      <c r="M71" s="58"/>
      <c r="N71" s="58"/>
      <c r="O71" s="58"/>
      <c r="P71" s="58"/>
      <c r="Q71" s="58"/>
      <c r="R71" s="58"/>
      <c r="S71" s="45"/>
      <c r="T71" s="45"/>
      <c r="U71" s="45"/>
      <c r="V71" s="45"/>
      <c r="W71" s="45"/>
      <c r="X71" s="45"/>
      <c r="Y71" s="45"/>
      <c r="Z71" s="45"/>
      <c r="AA71" s="45"/>
      <c r="AB71" s="45"/>
      <c r="AC71" s="45"/>
    </row>
    <row r="72" spans="1:29" ht="26.25">
      <c r="A72" s="42">
        <f t="shared" si="0"/>
        <v>71</v>
      </c>
      <c r="B72" s="42"/>
      <c r="C72" s="42" t="s">
        <v>389</v>
      </c>
      <c r="D72" s="42" t="s">
        <v>922</v>
      </c>
      <c r="E72" s="42"/>
      <c r="F72" s="42" t="s">
        <v>923</v>
      </c>
      <c r="G72" s="42"/>
      <c r="H72" s="42"/>
      <c r="I72" s="58"/>
      <c r="J72" s="58"/>
      <c r="K72" s="42"/>
      <c r="L72" s="58"/>
      <c r="M72" s="58"/>
      <c r="N72" s="58"/>
      <c r="O72" s="58"/>
      <c r="P72" s="58"/>
      <c r="Q72" s="58"/>
      <c r="R72" s="58"/>
      <c r="S72" s="45"/>
      <c r="T72" s="45"/>
      <c r="U72" s="45"/>
      <c r="V72" s="45"/>
      <c r="W72" s="45"/>
      <c r="X72" s="45"/>
      <c r="Y72" s="45"/>
      <c r="Z72" s="45"/>
      <c r="AA72" s="45"/>
      <c r="AB72" s="45"/>
      <c r="AC72" s="45"/>
    </row>
    <row r="73" spans="1:29" ht="26.25">
      <c r="A73" s="42">
        <f t="shared" si="0"/>
        <v>72</v>
      </c>
      <c r="B73" s="42"/>
      <c r="C73" s="42" t="s">
        <v>389</v>
      </c>
      <c r="D73" s="42" t="s">
        <v>924</v>
      </c>
      <c r="E73" s="42"/>
      <c r="F73" s="42" t="s">
        <v>925</v>
      </c>
      <c r="G73" s="42"/>
      <c r="H73" s="42"/>
      <c r="I73" s="58"/>
      <c r="J73" s="58"/>
      <c r="K73" s="42"/>
      <c r="L73" s="58"/>
      <c r="M73" s="58"/>
      <c r="N73" s="58"/>
      <c r="O73" s="58"/>
      <c r="P73" s="58"/>
      <c r="Q73" s="58"/>
      <c r="R73" s="58"/>
      <c r="S73" s="45"/>
      <c r="T73" s="45"/>
      <c r="U73" s="45"/>
      <c r="V73" s="45"/>
      <c r="W73" s="45"/>
      <c r="X73" s="45"/>
      <c r="Y73" s="45"/>
      <c r="Z73" s="45"/>
      <c r="AA73" s="45"/>
      <c r="AB73" s="45"/>
      <c r="AC73" s="45"/>
    </row>
    <row r="74" spans="1:29" ht="39.4">
      <c r="A74" s="42">
        <f t="shared" si="0"/>
        <v>73</v>
      </c>
      <c r="B74" s="42"/>
      <c r="C74" s="42" t="s">
        <v>389</v>
      </c>
      <c r="D74" s="42" t="s">
        <v>926</v>
      </c>
      <c r="E74" s="42"/>
      <c r="F74" s="42" t="s">
        <v>927</v>
      </c>
      <c r="G74" s="42"/>
      <c r="H74" s="42"/>
      <c r="I74" s="58"/>
      <c r="J74" s="58"/>
      <c r="K74" s="42"/>
      <c r="L74" s="58"/>
      <c r="M74" s="58"/>
      <c r="N74" s="58"/>
      <c r="O74" s="58"/>
      <c r="P74" s="58"/>
      <c r="Q74" s="58"/>
      <c r="R74" s="58"/>
      <c r="S74" s="45"/>
      <c r="T74" s="45"/>
      <c r="U74" s="45"/>
      <c r="V74" s="45"/>
      <c r="W74" s="45"/>
      <c r="X74" s="45"/>
      <c r="Y74" s="45"/>
      <c r="Z74" s="45"/>
      <c r="AA74" s="45"/>
      <c r="AB74" s="45"/>
      <c r="AC74" s="45"/>
    </row>
    <row r="75" spans="1:29" ht="26.25">
      <c r="A75" s="42">
        <f t="shared" si="0"/>
        <v>74</v>
      </c>
      <c r="B75" s="42"/>
      <c r="C75" s="42" t="s">
        <v>389</v>
      </c>
      <c r="D75" s="42" t="s">
        <v>928</v>
      </c>
      <c r="E75" s="42"/>
      <c r="F75" s="42" t="s">
        <v>929</v>
      </c>
      <c r="G75" s="42"/>
      <c r="H75" s="42"/>
      <c r="I75" s="58"/>
      <c r="J75" s="58"/>
      <c r="K75" s="42"/>
      <c r="L75" s="58"/>
      <c r="M75" s="58"/>
      <c r="N75" s="58"/>
      <c r="O75" s="58"/>
      <c r="P75" s="58"/>
      <c r="Q75" s="58"/>
      <c r="R75" s="58"/>
      <c r="S75" s="45"/>
      <c r="T75" s="45"/>
      <c r="U75" s="45"/>
      <c r="V75" s="45"/>
      <c r="W75" s="45"/>
      <c r="X75" s="45"/>
      <c r="Y75" s="45"/>
      <c r="Z75" s="45"/>
      <c r="AA75" s="45"/>
      <c r="AB75" s="45"/>
      <c r="AC75" s="45"/>
    </row>
    <row r="76" spans="1:29" ht="39.4">
      <c r="A76" s="42">
        <f t="shared" si="0"/>
        <v>75</v>
      </c>
      <c r="B76" s="42"/>
      <c r="C76" s="42" t="s">
        <v>389</v>
      </c>
      <c r="D76" s="42" t="s">
        <v>402</v>
      </c>
      <c r="E76" s="42"/>
      <c r="F76" s="42" t="s">
        <v>930</v>
      </c>
      <c r="G76" s="42"/>
      <c r="H76" s="42"/>
      <c r="I76" s="58"/>
      <c r="J76" s="58"/>
      <c r="K76" s="42"/>
      <c r="L76" s="58"/>
      <c r="M76" s="58"/>
      <c r="N76" s="58"/>
      <c r="O76" s="58"/>
      <c r="P76" s="58"/>
      <c r="Q76" s="58"/>
      <c r="R76" s="58"/>
      <c r="S76" s="45"/>
      <c r="T76" s="45"/>
      <c r="U76" s="45"/>
      <c r="V76" s="45"/>
      <c r="W76" s="45"/>
      <c r="X76" s="45"/>
      <c r="Y76" s="45"/>
      <c r="Z76" s="45"/>
      <c r="AA76" s="45"/>
      <c r="AB76" s="45"/>
      <c r="AC76" s="45"/>
    </row>
    <row r="77" spans="1:29" ht="26.25">
      <c r="A77" s="42">
        <f t="shared" si="0"/>
        <v>76</v>
      </c>
      <c r="B77" s="42"/>
      <c r="C77" s="42" t="s">
        <v>389</v>
      </c>
      <c r="D77" s="42" t="s">
        <v>931</v>
      </c>
      <c r="E77" s="42"/>
      <c r="F77" s="42" t="s">
        <v>932</v>
      </c>
      <c r="G77" s="42"/>
      <c r="H77" s="42"/>
      <c r="I77" s="58"/>
      <c r="J77" s="58"/>
      <c r="K77" s="42"/>
      <c r="L77" s="58"/>
      <c r="M77" s="58"/>
      <c r="N77" s="58"/>
      <c r="O77" s="58"/>
      <c r="P77" s="58"/>
      <c r="Q77" s="58"/>
      <c r="R77" s="58"/>
      <c r="S77" s="45"/>
      <c r="T77" s="45"/>
      <c r="U77" s="45"/>
      <c r="V77" s="45"/>
      <c r="W77" s="45"/>
      <c r="X77" s="45"/>
      <c r="Y77" s="45"/>
      <c r="Z77" s="45"/>
      <c r="AA77" s="45"/>
      <c r="AB77" s="45"/>
      <c r="AC77" s="45"/>
    </row>
    <row r="78" spans="1:29" ht="26.25">
      <c r="A78" s="42">
        <f t="shared" si="0"/>
        <v>77</v>
      </c>
      <c r="B78" s="42"/>
      <c r="C78" s="42" t="s">
        <v>389</v>
      </c>
      <c r="D78" s="42" t="s">
        <v>933</v>
      </c>
      <c r="E78" s="42"/>
      <c r="F78" s="42" t="s">
        <v>934</v>
      </c>
      <c r="G78" s="42"/>
      <c r="H78" s="42"/>
      <c r="I78" s="58"/>
      <c r="J78" s="58"/>
      <c r="K78" s="42"/>
      <c r="L78" s="58"/>
      <c r="M78" s="58"/>
      <c r="N78" s="58"/>
      <c r="O78" s="58"/>
      <c r="P78" s="58"/>
      <c r="Q78" s="58"/>
      <c r="R78" s="58"/>
      <c r="S78" s="45"/>
      <c r="T78" s="45"/>
      <c r="U78" s="45"/>
      <c r="V78" s="45"/>
      <c r="W78" s="45"/>
      <c r="X78" s="45"/>
      <c r="Y78" s="45"/>
      <c r="Z78" s="45"/>
      <c r="AA78" s="45"/>
      <c r="AB78" s="45"/>
      <c r="AC78" s="45"/>
    </row>
    <row r="79" spans="1:29" ht="26.25">
      <c r="A79" s="42">
        <f t="shared" si="0"/>
        <v>78</v>
      </c>
      <c r="B79" s="42"/>
      <c r="C79" s="42" t="s">
        <v>389</v>
      </c>
      <c r="D79" s="42" t="s">
        <v>409</v>
      </c>
      <c r="E79" s="42"/>
      <c r="F79" s="42" t="s">
        <v>935</v>
      </c>
      <c r="G79" s="42"/>
      <c r="H79" s="42"/>
      <c r="I79" s="58"/>
      <c r="J79" s="58"/>
      <c r="K79" s="42"/>
      <c r="L79" s="58"/>
      <c r="M79" s="58"/>
      <c r="N79" s="58"/>
      <c r="O79" s="58"/>
      <c r="P79" s="58"/>
      <c r="Q79" s="58"/>
      <c r="R79" s="58"/>
      <c r="S79" s="45"/>
      <c r="T79" s="45"/>
      <c r="U79" s="45"/>
      <c r="V79" s="45"/>
      <c r="W79" s="45"/>
      <c r="X79" s="45"/>
      <c r="Y79" s="45"/>
      <c r="Z79" s="45"/>
      <c r="AA79" s="45"/>
      <c r="AB79" s="45"/>
      <c r="AC79" s="45"/>
    </row>
    <row r="80" spans="1:29" ht="26.25">
      <c r="A80" s="42">
        <f t="shared" si="0"/>
        <v>79</v>
      </c>
      <c r="B80" s="42"/>
      <c r="C80" s="42" t="s">
        <v>389</v>
      </c>
      <c r="D80" s="42" t="s">
        <v>936</v>
      </c>
      <c r="E80" s="42"/>
      <c r="F80" s="42" t="s">
        <v>937</v>
      </c>
      <c r="G80" s="42"/>
      <c r="H80" s="42"/>
      <c r="I80" s="58"/>
      <c r="J80" s="58"/>
      <c r="K80" s="42"/>
      <c r="L80" s="58"/>
      <c r="M80" s="58"/>
      <c r="N80" s="58"/>
      <c r="O80" s="58"/>
      <c r="P80" s="58"/>
      <c r="Q80" s="58"/>
      <c r="R80" s="58"/>
      <c r="S80" s="45"/>
      <c r="T80" s="45"/>
      <c r="U80" s="45"/>
      <c r="V80" s="45"/>
      <c r="W80" s="45"/>
      <c r="X80" s="45"/>
      <c r="Y80" s="45"/>
      <c r="Z80" s="45"/>
      <c r="AA80" s="45"/>
      <c r="AB80" s="45"/>
      <c r="AC80" s="45"/>
    </row>
    <row r="81" spans="1:29" ht="26.25">
      <c r="A81" s="42">
        <f t="shared" si="0"/>
        <v>80</v>
      </c>
      <c r="B81" s="42"/>
      <c r="C81" s="42" t="s">
        <v>389</v>
      </c>
      <c r="D81" s="42" t="s">
        <v>938</v>
      </c>
      <c r="E81" s="42"/>
      <c r="F81" s="42" t="s">
        <v>939</v>
      </c>
      <c r="G81" s="42"/>
      <c r="H81" s="42"/>
      <c r="I81" s="58"/>
      <c r="J81" s="58"/>
      <c r="K81" s="42"/>
      <c r="L81" s="58"/>
      <c r="M81" s="58"/>
      <c r="N81" s="58"/>
      <c r="O81" s="58"/>
      <c r="P81" s="58"/>
      <c r="Q81" s="58"/>
      <c r="R81" s="58"/>
      <c r="S81" s="45"/>
      <c r="T81" s="45"/>
      <c r="U81" s="45"/>
      <c r="V81" s="45"/>
      <c r="W81" s="45"/>
      <c r="X81" s="45"/>
      <c r="Y81" s="45"/>
      <c r="Z81" s="45"/>
      <c r="AA81" s="45"/>
      <c r="AB81" s="45"/>
      <c r="AC81" s="45"/>
    </row>
    <row r="82" spans="1:29" ht="26.25">
      <c r="A82" s="42">
        <f t="shared" si="0"/>
        <v>81</v>
      </c>
      <c r="B82" s="42"/>
      <c r="C82" s="42" t="s">
        <v>389</v>
      </c>
      <c r="D82" s="42" t="s">
        <v>940</v>
      </c>
      <c r="E82" s="42"/>
      <c r="F82" s="42" t="s">
        <v>941</v>
      </c>
      <c r="G82" s="42"/>
      <c r="H82" s="42"/>
      <c r="I82" s="58"/>
      <c r="J82" s="58"/>
      <c r="K82" s="42"/>
      <c r="L82" s="58"/>
      <c r="M82" s="58"/>
      <c r="N82" s="58"/>
      <c r="O82" s="58"/>
      <c r="P82" s="58"/>
      <c r="Q82" s="58"/>
      <c r="R82" s="58"/>
      <c r="S82" s="45"/>
      <c r="T82" s="45"/>
      <c r="U82" s="45"/>
      <c r="V82" s="45"/>
      <c r="W82" s="45"/>
      <c r="X82" s="45"/>
      <c r="Y82" s="45"/>
      <c r="Z82" s="45"/>
      <c r="AA82" s="45"/>
      <c r="AB82" s="45"/>
      <c r="AC82" s="45"/>
    </row>
    <row r="83" spans="1:29" ht="26.25">
      <c r="A83" s="42">
        <f t="shared" si="0"/>
        <v>82</v>
      </c>
      <c r="B83" s="42"/>
      <c r="C83" s="42" t="s">
        <v>389</v>
      </c>
      <c r="D83" s="42" t="s">
        <v>942</v>
      </c>
      <c r="E83" s="42"/>
      <c r="F83" s="42" t="s">
        <v>943</v>
      </c>
      <c r="G83" s="42"/>
      <c r="H83" s="42"/>
      <c r="I83" s="58"/>
      <c r="J83" s="58"/>
      <c r="K83" s="42"/>
      <c r="L83" s="58"/>
      <c r="M83" s="58"/>
      <c r="N83" s="58"/>
      <c r="O83" s="58"/>
      <c r="P83" s="58"/>
      <c r="Q83" s="58"/>
      <c r="R83" s="58"/>
      <c r="S83" s="45"/>
      <c r="T83" s="45"/>
      <c r="U83" s="45"/>
      <c r="V83" s="45"/>
      <c r="W83" s="45"/>
      <c r="X83" s="45"/>
      <c r="Y83" s="45"/>
      <c r="Z83" s="45"/>
      <c r="AA83" s="45"/>
      <c r="AB83" s="45"/>
      <c r="AC83" s="45"/>
    </row>
    <row r="84" spans="1:29" ht="39.4">
      <c r="A84" s="42">
        <f t="shared" si="0"/>
        <v>83</v>
      </c>
      <c r="B84" s="42"/>
      <c r="C84" s="42" t="s">
        <v>389</v>
      </c>
      <c r="D84" s="42" t="s">
        <v>944</v>
      </c>
      <c r="E84" s="42"/>
      <c r="F84" s="42" t="s">
        <v>945</v>
      </c>
      <c r="G84" s="42"/>
      <c r="H84" s="42"/>
      <c r="I84" s="58"/>
      <c r="J84" s="58"/>
      <c r="K84" s="42"/>
      <c r="L84" s="58"/>
      <c r="M84" s="58"/>
      <c r="N84" s="58"/>
      <c r="O84" s="58"/>
      <c r="P84" s="58"/>
      <c r="Q84" s="58"/>
      <c r="R84" s="58"/>
      <c r="S84" s="45"/>
      <c r="T84" s="45"/>
      <c r="U84" s="45"/>
      <c r="V84" s="45"/>
      <c r="W84" s="45"/>
      <c r="X84" s="45"/>
      <c r="Y84" s="45"/>
      <c r="Z84" s="45"/>
      <c r="AA84" s="45"/>
      <c r="AB84" s="45"/>
      <c r="AC84" s="45"/>
    </row>
    <row r="85" spans="1:29" ht="39.4">
      <c r="A85" s="42">
        <f t="shared" si="0"/>
        <v>84</v>
      </c>
      <c r="B85" s="42"/>
      <c r="C85" s="42" t="s">
        <v>389</v>
      </c>
      <c r="D85" s="42" t="s">
        <v>946</v>
      </c>
      <c r="E85" s="42"/>
      <c r="F85" s="42" t="s">
        <v>947</v>
      </c>
      <c r="G85" s="42"/>
      <c r="H85" s="42"/>
      <c r="I85" s="58"/>
      <c r="J85" s="58"/>
      <c r="K85" s="42"/>
      <c r="L85" s="58"/>
      <c r="M85" s="58"/>
      <c r="N85" s="58"/>
      <c r="O85" s="58"/>
      <c r="P85" s="58"/>
      <c r="Q85" s="58"/>
      <c r="R85" s="58"/>
      <c r="S85" s="45"/>
      <c r="T85" s="45"/>
      <c r="U85" s="45"/>
      <c r="V85" s="45"/>
      <c r="W85" s="45"/>
      <c r="X85" s="45"/>
      <c r="Y85" s="45"/>
      <c r="Z85" s="45"/>
      <c r="AA85" s="45"/>
      <c r="AB85" s="45"/>
      <c r="AC85" s="45"/>
    </row>
    <row r="86" spans="1:29" ht="26.25">
      <c r="A86" s="42">
        <f t="shared" si="0"/>
        <v>85</v>
      </c>
      <c r="B86" s="42"/>
      <c r="C86" s="42" t="s">
        <v>389</v>
      </c>
      <c r="D86" s="42" t="s">
        <v>948</v>
      </c>
      <c r="E86" s="42"/>
      <c r="F86" s="42" t="s">
        <v>949</v>
      </c>
      <c r="G86" s="42"/>
      <c r="H86" s="42"/>
      <c r="I86" s="58"/>
      <c r="J86" s="58"/>
      <c r="K86" s="42"/>
      <c r="L86" s="58"/>
      <c r="M86" s="58"/>
      <c r="N86" s="58"/>
      <c r="O86" s="58"/>
      <c r="P86" s="58"/>
      <c r="Q86" s="58"/>
      <c r="R86" s="58"/>
      <c r="S86" s="45"/>
      <c r="T86" s="45"/>
      <c r="U86" s="45"/>
      <c r="V86" s="45"/>
      <c r="W86" s="45"/>
      <c r="X86" s="45"/>
      <c r="Y86" s="45"/>
      <c r="Z86" s="45"/>
      <c r="AA86" s="45"/>
      <c r="AB86" s="45"/>
      <c r="AC86" s="45"/>
    </row>
    <row r="87" spans="1:29" ht="39.4">
      <c r="A87" s="42">
        <f t="shared" si="0"/>
        <v>86</v>
      </c>
      <c r="B87" s="42"/>
      <c r="C87" s="42" t="s">
        <v>389</v>
      </c>
      <c r="D87" s="42" t="s">
        <v>950</v>
      </c>
      <c r="E87" s="42"/>
      <c r="F87" s="42" t="s">
        <v>951</v>
      </c>
      <c r="G87" s="42"/>
      <c r="H87" s="42"/>
      <c r="I87" s="58"/>
      <c r="J87" s="58"/>
      <c r="K87" s="42"/>
      <c r="L87" s="58"/>
      <c r="M87" s="58"/>
      <c r="N87" s="58"/>
      <c r="O87" s="58"/>
      <c r="P87" s="58"/>
      <c r="Q87" s="58"/>
      <c r="R87" s="58"/>
      <c r="S87" s="45"/>
      <c r="T87" s="45"/>
      <c r="U87" s="45"/>
      <c r="V87" s="45"/>
      <c r="W87" s="45"/>
      <c r="X87" s="45"/>
      <c r="Y87" s="45"/>
      <c r="Z87" s="45"/>
      <c r="AA87" s="45"/>
      <c r="AB87" s="45"/>
      <c r="AC87" s="45"/>
    </row>
    <row r="88" spans="1:29" ht="26.25">
      <c r="A88" s="42">
        <f t="shared" si="0"/>
        <v>87</v>
      </c>
      <c r="B88" s="42"/>
      <c r="C88" s="42" t="s">
        <v>389</v>
      </c>
      <c r="D88" s="42" t="s">
        <v>952</v>
      </c>
      <c r="E88" s="42"/>
      <c r="F88" s="42" t="s">
        <v>953</v>
      </c>
      <c r="G88" s="42"/>
      <c r="H88" s="42"/>
      <c r="I88" s="58"/>
      <c r="J88" s="58"/>
      <c r="K88" s="42"/>
      <c r="L88" s="58"/>
      <c r="M88" s="58"/>
      <c r="N88" s="58"/>
      <c r="O88" s="58"/>
      <c r="P88" s="58"/>
      <c r="Q88" s="58"/>
      <c r="R88" s="58"/>
      <c r="S88" s="45"/>
      <c r="T88" s="45"/>
      <c r="U88" s="45"/>
      <c r="V88" s="45"/>
      <c r="W88" s="45"/>
      <c r="X88" s="45"/>
      <c r="Y88" s="45"/>
      <c r="Z88" s="45"/>
      <c r="AA88" s="45"/>
      <c r="AB88" s="45"/>
      <c r="AC88" s="45"/>
    </row>
    <row r="89" spans="1:29" ht="26.25">
      <c r="A89" s="42">
        <f t="shared" si="0"/>
        <v>88</v>
      </c>
      <c r="B89" s="42"/>
      <c r="C89" s="42" t="s">
        <v>954</v>
      </c>
      <c r="D89" s="42" t="s">
        <v>955</v>
      </c>
      <c r="E89" s="42"/>
      <c r="F89" s="42" t="s">
        <v>956</v>
      </c>
      <c r="G89" s="42"/>
      <c r="H89" s="42"/>
      <c r="I89" s="58"/>
      <c r="J89" s="58"/>
      <c r="K89" s="42"/>
      <c r="L89" s="58"/>
      <c r="M89" s="58"/>
      <c r="N89" s="58"/>
      <c r="O89" s="58"/>
      <c r="P89" s="58"/>
      <c r="Q89" s="58"/>
      <c r="R89" s="58"/>
      <c r="S89" s="45"/>
      <c r="T89" s="45"/>
      <c r="U89" s="45"/>
      <c r="V89" s="45"/>
      <c r="W89" s="45"/>
      <c r="X89" s="45"/>
      <c r="Y89" s="45"/>
      <c r="Z89" s="45"/>
      <c r="AA89" s="45"/>
      <c r="AB89" s="45"/>
      <c r="AC89" s="45"/>
    </row>
    <row r="90" spans="1:29" ht="26.25">
      <c r="A90" s="42">
        <f t="shared" si="0"/>
        <v>89</v>
      </c>
      <c r="B90" s="42"/>
      <c r="C90" s="42" t="s">
        <v>954</v>
      </c>
      <c r="D90" s="42" t="s">
        <v>957</v>
      </c>
      <c r="E90" s="42"/>
      <c r="F90" s="42" t="s">
        <v>958</v>
      </c>
      <c r="G90" s="42"/>
      <c r="H90" s="42"/>
      <c r="I90" s="58"/>
      <c r="J90" s="58"/>
      <c r="K90" s="42"/>
      <c r="L90" s="58"/>
      <c r="M90" s="58"/>
      <c r="N90" s="58"/>
      <c r="O90" s="58"/>
      <c r="P90" s="58"/>
      <c r="Q90" s="58"/>
      <c r="R90" s="58"/>
      <c r="S90" s="45"/>
      <c r="T90" s="45"/>
      <c r="U90" s="45"/>
      <c r="V90" s="45"/>
      <c r="W90" s="45"/>
      <c r="X90" s="45"/>
      <c r="Y90" s="45"/>
      <c r="Z90" s="45"/>
      <c r="AA90" s="45"/>
      <c r="AB90" s="45"/>
      <c r="AC90" s="45"/>
    </row>
    <row r="91" spans="1:29" ht="26.25">
      <c r="A91" s="42">
        <f t="shared" si="0"/>
        <v>90</v>
      </c>
      <c r="B91" s="42"/>
      <c r="C91" s="42" t="s">
        <v>954</v>
      </c>
      <c r="D91" s="42" t="s">
        <v>959</v>
      </c>
      <c r="E91" s="42"/>
      <c r="F91" s="42" t="s">
        <v>960</v>
      </c>
      <c r="G91" s="42"/>
      <c r="H91" s="42"/>
      <c r="I91" s="58"/>
      <c r="J91" s="58"/>
      <c r="K91" s="42"/>
      <c r="L91" s="58"/>
      <c r="M91" s="58"/>
      <c r="N91" s="58"/>
      <c r="O91" s="58"/>
      <c r="P91" s="58"/>
      <c r="Q91" s="58"/>
      <c r="R91" s="58"/>
      <c r="S91" s="45"/>
      <c r="T91" s="45"/>
      <c r="U91" s="45"/>
      <c r="V91" s="45"/>
      <c r="W91" s="45"/>
      <c r="X91" s="45"/>
      <c r="Y91" s="45"/>
      <c r="Z91" s="45"/>
      <c r="AA91" s="45"/>
      <c r="AB91" s="45"/>
      <c r="AC91" s="45"/>
    </row>
    <row r="92" spans="1:29" ht="26.25">
      <c r="A92" s="42">
        <f t="shared" si="0"/>
        <v>91</v>
      </c>
      <c r="B92" s="42"/>
      <c r="C92" s="42" t="s">
        <v>954</v>
      </c>
      <c r="D92" s="42" t="s">
        <v>961</v>
      </c>
      <c r="E92" s="42"/>
      <c r="F92" s="42" t="s">
        <v>962</v>
      </c>
      <c r="G92" s="42"/>
      <c r="H92" s="42"/>
      <c r="I92" s="58"/>
      <c r="J92" s="58"/>
      <c r="K92" s="42"/>
      <c r="L92" s="58"/>
      <c r="M92" s="58"/>
      <c r="N92" s="58"/>
      <c r="O92" s="58"/>
      <c r="P92" s="58"/>
      <c r="Q92" s="58"/>
      <c r="R92" s="58"/>
      <c r="S92" s="45"/>
      <c r="T92" s="45"/>
      <c r="U92" s="45"/>
      <c r="V92" s="45"/>
      <c r="W92" s="45"/>
      <c r="X92" s="45"/>
      <c r="Y92" s="45"/>
      <c r="Z92" s="45"/>
      <c r="AA92" s="45"/>
      <c r="AB92" s="45"/>
      <c r="AC92" s="45"/>
    </row>
    <row r="93" spans="1:29" ht="26.25">
      <c r="A93" s="42">
        <f t="shared" si="0"/>
        <v>92</v>
      </c>
      <c r="B93" s="42"/>
      <c r="C93" s="42" t="s">
        <v>954</v>
      </c>
      <c r="D93" s="42" t="s">
        <v>963</v>
      </c>
      <c r="E93" s="42"/>
      <c r="F93" s="42" t="s">
        <v>964</v>
      </c>
      <c r="G93" s="42"/>
      <c r="H93" s="42"/>
      <c r="I93" s="58"/>
      <c r="J93" s="58"/>
      <c r="K93" s="42"/>
      <c r="L93" s="58"/>
      <c r="M93" s="58"/>
      <c r="N93" s="58"/>
      <c r="O93" s="58"/>
      <c r="P93" s="58"/>
      <c r="Q93" s="58"/>
      <c r="R93" s="58"/>
      <c r="S93" s="45"/>
      <c r="T93" s="45"/>
      <c r="U93" s="45"/>
      <c r="V93" s="45"/>
      <c r="W93" s="45"/>
      <c r="X93" s="45"/>
      <c r="Y93" s="45"/>
      <c r="Z93" s="45"/>
      <c r="AA93" s="45"/>
      <c r="AB93" s="45"/>
      <c r="AC93" s="45"/>
    </row>
    <row r="94" spans="1:29" ht="26.25">
      <c r="A94" s="42">
        <f t="shared" si="0"/>
        <v>93</v>
      </c>
      <c r="B94" s="42"/>
      <c r="C94" s="42" t="s">
        <v>954</v>
      </c>
      <c r="D94" s="42" t="s">
        <v>465</v>
      </c>
      <c r="E94" s="42"/>
      <c r="F94" s="42" t="s">
        <v>965</v>
      </c>
      <c r="G94" s="42"/>
      <c r="H94" s="42"/>
      <c r="I94" s="58"/>
      <c r="J94" s="58"/>
      <c r="K94" s="42"/>
      <c r="L94" s="58"/>
      <c r="M94" s="58"/>
      <c r="N94" s="58"/>
      <c r="O94" s="58"/>
      <c r="P94" s="58"/>
      <c r="Q94" s="58"/>
      <c r="R94" s="58"/>
      <c r="S94" s="45"/>
      <c r="T94" s="45"/>
      <c r="U94" s="45"/>
      <c r="V94" s="45"/>
      <c r="W94" s="45"/>
      <c r="X94" s="45"/>
      <c r="Y94" s="45"/>
      <c r="Z94" s="45"/>
      <c r="AA94" s="45"/>
      <c r="AB94" s="45"/>
      <c r="AC94" s="45"/>
    </row>
    <row r="95" spans="1:29" ht="26.25">
      <c r="A95" s="42">
        <f t="shared" si="0"/>
        <v>94</v>
      </c>
      <c r="B95" s="42"/>
      <c r="C95" s="42" t="s">
        <v>954</v>
      </c>
      <c r="D95" s="42" t="s">
        <v>966</v>
      </c>
      <c r="E95" s="42"/>
      <c r="F95" s="42" t="s">
        <v>967</v>
      </c>
      <c r="G95" s="42"/>
      <c r="H95" s="42"/>
      <c r="I95" s="58"/>
      <c r="J95" s="58"/>
      <c r="K95" s="42"/>
      <c r="L95" s="58"/>
      <c r="M95" s="58"/>
      <c r="N95" s="58"/>
      <c r="O95" s="58"/>
      <c r="P95" s="58"/>
      <c r="Q95" s="58"/>
      <c r="R95" s="58"/>
      <c r="S95" s="45"/>
      <c r="T95" s="45"/>
      <c r="U95" s="45"/>
      <c r="V95" s="45"/>
      <c r="W95" s="45"/>
      <c r="X95" s="45"/>
      <c r="Y95" s="45"/>
      <c r="Z95" s="45"/>
      <c r="AA95" s="45"/>
      <c r="AB95" s="45"/>
      <c r="AC95" s="45"/>
    </row>
    <row r="96" spans="1:29" ht="26.25">
      <c r="A96" s="42">
        <f t="shared" si="0"/>
        <v>95</v>
      </c>
      <c r="B96" s="42"/>
      <c r="C96" s="42" t="s">
        <v>954</v>
      </c>
      <c r="D96" s="42" t="s">
        <v>968</v>
      </c>
      <c r="E96" s="42"/>
      <c r="F96" s="42" t="s">
        <v>969</v>
      </c>
      <c r="G96" s="42"/>
      <c r="H96" s="42"/>
      <c r="I96" s="58"/>
      <c r="J96" s="58"/>
      <c r="K96" s="42"/>
      <c r="L96" s="58"/>
      <c r="M96" s="58"/>
      <c r="N96" s="58"/>
      <c r="O96" s="58"/>
      <c r="P96" s="58"/>
      <c r="Q96" s="58"/>
      <c r="R96" s="58"/>
      <c r="S96" s="45"/>
      <c r="T96" s="45"/>
      <c r="U96" s="45"/>
      <c r="V96" s="45"/>
      <c r="W96" s="45"/>
      <c r="X96" s="45"/>
      <c r="Y96" s="45"/>
      <c r="Z96" s="45"/>
      <c r="AA96" s="45"/>
      <c r="AB96" s="45"/>
      <c r="AC96" s="45"/>
    </row>
    <row r="97" spans="1:29" ht="26.25">
      <c r="A97" s="42">
        <f t="shared" si="0"/>
        <v>96</v>
      </c>
      <c r="B97" s="42"/>
      <c r="C97" s="42" t="s">
        <v>954</v>
      </c>
      <c r="D97" s="42" t="s">
        <v>970</v>
      </c>
      <c r="E97" s="42"/>
      <c r="F97" s="42" t="s">
        <v>971</v>
      </c>
      <c r="G97" s="42"/>
      <c r="H97" s="42"/>
      <c r="I97" s="58"/>
      <c r="J97" s="58"/>
      <c r="K97" s="42"/>
      <c r="L97" s="58"/>
      <c r="M97" s="58"/>
      <c r="N97" s="58"/>
      <c r="O97" s="58"/>
      <c r="P97" s="58"/>
      <c r="Q97" s="58"/>
      <c r="R97" s="58"/>
      <c r="S97" s="45"/>
      <c r="T97" s="45"/>
      <c r="U97" s="45"/>
      <c r="V97" s="45"/>
      <c r="W97" s="45"/>
      <c r="X97" s="45"/>
      <c r="Y97" s="45"/>
      <c r="Z97" s="45"/>
      <c r="AA97" s="45"/>
      <c r="AB97" s="45"/>
      <c r="AC97" s="45"/>
    </row>
    <row r="98" spans="1:29" ht="26.25">
      <c r="A98" s="42">
        <f t="shared" si="0"/>
        <v>97</v>
      </c>
      <c r="B98" s="42"/>
      <c r="C98" s="42" t="s">
        <v>954</v>
      </c>
      <c r="D98" s="42" t="s">
        <v>972</v>
      </c>
      <c r="E98" s="42"/>
      <c r="F98" s="42" t="s">
        <v>973</v>
      </c>
      <c r="G98" s="42"/>
      <c r="H98" s="42"/>
      <c r="I98" s="58"/>
      <c r="J98" s="58"/>
      <c r="K98" s="42"/>
      <c r="L98" s="58"/>
      <c r="M98" s="58"/>
      <c r="N98" s="58"/>
      <c r="O98" s="58"/>
      <c r="P98" s="58"/>
      <c r="Q98" s="58"/>
      <c r="R98" s="58"/>
      <c r="S98" s="45"/>
      <c r="T98" s="45"/>
      <c r="U98" s="45"/>
      <c r="V98" s="45"/>
      <c r="W98" s="45"/>
      <c r="X98" s="45"/>
      <c r="Y98" s="45"/>
      <c r="Z98" s="45"/>
      <c r="AA98" s="45"/>
      <c r="AB98" s="45"/>
      <c r="AC98" s="45"/>
    </row>
    <row r="99" spans="1:29" ht="26.25">
      <c r="A99" s="42">
        <f t="shared" si="0"/>
        <v>98</v>
      </c>
      <c r="B99" s="42"/>
      <c r="C99" s="42" t="s">
        <v>954</v>
      </c>
      <c r="D99" s="42" t="s">
        <v>974</v>
      </c>
      <c r="E99" s="42"/>
      <c r="F99" s="42" t="s">
        <v>975</v>
      </c>
      <c r="G99" s="42"/>
      <c r="H99" s="42"/>
      <c r="I99" s="58"/>
      <c r="J99" s="58"/>
      <c r="K99" s="42"/>
      <c r="L99" s="58"/>
      <c r="M99" s="58"/>
      <c r="N99" s="58"/>
      <c r="O99" s="58"/>
      <c r="P99" s="58"/>
      <c r="Q99" s="58"/>
      <c r="R99" s="58"/>
      <c r="S99" s="45"/>
      <c r="T99" s="45"/>
      <c r="U99" s="45"/>
      <c r="V99" s="45"/>
      <c r="W99" s="45"/>
      <c r="X99" s="45"/>
      <c r="Y99" s="45"/>
      <c r="Z99" s="45"/>
      <c r="AA99" s="45"/>
      <c r="AB99" s="45"/>
      <c r="AC99" s="45"/>
    </row>
    <row r="100" spans="1:29" ht="26.25">
      <c r="A100" s="42">
        <f t="shared" si="0"/>
        <v>99</v>
      </c>
      <c r="B100" s="42"/>
      <c r="C100" s="42" t="s">
        <v>954</v>
      </c>
      <c r="D100" s="42" t="s">
        <v>976</v>
      </c>
      <c r="E100" s="42"/>
      <c r="F100" s="42" t="s">
        <v>977</v>
      </c>
      <c r="G100" s="42"/>
      <c r="H100" s="42"/>
      <c r="I100" s="58"/>
      <c r="J100" s="58"/>
      <c r="K100" s="42"/>
      <c r="L100" s="58"/>
      <c r="M100" s="58"/>
      <c r="N100" s="58"/>
      <c r="O100" s="58"/>
      <c r="P100" s="58"/>
      <c r="Q100" s="58"/>
      <c r="R100" s="58"/>
      <c r="S100" s="45"/>
      <c r="T100" s="45"/>
      <c r="U100" s="45"/>
      <c r="V100" s="45"/>
      <c r="W100" s="45"/>
      <c r="X100" s="45"/>
      <c r="Y100" s="45"/>
      <c r="Z100" s="45"/>
      <c r="AA100" s="45"/>
      <c r="AB100" s="45"/>
      <c r="AC100" s="45"/>
    </row>
    <row r="101" spans="1:29" ht="26.25">
      <c r="A101" s="42">
        <f t="shared" si="0"/>
        <v>100</v>
      </c>
      <c r="B101" s="42"/>
      <c r="C101" s="42" t="s">
        <v>954</v>
      </c>
      <c r="D101" s="42" t="s">
        <v>978</v>
      </c>
      <c r="E101" s="42"/>
      <c r="F101" s="42" t="s">
        <v>979</v>
      </c>
      <c r="G101" s="42"/>
      <c r="H101" s="42"/>
      <c r="I101" s="58"/>
      <c r="J101" s="58"/>
      <c r="K101" s="42"/>
      <c r="L101" s="58"/>
      <c r="M101" s="58"/>
      <c r="N101" s="58"/>
      <c r="O101" s="58"/>
      <c r="P101" s="58"/>
      <c r="Q101" s="58"/>
      <c r="R101" s="58"/>
      <c r="S101" s="45"/>
      <c r="T101" s="45"/>
      <c r="U101" s="45"/>
      <c r="V101" s="45"/>
      <c r="W101" s="45"/>
      <c r="X101" s="45"/>
      <c r="Y101" s="45"/>
      <c r="Z101" s="45"/>
      <c r="AA101" s="45"/>
      <c r="AB101" s="45"/>
      <c r="AC101" s="45"/>
    </row>
    <row r="102" spans="1:29" ht="26.25">
      <c r="A102" s="42">
        <f t="shared" si="0"/>
        <v>101</v>
      </c>
      <c r="B102" s="42"/>
      <c r="C102" s="42" t="s">
        <v>954</v>
      </c>
      <c r="D102" s="42" t="s">
        <v>980</v>
      </c>
      <c r="E102" s="42"/>
      <c r="F102" s="42" t="s">
        <v>981</v>
      </c>
      <c r="G102" s="42"/>
      <c r="H102" s="42"/>
      <c r="I102" s="58"/>
      <c r="J102" s="58"/>
      <c r="K102" s="42"/>
      <c r="L102" s="58"/>
      <c r="M102" s="58"/>
      <c r="N102" s="58"/>
      <c r="O102" s="58"/>
      <c r="P102" s="58"/>
      <c r="Q102" s="58"/>
      <c r="R102" s="58"/>
      <c r="S102" s="45"/>
      <c r="T102" s="45"/>
      <c r="U102" s="45"/>
      <c r="V102" s="45"/>
      <c r="W102" s="45"/>
      <c r="X102" s="45"/>
      <c r="Y102" s="45"/>
      <c r="Z102" s="45"/>
      <c r="AA102" s="45"/>
      <c r="AB102" s="45"/>
      <c r="AC102" s="45"/>
    </row>
    <row r="103" spans="1:29" ht="26.25">
      <c r="A103" s="42">
        <f t="shared" si="0"/>
        <v>102</v>
      </c>
      <c r="B103" s="42"/>
      <c r="C103" s="42" t="s">
        <v>954</v>
      </c>
      <c r="D103" s="42" t="s">
        <v>982</v>
      </c>
      <c r="E103" s="42"/>
      <c r="F103" s="42" t="s">
        <v>983</v>
      </c>
      <c r="G103" s="42"/>
      <c r="H103" s="42"/>
      <c r="I103" s="58"/>
      <c r="J103" s="58"/>
      <c r="K103" s="42"/>
      <c r="L103" s="58"/>
      <c r="M103" s="58"/>
      <c r="N103" s="58"/>
      <c r="O103" s="58"/>
      <c r="P103" s="58"/>
      <c r="Q103" s="58"/>
      <c r="R103" s="58"/>
      <c r="S103" s="45"/>
      <c r="T103" s="45"/>
      <c r="U103" s="45"/>
      <c r="V103" s="45"/>
      <c r="W103" s="45"/>
      <c r="X103" s="45"/>
      <c r="Y103" s="45"/>
      <c r="Z103" s="45"/>
      <c r="AA103" s="45"/>
      <c r="AB103" s="45"/>
      <c r="AC103" s="45"/>
    </row>
    <row r="104" spans="1:29" ht="26.25">
      <c r="A104" s="42">
        <f t="shared" si="0"/>
        <v>103</v>
      </c>
      <c r="B104" s="42"/>
      <c r="C104" s="42" t="s">
        <v>954</v>
      </c>
      <c r="D104" s="42" t="s">
        <v>984</v>
      </c>
      <c r="E104" s="42"/>
      <c r="F104" s="42" t="s">
        <v>985</v>
      </c>
      <c r="G104" s="42"/>
      <c r="H104" s="42"/>
      <c r="I104" s="58"/>
      <c r="J104" s="58"/>
      <c r="K104" s="42"/>
      <c r="L104" s="58"/>
      <c r="M104" s="58"/>
      <c r="N104" s="58"/>
      <c r="O104" s="58"/>
      <c r="P104" s="58"/>
      <c r="Q104" s="58"/>
      <c r="R104" s="58"/>
      <c r="S104" s="45"/>
      <c r="T104" s="45"/>
      <c r="U104" s="45"/>
      <c r="V104" s="45"/>
      <c r="W104" s="45"/>
      <c r="X104" s="45"/>
      <c r="Y104" s="45"/>
      <c r="Z104" s="45"/>
      <c r="AA104" s="45"/>
      <c r="AB104" s="45"/>
      <c r="AC104" s="45"/>
    </row>
    <row r="105" spans="1:29" ht="26.25">
      <c r="A105" s="42">
        <f t="shared" si="0"/>
        <v>104</v>
      </c>
      <c r="B105" s="42"/>
      <c r="C105" s="42" t="s">
        <v>954</v>
      </c>
      <c r="D105" s="42" t="s">
        <v>986</v>
      </c>
      <c r="E105" s="42"/>
      <c r="F105" s="42" t="s">
        <v>987</v>
      </c>
      <c r="G105" s="42"/>
      <c r="H105" s="42"/>
      <c r="I105" s="58"/>
      <c r="J105" s="58"/>
      <c r="K105" s="42"/>
      <c r="L105" s="58"/>
      <c r="M105" s="58"/>
      <c r="N105" s="58"/>
      <c r="O105" s="58"/>
      <c r="P105" s="58"/>
      <c r="Q105" s="58"/>
      <c r="R105" s="58"/>
      <c r="S105" s="45"/>
      <c r="T105" s="45"/>
      <c r="U105" s="45"/>
      <c r="V105" s="45"/>
      <c r="W105" s="45"/>
      <c r="X105" s="45"/>
      <c r="Y105" s="45"/>
      <c r="Z105" s="45"/>
      <c r="AA105" s="45"/>
      <c r="AB105" s="45"/>
      <c r="AC105" s="45"/>
    </row>
    <row r="106" spans="1:29" ht="26.25">
      <c r="A106" s="42">
        <f t="shared" si="0"/>
        <v>105</v>
      </c>
      <c r="B106" s="42"/>
      <c r="C106" s="42" t="s">
        <v>954</v>
      </c>
      <c r="D106" s="42" t="s">
        <v>988</v>
      </c>
      <c r="E106" s="42"/>
      <c r="F106" s="42" t="s">
        <v>989</v>
      </c>
      <c r="G106" s="42"/>
      <c r="H106" s="42"/>
      <c r="I106" s="58"/>
      <c r="J106" s="58"/>
      <c r="K106" s="42"/>
      <c r="L106" s="58"/>
      <c r="M106" s="58"/>
      <c r="N106" s="58"/>
      <c r="O106" s="58"/>
      <c r="P106" s="58"/>
      <c r="Q106" s="58"/>
      <c r="R106" s="58"/>
      <c r="S106" s="45"/>
      <c r="T106" s="45"/>
      <c r="U106" s="45"/>
      <c r="V106" s="45"/>
      <c r="W106" s="45"/>
      <c r="X106" s="45"/>
      <c r="Y106" s="45"/>
      <c r="Z106" s="45"/>
      <c r="AA106" s="45"/>
      <c r="AB106" s="45"/>
      <c r="AC106" s="45"/>
    </row>
    <row r="107" spans="1:29" ht="118.15">
      <c r="A107" s="42">
        <f t="shared" si="0"/>
        <v>106</v>
      </c>
      <c r="B107" s="42" t="s">
        <v>19</v>
      </c>
      <c r="C107" s="42" t="s">
        <v>990</v>
      </c>
      <c r="D107" s="42" t="s">
        <v>89</v>
      </c>
      <c r="E107" s="42"/>
      <c r="F107" s="42" t="s">
        <v>991</v>
      </c>
      <c r="G107" s="42" t="s">
        <v>5</v>
      </c>
      <c r="H107" s="42" t="s">
        <v>90</v>
      </c>
      <c r="I107" s="58" t="s">
        <v>992</v>
      </c>
      <c r="J107" s="58" t="s">
        <v>993</v>
      </c>
      <c r="K107" s="42" t="s">
        <v>994</v>
      </c>
      <c r="L107" s="58" t="s">
        <v>995</v>
      </c>
      <c r="M107" s="58" t="s">
        <v>996</v>
      </c>
      <c r="N107" s="58"/>
      <c r="O107" s="58"/>
      <c r="P107" s="58"/>
      <c r="Q107" s="58"/>
      <c r="R107" s="58"/>
      <c r="S107" s="45"/>
      <c r="T107" s="45"/>
      <c r="U107" s="45"/>
      <c r="V107" s="45"/>
      <c r="W107" s="45"/>
      <c r="X107" s="45"/>
      <c r="Y107" s="45"/>
      <c r="Z107" s="45"/>
      <c r="AA107" s="45"/>
      <c r="AB107" s="45"/>
      <c r="AC107" s="45"/>
    </row>
    <row r="108" spans="1:29" ht="191.25" customHeight="1">
      <c r="A108" s="42">
        <f t="shared" si="0"/>
        <v>107</v>
      </c>
      <c r="B108" s="42" t="s">
        <v>19</v>
      </c>
      <c r="C108" s="42" t="s">
        <v>990</v>
      </c>
      <c r="D108" s="42" t="s">
        <v>990</v>
      </c>
      <c r="E108" s="42" t="s">
        <v>990</v>
      </c>
      <c r="F108" s="42" t="s">
        <v>997</v>
      </c>
      <c r="G108" s="42" t="s">
        <v>5</v>
      </c>
      <c r="H108" s="42" t="s">
        <v>95</v>
      </c>
      <c r="I108" s="58" t="s">
        <v>998</v>
      </c>
      <c r="J108" s="58"/>
      <c r="K108" s="42" t="s">
        <v>999</v>
      </c>
      <c r="L108" s="58" t="s">
        <v>1000</v>
      </c>
      <c r="M108" s="58"/>
      <c r="N108" s="58"/>
      <c r="O108" s="58"/>
      <c r="P108" s="58" t="s">
        <v>1001</v>
      </c>
      <c r="Q108" s="58"/>
      <c r="R108" s="58"/>
      <c r="S108" s="45"/>
      <c r="T108" s="45"/>
      <c r="U108" s="45"/>
      <c r="V108" s="45"/>
      <c r="W108" s="45"/>
      <c r="X108" s="45"/>
      <c r="Y108" s="45"/>
      <c r="Z108" s="45"/>
      <c r="AA108" s="45"/>
      <c r="AB108" s="45"/>
      <c r="AC108" s="45"/>
    </row>
    <row r="109" spans="1:29" ht="223.15">
      <c r="A109" s="42">
        <f t="shared" si="0"/>
        <v>108</v>
      </c>
      <c r="B109" s="42" t="s">
        <v>19</v>
      </c>
      <c r="C109" s="42" t="s">
        <v>990</v>
      </c>
      <c r="D109" s="42" t="s">
        <v>104</v>
      </c>
      <c r="E109" s="42" t="s">
        <v>104</v>
      </c>
      <c r="F109" s="42" t="s">
        <v>1002</v>
      </c>
      <c r="G109" s="42" t="s">
        <v>5</v>
      </c>
      <c r="H109" s="42" t="s">
        <v>95</v>
      </c>
      <c r="I109" s="58" t="s">
        <v>1003</v>
      </c>
      <c r="J109" s="58" t="s">
        <v>1004</v>
      </c>
      <c r="K109" s="42" t="s">
        <v>999</v>
      </c>
      <c r="L109" s="58" t="s">
        <v>1005</v>
      </c>
      <c r="M109" s="58" t="s">
        <v>1006</v>
      </c>
      <c r="N109" s="58"/>
      <c r="O109" s="58" t="s">
        <v>1007</v>
      </c>
      <c r="P109" s="58"/>
      <c r="Q109" s="58"/>
      <c r="R109" s="58"/>
      <c r="S109" s="45"/>
      <c r="T109" s="45"/>
      <c r="U109" s="45"/>
      <c r="V109" s="45"/>
      <c r="W109" s="45"/>
      <c r="X109" s="45"/>
      <c r="Y109" s="45"/>
      <c r="Z109" s="45"/>
      <c r="AA109" s="45"/>
      <c r="AB109" s="45"/>
      <c r="AC109" s="45"/>
    </row>
    <row r="110" spans="1:29" ht="39.4">
      <c r="A110" s="42">
        <f t="shared" si="0"/>
        <v>109</v>
      </c>
      <c r="B110" s="42" t="s">
        <v>19</v>
      </c>
      <c r="C110" s="42" t="s">
        <v>990</v>
      </c>
      <c r="D110" s="42" t="s">
        <v>1008</v>
      </c>
      <c r="E110" s="42"/>
      <c r="F110" s="42" t="s">
        <v>1009</v>
      </c>
      <c r="G110" s="42"/>
      <c r="H110" s="42"/>
      <c r="I110" s="58"/>
      <c r="J110" s="58"/>
      <c r="K110" s="42"/>
      <c r="L110" s="58"/>
      <c r="M110" s="58"/>
      <c r="N110" s="58"/>
      <c r="O110" s="58"/>
      <c r="P110" s="58"/>
      <c r="Q110" s="58"/>
      <c r="R110" s="58"/>
      <c r="S110" s="45"/>
      <c r="T110" s="45"/>
      <c r="U110" s="45"/>
      <c r="V110" s="45"/>
      <c r="W110" s="45"/>
      <c r="X110" s="45"/>
      <c r="Y110" s="45"/>
      <c r="Z110" s="45"/>
      <c r="AA110" s="45"/>
      <c r="AB110" s="45"/>
      <c r="AC110" s="45"/>
    </row>
    <row r="111" spans="1:29" ht="78.75">
      <c r="A111" s="42">
        <f t="shared" si="0"/>
        <v>110</v>
      </c>
      <c r="B111" s="42" t="s">
        <v>19</v>
      </c>
      <c r="C111" s="42" t="s">
        <v>990</v>
      </c>
      <c r="D111" s="42" t="s">
        <v>108</v>
      </c>
      <c r="E111" s="42"/>
      <c r="F111" s="42" t="s">
        <v>1010</v>
      </c>
      <c r="G111" s="42" t="s">
        <v>5</v>
      </c>
      <c r="H111" s="42" t="s">
        <v>90</v>
      </c>
      <c r="I111" s="58" t="s">
        <v>1011</v>
      </c>
      <c r="J111" s="58" t="s">
        <v>1012</v>
      </c>
      <c r="K111" s="42" t="s">
        <v>999</v>
      </c>
      <c r="L111" s="58" t="s">
        <v>1013</v>
      </c>
      <c r="M111" s="58" t="s">
        <v>1013</v>
      </c>
      <c r="N111" s="58"/>
      <c r="O111" s="58"/>
      <c r="P111" s="58" t="s">
        <v>1014</v>
      </c>
      <c r="Q111" s="58"/>
      <c r="R111" s="58"/>
      <c r="S111" s="45"/>
      <c r="T111" s="45"/>
      <c r="U111" s="45"/>
      <c r="V111" s="45"/>
      <c r="W111" s="45"/>
      <c r="X111" s="45"/>
      <c r="Y111" s="45"/>
      <c r="Z111" s="45"/>
      <c r="AA111" s="45"/>
      <c r="AB111" s="45"/>
      <c r="AC111" s="45"/>
    </row>
    <row r="112" spans="1:29" ht="118.15">
      <c r="A112" s="42">
        <f t="shared" si="0"/>
        <v>111</v>
      </c>
      <c r="B112" s="42" t="s">
        <v>19</v>
      </c>
      <c r="C112" s="42" t="s">
        <v>990</v>
      </c>
      <c r="D112" s="42" t="s">
        <v>111</v>
      </c>
      <c r="E112" s="42"/>
      <c r="F112" s="42" t="s">
        <v>1015</v>
      </c>
      <c r="G112" s="42" t="s">
        <v>4</v>
      </c>
      <c r="H112" s="42" t="s">
        <v>95</v>
      </c>
      <c r="I112" s="58" t="s">
        <v>1016</v>
      </c>
      <c r="J112" s="58" t="s">
        <v>1017</v>
      </c>
      <c r="K112" s="42" t="s">
        <v>999</v>
      </c>
      <c r="L112" s="58" t="s">
        <v>1018</v>
      </c>
      <c r="M112" s="58"/>
      <c r="N112" s="58"/>
      <c r="O112" s="58" t="s">
        <v>1019</v>
      </c>
      <c r="P112" s="58"/>
      <c r="Q112" s="58"/>
      <c r="R112" s="58"/>
      <c r="S112" s="45"/>
      <c r="T112" s="45"/>
      <c r="U112" s="45"/>
      <c r="V112" s="45"/>
      <c r="W112" s="45"/>
      <c r="X112" s="45"/>
      <c r="Y112" s="45"/>
      <c r="Z112" s="45"/>
      <c r="AA112" s="45"/>
      <c r="AB112" s="45"/>
      <c r="AC112" s="45"/>
    </row>
    <row r="113" spans="1:29" ht="301.89999999999998">
      <c r="A113" s="42">
        <f t="shared" si="0"/>
        <v>112</v>
      </c>
      <c r="B113" s="42" t="s">
        <v>19</v>
      </c>
      <c r="C113" s="42" t="s">
        <v>990</v>
      </c>
      <c r="D113" s="42" t="s">
        <v>115</v>
      </c>
      <c r="E113" s="42"/>
      <c r="F113" s="42" t="s">
        <v>1020</v>
      </c>
      <c r="G113" s="42" t="s">
        <v>4</v>
      </c>
      <c r="H113" s="42" t="s">
        <v>95</v>
      </c>
      <c r="I113" s="58" t="s">
        <v>1021</v>
      </c>
      <c r="J113" s="58" t="s">
        <v>1022</v>
      </c>
      <c r="K113" s="42" t="s">
        <v>1023</v>
      </c>
      <c r="L113" s="58" t="s">
        <v>1024</v>
      </c>
      <c r="M113" s="58"/>
      <c r="N113" s="58"/>
      <c r="O113" s="58"/>
      <c r="P113" s="58" t="s">
        <v>1025</v>
      </c>
      <c r="Q113" s="58"/>
      <c r="R113" s="58"/>
      <c r="S113" s="45"/>
      <c r="T113" s="45"/>
      <c r="U113" s="45"/>
      <c r="V113" s="45"/>
      <c r="W113" s="45"/>
      <c r="X113" s="45"/>
      <c r="Y113" s="45"/>
      <c r="Z113" s="45"/>
      <c r="AA113" s="45"/>
      <c r="AB113" s="45"/>
      <c r="AC113" s="45"/>
    </row>
    <row r="114" spans="1:29" ht="91.9">
      <c r="A114" s="42">
        <f t="shared" si="0"/>
        <v>113</v>
      </c>
      <c r="B114" s="42" t="s">
        <v>19</v>
      </c>
      <c r="C114" s="42" t="s">
        <v>990</v>
      </c>
      <c r="D114" s="42" t="s">
        <v>1026</v>
      </c>
      <c r="E114" s="42"/>
      <c r="F114" s="42" t="s">
        <v>1027</v>
      </c>
      <c r="G114" s="42" t="s">
        <v>5</v>
      </c>
      <c r="H114" s="42" t="s">
        <v>90</v>
      </c>
      <c r="I114" s="58" t="s">
        <v>1028</v>
      </c>
      <c r="J114" s="58" t="s">
        <v>1029</v>
      </c>
      <c r="K114" s="42" t="s">
        <v>999</v>
      </c>
      <c r="L114" s="58" t="s">
        <v>1030</v>
      </c>
      <c r="M114" s="58" t="s">
        <v>1031</v>
      </c>
      <c r="N114" s="58" t="s">
        <v>1032</v>
      </c>
      <c r="O114" s="58" t="s">
        <v>1033</v>
      </c>
      <c r="P114" s="58"/>
      <c r="Q114" s="58"/>
      <c r="R114" s="58"/>
      <c r="S114" s="45"/>
      <c r="T114" s="45"/>
      <c r="U114" s="45"/>
      <c r="V114" s="45"/>
      <c r="W114" s="45"/>
      <c r="X114" s="45"/>
      <c r="Y114" s="45"/>
      <c r="Z114" s="45"/>
      <c r="AA114" s="45"/>
      <c r="AB114" s="45"/>
      <c r="AC114" s="45"/>
    </row>
    <row r="115" spans="1:29" ht="78.75">
      <c r="A115" s="42">
        <f t="shared" si="0"/>
        <v>114</v>
      </c>
      <c r="B115" s="42" t="s">
        <v>19</v>
      </c>
      <c r="C115" s="42" t="s">
        <v>990</v>
      </c>
      <c r="D115" s="42" t="s">
        <v>1034</v>
      </c>
      <c r="E115" s="42"/>
      <c r="F115" s="42" t="s">
        <v>1035</v>
      </c>
      <c r="G115" s="42" t="s">
        <v>5</v>
      </c>
      <c r="H115" s="42" t="s">
        <v>90</v>
      </c>
      <c r="I115" s="58" t="s">
        <v>1036</v>
      </c>
      <c r="J115" s="58" t="s">
        <v>1037</v>
      </c>
      <c r="K115" s="42" t="s">
        <v>1038</v>
      </c>
      <c r="L115" s="58" t="s">
        <v>1039</v>
      </c>
      <c r="M115" s="58" t="s">
        <v>1040</v>
      </c>
      <c r="N115" s="58"/>
      <c r="O115" s="58"/>
      <c r="P115" s="58"/>
      <c r="Q115" s="58"/>
      <c r="R115" s="58"/>
      <c r="S115" s="45"/>
      <c r="T115" s="45"/>
      <c r="U115" s="45"/>
      <c r="V115" s="45"/>
      <c r="W115" s="45"/>
      <c r="X115" s="45"/>
      <c r="Y115" s="45"/>
      <c r="Z115" s="45"/>
      <c r="AA115" s="45"/>
      <c r="AB115" s="45"/>
      <c r="AC115" s="45"/>
    </row>
    <row r="116" spans="1:29" ht="157.5">
      <c r="A116" s="42">
        <f t="shared" si="0"/>
        <v>115</v>
      </c>
      <c r="B116" s="42" t="s">
        <v>19</v>
      </c>
      <c r="C116" s="42" t="s">
        <v>990</v>
      </c>
      <c r="D116" s="42" t="s">
        <v>127</v>
      </c>
      <c r="E116" s="42"/>
      <c r="F116" s="42" t="s">
        <v>1041</v>
      </c>
      <c r="G116" s="42" t="s">
        <v>5</v>
      </c>
      <c r="H116" s="42" t="s">
        <v>90</v>
      </c>
      <c r="I116" s="58" t="s">
        <v>1042</v>
      </c>
      <c r="J116" s="58" t="s">
        <v>1043</v>
      </c>
      <c r="K116" s="42" t="s">
        <v>994</v>
      </c>
      <c r="L116" s="58" t="s">
        <v>1044</v>
      </c>
      <c r="M116" s="58"/>
      <c r="N116" s="58" t="s">
        <v>1045</v>
      </c>
      <c r="O116" s="58" t="s">
        <v>1046</v>
      </c>
      <c r="P116" s="58" t="s">
        <v>1047</v>
      </c>
      <c r="Q116" s="58"/>
      <c r="R116" s="58"/>
      <c r="S116" s="45"/>
      <c r="T116" s="45"/>
      <c r="U116" s="45"/>
      <c r="V116" s="45"/>
      <c r="W116" s="45"/>
      <c r="X116" s="45"/>
      <c r="Y116" s="45"/>
      <c r="Z116" s="45"/>
      <c r="AA116" s="45"/>
      <c r="AB116" s="45"/>
      <c r="AC116" s="45"/>
    </row>
    <row r="117" spans="1:29" ht="39.4">
      <c r="A117" s="42">
        <f t="shared" si="0"/>
        <v>116</v>
      </c>
      <c r="B117" s="42" t="s">
        <v>19</v>
      </c>
      <c r="C117" s="42" t="s">
        <v>990</v>
      </c>
      <c r="D117" s="42" t="s">
        <v>129</v>
      </c>
      <c r="E117" s="42"/>
      <c r="F117" s="42" t="s">
        <v>1048</v>
      </c>
      <c r="G117" s="42"/>
      <c r="H117" s="42"/>
      <c r="I117" s="58"/>
      <c r="J117" s="58"/>
      <c r="K117" s="42"/>
      <c r="L117" s="58"/>
      <c r="M117" s="58"/>
      <c r="N117" s="58"/>
      <c r="O117" s="58"/>
      <c r="P117" s="58"/>
      <c r="Q117" s="58"/>
      <c r="R117" s="58"/>
      <c r="S117" s="45"/>
      <c r="T117" s="45"/>
      <c r="U117" s="45"/>
      <c r="V117" s="45"/>
      <c r="W117" s="45"/>
      <c r="X117" s="45"/>
      <c r="Y117" s="45"/>
      <c r="Z117" s="45"/>
      <c r="AA117" s="45"/>
      <c r="AB117" s="45"/>
      <c r="AC117" s="45"/>
    </row>
    <row r="118" spans="1:29" ht="26.25">
      <c r="A118" s="42">
        <f t="shared" si="0"/>
        <v>117</v>
      </c>
      <c r="B118" s="42" t="s">
        <v>19</v>
      </c>
      <c r="C118" s="42" t="s">
        <v>990</v>
      </c>
      <c r="D118" s="42" t="s">
        <v>1049</v>
      </c>
      <c r="E118" s="42"/>
      <c r="F118" s="42" t="s">
        <v>1050</v>
      </c>
      <c r="G118" s="42"/>
      <c r="H118" s="42"/>
      <c r="I118" s="58"/>
      <c r="J118" s="58"/>
      <c r="K118" s="42"/>
      <c r="L118" s="58"/>
      <c r="M118" s="58"/>
      <c r="N118" s="58"/>
      <c r="O118" s="58"/>
      <c r="P118" s="58"/>
      <c r="Q118" s="58"/>
      <c r="R118" s="58"/>
      <c r="S118" s="45"/>
      <c r="T118" s="45"/>
      <c r="U118" s="45"/>
      <c r="V118" s="45"/>
      <c r="W118" s="45"/>
      <c r="X118" s="45"/>
      <c r="Y118" s="45"/>
      <c r="Z118" s="45"/>
      <c r="AA118" s="45"/>
      <c r="AB118" s="45"/>
      <c r="AC118" s="45"/>
    </row>
    <row r="119" spans="1:29" ht="26.25">
      <c r="A119" s="42">
        <f t="shared" si="0"/>
        <v>118</v>
      </c>
      <c r="B119" s="42" t="s">
        <v>19</v>
      </c>
      <c r="C119" s="42" t="s">
        <v>990</v>
      </c>
      <c r="D119" s="42" t="s">
        <v>1051</v>
      </c>
      <c r="E119" s="42"/>
      <c r="F119" s="42" t="s">
        <v>1052</v>
      </c>
      <c r="G119" s="42"/>
      <c r="H119" s="42"/>
      <c r="I119" s="58"/>
      <c r="J119" s="58"/>
      <c r="K119" s="42"/>
      <c r="L119" s="58"/>
      <c r="M119" s="58"/>
      <c r="N119" s="58"/>
      <c r="O119" s="58"/>
      <c r="P119" s="58"/>
      <c r="Q119" s="58"/>
      <c r="R119" s="58"/>
      <c r="S119" s="45"/>
      <c r="T119" s="45"/>
      <c r="U119" s="45"/>
      <c r="V119" s="45"/>
      <c r="W119" s="45"/>
      <c r="X119" s="45"/>
      <c r="Y119" s="45"/>
      <c r="Z119" s="45"/>
      <c r="AA119" s="45"/>
      <c r="AB119" s="45"/>
      <c r="AC119" s="45"/>
    </row>
    <row r="120" spans="1:29" ht="210">
      <c r="A120" s="42">
        <f t="shared" si="0"/>
        <v>119</v>
      </c>
      <c r="B120" s="42" t="s">
        <v>19</v>
      </c>
      <c r="C120" s="42" t="s">
        <v>990</v>
      </c>
      <c r="D120" s="42" t="s">
        <v>134</v>
      </c>
      <c r="E120" s="42"/>
      <c r="F120" s="42" t="s">
        <v>1053</v>
      </c>
      <c r="G120" s="42" t="s">
        <v>4</v>
      </c>
      <c r="H120" s="42" t="s">
        <v>95</v>
      </c>
      <c r="I120" s="58" t="s">
        <v>1054</v>
      </c>
      <c r="J120" s="58" t="s">
        <v>1055</v>
      </c>
      <c r="K120" s="42" t="s">
        <v>1056</v>
      </c>
      <c r="L120" s="58" t="s">
        <v>1057</v>
      </c>
      <c r="M120" s="58"/>
      <c r="N120" s="58" t="s">
        <v>1058</v>
      </c>
      <c r="O120" s="58" t="s">
        <v>1059</v>
      </c>
      <c r="P120" s="58" t="s">
        <v>1060</v>
      </c>
      <c r="Q120" s="58"/>
      <c r="R120" s="58"/>
      <c r="S120" s="45"/>
      <c r="T120" s="45"/>
      <c r="U120" s="45"/>
      <c r="V120" s="45"/>
      <c r="W120" s="45"/>
      <c r="X120" s="45"/>
      <c r="Y120" s="45"/>
      <c r="Z120" s="45"/>
      <c r="AA120" s="45"/>
      <c r="AB120" s="45"/>
      <c r="AC120" s="45"/>
    </row>
    <row r="121" spans="1:29" ht="131.25">
      <c r="A121" s="42">
        <f t="shared" si="0"/>
        <v>120</v>
      </c>
      <c r="B121" s="42" t="s">
        <v>19</v>
      </c>
      <c r="C121" s="42" t="s">
        <v>990</v>
      </c>
      <c r="D121" s="42" t="s">
        <v>137</v>
      </c>
      <c r="E121" s="42"/>
      <c r="F121" s="42" t="s">
        <v>1061</v>
      </c>
      <c r="G121" s="42" t="s">
        <v>4</v>
      </c>
      <c r="H121" s="42" t="s">
        <v>95</v>
      </c>
      <c r="I121" s="58" t="s">
        <v>1062</v>
      </c>
      <c r="J121" s="58" t="s">
        <v>1063</v>
      </c>
      <c r="K121" s="42" t="s">
        <v>1056</v>
      </c>
      <c r="L121" s="58" t="s">
        <v>1064</v>
      </c>
      <c r="M121" s="58"/>
      <c r="N121" s="58" t="s">
        <v>1065</v>
      </c>
      <c r="O121" s="58" t="s">
        <v>1066</v>
      </c>
      <c r="P121" s="58" t="s">
        <v>1067</v>
      </c>
      <c r="Q121" s="58"/>
      <c r="R121" s="58"/>
      <c r="S121" s="45"/>
      <c r="T121" s="45"/>
      <c r="U121" s="45"/>
      <c r="V121" s="45"/>
      <c r="W121" s="45"/>
      <c r="X121" s="45"/>
      <c r="Y121" s="45"/>
      <c r="Z121" s="45"/>
      <c r="AA121" s="45"/>
      <c r="AB121" s="45"/>
      <c r="AC121" s="45"/>
    </row>
    <row r="122" spans="1:29" ht="26.25">
      <c r="A122" s="42">
        <f t="shared" si="0"/>
        <v>121</v>
      </c>
      <c r="B122" s="42" t="s">
        <v>19</v>
      </c>
      <c r="C122" s="42" t="s">
        <v>990</v>
      </c>
      <c r="D122" s="42" t="s">
        <v>140</v>
      </c>
      <c r="E122" s="42"/>
      <c r="F122" s="42" t="s">
        <v>1068</v>
      </c>
      <c r="G122" s="42"/>
      <c r="H122" s="42"/>
      <c r="I122" s="58"/>
      <c r="J122" s="58"/>
      <c r="K122" s="42"/>
      <c r="L122" s="58"/>
      <c r="M122" s="58"/>
      <c r="N122" s="58"/>
      <c r="O122" s="58"/>
      <c r="P122" s="58"/>
      <c r="Q122" s="58"/>
      <c r="R122" s="58"/>
      <c r="S122" s="45"/>
      <c r="T122" s="45"/>
      <c r="U122" s="45"/>
      <c r="V122" s="45"/>
      <c r="W122" s="45"/>
      <c r="X122" s="45"/>
      <c r="Y122" s="45"/>
      <c r="Z122" s="45"/>
      <c r="AA122" s="45"/>
      <c r="AB122" s="45"/>
      <c r="AC122" s="45"/>
    </row>
    <row r="123" spans="1:29" ht="26.25">
      <c r="A123" s="42">
        <f t="shared" si="0"/>
        <v>122</v>
      </c>
      <c r="B123" s="42" t="s">
        <v>19</v>
      </c>
      <c r="C123" s="42" t="s">
        <v>990</v>
      </c>
      <c r="D123" s="42" t="s">
        <v>143</v>
      </c>
      <c r="E123" s="42"/>
      <c r="F123" s="42" t="s">
        <v>1069</v>
      </c>
      <c r="G123" s="42"/>
      <c r="H123" s="42"/>
      <c r="I123" s="58"/>
      <c r="J123" s="58"/>
      <c r="K123" s="42"/>
      <c r="L123" s="58"/>
      <c r="M123" s="58"/>
      <c r="N123" s="58"/>
      <c r="O123" s="58"/>
      <c r="P123" s="58"/>
      <c r="Q123" s="58"/>
      <c r="R123" s="58"/>
      <c r="S123" s="45"/>
      <c r="T123" s="45"/>
      <c r="U123" s="45"/>
      <c r="V123" s="45"/>
      <c r="W123" s="45"/>
      <c r="X123" s="45"/>
      <c r="Y123" s="45"/>
      <c r="Z123" s="45"/>
      <c r="AA123" s="45"/>
      <c r="AB123" s="45"/>
      <c r="AC123" s="45"/>
    </row>
    <row r="124" spans="1:29" ht="26.25">
      <c r="A124" s="42">
        <f t="shared" si="0"/>
        <v>123</v>
      </c>
      <c r="B124" s="42" t="s">
        <v>19</v>
      </c>
      <c r="C124" s="42" t="s">
        <v>990</v>
      </c>
      <c r="D124" s="42" t="s">
        <v>145</v>
      </c>
      <c r="E124" s="42"/>
      <c r="F124" s="42" t="s">
        <v>1070</v>
      </c>
      <c r="G124" s="42"/>
      <c r="H124" s="42"/>
      <c r="I124" s="58"/>
      <c r="J124" s="58"/>
      <c r="K124" s="42"/>
      <c r="L124" s="58"/>
      <c r="M124" s="58"/>
      <c r="N124" s="58"/>
      <c r="O124" s="58"/>
      <c r="P124" s="58"/>
      <c r="Q124" s="58"/>
      <c r="R124" s="58"/>
      <c r="S124" s="45"/>
      <c r="T124" s="45"/>
      <c r="U124" s="45"/>
      <c r="V124" s="45"/>
      <c r="W124" s="45"/>
      <c r="X124" s="45"/>
      <c r="Y124" s="45"/>
      <c r="Z124" s="45"/>
      <c r="AA124" s="45"/>
      <c r="AB124" s="45"/>
      <c r="AC124" s="45"/>
    </row>
    <row r="125" spans="1:29" ht="26.25">
      <c r="A125" s="42">
        <f t="shared" si="0"/>
        <v>124</v>
      </c>
      <c r="B125" s="42" t="s">
        <v>19</v>
      </c>
      <c r="C125" s="42" t="s">
        <v>19</v>
      </c>
      <c r="D125" s="42" t="s">
        <v>1071</v>
      </c>
      <c r="E125" s="42"/>
      <c r="F125" s="42" t="s">
        <v>1072</v>
      </c>
      <c r="G125" s="42"/>
      <c r="H125" s="42"/>
      <c r="I125" s="58"/>
      <c r="J125" s="58"/>
      <c r="K125" s="42"/>
      <c r="L125" s="58"/>
      <c r="M125" s="58"/>
      <c r="N125" s="58"/>
      <c r="O125" s="58"/>
      <c r="P125" s="58"/>
      <c r="Q125" s="58"/>
      <c r="R125" s="58"/>
      <c r="S125" s="45"/>
      <c r="T125" s="45"/>
      <c r="U125" s="45"/>
      <c r="V125" s="45"/>
      <c r="W125" s="45"/>
      <c r="X125" s="45"/>
      <c r="Y125" s="45"/>
      <c r="Z125" s="45"/>
      <c r="AA125" s="45"/>
      <c r="AB125" s="45"/>
      <c r="AC125" s="45"/>
    </row>
    <row r="126" spans="1:29" ht="26.25">
      <c r="A126" s="42">
        <f t="shared" si="0"/>
        <v>125</v>
      </c>
      <c r="B126" s="42" t="s">
        <v>19</v>
      </c>
      <c r="C126" s="42" t="s">
        <v>19</v>
      </c>
      <c r="D126" s="42" t="s">
        <v>1073</v>
      </c>
      <c r="E126" s="42"/>
      <c r="F126" s="42" t="s">
        <v>1074</v>
      </c>
      <c r="G126" s="42"/>
      <c r="H126" s="42"/>
      <c r="I126" s="58"/>
      <c r="J126" s="58"/>
      <c r="K126" s="42"/>
      <c r="L126" s="58"/>
      <c r="M126" s="58"/>
      <c r="N126" s="58"/>
      <c r="O126" s="58"/>
      <c r="P126" s="58"/>
      <c r="Q126" s="58"/>
      <c r="R126" s="58"/>
      <c r="S126" s="45"/>
      <c r="T126" s="45"/>
      <c r="U126" s="45"/>
      <c r="V126" s="45"/>
      <c r="W126" s="45"/>
      <c r="X126" s="45"/>
      <c r="Y126" s="45"/>
      <c r="Z126" s="45"/>
      <c r="AA126" s="45"/>
      <c r="AB126" s="45"/>
      <c r="AC126" s="45"/>
    </row>
    <row r="127" spans="1:29" ht="26.25">
      <c r="A127" s="42">
        <f t="shared" si="0"/>
        <v>126</v>
      </c>
      <c r="B127" s="42" t="s">
        <v>19</v>
      </c>
      <c r="C127" s="42" t="s">
        <v>19</v>
      </c>
      <c r="D127" s="42" t="s">
        <v>1075</v>
      </c>
      <c r="E127" s="42"/>
      <c r="F127" s="42" t="s">
        <v>1076</v>
      </c>
      <c r="G127" s="42"/>
      <c r="H127" s="42"/>
      <c r="I127" s="58"/>
      <c r="J127" s="58"/>
      <c r="K127" s="42"/>
      <c r="L127" s="58"/>
      <c r="M127" s="58"/>
      <c r="N127" s="58"/>
      <c r="O127" s="58"/>
      <c r="P127" s="58"/>
      <c r="Q127" s="58"/>
      <c r="R127" s="58"/>
      <c r="S127" s="45"/>
      <c r="T127" s="45"/>
      <c r="U127" s="45"/>
      <c r="V127" s="45"/>
      <c r="W127" s="45"/>
      <c r="X127" s="45"/>
      <c r="Y127" s="45"/>
      <c r="Z127" s="45"/>
      <c r="AA127" s="45"/>
      <c r="AB127" s="45"/>
      <c r="AC127" s="45"/>
    </row>
    <row r="128" spans="1:29" ht="170.65">
      <c r="A128" s="42">
        <f t="shared" si="0"/>
        <v>127</v>
      </c>
      <c r="B128" s="42" t="s">
        <v>19</v>
      </c>
      <c r="C128" s="42" t="s">
        <v>19</v>
      </c>
      <c r="D128" s="42" t="s">
        <v>1077</v>
      </c>
      <c r="E128" s="42"/>
      <c r="F128" s="42" t="s">
        <v>1078</v>
      </c>
      <c r="G128" s="42" t="s">
        <v>5</v>
      </c>
      <c r="H128" s="42" t="s">
        <v>95</v>
      </c>
      <c r="I128" s="58" t="s">
        <v>1079</v>
      </c>
      <c r="J128" s="58" t="s">
        <v>1080</v>
      </c>
      <c r="K128" s="42" t="s">
        <v>999</v>
      </c>
      <c r="L128" s="58"/>
      <c r="M128" s="58" t="s">
        <v>1081</v>
      </c>
      <c r="N128" s="58"/>
      <c r="O128" s="58"/>
      <c r="P128" s="58" t="s">
        <v>1082</v>
      </c>
      <c r="Q128" s="58"/>
      <c r="R128" s="58"/>
      <c r="S128" s="45"/>
      <c r="T128" s="45"/>
      <c r="U128" s="45"/>
      <c r="V128" s="45"/>
      <c r="W128" s="45"/>
      <c r="X128" s="45"/>
      <c r="Y128" s="45"/>
      <c r="Z128" s="45"/>
      <c r="AA128" s="45"/>
      <c r="AB128" s="45"/>
      <c r="AC128" s="45"/>
    </row>
    <row r="129" spans="1:29" ht="26.25">
      <c r="A129" s="42">
        <f t="shared" si="0"/>
        <v>128</v>
      </c>
      <c r="B129" s="42" t="s">
        <v>19</v>
      </c>
      <c r="C129" s="42" t="s">
        <v>19</v>
      </c>
      <c r="D129" s="42" t="s">
        <v>1083</v>
      </c>
      <c r="E129" s="42"/>
      <c r="F129" s="42" t="s">
        <v>1084</v>
      </c>
      <c r="G129" s="42"/>
      <c r="H129" s="42"/>
      <c r="I129" s="58"/>
      <c r="J129" s="58"/>
      <c r="K129" s="42"/>
      <c r="L129" s="58"/>
      <c r="M129" s="58"/>
      <c r="N129" s="58"/>
      <c r="O129" s="58"/>
      <c r="P129" s="58"/>
      <c r="Q129" s="58"/>
      <c r="R129" s="58"/>
      <c r="S129" s="45"/>
      <c r="T129" s="45"/>
      <c r="U129" s="45"/>
      <c r="V129" s="45"/>
      <c r="W129" s="45"/>
      <c r="X129" s="45"/>
      <c r="Y129" s="45"/>
      <c r="Z129" s="45"/>
      <c r="AA129" s="45"/>
      <c r="AB129" s="45"/>
      <c r="AC129" s="45"/>
    </row>
    <row r="130" spans="1:29" ht="170.65">
      <c r="A130" s="42">
        <f t="shared" si="0"/>
        <v>129</v>
      </c>
      <c r="B130" s="42" t="s">
        <v>19</v>
      </c>
      <c r="C130" s="42" t="s">
        <v>19</v>
      </c>
      <c r="D130" s="42" t="s">
        <v>1085</v>
      </c>
      <c r="E130" s="42"/>
      <c r="F130" s="42" t="s">
        <v>1086</v>
      </c>
      <c r="G130" s="42" t="s">
        <v>5</v>
      </c>
      <c r="H130" s="42" t="s">
        <v>90</v>
      </c>
      <c r="I130" s="58" t="s">
        <v>1087</v>
      </c>
      <c r="J130" s="58" t="s">
        <v>1088</v>
      </c>
      <c r="K130" s="42" t="s">
        <v>994</v>
      </c>
      <c r="L130" s="58" t="s">
        <v>1089</v>
      </c>
      <c r="M130" s="58" t="s">
        <v>1090</v>
      </c>
      <c r="N130" s="58" t="s">
        <v>1091</v>
      </c>
      <c r="O130" s="58"/>
      <c r="P130" s="58" t="s">
        <v>1092</v>
      </c>
      <c r="Q130" s="58"/>
      <c r="R130" s="58"/>
      <c r="S130" s="45"/>
      <c r="T130" s="45"/>
      <c r="U130" s="45"/>
      <c r="V130" s="45"/>
      <c r="W130" s="45"/>
      <c r="X130" s="45"/>
      <c r="Y130" s="45"/>
      <c r="Z130" s="45"/>
      <c r="AA130" s="45"/>
      <c r="AB130" s="45"/>
      <c r="AC130" s="45"/>
    </row>
    <row r="131" spans="1:29" ht="26.25">
      <c r="A131" s="42">
        <f t="shared" si="0"/>
        <v>130</v>
      </c>
      <c r="B131" s="42" t="s">
        <v>19</v>
      </c>
      <c r="C131" s="42" t="s">
        <v>19</v>
      </c>
      <c r="D131" s="42" t="s">
        <v>1093</v>
      </c>
      <c r="E131" s="42"/>
      <c r="F131" s="42" t="s">
        <v>1094</v>
      </c>
      <c r="G131" s="42"/>
      <c r="H131" s="42"/>
      <c r="I131" s="58"/>
      <c r="J131" s="58"/>
      <c r="K131" s="42"/>
      <c r="L131" s="58"/>
      <c r="M131" s="58"/>
      <c r="N131" s="58"/>
      <c r="O131" s="58"/>
      <c r="P131" s="58"/>
      <c r="Q131" s="58"/>
      <c r="R131" s="58"/>
      <c r="S131" s="45"/>
      <c r="T131" s="45"/>
      <c r="U131" s="45"/>
      <c r="V131" s="45"/>
      <c r="W131" s="45"/>
      <c r="X131" s="45"/>
      <c r="Y131" s="45"/>
      <c r="Z131" s="45"/>
      <c r="AA131" s="45"/>
      <c r="AB131" s="45"/>
      <c r="AC131" s="45"/>
    </row>
    <row r="132" spans="1:29" ht="78.75">
      <c r="A132" s="42">
        <f t="shared" si="0"/>
        <v>131</v>
      </c>
      <c r="B132" s="42" t="s">
        <v>19</v>
      </c>
      <c r="C132" s="42" t="s">
        <v>19</v>
      </c>
      <c r="D132" s="42" t="s">
        <v>1095</v>
      </c>
      <c r="E132" s="42"/>
      <c r="F132" s="42" t="s">
        <v>1096</v>
      </c>
      <c r="G132" s="42" t="s">
        <v>5</v>
      </c>
      <c r="H132" s="42" t="s">
        <v>95</v>
      </c>
      <c r="I132" s="58" t="s">
        <v>1097</v>
      </c>
      <c r="J132" s="58" t="s">
        <v>1098</v>
      </c>
      <c r="K132" s="42" t="s">
        <v>999</v>
      </c>
      <c r="L132" s="58" t="s">
        <v>1099</v>
      </c>
      <c r="M132" s="58" t="s">
        <v>1100</v>
      </c>
      <c r="N132" s="58"/>
      <c r="O132" s="58"/>
      <c r="P132" s="58"/>
      <c r="Q132" s="58"/>
      <c r="R132" s="58"/>
      <c r="S132" s="45"/>
      <c r="T132" s="45"/>
      <c r="U132" s="45"/>
      <c r="V132" s="45"/>
      <c r="W132" s="45"/>
      <c r="X132" s="45"/>
      <c r="Y132" s="45"/>
      <c r="Z132" s="45"/>
      <c r="AA132" s="45"/>
      <c r="AB132" s="45"/>
      <c r="AC132" s="45"/>
    </row>
    <row r="133" spans="1:29" ht="118.15">
      <c r="A133" s="42">
        <f t="shared" si="0"/>
        <v>132</v>
      </c>
      <c r="B133" s="42" t="s">
        <v>19</v>
      </c>
      <c r="C133" s="42" t="s">
        <v>19</v>
      </c>
      <c r="D133" s="42" t="s">
        <v>1101</v>
      </c>
      <c r="E133" s="42"/>
      <c r="F133" s="42" t="s">
        <v>1102</v>
      </c>
      <c r="G133" s="42" t="s">
        <v>4</v>
      </c>
      <c r="H133" s="42" t="s">
        <v>95</v>
      </c>
      <c r="I133" s="58" t="s">
        <v>1103</v>
      </c>
      <c r="J133" s="58" t="s">
        <v>1104</v>
      </c>
      <c r="K133" s="42" t="s">
        <v>999</v>
      </c>
      <c r="L133" s="58" t="s">
        <v>1105</v>
      </c>
      <c r="M133" s="58" t="s">
        <v>1106</v>
      </c>
      <c r="N133" s="58" t="s">
        <v>1107</v>
      </c>
      <c r="O133" s="58" t="s">
        <v>1108</v>
      </c>
      <c r="P133" s="58" t="s">
        <v>1109</v>
      </c>
      <c r="Q133" s="58"/>
      <c r="R133" s="58"/>
      <c r="S133" s="45"/>
      <c r="T133" s="45"/>
      <c r="U133" s="45"/>
      <c r="V133" s="45"/>
      <c r="W133" s="45"/>
      <c r="X133" s="45"/>
      <c r="Y133" s="45"/>
      <c r="Z133" s="45"/>
      <c r="AA133" s="45"/>
      <c r="AB133" s="45"/>
      <c r="AC133" s="45"/>
    </row>
    <row r="134" spans="1:29" ht="131.25">
      <c r="A134" s="42">
        <f t="shared" si="0"/>
        <v>133</v>
      </c>
      <c r="B134" s="42" t="s">
        <v>19</v>
      </c>
      <c r="C134" s="42" t="s">
        <v>19</v>
      </c>
      <c r="D134" s="42" t="s">
        <v>1110</v>
      </c>
      <c r="E134" s="42" t="s">
        <v>1110</v>
      </c>
      <c r="F134" s="42" t="s">
        <v>1111</v>
      </c>
      <c r="G134" s="42" t="s">
        <v>5</v>
      </c>
      <c r="H134" s="42" t="s">
        <v>95</v>
      </c>
      <c r="I134" s="58" t="s">
        <v>1112</v>
      </c>
      <c r="J134" s="58" t="s">
        <v>1113</v>
      </c>
      <c r="K134" s="42" t="s">
        <v>999</v>
      </c>
      <c r="L134" s="58" t="s">
        <v>1114</v>
      </c>
      <c r="M134" s="58"/>
      <c r="N134" s="58" t="s">
        <v>1115</v>
      </c>
      <c r="O134" s="58" t="s">
        <v>1116</v>
      </c>
      <c r="P134" s="58" t="s">
        <v>1117</v>
      </c>
      <c r="Q134" s="58"/>
      <c r="R134" s="58"/>
      <c r="S134" s="45"/>
      <c r="T134" s="45"/>
      <c r="U134" s="45"/>
      <c r="V134" s="45"/>
      <c r="W134" s="45"/>
      <c r="X134" s="45"/>
      <c r="Y134" s="45"/>
      <c r="Z134" s="45"/>
      <c r="AA134" s="45"/>
      <c r="AB134" s="45"/>
      <c r="AC134" s="45"/>
    </row>
    <row r="135" spans="1:29" ht="26.25">
      <c r="A135" s="42">
        <f t="shared" si="0"/>
        <v>134</v>
      </c>
      <c r="B135" s="42" t="s">
        <v>19</v>
      </c>
      <c r="C135" s="42" t="s">
        <v>19</v>
      </c>
      <c r="D135" s="42" t="s">
        <v>1118</v>
      </c>
      <c r="E135" s="42"/>
      <c r="F135" s="42" t="s">
        <v>1119</v>
      </c>
      <c r="G135" s="42"/>
      <c r="H135" s="42"/>
      <c r="I135" s="58"/>
      <c r="J135" s="58"/>
      <c r="K135" s="42"/>
      <c r="L135" s="58"/>
      <c r="M135" s="58"/>
      <c r="N135" s="58"/>
      <c r="O135" s="58"/>
      <c r="P135" s="58"/>
      <c r="Q135" s="58"/>
      <c r="R135" s="58"/>
      <c r="S135" s="45"/>
      <c r="T135" s="45"/>
      <c r="U135" s="45"/>
      <c r="V135" s="45"/>
      <c r="W135" s="45"/>
      <c r="X135" s="45"/>
      <c r="Y135" s="45"/>
      <c r="Z135" s="45"/>
      <c r="AA135" s="45"/>
      <c r="AB135" s="45"/>
      <c r="AC135" s="45"/>
    </row>
    <row r="136" spans="1:29" ht="26.25">
      <c r="A136" s="42">
        <f t="shared" si="0"/>
        <v>135</v>
      </c>
      <c r="B136" s="42" t="s">
        <v>19</v>
      </c>
      <c r="C136" s="42" t="s">
        <v>19</v>
      </c>
      <c r="D136" s="42" t="s">
        <v>1120</v>
      </c>
      <c r="E136" s="42"/>
      <c r="F136" s="42" t="s">
        <v>1121</v>
      </c>
      <c r="G136" s="42"/>
      <c r="H136" s="42"/>
      <c r="I136" s="58"/>
      <c r="J136" s="58"/>
      <c r="K136" s="42"/>
      <c r="L136" s="58"/>
      <c r="M136" s="58"/>
      <c r="N136" s="58"/>
      <c r="O136" s="58"/>
      <c r="P136" s="58"/>
      <c r="Q136" s="58"/>
      <c r="R136" s="58"/>
      <c r="S136" s="45"/>
      <c r="T136" s="45"/>
      <c r="U136" s="45"/>
      <c r="V136" s="45"/>
      <c r="W136" s="45"/>
      <c r="X136" s="45"/>
      <c r="Y136" s="45"/>
      <c r="Z136" s="45"/>
      <c r="AA136" s="45"/>
      <c r="AB136" s="45"/>
      <c r="AC136" s="45"/>
    </row>
    <row r="137" spans="1:29" ht="78.75">
      <c r="A137" s="42">
        <f t="shared" si="0"/>
        <v>136</v>
      </c>
      <c r="B137" s="42" t="s">
        <v>19</v>
      </c>
      <c r="C137" s="42" t="s">
        <v>19</v>
      </c>
      <c r="D137" s="42" t="s">
        <v>1122</v>
      </c>
      <c r="E137" s="42"/>
      <c r="F137" s="42" t="s">
        <v>1123</v>
      </c>
      <c r="G137" s="42" t="s">
        <v>5</v>
      </c>
      <c r="H137" s="42" t="s">
        <v>90</v>
      </c>
      <c r="I137" s="58" t="s">
        <v>1124</v>
      </c>
      <c r="J137" s="58" t="s">
        <v>1125</v>
      </c>
      <c r="K137" s="42" t="s">
        <v>1023</v>
      </c>
      <c r="L137" s="58" t="s">
        <v>1126</v>
      </c>
      <c r="M137" s="58"/>
      <c r="N137" s="58"/>
      <c r="O137" s="58" t="s">
        <v>1127</v>
      </c>
      <c r="P137" s="58" t="s">
        <v>1128</v>
      </c>
      <c r="Q137" s="58"/>
      <c r="R137" s="58"/>
      <c r="S137" s="45"/>
      <c r="T137" s="45"/>
      <c r="U137" s="45"/>
      <c r="V137" s="45"/>
      <c r="W137" s="45"/>
      <c r="X137" s="45"/>
      <c r="Y137" s="45"/>
      <c r="Z137" s="45"/>
      <c r="AA137" s="45"/>
      <c r="AB137" s="45"/>
      <c r="AC137" s="45"/>
    </row>
    <row r="138" spans="1:29" ht="157.5">
      <c r="A138" s="42">
        <f t="shared" si="0"/>
        <v>137</v>
      </c>
      <c r="B138" s="42" t="s">
        <v>19</v>
      </c>
      <c r="C138" s="42" t="s">
        <v>19</v>
      </c>
      <c r="D138" s="42" t="s">
        <v>1129</v>
      </c>
      <c r="E138" s="42"/>
      <c r="F138" s="42" t="s">
        <v>1130</v>
      </c>
      <c r="G138" s="42" t="s">
        <v>4</v>
      </c>
      <c r="H138" s="42" t="s">
        <v>95</v>
      </c>
      <c r="I138" s="58" t="s">
        <v>1131</v>
      </c>
      <c r="J138" s="58" t="s">
        <v>1132</v>
      </c>
      <c r="K138" s="42" t="s">
        <v>999</v>
      </c>
      <c r="L138" s="58" t="s">
        <v>1133</v>
      </c>
      <c r="M138" s="58"/>
      <c r="N138" s="58" t="s">
        <v>1134</v>
      </c>
      <c r="O138" s="58" t="s">
        <v>1135</v>
      </c>
      <c r="P138" s="58"/>
      <c r="Q138" s="58"/>
      <c r="R138" s="58" t="s">
        <v>1136</v>
      </c>
      <c r="S138" s="45"/>
      <c r="T138" s="45"/>
      <c r="U138" s="45"/>
      <c r="V138" s="45"/>
      <c r="W138" s="45"/>
      <c r="X138" s="45"/>
      <c r="Y138" s="45"/>
      <c r="Z138" s="45"/>
      <c r="AA138" s="45"/>
      <c r="AB138" s="45"/>
      <c r="AC138" s="45"/>
    </row>
    <row r="139" spans="1:29" ht="235.9">
      <c r="A139" s="42">
        <f t="shared" si="0"/>
        <v>138</v>
      </c>
      <c r="B139" s="42" t="s">
        <v>19</v>
      </c>
      <c r="C139" s="42" t="s">
        <v>19</v>
      </c>
      <c r="D139" s="42" t="s">
        <v>1137</v>
      </c>
      <c r="E139" s="42"/>
      <c r="F139" s="42" t="s">
        <v>1138</v>
      </c>
      <c r="G139" s="42" t="s">
        <v>1139</v>
      </c>
      <c r="H139" s="42" t="s">
        <v>95</v>
      </c>
      <c r="I139" s="58" t="s">
        <v>1140</v>
      </c>
      <c r="J139" s="58" t="s">
        <v>1141</v>
      </c>
      <c r="K139" s="42" t="s">
        <v>999</v>
      </c>
      <c r="L139" s="58" t="s">
        <v>1142</v>
      </c>
      <c r="M139" s="58"/>
      <c r="N139" s="58" t="s">
        <v>1143</v>
      </c>
      <c r="O139" s="58" t="s">
        <v>1144</v>
      </c>
      <c r="P139" s="58"/>
      <c r="Q139" s="58"/>
      <c r="R139" s="58"/>
      <c r="S139" s="45"/>
      <c r="T139" s="45"/>
      <c r="U139" s="45"/>
      <c r="V139" s="45"/>
      <c r="W139" s="45"/>
      <c r="X139" s="45"/>
      <c r="Y139" s="45"/>
      <c r="Z139" s="45"/>
      <c r="AA139" s="45"/>
      <c r="AB139" s="45"/>
      <c r="AC139" s="45"/>
    </row>
    <row r="140" spans="1:29" ht="26.25">
      <c r="A140" s="42">
        <f t="shared" si="0"/>
        <v>139</v>
      </c>
      <c r="B140" s="42" t="s">
        <v>19</v>
      </c>
      <c r="C140" s="42" t="s">
        <v>19</v>
      </c>
      <c r="D140" s="42" t="s">
        <v>1145</v>
      </c>
      <c r="E140" s="42"/>
      <c r="F140" s="42" t="s">
        <v>1146</v>
      </c>
      <c r="G140" s="42"/>
      <c r="H140" s="42"/>
      <c r="I140" s="58"/>
      <c r="J140" s="58"/>
      <c r="K140" s="42"/>
      <c r="L140" s="58"/>
      <c r="M140" s="58"/>
      <c r="N140" s="58"/>
      <c r="O140" s="58"/>
      <c r="P140" s="58"/>
      <c r="Q140" s="58"/>
      <c r="R140" s="58"/>
      <c r="S140" s="45"/>
      <c r="T140" s="45"/>
      <c r="U140" s="45"/>
      <c r="V140" s="45"/>
      <c r="W140" s="45"/>
      <c r="X140" s="45"/>
      <c r="Y140" s="45"/>
      <c r="Z140" s="45"/>
      <c r="AA140" s="45"/>
      <c r="AB140" s="45"/>
      <c r="AC140" s="45"/>
    </row>
    <row r="141" spans="1:29" ht="39.4">
      <c r="A141" s="42">
        <f t="shared" si="0"/>
        <v>140</v>
      </c>
      <c r="B141" s="42" t="s">
        <v>19</v>
      </c>
      <c r="C141" s="42" t="s">
        <v>220</v>
      </c>
      <c r="D141" s="42" t="s">
        <v>1147</v>
      </c>
      <c r="E141" s="42"/>
      <c r="F141" s="42" t="s">
        <v>1148</v>
      </c>
      <c r="G141" s="42"/>
      <c r="H141" s="42"/>
      <c r="I141" s="58"/>
      <c r="J141" s="58"/>
      <c r="K141" s="42"/>
      <c r="L141" s="58"/>
      <c r="M141" s="58"/>
      <c r="N141" s="58"/>
      <c r="O141" s="58"/>
      <c r="P141" s="58"/>
      <c r="Q141" s="58"/>
      <c r="R141" s="58"/>
      <c r="S141" s="45"/>
      <c r="T141" s="45"/>
      <c r="U141" s="45"/>
      <c r="V141" s="45"/>
      <c r="W141" s="45"/>
      <c r="X141" s="45"/>
      <c r="Y141" s="45"/>
      <c r="Z141" s="45"/>
      <c r="AA141" s="45"/>
      <c r="AB141" s="45"/>
      <c r="AC141" s="45"/>
    </row>
    <row r="142" spans="1:29" ht="157.5">
      <c r="A142" s="42">
        <f t="shared" si="0"/>
        <v>141</v>
      </c>
      <c r="B142" s="42" t="s">
        <v>19</v>
      </c>
      <c r="C142" s="42" t="s">
        <v>220</v>
      </c>
      <c r="D142" s="42" t="s">
        <v>223</v>
      </c>
      <c r="E142" s="42"/>
      <c r="F142" s="42" t="s">
        <v>1149</v>
      </c>
      <c r="G142" s="42" t="s">
        <v>5</v>
      </c>
      <c r="H142" s="42" t="s">
        <v>90</v>
      </c>
      <c r="I142" s="58" t="s">
        <v>1150</v>
      </c>
      <c r="J142" s="58" t="s">
        <v>1151</v>
      </c>
      <c r="K142" s="42" t="s">
        <v>1152</v>
      </c>
      <c r="L142" s="58" t="s">
        <v>1153</v>
      </c>
      <c r="M142" s="58" t="s">
        <v>1154</v>
      </c>
      <c r="N142" s="58"/>
      <c r="O142" s="58" t="s">
        <v>1155</v>
      </c>
      <c r="P142" s="58"/>
      <c r="Q142" s="58"/>
      <c r="R142" s="58"/>
      <c r="S142" s="45"/>
      <c r="T142" s="45"/>
      <c r="U142" s="45"/>
      <c r="V142" s="45"/>
      <c r="W142" s="45"/>
      <c r="X142" s="45"/>
      <c r="Y142" s="45"/>
      <c r="Z142" s="45"/>
      <c r="AA142" s="45"/>
      <c r="AB142" s="45"/>
      <c r="AC142" s="45"/>
    </row>
    <row r="143" spans="1:29" ht="157.5">
      <c r="A143" s="42">
        <f t="shared" si="0"/>
        <v>142</v>
      </c>
      <c r="B143" s="42" t="s">
        <v>19</v>
      </c>
      <c r="C143" s="42" t="s">
        <v>220</v>
      </c>
      <c r="D143" s="42" t="s">
        <v>1156</v>
      </c>
      <c r="E143" s="42"/>
      <c r="F143" s="42" t="s">
        <v>1157</v>
      </c>
      <c r="G143" s="42" t="s">
        <v>5</v>
      </c>
      <c r="H143" s="42" t="s">
        <v>90</v>
      </c>
      <c r="I143" s="58" t="s">
        <v>1158</v>
      </c>
      <c r="J143" s="58" t="s">
        <v>1159</v>
      </c>
      <c r="K143" s="42" t="s">
        <v>999</v>
      </c>
      <c r="L143" s="58" t="s">
        <v>1160</v>
      </c>
      <c r="M143" s="58" t="s">
        <v>1161</v>
      </c>
      <c r="N143" s="58" t="s">
        <v>1162</v>
      </c>
      <c r="O143" s="58" t="s">
        <v>1163</v>
      </c>
      <c r="P143" s="58" t="s">
        <v>1164</v>
      </c>
      <c r="Q143" s="58"/>
      <c r="R143" s="58" t="s">
        <v>1165</v>
      </c>
      <c r="S143" s="45"/>
      <c r="T143" s="45"/>
      <c r="U143" s="45"/>
      <c r="V143" s="45"/>
      <c r="W143" s="45"/>
      <c r="X143" s="45"/>
      <c r="Y143" s="45"/>
      <c r="Z143" s="45"/>
      <c r="AA143" s="45"/>
      <c r="AB143" s="45"/>
      <c r="AC143" s="45"/>
    </row>
    <row r="144" spans="1:29" ht="377.25">
      <c r="A144" s="42">
        <f t="shared" si="0"/>
        <v>143</v>
      </c>
      <c r="B144" s="42" t="s">
        <v>19</v>
      </c>
      <c r="C144" s="42" t="s">
        <v>220</v>
      </c>
      <c r="D144" s="42" t="s">
        <v>228</v>
      </c>
      <c r="E144" s="42"/>
      <c r="F144" s="42" t="s">
        <v>1166</v>
      </c>
      <c r="G144" s="42" t="s">
        <v>4</v>
      </c>
      <c r="H144" s="42" t="s">
        <v>90</v>
      </c>
      <c r="I144" s="58" t="s">
        <v>1167</v>
      </c>
      <c r="J144" s="58" t="s">
        <v>1168</v>
      </c>
      <c r="K144" s="42" t="s">
        <v>1023</v>
      </c>
      <c r="L144" s="58" t="s">
        <v>1169</v>
      </c>
      <c r="M144" s="58"/>
      <c r="N144" s="58" t="s">
        <v>1170</v>
      </c>
      <c r="O144" s="58" t="s">
        <v>1171</v>
      </c>
      <c r="P144" s="58" t="s">
        <v>1172</v>
      </c>
      <c r="Q144" s="58"/>
      <c r="R144" s="58" t="s">
        <v>1173</v>
      </c>
      <c r="S144" s="45"/>
      <c r="T144" s="45"/>
      <c r="U144" s="45"/>
      <c r="V144" s="45"/>
      <c r="W144" s="45"/>
      <c r="X144" s="45"/>
      <c r="Y144" s="45"/>
      <c r="Z144" s="45"/>
      <c r="AA144" s="45"/>
      <c r="AB144" s="45"/>
      <c r="AC144" s="45"/>
    </row>
    <row r="145" spans="1:29" ht="26.25">
      <c r="A145" s="42">
        <f t="shared" si="0"/>
        <v>144</v>
      </c>
      <c r="B145" s="42" t="s">
        <v>19</v>
      </c>
      <c r="C145" s="42" t="s">
        <v>220</v>
      </c>
      <c r="D145" s="42" t="s">
        <v>1174</v>
      </c>
      <c r="E145" s="42"/>
      <c r="F145" s="42" t="s">
        <v>1175</v>
      </c>
      <c r="G145" s="42"/>
      <c r="H145" s="42"/>
      <c r="I145" s="58"/>
      <c r="J145" s="58"/>
      <c r="K145" s="42"/>
      <c r="L145" s="58"/>
      <c r="M145" s="58"/>
      <c r="N145" s="58"/>
      <c r="O145" s="58"/>
      <c r="P145" s="58"/>
      <c r="Q145" s="58"/>
      <c r="R145" s="58"/>
      <c r="S145" s="45"/>
      <c r="T145" s="45"/>
      <c r="U145" s="45"/>
      <c r="V145" s="45"/>
      <c r="W145" s="45"/>
      <c r="X145" s="45"/>
      <c r="Y145" s="45"/>
      <c r="Z145" s="45"/>
      <c r="AA145" s="45"/>
      <c r="AB145" s="45"/>
      <c r="AC145" s="45"/>
    </row>
    <row r="146" spans="1:29" ht="223.15">
      <c r="A146" s="42">
        <f t="shared" si="0"/>
        <v>145</v>
      </c>
      <c r="B146" s="42" t="s">
        <v>19</v>
      </c>
      <c r="C146" s="42" t="s">
        <v>220</v>
      </c>
      <c r="D146" s="42" t="s">
        <v>233</v>
      </c>
      <c r="E146" s="42"/>
      <c r="F146" s="42" t="s">
        <v>1176</v>
      </c>
      <c r="G146" s="42" t="s">
        <v>5</v>
      </c>
      <c r="H146" s="42" t="s">
        <v>90</v>
      </c>
      <c r="I146" s="58" t="s">
        <v>1177</v>
      </c>
      <c r="J146" s="58" t="s">
        <v>1178</v>
      </c>
      <c r="K146" s="42"/>
      <c r="L146" s="58" t="s">
        <v>1179</v>
      </c>
      <c r="M146" s="58"/>
      <c r="N146" s="58"/>
      <c r="O146" s="58" t="s">
        <v>1180</v>
      </c>
      <c r="P146" s="58"/>
      <c r="Q146" s="58"/>
      <c r="R146" s="58"/>
      <c r="S146" s="45"/>
      <c r="T146" s="45"/>
      <c r="U146" s="45"/>
      <c r="V146" s="45"/>
      <c r="W146" s="45"/>
      <c r="X146" s="45"/>
      <c r="Y146" s="45"/>
      <c r="Z146" s="45"/>
      <c r="AA146" s="45"/>
      <c r="AB146" s="45"/>
      <c r="AC146" s="45"/>
    </row>
    <row r="147" spans="1:29" ht="223.15">
      <c r="A147" s="42">
        <f t="shared" si="0"/>
        <v>146</v>
      </c>
      <c r="B147" s="42" t="s">
        <v>19</v>
      </c>
      <c r="C147" s="42" t="s">
        <v>220</v>
      </c>
      <c r="D147" s="42" t="s">
        <v>235</v>
      </c>
      <c r="E147" s="42"/>
      <c r="F147" s="42" t="s">
        <v>1181</v>
      </c>
      <c r="G147" s="42" t="s">
        <v>4</v>
      </c>
      <c r="H147" s="42" t="s">
        <v>95</v>
      </c>
      <c r="I147" s="58" t="s">
        <v>1182</v>
      </c>
      <c r="J147" s="58" t="s">
        <v>1183</v>
      </c>
      <c r="K147" s="42"/>
      <c r="L147" s="58"/>
      <c r="M147" s="58"/>
      <c r="N147" s="58" t="s">
        <v>1184</v>
      </c>
      <c r="O147" s="58"/>
      <c r="P147" s="58"/>
      <c r="Q147" s="58"/>
      <c r="R147" s="58"/>
      <c r="S147" s="45"/>
      <c r="T147" s="45"/>
      <c r="U147" s="45"/>
      <c r="V147" s="45"/>
      <c r="W147" s="45"/>
      <c r="X147" s="45"/>
      <c r="Y147" s="45"/>
      <c r="Z147" s="45"/>
      <c r="AA147" s="45"/>
      <c r="AB147" s="45"/>
      <c r="AC147" s="45"/>
    </row>
    <row r="148" spans="1:29" ht="26.25">
      <c r="A148" s="42">
        <f t="shared" si="0"/>
        <v>147</v>
      </c>
      <c r="B148" s="42" t="s">
        <v>19</v>
      </c>
      <c r="C148" s="42" t="s">
        <v>220</v>
      </c>
      <c r="D148" s="42" t="s">
        <v>237</v>
      </c>
      <c r="E148" s="42"/>
      <c r="F148" s="42" t="s">
        <v>1185</v>
      </c>
      <c r="G148" s="42"/>
      <c r="H148" s="42"/>
      <c r="I148" s="58"/>
      <c r="J148" s="58"/>
      <c r="K148" s="42"/>
      <c r="L148" s="58"/>
      <c r="M148" s="58"/>
      <c r="N148" s="58"/>
      <c r="O148" s="58"/>
      <c r="P148" s="58"/>
      <c r="Q148" s="58"/>
      <c r="R148" s="58"/>
      <c r="S148" s="45"/>
      <c r="T148" s="45"/>
      <c r="U148" s="45"/>
      <c r="V148" s="45"/>
      <c r="W148" s="45"/>
      <c r="X148" s="45"/>
      <c r="Y148" s="45"/>
      <c r="Z148" s="45"/>
      <c r="AA148" s="45"/>
      <c r="AB148" s="45"/>
      <c r="AC148" s="45"/>
    </row>
    <row r="149" spans="1:29" ht="210">
      <c r="A149" s="42">
        <f t="shared" si="0"/>
        <v>148</v>
      </c>
      <c r="B149" s="42" t="s">
        <v>19</v>
      </c>
      <c r="C149" s="42" t="s">
        <v>220</v>
      </c>
      <c r="D149" s="42" t="s">
        <v>239</v>
      </c>
      <c r="E149" s="42"/>
      <c r="F149" s="42" t="s">
        <v>1186</v>
      </c>
      <c r="G149" s="42" t="s">
        <v>5</v>
      </c>
      <c r="H149" s="42" t="s">
        <v>90</v>
      </c>
      <c r="I149" s="58" t="s">
        <v>1187</v>
      </c>
      <c r="J149" s="58" t="s">
        <v>1188</v>
      </c>
      <c r="K149" s="42" t="s">
        <v>1023</v>
      </c>
      <c r="L149" s="58" t="s">
        <v>1189</v>
      </c>
      <c r="M149" s="58"/>
      <c r="N149" s="58" t="s">
        <v>1190</v>
      </c>
      <c r="O149" s="58" t="s">
        <v>1191</v>
      </c>
      <c r="P149" s="58"/>
      <c r="Q149" s="58"/>
      <c r="R149" s="58" t="s">
        <v>1192</v>
      </c>
      <c r="S149" s="45"/>
      <c r="T149" s="45"/>
      <c r="U149" s="45"/>
      <c r="V149" s="45"/>
      <c r="W149" s="45"/>
      <c r="X149" s="45"/>
      <c r="Y149" s="45"/>
      <c r="Z149" s="45"/>
      <c r="AA149" s="45"/>
      <c r="AB149" s="45"/>
      <c r="AC149" s="45"/>
    </row>
    <row r="150" spans="1:29" ht="91.9">
      <c r="A150" s="42">
        <f t="shared" si="0"/>
        <v>149</v>
      </c>
      <c r="B150" s="42" t="s">
        <v>19</v>
      </c>
      <c r="C150" s="42" t="s">
        <v>220</v>
      </c>
      <c r="D150" s="42" t="s">
        <v>1193</v>
      </c>
      <c r="E150" s="42"/>
      <c r="F150" s="42" t="s">
        <v>1194</v>
      </c>
      <c r="G150" s="42" t="s">
        <v>6</v>
      </c>
      <c r="H150" s="42" t="s">
        <v>90</v>
      </c>
      <c r="I150" s="58" t="s">
        <v>1195</v>
      </c>
      <c r="J150" s="58" t="s">
        <v>1196</v>
      </c>
      <c r="K150" s="42" t="s">
        <v>994</v>
      </c>
      <c r="L150" s="58" t="s">
        <v>1197</v>
      </c>
      <c r="M150" s="58" t="s">
        <v>1198</v>
      </c>
      <c r="N150" s="58"/>
      <c r="O150" s="58"/>
      <c r="P150" s="58" t="s">
        <v>1199</v>
      </c>
      <c r="Q150" s="58"/>
      <c r="R150" s="58"/>
      <c r="S150" s="45"/>
      <c r="T150" s="45"/>
      <c r="U150" s="45"/>
      <c r="V150" s="45"/>
      <c r="W150" s="45"/>
      <c r="X150" s="45"/>
      <c r="Y150" s="45"/>
      <c r="Z150" s="45"/>
      <c r="AA150" s="45"/>
      <c r="AB150" s="45"/>
      <c r="AC150" s="45"/>
    </row>
    <row r="151" spans="1:29" ht="26.25">
      <c r="A151" s="42">
        <f t="shared" si="0"/>
        <v>150</v>
      </c>
      <c r="B151" s="42" t="s">
        <v>19</v>
      </c>
      <c r="C151" s="42" t="s">
        <v>220</v>
      </c>
      <c r="D151" s="42" t="s">
        <v>1200</v>
      </c>
      <c r="E151" s="42"/>
      <c r="F151" s="42" t="s">
        <v>1201</v>
      </c>
      <c r="G151" s="42"/>
      <c r="H151" s="42"/>
      <c r="I151" s="58"/>
      <c r="J151" s="58"/>
      <c r="K151" s="42"/>
      <c r="L151" s="58"/>
      <c r="M151" s="58"/>
      <c r="N151" s="58"/>
      <c r="O151" s="58"/>
      <c r="P151" s="58"/>
      <c r="Q151" s="58"/>
      <c r="R151" s="58"/>
      <c r="S151" s="45"/>
      <c r="T151" s="45"/>
      <c r="U151" s="45"/>
      <c r="V151" s="45"/>
      <c r="W151" s="45"/>
      <c r="X151" s="45"/>
      <c r="Y151" s="45"/>
      <c r="Z151" s="45"/>
      <c r="AA151" s="45"/>
      <c r="AB151" s="45"/>
      <c r="AC151" s="45"/>
    </row>
    <row r="152" spans="1:29" ht="26.25">
      <c r="A152" s="42">
        <f t="shared" si="0"/>
        <v>151</v>
      </c>
      <c r="B152" s="42" t="s">
        <v>19</v>
      </c>
      <c r="C152" s="42" t="s">
        <v>220</v>
      </c>
      <c r="D152" s="42" t="s">
        <v>245</v>
      </c>
      <c r="E152" s="42"/>
      <c r="F152" s="42" t="s">
        <v>1202</v>
      </c>
      <c r="G152" s="42"/>
      <c r="H152" s="42"/>
      <c r="I152" s="58"/>
      <c r="J152" s="58"/>
      <c r="K152" s="42"/>
      <c r="L152" s="58"/>
      <c r="M152" s="58"/>
      <c r="N152" s="58"/>
      <c r="O152" s="58"/>
      <c r="P152" s="58"/>
      <c r="Q152" s="58"/>
      <c r="R152" s="58"/>
      <c r="S152" s="45"/>
      <c r="T152" s="45"/>
      <c r="U152" s="45"/>
      <c r="V152" s="45"/>
      <c r="W152" s="45"/>
      <c r="X152" s="45"/>
      <c r="Y152" s="45"/>
      <c r="Z152" s="45"/>
      <c r="AA152" s="45"/>
      <c r="AB152" s="45"/>
      <c r="AC152" s="45"/>
    </row>
    <row r="153" spans="1:29" ht="39.4">
      <c r="A153" s="42">
        <f t="shared" si="0"/>
        <v>152</v>
      </c>
      <c r="B153" s="42" t="s">
        <v>19</v>
      </c>
      <c r="C153" s="42" t="s">
        <v>220</v>
      </c>
      <c r="D153" s="42" t="s">
        <v>1203</v>
      </c>
      <c r="E153" s="42"/>
      <c r="F153" s="42" t="s">
        <v>1204</v>
      </c>
      <c r="G153" s="42"/>
      <c r="H153" s="42"/>
      <c r="I153" s="58"/>
      <c r="J153" s="58"/>
      <c r="K153" s="42"/>
      <c r="L153" s="58"/>
      <c r="M153" s="58"/>
      <c r="N153" s="58"/>
      <c r="O153" s="58"/>
      <c r="P153" s="58"/>
      <c r="Q153" s="58"/>
      <c r="R153" s="58"/>
      <c r="S153" s="45"/>
      <c r="T153" s="45"/>
      <c r="U153" s="45"/>
      <c r="V153" s="45"/>
      <c r="W153" s="45"/>
      <c r="X153" s="45"/>
      <c r="Y153" s="45"/>
      <c r="Z153" s="45"/>
      <c r="AA153" s="45"/>
      <c r="AB153" s="45"/>
      <c r="AC153" s="45"/>
    </row>
    <row r="154" spans="1:29" ht="26.25">
      <c r="A154" s="42">
        <f t="shared" si="0"/>
        <v>153</v>
      </c>
      <c r="B154" s="42" t="s">
        <v>19</v>
      </c>
      <c r="C154" s="42" t="s">
        <v>220</v>
      </c>
      <c r="D154" s="42" t="s">
        <v>1205</v>
      </c>
      <c r="E154" s="42"/>
      <c r="F154" s="42" t="s">
        <v>1206</v>
      </c>
      <c r="G154" s="42"/>
      <c r="H154" s="42"/>
      <c r="I154" s="58"/>
      <c r="J154" s="58"/>
      <c r="K154" s="42"/>
      <c r="L154" s="58"/>
      <c r="M154" s="58"/>
      <c r="N154" s="58"/>
      <c r="O154" s="58"/>
      <c r="P154" s="58"/>
      <c r="Q154" s="58"/>
      <c r="R154" s="58"/>
      <c r="S154" s="45"/>
      <c r="T154" s="45"/>
      <c r="U154" s="45"/>
      <c r="V154" s="45"/>
      <c r="W154" s="45"/>
      <c r="X154" s="45"/>
      <c r="Y154" s="45"/>
      <c r="Z154" s="45"/>
      <c r="AA154" s="45"/>
      <c r="AB154" s="45"/>
      <c r="AC154" s="45"/>
    </row>
    <row r="155" spans="1:29" ht="26.25">
      <c r="A155" s="42">
        <f t="shared" si="0"/>
        <v>154</v>
      </c>
      <c r="B155" s="42" t="s">
        <v>19</v>
      </c>
      <c r="C155" s="42" t="s">
        <v>220</v>
      </c>
      <c r="D155" s="42" t="s">
        <v>1207</v>
      </c>
      <c r="E155" s="42"/>
      <c r="F155" s="42" t="s">
        <v>1208</v>
      </c>
      <c r="G155" s="42"/>
      <c r="H155" s="42"/>
      <c r="I155" s="58"/>
      <c r="J155" s="58"/>
      <c r="K155" s="42"/>
      <c r="L155" s="58"/>
      <c r="M155" s="58"/>
      <c r="N155" s="58"/>
      <c r="O155" s="58"/>
      <c r="P155" s="58"/>
      <c r="Q155" s="58"/>
      <c r="R155" s="58"/>
      <c r="S155" s="45"/>
      <c r="T155" s="45"/>
      <c r="U155" s="45"/>
      <c r="V155" s="45"/>
      <c r="W155" s="45"/>
      <c r="X155" s="45"/>
      <c r="Y155" s="45"/>
      <c r="Z155" s="45"/>
      <c r="AA155" s="45"/>
      <c r="AB155" s="45"/>
      <c r="AC155" s="45"/>
    </row>
    <row r="156" spans="1:29" ht="26.25">
      <c r="A156" s="42">
        <f t="shared" si="0"/>
        <v>155</v>
      </c>
      <c r="B156" s="42" t="s">
        <v>19</v>
      </c>
      <c r="C156" s="42" t="s">
        <v>220</v>
      </c>
      <c r="D156" s="42" t="s">
        <v>1209</v>
      </c>
      <c r="E156" s="42"/>
      <c r="F156" s="42" t="s">
        <v>1210</v>
      </c>
      <c r="G156" s="42"/>
      <c r="H156" s="42"/>
      <c r="I156" s="58"/>
      <c r="J156" s="58"/>
      <c r="K156" s="42"/>
      <c r="L156" s="58"/>
      <c r="M156" s="58"/>
      <c r="N156" s="58"/>
      <c r="O156" s="58"/>
      <c r="P156" s="58"/>
      <c r="Q156" s="58"/>
      <c r="R156" s="58"/>
      <c r="S156" s="45"/>
      <c r="T156" s="45"/>
      <c r="U156" s="45"/>
      <c r="V156" s="45"/>
      <c r="W156" s="45"/>
      <c r="X156" s="45"/>
      <c r="Y156" s="45"/>
      <c r="Z156" s="45"/>
      <c r="AA156" s="45"/>
      <c r="AB156" s="45"/>
      <c r="AC156" s="45"/>
    </row>
    <row r="157" spans="1:29" ht="196.9">
      <c r="A157" s="42">
        <f t="shared" si="0"/>
        <v>156</v>
      </c>
      <c r="B157" s="42" t="s">
        <v>19</v>
      </c>
      <c r="C157" s="42" t="s">
        <v>220</v>
      </c>
      <c r="D157" s="42" t="s">
        <v>255</v>
      </c>
      <c r="E157" s="42"/>
      <c r="F157" s="42" t="s">
        <v>1211</v>
      </c>
      <c r="G157" s="42" t="s">
        <v>5</v>
      </c>
      <c r="H157" s="42" t="s">
        <v>95</v>
      </c>
      <c r="I157" s="58"/>
      <c r="J157" s="58" t="s">
        <v>1212</v>
      </c>
      <c r="K157" s="42" t="s">
        <v>999</v>
      </c>
      <c r="L157" s="58" t="s">
        <v>1213</v>
      </c>
      <c r="M157" s="58" t="s">
        <v>1214</v>
      </c>
      <c r="N157" s="58" t="s">
        <v>1215</v>
      </c>
      <c r="O157" s="58"/>
      <c r="P157" s="58"/>
      <c r="Q157" s="58"/>
      <c r="R157" s="58"/>
      <c r="S157" s="45"/>
      <c r="T157" s="45"/>
      <c r="U157" s="45"/>
      <c r="V157" s="45"/>
      <c r="W157" s="45"/>
      <c r="X157" s="45"/>
      <c r="Y157" s="45"/>
      <c r="Z157" s="45"/>
      <c r="AA157" s="45"/>
      <c r="AB157" s="45"/>
      <c r="AC157" s="45"/>
    </row>
    <row r="158" spans="1:29" ht="210">
      <c r="A158" s="42">
        <f t="shared" si="0"/>
        <v>157</v>
      </c>
      <c r="B158" s="42" t="s">
        <v>19</v>
      </c>
      <c r="C158" s="42" t="s">
        <v>220</v>
      </c>
      <c r="D158" s="42" t="s">
        <v>257</v>
      </c>
      <c r="E158" s="42"/>
      <c r="F158" s="42" t="s">
        <v>1216</v>
      </c>
      <c r="G158" s="42"/>
      <c r="H158" s="42"/>
      <c r="I158" s="58" t="s">
        <v>1217</v>
      </c>
      <c r="J158" s="58" t="s">
        <v>1218</v>
      </c>
      <c r="K158" s="42"/>
      <c r="L158" s="58"/>
      <c r="M158" s="58"/>
      <c r="N158" s="58"/>
      <c r="O158" s="58"/>
      <c r="P158" s="58"/>
      <c r="Q158" s="58"/>
      <c r="R158" s="58"/>
      <c r="S158" s="45"/>
      <c r="T158" s="45"/>
      <c r="U158" s="45"/>
      <c r="V158" s="45"/>
      <c r="W158" s="45"/>
      <c r="X158" s="45"/>
      <c r="Y158" s="45"/>
      <c r="Z158" s="45"/>
      <c r="AA158" s="45"/>
      <c r="AB158" s="45"/>
      <c r="AC158" s="45"/>
    </row>
    <row r="159" spans="1:29" ht="157.5">
      <c r="A159" s="42">
        <f t="shared" si="0"/>
        <v>158</v>
      </c>
      <c r="B159" s="42" t="s">
        <v>19</v>
      </c>
      <c r="C159" s="42" t="s">
        <v>220</v>
      </c>
      <c r="D159" s="42" t="s">
        <v>259</v>
      </c>
      <c r="E159" s="42" t="s">
        <v>259</v>
      </c>
      <c r="F159" s="42" t="s">
        <v>1219</v>
      </c>
      <c r="G159" s="42" t="s">
        <v>4</v>
      </c>
      <c r="H159" s="42" t="s">
        <v>95</v>
      </c>
      <c r="I159" s="58" t="s">
        <v>1220</v>
      </c>
      <c r="J159" s="58" t="s">
        <v>1221</v>
      </c>
      <c r="K159" s="42" t="s">
        <v>999</v>
      </c>
      <c r="L159" s="58" t="s">
        <v>1222</v>
      </c>
      <c r="M159" s="58"/>
      <c r="N159" s="58" t="s">
        <v>1223</v>
      </c>
      <c r="O159" s="58" t="s">
        <v>1224</v>
      </c>
      <c r="P159" s="58"/>
      <c r="Q159" s="58"/>
      <c r="R159" s="58"/>
      <c r="S159" s="45"/>
      <c r="T159" s="45"/>
      <c r="U159" s="45"/>
      <c r="V159" s="45"/>
      <c r="W159" s="45"/>
      <c r="X159" s="45"/>
      <c r="Y159" s="45"/>
      <c r="Z159" s="45"/>
      <c r="AA159" s="45"/>
      <c r="AB159" s="45"/>
      <c r="AC159" s="45"/>
    </row>
    <row r="160" spans="1:29" ht="26.25">
      <c r="A160" s="42">
        <f t="shared" si="0"/>
        <v>159</v>
      </c>
      <c r="B160" s="42"/>
      <c r="C160" s="42" t="s">
        <v>671</v>
      </c>
      <c r="D160" s="42" t="s">
        <v>1225</v>
      </c>
      <c r="E160" s="42"/>
      <c r="F160" s="42" t="s">
        <v>1226</v>
      </c>
      <c r="G160" s="42"/>
      <c r="H160" s="42"/>
      <c r="I160" s="58"/>
      <c r="J160" s="58"/>
      <c r="K160" s="42"/>
      <c r="L160" s="58"/>
      <c r="M160" s="58"/>
      <c r="N160" s="58"/>
      <c r="O160" s="58"/>
      <c r="P160" s="58"/>
      <c r="Q160" s="58"/>
      <c r="R160" s="58"/>
      <c r="S160" s="45"/>
      <c r="T160" s="45"/>
      <c r="U160" s="45"/>
      <c r="V160" s="45"/>
      <c r="W160" s="45"/>
      <c r="X160" s="45"/>
      <c r="Y160" s="45"/>
      <c r="Z160" s="45"/>
      <c r="AA160" s="45"/>
      <c r="AB160" s="45"/>
      <c r="AC160" s="45"/>
    </row>
    <row r="161" spans="1:29" ht="26.25">
      <c r="A161" s="42">
        <f t="shared" si="0"/>
        <v>160</v>
      </c>
      <c r="B161" s="42"/>
      <c r="C161" s="42" t="s">
        <v>671</v>
      </c>
      <c r="D161" s="42" t="s">
        <v>1227</v>
      </c>
      <c r="E161" s="42"/>
      <c r="F161" s="42" t="s">
        <v>1228</v>
      </c>
      <c r="G161" s="42"/>
      <c r="H161" s="42"/>
      <c r="I161" s="58"/>
      <c r="J161" s="58"/>
      <c r="K161" s="42"/>
      <c r="L161" s="58"/>
      <c r="M161" s="58"/>
      <c r="N161" s="58"/>
      <c r="O161" s="58"/>
      <c r="P161" s="58"/>
      <c r="Q161" s="58"/>
      <c r="R161" s="58"/>
      <c r="S161" s="45"/>
      <c r="T161" s="45"/>
      <c r="U161" s="45"/>
      <c r="V161" s="45"/>
      <c r="W161" s="45"/>
      <c r="X161" s="45"/>
      <c r="Y161" s="45"/>
      <c r="Z161" s="45"/>
      <c r="AA161" s="45"/>
      <c r="AB161" s="45"/>
      <c r="AC161" s="45"/>
    </row>
    <row r="162" spans="1:29" ht="26.25">
      <c r="A162" s="42">
        <f t="shared" si="0"/>
        <v>161</v>
      </c>
      <c r="B162" s="42"/>
      <c r="C162" s="42" t="s">
        <v>671</v>
      </c>
      <c r="D162" s="42" t="s">
        <v>1229</v>
      </c>
      <c r="E162" s="42"/>
      <c r="F162" s="42" t="s">
        <v>1230</v>
      </c>
      <c r="G162" s="42"/>
      <c r="H162" s="42"/>
      <c r="I162" s="58"/>
      <c r="J162" s="58"/>
      <c r="K162" s="42"/>
      <c r="L162" s="58"/>
      <c r="M162" s="58"/>
      <c r="N162" s="58"/>
      <c r="O162" s="58"/>
      <c r="P162" s="58"/>
      <c r="Q162" s="58"/>
      <c r="R162" s="58"/>
      <c r="S162" s="45"/>
      <c r="T162" s="45"/>
      <c r="U162" s="45"/>
      <c r="V162" s="45"/>
      <c r="W162" s="45"/>
      <c r="X162" s="45"/>
      <c r="Y162" s="45"/>
      <c r="Z162" s="45"/>
      <c r="AA162" s="45"/>
      <c r="AB162" s="45"/>
      <c r="AC162" s="45"/>
    </row>
    <row r="163" spans="1:29" ht="26.25">
      <c r="A163" s="42">
        <f t="shared" si="0"/>
        <v>162</v>
      </c>
      <c r="B163" s="42"/>
      <c r="C163" s="42" t="s">
        <v>671</v>
      </c>
      <c r="D163" s="42" t="s">
        <v>1231</v>
      </c>
      <c r="E163" s="42"/>
      <c r="F163" s="42" t="s">
        <v>1232</v>
      </c>
      <c r="G163" s="42"/>
      <c r="H163" s="42"/>
      <c r="I163" s="58"/>
      <c r="J163" s="58"/>
      <c r="K163" s="42"/>
      <c r="L163" s="58"/>
      <c r="M163" s="58"/>
      <c r="N163" s="58"/>
      <c r="O163" s="58"/>
      <c r="P163" s="58"/>
      <c r="Q163" s="58"/>
      <c r="R163" s="58"/>
      <c r="S163" s="45"/>
      <c r="T163" s="45"/>
      <c r="U163" s="45"/>
      <c r="V163" s="45"/>
      <c r="W163" s="45"/>
      <c r="X163" s="45"/>
      <c r="Y163" s="45"/>
      <c r="Z163" s="45"/>
      <c r="AA163" s="45"/>
      <c r="AB163" s="45"/>
      <c r="AC163" s="45"/>
    </row>
    <row r="164" spans="1:29" ht="26.25">
      <c r="A164" s="42">
        <f t="shared" si="0"/>
        <v>163</v>
      </c>
      <c r="B164" s="42"/>
      <c r="C164" s="42" t="s">
        <v>671</v>
      </c>
      <c r="D164" s="42" t="s">
        <v>1233</v>
      </c>
      <c r="E164" s="42"/>
      <c r="F164" s="42" t="s">
        <v>1234</v>
      </c>
      <c r="G164" s="42"/>
      <c r="H164" s="42"/>
      <c r="I164" s="58"/>
      <c r="J164" s="58"/>
      <c r="K164" s="42"/>
      <c r="L164" s="58"/>
      <c r="M164" s="58"/>
      <c r="N164" s="58"/>
      <c r="O164" s="58"/>
      <c r="P164" s="58"/>
      <c r="Q164" s="58"/>
      <c r="R164" s="58"/>
      <c r="S164" s="45"/>
      <c r="T164" s="45"/>
      <c r="U164" s="45"/>
      <c r="V164" s="45"/>
      <c r="W164" s="45"/>
      <c r="X164" s="45"/>
      <c r="Y164" s="45"/>
      <c r="Z164" s="45"/>
      <c r="AA164" s="45"/>
      <c r="AB164" s="45"/>
      <c r="AC164" s="45"/>
    </row>
    <row r="165" spans="1:29" ht="26.25">
      <c r="A165" s="42">
        <f t="shared" si="0"/>
        <v>164</v>
      </c>
      <c r="B165" s="42"/>
      <c r="C165" s="42" t="s">
        <v>671</v>
      </c>
      <c r="D165" s="42" t="s">
        <v>1235</v>
      </c>
      <c r="E165" s="42"/>
      <c r="F165" s="42" t="s">
        <v>1236</v>
      </c>
      <c r="G165" s="42"/>
      <c r="H165" s="42"/>
      <c r="I165" s="58"/>
      <c r="J165" s="58"/>
      <c r="K165" s="42"/>
      <c r="L165" s="58"/>
      <c r="M165" s="58"/>
      <c r="N165" s="58"/>
      <c r="O165" s="58"/>
      <c r="P165" s="58"/>
      <c r="Q165" s="58"/>
      <c r="R165" s="58"/>
      <c r="S165" s="45"/>
      <c r="T165" s="45"/>
      <c r="U165" s="45"/>
      <c r="V165" s="45"/>
      <c r="W165" s="45"/>
      <c r="X165" s="45"/>
      <c r="Y165" s="45"/>
      <c r="Z165" s="45"/>
      <c r="AA165" s="45"/>
      <c r="AB165" s="45"/>
      <c r="AC165" s="45"/>
    </row>
    <row r="166" spans="1:29" ht="26.25">
      <c r="A166" s="42">
        <f t="shared" si="0"/>
        <v>165</v>
      </c>
      <c r="B166" s="42"/>
      <c r="C166" s="42" t="s">
        <v>671</v>
      </c>
      <c r="D166" s="42" t="s">
        <v>1237</v>
      </c>
      <c r="E166" s="42"/>
      <c r="F166" s="42" t="s">
        <v>1238</v>
      </c>
      <c r="G166" s="42"/>
      <c r="H166" s="42"/>
      <c r="I166" s="58"/>
      <c r="J166" s="58"/>
      <c r="K166" s="42"/>
      <c r="L166" s="58"/>
      <c r="M166" s="58"/>
      <c r="N166" s="58"/>
      <c r="O166" s="58"/>
      <c r="P166" s="58"/>
      <c r="Q166" s="58"/>
      <c r="R166" s="58"/>
      <c r="S166" s="45"/>
      <c r="T166" s="45"/>
      <c r="U166" s="45"/>
      <c r="V166" s="45"/>
      <c r="W166" s="45"/>
      <c r="X166" s="45"/>
      <c r="Y166" s="45"/>
      <c r="Z166" s="45"/>
      <c r="AA166" s="45"/>
      <c r="AB166" s="45"/>
      <c r="AC166" s="45"/>
    </row>
    <row r="167" spans="1:29" ht="26.25">
      <c r="A167" s="42">
        <f t="shared" si="0"/>
        <v>166</v>
      </c>
      <c r="B167" s="42"/>
      <c r="C167" s="42" t="s">
        <v>671</v>
      </c>
      <c r="D167" s="42" t="s">
        <v>1239</v>
      </c>
      <c r="E167" s="42"/>
      <c r="F167" s="42" t="s">
        <v>1240</v>
      </c>
      <c r="G167" s="42"/>
      <c r="H167" s="42"/>
      <c r="I167" s="58"/>
      <c r="J167" s="58"/>
      <c r="K167" s="42"/>
      <c r="L167" s="58"/>
      <c r="M167" s="58"/>
      <c r="N167" s="58"/>
      <c r="O167" s="58"/>
      <c r="P167" s="58"/>
      <c r="Q167" s="58"/>
      <c r="R167" s="58"/>
      <c r="S167" s="45"/>
      <c r="T167" s="45"/>
      <c r="U167" s="45"/>
      <c r="V167" s="45"/>
      <c r="W167" s="45"/>
      <c r="X167" s="45"/>
      <c r="Y167" s="45"/>
      <c r="Z167" s="45"/>
      <c r="AA167" s="45"/>
      <c r="AB167" s="45"/>
      <c r="AC167" s="45"/>
    </row>
    <row r="168" spans="1:29" ht="26.25">
      <c r="A168" s="42">
        <f t="shared" si="0"/>
        <v>167</v>
      </c>
      <c r="B168" s="42"/>
      <c r="C168" s="42" t="s">
        <v>671</v>
      </c>
      <c r="D168" s="42" t="s">
        <v>1241</v>
      </c>
      <c r="E168" s="42"/>
      <c r="F168" s="42" t="s">
        <v>1242</v>
      </c>
      <c r="G168" s="42"/>
      <c r="H168" s="42"/>
      <c r="I168" s="58"/>
      <c r="J168" s="58"/>
      <c r="K168" s="42"/>
      <c r="L168" s="58"/>
      <c r="M168" s="58"/>
      <c r="N168" s="58"/>
      <c r="O168" s="58"/>
      <c r="P168" s="58"/>
      <c r="Q168" s="58"/>
      <c r="R168" s="58"/>
      <c r="S168" s="45"/>
      <c r="T168" s="45"/>
      <c r="U168" s="45"/>
      <c r="V168" s="45"/>
      <c r="W168" s="45"/>
      <c r="X168" s="45"/>
      <c r="Y168" s="45"/>
      <c r="Z168" s="45"/>
      <c r="AA168" s="45"/>
      <c r="AB168" s="45"/>
      <c r="AC168" s="45"/>
    </row>
    <row r="169" spans="1:29" ht="26.25">
      <c r="A169" s="42">
        <f t="shared" si="0"/>
        <v>168</v>
      </c>
      <c r="B169" s="42"/>
      <c r="C169" s="42" t="s">
        <v>671</v>
      </c>
      <c r="D169" s="42" t="s">
        <v>1243</v>
      </c>
      <c r="E169" s="42"/>
      <c r="F169" s="42" t="s">
        <v>1244</v>
      </c>
      <c r="G169" s="42"/>
      <c r="H169" s="42"/>
      <c r="I169" s="58"/>
      <c r="J169" s="58"/>
      <c r="K169" s="42"/>
      <c r="L169" s="58"/>
      <c r="M169" s="58"/>
      <c r="N169" s="58"/>
      <c r="O169" s="58"/>
      <c r="P169" s="58"/>
      <c r="Q169" s="58"/>
      <c r="R169" s="58"/>
      <c r="S169" s="45"/>
      <c r="T169" s="45"/>
      <c r="U169" s="45"/>
      <c r="V169" s="45"/>
      <c r="W169" s="45"/>
      <c r="X169" s="45"/>
      <c r="Y169" s="45"/>
      <c r="Z169" s="45"/>
      <c r="AA169" s="45"/>
      <c r="AB169" s="45"/>
      <c r="AC169" s="45"/>
    </row>
    <row r="170" spans="1:29" ht="26.25">
      <c r="A170" s="42">
        <f t="shared" si="0"/>
        <v>169</v>
      </c>
      <c r="B170" s="42"/>
      <c r="C170" s="42" t="s">
        <v>671</v>
      </c>
      <c r="D170" s="42" t="s">
        <v>1245</v>
      </c>
      <c r="E170" s="42"/>
      <c r="F170" s="42" t="s">
        <v>1246</v>
      </c>
      <c r="G170" s="42"/>
      <c r="H170" s="42"/>
      <c r="I170" s="58"/>
      <c r="J170" s="58"/>
      <c r="K170" s="42"/>
      <c r="L170" s="58"/>
      <c r="M170" s="58"/>
      <c r="N170" s="58"/>
      <c r="O170" s="58"/>
      <c r="P170" s="58"/>
      <c r="Q170" s="58"/>
      <c r="R170" s="58"/>
      <c r="S170" s="45"/>
      <c r="T170" s="45"/>
      <c r="U170" s="45"/>
      <c r="V170" s="45"/>
      <c r="W170" s="45"/>
      <c r="X170" s="45"/>
      <c r="Y170" s="45"/>
      <c r="Z170" s="45"/>
      <c r="AA170" s="45"/>
      <c r="AB170" s="45"/>
      <c r="AC170" s="45"/>
    </row>
    <row r="171" spans="1:29" ht="39.4">
      <c r="A171" s="42">
        <f t="shared" si="0"/>
        <v>170</v>
      </c>
      <c r="B171" s="42"/>
      <c r="C171" s="42" t="s">
        <v>671</v>
      </c>
      <c r="D171" s="42" t="s">
        <v>1247</v>
      </c>
      <c r="E171" s="42"/>
      <c r="F171" s="42" t="s">
        <v>1248</v>
      </c>
      <c r="G171" s="42"/>
      <c r="H171" s="42"/>
      <c r="I171" s="58"/>
      <c r="J171" s="58"/>
      <c r="K171" s="42"/>
      <c r="L171" s="58"/>
      <c r="M171" s="58"/>
      <c r="N171" s="58"/>
      <c r="O171" s="58"/>
      <c r="P171" s="58"/>
      <c r="Q171" s="58"/>
      <c r="R171" s="58"/>
      <c r="S171" s="45"/>
      <c r="T171" s="45"/>
      <c r="U171" s="45"/>
      <c r="V171" s="45"/>
      <c r="W171" s="45"/>
      <c r="X171" s="45"/>
      <c r="Y171" s="45"/>
      <c r="Z171" s="45"/>
      <c r="AA171" s="45"/>
      <c r="AB171" s="45"/>
      <c r="AC171" s="45"/>
    </row>
    <row r="172" spans="1:29" ht="26.25">
      <c r="A172" s="42">
        <f t="shared" si="0"/>
        <v>171</v>
      </c>
      <c r="B172" s="42"/>
      <c r="C172" s="42" t="s">
        <v>671</v>
      </c>
      <c r="D172" s="42" t="s">
        <v>1249</v>
      </c>
      <c r="E172" s="42"/>
      <c r="F172" s="42" t="s">
        <v>1250</v>
      </c>
      <c r="G172" s="42"/>
      <c r="H172" s="42"/>
      <c r="I172" s="58"/>
      <c r="J172" s="58"/>
      <c r="K172" s="42"/>
      <c r="L172" s="58"/>
      <c r="M172" s="58"/>
      <c r="N172" s="58"/>
      <c r="O172" s="58"/>
      <c r="P172" s="58"/>
      <c r="Q172" s="58"/>
      <c r="R172" s="58"/>
      <c r="S172" s="45"/>
      <c r="T172" s="45"/>
      <c r="U172" s="45"/>
      <c r="V172" s="45"/>
      <c r="W172" s="45"/>
      <c r="X172" s="45"/>
      <c r="Y172" s="45"/>
      <c r="Z172" s="45"/>
      <c r="AA172" s="45"/>
      <c r="AB172" s="45"/>
      <c r="AC172" s="45"/>
    </row>
    <row r="173" spans="1:29" ht="26.25">
      <c r="A173" s="42">
        <f t="shared" si="0"/>
        <v>172</v>
      </c>
      <c r="B173" s="42"/>
      <c r="C173" s="42" t="s">
        <v>671</v>
      </c>
      <c r="D173" s="42" t="s">
        <v>1251</v>
      </c>
      <c r="E173" s="42"/>
      <c r="F173" s="42" t="s">
        <v>1252</v>
      </c>
      <c r="G173" s="42"/>
      <c r="H173" s="42"/>
      <c r="I173" s="58"/>
      <c r="J173" s="58"/>
      <c r="K173" s="42"/>
      <c r="L173" s="58"/>
      <c r="M173" s="58"/>
      <c r="N173" s="58"/>
      <c r="O173" s="58"/>
      <c r="P173" s="58"/>
      <c r="Q173" s="58"/>
      <c r="R173" s="58"/>
      <c r="S173" s="45"/>
      <c r="T173" s="45"/>
      <c r="U173" s="45"/>
      <c r="V173" s="45"/>
      <c r="W173" s="45"/>
      <c r="X173" s="45"/>
      <c r="Y173" s="45"/>
      <c r="Z173" s="45"/>
      <c r="AA173" s="45"/>
      <c r="AB173" s="45"/>
      <c r="AC173" s="45"/>
    </row>
    <row r="174" spans="1:29" ht="26.25">
      <c r="A174" s="42">
        <f t="shared" si="0"/>
        <v>173</v>
      </c>
      <c r="B174" s="42"/>
      <c r="C174" s="42" t="s">
        <v>671</v>
      </c>
      <c r="D174" s="42" t="s">
        <v>1253</v>
      </c>
      <c r="E174" s="42"/>
      <c r="F174" s="42" t="s">
        <v>1254</v>
      </c>
      <c r="G174" s="42"/>
      <c r="H174" s="42"/>
      <c r="I174" s="58"/>
      <c r="J174" s="58"/>
      <c r="K174" s="42"/>
      <c r="L174" s="58"/>
      <c r="M174" s="58"/>
      <c r="N174" s="58"/>
      <c r="O174" s="58"/>
      <c r="P174" s="58"/>
      <c r="Q174" s="58"/>
      <c r="R174" s="58"/>
      <c r="S174" s="45"/>
      <c r="T174" s="45"/>
      <c r="U174" s="45"/>
      <c r="V174" s="45"/>
      <c r="W174" s="45"/>
      <c r="X174" s="45"/>
      <c r="Y174" s="45"/>
      <c r="Z174" s="45"/>
      <c r="AA174" s="45"/>
      <c r="AB174" s="45"/>
      <c r="AC174" s="45"/>
    </row>
    <row r="175" spans="1:29" ht="26.25">
      <c r="A175" s="42">
        <f t="shared" si="0"/>
        <v>174</v>
      </c>
      <c r="B175" s="42"/>
      <c r="C175" s="42" t="s">
        <v>671</v>
      </c>
      <c r="D175" s="42" t="s">
        <v>1255</v>
      </c>
      <c r="E175" s="42"/>
      <c r="F175" s="42" t="s">
        <v>1256</v>
      </c>
      <c r="G175" s="42"/>
      <c r="H175" s="42"/>
      <c r="I175" s="58"/>
      <c r="J175" s="58"/>
      <c r="K175" s="42"/>
      <c r="L175" s="58"/>
      <c r="M175" s="58"/>
      <c r="N175" s="58"/>
      <c r="O175" s="58"/>
      <c r="P175" s="58"/>
      <c r="Q175" s="58"/>
      <c r="R175" s="58"/>
      <c r="S175" s="45"/>
      <c r="T175" s="45"/>
      <c r="U175" s="45"/>
      <c r="V175" s="45"/>
      <c r="W175" s="45"/>
      <c r="X175" s="45"/>
      <c r="Y175" s="45"/>
      <c r="Z175" s="45"/>
      <c r="AA175" s="45"/>
      <c r="AB175" s="45"/>
      <c r="AC175" s="45"/>
    </row>
    <row r="176" spans="1:29" ht="26.25">
      <c r="A176" s="42">
        <f t="shared" si="0"/>
        <v>175</v>
      </c>
      <c r="B176" s="42"/>
      <c r="C176" s="42" t="s">
        <v>671</v>
      </c>
      <c r="D176" s="42" t="s">
        <v>1257</v>
      </c>
      <c r="E176" s="42"/>
      <c r="F176" s="42" t="s">
        <v>1258</v>
      </c>
      <c r="G176" s="42"/>
      <c r="H176" s="42"/>
      <c r="I176" s="58"/>
      <c r="J176" s="58"/>
      <c r="K176" s="42"/>
      <c r="L176" s="58"/>
      <c r="M176" s="58"/>
      <c r="N176" s="58"/>
      <c r="O176" s="58"/>
      <c r="P176" s="58"/>
      <c r="Q176" s="58"/>
      <c r="R176" s="58"/>
      <c r="S176" s="45"/>
      <c r="T176" s="45"/>
      <c r="U176" s="45"/>
      <c r="V176" s="45"/>
      <c r="W176" s="45"/>
      <c r="X176" s="45"/>
      <c r="Y176" s="45"/>
      <c r="Z176" s="45"/>
      <c r="AA176" s="45"/>
      <c r="AB176" s="45"/>
      <c r="AC176" s="45"/>
    </row>
    <row r="177" spans="1:29" ht="26.25">
      <c r="A177" s="42">
        <f t="shared" si="0"/>
        <v>176</v>
      </c>
      <c r="B177" s="42"/>
      <c r="C177" s="42" t="s">
        <v>15</v>
      </c>
      <c r="D177" s="42" t="s">
        <v>343</v>
      </c>
      <c r="E177" s="42"/>
      <c r="F177" s="42" t="s">
        <v>1259</v>
      </c>
      <c r="G177" s="42"/>
      <c r="H177" s="42"/>
      <c r="I177" s="58"/>
      <c r="J177" s="58"/>
      <c r="K177" s="42"/>
      <c r="L177" s="58"/>
      <c r="M177" s="58"/>
      <c r="N177" s="58"/>
      <c r="O177" s="58"/>
      <c r="P177" s="58"/>
      <c r="Q177" s="58"/>
      <c r="R177" s="58"/>
      <c r="S177" s="45"/>
      <c r="T177" s="45"/>
      <c r="U177" s="45"/>
      <c r="V177" s="45"/>
      <c r="W177" s="45"/>
      <c r="X177" s="45"/>
      <c r="Y177" s="45"/>
      <c r="Z177" s="45"/>
      <c r="AA177" s="45"/>
      <c r="AB177" s="45"/>
      <c r="AC177" s="45"/>
    </row>
    <row r="178" spans="1:29" ht="39.4">
      <c r="A178" s="42">
        <f t="shared" si="0"/>
        <v>177</v>
      </c>
      <c r="B178" s="42"/>
      <c r="C178" s="42" t="s">
        <v>15</v>
      </c>
      <c r="D178" s="42" t="s">
        <v>346</v>
      </c>
      <c r="E178" s="42"/>
      <c r="F178" s="42" t="s">
        <v>1260</v>
      </c>
      <c r="G178" s="42"/>
      <c r="H178" s="42"/>
      <c r="I178" s="58"/>
      <c r="J178" s="58"/>
      <c r="K178" s="42"/>
      <c r="L178" s="58"/>
      <c r="M178" s="58"/>
      <c r="N178" s="58"/>
      <c r="O178" s="58"/>
      <c r="P178" s="58"/>
      <c r="Q178" s="58"/>
      <c r="R178" s="58"/>
      <c r="S178" s="45"/>
      <c r="T178" s="45"/>
      <c r="U178" s="45"/>
      <c r="V178" s="45"/>
      <c r="W178" s="45"/>
      <c r="X178" s="45"/>
      <c r="Y178" s="45"/>
      <c r="Z178" s="45"/>
      <c r="AA178" s="45"/>
      <c r="AB178" s="45"/>
      <c r="AC178" s="45"/>
    </row>
    <row r="179" spans="1:29" ht="26.25">
      <c r="A179" s="42">
        <f t="shared" si="0"/>
        <v>178</v>
      </c>
      <c r="B179" s="42"/>
      <c r="C179" s="42" t="s">
        <v>15</v>
      </c>
      <c r="D179" s="42" t="s">
        <v>1261</v>
      </c>
      <c r="E179" s="42"/>
      <c r="F179" s="42" t="s">
        <v>1262</v>
      </c>
      <c r="G179" s="42"/>
      <c r="H179" s="42"/>
      <c r="I179" s="58"/>
      <c r="J179" s="58"/>
      <c r="K179" s="42"/>
      <c r="L179" s="58"/>
      <c r="M179" s="58"/>
      <c r="N179" s="58"/>
      <c r="O179" s="58"/>
      <c r="P179" s="58"/>
      <c r="Q179" s="58"/>
      <c r="R179" s="58"/>
      <c r="S179" s="45"/>
      <c r="T179" s="45"/>
      <c r="U179" s="45"/>
      <c r="V179" s="45"/>
      <c r="W179" s="45"/>
      <c r="X179" s="45"/>
      <c r="Y179" s="45"/>
      <c r="Z179" s="45"/>
      <c r="AA179" s="45"/>
      <c r="AB179" s="45"/>
      <c r="AC179" s="45"/>
    </row>
    <row r="180" spans="1:29" ht="26.25">
      <c r="A180" s="42">
        <f t="shared" si="0"/>
        <v>179</v>
      </c>
      <c r="B180" s="42"/>
      <c r="C180" s="42" t="s">
        <v>15</v>
      </c>
      <c r="D180" s="42" t="s">
        <v>1263</v>
      </c>
      <c r="E180" s="42"/>
      <c r="F180" s="42" t="s">
        <v>1264</v>
      </c>
      <c r="G180" s="42"/>
      <c r="H180" s="42"/>
      <c r="I180" s="58"/>
      <c r="J180" s="58"/>
      <c r="K180" s="42"/>
      <c r="L180" s="58"/>
      <c r="M180" s="58"/>
      <c r="N180" s="58"/>
      <c r="O180" s="58"/>
      <c r="P180" s="58"/>
      <c r="Q180" s="58"/>
      <c r="R180" s="58"/>
      <c r="S180" s="45"/>
      <c r="T180" s="45"/>
      <c r="U180" s="45"/>
      <c r="V180" s="45"/>
      <c r="W180" s="45"/>
      <c r="X180" s="45"/>
      <c r="Y180" s="45"/>
      <c r="Z180" s="45"/>
      <c r="AA180" s="45"/>
      <c r="AB180" s="45"/>
      <c r="AC180" s="45"/>
    </row>
    <row r="181" spans="1:29" ht="26.25">
      <c r="A181" s="42">
        <f t="shared" si="0"/>
        <v>180</v>
      </c>
      <c r="B181" s="42"/>
      <c r="C181" s="42" t="s">
        <v>15</v>
      </c>
      <c r="D181" s="42" t="s">
        <v>1265</v>
      </c>
      <c r="E181" s="42"/>
      <c r="F181" s="42" t="s">
        <v>1266</v>
      </c>
      <c r="G181" s="42"/>
      <c r="H181" s="42"/>
      <c r="I181" s="58"/>
      <c r="J181" s="58"/>
      <c r="K181" s="42"/>
      <c r="L181" s="58"/>
      <c r="M181" s="58"/>
      <c r="N181" s="58"/>
      <c r="O181" s="58"/>
      <c r="P181" s="58"/>
      <c r="Q181" s="58"/>
      <c r="R181" s="58"/>
      <c r="S181" s="45"/>
      <c r="T181" s="45"/>
      <c r="U181" s="45"/>
      <c r="V181" s="45"/>
      <c r="W181" s="45"/>
      <c r="X181" s="45"/>
      <c r="Y181" s="45"/>
      <c r="Z181" s="45"/>
      <c r="AA181" s="45"/>
      <c r="AB181" s="45"/>
      <c r="AC181" s="45"/>
    </row>
    <row r="182" spans="1:29" ht="26.25">
      <c r="A182" s="42">
        <f t="shared" si="0"/>
        <v>181</v>
      </c>
      <c r="B182" s="42"/>
      <c r="C182" s="42" t="s">
        <v>15</v>
      </c>
      <c r="D182" s="42" t="s">
        <v>1267</v>
      </c>
      <c r="E182" s="42"/>
      <c r="F182" s="42" t="s">
        <v>1268</v>
      </c>
      <c r="G182" s="42"/>
      <c r="H182" s="42"/>
      <c r="I182" s="58"/>
      <c r="J182" s="58"/>
      <c r="K182" s="42"/>
      <c r="L182" s="58"/>
      <c r="M182" s="58"/>
      <c r="N182" s="58"/>
      <c r="O182" s="58"/>
      <c r="P182" s="58"/>
      <c r="Q182" s="58"/>
      <c r="R182" s="58"/>
      <c r="S182" s="45"/>
      <c r="T182" s="45"/>
      <c r="U182" s="45"/>
      <c r="V182" s="45"/>
      <c r="W182" s="45"/>
      <c r="X182" s="45"/>
      <c r="Y182" s="45"/>
      <c r="Z182" s="45"/>
      <c r="AA182" s="45"/>
      <c r="AB182" s="45"/>
      <c r="AC182" s="45"/>
    </row>
    <row r="183" spans="1:29" ht="26.25">
      <c r="A183" s="42">
        <f t="shared" si="0"/>
        <v>182</v>
      </c>
      <c r="B183" s="42"/>
      <c r="C183" s="42" t="s">
        <v>15</v>
      </c>
      <c r="D183" s="42" t="s">
        <v>356</v>
      </c>
      <c r="E183" s="42"/>
      <c r="F183" s="42" t="s">
        <v>1269</v>
      </c>
      <c r="G183" s="42"/>
      <c r="H183" s="42"/>
      <c r="I183" s="58"/>
      <c r="J183" s="58"/>
      <c r="K183" s="42"/>
      <c r="L183" s="58"/>
      <c r="M183" s="58"/>
      <c r="N183" s="58"/>
      <c r="O183" s="58"/>
      <c r="P183" s="58"/>
      <c r="Q183" s="58"/>
      <c r="R183" s="58"/>
      <c r="S183" s="45"/>
      <c r="T183" s="45"/>
      <c r="U183" s="45"/>
      <c r="V183" s="45"/>
      <c r="W183" s="45"/>
      <c r="X183" s="45"/>
      <c r="Y183" s="45"/>
      <c r="Z183" s="45"/>
      <c r="AA183" s="45"/>
      <c r="AB183" s="45"/>
      <c r="AC183" s="45"/>
    </row>
    <row r="184" spans="1:29" ht="26.25">
      <c r="A184" s="42">
        <f t="shared" si="0"/>
        <v>183</v>
      </c>
      <c r="B184" s="42"/>
      <c r="C184" s="42" t="s">
        <v>15</v>
      </c>
      <c r="D184" s="42" t="s">
        <v>358</v>
      </c>
      <c r="E184" s="42"/>
      <c r="F184" s="42" t="s">
        <v>1270</v>
      </c>
      <c r="G184" s="42"/>
      <c r="H184" s="42"/>
      <c r="I184" s="58"/>
      <c r="J184" s="58"/>
      <c r="K184" s="42"/>
      <c r="L184" s="58"/>
      <c r="M184" s="58"/>
      <c r="N184" s="58"/>
      <c r="O184" s="58"/>
      <c r="P184" s="58"/>
      <c r="Q184" s="58"/>
      <c r="R184" s="58"/>
      <c r="S184" s="45"/>
      <c r="T184" s="45"/>
      <c r="U184" s="45"/>
      <c r="V184" s="45"/>
      <c r="W184" s="45"/>
      <c r="X184" s="45"/>
      <c r="Y184" s="45"/>
      <c r="Z184" s="45"/>
      <c r="AA184" s="45"/>
      <c r="AB184" s="45"/>
      <c r="AC184" s="45"/>
    </row>
    <row r="185" spans="1:29" ht="26.25">
      <c r="A185" s="42">
        <f t="shared" si="0"/>
        <v>184</v>
      </c>
      <c r="B185" s="42"/>
      <c r="C185" s="42" t="s">
        <v>15</v>
      </c>
      <c r="D185" s="42" t="s">
        <v>1271</v>
      </c>
      <c r="E185" s="42"/>
      <c r="F185" s="42" t="s">
        <v>1272</v>
      </c>
      <c r="G185" s="42"/>
      <c r="H185" s="42"/>
      <c r="I185" s="58"/>
      <c r="J185" s="58"/>
      <c r="K185" s="42"/>
      <c r="L185" s="58"/>
      <c r="M185" s="58"/>
      <c r="N185" s="58"/>
      <c r="O185" s="58"/>
      <c r="P185" s="58"/>
      <c r="Q185" s="58"/>
      <c r="R185" s="58"/>
      <c r="S185" s="45"/>
      <c r="T185" s="45"/>
      <c r="U185" s="45"/>
      <c r="V185" s="45"/>
      <c r="W185" s="45"/>
      <c r="X185" s="45"/>
      <c r="Y185" s="45"/>
      <c r="Z185" s="45"/>
      <c r="AA185" s="45"/>
      <c r="AB185" s="45"/>
      <c r="AC185" s="45"/>
    </row>
    <row r="186" spans="1:29" ht="26.25">
      <c r="A186" s="42">
        <f t="shared" si="0"/>
        <v>185</v>
      </c>
      <c r="B186" s="42"/>
      <c r="C186" s="42" t="s">
        <v>15</v>
      </c>
      <c r="D186" s="42" t="s">
        <v>362</v>
      </c>
      <c r="E186" s="42"/>
      <c r="F186" s="42" t="s">
        <v>1273</v>
      </c>
      <c r="G186" s="42"/>
      <c r="H186" s="42"/>
      <c r="I186" s="58"/>
      <c r="J186" s="58"/>
      <c r="K186" s="42"/>
      <c r="L186" s="58"/>
      <c r="M186" s="58"/>
      <c r="N186" s="58"/>
      <c r="O186" s="58"/>
      <c r="P186" s="58"/>
      <c r="Q186" s="58"/>
      <c r="R186" s="58"/>
      <c r="S186" s="45"/>
      <c r="T186" s="45"/>
      <c r="U186" s="45"/>
      <c r="V186" s="45"/>
      <c r="W186" s="45"/>
      <c r="X186" s="45"/>
      <c r="Y186" s="45"/>
      <c r="Z186" s="45"/>
      <c r="AA186" s="45"/>
      <c r="AB186" s="45"/>
      <c r="AC186" s="45"/>
    </row>
    <row r="187" spans="1:29" ht="26.25">
      <c r="A187" s="42">
        <f t="shared" si="0"/>
        <v>186</v>
      </c>
      <c r="B187" s="42"/>
      <c r="C187" s="42" t="s">
        <v>15</v>
      </c>
      <c r="D187" s="42" t="s">
        <v>364</v>
      </c>
      <c r="E187" s="42"/>
      <c r="F187" s="42" t="s">
        <v>1274</v>
      </c>
      <c r="G187" s="42"/>
      <c r="H187" s="42"/>
      <c r="I187" s="58"/>
      <c r="J187" s="58"/>
      <c r="K187" s="42"/>
      <c r="L187" s="58"/>
      <c r="M187" s="58"/>
      <c r="N187" s="58"/>
      <c r="O187" s="58"/>
      <c r="P187" s="58"/>
      <c r="Q187" s="58"/>
      <c r="R187" s="58"/>
      <c r="S187" s="45"/>
      <c r="T187" s="45"/>
      <c r="U187" s="45"/>
      <c r="V187" s="45"/>
      <c r="W187" s="45"/>
      <c r="X187" s="45"/>
      <c r="Y187" s="45"/>
      <c r="Z187" s="45"/>
      <c r="AA187" s="45"/>
      <c r="AB187" s="45"/>
      <c r="AC187" s="45"/>
    </row>
    <row r="188" spans="1:29" ht="26.25">
      <c r="A188" s="42">
        <f t="shared" si="0"/>
        <v>187</v>
      </c>
      <c r="B188" s="42"/>
      <c r="C188" s="42" t="s">
        <v>15</v>
      </c>
      <c r="D188" s="42" t="s">
        <v>1275</v>
      </c>
      <c r="E188" s="42"/>
      <c r="F188" s="42" t="s">
        <v>1276</v>
      </c>
      <c r="G188" s="42"/>
      <c r="H188" s="42"/>
      <c r="I188" s="58"/>
      <c r="J188" s="58"/>
      <c r="K188" s="42"/>
      <c r="L188" s="58"/>
      <c r="M188" s="58"/>
      <c r="N188" s="58"/>
      <c r="O188" s="58"/>
      <c r="P188" s="58"/>
      <c r="Q188" s="58"/>
      <c r="R188" s="58"/>
      <c r="S188" s="45"/>
      <c r="T188" s="45"/>
      <c r="U188" s="45"/>
      <c r="V188" s="45"/>
      <c r="W188" s="45"/>
      <c r="X188" s="45"/>
      <c r="Y188" s="45"/>
      <c r="Z188" s="45"/>
      <c r="AA188" s="45"/>
      <c r="AB188" s="45"/>
      <c r="AC188" s="45"/>
    </row>
    <row r="189" spans="1:29" ht="26.25">
      <c r="A189" s="42">
        <f t="shared" si="0"/>
        <v>188</v>
      </c>
      <c r="B189" s="42"/>
      <c r="C189" s="42" t="s">
        <v>15</v>
      </c>
      <c r="D189" s="42" t="s">
        <v>1277</v>
      </c>
      <c r="E189" s="42"/>
      <c r="F189" s="42" t="s">
        <v>1278</v>
      </c>
      <c r="G189" s="42"/>
      <c r="H189" s="42"/>
      <c r="I189" s="58"/>
      <c r="J189" s="58"/>
      <c r="K189" s="42"/>
      <c r="L189" s="58"/>
      <c r="M189" s="58"/>
      <c r="N189" s="58"/>
      <c r="O189" s="58"/>
      <c r="P189" s="58"/>
      <c r="Q189" s="58"/>
      <c r="R189" s="58"/>
      <c r="S189" s="45"/>
      <c r="T189" s="45"/>
      <c r="U189" s="45"/>
      <c r="V189" s="45"/>
      <c r="W189" s="45"/>
      <c r="X189" s="45"/>
      <c r="Y189" s="45"/>
      <c r="Z189" s="45"/>
      <c r="AA189" s="45"/>
      <c r="AB189" s="45"/>
      <c r="AC189" s="45"/>
    </row>
    <row r="190" spans="1:29" ht="26.25">
      <c r="A190" s="42">
        <f t="shared" si="0"/>
        <v>189</v>
      </c>
      <c r="B190" s="42"/>
      <c r="C190" s="42" t="s">
        <v>15</v>
      </c>
      <c r="D190" s="42" t="s">
        <v>371</v>
      </c>
      <c r="E190" s="42"/>
      <c r="F190" s="42" t="s">
        <v>1279</v>
      </c>
      <c r="G190" s="42"/>
      <c r="H190" s="42"/>
      <c r="I190" s="58"/>
      <c r="J190" s="58"/>
      <c r="K190" s="42"/>
      <c r="L190" s="58"/>
      <c r="M190" s="58"/>
      <c r="N190" s="58"/>
      <c r="O190" s="58"/>
      <c r="P190" s="58"/>
      <c r="Q190" s="58"/>
      <c r="R190" s="58"/>
      <c r="S190" s="45"/>
      <c r="T190" s="45"/>
      <c r="U190" s="45"/>
      <c r="V190" s="45"/>
      <c r="W190" s="45"/>
      <c r="X190" s="45"/>
      <c r="Y190" s="45"/>
      <c r="Z190" s="45"/>
      <c r="AA190" s="45"/>
      <c r="AB190" s="45"/>
      <c r="AC190" s="45"/>
    </row>
    <row r="191" spans="1:29" ht="26.25">
      <c r="A191" s="42">
        <f t="shared" si="0"/>
        <v>190</v>
      </c>
      <c r="B191" s="42"/>
      <c r="C191" s="42" t="s">
        <v>15</v>
      </c>
      <c r="D191" s="42" t="s">
        <v>1280</v>
      </c>
      <c r="E191" s="42"/>
      <c r="F191" s="42" t="s">
        <v>1281</v>
      </c>
      <c r="G191" s="42"/>
      <c r="H191" s="42"/>
      <c r="I191" s="58"/>
      <c r="J191" s="58"/>
      <c r="K191" s="42"/>
      <c r="L191" s="58"/>
      <c r="M191" s="58"/>
      <c r="N191" s="58"/>
      <c r="O191" s="58"/>
      <c r="P191" s="58"/>
      <c r="Q191" s="58"/>
      <c r="R191" s="58"/>
      <c r="S191" s="45"/>
      <c r="T191" s="45"/>
      <c r="U191" s="45"/>
      <c r="V191" s="45"/>
      <c r="W191" s="45"/>
      <c r="X191" s="45"/>
      <c r="Y191" s="45"/>
      <c r="Z191" s="45"/>
      <c r="AA191" s="45"/>
      <c r="AB191" s="45"/>
      <c r="AC191" s="45"/>
    </row>
    <row r="192" spans="1:29" ht="26.25">
      <c r="A192" s="42">
        <f t="shared" si="0"/>
        <v>191</v>
      </c>
      <c r="B192" s="42"/>
      <c r="C192" s="42" t="s">
        <v>15</v>
      </c>
      <c r="D192" s="42" t="s">
        <v>1282</v>
      </c>
      <c r="E192" s="42"/>
      <c r="F192" s="42" t="s">
        <v>1283</v>
      </c>
      <c r="G192" s="42"/>
      <c r="H192" s="42"/>
      <c r="I192" s="58"/>
      <c r="J192" s="58"/>
      <c r="K192" s="42"/>
      <c r="L192" s="58"/>
      <c r="M192" s="58"/>
      <c r="N192" s="58"/>
      <c r="O192" s="58"/>
      <c r="P192" s="58"/>
      <c r="Q192" s="58"/>
      <c r="R192" s="58"/>
      <c r="S192" s="45"/>
      <c r="T192" s="45"/>
      <c r="U192" s="45"/>
      <c r="V192" s="45"/>
      <c r="W192" s="45"/>
      <c r="X192" s="45"/>
      <c r="Y192" s="45"/>
      <c r="Z192" s="45"/>
      <c r="AA192" s="45"/>
      <c r="AB192" s="45"/>
      <c r="AC192" s="45"/>
    </row>
    <row r="193" spans="1:29" ht="26.25">
      <c r="A193" s="42">
        <f t="shared" si="0"/>
        <v>192</v>
      </c>
      <c r="B193" s="42"/>
      <c r="C193" s="42" t="s">
        <v>15</v>
      </c>
      <c r="D193" s="42" t="s">
        <v>376</v>
      </c>
      <c r="E193" s="42"/>
      <c r="F193" s="42" t="s">
        <v>1284</v>
      </c>
      <c r="G193" s="42"/>
      <c r="H193" s="42"/>
      <c r="I193" s="58"/>
      <c r="J193" s="58"/>
      <c r="K193" s="42"/>
      <c r="L193" s="58"/>
      <c r="M193" s="58"/>
      <c r="N193" s="58"/>
      <c r="O193" s="58"/>
      <c r="P193" s="58"/>
      <c r="Q193" s="58"/>
      <c r="R193" s="58"/>
      <c r="S193" s="45"/>
      <c r="T193" s="45"/>
      <c r="U193" s="45"/>
      <c r="V193" s="45"/>
      <c r="W193" s="45"/>
      <c r="X193" s="45"/>
      <c r="Y193" s="45"/>
      <c r="Z193" s="45"/>
      <c r="AA193" s="45"/>
      <c r="AB193" s="45"/>
      <c r="AC193" s="45"/>
    </row>
    <row r="194" spans="1:29" ht="26.25">
      <c r="A194" s="42">
        <f t="shared" si="0"/>
        <v>193</v>
      </c>
      <c r="B194" s="42"/>
      <c r="C194" s="42" t="s">
        <v>15</v>
      </c>
      <c r="D194" s="42" t="s">
        <v>819</v>
      </c>
      <c r="E194" s="42"/>
      <c r="F194" s="42" t="s">
        <v>1285</v>
      </c>
      <c r="G194" s="42"/>
      <c r="H194" s="42"/>
      <c r="I194" s="58"/>
      <c r="J194" s="58"/>
      <c r="K194" s="42"/>
      <c r="L194" s="58"/>
      <c r="M194" s="58"/>
      <c r="N194" s="58"/>
      <c r="O194" s="58"/>
      <c r="P194" s="58"/>
      <c r="Q194" s="58"/>
      <c r="R194" s="58"/>
      <c r="S194" s="45"/>
      <c r="T194" s="45"/>
      <c r="U194" s="45"/>
      <c r="V194" s="45"/>
      <c r="W194" s="45"/>
      <c r="X194" s="45"/>
      <c r="Y194" s="45"/>
      <c r="Z194" s="45"/>
      <c r="AA194" s="45"/>
      <c r="AB194" s="45"/>
      <c r="AC194" s="45"/>
    </row>
    <row r="195" spans="1:29" ht="26.25">
      <c r="A195" s="42">
        <f t="shared" si="0"/>
        <v>194</v>
      </c>
      <c r="B195" s="42"/>
      <c r="C195" s="42" t="s">
        <v>15</v>
      </c>
      <c r="D195" s="42" t="s">
        <v>1286</v>
      </c>
      <c r="E195" s="42"/>
      <c r="F195" s="42" t="s">
        <v>1287</v>
      </c>
      <c r="G195" s="42"/>
      <c r="H195" s="42"/>
      <c r="I195" s="58"/>
      <c r="J195" s="58"/>
      <c r="K195" s="42"/>
      <c r="L195" s="58"/>
      <c r="M195" s="58"/>
      <c r="N195" s="58"/>
      <c r="O195" s="58"/>
      <c r="P195" s="58"/>
      <c r="Q195" s="58"/>
      <c r="R195" s="58"/>
      <c r="S195" s="45"/>
      <c r="T195" s="45"/>
      <c r="U195" s="45"/>
      <c r="V195" s="45"/>
      <c r="W195" s="45"/>
      <c r="X195" s="45"/>
      <c r="Y195" s="45"/>
      <c r="Z195" s="45"/>
      <c r="AA195" s="45"/>
      <c r="AB195" s="45"/>
      <c r="AC195" s="45"/>
    </row>
    <row r="196" spans="1:29" ht="26.25">
      <c r="A196" s="42">
        <f t="shared" si="0"/>
        <v>195</v>
      </c>
      <c r="B196" s="42"/>
      <c r="C196" s="42" t="s">
        <v>15</v>
      </c>
      <c r="D196" s="42" t="s">
        <v>1288</v>
      </c>
      <c r="E196" s="42"/>
      <c r="F196" s="42" t="s">
        <v>1289</v>
      </c>
      <c r="G196" s="42"/>
      <c r="H196" s="42"/>
      <c r="I196" s="58"/>
      <c r="J196" s="58"/>
      <c r="K196" s="42"/>
      <c r="L196" s="58"/>
      <c r="M196" s="58"/>
      <c r="N196" s="58"/>
      <c r="O196" s="58"/>
      <c r="P196" s="58"/>
      <c r="Q196" s="58"/>
      <c r="R196" s="58"/>
      <c r="S196" s="45"/>
      <c r="T196" s="45"/>
      <c r="U196" s="45"/>
      <c r="V196" s="45"/>
      <c r="W196" s="45"/>
      <c r="X196" s="45"/>
      <c r="Y196" s="45"/>
      <c r="Z196" s="45"/>
      <c r="AA196" s="45"/>
      <c r="AB196" s="45"/>
      <c r="AC196" s="45"/>
    </row>
    <row r="197" spans="1:29" ht="26.25">
      <c r="A197" s="42">
        <f t="shared" si="0"/>
        <v>196</v>
      </c>
      <c r="B197" s="42"/>
      <c r="C197" s="42" t="s">
        <v>15</v>
      </c>
      <c r="D197" s="42" t="s">
        <v>383</v>
      </c>
      <c r="E197" s="42"/>
      <c r="F197" s="42" t="s">
        <v>1290</v>
      </c>
      <c r="G197" s="42"/>
      <c r="H197" s="42"/>
      <c r="I197" s="58"/>
      <c r="J197" s="58"/>
      <c r="K197" s="42"/>
      <c r="L197" s="58"/>
      <c r="M197" s="58"/>
      <c r="N197" s="58"/>
      <c r="O197" s="58"/>
      <c r="P197" s="58"/>
      <c r="Q197" s="58"/>
      <c r="R197" s="58"/>
      <c r="S197" s="45"/>
      <c r="T197" s="45"/>
      <c r="U197" s="45"/>
      <c r="V197" s="45"/>
      <c r="W197" s="45"/>
      <c r="X197" s="45"/>
      <c r="Y197" s="45"/>
      <c r="Z197" s="45"/>
      <c r="AA197" s="45"/>
      <c r="AB197" s="45"/>
      <c r="AC197" s="45"/>
    </row>
    <row r="198" spans="1:29" ht="39.4">
      <c r="A198" s="42">
        <f t="shared" si="0"/>
        <v>197</v>
      </c>
      <c r="B198" s="42"/>
      <c r="C198" s="42" t="s">
        <v>15</v>
      </c>
      <c r="D198" s="42" t="s">
        <v>385</v>
      </c>
      <c r="E198" s="42"/>
      <c r="F198" s="42" t="s">
        <v>1291</v>
      </c>
      <c r="G198" s="42"/>
      <c r="H198" s="42"/>
      <c r="I198" s="58"/>
      <c r="J198" s="58"/>
      <c r="K198" s="42"/>
      <c r="L198" s="58"/>
      <c r="M198" s="58"/>
      <c r="N198" s="58"/>
      <c r="O198" s="58"/>
      <c r="P198" s="58"/>
      <c r="Q198" s="58"/>
      <c r="R198" s="58"/>
      <c r="S198" s="45"/>
      <c r="T198" s="45"/>
      <c r="U198" s="45"/>
      <c r="V198" s="45"/>
      <c r="W198" s="45"/>
      <c r="X198" s="45"/>
      <c r="Y198" s="45"/>
      <c r="Z198" s="45"/>
      <c r="AA198" s="45"/>
      <c r="AB198" s="45"/>
      <c r="AC198" s="45"/>
    </row>
    <row r="199" spans="1:29" ht="26.25">
      <c r="A199" s="42">
        <f t="shared" si="0"/>
        <v>198</v>
      </c>
      <c r="B199" s="42"/>
      <c r="C199" s="42" t="s">
        <v>15</v>
      </c>
      <c r="D199" s="42" t="s">
        <v>1292</v>
      </c>
      <c r="E199" s="42"/>
      <c r="F199" s="42" t="s">
        <v>1293</v>
      </c>
      <c r="G199" s="42"/>
      <c r="H199" s="42"/>
      <c r="I199" s="58"/>
      <c r="J199" s="58"/>
      <c r="K199" s="42"/>
      <c r="L199" s="58"/>
      <c r="M199" s="58"/>
      <c r="N199" s="58"/>
      <c r="O199" s="58"/>
      <c r="P199" s="58"/>
      <c r="Q199" s="58"/>
      <c r="R199" s="58"/>
      <c r="S199" s="45"/>
      <c r="T199" s="45"/>
      <c r="U199" s="45"/>
      <c r="V199" s="45"/>
      <c r="W199" s="45"/>
      <c r="X199" s="45"/>
      <c r="Y199" s="45"/>
      <c r="Z199" s="45"/>
      <c r="AA199" s="45"/>
      <c r="AB199" s="45"/>
      <c r="AC199" s="45"/>
    </row>
    <row r="200" spans="1:29" ht="26.25">
      <c r="A200" s="42">
        <f t="shared" si="0"/>
        <v>199</v>
      </c>
      <c r="B200" s="42" t="s">
        <v>8</v>
      </c>
      <c r="C200" s="42" t="s">
        <v>8</v>
      </c>
      <c r="D200" s="42" t="s">
        <v>1294</v>
      </c>
      <c r="E200" s="42"/>
      <c r="F200" s="42" t="s">
        <v>1295</v>
      </c>
      <c r="G200" s="42"/>
      <c r="H200" s="42"/>
      <c r="I200" s="58"/>
      <c r="J200" s="58"/>
      <c r="K200" s="42"/>
      <c r="L200" s="58"/>
      <c r="M200" s="58"/>
      <c r="N200" s="58"/>
      <c r="O200" s="58"/>
      <c r="P200" s="58"/>
      <c r="Q200" s="58"/>
      <c r="R200" s="58"/>
      <c r="S200" s="45"/>
      <c r="T200" s="45"/>
      <c r="U200" s="45"/>
      <c r="V200" s="45"/>
      <c r="W200" s="45"/>
      <c r="X200" s="45"/>
      <c r="Y200" s="45"/>
      <c r="Z200" s="45"/>
      <c r="AA200" s="45"/>
      <c r="AB200" s="45"/>
      <c r="AC200" s="45"/>
    </row>
    <row r="201" spans="1:29" ht="26.25">
      <c r="A201" s="42">
        <f t="shared" si="0"/>
        <v>200</v>
      </c>
      <c r="B201" s="42" t="s">
        <v>8</v>
      </c>
      <c r="C201" s="42" t="s">
        <v>8</v>
      </c>
      <c r="D201" s="42" t="s">
        <v>1296</v>
      </c>
      <c r="E201" s="42"/>
      <c r="F201" s="42" t="s">
        <v>1297</v>
      </c>
      <c r="G201" s="42"/>
      <c r="H201" s="42"/>
      <c r="I201" s="58"/>
      <c r="J201" s="58"/>
      <c r="K201" s="42"/>
      <c r="L201" s="58"/>
      <c r="M201" s="58"/>
      <c r="N201" s="58"/>
      <c r="O201" s="58"/>
      <c r="P201" s="58"/>
      <c r="Q201" s="58"/>
      <c r="R201" s="58"/>
      <c r="S201" s="45"/>
      <c r="T201" s="45"/>
      <c r="U201" s="45"/>
      <c r="V201" s="45"/>
      <c r="W201" s="45"/>
      <c r="X201" s="45"/>
      <c r="Y201" s="45"/>
      <c r="Z201" s="45"/>
      <c r="AA201" s="45"/>
      <c r="AB201" s="45"/>
      <c r="AC201" s="45"/>
    </row>
    <row r="202" spans="1:29" ht="105">
      <c r="A202" s="42">
        <f t="shared" si="0"/>
        <v>201</v>
      </c>
      <c r="B202" s="42" t="s">
        <v>8</v>
      </c>
      <c r="C202" s="42" t="s">
        <v>8</v>
      </c>
      <c r="D202" s="42" t="s">
        <v>1298</v>
      </c>
      <c r="E202" s="42"/>
      <c r="F202" s="42" t="s">
        <v>1299</v>
      </c>
      <c r="G202" s="42" t="s">
        <v>5</v>
      </c>
      <c r="H202" s="42" t="s">
        <v>95</v>
      </c>
      <c r="I202" s="58" t="s">
        <v>1300</v>
      </c>
      <c r="J202" s="58" t="s">
        <v>1301</v>
      </c>
      <c r="K202" s="42" t="s">
        <v>999</v>
      </c>
      <c r="L202" s="58" t="s">
        <v>1302</v>
      </c>
      <c r="M202" s="58"/>
      <c r="N202" s="58" t="s">
        <v>1303</v>
      </c>
      <c r="O202" s="58"/>
      <c r="P202" s="58" t="s">
        <v>1304</v>
      </c>
      <c r="Q202" s="58"/>
      <c r="R202" s="58"/>
      <c r="S202" s="45"/>
      <c r="T202" s="45"/>
      <c r="U202" s="45"/>
      <c r="V202" s="45"/>
      <c r="W202" s="45"/>
      <c r="X202" s="45"/>
      <c r="Y202" s="45"/>
      <c r="Z202" s="45"/>
      <c r="AA202" s="45"/>
      <c r="AB202" s="45"/>
      <c r="AC202" s="45"/>
    </row>
    <row r="203" spans="1:29" ht="26.25">
      <c r="A203" s="42">
        <f t="shared" si="0"/>
        <v>202</v>
      </c>
      <c r="B203" s="42" t="s">
        <v>8</v>
      </c>
      <c r="C203" s="42" t="s">
        <v>8</v>
      </c>
      <c r="D203" s="42" t="s">
        <v>1305</v>
      </c>
      <c r="E203" s="42"/>
      <c r="F203" s="42" t="s">
        <v>1306</v>
      </c>
      <c r="G203" s="42"/>
      <c r="H203" s="42"/>
      <c r="I203" s="58"/>
      <c r="J203" s="58"/>
      <c r="K203" s="42"/>
      <c r="L203" s="58"/>
      <c r="M203" s="58"/>
      <c r="N203" s="58"/>
      <c r="O203" s="58"/>
      <c r="P203" s="58"/>
      <c r="Q203" s="58"/>
      <c r="R203" s="58"/>
      <c r="S203" s="45"/>
      <c r="T203" s="45"/>
      <c r="U203" s="45"/>
      <c r="V203" s="45"/>
      <c r="W203" s="45"/>
      <c r="X203" s="45"/>
      <c r="Y203" s="45"/>
      <c r="Z203" s="45"/>
      <c r="AA203" s="45"/>
      <c r="AB203" s="45"/>
      <c r="AC203" s="45"/>
    </row>
    <row r="204" spans="1:29" ht="26.25">
      <c r="A204" s="42">
        <f t="shared" si="0"/>
        <v>203</v>
      </c>
      <c r="B204" s="42" t="s">
        <v>8</v>
      </c>
      <c r="C204" s="42" t="s">
        <v>8</v>
      </c>
      <c r="D204" s="42" t="s">
        <v>1307</v>
      </c>
      <c r="E204" s="42"/>
      <c r="F204" s="42" t="s">
        <v>1308</v>
      </c>
      <c r="G204" s="42"/>
      <c r="H204" s="42"/>
      <c r="I204" s="58"/>
      <c r="J204" s="58"/>
      <c r="K204" s="42"/>
      <c r="L204" s="58"/>
      <c r="M204" s="58"/>
      <c r="N204" s="58"/>
      <c r="O204" s="58"/>
      <c r="P204" s="58"/>
      <c r="Q204" s="58"/>
      <c r="R204" s="58"/>
      <c r="S204" s="45"/>
      <c r="T204" s="45"/>
      <c r="U204" s="45"/>
      <c r="V204" s="45"/>
      <c r="W204" s="45"/>
      <c r="X204" s="45"/>
      <c r="Y204" s="45"/>
      <c r="Z204" s="45"/>
      <c r="AA204" s="45"/>
      <c r="AB204" s="45"/>
      <c r="AC204" s="45"/>
    </row>
    <row r="205" spans="1:29" ht="26.25">
      <c r="A205" s="42">
        <f t="shared" si="0"/>
        <v>204</v>
      </c>
      <c r="B205" s="42" t="s">
        <v>8</v>
      </c>
      <c r="C205" s="42" t="s">
        <v>8</v>
      </c>
      <c r="D205" s="42" t="s">
        <v>1309</v>
      </c>
      <c r="E205" s="42"/>
      <c r="F205" s="42" t="s">
        <v>1310</v>
      </c>
      <c r="G205" s="42"/>
      <c r="H205" s="42"/>
      <c r="I205" s="58"/>
      <c r="J205" s="58"/>
      <c r="K205" s="42"/>
      <c r="L205" s="58"/>
      <c r="M205" s="58"/>
      <c r="N205" s="58"/>
      <c r="O205" s="58"/>
      <c r="P205" s="58"/>
      <c r="Q205" s="58"/>
      <c r="R205" s="58"/>
      <c r="S205" s="45"/>
      <c r="T205" s="45"/>
      <c r="U205" s="45"/>
      <c r="V205" s="45"/>
      <c r="W205" s="45"/>
      <c r="X205" s="45"/>
      <c r="Y205" s="45"/>
      <c r="Z205" s="45"/>
      <c r="AA205" s="45"/>
      <c r="AB205" s="45"/>
      <c r="AC205" s="45"/>
    </row>
    <row r="206" spans="1:29" ht="26.25">
      <c r="A206" s="42">
        <f t="shared" si="0"/>
        <v>205</v>
      </c>
      <c r="B206" s="42" t="s">
        <v>8</v>
      </c>
      <c r="C206" s="42" t="s">
        <v>8</v>
      </c>
      <c r="D206" s="42" t="s">
        <v>1311</v>
      </c>
      <c r="E206" s="42"/>
      <c r="F206" s="42" t="s">
        <v>1312</v>
      </c>
      <c r="G206" s="42"/>
      <c r="H206" s="42"/>
      <c r="I206" s="58"/>
      <c r="J206" s="58"/>
      <c r="K206" s="42"/>
      <c r="L206" s="58"/>
      <c r="M206" s="58"/>
      <c r="N206" s="58"/>
      <c r="O206" s="58"/>
      <c r="P206" s="58"/>
      <c r="Q206" s="58"/>
      <c r="R206" s="58"/>
      <c r="S206" s="45"/>
      <c r="T206" s="45"/>
      <c r="U206" s="45"/>
      <c r="V206" s="45"/>
      <c r="W206" s="45"/>
      <c r="X206" s="45"/>
      <c r="Y206" s="45"/>
      <c r="Z206" s="45"/>
      <c r="AA206" s="45"/>
      <c r="AB206" s="45"/>
      <c r="AC206" s="45"/>
    </row>
    <row r="207" spans="1:29" ht="26.25">
      <c r="A207" s="42">
        <f t="shared" si="0"/>
        <v>206</v>
      </c>
      <c r="B207" s="42" t="s">
        <v>8</v>
      </c>
      <c r="C207" s="42" t="s">
        <v>8</v>
      </c>
      <c r="D207" s="42" t="s">
        <v>1313</v>
      </c>
      <c r="E207" s="42"/>
      <c r="F207" s="42" t="s">
        <v>1314</v>
      </c>
      <c r="G207" s="42"/>
      <c r="H207" s="42"/>
      <c r="I207" s="58"/>
      <c r="J207" s="58"/>
      <c r="K207" s="42"/>
      <c r="L207" s="58"/>
      <c r="M207" s="58"/>
      <c r="N207" s="58"/>
      <c r="O207" s="58"/>
      <c r="P207" s="58"/>
      <c r="Q207" s="58"/>
      <c r="R207" s="58"/>
      <c r="S207" s="45"/>
      <c r="T207" s="45"/>
      <c r="U207" s="45"/>
      <c r="V207" s="45"/>
      <c r="W207" s="45"/>
      <c r="X207" s="45"/>
      <c r="Y207" s="45"/>
      <c r="Z207" s="45"/>
      <c r="AA207" s="45"/>
      <c r="AB207" s="45"/>
      <c r="AC207" s="45"/>
    </row>
    <row r="208" spans="1:29" ht="26.25">
      <c r="A208" s="42">
        <f t="shared" si="0"/>
        <v>207</v>
      </c>
      <c r="B208" s="42" t="s">
        <v>8</v>
      </c>
      <c r="C208" s="42" t="s">
        <v>8</v>
      </c>
      <c r="D208" s="42" t="s">
        <v>1315</v>
      </c>
      <c r="E208" s="42"/>
      <c r="F208" s="42" t="s">
        <v>1316</v>
      </c>
      <c r="G208" s="42"/>
      <c r="H208" s="42"/>
      <c r="I208" s="58"/>
      <c r="J208" s="58"/>
      <c r="K208" s="42"/>
      <c r="L208" s="58"/>
      <c r="M208" s="58"/>
      <c r="N208" s="58"/>
      <c r="O208" s="58"/>
      <c r="P208" s="58"/>
      <c r="Q208" s="58"/>
      <c r="R208" s="58"/>
      <c r="S208" s="45"/>
      <c r="T208" s="45"/>
      <c r="U208" s="45"/>
      <c r="V208" s="45"/>
      <c r="W208" s="45"/>
      <c r="X208" s="45"/>
      <c r="Y208" s="45"/>
      <c r="Z208" s="45"/>
      <c r="AA208" s="45"/>
      <c r="AB208" s="45"/>
      <c r="AC208" s="45"/>
    </row>
    <row r="209" spans="1:29" ht="26.25">
      <c r="A209" s="42">
        <f t="shared" si="0"/>
        <v>208</v>
      </c>
      <c r="B209" s="42" t="s">
        <v>8</v>
      </c>
      <c r="C209" s="42" t="s">
        <v>8</v>
      </c>
      <c r="D209" s="42" t="s">
        <v>1317</v>
      </c>
      <c r="E209" s="42"/>
      <c r="F209" s="42" t="s">
        <v>1318</v>
      </c>
      <c r="G209" s="42"/>
      <c r="H209" s="42"/>
      <c r="I209" s="58"/>
      <c r="J209" s="58"/>
      <c r="K209" s="42"/>
      <c r="L209" s="58"/>
      <c r="M209" s="58"/>
      <c r="N209" s="58"/>
      <c r="O209" s="58"/>
      <c r="P209" s="58"/>
      <c r="Q209" s="58"/>
      <c r="R209" s="58"/>
      <c r="S209" s="45"/>
      <c r="T209" s="45"/>
      <c r="U209" s="45"/>
      <c r="V209" s="45"/>
      <c r="W209" s="45"/>
      <c r="X209" s="45"/>
      <c r="Y209" s="45"/>
      <c r="Z209" s="45"/>
      <c r="AA209" s="45"/>
      <c r="AB209" s="45"/>
      <c r="AC209" s="45"/>
    </row>
    <row r="210" spans="1:29" ht="131.25">
      <c r="A210" s="42">
        <f t="shared" si="0"/>
        <v>209</v>
      </c>
      <c r="B210" s="42" t="s">
        <v>8</v>
      </c>
      <c r="C210" s="42" t="s">
        <v>8</v>
      </c>
      <c r="D210" s="42" t="s">
        <v>1319</v>
      </c>
      <c r="E210" s="42"/>
      <c r="F210" s="42" t="s">
        <v>1320</v>
      </c>
      <c r="G210" s="42" t="s">
        <v>6</v>
      </c>
      <c r="H210" s="42" t="s">
        <v>90</v>
      </c>
      <c r="I210" s="58" t="s">
        <v>1321</v>
      </c>
      <c r="J210" s="58" t="s">
        <v>1322</v>
      </c>
      <c r="K210" s="42" t="s">
        <v>999</v>
      </c>
      <c r="L210" s="58" t="s">
        <v>1323</v>
      </c>
      <c r="M210" s="58" t="s">
        <v>1324</v>
      </c>
      <c r="N210" s="58"/>
      <c r="O210" s="58"/>
      <c r="P210" s="58"/>
      <c r="Q210" s="58"/>
      <c r="R210" s="58"/>
      <c r="S210" s="45"/>
      <c r="T210" s="45"/>
      <c r="U210" s="45"/>
      <c r="V210" s="45"/>
      <c r="W210" s="45"/>
      <c r="X210" s="45"/>
      <c r="Y210" s="45"/>
      <c r="Z210" s="45"/>
      <c r="AA210" s="45"/>
      <c r="AB210" s="45"/>
      <c r="AC210" s="45"/>
    </row>
    <row r="211" spans="1:29" ht="209.25">
      <c r="A211" s="42">
        <f t="shared" si="0"/>
        <v>210</v>
      </c>
      <c r="B211" s="42" t="s">
        <v>8</v>
      </c>
      <c r="C211" s="42" t="s">
        <v>8</v>
      </c>
      <c r="D211" s="42" t="s">
        <v>1325</v>
      </c>
      <c r="E211" s="42"/>
      <c r="F211" s="42" t="s">
        <v>1326</v>
      </c>
      <c r="G211" s="42" t="s">
        <v>5</v>
      </c>
      <c r="H211" s="42" t="s">
        <v>95</v>
      </c>
      <c r="I211" s="58" t="s">
        <v>1327</v>
      </c>
      <c r="J211" s="58" t="s">
        <v>1328</v>
      </c>
      <c r="K211" s="42" t="s">
        <v>994</v>
      </c>
      <c r="L211" s="58" t="s">
        <v>1329</v>
      </c>
      <c r="M211" s="58"/>
      <c r="N211" s="58" t="s">
        <v>1330</v>
      </c>
      <c r="O211" s="58" t="s">
        <v>1331</v>
      </c>
      <c r="P211" s="58" t="s">
        <v>1332</v>
      </c>
      <c r="Q211" s="58"/>
      <c r="R211" s="58" t="s">
        <v>1333</v>
      </c>
      <c r="S211" s="45"/>
      <c r="T211" s="45"/>
      <c r="U211" s="45"/>
      <c r="V211" s="45"/>
      <c r="W211" s="45"/>
      <c r="X211" s="45"/>
      <c r="Y211" s="45"/>
      <c r="Z211" s="45"/>
      <c r="AA211" s="45"/>
      <c r="AB211" s="45"/>
      <c r="AC211" s="45"/>
    </row>
    <row r="212" spans="1:29" ht="26.25">
      <c r="A212" s="42">
        <f t="shared" si="0"/>
        <v>211</v>
      </c>
      <c r="B212" s="42" t="s">
        <v>8</v>
      </c>
      <c r="C212" s="42" t="s">
        <v>8</v>
      </c>
      <c r="D212" s="42" t="s">
        <v>1334</v>
      </c>
      <c r="E212" s="42"/>
      <c r="F212" s="42" t="s">
        <v>1335</v>
      </c>
      <c r="G212" s="42"/>
      <c r="H212" s="42"/>
      <c r="I212" s="58"/>
      <c r="J212" s="58"/>
      <c r="K212" s="42"/>
      <c r="L212" s="58"/>
      <c r="M212" s="58"/>
      <c r="N212" s="58"/>
      <c r="O212" s="58"/>
      <c r="P212" s="58"/>
      <c r="Q212" s="58"/>
      <c r="R212" s="58"/>
      <c r="S212" s="45"/>
      <c r="T212" s="45"/>
      <c r="U212" s="45"/>
      <c r="V212" s="45"/>
      <c r="W212" s="45"/>
      <c r="X212" s="45"/>
      <c r="Y212" s="45"/>
      <c r="Z212" s="45"/>
      <c r="AA212" s="45"/>
      <c r="AB212" s="45"/>
      <c r="AC212" s="45"/>
    </row>
    <row r="213" spans="1:29" ht="26.25">
      <c r="A213" s="42">
        <f t="shared" si="0"/>
        <v>212</v>
      </c>
      <c r="B213" s="42" t="s">
        <v>8</v>
      </c>
      <c r="C213" s="42" t="s">
        <v>8</v>
      </c>
      <c r="D213" s="42" t="s">
        <v>1336</v>
      </c>
      <c r="E213" s="42"/>
      <c r="F213" s="42" t="s">
        <v>1337</v>
      </c>
      <c r="G213" s="42"/>
      <c r="H213" s="42"/>
      <c r="I213" s="58"/>
      <c r="J213" s="58"/>
      <c r="K213" s="42"/>
      <c r="L213" s="58"/>
      <c r="M213" s="58"/>
      <c r="N213" s="58"/>
      <c r="O213" s="58"/>
      <c r="P213" s="58"/>
      <c r="Q213" s="58"/>
      <c r="R213" s="58"/>
      <c r="S213" s="45"/>
      <c r="T213" s="45"/>
      <c r="U213" s="45"/>
      <c r="V213" s="45"/>
      <c r="W213" s="45"/>
      <c r="X213" s="45"/>
      <c r="Y213" s="45"/>
      <c r="Z213" s="45"/>
      <c r="AA213" s="45"/>
      <c r="AB213" s="45"/>
      <c r="AC213" s="45"/>
    </row>
    <row r="214" spans="1:29" ht="26.25">
      <c r="A214" s="42">
        <f t="shared" si="0"/>
        <v>213</v>
      </c>
      <c r="B214" s="42" t="s">
        <v>8</v>
      </c>
      <c r="C214" s="42" t="s">
        <v>8</v>
      </c>
      <c r="D214" s="42" t="s">
        <v>1338</v>
      </c>
      <c r="E214" s="42"/>
      <c r="F214" s="42" t="s">
        <v>1339</v>
      </c>
      <c r="G214" s="42"/>
      <c r="H214" s="42"/>
      <c r="I214" s="58"/>
      <c r="J214" s="58"/>
      <c r="K214" s="42"/>
      <c r="L214" s="58"/>
      <c r="M214" s="58"/>
      <c r="N214" s="58"/>
      <c r="O214" s="58"/>
      <c r="P214" s="58"/>
      <c r="Q214" s="58"/>
      <c r="R214" s="58"/>
      <c r="S214" s="45"/>
      <c r="T214" s="45"/>
      <c r="U214" s="45"/>
      <c r="V214" s="45"/>
      <c r="W214" s="45"/>
      <c r="X214" s="45"/>
      <c r="Y214" s="45"/>
      <c r="Z214" s="45"/>
      <c r="AA214" s="45"/>
      <c r="AB214" s="45"/>
      <c r="AC214" s="45"/>
    </row>
    <row r="215" spans="1:29" ht="26.25">
      <c r="A215" s="42">
        <f t="shared" si="0"/>
        <v>214</v>
      </c>
      <c r="B215" s="42" t="s">
        <v>8</v>
      </c>
      <c r="C215" s="42" t="s">
        <v>8</v>
      </c>
      <c r="D215" s="42" t="s">
        <v>1340</v>
      </c>
      <c r="E215" s="42"/>
      <c r="F215" s="42" t="s">
        <v>1341</v>
      </c>
      <c r="G215" s="42"/>
      <c r="H215" s="42"/>
      <c r="I215" s="58"/>
      <c r="J215" s="58"/>
      <c r="K215" s="42"/>
      <c r="L215" s="58"/>
      <c r="M215" s="58"/>
      <c r="N215" s="58"/>
      <c r="O215" s="58"/>
      <c r="P215" s="58"/>
      <c r="Q215" s="58"/>
      <c r="R215" s="58"/>
      <c r="S215" s="45"/>
      <c r="T215" s="45"/>
      <c r="U215" s="45"/>
      <c r="V215" s="45"/>
      <c r="W215" s="45"/>
      <c r="X215" s="45"/>
      <c r="Y215" s="45"/>
      <c r="Z215" s="45"/>
      <c r="AA215" s="45"/>
      <c r="AB215" s="45"/>
      <c r="AC215" s="45"/>
    </row>
    <row r="216" spans="1:29" ht="26.25">
      <c r="A216" s="42">
        <f t="shared" si="0"/>
        <v>215</v>
      </c>
      <c r="B216" s="42" t="s">
        <v>8</v>
      </c>
      <c r="C216" s="42" t="s">
        <v>8</v>
      </c>
      <c r="D216" s="42" t="s">
        <v>1342</v>
      </c>
      <c r="E216" s="42"/>
      <c r="F216" s="42" t="s">
        <v>1343</v>
      </c>
      <c r="G216" s="42"/>
      <c r="H216" s="42"/>
      <c r="I216" s="58"/>
      <c r="J216" s="58"/>
      <c r="K216" s="42"/>
      <c r="L216" s="58"/>
      <c r="M216" s="58"/>
      <c r="N216" s="58"/>
      <c r="O216" s="58"/>
      <c r="P216" s="58"/>
      <c r="Q216" s="58"/>
      <c r="R216" s="58"/>
      <c r="S216" s="45"/>
      <c r="T216" s="45"/>
      <c r="U216" s="45"/>
      <c r="V216" s="45"/>
      <c r="W216" s="45"/>
      <c r="X216" s="45"/>
      <c r="Y216" s="45"/>
      <c r="Z216" s="45"/>
      <c r="AA216" s="45"/>
      <c r="AB216" s="45"/>
      <c r="AC216" s="45"/>
    </row>
    <row r="217" spans="1:29" ht="26.25">
      <c r="A217" s="42">
        <f t="shared" si="0"/>
        <v>216</v>
      </c>
      <c r="B217" s="42" t="s">
        <v>8</v>
      </c>
      <c r="C217" s="42" t="s">
        <v>8</v>
      </c>
      <c r="D217" s="42" t="s">
        <v>1344</v>
      </c>
      <c r="E217" s="42"/>
      <c r="F217" s="42" t="s">
        <v>1345</v>
      </c>
      <c r="G217" s="42"/>
      <c r="H217" s="42"/>
      <c r="I217" s="58"/>
      <c r="J217" s="58"/>
      <c r="K217" s="42"/>
      <c r="L217" s="58"/>
      <c r="M217" s="58"/>
      <c r="N217" s="58"/>
      <c r="O217" s="58"/>
      <c r="P217" s="58"/>
      <c r="Q217" s="58"/>
      <c r="R217" s="58"/>
      <c r="S217" s="45"/>
      <c r="T217" s="45"/>
      <c r="U217" s="45"/>
      <c r="V217" s="45"/>
      <c r="W217" s="45"/>
      <c r="X217" s="45"/>
      <c r="Y217" s="45"/>
      <c r="Z217" s="45"/>
      <c r="AA217" s="45"/>
      <c r="AB217" s="45"/>
      <c r="AC217" s="45"/>
    </row>
    <row r="218" spans="1:29" ht="26.25">
      <c r="A218" s="42">
        <f t="shared" si="0"/>
        <v>217</v>
      </c>
      <c r="B218" s="42" t="s">
        <v>8</v>
      </c>
      <c r="C218" s="42" t="s">
        <v>8</v>
      </c>
      <c r="D218" s="42" t="s">
        <v>1346</v>
      </c>
      <c r="E218" s="42"/>
      <c r="F218" s="42" t="s">
        <v>1347</v>
      </c>
      <c r="G218" s="42"/>
      <c r="H218" s="42"/>
      <c r="I218" s="58"/>
      <c r="J218" s="58"/>
      <c r="K218" s="42"/>
      <c r="L218" s="58"/>
      <c r="M218" s="58"/>
      <c r="N218" s="58"/>
      <c r="O218" s="58"/>
      <c r="P218" s="58"/>
      <c r="Q218" s="58"/>
      <c r="R218" s="58"/>
      <c r="S218" s="45"/>
      <c r="T218" s="45"/>
      <c r="U218" s="45"/>
      <c r="V218" s="45"/>
      <c r="W218" s="45"/>
      <c r="X218" s="45"/>
      <c r="Y218" s="45"/>
      <c r="Z218" s="45"/>
      <c r="AA218" s="45"/>
      <c r="AB218" s="45"/>
      <c r="AC218" s="45"/>
    </row>
    <row r="219" spans="1:29" ht="26.25">
      <c r="A219" s="42">
        <f t="shared" si="0"/>
        <v>218</v>
      </c>
      <c r="B219" s="42" t="s">
        <v>8</v>
      </c>
      <c r="C219" s="42" t="s">
        <v>8</v>
      </c>
      <c r="D219" s="42" t="s">
        <v>1348</v>
      </c>
      <c r="E219" s="42"/>
      <c r="F219" s="42" t="s">
        <v>1349</v>
      </c>
      <c r="G219" s="42"/>
      <c r="H219" s="42"/>
      <c r="I219" s="58"/>
      <c r="J219" s="58"/>
      <c r="K219" s="42"/>
      <c r="L219" s="58"/>
      <c r="M219" s="58"/>
      <c r="N219" s="58"/>
      <c r="O219" s="58"/>
      <c r="P219" s="58"/>
      <c r="Q219" s="58"/>
      <c r="R219" s="58"/>
      <c r="S219" s="45"/>
      <c r="T219" s="45"/>
      <c r="U219" s="45"/>
      <c r="V219" s="45"/>
      <c r="W219" s="45"/>
      <c r="X219" s="45"/>
      <c r="Y219" s="45"/>
      <c r="Z219" s="45"/>
      <c r="AA219" s="45"/>
      <c r="AB219" s="45"/>
      <c r="AC219" s="45"/>
    </row>
    <row r="220" spans="1:29" ht="26.25">
      <c r="A220" s="42">
        <f t="shared" si="0"/>
        <v>219</v>
      </c>
      <c r="B220" s="42" t="s">
        <v>8</v>
      </c>
      <c r="C220" s="42" t="s">
        <v>8</v>
      </c>
      <c r="D220" s="42" t="s">
        <v>1350</v>
      </c>
      <c r="E220" s="42"/>
      <c r="F220" s="42" t="s">
        <v>1351</v>
      </c>
      <c r="G220" s="42"/>
      <c r="H220" s="42"/>
      <c r="I220" s="58"/>
      <c r="J220" s="58"/>
      <c r="K220" s="42"/>
      <c r="L220" s="58"/>
      <c r="M220" s="58"/>
      <c r="N220" s="58"/>
      <c r="O220" s="58"/>
      <c r="P220" s="58"/>
      <c r="Q220" s="58"/>
      <c r="R220" s="58"/>
      <c r="S220" s="45"/>
      <c r="T220" s="45"/>
      <c r="U220" s="45"/>
      <c r="V220" s="45"/>
      <c r="W220" s="45"/>
      <c r="X220" s="45"/>
      <c r="Y220" s="45"/>
      <c r="Z220" s="45"/>
      <c r="AA220" s="45"/>
      <c r="AB220" s="45"/>
      <c r="AC220" s="45"/>
    </row>
    <row r="221" spans="1:29" ht="26.25">
      <c r="A221" s="42">
        <f t="shared" si="0"/>
        <v>220</v>
      </c>
      <c r="B221" s="42" t="s">
        <v>8</v>
      </c>
      <c r="C221" s="42" t="s">
        <v>8</v>
      </c>
      <c r="D221" s="42" t="s">
        <v>1352</v>
      </c>
      <c r="E221" s="42"/>
      <c r="F221" s="42" t="s">
        <v>1353</v>
      </c>
      <c r="G221" s="42"/>
      <c r="H221" s="42"/>
      <c r="I221" s="58"/>
      <c r="J221" s="58"/>
      <c r="K221" s="42"/>
      <c r="L221" s="58"/>
      <c r="M221" s="58"/>
      <c r="N221" s="58"/>
      <c r="O221" s="58"/>
      <c r="P221" s="58"/>
      <c r="Q221" s="58"/>
      <c r="R221" s="58"/>
      <c r="S221" s="45"/>
      <c r="T221" s="45"/>
      <c r="U221" s="45"/>
      <c r="V221" s="45"/>
      <c r="W221" s="45"/>
      <c r="X221" s="45"/>
      <c r="Y221" s="45"/>
      <c r="Z221" s="45"/>
      <c r="AA221" s="45"/>
      <c r="AB221" s="45"/>
      <c r="AC221" s="45"/>
    </row>
    <row r="222" spans="1:29" ht="26.25">
      <c r="A222" s="42">
        <f t="shared" si="0"/>
        <v>221</v>
      </c>
      <c r="B222" s="42" t="s">
        <v>8</v>
      </c>
      <c r="C222" s="42" t="s">
        <v>8</v>
      </c>
      <c r="D222" s="42" t="s">
        <v>1354</v>
      </c>
      <c r="E222" s="42"/>
      <c r="F222" s="42" t="s">
        <v>1355</v>
      </c>
      <c r="G222" s="42"/>
      <c r="H222" s="42"/>
      <c r="I222" s="58"/>
      <c r="J222" s="58"/>
      <c r="K222" s="42"/>
      <c r="L222" s="58"/>
      <c r="M222" s="58"/>
      <c r="N222" s="58"/>
      <c r="O222" s="58"/>
      <c r="P222" s="58"/>
      <c r="Q222" s="58"/>
      <c r="R222" s="58"/>
      <c r="S222" s="45"/>
      <c r="T222" s="45"/>
      <c r="U222" s="45"/>
      <c r="V222" s="45"/>
      <c r="W222" s="45"/>
      <c r="X222" s="45"/>
      <c r="Y222" s="45"/>
      <c r="Z222" s="45"/>
      <c r="AA222" s="45"/>
      <c r="AB222" s="45"/>
      <c r="AC222" s="45"/>
    </row>
    <row r="223" spans="1:29" ht="26.25">
      <c r="A223" s="42">
        <f t="shared" si="0"/>
        <v>222</v>
      </c>
      <c r="B223" s="42" t="s">
        <v>8</v>
      </c>
      <c r="C223" s="42" t="s">
        <v>587</v>
      </c>
      <c r="D223" s="42" t="s">
        <v>588</v>
      </c>
      <c r="E223" s="42"/>
      <c r="F223" s="42" t="s">
        <v>1356</v>
      </c>
      <c r="G223" s="42"/>
      <c r="H223" s="42"/>
      <c r="I223" s="58"/>
      <c r="J223" s="58"/>
      <c r="K223" s="42"/>
      <c r="L223" s="58"/>
      <c r="M223" s="58"/>
      <c r="N223" s="58"/>
      <c r="O223" s="58"/>
      <c r="P223" s="58"/>
      <c r="Q223" s="58"/>
      <c r="R223" s="58"/>
      <c r="S223" s="45"/>
      <c r="T223" s="45"/>
      <c r="U223" s="45"/>
      <c r="V223" s="45"/>
      <c r="W223" s="45"/>
      <c r="X223" s="45"/>
      <c r="Y223" s="45"/>
      <c r="Z223" s="45"/>
      <c r="AA223" s="45"/>
      <c r="AB223" s="45"/>
      <c r="AC223" s="45"/>
    </row>
    <row r="224" spans="1:29" ht="26.25">
      <c r="A224" s="42">
        <f t="shared" si="0"/>
        <v>223</v>
      </c>
      <c r="B224" s="42" t="s">
        <v>8</v>
      </c>
      <c r="C224" s="42" t="s">
        <v>587</v>
      </c>
      <c r="D224" s="42" t="s">
        <v>1357</v>
      </c>
      <c r="E224" s="42"/>
      <c r="F224" s="42" t="s">
        <v>1358</v>
      </c>
      <c r="G224" s="42"/>
      <c r="H224" s="42"/>
      <c r="I224" s="58"/>
      <c r="J224" s="58"/>
      <c r="K224" s="42"/>
      <c r="L224" s="58"/>
      <c r="M224" s="58"/>
      <c r="N224" s="58"/>
      <c r="O224" s="58"/>
      <c r="P224" s="58"/>
      <c r="Q224" s="58"/>
      <c r="R224" s="58"/>
      <c r="S224" s="45"/>
      <c r="T224" s="45"/>
      <c r="U224" s="45"/>
      <c r="V224" s="45"/>
      <c r="W224" s="45"/>
      <c r="X224" s="45"/>
      <c r="Y224" s="45"/>
      <c r="Z224" s="45"/>
      <c r="AA224" s="45"/>
      <c r="AB224" s="45"/>
      <c r="AC224" s="45"/>
    </row>
    <row r="225" spans="1:29" ht="39.4">
      <c r="A225" s="42">
        <f t="shared" si="0"/>
        <v>224</v>
      </c>
      <c r="B225" s="42" t="s">
        <v>8</v>
      </c>
      <c r="C225" s="42" t="s">
        <v>587</v>
      </c>
      <c r="D225" s="42" t="s">
        <v>596</v>
      </c>
      <c r="E225" s="42"/>
      <c r="F225" s="42" t="s">
        <v>1359</v>
      </c>
      <c r="G225" s="42"/>
      <c r="H225" s="42"/>
      <c r="I225" s="58"/>
      <c r="J225" s="58"/>
      <c r="K225" s="42"/>
      <c r="L225" s="58"/>
      <c r="M225" s="58"/>
      <c r="N225" s="58"/>
      <c r="O225" s="58"/>
      <c r="P225" s="58"/>
      <c r="Q225" s="58"/>
      <c r="R225" s="58"/>
      <c r="S225" s="45"/>
      <c r="T225" s="45"/>
      <c r="U225" s="45"/>
      <c r="V225" s="45"/>
      <c r="W225" s="45"/>
      <c r="X225" s="45"/>
      <c r="Y225" s="45"/>
      <c r="Z225" s="45"/>
      <c r="AA225" s="45"/>
      <c r="AB225" s="45"/>
      <c r="AC225" s="45"/>
    </row>
    <row r="226" spans="1:29" ht="39.4">
      <c r="A226" s="42">
        <f t="shared" si="0"/>
        <v>225</v>
      </c>
      <c r="B226" s="42" t="s">
        <v>8</v>
      </c>
      <c r="C226" s="42" t="s">
        <v>587</v>
      </c>
      <c r="D226" s="42" t="s">
        <v>1360</v>
      </c>
      <c r="E226" s="42"/>
      <c r="F226" s="42" t="s">
        <v>1361</v>
      </c>
      <c r="G226" s="42"/>
      <c r="H226" s="42"/>
      <c r="I226" s="58"/>
      <c r="J226" s="58"/>
      <c r="K226" s="42"/>
      <c r="L226" s="58"/>
      <c r="M226" s="58"/>
      <c r="N226" s="58"/>
      <c r="O226" s="58"/>
      <c r="P226" s="58"/>
      <c r="Q226" s="58"/>
      <c r="R226" s="58"/>
      <c r="S226" s="45"/>
      <c r="T226" s="45"/>
      <c r="U226" s="45"/>
      <c r="V226" s="45"/>
      <c r="W226" s="45"/>
      <c r="X226" s="45"/>
      <c r="Y226" s="45"/>
      <c r="Z226" s="45"/>
      <c r="AA226" s="45"/>
      <c r="AB226" s="45"/>
      <c r="AC226" s="45"/>
    </row>
    <row r="227" spans="1:29" ht="39.4">
      <c r="A227" s="42">
        <f t="shared" si="0"/>
        <v>226</v>
      </c>
      <c r="B227" s="42" t="s">
        <v>8</v>
      </c>
      <c r="C227" s="42" t="s">
        <v>587</v>
      </c>
      <c r="D227" s="42" t="s">
        <v>597</v>
      </c>
      <c r="E227" s="42"/>
      <c r="F227" s="42" t="s">
        <v>1362</v>
      </c>
      <c r="G227" s="42"/>
      <c r="H227" s="42"/>
      <c r="I227" s="58"/>
      <c r="J227" s="58"/>
      <c r="K227" s="42"/>
      <c r="L227" s="58"/>
      <c r="M227" s="58"/>
      <c r="N227" s="58"/>
      <c r="O227" s="58"/>
      <c r="P227" s="58"/>
      <c r="Q227" s="58"/>
      <c r="R227" s="58"/>
      <c r="S227" s="45"/>
      <c r="T227" s="45"/>
      <c r="U227" s="45"/>
      <c r="V227" s="45"/>
      <c r="W227" s="45"/>
      <c r="X227" s="45"/>
      <c r="Y227" s="45"/>
      <c r="Z227" s="45"/>
      <c r="AA227" s="45"/>
      <c r="AB227" s="45"/>
      <c r="AC227" s="45"/>
    </row>
    <row r="228" spans="1:29" ht="26.25">
      <c r="A228" s="42">
        <f t="shared" si="0"/>
        <v>227</v>
      </c>
      <c r="B228" s="42" t="s">
        <v>8</v>
      </c>
      <c r="C228" s="42" t="s">
        <v>587</v>
      </c>
      <c r="D228" s="42" t="s">
        <v>1363</v>
      </c>
      <c r="E228" s="42"/>
      <c r="F228" s="42" t="s">
        <v>1364</v>
      </c>
      <c r="G228" s="42"/>
      <c r="H228" s="42"/>
      <c r="I228" s="58"/>
      <c r="J228" s="58"/>
      <c r="K228" s="42"/>
      <c r="L228" s="58"/>
      <c r="M228" s="58"/>
      <c r="N228" s="58"/>
      <c r="O228" s="58"/>
      <c r="P228" s="58"/>
      <c r="Q228" s="58"/>
      <c r="R228" s="58"/>
      <c r="S228" s="45"/>
      <c r="T228" s="45"/>
      <c r="U228" s="45"/>
      <c r="V228" s="45"/>
      <c r="W228" s="45"/>
      <c r="X228" s="45"/>
      <c r="Y228" s="45"/>
      <c r="Z228" s="45"/>
      <c r="AA228" s="45"/>
      <c r="AB228" s="45"/>
      <c r="AC228" s="45"/>
    </row>
    <row r="229" spans="1:29" ht="26.25">
      <c r="A229" s="42">
        <f t="shared" si="0"/>
        <v>228</v>
      </c>
      <c r="B229" s="42" t="s">
        <v>8</v>
      </c>
      <c r="C229" s="42" t="s">
        <v>587</v>
      </c>
      <c r="D229" s="42" t="s">
        <v>1365</v>
      </c>
      <c r="E229" s="42"/>
      <c r="F229" s="42" t="s">
        <v>1366</v>
      </c>
      <c r="G229" s="42"/>
      <c r="H229" s="42"/>
      <c r="I229" s="58"/>
      <c r="J229" s="58"/>
      <c r="K229" s="42"/>
      <c r="L229" s="58"/>
      <c r="M229" s="58"/>
      <c r="N229" s="58"/>
      <c r="O229" s="58"/>
      <c r="P229" s="58"/>
      <c r="Q229" s="58"/>
      <c r="R229" s="58"/>
      <c r="S229" s="45"/>
      <c r="T229" s="45"/>
      <c r="U229" s="45"/>
      <c r="V229" s="45"/>
      <c r="W229" s="45"/>
      <c r="X229" s="45"/>
      <c r="Y229" s="45"/>
      <c r="Z229" s="45"/>
      <c r="AA229" s="45"/>
      <c r="AB229" s="45"/>
      <c r="AC229" s="45"/>
    </row>
    <row r="230" spans="1:29" ht="39.4">
      <c r="A230" s="42">
        <f t="shared" si="0"/>
        <v>229</v>
      </c>
      <c r="B230" s="42" t="s">
        <v>8</v>
      </c>
      <c r="C230" s="42" t="s">
        <v>587</v>
      </c>
      <c r="D230" s="42" t="s">
        <v>602</v>
      </c>
      <c r="E230" s="42"/>
      <c r="F230" s="42" t="s">
        <v>1367</v>
      </c>
      <c r="G230" s="42"/>
      <c r="H230" s="42"/>
      <c r="I230" s="58"/>
      <c r="J230" s="58"/>
      <c r="K230" s="42"/>
      <c r="L230" s="58"/>
      <c r="M230" s="58"/>
      <c r="N230" s="58"/>
      <c r="O230" s="58"/>
      <c r="P230" s="58"/>
      <c r="Q230" s="58"/>
      <c r="R230" s="58"/>
      <c r="S230" s="45"/>
      <c r="T230" s="45"/>
      <c r="U230" s="45"/>
      <c r="V230" s="45"/>
      <c r="W230" s="45"/>
      <c r="X230" s="45"/>
      <c r="Y230" s="45"/>
      <c r="Z230" s="45"/>
      <c r="AA230" s="45"/>
      <c r="AB230" s="45"/>
      <c r="AC230" s="45"/>
    </row>
    <row r="231" spans="1:29" ht="26.25">
      <c r="A231" s="42">
        <f t="shared" si="0"/>
        <v>230</v>
      </c>
      <c r="B231" s="42" t="s">
        <v>8</v>
      </c>
      <c r="C231" s="42" t="s">
        <v>587</v>
      </c>
      <c r="D231" s="42" t="s">
        <v>604</v>
      </c>
      <c r="E231" s="42"/>
      <c r="F231" s="42" t="s">
        <v>1368</v>
      </c>
      <c r="G231" s="42"/>
      <c r="H231" s="42"/>
      <c r="I231" s="58"/>
      <c r="J231" s="58"/>
      <c r="K231" s="42"/>
      <c r="L231" s="58"/>
      <c r="M231" s="58"/>
      <c r="N231" s="58"/>
      <c r="O231" s="58"/>
      <c r="P231" s="58"/>
      <c r="Q231" s="58"/>
      <c r="R231" s="58"/>
      <c r="S231" s="45"/>
      <c r="T231" s="45"/>
      <c r="U231" s="45"/>
      <c r="V231" s="45"/>
      <c r="W231" s="45"/>
      <c r="X231" s="45"/>
      <c r="Y231" s="45"/>
      <c r="Z231" s="45"/>
      <c r="AA231" s="45"/>
      <c r="AB231" s="45"/>
      <c r="AC231" s="45"/>
    </row>
    <row r="232" spans="1:29" ht="26.25">
      <c r="A232" s="42">
        <f t="shared" si="0"/>
        <v>231</v>
      </c>
      <c r="B232" s="42" t="s">
        <v>8</v>
      </c>
      <c r="C232" s="42" t="s">
        <v>587</v>
      </c>
      <c r="D232" s="42" t="s">
        <v>605</v>
      </c>
      <c r="E232" s="42"/>
      <c r="F232" s="42" t="s">
        <v>1369</v>
      </c>
      <c r="G232" s="42"/>
      <c r="H232" s="42"/>
      <c r="I232" s="58"/>
      <c r="J232" s="58"/>
      <c r="K232" s="42"/>
      <c r="L232" s="58"/>
      <c r="M232" s="58"/>
      <c r="N232" s="58"/>
      <c r="O232" s="58"/>
      <c r="P232" s="58"/>
      <c r="Q232" s="58"/>
      <c r="R232" s="58"/>
      <c r="S232" s="45"/>
      <c r="T232" s="45"/>
      <c r="U232" s="45"/>
      <c r="V232" s="45"/>
      <c r="W232" s="45"/>
      <c r="X232" s="45"/>
      <c r="Y232" s="45"/>
      <c r="Z232" s="45"/>
      <c r="AA232" s="45"/>
      <c r="AB232" s="45"/>
      <c r="AC232" s="45"/>
    </row>
    <row r="233" spans="1:29" ht="26.25">
      <c r="A233" s="42">
        <f t="shared" si="0"/>
        <v>232</v>
      </c>
      <c r="B233" s="42" t="s">
        <v>8</v>
      </c>
      <c r="C233" s="42" t="s">
        <v>587</v>
      </c>
      <c r="D233" s="42" t="s">
        <v>606</v>
      </c>
      <c r="E233" s="42"/>
      <c r="F233" s="42" t="s">
        <v>1370</v>
      </c>
      <c r="G233" s="42"/>
      <c r="H233" s="42"/>
      <c r="I233" s="58"/>
      <c r="J233" s="58"/>
      <c r="K233" s="42"/>
      <c r="L233" s="58"/>
      <c r="M233" s="58"/>
      <c r="N233" s="58"/>
      <c r="O233" s="58"/>
      <c r="P233" s="58"/>
      <c r="Q233" s="58"/>
      <c r="R233" s="58"/>
      <c r="S233" s="45"/>
      <c r="T233" s="45"/>
      <c r="U233" s="45"/>
      <c r="V233" s="45"/>
      <c r="W233" s="45"/>
      <c r="X233" s="45"/>
      <c r="Y233" s="45"/>
      <c r="Z233" s="45"/>
      <c r="AA233" s="45"/>
      <c r="AB233" s="45"/>
      <c r="AC233" s="45"/>
    </row>
    <row r="234" spans="1:29" ht="26.25">
      <c r="A234" s="42">
        <f t="shared" si="0"/>
        <v>233</v>
      </c>
      <c r="B234" s="42" t="s">
        <v>8</v>
      </c>
      <c r="C234" s="42" t="s">
        <v>587</v>
      </c>
      <c r="D234" s="42" t="s">
        <v>1371</v>
      </c>
      <c r="E234" s="42"/>
      <c r="F234" s="42" t="s">
        <v>1372</v>
      </c>
      <c r="G234" s="42"/>
      <c r="H234" s="42"/>
      <c r="I234" s="58"/>
      <c r="J234" s="58"/>
      <c r="K234" s="42"/>
      <c r="L234" s="58"/>
      <c r="M234" s="58"/>
      <c r="N234" s="58"/>
      <c r="O234" s="58"/>
      <c r="P234" s="58"/>
      <c r="Q234" s="58"/>
      <c r="R234" s="58"/>
      <c r="S234" s="45"/>
      <c r="T234" s="45"/>
      <c r="U234" s="45"/>
      <c r="V234" s="45"/>
      <c r="W234" s="45"/>
      <c r="X234" s="45"/>
      <c r="Y234" s="45"/>
      <c r="Z234" s="45"/>
      <c r="AA234" s="45"/>
      <c r="AB234" s="45"/>
      <c r="AC234" s="45"/>
    </row>
    <row r="235" spans="1:29" ht="26.25">
      <c r="A235" s="42">
        <f t="shared" si="0"/>
        <v>234</v>
      </c>
      <c r="B235" s="42" t="s">
        <v>8</v>
      </c>
      <c r="C235" s="42" t="s">
        <v>587</v>
      </c>
      <c r="D235" s="42" t="s">
        <v>1373</v>
      </c>
      <c r="E235" s="42"/>
      <c r="F235" s="42" t="s">
        <v>1374</v>
      </c>
      <c r="G235" s="42"/>
      <c r="H235" s="42"/>
      <c r="I235" s="58"/>
      <c r="J235" s="58"/>
      <c r="K235" s="42"/>
      <c r="L235" s="58"/>
      <c r="M235" s="58"/>
      <c r="N235" s="58"/>
      <c r="O235" s="58"/>
      <c r="P235" s="58"/>
      <c r="Q235" s="58"/>
      <c r="R235" s="58"/>
      <c r="S235" s="45"/>
      <c r="T235" s="45"/>
      <c r="U235" s="45"/>
      <c r="V235" s="45"/>
      <c r="W235" s="45"/>
      <c r="X235" s="45"/>
      <c r="Y235" s="45"/>
      <c r="Z235" s="45"/>
      <c r="AA235" s="45"/>
      <c r="AB235" s="45"/>
      <c r="AC235" s="45"/>
    </row>
    <row r="236" spans="1:29" ht="39.4">
      <c r="A236" s="42">
        <f t="shared" si="0"/>
        <v>235</v>
      </c>
      <c r="B236" s="42" t="s">
        <v>8</v>
      </c>
      <c r="C236" s="42" t="s">
        <v>587</v>
      </c>
      <c r="D236" s="42" t="s">
        <v>1375</v>
      </c>
      <c r="E236" s="42"/>
      <c r="F236" s="42" t="s">
        <v>1376</v>
      </c>
      <c r="G236" s="42"/>
      <c r="H236" s="42"/>
      <c r="I236" s="58"/>
      <c r="J236" s="58"/>
      <c r="K236" s="42"/>
      <c r="L236" s="58"/>
      <c r="M236" s="58"/>
      <c r="N236" s="58"/>
      <c r="O236" s="58"/>
      <c r="P236" s="58"/>
      <c r="Q236" s="58"/>
      <c r="R236" s="58"/>
      <c r="S236" s="45"/>
      <c r="T236" s="45"/>
      <c r="U236" s="45"/>
      <c r="V236" s="45"/>
      <c r="W236" s="45"/>
      <c r="X236" s="45"/>
      <c r="Y236" s="45"/>
      <c r="Z236" s="45"/>
      <c r="AA236" s="45"/>
      <c r="AB236" s="45"/>
      <c r="AC236" s="45"/>
    </row>
    <row r="237" spans="1:29" ht="39.4">
      <c r="A237" s="42">
        <f t="shared" si="0"/>
        <v>236</v>
      </c>
      <c r="B237" s="42" t="s">
        <v>8</v>
      </c>
      <c r="C237" s="42" t="s">
        <v>587</v>
      </c>
      <c r="D237" s="42" t="s">
        <v>611</v>
      </c>
      <c r="E237" s="42"/>
      <c r="F237" s="42" t="s">
        <v>1377</v>
      </c>
      <c r="G237" s="42"/>
      <c r="H237" s="42"/>
      <c r="I237" s="58"/>
      <c r="J237" s="58"/>
      <c r="K237" s="42"/>
      <c r="L237" s="58"/>
      <c r="M237" s="58"/>
      <c r="N237" s="58"/>
      <c r="O237" s="58"/>
      <c r="P237" s="58"/>
      <c r="Q237" s="58"/>
      <c r="R237" s="58"/>
      <c r="S237" s="45"/>
      <c r="T237" s="45"/>
      <c r="U237" s="45"/>
      <c r="V237" s="45"/>
      <c r="W237" s="45"/>
      <c r="X237" s="45"/>
      <c r="Y237" s="45"/>
      <c r="Z237" s="45"/>
      <c r="AA237" s="45"/>
      <c r="AB237" s="45"/>
      <c r="AC237" s="45"/>
    </row>
    <row r="238" spans="1:29" ht="26.25">
      <c r="A238" s="42">
        <f t="shared" si="0"/>
        <v>237</v>
      </c>
      <c r="B238" s="42" t="s">
        <v>8</v>
      </c>
      <c r="C238" s="42" t="s">
        <v>587</v>
      </c>
      <c r="D238" s="42" t="s">
        <v>612</v>
      </c>
      <c r="E238" s="42"/>
      <c r="F238" s="42" t="s">
        <v>1378</v>
      </c>
      <c r="G238" s="42"/>
      <c r="H238" s="42"/>
      <c r="I238" s="58"/>
      <c r="J238" s="58"/>
      <c r="K238" s="42"/>
      <c r="L238" s="58"/>
      <c r="M238" s="58"/>
      <c r="N238" s="58"/>
      <c r="O238" s="58"/>
      <c r="P238" s="58"/>
      <c r="Q238" s="58"/>
      <c r="R238" s="58"/>
      <c r="S238" s="45"/>
      <c r="T238" s="45"/>
      <c r="U238" s="45"/>
      <c r="V238" s="45"/>
      <c r="W238" s="45"/>
      <c r="X238" s="45"/>
      <c r="Y238" s="45"/>
      <c r="Z238" s="45"/>
      <c r="AA238" s="45"/>
      <c r="AB238" s="45"/>
      <c r="AC238" s="45"/>
    </row>
    <row r="239" spans="1:29" ht="39.4">
      <c r="A239" s="42">
        <f t="shared" si="0"/>
        <v>238</v>
      </c>
      <c r="B239" s="42" t="s">
        <v>8</v>
      </c>
      <c r="C239" s="42" t="s">
        <v>587</v>
      </c>
      <c r="D239" s="42" t="s">
        <v>613</v>
      </c>
      <c r="E239" s="42"/>
      <c r="F239" s="42" t="s">
        <v>1379</v>
      </c>
      <c r="G239" s="42"/>
      <c r="H239" s="42"/>
      <c r="I239" s="58"/>
      <c r="J239" s="58"/>
      <c r="K239" s="42"/>
      <c r="L239" s="58"/>
      <c r="M239" s="58"/>
      <c r="N239" s="58"/>
      <c r="O239" s="58"/>
      <c r="P239" s="58"/>
      <c r="Q239" s="58"/>
      <c r="R239" s="58"/>
      <c r="S239" s="45"/>
      <c r="T239" s="45"/>
      <c r="U239" s="45"/>
      <c r="V239" s="45"/>
      <c r="W239" s="45"/>
      <c r="X239" s="45"/>
      <c r="Y239" s="45"/>
      <c r="Z239" s="45"/>
      <c r="AA239" s="45"/>
      <c r="AB239" s="45"/>
      <c r="AC239" s="45"/>
    </row>
    <row r="240" spans="1:29" ht="26.25">
      <c r="A240" s="42">
        <f t="shared" si="0"/>
        <v>239</v>
      </c>
      <c r="B240" s="42" t="s">
        <v>8</v>
      </c>
      <c r="C240" s="42" t="s">
        <v>587</v>
      </c>
      <c r="D240" s="42" t="s">
        <v>1380</v>
      </c>
      <c r="E240" s="42"/>
      <c r="F240" s="42" t="s">
        <v>1381</v>
      </c>
      <c r="G240" s="42"/>
      <c r="H240" s="42"/>
      <c r="I240" s="58"/>
      <c r="J240" s="58"/>
      <c r="K240" s="42"/>
      <c r="L240" s="58"/>
      <c r="M240" s="58"/>
      <c r="N240" s="58"/>
      <c r="O240" s="58"/>
      <c r="P240" s="58"/>
      <c r="Q240" s="58"/>
      <c r="R240" s="58"/>
      <c r="S240" s="45"/>
      <c r="T240" s="45"/>
      <c r="U240" s="45"/>
      <c r="V240" s="45"/>
      <c r="W240" s="45"/>
      <c r="X240" s="45"/>
      <c r="Y240" s="45"/>
      <c r="Z240" s="45"/>
      <c r="AA240" s="45"/>
      <c r="AB240" s="45"/>
      <c r="AC240" s="45"/>
    </row>
    <row r="241" spans="1:29" ht="26.25">
      <c r="A241" s="42">
        <f t="shared" si="0"/>
        <v>240</v>
      </c>
      <c r="B241" s="42" t="s">
        <v>8</v>
      </c>
      <c r="C241" s="42" t="s">
        <v>587</v>
      </c>
      <c r="D241" s="42" t="s">
        <v>618</v>
      </c>
      <c r="E241" s="42"/>
      <c r="F241" s="42" t="s">
        <v>1382</v>
      </c>
      <c r="G241" s="42"/>
      <c r="H241" s="42"/>
      <c r="I241" s="58"/>
      <c r="J241" s="58"/>
      <c r="K241" s="42"/>
      <c r="L241" s="58"/>
      <c r="M241" s="58"/>
      <c r="N241" s="58"/>
      <c r="O241" s="58"/>
      <c r="P241" s="58"/>
      <c r="Q241" s="58"/>
      <c r="R241" s="58"/>
      <c r="S241" s="45"/>
      <c r="T241" s="45"/>
      <c r="U241" s="45"/>
      <c r="V241" s="45"/>
      <c r="W241" s="45"/>
      <c r="X241" s="45"/>
      <c r="Y241" s="45"/>
      <c r="Z241" s="45"/>
      <c r="AA241" s="45"/>
      <c r="AB241" s="45"/>
      <c r="AC241" s="45"/>
    </row>
    <row r="242" spans="1:29" ht="26.25">
      <c r="A242" s="42">
        <f t="shared" si="0"/>
        <v>241</v>
      </c>
      <c r="B242" s="42" t="s">
        <v>8</v>
      </c>
      <c r="C242" s="42" t="s">
        <v>587</v>
      </c>
      <c r="D242" s="42" t="s">
        <v>621</v>
      </c>
      <c r="E242" s="42"/>
      <c r="F242" s="42" t="s">
        <v>1383</v>
      </c>
      <c r="G242" s="42"/>
      <c r="H242" s="42"/>
      <c r="I242" s="58"/>
      <c r="J242" s="58"/>
      <c r="K242" s="42"/>
      <c r="L242" s="58"/>
      <c r="M242" s="58"/>
      <c r="N242" s="58"/>
      <c r="O242" s="58"/>
      <c r="P242" s="58"/>
      <c r="Q242" s="58"/>
      <c r="R242" s="58"/>
      <c r="S242" s="45"/>
      <c r="T242" s="45"/>
      <c r="U242" s="45"/>
      <c r="V242" s="45"/>
      <c r="W242" s="45"/>
      <c r="X242" s="45"/>
      <c r="Y242" s="45"/>
      <c r="Z242" s="45"/>
      <c r="AA242" s="45"/>
      <c r="AB242" s="45"/>
      <c r="AC242" s="45"/>
    </row>
    <row r="243" spans="1:29" ht="52.5">
      <c r="A243" s="42">
        <f t="shared" si="0"/>
        <v>242</v>
      </c>
      <c r="B243" s="42" t="s">
        <v>8</v>
      </c>
      <c r="C243" s="42" t="s">
        <v>587</v>
      </c>
      <c r="D243" s="42" t="s">
        <v>623</v>
      </c>
      <c r="E243" s="42"/>
      <c r="F243" s="42" t="s">
        <v>1384</v>
      </c>
      <c r="G243" s="42"/>
      <c r="H243" s="42"/>
      <c r="I243" s="58"/>
      <c r="J243" s="58"/>
      <c r="K243" s="42"/>
      <c r="L243" s="58"/>
      <c r="M243" s="58"/>
      <c r="N243" s="58"/>
      <c r="O243" s="58"/>
      <c r="P243" s="58"/>
      <c r="Q243" s="58"/>
      <c r="R243" s="58"/>
      <c r="S243" s="45"/>
      <c r="T243" s="45"/>
      <c r="U243" s="45"/>
      <c r="V243" s="45"/>
      <c r="W243" s="45"/>
      <c r="X243" s="45"/>
      <c r="Y243" s="45"/>
      <c r="Z243" s="45"/>
      <c r="AA243" s="45"/>
      <c r="AB243" s="45"/>
      <c r="AC243" s="45"/>
    </row>
    <row r="244" spans="1:29" ht="26.25">
      <c r="A244" s="42">
        <f t="shared" si="0"/>
        <v>243</v>
      </c>
      <c r="B244" s="42" t="s">
        <v>8</v>
      </c>
      <c r="C244" s="42" t="s">
        <v>587</v>
      </c>
      <c r="D244" s="42" t="s">
        <v>587</v>
      </c>
      <c r="E244" s="42"/>
      <c r="F244" s="42" t="s">
        <v>1385</v>
      </c>
      <c r="G244" s="42"/>
      <c r="H244" s="42"/>
      <c r="I244" s="58"/>
      <c r="J244" s="58"/>
      <c r="K244" s="42"/>
      <c r="L244" s="58"/>
      <c r="M244" s="58"/>
      <c r="N244" s="58"/>
      <c r="O244" s="58"/>
      <c r="P244" s="58"/>
      <c r="Q244" s="58"/>
      <c r="R244" s="58"/>
      <c r="S244" s="45"/>
      <c r="T244" s="45"/>
      <c r="U244" s="45"/>
      <c r="V244" s="45"/>
      <c r="W244" s="45"/>
      <c r="X244" s="45"/>
      <c r="Y244" s="45"/>
      <c r="Z244" s="45"/>
      <c r="AA244" s="45"/>
      <c r="AB244" s="45"/>
      <c r="AC244" s="45"/>
    </row>
    <row r="245" spans="1:29" ht="26.25">
      <c r="A245" s="42">
        <f t="shared" si="0"/>
        <v>244</v>
      </c>
      <c r="B245" s="42" t="s">
        <v>8</v>
      </c>
      <c r="C245" s="42" t="s">
        <v>587</v>
      </c>
      <c r="D245" s="42" t="s">
        <v>1386</v>
      </c>
      <c r="E245" s="42"/>
      <c r="F245" s="42" t="s">
        <v>1387</v>
      </c>
      <c r="G245" s="42"/>
      <c r="H245" s="42"/>
      <c r="I245" s="58"/>
      <c r="J245" s="58"/>
      <c r="K245" s="42"/>
      <c r="L245" s="58"/>
      <c r="M245" s="58"/>
      <c r="N245" s="58"/>
      <c r="O245" s="58"/>
      <c r="P245" s="58"/>
      <c r="Q245" s="58"/>
      <c r="R245" s="58"/>
      <c r="S245" s="45"/>
      <c r="T245" s="45"/>
      <c r="U245" s="45"/>
      <c r="V245" s="45"/>
      <c r="W245" s="45"/>
      <c r="X245" s="45"/>
      <c r="Y245" s="45"/>
      <c r="Z245" s="45"/>
      <c r="AA245" s="45"/>
      <c r="AB245" s="45"/>
      <c r="AC245" s="45"/>
    </row>
    <row r="246" spans="1:29" ht="39.4">
      <c r="A246" s="42">
        <f t="shared" si="0"/>
        <v>245</v>
      </c>
      <c r="B246" s="42" t="s">
        <v>8</v>
      </c>
      <c r="C246" s="42" t="s">
        <v>587</v>
      </c>
      <c r="D246" s="42" t="s">
        <v>1388</v>
      </c>
      <c r="E246" s="42"/>
      <c r="F246" s="42" t="s">
        <v>1389</v>
      </c>
      <c r="G246" s="42"/>
      <c r="H246" s="42"/>
      <c r="I246" s="58"/>
      <c r="J246" s="58"/>
      <c r="K246" s="42"/>
      <c r="L246" s="58"/>
      <c r="M246" s="58"/>
      <c r="N246" s="58"/>
      <c r="O246" s="58"/>
      <c r="P246" s="58"/>
      <c r="Q246" s="58"/>
      <c r="R246" s="58"/>
      <c r="S246" s="45"/>
      <c r="T246" s="45"/>
      <c r="U246" s="45"/>
      <c r="V246" s="45"/>
      <c r="W246" s="45"/>
      <c r="X246" s="45"/>
      <c r="Y246" s="45"/>
      <c r="Z246" s="45"/>
      <c r="AA246" s="45"/>
      <c r="AB246" s="45"/>
      <c r="AC246" s="45"/>
    </row>
    <row r="247" spans="1:29" ht="26.25">
      <c r="A247" s="42">
        <f t="shared" si="0"/>
        <v>246</v>
      </c>
      <c r="B247" s="42" t="s">
        <v>8</v>
      </c>
      <c r="C247" s="42" t="s">
        <v>587</v>
      </c>
      <c r="D247" s="42" t="s">
        <v>1390</v>
      </c>
      <c r="E247" s="42"/>
      <c r="F247" s="42" t="s">
        <v>1391</v>
      </c>
      <c r="G247" s="42"/>
      <c r="H247" s="42"/>
      <c r="I247" s="58"/>
      <c r="J247" s="58"/>
      <c r="K247" s="42"/>
      <c r="L247" s="58"/>
      <c r="M247" s="58"/>
      <c r="N247" s="58"/>
      <c r="O247" s="58"/>
      <c r="P247" s="58"/>
      <c r="Q247" s="58"/>
      <c r="R247" s="58"/>
      <c r="S247" s="45"/>
      <c r="T247" s="45"/>
      <c r="U247" s="45"/>
      <c r="V247" s="45"/>
      <c r="W247" s="45"/>
      <c r="X247" s="45"/>
      <c r="Y247" s="45"/>
      <c r="Z247" s="45"/>
      <c r="AA247" s="45"/>
      <c r="AB247" s="45"/>
      <c r="AC247" s="45"/>
    </row>
    <row r="248" spans="1:29" ht="26.25">
      <c r="A248" s="42">
        <f t="shared" si="0"/>
        <v>247</v>
      </c>
      <c r="B248" s="42" t="s">
        <v>8</v>
      </c>
      <c r="C248" s="42" t="s">
        <v>587</v>
      </c>
      <c r="D248" s="42" t="s">
        <v>1392</v>
      </c>
      <c r="E248" s="42"/>
      <c r="F248" s="42" t="s">
        <v>1393</v>
      </c>
      <c r="G248" s="42"/>
      <c r="H248" s="42"/>
      <c r="I248" s="58"/>
      <c r="J248" s="58"/>
      <c r="K248" s="42"/>
      <c r="L248" s="58"/>
      <c r="M248" s="58"/>
      <c r="N248" s="58"/>
      <c r="O248" s="58"/>
      <c r="P248" s="58"/>
      <c r="Q248" s="58"/>
      <c r="R248" s="58"/>
      <c r="S248" s="45"/>
      <c r="T248" s="45"/>
      <c r="U248" s="45"/>
      <c r="V248" s="45"/>
      <c r="W248" s="45"/>
      <c r="X248" s="45"/>
      <c r="Y248" s="45"/>
      <c r="Z248" s="45"/>
      <c r="AA248" s="45"/>
      <c r="AB248" s="45"/>
      <c r="AC248" s="45"/>
    </row>
    <row r="249" spans="1:29" ht="39.4">
      <c r="A249" s="42">
        <f t="shared" si="0"/>
        <v>248</v>
      </c>
      <c r="B249" s="42" t="s">
        <v>8</v>
      </c>
      <c r="C249" s="42" t="s">
        <v>633</v>
      </c>
      <c r="D249" s="42" t="s">
        <v>635</v>
      </c>
      <c r="E249" s="42"/>
      <c r="F249" s="42" t="s">
        <v>1394</v>
      </c>
      <c r="G249" s="42"/>
      <c r="H249" s="42"/>
      <c r="I249" s="58"/>
      <c r="J249" s="58"/>
      <c r="K249" s="42"/>
      <c r="L249" s="58"/>
      <c r="M249" s="58"/>
      <c r="N249" s="58"/>
      <c r="O249" s="58"/>
      <c r="P249" s="58"/>
      <c r="Q249" s="58"/>
      <c r="R249" s="58"/>
      <c r="S249" s="45"/>
      <c r="T249" s="45"/>
      <c r="U249" s="45"/>
      <c r="V249" s="45"/>
      <c r="W249" s="45"/>
      <c r="X249" s="45"/>
      <c r="Y249" s="45"/>
      <c r="Z249" s="45"/>
      <c r="AA249" s="45"/>
      <c r="AB249" s="45"/>
      <c r="AC249" s="45"/>
    </row>
    <row r="250" spans="1:29" ht="26.25">
      <c r="A250" s="42">
        <f t="shared" si="0"/>
        <v>249</v>
      </c>
      <c r="B250" s="42" t="s">
        <v>8</v>
      </c>
      <c r="C250" s="42" t="s">
        <v>633</v>
      </c>
      <c r="D250" s="42" t="s">
        <v>920</v>
      </c>
      <c r="E250" s="42"/>
      <c r="F250" s="42" t="s">
        <v>1395</v>
      </c>
      <c r="G250" s="42"/>
      <c r="H250" s="42"/>
      <c r="I250" s="58"/>
      <c r="J250" s="58"/>
      <c r="K250" s="42"/>
      <c r="L250" s="58"/>
      <c r="M250" s="58"/>
      <c r="N250" s="58"/>
      <c r="O250" s="58"/>
      <c r="P250" s="58"/>
      <c r="Q250" s="58"/>
      <c r="R250" s="58"/>
      <c r="S250" s="45"/>
      <c r="T250" s="45"/>
      <c r="U250" s="45"/>
      <c r="V250" s="45"/>
      <c r="W250" s="45"/>
      <c r="X250" s="45"/>
      <c r="Y250" s="45"/>
      <c r="Z250" s="45"/>
      <c r="AA250" s="45"/>
      <c r="AB250" s="45"/>
      <c r="AC250" s="45"/>
    </row>
    <row r="251" spans="1:29" ht="26.25">
      <c r="A251" s="42">
        <f t="shared" si="0"/>
        <v>250</v>
      </c>
      <c r="B251" s="42" t="s">
        <v>8</v>
      </c>
      <c r="C251" s="42" t="s">
        <v>633</v>
      </c>
      <c r="D251" s="42" t="s">
        <v>1396</v>
      </c>
      <c r="E251" s="42"/>
      <c r="F251" s="42" t="s">
        <v>1397</v>
      </c>
      <c r="G251" s="42"/>
      <c r="H251" s="42"/>
      <c r="I251" s="58"/>
      <c r="J251" s="58"/>
      <c r="K251" s="42"/>
      <c r="L251" s="58"/>
      <c r="M251" s="58"/>
      <c r="N251" s="58"/>
      <c r="O251" s="58"/>
      <c r="P251" s="58"/>
      <c r="Q251" s="58"/>
      <c r="R251" s="58"/>
      <c r="S251" s="45"/>
      <c r="T251" s="45"/>
      <c r="U251" s="45"/>
      <c r="V251" s="45"/>
      <c r="W251" s="45"/>
      <c r="X251" s="45"/>
      <c r="Y251" s="45"/>
      <c r="Z251" s="45"/>
      <c r="AA251" s="45"/>
      <c r="AB251" s="45"/>
      <c r="AC251" s="45"/>
    </row>
    <row r="252" spans="1:29" ht="26.25">
      <c r="A252" s="42">
        <f t="shared" si="0"/>
        <v>251</v>
      </c>
      <c r="B252" s="42" t="s">
        <v>8</v>
      </c>
      <c r="C252" s="42" t="s">
        <v>633</v>
      </c>
      <c r="D252" s="42" t="s">
        <v>640</v>
      </c>
      <c r="E252" s="42"/>
      <c r="F252" s="42" t="s">
        <v>1398</v>
      </c>
      <c r="G252" s="42"/>
      <c r="H252" s="42"/>
      <c r="I252" s="58"/>
      <c r="J252" s="58"/>
      <c r="K252" s="42"/>
      <c r="L252" s="58"/>
      <c r="M252" s="58"/>
      <c r="N252" s="58"/>
      <c r="O252" s="58"/>
      <c r="P252" s="58"/>
      <c r="Q252" s="58"/>
      <c r="R252" s="58"/>
      <c r="S252" s="45"/>
      <c r="T252" s="45"/>
      <c r="U252" s="45"/>
      <c r="V252" s="45"/>
      <c r="W252" s="45"/>
      <c r="X252" s="45"/>
      <c r="Y252" s="45"/>
      <c r="Z252" s="45"/>
      <c r="AA252" s="45"/>
      <c r="AB252" s="45"/>
      <c r="AC252" s="45"/>
    </row>
    <row r="253" spans="1:29" ht="39.4">
      <c r="A253" s="42">
        <f t="shared" si="0"/>
        <v>252</v>
      </c>
      <c r="B253" s="42" t="s">
        <v>8</v>
      </c>
      <c r="C253" s="42" t="s">
        <v>633</v>
      </c>
      <c r="D253" s="42" t="s">
        <v>643</v>
      </c>
      <c r="E253" s="42"/>
      <c r="F253" s="42" t="s">
        <v>1399</v>
      </c>
      <c r="G253" s="42"/>
      <c r="H253" s="42"/>
      <c r="I253" s="58"/>
      <c r="J253" s="58"/>
      <c r="K253" s="42"/>
      <c r="L253" s="58"/>
      <c r="M253" s="58"/>
      <c r="N253" s="58"/>
      <c r="O253" s="58"/>
      <c r="P253" s="58"/>
      <c r="Q253" s="58"/>
      <c r="R253" s="58"/>
      <c r="S253" s="45"/>
      <c r="T253" s="45"/>
      <c r="U253" s="45"/>
      <c r="V253" s="45"/>
      <c r="W253" s="45"/>
      <c r="X253" s="45"/>
      <c r="Y253" s="45"/>
      <c r="Z253" s="45"/>
      <c r="AA253" s="45"/>
      <c r="AB253" s="45"/>
      <c r="AC253" s="45"/>
    </row>
    <row r="254" spans="1:29" ht="26.25">
      <c r="A254" s="42">
        <f t="shared" si="0"/>
        <v>253</v>
      </c>
      <c r="B254" s="42" t="s">
        <v>8</v>
      </c>
      <c r="C254" s="42" t="s">
        <v>633</v>
      </c>
      <c r="D254" s="42" t="s">
        <v>1400</v>
      </c>
      <c r="E254" s="42"/>
      <c r="F254" s="42" t="s">
        <v>1401</v>
      </c>
      <c r="G254" s="42"/>
      <c r="H254" s="42"/>
      <c r="I254" s="58"/>
      <c r="J254" s="58"/>
      <c r="K254" s="42"/>
      <c r="L254" s="58"/>
      <c r="M254" s="58"/>
      <c r="N254" s="58"/>
      <c r="O254" s="58"/>
      <c r="P254" s="58"/>
      <c r="Q254" s="58"/>
      <c r="R254" s="58"/>
      <c r="S254" s="45"/>
      <c r="T254" s="45"/>
      <c r="U254" s="45"/>
      <c r="V254" s="45"/>
      <c r="W254" s="45"/>
      <c r="X254" s="45"/>
      <c r="Y254" s="45"/>
      <c r="Z254" s="45"/>
      <c r="AA254" s="45"/>
      <c r="AB254" s="45"/>
      <c r="AC254" s="45"/>
    </row>
    <row r="255" spans="1:29" ht="26.25">
      <c r="A255" s="42">
        <f t="shared" si="0"/>
        <v>254</v>
      </c>
      <c r="B255" s="42" t="s">
        <v>8</v>
      </c>
      <c r="C255" s="42" t="s">
        <v>633</v>
      </c>
      <c r="D255" s="42" t="s">
        <v>647</v>
      </c>
      <c r="E255" s="42"/>
      <c r="F255" s="42" t="s">
        <v>1402</v>
      </c>
      <c r="G255" s="42"/>
      <c r="H255" s="42"/>
      <c r="I255" s="58"/>
      <c r="J255" s="58"/>
      <c r="K255" s="42"/>
      <c r="L255" s="58"/>
      <c r="M255" s="58"/>
      <c r="N255" s="58"/>
      <c r="O255" s="58"/>
      <c r="P255" s="58"/>
      <c r="Q255" s="58"/>
      <c r="R255" s="58"/>
      <c r="S255" s="45"/>
      <c r="T255" s="45"/>
      <c r="U255" s="45"/>
      <c r="V255" s="45"/>
      <c r="W255" s="45"/>
      <c r="X255" s="45"/>
      <c r="Y255" s="45"/>
      <c r="Z255" s="45"/>
      <c r="AA255" s="45"/>
      <c r="AB255" s="45"/>
      <c r="AC255" s="45"/>
    </row>
    <row r="256" spans="1:29" ht="26.25">
      <c r="A256" s="42">
        <f t="shared" si="0"/>
        <v>255</v>
      </c>
      <c r="B256" s="42" t="s">
        <v>8</v>
      </c>
      <c r="C256" s="42" t="s">
        <v>633</v>
      </c>
      <c r="D256" s="42" t="s">
        <v>649</v>
      </c>
      <c r="E256" s="42"/>
      <c r="F256" s="42" t="s">
        <v>1403</v>
      </c>
      <c r="G256" s="42"/>
      <c r="H256" s="42"/>
      <c r="I256" s="58"/>
      <c r="J256" s="58"/>
      <c r="K256" s="42"/>
      <c r="L256" s="58"/>
      <c r="M256" s="58"/>
      <c r="N256" s="58"/>
      <c r="O256" s="58"/>
      <c r="P256" s="58"/>
      <c r="Q256" s="58"/>
      <c r="R256" s="58"/>
      <c r="S256" s="45"/>
      <c r="T256" s="45"/>
      <c r="U256" s="45"/>
      <c r="V256" s="45"/>
      <c r="W256" s="45"/>
      <c r="X256" s="45"/>
      <c r="Y256" s="45"/>
      <c r="Z256" s="45"/>
      <c r="AA256" s="45"/>
      <c r="AB256" s="45"/>
      <c r="AC256" s="45"/>
    </row>
    <row r="257" spans="1:29" ht="26.25">
      <c r="A257" s="42">
        <f t="shared" ref="A257:A327" si="1">ROW(A256)</f>
        <v>256</v>
      </c>
      <c r="B257" s="42" t="s">
        <v>8</v>
      </c>
      <c r="C257" s="42" t="s">
        <v>633</v>
      </c>
      <c r="D257" s="42" t="s">
        <v>1404</v>
      </c>
      <c r="E257" s="42"/>
      <c r="F257" s="42" t="s">
        <v>1405</v>
      </c>
      <c r="G257" s="42"/>
      <c r="H257" s="42"/>
      <c r="I257" s="58"/>
      <c r="J257" s="58"/>
      <c r="K257" s="42"/>
      <c r="L257" s="58"/>
      <c r="M257" s="58"/>
      <c r="N257" s="58"/>
      <c r="O257" s="58"/>
      <c r="P257" s="58"/>
      <c r="Q257" s="58"/>
      <c r="R257" s="58"/>
      <c r="S257" s="45"/>
      <c r="T257" s="45"/>
      <c r="U257" s="45"/>
      <c r="V257" s="45"/>
      <c r="W257" s="45"/>
      <c r="X257" s="45"/>
      <c r="Y257" s="45"/>
      <c r="Z257" s="45"/>
      <c r="AA257" s="45"/>
      <c r="AB257" s="45"/>
      <c r="AC257" s="45"/>
    </row>
    <row r="258" spans="1:29" ht="26.25">
      <c r="A258" s="42">
        <f t="shared" si="1"/>
        <v>257</v>
      </c>
      <c r="B258" s="42" t="s">
        <v>8</v>
      </c>
      <c r="C258" s="42" t="s">
        <v>633</v>
      </c>
      <c r="D258" s="42" t="s">
        <v>1406</v>
      </c>
      <c r="E258" s="42"/>
      <c r="F258" s="42" t="s">
        <v>1407</v>
      </c>
      <c r="G258" s="42"/>
      <c r="H258" s="42"/>
      <c r="I258" s="58"/>
      <c r="J258" s="58"/>
      <c r="K258" s="42"/>
      <c r="L258" s="58"/>
      <c r="M258" s="58"/>
      <c r="N258" s="58"/>
      <c r="O258" s="58"/>
      <c r="P258" s="58"/>
      <c r="Q258" s="58"/>
      <c r="R258" s="58"/>
      <c r="S258" s="45"/>
      <c r="T258" s="45"/>
      <c r="U258" s="45"/>
      <c r="V258" s="45"/>
      <c r="W258" s="45"/>
      <c r="X258" s="45"/>
      <c r="Y258" s="45"/>
      <c r="Z258" s="45"/>
      <c r="AA258" s="45"/>
      <c r="AB258" s="45"/>
      <c r="AC258" s="45"/>
    </row>
    <row r="259" spans="1:29" ht="26.25">
      <c r="A259" s="42">
        <f t="shared" si="1"/>
        <v>258</v>
      </c>
      <c r="B259" s="42" t="s">
        <v>8</v>
      </c>
      <c r="C259" s="42" t="s">
        <v>633</v>
      </c>
      <c r="D259" s="42" t="s">
        <v>633</v>
      </c>
      <c r="E259" s="42"/>
      <c r="F259" s="42" t="s">
        <v>1408</v>
      </c>
      <c r="G259" s="42"/>
      <c r="H259" s="42"/>
      <c r="I259" s="58"/>
      <c r="J259" s="58"/>
      <c r="K259" s="42"/>
      <c r="L259" s="58"/>
      <c r="M259" s="58"/>
      <c r="N259" s="58"/>
      <c r="O259" s="58"/>
      <c r="P259" s="58"/>
      <c r="Q259" s="58"/>
      <c r="R259" s="58"/>
      <c r="S259" s="45"/>
      <c r="T259" s="45"/>
      <c r="U259" s="45"/>
      <c r="V259" s="45"/>
      <c r="W259" s="45"/>
      <c r="X259" s="45"/>
      <c r="Y259" s="45"/>
      <c r="Z259" s="45"/>
      <c r="AA259" s="45"/>
      <c r="AB259" s="45"/>
      <c r="AC259" s="45"/>
    </row>
    <row r="260" spans="1:29" ht="26.25">
      <c r="A260" s="42">
        <f t="shared" si="1"/>
        <v>259</v>
      </c>
      <c r="B260" s="42" t="s">
        <v>8</v>
      </c>
      <c r="C260" s="42" t="s">
        <v>633</v>
      </c>
      <c r="D260" s="42" t="s">
        <v>1409</v>
      </c>
      <c r="E260" s="42"/>
      <c r="F260" s="42" t="s">
        <v>1410</v>
      </c>
      <c r="G260" s="42"/>
      <c r="H260" s="42"/>
      <c r="I260" s="58"/>
      <c r="J260" s="58"/>
      <c r="K260" s="42"/>
      <c r="L260" s="58"/>
      <c r="M260" s="58"/>
      <c r="N260" s="58"/>
      <c r="O260" s="58"/>
      <c r="P260" s="58"/>
      <c r="Q260" s="58"/>
      <c r="R260" s="58"/>
      <c r="S260" s="45"/>
      <c r="T260" s="45"/>
      <c r="U260" s="45"/>
      <c r="V260" s="45"/>
      <c r="W260" s="45"/>
      <c r="X260" s="45"/>
      <c r="Y260" s="45"/>
      <c r="Z260" s="45"/>
      <c r="AA260" s="45"/>
      <c r="AB260" s="45"/>
      <c r="AC260" s="45"/>
    </row>
    <row r="261" spans="1:29" ht="26.25">
      <c r="A261" s="42">
        <f t="shared" si="1"/>
        <v>260</v>
      </c>
      <c r="B261" s="42" t="s">
        <v>8</v>
      </c>
      <c r="C261" s="42" t="s">
        <v>633</v>
      </c>
      <c r="D261" s="42" t="s">
        <v>1411</v>
      </c>
      <c r="E261" s="42"/>
      <c r="F261" s="42" t="s">
        <v>1412</v>
      </c>
      <c r="G261" s="42"/>
      <c r="H261" s="42"/>
      <c r="I261" s="58"/>
      <c r="J261" s="58"/>
      <c r="K261" s="42"/>
      <c r="L261" s="58"/>
      <c r="M261" s="58"/>
      <c r="N261" s="58"/>
      <c r="O261" s="58"/>
      <c r="P261" s="58"/>
      <c r="Q261" s="58"/>
      <c r="R261" s="58"/>
      <c r="S261" s="45"/>
      <c r="T261" s="45"/>
      <c r="U261" s="45"/>
      <c r="V261" s="45"/>
      <c r="W261" s="45"/>
      <c r="X261" s="45"/>
      <c r="Y261" s="45"/>
      <c r="Z261" s="45"/>
      <c r="AA261" s="45"/>
      <c r="AB261" s="45"/>
      <c r="AC261" s="45"/>
    </row>
    <row r="262" spans="1:29" ht="26.25">
      <c r="A262" s="42">
        <f t="shared" si="1"/>
        <v>261</v>
      </c>
      <c r="B262" s="42" t="s">
        <v>8</v>
      </c>
      <c r="C262" s="42" t="s">
        <v>633</v>
      </c>
      <c r="D262" s="42" t="s">
        <v>333</v>
      </c>
      <c r="E262" s="42"/>
      <c r="F262" s="42" t="s">
        <v>1413</v>
      </c>
      <c r="G262" s="42"/>
      <c r="H262" s="42"/>
      <c r="I262" s="58"/>
      <c r="J262" s="58"/>
      <c r="K262" s="42"/>
      <c r="L262" s="58"/>
      <c r="M262" s="58"/>
      <c r="N262" s="58"/>
      <c r="O262" s="58"/>
      <c r="P262" s="58"/>
      <c r="Q262" s="58"/>
      <c r="R262" s="58"/>
      <c r="S262" s="45"/>
      <c r="T262" s="45"/>
      <c r="U262" s="45"/>
      <c r="V262" s="45"/>
      <c r="W262" s="45"/>
      <c r="X262" s="45"/>
      <c r="Y262" s="45"/>
      <c r="Z262" s="45"/>
      <c r="AA262" s="45"/>
      <c r="AB262" s="45"/>
      <c r="AC262" s="45"/>
    </row>
    <row r="263" spans="1:29" ht="39.4">
      <c r="A263" s="42">
        <f t="shared" si="1"/>
        <v>262</v>
      </c>
      <c r="B263" s="42"/>
      <c r="C263" s="42" t="s">
        <v>706</v>
      </c>
      <c r="D263" s="42" t="s">
        <v>1414</v>
      </c>
      <c r="E263" s="42"/>
      <c r="F263" s="42" t="s">
        <v>1415</v>
      </c>
      <c r="G263" s="42"/>
      <c r="H263" s="42"/>
      <c r="I263" s="58"/>
      <c r="J263" s="58"/>
      <c r="K263" s="42"/>
      <c r="L263" s="58"/>
      <c r="M263" s="58"/>
      <c r="N263" s="58"/>
      <c r="O263" s="58"/>
      <c r="P263" s="58"/>
      <c r="Q263" s="58"/>
      <c r="R263" s="58"/>
      <c r="S263" s="45"/>
      <c r="T263" s="45"/>
      <c r="U263" s="45"/>
      <c r="V263" s="45"/>
      <c r="W263" s="45"/>
      <c r="X263" s="45"/>
      <c r="Y263" s="45"/>
      <c r="Z263" s="45"/>
      <c r="AA263" s="45"/>
      <c r="AB263" s="45"/>
      <c r="AC263" s="45"/>
    </row>
    <row r="264" spans="1:29" ht="26.25">
      <c r="A264" s="42">
        <f t="shared" si="1"/>
        <v>263</v>
      </c>
      <c r="B264" s="42"/>
      <c r="C264" s="42" t="s">
        <v>706</v>
      </c>
      <c r="D264" s="42" t="s">
        <v>1416</v>
      </c>
      <c r="E264" s="42"/>
      <c r="F264" s="42" t="s">
        <v>1417</v>
      </c>
      <c r="G264" s="42"/>
      <c r="H264" s="42"/>
      <c r="I264" s="58"/>
      <c r="J264" s="58"/>
      <c r="K264" s="42"/>
      <c r="L264" s="58"/>
      <c r="M264" s="58"/>
      <c r="N264" s="58"/>
      <c r="O264" s="58"/>
      <c r="P264" s="58"/>
      <c r="Q264" s="58"/>
      <c r="R264" s="58"/>
      <c r="S264" s="45"/>
      <c r="T264" s="45"/>
      <c r="U264" s="45"/>
      <c r="V264" s="45"/>
      <c r="W264" s="45"/>
      <c r="X264" s="45"/>
      <c r="Y264" s="45"/>
      <c r="Z264" s="45"/>
      <c r="AA264" s="45"/>
      <c r="AB264" s="45"/>
      <c r="AC264" s="45"/>
    </row>
    <row r="265" spans="1:29" ht="65.650000000000006">
      <c r="A265" s="42">
        <f t="shared" si="1"/>
        <v>264</v>
      </c>
      <c r="B265" s="42"/>
      <c r="C265" s="42" t="s">
        <v>706</v>
      </c>
      <c r="D265" s="42" t="s">
        <v>711</v>
      </c>
      <c r="E265" s="42"/>
      <c r="F265" s="42" t="s">
        <v>1418</v>
      </c>
      <c r="G265" s="42" t="s">
        <v>5</v>
      </c>
      <c r="H265" s="42" t="s">
        <v>90</v>
      </c>
      <c r="I265" s="58" t="s">
        <v>1419</v>
      </c>
      <c r="J265" s="58" t="s">
        <v>1420</v>
      </c>
      <c r="K265" s="42" t="s">
        <v>994</v>
      </c>
      <c r="L265" s="58" t="s">
        <v>1421</v>
      </c>
      <c r="M265" s="58" t="s">
        <v>1422</v>
      </c>
      <c r="N265" s="58"/>
      <c r="O265" s="58" t="s">
        <v>1423</v>
      </c>
      <c r="P265" s="58" t="s">
        <v>1424</v>
      </c>
      <c r="Q265" s="58"/>
      <c r="R265" s="58"/>
      <c r="S265" s="45"/>
      <c r="T265" s="45"/>
      <c r="U265" s="45"/>
      <c r="V265" s="45"/>
      <c r="W265" s="45"/>
      <c r="X265" s="45"/>
      <c r="Y265" s="45"/>
      <c r="Z265" s="45"/>
      <c r="AA265" s="45"/>
      <c r="AB265" s="45"/>
      <c r="AC265" s="45"/>
    </row>
    <row r="266" spans="1:29" ht="26.25">
      <c r="A266" s="42">
        <f t="shared" si="1"/>
        <v>265</v>
      </c>
      <c r="B266" s="42"/>
      <c r="C266" s="42" t="s">
        <v>706</v>
      </c>
      <c r="D266" s="42" t="s">
        <v>1425</v>
      </c>
      <c r="E266" s="42"/>
      <c r="F266" s="42" t="s">
        <v>1426</v>
      </c>
      <c r="G266" s="42"/>
      <c r="H266" s="42"/>
      <c r="I266" s="58"/>
      <c r="J266" s="58"/>
      <c r="K266" s="42"/>
      <c r="L266" s="58"/>
      <c r="M266" s="58"/>
      <c r="N266" s="58"/>
      <c r="O266" s="58"/>
      <c r="P266" s="58"/>
      <c r="Q266" s="58"/>
      <c r="R266" s="58"/>
      <c r="S266" s="45"/>
      <c r="T266" s="45"/>
      <c r="U266" s="45"/>
      <c r="V266" s="45"/>
      <c r="W266" s="45"/>
      <c r="X266" s="45"/>
      <c r="Y266" s="45"/>
      <c r="Z266" s="45"/>
      <c r="AA266" s="45"/>
      <c r="AB266" s="45"/>
      <c r="AC266" s="45"/>
    </row>
    <row r="267" spans="1:29" ht="118.15">
      <c r="A267" s="42">
        <f t="shared" si="1"/>
        <v>266</v>
      </c>
      <c r="B267" s="42"/>
      <c r="C267" s="42" t="s">
        <v>706</v>
      </c>
      <c r="D267" s="42" t="s">
        <v>1427</v>
      </c>
      <c r="E267" s="42"/>
      <c r="F267" s="42" t="s">
        <v>1428</v>
      </c>
      <c r="G267" s="42" t="s">
        <v>5</v>
      </c>
      <c r="H267" s="42" t="s">
        <v>90</v>
      </c>
      <c r="I267" s="58" t="s">
        <v>1429</v>
      </c>
      <c r="J267" s="58" t="s">
        <v>1430</v>
      </c>
      <c r="K267" s="42" t="s">
        <v>994</v>
      </c>
      <c r="L267" s="58" t="s">
        <v>1431</v>
      </c>
      <c r="M267" s="58" t="s">
        <v>1432</v>
      </c>
      <c r="N267" s="58" t="s">
        <v>1433</v>
      </c>
      <c r="O267" s="58" t="s">
        <v>1434</v>
      </c>
      <c r="P267" s="58" t="s">
        <v>1435</v>
      </c>
      <c r="Q267" s="58"/>
      <c r="R267" s="58"/>
      <c r="S267" s="45"/>
      <c r="T267" s="45"/>
      <c r="U267" s="45"/>
      <c r="V267" s="45"/>
      <c r="W267" s="45"/>
      <c r="X267" s="45"/>
      <c r="Y267" s="45"/>
      <c r="Z267" s="45"/>
      <c r="AA267" s="45"/>
      <c r="AB267" s="45"/>
      <c r="AC267" s="45"/>
    </row>
    <row r="268" spans="1:29" ht="52.5">
      <c r="A268" s="42">
        <f t="shared" si="1"/>
        <v>267</v>
      </c>
      <c r="B268" s="42"/>
      <c r="C268" s="42" t="s">
        <v>706</v>
      </c>
      <c r="D268" s="42" t="s">
        <v>1436</v>
      </c>
      <c r="E268" s="42"/>
      <c r="F268" s="42" t="s">
        <v>1437</v>
      </c>
      <c r="G268" s="42" t="s">
        <v>4</v>
      </c>
      <c r="H268" s="42" t="s">
        <v>95</v>
      </c>
      <c r="I268" s="58" t="s">
        <v>1438</v>
      </c>
      <c r="J268" s="58" t="s">
        <v>1439</v>
      </c>
      <c r="K268" s="42"/>
      <c r="L268" s="58" t="s">
        <v>1440</v>
      </c>
      <c r="M268" s="58" t="s">
        <v>1441</v>
      </c>
      <c r="N268" s="58"/>
      <c r="O268" s="58" t="s">
        <v>1442</v>
      </c>
      <c r="P268" s="58" t="s">
        <v>1443</v>
      </c>
      <c r="Q268" s="58"/>
      <c r="R268" s="58"/>
      <c r="S268" s="45"/>
      <c r="T268" s="45"/>
      <c r="U268" s="45"/>
      <c r="V268" s="45"/>
      <c r="W268" s="45"/>
      <c r="X268" s="45"/>
      <c r="Y268" s="45"/>
      <c r="Z268" s="45"/>
      <c r="AA268" s="45"/>
      <c r="AB268" s="45"/>
      <c r="AC268" s="45"/>
    </row>
    <row r="269" spans="1:29" ht="26.25">
      <c r="A269" s="42">
        <f t="shared" si="1"/>
        <v>268</v>
      </c>
      <c r="B269" s="42"/>
      <c r="C269" s="42" t="s">
        <v>706</v>
      </c>
      <c r="D269" s="42" t="s">
        <v>1444</v>
      </c>
      <c r="E269" s="42"/>
      <c r="F269" s="42" t="s">
        <v>1445</v>
      </c>
      <c r="G269" s="42"/>
      <c r="H269" s="42"/>
      <c r="I269" s="58"/>
      <c r="J269" s="58"/>
      <c r="K269" s="42"/>
      <c r="L269" s="58"/>
      <c r="M269" s="58"/>
      <c r="N269" s="58"/>
      <c r="O269" s="58"/>
      <c r="P269" s="58"/>
      <c r="Q269" s="58"/>
      <c r="R269" s="58"/>
      <c r="S269" s="45"/>
      <c r="T269" s="45"/>
      <c r="U269" s="45"/>
      <c r="V269" s="45"/>
      <c r="W269" s="45"/>
      <c r="X269" s="45"/>
      <c r="Y269" s="45"/>
      <c r="Z269" s="45"/>
      <c r="AA269" s="45"/>
      <c r="AB269" s="45"/>
      <c r="AC269" s="45"/>
    </row>
    <row r="270" spans="1:29" ht="26.25">
      <c r="A270" s="42">
        <f t="shared" si="1"/>
        <v>269</v>
      </c>
      <c r="B270" s="42"/>
      <c r="C270" s="42" t="s">
        <v>706</v>
      </c>
      <c r="D270" s="42" t="s">
        <v>1446</v>
      </c>
      <c r="E270" s="42"/>
      <c r="F270" s="42" t="s">
        <v>1447</v>
      </c>
      <c r="G270" s="42"/>
      <c r="H270" s="42"/>
      <c r="I270" s="58"/>
      <c r="J270" s="58"/>
      <c r="K270" s="42"/>
      <c r="L270" s="58"/>
      <c r="M270" s="58"/>
      <c r="N270" s="58"/>
      <c r="O270" s="58"/>
      <c r="P270" s="58"/>
      <c r="Q270" s="58"/>
      <c r="R270" s="58"/>
      <c r="S270" s="45"/>
      <c r="T270" s="45"/>
      <c r="U270" s="45"/>
      <c r="V270" s="45"/>
      <c r="W270" s="45"/>
      <c r="X270" s="45"/>
      <c r="Y270" s="45"/>
      <c r="Z270" s="45"/>
      <c r="AA270" s="45"/>
      <c r="AB270" s="45"/>
      <c r="AC270" s="45"/>
    </row>
    <row r="271" spans="1:29" ht="78.75">
      <c r="A271" s="42">
        <f t="shared" si="1"/>
        <v>270</v>
      </c>
      <c r="B271" s="42"/>
      <c r="C271" s="42" t="s">
        <v>706</v>
      </c>
      <c r="D271" s="42" t="s">
        <v>1448</v>
      </c>
      <c r="E271" s="42"/>
      <c r="F271" s="42" t="s">
        <v>1449</v>
      </c>
      <c r="G271" s="42" t="s">
        <v>5</v>
      </c>
      <c r="H271" s="42"/>
      <c r="I271" s="58"/>
      <c r="J271" s="58" t="s">
        <v>1450</v>
      </c>
      <c r="K271" s="42"/>
      <c r="L271" s="58" t="s">
        <v>1451</v>
      </c>
      <c r="M271" s="58"/>
      <c r="N271" s="58"/>
      <c r="O271" s="58" t="s">
        <v>1452</v>
      </c>
      <c r="P271" s="58"/>
      <c r="Q271" s="58"/>
      <c r="R271" s="58"/>
      <c r="S271" s="45"/>
      <c r="T271" s="45"/>
      <c r="U271" s="45"/>
      <c r="V271" s="45"/>
      <c r="W271" s="45"/>
      <c r="X271" s="45"/>
      <c r="Y271" s="45"/>
      <c r="Z271" s="45"/>
      <c r="AA271" s="45"/>
      <c r="AB271" s="45"/>
      <c r="AC271" s="45"/>
    </row>
    <row r="272" spans="1:29" ht="26.25">
      <c r="A272" s="42">
        <f t="shared" si="1"/>
        <v>271</v>
      </c>
      <c r="B272" s="42"/>
      <c r="C272" s="42" t="s">
        <v>706</v>
      </c>
      <c r="D272" s="42" t="s">
        <v>1453</v>
      </c>
      <c r="E272" s="42"/>
      <c r="F272" s="42" t="s">
        <v>1454</v>
      </c>
      <c r="G272" s="42"/>
      <c r="H272" s="42"/>
      <c r="I272" s="58"/>
      <c r="J272" s="58"/>
      <c r="K272" s="42"/>
      <c r="L272" s="58"/>
      <c r="M272" s="58"/>
      <c r="N272" s="58"/>
      <c r="O272" s="58"/>
      <c r="P272" s="58"/>
      <c r="Q272" s="58"/>
      <c r="R272" s="58"/>
      <c r="S272" s="45"/>
      <c r="T272" s="45"/>
      <c r="U272" s="45"/>
      <c r="V272" s="45"/>
      <c r="W272" s="45"/>
      <c r="X272" s="45"/>
      <c r="Y272" s="45"/>
      <c r="Z272" s="45"/>
      <c r="AA272" s="45"/>
      <c r="AB272" s="45"/>
      <c r="AC272" s="45"/>
    </row>
    <row r="273" spans="1:29" ht="26.25">
      <c r="A273" s="42">
        <f t="shared" si="1"/>
        <v>272</v>
      </c>
      <c r="B273" s="42"/>
      <c r="C273" s="42" t="s">
        <v>706</v>
      </c>
      <c r="D273" s="42" t="s">
        <v>1455</v>
      </c>
      <c r="E273" s="42"/>
      <c r="F273" s="42" t="s">
        <v>1456</v>
      </c>
      <c r="G273" s="42"/>
      <c r="H273" s="42"/>
      <c r="I273" s="58"/>
      <c r="J273" s="58"/>
      <c r="K273" s="42"/>
      <c r="L273" s="58"/>
      <c r="M273" s="58"/>
      <c r="N273" s="58"/>
      <c r="O273" s="58"/>
      <c r="P273" s="58"/>
      <c r="Q273" s="58"/>
      <c r="R273" s="58"/>
      <c r="S273" s="45"/>
      <c r="T273" s="45"/>
      <c r="U273" s="45"/>
      <c r="V273" s="45"/>
      <c r="W273" s="45"/>
      <c r="X273" s="45"/>
      <c r="Y273" s="45"/>
      <c r="Z273" s="45"/>
      <c r="AA273" s="45"/>
      <c r="AB273" s="45"/>
      <c r="AC273" s="45"/>
    </row>
    <row r="274" spans="1:29" ht="52.5">
      <c r="A274" s="42">
        <f t="shared" si="1"/>
        <v>273</v>
      </c>
      <c r="B274" s="42"/>
      <c r="C274" s="42" t="s">
        <v>706</v>
      </c>
      <c r="D274" s="42" t="s">
        <v>1457</v>
      </c>
      <c r="E274" s="42"/>
      <c r="F274" s="42" t="s">
        <v>1458</v>
      </c>
      <c r="G274" s="42" t="s">
        <v>4</v>
      </c>
      <c r="H274" s="42" t="s">
        <v>95</v>
      </c>
      <c r="I274" s="58" t="s">
        <v>1459</v>
      </c>
      <c r="J274" s="58" t="s">
        <v>1460</v>
      </c>
      <c r="K274" s="42" t="s">
        <v>994</v>
      </c>
      <c r="L274" s="58" t="s">
        <v>1461</v>
      </c>
      <c r="M274" s="58" t="s">
        <v>1462</v>
      </c>
      <c r="N274" s="58"/>
      <c r="O274" s="58" t="s">
        <v>1463</v>
      </c>
      <c r="P274" s="58" t="s">
        <v>1464</v>
      </c>
      <c r="Q274" s="58"/>
      <c r="R274" s="58"/>
      <c r="S274" s="45"/>
      <c r="T274" s="45"/>
      <c r="U274" s="45"/>
      <c r="V274" s="45"/>
      <c r="W274" s="45"/>
      <c r="X274" s="45"/>
      <c r="Y274" s="45"/>
      <c r="Z274" s="45"/>
      <c r="AA274" s="45"/>
      <c r="AB274" s="45"/>
      <c r="AC274" s="45"/>
    </row>
    <row r="275" spans="1:29" ht="26.25">
      <c r="A275" s="42">
        <f t="shared" si="1"/>
        <v>274</v>
      </c>
      <c r="B275" s="42"/>
      <c r="C275" s="42" t="s">
        <v>706</v>
      </c>
      <c r="D275" s="42" t="s">
        <v>1465</v>
      </c>
      <c r="E275" s="42"/>
      <c r="F275" s="42" t="s">
        <v>1466</v>
      </c>
      <c r="G275" s="42"/>
      <c r="H275" s="42"/>
      <c r="I275" s="58"/>
      <c r="J275" s="58"/>
      <c r="K275" s="42"/>
      <c r="L275" s="58"/>
      <c r="M275" s="58"/>
      <c r="N275" s="58"/>
      <c r="O275" s="58"/>
      <c r="P275" s="58"/>
      <c r="Q275" s="58"/>
      <c r="R275" s="58"/>
      <c r="S275" s="45"/>
      <c r="T275" s="45"/>
      <c r="U275" s="45"/>
      <c r="V275" s="45"/>
      <c r="W275" s="45"/>
      <c r="X275" s="45"/>
      <c r="Y275" s="45"/>
      <c r="Z275" s="45"/>
      <c r="AA275" s="45"/>
      <c r="AB275" s="45"/>
      <c r="AC275" s="45"/>
    </row>
    <row r="276" spans="1:29" ht="157.5">
      <c r="A276" s="42">
        <f t="shared" si="1"/>
        <v>275</v>
      </c>
      <c r="B276" s="42"/>
      <c r="C276" s="42" t="s">
        <v>706</v>
      </c>
      <c r="D276" s="42" t="s">
        <v>1467</v>
      </c>
      <c r="E276" s="42"/>
      <c r="F276" s="42" t="s">
        <v>1468</v>
      </c>
      <c r="G276" s="42" t="s">
        <v>5</v>
      </c>
      <c r="H276" s="42"/>
      <c r="I276" s="58"/>
      <c r="J276" s="58"/>
      <c r="K276" s="42"/>
      <c r="L276" s="58" t="s">
        <v>1469</v>
      </c>
      <c r="M276" s="58"/>
      <c r="N276" s="58"/>
      <c r="O276" s="58" t="s">
        <v>1470</v>
      </c>
      <c r="P276" s="58"/>
      <c r="Q276" s="58"/>
      <c r="R276" s="58"/>
      <c r="S276" s="45"/>
      <c r="T276" s="45"/>
      <c r="U276" s="45"/>
      <c r="V276" s="45"/>
      <c r="W276" s="45"/>
      <c r="X276" s="45"/>
      <c r="Y276" s="45"/>
      <c r="Z276" s="45"/>
      <c r="AA276" s="45"/>
      <c r="AB276" s="45"/>
      <c r="AC276" s="45"/>
    </row>
    <row r="277" spans="1:29" ht="26.25">
      <c r="A277" s="42">
        <f t="shared" si="1"/>
        <v>276</v>
      </c>
      <c r="B277" s="42"/>
      <c r="C277" s="42" t="s">
        <v>706</v>
      </c>
      <c r="D277" s="42" t="s">
        <v>1471</v>
      </c>
      <c r="E277" s="42"/>
      <c r="F277" s="42" t="s">
        <v>1472</v>
      </c>
      <c r="G277" s="42"/>
      <c r="H277" s="42"/>
      <c r="I277" s="58"/>
      <c r="J277" s="58"/>
      <c r="K277" s="42"/>
      <c r="L277" s="58"/>
      <c r="M277" s="58"/>
      <c r="N277" s="58"/>
      <c r="O277" s="58"/>
      <c r="P277" s="58"/>
      <c r="Q277" s="58"/>
      <c r="R277" s="58"/>
      <c r="S277" s="45"/>
      <c r="T277" s="45"/>
      <c r="U277" s="45"/>
      <c r="V277" s="45"/>
      <c r="W277" s="45"/>
      <c r="X277" s="45"/>
      <c r="Y277" s="45"/>
      <c r="Z277" s="45"/>
      <c r="AA277" s="45"/>
      <c r="AB277" s="45"/>
      <c r="AC277" s="45"/>
    </row>
    <row r="278" spans="1:29" ht="39.4">
      <c r="A278" s="42">
        <f t="shared" si="1"/>
        <v>277</v>
      </c>
      <c r="B278" s="42"/>
      <c r="C278" s="42" t="s">
        <v>706</v>
      </c>
      <c r="D278" s="42" t="s">
        <v>1473</v>
      </c>
      <c r="E278" s="42"/>
      <c r="F278" s="42" t="s">
        <v>1474</v>
      </c>
      <c r="G278" s="42"/>
      <c r="H278" s="42"/>
      <c r="I278" s="58"/>
      <c r="J278" s="58"/>
      <c r="K278" s="42"/>
      <c r="L278" s="58"/>
      <c r="M278" s="58"/>
      <c r="N278" s="58"/>
      <c r="O278" s="58"/>
      <c r="P278" s="58"/>
      <c r="Q278" s="58"/>
      <c r="R278" s="58"/>
      <c r="S278" s="45"/>
      <c r="T278" s="45"/>
      <c r="U278" s="45"/>
      <c r="V278" s="45"/>
      <c r="W278" s="45"/>
      <c r="X278" s="45"/>
      <c r="Y278" s="45"/>
      <c r="Z278" s="45"/>
      <c r="AA278" s="45"/>
      <c r="AB278" s="45"/>
      <c r="AC278" s="45"/>
    </row>
    <row r="279" spans="1:29" ht="26.25">
      <c r="A279" s="42">
        <f t="shared" si="1"/>
        <v>278</v>
      </c>
      <c r="B279" s="42"/>
      <c r="C279" s="42" t="s">
        <v>706</v>
      </c>
      <c r="D279" s="42" t="s">
        <v>1475</v>
      </c>
      <c r="E279" s="42"/>
      <c r="F279" s="42" t="s">
        <v>1476</v>
      </c>
      <c r="G279" s="42"/>
      <c r="H279" s="42"/>
      <c r="I279" s="58"/>
      <c r="J279" s="58"/>
      <c r="K279" s="42"/>
      <c r="L279" s="58"/>
      <c r="M279" s="58"/>
      <c r="N279" s="58"/>
      <c r="O279" s="58"/>
      <c r="P279" s="58"/>
      <c r="Q279" s="58"/>
      <c r="R279" s="58"/>
      <c r="S279" s="45"/>
      <c r="T279" s="45"/>
      <c r="U279" s="45"/>
      <c r="V279" s="45"/>
      <c r="W279" s="45"/>
      <c r="X279" s="45"/>
      <c r="Y279" s="45"/>
      <c r="Z279" s="45"/>
      <c r="AA279" s="45"/>
      <c r="AB279" s="45"/>
      <c r="AC279" s="45"/>
    </row>
    <row r="280" spans="1:29" ht="26.25">
      <c r="A280" s="42">
        <f t="shared" si="1"/>
        <v>279</v>
      </c>
      <c r="B280" s="42"/>
      <c r="C280" s="42" t="s">
        <v>706</v>
      </c>
      <c r="D280" s="42" t="s">
        <v>1477</v>
      </c>
      <c r="E280" s="42"/>
      <c r="F280" s="42" t="s">
        <v>1478</v>
      </c>
      <c r="G280" s="42"/>
      <c r="H280" s="42"/>
      <c r="I280" s="58"/>
      <c r="J280" s="58"/>
      <c r="K280" s="42"/>
      <c r="L280" s="58"/>
      <c r="M280" s="58"/>
      <c r="N280" s="58"/>
      <c r="O280" s="58"/>
      <c r="P280" s="58"/>
      <c r="Q280" s="58"/>
      <c r="R280" s="58"/>
      <c r="S280" s="45"/>
      <c r="T280" s="45"/>
      <c r="U280" s="45"/>
      <c r="V280" s="45"/>
      <c r="W280" s="45"/>
      <c r="X280" s="45"/>
      <c r="Y280" s="45"/>
      <c r="Z280" s="45"/>
      <c r="AA280" s="45"/>
      <c r="AB280" s="45"/>
      <c r="AC280" s="45"/>
    </row>
    <row r="281" spans="1:29" ht="26.25">
      <c r="A281" s="42">
        <f t="shared" si="1"/>
        <v>280</v>
      </c>
      <c r="B281" s="42"/>
      <c r="C281" s="42" t="s">
        <v>706</v>
      </c>
      <c r="D281" s="42" t="s">
        <v>706</v>
      </c>
      <c r="E281" s="42"/>
      <c r="F281" s="42" t="s">
        <v>1479</v>
      </c>
      <c r="G281" s="42"/>
      <c r="H281" s="42"/>
      <c r="I281" s="58"/>
      <c r="J281" s="58"/>
      <c r="K281" s="42"/>
      <c r="L281" s="58"/>
      <c r="M281" s="58"/>
      <c r="N281" s="58"/>
      <c r="O281" s="58"/>
      <c r="P281" s="58"/>
      <c r="Q281" s="58"/>
      <c r="R281" s="58"/>
      <c r="S281" s="45"/>
      <c r="T281" s="45"/>
      <c r="U281" s="45"/>
      <c r="V281" s="45"/>
      <c r="W281" s="45"/>
      <c r="X281" s="45"/>
      <c r="Y281" s="45"/>
      <c r="Z281" s="45"/>
      <c r="AA281" s="45"/>
      <c r="AB281" s="45"/>
      <c r="AC281" s="45"/>
    </row>
    <row r="282" spans="1:29" ht="105">
      <c r="A282" s="42">
        <f t="shared" si="1"/>
        <v>281</v>
      </c>
      <c r="B282" s="42"/>
      <c r="C282" s="42" t="s">
        <v>706</v>
      </c>
      <c r="D282" s="42" t="s">
        <v>1480</v>
      </c>
      <c r="E282" s="42"/>
      <c r="F282" s="42" t="s">
        <v>1481</v>
      </c>
      <c r="G282" s="42" t="s">
        <v>5</v>
      </c>
      <c r="H282" s="42" t="s">
        <v>90</v>
      </c>
      <c r="I282" s="58" t="s">
        <v>1482</v>
      </c>
      <c r="J282" s="58" t="s">
        <v>1483</v>
      </c>
      <c r="K282" s="42" t="s">
        <v>994</v>
      </c>
      <c r="L282" s="58" t="s">
        <v>1484</v>
      </c>
      <c r="M282" s="58" t="s">
        <v>1485</v>
      </c>
      <c r="N282" s="58" t="s">
        <v>1486</v>
      </c>
      <c r="O282" s="58" t="s">
        <v>1487</v>
      </c>
      <c r="P282" s="58"/>
      <c r="Q282" s="58"/>
      <c r="R282" s="58" t="s">
        <v>1488</v>
      </c>
      <c r="S282" s="45"/>
      <c r="T282" s="45"/>
      <c r="U282" s="45"/>
      <c r="V282" s="45"/>
      <c r="W282" s="45"/>
      <c r="X282" s="45"/>
      <c r="Y282" s="45"/>
      <c r="Z282" s="45"/>
      <c r="AA282" s="45"/>
      <c r="AB282" s="45"/>
      <c r="AC282" s="45"/>
    </row>
    <row r="283" spans="1:29" ht="183.75">
      <c r="A283" s="42">
        <f t="shared" si="1"/>
        <v>282</v>
      </c>
      <c r="B283" s="42"/>
      <c r="C283" s="42" t="s">
        <v>706</v>
      </c>
      <c r="D283" s="42" t="s">
        <v>1489</v>
      </c>
      <c r="E283" s="42"/>
      <c r="F283" s="42" t="s">
        <v>1490</v>
      </c>
      <c r="G283" s="42" t="s">
        <v>5</v>
      </c>
      <c r="H283" s="42" t="s">
        <v>90</v>
      </c>
      <c r="I283" s="58" t="s">
        <v>1491</v>
      </c>
      <c r="J283" s="58" t="s">
        <v>1492</v>
      </c>
      <c r="K283" s="42" t="s">
        <v>994</v>
      </c>
      <c r="L283" s="58" t="s">
        <v>1493</v>
      </c>
      <c r="M283" s="58" t="s">
        <v>1494</v>
      </c>
      <c r="N283" s="58" t="s">
        <v>1495</v>
      </c>
      <c r="O283" s="58" t="s">
        <v>1496</v>
      </c>
      <c r="P283" s="58"/>
      <c r="Q283" s="58"/>
      <c r="R283" s="58"/>
      <c r="S283" s="45"/>
      <c r="T283" s="45"/>
      <c r="U283" s="45"/>
      <c r="V283" s="45"/>
      <c r="W283" s="45"/>
      <c r="X283" s="45"/>
      <c r="Y283" s="45"/>
      <c r="Z283" s="45"/>
      <c r="AA283" s="45"/>
      <c r="AB283" s="45"/>
      <c r="AC283" s="45"/>
    </row>
    <row r="284" spans="1:29" ht="131.25">
      <c r="A284" s="42">
        <f t="shared" si="1"/>
        <v>283</v>
      </c>
      <c r="B284" s="42"/>
      <c r="C284" s="42" t="s">
        <v>706</v>
      </c>
      <c r="D284" s="42" t="s">
        <v>1497</v>
      </c>
      <c r="E284" s="42"/>
      <c r="F284" s="42" t="s">
        <v>1498</v>
      </c>
      <c r="G284" s="42" t="s">
        <v>5</v>
      </c>
      <c r="H284" s="42" t="s">
        <v>95</v>
      </c>
      <c r="I284" s="58" t="s">
        <v>1499</v>
      </c>
      <c r="J284" s="58" t="s">
        <v>1500</v>
      </c>
      <c r="K284" s="42" t="s">
        <v>994</v>
      </c>
      <c r="L284" s="58" t="s">
        <v>1501</v>
      </c>
      <c r="M284" s="58" t="s">
        <v>1502</v>
      </c>
      <c r="N284" s="58"/>
      <c r="O284" s="58" t="s">
        <v>1503</v>
      </c>
      <c r="P284" s="58" t="s">
        <v>1504</v>
      </c>
      <c r="Q284" s="58"/>
      <c r="R284" s="58"/>
      <c r="S284" s="45"/>
      <c r="T284" s="45"/>
      <c r="U284" s="45"/>
      <c r="V284" s="45"/>
      <c r="W284" s="45"/>
      <c r="X284" s="45"/>
      <c r="Y284" s="45"/>
      <c r="Z284" s="45"/>
      <c r="AA284" s="45"/>
      <c r="AB284" s="45"/>
      <c r="AC284" s="45"/>
    </row>
    <row r="285" spans="1:29" ht="26.25">
      <c r="A285" s="42">
        <f t="shared" si="1"/>
        <v>284</v>
      </c>
      <c r="B285" s="42"/>
      <c r="C285" s="42" t="s">
        <v>7</v>
      </c>
      <c r="D285" s="42" t="s">
        <v>1505</v>
      </c>
      <c r="E285" s="42"/>
      <c r="F285" s="42" t="s">
        <v>1506</v>
      </c>
      <c r="G285" s="42"/>
      <c r="H285" s="42"/>
      <c r="I285" s="58"/>
      <c r="J285" s="58"/>
      <c r="K285" s="42"/>
      <c r="L285" s="58"/>
      <c r="M285" s="58"/>
      <c r="N285" s="58"/>
      <c r="O285" s="58"/>
      <c r="P285" s="58"/>
      <c r="Q285" s="58"/>
      <c r="R285" s="58"/>
      <c r="S285" s="45"/>
      <c r="T285" s="45"/>
      <c r="U285" s="45"/>
      <c r="V285" s="45"/>
      <c r="W285" s="45"/>
      <c r="X285" s="45"/>
      <c r="Y285" s="45"/>
      <c r="Z285" s="45"/>
      <c r="AA285" s="45"/>
      <c r="AB285" s="45"/>
      <c r="AC285" s="45"/>
    </row>
    <row r="286" spans="1:29" ht="26.25">
      <c r="A286" s="42">
        <f t="shared" si="1"/>
        <v>285</v>
      </c>
      <c r="B286" s="42"/>
      <c r="C286" s="42" t="s">
        <v>7</v>
      </c>
      <c r="D286" s="42" t="s">
        <v>1507</v>
      </c>
      <c r="E286" s="42"/>
      <c r="F286" s="42" t="s">
        <v>1508</v>
      </c>
      <c r="G286" s="42"/>
      <c r="H286" s="42"/>
      <c r="I286" s="58"/>
      <c r="J286" s="58"/>
      <c r="K286" s="42"/>
      <c r="L286" s="58"/>
      <c r="M286" s="58"/>
      <c r="N286" s="58"/>
      <c r="O286" s="58"/>
      <c r="P286" s="58"/>
      <c r="Q286" s="58"/>
      <c r="R286" s="58"/>
      <c r="S286" s="45"/>
      <c r="T286" s="45"/>
      <c r="U286" s="45"/>
      <c r="V286" s="45"/>
      <c r="W286" s="45"/>
      <c r="X286" s="45"/>
      <c r="Y286" s="45"/>
      <c r="Z286" s="45"/>
      <c r="AA286" s="45"/>
      <c r="AB286" s="45"/>
      <c r="AC286" s="45"/>
    </row>
    <row r="287" spans="1:29" ht="26.25">
      <c r="A287" s="42">
        <f t="shared" si="1"/>
        <v>286</v>
      </c>
      <c r="B287" s="42"/>
      <c r="C287" s="42" t="s">
        <v>7</v>
      </c>
      <c r="D287" s="42" t="s">
        <v>751</v>
      </c>
      <c r="E287" s="42"/>
      <c r="F287" s="42" t="s">
        <v>1509</v>
      </c>
      <c r="G287" s="42"/>
      <c r="H287" s="42"/>
      <c r="I287" s="58"/>
      <c r="J287" s="58"/>
      <c r="K287" s="42"/>
      <c r="L287" s="58"/>
      <c r="M287" s="58"/>
      <c r="N287" s="58"/>
      <c r="O287" s="58"/>
      <c r="P287" s="58"/>
      <c r="Q287" s="58"/>
      <c r="R287" s="58"/>
      <c r="S287" s="45"/>
      <c r="T287" s="45"/>
      <c r="U287" s="45"/>
      <c r="V287" s="45"/>
      <c r="W287" s="45"/>
      <c r="X287" s="45"/>
      <c r="Y287" s="45"/>
      <c r="Z287" s="45"/>
      <c r="AA287" s="45"/>
      <c r="AB287" s="45"/>
      <c r="AC287" s="45"/>
    </row>
    <row r="288" spans="1:29" ht="26.25">
      <c r="A288" s="42">
        <f t="shared" si="1"/>
        <v>287</v>
      </c>
      <c r="B288" s="42"/>
      <c r="C288" s="42" t="s">
        <v>7</v>
      </c>
      <c r="D288" s="42" t="s">
        <v>753</v>
      </c>
      <c r="E288" s="42"/>
      <c r="F288" s="42" t="s">
        <v>1510</v>
      </c>
      <c r="G288" s="42"/>
      <c r="H288" s="42"/>
      <c r="I288" s="58"/>
      <c r="J288" s="58"/>
      <c r="K288" s="42"/>
      <c r="L288" s="58"/>
      <c r="M288" s="58"/>
      <c r="N288" s="58"/>
      <c r="O288" s="58"/>
      <c r="P288" s="58"/>
      <c r="Q288" s="58"/>
      <c r="R288" s="58"/>
      <c r="S288" s="45"/>
      <c r="T288" s="45"/>
      <c r="U288" s="45"/>
      <c r="V288" s="45"/>
      <c r="W288" s="45"/>
      <c r="X288" s="45"/>
      <c r="Y288" s="45"/>
      <c r="Z288" s="45"/>
      <c r="AA288" s="45"/>
      <c r="AB288" s="45"/>
      <c r="AC288" s="45"/>
    </row>
    <row r="289" spans="1:29" ht="39.4">
      <c r="A289" s="42">
        <f t="shared" si="1"/>
        <v>288</v>
      </c>
      <c r="B289" s="42"/>
      <c r="C289" s="42" t="s">
        <v>7</v>
      </c>
      <c r="D289" s="42" t="s">
        <v>755</v>
      </c>
      <c r="E289" s="42"/>
      <c r="F289" s="42" t="s">
        <v>1511</v>
      </c>
      <c r="G289" s="42"/>
      <c r="H289" s="42"/>
      <c r="I289" s="58"/>
      <c r="J289" s="58"/>
      <c r="K289" s="42"/>
      <c r="L289" s="58"/>
      <c r="M289" s="58"/>
      <c r="N289" s="58"/>
      <c r="O289" s="58"/>
      <c r="P289" s="58"/>
      <c r="Q289" s="58"/>
      <c r="R289" s="58"/>
      <c r="S289" s="45"/>
      <c r="T289" s="45"/>
      <c r="U289" s="45"/>
      <c r="V289" s="45"/>
      <c r="W289" s="45"/>
      <c r="X289" s="45"/>
      <c r="Y289" s="45"/>
      <c r="Z289" s="45"/>
      <c r="AA289" s="45"/>
      <c r="AB289" s="45"/>
      <c r="AC289" s="45"/>
    </row>
    <row r="290" spans="1:29" ht="26.25">
      <c r="A290" s="42">
        <f t="shared" si="1"/>
        <v>289</v>
      </c>
      <c r="B290" s="42"/>
      <c r="C290" s="42" t="s">
        <v>7</v>
      </c>
      <c r="D290" s="42" t="s">
        <v>1512</v>
      </c>
      <c r="E290" s="42"/>
      <c r="F290" s="42" t="s">
        <v>1513</v>
      </c>
      <c r="G290" s="42"/>
      <c r="H290" s="42"/>
      <c r="I290" s="58"/>
      <c r="J290" s="58"/>
      <c r="K290" s="42"/>
      <c r="L290" s="58"/>
      <c r="M290" s="58"/>
      <c r="N290" s="58"/>
      <c r="O290" s="58"/>
      <c r="P290" s="58"/>
      <c r="Q290" s="58"/>
      <c r="R290" s="58"/>
      <c r="S290" s="45"/>
      <c r="T290" s="45"/>
      <c r="U290" s="45"/>
      <c r="V290" s="45"/>
      <c r="W290" s="45"/>
      <c r="X290" s="45"/>
      <c r="Y290" s="45"/>
      <c r="Z290" s="45"/>
      <c r="AA290" s="45"/>
      <c r="AB290" s="45"/>
      <c r="AC290" s="45"/>
    </row>
    <row r="291" spans="1:29" ht="26.25">
      <c r="A291" s="42">
        <f t="shared" si="1"/>
        <v>290</v>
      </c>
      <c r="B291" s="42"/>
      <c r="C291" s="42" t="s">
        <v>7</v>
      </c>
      <c r="D291" s="42" t="s">
        <v>760</v>
      </c>
      <c r="E291" s="42"/>
      <c r="F291" s="42" t="s">
        <v>1514</v>
      </c>
      <c r="G291" s="42"/>
      <c r="H291" s="42"/>
      <c r="I291" s="58"/>
      <c r="J291" s="58"/>
      <c r="K291" s="42"/>
      <c r="L291" s="58"/>
      <c r="M291" s="58"/>
      <c r="N291" s="58"/>
      <c r="O291" s="58"/>
      <c r="P291" s="58"/>
      <c r="Q291" s="58"/>
      <c r="R291" s="58"/>
      <c r="S291" s="45"/>
      <c r="T291" s="45"/>
      <c r="U291" s="45"/>
      <c r="V291" s="45"/>
      <c r="W291" s="45"/>
      <c r="X291" s="45"/>
      <c r="Y291" s="45"/>
      <c r="Z291" s="45"/>
      <c r="AA291" s="45"/>
      <c r="AB291" s="45"/>
      <c r="AC291" s="45"/>
    </row>
    <row r="292" spans="1:29" ht="26.25">
      <c r="A292" s="42">
        <f t="shared" si="1"/>
        <v>291</v>
      </c>
      <c r="B292" s="42"/>
      <c r="C292" s="42" t="s">
        <v>7</v>
      </c>
      <c r="D292" s="42" t="s">
        <v>761</v>
      </c>
      <c r="E292" s="42"/>
      <c r="F292" s="42" t="s">
        <v>1515</v>
      </c>
      <c r="G292" s="42"/>
      <c r="H292" s="42"/>
      <c r="I292" s="58"/>
      <c r="J292" s="58"/>
      <c r="K292" s="42"/>
      <c r="L292" s="58"/>
      <c r="M292" s="58"/>
      <c r="N292" s="58"/>
      <c r="O292" s="58"/>
      <c r="P292" s="58"/>
      <c r="Q292" s="58"/>
      <c r="R292" s="58"/>
      <c r="S292" s="45"/>
      <c r="T292" s="45"/>
      <c r="U292" s="45"/>
      <c r="V292" s="45"/>
      <c r="W292" s="45"/>
      <c r="X292" s="45"/>
      <c r="Y292" s="45"/>
      <c r="Z292" s="45"/>
      <c r="AA292" s="45"/>
      <c r="AB292" s="45"/>
      <c r="AC292" s="45"/>
    </row>
    <row r="293" spans="1:29" ht="26.25">
      <c r="A293" s="42">
        <f t="shared" si="1"/>
        <v>292</v>
      </c>
      <c r="B293" s="42"/>
      <c r="C293" s="42" t="s">
        <v>7</v>
      </c>
      <c r="D293" s="42" t="s">
        <v>1516</v>
      </c>
      <c r="E293" s="42"/>
      <c r="F293" s="42" t="s">
        <v>1517</v>
      </c>
      <c r="G293" s="42"/>
      <c r="H293" s="42"/>
      <c r="I293" s="58"/>
      <c r="J293" s="58"/>
      <c r="K293" s="42"/>
      <c r="L293" s="58"/>
      <c r="M293" s="58"/>
      <c r="N293" s="58"/>
      <c r="O293" s="58"/>
      <c r="P293" s="58"/>
      <c r="Q293" s="58"/>
      <c r="R293" s="58"/>
      <c r="S293" s="45"/>
      <c r="T293" s="45"/>
      <c r="U293" s="45"/>
      <c r="V293" s="45"/>
      <c r="W293" s="45"/>
      <c r="X293" s="45"/>
      <c r="Y293" s="45"/>
      <c r="Z293" s="45"/>
      <c r="AA293" s="45"/>
      <c r="AB293" s="45"/>
      <c r="AC293" s="45"/>
    </row>
    <row r="294" spans="1:29" ht="26.25">
      <c r="A294" s="42">
        <f t="shared" si="1"/>
        <v>293</v>
      </c>
      <c r="B294" s="42"/>
      <c r="C294" s="42" t="s">
        <v>7</v>
      </c>
      <c r="D294" s="42" t="s">
        <v>1518</v>
      </c>
      <c r="E294" s="42"/>
      <c r="F294" s="42" t="s">
        <v>1519</v>
      </c>
      <c r="G294" s="42"/>
      <c r="H294" s="42"/>
      <c r="I294" s="58"/>
      <c r="J294" s="58"/>
      <c r="K294" s="42"/>
      <c r="L294" s="58"/>
      <c r="M294" s="58"/>
      <c r="N294" s="58"/>
      <c r="O294" s="58"/>
      <c r="P294" s="58"/>
      <c r="Q294" s="58"/>
      <c r="R294" s="58"/>
      <c r="S294" s="45"/>
      <c r="T294" s="45"/>
      <c r="U294" s="45"/>
      <c r="V294" s="45"/>
      <c r="W294" s="45"/>
      <c r="X294" s="45"/>
      <c r="Y294" s="45"/>
      <c r="Z294" s="45"/>
      <c r="AA294" s="45"/>
      <c r="AB294" s="45"/>
      <c r="AC294" s="45"/>
    </row>
    <row r="295" spans="1:29" ht="26.25">
      <c r="A295" s="42">
        <f t="shared" si="1"/>
        <v>294</v>
      </c>
      <c r="B295" s="42"/>
      <c r="C295" s="42" t="s">
        <v>7</v>
      </c>
      <c r="D295" s="42" t="s">
        <v>1371</v>
      </c>
      <c r="E295" s="42"/>
      <c r="F295" s="42" t="s">
        <v>1520</v>
      </c>
      <c r="G295" s="42"/>
      <c r="H295" s="42"/>
      <c r="I295" s="58"/>
      <c r="J295" s="58"/>
      <c r="K295" s="42"/>
      <c r="L295" s="58"/>
      <c r="M295" s="58"/>
      <c r="N295" s="58"/>
      <c r="O295" s="58"/>
      <c r="P295" s="58"/>
      <c r="Q295" s="58"/>
      <c r="R295" s="58"/>
      <c r="S295" s="45"/>
      <c r="T295" s="45"/>
      <c r="U295" s="45"/>
      <c r="V295" s="45"/>
      <c r="W295" s="45"/>
      <c r="X295" s="45"/>
      <c r="Y295" s="45"/>
      <c r="Z295" s="45"/>
      <c r="AA295" s="45"/>
      <c r="AB295" s="45"/>
      <c r="AC295" s="45"/>
    </row>
    <row r="296" spans="1:29" ht="26.25">
      <c r="A296" s="42">
        <f t="shared" si="1"/>
        <v>295</v>
      </c>
      <c r="B296" s="42"/>
      <c r="C296" s="42" t="s">
        <v>7</v>
      </c>
      <c r="D296" s="42" t="s">
        <v>1521</v>
      </c>
      <c r="E296" s="42"/>
      <c r="F296" s="42" t="s">
        <v>1522</v>
      </c>
      <c r="G296" s="42"/>
      <c r="H296" s="42"/>
      <c r="I296" s="58"/>
      <c r="J296" s="58"/>
      <c r="K296" s="42"/>
      <c r="L296" s="58"/>
      <c r="M296" s="58"/>
      <c r="N296" s="58"/>
      <c r="O296" s="58"/>
      <c r="P296" s="58"/>
      <c r="Q296" s="58"/>
      <c r="R296" s="58"/>
      <c r="S296" s="45"/>
      <c r="T296" s="45"/>
      <c r="U296" s="45"/>
      <c r="V296" s="45"/>
      <c r="W296" s="45"/>
      <c r="X296" s="45"/>
      <c r="Y296" s="45"/>
      <c r="Z296" s="45"/>
      <c r="AA296" s="45"/>
      <c r="AB296" s="45"/>
      <c r="AC296" s="45"/>
    </row>
    <row r="297" spans="1:29" ht="39.4">
      <c r="A297" s="42">
        <f t="shared" si="1"/>
        <v>296</v>
      </c>
      <c r="B297" s="42"/>
      <c r="C297" s="42" t="s">
        <v>7</v>
      </c>
      <c r="D297" s="42" t="s">
        <v>1523</v>
      </c>
      <c r="E297" s="42"/>
      <c r="F297" s="42" t="s">
        <v>1524</v>
      </c>
      <c r="G297" s="42"/>
      <c r="H297" s="42"/>
      <c r="I297" s="58"/>
      <c r="J297" s="58"/>
      <c r="K297" s="42"/>
      <c r="L297" s="58"/>
      <c r="M297" s="58"/>
      <c r="N297" s="58"/>
      <c r="O297" s="58"/>
      <c r="P297" s="58"/>
      <c r="Q297" s="58"/>
      <c r="R297" s="58"/>
      <c r="S297" s="45"/>
      <c r="T297" s="45"/>
      <c r="U297" s="45"/>
      <c r="V297" s="45"/>
      <c r="W297" s="45"/>
      <c r="X297" s="45"/>
      <c r="Y297" s="45"/>
      <c r="Z297" s="45"/>
      <c r="AA297" s="45"/>
      <c r="AB297" s="45"/>
      <c r="AC297" s="45"/>
    </row>
    <row r="298" spans="1:29" ht="26.25">
      <c r="A298" s="42">
        <f t="shared" si="1"/>
        <v>297</v>
      </c>
      <c r="B298" s="42"/>
      <c r="C298" s="42" t="s">
        <v>7</v>
      </c>
      <c r="D298" s="42" t="s">
        <v>1525</v>
      </c>
      <c r="E298" s="42"/>
      <c r="F298" s="42" t="s">
        <v>1526</v>
      </c>
      <c r="G298" s="42"/>
      <c r="H298" s="42"/>
      <c r="I298" s="58"/>
      <c r="J298" s="58"/>
      <c r="K298" s="42"/>
      <c r="L298" s="58"/>
      <c r="M298" s="58"/>
      <c r="N298" s="58"/>
      <c r="O298" s="58"/>
      <c r="P298" s="58"/>
      <c r="Q298" s="58"/>
      <c r="R298" s="58"/>
      <c r="S298" s="45"/>
      <c r="T298" s="45"/>
      <c r="U298" s="45"/>
      <c r="V298" s="45"/>
      <c r="W298" s="45"/>
      <c r="X298" s="45"/>
      <c r="Y298" s="45"/>
      <c r="Z298" s="45"/>
      <c r="AA298" s="45"/>
      <c r="AB298" s="45"/>
      <c r="AC298" s="45"/>
    </row>
    <row r="299" spans="1:29" ht="26.25">
      <c r="A299" s="42">
        <f t="shared" si="1"/>
        <v>298</v>
      </c>
      <c r="B299" s="42"/>
      <c r="C299" s="42" t="s">
        <v>7</v>
      </c>
      <c r="D299" s="42" t="s">
        <v>774</v>
      </c>
      <c r="E299" s="42"/>
      <c r="F299" s="42" t="s">
        <v>1527</v>
      </c>
      <c r="G299" s="42"/>
      <c r="H299" s="42"/>
      <c r="I299" s="58"/>
      <c r="J299" s="58"/>
      <c r="K299" s="42"/>
      <c r="L299" s="58"/>
      <c r="M299" s="58"/>
      <c r="N299" s="58"/>
      <c r="O299" s="58"/>
      <c r="P299" s="58"/>
      <c r="Q299" s="58"/>
      <c r="R299" s="58"/>
      <c r="S299" s="45"/>
      <c r="T299" s="45"/>
      <c r="U299" s="45"/>
      <c r="V299" s="45"/>
      <c r="W299" s="45"/>
      <c r="X299" s="45"/>
      <c r="Y299" s="45"/>
      <c r="Z299" s="45"/>
      <c r="AA299" s="45"/>
      <c r="AB299" s="45"/>
      <c r="AC299" s="45"/>
    </row>
    <row r="300" spans="1:29" ht="26.25">
      <c r="A300" s="42">
        <f t="shared" si="1"/>
        <v>299</v>
      </c>
      <c r="B300" s="42"/>
      <c r="C300" s="42" t="s">
        <v>7</v>
      </c>
      <c r="D300" s="42" t="s">
        <v>1528</v>
      </c>
      <c r="E300" s="42"/>
      <c r="F300" s="42" t="s">
        <v>1529</v>
      </c>
      <c r="G300" s="42"/>
      <c r="H300" s="42"/>
      <c r="I300" s="58"/>
      <c r="J300" s="58"/>
      <c r="K300" s="42"/>
      <c r="L300" s="58"/>
      <c r="M300" s="58"/>
      <c r="N300" s="58"/>
      <c r="O300" s="58"/>
      <c r="P300" s="58"/>
      <c r="Q300" s="58"/>
      <c r="R300" s="58"/>
      <c r="S300" s="45"/>
      <c r="T300" s="45"/>
      <c r="U300" s="45"/>
      <c r="V300" s="45"/>
      <c r="W300" s="45"/>
      <c r="X300" s="45"/>
      <c r="Y300" s="45"/>
      <c r="Z300" s="45"/>
      <c r="AA300" s="45"/>
      <c r="AB300" s="45"/>
      <c r="AC300" s="45"/>
    </row>
    <row r="301" spans="1:29" ht="26.25">
      <c r="A301" s="42">
        <f t="shared" si="1"/>
        <v>300</v>
      </c>
      <c r="B301" s="42"/>
      <c r="C301" s="42" t="s">
        <v>7</v>
      </c>
      <c r="D301" s="42" t="s">
        <v>1530</v>
      </c>
      <c r="E301" s="42"/>
      <c r="F301" s="42" t="s">
        <v>1531</v>
      </c>
      <c r="G301" s="42"/>
      <c r="H301" s="42"/>
      <c r="I301" s="58"/>
      <c r="J301" s="58"/>
      <c r="K301" s="42"/>
      <c r="L301" s="58"/>
      <c r="M301" s="58"/>
      <c r="N301" s="58"/>
      <c r="O301" s="58"/>
      <c r="P301" s="58"/>
      <c r="Q301" s="58"/>
      <c r="R301" s="58"/>
      <c r="S301" s="45"/>
      <c r="T301" s="45"/>
      <c r="U301" s="45"/>
      <c r="V301" s="45"/>
      <c r="W301" s="45"/>
      <c r="X301" s="45"/>
      <c r="Y301" s="45"/>
      <c r="Z301" s="45"/>
      <c r="AA301" s="45"/>
      <c r="AB301" s="45"/>
      <c r="AC301" s="45"/>
    </row>
    <row r="302" spans="1:29" ht="26.25">
      <c r="A302" s="42">
        <f t="shared" si="1"/>
        <v>301</v>
      </c>
      <c r="B302" s="42"/>
      <c r="C302" s="42" t="s">
        <v>7</v>
      </c>
      <c r="D302" s="42" t="s">
        <v>1532</v>
      </c>
      <c r="E302" s="42"/>
      <c r="F302" s="42" t="s">
        <v>1533</v>
      </c>
      <c r="G302" s="42"/>
      <c r="H302" s="42"/>
      <c r="I302" s="58"/>
      <c r="J302" s="58"/>
      <c r="K302" s="42"/>
      <c r="L302" s="58"/>
      <c r="M302" s="58"/>
      <c r="N302" s="58"/>
      <c r="O302" s="58"/>
      <c r="P302" s="58"/>
      <c r="Q302" s="58"/>
      <c r="R302" s="58"/>
      <c r="S302" s="45"/>
      <c r="T302" s="45"/>
      <c r="U302" s="45"/>
      <c r="V302" s="45"/>
      <c r="W302" s="45"/>
      <c r="X302" s="45"/>
      <c r="Y302" s="45"/>
      <c r="Z302" s="45"/>
      <c r="AA302" s="45"/>
      <c r="AB302" s="45"/>
      <c r="AC302" s="45"/>
    </row>
    <row r="303" spans="1:29" ht="26.25">
      <c r="A303" s="42">
        <f t="shared" si="1"/>
        <v>302</v>
      </c>
      <c r="B303" s="42"/>
      <c r="C303" s="42" t="s">
        <v>7</v>
      </c>
      <c r="D303" s="42" t="s">
        <v>1352</v>
      </c>
      <c r="E303" s="42"/>
      <c r="F303" s="42" t="s">
        <v>1534</v>
      </c>
      <c r="G303" s="42"/>
      <c r="H303" s="42"/>
      <c r="I303" s="58"/>
      <c r="J303" s="58"/>
      <c r="K303" s="42"/>
      <c r="L303" s="58"/>
      <c r="M303" s="58"/>
      <c r="N303" s="58"/>
      <c r="O303" s="58"/>
      <c r="P303" s="58"/>
      <c r="Q303" s="58"/>
      <c r="R303" s="58"/>
      <c r="S303" s="45"/>
      <c r="T303" s="45"/>
      <c r="U303" s="45"/>
      <c r="V303" s="45"/>
      <c r="W303" s="45"/>
      <c r="X303" s="45"/>
      <c r="Y303" s="45"/>
      <c r="Z303" s="45"/>
      <c r="AA303" s="45"/>
      <c r="AB303" s="45"/>
      <c r="AC303" s="45"/>
    </row>
    <row r="304" spans="1:29" ht="26.25">
      <c r="A304" s="42">
        <f t="shared" si="1"/>
        <v>303</v>
      </c>
      <c r="B304" s="42" t="s">
        <v>8</v>
      </c>
      <c r="C304" s="42" t="s">
        <v>658</v>
      </c>
      <c r="D304" s="42" t="s">
        <v>1535</v>
      </c>
      <c r="E304" s="42"/>
      <c r="F304" s="42" t="s">
        <v>1536</v>
      </c>
      <c r="G304" s="42"/>
      <c r="H304" s="42"/>
      <c r="I304" s="58"/>
      <c r="J304" s="58"/>
      <c r="K304" s="42"/>
      <c r="L304" s="58"/>
      <c r="M304" s="58"/>
      <c r="N304" s="58"/>
      <c r="O304" s="58"/>
      <c r="P304" s="58"/>
      <c r="Q304" s="58"/>
      <c r="R304" s="58"/>
      <c r="S304" s="45"/>
      <c r="T304" s="45"/>
      <c r="U304" s="45"/>
      <c r="V304" s="45"/>
      <c r="W304" s="45"/>
      <c r="X304" s="45"/>
      <c r="Y304" s="45"/>
      <c r="Z304" s="45"/>
      <c r="AA304" s="45"/>
      <c r="AB304" s="45"/>
      <c r="AC304" s="45"/>
    </row>
    <row r="305" spans="1:29" ht="39.4">
      <c r="A305" s="42">
        <f t="shared" si="1"/>
        <v>304</v>
      </c>
      <c r="B305" s="42" t="s">
        <v>8</v>
      </c>
      <c r="C305" s="42" t="s">
        <v>658</v>
      </c>
      <c r="D305" s="42" t="s">
        <v>1537</v>
      </c>
      <c r="E305" s="42"/>
      <c r="F305" s="42" t="s">
        <v>1538</v>
      </c>
      <c r="G305" s="42"/>
      <c r="H305" s="42"/>
      <c r="I305" s="58"/>
      <c r="J305" s="58"/>
      <c r="K305" s="42"/>
      <c r="L305" s="58"/>
      <c r="M305" s="58"/>
      <c r="N305" s="58"/>
      <c r="O305" s="58"/>
      <c r="P305" s="58"/>
      <c r="Q305" s="58"/>
      <c r="R305" s="58"/>
      <c r="S305" s="45"/>
      <c r="T305" s="45"/>
      <c r="U305" s="45"/>
      <c r="V305" s="45"/>
      <c r="W305" s="45"/>
      <c r="X305" s="45"/>
      <c r="Y305" s="45"/>
      <c r="Z305" s="45"/>
      <c r="AA305" s="45"/>
      <c r="AB305" s="45"/>
      <c r="AC305" s="45"/>
    </row>
    <row r="306" spans="1:29" ht="39.4">
      <c r="A306" s="42">
        <f t="shared" si="1"/>
        <v>305</v>
      </c>
      <c r="B306" s="42" t="s">
        <v>8</v>
      </c>
      <c r="C306" s="42" t="s">
        <v>658</v>
      </c>
      <c r="D306" s="42" t="s">
        <v>1539</v>
      </c>
      <c r="E306" s="42"/>
      <c r="F306" s="42" t="s">
        <v>1540</v>
      </c>
      <c r="G306" s="42"/>
      <c r="H306" s="42"/>
      <c r="I306" s="58"/>
      <c r="J306" s="58"/>
      <c r="K306" s="42"/>
      <c r="L306" s="58"/>
      <c r="M306" s="58"/>
      <c r="N306" s="58"/>
      <c r="O306" s="58"/>
      <c r="P306" s="58"/>
      <c r="Q306" s="58"/>
      <c r="R306" s="58"/>
      <c r="S306" s="45"/>
      <c r="T306" s="45"/>
      <c r="U306" s="45"/>
      <c r="V306" s="45"/>
      <c r="W306" s="45"/>
      <c r="X306" s="45"/>
      <c r="Y306" s="45"/>
      <c r="Z306" s="45"/>
      <c r="AA306" s="45"/>
      <c r="AB306" s="45"/>
      <c r="AC306" s="45"/>
    </row>
    <row r="307" spans="1:29" ht="26.25">
      <c r="A307" s="42">
        <f t="shared" si="1"/>
        <v>306</v>
      </c>
      <c r="B307" s="42" t="s">
        <v>8</v>
      </c>
      <c r="C307" s="42" t="s">
        <v>658</v>
      </c>
      <c r="D307" s="42" t="s">
        <v>1541</v>
      </c>
      <c r="E307" s="42"/>
      <c r="F307" s="42" t="s">
        <v>1542</v>
      </c>
      <c r="G307" s="42"/>
      <c r="H307" s="42"/>
      <c r="I307" s="58"/>
      <c r="J307" s="58"/>
      <c r="K307" s="42"/>
      <c r="L307" s="58"/>
      <c r="M307" s="58"/>
      <c r="N307" s="58"/>
      <c r="O307" s="58"/>
      <c r="P307" s="58"/>
      <c r="Q307" s="58"/>
      <c r="R307" s="58"/>
      <c r="S307" s="45"/>
      <c r="T307" s="45"/>
      <c r="U307" s="45"/>
      <c r="V307" s="45"/>
      <c r="W307" s="45"/>
      <c r="X307" s="45"/>
      <c r="Y307" s="45"/>
      <c r="Z307" s="45"/>
      <c r="AA307" s="45"/>
      <c r="AB307" s="45"/>
      <c r="AC307" s="45"/>
    </row>
    <row r="308" spans="1:29" ht="26.25">
      <c r="A308" s="42">
        <f t="shared" si="1"/>
        <v>307</v>
      </c>
      <c r="B308" s="42" t="s">
        <v>8</v>
      </c>
      <c r="C308" s="42" t="s">
        <v>658</v>
      </c>
      <c r="D308" s="42" t="s">
        <v>663</v>
      </c>
      <c r="E308" s="42"/>
      <c r="F308" s="42" t="s">
        <v>1543</v>
      </c>
      <c r="G308" s="42"/>
      <c r="H308" s="42"/>
      <c r="I308" s="58"/>
      <c r="J308" s="58"/>
      <c r="K308" s="42"/>
      <c r="L308" s="58"/>
      <c r="M308" s="58"/>
      <c r="N308" s="58"/>
      <c r="O308" s="58"/>
      <c r="P308" s="58"/>
      <c r="Q308" s="58"/>
      <c r="R308" s="58"/>
      <c r="S308" s="45"/>
      <c r="T308" s="45"/>
      <c r="U308" s="45"/>
      <c r="V308" s="45"/>
      <c r="W308" s="45"/>
      <c r="X308" s="45"/>
      <c r="Y308" s="45"/>
      <c r="Z308" s="45"/>
      <c r="AA308" s="45"/>
      <c r="AB308" s="45"/>
      <c r="AC308" s="45"/>
    </row>
    <row r="309" spans="1:29" ht="26.25">
      <c r="A309" s="42">
        <f t="shared" si="1"/>
        <v>308</v>
      </c>
      <c r="B309" s="42" t="s">
        <v>8</v>
      </c>
      <c r="C309" s="42" t="s">
        <v>658</v>
      </c>
      <c r="D309" s="42" t="s">
        <v>664</v>
      </c>
      <c r="E309" s="42"/>
      <c r="F309" s="42" t="s">
        <v>1544</v>
      </c>
      <c r="G309" s="42"/>
      <c r="H309" s="42"/>
      <c r="I309" s="58"/>
      <c r="J309" s="58"/>
      <c r="K309" s="42"/>
      <c r="L309" s="58"/>
      <c r="M309" s="58"/>
      <c r="N309" s="58"/>
      <c r="O309" s="58"/>
      <c r="P309" s="58"/>
      <c r="Q309" s="58"/>
      <c r="R309" s="58"/>
      <c r="S309" s="45"/>
      <c r="T309" s="45"/>
      <c r="U309" s="45"/>
      <c r="V309" s="45"/>
      <c r="W309" s="45"/>
      <c r="X309" s="45"/>
      <c r="Y309" s="45"/>
      <c r="Z309" s="45"/>
      <c r="AA309" s="45"/>
      <c r="AB309" s="45"/>
      <c r="AC309" s="45"/>
    </row>
    <row r="310" spans="1:29" ht="26.25">
      <c r="A310" s="42">
        <f t="shared" si="1"/>
        <v>309</v>
      </c>
      <c r="B310" s="42" t="s">
        <v>8</v>
      </c>
      <c r="C310" s="42" t="s">
        <v>658</v>
      </c>
      <c r="D310" s="42" t="s">
        <v>1545</v>
      </c>
      <c r="E310" s="42"/>
      <c r="F310" s="42" t="s">
        <v>1546</v>
      </c>
      <c r="G310" s="42"/>
      <c r="H310" s="42"/>
      <c r="I310" s="58"/>
      <c r="J310" s="58"/>
      <c r="K310" s="42"/>
      <c r="L310" s="58"/>
      <c r="M310" s="58"/>
      <c r="N310" s="58"/>
      <c r="O310" s="58"/>
      <c r="P310" s="58"/>
      <c r="Q310" s="58"/>
      <c r="R310" s="58"/>
      <c r="S310" s="45"/>
      <c r="T310" s="45"/>
      <c r="U310" s="45"/>
      <c r="V310" s="45"/>
      <c r="W310" s="45"/>
      <c r="X310" s="45"/>
      <c r="Y310" s="45"/>
      <c r="Z310" s="45"/>
      <c r="AA310" s="45"/>
      <c r="AB310" s="45"/>
      <c r="AC310" s="45"/>
    </row>
    <row r="311" spans="1:29" ht="26.25">
      <c r="A311" s="42">
        <f t="shared" si="1"/>
        <v>310</v>
      </c>
      <c r="B311" s="42" t="s">
        <v>8</v>
      </c>
      <c r="C311" s="42" t="s">
        <v>658</v>
      </c>
      <c r="D311" s="42" t="s">
        <v>667</v>
      </c>
      <c r="E311" s="42"/>
      <c r="F311" s="42" t="s">
        <v>1547</v>
      </c>
      <c r="G311" s="42"/>
      <c r="H311" s="42"/>
      <c r="I311" s="58"/>
      <c r="J311" s="58"/>
      <c r="K311" s="42"/>
      <c r="L311" s="58"/>
      <c r="M311" s="58"/>
      <c r="N311" s="58"/>
      <c r="O311" s="58"/>
      <c r="P311" s="58"/>
      <c r="Q311" s="58"/>
      <c r="R311" s="58"/>
      <c r="S311" s="45"/>
      <c r="T311" s="45"/>
      <c r="U311" s="45"/>
      <c r="V311" s="45"/>
      <c r="W311" s="45"/>
      <c r="X311" s="45"/>
      <c r="Y311" s="45"/>
      <c r="Z311" s="45"/>
      <c r="AA311" s="45"/>
      <c r="AB311" s="45"/>
      <c r="AC311" s="45"/>
    </row>
    <row r="312" spans="1:29" ht="26.25">
      <c r="A312" s="42">
        <f t="shared" si="1"/>
        <v>311</v>
      </c>
      <c r="B312" s="42" t="s">
        <v>8</v>
      </c>
      <c r="C312" s="42" t="s">
        <v>658</v>
      </c>
      <c r="D312" s="42" t="s">
        <v>280</v>
      </c>
      <c r="E312" s="42"/>
      <c r="F312" s="42" t="s">
        <v>1548</v>
      </c>
      <c r="G312" s="42"/>
      <c r="H312" s="42"/>
      <c r="I312" s="58"/>
      <c r="J312" s="58"/>
      <c r="K312" s="42"/>
      <c r="L312" s="58"/>
      <c r="M312" s="58"/>
      <c r="N312" s="58"/>
      <c r="O312" s="58"/>
      <c r="P312" s="58"/>
      <c r="Q312" s="58"/>
      <c r="R312" s="58"/>
      <c r="S312" s="45"/>
      <c r="T312" s="45"/>
      <c r="U312" s="45"/>
      <c r="V312" s="45"/>
      <c r="W312" s="45"/>
      <c r="X312" s="45"/>
      <c r="Y312" s="45"/>
      <c r="Z312" s="45"/>
      <c r="AA312" s="45"/>
      <c r="AB312" s="45"/>
      <c r="AC312" s="45"/>
    </row>
    <row r="313" spans="1:29" ht="26.25">
      <c r="A313" s="42">
        <f t="shared" si="1"/>
        <v>312</v>
      </c>
      <c r="B313" s="42" t="s">
        <v>8</v>
      </c>
      <c r="C313" s="42" t="s">
        <v>658</v>
      </c>
      <c r="D313" s="42" t="s">
        <v>325</v>
      </c>
      <c r="E313" s="42"/>
      <c r="F313" s="42" t="s">
        <v>1549</v>
      </c>
      <c r="G313" s="42"/>
      <c r="H313" s="42"/>
      <c r="I313" s="58"/>
      <c r="J313" s="58"/>
      <c r="K313" s="42"/>
      <c r="L313" s="58"/>
      <c r="M313" s="58"/>
      <c r="N313" s="58"/>
      <c r="O313" s="58"/>
      <c r="P313" s="58"/>
      <c r="Q313" s="58"/>
      <c r="R313" s="58"/>
      <c r="S313" s="45"/>
      <c r="T313" s="45"/>
      <c r="U313" s="45"/>
      <c r="V313" s="45"/>
      <c r="W313" s="45"/>
      <c r="X313" s="45"/>
      <c r="Y313" s="45"/>
      <c r="Z313" s="45"/>
      <c r="AA313" s="45"/>
      <c r="AB313" s="45"/>
      <c r="AC313" s="45"/>
    </row>
    <row r="314" spans="1:29" ht="26.25">
      <c r="A314" s="42">
        <f t="shared" si="1"/>
        <v>313</v>
      </c>
      <c r="B314" s="42" t="s">
        <v>8</v>
      </c>
      <c r="C314" s="42" t="s">
        <v>658</v>
      </c>
      <c r="D314" s="42" t="s">
        <v>1550</v>
      </c>
      <c r="E314" s="42"/>
      <c r="F314" s="42" t="s">
        <v>1551</v>
      </c>
      <c r="G314" s="42"/>
      <c r="H314" s="42"/>
      <c r="I314" s="58"/>
      <c r="J314" s="58"/>
      <c r="K314" s="42"/>
      <c r="L314" s="58"/>
      <c r="M314" s="58"/>
      <c r="N314" s="58"/>
      <c r="O314" s="58"/>
      <c r="P314" s="58"/>
      <c r="Q314" s="58"/>
      <c r="R314" s="58"/>
      <c r="S314" s="45"/>
      <c r="T314" s="45"/>
      <c r="U314" s="45"/>
      <c r="V314" s="45"/>
      <c r="W314" s="45"/>
      <c r="X314" s="45"/>
      <c r="Y314" s="45"/>
      <c r="Z314" s="45"/>
      <c r="AA314" s="45"/>
      <c r="AB314" s="45"/>
      <c r="AC314" s="45"/>
    </row>
    <row r="315" spans="1:29" ht="26.25">
      <c r="A315" s="42">
        <f t="shared" si="1"/>
        <v>314</v>
      </c>
      <c r="B315" s="42" t="s">
        <v>8</v>
      </c>
      <c r="C315" s="42" t="s">
        <v>658</v>
      </c>
      <c r="D315" s="42" t="s">
        <v>670</v>
      </c>
      <c r="E315" s="42"/>
      <c r="F315" s="42" t="s">
        <v>1552</v>
      </c>
      <c r="G315" s="42"/>
      <c r="H315" s="42"/>
      <c r="I315" s="58"/>
      <c r="J315" s="58"/>
      <c r="K315" s="42"/>
      <c r="L315" s="58"/>
      <c r="M315" s="58"/>
      <c r="N315" s="58"/>
      <c r="O315" s="58"/>
      <c r="P315" s="58"/>
      <c r="Q315" s="58"/>
      <c r="R315" s="58"/>
      <c r="S315" s="45"/>
      <c r="T315" s="45"/>
      <c r="U315" s="45"/>
      <c r="V315" s="45"/>
      <c r="W315" s="45"/>
      <c r="X315" s="45"/>
      <c r="Y315" s="45"/>
      <c r="Z315" s="45"/>
      <c r="AA315" s="45"/>
      <c r="AB315" s="45"/>
      <c r="AC315" s="45"/>
    </row>
    <row r="316" spans="1:29" ht="236.25">
      <c r="A316" s="42">
        <f t="shared" si="1"/>
        <v>315</v>
      </c>
      <c r="B316" s="42" t="s">
        <v>19</v>
      </c>
      <c r="C316" s="42" t="s">
        <v>147</v>
      </c>
      <c r="D316" s="42" t="s">
        <v>147</v>
      </c>
      <c r="E316" s="42"/>
      <c r="F316" s="42" t="s">
        <v>1553</v>
      </c>
      <c r="G316" s="42" t="s">
        <v>4</v>
      </c>
      <c r="H316" s="42" t="s">
        <v>95</v>
      </c>
      <c r="I316" s="58" t="s">
        <v>1554</v>
      </c>
      <c r="J316" s="58" t="s">
        <v>1555</v>
      </c>
      <c r="K316" s="42" t="s">
        <v>994</v>
      </c>
      <c r="L316" s="58" t="s">
        <v>1556</v>
      </c>
      <c r="M316" s="58" t="s">
        <v>1557</v>
      </c>
      <c r="N316" s="58"/>
      <c r="O316" s="59"/>
      <c r="P316" s="58" t="s">
        <v>1558</v>
      </c>
      <c r="Q316" s="58"/>
      <c r="R316" s="58"/>
      <c r="S316" s="45"/>
      <c r="T316" s="45"/>
      <c r="U316" s="45"/>
      <c r="V316" s="45"/>
      <c r="W316" s="45"/>
      <c r="X316" s="45"/>
      <c r="Y316" s="45"/>
      <c r="Z316" s="45"/>
      <c r="AA316" s="45"/>
      <c r="AB316" s="45"/>
      <c r="AC316" s="45"/>
    </row>
    <row r="317" spans="1:29" ht="223.15">
      <c r="A317" s="42">
        <f t="shared" si="1"/>
        <v>316</v>
      </c>
      <c r="B317" s="42" t="s">
        <v>19</v>
      </c>
      <c r="C317" s="42" t="s">
        <v>147</v>
      </c>
      <c r="D317" s="42" t="s">
        <v>173</v>
      </c>
      <c r="E317" s="42"/>
      <c r="F317" s="42" t="s">
        <v>1559</v>
      </c>
      <c r="G317" s="42" t="s">
        <v>4</v>
      </c>
      <c r="H317" s="42"/>
      <c r="I317" s="58" t="s">
        <v>1560</v>
      </c>
      <c r="J317" s="58" t="s">
        <v>1561</v>
      </c>
      <c r="K317" s="42" t="s">
        <v>999</v>
      </c>
      <c r="L317" s="58" t="s">
        <v>1562</v>
      </c>
      <c r="M317" s="58"/>
      <c r="N317" s="58"/>
      <c r="O317" s="58" t="s">
        <v>1563</v>
      </c>
      <c r="P317" s="58"/>
      <c r="Q317" s="58"/>
      <c r="R317" s="58"/>
      <c r="S317" s="45"/>
      <c r="T317" s="45"/>
      <c r="U317" s="45"/>
      <c r="V317" s="45"/>
      <c r="W317" s="45"/>
      <c r="X317" s="45"/>
      <c r="Y317" s="45"/>
      <c r="Z317" s="45"/>
      <c r="AA317" s="45"/>
      <c r="AB317" s="45"/>
      <c r="AC317" s="45"/>
    </row>
    <row r="318" spans="1:29" ht="131.25">
      <c r="A318" s="42">
        <f t="shared" si="1"/>
        <v>317</v>
      </c>
      <c r="B318" s="42" t="s">
        <v>19</v>
      </c>
      <c r="C318" s="42" t="s">
        <v>147</v>
      </c>
      <c r="D318" s="42" t="s">
        <v>1564</v>
      </c>
      <c r="E318" s="42"/>
      <c r="F318" s="42" t="s">
        <v>1565</v>
      </c>
      <c r="G318" s="42" t="s">
        <v>5</v>
      </c>
      <c r="H318" s="42" t="s">
        <v>90</v>
      </c>
      <c r="I318" s="58" t="s">
        <v>1566</v>
      </c>
      <c r="J318" s="58" t="s">
        <v>1567</v>
      </c>
      <c r="K318" s="42" t="s">
        <v>994</v>
      </c>
      <c r="L318" s="58" t="s">
        <v>1568</v>
      </c>
      <c r="M318" s="58"/>
      <c r="N318" s="58" t="s">
        <v>1569</v>
      </c>
      <c r="O318" s="58" t="s">
        <v>1570</v>
      </c>
      <c r="P318" s="58"/>
      <c r="Q318" s="58"/>
      <c r="R318" s="58"/>
      <c r="S318" s="45"/>
      <c r="T318" s="45"/>
      <c r="U318" s="45"/>
      <c r="V318" s="45"/>
      <c r="W318" s="45"/>
      <c r="X318" s="45"/>
      <c r="Y318" s="45"/>
      <c r="Z318" s="45"/>
      <c r="AA318" s="45"/>
      <c r="AB318" s="45"/>
      <c r="AC318" s="45"/>
    </row>
    <row r="319" spans="1:29" ht="223.15">
      <c r="A319" s="42">
        <f t="shared" si="1"/>
        <v>318</v>
      </c>
      <c r="B319" s="42" t="s">
        <v>19</v>
      </c>
      <c r="C319" s="42" t="s">
        <v>147</v>
      </c>
      <c r="D319" s="42" t="s">
        <v>166</v>
      </c>
      <c r="E319" s="42"/>
      <c r="F319" s="42" t="s">
        <v>1571</v>
      </c>
      <c r="G319" s="42" t="s">
        <v>5</v>
      </c>
      <c r="H319" s="42" t="s">
        <v>90</v>
      </c>
      <c r="I319" s="58" t="s">
        <v>1572</v>
      </c>
      <c r="J319" s="58" t="s">
        <v>1573</v>
      </c>
      <c r="K319" s="42" t="s">
        <v>999</v>
      </c>
      <c r="L319" s="58" t="s">
        <v>1574</v>
      </c>
      <c r="M319" s="58" t="s">
        <v>1575</v>
      </c>
      <c r="N319" s="58"/>
      <c r="O319" s="58"/>
      <c r="P319" s="58"/>
      <c r="Q319" s="58"/>
      <c r="R319" s="58"/>
      <c r="S319" s="45"/>
      <c r="T319" s="45"/>
      <c r="U319" s="45"/>
      <c r="V319" s="45"/>
      <c r="W319" s="45"/>
      <c r="X319" s="45"/>
      <c r="Y319" s="45"/>
      <c r="Z319" s="45"/>
      <c r="AA319" s="45"/>
      <c r="AB319" s="45"/>
      <c r="AC319" s="45"/>
    </row>
    <row r="320" spans="1:29" ht="209.65">
      <c r="A320" s="42">
        <f t="shared" si="1"/>
        <v>319</v>
      </c>
      <c r="B320" s="42" t="s">
        <v>19</v>
      </c>
      <c r="C320" s="42" t="s">
        <v>147</v>
      </c>
      <c r="D320" s="42" t="s">
        <v>168</v>
      </c>
      <c r="E320" s="42"/>
      <c r="F320" s="42" t="s">
        <v>1576</v>
      </c>
      <c r="G320" s="42" t="s">
        <v>5</v>
      </c>
      <c r="H320" s="42" t="s">
        <v>95</v>
      </c>
      <c r="I320" s="58" t="s">
        <v>1577</v>
      </c>
      <c r="J320" s="58" t="s">
        <v>1578</v>
      </c>
      <c r="K320" s="42" t="s">
        <v>1023</v>
      </c>
      <c r="L320" s="58" t="s">
        <v>1579</v>
      </c>
      <c r="M320" s="58" t="s">
        <v>1580</v>
      </c>
      <c r="N320" s="58" t="s">
        <v>1581</v>
      </c>
      <c r="O320" s="58" t="s">
        <v>1582</v>
      </c>
      <c r="P320" s="58"/>
      <c r="Q320" s="58"/>
      <c r="R320" s="58"/>
      <c r="S320" s="45"/>
      <c r="T320" s="45"/>
      <c r="U320" s="45"/>
      <c r="V320" s="45"/>
      <c r="W320" s="45"/>
      <c r="X320" s="45"/>
      <c r="Y320" s="45"/>
      <c r="Z320" s="45"/>
      <c r="AA320" s="45"/>
      <c r="AB320" s="45"/>
      <c r="AC320" s="45"/>
    </row>
    <row r="321" spans="1:29" ht="13.15">
      <c r="A321" s="42">
        <f t="shared" si="1"/>
        <v>320</v>
      </c>
      <c r="B321" s="42"/>
      <c r="C321" s="42"/>
      <c r="D321" s="42"/>
      <c r="E321" s="42"/>
      <c r="F321" s="42"/>
      <c r="G321" s="42"/>
      <c r="H321" s="42"/>
      <c r="I321" s="58"/>
      <c r="J321" s="58"/>
      <c r="K321" s="42"/>
      <c r="L321" s="58"/>
      <c r="M321" s="58"/>
      <c r="N321" s="58"/>
      <c r="O321" s="58"/>
      <c r="P321" s="58"/>
      <c r="Q321" s="58"/>
      <c r="R321" s="58"/>
      <c r="S321" s="45"/>
      <c r="T321" s="45"/>
      <c r="U321" s="45"/>
      <c r="V321" s="45"/>
      <c r="W321" s="45"/>
      <c r="X321" s="45"/>
      <c r="Y321" s="45"/>
      <c r="Z321" s="45"/>
      <c r="AA321" s="45"/>
      <c r="AB321" s="45"/>
      <c r="AC321" s="45"/>
    </row>
    <row r="322" spans="1:29" ht="13.15">
      <c r="A322" s="42">
        <f t="shared" si="1"/>
        <v>321</v>
      </c>
      <c r="B322" s="42"/>
      <c r="C322" s="42"/>
      <c r="D322" s="42"/>
      <c r="E322" s="42"/>
      <c r="F322" s="42"/>
      <c r="G322" s="42"/>
      <c r="H322" s="42"/>
      <c r="I322" s="58"/>
      <c r="J322" s="58"/>
      <c r="K322" s="42"/>
      <c r="L322" s="58"/>
      <c r="M322" s="58"/>
      <c r="N322" s="58"/>
      <c r="O322" s="58"/>
      <c r="P322" s="58"/>
      <c r="Q322" s="58"/>
      <c r="R322" s="58"/>
      <c r="S322" s="45"/>
      <c r="T322" s="45"/>
      <c r="U322" s="45"/>
      <c r="V322" s="45"/>
      <c r="W322" s="45"/>
      <c r="X322" s="45"/>
      <c r="Y322" s="45"/>
      <c r="Z322" s="45"/>
      <c r="AA322" s="45"/>
      <c r="AB322" s="45"/>
      <c r="AC322" s="45"/>
    </row>
    <row r="323" spans="1:29" ht="13.15">
      <c r="A323" s="42">
        <f t="shared" si="1"/>
        <v>322</v>
      </c>
      <c r="B323" s="42"/>
      <c r="C323" s="42"/>
      <c r="D323" s="42"/>
      <c r="E323" s="42"/>
      <c r="F323" s="42"/>
      <c r="G323" s="42"/>
      <c r="H323" s="42"/>
      <c r="I323" s="58"/>
      <c r="J323" s="58"/>
      <c r="K323" s="42"/>
      <c r="L323" s="58"/>
      <c r="M323" s="58"/>
      <c r="N323" s="58"/>
      <c r="O323" s="58"/>
      <c r="P323" s="58"/>
      <c r="Q323" s="58"/>
      <c r="R323" s="58"/>
      <c r="S323" s="45"/>
      <c r="T323" s="45"/>
      <c r="U323" s="45"/>
      <c r="V323" s="45"/>
      <c r="W323" s="45"/>
      <c r="X323" s="45"/>
      <c r="Y323" s="45"/>
      <c r="Z323" s="45"/>
      <c r="AA323" s="45"/>
      <c r="AB323" s="45"/>
      <c r="AC323" s="45"/>
    </row>
    <row r="324" spans="1:29" ht="13.15">
      <c r="A324" s="42">
        <f t="shared" si="1"/>
        <v>323</v>
      </c>
      <c r="B324" s="42"/>
      <c r="C324" s="42"/>
      <c r="D324" s="42"/>
      <c r="E324" s="42"/>
      <c r="F324" s="42"/>
      <c r="G324" s="42"/>
      <c r="H324" s="42"/>
      <c r="I324" s="58"/>
      <c r="J324" s="58"/>
      <c r="K324" s="42"/>
      <c r="L324" s="58"/>
      <c r="M324" s="58"/>
      <c r="N324" s="58"/>
      <c r="O324" s="58"/>
      <c r="P324" s="58"/>
      <c r="Q324" s="58"/>
      <c r="R324" s="58"/>
      <c r="S324" s="45"/>
      <c r="T324" s="45"/>
      <c r="U324" s="45"/>
      <c r="V324" s="45"/>
      <c r="W324" s="45"/>
      <c r="X324" s="45"/>
      <c r="Y324" s="45"/>
      <c r="Z324" s="45"/>
      <c r="AA324" s="45"/>
      <c r="AB324" s="45"/>
      <c r="AC324" s="45"/>
    </row>
    <row r="325" spans="1:29" ht="13.15">
      <c r="A325" s="42">
        <f t="shared" si="1"/>
        <v>324</v>
      </c>
      <c r="B325" s="42"/>
      <c r="C325" s="42"/>
      <c r="D325" s="42"/>
      <c r="E325" s="42"/>
      <c r="F325" s="42"/>
      <c r="G325" s="42"/>
      <c r="H325" s="42"/>
      <c r="I325" s="58"/>
      <c r="J325" s="58"/>
      <c r="K325" s="42"/>
      <c r="L325" s="58"/>
      <c r="M325" s="58"/>
      <c r="N325" s="58"/>
      <c r="O325" s="58"/>
      <c r="P325" s="58"/>
      <c r="Q325" s="58"/>
      <c r="R325" s="58"/>
      <c r="S325" s="45"/>
      <c r="T325" s="45"/>
      <c r="U325" s="45"/>
      <c r="V325" s="45"/>
      <c r="W325" s="45"/>
      <c r="X325" s="45"/>
      <c r="Y325" s="45"/>
      <c r="Z325" s="45"/>
      <c r="AA325" s="45"/>
      <c r="AB325" s="45"/>
      <c r="AC325" s="45"/>
    </row>
    <row r="326" spans="1:29" ht="13.15">
      <c r="A326" s="42">
        <f t="shared" si="1"/>
        <v>325</v>
      </c>
      <c r="B326" s="42"/>
      <c r="C326" s="42"/>
      <c r="D326" s="42"/>
      <c r="E326" s="42"/>
      <c r="F326" s="42"/>
      <c r="G326" s="42"/>
      <c r="H326" s="42"/>
      <c r="I326" s="58"/>
      <c r="J326" s="58"/>
      <c r="K326" s="42"/>
      <c r="L326" s="58"/>
      <c r="M326" s="58"/>
      <c r="N326" s="58"/>
      <c r="O326" s="58"/>
      <c r="P326" s="58"/>
      <c r="Q326" s="58"/>
      <c r="R326" s="58"/>
      <c r="S326" s="45"/>
      <c r="T326" s="45"/>
      <c r="U326" s="45"/>
      <c r="V326" s="45"/>
      <c r="W326" s="45"/>
      <c r="X326" s="45"/>
      <c r="Y326" s="45"/>
      <c r="Z326" s="45"/>
      <c r="AA326" s="45"/>
      <c r="AB326" s="45"/>
      <c r="AC326" s="45"/>
    </row>
    <row r="327" spans="1:29" ht="13.15">
      <c r="A327" s="42">
        <f t="shared" si="1"/>
        <v>326</v>
      </c>
      <c r="B327" s="42"/>
      <c r="C327" s="42"/>
      <c r="D327" s="42"/>
      <c r="E327" s="42"/>
      <c r="F327" s="42"/>
      <c r="G327" s="42"/>
      <c r="H327" s="42"/>
      <c r="I327" s="58"/>
      <c r="J327" s="58"/>
      <c r="K327" s="42"/>
      <c r="L327" s="58"/>
      <c r="M327" s="58"/>
      <c r="N327" s="58"/>
      <c r="O327" s="58"/>
      <c r="P327" s="58"/>
      <c r="Q327" s="58"/>
      <c r="R327" s="58"/>
      <c r="S327" s="45"/>
      <c r="T327" s="45"/>
      <c r="U327" s="45"/>
      <c r="V327" s="45"/>
      <c r="W327" s="45"/>
      <c r="X327" s="45"/>
      <c r="Y327" s="45"/>
      <c r="Z327" s="45"/>
      <c r="AA327" s="45"/>
      <c r="AB327" s="45"/>
      <c r="AC327" s="45"/>
    </row>
    <row r="328" spans="1:29" ht="13.15">
      <c r="A328" s="45"/>
      <c r="B328" s="45"/>
      <c r="C328" s="45"/>
      <c r="D328" s="45"/>
      <c r="E328" s="45"/>
      <c r="F328" s="45"/>
      <c r="G328" s="45"/>
      <c r="H328" s="45"/>
      <c r="I328" s="44"/>
      <c r="J328" s="44"/>
      <c r="K328" s="45"/>
      <c r="L328" s="44"/>
      <c r="M328" s="44"/>
      <c r="N328" s="44"/>
      <c r="O328" s="44"/>
      <c r="P328" s="44"/>
      <c r="Q328" s="44"/>
      <c r="R328" s="44"/>
      <c r="S328" s="45"/>
      <c r="T328" s="45"/>
      <c r="U328" s="45"/>
      <c r="V328" s="45"/>
      <c r="W328" s="45"/>
      <c r="X328" s="45"/>
      <c r="Y328" s="45"/>
      <c r="Z328" s="45"/>
      <c r="AA328" s="45"/>
      <c r="AB328" s="45"/>
      <c r="AC328" s="45"/>
    </row>
    <row r="329" spans="1:29" ht="13.15">
      <c r="A329" s="45"/>
      <c r="B329" s="45"/>
      <c r="C329" s="45"/>
      <c r="D329" s="45"/>
      <c r="E329" s="45"/>
      <c r="F329" s="45"/>
      <c r="G329" s="45"/>
      <c r="H329" s="45"/>
      <c r="I329" s="44"/>
      <c r="J329" s="44"/>
      <c r="K329" s="45"/>
      <c r="L329" s="44"/>
      <c r="M329" s="44"/>
      <c r="N329" s="44"/>
      <c r="O329" s="44"/>
      <c r="P329" s="44"/>
      <c r="Q329" s="44"/>
      <c r="R329" s="44"/>
      <c r="S329" s="45"/>
      <c r="T329" s="45"/>
      <c r="U329" s="45"/>
      <c r="V329" s="45"/>
      <c r="W329" s="45"/>
      <c r="X329" s="45"/>
      <c r="Y329" s="45"/>
      <c r="Z329" s="45"/>
      <c r="AA329" s="45"/>
      <c r="AB329" s="45"/>
      <c r="AC329" s="45"/>
    </row>
    <row r="330" spans="1:29" ht="13.15">
      <c r="A330" s="45"/>
      <c r="B330" s="45"/>
      <c r="C330" s="45"/>
      <c r="D330" s="45"/>
      <c r="E330" s="45"/>
      <c r="F330" s="45"/>
      <c r="G330" s="45"/>
      <c r="H330" s="45"/>
      <c r="I330" s="44"/>
      <c r="J330" s="44"/>
      <c r="K330" s="45"/>
      <c r="L330" s="44"/>
      <c r="M330" s="44"/>
      <c r="N330" s="44"/>
      <c r="O330" s="44"/>
      <c r="P330" s="44"/>
      <c r="Q330" s="44"/>
      <c r="R330" s="44"/>
      <c r="S330" s="45"/>
      <c r="T330" s="45"/>
      <c r="U330" s="45"/>
      <c r="V330" s="45"/>
      <c r="W330" s="45"/>
      <c r="X330" s="45"/>
      <c r="Y330" s="45"/>
      <c r="Z330" s="45"/>
      <c r="AA330" s="45"/>
      <c r="AB330" s="45"/>
      <c r="AC330" s="45"/>
    </row>
    <row r="331" spans="1:29" ht="13.15">
      <c r="A331" s="45"/>
      <c r="B331" s="45"/>
      <c r="C331" s="45"/>
      <c r="D331" s="45"/>
      <c r="E331" s="45"/>
      <c r="F331" s="45"/>
      <c r="G331" s="45"/>
      <c r="H331" s="45"/>
      <c r="I331" s="44"/>
      <c r="J331" s="44"/>
      <c r="K331" s="45"/>
      <c r="L331" s="44"/>
      <c r="M331" s="44"/>
      <c r="N331" s="44"/>
      <c r="O331" s="44"/>
      <c r="P331" s="44"/>
      <c r="Q331" s="44"/>
      <c r="R331" s="44"/>
      <c r="S331" s="45"/>
      <c r="T331" s="45"/>
      <c r="U331" s="45"/>
      <c r="V331" s="45"/>
      <c r="W331" s="45"/>
      <c r="X331" s="45"/>
      <c r="Y331" s="45"/>
      <c r="Z331" s="45"/>
      <c r="AA331" s="45"/>
      <c r="AB331" s="45"/>
      <c r="AC331" s="45"/>
    </row>
    <row r="332" spans="1:29" ht="13.15">
      <c r="A332" s="45"/>
      <c r="B332" s="45"/>
      <c r="C332" s="45"/>
      <c r="D332" s="45"/>
      <c r="E332" s="45"/>
      <c r="F332" s="45"/>
      <c r="G332" s="45"/>
      <c r="H332" s="45"/>
      <c r="I332" s="44"/>
      <c r="J332" s="44"/>
      <c r="K332" s="45"/>
      <c r="L332" s="44"/>
      <c r="M332" s="44"/>
      <c r="N332" s="44"/>
      <c r="O332" s="44"/>
      <c r="P332" s="44"/>
      <c r="Q332" s="44"/>
      <c r="R332" s="44"/>
      <c r="S332" s="45"/>
      <c r="T332" s="45"/>
      <c r="U332" s="45"/>
      <c r="V332" s="45"/>
      <c r="W332" s="45"/>
      <c r="X332" s="45"/>
      <c r="Y332" s="45"/>
      <c r="Z332" s="45"/>
      <c r="AA332" s="45"/>
      <c r="AB332" s="45"/>
      <c r="AC332" s="45"/>
    </row>
    <row r="333" spans="1:29" ht="13.15">
      <c r="A333" s="45"/>
      <c r="B333" s="45"/>
      <c r="C333" s="45"/>
      <c r="D333" s="45"/>
      <c r="E333" s="45"/>
      <c r="F333" s="45"/>
      <c r="G333" s="45"/>
      <c r="H333" s="45"/>
      <c r="I333" s="44"/>
      <c r="J333" s="44"/>
      <c r="K333" s="45"/>
      <c r="L333" s="44"/>
      <c r="M333" s="44"/>
      <c r="N333" s="44"/>
      <c r="O333" s="44"/>
      <c r="P333" s="44"/>
      <c r="Q333" s="44"/>
      <c r="R333" s="44"/>
      <c r="S333" s="45"/>
      <c r="T333" s="45"/>
      <c r="U333" s="45"/>
      <c r="V333" s="45"/>
      <c r="W333" s="45"/>
      <c r="X333" s="45"/>
      <c r="Y333" s="45"/>
      <c r="Z333" s="45"/>
      <c r="AA333" s="45"/>
      <c r="AB333" s="45"/>
      <c r="AC333" s="45"/>
    </row>
    <row r="334" spans="1:29" ht="13.15">
      <c r="A334" s="45"/>
      <c r="B334" s="45"/>
      <c r="C334" s="45"/>
      <c r="D334" s="45"/>
      <c r="E334" s="45"/>
      <c r="F334" s="45"/>
      <c r="G334" s="45"/>
      <c r="H334" s="45"/>
      <c r="I334" s="44"/>
      <c r="J334" s="44"/>
      <c r="K334" s="45"/>
      <c r="L334" s="44"/>
      <c r="M334" s="44"/>
      <c r="N334" s="44"/>
      <c r="O334" s="44"/>
      <c r="P334" s="44"/>
      <c r="Q334" s="44"/>
      <c r="R334" s="44"/>
      <c r="S334" s="45"/>
      <c r="T334" s="45"/>
      <c r="U334" s="45"/>
      <c r="V334" s="45"/>
      <c r="W334" s="45"/>
      <c r="X334" s="45"/>
      <c r="Y334" s="45"/>
      <c r="Z334" s="45"/>
      <c r="AA334" s="45"/>
      <c r="AB334" s="45"/>
      <c r="AC334" s="45"/>
    </row>
    <row r="335" spans="1:29" ht="13.15">
      <c r="A335" s="45"/>
      <c r="B335" s="45"/>
      <c r="C335" s="45"/>
      <c r="D335" s="45"/>
      <c r="E335" s="45"/>
      <c r="F335" s="45"/>
      <c r="G335" s="45"/>
      <c r="H335" s="45"/>
      <c r="I335" s="44"/>
      <c r="J335" s="44"/>
      <c r="K335" s="45"/>
      <c r="L335" s="44"/>
      <c r="M335" s="44"/>
      <c r="N335" s="44"/>
      <c r="O335" s="44"/>
      <c r="P335" s="44"/>
      <c r="Q335" s="44"/>
      <c r="R335" s="44"/>
      <c r="S335" s="45"/>
      <c r="T335" s="45"/>
      <c r="U335" s="45"/>
      <c r="V335" s="45"/>
      <c r="W335" s="45"/>
      <c r="X335" s="45"/>
      <c r="Y335" s="45"/>
      <c r="Z335" s="45"/>
      <c r="AA335" s="45"/>
      <c r="AB335" s="45"/>
      <c r="AC335" s="45"/>
    </row>
    <row r="336" spans="1:29" ht="13.15">
      <c r="A336" s="45"/>
      <c r="B336" s="45"/>
      <c r="C336" s="45"/>
      <c r="D336" s="45"/>
      <c r="E336" s="45"/>
      <c r="F336" s="45"/>
      <c r="G336" s="45"/>
      <c r="H336" s="45"/>
      <c r="I336" s="44"/>
      <c r="J336" s="44"/>
      <c r="K336" s="45"/>
      <c r="L336" s="44"/>
      <c r="M336" s="44"/>
      <c r="N336" s="44"/>
      <c r="O336" s="44"/>
      <c r="P336" s="44"/>
      <c r="Q336" s="44"/>
      <c r="R336" s="44"/>
      <c r="S336" s="45"/>
      <c r="T336" s="45"/>
      <c r="U336" s="45"/>
      <c r="V336" s="45"/>
      <c r="W336" s="45"/>
      <c r="X336" s="45"/>
      <c r="Y336" s="45"/>
      <c r="Z336" s="45"/>
      <c r="AA336" s="45"/>
      <c r="AB336" s="45"/>
      <c r="AC336" s="45"/>
    </row>
    <row r="337" spans="1:29" ht="13.15">
      <c r="A337" s="45"/>
      <c r="B337" s="45"/>
      <c r="C337" s="45"/>
      <c r="D337" s="45"/>
      <c r="E337" s="45"/>
      <c r="F337" s="45"/>
      <c r="G337" s="45"/>
      <c r="H337" s="45"/>
      <c r="I337" s="44"/>
      <c r="J337" s="44"/>
      <c r="K337" s="45"/>
      <c r="L337" s="44"/>
      <c r="M337" s="44"/>
      <c r="N337" s="44"/>
      <c r="O337" s="44"/>
      <c r="P337" s="44"/>
      <c r="Q337" s="44"/>
      <c r="R337" s="44"/>
      <c r="S337" s="45"/>
      <c r="T337" s="45"/>
      <c r="U337" s="45"/>
      <c r="V337" s="45"/>
      <c r="W337" s="45"/>
      <c r="X337" s="45"/>
      <c r="Y337" s="45"/>
      <c r="Z337" s="45"/>
      <c r="AA337" s="45"/>
      <c r="AB337" s="45"/>
      <c r="AC337" s="45"/>
    </row>
    <row r="338" spans="1:29" ht="13.15">
      <c r="A338" s="45"/>
      <c r="B338" s="45"/>
      <c r="C338" s="45"/>
      <c r="D338" s="45"/>
      <c r="E338" s="45"/>
      <c r="F338" s="45"/>
      <c r="G338" s="45"/>
      <c r="H338" s="45"/>
      <c r="I338" s="44"/>
      <c r="J338" s="44"/>
      <c r="K338" s="45"/>
      <c r="L338" s="44"/>
      <c r="M338" s="44"/>
      <c r="N338" s="44"/>
      <c r="O338" s="44"/>
      <c r="P338" s="44"/>
      <c r="Q338" s="44"/>
      <c r="R338" s="44"/>
      <c r="S338" s="45"/>
      <c r="T338" s="45"/>
      <c r="U338" s="45"/>
      <c r="V338" s="45"/>
      <c r="W338" s="45"/>
      <c r="X338" s="45"/>
      <c r="Y338" s="45"/>
      <c r="Z338" s="45"/>
      <c r="AA338" s="45"/>
      <c r="AB338" s="45"/>
      <c r="AC338" s="45"/>
    </row>
    <row r="339" spans="1:29" ht="13.15">
      <c r="A339" s="45"/>
      <c r="B339" s="45"/>
      <c r="C339" s="45"/>
      <c r="D339" s="45"/>
      <c r="E339" s="45"/>
      <c r="F339" s="45"/>
      <c r="G339" s="45"/>
      <c r="H339" s="45"/>
      <c r="I339" s="44"/>
      <c r="J339" s="44"/>
      <c r="K339" s="45"/>
      <c r="L339" s="44"/>
      <c r="M339" s="44"/>
      <c r="N339" s="44"/>
      <c r="O339" s="44"/>
      <c r="P339" s="44"/>
      <c r="Q339" s="44"/>
      <c r="R339" s="44"/>
      <c r="S339" s="45"/>
      <c r="T339" s="45"/>
      <c r="U339" s="45"/>
      <c r="V339" s="45"/>
      <c r="W339" s="45"/>
      <c r="X339" s="45"/>
      <c r="Y339" s="45"/>
      <c r="Z339" s="45"/>
      <c r="AA339" s="45"/>
      <c r="AB339" s="45"/>
      <c r="AC339" s="45"/>
    </row>
    <row r="340" spans="1:29" ht="13.15">
      <c r="A340" s="45"/>
      <c r="B340" s="45"/>
      <c r="C340" s="45"/>
      <c r="D340" s="45"/>
      <c r="E340" s="45"/>
      <c r="F340" s="45"/>
      <c r="G340" s="45"/>
      <c r="H340" s="45"/>
      <c r="I340" s="44"/>
      <c r="J340" s="44"/>
      <c r="K340" s="45"/>
      <c r="L340" s="44"/>
      <c r="M340" s="44"/>
      <c r="N340" s="44"/>
      <c r="O340" s="44"/>
      <c r="P340" s="44"/>
      <c r="Q340" s="44"/>
      <c r="R340" s="44"/>
      <c r="S340" s="45"/>
      <c r="T340" s="45"/>
      <c r="U340" s="45"/>
      <c r="V340" s="45"/>
      <c r="W340" s="45"/>
      <c r="X340" s="45"/>
      <c r="Y340" s="45"/>
      <c r="Z340" s="45"/>
      <c r="AA340" s="45"/>
      <c r="AB340" s="45"/>
      <c r="AC340" s="45"/>
    </row>
    <row r="341" spans="1:29" ht="13.15">
      <c r="A341" s="45"/>
      <c r="B341" s="45"/>
      <c r="C341" s="45"/>
      <c r="D341" s="45"/>
      <c r="E341" s="45"/>
      <c r="F341" s="45"/>
      <c r="G341" s="45"/>
      <c r="H341" s="45"/>
      <c r="I341" s="44"/>
      <c r="J341" s="44"/>
      <c r="K341" s="45"/>
      <c r="L341" s="44"/>
      <c r="M341" s="44"/>
      <c r="N341" s="44"/>
      <c r="O341" s="44"/>
      <c r="P341" s="44"/>
      <c r="Q341" s="44"/>
      <c r="R341" s="44"/>
      <c r="S341" s="45"/>
      <c r="T341" s="45"/>
      <c r="U341" s="45"/>
      <c r="V341" s="45"/>
      <c r="W341" s="45"/>
      <c r="X341" s="45"/>
      <c r="Y341" s="45"/>
      <c r="Z341" s="45"/>
      <c r="AA341" s="45"/>
      <c r="AB341" s="45"/>
      <c r="AC341" s="45"/>
    </row>
    <row r="342" spans="1:29" ht="13.15">
      <c r="A342" s="45"/>
      <c r="B342" s="45"/>
      <c r="C342" s="45"/>
      <c r="D342" s="45"/>
      <c r="E342" s="45"/>
      <c r="F342" s="45"/>
      <c r="G342" s="45"/>
      <c r="H342" s="45"/>
      <c r="I342" s="44"/>
      <c r="J342" s="44"/>
      <c r="K342" s="45"/>
      <c r="L342" s="44"/>
      <c r="M342" s="44"/>
      <c r="N342" s="44"/>
      <c r="O342" s="44"/>
      <c r="P342" s="44"/>
      <c r="Q342" s="44"/>
      <c r="R342" s="44"/>
      <c r="S342" s="45"/>
      <c r="T342" s="45"/>
      <c r="U342" s="45"/>
      <c r="V342" s="45"/>
      <c r="W342" s="45"/>
      <c r="X342" s="45"/>
      <c r="Y342" s="45"/>
      <c r="Z342" s="45"/>
      <c r="AA342" s="45"/>
      <c r="AB342" s="45"/>
      <c r="AC342" s="45"/>
    </row>
    <row r="343" spans="1:29" ht="13.15">
      <c r="A343" s="45"/>
      <c r="B343" s="45"/>
      <c r="C343" s="45"/>
      <c r="D343" s="45"/>
      <c r="E343" s="45"/>
      <c r="F343" s="45"/>
      <c r="G343" s="45"/>
      <c r="H343" s="45"/>
      <c r="I343" s="44"/>
      <c r="J343" s="44"/>
      <c r="K343" s="45"/>
      <c r="L343" s="44"/>
      <c r="M343" s="44"/>
      <c r="N343" s="44"/>
      <c r="O343" s="44"/>
      <c r="P343" s="44"/>
      <c r="Q343" s="44"/>
      <c r="R343" s="44"/>
      <c r="S343" s="45"/>
      <c r="T343" s="45"/>
      <c r="U343" s="45"/>
      <c r="V343" s="45"/>
      <c r="W343" s="45"/>
      <c r="X343" s="45"/>
      <c r="Y343" s="45"/>
      <c r="Z343" s="45"/>
      <c r="AA343" s="45"/>
      <c r="AB343" s="45"/>
      <c r="AC343" s="45"/>
    </row>
    <row r="344" spans="1:29" ht="13.15">
      <c r="A344" s="45"/>
      <c r="B344" s="45"/>
      <c r="C344" s="45"/>
      <c r="D344" s="45"/>
      <c r="E344" s="45"/>
      <c r="F344" s="45"/>
      <c r="G344" s="45"/>
      <c r="H344" s="45"/>
      <c r="I344" s="44"/>
      <c r="J344" s="44"/>
      <c r="K344" s="45"/>
      <c r="L344" s="44"/>
      <c r="M344" s="44"/>
      <c r="N344" s="44"/>
      <c r="O344" s="44"/>
      <c r="P344" s="44"/>
      <c r="Q344" s="44"/>
      <c r="R344" s="44"/>
      <c r="S344" s="45"/>
      <c r="T344" s="45"/>
      <c r="U344" s="45"/>
      <c r="V344" s="45"/>
      <c r="W344" s="45"/>
      <c r="X344" s="45"/>
      <c r="Y344" s="45"/>
      <c r="Z344" s="45"/>
      <c r="AA344" s="45"/>
      <c r="AB344" s="45"/>
      <c r="AC344" s="45"/>
    </row>
    <row r="345" spans="1:29" ht="13.15">
      <c r="A345" s="45"/>
      <c r="B345" s="45"/>
      <c r="C345" s="45"/>
      <c r="D345" s="45"/>
      <c r="E345" s="45"/>
      <c r="F345" s="45"/>
      <c r="G345" s="45"/>
      <c r="H345" s="45"/>
      <c r="I345" s="44"/>
      <c r="J345" s="44"/>
      <c r="K345" s="45"/>
      <c r="L345" s="44"/>
      <c r="M345" s="44"/>
      <c r="N345" s="44"/>
      <c r="O345" s="44"/>
      <c r="P345" s="44"/>
      <c r="Q345" s="44"/>
      <c r="R345" s="44"/>
      <c r="S345" s="45"/>
      <c r="T345" s="45"/>
      <c r="U345" s="45"/>
      <c r="V345" s="45"/>
      <c r="W345" s="45"/>
      <c r="X345" s="45"/>
      <c r="Y345" s="45"/>
      <c r="Z345" s="45"/>
      <c r="AA345" s="45"/>
      <c r="AB345" s="45"/>
      <c r="AC345" s="45"/>
    </row>
    <row r="346" spans="1:29" ht="13.15">
      <c r="A346" s="45"/>
      <c r="B346" s="45"/>
      <c r="C346" s="45"/>
      <c r="D346" s="45"/>
      <c r="E346" s="45"/>
      <c r="F346" s="45"/>
      <c r="G346" s="45"/>
      <c r="H346" s="45"/>
      <c r="I346" s="44"/>
      <c r="J346" s="44"/>
      <c r="K346" s="45"/>
      <c r="L346" s="44"/>
      <c r="M346" s="44"/>
      <c r="N346" s="44"/>
      <c r="O346" s="44"/>
      <c r="P346" s="44"/>
      <c r="Q346" s="44"/>
      <c r="R346" s="44"/>
      <c r="S346" s="45"/>
      <c r="T346" s="45"/>
      <c r="U346" s="45"/>
      <c r="V346" s="45"/>
      <c r="W346" s="45"/>
      <c r="X346" s="45"/>
      <c r="Y346" s="45"/>
      <c r="Z346" s="45"/>
      <c r="AA346" s="45"/>
      <c r="AB346" s="45"/>
      <c r="AC346" s="45"/>
    </row>
    <row r="347" spans="1:29" ht="13.15">
      <c r="A347" s="45"/>
      <c r="B347" s="45"/>
      <c r="C347" s="45"/>
      <c r="D347" s="45"/>
      <c r="E347" s="45"/>
      <c r="F347" s="45"/>
      <c r="G347" s="45"/>
      <c r="H347" s="45"/>
      <c r="I347" s="44"/>
      <c r="J347" s="44"/>
      <c r="K347" s="45"/>
      <c r="L347" s="44"/>
      <c r="M347" s="44"/>
      <c r="N347" s="44"/>
      <c r="O347" s="44"/>
      <c r="P347" s="44"/>
      <c r="Q347" s="44"/>
      <c r="R347" s="44"/>
      <c r="S347" s="45"/>
      <c r="T347" s="45"/>
      <c r="U347" s="45"/>
      <c r="V347" s="45"/>
      <c r="W347" s="45"/>
      <c r="X347" s="45"/>
      <c r="Y347" s="45"/>
      <c r="Z347" s="45"/>
      <c r="AA347" s="45"/>
      <c r="AB347" s="45"/>
      <c r="AC347" s="45"/>
    </row>
    <row r="348" spans="1:29" ht="13.15">
      <c r="A348" s="45"/>
      <c r="B348" s="45"/>
      <c r="C348" s="45"/>
      <c r="D348" s="45"/>
      <c r="E348" s="45"/>
      <c r="F348" s="45"/>
      <c r="G348" s="45"/>
      <c r="H348" s="45"/>
      <c r="I348" s="44"/>
      <c r="J348" s="44"/>
      <c r="K348" s="45"/>
      <c r="L348" s="44"/>
      <c r="M348" s="44"/>
      <c r="N348" s="44"/>
      <c r="O348" s="44"/>
      <c r="P348" s="44"/>
      <c r="Q348" s="44"/>
      <c r="R348" s="44"/>
      <c r="S348" s="45"/>
      <c r="T348" s="45"/>
      <c r="U348" s="45"/>
      <c r="V348" s="45"/>
      <c r="W348" s="45"/>
      <c r="X348" s="45"/>
      <c r="Y348" s="45"/>
      <c r="Z348" s="45"/>
      <c r="AA348" s="45"/>
      <c r="AB348" s="45"/>
      <c r="AC348" s="45"/>
    </row>
    <row r="349" spans="1:29" ht="13.15">
      <c r="A349" s="45"/>
      <c r="B349" s="45"/>
      <c r="C349" s="45"/>
      <c r="D349" s="45"/>
      <c r="E349" s="45"/>
      <c r="F349" s="45"/>
      <c r="G349" s="45"/>
      <c r="H349" s="45"/>
      <c r="I349" s="44"/>
      <c r="J349" s="44"/>
      <c r="K349" s="45"/>
      <c r="L349" s="44"/>
      <c r="M349" s="44"/>
      <c r="N349" s="44"/>
      <c r="O349" s="44"/>
      <c r="P349" s="44"/>
      <c r="Q349" s="44"/>
      <c r="R349" s="44"/>
      <c r="S349" s="45"/>
      <c r="T349" s="45"/>
      <c r="U349" s="45"/>
      <c r="V349" s="45"/>
      <c r="W349" s="45"/>
      <c r="X349" s="45"/>
      <c r="Y349" s="45"/>
      <c r="Z349" s="45"/>
      <c r="AA349" s="45"/>
      <c r="AB349" s="45"/>
      <c r="AC349" s="45"/>
    </row>
    <row r="350" spans="1:29" ht="13.15">
      <c r="A350" s="45"/>
      <c r="B350" s="45"/>
      <c r="C350" s="45"/>
      <c r="D350" s="45"/>
      <c r="E350" s="45"/>
      <c r="F350" s="45"/>
      <c r="G350" s="45"/>
      <c r="H350" s="45"/>
      <c r="I350" s="44"/>
      <c r="J350" s="44"/>
      <c r="K350" s="45"/>
      <c r="L350" s="44"/>
      <c r="M350" s="44"/>
      <c r="N350" s="44"/>
      <c r="O350" s="44"/>
      <c r="P350" s="44"/>
      <c r="Q350" s="44"/>
      <c r="R350" s="44"/>
      <c r="S350" s="45"/>
      <c r="T350" s="45"/>
      <c r="U350" s="45"/>
      <c r="V350" s="45"/>
      <c r="W350" s="45"/>
      <c r="X350" s="45"/>
      <c r="Y350" s="45"/>
      <c r="Z350" s="45"/>
      <c r="AA350" s="45"/>
      <c r="AB350" s="45"/>
      <c r="AC350" s="45"/>
    </row>
    <row r="351" spans="1:29" ht="13.15">
      <c r="A351" s="45"/>
      <c r="B351" s="45"/>
      <c r="C351" s="45"/>
      <c r="D351" s="45"/>
      <c r="E351" s="45"/>
      <c r="F351" s="45"/>
      <c r="G351" s="45"/>
      <c r="H351" s="45"/>
      <c r="I351" s="44"/>
      <c r="J351" s="44"/>
      <c r="K351" s="45"/>
      <c r="L351" s="44"/>
      <c r="M351" s="44"/>
      <c r="N351" s="44"/>
      <c r="O351" s="44"/>
      <c r="P351" s="44"/>
      <c r="Q351" s="44"/>
      <c r="R351" s="44"/>
      <c r="S351" s="45"/>
      <c r="T351" s="45"/>
      <c r="U351" s="45"/>
      <c r="V351" s="45"/>
      <c r="W351" s="45"/>
      <c r="X351" s="45"/>
      <c r="Y351" s="45"/>
      <c r="Z351" s="45"/>
      <c r="AA351" s="45"/>
      <c r="AB351" s="45"/>
      <c r="AC351" s="45"/>
    </row>
    <row r="352" spans="1:29" ht="13.15">
      <c r="A352" s="45"/>
      <c r="B352" s="45"/>
      <c r="C352" s="45"/>
      <c r="D352" s="45"/>
      <c r="E352" s="45"/>
      <c r="F352" s="45"/>
      <c r="G352" s="45"/>
      <c r="H352" s="45"/>
      <c r="I352" s="44"/>
      <c r="J352" s="44"/>
      <c r="K352" s="45"/>
      <c r="L352" s="44"/>
      <c r="M352" s="44"/>
      <c r="N352" s="44"/>
      <c r="O352" s="44"/>
      <c r="P352" s="44"/>
      <c r="Q352" s="44"/>
      <c r="R352" s="44"/>
      <c r="S352" s="45"/>
      <c r="T352" s="45"/>
      <c r="U352" s="45"/>
      <c r="V352" s="45"/>
      <c r="W352" s="45"/>
      <c r="X352" s="45"/>
      <c r="Y352" s="45"/>
      <c r="Z352" s="45"/>
      <c r="AA352" s="45"/>
      <c r="AB352" s="45"/>
      <c r="AC352" s="45"/>
    </row>
    <row r="353" spans="1:29" ht="13.15">
      <c r="A353" s="45"/>
      <c r="B353" s="45"/>
      <c r="C353" s="45"/>
      <c r="D353" s="45"/>
      <c r="E353" s="45"/>
      <c r="F353" s="45"/>
      <c r="G353" s="45"/>
      <c r="H353" s="45"/>
      <c r="I353" s="44"/>
      <c r="J353" s="44"/>
      <c r="K353" s="45"/>
      <c r="L353" s="44"/>
      <c r="M353" s="44"/>
      <c r="N353" s="44"/>
      <c r="O353" s="44"/>
      <c r="P353" s="44"/>
      <c r="Q353" s="44"/>
      <c r="R353" s="44"/>
      <c r="S353" s="45"/>
      <c r="T353" s="45"/>
      <c r="U353" s="45"/>
      <c r="V353" s="45"/>
      <c r="W353" s="45"/>
      <c r="X353" s="45"/>
      <c r="Y353" s="45"/>
      <c r="Z353" s="45"/>
      <c r="AA353" s="45"/>
      <c r="AB353" s="45"/>
      <c r="AC353" s="45"/>
    </row>
    <row r="354" spans="1:29" ht="13.15">
      <c r="A354" s="45"/>
      <c r="B354" s="45"/>
      <c r="C354" s="45"/>
      <c r="D354" s="45"/>
      <c r="E354" s="45"/>
      <c r="F354" s="45"/>
      <c r="G354" s="45"/>
      <c r="H354" s="45"/>
      <c r="I354" s="44"/>
      <c r="J354" s="44"/>
      <c r="K354" s="45"/>
      <c r="L354" s="44"/>
      <c r="M354" s="44"/>
      <c r="N354" s="44"/>
      <c r="O354" s="44"/>
      <c r="P354" s="44"/>
      <c r="Q354" s="44"/>
      <c r="R354" s="44"/>
      <c r="S354" s="45"/>
      <c r="T354" s="45"/>
      <c r="U354" s="45"/>
      <c r="V354" s="45"/>
      <c r="W354" s="45"/>
      <c r="X354" s="45"/>
      <c r="Y354" s="45"/>
      <c r="Z354" s="45"/>
      <c r="AA354" s="45"/>
      <c r="AB354" s="45"/>
      <c r="AC354" s="45"/>
    </row>
    <row r="355" spans="1:29" ht="13.15">
      <c r="A355" s="45"/>
      <c r="B355" s="45"/>
      <c r="C355" s="45"/>
      <c r="D355" s="45"/>
      <c r="E355" s="45"/>
      <c r="F355" s="45"/>
      <c r="G355" s="45"/>
      <c r="H355" s="45"/>
      <c r="I355" s="44"/>
      <c r="J355" s="44"/>
      <c r="K355" s="45"/>
      <c r="L355" s="44"/>
      <c r="M355" s="44"/>
      <c r="N355" s="44"/>
      <c r="O355" s="44"/>
      <c r="P355" s="44"/>
      <c r="Q355" s="44"/>
      <c r="R355" s="44"/>
      <c r="S355" s="45"/>
      <c r="T355" s="45"/>
      <c r="U355" s="45"/>
      <c r="V355" s="45"/>
      <c r="W355" s="45"/>
      <c r="X355" s="45"/>
      <c r="Y355" s="45"/>
      <c r="Z355" s="45"/>
      <c r="AA355" s="45"/>
      <c r="AB355" s="45"/>
      <c r="AC355" s="45"/>
    </row>
    <row r="356" spans="1:29" ht="13.15">
      <c r="A356" s="45"/>
      <c r="B356" s="45"/>
      <c r="C356" s="45"/>
      <c r="D356" s="45"/>
      <c r="E356" s="45"/>
      <c r="F356" s="45"/>
      <c r="G356" s="45"/>
      <c r="H356" s="45"/>
      <c r="I356" s="44"/>
      <c r="J356" s="44"/>
      <c r="K356" s="45"/>
      <c r="L356" s="44"/>
      <c r="M356" s="44"/>
      <c r="N356" s="44"/>
      <c r="O356" s="44"/>
      <c r="P356" s="44"/>
      <c r="Q356" s="44"/>
      <c r="R356" s="44"/>
      <c r="S356" s="45"/>
      <c r="T356" s="45"/>
      <c r="U356" s="45"/>
      <c r="V356" s="45"/>
      <c r="W356" s="45"/>
      <c r="X356" s="45"/>
      <c r="Y356" s="45"/>
      <c r="Z356" s="45"/>
      <c r="AA356" s="45"/>
      <c r="AB356" s="45"/>
      <c r="AC356" s="45"/>
    </row>
    <row r="357" spans="1:29" ht="13.15">
      <c r="A357" s="45"/>
      <c r="B357" s="45"/>
      <c r="C357" s="45"/>
      <c r="D357" s="45"/>
      <c r="E357" s="45"/>
      <c r="F357" s="45"/>
      <c r="G357" s="45"/>
      <c r="H357" s="45"/>
      <c r="I357" s="44"/>
      <c r="J357" s="44"/>
      <c r="K357" s="45"/>
      <c r="L357" s="44"/>
      <c r="M357" s="44"/>
      <c r="N357" s="44"/>
      <c r="O357" s="44"/>
      <c r="P357" s="44"/>
      <c r="Q357" s="44"/>
      <c r="R357" s="44"/>
      <c r="S357" s="45"/>
      <c r="T357" s="45"/>
      <c r="U357" s="45"/>
      <c r="V357" s="45"/>
      <c r="W357" s="45"/>
      <c r="X357" s="45"/>
      <c r="Y357" s="45"/>
      <c r="Z357" s="45"/>
      <c r="AA357" s="45"/>
      <c r="AB357" s="45"/>
      <c r="AC357" s="45"/>
    </row>
    <row r="358" spans="1:29" ht="13.15">
      <c r="A358" s="45"/>
      <c r="B358" s="45"/>
      <c r="C358" s="45"/>
      <c r="D358" s="45"/>
      <c r="E358" s="45"/>
      <c r="F358" s="45"/>
      <c r="G358" s="45"/>
      <c r="H358" s="45"/>
      <c r="I358" s="44"/>
      <c r="J358" s="44"/>
      <c r="K358" s="45"/>
      <c r="L358" s="44"/>
      <c r="M358" s="44"/>
      <c r="N358" s="44"/>
      <c r="O358" s="44"/>
      <c r="P358" s="44"/>
      <c r="Q358" s="44"/>
      <c r="R358" s="44"/>
      <c r="S358" s="45"/>
      <c r="T358" s="45"/>
      <c r="U358" s="45"/>
      <c r="V358" s="45"/>
      <c r="W358" s="45"/>
      <c r="X358" s="45"/>
      <c r="Y358" s="45"/>
      <c r="Z358" s="45"/>
      <c r="AA358" s="45"/>
      <c r="AB358" s="45"/>
      <c r="AC358" s="45"/>
    </row>
    <row r="359" spans="1:29" ht="13.15">
      <c r="A359" s="45"/>
      <c r="B359" s="45"/>
      <c r="C359" s="45"/>
      <c r="D359" s="45"/>
      <c r="E359" s="45"/>
      <c r="F359" s="45"/>
      <c r="G359" s="45"/>
      <c r="H359" s="45"/>
      <c r="I359" s="44"/>
      <c r="J359" s="44"/>
      <c r="K359" s="45"/>
      <c r="L359" s="44"/>
      <c r="M359" s="44"/>
      <c r="N359" s="44"/>
      <c r="O359" s="44"/>
      <c r="P359" s="44"/>
      <c r="Q359" s="44"/>
      <c r="R359" s="44"/>
      <c r="S359" s="45"/>
      <c r="T359" s="45"/>
      <c r="U359" s="45"/>
      <c r="V359" s="45"/>
      <c r="W359" s="45"/>
      <c r="X359" s="45"/>
      <c r="Y359" s="45"/>
      <c r="Z359" s="45"/>
      <c r="AA359" s="45"/>
      <c r="AB359" s="45"/>
      <c r="AC359" s="45"/>
    </row>
    <row r="360" spans="1:29" ht="13.15">
      <c r="A360" s="45"/>
      <c r="B360" s="45"/>
      <c r="C360" s="45"/>
      <c r="D360" s="45"/>
      <c r="E360" s="45"/>
      <c r="F360" s="45"/>
      <c r="G360" s="45"/>
      <c r="H360" s="45"/>
      <c r="I360" s="44"/>
      <c r="J360" s="44"/>
      <c r="K360" s="45"/>
      <c r="L360" s="44"/>
      <c r="M360" s="44"/>
      <c r="N360" s="44"/>
      <c r="O360" s="44"/>
      <c r="P360" s="44"/>
      <c r="Q360" s="44"/>
      <c r="R360" s="44"/>
      <c r="S360" s="45"/>
      <c r="T360" s="45"/>
      <c r="U360" s="45"/>
      <c r="V360" s="45"/>
      <c r="W360" s="45"/>
      <c r="X360" s="45"/>
      <c r="Y360" s="45"/>
      <c r="Z360" s="45"/>
      <c r="AA360" s="45"/>
      <c r="AB360" s="45"/>
      <c r="AC360" s="45"/>
    </row>
    <row r="361" spans="1:29" ht="13.15">
      <c r="A361" s="45"/>
      <c r="B361" s="45"/>
      <c r="C361" s="45"/>
      <c r="D361" s="45"/>
      <c r="E361" s="45"/>
      <c r="F361" s="45"/>
      <c r="G361" s="45"/>
      <c r="H361" s="45"/>
      <c r="I361" s="44"/>
      <c r="J361" s="44"/>
      <c r="K361" s="45"/>
      <c r="L361" s="44"/>
      <c r="M361" s="44"/>
      <c r="N361" s="44"/>
      <c r="O361" s="44"/>
      <c r="P361" s="44"/>
      <c r="Q361" s="44"/>
      <c r="R361" s="44"/>
      <c r="S361" s="45"/>
      <c r="T361" s="45"/>
      <c r="U361" s="45"/>
      <c r="V361" s="45"/>
      <c r="W361" s="45"/>
      <c r="X361" s="45"/>
      <c r="Y361" s="45"/>
      <c r="Z361" s="45"/>
      <c r="AA361" s="45"/>
      <c r="AB361" s="45"/>
      <c r="AC361" s="45"/>
    </row>
    <row r="362" spans="1:29" ht="13.15">
      <c r="A362" s="45"/>
      <c r="B362" s="45"/>
      <c r="C362" s="45"/>
      <c r="D362" s="45"/>
      <c r="E362" s="45"/>
      <c r="F362" s="45"/>
      <c r="G362" s="45"/>
      <c r="H362" s="45"/>
      <c r="I362" s="44"/>
      <c r="J362" s="44"/>
      <c r="K362" s="45"/>
      <c r="L362" s="44"/>
      <c r="M362" s="44"/>
      <c r="N362" s="44"/>
      <c r="O362" s="44"/>
      <c r="P362" s="44"/>
      <c r="Q362" s="44"/>
      <c r="R362" s="44"/>
      <c r="S362" s="45"/>
      <c r="T362" s="45"/>
      <c r="U362" s="45"/>
      <c r="V362" s="45"/>
      <c r="W362" s="45"/>
      <c r="X362" s="45"/>
      <c r="Y362" s="45"/>
      <c r="Z362" s="45"/>
      <c r="AA362" s="45"/>
      <c r="AB362" s="45"/>
      <c r="AC362" s="45"/>
    </row>
    <row r="363" spans="1:29" ht="13.15">
      <c r="A363" s="45"/>
      <c r="B363" s="45"/>
      <c r="C363" s="45"/>
      <c r="D363" s="45"/>
      <c r="E363" s="45"/>
      <c r="F363" s="45"/>
      <c r="G363" s="45"/>
      <c r="H363" s="45"/>
      <c r="I363" s="44"/>
      <c r="J363" s="44"/>
      <c r="K363" s="45"/>
      <c r="L363" s="44"/>
      <c r="M363" s="44"/>
      <c r="N363" s="44"/>
      <c r="O363" s="44"/>
      <c r="P363" s="44"/>
      <c r="Q363" s="44"/>
      <c r="R363" s="44"/>
      <c r="S363" s="45"/>
      <c r="T363" s="45"/>
      <c r="U363" s="45"/>
      <c r="V363" s="45"/>
      <c r="W363" s="45"/>
      <c r="X363" s="45"/>
      <c r="Y363" s="45"/>
      <c r="Z363" s="45"/>
      <c r="AA363" s="45"/>
      <c r="AB363" s="45"/>
      <c r="AC363" s="45"/>
    </row>
    <row r="364" spans="1:29" ht="13.15">
      <c r="A364" s="45"/>
      <c r="B364" s="45"/>
      <c r="C364" s="45"/>
      <c r="D364" s="45"/>
      <c r="E364" s="45"/>
      <c r="F364" s="45"/>
      <c r="G364" s="45"/>
      <c r="H364" s="45"/>
      <c r="I364" s="44"/>
      <c r="J364" s="44"/>
      <c r="K364" s="45"/>
      <c r="L364" s="44"/>
      <c r="M364" s="44"/>
      <c r="N364" s="44"/>
      <c r="O364" s="44"/>
      <c r="P364" s="44"/>
      <c r="Q364" s="44"/>
      <c r="R364" s="44"/>
      <c r="S364" s="45"/>
      <c r="T364" s="45"/>
      <c r="U364" s="45"/>
      <c r="V364" s="45"/>
      <c r="W364" s="45"/>
      <c r="X364" s="45"/>
      <c r="Y364" s="45"/>
      <c r="Z364" s="45"/>
      <c r="AA364" s="45"/>
      <c r="AB364" s="45"/>
      <c r="AC364" s="45"/>
    </row>
    <row r="365" spans="1:29" ht="13.15">
      <c r="A365" s="45"/>
      <c r="B365" s="45"/>
      <c r="C365" s="45"/>
      <c r="D365" s="45"/>
      <c r="E365" s="45"/>
      <c r="F365" s="45"/>
      <c r="G365" s="45"/>
      <c r="H365" s="45"/>
      <c r="I365" s="44"/>
      <c r="J365" s="44"/>
      <c r="K365" s="45"/>
      <c r="L365" s="44"/>
      <c r="M365" s="44"/>
      <c r="N365" s="44"/>
      <c r="O365" s="44"/>
      <c r="P365" s="44"/>
      <c r="Q365" s="44"/>
      <c r="R365" s="44"/>
      <c r="S365" s="45"/>
      <c r="T365" s="45"/>
      <c r="U365" s="45"/>
      <c r="V365" s="45"/>
      <c r="W365" s="45"/>
      <c r="X365" s="45"/>
      <c r="Y365" s="45"/>
      <c r="Z365" s="45"/>
      <c r="AA365" s="45"/>
      <c r="AB365" s="45"/>
      <c r="AC365" s="45"/>
    </row>
    <row r="366" spans="1:29" ht="13.15">
      <c r="A366" s="45"/>
      <c r="B366" s="45"/>
      <c r="C366" s="45"/>
      <c r="D366" s="45"/>
      <c r="E366" s="45"/>
      <c r="F366" s="45"/>
      <c r="G366" s="45"/>
      <c r="H366" s="45"/>
      <c r="I366" s="44"/>
      <c r="J366" s="44"/>
      <c r="K366" s="45"/>
      <c r="L366" s="44"/>
      <c r="M366" s="44"/>
      <c r="N366" s="44"/>
      <c r="O366" s="44"/>
      <c r="P366" s="44"/>
      <c r="Q366" s="44"/>
      <c r="R366" s="44"/>
      <c r="S366" s="45"/>
      <c r="T366" s="45"/>
      <c r="U366" s="45"/>
      <c r="V366" s="45"/>
      <c r="W366" s="45"/>
      <c r="X366" s="45"/>
      <c r="Y366" s="45"/>
      <c r="Z366" s="45"/>
      <c r="AA366" s="45"/>
      <c r="AB366" s="45"/>
      <c r="AC366" s="45"/>
    </row>
    <row r="367" spans="1:29" ht="13.15">
      <c r="A367" s="45"/>
      <c r="B367" s="45"/>
      <c r="C367" s="45"/>
      <c r="D367" s="45"/>
      <c r="E367" s="45"/>
      <c r="F367" s="45"/>
      <c r="G367" s="45"/>
      <c r="H367" s="45"/>
      <c r="I367" s="44"/>
      <c r="J367" s="44"/>
      <c r="K367" s="45"/>
      <c r="L367" s="44"/>
      <c r="M367" s="44"/>
      <c r="N367" s="44"/>
      <c r="O367" s="44"/>
      <c r="P367" s="44"/>
      <c r="Q367" s="44"/>
      <c r="R367" s="44"/>
      <c r="S367" s="45"/>
      <c r="T367" s="45"/>
      <c r="U367" s="45"/>
      <c r="V367" s="45"/>
      <c r="W367" s="45"/>
      <c r="X367" s="45"/>
      <c r="Y367" s="45"/>
      <c r="Z367" s="45"/>
      <c r="AA367" s="45"/>
      <c r="AB367" s="45"/>
      <c r="AC367" s="45"/>
    </row>
    <row r="368" spans="1:29" ht="13.15">
      <c r="A368" s="45"/>
      <c r="B368" s="45"/>
      <c r="C368" s="45"/>
      <c r="D368" s="45"/>
      <c r="E368" s="45"/>
      <c r="F368" s="45"/>
      <c r="G368" s="45"/>
      <c r="H368" s="45"/>
      <c r="I368" s="44"/>
      <c r="J368" s="44"/>
      <c r="K368" s="45"/>
      <c r="L368" s="44"/>
      <c r="M368" s="44"/>
      <c r="N368" s="44"/>
      <c r="O368" s="44"/>
      <c r="P368" s="44"/>
      <c r="Q368" s="44"/>
      <c r="R368" s="44"/>
      <c r="S368" s="45"/>
      <c r="T368" s="45"/>
      <c r="U368" s="45"/>
      <c r="V368" s="45"/>
      <c r="W368" s="45"/>
      <c r="X368" s="45"/>
      <c r="Y368" s="45"/>
      <c r="Z368" s="45"/>
      <c r="AA368" s="45"/>
      <c r="AB368" s="45"/>
      <c r="AC368" s="45"/>
    </row>
    <row r="369" spans="1:29" ht="13.15">
      <c r="A369" s="45"/>
      <c r="B369" s="45"/>
      <c r="C369" s="45"/>
      <c r="D369" s="45"/>
      <c r="E369" s="45"/>
      <c r="F369" s="45"/>
      <c r="G369" s="45"/>
      <c r="H369" s="45"/>
      <c r="I369" s="44"/>
      <c r="J369" s="44"/>
      <c r="K369" s="45"/>
      <c r="L369" s="44"/>
      <c r="M369" s="44"/>
      <c r="N369" s="44"/>
      <c r="O369" s="44"/>
      <c r="P369" s="44"/>
      <c r="Q369" s="44"/>
      <c r="R369" s="44"/>
      <c r="S369" s="45"/>
      <c r="T369" s="45"/>
      <c r="U369" s="45"/>
      <c r="V369" s="45"/>
      <c r="W369" s="45"/>
      <c r="X369" s="45"/>
      <c r="Y369" s="45"/>
      <c r="Z369" s="45"/>
      <c r="AA369" s="45"/>
      <c r="AB369" s="45"/>
      <c r="AC369" s="45"/>
    </row>
    <row r="370" spans="1:29" ht="13.15">
      <c r="A370" s="45"/>
      <c r="B370" s="45"/>
      <c r="C370" s="45"/>
      <c r="D370" s="45"/>
      <c r="E370" s="45"/>
      <c r="F370" s="45"/>
      <c r="G370" s="45"/>
      <c r="H370" s="45"/>
      <c r="I370" s="44"/>
      <c r="J370" s="44"/>
      <c r="K370" s="45"/>
      <c r="L370" s="44"/>
      <c r="M370" s="44"/>
      <c r="N370" s="44"/>
      <c r="O370" s="44"/>
      <c r="P370" s="44"/>
      <c r="Q370" s="44"/>
      <c r="R370" s="44"/>
      <c r="S370" s="45"/>
      <c r="T370" s="45"/>
      <c r="U370" s="45"/>
      <c r="V370" s="45"/>
      <c r="W370" s="45"/>
      <c r="X370" s="45"/>
      <c r="Y370" s="45"/>
      <c r="Z370" s="45"/>
      <c r="AA370" s="45"/>
      <c r="AB370" s="45"/>
      <c r="AC370" s="45"/>
    </row>
    <row r="371" spans="1:29" ht="13.15">
      <c r="A371" s="45"/>
      <c r="B371" s="45"/>
      <c r="C371" s="45"/>
      <c r="D371" s="45"/>
      <c r="E371" s="45"/>
      <c r="F371" s="45"/>
      <c r="G371" s="45"/>
      <c r="H371" s="45"/>
      <c r="I371" s="44"/>
      <c r="J371" s="44"/>
      <c r="K371" s="45"/>
      <c r="L371" s="44"/>
      <c r="M371" s="44"/>
      <c r="N371" s="44"/>
      <c r="O371" s="44"/>
      <c r="P371" s="44"/>
      <c r="Q371" s="44"/>
      <c r="R371" s="44"/>
      <c r="S371" s="45"/>
      <c r="T371" s="45"/>
      <c r="U371" s="45"/>
      <c r="V371" s="45"/>
      <c r="W371" s="45"/>
      <c r="X371" s="45"/>
      <c r="Y371" s="45"/>
      <c r="Z371" s="45"/>
      <c r="AA371" s="45"/>
      <c r="AB371" s="45"/>
      <c r="AC371" s="45"/>
    </row>
    <row r="372" spans="1:29" ht="13.15">
      <c r="A372" s="45"/>
      <c r="B372" s="45"/>
      <c r="C372" s="45"/>
      <c r="D372" s="45"/>
      <c r="E372" s="45"/>
      <c r="F372" s="45"/>
      <c r="G372" s="45"/>
      <c r="H372" s="45"/>
      <c r="I372" s="44"/>
      <c r="J372" s="44"/>
      <c r="K372" s="45"/>
      <c r="L372" s="44"/>
      <c r="M372" s="44"/>
      <c r="N372" s="44"/>
      <c r="O372" s="44"/>
      <c r="P372" s="44"/>
      <c r="Q372" s="44"/>
      <c r="R372" s="44"/>
      <c r="S372" s="45"/>
      <c r="T372" s="45"/>
      <c r="U372" s="45"/>
      <c r="V372" s="45"/>
      <c r="W372" s="45"/>
      <c r="X372" s="45"/>
      <c r="Y372" s="45"/>
      <c r="Z372" s="45"/>
      <c r="AA372" s="45"/>
      <c r="AB372" s="45"/>
      <c r="AC372" s="45"/>
    </row>
    <row r="373" spans="1:29" ht="13.15">
      <c r="A373" s="45"/>
      <c r="B373" s="45"/>
      <c r="C373" s="45"/>
      <c r="D373" s="45"/>
      <c r="E373" s="45"/>
      <c r="F373" s="45"/>
      <c r="G373" s="45"/>
      <c r="H373" s="45"/>
      <c r="I373" s="44"/>
      <c r="J373" s="44"/>
      <c r="K373" s="45"/>
      <c r="L373" s="44"/>
      <c r="M373" s="44"/>
      <c r="N373" s="44"/>
      <c r="O373" s="44"/>
      <c r="P373" s="44"/>
      <c r="Q373" s="44"/>
      <c r="R373" s="44"/>
      <c r="S373" s="45"/>
      <c r="T373" s="45"/>
      <c r="U373" s="45"/>
      <c r="V373" s="45"/>
      <c r="W373" s="45"/>
      <c r="X373" s="45"/>
      <c r="Y373" s="45"/>
      <c r="Z373" s="45"/>
      <c r="AA373" s="45"/>
      <c r="AB373" s="45"/>
      <c r="AC373" s="45"/>
    </row>
    <row r="374" spans="1:29" ht="13.15">
      <c r="A374" s="45"/>
      <c r="B374" s="45"/>
      <c r="C374" s="45"/>
      <c r="D374" s="45"/>
      <c r="E374" s="45"/>
      <c r="F374" s="45"/>
      <c r="G374" s="45"/>
      <c r="H374" s="45"/>
      <c r="I374" s="44"/>
      <c r="J374" s="44"/>
      <c r="K374" s="45"/>
      <c r="L374" s="44"/>
      <c r="M374" s="44"/>
      <c r="N374" s="44"/>
      <c r="O374" s="44"/>
      <c r="P374" s="44"/>
      <c r="Q374" s="44"/>
      <c r="R374" s="44"/>
      <c r="S374" s="45"/>
      <c r="T374" s="45"/>
      <c r="U374" s="45"/>
      <c r="V374" s="45"/>
      <c r="W374" s="45"/>
      <c r="X374" s="45"/>
      <c r="Y374" s="45"/>
      <c r="Z374" s="45"/>
      <c r="AA374" s="45"/>
      <c r="AB374" s="45"/>
      <c r="AC374" s="45"/>
    </row>
    <row r="375" spans="1:29" ht="13.15">
      <c r="A375" s="45"/>
      <c r="B375" s="45"/>
      <c r="C375" s="45"/>
      <c r="D375" s="45"/>
      <c r="E375" s="45"/>
      <c r="F375" s="45"/>
      <c r="G375" s="45"/>
      <c r="H375" s="45"/>
      <c r="I375" s="44"/>
      <c r="J375" s="44"/>
      <c r="K375" s="45"/>
      <c r="L375" s="44"/>
      <c r="M375" s="44"/>
      <c r="N375" s="44"/>
      <c r="O375" s="44"/>
      <c r="P375" s="44"/>
      <c r="Q375" s="44"/>
      <c r="R375" s="44"/>
      <c r="S375" s="45"/>
      <c r="T375" s="45"/>
      <c r="U375" s="45"/>
      <c r="V375" s="45"/>
      <c r="W375" s="45"/>
      <c r="X375" s="45"/>
      <c r="Y375" s="45"/>
      <c r="Z375" s="45"/>
      <c r="AA375" s="45"/>
      <c r="AB375" s="45"/>
      <c r="AC375" s="45"/>
    </row>
    <row r="376" spans="1:29" ht="13.15">
      <c r="A376" s="45"/>
      <c r="B376" s="45"/>
      <c r="C376" s="45"/>
      <c r="D376" s="45"/>
      <c r="E376" s="45"/>
      <c r="F376" s="45"/>
      <c r="G376" s="45"/>
      <c r="H376" s="45"/>
      <c r="I376" s="44"/>
      <c r="J376" s="44"/>
      <c r="K376" s="45"/>
      <c r="L376" s="44"/>
      <c r="M376" s="44"/>
      <c r="N376" s="44"/>
      <c r="O376" s="44"/>
      <c r="P376" s="44"/>
      <c r="Q376" s="44"/>
      <c r="R376" s="44"/>
      <c r="S376" s="45"/>
      <c r="T376" s="45"/>
      <c r="U376" s="45"/>
      <c r="V376" s="45"/>
      <c r="W376" s="45"/>
      <c r="X376" s="45"/>
      <c r="Y376" s="45"/>
      <c r="Z376" s="45"/>
      <c r="AA376" s="45"/>
      <c r="AB376" s="45"/>
      <c r="AC376" s="45"/>
    </row>
    <row r="377" spans="1:29" ht="13.15">
      <c r="A377" s="45"/>
      <c r="B377" s="45"/>
      <c r="C377" s="45"/>
      <c r="D377" s="45"/>
      <c r="E377" s="45"/>
      <c r="F377" s="45"/>
      <c r="G377" s="45"/>
      <c r="H377" s="45"/>
      <c r="I377" s="44"/>
      <c r="J377" s="44"/>
      <c r="K377" s="45"/>
      <c r="L377" s="44"/>
      <c r="M377" s="44"/>
      <c r="N377" s="44"/>
      <c r="O377" s="44"/>
      <c r="P377" s="44"/>
      <c r="Q377" s="44"/>
      <c r="R377" s="44"/>
      <c r="S377" s="45"/>
      <c r="T377" s="45"/>
      <c r="U377" s="45"/>
      <c r="V377" s="45"/>
      <c r="W377" s="45"/>
      <c r="X377" s="45"/>
      <c r="Y377" s="45"/>
      <c r="Z377" s="45"/>
      <c r="AA377" s="45"/>
      <c r="AB377" s="45"/>
      <c r="AC377" s="45"/>
    </row>
    <row r="378" spans="1:29" ht="13.15">
      <c r="A378" s="45"/>
      <c r="B378" s="45"/>
      <c r="C378" s="45"/>
      <c r="D378" s="45"/>
      <c r="E378" s="45"/>
      <c r="F378" s="45"/>
      <c r="G378" s="45"/>
      <c r="H378" s="45"/>
      <c r="I378" s="44"/>
      <c r="J378" s="44"/>
      <c r="K378" s="45"/>
      <c r="L378" s="44"/>
      <c r="M378" s="44"/>
      <c r="N378" s="44"/>
      <c r="O378" s="44"/>
      <c r="P378" s="44"/>
      <c r="Q378" s="44"/>
      <c r="R378" s="44"/>
      <c r="S378" s="45"/>
      <c r="T378" s="45"/>
      <c r="U378" s="45"/>
      <c r="V378" s="45"/>
      <c r="W378" s="45"/>
      <c r="X378" s="45"/>
      <c r="Y378" s="45"/>
      <c r="Z378" s="45"/>
      <c r="AA378" s="45"/>
      <c r="AB378" s="45"/>
      <c r="AC378" s="45"/>
    </row>
    <row r="379" spans="1:29" ht="13.15">
      <c r="A379" s="45"/>
      <c r="B379" s="45"/>
      <c r="C379" s="45"/>
      <c r="D379" s="45"/>
      <c r="E379" s="45"/>
      <c r="F379" s="45"/>
      <c r="G379" s="45"/>
      <c r="H379" s="45"/>
      <c r="I379" s="44"/>
      <c r="J379" s="44"/>
      <c r="K379" s="45"/>
      <c r="L379" s="44"/>
      <c r="M379" s="44"/>
      <c r="N379" s="44"/>
      <c r="O379" s="44"/>
      <c r="P379" s="44"/>
      <c r="Q379" s="44"/>
      <c r="R379" s="44"/>
      <c r="S379" s="45"/>
      <c r="T379" s="45"/>
      <c r="U379" s="45"/>
      <c r="V379" s="45"/>
      <c r="W379" s="45"/>
      <c r="X379" s="45"/>
      <c r="Y379" s="45"/>
      <c r="Z379" s="45"/>
      <c r="AA379" s="45"/>
      <c r="AB379" s="45"/>
      <c r="AC379" s="45"/>
    </row>
    <row r="380" spans="1:29" ht="13.15">
      <c r="A380" s="45"/>
      <c r="B380" s="45"/>
      <c r="C380" s="45"/>
      <c r="D380" s="45"/>
      <c r="E380" s="45"/>
      <c r="F380" s="45"/>
      <c r="G380" s="45"/>
      <c r="H380" s="45"/>
      <c r="I380" s="44"/>
      <c r="J380" s="44"/>
      <c r="K380" s="45"/>
      <c r="L380" s="44"/>
      <c r="M380" s="44"/>
      <c r="N380" s="44"/>
      <c r="O380" s="44"/>
      <c r="P380" s="44"/>
      <c r="Q380" s="44"/>
      <c r="R380" s="44"/>
      <c r="S380" s="45"/>
      <c r="T380" s="45"/>
      <c r="U380" s="45"/>
      <c r="V380" s="45"/>
      <c r="W380" s="45"/>
      <c r="X380" s="45"/>
      <c r="Y380" s="45"/>
      <c r="Z380" s="45"/>
      <c r="AA380" s="45"/>
      <c r="AB380" s="45"/>
      <c r="AC380" s="45"/>
    </row>
    <row r="381" spans="1:29" ht="13.15">
      <c r="A381" s="45"/>
      <c r="B381" s="45"/>
      <c r="C381" s="45"/>
      <c r="D381" s="45"/>
      <c r="E381" s="45"/>
      <c r="F381" s="45"/>
      <c r="G381" s="45"/>
      <c r="H381" s="45"/>
      <c r="I381" s="44"/>
      <c r="J381" s="44"/>
      <c r="K381" s="45"/>
      <c r="L381" s="44"/>
      <c r="M381" s="44"/>
      <c r="N381" s="44"/>
      <c r="O381" s="44"/>
      <c r="P381" s="44"/>
      <c r="Q381" s="44"/>
      <c r="R381" s="44"/>
      <c r="S381" s="45"/>
      <c r="T381" s="45"/>
      <c r="U381" s="45"/>
      <c r="V381" s="45"/>
      <c r="W381" s="45"/>
      <c r="X381" s="45"/>
      <c r="Y381" s="45"/>
      <c r="Z381" s="45"/>
      <c r="AA381" s="45"/>
      <c r="AB381" s="45"/>
      <c r="AC381" s="45"/>
    </row>
    <row r="382" spans="1:29" ht="13.15">
      <c r="A382" s="45"/>
      <c r="B382" s="45"/>
      <c r="C382" s="45"/>
      <c r="D382" s="45"/>
      <c r="E382" s="45"/>
      <c r="F382" s="45"/>
      <c r="G382" s="45"/>
      <c r="H382" s="45"/>
      <c r="I382" s="44"/>
      <c r="J382" s="44"/>
      <c r="K382" s="45"/>
      <c r="L382" s="44"/>
      <c r="M382" s="44"/>
      <c r="N382" s="44"/>
      <c r="O382" s="44"/>
      <c r="P382" s="44"/>
      <c r="Q382" s="44"/>
      <c r="R382" s="44"/>
      <c r="S382" s="45"/>
      <c r="T382" s="45"/>
      <c r="U382" s="45"/>
      <c r="V382" s="45"/>
      <c r="W382" s="45"/>
      <c r="X382" s="45"/>
      <c r="Y382" s="45"/>
      <c r="Z382" s="45"/>
      <c r="AA382" s="45"/>
      <c r="AB382" s="45"/>
      <c r="AC382" s="45"/>
    </row>
    <row r="383" spans="1:29" ht="13.15">
      <c r="A383" s="45"/>
      <c r="B383" s="45"/>
      <c r="C383" s="45"/>
      <c r="D383" s="45"/>
      <c r="E383" s="45"/>
      <c r="F383" s="45"/>
      <c r="G383" s="45"/>
      <c r="H383" s="45"/>
      <c r="I383" s="44"/>
      <c r="J383" s="44"/>
      <c r="K383" s="45"/>
      <c r="L383" s="44"/>
      <c r="M383" s="44"/>
      <c r="N383" s="44"/>
      <c r="O383" s="44"/>
      <c r="P383" s="44"/>
      <c r="Q383" s="44"/>
      <c r="R383" s="44"/>
      <c r="S383" s="45"/>
      <c r="T383" s="45"/>
      <c r="U383" s="45"/>
      <c r="V383" s="45"/>
      <c r="W383" s="45"/>
      <c r="X383" s="45"/>
      <c r="Y383" s="45"/>
      <c r="Z383" s="45"/>
      <c r="AA383" s="45"/>
      <c r="AB383" s="45"/>
      <c r="AC383" s="45"/>
    </row>
    <row r="384" spans="1:29" ht="13.15">
      <c r="A384" s="45"/>
      <c r="B384" s="45"/>
      <c r="C384" s="45"/>
      <c r="D384" s="45"/>
      <c r="E384" s="45"/>
      <c r="F384" s="45"/>
      <c r="G384" s="45"/>
      <c r="H384" s="45"/>
      <c r="I384" s="44"/>
      <c r="J384" s="44"/>
      <c r="K384" s="45"/>
      <c r="L384" s="44"/>
      <c r="M384" s="44"/>
      <c r="N384" s="44"/>
      <c r="O384" s="44"/>
      <c r="P384" s="44"/>
      <c r="Q384" s="44"/>
      <c r="R384" s="44"/>
      <c r="S384" s="45"/>
      <c r="T384" s="45"/>
      <c r="U384" s="45"/>
      <c r="V384" s="45"/>
      <c r="W384" s="45"/>
      <c r="X384" s="45"/>
      <c r="Y384" s="45"/>
      <c r="Z384" s="45"/>
      <c r="AA384" s="45"/>
      <c r="AB384" s="45"/>
      <c r="AC384" s="45"/>
    </row>
    <row r="385" spans="1:29" ht="13.15">
      <c r="A385" s="45"/>
      <c r="B385" s="45"/>
      <c r="C385" s="45"/>
      <c r="D385" s="45"/>
      <c r="E385" s="45"/>
      <c r="F385" s="45"/>
      <c r="G385" s="45"/>
      <c r="H385" s="45"/>
      <c r="I385" s="44"/>
      <c r="J385" s="44"/>
      <c r="K385" s="45"/>
      <c r="L385" s="44"/>
      <c r="M385" s="44"/>
      <c r="N385" s="44"/>
      <c r="O385" s="44"/>
      <c r="P385" s="44"/>
      <c r="Q385" s="44"/>
      <c r="R385" s="44"/>
      <c r="S385" s="45"/>
      <c r="T385" s="45"/>
      <c r="U385" s="45"/>
      <c r="V385" s="45"/>
      <c r="W385" s="45"/>
      <c r="X385" s="45"/>
      <c r="Y385" s="45"/>
      <c r="Z385" s="45"/>
      <c r="AA385" s="45"/>
      <c r="AB385" s="45"/>
      <c r="AC385" s="45"/>
    </row>
    <row r="386" spans="1:29" ht="13.15">
      <c r="A386" s="45"/>
      <c r="B386" s="45"/>
      <c r="C386" s="45"/>
      <c r="D386" s="45"/>
      <c r="E386" s="45"/>
      <c r="F386" s="45"/>
      <c r="G386" s="45"/>
      <c r="H386" s="45"/>
      <c r="I386" s="44"/>
      <c r="J386" s="44"/>
      <c r="K386" s="45"/>
      <c r="L386" s="44"/>
      <c r="M386" s="44"/>
      <c r="N386" s="44"/>
      <c r="O386" s="44"/>
      <c r="P386" s="44"/>
      <c r="Q386" s="44"/>
      <c r="R386" s="44"/>
      <c r="S386" s="45"/>
      <c r="T386" s="45"/>
      <c r="U386" s="45"/>
      <c r="V386" s="45"/>
      <c r="W386" s="45"/>
      <c r="X386" s="45"/>
      <c r="Y386" s="45"/>
      <c r="Z386" s="45"/>
      <c r="AA386" s="45"/>
      <c r="AB386" s="45"/>
      <c r="AC386" s="45"/>
    </row>
    <row r="387" spans="1:29" ht="13.15">
      <c r="A387" s="45"/>
      <c r="B387" s="45"/>
      <c r="C387" s="45"/>
      <c r="D387" s="45"/>
      <c r="E387" s="45"/>
      <c r="F387" s="45"/>
      <c r="G387" s="45"/>
      <c r="H387" s="45"/>
      <c r="I387" s="44"/>
      <c r="J387" s="44"/>
      <c r="K387" s="45"/>
      <c r="L387" s="44"/>
      <c r="M387" s="44"/>
      <c r="N387" s="44"/>
      <c r="O387" s="44"/>
      <c r="P387" s="44"/>
      <c r="Q387" s="44"/>
      <c r="R387" s="44"/>
      <c r="S387" s="45"/>
      <c r="T387" s="45"/>
      <c r="U387" s="45"/>
      <c r="V387" s="45"/>
      <c r="W387" s="45"/>
      <c r="X387" s="45"/>
      <c r="Y387" s="45"/>
      <c r="Z387" s="45"/>
      <c r="AA387" s="45"/>
      <c r="AB387" s="45"/>
      <c r="AC387" s="45"/>
    </row>
    <row r="388" spans="1:29" ht="13.15">
      <c r="A388" s="45"/>
      <c r="B388" s="45"/>
      <c r="C388" s="45"/>
      <c r="D388" s="45"/>
      <c r="E388" s="45"/>
      <c r="F388" s="45"/>
      <c r="G388" s="45"/>
      <c r="H388" s="45"/>
      <c r="I388" s="44"/>
      <c r="J388" s="44"/>
      <c r="K388" s="45"/>
      <c r="L388" s="44"/>
      <c r="M388" s="44"/>
      <c r="N388" s="44"/>
      <c r="O388" s="44"/>
      <c r="P388" s="44"/>
      <c r="Q388" s="44"/>
      <c r="R388" s="44"/>
      <c r="S388" s="45"/>
      <c r="T388" s="45"/>
      <c r="U388" s="45"/>
      <c r="V388" s="45"/>
      <c r="W388" s="45"/>
      <c r="X388" s="45"/>
      <c r="Y388" s="45"/>
      <c r="Z388" s="45"/>
      <c r="AA388" s="45"/>
      <c r="AB388" s="45"/>
      <c r="AC388" s="45"/>
    </row>
    <row r="389" spans="1:29" ht="13.15">
      <c r="A389" s="45"/>
      <c r="B389" s="45"/>
      <c r="C389" s="45"/>
      <c r="D389" s="45"/>
      <c r="E389" s="45"/>
      <c r="F389" s="45"/>
      <c r="G389" s="45"/>
      <c r="H389" s="45"/>
      <c r="I389" s="44"/>
      <c r="J389" s="44"/>
      <c r="K389" s="45"/>
      <c r="L389" s="44"/>
      <c r="M389" s="44"/>
      <c r="N389" s="44"/>
      <c r="O389" s="44"/>
      <c r="P389" s="44"/>
      <c r="Q389" s="44"/>
      <c r="R389" s="44"/>
      <c r="S389" s="45"/>
      <c r="T389" s="45"/>
      <c r="U389" s="45"/>
      <c r="V389" s="45"/>
      <c r="W389" s="45"/>
      <c r="X389" s="45"/>
      <c r="Y389" s="45"/>
      <c r="Z389" s="45"/>
      <c r="AA389" s="45"/>
      <c r="AB389" s="45"/>
      <c r="AC389" s="45"/>
    </row>
    <row r="390" spans="1:29" ht="13.15">
      <c r="A390" s="45"/>
      <c r="B390" s="45"/>
      <c r="C390" s="45"/>
      <c r="D390" s="45"/>
      <c r="E390" s="45"/>
      <c r="F390" s="45"/>
      <c r="G390" s="45"/>
      <c r="H390" s="45"/>
      <c r="I390" s="44"/>
      <c r="J390" s="44"/>
      <c r="K390" s="45"/>
      <c r="L390" s="44"/>
      <c r="M390" s="44"/>
      <c r="N390" s="44"/>
      <c r="O390" s="44"/>
      <c r="P390" s="44"/>
      <c r="Q390" s="44"/>
      <c r="R390" s="44"/>
      <c r="S390" s="45"/>
      <c r="T390" s="45"/>
      <c r="U390" s="45"/>
      <c r="V390" s="45"/>
      <c r="W390" s="45"/>
      <c r="X390" s="45"/>
      <c r="Y390" s="45"/>
      <c r="Z390" s="45"/>
      <c r="AA390" s="45"/>
      <c r="AB390" s="45"/>
      <c r="AC390" s="45"/>
    </row>
    <row r="391" spans="1:29" ht="13.15">
      <c r="A391" s="45"/>
      <c r="B391" s="45"/>
      <c r="C391" s="45"/>
      <c r="D391" s="45"/>
      <c r="E391" s="45"/>
      <c r="F391" s="45"/>
      <c r="G391" s="45"/>
      <c r="H391" s="45"/>
      <c r="I391" s="44"/>
      <c r="J391" s="44"/>
      <c r="K391" s="45"/>
      <c r="L391" s="44"/>
      <c r="M391" s="44"/>
      <c r="N391" s="44"/>
      <c r="O391" s="44"/>
      <c r="P391" s="44"/>
      <c r="Q391" s="44"/>
      <c r="R391" s="44"/>
      <c r="S391" s="45"/>
      <c r="T391" s="45"/>
      <c r="U391" s="45"/>
      <c r="V391" s="45"/>
      <c r="W391" s="45"/>
      <c r="X391" s="45"/>
      <c r="Y391" s="45"/>
      <c r="Z391" s="45"/>
      <c r="AA391" s="45"/>
      <c r="AB391" s="45"/>
      <c r="AC391" s="45"/>
    </row>
    <row r="392" spans="1:29" ht="13.15">
      <c r="A392" s="45"/>
      <c r="B392" s="45"/>
      <c r="C392" s="45"/>
      <c r="D392" s="45"/>
      <c r="E392" s="45"/>
      <c r="F392" s="45"/>
      <c r="G392" s="45"/>
      <c r="H392" s="45"/>
      <c r="I392" s="44"/>
      <c r="J392" s="44"/>
      <c r="K392" s="45"/>
      <c r="L392" s="44"/>
      <c r="M392" s="44"/>
      <c r="N392" s="44"/>
      <c r="O392" s="44"/>
      <c r="P392" s="44"/>
      <c r="Q392" s="44"/>
      <c r="R392" s="44"/>
      <c r="S392" s="45"/>
      <c r="T392" s="45"/>
      <c r="U392" s="45"/>
      <c r="V392" s="45"/>
      <c r="W392" s="45"/>
      <c r="X392" s="45"/>
      <c r="Y392" s="45"/>
      <c r="Z392" s="45"/>
      <c r="AA392" s="45"/>
      <c r="AB392" s="45"/>
      <c r="AC392" s="45"/>
    </row>
    <row r="393" spans="1:29" ht="13.15">
      <c r="A393" s="45"/>
      <c r="B393" s="45"/>
      <c r="C393" s="45"/>
      <c r="D393" s="45"/>
      <c r="E393" s="45"/>
      <c r="F393" s="45"/>
      <c r="G393" s="45"/>
      <c r="H393" s="45"/>
      <c r="I393" s="44"/>
      <c r="J393" s="44"/>
      <c r="K393" s="45"/>
      <c r="L393" s="44"/>
      <c r="M393" s="44"/>
      <c r="N393" s="44"/>
      <c r="O393" s="44"/>
      <c r="P393" s="44"/>
      <c r="Q393" s="44"/>
      <c r="R393" s="44"/>
      <c r="S393" s="45"/>
      <c r="T393" s="45"/>
      <c r="U393" s="45"/>
      <c r="V393" s="45"/>
      <c r="W393" s="45"/>
      <c r="X393" s="45"/>
      <c r="Y393" s="45"/>
      <c r="Z393" s="45"/>
      <c r="AA393" s="45"/>
      <c r="AB393" s="45"/>
      <c r="AC393" s="45"/>
    </row>
    <row r="394" spans="1:29" ht="13.15">
      <c r="A394" s="45"/>
      <c r="B394" s="45"/>
      <c r="C394" s="45"/>
      <c r="D394" s="45"/>
      <c r="E394" s="45"/>
      <c r="F394" s="45"/>
      <c r="G394" s="45"/>
      <c r="H394" s="45"/>
      <c r="I394" s="44"/>
      <c r="J394" s="44"/>
      <c r="K394" s="45"/>
      <c r="L394" s="44"/>
      <c r="M394" s="44"/>
      <c r="N394" s="44"/>
      <c r="O394" s="44"/>
      <c r="P394" s="44"/>
      <c r="Q394" s="44"/>
      <c r="R394" s="44"/>
      <c r="S394" s="45"/>
      <c r="T394" s="45"/>
      <c r="U394" s="45"/>
      <c r="V394" s="45"/>
      <c r="W394" s="45"/>
      <c r="X394" s="45"/>
      <c r="Y394" s="45"/>
      <c r="Z394" s="45"/>
      <c r="AA394" s="45"/>
      <c r="AB394" s="45"/>
      <c r="AC394" s="45"/>
    </row>
    <row r="395" spans="1:29" ht="13.15">
      <c r="A395" s="45"/>
      <c r="B395" s="45"/>
      <c r="C395" s="45"/>
      <c r="D395" s="45"/>
      <c r="E395" s="45"/>
      <c r="F395" s="45"/>
      <c r="G395" s="45"/>
      <c r="H395" s="45"/>
      <c r="I395" s="44"/>
      <c r="J395" s="44"/>
      <c r="K395" s="45"/>
      <c r="L395" s="44"/>
      <c r="M395" s="44"/>
      <c r="N395" s="44"/>
      <c r="O395" s="44"/>
      <c r="P395" s="44"/>
      <c r="Q395" s="44"/>
      <c r="R395" s="44"/>
      <c r="S395" s="45"/>
      <c r="T395" s="45"/>
      <c r="U395" s="45"/>
      <c r="V395" s="45"/>
      <c r="W395" s="45"/>
      <c r="X395" s="45"/>
      <c r="Y395" s="45"/>
      <c r="Z395" s="45"/>
      <c r="AA395" s="45"/>
      <c r="AB395" s="45"/>
      <c r="AC395" s="45"/>
    </row>
    <row r="396" spans="1:29" ht="13.15">
      <c r="A396" s="45"/>
      <c r="B396" s="45"/>
      <c r="C396" s="45"/>
      <c r="D396" s="45"/>
      <c r="E396" s="45"/>
      <c r="F396" s="45"/>
      <c r="G396" s="45"/>
      <c r="H396" s="45"/>
      <c r="I396" s="44"/>
      <c r="J396" s="44"/>
      <c r="K396" s="45"/>
      <c r="L396" s="44"/>
      <c r="M396" s="44"/>
      <c r="N396" s="44"/>
      <c r="O396" s="44"/>
      <c r="P396" s="44"/>
      <c r="Q396" s="44"/>
      <c r="R396" s="44"/>
      <c r="S396" s="45"/>
      <c r="T396" s="45"/>
      <c r="U396" s="45"/>
      <c r="V396" s="45"/>
      <c r="W396" s="45"/>
      <c r="X396" s="45"/>
      <c r="Y396" s="45"/>
      <c r="Z396" s="45"/>
      <c r="AA396" s="45"/>
      <c r="AB396" s="45"/>
      <c r="AC396" s="45"/>
    </row>
    <row r="397" spans="1:29" ht="13.15">
      <c r="A397" s="45"/>
      <c r="B397" s="45"/>
      <c r="C397" s="45"/>
      <c r="D397" s="45"/>
      <c r="E397" s="45"/>
      <c r="F397" s="45"/>
      <c r="G397" s="45"/>
      <c r="H397" s="45"/>
      <c r="I397" s="44"/>
      <c r="J397" s="44"/>
      <c r="K397" s="45"/>
      <c r="L397" s="44"/>
      <c r="M397" s="44"/>
      <c r="N397" s="44"/>
      <c r="O397" s="44"/>
      <c r="P397" s="44"/>
      <c r="Q397" s="44"/>
      <c r="R397" s="44"/>
      <c r="S397" s="45"/>
      <c r="T397" s="45"/>
      <c r="U397" s="45"/>
      <c r="V397" s="45"/>
      <c r="W397" s="45"/>
      <c r="X397" s="45"/>
      <c r="Y397" s="45"/>
      <c r="Z397" s="45"/>
      <c r="AA397" s="45"/>
      <c r="AB397" s="45"/>
      <c r="AC397" s="45"/>
    </row>
    <row r="398" spans="1:29" ht="13.15">
      <c r="A398" s="45"/>
      <c r="B398" s="45"/>
      <c r="C398" s="45"/>
      <c r="D398" s="45"/>
      <c r="E398" s="45"/>
      <c r="F398" s="45"/>
      <c r="G398" s="45"/>
      <c r="H398" s="45"/>
      <c r="I398" s="44"/>
      <c r="J398" s="44"/>
      <c r="K398" s="45"/>
      <c r="L398" s="44"/>
      <c r="M398" s="44"/>
      <c r="N398" s="44"/>
      <c r="O398" s="44"/>
      <c r="P398" s="44"/>
      <c r="Q398" s="44"/>
      <c r="R398" s="44"/>
      <c r="S398" s="45"/>
      <c r="T398" s="45"/>
      <c r="U398" s="45"/>
      <c r="V398" s="45"/>
      <c r="W398" s="45"/>
      <c r="X398" s="45"/>
      <c r="Y398" s="45"/>
      <c r="Z398" s="45"/>
      <c r="AA398" s="45"/>
      <c r="AB398" s="45"/>
      <c r="AC398" s="45"/>
    </row>
    <row r="399" spans="1:29" ht="13.15">
      <c r="A399" s="45"/>
      <c r="B399" s="45"/>
      <c r="C399" s="45"/>
      <c r="D399" s="45"/>
      <c r="E399" s="45"/>
      <c r="F399" s="45"/>
      <c r="G399" s="45"/>
      <c r="H399" s="45"/>
      <c r="I399" s="44"/>
      <c r="J399" s="44"/>
      <c r="K399" s="45"/>
      <c r="L399" s="44"/>
      <c r="M399" s="44"/>
      <c r="N399" s="44"/>
      <c r="O399" s="44"/>
      <c r="P399" s="44"/>
      <c r="Q399" s="44"/>
      <c r="R399" s="44"/>
      <c r="S399" s="45"/>
      <c r="T399" s="45"/>
      <c r="U399" s="45"/>
      <c r="V399" s="45"/>
      <c r="W399" s="45"/>
      <c r="X399" s="45"/>
      <c r="Y399" s="45"/>
      <c r="Z399" s="45"/>
      <c r="AA399" s="45"/>
      <c r="AB399" s="45"/>
      <c r="AC399" s="45"/>
    </row>
    <row r="400" spans="1:29" ht="13.15">
      <c r="A400" s="45"/>
      <c r="B400" s="45"/>
      <c r="C400" s="45"/>
      <c r="D400" s="45"/>
      <c r="E400" s="45"/>
      <c r="F400" s="45"/>
      <c r="G400" s="45"/>
      <c r="H400" s="45"/>
      <c r="I400" s="44"/>
      <c r="J400" s="44"/>
      <c r="K400" s="45"/>
      <c r="L400" s="44"/>
      <c r="M400" s="44"/>
      <c r="N400" s="44"/>
      <c r="O400" s="44"/>
      <c r="P400" s="44"/>
      <c r="Q400" s="44"/>
      <c r="R400" s="44"/>
      <c r="S400" s="45"/>
      <c r="T400" s="45"/>
      <c r="U400" s="45"/>
      <c r="V400" s="45"/>
      <c r="W400" s="45"/>
      <c r="X400" s="45"/>
      <c r="Y400" s="45"/>
      <c r="Z400" s="45"/>
      <c r="AA400" s="45"/>
      <c r="AB400" s="45"/>
      <c r="AC400" s="45"/>
    </row>
    <row r="401" spans="1:29" ht="13.15">
      <c r="A401" s="45"/>
      <c r="B401" s="45"/>
      <c r="C401" s="45"/>
      <c r="D401" s="45"/>
      <c r="E401" s="45"/>
      <c r="F401" s="45"/>
      <c r="G401" s="45"/>
      <c r="H401" s="45"/>
      <c r="I401" s="44"/>
      <c r="J401" s="44"/>
      <c r="K401" s="45"/>
      <c r="L401" s="44"/>
      <c r="M401" s="44"/>
      <c r="N401" s="44"/>
      <c r="O401" s="44"/>
      <c r="P401" s="44"/>
      <c r="Q401" s="44"/>
      <c r="R401" s="44"/>
      <c r="S401" s="45"/>
      <c r="T401" s="45"/>
      <c r="U401" s="45"/>
      <c r="V401" s="45"/>
      <c r="W401" s="45"/>
      <c r="X401" s="45"/>
      <c r="Y401" s="45"/>
      <c r="Z401" s="45"/>
      <c r="AA401" s="45"/>
      <c r="AB401" s="45"/>
      <c r="AC401" s="45"/>
    </row>
    <row r="402" spans="1:29" ht="13.15">
      <c r="A402" s="45"/>
      <c r="B402" s="45"/>
      <c r="C402" s="45"/>
      <c r="D402" s="45"/>
      <c r="E402" s="45"/>
      <c r="F402" s="45"/>
      <c r="G402" s="45"/>
      <c r="H402" s="45"/>
      <c r="I402" s="44"/>
      <c r="J402" s="44"/>
      <c r="K402" s="45"/>
      <c r="L402" s="44"/>
      <c r="M402" s="44"/>
      <c r="N402" s="44"/>
      <c r="O402" s="44"/>
      <c r="P402" s="44"/>
      <c r="Q402" s="44"/>
      <c r="R402" s="44"/>
      <c r="S402" s="45"/>
      <c r="T402" s="45"/>
      <c r="U402" s="45"/>
      <c r="V402" s="45"/>
      <c r="W402" s="45"/>
      <c r="X402" s="45"/>
      <c r="Y402" s="45"/>
      <c r="Z402" s="45"/>
      <c r="AA402" s="45"/>
      <c r="AB402" s="45"/>
      <c r="AC402" s="45"/>
    </row>
    <row r="403" spans="1:29" ht="13.15">
      <c r="A403" s="45"/>
      <c r="B403" s="45"/>
      <c r="C403" s="45"/>
      <c r="D403" s="45"/>
      <c r="E403" s="45"/>
      <c r="F403" s="45"/>
      <c r="G403" s="45"/>
      <c r="H403" s="45"/>
      <c r="I403" s="44"/>
      <c r="J403" s="44"/>
      <c r="K403" s="45"/>
      <c r="L403" s="44"/>
      <c r="M403" s="44"/>
      <c r="N403" s="44"/>
      <c r="O403" s="44"/>
      <c r="P403" s="44"/>
      <c r="Q403" s="44"/>
      <c r="R403" s="44"/>
      <c r="S403" s="45"/>
      <c r="T403" s="45"/>
      <c r="U403" s="45"/>
      <c r="V403" s="45"/>
      <c r="W403" s="45"/>
      <c r="X403" s="45"/>
      <c r="Y403" s="45"/>
      <c r="Z403" s="45"/>
      <c r="AA403" s="45"/>
      <c r="AB403" s="45"/>
      <c r="AC403" s="45"/>
    </row>
    <row r="404" spans="1:29" ht="13.15">
      <c r="A404" s="45"/>
      <c r="B404" s="45"/>
      <c r="C404" s="45"/>
      <c r="D404" s="45"/>
      <c r="E404" s="45"/>
      <c r="F404" s="45"/>
      <c r="G404" s="45"/>
      <c r="H404" s="45"/>
      <c r="I404" s="44"/>
      <c r="J404" s="44"/>
      <c r="K404" s="45"/>
      <c r="L404" s="44"/>
      <c r="M404" s="44"/>
      <c r="N404" s="44"/>
      <c r="O404" s="44"/>
      <c r="P404" s="44"/>
      <c r="Q404" s="44"/>
      <c r="R404" s="44"/>
      <c r="S404" s="45"/>
      <c r="T404" s="45"/>
      <c r="U404" s="45"/>
      <c r="V404" s="45"/>
      <c r="W404" s="45"/>
      <c r="X404" s="45"/>
      <c r="Y404" s="45"/>
      <c r="Z404" s="45"/>
      <c r="AA404" s="45"/>
      <c r="AB404" s="45"/>
      <c r="AC404" s="45"/>
    </row>
    <row r="405" spans="1:29" ht="13.15">
      <c r="A405" s="45"/>
      <c r="B405" s="45"/>
      <c r="C405" s="45"/>
      <c r="D405" s="45"/>
      <c r="E405" s="45"/>
      <c r="F405" s="45"/>
      <c r="G405" s="45"/>
      <c r="H405" s="45"/>
      <c r="I405" s="44"/>
      <c r="J405" s="44"/>
      <c r="K405" s="45"/>
      <c r="L405" s="44"/>
      <c r="M405" s="44"/>
      <c r="N405" s="44"/>
      <c r="O405" s="44"/>
      <c r="P405" s="44"/>
      <c r="Q405" s="44"/>
      <c r="R405" s="44"/>
      <c r="S405" s="45"/>
      <c r="T405" s="45"/>
      <c r="U405" s="45"/>
      <c r="V405" s="45"/>
      <c r="W405" s="45"/>
      <c r="X405" s="45"/>
      <c r="Y405" s="45"/>
      <c r="Z405" s="45"/>
      <c r="AA405" s="45"/>
      <c r="AB405" s="45"/>
      <c r="AC405" s="45"/>
    </row>
    <row r="406" spans="1:29" ht="13.15">
      <c r="A406" s="45"/>
      <c r="B406" s="45"/>
      <c r="C406" s="45"/>
      <c r="D406" s="45"/>
      <c r="E406" s="45"/>
      <c r="F406" s="45"/>
      <c r="G406" s="45"/>
      <c r="H406" s="45"/>
      <c r="I406" s="44"/>
      <c r="J406" s="44"/>
      <c r="K406" s="45"/>
      <c r="L406" s="44"/>
      <c r="M406" s="44"/>
      <c r="N406" s="44"/>
      <c r="O406" s="44"/>
      <c r="P406" s="44"/>
      <c r="Q406" s="44"/>
      <c r="R406" s="44"/>
      <c r="S406" s="45"/>
      <c r="T406" s="45"/>
      <c r="U406" s="45"/>
      <c r="V406" s="45"/>
      <c r="W406" s="45"/>
      <c r="X406" s="45"/>
      <c r="Y406" s="45"/>
      <c r="Z406" s="45"/>
      <c r="AA406" s="45"/>
      <c r="AB406" s="45"/>
      <c r="AC406" s="45"/>
    </row>
    <row r="407" spans="1:29" ht="13.15">
      <c r="A407" s="45"/>
      <c r="B407" s="45"/>
      <c r="C407" s="45"/>
      <c r="D407" s="45"/>
      <c r="E407" s="45"/>
      <c r="F407" s="45"/>
      <c r="G407" s="45"/>
      <c r="H407" s="45"/>
      <c r="I407" s="44"/>
      <c r="J407" s="44"/>
      <c r="K407" s="45"/>
      <c r="L407" s="44"/>
      <c r="M407" s="44"/>
      <c r="N407" s="44"/>
      <c r="O407" s="44"/>
      <c r="P407" s="44"/>
      <c r="Q407" s="44"/>
      <c r="R407" s="44"/>
      <c r="S407" s="45"/>
      <c r="T407" s="45"/>
      <c r="U407" s="45"/>
      <c r="V407" s="45"/>
      <c r="W407" s="45"/>
      <c r="X407" s="45"/>
      <c r="Y407" s="45"/>
      <c r="Z407" s="45"/>
      <c r="AA407" s="45"/>
      <c r="AB407" s="45"/>
      <c r="AC407" s="45"/>
    </row>
    <row r="408" spans="1:29" ht="13.15">
      <c r="A408" s="45"/>
      <c r="B408" s="45"/>
      <c r="C408" s="45"/>
      <c r="D408" s="45"/>
      <c r="E408" s="45"/>
      <c r="F408" s="45"/>
      <c r="G408" s="45"/>
      <c r="H408" s="45"/>
      <c r="I408" s="44"/>
      <c r="J408" s="44"/>
      <c r="K408" s="45"/>
      <c r="L408" s="44"/>
      <c r="M408" s="44"/>
      <c r="N408" s="44"/>
      <c r="O408" s="44"/>
      <c r="P408" s="44"/>
      <c r="Q408" s="44"/>
      <c r="R408" s="44"/>
      <c r="S408" s="45"/>
      <c r="T408" s="45"/>
      <c r="U408" s="45"/>
      <c r="V408" s="45"/>
      <c r="W408" s="45"/>
      <c r="X408" s="45"/>
      <c r="Y408" s="45"/>
      <c r="Z408" s="45"/>
      <c r="AA408" s="45"/>
      <c r="AB408" s="45"/>
      <c r="AC408" s="45"/>
    </row>
    <row r="409" spans="1:29" ht="13.15">
      <c r="A409" s="45"/>
      <c r="B409" s="45"/>
      <c r="C409" s="45"/>
      <c r="D409" s="45"/>
      <c r="E409" s="45"/>
      <c r="F409" s="45"/>
      <c r="G409" s="45"/>
      <c r="H409" s="45"/>
      <c r="I409" s="44"/>
      <c r="J409" s="44"/>
      <c r="K409" s="45"/>
      <c r="L409" s="44"/>
      <c r="M409" s="44"/>
      <c r="N409" s="44"/>
      <c r="O409" s="44"/>
      <c r="P409" s="44"/>
      <c r="Q409" s="44"/>
      <c r="R409" s="44"/>
      <c r="S409" s="45"/>
      <c r="T409" s="45"/>
      <c r="U409" s="45"/>
      <c r="V409" s="45"/>
      <c r="W409" s="45"/>
      <c r="X409" s="45"/>
      <c r="Y409" s="45"/>
      <c r="Z409" s="45"/>
      <c r="AA409" s="45"/>
      <c r="AB409" s="45"/>
      <c r="AC409" s="45"/>
    </row>
    <row r="410" spans="1:29" ht="13.15">
      <c r="A410" s="45"/>
      <c r="B410" s="45"/>
      <c r="C410" s="45"/>
      <c r="D410" s="45"/>
      <c r="E410" s="45"/>
      <c r="F410" s="45"/>
      <c r="G410" s="45"/>
      <c r="H410" s="45"/>
      <c r="I410" s="44"/>
      <c r="J410" s="44"/>
      <c r="K410" s="45"/>
      <c r="L410" s="44"/>
      <c r="M410" s="44"/>
      <c r="N410" s="44"/>
      <c r="O410" s="44"/>
      <c r="P410" s="44"/>
      <c r="Q410" s="44"/>
      <c r="R410" s="44"/>
      <c r="S410" s="45"/>
      <c r="T410" s="45"/>
      <c r="U410" s="45"/>
      <c r="V410" s="45"/>
      <c r="W410" s="45"/>
      <c r="X410" s="45"/>
      <c r="Y410" s="45"/>
      <c r="Z410" s="45"/>
      <c r="AA410" s="45"/>
      <c r="AB410" s="45"/>
      <c r="AC410" s="45"/>
    </row>
    <row r="411" spans="1:29" ht="13.15">
      <c r="A411" s="45"/>
      <c r="B411" s="45"/>
      <c r="C411" s="45"/>
      <c r="D411" s="45"/>
      <c r="E411" s="45"/>
      <c r="F411" s="45"/>
      <c r="G411" s="45"/>
      <c r="H411" s="45"/>
      <c r="I411" s="44"/>
      <c r="J411" s="44"/>
      <c r="K411" s="45"/>
      <c r="L411" s="44"/>
      <c r="M411" s="44"/>
      <c r="N411" s="44"/>
      <c r="O411" s="44"/>
      <c r="P411" s="44"/>
      <c r="Q411" s="44"/>
      <c r="R411" s="44"/>
      <c r="S411" s="45"/>
      <c r="T411" s="45"/>
      <c r="U411" s="45"/>
      <c r="V411" s="45"/>
      <c r="W411" s="45"/>
      <c r="X411" s="45"/>
      <c r="Y411" s="45"/>
      <c r="Z411" s="45"/>
      <c r="AA411" s="45"/>
      <c r="AB411" s="45"/>
      <c r="AC411" s="45"/>
    </row>
    <row r="412" spans="1:29" ht="13.15">
      <c r="A412" s="45"/>
      <c r="B412" s="45"/>
      <c r="C412" s="45"/>
      <c r="D412" s="45"/>
      <c r="E412" s="45"/>
      <c r="F412" s="45"/>
      <c r="G412" s="45"/>
      <c r="H412" s="45"/>
      <c r="I412" s="44"/>
      <c r="J412" s="44"/>
      <c r="K412" s="45"/>
      <c r="L412" s="44"/>
      <c r="M412" s="44"/>
      <c r="N412" s="44"/>
      <c r="O412" s="44"/>
      <c r="P412" s="44"/>
      <c r="Q412" s="44"/>
      <c r="R412" s="44"/>
      <c r="S412" s="45"/>
      <c r="T412" s="45"/>
      <c r="U412" s="45"/>
      <c r="V412" s="45"/>
      <c r="W412" s="45"/>
      <c r="X412" s="45"/>
      <c r="Y412" s="45"/>
      <c r="Z412" s="45"/>
      <c r="AA412" s="45"/>
      <c r="AB412" s="45"/>
      <c r="AC412" s="45"/>
    </row>
    <row r="413" spans="1:29" ht="13.15">
      <c r="A413" s="45"/>
      <c r="B413" s="45"/>
      <c r="C413" s="45"/>
      <c r="D413" s="45"/>
      <c r="E413" s="45"/>
      <c r="F413" s="45"/>
      <c r="G413" s="45"/>
      <c r="H413" s="45"/>
      <c r="I413" s="44"/>
      <c r="J413" s="44"/>
      <c r="K413" s="45"/>
      <c r="L413" s="44"/>
      <c r="M413" s="44"/>
      <c r="N413" s="44"/>
      <c r="O413" s="44"/>
      <c r="P413" s="44"/>
      <c r="Q413" s="44"/>
      <c r="R413" s="44"/>
      <c r="S413" s="45"/>
      <c r="T413" s="45"/>
      <c r="U413" s="45"/>
      <c r="V413" s="45"/>
      <c r="W413" s="45"/>
      <c r="X413" s="45"/>
      <c r="Y413" s="45"/>
      <c r="Z413" s="45"/>
      <c r="AA413" s="45"/>
      <c r="AB413" s="45"/>
      <c r="AC413" s="45"/>
    </row>
    <row r="414" spans="1:29" ht="13.15">
      <c r="A414" s="45"/>
      <c r="B414" s="45"/>
      <c r="C414" s="45"/>
      <c r="D414" s="45"/>
      <c r="E414" s="45"/>
      <c r="F414" s="45"/>
      <c r="G414" s="45"/>
      <c r="H414" s="45"/>
      <c r="I414" s="44"/>
      <c r="J414" s="44"/>
      <c r="K414" s="45"/>
      <c r="L414" s="44"/>
      <c r="M414" s="44"/>
      <c r="N414" s="44"/>
      <c r="O414" s="44"/>
      <c r="P414" s="44"/>
      <c r="Q414" s="44"/>
      <c r="R414" s="44"/>
      <c r="S414" s="45"/>
      <c r="T414" s="45"/>
      <c r="U414" s="45"/>
      <c r="V414" s="45"/>
      <c r="W414" s="45"/>
      <c r="X414" s="45"/>
      <c r="Y414" s="45"/>
      <c r="Z414" s="45"/>
      <c r="AA414" s="45"/>
      <c r="AB414" s="45"/>
      <c r="AC414" s="45"/>
    </row>
    <row r="415" spans="1:29" ht="13.15">
      <c r="A415" s="45"/>
      <c r="B415" s="45"/>
      <c r="C415" s="45"/>
      <c r="D415" s="45"/>
      <c r="E415" s="45"/>
      <c r="F415" s="45"/>
      <c r="G415" s="45"/>
      <c r="H415" s="45"/>
      <c r="I415" s="44"/>
      <c r="J415" s="44"/>
      <c r="K415" s="45"/>
      <c r="L415" s="44"/>
      <c r="M415" s="44"/>
      <c r="N415" s="44"/>
      <c r="O415" s="44"/>
      <c r="P415" s="44"/>
      <c r="Q415" s="44"/>
      <c r="R415" s="44"/>
      <c r="S415" s="45"/>
      <c r="T415" s="45"/>
      <c r="U415" s="45"/>
      <c r="V415" s="45"/>
      <c r="W415" s="45"/>
      <c r="X415" s="45"/>
      <c r="Y415" s="45"/>
      <c r="Z415" s="45"/>
      <c r="AA415" s="45"/>
      <c r="AB415" s="45"/>
      <c r="AC415" s="45"/>
    </row>
    <row r="416" spans="1:29" ht="13.15">
      <c r="A416" s="45"/>
      <c r="B416" s="45"/>
      <c r="C416" s="45"/>
      <c r="D416" s="45"/>
      <c r="E416" s="45"/>
      <c r="F416" s="45"/>
      <c r="G416" s="45"/>
      <c r="H416" s="45"/>
      <c r="I416" s="44"/>
      <c r="J416" s="44"/>
      <c r="K416" s="45"/>
      <c r="L416" s="44"/>
      <c r="M416" s="44"/>
      <c r="N416" s="44"/>
      <c r="O416" s="44"/>
      <c r="P416" s="44"/>
      <c r="Q416" s="44"/>
      <c r="R416" s="44"/>
      <c r="S416" s="45"/>
      <c r="T416" s="45"/>
      <c r="U416" s="45"/>
      <c r="V416" s="45"/>
      <c r="W416" s="45"/>
      <c r="X416" s="45"/>
      <c r="Y416" s="45"/>
      <c r="Z416" s="45"/>
      <c r="AA416" s="45"/>
      <c r="AB416" s="45"/>
      <c r="AC416" s="45"/>
    </row>
    <row r="417" spans="1:29" ht="13.15">
      <c r="A417" s="45"/>
      <c r="B417" s="45"/>
      <c r="C417" s="45"/>
      <c r="D417" s="45"/>
      <c r="E417" s="45"/>
      <c r="F417" s="45"/>
      <c r="G417" s="45"/>
      <c r="H417" s="45"/>
      <c r="I417" s="44"/>
      <c r="J417" s="44"/>
      <c r="K417" s="45"/>
      <c r="L417" s="44"/>
      <c r="M417" s="44"/>
      <c r="N417" s="44"/>
      <c r="O417" s="44"/>
      <c r="P417" s="44"/>
      <c r="Q417" s="44"/>
      <c r="R417" s="44"/>
      <c r="S417" s="45"/>
      <c r="T417" s="45"/>
      <c r="U417" s="45"/>
      <c r="V417" s="45"/>
      <c r="W417" s="45"/>
      <c r="X417" s="45"/>
      <c r="Y417" s="45"/>
      <c r="Z417" s="45"/>
      <c r="AA417" s="45"/>
      <c r="AB417" s="45"/>
      <c r="AC417" s="45"/>
    </row>
    <row r="418" spans="1:29" ht="13.15">
      <c r="A418" s="45"/>
      <c r="B418" s="45"/>
      <c r="C418" s="45"/>
      <c r="D418" s="45"/>
      <c r="E418" s="45"/>
      <c r="F418" s="45"/>
      <c r="G418" s="45"/>
      <c r="H418" s="45"/>
      <c r="I418" s="44"/>
      <c r="J418" s="44"/>
      <c r="K418" s="45"/>
      <c r="L418" s="44"/>
      <c r="M418" s="44"/>
      <c r="N418" s="44"/>
      <c r="O418" s="44"/>
      <c r="P418" s="44"/>
      <c r="Q418" s="44"/>
      <c r="R418" s="44"/>
      <c r="S418" s="45"/>
      <c r="T418" s="45"/>
      <c r="U418" s="45"/>
      <c r="V418" s="45"/>
      <c r="W418" s="45"/>
      <c r="X418" s="45"/>
      <c r="Y418" s="45"/>
      <c r="Z418" s="45"/>
      <c r="AA418" s="45"/>
      <c r="AB418" s="45"/>
      <c r="AC418" s="45"/>
    </row>
    <row r="419" spans="1:29" ht="13.15">
      <c r="A419" s="45"/>
      <c r="B419" s="45"/>
      <c r="C419" s="45"/>
      <c r="D419" s="45"/>
      <c r="E419" s="45"/>
      <c r="F419" s="45"/>
      <c r="G419" s="45"/>
      <c r="H419" s="45"/>
      <c r="I419" s="44"/>
      <c r="J419" s="44"/>
      <c r="K419" s="45"/>
      <c r="L419" s="44"/>
      <c r="M419" s="44"/>
      <c r="N419" s="44"/>
      <c r="O419" s="44"/>
      <c r="P419" s="44"/>
      <c r="Q419" s="44"/>
      <c r="R419" s="44"/>
      <c r="S419" s="45"/>
      <c r="T419" s="45"/>
      <c r="U419" s="45"/>
      <c r="V419" s="45"/>
      <c r="W419" s="45"/>
      <c r="X419" s="45"/>
      <c r="Y419" s="45"/>
      <c r="Z419" s="45"/>
      <c r="AA419" s="45"/>
      <c r="AB419" s="45"/>
      <c r="AC419" s="45"/>
    </row>
    <row r="420" spans="1:29" ht="13.15">
      <c r="A420" s="45"/>
      <c r="B420" s="45"/>
      <c r="C420" s="45"/>
      <c r="D420" s="45"/>
      <c r="E420" s="45"/>
      <c r="F420" s="45"/>
      <c r="G420" s="45"/>
      <c r="H420" s="45"/>
      <c r="I420" s="44"/>
      <c r="J420" s="44"/>
      <c r="K420" s="45"/>
      <c r="L420" s="44"/>
      <c r="M420" s="44"/>
      <c r="N420" s="44"/>
      <c r="O420" s="44"/>
      <c r="P420" s="44"/>
      <c r="Q420" s="44"/>
      <c r="R420" s="44"/>
      <c r="S420" s="45"/>
      <c r="T420" s="45"/>
      <c r="U420" s="45"/>
      <c r="V420" s="45"/>
      <c r="W420" s="45"/>
      <c r="X420" s="45"/>
      <c r="Y420" s="45"/>
      <c r="Z420" s="45"/>
      <c r="AA420" s="45"/>
      <c r="AB420" s="45"/>
      <c r="AC420" s="45"/>
    </row>
    <row r="421" spans="1:29" ht="13.15">
      <c r="A421" s="45"/>
      <c r="B421" s="45"/>
      <c r="C421" s="45"/>
      <c r="D421" s="45"/>
      <c r="E421" s="45"/>
      <c r="F421" s="45"/>
      <c r="G421" s="45"/>
      <c r="H421" s="45"/>
      <c r="I421" s="44"/>
      <c r="J421" s="44"/>
      <c r="K421" s="45"/>
      <c r="L421" s="44"/>
      <c r="M421" s="44"/>
      <c r="N421" s="44"/>
      <c r="O421" s="44"/>
      <c r="P421" s="44"/>
      <c r="Q421" s="44"/>
      <c r="R421" s="44"/>
      <c r="S421" s="45"/>
      <c r="T421" s="45"/>
      <c r="U421" s="45"/>
      <c r="V421" s="45"/>
      <c r="W421" s="45"/>
      <c r="X421" s="45"/>
      <c r="Y421" s="45"/>
      <c r="Z421" s="45"/>
      <c r="AA421" s="45"/>
      <c r="AB421" s="45"/>
      <c r="AC421" s="45"/>
    </row>
    <row r="422" spans="1:29" ht="13.15">
      <c r="A422" s="45"/>
      <c r="B422" s="45"/>
      <c r="C422" s="45"/>
      <c r="D422" s="45"/>
      <c r="E422" s="45"/>
      <c r="F422" s="45"/>
      <c r="G422" s="45"/>
      <c r="H422" s="45"/>
      <c r="I422" s="44"/>
      <c r="J422" s="44"/>
      <c r="K422" s="45"/>
      <c r="L422" s="44"/>
      <c r="M422" s="44"/>
      <c r="N422" s="44"/>
      <c r="O422" s="44"/>
      <c r="P422" s="44"/>
      <c r="Q422" s="44"/>
      <c r="R422" s="44"/>
      <c r="S422" s="45"/>
      <c r="T422" s="45"/>
      <c r="U422" s="45"/>
      <c r="V422" s="45"/>
      <c r="W422" s="45"/>
      <c r="X422" s="45"/>
      <c r="Y422" s="45"/>
      <c r="Z422" s="45"/>
      <c r="AA422" s="45"/>
      <c r="AB422" s="45"/>
      <c r="AC422" s="45"/>
    </row>
    <row r="423" spans="1:29" ht="13.15">
      <c r="A423" s="45"/>
      <c r="B423" s="45"/>
      <c r="C423" s="45"/>
      <c r="D423" s="45"/>
      <c r="E423" s="45"/>
      <c r="F423" s="45"/>
      <c r="G423" s="45"/>
      <c r="H423" s="45"/>
      <c r="I423" s="44"/>
      <c r="J423" s="44"/>
      <c r="K423" s="45"/>
      <c r="L423" s="44"/>
      <c r="M423" s="44"/>
      <c r="N423" s="44"/>
      <c r="O423" s="44"/>
      <c r="P423" s="44"/>
      <c r="Q423" s="44"/>
      <c r="R423" s="44"/>
      <c r="S423" s="45"/>
      <c r="T423" s="45"/>
      <c r="U423" s="45"/>
      <c r="V423" s="45"/>
      <c r="W423" s="45"/>
      <c r="X423" s="45"/>
      <c r="Y423" s="45"/>
      <c r="Z423" s="45"/>
      <c r="AA423" s="45"/>
      <c r="AB423" s="45"/>
      <c r="AC423" s="45"/>
    </row>
    <row r="424" spans="1:29" ht="13.15">
      <c r="A424" s="45"/>
      <c r="B424" s="45"/>
      <c r="C424" s="45"/>
      <c r="D424" s="45"/>
      <c r="E424" s="45"/>
      <c r="F424" s="45"/>
      <c r="G424" s="45"/>
      <c r="H424" s="45"/>
      <c r="I424" s="44"/>
      <c r="J424" s="44"/>
      <c r="K424" s="45"/>
      <c r="L424" s="44"/>
      <c r="M424" s="44"/>
      <c r="N424" s="44"/>
      <c r="O424" s="44"/>
      <c r="P424" s="44"/>
      <c r="Q424" s="44"/>
      <c r="R424" s="44"/>
      <c r="S424" s="45"/>
      <c r="T424" s="45"/>
      <c r="U424" s="45"/>
      <c r="V424" s="45"/>
      <c r="W424" s="45"/>
      <c r="X424" s="45"/>
      <c r="Y424" s="45"/>
      <c r="Z424" s="45"/>
      <c r="AA424" s="45"/>
      <c r="AB424" s="45"/>
      <c r="AC424" s="45"/>
    </row>
    <row r="425" spans="1:29" ht="13.15">
      <c r="A425" s="45"/>
      <c r="B425" s="45"/>
      <c r="C425" s="45"/>
      <c r="D425" s="45"/>
      <c r="E425" s="45"/>
      <c r="F425" s="45"/>
      <c r="G425" s="45"/>
      <c r="H425" s="45"/>
      <c r="I425" s="44"/>
      <c r="J425" s="44"/>
      <c r="K425" s="45"/>
      <c r="L425" s="44"/>
      <c r="M425" s="44"/>
      <c r="N425" s="44"/>
      <c r="O425" s="44"/>
      <c r="P425" s="44"/>
      <c r="Q425" s="44"/>
      <c r="R425" s="44"/>
      <c r="S425" s="45"/>
      <c r="T425" s="45"/>
      <c r="U425" s="45"/>
      <c r="V425" s="45"/>
      <c r="W425" s="45"/>
      <c r="X425" s="45"/>
      <c r="Y425" s="45"/>
      <c r="Z425" s="45"/>
      <c r="AA425" s="45"/>
      <c r="AB425" s="45"/>
      <c r="AC425" s="45"/>
    </row>
    <row r="426" spans="1:29" ht="13.15">
      <c r="A426" s="45"/>
      <c r="B426" s="45"/>
      <c r="C426" s="45"/>
      <c r="D426" s="45"/>
      <c r="E426" s="45"/>
      <c r="F426" s="45"/>
      <c r="G426" s="45"/>
      <c r="H426" s="45"/>
      <c r="I426" s="44"/>
      <c r="J426" s="44"/>
      <c r="K426" s="45"/>
      <c r="L426" s="44"/>
      <c r="M426" s="44"/>
      <c r="N426" s="44"/>
      <c r="O426" s="44"/>
      <c r="P426" s="44"/>
      <c r="Q426" s="44"/>
      <c r="R426" s="44"/>
      <c r="S426" s="45"/>
      <c r="T426" s="45"/>
      <c r="U426" s="45"/>
      <c r="V426" s="45"/>
      <c r="W426" s="45"/>
      <c r="X426" s="45"/>
      <c r="Y426" s="45"/>
      <c r="Z426" s="45"/>
      <c r="AA426" s="45"/>
      <c r="AB426" s="45"/>
      <c r="AC426" s="45"/>
    </row>
    <row r="427" spans="1:29" ht="13.15">
      <c r="A427" s="45"/>
      <c r="B427" s="45"/>
      <c r="C427" s="45"/>
      <c r="D427" s="45"/>
      <c r="E427" s="45"/>
      <c r="F427" s="45"/>
      <c r="G427" s="45"/>
      <c r="H427" s="45"/>
      <c r="I427" s="44"/>
      <c r="J427" s="44"/>
      <c r="K427" s="45"/>
      <c r="L427" s="44"/>
      <c r="M427" s="44"/>
      <c r="N427" s="44"/>
      <c r="O427" s="44"/>
      <c r="P427" s="44"/>
      <c r="Q427" s="44"/>
      <c r="R427" s="44"/>
      <c r="S427" s="45"/>
      <c r="T427" s="45"/>
      <c r="U427" s="45"/>
      <c r="V427" s="45"/>
      <c r="W427" s="45"/>
      <c r="X427" s="45"/>
      <c r="Y427" s="45"/>
      <c r="Z427" s="45"/>
      <c r="AA427" s="45"/>
      <c r="AB427" s="45"/>
      <c r="AC427" s="45"/>
    </row>
    <row r="428" spans="1:29" ht="13.15">
      <c r="A428" s="45"/>
      <c r="B428" s="45"/>
      <c r="C428" s="45"/>
      <c r="D428" s="45"/>
      <c r="E428" s="45"/>
      <c r="F428" s="45"/>
      <c r="G428" s="45"/>
      <c r="H428" s="45"/>
      <c r="I428" s="44"/>
      <c r="J428" s="44"/>
      <c r="K428" s="45"/>
      <c r="L428" s="44"/>
      <c r="M428" s="44"/>
      <c r="N428" s="44"/>
      <c r="O428" s="44"/>
      <c r="P428" s="44"/>
      <c r="Q428" s="44"/>
      <c r="R428" s="44"/>
      <c r="S428" s="45"/>
      <c r="T428" s="45"/>
      <c r="U428" s="45"/>
      <c r="V428" s="45"/>
      <c r="W428" s="45"/>
      <c r="X428" s="45"/>
      <c r="Y428" s="45"/>
      <c r="Z428" s="45"/>
      <c r="AA428" s="45"/>
      <c r="AB428" s="45"/>
      <c r="AC428" s="45"/>
    </row>
    <row r="429" spans="1:29" ht="13.15">
      <c r="A429" s="45"/>
      <c r="B429" s="45"/>
      <c r="C429" s="45"/>
      <c r="D429" s="45"/>
      <c r="E429" s="45"/>
      <c r="F429" s="45"/>
      <c r="G429" s="45"/>
      <c r="H429" s="45"/>
      <c r="I429" s="44"/>
      <c r="J429" s="44"/>
      <c r="K429" s="45"/>
      <c r="L429" s="44"/>
      <c r="M429" s="44"/>
      <c r="N429" s="44"/>
      <c r="O429" s="44"/>
      <c r="P429" s="44"/>
      <c r="Q429" s="44"/>
      <c r="R429" s="44"/>
      <c r="S429" s="45"/>
      <c r="T429" s="45"/>
      <c r="U429" s="45"/>
      <c r="V429" s="45"/>
      <c r="W429" s="45"/>
      <c r="X429" s="45"/>
      <c r="Y429" s="45"/>
      <c r="Z429" s="45"/>
      <c r="AA429" s="45"/>
      <c r="AB429" s="45"/>
      <c r="AC429" s="45"/>
    </row>
    <row r="430" spans="1:29" ht="13.15">
      <c r="A430" s="45"/>
      <c r="B430" s="45"/>
      <c r="C430" s="45"/>
      <c r="D430" s="45"/>
      <c r="E430" s="45"/>
      <c r="F430" s="45"/>
      <c r="G430" s="45"/>
      <c r="H430" s="45"/>
      <c r="I430" s="44"/>
      <c r="J430" s="44"/>
      <c r="K430" s="45"/>
      <c r="L430" s="44"/>
      <c r="M430" s="44"/>
      <c r="N430" s="44"/>
      <c r="O430" s="44"/>
      <c r="P430" s="44"/>
      <c r="Q430" s="44"/>
      <c r="R430" s="44"/>
      <c r="S430" s="45"/>
      <c r="T430" s="45"/>
      <c r="U430" s="45"/>
      <c r="V430" s="45"/>
      <c r="W430" s="45"/>
      <c r="X430" s="45"/>
      <c r="Y430" s="45"/>
      <c r="Z430" s="45"/>
      <c r="AA430" s="45"/>
      <c r="AB430" s="45"/>
      <c r="AC430" s="45"/>
    </row>
    <row r="431" spans="1:29" ht="13.15">
      <c r="A431" s="45"/>
      <c r="B431" s="45"/>
      <c r="C431" s="45"/>
      <c r="D431" s="45"/>
      <c r="E431" s="45"/>
      <c r="F431" s="45"/>
      <c r="G431" s="45"/>
      <c r="H431" s="45"/>
      <c r="I431" s="44"/>
      <c r="J431" s="44"/>
      <c r="K431" s="45"/>
      <c r="L431" s="44"/>
      <c r="M431" s="44"/>
      <c r="N431" s="44"/>
      <c r="O431" s="44"/>
      <c r="P431" s="44"/>
      <c r="Q431" s="44"/>
      <c r="R431" s="44"/>
      <c r="S431" s="45"/>
      <c r="T431" s="45"/>
      <c r="U431" s="45"/>
      <c r="V431" s="45"/>
      <c r="W431" s="45"/>
      <c r="X431" s="45"/>
      <c r="Y431" s="45"/>
      <c r="Z431" s="45"/>
      <c r="AA431" s="45"/>
      <c r="AB431" s="45"/>
      <c r="AC431" s="45"/>
    </row>
    <row r="432" spans="1:29" ht="13.15">
      <c r="A432" s="45"/>
      <c r="B432" s="45"/>
      <c r="C432" s="45"/>
      <c r="D432" s="45"/>
      <c r="E432" s="45"/>
      <c r="F432" s="45"/>
      <c r="G432" s="45"/>
      <c r="H432" s="45"/>
      <c r="I432" s="44"/>
      <c r="J432" s="44"/>
      <c r="K432" s="45"/>
      <c r="L432" s="44"/>
      <c r="M432" s="44"/>
      <c r="N432" s="44"/>
      <c r="O432" s="44"/>
      <c r="P432" s="44"/>
      <c r="Q432" s="44"/>
      <c r="R432" s="44"/>
      <c r="S432" s="45"/>
      <c r="T432" s="45"/>
      <c r="U432" s="45"/>
      <c r="V432" s="45"/>
      <c r="W432" s="45"/>
      <c r="X432" s="45"/>
      <c r="Y432" s="45"/>
      <c r="Z432" s="45"/>
      <c r="AA432" s="45"/>
      <c r="AB432" s="45"/>
      <c r="AC432" s="45"/>
    </row>
    <row r="433" spans="1:29" ht="13.15">
      <c r="A433" s="45"/>
      <c r="B433" s="45"/>
      <c r="C433" s="45"/>
      <c r="D433" s="45"/>
      <c r="E433" s="45"/>
      <c r="F433" s="45"/>
      <c r="G433" s="45"/>
      <c r="H433" s="45"/>
      <c r="I433" s="44"/>
      <c r="J433" s="44"/>
      <c r="K433" s="45"/>
      <c r="L433" s="44"/>
      <c r="M433" s="44"/>
      <c r="N433" s="44"/>
      <c r="O433" s="44"/>
      <c r="P433" s="44"/>
      <c r="Q433" s="44"/>
      <c r="R433" s="44"/>
      <c r="S433" s="45"/>
      <c r="T433" s="45"/>
      <c r="U433" s="45"/>
      <c r="V433" s="45"/>
      <c r="W433" s="45"/>
      <c r="X433" s="45"/>
      <c r="Y433" s="45"/>
      <c r="Z433" s="45"/>
      <c r="AA433" s="45"/>
      <c r="AB433" s="45"/>
      <c r="AC433" s="45"/>
    </row>
    <row r="434" spans="1:29" ht="13.15">
      <c r="A434" s="45"/>
      <c r="B434" s="45"/>
      <c r="C434" s="45"/>
      <c r="D434" s="45"/>
      <c r="E434" s="45"/>
      <c r="F434" s="45"/>
      <c r="G434" s="45"/>
      <c r="H434" s="45"/>
      <c r="I434" s="44"/>
      <c r="J434" s="44"/>
      <c r="K434" s="45"/>
      <c r="L434" s="44"/>
      <c r="M434" s="44"/>
      <c r="N434" s="44"/>
      <c r="O434" s="44"/>
      <c r="P434" s="44"/>
      <c r="Q434" s="44"/>
      <c r="R434" s="44"/>
      <c r="S434" s="45"/>
      <c r="T434" s="45"/>
      <c r="U434" s="45"/>
      <c r="V434" s="45"/>
      <c r="W434" s="45"/>
      <c r="X434" s="45"/>
      <c r="Y434" s="45"/>
      <c r="Z434" s="45"/>
      <c r="AA434" s="45"/>
      <c r="AB434" s="45"/>
      <c r="AC434" s="45"/>
    </row>
    <row r="435" spans="1:29" ht="13.15">
      <c r="A435" s="45"/>
      <c r="B435" s="45"/>
      <c r="C435" s="45"/>
      <c r="D435" s="45"/>
      <c r="E435" s="45"/>
      <c r="F435" s="45"/>
      <c r="G435" s="45"/>
      <c r="H435" s="45"/>
      <c r="I435" s="44"/>
      <c r="J435" s="44"/>
      <c r="K435" s="45"/>
      <c r="L435" s="44"/>
      <c r="M435" s="44"/>
      <c r="N435" s="44"/>
      <c r="O435" s="44"/>
      <c r="P435" s="44"/>
      <c r="Q435" s="44"/>
      <c r="R435" s="44"/>
      <c r="S435" s="45"/>
      <c r="T435" s="45"/>
      <c r="U435" s="45"/>
      <c r="V435" s="45"/>
      <c r="W435" s="45"/>
      <c r="X435" s="45"/>
      <c r="Y435" s="45"/>
      <c r="Z435" s="45"/>
      <c r="AA435" s="45"/>
      <c r="AB435" s="45"/>
      <c r="AC435" s="45"/>
    </row>
    <row r="436" spans="1:29" ht="13.15">
      <c r="A436" s="45"/>
      <c r="B436" s="45"/>
      <c r="C436" s="45"/>
      <c r="D436" s="45"/>
      <c r="E436" s="45"/>
      <c r="F436" s="45"/>
      <c r="G436" s="45"/>
      <c r="H436" s="45"/>
      <c r="I436" s="44"/>
      <c r="J436" s="44"/>
      <c r="K436" s="45"/>
      <c r="L436" s="44"/>
      <c r="M436" s="44"/>
      <c r="N436" s="44"/>
      <c r="O436" s="44"/>
      <c r="P436" s="44"/>
      <c r="Q436" s="44"/>
      <c r="R436" s="44"/>
      <c r="S436" s="45"/>
      <c r="T436" s="45"/>
      <c r="U436" s="45"/>
      <c r="V436" s="45"/>
      <c r="W436" s="45"/>
      <c r="X436" s="45"/>
      <c r="Y436" s="45"/>
      <c r="Z436" s="45"/>
      <c r="AA436" s="45"/>
      <c r="AB436" s="45"/>
      <c r="AC436" s="45"/>
    </row>
    <row r="437" spans="1:29" ht="13.15">
      <c r="A437" s="45"/>
      <c r="B437" s="45"/>
      <c r="C437" s="45"/>
      <c r="D437" s="45"/>
      <c r="E437" s="45"/>
      <c r="F437" s="45"/>
      <c r="G437" s="45"/>
      <c r="H437" s="45"/>
      <c r="I437" s="44"/>
      <c r="J437" s="44"/>
      <c r="K437" s="45"/>
      <c r="L437" s="44"/>
      <c r="M437" s="44"/>
      <c r="N437" s="44"/>
      <c r="O437" s="44"/>
      <c r="P437" s="44"/>
      <c r="Q437" s="44"/>
      <c r="R437" s="44"/>
      <c r="S437" s="45"/>
      <c r="T437" s="45"/>
      <c r="U437" s="45"/>
      <c r="V437" s="45"/>
      <c r="W437" s="45"/>
      <c r="X437" s="45"/>
      <c r="Y437" s="45"/>
      <c r="Z437" s="45"/>
      <c r="AA437" s="45"/>
      <c r="AB437" s="45"/>
      <c r="AC437" s="45"/>
    </row>
    <row r="438" spans="1:29" ht="13.15">
      <c r="A438" s="45"/>
      <c r="B438" s="45"/>
      <c r="C438" s="45"/>
      <c r="D438" s="45"/>
      <c r="E438" s="45"/>
      <c r="F438" s="45"/>
      <c r="G438" s="45"/>
      <c r="H438" s="45"/>
      <c r="I438" s="44"/>
      <c r="J438" s="44"/>
      <c r="K438" s="45"/>
      <c r="L438" s="44"/>
      <c r="M438" s="44"/>
      <c r="N438" s="44"/>
      <c r="O438" s="44"/>
      <c r="P438" s="44"/>
      <c r="Q438" s="44"/>
      <c r="R438" s="44"/>
      <c r="S438" s="45"/>
      <c r="T438" s="45"/>
      <c r="U438" s="45"/>
      <c r="V438" s="45"/>
      <c r="W438" s="45"/>
      <c r="X438" s="45"/>
      <c r="Y438" s="45"/>
      <c r="Z438" s="45"/>
      <c r="AA438" s="45"/>
      <c r="AB438" s="45"/>
      <c r="AC438" s="45"/>
    </row>
    <row r="439" spans="1:29" ht="13.15">
      <c r="A439" s="45"/>
      <c r="B439" s="45"/>
      <c r="C439" s="45"/>
      <c r="D439" s="45"/>
      <c r="E439" s="45"/>
      <c r="F439" s="45"/>
      <c r="G439" s="45"/>
      <c r="H439" s="45"/>
      <c r="I439" s="44"/>
      <c r="J439" s="44"/>
      <c r="K439" s="45"/>
      <c r="L439" s="44"/>
      <c r="M439" s="44"/>
      <c r="N439" s="44"/>
      <c r="O439" s="44"/>
      <c r="P439" s="44"/>
      <c r="Q439" s="44"/>
      <c r="R439" s="44"/>
      <c r="S439" s="45"/>
      <c r="T439" s="45"/>
      <c r="U439" s="45"/>
      <c r="V439" s="45"/>
      <c r="W439" s="45"/>
      <c r="X439" s="45"/>
      <c r="Y439" s="45"/>
      <c r="Z439" s="45"/>
      <c r="AA439" s="45"/>
      <c r="AB439" s="45"/>
      <c r="AC439" s="45"/>
    </row>
    <row r="440" spans="1:29" ht="13.15">
      <c r="A440" s="45"/>
      <c r="B440" s="45"/>
      <c r="C440" s="45"/>
      <c r="D440" s="45"/>
      <c r="E440" s="45"/>
      <c r="F440" s="45"/>
      <c r="G440" s="45"/>
      <c r="H440" s="45"/>
      <c r="I440" s="44"/>
      <c r="J440" s="44"/>
      <c r="K440" s="45"/>
      <c r="L440" s="44"/>
      <c r="M440" s="44"/>
      <c r="N440" s="44"/>
      <c r="O440" s="44"/>
      <c r="P440" s="44"/>
      <c r="Q440" s="44"/>
      <c r="R440" s="44"/>
      <c r="S440" s="45"/>
      <c r="T440" s="45"/>
      <c r="U440" s="45"/>
      <c r="V440" s="45"/>
      <c r="W440" s="45"/>
      <c r="X440" s="45"/>
      <c r="Y440" s="45"/>
      <c r="Z440" s="45"/>
      <c r="AA440" s="45"/>
      <c r="AB440" s="45"/>
      <c r="AC440" s="45"/>
    </row>
    <row r="441" spans="1:29" ht="13.15">
      <c r="A441" s="45"/>
      <c r="B441" s="45"/>
      <c r="C441" s="45"/>
      <c r="D441" s="45"/>
      <c r="E441" s="45"/>
      <c r="F441" s="45"/>
      <c r="G441" s="45"/>
      <c r="H441" s="45"/>
      <c r="I441" s="44"/>
      <c r="J441" s="44"/>
      <c r="K441" s="45"/>
      <c r="L441" s="44"/>
      <c r="M441" s="44"/>
      <c r="N441" s="44"/>
      <c r="O441" s="44"/>
      <c r="P441" s="44"/>
      <c r="Q441" s="44"/>
      <c r="R441" s="44"/>
      <c r="S441" s="45"/>
      <c r="T441" s="45"/>
      <c r="U441" s="45"/>
      <c r="V441" s="45"/>
      <c r="W441" s="45"/>
      <c r="X441" s="45"/>
      <c r="Y441" s="45"/>
      <c r="Z441" s="45"/>
      <c r="AA441" s="45"/>
      <c r="AB441" s="45"/>
      <c r="AC441" s="45"/>
    </row>
    <row r="442" spans="1:29" ht="13.15">
      <c r="A442" s="45"/>
      <c r="B442" s="45"/>
      <c r="C442" s="45"/>
      <c r="D442" s="45"/>
      <c r="E442" s="45"/>
      <c r="F442" s="45"/>
      <c r="G442" s="45"/>
      <c r="H442" s="45"/>
      <c r="I442" s="44"/>
      <c r="J442" s="44"/>
      <c r="K442" s="45"/>
      <c r="L442" s="44"/>
      <c r="M442" s="44"/>
      <c r="N442" s="44"/>
      <c r="O442" s="44"/>
      <c r="P442" s="44"/>
      <c r="Q442" s="44"/>
      <c r="R442" s="44"/>
      <c r="S442" s="45"/>
      <c r="T442" s="45"/>
      <c r="U442" s="45"/>
      <c r="V442" s="45"/>
      <c r="W442" s="45"/>
      <c r="X442" s="45"/>
      <c r="Y442" s="45"/>
      <c r="Z442" s="45"/>
      <c r="AA442" s="45"/>
      <c r="AB442" s="45"/>
      <c r="AC442" s="45"/>
    </row>
    <row r="443" spans="1:29" ht="13.15">
      <c r="A443" s="45"/>
      <c r="B443" s="45"/>
      <c r="C443" s="45"/>
      <c r="D443" s="45"/>
      <c r="E443" s="45"/>
      <c r="F443" s="45"/>
      <c r="G443" s="45"/>
      <c r="H443" s="45"/>
      <c r="I443" s="44"/>
      <c r="J443" s="44"/>
      <c r="K443" s="45"/>
      <c r="L443" s="44"/>
      <c r="M443" s="44"/>
      <c r="N443" s="44"/>
      <c r="O443" s="44"/>
      <c r="P443" s="44"/>
      <c r="Q443" s="44"/>
      <c r="R443" s="44"/>
      <c r="S443" s="45"/>
      <c r="T443" s="45"/>
      <c r="U443" s="45"/>
      <c r="V443" s="45"/>
      <c r="W443" s="45"/>
      <c r="X443" s="45"/>
      <c r="Y443" s="45"/>
      <c r="Z443" s="45"/>
      <c r="AA443" s="45"/>
      <c r="AB443" s="45"/>
      <c r="AC443" s="45"/>
    </row>
    <row r="444" spans="1:29" ht="13.15">
      <c r="A444" s="45"/>
      <c r="B444" s="45"/>
      <c r="C444" s="45"/>
      <c r="D444" s="45"/>
      <c r="E444" s="45"/>
      <c r="F444" s="45"/>
      <c r="G444" s="45"/>
      <c r="H444" s="45"/>
      <c r="I444" s="44"/>
      <c r="J444" s="44"/>
      <c r="K444" s="45"/>
      <c r="L444" s="44"/>
      <c r="M444" s="44"/>
      <c r="N444" s="44"/>
      <c r="O444" s="44"/>
      <c r="P444" s="44"/>
      <c r="Q444" s="44"/>
      <c r="R444" s="44"/>
      <c r="S444" s="45"/>
      <c r="T444" s="45"/>
      <c r="U444" s="45"/>
      <c r="V444" s="45"/>
      <c r="W444" s="45"/>
      <c r="X444" s="45"/>
      <c r="Y444" s="45"/>
      <c r="Z444" s="45"/>
      <c r="AA444" s="45"/>
      <c r="AB444" s="45"/>
      <c r="AC444" s="45"/>
    </row>
    <row r="445" spans="1:29" ht="13.15">
      <c r="A445" s="45"/>
      <c r="B445" s="45"/>
      <c r="C445" s="45"/>
      <c r="D445" s="45"/>
      <c r="E445" s="45"/>
      <c r="F445" s="45"/>
      <c r="G445" s="45"/>
      <c r="H445" s="45"/>
      <c r="I445" s="44"/>
      <c r="J445" s="44"/>
      <c r="K445" s="45"/>
      <c r="L445" s="44"/>
      <c r="M445" s="44"/>
      <c r="N445" s="44"/>
      <c r="O445" s="44"/>
      <c r="P445" s="44"/>
      <c r="Q445" s="44"/>
      <c r="R445" s="44"/>
      <c r="S445" s="45"/>
      <c r="T445" s="45"/>
      <c r="U445" s="45"/>
      <c r="V445" s="45"/>
      <c r="W445" s="45"/>
      <c r="X445" s="45"/>
      <c r="Y445" s="45"/>
      <c r="Z445" s="45"/>
      <c r="AA445" s="45"/>
      <c r="AB445" s="45"/>
      <c r="AC445" s="45"/>
    </row>
    <row r="446" spans="1:29" ht="13.15">
      <c r="A446" s="45"/>
      <c r="B446" s="45"/>
      <c r="C446" s="45"/>
      <c r="D446" s="45"/>
      <c r="E446" s="45"/>
      <c r="F446" s="45"/>
      <c r="G446" s="45"/>
      <c r="H446" s="45"/>
      <c r="I446" s="44"/>
      <c r="J446" s="44"/>
      <c r="K446" s="45"/>
      <c r="L446" s="44"/>
      <c r="M446" s="44"/>
      <c r="N446" s="44"/>
      <c r="O446" s="44"/>
      <c r="P446" s="44"/>
      <c r="Q446" s="44"/>
      <c r="R446" s="44"/>
      <c r="S446" s="45"/>
      <c r="T446" s="45"/>
      <c r="U446" s="45"/>
      <c r="V446" s="45"/>
      <c r="W446" s="45"/>
      <c r="X446" s="45"/>
      <c r="Y446" s="45"/>
      <c r="Z446" s="45"/>
      <c r="AA446" s="45"/>
      <c r="AB446" s="45"/>
      <c r="AC446" s="45"/>
    </row>
    <row r="447" spans="1:29" ht="13.15">
      <c r="A447" s="45"/>
      <c r="B447" s="45"/>
      <c r="C447" s="45"/>
      <c r="D447" s="45"/>
      <c r="E447" s="45"/>
      <c r="F447" s="45"/>
      <c r="G447" s="45"/>
      <c r="H447" s="45"/>
      <c r="I447" s="44"/>
      <c r="J447" s="44"/>
      <c r="K447" s="45"/>
      <c r="L447" s="44"/>
      <c r="M447" s="44"/>
      <c r="N447" s="44"/>
      <c r="O447" s="44"/>
      <c r="P447" s="44"/>
      <c r="Q447" s="44"/>
      <c r="R447" s="44"/>
      <c r="S447" s="45"/>
      <c r="T447" s="45"/>
      <c r="U447" s="45"/>
      <c r="V447" s="45"/>
      <c r="W447" s="45"/>
      <c r="X447" s="45"/>
      <c r="Y447" s="45"/>
      <c r="Z447" s="45"/>
      <c r="AA447" s="45"/>
      <c r="AB447" s="45"/>
      <c r="AC447" s="45"/>
    </row>
    <row r="448" spans="1:29" ht="13.15">
      <c r="A448" s="45"/>
      <c r="B448" s="45"/>
      <c r="C448" s="45"/>
      <c r="D448" s="45"/>
      <c r="E448" s="45"/>
      <c r="F448" s="45"/>
      <c r="G448" s="45"/>
      <c r="H448" s="45"/>
      <c r="I448" s="44"/>
      <c r="J448" s="44"/>
      <c r="K448" s="45"/>
      <c r="L448" s="44"/>
      <c r="M448" s="44"/>
      <c r="N448" s="44"/>
      <c r="O448" s="44"/>
      <c r="P448" s="44"/>
      <c r="Q448" s="44"/>
      <c r="R448" s="44"/>
      <c r="S448" s="45"/>
      <c r="T448" s="45"/>
      <c r="U448" s="45"/>
      <c r="V448" s="45"/>
      <c r="W448" s="45"/>
      <c r="X448" s="45"/>
      <c r="Y448" s="45"/>
      <c r="Z448" s="45"/>
      <c r="AA448" s="45"/>
      <c r="AB448" s="45"/>
      <c r="AC448" s="45"/>
    </row>
    <row r="449" spans="1:29" ht="13.15">
      <c r="A449" s="45"/>
      <c r="B449" s="45"/>
      <c r="C449" s="45"/>
      <c r="D449" s="45"/>
      <c r="E449" s="45"/>
      <c r="F449" s="45"/>
      <c r="G449" s="45"/>
      <c r="H449" s="45"/>
      <c r="I449" s="44"/>
      <c r="J449" s="44"/>
      <c r="K449" s="45"/>
      <c r="L449" s="44"/>
      <c r="M449" s="44"/>
      <c r="N449" s="44"/>
      <c r="O449" s="44"/>
      <c r="P449" s="44"/>
      <c r="Q449" s="44"/>
      <c r="R449" s="44"/>
      <c r="S449" s="45"/>
      <c r="T449" s="45"/>
      <c r="U449" s="45"/>
      <c r="V449" s="45"/>
      <c r="W449" s="45"/>
      <c r="X449" s="45"/>
      <c r="Y449" s="45"/>
      <c r="Z449" s="45"/>
      <c r="AA449" s="45"/>
      <c r="AB449" s="45"/>
      <c r="AC449" s="45"/>
    </row>
    <row r="450" spans="1:29" ht="13.15">
      <c r="A450" s="45"/>
      <c r="B450" s="45"/>
      <c r="C450" s="45"/>
      <c r="D450" s="45"/>
      <c r="E450" s="45"/>
      <c r="F450" s="45"/>
      <c r="G450" s="45"/>
      <c r="H450" s="45"/>
      <c r="I450" s="44"/>
      <c r="J450" s="44"/>
      <c r="K450" s="45"/>
      <c r="L450" s="44"/>
      <c r="M450" s="44"/>
      <c r="N450" s="44"/>
      <c r="O450" s="44"/>
      <c r="P450" s="44"/>
      <c r="Q450" s="44"/>
      <c r="R450" s="44"/>
      <c r="S450" s="45"/>
      <c r="T450" s="45"/>
      <c r="U450" s="45"/>
      <c r="V450" s="45"/>
      <c r="W450" s="45"/>
      <c r="X450" s="45"/>
      <c r="Y450" s="45"/>
      <c r="Z450" s="45"/>
      <c r="AA450" s="45"/>
      <c r="AB450" s="45"/>
      <c r="AC450" s="45"/>
    </row>
    <row r="451" spans="1:29" ht="13.15">
      <c r="A451" s="45"/>
      <c r="B451" s="45"/>
      <c r="C451" s="45"/>
      <c r="D451" s="45"/>
      <c r="E451" s="45"/>
      <c r="F451" s="45"/>
      <c r="G451" s="45"/>
      <c r="H451" s="45"/>
      <c r="I451" s="44"/>
      <c r="J451" s="44"/>
      <c r="K451" s="45"/>
      <c r="L451" s="44"/>
      <c r="M451" s="44"/>
      <c r="N451" s="44"/>
      <c r="O451" s="44"/>
      <c r="P451" s="44"/>
      <c r="Q451" s="44"/>
      <c r="R451" s="44"/>
      <c r="S451" s="45"/>
      <c r="T451" s="45"/>
      <c r="U451" s="45"/>
      <c r="V451" s="45"/>
      <c r="W451" s="45"/>
      <c r="X451" s="45"/>
      <c r="Y451" s="45"/>
      <c r="Z451" s="45"/>
      <c r="AA451" s="45"/>
      <c r="AB451" s="45"/>
      <c r="AC451" s="45"/>
    </row>
    <row r="452" spans="1:29" ht="13.15">
      <c r="A452" s="45"/>
      <c r="B452" s="45"/>
      <c r="C452" s="45"/>
      <c r="D452" s="45"/>
      <c r="E452" s="45"/>
      <c r="F452" s="45"/>
      <c r="G452" s="45"/>
      <c r="H452" s="45"/>
      <c r="I452" s="44"/>
      <c r="J452" s="44"/>
      <c r="K452" s="45"/>
      <c r="L452" s="44"/>
      <c r="M452" s="44"/>
      <c r="N452" s="44"/>
      <c r="O452" s="44"/>
      <c r="P452" s="44"/>
      <c r="Q452" s="44"/>
      <c r="R452" s="44"/>
      <c r="S452" s="45"/>
      <c r="T452" s="45"/>
      <c r="U452" s="45"/>
      <c r="V452" s="45"/>
      <c r="W452" s="45"/>
      <c r="X452" s="45"/>
      <c r="Y452" s="45"/>
      <c r="Z452" s="45"/>
      <c r="AA452" s="45"/>
      <c r="AB452" s="45"/>
      <c r="AC452" s="45"/>
    </row>
    <row r="453" spans="1:29" ht="13.15">
      <c r="A453" s="45"/>
      <c r="B453" s="45"/>
      <c r="C453" s="45"/>
      <c r="D453" s="45"/>
      <c r="E453" s="45"/>
      <c r="F453" s="45"/>
      <c r="G453" s="45"/>
      <c r="H453" s="45"/>
      <c r="I453" s="44"/>
      <c r="J453" s="44"/>
      <c r="K453" s="45"/>
      <c r="L453" s="44"/>
      <c r="M453" s="44"/>
      <c r="N453" s="44"/>
      <c r="O453" s="44"/>
      <c r="P453" s="44"/>
      <c r="Q453" s="44"/>
      <c r="R453" s="44"/>
      <c r="S453" s="45"/>
      <c r="T453" s="45"/>
      <c r="U453" s="45"/>
      <c r="V453" s="45"/>
      <c r="W453" s="45"/>
      <c r="X453" s="45"/>
      <c r="Y453" s="45"/>
      <c r="Z453" s="45"/>
      <c r="AA453" s="45"/>
      <c r="AB453" s="45"/>
      <c r="AC453" s="45"/>
    </row>
    <row r="454" spans="1:29" ht="13.15">
      <c r="A454" s="45"/>
      <c r="B454" s="45"/>
      <c r="C454" s="45"/>
      <c r="D454" s="45"/>
      <c r="E454" s="45"/>
      <c r="F454" s="45"/>
      <c r="G454" s="45"/>
      <c r="H454" s="45"/>
      <c r="I454" s="44"/>
      <c r="J454" s="44"/>
      <c r="K454" s="45"/>
      <c r="L454" s="44"/>
      <c r="M454" s="44"/>
      <c r="N454" s="44"/>
      <c r="O454" s="44"/>
      <c r="P454" s="44"/>
      <c r="Q454" s="44"/>
      <c r="R454" s="44"/>
      <c r="S454" s="45"/>
      <c r="T454" s="45"/>
      <c r="U454" s="45"/>
      <c r="V454" s="45"/>
      <c r="W454" s="45"/>
      <c r="X454" s="45"/>
      <c r="Y454" s="45"/>
      <c r="Z454" s="45"/>
      <c r="AA454" s="45"/>
      <c r="AB454" s="45"/>
      <c r="AC454" s="45"/>
    </row>
    <row r="455" spans="1:29" ht="13.15">
      <c r="A455" s="45"/>
      <c r="B455" s="45"/>
      <c r="C455" s="45"/>
      <c r="D455" s="45"/>
      <c r="E455" s="45"/>
      <c r="F455" s="45"/>
      <c r="G455" s="45"/>
      <c r="H455" s="45"/>
      <c r="I455" s="44"/>
      <c r="J455" s="44"/>
      <c r="K455" s="45"/>
      <c r="L455" s="44"/>
      <c r="M455" s="44"/>
      <c r="N455" s="44"/>
      <c r="O455" s="44"/>
      <c r="P455" s="44"/>
      <c r="Q455" s="44"/>
      <c r="R455" s="44"/>
      <c r="S455" s="45"/>
      <c r="T455" s="45"/>
      <c r="U455" s="45"/>
      <c r="V455" s="45"/>
      <c r="W455" s="45"/>
      <c r="X455" s="45"/>
      <c r="Y455" s="45"/>
      <c r="Z455" s="45"/>
      <c r="AA455" s="45"/>
      <c r="AB455" s="45"/>
      <c r="AC455" s="45"/>
    </row>
    <row r="456" spans="1:29" ht="13.15">
      <c r="A456" s="45"/>
      <c r="B456" s="45"/>
      <c r="C456" s="45"/>
      <c r="D456" s="45"/>
      <c r="E456" s="45"/>
      <c r="F456" s="45"/>
      <c r="G456" s="45"/>
      <c r="H456" s="45"/>
      <c r="I456" s="44"/>
      <c r="J456" s="44"/>
      <c r="K456" s="45"/>
      <c r="L456" s="44"/>
      <c r="M456" s="44"/>
      <c r="N456" s="44"/>
      <c r="O456" s="44"/>
      <c r="P456" s="44"/>
      <c r="Q456" s="44"/>
      <c r="R456" s="44"/>
      <c r="S456" s="45"/>
      <c r="T456" s="45"/>
      <c r="U456" s="45"/>
      <c r="V456" s="45"/>
      <c r="W456" s="45"/>
      <c r="X456" s="45"/>
      <c r="Y456" s="45"/>
      <c r="Z456" s="45"/>
      <c r="AA456" s="45"/>
      <c r="AB456" s="45"/>
      <c r="AC456" s="45"/>
    </row>
    <row r="457" spans="1:29" ht="13.15">
      <c r="A457" s="45"/>
      <c r="B457" s="45"/>
      <c r="C457" s="45"/>
      <c r="D457" s="45"/>
      <c r="E457" s="45"/>
      <c r="F457" s="45"/>
      <c r="G457" s="45"/>
      <c r="H457" s="45"/>
      <c r="I457" s="44"/>
      <c r="J457" s="44"/>
      <c r="K457" s="45"/>
      <c r="L457" s="44"/>
      <c r="M457" s="44"/>
      <c r="N457" s="44"/>
      <c r="O457" s="44"/>
      <c r="P457" s="44"/>
      <c r="Q457" s="44"/>
      <c r="R457" s="44"/>
      <c r="S457" s="45"/>
      <c r="T457" s="45"/>
      <c r="U457" s="45"/>
      <c r="V457" s="45"/>
      <c r="W457" s="45"/>
      <c r="X457" s="45"/>
      <c r="Y457" s="45"/>
      <c r="Z457" s="45"/>
      <c r="AA457" s="45"/>
      <c r="AB457" s="45"/>
      <c r="AC457" s="45"/>
    </row>
    <row r="458" spans="1:29" ht="13.15">
      <c r="A458" s="45"/>
      <c r="B458" s="45"/>
      <c r="C458" s="45"/>
      <c r="D458" s="45"/>
      <c r="E458" s="45"/>
      <c r="F458" s="45"/>
      <c r="G458" s="45"/>
      <c r="H458" s="45"/>
      <c r="I458" s="44"/>
      <c r="J458" s="44"/>
      <c r="K458" s="45"/>
      <c r="L458" s="44"/>
      <c r="M458" s="44"/>
      <c r="N458" s="44"/>
      <c r="O458" s="44"/>
      <c r="P458" s="44"/>
      <c r="Q458" s="44"/>
      <c r="R458" s="44"/>
      <c r="S458" s="45"/>
      <c r="T458" s="45"/>
      <c r="U458" s="45"/>
      <c r="V458" s="45"/>
      <c r="W458" s="45"/>
      <c r="X458" s="45"/>
      <c r="Y458" s="45"/>
      <c r="Z458" s="45"/>
      <c r="AA458" s="45"/>
      <c r="AB458" s="45"/>
      <c r="AC458" s="45"/>
    </row>
    <row r="459" spans="1:29" ht="13.15">
      <c r="A459" s="45"/>
      <c r="B459" s="45"/>
      <c r="C459" s="45"/>
      <c r="D459" s="45"/>
      <c r="E459" s="45"/>
      <c r="F459" s="45"/>
      <c r="G459" s="45"/>
      <c r="H459" s="45"/>
      <c r="I459" s="44"/>
      <c r="J459" s="44"/>
      <c r="K459" s="45"/>
      <c r="L459" s="44"/>
      <c r="M459" s="44"/>
      <c r="N459" s="44"/>
      <c r="O459" s="44"/>
      <c r="P459" s="44"/>
      <c r="Q459" s="44"/>
      <c r="R459" s="44"/>
      <c r="S459" s="45"/>
      <c r="T459" s="45"/>
      <c r="U459" s="45"/>
      <c r="V459" s="45"/>
      <c r="W459" s="45"/>
      <c r="X459" s="45"/>
      <c r="Y459" s="45"/>
      <c r="Z459" s="45"/>
      <c r="AA459" s="45"/>
      <c r="AB459" s="45"/>
      <c r="AC459" s="45"/>
    </row>
    <row r="460" spans="1:29" ht="13.15">
      <c r="A460" s="45"/>
      <c r="B460" s="45"/>
      <c r="C460" s="45"/>
      <c r="D460" s="45"/>
      <c r="E460" s="45"/>
      <c r="F460" s="45"/>
      <c r="G460" s="45"/>
      <c r="H460" s="45"/>
      <c r="I460" s="44"/>
      <c r="J460" s="44"/>
      <c r="K460" s="45"/>
      <c r="L460" s="44"/>
      <c r="M460" s="44"/>
      <c r="N460" s="44"/>
      <c r="O460" s="44"/>
      <c r="P460" s="44"/>
      <c r="Q460" s="44"/>
      <c r="R460" s="44"/>
      <c r="S460" s="45"/>
      <c r="T460" s="45"/>
      <c r="U460" s="45"/>
      <c r="V460" s="45"/>
      <c r="W460" s="45"/>
      <c r="X460" s="45"/>
      <c r="Y460" s="45"/>
      <c r="Z460" s="45"/>
      <c r="AA460" s="45"/>
      <c r="AB460" s="45"/>
      <c r="AC460" s="45"/>
    </row>
    <row r="461" spans="1:29" ht="13.15">
      <c r="A461" s="45"/>
      <c r="B461" s="45"/>
      <c r="C461" s="45"/>
      <c r="D461" s="45"/>
      <c r="E461" s="45"/>
      <c r="F461" s="45"/>
      <c r="G461" s="45"/>
      <c r="H461" s="45"/>
      <c r="I461" s="44"/>
      <c r="J461" s="44"/>
      <c r="K461" s="45"/>
      <c r="L461" s="44"/>
      <c r="M461" s="44"/>
      <c r="N461" s="44"/>
      <c r="O461" s="44"/>
      <c r="P461" s="44"/>
      <c r="Q461" s="44"/>
      <c r="R461" s="44"/>
      <c r="S461" s="45"/>
      <c r="T461" s="45"/>
      <c r="U461" s="45"/>
      <c r="V461" s="45"/>
      <c r="W461" s="45"/>
      <c r="X461" s="45"/>
      <c r="Y461" s="45"/>
      <c r="Z461" s="45"/>
      <c r="AA461" s="45"/>
      <c r="AB461" s="45"/>
      <c r="AC461" s="45"/>
    </row>
    <row r="462" spans="1:29" ht="13.15">
      <c r="A462" s="45"/>
      <c r="B462" s="45"/>
      <c r="C462" s="45"/>
      <c r="D462" s="45"/>
      <c r="E462" s="45"/>
      <c r="F462" s="45"/>
      <c r="G462" s="45"/>
      <c r="H462" s="45"/>
      <c r="I462" s="44"/>
      <c r="J462" s="44"/>
      <c r="K462" s="45"/>
      <c r="L462" s="44"/>
      <c r="M462" s="44"/>
      <c r="N462" s="44"/>
      <c r="O462" s="44"/>
      <c r="P462" s="44"/>
      <c r="Q462" s="44"/>
      <c r="R462" s="44"/>
      <c r="S462" s="45"/>
      <c r="T462" s="45"/>
      <c r="U462" s="45"/>
      <c r="V462" s="45"/>
      <c r="W462" s="45"/>
      <c r="X462" s="45"/>
      <c r="Y462" s="45"/>
      <c r="Z462" s="45"/>
      <c r="AA462" s="45"/>
      <c r="AB462" s="45"/>
      <c r="AC462" s="45"/>
    </row>
    <row r="463" spans="1:29" ht="13.15">
      <c r="A463" s="45"/>
      <c r="B463" s="45"/>
      <c r="C463" s="45"/>
      <c r="D463" s="45"/>
      <c r="E463" s="45"/>
      <c r="F463" s="45"/>
      <c r="G463" s="45"/>
      <c r="H463" s="45"/>
      <c r="I463" s="44"/>
      <c r="J463" s="44"/>
      <c r="K463" s="45"/>
      <c r="L463" s="44"/>
      <c r="M463" s="44"/>
      <c r="N463" s="44"/>
      <c r="O463" s="44"/>
      <c r="P463" s="44"/>
      <c r="Q463" s="44"/>
      <c r="R463" s="44"/>
      <c r="S463" s="45"/>
      <c r="T463" s="45"/>
      <c r="U463" s="45"/>
      <c r="V463" s="45"/>
      <c r="W463" s="45"/>
      <c r="X463" s="45"/>
      <c r="Y463" s="45"/>
      <c r="Z463" s="45"/>
      <c r="AA463" s="45"/>
      <c r="AB463" s="45"/>
      <c r="AC463" s="45"/>
    </row>
    <row r="464" spans="1:29" ht="13.15">
      <c r="A464" s="45"/>
      <c r="B464" s="45"/>
      <c r="C464" s="45"/>
      <c r="D464" s="45"/>
      <c r="E464" s="45"/>
      <c r="F464" s="45"/>
      <c r="G464" s="45"/>
      <c r="H464" s="45"/>
      <c r="I464" s="44"/>
      <c r="J464" s="44"/>
      <c r="K464" s="45"/>
      <c r="L464" s="44"/>
      <c r="M464" s="44"/>
      <c r="N464" s="44"/>
      <c r="O464" s="44"/>
      <c r="P464" s="44"/>
      <c r="Q464" s="44"/>
      <c r="R464" s="44"/>
      <c r="S464" s="45"/>
      <c r="T464" s="45"/>
      <c r="U464" s="45"/>
      <c r="V464" s="45"/>
      <c r="W464" s="45"/>
      <c r="X464" s="45"/>
      <c r="Y464" s="45"/>
      <c r="Z464" s="45"/>
      <c r="AA464" s="45"/>
      <c r="AB464" s="45"/>
      <c r="AC464" s="45"/>
    </row>
    <row r="465" spans="1:29" ht="13.15">
      <c r="A465" s="45"/>
      <c r="B465" s="45"/>
      <c r="C465" s="45"/>
      <c r="D465" s="45"/>
      <c r="E465" s="45"/>
      <c r="F465" s="45"/>
      <c r="G465" s="45"/>
      <c r="H465" s="45"/>
      <c r="I465" s="44"/>
      <c r="J465" s="44"/>
      <c r="K465" s="45"/>
      <c r="L465" s="44"/>
      <c r="M465" s="44"/>
      <c r="N465" s="44"/>
      <c r="O465" s="44"/>
      <c r="P465" s="44"/>
      <c r="Q465" s="44"/>
      <c r="R465" s="44"/>
      <c r="S465" s="45"/>
      <c r="T465" s="45"/>
      <c r="U465" s="45"/>
      <c r="V465" s="45"/>
      <c r="W465" s="45"/>
      <c r="X465" s="45"/>
      <c r="Y465" s="45"/>
      <c r="Z465" s="45"/>
      <c r="AA465" s="45"/>
      <c r="AB465" s="45"/>
      <c r="AC465" s="45"/>
    </row>
    <row r="466" spans="1:29" ht="13.15">
      <c r="A466" s="45"/>
      <c r="B466" s="45"/>
      <c r="C466" s="45"/>
      <c r="D466" s="45"/>
      <c r="E466" s="45"/>
      <c r="F466" s="45"/>
      <c r="G466" s="45"/>
      <c r="H466" s="45"/>
      <c r="I466" s="44"/>
      <c r="J466" s="44"/>
      <c r="K466" s="45"/>
      <c r="L466" s="44"/>
      <c r="M466" s="44"/>
      <c r="N466" s="44"/>
      <c r="O466" s="44"/>
      <c r="P466" s="44"/>
      <c r="Q466" s="44"/>
      <c r="R466" s="44"/>
      <c r="S466" s="45"/>
      <c r="T466" s="45"/>
      <c r="U466" s="45"/>
      <c r="V466" s="45"/>
      <c r="W466" s="45"/>
      <c r="X466" s="45"/>
      <c r="Y466" s="45"/>
      <c r="Z466" s="45"/>
      <c r="AA466" s="45"/>
      <c r="AB466" s="45"/>
      <c r="AC466" s="45"/>
    </row>
    <row r="467" spans="1:29" ht="13.15">
      <c r="A467" s="45"/>
      <c r="B467" s="45"/>
      <c r="C467" s="45"/>
      <c r="D467" s="45"/>
      <c r="E467" s="45"/>
      <c r="F467" s="45"/>
      <c r="G467" s="45"/>
      <c r="H467" s="45"/>
      <c r="I467" s="44"/>
      <c r="J467" s="44"/>
      <c r="K467" s="45"/>
      <c r="L467" s="44"/>
      <c r="M467" s="44"/>
      <c r="N467" s="44"/>
      <c r="O467" s="44"/>
      <c r="P467" s="44"/>
      <c r="Q467" s="44"/>
      <c r="R467" s="44"/>
      <c r="S467" s="45"/>
      <c r="T467" s="45"/>
      <c r="U467" s="45"/>
      <c r="V467" s="45"/>
      <c r="W467" s="45"/>
      <c r="X467" s="45"/>
      <c r="Y467" s="45"/>
      <c r="Z467" s="45"/>
      <c r="AA467" s="45"/>
      <c r="AB467" s="45"/>
      <c r="AC467" s="45"/>
    </row>
    <row r="468" spans="1:29" ht="13.15">
      <c r="A468" s="45"/>
      <c r="B468" s="45"/>
      <c r="C468" s="45"/>
      <c r="D468" s="45"/>
      <c r="E468" s="45"/>
      <c r="F468" s="45"/>
      <c r="G468" s="45"/>
      <c r="H468" s="45"/>
      <c r="I468" s="44"/>
      <c r="J468" s="44"/>
      <c r="K468" s="45"/>
      <c r="L468" s="44"/>
      <c r="M468" s="44"/>
      <c r="N468" s="44"/>
      <c r="O468" s="44"/>
      <c r="P468" s="44"/>
      <c r="Q468" s="44"/>
      <c r="R468" s="44"/>
      <c r="S468" s="45"/>
      <c r="T468" s="45"/>
      <c r="U468" s="45"/>
      <c r="V468" s="45"/>
      <c r="W468" s="45"/>
      <c r="X468" s="45"/>
      <c r="Y468" s="45"/>
      <c r="Z468" s="45"/>
      <c r="AA468" s="45"/>
      <c r="AB468" s="45"/>
      <c r="AC468" s="45"/>
    </row>
    <row r="469" spans="1:29" ht="13.15">
      <c r="A469" s="45"/>
      <c r="B469" s="45"/>
      <c r="C469" s="45"/>
      <c r="D469" s="45"/>
      <c r="E469" s="45"/>
      <c r="F469" s="45"/>
      <c r="G469" s="45"/>
      <c r="H469" s="45"/>
      <c r="I469" s="44"/>
      <c r="J469" s="44"/>
      <c r="K469" s="45"/>
      <c r="L469" s="44"/>
      <c r="M469" s="44"/>
      <c r="N469" s="44"/>
      <c r="O469" s="44"/>
      <c r="P469" s="44"/>
      <c r="Q469" s="44"/>
      <c r="R469" s="44"/>
      <c r="S469" s="45"/>
      <c r="T469" s="45"/>
      <c r="U469" s="45"/>
      <c r="V469" s="45"/>
      <c r="W469" s="45"/>
      <c r="X469" s="45"/>
      <c r="Y469" s="45"/>
      <c r="Z469" s="45"/>
      <c r="AA469" s="45"/>
      <c r="AB469" s="45"/>
      <c r="AC469" s="45"/>
    </row>
    <row r="470" spans="1:29" ht="13.15">
      <c r="A470" s="45"/>
      <c r="B470" s="45"/>
      <c r="C470" s="45"/>
      <c r="D470" s="45"/>
      <c r="E470" s="45"/>
      <c r="F470" s="45"/>
      <c r="G470" s="45"/>
      <c r="H470" s="45"/>
      <c r="I470" s="44"/>
      <c r="J470" s="44"/>
      <c r="K470" s="45"/>
      <c r="L470" s="44"/>
      <c r="M470" s="44"/>
      <c r="N470" s="44"/>
      <c r="O470" s="44"/>
      <c r="P470" s="44"/>
      <c r="Q470" s="44"/>
      <c r="R470" s="44"/>
      <c r="S470" s="45"/>
      <c r="T470" s="45"/>
      <c r="U470" s="45"/>
      <c r="V470" s="45"/>
      <c r="W470" s="45"/>
      <c r="X470" s="45"/>
      <c r="Y470" s="45"/>
      <c r="Z470" s="45"/>
      <c r="AA470" s="45"/>
      <c r="AB470" s="45"/>
      <c r="AC470" s="45"/>
    </row>
    <row r="471" spans="1:29" ht="13.15">
      <c r="A471" s="45"/>
      <c r="B471" s="45"/>
      <c r="C471" s="45"/>
      <c r="D471" s="45"/>
      <c r="E471" s="45"/>
      <c r="F471" s="45"/>
      <c r="G471" s="45"/>
      <c r="H471" s="45"/>
      <c r="I471" s="44"/>
      <c r="J471" s="44"/>
      <c r="K471" s="45"/>
      <c r="L471" s="44"/>
      <c r="M471" s="44"/>
      <c r="N471" s="44"/>
      <c r="O471" s="44"/>
      <c r="P471" s="44"/>
      <c r="Q471" s="44"/>
      <c r="R471" s="44"/>
      <c r="S471" s="45"/>
      <c r="T471" s="45"/>
      <c r="U471" s="45"/>
      <c r="V471" s="45"/>
      <c r="W471" s="45"/>
      <c r="X471" s="45"/>
      <c r="Y471" s="45"/>
      <c r="Z471" s="45"/>
      <c r="AA471" s="45"/>
      <c r="AB471" s="45"/>
      <c r="AC471" s="45"/>
    </row>
    <row r="472" spans="1:29" ht="13.15">
      <c r="A472" s="45"/>
      <c r="B472" s="45"/>
      <c r="C472" s="45"/>
      <c r="D472" s="45"/>
      <c r="E472" s="45"/>
      <c r="F472" s="45"/>
      <c r="G472" s="45"/>
      <c r="H472" s="45"/>
      <c r="I472" s="44"/>
      <c r="J472" s="44"/>
      <c r="K472" s="45"/>
      <c r="L472" s="44"/>
      <c r="M472" s="44"/>
      <c r="N472" s="44"/>
      <c r="O472" s="44"/>
      <c r="P472" s="44"/>
      <c r="Q472" s="44"/>
      <c r="R472" s="44"/>
      <c r="S472" s="45"/>
      <c r="T472" s="45"/>
      <c r="U472" s="45"/>
      <c r="V472" s="45"/>
      <c r="W472" s="45"/>
      <c r="X472" s="45"/>
      <c r="Y472" s="45"/>
      <c r="Z472" s="45"/>
      <c r="AA472" s="45"/>
      <c r="AB472" s="45"/>
      <c r="AC472" s="45"/>
    </row>
    <row r="473" spans="1:29" ht="13.15">
      <c r="A473" s="45"/>
      <c r="B473" s="45"/>
      <c r="C473" s="45"/>
      <c r="D473" s="45"/>
      <c r="E473" s="45"/>
      <c r="F473" s="45"/>
      <c r="G473" s="45"/>
      <c r="H473" s="45"/>
      <c r="I473" s="44"/>
      <c r="J473" s="44"/>
      <c r="K473" s="45"/>
      <c r="L473" s="44"/>
      <c r="M473" s="44"/>
      <c r="N473" s="44"/>
      <c r="O473" s="44"/>
      <c r="P473" s="44"/>
      <c r="Q473" s="44"/>
      <c r="R473" s="44"/>
      <c r="S473" s="45"/>
      <c r="T473" s="45"/>
      <c r="U473" s="45"/>
      <c r="V473" s="45"/>
      <c r="W473" s="45"/>
      <c r="X473" s="45"/>
      <c r="Y473" s="45"/>
      <c r="Z473" s="45"/>
      <c r="AA473" s="45"/>
      <c r="AB473" s="45"/>
      <c r="AC473" s="45"/>
    </row>
    <row r="474" spans="1:29" ht="13.15">
      <c r="A474" s="45"/>
      <c r="B474" s="45"/>
      <c r="C474" s="45"/>
      <c r="D474" s="45"/>
      <c r="E474" s="45"/>
      <c r="F474" s="45"/>
      <c r="G474" s="45"/>
      <c r="H474" s="45"/>
      <c r="I474" s="44"/>
      <c r="J474" s="44"/>
      <c r="K474" s="45"/>
      <c r="L474" s="44"/>
      <c r="M474" s="44"/>
      <c r="N474" s="44"/>
      <c r="O474" s="44"/>
      <c r="P474" s="44"/>
      <c r="Q474" s="44"/>
      <c r="R474" s="44"/>
      <c r="S474" s="45"/>
      <c r="T474" s="45"/>
      <c r="U474" s="45"/>
      <c r="V474" s="45"/>
      <c r="W474" s="45"/>
      <c r="X474" s="45"/>
      <c r="Y474" s="45"/>
      <c r="Z474" s="45"/>
      <c r="AA474" s="45"/>
      <c r="AB474" s="45"/>
      <c r="AC474" s="45"/>
    </row>
    <row r="475" spans="1:29" ht="13.15">
      <c r="A475" s="45"/>
      <c r="B475" s="45"/>
      <c r="C475" s="45"/>
      <c r="D475" s="45"/>
      <c r="E475" s="45"/>
      <c r="F475" s="45"/>
      <c r="G475" s="45"/>
      <c r="H475" s="45"/>
      <c r="I475" s="44"/>
      <c r="J475" s="44"/>
      <c r="K475" s="45"/>
      <c r="L475" s="44"/>
      <c r="M475" s="44"/>
      <c r="N475" s="44"/>
      <c r="O475" s="44"/>
      <c r="P475" s="44"/>
      <c r="Q475" s="44"/>
      <c r="R475" s="44"/>
      <c r="S475" s="45"/>
      <c r="T475" s="45"/>
      <c r="U475" s="45"/>
      <c r="V475" s="45"/>
      <c r="W475" s="45"/>
      <c r="X475" s="45"/>
      <c r="Y475" s="45"/>
      <c r="Z475" s="45"/>
      <c r="AA475" s="45"/>
      <c r="AB475" s="45"/>
      <c r="AC475" s="45"/>
    </row>
    <row r="476" spans="1:29" ht="13.15">
      <c r="A476" s="45"/>
      <c r="B476" s="45"/>
      <c r="C476" s="45"/>
      <c r="D476" s="45"/>
      <c r="E476" s="45"/>
      <c r="F476" s="45"/>
      <c r="G476" s="45"/>
      <c r="H476" s="45"/>
      <c r="I476" s="44"/>
      <c r="J476" s="44"/>
      <c r="K476" s="45"/>
      <c r="L476" s="44"/>
      <c r="M476" s="44"/>
      <c r="N476" s="44"/>
      <c r="O476" s="44"/>
      <c r="P476" s="44"/>
      <c r="Q476" s="44"/>
      <c r="R476" s="44"/>
      <c r="S476" s="45"/>
      <c r="T476" s="45"/>
      <c r="U476" s="45"/>
      <c r="V476" s="45"/>
      <c r="W476" s="45"/>
      <c r="X476" s="45"/>
      <c r="Y476" s="45"/>
      <c r="Z476" s="45"/>
      <c r="AA476" s="45"/>
      <c r="AB476" s="45"/>
      <c r="AC476" s="45"/>
    </row>
    <row r="477" spans="1:29" ht="13.15">
      <c r="A477" s="45"/>
      <c r="B477" s="45"/>
      <c r="C477" s="45"/>
      <c r="D477" s="45"/>
      <c r="E477" s="45"/>
      <c r="F477" s="45"/>
      <c r="G477" s="45"/>
      <c r="H477" s="45"/>
      <c r="I477" s="44"/>
      <c r="J477" s="44"/>
      <c r="K477" s="45"/>
      <c r="L477" s="44"/>
      <c r="M477" s="44"/>
      <c r="N477" s="44"/>
      <c r="O477" s="44"/>
      <c r="P477" s="44"/>
      <c r="Q477" s="44"/>
      <c r="R477" s="44"/>
      <c r="S477" s="45"/>
      <c r="T477" s="45"/>
      <c r="U477" s="45"/>
      <c r="V477" s="45"/>
      <c r="W477" s="45"/>
      <c r="X477" s="45"/>
      <c r="Y477" s="45"/>
      <c r="Z477" s="45"/>
      <c r="AA477" s="45"/>
      <c r="AB477" s="45"/>
      <c r="AC477" s="45"/>
    </row>
    <row r="478" spans="1:29" ht="13.15">
      <c r="A478" s="45"/>
      <c r="B478" s="45"/>
      <c r="C478" s="45"/>
      <c r="D478" s="45"/>
      <c r="E478" s="45"/>
      <c r="F478" s="45"/>
      <c r="G478" s="45"/>
      <c r="H478" s="45"/>
      <c r="I478" s="44"/>
      <c r="J478" s="44"/>
      <c r="K478" s="45"/>
      <c r="L478" s="44"/>
      <c r="M478" s="44"/>
      <c r="N478" s="44"/>
      <c r="O478" s="44"/>
      <c r="P478" s="44"/>
      <c r="Q478" s="44"/>
      <c r="R478" s="44"/>
      <c r="S478" s="45"/>
      <c r="T478" s="45"/>
      <c r="U478" s="45"/>
      <c r="V478" s="45"/>
      <c r="W478" s="45"/>
      <c r="X478" s="45"/>
      <c r="Y478" s="45"/>
      <c r="Z478" s="45"/>
      <c r="AA478" s="45"/>
      <c r="AB478" s="45"/>
      <c r="AC478" s="45"/>
    </row>
    <row r="479" spans="1:29" ht="13.15">
      <c r="A479" s="45"/>
      <c r="B479" s="45"/>
      <c r="C479" s="45"/>
      <c r="D479" s="45"/>
      <c r="E479" s="45"/>
      <c r="F479" s="45"/>
      <c r="G479" s="45"/>
      <c r="H479" s="45"/>
      <c r="I479" s="44"/>
      <c r="J479" s="44"/>
      <c r="K479" s="45"/>
      <c r="L479" s="44"/>
      <c r="M479" s="44"/>
      <c r="N479" s="44"/>
      <c r="O479" s="44"/>
      <c r="P479" s="44"/>
      <c r="Q479" s="44"/>
      <c r="R479" s="44"/>
      <c r="S479" s="45"/>
      <c r="T479" s="45"/>
      <c r="U479" s="45"/>
      <c r="V479" s="45"/>
      <c r="W479" s="45"/>
      <c r="X479" s="45"/>
      <c r="Y479" s="45"/>
      <c r="Z479" s="45"/>
      <c r="AA479" s="45"/>
      <c r="AB479" s="45"/>
      <c r="AC479" s="45"/>
    </row>
    <row r="480" spans="1:29" ht="13.15">
      <c r="A480" s="45"/>
      <c r="B480" s="45"/>
      <c r="C480" s="45"/>
      <c r="D480" s="45"/>
      <c r="E480" s="45"/>
      <c r="F480" s="45"/>
      <c r="G480" s="45"/>
      <c r="H480" s="45"/>
      <c r="I480" s="44"/>
      <c r="J480" s="44"/>
      <c r="K480" s="45"/>
      <c r="L480" s="44"/>
      <c r="M480" s="44"/>
      <c r="N480" s="44"/>
      <c r="O480" s="44"/>
      <c r="P480" s="44"/>
      <c r="Q480" s="44"/>
      <c r="R480" s="44"/>
      <c r="S480" s="45"/>
      <c r="T480" s="45"/>
      <c r="U480" s="45"/>
      <c r="V480" s="45"/>
      <c r="W480" s="45"/>
      <c r="X480" s="45"/>
      <c r="Y480" s="45"/>
      <c r="Z480" s="45"/>
      <c r="AA480" s="45"/>
      <c r="AB480" s="45"/>
      <c r="AC480" s="45"/>
    </row>
    <row r="481" spans="1:29" ht="13.15">
      <c r="A481" s="45"/>
      <c r="B481" s="45"/>
      <c r="C481" s="45"/>
      <c r="D481" s="45"/>
      <c r="E481" s="45"/>
      <c r="F481" s="45"/>
      <c r="G481" s="45"/>
      <c r="H481" s="45"/>
      <c r="I481" s="44"/>
      <c r="J481" s="44"/>
      <c r="K481" s="45"/>
      <c r="L481" s="44"/>
      <c r="M481" s="44"/>
      <c r="N481" s="44"/>
      <c r="O481" s="44"/>
      <c r="P481" s="44"/>
      <c r="Q481" s="44"/>
      <c r="R481" s="44"/>
      <c r="S481" s="45"/>
      <c r="T481" s="45"/>
      <c r="U481" s="45"/>
      <c r="V481" s="45"/>
      <c r="W481" s="45"/>
      <c r="X481" s="45"/>
      <c r="Y481" s="45"/>
      <c r="Z481" s="45"/>
      <c r="AA481" s="45"/>
      <c r="AB481" s="45"/>
      <c r="AC481" s="45"/>
    </row>
    <row r="482" spans="1:29" ht="13.15">
      <c r="A482" s="45"/>
      <c r="B482" s="45"/>
      <c r="C482" s="45"/>
      <c r="D482" s="45"/>
      <c r="E482" s="45"/>
      <c r="F482" s="45"/>
      <c r="G482" s="45"/>
      <c r="H482" s="45"/>
      <c r="I482" s="44"/>
      <c r="J482" s="44"/>
      <c r="K482" s="45"/>
      <c r="L482" s="44"/>
      <c r="M482" s="44"/>
      <c r="N482" s="44"/>
      <c r="O482" s="44"/>
      <c r="P482" s="44"/>
      <c r="Q482" s="44"/>
      <c r="R482" s="44"/>
      <c r="S482" s="45"/>
      <c r="T482" s="45"/>
      <c r="U482" s="45"/>
      <c r="V482" s="45"/>
      <c r="W482" s="45"/>
      <c r="X482" s="45"/>
      <c r="Y482" s="45"/>
      <c r="Z482" s="45"/>
      <c r="AA482" s="45"/>
      <c r="AB482" s="45"/>
      <c r="AC482" s="45"/>
    </row>
    <row r="483" spans="1:29" ht="13.15">
      <c r="A483" s="45"/>
      <c r="B483" s="45"/>
      <c r="C483" s="45"/>
      <c r="D483" s="45"/>
      <c r="E483" s="45"/>
      <c r="F483" s="45"/>
      <c r="G483" s="45"/>
      <c r="H483" s="45"/>
      <c r="I483" s="44"/>
      <c r="J483" s="44"/>
      <c r="K483" s="45"/>
      <c r="L483" s="44"/>
      <c r="M483" s="44"/>
      <c r="N483" s="44"/>
      <c r="O483" s="44"/>
      <c r="P483" s="44"/>
      <c r="Q483" s="44"/>
      <c r="R483" s="44"/>
      <c r="S483" s="45"/>
      <c r="T483" s="45"/>
      <c r="U483" s="45"/>
      <c r="V483" s="45"/>
      <c r="W483" s="45"/>
      <c r="X483" s="45"/>
      <c r="Y483" s="45"/>
      <c r="Z483" s="45"/>
      <c r="AA483" s="45"/>
      <c r="AB483" s="45"/>
      <c r="AC483" s="45"/>
    </row>
    <row r="484" spans="1:29" ht="13.15">
      <c r="A484" s="45"/>
      <c r="B484" s="45"/>
      <c r="C484" s="45"/>
      <c r="D484" s="45"/>
      <c r="E484" s="45"/>
      <c r="F484" s="45"/>
      <c r="G484" s="45"/>
      <c r="H484" s="45"/>
      <c r="I484" s="44"/>
      <c r="J484" s="44"/>
      <c r="K484" s="45"/>
      <c r="L484" s="44"/>
      <c r="M484" s="44"/>
      <c r="N484" s="44"/>
      <c r="O484" s="44"/>
      <c r="P484" s="44"/>
      <c r="Q484" s="44"/>
      <c r="R484" s="44"/>
      <c r="S484" s="45"/>
      <c r="T484" s="45"/>
      <c r="U484" s="45"/>
      <c r="V484" s="45"/>
      <c r="W484" s="45"/>
      <c r="X484" s="45"/>
      <c r="Y484" s="45"/>
      <c r="Z484" s="45"/>
      <c r="AA484" s="45"/>
      <c r="AB484" s="45"/>
      <c r="AC484" s="45"/>
    </row>
    <row r="485" spans="1:29" ht="13.15">
      <c r="A485" s="45"/>
      <c r="B485" s="45"/>
      <c r="C485" s="45"/>
      <c r="D485" s="45"/>
      <c r="E485" s="45"/>
      <c r="F485" s="45"/>
      <c r="G485" s="45"/>
      <c r="H485" s="45"/>
      <c r="I485" s="44"/>
      <c r="J485" s="44"/>
      <c r="K485" s="45"/>
      <c r="L485" s="44"/>
      <c r="M485" s="44"/>
      <c r="N485" s="44"/>
      <c r="O485" s="44"/>
      <c r="P485" s="44"/>
      <c r="Q485" s="44"/>
      <c r="R485" s="44"/>
      <c r="S485" s="45"/>
      <c r="T485" s="45"/>
      <c r="U485" s="45"/>
      <c r="V485" s="45"/>
      <c r="W485" s="45"/>
      <c r="X485" s="45"/>
      <c r="Y485" s="45"/>
      <c r="Z485" s="45"/>
      <c r="AA485" s="45"/>
      <c r="AB485" s="45"/>
      <c r="AC485" s="45"/>
    </row>
    <row r="486" spans="1:29" ht="13.15">
      <c r="A486" s="45"/>
      <c r="B486" s="45"/>
      <c r="C486" s="45"/>
      <c r="D486" s="45"/>
      <c r="E486" s="45"/>
      <c r="F486" s="45"/>
      <c r="G486" s="45"/>
      <c r="H486" s="45"/>
      <c r="I486" s="44"/>
      <c r="J486" s="44"/>
      <c r="K486" s="45"/>
      <c r="L486" s="44"/>
      <c r="M486" s="44"/>
      <c r="N486" s="44"/>
      <c r="O486" s="44"/>
      <c r="P486" s="44"/>
      <c r="Q486" s="44"/>
      <c r="R486" s="44"/>
      <c r="S486" s="45"/>
      <c r="T486" s="45"/>
      <c r="U486" s="45"/>
      <c r="V486" s="45"/>
      <c r="W486" s="45"/>
      <c r="X486" s="45"/>
      <c r="Y486" s="45"/>
      <c r="Z486" s="45"/>
      <c r="AA486" s="45"/>
      <c r="AB486" s="45"/>
      <c r="AC486" s="45"/>
    </row>
    <row r="487" spans="1:29" ht="13.15">
      <c r="A487" s="45"/>
      <c r="B487" s="45"/>
      <c r="C487" s="45"/>
      <c r="D487" s="45"/>
      <c r="E487" s="45"/>
      <c r="F487" s="45"/>
      <c r="G487" s="45"/>
      <c r="H487" s="45"/>
      <c r="I487" s="44"/>
      <c r="J487" s="44"/>
      <c r="K487" s="45"/>
      <c r="L487" s="44"/>
      <c r="M487" s="44"/>
      <c r="N487" s="44"/>
      <c r="O487" s="44"/>
      <c r="P487" s="44"/>
      <c r="Q487" s="44"/>
      <c r="R487" s="44"/>
      <c r="S487" s="45"/>
      <c r="T487" s="45"/>
      <c r="U487" s="45"/>
      <c r="V487" s="45"/>
      <c r="W487" s="45"/>
      <c r="X487" s="45"/>
      <c r="Y487" s="45"/>
      <c r="Z487" s="45"/>
      <c r="AA487" s="45"/>
      <c r="AB487" s="45"/>
      <c r="AC487" s="45"/>
    </row>
    <row r="488" spans="1:29" ht="13.15">
      <c r="A488" s="45"/>
      <c r="B488" s="45"/>
      <c r="C488" s="45"/>
      <c r="D488" s="45"/>
      <c r="E488" s="45"/>
      <c r="F488" s="45"/>
      <c r="G488" s="45"/>
      <c r="H488" s="45"/>
      <c r="I488" s="44"/>
      <c r="J488" s="44"/>
      <c r="K488" s="45"/>
      <c r="L488" s="44"/>
      <c r="M488" s="44"/>
      <c r="N488" s="44"/>
      <c r="O488" s="44"/>
      <c r="P488" s="44"/>
      <c r="Q488" s="44"/>
      <c r="R488" s="44"/>
      <c r="S488" s="45"/>
      <c r="T488" s="45"/>
      <c r="U488" s="45"/>
      <c r="V488" s="45"/>
      <c r="W488" s="45"/>
      <c r="X488" s="45"/>
      <c r="Y488" s="45"/>
      <c r="Z488" s="45"/>
      <c r="AA488" s="45"/>
      <c r="AB488" s="45"/>
      <c r="AC488" s="45"/>
    </row>
    <row r="489" spans="1:29" ht="13.15">
      <c r="A489" s="45"/>
      <c r="B489" s="45"/>
      <c r="C489" s="45"/>
      <c r="D489" s="45"/>
      <c r="E489" s="45"/>
      <c r="F489" s="45"/>
      <c r="G489" s="45"/>
      <c r="H489" s="45"/>
      <c r="I489" s="44"/>
      <c r="J489" s="44"/>
      <c r="K489" s="45"/>
      <c r="L489" s="44"/>
      <c r="M489" s="44"/>
      <c r="N489" s="44"/>
      <c r="O489" s="44"/>
      <c r="P489" s="44"/>
      <c r="Q489" s="44"/>
      <c r="R489" s="44"/>
      <c r="S489" s="45"/>
      <c r="T489" s="45"/>
      <c r="U489" s="45"/>
      <c r="V489" s="45"/>
      <c r="W489" s="45"/>
      <c r="X489" s="45"/>
      <c r="Y489" s="45"/>
      <c r="Z489" s="45"/>
      <c r="AA489" s="45"/>
      <c r="AB489" s="45"/>
      <c r="AC489" s="45"/>
    </row>
    <row r="490" spans="1:29" ht="13.15">
      <c r="A490" s="45"/>
      <c r="B490" s="45"/>
      <c r="C490" s="45"/>
      <c r="D490" s="45"/>
      <c r="E490" s="45"/>
      <c r="F490" s="45"/>
      <c r="G490" s="45"/>
      <c r="H490" s="45"/>
      <c r="I490" s="44"/>
      <c r="J490" s="44"/>
      <c r="K490" s="45"/>
      <c r="L490" s="44"/>
      <c r="M490" s="44"/>
      <c r="N490" s="44"/>
      <c r="O490" s="44"/>
      <c r="P490" s="44"/>
      <c r="Q490" s="44"/>
      <c r="R490" s="44"/>
      <c r="S490" s="45"/>
      <c r="T490" s="45"/>
      <c r="U490" s="45"/>
      <c r="V490" s="45"/>
      <c r="W490" s="45"/>
      <c r="X490" s="45"/>
      <c r="Y490" s="45"/>
      <c r="Z490" s="45"/>
      <c r="AA490" s="45"/>
      <c r="AB490" s="45"/>
      <c r="AC490" s="45"/>
    </row>
    <row r="491" spans="1:29" ht="13.15">
      <c r="A491" s="45"/>
      <c r="B491" s="45"/>
      <c r="C491" s="45"/>
      <c r="D491" s="45"/>
      <c r="E491" s="45"/>
      <c r="F491" s="45"/>
      <c r="G491" s="45"/>
      <c r="H491" s="45"/>
      <c r="I491" s="44"/>
      <c r="J491" s="44"/>
      <c r="K491" s="45"/>
      <c r="L491" s="44"/>
      <c r="M491" s="44"/>
      <c r="N491" s="44"/>
      <c r="O491" s="44"/>
      <c r="P491" s="44"/>
      <c r="Q491" s="44"/>
      <c r="R491" s="44"/>
      <c r="S491" s="45"/>
      <c r="T491" s="45"/>
      <c r="U491" s="45"/>
      <c r="V491" s="45"/>
      <c r="W491" s="45"/>
      <c r="X491" s="45"/>
      <c r="Y491" s="45"/>
      <c r="Z491" s="45"/>
      <c r="AA491" s="45"/>
      <c r="AB491" s="45"/>
      <c r="AC491" s="45"/>
    </row>
    <row r="492" spans="1:29" ht="13.15">
      <c r="A492" s="45"/>
      <c r="B492" s="45"/>
      <c r="C492" s="45"/>
      <c r="D492" s="45"/>
      <c r="E492" s="45"/>
      <c r="F492" s="45"/>
      <c r="G492" s="45"/>
      <c r="H492" s="45"/>
      <c r="I492" s="44"/>
      <c r="J492" s="44"/>
      <c r="K492" s="45"/>
      <c r="L492" s="44"/>
      <c r="M492" s="44"/>
      <c r="N492" s="44"/>
      <c r="O492" s="44"/>
      <c r="P492" s="44"/>
      <c r="Q492" s="44"/>
      <c r="R492" s="44"/>
      <c r="S492" s="45"/>
      <c r="T492" s="45"/>
      <c r="U492" s="45"/>
      <c r="V492" s="45"/>
      <c r="W492" s="45"/>
      <c r="X492" s="45"/>
      <c r="Y492" s="45"/>
      <c r="Z492" s="45"/>
      <c r="AA492" s="45"/>
      <c r="AB492" s="45"/>
      <c r="AC492" s="45"/>
    </row>
    <row r="493" spans="1:29" ht="13.15">
      <c r="A493" s="45"/>
      <c r="B493" s="45"/>
      <c r="C493" s="45"/>
      <c r="D493" s="45"/>
      <c r="E493" s="45"/>
      <c r="F493" s="45"/>
      <c r="G493" s="45"/>
      <c r="H493" s="45"/>
      <c r="I493" s="44"/>
      <c r="J493" s="44"/>
      <c r="K493" s="45"/>
      <c r="L493" s="44"/>
      <c r="M493" s="44"/>
      <c r="N493" s="44"/>
      <c r="O493" s="44"/>
      <c r="P493" s="44"/>
      <c r="Q493" s="44"/>
      <c r="R493" s="44"/>
      <c r="S493" s="45"/>
      <c r="T493" s="45"/>
      <c r="U493" s="45"/>
      <c r="V493" s="45"/>
      <c r="W493" s="45"/>
      <c r="X493" s="45"/>
      <c r="Y493" s="45"/>
      <c r="Z493" s="45"/>
      <c r="AA493" s="45"/>
      <c r="AB493" s="45"/>
      <c r="AC493" s="45"/>
    </row>
    <row r="494" spans="1:29" ht="13.15">
      <c r="A494" s="45"/>
      <c r="B494" s="45"/>
      <c r="C494" s="45"/>
      <c r="D494" s="45"/>
      <c r="E494" s="45"/>
      <c r="F494" s="45"/>
      <c r="G494" s="45"/>
      <c r="H494" s="45"/>
      <c r="I494" s="44"/>
      <c r="J494" s="44"/>
      <c r="K494" s="45"/>
      <c r="L494" s="44"/>
      <c r="M494" s="44"/>
      <c r="N494" s="44"/>
      <c r="O494" s="44"/>
      <c r="P494" s="44"/>
      <c r="Q494" s="44"/>
      <c r="R494" s="44"/>
      <c r="S494" s="45"/>
      <c r="T494" s="45"/>
      <c r="U494" s="45"/>
      <c r="V494" s="45"/>
      <c r="W494" s="45"/>
      <c r="X494" s="45"/>
      <c r="Y494" s="45"/>
      <c r="Z494" s="45"/>
      <c r="AA494" s="45"/>
      <c r="AB494" s="45"/>
      <c r="AC494" s="45"/>
    </row>
    <row r="495" spans="1:29" ht="13.15">
      <c r="A495" s="45"/>
      <c r="B495" s="45"/>
      <c r="C495" s="45"/>
      <c r="D495" s="45"/>
      <c r="E495" s="45"/>
      <c r="F495" s="45"/>
      <c r="G495" s="45"/>
      <c r="H495" s="45"/>
      <c r="I495" s="44"/>
      <c r="J495" s="44"/>
      <c r="K495" s="45"/>
      <c r="L495" s="44"/>
      <c r="M495" s="44"/>
      <c r="N495" s="44"/>
      <c r="O495" s="44"/>
      <c r="P495" s="44"/>
      <c r="Q495" s="44"/>
      <c r="R495" s="44"/>
      <c r="S495" s="45"/>
      <c r="T495" s="45"/>
      <c r="U495" s="45"/>
      <c r="V495" s="45"/>
      <c r="W495" s="45"/>
      <c r="X495" s="45"/>
      <c r="Y495" s="45"/>
      <c r="Z495" s="45"/>
      <c r="AA495" s="45"/>
      <c r="AB495" s="45"/>
      <c r="AC495" s="45"/>
    </row>
    <row r="496" spans="1:29" ht="13.15">
      <c r="A496" s="45"/>
      <c r="B496" s="45"/>
      <c r="C496" s="45"/>
      <c r="D496" s="45"/>
      <c r="E496" s="45"/>
      <c r="F496" s="45"/>
      <c r="G496" s="45"/>
      <c r="H496" s="45"/>
      <c r="I496" s="44"/>
      <c r="J496" s="44"/>
      <c r="K496" s="45"/>
      <c r="L496" s="44"/>
      <c r="M496" s="44"/>
      <c r="N496" s="44"/>
      <c r="O496" s="44"/>
      <c r="P496" s="44"/>
      <c r="Q496" s="44"/>
      <c r="R496" s="44"/>
      <c r="S496" s="45"/>
      <c r="T496" s="45"/>
      <c r="U496" s="45"/>
      <c r="V496" s="45"/>
      <c r="W496" s="45"/>
      <c r="X496" s="45"/>
      <c r="Y496" s="45"/>
      <c r="Z496" s="45"/>
      <c r="AA496" s="45"/>
      <c r="AB496" s="45"/>
      <c r="AC496" s="45"/>
    </row>
    <row r="497" spans="1:29" ht="13.15">
      <c r="A497" s="45"/>
      <c r="B497" s="45"/>
      <c r="C497" s="45"/>
      <c r="D497" s="45"/>
      <c r="E497" s="45"/>
      <c r="F497" s="45"/>
      <c r="G497" s="45"/>
      <c r="H497" s="45"/>
      <c r="I497" s="44"/>
      <c r="J497" s="44"/>
      <c r="K497" s="45"/>
      <c r="L497" s="44"/>
      <c r="M497" s="44"/>
      <c r="N497" s="44"/>
      <c r="O497" s="44"/>
      <c r="P497" s="44"/>
      <c r="Q497" s="44"/>
      <c r="R497" s="44"/>
      <c r="S497" s="45"/>
      <c r="T497" s="45"/>
      <c r="U497" s="45"/>
      <c r="V497" s="45"/>
      <c r="W497" s="45"/>
      <c r="X497" s="45"/>
      <c r="Y497" s="45"/>
      <c r="Z497" s="45"/>
      <c r="AA497" s="45"/>
      <c r="AB497" s="45"/>
      <c r="AC497" s="45"/>
    </row>
    <row r="498" spans="1:29" ht="13.15">
      <c r="A498" s="45"/>
      <c r="B498" s="45"/>
      <c r="C498" s="45"/>
      <c r="D498" s="45"/>
      <c r="E498" s="45"/>
      <c r="F498" s="45"/>
      <c r="G498" s="45"/>
      <c r="H498" s="45"/>
      <c r="I498" s="44"/>
      <c r="J498" s="44"/>
      <c r="K498" s="45"/>
      <c r="L498" s="44"/>
      <c r="M498" s="44"/>
      <c r="N498" s="44"/>
      <c r="O498" s="44"/>
      <c r="P498" s="44"/>
      <c r="Q498" s="44"/>
      <c r="R498" s="44"/>
      <c r="S498" s="45"/>
      <c r="T498" s="45"/>
      <c r="U498" s="45"/>
      <c r="V498" s="45"/>
      <c r="W498" s="45"/>
      <c r="X498" s="45"/>
      <c r="Y498" s="45"/>
      <c r="Z498" s="45"/>
      <c r="AA498" s="45"/>
      <c r="AB498" s="45"/>
      <c r="AC498" s="45"/>
    </row>
    <row r="499" spans="1:29" ht="13.15">
      <c r="A499" s="45"/>
      <c r="B499" s="45"/>
      <c r="C499" s="45"/>
      <c r="D499" s="45"/>
      <c r="E499" s="45"/>
      <c r="F499" s="45"/>
      <c r="G499" s="45"/>
      <c r="H499" s="45"/>
      <c r="I499" s="44"/>
      <c r="J499" s="44"/>
      <c r="K499" s="45"/>
      <c r="L499" s="44"/>
      <c r="M499" s="44"/>
      <c r="N499" s="44"/>
      <c r="O499" s="44"/>
      <c r="P499" s="44"/>
      <c r="Q499" s="44"/>
      <c r="R499" s="44"/>
      <c r="S499" s="45"/>
      <c r="T499" s="45"/>
      <c r="U499" s="45"/>
      <c r="V499" s="45"/>
      <c r="W499" s="45"/>
      <c r="X499" s="45"/>
      <c r="Y499" s="45"/>
      <c r="Z499" s="45"/>
      <c r="AA499" s="45"/>
      <c r="AB499" s="45"/>
      <c r="AC499" s="45"/>
    </row>
    <row r="500" spans="1:29" ht="13.15">
      <c r="A500" s="45"/>
      <c r="B500" s="45"/>
      <c r="C500" s="45"/>
      <c r="D500" s="45"/>
      <c r="E500" s="45"/>
      <c r="F500" s="45"/>
      <c r="G500" s="45"/>
      <c r="H500" s="45"/>
      <c r="I500" s="44"/>
      <c r="J500" s="44"/>
      <c r="K500" s="45"/>
      <c r="L500" s="44"/>
      <c r="M500" s="44"/>
      <c r="N500" s="44"/>
      <c r="O500" s="44"/>
      <c r="P500" s="44"/>
      <c r="Q500" s="44"/>
      <c r="R500" s="44"/>
      <c r="S500" s="45"/>
      <c r="T500" s="45"/>
      <c r="U500" s="45"/>
      <c r="V500" s="45"/>
      <c r="W500" s="45"/>
      <c r="X500" s="45"/>
      <c r="Y500" s="45"/>
      <c r="Z500" s="45"/>
      <c r="AA500" s="45"/>
      <c r="AB500" s="45"/>
      <c r="AC500" s="45"/>
    </row>
    <row r="501" spans="1:29" ht="13.15">
      <c r="A501" s="45"/>
      <c r="B501" s="45"/>
      <c r="C501" s="45"/>
      <c r="D501" s="45"/>
      <c r="E501" s="45"/>
      <c r="F501" s="45"/>
      <c r="G501" s="45"/>
      <c r="H501" s="45"/>
      <c r="I501" s="44"/>
      <c r="J501" s="44"/>
      <c r="K501" s="45"/>
      <c r="L501" s="44"/>
      <c r="M501" s="44"/>
      <c r="N501" s="44"/>
      <c r="O501" s="44"/>
      <c r="P501" s="44"/>
      <c r="Q501" s="44"/>
      <c r="R501" s="44"/>
      <c r="S501" s="45"/>
      <c r="T501" s="45"/>
      <c r="U501" s="45"/>
      <c r="V501" s="45"/>
      <c r="W501" s="45"/>
      <c r="X501" s="45"/>
      <c r="Y501" s="45"/>
      <c r="Z501" s="45"/>
      <c r="AA501" s="45"/>
      <c r="AB501" s="45"/>
      <c r="AC501" s="45"/>
    </row>
    <row r="502" spans="1:29" ht="13.15">
      <c r="A502" s="45"/>
      <c r="B502" s="45"/>
      <c r="C502" s="45"/>
      <c r="D502" s="45"/>
      <c r="E502" s="45"/>
      <c r="F502" s="45"/>
      <c r="G502" s="45"/>
      <c r="H502" s="45"/>
      <c r="I502" s="44"/>
      <c r="J502" s="44"/>
      <c r="K502" s="45"/>
      <c r="L502" s="44"/>
      <c r="M502" s="44"/>
      <c r="N502" s="44"/>
      <c r="O502" s="44"/>
      <c r="P502" s="44"/>
      <c r="Q502" s="44"/>
      <c r="R502" s="44"/>
      <c r="S502" s="45"/>
      <c r="T502" s="45"/>
      <c r="U502" s="45"/>
      <c r="V502" s="45"/>
      <c r="W502" s="45"/>
      <c r="X502" s="45"/>
      <c r="Y502" s="45"/>
      <c r="Z502" s="45"/>
      <c r="AA502" s="45"/>
      <c r="AB502" s="45"/>
      <c r="AC502" s="45"/>
    </row>
    <row r="503" spans="1:29" ht="13.15">
      <c r="A503" s="45"/>
      <c r="B503" s="45"/>
      <c r="C503" s="45"/>
      <c r="D503" s="45"/>
      <c r="E503" s="45"/>
      <c r="F503" s="45"/>
      <c r="G503" s="45"/>
      <c r="H503" s="45"/>
      <c r="I503" s="44"/>
      <c r="J503" s="44"/>
      <c r="K503" s="45"/>
      <c r="L503" s="44"/>
      <c r="M503" s="44"/>
      <c r="N503" s="44"/>
      <c r="O503" s="44"/>
      <c r="P503" s="44"/>
      <c r="Q503" s="44"/>
      <c r="R503" s="44"/>
      <c r="S503" s="45"/>
      <c r="T503" s="45"/>
      <c r="U503" s="45"/>
      <c r="V503" s="45"/>
      <c r="W503" s="45"/>
      <c r="X503" s="45"/>
      <c r="Y503" s="45"/>
      <c r="Z503" s="45"/>
      <c r="AA503" s="45"/>
      <c r="AB503" s="45"/>
      <c r="AC503" s="45"/>
    </row>
    <row r="504" spans="1:29" ht="13.15">
      <c r="A504" s="45"/>
      <c r="B504" s="45"/>
      <c r="C504" s="45"/>
      <c r="D504" s="45"/>
      <c r="E504" s="45"/>
      <c r="F504" s="45"/>
      <c r="G504" s="45"/>
      <c r="H504" s="45"/>
      <c r="I504" s="44"/>
      <c r="J504" s="44"/>
      <c r="K504" s="45"/>
      <c r="L504" s="44"/>
      <c r="M504" s="44"/>
      <c r="N504" s="44"/>
      <c r="O504" s="44"/>
      <c r="P504" s="44"/>
      <c r="Q504" s="44"/>
      <c r="R504" s="44"/>
      <c r="S504" s="45"/>
      <c r="T504" s="45"/>
      <c r="U504" s="45"/>
      <c r="V504" s="45"/>
      <c r="W504" s="45"/>
      <c r="X504" s="45"/>
      <c r="Y504" s="45"/>
      <c r="Z504" s="45"/>
      <c r="AA504" s="45"/>
      <c r="AB504" s="45"/>
      <c r="AC504" s="45"/>
    </row>
    <row r="505" spans="1:29" ht="13.15">
      <c r="A505" s="45"/>
      <c r="B505" s="45"/>
      <c r="C505" s="45"/>
      <c r="D505" s="45"/>
      <c r="E505" s="45"/>
      <c r="F505" s="45"/>
      <c r="G505" s="45"/>
      <c r="H505" s="45"/>
      <c r="I505" s="44"/>
      <c r="J505" s="44"/>
      <c r="K505" s="45"/>
      <c r="L505" s="44"/>
      <c r="M505" s="44"/>
      <c r="N505" s="44"/>
      <c r="O505" s="44"/>
      <c r="P505" s="44"/>
      <c r="Q505" s="44"/>
      <c r="R505" s="44"/>
      <c r="S505" s="45"/>
      <c r="T505" s="45"/>
      <c r="U505" s="45"/>
      <c r="V505" s="45"/>
      <c r="W505" s="45"/>
      <c r="X505" s="45"/>
      <c r="Y505" s="45"/>
      <c r="Z505" s="45"/>
      <c r="AA505" s="45"/>
      <c r="AB505" s="45"/>
      <c r="AC505" s="45"/>
    </row>
    <row r="506" spans="1:29" ht="13.15">
      <c r="A506" s="45"/>
      <c r="B506" s="45"/>
      <c r="C506" s="45"/>
      <c r="D506" s="45"/>
      <c r="E506" s="45"/>
      <c r="F506" s="45"/>
      <c r="G506" s="45"/>
      <c r="H506" s="45"/>
      <c r="I506" s="44"/>
      <c r="J506" s="44"/>
      <c r="K506" s="45"/>
      <c r="L506" s="44"/>
      <c r="M506" s="44"/>
      <c r="N506" s="44"/>
      <c r="O506" s="44"/>
      <c r="P506" s="44"/>
      <c r="Q506" s="44"/>
      <c r="R506" s="44"/>
      <c r="S506" s="45"/>
      <c r="T506" s="45"/>
      <c r="U506" s="45"/>
      <c r="V506" s="45"/>
      <c r="W506" s="45"/>
      <c r="X506" s="45"/>
      <c r="Y506" s="45"/>
      <c r="Z506" s="45"/>
      <c r="AA506" s="45"/>
      <c r="AB506" s="45"/>
      <c r="AC506" s="45"/>
    </row>
    <row r="507" spans="1:29" ht="13.15">
      <c r="A507" s="45"/>
      <c r="B507" s="45"/>
      <c r="C507" s="45"/>
      <c r="D507" s="45"/>
      <c r="E507" s="45"/>
      <c r="F507" s="45"/>
      <c r="G507" s="45"/>
      <c r="H507" s="45"/>
      <c r="I507" s="44"/>
      <c r="J507" s="44"/>
      <c r="K507" s="45"/>
      <c r="L507" s="44"/>
      <c r="M507" s="44"/>
      <c r="N507" s="44"/>
      <c r="O507" s="44"/>
      <c r="P507" s="44"/>
      <c r="Q507" s="44"/>
      <c r="R507" s="44"/>
      <c r="S507" s="45"/>
      <c r="T507" s="45"/>
      <c r="U507" s="45"/>
      <c r="V507" s="45"/>
      <c r="W507" s="45"/>
      <c r="X507" s="45"/>
      <c r="Y507" s="45"/>
      <c r="Z507" s="45"/>
      <c r="AA507" s="45"/>
      <c r="AB507" s="45"/>
      <c r="AC507" s="45"/>
    </row>
    <row r="508" spans="1:29" ht="13.15">
      <c r="A508" s="45"/>
      <c r="B508" s="45"/>
      <c r="C508" s="45"/>
      <c r="D508" s="45"/>
      <c r="E508" s="45"/>
      <c r="F508" s="45"/>
      <c r="G508" s="45"/>
      <c r="H508" s="45"/>
      <c r="I508" s="44"/>
      <c r="J508" s="44"/>
      <c r="K508" s="45"/>
      <c r="L508" s="44"/>
      <c r="M508" s="44"/>
      <c r="N508" s="44"/>
      <c r="O508" s="44"/>
      <c r="P508" s="44"/>
      <c r="Q508" s="44"/>
      <c r="R508" s="44"/>
      <c r="S508" s="45"/>
      <c r="T508" s="45"/>
      <c r="U508" s="45"/>
      <c r="V508" s="45"/>
      <c r="W508" s="45"/>
      <c r="X508" s="45"/>
      <c r="Y508" s="45"/>
      <c r="Z508" s="45"/>
      <c r="AA508" s="45"/>
      <c r="AB508" s="45"/>
      <c r="AC508" s="45"/>
    </row>
    <row r="509" spans="1:29" ht="13.15">
      <c r="A509" s="45"/>
      <c r="B509" s="45"/>
      <c r="C509" s="45"/>
      <c r="D509" s="45"/>
      <c r="E509" s="45"/>
      <c r="F509" s="45"/>
      <c r="G509" s="45"/>
      <c r="H509" s="45"/>
      <c r="I509" s="44"/>
      <c r="J509" s="44"/>
      <c r="K509" s="45"/>
      <c r="L509" s="44"/>
      <c r="M509" s="44"/>
      <c r="N509" s="44"/>
      <c r="O509" s="44"/>
      <c r="P509" s="44"/>
      <c r="Q509" s="44"/>
      <c r="R509" s="44"/>
      <c r="S509" s="45"/>
      <c r="T509" s="45"/>
      <c r="U509" s="45"/>
      <c r="V509" s="45"/>
      <c r="W509" s="45"/>
      <c r="X509" s="45"/>
      <c r="Y509" s="45"/>
      <c r="Z509" s="45"/>
      <c r="AA509" s="45"/>
      <c r="AB509" s="45"/>
      <c r="AC509" s="45"/>
    </row>
    <row r="510" spans="1:29" ht="13.15">
      <c r="A510" s="45"/>
      <c r="B510" s="45"/>
      <c r="C510" s="45"/>
      <c r="D510" s="45"/>
      <c r="E510" s="45"/>
      <c r="F510" s="45"/>
      <c r="G510" s="45"/>
      <c r="H510" s="45"/>
      <c r="I510" s="44"/>
      <c r="J510" s="44"/>
      <c r="K510" s="45"/>
      <c r="L510" s="44"/>
      <c r="M510" s="44"/>
      <c r="N510" s="44"/>
      <c r="O510" s="44"/>
      <c r="P510" s="44"/>
      <c r="Q510" s="44"/>
      <c r="R510" s="44"/>
      <c r="S510" s="45"/>
      <c r="T510" s="45"/>
      <c r="U510" s="45"/>
      <c r="V510" s="45"/>
      <c r="W510" s="45"/>
      <c r="X510" s="45"/>
      <c r="Y510" s="45"/>
      <c r="Z510" s="45"/>
      <c r="AA510" s="45"/>
      <c r="AB510" s="45"/>
      <c r="AC510" s="45"/>
    </row>
    <row r="511" spans="1:29" ht="13.15">
      <c r="A511" s="45"/>
      <c r="B511" s="45"/>
      <c r="C511" s="45"/>
      <c r="D511" s="45"/>
      <c r="E511" s="45"/>
      <c r="F511" s="45"/>
      <c r="G511" s="45"/>
      <c r="H511" s="45"/>
      <c r="I511" s="44"/>
      <c r="J511" s="44"/>
      <c r="K511" s="45"/>
      <c r="L511" s="44"/>
      <c r="M511" s="44"/>
      <c r="N511" s="44"/>
      <c r="O511" s="44"/>
      <c r="P511" s="44"/>
      <c r="Q511" s="44"/>
      <c r="R511" s="44"/>
      <c r="S511" s="45"/>
      <c r="T511" s="45"/>
      <c r="U511" s="45"/>
      <c r="V511" s="45"/>
      <c r="W511" s="45"/>
      <c r="X511" s="45"/>
      <c r="Y511" s="45"/>
      <c r="Z511" s="45"/>
      <c r="AA511" s="45"/>
      <c r="AB511" s="45"/>
      <c r="AC511" s="45"/>
    </row>
    <row r="512" spans="1:29" ht="13.15">
      <c r="A512" s="45"/>
      <c r="B512" s="45"/>
      <c r="C512" s="45"/>
      <c r="D512" s="45"/>
      <c r="E512" s="45"/>
      <c r="F512" s="45"/>
      <c r="G512" s="45"/>
      <c r="H512" s="45"/>
      <c r="I512" s="44"/>
      <c r="J512" s="44"/>
      <c r="K512" s="45"/>
      <c r="L512" s="44"/>
      <c r="M512" s="44"/>
      <c r="N512" s="44"/>
      <c r="O512" s="44"/>
      <c r="P512" s="44"/>
      <c r="Q512" s="44"/>
      <c r="R512" s="44"/>
      <c r="S512" s="45"/>
      <c r="T512" s="45"/>
      <c r="U512" s="45"/>
      <c r="V512" s="45"/>
      <c r="W512" s="45"/>
      <c r="X512" s="45"/>
      <c r="Y512" s="45"/>
      <c r="Z512" s="45"/>
      <c r="AA512" s="45"/>
      <c r="AB512" s="45"/>
      <c r="AC512" s="45"/>
    </row>
    <row r="513" spans="1:29" ht="13.15">
      <c r="A513" s="45"/>
      <c r="B513" s="45"/>
      <c r="C513" s="45"/>
      <c r="D513" s="45"/>
      <c r="E513" s="45"/>
      <c r="F513" s="45"/>
      <c r="G513" s="45"/>
      <c r="H513" s="45"/>
      <c r="I513" s="44"/>
      <c r="J513" s="44"/>
      <c r="K513" s="45"/>
      <c r="L513" s="44"/>
      <c r="M513" s="44"/>
      <c r="N513" s="44"/>
      <c r="O513" s="44"/>
      <c r="P513" s="44"/>
      <c r="Q513" s="44"/>
      <c r="R513" s="44"/>
      <c r="S513" s="45"/>
      <c r="T513" s="45"/>
      <c r="U513" s="45"/>
      <c r="V513" s="45"/>
      <c r="W513" s="45"/>
      <c r="X513" s="45"/>
      <c r="Y513" s="45"/>
      <c r="Z513" s="45"/>
      <c r="AA513" s="45"/>
      <c r="AB513" s="45"/>
      <c r="AC513" s="45"/>
    </row>
    <row r="514" spans="1:29" ht="13.15">
      <c r="A514" s="45"/>
      <c r="B514" s="45"/>
      <c r="C514" s="45"/>
      <c r="D514" s="45"/>
      <c r="E514" s="45"/>
      <c r="F514" s="45"/>
      <c r="G514" s="45"/>
      <c r="H514" s="45"/>
      <c r="I514" s="44"/>
      <c r="J514" s="44"/>
      <c r="K514" s="45"/>
      <c r="L514" s="44"/>
      <c r="M514" s="44"/>
      <c r="N514" s="44"/>
      <c r="O514" s="44"/>
      <c r="P514" s="44"/>
      <c r="Q514" s="44"/>
      <c r="R514" s="44"/>
      <c r="S514" s="45"/>
      <c r="T514" s="45"/>
      <c r="U514" s="45"/>
      <c r="V514" s="45"/>
      <c r="W514" s="45"/>
      <c r="X514" s="45"/>
      <c r="Y514" s="45"/>
      <c r="Z514" s="45"/>
      <c r="AA514" s="45"/>
      <c r="AB514" s="45"/>
      <c r="AC514" s="45"/>
    </row>
    <row r="515" spans="1:29" ht="13.15">
      <c r="A515" s="45"/>
      <c r="B515" s="45"/>
      <c r="C515" s="45"/>
      <c r="D515" s="45"/>
      <c r="E515" s="45"/>
      <c r="F515" s="45"/>
      <c r="G515" s="45"/>
      <c r="H515" s="45"/>
      <c r="I515" s="44"/>
      <c r="J515" s="44"/>
      <c r="K515" s="45"/>
      <c r="L515" s="44"/>
      <c r="M515" s="44"/>
      <c r="N515" s="44"/>
      <c r="O515" s="44"/>
      <c r="P515" s="44"/>
      <c r="Q515" s="44"/>
      <c r="R515" s="44"/>
      <c r="S515" s="45"/>
      <c r="T515" s="45"/>
      <c r="U515" s="45"/>
      <c r="V515" s="45"/>
      <c r="W515" s="45"/>
      <c r="X515" s="45"/>
      <c r="Y515" s="45"/>
      <c r="Z515" s="45"/>
      <c r="AA515" s="45"/>
      <c r="AB515" s="45"/>
      <c r="AC515" s="45"/>
    </row>
    <row r="516" spans="1:29" ht="13.15">
      <c r="A516" s="45"/>
      <c r="B516" s="45"/>
      <c r="C516" s="45"/>
      <c r="D516" s="45"/>
      <c r="E516" s="45"/>
      <c r="F516" s="45"/>
      <c r="G516" s="45"/>
      <c r="H516" s="45"/>
      <c r="I516" s="44"/>
      <c r="J516" s="44"/>
      <c r="K516" s="45"/>
      <c r="L516" s="44"/>
      <c r="M516" s="44"/>
      <c r="N516" s="44"/>
      <c r="O516" s="44"/>
      <c r="P516" s="44"/>
      <c r="Q516" s="44"/>
      <c r="R516" s="44"/>
      <c r="S516" s="45"/>
      <c r="T516" s="45"/>
      <c r="U516" s="45"/>
      <c r="V516" s="45"/>
      <c r="W516" s="45"/>
      <c r="X516" s="45"/>
      <c r="Y516" s="45"/>
      <c r="Z516" s="45"/>
      <c r="AA516" s="45"/>
      <c r="AB516" s="45"/>
      <c r="AC516" s="45"/>
    </row>
    <row r="517" spans="1:29" ht="13.15">
      <c r="A517" s="45"/>
      <c r="B517" s="45"/>
      <c r="C517" s="45"/>
      <c r="D517" s="45"/>
      <c r="E517" s="45"/>
      <c r="F517" s="45"/>
      <c r="G517" s="45"/>
      <c r="H517" s="45"/>
      <c r="I517" s="44"/>
      <c r="J517" s="44"/>
      <c r="K517" s="45"/>
      <c r="L517" s="44"/>
      <c r="M517" s="44"/>
      <c r="N517" s="44"/>
      <c r="O517" s="44"/>
      <c r="P517" s="44"/>
      <c r="Q517" s="44"/>
      <c r="R517" s="44"/>
      <c r="S517" s="45"/>
      <c r="T517" s="45"/>
      <c r="U517" s="45"/>
      <c r="V517" s="45"/>
      <c r="W517" s="45"/>
      <c r="X517" s="45"/>
      <c r="Y517" s="45"/>
      <c r="Z517" s="45"/>
      <c r="AA517" s="45"/>
      <c r="AB517" s="45"/>
      <c r="AC517" s="45"/>
    </row>
    <row r="518" spans="1:29" ht="13.15">
      <c r="A518" s="45"/>
      <c r="B518" s="45"/>
      <c r="C518" s="45"/>
      <c r="D518" s="45"/>
      <c r="E518" s="45"/>
      <c r="F518" s="45"/>
      <c r="G518" s="45"/>
      <c r="H518" s="45"/>
      <c r="I518" s="44"/>
      <c r="J518" s="44"/>
      <c r="K518" s="45"/>
      <c r="L518" s="44"/>
      <c r="M518" s="44"/>
      <c r="N518" s="44"/>
      <c r="O518" s="44"/>
      <c r="P518" s="44"/>
      <c r="Q518" s="44"/>
      <c r="R518" s="44"/>
      <c r="S518" s="45"/>
      <c r="T518" s="45"/>
      <c r="U518" s="45"/>
      <c r="V518" s="45"/>
      <c r="W518" s="45"/>
      <c r="X518" s="45"/>
      <c r="Y518" s="45"/>
      <c r="Z518" s="45"/>
      <c r="AA518" s="45"/>
      <c r="AB518" s="45"/>
      <c r="AC518" s="45"/>
    </row>
    <row r="519" spans="1:29" ht="13.15">
      <c r="A519" s="45"/>
      <c r="B519" s="45"/>
      <c r="C519" s="45"/>
      <c r="D519" s="45"/>
      <c r="E519" s="45"/>
      <c r="F519" s="45"/>
      <c r="G519" s="45"/>
      <c r="H519" s="45"/>
      <c r="I519" s="44"/>
      <c r="J519" s="44"/>
      <c r="K519" s="45"/>
      <c r="L519" s="44"/>
      <c r="M519" s="44"/>
      <c r="N519" s="44"/>
      <c r="O519" s="44"/>
      <c r="P519" s="44"/>
      <c r="Q519" s="44"/>
      <c r="R519" s="44"/>
      <c r="S519" s="45"/>
      <c r="T519" s="45"/>
      <c r="U519" s="45"/>
      <c r="V519" s="45"/>
      <c r="W519" s="45"/>
      <c r="X519" s="45"/>
      <c r="Y519" s="45"/>
      <c r="Z519" s="45"/>
      <c r="AA519" s="45"/>
      <c r="AB519" s="45"/>
      <c r="AC519" s="45"/>
    </row>
    <row r="520" spans="1:29" ht="13.15">
      <c r="A520" s="45"/>
      <c r="B520" s="45"/>
      <c r="C520" s="45"/>
      <c r="D520" s="45"/>
      <c r="E520" s="45"/>
      <c r="F520" s="45"/>
      <c r="G520" s="45"/>
      <c r="H520" s="45"/>
      <c r="I520" s="44"/>
      <c r="J520" s="44"/>
      <c r="K520" s="45"/>
      <c r="L520" s="44"/>
      <c r="M520" s="44"/>
      <c r="N520" s="44"/>
      <c r="O520" s="44"/>
      <c r="P520" s="44"/>
      <c r="Q520" s="44"/>
      <c r="R520" s="44"/>
      <c r="S520" s="45"/>
      <c r="T520" s="45"/>
      <c r="U520" s="45"/>
      <c r="V520" s="45"/>
      <c r="W520" s="45"/>
      <c r="X520" s="45"/>
      <c r="Y520" s="45"/>
      <c r="Z520" s="45"/>
      <c r="AA520" s="45"/>
      <c r="AB520" s="45"/>
      <c r="AC520" s="45"/>
    </row>
    <row r="521" spans="1:29" ht="13.15">
      <c r="A521" s="45"/>
      <c r="B521" s="45"/>
      <c r="C521" s="45"/>
      <c r="D521" s="45"/>
      <c r="E521" s="45"/>
      <c r="F521" s="45"/>
      <c r="G521" s="45"/>
      <c r="H521" s="45"/>
      <c r="I521" s="44"/>
      <c r="J521" s="44"/>
      <c r="K521" s="45"/>
      <c r="L521" s="44"/>
      <c r="M521" s="44"/>
      <c r="N521" s="44"/>
      <c r="O521" s="44"/>
      <c r="P521" s="44"/>
      <c r="Q521" s="44"/>
      <c r="R521" s="44"/>
      <c r="S521" s="45"/>
      <c r="T521" s="45"/>
      <c r="U521" s="45"/>
      <c r="V521" s="45"/>
      <c r="W521" s="45"/>
      <c r="X521" s="45"/>
      <c r="Y521" s="45"/>
      <c r="Z521" s="45"/>
      <c r="AA521" s="45"/>
      <c r="AB521" s="45"/>
      <c r="AC521" s="45"/>
    </row>
    <row r="522" spans="1:29" ht="13.15">
      <c r="A522" s="45"/>
      <c r="B522" s="45"/>
      <c r="C522" s="45"/>
      <c r="D522" s="45"/>
      <c r="E522" s="45"/>
      <c r="F522" s="45"/>
      <c r="G522" s="45"/>
      <c r="H522" s="45"/>
      <c r="I522" s="44"/>
      <c r="J522" s="44"/>
      <c r="K522" s="45"/>
      <c r="L522" s="44"/>
      <c r="M522" s="44"/>
      <c r="N522" s="44"/>
      <c r="O522" s="44"/>
      <c r="P522" s="44"/>
      <c r="Q522" s="44"/>
      <c r="R522" s="44"/>
      <c r="S522" s="45"/>
      <c r="T522" s="45"/>
      <c r="U522" s="45"/>
      <c r="V522" s="45"/>
      <c r="W522" s="45"/>
      <c r="X522" s="45"/>
      <c r="Y522" s="45"/>
      <c r="Z522" s="45"/>
      <c r="AA522" s="45"/>
      <c r="AB522" s="45"/>
      <c r="AC522" s="45"/>
    </row>
    <row r="523" spans="1:29" ht="13.15">
      <c r="A523" s="45"/>
      <c r="B523" s="45"/>
      <c r="C523" s="45"/>
      <c r="D523" s="45"/>
      <c r="E523" s="45"/>
      <c r="F523" s="45"/>
      <c r="G523" s="45"/>
      <c r="H523" s="45"/>
      <c r="I523" s="44"/>
      <c r="J523" s="44"/>
      <c r="K523" s="45"/>
      <c r="L523" s="44"/>
      <c r="M523" s="44"/>
      <c r="N523" s="44"/>
      <c r="O523" s="44"/>
      <c r="P523" s="44"/>
      <c r="Q523" s="44"/>
      <c r="R523" s="44"/>
      <c r="S523" s="45"/>
      <c r="T523" s="45"/>
      <c r="U523" s="45"/>
      <c r="V523" s="45"/>
      <c r="W523" s="45"/>
      <c r="X523" s="45"/>
      <c r="Y523" s="45"/>
      <c r="Z523" s="45"/>
      <c r="AA523" s="45"/>
      <c r="AB523" s="45"/>
      <c r="AC523" s="45"/>
    </row>
    <row r="524" spans="1:29" ht="13.15">
      <c r="A524" s="45"/>
      <c r="B524" s="45"/>
      <c r="C524" s="45"/>
      <c r="D524" s="45"/>
      <c r="E524" s="45"/>
      <c r="F524" s="45"/>
      <c r="G524" s="45"/>
      <c r="H524" s="45"/>
      <c r="I524" s="44"/>
      <c r="J524" s="44"/>
      <c r="K524" s="45"/>
      <c r="L524" s="44"/>
      <c r="M524" s="44"/>
      <c r="N524" s="44"/>
      <c r="O524" s="44"/>
      <c r="P524" s="44"/>
      <c r="Q524" s="44"/>
      <c r="R524" s="44"/>
      <c r="S524" s="45"/>
      <c r="T524" s="45"/>
      <c r="U524" s="45"/>
      <c r="V524" s="45"/>
      <c r="W524" s="45"/>
      <c r="X524" s="45"/>
      <c r="Y524" s="45"/>
      <c r="Z524" s="45"/>
      <c r="AA524" s="45"/>
      <c r="AB524" s="45"/>
      <c r="AC524" s="45"/>
    </row>
    <row r="525" spans="1:29" ht="13.15">
      <c r="A525" s="45"/>
      <c r="B525" s="45"/>
      <c r="C525" s="45"/>
      <c r="D525" s="45"/>
      <c r="E525" s="45"/>
      <c r="F525" s="45"/>
      <c r="G525" s="45"/>
      <c r="H525" s="45"/>
      <c r="I525" s="44"/>
      <c r="J525" s="44"/>
      <c r="K525" s="45"/>
      <c r="L525" s="44"/>
      <c r="M525" s="44"/>
      <c r="N525" s="44"/>
      <c r="O525" s="44"/>
      <c r="P525" s="44"/>
      <c r="Q525" s="44"/>
      <c r="R525" s="44"/>
      <c r="S525" s="45"/>
      <c r="T525" s="45"/>
      <c r="U525" s="45"/>
      <c r="V525" s="45"/>
      <c r="W525" s="45"/>
      <c r="X525" s="45"/>
      <c r="Y525" s="45"/>
      <c r="Z525" s="45"/>
      <c r="AA525" s="45"/>
      <c r="AB525" s="45"/>
      <c r="AC525" s="45"/>
    </row>
    <row r="526" spans="1:29" ht="13.15">
      <c r="A526" s="45"/>
      <c r="B526" s="45"/>
      <c r="C526" s="45"/>
      <c r="D526" s="45"/>
      <c r="E526" s="45"/>
      <c r="F526" s="45"/>
      <c r="G526" s="45"/>
      <c r="H526" s="45"/>
      <c r="I526" s="44"/>
      <c r="J526" s="44"/>
      <c r="K526" s="45"/>
      <c r="L526" s="44"/>
      <c r="M526" s="44"/>
      <c r="N526" s="44"/>
      <c r="O526" s="44"/>
      <c r="P526" s="44"/>
      <c r="Q526" s="44"/>
      <c r="R526" s="44"/>
      <c r="S526" s="45"/>
      <c r="T526" s="45"/>
      <c r="U526" s="45"/>
      <c r="V526" s="45"/>
      <c r="W526" s="45"/>
      <c r="X526" s="45"/>
      <c r="Y526" s="45"/>
      <c r="Z526" s="45"/>
      <c r="AA526" s="45"/>
      <c r="AB526" s="45"/>
      <c r="AC526" s="45"/>
    </row>
    <row r="527" spans="1:29" ht="13.15">
      <c r="A527" s="45"/>
      <c r="B527" s="45"/>
      <c r="C527" s="45"/>
      <c r="D527" s="45"/>
      <c r="E527" s="45"/>
      <c r="F527" s="45"/>
      <c r="G527" s="45"/>
      <c r="H527" s="45"/>
      <c r="I527" s="44"/>
      <c r="J527" s="44"/>
      <c r="K527" s="45"/>
      <c r="L527" s="44"/>
      <c r="M527" s="44"/>
      <c r="N527" s="44"/>
      <c r="O527" s="44"/>
      <c r="P527" s="44"/>
      <c r="Q527" s="44"/>
      <c r="R527" s="44"/>
      <c r="S527" s="45"/>
      <c r="T527" s="45"/>
      <c r="U527" s="45"/>
      <c r="V527" s="45"/>
      <c r="W527" s="45"/>
      <c r="X527" s="45"/>
      <c r="Y527" s="45"/>
      <c r="Z527" s="45"/>
      <c r="AA527" s="45"/>
      <c r="AB527" s="45"/>
      <c r="AC527" s="45"/>
    </row>
    <row r="528" spans="1:29" ht="13.15">
      <c r="A528" s="45"/>
      <c r="B528" s="45"/>
      <c r="C528" s="45"/>
      <c r="D528" s="45"/>
      <c r="E528" s="45"/>
      <c r="F528" s="45"/>
      <c r="G528" s="45"/>
      <c r="H528" s="45"/>
      <c r="I528" s="44"/>
      <c r="J528" s="44"/>
      <c r="K528" s="45"/>
      <c r="L528" s="44"/>
      <c r="M528" s="44"/>
      <c r="N528" s="44"/>
      <c r="O528" s="44"/>
      <c r="P528" s="44"/>
      <c r="Q528" s="44"/>
      <c r="R528" s="44"/>
      <c r="S528" s="45"/>
      <c r="T528" s="45"/>
      <c r="U528" s="45"/>
      <c r="V528" s="45"/>
      <c r="W528" s="45"/>
      <c r="X528" s="45"/>
      <c r="Y528" s="45"/>
      <c r="Z528" s="45"/>
      <c r="AA528" s="45"/>
      <c r="AB528" s="45"/>
      <c r="AC528" s="45"/>
    </row>
    <row r="529" spans="1:29" ht="13.15">
      <c r="A529" s="45"/>
      <c r="B529" s="45"/>
      <c r="C529" s="45"/>
      <c r="D529" s="45"/>
      <c r="E529" s="45"/>
      <c r="F529" s="45"/>
      <c r="G529" s="45"/>
      <c r="H529" s="45"/>
      <c r="I529" s="44"/>
      <c r="J529" s="44"/>
      <c r="K529" s="45"/>
      <c r="L529" s="44"/>
      <c r="M529" s="44"/>
      <c r="N529" s="44"/>
      <c r="O529" s="44"/>
      <c r="P529" s="44"/>
      <c r="Q529" s="44"/>
      <c r="R529" s="44"/>
      <c r="S529" s="45"/>
      <c r="T529" s="45"/>
      <c r="U529" s="45"/>
      <c r="V529" s="45"/>
      <c r="W529" s="45"/>
      <c r="X529" s="45"/>
      <c r="Y529" s="45"/>
      <c r="Z529" s="45"/>
      <c r="AA529" s="45"/>
      <c r="AB529" s="45"/>
      <c r="AC529" s="45"/>
    </row>
    <row r="530" spans="1:29" ht="13.15">
      <c r="A530" s="45"/>
      <c r="B530" s="45"/>
      <c r="C530" s="45"/>
      <c r="D530" s="45"/>
      <c r="E530" s="45"/>
      <c r="F530" s="45"/>
      <c r="G530" s="45"/>
      <c r="H530" s="45"/>
      <c r="I530" s="44"/>
      <c r="J530" s="44"/>
      <c r="K530" s="45"/>
      <c r="L530" s="44"/>
      <c r="M530" s="44"/>
      <c r="N530" s="44"/>
      <c r="O530" s="44"/>
      <c r="P530" s="44"/>
      <c r="Q530" s="44"/>
      <c r="R530" s="44"/>
      <c r="S530" s="45"/>
      <c r="T530" s="45"/>
      <c r="U530" s="45"/>
      <c r="V530" s="45"/>
      <c r="W530" s="45"/>
      <c r="X530" s="45"/>
      <c r="Y530" s="45"/>
      <c r="Z530" s="45"/>
      <c r="AA530" s="45"/>
      <c r="AB530" s="45"/>
      <c r="AC530" s="45"/>
    </row>
    <row r="531" spans="1:29" ht="13.15">
      <c r="A531" s="45"/>
      <c r="B531" s="45"/>
      <c r="C531" s="45"/>
      <c r="D531" s="45"/>
      <c r="E531" s="45"/>
      <c r="F531" s="45"/>
      <c r="G531" s="45"/>
      <c r="H531" s="45"/>
      <c r="I531" s="44"/>
      <c r="J531" s="44"/>
      <c r="K531" s="45"/>
      <c r="L531" s="44"/>
      <c r="M531" s="44"/>
      <c r="N531" s="44"/>
      <c r="O531" s="44"/>
      <c r="P531" s="44"/>
      <c r="Q531" s="44"/>
      <c r="R531" s="44"/>
      <c r="S531" s="45"/>
      <c r="T531" s="45"/>
      <c r="U531" s="45"/>
      <c r="V531" s="45"/>
      <c r="W531" s="45"/>
      <c r="X531" s="45"/>
      <c r="Y531" s="45"/>
      <c r="Z531" s="45"/>
      <c r="AA531" s="45"/>
      <c r="AB531" s="45"/>
      <c r="AC531" s="45"/>
    </row>
    <row r="532" spans="1:29" ht="13.15">
      <c r="A532" s="45"/>
      <c r="B532" s="45"/>
      <c r="C532" s="45"/>
      <c r="D532" s="45"/>
      <c r="E532" s="45"/>
      <c r="F532" s="45"/>
      <c r="G532" s="45"/>
      <c r="H532" s="45"/>
      <c r="I532" s="44"/>
      <c r="J532" s="44"/>
      <c r="K532" s="45"/>
      <c r="L532" s="44"/>
      <c r="M532" s="44"/>
      <c r="N532" s="44"/>
      <c r="O532" s="44"/>
      <c r="P532" s="44"/>
      <c r="Q532" s="44"/>
      <c r="R532" s="44"/>
      <c r="S532" s="45"/>
      <c r="T532" s="45"/>
      <c r="U532" s="45"/>
      <c r="V532" s="45"/>
      <c r="W532" s="45"/>
      <c r="X532" s="45"/>
      <c r="Y532" s="45"/>
      <c r="Z532" s="45"/>
      <c r="AA532" s="45"/>
      <c r="AB532" s="45"/>
      <c r="AC532" s="45"/>
    </row>
    <row r="533" spans="1:29" ht="13.15">
      <c r="A533" s="45"/>
      <c r="B533" s="45"/>
      <c r="C533" s="45"/>
      <c r="D533" s="45"/>
      <c r="E533" s="45"/>
      <c r="F533" s="45"/>
      <c r="G533" s="45"/>
      <c r="H533" s="45"/>
      <c r="I533" s="44"/>
      <c r="J533" s="44"/>
      <c r="K533" s="45"/>
      <c r="L533" s="44"/>
      <c r="M533" s="44"/>
      <c r="N533" s="44"/>
      <c r="O533" s="44"/>
      <c r="P533" s="44"/>
      <c r="Q533" s="44"/>
      <c r="R533" s="44"/>
      <c r="S533" s="45"/>
      <c r="T533" s="45"/>
      <c r="U533" s="45"/>
      <c r="V533" s="45"/>
      <c r="W533" s="45"/>
      <c r="X533" s="45"/>
      <c r="Y533" s="45"/>
      <c r="Z533" s="45"/>
      <c r="AA533" s="45"/>
      <c r="AB533" s="45"/>
      <c r="AC533" s="45"/>
    </row>
    <row r="534" spans="1:29" ht="13.15">
      <c r="A534" s="45"/>
      <c r="B534" s="45"/>
      <c r="C534" s="45"/>
      <c r="D534" s="45"/>
      <c r="E534" s="45"/>
      <c r="F534" s="45"/>
      <c r="G534" s="45"/>
      <c r="H534" s="45"/>
      <c r="I534" s="44"/>
      <c r="J534" s="44"/>
      <c r="K534" s="45"/>
      <c r="L534" s="44"/>
      <c r="M534" s="44"/>
      <c r="N534" s="44"/>
      <c r="O534" s="44"/>
      <c r="P534" s="44"/>
      <c r="Q534" s="44"/>
      <c r="R534" s="44"/>
      <c r="S534" s="45"/>
      <c r="T534" s="45"/>
      <c r="U534" s="45"/>
      <c r="V534" s="45"/>
      <c r="W534" s="45"/>
      <c r="X534" s="45"/>
      <c r="Y534" s="45"/>
      <c r="Z534" s="45"/>
      <c r="AA534" s="45"/>
      <c r="AB534" s="45"/>
      <c r="AC534" s="45"/>
    </row>
    <row r="535" spans="1:29" ht="13.15">
      <c r="A535" s="45"/>
      <c r="B535" s="45"/>
      <c r="C535" s="45"/>
      <c r="D535" s="45"/>
      <c r="E535" s="45"/>
      <c r="F535" s="45"/>
      <c r="G535" s="45"/>
      <c r="H535" s="45"/>
      <c r="I535" s="44"/>
      <c r="J535" s="44"/>
      <c r="K535" s="45"/>
      <c r="L535" s="44"/>
      <c r="M535" s="44"/>
      <c r="N535" s="44"/>
      <c r="O535" s="44"/>
      <c r="P535" s="44"/>
      <c r="Q535" s="44"/>
      <c r="R535" s="44"/>
      <c r="S535" s="45"/>
      <c r="T535" s="45"/>
      <c r="U535" s="45"/>
      <c r="V535" s="45"/>
      <c r="W535" s="45"/>
      <c r="X535" s="45"/>
      <c r="Y535" s="45"/>
      <c r="Z535" s="45"/>
      <c r="AA535" s="45"/>
      <c r="AB535" s="45"/>
      <c r="AC535" s="45"/>
    </row>
    <row r="536" spans="1:29" ht="13.15">
      <c r="A536" s="45"/>
      <c r="B536" s="45"/>
      <c r="C536" s="45"/>
      <c r="D536" s="45"/>
      <c r="E536" s="45"/>
      <c r="F536" s="45"/>
      <c r="G536" s="45"/>
      <c r="H536" s="45"/>
      <c r="I536" s="44"/>
      <c r="J536" s="44"/>
      <c r="K536" s="45"/>
      <c r="L536" s="44"/>
      <c r="M536" s="44"/>
      <c r="N536" s="44"/>
      <c r="O536" s="44"/>
      <c r="P536" s="44"/>
      <c r="Q536" s="44"/>
      <c r="R536" s="44"/>
      <c r="S536" s="45"/>
      <c r="T536" s="45"/>
      <c r="U536" s="45"/>
      <c r="V536" s="45"/>
      <c r="W536" s="45"/>
      <c r="X536" s="45"/>
      <c r="Y536" s="45"/>
      <c r="Z536" s="45"/>
      <c r="AA536" s="45"/>
      <c r="AB536" s="45"/>
      <c r="AC536" s="45"/>
    </row>
    <row r="537" spans="1:29" ht="13.15">
      <c r="A537" s="45"/>
      <c r="B537" s="45"/>
      <c r="C537" s="45"/>
      <c r="D537" s="45"/>
      <c r="E537" s="45"/>
      <c r="F537" s="45"/>
      <c r="G537" s="45"/>
      <c r="H537" s="45"/>
      <c r="I537" s="44"/>
      <c r="J537" s="44"/>
      <c r="K537" s="45"/>
      <c r="L537" s="44"/>
      <c r="M537" s="44"/>
      <c r="N537" s="44"/>
      <c r="O537" s="44"/>
      <c r="P537" s="44"/>
      <c r="Q537" s="44"/>
      <c r="R537" s="44"/>
      <c r="S537" s="45"/>
      <c r="T537" s="45"/>
      <c r="U537" s="45"/>
      <c r="V537" s="45"/>
      <c r="W537" s="45"/>
      <c r="X537" s="45"/>
      <c r="Y537" s="45"/>
      <c r="Z537" s="45"/>
      <c r="AA537" s="45"/>
      <c r="AB537" s="45"/>
      <c r="AC537" s="45"/>
    </row>
    <row r="538" spans="1:29" ht="13.15">
      <c r="A538" s="45"/>
      <c r="B538" s="45"/>
      <c r="C538" s="45"/>
      <c r="D538" s="45"/>
      <c r="E538" s="45"/>
      <c r="F538" s="45"/>
      <c r="G538" s="45"/>
      <c r="H538" s="45"/>
      <c r="I538" s="44"/>
      <c r="J538" s="44"/>
      <c r="K538" s="45"/>
      <c r="L538" s="44"/>
      <c r="M538" s="44"/>
      <c r="N538" s="44"/>
      <c r="O538" s="44"/>
      <c r="P538" s="44"/>
      <c r="Q538" s="44"/>
      <c r="R538" s="44"/>
      <c r="S538" s="45"/>
      <c r="T538" s="45"/>
      <c r="U538" s="45"/>
      <c r="V538" s="45"/>
      <c r="W538" s="45"/>
      <c r="X538" s="45"/>
      <c r="Y538" s="45"/>
      <c r="Z538" s="45"/>
      <c r="AA538" s="45"/>
      <c r="AB538" s="45"/>
      <c r="AC538" s="45"/>
    </row>
    <row r="539" spans="1:29" ht="13.15">
      <c r="A539" s="45"/>
      <c r="B539" s="45"/>
      <c r="C539" s="45"/>
      <c r="D539" s="45"/>
      <c r="E539" s="45"/>
      <c r="F539" s="45"/>
      <c r="G539" s="45"/>
      <c r="H539" s="45"/>
      <c r="I539" s="44"/>
      <c r="J539" s="44"/>
      <c r="K539" s="45"/>
      <c r="L539" s="44"/>
      <c r="M539" s="44"/>
      <c r="N539" s="44"/>
      <c r="O539" s="44"/>
      <c r="P539" s="44"/>
      <c r="Q539" s="44"/>
      <c r="R539" s="44"/>
      <c r="S539" s="45"/>
      <c r="T539" s="45"/>
      <c r="U539" s="45"/>
      <c r="V539" s="45"/>
      <c r="W539" s="45"/>
      <c r="X539" s="45"/>
      <c r="Y539" s="45"/>
      <c r="Z539" s="45"/>
      <c r="AA539" s="45"/>
      <c r="AB539" s="45"/>
      <c r="AC539" s="45"/>
    </row>
    <row r="540" spans="1:29" ht="13.15">
      <c r="A540" s="45"/>
      <c r="B540" s="45"/>
      <c r="C540" s="45"/>
      <c r="D540" s="45"/>
      <c r="E540" s="45"/>
      <c r="F540" s="45"/>
      <c r="G540" s="45"/>
      <c r="H540" s="45"/>
      <c r="I540" s="44"/>
      <c r="J540" s="44"/>
      <c r="K540" s="45"/>
      <c r="L540" s="44"/>
      <c r="M540" s="44"/>
      <c r="N540" s="44"/>
      <c r="O540" s="44"/>
      <c r="P540" s="44"/>
      <c r="Q540" s="44"/>
      <c r="R540" s="44"/>
      <c r="S540" s="45"/>
      <c r="T540" s="45"/>
      <c r="U540" s="45"/>
      <c r="V540" s="45"/>
      <c r="W540" s="45"/>
      <c r="X540" s="45"/>
      <c r="Y540" s="45"/>
      <c r="Z540" s="45"/>
      <c r="AA540" s="45"/>
      <c r="AB540" s="45"/>
      <c r="AC540" s="45"/>
    </row>
    <row r="541" spans="1:29" ht="13.15">
      <c r="A541" s="45"/>
      <c r="B541" s="45"/>
      <c r="C541" s="45"/>
      <c r="D541" s="45"/>
      <c r="E541" s="45"/>
      <c r="F541" s="45"/>
      <c r="G541" s="45"/>
      <c r="H541" s="45"/>
      <c r="I541" s="44"/>
      <c r="J541" s="44"/>
      <c r="K541" s="45"/>
      <c r="L541" s="44"/>
      <c r="M541" s="44"/>
      <c r="N541" s="44"/>
      <c r="O541" s="44"/>
      <c r="P541" s="44"/>
      <c r="Q541" s="44"/>
      <c r="R541" s="44"/>
      <c r="S541" s="45"/>
      <c r="T541" s="45"/>
      <c r="U541" s="45"/>
      <c r="V541" s="45"/>
      <c r="W541" s="45"/>
      <c r="X541" s="45"/>
      <c r="Y541" s="45"/>
      <c r="Z541" s="45"/>
      <c r="AA541" s="45"/>
      <c r="AB541" s="45"/>
      <c r="AC541" s="45"/>
    </row>
    <row r="542" spans="1:29" ht="13.15">
      <c r="A542" s="45"/>
      <c r="B542" s="45"/>
      <c r="C542" s="45"/>
      <c r="D542" s="45"/>
      <c r="E542" s="45"/>
      <c r="F542" s="45"/>
      <c r="G542" s="45"/>
      <c r="H542" s="45"/>
      <c r="I542" s="44"/>
      <c r="J542" s="44"/>
      <c r="K542" s="45"/>
      <c r="L542" s="44"/>
      <c r="M542" s="44"/>
      <c r="N542" s="44"/>
      <c r="O542" s="44"/>
      <c r="P542" s="44"/>
      <c r="Q542" s="44"/>
      <c r="R542" s="44"/>
      <c r="S542" s="45"/>
      <c r="T542" s="45"/>
      <c r="U542" s="45"/>
      <c r="V542" s="45"/>
      <c r="W542" s="45"/>
      <c r="X542" s="45"/>
      <c r="Y542" s="45"/>
      <c r="Z542" s="45"/>
      <c r="AA542" s="45"/>
      <c r="AB542" s="45"/>
      <c r="AC542" s="45"/>
    </row>
    <row r="543" spans="1:29" ht="13.15">
      <c r="A543" s="45"/>
      <c r="B543" s="45"/>
      <c r="C543" s="45"/>
      <c r="D543" s="45"/>
      <c r="E543" s="45"/>
      <c r="F543" s="45"/>
      <c r="G543" s="45"/>
      <c r="H543" s="45"/>
      <c r="I543" s="44"/>
      <c r="J543" s="44"/>
      <c r="K543" s="45"/>
      <c r="L543" s="44"/>
      <c r="M543" s="44"/>
      <c r="N543" s="44"/>
      <c r="O543" s="44"/>
      <c r="P543" s="44"/>
      <c r="Q543" s="44"/>
      <c r="R543" s="44"/>
      <c r="S543" s="45"/>
      <c r="T543" s="45"/>
      <c r="U543" s="45"/>
      <c r="V543" s="45"/>
      <c r="W543" s="45"/>
      <c r="X543" s="45"/>
      <c r="Y543" s="45"/>
      <c r="Z543" s="45"/>
      <c r="AA543" s="45"/>
      <c r="AB543" s="45"/>
      <c r="AC543" s="45"/>
    </row>
    <row r="544" spans="1:29" ht="13.15">
      <c r="A544" s="45"/>
      <c r="B544" s="45"/>
      <c r="C544" s="45"/>
      <c r="D544" s="45"/>
      <c r="E544" s="45"/>
      <c r="F544" s="45"/>
      <c r="G544" s="45"/>
      <c r="H544" s="45"/>
      <c r="I544" s="44"/>
      <c r="J544" s="44"/>
      <c r="K544" s="45"/>
      <c r="L544" s="44"/>
      <c r="M544" s="44"/>
      <c r="N544" s="44"/>
      <c r="O544" s="44"/>
      <c r="P544" s="44"/>
      <c r="Q544" s="44"/>
      <c r="R544" s="44"/>
      <c r="S544" s="45"/>
      <c r="T544" s="45"/>
      <c r="U544" s="45"/>
      <c r="V544" s="45"/>
      <c r="W544" s="45"/>
      <c r="X544" s="45"/>
      <c r="Y544" s="45"/>
      <c r="Z544" s="45"/>
      <c r="AA544" s="45"/>
      <c r="AB544" s="45"/>
      <c r="AC544" s="45"/>
    </row>
    <row r="545" spans="1:29" ht="13.15">
      <c r="A545" s="45"/>
      <c r="B545" s="45"/>
      <c r="C545" s="45"/>
      <c r="D545" s="45"/>
      <c r="E545" s="45"/>
      <c r="F545" s="45"/>
      <c r="G545" s="45"/>
      <c r="H545" s="45"/>
      <c r="I545" s="44"/>
      <c r="J545" s="44"/>
      <c r="K545" s="45"/>
      <c r="L545" s="44"/>
      <c r="M545" s="44"/>
      <c r="N545" s="44"/>
      <c r="O545" s="44"/>
      <c r="P545" s="44"/>
      <c r="Q545" s="44"/>
      <c r="R545" s="44"/>
      <c r="S545" s="45"/>
      <c r="T545" s="45"/>
      <c r="U545" s="45"/>
      <c r="V545" s="45"/>
      <c r="W545" s="45"/>
      <c r="X545" s="45"/>
      <c r="Y545" s="45"/>
      <c r="Z545" s="45"/>
      <c r="AA545" s="45"/>
      <c r="AB545" s="45"/>
      <c r="AC545" s="45"/>
    </row>
    <row r="546" spans="1:29" ht="13.15">
      <c r="A546" s="45"/>
      <c r="B546" s="45"/>
      <c r="C546" s="45"/>
      <c r="D546" s="45"/>
      <c r="E546" s="45"/>
      <c r="F546" s="45"/>
      <c r="G546" s="45"/>
      <c r="H546" s="45"/>
      <c r="I546" s="44"/>
      <c r="J546" s="44"/>
      <c r="K546" s="45"/>
      <c r="L546" s="44"/>
      <c r="M546" s="44"/>
      <c r="N546" s="44"/>
      <c r="O546" s="44"/>
      <c r="P546" s="44"/>
      <c r="Q546" s="44"/>
      <c r="R546" s="44"/>
      <c r="S546" s="45"/>
      <c r="T546" s="45"/>
      <c r="U546" s="45"/>
      <c r="V546" s="45"/>
      <c r="W546" s="45"/>
      <c r="X546" s="45"/>
      <c r="Y546" s="45"/>
      <c r="Z546" s="45"/>
      <c r="AA546" s="45"/>
      <c r="AB546" s="45"/>
      <c r="AC546" s="45"/>
    </row>
    <row r="547" spans="1:29" ht="13.15">
      <c r="A547" s="45"/>
      <c r="B547" s="45"/>
      <c r="C547" s="45"/>
      <c r="D547" s="45"/>
      <c r="E547" s="45"/>
      <c r="F547" s="45"/>
      <c r="G547" s="45"/>
      <c r="H547" s="45"/>
      <c r="I547" s="44"/>
      <c r="J547" s="44"/>
      <c r="K547" s="45"/>
      <c r="L547" s="44"/>
      <c r="M547" s="44"/>
      <c r="N547" s="44"/>
      <c r="O547" s="44"/>
      <c r="P547" s="44"/>
      <c r="Q547" s="44"/>
      <c r="R547" s="44"/>
      <c r="S547" s="45"/>
      <c r="T547" s="45"/>
      <c r="U547" s="45"/>
      <c r="V547" s="45"/>
      <c r="W547" s="45"/>
      <c r="X547" s="45"/>
      <c r="Y547" s="45"/>
      <c r="Z547" s="45"/>
      <c r="AA547" s="45"/>
      <c r="AB547" s="45"/>
      <c r="AC547" s="45"/>
    </row>
    <row r="548" spans="1:29" ht="13.15">
      <c r="A548" s="45"/>
      <c r="B548" s="45"/>
      <c r="C548" s="45"/>
      <c r="D548" s="45"/>
      <c r="E548" s="45"/>
      <c r="F548" s="45"/>
      <c r="G548" s="45"/>
      <c r="H548" s="45"/>
      <c r="I548" s="44"/>
      <c r="J548" s="44"/>
      <c r="K548" s="45"/>
      <c r="L548" s="44"/>
      <c r="M548" s="44"/>
      <c r="N548" s="44"/>
      <c r="O548" s="44"/>
      <c r="P548" s="44"/>
      <c r="Q548" s="44"/>
      <c r="R548" s="44"/>
      <c r="S548" s="45"/>
      <c r="T548" s="45"/>
      <c r="U548" s="45"/>
      <c r="V548" s="45"/>
      <c r="W548" s="45"/>
      <c r="X548" s="45"/>
      <c r="Y548" s="45"/>
      <c r="Z548" s="45"/>
      <c r="AA548" s="45"/>
      <c r="AB548" s="45"/>
      <c r="AC548" s="45"/>
    </row>
    <row r="549" spans="1:29" ht="13.15">
      <c r="A549" s="45"/>
      <c r="B549" s="45"/>
      <c r="C549" s="45"/>
      <c r="D549" s="45"/>
      <c r="E549" s="45"/>
      <c r="F549" s="45"/>
      <c r="G549" s="45"/>
      <c r="H549" s="45"/>
      <c r="I549" s="44"/>
      <c r="J549" s="44"/>
      <c r="K549" s="45"/>
      <c r="L549" s="44"/>
      <c r="M549" s="44"/>
      <c r="N549" s="44"/>
      <c r="O549" s="44"/>
      <c r="P549" s="44"/>
      <c r="Q549" s="44"/>
      <c r="R549" s="44"/>
      <c r="S549" s="45"/>
      <c r="T549" s="45"/>
      <c r="U549" s="45"/>
      <c r="V549" s="45"/>
      <c r="W549" s="45"/>
      <c r="X549" s="45"/>
      <c r="Y549" s="45"/>
      <c r="Z549" s="45"/>
      <c r="AA549" s="45"/>
      <c r="AB549" s="45"/>
      <c r="AC549" s="45"/>
    </row>
    <row r="550" spans="1:29" ht="13.15">
      <c r="A550" s="45"/>
      <c r="B550" s="45"/>
      <c r="C550" s="45"/>
      <c r="D550" s="45"/>
      <c r="E550" s="45"/>
      <c r="F550" s="45"/>
      <c r="G550" s="45"/>
      <c r="H550" s="45"/>
      <c r="I550" s="44"/>
      <c r="J550" s="44"/>
      <c r="K550" s="45"/>
      <c r="L550" s="44"/>
      <c r="M550" s="44"/>
      <c r="N550" s="44"/>
      <c r="O550" s="44"/>
      <c r="P550" s="44"/>
      <c r="Q550" s="44"/>
      <c r="R550" s="44"/>
      <c r="S550" s="45"/>
      <c r="T550" s="45"/>
      <c r="U550" s="45"/>
      <c r="V550" s="45"/>
      <c r="W550" s="45"/>
      <c r="X550" s="45"/>
      <c r="Y550" s="45"/>
      <c r="Z550" s="45"/>
      <c r="AA550" s="45"/>
      <c r="AB550" s="45"/>
      <c r="AC550" s="45"/>
    </row>
    <row r="551" spans="1:29" ht="13.15">
      <c r="A551" s="45"/>
      <c r="B551" s="45"/>
      <c r="C551" s="45"/>
      <c r="D551" s="45"/>
      <c r="E551" s="45"/>
      <c r="F551" s="45"/>
      <c r="G551" s="45"/>
      <c r="H551" s="45"/>
      <c r="I551" s="44"/>
      <c r="J551" s="44"/>
      <c r="K551" s="45"/>
      <c r="L551" s="44"/>
      <c r="M551" s="44"/>
      <c r="N551" s="44"/>
      <c r="O551" s="44"/>
      <c r="P551" s="44"/>
      <c r="Q551" s="44"/>
      <c r="R551" s="44"/>
      <c r="S551" s="45"/>
      <c r="T551" s="45"/>
      <c r="U551" s="45"/>
      <c r="V551" s="45"/>
      <c r="W551" s="45"/>
      <c r="X551" s="45"/>
      <c r="Y551" s="45"/>
      <c r="Z551" s="45"/>
      <c r="AA551" s="45"/>
      <c r="AB551" s="45"/>
      <c r="AC551" s="45"/>
    </row>
    <row r="552" spans="1:29" ht="13.15">
      <c r="A552" s="45"/>
      <c r="B552" s="45"/>
      <c r="C552" s="45"/>
      <c r="D552" s="45"/>
      <c r="E552" s="45"/>
      <c r="F552" s="45"/>
      <c r="G552" s="45"/>
      <c r="H552" s="45"/>
      <c r="I552" s="44"/>
      <c r="J552" s="44"/>
      <c r="K552" s="45"/>
      <c r="L552" s="44"/>
      <c r="M552" s="44"/>
      <c r="N552" s="44"/>
      <c r="O552" s="44"/>
      <c r="P552" s="44"/>
      <c r="Q552" s="44"/>
      <c r="R552" s="44"/>
      <c r="S552" s="45"/>
      <c r="T552" s="45"/>
      <c r="U552" s="45"/>
      <c r="V552" s="45"/>
      <c r="W552" s="45"/>
      <c r="X552" s="45"/>
      <c r="Y552" s="45"/>
      <c r="Z552" s="45"/>
      <c r="AA552" s="45"/>
      <c r="AB552" s="45"/>
      <c r="AC552" s="45"/>
    </row>
    <row r="553" spans="1:29" ht="13.15">
      <c r="A553" s="45"/>
      <c r="B553" s="45"/>
      <c r="C553" s="45"/>
      <c r="D553" s="45"/>
      <c r="E553" s="45"/>
      <c r="F553" s="45"/>
      <c r="G553" s="45"/>
      <c r="H553" s="45"/>
      <c r="I553" s="44"/>
      <c r="J553" s="44"/>
      <c r="K553" s="45"/>
      <c r="L553" s="44"/>
      <c r="M553" s="44"/>
      <c r="N553" s="44"/>
      <c r="O553" s="44"/>
      <c r="P553" s="44"/>
      <c r="Q553" s="44"/>
      <c r="R553" s="44"/>
      <c r="S553" s="45"/>
      <c r="T553" s="45"/>
      <c r="U553" s="45"/>
      <c r="V553" s="45"/>
      <c r="W553" s="45"/>
      <c r="X553" s="45"/>
      <c r="Y553" s="45"/>
      <c r="Z553" s="45"/>
      <c r="AA553" s="45"/>
      <c r="AB553" s="45"/>
      <c r="AC553" s="45"/>
    </row>
    <row r="554" spans="1:29" ht="13.15">
      <c r="A554" s="45"/>
      <c r="B554" s="45"/>
      <c r="C554" s="45"/>
      <c r="D554" s="45"/>
      <c r="E554" s="45"/>
      <c r="F554" s="45"/>
      <c r="G554" s="45"/>
      <c r="H554" s="45"/>
      <c r="I554" s="44"/>
      <c r="J554" s="44"/>
      <c r="K554" s="45"/>
      <c r="L554" s="44"/>
      <c r="M554" s="44"/>
      <c r="N554" s="44"/>
      <c r="O554" s="44"/>
      <c r="P554" s="44"/>
      <c r="Q554" s="44"/>
      <c r="R554" s="44"/>
      <c r="S554" s="45"/>
      <c r="T554" s="45"/>
      <c r="U554" s="45"/>
      <c r="V554" s="45"/>
      <c r="W554" s="45"/>
      <c r="X554" s="45"/>
      <c r="Y554" s="45"/>
      <c r="Z554" s="45"/>
      <c r="AA554" s="45"/>
      <c r="AB554" s="45"/>
      <c r="AC554" s="45"/>
    </row>
    <row r="555" spans="1:29" ht="13.15">
      <c r="A555" s="45"/>
      <c r="B555" s="45"/>
      <c r="C555" s="45"/>
      <c r="D555" s="45"/>
      <c r="E555" s="45"/>
      <c r="F555" s="45"/>
      <c r="G555" s="45"/>
      <c r="H555" s="45"/>
      <c r="I555" s="44"/>
      <c r="J555" s="44"/>
      <c r="K555" s="45"/>
      <c r="L555" s="44"/>
      <c r="M555" s="44"/>
      <c r="N555" s="44"/>
      <c r="O555" s="44"/>
      <c r="P555" s="44"/>
      <c r="Q555" s="44"/>
      <c r="R555" s="44"/>
      <c r="S555" s="45"/>
      <c r="T555" s="45"/>
      <c r="U555" s="45"/>
      <c r="V555" s="45"/>
      <c r="W555" s="45"/>
      <c r="X555" s="45"/>
      <c r="Y555" s="45"/>
      <c r="Z555" s="45"/>
      <c r="AA555" s="45"/>
      <c r="AB555" s="45"/>
      <c r="AC555" s="45"/>
    </row>
    <row r="556" spans="1:29" ht="13.15">
      <c r="A556" s="45"/>
      <c r="B556" s="45"/>
      <c r="C556" s="45"/>
      <c r="D556" s="45"/>
      <c r="E556" s="45"/>
      <c r="F556" s="45"/>
      <c r="G556" s="45"/>
      <c r="H556" s="45"/>
      <c r="I556" s="44"/>
      <c r="J556" s="44"/>
      <c r="K556" s="45"/>
      <c r="L556" s="44"/>
      <c r="M556" s="44"/>
      <c r="N556" s="44"/>
      <c r="O556" s="44"/>
      <c r="P556" s="44"/>
      <c r="Q556" s="44"/>
      <c r="R556" s="44"/>
      <c r="S556" s="45"/>
      <c r="T556" s="45"/>
      <c r="U556" s="45"/>
      <c r="V556" s="45"/>
      <c r="W556" s="45"/>
      <c r="X556" s="45"/>
      <c r="Y556" s="45"/>
      <c r="Z556" s="45"/>
      <c r="AA556" s="45"/>
      <c r="AB556" s="45"/>
      <c r="AC556" s="45"/>
    </row>
    <row r="557" spans="1:29" ht="13.15">
      <c r="A557" s="45"/>
      <c r="B557" s="45"/>
      <c r="C557" s="45"/>
      <c r="D557" s="45"/>
      <c r="E557" s="45"/>
      <c r="F557" s="45"/>
      <c r="G557" s="45"/>
      <c r="H557" s="45"/>
      <c r="I557" s="44"/>
      <c r="J557" s="44"/>
      <c r="K557" s="45"/>
      <c r="L557" s="44"/>
      <c r="M557" s="44"/>
      <c r="N557" s="44"/>
      <c r="O557" s="44"/>
      <c r="P557" s="44"/>
      <c r="Q557" s="44"/>
      <c r="R557" s="44"/>
      <c r="S557" s="45"/>
      <c r="T557" s="45"/>
      <c r="U557" s="45"/>
      <c r="V557" s="45"/>
      <c r="W557" s="45"/>
      <c r="X557" s="45"/>
      <c r="Y557" s="45"/>
      <c r="Z557" s="45"/>
      <c r="AA557" s="45"/>
      <c r="AB557" s="45"/>
      <c r="AC557" s="45"/>
    </row>
    <row r="558" spans="1:29" ht="13.15">
      <c r="A558" s="45"/>
      <c r="B558" s="45"/>
      <c r="C558" s="45"/>
      <c r="D558" s="45"/>
      <c r="E558" s="45"/>
      <c r="F558" s="45"/>
      <c r="G558" s="45"/>
      <c r="H558" s="45"/>
      <c r="I558" s="44"/>
      <c r="J558" s="44"/>
      <c r="K558" s="45"/>
      <c r="L558" s="44"/>
      <c r="M558" s="44"/>
      <c r="N558" s="44"/>
      <c r="O558" s="44"/>
      <c r="P558" s="44"/>
      <c r="Q558" s="44"/>
      <c r="R558" s="44"/>
      <c r="S558" s="45"/>
      <c r="T558" s="45"/>
      <c r="U558" s="45"/>
      <c r="V558" s="45"/>
      <c r="W558" s="45"/>
      <c r="X558" s="45"/>
      <c r="Y558" s="45"/>
      <c r="Z558" s="45"/>
      <c r="AA558" s="45"/>
      <c r="AB558" s="45"/>
      <c r="AC558" s="45"/>
    </row>
    <row r="559" spans="1:29" ht="13.15">
      <c r="A559" s="45"/>
      <c r="B559" s="45"/>
      <c r="C559" s="45"/>
      <c r="D559" s="45"/>
      <c r="E559" s="45"/>
      <c r="F559" s="45"/>
      <c r="G559" s="45"/>
      <c r="H559" s="45"/>
      <c r="I559" s="44"/>
      <c r="J559" s="44"/>
      <c r="K559" s="45"/>
      <c r="L559" s="44"/>
      <c r="M559" s="44"/>
      <c r="N559" s="44"/>
      <c r="O559" s="44"/>
      <c r="P559" s="44"/>
      <c r="Q559" s="44"/>
      <c r="R559" s="44"/>
      <c r="S559" s="45"/>
      <c r="T559" s="45"/>
      <c r="U559" s="45"/>
      <c r="V559" s="45"/>
      <c r="W559" s="45"/>
      <c r="X559" s="45"/>
      <c r="Y559" s="45"/>
      <c r="Z559" s="45"/>
      <c r="AA559" s="45"/>
      <c r="AB559" s="45"/>
      <c r="AC559" s="45"/>
    </row>
    <row r="560" spans="1:29" ht="13.15">
      <c r="A560" s="45"/>
      <c r="B560" s="45"/>
      <c r="C560" s="45"/>
      <c r="D560" s="45"/>
      <c r="E560" s="45"/>
      <c r="F560" s="45"/>
      <c r="G560" s="45"/>
      <c r="H560" s="45"/>
      <c r="I560" s="44"/>
      <c r="J560" s="44"/>
      <c r="K560" s="45"/>
      <c r="L560" s="44"/>
      <c r="M560" s="44"/>
      <c r="N560" s="44"/>
      <c r="O560" s="44"/>
      <c r="P560" s="44"/>
      <c r="Q560" s="44"/>
      <c r="R560" s="44"/>
      <c r="S560" s="45"/>
      <c r="T560" s="45"/>
      <c r="U560" s="45"/>
      <c r="V560" s="45"/>
      <c r="W560" s="45"/>
      <c r="X560" s="45"/>
      <c r="Y560" s="45"/>
      <c r="Z560" s="45"/>
      <c r="AA560" s="45"/>
      <c r="AB560" s="45"/>
      <c r="AC560" s="45"/>
    </row>
    <row r="561" spans="1:29" ht="13.15">
      <c r="A561" s="45"/>
      <c r="B561" s="45"/>
      <c r="C561" s="45"/>
      <c r="D561" s="45"/>
      <c r="E561" s="45"/>
      <c r="F561" s="45"/>
      <c r="G561" s="45"/>
      <c r="H561" s="45"/>
      <c r="I561" s="44"/>
      <c r="J561" s="44"/>
      <c r="K561" s="45"/>
      <c r="L561" s="44"/>
      <c r="M561" s="44"/>
      <c r="N561" s="44"/>
      <c r="O561" s="44"/>
      <c r="P561" s="44"/>
      <c r="Q561" s="44"/>
      <c r="R561" s="44"/>
      <c r="S561" s="45"/>
      <c r="T561" s="45"/>
      <c r="U561" s="45"/>
      <c r="V561" s="45"/>
      <c r="W561" s="45"/>
      <c r="X561" s="45"/>
      <c r="Y561" s="45"/>
      <c r="Z561" s="45"/>
      <c r="AA561" s="45"/>
      <c r="AB561" s="45"/>
      <c r="AC561" s="45"/>
    </row>
    <row r="562" spans="1:29" ht="13.15">
      <c r="A562" s="45"/>
      <c r="B562" s="45"/>
      <c r="C562" s="45"/>
      <c r="D562" s="45"/>
      <c r="E562" s="45"/>
      <c r="F562" s="45"/>
      <c r="G562" s="45"/>
      <c r="H562" s="45"/>
      <c r="I562" s="44"/>
      <c r="J562" s="44"/>
      <c r="K562" s="45"/>
      <c r="L562" s="44"/>
      <c r="M562" s="44"/>
      <c r="N562" s="44"/>
      <c r="O562" s="44"/>
      <c r="P562" s="44"/>
      <c r="Q562" s="44"/>
      <c r="R562" s="44"/>
      <c r="S562" s="45"/>
      <c r="T562" s="45"/>
      <c r="U562" s="45"/>
      <c r="V562" s="45"/>
      <c r="W562" s="45"/>
      <c r="X562" s="45"/>
      <c r="Y562" s="45"/>
      <c r="Z562" s="45"/>
      <c r="AA562" s="45"/>
      <c r="AB562" s="45"/>
      <c r="AC562" s="45"/>
    </row>
    <row r="563" spans="1:29" ht="13.15">
      <c r="A563" s="45"/>
      <c r="B563" s="45"/>
      <c r="C563" s="45"/>
      <c r="D563" s="45"/>
      <c r="E563" s="45"/>
      <c r="F563" s="45"/>
      <c r="G563" s="45"/>
      <c r="H563" s="45"/>
      <c r="I563" s="44"/>
      <c r="J563" s="44"/>
      <c r="K563" s="45"/>
      <c r="L563" s="44"/>
      <c r="M563" s="44"/>
      <c r="N563" s="44"/>
      <c r="O563" s="44"/>
      <c r="P563" s="44"/>
      <c r="Q563" s="44"/>
      <c r="R563" s="44"/>
      <c r="S563" s="45"/>
      <c r="T563" s="45"/>
      <c r="U563" s="45"/>
      <c r="V563" s="45"/>
      <c r="W563" s="45"/>
      <c r="X563" s="45"/>
      <c r="Y563" s="45"/>
      <c r="Z563" s="45"/>
      <c r="AA563" s="45"/>
      <c r="AB563" s="45"/>
      <c r="AC563" s="45"/>
    </row>
    <row r="564" spans="1:29" ht="13.15">
      <c r="A564" s="45"/>
      <c r="B564" s="45"/>
      <c r="C564" s="45"/>
      <c r="D564" s="45"/>
      <c r="E564" s="45"/>
      <c r="F564" s="45"/>
      <c r="G564" s="45"/>
      <c r="H564" s="45"/>
      <c r="I564" s="44"/>
      <c r="J564" s="44"/>
      <c r="K564" s="45"/>
      <c r="L564" s="44"/>
      <c r="M564" s="44"/>
      <c r="N564" s="44"/>
      <c r="O564" s="44"/>
      <c r="P564" s="44"/>
      <c r="Q564" s="44"/>
      <c r="R564" s="44"/>
      <c r="S564" s="45"/>
      <c r="T564" s="45"/>
      <c r="U564" s="45"/>
      <c r="V564" s="45"/>
      <c r="W564" s="45"/>
      <c r="X564" s="45"/>
      <c r="Y564" s="45"/>
      <c r="Z564" s="45"/>
      <c r="AA564" s="45"/>
      <c r="AB564" s="45"/>
      <c r="AC564" s="45"/>
    </row>
    <row r="565" spans="1:29" ht="13.15">
      <c r="A565" s="45"/>
      <c r="B565" s="45"/>
      <c r="C565" s="45"/>
      <c r="D565" s="45"/>
      <c r="E565" s="45"/>
      <c r="F565" s="45"/>
      <c r="G565" s="45"/>
      <c r="H565" s="45"/>
      <c r="I565" s="44"/>
      <c r="J565" s="44"/>
      <c r="K565" s="45"/>
      <c r="L565" s="44"/>
      <c r="M565" s="44"/>
      <c r="N565" s="44"/>
      <c r="O565" s="44"/>
      <c r="P565" s="44"/>
      <c r="Q565" s="44"/>
      <c r="R565" s="44"/>
      <c r="S565" s="45"/>
      <c r="T565" s="45"/>
      <c r="U565" s="45"/>
      <c r="V565" s="45"/>
      <c r="W565" s="45"/>
      <c r="X565" s="45"/>
      <c r="Y565" s="45"/>
      <c r="Z565" s="45"/>
      <c r="AA565" s="45"/>
      <c r="AB565" s="45"/>
      <c r="AC565" s="45"/>
    </row>
    <row r="566" spans="1:29" ht="13.15">
      <c r="A566" s="45"/>
      <c r="B566" s="45"/>
      <c r="C566" s="45"/>
      <c r="D566" s="45"/>
      <c r="E566" s="45"/>
      <c r="F566" s="45"/>
      <c r="G566" s="45"/>
      <c r="H566" s="45"/>
      <c r="I566" s="44"/>
      <c r="J566" s="44"/>
      <c r="K566" s="45"/>
      <c r="L566" s="44"/>
      <c r="M566" s="44"/>
      <c r="N566" s="44"/>
      <c r="O566" s="44"/>
      <c r="P566" s="44"/>
      <c r="Q566" s="44"/>
      <c r="R566" s="44"/>
      <c r="S566" s="45"/>
      <c r="T566" s="45"/>
      <c r="U566" s="45"/>
      <c r="V566" s="45"/>
      <c r="W566" s="45"/>
      <c r="X566" s="45"/>
      <c r="Y566" s="45"/>
      <c r="Z566" s="45"/>
      <c r="AA566" s="45"/>
      <c r="AB566" s="45"/>
      <c r="AC566" s="45"/>
    </row>
    <row r="567" spans="1:29" ht="13.15">
      <c r="A567" s="45"/>
      <c r="B567" s="45"/>
      <c r="C567" s="45"/>
      <c r="D567" s="45"/>
      <c r="E567" s="45"/>
      <c r="F567" s="45"/>
      <c r="G567" s="45"/>
      <c r="H567" s="45"/>
      <c r="I567" s="44"/>
      <c r="J567" s="44"/>
      <c r="K567" s="45"/>
      <c r="L567" s="44"/>
      <c r="M567" s="44"/>
      <c r="N567" s="44"/>
      <c r="O567" s="44"/>
      <c r="P567" s="44"/>
      <c r="Q567" s="44"/>
      <c r="R567" s="44"/>
      <c r="S567" s="45"/>
      <c r="T567" s="45"/>
      <c r="U567" s="45"/>
      <c r="V567" s="45"/>
      <c r="W567" s="45"/>
      <c r="X567" s="45"/>
      <c r="Y567" s="45"/>
      <c r="Z567" s="45"/>
      <c r="AA567" s="45"/>
      <c r="AB567" s="45"/>
      <c r="AC567" s="45"/>
    </row>
    <row r="568" spans="1:29" ht="13.15">
      <c r="A568" s="45"/>
      <c r="B568" s="45"/>
      <c r="C568" s="45"/>
      <c r="D568" s="45"/>
      <c r="E568" s="45"/>
      <c r="F568" s="45"/>
      <c r="G568" s="45"/>
      <c r="H568" s="45"/>
      <c r="I568" s="44"/>
      <c r="J568" s="44"/>
      <c r="K568" s="45"/>
      <c r="L568" s="44"/>
      <c r="M568" s="44"/>
      <c r="N568" s="44"/>
      <c r="O568" s="44"/>
      <c r="P568" s="44"/>
      <c r="Q568" s="44"/>
      <c r="R568" s="44"/>
      <c r="S568" s="45"/>
      <c r="T568" s="45"/>
      <c r="U568" s="45"/>
      <c r="V568" s="45"/>
      <c r="W568" s="45"/>
      <c r="X568" s="45"/>
      <c r="Y568" s="45"/>
      <c r="Z568" s="45"/>
      <c r="AA568" s="45"/>
      <c r="AB568" s="45"/>
      <c r="AC568" s="45"/>
    </row>
    <row r="569" spans="1:29" ht="13.15">
      <c r="A569" s="45"/>
      <c r="B569" s="45"/>
      <c r="C569" s="45"/>
      <c r="D569" s="45"/>
      <c r="E569" s="45"/>
      <c r="F569" s="45"/>
      <c r="G569" s="45"/>
      <c r="H569" s="45"/>
      <c r="I569" s="44"/>
      <c r="J569" s="44"/>
      <c r="K569" s="45"/>
      <c r="L569" s="44"/>
      <c r="M569" s="44"/>
      <c r="N569" s="44"/>
      <c r="O569" s="44"/>
      <c r="P569" s="44"/>
      <c r="Q569" s="44"/>
      <c r="R569" s="44"/>
      <c r="S569" s="45"/>
      <c r="T569" s="45"/>
      <c r="U569" s="45"/>
      <c r="V569" s="45"/>
      <c r="W569" s="45"/>
      <c r="X569" s="45"/>
      <c r="Y569" s="45"/>
      <c r="Z569" s="45"/>
      <c r="AA569" s="45"/>
      <c r="AB569" s="45"/>
      <c r="AC569" s="45"/>
    </row>
    <row r="570" spans="1:29" ht="13.15">
      <c r="A570" s="45"/>
      <c r="B570" s="45"/>
      <c r="C570" s="45"/>
      <c r="D570" s="45"/>
      <c r="E570" s="45"/>
      <c r="F570" s="45"/>
      <c r="G570" s="45"/>
      <c r="H570" s="45"/>
      <c r="I570" s="44"/>
      <c r="J570" s="44"/>
      <c r="K570" s="45"/>
      <c r="L570" s="44"/>
      <c r="M570" s="44"/>
      <c r="N570" s="44"/>
      <c r="O570" s="44"/>
      <c r="P570" s="44"/>
      <c r="Q570" s="44"/>
      <c r="R570" s="44"/>
      <c r="S570" s="45"/>
      <c r="T570" s="45"/>
      <c r="U570" s="45"/>
      <c r="V570" s="45"/>
      <c r="W570" s="45"/>
      <c r="X570" s="45"/>
      <c r="Y570" s="45"/>
      <c r="Z570" s="45"/>
      <c r="AA570" s="45"/>
      <c r="AB570" s="45"/>
      <c r="AC570" s="45"/>
    </row>
    <row r="571" spans="1:29" ht="13.15">
      <c r="A571" s="45"/>
      <c r="B571" s="45"/>
      <c r="C571" s="45"/>
      <c r="D571" s="45"/>
      <c r="E571" s="45"/>
      <c r="F571" s="45"/>
      <c r="G571" s="45"/>
      <c r="H571" s="45"/>
      <c r="I571" s="44"/>
      <c r="J571" s="44"/>
      <c r="K571" s="45"/>
      <c r="L571" s="44"/>
      <c r="M571" s="44"/>
      <c r="N571" s="44"/>
      <c r="O571" s="44"/>
      <c r="P571" s="44"/>
      <c r="Q571" s="44"/>
      <c r="R571" s="44"/>
      <c r="S571" s="45"/>
      <c r="T571" s="45"/>
      <c r="U571" s="45"/>
      <c r="V571" s="45"/>
      <c r="W571" s="45"/>
      <c r="X571" s="45"/>
      <c r="Y571" s="45"/>
      <c r="Z571" s="45"/>
      <c r="AA571" s="45"/>
      <c r="AB571" s="45"/>
      <c r="AC571" s="45"/>
    </row>
    <row r="572" spans="1:29" ht="13.15">
      <c r="A572" s="45"/>
      <c r="B572" s="45"/>
      <c r="C572" s="45"/>
      <c r="D572" s="45"/>
      <c r="E572" s="45"/>
      <c r="F572" s="45"/>
      <c r="G572" s="45"/>
      <c r="H572" s="45"/>
      <c r="I572" s="44"/>
      <c r="J572" s="44"/>
      <c r="K572" s="45"/>
      <c r="L572" s="44"/>
      <c r="M572" s="44"/>
      <c r="N572" s="44"/>
      <c r="O572" s="44"/>
      <c r="P572" s="44"/>
      <c r="Q572" s="44"/>
      <c r="R572" s="44"/>
      <c r="S572" s="45"/>
      <c r="T572" s="45"/>
      <c r="U572" s="45"/>
      <c r="V572" s="45"/>
      <c r="W572" s="45"/>
      <c r="X572" s="45"/>
      <c r="Y572" s="45"/>
      <c r="Z572" s="45"/>
      <c r="AA572" s="45"/>
      <c r="AB572" s="45"/>
      <c r="AC572" s="45"/>
    </row>
    <row r="573" spans="1:29" ht="13.15">
      <c r="A573" s="45"/>
      <c r="B573" s="45"/>
      <c r="C573" s="45"/>
      <c r="D573" s="45"/>
      <c r="E573" s="45"/>
      <c r="F573" s="45"/>
      <c r="G573" s="45"/>
      <c r="H573" s="45"/>
      <c r="I573" s="44"/>
      <c r="J573" s="44"/>
      <c r="K573" s="45"/>
      <c r="L573" s="44"/>
      <c r="M573" s="44"/>
      <c r="N573" s="44"/>
      <c r="O573" s="44"/>
      <c r="P573" s="44"/>
      <c r="Q573" s="44"/>
      <c r="R573" s="44"/>
      <c r="S573" s="45"/>
      <c r="T573" s="45"/>
      <c r="U573" s="45"/>
      <c r="V573" s="45"/>
      <c r="W573" s="45"/>
      <c r="X573" s="45"/>
      <c r="Y573" s="45"/>
      <c r="Z573" s="45"/>
      <c r="AA573" s="45"/>
      <c r="AB573" s="45"/>
      <c r="AC573" s="45"/>
    </row>
    <row r="574" spans="1:29" ht="13.15">
      <c r="A574" s="45"/>
      <c r="B574" s="45"/>
      <c r="C574" s="45"/>
      <c r="D574" s="45"/>
      <c r="E574" s="45"/>
      <c r="F574" s="45"/>
      <c r="G574" s="45"/>
      <c r="H574" s="45"/>
      <c r="I574" s="44"/>
      <c r="J574" s="44"/>
      <c r="K574" s="45"/>
      <c r="L574" s="44"/>
      <c r="M574" s="44"/>
      <c r="N574" s="44"/>
      <c r="O574" s="44"/>
      <c r="P574" s="44"/>
      <c r="Q574" s="44"/>
      <c r="R574" s="44"/>
      <c r="S574" s="45"/>
      <c r="T574" s="45"/>
      <c r="U574" s="45"/>
      <c r="V574" s="45"/>
      <c r="W574" s="45"/>
      <c r="X574" s="45"/>
      <c r="Y574" s="45"/>
      <c r="Z574" s="45"/>
      <c r="AA574" s="45"/>
      <c r="AB574" s="45"/>
      <c r="AC574" s="45"/>
    </row>
    <row r="575" spans="1:29" ht="13.15">
      <c r="A575" s="45"/>
      <c r="B575" s="45"/>
      <c r="C575" s="45"/>
      <c r="D575" s="45"/>
      <c r="E575" s="45"/>
      <c r="F575" s="45"/>
      <c r="G575" s="45"/>
      <c r="H575" s="45"/>
      <c r="I575" s="44"/>
      <c r="J575" s="44"/>
      <c r="K575" s="45"/>
      <c r="L575" s="44"/>
      <c r="M575" s="44"/>
      <c r="N575" s="44"/>
      <c r="O575" s="44"/>
      <c r="P575" s="44"/>
      <c r="Q575" s="44"/>
      <c r="R575" s="44"/>
      <c r="S575" s="45"/>
      <c r="T575" s="45"/>
      <c r="U575" s="45"/>
      <c r="V575" s="45"/>
      <c r="W575" s="45"/>
      <c r="X575" s="45"/>
      <c r="Y575" s="45"/>
      <c r="Z575" s="45"/>
      <c r="AA575" s="45"/>
      <c r="AB575" s="45"/>
      <c r="AC575" s="45"/>
    </row>
    <row r="576" spans="1:29" ht="13.15">
      <c r="A576" s="45"/>
      <c r="B576" s="45"/>
      <c r="C576" s="45"/>
      <c r="D576" s="45"/>
      <c r="E576" s="45"/>
      <c r="F576" s="45"/>
      <c r="G576" s="45"/>
      <c r="H576" s="45"/>
      <c r="I576" s="44"/>
      <c r="J576" s="44"/>
      <c r="K576" s="45"/>
      <c r="L576" s="44"/>
      <c r="M576" s="44"/>
      <c r="N576" s="44"/>
      <c r="O576" s="44"/>
      <c r="P576" s="44"/>
      <c r="Q576" s="44"/>
      <c r="R576" s="44"/>
      <c r="S576" s="45"/>
      <c r="T576" s="45"/>
      <c r="U576" s="45"/>
      <c r="V576" s="45"/>
      <c r="W576" s="45"/>
      <c r="X576" s="45"/>
      <c r="Y576" s="45"/>
      <c r="Z576" s="45"/>
      <c r="AA576" s="45"/>
      <c r="AB576" s="45"/>
      <c r="AC576" s="45"/>
    </row>
    <row r="577" spans="1:29" ht="13.15">
      <c r="A577" s="45"/>
      <c r="B577" s="45"/>
      <c r="C577" s="45"/>
      <c r="D577" s="45"/>
      <c r="E577" s="45"/>
      <c r="F577" s="45"/>
      <c r="G577" s="45"/>
      <c r="H577" s="45"/>
      <c r="I577" s="44"/>
      <c r="J577" s="44"/>
      <c r="K577" s="45"/>
      <c r="L577" s="44"/>
      <c r="M577" s="44"/>
      <c r="N577" s="44"/>
      <c r="O577" s="44"/>
      <c r="P577" s="44"/>
      <c r="Q577" s="44"/>
      <c r="R577" s="44"/>
      <c r="S577" s="45"/>
      <c r="T577" s="45"/>
      <c r="U577" s="45"/>
      <c r="V577" s="45"/>
      <c r="W577" s="45"/>
      <c r="X577" s="45"/>
      <c r="Y577" s="45"/>
      <c r="Z577" s="45"/>
      <c r="AA577" s="45"/>
      <c r="AB577" s="45"/>
      <c r="AC577" s="45"/>
    </row>
    <row r="578" spans="1:29" ht="13.15">
      <c r="A578" s="45"/>
      <c r="B578" s="45"/>
      <c r="C578" s="45"/>
      <c r="D578" s="45"/>
      <c r="E578" s="45"/>
      <c r="F578" s="45"/>
      <c r="G578" s="45"/>
      <c r="H578" s="45"/>
      <c r="I578" s="44"/>
      <c r="J578" s="44"/>
      <c r="K578" s="45"/>
      <c r="L578" s="44"/>
      <c r="M578" s="44"/>
      <c r="N578" s="44"/>
      <c r="O578" s="44"/>
      <c r="P578" s="44"/>
      <c r="Q578" s="44"/>
      <c r="R578" s="44"/>
      <c r="S578" s="45"/>
      <c r="T578" s="45"/>
      <c r="U578" s="45"/>
      <c r="V578" s="45"/>
      <c r="W578" s="45"/>
      <c r="X578" s="45"/>
      <c r="Y578" s="45"/>
      <c r="Z578" s="45"/>
      <c r="AA578" s="45"/>
      <c r="AB578" s="45"/>
      <c r="AC578" s="45"/>
    </row>
    <row r="579" spans="1:29" ht="13.15">
      <c r="A579" s="45"/>
      <c r="B579" s="45"/>
      <c r="C579" s="45"/>
      <c r="D579" s="45"/>
      <c r="E579" s="45"/>
      <c r="F579" s="45"/>
      <c r="G579" s="45"/>
      <c r="H579" s="45"/>
      <c r="I579" s="44"/>
      <c r="J579" s="44"/>
      <c r="K579" s="45"/>
      <c r="L579" s="44"/>
      <c r="M579" s="44"/>
      <c r="N579" s="44"/>
      <c r="O579" s="44"/>
      <c r="P579" s="44"/>
      <c r="Q579" s="44"/>
      <c r="R579" s="44"/>
      <c r="S579" s="45"/>
      <c r="T579" s="45"/>
      <c r="U579" s="45"/>
      <c r="V579" s="45"/>
      <c r="W579" s="45"/>
      <c r="X579" s="45"/>
      <c r="Y579" s="45"/>
      <c r="Z579" s="45"/>
      <c r="AA579" s="45"/>
      <c r="AB579" s="45"/>
      <c r="AC579" s="45"/>
    </row>
    <row r="580" spans="1:29" ht="13.15">
      <c r="A580" s="45"/>
      <c r="B580" s="45"/>
      <c r="C580" s="45"/>
      <c r="D580" s="45"/>
      <c r="E580" s="45"/>
      <c r="F580" s="45"/>
      <c r="G580" s="45"/>
      <c r="H580" s="45"/>
      <c r="I580" s="44"/>
      <c r="J580" s="44"/>
      <c r="K580" s="45"/>
      <c r="L580" s="44"/>
      <c r="M580" s="44"/>
      <c r="N580" s="44"/>
      <c r="O580" s="44"/>
      <c r="P580" s="44"/>
      <c r="Q580" s="44"/>
      <c r="R580" s="44"/>
      <c r="S580" s="45"/>
      <c r="T580" s="45"/>
      <c r="U580" s="45"/>
      <c r="V580" s="45"/>
      <c r="W580" s="45"/>
      <c r="X580" s="45"/>
      <c r="Y580" s="45"/>
      <c r="Z580" s="45"/>
      <c r="AA580" s="45"/>
      <c r="AB580" s="45"/>
      <c r="AC580" s="45"/>
    </row>
    <row r="581" spans="1:29" ht="13.15">
      <c r="A581" s="45"/>
      <c r="B581" s="45"/>
      <c r="C581" s="45"/>
      <c r="D581" s="45"/>
      <c r="E581" s="45"/>
      <c r="F581" s="45"/>
      <c r="G581" s="45"/>
      <c r="H581" s="45"/>
      <c r="I581" s="44"/>
      <c r="J581" s="44"/>
      <c r="K581" s="45"/>
      <c r="L581" s="44"/>
      <c r="M581" s="44"/>
      <c r="N581" s="44"/>
      <c r="O581" s="44"/>
      <c r="P581" s="44"/>
      <c r="Q581" s="44"/>
      <c r="R581" s="44"/>
      <c r="S581" s="45"/>
      <c r="T581" s="45"/>
      <c r="U581" s="45"/>
      <c r="V581" s="45"/>
      <c r="W581" s="45"/>
      <c r="X581" s="45"/>
      <c r="Y581" s="45"/>
      <c r="Z581" s="45"/>
      <c r="AA581" s="45"/>
      <c r="AB581" s="45"/>
      <c r="AC581" s="45"/>
    </row>
    <row r="582" spans="1:29" ht="13.15">
      <c r="A582" s="45"/>
      <c r="B582" s="45"/>
      <c r="C582" s="45"/>
      <c r="D582" s="45"/>
      <c r="E582" s="45"/>
      <c r="F582" s="45"/>
      <c r="G582" s="45"/>
      <c r="H582" s="45"/>
      <c r="I582" s="44"/>
      <c r="J582" s="44"/>
      <c r="K582" s="45"/>
      <c r="L582" s="44"/>
      <c r="M582" s="44"/>
      <c r="N582" s="44"/>
      <c r="O582" s="44"/>
      <c r="P582" s="44"/>
      <c r="Q582" s="44"/>
      <c r="R582" s="44"/>
      <c r="S582" s="45"/>
      <c r="T582" s="45"/>
      <c r="U582" s="45"/>
      <c r="V582" s="45"/>
      <c r="W582" s="45"/>
      <c r="X582" s="45"/>
      <c r="Y582" s="45"/>
      <c r="Z582" s="45"/>
      <c r="AA582" s="45"/>
      <c r="AB582" s="45"/>
      <c r="AC582" s="45"/>
    </row>
    <row r="583" spans="1:29" ht="13.15">
      <c r="A583" s="45"/>
      <c r="B583" s="45"/>
      <c r="C583" s="45"/>
      <c r="D583" s="45"/>
      <c r="E583" s="45"/>
      <c r="F583" s="45"/>
      <c r="G583" s="45"/>
      <c r="H583" s="45"/>
      <c r="I583" s="44"/>
      <c r="J583" s="44"/>
      <c r="K583" s="45"/>
      <c r="L583" s="44"/>
      <c r="M583" s="44"/>
      <c r="N583" s="44"/>
      <c r="O583" s="44"/>
      <c r="P583" s="44"/>
      <c r="Q583" s="44"/>
      <c r="R583" s="44"/>
      <c r="S583" s="45"/>
      <c r="T583" s="45"/>
      <c r="U583" s="45"/>
      <c r="V583" s="45"/>
      <c r="W583" s="45"/>
      <c r="X583" s="45"/>
      <c r="Y583" s="45"/>
      <c r="Z583" s="45"/>
      <c r="AA583" s="45"/>
      <c r="AB583" s="45"/>
      <c r="AC583" s="45"/>
    </row>
    <row r="584" spans="1:29" ht="13.15">
      <c r="A584" s="45"/>
      <c r="B584" s="45"/>
      <c r="C584" s="45"/>
      <c r="D584" s="45"/>
      <c r="E584" s="45"/>
      <c r="F584" s="45"/>
      <c r="G584" s="45"/>
      <c r="H584" s="45"/>
      <c r="I584" s="44"/>
      <c r="J584" s="44"/>
      <c r="K584" s="45"/>
      <c r="L584" s="44"/>
      <c r="M584" s="44"/>
      <c r="N584" s="44"/>
      <c r="O584" s="44"/>
      <c r="P584" s="44"/>
      <c r="Q584" s="44"/>
      <c r="R584" s="44"/>
      <c r="S584" s="45"/>
      <c r="T584" s="45"/>
      <c r="U584" s="45"/>
      <c r="V584" s="45"/>
      <c r="W584" s="45"/>
      <c r="X584" s="45"/>
      <c r="Y584" s="45"/>
      <c r="Z584" s="45"/>
      <c r="AA584" s="45"/>
      <c r="AB584" s="45"/>
      <c r="AC584" s="45"/>
    </row>
    <row r="585" spans="1:29" ht="13.15">
      <c r="A585" s="45"/>
      <c r="B585" s="45"/>
      <c r="C585" s="45"/>
      <c r="D585" s="45"/>
      <c r="E585" s="45"/>
      <c r="F585" s="45"/>
      <c r="G585" s="45"/>
      <c r="H585" s="45"/>
      <c r="I585" s="44"/>
      <c r="J585" s="44"/>
      <c r="K585" s="45"/>
      <c r="L585" s="44"/>
      <c r="M585" s="44"/>
      <c r="N585" s="44"/>
      <c r="O585" s="44"/>
      <c r="P585" s="44"/>
      <c r="Q585" s="44"/>
      <c r="R585" s="44"/>
      <c r="S585" s="45"/>
      <c r="T585" s="45"/>
      <c r="U585" s="45"/>
      <c r="V585" s="45"/>
      <c r="W585" s="45"/>
      <c r="X585" s="45"/>
      <c r="Y585" s="45"/>
      <c r="Z585" s="45"/>
      <c r="AA585" s="45"/>
      <c r="AB585" s="45"/>
      <c r="AC585" s="45"/>
    </row>
    <row r="586" spans="1:29" ht="13.15">
      <c r="A586" s="45"/>
      <c r="B586" s="45"/>
      <c r="C586" s="45"/>
      <c r="D586" s="45"/>
      <c r="E586" s="45"/>
      <c r="F586" s="45"/>
      <c r="G586" s="45"/>
      <c r="H586" s="45"/>
      <c r="I586" s="44"/>
      <c r="J586" s="44"/>
      <c r="K586" s="45"/>
      <c r="L586" s="44"/>
      <c r="M586" s="44"/>
      <c r="N586" s="44"/>
      <c r="O586" s="44"/>
      <c r="P586" s="44"/>
      <c r="Q586" s="44"/>
      <c r="R586" s="44"/>
      <c r="S586" s="45"/>
      <c r="T586" s="45"/>
      <c r="U586" s="45"/>
      <c r="V586" s="45"/>
      <c r="W586" s="45"/>
      <c r="X586" s="45"/>
      <c r="Y586" s="45"/>
      <c r="Z586" s="45"/>
      <c r="AA586" s="45"/>
      <c r="AB586" s="45"/>
      <c r="AC586" s="45"/>
    </row>
    <row r="587" spans="1:29" ht="13.15">
      <c r="A587" s="45"/>
      <c r="B587" s="45"/>
      <c r="C587" s="45"/>
      <c r="D587" s="45"/>
      <c r="E587" s="45"/>
      <c r="F587" s="45"/>
      <c r="G587" s="45"/>
      <c r="H587" s="45"/>
      <c r="I587" s="44"/>
      <c r="J587" s="44"/>
      <c r="K587" s="45"/>
      <c r="L587" s="44"/>
      <c r="M587" s="44"/>
      <c r="N587" s="44"/>
      <c r="O587" s="44"/>
      <c r="P587" s="44"/>
      <c r="Q587" s="44"/>
      <c r="R587" s="44"/>
      <c r="S587" s="45"/>
      <c r="T587" s="45"/>
      <c r="U587" s="45"/>
      <c r="V587" s="45"/>
      <c r="W587" s="45"/>
      <c r="X587" s="45"/>
      <c r="Y587" s="45"/>
      <c r="Z587" s="45"/>
      <c r="AA587" s="45"/>
      <c r="AB587" s="45"/>
      <c r="AC587" s="45"/>
    </row>
    <row r="588" spans="1:29" ht="13.15">
      <c r="A588" s="45"/>
      <c r="B588" s="45"/>
      <c r="C588" s="45"/>
      <c r="D588" s="45"/>
      <c r="E588" s="45"/>
      <c r="F588" s="45"/>
      <c r="G588" s="45"/>
      <c r="H588" s="45"/>
      <c r="I588" s="44"/>
      <c r="J588" s="44"/>
      <c r="K588" s="45"/>
      <c r="L588" s="44"/>
      <c r="M588" s="44"/>
      <c r="N588" s="44"/>
      <c r="O588" s="44"/>
      <c r="P588" s="44"/>
      <c r="Q588" s="44"/>
      <c r="R588" s="44"/>
      <c r="S588" s="45"/>
      <c r="T588" s="45"/>
      <c r="U588" s="45"/>
      <c r="V588" s="45"/>
      <c r="W588" s="45"/>
      <c r="X588" s="45"/>
      <c r="Y588" s="45"/>
      <c r="Z588" s="45"/>
      <c r="AA588" s="45"/>
      <c r="AB588" s="45"/>
      <c r="AC588" s="45"/>
    </row>
    <row r="589" spans="1:29" ht="13.15">
      <c r="A589" s="45"/>
      <c r="B589" s="45"/>
      <c r="C589" s="45"/>
      <c r="D589" s="45"/>
      <c r="E589" s="45"/>
      <c r="F589" s="45"/>
      <c r="G589" s="45"/>
      <c r="H589" s="45"/>
      <c r="I589" s="44"/>
      <c r="J589" s="44"/>
      <c r="K589" s="45"/>
      <c r="L589" s="44"/>
      <c r="M589" s="44"/>
      <c r="N589" s="44"/>
      <c r="O589" s="44"/>
      <c r="P589" s="44"/>
      <c r="Q589" s="44"/>
      <c r="R589" s="44"/>
      <c r="S589" s="45"/>
      <c r="T589" s="45"/>
      <c r="U589" s="45"/>
      <c r="V589" s="45"/>
      <c r="W589" s="45"/>
      <c r="X589" s="45"/>
      <c r="Y589" s="45"/>
      <c r="Z589" s="45"/>
      <c r="AA589" s="45"/>
      <c r="AB589" s="45"/>
      <c r="AC589" s="45"/>
    </row>
    <row r="590" spans="1:29" ht="13.15">
      <c r="A590" s="45"/>
      <c r="B590" s="45"/>
      <c r="C590" s="45"/>
      <c r="D590" s="45"/>
      <c r="E590" s="45"/>
      <c r="F590" s="45"/>
      <c r="G590" s="45"/>
      <c r="H590" s="45"/>
      <c r="I590" s="44"/>
      <c r="J590" s="44"/>
      <c r="K590" s="45"/>
      <c r="L590" s="44"/>
      <c r="M590" s="44"/>
      <c r="N590" s="44"/>
      <c r="O590" s="44"/>
      <c r="P590" s="44"/>
      <c r="Q590" s="44"/>
      <c r="R590" s="44"/>
      <c r="S590" s="45"/>
      <c r="T590" s="45"/>
      <c r="U590" s="45"/>
      <c r="V590" s="45"/>
      <c r="W590" s="45"/>
      <c r="X590" s="45"/>
      <c r="Y590" s="45"/>
      <c r="Z590" s="45"/>
      <c r="AA590" s="45"/>
      <c r="AB590" s="45"/>
      <c r="AC590" s="45"/>
    </row>
    <row r="591" spans="1:29" ht="13.15">
      <c r="A591" s="45"/>
      <c r="B591" s="45"/>
      <c r="C591" s="45"/>
      <c r="D591" s="45"/>
      <c r="E591" s="45"/>
      <c r="F591" s="45"/>
      <c r="G591" s="45"/>
      <c r="H591" s="45"/>
      <c r="I591" s="44"/>
      <c r="J591" s="44"/>
      <c r="K591" s="45"/>
      <c r="L591" s="44"/>
      <c r="M591" s="44"/>
      <c r="N591" s="44"/>
      <c r="O591" s="44"/>
      <c r="P591" s="44"/>
      <c r="Q591" s="44"/>
      <c r="R591" s="44"/>
      <c r="S591" s="45"/>
      <c r="T591" s="45"/>
      <c r="U591" s="45"/>
      <c r="V591" s="45"/>
      <c r="W591" s="45"/>
      <c r="X591" s="45"/>
      <c r="Y591" s="45"/>
      <c r="Z591" s="45"/>
      <c r="AA591" s="45"/>
      <c r="AB591" s="45"/>
      <c r="AC591" s="45"/>
    </row>
    <row r="592" spans="1:29" ht="13.15">
      <c r="A592" s="45"/>
      <c r="B592" s="45"/>
      <c r="C592" s="45"/>
      <c r="D592" s="45"/>
      <c r="E592" s="45"/>
      <c r="F592" s="45"/>
      <c r="G592" s="45"/>
      <c r="H592" s="45"/>
      <c r="I592" s="44"/>
      <c r="J592" s="44"/>
      <c r="K592" s="45"/>
      <c r="L592" s="44"/>
      <c r="M592" s="44"/>
      <c r="N592" s="44"/>
      <c r="O592" s="44"/>
      <c r="P592" s="44"/>
      <c r="Q592" s="44"/>
      <c r="R592" s="44"/>
      <c r="S592" s="45"/>
      <c r="T592" s="45"/>
      <c r="U592" s="45"/>
      <c r="V592" s="45"/>
      <c r="W592" s="45"/>
      <c r="X592" s="45"/>
      <c r="Y592" s="45"/>
      <c r="Z592" s="45"/>
      <c r="AA592" s="45"/>
      <c r="AB592" s="45"/>
      <c r="AC592" s="45"/>
    </row>
    <row r="593" spans="1:29" ht="13.15">
      <c r="A593" s="45"/>
      <c r="B593" s="45"/>
      <c r="C593" s="45"/>
      <c r="D593" s="45"/>
      <c r="E593" s="45"/>
      <c r="F593" s="45"/>
      <c r="G593" s="45"/>
      <c r="H593" s="45"/>
      <c r="I593" s="44"/>
      <c r="J593" s="44"/>
      <c r="K593" s="45"/>
      <c r="L593" s="44"/>
      <c r="M593" s="44"/>
      <c r="N593" s="44"/>
      <c r="O593" s="44"/>
      <c r="P593" s="44"/>
      <c r="Q593" s="44"/>
      <c r="R593" s="44"/>
      <c r="S593" s="45"/>
      <c r="T593" s="45"/>
      <c r="U593" s="45"/>
      <c r="V593" s="45"/>
      <c r="W593" s="45"/>
      <c r="X593" s="45"/>
      <c r="Y593" s="45"/>
      <c r="Z593" s="45"/>
      <c r="AA593" s="45"/>
      <c r="AB593" s="45"/>
      <c r="AC593" s="45"/>
    </row>
    <row r="594" spans="1:29" ht="13.15">
      <c r="A594" s="45"/>
      <c r="B594" s="45"/>
      <c r="C594" s="45"/>
      <c r="D594" s="45"/>
      <c r="E594" s="45"/>
      <c r="F594" s="45"/>
      <c r="G594" s="45"/>
      <c r="H594" s="45"/>
      <c r="I594" s="44"/>
      <c r="J594" s="44"/>
      <c r="K594" s="45"/>
      <c r="L594" s="44"/>
      <c r="M594" s="44"/>
      <c r="N594" s="44"/>
      <c r="O594" s="44"/>
      <c r="P594" s="44"/>
      <c r="Q594" s="44"/>
      <c r="R594" s="44"/>
      <c r="S594" s="45"/>
      <c r="T594" s="45"/>
      <c r="U594" s="45"/>
      <c r="V594" s="45"/>
      <c r="W594" s="45"/>
      <c r="X594" s="45"/>
      <c r="Y594" s="45"/>
      <c r="Z594" s="45"/>
      <c r="AA594" s="45"/>
      <c r="AB594" s="45"/>
      <c r="AC594" s="45"/>
    </row>
    <row r="595" spans="1:29" ht="13.15">
      <c r="A595" s="45"/>
      <c r="B595" s="45"/>
      <c r="C595" s="45"/>
      <c r="D595" s="45"/>
      <c r="E595" s="45"/>
      <c r="F595" s="45"/>
      <c r="G595" s="45"/>
      <c r="H595" s="45"/>
      <c r="I595" s="44"/>
      <c r="J595" s="44"/>
      <c r="K595" s="45"/>
      <c r="L595" s="44"/>
      <c r="M595" s="44"/>
      <c r="N595" s="44"/>
      <c r="O595" s="44"/>
      <c r="P595" s="44"/>
      <c r="Q595" s="44"/>
      <c r="R595" s="44"/>
      <c r="S595" s="45"/>
      <c r="T595" s="45"/>
      <c r="U595" s="45"/>
      <c r="V595" s="45"/>
      <c r="W595" s="45"/>
      <c r="X595" s="45"/>
      <c r="Y595" s="45"/>
      <c r="Z595" s="45"/>
      <c r="AA595" s="45"/>
      <c r="AB595" s="45"/>
      <c r="AC595" s="45"/>
    </row>
    <row r="596" spans="1:29" ht="13.15">
      <c r="A596" s="45"/>
      <c r="B596" s="45"/>
      <c r="C596" s="45"/>
      <c r="D596" s="45"/>
      <c r="E596" s="45"/>
      <c r="F596" s="45"/>
      <c r="G596" s="45"/>
      <c r="H596" s="45"/>
      <c r="I596" s="44"/>
      <c r="J596" s="44"/>
      <c r="K596" s="45"/>
      <c r="L596" s="44"/>
      <c r="M596" s="44"/>
      <c r="N596" s="44"/>
      <c r="O596" s="44"/>
      <c r="P596" s="44"/>
      <c r="Q596" s="44"/>
      <c r="R596" s="44"/>
      <c r="S596" s="45"/>
      <c r="T596" s="45"/>
      <c r="U596" s="45"/>
      <c r="V596" s="45"/>
      <c r="W596" s="45"/>
      <c r="X596" s="45"/>
      <c r="Y596" s="45"/>
      <c r="Z596" s="45"/>
      <c r="AA596" s="45"/>
      <c r="AB596" s="45"/>
      <c r="AC596" s="45"/>
    </row>
    <row r="597" spans="1:29" ht="13.15">
      <c r="A597" s="45"/>
      <c r="B597" s="45"/>
      <c r="C597" s="45"/>
      <c r="D597" s="45"/>
      <c r="E597" s="45"/>
      <c r="F597" s="45"/>
      <c r="G597" s="45"/>
      <c r="H597" s="45"/>
      <c r="I597" s="44"/>
      <c r="J597" s="44"/>
      <c r="K597" s="45"/>
      <c r="L597" s="44"/>
      <c r="M597" s="44"/>
      <c r="N597" s="44"/>
      <c r="O597" s="44"/>
      <c r="P597" s="44"/>
      <c r="Q597" s="44"/>
      <c r="R597" s="44"/>
      <c r="S597" s="45"/>
      <c r="T597" s="45"/>
      <c r="U597" s="45"/>
      <c r="V597" s="45"/>
      <c r="W597" s="45"/>
      <c r="X597" s="45"/>
      <c r="Y597" s="45"/>
      <c r="Z597" s="45"/>
      <c r="AA597" s="45"/>
      <c r="AB597" s="45"/>
      <c r="AC597" s="45"/>
    </row>
    <row r="598" spans="1:29" ht="13.15">
      <c r="A598" s="45"/>
      <c r="B598" s="45"/>
      <c r="C598" s="45"/>
      <c r="D598" s="45"/>
      <c r="E598" s="45"/>
      <c r="F598" s="45"/>
      <c r="G598" s="45"/>
      <c r="H598" s="45"/>
      <c r="I598" s="44"/>
      <c r="J598" s="44"/>
      <c r="K598" s="45"/>
      <c r="L598" s="44"/>
      <c r="M598" s="44"/>
      <c r="N598" s="44"/>
      <c r="O598" s="44"/>
      <c r="P598" s="44"/>
      <c r="Q598" s="44"/>
      <c r="R598" s="44"/>
      <c r="S598" s="45"/>
      <c r="T598" s="45"/>
      <c r="U598" s="45"/>
      <c r="V598" s="45"/>
      <c r="W598" s="45"/>
      <c r="X598" s="45"/>
      <c r="Y598" s="45"/>
      <c r="Z598" s="45"/>
      <c r="AA598" s="45"/>
      <c r="AB598" s="45"/>
      <c r="AC598" s="45"/>
    </row>
    <row r="599" spans="1:29" ht="13.15">
      <c r="A599" s="45"/>
      <c r="B599" s="45"/>
      <c r="C599" s="45"/>
      <c r="D599" s="45"/>
      <c r="E599" s="45"/>
      <c r="F599" s="45"/>
      <c r="G599" s="45"/>
      <c r="H599" s="45"/>
      <c r="I599" s="44"/>
      <c r="J599" s="44"/>
      <c r="K599" s="45"/>
      <c r="L599" s="44"/>
      <c r="M599" s="44"/>
      <c r="N599" s="44"/>
      <c r="O599" s="44"/>
      <c r="P599" s="44"/>
      <c r="Q599" s="44"/>
      <c r="R599" s="44"/>
      <c r="S599" s="45"/>
      <c r="T599" s="45"/>
      <c r="U599" s="45"/>
      <c r="V599" s="45"/>
      <c r="W599" s="45"/>
      <c r="X599" s="45"/>
      <c r="Y599" s="45"/>
      <c r="Z599" s="45"/>
      <c r="AA599" s="45"/>
      <c r="AB599" s="45"/>
      <c r="AC599" s="45"/>
    </row>
    <row r="600" spans="1:29" ht="13.15">
      <c r="A600" s="45"/>
      <c r="B600" s="45"/>
      <c r="C600" s="45"/>
      <c r="D600" s="45"/>
      <c r="E600" s="45"/>
      <c r="F600" s="45"/>
      <c r="G600" s="45"/>
      <c r="H600" s="45"/>
      <c r="I600" s="44"/>
      <c r="J600" s="44"/>
      <c r="K600" s="45"/>
      <c r="L600" s="44"/>
      <c r="M600" s="44"/>
      <c r="N600" s="44"/>
      <c r="O600" s="44"/>
      <c r="P600" s="44"/>
      <c r="Q600" s="44"/>
      <c r="R600" s="44"/>
      <c r="S600" s="45"/>
      <c r="T600" s="45"/>
      <c r="U600" s="45"/>
      <c r="V600" s="45"/>
      <c r="W600" s="45"/>
      <c r="X600" s="45"/>
      <c r="Y600" s="45"/>
      <c r="Z600" s="45"/>
      <c r="AA600" s="45"/>
      <c r="AB600" s="45"/>
      <c r="AC600" s="45"/>
    </row>
    <row r="601" spans="1:29" ht="13.15">
      <c r="A601" s="45"/>
      <c r="B601" s="45"/>
      <c r="C601" s="45"/>
      <c r="D601" s="45"/>
      <c r="E601" s="45"/>
      <c r="F601" s="45"/>
      <c r="G601" s="45"/>
      <c r="H601" s="45"/>
      <c r="I601" s="44"/>
      <c r="J601" s="44"/>
      <c r="K601" s="45"/>
      <c r="L601" s="44"/>
      <c r="M601" s="44"/>
      <c r="N601" s="44"/>
      <c r="O601" s="44"/>
      <c r="P601" s="44"/>
      <c r="Q601" s="44"/>
      <c r="R601" s="44"/>
      <c r="S601" s="45"/>
      <c r="T601" s="45"/>
      <c r="U601" s="45"/>
      <c r="V601" s="45"/>
      <c r="W601" s="45"/>
      <c r="X601" s="45"/>
      <c r="Y601" s="45"/>
      <c r="Z601" s="45"/>
      <c r="AA601" s="45"/>
      <c r="AB601" s="45"/>
      <c r="AC601" s="45"/>
    </row>
    <row r="602" spans="1:29" ht="13.15">
      <c r="A602" s="45"/>
      <c r="B602" s="45"/>
      <c r="C602" s="45"/>
      <c r="D602" s="45"/>
      <c r="E602" s="45"/>
      <c r="F602" s="45"/>
      <c r="G602" s="45"/>
      <c r="H602" s="45"/>
      <c r="I602" s="44"/>
      <c r="J602" s="44"/>
      <c r="K602" s="45"/>
      <c r="L602" s="44"/>
      <c r="M602" s="44"/>
      <c r="N602" s="44"/>
      <c r="O602" s="44"/>
      <c r="P602" s="44"/>
      <c r="Q602" s="44"/>
      <c r="R602" s="44"/>
      <c r="S602" s="45"/>
      <c r="T602" s="45"/>
      <c r="U602" s="45"/>
      <c r="V602" s="45"/>
      <c r="W602" s="45"/>
      <c r="X602" s="45"/>
      <c r="Y602" s="45"/>
      <c r="Z602" s="45"/>
      <c r="AA602" s="45"/>
      <c r="AB602" s="45"/>
      <c r="AC602" s="45"/>
    </row>
    <row r="603" spans="1:29" ht="13.15">
      <c r="A603" s="45"/>
      <c r="B603" s="45"/>
      <c r="C603" s="45"/>
      <c r="D603" s="45"/>
      <c r="E603" s="45"/>
      <c r="F603" s="45"/>
      <c r="G603" s="45"/>
      <c r="H603" s="45"/>
      <c r="I603" s="44"/>
      <c r="J603" s="44"/>
      <c r="K603" s="45"/>
      <c r="L603" s="44"/>
      <c r="M603" s="44"/>
      <c r="N603" s="44"/>
      <c r="O603" s="44"/>
      <c r="P603" s="44"/>
      <c r="Q603" s="44"/>
      <c r="R603" s="44"/>
      <c r="S603" s="45"/>
      <c r="T603" s="45"/>
      <c r="U603" s="45"/>
      <c r="V603" s="45"/>
      <c r="W603" s="45"/>
      <c r="X603" s="45"/>
      <c r="Y603" s="45"/>
      <c r="Z603" s="45"/>
      <c r="AA603" s="45"/>
      <c r="AB603" s="45"/>
      <c r="AC603" s="45"/>
    </row>
    <row r="604" spans="1:29" ht="13.15">
      <c r="A604" s="45"/>
      <c r="B604" s="45"/>
      <c r="C604" s="45"/>
      <c r="D604" s="45"/>
      <c r="E604" s="45"/>
      <c r="F604" s="45"/>
      <c r="G604" s="45"/>
      <c r="H604" s="45"/>
      <c r="I604" s="44"/>
      <c r="J604" s="44"/>
      <c r="K604" s="45"/>
      <c r="L604" s="44"/>
      <c r="M604" s="44"/>
      <c r="N604" s="44"/>
      <c r="O604" s="44"/>
      <c r="P604" s="44"/>
      <c r="Q604" s="44"/>
      <c r="R604" s="44"/>
      <c r="S604" s="45"/>
      <c r="T604" s="45"/>
      <c r="U604" s="45"/>
      <c r="V604" s="45"/>
      <c r="W604" s="45"/>
      <c r="X604" s="45"/>
      <c r="Y604" s="45"/>
      <c r="Z604" s="45"/>
      <c r="AA604" s="45"/>
      <c r="AB604" s="45"/>
      <c r="AC604" s="45"/>
    </row>
    <row r="605" spans="1:29" ht="13.15">
      <c r="A605" s="45"/>
      <c r="B605" s="45"/>
      <c r="C605" s="45"/>
      <c r="D605" s="45"/>
      <c r="E605" s="45"/>
      <c r="F605" s="45"/>
      <c r="G605" s="45"/>
      <c r="H605" s="45"/>
      <c r="I605" s="44"/>
      <c r="J605" s="44"/>
      <c r="K605" s="45"/>
      <c r="L605" s="44"/>
      <c r="M605" s="44"/>
      <c r="N605" s="44"/>
      <c r="O605" s="44"/>
      <c r="P605" s="44"/>
      <c r="Q605" s="44"/>
      <c r="R605" s="44"/>
      <c r="S605" s="45"/>
      <c r="T605" s="45"/>
      <c r="U605" s="45"/>
      <c r="V605" s="45"/>
      <c r="W605" s="45"/>
      <c r="X605" s="45"/>
      <c r="Y605" s="45"/>
      <c r="Z605" s="45"/>
      <c r="AA605" s="45"/>
      <c r="AB605" s="45"/>
      <c r="AC605" s="45"/>
    </row>
    <row r="606" spans="1:29" ht="13.15">
      <c r="A606" s="45"/>
      <c r="B606" s="45"/>
      <c r="C606" s="45"/>
      <c r="D606" s="45"/>
      <c r="E606" s="45"/>
      <c r="F606" s="45"/>
      <c r="G606" s="45"/>
      <c r="H606" s="45"/>
      <c r="I606" s="44"/>
      <c r="J606" s="44"/>
      <c r="K606" s="45"/>
      <c r="L606" s="44"/>
      <c r="M606" s="44"/>
      <c r="N606" s="44"/>
      <c r="O606" s="44"/>
      <c r="P606" s="44"/>
      <c r="Q606" s="44"/>
      <c r="R606" s="44"/>
      <c r="S606" s="45"/>
      <c r="T606" s="45"/>
      <c r="U606" s="45"/>
      <c r="V606" s="45"/>
      <c r="W606" s="45"/>
      <c r="X606" s="45"/>
      <c r="Y606" s="45"/>
      <c r="Z606" s="45"/>
      <c r="AA606" s="45"/>
      <c r="AB606" s="45"/>
      <c r="AC606" s="45"/>
    </row>
    <row r="607" spans="1:29" ht="13.15">
      <c r="A607" s="45"/>
      <c r="B607" s="45"/>
      <c r="C607" s="45"/>
      <c r="D607" s="45"/>
      <c r="E607" s="45"/>
      <c r="F607" s="45"/>
      <c r="G607" s="45"/>
      <c r="H607" s="45"/>
      <c r="I607" s="44"/>
      <c r="J607" s="44"/>
      <c r="K607" s="45"/>
      <c r="L607" s="44"/>
      <c r="M607" s="44"/>
      <c r="N607" s="44"/>
      <c r="O607" s="44"/>
      <c r="P607" s="44"/>
      <c r="Q607" s="44"/>
      <c r="R607" s="44"/>
      <c r="S607" s="45"/>
      <c r="T607" s="45"/>
      <c r="U607" s="45"/>
      <c r="V607" s="45"/>
      <c r="W607" s="45"/>
      <c r="X607" s="45"/>
      <c r="Y607" s="45"/>
      <c r="Z607" s="45"/>
      <c r="AA607" s="45"/>
      <c r="AB607" s="45"/>
      <c r="AC607" s="45"/>
    </row>
    <row r="608" spans="1:29" ht="13.15">
      <c r="A608" s="45"/>
      <c r="B608" s="45"/>
      <c r="C608" s="45"/>
      <c r="D608" s="45"/>
      <c r="E608" s="45"/>
      <c r="F608" s="45"/>
      <c r="G608" s="45"/>
      <c r="H608" s="45"/>
      <c r="I608" s="44"/>
      <c r="J608" s="44"/>
      <c r="K608" s="45"/>
      <c r="L608" s="44"/>
      <c r="M608" s="44"/>
      <c r="N608" s="44"/>
      <c r="O608" s="44"/>
      <c r="P608" s="44"/>
      <c r="Q608" s="44"/>
      <c r="R608" s="44"/>
      <c r="S608" s="45"/>
      <c r="T608" s="45"/>
      <c r="U608" s="45"/>
      <c r="V608" s="45"/>
      <c r="W608" s="45"/>
      <c r="X608" s="45"/>
      <c r="Y608" s="45"/>
      <c r="Z608" s="45"/>
      <c r="AA608" s="45"/>
      <c r="AB608" s="45"/>
      <c r="AC608" s="45"/>
    </row>
    <row r="609" spans="1:29" ht="13.15">
      <c r="A609" s="45"/>
      <c r="B609" s="45"/>
      <c r="C609" s="45"/>
      <c r="D609" s="45"/>
      <c r="E609" s="45"/>
      <c r="F609" s="45"/>
      <c r="G609" s="45"/>
      <c r="H609" s="45"/>
      <c r="I609" s="44"/>
      <c r="J609" s="44"/>
      <c r="K609" s="45"/>
      <c r="L609" s="44"/>
      <c r="M609" s="44"/>
      <c r="N609" s="44"/>
      <c r="O609" s="44"/>
      <c r="P609" s="44"/>
      <c r="Q609" s="44"/>
      <c r="R609" s="44"/>
      <c r="S609" s="45"/>
      <c r="T609" s="45"/>
      <c r="U609" s="45"/>
      <c r="V609" s="45"/>
      <c r="W609" s="45"/>
      <c r="X609" s="45"/>
      <c r="Y609" s="45"/>
      <c r="Z609" s="45"/>
      <c r="AA609" s="45"/>
      <c r="AB609" s="45"/>
      <c r="AC609" s="45"/>
    </row>
    <row r="610" spans="1:29" ht="13.15">
      <c r="A610" s="45"/>
      <c r="B610" s="45"/>
      <c r="C610" s="45"/>
      <c r="D610" s="45"/>
      <c r="E610" s="45"/>
      <c r="F610" s="45"/>
      <c r="G610" s="45"/>
      <c r="H610" s="45"/>
      <c r="I610" s="44"/>
      <c r="J610" s="44"/>
      <c r="K610" s="45"/>
      <c r="L610" s="44"/>
      <c r="M610" s="44"/>
      <c r="N610" s="44"/>
      <c r="O610" s="44"/>
      <c r="P610" s="44"/>
      <c r="Q610" s="44"/>
      <c r="R610" s="44"/>
      <c r="S610" s="45"/>
      <c r="T610" s="45"/>
      <c r="U610" s="45"/>
      <c r="V610" s="45"/>
      <c r="W610" s="45"/>
      <c r="X610" s="45"/>
      <c r="Y610" s="45"/>
      <c r="Z610" s="45"/>
      <c r="AA610" s="45"/>
      <c r="AB610" s="45"/>
      <c r="AC610" s="45"/>
    </row>
    <row r="611" spans="1:29" ht="13.15">
      <c r="A611" s="45"/>
      <c r="B611" s="45"/>
      <c r="C611" s="45"/>
      <c r="D611" s="45"/>
      <c r="E611" s="45"/>
      <c r="F611" s="45"/>
      <c r="G611" s="45"/>
      <c r="H611" s="45"/>
      <c r="I611" s="44"/>
      <c r="J611" s="44"/>
      <c r="K611" s="45"/>
      <c r="L611" s="44"/>
      <c r="M611" s="44"/>
      <c r="N611" s="44"/>
      <c r="O611" s="44"/>
      <c r="P611" s="44"/>
      <c r="Q611" s="44"/>
      <c r="R611" s="44"/>
      <c r="S611" s="45"/>
      <c r="T611" s="45"/>
      <c r="U611" s="45"/>
      <c r="V611" s="45"/>
      <c r="W611" s="45"/>
      <c r="X611" s="45"/>
      <c r="Y611" s="45"/>
      <c r="Z611" s="45"/>
      <c r="AA611" s="45"/>
      <c r="AB611" s="45"/>
      <c r="AC611" s="45"/>
    </row>
    <row r="612" spans="1:29" ht="13.15">
      <c r="A612" s="45"/>
      <c r="B612" s="45"/>
      <c r="C612" s="45"/>
      <c r="D612" s="45"/>
      <c r="E612" s="45"/>
      <c r="F612" s="45"/>
      <c r="G612" s="45"/>
      <c r="H612" s="45"/>
      <c r="I612" s="44"/>
      <c r="J612" s="44"/>
      <c r="K612" s="45"/>
      <c r="L612" s="44"/>
      <c r="M612" s="44"/>
      <c r="N612" s="44"/>
      <c r="O612" s="44"/>
      <c r="P612" s="44"/>
      <c r="Q612" s="44"/>
      <c r="R612" s="44"/>
      <c r="S612" s="45"/>
      <c r="T612" s="45"/>
      <c r="U612" s="45"/>
      <c r="V612" s="45"/>
      <c r="W612" s="45"/>
      <c r="X612" s="45"/>
      <c r="Y612" s="45"/>
      <c r="Z612" s="45"/>
      <c r="AA612" s="45"/>
      <c r="AB612" s="45"/>
      <c r="AC612" s="45"/>
    </row>
    <row r="613" spans="1:29" ht="13.15">
      <c r="A613" s="45"/>
      <c r="B613" s="45"/>
      <c r="C613" s="45"/>
      <c r="D613" s="45"/>
      <c r="E613" s="45"/>
      <c r="F613" s="45"/>
      <c r="G613" s="45"/>
      <c r="H613" s="45"/>
      <c r="I613" s="44"/>
      <c r="J613" s="44"/>
      <c r="K613" s="45"/>
      <c r="L613" s="44"/>
      <c r="M613" s="44"/>
      <c r="N613" s="44"/>
      <c r="O613" s="44"/>
      <c r="P613" s="44"/>
      <c r="Q613" s="44"/>
      <c r="R613" s="44"/>
      <c r="S613" s="45"/>
      <c r="T613" s="45"/>
      <c r="U613" s="45"/>
      <c r="V613" s="45"/>
      <c r="W613" s="45"/>
      <c r="X613" s="45"/>
      <c r="Y613" s="45"/>
      <c r="Z613" s="45"/>
      <c r="AA613" s="45"/>
      <c r="AB613" s="45"/>
      <c r="AC613" s="45"/>
    </row>
    <row r="614" spans="1:29" ht="13.15">
      <c r="A614" s="45"/>
      <c r="B614" s="45"/>
      <c r="C614" s="45"/>
      <c r="D614" s="45"/>
      <c r="E614" s="45"/>
      <c r="F614" s="45"/>
      <c r="G614" s="45"/>
      <c r="H614" s="45"/>
      <c r="I614" s="44"/>
      <c r="J614" s="44"/>
      <c r="K614" s="45"/>
      <c r="L614" s="44"/>
      <c r="M614" s="44"/>
      <c r="N614" s="44"/>
      <c r="O614" s="44"/>
      <c r="P614" s="44"/>
      <c r="Q614" s="44"/>
      <c r="R614" s="44"/>
      <c r="S614" s="45"/>
      <c r="T614" s="45"/>
      <c r="U614" s="45"/>
      <c r="V614" s="45"/>
      <c r="W614" s="45"/>
      <c r="X614" s="45"/>
      <c r="Y614" s="45"/>
      <c r="Z614" s="45"/>
      <c r="AA614" s="45"/>
      <c r="AB614" s="45"/>
      <c r="AC614" s="45"/>
    </row>
    <row r="615" spans="1:29" ht="13.15">
      <c r="A615" s="45"/>
      <c r="B615" s="45"/>
      <c r="C615" s="45"/>
      <c r="D615" s="45"/>
      <c r="E615" s="45"/>
      <c r="F615" s="45"/>
      <c r="G615" s="45"/>
      <c r="H615" s="45"/>
      <c r="I615" s="44"/>
      <c r="J615" s="44"/>
      <c r="K615" s="45"/>
      <c r="L615" s="44"/>
      <c r="M615" s="44"/>
      <c r="N615" s="44"/>
      <c r="O615" s="44"/>
      <c r="P615" s="44"/>
      <c r="Q615" s="44"/>
      <c r="R615" s="44"/>
      <c r="S615" s="45"/>
      <c r="T615" s="45"/>
      <c r="U615" s="45"/>
      <c r="V615" s="45"/>
      <c r="W615" s="45"/>
      <c r="X615" s="45"/>
      <c r="Y615" s="45"/>
      <c r="Z615" s="45"/>
      <c r="AA615" s="45"/>
      <c r="AB615" s="45"/>
      <c r="AC615" s="45"/>
    </row>
    <row r="616" spans="1:29" ht="13.15">
      <c r="A616" s="45"/>
      <c r="B616" s="45"/>
      <c r="C616" s="45"/>
      <c r="D616" s="45"/>
      <c r="E616" s="45"/>
      <c r="F616" s="45"/>
      <c r="G616" s="45"/>
      <c r="H616" s="45"/>
      <c r="I616" s="44"/>
      <c r="J616" s="44"/>
      <c r="K616" s="45"/>
      <c r="L616" s="44"/>
      <c r="M616" s="44"/>
      <c r="N616" s="44"/>
      <c r="O616" s="44"/>
      <c r="P616" s="44"/>
      <c r="Q616" s="44"/>
      <c r="R616" s="44"/>
      <c r="S616" s="45"/>
      <c r="T616" s="45"/>
      <c r="U616" s="45"/>
      <c r="V616" s="45"/>
      <c r="W616" s="45"/>
      <c r="X616" s="45"/>
      <c r="Y616" s="45"/>
      <c r="Z616" s="45"/>
      <c r="AA616" s="45"/>
      <c r="AB616" s="45"/>
      <c r="AC616" s="45"/>
    </row>
    <row r="617" spans="1:29" ht="13.15">
      <c r="A617" s="45"/>
      <c r="B617" s="45"/>
      <c r="C617" s="45"/>
      <c r="D617" s="45"/>
      <c r="E617" s="45"/>
      <c r="F617" s="45"/>
      <c r="G617" s="45"/>
      <c r="H617" s="45"/>
      <c r="I617" s="44"/>
      <c r="J617" s="44"/>
      <c r="K617" s="45"/>
      <c r="L617" s="44"/>
      <c r="M617" s="44"/>
      <c r="N617" s="44"/>
      <c r="O617" s="44"/>
      <c r="P617" s="44"/>
      <c r="Q617" s="44"/>
      <c r="R617" s="44"/>
      <c r="S617" s="45"/>
      <c r="T617" s="45"/>
      <c r="U617" s="45"/>
      <c r="V617" s="45"/>
      <c r="W617" s="45"/>
      <c r="X617" s="45"/>
      <c r="Y617" s="45"/>
      <c r="Z617" s="45"/>
      <c r="AA617" s="45"/>
      <c r="AB617" s="45"/>
      <c r="AC617" s="45"/>
    </row>
    <row r="618" spans="1:29" ht="13.15">
      <c r="A618" s="45"/>
      <c r="B618" s="45"/>
      <c r="C618" s="45"/>
      <c r="D618" s="45"/>
      <c r="E618" s="45"/>
      <c r="F618" s="45"/>
      <c r="G618" s="45"/>
      <c r="H618" s="45"/>
      <c r="I618" s="44"/>
      <c r="J618" s="44"/>
      <c r="K618" s="45"/>
      <c r="L618" s="44"/>
      <c r="M618" s="44"/>
      <c r="N618" s="44"/>
      <c r="O618" s="44"/>
      <c r="P618" s="44"/>
      <c r="Q618" s="44"/>
      <c r="R618" s="44"/>
      <c r="S618" s="45"/>
      <c r="T618" s="45"/>
      <c r="U618" s="45"/>
      <c r="V618" s="45"/>
      <c r="W618" s="45"/>
      <c r="X618" s="45"/>
      <c r="Y618" s="45"/>
      <c r="Z618" s="45"/>
      <c r="AA618" s="45"/>
      <c r="AB618" s="45"/>
      <c r="AC618" s="45"/>
    </row>
    <row r="619" spans="1:29" ht="13.15">
      <c r="A619" s="45"/>
      <c r="B619" s="45"/>
      <c r="C619" s="45"/>
      <c r="D619" s="45"/>
      <c r="E619" s="45"/>
      <c r="F619" s="45"/>
      <c r="G619" s="45"/>
      <c r="H619" s="45"/>
      <c r="I619" s="44"/>
      <c r="J619" s="44"/>
      <c r="K619" s="45"/>
      <c r="L619" s="44"/>
      <c r="M619" s="44"/>
      <c r="N619" s="44"/>
      <c r="O619" s="44"/>
      <c r="P619" s="44"/>
      <c r="Q619" s="44"/>
      <c r="R619" s="44"/>
      <c r="S619" s="45"/>
      <c r="T619" s="45"/>
      <c r="U619" s="45"/>
      <c r="V619" s="45"/>
      <c r="W619" s="45"/>
      <c r="X619" s="45"/>
      <c r="Y619" s="45"/>
      <c r="Z619" s="45"/>
      <c r="AA619" s="45"/>
      <c r="AB619" s="45"/>
      <c r="AC619" s="45"/>
    </row>
    <row r="620" spans="1:29" ht="13.15">
      <c r="A620" s="45"/>
      <c r="B620" s="45"/>
      <c r="C620" s="45"/>
      <c r="D620" s="45"/>
      <c r="E620" s="45"/>
      <c r="F620" s="45"/>
      <c r="G620" s="45"/>
      <c r="H620" s="45"/>
      <c r="I620" s="44"/>
      <c r="J620" s="44"/>
      <c r="K620" s="45"/>
      <c r="L620" s="44"/>
      <c r="M620" s="44"/>
      <c r="N620" s="44"/>
      <c r="O620" s="44"/>
      <c r="P620" s="44"/>
      <c r="Q620" s="44"/>
      <c r="R620" s="44"/>
      <c r="S620" s="45"/>
      <c r="T620" s="45"/>
      <c r="U620" s="45"/>
      <c r="V620" s="45"/>
      <c r="W620" s="45"/>
      <c r="X620" s="45"/>
      <c r="Y620" s="45"/>
      <c r="Z620" s="45"/>
      <c r="AA620" s="45"/>
      <c r="AB620" s="45"/>
      <c r="AC620" s="45"/>
    </row>
    <row r="621" spans="1:29" ht="13.15">
      <c r="A621" s="45"/>
      <c r="B621" s="45"/>
      <c r="C621" s="45"/>
      <c r="D621" s="45"/>
      <c r="E621" s="45"/>
      <c r="F621" s="45"/>
      <c r="G621" s="45"/>
      <c r="H621" s="45"/>
      <c r="I621" s="44"/>
      <c r="J621" s="44"/>
      <c r="K621" s="45"/>
      <c r="L621" s="44"/>
      <c r="M621" s="44"/>
      <c r="N621" s="44"/>
      <c r="O621" s="44"/>
      <c r="P621" s="44"/>
      <c r="Q621" s="44"/>
      <c r="R621" s="44"/>
      <c r="S621" s="45"/>
      <c r="T621" s="45"/>
      <c r="U621" s="45"/>
      <c r="V621" s="45"/>
      <c r="W621" s="45"/>
      <c r="X621" s="45"/>
      <c r="Y621" s="45"/>
      <c r="Z621" s="45"/>
      <c r="AA621" s="45"/>
      <c r="AB621" s="45"/>
      <c r="AC621" s="45"/>
    </row>
    <row r="622" spans="1:29" ht="13.15">
      <c r="A622" s="45"/>
      <c r="B622" s="45"/>
      <c r="C622" s="45"/>
      <c r="D622" s="45"/>
      <c r="E622" s="45"/>
      <c r="F622" s="45"/>
      <c r="G622" s="45"/>
      <c r="H622" s="45"/>
      <c r="I622" s="44"/>
      <c r="J622" s="44"/>
      <c r="K622" s="45"/>
      <c r="L622" s="44"/>
      <c r="M622" s="44"/>
      <c r="N622" s="44"/>
      <c r="O622" s="44"/>
      <c r="P622" s="44"/>
      <c r="Q622" s="44"/>
      <c r="R622" s="44"/>
      <c r="S622" s="45"/>
      <c r="T622" s="45"/>
      <c r="U622" s="45"/>
      <c r="V622" s="45"/>
      <c r="W622" s="45"/>
      <c r="X622" s="45"/>
      <c r="Y622" s="45"/>
      <c r="Z622" s="45"/>
      <c r="AA622" s="45"/>
      <c r="AB622" s="45"/>
      <c r="AC622" s="45"/>
    </row>
    <row r="623" spans="1:29" ht="13.15">
      <c r="A623" s="45"/>
      <c r="B623" s="45"/>
      <c r="C623" s="45"/>
      <c r="D623" s="45"/>
      <c r="E623" s="45"/>
      <c r="F623" s="45"/>
      <c r="G623" s="45"/>
      <c r="H623" s="45"/>
      <c r="I623" s="44"/>
      <c r="J623" s="44"/>
      <c r="K623" s="45"/>
      <c r="L623" s="44"/>
      <c r="M623" s="44"/>
      <c r="N623" s="44"/>
      <c r="O623" s="44"/>
      <c r="P623" s="44"/>
      <c r="Q623" s="44"/>
      <c r="R623" s="44"/>
      <c r="S623" s="45"/>
      <c r="T623" s="45"/>
      <c r="U623" s="45"/>
      <c r="V623" s="45"/>
      <c r="W623" s="45"/>
      <c r="X623" s="45"/>
      <c r="Y623" s="45"/>
      <c r="Z623" s="45"/>
      <c r="AA623" s="45"/>
      <c r="AB623" s="45"/>
      <c r="AC623" s="45"/>
    </row>
    <row r="624" spans="1:29" ht="13.15">
      <c r="A624" s="45"/>
      <c r="B624" s="45"/>
      <c r="C624" s="45"/>
      <c r="D624" s="45"/>
      <c r="E624" s="45"/>
      <c r="F624" s="45"/>
      <c r="G624" s="45"/>
      <c r="H624" s="45"/>
      <c r="I624" s="44"/>
      <c r="J624" s="44"/>
      <c r="K624" s="45"/>
      <c r="L624" s="44"/>
      <c r="M624" s="44"/>
      <c r="N624" s="44"/>
      <c r="O624" s="44"/>
      <c r="P624" s="44"/>
      <c r="Q624" s="44"/>
      <c r="R624" s="44"/>
      <c r="S624" s="45"/>
      <c r="T624" s="45"/>
      <c r="U624" s="45"/>
      <c r="V624" s="45"/>
      <c r="W624" s="45"/>
      <c r="X624" s="45"/>
      <c r="Y624" s="45"/>
      <c r="Z624" s="45"/>
      <c r="AA624" s="45"/>
      <c r="AB624" s="45"/>
      <c r="AC624" s="45"/>
    </row>
    <row r="625" spans="1:29" ht="13.15">
      <c r="A625" s="45"/>
      <c r="B625" s="45"/>
      <c r="C625" s="45"/>
      <c r="D625" s="45"/>
      <c r="E625" s="45"/>
      <c r="F625" s="45"/>
      <c r="G625" s="45"/>
      <c r="H625" s="45"/>
      <c r="I625" s="44"/>
      <c r="J625" s="44"/>
      <c r="K625" s="45"/>
      <c r="L625" s="44"/>
      <c r="M625" s="44"/>
      <c r="N625" s="44"/>
      <c r="O625" s="44"/>
      <c r="P625" s="44"/>
      <c r="Q625" s="44"/>
      <c r="R625" s="44"/>
      <c r="S625" s="45"/>
      <c r="T625" s="45"/>
      <c r="U625" s="45"/>
      <c r="V625" s="45"/>
      <c r="W625" s="45"/>
      <c r="X625" s="45"/>
      <c r="Y625" s="45"/>
      <c r="Z625" s="45"/>
      <c r="AA625" s="45"/>
      <c r="AB625" s="45"/>
      <c r="AC625" s="45"/>
    </row>
    <row r="626" spans="1:29" ht="13.15">
      <c r="A626" s="45"/>
      <c r="B626" s="45"/>
      <c r="C626" s="45"/>
      <c r="D626" s="45"/>
      <c r="E626" s="45"/>
      <c r="F626" s="45"/>
      <c r="G626" s="45"/>
      <c r="H626" s="45"/>
      <c r="I626" s="44"/>
      <c r="J626" s="44"/>
      <c r="K626" s="45"/>
      <c r="L626" s="44"/>
      <c r="M626" s="44"/>
      <c r="N626" s="44"/>
      <c r="O626" s="44"/>
      <c r="P626" s="44"/>
      <c r="Q626" s="44"/>
      <c r="R626" s="44"/>
      <c r="S626" s="45"/>
      <c r="T626" s="45"/>
      <c r="U626" s="45"/>
      <c r="V626" s="45"/>
      <c r="W626" s="45"/>
      <c r="X626" s="45"/>
      <c r="Y626" s="45"/>
      <c r="Z626" s="45"/>
      <c r="AA626" s="45"/>
      <c r="AB626" s="45"/>
      <c r="AC626" s="45"/>
    </row>
    <row r="627" spans="1:29" ht="13.15">
      <c r="A627" s="45"/>
      <c r="B627" s="45"/>
      <c r="C627" s="45"/>
      <c r="D627" s="45"/>
      <c r="E627" s="45"/>
      <c r="F627" s="45"/>
      <c r="G627" s="45"/>
      <c r="H627" s="45"/>
      <c r="I627" s="44"/>
      <c r="J627" s="44"/>
      <c r="K627" s="45"/>
      <c r="L627" s="44"/>
      <c r="M627" s="44"/>
      <c r="N627" s="44"/>
      <c r="O627" s="44"/>
      <c r="P627" s="44"/>
      <c r="Q627" s="44"/>
      <c r="R627" s="44"/>
      <c r="S627" s="45"/>
      <c r="T627" s="45"/>
      <c r="U627" s="45"/>
      <c r="V627" s="45"/>
      <c r="W627" s="45"/>
      <c r="X627" s="45"/>
      <c r="Y627" s="45"/>
      <c r="Z627" s="45"/>
      <c r="AA627" s="45"/>
      <c r="AB627" s="45"/>
      <c r="AC627" s="45"/>
    </row>
    <row r="628" spans="1:29" ht="13.15">
      <c r="A628" s="45"/>
      <c r="B628" s="45"/>
      <c r="C628" s="45"/>
      <c r="D628" s="45"/>
      <c r="E628" s="45"/>
      <c r="F628" s="45"/>
      <c r="G628" s="45"/>
      <c r="H628" s="45"/>
      <c r="I628" s="44"/>
      <c r="J628" s="44"/>
      <c r="K628" s="45"/>
      <c r="L628" s="44"/>
      <c r="M628" s="44"/>
      <c r="N628" s="44"/>
      <c r="O628" s="44"/>
      <c r="P628" s="44"/>
      <c r="Q628" s="44"/>
      <c r="R628" s="44"/>
      <c r="S628" s="45"/>
      <c r="T628" s="45"/>
      <c r="U628" s="45"/>
      <c r="V628" s="45"/>
      <c r="W628" s="45"/>
      <c r="X628" s="45"/>
      <c r="Y628" s="45"/>
      <c r="Z628" s="45"/>
      <c r="AA628" s="45"/>
      <c r="AB628" s="45"/>
      <c r="AC628" s="45"/>
    </row>
    <row r="629" spans="1:29" ht="13.15">
      <c r="A629" s="45"/>
      <c r="B629" s="45"/>
      <c r="C629" s="45"/>
      <c r="D629" s="45"/>
      <c r="E629" s="45"/>
      <c r="F629" s="45"/>
      <c r="G629" s="45"/>
      <c r="H629" s="45"/>
      <c r="I629" s="44"/>
      <c r="J629" s="44"/>
      <c r="K629" s="45"/>
      <c r="L629" s="44"/>
      <c r="M629" s="44"/>
      <c r="N629" s="44"/>
      <c r="O629" s="44"/>
      <c r="P629" s="44"/>
      <c r="Q629" s="44"/>
      <c r="R629" s="44"/>
      <c r="S629" s="45"/>
      <c r="T629" s="45"/>
      <c r="U629" s="45"/>
      <c r="V629" s="45"/>
      <c r="W629" s="45"/>
      <c r="X629" s="45"/>
      <c r="Y629" s="45"/>
      <c r="Z629" s="45"/>
      <c r="AA629" s="45"/>
      <c r="AB629" s="45"/>
      <c r="AC629" s="45"/>
    </row>
    <row r="630" spans="1:29" ht="13.15">
      <c r="A630" s="45"/>
      <c r="B630" s="45"/>
      <c r="C630" s="45"/>
      <c r="D630" s="45"/>
      <c r="E630" s="45"/>
      <c r="F630" s="45"/>
      <c r="G630" s="45"/>
      <c r="H630" s="45"/>
      <c r="I630" s="44"/>
      <c r="J630" s="44"/>
      <c r="K630" s="45"/>
      <c r="L630" s="44"/>
      <c r="M630" s="44"/>
      <c r="N630" s="44"/>
      <c r="O630" s="44"/>
      <c r="P630" s="44"/>
      <c r="Q630" s="44"/>
      <c r="R630" s="44"/>
      <c r="S630" s="45"/>
      <c r="T630" s="45"/>
      <c r="U630" s="45"/>
      <c r="V630" s="45"/>
      <c r="W630" s="45"/>
      <c r="X630" s="45"/>
      <c r="Y630" s="45"/>
      <c r="Z630" s="45"/>
      <c r="AA630" s="45"/>
      <c r="AB630" s="45"/>
      <c r="AC630" s="45"/>
    </row>
    <row r="631" spans="1:29" ht="13.15">
      <c r="A631" s="45"/>
      <c r="B631" s="45"/>
      <c r="C631" s="45"/>
      <c r="D631" s="45"/>
      <c r="E631" s="45"/>
      <c r="F631" s="45"/>
      <c r="G631" s="45"/>
      <c r="H631" s="45"/>
      <c r="I631" s="44"/>
      <c r="J631" s="44"/>
      <c r="K631" s="45"/>
      <c r="L631" s="44"/>
      <c r="M631" s="44"/>
      <c r="N631" s="44"/>
      <c r="O631" s="44"/>
      <c r="P631" s="44"/>
      <c r="Q631" s="44"/>
      <c r="R631" s="44"/>
      <c r="S631" s="45"/>
      <c r="T631" s="45"/>
      <c r="U631" s="45"/>
      <c r="V631" s="45"/>
      <c r="W631" s="45"/>
      <c r="X631" s="45"/>
      <c r="Y631" s="45"/>
      <c r="Z631" s="45"/>
      <c r="AA631" s="45"/>
      <c r="AB631" s="45"/>
      <c r="AC631" s="45"/>
    </row>
    <row r="632" spans="1:29" ht="13.15">
      <c r="A632" s="45"/>
      <c r="B632" s="45"/>
      <c r="C632" s="45"/>
      <c r="D632" s="45"/>
      <c r="E632" s="45"/>
      <c r="F632" s="45"/>
      <c r="G632" s="45"/>
      <c r="H632" s="45"/>
      <c r="I632" s="44"/>
      <c r="J632" s="44"/>
      <c r="K632" s="45"/>
      <c r="L632" s="44"/>
      <c r="M632" s="44"/>
      <c r="N632" s="44"/>
      <c r="O632" s="44"/>
      <c r="P632" s="44"/>
      <c r="Q632" s="44"/>
      <c r="R632" s="44"/>
      <c r="S632" s="45"/>
      <c r="T632" s="45"/>
      <c r="U632" s="45"/>
      <c r="V632" s="45"/>
      <c r="W632" s="45"/>
      <c r="X632" s="45"/>
      <c r="Y632" s="45"/>
      <c r="Z632" s="45"/>
      <c r="AA632" s="45"/>
      <c r="AB632" s="45"/>
      <c r="AC632" s="45"/>
    </row>
    <row r="633" spans="1:29" ht="13.15">
      <c r="A633" s="45"/>
      <c r="B633" s="45"/>
      <c r="C633" s="45"/>
      <c r="D633" s="45"/>
      <c r="E633" s="45"/>
      <c r="F633" s="45"/>
      <c r="G633" s="45"/>
      <c r="H633" s="45"/>
      <c r="I633" s="44"/>
      <c r="J633" s="44"/>
      <c r="K633" s="45"/>
      <c r="L633" s="44"/>
      <c r="M633" s="44"/>
      <c r="N633" s="44"/>
      <c r="O633" s="44"/>
      <c r="P633" s="44"/>
      <c r="Q633" s="44"/>
      <c r="R633" s="44"/>
      <c r="S633" s="45"/>
      <c r="T633" s="45"/>
      <c r="U633" s="45"/>
      <c r="V633" s="45"/>
      <c r="W633" s="45"/>
      <c r="X633" s="45"/>
      <c r="Y633" s="45"/>
      <c r="Z633" s="45"/>
      <c r="AA633" s="45"/>
      <c r="AB633" s="45"/>
      <c r="AC633" s="45"/>
    </row>
    <row r="634" spans="1:29" ht="13.15">
      <c r="A634" s="45"/>
      <c r="B634" s="45"/>
      <c r="C634" s="45"/>
      <c r="D634" s="45"/>
      <c r="E634" s="45"/>
      <c r="F634" s="45"/>
      <c r="G634" s="45"/>
      <c r="H634" s="45"/>
      <c r="I634" s="44"/>
      <c r="J634" s="44"/>
      <c r="K634" s="45"/>
      <c r="L634" s="44"/>
      <c r="M634" s="44"/>
      <c r="N634" s="44"/>
      <c r="O634" s="44"/>
      <c r="P634" s="44"/>
      <c r="Q634" s="44"/>
      <c r="R634" s="44"/>
      <c r="S634" s="45"/>
      <c r="T634" s="45"/>
      <c r="U634" s="45"/>
      <c r="V634" s="45"/>
      <c r="W634" s="45"/>
      <c r="X634" s="45"/>
      <c r="Y634" s="45"/>
      <c r="Z634" s="45"/>
      <c r="AA634" s="45"/>
      <c r="AB634" s="45"/>
      <c r="AC634" s="45"/>
    </row>
    <row r="635" spans="1:29" ht="13.15">
      <c r="A635" s="45"/>
      <c r="B635" s="45"/>
      <c r="C635" s="45"/>
      <c r="D635" s="45"/>
      <c r="E635" s="45"/>
      <c r="F635" s="45"/>
      <c r="G635" s="45"/>
      <c r="H635" s="45"/>
      <c r="I635" s="44"/>
      <c r="J635" s="44"/>
      <c r="K635" s="45"/>
      <c r="L635" s="44"/>
      <c r="M635" s="44"/>
      <c r="N635" s="44"/>
      <c r="O635" s="44"/>
      <c r="P635" s="44"/>
      <c r="Q635" s="44"/>
      <c r="R635" s="44"/>
      <c r="S635" s="45"/>
      <c r="T635" s="45"/>
      <c r="U635" s="45"/>
      <c r="V635" s="45"/>
      <c r="W635" s="45"/>
      <c r="X635" s="45"/>
      <c r="Y635" s="45"/>
      <c r="Z635" s="45"/>
      <c r="AA635" s="45"/>
      <c r="AB635" s="45"/>
      <c r="AC635" s="45"/>
    </row>
    <row r="636" spans="1:29" ht="13.15">
      <c r="A636" s="45"/>
      <c r="B636" s="45"/>
      <c r="C636" s="45"/>
      <c r="D636" s="45"/>
      <c r="E636" s="45"/>
      <c r="F636" s="45"/>
      <c r="G636" s="45"/>
      <c r="H636" s="45"/>
      <c r="I636" s="44"/>
      <c r="J636" s="44"/>
      <c r="K636" s="45"/>
      <c r="L636" s="44"/>
      <c r="M636" s="44"/>
      <c r="N636" s="44"/>
      <c r="O636" s="44"/>
      <c r="P636" s="44"/>
      <c r="Q636" s="44"/>
      <c r="R636" s="44"/>
      <c r="S636" s="45"/>
      <c r="T636" s="45"/>
      <c r="U636" s="45"/>
      <c r="V636" s="45"/>
      <c r="W636" s="45"/>
      <c r="X636" s="45"/>
      <c r="Y636" s="45"/>
      <c r="Z636" s="45"/>
      <c r="AA636" s="45"/>
      <c r="AB636" s="45"/>
      <c r="AC636" s="45"/>
    </row>
    <row r="637" spans="1:29" ht="13.15">
      <c r="A637" s="45"/>
      <c r="B637" s="45"/>
      <c r="C637" s="45"/>
      <c r="D637" s="45"/>
      <c r="E637" s="45"/>
      <c r="F637" s="45"/>
      <c r="G637" s="45"/>
      <c r="H637" s="45"/>
      <c r="I637" s="44"/>
      <c r="J637" s="44"/>
      <c r="K637" s="45"/>
      <c r="L637" s="44"/>
      <c r="M637" s="44"/>
      <c r="N637" s="44"/>
      <c r="O637" s="44"/>
      <c r="P637" s="44"/>
      <c r="Q637" s="44"/>
      <c r="R637" s="44"/>
      <c r="S637" s="45"/>
      <c r="T637" s="45"/>
      <c r="U637" s="45"/>
      <c r="V637" s="45"/>
      <c r="W637" s="45"/>
      <c r="X637" s="45"/>
      <c r="Y637" s="45"/>
      <c r="Z637" s="45"/>
      <c r="AA637" s="45"/>
      <c r="AB637" s="45"/>
      <c r="AC637" s="45"/>
    </row>
    <row r="638" spans="1:29" ht="13.15">
      <c r="A638" s="45"/>
      <c r="B638" s="45"/>
      <c r="C638" s="45"/>
      <c r="D638" s="45"/>
      <c r="E638" s="45"/>
      <c r="F638" s="45"/>
      <c r="G638" s="45"/>
      <c r="H638" s="45"/>
      <c r="I638" s="44"/>
      <c r="J638" s="44"/>
      <c r="K638" s="45"/>
      <c r="L638" s="44"/>
      <c r="M638" s="44"/>
      <c r="N638" s="44"/>
      <c r="O638" s="44"/>
      <c r="P638" s="44"/>
      <c r="Q638" s="44"/>
      <c r="R638" s="44"/>
      <c r="S638" s="45"/>
      <c r="T638" s="45"/>
      <c r="U638" s="45"/>
      <c r="V638" s="45"/>
      <c r="W638" s="45"/>
      <c r="X638" s="45"/>
      <c r="Y638" s="45"/>
      <c r="Z638" s="45"/>
      <c r="AA638" s="45"/>
      <c r="AB638" s="45"/>
      <c r="AC638" s="45"/>
    </row>
    <row r="639" spans="1:29" ht="13.15">
      <c r="A639" s="45"/>
      <c r="B639" s="45"/>
      <c r="C639" s="45"/>
      <c r="D639" s="45"/>
      <c r="E639" s="45"/>
      <c r="F639" s="45"/>
      <c r="G639" s="45"/>
      <c r="H639" s="45"/>
      <c r="I639" s="44"/>
      <c r="J639" s="44"/>
      <c r="K639" s="45"/>
      <c r="L639" s="44"/>
      <c r="M639" s="44"/>
      <c r="N639" s="44"/>
      <c r="O639" s="44"/>
      <c r="P639" s="44"/>
      <c r="Q639" s="44"/>
      <c r="R639" s="44"/>
      <c r="S639" s="45"/>
      <c r="T639" s="45"/>
      <c r="U639" s="45"/>
      <c r="V639" s="45"/>
      <c r="W639" s="45"/>
      <c r="X639" s="45"/>
      <c r="Y639" s="45"/>
      <c r="Z639" s="45"/>
      <c r="AA639" s="45"/>
      <c r="AB639" s="45"/>
      <c r="AC639" s="45"/>
    </row>
    <row r="640" spans="1:29" ht="13.15">
      <c r="A640" s="45"/>
      <c r="B640" s="45"/>
      <c r="C640" s="45"/>
      <c r="D640" s="45"/>
      <c r="E640" s="45"/>
      <c r="F640" s="45"/>
      <c r="G640" s="45"/>
      <c r="H640" s="45"/>
      <c r="I640" s="44"/>
      <c r="J640" s="44"/>
      <c r="K640" s="45"/>
      <c r="L640" s="44"/>
      <c r="M640" s="44"/>
      <c r="N640" s="44"/>
      <c r="O640" s="44"/>
      <c r="P640" s="44"/>
      <c r="Q640" s="44"/>
      <c r="R640" s="44"/>
      <c r="S640" s="45"/>
      <c r="T640" s="45"/>
      <c r="U640" s="45"/>
      <c r="V640" s="45"/>
      <c r="W640" s="45"/>
      <c r="X640" s="45"/>
      <c r="Y640" s="45"/>
      <c r="Z640" s="45"/>
      <c r="AA640" s="45"/>
      <c r="AB640" s="45"/>
      <c r="AC640" s="45"/>
    </row>
    <row r="641" spans="1:29" ht="13.15">
      <c r="A641" s="45"/>
      <c r="B641" s="45"/>
      <c r="C641" s="45"/>
      <c r="D641" s="45"/>
      <c r="E641" s="45"/>
      <c r="F641" s="45"/>
      <c r="G641" s="45"/>
      <c r="H641" s="45"/>
      <c r="I641" s="44"/>
      <c r="J641" s="44"/>
      <c r="K641" s="45"/>
      <c r="L641" s="44"/>
      <c r="M641" s="44"/>
      <c r="N641" s="44"/>
      <c r="O641" s="44"/>
      <c r="P641" s="44"/>
      <c r="Q641" s="44"/>
      <c r="R641" s="44"/>
      <c r="S641" s="45"/>
      <c r="T641" s="45"/>
      <c r="U641" s="45"/>
      <c r="V641" s="45"/>
      <c r="W641" s="45"/>
      <c r="X641" s="45"/>
      <c r="Y641" s="45"/>
      <c r="Z641" s="45"/>
      <c r="AA641" s="45"/>
      <c r="AB641" s="45"/>
      <c r="AC641" s="45"/>
    </row>
    <row r="642" spans="1:29" ht="13.15">
      <c r="A642" s="45"/>
      <c r="B642" s="45"/>
      <c r="C642" s="45"/>
      <c r="D642" s="45"/>
      <c r="E642" s="45"/>
      <c r="F642" s="45"/>
      <c r="G642" s="45"/>
      <c r="H642" s="45"/>
      <c r="I642" s="44"/>
      <c r="J642" s="44"/>
      <c r="K642" s="45"/>
      <c r="L642" s="44"/>
      <c r="M642" s="44"/>
      <c r="N642" s="44"/>
      <c r="O642" s="44"/>
      <c r="P642" s="44"/>
      <c r="Q642" s="44"/>
      <c r="R642" s="44"/>
      <c r="S642" s="45"/>
      <c r="T642" s="45"/>
      <c r="U642" s="45"/>
      <c r="V642" s="45"/>
      <c r="W642" s="45"/>
      <c r="X642" s="45"/>
      <c r="Y642" s="45"/>
      <c r="Z642" s="45"/>
      <c r="AA642" s="45"/>
      <c r="AB642" s="45"/>
      <c r="AC642" s="45"/>
    </row>
    <row r="643" spans="1:29" ht="13.15">
      <c r="A643" s="45"/>
      <c r="B643" s="45"/>
      <c r="C643" s="45"/>
      <c r="D643" s="45"/>
      <c r="E643" s="45"/>
      <c r="F643" s="45"/>
      <c r="G643" s="45"/>
      <c r="H643" s="45"/>
      <c r="I643" s="44"/>
      <c r="J643" s="44"/>
      <c r="K643" s="45"/>
      <c r="L643" s="44"/>
      <c r="M643" s="44"/>
      <c r="N643" s="44"/>
      <c r="O643" s="44"/>
      <c r="P643" s="44"/>
      <c r="Q643" s="44"/>
      <c r="R643" s="44"/>
      <c r="S643" s="45"/>
      <c r="T643" s="45"/>
      <c r="U643" s="45"/>
      <c r="V643" s="45"/>
      <c r="W643" s="45"/>
      <c r="X643" s="45"/>
      <c r="Y643" s="45"/>
      <c r="Z643" s="45"/>
      <c r="AA643" s="45"/>
      <c r="AB643" s="45"/>
      <c r="AC643" s="45"/>
    </row>
    <row r="644" spans="1:29" ht="13.15">
      <c r="A644" s="45"/>
      <c r="B644" s="45"/>
      <c r="C644" s="45"/>
      <c r="D644" s="45"/>
      <c r="E644" s="45"/>
      <c r="F644" s="45"/>
      <c r="G644" s="45"/>
      <c r="H644" s="45"/>
      <c r="I644" s="44"/>
      <c r="J644" s="44"/>
      <c r="K644" s="45"/>
      <c r="L644" s="44"/>
      <c r="M644" s="44"/>
      <c r="N644" s="44"/>
      <c r="O644" s="44"/>
      <c r="P644" s="44"/>
      <c r="Q644" s="44"/>
      <c r="R644" s="44"/>
      <c r="S644" s="45"/>
      <c r="T644" s="45"/>
      <c r="U644" s="45"/>
      <c r="V644" s="45"/>
      <c r="W644" s="45"/>
      <c r="X644" s="45"/>
      <c r="Y644" s="45"/>
      <c r="Z644" s="45"/>
      <c r="AA644" s="45"/>
      <c r="AB644" s="45"/>
      <c r="AC644" s="45"/>
    </row>
    <row r="645" spans="1:29" ht="13.15">
      <c r="A645" s="45"/>
      <c r="B645" s="45"/>
      <c r="C645" s="45"/>
      <c r="D645" s="45"/>
      <c r="E645" s="45"/>
      <c r="F645" s="45"/>
      <c r="G645" s="45"/>
      <c r="H645" s="45"/>
      <c r="I645" s="44"/>
      <c r="J645" s="44"/>
      <c r="K645" s="45"/>
      <c r="L645" s="44"/>
      <c r="M645" s="44"/>
      <c r="N645" s="44"/>
      <c r="O645" s="44"/>
      <c r="P645" s="44"/>
      <c r="Q645" s="44"/>
      <c r="R645" s="44"/>
      <c r="S645" s="45"/>
      <c r="T645" s="45"/>
      <c r="U645" s="45"/>
      <c r="V645" s="45"/>
      <c r="W645" s="45"/>
      <c r="X645" s="45"/>
      <c r="Y645" s="45"/>
      <c r="Z645" s="45"/>
      <c r="AA645" s="45"/>
      <c r="AB645" s="45"/>
      <c r="AC645" s="45"/>
    </row>
    <row r="646" spans="1:29" ht="13.15">
      <c r="A646" s="45"/>
      <c r="B646" s="45"/>
      <c r="C646" s="45"/>
      <c r="D646" s="45"/>
      <c r="E646" s="45"/>
      <c r="F646" s="45"/>
      <c r="G646" s="45"/>
      <c r="H646" s="45"/>
      <c r="I646" s="44"/>
      <c r="J646" s="44"/>
      <c r="K646" s="45"/>
      <c r="L646" s="44"/>
      <c r="M646" s="44"/>
      <c r="N646" s="44"/>
      <c r="O646" s="44"/>
      <c r="P646" s="44"/>
      <c r="Q646" s="44"/>
      <c r="R646" s="44"/>
      <c r="S646" s="45"/>
      <c r="T646" s="45"/>
      <c r="U646" s="45"/>
      <c r="V646" s="45"/>
      <c r="W646" s="45"/>
      <c r="X646" s="45"/>
      <c r="Y646" s="45"/>
      <c r="Z646" s="45"/>
      <c r="AA646" s="45"/>
      <c r="AB646" s="45"/>
      <c r="AC646" s="45"/>
    </row>
    <row r="647" spans="1:29" ht="13.15">
      <c r="A647" s="45"/>
      <c r="B647" s="45"/>
      <c r="C647" s="45"/>
      <c r="D647" s="45"/>
      <c r="E647" s="45"/>
      <c r="F647" s="45"/>
      <c r="G647" s="45"/>
      <c r="H647" s="45"/>
      <c r="I647" s="44"/>
      <c r="J647" s="44"/>
      <c r="K647" s="45"/>
      <c r="L647" s="44"/>
      <c r="M647" s="44"/>
      <c r="N647" s="44"/>
      <c r="O647" s="44"/>
      <c r="P647" s="44"/>
      <c r="Q647" s="44"/>
      <c r="R647" s="44"/>
      <c r="S647" s="45"/>
      <c r="T647" s="45"/>
      <c r="U647" s="45"/>
      <c r="V647" s="45"/>
      <c r="W647" s="45"/>
      <c r="X647" s="45"/>
      <c r="Y647" s="45"/>
      <c r="Z647" s="45"/>
      <c r="AA647" s="45"/>
      <c r="AB647" s="45"/>
      <c r="AC647" s="45"/>
    </row>
    <row r="648" spans="1:29" ht="13.15">
      <c r="A648" s="45"/>
      <c r="B648" s="45"/>
      <c r="C648" s="45"/>
      <c r="D648" s="45"/>
      <c r="E648" s="45"/>
      <c r="F648" s="45"/>
      <c r="G648" s="45"/>
      <c r="H648" s="45"/>
      <c r="I648" s="44"/>
      <c r="J648" s="44"/>
      <c r="K648" s="45"/>
      <c r="L648" s="44"/>
      <c r="M648" s="44"/>
      <c r="N648" s="44"/>
      <c r="O648" s="44"/>
      <c r="P648" s="44"/>
      <c r="Q648" s="44"/>
      <c r="R648" s="44"/>
      <c r="S648" s="45"/>
      <c r="T648" s="45"/>
      <c r="U648" s="45"/>
      <c r="V648" s="45"/>
      <c r="W648" s="45"/>
      <c r="X648" s="45"/>
      <c r="Y648" s="45"/>
      <c r="Z648" s="45"/>
      <c r="AA648" s="45"/>
      <c r="AB648" s="45"/>
      <c r="AC648" s="45"/>
    </row>
    <row r="649" spans="1:29" ht="13.15">
      <c r="A649" s="45"/>
      <c r="B649" s="45"/>
      <c r="C649" s="45"/>
      <c r="D649" s="45"/>
      <c r="E649" s="45"/>
      <c r="F649" s="45"/>
      <c r="G649" s="45"/>
      <c r="H649" s="45"/>
      <c r="I649" s="44"/>
      <c r="J649" s="44"/>
      <c r="K649" s="45"/>
      <c r="L649" s="44"/>
      <c r="M649" s="44"/>
      <c r="N649" s="44"/>
      <c r="O649" s="44"/>
      <c r="P649" s="44"/>
      <c r="Q649" s="44"/>
      <c r="R649" s="44"/>
      <c r="S649" s="45"/>
      <c r="T649" s="45"/>
      <c r="U649" s="45"/>
      <c r="V649" s="45"/>
      <c r="W649" s="45"/>
      <c r="X649" s="45"/>
      <c r="Y649" s="45"/>
      <c r="Z649" s="45"/>
      <c r="AA649" s="45"/>
      <c r="AB649" s="45"/>
      <c r="AC649" s="45"/>
    </row>
    <row r="650" spans="1:29" ht="13.15">
      <c r="A650" s="45"/>
      <c r="B650" s="45"/>
      <c r="C650" s="45"/>
      <c r="D650" s="45"/>
      <c r="E650" s="45"/>
      <c r="F650" s="45"/>
      <c r="G650" s="45"/>
      <c r="H650" s="45"/>
      <c r="I650" s="44"/>
      <c r="J650" s="44"/>
      <c r="K650" s="45"/>
      <c r="L650" s="44"/>
      <c r="M650" s="44"/>
      <c r="N650" s="44"/>
      <c r="O650" s="44"/>
      <c r="P650" s="44"/>
      <c r="Q650" s="44"/>
      <c r="R650" s="44"/>
      <c r="S650" s="45"/>
      <c r="T650" s="45"/>
      <c r="U650" s="45"/>
      <c r="V650" s="45"/>
      <c r="W650" s="45"/>
      <c r="X650" s="45"/>
      <c r="Y650" s="45"/>
      <c r="Z650" s="45"/>
      <c r="AA650" s="45"/>
      <c r="AB650" s="45"/>
      <c r="AC650" s="45"/>
    </row>
    <row r="651" spans="1:29" ht="13.15">
      <c r="A651" s="45"/>
      <c r="B651" s="45"/>
      <c r="C651" s="45"/>
      <c r="D651" s="45"/>
      <c r="E651" s="45"/>
      <c r="F651" s="45"/>
      <c r="G651" s="45"/>
      <c r="H651" s="45"/>
      <c r="I651" s="44"/>
      <c r="J651" s="44"/>
      <c r="K651" s="45"/>
      <c r="L651" s="44"/>
      <c r="M651" s="44"/>
      <c r="N651" s="44"/>
      <c r="O651" s="44"/>
      <c r="P651" s="44"/>
      <c r="Q651" s="44"/>
      <c r="R651" s="44"/>
      <c r="S651" s="45"/>
      <c r="T651" s="45"/>
      <c r="U651" s="45"/>
      <c r="V651" s="45"/>
      <c r="W651" s="45"/>
      <c r="X651" s="45"/>
      <c r="Y651" s="45"/>
      <c r="Z651" s="45"/>
      <c r="AA651" s="45"/>
      <c r="AB651" s="45"/>
      <c r="AC651" s="45"/>
    </row>
    <row r="652" spans="1:29" ht="13.15">
      <c r="A652" s="45"/>
      <c r="B652" s="45"/>
      <c r="C652" s="45"/>
      <c r="D652" s="45"/>
      <c r="E652" s="45"/>
      <c r="F652" s="45"/>
      <c r="G652" s="45"/>
      <c r="H652" s="45"/>
      <c r="I652" s="44"/>
      <c r="J652" s="44"/>
      <c r="K652" s="45"/>
      <c r="L652" s="44"/>
      <c r="M652" s="44"/>
      <c r="N652" s="44"/>
      <c r="O652" s="44"/>
      <c r="P652" s="44"/>
      <c r="Q652" s="44"/>
      <c r="R652" s="44"/>
      <c r="S652" s="45"/>
      <c r="T652" s="45"/>
      <c r="U652" s="45"/>
      <c r="V652" s="45"/>
      <c r="W652" s="45"/>
      <c r="X652" s="45"/>
      <c r="Y652" s="45"/>
      <c r="Z652" s="45"/>
      <c r="AA652" s="45"/>
      <c r="AB652" s="45"/>
      <c r="AC652" s="45"/>
    </row>
    <row r="653" spans="1:29" ht="13.15">
      <c r="A653" s="45"/>
      <c r="B653" s="45"/>
      <c r="C653" s="45"/>
      <c r="D653" s="45"/>
      <c r="E653" s="45"/>
      <c r="F653" s="45"/>
      <c r="G653" s="45"/>
      <c r="H653" s="45"/>
      <c r="I653" s="44"/>
      <c r="J653" s="44"/>
      <c r="K653" s="45"/>
      <c r="L653" s="44"/>
      <c r="M653" s="44"/>
      <c r="N653" s="44"/>
      <c r="O653" s="44"/>
      <c r="P653" s="44"/>
      <c r="Q653" s="44"/>
      <c r="R653" s="44"/>
      <c r="S653" s="45"/>
      <c r="T653" s="45"/>
      <c r="U653" s="45"/>
      <c r="V653" s="45"/>
      <c r="W653" s="45"/>
      <c r="X653" s="45"/>
      <c r="Y653" s="45"/>
      <c r="Z653" s="45"/>
      <c r="AA653" s="45"/>
      <c r="AB653" s="45"/>
      <c r="AC653" s="45"/>
    </row>
    <row r="654" spans="1:29" ht="13.15">
      <c r="A654" s="45"/>
      <c r="B654" s="45"/>
      <c r="C654" s="45"/>
      <c r="D654" s="45"/>
      <c r="E654" s="45"/>
      <c r="F654" s="45"/>
      <c r="G654" s="45"/>
      <c r="H654" s="45"/>
      <c r="I654" s="44"/>
      <c r="J654" s="44"/>
      <c r="K654" s="45"/>
      <c r="L654" s="44"/>
      <c r="M654" s="44"/>
      <c r="N654" s="44"/>
      <c r="O654" s="44"/>
      <c r="P654" s="44"/>
      <c r="Q654" s="44"/>
      <c r="R654" s="44"/>
      <c r="S654" s="45"/>
      <c r="T654" s="45"/>
      <c r="U654" s="45"/>
      <c r="V654" s="45"/>
      <c r="W654" s="45"/>
      <c r="X654" s="45"/>
      <c r="Y654" s="45"/>
      <c r="Z654" s="45"/>
      <c r="AA654" s="45"/>
      <c r="AB654" s="45"/>
      <c r="AC654" s="45"/>
    </row>
    <row r="655" spans="1:29" ht="13.15">
      <c r="A655" s="45"/>
      <c r="B655" s="45"/>
      <c r="C655" s="45"/>
      <c r="D655" s="45"/>
      <c r="E655" s="45"/>
      <c r="F655" s="45"/>
      <c r="G655" s="45"/>
      <c r="H655" s="45"/>
      <c r="I655" s="44"/>
      <c r="J655" s="44"/>
      <c r="K655" s="45"/>
      <c r="L655" s="44"/>
      <c r="M655" s="44"/>
      <c r="N655" s="44"/>
      <c r="O655" s="44"/>
      <c r="P655" s="44"/>
      <c r="Q655" s="44"/>
      <c r="R655" s="44"/>
      <c r="S655" s="45"/>
      <c r="T655" s="45"/>
      <c r="U655" s="45"/>
      <c r="V655" s="45"/>
      <c r="W655" s="45"/>
      <c r="X655" s="45"/>
      <c r="Y655" s="45"/>
      <c r="Z655" s="45"/>
      <c r="AA655" s="45"/>
      <c r="AB655" s="45"/>
      <c r="AC655" s="45"/>
    </row>
    <row r="656" spans="1:29" ht="13.15">
      <c r="A656" s="45"/>
      <c r="B656" s="45"/>
      <c r="C656" s="45"/>
      <c r="D656" s="45"/>
      <c r="E656" s="45"/>
      <c r="F656" s="45"/>
      <c r="G656" s="45"/>
      <c r="H656" s="45"/>
      <c r="I656" s="44"/>
      <c r="J656" s="44"/>
      <c r="K656" s="45"/>
      <c r="L656" s="44"/>
      <c r="M656" s="44"/>
      <c r="N656" s="44"/>
      <c r="O656" s="44"/>
      <c r="P656" s="44"/>
      <c r="Q656" s="44"/>
      <c r="R656" s="44"/>
      <c r="S656" s="45"/>
      <c r="T656" s="45"/>
      <c r="U656" s="45"/>
      <c r="V656" s="45"/>
      <c r="W656" s="45"/>
      <c r="X656" s="45"/>
      <c r="Y656" s="45"/>
      <c r="Z656" s="45"/>
      <c r="AA656" s="45"/>
      <c r="AB656" s="45"/>
      <c r="AC656" s="45"/>
    </row>
    <row r="657" spans="1:29" ht="13.15">
      <c r="A657" s="45"/>
      <c r="B657" s="45"/>
      <c r="C657" s="45"/>
      <c r="D657" s="45"/>
      <c r="E657" s="45"/>
      <c r="F657" s="45"/>
      <c r="G657" s="45"/>
      <c r="H657" s="45"/>
      <c r="I657" s="44"/>
      <c r="J657" s="44"/>
      <c r="K657" s="45"/>
      <c r="L657" s="44"/>
      <c r="M657" s="44"/>
      <c r="N657" s="44"/>
      <c r="O657" s="44"/>
      <c r="P657" s="44"/>
      <c r="Q657" s="44"/>
      <c r="R657" s="44"/>
      <c r="S657" s="45"/>
      <c r="T657" s="45"/>
      <c r="U657" s="45"/>
      <c r="V657" s="45"/>
      <c r="W657" s="45"/>
      <c r="X657" s="45"/>
      <c r="Y657" s="45"/>
      <c r="Z657" s="45"/>
      <c r="AA657" s="45"/>
      <c r="AB657" s="45"/>
      <c r="AC657" s="45"/>
    </row>
    <row r="658" spans="1:29" ht="13.15">
      <c r="A658" s="45"/>
      <c r="B658" s="45"/>
      <c r="C658" s="45"/>
      <c r="D658" s="45"/>
      <c r="E658" s="45"/>
      <c r="F658" s="45"/>
      <c r="G658" s="45"/>
      <c r="H658" s="45"/>
      <c r="I658" s="44"/>
      <c r="J658" s="44"/>
      <c r="K658" s="45"/>
      <c r="L658" s="44"/>
      <c r="M658" s="44"/>
      <c r="N658" s="44"/>
      <c r="O658" s="44"/>
      <c r="P658" s="44"/>
      <c r="Q658" s="44"/>
      <c r="R658" s="44"/>
      <c r="S658" s="45"/>
      <c r="T658" s="45"/>
      <c r="U658" s="45"/>
      <c r="V658" s="45"/>
      <c r="W658" s="45"/>
      <c r="X658" s="45"/>
      <c r="Y658" s="45"/>
      <c r="Z658" s="45"/>
      <c r="AA658" s="45"/>
      <c r="AB658" s="45"/>
      <c r="AC658" s="45"/>
    </row>
    <row r="659" spans="1:29" ht="13.15">
      <c r="A659" s="45"/>
      <c r="B659" s="45"/>
      <c r="C659" s="45"/>
      <c r="D659" s="45"/>
      <c r="E659" s="45"/>
      <c r="F659" s="45"/>
      <c r="G659" s="45"/>
      <c r="H659" s="45"/>
      <c r="I659" s="44"/>
      <c r="J659" s="44"/>
      <c r="K659" s="45"/>
      <c r="L659" s="44"/>
      <c r="M659" s="44"/>
      <c r="N659" s="44"/>
      <c r="O659" s="44"/>
      <c r="P659" s="44"/>
      <c r="Q659" s="44"/>
      <c r="R659" s="44"/>
      <c r="S659" s="45"/>
      <c r="T659" s="45"/>
      <c r="U659" s="45"/>
      <c r="V659" s="45"/>
      <c r="W659" s="45"/>
      <c r="X659" s="45"/>
      <c r="Y659" s="45"/>
      <c r="Z659" s="45"/>
      <c r="AA659" s="45"/>
      <c r="AB659" s="45"/>
      <c r="AC659" s="45"/>
    </row>
    <row r="660" spans="1:29" ht="13.15">
      <c r="A660" s="45"/>
      <c r="B660" s="45"/>
      <c r="C660" s="45"/>
      <c r="D660" s="45"/>
      <c r="E660" s="45"/>
      <c r="F660" s="45"/>
      <c r="G660" s="45"/>
      <c r="H660" s="45"/>
      <c r="I660" s="44"/>
      <c r="J660" s="44"/>
      <c r="K660" s="45"/>
      <c r="L660" s="44"/>
      <c r="M660" s="44"/>
      <c r="N660" s="44"/>
      <c r="O660" s="44"/>
      <c r="P660" s="44"/>
      <c r="Q660" s="44"/>
      <c r="R660" s="44"/>
      <c r="S660" s="45"/>
      <c r="T660" s="45"/>
      <c r="U660" s="45"/>
      <c r="V660" s="45"/>
      <c r="W660" s="45"/>
      <c r="X660" s="45"/>
      <c r="Y660" s="45"/>
      <c r="Z660" s="45"/>
      <c r="AA660" s="45"/>
      <c r="AB660" s="45"/>
      <c r="AC660" s="45"/>
    </row>
    <row r="661" spans="1:29" ht="13.15">
      <c r="A661" s="45"/>
      <c r="B661" s="45"/>
      <c r="C661" s="45"/>
      <c r="D661" s="45"/>
      <c r="E661" s="45"/>
      <c r="F661" s="45"/>
      <c r="G661" s="45"/>
      <c r="H661" s="45"/>
      <c r="I661" s="44"/>
      <c r="J661" s="44"/>
      <c r="K661" s="45"/>
      <c r="L661" s="44"/>
      <c r="M661" s="44"/>
      <c r="N661" s="44"/>
      <c r="O661" s="44"/>
      <c r="P661" s="44"/>
      <c r="Q661" s="44"/>
      <c r="R661" s="44"/>
      <c r="S661" s="45"/>
      <c r="T661" s="45"/>
      <c r="U661" s="45"/>
      <c r="V661" s="45"/>
      <c r="W661" s="45"/>
      <c r="X661" s="45"/>
      <c r="Y661" s="45"/>
      <c r="Z661" s="45"/>
      <c r="AA661" s="45"/>
      <c r="AB661" s="45"/>
      <c r="AC661" s="45"/>
    </row>
    <row r="662" spans="1:29" ht="13.15">
      <c r="A662" s="45"/>
      <c r="B662" s="45"/>
      <c r="C662" s="45"/>
      <c r="D662" s="45"/>
      <c r="E662" s="45"/>
      <c r="F662" s="45"/>
      <c r="G662" s="45"/>
      <c r="H662" s="45"/>
      <c r="I662" s="44"/>
      <c r="J662" s="44"/>
      <c r="K662" s="45"/>
      <c r="L662" s="44"/>
      <c r="M662" s="44"/>
      <c r="N662" s="44"/>
      <c r="O662" s="44"/>
      <c r="P662" s="44"/>
      <c r="Q662" s="44"/>
      <c r="R662" s="44"/>
      <c r="S662" s="45"/>
      <c r="T662" s="45"/>
      <c r="U662" s="45"/>
      <c r="V662" s="45"/>
      <c r="W662" s="45"/>
      <c r="X662" s="45"/>
      <c r="Y662" s="45"/>
      <c r="Z662" s="45"/>
      <c r="AA662" s="45"/>
      <c r="AB662" s="45"/>
      <c r="AC662" s="45"/>
    </row>
    <row r="663" spans="1:29" ht="13.15">
      <c r="A663" s="45"/>
      <c r="B663" s="45"/>
      <c r="C663" s="45"/>
      <c r="D663" s="45"/>
      <c r="E663" s="45"/>
      <c r="F663" s="45"/>
      <c r="G663" s="45"/>
      <c r="H663" s="45"/>
      <c r="I663" s="44"/>
      <c r="J663" s="44"/>
      <c r="K663" s="45"/>
      <c r="L663" s="44"/>
      <c r="M663" s="44"/>
      <c r="N663" s="44"/>
      <c r="O663" s="44"/>
      <c r="P663" s="44"/>
      <c r="Q663" s="44"/>
      <c r="R663" s="44"/>
      <c r="S663" s="45"/>
      <c r="T663" s="45"/>
      <c r="U663" s="45"/>
      <c r="V663" s="45"/>
      <c r="W663" s="45"/>
      <c r="X663" s="45"/>
      <c r="Y663" s="45"/>
      <c r="Z663" s="45"/>
      <c r="AA663" s="45"/>
      <c r="AB663" s="45"/>
      <c r="AC663" s="45"/>
    </row>
    <row r="664" spans="1:29" ht="13.15">
      <c r="A664" s="45"/>
      <c r="B664" s="45"/>
      <c r="C664" s="45"/>
      <c r="D664" s="45"/>
      <c r="E664" s="45"/>
      <c r="F664" s="45"/>
      <c r="G664" s="45"/>
      <c r="H664" s="45"/>
      <c r="I664" s="44"/>
      <c r="J664" s="44"/>
      <c r="K664" s="45"/>
      <c r="L664" s="44"/>
      <c r="M664" s="44"/>
      <c r="N664" s="44"/>
      <c r="O664" s="44"/>
      <c r="P664" s="44"/>
      <c r="Q664" s="44"/>
      <c r="R664" s="44"/>
      <c r="S664" s="45"/>
      <c r="T664" s="45"/>
      <c r="U664" s="45"/>
      <c r="V664" s="45"/>
      <c r="W664" s="45"/>
      <c r="X664" s="45"/>
      <c r="Y664" s="45"/>
      <c r="Z664" s="45"/>
      <c r="AA664" s="45"/>
      <c r="AB664" s="45"/>
      <c r="AC664" s="45"/>
    </row>
    <row r="665" spans="1:29" ht="13.15">
      <c r="A665" s="45"/>
      <c r="B665" s="45"/>
      <c r="C665" s="45"/>
      <c r="D665" s="45"/>
      <c r="E665" s="45"/>
      <c r="F665" s="45"/>
      <c r="G665" s="45"/>
      <c r="H665" s="45"/>
      <c r="I665" s="44"/>
      <c r="J665" s="44"/>
      <c r="K665" s="45"/>
      <c r="L665" s="44"/>
      <c r="M665" s="44"/>
      <c r="N665" s="44"/>
      <c r="O665" s="44"/>
      <c r="P665" s="44"/>
      <c r="Q665" s="44"/>
      <c r="R665" s="44"/>
      <c r="S665" s="45"/>
      <c r="T665" s="45"/>
      <c r="U665" s="45"/>
      <c r="V665" s="45"/>
      <c r="W665" s="45"/>
      <c r="X665" s="45"/>
      <c r="Y665" s="45"/>
      <c r="Z665" s="45"/>
      <c r="AA665" s="45"/>
      <c r="AB665" s="45"/>
      <c r="AC665" s="45"/>
    </row>
    <row r="666" spans="1:29" ht="13.15">
      <c r="A666" s="45"/>
      <c r="B666" s="45"/>
      <c r="C666" s="45"/>
      <c r="D666" s="45"/>
      <c r="E666" s="45"/>
      <c r="F666" s="45"/>
      <c r="G666" s="45"/>
      <c r="H666" s="45"/>
      <c r="I666" s="44"/>
      <c r="J666" s="44"/>
      <c r="K666" s="45"/>
      <c r="L666" s="44"/>
      <c r="M666" s="44"/>
      <c r="N666" s="44"/>
      <c r="O666" s="44"/>
      <c r="P666" s="44"/>
      <c r="Q666" s="44"/>
      <c r="R666" s="44"/>
      <c r="S666" s="45"/>
      <c r="T666" s="45"/>
      <c r="U666" s="45"/>
      <c r="V666" s="45"/>
      <c r="W666" s="45"/>
      <c r="X666" s="45"/>
      <c r="Y666" s="45"/>
      <c r="Z666" s="45"/>
      <c r="AA666" s="45"/>
      <c r="AB666" s="45"/>
      <c r="AC666" s="45"/>
    </row>
    <row r="667" spans="1:29" ht="13.15">
      <c r="A667" s="45"/>
      <c r="B667" s="45"/>
      <c r="C667" s="45"/>
      <c r="D667" s="45"/>
      <c r="E667" s="45"/>
      <c r="F667" s="45"/>
      <c r="G667" s="45"/>
      <c r="H667" s="45"/>
      <c r="I667" s="44"/>
      <c r="J667" s="44"/>
      <c r="K667" s="45"/>
      <c r="L667" s="44"/>
      <c r="M667" s="44"/>
      <c r="N667" s="44"/>
      <c r="O667" s="44"/>
      <c r="P667" s="44"/>
      <c r="Q667" s="44"/>
      <c r="R667" s="44"/>
      <c r="S667" s="45"/>
      <c r="T667" s="45"/>
      <c r="U667" s="45"/>
      <c r="V667" s="45"/>
      <c r="W667" s="45"/>
      <c r="X667" s="45"/>
      <c r="Y667" s="45"/>
      <c r="Z667" s="45"/>
      <c r="AA667" s="45"/>
      <c r="AB667" s="45"/>
      <c r="AC667" s="45"/>
    </row>
    <row r="668" spans="1:29" ht="13.15">
      <c r="A668" s="45"/>
      <c r="B668" s="45"/>
      <c r="C668" s="45"/>
      <c r="D668" s="45"/>
      <c r="E668" s="45"/>
      <c r="F668" s="45"/>
      <c r="G668" s="45"/>
      <c r="H668" s="45"/>
      <c r="I668" s="44"/>
      <c r="J668" s="44"/>
      <c r="K668" s="45"/>
      <c r="L668" s="44"/>
      <c r="M668" s="44"/>
      <c r="N668" s="44"/>
      <c r="O668" s="44"/>
      <c r="P668" s="44"/>
      <c r="Q668" s="44"/>
      <c r="R668" s="44"/>
      <c r="S668" s="45"/>
      <c r="T668" s="45"/>
      <c r="U668" s="45"/>
      <c r="V668" s="45"/>
      <c r="W668" s="45"/>
      <c r="X668" s="45"/>
      <c r="Y668" s="45"/>
      <c r="Z668" s="45"/>
      <c r="AA668" s="45"/>
      <c r="AB668" s="45"/>
      <c r="AC668" s="45"/>
    </row>
    <row r="669" spans="1:29" ht="13.15">
      <c r="A669" s="45"/>
      <c r="B669" s="45"/>
      <c r="C669" s="45"/>
      <c r="D669" s="45"/>
      <c r="E669" s="45"/>
      <c r="F669" s="45"/>
      <c r="G669" s="45"/>
      <c r="H669" s="45"/>
      <c r="I669" s="44"/>
      <c r="J669" s="44"/>
      <c r="K669" s="45"/>
      <c r="L669" s="44"/>
      <c r="M669" s="44"/>
      <c r="N669" s="44"/>
      <c r="O669" s="44"/>
      <c r="P669" s="44"/>
      <c r="Q669" s="44"/>
      <c r="R669" s="44"/>
      <c r="S669" s="45"/>
      <c r="T669" s="45"/>
      <c r="U669" s="45"/>
      <c r="V669" s="45"/>
      <c r="W669" s="45"/>
      <c r="X669" s="45"/>
      <c r="Y669" s="45"/>
      <c r="Z669" s="45"/>
      <c r="AA669" s="45"/>
      <c r="AB669" s="45"/>
      <c r="AC669" s="45"/>
    </row>
    <row r="670" spans="1:29" ht="13.15">
      <c r="A670" s="45"/>
      <c r="B670" s="45"/>
      <c r="C670" s="45"/>
      <c r="D670" s="45"/>
      <c r="E670" s="45"/>
      <c r="F670" s="45"/>
      <c r="G670" s="45"/>
      <c r="H670" s="45"/>
      <c r="I670" s="44"/>
      <c r="J670" s="44"/>
      <c r="K670" s="45"/>
      <c r="L670" s="44"/>
      <c r="M670" s="44"/>
      <c r="N670" s="44"/>
      <c r="O670" s="44"/>
      <c r="P670" s="44"/>
      <c r="Q670" s="44"/>
      <c r="R670" s="44"/>
      <c r="S670" s="45"/>
      <c r="T670" s="45"/>
      <c r="U670" s="45"/>
      <c r="V670" s="45"/>
      <c r="W670" s="45"/>
      <c r="X670" s="45"/>
      <c r="Y670" s="45"/>
      <c r="Z670" s="45"/>
      <c r="AA670" s="45"/>
      <c r="AB670" s="45"/>
      <c r="AC670" s="45"/>
    </row>
    <row r="671" spans="1:29" ht="13.15">
      <c r="A671" s="45"/>
      <c r="B671" s="45"/>
      <c r="C671" s="45"/>
      <c r="D671" s="45"/>
      <c r="E671" s="45"/>
      <c r="F671" s="45"/>
      <c r="G671" s="45"/>
      <c r="H671" s="45"/>
      <c r="I671" s="44"/>
      <c r="J671" s="44"/>
      <c r="K671" s="45"/>
      <c r="L671" s="44"/>
      <c r="M671" s="44"/>
      <c r="N671" s="44"/>
      <c r="O671" s="44"/>
      <c r="P671" s="44"/>
      <c r="Q671" s="44"/>
      <c r="R671" s="44"/>
      <c r="S671" s="45"/>
      <c r="T671" s="45"/>
      <c r="U671" s="45"/>
      <c r="V671" s="45"/>
      <c r="W671" s="45"/>
      <c r="X671" s="45"/>
      <c r="Y671" s="45"/>
      <c r="Z671" s="45"/>
      <c r="AA671" s="45"/>
      <c r="AB671" s="45"/>
      <c r="AC671" s="45"/>
    </row>
    <row r="672" spans="1:29" ht="13.15">
      <c r="A672" s="45"/>
      <c r="B672" s="45"/>
      <c r="C672" s="45"/>
      <c r="D672" s="45"/>
      <c r="E672" s="45"/>
      <c r="F672" s="45"/>
      <c r="G672" s="45"/>
      <c r="H672" s="45"/>
      <c r="I672" s="44"/>
      <c r="J672" s="44"/>
      <c r="K672" s="45"/>
      <c r="L672" s="44"/>
      <c r="M672" s="44"/>
      <c r="N672" s="44"/>
      <c r="O672" s="44"/>
      <c r="P672" s="44"/>
      <c r="Q672" s="44"/>
      <c r="R672" s="44"/>
      <c r="S672" s="45"/>
      <c r="T672" s="45"/>
      <c r="U672" s="45"/>
      <c r="V672" s="45"/>
      <c r="W672" s="45"/>
      <c r="X672" s="45"/>
      <c r="Y672" s="45"/>
      <c r="Z672" s="45"/>
      <c r="AA672" s="45"/>
      <c r="AB672" s="45"/>
      <c r="AC672" s="45"/>
    </row>
    <row r="673" spans="1:29" ht="13.15">
      <c r="A673" s="45"/>
      <c r="B673" s="45"/>
      <c r="C673" s="45"/>
      <c r="D673" s="45"/>
      <c r="E673" s="45"/>
      <c r="F673" s="45"/>
      <c r="G673" s="45"/>
      <c r="H673" s="45"/>
      <c r="I673" s="44"/>
      <c r="J673" s="44"/>
      <c r="K673" s="45"/>
      <c r="L673" s="44"/>
      <c r="M673" s="44"/>
      <c r="N673" s="44"/>
      <c r="O673" s="44"/>
      <c r="P673" s="44"/>
      <c r="Q673" s="44"/>
      <c r="R673" s="44"/>
      <c r="S673" s="45"/>
      <c r="T673" s="45"/>
      <c r="U673" s="45"/>
      <c r="V673" s="45"/>
      <c r="W673" s="45"/>
      <c r="X673" s="45"/>
      <c r="Y673" s="45"/>
      <c r="Z673" s="45"/>
      <c r="AA673" s="45"/>
      <c r="AB673" s="45"/>
      <c r="AC673" s="45"/>
    </row>
    <row r="674" spans="1:29" ht="13.15">
      <c r="A674" s="45"/>
      <c r="B674" s="45"/>
      <c r="C674" s="45"/>
      <c r="D674" s="45"/>
      <c r="E674" s="45"/>
      <c r="F674" s="45"/>
      <c r="G674" s="45"/>
      <c r="H674" s="45"/>
      <c r="I674" s="44"/>
      <c r="J674" s="44"/>
      <c r="K674" s="45"/>
      <c r="L674" s="44"/>
      <c r="M674" s="44"/>
      <c r="N674" s="44"/>
      <c r="O674" s="44"/>
      <c r="P674" s="44"/>
      <c r="Q674" s="44"/>
      <c r="R674" s="44"/>
      <c r="S674" s="45"/>
      <c r="T674" s="45"/>
      <c r="U674" s="45"/>
      <c r="V674" s="45"/>
      <c r="W674" s="45"/>
      <c r="X674" s="45"/>
      <c r="Y674" s="45"/>
      <c r="Z674" s="45"/>
      <c r="AA674" s="45"/>
      <c r="AB674" s="45"/>
      <c r="AC674" s="45"/>
    </row>
    <row r="675" spans="1:29" ht="13.15">
      <c r="A675" s="45"/>
      <c r="B675" s="45"/>
      <c r="C675" s="45"/>
      <c r="D675" s="45"/>
      <c r="E675" s="45"/>
      <c r="F675" s="45"/>
      <c r="G675" s="45"/>
      <c r="H675" s="45"/>
      <c r="I675" s="44"/>
      <c r="J675" s="44"/>
      <c r="K675" s="45"/>
      <c r="L675" s="44"/>
      <c r="M675" s="44"/>
      <c r="N675" s="44"/>
      <c r="O675" s="44"/>
      <c r="P675" s="44"/>
      <c r="Q675" s="44"/>
      <c r="R675" s="44"/>
      <c r="S675" s="45"/>
      <c r="T675" s="45"/>
      <c r="U675" s="45"/>
      <c r="V675" s="45"/>
      <c r="W675" s="45"/>
      <c r="X675" s="45"/>
      <c r="Y675" s="45"/>
      <c r="Z675" s="45"/>
      <c r="AA675" s="45"/>
      <c r="AB675" s="45"/>
      <c r="AC675" s="45"/>
    </row>
    <row r="676" spans="1:29" ht="13.15">
      <c r="A676" s="45"/>
      <c r="B676" s="45"/>
      <c r="C676" s="45"/>
      <c r="D676" s="45"/>
      <c r="E676" s="45"/>
      <c r="F676" s="45"/>
      <c r="G676" s="45"/>
      <c r="H676" s="45"/>
      <c r="I676" s="44"/>
      <c r="J676" s="44"/>
      <c r="K676" s="45"/>
      <c r="L676" s="44"/>
      <c r="M676" s="44"/>
      <c r="N676" s="44"/>
      <c r="O676" s="44"/>
      <c r="P676" s="44"/>
      <c r="Q676" s="44"/>
      <c r="R676" s="44"/>
      <c r="S676" s="45"/>
      <c r="T676" s="45"/>
      <c r="U676" s="45"/>
      <c r="V676" s="45"/>
      <c r="W676" s="45"/>
      <c r="X676" s="45"/>
      <c r="Y676" s="45"/>
      <c r="Z676" s="45"/>
      <c r="AA676" s="45"/>
      <c r="AB676" s="45"/>
      <c r="AC676" s="45"/>
    </row>
    <row r="677" spans="1:29" ht="13.15">
      <c r="A677" s="45"/>
      <c r="B677" s="45"/>
      <c r="C677" s="45"/>
      <c r="D677" s="45"/>
      <c r="E677" s="45"/>
      <c r="F677" s="45"/>
      <c r="G677" s="45"/>
      <c r="H677" s="45"/>
      <c r="I677" s="44"/>
      <c r="J677" s="44"/>
      <c r="K677" s="45"/>
      <c r="L677" s="44"/>
      <c r="M677" s="44"/>
      <c r="N677" s="44"/>
      <c r="O677" s="44"/>
      <c r="P677" s="44"/>
      <c r="Q677" s="44"/>
      <c r="R677" s="44"/>
      <c r="S677" s="45"/>
      <c r="T677" s="45"/>
      <c r="U677" s="45"/>
      <c r="V677" s="45"/>
      <c r="W677" s="45"/>
      <c r="X677" s="45"/>
      <c r="Y677" s="45"/>
      <c r="Z677" s="45"/>
      <c r="AA677" s="45"/>
      <c r="AB677" s="45"/>
      <c r="AC677" s="45"/>
    </row>
    <row r="678" spans="1:29" ht="13.15">
      <c r="A678" s="45"/>
      <c r="B678" s="45"/>
      <c r="C678" s="45"/>
      <c r="D678" s="45"/>
      <c r="E678" s="45"/>
      <c r="F678" s="45"/>
      <c r="G678" s="45"/>
      <c r="H678" s="45"/>
      <c r="I678" s="44"/>
      <c r="J678" s="44"/>
      <c r="K678" s="45"/>
      <c r="L678" s="44"/>
      <c r="M678" s="44"/>
      <c r="N678" s="44"/>
      <c r="O678" s="44"/>
      <c r="P678" s="44"/>
      <c r="Q678" s="44"/>
      <c r="R678" s="44"/>
      <c r="S678" s="45"/>
      <c r="T678" s="45"/>
      <c r="U678" s="45"/>
      <c r="V678" s="45"/>
      <c r="W678" s="45"/>
      <c r="X678" s="45"/>
      <c r="Y678" s="45"/>
      <c r="Z678" s="45"/>
      <c r="AA678" s="45"/>
      <c r="AB678" s="45"/>
      <c r="AC678" s="45"/>
    </row>
    <row r="679" spans="1:29" ht="13.15">
      <c r="A679" s="45"/>
      <c r="B679" s="45"/>
      <c r="C679" s="45"/>
      <c r="D679" s="45"/>
      <c r="E679" s="45"/>
      <c r="F679" s="45"/>
      <c r="G679" s="45"/>
      <c r="H679" s="45"/>
      <c r="I679" s="44"/>
      <c r="J679" s="44"/>
      <c r="K679" s="45"/>
      <c r="L679" s="44"/>
      <c r="M679" s="44"/>
      <c r="N679" s="44"/>
      <c r="O679" s="44"/>
      <c r="P679" s="44"/>
      <c r="Q679" s="44"/>
      <c r="R679" s="44"/>
      <c r="S679" s="45"/>
      <c r="T679" s="45"/>
      <c r="U679" s="45"/>
      <c r="V679" s="45"/>
      <c r="W679" s="45"/>
      <c r="X679" s="45"/>
      <c r="Y679" s="45"/>
      <c r="Z679" s="45"/>
      <c r="AA679" s="45"/>
      <c r="AB679" s="45"/>
      <c r="AC679" s="45"/>
    </row>
    <row r="680" spans="1:29" ht="13.15">
      <c r="A680" s="45"/>
      <c r="B680" s="45"/>
      <c r="C680" s="45"/>
      <c r="D680" s="45"/>
      <c r="E680" s="45"/>
      <c r="F680" s="45"/>
      <c r="G680" s="45"/>
      <c r="H680" s="45"/>
      <c r="I680" s="44"/>
      <c r="J680" s="44"/>
      <c r="K680" s="45"/>
      <c r="L680" s="44"/>
      <c r="M680" s="44"/>
      <c r="N680" s="44"/>
      <c r="O680" s="44"/>
      <c r="P680" s="44"/>
      <c r="Q680" s="44"/>
      <c r="R680" s="44"/>
      <c r="S680" s="45"/>
      <c r="T680" s="45"/>
      <c r="U680" s="45"/>
      <c r="V680" s="45"/>
      <c r="W680" s="45"/>
      <c r="X680" s="45"/>
      <c r="Y680" s="45"/>
      <c r="Z680" s="45"/>
      <c r="AA680" s="45"/>
      <c r="AB680" s="45"/>
      <c r="AC680" s="45"/>
    </row>
    <row r="681" spans="1:29" ht="13.15">
      <c r="A681" s="45"/>
      <c r="B681" s="45"/>
      <c r="C681" s="45"/>
      <c r="D681" s="45"/>
      <c r="E681" s="45"/>
      <c r="F681" s="45"/>
      <c r="G681" s="45"/>
      <c r="H681" s="45"/>
      <c r="I681" s="44"/>
      <c r="J681" s="44"/>
      <c r="K681" s="45"/>
      <c r="L681" s="44"/>
      <c r="M681" s="44"/>
      <c r="N681" s="44"/>
      <c r="O681" s="44"/>
      <c r="P681" s="44"/>
      <c r="Q681" s="44"/>
      <c r="R681" s="44"/>
      <c r="S681" s="45"/>
      <c r="T681" s="45"/>
      <c r="U681" s="45"/>
      <c r="V681" s="45"/>
      <c r="W681" s="45"/>
      <c r="X681" s="45"/>
      <c r="Y681" s="45"/>
      <c r="Z681" s="45"/>
      <c r="AA681" s="45"/>
      <c r="AB681" s="45"/>
      <c r="AC681" s="45"/>
    </row>
    <row r="682" spans="1:29" ht="13.15">
      <c r="A682" s="45"/>
      <c r="B682" s="45"/>
      <c r="C682" s="45"/>
      <c r="D682" s="45"/>
      <c r="E682" s="45"/>
      <c r="F682" s="45"/>
      <c r="G682" s="45"/>
      <c r="H682" s="45"/>
      <c r="I682" s="44"/>
      <c r="J682" s="44"/>
      <c r="K682" s="45"/>
      <c r="L682" s="44"/>
      <c r="M682" s="44"/>
      <c r="N682" s="44"/>
      <c r="O682" s="44"/>
      <c r="P682" s="44"/>
      <c r="Q682" s="44"/>
      <c r="R682" s="44"/>
      <c r="S682" s="45"/>
      <c r="T682" s="45"/>
      <c r="U682" s="45"/>
      <c r="V682" s="45"/>
      <c r="W682" s="45"/>
      <c r="X682" s="45"/>
      <c r="Y682" s="45"/>
      <c r="Z682" s="45"/>
      <c r="AA682" s="45"/>
      <c r="AB682" s="45"/>
      <c r="AC682" s="45"/>
    </row>
    <row r="683" spans="1:29" ht="13.15">
      <c r="A683" s="45"/>
      <c r="B683" s="45"/>
      <c r="C683" s="45"/>
      <c r="D683" s="45"/>
      <c r="E683" s="45"/>
      <c r="F683" s="45"/>
      <c r="G683" s="45"/>
      <c r="H683" s="45"/>
      <c r="I683" s="44"/>
      <c r="J683" s="44"/>
      <c r="K683" s="45"/>
      <c r="L683" s="44"/>
      <c r="M683" s="44"/>
      <c r="N683" s="44"/>
      <c r="O683" s="44"/>
      <c r="P683" s="44"/>
      <c r="Q683" s="44"/>
      <c r="R683" s="44"/>
      <c r="S683" s="45"/>
      <c r="T683" s="45"/>
      <c r="U683" s="45"/>
      <c r="V683" s="45"/>
      <c r="W683" s="45"/>
      <c r="X683" s="45"/>
      <c r="Y683" s="45"/>
      <c r="Z683" s="45"/>
      <c r="AA683" s="45"/>
      <c r="AB683" s="45"/>
      <c r="AC683" s="45"/>
    </row>
    <row r="684" spans="1:29" ht="13.15">
      <c r="A684" s="45"/>
      <c r="B684" s="45"/>
      <c r="C684" s="45"/>
      <c r="D684" s="45"/>
      <c r="E684" s="45"/>
      <c r="F684" s="45"/>
      <c r="G684" s="45"/>
      <c r="H684" s="45"/>
      <c r="I684" s="44"/>
      <c r="J684" s="44"/>
      <c r="K684" s="45"/>
      <c r="L684" s="44"/>
      <c r="M684" s="44"/>
      <c r="N684" s="44"/>
      <c r="O684" s="44"/>
      <c r="P684" s="44"/>
      <c r="Q684" s="44"/>
      <c r="R684" s="44"/>
      <c r="S684" s="45"/>
      <c r="T684" s="45"/>
      <c r="U684" s="45"/>
      <c r="V684" s="45"/>
      <c r="W684" s="45"/>
      <c r="X684" s="45"/>
      <c r="Y684" s="45"/>
      <c r="Z684" s="45"/>
      <c r="AA684" s="45"/>
      <c r="AB684" s="45"/>
      <c r="AC684" s="45"/>
    </row>
    <row r="685" spans="1:29" ht="13.15">
      <c r="A685" s="45"/>
      <c r="B685" s="45"/>
      <c r="C685" s="45"/>
      <c r="D685" s="45"/>
      <c r="E685" s="45"/>
      <c r="F685" s="45"/>
      <c r="G685" s="45"/>
      <c r="H685" s="45"/>
      <c r="I685" s="44"/>
      <c r="J685" s="44"/>
      <c r="K685" s="45"/>
      <c r="L685" s="44"/>
      <c r="M685" s="44"/>
      <c r="N685" s="44"/>
      <c r="O685" s="44"/>
      <c r="P685" s="44"/>
      <c r="Q685" s="44"/>
      <c r="R685" s="44"/>
      <c r="S685" s="45"/>
      <c r="T685" s="45"/>
      <c r="U685" s="45"/>
      <c r="V685" s="45"/>
      <c r="W685" s="45"/>
      <c r="X685" s="45"/>
      <c r="Y685" s="45"/>
      <c r="Z685" s="45"/>
      <c r="AA685" s="45"/>
      <c r="AB685" s="45"/>
      <c r="AC685" s="45"/>
    </row>
    <row r="686" spans="1:29" ht="13.15">
      <c r="A686" s="45"/>
      <c r="B686" s="45"/>
      <c r="C686" s="45"/>
      <c r="D686" s="45"/>
      <c r="E686" s="45"/>
      <c r="F686" s="45"/>
      <c r="G686" s="45"/>
      <c r="H686" s="45"/>
      <c r="I686" s="44"/>
      <c r="J686" s="44"/>
      <c r="K686" s="45"/>
      <c r="L686" s="44"/>
      <c r="M686" s="44"/>
      <c r="N686" s="44"/>
      <c r="O686" s="44"/>
      <c r="P686" s="44"/>
      <c r="Q686" s="44"/>
      <c r="R686" s="44"/>
      <c r="S686" s="45"/>
      <c r="T686" s="45"/>
      <c r="U686" s="45"/>
      <c r="V686" s="45"/>
      <c r="W686" s="45"/>
      <c r="X686" s="45"/>
      <c r="Y686" s="45"/>
      <c r="Z686" s="45"/>
      <c r="AA686" s="45"/>
      <c r="AB686" s="45"/>
      <c r="AC686" s="45"/>
    </row>
    <row r="687" spans="1:29" ht="13.15">
      <c r="A687" s="45"/>
      <c r="B687" s="45"/>
      <c r="C687" s="45"/>
      <c r="D687" s="45"/>
      <c r="E687" s="45"/>
      <c r="F687" s="45"/>
      <c r="G687" s="45"/>
      <c r="H687" s="45"/>
      <c r="I687" s="44"/>
      <c r="J687" s="44"/>
      <c r="K687" s="45"/>
      <c r="L687" s="44"/>
      <c r="M687" s="44"/>
      <c r="N687" s="44"/>
      <c r="O687" s="44"/>
      <c r="P687" s="44"/>
      <c r="Q687" s="44"/>
      <c r="R687" s="44"/>
      <c r="S687" s="45"/>
      <c r="T687" s="45"/>
      <c r="U687" s="45"/>
      <c r="V687" s="45"/>
      <c r="W687" s="45"/>
      <c r="X687" s="45"/>
      <c r="Y687" s="45"/>
      <c r="Z687" s="45"/>
      <c r="AA687" s="45"/>
      <c r="AB687" s="45"/>
      <c r="AC687" s="45"/>
    </row>
    <row r="688" spans="1:29" ht="13.15">
      <c r="A688" s="45"/>
      <c r="B688" s="45"/>
      <c r="C688" s="45"/>
      <c r="D688" s="45"/>
      <c r="E688" s="45"/>
      <c r="F688" s="45"/>
      <c r="G688" s="45"/>
      <c r="H688" s="45"/>
      <c r="I688" s="44"/>
      <c r="J688" s="44"/>
      <c r="K688" s="45"/>
      <c r="L688" s="44"/>
      <c r="M688" s="44"/>
      <c r="N688" s="44"/>
      <c r="O688" s="44"/>
      <c r="P688" s="44"/>
      <c r="Q688" s="44"/>
      <c r="R688" s="44"/>
      <c r="S688" s="45"/>
      <c r="T688" s="45"/>
      <c r="U688" s="45"/>
      <c r="V688" s="45"/>
      <c r="W688" s="45"/>
      <c r="X688" s="45"/>
      <c r="Y688" s="45"/>
      <c r="Z688" s="45"/>
      <c r="AA688" s="45"/>
      <c r="AB688" s="45"/>
      <c r="AC688" s="45"/>
    </row>
    <row r="689" spans="1:29" ht="13.15">
      <c r="A689" s="45"/>
      <c r="B689" s="45"/>
      <c r="C689" s="45"/>
      <c r="D689" s="45"/>
      <c r="E689" s="45"/>
      <c r="F689" s="45"/>
      <c r="G689" s="45"/>
      <c r="H689" s="45"/>
      <c r="I689" s="44"/>
      <c r="J689" s="44"/>
      <c r="K689" s="45"/>
      <c r="L689" s="44"/>
      <c r="M689" s="44"/>
      <c r="N689" s="44"/>
      <c r="O689" s="44"/>
      <c r="P689" s="44"/>
      <c r="Q689" s="44"/>
      <c r="R689" s="44"/>
      <c r="S689" s="45"/>
      <c r="T689" s="45"/>
      <c r="U689" s="45"/>
      <c r="V689" s="45"/>
      <c r="W689" s="45"/>
      <c r="X689" s="45"/>
      <c r="Y689" s="45"/>
      <c r="Z689" s="45"/>
      <c r="AA689" s="45"/>
      <c r="AB689" s="45"/>
      <c r="AC689" s="45"/>
    </row>
    <row r="690" spans="1:29" ht="13.15">
      <c r="A690" s="45"/>
      <c r="B690" s="45"/>
      <c r="C690" s="45"/>
      <c r="D690" s="45"/>
      <c r="E690" s="45"/>
      <c r="F690" s="45"/>
      <c r="G690" s="45"/>
      <c r="H690" s="45"/>
      <c r="I690" s="44"/>
      <c r="J690" s="44"/>
      <c r="K690" s="45"/>
      <c r="L690" s="44"/>
      <c r="M690" s="44"/>
      <c r="N690" s="44"/>
      <c r="O690" s="44"/>
      <c r="P690" s="44"/>
      <c r="Q690" s="44"/>
      <c r="R690" s="44"/>
      <c r="S690" s="45"/>
      <c r="T690" s="45"/>
      <c r="U690" s="45"/>
      <c r="V690" s="45"/>
      <c r="W690" s="45"/>
      <c r="X690" s="45"/>
      <c r="Y690" s="45"/>
      <c r="Z690" s="45"/>
      <c r="AA690" s="45"/>
      <c r="AB690" s="45"/>
      <c r="AC690" s="45"/>
    </row>
    <row r="691" spans="1:29" ht="13.15">
      <c r="A691" s="45"/>
      <c r="B691" s="45"/>
      <c r="C691" s="45"/>
      <c r="D691" s="45"/>
      <c r="E691" s="45"/>
      <c r="F691" s="45"/>
      <c r="G691" s="45"/>
      <c r="H691" s="45"/>
      <c r="I691" s="44"/>
      <c r="J691" s="44"/>
      <c r="K691" s="45"/>
      <c r="L691" s="44"/>
      <c r="M691" s="44"/>
      <c r="N691" s="44"/>
      <c r="O691" s="44"/>
      <c r="P691" s="44"/>
      <c r="Q691" s="44"/>
      <c r="R691" s="44"/>
      <c r="S691" s="45"/>
      <c r="T691" s="45"/>
      <c r="U691" s="45"/>
      <c r="V691" s="45"/>
      <c r="W691" s="45"/>
      <c r="X691" s="45"/>
      <c r="Y691" s="45"/>
      <c r="Z691" s="45"/>
      <c r="AA691" s="45"/>
      <c r="AB691" s="45"/>
      <c r="AC691" s="45"/>
    </row>
    <row r="692" spans="1:29" ht="13.15">
      <c r="A692" s="45"/>
      <c r="B692" s="45"/>
      <c r="C692" s="45"/>
      <c r="D692" s="45"/>
      <c r="E692" s="45"/>
      <c r="F692" s="45"/>
      <c r="G692" s="45"/>
      <c r="H692" s="45"/>
      <c r="I692" s="44"/>
      <c r="J692" s="44"/>
      <c r="K692" s="45"/>
      <c r="L692" s="44"/>
      <c r="M692" s="44"/>
      <c r="N692" s="44"/>
      <c r="O692" s="44"/>
      <c r="P692" s="44"/>
      <c r="Q692" s="44"/>
      <c r="R692" s="44"/>
      <c r="S692" s="45"/>
      <c r="T692" s="45"/>
      <c r="U692" s="45"/>
      <c r="V692" s="45"/>
      <c r="W692" s="45"/>
      <c r="X692" s="45"/>
      <c r="Y692" s="45"/>
      <c r="Z692" s="45"/>
      <c r="AA692" s="45"/>
      <c r="AB692" s="45"/>
      <c r="AC692" s="45"/>
    </row>
    <row r="693" spans="1:29" ht="13.15">
      <c r="A693" s="45"/>
      <c r="B693" s="45"/>
      <c r="C693" s="45"/>
      <c r="D693" s="45"/>
      <c r="E693" s="45"/>
      <c r="F693" s="45"/>
      <c r="G693" s="45"/>
      <c r="H693" s="45"/>
      <c r="I693" s="44"/>
      <c r="J693" s="44"/>
      <c r="K693" s="45"/>
      <c r="L693" s="44"/>
      <c r="M693" s="44"/>
      <c r="N693" s="44"/>
      <c r="O693" s="44"/>
      <c r="P693" s="44"/>
      <c r="Q693" s="44"/>
      <c r="R693" s="44"/>
      <c r="S693" s="45"/>
      <c r="T693" s="45"/>
      <c r="U693" s="45"/>
      <c r="V693" s="45"/>
      <c r="W693" s="45"/>
      <c r="X693" s="45"/>
      <c r="Y693" s="45"/>
      <c r="Z693" s="45"/>
      <c r="AA693" s="45"/>
      <c r="AB693" s="45"/>
      <c r="AC693" s="45"/>
    </row>
    <row r="694" spans="1:29" ht="13.15">
      <c r="A694" s="45"/>
      <c r="B694" s="45"/>
      <c r="C694" s="45"/>
      <c r="D694" s="45"/>
      <c r="E694" s="45"/>
      <c r="F694" s="45"/>
      <c r="G694" s="45"/>
      <c r="H694" s="45"/>
      <c r="I694" s="44"/>
      <c r="J694" s="44"/>
      <c r="K694" s="45"/>
      <c r="L694" s="44"/>
      <c r="M694" s="44"/>
      <c r="N694" s="44"/>
      <c r="O694" s="44"/>
      <c r="P694" s="44"/>
      <c r="Q694" s="44"/>
      <c r="R694" s="44"/>
      <c r="S694" s="45"/>
      <c r="T694" s="45"/>
      <c r="U694" s="45"/>
      <c r="V694" s="45"/>
      <c r="W694" s="45"/>
      <c r="X694" s="45"/>
      <c r="Y694" s="45"/>
      <c r="Z694" s="45"/>
      <c r="AA694" s="45"/>
      <c r="AB694" s="45"/>
      <c r="AC694" s="45"/>
    </row>
    <row r="695" spans="1:29" ht="13.15">
      <c r="A695" s="45"/>
      <c r="B695" s="45"/>
      <c r="C695" s="45"/>
      <c r="D695" s="45"/>
      <c r="E695" s="45"/>
      <c r="F695" s="45"/>
      <c r="G695" s="45"/>
      <c r="H695" s="45"/>
      <c r="I695" s="44"/>
      <c r="J695" s="44"/>
      <c r="K695" s="45"/>
      <c r="L695" s="44"/>
      <c r="M695" s="44"/>
      <c r="N695" s="44"/>
      <c r="O695" s="44"/>
      <c r="P695" s="44"/>
      <c r="Q695" s="44"/>
      <c r="R695" s="44"/>
      <c r="S695" s="45"/>
      <c r="T695" s="45"/>
      <c r="U695" s="45"/>
      <c r="V695" s="45"/>
      <c r="W695" s="45"/>
      <c r="X695" s="45"/>
      <c r="Y695" s="45"/>
      <c r="Z695" s="45"/>
      <c r="AA695" s="45"/>
      <c r="AB695" s="45"/>
      <c r="AC695" s="45"/>
    </row>
    <row r="696" spans="1:29" ht="13.15">
      <c r="A696" s="45"/>
      <c r="B696" s="45"/>
      <c r="C696" s="45"/>
      <c r="D696" s="45"/>
      <c r="E696" s="45"/>
      <c r="F696" s="45"/>
      <c r="G696" s="45"/>
      <c r="H696" s="45"/>
      <c r="I696" s="44"/>
      <c r="J696" s="44"/>
      <c r="K696" s="45"/>
      <c r="L696" s="44"/>
      <c r="M696" s="44"/>
      <c r="N696" s="44"/>
      <c r="O696" s="44"/>
      <c r="P696" s="44"/>
      <c r="Q696" s="44"/>
      <c r="R696" s="44"/>
      <c r="S696" s="45"/>
      <c r="T696" s="45"/>
      <c r="U696" s="45"/>
      <c r="V696" s="45"/>
      <c r="W696" s="45"/>
      <c r="X696" s="45"/>
      <c r="Y696" s="45"/>
      <c r="Z696" s="45"/>
      <c r="AA696" s="45"/>
      <c r="AB696" s="45"/>
      <c r="AC696" s="45"/>
    </row>
    <row r="697" spans="1:29" ht="13.15">
      <c r="A697" s="45"/>
      <c r="B697" s="45"/>
      <c r="C697" s="45"/>
      <c r="D697" s="45"/>
      <c r="E697" s="45"/>
      <c r="F697" s="45"/>
      <c r="G697" s="45"/>
      <c r="H697" s="45"/>
      <c r="I697" s="44"/>
      <c r="J697" s="44"/>
      <c r="K697" s="45"/>
      <c r="L697" s="44"/>
      <c r="M697" s="44"/>
      <c r="N697" s="44"/>
      <c r="O697" s="44"/>
      <c r="P697" s="44"/>
      <c r="Q697" s="44"/>
      <c r="R697" s="44"/>
      <c r="S697" s="45"/>
      <c r="T697" s="45"/>
      <c r="U697" s="45"/>
      <c r="V697" s="45"/>
      <c r="W697" s="45"/>
      <c r="X697" s="45"/>
      <c r="Y697" s="45"/>
      <c r="Z697" s="45"/>
      <c r="AA697" s="45"/>
      <c r="AB697" s="45"/>
      <c r="AC697" s="45"/>
    </row>
    <row r="698" spans="1:29" ht="13.15">
      <c r="A698" s="45"/>
      <c r="B698" s="45"/>
      <c r="C698" s="45"/>
      <c r="D698" s="45"/>
      <c r="E698" s="45"/>
      <c r="F698" s="45"/>
      <c r="G698" s="45"/>
      <c r="H698" s="45"/>
      <c r="I698" s="44"/>
      <c r="J698" s="44"/>
      <c r="K698" s="45"/>
      <c r="L698" s="44"/>
      <c r="M698" s="44"/>
      <c r="N698" s="44"/>
      <c r="O698" s="44"/>
      <c r="P698" s="44"/>
      <c r="Q698" s="44"/>
      <c r="R698" s="44"/>
      <c r="S698" s="45"/>
      <c r="T698" s="45"/>
      <c r="U698" s="45"/>
      <c r="V698" s="45"/>
      <c r="W698" s="45"/>
      <c r="X698" s="45"/>
      <c r="Y698" s="45"/>
      <c r="Z698" s="45"/>
      <c r="AA698" s="45"/>
      <c r="AB698" s="45"/>
      <c r="AC698" s="45"/>
    </row>
    <row r="699" spans="1:29" ht="13.15">
      <c r="A699" s="45"/>
      <c r="B699" s="45"/>
      <c r="C699" s="45"/>
      <c r="D699" s="45"/>
      <c r="E699" s="45"/>
      <c r="F699" s="45"/>
      <c r="G699" s="45"/>
      <c r="H699" s="45"/>
      <c r="I699" s="44"/>
      <c r="J699" s="44"/>
      <c r="K699" s="45"/>
      <c r="L699" s="44"/>
      <c r="M699" s="44"/>
      <c r="N699" s="44"/>
      <c r="O699" s="44"/>
      <c r="P699" s="44"/>
      <c r="Q699" s="44"/>
      <c r="R699" s="44"/>
      <c r="S699" s="45"/>
      <c r="T699" s="45"/>
      <c r="U699" s="45"/>
      <c r="V699" s="45"/>
      <c r="W699" s="45"/>
      <c r="X699" s="45"/>
      <c r="Y699" s="45"/>
      <c r="Z699" s="45"/>
      <c r="AA699" s="45"/>
      <c r="AB699" s="45"/>
      <c r="AC699" s="45"/>
    </row>
    <row r="700" spans="1:29" ht="13.15">
      <c r="A700" s="45"/>
      <c r="B700" s="45"/>
      <c r="C700" s="45"/>
      <c r="D700" s="45"/>
      <c r="E700" s="45"/>
      <c r="F700" s="45"/>
      <c r="G700" s="45"/>
      <c r="H700" s="45"/>
      <c r="I700" s="44"/>
      <c r="J700" s="44"/>
      <c r="K700" s="45"/>
      <c r="L700" s="44"/>
      <c r="M700" s="44"/>
      <c r="N700" s="44"/>
      <c r="O700" s="44"/>
      <c r="P700" s="44"/>
      <c r="Q700" s="44"/>
      <c r="R700" s="44"/>
      <c r="S700" s="45"/>
      <c r="T700" s="45"/>
      <c r="U700" s="45"/>
      <c r="V700" s="45"/>
      <c r="W700" s="45"/>
      <c r="X700" s="45"/>
      <c r="Y700" s="45"/>
      <c r="Z700" s="45"/>
      <c r="AA700" s="45"/>
      <c r="AB700" s="45"/>
      <c r="AC700" s="45"/>
    </row>
    <row r="701" spans="1:29" ht="13.15">
      <c r="A701" s="45"/>
      <c r="B701" s="45"/>
      <c r="C701" s="45"/>
      <c r="D701" s="45"/>
      <c r="E701" s="45"/>
      <c r="F701" s="45"/>
      <c r="G701" s="45"/>
      <c r="H701" s="45"/>
      <c r="I701" s="44"/>
      <c r="J701" s="44"/>
      <c r="K701" s="45"/>
      <c r="L701" s="44"/>
      <c r="M701" s="44"/>
      <c r="N701" s="44"/>
      <c r="O701" s="44"/>
      <c r="P701" s="44"/>
      <c r="Q701" s="44"/>
      <c r="R701" s="44"/>
      <c r="S701" s="45"/>
      <c r="T701" s="45"/>
      <c r="U701" s="45"/>
      <c r="V701" s="45"/>
      <c r="W701" s="45"/>
      <c r="X701" s="45"/>
      <c r="Y701" s="45"/>
      <c r="Z701" s="45"/>
      <c r="AA701" s="45"/>
      <c r="AB701" s="45"/>
      <c r="AC701" s="45"/>
    </row>
    <row r="702" spans="1:29" ht="13.15">
      <c r="A702" s="45"/>
      <c r="B702" s="45"/>
      <c r="C702" s="45"/>
      <c r="D702" s="45"/>
      <c r="E702" s="45"/>
      <c r="F702" s="45"/>
      <c r="G702" s="45"/>
      <c r="H702" s="45"/>
      <c r="I702" s="44"/>
      <c r="J702" s="44"/>
      <c r="K702" s="45"/>
      <c r="L702" s="44"/>
      <c r="M702" s="44"/>
      <c r="N702" s="44"/>
      <c r="O702" s="44"/>
      <c r="P702" s="44"/>
      <c r="Q702" s="44"/>
      <c r="R702" s="44"/>
      <c r="S702" s="45"/>
      <c r="T702" s="45"/>
      <c r="U702" s="45"/>
      <c r="V702" s="45"/>
      <c r="W702" s="45"/>
      <c r="X702" s="45"/>
      <c r="Y702" s="45"/>
      <c r="Z702" s="45"/>
      <c r="AA702" s="45"/>
      <c r="AB702" s="45"/>
      <c r="AC702" s="45"/>
    </row>
    <row r="703" spans="1:29" ht="13.15">
      <c r="A703" s="45"/>
      <c r="B703" s="45"/>
      <c r="C703" s="45"/>
      <c r="D703" s="45"/>
      <c r="E703" s="45"/>
      <c r="F703" s="45"/>
      <c r="G703" s="45"/>
      <c r="H703" s="45"/>
      <c r="I703" s="44"/>
      <c r="J703" s="44"/>
      <c r="K703" s="45"/>
      <c r="L703" s="44"/>
      <c r="M703" s="44"/>
      <c r="N703" s="44"/>
      <c r="O703" s="44"/>
      <c r="P703" s="44"/>
      <c r="Q703" s="44"/>
      <c r="R703" s="44"/>
      <c r="S703" s="45"/>
      <c r="T703" s="45"/>
      <c r="U703" s="45"/>
      <c r="V703" s="45"/>
      <c r="W703" s="45"/>
      <c r="X703" s="45"/>
      <c r="Y703" s="45"/>
      <c r="Z703" s="45"/>
      <c r="AA703" s="45"/>
      <c r="AB703" s="45"/>
      <c r="AC703" s="45"/>
    </row>
    <row r="704" spans="1:29" ht="13.15">
      <c r="A704" s="45"/>
      <c r="B704" s="45"/>
      <c r="C704" s="45"/>
      <c r="D704" s="45"/>
      <c r="E704" s="45"/>
      <c r="F704" s="45"/>
      <c r="G704" s="45"/>
      <c r="H704" s="45"/>
      <c r="I704" s="44"/>
      <c r="J704" s="44"/>
      <c r="K704" s="45"/>
      <c r="L704" s="44"/>
      <c r="M704" s="44"/>
      <c r="N704" s="44"/>
      <c r="O704" s="44"/>
      <c r="P704" s="44"/>
      <c r="Q704" s="44"/>
      <c r="R704" s="44"/>
      <c r="S704" s="45"/>
      <c r="T704" s="45"/>
      <c r="U704" s="45"/>
      <c r="V704" s="45"/>
      <c r="W704" s="45"/>
      <c r="X704" s="45"/>
      <c r="Y704" s="45"/>
      <c r="Z704" s="45"/>
      <c r="AA704" s="45"/>
      <c r="AB704" s="45"/>
      <c r="AC704" s="45"/>
    </row>
    <row r="705" spans="1:29" ht="13.15">
      <c r="A705" s="45"/>
      <c r="B705" s="45"/>
      <c r="C705" s="45"/>
      <c r="D705" s="45"/>
      <c r="E705" s="45"/>
      <c r="F705" s="45"/>
      <c r="G705" s="45"/>
      <c r="H705" s="45"/>
      <c r="I705" s="44"/>
      <c r="J705" s="44"/>
      <c r="K705" s="45"/>
      <c r="L705" s="44"/>
      <c r="M705" s="44"/>
      <c r="N705" s="44"/>
      <c r="O705" s="44"/>
      <c r="P705" s="44"/>
      <c r="Q705" s="44"/>
      <c r="R705" s="44"/>
      <c r="S705" s="45"/>
      <c r="T705" s="45"/>
      <c r="U705" s="45"/>
      <c r="V705" s="45"/>
      <c r="W705" s="45"/>
      <c r="X705" s="45"/>
      <c r="Y705" s="45"/>
      <c r="Z705" s="45"/>
      <c r="AA705" s="45"/>
      <c r="AB705" s="45"/>
      <c r="AC705" s="45"/>
    </row>
    <row r="706" spans="1:29" ht="13.15">
      <c r="A706" s="45"/>
      <c r="B706" s="45"/>
      <c r="C706" s="45"/>
      <c r="D706" s="45"/>
      <c r="E706" s="45"/>
      <c r="F706" s="45"/>
      <c r="G706" s="45"/>
      <c r="H706" s="45"/>
      <c r="I706" s="44"/>
      <c r="J706" s="44"/>
      <c r="K706" s="45"/>
      <c r="L706" s="44"/>
      <c r="M706" s="44"/>
      <c r="N706" s="44"/>
      <c r="O706" s="44"/>
      <c r="P706" s="44"/>
      <c r="Q706" s="44"/>
      <c r="R706" s="44"/>
      <c r="S706" s="45"/>
      <c r="T706" s="45"/>
      <c r="U706" s="45"/>
      <c r="V706" s="45"/>
      <c r="W706" s="45"/>
      <c r="X706" s="45"/>
      <c r="Y706" s="45"/>
      <c r="Z706" s="45"/>
      <c r="AA706" s="45"/>
      <c r="AB706" s="45"/>
      <c r="AC706" s="45"/>
    </row>
    <row r="707" spans="1:29" ht="13.15">
      <c r="A707" s="45"/>
      <c r="B707" s="45"/>
      <c r="C707" s="45"/>
      <c r="D707" s="45"/>
      <c r="E707" s="45"/>
      <c r="F707" s="45"/>
      <c r="G707" s="45"/>
      <c r="H707" s="45"/>
      <c r="I707" s="44"/>
      <c r="J707" s="44"/>
      <c r="K707" s="45"/>
      <c r="L707" s="44"/>
      <c r="M707" s="44"/>
      <c r="N707" s="44"/>
      <c r="O707" s="44"/>
      <c r="P707" s="44"/>
      <c r="Q707" s="44"/>
      <c r="R707" s="44"/>
      <c r="S707" s="45"/>
      <c r="T707" s="45"/>
      <c r="U707" s="45"/>
      <c r="V707" s="45"/>
      <c r="W707" s="45"/>
      <c r="X707" s="45"/>
      <c r="Y707" s="45"/>
      <c r="Z707" s="45"/>
      <c r="AA707" s="45"/>
      <c r="AB707" s="45"/>
      <c r="AC707" s="45"/>
    </row>
    <row r="708" spans="1:29" ht="13.15">
      <c r="A708" s="45"/>
      <c r="B708" s="45"/>
      <c r="C708" s="45"/>
      <c r="D708" s="45"/>
      <c r="E708" s="45"/>
      <c r="F708" s="45"/>
      <c r="G708" s="45"/>
      <c r="H708" s="45"/>
      <c r="I708" s="44"/>
      <c r="J708" s="44"/>
      <c r="K708" s="45"/>
      <c r="L708" s="44"/>
      <c r="M708" s="44"/>
      <c r="N708" s="44"/>
      <c r="O708" s="44"/>
      <c r="P708" s="44"/>
      <c r="Q708" s="44"/>
      <c r="R708" s="44"/>
      <c r="S708" s="45"/>
      <c r="T708" s="45"/>
      <c r="U708" s="45"/>
      <c r="V708" s="45"/>
      <c r="W708" s="45"/>
      <c r="X708" s="45"/>
      <c r="Y708" s="45"/>
      <c r="Z708" s="45"/>
      <c r="AA708" s="45"/>
      <c r="AB708" s="45"/>
      <c r="AC708" s="45"/>
    </row>
    <row r="709" spans="1:29" ht="13.15">
      <c r="A709" s="45"/>
      <c r="B709" s="45"/>
      <c r="C709" s="45"/>
      <c r="D709" s="45"/>
      <c r="E709" s="45"/>
      <c r="F709" s="45"/>
      <c r="G709" s="45"/>
      <c r="H709" s="45"/>
      <c r="I709" s="44"/>
      <c r="J709" s="44"/>
      <c r="K709" s="45"/>
      <c r="L709" s="44"/>
      <c r="M709" s="44"/>
      <c r="N709" s="44"/>
      <c r="O709" s="44"/>
      <c r="P709" s="44"/>
      <c r="Q709" s="44"/>
      <c r="R709" s="44"/>
      <c r="S709" s="45"/>
      <c r="T709" s="45"/>
      <c r="U709" s="45"/>
      <c r="V709" s="45"/>
      <c r="W709" s="45"/>
      <c r="X709" s="45"/>
      <c r="Y709" s="45"/>
      <c r="Z709" s="45"/>
      <c r="AA709" s="45"/>
      <c r="AB709" s="45"/>
      <c r="AC709" s="45"/>
    </row>
    <row r="710" spans="1:29" ht="13.15">
      <c r="A710" s="45"/>
      <c r="B710" s="45"/>
      <c r="C710" s="45"/>
      <c r="D710" s="45"/>
      <c r="E710" s="45"/>
      <c r="F710" s="45"/>
      <c r="G710" s="45"/>
      <c r="H710" s="45"/>
      <c r="I710" s="44"/>
      <c r="J710" s="44"/>
      <c r="K710" s="45"/>
      <c r="L710" s="44"/>
      <c r="M710" s="44"/>
      <c r="N710" s="44"/>
      <c r="O710" s="44"/>
      <c r="P710" s="44"/>
      <c r="Q710" s="44"/>
      <c r="R710" s="44"/>
      <c r="S710" s="45"/>
      <c r="T710" s="45"/>
      <c r="U710" s="45"/>
      <c r="V710" s="45"/>
      <c r="W710" s="45"/>
      <c r="X710" s="45"/>
      <c r="Y710" s="45"/>
      <c r="Z710" s="45"/>
      <c r="AA710" s="45"/>
      <c r="AB710" s="45"/>
      <c r="AC710" s="45"/>
    </row>
    <row r="711" spans="1:29" ht="13.15">
      <c r="A711" s="45"/>
      <c r="B711" s="45"/>
      <c r="C711" s="45"/>
      <c r="D711" s="45"/>
      <c r="E711" s="45"/>
      <c r="F711" s="45"/>
      <c r="G711" s="45"/>
      <c r="H711" s="45"/>
      <c r="I711" s="44"/>
      <c r="J711" s="44"/>
      <c r="K711" s="45"/>
      <c r="L711" s="44"/>
      <c r="M711" s="44"/>
      <c r="N711" s="44"/>
      <c r="O711" s="44"/>
      <c r="P711" s="44"/>
      <c r="Q711" s="44"/>
      <c r="R711" s="44"/>
      <c r="S711" s="45"/>
      <c r="T711" s="45"/>
      <c r="U711" s="45"/>
      <c r="V711" s="45"/>
      <c r="W711" s="45"/>
      <c r="X711" s="45"/>
      <c r="Y711" s="45"/>
      <c r="Z711" s="45"/>
      <c r="AA711" s="45"/>
      <c r="AB711" s="45"/>
      <c r="AC711" s="45"/>
    </row>
    <row r="712" spans="1:29" ht="13.15">
      <c r="A712" s="45"/>
      <c r="B712" s="45"/>
      <c r="C712" s="45"/>
      <c r="D712" s="45"/>
      <c r="E712" s="45"/>
      <c r="F712" s="45"/>
      <c r="G712" s="45"/>
      <c r="H712" s="45"/>
      <c r="I712" s="44"/>
      <c r="J712" s="44"/>
      <c r="K712" s="45"/>
      <c r="L712" s="44"/>
      <c r="M712" s="44"/>
      <c r="N712" s="44"/>
      <c r="O712" s="44"/>
      <c r="P712" s="44"/>
      <c r="Q712" s="44"/>
      <c r="R712" s="44"/>
      <c r="S712" s="45"/>
      <c r="T712" s="45"/>
      <c r="U712" s="45"/>
      <c r="V712" s="45"/>
      <c r="W712" s="45"/>
      <c r="X712" s="45"/>
      <c r="Y712" s="45"/>
      <c r="Z712" s="45"/>
      <c r="AA712" s="45"/>
      <c r="AB712" s="45"/>
      <c r="AC712" s="45"/>
    </row>
    <row r="713" spans="1:29" ht="13.15">
      <c r="A713" s="45"/>
      <c r="B713" s="45"/>
      <c r="C713" s="45"/>
      <c r="D713" s="45"/>
      <c r="E713" s="45"/>
      <c r="F713" s="45"/>
      <c r="G713" s="45"/>
      <c r="H713" s="45"/>
      <c r="I713" s="44"/>
      <c r="J713" s="44"/>
      <c r="K713" s="45"/>
      <c r="L713" s="44"/>
      <c r="M713" s="44"/>
      <c r="N713" s="44"/>
      <c r="O713" s="44"/>
      <c r="P713" s="44"/>
      <c r="Q713" s="44"/>
      <c r="R713" s="44"/>
      <c r="S713" s="45"/>
      <c r="T713" s="45"/>
      <c r="U713" s="45"/>
      <c r="V713" s="45"/>
      <c r="W713" s="45"/>
      <c r="X713" s="45"/>
      <c r="Y713" s="45"/>
      <c r="Z713" s="45"/>
      <c r="AA713" s="45"/>
      <c r="AB713" s="45"/>
      <c r="AC713" s="45"/>
    </row>
    <row r="714" spans="1:29" ht="13.15">
      <c r="A714" s="45"/>
      <c r="B714" s="45"/>
      <c r="C714" s="45"/>
      <c r="D714" s="45"/>
      <c r="E714" s="45"/>
      <c r="F714" s="45"/>
      <c r="G714" s="45"/>
      <c r="H714" s="45"/>
      <c r="I714" s="44"/>
      <c r="J714" s="44"/>
      <c r="K714" s="45"/>
      <c r="L714" s="44"/>
      <c r="M714" s="44"/>
      <c r="N714" s="44"/>
      <c r="O714" s="44"/>
      <c r="P714" s="44"/>
      <c r="Q714" s="44"/>
      <c r="R714" s="44"/>
      <c r="S714" s="45"/>
      <c r="T714" s="45"/>
      <c r="U714" s="45"/>
      <c r="V714" s="45"/>
      <c r="W714" s="45"/>
      <c r="X714" s="45"/>
      <c r="Y714" s="45"/>
      <c r="Z714" s="45"/>
      <c r="AA714" s="45"/>
      <c r="AB714" s="45"/>
      <c r="AC714" s="45"/>
    </row>
    <row r="715" spans="1:29" ht="13.15">
      <c r="A715" s="45"/>
      <c r="B715" s="45"/>
      <c r="C715" s="45"/>
      <c r="D715" s="45"/>
      <c r="E715" s="45"/>
      <c r="F715" s="45"/>
      <c r="G715" s="45"/>
      <c r="H715" s="45"/>
      <c r="I715" s="44"/>
      <c r="J715" s="44"/>
      <c r="K715" s="45"/>
      <c r="L715" s="44"/>
      <c r="M715" s="44"/>
      <c r="N715" s="44"/>
      <c r="O715" s="44"/>
      <c r="P715" s="44"/>
      <c r="Q715" s="44"/>
      <c r="R715" s="44"/>
      <c r="S715" s="45"/>
      <c r="T715" s="45"/>
      <c r="U715" s="45"/>
      <c r="V715" s="45"/>
      <c r="W715" s="45"/>
      <c r="X715" s="45"/>
      <c r="Y715" s="45"/>
      <c r="Z715" s="45"/>
      <c r="AA715" s="45"/>
      <c r="AB715" s="45"/>
      <c r="AC715" s="45"/>
    </row>
    <row r="716" spans="1:29" ht="13.15">
      <c r="A716" s="45"/>
      <c r="B716" s="45"/>
      <c r="C716" s="45"/>
      <c r="D716" s="45"/>
      <c r="E716" s="45"/>
      <c r="F716" s="45"/>
      <c r="G716" s="45"/>
      <c r="H716" s="45"/>
      <c r="I716" s="44"/>
      <c r="J716" s="44"/>
      <c r="K716" s="45"/>
      <c r="L716" s="44"/>
      <c r="M716" s="44"/>
      <c r="N716" s="44"/>
      <c r="O716" s="44"/>
      <c r="P716" s="44"/>
      <c r="Q716" s="44"/>
      <c r="R716" s="44"/>
      <c r="S716" s="45"/>
      <c r="T716" s="45"/>
      <c r="U716" s="45"/>
      <c r="V716" s="45"/>
      <c r="W716" s="45"/>
      <c r="X716" s="45"/>
      <c r="Y716" s="45"/>
      <c r="Z716" s="45"/>
      <c r="AA716" s="45"/>
      <c r="AB716" s="45"/>
      <c r="AC716" s="45"/>
    </row>
    <row r="717" spans="1:29" ht="13.15">
      <c r="A717" s="45"/>
      <c r="B717" s="45"/>
      <c r="C717" s="45"/>
      <c r="D717" s="45"/>
      <c r="E717" s="45"/>
      <c r="F717" s="45"/>
      <c r="G717" s="45"/>
      <c r="H717" s="45"/>
      <c r="I717" s="44"/>
      <c r="J717" s="44"/>
      <c r="K717" s="45"/>
      <c r="L717" s="44"/>
      <c r="M717" s="44"/>
      <c r="N717" s="44"/>
      <c r="O717" s="44"/>
      <c r="P717" s="44"/>
      <c r="Q717" s="44"/>
      <c r="R717" s="44"/>
      <c r="S717" s="45"/>
      <c r="T717" s="45"/>
      <c r="U717" s="45"/>
      <c r="V717" s="45"/>
      <c r="W717" s="45"/>
      <c r="X717" s="45"/>
      <c r="Y717" s="45"/>
      <c r="Z717" s="45"/>
      <c r="AA717" s="45"/>
      <c r="AB717" s="45"/>
      <c r="AC717" s="45"/>
    </row>
    <row r="718" spans="1:29" ht="13.15">
      <c r="A718" s="45"/>
      <c r="B718" s="45"/>
      <c r="C718" s="45"/>
      <c r="D718" s="45"/>
      <c r="E718" s="45"/>
      <c r="F718" s="45"/>
      <c r="G718" s="45"/>
      <c r="H718" s="45"/>
      <c r="I718" s="44"/>
      <c r="J718" s="44"/>
      <c r="K718" s="45"/>
      <c r="L718" s="44"/>
      <c r="M718" s="44"/>
      <c r="N718" s="44"/>
      <c r="O718" s="44"/>
      <c r="P718" s="44"/>
      <c r="Q718" s="44"/>
      <c r="R718" s="44"/>
      <c r="S718" s="45"/>
      <c r="T718" s="45"/>
      <c r="U718" s="45"/>
      <c r="V718" s="45"/>
      <c r="W718" s="45"/>
      <c r="X718" s="45"/>
      <c r="Y718" s="45"/>
      <c r="Z718" s="45"/>
      <c r="AA718" s="45"/>
      <c r="AB718" s="45"/>
      <c r="AC718" s="45"/>
    </row>
    <row r="719" spans="1:29" ht="13.15">
      <c r="A719" s="45"/>
      <c r="B719" s="45"/>
      <c r="C719" s="45"/>
      <c r="D719" s="45"/>
      <c r="E719" s="45"/>
      <c r="F719" s="45"/>
      <c r="G719" s="45"/>
      <c r="H719" s="45"/>
      <c r="I719" s="44"/>
      <c r="J719" s="44"/>
      <c r="K719" s="45"/>
      <c r="L719" s="44"/>
      <c r="M719" s="44"/>
      <c r="N719" s="44"/>
      <c r="O719" s="44"/>
      <c r="P719" s="44"/>
      <c r="Q719" s="44"/>
      <c r="R719" s="44"/>
      <c r="S719" s="45"/>
      <c r="T719" s="45"/>
      <c r="U719" s="45"/>
      <c r="V719" s="45"/>
      <c r="W719" s="45"/>
      <c r="X719" s="45"/>
      <c r="Y719" s="45"/>
      <c r="Z719" s="45"/>
      <c r="AA719" s="45"/>
      <c r="AB719" s="45"/>
      <c r="AC719" s="45"/>
    </row>
    <row r="720" spans="1:29" ht="13.15">
      <c r="A720" s="45"/>
      <c r="B720" s="45"/>
      <c r="C720" s="45"/>
      <c r="D720" s="45"/>
      <c r="E720" s="45"/>
      <c r="F720" s="45"/>
      <c r="G720" s="45"/>
      <c r="H720" s="45"/>
      <c r="I720" s="44"/>
      <c r="J720" s="44"/>
      <c r="K720" s="45"/>
      <c r="L720" s="44"/>
      <c r="M720" s="44"/>
      <c r="N720" s="44"/>
      <c r="O720" s="44"/>
      <c r="P720" s="44"/>
      <c r="Q720" s="44"/>
      <c r="R720" s="44"/>
      <c r="S720" s="45"/>
      <c r="T720" s="45"/>
      <c r="U720" s="45"/>
      <c r="V720" s="45"/>
      <c r="W720" s="45"/>
      <c r="X720" s="45"/>
      <c r="Y720" s="45"/>
      <c r="Z720" s="45"/>
      <c r="AA720" s="45"/>
      <c r="AB720" s="45"/>
      <c r="AC720" s="45"/>
    </row>
    <row r="721" spans="1:29" ht="13.15">
      <c r="A721" s="45"/>
      <c r="B721" s="45"/>
      <c r="C721" s="45"/>
      <c r="D721" s="45"/>
      <c r="E721" s="45"/>
      <c r="F721" s="45"/>
      <c r="G721" s="45"/>
      <c r="H721" s="45"/>
      <c r="I721" s="44"/>
      <c r="J721" s="44"/>
      <c r="K721" s="45"/>
      <c r="L721" s="44"/>
      <c r="M721" s="44"/>
      <c r="N721" s="44"/>
      <c r="O721" s="44"/>
      <c r="P721" s="44"/>
      <c r="Q721" s="44"/>
      <c r="R721" s="44"/>
      <c r="S721" s="45"/>
      <c r="T721" s="45"/>
      <c r="U721" s="45"/>
      <c r="V721" s="45"/>
      <c r="W721" s="45"/>
      <c r="X721" s="45"/>
      <c r="Y721" s="45"/>
      <c r="Z721" s="45"/>
      <c r="AA721" s="45"/>
      <c r="AB721" s="45"/>
      <c r="AC721" s="45"/>
    </row>
    <row r="722" spans="1:29" ht="13.15">
      <c r="A722" s="45"/>
      <c r="B722" s="45"/>
      <c r="C722" s="45"/>
      <c r="D722" s="45"/>
      <c r="E722" s="45"/>
      <c r="F722" s="45"/>
      <c r="G722" s="45"/>
      <c r="H722" s="45"/>
      <c r="I722" s="44"/>
      <c r="J722" s="44"/>
      <c r="K722" s="45"/>
      <c r="L722" s="44"/>
      <c r="M722" s="44"/>
      <c r="N722" s="44"/>
      <c r="O722" s="44"/>
      <c r="P722" s="44"/>
      <c r="Q722" s="44"/>
      <c r="R722" s="44"/>
      <c r="S722" s="45"/>
      <c r="T722" s="45"/>
      <c r="U722" s="45"/>
      <c r="V722" s="45"/>
      <c r="W722" s="45"/>
      <c r="X722" s="45"/>
      <c r="Y722" s="45"/>
      <c r="Z722" s="45"/>
      <c r="AA722" s="45"/>
      <c r="AB722" s="45"/>
      <c r="AC722" s="45"/>
    </row>
    <row r="723" spans="1:29" ht="13.15">
      <c r="A723" s="45"/>
      <c r="B723" s="45"/>
      <c r="C723" s="45"/>
      <c r="D723" s="45"/>
      <c r="E723" s="45"/>
      <c r="F723" s="45"/>
      <c r="G723" s="45"/>
      <c r="H723" s="45"/>
      <c r="I723" s="44"/>
      <c r="J723" s="44"/>
      <c r="K723" s="45"/>
      <c r="L723" s="44"/>
      <c r="M723" s="44"/>
      <c r="N723" s="44"/>
      <c r="O723" s="44"/>
      <c r="P723" s="44"/>
      <c r="Q723" s="44"/>
      <c r="R723" s="44"/>
      <c r="S723" s="45"/>
      <c r="T723" s="45"/>
      <c r="U723" s="45"/>
      <c r="V723" s="45"/>
      <c r="W723" s="45"/>
      <c r="X723" s="45"/>
      <c r="Y723" s="45"/>
      <c r="Z723" s="45"/>
      <c r="AA723" s="45"/>
      <c r="AB723" s="45"/>
      <c r="AC723" s="45"/>
    </row>
    <row r="724" spans="1:29" ht="13.15">
      <c r="A724" s="45"/>
      <c r="B724" s="45"/>
      <c r="C724" s="45"/>
      <c r="D724" s="45"/>
      <c r="E724" s="45"/>
      <c r="F724" s="45"/>
      <c r="G724" s="45"/>
      <c r="H724" s="45"/>
      <c r="I724" s="44"/>
      <c r="J724" s="44"/>
      <c r="K724" s="45"/>
      <c r="L724" s="44"/>
      <c r="M724" s="44"/>
      <c r="N724" s="44"/>
      <c r="O724" s="44"/>
      <c r="P724" s="44"/>
      <c r="Q724" s="44"/>
      <c r="R724" s="44"/>
      <c r="S724" s="45"/>
      <c r="T724" s="45"/>
      <c r="U724" s="45"/>
      <c r="V724" s="45"/>
      <c r="W724" s="45"/>
      <c r="X724" s="45"/>
      <c r="Y724" s="45"/>
      <c r="Z724" s="45"/>
      <c r="AA724" s="45"/>
      <c r="AB724" s="45"/>
      <c r="AC724" s="45"/>
    </row>
    <row r="725" spans="1:29" ht="13.15">
      <c r="A725" s="45"/>
      <c r="B725" s="45"/>
      <c r="C725" s="45"/>
      <c r="D725" s="45"/>
      <c r="E725" s="45"/>
      <c r="F725" s="45"/>
      <c r="G725" s="45"/>
      <c r="H725" s="45"/>
      <c r="I725" s="44"/>
      <c r="J725" s="44"/>
      <c r="K725" s="45"/>
      <c r="L725" s="44"/>
      <c r="M725" s="44"/>
      <c r="N725" s="44"/>
      <c r="O725" s="44"/>
      <c r="P725" s="44"/>
      <c r="Q725" s="44"/>
      <c r="R725" s="44"/>
      <c r="S725" s="45"/>
      <c r="T725" s="45"/>
      <c r="U725" s="45"/>
      <c r="V725" s="45"/>
      <c r="W725" s="45"/>
      <c r="X725" s="45"/>
      <c r="Y725" s="45"/>
      <c r="Z725" s="45"/>
      <c r="AA725" s="45"/>
      <c r="AB725" s="45"/>
      <c r="AC725" s="45"/>
    </row>
    <row r="726" spans="1:29" ht="13.15">
      <c r="A726" s="45"/>
      <c r="B726" s="45"/>
      <c r="C726" s="45"/>
      <c r="D726" s="45"/>
      <c r="E726" s="45"/>
      <c r="F726" s="45"/>
      <c r="G726" s="45"/>
      <c r="H726" s="45"/>
      <c r="I726" s="44"/>
      <c r="J726" s="44"/>
      <c r="K726" s="45"/>
      <c r="L726" s="44"/>
      <c r="M726" s="44"/>
      <c r="N726" s="44"/>
      <c r="O726" s="44"/>
      <c r="P726" s="44"/>
      <c r="Q726" s="44"/>
      <c r="R726" s="44"/>
      <c r="S726" s="45"/>
      <c r="T726" s="45"/>
      <c r="U726" s="45"/>
      <c r="V726" s="45"/>
      <c r="W726" s="45"/>
      <c r="X726" s="45"/>
      <c r="Y726" s="45"/>
      <c r="Z726" s="45"/>
      <c r="AA726" s="45"/>
      <c r="AB726" s="45"/>
      <c r="AC726" s="45"/>
    </row>
    <row r="727" spans="1:29" ht="13.15">
      <c r="A727" s="45"/>
      <c r="B727" s="45"/>
      <c r="C727" s="45"/>
      <c r="D727" s="45"/>
      <c r="E727" s="45"/>
      <c r="F727" s="45"/>
      <c r="G727" s="45"/>
      <c r="H727" s="45"/>
      <c r="I727" s="44"/>
      <c r="J727" s="44"/>
      <c r="K727" s="45"/>
      <c r="L727" s="44"/>
      <c r="M727" s="44"/>
      <c r="N727" s="44"/>
      <c r="O727" s="44"/>
      <c r="P727" s="44"/>
      <c r="Q727" s="44"/>
      <c r="R727" s="44"/>
      <c r="S727" s="45"/>
      <c r="T727" s="45"/>
      <c r="U727" s="45"/>
      <c r="V727" s="45"/>
      <c r="W727" s="45"/>
      <c r="X727" s="45"/>
      <c r="Y727" s="45"/>
      <c r="Z727" s="45"/>
      <c r="AA727" s="45"/>
      <c r="AB727" s="45"/>
      <c r="AC727" s="45"/>
    </row>
    <row r="728" spans="1:29" ht="13.15">
      <c r="A728" s="45"/>
      <c r="B728" s="45"/>
      <c r="C728" s="45"/>
      <c r="D728" s="45"/>
      <c r="E728" s="45"/>
      <c r="F728" s="45"/>
      <c r="G728" s="45"/>
      <c r="H728" s="45"/>
      <c r="I728" s="44"/>
      <c r="J728" s="44"/>
      <c r="K728" s="45"/>
      <c r="L728" s="44"/>
      <c r="M728" s="44"/>
      <c r="N728" s="44"/>
      <c r="O728" s="44"/>
      <c r="P728" s="44"/>
      <c r="Q728" s="44"/>
      <c r="R728" s="44"/>
      <c r="S728" s="45"/>
      <c r="T728" s="45"/>
      <c r="U728" s="45"/>
      <c r="V728" s="45"/>
      <c r="W728" s="45"/>
      <c r="X728" s="45"/>
      <c r="Y728" s="45"/>
      <c r="Z728" s="45"/>
      <c r="AA728" s="45"/>
      <c r="AB728" s="45"/>
      <c r="AC728" s="45"/>
    </row>
    <row r="729" spans="1:29" ht="13.15">
      <c r="A729" s="45"/>
      <c r="B729" s="45"/>
      <c r="C729" s="45"/>
      <c r="D729" s="45"/>
      <c r="E729" s="45"/>
      <c r="F729" s="45"/>
      <c r="G729" s="45"/>
      <c r="H729" s="45"/>
      <c r="I729" s="44"/>
      <c r="J729" s="44"/>
      <c r="K729" s="45"/>
      <c r="L729" s="44"/>
      <c r="M729" s="44"/>
      <c r="N729" s="44"/>
      <c r="O729" s="44"/>
      <c r="P729" s="44"/>
      <c r="Q729" s="44"/>
      <c r="R729" s="44"/>
      <c r="S729" s="45"/>
      <c r="T729" s="45"/>
      <c r="U729" s="45"/>
      <c r="V729" s="45"/>
      <c r="W729" s="45"/>
      <c r="X729" s="45"/>
      <c r="Y729" s="45"/>
      <c r="Z729" s="45"/>
      <c r="AA729" s="45"/>
      <c r="AB729" s="45"/>
      <c r="AC729" s="45"/>
    </row>
    <row r="730" spans="1:29" ht="13.15">
      <c r="A730" s="45"/>
      <c r="B730" s="45"/>
      <c r="C730" s="45"/>
      <c r="D730" s="45"/>
      <c r="E730" s="45"/>
      <c r="F730" s="45"/>
      <c r="G730" s="45"/>
      <c r="H730" s="45"/>
      <c r="I730" s="44"/>
      <c r="J730" s="44"/>
      <c r="K730" s="45"/>
      <c r="L730" s="44"/>
      <c r="M730" s="44"/>
      <c r="N730" s="44"/>
      <c r="O730" s="44"/>
      <c r="P730" s="44"/>
      <c r="Q730" s="44"/>
      <c r="R730" s="44"/>
      <c r="S730" s="45"/>
      <c r="T730" s="45"/>
      <c r="U730" s="45"/>
      <c r="V730" s="45"/>
      <c r="W730" s="45"/>
      <c r="X730" s="45"/>
      <c r="Y730" s="45"/>
      <c r="Z730" s="45"/>
      <c r="AA730" s="45"/>
      <c r="AB730" s="45"/>
      <c r="AC730" s="45"/>
    </row>
    <row r="731" spans="1:29" ht="13.15">
      <c r="A731" s="45"/>
      <c r="B731" s="45"/>
      <c r="C731" s="45"/>
      <c r="D731" s="45"/>
      <c r="E731" s="45"/>
      <c r="F731" s="45"/>
      <c r="G731" s="45"/>
      <c r="H731" s="45"/>
      <c r="I731" s="44"/>
      <c r="J731" s="44"/>
      <c r="K731" s="45"/>
      <c r="L731" s="44"/>
      <c r="M731" s="44"/>
      <c r="N731" s="44"/>
      <c r="O731" s="44"/>
      <c r="P731" s="44"/>
      <c r="Q731" s="44"/>
      <c r="R731" s="44"/>
      <c r="S731" s="45"/>
      <c r="T731" s="45"/>
      <c r="U731" s="45"/>
      <c r="V731" s="45"/>
      <c r="W731" s="45"/>
      <c r="X731" s="45"/>
      <c r="Y731" s="45"/>
      <c r="Z731" s="45"/>
      <c r="AA731" s="45"/>
      <c r="AB731" s="45"/>
      <c r="AC731" s="45"/>
    </row>
    <row r="732" spans="1:29" ht="13.15">
      <c r="A732" s="45"/>
      <c r="B732" s="45"/>
      <c r="C732" s="45"/>
      <c r="D732" s="45"/>
      <c r="E732" s="45"/>
      <c r="F732" s="45"/>
      <c r="G732" s="45"/>
      <c r="H732" s="45"/>
      <c r="I732" s="44"/>
      <c r="J732" s="44"/>
      <c r="K732" s="45"/>
      <c r="L732" s="44"/>
      <c r="M732" s="44"/>
      <c r="N732" s="44"/>
      <c r="O732" s="44"/>
      <c r="P732" s="44"/>
      <c r="Q732" s="44"/>
      <c r="R732" s="44"/>
      <c r="S732" s="45"/>
      <c r="T732" s="45"/>
      <c r="U732" s="45"/>
      <c r="V732" s="45"/>
      <c r="W732" s="45"/>
      <c r="X732" s="45"/>
      <c r="Y732" s="45"/>
      <c r="Z732" s="45"/>
      <c r="AA732" s="45"/>
      <c r="AB732" s="45"/>
      <c r="AC732" s="45"/>
    </row>
    <row r="733" spans="1:29" ht="13.15">
      <c r="A733" s="45"/>
      <c r="B733" s="45"/>
      <c r="C733" s="45"/>
      <c r="D733" s="45"/>
      <c r="E733" s="45"/>
      <c r="F733" s="45"/>
      <c r="G733" s="45"/>
      <c r="H733" s="45"/>
      <c r="I733" s="44"/>
      <c r="J733" s="44"/>
      <c r="K733" s="45"/>
      <c r="L733" s="44"/>
      <c r="M733" s="44"/>
      <c r="N733" s="44"/>
      <c r="O733" s="44"/>
      <c r="P733" s="44"/>
      <c r="Q733" s="44"/>
      <c r="R733" s="44"/>
      <c r="S733" s="45"/>
      <c r="T733" s="45"/>
      <c r="U733" s="45"/>
      <c r="V733" s="45"/>
      <c r="W733" s="45"/>
      <c r="X733" s="45"/>
      <c r="Y733" s="45"/>
      <c r="Z733" s="45"/>
      <c r="AA733" s="45"/>
      <c r="AB733" s="45"/>
      <c r="AC733" s="45"/>
    </row>
    <row r="734" spans="1:29" ht="13.15">
      <c r="A734" s="45"/>
      <c r="B734" s="45"/>
      <c r="C734" s="45"/>
      <c r="D734" s="45"/>
      <c r="E734" s="45"/>
      <c r="F734" s="45"/>
      <c r="G734" s="45"/>
      <c r="H734" s="45"/>
      <c r="I734" s="44"/>
      <c r="J734" s="44"/>
      <c r="K734" s="45"/>
      <c r="L734" s="44"/>
      <c r="M734" s="44"/>
      <c r="N734" s="44"/>
      <c r="O734" s="44"/>
      <c r="P734" s="44"/>
      <c r="Q734" s="44"/>
      <c r="R734" s="44"/>
      <c r="S734" s="45"/>
      <c r="T734" s="45"/>
      <c r="U734" s="45"/>
      <c r="V734" s="45"/>
      <c r="W734" s="45"/>
      <c r="X734" s="45"/>
      <c r="Y734" s="45"/>
      <c r="Z734" s="45"/>
      <c r="AA734" s="45"/>
      <c r="AB734" s="45"/>
      <c r="AC734" s="45"/>
    </row>
    <row r="735" spans="1:29" ht="13.15">
      <c r="A735" s="45"/>
      <c r="B735" s="45"/>
      <c r="C735" s="45"/>
      <c r="D735" s="45"/>
      <c r="E735" s="45"/>
      <c r="F735" s="45"/>
      <c r="G735" s="45"/>
      <c r="H735" s="45"/>
      <c r="I735" s="44"/>
      <c r="J735" s="44"/>
      <c r="K735" s="45"/>
      <c r="L735" s="44"/>
      <c r="M735" s="44"/>
      <c r="N735" s="44"/>
      <c r="O735" s="44"/>
      <c r="P735" s="44"/>
      <c r="Q735" s="44"/>
      <c r="R735" s="44"/>
      <c r="S735" s="45"/>
      <c r="T735" s="45"/>
      <c r="U735" s="45"/>
      <c r="V735" s="45"/>
      <c r="W735" s="45"/>
      <c r="X735" s="45"/>
      <c r="Y735" s="45"/>
      <c r="Z735" s="45"/>
      <c r="AA735" s="45"/>
      <c r="AB735" s="45"/>
      <c r="AC735" s="45"/>
    </row>
    <row r="736" spans="1:29" ht="13.15">
      <c r="A736" s="45"/>
      <c r="B736" s="45"/>
      <c r="C736" s="45"/>
      <c r="D736" s="45"/>
      <c r="E736" s="45"/>
      <c r="F736" s="45"/>
      <c r="G736" s="45"/>
      <c r="H736" s="45"/>
      <c r="I736" s="44"/>
      <c r="J736" s="44"/>
      <c r="K736" s="45"/>
      <c r="L736" s="44"/>
      <c r="M736" s="44"/>
      <c r="N736" s="44"/>
      <c r="O736" s="44"/>
      <c r="P736" s="44"/>
      <c r="Q736" s="44"/>
      <c r="R736" s="44"/>
      <c r="S736" s="45"/>
      <c r="T736" s="45"/>
      <c r="U736" s="45"/>
      <c r="V736" s="45"/>
      <c r="W736" s="45"/>
      <c r="X736" s="45"/>
      <c r="Y736" s="45"/>
      <c r="Z736" s="45"/>
      <c r="AA736" s="45"/>
      <c r="AB736" s="45"/>
      <c r="AC736" s="45"/>
    </row>
    <row r="737" spans="1:29" ht="13.15">
      <c r="A737" s="45"/>
      <c r="B737" s="45"/>
      <c r="C737" s="45"/>
      <c r="D737" s="45"/>
      <c r="E737" s="45"/>
      <c r="F737" s="45"/>
      <c r="G737" s="45"/>
      <c r="H737" s="45"/>
      <c r="I737" s="44"/>
      <c r="J737" s="44"/>
      <c r="K737" s="45"/>
      <c r="L737" s="44"/>
      <c r="M737" s="44"/>
      <c r="N737" s="44"/>
      <c r="O737" s="44"/>
      <c r="P737" s="44"/>
      <c r="Q737" s="44"/>
      <c r="R737" s="44"/>
      <c r="S737" s="45"/>
      <c r="T737" s="45"/>
      <c r="U737" s="45"/>
      <c r="V737" s="45"/>
      <c r="W737" s="45"/>
      <c r="X737" s="45"/>
      <c r="Y737" s="45"/>
      <c r="Z737" s="45"/>
      <c r="AA737" s="45"/>
      <c r="AB737" s="45"/>
      <c r="AC737" s="45"/>
    </row>
    <row r="738" spans="1:29" ht="13.15">
      <c r="A738" s="45"/>
      <c r="B738" s="45"/>
      <c r="C738" s="45"/>
      <c r="D738" s="45"/>
      <c r="E738" s="45"/>
      <c r="F738" s="45"/>
      <c r="G738" s="45"/>
      <c r="H738" s="45"/>
      <c r="I738" s="44"/>
      <c r="J738" s="44"/>
      <c r="K738" s="45"/>
      <c r="L738" s="44"/>
      <c r="M738" s="44"/>
      <c r="N738" s="44"/>
      <c r="O738" s="44"/>
      <c r="P738" s="44"/>
      <c r="Q738" s="44"/>
      <c r="R738" s="44"/>
      <c r="S738" s="45"/>
      <c r="T738" s="45"/>
      <c r="U738" s="45"/>
      <c r="V738" s="45"/>
      <c r="W738" s="45"/>
      <c r="X738" s="45"/>
      <c r="Y738" s="45"/>
      <c r="Z738" s="45"/>
      <c r="AA738" s="45"/>
      <c r="AB738" s="45"/>
      <c r="AC738" s="45"/>
    </row>
    <row r="739" spans="1:29" ht="13.15">
      <c r="A739" s="45"/>
      <c r="B739" s="45"/>
      <c r="C739" s="45"/>
      <c r="D739" s="45"/>
      <c r="E739" s="45"/>
      <c r="F739" s="45"/>
      <c r="G739" s="45"/>
      <c r="H739" s="45"/>
      <c r="I739" s="44"/>
      <c r="J739" s="44"/>
      <c r="K739" s="45"/>
      <c r="L739" s="44"/>
      <c r="M739" s="44"/>
      <c r="N739" s="44"/>
      <c r="O739" s="44"/>
      <c r="P739" s="44"/>
      <c r="Q739" s="44"/>
      <c r="R739" s="44"/>
      <c r="S739" s="45"/>
      <c r="T739" s="45"/>
      <c r="U739" s="45"/>
      <c r="V739" s="45"/>
      <c r="W739" s="45"/>
      <c r="X739" s="45"/>
      <c r="Y739" s="45"/>
      <c r="Z739" s="45"/>
      <c r="AA739" s="45"/>
      <c r="AB739" s="45"/>
      <c r="AC739" s="45"/>
    </row>
    <row r="740" spans="1:29" ht="13.15">
      <c r="A740" s="45"/>
      <c r="B740" s="45"/>
      <c r="C740" s="45"/>
      <c r="D740" s="45"/>
      <c r="E740" s="45"/>
      <c r="F740" s="45"/>
      <c r="G740" s="45"/>
      <c r="H740" s="45"/>
      <c r="I740" s="44"/>
      <c r="J740" s="44"/>
      <c r="K740" s="45"/>
      <c r="L740" s="44"/>
      <c r="M740" s="44"/>
      <c r="N740" s="44"/>
      <c r="O740" s="44"/>
      <c r="P740" s="44"/>
      <c r="Q740" s="44"/>
      <c r="R740" s="44"/>
      <c r="S740" s="45"/>
      <c r="T740" s="45"/>
      <c r="U740" s="45"/>
      <c r="V740" s="45"/>
      <c r="W740" s="45"/>
      <c r="X740" s="45"/>
      <c r="Y740" s="45"/>
      <c r="Z740" s="45"/>
      <c r="AA740" s="45"/>
      <c r="AB740" s="45"/>
      <c r="AC740" s="45"/>
    </row>
    <row r="741" spans="1:29" ht="13.15">
      <c r="A741" s="45"/>
      <c r="B741" s="45"/>
      <c r="C741" s="45"/>
      <c r="D741" s="45"/>
      <c r="E741" s="45"/>
      <c r="F741" s="45"/>
      <c r="G741" s="45"/>
      <c r="H741" s="45"/>
      <c r="I741" s="44"/>
      <c r="J741" s="44"/>
      <c r="K741" s="45"/>
      <c r="L741" s="44"/>
      <c r="M741" s="44"/>
      <c r="N741" s="44"/>
      <c r="O741" s="44"/>
      <c r="P741" s="44"/>
      <c r="Q741" s="44"/>
      <c r="R741" s="44"/>
      <c r="S741" s="45"/>
      <c r="T741" s="45"/>
      <c r="U741" s="45"/>
      <c r="V741" s="45"/>
      <c r="W741" s="45"/>
      <c r="X741" s="45"/>
      <c r="Y741" s="45"/>
      <c r="Z741" s="45"/>
      <c r="AA741" s="45"/>
      <c r="AB741" s="45"/>
      <c r="AC741" s="45"/>
    </row>
    <row r="742" spans="1:29" ht="13.15">
      <c r="A742" s="45"/>
      <c r="B742" s="45"/>
      <c r="C742" s="45"/>
      <c r="D742" s="45"/>
      <c r="E742" s="45"/>
      <c r="F742" s="45"/>
      <c r="G742" s="45"/>
      <c r="H742" s="45"/>
      <c r="I742" s="44"/>
      <c r="J742" s="44"/>
      <c r="K742" s="45"/>
      <c r="L742" s="44"/>
      <c r="M742" s="44"/>
      <c r="N742" s="44"/>
      <c r="O742" s="44"/>
      <c r="P742" s="44"/>
      <c r="Q742" s="44"/>
      <c r="R742" s="44"/>
      <c r="S742" s="45"/>
      <c r="T742" s="45"/>
      <c r="U742" s="45"/>
      <c r="V742" s="45"/>
      <c r="W742" s="45"/>
      <c r="X742" s="45"/>
      <c r="Y742" s="45"/>
      <c r="Z742" s="45"/>
      <c r="AA742" s="45"/>
      <c r="AB742" s="45"/>
      <c r="AC742" s="45"/>
    </row>
    <row r="743" spans="1:29" ht="13.15">
      <c r="A743" s="45"/>
      <c r="B743" s="45"/>
      <c r="C743" s="45"/>
      <c r="D743" s="45"/>
      <c r="E743" s="45"/>
      <c r="F743" s="45"/>
      <c r="G743" s="45"/>
      <c r="H743" s="45"/>
      <c r="I743" s="44"/>
      <c r="J743" s="44"/>
      <c r="K743" s="45"/>
      <c r="L743" s="44"/>
      <c r="M743" s="44"/>
      <c r="N743" s="44"/>
      <c r="O743" s="44"/>
      <c r="P743" s="44"/>
      <c r="Q743" s="44"/>
      <c r="R743" s="44"/>
      <c r="S743" s="45"/>
      <c r="T743" s="45"/>
      <c r="U743" s="45"/>
      <c r="V743" s="45"/>
      <c r="W743" s="45"/>
      <c r="X743" s="45"/>
      <c r="Y743" s="45"/>
      <c r="Z743" s="45"/>
      <c r="AA743" s="45"/>
      <c r="AB743" s="45"/>
      <c r="AC743" s="45"/>
    </row>
    <row r="744" spans="1:29" ht="13.15">
      <c r="A744" s="45"/>
      <c r="B744" s="45"/>
      <c r="C744" s="45"/>
      <c r="D744" s="45"/>
      <c r="E744" s="45"/>
      <c r="F744" s="45"/>
      <c r="G744" s="45"/>
      <c r="H744" s="45"/>
      <c r="I744" s="44"/>
      <c r="J744" s="44"/>
      <c r="K744" s="45"/>
      <c r="L744" s="44"/>
      <c r="M744" s="44"/>
      <c r="N744" s="44"/>
      <c r="O744" s="44"/>
      <c r="P744" s="44"/>
      <c r="Q744" s="44"/>
      <c r="R744" s="44"/>
      <c r="S744" s="45"/>
      <c r="T744" s="45"/>
      <c r="U744" s="45"/>
      <c r="V744" s="45"/>
      <c r="W744" s="45"/>
      <c r="X744" s="45"/>
      <c r="Y744" s="45"/>
      <c r="Z744" s="45"/>
      <c r="AA744" s="45"/>
      <c r="AB744" s="45"/>
      <c r="AC744" s="45"/>
    </row>
    <row r="745" spans="1:29" ht="13.15">
      <c r="A745" s="45"/>
      <c r="B745" s="45"/>
      <c r="C745" s="45"/>
      <c r="D745" s="45"/>
      <c r="E745" s="45"/>
      <c r="F745" s="45"/>
      <c r="G745" s="45"/>
      <c r="H745" s="45"/>
      <c r="I745" s="44"/>
      <c r="J745" s="44"/>
      <c r="K745" s="45"/>
      <c r="L745" s="44"/>
      <c r="M745" s="44"/>
      <c r="N745" s="44"/>
      <c r="O745" s="44"/>
      <c r="P745" s="44"/>
      <c r="Q745" s="44"/>
      <c r="R745" s="44"/>
      <c r="S745" s="45"/>
      <c r="T745" s="45"/>
      <c r="U745" s="45"/>
      <c r="V745" s="45"/>
      <c r="W745" s="45"/>
      <c r="X745" s="45"/>
      <c r="Y745" s="45"/>
      <c r="Z745" s="45"/>
      <c r="AA745" s="45"/>
      <c r="AB745" s="45"/>
      <c r="AC745" s="45"/>
    </row>
    <row r="746" spans="1:29" ht="13.15">
      <c r="A746" s="45"/>
      <c r="B746" s="45"/>
      <c r="C746" s="45"/>
      <c r="D746" s="45"/>
      <c r="E746" s="45"/>
      <c r="F746" s="45"/>
      <c r="G746" s="45"/>
      <c r="H746" s="45"/>
      <c r="I746" s="44"/>
      <c r="J746" s="44"/>
      <c r="K746" s="45"/>
      <c r="L746" s="44"/>
      <c r="M746" s="44"/>
      <c r="N746" s="44"/>
      <c r="O746" s="44"/>
      <c r="P746" s="44"/>
      <c r="Q746" s="44"/>
      <c r="R746" s="44"/>
      <c r="S746" s="45"/>
      <c r="T746" s="45"/>
      <c r="U746" s="45"/>
      <c r="V746" s="45"/>
      <c r="W746" s="45"/>
      <c r="X746" s="45"/>
      <c r="Y746" s="45"/>
      <c r="Z746" s="45"/>
      <c r="AA746" s="45"/>
      <c r="AB746" s="45"/>
      <c r="AC746" s="45"/>
    </row>
    <row r="747" spans="1:29" ht="13.15">
      <c r="A747" s="45"/>
      <c r="B747" s="45"/>
      <c r="C747" s="45"/>
      <c r="D747" s="45"/>
      <c r="E747" s="45"/>
      <c r="F747" s="45"/>
      <c r="G747" s="45"/>
      <c r="H747" s="45"/>
      <c r="I747" s="44"/>
      <c r="J747" s="44"/>
      <c r="K747" s="45"/>
      <c r="L747" s="44"/>
      <c r="M747" s="44"/>
      <c r="N747" s="44"/>
      <c r="O747" s="44"/>
      <c r="P747" s="44"/>
      <c r="Q747" s="44"/>
      <c r="R747" s="44"/>
      <c r="S747" s="45"/>
      <c r="T747" s="45"/>
      <c r="U747" s="45"/>
      <c r="V747" s="45"/>
      <c r="W747" s="45"/>
      <c r="X747" s="45"/>
      <c r="Y747" s="45"/>
      <c r="Z747" s="45"/>
      <c r="AA747" s="45"/>
      <c r="AB747" s="45"/>
      <c r="AC747" s="45"/>
    </row>
    <row r="748" spans="1:29" ht="13.15">
      <c r="A748" s="45"/>
      <c r="B748" s="45"/>
      <c r="C748" s="45"/>
      <c r="D748" s="45"/>
      <c r="E748" s="45"/>
      <c r="F748" s="45"/>
      <c r="G748" s="45"/>
      <c r="H748" s="45"/>
      <c r="I748" s="44"/>
      <c r="J748" s="44"/>
      <c r="K748" s="45"/>
      <c r="L748" s="44"/>
      <c r="M748" s="44"/>
      <c r="N748" s="44"/>
      <c r="O748" s="44"/>
      <c r="P748" s="44"/>
      <c r="Q748" s="44"/>
      <c r="R748" s="44"/>
      <c r="S748" s="45"/>
      <c r="T748" s="45"/>
      <c r="U748" s="45"/>
      <c r="V748" s="45"/>
      <c r="W748" s="45"/>
      <c r="X748" s="45"/>
      <c r="Y748" s="45"/>
      <c r="Z748" s="45"/>
      <c r="AA748" s="45"/>
      <c r="AB748" s="45"/>
      <c r="AC748" s="45"/>
    </row>
    <row r="749" spans="1:29" ht="13.15">
      <c r="A749" s="45"/>
      <c r="B749" s="45"/>
      <c r="C749" s="45"/>
      <c r="D749" s="45"/>
      <c r="E749" s="45"/>
      <c r="F749" s="45"/>
      <c r="G749" s="45"/>
      <c r="H749" s="45"/>
      <c r="I749" s="44"/>
      <c r="J749" s="44"/>
      <c r="K749" s="45"/>
      <c r="L749" s="44"/>
      <c r="M749" s="44"/>
      <c r="N749" s="44"/>
      <c r="O749" s="44"/>
      <c r="P749" s="44"/>
      <c r="Q749" s="44"/>
      <c r="R749" s="44"/>
      <c r="S749" s="45"/>
      <c r="T749" s="45"/>
      <c r="U749" s="45"/>
      <c r="V749" s="45"/>
      <c r="W749" s="45"/>
      <c r="X749" s="45"/>
      <c r="Y749" s="45"/>
      <c r="Z749" s="45"/>
      <c r="AA749" s="45"/>
      <c r="AB749" s="45"/>
      <c r="AC749" s="45"/>
    </row>
    <row r="750" spans="1:29" ht="13.15">
      <c r="A750" s="45"/>
      <c r="B750" s="45"/>
      <c r="C750" s="45"/>
      <c r="D750" s="45"/>
      <c r="E750" s="45"/>
      <c r="F750" s="45"/>
      <c r="G750" s="45"/>
      <c r="H750" s="45"/>
      <c r="I750" s="44"/>
      <c r="J750" s="44"/>
      <c r="K750" s="45"/>
      <c r="L750" s="44"/>
      <c r="M750" s="44"/>
      <c r="N750" s="44"/>
      <c r="O750" s="44"/>
      <c r="P750" s="44"/>
      <c r="Q750" s="44"/>
      <c r="R750" s="44"/>
      <c r="S750" s="45"/>
      <c r="T750" s="45"/>
      <c r="U750" s="45"/>
      <c r="V750" s="45"/>
      <c r="W750" s="45"/>
      <c r="X750" s="45"/>
      <c r="Y750" s="45"/>
      <c r="Z750" s="45"/>
      <c r="AA750" s="45"/>
      <c r="AB750" s="45"/>
      <c r="AC750" s="45"/>
    </row>
    <row r="751" spans="1:29" ht="13.15">
      <c r="A751" s="45"/>
      <c r="B751" s="45"/>
      <c r="C751" s="45"/>
      <c r="D751" s="45"/>
      <c r="E751" s="45"/>
      <c r="F751" s="45"/>
      <c r="G751" s="45"/>
      <c r="H751" s="45"/>
      <c r="I751" s="44"/>
      <c r="J751" s="44"/>
      <c r="K751" s="45"/>
      <c r="L751" s="44"/>
      <c r="M751" s="44"/>
      <c r="N751" s="44"/>
      <c r="O751" s="44"/>
      <c r="P751" s="44"/>
      <c r="Q751" s="44"/>
      <c r="R751" s="44"/>
      <c r="S751" s="45"/>
      <c r="T751" s="45"/>
      <c r="U751" s="45"/>
      <c r="V751" s="45"/>
      <c r="W751" s="45"/>
      <c r="X751" s="45"/>
      <c r="Y751" s="45"/>
      <c r="Z751" s="45"/>
      <c r="AA751" s="45"/>
      <c r="AB751" s="45"/>
      <c r="AC751" s="45"/>
    </row>
    <row r="752" spans="1:29" ht="13.15">
      <c r="A752" s="45"/>
      <c r="B752" s="45"/>
      <c r="C752" s="45"/>
      <c r="D752" s="45"/>
      <c r="E752" s="45"/>
      <c r="F752" s="45"/>
      <c r="G752" s="45"/>
      <c r="H752" s="45"/>
      <c r="I752" s="44"/>
      <c r="J752" s="44"/>
      <c r="K752" s="45"/>
      <c r="L752" s="44"/>
      <c r="M752" s="44"/>
      <c r="N752" s="44"/>
      <c r="O752" s="44"/>
      <c r="P752" s="44"/>
      <c r="Q752" s="44"/>
      <c r="R752" s="44"/>
      <c r="S752" s="45"/>
      <c r="T752" s="45"/>
      <c r="U752" s="45"/>
      <c r="V752" s="45"/>
      <c r="W752" s="45"/>
      <c r="X752" s="45"/>
      <c r="Y752" s="45"/>
      <c r="Z752" s="45"/>
      <c r="AA752" s="45"/>
      <c r="AB752" s="45"/>
      <c r="AC752" s="45"/>
    </row>
    <row r="753" spans="1:29" ht="13.15">
      <c r="A753" s="45"/>
      <c r="B753" s="45"/>
      <c r="C753" s="45"/>
      <c r="D753" s="45"/>
      <c r="E753" s="45"/>
      <c r="F753" s="45"/>
      <c r="G753" s="45"/>
      <c r="H753" s="45"/>
      <c r="I753" s="44"/>
      <c r="J753" s="44"/>
      <c r="K753" s="45"/>
      <c r="L753" s="44"/>
      <c r="M753" s="44"/>
      <c r="N753" s="44"/>
      <c r="O753" s="44"/>
      <c r="P753" s="44"/>
      <c r="Q753" s="44"/>
      <c r="R753" s="44"/>
      <c r="S753" s="45"/>
      <c r="T753" s="45"/>
      <c r="U753" s="45"/>
      <c r="V753" s="45"/>
      <c r="W753" s="45"/>
      <c r="X753" s="45"/>
      <c r="Y753" s="45"/>
      <c r="Z753" s="45"/>
      <c r="AA753" s="45"/>
      <c r="AB753" s="45"/>
      <c r="AC753" s="45"/>
    </row>
    <row r="754" spans="1:29" ht="13.15">
      <c r="A754" s="45"/>
      <c r="B754" s="45"/>
      <c r="C754" s="45"/>
      <c r="D754" s="45"/>
      <c r="E754" s="45"/>
      <c r="F754" s="45"/>
      <c r="G754" s="45"/>
      <c r="H754" s="45"/>
      <c r="I754" s="44"/>
      <c r="J754" s="44"/>
      <c r="K754" s="45"/>
      <c r="L754" s="44"/>
      <c r="M754" s="44"/>
      <c r="N754" s="44"/>
      <c r="O754" s="44"/>
      <c r="P754" s="44"/>
      <c r="Q754" s="44"/>
      <c r="R754" s="44"/>
      <c r="S754" s="45"/>
      <c r="T754" s="45"/>
      <c r="U754" s="45"/>
      <c r="V754" s="45"/>
      <c r="W754" s="45"/>
      <c r="X754" s="45"/>
      <c r="Y754" s="45"/>
      <c r="Z754" s="45"/>
      <c r="AA754" s="45"/>
      <c r="AB754" s="45"/>
      <c r="AC754" s="45"/>
    </row>
    <row r="755" spans="1:29" ht="13.15">
      <c r="A755" s="45"/>
      <c r="B755" s="45"/>
      <c r="C755" s="45"/>
      <c r="D755" s="45"/>
      <c r="E755" s="45"/>
      <c r="F755" s="45"/>
      <c r="G755" s="45"/>
      <c r="H755" s="45"/>
      <c r="I755" s="44"/>
      <c r="J755" s="44"/>
      <c r="K755" s="45"/>
      <c r="L755" s="44"/>
      <c r="M755" s="44"/>
      <c r="N755" s="44"/>
      <c r="O755" s="44"/>
      <c r="P755" s="44"/>
      <c r="Q755" s="44"/>
      <c r="R755" s="44"/>
      <c r="S755" s="45"/>
      <c r="T755" s="45"/>
      <c r="U755" s="45"/>
      <c r="V755" s="45"/>
      <c r="W755" s="45"/>
      <c r="X755" s="45"/>
      <c r="Y755" s="45"/>
      <c r="Z755" s="45"/>
      <c r="AA755" s="45"/>
      <c r="AB755" s="45"/>
      <c r="AC755" s="45"/>
    </row>
    <row r="756" spans="1:29" ht="13.15">
      <c r="A756" s="45"/>
      <c r="B756" s="45"/>
      <c r="C756" s="45"/>
      <c r="D756" s="45"/>
      <c r="E756" s="45"/>
      <c r="F756" s="45"/>
      <c r="G756" s="45"/>
      <c r="H756" s="45"/>
      <c r="I756" s="44"/>
      <c r="J756" s="44"/>
      <c r="K756" s="45"/>
      <c r="L756" s="44"/>
      <c r="M756" s="44"/>
      <c r="N756" s="44"/>
      <c r="O756" s="44"/>
      <c r="P756" s="44"/>
      <c r="Q756" s="44"/>
      <c r="R756" s="44"/>
      <c r="S756" s="45"/>
      <c r="T756" s="45"/>
      <c r="U756" s="45"/>
      <c r="V756" s="45"/>
      <c r="W756" s="45"/>
      <c r="X756" s="45"/>
      <c r="Y756" s="45"/>
      <c r="Z756" s="45"/>
      <c r="AA756" s="45"/>
      <c r="AB756" s="45"/>
      <c r="AC756" s="45"/>
    </row>
    <row r="757" spans="1:29" ht="13.15">
      <c r="A757" s="45"/>
      <c r="B757" s="45"/>
      <c r="C757" s="45"/>
      <c r="D757" s="45"/>
      <c r="E757" s="45"/>
      <c r="F757" s="45"/>
      <c r="G757" s="45"/>
      <c r="H757" s="45"/>
      <c r="I757" s="44"/>
      <c r="J757" s="44"/>
      <c r="K757" s="45"/>
      <c r="L757" s="44"/>
      <c r="M757" s="44"/>
      <c r="N757" s="44"/>
      <c r="O757" s="44"/>
      <c r="P757" s="44"/>
      <c r="Q757" s="44"/>
      <c r="R757" s="44"/>
      <c r="S757" s="45"/>
      <c r="T757" s="45"/>
      <c r="U757" s="45"/>
      <c r="V757" s="45"/>
      <c r="W757" s="45"/>
      <c r="X757" s="45"/>
      <c r="Y757" s="45"/>
      <c r="Z757" s="45"/>
      <c r="AA757" s="45"/>
      <c r="AB757" s="45"/>
      <c r="AC757" s="45"/>
    </row>
    <row r="758" spans="1:29" ht="13.15">
      <c r="A758" s="45"/>
      <c r="B758" s="45"/>
      <c r="C758" s="45"/>
      <c r="D758" s="45"/>
      <c r="E758" s="45"/>
      <c r="F758" s="45"/>
      <c r="G758" s="45"/>
      <c r="H758" s="45"/>
      <c r="I758" s="44"/>
      <c r="J758" s="44"/>
      <c r="K758" s="45"/>
      <c r="L758" s="44"/>
      <c r="M758" s="44"/>
      <c r="N758" s="44"/>
      <c r="O758" s="44"/>
      <c r="P758" s="44"/>
      <c r="Q758" s="44"/>
      <c r="R758" s="44"/>
      <c r="S758" s="45"/>
      <c r="T758" s="45"/>
      <c r="U758" s="45"/>
      <c r="V758" s="45"/>
      <c r="W758" s="45"/>
      <c r="X758" s="45"/>
      <c r="Y758" s="45"/>
      <c r="Z758" s="45"/>
      <c r="AA758" s="45"/>
      <c r="AB758" s="45"/>
      <c r="AC758" s="45"/>
    </row>
    <row r="759" spans="1:29" ht="13.15">
      <c r="A759" s="45"/>
      <c r="B759" s="45"/>
      <c r="C759" s="45"/>
      <c r="D759" s="45"/>
      <c r="E759" s="45"/>
      <c r="F759" s="45"/>
      <c r="G759" s="45"/>
      <c r="H759" s="45"/>
      <c r="I759" s="44"/>
      <c r="J759" s="44"/>
      <c r="K759" s="45"/>
      <c r="L759" s="44"/>
      <c r="M759" s="44"/>
      <c r="N759" s="44"/>
      <c r="O759" s="44"/>
      <c r="P759" s="44"/>
      <c r="Q759" s="44"/>
      <c r="R759" s="44"/>
      <c r="S759" s="45"/>
      <c r="T759" s="45"/>
      <c r="U759" s="45"/>
      <c r="V759" s="45"/>
      <c r="W759" s="45"/>
      <c r="X759" s="45"/>
      <c r="Y759" s="45"/>
      <c r="Z759" s="45"/>
      <c r="AA759" s="45"/>
      <c r="AB759" s="45"/>
      <c r="AC759" s="45"/>
    </row>
    <row r="760" spans="1:29" ht="13.15">
      <c r="A760" s="45"/>
      <c r="B760" s="45"/>
      <c r="C760" s="45"/>
      <c r="D760" s="45"/>
      <c r="E760" s="45"/>
      <c r="F760" s="45"/>
      <c r="G760" s="45"/>
      <c r="H760" s="45"/>
      <c r="I760" s="44"/>
      <c r="J760" s="44"/>
      <c r="K760" s="45"/>
      <c r="L760" s="44"/>
      <c r="M760" s="44"/>
      <c r="N760" s="44"/>
      <c r="O760" s="44"/>
      <c r="P760" s="44"/>
      <c r="Q760" s="44"/>
      <c r="R760" s="44"/>
      <c r="S760" s="45"/>
      <c r="T760" s="45"/>
      <c r="U760" s="45"/>
      <c r="V760" s="45"/>
      <c r="W760" s="45"/>
      <c r="X760" s="45"/>
      <c r="Y760" s="45"/>
      <c r="Z760" s="45"/>
      <c r="AA760" s="45"/>
      <c r="AB760" s="45"/>
      <c r="AC760" s="45"/>
    </row>
    <row r="761" spans="1:29" ht="13.15">
      <c r="A761" s="45"/>
      <c r="B761" s="45"/>
      <c r="C761" s="45"/>
      <c r="D761" s="45"/>
      <c r="E761" s="45"/>
      <c r="F761" s="45"/>
      <c r="G761" s="45"/>
      <c r="H761" s="45"/>
      <c r="I761" s="44"/>
      <c r="J761" s="44"/>
      <c r="K761" s="45"/>
      <c r="L761" s="44"/>
      <c r="M761" s="44"/>
      <c r="N761" s="44"/>
      <c r="O761" s="44"/>
      <c r="P761" s="44"/>
      <c r="Q761" s="44"/>
      <c r="R761" s="44"/>
      <c r="S761" s="45"/>
      <c r="T761" s="45"/>
      <c r="U761" s="45"/>
      <c r="V761" s="45"/>
      <c r="W761" s="45"/>
      <c r="X761" s="45"/>
      <c r="Y761" s="45"/>
      <c r="Z761" s="45"/>
      <c r="AA761" s="45"/>
      <c r="AB761" s="45"/>
      <c r="AC761" s="45"/>
    </row>
    <row r="762" spans="1:29" ht="13.15">
      <c r="A762" s="45"/>
      <c r="B762" s="45"/>
      <c r="C762" s="45"/>
      <c r="D762" s="45"/>
      <c r="E762" s="45"/>
      <c r="F762" s="45"/>
      <c r="G762" s="45"/>
      <c r="H762" s="45"/>
      <c r="I762" s="44"/>
      <c r="J762" s="44"/>
      <c r="K762" s="45"/>
      <c r="L762" s="44"/>
      <c r="M762" s="44"/>
      <c r="N762" s="44"/>
      <c r="O762" s="44"/>
      <c r="P762" s="44"/>
      <c r="Q762" s="44"/>
      <c r="R762" s="44"/>
      <c r="S762" s="45"/>
      <c r="T762" s="45"/>
      <c r="U762" s="45"/>
      <c r="V762" s="45"/>
      <c r="W762" s="45"/>
      <c r="X762" s="45"/>
      <c r="Y762" s="45"/>
      <c r="Z762" s="45"/>
      <c r="AA762" s="45"/>
      <c r="AB762" s="45"/>
      <c r="AC762" s="45"/>
    </row>
    <row r="763" spans="1:29" ht="13.15">
      <c r="A763" s="45"/>
      <c r="B763" s="45"/>
      <c r="C763" s="45"/>
      <c r="D763" s="45"/>
      <c r="E763" s="45"/>
      <c r="F763" s="45"/>
      <c r="G763" s="45"/>
      <c r="H763" s="45"/>
      <c r="I763" s="44"/>
      <c r="J763" s="44"/>
      <c r="K763" s="45"/>
      <c r="L763" s="44"/>
      <c r="M763" s="44"/>
      <c r="N763" s="44"/>
      <c r="O763" s="44"/>
      <c r="P763" s="44"/>
      <c r="Q763" s="44"/>
      <c r="R763" s="44"/>
      <c r="S763" s="45"/>
      <c r="T763" s="45"/>
      <c r="U763" s="45"/>
      <c r="V763" s="45"/>
      <c r="W763" s="45"/>
      <c r="X763" s="45"/>
      <c r="Y763" s="45"/>
      <c r="Z763" s="45"/>
      <c r="AA763" s="45"/>
      <c r="AB763" s="45"/>
      <c r="AC763" s="45"/>
    </row>
    <row r="764" spans="1:29" ht="13.15">
      <c r="A764" s="45"/>
      <c r="B764" s="45"/>
      <c r="C764" s="45"/>
      <c r="D764" s="45"/>
      <c r="E764" s="45"/>
      <c r="F764" s="45"/>
      <c r="G764" s="45"/>
      <c r="H764" s="45"/>
      <c r="I764" s="44"/>
      <c r="J764" s="44"/>
      <c r="K764" s="45"/>
      <c r="L764" s="44"/>
      <c r="M764" s="44"/>
      <c r="N764" s="44"/>
      <c r="O764" s="44"/>
      <c r="P764" s="44"/>
      <c r="Q764" s="44"/>
      <c r="R764" s="44"/>
      <c r="S764" s="45"/>
      <c r="T764" s="45"/>
      <c r="U764" s="45"/>
      <c r="V764" s="45"/>
      <c r="W764" s="45"/>
      <c r="X764" s="45"/>
      <c r="Y764" s="45"/>
      <c r="Z764" s="45"/>
      <c r="AA764" s="45"/>
      <c r="AB764" s="45"/>
      <c r="AC764" s="45"/>
    </row>
    <row r="765" spans="1:29" ht="13.15">
      <c r="A765" s="45"/>
      <c r="B765" s="45"/>
      <c r="C765" s="45"/>
      <c r="D765" s="45"/>
      <c r="E765" s="45"/>
      <c r="F765" s="45"/>
      <c r="G765" s="45"/>
      <c r="H765" s="45"/>
      <c r="I765" s="44"/>
      <c r="J765" s="44"/>
      <c r="K765" s="45"/>
      <c r="L765" s="44"/>
      <c r="M765" s="44"/>
      <c r="N765" s="44"/>
      <c r="O765" s="44"/>
      <c r="P765" s="44"/>
      <c r="Q765" s="44"/>
      <c r="R765" s="44"/>
      <c r="S765" s="45"/>
      <c r="T765" s="45"/>
      <c r="U765" s="45"/>
      <c r="V765" s="45"/>
      <c r="W765" s="45"/>
      <c r="X765" s="45"/>
      <c r="Y765" s="45"/>
      <c r="Z765" s="45"/>
      <c r="AA765" s="45"/>
      <c r="AB765" s="45"/>
      <c r="AC765" s="45"/>
    </row>
    <row r="766" spans="1:29" ht="13.15">
      <c r="A766" s="45"/>
      <c r="B766" s="45"/>
      <c r="C766" s="45"/>
      <c r="D766" s="45"/>
      <c r="E766" s="45"/>
      <c r="F766" s="45"/>
      <c r="G766" s="45"/>
      <c r="H766" s="45"/>
      <c r="I766" s="44"/>
      <c r="J766" s="44"/>
      <c r="K766" s="45"/>
      <c r="L766" s="44"/>
      <c r="M766" s="44"/>
      <c r="N766" s="44"/>
      <c r="O766" s="44"/>
      <c r="P766" s="44"/>
      <c r="Q766" s="44"/>
      <c r="R766" s="44"/>
      <c r="S766" s="45"/>
      <c r="T766" s="45"/>
      <c r="U766" s="45"/>
      <c r="V766" s="45"/>
      <c r="W766" s="45"/>
      <c r="X766" s="45"/>
      <c r="Y766" s="45"/>
      <c r="Z766" s="45"/>
      <c r="AA766" s="45"/>
      <c r="AB766" s="45"/>
      <c r="AC766" s="45"/>
    </row>
    <row r="767" spans="1:29" ht="13.15">
      <c r="A767" s="45"/>
      <c r="B767" s="45"/>
      <c r="C767" s="45"/>
      <c r="D767" s="45"/>
      <c r="E767" s="45"/>
      <c r="F767" s="45"/>
      <c r="G767" s="45"/>
      <c r="H767" s="45"/>
      <c r="I767" s="44"/>
      <c r="J767" s="44"/>
      <c r="K767" s="45"/>
      <c r="L767" s="44"/>
      <c r="M767" s="44"/>
      <c r="N767" s="44"/>
      <c r="O767" s="44"/>
      <c r="P767" s="44"/>
      <c r="Q767" s="44"/>
      <c r="R767" s="44"/>
      <c r="S767" s="45"/>
      <c r="T767" s="45"/>
      <c r="U767" s="45"/>
      <c r="V767" s="45"/>
      <c r="W767" s="45"/>
      <c r="X767" s="45"/>
      <c r="Y767" s="45"/>
      <c r="Z767" s="45"/>
      <c r="AA767" s="45"/>
      <c r="AB767" s="45"/>
      <c r="AC767" s="45"/>
    </row>
    <row r="768" spans="1:29" ht="13.15">
      <c r="A768" s="45"/>
      <c r="B768" s="45"/>
      <c r="C768" s="45"/>
      <c r="D768" s="45"/>
      <c r="E768" s="45"/>
      <c r="F768" s="45"/>
      <c r="G768" s="45"/>
      <c r="H768" s="45"/>
      <c r="I768" s="44"/>
      <c r="J768" s="44"/>
      <c r="K768" s="45"/>
      <c r="L768" s="44"/>
      <c r="M768" s="44"/>
      <c r="N768" s="44"/>
      <c r="O768" s="44"/>
      <c r="P768" s="44"/>
      <c r="Q768" s="44"/>
      <c r="R768" s="44"/>
      <c r="S768" s="45"/>
      <c r="T768" s="45"/>
      <c r="U768" s="45"/>
      <c r="V768" s="45"/>
      <c r="W768" s="45"/>
      <c r="X768" s="45"/>
      <c r="Y768" s="45"/>
      <c r="Z768" s="45"/>
      <c r="AA768" s="45"/>
      <c r="AB768" s="45"/>
      <c r="AC768" s="45"/>
    </row>
    <row r="769" spans="1:29" ht="13.15">
      <c r="A769" s="45"/>
      <c r="B769" s="45"/>
      <c r="C769" s="45"/>
      <c r="D769" s="45"/>
      <c r="E769" s="45"/>
      <c r="F769" s="45"/>
      <c r="G769" s="45"/>
      <c r="H769" s="45"/>
      <c r="I769" s="44"/>
      <c r="J769" s="44"/>
      <c r="K769" s="45"/>
      <c r="L769" s="44"/>
      <c r="M769" s="44"/>
      <c r="N769" s="44"/>
      <c r="O769" s="44"/>
      <c r="P769" s="44"/>
      <c r="Q769" s="44"/>
      <c r="R769" s="44"/>
      <c r="S769" s="45"/>
      <c r="T769" s="45"/>
      <c r="U769" s="45"/>
      <c r="V769" s="45"/>
      <c r="W769" s="45"/>
      <c r="X769" s="45"/>
      <c r="Y769" s="45"/>
      <c r="Z769" s="45"/>
      <c r="AA769" s="45"/>
      <c r="AB769" s="45"/>
      <c r="AC769" s="45"/>
    </row>
    <row r="770" spans="1:29" ht="13.15">
      <c r="A770" s="45"/>
      <c r="B770" s="45"/>
      <c r="C770" s="45"/>
      <c r="D770" s="45"/>
      <c r="E770" s="45"/>
      <c r="F770" s="45"/>
      <c r="G770" s="45"/>
      <c r="H770" s="45"/>
      <c r="I770" s="44"/>
      <c r="J770" s="44"/>
      <c r="K770" s="45"/>
      <c r="L770" s="44"/>
      <c r="M770" s="44"/>
      <c r="N770" s="44"/>
      <c r="O770" s="44"/>
      <c r="P770" s="44"/>
      <c r="Q770" s="44"/>
      <c r="R770" s="44"/>
      <c r="S770" s="45"/>
      <c r="T770" s="45"/>
      <c r="U770" s="45"/>
      <c r="V770" s="45"/>
      <c r="W770" s="45"/>
      <c r="X770" s="45"/>
      <c r="Y770" s="45"/>
      <c r="Z770" s="45"/>
      <c r="AA770" s="45"/>
      <c r="AB770" s="45"/>
      <c r="AC770" s="45"/>
    </row>
    <row r="771" spans="1:29" ht="13.15">
      <c r="A771" s="45"/>
      <c r="B771" s="45"/>
      <c r="C771" s="45"/>
      <c r="D771" s="45"/>
      <c r="E771" s="45"/>
      <c r="F771" s="45"/>
      <c r="G771" s="45"/>
      <c r="H771" s="45"/>
      <c r="I771" s="44"/>
      <c r="J771" s="44"/>
      <c r="K771" s="45"/>
      <c r="L771" s="44"/>
      <c r="M771" s="44"/>
      <c r="N771" s="44"/>
      <c r="O771" s="44"/>
      <c r="P771" s="44"/>
      <c r="Q771" s="44"/>
      <c r="R771" s="44"/>
      <c r="S771" s="45"/>
      <c r="T771" s="45"/>
      <c r="U771" s="45"/>
      <c r="V771" s="45"/>
      <c r="W771" s="45"/>
      <c r="X771" s="45"/>
      <c r="Y771" s="45"/>
      <c r="Z771" s="45"/>
      <c r="AA771" s="45"/>
      <c r="AB771" s="45"/>
      <c r="AC771" s="45"/>
    </row>
    <row r="772" spans="1:29" ht="13.15">
      <c r="A772" s="45"/>
      <c r="B772" s="45"/>
      <c r="C772" s="45"/>
      <c r="D772" s="45"/>
      <c r="E772" s="45"/>
      <c r="F772" s="45"/>
      <c r="G772" s="45"/>
      <c r="H772" s="45"/>
      <c r="I772" s="44"/>
      <c r="J772" s="44"/>
      <c r="K772" s="45"/>
      <c r="L772" s="44"/>
      <c r="M772" s="44"/>
      <c r="N772" s="44"/>
      <c r="O772" s="44"/>
      <c r="P772" s="44"/>
      <c r="Q772" s="44"/>
      <c r="R772" s="44"/>
      <c r="S772" s="45"/>
      <c r="T772" s="45"/>
      <c r="U772" s="45"/>
      <c r="V772" s="45"/>
      <c r="W772" s="45"/>
      <c r="X772" s="45"/>
      <c r="Y772" s="45"/>
      <c r="Z772" s="45"/>
      <c r="AA772" s="45"/>
      <c r="AB772" s="45"/>
      <c r="AC772" s="45"/>
    </row>
    <row r="773" spans="1:29" ht="13.15">
      <c r="A773" s="45"/>
      <c r="B773" s="45"/>
      <c r="C773" s="45"/>
      <c r="D773" s="45"/>
      <c r="E773" s="45"/>
      <c r="F773" s="45"/>
      <c r="G773" s="45"/>
      <c r="H773" s="45"/>
      <c r="I773" s="44"/>
      <c r="J773" s="44"/>
      <c r="K773" s="45"/>
      <c r="L773" s="44"/>
      <c r="M773" s="44"/>
      <c r="N773" s="44"/>
      <c r="O773" s="44"/>
      <c r="P773" s="44"/>
      <c r="Q773" s="44"/>
      <c r="R773" s="44"/>
      <c r="S773" s="45"/>
      <c r="T773" s="45"/>
      <c r="U773" s="45"/>
      <c r="V773" s="45"/>
      <c r="W773" s="45"/>
      <c r="X773" s="45"/>
      <c r="Y773" s="45"/>
      <c r="Z773" s="45"/>
      <c r="AA773" s="45"/>
      <c r="AB773" s="45"/>
      <c r="AC773" s="45"/>
    </row>
    <row r="774" spans="1:29" ht="13.15">
      <c r="A774" s="45"/>
      <c r="B774" s="45"/>
      <c r="C774" s="45"/>
      <c r="D774" s="45"/>
      <c r="E774" s="45"/>
      <c r="F774" s="45"/>
      <c r="G774" s="45"/>
      <c r="H774" s="45"/>
      <c r="I774" s="44"/>
      <c r="J774" s="44"/>
      <c r="K774" s="45"/>
      <c r="L774" s="44"/>
      <c r="M774" s="44"/>
      <c r="N774" s="44"/>
      <c r="O774" s="44"/>
      <c r="P774" s="44"/>
      <c r="Q774" s="44"/>
      <c r="R774" s="44"/>
      <c r="S774" s="45"/>
      <c r="T774" s="45"/>
      <c r="U774" s="45"/>
      <c r="V774" s="45"/>
      <c r="W774" s="45"/>
      <c r="X774" s="45"/>
      <c r="Y774" s="45"/>
      <c r="Z774" s="45"/>
      <c r="AA774" s="45"/>
      <c r="AB774" s="45"/>
      <c r="AC774" s="45"/>
    </row>
    <row r="775" spans="1:29" ht="13.15">
      <c r="A775" s="45"/>
      <c r="B775" s="45"/>
      <c r="C775" s="45"/>
      <c r="D775" s="45"/>
      <c r="E775" s="45"/>
      <c r="F775" s="45"/>
      <c r="G775" s="45"/>
      <c r="H775" s="45"/>
      <c r="I775" s="44"/>
      <c r="J775" s="44"/>
      <c r="K775" s="45"/>
      <c r="L775" s="44"/>
      <c r="M775" s="44"/>
      <c r="N775" s="44"/>
      <c r="O775" s="44"/>
      <c r="P775" s="44"/>
      <c r="Q775" s="44"/>
      <c r="R775" s="44"/>
      <c r="S775" s="45"/>
      <c r="T775" s="45"/>
      <c r="U775" s="45"/>
      <c r="V775" s="45"/>
      <c r="W775" s="45"/>
      <c r="X775" s="45"/>
      <c r="Y775" s="45"/>
      <c r="Z775" s="45"/>
      <c r="AA775" s="45"/>
      <c r="AB775" s="45"/>
      <c r="AC775" s="45"/>
    </row>
    <row r="776" spans="1:29" ht="13.15">
      <c r="A776" s="45"/>
      <c r="B776" s="45"/>
      <c r="C776" s="45"/>
      <c r="D776" s="45"/>
      <c r="E776" s="45"/>
      <c r="F776" s="45"/>
      <c r="G776" s="45"/>
      <c r="H776" s="45"/>
      <c r="I776" s="44"/>
      <c r="J776" s="44"/>
      <c r="K776" s="45"/>
      <c r="L776" s="44"/>
      <c r="M776" s="44"/>
      <c r="N776" s="44"/>
      <c r="O776" s="44"/>
      <c r="P776" s="44"/>
      <c r="Q776" s="44"/>
      <c r="R776" s="44"/>
      <c r="S776" s="45"/>
      <c r="T776" s="45"/>
      <c r="U776" s="45"/>
      <c r="V776" s="45"/>
      <c r="W776" s="45"/>
      <c r="X776" s="45"/>
      <c r="Y776" s="45"/>
      <c r="Z776" s="45"/>
      <c r="AA776" s="45"/>
      <c r="AB776" s="45"/>
      <c r="AC776" s="45"/>
    </row>
    <row r="777" spans="1:29" ht="13.15">
      <c r="A777" s="45"/>
      <c r="B777" s="45"/>
      <c r="C777" s="45"/>
      <c r="D777" s="45"/>
      <c r="E777" s="45"/>
      <c r="F777" s="45"/>
      <c r="G777" s="45"/>
      <c r="H777" s="45"/>
      <c r="I777" s="44"/>
      <c r="J777" s="44"/>
      <c r="K777" s="45"/>
      <c r="L777" s="44"/>
      <c r="M777" s="44"/>
      <c r="N777" s="44"/>
      <c r="O777" s="44"/>
      <c r="P777" s="44"/>
      <c r="Q777" s="44"/>
      <c r="R777" s="44"/>
      <c r="S777" s="45"/>
      <c r="T777" s="45"/>
      <c r="U777" s="45"/>
      <c r="V777" s="45"/>
      <c r="W777" s="45"/>
      <c r="X777" s="45"/>
      <c r="Y777" s="45"/>
      <c r="Z777" s="45"/>
      <c r="AA777" s="45"/>
      <c r="AB777" s="45"/>
      <c r="AC777" s="45"/>
    </row>
    <row r="778" spans="1:29" ht="13.15">
      <c r="A778" s="45"/>
      <c r="B778" s="45"/>
      <c r="C778" s="45"/>
      <c r="D778" s="45"/>
      <c r="E778" s="45"/>
      <c r="F778" s="45"/>
      <c r="G778" s="45"/>
      <c r="H778" s="45"/>
      <c r="I778" s="44"/>
      <c r="J778" s="44"/>
      <c r="K778" s="45"/>
      <c r="L778" s="44"/>
      <c r="M778" s="44"/>
      <c r="N778" s="44"/>
      <c r="O778" s="44"/>
      <c r="P778" s="44"/>
      <c r="Q778" s="44"/>
      <c r="R778" s="44"/>
      <c r="S778" s="45"/>
      <c r="T778" s="45"/>
      <c r="U778" s="45"/>
      <c r="V778" s="45"/>
      <c r="W778" s="45"/>
      <c r="X778" s="45"/>
      <c r="Y778" s="45"/>
      <c r="Z778" s="45"/>
      <c r="AA778" s="45"/>
      <c r="AB778" s="45"/>
      <c r="AC778" s="45"/>
    </row>
    <row r="779" spans="1:29" ht="13.15">
      <c r="A779" s="45"/>
      <c r="B779" s="45"/>
      <c r="C779" s="45"/>
      <c r="D779" s="45"/>
      <c r="E779" s="45"/>
      <c r="F779" s="45"/>
      <c r="G779" s="45"/>
      <c r="H779" s="45"/>
      <c r="I779" s="44"/>
      <c r="J779" s="44"/>
      <c r="K779" s="45"/>
      <c r="L779" s="44"/>
      <c r="M779" s="44"/>
      <c r="N779" s="44"/>
      <c r="O779" s="44"/>
      <c r="P779" s="44"/>
      <c r="Q779" s="44"/>
      <c r="R779" s="44"/>
      <c r="S779" s="45"/>
      <c r="T779" s="45"/>
      <c r="U779" s="45"/>
      <c r="V779" s="45"/>
      <c r="W779" s="45"/>
      <c r="X779" s="45"/>
      <c r="Y779" s="45"/>
      <c r="Z779" s="45"/>
      <c r="AA779" s="45"/>
      <c r="AB779" s="45"/>
      <c r="AC779" s="45"/>
    </row>
    <row r="780" spans="1:29" ht="13.15">
      <c r="A780" s="45"/>
      <c r="B780" s="45"/>
      <c r="C780" s="45"/>
      <c r="D780" s="45"/>
      <c r="E780" s="45"/>
      <c r="F780" s="45"/>
      <c r="G780" s="45"/>
      <c r="H780" s="45"/>
      <c r="I780" s="44"/>
      <c r="J780" s="44"/>
      <c r="K780" s="45"/>
      <c r="L780" s="44"/>
      <c r="M780" s="44"/>
      <c r="N780" s="44"/>
      <c r="O780" s="44"/>
      <c r="P780" s="44"/>
      <c r="Q780" s="44"/>
      <c r="R780" s="44"/>
      <c r="S780" s="45"/>
      <c r="T780" s="45"/>
      <c r="U780" s="45"/>
      <c r="V780" s="45"/>
      <c r="W780" s="45"/>
      <c r="X780" s="45"/>
      <c r="Y780" s="45"/>
      <c r="Z780" s="45"/>
      <c r="AA780" s="45"/>
      <c r="AB780" s="45"/>
      <c r="AC780" s="45"/>
    </row>
    <row r="781" spans="1:29" ht="13.15">
      <c r="A781" s="45"/>
      <c r="B781" s="45"/>
      <c r="C781" s="45"/>
      <c r="D781" s="45"/>
      <c r="E781" s="45"/>
      <c r="F781" s="45"/>
      <c r="G781" s="45"/>
      <c r="H781" s="45"/>
      <c r="I781" s="44"/>
      <c r="J781" s="44"/>
      <c r="K781" s="45"/>
      <c r="L781" s="44"/>
      <c r="M781" s="44"/>
      <c r="N781" s="44"/>
      <c r="O781" s="44"/>
      <c r="P781" s="44"/>
      <c r="Q781" s="44"/>
      <c r="R781" s="44"/>
      <c r="S781" s="45"/>
      <c r="T781" s="45"/>
      <c r="U781" s="45"/>
      <c r="V781" s="45"/>
      <c r="W781" s="45"/>
      <c r="X781" s="45"/>
      <c r="Y781" s="45"/>
      <c r="Z781" s="45"/>
      <c r="AA781" s="45"/>
      <c r="AB781" s="45"/>
      <c r="AC781" s="45"/>
    </row>
    <row r="782" spans="1:29" ht="13.15">
      <c r="A782" s="45"/>
      <c r="B782" s="45"/>
      <c r="C782" s="45"/>
      <c r="D782" s="45"/>
      <c r="E782" s="45"/>
      <c r="F782" s="45"/>
      <c r="G782" s="45"/>
      <c r="H782" s="45"/>
      <c r="I782" s="44"/>
      <c r="J782" s="44"/>
      <c r="K782" s="45"/>
      <c r="L782" s="44"/>
      <c r="M782" s="44"/>
      <c r="N782" s="44"/>
      <c r="O782" s="44"/>
      <c r="P782" s="44"/>
      <c r="Q782" s="44"/>
      <c r="R782" s="44"/>
      <c r="S782" s="45"/>
      <c r="T782" s="45"/>
      <c r="U782" s="45"/>
      <c r="V782" s="45"/>
      <c r="W782" s="45"/>
      <c r="X782" s="45"/>
      <c r="Y782" s="45"/>
      <c r="Z782" s="45"/>
      <c r="AA782" s="45"/>
      <c r="AB782" s="45"/>
      <c r="AC782" s="45"/>
    </row>
    <row r="783" spans="1:29" ht="13.15">
      <c r="A783" s="45"/>
      <c r="B783" s="45"/>
      <c r="C783" s="45"/>
      <c r="D783" s="45"/>
      <c r="E783" s="45"/>
      <c r="F783" s="45"/>
      <c r="G783" s="45"/>
      <c r="H783" s="45"/>
      <c r="I783" s="44"/>
      <c r="J783" s="44"/>
      <c r="K783" s="45"/>
      <c r="L783" s="44"/>
      <c r="M783" s="44"/>
      <c r="N783" s="44"/>
      <c r="O783" s="44"/>
      <c r="P783" s="44"/>
      <c r="Q783" s="44"/>
      <c r="R783" s="44"/>
      <c r="S783" s="45"/>
      <c r="T783" s="45"/>
      <c r="U783" s="45"/>
      <c r="V783" s="45"/>
      <c r="W783" s="45"/>
      <c r="X783" s="45"/>
      <c r="Y783" s="45"/>
      <c r="Z783" s="45"/>
      <c r="AA783" s="45"/>
      <c r="AB783" s="45"/>
      <c r="AC783" s="45"/>
    </row>
    <row r="784" spans="1:29" ht="13.15">
      <c r="A784" s="45"/>
      <c r="B784" s="45"/>
      <c r="C784" s="45"/>
      <c r="D784" s="45"/>
      <c r="E784" s="45"/>
      <c r="F784" s="45"/>
      <c r="G784" s="45"/>
      <c r="H784" s="45"/>
      <c r="I784" s="44"/>
      <c r="J784" s="44"/>
      <c r="K784" s="45"/>
      <c r="L784" s="44"/>
      <c r="M784" s="44"/>
      <c r="N784" s="44"/>
      <c r="O784" s="44"/>
      <c r="P784" s="44"/>
      <c r="Q784" s="44"/>
      <c r="R784" s="44"/>
      <c r="S784" s="45"/>
      <c r="T784" s="45"/>
      <c r="U784" s="45"/>
      <c r="V784" s="45"/>
      <c r="W784" s="45"/>
      <c r="X784" s="45"/>
      <c r="Y784" s="45"/>
      <c r="Z784" s="45"/>
      <c r="AA784" s="45"/>
      <c r="AB784" s="45"/>
      <c r="AC784" s="45"/>
    </row>
    <row r="785" spans="1:29" ht="13.15">
      <c r="A785" s="45"/>
      <c r="B785" s="45"/>
      <c r="C785" s="45"/>
      <c r="D785" s="45"/>
      <c r="E785" s="45"/>
      <c r="F785" s="45"/>
      <c r="G785" s="45"/>
      <c r="H785" s="45"/>
      <c r="I785" s="44"/>
      <c r="J785" s="44"/>
      <c r="K785" s="45"/>
      <c r="L785" s="44"/>
      <c r="M785" s="44"/>
      <c r="N785" s="44"/>
      <c r="O785" s="44"/>
      <c r="P785" s="44"/>
      <c r="Q785" s="44"/>
      <c r="R785" s="44"/>
      <c r="S785" s="45"/>
      <c r="T785" s="45"/>
      <c r="U785" s="45"/>
      <c r="V785" s="45"/>
      <c r="W785" s="45"/>
      <c r="X785" s="45"/>
      <c r="Y785" s="45"/>
      <c r="Z785" s="45"/>
      <c r="AA785" s="45"/>
      <c r="AB785" s="45"/>
      <c r="AC785" s="45"/>
    </row>
    <row r="786" spans="1:29" ht="13.15">
      <c r="A786" s="45"/>
      <c r="B786" s="45"/>
      <c r="C786" s="45"/>
      <c r="D786" s="45"/>
      <c r="E786" s="45"/>
      <c r="F786" s="45"/>
      <c r="G786" s="45"/>
      <c r="H786" s="45"/>
      <c r="I786" s="44"/>
      <c r="J786" s="44"/>
      <c r="K786" s="45"/>
      <c r="L786" s="44"/>
      <c r="M786" s="44"/>
      <c r="N786" s="44"/>
      <c r="O786" s="44"/>
      <c r="P786" s="44"/>
      <c r="Q786" s="44"/>
      <c r="R786" s="44"/>
      <c r="S786" s="45"/>
      <c r="T786" s="45"/>
      <c r="U786" s="45"/>
      <c r="V786" s="45"/>
      <c r="W786" s="45"/>
      <c r="X786" s="45"/>
      <c r="Y786" s="45"/>
      <c r="Z786" s="45"/>
      <c r="AA786" s="45"/>
      <c r="AB786" s="45"/>
      <c r="AC786" s="45"/>
    </row>
    <row r="787" spans="1:29" ht="13.15">
      <c r="A787" s="45"/>
      <c r="B787" s="45"/>
      <c r="C787" s="45"/>
      <c r="D787" s="45"/>
      <c r="E787" s="45"/>
      <c r="F787" s="45"/>
      <c r="G787" s="45"/>
      <c r="H787" s="45"/>
      <c r="I787" s="44"/>
      <c r="J787" s="44"/>
      <c r="K787" s="45"/>
      <c r="L787" s="44"/>
      <c r="M787" s="44"/>
      <c r="N787" s="44"/>
      <c r="O787" s="44"/>
      <c r="P787" s="44"/>
      <c r="Q787" s="44"/>
      <c r="R787" s="44"/>
      <c r="S787" s="45"/>
      <c r="T787" s="45"/>
      <c r="U787" s="45"/>
      <c r="V787" s="45"/>
      <c r="W787" s="45"/>
      <c r="X787" s="45"/>
      <c r="Y787" s="45"/>
      <c r="Z787" s="45"/>
      <c r="AA787" s="45"/>
      <c r="AB787" s="45"/>
      <c r="AC787" s="45"/>
    </row>
    <row r="788" spans="1:29" ht="13.15">
      <c r="A788" s="45"/>
      <c r="B788" s="45"/>
      <c r="C788" s="45"/>
      <c r="D788" s="45"/>
      <c r="E788" s="45"/>
      <c r="F788" s="45"/>
      <c r="G788" s="45"/>
      <c r="H788" s="45"/>
      <c r="I788" s="44"/>
      <c r="J788" s="44"/>
      <c r="K788" s="45"/>
      <c r="L788" s="44"/>
      <c r="M788" s="44"/>
      <c r="N788" s="44"/>
      <c r="O788" s="44"/>
      <c r="P788" s="44"/>
      <c r="Q788" s="44"/>
      <c r="R788" s="44"/>
      <c r="S788" s="45"/>
      <c r="T788" s="45"/>
      <c r="U788" s="45"/>
      <c r="V788" s="45"/>
      <c r="W788" s="45"/>
      <c r="X788" s="45"/>
      <c r="Y788" s="45"/>
      <c r="Z788" s="45"/>
      <c r="AA788" s="45"/>
      <c r="AB788" s="45"/>
      <c r="AC788" s="45"/>
    </row>
    <row r="789" spans="1:29" ht="13.15">
      <c r="A789" s="45"/>
      <c r="B789" s="45"/>
      <c r="C789" s="45"/>
      <c r="D789" s="45"/>
      <c r="E789" s="45"/>
      <c r="F789" s="45"/>
      <c r="G789" s="45"/>
      <c r="H789" s="45"/>
      <c r="I789" s="44"/>
      <c r="J789" s="44"/>
      <c r="K789" s="45"/>
      <c r="L789" s="44"/>
      <c r="M789" s="44"/>
      <c r="N789" s="44"/>
      <c r="O789" s="44"/>
      <c r="P789" s="44"/>
      <c r="Q789" s="44"/>
      <c r="R789" s="44"/>
      <c r="S789" s="45"/>
      <c r="T789" s="45"/>
      <c r="U789" s="45"/>
      <c r="V789" s="45"/>
      <c r="W789" s="45"/>
      <c r="X789" s="45"/>
      <c r="Y789" s="45"/>
      <c r="Z789" s="45"/>
      <c r="AA789" s="45"/>
      <c r="AB789" s="45"/>
      <c r="AC789" s="45"/>
    </row>
    <row r="790" spans="1:29" ht="13.15">
      <c r="A790" s="45"/>
      <c r="B790" s="45"/>
      <c r="C790" s="45"/>
      <c r="D790" s="45"/>
      <c r="E790" s="45"/>
      <c r="F790" s="45"/>
      <c r="G790" s="45"/>
      <c r="H790" s="45"/>
      <c r="I790" s="44"/>
      <c r="J790" s="44"/>
      <c r="K790" s="45"/>
      <c r="L790" s="44"/>
      <c r="M790" s="44"/>
      <c r="N790" s="44"/>
      <c r="O790" s="44"/>
      <c r="P790" s="44"/>
      <c r="Q790" s="44"/>
      <c r="R790" s="44"/>
      <c r="S790" s="45"/>
      <c r="T790" s="45"/>
      <c r="U790" s="45"/>
      <c r="V790" s="45"/>
      <c r="W790" s="45"/>
      <c r="X790" s="45"/>
      <c r="Y790" s="45"/>
      <c r="Z790" s="45"/>
      <c r="AA790" s="45"/>
      <c r="AB790" s="45"/>
      <c r="AC790" s="45"/>
    </row>
    <row r="791" spans="1:29" ht="13.15">
      <c r="A791" s="45"/>
      <c r="B791" s="45"/>
      <c r="C791" s="45"/>
      <c r="D791" s="45"/>
      <c r="E791" s="45"/>
      <c r="F791" s="45"/>
      <c r="G791" s="45"/>
      <c r="H791" s="45"/>
      <c r="I791" s="44"/>
      <c r="J791" s="44"/>
      <c r="K791" s="45"/>
      <c r="L791" s="44"/>
      <c r="M791" s="44"/>
      <c r="N791" s="44"/>
      <c r="O791" s="44"/>
      <c r="P791" s="44"/>
      <c r="Q791" s="44"/>
      <c r="R791" s="44"/>
      <c r="S791" s="45"/>
      <c r="T791" s="45"/>
      <c r="U791" s="45"/>
      <c r="V791" s="45"/>
      <c r="W791" s="45"/>
      <c r="X791" s="45"/>
      <c r="Y791" s="45"/>
      <c r="Z791" s="45"/>
      <c r="AA791" s="45"/>
      <c r="AB791" s="45"/>
      <c r="AC791" s="45"/>
    </row>
    <row r="792" spans="1:29" ht="13.15">
      <c r="A792" s="45"/>
      <c r="B792" s="45"/>
      <c r="C792" s="45"/>
      <c r="D792" s="45"/>
      <c r="E792" s="45"/>
      <c r="F792" s="45"/>
      <c r="G792" s="45"/>
      <c r="H792" s="45"/>
      <c r="I792" s="44"/>
      <c r="J792" s="44"/>
      <c r="K792" s="45"/>
      <c r="L792" s="44"/>
      <c r="M792" s="44"/>
      <c r="N792" s="44"/>
      <c r="O792" s="44"/>
      <c r="P792" s="44"/>
      <c r="Q792" s="44"/>
      <c r="R792" s="44"/>
      <c r="S792" s="45"/>
      <c r="T792" s="45"/>
      <c r="U792" s="45"/>
      <c r="V792" s="45"/>
      <c r="W792" s="45"/>
      <c r="X792" s="45"/>
      <c r="Y792" s="45"/>
      <c r="Z792" s="45"/>
      <c r="AA792" s="45"/>
      <c r="AB792" s="45"/>
      <c r="AC792" s="45"/>
    </row>
    <row r="793" spans="1:29" ht="13.15">
      <c r="A793" s="45"/>
      <c r="B793" s="45"/>
      <c r="C793" s="45"/>
      <c r="D793" s="45"/>
      <c r="E793" s="45"/>
      <c r="F793" s="45"/>
      <c r="G793" s="45"/>
      <c r="H793" s="45"/>
      <c r="I793" s="44"/>
      <c r="J793" s="44"/>
      <c r="K793" s="45"/>
      <c r="L793" s="44"/>
      <c r="M793" s="44"/>
      <c r="N793" s="44"/>
      <c r="O793" s="44"/>
      <c r="P793" s="44"/>
      <c r="Q793" s="44"/>
      <c r="R793" s="44"/>
      <c r="S793" s="45"/>
      <c r="T793" s="45"/>
      <c r="U793" s="45"/>
      <c r="V793" s="45"/>
      <c r="W793" s="45"/>
      <c r="X793" s="45"/>
      <c r="Y793" s="45"/>
      <c r="Z793" s="45"/>
      <c r="AA793" s="45"/>
      <c r="AB793" s="45"/>
      <c r="AC793" s="45"/>
    </row>
    <row r="794" spans="1:29" ht="13.15">
      <c r="A794" s="45"/>
      <c r="B794" s="45"/>
      <c r="C794" s="45"/>
      <c r="D794" s="45"/>
      <c r="E794" s="45"/>
      <c r="F794" s="45"/>
      <c r="G794" s="45"/>
      <c r="H794" s="45"/>
      <c r="I794" s="44"/>
      <c r="J794" s="44"/>
      <c r="K794" s="45"/>
      <c r="L794" s="44"/>
      <c r="M794" s="44"/>
      <c r="N794" s="44"/>
      <c r="O794" s="44"/>
      <c r="P794" s="44"/>
      <c r="Q794" s="44"/>
      <c r="R794" s="44"/>
      <c r="S794" s="45"/>
      <c r="T794" s="45"/>
      <c r="U794" s="45"/>
      <c r="V794" s="45"/>
      <c r="W794" s="45"/>
      <c r="X794" s="45"/>
      <c r="Y794" s="45"/>
      <c r="Z794" s="45"/>
      <c r="AA794" s="45"/>
      <c r="AB794" s="45"/>
      <c r="AC794" s="45"/>
    </row>
    <row r="795" spans="1:29" ht="13.15">
      <c r="A795" s="45"/>
      <c r="B795" s="45"/>
      <c r="C795" s="45"/>
      <c r="D795" s="45"/>
      <c r="E795" s="45"/>
      <c r="F795" s="45"/>
      <c r="G795" s="45"/>
      <c r="H795" s="45"/>
      <c r="I795" s="44"/>
      <c r="J795" s="44"/>
      <c r="K795" s="45"/>
      <c r="L795" s="44"/>
      <c r="M795" s="44"/>
      <c r="N795" s="44"/>
      <c r="O795" s="44"/>
      <c r="P795" s="44"/>
      <c r="Q795" s="44"/>
      <c r="R795" s="44"/>
      <c r="S795" s="45"/>
      <c r="T795" s="45"/>
      <c r="U795" s="45"/>
      <c r="V795" s="45"/>
      <c r="W795" s="45"/>
      <c r="X795" s="45"/>
      <c r="Y795" s="45"/>
      <c r="Z795" s="45"/>
      <c r="AA795" s="45"/>
      <c r="AB795" s="45"/>
      <c r="AC795" s="45"/>
    </row>
    <row r="796" spans="1:29" ht="13.15">
      <c r="A796" s="45"/>
      <c r="B796" s="45"/>
      <c r="C796" s="45"/>
      <c r="D796" s="45"/>
      <c r="E796" s="45"/>
      <c r="F796" s="45"/>
      <c r="G796" s="45"/>
      <c r="H796" s="45"/>
      <c r="I796" s="44"/>
      <c r="J796" s="44"/>
      <c r="K796" s="45"/>
      <c r="L796" s="44"/>
      <c r="M796" s="44"/>
      <c r="N796" s="44"/>
      <c r="O796" s="44"/>
      <c r="P796" s="44"/>
      <c r="Q796" s="44"/>
      <c r="R796" s="44"/>
      <c r="S796" s="45"/>
      <c r="T796" s="45"/>
      <c r="U796" s="45"/>
      <c r="V796" s="45"/>
      <c r="W796" s="45"/>
      <c r="X796" s="45"/>
      <c r="Y796" s="45"/>
      <c r="Z796" s="45"/>
      <c r="AA796" s="45"/>
      <c r="AB796" s="45"/>
      <c r="AC796" s="45"/>
    </row>
    <row r="797" spans="1:29" ht="13.15">
      <c r="A797" s="45"/>
      <c r="B797" s="45"/>
      <c r="C797" s="45"/>
      <c r="D797" s="45"/>
      <c r="E797" s="45"/>
      <c r="F797" s="45"/>
      <c r="G797" s="45"/>
      <c r="H797" s="45"/>
      <c r="I797" s="44"/>
      <c r="J797" s="44"/>
      <c r="K797" s="45"/>
      <c r="L797" s="44"/>
      <c r="M797" s="44"/>
      <c r="N797" s="44"/>
      <c r="O797" s="44"/>
      <c r="P797" s="44"/>
      <c r="Q797" s="44"/>
      <c r="R797" s="44"/>
      <c r="S797" s="45"/>
      <c r="T797" s="45"/>
      <c r="U797" s="45"/>
      <c r="V797" s="45"/>
      <c r="W797" s="45"/>
      <c r="X797" s="45"/>
      <c r="Y797" s="45"/>
      <c r="Z797" s="45"/>
      <c r="AA797" s="45"/>
      <c r="AB797" s="45"/>
      <c r="AC797" s="45"/>
    </row>
    <row r="798" spans="1:29" ht="13.15">
      <c r="A798" s="45"/>
      <c r="B798" s="45"/>
      <c r="C798" s="45"/>
      <c r="D798" s="45"/>
      <c r="E798" s="45"/>
      <c r="F798" s="45"/>
      <c r="G798" s="45"/>
      <c r="H798" s="45"/>
      <c r="I798" s="44"/>
      <c r="J798" s="44"/>
      <c r="K798" s="45"/>
      <c r="L798" s="44"/>
      <c r="M798" s="44"/>
      <c r="N798" s="44"/>
      <c r="O798" s="44"/>
      <c r="P798" s="44"/>
      <c r="Q798" s="44"/>
      <c r="R798" s="44"/>
      <c r="S798" s="45"/>
      <c r="T798" s="45"/>
      <c r="U798" s="45"/>
      <c r="V798" s="45"/>
      <c r="W798" s="45"/>
      <c r="X798" s="45"/>
      <c r="Y798" s="45"/>
      <c r="Z798" s="45"/>
      <c r="AA798" s="45"/>
      <c r="AB798" s="45"/>
      <c r="AC798" s="45"/>
    </row>
    <row r="799" spans="1:29" ht="13.15">
      <c r="A799" s="45"/>
      <c r="B799" s="45"/>
      <c r="C799" s="45"/>
      <c r="D799" s="45"/>
      <c r="E799" s="45"/>
      <c r="F799" s="45"/>
      <c r="G799" s="45"/>
      <c r="H799" s="45"/>
      <c r="I799" s="44"/>
      <c r="J799" s="44"/>
      <c r="K799" s="45"/>
      <c r="L799" s="44"/>
      <c r="M799" s="44"/>
      <c r="N799" s="44"/>
      <c r="O799" s="44"/>
      <c r="P799" s="44"/>
      <c r="Q799" s="44"/>
      <c r="R799" s="44"/>
      <c r="S799" s="45"/>
      <c r="T799" s="45"/>
      <c r="U799" s="45"/>
      <c r="V799" s="45"/>
      <c r="W799" s="45"/>
      <c r="X799" s="45"/>
      <c r="Y799" s="45"/>
      <c r="Z799" s="45"/>
      <c r="AA799" s="45"/>
      <c r="AB799" s="45"/>
      <c r="AC799" s="45"/>
    </row>
    <row r="800" spans="1:29" ht="13.15">
      <c r="A800" s="45"/>
      <c r="B800" s="45"/>
      <c r="C800" s="45"/>
      <c r="D800" s="45"/>
      <c r="E800" s="45"/>
      <c r="F800" s="45"/>
      <c r="G800" s="45"/>
      <c r="H800" s="45"/>
      <c r="I800" s="44"/>
      <c r="J800" s="44"/>
      <c r="K800" s="45"/>
      <c r="L800" s="44"/>
      <c r="M800" s="44"/>
      <c r="N800" s="44"/>
      <c r="O800" s="44"/>
      <c r="P800" s="44"/>
      <c r="Q800" s="44"/>
      <c r="R800" s="44"/>
      <c r="S800" s="45"/>
      <c r="T800" s="45"/>
      <c r="U800" s="45"/>
      <c r="V800" s="45"/>
      <c r="W800" s="45"/>
      <c r="X800" s="45"/>
      <c r="Y800" s="45"/>
      <c r="Z800" s="45"/>
      <c r="AA800" s="45"/>
      <c r="AB800" s="45"/>
      <c r="AC800" s="45"/>
    </row>
    <row r="801" spans="1:29" ht="13.15">
      <c r="A801" s="45"/>
      <c r="B801" s="45"/>
      <c r="C801" s="45"/>
      <c r="D801" s="45"/>
      <c r="E801" s="45"/>
      <c r="F801" s="45"/>
      <c r="G801" s="45"/>
      <c r="H801" s="45"/>
      <c r="I801" s="44"/>
      <c r="J801" s="44"/>
      <c r="K801" s="45"/>
      <c r="L801" s="44"/>
      <c r="M801" s="44"/>
      <c r="N801" s="44"/>
      <c r="O801" s="44"/>
      <c r="P801" s="44"/>
      <c r="Q801" s="44"/>
      <c r="R801" s="44"/>
      <c r="S801" s="45"/>
      <c r="T801" s="45"/>
      <c r="U801" s="45"/>
      <c r="V801" s="45"/>
      <c r="W801" s="45"/>
      <c r="X801" s="45"/>
      <c r="Y801" s="45"/>
      <c r="Z801" s="45"/>
      <c r="AA801" s="45"/>
      <c r="AB801" s="45"/>
      <c r="AC801" s="45"/>
    </row>
    <row r="802" spans="1:29" ht="13.15">
      <c r="A802" s="45"/>
      <c r="B802" s="45"/>
      <c r="C802" s="45"/>
      <c r="D802" s="45"/>
      <c r="E802" s="45"/>
      <c r="F802" s="45"/>
      <c r="G802" s="45"/>
      <c r="H802" s="45"/>
      <c r="I802" s="44"/>
      <c r="J802" s="44"/>
      <c r="K802" s="45"/>
      <c r="L802" s="44"/>
      <c r="M802" s="44"/>
      <c r="N802" s="44"/>
      <c r="O802" s="44"/>
      <c r="P802" s="44"/>
      <c r="Q802" s="44"/>
      <c r="R802" s="44"/>
      <c r="S802" s="45"/>
      <c r="T802" s="45"/>
      <c r="U802" s="45"/>
      <c r="V802" s="45"/>
      <c r="W802" s="45"/>
      <c r="X802" s="45"/>
      <c r="Y802" s="45"/>
      <c r="Z802" s="45"/>
      <c r="AA802" s="45"/>
      <c r="AB802" s="45"/>
      <c r="AC802" s="45"/>
    </row>
    <row r="803" spans="1:29" ht="13.15">
      <c r="A803" s="45"/>
      <c r="B803" s="45"/>
      <c r="C803" s="45"/>
      <c r="D803" s="45"/>
      <c r="E803" s="45"/>
      <c r="F803" s="45"/>
      <c r="G803" s="45"/>
      <c r="H803" s="45"/>
      <c r="I803" s="44"/>
      <c r="J803" s="44"/>
      <c r="K803" s="45"/>
      <c r="L803" s="44"/>
      <c r="M803" s="44"/>
      <c r="N803" s="44"/>
      <c r="O803" s="44"/>
      <c r="P803" s="44"/>
      <c r="Q803" s="44"/>
      <c r="R803" s="44"/>
      <c r="S803" s="45"/>
      <c r="T803" s="45"/>
      <c r="U803" s="45"/>
      <c r="V803" s="45"/>
      <c r="W803" s="45"/>
      <c r="X803" s="45"/>
      <c r="Y803" s="45"/>
      <c r="Z803" s="45"/>
      <c r="AA803" s="45"/>
      <c r="AB803" s="45"/>
      <c r="AC803" s="45"/>
    </row>
    <row r="804" spans="1:29" ht="13.15">
      <c r="A804" s="45"/>
      <c r="B804" s="45"/>
      <c r="C804" s="45"/>
      <c r="D804" s="45"/>
      <c r="E804" s="45"/>
      <c r="F804" s="45"/>
      <c r="G804" s="45"/>
      <c r="H804" s="45"/>
      <c r="I804" s="44"/>
      <c r="J804" s="44"/>
      <c r="K804" s="45"/>
      <c r="L804" s="44"/>
      <c r="M804" s="44"/>
      <c r="N804" s="44"/>
      <c r="O804" s="44"/>
      <c r="P804" s="44"/>
      <c r="Q804" s="44"/>
      <c r="R804" s="44"/>
      <c r="S804" s="45"/>
      <c r="T804" s="45"/>
      <c r="U804" s="45"/>
      <c r="V804" s="45"/>
      <c r="W804" s="45"/>
      <c r="X804" s="45"/>
      <c r="Y804" s="45"/>
      <c r="Z804" s="45"/>
      <c r="AA804" s="45"/>
      <c r="AB804" s="45"/>
      <c r="AC804" s="45"/>
    </row>
    <row r="805" spans="1:29" ht="13.15">
      <c r="A805" s="45"/>
      <c r="B805" s="45"/>
      <c r="C805" s="45"/>
      <c r="D805" s="45"/>
      <c r="E805" s="45"/>
      <c r="F805" s="45"/>
      <c r="G805" s="45"/>
      <c r="H805" s="45"/>
      <c r="I805" s="44"/>
      <c r="J805" s="44"/>
      <c r="K805" s="45"/>
      <c r="L805" s="44"/>
      <c r="M805" s="44"/>
      <c r="N805" s="44"/>
      <c r="O805" s="44"/>
      <c r="P805" s="44"/>
      <c r="Q805" s="44"/>
      <c r="R805" s="44"/>
      <c r="S805" s="45"/>
      <c r="T805" s="45"/>
      <c r="U805" s="45"/>
      <c r="V805" s="45"/>
      <c r="W805" s="45"/>
      <c r="X805" s="45"/>
      <c r="Y805" s="45"/>
      <c r="Z805" s="45"/>
      <c r="AA805" s="45"/>
      <c r="AB805" s="45"/>
      <c r="AC805" s="45"/>
    </row>
    <row r="806" spans="1:29" ht="13.15">
      <c r="A806" s="45"/>
      <c r="B806" s="45"/>
      <c r="C806" s="45"/>
      <c r="D806" s="45"/>
      <c r="E806" s="45"/>
      <c r="F806" s="45"/>
      <c r="G806" s="45"/>
      <c r="H806" s="45"/>
      <c r="I806" s="44"/>
      <c r="J806" s="44"/>
      <c r="K806" s="45"/>
      <c r="L806" s="44"/>
      <c r="M806" s="44"/>
      <c r="N806" s="44"/>
      <c r="O806" s="44"/>
      <c r="P806" s="44"/>
      <c r="Q806" s="44"/>
      <c r="R806" s="44"/>
      <c r="S806" s="45"/>
      <c r="T806" s="45"/>
      <c r="U806" s="45"/>
      <c r="V806" s="45"/>
      <c r="W806" s="45"/>
      <c r="X806" s="45"/>
      <c r="Y806" s="45"/>
      <c r="Z806" s="45"/>
      <c r="AA806" s="45"/>
      <c r="AB806" s="45"/>
      <c r="AC806" s="45"/>
    </row>
    <row r="807" spans="1:29" ht="13.15">
      <c r="A807" s="45"/>
      <c r="B807" s="45"/>
      <c r="C807" s="45"/>
      <c r="D807" s="45"/>
      <c r="E807" s="45"/>
      <c r="F807" s="45"/>
      <c r="G807" s="45"/>
      <c r="H807" s="45"/>
      <c r="I807" s="44"/>
      <c r="J807" s="44"/>
      <c r="K807" s="45"/>
      <c r="L807" s="44"/>
      <c r="M807" s="44"/>
      <c r="N807" s="44"/>
      <c r="O807" s="44"/>
      <c r="P807" s="44"/>
      <c r="Q807" s="44"/>
      <c r="R807" s="44"/>
      <c r="S807" s="45"/>
      <c r="T807" s="45"/>
      <c r="U807" s="45"/>
      <c r="V807" s="45"/>
      <c r="W807" s="45"/>
      <c r="X807" s="45"/>
      <c r="Y807" s="45"/>
      <c r="Z807" s="45"/>
      <c r="AA807" s="45"/>
      <c r="AB807" s="45"/>
      <c r="AC807" s="45"/>
    </row>
    <row r="808" spans="1:29" ht="13.15">
      <c r="A808" s="45"/>
      <c r="B808" s="45"/>
      <c r="C808" s="45"/>
      <c r="D808" s="45"/>
      <c r="E808" s="45"/>
      <c r="F808" s="45"/>
      <c r="G808" s="45"/>
      <c r="H808" s="45"/>
      <c r="I808" s="44"/>
      <c r="J808" s="44"/>
      <c r="K808" s="45"/>
      <c r="L808" s="44"/>
      <c r="M808" s="44"/>
      <c r="N808" s="44"/>
      <c r="O808" s="44"/>
      <c r="P808" s="44"/>
      <c r="Q808" s="44"/>
      <c r="R808" s="44"/>
      <c r="S808" s="45"/>
      <c r="T808" s="45"/>
      <c r="U808" s="45"/>
      <c r="V808" s="45"/>
      <c r="W808" s="45"/>
      <c r="X808" s="45"/>
      <c r="Y808" s="45"/>
      <c r="Z808" s="45"/>
      <c r="AA808" s="45"/>
      <c r="AB808" s="45"/>
      <c r="AC808" s="45"/>
    </row>
    <row r="809" spans="1:29" ht="13.15">
      <c r="A809" s="45"/>
      <c r="B809" s="45"/>
      <c r="C809" s="45"/>
      <c r="D809" s="45"/>
      <c r="E809" s="45"/>
      <c r="F809" s="45"/>
      <c r="G809" s="45"/>
      <c r="H809" s="45"/>
      <c r="I809" s="44"/>
      <c r="J809" s="44"/>
      <c r="K809" s="45"/>
      <c r="L809" s="44"/>
      <c r="M809" s="44"/>
      <c r="N809" s="44"/>
      <c r="O809" s="44"/>
      <c r="P809" s="44"/>
      <c r="Q809" s="44"/>
      <c r="R809" s="44"/>
      <c r="S809" s="45"/>
      <c r="T809" s="45"/>
      <c r="U809" s="45"/>
      <c r="V809" s="45"/>
      <c r="W809" s="45"/>
      <c r="X809" s="45"/>
      <c r="Y809" s="45"/>
      <c r="Z809" s="45"/>
      <c r="AA809" s="45"/>
      <c r="AB809" s="45"/>
      <c r="AC809" s="45"/>
    </row>
    <row r="810" spans="1:29" ht="13.15">
      <c r="A810" s="45"/>
      <c r="B810" s="45"/>
      <c r="C810" s="45"/>
      <c r="D810" s="45"/>
      <c r="E810" s="45"/>
      <c r="F810" s="45"/>
      <c r="G810" s="45"/>
      <c r="H810" s="45"/>
      <c r="I810" s="44"/>
      <c r="J810" s="44"/>
      <c r="K810" s="45"/>
      <c r="L810" s="44"/>
      <c r="M810" s="44"/>
      <c r="N810" s="44"/>
      <c r="O810" s="44"/>
      <c r="P810" s="44"/>
      <c r="Q810" s="44"/>
      <c r="R810" s="44"/>
      <c r="S810" s="45"/>
      <c r="T810" s="45"/>
      <c r="U810" s="45"/>
      <c r="V810" s="45"/>
      <c r="W810" s="45"/>
      <c r="X810" s="45"/>
      <c r="Y810" s="45"/>
      <c r="Z810" s="45"/>
      <c r="AA810" s="45"/>
      <c r="AB810" s="45"/>
      <c r="AC810" s="45"/>
    </row>
    <row r="811" spans="1:29" ht="13.15">
      <c r="A811" s="45"/>
      <c r="B811" s="45"/>
      <c r="C811" s="45"/>
      <c r="D811" s="45"/>
      <c r="E811" s="45"/>
      <c r="F811" s="45"/>
      <c r="G811" s="45"/>
      <c r="H811" s="45"/>
      <c r="I811" s="44"/>
      <c r="J811" s="44"/>
      <c r="K811" s="45"/>
      <c r="L811" s="44"/>
      <c r="M811" s="44"/>
      <c r="N811" s="44"/>
      <c r="O811" s="44"/>
      <c r="P811" s="44"/>
      <c r="Q811" s="44"/>
      <c r="R811" s="44"/>
      <c r="S811" s="45"/>
      <c r="T811" s="45"/>
      <c r="U811" s="45"/>
      <c r="V811" s="45"/>
      <c r="W811" s="45"/>
      <c r="X811" s="45"/>
      <c r="Y811" s="45"/>
      <c r="Z811" s="45"/>
      <c r="AA811" s="45"/>
      <c r="AB811" s="45"/>
      <c r="AC811" s="45"/>
    </row>
    <row r="812" spans="1:29" ht="13.15">
      <c r="A812" s="45"/>
      <c r="B812" s="45"/>
      <c r="C812" s="45"/>
      <c r="D812" s="45"/>
      <c r="E812" s="45"/>
      <c r="F812" s="45"/>
      <c r="G812" s="45"/>
      <c r="H812" s="45"/>
      <c r="I812" s="44"/>
      <c r="J812" s="44"/>
      <c r="K812" s="45"/>
      <c r="L812" s="44"/>
      <c r="M812" s="44"/>
      <c r="N812" s="44"/>
      <c r="O812" s="44"/>
      <c r="P812" s="44"/>
      <c r="Q812" s="44"/>
      <c r="R812" s="44"/>
      <c r="S812" s="45"/>
      <c r="T812" s="45"/>
      <c r="U812" s="45"/>
      <c r="V812" s="45"/>
      <c r="W812" s="45"/>
      <c r="X812" s="45"/>
      <c r="Y812" s="45"/>
      <c r="Z812" s="45"/>
      <c r="AA812" s="45"/>
      <c r="AB812" s="45"/>
      <c r="AC812" s="45"/>
    </row>
    <row r="813" spans="1:29" ht="13.15">
      <c r="A813" s="45"/>
      <c r="B813" s="45"/>
      <c r="C813" s="45"/>
      <c r="D813" s="45"/>
      <c r="E813" s="45"/>
      <c r="F813" s="45"/>
      <c r="G813" s="45"/>
      <c r="H813" s="45"/>
      <c r="I813" s="44"/>
      <c r="J813" s="44"/>
      <c r="K813" s="45"/>
      <c r="L813" s="44"/>
      <c r="M813" s="44"/>
      <c r="N813" s="44"/>
      <c r="O813" s="44"/>
      <c r="P813" s="44"/>
      <c r="Q813" s="44"/>
      <c r="R813" s="44"/>
      <c r="S813" s="45"/>
      <c r="T813" s="45"/>
      <c r="U813" s="45"/>
      <c r="V813" s="45"/>
      <c r="W813" s="45"/>
      <c r="X813" s="45"/>
      <c r="Y813" s="45"/>
      <c r="Z813" s="45"/>
      <c r="AA813" s="45"/>
      <c r="AB813" s="45"/>
      <c r="AC813" s="45"/>
    </row>
    <row r="814" spans="1:29" ht="13.15">
      <c r="A814" s="45"/>
      <c r="B814" s="45"/>
      <c r="C814" s="45"/>
      <c r="D814" s="45"/>
      <c r="E814" s="45"/>
      <c r="F814" s="45"/>
      <c r="G814" s="45"/>
      <c r="H814" s="45"/>
      <c r="I814" s="44"/>
      <c r="J814" s="44"/>
      <c r="K814" s="45"/>
      <c r="L814" s="44"/>
      <c r="M814" s="44"/>
      <c r="N814" s="44"/>
      <c r="O814" s="44"/>
      <c r="P814" s="44"/>
      <c r="Q814" s="44"/>
      <c r="R814" s="44"/>
      <c r="S814" s="45"/>
      <c r="T814" s="45"/>
      <c r="U814" s="45"/>
      <c r="V814" s="45"/>
      <c r="W814" s="45"/>
      <c r="X814" s="45"/>
      <c r="Y814" s="45"/>
      <c r="Z814" s="45"/>
      <c r="AA814" s="45"/>
      <c r="AB814" s="45"/>
      <c r="AC814" s="45"/>
    </row>
    <row r="815" spans="1:29" ht="13.15">
      <c r="A815" s="45"/>
      <c r="B815" s="45"/>
      <c r="C815" s="45"/>
      <c r="D815" s="45"/>
      <c r="E815" s="45"/>
      <c r="F815" s="45"/>
      <c r="G815" s="45"/>
      <c r="H815" s="45"/>
      <c r="I815" s="44"/>
      <c r="J815" s="44"/>
      <c r="K815" s="45"/>
      <c r="L815" s="44"/>
      <c r="M815" s="44"/>
      <c r="N815" s="44"/>
      <c r="O815" s="44"/>
      <c r="P815" s="44"/>
      <c r="Q815" s="44"/>
      <c r="R815" s="44"/>
      <c r="S815" s="45"/>
      <c r="T815" s="45"/>
      <c r="U815" s="45"/>
      <c r="V815" s="45"/>
      <c r="W815" s="45"/>
      <c r="X815" s="45"/>
      <c r="Y815" s="45"/>
      <c r="Z815" s="45"/>
      <c r="AA815" s="45"/>
      <c r="AB815" s="45"/>
      <c r="AC815" s="45"/>
    </row>
    <row r="816" spans="1:29" ht="13.15">
      <c r="A816" s="45"/>
      <c r="B816" s="45"/>
      <c r="C816" s="45"/>
      <c r="D816" s="45"/>
      <c r="E816" s="45"/>
      <c r="F816" s="45"/>
      <c r="G816" s="45"/>
      <c r="H816" s="45"/>
      <c r="I816" s="44"/>
      <c r="J816" s="44"/>
      <c r="K816" s="45"/>
      <c r="L816" s="44"/>
      <c r="M816" s="44"/>
      <c r="N816" s="44"/>
      <c r="O816" s="44"/>
      <c r="P816" s="44"/>
      <c r="Q816" s="44"/>
      <c r="R816" s="44"/>
      <c r="S816" s="45"/>
      <c r="T816" s="45"/>
      <c r="U816" s="45"/>
      <c r="V816" s="45"/>
      <c r="W816" s="45"/>
      <c r="X816" s="45"/>
      <c r="Y816" s="45"/>
      <c r="Z816" s="45"/>
      <c r="AA816" s="45"/>
      <c r="AB816" s="45"/>
      <c r="AC816" s="45"/>
    </row>
    <row r="817" spans="1:29" ht="13.15">
      <c r="A817" s="45"/>
      <c r="B817" s="45"/>
      <c r="C817" s="45"/>
      <c r="D817" s="45"/>
      <c r="E817" s="45"/>
      <c r="F817" s="45"/>
      <c r="G817" s="45"/>
      <c r="H817" s="45"/>
      <c r="I817" s="44"/>
      <c r="J817" s="44"/>
      <c r="K817" s="45"/>
      <c r="L817" s="44"/>
      <c r="M817" s="44"/>
      <c r="N817" s="44"/>
      <c r="O817" s="44"/>
      <c r="P817" s="44"/>
      <c r="Q817" s="44"/>
      <c r="R817" s="44"/>
      <c r="S817" s="45"/>
      <c r="T817" s="45"/>
      <c r="U817" s="45"/>
      <c r="V817" s="45"/>
      <c r="W817" s="45"/>
      <c r="X817" s="45"/>
      <c r="Y817" s="45"/>
      <c r="Z817" s="45"/>
      <c r="AA817" s="45"/>
      <c r="AB817" s="45"/>
      <c r="AC817" s="45"/>
    </row>
    <row r="818" spans="1:29" ht="13.15">
      <c r="A818" s="45"/>
      <c r="B818" s="45"/>
      <c r="C818" s="45"/>
      <c r="D818" s="45"/>
      <c r="E818" s="45"/>
      <c r="F818" s="45"/>
      <c r="G818" s="45"/>
      <c r="H818" s="45"/>
      <c r="I818" s="44"/>
      <c r="J818" s="44"/>
      <c r="K818" s="45"/>
      <c r="L818" s="44"/>
      <c r="M818" s="44"/>
      <c r="N818" s="44"/>
      <c r="O818" s="44"/>
      <c r="P818" s="44"/>
      <c r="Q818" s="44"/>
      <c r="R818" s="44"/>
      <c r="S818" s="45"/>
      <c r="T818" s="45"/>
      <c r="U818" s="45"/>
      <c r="V818" s="45"/>
      <c r="W818" s="45"/>
      <c r="X818" s="45"/>
      <c r="Y818" s="45"/>
      <c r="Z818" s="45"/>
      <c r="AA818" s="45"/>
      <c r="AB818" s="45"/>
      <c r="AC818" s="45"/>
    </row>
    <row r="819" spans="1:29" ht="13.15">
      <c r="A819" s="45"/>
      <c r="B819" s="45"/>
      <c r="C819" s="45"/>
      <c r="D819" s="45"/>
      <c r="E819" s="45"/>
      <c r="F819" s="45"/>
      <c r="G819" s="45"/>
      <c r="H819" s="45"/>
      <c r="I819" s="44"/>
      <c r="J819" s="44"/>
      <c r="K819" s="45"/>
      <c r="L819" s="44"/>
      <c r="M819" s="44"/>
      <c r="N819" s="44"/>
      <c r="O819" s="44"/>
      <c r="P819" s="44"/>
      <c r="Q819" s="44"/>
      <c r="R819" s="44"/>
      <c r="S819" s="45"/>
      <c r="T819" s="45"/>
      <c r="U819" s="45"/>
      <c r="V819" s="45"/>
      <c r="W819" s="45"/>
      <c r="X819" s="45"/>
      <c r="Y819" s="45"/>
      <c r="Z819" s="45"/>
      <c r="AA819" s="45"/>
      <c r="AB819" s="45"/>
      <c r="AC819" s="45"/>
    </row>
    <row r="820" spans="1:29" ht="13.15">
      <c r="A820" s="45"/>
      <c r="B820" s="45"/>
      <c r="C820" s="45"/>
      <c r="D820" s="45"/>
      <c r="E820" s="45"/>
      <c r="F820" s="45"/>
      <c r="G820" s="45"/>
      <c r="H820" s="45"/>
      <c r="I820" s="44"/>
      <c r="J820" s="44"/>
      <c r="K820" s="45"/>
      <c r="L820" s="44"/>
      <c r="M820" s="44"/>
      <c r="N820" s="44"/>
      <c r="O820" s="44"/>
      <c r="P820" s="44"/>
      <c r="Q820" s="44"/>
      <c r="R820" s="44"/>
      <c r="S820" s="45"/>
      <c r="T820" s="45"/>
      <c r="U820" s="45"/>
      <c r="V820" s="45"/>
      <c r="W820" s="45"/>
      <c r="X820" s="45"/>
      <c r="Y820" s="45"/>
      <c r="Z820" s="45"/>
      <c r="AA820" s="45"/>
      <c r="AB820" s="45"/>
      <c r="AC820" s="45"/>
    </row>
    <row r="821" spans="1:29" ht="13.15">
      <c r="A821" s="45"/>
      <c r="B821" s="45"/>
      <c r="C821" s="45"/>
      <c r="D821" s="45"/>
      <c r="E821" s="45"/>
      <c r="F821" s="45"/>
      <c r="G821" s="45"/>
      <c r="H821" s="45"/>
      <c r="I821" s="44"/>
      <c r="J821" s="44"/>
      <c r="K821" s="45"/>
      <c r="L821" s="44"/>
      <c r="M821" s="44"/>
      <c r="N821" s="44"/>
      <c r="O821" s="44"/>
      <c r="P821" s="44"/>
      <c r="Q821" s="44"/>
      <c r="R821" s="44"/>
      <c r="S821" s="45"/>
      <c r="T821" s="45"/>
      <c r="U821" s="45"/>
      <c r="V821" s="45"/>
      <c r="W821" s="45"/>
      <c r="X821" s="45"/>
      <c r="Y821" s="45"/>
      <c r="Z821" s="45"/>
      <c r="AA821" s="45"/>
      <c r="AB821" s="45"/>
      <c r="AC821" s="45"/>
    </row>
    <row r="822" spans="1:29" ht="13.15">
      <c r="A822" s="45"/>
      <c r="B822" s="45"/>
      <c r="C822" s="45"/>
      <c r="D822" s="45"/>
      <c r="E822" s="45"/>
      <c r="F822" s="45"/>
      <c r="G822" s="45"/>
      <c r="H822" s="45"/>
      <c r="I822" s="44"/>
      <c r="J822" s="44"/>
      <c r="K822" s="45"/>
      <c r="L822" s="44"/>
      <c r="M822" s="44"/>
      <c r="N822" s="44"/>
      <c r="O822" s="44"/>
      <c r="P822" s="44"/>
      <c r="Q822" s="44"/>
      <c r="R822" s="44"/>
      <c r="S822" s="45"/>
      <c r="T822" s="45"/>
      <c r="U822" s="45"/>
      <c r="V822" s="45"/>
      <c r="W822" s="45"/>
      <c r="X822" s="45"/>
      <c r="Y822" s="45"/>
      <c r="Z822" s="45"/>
      <c r="AA822" s="45"/>
      <c r="AB822" s="45"/>
      <c r="AC822" s="45"/>
    </row>
    <row r="823" spans="1:29" ht="13.15">
      <c r="A823" s="45"/>
      <c r="B823" s="45"/>
      <c r="C823" s="45"/>
      <c r="D823" s="45"/>
      <c r="E823" s="45"/>
      <c r="F823" s="45"/>
      <c r="G823" s="45"/>
      <c r="H823" s="45"/>
      <c r="I823" s="44"/>
      <c r="J823" s="44"/>
      <c r="K823" s="45"/>
      <c r="L823" s="44"/>
      <c r="M823" s="44"/>
      <c r="N823" s="44"/>
      <c r="O823" s="44"/>
      <c r="P823" s="44"/>
      <c r="Q823" s="44"/>
      <c r="R823" s="44"/>
      <c r="S823" s="45"/>
      <c r="T823" s="45"/>
      <c r="U823" s="45"/>
      <c r="V823" s="45"/>
      <c r="W823" s="45"/>
      <c r="X823" s="45"/>
      <c r="Y823" s="45"/>
      <c r="Z823" s="45"/>
      <c r="AA823" s="45"/>
      <c r="AB823" s="45"/>
      <c r="AC823" s="45"/>
    </row>
    <row r="824" spans="1:29" ht="13.15">
      <c r="A824" s="45"/>
      <c r="B824" s="45"/>
      <c r="C824" s="45"/>
      <c r="D824" s="45"/>
      <c r="E824" s="45"/>
      <c r="F824" s="45"/>
      <c r="G824" s="45"/>
      <c r="H824" s="45"/>
      <c r="I824" s="44"/>
      <c r="J824" s="44"/>
      <c r="K824" s="45"/>
      <c r="L824" s="44"/>
      <c r="M824" s="44"/>
      <c r="N824" s="44"/>
      <c r="O824" s="44"/>
      <c r="P824" s="44"/>
      <c r="Q824" s="44"/>
      <c r="R824" s="44"/>
      <c r="S824" s="45"/>
      <c r="T824" s="45"/>
      <c r="U824" s="45"/>
      <c r="V824" s="45"/>
      <c r="W824" s="45"/>
      <c r="X824" s="45"/>
      <c r="Y824" s="45"/>
      <c r="Z824" s="45"/>
      <c r="AA824" s="45"/>
      <c r="AB824" s="45"/>
      <c r="AC824" s="45"/>
    </row>
    <row r="825" spans="1:29" ht="13.15">
      <c r="A825" s="45"/>
      <c r="B825" s="45"/>
      <c r="C825" s="45"/>
      <c r="D825" s="45"/>
      <c r="E825" s="45"/>
      <c r="F825" s="45"/>
      <c r="G825" s="45"/>
      <c r="H825" s="45"/>
      <c r="I825" s="44"/>
      <c r="J825" s="44"/>
      <c r="K825" s="45"/>
      <c r="L825" s="44"/>
      <c r="M825" s="44"/>
      <c r="N825" s="44"/>
      <c r="O825" s="44"/>
      <c r="P825" s="44"/>
      <c r="Q825" s="44"/>
      <c r="R825" s="44"/>
      <c r="S825" s="45"/>
      <c r="T825" s="45"/>
      <c r="U825" s="45"/>
      <c r="V825" s="45"/>
      <c r="W825" s="45"/>
      <c r="X825" s="45"/>
      <c r="Y825" s="45"/>
      <c r="Z825" s="45"/>
      <c r="AA825" s="45"/>
      <c r="AB825" s="45"/>
      <c r="AC825" s="45"/>
    </row>
    <row r="826" spans="1:29" ht="13.15">
      <c r="A826" s="45"/>
      <c r="B826" s="45"/>
      <c r="C826" s="45"/>
      <c r="D826" s="45"/>
      <c r="E826" s="45"/>
      <c r="F826" s="45"/>
      <c r="G826" s="45"/>
      <c r="H826" s="45"/>
      <c r="I826" s="44"/>
      <c r="J826" s="44"/>
      <c r="K826" s="45"/>
      <c r="L826" s="44"/>
      <c r="M826" s="44"/>
      <c r="N826" s="44"/>
      <c r="O826" s="44"/>
      <c r="P826" s="44"/>
      <c r="Q826" s="44"/>
      <c r="R826" s="44"/>
      <c r="S826" s="45"/>
      <c r="T826" s="45"/>
      <c r="U826" s="45"/>
      <c r="V826" s="45"/>
      <c r="W826" s="45"/>
      <c r="X826" s="45"/>
      <c r="Y826" s="45"/>
      <c r="Z826" s="45"/>
      <c r="AA826" s="45"/>
      <c r="AB826" s="45"/>
      <c r="AC826" s="45"/>
    </row>
    <row r="827" spans="1:29" ht="13.15">
      <c r="A827" s="45"/>
      <c r="B827" s="45"/>
      <c r="C827" s="45"/>
      <c r="D827" s="45"/>
      <c r="E827" s="45"/>
      <c r="F827" s="45"/>
      <c r="G827" s="45"/>
      <c r="H827" s="45"/>
      <c r="I827" s="44"/>
      <c r="J827" s="44"/>
      <c r="K827" s="45"/>
      <c r="L827" s="44"/>
      <c r="M827" s="44"/>
      <c r="N827" s="44"/>
      <c r="O827" s="44"/>
      <c r="P827" s="44"/>
      <c r="Q827" s="44"/>
      <c r="R827" s="44"/>
      <c r="S827" s="45"/>
      <c r="T827" s="45"/>
      <c r="U827" s="45"/>
      <c r="V827" s="45"/>
      <c r="W827" s="45"/>
      <c r="X827" s="45"/>
      <c r="Y827" s="45"/>
      <c r="Z827" s="45"/>
      <c r="AA827" s="45"/>
      <c r="AB827" s="45"/>
      <c r="AC827" s="45"/>
    </row>
    <row r="828" spans="1:29" ht="13.15">
      <c r="A828" s="45"/>
      <c r="B828" s="45"/>
      <c r="C828" s="45"/>
      <c r="D828" s="45"/>
      <c r="E828" s="45"/>
      <c r="F828" s="45"/>
      <c r="G828" s="45"/>
      <c r="H828" s="45"/>
      <c r="I828" s="44"/>
      <c r="J828" s="44"/>
      <c r="K828" s="45"/>
      <c r="L828" s="44"/>
      <c r="M828" s="44"/>
      <c r="N828" s="44"/>
      <c r="O828" s="44"/>
      <c r="P828" s="44"/>
      <c r="Q828" s="44"/>
      <c r="R828" s="44"/>
      <c r="S828" s="45"/>
      <c r="T828" s="45"/>
      <c r="U828" s="45"/>
      <c r="V828" s="45"/>
      <c r="W828" s="45"/>
      <c r="X828" s="45"/>
      <c r="Y828" s="45"/>
      <c r="Z828" s="45"/>
      <c r="AA828" s="45"/>
      <c r="AB828" s="45"/>
      <c r="AC828" s="45"/>
    </row>
    <row r="829" spans="1:29" ht="13.15">
      <c r="A829" s="45"/>
      <c r="B829" s="45"/>
      <c r="C829" s="45"/>
      <c r="D829" s="45"/>
      <c r="E829" s="45"/>
      <c r="F829" s="45"/>
      <c r="G829" s="45"/>
      <c r="H829" s="45"/>
      <c r="I829" s="44"/>
      <c r="J829" s="44"/>
      <c r="K829" s="45"/>
      <c r="L829" s="44"/>
      <c r="M829" s="44"/>
      <c r="N829" s="44"/>
      <c r="O829" s="44"/>
      <c r="P829" s="44"/>
      <c r="Q829" s="44"/>
      <c r="R829" s="44"/>
      <c r="S829" s="45"/>
      <c r="T829" s="45"/>
      <c r="U829" s="45"/>
      <c r="V829" s="45"/>
      <c r="W829" s="45"/>
      <c r="X829" s="45"/>
      <c r="Y829" s="45"/>
      <c r="Z829" s="45"/>
      <c r="AA829" s="45"/>
      <c r="AB829" s="45"/>
      <c r="AC829" s="45"/>
    </row>
    <row r="830" spans="1:29" ht="13.15">
      <c r="A830" s="45"/>
      <c r="B830" s="45"/>
      <c r="C830" s="45"/>
      <c r="D830" s="45"/>
      <c r="E830" s="45"/>
      <c r="F830" s="45"/>
      <c r="G830" s="45"/>
      <c r="H830" s="45"/>
      <c r="I830" s="44"/>
      <c r="J830" s="44"/>
      <c r="K830" s="45"/>
      <c r="L830" s="44"/>
      <c r="M830" s="44"/>
      <c r="N830" s="44"/>
      <c r="O830" s="44"/>
      <c r="P830" s="44"/>
      <c r="Q830" s="44"/>
      <c r="R830" s="44"/>
      <c r="S830" s="45"/>
      <c r="T830" s="45"/>
      <c r="U830" s="45"/>
      <c r="V830" s="45"/>
      <c r="W830" s="45"/>
      <c r="X830" s="45"/>
      <c r="Y830" s="45"/>
      <c r="Z830" s="45"/>
      <c r="AA830" s="45"/>
      <c r="AB830" s="45"/>
      <c r="AC830" s="45"/>
    </row>
    <row r="831" spans="1:29" ht="13.15">
      <c r="A831" s="45"/>
      <c r="B831" s="45"/>
      <c r="C831" s="45"/>
      <c r="D831" s="45"/>
      <c r="E831" s="45"/>
      <c r="F831" s="45"/>
      <c r="G831" s="45"/>
      <c r="H831" s="45"/>
      <c r="I831" s="44"/>
      <c r="J831" s="44"/>
      <c r="K831" s="45"/>
      <c r="L831" s="44"/>
      <c r="M831" s="44"/>
      <c r="N831" s="44"/>
      <c r="O831" s="44"/>
      <c r="P831" s="44"/>
      <c r="Q831" s="44"/>
      <c r="R831" s="44"/>
      <c r="S831" s="45"/>
      <c r="T831" s="45"/>
      <c r="U831" s="45"/>
      <c r="V831" s="45"/>
      <c r="W831" s="45"/>
      <c r="X831" s="45"/>
      <c r="Y831" s="45"/>
      <c r="Z831" s="45"/>
      <c r="AA831" s="45"/>
      <c r="AB831" s="45"/>
      <c r="AC831" s="45"/>
    </row>
    <row r="832" spans="1:29" ht="13.15">
      <c r="A832" s="45"/>
      <c r="B832" s="45"/>
      <c r="C832" s="45"/>
      <c r="D832" s="45"/>
      <c r="E832" s="45"/>
      <c r="F832" s="45"/>
      <c r="G832" s="45"/>
      <c r="H832" s="45"/>
      <c r="I832" s="44"/>
      <c r="J832" s="44"/>
      <c r="K832" s="45"/>
      <c r="L832" s="44"/>
      <c r="M832" s="44"/>
      <c r="N832" s="44"/>
      <c r="O832" s="44"/>
      <c r="P832" s="44"/>
      <c r="Q832" s="44"/>
      <c r="R832" s="44"/>
      <c r="S832" s="45"/>
      <c r="T832" s="45"/>
      <c r="U832" s="45"/>
      <c r="V832" s="45"/>
      <c r="W832" s="45"/>
      <c r="X832" s="45"/>
      <c r="Y832" s="45"/>
      <c r="Z832" s="45"/>
      <c r="AA832" s="45"/>
      <c r="AB832" s="45"/>
      <c r="AC832" s="45"/>
    </row>
    <row r="833" spans="1:29" ht="13.15">
      <c r="A833" s="45"/>
      <c r="B833" s="45"/>
      <c r="C833" s="45"/>
      <c r="D833" s="45"/>
      <c r="E833" s="45"/>
      <c r="F833" s="45"/>
      <c r="G833" s="45"/>
      <c r="H833" s="45"/>
      <c r="I833" s="44"/>
      <c r="J833" s="44"/>
      <c r="K833" s="45"/>
      <c r="L833" s="44"/>
      <c r="M833" s="44"/>
      <c r="N833" s="44"/>
      <c r="O833" s="44"/>
      <c r="P833" s="44"/>
      <c r="Q833" s="44"/>
      <c r="R833" s="44"/>
      <c r="S833" s="45"/>
      <c r="T833" s="45"/>
      <c r="U833" s="45"/>
      <c r="V833" s="45"/>
      <c r="W833" s="45"/>
      <c r="X833" s="45"/>
      <c r="Y833" s="45"/>
      <c r="Z833" s="45"/>
      <c r="AA833" s="45"/>
      <c r="AB833" s="45"/>
      <c r="AC833" s="45"/>
    </row>
    <row r="834" spans="1:29" ht="13.15">
      <c r="A834" s="45"/>
      <c r="B834" s="45"/>
      <c r="C834" s="45"/>
      <c r="D834" s="45"/>
      <c r="E834" s="45"/>
      <c r="F834" s="45"/>
      <c r="G834" s="45"/>
      <c r="H834" s="45"/>
      <c r="I834" s="44"/>
      <c r="J834" s="44"/>
      <c r="K834" s="45"/>
      <c r="L834" s="44"/>
      <c r="M834" s="44"/>
      <c r="N834" s="44"/>
      <c r="O834" s="44"/>
      <c r="P834" s="44"/>
      <c r="Q834" s="44"/>
      <c r="R834" s="44"/>
      <c r="S834" s="45"/>
      <c r="T834" s="45"/>
      <c r="U834" s="45"/>
      <c r="V834" s="45"/>
      <c r="W834" s="45"/>
      <c r="X834" s="45"/>
      <c r="Y834" s="45"/>
      <c r="Z834" s="45"/>
      <c r="AA834" s="45"/>
      <c r="AB834" s="45"/>
      <c r="AC834" s="45"/>
    </row>
    <row r="835" spans="1:29" ht="13.15">
      <c r="A835" s="45"/>
      <c r="B835" s="45"/>
      <c r="C835" s="45"/>
      <c r="D835" s="45"/>
      <c r="E835" s="45"/>
      <c r="F835" s="45"/>
      <c r="G835" s="45"/>
      <c r="H835" s="45"/>
      <c r="I835" s="44"/>
      <c r="J835" s="44"/>
      <c r="K835" s="45"/>
      <c r="L835" s="44"/>
      <c r="M835" s="44"/>
      <c r="N835" s="44"/>
      <c r="O835" s="44"/>
      <c r="P835" s="44"/>
      <c r="Q835" s="44"/>
      <c r="R835" s="44"/>
      <c r="S835" s="45"/>
      <c r="T835" s="45"/>
      <c r="U835" s="45"/>
      <c r="V835" s="45"/>
      <c r="W835" s="45"/>
      <c r="X835" s="45"/>
      <c r="Y835" s="45"/>
      <c r="Z835" s="45"/>
      <c r="AA835" s="45"/>
      <c r="AB835" s="45"/>
      <c r="AC835" s="45"/>
    </row>
    <row r="836" spans="1:29" ht="13.15">
      <c r="A836" s="45"/>
      <c r="B836" s="45"/>
      <c r="C836" s="45"/>
      <c r="D836" s="45"/>
      <c r="E836" s="45"/>
      <c r="F836" s="45"/>
      <c r="G836" s="45"/>
      <c r="H836" s="45"/>
      <c r="I836" s="44"/>
      <c r="J836" s="44"/>
      <c r="K836" s="45"/>
      <c r="L836" s="44"/>
      <c r="M836" s="44"/>
      <c r="N836" s="44"/>
      <c r="O836" s="44"/>
      <c r="P836" s="44"/>
      <c r="Q836" s="44"/>
      <c r="R836" s="44"/>
      <c r="S836" s="45"/>
      <c r="T836" s="45"/>
      <c r="U836" s="45"/>
      <c r="V836" s="45"/>
      <c r="W836" s="45"/>
      <c r="X836" s="45"/>
      <c r="Y836" s="45"/>
      <c r="Z836" s="45"/>
      <c r="AA836" s="45"/>
      <c r="AB836" s="45"/>
      <c r="AC836" s="45"/>
    </row>
    <row r="837" spans="1:29" ht="13.15">
      <c r="A837" s="45"/>
      <c r="B837" s="45"/>
      <c r="C837" s="45"/>
      <c r="D837" s="45"/>
      <c r="E837" s="45"/>
      <c r="F837" s="45"/>
      <c r="G837" s="45"/>
      <c r="H837" s="45"/>
      <c r="I837" s="44"/>
      <c r="J837" s="44"/>
      <c r="K837" s="45"/>
      <c r="L837" s="44"/>
      <c r="M837" s="44"/>
      <c r="N837" s="44"/>
      <c r="O837" s="44"/>
      <c r="P837" s="44"/>
      <c r="Q837" s="44"/>
      <c r="R837" s="44"/>
      <c r="S837" s="45"/>
      <c r="T837" s="45"/>
      <c r="U837" s="45"/>
      <c r="V837" s="45"/>
      <c r="W837" s="45"/>
      <c r="X837" s="45"/>
      <c r="Y837" s="45"/>
      <c r="Z837" s="45"/>
      <c r="AA837" s="45"/>
      <c r="AB837" s="45"/>
      <c r="AC837" s="45"/>
    </row>
    <row r="838" spans="1:29" ht="13.15">
      <c r="A838" s="45"/>
      <c r="B838" s="45"/>
      <c r="C838" s="45"/>
      <c r="D838" s="45"/>
      <c r="E838" s="45"/>
      <c r="F838" s="45"/>
      <c r="G838" s="45"/>
      <c r="H838" s="45"/>
      <c r="I838" s="44"/>
      <c r="J838" s="44"/>
      <c r="K838" s="45"/>
      <c r="L838" s="44"/>
      <c r="M838" s="44"/>
      <c r="N838" s="44"/>
      <c r="O838" s="44"/>
      <c r="P838" s="44"/>
      <c r="Q838" s="44"/>
      <c r="R838" s="44"/>
      <c r="S838" s="45"/>
      <c r="T838" s="45"/>
      <c r="U838" s="45"/>
      <c r="V838" s="45"/>
      <c r="W838" s="45"/>
      <c r="X838" s="45"/>
      <c r="Y838" s="45"/>
      <c r="Z838" s="45"/>
      <c r="AA838" s="45"/>
      <c r="AB838" s="45"/>
      <c r="AC838" s="45"/>
    </row>
    <row r="839" spans="1:29" ht="13.15">
      <c r="A839" s="45"/>
      <c r="B839" s="45"/>
      <c r="C839" s="45"/>
      <c r="D839" s="45"/>
      <c r="E839" s="45"/>
      <c r="F839" s="45"/>
      <c r="G839" s="45"/>
      <c r="H839" s="45"/>
      <c r="I839" s="44"/>
      <c r="J839" s="44"/>
      <c r="K839" s="45"/>
      <c r="L839" s="44"/>
      <c r="M839" s="44"/>
      <c r="N839" s="44"/>
      <c r="O839" s="44"/>
      <c r="P839" s="44"/>
      <c r="Q839" s="44"/>
      <c r="R839" s="44"/>
      <c r="S839" s="45"/>
      <c r="T839" s="45"/>
      <c r="U839" s="45"/>
      <c r="V839" s="45"/>
      <c r="W839" s="45"/>
      <c r="X839" s="45"/>
      <c r="Y839" s="45"/>
      <c r="Z839" s="45"/>
      <c r="AA839" s="45"/>
      <c r="AB839" s="45"/>
      <c r="AC839" s="45"/>
    </row>
    <row r="840" spans="1:29" ht="13.15">
      <c r="A840" s="45"/>
      <c r="B840" s="45"/>
      <c r="C840" s="45"/>
      <c r="D840" s="45"/>
      <c r="E840" s="45"/>
      <c r="F840" s="45"/>
      <c r="G840" s="45"/>
      <c r="H840" s="45"/>
      <c r="I840" s="44"/>
      <c r="J840" s="44"/>
      <c r="K840" s="45"/>
      <c r="L840" s="44"/>
      <c r="M840" s="44"/>
      <c r="N840" s="44"/>
      <c r="O840" s="44"/>
      <c r="P840" s="44"/>
      <c r="Q840" s="44"/>
      <c r="R840" s="44"/>
      <c r="S840" s="45"/>
      <c r="T840" s="45"/>
      <c r="U840" s="45"/>
      <c r="V840" s="45"/>
      <c r="W840" s="45"/>
      <c r="X840" s="45"/>
      <c r="Y840" s="45"/>
      <c r="Z840" s="45"/>
      <c r="AA840" s="45"/>
      <c r="AB840" s="45"/>
      <c r="AC840" s="45"/>
    </row>
    <row r="841" spans="1:29" ht="13.15">
      <c r="A841" s="45"/>
      <c r="B841" s="45"/>
      <c r="C841" s="45"/>
      <c r="D841" s="45"/>
      <c r="E841" s="45"/>
      <c r="F841" s="45"/>
      <c r="G841" s="45"/>
      <c r="H841" s="45"/>
      <c r="I841" s="44"/>
      <c r="J841" s="44"/>
      <c r="K841" s="45"/>
      <c r="L841" s="44"/>
      <c r="M841" s="44"/>
      <c r="N841" s="44"/>
      <c r="O841" s="44"/>
      <c r="P841" s="44"/>
      <c r="Q841" s="44"/>
      <c r="R841" s="44"/>
      <c r="S841" s="45"/>
      <c r="T841" s="45"/>
      <c r="U841" s="45"/>
      <c r="V841" s="45"/>
      <c r="W841" s="45"/>
      <c r="X841" s="45"/>
      <c r="Y841" s="45"/>
      <c r="Z841" s="45"/>
      <c r="AA841" s="45"/>
      <c r="AB841" s="45"/>
      <c r="AC841" s="45"/>
    </row>
    <row r="842" spans="1:29" ht="13.15">
      <c r="A842" s="45"/>
      <c r="B842" s="45"/>
      <c r="C842" s="45"/>
      <c r="D842" s="45"/>
      <c r="E842" s="45"/>
      <c r="F842" s="45"/>
      <c r="G842" s="45"/>
      <c r="H842" s="45"/>
      <c r="I842" s="44"/>
      <c r="J842" s="44"/>
      <c r="K842" s="45"/>
      <c r="L842" s="44"/>
      <c r="M842" s="44"/>
      <c r="N842" s="44"/>
      <c r="O842" s="44"/>
      <c r="P842" s="44"/>
      <c r="Q842" s="44"/>
      <c r="R842" s="44"/>
      <c r="S842" s="45"/>
      <c r="T842" s="45"/>
      <c r="U842" s="45"/>
      <c r="V842" s="45"/>
      <c r="W842" s="45"/>
      <c r="X842" s="45"/>
      <c r="Y842" s="45"/>
      <c r="Z842" s="45"/>
      <c r="AA842" s="45"/>
      <c r="AB842" s="45"/>
      <c r="AC842" s="45"/>
    </row>
    <row r="843" spans="1:29" ht="13.15">
      <c r="A843" s="45"/>
      <c r="B843" s="45"/>
      <c r="C843" s="45"/>
      <c r="D843" s="45"/>
      <c r="E843" s="45"/>
      <c r="F843" s="45"/>
      <c r="G843" s="45"/>
      <c r="H843" s="45"/>
      <c r="I843" s="44"/>
      <c r="J843" s="44"/>
      <c r="K843" s="45"/>
      <c r="L843" s="44"/>
      <c r="M843" s="44"/>
      <c r="N843" s="44"/>
      <c r="O843" s="44"/>
      <c r="P843" s="44"/>
      <c r="Q843" s="44"/>
      <c r="R843" s="44"/>
      <c r="S843" s="45"/>
      <c r="T843" s="45"/>
      <c r="U843" s="45"/>
      <c r="V843" s="45"/>
      <c r="W843" s="45"/>
      <c r="X843" s="45"/>
      <c r="Y843" s="45"/>
      <c r="Z843" s="45"/>
      <c r="AA843" s="45"/>
      <c r="AB843" s="45"/>
      <c r="AC843" s="45"/>
    </row>
    <row r="844" spans="1:29" ht="13.15">
      <c r="A844" s="45"/>
      <c r="B844" s="45"/>
      <c r="C844" s="45"/>
      <c r="D844" s="45"/>
      <c r="E844" s="45"/>
      <c r="F844" s="45"/>
      <c r="G844" s="45"/>
      <c r="H844" s="45"/>
      <c r="I844" s="44"/>
      <c r="J844" s="44"/>
      <c r="K844" s="45"/>
      <c r="L844" s="44"/>
      <c r="M844" s="44"/>
      <c r="N844" s="44"/>
      <c r="O844" s="44"/>
      <c r="P844" s="44"/>
      <c r="Q844" s="44"/>
      <c r="R844" s="44"/>
      <c r="S844" s="45"/>
      <c r="T844" s="45"/>
      <c r="U844" s="45"/>
      <c r="V844" s="45"/>
      <c r="W844" s="45"/>
      <c r="X844" s="45"/>
      <c r="Y844" s="45"/>
      <c r="Z844" s="45"/>
      <c r="AA844" s="45"/>
      <c r="AB844" s="45"/>
      <c r="AC844" s="45"/>
    </row>
    <row r="845" spans="1:29" ht="13.15">
      <c r="A845" s="45"/>
      <c r="B845" s="45"/>
      <c r="C845" s="45"/>
      <c r="D845" s="45"/>
      <c r="E845" s="45"/>
      <c r="F845" s="45"/>
      <c r="G845" s="45"/>
      <c r="H845" s="45"/>
      <c r="I845" s="44"/>
      <c r="J845" s="44"/>
      <c r="K845" s="45"/>
      <c r="L845" s="44"/>
      <c r="M845" s="44"/>
      <c r="N845" s="44"/>
      <c r="O845" s="44"/>
      <c r="P845" s="44"/>
      <c r="Q845" s="44"/>
      <c r="R845" s="44"/>
      <c r="S845" s="45"/>
      <c r="T845" s="45"/>
      <c r="U845" s="45"/>
      <c r="V845" s="45"/>
      <c r="W845" s="45"/>
      <c r="X845" s="45"/>
      <c r="Y845" s="45"/>
      <c r="Z845" s="45"/>
      <c r="AA845" s="45"/>
      <c r="AB845" s="45"/>
      <c r="AC845" s="45"/>
    </row>
    <row r="846" spans="1:29" ht="13.15">
      <c r="A846" s="45"/>
      <c r="B846" s="45"/>
      <c r="C846" s="45"/>
      <c r="D846" s="45"/>
      <c r="E846" s="45"/>
      <c r="F846" s="45"/>
      <c r="G846" s="45"/>
      <c r="H846" s="45"/>
      <c r="I846" s="44"/>
      <c r="J846" s="44"/>
      <c r="K846" s="45"/>
      <c r="L846" s="44"/>
      <c r="M846" s="44"/>
      <c r="N846" s="44"/>
      <c r="O846" s="44"/>
      <c r="P846" s="44"/>
      <c r="Q846" s="44"/>
      <c r="R846" s="44"/>
      <c r="S846" s="45"/>
      <c r="T846" s="45"/>
      <c r="U846" s="45"/>
      <c r="V846" s="45"/>
      <c r="W846" s="45"/>
      <c r="X846" s="45"/>
      <c r="Y846" s="45"/>
      <c r="Z846" s="45"/>
      <c r="AA846" s="45"/>
      <c r="AB846" s="45"/>
      <c r="AC846" s="45"/>
    </row>
    <row r="847" spans="1:29" ht="13.15">
      <c r="A847" s="45"/>
      <c r="B847" s="45"/>
      <c r="C847" s="45"/>
      <c r="D847" s="45"/>
      <c r="E847" s="45"/>
      <c r="F847" s="45"/>
      <c r="G847" s="45"/>
      <c r="H847" s="45"/>
      <c r="I847" s="44"/>
      <c r="J847" s="44"/>
      <c r="K847" s="45"/>
      <c r="L847" s="44"/>
      <c r="M847" s="44"/>
      <c r="N847" s="44"/>
      <c r="O847" s="44"/>
      <c r="P847" s="44"/>
      <c r="Q847" s="44"/>
      <c r="R847" s="44"/>
      <c r="S847" s="45"/>
      <c r="T847" s="45"/>
      <c r="U847" s="45"/>
      <c r="V847" s="45"/>
      <c r="W847" s="45"/>
      <c r="X847" s="45"/>
      <c r="Y847" s="45"/>
      <c r="Z847" s="45"/>
      <c r="AA847" s="45"/>
      <c r="AB847" s="45"/>
      <c r="AC847" s="45"/>
    </row>
    <row r="848" spans="1:29" ht="13.15">
      <c r="A848" s="45"/>
      <c r="B848" s="45"/>
      <c r="C848" s="45"/>
      <c r="D848" s="45"/>
      <c r="E848" s="45"/>
      <c r="F848" s="45"/>
      <c r="G848" s="45"/>
      <c r="H848" s="45"/>
      <c r="I848" s="44"/>
      <c r="J848" s="44"/>
      <c r="K848" s="45"/>
      <c r="L848" s="44"/>
      <c r="M848" s="44"/>
      <c r="N848" s="44"/>
      <c r="O848" s="44"/>
      <c r="P848" s="44"/>
      <c r="Q848" s="44"/>
      <c r="R848" s="44"/>
      <c r="S848" s="45"/>
      <c r="T848" s="45"/>
      <c r="U848" s="45"/>
      <c r="V848" s="45"/>
      <c r="W848" s="45"/>
      <c r="X848" s="45"/>
      <c r="Y848" s="45"/>
      <c r="Z848" s="45"/>
      <c r="AA848" s="45"/>
      <c r="AB848" s="45"/>
      <c r="AC848" s="45"/>
    </row>
    <row r="849" spans="1:29" ht="13.15">
      <c r="A849" s="45"/>
      <c r="B849" s="45"/>
      <c r="C849" s="45"/>
      <c r="D849" s="45"/>
      <c r="E849" s="45"/>
      <c r="F849" s="45"/>
      <c r="G849" s="45"/>
      <c r="H849" s="45"/>
      <c r="I849" s="44"/>
      <c r="J849" s="44"/>
      <c r="K849" s="45"/>
      <c r="L849" s="44"/>
      <c r="M849" s="44"/>
      <c r="N849" s="44"/>
      <c r="O849" s="44"/>
      <c r="P849" s="44"/>
      <c r="Q849" s="44"/>
      <c r="R849" s="44"/>
      <c r="S849" s="45"/>
      <c r="T849" s="45"/>
      <c r="U849" s="45"/>
      <c r="V849" s="45"/>
      <c r="W849" s="45"/>
      <c r="X849" s="45"/>
      <c r="Y849" s="45"/>
      <c r="Z849" s="45"/>
      <c r="AA849" s="45"/>
      <c r="AB849" s="45"/>
      <c r="AC849" s="45"/>
    </row>
    <row r="850" spans="1:29" ht="13.15">
      <c r="A850" s="45"/>
      <c r="B850" s="45"/>
      <c r="C850" s="45"/>
      <c r="D850" s="45"/>
      <c r="E850" s="45"/>
      <c r="F850" s="45"/>
      <c r="G850" s="45"/>
      <c r="H850" s="45"/>
      <c r="I850" s="44"/>
      <c r="J850" s="44"/>
      <c r="K850" s="45"/>
      <c r="L850" s="44"/>
      <c r="M850" s="44"/>
      <c r="N850" s="44"/>
      <c r="O850" s="44"/>
      <c r="P850" s="44"/>
      <c r="Q850" s="44"/>
      <c r="R850" s="44"/>
      <c r="S850" s="45"/>
      <c r="T850" s="45"/>
      <c r="U850" s="45"/>
      <c r="V850" s="45"/>
      <c r="W850" s="45"/>
      <c r="X850" s="45"/>
      <c r="Y850" s="45"/>
      <c r="Z850" s="45"/>
      <c r="AA850" s="45"/>
      <c r="AB850" s="45"/>
      <c r="AC850" s="45"/>
    </row>
    <row r="851" spans="1:29" ht="13.15">
      <c r="A851" s="45"/>
      <c r="B851" s="45"/>
      <c r="C851" s="45"/>
      <c r="D851" s="45"/>
      <c r="E851" s="45"/>
      <c r="F851" s="45"/>
      <c r="G851" s="45"/>
      <c r="H851" s="45"/>
      <c r="I851" s="44"/>
      <c r="J851" s="44"/>
      <c r="K851" s="45"/>
      <c r="L851" s="44"/>
      <c r="M851" s="44"/>
      <c r="N851" s="44"/>
      <c r="O851" s="44"/>
      <c r="P851" s="44"/>
      <c r="Q851" s="44"/>
      <c r="R851" s="44"/>
      <c r="S851" s="45"/>
      <c r="T851" s="45"/>
      <c r="U851" s="45"/>
      <c r="V851" s="45"/>
      <c r="W851" s="45"/>
      <c r="X851" s="45"/>
      <c r="Y851" s="45"/>
      <c r="Z851" s="45"/>
      <c r="AA851" s="45"/>
      <c r="AB851" s="45"/>
      <c r="AC851" s="45"/>
    </row>
    <row r="852" spans="1:29" ht="13.15">
      <c r="A852" s="45"/>
      <c r="B852" s="45"/>
      <c r="C852" s="45"/>
      <c r="D852" s="45"/>
      <c r="E852" s="45"/>
      <c r="F852" s="45"/>
      <c r="G852" s="45"/>
      <c r="H852" s="45"/>
      <c r="I852" s="44"/>
      <c r="J852" s="44"/>
      <c r="K852" s="45"/>
      <c r="L852" s="44"/>
      <c r="M852" s="44"/>
      <c r="N852" s="44"/>
      <c r="O852" s="44"/>
      <c r="P852" s="44"/>
      <c r="Q852" s="44"/>
      <c r="R852" s="44"/>
      <c r="S852" s="45"/>
      <c r="T852" s="45"/>
      <c r="U852" s="45"/>
      <c r="V852" s="45"/>
      <c r="W852" s="45"/>
      <c r="X852" s="45"/>
      <c r="Y852" s="45"/>
      <c r="Z852" s="45"/>
      <c r="AA852" s="45"/>
      <c r="AB852" s="45"/>
      <c r="AC852" s="45"/>
    </row>
    <row r="853" spans="1:29" ht="13.15">
      <c r="A853" s="45"/>
      <c r="B853" s="45"/>
      <c r="C853" s="45"/>
      <c r="D853" s="45"/>
      <c r="E853" s="45"/>
      <c r="F853" s="45"/>
      <c r="G853" s="45"/>
      <c r="H853" s="45"/>
      <c r="I853" s="44"/>
      <c r="J853" s="44"/>
      <c r="K853" s="45"/>
      <c r="L853" s="44"/>
      <c r="M853" s="44"/>
      <c r="N853" s="44"/>
      <c r="O853" s="44"/>
      <c r="P853" s="44"/>
      <c r="Q853" s="44"/>
      <c r="R853" s="44"/>
      <c r="S853" s="45"/>
      <c r="T853" s="45"/>
      <c r="U853" s="45"/>
      <c r="V853" s="45"/>
      <c r="W853" s="45"/>
      <c r="X853" s="45"/>
      <c r="Y853" s="45"/>
      <c r="Z853" s="45"/>
      <c r="AA853" s="45"/>
      <c r="AB853" s="45"/>
      <c r="AC853" s="45"/>
    </row>
    <row r="854" spans="1:29" ht="13.15">
      <c r="A854" s="45"/>
      <c r="B854" s="45"/>
      <c r="C854" s="45"/>
      <c r="D854" s="45"/>
      <c r="E854" s="45"/>
      <c r="F854" s="45"/>
      <c r="G854" s="45"/>
      <c r="H854" s="45"/>
      <c r="I854" s="44"/>
      <c r="J854" s="44"/>
      <c r="K854" s="45"/>
      <c r="L854" s="44"/>
      <c r="M854" s="44"/>
      <c r="N854" s="44"/>
      <c r="O854" s="44"/>
      <c r="P854" s="44"/>
      <c r="Q854" s="44"/>
      <c r="R854" s="44"/>
      <c r="S854" s="45"/>
      <c r="T854" s="45"/>
      <c r="U854" s="45"/>
      <c r="V854" s="45"/>
      <c r="W854" s="45"/>
      <c r="X854" s="45"/>
      <c r="Y854" s="45"/>
      <c r="Z854" s="45"/>
      <c r="AA854" s="45"/>
      <c r="AB854" s="45"/>
      <c r="AC854" s="45"/>
    </row>
    <row r="855" spans="1:29" ht="13.15">
      <c r="A855" s="45"/>
      <c r="B855" s="45"/>
      <c r="C855" s="45"/>
      <c r="D855" s="45"/>
      <c r="E855" s="45"/>
      <c r="F855" s="45"/>
      <c r="G855" s="45"/>
      <c r="H855" s="45"/>
      <c r="I855" s="44"/>
      <c r="J855" s="44"/>
      <c r="K855" s="45"/>
      <c r="L855" s="44"/>
      <c r="M855" s="44"/>
      <c r="N855" s="44"/>
      <c r="O855" s="44"/>
      <c r="P855" s="44"/>
      <c r="Q855" s="44"/>
      <c r="R855" s="44"/>
      <c r="S855" s="45"/>
      <c r="T855" s="45"/>
      <c r="U855" s="45"/>
      <c r="V855" s="45"/>
      <c r="W855" s="45"/>
      <c r="X855" s="45"/>
      <c r="Y855" s="45"/>
      <c r="Z855" s="45"/>
      <c r="AA855" s="45"/>
      <c r="AB855" s="45"/>
      <c r="AC855" s="45"/>
    </row>
    <row r="856" spans="1:29" ht="13.15">
      <c r="A856" s="45"/>
      <c r="B856" s="45"/>
      <c r="C856" s="45"/>
      <c r="D856" s="45"/>
      <c r="E856" s="45"/>
      <c r="F856" s="45"/>
      <c r="G856" s="45"/>
      <c r="H856" s="45"/>
      <c r="I856" s="44"/>
      <c r="J856" s="44"/>
      <c r="K856" s="45"/>
      <c r="L856" s="44"/>
      <c r="M856" s="44"/>
      <c r="N856" s="44"/>
      <c r="O856" s="44"/>
      <c r="P856" s="44"/>
      <c r="Q856" s="44"/>
      <c r="R856" s="44"/>
      <c r="S856" s="45"/>
      <c r="T856" s="45"/>
      <c r="U856" s="45"/>
      <c r="V856" s="45"/>
      <c r="W856" s="45"/>
      <c r="X856" s="45"/>
      <c r="Y856" s="45"/>
      <c r="Z856" s="45"/>
      <c r="AA856" s="45"/>
      <c r="AB856" s="45"/>
      <c r="AC856" s="45"/>
    </row>
    <row r="857" spans="1:29" ht="13.15">
      <c r="A857" s="45"/>
      <c r="B857" s="45"/>
      <c r="C857" s="45"/>
      <c r="D857" s="45"/>
      <c r="E857" s="45"/>
      <c r="F857" s="45"/>
      <c r="G857" s="45"/>
      <c r="H857" s="45"/>
      <c r="I857" s="44"/>
      <c r="J857" s="44"/>
      <c r="K857" s="45"/>
      <c r="L857" s="44"/>
      <c r="M857" s="44"/>
      <c r="N857" s="44"/>
      <c r="O857" s="44"/>
      <c r="P857" s="44"/>
      <c r="Q857" s="44"/>
      <c r="R857" s="44"/>
      <c r="S857" s="45"/>
      <c r="T857" s="45"/>
      <c r="U857" s="45"/>
      <c r="V857" s="45"/>
      <c r="W857" s="45"/>
      <c r="X857" s="45"/>
      <c r="Y857" s="45"/>
      <c r="Z857" s="45"/>
      <c r="AA857" s="45"/>
      <c r="AB857" s="45"/>
      <c r="AC857" s="45"/>
    </row>
    <row r="858" spans="1:29" ht="13.15">
      <c r="A858" s="45"/>
      <c r="B858" s="45"/>
      <c r="C858" s="45"/>
      <c r="D858" s="45"/>
      <c r="E858" s="45"/>
      <c r="F858" s="45"/>
      <c r="G858" s="45"/>
      <c r="H858" s="45"/>
      <c r="I858" s="44"/>
      <c r="J858" s="44"/>
      <c r="K858" s="45"/>
      <c r="L858" s="44"/>
      <c r="M858" s="44"/>
      <c r="N858" s="44"/>
      <c r="O858" s="44"/>
      <c r="P858" s="44"/>
      <c r="Q858" s="44"/>
      <c r="R858" s="44"/>
      <c r="S858" s="45"/>
      <c r="T858" s="45"/>
      <c r="U858" s="45"/>
      <c r="V858" s="45"/>
      <c r="W858" s="45"/>
      <c r="X858" s="45"/>
      <c r="Y858" s="45"/>
      <c r="Z858" s="45"/>
      <c r="AA858" s="45"/>
      <c r="AB858" s="45"/>
      <c r="AC858" s="45"/>
    </row>
    <row r="859" spans="1:29" ht="13.15">
      <c r="A859" s="45"/>
      <c r="B859" s="45"/>
      <c r="C859" s="45"/>
      <c r="D859" s="45"/>
      <c r="E859" s="45"/>
      <c r="F859" s="45"/>
      <c r="G859" s="45"/>
      <c r="H859" s="45"/>
      <c r="I859" s="44"/>
      <c r="J859" s="44"/>
      <c r="K859" s="45"/>
      <c r="L859" s="44"/>
      <c r="M859" s="44"/>
      <c r="N859" s="44"/>
      <c r="O859" s="44"/>
      <c r="P859" s="44"/>
      <c r="Q859" s="44"/>
      <c r="R859" s="44"/>
      <c r="S859" s="45"/>
      <c r="T859" s="45"/>
      <c r="U859" s="45"/>
      <c r="V859" s="45"/>
      <c r="W859" s="45"/>
      <c r="X859" s="45"/>
      <c r="Y859" s="45"/>
      <c r="Z859" s="45"/>
      <c r="AA859" s="45"/>
      <c r="AB859" s="45"/>
      <c r="AC859" s="45"/>
    </row>
    <row r="860" spans="1:29" ht="13.15">
      <c r="A860" s="45"/>
      <c r="B860" s="45"/>
      <c r="C860" s="45"/>
      <c r="D860" s="45"/>
      <c r="E860" s="45"/>
      <c r="F860" s="45"/>
      <c r="G860" s="45"/>
      <c r="H860" s="45"/>
      <c r="I860" s="44"/>
      <c r="J860" s="44"/>
      <c r="K860" s="45"/>
      <c r="L860" s="44"/>
      <c r="M860" s="44"/>
      <c r="N860" s="44"/>
      <c r="O860" s="44"/>
      <c r="P860" s="44"/>
      <c r="Q860" s="44"/>
      <c r="R860" s="44"/>
      <c r="S860" s="45"/>
      <c r="T860" s="45"/>
      <c r="U860" s="45"/>
      <c r="V860" s="45"/>
      <c r="W860" s="45"/>
      <c r="X860" s="45"/>
      <c r="Y860" s="45"/>
      <c r="Z860" s="45"/>
      <c r="AA860" s="45"/>
      <c r="AB860" s="45"/>
      <c r="AC860" s="45"/>
    </row>
    <row r="861" spans="1:29" ht="13.15">
      <c r="A861" s="45"/>
      <c r="B861" s="45"/>
      <c r="C861" s="45"/>
      <c r="D861" s="45"/>
      <c r="E861" s="45"/>
      <c r="F861" s="45"/>
      <c r="G861" s="45"/>
      <c r="H861" s="45"/>
      <c r="I861" s="44"/>
      <c r="J861" s="44"/>
      <c r="K861" s="45"/>
      <c r="L861" s="44"/>
      <c r="M861" s="44"/>
      <c r="N861" s="44"/>
      <c r="O861" s="44"/>
      <c r="P861" s="44"/>
      <c r="Q861" s="44"/>
      <c r="R861" s="44"/>
      <c r="S861" s="45"/>
      <c r="T861" s="45"/>
      <c r="U861" s="45"/>
      <c r="V861" s="45"/>
      <c r="W861" s="45"/>
      <c r="X861" s="45"/>
      <c r="Y861" s="45"/>
      <c r="Z861" s="45"/>
      <c r="AA861" s="45"/>
      <c r="AB861" s="45"/>
      <c r="AC861" s="45"/>
    </row>
    <row r="862" spans="1:29" ht="13.15">
      <c r="A862" s="45"/>
      <c r="B862" s="45"/>
      <c r="C862" s="45"/>
      <c r="D862" s="45"/>
      <c r="E862" s="45"/>
      <c r="F862" s="45"/>
      <c r="G862" s="45"/>
      <c r="H862" s="45"/>
      <c r="I862" s="44"/>
      <c r="J862" s="44"/>
      <c r="K862" s="45"/>
      <c r="L862" s="44"/>
      <c r="M862" s="44"/>
      <c r="N862" s="44"/>
      <c r="O862" s="44"/>
      <c r="P862" s="44"/>
      <c r="Q862" s="44"/>
      <c r="R862" s="44"/>
      <c r="S862" s="45"/>
      <c r="T862" s="45"/>
      <c r="U862" s="45"/>
      <c r="V862" s="45"/>
      <c r="W862" s="45"/>
      <c r="X862" s="45"/>
      <c r="Y862" s="45"/>
      <c r="Z862" s="45"/>
      <c r="AA862" s="45"/>
      <c r="AB862" s="45"/>
      <c r="AC862" s="45"/>
    </row>
    <row r="863" spans="1:29" ht="13.15">
      <c r="A863" s="45"/>
      <c r="B863" s="45"/>
      <c r="C863" s="45"/>
      <c r="D863" s="45"/>
      <c r="E863" s="45"/>
      <c r="F863" s="45"/>
      <c r="G863" s="45"/>
      <c r="H863" s="45"/>
      <c r="I863" s="44"/>
      <c r="J863" s="44"/>
      <c r="K863" s="45"/>
      <c r="L863" s="44"/>
      <c r="M863" s="44"/>
      <c r="N863" s="44"/>
      <c r="O863" s="44"/>
      <c r="P863" s="44"/>
      <c r="Q863" s="44"/>
      <c r="R863" s="44"/>
      <c r="S863" s="45"/>
      <c r="T863" s="45"/>
      <c r="U863" s="45"/>
      <c r="V863" s="45"/>
      <c r="W863" s="45"/>
      <c r="X863" s="45"/>
      <c r="Y863" s="45"/>
      <c r="Z863" s="45"/>
      <c r="AA863" s="45"/>
      <c r="AB863" s="45"/>
      <c r="AC863" s="45"/>
    </row>
    <row r="864" spans="1:29" ht="13.15">
      <c r="A864" s="45"/>
      <c r="B864" s="45"/>
      <c r="C864" s="45"/>
      <c r="D864" s="45"/>
      <c r="E864" s="45"/>
      <c r="F864" s="45"/>
      <c r="G864" s="45"/>
      <c r="H864" s="45"/>
      <c r="I864" s="44"/>
      <c r="J864" s="44"/>
      <c r="K864" s="45"/>
      <c r="L864" s="44"/>
      <c r="M864" s="44"/>
      <c r="N864" s="44"/>
      <c r="O864" s="44"/>
      <c r="P864" s="44"/>
      <c r="Q864" s="44"/>
      <c r="R864" s="44"/>
      <c r="S864" s="45"/>
      <c r="T864" s="45"/>
      <c r="U864" s="45"/>
      <c r="V864" s="45"/>
      <c r="W864" s="45"/>
      <c r="X864" s="45"/>
      <c r="Y864" s="45"/>
      <c r="Z864" s="45"/>
      <c r="AA864" s="45"/>
      <c r="AB864" s="45"/>
      <c r="AC864" s="45"/>
    </row>
    <row r="865" spans="1:29" ht="13.15">
      <c r="A865" s="45"/>
      <c r="B865" s="45"/>
      <c r="C865" s="45"/>
      <c r="D865" s="45"/>
      <c r="E865" s="45"/>
      <c r="F865" s="45"/>
      <c r="G865" s="45"/>
      <c r="H865" s="45"/>
      <c r="I865" s="44"/>
      <c r="J865" s="44"/>
      <c r="K865" s="45"/>
      <c r="L865" s="44"/>
      <c r="M865" s="44"/>
      <c r="N865" s="44"/>
      <c r="O865" s="44"/>
      <c r="P865" s="44"/>
      <c r="Q865" s="44"/>
      <c r="R865" s="44"/>
      <c r="S865" s="45"/>
      <c r="T865" s="45"/>
      <c r="U865" s="45"/>
      <c r="V865" s="45"/>
      <c r="W865" s="45"/>
      <c r="X865" s="45"/>
      <c r="Y865" s="45"/>
      <c r="Z865" s="45"/>
      <c r="AA865" s="45"/>
      <c r="AB865" s="45"/>
      <c r="AC865" s="45"/>
    </row>
    <row r="866" spans="1:29" ht="13.15">
      <c r="A866" s="45"/>
      <c r="B866" s="45"/>
      <c r="C866" s="45"/>
      <c r="D866" s="45"/>
      <c r="E866" s="45"/>
      <c r="F866" s="45"/>
      <c r="G866" s="45"/>
      <c r="H866" s="45"/>
      <c r="I866" s="44"/>
      <c r="J866" s="44"/>
      <c r="K866" s="45"/>
      <c r="L866" s="44"/>
      <c r="M866" s="44"/>
      <c r="N866" s="44"/>
      <c r="O866" s="44"/>
      <c r="P866" s="44"/>
      <c r="Q866" s="44"/>
      <c r="R866" s="44"/>
      <c r="S866" s="45"/>
      <c r="T866" s="45"/>
      <c r="U866" s="45"/>
      <c r="V866" s="45"/>
      <c r="W866" s="45"/>
      <c r="X866" s="45"/>
      <c r="Y866" s="45"/>
      <c r="Z866" s="45"/>
      <c r="AA866" s="45"/>
      <c r="AB866" s="45"/>
      <c r="AC866" s="45"/>
    </row>
    <row r="867" spans="1:29" ht="13.15">
      <c r="A867" s="45"/>
      <c r="B867" s="45"/>
      <c r="C867" s="45"/>
      <c r="D867" s="45"/>
      <c r="E867" s="45"/>
      <c r="F867" s="45"/>
      <c r="G867" s="45"/>
      <c r="H867" s="45"/>
      <c r="I867" s="44"/>
      <c r="J867" s="44"/>
      <c r="K867" s="45"/>
      <c r="L867" s="44"/>
      <c r="M867" s="44"/>
      <c r="N867" s="44"/>
      <c r="O867" s="44"/>
      <c r="P867" s="44"/>
      <c r="Q867" s="44"/>
      <c r="R867" s="44"/>
      <c r="S867" s="45"/>
      <c r="T867" s="45"/>
      <c r="U867" s="45"/>
      <c r="V867" s="45"/>
      <c r="W867" s="45"/>
      <c r="X867" s="45"/>
      <c r="Y867" s="45"/>
      <c r="Z867" s="45"/>
      <c r="AA867" s="45"/>
      <c r="AB867" s="45"/>
      <c r="AC867" s="45"/>
    </row>
    <row r="868" spans="1:29" ht="13.15">
      <c r="A868" s="45"/>
      <c r="B868" s="45"/>
      <c r="C868" s="45"/>
      <c r="D868" s="45"/>
      <c r="E868" s="45"/>
      <c r="F868" s="45"/>
      <c r="G868" s="45"/>
      <c r="H868" s="45"/>
      <c r="I868" s="44"/>
      <c r="J868" s="44"/>
      <c r="K868" s="45"/>
      <c r="L868" s="44"/>
      <c r="M868" s="44"/>
      <c r="N868" s="44"/>
      <c r="O868" s="44"/>
      <c r="P868" s="44"/>
      <c r="Q868" s="44"/>
      <c r="R868" s="44"/>
      <c r="S868" s="45"/>
      <c r="T868" s="45"/>
      <c r="U868" s="45"/>
      <c r="V868" s="45"/>
      <c r="W868" s="45"/>
      <c r="X868" s="45"/>
      <c r="Y868" s="45"/>
      <c r="Z868" s="45"/>
      <c r="AA868" s="45"/>
      <c r="AB868" s="45"/>
      <c r="AC868" s="45"/>
    </row>
    <row r="869" spans="1:29" ht="13.15">
      <c r="A869" s="45"/>
      <c r="B869" s="45"/>
      <c r="C869" s="45"/>
      <c r="D869" s="45"/>
      <c r="E869" s="45"/>
      <c r="F869" s="45"/>
      <c r="G869" s="45"/>
      <c r="H869" s="45"/>
      <c r="I869" s="44"/>
      <c r="J869" s="44"/>
      <c r="K869" s="45"/>
      <c r="L869" s="44"/>
      <c r="M869" s="44"/>
      <c r="N869" s="44"/>
      <c r="O869" s="44"/>
      <c r="P869" s="44"/>
      <c r="Q869" s="44"/>
      <c r="R869" s="44"/>
      <c r="S869" s="45"/>
      <c r="T869" s="45"/>
      <c r="U869" s="45"/>
      <c r="V869" s="45"/>
      <c r="W869" s="45"/>
      <c r="X869" s="45"/>
      <c r="Y869" s="45"/>
      <c r="Z869" s="45"/>
      <c r="AA869" s="45"/>
      <c r="AB869" s="45"/>
      <c r="AC869" s="45"/>
    </row>
    <row r="870" spans="1:29" ht="13.15">
      <c r="A870" s="45"/>
      <c r="B870" s="45"/>
      <c r="C870" s="45"/>
      <c r="D870" s="45"/>
      <c r="E870" s="45"/>
      <c r="F870" s="45"/>
      <c r="G870" s="45"/>
      <c r="H870" s="45"/>
      <c r="I870" s="44"/>
      <c r="J870" s="44"/>
      <c r="K870" s="45"/>
      <c r="L870" s="44"/>
      <c r="M870" s="44"/>
      <c r="N870" s="44"/>
      <c r="O870" s="44"/>
      <c r="P870" s="44"/>
      <c r="Q870" s="44"/>
      <c r="R870" s="44"/>
      <c r="S870" s="45"/>
      <c r="T870" s="45"/>
      <c r="U870" s="45"/>
      <c r="V870" s="45"/>
      <c r="W870" s="45"/>
      <c r="X870" s="45"/>
      <c r="Y870" s="45"/>
      <c r="Z870" s="45"/>
      <c r="AA870" s="45"/>
      <c r="AB870" s="45"/>
      <c r="AC870" s="45"/>
    </row>
    <row r="871" spans="1:29" ht="13.15">
      <c r="A871" s="45"/>
      <c r="B871" s="45"/>
      <c r="C871" s="45"/>
      <c r="D871" s="45"/>
      <c r="E871" s="45"/>
      <c r="F871" s="45"/>
      <c r="G871" s="45"/>
      <c r="H871" s="45"/>
      <c r="I871" s="44"/>
      <c r="J871" s="44"/>
      <c r="K871" s="45"/>
      <c r="L871" s="44"/>
      <c r="M871" s="44"/>
      <c r="N871" s="44"/>
      <c r="O871" s="44"/>
      <c r="P871" s="44"/>
      <c r="Q871" s="44"/>
      <c r="R871" s="44"/>
      <c r="S871" s="45"/>
      <c r="T871" s="45"/>
      <c r="U871" s="45"/>
      <c r="V871" s="45"/>
      <c r="W871" s="45"/>
      <c r="X871" s="45"/>
      <c r="Y871" s="45"/>
      <c r="Z871" s="45"/>
      <c r="AA871" s="45"/>
      <c r="AB871" s="45"/>
      <c r="AC871" s="45"/>
    </row>
    <row r="872" spans="1:29" ht="13.15">
      <c r="A872" s="45"/>
      <c r="B872" s="45"/>
      <c r="C872" s="45"/>
      <c r="D872" s="45"/>
      <c r="E872" s="45"/>
      <c r="F872" s="45"/>
      <c r="G872" s="45"/>
      <c r="H872" s="45"/>
      <c r="I872" s="44"/>
      <c r="J872" s="44"/>
      <c r="K872" s="45"/>
      <c r="L872" s="44"/>
      <c r="M872" s="44"/>
      <c r="N872" s="44"/>
      <c r="O872" s="44"/>
      <c r="P872" s="44"/>
      <c r="Q872" s="44"/>
      <c r="R872" s="44"/>
      <c r="S872" s="45"/>
      <c r="T872" s="45"/>
      <c r="U872" s="45"/>
      <c r="V872" s="45"/>
      <c r="W872" s="45"/>
      <c r="X872" s="45"/>
      <c r="Y872" s="45"/>
      <c r="Z872" s="45"/>
      <c r="AA872" s="45"/>
      <c r="AB872" s="45"/>
      <c r="AC872" s="45"/>
    </row>
    <row r="873" spans="1:29" ht="13.15">
      <c r="A873" s="45"/>
      <c r="B873" s="45"/>
      <c r="C873" s="45"/>
      <c r="D873" s="45"/>
      <c r="E873" s="45"/>
      <c r="F873" s="45"/>
      <c r="G873" s="45"/>
      <c r="H873" s="45"/>
      <c r="I873" s="44"/>
      <c r="J873" s="44"/>
      <c r="K873" s="45"/>
      <c r="L873" s="44"/>
      <c r="M873" s="44"/>
      <c r="N873" s="44"/>
      <c r="O873" s="44"/>
      <c r="P873" s="44"/>
      <c r="Q873" s="44"/>
      <c r="R873" s="44"/>
      <c r="S873" s="45"/>
      <c r="T873" s="45"/>
      <c r="U873" s="45"/>
      <c r="V873" s="45"/>
      <c r="W873" s="45"/>
      <c r="X873" s="45"/>
      <c r="Y873" s="45"/>
      <c r="Z873" s="45"/>
      <c r="AA873" s="45"/>
      <c r="AB873" s="45"/>
      <c r="AC873" s="45"/>
    </row>
    <row r="874" spans="1:29" ht="13.15">
      <c r="A874" s="45"/>
      <c r="B874" s="45"/>
      <c r="C874" s="45"/>
      <c r="D874" s="45"/>
      <c r="E874" s="45"/>
      <c r="F874" s="45"/>
      <c r="G874" s="45"/>
      <c r="H874" s="45"/>
      <c r="I874" s="44"/>
      <c r="J874" s="44"/>
      <c r="K874" s="45"/>
      <c r="L874" s="44"/>
      <c r="M874" s="44"/>
      <c r="N874" s="44"/>
      <c r="O874" s="44"/>
      <c r="P874" s="44"/>
      <c r="Q874" s="44"/>
      <c r="R874" s="44"/>
      <c r="S874" s="45"/>
      <c r="T874" s="45"/>
      <c r="U874" s="45"/>
      <c r="V874" s="45"/>
      <c r="W874" s="45"/>
      <c r="X874" s="45"/>
      <c r="Y874" s="45"/>
      <c r="Z874" s="45"/>
      <c r="AA874" s="45"/>
      <c r="AB874" s="45"/>
      <c r="AC874" s="45"/>
    </row>
    <row r="875" spans="1:29" ht="13.15">
      <c r="A875" s="45"/>
      <c r="B875" s="45"/>
      <c r="C875" s="45"/>
      <c r="D875" s="45"/>
      <c r="E875" s="45"/>
      <c r="F875" s="45"/>
      <c r="G875" s="45"/>
      <c r="H875" s="45"/>
      <c r="I875" s="44"/>
      <c r="J875" s="44"/>
      <c r="K875" s="45"/>
      <c r="L875" s="44"/>
      <c r="M875" s="44"/>
      <c r="N875" s="44"/>
      <c r="O875" s="44"/>
      <c r="P875" s="44"/>
      <c r="Q875" s="44"/>
      <c r="R875" s="44"/>
      <c r="S875" s="45"/>
      <c r="T875" s="45"/>
      <c r="U875" s="45"/>
      <c r="V875" s="45"/>
      <c r="W875" s="45"/>
      <c r="X875" s="45"/>
      <c r="Y875" s="45"/>
      <c r="Z875" s="45"/>
      <c r="AA875" s="45"/>
      <c r="AB875" s="45"/>
      <c r="AC875" s="45"/>
    </row>
    <row r="876" spans="1:29" ht="13.15">
      <c r="A876" s="45"/>
      <c r="B876" s="45"/>
      <c r="C876" s="45"/>
      <c r="D876" s="45"/>
      <c r="E876" s="45"/>
      <c r="F876" s="45"/>
      <c r="G876" s="45"/>
      <c r="H876" s="45"/>
      <c r="I876" s="44"/>
      <c r="J876" s="44"/>
      <c r="K876" s="45"/>
      <c r="L876" s="44"/>
      <c r="M876" s="44"/>
      <c r="N876" s="44"/>
      <c r="O876" s="44"/>
      <c r="P876" s="44"/>
      <c r="Q876" s="44"/>
      <c r="R876" s="44"/>
      <c r="S876" s="45"/>
      <c r="T876" s="45"/>
      <c r="U876" s="45"/>
      <c r="V876" s="45"/>
      <c r="W876" s="45"/>
      <c r="X876" s="45"/>
      <c r="Y876" s="45"/>
      <c r="Z876" s="45"/>
      <c r="AA876" s="45"/>
      <c r="AB876" s="45"/>
      <c r="AC876" s="45"/>
    </row>
    <row r="877" spans="1:29" ht="13.15">
      <c r="A877" s="45"/>
      <c r="B877" s="45"/>
      <c r="C877" s="45"/>
      <c r="D877" s="45"/>
      <c r="E877" s="45"/>
      <c r="F877" s="45"/>
      <c r="G877" s="45"/>
      <c r="H877" s="45"/>
      <c r="I877" s="44"/>
      <c r="J877" s="44"/>
      <c r="K877" s="45"/>
      <c r="L877" s="44"/>
      <c r="M877" s="44"/>
      <c r="N877" s="44"/>
      <c r="O877" s="44"/>
      <c r="P877" s="44"/>
      <c r="Q877" s="44"/>
      <c r="R877" s="44"/>
      <c r="S877" s="45"/>
      <c r="T877" s="45"/>
      <c r="U877" s="45"/>
      <c r="V877" s="45"/>
      <c r="W877" s="45"/>
      <c r="X877" s="45"/>
      <c r="Y877" s="45"/>
      <c r="Z877" s="45"/>
      <c r="AA877" s="45"/>
      <c r="AB877" s="45"/>
      <c r="AC877" s="45"/>
    </row>
    <row r="878" spans="1:29" ht="13.15">
      <c r="A878" s="45"/>
      <c r="B878" s="45"/>
      <c r="C878" s="45"/>
      <c r="D878" s="45"/>
      <c r="E878" s="45"/>
      <c r="F878" s="45"/>
      <c r="G878" s="45"/>
      <c r="H878" s="45"/>
      <c r="I878" s="44"/>
      <c r="J878" s="44"/>
      <c r="K878" s="45"/>
      <c r="L878" s="44"/>
      <c r="M878" s="44"/>
      <c r="N878" s="44"/>
      <c r="O878" s="44"/>
      <c r="P878" s="44"/>
      <c r="Q878" s="44"/>
      <c r="R878" s="44"/>
      <c r="S878" s="45"/>
      <c r="T878" s="45"/>
      <c r="U878" s="45"/>
      <c r="V878" s="45"/>
      <c r="W878" s="45"/>
      <c r="X878" s="45"/>
      <c r="Y878" s="45"/>
      <c r="Z878" s="45"/>
      <c r="AA878" s="45"/>
      <c r="AB878" s="45"/>
      <c r="AC878" s="45"/>
    </row>
    <row r="879" spans="1:29" ht="13.15">
      <c r="A879" s="45"/>
      <c r="B879" s="45"/>
      <c r="C879" s="45"/>
      <c r="D879" s="45"/>
      <c r="E879" s="45"/>
      <c r="F879" s="45"/>
      <c r="G879" s="45"/>
      <c r="H879" s="45"/>
      <c r="I879" s="44"/>
      <c r="J879" s="44"/>
      <c r="K879" s="45"/>
      <c r="L879" s="44"/>
      <c r="M879" s="44"/>
      <c r="N879" s="44"/>
      <c r="O879" s="44"/>
      <c r="P879" s="44"/>
      <c r="Q879" s="44"/>
      <c r="R879" s="44"/>
      <c r="S879" s="45"/>
      <c r="T879" s="45"/>
      <c r="U879" s="45"/>
      <c r="V879" s="45"/>
      <c r="W879" s="45"/>
      <c r="X879" s="45"/>
      <c r="Y879" s="45"/>
      <c r="Z879" s="45"/>
      <c r="AA879" s="45"/>
      <c r="AB879" s="45"/>
      <c r="AC879" s="45"/>
    </row>
    <row r="880" spans="1:29" ht="13.15">
      <c r="A880" s="45"/>
      <c r="B880" s="45"/>
      <c r="C880" s="45"/>
      <c r="D880" s="45"/>
      <c r="E880" s="45"/>
      <c r="F880" s="45"/>
      <c r="G880" s="45"/>
      <c r="H880" s="45"/>
      <c r="I880" s="44"/>
      <c r="J880" s="44"/>
      <c r="K880" s="45"/>
      <c r="L880" s="44"/>
      <c r="M880" s="44"/>
      <c r="N880" s="44"/>
      <c r="O880" s="44"/>
      <c r="P880" s="44"/>
      <c r="Q880" s="44"/>
      <c r="R880" s="44"/>
      <c r="S880" s="45"/>
      <c r="T880" s="45"/>
      <c r="U880" s="45"/>
      <c r="V880" s="45"/>
      <c r="W880" s="45"/>
      <c r="X880" s="45"/>
      <c r="Y880" s="45"/>
      <c r="Z880" s="45"/>
      <c r="AA880" s="45"/>
      <c r="AB880" s="45"/>
      <c r="AC880" s="45"/>
    </row>
    <row r="881" spans="1:29" ht="13.15">
      <c r="A881" s="45"/>
      <c r="B881" s="45"/>
      <c r="C881" s="45"/>
      <c r="D881" s="45"/>
      <c r="E881" s="45"/>
      <c r="F881" s="45"/>
      <c r="G881" s="45"/>
      <c r="H881" s="45"/>
      <c r="I881" s="44"/>
      <c r="J881" s="44"/>
      <c r="K881" s="45"/>
      <c r="L881" s="44"/>
      <c r="M881" s="44"/>
      <c r="N881" s="44"/>
      <c r="O881" s="44"/>
      <c r="P881" s="44"/>
      <c r="Q881" s="44"/>
      <c r="R881" s="44"/>
      <c r="S881" s="45"/>
      <c r="T881" s="45"/>
      <c r="U881" s="45"/>
      <c r="V881" s="45"/>
      <c r="W881" s="45"/>
      <c r="X881" s="45"/>
      <c r="Y881" s="45"/>
      <c r="Z881" s="45"/>
      <c r="AA881" s="45"/>
      <c r="AB881" s="45"/>
      <c r="AC881" s="45"/>
    </row>
    <row r="882" spans="1:29" ht="13.15">
      <c r="A882" s="45"/>
      <c r="B882" s="45"/>
      <c r="C882" s="45"/>
      <c r="D882" s="45"/>
      <c r="E882" s="45"/>
      <c r="F882" s="45"/>
      <c r="G882" s="45"/>
      <c r="H882" s="45"/>
      <c r="I882" s="44"/>
      <c r="J882" s="44"/>
      <c r="K882" s="45"/>
      <c r="L882" s="44"/>
      <c r="M882" s="44"/>
      <c r="N882" s="44"/>
      <c r="O882" s="44"/>
      <c r="P882" s="44"/>
      <c r="Q882" s="44"/>
      <c r="R882" s="44"/>
      <c r="S882" s="45"/>
      <c r="T882" s="45"/>
      <c r="U882" s="45"/>
      <c r="V882" s="45"/>
      <c r="W882" s="45"/>
      <c r="X882" s="45"/>
      <c r="Y882" s="45"/>
      <c r="Z882" s="45"/>
      <c r="AA882" s="45"/>
      <c r="AB882" s="45"/>
      <c r="AC882" s="45"/>
    </row>
    <row r="883" spans="1:29" ht="13.15">
      <c r="A883" s="45"/>
      <c r="B883" s="45"/>
      <c r="C883" s="45"/>
      <c r="D883" s="45"/>
      <c r="E883" s="45"/>
      <c r="F883" s="45"/>
      <c r="G883" s="45"/>
      <c r="H883" s="45"/>
      <c r="I883" s="44"/>
      <c r="J883" s="44"/>
      <c r="K883" s="45"/>
      <c r="L883" s="44"/>
      <c r="M883" s="44"/>
      <c r="N883" s="44"/>
      <c r="O883" s="44"/>
      <c r="P883" s="44"/>
      <c r="Q883" s="44"/>
      <c r="R883" s="44"/>
      <c r="S883" s="45"/>
      <c r="T883" s="45"/>
      <c r="U883" s="45"/>
      <c r="V883" s="45"/>
      <c r="W883" s="45"/>
      <c r="X883" s="45"/>
      <c r="Y883" s="45"/>
      <c r="Z883" s="45"/>
      <c r="AA883" s="45"/>
      <c r="AB883" s="45"/>
      <c r="AC883" s="45"/>
    </row>
    <row r="884" spans="1:29" ht="13.15">
      <c r="A884" s="45"/>
      <c r="B884" s="45"/>
      <c r="C884" s="45"/>
      <c r="D884" s="45"/>
      <c r="E884" s="45"/>
      <c r="F884" s="45"/>
      <c r="G884" s="45"/>
      <c r="H884" s="45"/>
      <c r="I884" s="44"/>
      <c r="J884" s="44"/>
      <c r="K884" s="45"/>
      <c r="L884" s="44"/>
      <c r="M884" s="44"/>
      <c r="N884" s="44"/>
      <c r="O884" s="44"/>
      <c r="P884" s="44"/>
      <c r="Q884" s="44"/>
      <c r="R884" s="44"/>
      <c r="S884" s="45"/>
      <c r="T884" s="45"/>
      <c r="U884" s="45"/>
      <c r="V884" s="45"/>
      <c r="W884" s="45"/>
      <c r="X884" s="45"/>
      <c r="Y884" s="45"/>
      <c r="Z884" s="45"/>
      <c r="AA884" s="45"/>
      <c r="AB884" s="45"/>
      <c r="AC884" s="45"/>
    </row>
    <row r="885" spans="1:29" ht="13.15">
      <c r="A885" s="45"/>
      <c r="B885" s="45"/>
      <c r="C885" s="45"/>
      <c r="D885" s="45"/>
      <c r="E885" s="45"/>
      <c r="F885" s="45"/>
      <c r="G885" s="45"/>
      <c r="H885" s="45"/>
      <c r="I885" s="44"/>
      <c r="J885" s="44"/>
      <c r="K885" s="45"/>
      <c r="L885" s="44"/>
      <c r="M885" s="44"/>
      <c r="N885" s="44"/>
      <c r="O885" s="44"/>
      <c r="P885" s="44"/>
      <c r="Q885" s="44"/>
      <c r="R885" s="44"/>
      <c r="S885" s="45"/>
      <c r="T885" s="45"/>
      <c r="U885" s="45"/>
      <c r="V885" s="45"/>
      <c r="W885" s="45"/>
      <c r="X885" s="45"/>
      <c r="Y885" s="45"/>
      <c r="Z885" s="45"/>
      <c r="AA885" s="45"/>
      <c r="AB885" s="45"/>
      <c r="AC885" s="45"/>
    </row>
    <row r="886" spans="1:29" ht="13.15">
      <c r="A886" s="45"/>
      <c r="B886" s="45"/>
      <c r="C886" s="45"/>
      <c r="D886" s="45"/>
      <c r="E886" s="45"/>
      <c r="F886" s="45"/>
      <c r="G886" s="45"/>
      <c r="H886" s="45"/>
      <c r="I886" s="44"/>
      <c r="J886" s="44"/>
      <c r="K886" s="45"/>
      <c r="L886" s="44"/>
      <c r="M886" s="44"/>
      <c r="N886" s="44"/>
      <c r="O886" s="44"/>
      <c r="P886" s="44"/>
      <c r="Q886" s="44"/>
      <c r="R886" s="44"/>
      <c r="S886" s="45"/>
      <c r="T886" s="45"/>
      <c r="U886" s="45"/>
      <c r="V886" s="45"/>
      <c r="W886" s="45"/>
      <c r="X886" s="45"/>
      <c r="Y886" s="45"/>
      <c r="Z886" s="45"/>
      <c r="AA886" s="45"/>
      <c r="AB886" s="45"/>
      <c r="AC886" s="45"/>
    </row>
    <row r="887" spans="1:29" ht="13.15">
      <c r="A887" s="45"/>
      <c r="B887" s="45"/>
      <c r="C887" s="45"/>
      <c r="D887" s="45"/>
      <c r="E887" s="45"/>
      <c r="F887" s="45"/>
      <c r="G887" s="45"/>
      <c r="H887" s="45"/>
      <c r="I887" s="44"/>
      <c r="J887" s="44"/>
      <c r="K887" s="45"/>
      <c r="L887" s="44"/>
      <c r="M887" s="44"/>
      <c r="N887" s="44"/>
      <c r="O887" s="44"/>
      <c r="P887" s="44"/>
      <c r="Q887" s="44"/>
      <c r="R887" s="44"/>
      <c r="S887" s="45"/>
      <c r="T887" s="45"/>
      <c r="U887" s="45"/>
      <c r="V887" s="45"/>
      <c r="W887" s="45"/>
      <c r="X887" s="45"/>
      <c r="Y887" s="45"/>
      <c r="Z887" s="45"/>
      <c r="AA887" s="45"/>
      <c r="AB887" s="45"/>
      <c r="AC887" s="45"/>
    </row>
    <row r="888" spans="1:29" ht="13.15">
      <c r="A888" s="45"/>
      <c r="B888" s="45"/>
      <c r="C888" s="45"/>
      <c r="D888" s="45"/>
      <c r="E888" s="45"/>
      <c r="F888" s="45"/>
      <c r="G888" s="45"/>
      <c r="H888" s="45"/>
      <c r="I888" s="44"/>
      <c r="J888" s="44"/>
      <c r="K888" s="45"/>
      <c r="L888" s="44"/>
      <c r="M888" s="44"/>
      <c r="N888" s="44"/>
      <c r="O888" s="44"/>
      <c r="P888" s="44"/>
      <c r="Q888" s="44"/>
      <c r="R888" s="44"/>
      <c r="S888" s="45"/>
      <c r="T888" s="45"/>
      <c r="U888" s="45"/>
      <c r="V888" s="45"/>
      <c r="W888" s="45"/>
      <c r="X888" s="45"/>
      <c r="Y888" s="45"/>
      <c r="Z888" s="45"/>
      <c r="AA888" s="45"/>
      <c r="AB888" s="45"/>
      <c r="AC888" s="45"/>
    </row>
    <row r="889" spans="1:29" ht="13.15">
      <c r="A889" s="45"/>
      <c r="B889" s="45"/>
      <c r="C889" s="45"/>
      <c r="D889" s="45"/>
      <c r="E889" s="45"/>
      <c r="F889" s="45"/>
      <c r="G889" s="45"/>
      <c r="H889" s="45"/>
      <c r="I889" s="44"/>
      <c r="J889" s="44"/>
      <c r="K889" s="45"/>
      <c r="L889" s="44"/>
      <c r="M889" s="44"/>
      <c r="N889" s="44"/>
      <c r="O889" s="44"/>
      <c r="P889" s="44"/>
      <c r="Q889" s="44"/>
      <c r="R889" s="44"/>
      <c r="S889" s="45"/>
      <c r="T889" s="45"/>
      <c r="U889" s="45"/>
      <c r="V889" s="45"/>
      <c r="W889" s="45"/>
      <c r="X889" s="45"/>
      <c r="Y889" s="45"/>
      <c r="Z889" s="45"/>
      <c r="AA889" s="45"/>
      <c r="AB889" s="45"/>
      <c r="AC889" s="45"/>
    </row>
    <row r="890" spans="1:29" ht="13.15">
      <c r="A890" s="45"/>
      <c r="B890" s="45"/>
      <c r="C890" s="45"/>
      <c r="D890" s="45"/>
      <c r="E890" s="45"/>
      <c r="F890" s="45"/>
      <c r="G890" s="45"/>
      <c r="H890" s="45"/>
      <c r="I890" s="44"/>
      <c r="J890" s="44"/>
      <c r="K890" s="45"/>
      <c r="L890" s="44"/>
      <c r="M890" s="44"/>
      <c r="N890" s="44"/>
      <c r="O890" s="44"/>
      <c r="P890" s="44"/>
      <c r="Q890" s="44"/>
      <c r="R890" s="44"/>
      <c r="S890" s="45"/>
      <c r="T890" s="45"/>
      <c r="U890" s="45"/>
      <c r="V890" s="45"/>
      <c r="W890" s="45"/>
      <c r="X890" s="45"/>
      <c r="Y890" s="45"/>
      <c r="Z890" s="45"/>
      <c r="AA890" s="45"/>
      <c r="AB890" s="45"/>
      <c r="AC890" s="45"/>
    </row>
    <row r="891" spans="1:29" ht="13.15">
      <c r="A891" s="45"/>
      <c r="B891" s="45"/>
      <c r="C891" s="45"/>
      <c r="D891" s="45"/>
      <c r="E891" s="45"/>
      <c r="F891" s="45"/>
      <c r="G891" s="45"/>
      <c r="H891" s="45"/>
      <c r="I891" s="44"/>
      <c r="J891" s="44"/>
      <c r="K891" s="45"/>
      <c r="L891" s="44"/>
      <c r="M891" s="44"/>
      <c r="N891" s="44"/>
      <c r="O891" s="44"/>
      <c r="P891" s="44"/>
      <c r="Q891" s="44"/>
      <c r="R891" s="44"/>
      <c r="S891" s="45"/>
      <c r="T891" s="45"/>
      <c r="U891" s="45"/>
      <c r="V891" s="45"/>
      <c r="W891" s="45"/>
      <c r="X891" s="45"/>
      <c r="Y891" s="45"/>
      <c r="Z891" s="45"/>
      <c r="AA891" s="45"/>
      <c r="AB891" s="45"/>
      <c r="AC891" s="45"/>
    </row>
    <row r="892" spans="1:29" ht="13.15">
      <c r="A892" s="45"/>
      <c r="B892" s="45"/>
      <c r="C892" s="45"/>
      <c r="D892" s="45"/>
      <c r="E892" s="45"/>
      <c r="F892" s="45"/>
      <c r="G892" s="45"/>
      <c r="H892" s="45"/>
      <c r="I892" s="44"/>
      <c r="J892" s="44"/>
      <c r="K892" s="45"/>
      <c r="L892" s="44"/>
      <c r="M892" s="44"/>
      <c r="N892" s="44"/>
      <c r="O892" s="44"/>
      <c r="P892" s="44"/>
      <c r="Q892" s="44"/>
      <c r="R892" s="44"/>
      <c r="S892" s="45"/>
      <c r="T892" s="45"/>
      <c r="U892" s="45"/>
      <c r="V892" s="45"/>
      <c r="W892" s="45"/>
      <c r="X892" s="45"/>
      <c r="Y892" s="45"/>
      <c r="Z892" s="45"/>
      <c r="AA892" s="45"/>
      <c r="AB892" s="45"/>
      <c r="AC892" s="45"/>
    </row>
    <row r="893" spans="1:29" ht="13.15">
      <c r="A893" s="45"/>
      <c r="B893" s="45"/>
      <c r="C893" s="45"/>
      <c r="D893" s="45"/>
      <c r="E893" s="45"/>
      <c r="F893" s="45"/>
      <c r="G893" s="45"/>
      <c r="H893" s="45"/>
      <c r="I893" s="44"/>
      <c r="J893" s="44"/>
      <c r="K893" s="45"/>
      <c r="L893" s="44"/>
      <c r="M893" s="44"/>
      <c r="N893" s="44"/>
      <c r="O893" s="44"/>
      <c r="P893" s="44"/>
      <c r="Q893" s="44"/>
      <c r="R893" s="44"/>
      <c r="S893" s="45"/>
      <c r="T893" s="45"/>
      <c r="U893" s="45"/>
      <c r="V893" s="45"/>
      <c r="W893" s="45"/>
      <c r="X893" s="45"/>
      <c r="Y893" s="45"/>
      <c r="Z893" s="45"/>
      <c r="AA893" s="45"/>
      <c r="AB893" s="45"/>
      <c r="AC893" s="45"/>
    </row>
    <row r="894" spans="1:29" ht="13.15">
      <c r="A894" s="45"/>
      <c r="B894" s="45"/>
      <c r="C894" s="45"/>
      <c r="D894" s="45"/>
      <c r="E894" s="45"/>
      <c r="F894" s="45"/>
      <c r="G894" s="45"/>
      <c r="H894" s="45"/>
      <c r="I894" s="44"/>
      <c r="J894" s="44"/>
      <c r="K894" s="45"/>
      <c r="L894" s="44"/>
      <c r="M894" s="44"/>
      <c r="N894" s="44"/>
      <c r="O894" s="44"/>
      <c r="P894" s="44"/>
      <c r="Q894" s="44"/>
      <c r="R894" s="44"/>
      <c r="S894" s="45"/>
      <c r="T894" s="45"/>
      <c r="U894" s="45"/>
      <c r="V894" s="45"/>
      <c r="W894" s="45"/>
      <c r="X894" s="45"/>
      <c r="Y894" s="45"/>
      <c r="Z894" s="45"/>
      <c r="AA894" s="45"/>
      <c r="AB894" s="45"/>
      <c r="AC894" s="45"/>
    </row>
    <row r="895" spans="1:29" ht="13.15">
      <c r="A895" s="45"/>
      <c r="B895" s="45"/>
      <c r="C895" s="45"/>
      <c r="D895" s="45"/>
      <c r="E895" s="45"/>
      <c r="F895" s="45"/>
      <c r="G895" s="45"/>
      <c r="H895" s="45"/>
      <c r="I895" s="44"/>
      <c r="J895" s="44"/>
      <c r="K895" s="45"/>
      <c r="L895" s="44"/>
      <c r="M895" s="44"/>
      <c r="N895" s="44"/>
      <c r="O895" s="44"/>
      <c r="P895" s="44"/>
      <c r="Q895" s="44"/>
      <c r="R895" s="44"/>
      <c r="S895" s="45"/>
      <c r="T895" s="45"/>
      <c r="U895" s="45"/>
      <c r="V895" s="45"/>
      <c r="W895" s="45"/>
      <c r="X895" s="45"/>
      <c r="Y895" s="45"/>
      <c r="Z895" s="45"/>
      <c r="AA895" s="45"/>
      <c r="AB895" s="45"/>
      <c r="AC895" s="45"/>
    </row>
    <row r="896" spans="1:29" ht="13.15">
      <c r="A896" s="45"/>
      <c r="B896" s="45"/>
      <c r="C896" s="45"/>
      <c r="D896" s="45"/>
      <c r="E896" s="45"/>
      <c r="F896" s="45"/>
      <c r="G896" s="45"/>
      <c r="H896" s="45"/>
      <c r="I896" s="44"/>
      <c r="J896" s="44"/>
      <c r="K896" s="45"/>
      <c r="L896" s="44"/>
      <c r="M896" s="44"/>
      <c r="N896" s="44"/>
      <c r="O896" s="44"/>
      <c r="P896" s="44"/>
      <c r="Q896" s="44"/>
      <c r="R896" s="44"/>
      <c r="S896" s="45"/>
      <c r="T896" s="45"/>
      <c r="U896" s="45"/>
      <c r="V896" s="45"/>
      <c r="W896" s="45"/>
      <c r="X896" s="45"/>
      <c r="Y896" s="45"/>
      <c r="Z896" s="45"/>
      <c r="AA896" s="45"/>
      <c r="AB896" s="45"/>
      <c r="AC896" s="45"/>
    </row>
    <row r="897" spans="1:29" ht="13.15">
      <c r="A897" s="45"/>
      <c r="B897" s="45"/>
      <c r="C897" s="45"/>
      <c r="D897" s="45"/>
      <c r="E897" s="45"/>
      <c r="F897" s="45"/>
      <c r="G897" s="45"/>
      <c r="H897" s="45"/>
      <c r="I897" s="44"/>
      <c r="J897" s="44"/>
      <c r="K897" s="45"/>
      <c r="L897" s="44"/>
      <c r="M897" s="44"/>
      <c r="N897" s="44"/>
      <c r="O897" s="44"/>
      <c r="P897" s="44"/>
      <c r="Q897" s="44"/>
      <c r="R897" s="44"/>
      <c r="S897" s="45"/>
      <c r="T897" s="45"/>
      <c r="U897" s="45"/>
      <c r="V897" s="45"/>
      <c r="W897" s="45"/>
      <c r="X897" s="45"/>
      <c r="Y897" s="45"/>
      <c r="Z897" s="45"/>
      <c r="AA897" s="45"/>
      <c r="AB897" s="45"/>
      <c r="AC897" s="45"/>
    </row>
    <row r="898" spans="1:29" ht="13.15">
      <c r="A898" s="45"/>
      <c r="B898" s="45"/>
      <c r="C898" s="45"/>
      <c r="D898" s="45"/>
      <c r="E898" s="45"/>
      <c r="F898" s="45"/>
      <c r="G898" s="45"/>
      <c r="H898" s="45"/>
      <c r="I898" s="44"/>
      <c r="J898" s="44"/>
      <c r="K898" s="45"/>
      <c r="L898" s="44"/>
      <c r="M898" s="44"/>
      <c r="N898" s="44"/>
      <c r="O898" s="44"/>
      <c r="P898" s="44"/>
      <c r="Q898" s="44"/>
      <c r="R898" s="44"/>
      <c r="S898" s="45"/>
      <c r="T898" s="45"/>
      <c r="U898" s="45"/>
      <c r="V898" s="45"/>
      <c r="W898" s="45"/>
      <c r="X898" s="45"/>
      <c r="Y898" s="45"/>
      <c r="Z898" s="45"/>
      <c r="AA898" s="45"/>
      <c r="AB898" s="45"/>
      <c r="AC898" s="45"/>
    </row>
    <row r="899" spans="1:29" ht="13.15">
      <c r="A899" s="45"/>
      <c r="B899" s="45"/>
      <c r="C899" s="45"/>
      <c r="D899" s="45"/>
      <c r="E899" s="45"/>
      <c r="F899" s="45"/>
      <c r="G899" s="45"/>
      <c r="H899" s="45"/>
      <c r="I899" s="44"/>
      <c r="J899" s="44"/>
      <c r="K899" s="45"/>
      <c r="L899" s="44"/>
      <c r="M899" s="44"/>
      <c r="N899" s="44"/>
      <c r="O899" s="44"/>
      <c r="P899" s="44"/>
      <c r="Q899" s="44"/>
      <c r="R899" s="44"/>
      <c r="S899" s="45"/>
      <c r="T899" s="45"/>
      <c r="U899" s="45"/>
      <c r="V899" s="45"/>
      <c r="W899" s="45"/>
      <c r="X899" s="45"/>
      <c r="Y899" s="45"/>
      <c r="Z899" s="45"/>
      <c r="AA899" s="45"/>
      <c r="AB899" s="45"/>
      <c r="AC899" s="45"/>
    </row>
    <row r="900" spans="1:29" ht="13.15">
      <c r="A900" s="45"/>
      <c r="B900" s="45"/>
      <c r="C900" s="45"/>
      <c r="D900" s="45"/>
      <c r="E900" s="45"/>
      <c r="F900" s="45"/>
      <c r="G900" s="45"/>
      <c r="H900" s="45"/>
      <c r="I900" s="44"/>
      <c r="J900" s="44"/>
      <c r="K900" s="45"/>
      <c r="L900" s="44"/>
      <c r="M900" s="44"/>
      <c r="N900" s="44"/>
      <c r="O900" s="44"/>
      <c r="P900" s="44"/>
      <c r="Q900" s="44"/>
      <c r="R900" s="44"/>
      <c r="S900" s="45"/>
      <c r="T900" s="45"/>
      <c r="U900" s="45"/>
      <c r="V900" s="45"/>
      <c r="W900" s="45"/>
      <c r="X900" s="45"/>
      <c r="Y900" s="45"/>
      <c r="Z900" s="45"/>
      <c r="AA900" s="45"/>
      <c r="AB900" s="45"/>
      <c r="AC900" s="45"/>
    </row>
    <row r="901" spans="1:29" ht="13.15">
      <c r="A901" s="45"/>
      <c r="B901" s="45"/>
      <c r="C901" s="45"/>
      <c r="D901" s="45"/>
      <c r="E901" s="45"/>
      <c r="F901" s="45"/>
      <c r="G901" s="45"/>
      <c r="H901" s="45"/>
      <c r="I901" s="44"/>
      <c r="J901" s="44"/>
      <c r="K901" s="45"/>
      <c r="L901" s="44"/>
      <c r="M901" s="44"/>
      <c r="N901" s="44"/>
      <c r="O901" s="44"/>
      <c r="P901" s="44"/>
      <c r="Q901" s="44"/>
      <c r="R901" s="44"/>
      <c r="S901" s="45"/>
      <c r="T901" s="45"/>
      <c r="U901" s="45"/>
      <c r="V901" s="45"/>
      <c r="W901" s="45"/>
      <c r="X901" s="45"/>
      <c r="Y901" s="45"/>
      <c r="Z901" s="45"/>
      <c r="AA901" s="45"/>
      <c r="AB901" s="45"/>
      <c r="AC901" s="45"/>
    </row>
    <row r="902" spans="1:29" ht="13.15">
      <c r="A902" s="45"/>
      <c r="B902" s="45"/>
      <c r="C902" s="45"/>
      <c r="D902" s="45"/>
      <c r="E902" s="45"/>
      <c r="F902" s="45"/>
      <c r="G902" s="45"/>
      <c r="H902" s="45"/>
      <c r="I902" s="44"/>
      <c r="J902" s="44"/>
      <c r="K902" s="45"/>
      <c r="L902" s="44"/>
      <c r="M902" s="44"/>
      <c r="N902" s="44"/>
      <c r="O902" s="44"/>
      <c r="P902" s="44"/>
      <c r="Q902" s="44"/>
      <c r="R902" s="44"/>
      <c r="S902" s="45"/>
      <c r="T902" s="45"/>
      <c r="U902" s="45"/>
      <c r="V902" s="45"/>
      <c r="W902" s="45"/>
      <c r="X902" s="45"/>
      <c r="Y902" s="45"/>
      <c r="Z902" s="45"/>
      <c r="AA902" s="45"/>
      <c r="AB902" s="45"/>
      <c r="AC902" s="45"/>
    </row>
    <row r="903" spans="1:29" ht="13.15">
      <c r="A903" s="45"/>
      <c r="B903" s="45"/>
      <c r="C903" s="45"/>
      <c r="D903" s="45"/>
      <c r="E903" s="45"/>
      <c r="F903" s="45"/>
      <c r="G903" s="45"/>
      <c r="H903" s="45"/>
      <c r="I903" s="44"/>
      <c r="J903" s="44"/>
      <c r="K903" s="45"/>
      <c r="L903" s="44"/>
      <c r="M903" s="44"/>
      <c r="N903" s="44"/>
      <c r="O903" s="44"/>
      <c r="P903" s="44"/>
      <c r="Q903" s="44"/>
      <c r="R903" s="44"/>
      <c r="S903" s="45"/>
      <c r="T903" s="45"/>
      <c r="U903" s="45"/>
      <c r="V903" s="45"/>
      <c r="W903" s="45"/>
      <c r="X903" s="45"/>
      <c r="Y903" s="45"/>
      <c r="Z903" s="45"/>
      <c r="AA903" s="45"/>
      <c r="AB903" s="45"/>
      <c r="AC903" s="45"/>
    </row>
    <row r="904" spans="1:29" ht="13.15">
      <c r="A904" s="45"/>
      <c r="B904" s="45"/>
      <c r="C904" s="45"/>
      <c r="D904" s="45"/>
      <c r="E904" s="45"/>
      <c r="F904" s="45"/>
      <c r="G904" s="45"/>
      <c r="H904" s="45"/>
      <c r="I904" s="44"/>
      <c r="J904" s="44"/>
      <c r="K904" s="45"/>
      <c r="L904" s="44"/>
      <c r="M904" s="44"/>
      <c r="N904" s="44"/>
      <c r="O904" s="44"/>
      <c r="P904" s="44"/>
      <c r="Q904" s="44"/>
      <c r="R904" s="44"/>
      <c r="S904" s="45"/>
      <c r="T904" s="45"/>
      <c r="U904" s="45"/>
      <c r="V904" s="45"/>
      <c r="W904" s="45"/>
      <c r="X904" s="45"/>
      <c r="Y904" s="45"/>
      <c r="Z904" s="45"/>
      <c r="AA904" s="45"/>
      <c r="AB904" s="45"/>
      <c r="AC904" s="45"/>
    </row>
    <row r="905" spans="1:29" ht="13.15">
      <c r="A905" s="45"/>
      <c r="B905" s="45"/>
      <c r="C905" s="45"/>
      <c r="D905" s="45"/>
      <c r="E905" s="45"/>
      <c r="F905" s="45"/>
      <c r="G905" s="45"/>
      <c r="H905" s="45"/>
      <c r="I905" s="44"/>
      <c r="J905" s="44"/>
      <c r="K905" s="45"/>
      <c r="L905" s="44"/>
      <c r="M905" s="44"/>
      <c r="N905" s="44"/>
      <c r="O905" s="44"/>
      <c r="P905" s="44"/>
      <c r="Q905" s="44"/>
      <c r="R905" s="44"/>
      <c r="S905" s="45"/>
      <c r="T905" s="45"/>
      <c r="U905" s="45"/>
      <c r="V905" s="45"/>
      <c r="W905" s="45"/>
      <c r="X905" s="45"/>
      <c r="Y905" s="45"/>
      <c r="Z905" s="45"/>
      <c r="AA905" s="45"/>
      <c r="AB905" s="45"/>
      <c r="AC905" s="45"/>
    </row>
    <row r="906" spans="1:29" ht="13.15">
      <c r="A906" s="45"/>
      <c r="B906" s="45"/>
      <c r="C906" s="45"/>
      <c r="D906" s="45"/>
      <c r="E906" s="45"/>
      <c r="F906" s="45"/>
      <c r="G906" s="45"/>
      <c r="H906" s="45"/>
      <c r="I906" s="44"/>
      <c r="J906" s="44"/>
      <c r="K906" s="45"/>
      <c r="L906" s="44"/>
      <c r="M906" s="44"/>
      <c r="N906" s="44"/>
      <c r="O906" s="44"/>
      <c r="P906" s="44"/>
      <c r="Q906" s="44"/>
      <c r="R906" s="44"/>
      <c r="S906" s="45"/>
      <c r="T906" s="45"/>
      <c r="U906" s="45"/>
      <c r="V906" s="45"/>
      <c r="W906" s="45"/>
      <c r="X906" s="45"/>
      <c r="Y906" s="45"/>
      <c r="Z906" s="45"/>
      <c r="AA906" s="45"/>
      <c r="AB906" s="45"/>
      <c r="AC906" s="45"/>
    </row>
    <row r="907" spans="1:29" ht="13.15">
      <c r="A907" s="45"/>
      <c r="B907" s="45"/>
      <c r="C907" s="45"/>
      <c r="D907" s="45"/>
      <c r="E907" s="45"/>
      <c r="F907" s="45"/>
      <c r="G907" s="45"/>
      <c r="H907" s="45"/>
      <c r="I907" s="44"/>
      <c r="J907" s="44"/>
      <c r="K907" s="45"/>
      <c r="L907" s="44"/>
      <c r="M907" s="44"/>
      <c r="N907" s="44"/>
      <c r="O907" s="44"/>
      <c r="P907" s="44"/>
      <c r="Q907" s="44"/>
      <c r="R907" s="44"/>
      <c r="S907" s="45"/>
      <c r="T907" s="45"/>
      <c r="U907" s="45"/>
      <c r="V907" s="45"/>
      <c r="W907" s="45"/>
      <c r="X907" s="45"/>
      <c r="Y907" s="45"/>
      <c r="Z907" s="45"/>
      <c r="AA907" s="45"/>
      <c r="AB907" s="45"/>
      <c r="AC907" s="45"/>
    </row>
    <row r="908" spans="1:29" ht="13.15">
      <c r="A908" s="45"/>
      <c r="B908" s="45"/>
      <c r="C908" s="45"/>
      <c r="D908" s="45"/>
      <c r="E908" s="45"/>
      <c r="F908" s="45"/>
      <c r="G908" s="45"/>
      <c r="H908" s="45"/>
      <c r="I908" s="44"/>
      <c r="J908" s="44"/>
      <c r="K908" s="45"/>
      <c r="L908" s="44"/>
      <c r="M908" s="44"/>
      <c r="N908" s="44"/>
      <c r="O908" s="44"/>
      <c r="P908" s="44"/>
      <c r="Q908" s="44"/>
      <c r="R908" s="44"/>
      <c r="S908" s="45"/>
      <c r="T908" s="45"/>
      <c r="U908" s="45"/>
      <c r="V908" s="45"/>
      <c r="W908" s="45"/>
      <c r="X908" s="45"/>
      <c r="Y908" s="45"/>
      <c r="Z908" s="45"/>
      <c r="AA908" s="45"/>
      <c r="AB908" s="45"/>
      <c r="AC908" s="45"/>
    </row>
    <row r="909" spans="1:29" ht="13.15">
      <c r="A909" s="45"/>
      <c r="B909" s="45"/>
      <c r="C909" s="45"/>
      <c r="D909" s="45"/>
      <c r="E909" s="45"/>
      <c r="F909" s="45"/>
      <c r="G909" s="45"/>
      <c r="H909" s="45"/>
      <c r="I909" s="44"/>
      <c r="J909" s="44"/>
      <c r="K909" s="45"/>
      <c r="L909" s="44"/>
      <c r="M909" s="44"/>
      <c r="N909" s="44"/>
      <c r="O909" s="44"/>
      <c r="P909" s="44"/>
      <c r="Q909" s="44"/>
      <c r="R909" s="44"/>
      <c r="S909" s="45"/>
      <c r="T909" s="45"/>
      <c r="U909" s="45"/>
      <c r="V909" s="45"/>
      <c r="W909" s="45"/>
      <c r="X909" s="45"/>
      <c r="Y909" s="45"/>
      <c r="Z909" s="45"/>
      <c r="AA909" s="45"/>
      <c r="AB909" s="45"/>
      <c r="AC909" s="45"/>
    </row>
    <row r="910" spans="1:29" ht="13.15">
      <c r="A910" s="45"/>
      <c r="B910" s="45"/>
      <c r="C910" s="45"/>
      <c r="D910" s="45"/>
      <c r="E910" s="45"/>
      <c r="F910" s="45"/>
      <c r="G910" s="45"/>
      <c r="H910" s="45"/>
      <c r="I910" s="44"/>
      <c r="J910" s="44"/>
      <c r="K910" s="45"/>
      <c r="L910" s="44"/>
      <c r="M910" s="44"/>
      <c r="N910" s="44"/>
      <c r="O910" s="44"/>
      <c r="P910" s="44"/>
      <c r="Q910" s="44"/>
      <c r="R910" s="44"/>
      <c r="S910" s="45"/>
      <c r="T910" s="45"/>
      <c r="U910" s="45"/>
      <c r="V910" s="45"/>
      <c r="W910" s="45"/>
      <c r="X910" s="45"/>
      <c r="Y910" s="45"/>
      <c r="Z910" s="45"/>
      <c r="AA910" s="45"/>
      <c r="AB910" s="45"/>
      <c r="AC910" s="45"/>
    </row>
    <row r="911" spans="1:29" ht="13.15">
      <c r="A911" s="45"/>
      <c r="B911" s="45"/>
      <c r="C911" s="45"/>
      <c r="D911" s="45"/>
      <c r="E911" s="45"/>
      <c r="F911" s="45"/>
      <c r="G911" s="45"/>
      <c r="H911" s="45"/>
      <c r="I911" s="44"/>
      <c r="J911" s="44"/>
      <c r="K911" s="45"/>
      <c r="L911" s="44"/>
      <c r="M911" s="44"/>
      <c r="N911" s="44"/>
      <c r="O911" s="44"/>
      <c r="P911" s="44"/>
      <c r="Q911" s="44"/>
      <c r="R911" s="44"/>
      <c r="S911" s="45"/>
      <c r="T911" s="45"/>
      <c r="U911" s="45"/>
      <c r="V911" s="45"/>
      <c r="W911" s="45"/>
      <c r="X911" s="45"/>
      <c r="Y911" s="45"/>
      <c r="Z911" s="45"/>
      <c r="AA911" s="45"/>
      <c r="AB911" s="45"/>
      <c r="AC911" s="45"/>
    </row>
    <row r="912" spans="1:29" ht="13.15">
      <c r="A912" s="45"/>
      <c r="B912" s="45"/>
      <c r="C912" s="45"/>
      <c r="D912" s="45"/>
      <c r="E912" s="45"/>
      <c r="F912" s="45"/>
      <c r="G912" s="45"/>
      <c r="H912" s="45"/>
      <c r="I912" s="44"/>
      <c r="J912" s="44"/>
      <c r="K912" s="45"/>
      <c r="L912" s="44"/>
      <c r="M912" s="44"/>
      <c r="N912" s="44"/>
      <c r="O912" s="44"/>
      <c r="P912" s="44"/>
      <c r="Q912" s="44"/>
      <c r="R912" s="44"/>
      <c r="S912" s="45"/>
      <c r="T912" s="45"/>
      <c r="U912" s="45"/>
      <c r="V912" s="45"/>
      <c r="W912" s="45"/>
      <c r="X912" s="45"/>
      <c r="Y912" s="45"/>
      <c r="Z912" s="45"/>
      <c r="AA912" s="45"/>
      <c r="AB912" s="45"/>
      <c r="AC912" s="45"/>
    </row>
    <row r="913" spans="1:29" ht="13.15">
      <c r="A913" s="45"/>
      <c r="B913" s="45"/>
      <c r="C913" s="45"/>
      <c r="D913" s="45"/>
      <c r="E913" s="45"/>
      <c r="F913" s="45"/>
      <c r="G913" s="45"/>
      <c r="H913" s="45"/>
      <c r="I913" s="44"/>
      <c r="J913" s="44"/>
      <c r="K913" s="45"/>
      <c r="L913" s="44"/>
      <c r="M913" s="44"/>
      <c r="N913" s="44"/>
      <c r="O913" s="44"/>
      <c r="P913" s="44"/>
      <c r="Q913" s="44"/>
      <c r="R913" s="44"/>
      <c r="S913" s="45"/>
      <c r="T913" s="45"/>
      <c r="U913" s="45"/>
      <c r="V913" s="45"/>
      <c r="W913" s="45"/>
      <c r="X913" s="45"/>
      <c r="Y913" s="45"/>
      <c r="Z913" s="45"/>
      <c r="AA913" s="45"/>
      <c r="AB913" s="45"/>
      <c r="AC913" s="45"/>
    </row>
    <row r="914" spans="1:29" ht="13.15">
      <c r="A914" s="45"/>
      <c r="B914" s="45"/>
      <c r="C914" s="45"/>
      <c r="D914" s="45"/>
      <c r="E914" s="45"/>
      <c r="F914" s="45"/>
      <c r="G914" s="45"/>
      <c r="H914" s="45"/>
      <c r="I914" s="44"/>
      <c r="J914" s="44"/>
      <c r="K914" s="45"/>
      <c r="L914" s="44"/>
      <c r="M914" s="44"/>
      <c r="N914" s="44"/>
      <c r="O914" s="44"/>
      <c r="P914" s="44"/>
      <c r="Q914" s="44"/>
      <c r="R914" s="44"/>
      <c r="S914" s="45"/>
      <c r="T914" s="45"/>
      <c r="U914" s="45"/>
      <c r="V914" s="45"/>
      <c r="W914" s="45"/>
      <c r="X914" s="45"/>
      <c r="Y914" s="45"/>
      <c r="Z914" s="45"/>
      <c r="AA914" s="45"/>
      <c r="AB914" s="45"/>
      <c r="AC914" s="45"/>
    </row>
    <row r="915" spans="1:29" ht="13.15">
      <c r="A915" s="45"/>
      <c r="B915" s="45"/>
      <c r="C915" s="45"/>
      <c r="D915" s="45"/>
      <c r="E915" s="45"/>
      <c r="F915" s="45"/>
      <c r="G915" s="45"/>
      <c r="H915" s="45"/>
      <c r="I915" s="44"/>
      <c r="J915" s="44"/>
      <c r="K915" s="45"/>
      <c r="L915" s="44"/>
      <c r="M915" s="44"/>
      <c r="N915" s="44"/>
      <c r="O915" s="44"/>
      <c r="P915" s="44"/>
      <c r="Q915" s="44"/>
      <c r="R915" s="44"/>
      <c r="S915" s="45"/>
      <c r="T915" s="45"/>
      <c r="U915" s="45"/>
      <c r="V915" s="45"/>
      <c r="W915" s="45"/>
      <c r="X915" s="45"/>
      <c r="Y915" s="45"/>
      <c r="Z915" s="45"/>
      <c r="AA915" s="45"/>
      <c r="AB915" s="45"/>
      <c r="AC915" s="45"/>
    </row>
    <row r="916" spans="1:29" ht="13.15">
      <c r="A916" s="45"/>
      <c r="B916" s="45"/>
      <c r="C916" s="45"/>
      <c r="D916" s="45"/>
      <c r="E916" s="45"/>
      <c r="F916" s="45"/>
      <c r="G916" s="45"/>
      <c r="H916" s="45"/>
      <c r="I916" s="44"/>
      <c r="J916" s="44"/>
      <c r="K916" s="45"/>
      <c r="L916" s="44"/>
      <c r="M916" s="44"/>
      <c r="N916" s="44"/>
      <c r="O916" s="44"/>
      <c r="P916" s="44"/>
      <c r="Q916" s="44"/>
      <c r="R916" s="44"/>
      <c r="S916" s="45"/>
      <c r="T916" s="45"/>
      <c r="U916" s="45"/>
      <c r="V916" s="45"/>
      <c r="W916" s="45"/>
      <c r="X916" s="45"/>
      <c r="Y916" s="45"/>
      <c r="Z916" s="45"/>
      <c r="AA916" s="45"/>
      <c r="AB916" s="45"/>
      <c r="AC916" s="45"/>
    </row>
    <row r="917" spans="1:29" ht="13.15">
      <c r="A917" s="45"/>
      <c r="B917" s="45"/>
      <c r="C917" s="45"/>
      <c r="D917" s="45"/>
      <c r="E917" s="45"/>
      <c r="F917" s="45"/>
      <c r="G917" s="45"/>
      <c r="H917" s="45"/>
      <c r="I917" s="44"/>
      <c r="J917" s="44"/>
      <c r="K917" s="45"/>
      <c r="L917" s="44"/>
      <c r="M917" s="44"/>
      <c r="N917" s="44"/>
      <c r="O917" s="44"/>
      <c r="P917" s="44"/>
      <c r="Q917" s="44"/>
      <c r="R917" s="44"/>
      <c r="S917" s="45"/>
      <c r="T917" s="45"/>
      <c r="U917" s="45"/>
      <c r="V917" s="45"/>
      <c r="W917" s="45"/>
      <c r="X917" s="45"/>
      <c r="Y917" s="45"/>
      <c r="Z917" s="45"/>
      <c r="AA917" s="45"/>
      <c r="AB917" s="45"/>
      <c r="AC917" s="45"/>
    </row>
    <row r="918" spans="1:29" ht="13.15">
      <c r="A918" s="45"/>
      <c r="B918" s="45"/>
      <c r="C918" s="45"/>
      <c r="D918" s="45"/>
      <c r="E918" s="45"/>
      <c r="F918" s="45"/>
      <c r="G918" s="45"/>
      <c r="H918" s="45"/>
      <c r="I918" s="44"/>
      <c r="J918" s="44"/>
      <c r="K918" s="45"/>
      <c r="L918" s="44"/>
      <c r="M918" s="44"/>
      <c r="N918" s="44"/>
      <c r="O918" s="44"/>
      <c r="P918" s="44"/>
      <c r="Q918" s="44"/>
      <c r="R918" s="44"/>
      <c r="S918" s="45"/>
      <c r="T918" s="45"/>
      <c r="U918" s="45"/>
      <c r="V918" s="45"/>
      <c r="W918" s="45"/>
      <c r="X918" s="45"/>
      <c r="Y918" s="45"/>
      <c r="Z918" s="45"/>
      <c r="AA918" s="45"/>
      <c r="AB918" s="45"/>
      <c r="AC918" s="45"/>
    </row>
    <row r="919" spans="1:29" ht="13.15">
      <c r="A919" s="45"/>
      <c r="B919" s="45"/>
      <c r="C919" s="45"/>
      <c r="D919" s="45"/>
      <c r="E919" s="45"/>
      <c r="F919" s="45"/>
      <c r="G919" s="45"/>
      <c r="H919" s="45"/>
      <c r="I919" s="44"/>
      <c r="J919" s="44"/>
      <c r="K919" s="45"/>
      <c r="L919" s="44"/>
      <c r="M919" s="44"/>
      <c r="N919" s="44"/>
      <c r="O919" s="44"/>
      <c r="P919" s="44"/>
      <c r="Q919" s="44"/>
      <c r="R919" s="44"/>
      <c r="S919" s="45"/>
      <c r="T919" s="45"/>
      <c r="U919" s="45"/>
      <c r="V919" s="45"/>
      <c r="W919" s="45"/>
      <c r="X919" s="45"/>
      <c r="Y919" s="45"/>
      <c r="Z919" s="45"/>
      <c r="AA919" s="45"/>
      <c r="AB919" s="45"/>
      <c r="AC919" s="45"/>
    </row>
    <row r="920" spans="1:29" ht="13.15">
      <c r="A920" s="45"/>
      <c r="B920" s="45"/>
      <c r="C920" s="45"/>
      <c r="D920" s="45"/>
      <c r="E920" s="45"/>
      <c r="F920" s="45"/>
      <c r="G920" s="45"/>
      <c r="H920" s="45"/>
      <c r="I920" s="44"/>
      <c r="J920" s="44"/>
      <c r="K920" s="45"/>
      <c r="L920" s="44"/>
      <c r="M920" s="44"/>
      <c r="N920" s="44"/>
      <c r="O920" s="44"/>
      <c r="P920" s="44"/>
      <c r="Q920" s="44"/>
      <c r="R920" s="44"/>
      <c r="S920" s="45"/>
      <c r="T920" s="45"/>
      <c r="U920" s="45"/>
      <c r="V920" s="45"/>
      <c r="W920" s="45"/>
      <c r="X920" s="45"/>
      <c r="Y920" s="45"/>
      <c r="Z920" s="45"/>
      <c r="AA920" s="45"/>
      <c r="AB920" s="45"/>
      <c r="AC920" s="45"/>
    </row>
    <row r="921" spans="1:29" ht="13.15">
      <c r="A921" s="45"/>
      <c r="B921" s="45"/>
      <c r="C921" s="45"/>
      <c r="D921" s="45"/>
      <c r="E921" s="45"/>
      <c r="F921" s="45"/>
      <c r="G921" s="45"/>
      <c r="H921" s="45"/>
      <c r="I921" s="44"/>
      <c r="J921" s="44"/>
      <c r="K921" s="45"/>
      <c r="L921" s="44"/>
      <c r="M921" s="44"/>
      <c r="N921" s="44"/>
      <c r="O921" s="44"/>
      <c r="P921" s="44"/>
      <c r="Q921" s="44"/>
      <c r="R921" s="44"/>
      <c r="S921" s="45"/>
      <c r="T921" s="45"/>
      <c r="U921" s="45"/>
      <c r="V921" s="45"/>
      <c r="W921" s="45"/>
      <c r="X921" s="45"/>
      <c r="Y921" s="45"/>
      <c r="Z921" s="45"/>
      <c r="AA921" s="45"/>
      <c r="AB921" s="45"/>
      <c r="AC921" s="45"/>
    </row>
    <row r="922" spans="1:29" ht="13.15">
      <c r="A922" s="45"/>
      <c r="B922" s="45"/>
      <c r="C922" s="45"/>
      <c r="D922" s="45"/>
      <c r="E922" s="45"/>
      <c r="F922" s="45"/>
      <c r="G922" s="45"/>
      <c r="H922" s="45"/>
      <c r="I922" s="44"/>
      <c r="J922" s="44"/>
      <c r="K922" s="45"/>
      <c r="L922" s="44"/>
      <c r="M922" s="44"/>
      <c r="N922" s="44"/>
      <c r="O922" s="44"/>
      <c r="P922" s="44"/>
      <c r="Q922" s="44"/>
      <c r="R922" s="44"/>
      <c r="S922" s="45"/>
      <c r="T922" s="45"/>
      <c r="U922" s="45"/>
      <c r="V922" s="45"/>
      <c r="W922" s="45"/>
      <c r="X922" s="45"/>
      <c r="Y922" s="45"/>
      <c r="Z922" s="45"/>
      <c r="AA922" s="45"/>
      <c r="AB922" s="45"/>
      <c r="AC922" s="45"/>
    </row>
    <row r="923" spans="1:29" ht="13.15">
      <c r="A923" s="45"/>
      <c r="B923" s="45"/>
      <c r="C923" s="45"/>
      <c r="D923" s="45"/>
      <c r="E923" s="45"/>
      <c r="F923" s="45"/>
      <c r="G923" s="45"/>
      <c r="H923" s="45"/>
      <c r="I923" s="44"/>
      <c r="J923" s="44"/>
      <c r="K923" s="45"/>
      <c r="L923" s="44"/>
      <c r="M923" s="44"/>
      <c r="N923" s="44"/>
      <c r="O923" s="44"/>
      <c r="P923" s="44"/>
      <c r="Q923" s="44"/>
      <c r="R923" s="44"/>
      <c r="S923" s="45"/>
      <c r="T923" s="45"/>
      <c r="U923" s="45"/>
      <c r="V923" s="45"/>
      <c r="W923" s="45"/>
      <c r="X923" s="45"/>
      <c r="Y923" s="45"/>
      <c r="Z923" s="45"/>
      <c r="AA923" s="45"/>
      <c r="AB923" s="45"/>
      <c r="AC923" s="45"/>
    </row>
    <row r="924" spans="1:29" ht="13.15">
      <c r="A924" s="45"/>
      <c r="B924" s="45"/>
      <c r="C924" s="45"/>
      <c r="D924" s="45"/>
      <c r="E924" s="45"/>
      <c r="F924" s="45"/>
      <c r="G924" s="45"/>
      <c r="H924" s="45"/>
      <c r="I924" s="44"/>
      <c r="J924" s="44"/>
      <c r="K924" s="45"/>
      <c r="L924" s="44"/>
      <c r="M924" s="44"/>
      <c r="N924" s="44"/>
      <c r="O924" s="44"/>
      <c r="P924" s="44"/>
      <c r="Q924" s="44"/>
      <c r="R924" s="44"/>
      <c r="S924" s="45"/>
      <c r="T924" s="45"/>
      <c r="U924" s="45"/>
      <c r="V924" s="45"/>
      <c r="W924" s="45"/>
      <c r="X924" s="45"/>
      <c r="Y924" s="45"/>
      <c r="Z924" s="45"/>
      <c r="AA924" s="45"/>
      <c r="AB924" s="45"/>
      <c r="AC924" s="45"/>
    </row>
    <row r="925" spans="1:29" ht="13.15">
      <c r="A925" s="45"/>
      <c r="B925" s="45"/>
      <c r="C925" s="45"/>
      <c r="D925" s="45"/>
      <c r="E925" s="45"/>
      <c r="F925" s="45"/>
      <c r="G925" s="45"/>
      <c r="H925" s="45"/>
      <c r="I925" s="44"/>
      <c r="J925" s="44"/>
      <c r="K925" s="45"/>
      <c r="L925" s="44"/>
      <c r="M925" s="44"/>
      <c r="N925" s="44"/>
      <c r="O925" s="44"/>
      <c r="P925" s="44"/>
      <c r="Q925" s="44"/>
      <c r="R925" s="44"/>
      <c r="S925" s="45"/>
      <c r="T925" s="45"/>
      <c r="U925" s="45"/>
      <c r="V925" s="45"/>
      <c r="W925" s="45"/>
      <c r="X925" s="45"/>
      <c r="Y925" s="45"/>
      <c r="Z925" s="45"/>
      <c r="AA925" s="45"/>
      <c r="AB925" s="45"/>
      <c r="AC925" s="45"/>
    </row>
    <row r="926" spans="1:29" ht="13.15">
      <c r="A926" s="45"/>
      <c r="B926" s="45"/>
      <c r="C926" s="45"/>
      <c r="D926" s="45"/>
      <c r="E926" s="45"/>
      <c r="F926" s="45"/>
      <c r="G926" s="45"/>
      <c r="H926" s="45"/>
      <c r="I926" s="44"/>
      <c r="J926" s="44"/>
      <c r="K926" s="45"/>
      <c r="L926" s="44"/>
      <c r="M926" s="44"/>
      <c r="N926" s="44"/>
      <c r="O926" s="44"/>
      <c r="P926" s="44"/>
      <c r="Q926" s="44"/>
      <c r="R926" s="44"/>
      <c r="S926" s="45"/>
      <c r="T926" s="45"/>
      <c r="U926" s="45"/>
      <c r="V926" s="45"/>
      <c r="W926" s="45"/>
      <c r="X926" s="45"/>
      <c r="Y926" s="45"/>
      <c r="Z926" s="45"/>
      <c r="AA926" s="45"/>
      <c r="AB926" s="45"/>
      <c r="AC926" s="45"/>
    </row>
    <row r="927" spans="1:29" ht="13.15">
      <c r="A927" s="45"/>
      <c r="B927" s="45"/>
      <c r="C927" s="45"/>
      <c r="D927" s="45"/>
      <c r="E927" s="45"/>
      <c r="F927" s="45"/>
      <c r="G927" s="45"/>
      <c r="H927" s="45"/>
      <c r="I927" s="44"/>
      <c r="J927" s="44"/>
      <c r="K927" s="45"/>
      <c r="L927" s="44"/>
      <c r="M927" s="44"/>
      <c r="N927" s="44"/>
      <c r="O927" s="44"/>
      <c r="P927" s="44"/>
      <c r="Q927" s="44"/>
      <c r="R927" s="44"/>
      <c r="S927" s="45"/>
      <c r="T927" s="45"/>
      <c r="U927" s="45"/>
      <c r="V927" s="45"/>
      <c r="W927" s="45"/>
      <c r="X927" s="45"/>
      <c r="Y927" s="45"/>
      <c r="Z927" s="45"/>
      <c r="AA927" s="45"/>
      <c r="AB927" s="45"/>
      <c r="AC927" s="45"/>
    </row>
    <row r="928" spans="1:29" ht="13.15">
      <c r="A928" s="45"/>
      <c r="B928" s="45"/>
      <c r="C928" s="45"/>
      <c r="D928" s="45"/>
      <c r="E928" s="45"/>
      <c r="F928" s="45"/>
      <c r="G928" s="45"/>
      <c r="H928" s="45"/>
      <c r="I928" s="44"/>
      <c r="J928" s="44"/>
      <c r="K928" s="45"/>
      <c r="L928" s="44"/>
      <c r="M928" s="44"/>
      <c r="N928" s="44"/>
      <c r="O928" s="44"/>
      <c r="P928" s="44"/>
      <c r="Q928" s="44"/>
      <c r="R928" s="44"/>
      <c r="S928" s="45"/>
      <c r="T928" s="45"/>
      <c r="U928" s="45"/>
      <c r="V928" s="45"/>
      <c r="W928" s="45"/>
      <c r="X928" s="45"/>
      <c r="Y928" s="45"/>
      <c r="Z928" s="45"/>
      <c r="AA928" s="45"/>
      <c r="AB928" s="45"/>
      <c r="AC928" s="45"/>
    </row>
    <row r="929" spans="1:29" ht="13.15">
      <c r="A929" s="45"/>
      <c r="B929" s="45"/>
      <c r="C929" s="45"/>
      <c r="D929" s="45"/>
      <c r="E929" s="45"/>
      <c r="F929" s="45"/>
      <c r="G929" s="45"/>
      <c r="H929" s="45"/>
      <c r="I929" s="44"/>
      <c r="J929" s="44"/>
      <c r="K929" s="45"/>
      <c r="L929" s="44"/>
      <c r="M929" s="44"/>
      <c r="N929" s="44"/>
      <c r="O929" s="44"/>
      <c r="P929" s="44"/>
      <c r="Q929" s="44"/>
      <c r="R929" s="44"/>
      <c r="S929" s="45"/>
      <c r="T929" s="45"/>
      <c r="U929" s="45"/>
      <c r="V929" s="45"/>
      <c r="W929" s="45"/>
      <c r="X929" s="45"/>
      <c r="Y929" s="45"/>
      <c r="Z929" s="45"/>
      <c r="AA929" s="45"/>
      <c r="AB929" s="45"/>
      <c r="AC929" s="45"/>
    </row>
    <row r="930" spans="1:29" ht="13.15">
      <c r="A930" s="45"/>
      <c r="B930" s="45"/>
      <c r="C930" s="45"/>
      <c r="D930" s="45"/>
      <c r="E930" s="45"/>
      <c r="F930" s="45"/>
      <c r="G930" s="45"/>
      <c r="H930" s="45"/>
      <c r="I930" s="44"/>
      <c r="J930" s="44"/>
      <c r="K930" s="45"/>
      <c r="L930" s="44"/>
      <c r="M930" s="44"/>
      <c r="N930" s="44"/>
      <c r="O930" s="44"/>
      <c r="P930" s="44"/>
      <c r="Q930" s="44"/>
      <c r="R930" s="44"/>
      <c r="S930" s="45"/>
      <c r="T930" s="45"/>
      <c r="U930" s="45"/>
      <c r="V930" s="45"/>
      <c r="W930" s="45"/>
      <c r="X930" s="45"/>
      <c r="Y930" s="45"/>
      <c r="Z930" s="45"/>
      <c r="AA930" s="45"/>
      <c r="AB930" s="45"/>
      <c r="AC930" s="45"/>
    </row>
    <row r="931" spans="1:29" ht="13.15">
      <c r="A931" s="45"/>
      <c r="B931" s="45"/>
      <c r="C931" s="45"/>
      <c r="D931" s="45"/>
      <c r="E931" s="45"/>
      <c r="F931" s="45"/>
      <c r="G931" s="45"/>
      <c r="H931" s="45"/>
      <c r="I931" s="44"/>
      <c r="J931" s="44"/>
      <c r="K931" s="45"/>
      <c r="L931" s="44"/>
      <c r="M931" s="44"/>
      <c r="N931" s="44"/>
      <c r="O931" s="44"/>
      <c r="P931" s="44"/>
      <c r="Q931" s="44"/>
      <c r="R931" s="44"/>
      <c r="S931" s="45"/>
      <c r="T931" s="45"/>
      <c r="U931" s="45"/>
      <c r="V931" s="45"/>
      <c r="W931" s="45"/>
      <c r="X931" s="45"/>
      <c r="Y931" s="45"/>
      <c r="Z931" s="45"/>
      <c r="AA931" s="45"/>
      <c r="AB931" s="45"/>
      <c r="AC931" s="45"/>
    </row>
    <row r="932" spans="1:29" ht="13.15">
      <c r="A932" s="45"/>
      <c r="B932" s="45"/>
      <c r="C932" s="45"/>
      <c r="D932" s="45"/>
      <c r="E932" s="45"/>
      <c r="F932" s="45"/>
      <c r="G932" s="45"/>
      <c r="H932" s="45"/>
      <c r="I932" s="44"/>
      <c r="J932" s="44"/>
      <c r="K932" s="45"/>
      <c r="L932" s="44"/>
      <c r="M932" s="44"/>
      <c r="N932" s="44"/>
      <c r="O932" s="44"/>
      <c r="P932" s="44"/>
      <c r="Q932" s="44"/>
      <c r="R932" s="44"/>
      <c r="S932" s="45"/>
      <c r="T932" s="45"/>
      <c r="U932" s="45"/>
      <c r="V932" s="45"/>
      <c r="W932" s="45"/>
      <c r="X932" s="45"/>
      <c r="Y932" s="45"/>
      <c r="Z932" s="45"/>
      <c r="AA932" s="45"/>
      <c r="AB932" s="45"/>
      <c r="AC932" s="45"/>
    </row>
    <row r="933" spans="1:29" ht="13.15">
      <c r="A933" s="45"/>
      <c r="B933" s="45"/>
      <c r="C933" s="45"/>
      <c r="D933" s="45"/>
      <c r="E933" s="45"/>
      <c r="F933" s="45"/>
      <c r="G933" s="45"/>
      <c r="H933" s="45"/>
      <c r="I933" s="44"/>
      <c r="J933" s="44"/>
      <c r="K933" s="45"/>
      <c r="L933" s="44"/>
      <c r="M933" s="44"/>
      <c r="N933" s="44"/>
      <c r="O933" s="44"/>
      <c r="P933" s="44"/>
      <c r="Q933" s="44"/>
      <c r="R933" s="44"/>
      <c r="S933" s="45"/>
      <c r="T933" s="45"/>
      <c r="U933" s="45"/>
      <c r="V933" s="45"/>
      <c r="W933" s="45"/>
      <c r="X933" s="45"/>
      <c r="Y933" s="45"/>
      <c r="Z933" s="45"/>
      <c r="AA933" s="45"/>
      <c r="AB933" s="45"/>
      <c r="AC933" s="45"/>
    </row>
    <row r="934" spans="1:29" ht="13.15">
      <c r="A934" s="45"/>
      <c r="B934" s="45"/>
      <c r="C934" s="45"/>
      <c r="D934" s="45"/>
      <c r="E934" s="45"/>
      <c r="F934" s="45"/>
      <c r="G934" s="45"/>
      <c r="H934" s="45"/>
      <c r="I934" s="44"/>
      <c r="J934" s="44"/>
      <c r="K934" s="45"/>
      <c r="L934" s="44"/>
      <c r="M934" s="44"/>
      <c r="N934" s="44"/>
      <c r="O934" s="44"/>
      <c r="P934" s="44"/>
      <c r="Q934" s="44"/>
      <c r="R934" s="44"/>
      <c r="S934" s="45"/>
      <c r="T934" s="45"/>
      <c r="U934" s="45"/>
      <c r="V934" s="45"/>
      <c r="W934" s="45"/>
      <c r="X934" s="45"/>
      <c r="Y934" s="45"/>
      <c r="Z934" s="45"/>
      <c r="AA934" s="45"/>
      <c r="AB934" s="45"/>
      <c r="AC934" s="45"/>
    </row>
    <row r="935" spans="1:29" ht="13.15">
      <c r="A935" s="45"/>
      <c r="B935" s="45"/>
      <c r="C935" s="45"/>
      <c r="D935" s="45"/>
      <c r="E935" s="45"/>
      <c r="F935" s="45"/>
      <c r="G935" s="45"/>
      <c r="H935" s="45"/>
      <c r="I935" s="44"/>
      <c r="J935" s="44"/>
      <c r="K935" s="45"/>
      <c r="L935" s="44"/>
      <c r="M935" s="44"/>
      <c r="N935" s="44"/>
      <c r="O935" s="44"/>
      <c r="P935" s="44"/>
      <c r="Q935" s="44"/>
      <c r="R935" s="44"/>
      <c r="S935" s="45"/>
      <c r="T935" s="45"/>
      <c r="U935" s="45"/>
      <c r="V935" s="45"/>
      <c r="W935" s="45"/>
      <c r="X935" s="45"/>
      <c r="Y935" s="45"/>
      <c r="Z935" s="45"/>
      <c r="AA935" s="45"/>
      <c r="AB935" s="45"/>
      <c r="AC935" s="45"/>
    </row>
    <row r="936" spans="1:29" ht="13.15">
      <c r="A936" s="45"/>
      <c r="B936" s="45"/>
      <c r="C936" s="45"/>
      <c r="D936" s="45"/>
      <c r="E936" s="45"/>
      <c r="F936" s="45"/>
      <c r="G936" s="45"/>
      <c r="H936" s="45"/>
      <c r="I936" s="44"/>
      <c r="J936" s="44"/>
      <c r="K936" s="45"/>
      <c r="L936" s="44"/>
      <c r="M936" s="44"/>
      <c r="N936" s="44"/>
      <c r="O936" s="44"/>
      <c r="P936" s="44"/>
      <c r="Q936" s="44"/>
      <c r="R936" s="44"/>
      <c r="S936" s="45"/>
      <c r="T936" s="45"/>
      <c r="U936" s="45"/>
      <c r="V936" s="45"/>
      <c r="W936" s="45"/>
      <c r="X936" s="45"/>
      <c r="Y936" s="45"/>
      <c r="Z936" s="45"/>
      <c r="AA936" s="45"/>
      <c r="AB936" s="45"/>
      <c r="AC936" s="45"/>
    </row>
    <row r="937" spans="1:29" ht="13.15">
      <c r="A937" s="45"/>
      <c r="B937" s="45"/>
      <c r="C937" s="45"/>
      <c r="D937" s="45"/>
      <c r="E937" s="45"/>
      <c r="F937" s="45"/>
      <c r="G937" s="45"/>
      <c r="H937" s="45"/>
      <c r="I937" s="44"/>
      <c r="J937" s="44"/>
      <c r="K937" s="45"/>
      <c r="L937" s="44"/>
      <c r="M937" s="44"/>
      <c r="N937" s="44"/>
      <c r="O937" s="44"/>
      <c r="P937" s="44"/>
      <c r="Q937" s="44"/>
      <c r="R937" s="44"/>
      <c r="S937" s="45"/>
      <c r="T937" s="45"/>
      <c r="U937" s="45"/>
      <c r="V937" s="45"/>
      <c r="W937" s="45"/>
      <c r="X937" s="45"/>
      <c r="Y937" s="45"/>
      <c r="Z937" s="45"/>
      <c r="AA937" s="45"/>
      <c r="AB937" s="45"/>
      <c r="AC937" s="45"/>
    </row>
    <row r="938" spans="1:29" ht="13.15">
      <c r="A938" s="45"/>
      <c r="B938" s="45"/>
      <c r="C938" s="45"/>
      <c r="D938" s="45"/>
      <c r="E938" s="45"/>
      <c r="F938" s="45"/>
      <c r="G938" s="45"/>
      <c r="H938" s="45"/>
      <c r="I938" s="44"/>
      <c r="J938" s="44"/>
      <c r="K938" s="45"/>
      <c r="L938" s="44"/>
      <c r="M938" s="44"/>
      <c r="N938" s="44"/>
      <c r="O938" s="44"/>
      <c r="P938" s="44"/>
      <c r="Q938" s="44"/>
      <c r="R938" s="44"/>
      <c r="S938" s="45"/>
      <c r="T938" s="45"/>
      <c r="U938" s="45"/>
      <c r="V938" s="45"/>
      <c r="W938" s="45"/>
      <c r="X938" s="45"/>
      <c r="Y938" s="45"/>
      <c r="Z938" s="45"/>
      <c r="AA938" s="45"/>
      <c r="AB938" s="45"/>
      <c r="AC938" s="45"/>
    </row>
    <row r="939" spans="1:29" ht="13.15">
      <c r="A939" s="45"/>
      <c r="B939" s="45"/>
      <c r="C939" s="45"/>
      <c r="D939" s="45"/>
      <c r="E939" s="45"/>
      <c r="F939" s="45"/>
      <c r="G939" s="45"/>
      <c r="H939" s="45"/>
      <c r="I939" s="44"/>
      <c r="J939" s="44"/>
      <c r="K939" s="45"/>
      <c r="L939" s="44"/>
      <c r="M939" s="44"/>
      <c r="N939" s="44"/>
      <c r="O939" s="44"/>
      <c r="P939" s="44"/>
      <c r="Q939" s="44"/>
      <c r="R939" s="44"/>
      <c r="S939" s="45"/>
      <c r="T939" s="45"/>
      <c r="U939" s="45"/>
      <c r="V939" s="45"/>
      <c r="W939" s="45"/>
      <c r="X939" s="45"/>
      <c r="Y939" s="45"/>
      <c r="Z939" s="45"/>
      <c r="AA939" s="45"/>
      <c r="AB939" s="45"/>
      <c r="AC939" s="45"/>
    </row>
    <row r="940" spans="1:29" ht="13.15">
      <c r="A940" s="45"/>
      <c r="B940" s="45"/>
      <c r="C940" s="45"/>
      <c r="D940" s="45"/>
      <c r="E940" s="45"/>
      <c r="F940" s="45"/>
      <c r="G940" s="45"/>
      <c r="H940" s="45"/>
      <c r="I940" s="44"/>
      <c r="J940" s="44"/>
      <c r="K940" s="45"/>
      <c r="L940" s="44"/>
      <c r="M940" s="44"/>
      <c r="N940" s="44"/>
      <c r="O940" s="44"/>
      <c r="P940" s="44"/>
      <c r="Q940" s="44"/>
      <c r="R940" s="44"/>
      <c r="S940" s="45"/>
      <c r="T940" s="45"/>
      <c r="U940" s="45"/>
      <c r="V940" s="45"/>
      <c r="W940" s="45"/>
      <c r="X940" s="45"/>
      <c r="Y940" s="45"/>
      <c r="Z940" s="45"/>
      <c r="AA940" s="45"/>
      <c r="AB940" s="45"/>
      <c r="AC940" s="45"/>
    </row>
    <row r="941" spans="1:29" ht="13.15">
      <c r="A941" s="45"/>
      <c r="B941" s="45"/>
      <c r="C941" s="45"/>
      <c r="D941" s="45"/>
      <c r="E941" s="45"/>
      <c r="F941" s="45"/>
      <c r="G941" s="45"/>
      <c r="H941" s="45"/>
      <c r="I941" s="44"/>
      <c r="J941" s="44"/>
      <c r="K941" s="45"/>
      <c r="L941" s="44"/>
      <c r="M941" s="44"/>
      <c r="N941" s="44"/>
      <c r="O941" s="44"/>
      <c r="P941" s="44"/>
      <c r="Q941" s="44"/>
      <c r="R941" s="44"/>
      <c r="S941" s="45"/>
      <c r="T941" s="45"/>
      <c r="U941" s="45"/>
      <c r="V941" s="45"/>
      <c r="W941" s="45"/>
      <c r="X941" s="45"/>
      <c r="Y941" s="45"/>
      <c r="Z941" s="45"/>
      <c r="AA941" s="45"/>
      <c r="AB941" s="45"/>
      <c r="AC941" s="45"/>
    </row>
    <row r="942" spans="1:29" ht="13.15">
      <c r="A942" s="45"/>
      <c r="B942" s="45"/>
      <c r="C942" s="45"/>
      <c r="D942" s="45"/>
      <c r="E942" s="45"/>
      <c r="F942" s="45"/>
      <c r="G942" s="45"/>
      <c r="H942" s="45"/>
      <c r="I942" s="44"/>
      <c r="J942" s="44"/>
      <c r="K942" s="45"/>
      <c r="L942" s="44"/>
      <c r="M942" s="44"/>
      <c r="N942" s="44"/>
      <c r="O942" s="44"/>
      <c r="P942" s="44"/>
      <c r="Q942" s="44"/>
      <c r="R942" s="44"/>
      <c r="S942" s="45"/>
      <c r="T942" s="45"/>
      <c r="U942" s="45"/>
      <c r="V942" s="45"/>
      <c r="W942" s="45"/>
      <c r="X942" s="45"/>
      <c r="Y942" s="45"/>
      <c r="Z942" s="45"/>
      <c r="AA942" s="45"/>
      <c r="AB942" s="45"/>
      <c r="AC942" s="45"/>
    </row>
    <row r="943" spans="1:29" ht="13.15">
      <c r="A943" s="45"/>
      <c r="B943" s="45"/>
      <c r="C943" s="45"/>
      <c r="D943" s="45"/>
      <c r="E943" s="45"/>
      <c r="F943" s="45"/>
      <c r="G943" s="45"/>
      <c r="H943" s="45"/>
      <c r="I943" s="44"/>
      <c r="J943" s="44"/>
      <c r="K943" s="45"/>
      <c r="L943" s="44"/>
      <c r="M943" s="44"/>
      <c r="N943" s="44"/>
      <c r="O943" s="44"/>
      <c r="P943" s="44"/>
      <c r="Q943" s="44"/>
      <c r="R943" s="44"/>
      <c r="S943" s="45"/>
      <c r="T943" s="45"/>
      <c r="U943" s="45"/>
      <c r="V943" s="45"/>
      <c r="W943" s="45"/>
      <c r="X943" s="45"/>
      <c r="Y943" s="45"/>
      <c r="Z943" s="45"/>
      <c r="AA943" s="45"/>
      <c r="AB943" s="45"/>
      <c r="AC943" s="45"/>
    </row>
    <row r="944" spans="1:29" ht="13.15">
      <c r="A944" s="45"/>
      <c r="B944" s="45"/>
      <c r="C944" s="45"/>
      <c r="D944" s="45"/>
      <c r="E944" s="45"/>
      <c r="F944" s="45"/>
      <c r="G944" s="45"/>
      <c r="H944" s="45"/>
      <c r="I944" s="44"/>
      <c r="J944" s="44"/>
      <c r="K944" s="45"/>
      <c r="L944" s="44"/>
      <c r="M944" s="44"/>
      <c r="N944" s="44"/>
      <c r="O944" s="44"/>
      <c r="P944" s="44"/>
      <c r="Q944" s="44"/>
      <c r="R944" s="44"/>
      <c r="S944" s="45"/>
      <c r="T944" s="45"/>
      <c r="U944" s="45"/>
      <c r="V944" s="45"/>
      <c r="W944" s="45"/>
      <c r="X944" s="45"/>
      <c r="Y944" s="45"/>
      <c r="Z944" s="45"/>
      <c r="AA944" s="45"/>
      <c r="AB944" s="45"/>
      <c r="AC944" s="45"/>
    </row>
    <row r="945" spans="1:29" ht="13.15">
      <c r="A945" s="45"/>
      <c r="B945" s="45"/>
      <c r="C945" s="45"/>
      <c r="D945" s="45"/>
      <c r="E945" s="45"/>
      <c r="F945" s="45"/>
      <c r="G945" s="45"/>
      <c r="H945" s="45"/>
      <c r="I945" s="44"/>
      <c r="J945" s="44"/>
      <c r="K945" s="45"/>
      <c r="L945" s="44"/>
      <c r="M945" s="44"/>
      <c r="N945" s="44"/>
      <c r="O945" s="44"/>
      <c r="P945" s="44"/>
      <c r="Q945" s="44"/>
      <c r="R945" s="44"/>
      <c r="S945" s="45"/>
      <c r="T945" s="45"/>
      <c r="U945" s="45"/>
      <c r="V945" s="45"/>
      <c r="W945" s="45"/>
      <c r="X945" s="45"/>
      <c r="Y945" s="45"/>
      <c r="Z945" s="45"/>
      <c r="AA945" s="45"/>
      <c r="AB945" s="45"/>
      <c r="AC945" s="45"/>
    </row>
    <row r="946" spans="1:29" ht="13.15">
      <c r="A946" s="45"/>
      <c r="B946" s="45"/>
      <c r="C946" s="45"/>
      <c r="D946" s="45"/>
      <c r="E946" s="45"/>
      <c r="F946" s="45"/>
      <c r="G946" s="45"/>
      <c r="H946" s="45"/>
      <c r="I946" s="44"/>
      <c r="J946" s="44"/>
      <c r="K946" s="45"/>
      <c r="L946" s="44"/>
      <c r="M946" s="44"/>
      <c r="N946" s="44"/>
      <c r="O946" s="44"/>
      <c r="P946" s="44"/>
      <c r="Q946" s="44"/>
      <c r="R946" s="44"/>
      <c r="S946" s="45"/>
      <c r="T946" s="45"/>
      <c r="U946" s="45"/>
      <c r="V946" s="45"/>
      <c r="W946" s="45"/>
      <c r="X946" s="45"/>
      <c r="Y946" s="45"/>
      <c r="Z946" s="45"/>
      <c r="AA946" s="45"/>
      <c r="AB946" s="45"/>
      <c r="AC946" s="45"/>
    </row>
    <row r="947" spans="1:29" ht="13.15">
      <c r="A947" s="45"/>
      <c r="B947" s="45"/>
      <c r="C947" s="45"/>
      <c r="D947" s="45"/>
      <c r="E947" s="45"/>
      <c r="F947" s="45"/>
      <c r="G947" s="45"/>
      <c r="H947" s="45"/>
      <c r="I947" s="44"/>
      <c r="J947" s="44"/>
      <c r="K947" s="45"/>
      <c r="L947" s="44"/>
      <c r="M947" s="44"/>
      <c r="N947" s="44"/>
      <c r="O947" s="44"/>
      <c r="P947" s="44"/>
      <c r="Q947" s="44"/>
      <c r="R947" s="44"/>
      <c r="S947" s="45"/>
      <c r="T947" s="45"/>
      <c r="U947" s="45"/>
      <c r="V947" s="45"/>
      <c r="W947" s="45"/>
      <c r="X947" s="45"/>
      <c r="Y947" s="45"/>
      <c r="Z947" s="45"/>
      <c r="AA947" s="45"/>
      <c r="AB947" s="45"/>
      <c r="AC947" s="45"/>
    </row>
    <row r="948" spans="1:29" ht="13.15">
      <c r="A948" s="45"/>
      <c r="B948" s="45"/>
      <c r="C948" s="45"/>
      <c r="D948" s="45"/>
      <c r="E948" s="45"/>
      <c r="F948" s="45"/>
      <c r="G948" s="45"/>
      <c r="H948" s="45"/>
      <c r="I948" s="44"/>
      <c r="J948" s="44"/>
      <c r="K948" s="45"/>
      <c r="L948" s="44"/>
      <c r="M948" s="44"/>
      <c r="N948" s="44"/>
      <c r="O948" s="44"/>
      <c r="P948" s="44"/>
      <c r="Q948" s="44"/>
      <c r="R948" s="44"/>
      <c r="S948" s="45"/>
      <c r="T948" s="45"/>
      <c r="U948" s="45"/>
      <c r="V948" s="45"/>
      <c r="W948" s="45"/>
      <c r="X948" s="45"/>
      <c r="Y948" s="45"/>
      <c r="Z948" s="45"/>
      <c r="AA948" s="45"/>
      <c r="AB948" s="45"/>
      <c r="AC948" s="45"/>
    </row>
    <row r="949" spans="1:29" ht="13.15">
      <c r="A949" s="45"/>
      <c r="B949" s="45"/>
      <c r="C949" s="45"/>
      <c r="D949" s="45"/>
      <c r="E949" s="45"/>
      <c r="F949" s="45"/>
      <c r="G949" s="45"/>
      <c r="H949" s="45"/>
      <c r="I949" s="44"/>
      <c r="J949" s="44"/>
      <c r="K949" s="45"/>
      <c r="L949" s="44"/>
      <c r="M949" s="44"/>
      <c r="N949" s="44"/>
      <c r="O949" s="44"/>
      <c r="P949" s="44"/>
      <c r="Q949" s="44"/>
      <c r="R949" s="44"/>
      <c r="S949" s="45"/>
      <c r="T949" s="45"/>
      <c r="U949" s="45"/>
      <c r="V949" s="45"/>
      <c r="W949" s="45"/>
      <c r="X949" s="45"/>
      <c r="Y949" s="45"/>
      <c r="Z949" s="45"/>
      <c r="AA949" s="45"/>
      <c r="AB949" s="45"/>
      <c r="AC949" s="45"/>
    </row>
    <row r="950" spans="1:29" ht="13.15">
      <c r="A950" s="45"/>
      <c r="B950" s="45"/>
      <c r="C950" s="45"/>
      <c r="D950" s="45"/>
      <c r="E950" s="45"/>
      <c r="F950" s="45"/>
      <c r="G950" s="45"/>
      <c r="H950" s="45"/>
      <c r="I950" s="44"/>
      <c r="J950" s="44"/>
      <c r="K950" s="45"/>
      <c r="L950" s="44"/>
      <c r="M950" s="44"/>
      <c r="N950" s="44"/>
      <c r="O950" s="44"/>
      <c r="P950" s="44"/>
      <c r="Q950" s="44"/>
      <c r="R950" s="44"/>
      <c r="S950" s="45"/>
      <c r="T950" s="45"/>
      <c r="U950" s="45"/>
      <c r="V950" s="45"/>
      <c r="W950" s="45"/>
      <c r="X950" s="45"/>
      <c r="Y950" s="45"/>
      <c r="Z950" s="45"/>
      <c r="AA950" s="45"/>
      <c r="AB950" s="45"/>
      <c r="AC950" s="45"/>
    </row>
    <row r="951" spans="1:29" ht="13.15">
      <c r="A951" s="45"/>
      <c r="B951" s="45"/>
      <c r="C951" s="45"/>
      <c r="D951" s="45"/>
      <c r="E951" s="45"/>
      <c r="F951" s="45"/>
      <c r="G951" s="45"/>
      <c r="H951" s="45"/>
      <c r="I951" s="44"/>
      <c r="J951" s="44"/>
      <c r="K951" s="45"/>
      <c r="L951" s="44"/>
      <c r="M951" s="44"/>
      <c r="N951" s="44"/>
      <c r="O951" s="44"/>
      <c r="P951" s="44"/>
      <c r="Q951" s="44"/>
      <c r="R951" s="44"/>
      <c r="S951" s="45"/>
      <c r="T951" s="45"/>
      <c r="U951" s="45"/>
      <c r="V951" s="45"/>
      <c r="W951" s="45"/>
      <c r="X951" s="45"/>
      <c r="Y951" s="45"/>
      <c r="Z951" s="45"/>
      <c r="AA951" s="45"/>
      <c r="AB951" s="45"/>
      <c r="AC951" s="45"/>
    </row>
    <row r="952" spans="1:29" ht="13.15">
      <c r="A952" s="45"/>
      <c r="B952" s="45"/>
      <c r="C952" s="45"/>
      <c r="D952" s="45"/>
      <c r="E952" s="45"/>
      <c r="F952" s="45"/>
      <c r="G952" s="45"/>
      <c r="H952" s="45"/>
      <c r="I952" s="44"/>
      <c r="J952" s="44"/>
      <c r="K952" s="45"/>
      <c r="L952" s="44"/>
      <c r="M952" s="44"/>
      <c r="N952" s="44"/>
      <c r="O952" s="44"/>
      <c r="P952" s="44"/>
      <c r="Q952" s="44"/>
      <c r="R952" s="44"/>
      <c r="S952" s="45"/>
      <c r="T952" s="45"/>
      <c r="U952" s="45"/>
      <c r="V952" s="45"/>
      <c r="W952" s="45"/>
      <c r="X952" s="45"/>
      <c r="Y952" s="45"/>
      <c r="Z952" s="45"/>
      <c r="AA952" s="45"/>
      <c r="AB952" s="45"/>
      <c r="AC952" s="45"/>
    </row>
    <row r="953" spans="1:29" ht="13.15">
      <c r="A953" s="45"/>
      <c r="B953" s="45"/>
      <c r="C953" s="45"/>
      <c r="D953" s="45"/>
      <c r="E953" s="45"/>
      <c r="F953" s="45"/>
      <c r="G953" s="45"/>
      <c r="H953" s="45"/>
      <c r="I953" s="44"/>
      <c r="J953" s="44"/>
      <c r="K953" s="45"/>
      <c r="L953" s="44"/>
      <c r="M953" s="44"/>
      <c r="N953" s="44"/>
      <c r="O953" s="44"/>
      <c r="P953" s="44"/>
      <c r="Q953" s="44"/>
      <c r="R953" s="44"/>
      <c r="S953" s="45"/>
      <c r="T953" s="45"/>
      <c r="U953" s="45"/>
      <c r="V953" s="45"/>
      <c r="W953" s="45"/>
      <c r="X953" s="45"/>
      <c r="Y953" s="45"/>
      <c r="Z953" s="45"/>
      <c r="AA953" s="45"/>
      <c r="AB953" s="45"/>
      <c r="AC953" s="45"/>
    </row>
    <row r="954" spans="1:29" ht="13.15">
      <c r="A954" s="45"/>
      <c r="B954" s="45"/>
      <c r="C954" s="45"/>
      <c r="D954" s="45"/>
      <c r="E954" s="45"/>
      <c r="F954" s="45"/>
      <c r="G954" s="45"/>
      <c r="H954" s="45"/>
      <c r="I954" s="44"/>
      <c r="J954" s="44"/>
      <c r="K954" s="45"/>
      <c r="L954" s="44"/>
      <c r="M954" s="44"/>
      <c r="N954" s="44"/>
      <c r="O954" s="44"/>
      <c r="P954" s="44"/>
      <c r="Q954" s="44"/>
      <c r="R954" s="44"/>
      <c r="S954" s="45"/>
      <c r="T954" s="45"/>
      <c r="U954" s="45"/>
      <c r="V954" s="45"/>
      <c r="W954" s="45"/>
      <c r="X954" s="45"/>
      <c r="Y954" s="45"/>
      <c r="Z954" s="45"/>
      <c r="AA954" s="45"/>
      <c r="AB954" s="45"/>
      <c r="AC954" s="45"/>
    </row>
    <row r="955" spans="1:29" ht="13.15">
      <c r="A955" s="45"/>
      <c r="B955" s="45"/>
      <c r="C955" s="45"/>
      <c r="D955" s="45"/>
      <c r="E955" s="45"/>
      <c r="F955" s="45"/>
      <c r="G955" s="45"/>
      <c r="H955" s="45"/>
      <c r="I955" s="44"/>
      <c r="J955" s="44"/>
      <c r="K955" s="45"/>
      <c r="L955" s="44"/>
      <c r="M955" s="44"/>
      <c r="N955" s="44"/>
      <c r="O955" s="44"/>
      <c r="P955" s="44"/>
      <c r="Q955" s="44"/>
      <c r="R955" s="44"/>
      <c r="S955" s="45"/>
      <c r="T955" s="45"/>
      <c r="U955" s="45"/>
      <c r="V955" s="45"/>
      <c r="W955" s="45"/>
      <c r="X955" s="45"/>
      <c r="Y955" s="45"/>
      <c r="Z955" s="45"/>
      <c r="AA955" s="45"/>
      <c r="AB955" s="45"/>
      <c r="AC955" s="45"/>
    </row>
    <row r="956" spans="1:29" ht="13.15">
      <c r="A956" s="45"/>
      <c r="B956" s="45"/>
      <c r="C956" s="45"/>
      <c r="D956" s="45"/>
      <c r="E956" s="45"/>
      <c r="F956" s="45"/>
      <c r="G956" s="45"/>
      <c r="H956" s="45"/>
      <c r="I956" s="44"/>
      <c r="J956" s="44"/>
      <c r="K956" s="45"/>
      <c r="L956" s="44"/>
      <c r="M956" s="44"/>
      <c r="N956" s="44"/>
      <c r="O956" s="44"/>
      <c r="P956" s="44"/>
      <c r="Q956" s="44"/>
      <c r="R956" s="44"/>
      <c r="S956" s="45"/>
      <c r="T956" s="45"/>
      <c r="U956" s="45"/>
      <c r="V956" s="45"/>
      <c r="W956" s="45"/>
      <c r="X956" s="45"/>
      <c r="Y956" s="45"/>
      <c r="Z956" s="45"/>
      <c r="AA956" s="45"/>
      <c r="AB956" s="45"/>
      <c r="AC956" s="45"/>
    </row>
    <row r="957" spans="1:29" ht="13.15">
      <c r="A957" s="45"/>
      <c r="B957" s="45"/>
      <c r="C957" s="45"/>
      <c r="D957" s="45"/>
      <c r="E957" s="45"/>
      <c r="F957" s="45"/>
      <c r="G957" s="45"/>
      <c r="H957" s="45"/>
      <c r="I957" s="44"/>
      <c r="J957" s="44"/>
      <c r="K957" s="45"/>
      <c r="L957" s="44"/>
      <c r="M957" s="44"/>
      <c r="N957" s="44"/>
      <c r="O957" s="44"/>
      <c r="P957" s="44"/>
      <c r="Q957" s="44"/>
      <c r="R957" s="44"/>
      <c r="S957" s="45"/>
      <c r="T957" s="45"/>
      <c r="U957" s="45"/>
      <c r="V957" s="45"/>
      <c r="W957" s="45"/>
      <c r="X957" s="45"/>
      <c r="Y957" s="45"/>
      <c r="Z957" s="45"/>
      <c r="AA957" s="45"/>
      <c r="AB957" s="45"/>
      <c r="AC957" s="45"/>
    </row>
    <row r="958" spans="1:29" ht="13.15">
      <c r="A958" s="45"/>
      <c r="B958" s="45"/>
      <c r="C958" s="45"/>
      <c r="D958" s="45"/>
      <c r="E958" s="45"/>
      <c r="F958" s="45"/>
      <c r="G958" s="45"/>
      <c r="H958" s="45"/>
      <c r="I958" s="44"/>
      <c r="J958" s="44"/>
      <c r="K958" s="45"/>
      <c r="L958" s="44"/>
      <c r="M958" s="44"/>
      <c r="N958" s="44"/>
      <c r="O958" s="44"/>
      <c r="P958" s="44"/>
      <c r="Q958" s="44"/>
      <c r="R958" s="44"/>
      <c r="S958" s="45"/>
      <c r="T958" s="45"/>
      <c r="U958" s="45"/>
      <c r="V958" s="45"/>
      <c r="W958" s="45"/>
      <c r="X958" s="45"/>
      <c r="Y958" s="45"/>
      <c r="Z958" s="45"/>
      <c r="AA958" s="45"/>
      <c r="AB958" s="45"/>
      <c r="AC958" s="45"/>
    </row>
    <row r="959" spans="1:29" ht="13.15">
      <c r="A959" s="45"/>
      <c r="B959" s="45"/>
      <c r="C959" s="45"/>
      <c r="D959" s="45"/>
      <c r="E959" s="45"/>
      <c r="F959" s="45"/>
      <c r="G959" s="45"/>
      <c r="H959" s="45"/>
      <c r="I959" s="44"/>
      <c r="J959" s="44"/>
      <c r="K959" s="45"/>
      <c r="L959" s="44"/>
      <c r="M959" s="44"/>
      <c r="N959" s="44"/>
      <c r="O959" s="44"/>
      <c r="P959" s="44"/>
      <c r="Q959" s="44"/>
      <c r="R959" s="44"/>
      <c r="S959" s="45"/>
      <c r="T959" s="45"/>
      <c r="U959" s="45"/>
      <c r="V959" s="45"/>
      <c r="W959" s="45"/>
      <c r="X959" s="45"/>
      <c r="Y959" s="45"/>
      <c r="Z959" s="45"/>
      <c r="AA959" s="45"/>
      <c r="AB959" s="45"/>
      <c r="AC959" s="45"/>
    </row>
    <row r="960" spans="1:29" ht="13.15">
      <c r="A960" s="45"/>
      <c r="B960" s="45"/>
      <c r="C960" s="45"/>
      <c r="D960" s="45"/>
      <c r="E960" s="45"/>
      <c r="F960" s="45"/>
      <c r="G960" s="45"/>
      <c r="H960" s="45"/>
      <c r="I960" s="44"/>
      <c r="J960" s="44"/>
      <c r="K960" s="45"/>
      <c r="L960" s="44"/>
      <c r="M960" s="44"/>
      <c r="N960" s="44"/>
      <c r="O960" s="44"/>
      <c r="P960" s="44"/>
      <c r="Q960" s="44"/>
      <c r="R960" s="44"/>
      <c r="S960" s="45"/>
      <c r="T960" s="45"/>
      <c r="U960" s="45"/>
      <c r="V960" s="45"/>
      <c r="W960" s="45"/>
      <c r="X960" s="45"/>
      <c r="Y960" s="45"/>
      <c r="Z960" s="45"/>
      <c r="AA960" s="45"/>
      <c r="AB960" s="45"/>
      <c r="AC960" s="45"/>
    </row>
    <row r="961" spans="1:29" ht="13.15">
      <c r="A961" s="45"/>
      <c r="B961" s="45"/>
      <c r="C961" s="45"/>
      <c r="D961" s="45"/>
      <c r="E961" s="45"/>
      <c r="F961" s="45"/>
      <c r="G961" s="45"/>
      <c r="H961" s="45"/>
      <c r="I961" s="44"/>
      <c r="J961" s="44"/>
      <c r="K961" s="45"/>
      <c r="L961" s="44"/>
      <c r="M961" s="44"/>
      <c r="N961" s="44"/>
      <c r="O961" s="44"/>
      <c r="P961" s="44"/>
      <c r="Q961" s="44"/>
      <c r="R961" s="44"/>
      <c r="S961" s="45"/>
      <c r="T961" s="45"/>
      <c r="U961" s="45"/>
      <c r="V961" s="45"/>
      <c r="W961" s="45"/>
      <c r="X961" s="45"/>
      <c r="Y961" s="45"/>
      <c r="Z961" s="45"/>
      <c r="AA961" s="45"/>
      <c r="AB961" s="45"/>
      <c r="AC961" s="45"/>
    </row>
    <row r="962" spans="1:29" ht="13.15">
      <c r="A962" s="45"/>
      <c r="B962" s="45"/>
      <c r="C962" s="45"/>
      <c r="D962" s="45"/>
      <c r="E962" s="45"/>
      <c r="F962" s="45"/>
      <c r="G962" s="45"/>
      <c r="H962" s="45"/>
      <c r="I962" s="44"/>
      <c r="J962" s="44"/>
      <c r="K962" s="45"/>
      <c r="L962" s="44"/>
      <c r="M962" s="44"/>
      <c r="N962" s="44"/>
      <c r="O962" s="44"/>
      <c r="P962" s="44"/>
      <c r="Q962" s="44"/>
      <c r="R962" s="44"/>
      <c r="S962" s="45"/>
      <c r="T962" s="45"/>
      <c r="U962" s="45"/>
      <c r="V962" s="45"/>
      <c r="W962" s="45"/>
      <c r="X962" s="45"/>
      <c r="Y962" s="45"/>
      <c r="Z962" s="45"/>
      <c r="AA962" s="45"/>
      <c r="AB962" s="45"/>
      <c r="AC962" s="45"/>
    </row>
    <row r="963" spans="1:29" ht="13.15">
      <c r="A963" s="45"/>
      <c r="B963" s="45"/>
      <c r="C963" s="45"/>
      <c r="D963" s="45"/>
      <c r="E963" s="45"/>
      <c r="F963" s="45"/>
      <c r="G963" s="45"/>
      <c r="H963" s="45"/>
      <c r="I963" s="44"/>
      <c r="J963" s="44"/>
      <c r="K963" s="45"/>
      <c r="L963" s="44"/>
      <c r="M963" s="44"/>
      <c r="N963" s="44"/>
      <c r="O963" s="44"/>
      <c r="P963" s="44"/>
      <c r="Q963" s="44"/>
      <c r="R963" s="44"/>
      <c r="S963" s="45"/>
      <c r="T963" s="45"/>
      <c r="U963" s="45"/>
      <c r="V963" s="45"/>
      <c r="W963" s="45"/>
      <c r="X963" s="45"/>
      <c r="Y963" s="45"/>
      <c r="Z963" s="45"/>
      <c r="AA963" s="45"/>
      <c r="AB963" s="45"/>
      <c r="AC963" s="45"/>
    </row>
    <row r="964" spans="1:29" ht="13.15">
      <c r="A964" s="45"/>
      <c r="B964" s="45"/>
      <c r="C964" s="45"/>
      <c r="D964" s="45"/>
      <c r="E964" s="45"/>
      <c r="F964" s="45"/>
      <c r="G964" s="45"/>
      <c r="H964" s="45"/>
      <c r="I964" s="44"/>
      <c r="J964" s="44"/>
      <c r="K964" s="45"/>
      <c r="L964" s="44"/>
      <c r="M964" s="44"/>
      <c r="N964" s="44"/>
      <c r="O964" s="44"/>
      <c r="P964" s="44"/>
      <c r="Q964" s="44"/>
      <c r="R964" s="44"/>
      <c r="S964" s="45"/>
      <c r="T964" s="45"/>
      <c r="U964" s="45"/>
      <c r="V964" s="45"/>
      <c r="W964" s="45"/>
      <c r="X964" s="45"/>
      <c r="Y964" s="45"/>
      <c r="Z964" s="45"/>
      <c r="AA964" s="45"/>
      <c r="AB964" s="45"/>
      <c r="AC964" s="45"/>
    </row>
    <row r="965" spans="1:29" ht="13.15">
      <c r="A965" s="45"/>
      <c r="B965" s="45"/>
      <c r="C965" s="45"/>
      <c r="D965" s="45"/>
      <c r="E965" s="45"/>
      <c r="F965" s="45"/>
      <c r="G965" s="45"/>
      <c r="H965" s="45"/>
      <c r="I965" s="44"/>
      <c r="J965" s="44"/>
      <c r="K965" s="45"/>
      <c r="L965" s="44"/>
      <c r="M965" s="44"/>
      <c r="N965" s="44"/>
      <c r="O965" s="44"/>
      <c r="P965" s="44"/>
      <c r="Q965" s="44"/>
      <c r="R965" s="44"/>
      <c r="S965" s="45"/>
      <c r="T965" s="45"/>
      <c r="U965" s="45"/>
      <c r="V965" s="45"/>
      <c r="W965" s="45"/>
      <c r="X965" s="45"/>
      <c r="Y965" s="45"/>
      <c r="Z965" s="45"/>
      <c r="AA965" s="45"/>
      <c r="AB965" s="45"/>
      <c r="AC965" s="45"/>
    </row>
    <row r="966" spans="1:29" ht="13.15">
      <c r="A966" s="45"/>
      <c r="B966" s="45"/>
      <c r="C966" s="45"/>
      <c r="D966" s="45"/>
      <c r="E966" s="45"/>
      <c r="F966" s="45"/>
      <c r="G966" s="45"/>
      <c r="H966" s="45"/>
      <c r="I966" s="44"/>
      <c r="J966" s="44"/>
      <c r="K966" s="45"/>
      <c r="L966" s="44"/>
      <c r="M966" s="44"/>
      <c r="N966" s="44"/>
      <c r="O966" s="44"/>
      <c r="P966" s="44"/>
      <c r="Q966" s="44"/>
      <c r="R966" s="44"/>
      <c r="S966" s="45"/>
      <c r="T966" s="45"/>
      <c r="U966" s="45"/>
      <c r="V966" s="45"/>
      <c r="W966" s="45"/>
      <c r="X966" s="45"/>
      <c r="Y966" s="45"/>
      <c r="Z966" s="45"/>
      <c r="AA966" s="45"/>
      <c r="AB966" s="45"/>
      <c r="AC966" s="45"/>
    </row>
    <row r="967" spans="1:29" ht="13.15">
      <c r="A967" s="45"/>
      <c r="B967" s="45"/>
      <c r="C967" s="45"/>
      <c r="D967" s="45"/>
      <c r="E967" s="45"/>
      <c r="F967" s="45"/>
      <c r="G967" s="45"/>
      <c r="H967" s="45"/>
      <c r="I967" s="44"/>
      <c r="J967" s="44"/>
      <c r="K967" s="45"/>
      <c r="L967" s="44"/>
      <c r="M967" s="44"/>
      <c r="N967" s="44"/>
      <c r="O967" s="44"/>
      <c r="P967" s="44"/>
      <c r="Q967" s="44"/>
      <c r="R967" s="44"/>
      <c r="S967" s="45"/>
      <c r="T967" s="45"/>
      <c r="U967" s="45"/>
      <c r="V967" s="45"/>
      <c r="W967" s="45"/>
      <c r="X967" s="45"/>
      <c r="Y967" s="45"/>
      <c r="Z967" s="45"/>
      <c r="AA967" s="45"/>
      <c r="AB967" s="45"/>
      <c r="AC967" s="45"/>
    </row>
    <row r="968" spans="1:29" ht="13.15">
      <c r="A968" s="45"/>
      <c r="B968" s="45"/>
      <c r="C968" s="45"/>
      <c r="D968" s="45"/>
      <c r="E968" s="45"/>
      <c r="F968" s="45"/>
      <c r="G968" s="45"/>
      <c r="H968" s="45"/>
      <c r="I968" s="44"/>
      <c r="J968" s="44"/>
      <c r="K968" s="45"/>
      <c r="L968" s="44"/>
      <c r="M968" s="44"/>
      <c r="N968" s="44"/>
      <c r="O968" s="44"/>
      <c r="P968" s="44"/>
      <c r="Q968" s="44"/>
      <c r="R968" s="44"/>
      <c r="S968" s="45"/>
      <c r="T968" s="45"/>
      <c r="U968" s="45"/>
      <c r="V968" s="45"/>
      <c r="W968" s="45"/>
      <c r="X968" s="45"/>
      <c r="Y968" s="45"/>
      <c r="Z968" s="45"/>
      <c r="AA968" s="45"/>
      <c r="AB968" s="45"/>
      <c r="AC968" s="45"/>
    </row>
    <row r="969" spans="1:29" ht="13.15">
      <c r="A969" s="45"/>
      <c r="B969" s="45"/>
      <c r="C969" s="45"/>
      <c r="D969" s="45"/>
      <c r="E969" s="45"/>
      <c r="F969" s="45"/>
      <c r="G969" s="45"/>
      <c r="H969" s="45"/>
      <c r="I969" s="44"/>
      <c r="J969" s="44"/>
      <c r="K969" s="45"/>
      <c r="L969" s="44"/>
      <c r="M969" s="44"/>
      <c r="N969" s="44"/>
      <c r="O969" s="44"/>
      <c r="P969" s="44"/>
      <c r="Q969" s="44"/>
      <c r="R969" s="44"/>
      <c r="S969" s="45"/>
      <c r="T969" s="45"/>
      <c r="U969" s="45"/>
      <c r="V969" s="45"/>
      <c r="W969" s="45"/>
      <c r="X969" s="45"/>
      <c r="Y969" s="45"/>
      <c r="Z969" s="45"/>
      <c r="AA969" s="45"/>
      <c r="AB969" s="45"/>
      <c r="AC969" s="45"/>
    </row>
    <row r="970" spans="1:29" ht="13.15">
      <c r="A970" s="45"/>
      <c r="B970" s="45"/>
      <c r="C970" s="45"/>
      <c r="D970" s="45"/>
      <c r="E970" s="45"/>
      <c r="F970" s="45"/>
      <c r="G970" s="45"/>
      <c r="H970" s="45"/>
      <c r="I970" s="44"/>
      <c r="J970" s="44"/>
      <c r="K970" s="45"/>
      <c r="L970" s="44"/>
      <c r="M970" s="44"/>
      <c r="N970" s="44"/>
      <c r="O970" s="44"/>
      <c r="P970" s="44"/>
      <c r="Q970" s="44"/>
      <c r="R970" s="44"/>
      <c r="S970" s="45"/>
      <c r="T970" s="45"/>
      <c r="U970" s="45"/>
      <c r="V970" s="45"/>
      <c r="W970" s="45"/>
      <c r="X970" s="45"/>
      <c r="Y970" s="45"/>
      <c r="Z970" s="45"/>
      <c r="AA970" s="45"/>
      <c r="AB970" s="45"/>
      <c r="AC970" s="45"/>
    </row>
    <row r="971" spans="1:29" ht="13.15">
      <c r="A971" s="45"/>
      <c r="B971" s="45"/>
      <c r="C971" s="45"/>
      <c r="D971" s="45"/>
      <c r="E971" s="45"/>
      <c r="F971" s="45"/>
      <c r="G971" s="45"/>
      <c r="H971" s="45"/>
      <c r="I971" s="44"/>
      <c r="J971" s="44"/>
      <c r="K971" s="45"/>
      <c r="L971" s="44"/>
      <c r="M971" s="44"/>
      <c r="N971" s="44"/>
      <c r="O971" s="44"/>
      <c r="P971" s="44"/>
      <c r="Q971" s="44"/>
      <c r="R971" s="44"/>
      <c r="S971" s="45"/>
      <c r="T971" s="45"/>
      <c r="U971" s="45"/>
      <c r="V971" s="45"/>
      <c r="W971" s="45"/>
      <c r="X971" s="45"/>
      <c r="Y971" s="45"/>
      <c r="Z971" s="45"/>
      <c r="AA971" s="45"/>
      <c r="AB971" s="45"/>
      <c r="AC971" s="45"/>
    </row>
    <row r="972" spans="1:29" ht="13.15">
      <c r="A972" s="45"/>
      <c r="B972" s="45"/>
      <c r="C972" s="45"/>
      <c r="D972" s="45"/>
      <c r="E972" s="45"/>
      <c r="F972" s="45"/>
      <c r="G972" s="45"/>
      <c r="H972" s="45"/>
      <c r="I972" s="44"/>
      <c r="J972" s="44"/>
      <c r="K972" s="45"/>
      <c r="L972" s="44"/>
      <c r="M972" s="44"/>
      <c r="N972" s="44"/>
      <c r="O972" s="44"/>
      <c r="P972" s="44"/>
      <c r="Q972" s="44"/>
      <c r="R972" s="44"/>
      <c r="S972" s="45"/>
      <c r="T972" s="45"/>
      <c r="U972" s="45"/>
      <c r="V972" s="45"/>
      <c r="W972" s="45"/>
      <c r="X972" s="45"/>
      <c r="Y972" s="45"/>
      <c r="Z972" s="45"/>
      <c r="AA972" s="45"/>
      <c r="AB972" s="45"/>
      <c r="AC972" s="45"/>
    </row>
    <row r="973" spans="1:29" ht="13.15">
      <c r="A973" s="45"/>
      <c r="B973" s="45"/>
      <c r="C973" s="45"/>
      <c r="D973" s="45"/>
      <c r="E973" s="45"/>
      <c r="F973" s="45"/>
      <c r="G973" s="45"/>
      <c r="H973" s="45"/>
      <c r="I973" s="44"/>
      <c r="J973" s="44"/>
      <c r="K973" s="45"/>
      <c r="L973" s="44"/>
      <c r="M973" s="44"/>
      <c r="N973" s="44"/>
      <c r="O973" s="44"/>
      <c r="P973" s="44"/>
      <c r="Q973" s="44"/>
      <c r="R973" s="44"/>
      <c r="S973" s="45"/>
      <c r="T973" s="45"/>
      <c r="U973" s="45"/>
      <c r="V973" s="45"/>
      <c r="W973" s="45"/>
      <c r="X973" s="45"/>
      <c r="Y973" s="45"/>
      <c r="Z973" s="45"/>
      <c r="AA973" s="45"/>
      <c r="AB973" s="45"/>
      <c r="AC973" s="45"/>
    </row>
    <row r="974" spans="1:29" ht="13.15">
      <c r="A974" s="45"/>
      <c r="B974" s="45"/>
      <c r="C974" s="45"/>
      <c r="D974" s="45"/>
      <c r="E974" s="45"/>
      <c r="F974" s="45"/>
      <c r="G974" s="45"/>
      <c r="H974" s="45"/>
      <c r="I974" s="44"/>
      <c r="J974" s="44"/>
      <c r="K974" s="45"/>
      <c r="L974" s="44"/>
      <c r="M974" s="44"/>
      <c r="N974" s="44"/>
      <c r="O974" s="44"/>
      <c r="P974" s="44"/>
      <c r="Q974" s="44"/>
      <c r="R974" s="44"/>
      <c r="S974" s="45"/>
      <c r="T974" s="45"/>
      <c r="U974" s="45"/>
      <c r="V974" s="45"/>
      <c r="W974" s="45"/>
      <c r="X974" s="45"/>
      <c r="Y974" s="45"/>
      <c r="Z974" s="45"/>
      <c r="AA974" s="45"/>
      <c r="AB974" s="45"/>
      <c r="AC974" s="45"/>
    </row>
    <row r="975" spans="1:29" ht="13.15">
      <c r="A975" s="45"/>
      <c r="B975" s="45"/>
      <c r="C975" s="45"/>
      <c r="D975" s="45"/>
      <c r="E975" s="45"/>
      <c r="F975" s="45"/>
      <c r="G975" s="45"/>
      <c r="H975" s="45"/>
      <c r="I975" s="44"/>
      <c r="J975" s="44"/>
      <c r="K975" s="45"/>
      <c r="L975" s="44"/>
      <c r="M975" s="44"/>
      <c r="N975" s="44"/>
      <c r="O975" s="44"/>
      <c r="P975" s="44"/>
      <c r="Q975" s="44"/>
      <c r="R975" s="44"/>
      <c r="S975" s="45"/>
      <c r="T975" s="45"/>
      <c r="U975" s="45"/>
      <c r="V975" s="45"/>
      <c r="W975" s="45"/>
      <c r="X975" s="45"/>
      <c r="Y975" s="45"/>
      <c r="Z975" s="45"/>
      <c r="AA975" s="45"/>
      <c r="AB975" s="45"/>
      <c r="AC975" s="45"/>
    </row>
    <row r="976" spans="1:29" ht="13.15">
      <c r="A976" s="45"/>
      <c r="B976" s="45"/>
      <c r="C976" s="45"/>
      <c r="D976" s="45"/>
      <c r="E976" s="45"/>
      <c r="F976" s="45"/>
      <c r="G976" s="45"/>
      <c r="H976" s="45"/>
      <c r="I976" s="44"/>
      <c r="J976" s="44"/>
      <c r="K976" s="45"/>
      <c r="L976" s="44"/>
      <c r="M976" s="44"/>
      <c r="N976" s="44"/>
      <c r="O976" s="44"/>
      <c r="P976" s="44"/>
      <c r="Q976" s="44"/>
      <c r="R976" s="44"/>
      <c r="S976" s="45"/>
      <c r="T976" s="45"/>
      <c r="U976" s="45"/>
      <c r="V976" s="45"/>
      <c r="W976" s="45"/>
      <c r="X976" s="45"/>
      <c r="Y976" s="45"/>
      <c r="Z976" s="45"/>
      <c r="AA976" s="45"/>
      <c r="AB976" s="45"/>
      <c r="AC976" s="45"/>
    </row>
    <row r="977" spans="1:29" ht="13.15">
      <c r="A977" s="45"/>
      <c r="B977" s="45"/>
      <c r="C977" s="45"/>
      <c r="D977" s="45"/>
      <c r="E977" s="45"/>
      <c r="F977" s="45"/>
      <c r="G977" s="45"/>
      <c r="H977" s="45"/>
      <c r="I977" s="44"/>
      <c r="J977" s="44"/>
      <c r="K977" s="45"/>
      <c r="L977" s="44"/>
      <c r="M977" s="44"/>
      <c r="N977" s="44"/>
      <c r="O977" s="44"/>
      <c r="P977" s="44"/>
      <c r="Q977" s="44"/>
      <c r="R977" s="44"/>
      <c r="S977" s="45"/>
      <c r="T977" s="45"/>
      <c r="U977" s="45"/>
      <c r="V977" s="45"/>
      <c r="W977" s="45"/>
      <c r="X977" s="45"/>
      <c r="Y977" s="45"/>
      <c r="Z977" s="45"/>
      <c r="AA977" s="45"/>
      <c r="AB977" s="45"/>
      <c r="AC977" s="45"/>
    </row>
    <row r="978" spans="1:29" ht="13.15">
      <c r="A978" s="45"/>
      <c r="B978" s="45"/>
      <c r="C978" s="45"/>
      <c r="D978" s="45"/>
      <c r="E978" s="45"/>
      <c r="F978" s="45"/>
      <c r="G978" s="45"/>
      <c r="H978" s="45"/>
      <c r="I978" s="44"/>
      <c r="J978" s="44"/>
      <c r="K978" s="45"/>
      <c r="L978" s="44"/>
      <c r="M978" s="44"/>
      <c r="N978" s="44"/>
      <c r="O978" s="44"/>
      <c r="P978" s="44"/>
      <c r="Q978" s="44"/>
      <c r="R978" s="44"/>
      <c r="S978" s="45"/>
      <c r="T978" s="45"/>
      <c r="U978" s="45"/>
      <c r="V978" s="45"/>
      <c r="W978" s="45"/>
      <c r="X978" s="45"/>
      <c r="Y978" s="45"/>
      <c r="Z978" s="45"/>
      <c r="AA978" s="45"/>
      <c r="AB978" s="45"/>
      <c r="AC978" s="45"/>
    </row>
    <row r="979" spans="1:29" ht="13.15">
      <c r="A979" s="45"/>
      <c r="B979" s="45"/>
      <c r="C979" s="45"/>
      <c r="D979" s="45"/>
      <c r="E979" s="45"/>
      <c r="F979" s="45"/>
      <c r="G979" s="45"/>
      <c r="H979" s="45"/>
      <c r="I979" s="44"/>
      <c r="J979" s="44"/>
      <c r="K979" s="45"/>
      <c r="L979" s="44"/>
      <c r="M979" s="44"/>
      <c r="N979" s="44"/>
      <c r="O979" s="44"/>
      <c r="P979" s="44"/>
      <c r="Q979" s="44"/>
      <c r="R979" s="44"/>
      <c r="S979" s="45"/>
      <c r="T979" s="45"/>
      <c r="U979" s="45"/>
      <c r="V979" s="45"/>
      <c r="W979" s="45"/>
      <c r="X979" s="45"/>
      <c r="Y979" s="45"/>
      <c r="Z979" s="45"/>
      <c r="AA979" s="45"/>
      <c r="AB979" s="45"/>
      <c r="AC979" s="45"/>
    </row>
    <row r="980" spans="1:29" ht="13.15">
      <c r="A980" s="45"/>
      <c r="B980" s="45"/>
      <c r="C980" s="45"/>
      <c r="D980" s="45"/>
      <c r="E980" s="45"/>
      <c r="F980" s="45"/>
      <c r="G980" s="45"/>
      <c r="H980" s="45"/>
      <c r="I980" s="44"/>
      <c r="J980" s="44"/>
      <c r="K980" s="45"/>
      <c r="L980" s="44"/>
      <c r="M980" s="44"/>
      <c r="N980" s="44"/>
      <c r="O980" s="44"/>
      <c r="P980" s="44"/>
      <c r="Q980" s="44"/>
      <c r="R980" s="44"/>
      <c r="S980" s="45"/>
      <c r="T980" s="45"/>
      <c r="U980" s="45"/>
      <c r="V980" s="45"/>
      <c r="W980" s="45"/>
      <c r="X980" s="45"/>
      <c r="Y980" s="45"/>
      <c r="Z980" s="45"/>
      <c r="AA980" s="45"/>
      <c r="AB980" s="45"/>
      <c r="AC980" s="45"/>
    </row>
    <row r="981" spans="1:29" ht="13.15">
      <c r="A981" s="45"/>
      <c r="B981" s="45"/>
      <c r="C981" s="45"/>
      <c r="D981" s="45"/>
      <c r="E981" s="45"/>
      <c r="F981" s="45"/>
      <c r="G981" s="45"/>
      <c r="H981" s="45"/>
      <c r="I981" s="44"/>
      <c r="J981" s="44"/>
      <c r="K981" s="45"/>
      <c r="L981" s="44"/>
      <c r="M981" s="44"/>
      <c r="N981" s="44"/>
      <c r="O981" s="44"/>
      <c r="P981" s="44"/>
      <c r="Q981" s="44"/>
      <c r="R981" s="44"/>
      <c r="S981" s="45"/>
      <c r="T981" s="45"/>
      <c r="U981" s="45"/>
      <c r="V981" s="45"/>
      <c r="W981" s="45"/>
      <c r="X981" s="45"/>
      <c r="Y981" s="45"/>
      <c r="Z981" s="45"/>
      <c r="AA981" s="45"/>
      <c r="AB981" s="45"/>
      <c r="AC981" s="45"/>
    </row>
    <row r="982" spans="1:29" ht="13.15">
      <c r="A982" s="45"/>
      <c r="B982" s="45"/>
      <c r="C982" s="45"/>
      <c r="D982" s="45"/>
      <c r="E982" s="45"/>
      <c r="F982" s="45"/>
      <c r="G982" s="45"/>
      <c r="H982" s="45"/>
      <c r="I982" s="44"/>
      <c r="J982" s="44"/>
      <c r="K982" s="45"/>
      <c r="L982" s="44"/>
      <c r="M982" s="44"/>
      <c r="N982" s="44"/>
      <c r="O982" s="44"/>
      <c r="P982" s="44"/>
      <c r="Q982" s="44"/>
      <c r="R982" s="44"/>
      <c r="S982" s="45"/>
      <c r="T982" s="45"/>
      <c r="U982" s="45"/>
      <c r="V982" s="45"/>
      <c r="W982" s="45"/>
      <c r="X982" s="45"/>
      <c r="Y982" s="45"/>
      <c r="Z982" s="45"/>
      <c r="AA982" s="45"/>
      <c r="AB982" s="45"/>
      <c r="AC982" s="45"/>
    </row>
    <row r="983" spans="1:29" ht="13.15">
      <c r="A983" s="45"/>
      <c r="B983" s="45"/>
      <c r="C983" s="45"/>
      <c r="D983" s="45"/>
      <c r="E983" s="45"/>
      <c r="F983" s="45"/>
      <c r="G983" s="45"/>
      <c r="H983" s="45"/>
      <c r="I983" s="44"/>
      <c r="J983" s="44"/>
      <c r="K983" s="45"/>
      <c r="L983" s="44"/>
      <c r="M983" s="44"/>
      <c r="N983" s="44"/>
      <c r="O983" s="44"/>
      <c r="P983" s="44"/>
      <c r="Q983" s="44"/>
      <c r="R983" s="44"/>
      <c r="S983" s="45"/>
      <c r="T983" s="45"/>
      <c r="U983" s="45"/>
      <c r="V983" s="45"/>
      <c r="W983" s="45"/>
      <c r="X983" s="45"/>
      <c r="Y983" s="45"/>
      <c r="Z983" s="45"/>
      <c r="AA983" s="45"/>
      <c r="AB983" s="45"/>
      <c r="AC983" s="45"/>
    </row>
    <row r="984" spans="1:29" ht="13.15">
      <c r="A984" s="45"/>
      <c r="B984" s="45"/>
      <c r="C984" s="45"/>
      <c r="D984" s="45"/>
      <c r="E984" s="45"/>
      <c r="F984" s="45"/>
      <c r="G984" s="45"/>
      <c r="H984" s="45"/>
      <c r="I984" s="44"/>
      <c r="J984" s="44"/>
      <c r="K984" s="45"/>
      <c r="L984" s="44"/>
      <c r="M984" s="44"/>
      <c r="N984" s="44"/>
      <c r="O984" s="44"/>
      <c r="P984" s="44"/>
      <c r="Q984" s="44"/>
      <c r="R984" s="44"/>
      <c r="S984" s="45"/>
      <c r="T984" s="45"/>
      <c r="U984" s="45"/>
      <c r="V984" s="45"/>
      <c r="W984" s="45"/>
      <c r="X984" s="45"/>
      <c r="Y984" s="45"/>
      <c r="Z984" s="45"/>
      <c r="AA984" s="45"/>
      <c r="AB984" s="45"/>
      <c r="AC984" s="45"/>
    </row>
    <row r="985" spans="1:29" ht="13.15">
      <c r="A985" s="45"/>
      <c r="B985" s="45"/>
      <c r="C985" s="45"/>
      <c r="D985" s="45"/>
      <c r="E985" s="45"/>
      <c r="F985" s="45"/>
      <c r="G985" s="45"/>
      <c r="H985" s="45"/>
      <c r="I985" s="44"/>
      <c r="J985" s="44"/>
      <c r="K985" s="45"/>
      <c r="L985" s="44"/>
      <c r="M985" s="44"/>
      <c r="N985" s="44"/>
      <c r="O985" s="44"/>
      <c r="P985" s="44"/>
      <c r="Q985" s="44"/>
      <c r="R985" s="44"/>
      <c r="S985" s="45"/>
      <c r="T985" s="45"/>
      <c r="U985" s="45"/>
      <c r="V985" s="45"/>
      <c r="W985" s="45"/>
      <c r="X985" s="45"/>
      <c r="Y985" s="45"/>
      <c r="Z985" s="45"/>
      <c r="AA985" s="45"/>
      <c r="AB985" s="45"/>
      <c r="AC985" s="45"/>
    </row>
    <row r="986" spans="1:29" ht="13.15">
      <c r="A986" s="45"/>
      <c r="B986" s="45"/>
      <c r="C986" s="45"/>
      <c r="D986" s="45"/>
      <c r="E986" s="45"/>
      <c r="F986" s="45"/>
      <c r="G986" s="45"/>
      <c r="H986" s="45"/>
      <c r="I986" s="44"/>
      <c r="J986" s="44"/>
      <c r="K986" s="45"/>
      <c r="L986" s="44"/>
      <c r="M986" s="44"/>
      <c r="N986" s="44"/>
      <c r="O986" s="44"/>
      <c r="P986" s="44"/>
      <c r="Q986" s="44"/>
      <c r="R986" s="44"/>
      <c r="S986" s="45"/>
      <c r="T986" s="45"/>
      <c r="U986" s="45"/>
      <c r="V986" s="45"/>
      <c r="W986" s="45"/>
      <c r="X986" s="45"/>
      <c r="Y986" s="45"/>
      <c r="Z986" s="45"/>
      <c r="AA986" s="45"/>
      <c r="AB986" s="45"/>
      <c r="AC986" s="45"/>
    </row>
    <row r="987" spans="1:29" ht="13.15">
      <c r="A987" s="45"/>
      <c r="B987" s="45"/>
      <c r="C987" s="45"/>
      <c r="D987" s="45"/>
      <c r="E987" s="45"/>
      <c r="F987" s="45"/>
      <c r="G987" s="45"/>
      <c r="H987" s="45"/>
      <c r="I987" s="44"/>
      <c r="J987" s="44"/>
      <c r="K987" s="45"/>
      <c r="L987" s="44"/>
      <c r="M987" s="44"/>
      <c r="N987" s="44"/>
      <c r="O987" s="44"/>
      <c r="P987" s="44"/>
      <c r="Q987" s="44"/>
      <c r="R987" s="44"/>
      <c r="S987" s="45"/>
      <c r="T987" s="45"/>
      <c r="U987" s="45"/>
      <c r="V987" s="45"/>
      <c r="W987" s="45"/>
      <c r="X987" s="45"/>
      <c r="Y987" s="45"/>
      <c r="Z987" s="45"/>
      <c r="AA987" s="45"/>
      <c r="AB987" s="45"/>
      <c r="AC987" s="45"/>
    </row>
    <row r="988" spans="1:29" ht="13.15">
      <c r="A988" s="45"/>
      <c r="B988" s="45"/>
      <c r="C988" s="45"/>
      <c r="D988" s="45"/>
      <c r="E988" s="45"/>
      <c r="F988" s="45"/>
      <c r="G988" s="45"/>
      <c r="H988" s="45"/>
      <c r="I988" s="44"/>
      <c r="J988" s="44"/>
      <c r="K988" s="45"/>
      <c r="L988" s="44"/>
      <c r="M988" s="44"/>
      <c r="N988" s="44"/>
      <c r="O988" s="44"/>
      <c r="P988" s="44"/>
      <c r="Q988" s="44"/>
      <c r="R988" s="44"/>
      <c r="S988" s="45"/>
      <c r="T988" s="45"/>
      <c r="U988" s="45"/>
      <c r="V988" s="45"/>
      <c r="W988" s="45"/>
      <c r="X988" s="45"/>
      <c r="Y988" s="45"/>
      <c r="Z988" s="45"/>
      <c r="AA988" s="45"/>
      <c r="AB988" s="45"/>
      <c r="AC988" s="45"/>
    </row>
    <row r="989" spans="1:29" ht="13.15">
      <c r="A989" s="45"/>
      <c r="B989" s="45"/>
      <c r="C989" s="45"/>
      <c r="D989" s="45"/>
      <c r="E989" s="45"/>
      <c r="F989" s="45"/>
      <c r="G989" s="45"/>
      <c r="H989" s="45"/>
      <c r="I989" s="44"/>
      <c r="J989" s="44"/>
      <c r="K989" s="45"/>
      <c r="L989" s="44"/>
      <c r="M989" s="44"/>
      <c r="N989" s="44"/>
      <c r="O989" s="44"/>
      <c r="P989" s="44"/>
      <c r="Q989" s="44"/>
      <c r="R989" s="44"/>
      <c r="S989" s="45"/>
      <c r="T989" s="45"/>
      <c r="U989" s="45"/>
      <c r="V989" s="45"/>
      <c r="W989" s="45"/>
      <c r="X989" s="45"/>
      <c r="Y989" s="45"/>
      <c r="Z989" s="45"/>
      <c r="AA989" s="45"/>
      <c r="AB989" s="45"/>
      <c r="AC989" s="45"/>
    </row>
    <row r="990" spans="1:29" ht="13.15">
      <c r="A990" s="45"/>
      <c r="B990" s="45"/>
      <c r="C990" s="45"/>
      <c r="D990" s="45"/>
      <c r="E990" s="45"/>
      <c r="F990" s="45"/>
      <c r="G990" s="45"/>
      <c r="H990" s="45"/>
      <c r="I990" s="44"/>
      <c r="J990" s="44"/>
      <c r="K990" s="45"/>
      <c r="L990" s="44"/>
      <c r="M990" s="44"/>
      <c r="N990" s="44"/>
      <c r="O990" s="44"/>
      <c r="P990" s="44"/>
      <c r="Q990" s="44"/>
      <c r="R990" s="44"/>
      <c r="S990" s="45"/>
      <c r="T990" s="45"/>
      <c r="U990" s="45"/>
      <c r="V990" s="45"/>
      <c r="W990" s="45"/>
      <c r="X990" s="45"/>
      <c r="Y990" s="45"/>
      <c r="Z990" s="45"/>
      <c r="AA990" s="45"/>
      <c r="AB990" s="45"/>
      <c r="AC990" s="45"/>
    </row>
    <row r="991" spans="1:29" ht="13.15">
      <c r="A991" s="45"/>
      <c r="B991" s="45"/>
      <c r="C991" s="45"/>
      <c r="D991" s="45"/>
      <c r="E991" s="45"/>
      <c r="F991" s="45"/>
      <c r="G991" s="45"/>
      <c r="H991" s="45"/>
      <c r="I991" s="44"/>
      <c r="J991" s="44"/>
      <c r="K991" s="45"/>
      <c r="L991" s="44"/>
      <c r="M991" s="44"/>
      <c r="N991" s="44"/>
      <c r="O991" s="44"/>
      <c r="P991" s="44"/>
      <c r="Q991" s="44"/>
      <c r="R991" s="44"/>
      <c r="S991" s="45"/>
      <c r="T991" s="45"/>
      <c r="U991" s="45"/>
      <c r="V991" s="45"/>
      <c r="W991" s="45"/>
      <c r="X991" s="45"/>
      <c r="Y991" s="45"/>
      <c r="Z991" s="45"/>
      <c r="AA991" s="45"/>
      <c r="AB991" s="45"/>
      <c r="AC991" s="45"/>
    </row>
    <row r="992" spans="1:29" ht="13.15">
      <c r="A992" s="45"/>
      <c r="B992" s="45"/>
      <c r="C992" s="45"/>
      <c r="D992" s="45"/>
      <c r="E992" s="45"/>
      <c r="F992" s="45"/>
      <c r="G992" s="45"/>
      <c r="H992" s="45"/>
      <c r="I992" s="44"/>
      <c r="J992" s="44"/>
      <c r="K992" s="45"/>
      <c r="L992" s="44"/>
      <c r="M992" s="44"/>
      <c r="N992" s="44"/>
      <c r="O992" s="44"/>
      <c r="P992" s="44"/>
      <c r="Q992" s="44"/>
      <c r="R992" s="44"/>
      <c r="S992" s="45"/>
      <c r="T992" s="45"/>
      <c r="U992" s="45"/>
      <c r="V992" s="45"/>
      <c r="W992" s="45"/>
      <c r="X992" s="45"/>
      <c r="Y992" s="45"/>
      <c r="Z992" s="45"/>
      <c r="AA992" s="45"/>
      <c r="AB992" s="45"/>
      <c r="AC992" s="45"/>
    </row>
    <row r="993" spans="1:29" ht="13.15">
      <c r="A993" s="45"/>
      <c r="B993" s="45"/>
      <c r="C993" s="45"/>
      <c r="D993" s="45"/>
      <c r="E993" s="45"/>
      <c r="F993" s="45"/>
      <c r="G993" s="45"/>
      <c r="H993" s="45"/>
      <c r="I993" s="44"/>
      <c r="J993" s="44"/>
      <c r="K993" s="45"/>
      <c r="L993" s="44"/>
      <c r="M993" s="44"/>
      <c r="N993" s="44"/>
      <c r="O993" s="44"/>
      <c r="P993" s="44"/>
      <c r="Q993" s="44"/>
      <c r="R993" s="44"/>
      <c r="S993" s="45"/>
      <c r="T993" s="45"/>
      <c r="U993" s="45"/>
      <c r="V993" s="45"/>
      <c r="W993" s="45"/>
      <c r="X993" s="45"/>
      <c r="Y993" s="45"/>
      <c r="Z993" s="45"/>
      <c r="AA993" s="45"/>
      <c r="AB993" s="45"/>
      <c r="AC993" s="45"/>
    </row>
    <row r="994" spans="1:29" ht="13.15">
      <c r="A994" s="45"/>
      <c r="B994" s="45"/>
      <c r="C994" s="45"/>
      <c r="D994" s="45"/>
      <c r="E994" s="45"/>
      <c r="F994" s="45"/>
      <c r="G994" s="45"/>
      <c r="H994" s="45"/>
      <c r="I994" s="44"/>
      <c r="J994" s="44"/>
      <c r="K994" s="45"/>
      <c r="L994" s="44"/>
      <c r="M994" s="44"/>
      <c r="N994" s="44"/>
      <c r="O994" s="44"/>
      <c r="P994" s="44"/>
      <c r="Q994" s="44"/>
      <c r="R994" s="44"/>
      <c r="S994" s="45"/>
      <c r="T994" s="45"/>
      <c r="U994" s="45"/>
      <c r="V994" s="45"/>
      <c r="W994" s="45"/>
      <c r="X994" s="45"/>
      <c r="Y994" s="45"/>
      <c r="Z994" s="45"/>
      <c r="AA994" s="45"/>
      <c r="AB994" s="45"/>
      <c r="AC994" s="45"/>
    </row>
    <row r="995" spans="1:29" ht="13.15">
      <c r="A995" s="45"/>
      <c r="B995" s="45"/>
      <c r="C995" s="45"/>
      <c r="D995" s="45"/>
      <c r="E995" s="45"/>
      <c r="F995" s="45"/>
      <c r="G995" s="45"/>
      <c r="H995" s="45"/>
      <c r="I995" s="44"/>
      <c r="J995" s="44"/>
      <c r="K995" s="45"/>
      <c r="L995" s="44"/>
      <c r="M995" s="44"/>
      <c r="N995" s="44"/>
      <c r="O995" s="44"/>
      <c r="P995" s="44"/>
      <c r="Q995" s="44"/>
      <c r="R995" s="44"/>
      <c r="S995" s="45"/>
      <c r="T995" s="45"/>
      <c r="U995" s="45"/>
      <c r="V995" s="45"/>
      <c r="W995" s="45"/>
      <c r="X995" s="45"/>
      <c r="Y995" s="45"/>
      <c r="Z995" s="45"/>
      <c r="AA995" s="45"/>
      <c r="AB995" s="45"/>
      <c r="AC995" s="45"/>
    </row>
    <row r="996" spans="1:29" ht="13.15">
      <c r="A996" s="45"/>
      <c r="B996" s="45"/>
      <c r="C996" s="45"/>
      <c r="D996" s="45"/>
      <c r="E996" s="45"/>
      <c r="F996" s="45"/>
      <c r="G996" s="45"/>
      <c r="H996" s="45"/>
      <c r="I996" s="44"/>
      <c r="J996" s="44"/>
      <c r="K996" s="45"/>
      <c r="L996" s="44"/>
      <c r="M996" s="44"/>
      <c r="N996" s="44"/>
      <c r="O996" s="44"/>
      <c r="P996" s="44"/>
      <c r="Q996" s="44"/>
      <c r="R996" s="44"/>
      <c r="S996" s="45"/>
      <c r="T996" s="45"/>
      <c r="U996" s="45"/>
      <c r="V996" s="45"/>
      <c r="W996" s="45"/>
      <c r="X996" s="45"/>
      <c r="Y996" s="45"/>
      <c r="Z996" s="45"/>
      <c r="AA996" s="45"/>
      <c r="AB996" s="45"/>
      <c r="AC996" s="45"/>
    </row>
    <row r="997" spans="1:29" ht="13.15">
      <c r="A997" s="45"/>
      <c r="B997" s="45"/>
      <c r="C997" s="45"/>
      <c r="D997" s="45"/>
      <c r="E997" s="45"/>
      <c r="F997" s="45"/>
      <c r="G997" s="45"/>
      <c r="H997" s="45"/>
      <c r="I997" s="44"/>
      <c r="J997" s="44"/>
      <c r="K997" s="45"/>
      <c r="L997" s="44"/>
      <c r="M997" s="44"/>
      <c r="N997" s="44"/>
      <c r="O997" s="44"/>
      <c r="P997" s="44"/>
      <c r="Q997" s="44"/>
      <c r="R997" s="44"/>
      <c r="S997" s="45"/>
      <c r="T997" s="45"/>
      <c r="U997" s="45"/>
      <c r="V997" s="45"/>
      <c r="W997" s="45"/>
      <c r="X997" s="45"/>
      <c r="Y997" s="45"/>
      <c r="Z997" s="45"/>
      <c r="AA997" s="45"/>
      <c r="AB997" s="45"/>
      <c r="AC997" s="45"/>
    </row>
    <row r="998" spans="1:29" ht="13.15">
      <c r="A998" s="45"/>
      <c r="B998" s="45"/>
      <c r="C998" s="45"/>
      <c r="D998" s="45"/>
      <c r="E998" s="45"/>
      <c r="F998" s="45"/>
      <c r="G998" s="45"/>
      <c r="H998" s="45"/>
      <c r="I998" s="44"/>
      <c r="J998" s="44"/>
      <c r="K998" s="45"/>
      <c r="L998" s="44"/>
      <c r="M998" s="44"/>
      <c r="N998" s="44"/>
      <c r="O998" s="44"/>
      <c r="P998" s="44"/>
      <c r="Q998" s="44"/>
      <c r="R998" s="44"/>
      <c r="S998" s="45"/>
      <c r="T998" s="45"/>
      <c r="U998" s="45"/>
      <c r="V998" s="45"/>
      <c r="W998" s="45"/>
      <c r="X998" s="45"/>
      <c r="Y998" s="45"/>
      <c r="Z998" s="45"/>
      <c r="AA998" s="45"/>
      <c r="AB998" s="45"/>
      <c r="AC998" s="45"/>
    </row>
    <row r="999" spans="1:29" ht="13.15">
      <c r="A999" s="45"/>
      <c r="B999" s="45"/>
      <c r="C999" s="45"/>
      <c r="D999" s="45"/>
      <c r="E999" s="45"/>
      <c r="F999" s="45"/>
      <c r="G999" s="45"/>
      <c r="H999" s="45"/>
      <c r="I999" s="44"/>
      <c r="J999" s="44"/>
      <c r="K999" s="45"/>
      <c r="L999" s="44"/>
      <c r="M999" s="44"/>
      <c r="N999" s="44"/>
      <c r="O999" s="44"/>
      <c r="P999" s="44"/>
      <c r="Q999" s="44"/>
      <c r="R999" s="44"/>
      <c r="S999" s="45"/>
      <c r="T999" s="45"/>
      <c r="U999" s="45"/>
      <c r="V999" s="45"/>
      <c r="W999" s="45"/>
      <c r="X999" s="45"/>
      <c r="Y999" s="45"/>
      <c r="Z999" s="45"/>
      <c r="AA999" s="45"/>
      <c r="AB999" s="45"/>
      <c r="AC999" s="45"/>
    </row>
    <row r="1000" spans="1:29" ht="13.15">
      <c r="A1000" s="45"/>
      <c r="B1000" s="45"/>
      <c r="C1000" s="45"/>
      <c r="D1000" s="45"/>
      <c r="E1000" s="45"/>
      <c r="F1000" s="45"/>
      <c r="G1000" s="45"/>
      <c r="H1000" s="45"/>
      <c r="I1000" s="44"/>
      <c r="J1000" s="44"/>
      <c r="K1000" s="45"/>
      <c r="L1000" s="44"/>
      <c r="M1000" s="44"/>
      <c r="N1000" s="44"/>
      <c r="O1000" s="44"/>
      <c r="P1000" s="44"/>
      <c r="Q1000" s="44"/>
      <c r="R1000" s="44"/>
      <c r="S1000" s="45"/>
      <c r="T1000" s="45"/>
      <c r="U1000" s="45"/>
      <c r="V1000" s="45"/>
      <c r="W1000" s="45"/>
      <c r="X1000" s="45"/>
      <c r="Y1000" s="45"/>
      <c r="Z1000" s="45"/>
      <c r="AA1000" s="45"/>
      <c r="AB1000" s="45"/>
      <c r="AC1000" s="45"/>
    </row>
  </sheetData>
  <customSheetViews>
    <customSheetView guid="{1CC0F986-DD53-4114-8F40-7D1A2F51471F}" filter="1" showAutoFilter="1">
      <pageMargins left="0.7" right="0.7" top="0.75" bottom="0.75" header="0.3" footer="0.3"/>
      <autoFilter ref="A1:R327" xr:uid="{45B5CDDE-52D7-43A6-9287-5698F2760D74}">
        <filterColumn colId="2">
          <filters blank="1">
            <filter val="Gokavaram"/>
            <filter val="Jaggampeta"/>
          </filters>
        </filterColumn>
      </autoFilter>
    </customSheetView>
  </customSheetViews>
  <dataValidations count="3">
    <dataValidation type="list" allowBlank="1" showErrorMessage="1" sqref="G2:G320" xr:uid="{00000000-0002-0000-0200-000000000000}">
      <formula1>"TDP,YSRCP,JSP,Independent,Other Party,Neutral"</formula1>
    </dataValidation>
    <dataValidation type="list" allowBlank="1" showErrorMessage="1" sqref="K2:K320" xr:uid="{00000000-0002-0000-0200-000001000000}">
      <formula1>"SC (Gen),ST (Gen),BC (Gen),General,SC (Woman),ST (Woman),BC (Woman),General (Woman)"</formula1>
    </dataValidation>
    <dataValidation type="list" allowBlank="1" showErrorMessage="1" sqref="H2:H316 H318:H320" xr:uid="{00000000-0002-0000-0200-000002000000}">
      <formula1>"Favourable,Battleground,Difficult"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9765625" defaultRowHeight="15.75" customHeight="1"/>
  <cols>
    <col min="1" max="1" width="15.86328125" customWidth="1"/>
    <col min="2" max="2" width="14.73046875" customWidth="1"/>
    <col min="3" max="3" width="15.3984375" customWidth="1"/>
    <col min="5" max="5" width="23" customWidth="1"/>
    <col min="6" max="6" width="15.1328125" customWidth="1"/>
    <col min="9" max="9" width="22.73046875" customWidth="1"/>
    <col min="10" max="10" width="14.265625" customWidth="1"/>
    <col min="11" max="11" width="13.86328125" customWidth="1"/>
    <col min="12" max="12" width="51.46484375" customWidth="1"/>
  </cols>
  <sheetData>
    <row r="1" spans="1:29">
      <c r="A1" s="60" t="s">
        <v>0</v>
      </c>
      <c r="B1" s="60" t="s">
        <v>1</v>
      </c>
      <c r="C1" s="60" t="s">
        <v>2</v>
      </c>
      <c r="D1" s="60" t="s">
        <v>1583</v>
      </c>
      <c r="E1" s="60" t="s">
        <v>1584</v>
      </c>
      <c r="F1" s="60" t="s">
        <v>21</v>
      </c>
      <c r="G1" s="60" t="s">
        <v>57</v>
      </c>
      <c r="H1" s="60" t="s">
        <v>13</v>
      </c>
      <c r="I1" s="60" t="s">
        <v>1585</v>
      </c>
      <c r="J1" s="60" t="s">
        <v>59</v>
      </c>
      <c r="K1" s="60" t="s">
        <v>60</v>
      </c>
      <c r="L1" s="60" t="s">
        <v>1586</v>
      </c>
      <c r="M1" s="61"/>
      <c r="N1" s="61"/>
      <c r="O1" s="61"/>
      <c r="P1" s="61"/>
      <c r="Q1" s="61"/>
      <c r="R1" s="61"/>
      <c r="S1" s="61"/>
      <c r="T1" s="61"/>
      <c r="U1" s="61"/>
      <c r="V1" s="61"/>
      <c r="W1" s="61"/>
      <c r="X1" s="61"/>
      <c r="Y1" s="61"/>
      <c r="Z1" s="61"/>
      <c r="AA1" s="61"/>
      <c r="AB1" s="61"/>
      <c r="AC1" s="61"/>
    </row>
    <row r="2" spans="1:29">
      <c r="A2" s="62"/>
      <c r="B2" s="62"/>
      <c r="C2" s="62"/>
      <c r="D2" s="62"/>
      <c r="E2" s="62"/>
      <c r="F2" s="62"/>
      <c r="G2" s="62"/>
      <c r="H2" s="62"/>
      <c r="I2" s="62"/>
      <c r="J2" s="62"/>
      <c r="K2" s="53"/>
      <c r="L2" s="62"/>
      <c r="M2" s="63"/>
      <c r="N2" s="63"/>
      <c r="O2" s="63"/>
      <c r="P2" s="63"/>
      <c r="Q2" s="63"/>
      <c r="R2" s="63"/>
      <c r="S2" s="63"/>
      <c r="T2" s="63"/>
      <c r="U2" s="63"/>
      <c r="V2" s="63"/>
      <c r="W2" s="63"/>
      <c r="X2" s="63"/>
      <c r="Y2" s="63"/>
      <c r="Z2" s="63"/>
      <c r="AA2" s="63"/>
      <c r="AB2" s="63"/>
      <c r="AC2" s="63"/>
    </row>
    <row r="3" spans="1:29">
      <c r="A3" s="62"/>
      <c r="B3" s="62"/>
      <c r="C3" s="62"/>
      <c r="D3" s="62"/>
      <c r="E3" s="62"/>
      <c r="F3" s="62"/>
      <c r="G3" s="62"/>
      <c r="H3" s="62"/>
      <c r="I3" s="62"/>
      <c r="J3" s="62"/>
      <c r="K3" s="53"/>
      <c r="L3" s="62"/>
      <c r="M3" s="63"/>
      <c r="N3" s="63"/>
      <c r="O3" s="63"/>
      <c r="P3" s="63"/>
      <c r="Q3" s="63"/>
      <c r="R3" s="63"/>
      <c r="S3" s="63"/>
      <c r="T3" s="63"/>
      <c r="U3" s="63"/>
      <c r="V3" s="63"/>
      <c r="W3" s="63"/>
      <c r="X3" s="63"/>
      <c r="Y3" s="63"/>
      <c r="Z3" s="63"/>
      <c r="AA3" s="63"/>
      <c r="AB3" s="63"/>
      <c r="AC3" s="63"/>
    </row>
    <row r="4" spans="1:29">
      <c r="A4" s="62"/>
      <c r="B4" s="62"/>
      <c r="C4" s="62"/>
      <c r="D4" s="62"/>
      <c r="E4" s="62"/>
      <c r="F4" s="62"/>
      <c r="G4" s="62"/>
      <c r="H4" s="62"/>
      <c r="I4" s="62"/>
      <c r="J4" s="62"/>
      <c r="K4" s="53"/>
      <c r="L4" s="62"/>
      <c r="M4" s="63"/>
      <c r="N4" s="63"/>
      <c r="O4" s="63"/>
      <c r="P4" s="63"/>
      <c r="Q4" s="63"/>
      <c r="R4" s="63"/>
      <c r="S4" s="63"/>
      <c r="T4" s="63"/>
      <c r="U4" s="63"/>
      <c r="V4" s="63"/>
      <c r="W4" s="63"/>
      <c r="X4" s="63"/>
      <c r="Y4" s="63"/>
      <c r="Z4" s="63"/>
      <c r="AA4" s="63"/>
      <c r="AB4" s="63"/>
      <c r="AC4" s="63"/>
    </row>
    <row r="5" spans="1:29">
      <c r="A5" s="62"/>
      <c r="B5" s="62"/>
      <c r="C5" s="62"/>
      <c r="D5" s="62"/>
      <c r="E5" s="62"/>
      <c r="F5" s="62"/>
      <c r="G5" s="62"/>
      <c r="H5" s="62"/>
      <c r="I5" s="62"/>
      <c r="J5" s="62"/>
      <c r="K5" s="53"/>
      <c r="L5" s="62"/>
      <c r="M5" s="63"/>
      <c r="N5" s="63"/>
      <c r="O5" s="63"/>
      <c r="P5" s="63"/>
      <c r="Q5" s="63"/>
      <c r="R5" s="63"/>
      <c r="S5" s="63"/>
      <c r="T5" s="63"/>
      <c r="U5" s="63"/>
      <c r="V5" s="63"/>
      <c r="W5" s="63"/>
      <c r="X5" s="63"/>
      <c r="Y5" s="63"/>
      <c r="Z5" s="63"/>
      <c r="AA5" s="63"/>
      <c r="AB5" s="63"/>
      <c r="AC5" s="63"/>
    </row>
    <row r="6" spans="1:29">
      <c r="A6" s="62"/>
      <c r="B6" s="62"/>
      <c r="C6" s="62"/>
      <c r="D6" s="62"/>
      <c r="E6" s="62"/>
      <c r="F6" s="62"/>
      <c r="G6" s="62"/>
      <c r="H6" s="62"/>
      <c r="I6" s="62"/>
      <c r="J6" s="62"/>
      <c r="K6" s="53"/>
      <c r="L6" s="62"/>
      <c r="M6" s="63"/>
      <c r="N6" s="63"/>
      <c r="O6" s="63"/>
      <c r="P6" s="63"/>
      <c r="Q6" s="63"/>
      <c r="R6" s="63"/>
      <c r="S6" s="63"/>
      <c r="T6" s="63"/>
      <c r="U6" s="63"/>
      <c r="V6" s="63"/>
      <c r="W6" s="63"/>
      <c r="X6" s="63"/>
      <c r="Y6" s="63"/>
      <c r="Z6" s="63"/>
      <c r="AA6" s="63"/>
      <c r="AB6" s="63"/>
      <c r="AC6" s="63"/>
    </row>
    <row r="7" spans="1:29">
      <c r="A7" s="62"/>
      <c r="B7" s="62"/>
      <c r="C7" s="62"/>
      <c r="D7" s="62"/>
      <c r="E7" s="62"/>
      <c r="F7" s="62"/>
      <c r="G7" s="62"/>
      <c r="H7" s="62"/>
      <c r="I7" s="62"/>
      <c r="J7" s="62"/>
      <c r="K7" s="53"/>
      <c r="L7" s="62"/>
      <c r="M7" s="63"/>
      <c r="N7" s="63"/>
      <c r="O7" s="63"/>
      <c r="P7" s="63"/>
      <c r="Q7" s="63"/>
      <c r="R7" s="63"/>
      <c r="S7" s="63"/>
      <c r="T7" s="63"/>
      <c r="U7" s="63"/>
      <c r="V7" s="63"/>
      <c r="W7" s="63"/>
      <c r="X7" s="63"/>
      <c r="Y7" s="63"/>
      <c r="Z7" s="63"/>
      <c r="AA7" s="63"/>
      <c r="AB7" s="63"/>
      <c r="AC7" s="63"/>
    </row>
    <row r="8" spans="1:29">
      <c r="A8" s="62"/>
      <c r="B8" s="62"/>
      <c r="C8" s="62"/>
      <c r="D8" s="62"/>
      <c r="E8" s="62"/>
      <c r="F8" s="62"/>
      <c r="G8" s="62"/>
      <c r="H8" s="62"/>
      <c r="I8" s="62"/>
      <c r="J8" s="62"/>
      <c r="K8" s="53"/>
      <c r="L8" s="62"/>
      <c r="M8" s="63"/>
      <c r="N8" s="63"/>
      <c r="O8" s="63"/>
      <c r="P8" s="63"/>
      <c r="Q8" s="63"/>
      <c r="R8" s="63"/>
      <c r="S8" s="63"/>
      <c r="T8" s="63"/>
      <c r="U8" s="63"/>
      <c r="V8" s="63"/>
      <c r="W8" s="63"/>
      <c r="X8" s="63"/>
      <c r="Y8" s="63"/>
      <c r="Z8" s="63"/>
      <c r="AA8" s="63"/>
      <c r="AB8" s="63"/>
      <c r="AC8" s="63"/>
    </row>
    <row r="9" spans="1:29">
      <c r="A9" s="62"/>
      <c r="B9" s="62"/>
      <c r="C9" s="62"/>
      <c r="D9" s="62"/>
      <c r="E9" s="62"/>
      <c r="F9" s="62"/>
      <c r="G9" s="62"/>
      <c r="H9" s="62"/>
      <c r="I9" s="62"/>
      <c r="J9" s="62"/>
      <c r="K9" s="53"/>
      <c r="L9" s="62"/>
      <c r="M9" s="63"/>
      <c r="N9" s="63"/>
      <c r="O9" s="63"/>
      <c r="P9" s="63"/>
      <c r="Q9" s="63"/>
      <c r="R9" s="63"/>
      <c r="S9" s="63"/>
      <c r="T9" s="63"/>
      <c r="U9" s="63"/>
      <c r="V9" s="63"/>
      <c r="W9" s="63"/>
      <c r="X9" s="63"/>
      <c r="Y9" s="63"/>
      <c r="Z9" s="63"/>
      <c r="AA9" s="63"/>
      <c r="AB9" s="63"/>
      <c r="AC9" s="63"/>
    </row>
    <row r="10" spans="1:29">
      <c r="A10" s="62"/>
      <c r="B10" s="62"/>
      <c r="C10" s="62"/>
      <c r="D10" s="62"/>
      <c r="E10" s="62"/>
      <c r="F10" s="62"/>
      <c r="G10" s="62"/>
      <c r="H10" s="62"/>
      <c r="I10" s="62"/>
      <c r="J10" s="62"/>
      <c r="K10" s="53"/>
      <c r="L10" s="62"/>
      <c r="M10" s="63"/>
      <c r="N10" s="63"/>
      <c r="O10" s="63"/>
      <c r="P10" s="63"/>
      <c r="Q10" s="63"/>
      <c r="R10" s="63"/>
      <c r="S10" s="63"/>
      <c r="T10" s="63"/>
      <c r="U10" s="63"/>
      <c r="V10" s="63"/>
      <c r="W10" s="63"/>
      <c r="X10" s="63"/>
      <c r="Y10" s="63"/>
      <c r="Z10" s="63"/>
      <c r="AA10" s="63"/>
      <c r="AB10" s="63"/>
      <c r="AC10" s="63"/>
    </row>
    <row r="11" spans="1:29">
      <c r="A11" s="62"/>
      <c r="B11" s="62"/>
      <c r="C11" s="62"/>
      <c r="D11" s="62"/>
      <c r="E11" s="62"/>
      <c r="F11" s="62"/>
      <c r="G11" s="62"/>
      <c r="H11" s="62"/>
      <c r="I11" s="62"/>
      <c r="J11" s="62"/>
      <c r="K11" s="53"/>
      <c r="L11" s="62"/>
      <c r="M11" s="63"/>
      <c r="N11" s="63"/>
      <c r="O11" s="63"/>
      <c r="P11" s="63"/>
      <c r="Q11" s="63"/>
      <c r="R11" s="63"/>
      <c r="S11" s="63"/>
      <c r="T11" s="63"/>
      <c r="U11" s="63"/>
      <c r="V11" s="63"/>
      <c r="W11" s="63"/>
      <c r="X11" s="63"/>
      <c r="Y11" s="63"/>
      <c r="Z11" s="63"/>
      <c r="AA11" s="63"/>
      <c r="AB11" s="63"/>
      <c r="AC11" s="63"/>
    </row>
    <row r="12" spans="1:29">
      <c r="A12" s="62"/>
      <c r="B12" s="62"/>
      <c r="C12" s="62"/>
      <c r="D12" s="62"/>
      <c r="E12" s="62"/>
      <c r="F12" s="62"/>
      <c r="G12" s="62"/>
      <c r="H12" s="62"/>
      <c r="I12" s="62"/>
      <c r="J12" s="62"/>
      <c r="K12" s="53"/>
      <c r="L12" s="62"/>
      <c r="M12" s="63"/>
      <c r="N12" s="63"/>
      <c r="O12" s="63"/>
      <c r="P12" s="63"/>
      <c r="Q12" s="63"/>
      <c r="R12" s="63"/>
      <c r="S12" s="63"/>
      <c r="T12" s="63"/>
      <c r="U12" s="63"/>
      <c r="V12" s="63"/>
      <c r="W12" s="63"/>
      <c r="X12" s="63"/>
      <c r="Y12" s="63"/>
      <c r="Z12" s="63"/>
      <c r="AA12" s="63"/>
      <c r="AB12" s="63"/>
      <c r="AC12" s="63"/>
    </row>
    <row r="13" spans="1:29">
      <c r="A13" s="62"/>
      <c r="B13" s="62"/>
      <c r="C13" s="62"/>
      <c r="D13" s="62"/>
      <c r="E13" s="62"/>
      <c r="F13" s="62"/>
      <c r="G13" s="62"/>
      <c r="H13" s="62"/>
      <c r="I13" s="62"/>
      <c r="J13" s="62"/>
      <c r="K13" s="53"/>
      <c r="L13" s="62"/>
      <c r="M13" s="63"/>
      <c r="N13" s="63"/>
      <c r="O13" s="63"/>
      <c r="P13" s="63"/>
      <c r="Q13" s="63"/>
      <c r="R13" s="63"/>
      <c r="S13" s="63"/>
      <c r="T13" s="63"/>
      <c r="U13" s="63"/>
      <c r="V13" s="63"/>
      <c r="W13" s="63"/>
      <c r="X13" s="63"/>
      <c r="Y13" s="63"/>
      <c r="Z13" s="63"/>
      <c r="AA13" s="63"/>
      <c r="AB13" s="63"/>
      <c r="AC13" s="63"/>
    </row>
    <row r="14" spans="1:29">
      <c r="A14" s="62"/>
      <c r="B14" s="62"/>
      <c r="C14" s="62"/>
      <c r="D14" s="62"/>
      <c r="E14" s="62"/>
      <c r="F14" s="62"/>
      <c r="G14" s="62"/>
      <c r="H14" s="62"/>
      <c r="I14" s="62"/>
      <c r="J14" s="62"/>
      <c r="K14" s="53"/>
      <c r="L14" s="62"/>
      <c r="M14" s="63"/>
      <c r="N14" s="63"/>
      <c r="O14" s="63"/>
      <c r="P14" s="63"/>
      <c r="Q14" s="63"/>
      <c r="R14" s="63"/>
      <c r="S14" s="63"/>
      <c r="T14" s="63"/>
      <c r="U14" s="63"/>
      <c r="V14" s="63"/>
      <c r="W14" s="63"/>
      <c r="X14" s="63"/>
      <c r="Y14" s="63"/>
      <c r="Z14" s="63"/>
      <c r="AA14" s="63"/>
      <c r="AB14" s="63"/>
      <c r="AC14" s="63"/>
    </row>
    <row r="15" spans="1:29">
      <c r="A15" s="62"/>
      <c r="B15" s="62"/>
      <c r="C15" s="62"/>
      <c r="D15" s="62"/>
      <c r="E15" s="62"/>
      <c r="F15" s="62"/>
      <c r="G15" s="62"/>
      <c r="H15" s="62"/>
      <c r="I15" s="62"/>
      <c r="J15" s="62"/>
      <c r="K15" s="53"/>
      <c r="L15" s="62"/>
      <c r="M15" s="63"/>
      <c r="N15" s="63"/>
      <c r="O15" s="63"/>
      <c r="P15" s="63"/>
      <c r="Q15" s="63"/>
      <c r="R15" s="63"/>
      <c r="S15" s="63"/>
      <c r="T15" s="63"/>
      <c r="U15" s="63"/>
      <c r="V15" s="63"/>
      <c r="W15" s="63"/>
      <c r="X15" s="63"/>
      <c r="Y15" s="63"/>
      <c r="Z15" s="63"/>
      <c r="AA15" s="63"/>
      <c r="AB15" s="63"/>
      <c r="AC15" s="63"/>
    </row>
    <row r="16" spans="1:29">
      <c r="A16" s="62"/>
      <c r="B16" s="62"/>
      <c r="C16" s="62"/>
      <c r="D16" s="62"/>
      <c r="E16" s="62"/>
      <c r="F16" s="62"/>
      <c r="G16" s="62"/>
      <c r="H16" s="62"/>
      <c r="I16" s="62"/>
      <c r="J16" s="62"/>
      <c r="K16" s="53"/>
      <c r="L16" s="62"/>
      <c r="M16" s="63"/>
      <c r="N16" s="63"/>
      <c r="O16" s="63"/>
      <c r="P16" s="63"/>
      <c r="Q16" s="63"/>
      <c r="R16" s="63"/>
      <c r="S16" s="63"/>
      <c r="T16" s="63"/>
      <c r="U16" s="63"/>
      <c r="V16" s="63"/>
      <c r="W16" s="63"/>
      <c r="X16" s="63"/>
      <c r="Y16" s="63"/>
      <c r="Z16" s="63"/>
      <c r="AA16" s="63"/>
      <c r="AB16" s="63"/>
      <c r="AC16" s="63"/>
    </row>
    <row r="17" spans="1:29">
      <c r="A17" s="62"/>
      <c r="B17" s="62"/>
      <c r="C17" s="62"/>
      <c r="D17" s="62"/>
      <c r="E17" s="62"/>
      <c r="F17" s="62"/>
      <c r="G17" s="62"/>
      <c r="H17" s="62"/>
      <c r="I17" s="62"/>
      <c r="J17" s="62"/>
      <c r="K17" s="53"/>
      <c r="L17" s="62"/>
      <c r="M17" s="63"/>
      <c r="N17" s="63"/>
      <c r="O17" s="63"/>
      <c r="P17" s="63"/>
      <c r="Q17" s="63"/>
      <c r="R17" s="63"/>
      <c r="S17" s="63"/>
      <c r="T17" s="63"/>
      <c r="U17" s="63"/>
      <c r="V17" s="63"/>
      <c r="W17" s="63"/>
      <c r="X17" s="63"/>
      <c r="Y17" s="63"/>
      <c r="Z17" s="63"/>
      <c r="AA17" s="63"/>
      <c r="AB17" s="63"/>
      <c r="AC17" s="63"/>
    </row>
    <row r="18" spans="1:29">
      <c r="A18" s="62"/>
      <c r="B18" s="62"/>
      <c r="C18" s="62"/>
      <c r="D18" s="62"/>
      <c r="E18" s="62"/>
      <c r="F18" s="62"/>
      <c r="G18" s="62"/>
      <c r="H18" s="62"/>
      <c r="I18" s="62"/>
      <c r="J18" s="62"/>
      <c r="K18" s="53"/>
      <c r="L18" s="62"/>
      <c r="M18" s="63"/>
      <c r="N18" s="63"/>
      <c r="O18" s="63"/>
      <c r="P18" s="63"/>
      <c r="Q18" s="63"/>
      <c r="R18" s="63"/>
      <c r="S18" s="63"/>
      <c r="T18" s="63"/>
      <c r="U18" s="63"/>
      <c r="V18" s="63"/>
      <c r="W18" s="63"/>
      <c r="X18" s="63"/>
      <c r="Y18" s="63"/>
      <c r="Z18" s="63"/>
      <c r="AA18" s="63"/>
      <c r="AB18" s="63"/>
      <c r="AC18" s="63"/>
    </row>
    <row r="19" spans="1:29">
      <c r="A19" s="62"/>
      <c r="B19" s="62"/>
      <c r="C19" s="62"/>
      <c r="D19" s="62"/>
      <c r="E19" s="62"/>
      <c r="F19" s="62"/>
      <c r="G19" s="62"/>
      <c r="H19" s="62"/>
      <c r="I19" s="62"/>
      <c r="J19" s="62"/>
      <c r="K19" s="53"/>
      <c r="L19" s="62"/>
      <c r="M19" s="63"/>
      <c r="N19" s="63"/>
      <c r="O19" s="63"/>
      <c r="P19" s="63"/>
      <c r="Q19" s="63"/>
      <c r="R19" s="63"/>
      <c r="S19" s="63"/>
      <c r="T19" s="63"/>
      <c r="U19" s="63"/>
      <c r="V19" s="63"/>
      <c r="W19" s="63"/>
      <c r="X19" s="63"/>
      <c r="Y19" s="63"/>
      <c r="Z19" s="63"/>
      <c r="AA19" s="63"/>
      <c r="AB19" s="63"/>
      <c r="AC19" s="63"/>
    </row>
    <row r="20" spans="1:29">
      <c r="A20" s="62"/>
      <c r="B20" s="62"/>
      <c r="C20" s="62"/>
      <c r="D20" s="62"/>
      <c r="E20" s="62"/>
      <c r="F20" s="62"/>
      <c r="G20" s="62"/>
      <c r="H20" s="62"/>
      <c r="I20" s="62"/>
      <c r="J20" s="62"/>
      <c r="K20" s="53"/>
      <c r="L20" s="62"/>
      <c r="M20" s="63"/>
      <c r="N20" s="63"/>
      <c r="O20" s="63"/>
      <c r="P20" s="63"/>
      <c r="Q20" s="63"/>
      <c r="R20" s="63"/>
      <c r="S20" s="63"/>
      <c r="T20" s="63"/>
      <c r="U20" s="63"/>
      <c r="V20" s="63"/>
      <c r="W20" s="63"/>
      <c r="X20" s="63"/>
      <c r="Y20" s="63"/>
      <c r="Z20" s="63"/>
      <c r="AA20" s="63"/>
      <c r="AB20" s="63"/>
      <c r="AC20" s="63"/>
    </row>
    <row r="21" spans="1:29">
      <c r="A21" s="62"/>
      <c r="B21" s="62"/>
      <c r="C21" s="62"/>
      <c r="D21" s="62"/>
      <c r="E21" s="62"/>
      <c r="F21" s="62"/>
      <c r="G21" s="62"/>
      <c r="H21" s="62"/>
      <c r="I21" s="62"/>
      <c r="J21" s="62"/>
      <c r="K21" s="53"/>
      <c r="L21" s="62"/>
      <c r="M21" s="63"/>
      <c r="N21" s="63"/>
      <c r="O21" s="63"/>
      <c r="P21" s="63"/>
      <c r="Q21" s="63"/>
      <c r="R21" s="63"/>
      <c r="S21" s="63"/>
      <c r="T21" s="63"/>
      <c r="U21" s="63"/>
      <c r="V21" s="63"/>
      <c r="W21" s="63"/>
      <c r="X21" s="63"/>
      <c r="Y21" s="63"/>
      <c r="Z21" s="63"/>
      <c r="AA21" s="63"/>
      <c r="AB21" s="63"/>
      <c r="AC21" s="63"/>
    </row>
    <row r="22" spans="1:29">
      <c r="A22" s="62"/>
      <c r="B22" s="62"/>
      <c r="C22" s="62"/>
      <c r="D22" s="62"/>
      <c r="E22" s="62"/>
      <c r="F22" s="62"/>
      <c r="G22" s="62"/>
      <c r="H22" s="62"/>
      <c r="I22" s="62"/>
      <c r="J22" s="62"/>
      <c r="K22" s="53"/>
      <c r="L22" s="62"/>
      <c r="M22" s="63"/>
      <c r="N22" s="63"/>
      <c r="O22" s="63"/>
      <c r="P22" s="63"/>
      <c r="Q22" s="63"/>
      <c r="R22" s="63"/>
      <c r="S22" s="63"/>
      <c r="T22" s="63"/>
      <c r="U22" s="63"/>
      <c r="V22" s="63"/>
      <c r="W22" s="63"/>
      <c r="X22" s="63"/>
      <c r="Y22" s="63"/>
      <c r="Z22" s="63"/>
      <c r="AA22" s="63"/>
      <c r="AB22" s="63"/>
      <c r="AC22" s="63"/>
    </row>
    <row r="23" spans="1:29">
      <c r="A23" s="62"/>
      <c r="B23" s="62"/>
      <c r="C23" s="62"/>
      <c r="D23" s="62"/>
      <c r="E23" s="62"/>
      <c r="F23" s="62"/>
      <c r="G23" s="62"/>
      <c r="H23" s="62"/>
      <c r="I23" s="62"/>
      <c r="J23" s="62"/>
      <c r="K23" s="53"/>
      <c r="L23" s="62"/>
      <c r="M23" s="63"/>
      <c r="N23" s="63"/>
      <c r="O23" s="63"/>
      <c r="P23" s="63"/>
      <c r="Q23" s="63"/>
      <c r="R23" s="63"/>
      <c r="S23" s="63"/>
      <c r="T23" s="63"/>
      <c r="U23" s="63"/>
      <c r="V23" s="63"/>
      <c r="W23" s="63"/>
      <c r="X23" s="63"/>
      <c r="Y23" s="63"/>
      <c r="Z23" s="63"/>
      <c r="AA23" s="63"/>
      <c r="AB23" s="63"/>
      <c r="AC23" s="63"/>
    </row>
    <row r="24" spans="1:29">
      <c r="A24" s="62"/>
      <c r="B24" s="62"/>
      <c r="C24" s="62"/>
      <c r="D24" s="62"/>
      <c r="E24" s="62"/>
      <c r="F24" s="62"/>
      <c r="G24" s="62"/>
      <c r="H24" s="62"/>
      <c r="I24" s="62"/>
      <c r="J24" s="62"/>
      <c r="K24" s="53"/>
      <c r="L24" s="62"/>
      <c r="M24" s="63"/>
      <c r="N24" s="63"/>
      <c r="O24" s="63"/>
      <c r="P24" s="63"/>
      <c r="Q24" s="63"/>
      <c r="R24" s="63"/>
      <c r="S24" s="63"/>
      <c r="T24" s="63"/>
      <c r="U24" s="63"/>
      <c r="V24" s="63"/>
      <c r="W24" s="63"/>
      <c r="X24" s="63"/>
      <c r="Y24" s="63"/>
      <c r="Z24" s="63"/>
      <c r="AA24" s="63"/>
      <c r="AB24" s="63"/>
      <c r="AC24" s="63"/>
    </row>
    <row r="25" spans="1:29">
      <c r="A25" s="62"/>
      <c r="B25" s="62"/>
      <c r="C25" s="62"/>
      <c r="D25" s="62"/>
      <c r="E25" s="62"/>
      <c r="F25" s="62"/>
      <c r="G25" s="62"/>
      <c r="H25" s="62"/>
      <c r="I25" s="62"/>
      <c r="J25" s="62"/>
      <c r="K25" s="53"/>
      <c r="L25" s="62"/>
      <c r="M25" s="63"/>
      <c r="N25" s="63"/>
      <c r="O25" s="63"/>
      <c r="P25" s="63"/>
      <c r="Q25" s="63"/>
      <c r="R25" s="63"/>
      <c r="S25" s="63"/>
      <c r="T25" s="63"/>
      <c r="U25" s="63"/>
      <c r="V25" s="63"/>
      <c r="W25" s="63"/>
      <c r="X25" s="63"/>
      <c r="Y25" s="63"/>
      <c r="Z25" s="63"/>
      <c r="AA25" s="63"/>
      <c r="AB25" s="63"/>
      <c r="AC25" s="63"/>
    </row>
    <row r="26" spans="1:29">
      <c r="A26" s="62"/>
      <c r="B26" s="62"/>
      <c r="C26" s="62"/>
      <c r="D26" s="62"/>
      <c r="E26" s="62"/>
      <c r="F26" s="62"/>
      <c r="G26" s="62"/>
      <c r="H26" s="62"/>
      <c r="I26" s="62"/>
      <c r="J26" s="62"/>
      <c r="K26" s="53"/>
      <c r="L26" s="62"/>
      <c r="M26" s="63"/>
      <c r="N26" s="63"/>
      <c r="O26" s="63"/>
      <c r="P26" s="63"/>
      <c r="Q26" s="63"/>
      <c r="R26" s="63"/>
      <c r="S26" s="63"/>
      <c r="T26" s="63"/>
      <c r="U26" s="63"/>
      <c r="V26" s="63"/>
      <c r="W26" s="63"/>
      <c r="X26" s="63"/>
      <c r="Y26" s="63"/>
      <c r="Z26" s="63"/>
      <c r="AA26" s="63"/>
      <c r="AB26" s="63"/>
      <c r="AC26" s="63"/>
    </row>
    <row r="27" spans="1:29">
      <c r="A27" s="62"/>
      <c r="B27" s="62"/>
      <c r="C27" s="62"/>
      <c r="D27" s="62"/>
      <c r="E27" s="62"/>
      <c r="F27" s="62"/>
      <c r="G27" s="62"/>
      <c r="H27" s="62"/>
      <c r="I27" s="62"/>
      <c r="J27" s="62"/>
      <c r="K27" s="53"/>
      <c r="L27" s="62"/>
      <c r="M27" s="63"/>
      <c r="N27" s="63"/>
      <c r="O27" s="63"/>
      <c r="P27" s="63"/>
      <c r="Q27" s="63"/>
      <c r="R27" s="63"/>
      <c r="S27" s="63"/>
      <c r="T27" s="63"/>
      <c r="U27" s="63"/>
      <c r="V27" s="63"/>
      <c r="W27" s="63"/>
      <c r="X27" s="63"/>
      <c r="Y27" s="63"/>
      <c r="Z27" s="63"/>
      <c r="AA27" s="63"/>
      <c r="AB27" s="63"/>
      <c r="AC27" s="63"/>
    </row>
    <row r="28" spans="1:29">
      <c r="A28" s="62"/>
      <c r="B28" s="62"/>
      <c r="C28" s="62"/>
      <c r="D28" s="62"/>
      <c r="E28" s="62"/>
      <c r="F28" s="62"/>
      <c r="G28" s="62"/>
      <c r="H28" s="62"/>
      <c r="I28" s="62"/>
      <c r="J28" s="62"/>
      <c r="K28" s="53"/>
      <c r="L28" s="62"/>
      <c r="M28" s="63"/>
      <c r="N28" s="63"/>
      <c r="O28" s="63"/>
      <c r="P28" s="63"/>
      <c r="Q28" s="63"/>
      <c r="R28" s="63"/>
      <c r="S28" s="63"/>
      <c r="T28" s="63"/>
      <c r="U28" s="63"/>
      <c r="V28" s="63"/>
      <c r="W28" s="63"/>
      <c r="X28" s="63"/>
      <c r="Y28" s="63"/>
      <c r="Z28" s="63"/>
      <c r="AA28" s="63"/>
      <c r="AB28" s="63"/>
      <c r="AC28" s="63"/>
    </row>
    <row r="29" spans="1:29">
      <c r="A29" s="62"/>
      <c r="B29" s="62"/>
      <c r="C29" s="62"/>
      <c r="D29" s="62"/>
      <c r="E29" s="62"/>
      <c r="F29" s="62"/>
      <c r="G29" s="62"/>
      <c r="H29" s="62"/>
      <c r="I29" s="62"/>
      <c r="J29" s="62"/>
      <c r="K29" s="53"/>
      <c r="L29" s="62"/>
      <c r="M29" s="63"/>
      <c r="N29" s="63"/>
      <c r="O29" s="63"/>
      <c r="P29" s="63"/>
      <c r="Q29" s="63"/>
      <c r="R29" s="63"/>
      <c r="S29" s="63"/>
      <c r="T29" s="63"/>
      <c r="U29" s="63"/>
      <c r="V29" s="63"/>
      <c r="W29" s="63"/>
      <c r="X29" s="63"/>
      <c r="Y29" s="63"/>
      <c r="Z29" s="63"/>
      <c r="AA29" s="63"/>
      <c r="AB29" s="63"/>
      <c r="AC29" s="63"/>
    </row>
    <row r="30" spans="1:29">
      <c r="A30" s="62"/>
      <c r="B30" s="62"/>
      <c r="C30" s="62"/>
      <c r="D30" s="62"/>
      <c r="E30" s="62"/>
      <c r="F30" s="62"/>
      <c r="G30" s="62"/>
      <c r="H30" s="62"/>
      <c r="I30" s="62"/>
      <c r="J30" s="62"/>
      <c r="K30" s="53"/>
      <c r="L30" s="62"/>
      <c r="M30" s="63"/>
      <c r="N30" s="63"/>
      <c r="O30" s="63"/>
      <c r="P30" s="63"/>
      <c r="Q30" s="63"/>
      <c r="R30" s="63"/>
      <c r="S30" s="63"/>
      <c r="T30" s="63"/>
      <c r="U30" s="63"/>
      <c r="V30" s="63"/>
      <c r="W30" s="63"/>
      <c r="X30" s="63"/>
      <c r="Y30" s="63"/>
      <c r="Z30" s="63"/>
      <c r="AA30" s="63"/>
      <c r="AB30" s="63"/>
      <c r="AC30" s="63"/>
    </row>
    <row r="31" spans="1:29">
      <c r="A31" s="62"/>
      <c r="B31" s="62"/>
      <c r="C31" s="62"/>
      <c r="D31" s="62"/>
      <c r="E31" s="62"/>
      <c r="F31" s="62"/>
      <c r="G31" s="62"/>
      <c r="H31" s="62"/>
      <c r="I31" s="62"/>
      <c r="J31" s="62"/>
      <c r="K31" s="53"/>
      <c r="L31" s="62"/>
      <c r="M31" s="63"/>
      <c r="N31" s="63"/>
      <c r="O31" s="63"/>
      <c r="P31" s="63"/>
      <c r="Q31" s="63"/>
      <c r="R31" s="63"/>
      <c r="S31" s="63"/>
      <c r="T31" s="63"/>
      <c r="U31" s="63"/>
      <c r="V31" s="63"/>
      <c r="W31" s="63"/>
      <c r="X31" s="63"/>
      <c r="Y31" s="63"/>
      <c r="Z31" s="63"/>
      <c r="AA31" s="63"/>
      <c r="AB31" s="63"/>
      <c r="AC31" s="63"/>
    </row>
    <row r="32" spans="1:29">
      <c r="A32" s="62"/>
      <c r="B32" s="62"/>
      <c r="C32" s="62"/>
      <c r="D32" s="62"/>
      <c r="E32" s="62"/>
      <c r="F32" s="62"/>
      <c r="G32" s="62"/>
      <c r="H32" s="62"/>
      <c r="I32" s="62"/>
      <c r="J32" s="62"/>
      <c r="K32" s="53"/>
      <c r="L32" s="62"/>
      <c r="M32" s="63"/>
      <c r="N32" s="63"/>
      <c r="O32" s="63"/>
      <c r="P32" s="63"/>
      <c r="Q32" s="63"/>
      <c r="R32" s="63"/>
      <c r="S32" s="63"/>
      <c r="T32" s="63"/>
      <c r="U32" s="63"/>
      <c r="V32" s="63"/>
      <c r="W32" s="63"/>
      <c r="X32" s="63"/>
      <c r="Y32" s="63"/>
      <c r="Z32" s="63"/>
      <c r="AA32" s="63"/>
      <c r="AB32" s="63"/>
      <c r="AC32" s="63"/>
    </row>
    <row r="33" spans="1:29">
      <c r="A33" s="62"/>
      <c r="B33" s="62"/>
      <c r="C33" s="62"/>
      <c r="D33" s="62"/>
      <c r="E33" s="62"/>
      <c r="F33" s="62"/>
      <c r="G33" s="62"/>
      <c r="H33" s="62"/>
      <c r="I33" s="62"/>
      <c r="J33" s="62"/>
      <c r="K33" s="53"/>
      <c r="L33" s="62"/>
      <c r="M33" s="63"/>
      <c r="N33" s="63"/>
      <c r="O33" s="63"/>
      <c r="P33" s="63"/>
      <c r="Q33" s="63"/>
      <c r="R33" s="63"/>
      <c r="S33" s="63"/>
      <c r="T33" s="63"/>
      <c r="U33" s="63"/>
      <c r="V33" s="63"/>
      <c r="W33" s="63"/>
      <c r="X33" s="63"/>
      <c r="Y33" s="63"/>
      <c r="Z33" s="63"/>
      <c r="AA33" s="63"/>
      <c r="AB33" s="63"/>
      <c r="AC33" s="63"/>
    </row>
    <row r="34" spans="1:29">
      <c r="A34" s="62"/>
      <c r="B34" s="62"/>
      <c r="C34" s="62"/>
      <c r="D34" s="62"/>
      <c r="E34" s="62"/>
      <c r="F34" s="62"/>
      <c r="G34" s="62"/>
      <c r="H34" s="62"/>
      <c r="I34" s="62"/>
      <c r="J34" s="62"/>
      <c r="K34" s="53"/>
      <c r="L34" s="62"/>
      <c r="M34" s="63"/>
      <c r="N34" s="63"/>
      <c r="O34" s="63"/>
      <c r="P34" s="63"/>
      <c r="Q34" s="63"/>
      <c r="R34" s="63"/>
      <c r="S34" s="63"/>
      <c r="T34" s="63"/>
      <c r="U34" s="63"/>
      <c r="V34" s="63"/>
      <c r="W34" s="63"/>
      <c r="X34" s="63"/>
      <c r="Y34" s="63"/>
      <c r="Z34" s="63"/>
      <c r="AA34" s="63"/>
      <c r="AB34" s="63"/>
      <c r="AC34" s="63"/>
    </row>
    <row r="35" spans="1:29">
      <c r="A35" s="62"/>
      <c r="B35" s="62"/>
      <c r="C35" s="62"/>
      <c r="D35" s="62"/>
      <c r="E35" s="62"/>
      <c r="F35" s="62"/>
      <c r="G35" s="62"/>
      <c r="H35" s="62"/>
      <c r="I35" s="62"/>
      <c r="J35" s="62"/>
      <c r="K35" s="53"/>
      <c r="L35" s="62"/>
      <c r="M35" s="63"/>
      <c r="N35" s="63"/>
      <c r="O35" s="63"/>
      <c r="P35" s="63"/>
      <c r="Q35" s="63"/>
      <c r="R35" s="63"/>
      <c r="S35" s="63"/>
      <c r="T35" s="63"/>
      <c r="U35" s="63"/>
      <c r="V35" s="63"/>
      <c r="W35" s="63"/>
      <c r="X35" s="63"/>
      <c r="Y35" s="63"/>
      <c r="Z35" s="63"/>
      <c r="AA35" s="63"/>
      <c r="AB35" s="63"/>
      <c r="AC35" s="63"/>
    </row>
    <row r="36" spans="1:29">
      <c r="A36" s="62"/>
      <c r="B36" s="62"/>
      <c r="C36" s="62"/>
      <c r="D36" s="62"/>
      <c r="E36" s="62"/>
      <c r="F36" s="62"/>
      <c r="G36" s="62"/>
      <c r="H36" s="62"/>
      <c r="I36" s="62"/>
      <c r="J36" s="62"/>
      <c r="K36" s="53"/>
      <c r="L36" s="62"/>
      <c r="M36" s="63"/>
      <c r="N36" s="63"/>
      <c r="O36" s="63"/>
      <c r="P36" s="63"/>
      <c r="Q36" s="63"/>
      <c r="R36" s="63"/>
      <c r="S36" s="63"/>
      <c r="T36" s="63"/>
      <c r="U36" s="63"/>
      <c r="V36" s="63"/>
      <c r="W36" s="63"/>
      <c r="X36" s="63"/>
      <c r="Y36" s="63"/>
      <c r="Z36" s="63"/>
      <c r="AA36" s="63"/>
      <c r="AB36" s="63"/>
      <c r="AC36" s="63"/>
    </row>
    <row r="37" spans="1:29">
      <c r="A37" s="62"/>
      <c r="B37" s="62"/>
      <c r="C37" s="62"/>
      <c r="D37" s="62"/>
      <c r="E37" s="62"/>
      <c r="F37" s="62"/>
      <c r="G37" s="62"/>
      <c r="H37" s="62"/>
      <c r="I37" s="62"/>
      <c r="J37" s="62"/>
      <c r="K37" s="53"/>
      <c r="L37" s="62"/>
      <c r="M37" s="63"/>
      <c r="N37" s="63"/>
      <c r="O37" s="63"/>
      <c r="P37" s="63"/>
      <c r="Q37" s="63"/>
      <c r="R37" s="63"/>
      <c r="S37" s="63"/>
      <c r="T37" s="63"/>
      <c r="U37" s="63"/>
      <c r="V37" s="63"/>
      <c r="W37" s="63"/>
      <c r="X37" s="63"/>
      <c r="Y37" s="63"/>
      <c r="Z37" s="63"/>
      <c r="AA37" s="63"/>
      <c r="AB37" s="63"/>
      <c r="AC37" s="63"/>
    </row>
    <row r="38" spans="1:29">
      <c r="A38" s="62"/>
      <c r="B38" s="62"/>
      <c r="C38" s="62"/>
      <c r="D38" s="62"/>
      <c r="E38" s="62"/>
      <c r="F38" s="62"/>
      <c r="G38" s="62"/>
      <c r="H38" s="62"/>
      <c r="I38" s="62"/>
      <c r="J38" s="62"/>
      <c r="K38" s="53"/>
      <c r="L38" s="62"/>
      <c r="M38" s="63"/>
      <c r="N38" s="63"/>
      <c r="O38" s="63"/>
      <c r="P38" s="63"/>
      <c r="Q38" s="63"/>
      <c r="R38" s="63"/>
      <c r="S38" s="63"/>
      <c r="T38" s="63"/>
      <c r="U38" s="63"/>
      <c r="V38" s="63"/>
      <c r="W38" s="63"/>
      <c r="X38" s="63"/>
      <c r="Y38" s="63"/>
      <c r="Z38" s="63"/>
      <c r="AA38" s="63"/>
      <c r="AB38" s="63"/>
      <c r="AC38" s="63"/>
    </row>
    <row r="39" spans="1:29">
      <c r="A39" s="62"/>
      <c r="B39" s="62"/>
      <c r="C39" s="62"/>
      <c r="D39" s="62"/>
      <c r="E39" s="62"/>
      <c r="F39" s="62"/>
      <c r="G39" s="62"/>
      <c r="H39" s="62"/>
      <c r="I39" s="62"/>
      <c r="J39" s="62"/>
      <c r="K39" s="53"/>
      <c r="L39" s="62"/>
      <c r="M39" s="63"/>
      <c r="N39" s="63"/>
      <c r="O39" s="63"/>
      <c r="P39" s="63"/>
      <c r="Q39" s="63"/>
      <c r="R39" s="63"/>
      <c r="S39" s="63"/>
      <c r="T39" s="63"/>
      <c r="U39" s="63"/>
      <c r="V39" s="63"/>
      <c r="W39" s="63"/>
      <c r="X39" s="63"/>
      <c r="Y39" s="63"/>
      <c r="Z39" s="63"/>
      <c r="AA39" s="63"/>
      <c r="AB39" s="63"/>
      <c r="AC39" s="63"/>
    </row>
    <row r="40" spans="1:29">
      <c r="A40" s="62"/>
      <c r="B40" s="62"/>
      <c r="C40" s="62"/>
      <c r="D40" s="62"/>
      <c r="E40" s="62"/>
      <c r="F40" s="62"/>
      <c r="G40" s="62"/>
      <c r="H40" s="62"/>
      <c r="I40" s="62"/>
      <c r="J40" s="62"/>
      <c r="K40" s="53"/>
      <c r="L40" s="62"/>
      <c r="M40" s="63"/>
      <c r="N40" s="63"/>
      <c r="O40" s="63"/>
      <c r="P40" s="63"/>
      <c r="Q40" s="63"/>
      <c r="R40" s="63"/>
      <c r="S40" s="63"/>
      <c r="T40" s="63"/>
      <c r="U40" s="63"/>
      <c r="V40" s="63"/>
      <c r="W40" s="63"/>
      <c r="X40" s="63"/>
      <c r="Y40" s="63"/>
      <c r="Z40" s="63"/>
      <c r="AA40" s="63"/>
      <c r="AB40" s="63"/>
      <c r="AC40" s="63"/>
    </row>
    <row r="41" spans="1:29">
      <c r="A41" s="62"/>
      <c r="B41" s="62"/>
      <c r="C41" s="62"/>
      <c r="D41" s="62"/>
      <c r="E41" s="62"/>
      <c r="F41" s="62"/>
      <c r="G41" s="62"/>
      <c r="H41" s="62"/>
      <c r="I41" s="62"/>
      <c r="J41" s="62"/>
      <c r="K41" s="53"/>
      <c r="L41" s="62"/>
      <c r="M41" s="63"/>
      <c r="N41" s="63"/>
      <c r="O41" s="63"/>
      <c r="P41" s="63"/>
      <c r="Q41" s="63"/>
      <c r="R41" s="63"/>
      <c r="S41" s="63"/>
      <c r="T41" s="63"/>
      <c r="U41" s="63"/>
      <c r="V41" s="63"/>
      <c r="W41" s="63"/>
      <c r="X41" s="63"/>
      <c r="Y41" s="63"/>
      <c r="Z41" s="63"/>
      <c r="AA41" s="63"/>
      <c r="AB41" s="63"/>
      <c r="AC41" s="63"/>
    </row>
    <row r="42" spans="1:29">
      <c r="A42" s="62"/>
      <c r="B42" s="62"/>
      <c r="C42" s="62"/>
      <c r="D42" s="62"/>
      <c r="E42" s="62"/>
      <c r="F42" s="62"/>
      <c r="G42" s="62"/>
      <c r="H42" s="62"/>
      <c r="I42" s="62"/>
      <c r="J42" s="62"/>
      <c r="K42" s="53"/>
      <c r="L42" s="62"/>
      <c r="M42" s="63"/>
      <c r="N42" s="63"/>
      <c r="O42" s="63"/>
      <c r="P42" s="63"/>
      <c r="Q42" s="63"/>
      <c r="R42" s="63"/>
      <c r="S42" s="63"/>
      <c r="T42" s="63"/>
      <c r="U42" s="63"/>
      <c r="V42" s="63"/>
      <c r="W42" s="63"/>
      <c r="X42" s="63"/>
      <c r="Y42" s="63"/>
      <c r="Z42" s="63"/>
      <c r="AA42" s="63"/>
      <c r="AB42" s="63"/>
      <c r="AC42" s="63"/>
    </row>
    <row r="43" spans="1:29">
      <c r="A43" s="62"/>
      <c r="B43" s="62"/>
      <c r="C43" s="62"/>
      <c r="D43" s="62"/>
      <c r="E43" s="62"/>
      <c r="F43" s="62"/>
      <c r="G43" s="62"/>
      <c r="H43" s="62"/>
      <c r="I43" s="62"/>
      <c r="J43" s="62"/>
      <c r="K43" s="53"/>
      <c r="L43" s="62"/>
      <c r="M43" s="63"/>
      <c r="N43" s="63"/>
      <c r="O43" s="63"/>
      <c r="P43" s="63"/>
      <c r="Q43" s="63"/>
      <c r="R43" s="63"/>
      <c r="S43" s="63"/>
      <c r="T43" s="63"/>
      <c r="U43" s="63"/>
      <c r="V43" s="63"/>
      <c r="W43" s="63"/>
      <c r="X43" s="63"/>
      <c r="Y43" s="63"/>
      <c r="Z43" s="63"/>
      <c r="AA43" s="63"/>
      <c r="AB43" s="63"/>
      <c r="AC43" s="63"/>
    </row>
    <row r="44" spans="1:29">
      <c r="A44" s="62"/>
      <c r="B44" s="62"/>
      <c r="C44" s="62"/>
      <c r="D44" s="62"/>
      <c r="E44" s="62"/>
      <c r="F44" s="62"/>
      <c r="G44" s="62"/>
      <c r="H44" s="62"/>
      <c r="I44" s="62"/>
      <c r="J44" s="62"/>
      <c r="K44" s="53"/>
      <c r="L44" s="62"/>
      <c r="M44" s="63"/>
      <c r="N44" s="63"/>
      <c r="O44" s="63"/>
      <c r="P44" s="63"/>
      <c r="Q44" s="63"/>
      <c r="R44" s="63"/>
      <c r="S44" s="63"/>
      <c r="T44" s="63"/>
      <c r="U44" s="63"/>
      <c r="V44" s="63"/>
      <c r="W44" s="63"/>
      <c r="X44" s="63"/>
      <c r="Y44" s="63"/>
      <c r="Z44" s="63"/>
      <c r="AA44" s="63"/>
      <c r="AB44" s="63"/>
      <c r="AC44" s="63"/>
    </row>
    <row r="45" spans="1:29">
      <c r="A45" s="62"/>
      <c r="B45" s="62"/>
      <c r="C45" s="62"/>
      <c r="D45" s="62"/>
      <c r="E45" s="62"/>
      <c r="F45" s="62"/>
      <c r="G45" s="62"/>
      <c r="H45" s="62"/>
      <c r="I45" s="62"/>
      <c r="J45" s="62"/>
      <c r="K45" s="53"/>
      <c r="L45" s="62"/>
      <c r="M45" s="63"/>
      <c r="N45" s="63"/>
      <c r="O45" s="63"/>
      <c r="P45" s="63"/>
      <c r="Q45" s="63"/>
      <c r="R45" s="63"/>
      <c r="S45" s="63"/>
      <c r="T45" s="63"/>
      <c r="U45" s="63"/>
      <c r="V45" s="63"/>
      <c r="W45" s="63"/>
      <c r="X45" s="63"/>
      <c r="Y45" s="63"/>
      <c r="Z45" s="63"/>
      <c r="AA45" s="63"/>
      <c r="AB45" s="63"/>
      <c r="AC45" s="63"/>
    </row>
    <row r="46" spans="1:29">
      <c r="A46" s="62"/>
      <c r="B46" s="62"/>
      <c r="C46" s="62"/>
      <c r="D46" s="62"/>
      <c r="E46" s="62"/>
      <c r="F46" s="62"/>
      <c r="G46" s="62"/>
      <c r="H46" s="62"/>
      <c r="I46" s="62"/>
      <c r="J46" s="62"/>
      <c r="K46" s="53"/>
      <c r="L46" s="62"/>
      <c r="M46" s="63"/>
      <c r="N46" s="63"/>
      <c r="O46" s="63"/>
      <c r="P46" s="63"/>
      <c r="Q46" s="63"/>
      <c r="R46" s="63"/>
      <c r="S46" s="63"/>
      <c r="T46" s="63"/>
      <c r="U46" s="63"/>
      <c r="V46" s="63"/>
      <c r="W46" s="63"/>
      <c r="X46" s="63"/>
      <c r="Y46" s="63"/>
      <c r="Z46" s="63"/>
      <c r="AA46" s="63"/>
      <c r="AB46" s="63"/>
      <c r="AC46" s="63"/>
    </row>
    <row r="47" spans="1:29">
      <c r="A47" s="62"/>
      <c r="B47" s="62"/>
      <c r="C47" s="62"/>
      <c r="D47" s="62"/>
      <c r="E47" s="62"/>
      <c r="F47" s="62"/>
      <c r="G47" s="62"/>
      <c r="H47" s="62"/>
      <c r="I47" s="62"/>
      <c r="J47" s="62"/>
      <c r="K47" s="53"/>
      <c r="L47" s="62"/>
      <c r="M47" s="63"/>
      <c r="N47" s="63"/>
      <c r="O47" s="63"/>
      <c r="P47" s="63"/>
      <c r="Q47" s="63"/>
      <c r="R47" s="63"/>
      <c r="S47" s="63"/>
      <c r="T47" s="63"/>
      <c r="U47" s="63"/>
      <c r="V47" s="63"/>
      <c r="W47" s="63"/>
      <c r="X47" s="63"/>
      <c r="Y47" s="63"/>
      <c r="Z47" s="63"/>
      <c r="AA47" s="63"/>
      <c r="AB47" s="63"/>
      <c r="AC47" s="63"/>
    </row>
    <row r="48" spans="1:29">
      <c r="A48" s="62"/>
      <c r="B48" s="62"/>
      <c r="C48" s="62"/>
      <c r="D48" s="62"/>
      <c r="E48" s="62"/>
      <c r="F48" s="62"/>
      <c r="G48" s="62"/>
      <c r="H48" s="62"/>
      <c r="I48" s="62"/>
      <c r="J48" s="62"/>
      <c r="K48" s="53"/>
      <c r="L48" s="62"/>
      <c r="M48" s="63"/>
      <c r="N48" s="63"/>
      <c r="O48" s="63"/>
      <c r="P48" s="63"/>
      <c r="Q48" s="63"/>
      <c r="R48" s="63"/>
      <c r="S48" s="63"/>
      <c r="T48" s="63"/>
      <c r="U48" s="63"/>
      <c r="V48" s="63"/>
      <c r="W48" s="63"/>
      <c r="X48" s="63"/>
      <c r="Y48" s="63"/>
      <c r="Z48" s="63"/>
      <c r="AA48" s="63"/>
      <c r="AB48" s="63"/>
      <c r="AC48" s="63"/>
    </row>
    <row r="49" spans="1:29">
      <c r="A49" s="62"/>
      <c r="B49" s="62"/>
      <c r="C49" s="62"/>
      <c r="D49" s="62"/>
      <c r="E49" s="62"/>
      <c r="F49" s="62"/>
      <c r="G49" s="62"/>
      <c r="H49" s="62"/>
      <c r="I49" s="62"/>
      <c r="J49" s="62"/>
      <c r="K49" s="53"/>
      <c r="L49" s="62"/>
      <c r="M49" s="63"/>
      <c r="N49" s="63"/>
      <c r="O49" s="63"/>
      <c r="P49" s="63"/>
      <c r="Q49" s="63"/>
      <c r="R49" s="63"/>
      <c r="S49" s="63"/>
      <c r="T49" s="63"/>
      <c r="U49" s="63"/>
      <c r="V49" s="63"/>
      <c r="W49" s="63"/>
      <c r="X49" s="63"/>
      <c r="Y49" s="63"/>
      <c r="Z49" s="63"/>
      <c r="AA49" s="63"/>
      <c r="AB49" s="63"/>
      <c r="AC49" s="63"/>
    </row>
    <row r="50" spans="1:29">
      <c r="A50" s="62"/>
      <c r="B50" s="62"/>
      <c r="C50" s="62"/>
      <c r="D50" s="62"/>
      <c r="E50" s="62"/>
      <c r="F50" s="62"/>
      <c r="G50" s="62"/>
      <c r="H50" s="62"/>
      <c r="I50" s="62"/>
      <c r="J50" s="62"/>
      <c r="K50" s="53"/>
      <c r="L50" s="62"/>
      <c r="M50" s="63"/>
      <c r="N50" s="63"/>
      <c r="O50" s="63"/>
      <c r="P50" s="63"/>
      <c r="Q50" s="63"/>
      <c r="R50" s="63"/>
      <c r="S50" s="63"/>
      <c r="T50" s="63"/>
      <c r="U50" s="63"/>
      <c r="V50" s="63"/>
      <c r="W50" s="63"/>
      <c r="X50" s="63"/>
      <c r="Y50" s="63"/>
      <c r="Z50" s="63"/>
      <c r="AA50" s="63"/>
      <c r="AB50" s="63"/>
      <c r="AC50" s="63"/>
    </row>
    <row r="51" spans="1:29">
      <c r="A51" s="62"/>
      <c r="B51" s="62"/>
      <c r="C51" s="62"/>
      <c r="D51" s="62"/>
      <c r="E51" s="62"/>
      <c r="F51" s="62"/>
      <c r="G51" s="62"/>
      <c r="H51" s="62"/>
      <c r="I51" s="62"/>
      <c r="J51" s="62"/>
      <c r="K51" s="53"/>
      <c r="L51" s="62"/>
      <c r="M51" s="63"/>
      <c r="N51" s="63"/>
      <c r="O51" s="63"/>
      <c r="P51" s="63"/>
      <c r="Q51" s="63"/>
      <c r="R51" s="63"/>
      <c r="S51" s="63"/>
      <c r="T51" s="63"/>
      <c r="U51" s="63"/>
      <c r="V51" s="63"/>
      <c r="W51" s="63"/>
      <c r="X51" s="63"/>
      <c r="Y51" s="63"/>
      <c r="Z51" s="63"/>
      <c r="AA51" s="63"/>
      <c r="AB51" s="63"/>
      <c r="AC51" s="63"/>
    </row>
    <row r="52" spans="1:29">
      <c r="A52" s="62"/>
      <c r="B52" s="62"/>
      <c r="C52" s="62"/>
      <c r="D52" s="62"/>
      <c r="E52" s="62"/>
      <c r="F52" s="62"/>
      <c r="G52" s="62"/>
      <c r="H52" s="62"/>
      <c r="I52" s="62"/>
      <c r="J52" s="62"/>
      <c r="K52" s="53"/>
      <c r="L52" s="62"/>
      <c r="M52" s="63"/>
      <c r="N52" s="63"/>
      <c r="O52" s="63"/>
      <c r="P52" s="63"/>
      <c r="Q52" s="63"/>
      <c r="R52" s="63"/>
      <c r="S52" s="63"/>
      <c r="T52" s="63"/>
      <c r="U52" s="63"/>
      <c r="V52" s="63"/>
      <c r="W52" s="63"/>
      <c r="X52" s="63"/>
      <c r="Y52" s="63"/>
      <c r="Z52" s="63"/>
      <c r="AA52" s="63"/>
      <c r="AB52" s="63"/>
      <c r="AC52" s="63"/>
    </row>
    <row r="53" spans="1:29">
      <c r="A53" s="62"/>
      <c r="B53" s="62"/>
      <c r="C53" s="62"/>
      <c r="D53" s="62"/>
      <c r="E53" s="62"/>
      <c r="F53" s="62"/>
      <c r="G53" s="62"/>
      <c r="H53" s="62"/>
      <c r="I53" s="62"/>
      <c r="J53" s="62"/>
      <c r="K53" s="53"/>
      <c r="L53" s="62"/>
      <c r="M53" s="63"/>
      <c r="N53" s="63"/>
      <c r="O53" s="63"/>
      <c r="P53" s="63"/>
      <c r="Q53" s="63"/>
      <c r="R53" s="63"/>
      <c r="S53" s="63"/>
      <c r="T53" s="63"/>
      <c r="U53" s="63"/>
      <c r="V53" s="63"/>
      <c r="W53" s="63"/>
      <c r="X53" s="63"/>
      <c r="Y53" s="63"/>
      <c r="Z53" s="63"/>
      <c r="AA53" s="63"/>
      <c r="AB53" s="63"/>
      <c r="AC53" s="63"/>
    </row>
    <row r="54" spans="1:29">
      <c r="A54" s="62"/>
      <c r="B54" s="62"/>
      <c r="C54" s="62"/>
      <c r="D54" s="62"/>
      <c r="E54" s="62"/>
      <c r="F54" s="62"/>
      <c r="G54" s="62"/>
      <c r="H54" s="62"/>
      <c r="I54" s="62"/>
      <c r="J54" s="62"/>
      <c r="K54" s="53"/>
      <c r="L54" s="62"/>
      <c r="M54" s="63"/>
      <c r="N54" s="63"/>
      <c r="O54" s="63"/>
      <c r="P54" s="63"/>
      <c r="Q54" s="63"/>
      <c r="R54" s="63"/>
      <c r="S54" s="63"/>
      <c r="T54" s="63"/>
      <c r="U54" s="63"/>
      <c r="V54" s="63"/>
      <c r="W54" s="63"/>
      <c r="X54" s="63"/>
      <c r="Y54" s="63"/>
      <c r="Z54" s="63"/>
      <c r="AA54" s="63"/>
      <c r="AB54" s="63"/>
      <c r="AC54" s="63"/>
    </row>
    <row r="55" spans="1:29">
      <c r="A55" s="62"/>
      <c r="B55" s="62"/>
      <c r="C55" s="62"/>
      <c r="D55" s="62"/>
      <c r="E55" s="62"/>
      <c r="F55" s="62"/>
      <c r="G55" s="62"/>
      <c r="H55" s="62"/>
      <c r="I55" s="62"/>
      <c r="J55" s="62"/>
      <c r="K55" s="53"/>
      <c r="L55" s="62"/>
      <c r="M55" s="63"/>
      <c r="N55" s="63"/>
      <c r="O55" s="63"/>
      <c r="P55" s="63"/>
      <c r="Q55" s="63"/>
      <c r="R55" s="63"/>
      <c r="S55" s="63"/>
      <c r="T55" s="63"/>
      <c r="U55" s="63"/>
      <c r="V55" s="63"/>
      <c r="W55" s="63"/>
      <c r="X55" s="63"/>
      <c r="Y55" s="63"/>
      <c r="Z55" s="63"/>
      <c r="AA55" s="63"/>
      <c r="AB55" s="63"/>
      <c r="AC55" s="63"/>
    </row>
    <row r="56" spans="1:29">
      <c r="A56" s="62"/>
      <c r="B56" s="62"/>
      <c r="C56" s="62"/>
      <c r="D56" s="62"/>
      <c r="E56" s="62"/>
      <c r="F56" s="62"/>
      <c r="G56" s="62"/>
      <c r="H56" s="62"/>
      <c r="I56" s="62"/>
      <c r="J56" s="62"/>
      <c r="K56" s="53"/>
      <c r="L56" s="62"/>
      <c r="M56" s="63"/>
      <c r="N56" s="63"/>
      <c r="O56" s="63"/>
      <c r="P56" s="63"/>
      <c r="Q56" s="63"/>
      <c r="R56" s="63"/>
      <c r="S56" s="63"/>
      <c r="T56" s="63"/>
      <c r="U56" s="63"/>
      <c r="V56" s="63"/>
      <c r="W56" s="63"/>
      <c r="X56" s="63"/>
      <c r="Y56" s="63"/>
      <c r="Z56" s="63"/>
      <c r="AA56" s="63"/>
      <c r="AB56" s="63"/>
      <c r="AC56" s="63"/>
    </row>
    <row r="57" spans="1:29">
      <c r="A57" s="62"/>
      <c r="B57" s="62"/>
      <c r="C57" s="62"/>
      <c r="D57" s="62"/>
      <c r="E57" s="62"/>
      <c r="F57" s="62"/>
      <c r="G57" s="62"/>
      <c r="H57" s="62"/>
      <c r="I57" s="62"/>
      <c r="J57" s="62"/>
      <c r="K57" s="53"/>
      <c r="L57" s="62"/>
      <c r="M57" s="63"/>
      <c r="N57" s="63"/>
      <c r="O57" s="63"/>
      <c r="P57" s="63"/>
      <c r="Q57" s="63"/>
      <c r="R57" s="63"/>
      <c r="S57" s="63"/>
      <c r="T57" s="63"/>
      <c r="U57" s="63"/>
      <c r="V57" s="63"/>
      <c r="W57" s="63"/>
      <c r="X57" s="63"/>
      <c r="Y57" s="63"/>
      <c r="Z57" s="63"/>
      <c r="AA57" s="63"/>
      <c r="AB57" s="63"/>
      <c r="AC57" s="63"/>
    </row>
    <row r="58" spans="1:29">
      <c r="A58" s="62"/>
      <c r="B58" s="62"/>
      <c r="C58" s="62"/>
      <c r="D58" s="62"/>
      <c r="E58" s="62"/>
      <c r="F58" s="62"/>
      <c r="G58" s="62"/>
      <c r="H58" s="62"/>
      <c r="I58" s="62"/>
      <c r="J58" s="62"/>
      <c r="K58" s="53"/>
      <c r="L58" s="62"/>
      <c r="M58" s="63"/>
      <c r="N58" s="63"/>
      <c r="O58" s="63"/>
      <c r="P58" s="63"/>
      <c r="Q58" s="63"/>
      <c r="R58" s="63"/>
      <c r="S58" s="63"/>
      <c r="T58" s="63"/>
      <c r="U58" s="63"/>
      <c r="V58" s="63"/>
      <c r="W58" s="63"/>
      <c r="X58" s="63"/>
      <c r="Y58" s="63"/>
      <c r="Z58" s="63"/>
      <c r="AA58" s="63"/>
      <c r="AB58" s="63"/>
      <c r="AC58" s="63"/>
    </row>
    <row r="59" spans="1:29">
      <c r="A59" s="62"/>
      <c r="B59" s="62"/>
      <c r="C59" s="62"/>
      <c r="D59" s="62"/>
      <c r="E59" s="62"/>
      <c r="F59" s="62"/>
      <c r="G59" s="62"/>
      <c r="H59" s="62"/>
      <c r="I59" s="62"/>
      <c r="J59" s="62"/>
      <c r="K59" s="53"/>
      <c r="L59" s="62"/>
      <c r="M59" s="63"/>
      <c r="N59" s="63"/>
      <c r="O59" s="63"/>
      <c r="P59" s="63"/>
      <c r="Q59" s="63"/>
      <c r="R59" s="63"/>
      <c r="S59" s="63"/>
      <c r="T59" s="63"/>
      <c r="U59" s="63"/>
      <c r="V59" s="63"/>
      <c r="W59" s="63"/>
      <c r="X59" s="63"/>
      <c r="Y59" s="63"/>
      <c r="Z59" s="63"/>
      <c r="AA59" s="63"/>
      <c r="AB59" s="63"/>
      <c r="AC59" s="63"/>
    </row>
    <row r="60" spans="1:29">
      <c r="A60" s="62"/>
      <c r="B60" s="62"/>
      <c r="C60" s="62"/>
      <c r="D60" s="62"/>
      <c r="E60" s="62"/>
      <c r="F60" s="62"/>
      <c r="G60" s="62"/>
      <c r="H60" s="62"/>
      <c r="I60" s="62"/>
      <c r="J60" s="62"/>
      <c r="K60" s="53"/>
      <c r="L60" s="62"/>
      <c r="M60" s="63"/>
      <c r="N60" s="63"/>
      <c r="O60" s="63"/>
      <c r="P60" s="63"/>
      <c r="Q60" s="63"/>
      <c r="R60" s="63"/>
      <c r="S60" s="63"/>
      <c r="T60" s="63"/>
      <c r="U60" s="63"/>
      <c r="V60" s="63"/>
      <c r="W60" s="63"/>
      <c r="X60" s="63"/>
      <c r="Y60" s="63"/>
      <c r="Z60" s="63"/>
      <c r="AA60" s="63"/>
      <c r="AB60" s="63"/>
      <c r="AC60" s="63"/>
    </row>
    <row r="61" spans="1:29">
      <c r="A61" s="62"/>
      <c r="B61" s="62"/>
      <c r="C61" s="62"/>
      <c r="D61" s="62"/>
      <c r="E61" s="62"/>
      <c r="F61" s="62"/>
      <c r="G61" s="62"/>
      <c r="H61" s="62"/>
      <c r="I61" s="62"/>
      <c r="J61" s="62"/>
      <c r="K61" s="53"/>
      <c r="L61" s="62"/>
      <c r="M61" s="63"/>
      <c r="N61" s="63"/>
      <c r="O61" s="63"/>
      <c r="P61" s="63"/>
      <c r="Q61" s="63"/>
      <c r="R61" s="63"/>
      <c r="S61" s="63"/>
      <c r="T61" s="63"/>
      <c r="U61" s="63"/>
      <c r="V61" s="63"/>
      <c r="W61" s="63"/>
      <c r="X61" s="63"/>
      <c r="Y61" s="63"/>
      <c r="Z61" s="63"/>
      <c r="AA61" s="63"/>
      <c r="AB61" s="63"/>
      <c r="AC61" s="63"/>
    </row>
    <row r="62" spans="1:29">
      <c r="A62" s="62"/>
      <c r="B62" s="62"/>
      <c r="C62" s="62"/>
      <c r="D62" s="62"/>
      <c r="E62" s="62"/>
      <c r="F62" s="62"/>
      <c r="G62" s="62"/>
      <c r="H62" s="62"/>
      <c r="I62" s="62"/>
      <c r="J62" s="62"/>
      <c r="K62" s="53"/>
      <c r="L62" s="62"/>
      <c r="M62" s="63"/>
      <c r="N62" s="63"/>
      <c r="O62" s="63"/>
      <c r="P62" s="63"/>
      <c r="Q62" s="63"/>
      <c r="R62" s="63"/>
      <c r="S62" s="63"/>
      <c r="T62" s="63"/>
      <c r="U62" s="63"/>
      <c r="V62" s="63"/>
      <c r="W62" s="63"/>
      <c r="X62" s="63"/>
      <c r="Y62" s="63"/>
      <c r="Z62" s="63"/>
      <c r="AA62" s="63"/>
      <c r="AB62" s="63"/>
      <c r="AC62" s="63"/>
    </row>
    <row r="63" spans="1:29">
      <c r="A63" s="62"/>
      <c r="B63" s="62"/>
      <c r="C63" s="62"/>
      <c r="D63" s="62"/>
      <c r="E63" s="62"/>
      <c r="F63" s="62"/>
      <c r="G63" s="62"/>
      <c r="H63" s="62"/>
      <c r="I63" s="62"/>
      <c r="J63" s="62"/>
      <c r="K63" s="53"/>
      <c r="L63" s="62"/>
      <c r="M63" s="63"/>
      <c r="N63" s="63"/>
      <c r="O63" s="63"/>
      <c r="P63" s="63"/>
      <c r="Q63" s="63"/>
      <c r="R63" s="63"/>
      <c r="S63" s="63"/>
      <c r="T63" s="63"/>
      <c r="U63" s="63"/>
      <c r="V63" s="63"/>
      <c r="W63" s="63"/>
      <c r="X63" s="63"/>
      <c r="Y63" s="63"/>
      <c r="Z63" s="63"/>
      <c r="AA63" s="63"/>
      <c r="AB63" s="63"/>
      <c r="AC63" s="63"/>
    </row>
    <row r="64" spans="1:29">
      <c r="A64" s="62"/>
      <c r="B64" s="62"/>
      <c r="C64" s="62"/>
      <c r="D64" s="62"/>
      <c r="E64" s="62"/>
      <c r="F64" s="62"/>
      <c r="G64" s="62"/>
      <c r="H64" s="62"/>
      <c r="I64" s="62"/>
      <c r="J64" s="62"/>
      <c r="K64" s="53"/>
      <c r="L64" s="62"/>
      <c r="M64" s="63"/>
      <c r="N64" s="63"/>
      <c r="O64" s="63"/>
      <c r="P64" s="63"/>
      <c r="Q64" s="63"/>
      <c r="R64" s="63"/>
      <c r="S64" s="63"/>
      <c r="T64" s="63"/>
      <c r="U64" s="63"/>
      <c r="V64" s="63"/>
      <c r="W64" s="63"/>
      <c r="X64" s="63"/>
      <c r="Y64" s="63"/>
      <c r="Z64" s="63"/>
      <c r="AA64" s="63"/>
      <c r="AB64" s="63"/>
      <c r="AC64" s="63"/>
    </row>
    <row r="65" spans="1:29">
      <c r="A65" s="62"/>
      <c r="B65" s="62"/>
      <c r="C65" s="62"/>
      <c r="D65" s="62"/>
      <c r="E65" s="62"/>
      <c r="F65" s="62"/>
      <c r="G65" s="62"/>
      <c r="H65" s="62"/>
      <c r="I65" s="62"/>
      <c r="J65" s="62"/>
      <c r="K65" s="53"/>
      <c r="L65" s="62"/>
      <c r="M65" s="63"/>
      <c r="N65" s="63"/>
      <c r="O65" s="63"/>
      <c r="P65" s="63"/>
      <c r="Q65" s="63"/>
      <c r="R65" s="63"/>
      <c r="S65" s="63"/>
      <c r="T65" s="63"/>
      <c r="U65" s="63"/>
      <c r="V65" s="63"/>
      <c r="W65" s="63"/>
      <c r="X65" s="63"/>
      <c r="Y65" s="63"/>
      <c r="Z65" s="63"/>
      <c r="AA65" s="63"/>
      <c r="AB65" s="63"/>
      <c r="AC65" s="63"/>
    </row>
    <row r="66" spans="1:29">
      <c r="A66" s="62"/>
      <c r="B66" s="62"/>
      <c r="C66" s="62"/>
      <c r="D66" s="62"/>
      <c r="E66" s="62"/>
      <c r="F66" s="62"/>
      <c r="G66" s="62"/>
      <c r="H66" s="62"/>
      <c r="I66" s="62"/>
      <c r="J66" s="62"/>
      <c r="K66" s="53"/>
      <c r="L66" s="62"/>
      <c r="M66" s="63"/>
      <c r="N66" s="63"/>
      <c r="O66" s="63"/>
      <c r="P66" s="63"/>
      <c r="Q66" s="63"/>
      <c r="R66" s="63"/>
      <c r="S66" s="63"/>
      <c r="T66" s="63"/>
      <c r="U66" s="63"/>
      <c r="V66" s="63"/>
      <c r="W66" s="63"/>
      <c r="X66" s="63"/>
      <c r="Y66" s="63"/>
      <c r="Z66" s="63"/>
      <c r="AA66" s="63"/>
      <c r="AB66" s="63"/>
      <c r="AC66" s="63"/>
    </row>
    <row r="67" spans="1:29">
      <c r="A67" s="62"/>
      <c r="B67" s="62"/>
      <c r="C67" s="62"/>
      <c r="D67" s="62"/>
      <c r="E67" s="62"/>
      <c r="F67" s="62"/>
      <c r="G67" s="62"/>
      <c r="H67" s="62"/>
      <c r="I67" s="62"/>
      <c r="J67" s="62"/>
      <c r="K67" s="53"/>
      <c r="L67" s="62"/>
      <c r="M67" s="63"/>
      <c r="N67" s="63"/>
      <c r="O67" s="63"/>
      <c r="P67" s="63"/>
      <c r="Q67" s="63"/>
      <c r="R67" s="63"/>
      <c r="S67" s="63"/>
      <c r="T67" s="63"/>
      <c r="U67" s="63"/>
      <c r="V67" s="63"/>
      <c r="W67" s="63"/>
      <c r="X67" s="63"/>
      <c r="Y67" s="63"/>
      <c r="Z67" s="63"/>
      <c r="AA67" s="63"/>
      <c r="AB67" s="63"/>
      <c r="AC67" s="63"/>
    </row>
    <row r="68" spans="1:29">
      <c r="A68" s="62"/>
      <c r="B68" s="62"/>
      <c r="C68" s="62"/>
      <c r="D68" s="62"/>
      <c r="E68" s="62"/>
      <c r="F68" s="62"/>
      <c r="G68" s="62"/>
      <c r="H68" s="62"/>
      <c r="I68" s="62"/>
      <c r="J68" s="62"/>
      <c r="K68" s="53"/>
      <c r="L68" s="62"/>
      <c r="M68" s="63"/>
      <c r="N68" s="63"/>
      <c r="O68" s="63"/>
      <c r="P68" s="63"/>
      <c r="Q68" s="63"/>
      <c r="R68" s="63"/>
      <c r="S68" s="63"/>
      <c r="T68" s="63"/>
      <c r="U68" s="63"/>
      <c r="V68" s="63"/>
      <c r="W68" s="63"/>
      <c r="X68" s="63"/>
      <c r="Y68" s="63"/>
      <c r="Z68" s="63"/>
      <c r="AA68" s="63"/>
      <c r="AB68" s="63"/>
      <c r="AC68" s="63"/>
    </row>
    <row r="69" spans="1:29">
      <c r="A69" s="62"/>
      <c r="B69" s="62"/>
      <c r="C69" s="62"/>
      <c r="D69" s="62"/>
      <c r="E69" s="62"/>
      <c r="F69" s="62"/>
      <c r="G69" s="62"/>
      <c r="H69" s="62"/>
      <c r="I69" s="62"/>
      <c r="J69" s="62"/>
      <c r="K69" s="53"/>
      <c r="L69" s="62"/>
      <c r="M69" s="63"/>
      <c r="N69" s="63"/>
      <c r="O69" s="63"/>
      <c r="P69" s="63"/>
      <c r="Q69" s="63"/>
      <c r="R69" s="63"/>
      <c r="S69" s="63"/>
      <c r="T69" s="63"/>
      <c r="U69" s="63"/>
      <c r="V69" s="63"/>
      <c r="W69" s="63"/>
      <c r="X69" s="63"/>
      <c r="Y69" s="63"/>
      <c r="Z69" s="63"/>
      <c r="AA69" s="63"/>
      <c r="AB69" s="63"/>
      <c r="AC69" s="63"/>
    </row>
    <row r="70" spans="1:29">
      <c r="A70" s="62"/>
      <c r="B70" s="62"/>
      <c r="C70" s="62"/>
      <c r="D70" s="62"/>
      <c r="E70" s="62"/>
      <c r="F70" s="62"/>
      <c r="G70" s="62"/>
      <c r="H70" s="62"/>
      <c r="I70" s="62"/>
      <c r="J70" s="62"/>
      <c r="K70" s="53"/>
      <c r="L70" s="62"/>
      <c r="M70" s="63"/>
      <c r="N70" s="63"/>
      <c r="O70" s="63"/>
      <c r="P70" s="63"/>
      <c r="Q70" s="63"/>
      <c r="R70" s="63"/>
      <c r="S70" s="63"/>
      <c r="T70" s="63"/>
      <c r="U70" s="63"/>
      <c r="V70" s="63"/>
      <c r="W70" s="63"/>
      <c r="X70" s="63"/>
      <c r="Y70" s="63"/>
      <c r="Z70" s="63"/>
      <c r="AA70" s="63"/>
      <c r="AB70" s="63"/>
      <c r="AC70" s="63"/>
    </row>
    <row r="71" spans="1:29">
      <c r="A71" s="62"/>
      <c r="B71" s="62"/>
      <c r="C71" s="62"/>
      <c r="D71" s="62"/>
      <c r="E71" s="62"/>
      <c r="F71" s="62"/>
      <c r="G71" s="62"/>
      <c r="H71" s="62"/>
      <c r="I71" s="62"/>
      <c r="J71" s="62"/>
      <c r="K71" s="53"/>
      <c r="L71" s="62"/>
      <c r="M71" s="63"/>
      <c r="N71" s="63"/>
      <c r="O71" s="63"/>
      <c r="P71" s="63"/>
      <c r="Q71" s="63"/>
      <c r="R71" s="63"/>
      <c r="S71" s="63"/>
      <c r="T71" s="63"/>
      <c r="U71" s="63"/>
      <c r="V71" s="63"/>
      <c r="W71" s="63"/>
      <c r="X71" s="63"/>
      <c r="Y71" s="63"/>
      <c r="Z71" s="63"/>
      <c r="AA71" s="63"/>
      <c r="AB71" s="63"/>
      <c r="AC71" s="63"/>
    </row>
    <row r="72" spans="1:29">
      <c r="A72" s="62"/>
      <c r="B72" s="62"/>
      <c r="C72" s="62"/>
      <c r="D72" s="62"/>
      <c r="E72" s="62"/>
      <c r="F72" s="62"/>
      <c r="G72" s="62"/>
      <c r="H72" s="62"/>
      <c r="I72" s="62"/>
      <c r="J72" s="62"/>
      <c r="K72" s="53"/>
      <c r="L72" s="62"/>
      <c r="M72" s="63"/>
      <c r="N72" s="63"/>
      <c r="O72" s="63"/>
      <c r="P72" s="63"/>
      <c r="Q72" s="63"/>
      <c r="R72" s="63"/>
      <c r="S72" s="63"/>
      <c r="T72" s="63"/>
      <c r="U72" s="63"/>
      <c r="V72" s="63"/>
      <c r="W72" s="63"/>
      <c r="X72" s="63"/>
      <c r="Y72" s="63"/>
      <c r="Z72" s="63"/>
      <c r="AA72" s="63"/>
      <c r="AB72" s="63"/>
      <c r="AC72" s="63"/>
    </row>
    <row r="73" spans="1:29">
      <c r="A73" s="62"/>
      <c r="B73" s="62"/>
      <c r="C73" s="62"/>
      <c r="D73" s="62"/>
      <c r="E73" s="62"/>
      <c r="F73" s="62"/>
      <c r="G73" s="62"/>
      <c r="H73" s="62"/>
      <c r="I73" s="62"/>
      <c r="J73" s="62"/>
      <c r="K73" s="53"/>
      <c r="L73" s="62"/>
      <c r="M73" s="63"/>
      <c r="N73" s="63"/>
      <c r="O73" s="63"/>
      <c r="P73" s="63"/>
      <c r="Q73" s="63"/>
      <c r="R73" s="63"/>
      <c r="S73" s="63"/>
      <c r="T73" s="63"/>
      <c r="U73" s="63"/>
      <c r="V73" s="63"/>
      <c r="W73" s="63"/>
      <c r="X73" s="63"/>
      <c r="Y73" s="63"/>
      <c r="Z73" s="63"/>
      <c r="AA73" s="63"/>
      <c r="AB73" s="63"/>
      <c r="AC73" s="63"/>
    </row>
    <row r="74" spans="1:29">
      <c r="A74" s="62"/>
      <c r="B74" s="62"/>
      <c r="C74" s="62"/>
      <c r="D74" s="62"/>
      <c r="E74" s="62"/>
      <c r="F74" s="62"/>
      <c r="G74" s="62"/>
      <c r="H74" s="62"/>
      <c r="I74" s="62"/>
      <c r="J74" s="62"/>
      <c r="K74" s="53"/>
      <c r="L74" s="62"/>
      <c r="M74" s="63"/>
      <c r="N74" s="63"/>
      <c r="O74" s="63"/>
      <c r="P74" s="63"/>
      <c r="Q74" s="63"/>
      <c r="R74" s="63"/>
      <c r="S74" s="63"/>
      <c r="T74" s="63"/>
      <c r="U74" s="63"/>
      <c r="V74" s="63"/>
      <c r="W74" s="63"/>
      <c r="X74" s="63"/>
      <c r="Y74" s="63"/>
      <c r="Z74" s="63"/>
      <c r="AA74" s="63"/>
      <c r="AB74" s="63"/>
      <c r="AC74" s="63"/>
    </row>
    <row r="75" spans="1:29">
      <c r="A75" s="62"/>
      <c r="B75" s="62"/>
      <c r="C75" s="62"/>
      <c r="D75" s="62"/>
      <c r="E75" s="62"/>
      <c r="F75" s="62"/>
      <c r="G75" s="62"/>
      <c r="H75" s="62"/>
      <c r="I75" s="62"/>
      <c r="J75" s="62"/>
      <c r="K75" s="53"/>
      <c r="L75" s="62"/>
      <c r="M75" s="63"/>
      <c r="N75" s="63"/>
      <c r="O75" s="63"/>
      <c r="P75" s="63"/>
      <c r="Q75" s="63"/>
      <c r="R75" s="63"/>
      <c r="S75" s="63"/>
      <c r="T75" s="63"/>
      <c r="U75" s="63"/>
      <c r="V75" s="63"/>
      <c r="W75" s="63"/>
      <c r="X75" s="63"/>
      <c r="Y75" s="63"/>
      <c r="Z75" s="63"/>
      <c r="AA75" s="63"/>
      <c r="AB75" s="63"/>
      <c r="AC75" s="63"/>
    </row>
    <row r="76" spans="1:29">
      <c r="A76" s="62"/>
      <c r="B76" s="62"/>
      <c r="C76" s="62"/>
      <c r="D76" s="62"/>
      <c r="E76" s="62"/>
      <c r="F76" s="62"/>
      <c r="G76" s="62"/>
      <c r="H76" s="62"/>
      <c r="I76" s="62"/>
      <c r="J76" s="62"/>
      <c r="K76" s="53"/>
      <c r="L76" s="62"/>
      <c r="M76" s="63"/>
      <c r="N76" s="63"/>
      <c r="O76" s="63"/>
      <c r="P76" s="63"/>
      <c r="Q76" s="63"/>
      <c r="R76" s="63"/>
      <c r="S76" s="63"/>
      <c r="T76" s="63"/>
      <c r="U76" s="63"/>
      <c r="V76" s="63"/>
      <c r="W76" s="63"/>
      <c r="X76" s="63"/>
      <c r="Y76" s="63"/>
      <c r="Z76" s="63"/>
      <c r="AA76" s="63"/>
      <c r="AB76" s="63"/>
      <c r="AC76" s="63"/>
    </row>
    <row r="77" spans="1:29">
      <c r="A77" s="62"/>
      <c r="B77" s="62"/>
      <c r="C77" s="62"/>
      <c r="D77" s="62"/>
      <c r="E77" s="62"/>
      <c r="F77" s="62"/>
      <c r="G77" s="62"/>
      <c r="H77" s="62"/>
      <c r="I77" s="62"/>
      <c r="J77" s="62"/>
      <c r="K77" s="53"/>
      <c r="L77" s="62"/>
      <c r="M77" s="63"/>
      <c r="N77" s="63"/>
      <c r="O77" s="63"/>
      <c r="P77" s="63"/>
      <c r="Q77" s="63"/>
      <c r="R77" s="63"/>
      <c r="S77" s="63"/>
      <c r="T77" s="63"/>
      <c r="U77" s="63"/>
      <c r="V77" s="63"/>
      <c r="W77" s="63"/>
      <c r="X77" s="63"/>
      <c r="Y77" s="63"/>
      <c r="Z77" s="63"/>
      <c r="AA77" s="63"/>
      <c r="AB77" s="63"/>
      <c r="AC77" s="63"/>
    </row>
    <row r="78" spans="1:29">
      <c r="A78" s="62"/>
      <c r="B78" s="62"/>
      <c r="C78" s="62"/>
      <c r="D78" s="62"/>
      <c r="E78" s="62"/>
      <c r="F78" s="62"/>
      <c r="G78" s="62"/>
      <c r="H78" s="62"/>
      <c r="I78" s="62"/>
      <c r="J78" s="62"/>
      <c r="K78" s="53"/>
      <c r="L78" s="62"/>
      <c r="M78" s="63"/>
      <c r="N78" s="63"/>
      <c r="O78" s="63"/>
      <c r="P78" s="63"/>
      <c r="Q78" s="63"/>
      <c r="R78" s="63"/>
      <c r="S78" s="63"/>
      <c r="T78" s="63"/>
      <c r="U78" s="63"/>
      <c r="V78" s="63"/>
      <c r="W78" s="63"/>
      <c r="X78" s="63"/>
      <c r="Y78" s="63"/>
      <c r="Z78" s="63"/>
      <c r="AA78" s="63"/>
      <c r="AB78" s="63"/>
      <c r="AC78" s="63"/>
    </row>
    <row r="79" spans="1:29">
      <c r="A79" s="62"/>
      <c r="B79" s="62"/>
      <c r="C79" s="62"/>
      <c r="D79" s="62"/>
      <c r="E79" s="62"/>
      <c r="F79" s="62"/>
      <c r="G79" s="62"/>
      <c r="H79" s="62"/>
      <c r="I79" s="62"/>
      <c r="J79" s="62"/>
      <c r="K79" s="53"/>
      <c r="L79" s="62"/>
      <c r="M79" s="63"/>
      <c r="N79" s="63"/>
      <c r="O79" s="63"/>
      <c r="P79" s="63"/>
      <c r="Q79" s="63"/>
      <c r="R79" s="63"/>
      <c r="S79" s="63"/>
      <c r="T79" s="63"/>
      <c r="U79" s="63"/>
      <c r="V79" s="63"/>
      <c r="W79" s="63"/>
      <c r="X79" s="63"/>
      <c r="Y79" s="63"/>
      <c r="Z79" s="63"/>
      <c r="AA79" s="63"/>
      <c r="AB79" s="63"/>
      <c r="AC79" s="63"/>
    </row>
    <row r="80" spans="1:29">
      <c r="A80" s="62"/>
      <c r="B80" s="62"/>
      <c r="C80" s="62"/>
      <c r="D80" s="62"/>
      <c r="E80" s="62"/>
      <c r="F80" s="62"/>
      <c r="G80" s="62"/>
      <c r="H80" s="62"/>
      <c r="I80" s="62"/>
      <c r="J80" s="62"/>
      <c r="K80" s="53"/>
      <c r="L80" s="62"/>
      <c r="M80" s="63"/>
      <c r="N80" s="63"/>
      <c r="O80" s="63"/>
      <c r="P80" s="63"/>
      <c r="Q80" s="63"/>
      <c r="R80" s="63"/>
      <c r="S80" s="63"/>
      <c r="T80" s="63"/>
      <c r="U80" s="63"/>
      <c r="V80" s="63"/>
      <c r="W80" s="63"/>
      <c r="X80" s="63"/>
      <c r="Y80" s="63"/>
      <c r="Z80" s="63"/>
      <c r="AA80" s="63"/>
      <c r="AB80" s="63"/>
      <c r="AC80" s="63"/>
    </row>
    <row r="81" spans="1:29">
      <c r="A81" s="62"/>
      <c r="B81" s="62"/>
      <c r="C81" s="62"/>
      <c r="D81" s="62"/>
      <c r="E81" s="62"/>
      <c r="F81" s="62"/>
      <c r="G81" s="62"/>
      <c r="H81" s="62"/>
      <c r="I81" s="62"/>
      <c r="J81" s="62"/>
      <c r="K81" s="53"/>
      <c r="L81" s="62"/>
      <c r="M81" s="63"/>
      <c r="N81" s="63"/>
      <c r="O81" s="63"/>
      <c r="P81" s="63"/>
      <c r="Q81" s="63"/>
      <c r="R81" s="63"/>
      <c r="S81" s="63"/>
      <c r="T81" s="63"/>
      <c r="U81" s="63"/>
      <c r="V81" s="63"/>
      <c r="W81" s="63"/>
      <c r="X81" s="63"/>
      <c r="Y81" s="63"/>
      <c r="Z81" s="63"/>
      <c r="AA81" s="63"/>
      <c r="AB81" s="63"/>
      <c r="AC81" s="63"/>
    </row>
    <row r="82" spans="1:29">
      <c r="A82" s="62"/>
      <c r="B82" s="62"/>
      <c r="C82" s="62"/>
      <c r="D82" s="62"/>
      <c r="E82" s="62"/>
      <c r="F82" s="62"/>
      <c r="G82" s="62"/>
      <c r="H82" s="62"/>
      <c r="I82" s="62"/>
      <c r="J82" s="62"/>
      <c r="K82" s="53"/>
      <c r="L82" s="62"/>
      <c r="M82" s="63"/>
      <c r="N82" s="63"/>
      <c r="O82" s="63"/>
      <c r="P82" s="63"/>
      <c r="Q82" s="63"/>
      <c r="R82" s="63"/>
      <c r="S82" s="63"/>
      <c r="T82" s="63"/>
      <c r="U82" s="63"/>
      <c r="V82" s="63"/>
      <c r="W82" s="63"/>
      <c r="X82" s="63"/>
      <c r="Y82" s="63"/>
      <c r="Z82" s="63"/>
      <c r="AA82" s="63"/>
      <c r="AB82" s="63"/>
      <c r="AC82" s="63"/>
    </row>
    <row r="83" spans="1:29">
      <c r="A83" s="62"/>
      <c r="B83" s="62"/>
      <c r="C83" s="62"/>
      <c r="D83" s="62"/>
      <c r="E83" s="62"/>
      <c r="F83" s="62"/>
      <c r="G83" s="62"/>
      <c r="H83" s="62"/>
      <c r="I83" s="62"/>
      <c r="J83" s="62"/>
      <c r="K83" s="53"/>
      <c r="L83" s="62"/>
      <c r="M83" s="63"/>
      <c r="N83" s="63"/>
      <c r="O83" s="63"/>
      <c r="P83" s="63"/>
      <c r="Q83" s="63"/>
      <c r="R83" s="63"/>
      <c r="S83" s="63"/>
      <c r="T83" s="63"/>
      <c r="U83" s="63"/>
      <c r="V83" s="63"/>
      <c r="W83" s="63"/>
      <c r="X83" s="63"/>
      <c r="Y83" s="63"/>
      <c r="Z83" s="63"/>
      <c r="AA83" s="63"/>
      <c r="AB83" s="63"/>
      <c r="AC83" s="63"/>
    </row>
    <row r="84" spans="1:29">
      <c r="A84" s="62"/>
      <c r="B84" s="62"/>
      <c r="C84" s="62"/>
      <c r="D84" s="62"/>
      <c r="E84" s="62"/>
      <c r="F84" s="62"/>
      <c r="G84" s="62"/>
      <c r="H84" s="62"/>
      <c r="I84" s="62"/>
      <c r="J84" s="62"/>
      <c r="K84" s="53"/>
      <c r="L84" s="62"/>
      <c r="M84" s="63"/>
      <c r="N84" s="63"/>
      <c r="O84" s="63"/>
      <c r="P84" s="63"/>
      <c r="Q84" s="63"/>
      <c r="R84" s="63"/>
      <c r="S84" s="63"/>
      <c r="T84" s="63"/>
      <c r="U84" s="63"/>
      <c r="V84" s="63"/>
      <c r="W84" s="63"/>
      <c r="X84" s="63"/>
      <c r="Y84" s="63"/>
      <c r="Z84" s="63"/>
      <c r="AA84" s="63"/>
      <c r="AB84" s="63"/>
      <c r="AC84" s="63"/>
    </row>
    <row r="85" spans="1:29">
      <c r="A85" s="62"/>
      <c r="B85" s="62"/>
      <c r="C85" s="62"/>
      <c r="D85" s="62"/>
      <c r="E85" s="62"/>
      <c r="F85" s="62"/>
      <c r="G85" s="62"/>
      <c r="H85" s="62"/>
      <c r="I85" s="62"/>
      <c r="J85" s="62"/>
      <c r="K85" s="53"/>
      <c r="L85" s="62"/>
      <c r="M85" s="63"/>
      <c r="N85" s="63"/>
      <c r="O85" s="63"/>
      <c r="P85" s="63"/>
      <c r="Q85" s="63"/>
      <c r="R85" s="63"/>
      <c r="S85" s="63"/>
      <c r="T85" s="63"/>
      <c r="U85" s="63"/>
      <c r="V85" s="63"/>
      <c r="W85" s="63"/>
      <c r="X85" s="63"/>
      <c r="Y85" s="63"/>
      <c r="Z85" s="63"/>
      <c r="AA85" s="63"/>
      <c r="AB85" s="63"/>
      <c r="AC85" s="63"/>
    </row>
    <row r="86" spans="1:29">
      <c r="A86" s="62"/>
      <c r="B86" s="62"/>
      <c r="C86" s="62"/>
      <c r="D86" s="62"/>
      <c r="E86" s="62"/>
      <c r="F86" s="62"/>
      <c r="G86" s="62"/>
      <c r="H86" s="62"/>
      <c r="I86" s="62"/>
      <c r="J86" s="62"/>
      <c r="K86" s="53"/>
      <c r="L86" s="62"/>
      <c r="M86" s="63"/>
      <c r="N86" s="63"/>
      <c r="O86" s="63"/>
      <c r="P86" s="63"/>
      <c r="Q86" s="63"/>
      <c r="R86" s="63"/>
      <c r="S86" s="63"/>
      <c r="T86" s="63"/>
      <c r="U86" s="63"/>
      <c r="V86" s="63"/>
      <c r="W86" s="63"/>
      <c r="X86" s="63"/>
      <c r="Y86" s="63"/>
      <c r="Z86" s="63"/>
      <c r="AA86" s="63"/>
      <c r="AB86" s="63"/>
      <c r="AC86" s="63"/>
    </row>
    <row r="87" spans="1:29">
      <c r="A87" s="62"/>
      <c r="B87" s="62"/>
      <c r="C87" s="62"/>
      <c r="D87" s="62"/>
      <c r="E87" s="62"/>
      <c r="F87" s="62"/>
      <c r="G87" s="62"/>
      <c r="H87" s="62"/>
      <c r="I87" s="62"/>
      <c r="J87" s="62"/>
      <c r="K87" s="53"/>
      <c r="L87" s="62"/>
      <c r="M87" s="63"/>
      <c r="N87" s="63"/>
      <c r="O87" s="63"/>
      <c r="P87" s="63"/>
      <c r="Q87" s="63"/>
      <c r="R87" s="63"/>
      <c r="S87" s="63"/>
      <c r="T87" s="63"/>
      <c r="U87" s="63"/>
      <c r="V87" s="63"/>
      <c r="W87" s="63"/>
      <c r="X87" s="63"/>
      <c r="Y87" s="63"/>
      <c r="Z87" s="63"/>
      <c r="AA87" s="63"/>
      <c r="AB87" s="63"/>
      <c r="AC87" s="63"/>
    </row>
    <row r="88" spans="1:29">
      <c r="A88" s="62"/>
      <c r="B88" s="62"/>
      <c r="C88" s="62"/>
      <c r="D88" s="62"/>
      <c r="E88" s="62"/>
      <c r="F88" s="62"/>
      <c r="G88" s="62"/>
      <c r="H88" s="62"/>
      <c r="I88" s="62"/>
      <c r="J88" s="62"/>
      <c r="K88" s="53"/>
      <c r="L88" s="62"/>
      <c r="M88" s="63"/>
      <c r="N88" s="63"/>
      <c r="O88" s="63"/>
      <c r="P88" s="63"/>
      <c r="Q88" s="63"/>
      <c r="R88" s="63"/>
      <c r="S88" s="63"/>
      <c r="T88" s="63"/>
      <c r="U88" s="63"/>
      <c r="V88" s="63"/>
      <c r="W88" s="63"/>
      <c r="X88" s="63"/>
      <c r="Y88" s="63"/>
      <c r="Z88" s="63"/>
      <c r="AA88" s="63"/>
      <c r="AB88" s="63"/>
      <c r="AC88" s="63"/>
    </row>
    <row r="89" spans="1:29">
      <c r="A89" s="62"/>
      <c r="B89" s="62"/>
      <c r="C89" s="62"/>
      <c r="D89" s="62"/>
      <c r="E89" s="62"/>
      <c r="F89" s="62"/>
      <c r="G89" s="62"/>
      <c r="H89" s="62"/>
      <c r="I89" s="62"/>
      <c r="J89" s="62"/>
      <c r="K89" s="53"/>
      <c r="L89" s="62"/>
      <c r="M89" s="63"/>
      <c r="N89" s="63"/>
      <c r="O89" s="63"/>
      <c r="P89" s="63"/>
      <c r="Q89" s="63"/>
      <c r="R89" s="63"/>
      <c r="S89" s="63"/>
      <c r="T89" s="63"/>
      <c r="U89" s="63"/>
      <c r="V89" s="63"/>
      <c r="W89" s="63"/>
      <c r="X89" s="63"/>
      <c r="Y89" s="63"/>
      <c r="Z89" s="63"/>
      <c r="AA89" s="63"/>
      <c r="AB89" s="63"/>
      <c r="AC89" s="63"/>
    </row>
    <row r="90" spans="1:29">
      <c r="A90" s="62"/>
      <c r="B90" s="62"/>
      <c r="C90" s="62"/>
      <c r="D90" s="62"/>
      <c r="E90" s="62"/>
      <c r="F90" s="62"/>
      <c r="G90" s="62"/>
      <c r="H90" s="62"/>
      <c r="I90" s="62"/>
      <c r="J90" s="62"/>
      <c r="K90" s="53"/>
      <c r="L90" s="62"/>
      <c r="M90" s="63"/>
      <c r="N90" s="63"/>
      <c r="O90" s="63"/>
      <c r="P90" s="63"/>
      <c r="Q90" s="63"/>
      <c r="R90" s="63"/>
      <c r="S90" s="63"/>
      <c r="T90" s="63"/>
      <c r="U90" s="63"/>
      <c r="V90" s="63"/>
      <c r="W90" s="63"/>
      <c r="X90" s="63"/>
      <c r="Y90" s="63"/>
      <c r="Z90" s="63"/>
      <c r="AA90" s="63"/>
      <c r="AB90" s="63"/>
      <c r="AC90" s="63"/>
    </row>
    <row r="91" spans="1:29">
      <c r="A91" s="62"/>
      <c r="B91" s="62"/>
      <c r="C91" s="62"/>
      <c r="D91" s="62"/>
      <c r="E91" s="62"/>
      <c r="F91" s="62"/>
      <c r="G91" s="62"/>
      <c r="H91" s="62"/>
      <c r="I91" s="62"/>
      <c r="J91" s="62"/>
      <c r="K91" s="53"/>
      <c r="L91" s="62"/>
      <c r="M91" s="63"/>
      <c r="N91" s="63"/>
      <c r="O91" s="63"/>
      <c r="P91" s="63"/>
      <c r="Q91" s="63"/>
      <c r="R91" s="63"/>
      <c r="S91" s="63"/>
      <c r="T91" s="63"/>
      <c r="U91" s="63"/>
      <c r="V91" s="63"/>
      <c r="W91" s="63"/>
      <c r="X91" s="63"/>
      <c r="Y91" s="63"/>
      <c r="Z91" s="63"/>
      <c r="AA91" s="63"/>
      <c r="AB91" s="63"/>
      <c r="AC91" s="63"/>
    </row>
    <row r="92" spans="1:29">
      <c r="A92" s="62"/>
      <c r="B92" s="62"/>
      <c r="C92" s="62"/>
      <c r="D92" s="62"/>
      <c r="E92" s="62"/>
      <c r="F92" s="62"/>
      <c r="G92" s="62"/>
      <c r="H92" s="62"/>
      <c r="I92" s="62"/>
      <c r="J92" s="62"/>
      <c r="K92" s="53"/>
      <c r="L92" s="62"/>
      <c r="M92" s="63"/>
      <c r="N92" s="63"/>
      <c r="O92" s="63"/>
      <c r="P92" s="63"/>
      <c r="Q92" s="63"/>
      <c r="R92" s="63"/>
      <c r="S92" s="63"/>
      <c r="T92" s="63"/>
      <c r="U92" s="63"/>
      <c r="V92" s="63"/>
      <c r="W92" s="63"/>
      <c r="X92" s="63"/>
      <c r="Y92" s="63"/>
      <c r="Z92" s="63"/>
      <c r="AA92" s="63"/>
      <c r="AB92" s="63"/>
      <c r="AC92" s="63"/>
    </row>
    <row r="93" spans="1:29">
      <c r="A93" s="62"/>
      <c r="B93" s="62"/>
      <c r="C93" s="62"/>
      <c r="D93" s="62"/>
      <c r="E93" s="62"/>
      <c r="F93" s="62"/>
      <c r="G93" s="62"/>
      <c r="H93" s="62"/>
      <c r="I93" s="62"/>
      <c r="J93" s="62"/>
      <c r="K93" s="53"/>
      <c r="L93" s="62"/>
      <c r="M93" s="63"/>
      <c r="N93" s="63"/>
      <c r="O93" s="63"/>
      <c r="P93" s="63"/>
      <c r="Q93" s="63"/>
      <c r="R93" s="63"/>
      <c r="S93" s="63"/>
      <c r="T93" s="63"/>
      <c r="U93" s="63"/>
      <c r="V93" s="63"/>
      <c r="W93" s="63"/>
      <c r="X93" s="63"/>
      <c r="Y93" s="63"/>
      <c r="Z93" s="63"/>
      <c r="AA93" s="63"/>
      <c r="AB93" s="63"/>
      <c r="AC93" s="63"/>
    </row>
    <row r="94" spans="1:29">
      <c r="A94" s="62"/>
      <c r="B94" s="62"/>
      <c r="C94" s="62"/>
      <c r="D94" s="62"/>
      <c r="E94" s="62"/>
      <c r="F94" s="62"/>
      <c r="G94" s="62"/>
      <c r="H94" s="62"/>
      <c r="I94" s="62"/>
      <c r="J94" s="62"/>
      <c r="K94" s="53"/>
      <c r="L94" s="62"/>
      <c r="M94" s="63"/>
      <c r="N94" s="63"/>
      <c r="O94" s="63"/>
      <c r="P94" s="63"/>
      <c r="Q94" s="63"/>
      <c r="R94" s="63"/>
      <c r="S94" s="63"/>
      <c r="T94" s="63"/>
      <c r="U94" s="63"/>
      <c r="V94" s="63"/>
      <c r="W94" s="63"/>
      <c r="X94" s="63"/>
      <c r="Y94" s="63"/>
      <c r="Z94" s="63"/>
      <c r="AA94" s="63"/>
      <c r="AB94" s="63"/>
      <c r="AC94" s="63"/>
    </row>
    <row r="95" spans="1:29">
      <c r="A95" s="62"/>
      <c r="B95" s="62"/>
      <c r="C95" s="62"/>
      <c r="D95" s="62"/>
      <c r="E95" s="62"/>
      <c r="F95" s="62"/>
      <c r="G95" s="62"/>
      <c r="H95" s="62"/>
      <c r="I95" s="62"/>
      <c r="J95" s="62"/>
      <c r="K95" s="53"/>
      <c r="L95" s="62"/>
      <c r="M95" s="63"/>
      <c r="N95" s="63"/>
      <c r="O95" s="63"/>
      <c r="P95" s="63"/>
      <c r="Q95" s="63"/>
      <c r="R95" s="63"/>
      <c r="S95" s="63"/>
      <c r="T95" s="63"/>
      <c r="U95" s="63"/>
      <c r="V95" s="63"/>
      <c r="W95" s="63"/>
      <c r="X95" s="63"/>
      <c r="Y95" s="63"/>
      <c r="Z95" s="63"/>
      <c r="AA95" s="63"/>
      <c r="AB95" s="63"/>
      <c r="AC95" s="63"/>
    </row>
    <row r="96" spans="1:29">
      <c r="A96" s="62"/>
      <c r="B96" s="62"/>
      <c r="C96" s="62"/>
      <c r="D96" s="62"/>
      <c r="E96" s="62"/>
      <c r="F96" s="62"/>
      <c r="G96" s="62"/>
      <c r="H96" s="62"/>
      <c r="I96" s="62"/>
      <c r="J96" s="62"/>
      <c r="K96" s="53"/>
      <c r="L96" s="62"/>
      <c r="M96" s="63"/>
      <c r="N96" s="63"/>
      <c r="O96" s="63"/>
      <c r="P96" s="63"/>
      <c r="Q96" s="63"/>
      <c r="R96" s="63"/>
      <c r="S96" s="63"/>
      <c r="T96" s="63"/>
      <c r="U96" s="63"/>
      <c r="V96" s="63"/>
      <c r="W96" s="63"/>
      <c r="X96" s="63"/>
      <c r="Y96" s="63"/>
      <c r="Z96" s="63"/>
      <c r="AA96" s="63"/>
      <c r="AB96" s="63"/>
      <c r="AC96" s="63"/>
    </row>
    <row r="97" spans="1:29">
      <c r="A97" s="62"/>
      <c r="B97" s="62"/>
      <c r="C97" s="62"/>
      <c r="D97" s="62"/>
      <c r="E97" s="62"/>
      <c r="F97" s="62"/>
      <c r="G97" s="62"/>
      <c r="H97" s="62"/>
      <c r="I97" s="62"/>
      <c r="J97" s="62"/>
      <c r="K97" s="53"/>
      <c r="L97" s="62"/>
      <c r="M97" s="63"/>
      <c r="N97" s="63"/>
      <c r="O97" s="63"/>
      <c r="P97" s="63"/>
      <c r="Q97" s="63"/>
      <c r="R97" s="63"/>
      <c r="S97" s="63"/>
      <c r="T97" s="63"/>
      <c r="U97" s="63"/>
      <c r="V97" s="63"/>
      <c r="W97" s="63"/>
      <c r="X97" s="63"/>
      <c r="Y97" s="63"/>
      <c r="Z97" s="63"/>
      <c r="AA97" s="63"/>
      <c r="AB97" s="63"/>
      <c r="AC97" s="63"/>
    </row>
    <row r="98" spans="1:29">
      <c r="A98" s="62"/>
      <c r="B98" s="62"/>
      <c r="C98" s="62"/>
      <c r="D98" s="62"/>
      <c r="E98" s="62"/>
      <c r="F98" s="62"/>
      <c r="G98" s="62"/>
      <c r="H98" s="62"/>
      <c r="I98" s="62"/>
      <c r="J98" s="62"/>
      <c r="K98" s="53"/>
      <c r="L98" s="62"/>
      <c r="M98" s="63"/>
      <c r="N98" s="63"/>
      <c r="O98" s="63"/>
      <c r="P98" s="63"/>
      <c r="Q98" s="63"/>
      <c r="R98" s="63"/>
      <c r="S98" s="63"/>
      <c r="T98" s="63"/>
      <c r="U98" s="63"/>
      <c r="V98" s="63"/>
      <c r="W98" s="63"/>
      <c r="X98" s="63"/>
      <c r="Y98" s="63"/>
      <c r="Z98" s="63"/>
      <c r="AA98" s="63"/>
      <c r="AB98" s="63"/>
      <c r="AC98" s="63"/>
    </row>
    <row r="99" spans="1:29">
      <c r="A99" s="62"/>
      <c r="B99" s="62"/>
      <c r="C99" s="62"/>
      <c r="D99" s="62"/>
      <c r="E99" s="62"/>
      <c r="F99" s="62"/>
      <c r="G99" s="62"/>
      <c r="H99" s="62"/>
      <c r="I99" s="62"/>
      <c r="J99" s="62"/>
      <c r="K99" s="53"/>
      <c r="L99" s="62"/>
      <c r="M99" s="63"/>
      <c r="N99" s="63"/>
      <c r="O99" s="63"/>
      <c r="P99" s="63"/>
      <c r="Q99" s="63"/>
      <c r="R99" s="63"/>
      <c r="S99" s="63"/>
      <c r="T99" s="63"/>
      <c r="U99" s="63"/>
      <c r="V99" s="63"/>
      <c r="W99" s="63"/>
      <c r="X99" s="63"/>
      <c r="Y99" s="63"/>
      <c r="Z99" s="63"/>
      <c r="AA99" s="63"/>
      <c r="AB99" s="63"/>
      <c r="AC99" s="63"/>
    </row>
    <row r="100" spans="1:29">
      <c r="A100" s="62"/>
      <c r="B100" s="62"/>
      <c r="C100" s="62"/>
      <c r="D100" s="62"/>
      <c r="E100" s="62"/>
      <c r="F100" s="62"/>
      <c r="G100" s="62"/>
      <c r="H100" s="62"/>
      <c r="I100" s="62"/>
      <c r="J100" s="62"/>
      <c r="K100" s="53"/>
      <c r="L100" s="62"/>
      <c r="M100" s="63"/>
      <c r="N100" s="63"/>
      <c r="O100" s="63"/>
      <c r="P100" s="63"/>
      <c r="Q100" s="63"/>
      <c r="R100" s="63"/>
      <c r="S100" s="63"/>
      <c r="T100" s="63"/>
      <c r="U100" s="63"/>
      <c r="V100" s="63"/>
      <c r="W100" s="63"/>
      <c r="X100" s="63"/>
      <c r="Y100" s="63"/>
      <c r="Z100" s="63"/>
      <c r="AA100" s="63"/>
      <c r="AB100" s="63"/>
      <c r="AC100" s="63"/>
    </row>
    <row r="101" spans="1:29">
      <c r="A101" s="62"/>
      <c r="B101" s="62"/>
      <c r="C101" s="62"/>
      <c r="D101" s="62"/>
      <c r="E101" s="62"/>
      <c r="F101" s="62"/>
      <c r="G101" s="62"/>
      <c r="H101" s="62"/>
      <c r="I101" s="62"/>
      <c r="J101" s="62"/>
      <c r="K101" s="53"/>
      <c r="L101" s="62"/>
      <c r="M101" s="63"/>
      <c r="N101" s="63"/>
      <c r="O101" s="63"/>
      <c r="P101" s="63"/>
      <c r="Q101" s="63"/>
      <c r="R101" s="63"/>
      <c r="S101" s="63"/>
      <c r="T101" s="63"/>
      <c r="U101" s="63"/>
      <c r="V101" s="63"/>
      <c r="W101" s="63"/>
      <c r="X101" s="63"/>
      <c r="Y101" s="63"/>
      <c r="Z101" s="63"/>
      <c r="AA101" s="63"/>
      <c r="AB101" s="63"/>
      <c r="AC101" s="63"/>
    </row>
    <row r="102" spans="1:29">
      <c r="A102" s="62"/>
      <c r="B102" s="62"/>
      <c r="C102" s="62"/>
      <c r="D102" s="62"/>
      <c r="E102" s="62"/>
      <c r="F102" s="62"/>
      <c r="G102" s="62"/>
      <c r="H102" s="62"/>
      <c r="I102" s="62"/>
      <c r="J102" s="62"/>
      <c r="K102" s="53"/>
      <c r="L102" s="62"/>
      <c r="M102" s="63"/>
      <c r="N102" s="63"/>
      <c r="O102" s="63"/>
      <c r="P102" s="63"/>
      <c r="Q102" s="63"/>
      <c r="R102" s="63"/>
      <c r="S102" s="63"/>
      <c r="T102" s="63"/>
      <c r="U102" s="63"/>
      <c r="V102" s="63"/>
      <c r="W102" s="63"/>
      <c r="X102" s="63"/>
      <c r="Y102" s="63"/>
      <c r="Z102" s="63"/>
      <c r="AA102" s="63"/>
      <c r="AB102" s="63"/>
      <c r="AC102" s="63"/>
    </row>
    <row r="103" spans="1:29">
      <c r="A103" s="62"/>
      <c r="B103" s="62"/>
      <c r="C103" s="62"/>
      <c r="D103" s="62"/>
      <c r="E103" s="62"/>
      <c r="F103" s="62"/>
      <c r="G103" s="62"/>
      <c r="H103" s="62"/>
      <c r="I103" s="62"/>
      <c r="J103" s="62"/>
      <c r="K103" s="53"/>
      <c r="L103" s="62"/>
      <c r="M103" s="63"/>
      <c r="N103" s="63"/>
      <c r="O103" s="63"/>
      <c r="P103" s="63"/>
      <c r="Q103" s="63"/>
      <c r="R103" s="63"/>
      <c r="S103" s="63"/>
      <c r="T103" s="63"/>
      <c r="U103" s="63"/>
      <c r="V103" s="63"/>
      <c r="W103" s="63"/>
      <c r="X103" s="63"/>
      <c r="Y103" s="63"/>
      <c r="Z103" s="63"/>
      <c r="AA103" s="63"/>
      <c r="AB103" s="63"/>
      <c r="AC103" s="63"/>
    </row>
    <row r="104" spans="1:29">
      <c r="A104" s="62"/>
      <c r="B104" s="62"/>
      <c r="C104" s="62"/>
      <c r="D104" s="62"/>
      <c r="E104" s="62"/>
      <c r="F104" s="62"/>
      <c r="G104" s="62"/>
      <c r="H104" s="62"/>
      <c r="I104" s="62"/>
      <c r="J104" s="62"/>
      <c r="K104" s="53"/>
      <c r="L104" s="62"/>
      <c r="M104" s="63"/>
      <c r="N104" s="63"/>
      <c r="O104" s="63"/>
      <c r="P104" s="63"/>
      <c r="Q104" s="63"/>
      <c r="R104" s="63"/>
      <c r="S104" s="63"/>
      <c r="T104" s="63"/>
      <c r="U104" s="63"/>
      <c r="V104" s="63"/>
      <c r="W104" s="63"/>
      <c r="X104" s="63"/>
      <c r="Y104" s="63"/>
      <c r="Z104" s="63"/>
      <c r="AA104" s="63"/>
      <c r="AB104" s="63"/>
      <c r="AC104" s="63"/>
    </row>
    <row r="105" spans="1:29">
      <c r="A105" s="62"/>
      <c r="B105" s="62"/>
      <c r="C105" s="62"/>
      <c r="D105" s="62"/>
      <c r="E105" s="62"/>
      <c r="F105" s="62"/>
      <c r="G105" s="62"/>
      <c r="H105" s="62"/>
      <c r="I105" s="62"/>
      <c r="J105" s="62"/>
      <c r="K105" s="53"/>
      <c r="L105" s="62"/>
      <c r="M105" s="63"/>
      <c r="N105" s="63"/>
      <c r="O105" s="63"/>
      <c r="P105" s="63"/>
      <c r="Q105" s="63"/>
      <c r="R105" s="63"/>
      <c r="S105" s="63"/>
      <c r="T105" s="63"/>
      <c r="U105" s="63"/>
      <c r="V105" s="63"/>
      <c r="W105" s="63"/>
      <c r="X105" s="63"/>
      <c r="Y105" s="63"/>
      <c r="Z105" s="63"/>
      <c r="AA105" s="63"/>
      <c r="AB105" s="63"/>
      <c r="AC105" s="63"/>
    </row>
    <row r="106" spans="1:29">
      <c r="A106" s="62"/>
      <c r="B106" s="62"/>
      <c r="C106" s="62"/>
      <c r="D106" s="62"/>
      <c r="E106" s="62"/>
      <c r="F106" s="62"/>
      <c r="G106" s="62"/>
      <c r="H106" s="62"/>
      <c r="I106" s="62"/>
      <c r="J106" s="62"/>
      <c r="K106" s="53"/>
      <c r="L106" s="62"/>
      <c r="M106" s="63"/>
      <c r="N106" s="63"/>
      <c r="O106" s="63"/>
      <c r="P106" s="63"/>
      <c r="Q106" s="63"/>
      <c r="R106" s="63"/>
      <c r="S106" s="63"/>
      <c r="T106" s="63"/>
      <c r="U106" s="63"/>
      <c r="V106" s="63"/>
      <c r="W106" s="63"/>
      <c r="X106" s="63"/>
      <c r="Y106" s="63"/>
      <c r="Z106" s="63"/>
      <c r="AA106" s="63"/>
      <c r="AB106" s="63"/>
      <c r="AC106" s="63"/>
    </row>
    <row r="107" spans="1:29">
      <c r="A107" s="62"/>
      <c r="B107" s="62"/>
      <c r="C107" s="62"/>
      <c r="D107" s="62"/>
      <c r="E107" s="62"/>
      <c r="F107" s="62"/>
      <c r="G107" s="62"/>
      <c r="H107" s="62"/>
      <c r="I107" s="62"/>
      <c r="J107" s="62"/>
      <c r="K107" s="53"/>
      <c r="L107" s="62"/>
      <c r="M107" s="63"/>
      <c r="N107" s="63"/>
      <c r="O107" s="63"/>
      <c r="P107" s="63"/>
      <c r="Q107" s="63"/>
      <c r="R107" s="63"/>
      <c r="S107" s="63"/>
      <c r="T107" s="63"/>
      <c r="U107" s="63"/>
      <c r="V107" s="63"/>
      <c r="W107" s="63"/>
      <c r="X107" s="63"/>
      <c r="Y107" s="63"/>
      <c r="Z107" s="63"/>
      <c r="AA107" s="63"/>
      <c r="AB107" s="63"/>
      <c r="AC107" s="63"/>
    </row>
    <row r="108" spans="1:29">
      <c r="A108" s="62"/>
      <c r="B108" s="62"/>
      <c r="C108" s="62"/>
      <c r="D108" s="62"/>
      <c r="E108" s="62"/>
      <c r="F108" s="62"/>
      <c r="G108" s="62"/>
      <c r="H108" s="62"/>
      <c r="I108" s="62"/>
      <c r="J108" s="62"/>
      <c r="K108" s="53"/>
      <c r="L108" s="62"/>
      <c r="M108" s="63"/>
      <c r="N108" s="63"/>
      <c r="O108" s="63"/>
      <c r="P108" s="63"/>
      <c r="Q108" s="63"/>
      <c r="R108" s="63"/>
      <c r="S108" s="63"/>
      <c r="T108" s="63"/>
      <c r="U108" s="63"/>
      <c r="V108" s="63"/>
      <c r="W108" s="63"/>
      <c r="X108" s="63"/>
      <c r="Y108" s="63"/>
      <c r="Z108" s="63"/>
      <c r="AA108" s="63"/>
      <c r="AB108" s="63"/>
      <c r="AC108" s="63"/>
    </row>
    <row r="109" spans="1:29">
      <c r="A109" s="62"/>
      <c r="B109" s="62"/>
      <c r="C109" s="62"/>
      <c r="D109" s="62"/>
      <c r="E109" s="62"/>
      <c r="F109" s="62"/>
      <c r="G109" s="62"/>
      <c r="H109" s="62"/>
      <c r="I109" s="62"/>
      <c r="J109" s="62"/>
      <c r="K109" s="53"/>
      <c r="L109" s="62"/>
      <c r="M109" s="63"/>
      <c r="N109" s="63"/>
      <c r="O109" s="63"/>
      <c r="P109" s="63"/>
      <c r="Q109" s="63"/>
      <c r="R109" s="63"/>
      <c r="S109" s="63"/>
      <c r="T109" s="63"/>
      <c r="U109" s="63"/>
      <c r="V109" s="63"/>
      <c r="W109" s="63"/>
      <c r="X109" s="63"/>
      <c r="Y109" s="63"/>
      <c r="Z109" s="63"/>
      <c r="AA109" s="63"/>
      <c r="AB109" s="63"/>
      <c r="AC109" s="63"/>
    </row>
    <row r="110" spans="1:29">
      <c r="A110" s="62"/>
      <c r="B110" s="62"/>
      <c r="C110" s="62"/>
      <c r="D110" s="62"/>
      <c r="E110" s="62"/>
      <c r="F110" s="62"/>
      <c r="G110" s="62"/>
      <c r="H110" s="62"/>
      <c r="I110" s="62"/>
      <c r="J110" s="62"/>
      <c r="K110" s="53"/>
      <c r="L110" s="62"/>
      <c r="M110" s="63"/>
      <c r="N110" s="63"/>
      <c r="O110" s="63"/>
      <c r="P110" s="63"/>
      <c r="Q110" s="63"/>
      <c r="R110" s="63"/>
      <c r="S110" s="63"/>
      <c r="T110" s="63"/>
      <c r="U110" s="63"/>
      <c r="V110" s="63"/>
      <c r="W110" s="63"/>
      <c r="X110" s="63"/>
      <c r="Y110" s="63"/>
      <c r="Z110" s="63"/>
      <c r="AA110" s="63"/>
      <c r="AB110" s="63"/>
      <c r="AC110" s="63"/>
    </row>
    <row r="111" spans="1:29">
      <c r="A111" s="62"/>
      <c r="B111" s="62"/>
      <c r="C111" s="62"/>
      <c r="D111" s="62"/>
      <c r="E111" s="62"/>
      <c r="F111" s="62"/>
      <c r="G111" s="62"/>
      <c r="H111" s="62"/>
      <c r="I111" s="62"/>
      <c r="J111" s="62"/>
      <c r="K111" s="53"/>
      <c r="L111" s="62"/>
      <c r="M111" s="63"/>
      <c r="N111" s="63"/>
      <c r="O111" s="63"/>
      <c r="P111" s="63"/>
      <c r="Q111" s="63"/>
      <c r="R111" s="63"/>
      <c r="S111" s="63"/>
      <c r="T111" s="63"/>
      <c r="U111" s="63"/>
      <c r="V111" s="63"/>
      <c r="W111" s="63"/>
      <c r="X111" s="63"/>
      <c r="Y111" s="63"/>
      <c r="Z111" s="63"/>
      <c r="AA111" s="63"/>
      <c r="AB111" s="63"/>
      <c r="AC111" s="63"/>
    </row>
    <row r="112" spans="1:29">
      <c r="A112" s="62"/>
      <c r="B112" s="62"/>
      <c r="C112" s="62"/>
      <c r="D112" s="62"/>
      <c r="E112" s="62"/>
      <c r="F112" s="62"/>
      <c r="G112" s="62"/>
      <c r="H112" s="62"/>
      <c r="I112" s="62"/>
      <c r="J112" s="62"/>
      <c r="K112" s="53"/>
      <c r="L112" s="62"/>
      <c r="M112" s="63"/>
      <c r="N112" s="63"/>
      <c r="O112" s="63"/>
      <c r="P112" s="63"/>
      <c r="Q112" s="63"/>
      <c r="R112" s="63"/>
      <c r="S112" s="63"/>
      <c r="T112" s="63"/>
      <c r="U112" s="63"/>
      <c r="V112" s="63"/>
      <c r="W112" s="63"/>
      <c r="X112" s="63"/>
      <c r="Y112" s="63"/>
      <c r="Z112" s="63"/>
      <c r="AA112" s="63"/>
      <c r="AB112" s="63"/>
      <c r="AC112" s="63"/>
    </row>
    <row r="113" spans="1:29">
      <c r="A113" s="62"/>
      <c r="B113" s="62"/>
      <c r="C113" s="62"/>
      <c r="D113" s="62"/>
      <c r="E113" s="62"/>
      <c r="F113" s="62"/>
      <c r="G113" s="62"/>
      <c r="H113" s="62"/>
      <c r="I113" s="62"/>
      <c r="J113" s="62"/>
      <c r="K113" s="53"/>
      <c r="L113" s="62"/>
      <c r="M113" s="63"/>
      <c r="N113" s="63"/>
      <c r="O113" s="63"/>
      <c r="P113" s="63"/>
      <c r="Q113" s="63"/>
      <c r="R113" s="63"/>
      <c r="S113" s="63"/>
      <c r="T113" s="63"/>
      <c r="U113" s="63"/>
      <c r="V113" s="63"/>
      <c r="W113" s="63"/>
      <c r="X113" s="63"/>
      <c r="Y113" s="63"/>
      <c r="Z113" s="63"/>
      <c r="AA113" s="63"/>
      <c r="AB113" s="63"/>
      <c r="AC113" s="63"/>
    </row>
    <row r="114" spans="1:29">
      <c r="A114" s="62"/>
      <c r="B114" s="62"/>
      <c r="C114" s="62"/>
      <c r="D114" s="62"/>
      <c r="E114" s="62"/>
      <c r="F114" s="62"/>
      <c r="G114" s="62"/>
      <c r="H114" s="62"/>
      <c r="I114" s="62"/>
      <c r="J114" s="62"/>
      <c r="K114" s="53"/>
      <c r="L114" s="62"/>
      <c r="M114" s="63"/>
      <c r="N114" s="63"/>
      <c r="O114" s="63"/>
      <c r="P114" s="63"/>
      <c r="Q114" s="63"/>
      <c r="R114" s="63"/>
      <c r="S114" s="63"/>
      <c r="T114" s="63"/>
      <c r="U114" s="63"/>
      <c r="V114" s="63"/>
      <c r="W114" s="63"/>
      <c r="X114" s="63"/>
      <c r="Y114" s="63"/>
      <c r="Z114" s="63"/>
      <c r="AA114" s="63"/>
      <c r="AB114" s="63"/>
      <c r="AC114" s="63"/>
    </row>
    <row r="115" spans="1:29">
      <c r="A115" s="62"/>
      <c r="B115" s="62"/>
      <c r="C115" s="62"/>
      <c r="D115" s="62"/>
      <c r="E115" s="62"/>
      <c r="F115" s="62"/>
      <c r="G115" s="62"/>
      <c r="H115" s="62"/>
      <c r="I115" s="62"/>
      <c r="J115" s="62"/>
      <c r="K115" s="53"/>
      <c r="L115" s="62"/>
      <c r="M115" s="63"/>
      <c r="N115" s="63"/>
      <c r="O115" s="63"/>
      <c r="P115" s="63"/>
      <c r="Q115" s="63"/>
      <c r="R115" s="63"/>
      <c r="S115" s="63"/>
      <c r="T115" s="63"/>
      <c r="U115" s="63"/>
      <c r="V115" s="63"/>
      <c r="W115" s="63"/>
      <c r="X115" s="63"/>
      <c r="Y115" s="63"/>
      <c r="Z115" s="63"/>
      <c r="AA115" s="63"/>
      <c r="AB115" s="63"/>
      <c r="AC115" s="63"/>
    </row>
    <row r="116" spans="1:29">
      <c r="A116" s="62"/>
      <c r="B116" s="62"/>
      <c r="C116" s="62"/>
      <c r="D116" s="62"/>
      <c r="E116" s="62"/>
      <c r="F116" s="62"/>
      <c r="G116" s="62"/>
      <c r="H116" s="62"/>
      <c r="I116" s="62"/>
      <c r="J116" s="62"/>
      <c r="K116" s="53"/>
      <c r="L116" s="62"/>
      <c r="M116" s="63"/>
      <c r="N116" s="63"/>
      <c r="O116" s="63"/>
      <c r="P116" s="63"/>
      <c r="Q116" s="63"/>
      <c r="R116" s="63"/>
      <c r="S116" s="63"/>
      <c r="T116" s="63"/>
      <c r="U116" s="63"/>
      <c r="V116" s="63"/>
      <c r="W116" s="63"/>
      <c r="X116" s="63"/>
      <c r="Y116" s="63"/>
      <c r="Z116" s="63"/>
      <c r="AA116" s="63"/>
      <c r="AB116" s="63"/>
      <c r="AC116" s="63"/>
    </row>
    <row r="117" spans="1:29">
      <c r="A117" s="62"/>
      <c r="B117" s="62"/>
      <c r="C117" s="62"/>
      <c r="D117" s="62"/>
      <c r="E117" s="62"/>
      <c r="F117" s="62"/>
      <c r="G117" s="62"/>
      <c r="H117" s="62"/>
      <c r="I117" s="62"/>
      <c r="J117" s="62"/>
      <c r="K117" s="53"/>
      <c r="L117" s="62"/>
      <c r="M117" s="63"/>
      <c r="N117" s="63"/>
      <c r="O117" s="63"/>
      <c r="P117" s="63"/>
      <c r="Q117" s="63"/>
      <c r="R117" s="63"/>
      <c r="S117" s="63"/>
      <c r="T117" s="63"/>
      <c r="U117" s="63"/>
      <c r="V117" s="63"/>
      <c r="W117" s="63"/>
      <c r="X117" s="63"/>
      <c r="Y117" s="63"/>
      <c r="Z117" s="63"/>
      <c r="AA117" s="63"/>
      <c r="AB117" s="63"/>
      <c r="AC117" s="63"/>
    </row>
    <row r="118" spans="1:29">
      <c r="A118" s="62"/>
      <c r="B118" s="62"/>
      <c r="C118" s="62"/>
      <c r="D118" s="62"/>
      <c r="E118" s="62"/>
      <c r="F118" s="62"/>
      <c r="G118" s="62"/>
      <c r="H118" s="62"/>
      <c r="I118" s="62"/>
      <c r="J118" s="62"/>
      <c r="K118" s="53"/>
      <c r="L118" s="62"/>
      <c r="M118" s="63"/>
      <c r="N118" s="63"/>
      <c r="O118" s="63"/>
      <c r="P118" s="63"/>
      <c r="Q118" s="63"/>
      <c r="R118" s="63"/>
      <c r="S118" s="63"/>
      <c r="T118" s="63"/>
      <c r="U118" s="63"/>
      <c r="V118" s="63"/>
      <c r="W118" s="63"/>
      <c r="X118" s="63"/>
      <c r="Y118" s="63"/>
      <c r="Z118" s="63"/>
      <c r="AA118" s="63"/>
      <c r="AB118" s="63"/>
      <c r="AC118" s="63"/>
    </row>
    <row r="119" spans="1:29">
      <c r="A119" s="62"/>
      <c r="B119" s="62"/>
      <c r="C119" s="62"/>
      <c r="D119" s="62"/>
      <c r="E119" s="62"/>
      <c r="F119" s="62"/>
      <c r="G119" s="62"/>
      <c r="H119" s="62"/>
      <c r="I119" s="62"/>
      <c r="J119" s="62"/>
      <c r="K119" s="53"/>
      <c r="L119" s="62"/>
      <c r="M119" s="63"/>
      <c r="N119" s="63"/>
      <c r="O119" s="63"/>
      <c r="P119" s="63"/>
      <c r="Q119" s="63"/>
      <c r="R119" s="63"/>
      <c r="S119" s="63"/>
      <c r="T119" s="63"/>
      <c r="U119" s="63"/>
      <c r="V119" s="63"/>
      <c r="W119" s="63"/>
      <c r="X119" s="63"/>
      <c r="Y119" s="63"/>
      <c r="Z119" s="63"/>
      <c r="AA119" s="63"/>
      <c r="AB119" s="63"/>
      <c r="AC119" s="63"/>
    </row>
    <row r="120" spans="1:29">
      <c r="A120" s="62"/>
      <c r="B120" s="62"/>
      <c r="C120" s="62"/>
      <c r="D120" s="62"/>
      <c r="E120" s="62"/>
      <c r="F120" s="62"/>
      <c r="G120" s="62"/>
      <c r="H120" s="62"/>
      <c r="I120" s="62"/>
      <c r="J120" s="62"/>
      <c r="K120" s="53"/>
      <c r="L120" s="62"/>
      <c r="M120" s="63"/>
      <c r="N120" s="63"/>
      <c r="O120" s="63"/>
      <c r="P120" s="63"/>
      <c r="Q120" s="63"/>
      <c r="R120" s="63"/>
      <c r="S120" s="63"/>
      <c r="T120" s="63"/>
      <c r="U120" s="63"/>
      <c r="V120" s="63"/>
      <c r="W120" s="63"/>
      <c r="X120" s="63"/>
      <c r="Y120" s="63"/>
      <c r="Z120" s="63"/>
      <c r="AA120" s="63"/>
      <c r="AB120" s="63"/>
      <c r="AC120" s="63"/>
    </row>
    <row r="121" spans="1:29">
      <c r="A121" s="62"/>
      <c r="B121" s="62"/>
      <c r="C121" s="62"/>
      <c r="D121" s="62"/>
      <c r="E121" s="62"/>
      <c r="F121" s="62"/>
      <c r="G121" s="62"/>
      <c r="H121" s="62"/>
      <c r="I121" s="62"/>
      <c r="J121" s="62"/>
      <c r="K121" s="53"/>
      <c r="L121" s="62"/>
      <c r="M121" s="63"/>
      <c r="N121" s="63"/>
      <c r="O121" s="63"/>
      <c r="P121" s="63"/>
      <c r="Q121" s="63"/>
      <c r="R121" s="63"/>
      <c r="S121" s="63"/>
      <c r="T121" s="63"/>
      <c r="U121" s="63"/>
      <c r="V121" s="63"/>
      <c r="W121" s="63"/>
      <c r="X121" s="63"/>
      <c r="Y121" s="63"/>
      <c r="Z121" s="63"/>
      <c r="AA121" s="63"/>
      <c r="AB121" s="63"/>
      <c r="AC121" s="63"/>
    </row>
    <row r="122" spans="1:29">
      <c r="A122" s="62"/>
      <c r="B122" s="62"/>
      <c r="C122" s="62"/>
      <c r="D122" s="62"/>
      <c r="E122" s="62"/>
      <c r="F122" s="62"/>
      <c r="G122" s="62"/>
      <c r="H122" s="62"/>
      <c r="I122" s="62"/>
      <c r="J122" s="62"/>
      <c r="K122" s="53"/>
      <c r="L122" s="62"/>
      <c r="M122" s="63"/>
      <c r="N122" s="63"/>
      <c r="O122" s="63"/>
      <c r="P122" s="63"/>
      <c r="Q122" s="63"/>
      <c r="R122" s="63"/>
      <c r="S122" s="63"/>
      <c r="T122" s="63"/>
      <c r="U122" s="63"/>
      <c r="V122" s="63"/>
      <c r="W122" s="63"/>
      <c r="X122" s="63"/>
      <c r="Y122" s="63"/>
      <c r="Z122" s="63"/>
      <c r="AA122" s="63"/>
      <c r="AB122" s="63"/>
      <c r="AC122" s="63"/>
    </row>
    <row r="123" spans="1:29">
      <c r="A123" s="62"/>
      <c r="B123" s="62"/>
      <c r="C123" s="62"/>
      <c r="D123" s="62"/>
      <c r="E123" s="62"/>
      <c r="F123" s="62"/>
      <c r="G123" s="62"/>
      <c r="H123" s="62"/>
      <c r="I123" s="62"/>
      <c r="J123" s="62"/>
      <c r="K123" s="53"/>
      <c r="L123" s="62"/>
      <c r="M123" s="63"/>
      <c r="N123" s="63"/>
      <c r="O123" s="63"/>
      <c r="P123" s="63"/>
      <c r="Q123" s="63"/>
      <c r="R123" s="63"/>
      <c r="S123" s="63"/>
      <c r="T123" s="63"/>
      <c r="U123" s="63"/>
      <c r="V123" s="63"/>
      <c r="W123" s="63"/>
      <c r="X123" s="63"/>
      <c r="Y123" s="63"/>
      <c r="Z123" s="63"/>
      <c r="AA123" s="63"/>
      <c r="AB123" s="63"/>
      <c r="AC123" s="63"/>
    </row>
    <row r="124" spans="1:29">
      <c r="A124" s="62"/>
      <c r="B124" s="62"/>
      <c r="C124" s="62"/>
      <c r="D124" s="62"/>
      <c r="E124" s="62"/>
      <c r="F124" s="62"/>
      <c r="G124" s="62"/>
      <c r="H124" s="62"/>
      <c r="I124" s="62"/>
      <c r="J124" s="62"/>
      <c r="K124" s="53"/>
      <c r="L124" s="62"/>
      <c r="M124" s="63"/>
      <c r="N124" s="63"/>
      <c r="O124" s="63"/>
      <c r="P124" s="63"/>
      <c r="Q124" s="63"/>
      <c r="R124" s="63"/>
      <c r="S124" s="63"/>
      <c r="T124" s="63"/>
      <c r="U124" s="63"/>
      <c r="V124" s="63"/>
      <c r="W124" s="63"/>
      <c r="X124" s="63"/>
      <c r="Y124" s="63"/>
      <c r="Z124" s="63"/>
      <c r="AA124" s="63"/>
      <c r="AB124" s="63"/>
      <c r="AC124" s="63"/>
    </row>
    <row r="125" spans="1:29">
      <c r="A125" s="62"/>
      <c r="B125" s="62"/>
      <c r="C125" s="62"/>
      <c r="D125" s="62"/>
      <c r="E125" s="62"/>
      <c r="F125" s="62"/>
      <c r="G125" s="62"/>
      <c r="H125" s="62"/>
      <c r="I125" s="62"/>
      <c r="J125" s="62"/>
      <c r="K125" s="53"/>
      <c r="L125" s="62"/>
      <c r="M125" s="63"/>
      <c r="N125" s="63"/>
      <c r="O125" s="63"/>
      <c r="P125" s="63"/>
      <c r="Q125" s="63"/>
      <c r="R125" s="63"/>
      <c r="S125" s="63"/>
      <c r="T125" s="63"/>
      <c r="U125" s="63"/>
      <c r="V125" s="63"/>
      <c r="W125" s="63"/>
      <c r="X125" s="63"/>
      <c r="Y125" s="63"/>
      <c r="Z125" s="63"/>
      <c r="AA125" s="63"/>
      <c r="AB125" s="63"/>
      <c r="AC125" s="63"/>
    </row>
    <row r="126" spans="1:29">
      <c r="A126" s="62"/>
      <c r="B126" s="62"/>
      <c r="C126" s="62"/>
      <c r="D126" s="62"/>
      <c r="E126" s="62"/>
      <c r="F126" s="62"/>
      <c r="G126" s="62"/>
      <c r="H126" s="62"/>
      <c r="I126" s="62"/>
      <c r="J126" s="62"/>
      <c r="K126" s="53"/>
      <c r="L126" s="62"/>
      <c r="M126" s="63"/>
      <c r="N126" s="63"/>
      <c r="O126" s="63"/>
      <c r="P126" s="63"/>
      <c r="Q126" s="63"/>
      <c r="R126" s="63"/>
      <c r="S126" s="63"/>
      <c r="T126" s="63"/>
      <c r="U126" s="63"/>
      <c r="V126" s="63"/>
      <c r="W126" s="63"/>
      <c r="X126" s="63"/>
      <c r="Y126" s="63"/>
      <c r="Z126" s="63"/>
      <c r="AA126" s="63"/>
      <c r="AB126" s="63"/>
      <c r="AC126" s="63"/>
    </row>
    <row r="127" spans="1:29">
      <c r="A127" s="62"/>
      <c r="B127" s="62"/>
      <c r="C127" s="62"/>
      <c r="D127" s="62"/>
      <c r="E127" s="62"/>
      <c r="F127" s="62"/>
      <c r="G127" s="62"/>
      <c r="H127" s="62"/>
      <c r="I127" s="62"/>
      <c r="J127" s="62"/>
      <c r="K127" s="53"/>
      <c r="L127" s="62"/>
      <c r="M127" s="63"/>
      <c r="N127" s="63"/>
      <c r="O127" s="63"/>
      <c r="P127" s="63"/>
      <c r="Q127" s="63"/>
      <c r="R127" s="63"/>
      <c r="S127" s="63"/>
      <c r="T127" s="63"/>
      <c r="U127" s="63"/>
      <c r="V127" s="63"/>
      <c r="W127" s="63"/>
      <c r="X127" s="63"/>
      <c r="Y127" s="63"/>
      <c r="Z127" s="63"/>
      <c r="AA127" s="63"/>
      <c r="AB127" s="63"/>
      <c r="AC127" s="63"/>
    </row>
    <row r="128" spans="1:29">
      <c r="A128" s="62"/>
      <c r="B128" s="62"/>
      <c r="C128" s="62"/>
      <c r="D128" s="62"/>
      <c r="E128" s="62"/>
      <c r="F128" s="62"/>
      <c r="G128" s="62"/>
      <c r="H128" s="62"/>
      <c r="I128" s="62"/>
      <c r="J128" s="62"/>
      <c r="K128" s="53"/>
      <c r="L128" s="62"/>
      <c r="M128" s="63"/>
      <c r="N128" s="63"/>
      <c r="O128" s="63"/>
      <c r="P128" s="63"/>
      <c r="Q128" s="63"/>
      <c r="R128" s="63"/>
      <c r="S128" s="63"/>
      <c r="T128" s="63"/>
      <c r="U128" s="63"/>
      <c r="V128" s="63"/>
      <c r="W128" s="63"/>
      <c r="X128" s="63"/>
      <c r="Y128" s="63"/>
      <c r="Z128" s="63"/>
      <c r="AA128" s="63"/>
      <c r="AB128" s="63"/>
      <c r="AC128" s="63"/>
    </row>
    <row r="129" spans="1:29">
      <c r="A129" s="62"/>
      <c r="B129" s="62"/>
      <c r="C129" s="62"/>
      <c r="D129" s="62"/>
      <c r="E129" s="62"/>
      <c r="F129" s="62"/>
      <c r="G129" s="62"/>
      <c r="H129" s="62"/>
      <c r="I129" s="62"/>
      <c r="J129" s="62"/>
      <c r="K129" s="53"/>
      <c r="L129" s="62"/>
      <c r="M129" s="63"/>
      <c r="N129" s="63"/>
      <c r="O129" s="63"/>
      <c r="P129" s="63"/>
      <c r="Q129" s="63"/>
      <c r="R129" s="63"/>
      <c r="S129" s="63"/>
      <c r="T129" s="63"/>
      <c r="U129" s="63"/>
      <c r="V129" s="63"/>
      <c r="W129" s="63"/>
      <c r="X129" s="63"/>
      <c r="Y129" s="63"/>
      <c r="Z129" s="63"/>
      <c r="AA129" s="63"/>
      <c r="AB129" s="63"/>
      <c r="AC129" s="63"/>
    </row>
    <row r="130" spans="1:29">
      <c r="A130" s="62"/>
      <c r="B130" s="62"/>
      <c r="C130" s="62"/>
      <c r="D130" s="62"/>
      <c r="E130" s="62"/>
      <c r="F130" s="62"/>
      <c r="G130" s="62"/>
      <c r="H130" s="62"/>
      <c r="I130" s="62"/>
      <c r="J130" s="62"/>
      <c r="K130" s="53"/>
      <c r="L130" s="62"/>
      <c r="M130" s="63"/>
      <c r="N130" s="63"/>
      <c r="O130" s="63"/>
      <c r="P130" s="63"/>
      <c r="Q130" s="63"/>
      <c r="R130" s="63"/>
      <c r="S130" s="63"/>
      <c r="T130" s="63"/>
      <c r="U130" s="63"/>
      <c r="V130" s="63"/>
      <c r="W130" s="63"/>
      <c r="X130" s="63"/>
      <c r="Y130" s="63"/>
      <c r="Z130" s="63"/>
      <c r="AA130" s="63"/>
      <c r="AB130" s="63"/>
      <c r="AC130" s="63"/>
    </row>
    <row r="131" spans="1:29">
      <c r="A131" s="62"/>
      <c r="B131" s="62"/>
      <c r="C131" s="62"/>
      <c r="D131" s="62"/>
      <c r="E131" s="62"/>
      <c r="F131" s="62"/>
      <c r="G131" s="62"/>
      <c r="H131" s="62"/>
      <c r="I131" s="62"/>
      <c r="J131" s="62"/>
      <c r="K131" s="53"/>
      <c r="L131" s="62"/>
      <c r="M131" s="63"/>
      <c r="N131" s="63"/>
      <c r="O131" s="63"/>
      <c r="P131" s="63"/>
      <c r="Q131" s="63"/>
      <c r="R131" s="63"/>
      <c r="S131" s="63"/>
      <c r="T131" s="63"/>
      <c r="U131" s="63"/>
      <c r="V131" s="63"/>
      <c r="W131" s="63"/>
      <c r="X131" s="63"/>
      <c r="Y131" s="63"/>
      <c r="Z131" s="63"/>
      <c r="AA131" s="63"/>
      <c r="AB131" s="63"/>
      <c r="AC131" s="63"/>
    </row>
    <row r="132" spans="1:29">
      <c r="A132" s="62"/>
      <c r="B132" s="62"/>
      <c r="C132" s="62"/>
      <c r="D132" s="62"/>
      <c r="E132" s="62"/>
      <c r="F132" s="62"/>
      <c r="G132" s="62"/>
      <c r="H132" s="62"/>
      <c r="I132" s="62"/>
      <c r="J132" s="62"/>
      <c r="K132" s="53"/>
      <c r="L132" s="62"/>
      <c r="M132" s="63"/>
      <c r="N132" s="63"/>
      <c r="O132" s="63"/>
      <c r="P132" s="63"/>
      <c r="Q132" s="63"/>
      <c r="R132" s="63"/>
      <c r="S132" s="63"/>
      <c r="T132" s="63"/>
      <c r="U132" s="63"/>
      <c r="V132" s="63"/>
      <c r="W132" s="63"/>
      <c r="X132" s="63"/>
      <c r="Y132" s="63"/>
      <c r="Z132" s="63"/>
      <c r="AA132" s="63"/>
      <c r="AB132" s="63"/>
      <c r="AC132" s="63"/>
    </row>
    <row r="133" spans="1:29">
      <c r="A133" s="62"/>
      <c r="B133" s="62"/>
      <c r="C133" s="62"/>
      <c r="D133" s="62"/>
      <c r="E133" s="62"/>
      <c r="F133" s="62"/>
      <c r="G133" s="62"/>
      <c r="H133" s="62"/>
      <c r="I133" s="62"/>
      <c r="J133" s="62"/>
      <c r="K133" s="53"/>
      <c r="L133" s="62"/>
      <c r="M133" s="63"/>
      <c r="N133" s="63"/>
      <c r="O133" s="63"/>
      <c r="P133" s="63"/>
      <c r="Q133" s="63"/>
      <c r="R133" s="63"/>
      <c r="S133" s="63"/>
      <c r="T133" s="63"/>
      <c r="U133" s="63"/>
      <c r="V133" s="63"/>
      <c r="W133" s="63"/>
      <c r="X133" s="63"/>
      <c r="Y133" s="63"/>
      <c r="Z133" s="63"/>
      <c r="AA133" s="63"/>
      <c r="AB133" s="63"/>
      <c r="AC133" s="63"/>
    </row>
    <row r="134" spans="1:29">
      <c r="A134" s="62"/>
      <c r="B134" s="62"/>
      <c r="C134" s="62"/>
      <c r="D134" s="62"/>
      <c r="E134" s="62"/>
      <c r="F134" s="62"/>
      <c r="G134" s="62"/>
      <c r="H134" s="62"/>
      <c r="I134" s="62"/>
      <c r="J134" s="62"/>
      <c r="K134" s="53"/>
      <c r="L134" s="62"/>
      <c r="M134" s="63"/>
      <c r="N134" s="63"/>
      <c r="O134" s="63"/>
      <c r="P134" s="63"/>
      <c r="Q134" s="63"/>
      <c r="R134" s="63"/>
      <c r="S134" s="63"/>
      <c r="T134" s="63"/>
      <c r="U134" s="63"/>
      <c r="V134" s="63"/>
      <c r="W134" s="63"/>
      <c r="X134" s="63"/>
      <c r="Y134" s="63"/>
      <c r="Z134" s="63"/>
      <c r="AA134" s="63"/>
      <c r="AB134" s="63"/>
      <c r="AC134" s="63"/>
    </row>
    <row r="135" spans="1:29">
      <c r="A135" s="62"/>
      <c r="B135" s="62"/>
      <c r="C135" s="62"/>
      <c r="D135" s="62"/>
      <c r="E135" s="62"/>
      <c r="F135" s="62"/>
      <c r="G135" s="62"/>
      <c r="H135" s="62"/>
      <c r="I135" s="62"/>
      <c r="J135" s="62"/>
      <c r="K135" s="53"/>
      <c r="L135" s="62"/>
      <c r="M135" s="63"/>
      <c r="N135" s="63"/>
      <c r="O135" s="63"/>
      <c r="P135" s="63"/>
      <c r="Q135" s="63"/>
      <c r="R135" s="63"/>
      <c r="S135" s="63"/>
      <c r="T135" s="63"/>
      <c r="U135" s="63"/>
      <c r="V135" s="63"/>
      <c r="W135" s="63"/>
      <c r="X135" s="63"/>
      <c r="Y135" s="63"/>
      <c r="Z135" s="63"/>
      <c r="AA135" s="63"/>
      <c r="AB135" s="63"/>
      <c r="AC135" s="63"/>
    </row>
    <row r="136" spans="1:29">
      <c r="A136" s="62"/>
      <c r="B136" s="62"/>
      <c r="C136" s="62"/>
      <c r="D136" s="62"/>
      <c r="E136" s="62"/>
      <c r="F136" s="62"/>
      <c r="G136" s="62"/>
      <c r="H136" s="62"/>
      <c r="I136" s="62"/>
      <c r="J136" s="62"/>
      <c r="K136" s="53"/>
      <c r="L136" s="62"/>
      <c r="M136" s="63"/>
      <c r="N136" s="63"/>
      <c r="O136" s="63"/>
      <c r="P136" s="63"/>
      <c r="Q136" s="63"/>
      <c r="R136" s="63"/>
      <c r="S136" s="63"/>
      <c r="T136" s="63"/>
      <c r="U136" s="63"/>
      <c r="V136" s="63"/>
      <c r="W136" s="63"/>
      <c r="X136" s="63"/>
      <c r="Y136" s="63"/>
      <c r="Z136" s="63"/>
      <c r="AA136" s="63"/>
      <c r="AB136" s="63"/>
      <c r="AC136" s="63"/>
    </row>
    <row r="137" spans="1:29">
      <c r="A137" s="62"/>
      <c r="B137" s="62"/>
      <c r="C137" s="62"/>
      <c r="D137" s="62"/>
      <c r="E137" s="62"/>
      <c r="F137" s="62"/>
      <c r="G137" s="62"/>
      <c r="H137" s="62"/>
      <c r="I137" s="62"/>
      <c r="J137" s="62"/>
      <c r="K137" s="53"/>
      <c r="L137" s="62"/>
      <c r="M137" s="63"/>
      <c r="N137" s="63"/>
      <c r="O137" s="63"/>
      <c r="P137" s="63"/>
      <c r="Q137" s="63"/>
      <c r="R137" s="63"/>
      <c r="S137" s="63"/>
      <c r="T137" s="63"/>
      <c r="U137" s="63"/>
      <c r="V137" s="63"/>
      <c r="W137" s="63"/>
      <c r="X137" s="63"/>
      <c r="Y137" s="63"/>
      <c r="Z137" s="63"/>
      <c r="AA137" s="63"/>
      <c r="AB137" s="63"/>
      <c r="AC137" s="63"/>
    </row>
    <row r="138" spans="1:29">
      <c r="A138" s="62"/>
      <c r="B138" s="62"/>
      <c r="C138" s="62"/>
      <c r="D138" s="62"/>
      <c r="E138" s="62"/>
      <c r="F138" s="62"/>
      <c r="G138" s="62"/>
      <c r="H138" s="62"/>
      <c r="I138" s="62"/>
      <c r="J138" s="62"/>
      <c r="K138" s="53"/>
      <c r="L138" s="62"/>
      <c r="M138" s="63"/>
      <c r="N138" s="63"/>
      <c r="O138" s="63"/>
      <c r="P138" s="63"/>
      <c r="Q138" s="63"/>
      <c r="R138" s="63"/>
      <c r="S138" s="63"/>
      <c r="T138" s="63"/>
      <c r="U138" s="63"/>
      <c r="V138" s="63"/>
      <c r="W138" s="63"/>
      <c r="X138" s="63"/>
      <c r="Y138" s="63"/>
      <c r="Z138" s="63"/>
      <c r="AA138" s="63"/>
      <c r="AB138" s="63"/>
      <c r="AC138" s="63"/>
    </row>
    <row r="139" spans="1:29">
      <c r="A139" s="62"/>
      <c r="B139" s="62"/>
      <c r="C139" s="62"/>
      <c r="D139" s="62"/>
      <c r="E139" s="62"/>
      <c r="F139" s="62"/>
      <c r="G139" s="62"/>
      <c r="H139" s="62"/>
      <c r="I139" s="62"/>
      <c r="J139" s="62"/>
      <c r="K139" s="53"/>
      <c r="L139" s="62"/>
      <c r="M139" s="63"/>
      <c r="N139" s="63"/>
      <c r="O139" s="63"/>
      <c r="P139" s="63"/>
      <c r="Q139" s="63"/>
      <c r="R139" s="63"/>
      <c r="S139" s="63"/>
      <c r="T139" s="63"/>
      <c r="U139" s="63"/>
      <c r="V139" s="63"/>
      <c r="W139" s="63"/>
      <c r="X139" s="63"/>
      <c r="Y139" s="63"/>
      <c r="Z139" s="63"/>
      <c r="AA139" s="63"/>
      <c r="AB139" s="63"/>
      <c r="AC139" s="63"/>
    </row>
    <row r="140" spans="1:29">
      <c r="A140" s="62"/>
      <c r="B140" s="62"/>
      <c r="C140" s="62"/>
      <c r="D140" s="62"/>
      <c r="E140" s="62"/>
      <c r="F140" s="62"/>
      <c r="G140" s="62"/>
      <c r="H140" s="62"/>
      <c r="I140" s="62"/>
      <c r="J140" s="62"/>
      <c r="K140" s="53"/>
      <c r="L140" s="62"/>
      <c r="M140" s="63"/>
      <c r="N140" s="63"/>
      <c r="O140" s="63"/>
      <c r="P140" s="63"/>
      <c r="Q140" s="63"/>
      <c r="R140" s="63"/>
      <c r="S140" s="63"/>
      <c r="T140" s="63"/>
      <c r="U140" s="63"/>
      <c r="V140" s="63"/>
      <c r="W140" s="63"/>
      <c r="X140" s="63"/>
      <c r="Y140" s="63"/>
      <c r="Z140" s="63"/>
      <c r="AA140" s="63"/>
      <c r="AB140" s="63"/>
      <c r="AC140" s="63"/>
    </row>
    <row r="141" spans="1:29">
      <c r="A141" s="62"/>
      <c r="B141" s="62"/>
      <c r="C141" s="62"/>
      <c r="D141" s="62"/>
      <c r="E141" s="62"/>
      <c r="F141" s="62"/>
      <c r="G141" s="62"/>
      <c r="H141" s="62"/>
      <c r="I141" s="62"/>
      <c r="J141" s="62"/>
      <c r="K141" s="53"/>
      <c r="L141" s="62"/>
      <c r="M141" s="63"/>
      <c r="N141" s="63"/>
      <c r="O141" s="63"/>
      <c r="P141" s="63"/>
      <c r="Q141" s="63"/>
      <c r="R141" s="63"/>
      <c r="S141" s="63"/>
      <c r="T141" s="63"/>
      <c r="U141" s="63"/>
      <c r="V141" s="63"/>
      <c r="W141" s="63"/>
      <c r="X141" s="63"/>
      <c r="Y141" s="63"/>
      <c r="Z141" s="63"/>
      <c r="AA141" s="63"/>
      <c r="AB141" s="63"/>
      <c r="AC141" s="63"/>
    </row>
    <row r="142" spans="1:29">
      <c r="A142" s="62"/>
      <c r="B142" s="62"/>
      <c r="C142" s="62"/>
      <c r="D142" s="62"/>
      <c r="E142" s="62"/>
      <c r="F142" s="62"/>
      <c r="G142" s="62"/>
      <c r="H142" s="62"/>
      <c r="I142" s="62"/>
      <c r="J142" s="62"/>
      <c r="K142" s="53"/>
      <c r="L142" s="62"/>
      <c r="M142" s="63"/>
      <c r="N142" s="63"/>
      <c r="O142" s="63"/>
      <c r="P142" s="63"/>
      <c r="Q142" s="63"/>
      <c r="R142" s="63"/>
      <c r="S142" s="63"/>
      <c r="T142" s="63"/>
      <c r="U142" s="63"/>
      <c r="V142" s="63"/>
      <c r="W142" s="63"/>
      <c r="X142" s="63"/>
      <c r="Y142" s="63"/>
      <c r="Z142" s="63"/>
      <c r="AA142" s="63"/>
      <c r="AB142" s="63"/>
      <c r="AC142" s="63"/>
    </row>
    <row r="143" spans="1:29">
      <c r="A143" s="62"/>
      <c r="B143" s="62"/>
      <c r="C143" s="62"/>
      <c r="D143" s="62"/>
      <c r="E143" s="62"/>
      <c r="F143" s="62"/>
      <c r="G143" s="62"/>
      <c r="H143" s="62"/>
      <c r="I143" s="62"/>
      <c r="J143" s="62"/>
      <c r="K143" s="53"/>
      <c r="L143" s="62"/>
      <c r="M143" s="63"/>
      <c r="N143" s="63"/>
      <c r="O143" s="63"/>
      <c r="P143" s="63"/>
      <c r="Q143" s="63"/>
      <c r="R143" s="63"/>
      <c r="S143" s="63"/>
      <c r="T143" s="63"/>
      <c r="U143" s="63"/>
      <c r="V143" s="63"/>
      <c r="W143" s="63"/>
      <c r="X143" s="63"/>
      <c r="Y143" s="63"/>
      <c r="Z143" s="63"/>
      <c r="AA143" s="63"/>
      <c r="AB143" s="63"/>
      <c r="AC143" s="63"/>
    </row>
    <row r="144" spans="1:29">
      <c r="A144" s="62"/>
      <c r="B144" s="62"/>
      <c r="C144" s="62"/>
      <c r="D144" s="62"/>
      <c r="E144" s="62"/>
      <c r="F144" s="62"/>
      <c r="G144" s="62"/>
      <c r="H144" s="62"/>
      <c r="I144" s="62"/>
      <c r="J144" s="62"/>
      <c r="K144" s="53"/>
      <c r="L144" s="62"/>
      <c r="M144" s="63"/>
      <c r="N144" s="63"/>
      <c r="O144" s="63"/>
      <c r="P144" s="63"/>
      <c r="Q144" s="63"/>
      <c r="R144" s="63"/>
      <c r="S144" s="63"/>
      <c r="T144" s="63"/>
      <c r="U144" s="63"/>
      <c r="V144" s="63"/>
      <c r="W144" s="63"/>
      <c r="X144" s="63"/>
      <c r="Y144" s="63"/>
      <c r="Z144" s="63"/>
      <c r="AA144" s="63"/>
      <c r="AB144" s="63"/>
      <c r="AC144" s="63"/>
    </row>
    <row r="145" spans="1:29">
      <c r="A145" s="62"/>
      <c r="B145" s="62"/>
      <c r="C145" s="62"/>
      <c r="D145" s="62"/>
      <c r="E145" s="62"/>
      <c r="F145" s="62"/>
      <c r="G145" s="62"/>
      <c r="H145" s="62"/>
      <c r="I145" s="62"/>
      <c r="J145" s="62"/>
      <c r="K145" s="53"/>
      <c r="L145" s="62"/>
      <c r="M145" s="63"/>
      <c r="N145" s="63"/>
      <c r="O145" s="63"/>
      <c r="P145" s="63"/>
      <c r="Q145" s="63"/>
      <c r="R145" s="63"/>
      <c r="S145" s="63"/>
      <c r="T145" s="63"/>
      <c r="U145" s="63"/>
      <c r="V145" s="63"/>
      <c r="W145" s="63"/>
      <c r="X145" s="63"/>
      <c r="Y145" s="63"/>
      <c r="Z145" s="63"/>
      <c r="AA145" s="63"/>
      <c r="AB145" s="63"/>
      <c r="AC145" s="63"/>
    </row>
    <row r="146" spans="1:29">
      <c r="A146" s="62"/>
      <c r="B146" s="62"/>
      <c r="C146" s="62"/>
      <c r="D146" s="62"/>
      <c r="E146" s="62"/>
      <c r="F146" s="62"/>
      <c r="G146" s="62"/>
      <c r="H146" s="62"/>
      <c r="I146" s="62"/>
      <c r="J146" s="62"/>
      <c r="K146" s="53"/>
      <c r="L146" s="62"/>
      <c r="M146" s="63"/>
      <c r="N146" s="63"/>
      <c r="O146" s="63"/>
      <c r="P146" s="63"/>
      <c r="Q146" s="63"/>
      <c r="R146" s="63"/>
      <c r="S146" s="63"/>
      <c r="T146" s="63"/>
      <c r="U146" s="63"/>
      <c r="V146" s="63"/>
      <c r="W146" s="63"/>
      <c r="X146" s="63"/>
      <c r="Y146" s="63"/>
      <c r="Z146" s="63"/>
      <c r="AA146" s="63"/>
      <c r="AB146" s="63"/>
      <c r="AC146" s="63"/>
    </row>
    <row r="147" spans="1:29">
      <c r="A147" s="62"/>
      <c r="B147" s="62"/>
      <c r="C147" s="62"/>
      <c r="D147" s="62"/>
      <c r="E147" s="62"/>
      <c r="F147" s="62"/>
      <c r="G147" s="62"/>
      <c r="H147" s="62"/>
      <c r="I147" s="62"/>
      <c r="J147" s="62"/>
      <c r="K147" s="53"/>
      <c r="L147" s="62"/>
      <c r="M147" s="63"/>
      <c r="N147" s="63"/>
      <c r="O147" s="63"/>
      <c r="P147" s="63"/>
      <c r="Q147" s="63"/>
      <c r="R147" s="63"/>
      <c r="S147" s="63"/>
      <c r="T147" s="63"/>
      <c r="U147" s="63"/>
      <c r="V147" s="63"/>
      <c r="W147" s="63"/>
      <c r="X147" s="63"/>
      <c r="Y147" s="63"/>
      <c r="Z147" s="63"/>
      <c r="AA147" s="63"/>
      <c r="AB147" s="63"/>
      <c r="AC147" s="63"/>
    </row>
    <row r="148" spans="1:29">
      <c r="A148" s="62"/>
      <c r="B148" s="62"/>
      <c r="C148" s="62"/>
      <c r="D148" s="62"/>
      <c r="E148" s="62"/>
      <c r="F148" s="62"/>
      <c r="G148" s="62"/>
      <c r="H148" s="62"/>
      <c r="I148" s="62"/>
      <c r="J148" s="62"/>
      <c r="K148" s="53"/>
      <c r="L148" s="62"/>
      <c r="M148" s="63"/>
      <c r="N148" s="63"/>
      <c r="O148" s="63"/>
      <c r="P148" s="63"/>
      <c r="Q148" s="63"/>
      <c r="R148" s="63"/>
      <c r="S148" s="63"/>
      <c r="T148" s="63"/>
      <c r="U148" s="63"/>
      <c r="V148" s="63"/>
      <c r="W148" s="63"/>
      <c r="X148" s="63"/>
      <c r="Y148" s="63"/>
      <c r="Z148" s="63"/>
      <c r="AA148" s="63"/>
      <c r="AB148" s="63"/>
      <c r="AC148" s="63"/>
    </row>
    <row r="149" spans="1:29">
      <c r="A149" s="62"/>
      <c r="B149" s="62"/>
      <c r="C149" s="62"/>
      <c r="D149" s="62"/>
      <c r="E149" s="62"/>
      <c r="F149" s="62"/>
      <c r="G149" s="62"/>
      <c r="H149" s="62"/>
      <c r="I149" s="62"/>
      <c r="J149" s="62"/>
      <c r="K149" s="53"/>
      <c r="L149" s="62"/>
      <c r="M149" s="63"/>
      <c r="N149" s="63"/>
      <c r="O149" s="63"/>
      <c r="P149" s="63"/>
      <c r="Q149" s="63"/>
      <c r="R149" s="63"/>
      <c r="S149" s="63"/>
      <c r="T149" s="63"/>
      <c r="U149" s="63"/>
      <c r="V149" s="63"/>
      <c r="W149" s="63"/>
      <c r="X149" s="63"/>
      <c r="Y149" s="63"/>
      <c r="Z149" s="63"/>
      <c r="AA149" s="63"/>
      <c r="AB149" s="63"/>
      <c r="AC149" s="63"/>
    </row>
    <row r="150" spans="1:29">
      <c r="A150" s="62"/>
      <c r="B150" s="62"/>
      <c r="C150" s="62"/>
      <c r="D150" s="62"/>
      <c r="E150" s="62"/>
      <c r="F150" s="62"/>
      <c r="G150" s="62"/>
      <c r="H150" s="62"/>
      <c r="I150" s="62"/>
      <c r="J150" s="62"/>
      <c r="K150" s="53"/>
      <c r="L150" s="62"/>
      <c r="M150" s="63"/>
      <c r="N150" s="63"/>
      <c r="O150" s="63"/>
      <c r="P150" s="63"/>
      <c r="Q150" s="63"/>
      <c r="R150" s="63"/>
      <c r="S150" s="63"/>
      <c r="T150" s="63"/>
      <c r="U150" s="63"/>
      <c r="V150" s="63"/>
      <c r="W150" s="63"/>
      <c r="X150" s="63"/>
      <c r="Y150" s="63"/>
      <c r="Z150" s="63"/>
      <c r="AA150" s="63"/>
      <c r="AB150" s="63"/>
      <c r="AC150" s="63"/>
    </row>
    <row r="151" spans="1:29">
      <c r="A151" s="62"/>
      <c r="B151" s="62"/>
      <c r="C151" s="62"/>
      <c r="D151" s="62"/>
      <c r="E151" s="62"/>
      <c r="F151" s="62"/>
      <c r="G151" s="62"/>
      <c r="H151" s="62"/>
      <c r="I151" s="62"/>
      <c r="J151" s="62"/>
      <c r="K151" s="53"/>
      <c r="L151" s="62"/>
      <c r="M151" s="63"/>
      <c r="N151" s="63"/>
      <c r="O151" s="63"/>
      <c r="P151" s="63"/>
      <c r="Q151" s="63"/>
      <c r="R151" s="63"/>
      <c r="S151" s="63"/>
      <c r="T151" s="63"/>
      <c r="U151" s="63"/>
      <c r="V151" s="63"/>
      <c r="W151" s="63"/>
      <c r="X151" s="63"/>
      <c r="Y151" s="63"/>
      <c r="Z151" s="63"/>
      <c r="AA151" s="63"/>
      <c r="AB151" s="63"/>
      <c r="AC151" s="63"/>
    </row>
    <row r="152" spans="1:29">
      <c r="A152" s="62"/>
      <c r="B152" s="62"/>
      <c r="C152" s="62"/>
      <c r="D152" s="62"/>
      <c r="E152" s="62"/>
      <c r="F152" s="62"/>
      <c r="G152" s="62"/>
      <c r="H152" s="62"/>
      <c r="I152" s="62"/>
      <c r="J152" s="62"/>
      <c r="K152" s="53"/>
      <c r="L152" s="62"/>
      <c r="M152" s="63"/>
      <c r="N152" s="63"/>
      <c r="O152" s="63"/>
      <c r="P152" s="63"/>
      <c r="Q152" s="63"/>
      <c r="R152" s="63"/>
      <c r="S152" s="63"/>
      <c r="T152" s="63"/>
      <c r="U152" s="63"/>
      <c r="V152" s="63"/>
      <c r="W152" s="63"/>
      <c r="X152" s="63"/>
      <c r="Y152" s="63"/>
      <c r="Z152" s="63"/>
      <c r="AA152" s="63"/>
      <c r="AB152" s="63"/>
      <c r="AC152" s="63"/>
    </row>
    <row r="153" spans="1:29">
      <c r="A153" s="62"/>
      <c r="B153" s="62"/>
      <c r="C153" s="62"/>
      <c r="D153" s="62"/>
      <c r="E153" s="62"/>
      <c r="F153" s="62"/>
      <c r="G153" s="62"/>
      <c r="H153" s="62"/>
      <c r="I153" s="62"/>
      <c r="J153" s="62"/>
      <c r="K153" s="53"/>
      <c r="L153" s="62"/>
      <c r="M153" s="63"/>
      <c r="N153" s="63"/>
      <c r="O153" s="63"/>
      <c r="P153" s="63"/>
      <c r="Q153" s="63"/>
      <c r="R153" s="63"/>
      <c r="S153" s="63"/>
      <c r="T153" s="63"/>
      <c r="U153" s="63"/>
      <c r="V153" s="63"/>
      <c r="W153" s="63"/>
      <c r="X153" s="63"/>
      <c r="Y153" s="63"/>
      <c r="Z153" s="63"/>
      <c r="AA153" s="63"/>
      <c r="AB153" s="63"/>
      <c r="AC153" s="63"/>
    </row>
    <row r="154" spans="1:29">
      <c r="A154" s="62"/>
      <c r="B154" s="62"/>
      <c r="C154" s="62"/>
      <c r="D154" s="62"/>
      <c r="E154" s="62"/>
      <c r="F154" s="62"/>
      <c r="G154" s="62"/>
      <c r="H154" s="62"/>
      <c r="I154" s="62"/>
      <c r="J154" s="62"/>
      <c r="K154" s="53"/>
      <c r="L154" s="62"/>
      <c r="M154" s="63"/>
      <c r="N154" s="63"/>
      <c r="O154" s="63"/>
      <c r="P154" s="63"/>
      <c r="Q154" s="63"/>
      <c r="R154" s="63"/>
      <c r="S154" s="63"/>
      <c r="T154" s="63"/>
      <c r="U154" s="63"/>
      <c r="V154" s="63"/>
      <c r="W154" s="63"/>
      <c r="X154" s="63"/>
      <c r="Y154" s="63"/>
      <c r="Z154" s="63"/>
      <c r="AA154" s="63"/>
      <c r="AB154" s="63"/>
      <c r="AC154" s="63"/>
    </row>
    <row r="155" spans="1:29">
      <c r="A155" s="62"/>
      <c r="B155" s="62"/>
      <c r="C155" s="62"/>
      <c r="D155" s="62"/>
      <c r="E155" s="62"/>
      <c r="F155" s="62"/>
      <c r="G155" s="62"/>
      <c r="H155" s="62"/>
      <c r="I155" s="62"/>
      <c r="J155" s="62"/>
      <c r="K155" s="53"/>
      <c r="L155" s="62"/>
      <c r="M155" s="63"/>
      <c r="N155" s="63"/>
      <c r="O155" s="63"/>
      <c r="P155" s="63"/>
      <c r="Q155" s="63"/>
      <c r="R155" s="63"/>
      <c r="S155" s="63"/>
      <c r="T155" s="63"/>
      <c r="U155" s="63"/>
      <c r="V155" s="63"/>
      <c r="W155" s="63"/>
      <c r="X155" s="63"/>
      <c r="Y155" s="63"/>
      <c r="Z155" s="63"/>
      <c r="AA155" s="63"/>
      <c r="AB155" s="63"/>
      <c r="AC155" s="63"/>
    </row>
    <row r="156" spans="1:29">
      <c r="A156" s="62"/>
      <c r="B156" s="62"/>
      <c r="C156" s="62"/>
      <c r="D156" s="62"/>
      <c r="E156" s="62"/>
      <c r="F156" s="62"/>
      <c r="G156" s="62"/>
      <c r="H156" s="62"/>
      <c r="I156" s="62"/>
      <c r="J156" s="62"/>
      <c r="K156" s="53"/>
      <c r="L156" s="62"/>
      <c r="M156" s="63"/>
      <c r="N156" s="63"/>
      <c r="O156" s="63"/>
      <c r="P156" s="63"/>
      <c r="Q156" s="63"/>
      <c r="R156" s="63"/>
      <c r="S156" s="63"/>
      <c r="T156" s="63"/>
      <c r="U156" s="63"/>
      <c r="V156" s="63"/>
      <c r="W156" s="63"/>
      <c r="X156" s="63"/>
      <c r="Y156" s="63"/>
      <c r="Z156" s="63"/>
      <c r="AA156" s="63"/>
      <c r="AB156" s="63"/>
      <c r="AC156" s="63"/>
    </row>
    <row r="157" spans="1:29">
      <c r="A157" s="62"/>
      <c r="B157" s="62"/>
      <c r="C157" s="62"/>
      <c r="D157" s="62"/>
      <c r="E157" s="62"/>
      <c r="F157" s="62"/>
      <c r="G157" s="62"/>
      <c r="H157" s="62"/>
      <c r="I157" s="62"/>
      <c r="J157" s="62"/>
      <c r="K157" s="53"/>
      <c r="L157" s="62"/>
      <c r="M157" s="63"/>
      <c r="N157" s="63"/>
      <c r="O157" s="63"/>
      <c r="P157" s="63"/>
      <c r="Q157" s="63"/>
      <c r="R157" s="63"/>
      <c r="S157" s="63"/>
      <c r="T157" s="63"/>
      <c r="U157" s="63"/>
      <c r="V157" s="63"/>
      <c r="W157" s="63"/>
      <c r="X157" s="63"/>
      <c r="Y157" s="63"/>
      <c r="Z157" s="63"/>
      <c r="AA157" s="63"/>
      <c r="AB157" s="63"/>
      <c r="AC157" s="63"/>
    </row>
    <row r="158" spans="1:29">
      <c r="A158" s="62"/>
      <c r="B158" s="62"/>
      <c r="C158" s="62"/>
      <c r="D158" s="62"/>
      <c r="E158" s="62"/>
      <c r="F158" s="62"/>
      <c r="G158" s="62"/>
      <c r="H158" s="62"/>
      <c r="I158" s="62"/>
      <c r="J158" s="62"/>
      <c r="K158" s="53"/>
      <c r="L158" s="62"/>
      <c r="M158" s="63"/>
      <c r="N158" s="63"/>
      <c r="O158" s="63"/>
      <c r="P158" s="63"/>
      <c r="Q158" s="63"/>
      <c r="R158" s="63"/>
      <c r="S158" s="63"/>
      <c r="T158" s="63"/>
      <c r="U158" s="63"/>
      <c r="V158" s="63"/>
      <c r="W158" s="63"/>
      <c r="X158" s="63"/>
      <c r="Y158" s="63"/>
      <c r="Z158" s="63"/>
      <c r="AA158" s="63"/>
      <c r="AB158" s="63"/>
      <c r="AC158" s="63"/>
    </row>
    <row r="159" spans="1:29">
      <c r="A159" s="62"/>
      <c r="B159" s="62"/>
      <c r="C159" s="62"/>
      <c r="D159" s="62"/>
      <c r="E159" s="62"/>
      <c r="F159" s="62"/>
      <c r="G159" s="62"/>
      <c r="H159" s="62"/>
      <c r="I159" s="62"/>
      <c r="J159" s="62"/>
      <c r="K159" s="53"/>
      <c r="L159" s="62"/>
      <c r="M159" s="63"/>
      <c r="N159" s="63"/>
      <c r="O159" s="63"/>
      <c r="P159" s="63"/>
      <c r="Q159" s="63"/>
      <c r="R159" s="63"/>
      <c r="S159" s="63"/>
      <c r="T159" s="63"/>
      <c r="U159" s="63"/>
      <c r="V159" s="63"/>
      <c r="W159" s="63"/>
      <c r="X159" s="63"/>
      <c r="Y159" s="63"/>
      <c r="Z159" s="63"/>
      <c r="AA159" s="63"/>
      <c r="AB159" s="63"/>
      <c r="AC159" s="63"/>
    </row>
    <row r="160" spans="1:29">
      <c r="A160" s="62"/>
      <c r="B160" s="62"/>
      <c r="C160" s="62"/>
      <c r="D160" s="62"/>
      <c r="E160" s="62"/>
      <c r="F160" s="62"/>
      <c r="G160" s="62"/>
      <c r="H160" s="62"/>
      <c r="I160" s="62"/>
      <c r="J160" s="62"/>
      <c r="K160" s="53"/>
      <c r="L160" s="62"/>
      <c r="M160" s="63"/>
      <c r="N160" s="63"/>
      <c r="O160" s="63"/>
      <c r="P160" s="63"/>
      <c r="Q160" s="63"/>
      <c r="R160" s="63"/>
      <c r="S160" s="63"/>
      <c r="T160" s="63"/>
      <c r="U160" s="63"/>
      <c r="V160" s="63"/>
      <c r="W160" s="63"/>
      <c r="X160" s="63"/>
      <c r="Y160" s="63"/>
      <c r="Z160" s="63"/>
      <c r="AA160" s="63"/>
      <c r="AB160" s="63"/>
      <c r="AC160" s="63"/>
    </row>
    <row r="161" spans="1:29">
      <c r="A161" s="62"/>
      <c r="B161" s="62"/>
      <c r="C161" s="62"/>
      <c r="D161" s="62"/>
      <c r="E161" s="62"/>
      <c r="F161" s="62"/>
      <c r="G161" s="62"/>
      <c r="H161" s="62"/>
      <c r="I161" s="62"/>
      <c r="J161" s="62"/>
      <c r="K161" s="53"/>
      <c r="L161" s="62"/>
      <c r="M161" s="63"/>
      <c r="N161" s="63"/>
      <c r="O161" s="63"/>
      <c r="P161" s="63"/>
      <c r="Q161" s="63"/>
      <c r="R161" s="63"/>
      <c r="S161" s="63"/>
      <c r="T161" s="63"/>
      <c r="U161" s="63"/>
      <c r="V161" s="63"/>
      <c r="W161" s="63"/>
      <c r="X161" s="63"/>
      <c r="Y161" s="63"/>
      <c r="Z161" s="63"/>
      <c r="AA161" s="63"/>
      <c r="AB161" s="63"/>
      <c r="AC161" s="63"/>
    </row>
    <row r="162" spans="1:29">
      <c r="A162" s="62"/>
      <c r="B162" s="62"/>
      <c r="C162" s="62"/>
      <c r="D162" s="62"/>
      <c r="E162" s="62"/>
      <c r="F162" s="62"/>
      <c r="G162" s="62"/>
      <c r="H162" s="62"/>
      <c r="I162" s="62"/>
      <c r="J162" s="62"/>
      <c r="K162" s="53"/>
      <c r="L162" s="62"/>
      <c r="M162" s="63"/>
      <c r="N162" s="63"/>
      <c r="O162" s="63"/>
      <c r="P162" s="63"/>
      <c r="Q162" s="63"/>
      <c r="R162" s="63"/>
      <c r="S162" s="63"/>
      <c r="T162" s="63"/>
      <c r="U162" s="63"/>
      <c r="V162" s="63"/>
      <c r="W162" s="63"/>
      <c r="X162" s="63"/>
      <c r="Y162" s="63"/>
      <c r="Z162" s="63"/>
      <c r="AA162" s="63"/>
      <c r="AB162" s="63"/>
      <c r="AC162" s="63"/>
    </row>
    <row r="163" spans="1:29">
      <c r="A163" s="62"/>
      <c r="B163" s="62"/>
      <c r="C163" s="62"/>
      <c r="D163" s="62"/>
      <c r="E163" s="62"/>
      <c r="F163" s="62"/>
      <c r="G163" s="62"/>
      <c r="H163" s="62"/>
      <c r="I163" s="62"/>
      <c r="J163" s="62"/>
      <c r="K163" s="53"/>
      <c r="L163" s="62"/>
      <c r="M163" s="63"/>
      <c r="N163" s="63"/>
      <c r="O163" s="63"/>
      <c r="P163" s="63"/>
      <c r="Q163" s="63"/>
      <c r="R163" s="63"/>
      <c r="S163" s="63"/>
      <c r="T163" s="63"/>
      <c r="U163" s="63"/>
      <c r="V163" s="63"/>
      <c r="W163" s="63"/>
      <c r="X163" s="63"/>
      <c r="Y163" s="63"/>
      <c r="Z163" s="63"/>
      <c r="AA163" s="63"/>
      <c r="AB163" s="63"/>
      <c r="AC163" s="63"/>
    </row>
    <row r="164" spans="1:29">
      <c r="A164" s="62"/>
      <c r="B164" s="62"/>
      <c r="C164" s="62"/>
      <c r="D164" s="62"/>
      <c r="E164" s="62"/>
      <c r="F164" s="62"/>
      <c r="G164" s="62"/>
      <c r="H164" s="62"/>
      <c r="I164" s="62"/>
      <c r="J164" s="62"/>
      <c r="K164" s="53"/>
      <c r="L164" s="62"/>
      <c r="M164" s="63"/>
      <c r="N164" s="63"/>
      <c r="O164" s="63"/>
      <c r="P164" s="63"/>
      <c r="Q164" s="63"/>
      <c r="R164" s="63"/>
      <c r="S164" s="63"/>
      <c r="T164" s="63"/>
      <c r="U164" s="63"/>
      <c r="V164" s="63"/>
      <c r="W164" s="63"/>
      <c r="X164" s="63"/>
      <c r="Y164" s="63"/>
      <c r="Z164" s="63"/>
      <c r="AA164" s="63"/>
      <c r="AB164" s="63"/>
      <c r="AC164" s="63"/>
    </row>
    <row r="165" spans="1:29">
      <c r="A165" s="62"/>
      <c r="B165" s="62"/>
      <c r="C165" s="62"/>
      <c r="D165" s="62"/>
      <c r="E165" s="62"/>
      <c r="F165" s="62"/>
      <c r="G165" s="62"/>
      <c r="H165" s="62"/>
      <c r="I165" s="62"/>
      <c r="J165" s="62"/>
      <c r="K165" s="53"/>
      <c r="L165" s="62"/>
      <c r="M165" s="63"/>
      <c r="N165" s="63"/>
      <c r="O165" s="63"/>
      <c r="P165" s="63"/>
      <c r="Q165" s="63"/>
      <c r="R165" s="63"/>
      <c r="S165" s="63"/>
      <c r="T165" s="63"/>
      <c r="U165" s="63"/>
      <c r="V165" s="63"/>
      <c r="W165" s="63"/>
      <c r="X165" s="63"/>
      <c r="Y165" s="63"/>
      <c r="Z165" s="63"/>
      <c r="AA165" s="63"/>
      <c r="AB165" s="63"/>
      <c r="AC165" s="63"/>
    </row>
    <row r="166" spans="1:29">
      <c r="A166" s="62"/>
      <c r="B166" s="62"/>
      <c r="C166" s="62"/>
      <c r="D166" s="62"/>
      <c r="E166" s="62"/>
      <c r="F166" s="62"/>
      <c r="G166" s="62"/>
      <c r="H166" s="62"/>
      <c r="I166" s="62"/>
      <c r="J166" s="62"/>
      <c r="K166" s="53"/>
      <c r="L166" s="62"/>
      <c r="M166" s="63"/>
      <c r="N166" s="63"/>
      <c r="O166" s="63"/>
      <c r="P166" s="63"/>
      <c r="Q166" s="63"/>
      <c r="R166" s="63"/>
      <c r="S166" s="63"/>
      <c r="T166" s="63"/>
      <c r="U166" s="63"/>
      <c r="V166" s="63"/>
      <c r="W166" s="63"/>
      <c r="X166" s="63"/>
      <c r="Y166" s="63"/>
      <c r="Z166" s="63"/>
      <c r="AA166" s="63"/>
      <c r="AB166" s="63"/>
      <c r="AC166" s="63"/>
    </row>
    <row r="167" spans="1:29">
      <c r="A167" s="62"/>
      <c r="B167" s="62"/>
      <c r="C167" s="62"/>
      <c r="D167" s="62"/>
      <c r="E167" s="62"/>
      <c r="F167" s="62"/>
      <c r="G167" s="62"/>
      <c r="H167" s="62"/>
      <c r="I167" s="62"/>
      <c r="J167" s="62"/>
      <c r="K167" s="53"/>
      <c r="L167" s="62"/>
      <c r="M167" s="63"/>
      <c r="N167" s="63"/>
      <c r="O167" s="63"/>
      <c r="P167" s="63"/>
      <c r="Q167" s="63"/>
      <c r="R167" s="63"/>
      <c r="S167" s="63"/>
      <c r="T167" s="63"/>
      <c r="U167" s="63"/>
      <c r="V167" s="63"/>
      <c r="W167" s="63"/>
      <c r="X167" s="63"/>
      <c r="Y167" s="63"/>
      <c r="Z167" s="63"/>
      <c r="AA167" s="63"/>
      <c r="AB167" s="63"/>
      <c r="AC167" s="63"/>
    </row>
    <row r="168" spans="1:29">
      <c r="A168" s="62"/>
      <c r="B168" s="62"/>
      <c r="C168" s="62"/>
      <c r="D168" s="62"/>
      <c r="E168" s="62"/>
      <c r="F168" s="62"/>
      <c r="G168" s="62"/>
      <c r="H168" s="62"/>
      <c r="I168" s="62"/>
      <c r="J168" s="62"/>
      <c r="K168" s="53"/>
      <c r="L168" s="62"/>
      <c r="M168" s="63"/>
      <c r="N168" s="63"/>
      <c r="O168" s="63"/>
      <c r="P168" s="63"/>
      <c r="Q168" s="63"/>
      <c r="R168" s="63"/>
      <c r="S168" s="63"/>
      <c r="T168" s="63"/>
      <c r="U168" s="63"/>
      <c r="V168" s="63"/>
      <c r="W168" s="63"/>
      <c r="X168" s="63"/>
      <c r="Y168" s="63"/>
      <c r="Z168" s="63"/>
      <c r="AA168" s="63"/>
      <c r="AB168" s="63"/>
      <c r="AC168" s="63"/>
    </row>
    <row r="169" spans="1:29">
      <c r="A169" s="62"/>
      <c r="B169" s="62"/>
      <c r="C169" s="62"/>
      <c r="D169" s="62"/>
      <c r="E169" s="62"/>
      <c r="F169" s="62"/>
      <c r="G169" s="62"/>
      <c r="H169" s="62"/>
      <c r="I169" s="62"/>
      <c r="J169" s="62"/>
      <c r="K169" s="53"/>
      <c r="L169" s="62"/>
      <c r="M169" s="63"/>
      <c r="N169" s="63"/>
      <c r="O169" s="63"/>
      <c r="P169" s="63"/>
      <c r="Q169" s="63"/>
      <c r="R169" s="63"/>
      <c r="S169" s="63"/>
      <c r="T169" s="63"/>
      <c r="U169" s="63"/>
      <c r="V169" s="63"/>
      <c r="W169" s="63"/>
      <c r="X169" s="63"/>
      <c r="Y169" s="63"/>
      <c r="Z169" s="63"/>
      <c r="AA169" s="63"/>
      <c r="AB169" s="63"/>
      <c r="AC169" s="63"/>
    </row>
    <row r="170" spans="1:29">
      <c r="A170" s="62"/>
      <c r="B170" s="62"/>
      <c r="C170" s="62"/>
      <c r="D170" s="62"/>
      <c r="E170" s="62"/>
      <c r="F170" s="62"/>
      <c r="G170" s="62"/>
      <c r="H170" s="62"/>
      <c r="I170" s="62"/>
      <c r="J170" s="62"/>
      <c r="K170" s="53"/>
      <c r="L170" s="62"/>
      <c r="M170" s="63"/>
      <c r="N170" s="63"/>
      <c r="O170" s="63"/>
      <c r="P170" s="63"/>
      <c r="Q170" s="63"/>
      <c r="R170" s="63"/>
      <c r="S170" s="63"/>
      <c r="T170" s="63"/>
      <c r="U170" s="63"/>
      <c r="V170" s="63"/>
      <c r="W170" s="63"/>
      <c r="X170" s="63"/>
      <c r="Y170" s="63"/>
      <c r="Z170" s="63"/>
      <c r="AA170" s="63"/>
      <c r="AB170" s="63"/>
      <c r="AC170" s="63"/>
    </row>
    <row r="171" spans="1:29">
      <c r="A171" s="62"/>
      <c r="B171" s="62"/>
      <c r="C171" s="62"/>
      <c r="D171" s="62"/>
      <c r="E171" s="62"/>
      <c r="F171" s="62"/>
      <c r="G171" s="62"/>
      <c r="H171" s="62"/>
      <c r="I171" s="62"/>
      <c r="J171" s="62"/>
      <c r="K171" s="53"/>
      <c r="L171" s="62"/>
      <c r="M171" s="63"/>
      <c r="N171" s="63"/>
      <c r="O171" s="63"/>
      <c r="P171" s="63"/>
      <c r="Q171" s="63"/>
      <c r="R171" s="63"/>
      <c r="S171" s="63"/>
      <c r="T171" s="63"/>
      <c r="U171" s="63"/>
      <c r="V171" s="63"/>
      <c r="W171" s="63"/>
      <c r="X171" s="63"/>
      <c r="Y171" s="63"/>
      <c r="Z171" s="63"/>
      <c r="AA171" s="63"/>
      <c r="AB171" s="63"/>
      <c r="AC171" s="63"/>
    </row>
    <row r="172" spans="1:29">
      <c r="A172" s="62"/>
      <c r="B172" s="62"/>
      <c r="C172" s="62"/>
      <c r="D172" s="62"/>
      <c r="E172" s="62"/>
      <c r="F172" s="62"/>
      <c r="G172" s="62"/>
      <c r="H172" s="62"/>
      <c r="I172" s="62"/>
      <c r="J172" s="62"/>
      <c r="K172" s="53"/>
      <c r="L172" s="62"/>
      <c r="M172" s="63"/>
      <c r="N172" s="63"/>
      <c r="O172" s="63"/>
      <c r="P172" s="63"/>
      <c r="Q172" s="63"/>
      <c r="R172" s="63"/>
      <c r="S172" s="63"/>
      <c r="T172" s="63"/>
      <c r="U172" s="63"/>
      <c r="V172" s="63"/>
      <c r="W172" s="63"/>
      <c r="X172" s="63"/>
      <c r="Y172" s="63"/>
      <c r="Z172" s="63"/>
      <c r="AA172" s="63"/>
      <c r="AB172" s="63"/>
      <c r="AC172" s="63"/>
    </row>
    <row r="173" spans="1:29">
      <c r="A173" s="62"/>
      <c r="B173" s="62"/>
      <c r="C173" s="62"/>
      <c r="D173" s="62"/>
      <c r="E173" s="62"/>
      <c r="F173" s="62"/>
      <c r="G173" s="62"/>
      <c r="H173" s="62"/>
      <c r="I173" s="62"/>
      <c r="J173" s="62"/>
      <c r="K173" s="53"/>
      <c r="L173" s="62"/>
      <c r="M173" s="63"/>
      <c r="N173" s="63"/>
      <c r="O173" s="63"/>
      <c r="P173" s="63"/>
      <c r="Q173" s="63"/>
      <c r="R173" s="63"/>
      <c r="S173" s="63"/>
      <c r="T173" s="63"/>
      <c r="U173" s="63"/>
      <c r="V173" s="63"/>
      <c r="W173" s="63"/>
      <c r="X173" s="63"/>
      <c r="Y173" s="63"/>
      <c r="Z173" s="63"/>
      <c r="AA173" s="63"/>
      <c r="AB173" s="63"/>
      <c r="AC173" s="63"/>
    </row>
    <row r="174" spans="1:29">
      <c r="A174" s="62"/>
      <c r="B174" s="62"/>
      <c r="C174" s="62"/>
      <c r="D174" s="62"/>
      <c r="E174" s="62"/>
      <c r="F174" s="62"/>
      <c r="G174" s="62"/>
      <c r="H174" s="62"/>
      <c r="I174" s="62"/>
      <c r="J174" s="62"/>
      <c r="K174" s="53"/>
      <c r="L174" s="62"/>
      <c r="M174" s="63"/>
      <c r="N174" s="63"/>
      <c r="O174" s="63"/>
      <c r="P174" s="63"/>
      <c r="Q174" s="63"/>
      <c r="R174" s="63"/>
      <c r="S174" s="63"/>
      <c r="T174" s="63"/>
      <c r="U174" s="63"/>
      <c r="V174" s="63"/>
      <c r="W174" s="63"/>
      <c r="X174" s="63"/>
      <c r="Y174" s="63"/>
      <c r="Z174" s="63"/>
      <c r="AA174" s="63"/>
      <c r="AB174" s="63"/>
      <c r="AC174" s="63"/>
    </row>
    <row r="175" spans="1:29">
      <c r="A175" s="62"/>
      <c r="B175" s="62"/>
      <c r="C175" s="62"/>
      <c r="D175" s="62"/>
      <c r="E175" s="62"/>
      <c r="F175" s="62"/>
      <c r="G175" s="62"/>
      <c r="H175" s="62"/>
      <c r="I175" s="62"/>
      <c r="J175" s="62"/>
      <c r="K175" s="53"/>
      <c r="L175" s="62"/>
      <c r="M175" s="63"/>
      <c r="N175" s="63"/>
      <c r="O175" s="63"/>
      <c r="P175" s="63"/>
      <c r="Q175" s="63"/>
      <c r="R175" s="63"/>
      <c r="S175" s="63"/>
      <c r="T175" s="63"/>
      <c r="U175" s="63"/>
      <c r="V175" s="63"/>
      <c r="W175" s="63"/>
      <c r="X175" s="63"/>
      <c r="Y175" s="63"/>
      <c r="Z175" s="63"/>
      <c r="AA175" s="63"/>
      <c r="AB175" s="63"/>
      <c r="AC175" s="63"/>
    </row>
    <row r="176" spans="1:29">
      <c r="A176" s="62"/>
      <c r="B176" s="62"/>
      <c r="C176" s="62"/>
      <c r="D176" s="62"/>
      <c r="E176" s="62"/>
      <c r="F176" s="62"/>
      <c r="G176" s="62"/>
      <c r="H176" s="62"/>
      <c r="I176" s="62"/>
      <c r="J176" s="62"/>
      <c r="K176" s="53"/>
      <c r="L176" s="62"/>
      <c r="M176" s="63"/>
      <c r="N176" s="63"/>
      <c r="O176" s="63"/>
      <c r="P176" s="63"/>
      <c r="Q176" s="63"/>
      <c r="R176" s="63"/>
      <c r="S176" s="63"/>
      <c r="T176" s="63"/>
      <c r="U176" s="63"/>
      <c r="V176" s="63"/>
      <c r="W176" s="63"/>
      <c r="X176" s="63"/>
      <c r="Y176" s="63"/>
      <c r="Z176" s="63"/>
      <c r="AA176" s="63"/>
      <c r="AB176" s="63"/>
      <c r="AC176" s="63"/>
    </row>
    <row r="177" spans="1:29">
      <c r="A177" s="62"/>
      <c r="B177" s="62"/>
      <c r="C177" s="62"/>
      <c r="D177" s="62"/>
      <c r="E177" s="62"/>
      <c r="F177" s="62"/>
      <c r="G177" s="62"/>
      <c r="H177" s="62"/>
      <c r="I177" s="62"/>
      <c r="J177" s="62"/>
      <c r="K177" s="53"/>
      <c r="L177" s="62"/>
      <c r="M177" s="63"/>
      <c r="N177" s="63"/>
      <c r="O177" s="63"/>
      <c r="P177" s="63"/>
      <c r="Q177" s="63"/>
      <c r="R177" s="63"/>
      <c r="S177" s="63"/>
      <c r="T177" s="63"/>
      <c r="U177" s="63"/>
      <c r="V177" s="63"/>
      <c r="W177" s="63"/>
      <c r="X177" s="63"/>
      <c r="Y177" s="63"/>
      <c r="Z177" s="63"/>
      <c r="AA177" s="63"/>
      <c r="AB177" s="63"/>
      <c r="AC177" s="63"/>
    </row>
    <row r="178" spans="1:29">
      <c r="A178" s="62"/>
      <c r="B178" s="62"/>
      <c r="C178" s="62"/>
      <c r="D178" s="62"/>
      <c r="E178" s="62"/>
      <c r="F178" s="62"/>
      <c r="G178" s="62"/>
      <c r="H178" s="62"/>
      <c r="I178" s="62"/>
      <c r="J178" s="62"/>
      <c r="K178" s="53"/>
      <c r="L178" s="62"/>
      <c r="M178" s="63"/>
      <c r="N178" s="63"/>
      <c r="O178" s="63"/>
      <c r="P178" s="63"/>
      <c r="Q178" s="63"/>
      <c r="R178" s="63"/>
      <c r="S178" s="63"/>
      <c r="T178" s="63"/>
      <c r="U178" s="63"/>
      <c r="V178" s="63"/>
      <c r="W178" s="63"/>
      <c r="X178" s="63"/>
      <c r="Y178" s="63"/>
      <c r="Z178" s="63"/>
      <c r="AA178" s="63"/>
      <c r="AB178" s="63"/>
      <c r="AC178" s="63"/>
    </row>
    <row r="179" spans="1:29">
      <c r="A179" s="62"/>
      <c r="B179" s="62"/>
      <c r="C179" s="62"/>
      <c r="D179" s="62"/>
      <c r="E179" s="62"/>
      <c r="F179" s="62"/>
      <c r="G179" s="62"/>
      <c r="H179" s="62"/>
      <c r="I179" s="62"/>
      <c r="J179" s="62"/>
      <c r="K179" s="53"/>
      <c r="L179" s="62"/>
      <c r="M179" s="63"/>
      <c r="N179" s="63"/>
      <c r="O179" s="63"/>
      <c r="P179" s="63"/>
      <c r="Q179" s="63"/>
      <c r="R179" s="63"/>
      <c r="S179" s="63"/>
      <c r="T179" s="63"/>
      <c r="U179" s="63"/>
      <c r="V179" s="63"/>
      <c r="W179" s="63"/>
      <c r="X179" s="63"/>
      <c r="Y179" s="63"/>
      <c r="Z179" s="63"/>
      <c r="AA179" s="63"/>
      <c r="AB179" s="63"/>
      <c r="AC179" s="63"/>
    </row>
    <row r="180" spans="1:29">
      <c r="A180" s="62"/>
      <c r="B180" s="62"/>
      <c r="C180" s="62"/>
      <c r="D180" s="62"/>
      <c r="E180" s="62"/>
      <c r="F180" s="62"/>
      <c r="G180" s="62"/>
      <c r="H180" s="62"/>
      <c r="I180" s="62"/>
      <c r="J180" s="62"/>
      <c r="K180" s="53"/>
      <c r="L180" s="62"/>
      <c r="M180" s="63"/>
      <c r="N180" s="63"/>
      <c r="O180" s="63"/>
      <c r="P180" s="63"/>
      <c r="Q180" s="63"/>
      <c r="R180" s="63"/>
      <c r="S180" s="63"/>
      <c r="T180" s="63"/>
      <c r="U180" s="63"/>
      <c r="V180" s="63"/>
      <c r="W180" s="63"/>
      <c r="X180" s="63"/>
      <c r="Y180" s="63"/>
      <c r="Z180" s="63"/>
      <c r="AA180" s="63"/>
      <c r="AB180" s="63"/>
      <c r="AC180" s="63"/>
    </row>
    <row r="181" spans="1:29">
      <c r="A181" s="62"/>
      <c r="B181" s="62"/>
      <c r="C181" s="62"/>
      <c r="D181" s="62"/>
      <c r="E181" s="62"/>
      <c r="F181" s="62"/>
      <c r="G181" s="62"/>
      <c r="H181" s="62"/>
      <c r="I181" s="62"/>
      <c r="J181" s="62"/>
      <c r="K181" s="53"/>
      <c r="L181" s="62"/>
      <c r="M181" s="63"/>
      <c r="N181" s="63"/>
      <c r="O181" s="63"/>
      <c r="P181" s="63"/>
      <c r="Q181" s="63"/>
      <c r="R181" s="63"/>
      <c r="S181" s="63"/>
      <c r="T181" s="63"/>
      <c r="U181" s="63"/>
      <c r="V181" s="63"/>
      <c r="W181" s="63"/>
      <c r="X181" s="63"/>
      <c r="Y181" s="63"/>
      <c r="Z181" s="63"/>
      <c r="AA181" s="63"/>
      <c r="AB181" s="63"/>
      <c r="AC181" s="63"/>
    </row>
    <row r="182" spans="1:29">
      <c r="A182" s="62"/>
      <c r="B182" s="62"/>
      <c r="C182" s="62"/>
      <c r="D182" s="62"/>
      <c r="E182" s="62"/>
      <c r="F182" s="62"/>
      <c r="G182" s="62"/>
      <c r="H182" s="62"/>
      <c r="I182" s="62"/>
      <c r="J182" s="62"/>
      <c r="K182" s="53"/>
      <c r="L182" s="62"/>
      <c r="M182" s="63"/>
      <c r="N182" s="63"/>
      <c r="O182" s="63"/>
      <c r="P182" s="63"/>
      <c r="Q182" s="63"/>
      <c r="R182" s="63"/>
      <c r="S182" s="63"/>
      <c r="T182" s="63"/>
      <c r="U182" s="63"/>
      <c r="V182" s="63"/>
      <c r="W182" s="63"/>
      <c r="X182" s="63"/>
      <c r="Y182" s="63"/>
      <c r="Z182" s="63"/>
      <c r="AA182" s="63"/>
      <c r="AB182" s="63"/>
      <c r="AC182" s="63"/>
    </row>
    <row r="183" spans="1:29">
      <c r="A183" s="62"/>
      <c r="B183" s="62"/>
      <c r="C183" s="62"/>
      <c r="D183" s="62"/>
      <c r="E183" s="62"/>
      <c r="F183" s="62"/>
      <c r="G183" s="62"/>
      <c r="H183" s="62"/>
      <c r="I183" s="62"/>
      <c r="J183" s="62"/>
      <c r="K183" s="53"/>
      <c r="L183" s="62"/>
      <c r="M183" s="63"/>
      <c r="N183" s="63"/>
      <c r="O183" s="63"/>
      <c r="P183" s="63"/>
      <c r="Q183" s="63"/>
      <c r="R183" s="63"/>
      <c r="S183" s="63"/>
      <c r="T183" s="63"/>
      <c r="U183" s="63"/>
      <c r="V183" s="63"/>
      <c r="W183" s="63"/>
      <c r="X183" s="63"/>
      <c r="Y183" s="63"/>
      <c r="Z183" s="63"/>
      <c r="AA183" s="63"/>
      <c r="AB183" s="63"/>
      <c r="AC183" s="63"/>
    </row>
    <row r="184" spans="1:29">
      <c r="A184" s="62"/>
      <c r="B184" s="62"/>
      <c r="C184" s="62"/>
      <c r="D184" s="62"/>
      <c r="E184" s="62"/>
      <c r="F184" s="62"/>
      <c r="G184" s="62"/>
      <c r="H184" s="62"/>
      <c r="I184" s="62"/>
      <c r="J184" s="62"/>
      <c r="K184" s="53"/>
      <c r="L184" s="62"/>
      <c r="M184" s="63"/>
      <c r="N184" s="63"/>
      <c r="O184" s="63"/>
      <c r="P184" s="63"/>
      <c r="Q184" s="63"/>
      <c r="R184" s="63"/>
      <c r="S184" s="63"/>
      <c r="T184" s="63"/>
      <c r="U184" s="63"/>
      <c r="V184" s="63"/>
      <c r="W184" s="63"/>
      <c r="X184" s="63"/>
      <c r="Y184" s="63"/>
      <c r="Z184" s="63"/>
      <c r="AA184" s="63"/>
      <c r="AB184" s="63"/>
      <c r="AC184" s="63"/>
    </row>
    <row r="185" spans="1:29">
      <c r="A185" s="62"/>
      <c r="B185" s="62"/>
      <c r="C185" s="62"/>
      <c r="D185" s="62"/>
      <c r="E185" s="62"/>
      <c r="F185" s="62"/>
      <c r="G185" s="62"/>
      <c r="H185" s="62"/>
      <c r="I185" s="62"/>
      <c r="J185" s="62"/>
      <c r="K185" s="53"/>
      <c r="L185" s="62"/>
      <c r="M185" s="63"/>
      <c r="N185" s="63"/>
      <c r="O185" s="63"/>
      <c r="P185" s="63"/>
      <c r="Q185" s="63"/>
      <c r="R185" s="63"/>
      <c r="S185" s="63"/>
      <c r="T185" s="63"/>
      <c r="U185" s="63"/>
      <c r="V185" s="63"/>
      <c r="W185" s="63"/>
      <c r="X185" s="63"/>
      <c r="Y185" s="63"/>
      <c r="Z185" s="63"/>
      <c r="AA185" s="63"/>
      <c r="AB185" s="63"/>
      <c r="AC185" s="63"/>
    </row>
    <row r="186" spans="1:29">
      <c r="A186" s="62"/>
      <c r="B186" s="62"/>
      <c r="C186" s="62"/>
      <c r="D186" s="62"/>
      <c r="E186" s="62"/>
      <c r="F186" s="62"/>
      <c r="G186" s="62"/>
      <c r="H186" s="62"/>
      <c r="I186" s="62"/>
      <c r="J186" s="62"/>
      <c r="K186" s="53"/>
      <c r="L186" s="62"/>
      <c r="M186" s="63"/>
      <c r="N186" s="63"/>
      <c r="O186" s="63"/>
      <c r="P186" s="63"/>
      <c r="Q186" s="63"/>
      <c r="R186" s="63"/>
      <c r="S186" s="63"/>
      <c r="T186" s="63"/>
      <c r="U186" s="63"/>
      <c r="V186" s="63"/>
      <c r="W186" s="63"/>
      <c r="X186" s="63"/>
      <c r="Y186" s="63"/>
      <c r="Z186" s="63"/>
      <c r="AA186" s="63"/>
      <c r="AB186" s="63"/>
      <c r="AC186" s="63"/>
    </row>
    <row r="187" spans="1:29">
      <c r="A187" s="62"/>
      <c r="B187" s="62"/>
      <c r="C187" s="62"/>
      <c r="D187" s="62"/>
      <c r="E187" s="62"/>
      <c r="F187" s="62"/>
      <c r="G187" s="62"/>
      <c r="H187" s="62"/>
      <c r="I187" s="62"/>
      <c r="J187" s="62"/>
      <c r="K187" s="53"/>
      <c r="L187" s="62"/>
      <c r="M187" s="63"/>
      <c r="N187" s="63"/>
      <c r="O187" s="63"/>
      <c r="P187" s="63"/>
      <c r="Q187" s="63"/>
      <c r="R187" s="63"/>
      <c r="S187" s="63"/>
      <c r="T187" s="63"/>
      <c r="U187" s="63"/>
      <c r="V187" s="63"/>
      <c r="W187" s="63"/>
      <c r="X187" s="63"/>
      <c r="Y187" s="63"/>
      <c r="Z187" s="63"/>
      <c r="AA187" s="63"/>
      <c r="AB187" s="63"/>
      <c r="AC187" s="63"/>
    </row>
    <row r="188" spans="1:29">
      <c r="A188" s="62"/>
      <c r="B188" s="62"/>
      <c r="C188" s="62"/>
      <c r="D188" s="62"/>
      <c r="E188" s="62"/>
      <c r="F188" s="62"/>
      <c r="G188" s="62"/>
      <c r="H188" s="62"/>
      <c r="I188" s="62"/>
      <c r="J188" s="62"/>
      <c r="K188" s="53"/>
      <c r="L188" s="62"/>
      <c r="M188" s="63"/>
      <c r="N188" s="63"/>
      <c r="O188" s="63"/>
      <c r="P188" s="63"/>
      <c r="Q188" s="63"/>
      <c r="R188" s="63"/>
      <c r="S188" s="63"/>
      <c r="T188" s="63"/>
      <c r="U188" s="63"/>
      <c r="V188" s="63"/>
      <c r="W188" s="63"/>
      <c r="X188" s="63"/>
      <c r="Y188" s="63"/>
      <c r="Z188" s="63"/>
      <c r="AA188" s="63"/>
      <c r="AB188" s="63"/>
      <c r="AC188" s="63"/>
    </row>
    <row r="189" spans="1:29">
      <c r="A189" s="62"/>
      <c r="B189" s="62"/>
      <c r="C189" s="62"/>
      <c r="D189" s="62"/>
      <c r="E189" s="62"/>
      <c r="F189" s="62"/>
      <c r="G189" s="62"/>
      <c r="H189" s="62"/>
      <c r="I189" s="62"/>
      <c r="J189" s="62"/>
      <c r="K189" s="53"/>
      <c r="L189" s="62"/>
      <c r="M189" s="63"/>
      <c r="N189" s="63"/>
      <c r="O189" s="63"/>
      <c r="P189" s="63"/>
      <c r="Q189" s="63"/>
      <c r="R189" s="63"/>
      <c r="S189" s="63"/>
      <c r="T189" s="63"/>
      <c r="U189" s="63"/>
      <c r="V189" s="63"/>
      <c r="W189" s="63"/>
      <c r="X189" s="63"/>
      <c r="Y189" s="63"/>
      <c r="Z189" s="63"/>
      <c r="AA189" s="63"/>
      <c r="AB189" s="63"/>
      <c r="AC189" s="63"/>
    </row>
    <row r="190" spans="1:29">
      <c r="A190" s="62"/>
      <c r="B190" s="62"/>
      <c r="C190" s="62"/>
      <c r="D190" s="62"/>
      <c r="E190" s="62"/>
      <c r="F190" s="62"/>
      <c r="G190" s="62"/>
      <c r="H190" s="62"/>
      <c r="I190" s="62"/>
      <c r="J190" s="62"/>
      <c r="K190" s="53"/>
      <c r="L190" s="62"/>
      <c r="M190" s="63"/>
      <c r="N190" s="63"/>
      <c r="O190" s="63"/>
      <c r="P190" s="63"/>
      <c r="Q190" s="63"/>
      <c r="R190" s="63"/>
      <c r="S190" s="63"/>
      <c r="T190" s="63"/>
      <c r="U190" s="63"/>
      <c r="V190" s="63"/>
      <c r="W190" s="63"/>
      <c r="X190" s="63"/>
      <c r="Y190" s="63"/>
      <c r="Z190" s="63"/>
      <c r="AA190" s="63"/>
      <c r="AB190" s="63"/>
      <c r="AC190" s="63"/>
    </row>
    <row r="191" spans="1:29">
      <c r="A191" s="62"/>
      <c r="B191" s="62"/>
      <c r="C191" s="62"/>
      <c r="D191" s="62"/>
      <c r="E191" s="62"/>
      <c r="F191" s="62"/>
      <c r="G191" s="62"/>
      <c r="H191" s="62"/>
      <c r="I191" s="62"/>
      <c r="J191" s="62"/>
      <c r="K191" s="53"/>
      <c r="L191" s="62"/>
      <c r="M191" s="63"/>
      <c r="N191" s="63"/>
      <c r="O191" s="63"/>
      <c r="P191" s="63"/>
      <c r="Q191" s="63"/>
      <c r="R191" s="63"/>
      <c r="S191" s="63"/>
      <c r="T191" s="63"/>
      <c r="U191" s="63"/>
      <c r="V191" s="63"/>
      <c r="W191" s="63"/>
      <c r="X191" s="63"/>
      <c r="Y191" s="63"/>
      <c r="Z191" s="63"/>
      <c r="AA191" s="63"/>
      <c r="AB191" s="63"/>
      <c r="AC191" s="63"/>
    </row>
    <row r="192" spans="1:29">
      <c r="A192" s="62"/>
      <c r="B192" s="62"/>
      <c r="C192" s="62"/>
      <c r="D192" s="62"/>
      <c r="E192" s="62"/>
      <c r="F192" s="62"/>
      <c r="G192" s="62"/>
      <c r="H192" s="62"/>
      <c r="I192" s="62"/>
      <c r="J192" s="62"/>
      <c r="K192" s="53"/>
      <c r="L192" s="62"/>
      <c r="M192" s="63"/>
      <c r="N192" s="63"/>
      <c r="O192" s="63"/>
      <c r="P192" s="63"/>
      <c r="Q192" s="63"/>
      <c r="R192" s="63"/>
      <c r="S192" s="63"/>
      <c r="T192" s="63"/>
      <c r="U192" s="63"/>
      <c r="V192" s="63"/>
      <c r="W192" s="63"/>
      <c r="X192" s="63"/>
      <c r="Y192" s="63"/>
      <c r="Z192" s="63"/>
      <c r="AA192" s="63"/>
      <c r="AB192" s="63"/>
      <c r="AC192" s="63"/>
    </row>
    <row r="193" spans="1:29">
      <c r="A193" s="62"/>
      <c r="B193" s="62"/>
      <c r="C193" s="62"/>
      <c r="D193" s="62"/>
      <c r="E193" s="62"/>
      <c r="F193" s="62"/>
      <c r="G193" s="62"/>
      <c r="H193" s="62"/>
      <c r="I193" s="62"/>
      <c r="J193" s="62"/>
      <c r="K193" s="53"/>
      <c r="L193" s="62"/>
      <c r="M193" s="63"/>
      <c r="N193" s="63"/>
      <c r="O193" s="63"/>
      <c r="P193" s="63"/>
      <c r="Q193" s="63"/>
      <c r="R193" s="63"/>
      <c r="S193" s="63"/>
      <c r="T193" s="63"/>
      <c r="U193" s="63"/>
      <c r="V193" s="63"/>
      <c r="W193" s="63"/>
      <c r="X193" s="63"/>
      <c r="Y193" s="63"/>
      <c r="Z193" s="63"/>
      <c r="AA193" s="63"/>
      <c r="AB193" s="63"/>
      <c r="AC193" s="63"/>
    </row>
    <row r="194" spans="1:29">
      <c r="A194" s="62"/>
      <c r="B194" s="62"/>
      <c r="C194" s="62"/>
      <c r="D194" s="62"/>
      <c r="E194" s="62"/>
      <c r="F194" s="62"/>
      <c r="G194" s="62"/>
      <c r="H194" s="62"/>
      <c r="I194" s="62"/>
      <c r="J194" s="62"/>
      <c r="K194" s="53"/>
      <c r="L194" s="62"/>
      <c r="M194" s="63"/>
      <c r="N194" s="63"/>
      <c r="O194" s="63"/>
      <c r="P194" s="63"/>
      <c r="Q194" s="63"/>
      <c r="R194" s="63"/>
      <c r="S194" s="63"/>
      <c r="T194" s="63"/>
      <c r="U194" s="63"/>
      <c r="V194" s="63"/>
      <c r="W194" s="63"/>
      <c r="X194" s="63"/>
      <c r="Y194" s="63"/>
      <c r="Z194" s="63"/>
      <c r="AA194" s="63"/>
      <c r="AB194" s="63"/>
      <c r="AC194" s="63"/>
    </row>
    <row r="195" spans="1:29">
      <c r="A195" s="62"/>
      <c r="B195" s="62"/>
      <c r="C195" s="62"/>
      <c r="D195" s="62"/>
      <c r="E195" s="62"/>
      <c r="F195" s="62"/>
      <c r="G195" s="62"/>
      <c r="H195" s="62"/>
      <c r="I195" s="62"/>
      <c r="J195" s="62"/>
      <c r="K195" s="53"/>
      <c r="L195" s="62"/>
      <c r="M195" s="63"/>
      <c r="N195" s="63"/>
      <c r="O195" s="63"/>
      <c r="P195" s="63"/>
      <c r="Q195" s="63"/>
      <c r="R195" s="63"/>
      <c r="S195" s="63"/>
      <c r="T195" s="63"/>
      <c r="U195" s="63"/>
      <c r="V195" s="63"/>
      <c r="W195" s="63"/>
      <c r="X195" s="63"/>
      <c r="Y195" s="63"/>
      <c r="Z195" s="63"/>
      <c r="AA195" s="63"/>
      <c r="AB195" s="63"/>
      <c r="AC195" s="63"/>
    </row>
    <row r="196" spans="1:29">
      <c r="A196" s="62"/>
      <c r="B196" s="62"/>
      <c r="C196" s="62"/>
      <c r="D196" s="62"/>
      <c r="E196" s="62"/>
      <c r="F196" s="62"/>
      <c r="G196" s="62"/>
      <c r="H196" s="62"/>
      <c r="I196" s="62"/>
      <c r="J196" s="62"/>
      <c r="K196" s="53"/>
      <c r="L196" s="62"/>
      <c r="M196" s="63"/>
      <c r="N196" s="63"/>
      <c r="O196" s="63"/>
      <c r="P196" s="63"/>
      <c r="Q196" s="63"/>
      <c r="R196" s="63"/>
      <c r="S196" s="63"/>
      <c r="T196" s="63"/>
      <c r="U196" s="63"/>
      <c r="V196" s="63"/>
      <c r="W196" s="63"/>
      <c r="X196" s="63"/>
      <c r="Y196" s="63"/>
      <c r="Z196" s="63"/>
      <c r="AA196" s="63"/>
      <c r="AB196" s="63"/>
      <c r="AC196" s="63"/>
    </row>
    <row r="197" spans="1:29">
      <c r="A197" s="62"/>
      <c r="B197" s="62"/>
      <c r="C197" s="62"/>
      <c r="D197" s="62"/>
      <c r="E197" s="62"/>
      <c r="F197" s="62"/>
      <c r="G197" s="62"/>
      <c r="H197" s="62"/>
      <c r="I197" s="62"/>
      <c r="J197" s="62"/>
      <c r="K197" s="53"/>
      <c r="L197" s="62"/>
      <c r="M197" s="63"/>
      <c r="N197" s="63"/>
      <c r="O197" s="63"/>
      <c r="P197" s="63"/>
      <c r="Q197" s="63"/>
      <c r="R197" s="63"/>
      <c r="S197" s="63"/>
      <c r="T197" s="63"/>
      <c r="U197" s="63"/>
      <c r="V197" s="63"/>
      <c r="W197" s="63"/>
      <c r="X197" s="63"/>
      <c r="Y197" s="63"/>
      <c r="Z197" s="63"/>
      <c r="AA197" s="63"/>
      <c r="AB197" s="63"/>
      <c r="AC197" s="63"/>
    </row>
    <row r="198" spans="1:29">
      <c r="A198" s="62"/>
      <c r="B198" s="62"/>
      <c r="C198" s="62"/>
      <c r="D198" s="62"/>
      <c r="E198" s="62"/>
      <c r="F198" s="62"/>
      <c r="G198" s="62"/>
      <c r="H198" s="62"/>
      <c r="I198" s="62"/>
      <c r="J198" s="62"/>
      <c r="K198" s="53"/>
      <c r="L198" s="62"/>
      <c r="M198" s="63"/>
      <c r="N198" s="63"/>
      <c r="O198" s="63"/>
      <c r="P198" s="63"/>
      <c r="Q198" s="63"/>
      <c r="R198" s="63"/>
      <c r="S198" s="63"/>
      <c r="T198" s="63"/>
      <c r="U198" s="63"/>
      <c r="V198" s="63"/>
      <c r="W198" s="63"/>
      <c r="X198" s="63"/>
      <c r="Y198" s="63"/>
      <c r="Z198" s="63"/>
      <c r="AA198" s="63"/>
      <c r="AB198" s="63"/>
      <c r="AC198" s="63"/>
    </row>
    <row r="199" spans="1:29">
      <c r="A199" s="62"/>
      <c r="B199" s="62"/>
      <c r="C199" s="62"/>
      <c r="D199" s="62"/>
      <c r="E199" s="62"/>
      <c r="F199" s="62"/>
      <c r="G199" s="62"/>
      <c r="H199" s="62"/>
      <c r="I199" s="62"/>
      <c r="J199" s="62"/>
      <c r="K199" s="53"/>
      <c r="L199" s="62"/>
      <c r="M199" s="63"/>
      <c r="N199" s="63"/>
      <c r="O199" s="63"/>
      <c r="P199" s="63"/>
      <c r="Q199" s="63"/>
      <c r="R199" s="63"/>
      <c r="S199" s="63"/>
      <c r="T199" s="63"/>
      <c r="U199" s="63"/>
      <c r="V199" s="63"/>
      <c r="W199" s="63"/>
      <c r="X199" s="63"/>
      <c r="Y199" s="63"/>
      <c r="Z199" s="63"/>
      <c r="AA199" s="63"/>
      <c r="AB199" s="63"/>
      <c r="AC199" s="63"/>
    </row>
    <row r="200" spans="1:29">
      <c r="A200" s="62"/>
      <c r="B200" s="62"/>
      <c r="C200" s="62"/>
      <c r="D200" s="62"/>
      <c r="E200" s="62"/>
      <c r="F200" s="62"/>
      <c r="G200" s="62"/>
      <c r="H200" s="62"/>
      <c r="I200" s="62"/>
      <c r="J200" s="62"/>
      <c r="K200" s="53"/>
      <c r="L200" s="62"/>
      <c r="M200" s="63"/>
      <c r="N200" s="63"/>
      <c r="O200" s="63"/>
      <c r="P200" s="63"/>
      <c r="Q200" s="63"/>
      <c r="R200" s="63"/>
      <c r="S200" s="63"/>
      <c r="T200" s="63"/>
      <c r="U200" s="63"/>
      <c r="V200" s="63"/>
      <c r="W200" s="63"/>
      <c r="X200" s="63"/>
      <c r="Y200" s="63"/>
      <c r="Z200" s="63"/>
      <c r="AA200" s="63"/>
      <c r="AB200" s="63"/>
      <c r="AC200" s="63"/>
    </row>
    <row r="201" spans="1:29">
      <c r="A201" s="62"/>
      <c r="B201" s="62"/>
      <c r="C201" s="62"/>
      <c r="D201" s="62"/>
      <c r="E201" s="62"/>
      <c r="F201" s="62"/>
      <c r="G201" s="62"/>
      <c r="H201" s="62"/>
      <c r="I201" s="62"/>
      <c r="J201" s="62"/>
      <c r="K201" s="53"/>
      <c r="L201" s="62"/>
      <c r="M201" s="63"/>
      <c r="N201" s="63"/>
      <c r="O201" s="63"/>
      <c r="P201" s="63"/>
      <c r="Q201" s="63"/>
      <c r="R201" s="63"/>
      <c r="S201" s="63"/>
      <c r="T201" s="63"/>
      <c r="U201" s="63"/>
      <c r="V201" s="63"/>
      <c r="W201" s="63"/>
      <c r="X201" s="63"/>
      <c r="Y201" s="63"/>
      <c r="Z201" s="63"/>
      <c r="AA201" s="63"/>
      <c r="AB201" s="63"/>
      <c r="AC201" s="63"/>
    </row>
    <row r="202" spans="1:29">
      <c r="A202" s="62"/>
      <c r="B202" s="62"/>
      <c r="C202" s="62"/>
      <c r="D202" s="62"/>
      <c r="E202" s="62"/>
      <c r="F202" s="62"/>
      <c r="G202" s="62"/>
      <c r="H202" s="62"/>
      <c r="I202" s="62"/>
      <c r="J202" s="62"/>
      <c r="K202" s="53"/>
      <c r="L202" s="62"/>
      <c r="M202" s="63"/>
      <c r="N202" s="63"/>
      <c r="O202" s="63"/>
      <c r="P202" s="63"/>
      <c r="Q202" s="63"/>
      <c r="R202" s="63"/>
      <c r="S202" s="63"/>
      <c r="T202" s="63"/>
      <c r="U202" s="63"/>
      <c r="V202" s="63"/>
      <c r="W202" s="63"/>
      <c r="X202" s="63"/>
      <c r="Y202" s="63"/>
      <c r="Z202" s="63"/>
      <c r="AA202" s="63"/>
      <c r="AB202" s="63"/>
      <c r="AC202" s="63"/>
    </row>
    <row r="203" spans="1:29">
      <c r="A203" s="62"/>
      <c r="B203" s="62"/>
      <c r="C203" s="62"/>
      <c r="D203" s="62"/>
      <c r="E203" s="62"/>
      <c r="F203" s="62"/>
      <c r="G203" s="62"/>
      <c r="H203" s="62"/>
      <c r="I203" s="62"/>
      <c r="J203" s="62"/>
      <c r="K203" s="53"/>
      <c r="L203" s="62"/>
      <c r="M203" s="63"/>
      <c r="N203" s="63"/>
      <c r="O203" s="63"/>
      <c r="P203" s="63"/>
      <c r="Q203" s="63"/>
      <c r="R203" s="63"/>
      <c r="S203" s="63"/>
      <c r="T203" s="63"/>
      <c r="U203" s="63"/>
      <c r="V203" s="63"/>
      <c r="W203" s="63"/>
      <c r="X203" s="63"/>
      <c r="Y203" s="63"/>
      <c r="Z203" s="63"/>
      <c r="AA203" s="63"/>
      <c r="AB203" s="63"/>
      <c r="AC203" s="63"/>
    </row>
    <row r="204" spans="1:29">
      <c r="A204" s="62"/>
      <c r="B204" s="62"/>
      <c r="C204" s="62"/>
      <c r="D204" s="62"/>
      <c r="E204" s="62"/>
      <c r="F204" s="62"/>
      <c r="G204" s="62"/>
      <c r="H204" s="62"/>
      <c r="I204" s="62"/>
      <c r="J204" s="62"/>
      <c r="K204" s="53"/>
      <c r="L204" s="62"/>
      <c r="M204" s="63"/>
      <c r="N204" s="63"/>
      <c r="O204" s="63"/>
      <c r="P204" s="63"/>
      <c r="Q204" s="63"/>
      <c r="R204" s="63"/>
      <c r="S204" s="63"/>
      <c r="T204" s="63"/>
      <c r="U204" s="63"/>
      <c r="V204" s="63"/>
      <c r="W204" s="63"/>
      <c r="X204" s="63"/>
      <c r="Y204" s="63"/>
      <c r="Z204" s="63"/>
      <c r="AA204" s="63"/>
      <c r="AB204" s="63"/>
      <c r="AC204" s="63"/>
    </row>
    <row r="205" spans="1:29">
      <c r="A205" s="62"/>
      <c r="B205" s="62"/>
      <c r="C205" s="62"/>
      <c r="D205" s="62"/>
      <c r="E205" s="62"/>
      <c r="F205" s="62"/>
      <c r="G205" s="62"/>
      <c r="H205" s="62"/>
      <c r="I205" s="62"/>
      <c r="J205" s="62"/>
      <c r="K205" s="53"/>
      <c r="L205" s="62"/>
      <c r="M205" s="63"/>
      <c r="N205" s="63"/>
      <c r="O205" s="63"/>
      <c r="P205" s="63"/>
      <c r="Q205" s="63"/>
      <c r="R205" s="63"/>
      <c r="S205" s="63"/>
      <c r="T205" s="63"/>
      <c r="U205" s="63"/>
      <c r="V205" s="63"/>
      <c r="W205" s="63"/>
      <c r="X205" s="63"/>
      <c r="Y205" s="63"/>
      <c r="Z205" s="63"/>
      <c r="AA205" s="63"/>
      <c r="AB205" s="63"/>
      <c r="AC205" s="63"/>
    </row>
    <row r="206" spans="1:29">
      <c r="A206" s="62"/>
      <c r="B206" s="62"/>
      <c r="C206" s="62"/>
      <c r="D206" s="62"/>
      <c r="E206" s="62"/>
      <c r="F206" s="62"/>
      <c r="G206" s="62"/>
      <c r="H206" s="62"/>
      <c r="I206" s="62"/>
      <c r="J206" s="62"/>
      <c r="K206" s="53"/>
      <c r="L206" s="62"/>
      <c r="M206" s="63"/>
      <c r="N206" s="63"/>
      <c r="O206" s="63"/>
      <c r="P206" s="63"/>
      <c r="Q206" s="63"/>
      <c r="R206" s="63"/>
      <c r="S206" s="63"/>
      <c r="T206" s="63"/>
      <c r="U206" s="63"/>
      <c r="V206" s="63"/>
      <c r="W206" s="63"/>
      <c r="X206" s="63"/>
      <c r="Y206" s="63"/>
      <c r="Z206" s="63"/>
      <c r="AA206" s="63"/>
      <c r="AB206" s="63"/>
      <c r="AC206" s="63"/>
    </row>
    <row r="207" spans="1:29">
      <c r="A207" s="62"/>
      <c r="B207" s="62"/>
      <c r="C207" s="62"/>
      <c r="D207" s="62"/>
      <c r="E207" s="62"/>
      <c r="F207" s="62"/>
      <c r="G207" s="62"/>
      <c r="H207" s="62"/>
      <c r="I207" s="62"/>
      <c r="J207" s="62"/>
      <c r="K207" s="53"/>
      <c r="L207" s="62"/>
      <c r="M207" s="63"/>
      <c r="N207" s="63"/>
      <c r="O207" s="63"/>
      <c r="P207" s="63"/>
      <c r="Q207" s="63"/>
      <c r="R207" s="63"/>
      <c r="S207" s="63"/>
      <c r="T207" s="63"/>
      <c r="U207" s="63"/>
      <c r="V207" s="63"/>
      <c r="W207" s="63"/>
      <c r="X207" s="63"/>
      <c r="Y207" s="63"/>
      <c r="Z207" s="63"/>
      <c r="AA207" s="63"/>
      <c r="AB207" s="63"/>
      <c r="AC207" s="63"/>
    </row>
    <row r="208" spans="1:29">
      <c r="A208" s="62"/>
      <c r="B208" s="62"/>
      <c r="C208" s="62"/>
      <c r="D208" s="62"/>
      <c r="E208" s="62"/>
      <c r="F208" s="62"/>
      <c r="G208" s="62"/>
      <c r="H208" s="62"/>
      <c r="I208" s="62"/>
      <c r="J208" s="62"/>
      <c r="K208" s="53"/>
      <c r="L208" s="62"/>
      <c r="M208" s="63"/>
      <c r="N208" s="63"/>
      <c r="O208" s="63"/>
      <c r="P208" s="63"/>
      <c r="Q208" s="63"/>
      <c r="R208" s="63"/>
      <c r="S208" s="63"/>
      <c r="T208" s="63"/>
      <c r="U208" s="63"/>
      <c r="V208" s="63"/>
      <c r="W208" s="63"/>
      <c r="X208" s="63"/>
      <c r="Y208" s="63"/>
      <c r="Z208" s="63"/>
      <c r="AA208" s="63"/>
      <c r="AB208" s="63"/>
      <c r="AC208" s="63"/>
    </row>
    <row r="209" spans="1:29">
      <c r="A209" s="62"/>
      <c r="B209" s="62"/>
      <c r="C209" s="62"/>
      <c r="D209" s="62"/>
      <c r="E209" s="62"/>
      <c r="F209" s="62"/>
      <c r="G209" s="62"/>
      <c r="H209" s="62"/>
      <c r="I209" s="62"/>
      <c r="J209" s="62"/>
      <c r="K209" s="53"/>
      <c r="L209" s="62"/>
      <c r="M209" s="63"/>
      <c r="N209" s="63"/>
      <c r="O209" s="63"/>
      <c r="P209" s="63"/>
      <c r="Q209" s="63"/>
      <c r="R209" s="63"/>
      <c r="S209" s="63"/>
      <c r="T209" s="63"/>
      <c r="U209" s="63"/>
      <c r="V209" s="63"/>
      <c r="W209" s="63"/>
      <c r="X209" s="63"/>
      <c r="Y209" s="63"/>
      <c r="Z209" s="63"/>
      <c r="AA209" s="63"/>
      <c r="AB209" s="63"/>
      <c r="AC209" s="63"/>
    </row>
    <row r="210" spans="1:29">
      <c r="A210" s="62"/>
      <c r="B210" s="62"/>
      <c r="C210" s="62"/>
      <c r="D210" s="62"/>
      <c r="E210" s="62"/>
      <c r="F210" s="62"/>
      <c r="G210" s="62"/>
      <c r="H210" s="62"/>
      <c r="I210" s="62"/>
      <c r="J210" s="62"/>
      <c r="K210" s="53"/>
      <c r="L210" s="62"/>
      <c r="M210" s="63"/>
      <c r="N210" s="63"/>
      <c r="O210" s="63"/>
      <c r="P210" s="63"/>
      <c r="Q210" s="63"/>
      <c r="R210" s="63"/>
      <c r="S210" s="63"/>
      <c r="T210" s="63"/>
      <c r="U210" s="63"/>
      <c r="V210" s="63"/>
      <c r="W210" s="63"/>
      <c r="X210" s="63"/>
      <c r="Y210" s="63"/>
      <c r="Z210" s="63"/>
      <c r="AA210" s="63"/>
      <c r="AB210" s="63"/>
      <c r="AC210" s="63"/>
    </row>
    <row r="211" spans="1:29">
      <c r="A211" s="62"/>
      <c r="B211" s="62"/>
      <c r="C211" s="62"/>
      <c r="D211" s="62"/>
      <c r="E211" s="62"/>
      <c r="F211" s="62"/>
      <c r="G211" s="62"/>
      <c r="H211" s="62"/>
      <c r="I211" s="62"/>
      <c r="J211" s="62"/>
      <c r="K211" s="53"/>
      <c r="L211" s="62"/>
      <c r="M211" s="63"/>
      <c r="N211" s="63"/>
      <c r="O211" s="63"/>
      <c r="P211" s="63"/>
      <c r="Q211" s="63"/>
      <c r="R211" s="63"/>
      <c r="S211" s="63"/>
      <c r="T211" s="63"/>
      <c r="U211" s="63"/>
      <c r="V211" s="63"/>
      <c r="W211" s="63"/>
      <c r="X211" s="63"/>
      <c r="Y211" s="63"/>
      <c r="Z211" s="63"/>
      <c r="AA211" s="63"/>
      <c r="AB211" s="63"/>
      <c r="AC211" s="63"/>
    </row>
    <row r="212" spans="1:29">
      <c r="A212" s="62"/>
      <c r="B212" s="62"/>
      <c r="C212" s="62"/>
      <c r="D212" s="62"/>
      <c r="E212" s="62"/>
      <c r="F212" s="62"/>
      <c r="G212" s="62"/>
      <c r="H212" s="62"/>
      <c r="I212" s="62"/>
      <c r="J212" s="62"/>
      <c r="K212" s="53"/>
      <c r="L212" s="62"/>
      <c r="M212" s="63"/>
      <c r="N212" s="63"/>
      <c r="O212" s="63"/>
      <c r="P212" s="63"/>
      <c r="Q212" s="63"/>
      <c r="R212" s="63"/>
      <c r="S212" s="63"/>
      <c r="T212" s="63"/>
      <c r="U212" s="63"/>
      <c r="V212" s="63"/>
      <c r="W212" s="63"/>
      <c r="X212" s="63"/>
      <c r="Y212" s="63"/>
      <c r="Z212" s="63"/>
      <c r="AA212" s="63"/>
      <c r="AB212" s="63"/>
      <c r="AC212" s="63"/>
    </row>
    <row r="213" spans="1:29">
      <c r="A213" s="62"/>
      <c r="B213" s="62"/>
      <c r="C213" s="62"/>
      <c r="D213" s="62"/>
      <c r="E213" s="62"/>
      <c r="F213" s="62"/>
      <c r="G213" s="62"/>
      <c r="H213" s="62"/>
      <c r="I213" s="62"/>
      <c r="J213" s="62"/>
      <c r="K213" s="53"/>
      <c r="L213" s="62"/>
      <c r="M213" s="63"/>
      <c r="N213" s="63"/>
      <c r="O213" s="63"/>
      <c r="P213" s="63"/>
      <c r="Q213" s="63"/>
      <c r="R213" s="63"/>
      <c r="S213" s="63"/>
      <c r="T213" s="63"/>
      <c r="U213" s="63"/>
      <c r="V213" s="63"/>
      <c r="W213" s="63"/>
      <c r="X213" s="63"/>
      <c r="Y213" s="63"/>
      <c r="Z213" s="63"/>
      <c r="AA213" s="63"/>
      <c r="AB213" s="63"/>
      <c r="AC213" s="63"/>
    </row>
    <row r="214" spans="1:29">
      <c r="A214" s="62"/>
      <c r="B214" s="62"/>
      <c r="C214" s="62"/>
      <c r="D214" s="62"/>
      <c r="E214" s="62"/>
      <c r="F214" s="62"/>
      <c r="G214" s="62"/>
      <c r="H214" s="62"/>
      <c r="I214" s="62"/>
      <c r="J214" s="62"/>
      <c r="K214" s="53"/>
      <c r="L214" s="62"/>
      <c r="M214" s="63"/>
      <c r="N214" s="63"/>
      <c r="O214" s="63"/>
      <c r="P214" s="63"/>
      <c r="Q214" s="63"/>
      <c r="R214" s="63"/>
      <c r="S214" s="63"/>
      <c r="T214" s="63"/>
      <c r="U214" s="63"/>
      <c r="V214" s="63"/>
      <c r="W214" s="63"/>
      <c r="X214" s="63"/>
      <c r="Y214" s="63"/>
      <c r="Z214" s="63"/>
      <c r="AA214" s="63"/>
      <c r="AB214" s="63"/>
      <c r="AC214" s="63"/>
    </row>
    <row r="215" spans="1:29">
      <c r="A215" s="62"/>
      <c r="B215" s="62"/>
      <c r="C215" s="62"/>
      <c r="D215" s="62"/>
      <c r="E215" s="62"/>
      <c r="F215" s="62"/>
      <c r="G215" s="62"/>
      <c r="H215" s="62"/>
      <c r="I215" s="62"/>
      <c r="J215" s="62"/>
      <c r="K215" s="53"/>
      <c r="L215" s="62"/>
      <c r="M215" s="63"/>
      <c r="N215" s="63"/>
      <c r="O215" s="63"/>
      <c r="P215" s="63"/>
      <c r="Q215" s="63"/>
      <c r="R215" s="63"/>
      <c r="S215" s="63"/>
      <c r="T215" s="63"/>
      <c r="U215" s="63"/>
      <c r="V215" s="63"/>
      <c r="W215" s="63"/>
      <c r="X215" s="63"/>
      <c r="Y215" s="63"/>
      <c r="Z215" s="63"/>
      <c r="AA215" s="63"/>
      <c r="AB215" s="63"/>
      <c r="AC215" s="63"/>
    </row>
    <row r="216" spans="1:29">
      <c r="A216" s="62"/>
      <c r="B216" s="62"/>
      <c r="C216" s="62"/>
      <c r="D216" s="62"/>
      <c r="E216" s="62"/>
      <c r="F216" s="62"/>
      <c r="G216" s="62"/>
      <c r="H216" s="62"/>
      <c r="I216" s="62"/>
      <c r="J216" s="62"/>
      <c r="K216" s="53"/>
      <c r="L216" s="62"/>
      <c r="M216" s="63"/>
      <c r="N216" s="63"/>
      <c r="O216" s="63"/>
      <c r="P216" s="63"/>
      <c r="Q216" s="63"/>
      <c r="R216" s="63"/>
      <c r="S216" s="63"/>
      <c r="T216" s="63"/>
      <c r="U216" s="63"/>
      <c r="V216" s="63"/>
      <c r="W216" s="63"/>
      <c r="X216" s="63"/>
      <c r="Y216" s="63"/>
      <c r="Z216" s="63"/>
      <c r="AA216" s="63"/>
      <c r="AB216" s="63"/>
      <c r="AC216" s="63"/>
    </row>
    <row r="217" spans="1:29">
      <c r="A217" s="62"/>
      <c r="B217" s="62"/>
      <c r="C217" s="62"/>
      <c r="D217" s="62"/>
      <c r="E217" s="62"/>
      <c r="F217" s="62"/>
      <c r="G217" s="62"/>
      <c r="H217" s="62"/>
      <c r="I217" s="62"/>
      <c r="J217" s="62"/>
      <c r="K217" s="53"/>
      <c r="L217" s="62"/>
      <c r="M217" s="63"/>
      <c r="N217" s="63"/>
      <c r="O217" s="63"/>
      <c r="P217" s="63"/>
      <c r="Q217" s="63"/>
      <c r="R217" s="63"/>
      <c r="S217" s="63"/>
      <c r="T217" s="63"/>
      <c r="U217" s="63"/>
      <c r="V217" s="63"/>
      <c r="W217" s="63"/>
      <c r="X217" s="63"/>
      <c r="Y217" s="63"/>
      <c r="Z217" s="63"/>
      <c r="AA217" s="63"/>
      <c r="AB217" s="63"/>
      <c r="AC217" s="63"/>
    </row>
    <row r="218" spans="1:29">
      <c r="A218" s="62"/>
      <c r="B218" s="62"/>
      <c r="C218" s="62"/>
      <c r="D218" s="62"/>
      <c r="E218" s="62"/>
      <c r="F218" s="62"/>
      <c r="G218" s="62"/>
      <c r="H218" s="62"/>
      <c r="I218" s="62"/>
      <c r="J218" s="62"/>
      <c r="K218" s="53"/>
      <c r="L218" s="62"/>
      <c r="M218" s="63"/>
      <c r="N218" s="63"/>
      <c r="O218" s="63"/>
      <c r="P218" s="63"/>
      <c r="Q218" s="63"/>
      <c r="R218" s="63"/>
      <c r="S218" s="63"/>
      <c r="T218" s="63"/>
      <c r="U218" s="63"/>
      <c r="V218" s="63"/>
      <c r="W218" s="63"/>
      <c r="X218" s="63"/>
      <c r="Y218" s="63"/>
      <c r="Z218" s="63"/>
      <c r="AA218" s="63"/>
      <c r="AB218" s="63"/>
      <c r="AC218" s="63"/>
    </row>
    <row r="219" spans="1:29">
      <c r="A219" s="62"/>
      <c r="B219" s="62"/>
      <c r="C219" s="62"/>
      <c r="D219" s="62"/>
      <c r="E219" s="62"/>
      <c r="F219" s="62"/>
      <c r="G219" s="62"/>
      <c r="H219" s="62"/>
      <c r="I219" s="62"/>
      <c r="J219" s="62"/>
      <c r="K219" s="53"/>
      <c r="L219" s="62"/>
      <c r="M219" s="63"/>
      <c r="N219" s="63"/>
      <c r="O219" s="63"/>
      <c r="P219" s="63"/>
      <c r="Q219" s="63"/>
      <c r="R219" s="63"/>
      <c r="S219" s="63"/>
      <c r="T219" s="63"/>
      <c r="U219" s="63"/>
      <c r="V219" s="63"/>
      <c r="W219" s="63"/>
      <c r="X219" s="63"/>
      <c r="Y219" s="63"/>
      <c r="Z219" s="63"/>
      <c r="AA219" s="63"/>
      <c r="AB219" s="63"/>
      <c r="AC219" s="63"/>
    </row>
    <row r="220" spans="1:29">
      <c r="A220" s="62"/>
      <c r="B220" s="62"/>
      <c r="C220" s="62"/>
      <c r="D220" s="62"/>
      <c r="E220" s="62"/>
      <c r="F220" s="62"/>
      <c r="G220" s="62"/>
      <c r="H220" s="62"/>
      <c r="I220" s="62"/>
      <c r="J220" s="62"/>
      <c r="K220" s="53"/>
      <c r="L220" s="62"/>
      <c r="M220" s="63"/>
      <c r="N220" s="63"/>
      <c r="O220" s="63"/>
      <c r="P220" s="63"/>
      <c r="Q220" s="63"/>
      <c r="R220" s="63"/>
      <c r="S220" s="63"/>
      <c r="T220" s="63"/>
      <c r="U220" s="63"/>
      <c r="V220" s="63"/>
      <c r="W220" s="63"/>
      <c r="X220" s="63"/>
      <c r="Y220" s="63"/>
      <c r="Z220" s="63"/>
      <c r="AA220" s="63"/>
      <c r="AB220" s="63"/>
      <c r="AC220" s="63"/>
    </row>
    <row r="221" spans="1:29">
      <c r="A221" s="62"/>
      <c r="B221" s="62"/>
      <c r="C221" s="62"/>
      <c r="D221" s="62"/>
      <c r="E221" s="62"/>
      <c r="F221" s="62"/>
      <c r="G221" s="62"/>
      <c r="H221" s="62"/>
      <c r="I221" s="62"/>
      <c r="J221" s="62"/>
      <c r="K221" s="53"/>
      <c r="L221" s="62"/>
      <c r="M221" s="63"/>
      <c r="N221" s="63"/>
      <c r="O221" s="63"/>
      <c r="P221" s="63"/>
      <c r="Q221" s="63"/>
      <c r="R221" s="63"/>
      <c r="S221" s="63"/>
      <c r="T221" s="63"/>
      <c r="U221" s="63"/>
      <c r="V221" s="63"/>
      <c r="W221" s="63"/>
      <c r="X221" s="63"/>
      <c r="Y221" s="63"/>
      <c r="Z221" s="63"/>
      <c r="AA221" s="63"/>
      <c r="AB221" s="63"/>
      <c r="AC221" s="63"/>
    </row>
    <row r="222" spans="1:29">
      <c r="A222" s="62"/>
      <c r="B222" s="62"/>
      <c r="C222" s="62"/>
      <c r="D222" s="62"/>
      <c r="E222" s="62"/>
      <c r="F222" s="62"/>
      <c r="G222" s="62"/>
      <c r="H222" s="62"/>
      <c r="I222" s="62"/>
      <c r="J222" s="62"/>
      <c r="K222" s="53"/>
      <c r="L222" s="62"/>
      <c r="M222" s="63"/>
      <c r="N222" s="63"/>
      <c r="O222" s="63"/>
      <c r="P222" s="63"/>
      <c r="Q222" s="63"/>
      <c r="R222" s="63"/>
      <c r="S222" s="63"/>
      <c r="T222" s="63"/>
      <c r="U222" s="63"/>
      <c r="V222" s="63"/>
      <c r="W222" s="63"/>
      <c r="X222" s="63"/>
      <c r="Y222" s="63"/>
      <c r="Z222" s="63"/>
      <c r="AA222" s="63"/>
      <c r="AB222" s="63"/>
      <c r="AC222" s="63"/>
    </row>
    <row r="223" spans="1:29">
      <c r="A223" s="62"/>
      <c r="B223" s="62"/>
      <c r="C223" s="62"/>
      <c r="D223" s="62"/>
      <c r="E223" s="62"/>
      <c r="F223" s="62"/>
      <c r="G223" s="62"/>
      <c r="H223" s="62"/>
      <c r="I223" s="62"/>
      <c r="J223" s="62"/>
      <c r="K223" s="53"/>
      <c r="L223" s="62"/>
      <c r="M223" s="63"/>
      <c r="N223" s="63"/>
      <c r="O223" s="63"/>
      <c r="P223" s="63"/>
      <c r="Q223" s="63"/>
      <c r="R223" s="63"/>
      <c r="S223" s="63"/>
      <c r="T223" s="63"/>
      <c r="U223" s="63"/>
      <c r="V223" s="63"/>
      <c r="W223" s="63"/>
      <c r="X223" s="63"/>
      <c r="Y223" s="63"/>
      <c r="Z223" s="63"/>
      <c r="AA223" s="63"/>
      <c r="AB223" s="63"/>
      <c r="AC223" s="63"/>
    </row>
    <row r="224" spans="1:29">
      <c r="A224" s="62"/>
      <c r="B224" s="62"/>
      <c r="C224" s="62"/>
      <c r="D224" s="62"/>
      <c r="E224" s="62"/>
      <c r="F224" s="62"/>
      <c r="G224" s="62"/>
      <c r="H224" s="62"/>
      <c r="I224" s="62"/>
      <c r="J224" s="62"/>
      <c r="K224" s="53"/>
      <c r="L224" s="62"/>
      <c r="M224" s="63"/>
      <c r="N224" s="63"/>
      <c r="O224" s="63"/>
      <c r="P224" s="63"/>
      <c r="Q224" s="63"/>
      <c r="R224" s="63"/>
      <c r="S224" s="63"/>
      <c r="T224" s="63"/>
      <c r="U224" s="63"/>
      <c r="V224" s="63"/>
      <c r="W224" s="63"/>
      <c r="X224" s="63"/>
      <c r="Y224" s="63"/>
      <c r="Z224" s="63"/>
      <c r="AA224" s="63"/>
      <c r="AB224" s="63"/>
      <c r="AC224" s="63"/>
    </row>
    <row r="225" spans="1:29">
      <c r="A225" s="62"/>
      <c r="B225" s="62"/>
      <c r="C225" s="62"/>
      <c r="D225" s="62"/>
      <c r="E225" s="62"/>
      <c r="F225" s="62"/>
      <c r="G225" s="62"/>
      <c r="H225" s="62"/>
      <c r="I225" s="62"/>
      <c r="J225" s="62"/>
      <c r="K225" s="53"/>
      <c r="L225" s="62"/>
      <c r="M225" s="63"/>
      <c r="N225" s="63"/>
      <c r="O225" s="63"/>
      <c r="P225" s="63"/>
      <c r="Q225" s="63"/>
      <c r="R225" s="63"/>
      <c r="S225" s="63"/>
      <c r="T225" s="63"/>
      <c r="U225" s="63"/>
      <c r="V225" s="63"/>
      <c r="W225" s="63"/>
      <c r="X225" s="63"/>
      <c r="Y225" s="63"/>
      <c r="Z225" s="63"/>
      <c r="AA225" s="63"/>
      <c r="AB225" s="63"/>
      <c r="AC225" s="63"/>
    </row>
    <row r="226" spans="1:29">
      <c r="A226" s="62"/>
      <c r="B226" s="62"/>
      <c r="C226" s="62"/>
      <c r="D226" s="62"/>
      <c r="E226" s="62"/>
      <c r="F226" s="62"/>
      <c r="G226" s="62"/>
      <c r="H226" s="62"/>
      <c r="I226" s="62"/>
      <c r="J226" s="62"/>
      <c r="K226" s="53"/>
      <c r="L226" s="62"/>
      <c r="M226" s="63"/>
      <c r="N226" s="63"/>
      <c r="O226" s="63"/>
      <c r="P226" s="63"/>
      <c r="Q226" s="63"/>
      <c r="R226" s="63"/>
      <c r="S226" s="63"/>
      <c r="T226" s="63"/>
      <c r="U226" s="63"/>
      <c r="V226" s="63"/>
      <c r="W226" s="63"/>
      <c r="X226" s="63"/>
      <c r="Y226" s="63"/>
      <c r="Z226" s="63"/>
      <c r="AA226" s="63"/>
      <c r="AB226" s="63"/>
      <c r="AC226" s="63"/>
    </row>
    <row r="227" spans="1:29">
      <c r="A227" s="62"/>
      <c r="B227" s="62"/>
      <c r="C227" s="62"/>
      <c r="D227" s="62"/>
      <c r="E227" s="62"/>
      <c r="F227" s="62"/>
      <c r="G227" s="62"/>
      <c r="H227" s="62"/>
      <c r="I227" s="62"/>
      <c r="J227" s="62"/>
      <c r="K227" s="53"/>
      <c r="L227" s="62"/>
      <c r="M227" s="63"/>
      <c r="N227" s="63"/>
      <c r="O227" s="63"/>
      <c r="P227" s="63"/>
      <c r="Q227" s="63"/>
      <c r="R227" s="63"/>
      <c r="S227" s="63"/>
      <c r="T227" s="63"/>
      <c r="U227" s="63"/>
      <c r="V227" s="63"/>
      <c r="W227" s="63"/>
      <c r="X227" s="63"/>
      <c r="Y227" s="63"/>
      <c r="Z227" s="63"/>
      <c r="AA227" s="63"/>
      <c r="AB227" s="63"/>
      <c r="AC227" s="63"/>
    </row>
    <row r="228" spans="1:29">
      <c r="A228" s="62"/>
      <c r="B228" s="62"/>
      <c r="C228" s="62"/>
      <c r="D228" s="62"/>
      <c r="E228" s="62"/>
      <c r="F228" s="62"/>
      <c r="G228" s="62"/>
      <c r="H228" s="62"/>
      <c r="I228" s="62"/>
      <c r="J228" s="62"/>
      <c r="K228" s="53"/>
      <c r="L228" s="62"/>
      <c r="M228" s="63"/>
      <c r="N228" s="63"/>
      <c r="O228" s="63"/>
      <c r="P228" s="63"/>
      <c r="Q228" s="63"/>
      <c r="R228" s="63"/>
      <c r="S228" s="63"/>
      <c r="T228" s="63"/>
      <c r="U228" s="63"/>
      <c r="V228" s="63"/>
      <c r="W228" s="63"/>
      <c r="X228" s="63"/>
      <c r="Y228" s="63"/>
      <c r="Z228" s="63"/>
      <c r="AA228" s="63"/>
      <c r="AB228" s="63"/>
      <c r="AC228" s="63"/>
    </row>
    <row r="229" spans="1:29">
      <c r="A229" s="62"/>
      <c r="B229" s="62"/>
      <c r="C229" s="62"/>
      <c r="D229" s="62"/>
      <c r="E229" s="62"/>
      <c r="F229" s="62"/>
      <c r="G229" s="62"/>
      <c r="H229" s="62"/>
      <c r="I229" s="62"/>
      <c r="J229" s="62"/>
      <c r="K229" s="53"/>
      <c r="L229" s="62"/>
      <c r="M229" s="63"/>
      <c r="N229" s="63"/>
      <c r="O229" s="63"/>
      <c r="P229" s="63"/>
      <c r="Q229" s="63"/>
      <c r="R229" s="63"/>
      <c r="S229" s="63"/>
      <c r="T229" s="63"/>
      <c r="U229" s="63"/>
      <c r="V229" s="63"/>
      <c r="W229" s="63"/>
      <c r="X229" s="63"/>
      <c r="Y229" s="63"/>
      <c r="Z229" s="63"/>
      <c r="AA229" s="63"/>
      <c r="AB229" s="63"/>
      <c r="AC229" s="63"/>
    </row>
    <row r="230" spans="1:29">
      <c r="A230" s="62"/>
      <c r="B230" s="62"/>
      <c r="C230" s="62"/>
      <c r="D230" s="62"/>
      <c r="E230" s="62"/>
      <c r="F230" s="62"/>
      <c r="G230" s="62"/>
      <c r="H230" s="62"/>
      <c r="I230" s="62"/>
      <c r="J230" s="62"/>
      <c r="K230" s="53"/>
      <c r="L230" s="62"/>
      <c r="M230" s="63"/>
      <c r="N230" s="63"/>
      <c r="O230" s="63"/>
      <c r="P230" s="63"/>
      <c r="Q230" s="63"/>
      <c r="R230" s="63"/>
      <c r="S230" s="63"/>
      <c r="T230" s="63"/>
      <c r="U230" s="63"/>
      <c r="V230" s="63"/>
      <c r="W230" s="63"/>
      <c r="X230" s="63"/>
      <c r="Y230" s="63"/>
      <c r="Z230" s="63"/>
      <c r="AA230" s="63"/>
      <c r="AB230" s="63"/>
      <c r="AC230" s="63"/>
    </row>
    <row r="231" spans="1:29">
      <c r="A231" s="62"/>
      <c r="B231" s="62"/>
      <c r="C231" s="62"/>
      <c r="D231" s="62"/>
      <c r="E231" s="62"/>
      <c r="F231" s="62"/>
      <c r="G231" s="62"/>
      <c r="H231" s="62"/>
      <c r="I231" s="62"/>
      <c r="J231" s="62"/>
      <c r="K231" s="53"/>
      <c r="L231" s="62"/>
      <c r="M231" s="63"/>
      <c r="N231" s="63"/>
      <c r="O231" s="63"/>
      <c r="P231" s="63"/>
      <c r="Q231" s="63"/>
      <c r="R231" s="63"/>
      <c r="S231" s="63"/>
      <c r="T231" s="63"/>
      <c r="U231" s="63"/>
      <c r="V231" s="63"/>
      <c r="W231" s="63"/>
      <c r="X231" s="63"/>
      <c r="Y231" s="63"/>
      <c r="Z231" s="63"/>
      <c r="AA231" s="63"/>
      <c r="AB231" s="63"/>
      <c r="AC231" s="63"/>
    </row>
    <row r="232" spans="1:29">
      <c r="A232" s="62"/>
      <c r="B232" s="62"/>
      <c r="C232" s="62"/>
      <c r="D232" s="62"/>
      <c r="E232" s="62"/>
      <c r="F232" s="62"/>
      <c r="G232" s="62"/>
      <c r="H232" s="62"/>
      <c r="I232" s="62"/>
      <c r="J232" s="62"/>
      <c r="K232" s="53"/>
      <c r="L232" s="62"/>
      <c r="M232" s="63"/>
      <c r="N232" s="63"/>
      <c r="O232" s="63"/>
      <c r="P232" s="63"/>
      <c r="Q232" s="63"/>
      <c r="R232" s="63"/>
      <c r="S232" s="63"/>
      <c r="T232" s="63"/>
      <c r="U232" s="63"/>
      <c r="V232" s="63"/>
      <c r="W232" s="63"/>
      <c r="X232" s="63"/>
      <c r="Y232" s="63"/>
      <c r="Z232" s="63"/>
      <c r="AA232" s="63"/>
      <c r="AB232" s="63"/>
      <c r="AC232" s="63"/>
    </row>
    <row r="233" spans="1:29">
      <c r="A233" s="62"/>
      <c r="B233" s="62"/>
      <c r="C233" s="62"/>
      <c r="D233" s="62"/>
      <c r="E233" s="62"/>
      <c r="F233" s="62"/>
      <c r="G233" s="62"/>
      <c r="H233" s="62"/>
      <c r="I233" s="62"/>
      <c r="J233" s="62"/>
      <c r="K233" s="53"/>
      <c r="L233" s="62"/>
      <c r="M233" s="63"/>
      <c r="N233" s="63"/>
      <c r="O233" s="63"/>
      <c r="P233" s="63"/>
      <c r="Q233" s="63"/>
      <c r="R233" s="63"/>
      <c r="S233" s="63"/>
      <c r="T233" s="63"/>
      <c r="U233" s="63"/>
      <c r="V233" s="63"/>
      <c r="W233" s="63"/>
      <c r="X233" s="63"/>
      <c r="Y233" s="63"/>
      <c r="Z233" s="63"/>
      <c r="AA233" s="63"/>
      <c r="AB233" s="63"/>
      <c r="AC233" s="63"/>
    </row>
    <row r="234" spans="1:29">
      <c r="A234" s="62"/>
      <c r="B234" s="62"/>
      <c r="C234" s="62"/>
      <c r="D234" s="62"/>
      <c r="E234" s="62"/>
      <c r="F234" s="62"/>
      <c r="G234" s="62"/>
      <c r="H234" s="62"/>
      <c r="I234" s="62"/>
      <c r="J234" s="62"/>
      <c r="K234" s="53"/>
      <c r="L234" s="62"/>
      <c r="M234" s="63"/>
      <c r="N234" s="63"/>
      <c r="O234" s="63"/>
      <c r="P234" s="63"/>
      <c r="Q234" s="63"/>
      <c r="R234" s="63"/>
      <c r="S234" s="63"/>
      <c r="T234" s="63"/>
      <c r="U234" s="63"/>
      <c r="V234" s="63"/>
      <c r="W234" s="63"/>
      <c r="X234" s="63"/>
      <c r="Y234" s="63"/>
      <c r="Z234" s="63"/>
      <c r="AA234" s="63"/>
      <c r="AB234" s="63"/>
      <c r="AC234" s="63"/>
    </row>
    <row r="235" spans="1:29">
      <c r="A235" s="62"/>
      <c r="B235" s="62"/>
      <c r="C235" s="62"/>
      <c r="D235" s="62"/>
      <c r="E235" s="62"/>
      <c r="F235" s="62"/>
      <c r="G235" s="62"/>
      <c r="H235" s="62"/>
      <c r="I235" s="62"/>
      <c r="J235" s="62"/>
      <c r="K235" s="53"/>
      <c r="L235" s="62"/>
      <c r="M235" s="63"/>
      <c r="N235" s="63"/>
      <c r="O235" s="63"/>
      <c r="P235" s="63"/>
      <c r="Q235" s="63"/>
      <c r="R235" s="63"/>
      <c r="S235" s="63"/>
      <c r="T235" s="63"/>
      <c r="U235" s="63"/>
      <c r="V235" s="63"/>
      <c r="W235" s="63"/>
      <c r="X235" s="63"/>
      <c r="Y235" s="63"/>
      <c r="Z235" s="63"/>
      <c r="AA235" s="63"/>
      <c r="AB235" s="63"/>
      <c r="AC235" s="63"/>
    </row>
    <row r="236" spans="1:29">
      <c r="A236" s="62"/>
      <c r="B236" s="62"/>
      <c r="C236" s="62"/>
      <c r="D236" s="62"/>
      <c r="E236" s="62"/>
      <c r="F236" s="62"/>
      <c r="G236" s="62"/>
      <c r="H236" s="62"/>
      <c r="I236" s="62"/>
      <c r="J236" s="62"/>
      <c r="K236" s="53"/>
      <c r="L236" s="62"/>
      <c r="M236" s="63"/>
      <c r="N236" s="63"/>
      <c r="O236" s="63"/>
      <c r="P236" s="63"/>
      <c r="Q236" s="63"/>
      <c r="R236" s="63"/>
      <c r="S236" s="63"/>
      <c r="T236" s="63"/>
      <c r="U236" s="63"/>
      <c r="V236" s="63"/>
      <c r="W236" s="63"/>
      <c r="X236" s="63"/>
      <c r="Y236" s="63"/>
      <c r="Z236" s="63"/>
      <c r="AA236" s="63"/>
      <c r="AB236" s="63"/>
      <c r="AC236" s="63"/>
    </row>
    <row r="237" spans="1:29">
      <c r="A237" s="62"/>
      <c r="B237" s="62"/>
      <c r="C237" s="62"/>
      <c r="D237" s="62"/>
      <c r="E237" s="62"/>
      <c r="F237" s="62"/>
      <c r="G237" s="62"/>
      <c r="H237" s="62"/>
      <c r="I237" s="62"/>
      <c r="J237" s="62"/>
      <c r="K237" s="53"/>
      <c r="L237" s="62"/>
      <c r="M237" s="63"/>
      <c r="N237" s="63"/>
      <c r="O237" s="63"/>
      <c r="P237" s="63"/>
      <c r="Q237" s="63"/>
      <c r="R237" s="63"/>
      <c r="S237" s="63"/>
      <c r="T237" s="63"/>
      <c r="U237" s="63"/>
      <c r="V237" s="63"/>
      <c r="W237" s="63"/>
      <c r="X237" s="63"/>
      <c r="Y237" s="63"/>
      <c r="Z237" s="63"/>
      <c r="AA237" s="63"/>
      <c r="AB237" s="63"/>
      <c r="AC237" s="63"/>
    </row>
    <row r="238" spans="1:29">
      <c r="A238" s="62"/>
      <c r="B238" s="62"/>
      <c r="C238" s="62"/>
      <c r="D238" s="62"/>
      <c r="E238" s="62"/>
      <c r="F238" s="62"/>
      <c r="G238" s="62"/>
      <c r="H238" s="62"/>
      <c r="I238" s="62"/>
      <c r="J238" s="62"/>
      <c r="K238" s="53"/>
      <c r="L238" s="62"/>
      <c r="M238" s="63"/>
      <c r="N238" s="63"/>
      <c r="O238" s="63"/>
      <c r="P238" s="63"/>
      <c r="Q238" s="63"/>
      <c r="R238" s="63"/>
      <c r="S238" s="63"/>
      <c r="T238" s="63"/>
      <c r="U238" s="63"/>
      <c r="V238" s="63"/>
      <c r="W238" s="63"/>
      <c r="X238" s="63"/>
      <c r="Y238" s="63"/>
      <c r="Z238" s="63"/>
      <c r="AA238" s="63"/>
      <c r="AB238" s="63"/>
      <c r="AC238" s="63"/>
    </row>
    <row r="239" spans="1:29">
      <c r="A239" s="62"/>
      <c r="B239" s="62"/>
      <c r="C239" s="62"/>
      <c r="D239" s="62"/>
      <c r="E239" s="62"/>
      <c r="F239" s="62"/>
      <c r="G239" s="62"/>
      <c r="H239" s="62"/>
      <c r="I239" s="62"/>
      <c r="J239" s="62"/>
      <c r="K239" s="53"/>
      <c r="L239" s="62"/>
      <c r="M239" s="63"/>
      <c r="N239" s="63"/>
      <c r="O239" s="63"/>
      <c r="P239" s="63"/>
      <c r="Q239" s="63"/>
      <c r="R239" s="63"/>
      <c r="S239" s="63"/>
      <c r="T239" s="63"/>
      <c r="U239" s="63"/>
      <c r="V239" s="63"/>
      <c r="W239" s="63"/>
      <c r="X239" s="63"/>
      <c r="Y239" s="63"/>
      <c r="Z239" s="63"/>
      <c r="AA239" s="63"/>
      <c r="AB239" s="63"/>
      <c r="AC239" s="63"/>
    </row>
    <row r="240" spans="1:29">
      <c r="A240" s="62"/>
      <c r="B240" s="62"/>
      <c r="C240" s="62"/>
      <c r="D240" s="62"/>
      <c r="E240" s="62"/>
      <c r="F240" s="62"/>
      <c r="G240" s="62"/>
      <c r="H240" s="62"/>
      <c r="I240" s="62"/>
      <c r="J240" s="62"/>
      <c r="K240" s="53"/>
      <c r="L240" s="62"/>
      <c r="M240" s="63"/>
      <c r="N240" s="63"/>
      <c r="O240" s="63"/>
      <c r="P240" s="63"/>
      <c r="Q240" s="63"/>
      <c r="R240" s="63"/>
      <c r="S240" s="63"/>
      <c r="T240" s="63"/>
      <c r="U240" s="63"/>
      <c r="V240" s="63"/>
      <c r="W240" s="63"/>
      <c r="X240" s="63"/>
      <c r="Y240" s="63"/>
      <c r="Z240" s="63"/>
      <c r="AA240" s="63"/>
      <c r="AB240" s="63"/>
      <c r="AC240" s="63"/>
    </row>
    <row r="241" spans="1:29">
      <c r="A241" s="62"/>
      <c r="B241" s="62"/>
      <c r="C241" s="62"/>
      <c r="D241" s="62"/>
      <c r="E241" s="62"/>
      <c r="F241" s="62"/>
      <c r="G241" s="62"/>
      <c r="H241" s="62"/>
      <c r="I241" s="62"/>
      <c r="J241" s="62"/>
      <c r="K241" s="53"/>
      <c r="L241" s="62"/>
      <c r="M241" s="63"/>
      <c r="N241" s="63"/>
      <c r="O241" s="63"/>
      <c r="P241" s="63"/>
      <c r="Q241" s="63"/>
      <c r="R241" s="63"/>
      <c r="S241" s="63"/>
      <c r="T241" s="63"/>
      <c r="U241" s="63"/>
      <c r="V241" s="63"/>
      <c r="W241" s="63"/>
      <c r="X241" s="63"/>
      <c r="Y241" s="63"/>
      <c r="Z241" s="63"/>
      <c r="AA241" s="63"/>
      <c r="AB241" s="63"/>
      <c r="AC241" s="63"/>
    </row>
    <row r="242" spans="1:29">
      <c r="A242" s="62"/>
      <c r="B242" s="62"/>
      <c r="C242" s="62"/>
      <c r="D242" s="62"/>
      <c r="E242" s="62"/>
      <c r="F242" s="62"/>
      <c r="G242" s="62"/>
      <c r="H242" s="62"/>
      <c r="I242" s="62"/>
      <c r="J242" s="62"/>
      <c r="K242" s="53"/>
      <c r="L242" s="62"/>
      <c r="M242" s="63"/>
      <c r="N242" s="63"/>
      <c r="O242" s="63"/>
      <c r="P242" s="63"/>
      <c r="Q242" s="63"/>
      <c r="R242" s="63"/>
      <c r="S242" s="63"/>
      <c r="T242" s="63"/>
      <c r="U242" s="63"/>
      <c r="V242" s="63"/>
      <c r="W242" s="63"/>
      <c r="X242" s="63"/>
      <c r="Y242" s="63"/>
      <c r="Z242" s="63"/>
      <c r="AA242" s="63"/>
      <c r="AB242" s="63"/>
      <c r="AC242" s="63"/>
    </row>
    <row r="243" spans="1:29">
      <c r="A243" s="62"/>
      <c r="B243" s="62"/>
      <c r="C243" s="62"/>
      <c r="D243" s="62"/>
      <c r="E243" s="62"/>
      <c r="F243" s="62"/>
      <c r="G243" s="62"/>
      <c r="H243" s="62"/>
      <c r="I243" s="62"/>
      <c r="J243" s="62"/>
      <c r="K243" s="53"/>
      <c r="L243" s="62"/>
      <c r="M243" s="63"/>
      <c r="N243" s="63"/>
      <c r="O243" s="63"/>
      <c r="P243" s="63"/>
      <c r="Q243" s="63"/>
      <c r="R243" s="63"/>
      <c r="S243" s="63"/>
      <c r="T243" s="63"/>
      <c r="U243" s="63"/>
      <c r="V243" s="63"/>
      <c r="W243" s="63"/>
      <c r="X243" s="63"/>
      <c r="Y243" s="63"/>
      <c r="Z243" s="63"/>
      <c r="AA243" s="63"/>
      <c r="AB243" s="63"/>
      <c r="AC243" s="63"/>
    </row>
    <row r="244" spans="1:29">
      <c r="A244" s="62"/>
      <c r="B244" s="62"/>
      <c r="C244" s="62"/>
      <c r="D244" s="62"/>
      <c r="E244" s="62"/>
      <c r="F244" s="62"/>
      <c r="G244" s="62"/>
      <c r="H244" s="62"/>
      <c r="I244" s="62"/>
      <c r="J244" s="62"/>
      <c r="K244" s="53"/>
      <c r="L244" s="62"/>
      <c r="M244" s="63"/>
      <c r="N244" s="63"/>
      <c r="O244" s="63"/>
      <c r="P244" s="63"/>
      <c r="Q244" s="63"/>
      <c r="R244" s="63"/>
      <c r="S244" s="63"/>
      <c r="T244" s="63"/>
      <c r="U244" s="63"/>
      <c r="V244" s="63"/>
      <c r="W244" s="63"/>
      <c r="X244" s="63"/>
      <c r="Y244" s="63"/>
      <c r="Z244" s="63"/>
      <c r="AA244" s="63"/>
      <c r="AB244" s="63"/>
      <c r="AC244" s="63"/>
    </row>
    <row r="245" spans="1:29">
      <c r="A245" s="62"/>
      <c r="B245" s="62"/>
      <c r="C245" s="62"/>
      <c r="D245" s="62"/>
      <c r="E245" s="62"/>
      <c r="F245" s="62"/>
      <c r="G245" s="62"/>
      <c r="H245" s="62"/>
      <c r="I245" s="62"/>
      <c r="J245" s="62"/>
      <c r="K245" s="53"/>
      <c r="L245" s="62"/>
      <c r="M245" s="63"/>
      <c r="N245" s="63"/>
      <c r="O245" s="63"/>
      <c r="P245" s="63"/>
      <c r="Q245" s="63"/>
      <c r="R245" s="63"/>
      <c r="S245" s="63"/>
      <c r="T245" s="63"/>
      <c r="U245" s="63"/>
      <c r="V245" s="63"/>
      <c r="W245" s="63"/>
      <c r="X245" s="63"/>
      <c r="Y245" s="63"/>
      <c r="Z245" s="63"/>
      <c r="AA245" s="63"/>
      <c r="AB245" s="63"/>
      <c r="AC245" s="63"/>
    </row>
    <row r="246" spans="1:29">
      <c r="A246" s="62"/>
      <c r="B246" s="62"/>
      <c r="C246" s="62"/>
      <c r="D246" s="62"/>
      <c r="E246" s="62"/>
      <c r="F246" s="62"/>
      <c r="G246" s="62"/>
      <c r="H246" s="62"/>
      <c r="I246" s="62"/>
      <c r="J246" s="62"/>
      <c r="K246" s="53"/>
      <c r="L246" s="62"/>
      <c r="M246" s="63"/>
      <c r="N246" s="63"/>
      <c r="O246" s="63"/>
      <c r="P246" s="63"/>
      <c r="Q246" s="63"/>
      <c r="R246" s="63"/>
      <c r="S246" s="63"/>
      <c r="T246" s="63"/>
      <c r="U246" s="63"/>
      <c r="V246" s="63"/>
      <c r="W246" s="63"/>
      <c r="X246" s="63"/>
      <c r="Y246" s="63"/>
      <c r="Z246" s="63"/>
      <c r="AA246" s="63"/>
      <c r="AB246" s="63"/>
      <c r="AC246" s="63"/>
    </row>
    <row r="247" spans="1:29">
      <c r="A247" s="62"/>
      <c r="B247" s="62"/>
      <c r="C247" s="62"/>
      <c r="D247" s="62"/>
      <c r="E247" s="62"/>
      <c r="F247" s="62"/>
      <c r="G247" s="62"/>
      <c r="H247" s="62"/>
      <c r="I247" s="62"/>
      <c r="J247" s="62"/>
      <c r="K247" s="53"/>
      <c r="L247" s="62"/>
      <c r="M247" s="63"/>
      <c r="N247" s="63"/>
      <c r="O247" s="63"/>
      <c r="P247" s="63"/>
      <c r="Q247" s="63"/>
      <c r="R247" s="63"/>
      <c r="S247" s="63"/>
      <c r="T247" s="63"/>
      <c r="U247" s="63"/>
      <c r="V247" s="63"/>
      <c r="W247" s="63"/>
      <c r="X247" s="63"/>
      <c r="Y247" s="63"/>
      <c r="Z247" s="63"/>
      <c r="AA247" s="63"/>
      <c r="AB247" s="63"/>
      <c r="AC247" s="63"/>
    </row>
    <row r="248" spans="1:29">
      <c r="A248" s="62"/>
      <c r="B248" s="62"/>
      <c r="C248" s="62"/>
      <c r="D248" s="62"/>
      <c r="E248" s="62"/>
      <c r="F248" s="62"/>
      <c r="G248" s="62"/>
      <c r="H248" s="62"/>
      <c r="I248" s="62"/>
      <c r="J248" s="62"/>
      <c r="K248" s="53"/>
      <c r="L248" s="62"/>
      <c r="M248" s="63"/>
      <c r="N248" s="63"/>
      <c r="O248" s="63"/>
      <c r="P248" s="63"/>
      <c r="Q248" s="63"/>
      <c r="R248" s="63"/>
      <c r="S248" s="63"/>
      <c r="T248" s="63"/>
      <c r="U248" s="63"/>
      <c r="V248" s="63"/>
      <c r="W248" s="63"/>
      <c r="X248" s="63"/>
      <c r="Y248" s="63"/>
      <c r="Z248" s="63"/>
      <c r="AA248" s="63"/>
      <c r="AB248" s="63"/>
      <c r="AC248" s="63"/>
    </row>
    <row r="249" spans="1:29">
      <c r="A249" s="62"/>
      <c r="B249" s="62"/>
      <c r="C249" s="62"/>
      <c r="D249" s="62"/>
      <c r="E249" s="62"/>
      <c r="F249" s="62"/>
      <c r="G249" s="62"/>
      <c r="H249" s="62"/>
      <c r="I249" s="62"/>
      <c r="J249" s="62"/>
      <c r="K249" s="53"/>
      <c r="L249" s="62"/>
      <c r="M249" s="63"/>
      <c r="N249" s="63"/>
      <c r="O249" s="63"/>
      <c r="P249" s="63"/>
      <c r="Q249" s="63"/>
      <c r="R249" s="63"/>
      <c r="S249" s="63"/>
      <c r="T249" s="63"/>
      <c r="U249" s="63"/>
      <c r="V249" s="63"/>
      <c r="W249" s="63"/>
      <c r="X249" s="63"/>
      <c r="Y249" s="63"/>
      <c r="Z249" s="63"/>
      <c r="AA249" s="63"/>
      <c r="AB249" s="63"/>
      <c r="AC249" s="63"/>
    </row>
    <row r="250" spans="1:29">
      <c r="A250" s="62"/>
      <c r="B250" s="62"/>
      <c r="C250" s="62"/>
      <c r="D250" s="62"/>
      <c r="E250" s="62"/>
      <c r="F250" s="62"/>
      <c r="G250" s="62"/>
      <c r="H250" s="62"/>
      <c r="I250" s="62"/>
      <c r="J250" s="62"/>
      <c r="K250" s="53"/>
      <c r="L250" s="62"/>
      <c r="M250" s="63"/>
      <c r="N250" s="63"/>
      <c r="O250" s="63"/>
      <c r="P250" s="63"/>
      <c r="Q250" s="63"/>
      <c r="R250" s="63"/>
      <c r="S250" s="63"/>
      <c r="T250" s="63"/>
      <c r="U250" s="63"/>
      <c r="V250" s="63"/>
      <c r="W250" s="63"/>
      <c r="X250" s="63"/>
      <c r="Y250" s="63"/>
      <c r="Z250" s="63"/>
      <c r="AA250" s="63"/>
      <c r="AB250" s="63"/>
      <c r="AC250" s="63"/>
    </row>
    <row r="251" spans="1:29">
      <c r="A251" s="62"/>
      <c r="B251" s="62"/>
      <c r="C251" s="62"/>
      <c r="D251" s="62"/>
      <c r="E251" s="62"/>
      <c r="F251" s="62"/>
      <c r="G251" s="62"/>
      <c r="H251" s="62"/>
      <c r="I251" s="62"/>
      <c r="J251" s="62"/>
      <c r="K251" s="53"/>
      <c r="L251" s="62"/>
      <c r="M251" s="63"/>
      <c r="N251" s="63"/>
      <c r="O251" s="63"/>
      <c r="P251" s="63"/>
      <c r="Q251" s="63"/>
      <c r="R251" s="63"/>
      <c r="S251" s="63"/>
      <c r="T251" s="63"/>
      <c r="U251" s="63"/>
      <c r="V251" s="63"/>
      <c r="W251" s="63"/>
      <c r="X251" s="63"/>
      <c r="Y251" s="63"/>
      <c r="Z251" s="63"/>
      <c r="AA251" s="63"/>
      <c r="AB251" s="63"/>
      <c r="AC251" s="63"/>
    </row>
    <row r="252" spans="1:29">
      <c r="A252" s="62"/>
      <c r="B252" s="62"/>
      <c r="C252" s="62"/>
      <c r="D252" s="62"/>
      <c r="E252" s="62"/>
      <c r="F252" s="62"/>
      <c r="G252" s="62"/>
      <c r="H252" s="62"/>
      <c r="I252" s="62"/>
      <c r="J252" s="62"/>
      <c r="K252" s="53"/>
      <c r="L252" s="62"/>
      <c r="M252" s="63"/>
      <c r="N252" s="63"/>
      <c r="O252" s="63"/>
      <c r="P252" s="63"/>
      <c r="Q252" s="63"/>
      <c r="R252" s="63"/>
      <c r="S252" s="63"/>
      <c r="T252" s="63"/>
      <c r="U252" s="63"/>
      <c r="V252" s="63"/>
      <c r="W252" s="63"/>
      <c r="X252" s="63"/>
      <c r="Y252" s="63"/>
      <c r="Z252" s="63"/>
      <c r="AA252" s="63"/>
      <c r="AB252" s="63"/>
      <c r="AC252" s="63"/>
    </row>
    <row r="253" spans="1:29">
      <c r="A253" s="62"/>
      <c r="B253" s="62"/>
      <c r="C253" s="62"/>
      <c r="D253" s="62"/>
      <c r="E253" s="62"/>
      <c r="F253" s="62"/>
      <c r="G253" s="62"/>
      <c r="H253" s="62"/>
      <c r="I253" s="62"/>
      <c r="J253" s="62"/>
      <c r="K253" s="53"/>
      <c r="L253" s="62"/>
      <c r="M253" s="63"/>
      <c r="N253" s="63"/>
      <c r="O253" s="63"/>
      <c r="P253" s="63"/>
      <c r="Q253" s="63"/>
      <c r="R253" s="63"/>
      <c r="S253" s="63"/>
      <c r="T253" s="63"/>
      <c r="U253" s="63"/>
      <c r="V253" s="63"/>
      <c r="W253" s="63"/>
      <c r="X253" s="63"/>
      <c r="Y253" s="63"/>
      <c r="Z253" s="63"/>
      <c r="AA253" s="63"/>
      <c r="AB253" s="63"/>
      <c r="AC253" s="63"/>
    </row>
    <row r="254" spans="1:29">
      <c r="A254" s="62"/>
      <c r="B254" s="62"/>
      <c r="C254" s="62"/>
      <c r="D254" s="62"/>
      <c r="E254" s="62"/>
      <c r="F254" s="62"/>
      <c r="G254" s="62"/>
      <c r="H254" s="62"/>
      <c r="I254" s="62"/>
      <c r="J254" s="62"/>
      <c r="K254" s="53"/>
      <c r="L254" s="62"/>
      <c r="M254" s="63"/>
      <c r="N254" s="63"/>
      <c r="O254" s="63"/>
      <c r="P254" s="63"/>
      <c r="Q254" s="63"/>
      <c r="R254" s="63"/>
      <c r="S254" s="63"/>
      <c r="T254" s="63"/>
      <c r="U254" s="63"/>
      <c r="V254" s="63"/>
      <c r="W254" s="63"/>
      <c r="X254" s="63"/>
      <c r="Y254" s="63"/>
      <c r="Z254" s="63"/>
      <c r="AA254" s="63"/>
      <c r="AB254" s="63"/>
      <c r="AC254" s="63"/>
    </row>
    <row r="255" spans="1:29">
      <c r="A255" s="62"/>
      <c r="B255" s="62"/>
      <c r="C255" s="62"/>
      <c r="D255" s="62"/>
      <c r="E255" s="62"/>
      <c r="F255" s="62"/>
      <c r="G255" s="62"/>
      <c r="H255" s="62"/>
      <c r="I255" s="62"/>
      <c r="J255" s="62"/>
      <c r="K255" s="53"/>
      <c r="L255" s="62"/>
      <c r="M255" s="63"/>
      <c r="N255" s="63"/>
      <c r="O255" s="63"/>
      <c r="P255" s="63"/>
      <c r="Q255" s="63"/>
      <c r="R255" s="63"/>
      <c r="S255" s="63"/>
      <c r="T255" s="63"/>
      <c r="U255" s="63"/>
      <c r="V255" s="63"/>
      <c r="W255" s="63"/>
      <c r="X255" s="63"/>
      <c r="Y255" s="63"/>
      <c r="Z255" s="63"/>
      <c r="AA255" s="63"/>
      <c r="AB255" s="63"/>
      <c r="AC255" s="63"/>
    </row>
    <row r="256" spans="1:29">
      <c r="A256" s="62"/>
      <c r="B256" s="62"/>
      <c r="C256" s="62"/>
      <c r="D256" s="62"/>
      <c r="E256" s="62"/>
      <c r="F256" s="62"/>
      <c r="G256" s="62"/>
      <c r="H256" s="62"/>
      <c r="I256" s="62"/>
      <c r="J256" s="62"/>
      <c r="K256" s="53"/>
      <c r="L256" s="62"/>
      <c r="M256" s="63"/>
      <c r="N256" s="63"/>
      <c r="O256" s="63"/>
      <c r="P256" s="63"/>
      <c r="Q256" s="63"/>
      <c r="R256" s="63"/>
      <c r="S256" s="63"/>
      <c r="T256" s="63"/>
      <c r="U256" s="63"/>
      <c r="V256" s="63"/>
      <c r="W256" s="63"/>
      <c r="X256" s="63"/>
      <c r="Y256" s="63"/>
      <c r="Z256" s="63"/>
      <c r="AA256" s="63"/>
      <c r="AB256" s="63"/>
      <c r="AC256" s="63"/>
    </row>
    <row r="257" spans="1:29">
      <c r="A257" s="62"/>
      <c r="B257" s="62"/>
      <c r="C257" s="62"/>
      <c r="D257" s="62"/>
      <c r="E257" s="62"/>
      <c r="F257" s="62"/>
      <c r="G257" s="62"/>
      <c r="H257" s="62"/>
      <c r="I257" s="62"/>
      <c r="J257" s="62"/>
      <c r="K257" s="53"/>
      <c r="L257" s="62"/>
      <c r="M257" s="63"/>
      <c r="N257" s="63"/>
      <c r="O257" s="63"/>
      <c r="P257" s="63"/>
      <c r="Q257" s="63"/>
      <c r="R257" s="63"/>
      <c r="S257" s="63"/>
      <c r="T257" s="63"/>
      <c r="U257" s="63"/>
      <c r="V257" s="63"/>
      <c r="W257" s="63"/>
      <c r="X257" s="63"/>
      <c r="Y257" s="63"/>
      <c r="Z257" s="63"/>
      <c r="AA257" s="63"/>
      <c r="AB257" s="63"/>
      <c r="AC257" s="63"/>
    </row>
    <row r="258" spans="1:29">
      <c r="A258" s="62"/>
      <c r="B258" s="62"/>
      <c r="C258" s="62"/>
      <c r="D258" s="62"/>
      <c r="E258" s="62"/>
      <c r="F258" s="62"/>
      <c r="G258" s="62"/>
      <c r="H258" s="62"/>
      <c r="I258" s="62"/>
      <c r="J258" s="62"/>
      <c r="K258" s="53"/>
      <c r="L258" s="62"/>
      <c r="M258" s="63"/>
      <c r="N258" s="63"/>
      <c r="O258" s="63"/>
      <c r="P258" s="63"/>
      <c r="Q258" s="63"/>
      <c r="R258" s="63"/>
      <c r="S258" s="63"/>
      <c r="T258" s="63"/>
      <c r="U258" s="63"/>
      <c r="V258" s="63"/>
      <c r="W258" s="63"/>
      <c r="X258" s="63"/>
      <c r="Y258" s="63"/>
      <c r="Z258" s="63"/>
      <c r="AA258" s="63"/>
      <c r="AB258" s="63"/>
      <c r="AC258" s="63"/>
    </row>
    <row r="259" spans="1:29">
      <c r="A259" s="62"/>
      <c r="B259" s="62"/>
      <c r="C259" s="62"/>
      <c r="D259" s="62"/>
      <c r="E259" s="62"/>
      <c r="F259" s="62"/>
      <c r="G259" s="62"/>
      <c r="H259" s="62"/>
      <c r="I259" s="62"/>
      <c r="J259" s="62"/>
      <c r="K259" s="53"/>
      <c r="L259" s="62"/>
      <c r="M259" s="63"/>
      <c r="N259" s="63"/>
      <c r="O259" s="63"/>
      <c r="P259" s="63"/>
      <c r="Q259" s="63"/>
      <c r="R259" s="63"/>
      <c r="S259" s="63"/>
      <c r="T259" s="63"/>
      <c r="U259" s="63"/>
      <c r="V259" s="63"/>
      <c r="W259" s="63"/>
      <c r="X259" s="63"/>
      <c r="Y259" s="63"/>
      <c r="Z259" s="63"/>
      <c r="AA259" s="63"/>
      <c r="AB259" s="63"/>
      <c r="AC259" s="63"/>
    </row>
    <row r="260" spans="1:29">
      <c r="A260" s="62"/>
      <c r="B260" s="62"/>
      <c r="C260" s="62"/>
      <c r="D260" s="62"/>
      <c r="E260" s="62"/>
      <c r="F260" s="62"/>
      <c r="G260" s="62"/>
      <c r="H260" s="62"/>
      <c r="I260" s="62"/>
      <c r="J260" s="62"/>
      <c r="K260" s="53"/>
      <c r="L260" s="62"/>
      <c r="M260" s="63"/>
      <c r="N260" s="63"/>
      <c r="O260" s="63"/>
      <c r="P260" s="63"/>
      <c r="Q260" s="63"/>
      <c r="R260" s="63"/>
      <c r="S260" s="63"/>
      <c r="T260" s="63"/>
      <c r="U260" s="63"/>
      <c r="V260" s="63"/>
      <c r="W260" s="63"/>
      <c r="X260" s="63"/>
      <c r="Y260" s="63"/>
      <c r="Z260" s="63"/>
      <c r="AA260" s="63"/>
      <c r="AB260" s="63"/>
      <c r="AC260" s="63"/>
    </row>
    <row r="261" spans="1:29">
      <c r="A261" s="62"/>
      <c r="B261" s="62"/>
      <c r="C261" s="62"/>
      <c r="D261" s="62"/>
      <c r="E261" s="62"/>
      <c r="F261" s="62"/>
      <c r="G261" s="62"/>
      <c r="H261" s="62"/>
      <c r="I261" s="62"/>
      <c r="J261" s="62"/>
      <c r="K261" s="53"/>
      <c r="L261" s="62"/>
      <c r="M261" s="63"/>
      <c r="N261" s="63"/>
      <c r="O261" s="63"/>
      <c r="P261" s="63"/>
      <c r="Q261" s="63"/>
      <c r="R261" s="63"/>
      <c r="S261" s="63"/>
      <c r="T261" s="63"/>
      <c r="U261" s="63"/>
      <c r="V261" s="63"/>
      <c r="W261" s="63"/>
      <c r="X261" s="63"/>
      <c r="Y261" s="63"/>
      <c r="Z261" s="63"/>
      <c r="AA261" s="63"/>
      <c r="AB261" s="63"/>
      <c r="AC261" s="63"/>
    </row>
    <row r="262" spans="1:29">
      <c r="A262" s="62"/>
      <c r="B262" s="62"/>
      <c r="C262" s="62"/>
      <c r="D262" s="62"/>
      <c r="E262" s="62"/>
      <c r="F262" s="62"/>
      <c r="G262" s="62"/>
      <c r="H262" s="62"/>
      <c r="I262" s="62"/>
      <c r="J262" s="62"/>
      <c r="K262" s="53"/>
      <c r="L262" s="62"/>
      <c r="M262" s="63"/>
      <c r="N262" s="63"/>
      <c r="O262" s="63"/>
      <c r="P262" s="63"/>
      <c r="Q262" s="63"/>
      <c r="R262" s="63"/>
      <c r="S262" s="63"/>
      <c r="T262" s="63"/>
      <c r="U262" s="63"/>
      <c r="V262" s="63"/>
      <c r="W262" s="63"/>
      <c r="X262" s="63"/>
      <c r="Y262" s="63"/>
      <c r="Z262" s="63"/>
      <c r="AA262" s="63"/>
      <c r="AB262" s="63"/>
      <c r="AC262" s="63"/>
    </row>
    <row r="263" spans="1:29">
      <c r="A263" s="62"/>
      <c r="B263" s="62"/>
      <c r="C263" s="62"/>
      <c r="D263" s="62"/>
      <c r="E263" s="62"/>
      <c r="F263" s="62"/>
      <c r="G263" s="62"/>
      <c r="H263" s="62"/>
      <c r="I263" s="62"/>
      <c r="J263" s="62"/>
      <c r="K263" s="53"/>
      <c r="L263" s="62"/>
      <c r="M263" s="63"/>
      <c r="N263" s="63"/>
      <c r="O263" s="63"/>
      <c r="P263" s="63"/>
      <c r="Q263" s="63"/>
      <c r="R263" s="63"/>
      <c r="S263" s="63"/>
      <c r="T263" s="63"/>
      <c r="U263" s="63"/>
      <c r="V263" s="63"/>
      <c r="W263" s="63"/>
      <c r="X263" s="63"/>
      <c r="Y263" s="63"/>
      <c r="Z263" s="63"/>
      <c r="AA263" s="63"/>
      <c r="AB263" s="63"/>
      <c r="AC263" s="63"/>
    </row>
    <row r="264" spans="1:29">
      <c r="A264" s="62"/>
      <c r="B264" s="62"/>
      <c r="C264" s="62"/>
      <c r="D264" s="62"/>
      <c r="E264" s="62"/>
      <c r="F264" s="62"/>
      <c r="G264" s="62"/>
      <c r="H264" s="62"/>
      <c r="I264" s="62"/>
      <c r="J264" s="62"/>
      <c r="K264" s="53"/>
      <c r="L264" s="62"/>
      <c r="M264" s="63"/>
      <c r="N264" s="63"/>
      <c r="O264" s="63"/>
      <c r="P264" s="63"/>
      <c r="Q264" s="63"/>
      <c r="R264" s="63"/>
      <c r="S264" s="63"/>
      <c r="T264" s="63"/>
      <c r="U264" s="63"/>
      <c r="V264" s="63"/>
      <c r="W264" s="63"/>
      <c r="X264" s="63"/>
      <c r="Y264" s="63"/>
      <c r="Z264" s="63"/>
      <c r="AA264" s="63"/>
      <c r="AB264" s="63"/>
      <c r="AC264" s="63"/>
    </row>
    <row r="265" spans="1:29">
      <c r="A265" s="62"/>
      <c r="B265" s="62"/>
      <c r="C265" s="62"/>
      <c r="D265" s="62"/>
      <c r="E265" s="62"/>
      <c r="F265" s="62"/>
      <c r="G265" s="62"/>
      <c r="H265" s="62"/>
      <c r="I265" s="62"/>
      <c r="J265" s="62"/>
      <c r="K265" s="53"/>
      <c r="L265" s="62"/>
      <c r="M265" s="63"/>
      <c r="N265" s="63"/>
      <c r="O265" s="63"/>
      <c r="P265" s="63"/>
      <c r="Q265" s="63"/>
      <c r="R265" s="63"/>
      <c r="S265" s="63"/>
      <c r="T265" s="63"/>
      <c r="U265" s="63"/>
      <c r="V265" s="63"/>
      <c r="W265" s="63"/>
      <c r="X265" s="63"/>
      <c r="Y265" s="63"/>
      <c r="Z265" s="63"/>
      <c r="AA265" s="63"/>
      <c r="AB265" s="63"/>
      <c r="AC265" s="63"/>
    </row>
    <row r="266" spans="1:29">
      <c r="A266" s="62"/>
      <c r="B266" s="62"/>
      <c r="C266" s="62"/>
      <c r="D266" s="62"/>
      <c r="E266" s="62"/>
      <c r="F266" s="62"/>
      <c r="G266" s="62"/>
      <c r="H266" s="62"/>
      <c r="I266" s="62"/>
      <c r="J266" s="62"/>
      <c r="K266" s="53"/>
      <c r="L266" s="62"/>
      <c r="M266" s="63"/>
      <c r="N266" s="63"/>
      <c r="O266" s="63"/>
      <c r="P266" s="63"/>
      <c r="Q266" s="63"/>
      <c r="R266" s="63"/>
      <c r="S266" s="63"/>
      <c r="T266" s="63"/>
      <c r="U266" s="63"/>
      <c r="V266" s="63"/>
      <c r="W266" s="63"/>
      <c r="X266" s="63"/>
      <c r="Y266" s="63"/>
      <c r="Z266" s="63"/>
      <c r="AA266" s="63"/>
      <c r="AB266" s="63"/>
      <c r="AC266" s="63"/>
    </row>
    <row r="267" spans="1:29">
      <c r="A267" s="62"/>
      <c r="B267" s="62"/>
      <c r="C267" s="62"/>
      <c r="D267" s="62"/>
      <c r="E267" s="62"/>
      <c r="F267" s="62"/>
      <c r="G267" s="62"/>
      <c r="H267" s="62"/>
      <c r="I267" s="62"/>
      <c r="J267" s="62"/>
      <c r="K267" s="53"/>
      <c r="L267" s="62"/>
      <c r="M267" s="63"/>
      <c r="N267" s="63"/>
      <c r="O267" s="63"/>
      <c r="P267" s="63"/>
      <c r="Q267" s="63"/>
      <c r="R267" s="63"/>
      <c r="S267" s="63"/>
      <c r="T267" s="63"/>
      <c r="U267" s="63"/>
      <c r="V267" s="63"/>
      <c r="W267" s="63"/>
      <c r="X267" s="63"/>
      <c r="Y267" s="63"/>
      <c r="Z267" s="63"/>
      <c r="AA267" s="63"/>
      <c r="AB267" s="63"/>
      <c r="AC267" s="63"/>
    </row>
    <row r="268" spans="1:29">
      <c r="A268" s="62"/>
      <c r="B268" s="62"/>
      <c r="C268" s="62"/>
      <c r="D268" s="62"/>
      <c r="E268" s="62"/>
      <c r="F268" s="62"/>
      <c r="G268" s="62"/>
      <c r="H268" s="62"/>
      <c r="I268" s="62"/>
      <c r="J268" s="62"/>
      <c r="K268" s="53"/>
      <c r="L268" s="62"/>
      <c r="M268" s="63"/>
      <c r="N268" s="63"/>
      <c r="O268" s="63"/>
      <c r="P268" s="63"/>
      <c r="Q268" s="63"/>
      <c r="R268" s="63"/>
      <c r="S268" s="63"/>
      <c r="T268" s="63"/>
      <c r="U268" s="63"/>
      <c r="V268" s="63"/>
      <c r="W268" s="63"/>
      <c r="X268" s="63"/>
      <c r="Y268" s="63"/>
      <c r="Z268" s="63"/>
      <c r="AA268" s="63"/>
      <c r="AB268" s="63"/>
      <c r="AC268" s="63"/>
    </row>
    <row r="269" spans="1:29">
      <c r="A269" s="62"/>
      <c r="B269" s="62"/>
      <c r="C269" s="62"/>
      <c r="D269" s="62"/>
      <c r="E269" s="62"/>
      <c r="F269" s="62"/>
      <c r="G269" s="62"/>
      <c r="H269" s="62"/>
      <c r="I269" s="62"/>
      <c r="J269" s="62"/>
      <c r="K269" s="53"/>
      <c r="L269" s="62"/>
      <c r="M269" s="63"/>
      <c r="N269" s="63"/>
      <c r="O269" s="63"/>
      <c r="P269" s="63"/>
      <c r="Q269" s="63"/>
      <c r="R269" s="63"/>
      <c r="S269" s="63"/>
      <c r="T269" s="63"/>
      <c r="U269" s="63"/>
      <c r="V269" s="63"/>
      <c r="W269" s="63"/>
      <c r="X269" s="63"/>
      <c r="Y269" s="63"/>
      <c r="Z269" s="63"/>
      <c r="AA269" s="63"/>
      <c r="AB269" s="63"/>
      <c r="AC269" s="63"/>
    </row>
    <row r="270" spans="1:29">
      <c r="A270" s="62"/>
      <c r="B270" s="62"/>
      <c r="C270" s="62"/>
      <c r="D270" s="62"/>
      <c r="E270" s="62"/>
      <c r="F270" s="62"/>
      <c r="G270" s="62"/>
      <c r="H270" s="62"/>
      <c r="I270" s="62"/>
      <c r="J270" s="62"/>
      <c r="K270" s="53"/>
      <c r="L270" s="62"/>
      <c r="M270" s="63"/>
      <c r="N270" s="63"/>
      <c r="O270" s="63"/>
      <c r="P270" s="63"/>
      <c r="Q270" s="63"/>
      <c r="R270" s="63"/>
      <c r="S270" s="63"/>
      <c r="T270" s="63"/>
      <c r="U270" s="63"/>
      <c r="V270" s="63"/>
      <c r="W270" s="63"/>
      <c r="X270" s="63"/>
      <c r="Y270" s="63"/>
      <c r="Z270" s="63"/>
      <c r="AA270" s="63"/>
      <c r="AB270" s="63"/>
      <c r="AC270" s="63"/>
    </row>
    <row r="271" spans="1:29">
      <c r="A271" s="62"/>
      <c r="B271" s="62"/>
      <c r="C271" s="62"/>
      <c r="D271" s="62"/>
      <c r="E271" s="62"/>
      <c r="F271" s="62"/>
      <c r="G271" s="62"/>
      <c r="H271" s="62"/>
      <c r="I271" s="62"/>
      <c r="J271" s="62"/>
      <c r="K271" s="53"/>
      <c r="L271" s="62"/>
      <c r="M271" s="63"/>
      <c r="N271" s="63"/>
      <c r="O271" s="63"/>
      <c r="P271" s="63"/>
      <c r="Q271" s="63"/>
      <c r="R271" s="63"/>
      <c r="S271" s="63"/>
      <c r="T271" s="63"/>
      <c r="U271" s="63"/>
      <c r="V271" s="63"/>
      <c r="W271" s="63"/>
      <c r="X271" s="63"/>
      <c r="Y271" s="63"/>
      <c r="Z271" s="63"/>
      <c r="AA271" s="63"/>
      <c r="AB271" s="63"/>
      <c r="AC271" s="63"/>
    </row>
    <row r="272" spans="1:29">
      <c r="A272" s="62"/>
      <c r="B272" s="62"/>
      <c r="C272" s="62"/>
      <c r="D272" s="62"/>
      <c r="E272" s="62"/>
      <c r="F272" s="62"/>
      <c r="G272" s="62"/>
      <c r="H272" s="62"/>
      <c r="I272" s="62"/>
      <c r="J272" s="62"/>
      <c r="K272" s="53"/>
      <c r="L272" s="62"/>
      <c r="M272" s="63"/>
      <c r="N272" s="63"/>
      <c r="O272" s="63"/>
      <c r="P272" s="63"/>
      <c r="Q272" s="63"/>
      <c r="R272" s="63"/>
      <c r="S272" s="63"/>
      <c r="T272" s="63"/>
      <c r="U272" s="63"/>
      <c r="V272" s="63"/>
      <c r="W272" s="63"/>
      <c r="X272" s="63"/>
      <c r="Y272" s="63"/>
      <c r="Z272" s="63"/>
      <c r="AA272" s="63"/>
      <c r="AB272" s="63"/>
      <c r="AC272" s="63"/>
    </row>
    <row r="273" spans="1:29">
      <c r="A273" s="62"/>
      <c r="B273" s="62"/>
      <c r="C273" s="62"/>
      <c r="D273" s="62"/>
      <c r="E273" s="62"/>
      <c r="F273" s="62"/>
      <c r="G273" s="62"/>
      <c r="H273" s="62"/>
      <c r="I273" s="62"/>
      <c r="J273" s="62"/>
      <c r="K273" s="53"/>
      <c r="L273" s="62"/>
      <c r="M273" s="63"/>
      <c r="N273" s="63"/>
      <c r="O273" s="63"/>
      <c r="P273" s="63"/>
      <c r="Q273" s="63"/>
      <c r="R273" s="63"/>
      <c r="S273" s="63"/>
      <c r="T273" s="63"/>
      <c r="U273" s="63"/>
      <c r="V273" s="63"/>
      <c r="W273" s="63"/>
      <c r="X273" s="63"/>
      <c r="Y273" s="63"/>
      <c r="Z273" s="63"/>
      <c r="AA273" s="63"/>
      <c r="AB273" s="63"/>
      <c r="AC273" s="63"/>
    </row>
    <row r="274" spans="1:29">
      <c r="A274" s="62"/>
      <c r="B274" s="62"/>
      <c r="C274" s="62"/>
      <c r="D274" s="62"/>
      <c r="E274" s="62"/>
      <c r="F274" s="62"/>
      <c r="G274" s="62"/>
      <c r="H274" s="62"/>
      <c r="I274" s="62"/>
      <c r="J274" s="62"/>
      <c r="K274" s="53"/>
      <c r="L274" s="62"/>
      <c r="M274" s="63"/>
      <c r="N274" s="63"/>
      <c r="O274" s="63"/>
      <c r="P274" s="63"/>
      <c r="Q274" s="63"/>
      <c r="R274" s="63"/>
      <c r="S274" s="63"/>
      <c r="T274" s="63"/>
      <c r="U274" s="63"/>
      <c r="V274" s="63"/>
      <c r="W274" s="63"/>
      <c r="X274" s="63"/>
      <c r="Y274" s="63"/>
      <c r="Z274" s="63"/>
      <c r="AA274" s="63"/>
      <c r="AB274" s="63"/>
      <c r="AC274" s="63"/>
    </row>
    <row r="275" spans="1:29">
      <c r="A275" s="62"/>
      <c r="B275" s="62"/>
      <c r="C275" s="62"/>
      <c r="D275" s="62"/>
      <c r="E275" s="62"/>
      <c r="F275" s="62"/>
      <c r="G275" s="62"/>
      <c r="H275" s="62"/>
      <c r="I275" s="62"/>
      <c r="J275" s="62"/>
      <c r="K275" s="53"/>
      <c r="L275" s="62"/>
      <c r="M275" s="63"/>
      <c r="N275" s="63"/>
      <c r="O275" s="63"/>
      <c r="P275" s="63"/>
      <c r="Q275" s="63"/>
      <c r="R275" s="63"/>
      <c r="S275" s="63"/>
      <c r="T275" s="63"/>
      <c r="U275" s="63"/>
      <c r="V275" s="63"/>
      <c r="W275" s="63"/>
      <c r="X275" s="63"/>
      <c r="Y275" s="63"/>
      <c r="Z275" s="63"/>
      <c r="AA275" s="63"/>
      <c r="AB275" s="63"/>
      <c r="AC275" s="63"/>
    </row>
    <row r="276" spans="1:29">
      <c r="A276" s="62"/>
      <c r="B276" s="62"/>
      <c r="C276" s="62"/>
      <c r="D276" s="62"/>
      <c r="E276" s="62"/>
      <c r="F276" s="62"/>
      <c r="G276" s="62"/>
      <c r="H276" s="62"/>
      <c r="I276" s="62"/>
      <c r="J276" s="62"/>
      <c r="K276" s="53"/>
      <c r="L276" s="62"/>
      <c r="M276" s="63"/>
      <c r="N276" s="63"/>
      <c r="O276" s="63"/>
      <c r="P276" s="63"/>
      <c r="Q276" s="63"/>
      <c r="R276" s="63"/>
      <c r="S276" s="63"/>
      <c r="T276" s="63"/>
      <c r="U276" s="63"/>
      <c r="V276" s="63"/>
      <c r="W276" s="63"/>
      <c r="X276" s="63"/>
      <c r="Y276" s="63"/>
      <c r="Z276" s="63"/>
      <c r="AA276" s="63"/>
      <c r="AB276" s="63"/>
      <c r="AC276" s="63"/>
    </row>
    <row r="277" spans="1:29">
      <c r="A277" s="62"/>
      <c r="B277" s="62"/>
      <c r="C277" s="62"/>
      <c r="D277" s="62"/>
      <c r="E277" s="62"/>
      <c r="F277" s="62"/>
      <c r="G277" s="62"/>
      <c r="H277" s="62"/>
      <c r="I277" s="62"/>
      <c r="J277" s="62"/>
      <c r="K277" s="53"/>
      <c r="L277" s="62"/>
      <c r="M277" s="63"/>
      <c r="N277" s="63"/>
      <c r="O277" s="63"/>
      <c r="P277" s="63"/>
      <c r="Q277" s="63"/>
      <c r="R277" s="63"/>
      <c r="S277" s="63"/>
      <c r="T277" s="63"/>
      <c r="U277" s="63"/>
      <c r="V277" s="63"/>
      <c r="W277" s="63"/>
      <c r="X277" s="63"/>
      <c r="Y277" s="63"/>
      <c r="Z277" s="63"/>
      <c r="AA277" s="63"/>
      <c r="AB277" s="63"/>
      <c r="AC277" s="63"/>
    </row>
    <row r="278" spans="1:29">
      <c r="A278" s="62"/>
      <c r="B278" s="62"/>
      <c r="C278" s="62"/>
      <c r="D278" s="62"/>
      <c r="E278" s="62"/>
      <c r="F278" s="62"/>
      <c r="G278" s="62"/>
      <c r="H278" s="62"/>
      <c r="I278" s="62"/>
      <c r="J278" s="62"/>
      <c r="K278" s="53"/>
      <c r="L278" s="62"/>
      <c r="M278" s="63"/>
      <c r="N278" s="63"/>
      <c r="O278" s="63"/>
      <c r="P278" s="63"/>
      <c r="Q278" s="63"/>
      <c r="R278" s="63"/>
      <c r="S278" s="63"/>
      <c r="T278" s="63"/>
      <c r="U278" s="63"/>
      <c r="V278" s="63"/>
      <c r="W278" s="63"/>
      <c r="X278" s="63"/>
      <c r="Y278" s="63"/>
      <c r="Z278" s="63"/>
      <c r="AA278" s="63"/>
      <c r="AB278" s="63"/>
      <c r="AC278" s="63"/>
    </row>
    <row r="279" spans="1:29">
      <c r="A279" s="62"/>
      <c r="B279" s="62"/>
      <c r="C279" s="62"/>
      <c r="D279" s="62"/>
      <c r="E279" s="62"/>
      <c r="F279" s="62"/>
      <c r="G279" s="62"/>
      <c r="H279" s="62"/>
      <c r="I279" s="62"/>
      <c r="J279" s="62"/>
      <c r="K279" s="53"/>
      <c r="L279" s="62"/>
      <c r="M279" s="63"/>
      <c r="N279" s="63"/>
      <c r="O279" s="63"/>
      <c r="P279" s="63"/>
      <c r="Q279" s="63"/>
      <c r="R279" s="63"/>
      <c r="S279" s="63"/>
      <c r="T279" s="63"/>
      <c r="U279" s="63"/>
      <c r="V279" s="63"/>
      <c r="W279" s="63"/>
      <c r="X279" s="63"/>
      <c r="Y279" s="63"/>
      <c r="Z279" s="63"/>
      <c r="AA279" s="63"/>
      <c r="AB279" s="63"/>
      <c r="AC279" s="63"/>
    </row>
    <row r="280" spans="1:29">
      <c r="A280" s="62"/>
      <c r="B280" s="62"/>
      <c r="C280" s="62"/>
      <c r="D280" s="62"/>
      <c r="E280" s="62"/>
      <c r="F280" s="62"/>
      <c r="G280" s="62"/>
      <c r="H280" s="62"/>
      <c r="I280" s="62"/>
      <c r="J280" s="62"/>
      <c r="K280" s="53"/>
      <c r="L280" s="62"/>
      <c r="M280" s="63"/>
      <c r="N280" s="63"/>
      <c r="O280" s="63"/>
      <c r="P280" s="63"/>
      <c r="Q280" s="63"/>
      <c r="R280" s="63"/>
      <c r="S280" s="63"/>
      <c r="T280" s="63"/>
      <c r="U280" s="63"/>
      <c r="V280" s="63"/>
      <c r="W280" s="63"/>
      <c r="X280" s="63"/>
      <c r="Y280" s="63"/>
      <c r="Z280" s="63"/>
      <c r="AA280" s="63"/>
      <c r="AB280" s="63"/>
      <c r="AC280" s="63"/>
    </row>
    <row r="281" spans="1:29">
      <c r="A281" s="62"/>
      <c r="B281" s="62"/>
      <c r="C281" s="62"/>
      <c r="D281" s="62"/>
      <c r="E281" s="62"/>
      <c r="F281" s="62"/>
      <c r="G281" s="62"/>
      <c r="H281" s="62"/>
      <c r="I281" s="62"/>
      <c r="J281" s="62"/>
      <c r="K281" s="53"/>
      <c r="L281" s="62"/>
      <c r="M281" s="63"/>
      <c r="N281" s="63"/>
      <c r="O281" s="63"/>
      <c r="P281" s="63"/>
      <c r="Q281" s="63"/>
      <c r="R281" s="63"/>
      <c r="S281" s="63"/>
      <c r="T281" s="63"/>
      <c r="U281" s="63"/>
      <c r="V281" s="63"/>
      <c r="W281" s="63"/>
      <c r="X281" s="63"/>
      <c r="Y281" s="63"/>
      <c r="Z281" s="63"/>
      <c r="AA281" s="63"/>
      <c r="AB281" s="63"/>
      <c r="AC281" s="63"/>
    </row>
    <row r="282" spans="1:29">
      <c r="A282" s="62"/>
      <c r="B282" s="62"/>
      <c r="C282" s="62"/>
      <c r="D282" s="62"/>
      <c r="E282" s="62"/>
      <c r="F282" s="62"/>
      <c r="G282" s="62"/>
      <c r="H282" s="62"/>
      <c r="I282" s="62"/>
      <c r="J282" s="62"/>
      <c r="K282" s="53"/>
      <c r="L282" s="62"/>
      <c r="M282" s="63"/>
      <c r="N282" s="63"/>
      <c r="O282" s="63"/>
      <c r="P282" s="63"/>
      <c r="Q282" s="63"/>
      <c r="R282" s="63"/>
      <c r="S282" s="63"/>
      <c r="T282" s="63"/>
      <c r="U282" s="63"/>
      <c r="V282" s="63"/>
      <c r="W282" s="63"/>
      <c r="X282" s="63"/>
      <c r="Y282" s="63"/>
      <c r="Z282" s="63"/>
      <c r="AA282" s="63"/>
      <c r="AB282" s="63"/>
      <c r="AC282" s="63"/>
    </row>
    <row r="283" spans="1:29">
      <c r="A283" s="62"/>
      <c r="B283" s="62"/>
      <c r="C283" s="62"/>
      <c r="D283" s="62"/>
      <c r="E283" s="62"/>
      <c r="F283" s="62"/>
      <c r="G283" s="62"/>
      <c r="H283" s="62"/>
      <c r="I283" s="62"/>
      <c r="J283" s="62"/>
      <c r="K283" s="53"/>
      <c r="L283" s="62"/>
      <c r="M283" s="63"/>
      <c r="N283" s="63"/>
      <c r="O283" s="63"/>
      <c r="P283" s="63"/>
      <c r="Q283" s="63"/>
      <c r="R283" s="63"/>
      <c r="S283" s="63"/>
      <c r="T283" s="63"/>
      <c r="U283" s="63"/>
      <c r="V283" s="63"/>
      <c r="W283" s="63"/>
      <c r="X283" s="63"/>
      <c r="Y283" s="63"/>
      <c r="Z283" s="63"/>
      <c r="AA283" s="63"/>
      <c r="AB283" s="63"/>
      <c r="AC283" s="63"/>
    </row>
    <row r="284" spans="1:29">
      <c r="A284" s="62"/>
      <c r="B284" s="62"/>
      <c r="C284" s="62"/>
      <c r="D284" s="62"/>
      <c r="E284" s="62"/>
      <c r="F284" s="62"/>
      <c r="G284" s="62"/>
      <c r="H284" s="62"/>
      <c r="I284" s="62"/>
      <c r="J284" s="62"/>
      <c r="K284" s="53"/>
      <c r="L284" s="62"/>
      <c r="M284" s="63"/>
      <c r="N284" s="63"/>
      <c r="O284" s="63"/>
      <c r="P284" s="63"/>
      <c r="Q284" s="63"/>
      <c r="R284" s="63"/>
      <c r="S284" s="63"/>
      <c r="T284" s="63"/>
      <c r="U284" s="63"/>
      <c r="V284" s="63"/>
      <c r="W284" s="63"/>
      <c r="X284" s="63"/>
      <c r="Y284" s="63"/>
      <c r="Z284" s="63"/>
      <c r="AA284" s="63"/>
      <c r="AB284" s="63"/>
      <c r="AC284" s="63"/>
    </row>
    <row r="285" spans="1:29">
      <c r="A285" s="62"/>
      <c r="B285" s="62"/>
      <c r="C285" s="62"/>
      <c r="D285" s="62"/>
      <c r="E285" s="62"/>
      <c r="F285" s="62"/>
      <c r="G285" s="62"/>
      <c r="H285" s="62"/>
      <c r="I285" s="62"/>
      <c r="J285" s="62"/>
      <c r="K285" s="53"/>
      <c r="L285" s="62"/>
      <c r="M285" s="63"/>
      <c r="N285" s="63"/>
      <c r="O285" s="63"/>
      <c r="P285" s="63"/>
      <c r="Q285" s="63"/>
      <c r="R285" s="63"/>
      <c r="S285" s="63"/>
      <c r="T285" s="63"/>
      <c r="U285" s="63"/>
      <c r="V285" s="63"/>
      <c r="W285" s="63"/>
      <c r="X285" s="63"/>
      <c r="Y285" s="63"/>
      <c r="Z285" s="63"/>
      <c r="AA285" s="63"/>
      <c r="AB285" s="63"/>
      <c r="AC285" s="63"/>
    </row>
    <row r="286" spans="1:29">
      <c r="A286" s="62"/>
      <c r="B286" s="62"/>
      <c r="C286" s="62"/>
      <c r="D286" s="62"/>
      <c r="E286" s="62"/>
      <c r="F286" s="62"/>
      <c r="G286" s="62"/>
      <c r="H286" s="62"/>
      <c r="I286" s="62"/>
      <c r="J286" s="62"/>
      <c r="K286" s="53"/>
      <c r="L286" s="62"/>
      <c r="M286" s="63"/>
      <c r="N286" s="63"/>
      <c r="O286" s="63"/>
      <c r="P286" s="63"/>
      <c r="Q286" s="63"/>
      <c r="R286" s="63"/>
      <c r="S286" s="63"/>
      <c r="T286" s="63"/>
      <c r="U286" s="63"/>
      <c r="V286" s="63"/>
      <c r="W286" s="63"/>
      <c r="X286" s="63"/>
      <c r="Y286" s="63"/>
      <c r="Z286" s="63"/>
      <c r="AA286" s="63"/>
      <c r="AB286" s="63"/>
      <c r="AC286" s="63"/>
    </row>
    <row r="287" spans="1:29">
      <c r="A287" s="62"/>
      <c r="B287" s="62"/>
      <c r="C287" s="62"/>
      <c r="D287" s="62"/>
      <c r="E287" s="62"/>
      <c r="F287" s="62"/>
      <c r="G287" s="62"/>
      <c r="H287" s="62"/>
      <c r="I287" s="62"/>
      <c r="J287" s="62"/>
      <c r="K287" s="53"/>
      <c r="L287" s="62"/>
      <c r="M287" s="63"/>
      <c r="N287" s="63"/>
      <c r="O287" s="63"/>
      <c r="P287" s="63"/>
      <c r="Q287" s="63"/>
      <c r="R287" s="63"/>
      <c r="S287" s="63"/>
      <c r="T287" s="63"/>
      <c r="U287" s="63"/>
      <c r="V287" s="63"/>
      <c r="W287" s="63"/>
      <c r="X287" s="63"/>
      <c r="Y287" s="63"/>
      <c r="Z287" s="63"/>
      <c r="AA287" s="63"/>
      <c r="AB287" s="63"/>
      <c r="AC287" s="63"/>
    </row>
    <row r="288" spans="1:29">
      <c r="A288" s="62"/>
      <c r="B288" s="62"/>
      <c r="C288" s="62"/>
      <c r="D288" s="62"/>
      <c r="E288" s="62"/>
      <c r="F288" s="62"/>
      <c r="G288" s="62"/>
      <c r="H288" s="62"/>
      <c r="I288" s="62"/>
      <c r="J288" s="62"/>
      <c r="K288" s="53"/>
      <c r="L288" s="62"/>
      <c r="M288" s="63"/>
      <c r="N288" s="63"/>
      <c r="O288" s="63"/>
      <c r="P288" s="63"/>
      <c r="Q288" s="63"/>
      <c r="R288" s="63"/>
      <c r="S288" s="63"/>
      <c r="T288" s="63"/>
      <c r="U288" s="63"/>
      <c r="V288" s="63"/>
      <c r="W288" s="63"/>
      <c r="X288" s="63"/>
      <c r="Y288" s="63"/>
      <c r="Z288" s="63"/>
      <c r="AA288" s="63"/>
      <c r="AB288" s="63"/>
      <c r="AC288" s="63"/>
    </row>
    <row r="289" spans="1:29">
      <c r="A289" s="62"/>
      <c r="B289" s="62"/>
      <c r="C289" s="62"/>
      <c r="D289" s="62"/>
      <c r="E289" s="62"/>
      <c r="F289" s="62"/>
      <c r="G289" s="62"/>
      <c r="H289" s="62"/>
      <c r="I289" s="62"/>
      <c r="J289" s="62"/>
      <c r="K289" s="53"/>
      <c r="L289" s="62"/>
      <c r="M289" s="63"/>
      <c r="N289" s="63"/>
      <c r="O289" s="63"/>
      <c r="P289" s="63"/>
      <c r="Q289" s="63"/>
      <c r="R289" s="63"/>
      <c r="S289" s="63"/>
      <c r="T289" s="63"/>
      <c r="U289" s="63"/>
      <c r="V289" s="63"/>
      <c r="W289" s="63"/>
      <c r="X289" s="63"/>
      <c r="Y289" s="63"/>
      <c r="Z289" s="63"/>
      <c r="AA289" s="63"/>
      <c r="AB289" s="63"/>
      <c r="AC289" s="63"/>
    </row>
    <row r="290" spans="1:29">
      <c r="A290" s="62"/>
      <c r="B290" s="62"/>
      <c r="C290" s="62"/>
      <c r="D290" s="62"/>
      <c r="E290" s="62"/>
      <c r="F290" s="62"/>
      <c r="G290" s="62"/>
      <c r="H290" s="62"/>
      <c r="I290" s="62"/>
      <c r="J290" s="62"/>
      <c r="K290" s="53"/>
      <c r="L290" s="62"/>
      <c r="M290" s="63"/>
      <c r="N290" s="63"/>
      <c r="O290" s="63"/>
      <c r="P290" s="63"/>
      <c r="Q290" s="63"/>
      <c r="R290" s="63"/>
      <c r="S290" s="63"/>
      <c r="T290" s="63"/>
      <c r="U290" s="63"/>
      <c r="V290" s="63"/>
      <c r="W290" s="63"/>
      <c r="X290" s="63"/>
      <c r="Y290" s="63"/>
      <c r="Z290" s="63"/>
      <c r="AA290" s="63"/>
      <c r="AB290" s="63"/>
      <c r="AC290" s="63"/>
    </row>
    <row r="291" spans="1:29">
      <c r="A291" s="62"/>
      <c r="B291" s="62"/>
      <c r="C291" s="62"/>
      <c r="D291" s="62"/>
      <c r="E291" s="62"/>
      <c r="F291" s="62"/>
      <c r="G291" s="62"/>
      <c r="H291" s="62"/>
      <c r="I291" s="62"/>
      <c r="J291" s="62"/>
      <c r="K291" s="53"/>
      <c r="L291" s="62"/>
      <c r="M291" s="63"/>
      <c r="N291" s="63"/>
      <c r="O291" s="63"/>
      <c r="P291" s="63"/>
      <c r="Q291" s="63"/>
      <c r="R291" s="63"/>
      <c r="S291" s="63"/>
      <c r="T291" s="63"/>
      <c r="U291" s="63"/>
      <c r="V291" s="63"/>
      <c r="W291" s="63"/>
      <c r="X291" s="63"/>
      <c r="Y291" s="63"/>
      <c r="Z291" s="63"/>
      <c r="AA291" s="63"/>
      <c r="AB291" s="63"/>
      <c r="AC291" s="63"/>
    </row>
    <row r="292" spans="1:29">
      <c r="A292" s="62"/>
      <c r="B292" s="62"/>
      <c r="C292" s="62"/>
      <c r="D292" s="62"/>
      <c r="E292" s="62"/>
      <c r="F292" s="62"/>
      <c r="G292" s="62"/>
      <c r="H292" s="62"/>
      <c r="I292" s="62"/>
      <c r="J292" s="62"/>
      <c r="K292" s="53"/>
      <c r="L292" s="62"/>
      <c r="M292" s="63"/>
      <c r="N292" s="63"/>
      <c r="O292" s="63"/>
      <c r="P292" s="63"/>
      <c r="Q292" s="63"/>
      <c r="R292" s="63"/>
      <c r="S292" s="63"/>
      <c r="T292" s="63"/>
      <c r="U292" s="63"/>
      <c r="V292" s="63"/>
      <c r="W292" s="63"/>
      <c r="X292" s="63"/>
      <c r="Y292" s="63"/>
      <c r="Z292" s="63"/>
      <c r="AA292" s="63"/>
      <c r="AB292" s="63"/>
      <c r="AC292" s="63"/>
    </row>
    <row r="293" spans="1:29">
      <c r="A293" s="62"/>
      <c r="B293" s="62"/>
      <c r="C293" s="62"/>
      <c r="D293" s="62"/>
      <c r="E293" s="62"/>
      <c r="F293" s="62"/>
      <c r="G293" s="62"/>
      <c r="H293" s="62"/>
      <c r="I293" s="62"/>
      <c r="J293" s="62"/>
      <c r="K293" s="53"/>
      <c r="L293" s="62"/>
      <c r="M293" s="63"/>
      <c r="N293" s="63"/>
      <c r="O293" s="63"/>
      <c r="P293" s="63"/>
      <c r="Q293" s="63"/>
      <c r="R293" s="63"/>
      <c r="S293" s="63"/>
      <c r="T293" s="63"/>
      <c r="U293" s="63"/>
      <c r="V293" s="63"/>
      <c r="W293" s="63"/>
      <c r="X293" s="63"/>
      <c r="Y293" s="63"/>
      <c r="Z293" s="63"/>
      <c r="AA293" s="63"/>
      <c r="AB293" s="63"/>
      <c r="AC293" s="63"/>
    </row>
    <row r="294" spans="1:29">
      <c r="A294" s="62"/>
      <c r="B294" s="62"/>
      <c r="C294" s="62"/>
      <c r="D294" s="62"/>
      <c r="E294" s="62"/>
      <c r="F294" s="62"/>
      <c r="G294" s="62"/>
      <c r="H294" s="62"/>
      <c r="I294" s="62"/>
      <c r="J294" s="62"/>
      <c r="K294" s="53"/>
      <c r="L294" s="62"/>
      <c r="M294" s="63"/>
      <c r="N294" s="63"/>
      <c r="O294" s="63"/>
      <c r="P294" s="63"/>
      <c r="Q294" s="63"/>
      <c r="R294" s="63"/>
      <c r="S294" s="63"/>
      <c r="T294" s="63"/>
      <c r="U294" s="63"/>
      <c r="V294" s="63"/>
      <c r="W294" s="63"/>
      <c r="X294" s="63"/>
      <c r="Y294" s="63"/>
      <c r="Z294" s="63"/>
      <c r="AA294" s="63"/>
      <c r="AB294" s="63"/>
      <c r="AC294" s="63"/>
    </row>
    <row r="295" spans="1:29">
      <c r="A295" s="62"/>
      <c r="B295" s="62"/>
      <c r="C295" s="62"/>
      <c r="D295" s="62"/>
      <c r="E295" s="62"/>
      <c r="F295" s="62"/>
      <c r="G295" s="62"/>
      <c r="H295" s="62"/>
      <c r="I295" s="62"/>
      <c r="J295" s="62"/>
      <c r="K295" s="53"/>
      <c r="L295" s="62"/>
      <c r="M295" s="63"/>
      <c r="N295" s="63"/>
      <c r="O295" s="63"/>
      <c r="P295" s="63"/>
      <c r="Q295" s="63"/>
      <c r="R295" s="63"/>
      <c r="S295" s="63"/>
      <c r="T295" s="63"/>
      <c r="U295" s="63"/>
      <c r="V295" s="63"/>
      <c r="W295" s="63"/>
      <c r="X295" s="63"/>
      <c r="Y295" s="63"/>
      <c r="Z295" s="63"/>
      <c r="AA295" s="63"/>
      <c r="AB295" s="63"/>
      <c r="AC295" s="63"/>
    </row>
    <row r="296" spans="1:29">
      <c r="A296" s="62"/>
      <c r="B296" s="62"/>
      <c r="C296" s="62"/>
      <c r="D296" s="62"/>
      <c r="E296" s="62"/>
      <c r="F296" s="62"/>
      <c r="G296" s="62"/>
      <c r="H296" s="62"/>
      <c r="I296" s="62"/>
      <c r="J296" s="62"/>
      <c r="K296" s="53"/>
      <c r="L296" s="62"/>
      <c r="M296" s="63"/>
      <c r="N296" s="63"/>
      <c r="O296" s="63"/>
      <c r="P296" s="63"/>
      <c r="Q296" s="63"/>
      <c r="R296" s="63"/>
      <c r="S296" s="63"/>
      <c r="T296" s="63"/>
      <c r="U296" s="63"/>
      <c r="V296" s="63"/>
      <c r="W296" s="63"/>
      <c r="X296" s="63"/>
      <c r="Y296" s="63"/>
      <c r="Z296" s="63"/>
      <c r="AA296" s="63"/>
      <c r="AB296" s="63"/>
      <c r="AC296" s="63"/>
    </row>
    <row r="297" spans="1:29">
      <c r="A297" s="62"/>
      <c r="B297" s="62"/>
      <c r="C297" s="62"/>
      <c r="D297" s="62"/>
      <c r="E297" s="62"/>
      <c r="F297" s="62"/>
      <c r="G297" s="62"/>
      <c r="H297" s="62"/>
      <c r="I297" s="62"/>
      <c r="J297" s="62"/>
      <c r="K297" s="53"/>
      <c r="L297" s="62"/>
      <c r="M297" s="63"/>
      <c r="N297" s="63"/>
      <c r="O297" s="63"/>
      <c r="P297" s="63"/>
      <c r="Q297" s="63"/>
      <c r="R297" s="63"/>
      <c r="S297" s="63"/>
      <c r="T297" s="63"/>
      <c r="U297" s="63"/>
      <c r="V297" s="63"/>
      <c r="W297" s="63"/>
      <c r="X297" s="63"/>
      <c r="Y297" s="63"/>
      <c r="Z297" s="63"/>
      <c r="AA297" s="63"/>
      <c r="AB297" s="63"/>
      <c r="AC297" s="63"/>
    </row>
    <row r="298" spans="1:29">
      <c r="A298" s="62"/>
      <c r="B298" s="62"/>
      <c r="C298" s="62"/>
      <c r="D298" s="62"/>
      <c r="E298" s="62"/>
      <c r="F298" s="62"/>
      <c r="G298" s="62"/>
      <c r="H298" s="62"/>
      <c r="I298" s="62"/>
      <c r="J298" s="62"/>
      <c r="K298" s="53"/>
      <c r="L298" s="62"/>
      <c r="M298" s="63"/>
      <c r="N298" s="63"/>
      <c r="O298" s="63"/>
      <c r="P298" s="63"/>
      <c r="Q298" s="63"/>
      <c r="R298" s="63"/>
      <c r="S298" s="63"/>
      <c r="T298" s="63"/>
      <c r="U298" s="63"/>
      <c r="V298" s="63"/>
      <c r="W298" s="63"/>
      <c r="X298" s="63"/>
      <c r="Y298" s="63"/>
      <c r="Z298" s="63"/>
      <c r="AA298" s="63"/>
      <c r="AB298" s="63"/>
      <c r="AC298" s="63"/>
    </row>
    <row r="299" spans="1:29">
      <c r="A299" s="62"/>
      <c r="B299" s="62"/>
      <c r="C299" s="62"/>
      <c r="D299" s="62"/>
      <c r="E299" s="62"/>
      <c r="F299" s="62"/>
      <c r="G299" s="62"/>
      <c r="H299" s="62"/>
      <c r="I299" s="62"/>
      <c r="J299" s="62"/>
      <c r="K299" s="53"/>
      <c r="L299" s="62"/>
      <c r="M299" s="63"/>
      <c r="N299" s="63"/>
      <c r="O299" s="63"/>
      <c r="P299" s="63"/>
      <c r="Q299" s="63"/>
      <c r="R299" s="63"/>
      <c r="S299" s="63"/>
      <c r="T299" s="63"/>
      <c r="U299" s="63"/>
      <c r="V299" s="63"/>
      <c r="W299" s="63"/>
      <c r="X299" s="63"/>
      <c r="Y299" s="63"/>
      <c r="Z299" s="63"/>
      <c r="AA299" s="63"/>
      <c r="AB299" s="63"/>
      <c r="AC299" s="63"/>
    </row>
    <row r="300" spans="1:29">
      <c r="A300" s="62"/>
      <c r="B300" s="62"/>
      <c r="C300" s="62"/>
      <c r="D300" s="62"/>
      <c r="E300" s="62"/>
      <c r="F300" s="62"/>
      <c r="G300" s="62"/>
      <c r="H300" s="62"/>
      <c r="I300" s="62"/>
      <c r="J300" s="62"/>
      <c r="K300" s="53"/>
      <c r="L300" s="62"/>
      <c r="M300" s="63"/>
      <c r="N300" s="63"/>
      <c r="O300" s="63"/>
      <c r="P300" s="63"/>
      <c r="Q300" s="63"/>
      <c r="R300" s="63"/>
      <c r="S300" s="63"/>
      <c r="T300" s="63"/>
      <c r="U300" s="63"/>
      <c r="V300" s="63"/>
      <c r="W300" s="63"/>
      <c r="X300" s="63"/>
      <c r="Y300" s="63"/>
      <c r="Z300" s="63"/>
      <c r="AA300" s="63"/>
      <c r="AB300" s="63"/>
      <c r="AC300" s="63"/>
    </row>
    <row r="301" spans="1:29">
      <c r="A301" s="62"/>
      <c r="B301" s="62"/>
      <c r="C301" s="62"/>
      <c r="D301" s="62"/>
      <c r="E301" s="62"/>
      <c r="F301" s="62"/>
      <c r="G301" s="62"/>
      <c r="H301" s="62"/>
      <c r="I301" s="62"/>
      <c r="J301" s="62"/>
      <c r="K301" s="53"/>
      <c r="L301" s="62"/>
      <c r="M301" s="63"/>
      <c r="N301" s="63"/>
      <c r="O301" s="63"/>
      <c r="P301" s="63"/>
      <c r="Q301" s="63"/>
      <c r="R301" s="63"/>
      <c r="S301" s="63"/>
      <c r="T301" s="63"/>
      <c r="U301" s="63"/>
      <c r="V301" s="63"/>
      <c r="W301" s="63"/>
      <c r="X301" s="63"/>
      <c r="Y301" s="63"/>
      <c r="Z301" s="63"/>
      <c r="AA301" s="63"/>
      <c r="AB301" s="63"/>
      <c r="AC301" s="63"/>
    </row>
    <row r="302" spans="1:29">
      <c r="A302" s="62"/>
      <c r="B302" s="62"/>
      <c r="C302" s="62"/>
      <c r="D302" s="62"/>
      <c r="E302" s="62"/>
      <c r="F302" s="62"/>
      <c r="G302" s="62"/>
      <c r="H302" s="62"/>
      <c r="I302" s="62"/>
      <c r="J302" s="62"/>
      <c r="K302" s="53"/>
      <c r="L302" s="62"/>
      <c r="M302" s="63"/>
      <c r="N302" s="63"/>
      <c r="O302" s="63"/>
      <c r="P302" s="63"/>
      <c r="Q302" s="63"/>
      <c r="R302" s="63"/>
      <c r="S302" s="63"/>
      <c r="T302" s="63"/>
      <c r="U302" s="63"/>
      <c r="V302" s="63"/>
      <c r="W302" s="63"/>
      <c r="X302" s="63"/>
      <c r="Y302" s="63"/>
      <c r="Z302" s="63"/>
      <c r="AA302" s="63"/>
      <c r="AB302" s="63"/>
      <c r="AC302" s="63"/>
    </row>
    <row r="303" spans="1:29">
      <c r="A303" s="62"/>
      <c r="B303" s="62"/>
      <c r="C303" s="62"/>
      <c r="D303" s="62"/>
      <c r="E303" s="62"/>
      <c r="F303" s="62"/>
      <c r="G303" s="62"/>
      <c r="H303" s="62"/>
      <c r="I303" s="62"/>
      <c r="J303" s="62"/>
      <c r="K303" s="53"/>
      <c r="L303" s="62"/>
      <c r="M303" s="63"/>
      <c r="N303" s="63"/>
      <c r="O303" s="63"/>
      <c r="P303" s="63"/>
      <c r="Q303" s="63"/>
      <c r="R303" s="63"/>
      <c r="S303" s="63"/>
      <c r="T303" s="63"/>
      <c r="U303" s="63"/>
      <c r="V303" s="63"/>
      <c r="W303" s="63"/>
      <c r="X303" s="63"/>
      <c r="Y303" s="63"/>
      <c r="Z303" s="63"/>
      <c r="AA303" s="63"/>
      <c r="AB303" s="63"/>
      <c r="AC303" s="63"/>
    </row>
    <row r="304" spans="1:29">
      <c r="A304" s="62"/>
      <c r="B304" s="62"/>
      <c r="C304" s="62"/>
      <c r="D304" s="62"/>
      <c r="E304" s="62"/>
      <c r="F304" s="62"/>
      <c r="G304" s="62"/>
      <c r="H304" s="62"/>
      <c r="I304" s="62"/>
      <c r="J304" s="62"/>
      <c r="K304" s="53"/>
      <c r="L304" s="62"/>
      <c r="M304" s="63"/>
      <c r="N304" s="63"/>
      <c r="O304" s="63"/>
      <c r="P304" s="63"/>
      <c r="Q304" s="63"/>
      <c r="R304" s="63"/>
      <c r="S304" s="63"/>
      <c r="T304" s="63"/>
      <c r="U304" s="63"/>
      <c r="V304" s="63"/>
      <c r="W304" s="63"/>
      <c r="X304" s="63"/>
      <c r="Y304" s="63"/>
      <c r="Z304" s="63"/>
      <c r="AA304" s="63"/>
      <c r="AB304" s="63"/>
      <c r="AC304" s="63"/>
    </row>
    <row r="305" spans="1:29">
      <c r="A305" s="62"/>
      <c r="B305" s="62"/>
      <c r="C305" s="62"/>
      <c r="D305" s="62"/>
      <c r="E305" s="62"/>
      <c r="F305" s="62"/>
      <c r="G305" s="62"/>
      <c r="H305" s="62"/>
      <c r="I305" s="62"/>
      <c r="J305" s="62"/>
      <c r="K305" s="53"/>
      <c r="L305" s="62"/>
      <c r="M305" s="63"/>
      <c r="N305" s="63"/>
      <c r="O305" s="63"/>
      <c r="P305" s="63"/>
      <c r="Q305" s="63"/>
      <c r="R305" s="63"/>
      <c r="S305" s="63"/>
      <c r="T305" s="63"/>
      <c r="U305" s="63"/>
      <c r="V305" s="63"/>
      <c r="W305" s="63"/>
      <c r="X305" s="63"/>
      <c r="Y305" s="63"/>
      <c r="Z305" s="63"/>
      <c r="AA305" s="63"/>
      <c r="AB305" s="63"/>
      <c r="AC305" s="63"/>
    </row>
    <row r="306" spans="1:29">
      <c r="A306" s="62"/>
      <c r="B306" s="62"/>
      <c r="C306" s="62"/>
      <c r="D306" s="62"/>
      <c r="E306" s="62"/>
      <c r="F306" s="62"/>
      <c r="G306" s="62"/>
      <c r="H306" s="62"/>
      <c r="I306" s="62"/>
      <c r="J306" s="62"/>
      <c r="K306" s="53"/>
      <c r="L306" s="62"/>
      <c r="M306" s="63"/>
      <c r="N306" s="63"/>
      <c r="O306" s="63"/>
      <c r="P306" s="63"/>
      <c r="Q306" s="63"/>
      <c r="R306" s="63"/>
      <c r="S306" s="63"/>
      <c r="T306" s="63"/>
      <c r="U306" s="63"/>
      <c r="V306" s="63"/>
      <c r="W306" s="63"/>
      <c r="X306" s="63"/>
      <c r="Y306" s="63"/>
      <c r="Z306" s="63"/>
      <c r="AA306" s="63"/>
      <c r="AB306" s="63"/>
      <c r="AC306" s="63"/>
    </row>
    <row r="307" spans="1:29">
      <c r="A307" s="62"/>
      <c r="B307" s="62"/>
      <c r="C307" s="62"/>
      <c r="D307" s="62"/>
      <c r="E307" s="62"/>
      <c r="F307" s="62"/>
      <c r="G307" s="62"/>
      <c r="H307" s="62"/>
      <c r="I307" s="62"/>
      <c r="J307" s="62"/>
      <c r="K307" s="53"/>
      <c r="L307" s="62"/>
      <c r="M307" s="63"/>
      <c r="N307" s="63"/>
      <c r="O307" s="63"/>
      <c r="P307" s="63"/>
      <c r="Q307" s="63"/>
      <c r="R307" s="63"/>
      <c r="S307" s="63"/>
      <c r="T307" s="63"/>
      <c r="U307" s="63"/>
      <c r="V307" s="63"/>
      <c r="W307" s="63"/>
      <c r="X307" s="63"/>
      <c r="Y307" s="63"/>
      <c r="Z307" s="63"/>
      <c r="AA307" s="63"/>
      <c r="AB307" s="63"/>
      <c r="AC307" s="63"/>
    </row>
    <row r="308" spans="1:29">
      <c r="A308" s="62"/>
      <c r="B308" s="62"/>
      <c r="C308" s="62"/>
      <c r="D308" s="62"/>
      <c r="E308" s="62"/>
      <c r="F308" s="62"/>
      <c r="G308" s="62"/>
      <c r="H308" s="62"/>
      <c r="I308" s="62"/>
      <c r="J308" s="62"/>
      <c r="K308" s="53"/>
      <c r="L308" s="62"/>
      <c r="M308" s="63"/>
      <c r="N308" s="63"/>
      <c r="O308" s="63"/>
      <c r="P308" s="63"/>
      <c r="Q308" s="63"/>
      <c r="R308" s="63"/>
      <c r="S308" s="63"/>
      <c r="T308" s="63"/>
      <c r="U308" s="63"/>
      <c r="V308" s="63"/>
      <c r="W308" s="63"/>
      <c r="X308" s="63"/>
      <c r="Y308" s="63"/>
      <c r="Z308" s="63"/>
      <c r="AA308" s="63"/>
      <c r="AB308" s="63"/>
      <c r="AC308" s="63"/>
    </row>
    <row r="309" spans="1:29">
      <c r="A309" s="62"/>
      <c r="B309" s="62"/>
      <c r="C309" s="62"/>
      <c r="D309" s="62"/>
      <c r="E309" s="62"/>
      <c r="F309" s="62"/>
      <c r="G309" s="62"/>
      <c r="H309" s="62"/>
      <c r="I309" s="62"/>
      <c r="J309" s="62"/>
      <c r="K309" s="53"/>
      <c r="L309" s="62"/>
      <c r="M309" s="63"/>
      <c r="N309" s="63"/>
      <c r="O309" s="63"/>
      <c r="P309" s="63"/>
      <c r="Q309" s="63"/>
      <c r="R309" s="63"/>
      <c r="S309" s="63"/>
      <c r="T309" s="63"/>
      <c r="U309" s="63"/>
      <c r="V309" s="63"/>
      <c r="W309" s="63"/>
      <c r="X309" s="63"/>
      <c r="Y309" s="63"/>
      <c r="Z309" s="63"/>
      <c r="AA309" s="63"/>
      <c r="AB309" s="63"/>
      <c r="AC309" s="63"/>
    </row>
    <row r="310" spans="1:29">
      <c r="A310" s="62"/>
      <c r="B310" s="62"/>
      <c r="C310" s="62"/>
      <c r="D310" s="62"/>
      <c r="E310" s="62"/>
      <c r="F310" s="62"/>
      <c r="G310" s="62"/>
      <c r="H310" s="62"/>
      <c r="I310" s="62"/>
      <c r="J310" s="62"/>
      <c r="K310" s="53"/>
      <c r="L310" s="62"/>
      <c r="M310" s="63"/>
      <c r="N310" s="63"/>
      <c r="O310" s="63"/>
      <c r="P310" s="63"/>
      <c r="Q310" s="63"/>
      <c r="R310" s="63"/>
      <c r="S310" s="63"/>
      <c r="T310" s="63"/>
      <c r="U310" s="63"/>
      <c r="V310" s="63"/>
      <c r="W310" s="63"/>
      <c r="X310" s="63"/>
      <c r="Y310" s="63"/>
      <c r="Z310" s="63"/>
      <c r="AA310" s="63"/>
      <c r="AB310" s="63"/>
      <c r="AC310" s="63"/>
    </row>
    <row r="311" spans="1:29">
      <c r="A311" s="62"/>
      <c r="B311" s="62"/>
      <c r="C311" s="62"/>
      <c r="D311" s="62"/>
      <c r="E311" s="62"/>
      <c r="F311" s="62"/>
      <c r="G311" s="62"/>
      <c r="H311" s="62"/>
      <c r="I311" s="62"/>
      <c r="J311" s="62"/>
      <c r="K311" s="53"/>
      <c r="L311" s="62"/>
      <c r="M311" s="63"/>
      <c r="N311" s="63"/>
      <c r="O311" s="63"/>
      <c r="P311" s="63"/>
      <c r="Q311" s="63"/>
      <c r="R311" s="63"/>
      <c r="S311" s="63"/>
      <c r="T311" s="63"/>
      <c r="U311" s="63"/>
      <c r="V311" s="63"/>
      <c r="W311" s="63"/>
      <c r="X311" s="63"/>
      <c r="Y311" s="63"/>
      <c r="Z311" s="63"/>
      <c r="AA311" s="63"/>
      <c r="AB311" s="63"/>
      <c r="AC311" s="63"/>
    </row>
    <row r="312" spans="1:29">
      <c r="A312" s="62"/>
      <c r="B312" s="62"/>
      <c r="C312" s="62"/>
      <c r="D312" s="62"/>
      <c r="E312" s="62"/>
      <c r="F312" s="62"/>
      <c r="G312" s="62"/>
      <c r="H312" s="62"/>
      <c r="I312" s="62"/>
      <c r="J312" s="62"/>
      <c r="K312" s="53"/>
      <c r="L312" s="62"/>
      <c r="M312" s="63"/>
      <c r="N312" s="63"/>
      <c r="O312" s="63"/>
      <c r="P312" s="63"/>
      <c r="Q312" s="63"/>
      <c r="R312" s="63"/>
      <c r="S312" s="63"/>
      <c r="T312" s="63"/>
      <c r="U312" s="63"/>
      <c r="V312" s="63"/>
      <c r="W312" s="63"/>
      <c r="X312" s="63"/>
      <c r="Y312" s="63"/>
      <c r="Z312" s="63"/>
      <c r="AA312" s="63"/>
      <c r="AB312" s="63"/>
      <c r="AC312" s="63"/>
    </row>
    <row r="313" spans="1:29">
      <c r="A313" s="62"/>
      <c r="B313" s="62"/>
      <c r="C313" s="62"/>
      <c r="D313" s="62"/>
      <c r="E313" s="62"/>
      <c r="F313" s="62"/>
      <c r="G313" s="62"/>
      <c r="H313" s="62"/>
      <c r="I313" s="62"/>
      <c r="J313" s="62"/>
      <c r="K313" s="53"/>
      <c r="L313" s="62"/>
      <c r="M313" s="63"/>
      <c r="N313" s="63"/>
      <c r="O313" s="63"/>
      <c r="P313" s="63"/>
      <c r="Q313" s="63"/>
      <c r="R313" s="63"/>
      <c r="S313" s="63"/>
      <c r="T313" s="63"/>
      <c r="U313" s="63"/>
      <c r="V313" s="63"/>
      <c r="W313" s="63"/>
      <c r="X313" s="63"/>
      <c r="Y313" s="63"/>
      <c r="Z313" s="63"/>
      <c r="AA313" s="63"/>
      <c r="AB313" s="63"/>
      <c r="AC313" s="63"/>
    </row>
    <row r="314" spans="1:29">
      <c r="A314" s="62"/>
      <c r="B314" s="62"/>
      <c r="C314" s="62"/>
      <c r="D314" s="62"/>
      <c r="E314" s="62"/>
      <c r="F314" s="62"/>
      <c r="G314" s="62"/>
      <c r="H314" s="62"/>
      <c r="I314" s="62"/>
      <c r="J314" s="62"/>
      <c r="K314" s="53"/>
      <c r="L314" s="62"/>
      <c r="M314" s="63"/>
      <c r="N314" s="63"/>
      <c r="O314" s="63"/>
      <c r="P314" s="63"/>
      <c r="Q314" s="63"/>
      <c r="R314" s="63"/>
      <c r="S314" s="63"/>
      <c r="T314" s="63"/>
      <c r="U314" s="63"/>
      <c r="V314" s="63"/>
      <c r="W314" s="63"/>
      <c r="X314" s="63"/>
      <c r="Y314" s="63"/>
      <c r="Z314" s="63"/>
      <c r="AA314" s="63"/>
      <c r="AB314" s="63"/>
      <c r="AC314" s="63"/>
    </row>
    <row r="315" spans="1:29">
      <c r="A315" s="62"/>
      <c r="B315" s="62"/>
      <c r="C315" s="62"/>
      <c r="D315" s="62"/>
      <c r="E315" s="62"/>
      <c r="F315" s="62"/>
      <c r="G315" s="62"/>
      <c r="H315" s="62"/>
      <c r="I315" s="62"/>
      <c r="J315" s="62"/>
      <c r="K315" s="53"/>
      <c r="L315" s="62"/>
      <c r="M315" s="63"/>
      <c r="N315" s="63"/>
      <c r="O315" s="63"/>
      <c r="P315" s="63"/>
      <c r="Q315" s="63"/>
      <c r="R315" s="63"/>
      <c r="S315" s="63"/>
      <c r="T315" s="63"/>
      <c r="U315" s="63"/>
      <c r="V315" s="63"/>
      <c r="W315" s="63"/>
      <c r="X315" s="63"/>
      <c r="Y315" s="63"/>
      <c r="Z315" s="63"/>
      <c r="AA315" s="63"/>
      <c r="AB315" s="63"/>
      <c r="AC315" s="63"/>
    </row>
    <row r="316" spans="1:29">
      <c r="A316" s="62"/>
      <c r="B316" s="62"/>
      <c r="C316" s="62"/>
      <c r="D316" s="62"/>
      <c r="E316" s="62"/>
      <c r="F316" s="62"/>
      <c r="G316" s="62"/>
      <c r="H316" s="62"/>
      <c r="I316" s="62"/>
      <c r="J316" s="62"/>
      <c r="K316" s="53"/>
      <c r="L316" s="62"/>
      <c r="M316" s="63"/>
      <c r="N316" s="63"/>
      <c r="O316" s="63"/>
      <c r="P316" s="63"/>
      <c r="Q316" s="63"/>
      <c r="R316" s="63"/>
      <c r="S316" s="63"/>
      <c r="T316" s="63"/>
      <c r="U316" s="63"/>
      <c r="V316" s="63"/>
      <c r="W316" s="63"/>
      <c r="X316" s="63"/>
      <c r="Y316" s="63"/>
      <c r="Z316" s="63"/>
      <c r="AA316" s="63"/>
      <c r="AB316" s="63"/>
      <c r="AC316" s="63"/>
    </row>
    <row r="317" spans="1:29">
      <c r="A317" s="62"/>
      <c r="B317" s="62"/>
      <c r="C317" s="62"/>
      <c r="D317" s="62"/>
      <c r="E317" s="62"/>
      <c r="F317" s="62"/>
      <c r="G317" s="62"/>
      <c r="H317" s="62"/>
      <c r="I317" s="62"/>
      <c r="J317" s="62"/>
      <c r="K317" s="53"/>
      <c r="L317" s="62"/>
      <c r="M317" s="63"/>
      <c r="N317" s="63"/>
      <c r="O317" s="63"/>
      <c r="P317" s="63"/>
      <c r="Q317" s="63"/>
      <c r="R317" s="63"/>
      <c r="S317" s="63"/>
      <c r="T317" s="63"/>
      <c r="U317" s="63"/>
      <c r="V317" s="63"/>
      <c r="W317" s="63"/>
      <c r="X317" s="63"/>
      <c r="Y317" s="63"/>
      <c r="Z317" s="63"/>
      <c r="AA317" s="63"/>
      <c r="AB317" s="63"/>
      <c r="AC317" s="63"/>
    </row>
    <row r="318" spans="1:29">
      <c r="A318" s="62"/>
      <c r="B318" s="62"/>
      <c r="C318" s="62"/>
      <c r="D318" s="62"/>
      <c r="E318" s="62"/>
      <c r="F318" s="62"/>
      <c r="G318" s="62"/>
      <c r="H318" s="62"/>
      <c r="I318" s="62"/>
      <c r="J318" s="62"/>
      <c r="K318" s="53"/>
      <c r="L318" s="62"/>
      <c r="M318" s="63"/>
      <c r="N318" s="63"/>
      <c r="O318" s="63"/>
      <c r="P318" s="63"/>
      <c r="Q318" s="63"/>
      <c r="R318" s="63"/>
      <c r="S318" s="63"/>
      <c r="T318" s="63"/>
      <c r="U318" s="63"/>
      <c r="V318" s="63"/>
      <c r="W318" s="63"/>
      <c r="X318" s="63"/>
      <c r="Y318" s="63"/>
      <c r="Z318" s="63"/>
      <c r="AA318" s="63"/>
      <c r="AB318" s="63"/>
      <c r="AC318" s="63"/>
    </row>
    <row r="319" spans="1:29">
      <c r="A319" s="62"/>
      <c r="B319" s="62"/>
      <c r="C319" s="62"/>
      <c r="D319" s="62"/>
      <c r="E319" s="62"/>
      <c r="F319" s="62"/>
      <c r="G319" s="62"/>
      <c r="H319" s="62"/>
      <c r="I319" s="62"/>
      <c r="J319" s="62"/>
      <c r="K319" s="53"/>
      <c r="L319" s="62"/>
      <c r="M319" s="63"/>
      <c r="N319" s="63"/>
      <c r="O319" s="63"/>
      <c r="P319" s="63"/>
      <c r="Q319" s="63"/>
      <c r="R319" s="63"/>
      <c r="S319" s="63"/>
      <c r="T319" s="63"/>
      <c r="U319" s="63"/>
      <c r="V319" s="63"/>
      <c r="W319" s="63"/>
      <c r="X319" s="63"/>
      <c r="Y319" s="63"/>
      <c r="Z319" s="63"/>
      <c r="AA319" s="63"/>
      <c r="AB319" s="63"/>
      <c r="AC319" s="63"/>
    </row>
    <row r="320" spans="1:29">
      <c r="A320" s="62"/>
      <c r="B320" s="62"/>
      <c r="C320" s="62"/>
      <c r="D320" s="62"/>
      <c r="E320" s="62"/>
      <c r="F320" s="62"/>
      <c r="G320" s="62"/>
      <c r="H320" s="62"/>
      <c r="I320" s="62"/>
      <c r="J320" s="62"/>
      <c r="K320" s="53"/>
      <c r="L320" s="62"/>
      <c r="M320" s="63"/>
      <c r="N320" s="63"/>
      <c r="O320" s="63"/>
      <c r="P320" s="63"/>
      <c r="Q320" s="63"/>
      <c r="R320" s="63"/>
      <c r="S320" s="63"/>
      <c r="T320" s="63"/>
      <c r="U320" s="63"/>
      <c r="V320" s="63"/>
      <c r="W320" s="63"/>
      <c r="X320" s="63"/>
      <c r="Y320" s="63"/>
      <c r="Z320" s="63"/>
      <c r="AA320" s="63"/>
      <c r="AB320" s="63"/>
      <c r="AC320" s="63"/>
    </row>
    <row r="321" spans="1:29">
      <c r="A321" s="62"/>
      <c r="B321" s="62"/>
      <c r="C321" s="62"/>
      <c r="D321" s="62"/>
      <c r="E321" s="62"/>
      <c r="F321" s="62"/>
      <c r="G321" s="62"/>
      <c r="H321" s="62"/>
      <c r="I321" s="62"/>
      <c r="J321" s="62"/>
      <c r="K321" s="53"/>
      <c r="L321" s="62"/>
      <c r="M321" s="63"/>
      <c r="N321" s="63"/>
      <c r="O321" s="63"/>
      <c r="P321" s="63"/>
      <c r="Q321" s="63"/>
      <c r="R321" s="63"/>
      <c r="S321" s="63"/>
      <c r="T321" s="63"/>
      <c r="U321" s="63"/>
      <c r="V321" s="63"/>
      <c r="W321" s="63"/>
      <c r="X321" s="63"/>
      <c r="Y321" s="63"/>
      <c r="Z321" s="63"/>
      <c r="AA321" s="63"/>
      <c r="AB321" s="63"/>
      <c r="AC321" s="63"/>
    </row>
    <row r="322" spans="1:29">
      <c r="A322" s="62"/>
      <c r="B322" s="62"/>
      <c r="C322" s="62"/>
      <c r="D322" s="62"/>
      <c r="E322" s="62"/>
      <c r="F322" s="62"/>
      <c r="G322" s="62"/>
      <c r="H322" s="62"/>
      <c r="I322" s="62"/>
      <c r="J322" s="62"/>
      <c r="K322" s="53"/>
      <c r="L322" s="62"/>
      <c r="M322" s="63"/>
      <c r="N322" s="63"/>
      <c r="O322" s="63"/>
      <c r="P322" s="63"/>
      <c r="Q322" s="63"/>
      <c r="R322" s="63"/>
      <c r="S322" s="63"/>
      <c r="T322" s="63"/>
      <c r="U322" s="63"/>
      <c r="V322" s="63"/>
      <c r="W322" s="63"/>
      <c r="X322" s="63"/>
      <c r="Y322" s="63"/>
      <c r="Z322" s="63"/>
      <c r="AA322" s="63"/>
      <c r="AB322" s="63"/>
      <c r="AC322" s="63"/>
    </row>
    <row r="323" spans="1:29">
      <c r="A323" s="62"/>
      <c r="B323" s="62"/>
      <c r="C323" s="62"/>
      <c r="D323" s="62"/>
      <c r="E323" s="62"/>
      <c r="F323" s="62"/>
      <c r="G323" s="62"/>
      <c r="H323" s="62"/>
      <c r="I323" s="62"/>
      <c r="J323" s="62"/>
      <c r="K323" s="53"/>
      <c r="L323" s="62"/>
      <c r="M323" s="63"/>
      <c r="N323" s="63"/>
      <c r="O323" s="63"/>
      <c r="P323" s="63"/>
      <c r="Q323" s="63"/>
      <c r="R323" s="63"/>
      <c r="S323" s="63"/>
      <c r="T323" s="63"/>
      <c r="U323" s="63"/>
      <c r="V323" s="63"/>
      <c r="W323" s="63"/>
      <c r="X323" s="63"/>
      <c r="Y323" s="63"/>
      <c r="Z323" s="63"/>
      <c r="AA323" s="63"/>
      <c r="AB323" s="63"/>
      <c r="AC323" s="63"/>
    </row>
    <row r="324" spans="1:29">
      <c r="A324" s="62"/>
      <c r="B324" s="62"/>
      <c r="C324" s="62"/>
      <c r="D324" s="62"/>
      <c r="E324" s="62"/>
      <c r="F324" s="62"/>
      <c r="G324" s="62"/>
      <c r="H324" s="62"/>
      <c r="I324" s="62"/>
      <c r="J324" s="62"/>
      <c r="K324" s="53"/>
      <c r="L324" s="62"/>
      <c r="M324" s="63"/>
      <c r="N324" s="63"/>
      <c r="O324" s="63"/>
      <c r="P324" s="63"/>
      <c r="Q324" s="63"/>
      <c r="R324" s="63"/>
      <c r="S324" s="63"/>
      <c r="T324" s="63"/>
      <c r="U324" s="63"/>
      <c r="V324" s="63"/>
      <c r="W324" s="63"/>
      <c r="X324" s="63"/>
      <c r="Y324" s="63"/>
      <c r="Z324" s="63"/>
      <c r="AA324" s="63"/>
      <c r="AB324" s="63"/>
      <c r="AC324" s="63"/>
    </row>
    <row r="325" spans="1:29">
      <c r="A325" s="62"/>
      <c r="B325" s="62"/>
      <c r="C325" s="62"/>
      <c r="D325" s="62"/>
      <c r="E325" s="62"/>
      <c r="F325" s="62"/>
      <c r="G325" s="62"/>
      <c r="H325" s="62"/>
      <c r="I325" s="62"/>
      <c r="J325" s="62"/>
      <c r="K325" s="53"/>
      <c r="L325" s="62"/>
      <c r="M325" s="63"/>
      <c r="N325" s="63"/>
      <c r="O325" s="63"/>
      <c r="P325" s="63"/>
      <c r="Q325" s="63"/>
      <c r="R325" s="63"/>
      <c r="S325" s="63"/>
      <c r="T325" s="63"/>
      <c r="U325" s="63"/>
      <c r="V325" s="63"/>
      <c r="W325" s="63"/>
      <c r="X325" s="63"/>
      <c r="Y325" s="63"/>
      <c r="Z325" s="63"/>
      <c r="AA325" s="63"/>
      <c r="AB325" s="63"/>
      <c r="AC325" s="63"/>
    </row>
    <row r="326" spans="1:29">
      <c r="A326" s="62"/>
      <c r="B326" s="62"/>
      <c r="C326" s="62"/>
      <c r="D326" s="62"/>
      <c r="E326" s="62"/>
      <c r="F326" s="62"/>
      <c r="G326" s="62"/>
      <c r="H326" s="62"/>
      <c r="I326" s="62"/>
      <c r="J326" s="62"/>
      <c r="K326" s="53"/>
      <c r="L326" s="62"/>
      <c r="M326" s="63"/>
      <c r="N326" s="63"/>
      <c r="O326" s="63"/>
      <c r="P326" s="63"/>
      <c r="Q326" s="63"/>
      <c r="R326" s="63"/>
      <c r="S326" s="63"/>
      <c r="T326" s="63"/>
      <c r="U326" s="63"/>
      <c r="V326" s="63"/>
      <c r="W326" s="63"/>
      <c r="X326" s="63"/>
      <c r="Y326" s="63"/>
      <c r="Z326" s="63"/>
      <c r="AA326" s="63"/>
      <c r="AB326" s="63"/>
      <c r="AC326" s="63"/>
    </row>
    <row r="327" spans="1:29">
      <c r="A327" s="62"/>
      <c r="B327" s="62"/>
      <c r="C327" s="62"/>
      <c r="D327" s="62"/>
      <c r="E327" s="62"/>
      <c r="F327" s="62"/>
      <c r="G327" s="62"/>
      <c r="H327" s="62"/>
      <c r="I327" s="62"/>
      <c r="J327" s="62"/>
      <c r="K327" s="53"/>
      <c r="L327" s="62"/>
      <c r="M327" s="63"/>
      <c r="N327" s="63"/>
      <c r="O327" s="63"/>
      <c r="P327" s="63"/>
      <c r="Q327" s="63"/>
      <c r="R327" s="63"/>
      <c r="S327" s="63"/>
      <c r="T327" s="63"/>
      <c r="U327" s="63"/>
      <c r="V327" s="63"/>
      <c r="W327" s="63"/>
      <c r="X327" s="63"/>
      <c r="Y327" s="63"/>
      <c r="Z327" s="63"/>
      <c r="AA327" s="63"/>
      <c r="AB327" s="63"/>
      <c r="AC327" s="63"/>
    </row>
    <row r="328" spans="1:29">
      <c r="A328" s="62"/>
      <c r="B328" s="62"/>
      <c r="C328" s="62"/>
      <c r="D328" s="62"/>
      <c r="E328" s="62"/>
      <c r="F328" s="62"/>
      <c r="G328" s="62"/>
      <c r="H328" s="62"/>
      <c r="I328" s="62"/>
      <c r="J328" s="62"/>
      <c r="K328" s="53"/>
      <c r="L328" s="62"/>
      <c r="M328" s="63"/>
      <c r="N328" s="63"/>
      <c r="O328" s="63"/>
      <c r="P328" s="63"/>
      <c r="Q328" s="63"/>
      <c r="R328" s="63"/>
      <c r="S328" s="63"/>
      <c r="T328" s="63"/>
      <c r="U328" s="63"/>
      <c r="V328" s="63"/>
      <c r="W328" s="63"/>
      <c r="X328" s="63"/>
      <c r="Y328" s="63"/>
      <c r="Z328" s="63"/>
      <c r="AA328" s="63"/>
      <c r="AB328" s="63"/>
      <c r="AC328" s="63"/>
    </row>
    <row r="329" spans="1:29">
      <c r="A329" s="62"/>
      <c r="B329" s="62"/>
      <c r="C329" s="62"/>
      <c r="D329" s="62"/>
      <c r="E329" s="62"/>
      <c r="F329" s="62"/>
      <c r="G329" s="62"/>
      <c r="H329" s="62"/>
      <c r="I329" s="62"/>
      <c r="J329" s="62"/>
      <c r="K329" s="53"/>
      <c r="L329" s="62"/>
      <c r="M329" s="63"/>
      <c r="N329" s="63"/>
      <c r="O329" s="63"/>
      <c r="P329" s="63"/>
      <c r="Q329" s="63"/>
      <c r="R329" s="63"/>
      <c r="S329" s="63"/>
      <c r="T329" s="63"/>
      <c r="U329" s="63"/>
      <c r="V329" s="63"/>
      <c r="W329" s="63"/>
      <c r="X329" s="63"/>
      <c r="Y329" s="63"/>
      <c r="Z329" s="63"/>
      <c r="AA329" s="63"/>
      <c r="AB329" s="63"/>
      <c r="AC329" s="63"/>
    </row>
    <row r="330" spans="1:29">
      <c r="A330" s="62"/>
      <c r="B330" s="62"/>
      <c r="C330" s="62"/>
      <c r="D330" s="62"/>
      <c r="E330" s="62"/>
      <c r="F330" s="62"/>
      <c r="G330" s="62"/>
      <c r="H330" s="62"/>
      <c r="I330" s="62"/>
      <c r="J330" s="62"/>
      <c r="K330" s="53"/>
      <c r="L330" s="62"/>
      <c r="M330" s="63"/>
      <c r="N330" s="63"/>
      <c r="O330" s="63"/>
      <c r="P330" s="63"/>
      <c r="Q330" s="63"/>
      <c r="R330" s="63"/>
      <c r="S330" s="63"/>
      <c r="T330" s="63"/>
      <c r="U330" s="63"/>
      <c r="V330" s="63"/>
      <c r="W330" s="63"/>
      <c r="X330" s="63"/>
      <c r="Y330" s="63"/>
      <c r="Z330" s="63"/>
      <c r="AA330" s="63"/>
      <c r="AB330" s="63"/>
      <c r="AC330" s="63"/>
    </row>
    <row r="331" spans="1:29">
      <c r="A331" s="62"/>
      <c r="B331" s="62"/>
      <c r="C331" s="62"/>
      <c r="D331" s="62"/>
      <c r="E331" s="62"/>
      <c r="F331" s="62"/>
      <c r="G331" s="62"/>
      <c r="H331" s="62"/>
      <c r="I331" s="62"/>
      <c r="J331" s="62"/>
      <c r="K331" s="53"/>
      <c r="L331" s="62"/>
      <c r="M331" s="63"/>
      <c r="N331" s="63"/>
      <c r="O331" s="63"/>
      <c r="P331" s="63"/>
      <c r="Q331" s="63"/>
      <c r="R331" s="63"/>
      <c r="S331" s="63"/>
      <c r="T331" s="63"/>
      <c r="U331" s="63"/>
      <c r="V331" s="63"/>
      <c r="W331" s="63"/>
      <c r="X331" s="63"/>
      <c r="Y331" s="63"/>
      <c r="Z331" s="63"/>
      <c r="AA331" s="63"/>
      <c r="AB331" s="63"/>
      <c r="AC331" s="63"/>
    </row>
    <row r="332" spans="1:29">
      <c r="A332" s="62"/>
      <c r="B332" s="62"/>
      <c r="C332" s="62"/>
      <c r="D332" s="62"/>
      <c r="E332" s="62"/>
      <c r="F332" s="62"/>
      <c r="G332" s="62"/>
      <c r="H332" s="62"/>
      <c r="I332" s="62"/>
      <c r="J332" s="62"/>
      <c r="K332" s="53"/>
      <c r="L332" s="62"/>
      <c r="M332" s="63"/>
      <c r="N332" s="63"/>
      <c r="O332" s="63"/>
      <c r="P332" s="63"/>
      <c r="Q332" s="63"/>
      <c r="R332" s="63"/>
      <c r="S332" s="63"/>
      <c r="T332" s="63"/>
      <c r="U332" s="63"/>
      <c r="V332" s="63"/>
      <c r="W332" s="63"/>
      <c r="X332" s="63"/>
      <c r="Y332" s="63"/>
      <c r="Z332" s="63"/>
      <c r="AA332" s="63"/>
      <c r="AB332" s="63"/>
      <c r="AC332" s="63"/>
    </row>
    <row r="333" spans="1:29">
      <c r="A333" s="62"/>
      <c r="B333" s="62"/>
      <c r="C333" s="62"/>
      <c r="D333" s="62"/>
      <c r="E333" s="62"/>
      <c r="F333" s="62"/>
      <c r="G333" s="62"/>
      <c r="H333" s="62"/>
      <c r="I333" s="62"/>
      <c r="J333" s="62"/>
      <c r="K333" s="53"/>
      <c r="L333" s="62"/>
      <c r="M333" s="63"/>
      <c r="N333" s="63"/>
      <c r="O333" s="63"/>
      <c r="P333" s="63"/>
      <c r="Q333" s="63"/>
      <c r="R333" s="63"/>
      <c r="S333" s="63"/>
      <c r="T333" s="63"/>
      <c r="U333" s="63"/>
      <c r="V333" s="63"/>
      <c r="W333" s="63"/>
      <c r="X333" s="63"/>
      <c r="Y333" s="63"/>
      <c r="Z333" s="63"/>
      <c r="AA333" s="63"/>
      <c r="AB333" s="63"/>
      <c r="AC333" s="63"/>
    </row>
    <row r="334" spans="1:29">
      <c r="A334" s="62"/>
      <c r="B334" s="62"/>
      <c r="C334" s="62"/>
      <c r="D334" s="62"/>
      <c r="E334" s="62"/>
      <c r="F334" s="62"/>
      <c r="G334" s="62"/>
      <c r="H334" s="62"/>
      <c r="I334" s="62"/>
      <c r="J334" s="62"/>
      <c r="K334" s="53"/>
      <c r="L334" s="62"/>
      <c r="M334" s="63"/>
      <c r="N334" s="63"/>
      <c r="O334" s="63"/>
      <c r="P334" s="63"/>
      <c r="Q334" s="63"/>
      <c r="R334" s="63"/>
      <c r="S334" s="63"/>
      <c r="T334" s="63"/>
      <c r="U334" s="63"/>
      <c r="V334" s="63"/>
      <c r="W334" s="63"/>
      <c r="X334" s="63"/>
      <c r="Y334" s="63"/>
      <c r="Z334" s="63"/>
      <c r="AA334" s="63"/>
      <c r="AB334" s="63"/>
      <c r="AC334" s="63"/>
    </row>
    <row r="335" spans="1:29">
      <c r="A335" s="62"/>
      <c r="B335" s="62"/>
      <c r="C335" s="62"/>
      <c r="D335" s="62"/>
      <c r="E335" s="62"/>
      <c r="F335" s="62"/>
      <c r="G335" s="62"/>
      <c r="H335" s="62"/>
      <c r="I335" s="62"/>
      <c r="J335" s="62"/>
      <c r="K335" s="53"/>
      <c r="L335" s="62"/>
      <c r="M335" s="63"/>
      <c r="N335" s="63"/>
      <c r="O335" s="63"/>
      <c r="P335" s="63"/>
      <c r="Q335" s="63"/>
      <c r="R335" s="63"/>
      <c r="S335" s="63"/>
      <c r="T335" s="63"/>
      <c r="U335" s="63"/>
      <c r="V335" s="63"/>
      <c r="W335" s="63"/>
      <c r="X335" s="63"/>
      <c r="Y335" s="63"/>
      <c r="Z335" s="63"/>
      <c r="AA335" s="63"/>
      <c r="AB335" s="63"/>
      <c r="AC335" s="63"/>
    </row>
    <row r="336" spans="1:29">
      <c r="A336" s="62"/>
      <c r="B336" s="62"/>
      <c r="C336" s="62"/>
      <c r="D336" s="62"/>
      <c r="E336" s="62"/>
      <c r="F336" s="62"/>
      <c r="G336" s="62"/>
      <c r="H336" s="62"/>
      <c r="I336" s="62"/>
      <c r="J336" s="62"/>
      <c r="K336" s="53"/>
      <c r="L336" s="62"/>
      <c r="M336" s="63"/>
      <c r="N336" s="63"/>
      <c r="O336" s="63"/>
      <c r="P336" s="63"/>
      <c r="Q336" s="63"/>
      <c r="R336" s="63"/>
      <c r="S336" s="63"/>
      <c r="T336" s="63"/>
      <c r="U336" s="63"/>
      <c r="V336" s="63"/>
      <c r="W336" s="63"/>
      <c r="X336" s="63"/>
      <c r="Y336" s="63"/>
      <c r="Z336" s="63"/>
      <c r="AA336" s="63"/>
      <c r="AB336" s="63"/>
      <c r="AC336" s="63"/>
    </row>
    <row r="337" spans="1:29">
      <c r="A337" s="62"/>
      <c r="B337" s="62"/>
      <c r="C337" s="62"/>
      <c r="D337" s="62"/>
      <c r="E337" s="62"/>
      <c r="F337" s="62"/>
      <c r="G337" s="62"/>
      <c r="H337" s="62"/>
      <c r="I337" s="62"/>
      <c r="J337" s="62"/>
      <c r="K337" s="53"/>
      <c r="L337" s="62"/>
      <c r="M337" s="63"/>
      <c r="N337" s="63"/>
      <c r="O337" s="63"/>
      <c r="P337" s="63"/>
      <c r="Q337" s="63"/>
      <c r="R337" s="63"/>
      <c r="S337" s="63"/>
      <c r="T337" s="63"/>
      <c r="U337" s="63"/>
      <c r="V337" s="63"/>
      <c r="W337" s="63"/>
      <c r="X337" s="63"/>
      <c r="Y337" s="63"/>
      <c r="Z337" s="63"/>
      <c r="AA337" s="63"/>
      <c r="AB337" s="63"/>
      <c r="AC337" s="63"/>
    </row>
    <row r="338" spans="1:29">
      <c r="A338" s="62"/>
      <c r="B338" s="62"/>
      <c r="C338" s="62"/>
      <c r="D338" s="62"/>
      <c r="E338" s="62"/>
      <c r="F338" s="62"/>
      <c r="G338" s="62"/>
      <c r="H338" s="62"/>
      <c r="I338" s="62"/>
      <c r="J338" s="62"/>
      <c r="K338" s="53"/>
      <c r="L338" s="62"/>
      <c r="M338" s="63"/>
      <c r="N338" s="63"/>
      <c r="O338" s="63"/>
      <c r="P338" s="63"/>
      <c r="Q338" s="63"/>
      <c r="R338" s="63"/>
      <c r="S338" s="63"/>
      <c r="T338" s="63"/>
      <c r="U338" s="63"/>
      <c r="V338" s="63"/>
      <c r="W338" s="63"/>
      <c r="X338" s="63"/>
      <c r="Y338" s="63"/>
      <c r="Z338" s="63"/>
      <c r="AA338" s="63"/>
      <c r="AB338" s="63"/>
      <c r="AC338" s="63"/>
    </row>
    <row r="339" spans="1:29">
      <c r="A339" s="62"/>
      <c r="B339" s="62"/>
      <c r="C339" s="62"/>
      <c r="D339" s="62"/>
      <c r="E339" s="62"/>
      <c r="F339" s="62"/>
      <c r="G339" s="62"/>
      <c r="H339" s="62"/>
      <c r="I339" s="62"/>
      <c r="J339" s="62"/>
      <c r="K339" s="53"/>
      <c r="L339" s="62"/>
      <c r="M339" s="63"/>
      <c r="N339" s="63"/>
      <c r="O339" s="63"/>
      <c r="P339" s="63"/>
      <c r="Q339" s="63"/>
      <c r="R339" s="63"/>
      <c r="S339" s="63"/>
      <c r="T339" s="63"/>
      <c r="U339" s="63"/>
      <c r="V339" s="63"/>
      <c r="W339" s="63"/>
      <c r="X339" s="63"/>
      <c r="Y339" s="63"/>
      <c r="Z339" s="63"/>
      <c r="AA339" s="63"/>
      <c r="AB339" s="63"/>
      <c r="AC339" s="63"/>
    </row>
    <row r="340" spans="1:29">
      <c r="A340" s="62"/>
      <c r="B340" s="62"/>
      <c r="C340" s="62"/>
      <c r="D340" s="62"/>
      <c r="E340" s="62"/>
      <c r="F340" s="62"/>
      <c r="G340" s="62"/>
      <c r="H340" s="62"/>
      <c r="I340" s="62"/>
      <c r="J340" s="62"/>
      <c r="K340" s="53"/>
      <c r="L340" s="62"/>
      <c r="M340" s="63"/>
      <c r="N340" s="63"/>
      <c r="O340" s="63"/>
      <c r="P340" s="63"/>
      <c r="Q340" s="63"/>
      <c r="R340" s="63"/>
      <c r="S340" s="63"/>
      <c r="T340" s="63"/>
      <c r="U340" s="63"/>
      <c r="V340" s="63"/>
      <c r="W340" s="63"/>
      <c r="X340" s="63"/>
      <c r="Y340" s="63"/>
      <c r="Z340" s="63"/>
      <c r="AA340" s="63"/>
      <c r="AB340" s="63"/>
      <c r="AC340" s="63"/>
    </row>
    <row r="341" spans="1:29">
      <c r="A341" s="62"/>
      <c r="B341" s="62"/>
      <c r="C341" s="62"/>
      <c r="D341" s="62"/>
      <c r="E341" s="62"/>
      <c r="F341" s="62"/>
      <c r="G341" s="62"/>
      <c r="H341" s="62"/>
      <c r="I341" s="62"/>
      <c r="J341" s="62"/>
      <c r="K341" s="53"/>
      <c r="L341" s="62"/>
      <c r="M341" s="63"/>
      <c r="N341" s="63"/>
      <c r="O341" s="63"/>
      <c r="P341" s="63"/>
      <c r="Q341" s="63"/>
      <c r="R341" s="63"/>
      <c r="S341" s="63"/>
      <c r="T341" s="63"/>
      <c r="U341" s="63"/>
      <c r="V341" s="63"/>
      <c r="W341" s="63"/>
      <c r="X341" s="63"/>
      <c r="Y341" s="63"/>
      <c r="Z341" s="63"/>
      <c r="AA341" s="63"/>
      <c r="AB341" s="63"/>
      <c r="AC341" s="63"/>
    </row>
    <row r="342" spans="1:29">
      <c r="A342" s="62"/>
      <c r="B342" s="62"/>
      <c r="C342" s="62"/>
      <c r="D342" s="62"/>
      <c r="E342" s="62"/>
      <c r="F342" s="62"/>
      <c r="G342" s="62"/>
      <c r="H342" s="62"/>
      <c r="I342" s="62"/>
      <c r="J342" s="62"/>
      <c r="K342" s="53"/>
      <c r="L342" s="62"/>
      <c r="M342" s="63"/>
      <c r="N342" s="63"/>
      <c r="O342" s="63"/>
      <c r="P342" s="63"/>
      <c r="Q342" s="63"/>
      <c r="R342" s="63"/>
      <c r="S342" s="63"/>
      <c r="T342" s="63"/>
      <c r="U342" s="63"/>
      <c r="V342" s="63"/>
      <c r="W342" s="63"/>
      <c r="X342" s="63"/>
      <c r="Y342" s="63"/>
      <c r="Z342" s="63"/>
      <c r="AA342" s="63"/>
      <c r="AB342" s="63"/>
      <c r="AC342" s="63"/>
    </row>
    <row r="343" spans="1:29">
      <c r="A343" s="62"/>
      <c r="B343" s="62"/>
      <c r="C343" s="62"/>
      <c r="D343" s="62"/>
      <c r="E343" s="62"/>
      <c r="F343" s="62"/>
      <c r="G343" s="62"/>
      <c r="H343" s="62"/>
      <c r="I343" s="62"/>
      <c r="J343" s="62"/>
      <c r="K343" s="53"/>
      <c r="L343" s="62"/>
      <c r="M343" s="63"/>
      <c r="N343" s="63"/>
      <c r="O343" s="63"/>
      <c r="P343" s="63"/>
      <c r="Q343" s="63"/>
      <c r="R343" s="63"/>
      <c r="S343" s="63"/>
      <c r="T343" s="63"/>
      <c r="U343" s="63"/>
      <c r="V343" s="63"/>
      <c r="W343" s="63"/>
      <c r="X343" s="63"/>
      <c r="Y343" s="63"/>
      <c r="Z343" s="63"/>
      <c r="AA343" s="63"/>
      <c r="AB343" s="63"/>
      <c r="AC343" s="63"/>
    </row>
    <row r="344" spans="1:29">
      <c r="A344" s="62"/>
      <c r="B344" s="62"/>
      <c r="C344" s="62"/>
      <c r="D344" s="62"/>
      <c r="E344" s="62"/>
      <c r="F344" s="62"/>
      <c r="G344" s="62"/>
      <c r="H344" s="62"/>
      <c r="I344" s="62"/>
      <c r="J344" s="62"/>
      <c r="K344" s="53"/>
      <c r="L344" s="62"/>
      <c r="M344" s="63"/>
      <c r="N344" s="63"/>
      <c r="O344" s="63"/>
      <c r="P344" s="63"/>
      <c r="Q344" s="63"/>
      <c r="R344" s="63"/>
      <c r="S344" s="63"/>
      <c r="T344" s="63"/>
      <c r="U344" s="63"/>
      <c r="V344" s="63"/>
      <c r="W344" s="63"/>
      <c r="X344" s="63"/>
      <c r="Y344" s="63"/>
      <c r="Z344" s="63"/>
      <c r="AA344" s="63"/>
      <c r="AB344" s="63"/>
      <c r="AC344" s="63"/>
    </row>
    <row r="345" spans="1:29">
      <c r="A345" s="62"/>
      <c r="B345" s="62"/>
      <c r="C345" s="62"/>
      <c r="D345" s="62"/>
      <c r="E345" s="62"/>
      <c r="F345" s="62"/>
      <c r="G345" s="62"/>
      <c r="H345" s="62"/>
      <c r="I345" s="62"/>
      <c r="J345" s="62"/>
      <c r="K345" s="53"/>
      <c r="L345" s="62"/>
      <c r="M345" s="63"/>
      <c r="N345" s="63"/>
      <c r="O345" s="63"/>
      <c r="P345" s="63"/>
      <c r="Q345" s="63"/>
      <c r="R345" s="63"/>
      <c r="S345" s="63"/>
      <c r="T345" s="63"/>
      <c r="U345" s="63"/>
      <c r="V345" s="63"/>
      <c r="W345" s="63"/>
      <c r="X345" s="63"/>
      <c r="Y345" s="63"/>
      <c r="Z345" s="63"/>
      <c r="AA345" s="63"/>
      <c r="AB345" s="63"/>
      <c r="AC345" s="63"/>
    </row>
    <row r="346" spans="1:29">
      <c r="A346" s="62"/>
      <c r="B346" s="62"/>
      <c r="C346" s="62"/>
      <c r="D346" s="62"/>
      <c r="E346" s="62"/>
      <c r="F346" s="62"/>
      <c r="G346" s="62"/>
      <c r="H346" s="62"/>
      <c r="I346" s="62"/>
      <c r="J346" s="62"/>
      <c r="K346" s="53"/>
      <c r="L346" s="62"/>
      <c r="M346" s="63"/>
      <c r="N346" s="63"/>
      <c r="O346" s="63"/>
      <c r="P346" s="63"/>
      <c r="Q346" s="63"/>
      <c r="R346" s="63"/>
      <c r="S346" s="63"/>
      <c r="T346" s="63"/>
      <c r="U346" s="63"/>
      <c r="V346" s="63"/>
      <c r="W346" s="63"/>
      <c r="X346" s="63"/>
      <c r="Y346" s="63"/>
      <c r="Z346" s="63"/>
      <c r="AA346" s="63"/>
      <c r="AB346" s="63"/>
      <c r="AC346" s="63"/>
    </row>
    <row r="347" spans="1:29">
      <c r="A347" s="62"/>
      <c r="B347" s="62"/>
      <c r="C347" s="62"/>
      <c r="D347" s="62"/>
      <c r="E347" s="62"/>
      <c r="F347" s="62"/>
      <c r="G347" s="62"/>
      <c r="H347" s="62"/>
      <c r="I347" s="62"/>
      <c r="J347" s="62"/>
      <c r="K347" s="53"/>
      <c r="L347" s="62"/>
      <c r="M347" s="63"/>
      <c r="N347" s="63"/>
      <c r="O347" s="63"/>
      <c r="P347" s="63"/>
      <c r="Q347" s="63"/>
      <c r="R347" s="63"/>
      <c r="S347" s="63"/>
      <c r="T347" s="63"/>
      <c r="U347" s="63"/>
      <c r="V347" s="63"/>
      <c r="W347" s="63"/>
      <c r="X347" s="63"/>
      <c r="Y347" s="63"/>
      <c r="Z347" s="63"/>
      <c r="AA347" s="63"/>
      <c r="AB347" s="63"/>
      <c r="AC347" s="63"/>
    </row>
    <row r="348" spans="1:29">
      <c r="A348" s="62"/>
      <c r="B348" s="62"/>
      <c r="C348" s="62"/>
      <c r="D348" s="62"/>
      <c r="E348" s="62"/>
      <c r="F348" s="62"/>
      <c r="G348" s="62"/>
      <c r="H348" s="62"/>
      <c r="I348" s="62"/>
      <c r="J348" s="62"/>
      <c r="K348" s="53"/>
      <c r="L348" s="62"/>
      <c r="M348" s="63"/>
      <c r="N348" s="63"/>
      <c r="O348" s="63"/>
      <c r="P348" s="63"/>
      <c r="Q348" s="63"/>
      <c r="R348" s="63"/>
      <c r="S348" s="63"/>
      <c r="T348" s="63"/>
      <c r="U348" s="63"/>
      <c r="V348" s="63"/>
      <c r="W348" s="63"/>
      <c r="X348" s="63"/>
      <c r="Y348" s="63"/>
      <c r="Z348" s="63"/>
      <c r="AA348" s="63"/>
      <c r="AB348" s="63"/>
      <c r="AC348" s="63"/>
    </row>
    <row r="349" spans="1:29">
      <c r="A349" s="62"/>
      <c r="B349" s="62"/>
      <c r="C349" s="62"/>
      <c r="D349" s="62"/>
      <c r="E349" s="62"/>
      <c r="F349" s="62"/>
      <c r="G349" s="62"/>
      <c r="H349" s="62"/>
      <c r="I349" s="62"/>
      <c r="J349" s="62"/>
      <c r="K349" s="53"/>
      <c r="L349" s="62"/>
      <c r="M349" s="63"/>
      <c r="N349" s="63"/>
      <c r="O349" s="63"/>
      <c r="P349" s="63"/>
      <c r="Q349" s="63"/>
      <c r="R349" s="63"/>
      <c r="S349" s="63"/>
      <c r="T349" s="63"/>
      <c r="U349" s="63"/>
      <c r="V349" s="63"/>
      <c r="W349" s="63"/>
      <c r="X349" s="63"/>
      <c r="Y349" s="63"/>
      <c r="Z349" s="63"/>
      <c r="AA349" s="63"/>
      <c r="AB349" s="63"/>
      <c r="AC349" s="63"/>
    </row>
    <row r="350" spans="1:29">
      <c r="A350" s="62"/>
      <c r="B350" s="62"/>
      <c r="C350" s="62"/>
      <c r="D350" s="62"/>
      <c r="E350" s="62"/>
      <c r="F350" s="62"/>
      <c r="G350" s="62"/>
      <c r="H350" s="62"/>
      <c r="I350" s="62"/>
      <c r="J350" s="62"/>
      <c r="K350" s="53"/>
      <c r="L350" s="62"/>
      <c r="M350" s="63"/>
      <c r="N350" s="63"/>
      <c r="O350" s="63"/>
      <c r="P350" s="63"/>
      <c r="Q350" s="63"/>
      <c r="R350" s="63"/>
      <c r="S350" s="63"/>
      <c r="T350" s="63"/>
      <c r="U350" s="63"/>
      <c r="V350" s="63"/>
      <c r="W350" s="63"/>
      <c r="X350" s="63"/>
      <c r="Y350" s="63"/>
      <c r="Z350" s="63"/>
      <c r="AA350" s="63"/>
      <c r="AB350" s="63"/>
      <c r="AC350" s="63"/>
    </row>
    <row r="351" spans="1:29">
      <c r="A351" s="62"/>
      <c r="B351" s="62"/>
      <c r="C351" s="62"/>
      <c r="D351" s="62"/>
      <c r="E351" s="62"/>
      <c r="F351" s="62"/>
      <c r="G351" s="62"/>
      <c r="H351" s="62"/>
      <c r="I351" s="62"/>
      <c r="J351" s="62"/>
      <c r="K351" s="53"/>
      <c r="L351" s="62"/>
      <c r="M351" s="63"/>
      <c r="N351" s="63"/>
      <c r="O351" s="63"/>
      <c r="P351" s="63"/>
      <c r="Q351" s="63"/>
      <c r="R351" s="63"/>
      <c r="S351" s="63"/>
      <c r="T351" s="63"/>
      <c r="U351" s="63"/>
      <c r="V351" s="63"/>
      <c r="W351" s="63"/>
      <c r="X351" s="63"/>
      <c r="Y351" s="63"/>
      <c r="Z351" s="63"/>
      <c r="AA351" s="63"/>
      <c r="AB351" s="63"/>
      <c r="AC351" s="63"/>
    </row>
    <row r="352" spans="1:29">
      <c r="A352" s="62"/>
      <c r="B352" s="62"/>
      <c r="C352" s="62"/>
      <c r="D352" s="62"/>
      <c r="E352" s="62"/>
      <c r="F352" s="62"/>
      <c r="G352" s="62"/>
      <c r="H352" s="62"/>
      <c r="I352" s="62"/>
      <c r="J352" s="62"/>
      <c r="K352" s="53"/>
      <c r="L352" s="62"/>
      <c r="M352" s="63"/>
      <c r="N352" s="63"/>
      <c r="O352" s="63"/>
      <c r="P352" s="63"/>
      <c r="Q352" s="63"/>
      <c r="R352" s="63"/>
      <c r="S352" s="63"/>
      <c r="T352" s="63"/>
      <c r="U352" s="63"/>
      <c r="V352" s="63"/>
      <c r="W352" s="63"/>
      <c r="X352" s="63"/>
      <c r="Y352" s="63"/>
      <c r="Z352" s="63"/>
      <c r="AA352" s="63"/>
      <c r="AB352" s="63"/>
      <c r="AC352" s="63"/>
    </row>
    <row r="353" spans="1:29">
      <c r="A353" s="62"/>
      <c r="B353" s="62"/>
      <c r="C353" s="62"/>
      <c r="D353" s="62"/>
      <c r="E353" s="62"/>
      <c r="F353" s="62"/>
      <c r="G353" s="62"/>
      <c r="H353" s="62"/>
      <c r="I353" s="62"/>
      <c r="J353" s="62"/>
      <c r="K353" s="53"/>
      <c r="L353" s="62"/>
      <c r="M353" s="63"/>
      <c r="N353" s="63"/>
      <c r="O353" s="63"/>
      <c r="P353" s="63"/>
      <c r="Q353" s="63"/>
      <c r="R353" s="63"/>
      <c r="S353" s="63"/>
      <c r="T353" s="63"/>
      <c r="U353" s="63"/>
      <c r="V353" s="63"/>
      <c r="W353" s="63"/>
      <c r="X353" s="63"/>
      <c r="Y353" s="63"/>
      <c r="Z353" s="63"/>
      <c r="AA353" s="63"/>
      <c r="AB353" s="63"/>
      <c r="AC353" s="63"/>
    </row>
    <row r="354" spans="1:29">
      <c r="A354" s="62"/>
      <c r="B354" s="62"/>
      <c r="C354" s="62"/>
      <c r="D354" s="62"/>
      <c r="E354" s="62"/>
      <c r="F354" s="62"/>
      <c r="G354" s="62"/>
      <c r="H354" s="62"/>
      <c r="I354" s="62"/>
      <c r="J354" s="62"/>
      <c r="K354" s="53"/>
      <c r="L354" s="62"/>
      <c r="M354" s="63"/>
      <c r="N354" s="63"/>
      <c r="O354" s="63"/>
      <c r="P354" s="63"/>
      <c r="Q354" s="63"/>
      <c r="R354" s="63"/>
      <c r="S354" s="63"/>
      <c r="T354" s="63"/>
      <c r="U354" s="63"/>
      <c r="V354" s="63"/>
      <c r="W354" s="63"/>
      <c r="X354" s="63"/>
      <c r="Y354" s="63"/>
      <c r="Z354" s="63"/>
      <c r="AA354" s="63"/>
      <c r="AB354" s="63"/>
      <c r="AC354" s="63"/>
    </row>
    <row r="355" spans="1:29">
      <c r="A355" s="62"/>
      <c r="B355" s="62"/>
      <c r="C355" s="62"/>
      <c r="D355" s="62"/>
      <c r="E355" s="62"/>
      <c r="F355" s="62"/>
      <c r="G355" s="62"/>
      <c r="H355" s="62"/>
      <c r="I355" s="62"/>
      <c r="J355" s="62"/>
      <c r="K355" s="53"/>
      <c r="L355" s="62"/>
      <c r="M355" s="63"/>
      <c r="N355" s="63"/>
      <c r="O355" s="63"/>
      <c r="P355" s="63"/>
      <c r="Q355" s="63"/>
      <c r="R355" s="63"/>
      <c r="S355" s="63"/>
      <c r="T355" s="63"/>
      <c r="U355" s="63"/>
      <c r="V355" s="63"/>
      <c r="W355" s="63"/>
      <c r="X355" s="63"/>
      <c r="Y355" s="63"/>
      <c r="Z355" s="63"/>
      <c r="AA355" s="63"/>
      <c r="AB355" s="63"/>
      <c r="AC355" s="63"/>
    </row>
    <row r="356" spans="1:29">
      <c r="A356" s="62"/>
      <c r="B356" s="62"/>
      <c r="C356" s="62"/>
      <c r="D356" s="62"/>
      <c r="E356" s="62"/>
      <c r="F356" s="62"/>
      <c r="G356" s="62"/>
      <c r="H356" s="62"/>
      <c r="I356" s="62"/>
      <c r="J356" s="62"/>
      <c r="K356" s="53"/>
      <c r="L356" s="62"/>
      <c r="M356" s="63"/>
      <c r="N356" s="63"/>
      <c r="O356" s="63"/>
      <c r="P356" s="63"/>
      <c r="Q356" s="63"/>
      <c r="R356" s="63"/>
      <c r="S356" s="63"/>
      <c r="T356" s="63"/>
      <c r="U356" s="63"/>
      <c r="V356" s="63"/>
      <c r="W356" s="63"/>
      <c r="X356" s="63"/>
      <c r="Y356" s="63"/>
      <c r="Z356" s="63"/>
      <c r="AA356" s="63"/>
      <c r="AB356" s="63"/>
      <c r="AC356" s="63"/>
    </row>
    <row r="357" spans="1:29">
      <c r="A357" s="62"/>
      <c r="B357" s="62"/>
      <c r="C357" s="62"/>
      <c r="D357" s="62"/>
      <c r="E357" s="62"/>
      <c r="F357" s="62"/>
      <c r="G357" s="62"/>
      <c r="H357" s="62"/>
      <c r="I357" s="62"/>
      <c r="J357" s="62"/>
      <c r="K357" s="53"/>
      <c r="L357" s="62"/>
      <c r="M357" s="63"/>
      <c r="N357" s="63"/>
      <c r="O357" s="63"/>
      <c r="P357" s="63"/>
      <c r="Q357" s="63"/>
      <c r="R357" s="63"/>
      <c r="S357" s="63"/>
      <c r="T357" s="63"/>
      <c r="U357" s="63"/>
      <c r="V357" s="63"/>
      <c r="W357" s="63"/>
      <c r="X357" s="63"/>
      <c r="Y357" s="63"/>
      <c r="Z357" s="63"/>
      <c r="AA357" s="63"/>
      <c r="AB357" s="63"/>
      <c r="AC357" s="63"/>
    </row>
    <row r="358" spans="1:29">
      <c r="A358" s="62"/>
      <c r="B358" s="62"/>
      <c r="C358" s="62"/>
      <c r="D358" s="62"/>
      <c r="E358" s="62"/>
      <c r="F358" s="62"/>
      <c r="G358" s="62"/>
      <c r="H358" s="62"/>
      <c r="I358" s="62"/>
      <c r="J358" s="62"/>
      <c r="K358" s="53"/>
      <c r="L358" s="62"/>
      <c r="M358" s="63"/>
      <c r="N358" s="63"/>
      <c r="O358" s="63"/>
      <c r="P358" s="63"/>
      <c r="Q358" s="63"/>
      <c r="R358" s="63"/>
      <c r="S358" s="63"/>
      <c r="T358" s="63"/>
      <c r="U358" s="63"/>
      <c r="V358" s="63"/>
      <c r="W358" s="63"/>
      <c r="X358" s="63"/>
      <c r="Y358" s="63"/>
      <c r="Z358" s="63"/>
      <c r="AA358" s="63"/>
      <c r="AB358" s="63"/>
      <c r="AC358" s="63"/>
    </row>
    <row r="359" spans="1:29">
      <c r="A359" s="62"/>
      <c r="B359" s="62"/>
      <c r="C359" s="62"/>
      <c r="D359" s="62"/>
      <c r="E359" s="62"/>
      <c r="F359" s="62"/>
      <c r="G359" s="62"/>
      <c r="H359" s="62"/>
      <c r="I359" s="62"/>
      <c r="J359" s="62"/>
      <c r="K359" s="53"/>
      <c r="L359" s="62"/>
      <c r="M359" s="63"/>
      <c r="N359" s="63"/>
      <c r="O359" s="63"/>
      <c r="P359" s="63"/>
      <c r="Q359" s="63"/>
      <c r="R359" s="63"/>
      <c r="S359" s="63"/>
      <c r="T359" s="63"/>
      <c r="U359" s="63"/>
      <c r="V359" s="63"/>
      <c r="W359" s="63"/>
      <c r="X359" s="63"/>
      <c r="Y359" s="63"/>
      <c r="Z359" s="63"/>
      <c r="AA359" s="63"/>
      <c r="AB359" s="63"/>
      <c r="AC359" s="63"/>
    </row>
    <row r="360" spans="1:29">
      <c r="A360" s="62"/>
      <c r="B360" s="62"/>
      <c r="C360" s="62"/>
      <c r="D360" s="62"/>
      <c r="E360" s="62"/>
      <c r="F360" s="62"/>
      <c r="G360" s="62"/>
      <c r="H360" s="62"/>
      <c r="I360" s="62"/>
      <c r="J360" s="62"/>
      <c r="K360" s="53"/>
      <c r="L360" s="62"/>
      <c r="M360" s="63"/>
      <c r="N360" s="63"/>
      <c r="O360" s="63"/>
      <c r="P360" s="63"/>
      <c r="Q360" s="63"/>
      <c r="R360" s="63"/>
      <c r="S360" s="63"/>
      <c r="T360" s="63"/>
      <c r="U360" s="63"/>
      <c r="V360" s="63"/>
      <c r="W360" s="63"/>
      <c r="X360" s="63"/>
      <c r="Y360" s="63"/>
      <c r="Z360" s="63"/>
      <c r="AA360" s="63"/>
      <c r="AB360" s="63"/>
      <c r="AC360" s="63"/>
    </row>
    <row r="361" spans="1:29">
      <c r="A361" s="62"/>
      <c r="B361" s="62"/>
      <c r="C361" s="62"/>
      <c r="D361" s="62"/>
      <c r="E361" s="62"/>
      <c r="F361" s="62"/>
      <c r="G361" s="62"/>
      <c r="H361" s="62"/>
      <c r="I361" s="62"/>
      <c r="J361" s="62"/>
      <c r="K361" s="53"/>
      <c r="L361" s="62"/>
      <c r="M361" s="63"/>
      <c r="N361" s="63"/>
      <c r="O361" s="63"/>
      <c r="P361" s="63"/>
      <c r="Q361" s="63"/>
      <c r="R361" s="63"/>
      <c r="S361" s="63"/>
      <c r="T361" s="63"/>
      <c r="U361" s="63"/>
      <c r="V361" s="63"/>
      <c r="W361" s="63"/>
      <c r="X361" s="63"/>
      <c r="Y361" s="63"/>
      <c r="Z361" s="63"/>
      <c r="AA361" s="63"/>
      <c r="AB361" s="63"/>
      <c r="AC361" s="63"/>
    </row>
    <row r="362" spans="1:29">
      <c r="A362" s="62"/>
      <c r="B362" s="62"/>
      <c r="C362" s="62"/>
      <c r="D362" s="62"/>
      <c r="E362" s="62"/>
      <c r="F362" s="62"/>
      <c r="G362" s="62"/>
      <c r="H362" s="62"/>
      <c r="I362" s="62"/>
      <c r="J362" s="62"/>
      <c r="K362" s="53"/>
      <c r="L362" s="62"/>
      <c r="M362" s="63"/>
      <c r="N362" s="63"/>
      <c r="O362" s="63"/>
      <c r="P362" s="63"/>
      <c r="Q362" s="63"/>
      <c r="R362" s="63"/>
      <c r="S362" s="63"/>
      <c r="T362" s="63"/>
      <c r="U362" s="63"/>
      <c r="V362" s="63"/>
      <c r="W362" s="63"/>
      <c r="X362" s="63"/>
      <c r="Y362" s="63"/>
      <c r="Z362" s="63"/>
      <c r="AA362" s="63"/>
      <c r="AB362" s="63"/>
      <c r="AC362" s="63"/>
    </row>
    <row r="363" spans="1:29">
      <c r="A363" s="62"/>
      <c r="B363" s="62"/>
      <c r="C363" s="62"/>
      <c r="D363" s="62"/>
      <c r="E363" s="62"/>
      <c r="F363" s="62"/>
      <c r="G363" s="62"/>
      <c r="H363" s="62"/>
      <c r="I363" s="62"/>
      <c r="J363" s="62"/>
      <c r="K363" s="53"/>
      <c r="L363" s="62"/>
      <c r="M363" s="63"/>
      <c r="N363" s="63"/>
      <c r="O363" s="63"/>
      <c r="P363" s="63"/>
      <c r="Q363" s="63"/>
      <c r="R363" s="63"/>
      <c r="S363" s="63"/>
      <c r="T363" s="63"/>
      <c r="U363" s="63"/>
      <c r="V363" s="63"/>
      <c r="W363" s="63"/>
      <c r="X363" s="63"/>
      <c r="Y363" s="63"/>
      <c r="Z363" s="63"/>
      <c r="AA363" s="63"/>
      <c r="AB363" s="63"/>
      <c r="AC363" s="63"/>
    </row>
    <row r="364" spans="1:29">
      <c r="A364" s="62"/>
      <c r="B364" s="62"/>
      <c r="C364" s="62"/>
      <c r="D364" s="62"/>
      <c r="E364" s="62"/>
      <c r="F364" s="62"/>
      <c r="G364" s="62"/>
      <c r="H364" s="62"/>
      <c r="I364" s="62"/>
      <c r="J364" s="62"/>
      <c r="K364" s="53"/>
      <c r="L364" s="62"/>
      <c r="M364" s="63"/>
      <c r="N364" s="63"/>
      <c r="O364" s="63"/>
      <c r="P364" s="63"/>
      <c r="Q364" s="63"/>
      <c r="R364" s="63"/>
      <c r="S364" s="63"/>
      <c r="T364" s="63"/>
      <c r="U364" s="63"/>
      <c r="V364" s="63"/>
      <c r="W364" s="63"/>
      <c r="X364" s="63"/>
      <c r="Y364" s="63"/>
      <c r="Z364" s="63"/>
      <c r="AA364" s="63"/>
      <c r="AB364" s="63"/>
      <c r="AC364" s="63"/>
    </row>
    <row r="365" spans="1:29">
      <c r="A365" s="62"/>
      <c r="B365" s="62"/>
      <c r="C365" s="62"/>
      <c r="D365" s="62"/>
      <c r="E365" s="62"/>
      <c r="F365" s="62"/>
      <c r="G365" s="62"/>
      <c r="H365" s="62"/>
      <c r="I365" s="62"/>
      <c r="J365" s="62"/>
      <c r="K365" s="53"/>
      <c r="L365" s="62"/>
      <c r="M365" s="63"/>
      <c r="N365" s="63"/>
      <c r="O365" s="63"/>
      <c r="P365" s="63"/>
      <c r="Q365" s="63"/>
      <c r="R365" s="63"/>
      <c r="S365" s="63"/>
      <c r="T365" s="63"/>
      <c r="U365" s="63"/>
      <c r="V365" s="63"/>
      <c r="W365" s="63"/>
      <c r="X365" s="63"/>
      <c r="Y365" s="63"/>
      <c r="Z365" s="63"/>
      <c r="AA365" s="63"/>
      <c r="AB365" s="63"/>
      <c r="AC365" s="63"/>
    </row>
    <row r="366" spans="1:29">
      <c r="A366" s="62"/>
      <c r="B366" s="62"/>
      <c r="C366" s="62"/>
      <c r="D366" s="62"/>
      <c r="E366" s="62"/>
      <c r="F366" s="62"/>
      <c r="G366" s="62"/>
      <c r="H366" s="62"/>
      <c r="I366" s="62"/>
      <c r="J366" s="62"/>
      <c r="K366" s="53"/>
      <c r="L366" s="62"/>
      <c r="M366" s="63"/>
      <c r="N366" s="63"/>
      <c r="O366" s="63"/>
      <c r="P366" s="63"/>
      <c r="Q366" s="63"/>
      <c r="R366" s="63"/>
      <c r="S366" s="63"/>
      <c r="T366" s="63"/>
      <c r="U366" s="63"/>
      <c r="V366" s="63"/>
      <c r="W366" s="63"/>
      <c r="X366" s="63"/>
      <c r="Y366" s="63"/>
      <c r="Z366" s="63"/>
      <c r="AA366" s="63"/>
      <c r="AB366" s="63"/>
      <c r="AC366" s="63"/>
    </row>
    <row r="367" spans="1:29">
      <c r="A367" s="62"/>
      <c r="B367" s="62"/>
      <c r="C367" s="62"/>
      <c r="D367" s="62"/>
      <c r="E367" s="62"/>
      <c r="F367" s="62"/>
      <c r="G367" s="62"/>
      <c r="H367" s="62"/>
      <c r="I367" s="62"/>
      <c r="J367" s="62"/>
      <c r="K367" s="53"/>
      <c r="L367" s="62"/>
      <c r="M367" s="63"/>
      <c r="N367" s="63"/>
      <c r="O367" s="63"/>
      <c r="P367" s="63"/>
      <c r="Q367" s="63"/>
      <c r="R367" s="63"/>
      <c r="S367" s="63"/>
      <c r="T367" s="63"/>
      <c r="U367" s="63"/>
      <c r="V367" s="63"/>
      <c r="W367" s="63"/>
      <c r="X367" s="63"/>
      <c r="Y367" s="63"/>
      <c r="Z367" s="63"/>
      <c r="AA367" s="63"/>
      <c r="AB367" s="63"/>
      <c r="AC367" s="63"/>
    </row>
    <row r="368" spans="1:29">
      <c r="A368" s="62"/>
      <c r="B368" s="62"/>
      <c r="C368" s="62"/>
      <c r="D368" s="62"/>
      <c r="E368" s="62"/>
      <c r="F368" s="62"/>
      <c r="G368" s="62"/>
      <c r="H368" s="62"/>
      <c r="I368" s="62"/>
      <c r="J368" s="62"/>
      <c r="K368" s="53"/>
      <c r="L368" s="62"/>
      <c r="M368" s="63"/>
      <c r="N368" s="63"/>
      <c r="O368" s="63"/>
      <c r="P368" s="63"/>
      <c r="Q368" s="63"/>
      <c r="R368" s="63"/>
      <c r="S368" s="63"/>
      <c r="T368" s="63"/>
      <c r="U368" s="63"/>
      <c r="V368" s="63"/>
      <c r="W368" s="63"/>
      <c r="X368" s="63"/>
      <c r="Y368" s="63"/>
      <c r="Z368" s="63"/>
      <c r="AA368" s="63"/>
      <c r="AB368" s="63"/>
      <c r="AC368" s="63"/>
    </row>
    <row r="369" spans="1:29">
      <c r="A369" s="62"/>
      <c r="B369" s="62"/>
      <c r="C369" s="62"/>
      <c r="D369" s="62"/>
      <c r="E369" s="62"/>
      <c r="F369" s="62"/>
      <c r="G369" s="62"/>
      <c r="H369" s="62"/>
      <c r="I369" s="62"/>
      <c r="J369" s="62"/>
      <c r="K369" s="53"/>
      <c r="L369" s="62"/>
      <c r="M369" s="63"/>
      <c r="N369" s="63"/>
      <c r="O369" s="63"/>
      <c r="P369" s="63"/>
      <c r="Q369" s="63"/>
      <c r="R369" s="63"/>
      <c r="S369" s="63"/>
      <c r="T369" s="63"/>
      <c r="U369" s="63"/>
      <c r="V369" s="63"/>
      <c r="W369" s="63"/>
      <c r="X369" s="63"/>
      <c r="Y369" s="63"/>
      <c r="Z369" s="63"/>
      <c r="AA369" s="63"/>
      <c r="AB369" s="63"/>
      <c r="AC369" s="63"/>
    </row>
    <row r="370" spans="1:29">
      <c r="A370" s="62"/>
      <c r="B370" s="62"/>
      <c r="C370" s="62"/>
      <c r="D370" s="62"/>
      <c r="E370" s="62"/>
      <c r="F370" s="62"/>
      <c r="G370" s="62"/>
      <c r="H370" s="62"/>
      <c r="I370" s="62"/>
      <c r="J370" s="62"/>
      <c r="K370" s="53"/>
      <c r="L370" s="62"/>
      <c r="M370" s="63"/>
      <c r="N370" s="63"/>
      <c r="O370" s="63"/>
      <c r="P370" s="63"/>
      <c r="Q370" s="63"/>
      <c r="R370" s="63"/>
      <c r="S370" s="63"/>
      <c r="T370" s="63"/>
      <c r="U370" s="63"/>
      <c r="V370" s="63"/>
      <c r="W370" s="63"/>
      <c r="X370" s="63"/>
      <c r="Y370" s="63"/>
      <c r="Z370" s="63"/>
      <c r="AA370" s="63"/>
      <c r="AB370" s="63"/>
      <c r="AC370" s="63"/>
    </row>
    <row r="371" spans="1:29">
      <c r="A371" s="62"/>
      <c r="B371" s="62"/>
      <c r="C371" s="62"/>
      <c r="D371" s="62"/>
      <c r="E371" s="62"/>
      <c r="F371" s="62"/>
      <c r="G371" s="62"/>
      <c r="H371" s="62"/>
      <c r="I371" s="62"/>
      <c r="J371" s="62"/>
      <c r="K371" s="53"/>
      <c r="L371" s="62"/>
      <c r="M371" s="63"/>
      <c r="N371" s="63"/>
      <c r="O371" s="63"/>
      <c r="P371" s="63"/>
      <c r="Q371" s="63"/>
      <c r="R371" s="63"/>
      <c r="S371" s="63"/>
      <c r="T371" s="63"/>
      <c r="U371" s="63"/>
      <c r="V371" s="63"/>
      <c r="W371" s="63"/>
      <c r="X371" s="63"/>
      <c r="Y371" s="63"/>
      <c r="Z371" s="63"/>
      <c r="AA371" s="63"/>
      <c r="AB371" s="63"/>
      <c r="AC371" s="63"/>
    </row>
    <row r="372" spans="1:29">
      <c r="A372" s="62"/>
      <c r="B372" s="62"/>
      <c r="C372" s="62"/>
      <c r="D372" s="62"/>
      <c r="E372" s="62"/>
      <c r="F372" s="62"/>
      <c r="G372" s="62"/>
      <c r="H372" s="62"/>
      <c r="I372" s="62"/>
      <c r="J372" s="62"/>
      <c r="K372" s="53"/>
      <c r="L372" s="62"/>
      <c r="M372" s="63"/>
      <c r="N372" s="63"/>
      <c r="O372" s="63"/>
      <c r="P372" s="63"/>
      <c r="Q372" s="63"/>
      <c r="R372" s="63"/>
      <c r="S372" s="63"/>
      <c r="T372" s="63"/>
      <c r="U372" s="63"/>
      <c r="V372" s="63"/>
      <c r="W372" s="63"/>
      <c r="X372" s="63"/>
      <c r="Y372" s="63"/>
      <c r="Z372" s="63"/>
      <c r="AA372" s="63"/>
      <c r="AB372" s="63"/>
      <c r="AC372" s="63"/>
    </row>
    <row r="373" spans="1:29">
      <c r="A373" s="62"/>
      <c r="B373" s="62"/>
      <c r="C373" s="62"/>
      <c r="D373" s="62"/>
      <c r="E373" s="62"/>
      <c r="F373" s="62"/>
      <c r="G373" s="62"/>
      <c r="H373" s="62"/>
      <c r="I373" s="62"/>
      <c r="J373" s="62"/>
      <c r="K373" s="53"/>
      <c r="L373" s="62"/>
      <c r="M373" s="63"/>
      <c r="N373" s="63"/>
      <c r="O373" s="63"/>
      <c r="P373" s="63"/>
      <c r="Q373" s="63"/>
      <c r="R373" s="63"/>
      <c r="S373" s="63"/>
      <c r="T373" s="63"/>
      <c r="U373" s="63"/>
      <c r="V373" s="63"/>
      <c r="W373" s="63"/>
      <c r="X373" s="63"/>
      <c r="Y373" s="63"/>
      <c r="Z373" s="63"/>
      <c r="AA373" s="63"/>
      <c r="AB373" s="63"/>
      <c r="AC373" s="63"/>
    </row>
    <row r="374" spans="1:29">
      <c r="A374" s="62"/>
      <c r="B374" s="62"/>
      <c r="C374" s="62"/>
      <c r="D374" s="62"/>
      <c r="E374" s="62"/>
      <c r="F374" s="62"/>
      <c r="G374" s="62"/>
      <c r="H374" s="62"/>
      <c r="I374" s="62"/>
      <c r="J374" s="62"/>
      <c r="K374" s="53"/>
      <c r="L374" s="62"/>
      <c r="M374" s="63"/>
      <c r="N374" s="63"/>
      <c r="O374" s="63"/>
      <c r="P374" s="63"/>
      <c r="Q374" s="63"/>
      <c r="R374" s="63"/>
      <c r="S374" s="63"/>
      <c r="T374" s="63"/>
      <c r="U374" s="63"/>
      <c r="V374" s="63"/>
      <c r="W374" s="63"/>
      <c r="X374" s="63"/>
      <c r="Y374" s="63"/>
      <c r="Z374" s="63"/>
      <c r="AA374" s="63"/>
      <c r="AB374" s="63"/>
      <c r="AC374" s="63"/>
    </row>
    <row r="375" spans="1:29">
      <c r="A375" s="62"/>
      <c r="B375" s="62"/>
      <c r="C375" s="62"/>
      <c r="D375" s="62"/>
      <c r="E375" s="62"/>
      <c r="F375" s="62"/>
      <c r="G375" s="62"/>
      <c r="H375" s="62"/>
      <c r="I375" s="62"/>
      <c r="J375" s="62"/>
      <c r="K375" s="53"/>
      <c r="L375" s="62"/>
      <c r="M375" s="63"/>
      <c r="N375" s="63"/>
      <c r="O375" s="63"/>
      <c r="P375" s="63"/>
      <c r="Q375" s="63"/>
      <c r="R375" s="63"/>
      <c r="S375" s="63"/>
      <c r="T375" s="63"/>
      <c r="U375" s="63"/>
      <c r="V375" s="63"/>
      <c r="W375" s="63"/>
      <c r="X375" s="63"/>
      <c r="Y375" s="63"/>
      <c r="Z375" s="63"/>
      <c r="AA375" s="63"/>
      <c r="AB375" s="63"/>
      <c r="AC375" s="63"/>
    </row>
    <row r="376" spans="1:29">
      <c r="A376" s="62"/>
      <c r="B376" s="62"/>
      <c r="C376" s="62"/>
      <c r="D376" s="62"/>
      <c r="E376" s="62"/>
      <c r="F376" s="62"/>
      <c r="G376" s="62"/>
      <c r="H376" s="62"/>
      <c r="I376" s="62"/>
      <c r="J376" s="62"/>
      <c r="K376" s="53"/>
      <c r="L376" s="62"/>
      <c r="M376" s="63"/>
      <c r="N376" s="63"/>
      <c r="O376" s="63"/>
      <c r="P376" s="63"/>
      <c r="Q376" s="63"/>
      <c r="R376" s="63"/>
      <c r="S376" s="63"/>
      <c r="T376" s="63"/>
      <c r="U376" s="63"/>
      <c r="V376" s="63"/>
      <c r="W376" s="63"/>
      <c r="X376" s="63"/>
      <c r="Y376" s="63"/>
      <c r="Z376" s="63"/>
      <c r="AA376" s="63"/>
      <c r="AB376" s="63"/>
      <c r="AC376" s="63"/>
    </row>
    <row r="377" spans="1:29">
      <c r="A377" s="62"/>
      <c r="B377" s="62"/>
      <c r="C377" s="62"/>
      <c r="D377" s="62"/>
      <c r="E377" s="62"/>
      <c r="F377" s="62"/>
      <c r="G377" s="62"/>
      <c r="H377" s="62"/>
      <c r="I377" s="62"/>
      <c r="J377" s="62"/>
      <c r="K377" s="53"/>
      <c r="L377" s="62"/>
      <c r="M377" s="63"/>
      <c r="N377" s="63"/>
      <c r="O377" s="63"/>
      <c r="P377" s="63"/>
      <c r="Q377" s="63"/>
      <c r="R377" s="63"/>
      <c r="S377" s="63"/>
      <c r="T377" s="63"/>
      <c r="U377" s="63"/>
      <c r="V377" s="63"/>
      <c r="W377" s="63"/>
      <c r="X377" s="63"/>
      <c r="Y377" s="63"/>
      <c r="Z377" s="63"/>
      <c r="AA377" s="63"/>
      <c r="AB377" s="63"/>
      <c r="AC377" s="63"/>
    </row>
    <row r="378" spans="1:29">
      <c r="A378" s="62"/>
      <c r="B378" s="62"/>
      <c r="C378" s="62"/>
      <c r="D378" s="62"/>
      <c r="E378" s="62"/>
      <c r="F378" s="62"/>
      <c r="G378" s="62"/>
      <c r="H378" s="62"/>
      <c r="I378" s="62"/>
      <c r="J378" s="62"/>
      <c r="K378" s="53"/>
      <c r="L378" s="62"/>
      <c r="M378" s="63"/>
      <c r="N378" s="63"/>
      <c r="O378" s="63"/>
      <c r="P378" s="63"/>
      <c r="Q378" s="63"/>
      <c r="R378" s="63"/>
      <c r="S378" s="63"/>
      <c r="T378" s="63"/>
      <c r="U378" s="63"/>
      <c r="V378" s="63"/>
      <c r="W378" s="63"/>
      <c r="X378" s="63"/>
      <c r="Y378" s="63"/>
      <c r="Z378" s="63"/>
      <c r="AA378" s="63"/>
      <c r="AB378" s="63"/>
      <c r="AC378" s="63"/>
    </row>
    <row r="379" spans="1:29">
      <c r="A379" s="62"/>
      <c r="B379" s="62"/>
      <c r="C379" s="62"/>
      <c r="D379" s="62"/>
      <c r="E379" s="62"/>
      <c r="F379" s="62"/>
      <c r="G379" s="62"/>
      <c r="H379" s="62"/>
      <c r="I379" s="62"/>
      <c r="J379" s="62"/>
      <c r="K379" s="53"/>
      <c r="L379" s="62"/>
      <c r="M379" s="63"/>
      <c r="N379" s="63"/>
      <c r="O379" s="63"/>
      <c r="P379" s="63"/>
      <c r="Q379" s="63"/>
      <c r="R379" s="63"/>
      <c r="S379" s="63"/>
      <c r="T379" s="63"/>
      <c r="U379" s="63"/>
      <c r="V379" s="63"/>
      <c r="W379" s="63"/>
      <c r="X379" s="63"/>
      <c r="Y379" s="63"/>
      <c r="Z379" s="63"/>
      <c r="AA379" s="63"/>
      <c r="AB379" s="63"/>
      <c r="AC379" s="63"/>
    </row>
    <row r="380" spans="1:29">
      <c r="A380" s="62"/>
      <c r="B380" s="62"/>
      <c r="C380" s="62"/>
      <c r="D380" s="62"/>
      <c r="E380" s="62"/>
      <c r="F380" s="62"/>
      <c r="G380" s="62"/>
      <c r="H380" s="62"/>
      <c r="I380" s="62"/>
      <c r="J380" s="62"/>
      <c r="K380" s="53"/>
      <c r="L380" s="62"/>
      <c r="M380" s="63"/>
      <c r="N380" s="63"/>
      <c r="O380" s="63"/>
      <c r="P380" s="63"/>
      <c r="Q380" s="63"/>
      <c r="R380" s="63"/>
      <c r="S380" s="63"/>
      <c r="T380" s="63"/>
      <c r="U380" s="63"/>
      <c r="V380" s="63"/>
      <c r="W380" s="63"/>
      <c r="X380" s="63"/>
      <c r="Y380" s="63"/>
      <c r="Z380" s="63"/>
      <c r="AA380" s="63"/>
      <c r="AB380" s="63"/>
      <c r="AC380" s="63"/>
    </row>
    <row r="381" spans="1:29">
      <c r="A381" s="62"/>
      <c r="B381" s="62"/>
      <c r="C381" s="62"/>
      <c r="D381" s="62"/>
      <c r="E381" s="62"/>
      <c r="F381" s="62"/>
      <c r="G381" s="62"/>
      <c r="H381" s="62"/>
      <c r="I381" s="62"/>
      <c r="J381" s="62"/>
      <c r="K381" s="53"/>
      <c r="L381" s="62"/>
      <c r="M381" s="63"/>
      <c r="N381" s="63"/>
      <c r="O381" s="63"/>
      <c r="P381" s="63"/>
      <c r="Q381" s="63"/>
      <c r="R381" s="63"/>
      <c r="S381" s="63"/>
      <c r="T381" s="63"/>
      <c r="U381" s="63"/>
      <c r="V381" s="63"/>
      <c r="W381" s="63"/>
      <c r="X381" s="63"/>
      <c r="Y381" s="63"/>
      <c r="Z381" s="63"/>
      <c r="AA381" s="63"/>
      <c r="AB381" s="63"/>
      <c r="AC381" s="63"/>
    </row>
    <row r="382" spans="1:29">
      <c r="A382" s="62"/>
      <c r="B382" s="62"/>
      <c r="C382" s="62"/>
      <c r="D382" s="62"/>
      <c r="E382" s="62"/>
      <c r="F382" s="62"/>
      <c r="G382" s="62"/>
      <c r="H382" s="62"/>
      <c r="I382" s="62"/>
      <c r="J382" s="62"/>
      <c r="K382" s="53"/>
      <c r="L382" s="62"/>
      <c r="M382" s="63"/>
      <c r="N382" s="63"/>
      <c r="O382" s="63"/>
      <c r="P382" s="63"/>
      <c r="Q382" s="63"/>
      <c r="R382" s="63"/>
      <c r="S382" s="63"/>
      <c r="T382" s="63"/>
      <c r="U382" s="63"/>
      <c r="V382" s="63"/>
      <c r="W382" s="63"/>
      <c r="X382" s="63"/>
      <c r="Y382" s="63"/>
      <c r="Z382" s="63"/>
      <c r="AA382" s="63"/>
      <c r="AB382" s="63"/>
      <c r="AC382" s="63"/>
    </row>
    <row r="383" spans="1:29">
      <c r="A383" s="62"/>
      <c r="B383" s="62"/>
      <c r="C383" s="62"/>
      <c r="D383" s="62"/>
      <c r="E383" s="62"/>
      <c r="F383" s="62"/>
      <c r="G383" s="62"/>
      <c r="H383" s="62"/>
      <c r="I383" s="62"/>
      <c r="J383" s="62"/>
      <c r="K383" s="53"/>
      <c r="L383" s="62"/>
      <c r="M383" s="63"/>
      <c r="N383" s="63"/>
      <c r="O383" s="63"/>
      <c r="P383" s="63"/>
      <c r="Q383" s="63"/>
      <c r="R383" s="63"/>
      <c r="S383" s="63"/>
      <c r="T383" s="63"/>
      <c r="U383" s="63"/>
      <c r="V383" s="63"/>
      <c r="W383" s="63"/>
      <c r="X383" s="63"/>
      <c r="Y383" s="63"/>
      <c r="Z383" s="63"/>
      <c r="AA383" s="63"/>
      <c r="AB383" s="63"/>
      <c r="AC383" s="63"/>
    </row>
    <row r="384" spans="1:29">
      <c r="A384" s="62"/>
      <c r="B384" s="62"/>
      <c r="C384" s="62"/>
      <c r="D384" s="62"/>
      <c r="E384" s="62"/>
      <c r="F384" s="62"/>
      <c r="G384" s="62"/>
      <c r="H384" s="62"/>
      <c r="I384" s="62"/>
      <c r="J384" s="62"/>
      <c r="K384" s="53"/>
      <c r="L384" s="62"/>
      <c r="M384" s="63"/>
      <c r="N384" s="63"/>
      <c r="O384" s="63"/>
      <c r="P384" s="63"/>
      <c r="Q384" s="63"/>
      <c r="R384" s="63"/>
      <c r="S384" s="63"/>
      <c r="T384" s="63"/>
      <c r="U384" s="63"/>
      <c r="V384" s="63"/>
      <c r="W384" s="63"/>
      <c r="X384" s="63"/>
      <c r="Y384" s="63"/>
      <c r="Z384" s="63"/>
      <c r="AA384" s="63"/>
      <c r="AB384" s="63"/>
      <c r="AC384" s="63"/>
    </row>
    <row r="385" spans="1:29">
      <c r="A385" s="62"/>
      <c r="B385" s="62"/>
      <c r="C385" s="62"/>
      <c r="D385" s="62"/>
      <c r="E385" s="62"/>
      <c r="F385" s="62"/>
      <c r="G385" s="62"/>
      <c r="H385" s="62"/>
      <c r="I385" s="62"/>
      <c r="J385" s="62"/>
      <c r="K385" s="53"/>
      <c r="L385" s="62"/>
      <c r="M385" s="63"/>
      <c r="N385" s="63"/>
      <c r="O385" s="63"/>
      <c r="P385" s="63"/>
      <c r="Q385" s="63"/>
      <c r="R385" s="63"/>
      <c r="S385" s="63"/>
      <c r="T385" s="63"/>
      <c r="U385" s="63"/>
      <c r="V385" s="63"/>
      <c r="W385" s="63"/>
      <c r="X385" s="63"/>
      <c r="Y385" s="63"/>
      <c r="Z385" s="63"/>
      <c r="AA385" s="63"/>
      <c r="AB385" s="63"/>
      <c r="AC385" s="63"/>
    </row>
    <row r="386" spans="1:29">
      <c r="A386" s="62"/>
      <c r="B386" s="62"/>
      <c r="C386" s="62"/>
      <c r="D386" s="62"/>
      <c r="E386" s="62"/>
      <c r="F386" s="62"/>
      <c r="G386" s="62"/>
      <c r="H386" s="62"/>
      <c r="I386" s="62"/>
      <c r="J386" s="62"/>
      <c r="K386" s="53"/>
      <c r="L386" s="62"/>
      <c r="M386" s="63"/>
      <c r="N386" s="63"/>
      <c r="O386" s="63"/>
      <c r="P386" s="63"/>
      <c r="Q386" s="63"/>
      <c r="R386" s="63"/>
      <c r="S386" s="63"/>
      <c r="T386" s="63"/>
      <c r="U386" s="63"/>
      <c r="V386" s="63"/>
      <c r="W386" s="63"/>
      <c r="X386" s="63"/>
      <c r="Y386" s="63"/>
      <c r="Z386" s="63"/>
      <c r="AA386" s="63"/>
      <c r="AB386" s="63"/>
      <c r="AC386" s="63"/>
    </row>
    <row r="387" spans="1:29">
      <c r="A387" s="62"/>
      <c r="B387" s="62"/>
      <c r="C387" s="62"/>
      <c r="D387" s="62"/>
      <c r="E387" s="62"/>
      <c r="F387" s="62"/>
      <c r="G387" s="62"/>
      <c r="H387" s="62"/>
      <c r="I387" s="62"/>
      <c r="J387" s="62"/>
      <c r="K387" s="53"/>
      <c r="L387" s="62"/>
      <c r="M387" s="63"/>
      <c r="N387" s="63"/>
      <c r="O387" s="63"/>
      <c r="P387" s="63"/>
      <c r="Q387" s="63"/>
      <c r="R387" s="63"/>
      <c r="S387" s="63"/>
      <c r="T387" s="63"/>
      <c r="U387" s="63"/>
      <c r="V387" s="63"/>
      <c r="W387" s="63"/>
      <c r="X387" s="63"/>
      <c r="Y387" s="63"/>
      <c r="Z387" s="63"/>
      <c r="AA387" s="63"/>
      <c r="AB387" s="63"/>
      <c r="AC387" s="63"/>
    </row>
    <row r="388" spans="1:29">
      <c r="A388" s="62"/>
      <c r="B388" s="62"/>
      <c r="C388" s="62"/>
      <c r="D388" s="62"/>
      <c r="E388" s="62"/>
      <c r="F388" s="62"/>
      <c r="G388" s="62"/>
      <c r="H388" s="62"/>
      <c r="I388" s="62"/>
      <c r="J388" s="62"/>
      <c r="K388" s="53"/>
      <c r="L388" s="62"/>
      <c r="M388" s="63"/>
      <c r="N388" s="63"/>
      <c r="O388" s="63"/>
      <c r="P388" s="63"/>
      <c r="Q388" s="63"/>
      <c r="R388" s="63"/>
      <c r="S388" s="63"/>
      <c r="T388" s="63"/>
      <c r="U388" s="63"/>
      <c r="V388" s="63"/>
      <c r="W388" s="63"/>
      <c r="X388" s="63"/>
      <c r="Y388" s="63"/>
      <c r="Z388" s="63"/>
      <c r="AA388" s="63"/>
      <c r="AB388" s="63"/>
      <c r="AC388" s="63"/>
    </row>
    <row r="389" spans="1:29">
      <c r="A389" s="62"/>
      <c r="B389" s="62"/>
      <c r="C389" s="62"/>
      <c r="D389" s="62"/>
      <c r="E389" s="62"/>
      <c r="F389" s="62"/>
      <c r="G389" s="62"/>
      <c r="H389" s="62"/>
      <c r="I389" s="62"/>
      <c r="J389" s="62"/>
      <c r="K389" s="53"/>
      <c r="L389" s="62"/>
      <c r="M389" s="63"/>
      <c r="N389" s="63"/>
      <c r="O389" s="63"/>
      <c r="P389" s="63"/>
      <c r="Q389" s="63"/>
      <c r="R389" s="63"/>
      <c r="S389" s="63"/>
      <c r="T389" s="63"/>
      <c r="U389" s="63"/>
      <c r="V389" s="63"/>
      <c r="W389" s="63"/>
      <c r="X389" s="63"/>
      <c r="Y389" s="63"/>
      <c r="Z389" s="63"/>
      <c r="AA389" s="63"/>
      <c r="AB389" s="63"/>
      <c r="AC389" s="63"/>
    </row>
    <row r="390" spans="1:29">
      <c r="A390" s="62"/>
      <c r="B390" s="62"/>
      <c r="C390" s="62"/>
      <c r="D390" s="62"/>
      <c r="E390" s="62"/>
      <c r="F390" s="62"/>
      <c r="G390" s="62"/>
      <c r="H390" s="62"/>
      <c r="I390" s="62"/>
      <c r="J390" s="62"/>
      <c r="K390" s="53"/>
      <c r="L390" s="62"/>
      <c r="M390" s="63"/>
      <c r="N390" s="63"/>
      <c r="O390" s="63"/>
      <c r="P390" s="63"/>
      <c r="Q390" s="63"/>
      <c r="R390" s="63"/>
      <c r="S390" s="63"/>
      <c r="T390" s="63"/>
      <c r="U390" s="63"/>
      <c r="V390" s="63"/>
      <c r="W390" s="63"/>
      <c r="X390" s="63"/>
      <c r="Y390" s="63"/>
      <c r="Z390" s="63"/>
      <c r="AA390" s="63"/>
      <c r="AB390" s="63"/>
      <c r="AC390" s="63"/>
    </row>
    <row r="391" spans="1:29">
      <c r="A391" s="62"/>
      <c r="B391" s="62"/>
      <c r="C391" s="62"/>
      <c r="D391" s="62"/>
      <c r="E391" s="62"/>
      <c r="F391" s="62"/>
      <c r="G391" s="62"/>
      <c r="H391" s="62"/>
      <c r="I391" s="62"/>
      <c r="J391" s="62"/>
      <c r="K391" s="53"/>
      <c r="L391" s="62"/>
      <c r="M391" s="63"/>
      <c r="N391" s="63"/>
      <c r="O391" s="63"/>
      <c r="P391" s="63"/>
      <c r="Q391" s="63"/>
      <c r="R391" s="63"/>
      <c r="S391" s="63"/>
      <c r="T391" s="63"/>
      <c r="U391" s="63"/>
      <c r="V391" s="63"/>
      <c r="W391" s="63"/>
      <c r="X391" s="63"/>
      <c r="Y391" s="63"/>
      <c r="Z391" s="63"/>
      <c r="AA391" s="63"/>
      <c r="AB391" s="63"/>
      <c r="AC391" s="63"/>
    </row>
    <row r="392" spans="1:29">
      <c r="A392" s="62"/>
      <c r="B392" s="62"/>
      <c r="C392" s="62"/>
      <c r="D392" s="62"/>
      <c r="E392" s="62"/>
      <c r="F392" s="62"/>
      <c r="G392" s="62"/>
      <c r="H392" s="62"/>
      <c r="I392" s="62"/>
      <c r="J392" s="62"/>
      <c r="K392" s="53"/>
      <c r="L392" s="62"/>
      <c r="M392" s="63"/>
      <c r="N392" s="63"/>
      <c r="O392" s="63"/>
      <c r="P392" s="63"/>
      <c r="Q392" s="63"/>
      <c r="R392" s="63"/>
      <c r="S392" s="63"/>
      <c r="T392" s="63"/>
      <c r="U392" s="63"/>
      <c r="V392" s="63"/>
      <c r="W392" s="63"/>
      <c r="X392" s="63"/>
      <c r="Y392" s="63"/>
      <c r="Z392" s="63"/>
      <c r="AA392" s="63"/>
      <c r="AB392" s="63"/>
      <c r="AC392" s="63"/>
    </row>
    <row r="393" spans="1:29">
      <c r="A393" s="62"/>
      <c r="B393" s="62"/>
      <c r="C393" s="62"/>
      <c r="D393" s="62"/>
      <c r="E393" s="62"/>
      <c r="F393" s="62"/>
      <c r="G393" s="62"/>
      <c r="H393" s="62"/>
      <c r="I393" s="62"/>
      <c r="J393" s="62"/>
      <c r="K393" s="53"/>
      <c r="L393" s="62"/>
      <c r="M393" s="63"/>
      <c r="N393" s="63"/>
      <c r="O393" s="63"/>
      <c r="P393" s="63"/>
      <c r="Q393" s="63"/>
      <c r="R393" s="63"/>
      <c r="S393" s="63"/>
      <c r="T393" s="63"/>
      <c r="U393" s="63"/>
      <c r="V393" s="63"/>
      <c r="W393" s="63"/>
      <c r="X393" s="63"/>
      <c r="Y393" s="63"/>
      <c r="Z393" s="63"/>
      <c r="AA393" s="63"/>
      <c r="AB393" s="63"/>
      <c r="AC393" s="63"/>
    </row>
    <row r="394" spans="1:29">
      <c r="A394" s="62"/>
      <c r="B394" s="62"/>
      <c r="C394" s="62"/>
      <c r="D394" s="62"/>
      <c r="E394" s="62"/>
      <c r="F394" s="62"/>
      <c r="G394" s="62"/>
      <c r="H394" s="62"/>
      <c r="I394" s="62"/>
      <c r="J394" s="62"/>
      <c r="K394" s="53"/>
      <c r="L394" s="62"/>
      <c r="M394" s="63"/>
      <c r="N394" s="63"/>
      <c r="O394" s="63"/>
      <c r="P394" s="63"/>
      <c r="Q394" s="63"/>
      <c r="R394" s="63"/>
      <c r="S394" s="63"/>
      <c r="T394" s="63"/>
      <c r="U394" s="63"/>
      <c r="V394" s="63"/>
      <c r="W394" s="63"/>
      <c r="X394" s="63"/>
      <c r="Y394" s="63"/>
      <c r="Z394" s="63"/>
      <c r="AA394" s="63"/>
      <c r="AB394" s="63"/>
      <c r="AC394" s="63"/>
    </row>
    <row r="395" spans="1:29">
      <c r="A395" s="62"/>
      <c r="B395" s="62"/>
      <c r="C395" s="62"/>
      <c r="D395" s="62"/>
      <c r="E395" s="62"/>
      <c r="F395" s="62"/>
      <c r="G395" s="62"/>
      <c r="H395" s="62"/>
      <c r="I395" s="62"/>
      <c r="J395" s="62"/>
      <c r="K395" s="53"/>
      <c r="L395" s="62"/>
      <c r="M395" s="63"/>
      <c r="N395" s="63"/>
      <c r="O395" s="63"/>
      <c r="P395" s="63"/>
      <c r="Q395" s="63"/>
      <c r="R395" s="63"/>
      <c r="S395" s="63"/>
      <c r="T395" s="63"/>
      <c r="U395" s="63"/>
      <c r="V395" s="63"/>
      <c r="W395" s="63"/>
      <c r="X395" s="63"/>
      <c r="Y395" s="63"/>
      <c r="Z395" s="63"/>
      <c r="AA395" s="63"/>
      <c r="AB395" s="63"/>
      <c r="AC395" s="63"/>
    </row>
    <row r="396" spans="1:29">
      <c r="A396" s="62"/>
      <c r="B396" s="62"/>
      <c r="C396" s="62"/>
      <c r="D396" s="62"/>
      <c r="E396" s="62"/>
      <c r="F396" s="62"/>
      <c r="G396" s="62"/>
      <c r="H396" s="62"/>
      <c r="I396" s="62"/>
      <c r="J396" s="62"/>
      <c r="K396" s="53"/>
      <c r="L396" s="62"/>
      <c r="M396" s="63"/>
      <c r="N396" s="63"/>
      <c r="O396" s="63"/>
      <c r="P396" s="63"/>
      <c r="Q396" s="63"/>
      <c r="R396" s="63"/>
      <c r="S396" s="63"/>
      <c r="T396" s="63"/>
      <c r="U396" s="63"/>
      <c r="V396" s="63"/>
      <c r="W396" s="63"/>
      <c r="X396" s="63"/>
      <c r="Y396" s="63"/>
      <c r="Z396" s="63"/>
      <c r="AA396" s="63"/>
      <c r="AB396" s="63"/>
      <c r="AC396" s="63"/>
    </row>
    <row r="397" spans="1:29">
      <c r="A397" s="62"/>
      <c r="B397" s="62"/>
      <c r="C397" s="62"/>
      <c r="D397" s="62"/>
      <c r="E397" s="62"/>
      <c r="F397" s="62"/>
      <c r="G397" s="62"/>
      <c r="H397" s="62"/>
      <c r="I397" s="62"/>
      <c r="J397" s="62"/>
      <c r="K397" s="53"/>
      <c r="L397" s="62"/>
      <c r="M397" s="63"/>
      <c r="N397" s="63"/>
      <c r="O397" s="63"/>
      <c r="P397" s="63"/>
      <c r="Q397" s="63"/>
      <c r="R397" s="63"/>
      <c r="S397" s="63"/>
      <c r="T397" s="63"/>
      <c r="U397" s="63"/>
      <c r="V397" s="63"/>
      <c r="W397" s="63"/>
      <c r="X397" s="63"/>
      <c r="Y397" s="63"/>
      <c r="Z397" s="63"/>
      <c r="AA397" s="63"/>
      <c r="AB397" s="63"/>
      <c r="AC397" s="63"/>
    </row>
    <row r="398" spans="1:29">
      <c r="A398" s="62"/>
      <c r="B398" s="62"/>
      <c r="C398" s="62"/>
      <c r="D398" s="62"/>
      <c r="E398" s="62"/>
      <c r="F398" s="62"/>
      <c r="G398" s="62"/>
      <c r="H398" s="62"/>
      <c r="I398" s="62"/>
      <c r="J398" s="62"/>
      <c r="K398" s="53"/>
      <c r="L398" s="62"/>
      <c r="M398" s="63"/>
      <c r="N398" s="63"/>
      <c r="O398" s="63"/>
      <c r="P398" s="63"/>
      <c r="Q398" s="63"/>
      <c r="R398" s="63"/>
      <c r="S398" s="63"/>
      <c r="T398" s="63"/>
      <c r="U398" s="63"/>
      <c r="V398" s="63"/>
      <c r="W398" s="63"/>
      <c r="X398" s="63"/>
      <c r="Y398" s="63"/>
      <c r="Z398" s="63"/>
      <c r="AA398" s="63"/>
      <c r="AB398" s="63"/>
      <c r="AC398" s="63"/>
    </row>
    <row r="399" spans="1:29">
      <c r="A399" s="62"/>
      <c r="B399" s="62"/>
      <c r="C399" s="62"/>
      <c r="D399" s="62"/>
      <c r="E399" s="62"/>
      <c r="F399" s="62"/>
      <c r="G399" s="62"/>
      <c r="H399" s="62"/>
      <c r="I399" s="62"/>
      <c r="J399" s="62"/>
      <c r="K399" s="53"/>
      <c r="L399" s="62"/>
      <c r="M399" s="63"/>
      <c r="N399" s="63"/>
      <c r="O399" s="63"/>
      <c r="P399" s="63"/>
      <c r="Q399" s="63"/>
      <c r="R399" s="63"/>
      <c r="S399" s="63"/>
      <c r="T399" s="63"/>
      <c r="U399" s="63"/>
      <c r="V399" s="63"/>
      <c r="W399" s="63"/>
      <c r="X399" s="63"/>
      <c r="Y399" s="63"/>
      <c r="Z399" s="63"/>
      <c r="AA399" s="63"/>
      <c r="AB399" s="63"/>
      <c r="AC399" s="63"/>
    </row>
    <row r="400" spans="1:29">
      <c r="A400" s="62"/>
      <c r="B400" s="62"/>
      <c r="C400" s="62"/>
      <c r="D400" s="62"/>
      <c r="E400" s="62"/>
      <c r="F400" s="62"/>
      <c r="G400" s="62"/>
      <c r="H400" s="62"/>
      <c r="I400" s="62"/>
      <c r="J400" s="62"/>
      <c r="K400" s="53"/>
      <c r="L400" s="62"/>
      <c r="M400" s="63"/>
      <c r="N400" s="63"/>
      <c r="O400" s="63"/>
      <c r="P400" s="63"/>
      <c r="Q400" s="63"/>
      <c r="R400" s="63"/>
      <c r="S400" s="63"/>
      <c r="T400" s="63"/>
      <c r="U400" s="63"/>
      <c r="V400" s="63"/>
      <c r="W400" s="63"/>
      <c r="X400" s="63"/>
      <c r="Y400" s="63"/>
      <c r="Z400" s="63"/>
      <c r="AA400" s="63"/>
      <c r="AB400" s="63"/>
      <c r="AC400" s="63"/>
    </row>
    <row r="401" spans="1:29">
      <c r="A401" s="62"/>
      <c r="B401" s="62"/>
      <c r="C401" s="62"/>
      <c r="D401" s="62"/>
      <c r="E401" s="62"/>
      <c r="F401" s="62"/>
      <c r="G401" s="62"/>
      <c r="H401" s="62"/>
      <c r="I401" s="62"/>
      <c r="J401" s="62"/>
      <c r="K401" s="53"/>
      <c r="L401" s="62"/>
      <c r="M401" s="63"/>
      <c r="N401" s="63"/>
      <c r="O401" s="63"/>
      <c r="P401" s="63"/>
      <c r="Q401" s="63"/>
      <c r="R401" s="63"/>
      <c r="S401" s="63"/>
      <c r="T401" s="63"/>
      <c r="U401" s="63"/>
      <c r="V401" s="63"/>
      <c r="W401" s="63"/>
      <c r="X401" s="63"/>
      <c r="Y401" s="63"/>
      <c r="Z401" s="63"/>
      <c r="AA401" s="63"/>
      <c r="AB401" s="63"/>
      <c r="AC401" s="63"/>
    </row>
    <row r="402" spans="1:29">
      <c r="A402" s="62"/>
      <c r="B402" s="62"/>
      <c r="C402" s="62"/>
      <c r="D402" s="62"/>
      <c r="E402" s="62"/>
      <c r="F402" s="62"/>
      <c r="G402" s="62"/>
      <c r="H402" s="62"/>
      <c r="I402" s="62"/>
      <c r="J402" s="62"/>
      <c r="K402" s="53"/>
      <c r="L402" s="62"/>
      <c r="M402" s="63"/>
      <c r="N402" s="63"/>
      <c r="O402" s="63"/>
      <c r="P402" s="63"/>
      <c r="Q402" s="63"/>
      <c r="R402" s="63"/>
      <c r="S402" s="63"/>
      <c r="T402" s="63"/>
      <c r="U402" s="63"/>
      <c r="V402" s="63"/>
      <c r="W402" s="63"/>
      <c r="X402" s="63"/>
      <c r="Y402" s="63"/>
      <c r="Z402" s="63"/>
      <c r="AA402" s="63"/>
      <c r="AB402" s="63"/>
      <c r="AC402" s="63"/>
    </row>
    <row r="403" spans="1:29">
      <c r="A403" s="62"/>
      <c r="B403" s="62"/>
      <c r="C403" s="62"/>
      <c r="D403" s="62"/>
      <c r="E403" s="62"/>
      <c r="F403" s="62"/>
      <c r="G403" s="62"/>
      <c r="H403" s="62"/>
      <c r="I403" s="62"/>
      <c r="J403" s="62"/>
      <c r="K403" s="53"/>
      <c r="L403" s="62"/>
      <c r="M403" s="63"/>
      <c r="N403" s="63"/>
      <c r="O403" s="63"/>
      <c r="P403" s="63"/>
      <c r="Q403" s="63"/>
      <c r="R403" s="63"/>
      <c r="S403" s="63"/>
      <c r="T403" s="63"/>
      <c r="U403" s="63"/>
      <c r="V403" s="63"/>
      <c r="W403" s="63"/>
      <c r="X403" s="63"/>
      <c r="Y403" s="63"/>
      <c r="Z403" s="63"/>
      <c r="AA403" s="63"/>
      <c r="AB403" s="63"/>
      <c r="AC403" s="63"/>
    </row>
    <row r="404" spans="1:29">
      <c r="A404" s="62"/>
      <c r="B404" s="62"/>
      <c r="C404" s="62"/>
      <c r="D404" s="62"/>
      <c r="E404" s="62"/>
      <c r="F404" s="62"/>
      <c r="G404" s="62"/>
      <c r="H404" s="62"/>
      <c r="I404" s="62"/>
      <c r="J404" s="62"/>
      <c r="K404" s="53"/>
      <c r="L404" s="62"/>
      <c r="M404" s="63"/>
      <c r="N404" s="63"/>
      <c r="O404" s="63"/>
      <c r="P404" s="63"/>
      <c r="Q404" s="63"/>
      <c r="R404" s="63"/>
      <c r="S404" s="63"/>
      <c r="T404" s="63"/>
      <c r="U404" s="63"/>
      <c r="V404" s="63"/>
      <c r="W404" s="63"/>
      <c r="X404" s="63"/>
      <c r="Y404" s="63"/>
      <c r="Z404" s="63"/>
      <c r="AA404" s="63"/>
      <c r="AB404" s="63"/>
      <c r="AC404" s="63"/>
    </row>
    <row r="405" spans="1:29">
      <c r="A405" s="62"/>
      <c r="B405" s="62"/>
      <c r="C405" s="62"/>
      <c r="D405" s="62"/>
      <c r="E405" s="62"/>
      <c r="F405" s="62"/>
      <c r="G405" s="62"/>
      <c r="H405" s="62"/>
      <c r="I405" s="62"/>
      <c r="J405" s="62"/>
      <c r="K405" s="53"/>
      <c r="L405" s="62"/>
      <c r="M405" s="63"/>
      <c r="N405" s="63"/>
      <c r="O405" s="63"/>
      <c r="P405" s="63"/>
      <c r="Q405" s="63"/>
      <c r="R405" s="63"/>
      <c r="S405" s="63"/>
      <c r="T405" s="63"/>
      <c r="U405" s="63"/>
      <c r="V405" s="63"/>
      <c r="W405" s="63"/>
      <c r="X405" s="63"/>
      <c r="Y405" s="63"/>
      <c r="Z405" s="63"/>
      <c r="AA405" s="63"/>
      <c r="AB405" s="63"/>
      <c r="AC405" s="63"/>
    </row>
    <row r="406" spans="1:29">
      <c r="A406" s="62"/>
      <c r="B406" s="62"/>
      <c r="C406" s="62"/>
      <c r="D406" s="62"/>
      <c r="E406" s="62"/>
      <c r="F406" s="62"/>
      <c r="G406" s="62"/>
      <c r="H406" s="62"/>
      <c r="I406" s="62"/>
      <c r="J406" s="62"/>
      <c r="K406" s="53"/>
      <c r="L406" s="62"/>
      <c r="M406" s="63"/>
      <c r="N406" s="63"/>
      <c r="O406" s="63"/>
      <c r="P406" s="63"/>
      <c r="Q406" s="63"/>
      <c r="R406" s="63"/>
      <c r="S406" s="63"/>
      <c r="T406" s="63"/>
      <c r="U406" s="63"/>
      <c r="V406" s="63"/>
      <c r="W406" s="63"/>
      <c r="X406" s="63"/>
      <c r="Y406" s="63"/>
      <c r="Z406" s="63"/>
      <c r="AA406" s="63"/>
      <c r="AB406" s="63"/>
      <c r="AC406" s="63"/>
    </row>
    <row r="407" spans="1:29">
      <c r="A407" s="62"/>
      <c r="B407" s="62"/>
      <c r="C407" s="62"/>
      <c r="D407" s="62"/>
      <c r="E407" s="62"/>
      <c r="F407" s="62"/>
      <c r="G407" s="62"/>
      <c r="H407" s="62"/>
      <c r="I407" s="62"/>
      <c r="J407" s="62"/>
      <c r="K407" s="53"/>
      <c r="L407" s="62"/>
      <c r="M407" s="63"/>
      <c r="N407" s="63"/>
      <c r="O407" s="63"/>
      <c r="P407" s="63"/>
      <c r="Q407" s="63"/>
      <c r="R407" s="63"/>
      <c r="S407" s="63"/>
      <c r="T407" s="63"/>
      <c r="U407" s="63"/>
      <c r="V407" s="63"/>
      <c r="W407" s="63"/>
      <c r="X407" s="63"/>
      <c r="Y407" s="63"/>
      <c r="Z407" s="63"/>
      <c r="AA407" s="63"/>
      <c r="AB407" s="63"/>
      <c r="AC407" s="63"/>
    </row>
    <row r="408" spans="1:29">
      <c r="A408" s="62"/>
      <c r="B408" s="62"/>
      <c r="C408" s="62"/>
      <c r="D408" s="62"/>
      <c r="E408" s="62"/>
      <c r="F408" s="62"/>
      <c r="G408" s="62"/>
      <c r="H408" s="62"/>
      <c r="I408" s="62"/>
      <c r="J408" s="62"/>
      <c r="K408" s="53"/>
      <c r="L408" s="62"/>
      <c r="M408" s="63"/>
      <c r="N408" s="63"/>
      <c r="O408" s="63"/>
      <c r="P408" s="63"/>
      <c r="Q408" s="63"/>
      <c r="R408" s="63"/>
      <c r="S408" s="63"/>
      <c r="T408" s="63"/>
      <c r="U408" s="63"/>
      <c r="V408" s="63"/>
      <c r="W408" s="63"/>
      <c r="X408" s="63"/>
      <c r="Y408" s="63"/>
      <c r="Z408" s="63"/>
      <c r="AA408" s="63"/>
      <c r="AB408" s="63"/>
      <c r="AC408" s="63"/>
    </row>
    <row r="409" spans="1:29">
      <c r="A409" s="62"/>
      <c r="B409" s="62"/>
      <c r="C409" s="62"/>
      <c r="D409" s="62"/>
      <c r="E409" s="62"/>
      <c r="F409" s="62"/>
      <c r="G409" s="62"/>
      <c r="H409" s="62"/>
      <c r="I409" s="62"/>
      <c r="J409" s="62"/>
      <c r="K409" s="53"/>
      <c r="L409" s="62"/>
      <c r="M409" s="63"/>
      <c r="N409" s="63"/>
      <c r="O409" s="63"/>
      <c r="P409" s="63"/>
      <c r="Q409" s="63"/>
      <c r="R409" s="63"/>
      <c r="S409" s="63"/>
      <c r="T409" s="63"/>
      <c r="U409" s="63"/>
      <c r="V409" s="63"/>
      <c r="W409" s="63"/>
      <c r="X409" s="63"/>
      <c r="Y409" s="63"/>
      <c r="Z409" s="63"/>
      <c r="AA409" s="63"/>
      <c r="AB409" s="63"/>
      <c r="AC409" s="63"/>
    </row>
    <row r="410" spans="1:29">
      <c r="A410" s="62"/>
      <c r="B410" s="62"/>
      <c r="C410" s="62"/>
      <c r="D410" s="62"/>
      <c r="E410" s="62"/>
      <c r="F410" s="62"/>
      <c r="G410" s="62"/>
      <c r="H410" s="62"/>
      <c r="I410" s="62"/>
      <c r="J410" s="62"/>
      <c r="K410" s="53"/>
      <c r="L410" s="62"/>
      <c r="M410" s="63"/>
      <c r="N410" s="63"/>
      <c r="O410" s="63"/>
      <c r="P410" s="63"/>
      <c r="Q410" s="63"/>
      <c r="R410" s="63"/>
      <c r="S410" s="63"/>
      <c r="T410" s="63"/>
      <c r="U410" s="63"/>
      <c r="V410" s="63"/>
      <c r="W410" s="63"/>
      <c r="X410" s="63"/>
      <c r="Y410" s="63"/>
      <c r="Z410" s="63"/>
      <c r="AA410" s="63"/>
      <c r="AB410" s="63"/>
      <c r="AC410" s="63"/>
    </row>
    <row r="411" spans="1:29">
      <c r="A411" s="62"/>
      <c r="B411" s="62"/>
      <c r="C411" s="62"/>
      <c r="D411" s="62"/>
      <c r="E411" s="62"/>
      <c r="F411" s="62"/>
      <c r="G411" s="62"/>
      <c r="H411" s="62"/>
      <c r="I411" s="62"/>
      <c r="J411" s="62"/>
      <c r="K411" s="53"/>
      <c r="L411" s="62"/>
      <c r="M411" s="63"/>
      <c r="N411" s="63"/>
      <c r="O411" s="63"/>
      <c r="P411" s="63"/>
      <c r="Q411" s="63"/>
      <c r="R411" s="63"/>
      <c r="S411" s="63"/>
      <c r="T411" s="63"/>
      <c r="U411" s="63"/>
      <c r="V411" s="63"/>
      <c r="W411" s="63"/>
      <c r="X411" s="63"/>
      <c r="Y411" s="63"/>
      <c r="Z411" s="63"/>
      <c r="AA411" s="63"/>
      <c r="AB411" s="63"/>
      <c r="AC411" s="63"/>
    </row>
    <row r="412" spans="1:29">
      <c r="A412" s="62"/>
      <c r="B412" s="62"/>
      <c r="C412" s="62"/>
      <c r="D412" s="62"/>
      <c r="E412" s="62"/>
      <c r="F412" s="62"/>
      <c r="G412" s="62"/>
      <c r="H412" s="62"/>
      <c r="I412" s="62"/>
      <c r="J412" s="62"/>
      <c r="K412" s="53"/>
      <c r="L412" s="62"/>
      <c r="M412" s="63"/>
      <c r="N412" s="63"/>
      <c r="O412" s="63"/>
      <c r="P412" s="63"/>
      <c r="Q412" s="63"/>
      <c r="R412" s="63"/>
      <c r="S412" s="63"/>
      <c r="T412" s="63"/>
      <c r="U412" s="63"/>
      <c r="V412" s="63"/>
      <c r="W412" s="63"/>
      <c r="X412" s="63"/>
      <c r="Y412" s="63"/>
      <c r="Z412" s="63"/>
      <c r="AA412" s="63"/>
      <c r="AB412" s="63"/>
      <c r="AC412" s="63"/>
    </row>
    <row r="413" spans="1:29">
      <c r="A413" s="62"/>
      <c r="B413" s="62"/>
      <c r="C413" s="62"/>
      <c r="D413" s="62"/>
      <c r="E413" s="62"/>
      <c r="F413" s="62"/>
      <c r="G413" s="62"/>
      <c r="H413" s="62"/>
      <c r="I413" s="62"/>
      <c r="J413" s="62"/>
      <c r="K413" s="53"/>
      <c r="L413" s="62"/>
      <c r="M413" s="63"/>
      <c r="N413" s="63"/>
      <c r="O413" s="63"/>
      <c r="P413" s="63"/>
      <c r="Q413" s="63"/>
      <c r="R413" s="63"/>
      <c r="S413" s="63"/>
      <c r="T413" s="63"/>
      <c r="U413" s="63"/>
      <c r="V413" s="63"/>
      <c r="W413" s="63"/>
      <c r="X413" s="63"/>
      <c r="Y413" s="63"/>
      <c r="Z413" s="63"/>
      <c r="AA413" s="63"/>
      <c r="AB413" s="63"/>
      <c r="AC413" s="63"/>
    </row>
    <row r="414" spans="1:29">
      <c r="A414" s="62"/>
      <c r="B414" s="62"/>
      <c r="C414" s="62"/>
      <c r="D414" s="62"/>
      <c r="E414" s="62"/>
      <c r="F414" s="62"/>
      <c r="G414" s="62"/>
      <c r="H414" s="62"/>
      <c r="I414" s="62"/>
      <c r="J414" s="62"/>
      <c r="K414" s="53"/>
      <c r="L414" s="62"/>
      <c r="M414" s="63"/>
      <c r="N414" s="63"/>
      <c r="O414" s="63"/>
      <c r="P414" s="63"/>
      <c r="Q414" s="63"/>
      <c r="R414" s="63"/>
      <c r="S414" s="63"/>
      <c r="T414" s="63"/>
      <c r="U414" s="63"/>
      <c r="V414" s="63"/>
      <c r="W414" s="63"/>
      <c r="X414" s="63"/>
      <c r="Y414" s="63"/>
      <c r="Z414" s="63"/>
      <c r="AA414" s="63"/>
      <c r="AB414" s="63"/>
      <c r="AC414" s="63"/>
    </row>
    <row r="415" spans="1:29">
      <c r="A415" s="62"/>
      <c r="B415" s="62"/>
      <c r="C415" s="62"/>
      <c r="D415" s="62"/>
      <c r="E415" s="62"/>
      <c r="F415" s="62"/>
      <c r="G415" s="62"/>
      <c r="H415" s="62"/>
      <c r="I415" s="62"/>
      <c r="J415" s="62"/>
      <c r="K415" s="53"/>
      <c r="L415" s="62"/>
      <c r="M415" s="63"/>
      <c r="N415" s="63"/>
      <c r="O415" s="63"/>
      <c r="P415" s="63"/>
      <c r="Q415" s="63"/>
      <c r="R415" s="63"/>
      <c r="S415" s="63"/>
      <c r="T415" s="63"/>
      <c r="U415" s="63"/>
      <c r="V415" s="63"/>
      <c r="W415" s="63"/>
      <c r="X415" s="63"/>
      <c r="Y415" s="63"/>
      <c r="Z415" s="63"/>
      <c r="AA415" s="63"/>
      <c r="AB415" s="63"/>
      <c r="AC415" s="63"/>
    </row>
    <row r="416" spans="1:29">
      <c r="A416" s="62"/>
      <c r="B416" s="62"/>
      <c r="C416" s="62"/>
      <c r="D416" s="62"/>
      <c r="E416" s="62"/>
      <c r="F416" s="62"/>
      <c r="G416" s="62"/>
      <c r="H416" s="62"/>
      <c r="I416" s="62"/>
      <c r="J416" s="62"/>
      <c r="K416" s="53"/>
      <c r="L416" s="62"/>
      <c r="M416" s="63"/>
      <c r="N416" s="63"/>
      <c r="O416" s="63"/>
      <c r="P416" s="63"/>
      <c r="Q416" s="63"/>
      <c r="R416" s="63"/>
      <c r="S416" s="63"/>
      <c r="T416" s="63"/>
      <c r="U416" s="63"/>
      <c r="V416" s="63"/>
      <c r="W416" s="63"/>
      <c r="X416" s="63"/>
      <c r="Y416" s="63"/>
      <c r="Z416" s="63"/>
      <c r="AA416" s="63"/>
      <c r="AB416" s="63"/>
      <c r="AC416" s="63"/>
    </row>
    <row r="417" spans="1:29">
      <c r="A417" s="62"/>
      <c r="B417" s="62"/>
      <c r="C417" s="62"/>
      <c r="D417" s="62"/>
      <c r="E417" s="62"/>
      <c r="F417" s="62"/>
      <c r="G417" s="62"/>
      <c r="H417" s="62"/>
      <c r="I417" s="62"/>
      <c r="J417" s="62"/>
      <c r="K417" s="53"/>
      <c r="L417" s="62"/>
      <c r="M417" s="63"/>
      <c r="N417" s="63"/>
      <c r="O417" s="63"/>
      <c r="P417" s="63"/>
      <c r="Q417" s="63"/>
      <c r="R417" s="63"/>
      <c r="S417" s="63"/>
      <c r="T417" s="63"/>
      <c r="U417" s="63"/>
      <c r="V417" s="63"/>
      <c r="W417" s="63"/>
      <c r="X417" s="63"/>
      <c r="Y417" s="63"/>
      <c r="Z417" s="63"/>
      <c r="AA417" s="63"/>
      <c r="AB417" s="63"/>
      <c r="AC417" s="63"/>
    </row>
    <row r="418" spans="1:29">
      <c r="A418" s="62"/>
      <c r="B418" s="62"/>
      <c r="C418" s="62"/>
      <c r="D418" s="62"/>
      <c r="E418" s="62"/>
      <c r="F418" s="62"/>
      <c r="G418" s="62"/>
      <c r="H418" s="62"/>
      <c r="I418" s="62"/>
      <c r="J418" s="62"/>
      <c r="K418" s="53"/>
      <c r="L418" s="62"/>
      <c r="M418" s="63"/>
      <c r="N418" s="63"/>
      <c r="O418" s="63"/>
      <c r="P418" s="63"/>
      <c r="Q418" s="63"/>
      <c r="R418" s="63"/>
      <c r="S418" s="63"/>
      <c r="T418" s="63"/>
      <c r="U418" s="63"/>
      <c r="V418" s="63"/>
      <c r="W418" s="63"/>
      <c r="X418" s="63"/>
      <c r="Y418" s="63"/>
      <c r="Z418" s="63"/>
      <c r="AA418" s="63"/>
      <c r="AB418" s="63"/>
      <c r="AC418" s="63"/>
    </row>
    <row r="419" spans="1:29">
      <c r="A419" s="62"/>
      <c r="B419" s="62"/>
      <c r="C419" s="62"/>
      <c r="D419" s="62"/>
      <c r="E419" s="62"/>
      <c r="F419" s="62"/>
      <c r="G419" s="62"/>
      <c r="H419" s="62"/>
      <c r="I419" s="62"/>
      <c r="J419" s="62"/>
      <c r="K419" s="53"/>
      <c r="L419" s="62"/>
      <c r="M419" s="63"/>
      <c r="N419" s="63"/>
      <c r="O419" s="63"/>
      <c r="P419" s="63"/>
      <c r="Q419" s="63"/>
      <c r="R419" s="63"/>
      <c r="S419" s="63"/>
      <c r="T419" s="63"/>
      <c r="U419" s="63"/>
      <c r="V419" s="63"/>
      <c r="W419" s="63"/>
      <c r="X419" s="63"/>
      <c r="Y419" s="63"/>
      <c r="Z419" s="63"/>
      <c r="AA419" s="63"/>
      <c r="AB419" s="63"/>
      <c r="AC419" s="63"/>
    </row>
    <row r="420" spans="1:29">
      <c r="A420" s="62"/>
      <c r="B420" s="62"/>
      <c r="C420" s="62"/>
      <c r="D420" s="62"/>
      <c r="E420" s="62"/>
      <c r="F420" s="62"/>
      <c r="G420" s="62"/>
      <c r="H420" s="62"/>
      <c r="I420" s="62"/>
      <c r="J420" s="62"/>
      <c r="K420" s="53"/>
      <c r="L420" s="62"/>
      <c r="M420" s="63"/>
      <c r="N420" s="63"/>
      <c r="O420" s="63"/>
      <c r="P420" s="63"/>
      <c r="Q420" s="63"/>
      <c r="R420" s="63"/>
      <c r="S420" s="63"/>
      <c r="T420" s="63"/>
      <c r="U420" s="63"/>
      <c r="V420" s="63"/>
      <c r="W420" s="63"/>
      <c r="X420" s="63"/>
      <c r="Y420" s="63"/>
      <c r="Z420" s="63"/>
      <c r="AA420" s="63"/>
      <c r="AB420" s="63"/>
      <c r="AC420" s="63"/>
    </row>
    <row r="421" spans="1:29">
      <c r="A421" s="62"/>
      <c r="B421" s="62"/>
      <c r="C421" s="62"/>
      <c r="D421" s="62"/>
      <c r="E421" s="62"/>
      <c r="F421" s="62"/>
      <c r="G421" s="62"/>
      <c r="H421" s="62"/>
      <c r="I421" s="62"/>
      <c r="J421" s="62"/>
      <c r="K421" s="53"/>
      <c r="L421" s="62"/>
      <c r="M421" s="63"/>
      <c r="N421" s="63"/>
      <c r="O421" s="63"/>
      <c r="P421" s="63"/>
      <c r="Q421" s="63"/>
      <c r="R421" s="63"/>
      <c r="S421" s="63"/>
      <c r="T421" s="63"/>
      <c r="U421" s="63"/>
      <c r="V421" s="63"/>
      <c r="W421" s="63"/>
      <c r="X421" s="63"/>
      <c r="Y421" s="63"/>
      <c r="Z421" s="63"/>
      <c r="AA421" s="63"/>
      <c r="AB421" s="63"/>
      <c r="AC421" s="63"/>
    </row>
    <row r="422" spans="1:29">
      <c r="A422" s="62"/>
      <c r="B422" s="62"/>
      <c r="C422" s="62"/>
      <c r="D422" s="62"/>
      <c r="E422" s="62"/>
      <c r="F422" s="62"/>
      <c r="G422" s="62"/>
      <c r="H422" s="62"/>
      <c r="I422" s="62"/>
      <c r="J422" s="62"/>
      <c r="K422" s="53"/>
      <c r="L422" s="62"/>
      <c r="M422" s="63"/>
      <c r="N422" s="63"/>
      <c r="O422" s="63"/>
      <c r="P422" s="63"/>
      <c r="Q422" s="63"/>
      <c r="R422" s="63"/>
      <c r="S422" s="63"/>
      <c r="T422" s="63"/>
      <c r="U422" s="63"/>
      <c r="V422" s="63"/>
      <c r="W422" s="63"/>
      <c r="X422" s="63"/>
      <c r="Y422" s="63"/>
      <c r="Z422" s="63"/>
      <c r="AA422" s="63"/>
      <c r="AB422" s="63"/>
      <c r="AC422" s="63"/>
    </row>
    <row r="423" spans="1:29">
      <c r="A423" s="62"/>
      <c r="B423" s="62"/>
      <c r="C423" s="62"/>
      <c r="D423" s="62"/>
      <c r="E423" s="62"/>
      <c r="F423" s="62"/>
      <c r="G423" s="62"/>
      <c r="H423" s="62"/>
      <c r="I423" s="62"/>
      <c r="J423" s="62"/>
      <c r="K423" s="53"/>
      <c r="L423" s="62"/>
      <c r="M423" s="63"/>
      <c r="N423" s="63"/>
      <c r="O423" s="63"/>
      <c r="P423" s="63"/>
      <c r="Q423" s="63"/>
      <c r="R423" s="63"/>
      <c r="S423" s="63"/>
      <c r="T423" s="63"/>
      <c r="U423" s="63"/>
      <c r="V423" s="63"/>
      <c r="W423" s="63"/>
      <c r="X423" s="63"/>
      <c r="Y423" s="63"/>
      <c r="Z423" s="63"/>
      <c r="AA423" s="63"/>
      <c r="AB423" s="63"/>
      <c r="AC423" s="63"/>
    </row>
    <row r="424" spans="1:29">
      <c r="A424" s="62"/>
      <c r="B424" s="62"/>
      <c r="C424" s="62"/>
      <c r="D424" s="62"/>
      <c r="E424" s="62"/>
      <c r="F424" s="62"/>
      <c r="G424" s="62"/>
      <c r="H424" s="62"/>
      <c r="I424" s="62"/>
      <c r="J424" s="62"/>
      <c r="K424" s="53"/>
      <c r="L424" s="62"/>
      <c r="M424" s="63"/>
      <c r="N424" s="63"/>
      <c r="O424" s="63"/>
      <c r="P424" s="63"/>
      <c r="Q424" s="63"/>
      <c r="R424" s="63"/>
      <c r="S424" s="63"/>
      <c r="T424" s="63"/>
      <c r="U424" s="63"/>
      <c r="V424" s="63"/>
      <c r="W424" s="63"/>
      <c r="X424" s="63"/>
      <c r="Y424" s="63"/>
      <c r="Z424" s="63"/>
      <c r="AA424" s="63"/>
      <c r="AB424" s="63"/>
      <c r="AC424" s="63"/>
    </row>
    <row r="425" spans="1:29">
      <c r="A425" s="62"/>
      <c r="B425" s="62"/>
      <c r="C425" s="62"/>
      <c r="D425" s="62"/>
      <c r="E425" s="62"/>
      <c r="F425" s="62"/>
      <c r="G425" s="62"/>
      <c r="H425" s="62"/>
      <c r="I425" s="62"/>
      <c r="J425" s="62"/>
      <c r="K425" s="53"/>
      <c r="L425" s="62"/>
      <c r="M425" s="63"/>
      <c r="N425" s="63"/>
      <c r="O425" s="63"/>
      <c r="P425" s="63"/>
      <c r="Q425" s="63"/>
      <c r="R425" s="63"/>
      <c r="S425" s="63"/>
      <c r="T425" s="63"/>
      <c r="U425" s="63"/>
      <c r="V425" s="63"/>
      <c r="W425" s="63"/>
      <c r="X425" s="63"/>
      <c r="Y425" s="63"/>
      <c r="Z425" s="63"/>
      <c r="AA425" s="63"/>
      <c r="AB425" s="63"/>
      <c r="AC425" s="63"/>
    </row>
    <row r="426" spans="1:29">
      <c r="A426" s="62"/>
      <c r="B426" s="62"/>
      <c r="C426" s="62"/>
      <c r="D426" s="62"/>
      <c r="E426" s="62"/>
      <c r="F426" s="62"/>
      <c r="G426" s="62"/>
      <c r="H426" s="62"/>
      <c r="I426" s="62"/>
      <c r="J426" s="62"/>
      <c r="K426" s="53"/>
      <c r="L426" s="62"/>
      <c r="M426" s="63"/>
      <c r="N426" s="63"/>
      <c r="O426" s="63"/>
      <c r="P426" s="63"/>
      <c r="Q426" s="63"/>
      <c r="R426" s="63"/>
      <c r="S426" s="63"/>
      <c r="T426" s="63"/>
      <c r="U426" s="63"/>
      <c r="V426" s="63"/>
      <c r="W426" s="63"/>
      <c r="X426" s="63"/>
      <c r="Y426" s="63"/>
      <c r="Z426" s="63"/>
      <c r="AA426" s="63"/>
      <c r="AB426" s="63"/>
      <c r="AC426" s="63"/>
    </row>
    <row r="427" spans="1:29">
      <c r="A427" s="62"/>
      <c r="B427" s="62"/>
      <c r="C427" s="62"/>
      <c r="D427" s="62"/>
      <c r="E427" s="62"/>
      <c r="F427" s="62"/>
      <c r="G427" s="62"/>
      <c r="H427" s="62"/>
      <c r="I427" s="62"/>
      <c r="J427" s="62"/>
      <c r="K427" s="53"/>
      <c r="L427" s="62"/>
      <c r="M427" s="63"/>
      <c r="N427" s="63"/>
      <c r="O427" s="63"/>
      <c r="P427" s="63"/>
      <c r="Q427" s="63"/>
      <c r="R427" s="63"/>
      <c r="S427" s="63"/>
      <c r="T427" s="63"/>
      <c r="U427" s="63"/>
      <c r="V427" s="63"/>
      <c r="W427" s="63"/>
      <c r="X427" s="63"/>
      <c r="Y427" s="63"/>
      <c r="Z427" s="63"/>
      <c r="AA427" s="63"/>
      <c r="AB427" s="63"/>
      <c r="AC427" s="63"/>
    </row>
    <row r="428" spans="1:29">
      <c r="A428" s="62"/>
      <c r="B428" s="62"/>
      <c r="C428" s="62"/>
      <c r="D428" s="62"/>
      <c r="E428" s="62"/>
      <c r="F428" s="62"/>
      <c r="G428" s="62"/>
      <c r="H428" s="62"/>
      <c r="I428" s="62"/>
      <c r="J428" s="62"/>
      <c r="K428" s="53"/>
      <c r="L428" s="62"/>
      <c r="M428" s="63"/>
      <c r="N428" s="63"/>
      <c r="O428" s="63"/>
      <c r="P428" s="63"/>
      <c r="Q428" s="63"/>
      <c r="R428" s="63"/>
      <c r="S428" s="63"/>
      <c r="T428" s="63"/>
      <c r="U428" s="63"/>
      <c r="V428" s="63"/>
      <c r="W428" s="63"/>
      <c r="X428" s="63"/>
      <c r="Y428" s="63"/>
      <c r="Z428" s="63"/>
      <c r="AA428" s="63"/>
      <c r="AB428" s="63"/>
      <c r="AC428" s="63"/>
    </row>
    <row r="429" spans="1:29">
      <c r="A429" s="62"/>
      <c r="B429" s="62"/>
      <c r="C429" s="62"/>
      <c r="D429" s="62"/>
      <c r="E429" s="62"/>
      <c r="F429" s="62"/>
      <c r="G429" s="62"/>
      <c r="H429" s="62"/>
      <c r="I429" s="62"/>
      <c r="J429" s="62"/>
      <c r="K429" s="53"/>
      <c r="L429" s="62"/>
      <c r="M429" s="63"/>
      <c r="N429" s="63"/>
      <c r="O429" s="63"/>
      <c r="P429" s="63"/>
      <c r="Q429" s="63"/>
      <c r="R429" s="63"/>
      <c r="S429" s="63"/>
      <c r="T429" s="63"/>
      <c r="U429" s="63"/>
      <c r="V429" s="63"/>
      <c r="W429" s="63"/>
      <c r="X429" s="63"/>
      <c r="Y429" s="63"/>
      <c r="Z429" s="63"/>
      <c r="AA429" s="63"/>
      <c r="AB429" s="63"/>
      <c r="AC429" s="63"/>
    </row>
    <row r="430" spans="1:29">
      <c r="A430" s="62"/>
      <c r="B430" s="62"/>
      <c r="C430" s="62"/>
      <c r="D430" s="62"/>
      <c r="E430" s="62"/>
      <c r="F430" s="62"/>
      <c r="G430" s="62"/>
      <c r="H430" s="62"/>
      <c r="I430" s="62"/>
      <c r="J430" s="62"/>
      <c r="K430" s="53"/>
      <c r="L430" s="62"/>
      <c r="M430" s="63"/>
      <c r="N430" s="63"/>
      <c r="O430" s="63"/>
      <c r="P430" s="63"/>
      <c r="Q430" s="63"/>
      <c r="R430" s="63"/>
      <c r="S430" s="63"/>
      <c r="T430" s="63"/>
      <c r="U430" s="63"/>
      <c r="V430" s="63"/>
      <c r="W430" s="63"/>
      <c r="X430" s="63"/>
      <c r="Y430" s="63"/>
      <c r="Z430" s="63"/>
      <c r="AA430" s="63"/>
      <c r="AB430" s="63"/>
      <c r="AC430" s="63"/>
    </row>
    <row r="431" spans="1:29">
      <c r="A431" s="62"/>
      <c r="B431" s="62"/>
      <c r="C431" s="62"/>
      <c r="D431" s="62"/>
      <c r="E431" s="62"/>
      <c r="F431" s="62"/>
      <c r="G431" s="62"/>
      <c r="H431" s="62"/>
      <c r="I431" s="62"/>
      <c r="J431" s="62"/>
      <c r="K431" s="53"/>
      <c r="L431" s="62"/>
      <c r="M431" s="63"/>
      <c r="N431" s="63"/>
      <c r="O431" s="63"/>
      <c r="P431" s="63"/>
      <c r="Q431" s="63"/>
      <c r="R431" s="63"/>
      <c r="S431" s="63"/>
      <c r="T431" s="63"/>
      <c r="U431" s="63"/>
      <c r="V431" s="63"/>
      <c r="W431" s="63"/>
      <c r="X431" s="63"/>
      <c r="Y431" s="63"/>
      <c r="Z431" s="63"/>
      <c r="AA431" s="63"/>
      <c r="AB431" s="63"/>
      <c r="AC431" s="63"/>
    </row>
    <row r="432" spans="1:29">
      <c r="A432" s="62"/>
      <c r="B432" s="62"/>
      <c r="C432" s="62"/>
      <c r="D432" s="62"/>
      <c r="E432" s="62"/>
      <c r="F432" s="62"/>
      <c r="G432" s="62"/>
      <c r="H432" s="62"/>
      <c r="I432" s="62"/>
      <c r="J432" s="62"/>
      <c r="K432" s="53"/>
      <c r="L432" s="62"/>
      <c r="M432" s="63"/>
      <c r="N432" s="63"/>
      <c r="O432" s="63"/>
      <c r="P432" s="63"/>
      <c r="Q432" s="63"/>
      <c r="R432" s="63"/>
      <c r="S432" s="63"/>
      <c r="T432" s="63"/>
      <c r="U432" s="63"/>
      <c r="V432" s="63"/>
      <c r="W432" s="63"/>
      <c r="X432" s="63"/>
      <c r="Y432" s="63"/>
      <c r="Z432" s="63"/>
      <c r="AA432" s="63"/>
      <c r="AB432" s="63"/>
      <c r="AC432" s="63"/>
    </row>
    <row r="433" spans="1:29">
      <c r="A433" s="62"/>
      <c r="B433" s="62"/>
      <c r="C433" s="62"/>
      <c r="D433" s="62"/>
      <c r="E433" s="62"/>
      <c r="F433" s="62"/>
      <c r="G433" s="62"/>
      <c r="H433" s="62"/>
      <c r="I433" s="62"/>
      <c r="J433" s="62"/>
      <c r="K433" s="53"/>
      <c r="L433" s="62"/>
      <c r="M433" s="63"/>
      <c r="N433" s="63"/>
      <c r="O433" s="63"/>
      <c r="P433" s="63"/>
      <c r="Q433" s="63"/>
      <c r="R433" s="63"/>
      <c r="S433" s="63"/>
      <c r="T433" s="63"/>
      <c r="U433" s="63"/>
      <c r="V433" s="63"/>
      <c r="W433" s="63"/>
      <c r="X433" s="63"/>
      <c r="Y433" s="63"/>
      <c r="Z433" s="63"/>
      <c r="AA433" s="63"/>
      <c r="AB433" s="63"/>
      <c r="AC433" s="63"/>
    </row>
    <row r="434" spans="1:29">
      <c r="A434" s="62"/>
      <c r="B434" s="62"/>
      <c r="C434" s="62"/>
      <c r="D434" s="62"/>
      <c r="E434" s="62"/>
      <c r="F434" s="62"/>
      <c r="G434" s="62"/>
      <c r="H434" s="62"/>
      <c r="I434" s="62"/>
      <c r="J434" s="62"/>
      <c r="K434" s="53"/>
      <c r="L434" s="62"/>
      <c r="M434" s="63"/>
      <c r="N434" s="63"/>
      <c r="O434" s="63"/>
      <c r="P434" s="63"/>
      <c r="Q434" s="63"/>
      <c r="R434" s="63"/>
      <c r="S434" s="63"/>
      <c r="T434" s="63"/>
      <c r="U434" s="63"/>
      <c r="V434" s="63"/>
      <c r="W434" s="63"/>
      <c r="X434" s="63"/>
      <c r="Y434" s="63"/>
      <c r="Z434" s="63"/>
      <c r="AA434" s="63"/>
      <c r="AB434" s="63"/>
      <c r="AC434" s="63"/>
    </row>
    <row r="435" spans="1:29">
      <c r="A435" s="62"/>
      <c r="B435" s="62"/>
      <c r="C435" s="62"/>
      <c r="D435" s="62"/>
      <c r="E435" s="62"/>
      <c r="F435" s="62"/>
      <c r="G435" s="62"/>
      <c r="H435" s="62"/>
      <c r="I435" s="62"/>
      <c r="J435" s="62"/>
      <c r="K435" s="53"/>
      <c r="L435" s="62"/>
      <c r="M435" s="63"/>
      <c r="N435" s="63"/>
      <c r="O435" s="63"/>
      <c r="P435" s="63"/>
      <c r="Q435" s="63"/>
      <c r="R435" s="63"/>
      <c r="S435" s="63"/>
      <c r="T435" s="63"/>
      <c r="U435" s="63"/>
      <c r="V435" s="63"/>
      <c r="W435" s="63"/>
      <c r="X435" s="63"/>
      <c r="Y435" s="63"/>
      <c r="Z435" s="63"/>
      <c r="AA435" s="63"/>
      <c r="AB435" s="63"/>
      <c r="AC435" s="63"/>
    </row>
    <row r="436" spans="1:29">
      <c r="A436" s="62"/>
      <c r="B436" s="62"/>
      <c r="C436" s="62"/>
      <c r="D436" s="62"/>
      <c r="E436" s="62"/>
      <c r="F436" s="62"/>
      <c r="G436" s="62"/>
      <c r="H436" s="62"/>
      <c r="I436" s="62"/>
      <c r="J436" s="62"/>
      <c r="K436" s="53"/>
      <c r="L436" s="62"/>
      <c r="M436" s="63"/>
      <c r="N436" s="63"/>
      <c r="O436" s="63"/>
      <c r="P436" s="63"/>
      <c r="Q436" s="63"/>
      <c r="R436" s="63"/>
      <c r="S436" s="63"/>
      <c r="T436" s="63"/>
      <c r="U436" s="63"/>
      <c r="V436" s="63"/>
      <c r="W436" s="63"/>
      <c r="X436" s="63"/>
      <c r="Y436" s="63"/>
      <c r="Z436" s="63"/>
      <c r="AA436" s="63"/>
      <c r="AB436" s="63"/>
      <c r="AC436" s="63"/>
    </row>
    <row r="437" spans="1:29">
      <c r="A437" s="62"/>
      <c r="B437" s="62"/>
      <c r="C437" s="62"/>
      <c r="D437" s="62"/>
      <c r="E437" s="62"/>
      <c r="F437" s="62"/>
      <c r="G437" s="62"/>
      <c r="H437" s="62"/>
      <c r="I437" s="62"/>
      <c r="J437" s="62"/>
      <c r="K437" s="53"/>
      <c r="L437" s="62"/>
      <c r="M437" s="63"/>
      <c r="N437" s="63"/>
      <c r="O437" s="63"/>
      <c r="P437" s="63"/>
      <c r="Q437" s="63"/>
      <c r="R437" s="63"/>
      <c r="S437" s="63"/>
      <c r="T437" s="63"/>
      <c r="U437" s="63"/>
      <c r="V437" s="63"/>
      <c r="W437" s="63"/>
      <c r="X437" s="63"/>
      <c r="Y437" s="63"/>
      <c r="Z437" s="63"/>
      <c r="AA437" s="63"/>
      <c r="AB437" s="63"/>
      <c r="AC437" s="63"/>
    </row>
    <row r="438" spans="1:29">
      <c r="A438" s="62"/>
      <c r="B438" s="62"/>
      <c r="C438" s="62"/>
      <c r="D438" s="62"/>
      <c r="E438" s="62"/>
      <c r="F438" s="62"/>
      <c r="G438" s="62"/>
      <c r="H438" s="62"/>
      <c r="I438" s="62"/>
      <c r="J438" s="62"/>
      <c r="K438" s="53"/>
      <c r="L438" s="62"/>
      <c r="M438" s="63"/>
      <c r="N438" s="63"/>
      <c r="O438" s="63"/>
      <c r="P438" s="63"/>
      <c r="Q438" s="63"/>
      <c r="R438" s="63"/>
      <c r="S438" s="63"/>
      <c r="T438" s="63"/>
      <c r="U438" s="63"/>
      <c r="V438" s="63"/>
      <c r="W438" s="63"/>
      <c r="X438" s="63"/>
      <c r="Y438" s="63"/>
      <c r="Z438" s="63"/>
      <c r="AA438" s="63"/>
      <c r="AB438" s="63"/>
      <c r="AC438" s="63"/>
    </row>
    <row r="439" spans="1:29">
      <c r="A439" s="62"/>
      <c r="B439" s="62"/>
      <c r="C439" s="62"/>
      <c r="D439" s="62"/>
      <c r="E439" s="62"/>
      <c r="F439" s="62"/>
      <c r="G439" s="62"/>
      <c r="H439" s="62"/>
      <c r="I439" s="62"/>
      <c r="J439" s="62"/>
      <c r="K439" s="53"/>
      <c r="L439" s="62"/>
      <c r="M439" s="63"/>
      <c r="N439" s="63"/>
      <c r="O439" s="63"/>
      <c r="P439" s="63"/>
      <c r="Q439" s="63"/>
      <c r="R439" s="63"/>
      <c r="S439" s="63"/>
      <c r="T439" s="63"/>
      <c r="U439" s="63"/>
      <c r="V439" s="63"/>
      <c r="W439" s="63"/>
      <c r="X439" s="63"/>
      <c r="Y439" s="63"/>
      <c r="Z439" s="63"/>
      <c r="AA439" s="63"/>
      <c r="AB439" s="63"/>
      <c r="AC439" s="63"/>
    </row>
    <row r="440" spans="1:29">
      <c r="A440" s="62"/>
      <c r="B440" s="62"/>
      <c r="C440" s="62"/>
      <c r="D440" s="62"/>
      <c r="E440" s="62"/>
      <c r="F440" s="62"/>
      <c r="G440" s="62"/>
      <c r="H440" s="62"/>
      <c r="I440" s="62"/>
      <c r="J440" s="62"/>
      <c r="K440" s="53"/>
      <c r="L440" s="62"/>
      <c r="M440" s="63"/>
      <c r="N440" s="63"/>
      <c r="O440" s="63"/>
      <c r="P440" s="63"/>
      <c r="Q440" s="63"/>
      <c r="R440" s="63"/>
      <c r="S440" s="63"/>
      <c r="T440" s="63"/>
      <c r="U440" s="63"/>
      <c r="V440" s="63"/>
      <c r="W440" s="63"/>
      <c r="X440" s="63"/>
      <c r="Y440" s="63"/>
      <c r="Z440" s="63"/>
      <c r="AA440" s="63"/>
      <c r="AB440" s="63"/>
      <c r="AC440" s="63"/>
    </row>
    <row r="441" spans="1:29">
      <c r="A441" s="62"/>
      <c r="B441" s="62"/>
      <c r="C441" s="62"/>
      <c r="D441" s="62"/>
      <c r="E441" s="62"/>
      <c r="F441" s="62"/>
      <c r="G441" s="62"/>
      <c r="H441" s="62"/>
      <c r="I441" s="62"/>
      <c r="J441" s="62"/>
      <c r="K441" s="53"/>
      <c r="L441" s="62"/>
      <c r="M441" s="63"/>
      <c r="N441" s="63"/>
      <c r="O441" s="63"/>
      <c r="P441" s="63"/>
      <c r="Q441" s="63"/>
      <c r="R441" s="63"/>
      <c r="S441" s="63"/>
      <c r="T441" s="63"/>
      <c r="U441" s="63"/>
      <c r="V441" s="63"/>
      <c r="W441" s="63"/>
      <c r="X441" s="63"/>
      <c r="Y441" s="63"/>
      <c r="Z441" s="63"/>
      <c r="AA441" s="63"/>
      <c r="AB441" s="63"/>
      <c r="AC441" s="63"/>
    </row>
    <row r="442" spans="1:29">
      <c r="A442" s="62"/>
      <c r="B442" s="62"/>
      <c r="C442" s="62"/>
      <c r="D442" s="62"/>
      <c r="E442" s="62"/>
      <c r="F442" s="62"/>
      <c r="G442" s="62"/>
      <c r="H442" s="62"/>
      <c r="I442" s="62"/>
      <c r="J442" s="62"/>
      <c r="K442" s="53"/>
      <c r="L442" s="62"/>
      <c r="M442" s="63"/>
      <c r="N442" s="63"/>
      <c r="O442" s="63"/>
      <c r="P442" s="63"/>
      <c r="Q442" s="63"/>
      <c r="R442" s="63"/>
      <c r="S442" s="63"/>
      <c r="T442" s="63"/>
      <c r="U442" s="63"/>
      <c r="V442" s="63"/>
      <c r="W442" s="63"/>
      <c r="X442" s="63"/>
      <c r="Y442" s="63"/>
      <c r="Z442" s="63"/>
      <c r="AA442" s="63"/>
      <c r="AB442" s="63"/>
      <c r="AC442" s="63"/>
    </row>
    <row r="443" spans="1:29">
      <c r="A443" s="62"/>
      <c r="B443" s="62"/>
      <c r="C443" s="62"/>
      <c r="D443" s="62"/>
      <c r="E443" s="62"/>
      <c r="F443" s="62"/>
      <c r="G443" s="62"/>
      <c r="H443" s="62"/>
      <c r="I443" s="62"/>
      <c r="J443" s="62"/>
      <c r="K443" s="53"/>
      <c r="L443" s="62"/>
      <c r="M443" s="63"/>
      <c r="N443" s="63"/>
      <c r="O443" s="63"/>
      <c r="P443" s="63"/>
      <c r="Q443" s="63"/>
      <c r="R443" s="63"/>
      <c r="S443" s="63"/>
      <c r="T443" s="63"/>
      <c r="U443" s="63"/>
      <c r="V443" s="63"/>
      <c r="W443" s="63"/>
      <c r="X443" s="63"/>
      <c r="Y443" s="63"/>
      <c r="Z443" s="63"/>
      <c r="AA443" s="63"/>
      <c r="AB443" s="63"/>
      <c r="AC443" s="63"/>
    </row>
    <row r="444" spans="1:29">
      <c r="A444" s="62"/>
      <c r="B444" s="62"/>
      <c r="C444" s="62"/>
      <c r="D444" s="62"/>
      <c r="E444" s="62"/>
      <c r="F444" s="62"/>
      <c r="G444" s="62"/>
      <c r="H444" s="62"/>
      <c r="I444" s="62"/>
      <c r="J444" s="62"/>
      <c r="K444" s="53"/>
      <c r="L444" s="62"/>
      <c r="M444" s="63"/>
      <c r="N444" s="63"/>
      <c r="O444" s="63"/>
      <c r="P444" s="63"/>
      <c r="Q444" s="63"/>
      <c r="R444" s="63"/>
      <c r="S444" s="63"/>
      <c r="T444" s="63"/>
      <c r="U444" s="63"/>
      <c r="V444" s="63"/>
      <c r="W444" s="63"/>
      <c r="X444" s="63"/>
      <c r="Y444" s="63"/>
      <c r="Z444" s="63"/>
      <c r="AA444" s="63"/>
      <c r="AB444" s="63"/>
      <c r="AC444" s="63"/>
    </row>
    <row r="445" spans="1:29">
      <c r="A445" s="62"/>
      <c r="B445" s="62"/>
      <c r="C445" s="62"/>
      <c r="D445" s="62"/>
      <c r="E445" s="62"/>
      <c r="F445" s="62"/>
      <c r="G445" s="62"/>
      <c r="H445" s="62"/>
      <c r="I445" s="62"/>
      <c r="J445" s="62"/>
      <c r="K445" s="53"/>
      <c r="L445" s="62"/>
      <c r="M445" s="63"/>
      <c r="N445" s="63"/>
      <c r="O445" s="63"/>
      <c r="P445" s="63"/>
      <c r="Q445" s="63"/>
      <c r="R445" s="63"/>
      <c r="S445" s="63"/>
      <c r="T445" s="63"/>
      <c r="U445" s="63"/>
      <c r="V445" s="63"/>
      <c r="W445" s="63"/>
      <c r="X445" s="63"/>
      <c r="Y445" s="63"/>
      <c r="Z445" s="63"/>
      <c r="AA445" s="63"/>
      <c r="AB445" s="63"/>
      <c r="AC445" s="63"/>
    </row>
    <row r="446" spans="1:29">
      <c r="A446" s="62"/>
      <c r="B446" s="62"/>
      <c r="C446" s="62"/>
      <c r="D446" s="62"/>
      <c r="E446" s="62"/>
      <c r="F446" s="62"/>
      <c r="G446" s="62"/>
      <c r="H446" s="62"/>
      <c r="I446" s="62"/>
      <c r="J446" s="62"/>
      <c r="K446" s="53"/>
      <c r="L446" s="62"/>
      <c r="M446" s="63"/>
      <c r="N446" s="63"/>
      <c r="O446" s="63"/>
      <c r="P446" s="63"/>
      <c r="Q446" s="63"/>
      <c r="R446" s="63"/>
      <c r="S446" s="63"/>
      <c r="T446" s="63"/>
      <c r="U446" s="63"/>
      <c r="V446" s="63"/>
      <c r="W446" s="63"/>
      <c r="X446" s="63"/>
      <c r="Y446" s="63"/>
      <c r="Z446" s="63"/>
      <c r="AA446" s="63"/>
      <c r="AB446" s="63"/>
      <c r="AC446" s="63"/>
    </row>
    <row r="447" spans="1:29">
      <c r="A447" s="62"/>
      <c r="B447" s="62"/>
      <c r="C447" s="62"/>
      <c r="D447" s="62"/>
      <c r="E447" s="62"/>
      <c r="F447" s="62"/>
      <c r="G447" s="62"/>
      <c r="H447" s="62"/>
      <c r="I447" s="62"/>
      <c r="J447" s="62"/>
      <c r="K447" s="53"/>
      <c r="L447" s="62"/>
      <c r="M447" s="63"/>
      <c r="N447" s="63"/>
      <c r="O447" s="63"/>
      <c r="P447" s="63"/>
      <c r="Q447" s="63"/>
      <c r="R447" s="63"/>
      <c r="S447" s="63"/>
      <c r="T447" s="63"/>
      <c r="U447" s="63"/>
      <c r="V447" s="63"/>
      <c r="W447" s="63"/>
      <c r="X447" s="63"/>
      <c r="Y447" s="63"/>
      <c r="Z447" s="63"/>
      <c r="AA447" s="63"/>
      <c r="AB447" s="63"/>
      <c r="AC447" s="63"/>
    </row>
    <row r="448" spans="1:29">
      <c r="A448" s="62"/>
      <c r="B448" s="62"/>
      <c r="C448" s="62"/>
      <c r="D448" s="62"/>
      <c r="E448" s="62"/>
      <c r="F448" s="62"/>
      <c r="G448" s="62"/>
      <c r="H448" s="62"/>
      <c r="I448" s="62"/>
      <c r="J448" s="62"/>
      <c r="K448" s="53"/>
      <c r="L448" s="62"/>
      <c r="M448" s="63"/>
      <c r="N448" s="63"/>
      <c r="O448" s="63"/>
      <c r="P448" s="63"/>
      <c r="Q448" s="63"/>
      <c r="R448" s="63"/>
      <c r="S448" s="63"/>
      <c r="T448" s="63"/>
      <c r="U448" s="63"/>
      <c r="V448" s="63"/>
      <c r="W448" s="63"/>
      <c r="X448" s="63"/>
      <c r="Y448" s="63"/>
      <c r="Z448" s="63"/>
      <c r="AA448" s="63"/>
      <c r="AB448" s="63"/>
      <c r="AC448" s="63"/>
    </row>
    <row r="449" spans="1:29">
      <c r="A449" s="62"/>
      <c r="B449" s="62"/>
      <c r="C449" s="62"/>
      <c r="D449" s="62"/>
      <c r="E449" s="62"/>
      <c r="F449" s="62"/>
      <c r="G449" s="62"/>
      <c r="H449" s="62"/>
      <c r="I449" s="62"/>
      <c r="J449" s="62"/>
      <c r="K449" s="53"/>
      <c r="L449" s="62"/>
      <c r="M449" s="63"/>
      <c r="N449" s="63"/>
      <c r="O449" s="63"/>
      <c r="P449" s="63"/>
      <c r="Q449" s="63"/>
      <c r="R449" s="63"/>
      <c r="S449" s="63"/>
      <c r="T449" s="63"/>
      <c r="U449" s="63"/>
      <c r="V449" s="63"/>
      <c r="W449" s="63"/>
      <c r="X449" s="63"/>
      <c r="Y449" s="63"/>
      <c r="Z449" s="63"/>
      <c r="AA449" s="63"/>
      <c r="AB449" s="63"/>
      <c r="AC449" s="63"/>
    </row>
    <row r="450" spans="1:29">
      <c r="A450" s="62"/>
      <c r="B450" s="62"/>
      <c r="C450" s="62"/>
      <c r="D450" s="62"/>
      <c r="E450" s="62"/>
      <c r="F450" s="62"/>
      <c r="G450" s="62"/>
      <c r="H450" s="62"/>
      <c r="I450" s="62"/>
      <c r="J450" s="62"/>
      <c r="K450" s="53"/>
      <c r="L450" s="62"/>
      <c r="M450" s="63"/>
      <c r="N450" s="63"/>
      <c r="O450" s="63"/>
      <c r="P450" s="63"/>
      <c r="Q450" s="63"/>
      <c r="R450" s="63"/>
      <c r="S450" s="63"/>
      <c r="T450" s="63"/>
      <c r="U450" s="63"/>
      <c r="V450" s="63"/>
      <c r="W450" s="63"/>
      <c r="X450" s="63"/>
      <c r="Y450" s="63"/>
      <c r="Z450" s="63"/>
      <c r="AA450" s="63"/>
      <c r="AB450" s="63"/>
      <c r="AC450" s="63"/>
    </row>
    <row r="451" spans="1:29">
      <c r="A451" s="62"/>
      <c r="B451" s="62"/>
      <c r="C451" s="62"/>
      <c r="D451" s="62"/>
      <c r="E451" s="62"/>
      <c r="F451" s="62"/>
      <c r="G451" s="62"/>
      <c r="H451" s="62"/>
      <c r="I451" s="62"/>
      <c r="J451" s="62"/>
      <c r="K451" s="53"/>
      <c r="L451" s="62"/>
      <c r="M451" s="63"/>
      <c r="N451" s="63"/>
      <c r="O451" s="63"/>
      <c r="P451" s="63"/>
      <c r="Q451" s="63"/>
      <c r="R451" s="63"/>
      <c r="S451" s="63"/>
      <c r="T451" s="63"/>
      <c r="U451" s="63"/>
      <c r="V451" s="63"/>
      <c r="W451" s="63"/>
      <c r="X451" s="63"/>
      <c r="Y451" s="63"/>
      <c r="Z451" s="63"/>
      <c r="AA451" s="63"/>
      <c r="AB451" s="63"/>
      <c r="AC451" s="63"/>
    </row>
    <row r="452" spans="1:29">
      <c r="A452" s="62"/>
      <c r="B452" s="62"/>
      <c r="C452" s="62"/>
      <c r="D452" s="62"/>
      <c r="E452" s="62"/>
      <c r="F452" s="62"/>
      <c r="G452" s="62"/>
      <c r="H452" s="62"/>
      <c r="I452" s="62"/>
      <c r="J452" s="62"/>
      <c r="K452" s="53"/>
      <c r="L452" s="62"/>
      <c r="M452" s="63"/>
      <c r="N452" s="63"/>
      <c r="O452" s="63"/>
      <c r="P452" s="63"/>
      <c r="Q452" s="63"/>
      <c r="R452" s="63"/>
      <c r="S452" s="63"/>
      <c r="T452" s="63"/>
      <c r="U452" s="63"/>
      <c r="V452" s="63"/>
      <c r="W452" s="63"/>
      <c r="X452" s="63"/>
      <c r="Y452" s="63"/>
      <c r="Z452" s="63"/>
      <c r="AA452" s="63"/>
      <c r="AB452" s="63"/>
      <c r="AC452" s="63"/>
    </row>
    <row r="453" spans="1:29">
      <c r="A453" s="62"/>
      <c r="B453" s="62"/>
      <c r="C453" s="62"/>
      <c r="D453" s="62"/>
      <c r="E453" s="62"/>
      <c r="F453" s="62"/>
      <c r="G453" s="62"/>
      <c r="H453" s="62"/>
      <c r="I453" s="62"/>
      <c r="J453" s="62"/>
      <c r="K453" s="53"/>
      <c r="L453" s="62"/>
      <c r="M453" s="63"/>
      <c r="N453" s="63"/>
      <c r="O453" s="63"/>
      <c r="P453" s="63"/>
      <c r="Q453" s="63"/>
      <c r="R453" s="63"/>
      <c r="S453" s="63"/>
      <c r="T453" s="63"/>
      <c r="U453" s="63"/>
      <c r="V453" s="63"/>
      <c r="W453" s="63"/>
      <c r="X453" s="63"/>
      <c r="Y453" s="63"/>
      <c r="Z453" s="63"/>
      <c r="AA453" s="63"/>
      <c r="AB453" s="63"/>
      <c r="AC453" s="63"/>
    </row>
    <row r="454" spans="1:29">
      <c r="A454" s="62"/>
      <c r="B454" s="62"/>
      <c r="C454" s="62"/>
      <c r="D454" s="62"/>
      <c r="E454" s="62"/>
      <c r="F454" s="62"/>
      <c r="G454" s="62"/>
      <c r="H454" s="62"/>
      <c r="I454" s="62"/>
      <c r="J454" s="62"/>
      <c r="K454" s="53"/>
      <c r="L454" s="62"/>
      <c r="M454" s="63"/>
      <c r="N454" s="63"/>
      <c r="O454" s="63"/>
      <c r="P454" s="63"/>
      <c r="Q454" s="63"/>
      <c r="R454" s="63"/>
      <c r="S454" s="63"/>
      <c r="T454" s="63"/>
      <c r="U454" s="63"/>
      <c r="V454" s="63"/>
      <c r="W454" s="63"/>
      <c r="X454" s="63"/>
      <c r="Y454" s="63"/>
      <c r="Z454" s="63"/>
      <c r="AA454" s="63"/>
      <c r="AB454" s="63"/>
      <c r="AC454" s="63"/>
    </row>
    <row r="455" spans="1:29">
      <c r="A455" s="62"/>
      <c r="B455" s="62"/>
      <c r="C455" s="62"/>
      <c r="D455" s="62"/>
      <c r="E455" s="62"/>
      <c r="F455" s="62"/>
      <c r="G455" s="62"/>
      <c r="H455" s="62"/>
      <c r="I455" s="62"/>
      <c r="J455" s="62"/>
      <c r="K455" s="53"/>
      <c r="L455" s="62"/>
      <c r="M455" s="63"/>
      <c r="N455" s="63"/>
      <c r="O455" s="63"/>
      <c r="P455" s="63"/>
      <c r="Q455" s="63"/>
      <c r="R455" s="63"/>
      <c r="S455" s="63"/>
      <c r="T455" s="63"/>
      <c r="U455" s="63"/>
      <c r="V455" s="63"/>
      <c r="W455" s="63"/>
      <c r="X455" s="63"/>
      <c r="Y455" s="63"/>
      <c r="Z455" s="63"/>
      <c r="AA455" s="63"/>
      <c r="AB455" s="63"/>
      <c r="AC455" s="63"/>
    </row>
    <row r="456" spans="1:29">
      <c r="A456" s="62"/>
      <c r="B456" s="62"/>
      <c r="C456" s="62"/>
      <c r="D456" s="62"/>
      <c r="E456" s="62"/>
      <c r="F456" s="62"/>
      <c r="G456" s="62"/>
      <c r="H456" s="62"/>
      <c r="I456" s="62"/>
      <c r="J456" s="62"/>
      <c r="K456" s="53"/>
      <c r="L456" s="62"/>
      <c r="M456" s="63"/>
      <c r="N456" s="63"/>
      <c r="O456" s="63"/>
      <c r="P456" s="63"/>
      <c r="Q456" s="63"/>
      <c r="R456" s="63"/>
      <c r="S456" s="63"/>
      <c r="T456" s="63"/>
      <c r="U456" s="63"/>
      <c r="V456" s="63"/>
      <c r="W456" s="63"/>
      <c r="X456" s="63"/>
      <c r="Y456" s="63"/>
      <c r="Z456" s="63"/>
      <c r="AA456" s="63"/>
      <c r="AB456" s="63"/>
      <c r="AC456" s="63"/>
    </row>
    <row r="457" spans="1:29">
      <c r="A457" s="62"/>
      <c r="B457" s="62"/>
      <c r="C457" s="62"/>
      <c r="D457" s="62"/>
      <c r="E457" s="62"/>
      <c r="F457" s="62"/>
      <c r="G457" s="62"/>
      <c r="H457" s="62"/>
      <c r="I457" s="62"/>
      <c r="J457" s="62"/>
      <c r="K457" s="53"/>
      <c r="L457" s="62"/>
      <c r="M457" s="63"/>
      <c r="N457" s="63"/>
      <c r="O457" s="63"/>
      <c r="P457" s="63"/>
      <c r="Q457" s="63"/>
      <c r="R457" s="63"/>
      <c r="S457" s="63"/>
      <c r="T457" s="63"/>
      <c r="U457" s="63"/>
      <c r="V457" s="63"/>
      <c r="W457" s="63"/>
      <c r="X457" s="63"/>
      <c r="Y457" s="63"/>
      <c r="Z457" s="63"/>
      <c r="AA457" s="63"/>
      <c r="AB457" s="63"/>
      <c r="AC457" s="63"/>
    </row>
    <row r="458" spans="1:29">
      <c r="A458" s="62"/>
      <c r="B458" s="62"/>
      <c r="C458" s="62"/>
      <c r="D458" s="62"/>
      <c r="E458" s="62"/>
      <c r="F458" s="62"/>
      <c r="G458" s="62"/>
      <c r="H458" s="62"/>
      <c r="I458" s="62"/>
      <c r="J458" s="62"/>
      <c r="K458" s="53"/>
      <c r="L458" s="62"/>
      <c r="M458" s="63"/>
      <c r="N458" s="63"/>
      <c r="O458" s="63"/>
      <c r="P458" s="63"/>
      <c r="Q458" s="63"/>
      <c r="R458" s="63"/>
      <c r="S458" s="63"/>
      <c r="T458" s="63"/>
      <c r="U458" s="63"/>
      <c r="V458" s="63"/>
      <c r="W458" s="63"/>
      <c r="X458" s="63"/>
      <c r="Y458" s="63"/>
      <c r="Z458" s="63"/>
      <c r="AA458" s="63"/>
      <c r="AB458" s="63"/>
      <c r="AC458" s="63"/>
    </row>
    <row r="459" spans="1:29">
      <c r="A459" s="62"/>
      <c r="B459" s="62"/>
      <c r="C459" s="62"/>
      <c r="D459" s="62"/>
      <c r="E459" s="62"/>
      <c r="F459" s="62"/>
      <c r="G459" s="62"/>
      <c r="H459" s="62"/>
      <c r="I459" s="62"/>
      <c r="J459" s="62"/>
      <c r="K459" s="53"/>
      <c r="L459" s="62"/>
      <c r="M459" s="63"/>
      <c r="N459" s="63"/>
      <c r="O459" s="63"/>
      <c r="P459" s="63"/>
      <c r="Q459" s="63"/>
      <c r="R459" s="63"/>
      <c r="S459" s="63"/>
      <c r="T459" s="63"/>
      <c r="U459" s="63"/>
      <c r="V459" s="63"/>
      <c r="W459" s="63"/>
      <c r="X459" s="63"/>
      <c r="Y459" s="63"/>
      <c r="Z459" s="63"/>
      <c r="AA459" s="63"/>
      <c r="AB459" s="63"/>
      <c r="AC459" s="63"/>
    </row>
    <row r="460" spans="1:29">
      <c r="A460" s="62"/>
      <c r="B460" s="62"/>
      <c r="C460" s="62"/>
      <c r="D460" s="62"/>
      <c r="E460" s="62"/>
      <c r="F460" s="62"/>
      <c r="G460" s="62"/>
      <c r="H460" s="62"/>
      <c r="I460" s="62"/>
      <c r="J460" s="62"/>
      <c r="K460" s="53"/>
      <c r="L460" s="62"/>
      <c r="M460" s="63"/>
      <c r="N460" s="63"/>
      <c r="O460" s="63"/>
      <c r="P460" s="63"/>
      <c r="Q460" s="63"/>
      <c r="R460" s="63"/>
      <c r="S460" s="63"/>
      <c r="T460" s="63"/>
      <c r="U460" s="63"/>
      <c r="V460" s="63"/>
      <c r="W460" s="63"/>
      <c r="X460" s="63"/>
      <c r="Y460" s="63"/>
      <c r="Z460" s="63"/>
      <c r="AA460" s="63"/>
      <c r="AB460" s="63"/>
      <c r="AC460" s="63"/>
    </row>
    <row r="461" spans="1:29">
      <c r="A461" s="62"/>
      <c r="B461" s="62"/>
      <c r="C461" s="62"/>
      <c r="D461" s="62"/>
      <c r="E461" s="62"/>
      <c r="F461" s="62"/>
      <c r="G461" s="62"/>
      <c r="H461" s="62"/>
      <c r="I461" s="62"/>
      <c r="J461" s="62"/>
      <c r="K461" s="53"/>
      <c r="L461" s="62"/>
      <c r="M461" s="63"/>
      <c r="N461" s="63"/>
      <c r="O461" s="63"/>
      <c r="P461" s="63"/>
      <c r="Q461" s="63"/>
      <c r="R461" s="63"/>
      <c r="S461" s="63"/>
      <c r="T461" s="63"/>
      <c r="U461" s="63"/>
      <c r="V461" s="63"/>
      <c r="W461" s="63"/>
      <c r="X461" s="63"/>
      <c r="Y461" s="63"/>
      <c r="Z461" s="63"/>
      <c r="AA461" s="63"/>
      <c r="AB461" s="63"/>
      <c r="AC461" s="63"/>
    </row>
    <row r="462" spans="1:29">
      <c r="A462" s="62"/>
      <c r="B462" s="62"/>
      <c r="C462" s="62"/>
      <c r="D462" s="62"/>
      <c r="E462" s="62"/>
      <c r="F462" s="62"/>
      <c r="G462" s="62"/>
      <c r="H462" s="62"/>
      <c r="I462" s="62"/>
      <c r="J462" s="62"/>
      <c r="K462" s="53"/>
      <c r="L462" s="62"/>
      <c r="M462" s="63"/>
      <c r="N462" s="63"/>
      <c r="O462" s="63"/>
      <c r="P462" s="63"/>
      <c r="Q462" s="63"/>
      <c r="R462" s="63"/>
      <c r="S462" s="63"/>
      <c r="T462" s="63"/>
      <c r="U462" s="63"/>
      <c r="V462" s="63"/>
      <c r="W462" s="63"/>
      <c r="X462" s="63"/>
      <c r="Y462" s="63"/>
      <c r="Z462" s="63"/>
      <c r="AA462" s="63"/>
      <c r="AB462" s="63"/>
      <c r="AC462" s="63"/>
    </row>
    <row r="463" spans="1:29">
      <c r="A463" s="62"/>
      <c r="B463" s="62"/>
      <c r="C463" s="62"/>
      <c r="D463" s="62"/>
      <c r="E463" s="62"/>
      <c r="F463" s="62"/>
      <c r="G463" s="62"/>
      <c r="H463" s="62"/>
      <c r="I463" s="62"/>
      <c r="J463" s="62"/>
      <c r="K463" s="53"/>
      <c r="L463" s="62"/>
      <c r="M463" s="63"/>
      <c r="N463" s="63"/>
      <c r="O463" s="63"/>
      <c r="P463" s="63"/>
      <c r="Q463" s="63"/>
      <c r="R463" s="63"/>
      <c r="S463" s="63"/>
      <c r="T463" s="63"/>
      <c r="U463" s="63"/>
      <c r="V463" s="63"/>
      <c r="W463" s="63"/>
      <c r="X463" s="63"/>
      <c r="Y463" s="63"/>
      <c r="Z463" s="63"/>
      <c r="AA463" s="63"/>
      <c r="AB463" s="63"/>
      <c r="AC463" s="63"/>
    </row>
    <row r="464" spans="1:29">
      <c r="A464" s="62"/>
      <c r="B464" s="62"/>
      <c r="C464" s="62"/>
      <c r="D464" s="62"/>
      <c r="E464" s="62"/>
      <c r="F464" s="62"/>
      <c r="G464" s="62"/>
      <c r="H464" s="62"/>
      <c r="I464" s="62"/>
      <c r="J464" s="62"/>
      <c r="K464" s="53"/>
      <c r="L464" s="62"/>
      <c r="M464" s="63"/>
      <c r="N464" s="63"/>
      <c r="O464" s="63"/>
      <c r="P464" s="63"/>
      <c r="Q464" s="63"/>
      <c r="R464" s="63"/>
      <c r="S464" s="63"/>
      <c r="T464" s="63"/>
      <c r="U464" s="63"/>
      <c r="V464" s="63"/>
      <c r="W464" s="63"/>
      <c r="X464" s="63"/>
      <c r="Y464" s="63"/>
      <c r="Z464" s="63"/>
      <c r="AA464" s="63"/>
      <c r="AB464" s="63"/>
      <c r="AC464" s="63"/>
    </row>
    <row r="465" spans="1:29">
      <c r="A465" s="62"/>
      <c r="B465" s="62"/>
      <c r="C465" s="62"/>
      <c r="D465" s="62"/>
      <c r="E465" s="62"/>
      <c r="F465" s="62"/>
      <c r="G465" s="62"/>
      <c r="H465" s="62"/>
      <c r="I465" s="62"/>
      <c r="J465" s="62"/>
      <c r="K465" s="53"/>
      <c r="L465" s="62"/>
      <c r="M465" s="63"/>
      <c r="N465" s="63"/>
      <c r="O465" s="63"/>
      <c r="P465" s="63"/>
      <c r="Q465" s="63"/>
      <c r="R465" s="63"/>
      <c r="S465" s="63"/>
      <c r="T465" s="63"/>
      <c r="U465" s="63"/>
      <c r="V465" s="63"/>
      <c r="W465" s="63"/>
      <c r="X465" s="63"/>
      <c r="Y465" s="63"/>
      <c r="Z465" s="63"/>
      <c r="AA465" s="63"/>
      <c r="AB465" s="63"/>
      <c r="AC465" s="63"/>
    </row>
    <row r="466" spans="1:29">
      <c r="A466" s="62"/>
      <c r="B466" s="62"/>
      <c r="C466" s="62"/>
      <c r="D466" s="62"/>
      <c r="E466" s="62"/>
      <c r="F466" s="62"/>
      <c r="G466" s="62"/>
      <c r="H466" s="62"/>
      <c r="I466" s="62"/>
      <c r="J466" s="62"/>
      <c r="K466" s="53"/>
      <c r="L466" s="62"/>
      <c r="M466" s="63"/>
      <c r="N466" s="63"/>
      <c r="O466" s="63"/>
      <c r="P466" s="63"/>
      <c r="Q466" s="63"/>
      <c r="R466" s="63"/>
      <c r="S466" s="63"/>
      <c r="T466" s="63"/>
      <c r="U466" s="63"/>
      <c r="V466" s="63"/>
      <c r="W466" s="63"/>
      <c r="X466" s="63"/>
      <c r="Y466" s="63"/>
      <c r="Z466" s="63"/>
      <c r="AA466" s="63"/>
      <c r="AB466" s="63"/>
      <c r="AC466" s="63"/>
    </row>
    <row r="467" spans="1:29">
      <c r="A467" s="62"/>
      <c r="B467" s="62"/>
      <c r="C467" s="62"/>
      <c r="D467" s="62"/>
      <c r="E467" s="62"/>
      <c r="F467" s="62"/>
      <c r="G467" s="62"/>
      <c r="H467" s="62"/>
      <c r="I467" s="62"/>
      <c r="J467" s="62"/>
      <c r="K467" s="53"/>
      <c r="L467" s="62"/>
      <c r="M467" s="63"/>
      <c r="N467" s="63"/>
      <c r="O467" s="63"/>
      <c r="P467" s="63"/>
      <c r="Q467" s="63"/>
      <c r="R467" s="63"/>
      <c r="S467" s="63"/>
      <c r="T467" s="63"/>
      <c r="U467" s="63"/>
      <c r="V467" s="63"/>
      <c r="W467" s="63"/>
      <c r="X467" s="63"/>
      <c r="Y467" s="63"/>
      <c r="Z467" s="63"/>
      <c r="AA467" s="63"/>
      <c r="AB467" s="63"/>
      <c r="AC467" s="63"/>
    </row>
    <row r="468" spans="1:29">
      <c r="A468" s="62"/>
      <c r="B468" s="62"/>
      <c r="C468" s="62"/>
      <c r="D468" s="62"/>
      <c r="E468" s="62"/>
      <c r="F468" s="62"/>
      <c r="G468" s="62"/>
      <c r="H468" s="62"/>
      <c r="I468" s="62"/>
      <c r="J468" s="62"/>
      <c r="K468" s="53"/>
      <c r="L468" s="62"/>
      <c r="M468" s="63"/>
      <c r="N468" s="63"/>
      <c r="O468" s="63"/>
      <c r="P468" s="63"/>
      <c r="Q468" s="63"/>
      <c r="R468" s="63"/>
      <c r="S468" s="63"/>
      <c r="T468" s="63"/>
      <c r="U468" s="63"/>
      <c r="V468" s="63"/>
      <c r="W468" s="63"/>
      <c r="X468" s="63"/>
      <c r="Y468" s="63"/>
      <c r="Z468" s="63"/>
      <c r="AA468" s="63"/>
      <c r="AB468" s="63"/>
      <c r="AC468" s="63"/>
    </row>
    <row r="469" spans="1:29">
      <c r="A469" s="62"/>
      <c r="B469" s="62"/>
      <c r="C469" s="62"/>
      <c r="D469" s="62"/>
      <c r="E469" s="62"/>
      <c r="F469" s="62"/>
      <c r="G469" s="62"/>
      <c r="H469" s="62"/>
      <c r="I469" s="62"/>
      <c r="J469" s="62"/>
      <c r="K469" s="53"/>
      <c r="L469" s="62"/>
      <c r="M469" s="63"/>
      <c r="N469" s="63"/>
      <c r="O469" s="63"/>
      <c r="P469" s="63"/>
      <c r="Q469" s="63"/>
      <c r="R469" s="63"/>
      <c r="S469" s="63"/>
      <c r="T469" s="63"/>
      <c r="U469" s="63"/>
      <c r="V469" s="63"/>
      <c r="W469" s="63"/>
      <c r="X469" s="63"/>
      <c r="Y469" s="63"/>
      <c r="Z469" s="63"/>
      <c r="AA469" s="63"/>
      <c r="AB469" s="63"/>
      <c r="AC469" s="63"/>
    </row>
    <row r="470" spans="1:29">
      <c r="A470" s="62"/>
      <c r="B470" s="62"/>
      <c r="C470" s="62"/>
      <c r="D470" s="62"/>
      <c r="E470" s="62"/>
      <c r="F470" s="62"/>
      <c r="G470" s="62"/>
      <c r="H470" s="62"/>
      <c r="I470" s="62"/>
      <c r="J470" s="62"/>
      <c r="K470" s="53"/>
      <c r="L470" s="62"/>
      <c r="M470" s="63"/>
      <c r="N470" s="63"/>
      <c r="O470" s="63"/>
      <c r="P470" s="63"/>
      <c r="Q470" s="63"/>
      <c r="R470" s="63"/>
      <c r="S470" s="63"/>
      <c r="T470" s="63"/>
      <c r="U470" s="63"/>
      <c r="V470" s="63"/>
      <c r="W470" s="63"/>
      <c r="X470" s="63"/>
      <c r="Y470" s="63"/>
      <c r="Z470" s="63"/>
      <c r="AA470" s="63"/>
      <c r="AB470" s="63"/>
      <c r="AC470" s="63"/>
    </row>
    <row r="471" spans="1:29">
      <c r="A471" s="62"/>
      <c r="B471" s="62"/>
      <c r="C471" s="62"/>
      <c r="D471" s="62"/>
      <c r="E471" s="62"/>
      <c r="F471" s="62"/>
      <c r="G471" s="62"/>
      <c r="H471" s="62"/>
      <c r="I471" s="62"/>
      <c r="J471" s="62"/>
      <c r="K471" s="53"/>
      <c r="L471" s="62"/>
      <c r="M471" s="63"/>
      <c r="N471" s="63"/>
      <c r="O471" s="63"/>
      <c r="P471" s="63"/>
      <c r="Q471" s="63"/>
      <c r="R471" s="63"/>
      <c r="S471" s="63"/>
      <c r="T471" s="63"/>
      <c r="U471" s="63"/>
      <c r="V471" s="63"/>
      <c r="W471" s="63"/>
      <c r="X471" s="63"/>
      <c r="Y471" s="63"/>
      <c r="Z471" s="63"/>
      <c r="AA471" s="63"/>
      <c r="AB471" s="63"/>
      <c r="AC471" s="63"/>
    </row>
    <row r="472" spans="1:29">
      <c r="A472" s="62"/>
      <c r="B472" s="62"/>
      <c r="C472" s="62"/>
      <c r="D472" s="62"/>
      <c r="E472" s="62"/>
      <c r="F472" s="62"/>
      <c r="G472" s="62"/>
      <c r="H472" s="62"/>
      <c r="I472" s="62"/>
      <c r="J472" s="62"/>
      <c r="K472" s="53"/>
      <c r="L472" s="62"/>
      <c r="M472" s="63"/>
      <c r="N472" s="63"/>
      <c r="O472" s="63"/>
      <c r="P472" s="63"/>
      <c r="Q472" s="63"/>
      <c r="R472" s="63"/>
      <c r="S472" s="63"/>
      <c r="T472" s="63"/>
      <c r="U472" s="63"/>
      <c r="V472" s="63"/>
      <c r="W472" s="63"/>
      <c r="X472" s="63"/>
      <c r="Y472" s="63"/>
      <c r="Z472" s="63"/>
      <c r="AA472" s="63"/>
      <c r="AB472" s="63"/>
      <c r="AC472" s="63"/>
    </row>
    <row r="473" spans="1:29">
      <c r="A473" s="62"/>
      <c r="B473" s="62"/>
      <c r="C473" s="62"/>
      <c r="D473" s="62"/>
      <c r="E473" s="62"/>
      <c r="F473" s="62"/>
      <c r="G473" s="62"/>
      <c r="H473" s="62"/>
      <c r="I473" s="62"/>
      <c r="J473" s="62"/>
      <c r="K473" s="53"/>
      <c r="L473" s="62"/>
      <c r="M473" s="63"/>
      <c r="N473" s="63"/>
      <c r="O473" s="63"/>
      <c r="P473" s="63"/>
      <c r="Q473" s="63"/>
      <c r="R473" s="63"/>
      <c r="S473" s="63"/>
      <c r="T473" s="63"/>
      <c r="U473" s="63"/>
      <c r="V473" s="63"/>
      <c r="W473" s="63"/>
      <c r="X473" s="63"/>
      <c r="Y473" s="63"/>
      <c r="Z473" s="63"/>
      <c r="AA473" s="63"/>
      <c r="AB473" s="63"/>
      <c r="AC473" s="63"/>
    </row>
    <row r="474" spans="1:29">
      <c r="A474" s="62"/>
      <c r="B474" s="62"/>
      <c r="C474" s="62"/>
      <c r="D474" s="62"/>
      <c r="E474" s="62"/>
      <c r="F474" s="62"/>
      <c r="G474" s="62"/>
      <c r="H474" s="62"/>
      <c r="I474" s="62"/>
      <c r="J474" s="62"/>
      <c r="K474" s="53"/>
      <c r="L474" s="62"/>
      <c r="M474" s="63"/>
      <c r="N474" s="63"/>
      <c r="O474" s="63"/>
      <c r="P474" s="63"/>
      <c r="Q474" s="63"/>
      <c r="R474" s="63"/>
      <c r="S474" s="63"/>
      <c r="T474" s="63"/>
      <c r="U474" s="63"/>
      <c r="V474" s="63"/>
      <c r="W474" s="63"/>
      <c r="X474" s="63"/>
      <c r="Y474" s="63"/>
      <c r="Z474" s="63"/>
      <c r="AA474" s="63"/>
      <c r="AB474" s="63"/>
      <c r="AC474" s="63"/>
    </row>
    <row r="475" spans="1:29">
      <c r="A475" s="62"/>
      <c r="B475" s="62"/>
      <c r="C475" s="62"/>
      <c r="D475" s="62"/>
      <c r="E475" s="62"/>
      <c r="F475" s="62"/>
      <c r="G475" s="62"/>
      <c r="H475" s="62"/>
      <c r="I475" s="62"/>
      <c r="J475" s="62"/>
      <c r="K475" s="53"/>
      <c r="L475" s="62"/>
      <c r="M475" s="63"/>
      <c r="N475" s="63"/>
      <c r="O475" s="63"/>
      <c r="P475" s="63"/>
      <c r="Q475" s="63"/>
      <c r="R475" s="63"/>
      <c r="S475" s="63"/>
      <c r="T475" s="63"/>
      <c r="U475" s="63"/>
      <c r="V475" s="63"/>
      <c r="W475" s="63"/>
      <c r="X475" s="63"/>
      <c r="Y475" s="63"/>
      <c r="Z475" s="63"/>
      <c r="AA475" s="63"/>
      <c r="AB475" s="63"/>
      <c r="AC475" s="63"/>
    </row>
    <row r="476" spans="1:29">
      <c r="A476" s="62"/>
      <c r="B476" s="62"/>
      <c r="C476" s="62"/>
      <c r="D476" s="62"/>
      <c r="E476" s="62"/>
      <c r="F476" s="62"/>
      <c r="G476" s="62"/>
      <c r="H476" s="62"/>
      <c r="I476" s="62"/>
      <c r="J476" s="62"/>
      <c r="K476" s="53"/>
      <c r="L476" s="62"/>
      <c r="M476" s="63"/>
      <c r="N476" s="63"/>
      <c r="O476" s="63"/>
      <c r="P476" s="63"/>
      <c r="Q476" s="63"/>
      <c r="R476" s="63"/>
      <c r="S476" s="63"/>
      <c r="T476" s="63"/>
      <c r="U476" s="63"/>
      <c r="V476" s="63"/>
      <c r="W476" s="63"/>
      <c r="X476" s="63"/>
      <c r="Y476" s="63"/>
      <c r="Z476" s="63"/>
      <c r="AA476" s="63"/>
      <c r="AB476" s="63"/>
      <c r="AC476" s="63"/>
    </row>
    <row r="477" spans="1:29">
      <c r="A477" s="62"/>
      <c r="B477" s="62"/>
      <c r="C477" s="62"/>
      <c r="D477" s="62"/>
      <c r="E477" s="62"/>
      <c r="F477" s="62"/>
      <c r="G477" s="62"/>
      <c r="H477" s="62"/>
      <c r="I477" s="62"/>
      <c r="J477" s="62"/>
      <c r="K477" s="53"/>
      <c r="L477" s="62"/>
      <c r="M477" s="63"/>
      <c r="N477" s="63"/>
      <c r="O477" s="63"/>
      <c r="P477" s="63"/>
      <c r="Q477" s="63"/>
      <c r="R477" s="63"/>
      <c r="S477" s="63"/>
      <c r="T477" s="63"/>
      <c r="U477" s="63"/>
      <c r="V477" s="63"/>
      <c r="W477" s="63"/>
      <c r="X477" s="63"/>
      <c r="Y477" s="63"/>
      <c r="Z477" s="63"/>
      <c r="AA477" s="63"/>
      <c r="AB477" s="63"/>
      <c r="AC477" s="63"/>
    </row>
    <row r="478" spans="1:29">
      <c r="A478" s="62"/>
      <c r="B478" s="62"/>
      <c r="C478" s="62"/>
      <c r="D478" s="62"/>
      <c r="E478" s="62"/>
      <c r="F478" s="62"/>
      <c r="G478" s="62"/>
      <c r="H478" s="62"/>
      <c r="I478" s="62"/>
      <c r="J478" s="62"/>
      <c r="K478" s="53"/>
      <c r="L478" s="62"/>
      <c r="M478" s="63"/>
      <c r="N478" s="63"/>
      <c r="O478" s="63"/>
      <c r="P478" s="63"/>
      <c r="Q478" s="63"/>
      <c r="R478" s="63"/>
      <c r="S478" s="63"/>
      <c r="T478" s="63"/>
      <c r="U478" s="63"/>
      <c r="V478" s="63"/>
      <c r="W478" s="63"/>
      <c r="X478" s="63"/>
      <c r="Y478" s="63"/>
      <c r="Z478" s="63"/>
      <c r="AA478" s="63"/>
      <c r="AB478" s="63"/>
      <c r="AC478" s="63"/>
    </row>
    <row r="479" spans="1:29">
      <c r="A479" s="62"/>
      <c r="B479" s="62"/>
      <c r="C479" s="62"/>
      <c r="D479" s="62"/>
      <c r="E479" s="62"/>
      <c r="F479" s="62"/>
      <c r="G479" s="62"/>
      <c r="H479" s="62"/>
      <c r="I479" s="62"/>
      <c r="J479" s="62"/>
      <c r="K479" s="53"/>
      <c r="L479" s="62"/>
      <c r="M479" s="63"/>
      <c r="N479" s="63"/>
      <c r="O479" s="63"/>
      <c r="P479" s="63"/>
      <c r="Q479" s="63"/>
      <c r="R479" s="63"/>
      <c r="S479" s="63"/>
      <c r="T479" s="63"/>
      <c r="U479" s="63"/>
      <c r="V479" s="63"/>
      <c r="W479" s="63"/>
      <c r="X479" s="63"/>
      <c r="Y479" s="63"/>
      <c r="Z479" s="63"/>
      <c r="AA479" s="63"/>
      <c r="AB479" s="63"/>
      <c r="AC479" s="63"/>
    </row>
    <row r="480" spans="1:29">
      <c r="A480" s="62"/>
      <c r="B480" s="62"/>
      <c r="C480" s="62"/>
      <c r="D480" s="62"/>
      <c r="E480" s="62"/>
      <c r="F480" s="62"/>
      <c r="G480" s="62"/>
      <c r="H480" s="62"/>
      <c r="I480" s="62"/>
      <c r="J480" s="62"/>
      <c r="K480" s="53"/>
      <c r="L480" s="62"/>
      <c r="M480" s="63"/>
      <c r="N480" s="63"/>
      <c r="O480" s="63"/>
      <c r="P480" s="63"/>
      <c r="Q480" s="63"/>
      <c r="R480" s="63"/>
      <c r="S480" s="63"/>
      <c r="T480" s="63"/>
      <c r="U480" s="63"/>
      <c r="V480" s="63"/>
      <c r="W480" s="63"/>
      <c r="X480" s="63"/>
      <c r="Y480" s="63"/>
      <c r="Z480" s="63"/>
      <c r="AA480" s="63"/>
      <c r="AB480" s="63"/>
      <c r="AC480" s="63"/>
    </row>
    <row r="481" spans="1:29">
      <c r="A481" s="62"/>
      <c r="B481" s="62"/>
      <c r="C481" s="62"/>
      <c r="D481" s="62"/>
      <c r="E481" s="62"/>
      <c r="F481" s="62"/>
      <c r="G481" s="62"/>
      <c r="H481" s="62"/>
      <c r="I481" s="62"/>
      <c r="J481" s="62"/>
      <c r="K481" s="53"/>
      <c r="L481" s="62"/>
      <c r="M481" s="63"/>
      <c r="N481" s="63"/>
      <c r="O481" s="63"/>
      <c r="P481" s="63"/>
      <c r="Q481" s="63"/>
      <c r="R481" s="63"/>
      <c r="S481" s="63"/>
      <c r="T481" s="63"/>
      <c r="U481" s="63"/>
      <c r="V481" s="63"/>
      <c r="W481" s="63"/>
      <c r="X481" s="63"/>
      <c r="Y481" s="63"/>
      <c r="Z481" s="63"/>
      <c r="AA481" s="63"/>
      <c r="AB481" s="63"/>
      <c r="AC481" s="63"/>
    </row>
    <row r="482" spans="1:29">
      <c r="A482" s="62"/>
      <c r="B482" s="62"/>
      <c r="C482" s="62"/>
      <c r="D482" s="62"/>
      <c r="E482" s="62"/>
      <c r="F482" s="62"/>
      <c r="G482" s="62"/>
      <c r="H482" s="62"/>
      <c r="I482" s="62"/>
      <c r="J482" s="62"/>
      <c r="K482" s="53"/>
      <c r="L482" s="62"/>
      <c r="M482" s="63"/>
      <c r="N482" s="63"/>
      <c r="O482" s="63"/>
      <c r="P482" s="63"/>
      <c r="Q482" s="63"/>
      <c r="R482" s="63"/>
      <c r="S482" s="63"/>
      <c r="T482" s="63"/>
      <c r="U482" s="63"/>
      <c r="V482" s="63"/>
      <c r="W482" s="63"/>
      <c r="X482" s="63"/>
      <c r="Y482" s="63"/>
      <c r="Z482" s="63"/>
      <c r="AA482" s="63"/>
      <c r="AB482" s="63"/>
      <c r="AC482" s="63"/>
    </row>
    <row r="483" spans="1:29">
      <c r="A483" s="62"/>
      <c r="B483" s="62"/>
      <c r="C483" s="62"/>
      <c r="D483" s="62"/>
      <c r="E483" s="62"/>
      <c r="F483" s="62"/>
      <c r="G483" s="62"/>
      <c r="H483" s="62"/>
      <c r="I483" s="62"/>
      <c r="J483" s="62"/>
      <c r="K483" s="53"/>
      <c r="L483" s="62"/>
      <c r="M483" s="63"/>
      <c r="N483" s="63"/>
      <c r="O483" s="63"/>
      <c r="P483" s="63"/>
      <c r="Q483" s="63"/>
      <c r="R483" s="63"/>
      <c r="S483" s="63"/>
      <c r="T483" s="63"/>
      <c r="U483" s="63"/>
      <c r="V483" s="63"/>
      <c r="W483" s="63"/>
      <c r="X483" s="63"/>
      <c r="Y483" s="63"/>
      <c r="Z483" s="63"/>
      <c r="AA483" s="63"/>
      <c r="AB483" s="63"/>
      <c r="AC483" s="63"/>
    </row>
    <row r="484" spans="1:29">
      <c r="A484" s="62"/>
      <c r="B484" s="62"/>
      <c r="C484" s="62"/>
      <c r="D484" s="62"/>
      <c r="E484" s="62"/>
      <c r="F484" s="62"/>
      <c r="G484" s="62"/>
      <c r="H484" s="62"/>
      <c r="I484" s="62"/>
      <c r="J484" s="62"/>
      <c r="K484" s="53"/>
      <c r="L484" s="62"/>
      <c r="M484" s="63"/>
      <c r="N484" s="63"/>
      <c r="O484" s="63"/>
      <c r="P484" s="63"/>
      <c r="Q484" s="63"/>
      <c r="R484" s="63"/>
      <c r="S484" s="63"/>
      <c r="T484" s="63"/>
      <c r="U484" s="63"/>
      <c r="V484" s="63"/>
      <c r="W484" s="63"/>
      <c r="X484" s="63"/>
      <c r="Y484" s="63"/>
      <c r="Z484" s="63"/>
      <c r="AA484" s="63"/>
      <c r="AB484" s="63"/>
      <c r="AC484" s="63"/>
    </row>
    <row r="485" spans="1:29">
      <c r="A485" s="62"/>
      <c r="B485" s="62"/>
      <c r="C485" s="62"/>
      <c r="D485" s="62"/>
      <c r="E485" s="62"/>
      <c r="F485" s="62"/>
      <c r="G485" s="62"/>
      <c r="H485" s="62"/>
      <c r="I485" s="62"/>
      <c r="J485" s="62"/>
      <c r="K485" s="53"/>
      <c r="L485" s="62"/>
      <c r="M485" s="63"/>
      <c r="N485" s="63"/>
      <c r="O485" s="63"/>
      <c r="P485" s="63"/>
      <c r="Q485" s="63"/>
      <c r="R485" s="63"/>
      <c r="S485" s="63"/>
      <c r="T485" s="63"/>
      <c r="U485" s="63"/>
      <c r="V485" s="63"/>
      <c r="W485" s="63"/>
      <c r="X485" s="63"/>
      <c r="Y485" s="63"/>
      <c r="Z485" s="63"/>
      <c r="AA485" s="63"/>
      <c r="AB485" s="63"/>
      <c r="AC485" s="63"/>
    </row>
    <row r="486" spans="1:29">
      <c r="A486" s="62"/>
      <c r="B486" s="62"/>
      <c r="C486" s="62"/>
      <c r="D486" s="62"/>
      <c r="E486" s="62"/>
      <c r="F486" s="62"/>
      <c r="G486" s="62"/>
      <c r="H486" s="62"/>
      <c r="I486" s="62"/>
      <c r="J486" s="62"/>
      <c r="K486" s="53"/>
      <c r="L486" s="62"/>
      <c r="M486" s="63"/>
      <c r="N486" s="63"/>
      <c r="O486" s="63"/>
      <c r="P486" s="63"/>
      <c r="Q486" s="63"/>
      <c r="R486" s="63"/>
      <c r="S486" s="63"/>
      <c r="T486" s="63"/>
      <c r="U486" s="63"/>
      <c r="V486" s="63"/>
      <c r="W486" s="63"/>
      <c r="X486" s="63"/>
      <c r="Y486" s="63"/>
      <c r="Z486" s="63"/>
      <c r="AA486" s="63"/>
      <c r="AB486" s="63"/>
      <c r="AC486" s="63"/>
    </row>
    <row r="487" spans="1:29">
      <c r="A487" s="62"/>
      <c r="B487" s="62"/>
      <c r="C487" s="62"/>
      <c r="D487" s="62"/>
      <c r="E487" s="62"/>
      <c r="F487" s="62"/>
      <c r="G487" s="62"/>
      <c r="H487" s="62"/>
      <c r="I487" s="62"/>
      <c r="J487" s="62"/>
      <c r="K487" s="53"/>
      <c r="L487" s="62"/>
      <c r="M487" s="63"/>
      <c r="N487" s="63"/>
      <c r="O487" s="63"/>
      <c r="P487" s="63"/>
      <c r="Q487" s="63"/>
      <c r="R487" s="63"/>
      <c r="S487" s="63"/>
      <c r="T487" s="63"/>
      <c r="U487" s="63"/>
      <c r="V487" s="63"/>
      <c r="W487" s="63"/>
      <c r="X487" s="63"/>
      <c r="Y487" s="63"/>
      <c r="Z487" s="63"/>
      <c r="AA487" s="63"/>
      <c r="AB487" s="63"/>
      <c r="AC487" s="63"/>
    </row>
    <row r="488" spans="1:29">
      <c r="A488" s="62"/>
      <c r="B488" s="62"/>
      <c r="C488" s="62"/>
      <c r="D488" s="62"/>
      <c r="E488" s="62"/>
      <c r="F488" s="62"/>
      <c r="G488" s="62"/>
      <c r="H488" s="62"/>
      <c r="I488" s="62"/>
      <c r="J488" s="62"/>
      <c r="K488" s="53"/>
      <c r="L488" s="62"/>
      <c r="M488" s="63"/>
      <c r="N488" s="63"/>
      <c r="O488" s="63"/>
      <c r="P488" s="63"/>
      <c r="Q488" s="63"/>
      <c r="R488" s="63"/>
      <c r="S488" s="63"/>
      <c r="T488" s="63"/>
      <c r="U488" s="63"/>
      <c r="V488" s="63"/>
      <c r="W488" s="63"/>
      <c r="X488" s="63"/>
      <c r="Y488" s="63"/>
      <c r="Z488" s="63"/>
      <c r="AA488" s="63"/>
      <c r="AB488" s="63"/>
      <c r="AC488" s="63"/>
    </row>
    <row r="489" spans="1:29">
      <c r="A489" s="62"/>
      <c r="B489" s="62"/>
      <c r="C489" s="62"/>
      <c r="D489" s="62"/>
      <c r="E489" s="62"/>
      <c r="F489" s="62"/>
      <c r="G489" s="62"/>
      <c r="H489" s="62"/>
      <c r="I489" s="62"/>
      <c r="J489" s="62"/>
      <c r="K489" s="53"/>
      <c r="L489" s="62"/>
      <c r="M489" s="63"/>
      <c r="N489" s="63"/>
      <c r="O489" s="63"/>
      <c r="P489" s="63"/>
      <c r="Q489" s="63"/>
      <c r="R489" s="63"/>
      <c r="S489" s="63"/>
      <c r="T489" s="63"/>
      <c r="U489" s="63"/>
      <c r="V489" s="63"/>
      <c r="W489" s="63"/>
      <c r="X489" s="63"/>
      <c r="Y489" s="63"/>
      <c r="Z489" s="63"/>
      <c r="AA489" s="63"/>
      <c r="AB489" s="63"/>
      <c r="AC489" s="63"/>
    </row>
    <row r="490" spans="1:29">
      <c r="A490" s="62"/>
      <c r="B490" s="62"/>
      <c r="C490" s="62"/>
      <c r="D490" s="62"/>
      <c r="E490" s="62"/>
      <c r="F490" s="62"/>
      <c r="G490" s="62"/>
      <c r="H490" s="62"/>
      <c r="I490" s="62"/>
      <c r="J490" s="62"/>
      <c r="K490" s="53"/>
      <c r="L490" s="62"/>
      <c r="M490" s="63"/>
      <c r="N490" s="63"/>
      <c r="O490" s="63"/>
      <c r="P490" s="63"/>
      <c r="Q490" s="63"/>
      <c r="R490" s="63"/>
      <c r="S490" s="63"/>
      <c r="T490" s="63"/>
      <c r="U490" s="63"/>
      <c r="V490" s="63"/>
      <c r="W490" s="63"/>
      <c r="X490" s="63"/>
      <c r="Y490" s="63"/>
      <c r="Z490" s="63"/>
      <c r="AA490" s="63"/>
      <c r="AB490" s="63"/>
      <c r="AC490" s="63"/>
    </row>
    <row r="491" spans="1:29">
      <c r="A491" s="62"/>
      <c r="B491" s="62"/>
      <c r="C491" s="62"/>
      <c r="D491" s="62"/>
      <c r="E491" s="62"/>
      <c r="F491" s="62"/>
      <c r="G491" s="62"/>
      <c r="H491" s="62"/>
      <c r="I491" s="62"/>
      <c r="J491" s="62"/>
      <c r="K491" s="53"/>
      <c r="L491" s="62"/>
      <c r="M491" s="63"/>
      <c r="N491" s="63"/>
      <c r="O491" s="63"/>
      <c r="P491" s="63"/>
      <c r="Q491" s="63"/>
      <c r="R491" s="63"/>
      <c r="S491" s="63"/>
      <c r="T491" s="63"/>
      <c r="U491" s="63"/>
      <c r="V491" s="63"/>
      <c r="W491" s="63"/>
      <c r="X491" s="63"/>
      <c r="Y491" s="63"/>
      <c r="Z491" s="63"/>
      <c r="AA491" s="63"/>
      <c r="AB491" s="63"/>
      <c r="AC491" s="63"/>
    </row>
    <row r="492" spans="1:29">
      <c r="A492" s="62"/>
      <c r="B492" s="62"/>
      <c r="C492" s="62"/>
      <c r="D492" s="62"/>
      <c r="E492" s="62"/>
      <c r="F492" s="62"/>
      <c r="G492" s="62"/>
      <c r="H492" s="62"/>
      <c r="I492" s="62"/>
      <c r="J492" s="62"/>
      <c r="K492" s="53"/>
      <c r="L492" s="62"/>
      <c r="M492" s="63"/>
      <c r="N492" s="63"/>
      <c r="O492" s="63"/>
      <c r="P492" s="63"/>
      <c r="Q492" s="63"/>
      <c r="R492" s="63"/>
      <c r="S492" s="63"/>
      <c r="T492" s="63"/>
      <c r="U492" s="63"/>
      <c r="V492" s="63"/>
      <c r="W492" s="63"/>
      <c r="X492" s="63"/>
      <c r="Y492" s="63"/>
      <c r="Z492" s="63"/>
      <c r="AA492" s="63"/>
      <c r="AB492" s="63"/>
      <c r="AC492" s="63"/>
    </row>
    <row r="493" spans="1:29">
      <c r="A493" s="62"/>
      <c r="B493" s="62"/>
      <c r="C493" s="62"/>
      <c r="D493" s="62"/>
      <c r="E493" s="62"/>
      <c r="F493" s="62"/>
      <c r="G493" s="62"/>
      <c r="H493" s="62"/>
      <c r="I493" s="62"/>
      <c r="J493" s="62"/>
      <c r="K493" s="53"/>
      <c r="L493" s="62"/>
      <c r="M493" s="63"/>
      <c r="N493" s="63"/>
      <c r="O493" s="63"/>
      <c r="P493" s="63"/>
      <c r="Q493" s="63"/>
      <c r="R493" s="63"/>
      <c r="S493" s="63"/>
      <c r="T493" s="63"/>
      <c r="U493" s="63"/>
      <c r="V493" s="63"/>
      <c r="W493" s="63"/>
      <c r="X493" s="63"/>
      <c r="Y493" s="63"/>
      <c r="Z493" s="63"/>
      <c r="AA493" s="63"/>
      <c r="AB493" s="63"/>
      <c r="AC493" s="63"/>
    </row>
    <row r="494" spans="1:29">
      <c r="A494" s="62"/>
      <c r="B494" s="62"/>
      <c r="C494" s="62"/>
      <c r="D494" s="62"/>
      <c r="E494" s="62"/>
      <c r="F494" s="62"/>
      <c r="G494" s="62"/>
      <c r="H494" s="62"/>
      <c r="I494" s="62"/>
      <c r="J494" s="62"/>
      <c r="K494" s="53"/>
      <c r="L494" s="62"/>
      <c r="M494" s="63"/>
      <c r="N494" s="63"/>
      <c r="O494" s="63"/>
      <c r="P494" s="63"/>
      <c r="Q494" s="63"/>
      <c r="R494" s="63"/>
      <c r="S494" s="63"/>
      <c r="T494" s="63"/>
      <c r="U494" s="63"/>
      <c r="V494" s="63"/>
      <c r="W494" s="63"/>
      <c r="X494" s="63"/>
      <c r="Y494" s="63"/>
      <c r="Z494" s="63"/>
      <c r="AA494" s="63"/>
      <c r="AB494" s="63"/>
      <c r="AC494" s="63"/>
    </row>
    <row r="495" spans="1:29">
      <c r="A495" s="62"/>
      <c r="B495" s="62"/>
      <c r="C495" s="62"/>
      <c r="D495" s="62"/>
      <c r="E495" s="62"/>
      <c r="F495" s="62"/>
      <c r="G495" s="62"/>
      <c r="H495" s="62"/>
      <c r="I495" s="62"/>
      <c r="J495" s="62"/>
      <c r="K495" s="53"/>
      <c r="L495" s="62"/>
      <c r="M495" s="63"/>
      <c r="N495" s="63"/>
      <c r="O495" s="63"/>
      <c r="P495" s="63"/>
      <c r="Q495" s="63"/>
      <c r="R495" s="63"/>
      <c r="S495" s="63"/>
      <c r="T495" s="63"/>
      <c r="U495" s="63"/>
      <c r="V495" s="63"/>
      <c r="W495" s="63"/>
      <c r="X495" s="63"/>
      <c r="Y495" s="63"/>
      <c r="Z495" s="63"/>
      <c r="AA495" s="63"/>
      <c r="AB495" s="63"/>
      <c r="AC495" s="63"/>
    </row>
    <row r="496" spans="1:29">
      <c r="A496" s="62"/>
      <c r="B496" s="62"/>
      <c r="C496" s="62"/>
      <c r="D496" s="62"/>
      <c r="E496" s="62"/>
      <c r="F496" s="62"/>
      <c r="G496" s="62"/>
      <c r="H496" s="62"/>
      <c r="I496" s="62"/>
      <c r="J496" s="62"/>
      <c r="K496" s="53"/>
      <c r="L496" s="62"/>
      <c r="M496" s="63"/>
      <c r="N496" s="63"/>
      <c r="O496" s="63"/>
      <c r="P496" s="63"/>
      <c r="Q496" s="63"/>
      <c r="R496" s="63"/>
      <c r="S496" s="63"/>
      <c r="T496" s="63"/>
      <c r="U496" s="63"/>
      <c r="V496" s="63"/>
      <c r="W496" s="63"/>
      <c r="X496" s="63"/>
      <c r="Y496" s="63"/>
      <c r="Z496" s="63"/>
      <c r="AA496" s="63"/>
      <c r="AB496" s="63"/>
      <c r="AC496" s="63"/>
    </row>
    <row r="497" spans="1:29">
      <c r="A497" s="62"/>
      <c r="B497" s="62"/>
      <c r="C497" s="62"/>
      <c r="D497" s="62"/>
      <c r="E497" s="62"/>
      <c r="F497" s="62"/>
      <c r="G497" s="62"/>
      <c r="H497" s="62"/>
      <c r="I497" s="62"/>
      <c r="J497" s="62"/>
      <c r="K497" s="53"/>
      <c r="L497" s="62"/>
      <c r="M497" s="63"/>
      <c r="N497" s="63"/>
      <c r="O497" s="63"/>
      <c r="P497" s="63"/>
      <c r="Q497" s="63"/>
      <c r="R497" s="63"/>
      <c r="S497" s="63"/>
      <c r="T497" s="63"/>
      <c r="U497" s="63"/>
      <c r="V497" s="63"/>
      <c r="W497" s="63"/>
      <c r="X497" s="63"/>
      <c r="Y497" s="63"/>
      <c r="Z497" s="63"/>
      <c r="AA497" s="63"/>
      <c r="AB497" s="63"/>
      <c r="AC497" s="63"/>
    </row>
    <row r="498" spans="1:29">
      <c r="A498" s="62"/>
      <c r="B498" s="62"/>
      <c r="C498" s="62"/>
      <c r="D498" s="62"/>
      <c r="E498" s="62"/>
      <c r="F498" s="62"/>
      <c r="G498" s="62"/>
      <c r="H498" s="62"/>
      <c r="I498" s="62"/>
      <c r="J498" s="62"/>
      <c r="K498" s="53"/>
      <c r="L498" s="62"/>
      <c r="M498" s="63"/>
      <c r="N498" s="63"/>
      <c r="O498" s="63"/>
      <c r="P498" s="63"/>
      <c r="Q498" s="63"/>
      <c r="R498" s="63"/>
      <c r="S498" s="63"/>
      <c r="T498" s="63"/>
      <c r="U498" s="63"/>
      <c r="V498" s="63"/>
      <c r="W498" s="63"/>
      <c r="X498" s="63"/>
      <c r="Y498" s="63"/>
      <c r="Z498" s="63"/>
      <c r="AA498" s="63"/>
      <c r="AB498" s="63"/>
      <c r="AC498" s="63"/>
    </row>
    <row r="499" spans="1:29">
      <c r="A499" s="62"/>
      <c r="B499" s="62"/>
      <c r="C499" s="62"/>
      <c r="D499" s="62"/>
      <c r="E499" s="62"/>
      <c r="F499" s="62"/>
      <c r="G499" s="62"/>
      <c r="H499" s="62"/>
      <c r="I499" s="62"/>
      <c r="J499" s="62"/>
      <c r="K499" s="53"/>
      <c r="L499" s="62"/>
      <c r="M499" s="63"/>
      <c r="N499" s="63"/>
      <c r="O499" s="63"/>
      <c r="P499" s="63"/>
      <c r="Q499" s="63"/>
      <c r="R499" s="63"/>
      <c r="S499" s="63"/>
      <c r="T499" s="63"/>
      <c r="U499" s="63"/>
      <c r="V499" s="63"/>
      <c r="W499" s="63"/>
      <c r="X499" s="63"/>
      <c r="Y499" s="63"/>
      <c r="Z499" s="63"/>
      <c r="AA499" s="63"/>
      <c r="AB499" s="63"/>
      <c r="AC499" s="63"/>
    </row>
    <row r="500" spans="1:29">
      <c r="A500" s="62"/>
      <c r="B500" s="62"/>
      <c r="C500" s="62"/>
      <c r="D500" s="62"/>
      <c r="E500" s="62"/>
      <c r="F500" s="62"/>
      <c r="G500" s="62"/>
      <c r="H500" s="62"/>
      <c r="I500" s="62"/>
      <c r="J500" s="62"/>
      <c r="K500" s="53"/>
      <c r="L500" s="62"/>
      <c r="M500" s="63"/>
      <c r="N500" s="63"/>
      <c r="O500" s="63"/>
      <c r="P500" s="63"/>
      <c r="Q500" s="63"/>
      <c r="R500" s="63"/>
      <c r="S500" s="63"/>
      <c r="T500" s="63"/>
      <c r="U500" s="63"/>
      <c r="V500" s="63"/>
      <c r="W500" s="63"/>
      <c r="X500" s="63"/>
      <c r="Y500" s="63"/>
      <c r="Z500" s="63"/>
      <c r="AA500" s="63"/>
      <c r="AB500" s="63"/>
      <c r="AC500" s="63"/>
    </row>
    <row r="501" spans="1:29">
      <c r="A501" s="62"/>
      <c r="B501" s="62"/>
      <c r="C501" s="62"/>
      <c r="D501" s="62"/>
      <c r="E501" s="62"/>
      <c r="F501" s="62"/>
      <c r="G501" s="62"/>
      <c r="H501" s="62"/>
      <c r="I501" s="62"/>
      <c r="J501" s="62"/>
      <c r="K501" s="53"/>
      <c r="L501" s="62"/>
      <c r="M501" s="63"/>
      <c r="N501" s="63"/>
      <c r="O501" s="63"/>
      <c r="P501" s="63"/>
      <c r="Q501" s="63"/>
      <c r="R501" s="63"/>
      <c r="S501" s="63"/>
      <c r="T501" s="63"/>
      <c r="U501" s="63"/>
      <c r="V501" s="63"/>
      <c r="W501" s="63"/>
      <c r="X501" s="63"/>
      <c r="Y501" s="63"/>
      <c r="Z501" s="63"/>
      <c r="AA501" s="63"/>
      <c r="AB501" s="63"/>
      <c r="AC501" s="63"/>
    </row>
    <row r="502" spans="1:29">
      <c r="A502" s="62"/>
      <c r="B502" s="62"/>
      <c r="C502" s="62"/>
      <c r="D502" s="62"/>
      <c r="E502" s="62"/>
      <c r="F502" s="62"/>
      <c r="G502" s="62"/>
      <c r="H502" s="62"/>
      <c r="I502" s="62"/>
      <c r="J502" s="62"/>
      <c r="K502" s="53"/>
      <c r="L502" s="62"/>
      <c r="M502" s="63"/>
      <c r="N502" s="63"/>
      <c r="O502" s="63"/>
      <c r="P502" s="63"/>
      <c r="Q502" s="63"/>
      <c r="R502" s="63"/>
      <c r="S502" s="63"/>
      <c r="T502" s="63"/>
      <c r="U502" s="63"/>
      <c r="V502" s="63"/>
      <c r="W502" s="63"/>
      <c r="X502" s="63"/>
      <c r="Y502" s="63"/>
      <c r="Z502" s="63"/>
      <c r="AA502" s="63"/>
      <c r="AB502" s="63"/>
      <c r="AC502" s="63"/>
    </row>
    <row r="503" spans="1:29">
      <c r="A503" s="62"/>
      <c r="B503" s="62"/>
      <c r="C503" s="62"/>
      <c r="D503" s="62"/>
      <c r="E503" s="62"/>
      <c r="F503" s="62"/>
      <c r="G503" s="62"/>
      <c r="H503" s="62"/>
      <c r="I503" s="62"/>
      <c r="J503" s="62"/>
      <c r="K503" s="53"/>
      <c r="L503" s="62"/>
      <c r="M503" s="63"/>
      <c r="N503" s="63"/>
      <c r="O503" s="63"/>
      <c r="P503" s="63"/>
      <c r="Q503" s="63"/>
      <c r="R503" s="63"/>
      <c r="S503" s="63"/>
      <c r="T503" s="63"/>
      <c r="U503" s="63"/>
      <c r="V503" s="63"/>
      <c r="W503" s="63"/>
      <c r="X503" s="63"/>
      <c r="Y503" s="63"/>
      <c r="Z503" s="63"/>
      <c r="AA503" s="63"/>
      <c r="AB503" s="63"/>
      <c r="AC503" s="63"/>
    </row>
    <row r="504" spans="1:29">
      <c r="A504" s="62"/>
      <c r="B504" s="62"/>
      <c r="C504" s="62"/>
      <c r="D504" s="62"/>
      <c r="E504" s="62"/>
      <c r="F504" s="62"/>
      <c r="G504" s="62"/>
      <c r="H504" s="62"/>
      <c r="I504" s="62"/>
      <c r="J504" s="62"/>
      <c r="K504" s="53"/>
      <c r="L504" s="62"/>
      <c r="M504" s="63"/>
      <c r="N504" s="63"/>
      <c r="O504" s="63"/>
      <c r="P504" s="63"/>
      <c r="Q504" s="63"/>
      <c r="R504" s="63"/>
      <c r="S504" s="63"/>
      <c r="T504" s="63"/>
      <c r="U504" s="63"/>
      <c r="V504" s="63"/>
      <c r="W504" s="63"/>
      <c r="X504" s="63"/>
      <c r="Y504" s="63"/>
      <c r="Z504" s="63"/>
      <c r="AA504" s="63"/>
      <c r="AB504" s="63"/>
      <c r="AC504" s="63"/>
    </row>
    <row r="505" spans="1:29">
      <c r="A505" s="62"/>
      <c r="B505" s="62"/>
      <c r="C505" s="62"/>
      <c r="D505" s="62"/>
      <c r="E505" s="62"/>
      <c r="F505" s="62"/>
      <c r="G505" s="62"/>
      <c r="H505" s="62"/>
      <c r="I505" s="62"/>
      <c r="J505" s="62"/>
      <c r="K505" s="53"/>
      <c r="L505" s="62"/>
      <c r="M505" s="63"/>
      <c r="N505" s="63"/>
      <c r="O505" s="63"/>
      <c r="P505" s="63"/>
      <c r="Q505" s="63"/>
      <c r="R505" s="63"/>
      <c r="S505" s="63"/>
      <c r="T505" s="63"/>
      <c r="U505" s="63"/>
      <c r="V505" s="63"/>
      <c r="W505" s="63"/>
      <c r="X505" s="63"/>
      <c r="Y505" s="63"/>
      <c r="Z505" s="63"/>
      <c r="AA505" s="63"/>
      <c r="AB505" s="63"/>
      <c r="AC505" s="63"/>
    </row>
    <row r="506" spans="1:29">
      <c r="A506" s="62"/>
      <c r="B506" s="62"/>
      <c r="C506" s="62"/>
      <c r="D506" s="62"/>
      <c r="E506" s="62"/>
      <c r="F506" s="62"/>
      <c r="G506" s="62"/>
      <c r="H506" s="62"/>
      <c r="I506" s="62"/>
      <c r="J506" s="62"/>
      <c r="K506" s="53"/>
      <c r="L506" s="62"/>
      <c r="M506" s="63"/>
      <c r="N506" s="63"/>
      <c r="O506" s="63"/>
      <c r="P506" s="63"/>
      <c r="Q506" s="63"/>
      <c r="R506" s="63"/>
      <c r="S506" s="63"/>
      <c r="T506" s="63"/>
      <c r="U506" s="63"/>
      <c r="V506" s="63"/>
      <c r="W506" s="63"/>
      <c r="X506" s="63"/>
      <c r="Y506" s="63"/>
      <c r="Z506" s="63"/>
      <c r="AA506" s="63"/>
      <c r="AB506" s="63"/>
      <c r="AC506" s="63"/>
    </row>
    <row r="507" spans="1:29">
      <c r="A507" s="62"/>
      <c r="B507" s="62"/>
      <c r="C507" s="62"/>
      <c r="D507" s="62"/>
      <c r="E507" s="62"/>
      <c r="F507" s="62"/>
      <c r="G507" s="62"/>
      <c r="H507" s="62"/>
      <c r="I507" s="62"/>
      <c r="J507" s="62"/>
      <c r="K507" s="53"/>
      <c r="L507" s="62"/>
      <c r="M507" s="63"/>
      <c r="N507" s="63"/>
      <c r="O507" s="63"/>
      <c r="P507" s="63"/>
      <c r="Q507" s="63"/>
      <c r="R507" s="63"/>
      <c r="S507" s="63"/>
      <c r="T507" s="63"/>
      <c r="U507" s="63"/>
      <c r="V507" s="63"/>
      <c r="W507" s="63"/>
      <c r="X507" s="63"/>
      <c r="Y507" s="63"/>
      <c r="Z507" s="63"/>
      <c r="AA507" s="63"/>
      <c r="AB507" s="63"/>
      <c r="AC507" s="63"/>
    </row>
    <row r="508" spans="1:29">
      <c r="A508" s="62"/>
      <c r="B508" s="62"/>
      <c r="C508" s="62"/>
      <c r="D508" s="62"/>
      <c r="E508" s="62"/>
      <c r="F508" s="62"/>
      <c r="G508" s="62"/>
      <c r="H508" s="62"/>
      <c r="I508" s="62"/>
      <c r="J508" s="62"/>
      <c r="K508" s="53"/>
      <c r="L508" s="62"/>
      <c r="M508" s="63"/>
      <c r="N508" s="63"/>
      <c r="O508" s="63"/>
      <c r="P508" s="63"/>
      <c r="Q508" s="63"/>
      <c r="R508" s="63"/>
      <c r="S508" s="63"/>
      <c r="T508" s="63"/>
      <c r="U508" s="63"/>
      <c r="V508" s="63"/>
      <c r="W508" s="63"/>
      <c r="X508" s="63"/>
      <c r="Y508" s="63"/>
      <c r="Z508" s="63"/>
      <c r="AA508" s="63"/>
      <c r="AB508" s="63"/>
      <c r="AC508" s="63"/>
    </row>
    <row r="509" spans="1:29">
      <c r="A509" s="62"/>
      <c r="B509" s="62"/>
      <c r="C509" s="62"/>
      <c r="D509" s="62"/>
      <c r="E509" s="62"/>
      <c r="F509" s="62"/>
      <c r="G509" s="62"/>
      <c r="H509" s="62"/>
      <c r="I509" s="62"/>
      <c r="J509" s="62"/>
      <c r="K509" s="53"/>
      <c r="L509" s="62"/>
      <c r="M509" s="63"/>
      <c r="N509" s="63"/>
      <c r="O509" s="63"/>
      <c r="P509" s="63"/>
      <c r="Q509" s="63"/>
      <c r="R509" s="63"/>
      <c r="S509" s="63"/>
      <c r="T509" s="63"/>
      <c r="U509" s="63"/>
      <c r="V509" s="63"/>
      <c r="W509" s="63"/>
      <c r="X509" s="63"/>
      <c r="Y509" s="63"/>
      <c r="Z509" s="63"/>
      <c r="AA509" s="63"/>
      <c r="AB509" s="63"/>
      <c r="AC509" s="63"/>
    </row>
    <row r="510" spans="1:29">
      <c r="A510" s="62"/>
      <c r="B510" s="62"/>
      <c r="C510" s="62"/>
      <c r="D510" s="62"/>
      <c r="E510" s="62"/>
      <c r="F510" s="62"/>
      <c r="G510" s="62"/>
      <c r="H510" s="62"/>
      <c r="I510" s="62"/>
      <c r="J510" s="62"/>
      <c r="K510" s="53"/>
      <c r="L510" s="62"/>
      <c r="M510" s="63"/>
      <c r="N510" s="63"/>
      <c r="O510" s="63"/>
      <c r="P510" s="63"/>
      <c r="Q510" s="63"/>
      <c r="R510" s="63"/>
      <c r="S510" s="63"/>
      <c r="T510" s="63"/>
      <c r="U510" s="63"/>
      <c r="V510" s="63"/>
      <c r="W510" s="63"/>
      <c r="X510" s="63"/>
      <c r="Y510" s="63"/>
      <c r="Z510" s="63"/>
      <c r="AA510" s="63"/>
      <c r="AB510" s="63"/>
      <c r="AC510" s="63"/>
    </row>
    <row r="511" spans="1:29">
      <c r="A511" s="62"/>
      <c r="B511" s="62"/>
      <c r="C511" s="62"/>
      <c r="D511" s="62"/>
      <c r="E511" s="62"/>
      <c r="F511" s="62"/>
      <c r="G511" s="62"/>
      <c r="H511" s="62"/>
      <c r="I511" s="62"/>
      <c r="J511" s="62"/>
      <c r="K511" s="53"/>
      <c r="L511" s="62"/>
      <c r="M511" s="63"/>
      <c r="N511" s="63"/>
      <c r="O511" s="63"/>
      <c r="P511" s="63"/>
      <c r="Q511" s="63"/>
      <c r="R511" s="63"/>
      <c r="S511" s="63"/>
      <c r="T511" s="63"/>
      <c r="U511" s="63"/>
      <c r="V511" s="63"/>
      <c r="W511" s="63"/>
      <c r="X511" s="63"/>
      <c r="Y511" s="63"/>
      <c r="Z511" s="63"/>
      <c r="AA511" s="63"/>
      <c r="AB511" s="63"/>
      <c r="AC511" s="63"/>
    </row>
    <row r="512" spans="1:29">
      <c r="A512" s="62"/>
      <c r="B512" s="62"/>
      <c r="C512" s="62"/>
      <c r="D512" s="62"/>
      <c r="E512" s="62"/>
      <c r="F512" s="62"/>
      <c r="G512" s="62"/>
      <c r="H512" s="62"/>
      <c r="I512" s="62"/>
      <c r="J512" s="62"/>
      <c r="K512" s="53"/>
      <c r="L512" s="62"/>
      <c r="M512" s="63"/>
      <c r="N512" s="63"/>
      <c r="O512" s="63"/>
      <c r="P512" s="63"/>
      <c r="Q512" s="63"/>
      <c r="R512" s="63"/>
      <c r="S512" s="63"/>
      <c r="T512" s="63"/>
      <c r="U512" s="63"/>
      <c r="V512" s="63"/>
      <c r="W512" s="63"/>
      <c r="X512" s="63"/>
      <c r="Y512" s="63"/>
      <c r="Z512" s="63"/>
      <c r="AA512" s="63"/>
      <c r="AB512" s="63"/>
      <c r="AC512" s="63"/>
    </row>
    <row r="513" spans="1:29">
      <c r="A513" s="62"/>
      <c r="B513" s="62"/>
      <c r="C513" s="62"/>
      <c r="D513" s="62"/>
      <c r="E513" s="62"/>
      <c r="F513" s="62"/>
      <c r="G513" s="62"/>
      <c r="H513" s="62"/>
      <c r="I513" s="62"/>
      <c r="J513" s="62"/>
      <c r="K513" s="53"/>
      <c r="L513" s="62"/>
      <c r="M513" s="63"/>
      <c r="N513" s="63"/>
      <c r="O513" s="63"/>
      <c r="P513" s="63"/>
      <c r="Q513" s="63"/>
      <c r="R513" s="63"/>
      <c r="S513" s="63"/>
      <c r="T513" s="63"/>
      <c r="U513" s="63"/>
      <c r="V513" s="63"/>
      <c r="W513" s="63"/>
      <c r="X513" s="63"/>
      <c r="Y513" s="63"/>
      <c r="Z513" s="63"/>
      <c r="AA513" s="63"/>
      <c r="AB513" s="63"/>
      <c r="AC513" s="63"/>
    </row>
    <row r="514" spans="1:29">
      <c r="A514" s="62"/>
      <c r="B514" s="62"/>
      <c r="C514" s="62"/>
      <c r="D514" s="62"/>
      <c r="E514" s="62"/>
      <c r="F514" s="62"/>
      <c r="G514" s="62"/>
      <c r="H514" s="62"/>
      <c r="I514" s="62"/>
      <c r="J514" s="62"/>
      <c r="K514" s="53"/>
      <c r="L514" s="62"/>
      <c r="M514" s="63"/>
      <c r="N514" s="63"/>
      <c r="O514" s="63"/>
      <c r="P514" s="63"/>
      <c r="Q514" s="63"/>
      <c r="R514" s="63"/>
      <c r="S514" s="63"/>
      <c r="T514" s="63"/>
      <c r="U514" s="63"/>
      <c r="V514" s="63"/>
      <c r="W514" s="63"/>
      <c r="X514" s="63"/>
      <c r="Y514" s="63"/>
      <c r="Z514" s="63"/>
      <c r="AA514" s="63"/>
      <c r="AB514" s="63"/>
      <c r="AC514" s="63"/>
    </row>
    <row r="515" spans="1:29">
      <c r="A515" s="62"/>
      <c r="B515" s="62"/>
      <c r="C515" s="62"/>
      <c r="D515" s="62"/>
      <c r="E515" s="62"/>
      <c r="F515" s="62"/>
      <c r="G515" s="62"/>
      <c r="H515" s="62"/>
      <c r="I515" s="62"/>
      <c r="J515" s="62"/>
      <c r="K515" s="53"/>
      <c r="L515" s="62"/>
      <c r="M515" s="63"/>
      <c r="N515" s="63"/>
      <c r="O515" s="63"/>
      <c r="P515" s="63"/>
      <c r="Q515" s="63"/>
      <c r="R515" s="63"/>
      <c r="S515" s="63"/>
      <c r="T515" s="63"/>
      <c r="U515" s="63"/>
      <c r="V515" s="63"/>
      <c r="W515" s="63"/>
      <c r="X515" s="63"/>
      <c r="Y515" s="63"/>
      <c r="Z515" s="63"/>
      <c r="AA515" s="63"/>
      <c r="AB515" s="63"/>
      <c r="AC515" s="63"/>
    </row>
    <row r="516" spans="1:29">
      <c r="A516" s="62"/>
      <c r="B516" s="62"/>
      <c r="C516" s="62"/>
      <c r="D516" s="62"/>
      <c r="E516" s="62"/>
      <c r="F516" s="62"/>
      <c r="G516" s="62"/>
      <c r="H516" s="62"/>
      <c r="I516" s="62"/>
      <c r="J516" s="62"/>
      <c r="K516" s="53"/>
      <c r="L516" s="62"/>
      <c r="M516" s="63"/>
      <c r="N516" s="63"/>
      <c r="O516" s="63"/>
      <c r="P516" s="63"/>
      <c r="Q516" s="63"/>
      <c r="R516" s="63"/>
      <c r="S516" s="63"/>
      <c r="T516" s="63"/>
      <c r="U516" s="63"/>
      <c r="V516" s="63"/>
      <c r="W516" s="63"/>
      <c r="X516" s="63"/>
      <c r="Y516" s="63"/>
      <c r="Z516" s="63"/>
      <c r="AA516" s="63"/>
      <c r="AB516" s="63"/>
      <c r="AC516" s="63"/>
    </row>
    <row r="517" spans="1:29">
      <c r="A517" s="62"/>
      <c r="B517" s="62"/>
      <c r="C517" s="62"/>
      <c r="D517" s="62"/>
      <c r="E517" s="62"/>
      <c r="F517" s="62"/>
      <c r="G517" s="62"/>
      <c r="H517" s="62"/>
      <c r="I517" s="62"/>
      <c r="J517" s="62"/>
      <c r="K517" s="53"/>
      <c r="L517" s="62"/>
      <c r="M517" s="63"/>
      <c r="N517" s="63"/>
      <c r="O517" s="63"/>
      <c r="P517" s="63"/>
      <c r="Q517" s="63"/>
      <c r="R517" s="63"/>
      <c r="S517" s="63"/>
      <c r="T517" s="63"/>
      <c r="U517" s="63"/>
      <c r="V517" s="63"/>
      <c r="W517" s="63"/>
      <c r="X517" s="63"/>
      <c r="Y517" s="63"/>
      <c r="Z517" s="63"/>
      <c r="AA517" s="63"/>
      <c r="AB517" s="63"/>
      <c r="AC517" s="63"/>
    </row>
    <row r="518" spans="1:29">
      <c r="A518" s="62"/>
      <c r="B518" s="62"/>
      <c r="C518" s="62"/>
      <c r="D518" s="62"/>
      <c r="E518" s="62"/>
      <c r="F518" s="62"/>
      <c r="G518" s="62"/>
      <c r="H518" s="62"/>
      <c r="I518" s="62"/>
      <c r="J518" s="62"/>
      <c r="K518" s="53"/>
      <c r="L518" s="62"/>
      <c r="M518" s="63"/>
      <c r="N518" s="63"/>
      <c r="O518" s="63"/>
      <c r="P518" s="63"/>
      <c r="Q518" s="63"/>
      <c r="R518" s="63"/>
      <c r="S518" s="63"/>
      <c r="T518" s="63"/>
      <c r="U518" s="63"/>
      <c r="V518" s="63"/>
      <c r="W518" s="63"/>
      <c r="X518" s="63"/>
      <c r="Y518" s="63"/>
      <c r="Z518" s="63"/>
      <c r="AA518" s="63"/>
      <c r="AB518" s="63"/>
      <c r="AC518" s="63"/>
    </row>
    <row r="519" spans="1:29">
      <c r="A519" s="62"/>
      <c r="B519" s="62"/>
      <c r="C519" s="62"/>
      <c r="D519" s="62"/>
      <c r="E519" s="62"/>
      <c r="F519" s="62"/>
      <c r="G519" s="62"/>
      <c r="H519" s="62"/>
      <c r="I519" s="62"/>
      <c r="J519" s="62"/>
      <c r="K519" s="53"/>
      <c r="L519" s="62"/>
      <c r="M519" s="63"/>
      <c r="N519" s="63"/>
      <c r="O519" s="63"/>
      <c r="P519" s="63"/>
      <c r="Q519" s="63"/>
      <c r="R519" s="63"/>
      <c r="S519" s="63"/>
      <c r="T519" s="63"/>
      <c r="U519" s="63"/>
      <c r="V519" s="63"/>
      <c r="W519" s="63"/>
      <c r="X519" s="63"/>
      <c r="Y519" s="63"/>
      <c r="Z519" s="63"/>
      <c r="AA519" s="63"/>
      <c r="AB519" s="63"/>
      <c r="AC519" s="63"/>
    </row>
    <row r="520" spans="1:29">
      <c r="A520" s="62"/>
      <c r="B520" s="62"/>
      <c r="C520" s="62"/>
      <c r="D520" s="62"/>
      <c r="E520" s="62"/>
      <c r="F520" s="62"/>
      <c r="G520" s="62"/>
      <c r="H520" s="62"/>
      <c r="I520" s="62"/>
      <c r="J520" s="62"/>
      <c r="K520" s="53"/>
      <c r="L520" s="62"/>
      <c r="M520" s="63"/>
      <c r="N520" s="63"/>
      <c r="O520" s="63"/>
      <c r="P520" s="63"/>
      <c r="Q520" s="63"/>
      <c r="R520" s="63"/>
      <c r="S520" s="63"/>
      <c r="T520" s="63"/>
      <c r="U520" s="63"/>
      <c r="V520" s="63"/>
      <c r="W520" s="63"/>
      <c r="X520" s="63"/>
      <c r="Y520" s="63"/>
      <c r="Z520" s="63"/>
      <c r="AA520" s="63"/>
      <c r="AB520" s="63"/>
      <c r="AC520" s="63"/>
    </row>
    <row r="521" spans="1:29">
      <c r="A521" s="62"/>
      <c r="B521" s="62"/>
      <c r="C521" s="62"/>
      <c r="D521" s="62"/>
      <c r="E521" s="62"/>
      <c r="F521" s="62"/>
      <c r="G521" s="62"/>
      <c r="H521" s="62"/>
      <c r="I521" s="62"/>
      <c r="J521" s="62"/>
      <c r="K521" s="53"/>
      <c r="L521" s="62"/>
      <c r="M521" s="63"/>
      <c r="N521" s="63"/>
      <c r="O521" s="63"/>
      <c r="P521" s="63"/>
      <c r="Q521" s="63"/>
      <c r="R521" s="63"/>
      <c r="S521" s="63"/>
      <c r="T521" s="63"/>
      <c r="U521" s="63"/>
      <c r="V521" s="63"/>
      <c r="W521" s="63"/>
      <c r="X521" s="63"/>
      <c r="Y521" s="63"/>
      <c r="Z521" s="63"/>
      <c r="AA521" s="63"/>
      <c r="AB521" s="63"/>
      <c r="AC521" s="63"/>
    </row>
    <row r="522" spans="1:29">
      <c r="A522" s="62"/>
      <c r="B522" s="62"/>
      <c r="C522" s="62"/>
      <c r="D522" s="62"/>
      <c r="E522" s="62"/>
      <c r="F522" s="62"/>
      <c r="G522" s="62"/>
      <c r="H522" s="62"/>
      <c r="I522" s="62"/>
      <c r="J522" s="62"/>
      <c r="K522" s="53"/>
      <c r="L522" s="62"/>
      <c r="M522" s="63"/>
      <c r="N522" s="63"/>
      <c r="O522" s="63"/>
      <c r="P522" s="63"/>
      <c r="Q522" s="63"/>
      <c r="R522" s="63"/>
      <c r="S522" s="63"/>
      <c r="T522" s="63"/>
      <c r="U522" s="63"/>
      <c r="V522" s="63"/>
      <c r="W522" s="63"/>
      <c r="X522" s="63"/>
      <c r="Y522" s="63"/>
      <c r="Z522" s="63"/>
      <c r="AA522" s="63"/>
      <c r="AB522" s="63"/>
      <c r="AC522" s="63"/>
    </row>
    <row r="523" spans="1:29">
      <c r="A523" s="62"/>
      <c r="B523" s="62"/>
      <c r="C523" s="62"/>
      <c r="D523" s="62"/>
      <c r="E523" s="62"/>
      <c r="F523" s="62"/>
      <c r="G523" s="62"/>
      <c r="H523" s="62"/>
      <c r="I523" s="62"/>
      <c r="J523" s="62"/>
      <c r="K523" s="53"/>
      <c r="L523" s="62"/>
      <c r="M523" s="63"/>
      <c r="N523" s="63"/>
      <c r="O523" s="63"/>
      <c r="P523" s="63"/>
      <c r="Q523" s="63"/>
      <c r="R523" s="63"/>
      <c r="S523" s="63"/>
      <c r="T523" s="63"/>
      <c r="U523" s="63"/>
      <c r="V523" s="63"/>
      <c r="W523" s="63"/>
      <c r="X523" s="63"/>
      <c r="Y523" s="63"/>
      <c r="Z523" s="63"/>
      <c r="AA523" s="63"/>
      <c r="AB523" s="63"/>
      <c r="AC523" s="63"/>
    </row>
    <row r="524" spans="1:29">
      <c r="A524" s="62"/>
      <c r="B524" s="62"/>
      <c r="C524" s="62"/>
      <c r="D524" s="62"/>
      <c r="E524" s="62"/>
      <c r="F524" s="62"/>
      <c r="G524" s="62"/>
      <c r="H524" s="62"/>
      <c r="I524" s="62"/>
      <c r="J524" s="62"/>
      <c r="K524" s="53"/>
      <c r="L524" s="62"/>
      <c r="M524" s="63"/>
      <c r="N524" s="63"/>
      <c r="O524" s="63"/>
      <c r="P524" s="63"/>
      <c r="Q524" s="63"/>
      <c r="R524" s="63"/>
      <c r="S524" s="63"/>
      <c r="T524" s="63"/>
      <c r="U524" s="63"/>
      <c r="V524" s="63"/>
      <c r="W524" s="63"/>
      <c r="X524" s="63"/>
      <c r="Y524" s="63"/>
      <c r="Z524" s="63"/>
      <c r="AA524" s="63"/>
      <c r="AB524" s="63"/>
      <c r="AC524" s="63"/>
    </row>
    <row r="525" spans="1:29">
      <c r="A525" s="62"/>
      <c r="B525" s="62"/>
      <c r="C525" s="62"/>
      <c r="D525" s="62"/>
      <c r="E525" s="62"/>
      <c r="F525" s="62"/>
      <c r="G525" s="62"/>
      <c r="H525" s="62"/>
      <c r="I525" s="62"/>
      <c r="J525" s="62"/>
      <c r="K525" s="53"/>
      <c r="L525" s="62"/>
      <c r="M525" s="63"/>
      <c r="N525" s="63"/>
      <c r="O525" s="63"/>
      <c r="P525" s="63"/>
      <c r="Q525" s="63"/>
      <c r="R525" s="63"/>
      <c r="S525" s="63"/>
      <c r="T525" s="63"/>
      <c r="U525" s="63"/>
      <c r="V525" s="63"/>
      <c r="W525" s="63"/>
      <c r="X525" s="63"/>
      <c r="Y525" s="63"/>
      <c r="Z525" s="63"/>
      <c r="AA525" s="63"/>
      <c r="AB525" s="63"/>
      <c r="AC525" s="63"/>
    </row>
    <row r="526" spans="1:29">
      <c r="A526" s="62"/>
      <c r="B526" s="62"/>
      <c r="C526" s="62"/>
      <c r="D526" s="62"/>
      <c r="E526" s="62"/>
      <c r="F526" s="62"/>
      <c r="G526" s="62"/>
      <c r="H526" s="62"/>
      <c r="I526" s="62"/>
      <c r="J526" s="62"/>
      <c r="K526" s="53"/>
      <c r="L526" s="62"/>
      <c r="M526" s="63"/>
      <c r="N526" s="63"/>
      <c r="O526" s="63"/>
      <c r="P526" s="63"/>
      <c r="Q526" s="63"/>
      <c r="R526" s="63"/>
      <c r="S526" s="63"/>
      <c r="T526" s="63"/>
      <c r="U526" s="63"/>
      <c r="V526" s="63"/>
      <c r="W526" s="63"/>
      <c r="X526" s="63"/>
      <c r="Y526" s="63"/>
      <c r="Z526" s="63"/>
      <c r="AA526" s="63"/>
      <c r="AB526" s="63"/>
      <c r="AC526" s="63"/>
    </row>
    <row r="527" spans="1:29">
      <c r="A527" s="62"/>
      <c r="B527" s="62"/>
      <c r="C527" s="62"/>
      <c r="D527" s="62"/>
      <c r="E527" s="62"/>
      <c r="F527" s="62"/>
      <c r="G527" s="62"/>
      <c r="H527" s="62"/>
      <c r="I527" s="62"/>
      <c r="J527" s="62"/>
      <c r="K527" s="53"/>
      <c r="L527" s="62"/>
      <c r="M527" s="63"/>
      <c r="N527" s="63"/>
      <c r="O527" s="63"/>
      <c r="P527" s="63"/>
      <c r="Q527" s="63"/>
      <c r="R527" s="63"/>
      <c r="S527" s="63"/>
      <c r="T527" s="63"/>
      <c r="U527" s="63"/>
      <c r="V527" s="63"/>
      <c r="W527" s="63"/>
      <c r="X527" s="63"/>
      <c r="Y527" s="63"/>
      <c r="Z527" s="63"/>
      <c r="AA527" s="63"/>
      <c r="AB527" s="63"/>
      <c r="AC527" s="63"/>
    </row>
    <row r="528" spans="1:29">
      <c r="A528" s="62"/>
      <c r="B528" s="62"/>
      <c r="C528" s="62"/>
      <c r="D528" s="62"/>
      <c r="E528" s="62"/>
      <c r="F528" s="62"/>
      <c r="G528" s="62"/>
      <c r="H528" s="62"/>
      <c r="I528" s="62"/>
      <c r="J528" s="62"/>
      <c r="K528" s="53"/>
      <c r="L528" s="62"/>
      <c r="M528" s="63"/>
      <c r="N528" s="63"/>
      <c r="O528" s="63"/>
      <c r="P528" s="63"/>
      <c r="Q528" s="63"/>
      <c r="R528" s="63"/>
      <c r="S528" s="63"/>
      <c r="T528" s="63"/>
      <c r="U528" s="63"/>
      <c r="V528" s="63"/>
      <c r="W528" s="63"/>
      <c r="X528" s="63"/>
      <c r="Y528" s="63"/>
      <c r="Z528" s="63"/>
      <c r="AA528" s="63"/>
      <c r="AB528" s="63"/>
      <c r="AC528" s="63"/>
    </row>
    <row r="529" spans="1:29">
      <c r="A529" s="62"/>
      <c r="B529" s="62"/>
      <c r="C529" s="62"/>
      <c r="D529" s="62"/>
      <c r="E529" s="62"/>
      <c r="F529" s="62"/>
      <c r="G529" s="62"/>
      <c r="H529" s="62"/>
      <c r="I529" s="62"/>
      <c r="J529" s="62"/>
      <c r="K529" s="53"/>
      <c r="L529" s="62"/>
      <c r="M529" s="63"/>
      <c r="N529" s="63"/>
      <c r="O529" s="63"/>
      <c r="P529" s="63"/>
      <c r="Q529" s="63"/>
      <c r="R529" s="63"/>
      <c r="S529" s="63"/>
      <c r="T529" s="63"/>
      <c r="U529" s="63"/>
      <c r="V529" s="63"/>
      <c r="W529" s="63"/>
      <c r="X529" s="63"/>
      <c r="Y529" s="63"/>
      <c r="Z529" s="63"/>
      <c r="AA529" s="63"/>
      <c r="AB529" s="63"/>
      <c r="AC529" s="63"/>
    </row>
    <row r="530" spans="1:29">
      <c r="A530" s="62"/>
      <c r="B530" s="62"/>
      <c r="C530" s="62"/>
      <c r="D530" s="62"/>
      <c r="E530" s="62"/>
      <c r="F530" s="62"/>
      <c r="G530" s="62"/>
      <c r="H530" s="62"/>
      <c r="I530" s="62"/>
      <c r="J530" s="62"/>
      <c r="K530" s="53"/>
      <c r="L530" s="62"/>
      <c r="M530" s="63"/>
      <c r="N530" s="63"/>
      <c r="O530" s="63"/>
      <c r="P530" s="63"/>
      <c r="Q530" s="63"/>
      <c r="R530" s="63"/>
      <c r="S530" s="63"/>
      <c r="T530" s="63"/>
      <c r="U530" s="63"/>
      <c r="V530" s="63"/>
      <c r="W530" s="63"/>
      <c r="X530" s="63"/>
      <c r="Y530" s="63"/>
      <c r="Z530" s="63"/>
      <c r="AA530" s="63"/>
      <c r="AB530" s="63"/>
      <c r="AC530" s="63"/>
    </row>
    <row r="531" spans="1:29">
      <c r="A531" s="62"/>
      <c r="B531" s="62"/>
      <c r="C531" s="62"/>
      <c r="D531" s="62"/>
      <c r="E531" s="62"/>
      <c r="F531" s="62"/>
      <c r="G531" s="62"/>
      <c r="H531" s="62"/>
      <c r="I531" s="62"/>
      <c r="J531" s="62"/>
      <c r="K531" s="53"/>
      <c r="L531" s="62"/>
      <c r="M531" s="63"/>
      <c r="N531" s="63"/>
      <c r="O531" s="63"/>
      <c r="P531" s="63"/>
      <c r="Q531" s="63"/>
      <c r="R531" s="63"/>
      <c r="S531" s="63"/>
      <c r="T531" s="63"/>
      <c r="U531" s="63"/>
      <c r="V531" s="63"/>
      <c r="W531" s="63"/>
      <c r="X531" s="63"/>
      <c r="Y531" s="63"/>
      <c r="Z531" s="63"/>
      <c r="AA531" s="63"/>
      <c r="AB531" s="63"/>
      <c r="AC531" s="63"/>
    </row>
    <row r="532" spans="1:29">
      <c r="A532" s="62"/>
      <c r="B532" s="62"/>
      <c r="C532" s="62"/>
      <c r="D532" s="62"/>
      <c r="E532" s="62"/>
      <c r="F532" s="62"/>
      <c r="G532" s="62"/>
      <c r="H532" s="62"/>
      <c r="I532" s="62"/>
      <c r="J532" s="62"/>
      <c r="K532" s="53"/>
      <c r="L532" s="62"/>
      <c r="M532" s="63"/>
      <c r="N532" s="63"/>
      <c r="O532" s="63"/>
      <c r="P532" s="63"/>
      <c r="Q532" s="63"/>
      <c r="R532" s="63"/>
      <c r="S532" s="63"/>
      <c r="T532" s="63"/>
      <c r="U532" s="63"/>
      <c r="V532" s="63"/>
      <c r="W532" s="63"/>
      <c r="X532" s="63"/>
      <c r="Y532" s="63"/>
      <c r="Z532" s="63"/>
      <c r="AA532" s="63"/>
      <c r="AB532" s="63"/>
      <c r="AC532" s="63"/>
    </row>
    <row r="533" spans="1:29">
      <c r="A533" s="62"/>
      <c r="B533" s="62"/>
      <c r="C533" s="62"/>
      <c r="D533" s="62"/>
      <c r="E533" s="62"/>
      <c r="F533" s="62"/>
      <c r="G533" s="62"/>
      <c r="H533" s="62"/>
      <c r="I533" s="62"/>
      <c r="J533" s="62"/>
      <c r="K533" s="53"/>
      <c r="L533" s="62"/>
      <c r="M533" s="63"/>
      <c r="N533" s="63"/>
      <c r="O533" s="63"/>
      <c r="P533" s="63"/>
      <c r="Q533" s="63"/>
      <c r="R533" s="63"/>
      <c r="S533" s="63"/>
      <c r="T533" s="63"/>
      <c r="U533" s="63"/>
      <c r="V533" s="63"/>
      <c r="W533" s="63"/>
      <c r="X533" s="63"/>
      <c r="Y533" s="63"/>
      <c r="Z533" s="63"/>
      <c r="AA533" s="63"/>
      <c r="AB533" s="63"/>
      <c r="AC533" s="63"/>
    </row>
    <row r="534" spans="1:29">
      <c r="A534" s="62"/>
      <c r="B534" s="62"/>
      <c r="C534" s="62"/>
      <c r="D534" s="62"/>
      <c r="E534" s="62"/>
      <c r="F534" s="62"/>
      <c r="G534" s="62"/>
      <c r="H534" s="62"/>
      <c r="I534" s="62"/>
      <c r="J534" s="62"/>
      <c r="K534" s="53"/>
      <c r="L534" s="62"/>
      <c r="M534" s="63"/>
      <c r="N534" s="63"/>
      <c r="O534" s="63"/>
      <c r="P534" s="63"/>
      <c r="Q534" s="63"/>
      <c r="R534" s="63"/>
      <c r="S534" s="63"/>
      <c r="T534" s="63"/>
      <c r="U534" s="63"/>
      <c r="V534" s="63"/>
      <c r="W534" s="63"/>
      <c r="X534" s="63"/>
      <c r="Y534" s="63"/>
      <c r="Z534" s="63"/>
      <c r="AA534" s="63"/>
      <c r="AB534" s="63"/>
      <c r="AC534" s="63"/>
    </row>
    <row r="535" spans="1:29">
      <c r="A535" s="62"/>
      <c r="B535" s="62"/>
      <c r="C535" s="62"/>
      <c r="D535" s="62"/>
      <c r="E535" s="62"/>
      <c r="F535" s="62"/>
      <c r="G535" s="62"/>
      <c r="H535" s="62"/>
      <c r="I535" s="62"/>
      <c r="J535" s="62"/>
      <c r="K535" s="53"/>
      <c r="L535" s="62"/>
      <c r="M535" s="63"/>
      <c r="N535" s="63"/>
      <c r="O535" s="63"/>
      <c r="P535" s="63"/>
      <c r="Q535" s="63"/>
      <c r="R535" s="63"/>
      <c r="S535" s="63"/>
      <c r="T535" s="63"/>
      <c r="U535" s="63"/>
      <c r="V535" s="63"/>
      <c r="W535" s="63"/>
      <c r="X535" s="63"/>
      <c r="Y535" s="63"/>
      <c r="Z535" s="63"/>
      <c r="AA535" s="63"/>
      <c r="AB535" s="63"/>
      <c r="AC535" s="63"/>
    </row>
    <row r="536" spans="1:29">
      <c r="A536" s="62"/>
      <c r="B536" s="62"/>
      <c r="C536" s="62"/>
      <c r="D536" s="62"/>
      <c r="E536" s="62"/>
      <c r="F536" s="62"/>
      <c r="G536" s="62"/>
      <c r="H536" s="62"/>
      <c r="I536" s="62"/>
      <c r="J536" s="62"/>
      <c r="K536" s="53"/>
      <c r="L536" s="62"/>
      <c r="M536" s="63"/>
      <c r="N536" s="63"/>
      <c r="O536" s="63"/>
      <c r="P536" s="63"/>
      <c r="Q536" s="63"/>
      <c r="R536" s="63"/>
      <c r="S536" s="63"/>
      <c r="T536" s="63"/>
      <c r="U536" s="63"/>
      <c r="V536" s="63"/>
      <c r="W536" s="63"/>
      <c r="X536" s="63"/>
      <c r="Y536" s="63"/>
      <c r="Z536" s="63"/>
      <c r="AA536" s="63"/>
      <c r="AB536" s="63"/>
      <c r="AC536" s="63"/>
    </row>
    <row r="537" spans="1:29">
      <c r="A537" s="62"/>
      <c r="B537" s="62"/>
      <c r="C537" s="62"/>
      <c r="D537" s="62"/>
      <c r="E537" s="62"/>
      <c r="F537" s="62"/>
      <c r="G537" s="62"/>
      <c r="H537" s="62"/>
      <c r="I537" s="62"/>
      <c r="J537" s="62"/>
      <c r="K537" s="53"/>
      <c r="L537" s="62"/>
      <c r="M537" s="63"/>
      <c r="N537" s="63"/>
      <c r="O537" s="63"/>
      <c r="P537" s="63"/>
      <c r="Q537" s="63"/>
      <c r="R537" s="63"/>
      <c r="S537" s="63"/>
      <c r="T537" s="63"/>
      <c r="U537" s="63"/>
      <c r="V537" s="63"/>
      <c r="W537" s="63"/>
      <c r="X537" s="63"/>
      <c r="Y537" s="63"/>
      <c r="Z537" s="63"/>
      <c r="AA537" s="63"/>
      <c r="AB537" s="63"/>
      <c r="AC537" s="63"/>
    </row>
    <row r="538" spans="1:29">
      <c r="A538" s="62"/>
      <c r="B538" s="62"/>
      <c r="C538" s="62"/>
      <c r="D538" s="62"/>
      <c r="E538" s="62"/>
      <c r="F538" s="62"/>
      <c r="G538" s="62"/>
      <c r="H538" s="62"/>
      <c r="I538" s="62"/>
      <c r="J538" s="62"/>
      <c r="K538" s="53"/>
      <c r="L538" s="62"/>
      <c r="M538" s="63"/>
      <c r="N538" s="63"/>
      <c r="O538" s="63"/>
      <c r="P538" s="63"/>
      <c r="Q538" s="63"/>
      <c r="R538" s="63"/>
      <c r="S538" s="63"/>
      <c r="T538" s="63"/>
      <c r="U538" s="63"/>
      <c r="V538" s="63"/>
      <c r="W538" s="63"/>
      <c r="X538" s="63"/>
      <c r="Y538" s="63"/>
      <c r="Z538" s="63"/>
      <c r="AA538" s="63"/>
      <c r="AB538" s="63"/>
      <c r="AC538" s="63"/>
    </row>
    <row r="539" spans="1:29">
      <c r="A539" s="62"/>
      <c r="B539" s="62"/>
      <c r="C539" s="62"/>
      <c r="D539" s="62"/>
      <c r="E539" s="62"/>
      <c r="F539" s="62"/>
      <c r="G539" s="62"/>
      <c r="H539" s="62"/>
      <c r="I539" s="62"/>
      <c r="J539" s="62"/>
      <c r="K539" s="53"/>
      <c r="L539" s="62"/>
      <c r="M539" s="63"/>
      <c r="N539" s="63"/>
      <c r="O539" s="63"/>
      <c r="P539" s="63"/>
      <c r="Q539" s="63"/>
      <c r="R539" s="63"/>
      <c r="S539" s="63"/>
      <c r="T539" s="63"/>
      <c r="U539" s="63"/>
      <c r="V539" s="63"/>
      <c r="W539" s="63"/>
      <c r="X539" s="63"/>
      <c r="Y539" s="63"/>
      <c r="Z539" s="63"/>
      <c r="AA539" s="63"/>
      <c r="AB539" s="63"/>
      <c r="AC539" s="63"/>
    </row>
    <row r="540" spans="1:29">
      <c r="A540" s="62"/>
      <c r="B540" s="62"/>
      <c r="C540" s="62"/>
      <c r="D540" s="62"/>
      <c r="E540" s="62"/>
      <c r="F540" s="62"/>
      <c r="G540" s="62"/>
      <c r="H540" s="62"/>
      <c r="I540" s="62"/>
      <c r="J540" s="62"/>
      <c r="K540" s="53"/>
      <c r="L540" s="62"/>
      <c r="M540" s="63"/>
      <c r="N540" s="63"/>
      <c r="O540" s="63"/>
      <c r="P540" s="63"/>
      <c r="Q540" s="63"/>
      <c r="R540" s="63"/>
      <c r="S540" s="63"/>
      <c r="T540" s="63"/>
      <c r="U540" s="63"/>
      <c r="V540" s="63"/>
      <c r="W540" s="63"/>
      <c r="X540" s="63"/>
      <c r="Y540" s="63"/>
      <c r="Z540" s="63"/>
      <c r="AA540" s="63"/>
      <c r="AB540" s="63"/>
      <c r="AC540" s="63"/>
    </row>
    <row r="541" spans="1:29">
      <c r="A541" s="62"/>
      <c r="B541" s="62"/>
      <c r="C541" s="62"/>
      <c r="D541" s="62"/>
      <c r="E541" s="62"/>
      <c r="F541" s="62"/>
      <c r="G541" s="62"/>
      <c r="H541" s="62"/>
      <c r="I541" s="62"/>
      <c r="J541" s="62"/>
      <c r="K541" s="53"/>
      <c r="L541" s="62"/>
      <c r="M541" s="63"/>
      <c r="N541" s="63"/>
      <c r="O541" s="63"/>
      <c r="P541" s="63"/>
      <c r="Q541" s="63"/>
      <c r="R541" s="63"/>
      <c r="S541" s="63"/>
      <c r="T541" s="63"/>
      <c r="U541" s="63"/>
      <c r="V541" s="63"/>
      <c r="W541" s="63"/>
      <c r="X541" s="63"/>
      <c r="Y541" s="63"/>
      <c r="Z541" s="63"/>
      <c r="AA541" s="63"/>
      <c r="AB541" s="63"/>
      <c r="AC541" s="63"/>
    </row>
    <row r="542" spans="1:29">
      <c r="A542" s="62"/>
      <c r="B542" s="62"/>
      <c r="C542" s="62"/>
      <c r="D542" s="62"/>
      <c r="E542" s="62"/>
      <c r="F542" s="62"/>
      <c r="G542" s="62"/>
      <c r="H542" s="62"/>
      <c r="I542" s="62"/>
      <c r="J542" s="62"/>
      <c r="K542" s="53"/>
      <c r="L542" s="62"/>
      <c r="M542" s="63"/>
      <c r="N542" s="63"/>
      <c r="O542" s="63"/>
      <c r="P542" s="63"/>
      <c r="Q542" s="63"/>
      <c r="R542" s="63"/>
      <c r="S542" s="63"/>
      <c r="T542" s="63"/>
      <c r="U542" s="63"/>
      <c r="V542" s="63"/>
      <c r="W542" s="63"/>
      <c r="X542" s="63"/>
      <c r="Y542" s="63"/>
      <c r="Z542" s="63"/>
      <c r="AA542" s="63"/>
      <c r="AB542" s="63"/>
      <c r="AC542" s="63"/>
    </row>
    <row r="543" spans="1:29">
      <c r="A543" s="62"/>
      <c r="B543" s="62"/>
      <c r="C543" s="62"/>
      <c r="D543" s="62"/>
      <c r="E543" s="62"/>
      <c r="F543" s="62"/>
      <c r="G543" s="62"/>
      <c r="H543" s="62"/>
      <c r="I543" s="62"/>
      <c r="J543" s="62"/>
      <c r="K543" s="53"/>
      <c r="L543" s="62"/>
      <c r="M543" s="63"/>
      <c r="N543" s="63"/>
      <c r="O543" s="63"/>
      <c r="P543" s="63"/>
      <c r="Q543" s="63"/>
      <c r="R543" s="63"/>
      <c r="S543" s="63"/>
      <c r="T543" s="63"/>
      <c r="U543" s="63"/>
      <c r="V543" s="63"/>
      <c r="W543" s="63"/>
      <c r="X543" s="63"/>
      <c r="Y543" s="63"/>
      <c r="Z543" s="63"/>
      <c r="AA543" s="63"/>
      <c r="AB543" s="63"/>
      <c r="AC543" s="63"/>
    </row>
    <row r="544" spans="1:29">
      <c r="A544" s="62"/>
      <c r="B544" s="62"/>
      <c r="C544" s="62"/>
      <c r="D544" s="62"/>
      <c r="E544" s="62"/>
      <c r="F544" s="62"/>
      <c r="G544" s="62"/>
      <c r="H544" s="62"/>
      <c r="I544" s="62"/>
      <c r="J544" s="62"/>
      <c r="K544" s="53"/>
      <c r="L544" s="62"/>
      <c r="M544" s="63"/>
      <c r="N544" s="63"/>
      <c r="O544" s="63"/>
      <c r="P544" s="63"/>
      <c r="Q544" s="63"/>
      <c r="R544" s="63"/>
      <c r="S544" s="63"/>
      <c r="T544" s="63"/>
      <c r="U544" s="63"/>
      <c r="V544" s="63"/>
      <c r="W544" s="63"/>
      <c r="X544" s="63"/>
      <c r="Y544" s="63"/>
      <c r="Z544" s="63"/>
      <c r="AA544" s="63"/>
      <c r="AB544" s="63"/>
      <c r="AC544" s="63"/>
    </row>
    <row r="545" spans="1:29">
      <c r="A545" s="62"/>
      <c r="B545" s="62"/>
      <c r="C545" s="62"/>
      <c r="D545" s="62"/>
      <c r="E545" s="62"/>
      <c r="F545" s="62"/>
      <c r="G545" s="62"/>
      <c r="H545" s="62"/>
      <c r="I545" s="62"/>
      <c r="J545" s="62"/>
      <c r="K545" s="53"/>
      <c r="L545" s="62"/>
      <c r="M545" s="63"/>
      <c r="N545" s="63"/>
      <c r="O545" s="63"/>
      <c r="P545" s="63"/>
      <c r="Q545" s="63"/>
      <c r="R545" s="63"/>
      <c r="S545" s="63"/>
      <c r="T545" s="63"/>
      <c r="U545" s="63"/>
      <c r="V545" s="63"/>
      <c r="W545" s="63"/>
      <c r="X545" s="63"/>
      <c r="Y545" s="63"/>
      <c r="Z545" s="63"/>
      <c r="AA545" s="63"/>
      <c r="AB545" s="63"/>
      <c r="AC545" s="63"/>
    </row>
    <row r="546" spans="1:29">
      <c r="A546" s="62"/>
      <c r="B546" s="62"/>
      <c r="C546" s="62"/>
      <c r="D546" s="62"/>
      <c r="E546" s="62"/>
      <c r="F546" s="62"/>
      <c r="G546" s="62"/>
      <c r="H546" s="62"/>
      <c r="I546" s="62"/>
      <c r="J546" s="62"/>
      <c r="K546" s="53"/>
      <c r="L546" s="62"/>
      <c r="M546" s="63"/>
      <c r="N546" s="63"/>
      <c r="O546" s="63"/>
      <c r="P546" s="63"/>
      <c r="Q546" s="63"/>
      <c r="R546" s="63"/>
      <c r="S546" s="63"/>
      <c r="T546" s="63"/>
      <c r="U546" s="63"/>
      <c r="V546" s="63"/>
      <c r="W546" s="63"/>
      <c r="X546" s="63"/>
      <c r="Y546" s="63"/>
      <c r="Z546" s="63"/>
      <c r="AA546" s="63"/>
      <c r="AB546" s="63"/>
      <c r="AC546" s="63"/>
    </row>
    <row r="547" spans="1:29">
      <c r="A547" s="62"/>
      <c r="B547" s="62"/>
      <c r="C547" s="62"/>
      <c r="D547" s="62"/>
      <c r="E547" s="62"/>
      <c r="F547" s="62"/>
      <c r="G547" s="62"/>
      <c r="H547" s="62"/>
      <c r="I547" s="62"/>
      <c r="J547" s="62"/>
      <c r="K547" s="53"/>
      <c r="L547" s="62"/>
      <c r="M547" s="63"/>
      <c r="N547" s="63"/>
      <c r="O547" s="63"/>
      <c r="P547" s="63"/>
      <c r="Q547" s="63"/>
      <c r="R547" s="63"/>
      <c r="S547" s="63"/>
      <c r="T547" s="63"/>
      <c r="U547" s="63"/>
      <c r="V547" s="63"/>
      <c r="W547" s="63"/>
      <c r="X547" s="63"/>
      <c r="Y547" s="63"/>
      <c r="Z547" s="63"/>
      <c r="AA547" s="63"/>
      <c r="AB547" s="63"/>
      <c r="AC547" s="63"/>
    </row>
    <row r="548" spans="1:29">
      <c r="A548" s="62"/>
      <c r="B548" s="62"/>
      <c r="C548" s="62"/>
      <c r="D548" s="62"/>
      <c r="E548" s="62"/>
      <c r="F548" s="62"/>
      <c r="G548" s="62"/>
      <c r="H548" s="62"/>
      <c r="I548" s="62"/>
      <c r="J548" s="62"/>
      <c r="K548" s="53"/>
      <c r="L548" s="62"/>
      <c r="M548" s="63"/>
      <c r="N548" s="63"/>
      <c r="O548" s="63"/>
      <c r="P548" s="63"/>
      <c r="Q548" s="63"/>
      <c r="R548" s="63"/>
      <c r="S548" s="63"/>
      <c r="T548" s="63"/>
      <c r="U548" s="63"/>
      <c r="V548" s="63"/>
      <c r="W548" s="63"/>
      <c r="X548" s="63"/>
      <c r="Y548" s="63"/>
      <c r="Z548" s="63"/>
      <c r="AA548" s="63"/>
      <c r="AB548" s="63"/>
      <c r="AC548" s="63"/>
    </row>
    <row r="549" spans="1:29">
      <c r="A549" s="62"/>
      <c r="B549" s="62"/>
      <c r="C549" s="62"/>
      <c r="D549" s="62"/>
      <c r="E549" s="62"/>
      <c r="F549" s="62"/>
      <c r="G549" s="62"/>
      <c r="H549" s="62"/>
      <c r="I549" s="62"/>
      <c r="J549" s="62"/>
      <c r="K549" s="53"/>
      <c r="L549" s="62"/>
      <c r="M549" s="63"/>
      <c r="N549" s="63"/>
      <c r="O549" s="63"/>
      <c r="P549" s="63"/>
      <c r="Q549" s="63"/>
      <c r="R549" s="63"/>
      <c r="S549" s="63"/>
      <c r="T549" s="63"/>
      <c r="U549" s="63"/>
      <c r="V549" s="63"/>
      <c r="W549" s="63"/>
      <c r="X549" s="63"/>
      <c r="Y549" s="63"/>
      <c r="Z549" s="63"/>
      <c r="AA549" s="63"/>
      <c r="AB549" s="63"/>
      <c r="AC549" s="63"/>
    </row>
    <row r="550" spans="1:29">
      <c r="A550" s="62"/>
      <c r="B550" s="62"/>
      <c r="C550" s="62"/>
      <c r="D550" s="62"/>
      <c r="E550" s="62"/>
      <c r="F550" s="62"/>
      <c r="G550" s="62"/>
      <c r="H550" s="62"/>
      <c r="I550" s="62"/>
      <c r="J550" s="62"/>
      <c r="K550" s="53"/>
      <c r="L550" s="62"/>
      <c r="M550" s="63"/>
      <c r="N550" s="63"/>
      <c r="O550" s="63"/>
      <c r="P550" s="63"/>
      <c r="Q550" s="63"/>
      <c r="R550" s="63"/>
      <c r="S550" s="63"/>
      <c r="T550" s="63"/>
      <c r="U550" s="63"/>
      <c r="V550" s="63"/>
      <c r="W550" s="63"/>
      <c r="X550" s="63"/>
      <c r="Y550" s="63"/>
      <c r="Z550" s="63"/>
      <c r="AA550" s="63"/>
      <c r="AB550" s="63"/>
      <c r="AC550" s="63"/>
    </row>
    <row r="551" spans="1:29">
      <c r="A551" s="62"/>
      <c r="B551" s="62"/>
      <c r="C551" s="62"/>
      <c r="D551" s="62"/>
      <c r="E551" s="62"/>
      <c r="F551" s="62"/>
      <c r="G551" s="62"/>
      <c r="H551" s="62"/>
      <c r="I551" s="62"/>
      <c r="J551" s="62"/>
      <c r="K551" s="53"/>
      <c r="L551" s="62"/>
      <c r="M551" s="63"/>
      <c r="N551" s="63"/>
      <c r="O551" s="63"/>
      <c r="P551" s="63"/>
      <c r="Q551" s="63"/>
      <c r="R551" s="63"/>
      <c r="S551" s="63"/>
      <c r="T551" s="63"/>
      <c r="U551" s="63"/>
      <c r="V551" s="63"/>
      <c r="W551" s="63"/>
      <c r="X551" s="63"/>
      <c r="Y551" s="63"/>
      <c r="Z551" s="63"/>
      <c r="AA551" s="63"/>
      <c r="AB551" s="63"/>
      <c r="AC551" s="63"/>
    </row>
    <row r="552" spans="1:29">
      <c r="A552" s="62"/>
      <c r="B552" s="62"/>
      <c r="C552" s="62"/>
      <c r="D552" s="62"/>
      <c r="E552" s="62"/>
      <c r="F552" s="62"/>
      <c r="G552" s="62"/>
      <c r="H552" s="62"/>
      <c r="I552" s="62"/>
      <c r="J552" s="62"/>
      <c r="K552" s="53"/>
      <c r="L552" s="62"/>
      <c r="M552" s="63"/>
      <c r="N552" s="63"/>
      <c r="O552" s="63"/>
      <c r="P552" s="63"/>
      <c r="Q552" s="63"/>
      <c r="R552" s="63"/>
      <c r="S552" s="63"/>
      <c r="T552" s="63"/>
      <c r="U552" s="63"/>
      <c r="V552" s="63"/>
      <c r="W552" s="63"/>
      <c r="X552" s="63"/>
      <c r="Y552" s="63"/>
      <c r="Z552" s="63"/>
      <c r="AA552" s="63"/>
      <c r="AB552" s="63"/>
      <c r="AC552" s="63"/>
    </row>
    <row r="553" spans="1:29">
      <c r="A553" s="62"/>
      <c r="B553" s="62"/>
      <c r="C553" s="62"/>
      <c r="D553" s="62"/>
      <c r="E553" s="62"/>
      <c r="F553" s="62"/>
      <c r="G553" s="62"/>
      <c r="H553" s="62"/>
      <c r="I553" s="62"/>
      <c r="J553" s="62"/>
      <c r="K553" s="53"/>
      <c r="L553" s="62"/>
      <c r="M553" s="63"/>
      <c r="N553" s="63"/>
      <c r="O553" s="63"/>
      <c r="P553" s="63"/>
      <c r="Q553" s="63"/>
      <c r="R553" s="63"/>
      <c r="S553" s="63"/>
      <c r="T553" s="63"/>
      <c r="U553" s="63"/>
      <c r="V553" s="63"/>
      <c r="W553" s="63"/>
      <c r="X553" s="63"/>
      <c r="Y553" s="63"/>
      <c r="Z553" s="63"/>
      <c r="AA553" s="63"/>
      <c r="AB553" s="63"/>
      <c r="AC553" s="63"/>
    </row>
    <row r="554" spans="1:29">
      <c r="A554" s="62"/>
      <c r="B554" s="62"/>
      <c r="C554" s="62"/>
      <c r="D554" s="62"/>
      <c r="E554" s="62"/>
      <c r="F554" s="62"/>
      <c r="G554" s="62"/>
      <c r="H554" s="62"/>
      <c r="I554" s="62"/>
      <c r="J554" s="62"/>
      <c r="K554" s="53"/>
      <c r="L554" s="62"/>
      <c r="M554" s="63"/>
      <c r="N554" s="63"/>
      <c r="O554" s="63"/>
      <c r="P554" s="63"/>
      <c r="Q554" s="63"/>
      <c r="R554" s="63"/>
      <c r="S554" s="63"/>
      <c r="T554" s="63"/>
      <c r="U554" s="63"/>
      <c r="V554" s="63"/>
      <c r="W554" s="63"/>
      <c r="X554" s="63"/>
      <c r="Y554" s="63"/>
      <c r="Z554" s="63"/>
      <c r="AA554" s="63"/>
      <c r="AB554" s="63"/>
      <c r="AC554" s="63"/>
    </row>
    <row r="555" spans="1:29">
      <c r="A555" s="62"/>
      <c r="B555" s="62"/>
      <c r="C555" s="62"/>
      <c r="D555" s="62"/>
      <c r="E555" s="62"/>
      <c r="F555" s="62"/>
      <c r="G555" s="62"/>
      <c r="H555" s="62"/>
      <c r="I555" s="62"/>
      <c r="J555" s="62"/>
      <c r="K555" s="53"/>
      <c r="L555" s="62"/>
      <c r="M555" s="63"/>
      <c r="N555" s="63"/>
      <c r="O555" s="63"/>
      <c r="P555" s="63"/>
      <c r="Q555" s="63"/>
      <c r="R555" s="63"/>
      <c r="S555" s="63"/>
      <c r="T555" s="63"/>
      <c r="U555" s="63"/>
      <c r="V555" s="63"/>
      <c r="W555" s="63"/>
      <c r="X555" s="63"/>
      <c r="Y555" s="63"/>
      <c r="Z555" s="63"/>
      <c r="AA555" s="63"/>
      <c r="AB555" s="63"/>
      <c r="AC555" s="63"/>
    </row>
    <row r="556" spans="1:29">
      <c r="A556" s="62"/>
      <c r="B556" s="62"/>
      <c r="C556" s="62"/>
      <c r="D556" s="62"/>
      <c r="E556" s="62"/>
      <c r="F556" s="62"/>
      <c r="G556" s="62"/>
      <c r="H556" s="62"/>
      <c r="I556" s="62"/>
      <c r="J556" s="62"/>
      <c r="K556" s="53"/>
      <c r="L556" s="62"/>
      <c r="M556" s="63"/>
      <c r="N556" s="63"/>
      <c r="O556" s="63"/>
      <c r="P556" s="63"/>
      <c r="Q556" s="63"/>
      <c r="R556" s="63"/>
      <c r="S556" s="63"/>
      <c r="T556" s="63"/>
      <c r="U556" s="63"/>
      <c r="V556" s="63"/>
      <c r="W556" s="63"/>
      <c r="X556" s="63"/>
      <c r="Y556" s="63"/>
      <c r="Z556" s="63"/>
      <c r="AA556" s="63"/>
      <c r="AB556" s="63"/>
      <c r="AC556" s="63"/>
    </row>
    <row r="557" spans="1:29">
      <c r="A557" s="62"/>
      <c r="B557" s="62"/>
      <c r="C557" s="62"/>
      <c r="D557" s="62"/>
      <c r="E557" s="62"/>
      <c r="F557" s="62"/>
      <c r="G557" s="62"/>
      <c r="H557" s="62"/>
      <c r="I557" s="62"/>
      <c r="J557" s="62"/>
      <c r="K557" s="53"/>
      <c r="L557" s="62"/>
      <c r="M557" s="63"/>
      <c r="N557" s="63"/>
      <c r="O557" s="63"/>
      <c r="P557" s="63"/>
      <c r="Q557" s="63"/>
      <c r="R557" s="63"/>
      <c r="S557" s="63"/>
      <c r="T557" s="63"/>
      <c r="U557" s="63"/>
      <c r="V557" s="63"/>
      <c r="W557" s="63"/>
      <c r="X557" s="63"/>
      <c r="Y557" s="63"/>
      <c r="Z557" s="63"/>
      <c r="AA557" s="63"/>
      <c r="AB557" s="63"/>
      <c r="AC557" s="63"/>
    </row>
    <row r="558" spans="1:29">
      <c r="A558" s="62"/>
      <c r="B558" s="62"/>
      <c r="C558" s="62"/>
      <c r="D558" s="62"/>
      <c r="E558" s="62"/>
      <c r="F558" s="62"/>
      <c r="G558" s="62"/>
      <c r="H558" s="62"/>
      <c r="I558" s="62"/>
      <c r="J558" s="62"/>
      <c r="K558" s="53"/>
      <c r="L558" s="62"/>
      <c r="M558" s="63"/>
      <c r="N558" s="63"/>
      <c r="O558" s="63"/>
      <c r="P558" s="63"/>
      <c r="Q558" s="63"/>
      <c r="R558" s="63"/>
      <c r="S558" s="63"/>
      <c r="T558" s="63"/>
      <c r="U558" s="63"/>
      <c r="V558" s="63"/>
      <c r="W558" s="63"/>
      <c r="X558" s="63"/>
      <c r="Y558" s="63"/>
      <c r="Z558" s="63"/>
      <c r="AA558" s="63"/>
      <c r="AB558" s="63"/>
      <c r="AC558" s="63"/>
    </row>
    <row r="559" spans="1:29">
      <c r="A559" s="62"/>
      <c r="B559" s="62"/>
      <c r="C559" s="62"/>
      <c r="D559" s="62"/>
      <c r="E559" s="62"/>
      <c r="F559" s="62"/>
      <c r="G559" s="62"/>
      <c r="H559" s="62"/>
      <c r="I559" s="62"/>
      <c r="J559" s="62"/>
      <c r="K559" s="53"/>
      <c r="L559" s="62"/>
      <c r="M559" s="63"/>
      <c r="N559" s="63"/>
      <c r="O559" s="63"/>
      <c r="P559" s="63"/>
      <c r="Q559" s="63"/>
      <c r="R559" s="63"/>
      <c r="S559" s="63"/>
      <c r="T559" s="63"/>
      <c r="U559" s="63"/>
      <c r="V559" s="63"/>
      <c r="W559" s="63"/>
      <c r="X559" s="63"/>
      <c r="Y559" s="63"/>
      <c r="Z559" s="63"/>
      <c r="AA559" s="63"/>
      <c r="AB559" s="63"/>
      <c r="AC559" s="63"/>
    </row>
    <row r="560" spans="1:29">
      <c r="A560" s="62"/>
      <c r="B560" s="62"/>
      <c r="C560" s="62"/>
      <c r="D560" s="62"/>
      <c r="E560" s="62"/>
      <c r="F560" s="62"/>
      <c r="G560" s="62"/>
      <c r="H560" s="62"/>
      <c r="I560" s="62"/>
      <c r="J560" s="62"/>
      <c r="K560" s="53"/>
      <c r="L560" s="62"/>
      <c r="M560" s="63"/>
      <c r="N560" s="63"/>
      <c r="O560" s="63"/>
      <c r="P560" s="63"/>
      <c r="Q560" s="63"/>
      <c r="R560" s="63"/>
      <c r="S560" s="63"/>
      <c r="T560" s="63"/>
      <c r="U560" s="63"/>
      <c r="V560" s="63"/>
      <c r="W560" s="63"/>
      <c r="X560" s="63"/>
      <c r="Y560" s="63"/>
      <c r="Z560" s="63"/>
      <c r="AA560" s="63"/>
      <c r="AB560" s="63"/>
      <c r="AC560" s="63"/>
    </row>
    <row r="561" spans="1:29">
      <c r="A561" s="62"/>
      <c r="B561" s="62"/>
      <c r="C561" s="62"/>
      <c r="D561" s="62"/>
      <c r="E561" s="62"/>
      <c r="F561" s="62"/>
      <c r="G561" s="62"/>
      <c r="H561" s="62"/>
      <c r="I561" s="62"/>
      <c r="J561" s="62"/>
      <c r="K561" s="53"/>
      <c r="L561" s="62"/>
      <c r="M561" s="63"/>
      <c r="N561" s="63"/>
      <c r="O561" s="63"/>
      <c r="P561" s="63"/>
      <c r="Q561" s="63"/>
      <c r="R561" s="63"/>
      <c r="S561" s="63"/>
      <c r="T561" s="63"/>
      <c r="U561" s="63"/>
      <c r="V561" s="63"/>
      <c r="W561" s="63"/>
      <c r="X561" s="63"/>
      <c r="Y561" s="63"/>
      <c r="Z561" s="63"/>
      <c r="AA561" s="63"/>
      <c r="AB561" s="63"/>
      <c r="AC561" s="63"/>
    </row>
    <row r="562" spans="1:29">
      <c r="A562" s="62"/>
      <c r="B562" s="62"/>
      <c r="C562" s="62"/>
      <c r="D562" s="62"/>
      <c r="E562" s="62"/>
      <c r="F562" s="62"/>
      <c r="G562" s="62"/>
      <c r="H562" s="62"/>
      <c r="I562" s="62"/>
      <c r="J562" s="62"/>
      <c r="K562" s="53"/>
      <c r="L562" s="62"/>
      <c r="M562" s="63"/>
      <c r="N562" s="63"/>
      <c r="O562" s="63"/>
      <c r="P562" s="63"/>
      <c r="Q562" s="63"/>
      <c r="R562" s="63"/>
      <c r="S562" s="63"/>
      <c r="T562" s="63"/>
      <c r="U562" s="63"/>
      <c r="V562" s="63"/>
      <c r="W562" s="63"/>
      <c r="X562" s="63"/>
      <c r="Y562" s="63"/>
      <c r="Z562" s="63"/>
      <c r="AA562" s="63"/>
      <c r="AB562" s="63"/>
      <c r="AC562" s="63"/>
    </row>
    <row r="563" spans="1:29">
      <c r="A563" s="62"/>
      <c r="B563" s="62"/>
      <c r="C563" s="62"/>
      <c r="D563" s="62"/>
      <c r="E563" s="62"/>
      <c r="F563" s="62"/>
      <c r="G563" s="62"/>
      <c r="H563" s="62"/>
      <c r="I563" s="62"/>
      <c r="J563" s="62"/>
      <c r="K563" s="53"/>
      <c r="L563" s="62"/>
      <c r="M563" s="63"/>
      <c r="N563" s="63"/>
      <c r="O563" s="63"/>
      <c r="P563" s="63"/>
      <c r="Q563" s="63"/>
      <c r="R563" s="63"/>
      <c r="S563" s="63"/>
      <c r="T563" s="63"/>
      <c r="U563" s="63"/>
      <c r="V563" s="63"/>
      <c r="W563" s="63"/>
      <c r="X563" s="63"/>
      <c r="Y563" s="63"/>
      <c r="Z563" s="63"/>
      <c r="AA563" s="63"/>
      <c r="AB563" s="63"/>
      <c r="AC563" s="63"/>
    </row>
    <row r="564" spans="1:29">
      <c r="A564" s="62"/>
      <c r="B564" s="62"/>
      <c r="C564" s="62"/>
      <c r="D564" s="62"/>
      <c r="E564" s="62"/>
      <c r="F564" s="62"/>
      <c r="G564" s="62"/>
      <c r="H564" s="62"/>
      <c r="I564" s="62"/>
      <c r="J564" s="62"/>
      <c r="K564" s="53"/>
      <c r="L564" s="62"/>
      <c r="M564" s="63"/>
      <c r="N564" s="63"/>
      <c r="O564" s="63"/>
      <c r="P564" s="63"/>
      <c r="Q564" s="63"/>
      <c r="R564" s="63"/>
      <c r="S564" s="63"/>
      <c r="T564" s="63"/>
      <c r="U564" s="63"/>
      <c r="V564" s="63"/>
      <c r="W564" s="63"/>
      <c r="X564" s="63"/>
      <c r="Y564" s="63"/>
      <c r="Z564" s="63"/>
      <c r="AA564" s="63"/>
      <c r="AB564" s="63"/>
      <c r="AC564" s="63"/>
    </row>
    <row r="565" spans="1:29">
      <c r="A565" s="62"/>
      <c r="B565" s="62"/>
      <c r="C565" s="62"/>
      <c r="D565" s="62"/>
      <c r="E565" s="62"/>
      <c r="F565" s="62"/>
      <c r="G565" s="62"/>
      <c r="H565" s="62"/>
      <c r="I565" s="62"/>
      <c r="J565" s="62"/>
      <c r="K565" s="53"/>
      <c r="L565" s="62"/>
      <c r="M565" s="63"/>
      <c r="N565" s="63"/>
      <c r="O565" s="63"/>
      <c r="P565" s="63"/>
      <c r="Q565" s="63"/>
      <c r="R565" s="63"/>
      <c r="S565" s="63"/>
      <c r="T565" s="63"/>
      <c r="U565" s="63"/>
      <c r="V565" s="63"/>
      <c r="W565" s="63"/>
      <c r="X565" s="63"/>
      <c r="Y565" s="63"/>
      <c r="Z565" s="63"/>
      <c r="AA565" s="63"/>
      <c r="AB565" s="63"/>
      <c r="AC565" s="63"/>
    </row>
    <row r="566" spans="1:29">
      <c r="A566" s="62"/>
      <c r="B566" s="62"/>
      <c r="C566" s="62"/>
      <c r="D566" s="62"/>
      <c r="E566" s="62"/>
      <c r="F566" s="62"/>
      <c r="G566" s="62"/>
      <c r="H566" s="62"/>
      <c r="I566" s="62"/>
      <c r="J566" s="62"/>
      <c r="K566" s="53"/>
      <c r="L566" s="62"/>
      <c r="M566" s="63"/>
      <c r="N566" s="63"/>
      <c r="O566" s="63"/>
      <c r="P566" s="63"/>
      <c r="Q566" s="63"/>
      <c r="R566" s="63"/>
      <c r="S566" s="63"/>
      <c r="T566" s="63"/>
      <c r="U566" s="63"/>
      <c r="V566" s="63"/>
      <c r="W566" s="63"/>
      <c r="X566" s="63"/>
      <c r="Y566" s="63"/>
      <c r="Z566" s="63"/>
      <c r="AA566" s="63"/>
      <c r="AB566" s="63"/>
      <c r="AC566" s="63"/>
    </row>
    <row r="567" spans="1:29">
      <c r="A567" s="62"/>
      <c r="B567" s="62"/>
      <c r="C567" s="62"/>
      <c r="D567" s="62"/>
      <c r="E567" s="62"/>
      <c r="F567" s="62"/>
      <c r="G567" s="62"/>
      <c r="H567" s="62"/>
      <c r="I567" s="62"/>
      <c r="J567" s="62"/>
      <c r="K567" s="53"/>
      <c r="L567" s="62"/>
      <c r="M567" s="63"/>
      <c r="N567" s="63"/>
      <c r="O567" s="63"/>
      <c r="P567" s="63"/>
      <c r="Q567" s="63"/>
      <c r="R567" s="63"/>
      <c r="S567" s="63"/>
      <c r="T567" s="63"/>
      <c r="U567" s="63"/>
      <c r="V567" s="63"/>
      <c r="W567" s="63"/>
      <c r="X567" s="63"/>
      <c r="Y567" s="63"/>
      <c r="Z567" s="63"/>
      <c r="AA567" s="63"/>
      <c r="AB567" s="63"/>
      <c r="AC567" s="63"/>
    </row>
    <row r="568" spans="1:29">
      <c r="A568" s="62"/>
      <c r="B568" s="62"/>
      <c r="C568" s="62"/>
      <c r="D568" s="62"/>
      <c r="E568" s="62"/>
      <c r="F568" s="62"/>
      <c r="G568" s="62"/>
      <c r="H568" s="62"/>
      <c r="I568" s="62"/>
      <c r="J568" s="62"/>
      <c r="K568" s="53"/>
      <c r="L568" s="62"/>
      <c r="M568" s="63"/>
      <c r="N568" s="63"/>
      <c r="O568" s="63"/>
      <c r="P568" s="63"/>
      <c r="Q568" s="63"/>
      <c r="R568" s="63"/>
      <c r="S568" s="63"/>
      <c r="T568" s="63"/>
      <c r="U568" s="63"/>
      <c r="V568" s="63"/>
      <c r="W568" s="63"/>
      <c r="X568" s="63"/>
      <c r="Y568" s="63"/>
      <c r="Z568" s="63"/>
      <c r="AA568" s="63"/>
      <c r="AB568" s="63"/>
      <c r="AC568" s="63"/>
    </row>
    <row r="569" spans="1:29">
      <c r="A569" s="62"/>
      <c r="B569" s="62"/>
      <c r="C569" s="62"/>
      <c r="D569" s="62"/>
      <c r="E569" s="62"/>
      <c r="F569" s="62"/>
      <c r="G569" s="62"/>
      <c r="H569" s="62"/>
      <c r="I569" s="62"/>
      <c r="J569" s="62"/>
      <c r="K569" s="53"/>
      <c r="L569" s="62"/>
      <c r="M569" s="63"/>
      <c r="N569" s="63"/>
      <c r="O569" s="63"/>
      <c r="P569" s="63"/>
      <c r="Q569" s="63"/>
      <c r="R569" s="63"/>
      <c r="S569" s="63"/>
      <c r="T569" s="63"/>
      <c r="U569" s="63"/>
      <c r="V569" s="63"/>
      <c r="W569" s="63"/>
      <c r="X569" s="63"/>
      <c r="Y569" s="63"/>
      <c r="Z569" s="63"/>
      <c r="AA569" s="63"/>
      <c r="AB569" s="63"/>
      <c r="AC569" s="63"/>
    </row>
    <row r="570" spans="1:29">
      <c r="A570" s="62"/>
      <c r="B570" s="62"/>
      <c r="C570" s="62"/>
      <c r="D570" s="62"/>
      <c r="E570" s="62"/>
      <c r="F570" s="62"/>
      <c r="G570" s="62"/>
      <c r="H570" s="62"/>
      <c r="I570" s="62"/>
      <c r="J570" s="62"/>
      <c r="K570" s="53"/>
      <c r="L570" s="62"/>
      <c r="M570" s="63"/>
      <c r="N570" s="63"/>
      <c r="O570" s="63"/>
      <c r="P570" s="63"/>
      <c r="Q570" s="63"/>
      <c r="R570" s="63"/>
      <c r="S570" s="63"/>
      <c r="T570" s="63"/>
      <c r="U570" s="63"/>
      <c r="V570" s="63"/>
      <c r="W570" s="63"/>
      <c r="X570" s="63"/>
      <c r="Y570" s="63"/>
      <c r="Z570" s="63"/>
      <c r="AA570" s="63"/>
      <c r="AB570" s="63"/>
      <c r="AC570" s="63"/>
    </row>
    <row r="571" spans="1:29">
      <c r="A571" s="62"/>
      <c r="B571" s="62"/>
      <c r="C571" s="62"/>
      <c r="D571" s="62"/>
      <c r="E571" s="62"/>
      <c r="F571" s="62"/>
      <c r="G571" s="62"/>
      <c r="H571" s="62"/>
      <c r="I571" s="62"/>
      <c r="J571" s="62"/>
      <c r="K571" s="53"/>
      <c r="L571" s="62"/>
      <c r="M571" s="63"/>
      <c r="N571" s="63"/>
      <c r="O571" s="63"/>
      <c r="P571" s="63"/>
      <c r="Q571" s="63"/>
      <c r="R571" s="63"/>
      <c r="S571" s="63"/>
      <c r="T571" s="63"/>
      <c r="U571" s="63"/>
      <c r="V571" s="63"/>
      <c r="W571" s="63"/>
      <c r="X571" s="63"/>
      <c r="Y571" s="63"/>
      <c r="Z571" s="63"/>
      <c r="AA571" s="63"/>
      <c r="AB571" s="63"/>
      <c r="AC571" s="63"/>
    </row>
    <row r="572" spans="1:29">
      <c r="A572" s="62"/>
      <c r="B572" s="62"/>
      <c r="C572" s="62"/>
      <c r="D572" s="62"/>
      <c r="E572" s="62"/>
      <c r="F572" s="62"/>
      <c r="G572" s="62"/>
      <c r="H572" s="62"/>
      <c r="I572" s="62"/>
      <c r="J572" s="62"/>
      <c r="K572" s="53"/>
      <c r="L572" s="62"/>
      <c r="M572" s="63"/>
      <c r="N572" s="63"/>
      <c r="O572" s="63"/>
      <c r="P572" s="63"/>
      <c r="Q572" s="63"/>
      <c r="R572" s="63"/>
      <c r="S572" s="63"/>
      <c r="T572" s="63"/>
      <c r="U572" s="63"/>
      <c r="V572" s="63"/>
      <c r="W572" s="63"/>
      <c r="X572" s="63"/>
      <c r="Y572" s="63"/>
      <c r="Z572" s="63"/>
      <c r="AA572" s="63"/>
      <c r="AB572" s="63"/>
      <c r="AC572" s="63"/>
    </row>
    <row r="573" spans="1:29">
      <c r="A573" s="62"/>
      <c r="B573" s="62"/>
      <c r="C573" s="62"/>
      <c r="D573" s="62"/>
      <c r="E573" s="62"/>
      <c r="F573" s="62"/>
      <c r="G573" s="62"/>
      <c r="H573" s="62"/>
      <c r="I573" s="62"/>
      <c r="J573" s="62"/>
      <c r="K573" s="53"/>
      <c r="L573" s="62"/>
      <c r="M573" s="63"/>
      <c r="N573" s="63"/>
      <c r="O573" s="63"/>
      <c r="P573" s="63"/>
      <c r="Q573" s="63"/>
      <c r="R573" s="63"/>
      <c r="S573" s="63"/>
      <c r="T573" s="63"/>
      <c r="U573" s="63"/>
      <c r="V573" s="63"/>
      <c r="W573" s="63"/>
      <c r="X573" s="63"/>
      <c r="Y573" s="63"/>
      <c r="Z573" s="63"/>
      <c r="AA573" s="63"/>
      <c r="AB573" s="63"/>
      <c r="AC573" s="63"/>
    </row>
    <row r="574" spans="1:29">
      <c r="A574" s="62"/>
      <c r="B574" s="62"/>
      <c r="C574" s="62"/>
      <c r="D574" s="62"/>
      <c r="E574" s="62"/>
      <c r="F574" s="62"/>
      <c r="G574" s="62"/>
      <c r="H574" s="62"/>
      <c r="I574" s="62"/>
      <c r="J574" s="62"/>
      <c r="K574" s="53"/>
      <c r="L574" s="62"/>
      <c r="M574" s="63"/>
      <c r="N574" s="63"/>
      <c r="O574" s="63"/>
      <c r="P574" s="63"/>
      <c r="Q574" s="63"/>
      <c r="R574" s="63"/>
      <c r="S574" s="63"/>
      <c r="T574" s="63"/>
      <c r="U574" s="63"/>
      <c r="V574" s="63"/>
      <c r="W574" s="63"/>
      <c r="X574" s="63"/>
      <c r="Y574" s="63"/>
      <c r="Z574" s="63"/>
      <c r="AA574" s="63"/>
      <c r="AB574" s="63"/>
      <c r="AC574" s="63"/>
    </row>
    <row r="575" spans="1:29">
      <c r="A575" s="62"/>
      <c r="B575" s="62"/>
      <c r="C575" s="62"/>
      <c r="D575" s="62"/>
      <c r="E575" s="62"/>
      <c r="F575" s="62"/>
      <c r="G575" s="62"/>
      <c r="H575" s="62"/>
      <c r="I575" s="62"/>
      <c r="J575" s="62"/>
      <c r="K575" s="53"/>
      <c r="L575" s="62"/>
      <c r="M575" s="63"/>
      <c r="N575" s="63"/>
      <c r="O575" s="63"/>
      <c r="P575" s="63"/>
      <c r="Q575" s="63"/>
      <c r="R575" s="63"/>
      <c r="S575" s="63"/>
      <c r="T575" s="63"/>
      <c r="U575" s="63"/>
      <c r="V575" s="63"/>
      <c r="W575" s="63"/>
      <c r="X575" s="63"/>
      <c r="Y575" s="63"/>
      <c r="Z575" s="63"/>
      <c r="AA575" s="63"/>
      <c r="AB575" s="63"/>
      <c r="AC575" s="63"/>
    </row>
    <row r="576" spans="1:29">
      <c r="A576" s="62"/>
      <c r="B576" s="62"/>
      <c r="C576" s="62"/>
      <c r="D576" s="62"/>
      <c r="E576" s="62"/>
      <c r="F576" s="62"/>
      <c r="G576" s="62"/>
      <c r="H576" s="62"/>
      <c r="I576" s="62"/>
      <c r="J576" s="62"/>
      <c r="K576" s="53"/>
      <c r="L576" s="62"/>
      <c r="M576" s="63"/>
      <c r="N576" s="63"/>
      <c r="O576" s="63"/>
      <c r="P576" s="63"/>
      <c r="Q576" s="63"/>
      <c r="R576" s="63"/>
      <c r="S576" s="63"/>
      <c r="T576" s="63"/>
      <c r="U576" s="63"/>
      <c r="V576" s="63"/>
      <c r="W576" s="63"/>
      <c r="X576" s="63"/>
      <c r="Y576" s="63"/>
      <c r="Z576" s="63"/>
      <c r="AA576" s="63"/>
      <c r="AB576" s="63"/>
      <c r="AC576" s="63"/>
    </row>
    <row r="577" spans="1:29">
      <c r="A577" s="62"/>
      <c r="B577" s="62"/>
      <c r="C577" s="62"/>
      <c r="D577" s="62"/>
      <c r="E577" s="62"/>
      <c r="F577" s="62"/>
      <c r="G577" s="62"/>
      <c r="H577" s="62"/>
      <c r="I577" s="62"/>
      <c r="J577" s="62"/>
      <c r="K577" s="53"/>
      <c r="L577" s="62"/>
      <c r="M577" s="63"/>
      <c r="N577" s="63"/>
      <c r="O577" s="63"/>
      <c r="P577" s="63"/>
      <c r="Q577" s="63"/>
      <c r="R577" s="63"/>
      <c r="S577" s="63"/>
      <c r="T577" s="63"/>
      <c r="U577" s="63"/>
      <c r="V577" s="63"/>
      <c r="W577" s="63"/>
      <c r="X577" s="63"/>
      <c r="Y577" s="63"/>
      <c r="Z577" s="63"/>
      <c r="AA577" s="63"/>
      <c r="AB577" s="63"/>
      <c r="AC577" s="63"/>
    </row>
    <row r="578" spans="1:29">
      <c r="A578" s="62"/>
      <c r="B578" s="62"/>
      <c r="C578" s="62"/>
      <c r="D578" s="62"/>
      <c r="E578" s="62"/>
      <c r="F578" s="62"/>
      <c r="G578" s="62"/>
      <c r="H578" s="62"/>
      <c r="I578" s="62"/>
      <c r="J578" s="62"/>
      <c r="K578" s="53"/>
      <c r="L578" s="62"/>
      <c r="M578" s="63"/>
      <c r="N578" s="63"/>
      <c r="O578" s="63"/>
      <c r="P578" s="63"/>
      <c r="Q578" s="63"/>
      <c r="R578" s="63"/>
      <c r="S578" s="63"/>
      <c r="T578" s="63"/>
      <c r="U578" s="63"/>
      <c r="V578" s="63"/>
      <c r="W578" s="63"/>
      <c r="X578" s="63"/>
      <c r="Y578" s="63"/>
      <c r="Z578" s="63"/>
      <c r="AA578" s="63"/>
      <c r="AB578" s="63"/>
      <c r="AC578" s="63"/>
    </row>
    <row r="579" spans="1:29">
      <c r="A579" s="62"/>
      <c r="B579" s="62"/>
      <c r="C579" s="62"/>
      <c r="D579" s="62"/>
      <c r="E579" s="62"/>
      <c r="F579" s="62"/>
      <c r="G579" s="62"/>
      <c r="H579" s="62"/>
      <c r="I579" s="62"/>
      <c r="J579" s="62"/>
      <c r="K579" s="53"/>
      <c r="L579" s="62"/>
      <c r="M579" s="63"/>
      <c r="N579" s="63"/>
      <c r="O579" s="63"/>
      <c r="P579" s="63"/>
      <c r="Q579" s="63"/>
      <c r="R579" s="63"/>
      <c r="S579" s="63"/>
      <c r="T579" s="63"/>
      <c r="U579" s="63"/>
      <c r="V579" s="63"/>
      <c r="W579" s="63"/>
      <c r="X579" s="63"/>
      <c r="Y579" s="63"/>
      <c r="Z579" s="63"/>
      <c r="AA579" s="63"/>
      <c r="AB579" s="63"/>
      <c r="AC579" s="63"/>
    </row>
    <row r="580" spans="1:29">
      <c r="A580" s="62"/>
      <c r="B580" s="62"/>
      <c r="C580" s="62"/>
      <c r="D580" s="62"/>
      <c r="E580" s="62"/>
      <c r="F580" s="62"/>
      <c r="G580" s="62"/>
      <c r="H580" s="62"/>
      <c r="I580" s="62"/>
      <c r="J580" s="62"/>
      <c r="K580" s="53"/>
      <c r="L580" s="62"/>
      <c r="M580" s="63"/>
      <c r="N580" s="63"/>
      <c r="O580" s="63"/>
      <c r="P580" s="63"/>
      <c r="Q580" s="63"/>
      <c r="R580" s="63"/>
      <c r="S580" s="63"/>
      <c r="T580" s="63"/>
      <c r="U580" s="63"/>
      <c r="V580" s="63"/>
      <c r="W580" s="63"/>
      <c r="X580" s="63"/>
      <c r="Y580" s="63"/>
      <c r="Z580" s="63"/>
      <c r="AA580" s="63"/>
      <c r="AB580" s="63"/>
      <c r="AC580" s="63"/>
    </row>
    <row r="581" spans="1:29">
      <c r="A581" s="62"/>
      <c r="B581" s="62"/>
      <c r="C581" s="62"/>
      <c r="D581" s="62"/>
      <c r="E581" s="62"/>
      <c r="F581" s="62"/>
      <c r="G581" s="62"/>
      <c r="H581" s="62"/>
      <c r="I581" s="62"/>
      <c r="J581" s="62"/>
      <c r="K581" s="53"/>
      <c r="L581" s="62"/>
      <c r="M581" s="63"/>
      <c r="N581" s="63"/>
      <c r="O581" s="63"/>
      <c r="P581" s="63"/>
      <c r="Q581" s="63"/>
      <c r="R581" s="63"/>
      <c r="S581" s="63"/>
      <c r="T581" s="63"/>
      <c r="U581" s="63"/>
      <c r="V581" s="63"/>
      <c r="W581" s="63"/>
      <c r="X581" s="63"/>
      <c r="Y581" s="63"/>
      <c r="Z581" s="63"/>
      <c r="AA581" s="63"/>
      <c r="AB581" s="63"/>
      <c r="AC581" s="63"/>
    </row>
    <row r="582" spans="1:29">
      <c r="A582" s="62"/>
      <c r="B582" s="62"/>
      <c r="C582" s="62"/>
      <c r="D582" s="62"/>
      <c r="E582" s="62"/>
      <c r="F582" s="62"/>
      <c r="G582" s="62"/>
      <c r="H582" s="62"/>
      <c r="I582" s="62"/>
      <c r="J582" s="62"/>
      <c r="K582" s="53"/>
      <c r="L582" s="62"/>
      <c r="M582" s="63"/>
      <c r="N582" s="63"/>
      <c r="O582" s="63"/>
      <c r="P582" s="63"/>
      <c r="Q582" s="63"/>
      <c r="R582" s="63"/>
      <c r="S582" s="63"/>
      <c r="T582" s="63"/>
      <c r="U582" s="63"/>
      <c r="V582" s="63"/>
      <c r="W582" s="63"/>
      <c r="X582" s="63"/>
      <c r="Y582" s="63"/>
      <c r="Z582" s="63"/>
      <c r="AA582" s="63"/>
      <c r="AB582" s="63"/>
      <c r="AC582" s="63"/>
    </row>
    <row r="583" spans="1:29">
      <c r="A583" s="62"/>
      <c r="B583" s="62"/>
      <c r="C583" s="62"/>
      <c r="D583" s="62"/>
      <c r="E583" s="62"/>
      <c r="F583" s="62"/>
      <c r="G583" s="62"/>
      <c r="H583" s="62"/>
      <c r="I583" s="62"/>
      <c r="J583" s="62"/>
      <c r="K583" s="53"/>
      <c r="L583" s="62"/>
      <c r="M583" s="63"/>
      <c r="N583" s="63"/>
      <c r="O583" s="63"/>
      <c r="P583" s="63"/>
      <c r="Q583" s="63"/>
      <c r="R583" s="63"/>
      <c r="S583" s="63"/>
      <c r="T583" s="63"/>
      <c r="U583" s="63"/>
      <c r="V583" s="63"/>
      <c r="W583" s="63"/>
      <c r="X583" s="63"/>
      <c r="Y583" s="63"/>
      <c r="Z583" s="63"/>
      <c r="AA583" s="63"/>
      <c r="AB583" s="63"/>
      <c r="AC583" s="63"/>
    </row>
    <row r="584" spans="1:29">
      <c r="A584" s="62"/>
      <c r="B584" s="62"/>
      <c r="C584" s="62"/>
      <c r="D584" s="62"/>
      <c r="E584" s="62"/>
      <c r="F584" s="62"/>
      <c r="G584" s="62"/>
      <c r="H584" s="62"/>
      <c r="I584" s="62"/>
      <c r="J584" s="62"/>
      <c r="K584" s="53"/>
      <c r="L584" s="62"/>
      <c r="M584" s="63"/>
      <c r="N584" s="63"/>
      <c r="O584" s="63"/>
      <c r="P584" s="63"/>
      <c r="Q584" s="63"/>
      <c r="R584" s="63"/>
      <c r="S584" s="63"/>
      <c r="T584" s="63"/>
      <c r="U584" s="63"/>
      <c r="V584" s="63"/>
      <c r="W584" s="63"/>
      <c r="X584" s="63"/>
      <c r="Y584" s="63"/>
      <c r="Z584" s="63"/>
      <c r="AA584" s="63"/>
      <c r="AB584" s="63"/>
      <c r="AC584" s="63"/>
    </row>
    <row r="585" spans="1:29">
      <c r="A585" s="62"/>
      <c r="B585" s="62"/>
      <c r="C585" s="62"/>
      <c r="D585" s="62"/>
      <c r="E585" s="62"/>
      <c r="F585" s="62"/>
      <c r="G585" s="62"/>
      <c r="H585" s="62"/>
      <c r="I585" s="62"/>
      <c r="J585" s="62"/>
      <c r="K585" s="53"/>
      <c r="L585" s="62"/>
      <c r="M585" s="63"/>
      <c r="N585" s="63"/>
      <c r="O585" s="63"/>
      <c r="P585" s="63"/>
      <c r="Q585" s="63"/>
      <c r="R585" s="63"/>
      <c r="S585" s="63"/>
      <c r="T585" s="63"/>
      <c r="U585" s="63"/>
      <c r="V585" s="63"/>
      <c r="W585" s="63"/>
      <c r="X585" s="63"/>
      <c r="Y585" s="63"/>
      <c r="Z585" s="63"/>
      <c r="AA585" s="63"/>
      <c r="AB585" s="63"/>
      <c r="AC585" s="63"/>
    </row>
    <row r="586" spans="1:29">
      <c r="A586" s="62"/>
      <c r="B586" s="62"/>
      <c r="C586" s="62"/>
      <c r="D586" s="62"/>
      <c r="E586" s="62"/>
      <c r="F586" s="62"/>
      <c r="G586" s="62"/>
      <c r="H586" s="62"/>
      <c r="I586" s="62"/>
      <c r="J586" s="62"/>
      <c r="K586" s="53"/>
      <c r="L586" s="62"/>
      <c r="M586" s="63"/>
      <c r="N586" s="63"/>
      <c r="O586" s="63"/>
      <c r="P586" s="63"/>
      <c r="Q586" s="63"/>
      <c r="R586" s="63"/>
      <c r="S586" s="63"/>
      <c r="T586" s="63"/>
      <c r="U586" s="63"/>
      <c r="V586" s="63"/>
      <c r="W586" s="63"/>
      <c r="X586" s="63"/>
      <c r="Y586" s="63"/>
      <c r="Z586" s="63"/>
      <c r="AA586" s="63"/>
      <c r="AB586" s="63"/>
      <c r="AC586" s="63"/>
    </row>
    <row r="587" spans="1:29">
      <c r="A587" s="62"/>
      <c r="B587" s="62"/>
      <c r="C587" s="62"/>
      <c r="D587" s="62"/>
      <c r="E587" s="62"/>
      <c r="F587" s="62"/>
      <c r="G587" s="62"/>
      <c r="H587" s="62"/>
      <c r="I587" s="62"/>
      <c r="J587" s="62"/>
      <c r="K587" s="53"/>
      <c r="L587" s="62"/>
      <c r="M587" s="63"/>
      <c r="N587" s="63"/>
      <c r="O587" s="63"/>
      <c r="P587" s="63"/>
      <c r="Q587" s="63"/>
      <c r="R587" s="63"/>
      <c r="S587" s="63"/>
      <c r="T587" s="63"/>
      <c r="U587" s="63"/>
      <c r="V587" s="63"/>
      <c r="W587" s="63"/>
      <c r="X587" s="63"/>
      <c r="Y587" s="63"/>
      <c r="Z587" s="63"/>
      <c r="AA587" s="63"/>
      <c r="AB587" s="63"/>
      <c r="AC587" s="63"/>
    </row>
    <row r="588" spans="1:29">
      <c r="A588" s="62"/>
      <c r="B588" s="62"/>
      <c r="C588" s="62"/>
      <c r="D588" s="62"/>
      <c r="E588" s="62"/>
      <c r="F588" s="62"/>
      <c r="G588" s="62"/>
      <c r="H588" s="62"/>
      <c r="I588" s="62"/>
      <c r="J588" s="62"/>
      <c r="K588" s="53"/>
      <c r="L588" s="62"/>
      <c r="M588" s="63"/>
      <c r="N588" s="63"/>
      <c r="O588" s="63"/>
      <c r="P588" s="63"/>
      <c r="Q588" s="63"/>
      <c r="R588" s="63"/>
      <c r="S588" s="63"/>
      <c r="T588" s="63"/>
      <c r="U588" s="63"/>
      <c r="V588" s="63"/>
      <c r="W588" s="63"/>
      <c r="X588" s="63"/>
      <c r="Y588" s="63"/>
      <c r="Z588" s="63"/>
      <c r="AA588" s="63"/>
      <c r="AB588" s="63"/>
      <c r="AC588" s="63"/>
    </row>
    <row r="589" spans="1:29">
      <c r="A589" s="62"/>
      <c r="B589" s="62"/>
      <c r="C589" s="62"/>
      <c r="D589" s="62"/>
      <c r="E589" s="62"/>
      <c r="F589" s="62"/>
      <c r="G589" s="62"/>
      <c r="H589" s="62"/>
      <c r="I589" s="62"/>
      <c r="J589" s="62"/>
      <c r="K589" s="53"/>
      <c r="L589" s="62"/>
      <c r="M589" s="63"/>
      <c r="N589" s="63"/>
      <c r="O589" s="63"/>
      <c r="P589" s="63"/>
      <c r="Q589" s="63"/>
      <c r="R589" s="63"/>
      <c r="S589" s="63"/>
      <c r="T589" s="63"/>
      <c r="U589" s="63"/>
      <c r="V589" s="63"/>
      <c r="W589" s="63"/>
      <c r="X589" s="63"/>
      <c r="Y589" s="63"/>
      <c r="Z589" s="63"/>
      <c r="AA589" s="63"/>
      <c r="AB589" s="63"/>
      <c r="AC589" s="63"/>
    </row>
    <row r="590" spans="1:29">
      <c r="A590" s="62"/>
      <c r="B590" s="62"/>
      <c r="C590" s="62"/>
      <c r="D590" s="62"/>
      <c r="E590" s="62"/>
      <c r="F590" s="62"/>
      <c r="G590" s="62"/>
      <c r="H590" s="62"/>
      <c r="I590" s="62"/>
      <c r="J590" s="62"/>
      <c r="K590" s="53"/>
      <c r="L590" s="62"/>
      <c r="M590" s="63"/>
      <c r="N590" s="63"/>
      <c r="O590" s="63"/>
      <c r="P590" s="63"/>
      <c r="Q590" s="63"/>
      <c r="R590" s="63"/>
      <c r="S590" s="63"/>
      <c r="T590" s="63"/>
      <c r="U590" s="63"/>
      <c r="V590" s="63"/>
      <c r="W590" s="63"/>
      <c r="X590" s="63"/>
      <c r="Y590" s="63"/>
      <c r="Z590" s="63"/>
      <c r="AA590" s="63"/>
      <c r="AB590" s="63"/>
      <c r="AC590" s="63"/>
    </row>
    <row r="591" spans="1:29">
      <c r="A591" s="62"/>
      <c r="B591" s="62"/>
      <c r="C591" s="62"/>
      <c r="D591" s="62"/>
      <c r="E591" s="62"/>
      <c r="F591" s="62"/>
      <c r="G591" s="62"/>
      <c r="H591" s="62"/>
      <c r="I591" s="62"/>
      <c r="J591" s="62"/>
      <c r="K591" s="53"/>
      <c r="L591" s="62"/>
      <c r="M591" s="63"/>
      <c r="N591" s="63"/>
      <c r="O591" s="63"/>
      <c r="P591" s="63"/>
      <c r="Q591" s="63"/>
      <c r="R591" s="63"/>
      <c r="S591" s="63"/>
      <c r="T591" s="63"/>
      <c r="U591" s="63"/>
      <c r="V591" s="63"/>
      <c r="W591" s="63"/>
      <c r="X591" s="63"/>
      <c r="Y591" s="63"/>
      <c r="Z591" s="63"/>
      <c r="AA591" s="63"/>
      <c r="AB591" s="63"/>
      <c r="AC591" s="63"/>
    </row>
    <row r="592" spans="1:29">
      <c r="A592" s="62"/>
      <c r="B592" s="62"/>
      <c r="C592" s="62"/>
      <c r="D592" s="62"/>
      <c r="E592" s="62"/>
      <c r="F592" s="62"/>
      <c r="G592" s="62"/>
      <c r="H592" s="62"/>
      <c r="I592" s="62"/>
      <c r="J592" s="62"/>
      <c r="K592" s="53"/>
      <c r="L592" s="62"/>
      <c r="M592" s="63"/>
      <c r="N592" s="63"/>
      <c r="O592" s="63"/>
      <c r="P592" s="63"/>
      <c r="Q592" s="63"/>
      <c r="R592" s="63"/>
      <c r="S592" s="63"/>
      <c r="T592" s="63"/>
      <c r="U592" s="63"/>
      <c r="V592" s="63"/>
      <c r="W592" s="63"/>
      <c r="X592" s="63"/>
      <c r="Y592" s="63"/>
      <c r="Z592" s="63"/>
      <c r="AA592" s="63"/>
      <c r="AB592" s="63"/>
      <c r="AC592" s="63"/>
    </row>
    <row r="593" spans="1:29">
      <c r="A593" s="62"/>
      <c r="B593" s="62"/>
      <c r="C593" s="62"/>
      <c r="D593" s="62"/>
      <c r="E593" s="62"/>
      <c r="F593" s="62"/>
      <c r="G593" s="62"/>
      <c r="H593" s="62"/>
      <c r="I593" s="62"/>
      <c r="J593" s="62"/>
      <c r="K593" s="53"/>
      <c r="L593" s="62"/>
      <c r="M593" s="63"/>
      <c r="N593" s="63"/>
      <c r="O593" s="63"/>
      <c r="P593" s="63"/>
      <c r="Q593" s="63"/>
      <c r="R593" s="63"/>
      <c r="S593" s="63"/>
      <c r="T593" s="63"/>
      <c r="U593" s="63"/>
      <c r="V593" s="63"/>
      <c r="W593" s="63"/>
      <c r="X593" s="63"/>
      <c r="Y593" s="63"/>
      <c r="Z593" s="63"/>
      <c r="AA593" s="63"/>
      <c r="AB593" s="63"/>
      <c r="AC593" s="63"/>
    </row>
    <row r="594" spans="1:29">
      <c r="A594" s="62"/>
      <c r="B594" s="62"/>
      <c r="C594" s="62"/>
      <c r="D594" s="62"/>
      <c r="E594" s="62"/>
      <c r="F594" s="62"/>
      <c r="G594" s="62"/>
      <c r="H594" s="62"/>
      <c r="I594" s="62"/>
      <c r="J594" s="62"/>
      <c r="K594" s="53"/>
      <c r="L594" s="62"/>
      <c r="M594" s="63"/>
      <c r="N594" s="63"/>
      <c r="O594" s="63"/>
      <c r="P594" s="63"/>
      <c r="Q594" s="63"/>
      <c r="R594" s="63"/>
      <c r="S594" s="63"/>
      <c r="T594" s="63"/>
      <c r="U594" s="63"/>
      <c r="V594" s="63"/>
      <c r="W594" s="63"/>
      <c r="X594" s="63"/>
      <c r="Y594" s="63"/>
      <c r="Z594" s="63"/>
      <c r="AA594" s="63"/>
      <c r="AB594" s="63"/>
      <c r="AC594" s="63"/>
    </row>
    <row r="595" spans="1:29">
      <c r="A595" s="62"/>
      <c r="B595" s="62"/>
      <c r="C595" s="62"/>
      <c r="D595" s="62"/>
      <c r="E595" s="62"/>
      <c r="F595" s="62"/>
      <c r="G595" s="62"/>
      <c r="H595" s="62"/>
      <c r="I595" s="62"/>
      <c r="J595" s="62"/>
      <c r="K595" s="53"/>
      <c r="L595" s="62"/>
      <c r="M595" s="63"/>
      <c r="N595" s="63"/>
      <c r="O595" s="63"/>
      <c r="P595" s="63"/>
      <c r="Q595" s="63"/>
      <c r="R595" s="63"/>
      <c r="S595" s="63"/>
      <c r="T595" s="63"/>
      <c r="U595" s="63"/>
      <c r="V595" s="63"/>
      <c r="W595" s="63"/>
      <c r="X595" s="63"/>
      <c r="Y595" s="63"/>
      <c r="Z595" s="63"/>
      <c r="AA595" s="63"/>
      <c r="AB595" s="63"/>
      <c r="AC595" s="63"/>
    </row>
    <row r="596" spans="1:29">
      <c r="A596" s="62"/>
      <c r="B596" s="62"/>
      <c r="C596" s="62"/>
      <c r="D596" s="62"/>
      <c r="E596" s="62"/>
      <c r="F596" s="62"/>
      <c r="G596" s="62"/>
      <c r="H596" s="62"/>
      <c r="I596" s="62"/>
      <c r="J596" s="62"/>
      <c r="K596" s="53"/>
      <c r="L596" s="62"/>
      <c r="M596" s="63"/>
      <c r="N596" s="63"/>
      <c r="O596" s="63"/>
      <c r="P596" s="63"/>
      <c r="Q596" s="63"/>
      <c r="R596" s="63"/>
      <c r="S596" s="63"/>
      <c r="T596" s="63"/>
      <c r="U596" s="63"/>
      <c r="V596" s="63"/>
      <c r="W596" s="63"/>
      <c r="X596" s="63"/>
      <c r="Y596" s="63"/>
      <c r="Z596" s="63"/>
      <c r="AA596" s="63"/>
      <c r="AB596" s="63"/>
      <c r="AC596" s="63"/>
    </row>
    <row r="597" spans="1:29">
      <c r="A597" s="62"/>
      <c r="B597" s="62"/>
      <c r="C597" s="62"/>
      <c r="D597" s="62"/>
      <c r="E597" s="62"/>
      <c r="F597" s="62"/>
      <c r="G597" s="62"/>
      <c r="H597" s="62"/>
      <c r="I597" s="62"/>
      <c r="J597" s="62"/>
      <c r="K597" s="53"/>
      <c r="L597" s="62"/>
      <c r="M597" s="63"/>
      <c r="N597" s="63"/>
      <c r="O597" s="63"/>
      <c r="P597" s="63"/>
      <c r="Q597" s="63"/>
      <c r="R597" s="63"/>
      <c r="S597" s="63"/>
      <c r="T597" s="63"/>
      <c r="U597" s="63"/>
      <c r="V597" s="63"/>
      <c r="W597" s="63"/>
      <c r="X597" s="63"/>
      <c r="Y597" s="63"/>
      <c r="Z597" s="63"/>
      <c r="AA597" s="63"/>
      <c r="AB597" s="63"/>
      <c r="AC597" s="63"/>
    </row>
    <row r="598" spans="1:29">
      <c r="A598" s="62"/>
      <c r="B598" s="62"/>
      <c r="C598" s="62"/>
      <c r="D598" s="62"/>
      <c r="E598" s="62"/>
      <c r="F598" s="62"/>
      <c r="G598" s="62"/>
      <c r="H598" s="62"/>
      <c r="I598" s="62"/>
      <c r="J598" s="62"/>
      <c r="K598" s="53"/>
      <c r="L598" s="62"/>
      <c r="M598" s="63"/>
      <c r="N598" s="63"/>
      <c r="O598" s="63"/>
      <c r="P598" s="63"/>
      <c r="Q598" s="63"/>
      <c r="R598" s="63"/>
      <c r="S598" s="63"/>
      <c r="T598" s="63"/>
      <c r="U598" s="63"/>
      <c r="V598" s="63"/>
      <c r="W598" s="63"/>
      <c r="X598" s="63"/>
      <c r="Y598" s="63"/>
      <c r="Z598" s="63"/>
      <c r="AA598" s="63"/>
      <c r="AB598" s="63"/>
      <c r="AC598" s="63"/>
    </row>
    <row r="599" spans="1:29">
      <c r="A599" s="62"/>
      <c r="B599" s="62"/>
      <c r="C599" s="62"/>
      <c r="D599" s="62"/>
      <c r="E599" s="62"/>
      <c r="F599" s="62"/>
      <c r="G599" s="62"/>
      <c r="H599" s="62"/>
      <c r="I599" s="62"/>
      <c r="J599" s="62"/>
      <c r="K599" s="53"/>
      <c r="L599" s="62"/>
      <c r="M599" s="63"/>
      <c r="N599" s="63"/>
      <c r="O599" s="63"/>
      <c r="P599" s="63"/>
      <c r="Q599" s="63"/>
      <c r="R599" s="63"/>
      <c r="S599" s="63"/>
      <c r="T599" s="63"/>
      <c r="U599" s="63"/>
      <c r="V599" s="63"/>
      <c r="W599" s="63"/>
      <c r="X599" s="63"/>
      <c r="Y599" s="63"/>
      <c r="Z599" s="63"/>
      <c r="AA599" s="63"/>
      <c r="AB599" s="63"/>
      <c r="AC599" s="63"/>
    </row>
    <row r="600" spans="1:29">
      <c r="A600" s="62"/>
      <c r="B600" s="62"/>
      <c r="C600" s="62"/>
      <c r="D600" s="62"/>
      <c r="E600" s="62"/>
      <c r="F600" s="62"/>
      <c r="G600" s="62"/>
      <c r="H600" s="62"/>
      <c r="I600" s="62"/>
      <c r="J600" s="62"/>
      <c r="K600" s="53"/>
      <c r="L600" s="62"/>
      <c r="M600" s="63"/>
      <c r="N600" s="63"/>
      <c r="O600" s="63"/>
      <c r="P600" s="63"/>
      <c r="Q600" s="63"/>
      <c r="R600" s="63"/>
      <c r="S600" s="63"/>
      <c r="T600" s="63"/>
      <c r="U600" s="63"/>
      <c r="V600" s="63"/>
      <c r="W600" s="63"/>
      <c r="X600" s="63"/>
      <c r="Y600" s="63"/>
      <c r="Z600" s="63"/>
      <c r="AA600" s="63"/>
      <c r="AB600" s="63"/>
      <c r="AC600" s="63"/>
    </row>
    <row r="601" spans="1:29">
      <c r="A601" s="62"/>
      <c r="B601" s="62"/>
      <c r="C601" s="62"/>
      <c r="D601" s="62"/>
      <c r="E601" s="62"/>
      <c r="F601" s="62"/>
      <c r="G601" s="62"/>
      <c r="H601" s="62"/>
      <c r="I601" s="62"/>
      <c r="J601" s="62"/>
      <c r="K601" s="53"/>
      <c r="L601" s="62"/>
      <c r="M601" s="63"/>
      <c r="N601" s="63"/>
      <c r="O601" s="63"/>
      <c r="P601" s="63"/>
      <c r="Q601" s="63"/>
      <c r="R601" s="63"/>
      <c r="S601" s="63"/>
      <c r="T601" s="63"/>
      <c r="U601" s="63"/>
      <c r="V601" s="63"/>
      <c r="W601" s="63"/>
      <c r="X601" s="63"/>
      <c r="Y601" s="63"/>
      <c r="Z601" s="63"/>
      <c r="AA601" s="63"/>
      <c r="AB601" s="63"/>
      <c r="AC601" s="63"/>
    </row>
    <row r="602" spans="1:29">
      <c r="A602" s="62"/>
      <c r="B602" s="62"/>
      <c r="C602" s="62"/>
      <c r="D602" s="62"/>
      <c r="E602" s="62"/>
      <c r="F602" s="62"/>
      <c r="G602" s="62"/>
      <c r="H602" s="62"/>
      <c r="I602" s="62"/>
      <c r="J602" s="62"/>
      <c r="K602" s="53"/>
      <c r="L602" s="62"/>
      <c r="M602" s="63"/>
      <c r="N602" s="63"/>
      <c r="O602" s="63"/>
      <c r="P602" s="63"/>
      <c r="Q602" s="63"/>
      <c r="R602" s="63"/>
      <c r="S602" s="63"/>
      <c r="T602" s="63"/>
      <c r="U602" s="63"/>
      <c r="V602" s="63"/>
      <c r="W602" s="63"/>
      <c r="X602" s="63"/>
      <c r="Y602" s="63"/>
      <c r="Z602" s="63"/>
      <c r="AA602" s="63"/>
      <c r="AB602" s="63"/>
      <c r="AC602" s="63"/>
    </row>
    <row r="603" spans="1:29">
      <c r="A603" s="62"/>
      <c r="B603" s="62"/>
      <c r="C603" s="62"/>
      <c r="D603" s="62"/>
      <c r="E603" s="62"/>
      <c r="F603" s="62"/>
      <c r="G603" s="62"/>
      <c r="H603" s="62"/>
      <c r="I603" s="62"/>
      <c r="J603" s="62"/>
      <c r="K603" s="53"/>
      <c r="L603" s="62"/>
      <c r="M603" s="63"/>
      <c r="N603" s="63"/>
      <c r="O603" s="63"/>
      <c r="P603" s="63"/>
      <c r="Q603" s="63"/>
      <c r="R603" s="63"/>
      <c r="S603" s="63"/>
      <c r="T603" s="63"/>
      <c r="U603" s="63"/>
      <c r="V603" s="63"/>
      <c r="W603" s="63"/>
      <c r="X603" s="63"/>
      <c r="Y603" s="63"/>
      <c r="Z603" s="63"/>
      <c r="AA603" s="63"/>
      <c r="AB603" s="63"/>
      <c r="AC603" s="63"/>
    </row>
    <row r="604" spans="1:29">
      <c r="A604" s="62"/>
      <c r="B604" s="62"/>
      <c r="C604" s="62"/>
      <c r="D604" s="62"/>
      <c r="E604" s="62"/>
      <c r="F604" s="62"/>
      <c r="G604" s="62"/>
      <c r="H604" s="62"/>
      <c r="I604" s="62"/>
      <c r="J604" s="62"/>
      <c r="K604" s="53"/>
      <c r="L604" s="62"/>
      <c r="M604" s="63"/>
      <c r="N604" s="63"/>
      <c r="O604" s="63"/>
      <c r="P604" s="63"/>
      <c r="Q604" s="63"/>
      <c r="R604" s="63"/>
      <c r="S604" s="63"/>
      <c r="T604" s="63"/>
      <c r="U604" s="63"/>
      <c r="V604" s="63"/>
      <c r="W604" s="63"/>
      <c r="X604" s="63"/>
      <c r="Y604" s="63"/>
      <c r="Z604" s="63"/>
      <c r="AA604" s="63"/>
      <c r="AB604" s="63"/>
      <c r="AC604" s="63"/>
    </row>
    <row r="605" spans="1:29">
      <c r="A605" s="62"/>
      <c r="B605" s="62"/>
      <c r="C605" s="62"/>
      <c r="D605" s="62"/>
      <c r="E605" s="62"/>
      <c r="F605" s="62"/>
      <c r="G605" s="62"/>
      <c r="H605" s="62"/>
      <c r="I605" s="62"/>
      <c r="J605" s="62"/>
      <c r="K605" s="53"/>
      <c r="L605" s="62"/>
      <c r="M605" s="63"/>
      <c r="N605" s="63"/>
      <c r="O605" s="63"/>
      <c r="P605" s="63"/>
      <c r="Q605" s="63"/>
      <c r="R605" s="63"/>
      <c r="S605" s="63"/>
      <c r="T605" s="63"/>
      <c r="U605" s="63"/>
      <c r="V605" s="63"/>
      <c r="W605" s="63"/>
      <c r="X605" s="63"/>
      <c r="Y605" s="63"/>
      <c r="Z605" s="63"/>
      <c r="AA605" s="63"/>
      <c r="AB605" s="63"/>
      <c r="AC605" s="63"/>
    </row>
    <row r="606" spans="1:29">
      <c r="A606" s="62"/>
      <c r="B606" s="62"/>
      <c r="C606" s="62"/>
      <c r="D606" s="62"/>
      <c r="E606" s="62"/>
      <c r="F606" s="62"/>
      <c r="G606" s="62"/>
      <c r="H606" s="62"/>
      <c r="I606" s="62"/>
      <c r="J606" s="62"/>
      <c r="K606" s="53"/>
      <c r="L606" s="62"/>
      <c r="M606" s="63"/>
      <c r="N606" s="63"/>
      <c r="O606" s="63"/>
      <c r="P606" s="63"/>
      <c r="Q606" s="63"/>
      <c r="R606" s="63"/>
      <c r="S606" s="63"/>
      <c r="T606" s="63"/>
      <c r="U606" s="63"/>
      <c r="V606" s="63"/>
      <c r="W606" s="63"/>
      <c r="X606" s="63"/>
      <c r="Y606" s="63"/>
      <c r="Z606" s="63"/>
      <c r="AA606" s="63"/>
      <c r="AB606" s="63"/>
      <c r="AC606" s="63"/>
    </row>
    <row r="607" spans="1:29">
      <c r="A607" s="62"/>
      <c r="B607" s="62"/>
      <c r="C607" s="62"/>
      <c r="D607" s="62"/>
      <c r="E607" s="62"/>
      <c r="F607" s="62"/>
      <c r="G607" s="62"/>
      <c r="H607" s="62"/>
      <c r="I607" s="62"/>
      <c r="J607" s="62"/>
      <c r="K607" s="53"/>
      <c r="L607" s="62"/>
      <c r="M607" s="63"/>
      <c r="N607" s="63"/>
      <c r="O607" s="63"/>
      <c r="P607" s="63"/>
      <c r="Q607" s="63"/>
      <c r="R607" s="63"/>
      <c r="S607" s="63"/>
      <c r="T607" s="63"/>
      <c r="U607" s="63"/>
      <c r="V607" s="63"/>
      <c r="W607" s="63"/>
      <c r="X607" s="63"/>
      <c r="Y607" s="63"/>
      <c r="Z607" s="63"/>
      <c r="AA607" s="63"/>
      <c r="AB607" s="63"/>
      <c r="AC607" s="63"/>
    </row>
    <row r="608" spans="1:29">
      <c r="A608" s="62"/>
      <c r="B608" s="62"/>
      <c r="C608" s="62"/>
      <c r="D608" s="62"/>
      <c r="E608" s="62"/>
      <c r="F608" s="62"/>
      <c r="G608" s="62"/>
      <c r="H608" s="62"/>
      <c r="I608" s="62"/>
      <c r="J608" s="62"/>
      <c r="K608" s="53"/>
      <c r="L608" s="62"/>
      <c r="M608" s="63"/>
      <c r="N608" s="63"/>
      <c r="O608" s="63"/>
      <c r="P608" s="63"/>
      <c r="Q608" s="63"/>
      <c r="R608" s="63"/>
      <c r="S608" s="63"/>
      <c r="T608" s="63"/>
      <c r="U608" s="63"/>
      <c r="V608" s="63"/>
      <c r="W608" s="63"/>
      <c r="X608" s="63"/>
      <c r="Y608" s="63"/>
      <c r="Z608" s="63"/>
      <c r="AA608" s="63"/>
      <c r="AB608" s="63"/>
      <c r="AC608" s="63"/>
    </row>
    <row r="609" spans="1:29">
      <c r="A609" s="62"/>
      <c r="B609" s="62"/>
      <c r="C609" s="62"/>
      <c r="D609" s="62"/>
      <c r="E609" s="62"/>
      <c r="F609" s="62"/>
      <c r="G609" s="62"/>
      <c r="H609" s="62"/>
      <c r="I609" s="62"/>
      <c r="J609" s="62"/>
      <c r="K609" s="53"/>
      <c r="L609" s="62"/>
      <c r="M609" s="63"/>
      <c r="N609" s="63"/>
      <c r="O609" s="63"/>
      <c r="P609" s="63"/>
      <c r="Q609" s="63"/>
      <c r="R609" s="63"/>
      <c r="S609" s="63"/>
      <c r="T609" s="63"/>
      <c r="U609" s="63"/>
      <c r="V609" s="63"/>
      <c r="W609" s="63"/>
      <c r="X609" s="63"/>
      <c r="Y609" s="63"/>
      <c r="Z609" s="63"/>
      <c r="AA609" s="63"/>
      <c r="AB609" s="63"/>
      <c r="AC609" s="63"/>
    </row>
    <row r="610" spans="1:29">
      <c r="A610" s="62"/>
      <c r="B610" s="62"/>
      <c r="C610" s="62"/>
      <c r="D610" s="62"/>
      <c r="E610" s="62"/>
      <c r="F610" s="62"/>
      <c r="G610" s="62"/>
      <c r="H610" s="62"/>
      <c r="I610" s="62"/>
      <c r="J610" s="62"/>
      <c r="K610" s="53"/>
      <c r="L610" s="62"/>
      <c r="M610" s="63"/>
      <c r="N610" s="63"/>
      <c r="O610" s="63"/>
      <c r="P610" s="63"/>
      <c r="Q610" s="63"/>
      <c r="R610" s="63"/>
      <c r="S610" s="63"/>
      <c r="T610" s="63"/>
      <c r="U610" s="63"/>
      <c r="V610" s="63"/>
      <c r="W610" s="63"/>
      <c r="X610" s="63"/>
      <c r="Y610" s="63"/>
      <c r="Z610" s="63"/>
      <c r="AA610" s="63"/>
      <c r="AB610" s="63"/>
      <c r="AC610" s="63"/>
    </row>
    <row r="611" spans="1:29">
      <c r="A611" s="62"/>
      <c r="B611" s="62"/>
      <c r="C611" s="62"/>
      <c r="D611" s="62"/>
      <c r="E611" s="62"/>
      <c r="F611" s="62"/>
      <c r="G611" s="62"/>
      <c r="H611" s="62"/>
      <c r="I611" s="62"/>
      <c r="J611" s="62"/>
      <c r="K611" s="53"/>
      <c r="L611" s="62"/>
      <c r="M611" s="63"/>
      <c r="N611" s="63"/>
      <c r="O611" s="63"/>
      <c r="P611" s="63"/>
      <c r="Q611" s="63"/>
      <c r="R611" s="63"/>
      <c r="S611" s="63"/>
      <c r="T611" s="63"/>
      <c r="U611" s="63"/>
      <c r="V611" s="63"/>
      <c r="W611" s="63"/>
      <c r="X611" s="63"/>
      <c r="Y611" s="63"/>
      <c r="Z611" s="63"/>
      <c r="AA611" s="63"/>
      <c r="AB611" s="63"/>
      <c r="AC611" s="63"/>
    </row>
    <row r="612" spans="1:29">
      <c r="A612" s="62"/>
      <c r="B612" s="62"/>
      <c r="C612" s="62"/>
      <c r="D612" s="62"/>
      <c r="E612" s="62"/>
      <c r="F612" s="62"/>
      <c r="G612" s="62"/>
      <c r="H612" s="62"/>
      <c r="I612" s="62"/>
      <c r="J612" s="62"/>
      <c r="K612" s="53"/>
      <c r="L612" s="62"/>
      <c r="M612" s="63"/>
      <c r="N612" s="63"/>
      <c r="O612" s="63"/>
      <c r="P612" s="63"/>
      <c r="Q612" s="63"/>
      <c r="R612" s="63"/>
      <c r="S612" s="63"/>
      <c r="T612" s="63"/>
      <c r="U612" s="63"/>
      <c r="V612" s="63"/>
      <c r="W612" s="63"/>
      <c r="X612" s="63"/>
      <c r="Y612" s="63"/>
      <c r="Z612" s="63"/>
      <c r="AA612" s="63"/>
      <c r="AB612" s="63"/>
      <c r="AC612" s="63"/>
    </row>
    <row r="613" spans="1:29">
      <c r="A613" s="62"/>
      <c r="B613" s="62"/>
      <c r="C613" s="62"/>
      <c r="D613" s="62"/>
      <c r="E613" s="62"/>
      <c r="F613" s="62"/>
      <c r="G613" s="62"/>
      <c r="H613" s="62"/>
      <c r="I613" s="62"/>
      <c r="J613" s="62"/>
      <c r="K613" s="53"/>
      <c r="L613" s="62"/>
      <c r="M613" s="63"/>
      <c r="N613" s="63"/>
      <c r="O613" s="63"/>
      <c r="P613" s="63"/>
      <c r="Q613" s="63"/>
      <c r="R613" s="63"/>
      <c r="S613" s="63"/>
      <c r="T613" s="63"/>
      <c r="U613" s="63"/>
      <c r="V613" s="63"/>
      <c r="W613" s="63"/>
      <c r="X613" s="63"/>
      <c r="Y613" s="63"/>
      <c r="Z613" s="63"/>
      <c r="AA613" s="63"/>
      <c r="AB613" s="63"/>
      <c r="AC613" s="63"/>
    </row>
    <row r="614" spans="1:29">
      <c r="A614" s="62"/>
      <c r="B614" s="62"/>
      <c r="C614" s="62"/>
      <c r="D614" s="62"/>
      <c r="E614" s="62"/>
      <c r="F614" s="62"/>
      <c r="G614" s="62"/>
      <c r="H614" s="62"/>
      <c r="I614" s="62"/>
      <c r="J614" s="62"/>
      <c r="K614" s="53"/>
      <c r="L614" s="62"/>
      <c r="M614" s="63"/>
      <c r="N614" s="63"/>
      <c r="O614" s="63"/>
      <c r="P614" s="63"/>
      <c r="Q614" s="63"/>
      <c r="R614" s="63"/>
      <c r="S614" s="63"/>
      <c r="T614" s="63"/>
      <c r="U614" s="63"/>
      <c r="V614" s="63"/>
      <c r="W614" s="63"/>
      <c r="X614" s="63"/>
      <c r="Y614" s="63"/>
      <c r="Z614" s="63"/>
      <c r="AA614" s="63"/>
      <c r="AB614" s="63"/>
      <c r="AC614" s="63"/>
    </row>
    <row r="615" spans="1:29">
      <c r="A615" s="62"/>
      <c r="B615" s="62"/>
      <c r="C615" s="62"/>
      <c r="D615" s="62"/>
      <c r="E615" s="62"/>
      <c r="F615" s="62"/>
      <c r="G615" s="62"/>
      <c r="H615" s="62"/>
      <c r="I615" s="62"/>
      <c r="J615" s="62"/>
      <c r="K615" s="53"/>
      <c r="L615" s="62"/>
      <c r="M615" s="63"/>
      <c r="N615" s="63"/>
      <c r="O615" s="63"/>
      <c r="P615" s="63"/>
      <c r="Q615" s="63"/>
      <c r="R615" s="63"/>
      <c r="S615" s="63"/>
      <c r="T615" s="63"/>
      <c r="U615" s="63"/>
      <c r="V615" s="63"/>
      <c r="W615" s="63"/>
      <c r="X615" s="63"/>
      <c r="Y615" s="63"/>
      <c r="Z615" s="63"/>
      <c r="AA615" s="63"/>
      <c r="AB615" s="63"/>
      <c r="AC615" s="63"/>
    </row>
    <row r="616" spans="1:29">
      <c r="A616" s="62"/>
      <c r="B616" s="62"/>
      <c r="C616" s="62"/>
      <c r="D616" s="62"/>
      <c r="E616" s="62"/>
      <c r="F616" s="62"/>
      <c r="G616" s="62"/>
      <c r="H616" s="62"/>
      <c r="I616" s="62"/>
      <c r="J616" s="62"/>
      <c r="K616" s="53"/>
      <c r="L616" s="62"/>
      <c r="M616" s="63"/>
      <c r="N616" s="63"/>
      <c r="O616" s="63"/>
      <c r="P616" s="63"/>
      <c r="Q616" s="63"/>
      <c r="R616" s="63"/>
      <c r="S616" s="63"/>
      <c r="T616" s="63"/>
      <c r="U616" s="63"/>
      <c r="V616" s="63"/>
      <c r="W616" s="63"/>
      <c r="X616" s="63"/>
      <c r="Y616" s="63"/>
      <c r="Z616" s="63"/>
      <c r="AA616" s="63"/>
      <c r="AB616" s="63"/>
      <c r="AC616" s="63"/>
    </row>
    <row r="617" spans="1:29">
      <c r="A617" s="62"/>
      <c r="B617" s="62"/>
      <c r="C617" s="62"/>
      <c r="D617" s="62"/>
      <c r="E617" s="62"/>
      <c r="F617" s="62"/>
      <c r="G617" s="62"/>
      <c r="H617" s="62"/>
      <c r="I617" s="62"/>
      <c r="J617" s="62"/>
      <c r="K617" s="53"/>
      <c r="L617" s="62"/>
      <c r="M617" s="63"/>
      <c r="N617" s="63"/>
      <c r="O617" s="63"/>
      <c r="P617" s="63"/>
      <c r="Q617" s="63"/>
      <c r="R617" s="63"/>
      <c r="S617" s="63"/>
      <c r="T617" s="63"/>
      <c r="U617" s="63"/>
      <c r="V617" s="63"/>
      <c r="W617" s="63"/>
      <c r="X617" s="63"/>
      <c r="Y617" s="63"/>
      <c r="Z617" s="63"/>
      <c r="AA617" s="63"/>
      <c r="AB617" s="63"/>
      <c r="AC617" s="63"/>
    </row>
    <row r="618" spans="1:29">
      <c r="A618" s="62"/>
      <c r="B618" s="62"/>
      <c r="C618" s="62"/>
      <c r="D618" s="62"/>
      <c r="E618" s="62"/>
      <c r="F618" s="62"/>
      <c r="G618" s="62"/>
      <c r="H618" s="62"/>
      <c r="I618" s="62"/>
      <c r="J618" s="62"/>
      <c r="K618" s="53"/>
      <c r="L618" s="62"/>
      <c r="M618" s="63"/>
      <c r="N618" s="63"/>
      <c r="O618" s="63"/>
      <c r="P618" s="63"/>
      <c r="Q618" s="63"/>
      <c r="R618" s="63"/>
      <c r="S618" s="63"/>
      <c r="T618" s="63"/>
      <c r="U618" s="63"/>
      <c r="V618" s="63"/>
      <c r="W618" s="63"/>
      <c r="X618" s="63"/>
      <c r="Y618" s="63"/>
      <c r="Z618" s="63"/>
      <c r="AA618" s="63"/>
      <c r="AB618" s="63"/>
      <c r="AC618" s="63"/>
    </row>
    <row r="619" spans="1:29">
      <c r="A619" s="62"/>
      <c r="B619" s="62"/>
      <c r="C619" s="62"/>
      <c r="D619" s="62"/>
      <c r="E619" s="62"/>
      <c r="F619" s="62"/>
      <c r="G619" s="62"/>
      <c r="H619" s="62"/>
      <c r="I619" s="62"/>
      <c r="J619" s="62"/>
      <c r="K619" s="53"/>
      <c r="L619" s="62"/>
      <c r="M619" s="63"/>
      <c r="N619" s="63"/>
      <c r="O619" s="63"/>
      <c r="P619" s="63"/>
      <c r="Q619" s="63"/>
      <c r="R619" s="63"/>
      <c r="S619" s="63"/>
      <c r="T619" s="63"/>
      <c r="U619" s="63"/>
      <c r="V619" s="63"/>
      <c r="W619" s="63"/>
      <c r="X619" s="63"/>
      <c r="Y619" s="63"/>
      <c r="Z619" s="63"/>
      <c r="AA619" s="63"/>
      <c r="AB619" s="63"/>
      <c r="AC619" s="63"/>
    </row>
    <row r="620" spans="1:29">
      <c r="A620" s="62"/>
      <c r="B620" s="62"/>
      <c r="C620" s="62"/>
      <c r="D620" s="62"/>
      <c r="E620" s="62"/>
      <c r="F620" s="62"/>
      <c r="G620" s="62"/>
      <c r="H620" s="62"/>
      <c r="I620" s="62"/>
      <c r="J620" s="62"/>
      <c r="K620" s="53"/>
      <c r="L620" s="62"/>
      <c r="M620" s="63"/>
      <c r="N620" s="63"/>
      <c r="O620" s="63"/>
      <c r="P620" s="63"/>
      <c r="Q620" s="63"/>
      <c r="R620" s="63"/>
      <c r="S620" s="63"/>
      <c r="T620" s="63"/>
      <c r="U620" s="63"/>
      <c r="V620" s="63"/>
      <c r="W620" s="63"/>
      <c r="X620" s="63"/>
      <c r="Y620" s="63"/>
      <c r="Z620" s="63"/>
      <c r="AA620" s="63"/>
      <c r="AB620" s="63"/>
      <c r="AC620" s="63"/>
    </row>
    <row r="621" spans="1:29">
      <c r="A621" s="62"/>
      <c r="B621" s="62"/>
      <c r="C621" s="62"/>
      <c r="D621" s="62"/>
      <c r="E621" s="62"/>
      <c r="F621" s="62"/>
      <c r="G621" s="62"/>
      <c r="H621" s="62"/>
      <c r="I621" s="62"/>
      <c r="J621" s="62"/>
      <c r="K621" s="53"/>
      <c r="L621" s="62"/>
      <c r="M621" s="63"/>
      <c r="N621" s="63"/>
      <c r="O621" s="63"/>
      <c r="P621" s="63"/>
      <c r="Q621" s="63"/>
      <c r="R621" s="63"/>
      <c r="S621" s="63"/>
      <c r="T621" s="63"/>
      <c r="U621" s="63"/>
      <c r="V621" s="63"/>
      <c r="W621" s="63"/>
      <c r="X621" s="63"/>
      <c r="Y621" s="63"/>
      <c r="Z621" s="63"/>
      <c r="AA621" s="63"/>
      <c r="AB621" s="63"/>
      <c r="AC621" s="63"/>
    </row>
    <row r="622" spans="1:29">
      <c r="A622" s="62"/>
      <c r="B622" s="62"/>
      <c r="C622" s="62"/>
      <c r="D622" s="62"/>
      <c r="E622" s="62"/>
      <c r="F622" s="62"/>
      <c r="G622" s="62"/>
      <c r="H622" s="62"/>
      <c r="I622" s="62"/>
      <c r="J622" s="62"/>
      <c r="K622" s="53"/>
      <c r="L622" s="62"/>
      <c r="M622" s="63"/>
      <c r="N622" s="63"/>
      <c r="O622" s="63"/>
      <c r="P622" s="63"/>
      <c r="Q622" s="63"/>
      <c r="R622" s="63"/>
      <c r="S622" s="63"/>
      <c r="T622" s="63"/>
      <c r="U622" s="63"/>
      <c r="V622" s="63"/>
      <c r="W622" s="63"/>
      <c r="X622" s="63"/>
      <c r="Y622" s="63"/>
      <c r="Z622" s="63"/>
      <c r="AA622" s="63"/>
      <c r="AB622" s="63"/>
      <c r="AC622" s="63"/>
    </row>
    <row r="623" spans="1:29">
      <c r="A623" s="62"/>
      <c r="B623" s="62"/>
      <c r="C623" s="62"/>
      <c r="D623" s="62"/>
      <c r="E623" s="62"/>
      <c r="F623" s="62"/>
      <c r="G623" s="62"/>
      <c r="H623" s="62"/>
      <c r="I623" s="62"/>
      <c r="J623" s="62"/>
      <c r="K623" s="53"/>
      <c r="L623" s="62"/>
      <c r="M623" s="63"/>
      <c r="N623" s="63"/>
      <c r="O623" s="63"/>
      <c r="P623" s="63"/>
      <c r="Q623" s="63"/>
      <c r="R623" s="63"/>
      <c r="S623" s="63"/>
      <c r="T623" s="63"/>
      <c r="U623" s="63"/>
      <c r="V623" s="63"/>
      <c r="W623" s="63"/>
      <c r="X623" s="63"/>
      <c r="Y623" s="63"/>
      <c r="Z623" s="63"/>
      <c r="AA623" s="63"/>
      <c r="AB623" s="63"/>
      <c r="AC623" s="63"/>
    </row>
    <row r="624" spans="1:29">
      <c r="A624" s="62"/>
      <c r="B624" s="62"/>
      <c r="C624" s="62"/>
      <c r="D624" s="62"/>
      <c r="E624" s="62"/>
      <c r="F624" s="62"/>
      <c r="G624" s="62"/>
      <c r="H624" s="62"/>
      <c r="I624" s="62"/>
      <c r="J624" s="62"/>
      <c r="K624" s="53"/>
      <c r="L624" s="62"/>
      <c r="M624" s="63"/>
      <c r="N624" s="63"/>
      <c r="O624" s="63"/>
      <c r="P624" s="63"/>
      <c r="Q624" s="63"/>
      <c r="R624" s="63"/>
      <c r="S624" s="63"/>
      <c r="T624" s="63"/>
      <c r="U624" s="63"/>
      <c r="V624" s="63"/>
      <c r="W624" s="63"/>
      <c r="X624" s="63"/>
      <c r="Y624" s="63"/>
      <c r="Z624" s="63"/>
      <c r="AA624" s="63"/>
      <c r="AB624" s="63"/>
      <c r="AC624" s="63"/>
    </row>
    <row r="625" spans="1:29">
      <c r="A625" s="62"/>
      <c r="B625" s="62"/>
      <c r="C625" s="62"/>
      <c r="D625" s="62"/>
      <c r="E625" s="62"/>
      <c r="F625" s="62"/>
      <c r="G625" s="62"/>
      <c r="H625" s="62"/>
      <c r="I625" s="62"/>
      <c r="J625" s="62"/>
      <c r="K625" s="53"/>
      <c r="L625" s="62"/>
      <c r="M625" s="63"/>
      <c r="N625" s="63"/>
      <c r="O625" s="63"/>
      <c r="P625" s="63"/>
      <c r="Q625" s="63"/>
      <c r="R625" s="63"/>
      <c r="S625" s="63"/>
      <c r="T625" s="63"/>
      <c r="U625" s="63"/>
      <c r="V625" s="63"/>
      <c r="W625" s="63"/>
      <c r="X625" s="63"/>
      <c r="Y625" s="63"/>
      <c r="Z625" s="63"/>
      <c r="AA625" s="63"/>
      <c r="AB625" s="63"/>
      <c r="AC625" s="63"/>
    </row>
    <row r="626" spans="1:29">
      <c r="A626" s="62"/>
      <c r="B626" s="62"/>
      <c r="C626" s="62"/>
      <c r="D626" s="62"/>
      <c r="E626" s="62"/>
      <c r="F626" s="62"/>
      <c r="G626" s="62"/>
      <c r="H626" s="62"/>
      <c r="I626" s="62"/>
      <c r="J626" s="62"/>
      <c r="K626" s="53"/>
      <c r="L626" s="62"/>
      <c r="M626" s="63"/>
      <c r="N626" s="63"/>
      <c r="O626" s="63"/>
      <c r="P626" s="63"/>
      <c r="Q626" s="63"/>
      <c r="R626" s="63"/>
      <c r="S626" s="63"/>
      <c r="T626" s="63"/>
      <c r="U626" s="63"/>
      <c r="V626" s="63"/>
      <c r="W626" s="63"/>
      <c r="X626" s="63"/>
      <c r="Y626" s="63"/>
      <c r="Z626" s="63"/>
      <c r="AA626" s="63"/>
      <c r="AB626" s="63"/>
      <c r="AC626" s="63"/>
    </row>
    <row r="627" spans="1:29">
      <c r="A627" s="62"/>
      <c r="B627" s="62"/>
      <c r="C627" s="62"/>
      <c r="D627" s="62"/>
      <c r="E627" s="62"/>
      <c r="F627" s="62"/>
      <c r="G627" s="62"/>
      <c r="H627" s="62"/>
      <c r="I627" s="62"/>
      <c r="J627" s="62"/>
      <c r="K627" s="53"/>
      <c r="L627" s="62"/>
      <c r="M627" s="63"/>
      <c r="N627" s="63"/>
      <c r="O627" s="63"/>
      <c r="P627" s="63"/>
      <c r="Q627" s="63"/>
      <c r="R627" s="63"/>
      <c r="S627" s="63"/>
      <c r="T627" s="63"/>
      <c r="U627" s="63"/>
      <c r="V627" s="63"/>
      <c r="W627" s="63"/>
      <c r="X627" s="63"/>
      <c r="Y627" s="63"/>
      <c r="Z627" s="63"/>
      <c r="AA627" s="63"/>
      <c r="AB627" s="63"/>
      <c r="AC627" s="63"/>
    </row>
    <row r="628" spans="1:29">
      <c r="A628" s="62"/>
      <c r="B628" s="62"/>
      <c r="C628" s="62"/>
      <c r="D628" s="62"/>
      <c r="E628" s="62"/>
      <c r="F628" s="62"/>
      <c r="G628" s="62"/>
      <c r="H628" s="62"/>
      <c r="I628" s="62"/>
      <c r="J628" s="62"/>
      <c r="K628" s="53"/>
      <c r="L628" s="62"/>
      <c r="M628" s="63"/>
      <c r="N628" s="63"/>
      <c r="O628" s="63"/>
      <c r="P628" s="63"/>
      <c r="Q628" s="63"/>
      <c r="R628" s="63"/>
      <c r="S628" s="63"/>
      <c r="T628" s="63"/>
      <c r="U628" s="63"/>
      <c r="V628" s="63"/>
      <c r="W628" s="63"/>
      <c r="X628" s="63"/>
      <c r="Y628" s="63"/>
      <c r="Z628" s="63"/>
      <c r="AA628" s="63"/>
      <c r="AB628" s="63"/>
      <c r="AC628" s="63"/>
    </row>
    <row r="629" spans="1:29">
      <c r="A629" s="62"/>
      <c r="B629" s="62"/>
      <c r="C629" s="62"/>
      <c r="D629" s="62"/>
      <c r="E629" s="62"/>
      <c r="F629" s="62"/>
      <c r="G629" s="62"/>
      <c r="H629" s="62"/>
      <c r="I629" s="62"/>
      <c r="J629" s="62"/>
      <c r="K629" s="53"/>
      <c r="L629" s="62"/>
      <c r="M629" s="63"/>
      <c r="N629" s="63"/>
      <c r="O629" s="63"/>
      <c r="P629" s="63"/>
      <c r="Q629" s="63"/>
      <c r="R629" s="63"/>
      <c r="S629" s="63"/>
      <c r="T629" s="63"/>
      <c r="U629" s="63"/>
      <c r="V629" s="63"/>
      <c r="W629" s="63"/>
      <c r="X629" s="63"/>
      <c r="Y629" s="63"/>
      <c r="Z629" s="63"/>
      <c r="AA629" s="63"/>
      <c r="AB629" s="63"/>
      <c r="AC629" s="63"/>
    </row>
    <row r="630" spans="1:29">
      <c r="A630" s="62"/>
      <c r="B630" s="62"/>
      <c r="C630" s="62"/>
      <c r="D630" s="62"/>
      <c r="E630" s="62"/>
      <c r="F630" s="62"/>
      <c r="G630" s="62"/>
      <c r="H630" s="62"/>
      <c r="I630" s="62"/>
      <c r="J630" s="62"/>
      <c r="K630" s="53"/>
      <c r="L630" s="62"/>
      <c r="M630" s="63"/>
      <c r="N630" s="63"/>
      <c r="O630" s="63"/>
      <c r="P630" s="63"/>
      <c r="Q630" s="63"/>
      <c r="R630" s="63"/>
      <c r="S630" s="63"/>
      <c r="T630" s="63"/>
      <c r="U630" s="63"/>
      <c r="V630" s="63"/>
      <c r="W630" s="63"/>
      <c r="X630" s="63"/>
      <c r="Y630" s="63"/>
      <c r="Z630" s="63"/>
      <c r="AA630" s="63"/>
      <c r="AB630" s="63"/>
      <c r="AC630" s="63"/>
    </row>
    <row r="631" spans="1:29">
      <c r="A631" s="62"/>
      <c r="B631" s="62"/>
      <c r="C631" s="62"/>
      <c r="D631" s="62"/>
      <c r="E631" s="62"/>
      <c r="F631" s="62"/>
      <c r="G631" s="62"/>
      <c r="H631" s="62"/>
      <c r="I631" s="62"/>
      <c r="J631" s="62"/>
      <c r="K631" s="53"/>
      <c r="L631" s="62"/>
      <c r="M631" s="63"/>
      <c r="N631" s="63"/>
      <c r="O631" s="63"/>
      <c r="P631" s="63"/>
      <c r="Q631" s="63"/>
      <c r="R631" s="63"/>
      <c r="S631" s="63"/>
      <c r="T631" s="63"/>
      <c r="U631" s="63"/>
      <c r="V631" s="63"/>
      <c r="W631" s="63"/>
      <c r="X631" s="63"/>
      <c r="Y631" s="63"/>
      <c r="Z631" s="63"/>
      <c r="AA631" s="63"/>
      <c r="AB631" s="63"/>
      <c r="AC631" s="63"/>
    </row>
    <row r="632" spans="1:29">
      <c r="A632" s="62"/>
      <c r="B632" s="62"/>
      <c r="C632" s="62"/>
      <c r="D632" s="62"/>
      <c r="E632" s="62"/>
      <c r="F632" s="62"/>
      <c r="G632" s="62"/>
      <c r="H632" s="62"/>
      <c r="I632" s="62"/>
      <c r="J632" s="62"/>
      <c r="K632" s="53"/>
      <c r="L632" s="62"/>
      <c r="M632" s="63"/>
      <c r="N632" s="63"/>
      <c r="O632" s="63"/>
      <c r="P632" s="63"/>
      <c r="Q632" s="63"/>
      <c r="R632" s="63"/>
      <c r="S632" s="63"/>
      <c r="T632" s="63"/>
      <c r="U632" s="63"/>
      <c r="V632" s="63"/>
      <c r="W632" s="63"/>
      <c r="X632" s="63"/>
      <c r="Y632" s="63"/>
      <c r="Z632" s="63"/>
      <c r="AA632" s="63"/>
      <c r="AB632" s="63"/>
      <c r="AC632" s="63"/>
    </row>
    <row r="633" spans="1:29">
      <c r="A633" s="62"/>
      <c r="B633" s="62"/>
      <c r="C633" s="62"/>
      <c r="D633" s="62"/>
      <c r="E633" s="62"/>
      <c r="F633" s="62"/>
      <c r="G633" s="62"/>
      <c r="H633" s="62"/>
      <c r="I633" s="62"/>
      <c r="J633" s="62"/>
      <c r="K633" s="53"/>
      <c r="L633" s="62"/>
      <c r="M633" s="63"/>
      <c r="N633" s="63"/>
      <c r="O633" s="63"/>
      <c r="P633" s="63"/>
      <c r="Q633" s="63"/>
      <c r="R633" s="63"/>
      <c r="S633" s="63"/>
      <c r="T633" s="63"/>
      <c r="U633" s="63"/>
      <c r="V633" s="63"/>
      <c r="W633" s="63"/>
      <c r="X633" s="63"/>
      <c r="Y633" s="63"/>
      <c r="Z633" s="63"/>
      <c r="AA633" s="63"/>
      <c r="AB633" s="63"/>
      <c r="AC633" s="63"/>
    </row>
    <row r="634" spans="1:29">
      <c r="A634" s="62"/>
      <c r="B634" s="62"/>
      <c r="C634" s="62"/>
      <c r="D634" s="62"/>
      <c r="E634" s="62"/>
      <c r="F634" s="62"/>
      <c r="G634" s="62"/>
      <c r="H634" s="62"/>
      <c r="I634" s="62"/>
      <c r="J634" s="62"/>
      <c r="K634" s="53"/>
      <c r="L634" s="62"/>
      <c r="M634" s="63"/>
      <c r="N634" s="63"/>
      <c r="O634" s="63"/>
      <c r="P634" s="63"/>
      <c r="Q634" s="63"/>
      <c r="R634" s="63"/>
      <c r="S634" s="63"/>
      <c r="T634" s="63"/>
      <c r="U634" s="63"/>
      <c r="V634" s="63"/>
      <c r="W634" s="63"/>
      <c r="X634" s="63"/>
      <c r="Y634" s="63"/>
      <c r="Z634" s="63"/>
      <c r="AA634" s="63"/>
      <c r="AB634" s="63"/>
      <c r="AC634" s="63"/>
    </row>
    <row r="635" spans="1:29">
      <c r="A635" s="62"/>
      <c r="B635" s="62"/>
      <c r="C635" s="62"/>
      <c r="D635" s="62"/>
      <c r="E635" s="62"/>
      <c r="F635" s="62"/>
      <c r="G635" s="62"/>
      <c r="H635" s="62"/>
      <c r="I635" s="62"/>
      <c r="J635" s="62"/>
      <c r="K635" s="53"/>
      <c r="L635" s="62"/>
      <c r="M635" s="63"/>
      <c r="N635" s="63"/>
      <c r="O635" s="63"/>
      <c r="P635" s="63"/>
      <c r="Q635" s="63"/>
      <c r="R635" s="63"/>
      <c r="S635" s="63"/>
      <c r="T635" s="63"/>
      <c r="U635" s="63"/>
      <c r="V635" s="63"/>
      <c r="W635" s="63"/>
      <c r="X635" s="63"/>
      <c r="Y635" s="63"/>
      <c r="Z635" s="63"/>
      <c r="AA635" s="63"/>
      <c r="AB635" s="63"/>
      <c r="AC635" s="63"/>
    </row>
    <row r="636" spans="1:29">
      <c r="A636" s="62"/>
      <c r="B636" s="62"/>
      <c r="C636" s="62"/>
      <c r="D636" s="62"/>
      <c r="E636" s="62"/>
      <c r="F636" s="62"/>
      <c r="G636" s="62"/>
      <c r="H636" s="62"/>
      <c r="I636" s="62"/>
      <c r="J636" s="62"/>
      <c r="K636" s="53"/>
      <c r="L636" s="62"/>
      <c r="M636" s="63"/>
      <c r="N636" s="63"/>
      <c r="O636" s="63"/>
      <c r="P636" s="63"/>
      <c r="Q636" s="63"/>
      <c r="R636" s="63"/>
      <c r="S636" s="63"/>
      <c r="T636" s="63"/>
      <c r="U636" s="63"/>
      <c r="V636" s="63"/>
      <c r="W636" s="63"/>
      <c r="X636" s="63"/>
      <c r="Y636" s="63"/>
      <c r="Z636" s="63"/>
      <c r="AA636" s="63"/>
      <c r="AB636" s="63"/>
      <c r="AC636" s="63"/>
    </row>
    <row r="637" spans="1:29">
      <c r="A637" s="62"/>
      <c r="B637" s="62"/>
      <c r="C637" s="62"/>
      <c r="D637" s="62"/>
      <c r="E637" s="62"/>
      <c r="F637" s="62"/>
      <c r="G637" s="62"/>
      <c r="H637" s="62"/>
      <c r="I637" s="62"/>
      <c r="J637" s="62"/>
      <c r="K637" s="53"/>
      <c r="L637" s="62"/>
      <c r="M637" s="63"/>
      <c r="N637" s="63"/>
      <c r="O637" s="63"/>
      <c r="P637" s="63"/>
      <c r="Q637" s="63"/>
      <c r="R637" s="63"/>
      <c r="S637" s="63"/>
      <c r="T637" s="63"/>
      <c r="U637" s="63"/>
      <c r="V637" s="63"/>
      <c r="W637" s="63"/>
      <c r="X637" s="63"/>
      <c r="Y637" s="63"/>
      <c r="Z637" s="63"/>
      <c r="AA637" s="63"/>
      <c r="AB637" s="63"/>
      <c r="AC637" s="63"/>
    </row>
    <row r="638" spans="1:29">
      <c r="A638" s="62"/>
      <c r="B638" s="62"/>
      <c r="C638" s="62"/>
      <c r="D638" s="62"/>
      <c r="E638" s="62"/>
      <c r="F638" s="62"/>
      <c r="G638" s="62"/>
      <c r="H638" s="62"/>
      <c r="I638" s="62"/>
      <c r="J638" s="62"/>
      <c r="K638" s="53"/>
      <c r="L638" s="62"/>
      <c r="M638" s="63"/>
      <c r="N638" s="63"/>
      <c r="O638" s="63"/>
      <c r="P638" s="63"/>
      <c r="Q638" s="63"/>
      <c r="R638" s="63"/>
      <c r="S638" s="63"/>
      <c r="T638" s="63"/>
      <c r="U638" s="63"/>
      <c r="V638" s="63"/>
      <c r="W638" s="63"/>
      <c r="X638" s="63"/>
      <c r="Y638" s="63"/>
      <c r="Z638" s="63"/>
      <c r="AA638" s="63"/>
      <c r="AB638" s="63"/>
      <c r="AC638" s="63"/>
    </row>
    <row r="639" spans="1:29">
      <c r="A639" s="62"/>
      <c r="B639" s="62"/>
      <c r="C639" s="62"/>
      <c r="D639" s="62"/>
      <c r="E639" s="62"/>
      <c r="F639" s="62"/>
      <c r="G639" s="62"/>
      <c r="H639" s="62"/>
      <c r="I639" s="62"/>
      <c r="J639" s="62"/>
      <c r="K639" s="53"/>
      <c r="L639" s="62"/>
      <c r="M639" s="63"/>
      <c r="N639" s="63"/>
      <c r="O639" s="63"/>
      <c r="P639" s="63"/>
      <c r="Q639" s="63"/>
      <c r="R639" s="63"/>
      <c r="S639" s="63"/>
      <c r="T639" s="63"/>
      <c r="U639" s="63"/>
      <c r="V639" s="63"/>
      <c r="W639" s="63"/>
      <c r="X639" s="63"/>
      <c r="Y639" s="63"/>
      <c r="Z639" s="63"/>
      <c r="AA639" s="63"/>
      <c r="AB639" s="63"/>
      <c r="AC639" s="63"/>
    </row>
    <row r="640" spans="1:29">
      <c r="A640" s="62"/>
      <c r="B640" s="62"/>
      <c r="C640" s="62"/>
      <c r="D640" s="62"/>
      <c r="E640" s="62"/>
      <c r="F640" s="62"/>
      <c r="G640" s="62"/>
      <c r="H640" s="62"/>
      <c r="I640" s="62"/>
      <c r="J640" s="62"/>
      <c r="K640" s="53"/>
      <c r="L640" s="62"/>
      <c r="M640" s="63"/>
      <c r="N640" s="63"/>
      <c r="O640" s="63"/>
      <c r="P640" s="63"/>
      <c r="Q640" s="63"/>
      <c r="R640" s="63"/>
      <c r="S640" s="63"/>
      <c r="T640" s="63"/>
      <c r="U640" s="63"/>
      <c r="V640" s="63"/>
      <c r="W640" s="63"/>
      <c r="X640" s="63"/>
      <c r="Y640" s="63"/>
      <c r="Z640" s="63"/>
      <c r="AA640" s="63"/>
      <c r="AB640" s="63"/>
      <c r="AC640" s="63"/>
    </row>
    <row r="641" spans="1:29">
      <c r="A641" s="62"/>
      <c r="B641" s="62"/>
      <c r="C641" s="62"/>
      <c r="D641" s="62"/>
      <c r="E641" s="62"/>
      <c r="F641" s="62"/>
      <c r="G641" s="62"/>
      <c r="H641" s="62"/>
      <c r="I641" s="62"/>
      <c r="J641" s="62"/>
      <c r="K641" s="53"/>
      <c r="L641" s="62"/>
      <c r="M641" s="63"/>
      <c r="N641" s="63"/>
      <c r="O641" s="63"/>
      <c r="P641" s="63"/>
      <c r="Q641" s="63"/>
      <c r="R641" s="63"/>
      <c r="S641" s="63"/>
      <c r="T641" s="63"/>
      <c r="U641" s="63"/>
      <c r="V641" s="63"/>
      <c r="W641" s="63"/>
      <c r="X641" s="63"/>
      <c r="Y641" s="63"/>
      <c r="Z641" s="63"/>
      <c r="AA641" s="63"/>
      <c r="AB641" s="63"/>
      <c r="AC641" s="63"/>
    </row>
    <row r="642" spans="1:29">
      <c r="A642" s="62"/>
      <c r="B642" s="62"/>
      <c r="C642" s="62"/>
      <c r="D642" s="62"/>
      <c r="E642" s="62"/>
      <c r="F642" s="62"/>
      <c r="G642" s="62"/>
      <c r="H642" s="62"/>
      <c r="I642" s="62"/>
      <c r="J642" s="62"/>
      <c r="K642" s="53"/>
      <c r="L642" s="62"/>
      <c r="M642" s="63"/>
      <c r="N642" s="63"/>
      <c r="O642" s="63"/>
      <c r="P642" s="63"/>
      <c r="Q642" s="63"/>
      <c r="R642" s="63"/>
      <c r="S642" s="63"/>
      <c r="T642" s="63"/>
      <c r="U642" s="63"/>
      <c r="V642" s="63"/>
      <c r="W642" s="63"/>
      <c r="X642" s="63"/>
      <c r="Y642" s="63"/>
      <c r="Z642" s="63"/>
      <c r="AA642" s="63"/>
      <c r="AB642" s="63"/>
      <c r="AC642" s="63"/>
    </row>
    <row r="643" spans="1:29">
      <c r="A643" s="62"/>
      <c r="B643" s="62"/>
      <c r="C643" s="62"/>
      <c r="D643" s="62"/>
      <c r="E643" s="62"/>
      <c r="F643" s="62"/>
      <c r="G643" s="62"/>
      <c r="H643" s="62"/>
      <c r="I643" s="62"/>
      <c r="J643" s="62"/>
      <c r="K643" s="53"/>
      <c r="L643" s="62"/>
      <c r="M643" s="63"/>
      <c r="N643" s="63"/>
      <c r="O643" s="63"/>
      <c r="P643" s="63"/>
      <c r="Q643" s="63"/>
      <c r="R643" s="63"/>
      <c r="S643" s="63"/>
      <c r="T643" s="63"/>
      <c r="U643" s="63"/>
      <c r="V643" s="63"/>
      <c r="W643" s="63"/>
      <c r="X643" s="63"/>
      <c r="Y643" s="63"/>
      <c r="Z643" s="63"/>
      <c r="AA643" s="63"/>
      <c r="AB643" s="63"/>
      <c r="AC643" s="63"/>
    </row>
    <row r="644" spans="1:29">
      <c r="A644" s="62"/>
      <c r="B644" s="62"/>
      <c r="C644" s="62"/>
      <c r="D644" s="62"/>
      <c r="E644" s="62"/>
      <c r="F644" s="62"/>
      <c r="G644" s="62"/>
      <c r="H644" s="62"/>
      <c r="I644" s="62"/>
      <c r="J644" s="62"/>
      <c r="K644" s="53"/>
      <c r="L644" s="62"/>
      <c r="M644" s="63"/>
      <c r="N644" s="63"/>
      <c r="O644" s="63"/>
      <c r="P644" s="63"/>
      <c r="Q644" s="63"/>
      <c r="R644" s="63"/>
      <c r="S644" s="63"/>
      <c r="T644" s="63"/>
      <c r="U644" s="63"/>
      <c r="V644" s="63"/>
      <c r="W644" s="63"/>
      <c r="X644" s="63"/>
      <c r="Y644" s="63"/>
      <c r="Z644" s="63"/>
      <c r="AA644" s="63"/>
      <c r="AB644" s="63"/>
      <c r="AC644" s="63"/>
    </row>
    <row r="645" spans="1:29">
      <c r="A645" s="62"/>
      <c r="B645" s="62"/>
      <c r="C645" s="62"/>
      <c r="D645" s="62"/>
      <c r="E645" s="62"/>
      <c r="F645" s="62"/>
      <c r="G645" s="62"/>
      <c r="H645" s="62"/>
      <c r="I645" s="62"/>
      <c r="J645" s="62"/>
      <c r="K645" s="53"/>
      <c r="L645" s="62"/>
      <c r="M645" s="63"/>
      <c r="N645" s="63"/>
      <c r="O645" s="63"/>
      <c r="P645" s="63"/>
      <c r="Q645" s="63"/>
      <c r="R645" s="63"/>
      <c r="S645" s="63"/>
      <c r="T645" s="63"/>
      <c r="U645" s="63"/>
      <c r="V645" s="63"/>
      <c r="W645" s="63"/>
      <c r="X645" s="63"/>
      <c r="Y645" s="63"/>
      <c r="Z645" s="63"/>
      <c r="AA645" s="63"/>
      <c r="AB645" s="63"/>
      <c r="AC645" s="63"/>
    </row>
    <row r="646" spans="1:29">
      <c r="A646" s="62"/>
      <c r="B646" s="62"/>
      <c r="C646" s="62"/>
      <c r="D646" s="62"/>
      <c r="E646" s="62"/>
      <c r="F646" s="62"/>
      <c r="G646" s="62"/>
      <c r="H646" s="62"/>
      <c r="I646" s="62"/>
      <c r="J646" s="62"/>
      <c r="K646" s="53"/>
      <c r="L646" s="62"/>
      <c r="M646" s="63"/>
      <c r="N646" s="63"/>
      <c r="O646" s="63"/>
      <c r="P646" s="63"/>
      <c r="Q646" s="63"/>
      <c r="R646" s="63"/>
      <c r="S646" s="63"/>
      <c r="T646" s="63"/>
      <c r="U646" s="63"/>
      <c r="V646" s="63"/>
      <c r="W646" s="63"/>
      <c r="X646" s="63"/>
      <c r="Y646" s="63"/>
      <c r="Z646" s="63"/>
      <c r="AA646" s="63"/>
      <c r="AB646" s="63"/>
      <c r="AC646" s="63"/>
    </row>
    <row r="647" spans="1:29">
      <c r="A647" s="62"/>
      <c r="B647" s="62"/>
      <c r="C647" s="62"/>
      <c r="D647" s="62"/>
      <c r="E647" s="62"/>
      <c r="F647" s="62"/>
      <c r="G647" s="62"/>
      <c r="H647" s="62"/>
      <c r="I647" s="62"/>
      <c r="J647" s="62"/>
      <c r="K647" s="53"/>
      <c r="L647" s="62"/>
      <c r="M647" s="63"/>
      <c r="N647" s="63"/>
      <c r="O647" s="63"/>
      <c r="P647" s="63"/>
      <c r="Q647" s="63"/>
      <c r="R647" s="63"/>
      <c r="S647" s="63"/>
      <c r="T647" s="63"/>
      <c r="U647" s="63"/>
      <c r="V647" s="63"/>
      <c r="W647" s="63"/>
      <c r="X647" s="63"/>
      <c r="Y647" s="63"/>
      <c r="Z647" s="63"/>
      <c r="AA647" s="63"/>
      <c r="AB647" s="63"/>
      <c r="AC647" s="63"/>
    </row>
    <row r="648" spans="1:29">
      <c r="A648" s="62"/>
      <c r="B648" s="62"/>
      <c r="C648" s="62"/>
      <c r="D648" s="62"/>
      <c r="E648" s="62"/>
      <c r="F648" s="62"/>
      <c r="G648" s="62"/>
      <c r="H648" s="62"/>
      <c r="I648" s="62"/>
      <c r="J648" s="62"/>
      <c r="K648" s="53"/>
      <c r="L648" s="62"/>
      <c r="M648" s="63"/>
      <c r="N648" s="63"/>
      <c r="O648" s="63"/>
      <c r="P648" s="63"/>
      <c r="Q648" s="63"/>
      <c r="R648" s="63"/>
      <c r="S648" s="63"/>
      <c r="T648" s="63"/>
      <c r="U648" s="63"/>
      <c r="V648" s="63"/>
      <c r="W648" s="63"/>
      <c r="X648" s="63"/>
      <c r="Y648" s="63"/>
      <c r="Z648" s="63"/>
      <c r="AA648" s="63"/>
      <c r="AB648" s="63"/>
      <c r="AC648" s="63"/>
    </row>
    <row r="649" spans="1:29">
      <c r="A649" s="62"/>
      <c r="B649" s="62"/>
      <c r="C649" s="62"/>
      <c r="D649" s="62"/>
      <c r="E649" s="62"/>
      <c r="F649" s="62"/>
      <c r="G649" s="62"/>
      <c r="H649" s="62"/>
      <c r="I649" s="62"/>
      <c r="J649" s="62"/>
      <c r="K649" s="53"/>
      <c r="L649" s="62"/>
      <c r="M649" s="63"/>
      <c r="N649" s="63"/>
      <c r="O649" s="63"/>
      <c r="P649" s="63"/>
      <c r="Q649" s="63"/>
      <c r="R649" s="63"/>
      <c r="S649" s="63"/>
      <c r="T649" s="63"/>
      <c r="U649" s="63"/>
      <c r="V649" s="63"/>
      <c r="W649" s="63"/>
      <c r="X649" s="63"/>
      <c r="Y649" s="63"/>
      <c r="Z649" s="63"/>
      <c r="AA649" s="63"/>
      <c r="AB649" s="63"/>
      <c r="AC649" s="63"/>
    </row>
    <row r="650" spans="1:29">
      <c r="A650" s="62"/>
      <c r="B650" s="62"/>
      <c r="C650" s="62"/>
      <c r="D650" s="62"/>
      <c r="E650" s="62"/>
      <c r="F650" s="62"/>
      <c r="G650" s="62"/>
      <c r="H650" s="62"/>
      <c r="I650" s="62"/>
      <c r="J650" s="62"/>
      <c r="K650" s="53"/>
      <c r="L650" s="62"/>
      <c r="M650" s="63"/>
      <c r="N650" s="63"/>
      <c r="O650" s="63"/>
      <c r="P650" s="63"/>
      <c r="Q650" s="63"/>
      <c r="R650" s="63"/>
      <c r="S650" s="63"/>
      <c r="T650" s="63"/>
      <c r="U650" s="63"/>
      <c r="V650" s="63"/>
      <c r="W650" s="63"/>
      <c r="X650" s="63"/>
      <c r="Y650" s="63"/>
      <c r="Z650" s="63"/>
      <c r="AA650" s="63"/>
      <c r="AB650" s="63"/>
      <c r="AC650" s="63"/>
    </row>
    <row r="651" spans="1:29">
      <c r="A651" s="62"/>
      <c r="B651" s="62"/>
      <c r="C651" s="62"/>
      <c r="D651" s="62"/>
      <c r="E651" s="62"/>
      <c r="F651" s="62"/>
      <c r="G651" s="62"/>
      <c r="H651" s="62"/>
      <c r="I651" s="62"/>
      <c r="J651" s="62"/>
      <c r="K651" s="53"/>
      <c r="L651" s="62"/>
      <c r="M651" s="63"/>
      <c r="N651" s="63"/>
      <c r="O651" s="63"/>
      <c r="P651" s="63"/>
      <c r="Q651" s="63"/>
      <c r="R651" s="63"/>
      <c r="S651" s="63"/>
      <c r="T651" s="63"/>
      <c r="U651" s="63"/>
      <c r="V651" s="63"/>
      <c r="W651" s="63"/>
      <c r="X651" s="63"/>
      <c r="Y651" s="63"/>
      <c r="Z651" s="63"/>
      <c r="AA651" s="63"/>
      <c r="AB651" s="63"/>
      <c r="AC651" s="63"/>
    </row>
    <row r="652" spans="1:29">
      <c r="A652" s="62"/>
      <c r="B652" s="62"/>
      <c r="C652" s="62"/>
      <c r="D652" s="62"/>
      <c r="E652" s="62"/>
      <c r="F652" s="62"/>
      <c r="G652" s="62"/>
      <c r="H652" s="62"/>
      <c r="I652" s="62"/>
      <c r="J652" s="62"/>
      <c r="K652" s="53"/>
      <c r="L652" s="62"/>
      <c r="M652" s="63"/>
      <c r="N652" s="63"/>
      <c r="O652" s="63"/>
      <c r="P652" s="63"/>
      <c r="Q652" s="63"/>
      <c r="R652" s="63"/>
      <c r="S652" s="63"/>
      <c r="T652" s="63"/>
      <c r="U652" s="63"/>
      <c r="V652" s="63"/>
      <c r="W652" s="63"/>
      <c r="X652" s="63"/>
      <c r="Y652" s="63"/>
      <c r="Z652" s="63"/>
      <c r="AA652" s="63"/>
      <c r="AB652" s="63"/>
      <c r="AC652" s="63"/>
    </row>
    <row r="653" spans="1:29">
      <c r="A653" s="62"/>
      <c r="B653" s="62"/>
      <c r="C653" s="62"/>
      <c r="D653" s="62"/>
      <c r="E653" s="62"/>
      <c r="F653" s="62"/>
      <c r="G653" s="62"/>
      <c r="H653" s="62"/>
      <c r="I653" s="62"/>
      <c r="J653" s="62"/>
      <c r="K653" s="53"/>
      <c r="L653" s="62"/>
      <c r="M653" s="63"/>
      <c r="N653" s="63"/>
      <c r="O653" s="63"/>
      <c r="P653" s="63"/>
      <c r="Q653" s="63"/>
      <c r="R653" s="63"/>
      <c r="S653" s="63"/>
      <c r="T653" s="63"/>
      <c r="U653" s="63"/>
      <c r="V653" s="63"/>
      <c r="W653" s="63"/>
      <c r="X653" s="63"/>
      <c r="Y653" s="63"/>
      <c r="Z653" s="63"/>
      <c r="AA653" s="63"/>
      <c r="AB653" s="63"/>
      <c r="AC653" s="63"/>
    </row>
    <row r="654" spans="1:29">
      <c r="A654" s="62"/>
      <c r="B654" s="62"/>
      <c r="C654" s="62"/>
      <c r="D654" s="62"/>
      <c r="E654" s="62"/>
      <c r="F654" s="62"/>
      <c r="G654" s="62"/>
      <c r="H654" s="62"/>
      <c r="I654" s="62"/>
      <c r="J654" s="62"/>
      <c r="K654" s="53"/>
      <c r="L654" s="62"/>
      <c r="M654" s="63"/>
      <c r="N654" s="63"/>
      <c r="O654" s="63"/>
      <c r="P654" s="63"/>
      <c r="Q654" s="63"/>
      <c r="R654" s="63"/>
      <c r="S654" s="63"/>
      <c r="T654" s="63"/>
      <c r="U654" s="63"/>
      <c r="V654" s="63"/>
      <c r="W654" s="63"/>
      <c r="X654" s="63"/>
      <c r="Y654" s="63"/>
      <c r="Z654" s="63"/>
      <c r="AA654" s="63"/>
      <c r="AB654" s="63"/>
      <c r="AC654" s="63"/>
    </row>
    <row r="655" spans="1:29">
      <c r="A655" s="62"/>
      <c r="B655" s="62"/>
      <c r="C655" s="62"/>
      <c r="D655" s="62"/>
      <c r="E655" s="62"/>
      <c r="F655" s="62"/>
      <c r="G655" s="62"/>
      <c r="H655" s="62"/>
      <c r="I655" s="62"/>
      <c r="J655" s="62"/>
      <c r="K655" s="53"/>
      <c r="L655" s="62"/>
      <c r="M655" s="63"/>
      <c r="N655" s="63"/>
      <c r="O655" s="63"/>
      <c r="P655" s="63"/>
      <c r="Q655" s="63"/>
      <c r="R655" s="63"/>
      <c r="S655" s="63"/>
      <c r="T655" s="63"/>
      <c r="U655" s="63"/>
      <c r="V655" s="63"/>
      <c r="W655" s="63"/>
      <c r="X655" s="63"/>
      <c r="Y655" s="63"/>
      <c r="Z655" s="63"/>
      <c r="AA655" s="63"/>
      <c r="AB655" s="63"/>
      <c r="AC655" s="63"/>
    </row>
    <row r="656" spans="1:29">
      <c r="A656" s="62"/>
      <c r="B656" s="62"/>
      <c r="C656" s="62"/>
      <c r="D656" s="62"/>
      <c r="E656" s="62"/>
      <c r="F656" s="62"/>
      <c r="G656" s="62"/>
      <c r="H656" s="62"/>
      <c r="I656" s="62"/>
      <c r="J656" s="62"/>
      <c r="K656" s="53"/>
      <c r="L656" s="62"/>
      <c r="M656" s="63"/>
      <c r="N656" s="63"/>
      <c r="O656" s="63"/>
      <c r="P656" s="63"/>
      <c r="Q656" s="63"/>
      <c r="R656" s="63"/>
      <c r="S656" s="63"/>
      <c r="T656" s="63"/>
      <c r="U656" s="63"/>
      <c r="V656" s="63"/>
      <c r="W656" s="63"/>
      <c r="X656" s="63"/>
      <c r="Y656" s="63"/>
      <c r="Z656" s="63"/>
      <c r="AA656" s="63"/>
      <c r="AB656" s="63"/>
      <c r="AC656" s="63"/>
    </row>
    <row r="657" spans="1:29">
      <c r="A657" s="62"/>
      <c r="B657" s="62"/>
      <c r="C657" s="62"/>
      <c r="D657" s="62"/>
      <c r="E657" s="62"/>
      <c r="F657" s="62"/>
      <c r="G657" s="62"/>
      <c r="H657" s="62"/>
      <c r="I657" s="62"/>
      <c r="J657" s="62"/>
      <c r="K657" s="53"/>
      <c r="L657" s="62"/>
      <c r="M657" s="63"/>
      <c r="N657" s="63"/>
      <c r="O657" s="63"/>
      <c r="P657" s="63"/>
      <c r="Q657" s="63"/>
      <c r="R657" s="63"/>
      <c r="S657" s="63"/>
      <c r="T657" s="63"/>
      <c r="U657" s="63"/>
      <c r="V657" s="63"/>
      <c r="W657" s="63"/>
      <c r="X657" s="63"/>
      <c r="Y657" s="63"/>
      <c r="Z657" s="63"/>
      <c r="AA657" s="63"/>
      <c r="AB657" s="63"/>
      <c r="AC657" s="63"/>
    </row>
    <row r="658" spans="1:29">
      <c r="A658" s="62"/>
      <c r="B658" s="62"/>
      <c r="C658" s="62"/>
      <c r="D658" s="62"/>
      <c r="E658" s="62"/>
      <c r="F658" s="62"/>
      <c r="G658" s="62"/>
      <c r="H658" s="62"/>
      <c r="I658" s="62"/>
      <c r="J658" s="62"/>
      <c r="K658" s="53"/>
      <c r="L658" s="62"/>
      <c r="M658" s="63"/>
      <c r="N658" s="63"/>
      <c r="O658" s="63"/>
      <c r="P658" s="63"/>
      <c r="Q658" s="63"/>
      <c r="R658" s="63"/>
      <c r="S658" s="63"/>
      <c r="T658" s="63"/>
      <c r="U658" s="63"/>
      <c r="V658" s="63"/>
      <c r="W658" s="63"/>
      <c r="X658" s="63"/>
      <c r="Y658" s="63"/>
      <c r="Z658" s="63"/>
      <c r="AA658" s="63"/>
      <c r="AB658" s="63"/>
      <c r="AC658" s="63"/>
    </row>
    <row r="659" spans="1:29">
      <c r="A659" s="62"/>
      <c r="B659" s="62"/>
      <c r="C659" s="62"/>
      <c r="D659" s="62"/>
      <c r="E659" s="62"/>
      <c r="F659" s="62"/>
      <c r="G659" s="62"/>
      <c r="H659" s="62"/>
      <c r="I659" s="62"/>
      <c r="J659" s="62"/>
      <c r="K659" s="53"/>
      <c r="L659" s="62"/>
      <c r="M659" s="63"/>
      <c r="N659" s="63"/>
      <c r="O659" s="63"/>
      <c r="P659" s="63"/>
      <c r="Q659" s="63"/>
      <c r="R659" s="63"/>
      <c r="S659" s="63"/>
      <c r="T659" s="63"/>
      <c r="U659" s="63"/>
      <c r="V659" s="63"/>
      <c r="W659" s="63"/>
      <c r="X659" s="63"/>
      <c r="Y659" s="63"/>
      <c r="Z659" s="63"/>
      <c r="AA659" s="63"/>
      <c r="AB659" s="63"/>
      <c r="AC659" s="63"/>
    </row>
    <row r="660" spans="1:29">
      <c r="A660" s="62"/>
      <c r="B660" s="62"/>
      <c r="C660" s="62"/>
      <c r="D660" s="62"/>
      <c r="E660" s="62"/>
      <c r="F660" s="62"/>
      <c r="G660" s="62"/>
      <c r="H660" s="62"/>
      <c r="I660" s="62"/>
      <c r="J660" s="62"/>
      <c r="K660" s="53"/>
      <c r="L660" s="62"/>
      <c r="M660" s="63"/>
      <c r="N660" s="63"/>
      <c r="O660" s="63"/>
      <c r="P660" s="63"/>
      <c r="Q660" s="63"/>
      <c r="R660" s="63"/>
      <c r="S660" s="63"/>
      <c r="T660" s="63"/>
      <c r="U660" s="63"/>
      <c r="V660" s="63"/>
      <c r="W660" s="63"/>
      <c r="X660" s="63"/>
      <c r="Y660" s="63"/>
      <c r="Z660" s="63"/>
      <c r="AA660" s="63"/>
      <c r="AB660" s="63"/>
      <c r="AC660" s="63"/>
    </row>
    <row r="661" spans="1:29">
      <c r="A661" s="62"/>
      <c r="B661" s="62"/>
      <c r="C661" s="62"/>
      <c r="D661" s="62"/>
      <c r="E661" s="62"/>
      <c r="F661" s="62"/>
      <c r="G661" s="62"/>
      <c r="H661" s="62"/>
      <c r="I661" s="62"/>
      <c r="J661" s="62"/>
      <c r="K661" s="53"/>
      <c r="L661" s="62"/>
      <c r="M661" s="63"/>
      <c r="N661" s="63"/>
      <c r="O661" s="63"/>
      <c r="P661" s="63"/>
      <c r="Q661" s="63"/>
      <c r="R661" s="63"/>
      <c r="S661" s="63"/>
      <c r="T661" s="63"/>
      <c r="U661" s="63"/>
      <c r="V661" s="63"/>
      <c r="W661" s="63"/>
      <c r="X661" s="63"/>
      <c r="Y661" s="63"/>
      <c r="Z661" s="63"/>
      <c r="AA661" s="63"/>
      <c r="AB661" s="63"/>
      <c r="AC661" s="63"/>
    </row>
    <row r="662" spans="1:29">
      <c r="A662" s="62"/>
      <c r="B662" s="62"/>
      <c r="C662" s="62"/>
      <c r="D662" s="62"/>
      <c r="E662" s="62"/>
      <c r="F662" s="62"/>
      <c r="G662" s="62"/>
      <c r="H662" s="62"/>
      <c r="I662" s="62"/>
      <c r="J662" s="62"/>
      <c r="K662" s="53"/>
      <c r="L662" s="62"/>
      <c r="M662" s="63"/>
      <c r="N662" s="63"/>
      <c r="O662" s="63"/>
      <c r="P662" s="63"/>
      <c r="Q662" s="63"/>
      <c r="R662" s="63"/>
      <c r="S662" s="63"/>
      <c r="T662" s="63"/>
      <c r="U662" s="63"/>
      <c r="V662" s="63"/>
      <c r="W662" s="63"/>
      <c r="X662" s="63"/>
      <c r="Y662" s="63"/>
      <c r="Z662" s="63"/>
      <c r="AA662" s="63"/>
      <c r="AB662" s="63"/>
      <c r="AC662" s="63"/>
    </row>
    <row r="663" spans="1:29">
      <c r="A663" s="62"/>
      <c r="B663" s="62"/>
      <c r="C663" s="62"/>
      <c r="D663" s="62"/>
      <c r="E663" s="62"/>
      <c r="F663" s="62"/>
      <c r="G663" s="62"/>
      <c r="H663" s="62"/>
      <c r="I663" s="62"/>
      <c r="J663" s="62"/>
      <c r="K663" s="53"/>
      <c r="L663" s="62"/>
      <c r="M663" s="63"/>
      <c r="N663" s="63"/>
      <c r="O663" s="63"/>
      <c r="P663" s="63"/>
      <c r="Q663" s="63"/>
      <c r="R663" s="63"/>
      <c r="S663" s="63"/>
      <c r="T663" s="63"/>
      <c r="U663" s="63"/>
      <c r="V663" s="63"/>
      <c r="W663" s="63"/>
      <c r="X663" s="63"/>
      <c r="Y663" s="63"/>
      <c r="Z663" s="63"/>
      <c r="AA663" s="63"/>
      <c r="AB663" s="63"/>
      <c r="AC663" s="63"/>
    </row>
    <row r="664" spans="1:29">
      <c r="A664" s="62"/>
      <c r="B664" s="62"/>
      <c r="C664" s="62"/>
      <c r="D664" s="62"/>
      <c r="E664" s="62"/>
      <c r="F664" s="62"/>
      <c r="G664" s="62"/>
      <c r="H664" s="62"/>
      <c r="I664" s="62"/>
      <c r="J664" s="62"/>
      <c r="K664" s="53"/>
      <c r="L664" s="62"/>
      <c r="M664" s="63"/>
      <c r="N664" s="63"/>
      <c r="O664" s="63"/>
      <c r="P664" s="63"/>
      <c r="Q664" s="63"/>
      <c r="R664" s="63"/>
      <c r="S664" s="63"/>
      <c r="T664" s="63"/>
      <c r="U664" s="63"/>
      <c r="V664" s="63"/>
      <c r="W664" s="63"/>
      <c r="X664" s="63"/>
      <c r="Y664" s="63"/>
      <c r="Z664" s="63"/>
      <c r="AA664" s="63"/>
      <c r="AB664" s="63"/>
      <c r="AC664" s="63"/>
    </row>
    <row r="665" spans="1:29">
      <c r="A665" s="62"/>
      <c r="B665" s="62"/>
      <c r="C665" s="62"/>
      <c r="D665" s="62"/>
      <c r="E665" s="62"/>
      <c r="F665" s="62"/>
      <c r="G665" s="62"/>
      <c r="H665" s="62"/>
      <c r="I665" s="62"/>
      <c r="J665" s="62"/>
      <c r="K665" s="53"/>
      <c r="L665" s="62"/>
      <c r="M665" s="63"/>
      <c r="N665" s="63"/>
      <c r="O665" s="63"/>
      <c r="P665" s="63"/>
      <c r="Q665" s="63"/>
      <c r="R665" s="63"/>
      <c r="S665" s="63"/>
      <c r="T665" s="63"/>
      <c r="U665" s="63"/>
      <c r="V665" s="63"/>
      <c r="W665" s="63"/>
      <c r="X665" s="63"/>
      <c r="Y665" s="63"/>
      <c r="Z665" s="63"/>
      <c r="AA665" s="63"/>
      <c r="AB665" s="63"/>
      <c r="AC665" s="63"/>
    </row>
    <row r="666" spans="1:29">
      <c r="A666" s="62"/>
      <c r="B666" s="62"/>
      <c r="C666" s="62"/>
      <c r="D666" s="62"/>
      <c r="E666" s="62"/>
      <c r="F666" s="62"/>
      <c r="G666" s="62"/>
      <c r="H666" s="62"/>
      <c r="I666" s="62"/>
      <c r="J666" s="62"/>
      <c r="K666" s="53"/>
      <c r="L666" s="62"/>
      <c r="M666" s="63"/>
      <c r="N666" s="63"/>
      <c r="O666" s="63"/>
      <c r="P666" s="63"/>
      <c r="Q666" s="63"/>
      <c r="R666" s="63"/>
      <c r="S666" s="63"/>
      <c r="T666" s="63"/>
      <c r="U666" s="63"/>
      <c r="V666" s="63"/>
      <c r="W666" s="63"/>
      <c r="X666" s="63"/>
      <c r="Y666" s="63"/>
      <c r="Z666" s="63"/>
      <c r="AA666" s="63"/>
      <c r="AB666" s="63"/>
      <c r="AC666" s="63"/>
    </row>
    <row r="667" spans="1:29">
      <c r="A667" s="62"/>
      <c r="B667" s="62"/>
      <c r="C667" s="62"/>
      <c r="D667" s="62"/>
      <c r="E667" s="62"/>
      <c r="F667" s="62"/>
      <c r="G667" s="62"/>
      <c r="H667" s="62"/>
      <c r="I667" s="62"/>
      <c r="J667" s="62"/>
      <c r="K667" s="53"/>
      <c r="L667" s="62"/>
      <c r="M667" s="63"/>
      <c r="N667" s="63"/>
      <c r="O667" s="63"/>
      <c r="P667" s="63"/>
      <c r="Q667" s="63"/>
      <c r="R667" s="63"/>
      <c r="S667" s="63"/>
      <c r="T667" s="63"/>
      <c r="U667" s="63"/>
      <c r="V667" s="63"/>
      <c r="W667" s="63"/>
      <c r="X667" s="63"/>
      <c r="Y667" s="63"/>
      <c r="Z667" s="63"/>
      <c r="AA667" s="63"/>
      <c r="AB667" s="63"/>
      <c r="AC667" s="63"/>
    </row>
    <row r="668" spans="1:29">
      <c r="A668" s="62"/>
      <c r="B668" s="62"/>
      <c r="C668" s="62"/>
      <c r="D668" s="62"/>
      <c r="E668" s="62"/>
      <c r="F668" s="62"/>
      <c r="G668" s="62"/>
      <c r="H668" s="62"/>
      <c r="I668" s="62"/>
      <c r="J668" s="62"/>
      <c r="K668" s="53"/>
      <c r="L668" s="62"/>
      <c r="M668" s="63"/>
      <c r="N668" s="63"/>
      <c r="O668" s="63"/>
      <c r="P668" s="63"/>
      <c r="Q668" s="63"/>
      <c r="R668" s="63"/>
      <c r="S668" s="63"/>
      <c r="T668" s="63"/>
      <c r="U668" s="63"/>
      <c r="V668" s="63"/>
      <c r="W668" s="63"/>
      <c r="X668" s="63"/>
      <c r="Y668" s="63"/>
      <c r="Z668" s="63"/>
      <c r="AA668" s="63"/>
      <c r="AB668" s="63"/>
      <c r="AC668" s="63"/>
    </row>
    <row r="669" spans="1:29">
      <c r="A669" s="62"/>
      <c r="B669" s="62"/>
      <c r="C669" s="62"/>
      <c r="D669" s="62"/>
      <c r="E669" s="62"/>
      <c r="F669" s="62"/>
      <c r="G669" s="62"/>
      <c r="H669" s="62"/>
      <c r="I669" s="62"/>
      <c r="J669" s="62"/>
      <c r="K669" s="53"/>
      <c r="L669" s="62"/>
      <c r="M669" s="63"/>
      <c r="N669" s="63"/>
      <c r="O669" s="63"/>
      <c r="P669" s="63"/>
      <c r="Q669" s="63"/>
      <c r="R669" s="63"/>
      <c r="S669" s="63"/>
      <c r="T669" s="63"/>
      <c r="U669" s="63"/>
      <c r="V669" s="63"/>
      <c r="W669" s="63"/>
      <c r="X669" s="63"/>
      <c r="Y669" s="63"/>
      <c r="Z669" s="63"/>
      <c r="AA669" s="63"/>
      <c r="AB669" s="63"/>
      <c r="AC669" s="63"/>
    </row>
    <row r="670" spans="1:29">
      <c r="A670" s="62"/>
      <c r="B670" s="62"/>
      <c r="C670" s="62"/>
      <c r="D670" s="62"/>
      <c r="E670" s="62"/>
      <c r="F670" s="62"/>
      <c r="G670" s="62"/>
      <c r="H670" s="62"/>
      <c r="I670" s="62"/>
      <c r="J670" s="62"/>
      <c r="K670" s="53"/>
      <c r="L670" s="62"/>
      <c r="M670" s="63"/>
      <c r="N670" s="63"/>
      <c r="O670" s="63"/>
      <c r="P670" s="63"/>
      <c r="Q670" s="63"/>
      <c r="R670" s="63"/>
      <c r="S670" s="63"/>
      <c r="T670" s="63"/>
      <c r="U670" s="63"/>
      <c r="V670" s="63"/>
      <c r="W670" s="63"/>
      <c r="X670" s="63"/>
      <c r="Y670" s="63"/>
      <c r="Z670" s="63"/>
      <c r="AA670" s="63"/>
      <c r="AB670" s="63"/>
      <c r="AC670" s="63"/>
    </row>
    <row r="671" spans="1:29">
      <c r="A671" s="62"/>
      <c r="B671" s="62"/>
      <c r="C671" s="62"/>
      <c r="D671" s="62"/>
      <c r="E671" s="62"/>
      <c r="F671" s="62"/>
      <c r="G671" s="62"/>
      <c r="H671" s="62"/>
      <c r="I671" s="62"/>
      <c r="J671" s="62"/>
      <c r="K671" s="53"/>
      <c r="L671" s="62"/>
      <c r="M671" s="63"/>
      <c r="N671" s="63"/>
      <c r="O671" s="63"/>
      <c r="P671" s="63"/>
      <c r="Q671" s="63"/>
      <c r="R671" s="63"/>
      <c r="S671" s="63"/>
      <c r="T671" s="63"/>
      <c r="U671" s="63"/>
      <c r="V671" s="63"/>
      <c r="W671" s="63"/>
      <c r="X671" s="63"/>
      <c r="Y671" s="63"/>
      <c r="Z671" s="63"/>
      <c r="AA671" s="63"/>
      <c r="AB671" s="63"/>
      <c r="AC671" s="63"/>
    </row>
    <row r="672" spans="1:29">
      <c r="A672" s="62"/>
      <c r="B672" s="62"/>
      <c r="C672" s="62"/>
      <c r="D672" s="62"/>
      <c r="E672" s="62"/>
      <c r="F672" s="62"/>
      <c r="G672" s="62"/>
      <c r="H672" s="62"/>
      <c r="I672" s="62"/>
      <c r="J672" s="62"/>
      <c r="K672" s="53"/>
      <c r="L672" s="62"/>
      <c r="M672" s="63"/>
      <c r="N672" s="63"/>
      <c r="O672" s="63"/>
      <c r="P672" s="63"/>
      <c r="Q672" s="63"/>
      <c r="R672" s="63"/>
      <c r="S672" s="63"/>
      <c r="T672" s="63"/>
      <c r="U672" s="63"/>
      <c r="V672" s="63"/>
      <c r="W672" s="63"/>
      <c r="X672" s="63"/>
      <c r="Y672" s="63"/>
      <c r="Z672" s="63"/>
      <c r="AA672" s="63"/>
      <c r="AB672" s="63"/>
      <c r="AC672" s="63"/>
    </row>
    <row r="673" spans="1:29">
      <c r="A673" s="62"/>
      <c r="B673" s="62"/>
      <c r="C673" s="62"/>
      <c r="D673" s="62"/>
      <c r="E673" s="62"/>
      <c r="F673" s="62"/>
      <c r="G673" s="62"/>
      <c r="H673" s="62"/>
      <c r="I673" s="62"/>
      <c r="J673" s="62"/>
      <c r="K673" s="53"/>
      <c r="L673" s="62"/>
      <c r="M673" s="63"/>
      <c r="N673" s="63"/>
      <c r="O673" s="63"/>
      <c r="P673" s="63"/>
      <c r="Q673" s="63"/>
      <c r="R673" s="63"/>
      <c r="S673" s="63"/>
      <c r="T673" s="63"/>
      <c r="U673" s="63"/>
      <c r="V673" s="63"/>
      <c r="W673" s="63"/>
      <c r="X673" s="63"/>
      <c r="Y673" s="63"/>
      <c r="Z673" s="63"/>
      <c r="AA673" s="63"/>
      <c r="AB673" s="63"/>
      <c r="AC673" s="63"/>
    </row>
    <row r="674" spans="1:29">
      <c r="A674" s="62"/>
      <c r="B674" s="62"/>
      <c r="C674" s="62"/>
      <c r="D674" s="62"/>
      <c r="E674" s="62"/>
      <c r="F674" s="62"/>
      <c r="G674" s="62"/>
      <c r="H674" s="62"/>
      <c r="I674" s="62"/>
      <c r="J674" s="62"/>
      <c r="K674" s="53"/>
      <c r="L674" s="62"/>
      <c r="M674" s="63"/>
      <c r="N674" s="63"/>
      <c r="O674" s="63"/>
      <c r="P674" s="63"/>
      <c r="Q674" s="63"/>
      <c r="R674" s="63"/>
      <c r="S674" s="63"/>
      <c r="T674" s="63"/>
      <c r="U674" s="63"/>
      <c r="V674" s="63"/>
      <c r="W674" s="63"/>
      <c r="X674" s="63"/>
      <c r="Y674" s="63"/>
      <c r="Z674" s="63"/>
      <c r="AA674" s="63"/>
      <c r="AB674" s="63"/>
      <c r="AC674" s="63"/>
    </row>
    <row r="675" spans="1:29">
      <c r="A675" s="62"/>
      <c r="B675" s="62"/>
      <c r="C675" s="62"/>
      <c r="D675" s="62"/>
      <c r="E675" s="62"/>
      <c r="F675" s="62"/>
      <c r="G675" s="62"/>
      <c r="H675" s="62"/>
      <c r="I675" s="62"/>
      <c r="J675" s="62"/>
      <c r="K675" s="53"/>
      <c r="L675" s="62"/>
      <c r="M675" s="63"/>
      <c r="N675" s="63"/>
      <c r="O675" s="63"/>
      <c r="P675" s="63"/>
      <c r="Q675" s="63"/>
      <c r="R675" s="63"/>
      <c r="S675" s="63"/>
      <c r="T675" s="63"/>
      <c r="U675" s="63"/>
      <c r="V675" s="63"/>
      <c r="W675" s="63"/>
      <c r="X675" s="63"/>
      <c r="Y675" s="63"/>
      <c r="Z675" s="63"/>
      <c r="AA675" s="63"/>
      <c r="AB675" s="63"/>
      <c r="AC675" s="63"/>
    </row>
    <row r="676" spans="1:29">
      <c r="A676" s="62"/>
      <c r="B676" s="62"/>
      <c r="C676" s="62"/>
      <c r="D676" s="62"/>
      <c r="E676" s="62"/>
      <c r="F676" s="62"/>
      <c r="G676" s="62"/>
      <c r="H676" s="62"/>
      <c r="I676" s="62"/>
      <c r="J676" s="62"/>
      <c r="K676" s="53"/>
      <c r="L676" s="62"/>
      <c r="M676" s="63"/>
      <c r="N676" s="63"/>
      <c r="O676" s="63"/>
      <c r="P676" s="63"/>
      <c r="Q676" s="63"/>
      <c r="R676" s="63"/>
      <c r="S676" s="63"/>
      <c r="T676" s="63"/>
      <c r="U676" s="63"/>
      <c r="V676" s="63"/>
      <c r="W676" s="63"/>
      <c r="X676" s="63"/>
      <c r="Y676" s="63"/>
      <c r="Z676" s="63"/>
      <c r="AA676" s="63"/>
      <c r="AB676" s="63"/>
      <c r="AC676" s="63"/>
    </row>
    <row r="677" spans="1:29">
      <c r="A677" s="62"/>
      <c r="B677" s="62"/>
      <c r="C677" s="62"/>
      <c r="D677" s="62"/>
      <c r="E677" s="62"/>
      <c r="F677" s="62"/>
      <c r="G677" s="62"/>
      <c r="H677" s="62"/>
      <c r="I677" s="62"/>
      <c r="J677" s="62"/>
      <c r="K677" s="53"/>
      <c r="L677" s="62"/>
      <c r="M677" s="63"/>
      <c r="N677" s="63"/>
      <c r="O677" s="63"/>
      <c r="P677" s="63"/>
      <c r="Q677" s="63"/>
      <c r="R677" s="63"/>
      <c r="S677" s="63"/>
      <c r="T677" s="63"/>
      <c r="U677" s="63"/>
      <c r="V677" s="63"/>
      <c r="W677" s="63"/>
      <c r="X677" s="63"/>
      <c r="Y677" s="63"/>
      <c r="Z677" s="63"/>
      <c r="AA677" s="63"/>
      <c r="AB677" s="63"/>
      <c r="AC677" s="63"/>
    </row>
    <row r="678" spans="1:29">
      <c r="A678" s="62"/>
      <c r="B678" s="62"/>
      <c r="C678" s="62"/>
      <c r="D678" s="62"/>
      <c r="E678" s="62"/>
      <c r="F678" s="62"/>
      <c r="G678" s="62"/>
      <c r="H678" s="62"/>
      <c r="I678" s="62"/>
      <c r="J678" s="62"/>
      <c r="K678" s="53"/>
      <c r="L678" s="62"/>
      <c r="M678" s="63"/>
      <c r="N678" s="63"/>
      <c r="O678" s="63"/>
      <c r="P678" s="63"/>
      <c r="Q678" s="63"/>
      <c r="R678" s="63"/>
      <c r="S678" s="63"/>
      <c r="T678" s="63"/>
      <c r="U678" s="63"/>
      <c r="V678" s="63"/>
      <c r="W678" s="63"/>
      <c r="X678" s="63"/>
      <c r="Y678" s="63"/>
      <c r="Z678" s="63"/>
      <c r="AA678" s="63"/>
      <c r="AB678" s="63"/>
      <c r="AC678" s="63"/>
    </row>
    <row r="679" spans="1:29">
      <c r="A679" s="62"/>
      <c r="B679" s="62"/>
      <c r="C679" s="62"/>
      <c r="D679" s="62"/>
      <c r="E679" s="62"/>
      <c r="F679" s="62"/>
      <c r="G679" s="62"/>
      <c r="H679" s="62"/>
      <c r="I679" s="62"/>
      <c r="J679" s="62"/>
      <c r="K679" s="53"/>
      <c r="L679" s="62"/>
      <c r="M679" s="63"/>
      <c r="N679" s="63"/>
      <c r="O679" s="63"/>
      <c r="P679" s="63"/>
      <c r="Q679" s="63"/>
      <c r="R679" s="63"/>
      <c r="S679" s="63"/>
      <c r="T679" s="63"/>
      <c r="U679" s="63"/>
      <c r="V679" s="63"/>
      <c r="W679" s="63"/>
      <c r="X679" s="63"/>
      <c r="Y679" s="63"/>
      <c r="Z679" s="63"/>
      <c r="AA679" s="63"/>
      <c r="AB679" s="63"/>
      <c r="AC679" s="63"/>
    </row>
    <row r="680" spans="1:29">
      <c r="A680" s="62"/>
      <c r="B680" s="62"/>
      <c r="C680" s="62"/>
      <c r="D680" s="62"/>
      <c r="E680" s="62"/>
      <c r="F680" s="62"/>
      <c r="G680" s="62"/>
      <c r="H680" s="62"/>
      <c r="I680" s="62"/>
      <c r="J680" s="62"/>
      <c r="K680" s="53"/>
      <c r="L680" s="62"/>
      <c r="M680" s="63"/>
      <c r="N680" s="63"/>
      <c r="O680" s="63"/>
      <c r="P680" s="63"/>
      <c r="Q680" s="63"/>
      <c r="R680" s="63"/>
      <c r="S680" s="63"/>
      <c r="T680" s="63"/>
      <c r="U680" s="63"/>
      <c r="V680" s="63"/>
      <c r="W680" s="63"/>
      <c r="X680" s="63"/>
      <c r="Y680" s="63"/>
      <c r="Z680" s="63"/>
      <c r="AA680" s="63"/>
      <c r="AB680" s="63"/>
      <c r="AC680" s="63"/>
    </row>
    <row r="681" spans="1:29">
      <c r="A681" s="62"/>
      <c r="B681" s="62"/>
      <c r="C681" s="62"/>
      <c r="D681" s="62"/>
      <c r="E681" s="62"/>
      <c r="F681" s="62"/>
      <c r="G681" s="62"/>
      <c r="H681" s="62"/>
      <c r="I681" s="62"/>
      <c r="J681" s="62"/>
      <c r="K681" s="53"/>
      <c r="L681" s="62"/>
      <c r="M681" s="63"/>
      <c r="N681" s="63"/>
      <c r="O681" s="63"/>
      <c r="P681" s="63"/>
      <c r="Q681" s="63"/>
      <c r="R681" s="63"/>
      <c r="S681" s="63"/>
      <c r="T681" s="63"/>
      <c r="U681" s="63"/>
      <c r="V681" s="63"/>
      <c r="W681" s="63"/>
      <c r="X681" s="63"/>
      <c r="Y681" s="63"/>
      <c r="Z681" s="63"/>
      <c r="AA681" s="63"/>
      <c r="AB681" s="63"/>
      <c r="AC681" s="63"/>
    </row>
    <row r="682" spans="1:29">
      <c r="A682" s="62"/>
      <c r="B682" s="62"/>
      <c r="C682" s="62"/>
      <c r="D682" s="62"/>
      <c r="E682" s="62"/>
      <c r="F682" s="62"/>
      <c r="G682" s="62"/>
      <c r="H682" s="62"/>
      <c r="I682" s="62"/>
      <c r="J682" s="62"/>
      <c r="K682" s="53"/>
      <c r="L682" s="62"/>
      <c r="M682" s="63"/>
      <c r="N682" s="63"/>
      <c r="O682" s="63"/>
      <c r="P682" s="63"/>
      <c r="Q682" s="63"/>
      <c r="R682" s="63"/>
      <c r="S682" s="63"/>
      <c r="T682" s="63"/>
      <c r="U682" s="63"/>
      <c r="V682" s="63"/>
      <c r="W682" s="63"/>
      <c r="X682" s="63"/>
      <c r="Y682" s="63"/>
      <c r="Z682" s="63"/>
      <c r="AA682" s="63"/>
      <c r="AB682" s="63"/>
      <c r="AC682" s="63"/>
    </row>
    <row r="683" spans="1:29">
      <c r="A683" s="62"/>
      <c r="B683" s="62"/>
      <c r="C683" s="62"/>
      <c r="D683" s="62"/>
      <c r="E683" s="62"/>
      <c r="F683" s="62"/>
      <c r="G683" s="62"/>
      <c r="H683" s="62"/>
      <c r="I683" s="62"/>
      <c r="J683" s="62"/>
      <c r="K683" s="53"/>
      <c r="L683" s="62"/>
      <c r="M683" s="63"/>
      <c r="N683" s="63"/>
      <c r="O683" s="63"/>
      <c r="P683" s="63"/>
      <c r="Q683" s="63"/>
      <c r="R683" s="63"/>
      <c r="S683" s="63"/>
      <c r="T683" s="63"/>
      <c r="U683" s="63"/>
      <c r="V683" s="63"/>
      <c r="W683" s="63"/>
      <c r="X683" s="63"/>
      <c r="Y683" s="63"/>
      <c r="Z683" s="63"/>
      <c r="AA683" s="63"/>
      <c r="AB683" s="63"/>
      <c r="AC683" s="63"/>
    </row>
    <row r="684" spans="1:29">
      <c r="A684" s="62"/>
      <c r="B684" s="62"/>
      <c r="C684" s="62"/>
      <c r="D684" s="62"/>
      <c r="E684" s="62"/>
      <c r="F684" s="62"/>
      <c r="G684" s="62"/>
      <c r="H684" s="62"/>
      <c r="I684" s="62"/>
      <c r="J684" s="62"/>
      <c r="K684" s="53"/>
      <c r="L684" s="62"/>
      <c r="M684" s="63"/>
      <c r="N684" s="63"/>
      <c r="O684" s="63"/>
      <c r="P684" s="63"/>
      <c r="Q684" s="63"/>
      <c r="R684" s="63"/>
      <c r="S684" s="63"/>
      <c r="T684" s="63"/>
      <c r="U684" s="63"/>
      <c r="V684" s="63"/>
      <c r="W684" s="63"/>
      <c r="X684" s="63"/>
      <c r="Y684" s="63"/>
      <c r="Z684" s="63"/>
      <c r="AA684" s="63"/>
      <c r="AB684" s="63"/>
      <c r="AC684" s="63"/>
    </row>
    <row r="685" spans="1:29">
      <c r="A685" s="62"/>
      <c r="B685" s="62"/>
      <c r="C685" s="62"/>
      <c r="D685" s="62"/>
      <c r="E685" s="62"/>
      <c r="F685" s="62"/>
      <c r="G685" s="62"/>
      <c r="H685" s="62"/>
      <c r="I685" s="62"/>
      <c r="J685" s="62"/>
      <c r="K685" s="53"/>
      <c r="L685" s="62"/>
      <c r="M685" s="63"/>
      <c r="N685" s="63"/>
      <c r="O685" s="63"/>
      <c r="P685" s="63"/>
      <c r="Q685" s="63"/>
      <c r="R685" s="63"/>
      <c r="S685" s="63"/>
      <c r="T685" s="63"/>
      <c r="U685" s="63"/>
      <c r="V685" s="63"/>
      <c r="W685" s="63"/>
      <c r="X685" s="63"/>
      <c r="Y685" s="63"/>
      <c r="Z685" s="63"/>
      <c r="AA685" s="63"/>
      <c r="AB685" s="63"/>
      <c r="AC685" s="63"/>
    </row>
    <row r="686" spans="1:29">
      <c r="A686" s="62"/>
      <c r="B686" s="62"/>
      <c r="C686" s="62"/>
      <c r="D686" s="62"/>
      <c r="E686" s="62"/>
      <c r="F686" s="62"/>
      <c r="G686" s="62"/>
      <c r="H686" s="62"/>
      <c r="I686" s="62"/>
      <c r="J686" s="62"/>
      <c r="K686" s="53"/>
      <c r="L686" s="62"/>
      <c r="M686" s="63"/>
      <c r="N686" s="63"/>
      <c r="O686" s="63"/>
      <c r="P686" s="63"/>
      <c r="Q686" s="63"/>
      <c r="R686" s="63"/>
      <c r="S686" s="63"/>
      <c r="T686" s="63"/>
      <c r="U686" s="63"/>
      <c r="V686" s="63"/>
      <c r="W686" s="63"/>
      <c r="X686" s="63"/>
      <c r="Y686" s="63"/>
      <c r="Z686" s="63"/>
      <c r="AA686" s="63"/>
      <c r="AB686" s="63"/>
      <c r="AC686" s="63"/>
    </row>
    <row r="687" spans="1:29">
      <c r="A687" s="62"/>
      <c r="B687" s="62"/>
      <c r="C687" s="62"/>
      <c r="D687" s="62"/>
      <c r="E687" s="62"/>
      <c r="F687" s="62"/>
      <c r="G687" s="62"/>
      <c r="H687" s="62"/>
      <c r="I687" s="62"/>
      <c r="J687" s="62"/>
      <c r="K687" s="53"/>
      <c r="L687" s="62"/>
      <c r="M687" s="63"/>
      <c r="N687" s="63"/>
      <c r="O687" s="63"/>
      <c r="P687" s="63"/>
      <c r="Q687" s="63"/>
      <c r="R687" s="63"/>
      <c r="S687" s="63"/>
      <c r="T687" s="63"/>
      <c r="U687" s="63"/>
      <c r="V687" s="63"/>
      <c r="W687" s="63"/>
      <c r="X687" s="63"/>
      <c r="Y687" s="63"/>
      <c r="Z687" s="63"/>
      <c r="AA687" s="63"/>
      <c r="AB687" s="63"/>
      <c r="AC687" s="63"/>
    </row>
    <row r="688" spans="1:29">
      <c r="A688" s="62"/>
      <c r="B688" s="62"/>
      <c r="C688" s="62"/>
      <c r="D688" s="62"/>
      <c r="E688" s="62"/>
      <c r="F688" s="62"/>
      <c r="G688" s="62"/>
      <c r="H688" s="62"/>
      <c r="I688" s="62"/>
      <c r="J688" s="62"/>
      <c r="K688" s="53"/>
      <c r="L688" s="62"/>
      <c r="M688" s="63"/>
      <c r="N688" s="63"/>
      <c r="O688" s="63"/>
      <c r="P688" s="63"/>
      <c r="Q688" s="63"/>
      <c r="R688" s="63"/>
      <c r="S688" s="63"/>
      <c r="T688" s="63"/>
      <c r="U688" s="63"/>
      <c r="V688" s="63"/>
      <c r="W688" s="63"/>
      <c r="X688" s="63"/>
      <c r="Y688" s="63"/>
      <c r="Z688" s="63"/>
      <c r="AA688" s="63"/>
      <c r="AB688" s="63"/>
      <c r="AC688" s="63"/>
    </row>
    <row r="689" spans="1:29">
      <c r="A689" s="62"/>
      <c r="B689" s="62"/>
      <c r="C689" s="62"/>
      <c r="D689" s="62"/>
      <c r="E689" s="62"/>
      <c r="F689" s="62"/>
      <c r="G689" s="62"/>
      <c r="H689" s="62"/>
      <c r="I689" s="62"/>
      <c r="J689" s="62"/>
      <c r="K689" s="53"/>
      <c r="L689" s="62"/>
      <c r="M689" s="63"/>
      <c r="N689" s="63"/>
      <c r="O689" s="63"/>
      <c r="P689" s="63"/>
      <c r="Q689" s="63"/>
      <c r="R689" s="63"/>
      <c r="S689" s="63"/>
      <c r="T689" s="63"/>
      <c r="U689" s="63"/>
      <c r="V689" s="63"/>
      <c r="W689" s="63"/>
      <c r="X689" s="63"/>
      <c r="Y689" s="63"/>
      <c r="Z689" s="63"/>
      <c r="AA689" s="63"/>
      <c r="AB689" s="63"/>
      <c r="AC689" s="63"/>
    </row>
    <row r="690" spans="1:29">
      <c r="A690" s="62"/>
      <c r="B690" s="62"/>
      <c r="C690" s="62"/>
      <c r="D690" s="62"/>
      <c r="E690" s="62"/>
      <c r="F690" s="62"/>
      <c r="G690" s="62"/>
      <c r="H690" s="62"/>
      <c r="I690" s="62"/>
      <c r="J690" s="62"/>
      <c r="K690" s="53"/>
      <c r="L690" s="62"/>
      <c r="M690" s="63"/>
      <c r="N690" s="63"/>
      <c r="O690" s="63"/>
      <c r="P690" s="63"/>
      <c r="Q690" s="63"/>
      <c r="R690" s="63"/>
      <c r="S690" s="63"/>
      <c r="T690" s="63"/>
      <c r="U690" s="63"/>
      <c r="V690" s="63"/>
      <c r="W690" s="63"/>
      <c r="X690" s="63"/>
      <c r="Y690" s="63"/>
      <c r="Z690" s="63"/>
      <c r="AA690" s="63"/>
      <c r="AB690" s="63"/>
      <c r="AC690" s="63"/>
    </row>
    <row r="691" spans="1:29">
      <c r="A691" s="62"/>
      <c r="B691" s="62"/>
      <c r="C691" s="62"/>
      <c r="D691" s="62"/>
      <c r="E691" s="62"/>
      <c r="F691" s="62"/>
      <c r="G691" s="62"/>
      <c r="H691" s="62"/>
      <c r="I691" s="62"/>
      <c r="J691" s="62"/>
      <c r="K691" s="53"/>
      <c r="L691" s="62"/>
      <c r="M691" s="63"/>
      <c r="N691" s="63"/>
      <c r="O691" s="63"/>
      <c r="P691" s="63"/>
      <c r="Q691" s="63"/>
      <c r="R691" s="63"/>
      <c r="S691" s="63"/>
      <c r="T691" s="63"/>
      <c r="U691" s="63"/>
      <c r="V691" s="63"/>
      <c r="W691" s="63"/>
      <c r="X691" s="63"/>
      <c r="Y691" s="63"/>
      <c r="Z691" s="63"/>
      <c r="AA691" s="63"/>
      <c r="AB691" s="63"/>
      <c r="AC691" s="63"/>
    </row>
    <row r="692" spans="1:29">
      <c r="A692" s="62"/>
      <c r="B692" s="62"/>
      <c r="C692" s="62"/>
      <c r="D692" s="62"/>
      <c r="E692" s="62"/>
      <c r="F692" s="62"/>
      <c r="G692" s="62"/>
      <c r="H692" s="62"/>
      <c r="I692" s="62"/>
      <c r="J692" s="62"/>
      <c r="K692" s="53"/>
      <c r="L692" s="62"/>
      <c r="M692" s="63"/>
      <c r="N692" s="63"/>
      <c r="O692" s="63"/>
      <c r="P692" s="63"/>
      <c r="Q692" s="63"/>
      <c r="R692" s="63"/>
      <c r="S692" s="63"/>
      <c r="T692" s="63"/>
      <c r="U692" s="63"/>
      <c r="V692" s="63"/>
      <c r="W692" s="63"/>
      <c r="X692" s="63"/>
      <c r="Y692" s="63"/>
      <c r="Z692" s="63"/>
      <c r="AA692" s="63"/>
      <c r="AB692" s="63"/>
      <c r="AC692" s="63"/>
    </row>
    <row r="693" spans="1:29">
      <c r="A693" s="62"/>
      <c r="B693" s="62"/>
      <c r="C693" s="62"/>
      <c r="D693" s="62"/>
      <c r="E693" s="62"/>
      <c r="F693" s="62"/>
      <c r="G693" s="62"/>
      <c r="H693" s="62"/>
      <c r="I693" s="62"/>
      <c r="J693" s="62"/>
      <c r="K693" s="53"/>
      <c r="L693" s="62"/>
      <c r="M693" s="63"/>
      <c r="N693" s="63"/>
      <c r="O693" s="63"/>
      <c r="P693" s="63"/>
      <c r="Q693" s="63"/>
      <c r="R693" s="63"/>
      <c r="S693" s="63"/>
      <c r="T693" s="63"/>
      <c r="U693" s="63"/>
      <c r="V693" s="63"/>
      <c r="W693" s="63"/>
      <c r="X693" s="63"/>
      <c r="Y693" s="63"/>
      <c r="Z693" s="63"/>
      <c r="AA693" s="63"/>
      <c r="AB693" s="63"/>
      <c r="AC693" s="63"/>
    </row>
    <row r="694" spans="1:29">
      <c r="A694" s="62"/>
      <c r="B694" s="62"/>
      <c r="C694" s="62"/>
      <c r="D694" s="62"/>
      <c r="E694" s="62"/>
      <c r="F694" s="62"/>
      <c r="G694" s="62"/>
      <c r="H694" s="62"/>
      <c r="I694" s="62"/>
      <c r="J694" s="62"/>
      <c r="K694" s="53"/>
      <c r="L694" s="62"/>
      <c r="M694" s="63"/>
      <c r="N694" s="63"/>
      <c r="O694" s="63"/>
      <c r="P694" s="63"/>
      <c r="Q694" s="63"/>
      <c r="R694" s="63"/>
      <c r="S694" s="63"/>
      <c r="T694" s="63"/>
      <c r="U694" s="63"/>
      <c r="V694" s="63"/>
      <c r="W694" s="63"/>
      <c r="X694" s="63"/>
      <c r="Y694" s="63"/>
      <c r="Z694" s="63"/>
      <c r="AA694" s="63"/>
      <c r="AB694" s="63"/>
      <c r="AC694" s="63"/>
    </row>
    <row r="695" spans="1:29">
      <c r="A695" s="62"/>
      <c r="B695" s="62"/>
      <c r="C695" s="62"/>
      <c r="D695" s="62"/>
      <c r="E695" s="62"/>
      <c r="F695" s="62"/>
      <c r="G695" s="62"/>
      <c r="H695" s="62"/>
      <c r="I695" s="62"/>
      <c r="J695" s="62"/>
      <c r="K695" s="53"/>
      <c r="L695" s="62"/>
      <c r="M695" s="63"/>
      <c r="N695" s="63"/>
      <c r="O695" s="63"/>
      <c r="P695" s="63"/>
      <c r="Q695" s="63"/>
      <c r="R695" s="63"/>
      <c r="S695" s="63"/>
      <c r="T695" s="63"/>
      <c r="U695" s="63"/>
      <c r="V695" s="63"/>
      <c r="W695" s="63"/>
      <c r="X695" s="63"/>
      <c r="Y695" s="63"/>
      <c r="Z695" s="63"/>
      <c r="AA695" s="63"/>
      <c r="AB695" s="63"/>
      <c r="AC695" s="63"/>
    </row>
    <row r="696" spans="1:29">
      <c r="A696" s="62"/>
      <c r="B696" s="62"/>
      <c r="C696" s="62"/>
      <c r="D696" s="62"/>
      <c r="E696" s="62"/>
      <c r="F696" s="62"/>
      <c r="G696" s="62"/>
      <c r="H696" s="62"/>
      <c r="I696" s="62"/>
      <c r="J696" s="62"/>
      <c r="K696" s="53"/>
      <c r="L696" s="62"/>
      <c r="M696" s="63"/>
      <c r="N696" s="63"/>
      <c r="O696" s="63"/>
      <c r="P696" s="63"/>
      <c r="Q696" s="63"/>
      <c r="R696" s="63"/>
      <c r="S696" s="63"/>
      <c r="T696" s="63"/>
      <c r="U696" s="63"/>
      <c r="V696" s="63"/>
      <c r="W696" s="63"/>
      <c r="X696" s="63"/>
      <c r="Y696" s="63"/>
      <c r="Z696" s="63"/>
      <c r="AA696" s="63"/>
      <c r="AB696" s="63"/>
      <c r="AC696" s="63"/>
    </row>
    <row r="697" spans="1:29">
      <c r="A697" s="62"/>
      <c r="B697" s="62"/>
      <c r="C697" s="62"/>
      <c r="D697" s="62"/>
      <c r="E697" s="62"/>
      <c r="F697" s="62"/>
      <c r="G697" s="62"/>
      <c r="H697" s="62"/>
      <c r="I697" s="62"/>
      <c r="J697" s="62"/>
      <c r="K697" s="53"/>
      <c r="L697" s="62"/>
      <c r="M697" s="63"/>
      <c r="N697" s="63"/>
      <c r="O697" s="63"/>
      <c r="P697" s="63"/>
      <c r="Q697" s="63"/>
      <c r="R697" s="63"/>
      <c r="S697" s="63"/>
      <c r="T697" s="63"/>
      <c r="U697" s="63"/>
      <c r="V697" s="63"/>
      <c r="W697" s="63"/>
      <c r="X697" s="63"/>
      <c r="Y697" s="63"/>
      <c r="Z697" s="63"/>
      <c r="AA697" s="63"/>
      <c r="AB697" s="63"/>
      <c r="AC697" s="63"/>
    </row>
    <row r="698" spans="1:29">
      <c r="A698" s="62"/>
      <c r="B698" s="62"/>
      <c r="C698" s="62"/>
      <c r="D698" s="62"/>
      <c r="E698" s="62"/>
      <c r="F698" s="62"/>
      <c r="G698" s="62"/>
      <c r="H698" s="62"/>
      <c r="I698" s="62"/>
      <c r="J698" s="62"/>
      <c r="K698" s="53"/>
      <c r="L698" s="62"/>
      <c r="M698" s="63"/>
      <c r="N698" s="63"/>
      <c r="O698" s="63"/>
      <c r="P698" s="63"/>
      <c r="Q698" s="63"/>
      <c r="R698" s="63"/>
      <c r="S698" s="63"/>
      <c r="T698" s="63"/>
      <c r="U698" s="63"/>
      <c r="V698" s="63"/>
      <c r="W698" s="63"/>
      <c r="X698" s="63"/>
      <c r="Y698" s="63"/>
      <c r="Z698" s="63"/>
      <c r="AA698" s="63"/>
      <c r="AB698" s="63"/>
      <c r="AC698" s="63"/>
    </row>
    <row r="699" spans="1:29">
      <c r="A699" s="62"/>
      <c r="B699" s="62"/>
      <c r="C699" s="62"/>
      <c r="D699" s="62"/>
      <c r="E699" s="62"/>
      <c r="F699" s="62"/>
      <c r="G699" s="62"/>
      <c r="H699" s="62"/>
      <c r="I699" s="62"/>
      <c r="J699" s="62"/>
      <c r="K699" s="53"/>
      <c r="L699" s="62"/>
      <c r="M699" s="63"/>
      <c r="N699" s="63"/>
      <c r="O699" s="63"/>
      <c r="P699" s="63"/>
      <c r="Q699" s="63"/>
      <c r="R699" s="63"/>
      <c r="S699" s="63"/>
      <c r="T699" s="63"/>
      <c r="U699" s="63"/>
      <c r="V699" s="63"/>
      <c r="W699" s="63"/>
      <c r="X699" s="63"/>
      <c r="Y699" s="63"/>
      <c r="Z699" s="63"/>
      <c r="AA699" s="63"/>
      <c r="AB699" s="63"/>
      <c r="AC699" s="63"/>
    </row>
    <row r="700" spans="1:29">
      <c r="A700" s="62"/>
      <c r="B700" s="62"/>
      <c r="C700" s="62"/>
      <c r="D700" s="62"/>
      <c r="E700" s="62"/>
      <c r="F700" s="62"/>
      <c r="G700" s="62"/>
      <c r="H700" s="62"/>
      <c r="I700" s="62"/>
      <c r="J700" s="62"/>
      <c r="K700" s="53"/>
      <c r="L700" s="62"/>
      <c r="M700" s="63"/>
      <c r="N700" s="63"/>
      <c r="O700" s="63"/>
      <c r="P700" s="63"/>
      <c r="Q700" s="63"/>
      <c r="R700" s="63"/>
      <c r="S700" s="63"/>
      <c r="T700" s="63"/>
      <c r="U700" s="63"/>
      <c r="V700" s="63"/>
      <c r="W700" s="63"/>
      <c r="X700" s="63"/>
      <c r="Y700" s="63"/>
      <c r="Z700" s="63"/>
      <c r="AA700" s="63"/>
      <c r="AB700" s="63"/>
      <c r="AC700" s="63"/>
    </row>
    <row r="701" spans="1:29">
      <c r="A701" s="62"/>
      <c r="B701" s="62"/>
      <c r="C701" s="62"/>
      <c r="D701" s="62"/>
      <c r="E701" s="62"/>
      <c r="F701" s="62"/>
      <c r="G701" s="62"/>
      <c r="H701" s="62"/>
      <c r="I701" s="62"/>
      <c r="J701" s="62"/>
      <c r="K701" s="53"/>
      <c r="L701" s="62"/>
      <c r="M701" s="63"/>
      <c r="N701" s="63"/>
      <c r="O701" s="63"/>
      <c r="P701" s="63"/>
      <c r="Q701" s="63"/>
      <c r="R701" s="63"/>
      <c r="S701" s="63"/>
      <c r="T701" s="63"/>
      <c r="U701" s="63"/>
      <c r="V701" s="63"/>
      <c r="W701" s="63"/>
      <c r="X701" s="63"/>
      <c r="Y701" s="63"/>
      <c r="Z701" s="63"/>
      <c r="AA701" s="63"/>
      <c r="AB701" s="63"/>
      <c r="AC701" s="63"/>
    </row>
    <row r="702" spans="1:29">
      <c r="A702" s="62"/>
      <c r="B702" s="62"/>
      <c r="C702" s="62"/>
      <c r="D702" s="62"/>
      <c r="E702" s="62"/>
      <c r="F702" s="62"/>
      <c r="G702" s="62"/>
      <c r="H702" s="62"/>
      <c r="I702" s="62"/>
      <c r="J702" s="62"/>
      <c r="K702" s="53"/>
      <c r="L702" s="62"/>
      <c r="M702" s="63"/>
      <c r="N702" s="63"/>
      <c r="O702" s="63"/>
      <c r="P702" s="63"/>
      <c r="Q702" s="63"/>
      <c r="R702" s="63"/>
      <c r="S702" s="63"/>
      <c r="T702" s="63"/>
      <c r="U702" s="63"/>
      <c r="V702" s="63"/>
      <c r="W702" s="63"/>
      <c r="X702" s="63"/>
      <c r="Y702" s="63"/>
      <c r="Z702" s="63"/>
      <c r="AA702" s="63"/>
      <c r="AB702" s="63"/>
      <c r="AC702" s="63"/>
    </row>
    <row r="703" spans="1:29">
      <c r="A703" s="62"/>
      <c r="B703" s="62"/>
      <c r="C703" s="62"/>
      <c r="D703" s="62"/>
      <c r="E703" s="62"/>
      <c r="F703" s="62"/>
      <c r="G703" s="62"/>
      <c r="H703" s="62"/>
      <c r="I703" s="62"/>
      <c r="J703" s="62"/>
      <c r="K703" s="53"/>
      <c r="L703" s="62"/>
      <c r="M703" s="63"/>
      <c r="N703" s="63"/>
      <c r="O703" s="63"/>
      <c r="P703" s="63"/>
      <c r="Q703" s="63"/>
      <c r="R703" s="63"/>
      <c r="S703" s="63"/>
      <c r="T703" s="63"/>
      <c r="U703" s="63"/>
      <c r="V703" s="63"/>
      <c r="W703" s="63"/>
      <c r="X703" s="63"/>
      <c r="Y703" s="63"/>
      <c r="Z703" s="63"/>
      <c r="AA703" s="63"/>
      <c r="AB703" s="63"/>
      <c r="AC703" s="63"/>
    </row>
    <row r="704" spans="1:29">
      <c r="A704" s="62"/>
      <c r="B704" s="62"/>
      <c r="C704" s="62"/>
      <c r="D704" s="62"/>
      <c r="E704" s="62"/>
      <c r="F704" s="62"/>
      <c r="G704" s="62"/>
      <c r="H704" s="62"/>
      <c r="I704" s="62"/>
      <c r="J704" s="62"/>
      <c r="K704" s="53"/>
      <c r="L704" s="62"/>
      <c r="M704" s="63"/>
      <c r="N704" s="63"/>
      <c r="O704" s="63"/>
      <c r="P704" s="63"/>
      <c r="Q704" s="63"/>
      <c r="R704" s="63"/>
      <c r="S704" s="63"/>
      <c r="T704" s="63"/>
      <c r="U704" s="63"/>
      <c r="V704" s="63"/>
      <c r="W704" s="63"/>
      <c r="X704" s="63"/>
      <c r="Y704" s="63"/>
      <c r="Z704" s="63"/>
      <c r="AA704" s="63"/>
      <c r="AB704" s="63"/>
      <c r="AC704" s="63"/>
    </row>
    <row r="705" spans="1:29">
      <c r="A705" s="62"/>
      <c r="B705" s="62"/>
      <c r="C705" s="62"/>
      <c r="D705" s="62"/>
      <c r="E705" s="62"/>
      <c r="F705" s="62"/>
      <c r="G705" s="62"/>
      <c r="H705" s="62"/>
      <c r="I705" s="62"/>
      <c r="J705" s="62"/>
      <c r="K705" s="53"/>
      <c r="L705" s="62"/>
      <c r="M705" s="63"/>
      <c r="N705" s="63"/>
      <c r="O705" s="63"/>
      <c r="P705" s="63"/>
      <c r="Q705" s="63"/>
      <c r="R705" s="63"/>
      <c r="S705" s="63"/>
      <c r="T705" s="63"/>
      <c r="U705" s="63"/>
      <c r="V705" s="63"/>
      <c r="W705" s="63"/>
      <c r="X705" s="63"/>
      <c r="Y705" s="63"/>
      <c r="Z705" s="63"/>
      <c r="AA705" s="63"/>
      <c r="AB705" s="63"/>
      <c r="AC705" s="63"/>
    </row>
    <row r="706" spans="1:29">
      <c r="A706" s="62"/>
      <c r="B706" s="62"/>
      <c r="C706" s="62"/>
      <c r="D706" s="62"/>
      <c r="E706" s="62"/>
      <c r="F706" s="62"/>
      <c r="G706" s="62"/>
      <c r="H706" s="62"/>
      <c r="I706" s="62"/>
      <c r="J706" s="62"/>
      <c r="K706" s="53"/>
      <c r="L706" s="62"/>
      <c r="M706" s="63"/>
      <c r="N706" s="63"/>
      <c r="O706" s="63"/>
      <c r="P706" s="63"/>
      <c r="Q706" s="63"/>
      <c r="R706" s="63"/>
      <c r="S706" s="63"/>
      <c r="T706" s="63"/>
      <c r="U706" s="63"/>
      <c r="V706" s="63"/>
      <c r="W706" s="63"/>
      <c r="X706" s="63"/>
      <c r="Y706" s="63"/>
      <c r="Z706" s="63"/>
      <c r="AA706" s="63"/>
      <c r="AB706" s="63"/>
      <c r="AC706" s="63"/>
    </row>
    <row r="707" spans="1:29">
      <c r="A707" s="62"/>
      <c r="B707" s="62"/>
      <c r="C707" s="62"/>
      <c r="D707" s="62"/>
      <c r="E707" s="62"/>
      <c r="F707" s="62"/>
      <c r="G707" s="62"/>
      <c r="H707" s="62"/>
      <c r="I707" s="62"/>
      <c r="J707" s="62"/>
      <c r="K707" s="53"/>
      <c r="L707" s="62"/>
      <c r="M707" s="63"/>
      <c r="N707" s="63"/>
      <c r="O707" s="63"/>
      <c r="P707" s="63"/>
      <c r="Q707" s="63"/>
      <c r="R707" s="63"/>
      <c r="S707" s="63"/>
      <c r="T707" s="63"/>
      <c r="U707" s="63"/>
      <c r="V707" s="63"/>
      <c r="W707" s="63"/>
      <c r="X707" s="63"/>
      <c r="Y707" s="63"/>
      <c r="Z707" s="63"/>
      <c r="AA707" s="63"/>
      <c r="AB707" s="63"/>
      <c r="AC707" s="63"/>
    </row>
    <row r="708" spans="1:29">
      <c r="A708" s="62"/>
      <c r="B708" s="62"/>
      <c r="C708" s="62"/>
      <c r="D708" s="62"/>
      <c r="E708" s="62"/>
      <c r="F708" s="62"/>
      <c r="G708" s="62"/>
      <c r="H708" s="62"/>
      <c r="I708" s="62"/>
      <c r="J708" s="62"/>
      <c r="K708" s="53"/>
      <c r="L708" s="62"/>
      <c r="M708" s="63"/>
      <c r="N708" s="63"/>
      <c r="O708" s="63"/>
      <c r="P708" s="63"/>
      <c r="Q708" s="63"/>
      <c r="R708" s="63"/>
      <c r="S708" s="63"/>
      <c r="T708" s="63"/>
      <c r="U708" s="63"/>
      <c r="V708" s="63"/>
      <c r="W708" s="63"/>
      <c r="X708" s="63"/>
      <c r="Y708" s="63"/>
      <c r="Z708" s="63"/>
      <c r="AA708" s="63"/>
      <c r="AB708" s="63"/>
      <c r="AC708" s="63"/>
    </row>
    <row r="709" spans="1:29">
      <c r="A709" s="62"/>
      <c r="B709" s="62"/>
      <c r="C709" s="62"/>
      <c r="D709" s="62"/>
      <c r="E709" s="62"/>
      <c r="F709" s="62"/>
      <c r="G709" s="62"/>
      <c r="H709" s="62"/>
      <c r="I709" s="62"/>
      <c r="J709" s="62"/>
      <c r="K709" s="53"/>
      <c r="L709" s="62"/>
      <c r="M709" s="63"/>
      <c r="N709" s="63"/>
      <c r="O709" s="63"/>
      <c r="P709" s="63"/>
      <c r="Q709" s="63"/>
      <c r="R709" s="63"/>
      <c r="S709" s="63"/>
      <c r="T709" s="63"/>
      <c r="U709" s="63"/>
      <c r="V709" s="63"/>
      <c r="W709" s="63"/>
      <c r="X709" s="63"/>
      <c r="Y709" s="63"/>
      <c r="Z709" s="63"/>
      <c r="AA709" s="63"/>
      <c r="AB709" s="63"/>
      <c r="AC709" s="63"/>
    </row>
    <row r="710" spans="1:29">
      <c r="A710" s="62"/>
      <c r="B710" s="62"/>
      <c r="C710" s="62"/>
      <c r="D710" s="62"/>
      <c r="E710" s="62"/>
      <c r="F710" s="62"/>
      <c r="G710" s="62"/>
      <c r="H710" s="62"/>
      <c r="I710" s="62"/>
      <c r="J710" s="62"/>
      <c r="K710" s="53"/>
      <c r="L710" s="62"/>
      <c r="M710" s="63"/>
      <c r="N710" s="63"/>
      <c r="O710" s="63"/>
      <c r="P710" s="63"/>
      <c r="Q710" s="63"/>
      <c r="R710" s="63"/>
      <c r="S710" s="63"/>
      <c r="T710" s="63"/>
      <c r="U710" s="63"/>
      <c r="V710" s="63"/>
      <c r="W710" s="63"/>
      <c r="X710" s="63"/>
      <c r="Y710" s="63"/>
      <c r="Z710" s="63"/>
      <c r="AA710" s="63"/>
      <c r="AB710" s="63"/>
      <c r="AC710" s="63"/>
    </row>
    <row r="711" spans="1:29">
      <c r="A711" s="62"/>
      <c r="B711" s="62"/>
      <c r="C711" s="62"/>
      <c r="D711" s="62"/>
      <c r="E711" s="62"/>
      <c r="F711" s="62"/>
      <c r="G711" s="62"/>
      <c r="H711" s="62"/>
      <c r="I711" s="62"/>
      <c r="J711" s="62"/>
      <c r="K711" s="53"/>
      <c r="L711" s="62"/>
      <c r="M711" s="63"/>
      <c r="N711" s="63"/>
      <c r="O711" s="63"/>
      <c r="P711" s="63"/>
      <c r="Q711" s="63"/>
      <c r="R711" s="63"/>
      <c r="S711" s="63"/>
      <c r="T711" s="63"/>
      <c r="U711" s="63"/>
      <c r="V711" s="63"/>
      <c r="W711" s="63"/>
      <c r="X711" s="63"/>
      <c r="Y711" s="63"/>
      <c r="Z711" s="63"/>
      <c r="AA711" s="63"/>
      <c r="AB711" s="63"/>
      <c r="AC711" s="63"/>
    </row>
    <row r="712" spans="1:29">
      <c r="A712" s="62"/>
      <c r="B712" s="62"/>
      <c r="C712" s="62"/>
      <c r="D712" s="62"/>
      <c r="E712" s="62"/>
      <c r="F712" s="62"/>
      <c r="G712" s="62"/>
      <c r="H712" s="62"/>
      <c r="I712" s="62"/>
      <c r="J712" s="62"/>
      <c r="K712" s="53"/>
      <c r="L712" s="62"/>
      <c r="M712" s="63"/>
      <c r="N712" s="63"/>
      <c r="O712" s="63"/>
      <c r="P712" s="63"/>
      <c r="Q712" s="63"/>
      <c r="R712" s="63"/>
      <c r="S712" s="63"/>
      <c r="T712" s="63"/>
      <c r="U712" s="63"/>
      <c r="V712" s="63"/>
      <c r="W712" s="63"/>
      <c r="X712" s="63"/>
      <c r="Y712" s="63"/>
      <c r="Z712" s="63"/>
      <c r="AA712" s="63"/>
      <c r="AB712" s="63"/>
      <c r="AC712" s="63"/>
    </row>
    <row r="713" spans="1:29">
      <c r="A713" s="62"/>
      <c r="B713" s="62"/>
      <c r="C713" s="62"/>
      <c r="D713" s="62"/>
      <c r="E713" s="62"/>
      <c r="F713" s="62"/>
      <c r="G713" s="62"/>
      <c r="H713" s="62"/>
      <c r="I713" s="62"/>
      <c r="J713" s="62"/>
      <c r="K713" s="53"/>
      <c r="L713" s="62"/>
      <c r="M713" s="63"/>
      <c r="N713" s="63"/>
      <c r="O713" s="63"/>
      <c r="P713" s="63"/>
      <c r="Q713" s="63"/>
      <c r="R713" s="63"/>
      <c r="S713" s="63"/>
      <c r="T713" s="63"/>
      <c r="U713" s="63"/>
      <c r="V713" s="63"/>
      <c r="W713" s="63"/>
      <c r="X713" s="63"/>
      <c r="Y713" s="63"/>
      <c r="Z713" s="63"/>
      <c r="AA713" s="63"/>
      <c r="AB713" s="63"/>
      <c r="AC713" s="63"/>
    </row>
    <row r="714" spans="1:29">
      <c r="A714" s="62"/>
      <c r="B714" s="62"/>
      <c r="C714" s="62"/>
      <c r="D714" s="62"/>
      <c r="E714" s="62"/>
      <c r="F714" s="62"/>
      <c r="G714" s="62"/>
      <c r="H714" s="62"/>
      <c r="I714" s="62"/>
      <c r="J714" s="62"/>
      <c r="K714" s="53"/>
      <c r="L714" s="62"/>
      <c r="M714" s="63"/>
      <c r="N714" s="63"/>
      <c r="O714" s="63"/>
      <c r="P714" s="63"/>
      <c r="Q714" s="63"/>
      <c r="R714" s="63"/>
      <c r="S714" s="63"/>
      <c r="T714" s="63"/>
      <c r="U714" s="63"/>
      <c r="V714" s="63"/>
      <c r="W714" s="63"/>
      <c r="X714" s="63"/>
      <c r="Y714" s="63"/>
      <c r="Z714" s="63"/>
      <c r="AA714" s="63"/>
      <c r="AB714" s="63"/>
      <c r="AC714" s="63"/>
    </row>
    <row r="715" spans="1:29">
      <c r="A715" s="62"/>
      <c r="B715" s="62"/>
      <c r="C715" s="62"/>
      <c r="D715" s="62"/>
      <c r="E715" s="62"/>
      <c r="F715" s="62"/>
      <c r="G715" s="62"/>
      <c r="H715" s="62"/>
      <c r="I715" s="62"/>
      <c r="J715" s="62"/>
      <c r="K715" s="53"/>
      <c r="L715" s="62"/>
      <c r="M715" s="63"/>
      <c r="N715" s="63"/>
      <c r="O715" s="63"/>
      <c r="P715" s="63"/>
      <c r="Q715" s="63"/>
      <c r="R715" s="63"/>
      <c r="S715" s="63"/>
      <c r="T715" s="63"/>
      <c r="U715" s="63"/>
      <c r="V715" s="63"/>
      <c r="W715" s="63"/>
      <c r="X715" s="63"/>
      <c r="Y715" s="63"/>
      <c r="Z715" s="63"/>
      <c r="AA715" s="63"/>
      <c r="AB715" s="63"/>
      <c r="AC715" s="63"/>
    </row>
    <row r="716" spans="1:29">
      <c r="A716" s="62"/>
      <c r="B716" s="62"/>
      <c r="C716" s="62"/>
      <c r="D716" s="62"/>
      <c r="E716" s="62"/>
      <c r="F716" s="62"/>
      <c r="G716" s="62"/>
      <c r="H716" s="62"/>
      <c r="I716" s="62"/>
      <c r="J716" s="62"/>
      <c r="K716" s="53"/>
      <c r="L716" s="62"/>
      <c r="M716" s="63"/>
      <c r="N716" s="63"/>
      <c r="O716" s="63"/>
      <c r="P716" s="63"/>
      <c r="Q716" s="63"/>
      <c r="R716" s="63"/>
      <c r="S716" s="63"/>
      <c r="T716" s="63"/>
      <c r="U716" s="63"/>
      <c r="V716" s="63"/>
      <c r="W716" s="63"/>
      <c r="X716" s="63"/>
      <c r="Y716" s="63"/>
      <c r="Z716" s="63"/>
      <c r="AA716" s="63"/>
      <c r="AB716" s="63"/>
      <c r="AC716" s="63"/>
    </row>
    <row r="717" spans="1:29">
      <c r="A717" s="62"/>
      <c r="B717" s="62"/>
      <c r="C717" s="62"/>
      <c r="D717" s="62"/>
      <c r="E717" s="62"/>
      <c r="F717" s="62"/>
      <c r="G717" s="62"/>
      <c r="H717" s="62"/>
      <c r="I717" s="62"/>
      <c r="J717" s="62"/>
      <c r="K717" s="53"/>
      <c r="L717" s="62"/>
      <c r="M717" s="63"/>
      <c r="N717" s="63"/>
      <c r="O717" s="63"/>
      <c r="P717" s="63"/>
      <c r="Q717" s="63"/>
      <c r="R717" s="63"/>
      <c r="S717" s="63"/>
      <c r="T717" s="63"/>
      <c r="U717" s="63"/>
      <c r="V717" s="63"/>
      <c r="W717" s="63"/>
      <c r="X717" s="63"/>
      <c r="Y717" s="63"/>
      <c r="Z717" s="63"/>
      <c r="AA717" s="63"/>
      <c r="AB717" s="63"/>
      <c r="AC717" s="63"/>
    </row>
    <row r="718" spans="1:29">
      <c r="A718" s="62"/>
      <c r="B718" s="62"/>
      <c r="C718" s="62"/>
      <c r="D718" s="62"/>
      <c r="E718" s="62"/>
      <c r="F718" s="62"/>
      <c r="G718" s="62"/>
      <c r="H718" s="62"/>
      <c r="I718" s="62"/>
      <c r="J718" s="62"/>
      <c r="K718" s="53"/>
      <c r="L718" s="62"/>
      <c r="M718" s="63"/>
      <c r="N718" s="63"/>
      <c r="O718" s="63"/>
      <c r="P718" s="63"/>
      <c r="Q718" s="63"/>
      <c r="R718" s="63"/>
      <c r="S718" s="63"/>
      <c r="T718" s="63"/>
      <c r="U718" s="63"/>
      <c r="V718" s="63"/>
      <c r="W718" s="63"/>
      <c r="X718" s="63"/>
      <c r="Y718" s="63"/>
      <c r="Z718" s="63"/>
      <c r="AA718" s="63"/>
      <c r="AB718" s="63"/>
      <c r="AC718" s="63"/>
    </row>
    <row r="719" spans="1:29">
      <c r="A719" s="62"/>
      <c r="B719" s="62"/>
      <c r="C719" s="62"/>
      <c r="D719" s="62"/>
      <c r="E719" s="62"/>
      <c r="F719" s="62"/>
      <c r="G719" s="62"/>
      <c r="H719" s="62"/>
      <c r="I719" s="62"/>
      <c r="J719" s="62"/>
      <c r="K719" s="53"/>
      <c r="L719" s="62"/>
      <c r="M719" s="63"/>
      <c r="N719" s="63"/>
      <c r="O719" s="63"/>
      <c r="P719" s="63"/>
      <c r="Q719" s="63"/>
      <c r="R719" s="63"/>
      <c r="S719" s="63"/>
      <c r="T719" s="63"/>
      <c r="U719" s="63"/>
      <c r="V719" s="63"/>
      <c r="W719" s="63"/>
      <c r="X719" s="63"/>
      <c r="Y719" s="63"/>
      <c r="Z719" s="63"/>
      <c r="AA719" s="63"/>
      <c r="AB719" s="63"/>
      <c r="AC719" s="63"/>
    </row>
    <row r="720" spans="1:29">
      <c r="A720" s="62"/>
      <c r="B720" s="62"/>
      <c r="C720" s="62"/>
      <c r="D720" s="62"/>
      <c r="E720" s="62"/>
      <c r="F720" s="62"/>
      <c r="G720" s="62"/>
      <c r="H720" s="62"/>
      <c r="I720" s="62"/>
      <c r="J720" s="62"/>
      <c r="K720" s="53"/>
      <c r="L720" s="62"/>
      <c r="M720" s="63"/>
      <c r="N720" s="63"/>
      <c r="O720" s="63"/>
      <c r="P720" s="63"/>
      <c r="Q720" s="63"/>
      <c r="R720" s="63"/>
      <c r="S720" s="63"/>
      <c r="T720" s="63"/>
      <c r="U720" s="63"/>
      <c r="V720" s="63"/>
      <c r="W720" s="63"/>
      <c r="X720" s="63"/>
      <c r="Y720" s="63"/>
      <c r="Z720" s="63"/>
      <c r="AA720" s="63"/>
      <c r="AB720" s="63"/>
      <c r="AC720" s="63"/>
    </row>
    <row r="721" spans="1:29">
      <c r="A721" s="62"/>
      <c r="B721" s="62"/>
      <c r="C721" s="62"/>
      <c r="D721" s="62"/>
      <c r="E721" s="62"/>
      <c r="F721" s="62"/>
      <c r="G721" s="62"/>
      <c r="H721" s="62"/>
      <c r="I721" s="62"/>
      <c r="J721" s="62"/>
      <c r="K721" s="53"/>
      <c r="L721" s="62"/>
      <c r="M721" s="63"/>
      <c r="N721" s="63"/>
      <c r="O721" s="63"/>
      <c r="P721" s="63"/>
      <c r="Q721" s="63"/>
      <c r="R721" s="63"/>
      <c r="S721" s="63"/>
      <c r="T721" s="63"/>
      <c r="U721" s="63"/>
      <c r="V721" s="63"/>
      <c r="W721" s="63"/>
      <c r="X721" s="63"/>
      <c r="Y721" s="63"/>
      <c r="Z721" s="63"/>
      <c r="AA721" s="63"/>
      <c r="AB721" s="63"/>
      <c r="AC721" s="63"/>
    </row>
    <row r="722" spans="1:29">
      <c r="A722" s="62"/>
      <c r="B722" s="62"/>
      <c r="C722" s="62"/>
      <c r="D722" s="62"/>
      <c r="E722" s="62"/>
      <c r="F722" s="62"/>
      <c r="G722" s="62"/>
      <c r="H722" s="62"/>
      <c r="I722" s="62"/>
      <c r="J722" s="62"/>
      <c r="K722" s="53"/>
      <c r="L722" s="62"/>
      <c r="M722" s="63"/>
      <c r="N722" s="63"/>
      <c r="O722" s="63"/>
      <c r="P722" s="63"/>
      <c r="Q722" s="63"/>
      <c r="R722" s="63"/>
      <c r="S722" s="63"/>
      <c r="T722" s="63"/>
      <c r="U722" s="63"/>
      <c r="V722" s="63"/>
      <c r="W722" s="63"/>
      <c r="X722" s="63"/>
      <c r="Y722" s="63"/>
      <c r="Z722" s="63"/>
      <c r="AA722" s="63"/>
      <c r="AB722" s="63"/>
      <c r="AC722" s="63"/>
    </row>
    <row r="723" spans="1:29">
      <c r="A723" s="62"/>
      <c r="B723" s="62"/>
      <c r="C723" s="62"/>
      <c r="D723" s="62"/>
      <c r="E723" s="62"/>
      <c r="F723" s="62"/>
      <c r="G723" s="62"/>
      <c r="H723" s="62"/>
      <c r="I723" s="62"/>
      <c r="J723" s="62"/>
      <c r="K723" s="53"/>
      <c r="L723" s="62"/>
      <c r="M723" s="63"/>
      <c r="N723" s="63"/>
      <c r="O723" s="63"/>
      <c r="P723" s="63"/>
      <c r="Q723" s="63"/>
      <c r="R723" s="63"/>
      <c r="S723" s="63"/>
      <c r="T723" s="63"/>
      <c r="U723" s="63"/>
      <c r="V723" s="63"/>
      <c r="W723" s="63"/>
      <c r="X723" s="63"/>
      <c r="Y723" s="63"/>
      <c r="Z723" s="63"/>
      <c r="AA723" s="63"/>
      <c r="AB723" s="63"/>
      <c r="AC723" s="63"/>
    </row>
    <row r="724" spans="1:29">
      <c r="A724" s="62"/>
      <c r="B724" s="62"/>
      <c r="C724" s="62"/>
      <c r="D724" s="62"/>
      <c r="E724" s="62"/>
      <c r="F724" s="62"/>
      <c r="G724" s="62"/>
      <c r="H724" s="62"/>
      <c r="I724" s="62"/>
      <c r="J724" s="62"/>
      <c r="K724" s="53"/>
      <c r="L724" s="62"/>
      <c r="M724" s="63"/>
      <c r="N724" s="63"/>
      <c r="O724" s="63"/>
      <c r="P724" s="63"/>
      <c r="Q724" s="63"/>
      <c r="R724" s="63"/>
      <c r="S724" s="63"/>
      <c r="T724" s="63"/>
      <c r="U724" s="63"/>
      <c r="V724" s="63"/>
      <c r="W724" s="63"/>
      <c r="X724" s="63"/>
      <c r="Y724" s="63"/>
      <c r="Z724" s="63"/>
      <c r="AA724" s="63"/>
      <c r="AB724" s="63"/>
      <c r="AC724" s="63"/>
    </row>
    <row r="725" spans="1:29">
      <c r="A725" s="62"/>
      <c r="B725" s="62"/>
      <c r="C725" s="62"/>
      <c r="D725" s="62"/>
      <c r="E725" s="62"/>
      <c r="F725" s="62"/>
      <c r="G725" s="62"/>
      <c r="H725" s="62"/>
      <c r="I725" s="62"/>
      <c r="J725" s="62"/>
      <c r="K725" s="53"/>
      <c r="L725" s="62"/>
      <c r="M725" s="63"/>
      <c r="N725" s="63"/>
      <c r="O725" s="63"/>
      <c r="P725" s="63"/>
      <c r="Q725" s="63"/>
      <c r="R725" s="63"/>
      <c r="S725" s="63"/>
      <c r="T725" s="63"/>
      <c r="U725" s="63"/>
      <c r="V725" s="63"/>
      <c r="W725" s="63"/>
      <c r="X725" s="63"/>
      <c r="Y725" s="63"/>
      <c r="Z725" s="63"/>
      <c r="AA725" s="63"/>
      <c r="AB725" s="63"/>
      <c r="AC725" s="63"/>
    </row>
    <row r="726" spans="1:29">
      <c r="A726" s="62"/>
      <c r="B726" s="62"/>
      <c r="C726" s="62"/>
      <c r="D726" s="62"/>
      <c r="E726" s="62"/>
      <c r="F726" s="62"/>
      <c r="G726" s="62"/>
      <c r="H726" s="62"/>
      <c r="I726" s="62"/>
      <c r="J726" s="62"/>
      <c r="K726" s="53"/>
      <c r="L726" s="62"/>
      <c r="M726" s="63"/>
      <c r="N726" s="63"/>
      <c r="O726" s="63"/>
      <c r="P726" s="63"/>
      <c r="Q726" s="63"/>
      <c r="R726" s="63"/>
      <c r="S726" s="63"/>
      <c r="T726" s="63"/>
      <c r="U726" s="63"/>
      <c r="V726" s="63"/>
      <c r="W726" s="63"/>
      <c r="X726" s="63"/>
      <c r="Y726" s="63"/>
      <c r="Z726" s="63"/>
      <c r="AA726" s="63"/>
      <c r="AB726" s="63"/>
      <c r="AC726" s="63"/>
    </row>
    <row r="727" spans="1:29">
      <c r="A727" s="62"/>
      <c r="B727" s="62"/>
      <c r="C727" s="62"/>
      <c r="D727" s="62"/>
      <c r="E727" s="62"/>
      <c r="F727" s="62"/>
      <c r="G727" s="62"/>
      <c r="H727" s="62"/>
      <c r="I727" s="62"/>
      <c r="J727" s="62"/>
      <c r="K727" s="53"/>
      <c r="L727" s="62"/>
      <c r="M727" s="63"/>
      <c r="N727" s="63"/>
      <c r="O727" s="63"/>
      <c r="P727" s="63"/>
      <c r="Q727" s="63"/>
      <c r="R727" s="63"/>
      <c r="S727" s="63"/>
      <c r="T727" s="63"/>
      <c r="U727" s="63"/>
      <c r="V727" s="63"/>
      <c r="W727" s="63"/>
      <c r="X727" s="63"/>
      <c r="Y727" s="63"/>
      <c r="Z727" s="63"/>
      <c r="AA727" s="63"/>
      <c r="AB727" s="63"/>
      <c r="AC727" s="63"/>
    </row>
    <row r="728" spans="1:29">
      <c r="A728" s="62"/>
      <c r="B728" s="62"/>
      <c r="C728" s="62"/>
      <c r="D728" s="62"/>
      <c r="E728" s="62"/>
      <c r="F728" s="62"/>
      <c r="G728" s="62"/>
      <c r="H728" s="62"/>
      <c r="I728" s="62"/>
      <c r="J728" s="62"/>
      <c r="K728" s="53"/>
      <c r="L728" s="62"/>
      <c r="M728" s="63"/>
      <c r="N728" s="63"/>
      <c r="O728" s="63"/>
      <c r="P728" s="63"/>
      <c r="Q728" s="63"/>
      <c r="R728" s="63"/>
      <c r="S728" s="63"/>
      <c r="T728" s="63"/>
      <c r="U728" s="63"/>
      <c r="V728" s="63"/>
      <c r="W728" s="63"/>
      <c r="X728" s="63"/>
      <c r="Y728" s="63"/>
      <c r="Z728" s="63"/>
      <c r="AA728" s="63"/>
      <c r="AB728" s="63"/>
      <c r="AC728" s="63"/>
    </row>
    <row r="729" spans="1:29">
      <c r="A729" s="62"/>
      <c r="B729" s="62"/>
      <c r="C729" s="62"/>
      <c r="D729" s="62"/>
      <c r="E729" s="62"/>
      <c r="F729" s="62"/>
      <c r="G729" s="62"/>
      <c r="H729" s="62"/>
      <c r="I729" s="62"/>
      <c r="J729" s="62"/>
      <c r="K729" s="53"/>
      <c r="L729" s="62"/>
      <c r="M729" s="63"/>
      <c r="N729" s="63"/>
      <c r="O729" s="63"/>
      <c r="P729" s="63"/>
      <c r="Q729" s="63"/>
      <c r="R729" s="63"/>
      <c r="S729" s="63"/>
      <c r="T729" s="63"/>
      <c r="U729" s="63"/>
      <c r="V729" s="63"/>
      <c r="W729" s="63"/>
      <c r="X729" s="63"/>
      <c r="Y729" s="63"/>
      <c r="Z729" s="63"/>
      <c r="AA729" s="63"/>
      <c r="AB729" s="63"/>
      <c r="AC729" s="63"/>
    </row>
    <row r="730" spans="1:29">
      <c r="A730" s="62"/>
      <c r="B730" s="62"/>
      <c r="C730" s="62"/>
      <c r="D730" s="62"/>
      <c r="E730" s="62"/>
      <c r="F730" s="62"/>
      <c r="G730" s="62"/>
      <c r="H730" s="62"/>
      <c r="I730" s="62"/>
      <c r="J730" s="62"/>
      <c r="K730" s="53"/>
      <c r="L730" s="62"/>
      <c r="M730" s="63"/>
      <c r="N730" s="63"/>
      <c r="O730" s="63"/>
      <c r="P730" s="63"/>
      <c r="Q730" s="63"/>
      <c r="R730" s="63"/>
      <c r="S730" s="63"/>
      <c r="T730" s="63"/>
      <c r="U730" s="63"/>
      <c r="V730" s="63"/>
      <c r="W730" s="63"/>
      <c r="X730" s="63"/>
      <c r="Y730" s="63"/>
      <c r="Z730" s="63"/>
      <c r="AA730" s="63"/>
      <c r="AB730" s="63"/>
      <c r="AC730" s="63"/>
    </row>
    <row r="731" spans="1:29">
      <c r="A731" s="62"/>
      <c r="B731" s="62"/>
      <c r="C731" s="62"/>
      <c r="D731" s="62"/>
      <c r="E731" s="62"/>
      <c r="F731" s="62"/>
      <c r="G731" s="62"/>
      <c r="H731" s="62"/>
      <c r="I731" s="62"/>
      <c r="J731" s="62"/>
      <c r="K731" s="53"/>
      <c r="L731" s="62"/>
      <c r="M731" s="63"/>
      <c r="N731" s="63"/>
      <c r="O731" s="63"/>
      <c r="P731" s="63"/>
      <c r="Q731" s="63"/>
      <c r="R731" s="63"/>
      <c r="S731" s="63"/>
      <c r="T731" s="63"/>
      <c r="U731" s="63"/>
      <c r="V731" s="63"/>
      <c r="W731" s="63"/>
      <c r="X731" s="63"/>
      <c r="Y731" s="63"/>
      <c r="Z731" s="63"/>
      <c r="AA731" s="63"/>
      <c r="AB731" s="63"/>
      <c r="AC731" s="63"/>
    </row>
    <row r="732" spans="1:29">
      <c r="A732" s="62"/>
      <c r="B732" s="62"/>
      <c r="C732" s="62"/>
      <c r="D732" s="62"/>
      <c r="E732" s="62"/>
      <c r="F732" s="62"/>
      <c r="G732" s="62"/>
      <c r="H732" s="62"/>
      <c r="I732" s="62"/>
      <c r="J732" s="62"/>
      <c r="K732" s="53"/>
      <c r="L732" s="62"/>
      <c r="M732" s="63"/>
      <c r="N732" s="63"/>
      <c r="O732" s="63"/>
      <c r="P732" s="63"/>
      <c r="Q732" s="63"/>
      <c r="R732" s="63"/>
      <c r="S732" s="63"/>
      <c r="T732" s="63"/>
      <c r="U732" s="63"/>
      <c r="V732" s="63"/>
      <c r="W732" s="63"/>
      <c r="X732" s="63"/>
      <c r="Y732" s="63"/>
      <c r="Z732" s="63"/>
      <c r="AA732" s="63"/>
      <c r="AB732" s="63"/>
      <c r="AC732" s="63"/>
    </row>
    <row r="733" spans="1:29">
      <c r="A733" s="62"/>
      <c r="B733" s="62"/>
      <c r="C733" s="62"/>
      <c r="D733" s="62"/>
      <c r="E733" s="62"/>
      <c r="F733" s="62"/>
      <c r="G733" s="62"/>
      <c r="H733" s="62"/>
      <c r="I733" s="62"/>
      <c r="J733" s="62"/>
      <c r="K733" s="53"/>
      <c r="L733" s="62"/>
      <c r="M733" s="63"/>
      <c r="N733" s="63"/>
      <c r="O733" s="63"/>
      <c r="P733" s="63"/>
      <c r="Q733" s="63"/>
      <c r="R733" s="63"/>
      <c r="S733" s="63"/>
      <c r="T733" s="63"/>
      <c r="U733" s="63"/>
      <c r="V733" s="63"/>
      <c r="W733" s="63"/>
      <c r="X733" s="63"/>
      <c r="Y733" s="63"/>
      <c r="Z733" s="63"/>
      <c r="AA733" s="63"/>
      <c r="AB733" s="63"/>
      <c r="AC733" s="63"/>
    </row>
    <row r="734" spans="1:29">
      <c r="A734" s="62"/>
      <c r="B734" s="62"/>
      <c r="C734" s="62"/>
      <c r="D734" s="62"/>
      <c r="E734" s="62"/>
      <c r="F734" s="62"/>
      <c r="G734" s="62"/>
      <c r="H734" s="62"/>
      <c r="I734" s="62"/>
      <c r="J734" s="62"/>
      <c r="K734" s="53"/>
      <c r="L734" s="62"/>
      <c r="M734" s="63"/>
      <c r="N734" s="63"/>
      <c r="O734" s="63"/>
      <c r="P734" s="63"/>
      <c r="Q734" s="63"/>
      <c r="R734" s="63"/>
      <c r="S734" s="63"/>
      <c r="T734" s="63"/>
      <c r="U734" s="63"/>
      <c r="V734" s="63"/>
      <c r="W734" s="63"/>
      <c r="X734" s="63"/>
      <c r="Y734" s="63"/>
      <c r="Z734" s="63"/>
      <c r="AA734" s="63"/>
      <c r="AB734" s="63"/>
      <c r="AC734" s="63"/>
    </row>
    <row r="735" spans="1:29">
      <c r="A735" s="62"/>
      <c r="B735" s="62"/>
      <c r="C735" s="62"/>
      <c r="D735" s="62"/>
      <c r="E735" s="62"/>
      <c r="F735" s="62"/>
      <c r="G735" s="62"/>
      <c r="H735" s="62"/>
      <c r="I735" s="62"/>
      <c r="J735" s="62"/>
      <c r="K735" s="53"/>
      <c r="L735" s="62"/>
      <c r="M735" s="63"/>
      <c r="N735" s="63"/>
      <c r="O735" s="63"/>
      <c r="P735" s="63"/>
      <c r="Q735" s="63"/>
      <c r="R735" s="63"/>
      <c r="S735" s="63"/>
      <c r="T735" s="63"/>
      <c r="U735" s="63"/>
      <c r="V735" s="63"/>
      <c r="W735" s="63"/>
      <c r="X735" s="63"/>
      <c r="Y735" s="63"/>
      <c r="Z735" s="63"/>
      <c r="AA735" s="63"/>
      <c r="AB735" s="63"/>
      <c r="AC735" s="63"/>
    </row>
    <row r="736" spans="1:29">
      <c r="A736" s="62"/>
      <c r="B736" s="62"/>
      <c r="C736" s="62"/>
      <c r="D736" s="62"/>
      <c r="E736" s="62"/>
      <c r="F736" s="62"/>
      <c r="G736" s="62"/>
      <c r="H736" s="62"/>
      <c r="I736" s="62"/>
      <c r="J736" s="62"/>
      <c r="K736" s="53"/>
      <c r="L736" s="62"/>
      <c r="M736" s="63"/>
      <c r="N736" s="63"/>
      <c r="O736" s="63"/>
      <c r="P736" s="63"/>
      <c r="Q736" s="63"/>
      <c r="R736" s="63"/>
      <c r="S736" s="63"/>
      <c r="T736" s="63"/>
      <c r="U736" s="63"/>
      <c r="V736" s="63"/>
      <c r="W736" s="63"/>
      <c r="X736" s="63"/>
      <c r="Y736" s="63"/>
      <c r="Z736" s="63"/>
      <c r="AA736" s="63"/>
      <c r="AB736" s="63"/>
      <c r="AC736" s="63"/>
    </row>
    <row r="737" spans="1:29">
      <c r="A737" s="62"/>
      <c r="B737" s="62"/>
      <c r="C737" s="62"/>
      <c r="D737" s="62"/>
      <c r="E737" s="62"/>
      <c r="F737" s="62"/>
      <c r="G737" s="62"/>
      <c r="H737" s="62"/>
      <c r="I737" s="62"/>
      <c r="J737" s="62"/>
      <c r="K737" s="53"/>
      <c r="L737" s="62"/>
      <c r="M737" s="63"/>
      <c r="N737" s="63"/>
      <c r="O737" s="63"/>
      <c r="P737" s="63"/>
      <c r="Q737" s="63"/>
      <c r="R737" s="63"/>
      <c r="S737" s="63"/>
      <c r="T737" s="63"/>
      <c r="U737" s="63"/>
      <c r="V737" s="63"/>
      <c r="W737" s="63"/>
      <c r="X737" s="63"/>
      <c r="Y737" s="63"/>
      <c r="Z737" s="63"/>
      <c r="AA737" s="63"/>
      <c r="AB737" s="63"/>
      <c r="AC737" s="63"/>
    </row>
    <row r="738" spans="1:29">
      <c r="A738" s="62"/>
      <c r="B738" s="62"/>
      <c r="C738" s="62"/>
      <c r="D738" s="62"/>
      <c r="E738" s="62"/>
      <c r="F738" s="62"/>
      <c r="G738" s="62"/>
      <c r="H738" s="62"/>
      <c r="I738" s="62"/>
      <c r="J738" s="62"/>
      <c r="K738" s="53"/>
      <c r="L738" s="62"/>
      <c r="M738" s="63"/>
      <c r="N738" s="63"/>
      <c r="O738" s="63"/>
      <c r="P738" s="63"/>
      <c r="Q738" s="63"/>
      <c r="R738" s="63"/>
      <c r="S738" s="63"/>
      <c r="T738" s="63"/>
      <c r="U738" s="63"/>
      <c r="V738" s="63"/>
      <c r="W738" s="63"/>
      <c r="X738" s="63"/>
      <c r="Y738" s="63"/>
      <c r="Z738" s="63"/>
      <c r="AA738" s="63"/>
      <c r="AB738" s="63"/>
      <c r="AC738" s="63"/>
    </row>
    <row r="739" spans="1:29">
      <c r="A739" s="62"/>
      <c r="B739" s="62"/>
      <c r="C739" s="62"/>
      <c r="D739" s="62"/>
      <c r="E739" s="62"/>
      <c r="F739" s="62"/>
      <c r="G739" s="62"/>
      <c r="H739" s="62"/>
      <c r="I739" s="62"/>
      <c r="J739" s="62"/>
      <c r="K739" s="53"/>
      <c r="L739" s="62"/>
      <c r="M739" s="63"/>
      <c r="N739" s="63"/>
      <c r="O739" s="63"/>
      <c r="P739" s="63"/>
      <c r="Q739" s="63"/>
      <c r="R739" s="63"/>
      <c r="S739" s="63"/>
      <c r="T739" s="63"/>
      <c r="U739" s="63"/>
      <c r="V739" s="63"/>
      <c r="W739" s="63"/>
      <c r="X739" s="63"/>
      <c r="Y739" s="63"/>
      <c r="Z739" s="63"/>
      <c r="AA739" s="63"/>
      <c r="AB739" s="63"/>
      <c r="AC739" s="63"/>
    </row>
    <row r="740" spans="1:29">
      <c r="A740" s="62"/>
      <c r="B740" s="62"/>
      <c r="C740" s="62"/>
      <c r="D740" s="62"/>
      <c r="E740" s="62"/>
      <c r="F740" s="62"/>
      <c r="G740" s="62"/>
      <c r="H740" s="62"/>
      <c r="I740" s="62"/>
      <c r="J740" s="62"/>
      <c r="K740" s="53"/>
      <c r="L740" s="62"/>
      <c r="M740" s="63"/>
      <c r="N740" s="63"/>
      <c r="O740" s="63"/>
      <c r="P740" s="63"/>
      <c r="Q740" s="63"/>
      <c r="R740" s="63"/>
      <c r="S740" s="63"/>
      <c r="T740" s="63"/>
      <c r="U740" s="63"/>
      <c r="V740" s="63"/>
      <c r="W740" s="63"/>
      <c r="X740" s="63"/>
      <c r="Y740" s="63"/>
      <c r="Z740" s="63"/>
      <c r="AA740" s="63"/>
      <c r="AB740" s="63"/>
      <c r="AC740" s="63"/>
    </row>
    <row r="741" spans="1:29">
      <c r="A741" s="62"/>
      <c r="B741" s="62"/>
      <c r="C741" s="62"/>
      <c r="D741" s="62"/>
      <c r="E741" s="62"/>
      <c r="F741" s="62"/>
      <c r="G741" s="62"/>
      <c r="H741" s="62"/>
      <c r="I741" s="62"/>
      <c r="J741" s="62"/>
      <c r="K741" s="53"/>
      <c r="L741" s="62"/>
      <c r="M741" s="63"/>
      <c r="N741" s="63"/>
      <c r="O741" s="63"/>
      <c r="P741" s="63"/>
      <c r="Q741" s="63"/>
      <c r="R741" s="63"/>
      <c r="S741" s="63"/>
      <c r="T741" s="63"/>
      <c r="U741" s="63"/>
      <c r="V741" s="63"/>
      <c r="W741" s="63"/>
      <c r="X741" s="63"/>
      <c r="Y741" s="63"/>
      <c r="Z741" s="63"/>
      <c r="AA741" s="63"/>
      <c r="AB741" s="63"/>
      <c r="AC741" s="63"/>
    </row>
    <row r="742" spans="1:29">
      <c r="A742" s="62"/>
      <c r="B742" s="62"/>
      <c r="C742" s="62"/>
      <c r="D742" s="62"/>
      <c r="E742" s="62"/>
      <c r="F742" s="62"/>
      <c r="G742" s="62"/>
      <c r="H742" s="62"/>
      <c r="I742" s="62"/>
      <c r="J742" s="62"/>
      <c r="K742" s="53"/>
      <c r="L742" s="62"/>
      <c r="M742" s="63"/>
      <c r="N742" s="63"/>
      <c r="O742" s="63"/>
      <c r="P742" s="63"/>
      <c r="Q742" s="63"/>
      <c r="R742" s="63"/>
      <c r="S742" s="63"/>
      <c r="T742" s="63"/>
      <c r="U742" s="63"/>
      <c r="V742" s="63"/>
      <c r="W742" s="63"/>
      <c r="X742" s="63"/>
      <c r="Y742" s="63"/>
      <c r="Z742" s="63"/>
      <c r="AA742" s="63"/>
      <c r="AB742" s="63"/>
      <c r="AC742" s="63"/>
    </row>
    <row r="743" spans="1:29">
      <c r="A743" s="62"/>
      <c r="B743" s="62"/>
      <c r="C743" s="62"/>
      <c r="D743" s="62"/>
      <c r="E743" s="62"/>
      <c r="F743" s="62"/>
      <c r="G743" s="62"/>
      <c r="H743" s="62"/>
      <c r="I743" s="62"/>
      <c r="J743" s="62"/>
      <c r="K743" s="53"/>
      <c r="L743" s="62"/>
      <c r="M743" s="63"/>
      <c r="N743" s="63"/>
      <c r="O743" s="63"/>
      <c r="P743" s="63"/>
      <c r="Q743" s="63"/>
      <c r="R743" s="63"/>
      <c r="S743" s="63"/>
      <c r="T743" s="63"/>
      <c r="U743" s="63"/>
      <c r="V743" s="63"/>
      <c r="W743" s="63"/>
      <c r="X743" s="63"/>
      <c r="Y743" s="63"/>
      <c r="Z743" s="63"/>
      <c r="AA743" s="63"/>
      <c r="AB743" s="63"/>
      <c r="AC743" s="63"/>
    </row>
    <row r="744" spans="1:29">
      <c r="A744" s="62"/>
      <c r="B744" s="62"/>
      <c r="C744" s="62"/>
      <c r="D744" s="62"/>
      <c r="E744" s="62"/>
      <c r="F744" s="62"/>
      <c r="G744" s="62"/>
      <c r="H744" s="62"/>
      <c r="I744" s="62"/>
      <c r="J744" s="62"/>
      <c r="K744" s="53"/>
      <c r="L744" s="62"/>
      <c r="M744" s="63"/>
      <c r="N744" s="63"/>
      <c r="O744" s="63"/>
      <c r="P744" s="63"/>
      <c r="Q744" s="63"/>
      <c r="R744" s="63"/>
      <c r="S744" s="63"/>
      <c r="T744" s="63"/>
      <c r="U744" s="63"/>
      <c r="V744" s="63"/>
      <c r="W744" s="63"/>
      <c r="X744" s="63"/>
      <c r="Y744" s="63"/>
      <c r="Z744" s="63"/>
      <c r="AA744" s="63"/>
      <c r="AB744" s="63"/>
      <c r="AC744" s="63"/>
    </row>
    <row r="745" spans="1:29">
      <c r="A745" s="62"/>
      <c r="B745" s="62"/>
      <c r="C745" s="62"/>
      <c r="D745" s="62"/>
      <c r="E745" s="62"/>
      <c r="F745" s="62"/>
      <c r="G745" s="62"/>
      <c r="H745" s="62"/>
      <c r="I745" s="62"/>
      <c r="J745" s="62"/>
      <c r="K745" s="53"/>
      <c r="L745" s="62"/>
      <c r="M745" s="63"/>
      <c r="N745" s="63"/>
      <c r="O745" s="63"/>
      <c r="P745" s="63"/>
      <c r="Q745" s="63"/>
      <c r="R745" s="63"/>
      <c r="S745" s="63"/>
      <c r="T745" s="63"/>
      <c r="U745" s="63"/>
      <c r="V745" s="63"/>
      <c r="W745" s="63"/>
      <c r="X745" s="63"/>
      <c r="Y745" s="63"/>
      <c r="Z745" s="63"/>
      <c r="AA745" s="63"/>
      <c r="AB745" s="63"/>
      <c r="AC745" s="63"/>
    </row>
    <row r="746" spans="1:29">
      <c r="A746" s="62"/>
      <c r="B746" s="62"/>
      <c r="C746" s="62"/>
      <c r="D746" s="62"/>
      <c r="E746" s="62"/>
      <c r="F746" s="62"/>
      <c r="G746" s="62"/>
      <c r="H746" s="62"/>
      <c r="I746" s="62"/>
      <c r="J746" s="62"/>
      <c r="K746" s="53"/>
      <c r="L746" s="62"/>
      <c r="M746" s="63"/>
      <c r="N746" s="63"/>
      <c r="O746" s="63"/>
      <c r="P746" s="63"/>
      <c r="Q746" s="63"/>
      <c r="R746" s="63"/>
      <c r="S746" s="63"/>
      <c r="T746" s="63"/>
      <c r="U746" s="63"/>
      <c r="V746" s="63"/>
      <c r="W746" s="63"/>
      <c r="X746" s="63"/>
      <c r="Y746" s="63"/>
      <c r="Z746" s="63"/>
      <c r="AA746" s="63"/>
      <c r="AB746" s="63"/>
      <c r="AC746" s="63"/>
    </row>
    <row r="747" spans="1:29">
      <c r="A747" s="62"/>
      <c r="B747" s="62"/>
      <c r="C747" s="62"/>
      <c r="D747" s="62"/>
      <c r="E747" s="62"/>
      <c r="F747" s="62"/>
      <c r="G747" s="62"/>
      <c r="H747" s="62"/>
      <c r="I747" s="62"/>
      <c r="J747" s="62"/>
      <c r="K747" s="53"/>
      <c r="L747" s="62"/>
      <c r="M747" s="63"/>
      <c r="N747" s="63"/>
      <c r="O747" s="63"/>
      <c r="P747" s="63"/>
      <c r="Q747" s="63"/>
      <c r="R747" s="63"/>
      <c r="S747" s="63"/>
      <c r="T747" s="63"/>
      <c r="U747" s="63"/>
      <c r="V747" s="63"/>
      <c r="W747" s="63"/>
      <c r="X747" s="63"/>
      <c r="Y747" s="63"/>
      <c r="Z747" s="63"/>
      <c r="AA747" s="63"/>
      <c r="AB747" s="63"/>
      <c r="AC747" s="63"/>
    </row>
    <row r="748" spans="1:29">
      <c r="A748" s="62"/>
      <c r="B748" s="62"/>
      <c r="C748" s="62"/>
      <c r="D748" s="62"/>
      <c r="E748" s="62"/>
      <c r="F748" s="62"/>
      <c r="G748" s="62"/>
      <c r="H748" s="62"/>
      <c r="I748" s="62"/>
      <c r="J748" s="62"/>
      <c r="K748" s="53"/>
      <c r="L748" s="62"/>
      <c r="M748" s="63"/>
      <c r="N748" s="63"/>
      <c r="O748" s="63"/>
      <c r="P748" s="63"/>
      <c r="Q748" s="63"/>
      <c r="R748" s="63"/>
      <c r="S748" s="63"/>
      <c r="T748" s="63"/>
      <c r="U748" s="63"/>
      <c r="V748" s="63"/>
      <c r="W748" s="63"/>
      <c r="X748" s="63"/>
      <c r="Y748" s="63"/>
      <c r="Z748" s="63"/>
      <c r="AA748" s="63"/>
      <c r="AB748" s="63"/>
      <c r="AC748" s="63"/>
    </row>
    <row r="749" spans="1:29">
      <c r="A749" s="62"/>
      <c r="B749" s="62"/>
      <c r="C749" s="62"/>
      <c r="D749" s="62"/>
      <c r="E749" s="62"/>
      <c r="F749" s="62"/>
      <c r="G749" s="62"/>
      <c r="H749" s="62"/>
      <c r="I749" s="62"/>
      <c r="J749" s="62"/>
      <c r="K749" s="53"/>
      <c r="L749" s="62"/>
      <c r="M749" s="63"/>
      <c r="N749" s="63"/>
      <c r="O749" s="63"/>
      <c r="P749" s="63"/>
      <c r="Q749" s="63"/>
      <c r="R749" s="63"/>
      <c r="S749" s="63"/>
      <c r="T749" s="63"/>
      <c r="U749" s="63"/>
      <c r="V749" s="63"/>
      <c r="W749" s="63"/>
      <c r="X749" s="63"/>
      <c r="Y749" s="63"/>
      <c r="Z749" s="63"/>
      <c r="AA749" s="63"/>
      <c r="AB749" s="63"/>
      <c r="AC749" s="63"/>
    </row>
    <row r="750" spans="1:29">
      <c r="A750" s="62"/>
      <c r="B750" s="62"/>
      <c r="C750" s="62"/>
      <c r="D750" s="62"/>
      <c r="E750" s="62"/>
      <c r="F750" s="62"/>
      <c r="G750" s="62"/>
      <c r="H750" s="62"/>
      <c r="I750" s="62"/>
      <c r="J750" s="62"/>
      <c r="K750" s="53"/>
      <c r="L750" s="62"/>
      <c r="M750" s="63"/>
      <c r="N750" s="63"/>
      <c r="O750" s="63"/>
      <c r="P750" s="63"/>
      <c r="Q750" s="63"/>
      <c r="R750" s="63"/>
      <c r="S750" s="63"/>
      <c r="T750" s="63"/>
      <c r="U750" s="63"/>
      <c r="V750" s="63"/>
      <c r="W750" s="63"/>
      <c r="X750" s="63"/>
      <c r="Y750" s="63"/>
      <c r="Z750" s="63"/>
      <c r="AA750" s="63"/>
      <c r="AB750" s="63"/>
      <c r="AC750" s="63"/>
    </row>
    <row r="751" spans="1:29">
      <c r="A751" s="62"/>
      <c r="B751" s="62"/>
      <c r="C751" s="62"/>
      <c r="D751" s="62"/>
      <c r="E751" s="62"/>
      <c r="F751" s="62"/>
      <c r="G751" s="62"/>
      <c r="H751" s="62"/>
      <c r="I751" s="62"/>
      <c r="J751" s="62"/>
      <c r="K751" s="53"/>
      <c r="L751" s="62"/>
      <c r="M751" s="63"/>
      <c r="N751" s="63"/>
      <c r="O751" s="63"/>
      <c r="P751" s="63"/>
      <c r="Q751" s="63"/>
      <c r="R751" s="63"/>
      <c r="S751" s="63"/>
      <c r="T751" s="63"/>
      <c r="U751" s="63"/>
      <c r="V751" s="63"/>
      <c r="W751" s="63"/>
      <c r="X751" s="63"/>
      <c r="Y751" s="63"/>
      <c r="Z751" s="63"/>
      <c r="AA751" s="63"/>
      <c r="AB751" s="63"/>
      <c r="AC751" s="63"/>
    </row>
    <row r="752" spans="1:29">
      <c r="A752" s="62"/>
      <c r="B752" s="62"/>
      <c r="C752" s="62"/>
      <c r="D752" s="62"/>
      <c r="E752" s="62"/>
      <c r="F752" s="62"/>
      <c r="G752" s="62"/>
      <c r="H752" s="62"/>
      <c r="I752" s="62"/>
      <c r="J752" s="62"/>
      <c r="K752" s="53"/>
      <c r="L752" s="62"/>
      <c r="M752" s="63"/>
      <c r="N752" s="63"/>
      <c r="O752" s="63"/>
      <c r="P752" s="63"/>
      <c r="Q752" s="63"/>
      <c r="R752" s="63"/>
      <c r="S752" s="63"/>
      <c r="T752" s="63"/>
      <c r="U752" s="63"/>
      <c r="V752" s="63"/>
      <c r="W752" s="63"/>
      <c r="X752" s="63"/>
      <c r="Y752" s="63"/>
      <c r="Z752" s="63"/>
      <c r="AA752" s="63"/>
      <c r="AB752" s="63"/>
      <c r="AC752" s="63"/>
    </row>
    <row r="753" spans="1:29">
      <c r="A753" s="62"/>
      <c r="B753" s="62"/>
      <c r="C753" s="62"/>
      <c r="D753" s="62"/>
      <c r="E753" s="62"/>
      <c r="F753" s="62"/>
      <c r="G753" s="62"/>
      <c r="H753" s="62"/>
      <c r="I753" s="62"/>
      <c r="J753" s="62"/>
      <c r="K753" s="53"/>
      <c r="L753" s="62"/>
      <c r="M753" s="63"/>
      <c r="N753" s="63"/>
      <c r="O753" s="63"/>
      <c r="P753" s="63"/>
      <c r="Q753" s="63"/>
      <c r="R753" s="63"/>
      <c r="S753" s="63"/>
      <c r="T753" s="63"/>
      <c r="U753" s="63"/>
      <c r="V753" s="63"/>
      <c r="W753" s="63"/>
      <c r="X753" s="63"/>
      <c r="Y753" s="63"/>
      <c r="Z753" s="63"/>
      <c r="AA753" s="63"/>
      <c r="AB753" s="63"/>
      <c r="AC753" s="63"/>
    </row>
    <row r="754" spans="1:29">
      <c r="A754" s="62"/>
      <c r="B754" s="62"/>
      <c r="C754" s="62"/>
      <c r="D754" s="62"/>
      <c r="E754" s="62"/>
      <c r="F754" s="62"/>
      <c r="G754" s="62"/>
      <c r="H754" s="62"/>
      <c r="I754" s="62"/>
      <c r="J754" s="62"/>
      <c r="K754" s="53"/>
      <c r="L754" s="62"/>
      <c r="M754" s="63"/>
      <c r="N754" s="63"/>
      <c r="O754" s="63"/>
      <c r="P754" s="63"/>
      <c r="Q754" s="63"/>
      <c r="R754" s="63"/>
      <c r="S754" s="63"/>
      <c r="T754" s="63"/>
      <c r="U754" s="63"/>
      <c r="V754" s="63"/>
      <c r="W754" s="63"/>
      <c r="X754" s="63"/>
      <c r="Y754" s="63"/>
      <c r="Z754" s="63"/>
      <c r="AA754" s="63"/>
      <c r="AB754" s="63"/>
      <c r="AC754" s="63"/>
    </row>
    <row r="755" spans="1:29">
      <c r="A755" s="62"/>
      <c r="B755" s="62"/>
      <c r="C755" s="62"/>
      <c r="D755" s="62"/>
      <c r="E755" s="62"/>
      <c r="F755" s="62"/>
      <c r="G755" s="62"/>
      <c r="H755" s="62"/>
      <c r="I755" s="62"/>
      <c r="J755" s="62"/>
      <c r="K755" s="53"/>
      <c r="L755" s="62"/>
      <c r="M755" s="63"/>
      <c r="N755" s="63"/>
      <c r="O755" s="63"/>
      <c r="P755" s="63"/>
      <c r="Q755" s="63"/>
      <c r="R755" s="63"/>
      <c r="S755" s="63"/>
      <c r="T755" s="63"/>
      <c r="U755" s="63"/>
      <c r="V755" s="63"/>
      <c r="W755" s="63"/>
      <c r="X755" s="63"/>
      <c r="Y755" s="63"/>
      <c r="Z755" s="63"/>
      <c r="AA755" s="63"/>
      <c r="AB755" s="63"/>
      <c r="AC755" s="63"/>
    </row>
    <row r="756" spans="1:29">
      <c r="A756" s="62"/>
      <c r="B756" s="62"/>
      <c r="C756" s="62"/>
      <c r="D756" s="62"/>
      <c r="E756" s="62"/>
      <c r="F756" s="62"/>
      <c r="G756" s="62"/>
      <c r="H756" s="62"/>
      <c r="I756" s="62"/>
      <c r="J756" s="62"/>
      <c r="K756" s="53"/>
      <c r="L756" s="62"/>
      <c r="M756" s="63"/>
      <c r="N756" s="63"/>
      <c r="O756" s="63"/>
      <c r="P756" s="63"/>
      <c r="Q756" s="63"/>
      <c r="R756" s="63"/>
      <c r="S756" s="63"/>
      <c r="T756" s="63"/>
      <c r="U756" s="63"/>
      <c r="V756" s="63"/>
      <c r="W756" s="63"/>
      <c r="X756" s="63"/>
      <c r="Y756" s="63"/>
      <c r="Z756" s="63"/>
      <c r="AA756" s="63"/>
      <c r="AB756" s="63"/>
      <c r="AC756" s="63"/>
    </row>
    <row r="757" spans="1:29">
      <c r="A757" s="62"/>
      <c r="B757" s="62"/>
      <c r="C757" s="62"/>
      <c r="D757" s="62"/>
      <c r="E757" s="62"/>
      <c r="F757" s="62"/>
      <c r="G757" s="62"/>
      <c r="H757" s="62"/>
      <c r="I757" s="62"/>
      <c r="J757" s="62"/>
      <c r="K757" s="53"/>
      <c r="L757" s="62"/>
      <c r="M757" s="63"/>
      <c r="N757" s="63"/>
      <c r="O757" s="63"/>
      <c r="P757" s="63"/>
      <c r="Q757" s="63"/>
      <c r="R757" s="63"/>
      <c r="S757" s="63"/>
      <c r="T757" s="63"/>
      <c r="U757" s="63"/>
      <c r="V757" s="63"/>
      <c r="W757" s="63"/>
      <c r="X757" s="63"/>
      <c r="Y757" s="63"/>
      <c r="Z757" s="63"/>
      <c r="AA757" s="63"/>
      <c r="AB757" s="63"/>
      <c r="AC757" s="63"/>
    </row>
    <row r="758" spans="1:29">
      <c r="A758" s="62"/>
      <c r="B758" s="62"/>
      <c r="C758" s="62"/>
      <c r="D758" s="62"/>
      <c r="E758" s="62"/>
      <c r="F758" s="62"/>
      <c r="G758" s="62"/>
      <c r="H758" s="62"/>
      <c r="I758" s="62"/>
      <c r="J758" s="62"/>
      <c r="K758" s="53"/>
      <c r="L758" s="62"/>
      <c r="M758" s="63"/>
      <c r="N758" s="63"/>
      <c r="O758" s="63"/>
      <c r="P758" s="63"/>
      <c r="Q758" s="63"/>
      <c r="R758" s="63"/>
      <c r="S758" s="63"/>
      <c r="T758" s="63"/>
      <c r="U758" s="63"/>
      <c r="V758" s="63"/>
      <c r="W758" s="63"/>
      <c r="X758" s="63"/>
      <c r="Y758" s="63"/>
      <c r="Z758" s="63"/>
      <c r="AA758" s="63"/>
      <c r="AB758" s="63"/>
      <c r="AC758" s="63"/>
    </row>
    <row r="759" spans="1:29">
      <c r="A759" s="62"/>
      <c r="B759" s="62"/>
      <c r="C759" s="62"/>
      <c r="D759" s="62"/>
      <c r="E759" s="62"/>
      <c r="F759" s="62"/>
      <c r="G759" s="62"/>
      <c r="H759" s="62"/>
      <c r="I759" s="62"/>
      <c r="J759" s="62"/>
      <c r="K759" s="53"/>
      <c r="L759" s="62"/>
      <c r="M759" s="63"/>
      <c r="N759" s="63"/>
      <c r="O759" s="63"/>
      <c r="P759" s="63"/>
      <c r="Q759" s="63"/>
      <c r="R759" s="63"/>
      <c r="S759" s="63"/>
      <c r="T759" s="63"/>
      <c r="U759" s="63"/>
      <c r="V759" s="63"/>
      <c r="W759" s="63"/>
      <c r="X759" s="63"/>
      <c r="Y759" s="63"/>
      <c r="Z759" s="63"/>
      <c r="AA759" s="63"/>
      <c r="AB759" s="63"/>
      <c r="AC759" s="63"/>
    </row>
    <row r="760" spans="1:29">
      <c r="A760" s="62"/>
      <c r="B760" s="62"/>
      <c r="C760" s="62"/>
      <c r="D760" s="62"/>
      <c r="E760" s="62"/>
      <c r="F760" s="62"/>
      <c r="G760" s="62"/>
      <c r="H760" s="62"/>
      <c r="I760" s="62"/>
      <c r="J760" s="62"/>
      <c r="K760" s="53"/>
      <c r="L760" s="62"/>
      <c r="M760" s="63"/>
      <c r="N760" s="63"/>
      <c r="O760" s="63"/>
      <c r="P760" s="63"/>
      <c r="Q760" s="63"/>
      <c r="R760" s="63"/>
      <c r="S760" s="63"/>
      <c r="T760" s="63"/>
      <c r="U760" s="63"/>
      <c r="V760" s="63"/>
      <c r="W760" s="63"/>
      <c r="X760" s="63"/>
      <c r="Y760" s="63"/>
      <c r="Z760" s="63"/>
      <c r="AA760" s="63"/>
      <c r="AB760" s="63"/>
      <c r="AC760" s="63"/>
    </row>
    <row r="761" spans="1:29">
      <c r="A761" s="62"/>
      <c r="B761" s="62"/>
      <c r="C761" s="62"/>
      <c r="D761" s="62"/>
      <c r="E761" s="62"/>
      <c r="F761" s="62"/>
      <c r="G761" s="62"/>
      <c r="H761" s="62"/>
      <c r="I761" s="62"/>
      <c r="J761" s="62"/>
      <c r="K761" s="53"/>
      <c r="L761" s="62"/>
      <c r="M761" s="63"/>
      <c r="N761" s="63"/>
      <c r="O761" s="63"/>
      <c r="P761" s="63"/>
      <c r="Q761" s="63"/>
      <c r="R761" s="63"/>
      <c r="S761" s="63"/>
      <c r="T761" s="63"/>
      <c r="U761" s="63"/>
      <c r="V761" s="63"/>
      <c r="W761" s="63"/>
      <c r="X761" s="63"/>
      <c r="Y761" s="63"/>
      <c r="Z761" s="63"/>
      <c r="AA761" s="63"/>
      <c r="AB761" s="63"/>
      <c r="AC761" s="63"/>
    </row>
    <row r="762" spans="1:29">
      <c r="A762" s="62"/>
      <c r="B762" s="62"/>
      <c r="C762" s="62"/>
      <c r="D762" s="62"/>
      <c r="E762" s="62"/>
      <c r="F762" s="62"/>
      <c r="G762" s="62"/>
      <c r="H762" s="62"/>
      <c r="I762" s="62"/>
      <c r="J762" s="62"/>
      <c r="K762" s="53"/>
      <c r="L762" s="62"/>
      <c r="M762" s="63"/>
      <c r="N762" s="63"/>
      <c r="O762" s="63"/>
      <c r="P762" s="63"/>
      <c r="Q762" s="63"/>
      <c r="R762" s="63"/>
      <c r="S762" s="63"/>
      <c r="T762" s="63"/>
      <c r="U762" s="63"/>
      <c r="V762" s="63"/>
      <c r="W762" s="63"/>
      <c r="X762" s="63"/>
      <c r="Y762" s="63"/>
      <c r="Z762" s="63"/>
      <c r="AA762" s="63"/>
      <c r="AB762" s="63"/>
      <c r="AC762" s="63"/>
    </row>
    <row r="763" spans="1:29">
      <c r="A763" s="62"/>
      <c r="B763" s="62"/>
      <c r="C763" s="62"/>
      <c r="D763" s="62"/>
      <c r="E763" s="62"/>
      <c r="F763" s="62"/>
      <c r="G763" s="62"/>
      <c r="H763" s="62"/>
      <c r="I763" s="62"/>
      <c r="J763" s="62"/>
      <c r="K763" s="53"/>
      <c r="L763" s="62"/>
      <c r="M763" s="63"/>
      <c r="N763" s="63"/>
      <c r="O763" s="63"/>
      <c r="P763" s="63"/>
      <c r="Q763" s="63"/>
      <c r="R763" s="63"/>
      <c r="S763" s="63"/>
      <c r="T763" s="63"/>
      <c r="U763" s="63"/>
      <c r="V763" s="63"/>
      <c r="W763" s="63"/>
      <c r="X763" s="63"/>
      <c r="Y763" s="63"/>
      <c r="Z763" s="63"/>
      <c r="AA763" s="63"/>
      <c r="AB763" s="63"/>
      <c r="AC763" s="63"/>
    </row>
    <row r="764" spans="1:29">
      <c r="A764" s="62"/>
      <c r="B764" s="62"/>
      <c r="C764" s="62"/>
      <c r="D764" s="62"/>
      <c r="E764" s="62"/>
      <c r="F764" s="62"/>
      <c r="G764" s="62"/>
      <c r="H764" s="62"/>
      <c r="I764" s="62"/>
      <c r="J764" s="62"/>
      <c r="K764" s="53"/>
      <c r="L764" s="62"/>
      <c r="M764" s="63"/>
      <c r="N764" s="63"/>
      <c r="O764" s="63"/>
      <c r="P764" s="63"/>
      <c r="Q764" s="63"/>
      <c r="R764" s="63"/>
      <c r="S764" s="63"/>
      <c r="T764" s="63"/>
      <c r="U764" s="63"/>
      <c r="V764" s="63"/>
      <c r="W764" s="63"/>
      <c r="X764" s="63"/>
      <c r="Y764" s="63"/>
      <c r="Z764" s="63"/>
      <c r="AA764" s="63"/>
      <c r="AB764" s="63"/>
      <c r="AC764" s="63"/>
    </row>
    <row r="765" spans="1:29">
      <c r="A765" s="62"/>
      <c r="B765" s="62"/>
      <c r="C765" s="62"/>
      <c r="D765" s="62"/>
      <c r="E765" s="62"/>
      <c r="F765" s="62"/>
      <c r="G765" s="62"/>
      <c r="H765" s="62"/>
      <c r="I765" s="62"/>
      <c r="J765" s="62"/>
      <c r="K765" s="53"/>
      <c r="L765" s="62"/>
      <c r="M765" s="63"/>
      <c r="N765" s="63"/>
      <c r="O765" s="63"/>
      <c r="P765" s="63"/>
      <c r="Q765" s="63"/>
      <c r="R765" s="63"/>
      <c r="S765" s="63"/>
      <c r="T765" s="63"/>
      <c r="U765" s="63"/>
      <c r="V765" s="63"/>
      <c r="W765" s="63"/>
      <c r="X765" s="63"/>
      <c r="Y765" s="63"/>
      <c r="Z765" s="63"/>
      <c r="AA765" s="63"/>
      <c r="AB765" s="63"/>
      <c r="AC765" s="63"/>
    </row>
    <row r="766" spans="1:29">
      <c r="A766" s="62"/>
      <c r="B766" s="62"/>
      <c r="C766" s="62"/>
      <c r="D766" s="62"/>
      <c r="E766" s="62"/>
      <c r="F766" s="62"/>
      <c r="G766" s="62"/>
      <c r="H766" s="62"/>
      <c r="I766" s="62"/>
      <c r="J766" s="62"/>
      <c r="K766" s="53"/>
      <c r="L766" s="62"/>
      <c r="M766" s="63"/>
      <c r="N766" s="63"/>
      <c r="O766" s="63"/>
      <c r="P766" s="63"/>
      <c r="Q766" s="63"/>
      <c r="R766" s="63"/>
      <c r="S766" s="63"/>
      <c r="T766" s="63"/>
      <c r="U766" s="63"/>
      <c r="V766" s="63"/>
      <c r="W766" s="63"/>
      <c r="X766" s="63"/>
      <c r="Y766" s="63"/>
      <c r="Z766" s="63"/>
      <c r="AA766" s="63"/>
      <c r="AB766" s="63"/>
      <c r="AC766" s="63"/>
    </row>
    <row r="767" spans="1:29">
      <c r="A767" s="62"/>
      <c r="B767" s="62"/>
      <c r="C767" s="62"/>
      <c r="D767" s="62"/>
      <c r="E767" s="62"/>
      <c r="F767" s="62"/>
      <c r="G767" s="62"/>
      <c r="H767" s="62"/>
      <c r="I767" s="62"/>
      <c r="J767" s="62"/>
      <c r="K767" s="53"/>
      <c r="L767" s="62"/>
      <c r="M767" s="63"/>
      <c r="N767" s="63"/>
      <c r="O767" s="63"/>
      <c r="P767" s="63"/>
      <c r="Q767" s="63"/>
      <c r="R767" s="63"/>
      <c r="S767" s="63"/>
      <c r="T767" s="63"/>
      <c r="U767" s="63"/>
      <c r="V767" s="63"/>
      <c r="W767" s="63"/>
      <c r="X767" s="63"/>
      <c r="Y767" s="63"/>
      <c r="Z767" s="63"/>
      <c r="AA767" s="63"/>
      <c r="AB767" s="63"/>
      <c r="AC767" s="63"/>
    </row>
    <row r="768" spans="1:29">
      <c r="A768" s="62"/>
      <c r="B768" s="62"/>
      <c r="C768" s="62"/>
      <c r="D768" s="62"/>
      <c r="E768" s="62"/>
      <c r="F768" s="62"/>
      <c r="G768" s="62"/>
      <c r="H768" s="62"/>
      <c r="I768" s="62"/>
      <c r="J768" s="62"/>
      <c r="K768" s="53"/>
      <c r="L768" s="62"/>
      <c r="M768" s="63"/>
      <c r="N768" s="63"/>
      <c r="O768" s="63"/>
      <c r="P768" s="63"/>
      <c r="Q768" s="63"/>
      <c r="R768" s="63"/>
      <c r="S768" s="63"/>
      <c r="T768" s="63"/>
      <c r="U768" s="63"/>
      <c r="V768" s="63"/>
      <c r="W768" s="63"/>
      <c r="X768" s="63"/>
      <c r="Y768" s="63"/>
      <c r="Z768" s="63"/>
      <c r="AA768" s="63"/>
      <c r="AB768" s="63"/>
      <c r="AC768" s="63"/>
    </row>
    <row r="769" spans="1:29">
      <c r="A769" s="62"/>
      <c r="B769" s="62"/>
      <c r="C769" s="62"/>
      <c r="D769" s="62"/>
      <c r="E769" s="62"/>
      <c r="F769" s="62"/>
      <c r="G769" s="62"/>
      <c r="H769" s="62"/>
      <c r="I769" s="62"/>
      <c r="J769" s="62"/>
      <c r="K769" s="53"/>
      <c r="L769" s="62"/>
      <c r="M769" s="63"/>
      <c r="N769" s="63"/>
      <c r="O769" s="63"/>
      <c r="P769" s="63"/>
      <c r="Q769" s="63"/>
      <c r="R769" s="63"/>
      <c r="S769" s="63"/>
      <c r="T769" s="63"/>
      <c r="U769" s="63"/>
      <c r="V769" s="63"/>
      <c r="W769" s="63"/>
      <c r="X769" s="63"/>
      <c r="Y769" s="63"/>
      <c r="Z769" s="63"/>
      <c r="AA769" s="63"/>
      <c r="AB769" s="63"/>
      <c r="AC769" s="63"/>
    </row>
    <row r="770" spans="1:29">
      <c r="A770" s="62"/>
      <c r="B770" s="62"/>
      <c r="C770" s="62"/>
      <c r="D770" s="62"/>
      <c r="E770" s="62"/>
      <c r="F770" s="62"/>
      <c r="G770" s="62"/>
      <c r="H770" s="62"/>
      <c r="I770" s="62"/>
      <c r="J770" s="62"/>
      <c r="K770" s="53"/>
      <c r="L770" s="62"/>
      <c r="M770" s="63"/>
      <c r="N770" s="63"/>
      <c r="O770" s="63"/>
      <c r="P770" s="63"/>
      <c r="Q770" s="63"/>
      <c r="R770" s="63"/>
      <c r="S770" s="63"/>
      <c r="T770" s="63"/>
      <c r="U770" s="63"/>
      <c r="V770" s="63"/>
      <c r="W770" s="63"/>
      <c r="X770" s="63"/>
      <c r="Y770" s="63"/>
      <c r="Z770" s="63"/>
      <c r="AA770" s="63"/>
      <c r="AB770" s="63"/>
      <c r="AC770" s="63"/>
    </row>
    <row r="771" spans="1:29">
      <c r="A771" s="62"/>
      <c r="B771" s="62"/>
      <c r="C771" s="62"/>
      <c r="D771" s="62"/>
      <c r="E771" s="62"/>
      <c r="F771" s="62"/>
      <c r="G771" s="62"/>
      <c r="H771" s="62"/>
      <c r="I771" s="62"/>
      <c r="J771" s="62"/>
      <c r="K771" s="53"/>
      <c r="L771" s="62"/>
      <c r="M771" s="63"/>
      <c r="N771" s="63"/>
      <c r="O771" s="63"/>
      <c r="P771" s="63"/>
      <c r="Q771" s="63"/>
      <c r="R771" s="63"/>
      <c r="S771" s="63"/>
      <c r="T771" s="63"/>
      <c r="U771" s="63"/>
      <c r="V771" s="63"/>
      <c r="W771" s="63"/>
      <c r="X771" s="63"/>
      <c r="Y771" s="63"/>
      <c r="Z771" s="63"/>
      <c r="AA771" s="63"/>
      <c r="AB771" s="63"/>
      <c r="AC771" s="63"/>
    </row>
    <row r="772" spans="1:29">
      <c r="A772" s="62"/>
      <c r="B772" s="62"/>
      <c r="C772" s="62"/>
      <c r="D772" s="62"/>
      <c r="E772" s="62"/>
      <c r="F772" s="62"/>
      <c r="G772" s="62"/>
      <c r="H772" s="62"/>
      <c r="I772" s="62"/>
      <c r="J772" s="62"/>
      <c r="K772" s="53"/>
      <c r="L772" s="62"/>
      <c r="M772" s="63"/>
      <c r="N772" s="63"/>
      <c r="O772" s="63"/>
      <c r="P772" s="63"/>
      <c r="Q772" s="63"/>
      <c r="R772" s="63"/>
      <c r="S772" s="63"/>
      <c r="T772" s="63"/>
      <c r="U772" s="63"/>
      <c r="V772" s="63"/>
      <c r="W772" s="63"/>
      <c r="X772" s="63"/>
      <c r="Y772" s="63"/>
      <c r="Z772" s="63"/>
      <c r="AA772" s="63"/>
      <c r="AB772" s="63"/>
      <c r="AC772" s="63"/>
    </row>
    <row r="773" spans="1:29">
      <c r="A773" s="62"/>
      <c r="B773" s="62"/>
      <c r="C773" s="62"/>
      <c r="D773" s="62"/>
      <c r="E773" s="62"/>
      <c r="F773" s="62"/>
      <c r="G773" s="62"/>
      <c r="H773" s="62"/>
      <c r="I773" s="62"/>
      <c r="J773" s="62"/>
      <c r="K773" s="53"/>
      <c r="L773" s="62"/>
      <c r="M773" s="63"/>
      <c r="N773" s="63"/>
      <c r="O773" s="63"/>
      <c r="P773" s="63"/>
      <c r="Q773" s="63"/>
      <c r="R773" s="63"/>
      <c r="S773" s="63"/>
      <c r="T773" s="63"/>
      <c r="U773" s="63"/>
      <c r="V773" s="63"/>
      <c r="W773" s="63"/>
      <c r="X773" s="63"/>
      <c r="Y773" s="63"/>
      <c r="Z773" s="63"/>
      <c r="AA773" s="63"/>
      <c r="AB773" s="63"/>
      <c r="AC773" s="63"/>
    </row>
    <row r="774" spans="1:29">
      <c r="A774" s="62"/>
      <c r="B774" s="62"/>
      <c r="C774" s="62"/>
      <c r="D774" s="62"/>
      <c r="E774" s="62"/>
      <c r="F774" s="62"/>
      <c r="G774" s="62"/>
      <c r="H774" s="62"/>
      <c r="I774" s="62"/>
      <c r="J774" s="62"/>
      <c r="K774" s="53"/>
      <c r="L774" s="62"/>
      <c r="M774" s="63"/>
      <c r="N774" s="63"/>
      <c r="O774" s="63"/>
      <c r="P774" s="63"/>
      <c r="Q774" s="63"/>
      <c r="R774" s="63"/>
      <c r="S774" s="63"/>
      <c r="T774" s="63"/>
      <c r="U774" s="63"/>
      <c r="V774" s="63"/>
      <c r="W774" s="63"/>
      <c r="X774" s="63"/>
      <c r="Y774" s="63"/>
      <c r="Z774" s="63"/>
      <c r="AA774" s="63"/>
      <c r="AB774" s="63"/>
      <c r="AC774" s="63"/>
    </row>
    <row r="775" spans="1:29">
      <c r="A775" s="62"/>
      <c r="B775" s="62"/>
      <c r="C775" s="62"/>
      <c r="D775" s="62"/>
      <c r="E775" s="62"/>
      <c r="F775" s="62"/>
      <c r="G775" s="62"/>
      <c r="H775" s="62"/>
      <c r="I775" s="62"/>
      <c r="J775" s="62"/>
      <c r="K775" s="53"/>
      <c r="L775" s="62"/>
      <c r="M775" s="63"/>
      <c r="N775" s="63"/>
      <c r="O775" s="63"/>
      <c r="P775" s="63"/>
      <c r="Q775" s="63"/>
      <c r="R775" s="63"/>
      <c r="S775" s="63"/>
      <c r="T775" s="63"/>
      <c r="U775" s="63"/>
      <c r="V775" s="63"/>
      <c r="W775" s="63"/>
      <c r="X775" s="63"/>
      <c r="Y775" s="63"/>
      <c r="Z775" s="63"/>
      <c r="AA775" s="63"/>
      <c r="AB775" s="63"/>
      <c r="AC775" s="63"/>
    </row>
    <row r="776" spans="1:29">
      <c r="A776" s="62"/>
      <c r="B776" s="62"/>
      <c r="C776" s="62"/>
      <c r="D776" s="62"/>
      <c r="E776" s="62"/>
      <c r="F776" s="62"/>
      <c r="G776" s="62"/>
      <c r="H776" s="62"/>
      <c r="I776" s="62"/>
      <c r="J776" s="62"/>
      <c r="K776" s="53"/>
      <c r="L776" s="62"/>
      <c r="M776" s="63"/>
      <c r="N776" s="63"/>
      <c r="O776" s="63"/>
      <c r="P776" s="63"/>
      <c r="Q776" s="63"/>
      <c r="R776" s="63"/>
      <c r="S776" s="63"/>
      <c r="T776" s="63"/>
      <c r="U776" s="63"/>
      <c r="V776" s="63"/>
      <c r="W776" s="63"/>
      <c r="X776" s="63"/>
      <c r="Y776" s="63"/>
      <c r="Z776" s="63"/>
      <c r="AA776" s="63"/>
      <c r="AB776" s="63"/>
      <c r="AC776" s="63"/>
    </row>
    <row r="777" spans="1:29">
      <c r="A777" s="62"/>
      <c r="B777" s="62"/>
      <c r="C777" s="62"/>
      <c r="D777" s="62"/>
      <c r="E777" s="62"/>
      <c r="F777" s="62"/>
      <c r="G777" s="62"/>
      <c r="H777" s="62"/>
      <c r="I777" s="62"/>
      <c r="J777" s="62"/>
      <c r="K777" s="53"/>
      <c r="L777" s="62"/>
      <c r="M777" s="63"/>
      <c r="N777" s="63"/>
      <c r="O777" s="63"/>
      <c r="P777" s="63"/>
      <c r="Q777" s="63"/>
      <c r="R777" s="63"/>
      <c r="S777" s="63"/>
      <c r="T777" s="63"/>
      <c r="U777" s="63"/>
      <c r="V777" s="63"/>
      <c r="W777" s="63"/>
      <c r="X777" s="63"/>
      <c r="Y777" s="63"/>
      <c r="Z777" s="63"/>
      <c r="AA777" s="63"/>
      <c r="AB777" s="63"/>
      <c r="AC777" s="63"/>
    </row>
    <row r="778" spans="1:29">
      <c r="A778" s="62"/>
      <c r="B778" s="62"/>
      <c r="C778" s="62"/>
      <c r="D778" s="62"/>
      <c r="E778" s="62"/>
      <c r="F778" s="62"/>
      <c r="G778" s="62"/>
      <c r="H778" s="62"/>
      <c r="I778" s="62"/>
      <c r="J778" s="62"/>
      <c r="K778" s="53"/>
      <c r="L778" s="62"/>
      <c r="M778" s="63"/>
      <c r="N778" s="63"/>
      <c r="O778" s="63"/>
      <c r="P778" s="63"/>
      <c r="Q778" s="63"/>
      <c r="R778" s="63"/>
      <c r="S778" s="63"/>
      <c r="T778" s="63"/>
      <c r="U778" s="63"/>
      <c r="V778" s="63"/>
      <c r="W778" s="63"/>
      <c r="X778" s="63"/>
      <c r="Y778" s="63"/>
      <c r="Z778" s="63"/>
      <c r="AA778" s="63"/>
      <c r="AB778" s="63"/>
      <c r="AC778" s="63"/>
    </row>
    <row r="779" spans="1:29">
      <c r="A779" s="62"/>
      <c r="B779" s="62"/>
      <c r="C779" s="62"/>
      <c r="D779" s="62"/>
      <c r="E779" s="62"/>
      <c r="F779" s="62"/>
      <c r="G779" s="62"/>
      <c r="H779" s="62"/>
      <c r="I779" s="62"/>
      <c r="J779" s="62"/>
      <c r="K779" s="53"/>
      <c r="L779" s="62"/>
      <c r="M779" s="63"/>
      <c r="N779" s="63"/>
      <c r="O779" s="63"/>
      <c r="P779" s="63"/>
      <c r="Q779" s="63"/>
      <c r="R779" s="63"/>
      <c r="S779" s="63"/>
      <c r="T779" s="63"/>
      <c r="U779" s="63"/>
      <c r="V779" s="63"/>
      <c r="W779" s="63"/>
      <c r="X779" s="63"/>
      <c r="Y779" s="63"/>
      <c r="Z779" s="63"/>
      <c r="AA779" s="63"/>
      <c r="AB779" s="63"/>
      <c r="AC779" s="63"/>
    </row>
    <row r="780" spans="1:29">
      <c r="A780" s="62"/>
      <c r="B780" s="62"/>
      <c r="C780" s="62"/>
      <c r="D780" s="62"/>
      <c r="E780" s="62"/>
      <c r="F780" s="62"/>
      <c r="G780" s="62"/>
      <c r="H780" s="62"/>
      <c r="I780" s="62"/>
      <c r="J780" s="62"/>
      <c r="K780" s="53"/>
      <c r="L780" s="62"/>
      <c r="M780" s="63"/>
      <c r="N780" s="63"/>
      <c r="O780" s="63"/>
      <c r="P780" s="63"/>
      <c r="Q780" s="63"/>
      <c r="R780" s="63"/>
      <c r="S780" s="63"/>
      <c r="T780" s="63"/>
      <c r="U780" s="63"/>
      <c r="V780" s="63"/>
      <c r="W780" s="63"/>
      <c r="X780" s="63"/>
      <c r="Y780" s="63"/>
      <c r="Z780" s="63"/>
      <c r="AA780" s="63"/>
      <c r="AB780" s="63"/>
      <c r="AC780" s="63"/>
    </row>
    <row r="781" spans="1:29">
      <c r="A781" s="62"/>
      <c r="B781" s="62"/>
      <c r="C781" s="62"/>
      <c r="D781" s="62"/>
      <c r="E781" s="62"/>
      <c r="F781" s="62"/>
      <c r="G781" s="62"/>
      <c r="H781" s="62"/>
      <c r="I781" s="62"/>
      <c r="J781" s="62"/>
      <c r="K781" s="53"/>
      <c r="L781" s="62"/>
      <c r="M781" s="63"/>
      <c r="N781" s="63"/>
      <c r="O781" s="63"/>
      <c r="P781" s="63"/>
      <c r="Q781" s="63"/>
      <c r="R781" s="63"/>
      <c r="S781" s="63"/>
      <c r="T781" s="63"/>
      <c r="U781" s="63"/>
      <c r="V781" s="63"/>
      <c r="W781" s="63"/>
      <c r="X781" s="63"/>
      <c r="Y781" s="63"/>
      <c r="Z781" s="63"/>
      <c r="AA781" s="63"/>
      <c r="AB781" s="63"/>
      <c r="AC781" s="63"/>
    </row>
    <row r="782" spans="1:29">
      <c r="A782" s="62"/>
      <c r="B782" s="62"/>
      <c r="C782" s="62"/>
      <c r="D782" s="62"/>
      <c r="E782" s="62"/>
      <c r="F782" s="62"/>
      <c r="G782" s="62"/>
      <c r="H782" s="62"/>
      <c r="I782" s="62"/>
      <c r="J782" s="62"/>
      <c r="K782" s="53"/>
      <c r="L782" s="62"/>
      <c r="M782" s="63"/>
      <c r="N782" s="63"/>
      <c r="O782" s="63"/>
      <c r="P782" s="63"/>
      <c r="Q782" s="63"/>
      <c r="R782" s="63"/>
      <c r="S782" s="63"/>
      <c r="T782" s="63"/>
      <c r="U782" s="63"/>
      <c r="V782" s="63"/>
      <c r="W782" s="63"/>
      <c r="X782" s="63"/>
      <c r="Y782" s="63"/>
      <c r="Z782" s="63"/>
      <c r="AA782" s="63"/>
      <c r="AB782" s="63"/>
      <c r="AC782" s="63"/>
    </row>
    <row r="783" spans="1:29">
      <c r="A783" s="62"/>
      <c r="B783" s="62"/>
      <c r="C783" s="62"/>
      <c r="D783" s="62"/>
      <c r="E783" s="62"/>
      <c r="F783" s="62"/>
      <c r="G783" s="62"/>
      <c r="H783" s="62"/>
      <c r="I783" s="62"/>
      <c r="J783" s="62"/>
      <c r="K783" s="53"/>
      <c r="L783" s="62"/>
      <c r="M783" s="63"/>
      <c r="N783" s="63"/>
      <c r="O783" s="63"/>
      <c r="P783" s="63"/>
      <c r="Q783" s="63"/>
      <c r="R783" s="63"/>
      <c r="S783" s="63"/>
      <c r="T783" s="63"/>
      <c r="U783" s="63"/>
      <c r="V783" s="63"/>
      <c r="W783" s="63"/>
      <c r="X783" s="63"/>
      <c r="Y783" s="63"/>
      <c r="Z783" s="63"/>
      <c r="AA783" s="63"/>
      <c r="AB783" s="63"/>
      <c r="AC783" s="63"/>
    </row>
    <row r="784" spans="1:29">
      <c r="A784" s="62"/>
      <c r="B784" s="62"/>
      <c r="C784" s="62"/>
      <c r="D784" s="62"/>
      <c r="E784" s="62"/>
      <c r="F784" s="62"/>
      <c r="G784" s="62"/>
      <c r="H784" s="62"/>
      <c r="I784" s="62"/>
      <c r="J784" s="62"/>
      <c r="K784" s="53"/>
      <c r="L784" s="62"/>
      <c r="M784" s="63"/>
      <c r="N784" s="63"/>
      <c r="O784" s="63"/>
      <c r="P784" s="63"/>
      <c r="Q784" s="63"/>
      <c r="R784" s="63"/>
      <c r="S784" s="63"/>
      <c r="T784" s="63"/>
      <c r="U784" s="63"/>
      <c r="V784" s="63"/>
      <c r="W784" s="63"/>
      <c r="X784" s="63"/>
      <c r="Y784" s="63"/>
      <c r="Z784" s="63"/>
      <c r="AA784" s="63"/>
      <c r="AB784" s="63"/>
      <c r="AC784" s="63"/>
    </row>
    <row r="785" spans="1:29">
      <c r="A785" s="62"/>
      <c r="B785" s="62"/>
      <c r="C785" s="62"/>
      <c r="D785" s="62"/>
      <c r="E785" s="62"/>
      <c r="F785" s="62"/>
      <c r="G785" s="62"/>
      <c r="H785" s="62"/>
      <c r="I785" s="62"/>
      <c r="J785" s="62"/>
      <c r="K785" s="53"/>
      <c r="L785" s="62"/>
      <c r="M785" s="63"/>
      <c r="N785" s="63"/>
      <c r="O785" s="63"/>
      <c r="P785" s="63"/>
      <c r="Q785" s="63"/>
      <c r="R785" s="63"/>
      <c r="S785" s="63"/>
      <c r="T785" s="63"/>
      <c r="U785" s="63"/>
      <c r="V785" s="63"/>
      <c r="W785" s="63"/>
      <c r="X785" s="63"/>
      <c r="Y785" s="63"/>
      <c r="Z785" s="63"/>
      <c r="AA785" s="63"/>
      <c r="AB785" s="63"/>
      <c r="AC785" s="63"/>
    </row>
    <row r="786" spans="1:29">
      <c r="A786" s="62"/>
      <c r="B786" s="62"/>
      <c r="C786" s="62"/>
      <c r="D786" s="62"/>
      <c r="E786" s="62"/>
      <c r="F786" s="62"/>
      <c r="G786" s="62"/>
      <c r="H786" s="62"/>
      <c r="I786" s="62"/>
      <c r="J786" s="62"/>
      <c r="K786" s="53"/>
      <c r="L786" s="62"/>
      <c r="M786" s="63"/>
      <c r="N786" s="63"/>
      <c r="O786" s="63"/>
      <c r="P786" s="63"/>
      <c r="Q786" s="63"/>
      <c r="R786" s="63"/>
      <c r="S786" s="63"/>
      <c r="T786" s="63"/>
      <c r="U786" s="63"/>
      <c r="V786" s="63"/>
      <c r="W786" s="63"/>
      <c r="X786" s="63"/>
      <c r="Y786" s="63"/>
      <c r="Z786" s="63"/>
      <c r="AA786" s="63"/>
      <c r="AB786" s="63"/>
      <c r="AC786" s="63"/>
    </row>
    <row r="787" spans="1:29">
      <c r="A787" s="62"/>
      <c r="B787" s="62"/>
      <c r="C787" s="62"/>
      <c r="D787" s="62"/>
      <c r="E787" s="62"/>
      <c r="F787" s="62"/>
      <c r="G787" s="62"/>
      <c r="H787" s="62"/>
      <c r="I787" s="62"/>
      <c r="J787" s="62"/>
      <c r="K787" s="53"/>
      <c r="L787" s="62"/>
      <c r="M787" s="63"/>
      <c r="N787" s="63"/>
      <c r="O787" s="63"/>
      <c r="P787" s="63"/>
      <c r="Q787" s="63"/>
      <c r="R787" s="63"/>
      <c r="S787" s="63"/>
      <c r="T787" s="63"/>
      <c r="U787" s="63"/>
      <c r="V787" s="63"/>
      <c r="W787" s="63"/>
      <c r="X787" s="63"/>
      <c r="Y787" s="63"/>
      <c r="Z787" s="63"/>
      <c r="AA787" s="63"/>
      <c r="AB787" s="63"/>
      <c r="AC787" s="63"/>
    </row>
    <row r="788" spans="1:29">
      <c r="A788" s="62"/>
      <c r="B788" s="62"/>
      <c r="C788" s="62"/>
      <c r="D788" s="62"/>
      <c r="E788" s="62"/>
      <c r="F788" s="62"/>
      <c r="G788" s="62"/>
      <c r="H788" s="62"/>
      <c r="I788" s="62"/>
      <c r="J788" s="62"/>
      <c r="K788" s="53"/>
      <c r="L788" s="62"/>
      <c r="M788" s="63"/>
      <c r="N788" s="63"/>
      <c r="O788" s="63"/>
      <c r="P788" s="63"/>
      <c r="Q788" s="63"/>
      <c r="R788" s="63"/>
      <c r="S788" s="63"/>
      <c r="T788" s="63"/>
      <c r="U788" s="63"/>
      <c r="V788" s="63"/>
      <c r="W788" s="63"/>
      <c r="X788" s="63"/>
      <c r="Y788" s="63"/>
      <c r="Z788" s="63"/>
      <c r="AA788" s="63"/>
      <c r="AB788" s="63"/>
      <c r="AC788" s="63"/>
    </row>
    <row r="789" spans="1:29">
      <c r="A789" s="62"/>
      <c r="B789" s="62"/>
      <c r="C789" s="62"/>
      <c r="D789" s="62"/>
      <c r="E789" s="62"/>
      <c r="F789" s="62"/>
      <c r="G789" s="62"/>
      <c r="H789" s="62"/>
      <c r="I789" s="62"/>
      <c r="J789" s="62"/>
      <c r="K789" s="53"/>
      <c r="L789" s="62"/>
      <c r="M789" s="63"/>
      <c r="N789" s="63"/>
      <c r="O789" s="63"/>
      <c r="P789" s="63"/>
      <c r="Q789" s="63"/>
      <c r="R789" s="63"/>
      <c r="S789" s="63"/>
      <c r="T789" s="63"/>
      <c r="U789" s="63"/>
      <c r="V789" s="63"/>
      <c r="W789" s="63"/>
      <c r="X789" s="63"/>
      <c r="Y789" s="63"/>
      <c r="Z789" s="63"/>
      <c r="AA789" s="63"/>
      <c r="AB789" s="63"/>
      <c r="AC789" s="63"/>
    </row>
    <row r="790" spans="1:29">
      <c r="A790" s="62"/>
      <c r="B790" s="62"/>
      <c r="C790" s="62"/>
      <c r="D790" s="62"/>
      <c r="E790" s="62"/>
      <c r="F790" s="62"/>
      <c r="G790" s="62"/>
      <c r="H790" s="62"/>
      <c r="I790" s="62"/>
      <c r="J790" s="62"/>
      <c r="K790" s="53"/>
      <c r="L790" s="62"/>
      <c r="M790" s="63"/>
      <c r="N790" s="63"/>
      <c r="O790" s="63"/>
      <c r="P790" s="63"/>
      <c r="Q790" s="63"/>
      <c r="R790" s="63"/>
      <c r="S790" s="63"/>
      <c r="T790" s="63"/>
      <c r="U790" s="63"/>
      <c r="V790" s="63"/>
      <c r="W790" s="63"/>
      <c r="X790" s="63"/>
      <c r="Y790" s="63"/>
      <c r="Z790" s="63"/>
      <c r="AA790" s="63"/>
      <c r="AB790" s="63"/>
      <c r="AC790" s="63"/>
    </row>
    <row r="791" spans="1:29">
      <c r="A791" s="62"/>
      <c r="B791" s="62"/>
      <c r="C791" s="62"/>
      <c r="D791" s="62"/>
      <c r="E791" s="62"/>
      <c r="F791" s="62"/>
      <c r="G791" s="62"/>
      <c r="H791" s="62"/>
      <c r="I791" s="62"/>
      <c r="J791" s="62"/>
      <c r="K791" s="53"/>
      <c r="L791" s="62"/>
      <c r="M791" s="63"/>
      <c r="N791" s="63"/>
      <c r="O791" s="63"/>
      <c r="P791" s="63"/>
      <c r="Q791" s="63"/>
      <c r="R791" s="63"/>
      <c r="S791" s="63"/>
      <c r="T791" s="63"/>
      <c r="U791" s="63"/>
      <c r="V791" s="63"/>
      <c r="W791" s="63"/>
      <c r="X791" s="63"/>
      <c r="Y791" s="63"/>
      <c r="Z791" s="63"/>
      <c r="AA791" s="63"/>
      <c r="AB791" s="63"/>
      <c r="AC791" s="63"/>
    </row>
    <row r="792" spans="1:29">
      <c r="A792" s="62"/>
      <c r="B792" s="62"/>
      <c r="C792" s="62"/>
      <c r="D792" s="62"/>
      <c r="E792" s="62"/>
      <c r="F792" s="62"/>
      <c r="G792" s="62"/>
      <c r="H792" s="62"/>
      <c r="I792" s="62"/>
      <c r="J792" s="62"/>
      <c r="K792" s="53"/>
      <c r="L792" s="62"/>
      <c r="M792" s="63"/>
      <c r="N792" s="63"/>
      <c r="O792" s="63"/>
      <c r="P792" s="63"/>
      <c r="Q792" s="63"/>
      <c r="R792" s="63"/>
      <c r="S792" s="63"/>
      <c r="T792" s="63"/>
      <c r="U792" s="63"/>
      <c r="V792" s="63"/>
      <c r="W792" s="63"/>
      <c r="X792" s="63"/>
      <c r="Y792" s="63"/>
      <c r="Z792" s="63"/>
      <c r="AA792" s="63"/>
      <c r="AB792" s="63"/>
      <c r="AC792" s="63"/>
    </row>
    <row r="793" spans="1:29">
      <c r="A793" s="62"/>
      <c r="B793" s="62"/>
      <c r="C793" s="62"/>
      <c r="D793" s="62"/>
      <c r="E793" s="62"/>
      <c r="F793" s="62"/>
      <c r="G793" s="62"/>
      <c r="H793" s="62"/>
      <c r="I793" s="62"/>
      <c r="J793" s="62"/>
      <c r="K793" s="53"/>
      <c r="L793" s="62"/>
      <c r="M793" s="63"/>
      <c r="N793" s="63"/>
      <c r="O793" s="63"/>
      <c r="P793" s="63"/>
      <c r="Q793" s="63"/>
      <c r="R793" s="63"/>
      <c r="S793" s="63"/>
      <c r="T793" s="63"/>
      <c r="U793" s="63"/>
      <c r="V793" s="63"/>
      <c r="W793" s="63"/>
      <c r="X793" s="63"/>
      <c r="Y793" s="63"/>
      <c r="Z793" s="63"/>
      <c r="AA793" s="63"/>
      <c r="AB793" s="63"/>
      <c r="AC793" s="63"/>
    </row>
    <row r="794" spans="1:29">
      <c r="A794" s="62"/>
      <c r="B794" s="62"/>
      <c r="C794" s="62"/>
      <c r="D794" s="62"/>
      <c r="E794" s="62"/>
      <c r="F794" s="62"/>
      <c r="G794" s="62"/>
      <c r="H794" s="62"/>
      <c r="I794" s="62"/>
      <c r="J794" s="62"/>
      <c r="K794" s="53"/>
      <c r="L794" s="62"/>
      <c r="M794" s="63"/>
      <c r="N794" s="63"/>
      <c r="O794" s="63"/>
      <c r="P794" s="63"/>
      <c r="Q794" s="63"/>
      <c r="R794" s="63"/>
      <c r="S794" s="63"/>
      <c r="T794" s="63"/>
      <c r="U794" s="63"/>
      <c r="V794" s="63"/>
      <c r="W794" s="63"/>
      <c r="X794" s="63"/>
      <c r="Y794" s="63"/>
      <c r="Z794" s="63"/>
      <c r="AA794" s="63"/>
      <c r="AB794" s="63"/>
      <c r="AC794" s="63"/>
    </row>
    <row r="795" spans="1:29">
      <c r="A795" s="62"/>
      <c r="B795" s="62"/>
      <c r="C795" s="62"/>
      <c r="D795" s="62"/>
      <c r="E795" s="62"/>
      <c r="F795" s="62"/>
      <c r="G795" s="62"/>
      <c r="H795" s="62"/>
      <c r="I795" s="62"/>
      <c r="J795" s="62"/>
      <c r="K795" s="53"/>
      <c r="L795" s="62"/>
      <c r="M795" s="63"/>
      <c r="N795" s="63"/>
      <c r="O795" s="63"/>
      <c r="P795" s="63"/>
      <c r="Q795" s="63"/>
      <c r="R795" s="63"/>
      <c r="S795" s="63"/>
      <c r="T795" s="63"/>
      <c r="U795" s="63"/>
      <c r="V795" s="63"/>
      <c r="W795" s="63"/>
      <c r="X795" s="63"/>
      <c r="Y795" s="63"/>
      <c r="Z795" s="63"/>
      <c r="AA795" s="63"/>
      <c r="AB795" s="63"/>
      <c r="AC795" s="63"/>
    </row>
    <row r="796" spans="1:29">
      <c r="A796" s="62"/>
      <c r="B796" s="62"/>
      <c r="C796" s="62"/>
      <c r="D796" s="62"/>
      <c r="E796" s="62"/>
      <c r="F796" s="62"/>
      <c r="G796" s="62"/>
      <c r="H796" s="62"/>
      <c r="I796" s="62"/>
      <c r="J796" s="62"/>
      <c r="K796" s="53"/>
      <c r="L796" s="62"/>
      <c r="M796" s="63"/>
      <c r="N796" s="63"/>
      <c r="O796" s="63"/>
      <c r="P796" s="63"/>
      <c r="Q796" s="63"/>
      <c r="R796" s="63"/>
      <c r="S796" s="63"/>
      <c r="T796" s="63"/>
      <c r="U796" s="63"/>
      <c r="V796" s="63"/>
      <c r="W796" s="63"/>
      <c r="X796" s="63"/>
      <c r="Y796" s="63"/>
      <c r="Z796" s="63"/>
      <c r="AA796" s="63"/>
      <c r="AB796" s="63"/>
      <c r="AC796" s="63"/>
    </row>
    <row r="797" spans="1:29">
      <c r="A797" s="62"/>
      <c r="B797" s="62"/>
      <c r="C797" s="62"/>
      <c r="D797" s="62"/>
      <c r="E797" s="62"/>
      <c r="F797" s="62"/>
      <c r="G797" s="62"/>
      <c r="H797" s="62"/>
      <c r="I797" s="62"/>
      <c r="J797" s="62"/>
      <c r="K797" s="53"/>
      <c r="L797" s="62"/>
      <c r="M797" s="63"/>
      <c r="N797" s="63"/>
      <c r="O797" s="63"/>
      <c r="P797" s="63"/>
      <c r="Q797" s="63"/>
      <c r="R797" s="63"/>
      <c r="S797" s="63"/>
      <c r="T797" s="63"/>
      <c r="U797" s="63"/>
      <c r="V797" s="63"/>
      <c r="W797" s="63"/>
      <c r="X797" s="63"/>
      <c r="Y797" s="63"/>
      <c r="Z797" s="63"/>
      <c r="AA797" s="63"/>
      <c r="AB797" s="63"/>
      <c r="AC797" s="63"/>
    </row>
    <row r="798" spans="1:29">
      <c r="A798" s="62"/>
      <c r="B798" s="62"/>
      <c r="C798" s="62"/>
      <c r="D798" s="62"/>
      <c r="E798" s="62"/>
      <c r="F798" s="62"/>
      <c r="G798" s="62"/>
      <c r="H798" s="62"/>
      <c r="I798" s="62"/>
      <c r="J798" s="62"/>
      <c r="K798" s="53"/>
      <c r="L798" s="62"/>
      <c r="M798" s="63"/>
      <c r="N798" s="63"/>
      <c r="O798" s="63"/>
      <c r="P798" s="63"/>
      <c r="Q798" s="63"/>
      <c r="R798" s="63"/>
      <c r="S798" s="63"/>
      <c r="T798" s="63"/>
      <c r="U798" s="63"/>
      <c r="V798" s="63"/>
      <c r="W798" s="63"/>
      <c r="X798" s="63"/>
      <c r="Y798" s="63"/>
      <c r="Z798" s="63"/>
      <c r="AA798" s="63"/>
      <c r="AB798" s="63"/>
      <c r="AC798" s="63"/>
    </row>
    <row r="799" spans="1:29">
      <c r="A799" s="62"/>
      <c r="B799" s="62"/>
      <c r="C799" s="62"/>
      <c r="D799" s="62"/>
      <c r="E799" s="62"/>
      <c r="F799" s="62"/>
      <c r="G799" s="62"/>
      <c r="H799" s="62"/>
      <c r="I799" s="62"/>
      <c r="J799" s="62"/>
      <c r="K799" s="53"/>
      <c r="L799" s="62"/>
      <c r="M799" s="63"/>
      <c r="N799" s="63"/>
      <c r="O799" s="63"/>
      <c r="P799" s="63"/>
      <c r="Q799" s="63"/>
      <c r="R799" s="63"/>
      <c r="S799" s="63"/>
      <c r="T799" s="63"/>
      <c r="U799" s="63"/>
      <c r="V799" s="63"/>
      <c r="W799" s="63"/>
      <c r="X799" s="63"/>
      <c r="Y799" s="63"/>
      <c r="Z799" s="63"/>
      <c r="AA799" s="63"/>
      <c r="AB799" s="63"/>
      <c r="AC799" s="63"/>
    </row>
    <row r="800" spans="1:29">
      <c r="A800" s="62"/>
      <c r="B800" s="62"/>
      <c r="C800" s="62"/>
      <c r="D800" s="62"/>
      <c r="E800" s="62"/>
      <c r="F800" s="62"/>
      <c r="G800" s="62"/>
      <c r="H800" s="62"/>
      <c r="I800" s="62"/>
      <c r="J800" s="62"/>
      <c r="K800" s="53"/>
      <c r="L800" s="62"/>
      <c r="M800" s="63"/>
      <c r="N800" s="63"/>
      <c r="O800" s="63"/>
      <c r="P800" s="63"/>
      <c r="Q800" s="63"/>
      <c r="R800" s="63"/>
      <c r="S800" s="63"/>
      <c r="T800" s="63"/>
      <c r="U800" s="63"/>
      <c r="V800" s="63"/>
      <c r="W800" s="63"/>
      <c r="X800" s="63"/>
      <c r="Y800" s="63"/>
      <c r="Z800" s="63"/>
      <c r="AA800" s="63"/>
      <c r="AB800" s="63"/>
      <c r="AC800" s="63"/>
    </row>
    <row r="801" spans="1:29">
      <c r="A801" s="62"/>
      <c r="B801" s="62"/>
      <c r="C801" s="62"/>
      <c r="D801" s="62"/>
      <c r="E801" s="62"/>
      <c r="F801" s="62"/>
      <c r="G801" s="62"/>
      <c r="H801" s="62"/>
      <c r="I801" s="62"/>
      <c r="J801" s="62"/>
      <c r="K801" s="53"/>
      <c r="L801" s="62"/>
      <c r="M801" s="63"/>
      <c r="N801" s="63"/>
      <c r="O801" s="63"/>
      <c r="P801" s="63"/>
      <c r="Q801" s="63"/>
      <c r="R801" s="63"/>
      <c r="S801" s="63"/>
      <c r="T801" s="63"/>
      <c r="U801" s="63"/>
      <c r="V801" s="63"/>
      <c r="W801" s="63"/>
      <c r="X801" s="63"/>
      <c r="Y801" s="63"/>
      <c r="Z801" s="63"/>
      <c r="AA801" s="63"/>
      <c r="AB801" s="63"/>
      <c r="AC801" s="63"/>
    </row>
    <row r="802" spans="1:29">
      <c r="A802" s="62"/>
      <c r="B802" s="62"/>
      <c r="C802" s="62"/>
      <c r="D802" s="62"/>
      <c r="E802" s="62"/>
      <c r="F802" s="62"/>
      <c r="G802" s="62"/>
      <c r="H802" s="62"/>
      <c r="I802" s="62"/>
      <c r="J802" s="62"/>
      <c r="K802" s="53"/>
      <c r="L802" s="62"/>
      <c r="M802" s="63"/>
      <c r="N802" s="63"/>
      <c r="O802" s="63"/>
      <c r="P802" s="63"/>
      <c r="Q802" s="63"/>
      <c r="R802" s="63"/>
      <c r="S802" s="63"/>
      <c r="T802" s="63"/>
      <c r="U802" s="63"/>
      <c r="V802" s="63"/>
      <c r="W802" s="63"/>
      <c r="X802" s="63"/>
      <c r="Y802" s="63"/>
      <c r="Z802" s="63"/>
      <c r="AA802" s="63"/>
      <c r="AB802" s="63"/>
      <c r="AC802" s="63"/>
    </row>
    <row r="803" spans="1:29">
      <c r="A803" s="62"/>
      <c r="B803" s="62"/>
      <c r="C803" s="62"/>
      <c r="D803" s="62"/>
      <c r="E803" s="62"/>
      <c r="F803" s="62"/>
      <c r="G803" s="62"/>
      <c r="H803" s="62"/>
      <c r="I803" s="62"/>
      <c r="J803" s="62"/>
      <c r="K803" s="53"/>
      <c r="L803" s="62"/>
      <c r="M803" s="63"/>
      <c r="N803" s="63"/>
      <c r="O803" s="63"/>
      <c r="P803" s="63"/>
      <c r="Q803" s="63"/>
      <c r="R803" s="63"/>
      <c r="S803" s="63"/>
      <c r="T803" s="63"/>
      <c r="U803" s="63"/>
      <c r="V803" s="63"/>
      <c r="W803" s="63"/>
      <c r="X803" s="63"/>
      <c r="Y803" s="63"/>
      <c r="Z803" s="63"/>
      <c r="AA803" s="63"/>
      <c r="AB803" s="63"/>
      <c r="AC803" s="63"/>
    </row>
    <row r="804" spans="1:29">
      <c r="A804" s="62"/>
      <c r="B804" s="62"/>
      <c r="C804" s="62"/>
      <c r="D804" s="62"/>
      <c r="E804" s="62"/>
      <c r="F804" s="62"/>
      <c r="G804" s="62"/>
      <c r="H804" s="62"/>
      <c r="I804" s="62"/>
      <c r="J804" s="62"/>
      <c r="K804" s="53"/>
      <c r="L804" s="62"/>
      <c r="M804" s="63"/>
      <c r="N804" s="63"/>
      <c r="O804" s="63"/>
      <c r="P804" s="63"/>
      <c r="Q804" s="63"/>
      <c r="R804" s="63"/>
      <c r="S804" s="63"/>
      <c r="T804" s="63"/>
      <c r="U804" s="63"/>
      <c r="V804" s="63"/>
      <c r="W804" s="63"/>
      <c r="X804" s="63"/>
      <c r="Y804" s="63"/>
      <c r="Z804" s="63"/>
      <c r="AA804" s="63"/>
      <c r="AB804" s="63"/>
      <c r="AC804" s="63"/>
    </row>
    <row r="805" spans="1:29">
      <c r="A805" s="62"/>
      <c r="B805" s="62"/>
      <c r="C805" s="62"/>
      <c r="D805" s="62"/>
      <c r="E805" s="62"/>
      <c r="F805" s="62"/>
      <c r="G805" s="62"/>
      <c r="H805" s="62"/>
      <c r="I805" s="62"/>
      <c r="J805" s="62"/>
      <c r="K805" s="53"/>
      <c r="L805" s="62"/>
      <c r="M805" s="63"/>
      <c r="N805" s="63"/>
      <c r="O805" s="63"/>
      <c r="P805" s="63"/>
      <c r="Q805" s="63"/>
      <c r="R805" s="63"/>
      <c r="S805" s="63"/>
      <c r="T805" s="63"/>
      <c r="U805" s="63"/>
      <c r="V805" s="63"/>
      <c r="W805" s="63"/>
      <c r="X805" s="63"/>
      <c r="Y805" s="63"/>
      <c r="Z805" s="63"/>
      <c r="AA805" s="63"/>
      <c r="AB805" s="63"/>
      <c r="AC805" s="63"/>
    </row>
    <row r="806" spans="1:29">
      <c r="A806" s="62"/>
      <c r="B806" s="62"/>
      <c r="C806" s="62"/>
      <c r="D806" s="62"/>
      <c r="E806" s="62"/>
      <c r="F806" s="62"/>
      <c r="G806" s="62"/>
      <c r="H806" s="62"/>
      <c r="I806" s="62"/>
      <c r="J806" s="62"/>
      <c r="K806" s="53"/>
      <c r="L806" s="62"/>
      <c r="M806" s="63"/>
      <c r="N806" s="63"/>
      <c r="O806" s="63"/>
      <c r="P806" s="63"/>
      <c r="Q806" s="63"/>
      <c r="R806" s="63"/>
      <c r="S806" s="63"/>
      <c r="T806" s="63"/>
      <c r="U806" s="63"/>
      <c r="V806" s="63"/>
      <c r="W806" s="63"/>
      <c r="X806" s="63"/>
      <c r="Y806" s="63"/>
      <c r="Z806" s="63"/>
      <c r="AA806" s="63"/>
      <c r="AB806" s="63"/>
      <c r="AC806" s="63"/>
    </row>
    <row r="807" spans="1:29">
      <c r="A807" s="62"/>
      <c r="B807" s="62"/>
      <c r="C807" s="62"/>
      <c r="D807" s="62"/>
      <c r="E807" s="62"/>
      <c r="F807" s="62"/>
      <c r="G807" s="62"/>
      <c r="H807" s="62"/>
      <c r="I807" s="62"/>
      <c r="J807" s="62"/>
      <c r="K807" s="53"/>
      <c r="L807" s="62"/>
      <c r="M807" s="63"/>
      <c r="N807" s="63"/>
      <c r="O807" s="63"/>
      <c r="P807" s="63"/>
      <c r="Q807" s="63"/>
      <c r="R807" s="63"/>
      <c r="S807" s="63"/>
      <c r="T807" s="63"/>
      <c r="U807" s="63"/>
      <c r="V807" s="63"/>
      <c r="W807" s="63"/>
      <c r="X807" s="63"/>
      <c r="Y807" s="63"/>
      <c r="Z807" s="63"/>
      <c r="AA807" s="63"/>
      <c r="AB807" s="63"/>
      <c r="AC807" s="63"/>
    </row>
    <row r="808" spans="1:29">
      <c r="A808" s="62"/>
      <c r="B808" s="62"/>
      <c r="C808" s="62"/>
      <c r="D808" s="62"/>
      <c r="E808" s="62"/>
      <c r="F808" s="62"/>
      <c r="G808" s="62"/>
      <c r="H808" s="62"/>
      <c r="I808" s="62"/>
      <c r="J808" s="62"/>
      <c r="K808" s="53"/>
      <c r="L808" s="62"/>
      <c r="M808" s="63"/>
      <c r="N808" s="63"/>
      <c r="O808" s="63"/>
      <c r="P808" s="63"/>
      <c r="Q808" s="63"/>
      <c r="R808" s="63"/>
      <c r="S808" s="63"/>
      <c r="T808" s="63"/>
      <c r="U808" s="63"/>
      <c r="V808" s="63"/>
      <c r="W808" s="63"/>
      <c r="X808" s="63"/>
      <c r="Y808" s="63"/>
      <c r="Z808" s="63"/>
      <c r="AA808" s="63"/>
      <c r="AB808" s="63"/>
      <c r="AC808" s="63"/>
    </row>
    <row r="809" spans="1:29">
      <c r="A809" s="62"/>
      <c r="B809" s="62"/>
      <c r="C809" s="62"/>
      <c r="D809" s="62"/>
      <c r="E809" s="62"/>
      <c r="F809" s="62"/>
      <c r="G809" s="62"/>
      <c r="H809" s="62"/>
      <c r="I809" s="62"/>
      <c r="J809" s="62"/>
      <c r="K809" s="53"/>
      <c r="L809" s="62"/>
      <c r="M809" s="63"/>
      <c r="N809" s="63"/>
      <c r="O809" s="63"/>
      <c r="P809" s="63"/>
      <c r="Q809" s="63"/>
      <c r="R809" s="63"/>
      <c r="S809" s="63"/>
      <c r="T809" s="63"/>
      <c r="U809" s="63"/>
      <c r="V809" s="63"/>
      <c r="W809" s="63"/>
      <c r="X809" s="63"/>
      <c r="Y809" s="63"/>
      <c r="Z809" s="63"/>
      <c r="AA809" s="63"/>
      <c r="AB809" s="63"/>
      <c r="AC809" s="63"/>
    </row>
    <row r="810" spans="1:29">
      <c r="A810" s="62"/>
      <c r="B810" s="62"/>
      <c r="C810" s="62"/>
      <c r="D810" s="62"/>
      <c r="E810" s="62"/>
      <c r="F810" s="62"/>
      <c r="G810" s="62"/>
      <c r="H810" s="62"/>
      <c r="I810" s="62"/>
      <c r="J810" s="62"/>
      <c r="K810" s="53"/>
      <c r="L810" s="62"/>
      <c r="M810" s="63"/>
      <c r="N810" s="63"/>
      <c r="O810" s="63"/>
      <c r="P810" s="63"/>
      <c r="Q810" s="63"/>
      <c r="R810" s="63"/>
      <c r="S810" s="63"/>
      <c r="T810" s="63"/>
      <c r="U810" s="63"/>
      <c r="V810" s="63"/>
      <c r="W810" s="63"/>
      <c r="X810" s="63"/>
      <c r="Y810" s="63"/>
      <c r="Z810" s="63"/>
      <c r="AA810" s="63"/>
      <c r="AB810" s="63"/>
      <c r="AC810" s="63"/>
    </row>
    <row r="811" spans="1:29">
      <c r="A811" s="62"/>
      <c r="B811" s="62"/>
      <c r="C811" s="62"/>
      <c r="D811" s="62"/>
      <c r="E811" s="62"/>
      <c r="F811" s="62"/>
      <c r="G811" s="62"/>
      <c r="H811" s="62"/>
      <c r="I811" s="62"/>
      <c r="J811" s="62"/>
      <c r="K811" s="53"/>
      <c r="L811" s="62"/>
      <c r="M811" s="63"/>
      <c r="N811" s="63"/>
      <c r="O811" s="63"/>
      <c r="P811" s="63"/>
      <c r="Q811" s="63"/>
      <c r="R811" s="63"/>
      <c r="S811" s="63"/>
      <c r="T811" s="63"/>
      <c r="U811" s="63"/>
      <c r="V811" s="63"/>
      <c r="W811" s="63"/>
      <c r="X811" s="63"/>
      <c r="Y811" s="63"/>
      <c r="Z811" s="63"/>
      <c r="AA811" s="63"/>
      <c r="AB811" s="63"/>
      <c r="AC811" s="63"/>
    </row>
    <row r="812" spans="1:29">
      <c r="A812" s="62"/>
      <c r="B812" s="62"/>
      <c r="C812" s="62"/>
      <c r="D812" s="62"/>
      <c r="E812" s="62"/>
      <c r="F812" s="62"/>
      <c r="G812" s="62"/>
      <c r="H812" s="62"/>
      <c r="I812" s="62"/>
      <c r="J812" s="62"/>
      <c r="K812" s="53"/>
      <c r="L812" s="62"/>
      <c r="M812" s="63"/>
      <c r="N812" s="63"/>
      <c r="O812" s="63"/>
      <c r="P812" s="63"/>
      <c r="Q812" s="63"/>
      <c r="R812" s="63"/>
      <c r="S812" s="63"/>
      <c r="T812" s="63"/>
      <c r="U812" s="63"/>
      <c r="V812" s="63"/>
      <c r="W812" s="63"/>
      <c r="X812" s="63"/>
      <c r="Y812" s="63"/>
      <c r="Z812" s="63"/>
      <c r="AA812" s="63"/>
      <c r="AB812" s="63"/>
      <c r="AC812" s="63"/>
    </row>
    <row r="813" spans="1:29">
      <c r="A813" s="62"/>
      <c r="B813" s="62"/>
      <c r="C813" s="62"/>
      <c r="D813" s="62"/>
      <c r="E813" s="62"/>
      <c r="F813" s="62"/>
      <c r="G813" s="62"/>
      <c r="H813" s="62"/>
      <c r="I813" s="62"/>
      <c r="J813" s="62"/>
      <c r="K813" s="53"/>
      <c r="L813" s="62"/>
      <c r="M813" s="63"/>
      <c r="N813" s="63"/>
      <c r="O813" s="63"/>
      <c r="P813" s="63"/>
      <c r="Q813" s="63"/>
      <c r="R813" s="63"/>
      <c r="S813" s="63"/>
      <c r="T813" s="63"/>
      <c r="U813" s="63"/>
      <c r="V813" s="63"/>
      <c r="W813" s="63"/>
      <c r="X813" s="63"/>
      <c r="Y813" s="63"/>
      <c r="Z813" s="63"/>
      <c r="AA813" s="63"/>
      <c r="AB813" s="63"/>
      <c r="AC813" s="63"/>
    </row>
    <row r="814" spans="1:29">
      <c r="A814" s="62"/>
      <c r="B814" s="62"/>
      <c r="C814" s="62"/>
      <c r="D814" s="62"/>
      <c r="E814" s="62"/>
      <c r="F814" s="62"/>
      <c r="G814" s="62"/>
      <c r="H814" s="62"/>
      <c r="I814" s="62"/>
      <c r="J814" s="62"/>
      <c r="K814" s="53"/>
      <c r="L814" s="62"/>
      <c r="M814" s="63"/>
      <c r="N814" s="63"/>
      <c r="O814" s="63"/>
      <c r="P814" s="63"/>
      <c r="Q814" s="63"/>
      <c r="R814" s="63"/>
      <c r="S814" s="63"/>
      <c r="T814" s="63"/>
      <c r="U814" s="63"/>
      <c r="V814" s="63"/>
      <c r="W814" s="63"/>
      <c r="X814" s="63"/>
      <c r="Y814" s="63"/>
      <c r="Z814" s="63"/>
      <c r="AA814" s="63"/>
      <c r="AB814" s="63"/>
      <c r="AC814" s="63"/>
    </row>
    <row r="815" spans="1:29">
      <c r="A815" s="62"/>
      <c r="B815" s="62"/>
      <c r="C815" s="62"/>
      <c r="D815" s="62"/>
      <c r="E815" s="62"/>
      <c r="F815" s="62"/>
      <c r="G815" s="62"/>
      <c r="H815" s="62"/>
      <c r="I815" s="62"/>
      <c r="J815" s="62"/>
      <c r="K815" s="53"/>
      <c r="L815" s="62"/>
      <c r="M815" s="63"/>
      <c r="N815" s="63"/>
      <c r="O815" s="63"/>
      <c r="P815" s="63"/>
      <c r="Q815" s="63"/>
      <c r="R815" s="63"/>
      <c r="S815" s="63"/>
      <c r="T815" s="63"/>
      <c r="U815" s="63"/>
      <c r="V815" s="63"/>
      <c r="W815" s="63"/>
      <c r="X815" s="63"/>
      <c r="Y815" s="63"/>
      <c r="Z815" s="63"/>
      <c r="AA815" s="63"/>
      <c r="AB815" s="63"/>
      <c r="AC815" s="63"/>
    </row>
    <row r="816" spans="1:29">
      <c r="A816" s="62"/>
      <c r="B816" s="62"/>
      <c r="C816" s="62"/>
      <c r="D816" s="62"/>
      <c r="E816" s="62"/>
      <c r="F816" s="62"/>
      <c r="G816" s="62"/>
      <c r="H816" s="62"/>
      <c r="I816" s="62"/>
      <c r="J816" s="62"/>
      <c r="K816" s="53"/>
      <c r="L816" s="62"/>
      <c r="M816" s="63"/>
      <c r="N816" s="63"/>
      <c r="O816" s="63"/>
      <c r="P816" s="63"/>
      <c r="Q816" s="63"/>
      <c r="R816" s="63"/>
      <c r="S816" s="63"/>
      <c r="T816" s="63"/>
      <c r="U816" s="63"/>
      <c r="V816" s="63"/>
      <c r="W816" s="63"/>
      <c r="X816" s="63"/>
      <c r="Y816" s="63"/>
      <c r="Z816" s="63"/>
      <c r="AA816" s="63"/>
      <c r="AB816" s="63"/>
      <c r="AC816" s="63"/>
    </row>
    <row r="817" spans="1:29">
      <c r="A817" s="62"/>
      <c r="B817" s="62"/>
      <c r="C817" s="62"/>
      <c r="D817" s="62"/>
      <c r="E817" s="62"/>
      <c r="F817" s="62"/>
      <c r="G817" s="62"/>
      <c r="H817" s="62"/>
      <c r="I817" s="62"/>
      <c r="J817" s="62"/>
      <c r="K817" s="53"/>
      <c r="L817" s="62"/>
      <c r="M817" s="63"/>
      <c r="N817" s="63"/>
      <c r="O817" s="63"/>
      <c r="P817" s="63"/>
      <c r="Q817" s="63"/>
      <c r="R817" s="63"/>
      <c r="S817" s="63"/>
      <c r="T817" s="63"/>
      <c r="U817" s="63"/>
      <c r="V817" s="63"/>
      <c r="W817" s="63"/>
      <c r="X817" s="63"/>
      <c r="Y817" s="63"/>
      <c r="Z817" s="63"/>
      <c r="AA817" s="63"/>
      <c r="AB817" s="63"/>
      <c r="AC817" s="63"/>
    </row>
    <row r="818" spans="1:29">
      <c r="A818" s="62"/>
      <c r="B818" s="62"/>
      <c r="C818" s="62"/>
      <c r="D818" s="62"/>
      <c r="E818" s="62"/>
      <c r="F818" s="62"/>
      <c r="G818" s="62"/>
      <c r="H818" s="62"/>
      <c r="I818" s="62"/>
      <c r="J818" s="62"/>
      <c r="K818" s="53"/>
      <c r="L818" s="62"/>
      <c r="M818" s="63"/>
      <c r="N818" s="63"/>
      <c r="O818" s="63"/>
      <c r="P818" s="63"/>
      <c r="Q818" s="63"/>
      <c r="R818" s="63"/>
      <c r="S818" s="63"/>
      <c r="T818" s="63"/>
      <c r="U818" s="63"/>
      <c r="V818" s="63"/>
      <c r="W818" s="63"/>
      <c r="X818" s="63"/>
      <c r="Y818" s="63"/>
      <c r="Z818" s="63"/>
      <c r="AA818" s="63"/>
      <c r="AB818" s="63"/>
      <c r="AC818" s="63"/>
    </row>
    <row r="819" spans="1:29">
      <c r="A819" s="62"/>
      <c r="B819" s="62"/>
      <c r="C819" s="62"/>
      <c r="D819" s="62"/>
      <c r="E819" s="62"/>
      <c r="F819" s="62"/>
      <c r="G819" s="62"/>
      <c r="H819" s="62"/>
      <c r="I819" s="62"/>
      <c r="J819" s="62"/>
      <c r="K819" s="53"/>
      <c r="L819" s="62"/>
      <c r="M819" s="63"/>
      <c r="N819" s="63"/>
      <c r="O819" s="63"/>
      <c r="P819" s="63"/>
      <c r="Q819" s="63"/>
      <c r="R819" s="63"/>
      <c r="S819" s="63"/>
      <c r="T819" s="63"/>
      <c r="U819" s="63"/>
      <c r="V819" s="63"/>
      <c r="W819" s="63"/>
      <c r="X819" s="63"/>
      <c r="Y819" s="63"/>
      <c r="Z819" s="63"/>
      <c r="AA819" s="63"/>
      <c r="AB819" s="63"/>
      <c r="AC819" s="63"/>
    </row>
    <row r="820" spans="1:29">
      <c r="A820" s="62"/>
      <c r="B820" s="62"/>
      <c r="C820" s="62"/>
      <c r="D820" s="62"/>
      <c r="E820" s="62"/>
      <c r="F820" s="62"/>
      <c r="G820" s="62"/>
      <c r="H820" s="62"/>
      <c r="I820" s="62"/>
      <c r="J820" s="62"/>
      <c r="K820" s="53"/>
      <c r="L820" s="62"/>
      <c r="M820" s="63"/>
      <c r="N820" s="63"/>
      <c r="O820" s="63"/>
      <c r="P820" s="63"/>
      <c r="Q820" s="63"/>
      <c r="R820" s="63"/>
      <c r="S820" s="63"/>
      <c r="T820" s="63"/>
      <c r="U820" s="63"/>
      <c r="V820" s="63"/>
      <c r="W820" s="63"/>
      <c r="X820" s="63"/>
      <c r="Y820" s="63"/>
      <c r="Z820" s="63"/>
      <c r="AA820" s="63"/>
      <c r="AB820" s="63"/>
      <c r="AC820" s="63"/>
    </row>
    <row r="821" spans="1:29">
      <c r="A821" s="62"/>
      <c r="B821" s="62"/>
      <c r="C821" s="62"/>
      <c r="D821" s="62"/>
      <c r="E821" s="62"/>
      <c r="F821" s="62"/>
      <c r="G821" s="62"/>
      <c r="H821" s="62"/>
      <c r="I821" s="62"/>
      <c r="J821" s="62"/>
      <c r="K821" s="53"/>
      <c r="L821" s="62"/>
      <c r="M821" s="63"/>
      <c r="N821" s="63"/>
      <c r="O821" s="63"/>
      <c r="P821" s="63"/>
      <c r="Q821" s="63"/>
      <c r="R821" s="63"/>
      <c r="S821" s="63"/>
      <c r="T821" s="63"/>
      <c r="U821" s="63"/>
      <c r="V821" s="63"/>
      <c r="W821" s="63"/>
      <c r="X821" s="63"/>
      <c r="Y821" s="63"/>
      <c r="Z821" s="63"/>
      <c r="AA821" s="63"/>
      <c r="AB821" s="63"/>
      <c r="AC821" s="63"/>
    </row>
    <row r="822" spans="1:29">
      <c r="A822" s="62"/>
      <c r="B822" s="62"/>
      <c r="C822" s="62"/>
      <c r="D822" s="62"/>
      <c r="E822" s="62"/>
      <c r="F822" s="62"/>
      <c r="G822" s="62"/>
      <c r="H822" s="62"/>
      <c r="I822" s="62"/>
      <c r="J822" s="62"/>
      <c r="K822" s="53"/>
      <c r="L822" s="62"/>
      <c r="M822" s="63"/>
      <c r="N822" s="63"/>
      <c r="O822" s="63"/>
      <c r="P822" s="63"/>
      <c r="Q822" s="63"/>
      <c r="R822" s="63"/>
      <c r="S822" s="63"/>
      <c r="T822" s="63"/>
      <c r="U822" s="63"/>
      <c r="V822" s="63"/>
      <c r="W822" s="63"/>
      <c r="X822" s="63"/>
      <c r="Y822" s="63"/>
      <c r="Z822" s="63"/>
      <c r="AA822" s="63"/>
      <c r="AB822" s="63"/>
      <c r="AC822" s="63"/>
    </row>
    <row r="823" spans="1:29">
      <c r="A823" s="62"/>
      <c r="B823" s="62"/>
      <c r="C823" s="62"/>
      <c r="D823" s="62"/>
      <c r="E823" s="62"/>
      <c r="F823" s="62"/>
      <c r="G823" s="62"/>
      <c r="H823" s="62"/>
      <c r="I823" s="62"/>
      <c r="J823" s="62"/>
      <c r="K823" s="53"/>
      <c r="L823" s="62"/>
      <c r="M823" s="63"/>
      <c r="N823" s="63"/>
      <c r="O823" s="63"/>
      <c r="P823" s="63"/>
      <c r="Q823" s="63"/>
      <c r="R823" s="63"/>
      <c r="S823" s="63"/>
      <c r="T823" s="63"/>
      <c r="U823" s="63"/>
      <c r="V823" s="63"/>
      <c r="W823" s="63"/>
      <c r="X823" s="63"/>
      <c r="Y823" s="63"/>
      <c r="Z823" s="63"/>
      <c r="AA823" s="63"/>
      <c r="AB823" s="63"/>
      <c r="AC823" s="63"/>
    </row>
    <row r="824" spans="1:29">
      <c r="A824" s="62"/>
      <c r="B824" s="62"/>
      <c r="C824" s="62"/>
      <c r="D824" s="62"/>
      <c r="E824" s="62"/>
      <c r="F824" s="62"/>
      <c r="G824" s="62"/>
      <c r="H824" s="62"/>
      <c r="I824" s="62"/>
      <c r="J824" s="62"/>
      <c r="K824" s="53"/>
      <c r="L824" s="62"/>
      <c r="M824" s="63"/>
      <c r="N824" s="63"/>
      <c r="O824" s="63"/>
      <c r="P824" s="63"/>
      <c r="Q824" s="63"/>
      <c r="R824" s="63"/>
      <c r="S824" s="63"/>
      <c r="T824" s="63"/>
      <c r="U824" s="63"/>
      <c r="V824" s="63"/>
      <c r="W824" s="63"/>
      <c r="X824" s="63"/>
      <c r="Y824" s="63"/>
      <c r="Z824" s="63"/>
      <c r="AA824" s="63"/>
      <c r="AB824" s="63"/>
      <c r="AC824" s="63"/>
    </row>
    <row r="825" spans="1:29">
      <c r="A825" s="62"/>
      <c r="B825" s="62"/>
      <c r="C825" s="62"/>
      <c r="D825" s="62"/>
      <c r="E825" s="62"/>
      <c r="F825" s="62"/>
      <c r="G825" s="62"/>
      <c r="H825" s="62"/>
      <c r="I825" s="62"/>
      <c r="J825" s="62"/>
      <c r="K825" s="53"/>
      <c r="L825" s="62"/>
      <c r="M825" s="63"/>
      <c r="N825" s="63"/>
      <c r="O825" s="63"/>
      <c r="P825" s="63"/>
      <c r="Q825" s="63"/>
      <c r="R825" s="63"/>
      <c r="S825" s="63"/>
      <c r="T825" s="63"/>
      <c r="U825" s="63"/>
      <c r="V825" s="63"/>
      <c r="W825" s="63"/>
      <c r="X825" s="63"/>
      <c r="Y825" s="63"/>
      <c r="Z825" s="63"/>
      <c r="AA825" s="63"/>
      <c r="AB825" s="63"/>
      <c r="AC825" s="63"/>
    </row>
    <row r="826" spans="1:29">
      <c r="A826" s="62"/>
      <c r="B826" s="62"/>
      <c r="C826" s="62"/>
      <c r="D826" s="62"/>
      <c r="E826" s="62"/>
      <c r="F826" s="62"/>
      <c r="G826" s="62"/>
      <c r="H826" s="62"/>
      <c r="I826" s="62"/>
      <c r="J826" s="62"/>
      <c r="K826" s="53"/>
      <c r="L826" s="62"/>
      <c r="M826" s="63"/>
      <c r="N826" s="63"/>
      <c r="O826" s="63"/>
      <c r="P826" s="63"/>
      <c r="Q826" s="63"/>
      <c r="R826" s="63"/>
      <c r="S826" s="63"/>
      <c r="T826" s="63"/>
      <c r="U826" s="63"/>
      <c r="V826" s="63"/>
      <c r="W826" s="63"/>
      <c r="X826" s="63"/>
      <c r="Y826" s="63"/>
      <c r="Z826" s="63"/>
      <c r="AA826" s="63"/>
      <c r="AB826" s="63"/>
      <c r="AC826" s="63"/>
    </row>
    <row r="827" spans="1:29">
      <c r="A827" s="62"/>
      <c r="B827" s="62"/>
      <c r="C827" s="62"/>
      <c r="D827" s="62"/>
      <c r="E827" s="62"/>
      <c r="F827" s="62"/>
      <c r="G827" s="62"/>
      <c r="H827" s="62"/>
      <c r="I827" s="62"/>
      <c r="J827" s="62"/>
      <c r="K827" s="53"/>
      <c r="L827" s="62"/>
      <c r="M827" s="63"/>
      <c r="N827" s="63"/>
      <c r="O827" s="63"/>
      <c r="P827" s="63"/>
      <c r="Q827" s="63"/>
      <c r="R827" s="63"/>
      <c r="S827" s="63"/>
      <c r="T827" s="63"/>
      <c r="U827" s="63"/>
      <c r="V827" s="63"/>
      <c r="W827" s="63"/>
      <c r="X827" s="63"/>
      <c r="Y827" s="63"/>
      <c r="Z827" s="63"/>
      <c r="AA827" s="63"/>
      <c r="AB827" s="63"/>
      <c r="AC827" s="63"/>
    </row>
    <row r="828" spans="1:29">
      <c r="A828" s="62"/>
      <c r="B828" s="62"/>
      <c r="C828" s="62"/>
      <c r="D828" s="62"/>
      <c r="E828" s="62"/>
      <c r="F828" s="62"/>
      <c r="G828" s="62"/>
      <c r="H828" s="62"/>
      <c r="I828" s="62"/>
      <c r="J828" s="62"/>
      <c r="K828" s="53"/>
      <c r="L828" s="62"/>
      <c r="M828" s="63"/>
      <c r="N828" s="63"/>
      <c r="O828" s="63"/>
      <c r="P828" s="63"/>
      <c r="Q828" s="63"/>
      <c r="R828" s="63"/>
      <c r="S828" s="63"/>
      <c r="T828" s="63"/>
      <c r="U828" s="63"/>
      <c r="V828" s="63"/>
      <c r="W828" s="63"/>
      <c r="X828" s="63"/>
      <c r="Y828" s="63"/>
      <c r="Z828" s="63"/>
      <c r="AA828" s="63"/>
      <c r="AB828" s="63"/>
      <c r="AC828" s="63"/>
    </row>
    <row r="829" spans="1:29">
      <c r="A829" s="62"/>
      <c r="B829" s="62"/>
      <c r="C829" s="62"/>
      <c r="D829" s="62"/>
      <c r="E829" s="62"/>
      <c r="F829" s="62"/>
      <c r="G829" s="62"/>
      <c r="H829" s="62"/>
      <c r="I829" s="62"/>
      <c r="J829" s="62"/>
      <c r="K829" s="53"/>
      <c r="L829" s="62"/>
      <c r="M829" s="63"/>
      <c r="N829" s="63"/>
      <c r="O829" s="63"/>
      <c r="P829" s="63"/>
      <c r="Q829" s="63"/>
      <c r="R829" s="63"/>
      <c r="S829" s="63"/>
      <c r="T829" s="63"/>
      <c r="U829" s="63"/>
      <c r="V829" s="63"/>
      <c r="W829" s="63"/>
      <c r="X829" s="63"/>
      <c r="Y829" s="63"/>
      <c r="Z829" s="63"/>
      <c r="AA829" s="63"/>
      <c r="AB829" s="63"/>
      <c r="AC829" s="63"/>
    </row>
    <row r="830" spans="1:29">
      <c r="A830" s="62"/>
      <c r="B830" s="62"/>
      <c r="C830" s="62"/>
      <c r="D830" s="62"/>
      <c r="E830" s="62"/>
      <c r="F830" s="62"/>
      <c r="G830" s="62"/>
      <c r="H830" s="62"/>
      <c r="I830" s="62"/>
      <c r="J830" s="62"/>
      <c r="K830" s="53"/>
      <c r="L830" s="62"/>
      <c r="M830" s="63"/>
      <c r="N830" s="63"/>
      <c r="O830" s="63"/>
      <c r="P830" s="63"/>
      <c r="Q830" s="63"/>
      <c r="R830" s="63"/>
      <c r="S830" s="63"/>
      <c r="T830" s="63"/>
      <c r="U830" s="63"/>
      <c r="V830" s="63"/>
      <c r="W830" s="63"/>
      <c r="X830" s="63"/>
      <c r="Y830" s="63"/>
      <c r="Z830" s="63"/>
      <c r="AA830" s="63"/>
      <c r="AB830" s="63"/>
      <c r="AC830" s="63"/>
    </row>
    <row r="831" spans="1:29">
      <c r="A831" s="62"/>
      <c r="B831" s="62"/>
      <c r="C831" s="62"/>
      <c r="D831" s="62"/>
      <c r="E831" s="62"/>
      <c r="F831" s="62"/>
      <c r="G831" s="62"/>
      <c r="H831" s="62"/>
      <c r="I831" s="62"/>
      <c r="J831" s="62"/>
      <c r="K831" s="53"/>
      <c r="L831" s="62"/>
      <c r="M831" s="63"/>
      <c r="N831" s="63"/>
      <c r="O831" s="63"/>
      <c r="P831" s="63"/>
      <c r="Q831" s="63"/>
      <c r="R831" s="63"/>
      <c r="S831" s="63"/>
      <c r="T831" s="63"/>
      <c r="U831" s="63"/>
      <c r="V831" s="63"/>
      <c r="W831" s="63"/>
      <c r="X831" s="63"/>
      <c r="Y831" s="63"/>
      <c r="Z831" s="63"/>
      <c r="AA831" s="63"/>
      <c r="AB831" s="63"/>
      <c r="AC831" s="63"/>
    </row>
    <row r="832" spans="1:29">
      <c r="A832" s="62"/>
      <c r="B832" s="62"/>
      <c r="C832" s="62"/>
      <c r="D832" s="62"/>
      <c r="E832" s="62"/>
      <c r="F832" s="62"/>
      <c r="G832" s="62"/>
      <c r="H832" s="62"/>
      <c r="I832" s="62"/>
      <c r="J832" s="62"/>
      <c r="K832" s="53"/>
      <c r="L832" s="62"/>
      <c r="M832" s="63"/>
      <c r="N832" s="63"/>
      <c r="O832" s="63"/>
      <c r="P832" s="63"/>
      <c r="Q832" s="63"/>
      <c r="R832" s="63"/>
      <c r="S832" s="63"/>
      <c r="T832" s="63"/>
      <c r="U832" s="63"/>
      <c r="V832" s="63"/>
      <c r="W832" s="63"/>
      <c r="X832" s="63"/>
      <c r="Y832" s="63"/>
      <c r="Z832" s="63"/>
      <c r="AA832" s="63"/>
      <c r="AB832" s="63"/>
      <c r="AC832" s="63"/>
    </row>
    <row r="833" spans="1:29">
      <c r="A833" s="62"/>
      <c r="B833" s="62"/>
      <c r="C833" s="62"/>
      <c r="D833" s="62"/>
      <c r="E833" s="62"/>
      <c r="F833" s="62"/>
      <c r="G833" s="62"/>
      <c r="H833" s="62"/>
      <c r="I833" s="62"/>
      <c r="J833" s="62"/>
      <c r="K833" s="53"/>
      <c r="L833" s="62"/>
      <c r="M833" s="63"/>
      <c r="N833" s="63"/>
      <c r="O833" s="63"/>
      <c r="P833" s="63"/>
      <c r="Q833" s="63"/>
      <c r="R833" s="63"/>
      <c r="S833" s="63"/>
      <c r="T833" s="63"/>
      <c r="U833" s="63"/>
      <c r="V833" s="63"/>
      <c r="W833" s="63"/>
      <c r="X833" s="63"/>
      <c r="Y833" s="63"/>
      <c r="Z833" s="63"/>
      <c r="AA833" s="63"/>
      <c r="AB833" s="63"/>
      <c r="AC833" s="63"/>
    </row>
    <row r="834" spans="1:29">
      <c r="A834" s="62"/>
      <c r="B834" s="62"/>
      <c r="C834" s="62"/>
      <c r="D834" s="62"/>
      <c r="E834" s="62"/>
      <c r="F834" s="62"/>
      <c r="G834" s="62"/>
      <c r="H834" s="62"/>
      <c r="I834" s="62"/>
      <c r="J834" s="62"/>
      <c r="K834" s="53"/>
      <c r="L834" s="62"/>
      <c r="M834" s="63"/>
      <c r="N834" s="63"/>
      <c r="O834" s="63"/>
      <c r="P834" s="63"/>
      <c r="Q834" s="63"/>
      <c r="R834" s="63"/>
      <c r="S834" s="63"/>
      <c r="T834" s="63"/>
      <c r="U834" s="63"/>
      <c r="V834" s="63"/>
      <c r="W834" s="63"/>
      <c r="X834" s="63"/>
      <c r="Y834" s="63"/>
      <c r="Z834" s="63"/>
      <c r="AA834" s="63"/>
      <c r="AB834" s="63"/>
      <c r="AC834" s="63"/>
    </row>
    <row r="835" spans="1:29">
      <c r="A835" s="62"/>
      <c r="B835" s="62"/>
      <c r="C835" s="62"/>
      <c r="D835" s="62"/>
      <c r="E835" s="62"/>
      <c r="F835" s="62"/>
      <c r="G835" s="62"/>
      <c r="H835" s="62"/>
      <c r="I835" s="62"/>
      <c r="J835" s="62"/>
      <c r="K835" s="53"/>
      <c r="L835" s="62"/>
      <c r="M835" s="63"/>
      <c r="N835" s="63"/>
      <c r="O835" s="63"/>
      <c r="P835" s="63"/>
      <c r="Q835" s="63"/>
      <c r="R835" s="63"/>
      <c r="S835" s="63"/>
      <c r="T835" s="63"/>
      <c r="U835" s="63"/>
      <c r="V835" s="63"/>
      <c r="W835" s="63"/>
      <c r="X835" s="63"/>
      <c r="Y835" s="63"/>
      <c r="Z835" s="63"/>
      <c r="AA835" s="63"/>
      <c r="AB835" s="63"/>
      <c r="AC835" s="63"/>
    </row>
    <row r="836" spans="1:29">
      <c r="A836" s="62"/>
      <c r="B836" s="62"/>
      <c r="C836" s="62"/>
      <c r="D836" s="62"/>
      <c r="E836" s="62"/>
      <c r="F836" s="62"/>
      <c r="G836" s="62"/>
      <c r="H836" s="62"/>
      <c r="I836" s="62"/>
      <c r="J836" s="62"/>
      <c r="K836" s="53"/>
      <c r="L836" s="62"/>
      <c r="M836" s="63"/>
      <c r="N836" s="63"/>
      <c r="O836" s="63"/>
      <c r="P836" s="63"/>
      <c r="Q836" s="63"/>
      <c r="R836" s="63"/>
      <c r="S836" s="63"/>
      <c r="T836" s="63"/>
      <c r="U836" s="63"/>
      <c r="V836" s="63"/>
      <c r="W836" s="63"/>
      <c r="X836" s="63"/>
      <c r="Y836" s="63"/>
      <c r="Z836" s="63"/>
      <c r="AA836" s="63"/>
      <c r="AB836" s="63"/>
      <c r="AC836" s="63"/>
    </row>
    <row r="837" spans="1:29">
      <c r="A837" s="62"/>
      <c r="B837" s="62"/>
      <c r="C837" s="62"/>
      <c r="D837" s="62"/>
      <c r="E837" s="62"/>
      <c r="F837" s="62"/>
      <c r="G837" s="62"/>
      <c r="H837" s="62"/>
      <c r="I837" s="62"/>
      <c r="J837" s="62"/>
      <c r="K837" s="53"/>
      <c r="L837" s="62"/>
      <c r="M837" s="63"/>
      <c r="N837" s="63"/>
      <c r="O837" s="63"/>
      <c r="P837" s="63"/>
      <c r="Q837" s="63"/>
      <c r="R837" s="63"/>
      <c r="S837" s="63"/>
      <c r="T837" s="63"/>
      <c r="U837" s="63"/>
      <c r="V837" s="63"/>
      <c r="W837" s="63"/>
      <c r="X837" s="63"/>
      <c r="Y837" s="63"/>
      <c r="Z837" s="63"/>
      <c r="AA837" s="63"/>
      <c r="AB837" s="63"/>
      <c r="AC837" s="63"/>
    </row>
    <row r="838" spans="1:29">
      <c r="A838" s="62"/>
      <c r="B838" s="62"/>
      <c r="C838" s="62"/>
      <c r="D838" s="62"/>
      <c r="E838" s="62"/>
      <c r="F838" s="62"/>
      <c r="G838" s="62"/>
      <c r="H838" s="62"/>
      <c r="I838" s="62"/>
      <c r="J838" s="62"/>
      <c r="K838" s="53"/>
      <c r="L838" s="62"/>
      <c r="M838" s="63"/>
      <c r="N838" s="63"/>
      <c r="O838" s="63"/>
      <c r="P838" s="63"/>
      <c r="Q838" s="63"/>
      <c r="R838" s="63"/>
      <c r="S838" s="63"/>
      <c r="T838" s="63"/>
      <c r="U838" s="63"/>
      <c r="V838" s="63"/>
      <c r="W838" s="63"/>
      <c r="X838" s="63"/>
      <c r="Y838" s="63"/>
      <c r="Z838" s="63"/>
      <c r="AA838" s="63"/>
      <c r="AB838" s="63"/>
      <c r="AC838" s="63"/>
    </row>
    <row r="839" spans="1:29">
      <c r="A839" s="62"/>
      <c r="B839" s="62"/>
      <c r="C839" s="62"/>
      <c r="D839" s="62"/>
      <c r="E839" s="62"/>
      <c r="F839" s="62"/>
      <c r="G839" s="62"/>
      <c r="H839" s="62"/>
      <c r="I839" s="62"/>
      <c r="J839" s="62"/>
      <c r="K839" s="53"/>
      <c r="L839" s="62"/>
      <c r="M839" s="63"/>
      <c r="N839" s="63"/>
      <c r="O839" s="63"/>
      <c r="P839" s="63"/>
      <c r="Q839" s="63"/>
      <c r="R839" s="63"/>
      <c r="S839" s="63"/>
      <c r="T839" s="63"/>
      <c r="U839" s="63"/>
      <c r="V839" s="63"/>
      <c r="W839" s="63"/>
      <c r="X839" s="63"/>
      <c r="Y839" s="63"/>
      <c r="Z839" s="63"/>
      <c r="AA839" s="63"/>
      <c r="AB839" s="63"/>
      <c r="AC839" s="63"/>
    </row>
    <row r="840" spans="1:29">
      <c r="A840" s="62"/>
      <c r="B840" s="62"/>
      <c r="C840" s="62"/>
      <c r="D840" s="62"/>
      <c r="E840" s="62"/>
      <c r="F840" s="62"/>
      <c r="G840" s="62"/>
      <c r="H840" s="62"/>
      <c r="I840" s="62"/>
      <c r="J840" s="62"/>
      <c r="K840" s="53"/>
      <c r="L840" s="62"/>
      <c r="M840" s="63"/>
      <c r="N840" s="63"/>
      <c r="O840" s="63"/>
      <c r="P840" s="63"/>
      <c r="Q840" s="63"/>
      <c r="R840" s="63"/>
      <c r="S840" s="63"/>
      <c r="T840" s="63"/>
      <c r="U840" s="63"/>
      <c r="V840" s="63"/>
      <c r="W840" s="63"/>
      <c r="X840" s="63"/>
      <c r="Y840" s="63"/>
      <c r="Z840" s="63"/>
      <c r="AA840" s="63"/>
      <c r="AB840" s="63"/>
      <c r="AC840" s="63"/>
    </row>
    <row r="841" spans="1:29">
      <c r="A841" s="62"/>
      <c r="B841" s="62"/>
      <c r="C841" s="62"/>
      <c r="D841" s="62"/>
      <c r="E841" s="62"/>
      <c r="F841" s="62"/>
      <c r="G841" s="62"/>
      <c r="H841" s="62"/>
      <c r="I841" s="62"/>
      <c r="J841" s="62"/>
      <c r="K841" s="53"/>
      <c r="L841" s="62"/>
      <c r="M841" s="63"/>
      <c r="N841" s="63"/>
      <c r="O841" s="63"/>
      <c r="P841" s="63"/>
      <c r="Q841" s="63"/>
      <c r="R841" s="63"/>
      <c r="S841" s="63"/>
      <c r="T841" s="63"/>
      <c r="U841" s="63"/>
      <c r="V841" s="63"/>
      <c r="W841" s="63"/>
      <c r="X841" s="63"/>
      <c r="Y841" s="63"/>
      <c r="Z841" s="63"/>
      <c r="AA841" s="63"/>
      <c r="AB841" s="63"/>
      <c r="AC841" s="63"/>
    </row>
    <row r="842" spans="1:29">
      <c r="A842" s="62"/>
      <c r="B842" s="62"/>
      <c r="C842" s="62"/>
      <c r="D842" s="62"/>
      <c r="E842" s="62"/>
      <c r="F842" s="62"/>
      <c r="G842" s="62"/>
      <c r="H842" s="62"/>
      <c r="I842" s="62"/>
      <c r="J842" s="62"/>
      <c r="K842" s="53"/>
      <c r="L842" s="62"/>
      <c r="M842" s="63"/>
      <c r="N842" s="63"/>
      <c r="O842" s="63"/>
      <c r="P842" s="63"/>
      <c r="Q842" s="63"/>
      <c r="R842" s="63"/>
      <c r="S842" s="63"/>
      <c r="T842" s="63"/>
      <c r="U842" s="63"/>
      <c r="V842" s="63"/>
      <c r="W842" s="63"/>
      <c r="X842" s="63"/>
      <c r="Y842" s="63"/>
      <c r="Z842" s="63"/>
      <c r="AA842" s="63"/>
      <c r="AB842" s="63"/>
      <c r="AC842" s="63"/>
    </row>
    <row r="843" spans="1:29">
      <c r="A843" s="62"/>
      <c r="B843" s="62"/>
      <c r="C843" s="62"/>
      <c r="D843" s="62"/>
      <c r="E843" s="62"/>
      <c r="F843" s="62"/>
      <c r="G843" s="62"/>
      <c r="H843" s="62"/>
      <c r="I843" s="62"/>
      <c r="J843" s="62"/>
      <c r="K843" s="53"/>
      <c r="L843" s="62"/>
      <c r="M843" s="63"/>
      <c r="N843" s="63"/>
      <c r="O843" s="63"/>
      <c r="P843" s="63"/>
      <c r="Q843" s="63"/>
      <c r="R843" s="63"/>
      <c r="S843" s="63"/>
      <c r="T843" s="63"/>
      <c r="U843" s="63"/>
      <c r="V843" s="63"/>
      <c r="W843" s="63"/>
      <c r="X843" s="63"/>
      <c r="Y843" s="63"/>
      <c r="Z843" s="63"/>
      <c r="AA843" s="63"/>
      <c r="AB843" s="63"/>
      <c r="AC843" s="63"/>
    </row>
    <row r="844" spans="1:29">
      <c r="A844" s="62"/>
      <c r="B844" s="62"/>
      <c r="C844" s="62"/>
      <c r="D844" s="62"/>
      <c r="E844" s="62"/>
      <c r="F844" s="62"/>
      <c r="G844" s="62"/>
      <c r="H844" s="62"/>
      <c r="I844" s="62"/>
      <c r="J844" s="62"/>
      <c r="K844" s="53"/>
      <c r="L844" s="62"/>
      <c r="M844" s="63"/>
      <c r="N844" s="63"/>
      <c r="O844" s="63"/>
      <c r="P844" s="63"/>
      <c r="Q844" s="63"/>
      <c r="R844" s="63"/>
      <c r="S844" s="63"/>
      <c r="T844" s="63"/>
      <c r="U844" s="63"/>
      <c r="V844" s="63"/>
      <c r="W844" s="63"/>
      <c r="X844" s="63"/>
      <c r="Y844" s="63"/>
      <c r="Z844" s="63"/>
      <c r="AA844" s="63"/>
      <c r="AB844" s="63"/>
      <c r="AC844" s="63"/>
    </row>
    <row r="845" spans="1:29">
      <c r="A845" s="62"/>
      <c r="B845" s="62"/>
      <c r="C845" s="62"/>
      <c r="D845" s="62"/>
      <c r="E845" s="62"/>
      <c r="F845" s="62"/>
      <c r="G845" s="62"/>
      <c r="H845" s="62"/>
      <c r="I845" s="62"/>
      <c r="J845" s="62"/>
      <c r="K845" s="53"/>
      <c r="L845" s="62"/>
      <c r="M845" s="63"/>
      <c r="N845" s="63"/>
      <c r="O845" s="63"/>
      <c r="P845" s="63"/>
      <c r="Q845" s="63"/>
      <c r="R845" s="63"/>
      <c r="S845" s="63"/>
      <c r="T845" s="63"/>
      <c r="U845" s="63"/>
      <c r="V845" s="63"/>
      <c r="W845" s="63"/>
      <c r="X845" s="63"/>
      <c r="Y845" s="63"/>
      <c r="Z845" s="63"/>
      <c r="AA845" s="63"/>
      <c r="AB845" s="63"/>
      <c r="AC845" s="63"/>
    </row>
    <row r="846" spans="1:29">
      <c r="A846" s="62"/>
      <c r="B846" s="62"/>
      <c r="C846" s="62"/>
      <c r="D846" s="62"/>
      <c r="E846" s="62"/>
      <c r="F846" s="62"/>
      <c r="G846" s="62"/>
      <c r="H846" s="62"/>
      <c r="I846" s="62"/>
      <c r="J846" s="62"/>
      <c r="K846" s="53"/>
      <c r="L846" s="62"/>
      <c r="M846" s="63"/>
      <c r="N846" s="63"/>
      <c r="O846" s="63"/>
      <c r="P846" s="63"/>
      <c r="Q846" s="63"/>
      <c r="R846" s="63"/>
      <c r="S846" s="63"/>
      <c r="T846" s="63"/>
      <c r="U846" s="63"/>
      <c r="V846" s="63"/>
      <c r="W846" s="63"/>
      <c r="X846" s="63"/>
      <c r="Y846" s="63"/>
      <c r="Z846" s="63"/>
      <c r="AA846" s="63"/>
      <c r="AB846" s="63"/>
      <c r="AC846" s="63"/>
    </row>
    <row r="847" spans="1:29">
      <c r="A847" s="62"/>
      <c r="B847" s="62"/>
      <c r="C847" s="62"/>
      <c r="D847" s="62"/>
      <c r="E847" s="62"/>
      <c r="F847" s="62"/>
      <c r="G847" s="62"/>
      <c r="H847" s="62"/>
      <c r="I847" s="62"/>
      <c r="J847" s="62"/>
      <c r="K847" s="53"/>
      <c r="L847" s="62"/>
      <c r="M847" s="63"/>
      <c r="N847" s="63"/>
      <c r="O847" s="63"/>
      <c r="P847" s="63"/>
      <c r="Q847" s="63"/>
      <c r="R847" s="63"/>
      <c r="S847" s="63"/>
      <c r="T847" s="63"/>
      <c r="U847" s="63"/>
      <c r="V847" s="63"/>
      <c r="W847" s="63"/>
      <c r="X847" s="63"/>
      <c r="Y847" s="63"/>
      <c r="Z847" s="63"/>
      <c r="AA847" s="63"/>
      <c r="AB847" s="63"/>
      <c r="AC847" s="63"/>
    </row>
    <row r="848" spans="1:29">
      <c r="A848" s="62"/>
      <c r="B848" s="62"/>
      <c r="C848" s="62"/>
      <c r="D848" s="62"/>
      <c r="E848" s="62"/>
      <c r="F848" s="62"/>
      <c r="G848" s="62"/>
      <c r="H848" s="62"/>
      <c r="I848" s="62"/>
      <c r="J848" s="62"/>
      <c r="K848" s="53"/>
      <c r="L848" s="62"/>
      <c r="M848" s="63"/>
      <c r="N848" s="63"/>
      <c r="O848" s="63"/>
      <c r="P848" s="63"/>
      <c r="Q848" s="63"/>
      <c r="R848" s="63"/>
      <c r="S848" s="63"/>
      <c r="T848" s="63"/>
      <c r="U848" s="63"/>
      <c r="V848" s="63"/>
      <c r="W848" s="63"/>
      <c r="X848" s="63"/>
      <c r="Y848" s="63"/>
      <c r="Z848" s="63"/>
      <c r="AA848" s="63"/>
      <c r="AB848" s="63"/>
      <c r="AC848" s="63"/>
    </row>
    <row r="849" spans="1:29">
      <c r="A849" s="62"/>
      <c r="B849" s="62"/>
      <c r="C849" s="62"/>
      <c r="D849" s="62"/>
      <c r="E849" s="62"/>
      <c r="F849" s="62"/>
      <c r="G849" s="62"/>
      <c r="H849" s="62"/>
      <c r="I849" s="62"/>
      <c r="J849" s="62"/>
      <c r="K849" s="53"/>
      <c r="L849" s="62"/>
      <c r="M849" s="63"/>
      <c r="N849" s="63"/>
      <c r="O849" s="63"/>
      <c r="P849" s="63"/>
      <c r="Q849" s="63"/>
      <c r="R849" s="63"/>
      <c r="S849" s="63"/>
      <c r="T849" s="63"/>
      <c r="U849" s="63"/>
      <c r="V849" s="63"/>
      <c r="W849" s="63"/>
      <c r="X849" s="63"/>
      <c r="Y849" s="63"/>
      <c r="Z849" s="63"/>
      <c r="AA849" s="63"/>
      <c r="AB849" s="63"/>
      <c r="AC849" s="63"/>
    </row>
    <row r="850" spans="1:29">
      <c r="A850" s="62"/>
      <c r="B850" s="62"/>
      <c r="C850" s="62"/>
      <c r="D850" s="62"/>
      <c r="E850" s="62"/>
      <c r="F850" s="62"/>
      <c r="G850" s="62"/>
      <c r="H850" s="62"/>
      <c r="I850" s="62"/>
      <c r="J850" s="62"/>
      <c r="K850" s="53"/>
      <c r="L850" s="62"/>
      <c r="M850" s="63"/>
      <c r="N850" s="63"/>
      <c r="O850" s="63"/>
      <c r="P850" s="63"/>
      <c r="Q850" s="63"/>
      <c r="R850" s="63"/>
      <c r="S850" s="63"/>
      <c r="T850" s="63"/>
      <c r="U850" s="63"/>
      <c r="V850" s="63"/>
      <c r="W850" s="63"/>
      <c r="X850" s="63"/>
      <c r="Y850" s="63"/>
      <c r="Z850" s="63"/>
      <c r="AA850" s="63"/>
      <c r="AB850" s="63"/>
      <c r="AC850" s="63"/>
    </row>
    <row r="851" spans="1:29">
      <c r="A851" s="62"/>
      <c r="B851" s="62"/>
      <c r="C851" s="62"/>
      <c r="D851" s="62"/>
      <c r="E851" s="62"/>
      <c r="F851" s="62"/>
      <c r="G851" s="62"/>
      <c r="H851" s="62"/>
      <c r="I851" s="62"/>
      <c r="J851" s="62"/>
      <c r="K851" s="53"/>
      <c r="L851" s="62"/>
      <c r="M851" s="63"/>
      <c r="N851" s="63"/>
      <c r="O851" s="63"/>
      <c r="P851" s="63"/>
      <c r="Q851" s="63"/>
      <c r="R851" s="63"/>
      <c r="S851" s="63"/>
      <c r="T851" s="63"/>
      <c r="U851" s="63"/>
      <c r="V851" s="63"/>
      <c r="W851" s="63"/>
      <c r="X851" s="63"/>
      <c r="Y851" s="63"/>
      <c r="Z851" s="63"/>
      <c r="AA851" s="63"/>
      <c r="AB851" s="63"/>
      <c r="AC851" s="63"/>
    </row>
    <row r="852" spans="1:29">
      <c r="A852" s="62"/>
      <c r="B852" s="62"/>
      <c r="C852" s="62"/>
      <c r="D852" s="62"/>
      <c r="E852" s="62"/>
      <c r="F852" s="62"/>
      <c r="G852" s="62"/>
      <c r="H852" s="62"/>
      <c r="I852" s="62"/>
      <c r="J852" s="62"/>
      <c r="K852" s="53"/>
      <c r="L852" s="62"/>
      <c r="M852" s="63"/>
      <c r="N852" s="63"/>
      <c r="O852" s="63"/>
      <c r="P852" s="63"/>
      <c r="Q852" s="63"/>
      <c r="R852" s="63"/>
      <c r="S852" s="63"/>
      <c r="T852" s="63"/>
      <c r="U852" s="63"/>
      <c r="V852" s="63"/>
      <c r="W852" s="63"/>
      <c r="X852" s="63"/>
      <c r="Y852" s="63"/>
      <c r="Z852" s="63"/>
      <c r="AA852" s="63"/>
      <c r="AB852" s="63"/>
      <c r="AC852" s="63"/>
    </row>
    <row r="853" spans="1:29">
      <c r="A853" s="62"/>
      <c r="B853" s="62"/>
      <c r="C853" s="62"/>
      <c r="D853" s="62"/>
      <c r="E853" s="62"/>
      <c r="F853" s="62"/>
      <c r="G853" s="62"/>
      <c r="H853" s="62"/>
      <c r="I853" s="62"/>
      <c r="J853" s="62"/>
      <c r="K853" s="53"/>
      <c r="L853" s="62"/>
      <c r="M853" s="63"/>
      <c r="N853" s="63"/>
      <c r="O853" s="63"/>
      <c r="P853" s="63"/>
      <c r="Q853" s="63"/>
      <c r="R853" s="63"/>
      <c r="S853" s="63"/>
      <c r="T853" s="63"/>
      <c r="U853" s="63"/>
      <c r="V853" s="63"/>
      <c r="W853" s="63"/>
      <c r="X853" s="63"/>
      <c r="Y853" s="63"/>
      <c r="Z853" s="63"/>
      <c r="AA853" s="63"/>
      <c r="AB853" s="63"/>
      <c r="AC853" s="63"/>
    </row>
    <row r="854" spans="1:29">
      <c r="A854" s="62"/>
      <c r="B854" s="62"/>
      <c r="C854" s="62"/>
      <c r="D854" s="62"/>
      <c r="E854" s="62"/>
      <c r="F854" s="62"/>
      <c r="G854" s="62"/>
      <c r="H854" s="62"/>
      <c r="I854" s="62"/>
      <c r="J854" s="62"/>
      <c r="K854" s="53"/>
      <c r="L854" s="62"/>
      <c r="M854" s="63"/>
      <c r="N854" s="63"/>
      <c r="O854" s="63"/>
      <c r="P854" s="63"/>
      <c r="Q854" s="63"/>
      <c r="R854" s="63"/>
      <c r="S854" s="63"/>
      <c r="T854" s="63"/>
      <c r="U854" s="63"/>
      <c r="V854" s="63"/>
      <c r="W854" s="63"/>
      <c r="X854" s="63"/>
      <c r="Y854" s="63"/>
      <c r="Z854" s="63"/>
      <c r="AA854" s="63"/>
      <c r="AB854" s="63"/>
      <c r="AC854" s="63"/>
    </row>
    <row r="855" spans="1:29">
      <c r="A855" s="62"/>
      <c r="B855" s="62"/>
      <c r="C855" s="62"/>
      <c r="D855" s="62"/>
      <c r="E855" s="62"/>
      <c r="F855" s="62"/>
      <c r="G855" s="62"/>
      <c r="H855" s="62"/>
      <c r="I855" s="62"/>
      <c r="J855" s="62"/>
      <c r="K855" s="53"/>
      <c r="L855" s="62"/>
      <c r="M855" s="63"/>
      <c r="N855" s="63"/>
      <c r="O855" s="63"/>
      <c r="P855" s="63"/>
      <c r="Q855" s="63"/>
      <c r="R855" s="63"/>
      <c r="S855" s="63"/>
      <c r="T855" s="63"/>
      <c r="U855" s="63"/>
      <c r="V855" s="63"/>
      <c r="W855" s="63"/>
      <c r="X855" s="63"/>
      <c r="Y855" s="63"/>
      <c r="Z855" s="63"/>
      <c r="AA855" s="63"/>
      <c r="AB855" s="63"/>
      <c r="AC855" s="63"/>
    </row>
    <row r="856" spans="1:29">
      <c r="A856" s="62"/>
      <c r="B856" s="62"/>
      <c r="C856" s="62"/>
      <c r="D856" s="62"/>
      <c r="E856" s="62"/>
      <c r="F856" s="62"/>
      <c r="G856" s="62"/>
      <c r="H856" s="62"/>
      <c r="I856" s="62"/>
      <c r="J856" s="62"/>
      <c r="K856" s="53"/>
      <c r="L856" s="62"/>
      <c r="M856" s="63"/>
      <c r="N856" s="63"/>
      <c r="O856" s="63"/>
      <c r="P856" s="63"/>
      <c r="Q856" s="63"/>
      <c r="R856" s="63"/>
      <c r="S856" s="63"/>
      <c r="T856" s="63"/>
      <c r="U856" s="63"/>
      <c r="V856" s="63"/>
      <c r="W856" s="63"/>
      <c r="X856" s="63"/>
      <c r="Y856" s="63"/>
      <c r="Z856" s="63"/>
      <c r="AA856" s="63"/>
      <c r="AB856" s="63"/>
      <c r="AC856" s="63"/>
    </row>
    <row r="857" spans="1:29">
      <c r="A857" s="62"/>
      <c r="B857" s="62"/>
      <c r="C857" s="62"/>
      <c r="D857" s="62"/>
      <c r="E857" s="62"/>
      <c r="F857" s="62"/>
      <c r="G857" s="62"/>
      <c r="H857" s="62"/>
      <c r="I857" s="62"/>
      <c r="J857" s="62"/>
      <c r="K857" s="53"/>
      <c r="L857" s="62"/>
      <c r="M857" s="63"/>
      <c r="N857" s="63"/>
      <c r="O857" s="63"/>
      <c r="P857" s="63"/>
      <c r="Q857" s="63"/>
      <c r="R857" s="63"/>
      <c r="S857" s="63"/>
      <c r="T857" s="63"/>
      <c r="U857" s="63"/>
      <c r="V857" s="63"/>
      <c r="W857" s="63"/>
      <c r="X857" s="63"/>
      <c r="Y857" s="63"/>
      <c r="Z857" s="63"/>
      <c r="AA857" s="63"/>
      <c r="AB857" s="63"/>
      <c r="AC857" s="63"/>
    </row>
    <row r="858" spans="1:29">
      <c r="A858" s="62"/>
      <c r="B858" s="62"/>
      <c r="C858" s="62"/>
      <c r="D858" s="62"/>
      <c r="E858" s="62"/>
      <c r="F858" s="62"/>
      <c r="G858" s="62"/>
      <c r="H858" s="62"/>
      <c r="I858" s="62"/>
      <c r="J858" s="62"/>
      <c r="K858" s="53"/>
      <c r="L858" s="62"/>
      <c r="M858" s="63"/>
      <c r="N858" s="63"/>
      <c r="O858" s="63"/>
      <c r="P858" s="63"/>
      <c r="Q858" s="63"/>
      <c r="R858" s="63"/>
      <c r="S858" s="63"/>
      <c r="T858" s="63"/>
      <c r="U858" s="63"/>
      <c r="V858" s="63"/>
      <c r="W858" s="63"/>
      <c r="X858" s="63"/>
      <c r="Y858" s="63"/>
      <c r="Z858" s="63"/>
      <c r="AA858" s="63"/>
      <c r="AB858" s="63"/>
      <c r="AC858" s="63"/>
    </row>
    <row r="859" spans="1:29">
      <c r="A859" s="62"/>
      <c r="B859" s="62"/>
      <c r="C859" s="62"/>
      <c r="D859" s="62"/>
      <c r="E859" s="62"/>
      <c r="F859" s="62"/>
      <c r="G859" s="62"/>
      <c r="H859" s="62"/>
      <c r="I859" s="62"/>
      <c r="J859" s="62"/>
      <c r="K859" s="53"/>
      <c r="L859" s="62"/>
      <c r="M859" s="63"/>
      <c r="N859" s="63"/>
      <c r="O859" s="63"/>
      <c r="P859" s="63"/>
      <c r="Q859" s="63"/>
      <c r="R859" s="63"/>
      <c r="S859" s="63"/>
      <c r="T859" s="63"/>
      <c r="U859" s="63"/>
      <c r="V859" s="63"/>
      <c r="W859" s="63"/>
      <c r="X859" s="63"/>
      <c r="Y859" s="63"/>
      <c r="Z859" s="63"/>
      <c r="AA859" s="63"/>
      <c r="AB859" s="63"/>
      <c r="AC859" s="63"/>
    </row>
    <row r="860" spans="1:29">
      <c r="A860" s="62"/>
      <c r="B860" s="62"/>
      <c r="C860" s="62"/>
      <c r="D860" s="62"/>
      <c r="E860" s="62"/>
      <c r="F860" s="62"/>
      <c r="G860" s="62"/>
      <c r="H860" s="62"/>
      <c r="I860" s="62"/>
      <c r="J860" s="62"/>
      <c r="K860" s="53"/>
      <c r="L860" s="62"/>
      <c r="M860" s="63"/>
      <c r="N860" s="63"/>
      <c r="O860" s="63"/>
      <c r="P860" s="63"/>
      <c r="Q860" s="63"/>
      <c r="R860" s="63"/>
      <c r="S860" s="63"/>
      <c r="T860" s="63"/>
      <c r="U860" s="63"/>
      <c r="V860" s="63"/>
      <c r="W860" s="63"/>
      <c r="X860" s="63"/>
      <c r="Y860" s="63"/>
      <c r="Z860" s="63"/>
      <c r="AA860" s="63"/>
      <c r="AB860" s="63"/>
      <c r="AC860" s="63"/>
    </row>
    <row r="861" spans="1:29">
      <c r="A861" s="62"/>
      <c r="B861" s="62"/>
      <c r="C861" s="62"/>
      <c r="D861" s="62"/>
      <c r="E861" s="62"/>
      <c r="F861" s="62"/>
      <c r="G861" s="62"/>
      <c r="H861" s="62"/>
      <c r="I861" s="62"/>
      <c r="J861" s="62"/>
      <c r="K861" s="53"/>
      <c r="L861" s="62"/>
      <c r="M861" s="63"/>
      <c r="N861" s="63"/>
      <c r="O861" s="63"/>
      <c r="P861" s="63"/>
      <c r="Q861" s="63"/>
      <c r="R861" s="63"/>
      <c r="S861" s="63"/>
      <c r="T861" s="63"/>
      <c r="U861" s="63"/>
      <c r="V861" s="63"/>
      <c r="W861" s="63"/>
      <c r="X861" s="63"/>
      <c r="Y861" s="63"/>
      <c r="Z861" s="63"/>
      <c r="AA861" s="63"/>
      <c r="AB861" s="63"/>
      <c r="AC861" s="63"/>
    </row>
    <row r="862" spans="1:29">
      <c r="A862" s="62"/>
      <c r="B862" s="62"/>
      <c r="C862" s="62"/>
      <c r="D862" s="62"/>
      <c r="E862" s="62"/>
      <c r="F862" s="62"/>
      <c r="G862" s="62"/>
      <c r="H862" s="62"/>
      <c r="I862" s="62"/>
      <c r="J862" s="62"/>
      <c r="K862" s="53"/>
      <c r="L862" s="62"/>
      <c r="M862" s="63"/>
      <c r="N862" s="63"/>
      <c r="O862" s="63"/>
      <c r="P862" s="63"/>
      <c r="Q862" s="63"/>
      <c r="R862" s="63"/>
      <c r="S862" s="63"/>
      <c r="T862" s="63"/>
      <c r="U862" s="63"/>
      <c r="V862" s="63"/>
      <c r="W862" s="63"/>
      <c r="X862" s="63"/>
      <c r="Y862" s="63"/>
      <c r="Z862" s="63"/>
      <c r="AA862" s="63"/>
      <c r="AB862" s="63"/>
      <c r="AC862" s="63"/>
    </row>
    <row r="863" spans="1:29">
      <c r="A863" s="62"/>
      <c r="B863" s="62"/>
      <c r="C863" s="62"/>
      <c r="D863" s="62"/>
      <c r="E863" s="62"/>
      <c r="F863" s="62"/>
      <c r="G863" s="62"/>
      <c r="H863" s="62"/>
      <c r="I863" s="62"/>
      <c r="J863" s="62"/>
      <c r="K863" s="53"/>
      <c r="L863" s="62"/>
      <c r="M863" s="63"/>
      <c r="N863" s="63"/>
      <c r="O863" s="63"/>
      <c r="P863" s="63"/>
      <c r="Q863" s="63"/>
      <c r="R863" s="63"/>
      <c r="S863" s="63"/>
      <c r="T863" s="63"/>
      <c r="U863" s="63"/>
      <c r="V863" s="63"/>
      <c r="W863" s="63"/>
      <c r="X863" s="63"/>
      <c r="Y863" s="63"/>
      <c r="Z863" s="63"/>
      <c r="AA863" s="63"/>
      <c r="AB863" s="63"/>
      <c r="AC863" s="63"/>
    </row>
    <row r="864" spans="1:29">
      <c r="A864" s="62"/>
      <c r="B864" s="62"/>
      <c r="C864" s="62"/>
      <c r="D864" s="62"/>
      <c r="E864" s="62"/>
      <c r="F864" s="62"/>
      <c r="G864" s="62"/>
      <c r="H864" s="62"/>
      <c r="I864" s="62"/>
      <c r="J864" s="62"/>
      <c r="K864" s="53"/>
      <c r="L864" s="62"/>
      <c r="M864" s="63"/>
      <c r="N864" s="63"/>
      <c r="O864" s="63"/>
      <c r="P864" s="63"/>
      <c r="Q864" s="63"/>
      <c r="R864" s="63"/>
      <c r="S864" s="63"/>
      <c r="T864" s="63"/>
      <c r="U864" s="63"/>
      <c r="V864" s="63"/>
      <c r="W864" s="63"/>
      <c r="X864" s="63"/>
      <c r="Y864" s="63"/>
      <c r="Z864" s="63"/>
      <c r="AA864" s="63"/>
      <c r="AB864" s="63"/>
      <c r="AC864" s="63"/>
    </row>
    <row r="865" spans="1:29">
      <c r="A865" s="62"/>
      <c r="B865" s="62"/>
      <c r="C865" s="62"/>
      <c r="D865" s="62"/>
      <c r="E865" s="62"/>
      <c r="F865" s="62"/>
      <c r="G865" s="62"/>
      <c r="H865" s="62"/>
      <c r="I865" s="62"/>
      <c r="J865" s="62"/>
      <c r="K865" s="53"/>
      <c r="L865" s="62"/>
      <c r="M865" s="63"/>
      <c r="N865" s="63"/>
      <c r="O865" s="63"/>
      <c r="P865" s="63"/>
      <c r="Q865" s="63"/>
      <c r="R865" s="63"/>
      <c r="S865" s="63"/>
      <c r="T865" s="63"/>
      <c r="U865" s="63"/>
      <c r="V865" s="63"/>
      <c r="W865" s="63"/>
      <c r="X865" s="63"/>
      <c r="Y865" s="63"/>
      <c r="Z865" s="63"/>
      <c r="AA865" s="63"/>
      <c r="AB865" s="63"/>
      <c r="AC865" s="63"/>
    </row>
    <row r="866" spans="1:29">
      <c r="A866" s="62"/>
      <c r="B866" s="62"/>
      <c r="C866" s="62"/>
      <c r="D866" s="62"/>
      <c r="E866" s="62"/>
      <c r="F866" s="62"/>
      <c r="G866" s="62"/>
      <c r="H866" s="62"/>
      <c r="I866" s="62"/>
      <c r="J866" s="62"/>
      <c r="K866" s="53"/>
      <c r="L866" s="62"/>
      <c r="M866" s="63"/>
      <c r="N866" s="63"/>
      <c r="O866" s="63"/>
      <c r="P866" s="63"/>
      <c r="Q866" s="63"/>
      <c r="R866" s="63"/>
      <c r="S866" s="63"/>
      <c r="T866" s="63"/>
      <c r="U866" s="63"/>
      <c r="V866" s="63"/>
      <c r="W866" s="63"/>
      <c r="X866" s="63"/>
      <c r="Y866" s="63"/>
      <c r="Z866" s="63"/>
      <c r="AA866" s="63"/>
      <c r="AB866" s="63"/>
      <c r="AC866" s="63"/>
    </row>
    <row r="867" spans="1:29">
      <c r="A867" s="62"/>
      <c r="B867" s="62"/>
      <c r="C867" s="62"/>
      <c r="D867" s="62"/>
      <c r="E867" s="62"/>
      <c r="F867" s="62"/>
      <c r="G867" s="62"/>
      <c r="H867" s="62"/>
      <c r="I867" s="62"/>
      <c r="J867" s="62"/>
      <c r="K867" s="53"/>
      <c r="L867" s="62"/>
      <c r="M867" s="63"/>
      <c r="N867" s="63"/>
      <c r="O867" s="63"/>
      <c r="P867" s="63"/>
      <c r="Q867" s="63"/>
      <c r="R867" s="63"/>
      <c r="S867" s="63"/>
      <c r="T867" s="63"/>
      <c r="U867" s="63"/>
      <c r="V867" s="63"/>
      <c r="W867" s="63"/>
      <c r="X867" s="63"/>
      <c r="Y867" s="63"/>
      <c r="Z867" s="63"/>
      <c r="AA867" s="63"/>
      <c r="AB867" s="63"/>
      <c r="AC867" s="63"/>
    </row>
    <row r="868" spans="1:29">
      <c r="A868" s="62"/>
      <c r="B868" s="62"/>
      <c r="C868" s="62"/>
      <c r="D868" s="62"/>
      <c r="E868" s="62"/>
      <c r="F868" s="62"/>
      <c r="G868" s="62"/>
      <c r="H868" s="62"/>
      <c r="I868" s="62"/>
      <c r="J868" s="62"/>
      <c r="K868" s="53"/>
      <c r="L868" s="62"/>
      <c r="M868" s="63"/>
      <c r="N868" s="63"/>
      <c r="O868" s="63"/>
      <c r="P868" s="63"/>
      <c r="Q868" s="63"/>
      <c r="R868" s="63"/>
      <c r="S868" s="63"/>
      <c r="T868" s="63"/>
      <c r="U868" s="63"/>
      <c r="V868" s="63"/>
      <c r="W868" s="63"/>
      <c r="X868" s="63"/>
      <c r="Y868" s="63"/>
      <c r="Z868" s="63"/>
      <c r="AA868" s="63"/>
      <c r="AB868" s="63"/>
      <c r="AC868" s="63"/>
    </row>
    <row r="869" spans="1:29">
      <c r="A869" s="62"/>
      <c r="B869" s="62"/>
      <c r="C869" s="62"/>
      <c r="D869" s="62"/>
      <c r="E869" s="62"/>
      <c r="F869" s="62"/>
      <c r="G869" s="62"/>
      <c r="H869" s="62"/>
      <c r="I869" s="62"/>
      <c r="J869" s="62"/>
      <c r="K869" s="53"/>
      <c r="L869" s="62"/>
      <c r="M869" s="63"/>
      <c r="N869" s="63"/>
      <c r="O869" s="63"/>
      <c r="P869" s="63"/>
      <c r="Q869" s="63"/>
      <c r="R869" s="63"/>
      <c r="S869" s="63"/>
      <c r="T869" s="63"/>
      <c r="U869" s="63"/>
      <c r="V869" s="63"/>
      <c r="W869" s="63"/>
      <c r="X869" s="63"/>
      <c r="Y869" s="63"/>
      <c r="Z869" s="63"/>
      <c r="AA869" s="63"/>
      <c r="AB869" s="63"/>
      <c r="AC869" s="63"/>
    </row>
    <row r="870" spans="1:29">
      <c r="A870" s="62"/>
      <c r="B870" s="62"/>
      <c r="C870" s="62"/>
      <c r="D870" s="62"/>
      <c r="E870" s="62"/>
      <c r="F870" s="62"/>
      <c r="G870" s="62"/>
      <c r="H870" s="62"/>
      <c r="I870" s="62"/>
      <c r="J870" s="62"/>
      <c r="K870" s="53"/>
      <c r="L870" s="62"/>
      <c r="M870" s="63"/>
      <c r="N870" s="63"/>
      <c r="O870" s="63"/>
      <c r="P870" s="63"/>
      <c r="Q870" s="63"/>
      <c r="R870" s="63"/>
      <c r="S870" s="63"/>
      <c r="T870" s="63"/>
      <c r="U870" s="63"/>
      <c r="V870" s="63"/>
      <c r="W870" s="63"/>
      <c r="X870" s="63"/>
      <c r="Y870" s="63"/>
      <c r="Z870" s="63"/>
      <c r="AA870" s="63"/>
      <c r="AB870" s="63"/>
      <c r="AC870" s="63"/>
    </row>
    <row r="871" spans="1:29">
      <c r="A871" s="62"/>
      <c r="B871" s="62"/>
      <c r="C871" s="62"/>
      <c r="D871" s="62"/>
      <c r="E871" s="62"/>
      <c r="F871" s="62"/>
      <c r="G871" s="62"/>
      <c r="H871" s="62"/>
      <c r="I871" s="62"/>
      <c r="J871" s="62"/>
      <c r="K871" s="53"/>
      <c r="L871" s="62"/>
      <c r="M871" s="63"/>
      <c r="N871" s="63"/>
      <c r="O871" s="63"/>
      <c r="P871" s="63"/>
      <c r="Q871" s="63"/>
      <c r="R871" s="63"/>
      <c r="S871" s="63"/>
      <c r="T871" s="63"/>
      <c r="U871" s="63"/>
      <c r="V871" s="63"/>
      <c r="W871" s="63"/>
      <c r="X871" s="63"/>
      <c r="Y871" s="63"/>
      <c r="Z871" s="63"/>
      <c r="AA871" s="63"/>
      <c r="AB871" s="63"/>
      <c r="AC871" s="63"/>
    </row>
    <row r="872" spans="1:29">
      <c r="A872" s="62"/>
      <c r="B872" s="62"/>
      <c r="C872" s="62"/>
      <c r="D872" s="62"/>
      <c r="E872" s="62"/>
      <c r="F872" s="62"/>
      <c r="G872" s="62"/>
      <c r="H872" s="62"/>
      <c r="I872" s="62"/>
      <c r="J872" s="62"/>
      <c r="K872" s="53"/>
      <c r="L872" s="62"/>
      <c r="M872" s="63"/>
      <c r="N872" s="63"/>
      <c r="O872" s="63"/>
      <c r="P872" s="63"/>
      <c r="Q872" s="63"/>
      <c r="R872" s="63"/>
      <c r="S872" s="63"/>
      <c r="T872" s="63"/>
      <c r="U872" s="63"/>
      <c r="V872" s="63"/>
      <c r="W872" s="63"/>
      <c r="X872" s="63"/>
      <c r="Y872" s="63"/>
      <c r="Z872" s="63"/>
      <c r="AA872" s="63"/>
      <c r="AB872" s="63"/>
      <c r="AC872" s="63"/>
    </row>
    <row r="873" spans="1:29">
      <c r="A873" s="62"/>
      <c r="B873" s="62"/>
      <c r="C873" s="62"/>
      <c r="D873" s="62"/>
      <c r="E873" s="62"/>
      <c r="F873" s="62"/>
      <c r="G873" s="62"/>
      <c r="H873" s="62"/>
      <c r="I873" s="62"/>
      <c r="J873" s="62"/>
      <c r="K873" s="53"/>
      <c r="L873" s="62"/>
      <c r="M873" s="63"/>
      <c r="N873" s="63"/>
      <c r="O873" s="63"/>
      <c r="P873" s="63"/>
      <c r="Q873" s="63"/>
      <c r="R873" s="63"/>
      <c r="S873" s="63"/>
      <c r="T873" s="63"/>
      <c r="U873" s="63"/>
      <c r="V873" s="63"/>
      <c r="W873" s="63"/>
      <c r="X873" s="63"/>
      <c r="Y873" s="63"/>
      <c r="Z873" s="63"/>
      <c r="AA873" s="63"/>
      <c r="AB873" s="63"/>
      <c r="AC873" s="63"/>
    </row>
    <row r="874" spans="1:29">
      <c r="A874" s="62"/>
      <c r="B874" s="62"/>
      <c r="C874" s="62"/>
      <c r="D874" s="62"/>
      <c r="E874" s="62"/>
      <c r="F874" s="62"/>
      <c r="G874" s="62"/>
      <c r="H874" s="62"/>
      <c r="I874" s="62"/>
      <c r="J874" s="62"/>
      <c r="K874" s="53"/>
      <c r="L874" s="62"/>
      <c r="M874" s="63"/>
      <c r="N874" s="63"/>
      <c r="O874" s="63"/>
      <c r="P874" s="63"/>
      <c r="Q874" s="63"/>
      <c r="R874" s="63"/>
      <c r="S874" s="63"/>
      <c r="T874" s="63"/>
      <c r="U874" s="63"/>
      <c r="V874" s="63"/>
      <c r="W874" s="63"/>
      <c r="X874" s="63"/>
      <c r="Y874" s="63"/>
      <c r="Z874" s="63"/>
      <c r="AA874" s="63"/>
      <c r="AB874" s="63"/>
      <c r="AC874" s="63"/>
    </row>
    <row r="875" spans="1:29">
      <c r="A875" s="62"/>
      <c r="B875" s="62"/>
      <c r="C875" s="62"/>
      <c r="D875" s="62"/>
      <c r="E875" s="62"/>
      <c r="F875" s="62"/>
      <c r="G875" s="62"/>
      <c r="H875" s="62"/>
      <c r="I875" s="62"/>
      <c r="J875" s="62"/>
      <c r="K875" s="53"/>
      <c r="L875" s="62"/>
      <c r="M875" s="63"/>
      <c r="N875" s="63"/>
      <c r="O875" s="63"/>
      <c r="P875" s="63"/>
      <c r="Q875" s="63"/>
      <c r="R875" s="63"/>
      <c r="S875" s="63"/>
      <c r="T875" s="63"/>
      <c r="U875" s="63"/>
      <c r="V875" s="63"/>
      <c r="W875" s="63"/>
      <c r="X875" s="63"/>
      <c r="Y875" s="63"/>
      <c r="Z875" s="63"/>
      <c r="AA875" s="63"/>
      <c r="AB875" s="63"/>
      <c r="AC875" s="63"/>
    </row>
    <row r="876" spans="1:29">
      <c r="A876" s="62"/>
      <c r="B876" s="62"/>
      <c r="C876" s="62"/>
      <c r="D876" s="62"/>
      <c r="E876" s="62"/>
      <c r="F876" s="62"/>
      <c r="G876" s="62"/>
      <c r="H876" s="62"/>
      <c r="I876" s="62"/>
      <c r="J876" s="62"/>
      <c r="K876" s="53"/>
      <c r="L876" s="62"/>
      <c r="M876" s="63"/>
      <c r="N876" s="63"/>
      <c r="O876" s="63"/>
      <c r="P876" s="63"/>
      <c r="Q876" s="63"/>
      <c r="R876" s="63"/>
      <c r="S876" s="63"/>
      <c r="T876" s="63"/>
      <c r="U876" s="63"/>
      <c r="V876" s="63"/>
      <c r="W876" s="63"/>
      <c r="X876" s="63"/>
      <c r="Y876" s="63"/>
      <c r="Z876" s="63"/>
      <c r="AA876" s="63"/>
      <c r="AB876" s="63"/>
      <c r="AC876" s="63"/>
    </row>
    <row r="877" spans="1:29">
      <c r="A877" s="62"/>
      <c r="B877" s="62"/>
      <c r="C877" s="62"/>
      <c r="D877" s="62"/>
      <c r="E877" s="62"/>
      <c r="F877" s="62"/>
      <c r="G877" s="62"/>
      <c r="H877" s="62"/>
      <c r="I877" s="62"/>
      <c r="J877" s="62"/>
      <c r="K877" s="53"/>
      <c r="L877" s="62"/>
      <c r="M877" s="63"/>
      <c r="N877" s="63"/>
      <c r="O877" s="63"/>
      <c r="P877" s="63"/>
      <c r="Q877" s="63"/>
      <c r="R877" s="63"/>
      <c r="S877" s="63"/>
      <c r="T877" s="63"/>
      <c r="U877" s="63"/>
      <c r="V877" s="63"/>
      <c r="W877" s="63"/>
      <c r="X877" s="63"/>
      <c r="Y877" s="63"/>
      <c r="Z877" s="63"/>
      <c r="AA877" s="63"/>
      <c r="AB877" s="63"/>
      <c r="AC877" s="63"/>
    </row>
    <row r="878" spans="1:29">
      <c r="A878" s="62"/>
      <c r="B878" s="62"/>
      <c r="C878" s="62"/>
      <c r="D878" s="62"/>
      <c r="E878" s="62"/>
      <c r="F878" s="62"/>
      <c r="G878" s="62"/>
      <c r="H878" s="62"/>
      <c r="I878" s="62"/>
      <c r="J878" s="62"/>
      <c r="K878" s="53"/>
      <c r="L878" s="62"/>
      <c r="M878" s="63"/>
      <c r="N878" s="63"/>
      <c r="O878" s="63"/>
      <c r="P878" s="63"/>
      <c r="Q878" s="63"/>
      <c r="R878" s="63"/>
      <c r="S878" s="63"/>
      <c r="T878" s="63"/>
      <c r="U878" s="63"/>
      <c r="V878" s="63"/>
      <c r="W878" s="63"/>
      <c r="X878" s="63"/>
      <c r="Y878" s="63"/>
      <c r="Z878" s="63"/>
      <c r="AA878" s="63"/>
      <c r="AB878" s="63"/>
      <c r="AC878" s="63"/>
    </row>
    <row r="879" spans="1:29">
      <c r="A879" s="62"/>
      <c r="B879" s="62"/>
      <c r="C879" s="62"/>
      <c r="D879" s="62"/>
      <c r="E879" s="62"/>
      <c r="F879" s="62"/>
      <c r="G879" s="62"/>
      <c r="H879" s="62"/>
      <c r="I879" s="62"/>
      <c r="J879" s="62"/>
      <c r="K879" s="53"/>
      <c r="L879" s="62"/>
      <c r="M879" s="63"/>
      <c r="N879" s="63"/>
      <c r="O879" s="63"/>
      <c r="P879" s="63"/>
      <c r="Q879" s="63"/>
      <c r="R879" s="63"/>
      <c r="S879" s="63"/>
      <c r="T879" s="63"/>
      <c r="U879" s="63"/>
      <c r="V879" s="63"/>
      <c r="W879" s="63"/>
      <c r="X879" s="63"/>
      <c r="Y879" s="63"/>
      <c r="Z879" s="63"/>
      <c r="AA879" s="63"/>
      <c r="AB879" s="63"/>
      <c r="AC879" s="63"/>
    </row>
    <row r="880" spans="1:29">
      <c r="A880" s="62"/>
      <c r="B880" s="62"/>
      <c r="C880" s="62"/>
      <c r="D880" s="62"/>
      <c r="E880" s="62"/>
      <c r="F880" s="62"/>
      <c r="G880" s="62"/>
      <c r="H880" s="62"/>
      <c r="I880" s="62"/>
      <c r="J880" s="62"/>
      <c r="K880" s="53"/>
      <c r="L880" s="62"/>
      <c r="M880" s="63"/>
      <c r="N880" s="63"/>
      <c r="O880" s="63"/>
      <c r="P880" s="63"/>
      <c r="Q880" s="63"/>
      <c r="R880" s="63"/>
      <c r="S880" s="63"/>
      <c r="T880" s="63"/>
      <c r="U880" s="63"/>
      <c r="V880" s="63"/>
      <c r="W880" s="63"/>
      <c r="X880" s="63"/>
      <c r="Y880" s="63"/>
      <c r="Z880" s="63"/>
      <c r="AA880" s="63"/>
      <c r="AB880" s="63"/>
      <c r="AC880" s="63"/>
    </row>
    <row r="881" spans="1:29">
      <c r="A881" s="62"/>
      <c r="B881" s="62"/>
      <c r="C881" s="62"/>
      <c r="D881" s="62"/>
      <c r="E881" s="62"/>
      <c r="F881" s="62"/>
      <c r="G881" s="62"/>
      <c r="H881" s="62"/>
      <c r="I881" s="62"/>
      <c r="J881" s="62"/>
      <c r="K881" s="53"/>
      <c r="L881" s="62"/>
      <c r="M881" s="63"/>
      <c r="N881" s="63"/>
      <c r="O881" s="63"/>
      <c r="P881" s="63"/>
      <c r="Q881" s="63"/>
      <c r="R881" s="63"/>
      <c r="S881" s="63"/>
      <c r="T881" s="63"/>
      <c r="U881" s="63"/>
      <c r="V881" s="63"/>
      <c r="W881" s="63"/>
      <c r="X881" s="63"/>
      <c r="Y881" s="63"/>
      <c r="Z881" s="63"/>
      <c r="AA881" s="63"/>
      <c r="AB881" s="63"/>
      <c r="AC881" s="63"/>
    </row>
    <row r="882" spans="1:29">
      <c r="A882" s="62"/>
      <c r="B882" s="62"/>
      <c r="C882" s="62"/>
      <c r="D882" s="62"/>
      <c r="E882" s="62"/>
      <c r="F882" s="62"/>
      <c r="G882" s="62"/>
      <c r="H882" s="62"/>
      <c r="I882" s="62"/>
      <c r="J882" s="62"/>
      <c r="K882" s="53"/>
      <c r="L882" s="62"/>
      <c r="M882" s="63"/>
      <c r="N882" s="63"/>
      <c r="O882" s="63"/>
      <c r="P882" s="63"/>
      <c r="Q882" s="63"/>
      <c r="R882" s="63"/>
      <c r="S882" s="63"/>
      <c r="T882" s="63"/>
      <c r="U882" s="63"/>
      <c r="V882" s="63"/>
      <c r="W882" s="63"/>
      <c r="X882" s="63"/>
      <c r="Y882" s="63"/>
      <c r="Z882" s="63"/>
      <c r="AA882" s="63"/>
      <c r="AB882" s="63"/>
      <c r="AC882" s="63"/>
    </row>
    <row r="883" spans="1:29">
      <c r="A883" s="62"/>
      <c r="B883" s="62"/>
      <c r="C883" s="62"/>
      <c r="D883" s="62"/>
      <c r="E883" s="62"/>
      <c r="F883" s="62"/>
      <c r="G883" s="62"/>
      <c r="H883" s="62"/>
      <c r="I883" s="62"/>
      <c r="J883" s="62"/>
      <c r="K883" s="53"/>
      <c r="L883" s="62"/>
      <c r="M883" s="63"/>
      <c r="N883" s="63"/>
      <c r="O883" s="63"/>
      <c r="P883" s="63"/>
      <c r="Q883" s="63"/>
      <c r="R883" s="63"/>
      <c r="S883" s="63"/>
      <c r="T883" s="63"/>
      <c r="U883" s="63"/>
      <c r="V883" s="63"/>
      <c r="W883" s="63"/>
      <c r="X883" s="63"/>
      <c r="Y883" s="63"/>
      <c r="Z883" s="63"/>
      <c r="AA883" s="63"/>
      <c r="AB883" s="63"/>
      <c r="AC883" s="63"/>
    </row>
    <row r="884" spans="1:29">
      <c r="A884" s="62"/>
      <c r="B884" s="62"/>
      <c r="C884" s="62"/>
      <c r="D884" s="62"/>
      <c r="E884" s="62"/>
      <c r="F884" s="62"/>
      <c r="G884" s="62"/>
      <c r="H884" s="62"/>
      <c r="I884" s="62"/>
      <c r="J884" s="62"/>
      <c r="K884" s="53"/>
      <c r="L884" s="62"/>
      <c r="M884" s="63"/>
      <c r="N884" s="63"/>
      <c r="O884" s="63"/>
      <c r="P884" s="63"/>
      <c r="Q884" s="63"/>
      <c r="R884" s="63"/>
      <c r="S884" s="63"/>
      <c r="T884" s="63"/>
      <c r="U884" s="63"/>
      <c r="V884" s="63"/>
      <c r="W884" s="63"/>
      <c r="X884" s="63"/>
      <c r="Y884" s="63"/>
      <c r="Z884" s="63"/>
      <c r="AA884" s="63"/>
      <c r="AB884" s="63"/>
      <c r="AC884" s="63"/>
    </row>
    <row r="885" spans="1:29">
      <c r="A885" s="62"/>
      <c r="B885" s="62"/>
      <c r="C885" s="62"/>
      <c r="D885" s="62"/>
      <c r="E885" s="62"/>
      <c r="F885" s="62"/>
      <c r="G885" s="62"/>
      <c r="H885" s="62"/>
      <c r="I885" s="62"/>
      <c r="J885" s="62"/>
      <c r="K885" s="53"/>
      <c r="L885" s="62"/>
      <c r="M885" s="63"/>
      <c r="N885" s="63"/>
      <c r="O885" s="63"/>
      <c r="P885" s="63"/>
      <c r="Q885" s="63"/>
      <c r="R885" s="63"/>
      <c r="S885" s="63"/>
      <c r="T885" s="63"/>
      <c r="U885" s="63"/>
      <c r="V885" s="63"/>
      <c r="W885" s="63"/>
      <c r="X885" s="63"/>
      <c r="Y885" s="63"/>
      <c r="Z885" s="63"/>
      <c r="AA885" s="63"/>
      <c r="AB885" s="63"/>
      <c r="AC885" s="63"/>
    </row>
    <row r="886" spans="1:29">
      <c r="A886" s="62"/>
      <c r="B886" s="62"/>
      <c r="C886" s="62"/>
      <c r="D886" s="62"/>
      <c r="E886" s="62"/>
      <c r="F886" s="62"/>
      <c r="G886" s="62"/>
      <c r="H886" s="62"/>
      <c r="I886" s="62"/>
      <c r="J886" s="62"/>
      <c r="K886" s="53"/>
      <c r="L886" s="62"/>
      <c r="M886" s="63"/>
      <c r="N886" s="63"/>
      <c r="O886" s="63"/>
      <c r="P886" s="63"/>
      <c r="Q886" s="63"/>
      <c r="R886" s="63"/>
      <c r="S886" s="63"/>
      <c r="T886" s="63"/>
      <c r="U886" s="63"/>
      <c r="V886" s="63"/>
      <c r="W886" s="63"/>
      <c r="X886" s="63"/>
      <c r="Y886" s="63"/>
      <c r="Z886" s="63"/>
      <c r="AA886" s="63"/>
      <c r="AB886" s="63"/>
      <c r="AC886" s="63"/>
    </row>
    <row r="887" spans="1:29">
      <c r="A887" s="62"/>
      <c r="B887" s="62"/>
      <c r="C887" s="62"/>
      <c r="D887" s="62"/>
      <c r="E887" s="62"/>
      <c r="F887" s="62"/>
      <c r="G887" s="62"/>
      <c r="H887" s="62"/>
      <c r="I887" s="62"/>
      <c r="J887" s="62"/>
      <c r="K887" s="53"/>
      <c r="L887" s="62"/>
      <c r="M887" s="63"/>
      <c r="N887" s="63"/>
      <c r="O887" s="63"/>
      <c r="P887" s="63"/>
      <c r="Q887" s="63"/>
      <c r="R887" s="63"/>
      <c r="S887" s="63"/>
      <c r="T887" s="63"/>
      <c r="U887" s="63"/>
      <c r="V887" s="63"/>
      <c r="W887" s="63"/>
      <c r="X887" s="63"/>
      <c r="Y887" s="63"/>
      <c r="Z887" s="63"/>
      <c r="AA887" s="63"/>
      <c r="AB887" s="63"/>
      <c r="AC887" s="63"/>
    </row>
    <row r="888" spans="1:29">
      <c r="A888" s="62"/>
      <c r="B888" s="62"/>
      <c r="C888" s="62"/>
      <c r="D888" s="62"/>
      <c r="E888" s="62"/>
      <c r="F888" s="62"/>
      <c r="G888" s="62"/>
      <c r="H888" s="62"/>
      <c r="I888" s="62"/>
      <c r="J888" s="62"/>
      <c r="K888" s="53"/>
      <c r="L888" s="62"/>
      <c r="M888" s="63"/>
      <c r="N888" s="63"/>
      <c r="O888" s="63"/>
      <c r="P888" s="63"/>
      <c r="Q888" s="63"/>
      <c r="R888" s="63"/>
      <c r="S888" s="63"/>
      <c r="T888" s="63"/>
      <c r="U888" s="63"/>
      <c r="V888" s="63"/>
      <c r="W888" s="63"/>
      <c r="X888" s="63"/>
      <c r="Y888" s="63"/>
      <c r="Z888" s="63"/>
      <c r="AA888" s="63"/>
      <c r="AB888" s="63"/>
      <c r="AC888" s="63"/>
    </row>
    <row r="889" spans="1:29">
      <c r="A889" s="62"/>
      <c r="B889" s="62"/>
      <c r="C889" s="62"/>
      <c r="D889" s="62"/>
      <c r="E889" s="62"/>
      <c r="F889" s="62"/>
      <c r="G889" s="62"/>
      <c r="H889" s="62"/>
      <c r="I889" s="62"/>
      <c r="J889" s="62"/>
      <c r="K889" s="53"/>
      <c r="L889" s="62"/>
      <c r="M889" s="63"/>
      <c r="N889" s="63"/>
      <c r="O889" s="63"/>
      <c r="P889" s="63"/>
      <c r="Q889" s="63"/>
      <c r="R889" s="63"/>
      <c r="S889" s="63"/>
      <c r="T889" s="63"/>
      <c r="U889" s="63"/>
      <c r="V889" s="63"/>
      <c r="W889" s="63"/>
      <c r="X889" s="63"/>
      <c r="Y889" s="63"/>
      <c r="Z889" s="63"/>
      <c r="AA889" s="63"/>
      <c r="AB889" s="63"/>
      <c r="AC889" s="63"/>
    </row>
    <row r="890" spans="1:29">
      <c r="A890" s="62"/>
      <c r="B890" s="62"/>
      <c r="C890" s="62"/>
      <c r="D890" s="62"/>
      <c r="E890" s="62"/>
      <c r="F890" s="62"/>
      <c r="G890" s="62"/>
      <c r="H890" s="62"/>
      <c r="I890" s="62"/>
      <c r="J890" s="62"/>
      <c r="K890" s="53"/>
      <c r="L890" s="62"/>
      <c r="M890" s="63"/>
      <c r="N890" s="63"/>
      <c r="O890" s="63"/>
      <c r="P890" s="63"/>
      <c r="Q890" s="63"/>
      <c r="R890" s="63"/>
      <c r="S890" s="63"/>
      <c r="T890" s="63"/>
      <c r="U890" s="63"/>
      <c r="V890" s="63"/>
      <c r="W890" s="63"/>
      <c r="X890" s="63"/>
      <c r="Y890" s="63"/>
      <c r="Z890" s="63"/>
      <c r="AA890" s="63"/>
      <c r="AB890" s="63"/>
      <c r="AC890" s="63"/>
    </row>
    <row r="891" spans="1:29">
      <c r="A891" s="62"/>
      <c r="B891" s="62"/>
      <c r="C891" s="62"/>
      <c r="D891" s="62"/>
      <c r="E891" s="62"/>
      <c r="F891" s="62"/>
      <c r="G891" s="62"/>
      <c r="H891" s="62"/>
      <c r="I891" s="62"/>
      <c r="J891" s="62"/>
      <c r="K891" s="53"/>
      <c r="L891" s="62"/>
      <c r="M891" s="63"/>
      <c r="N891" s="63"/>
      <c r="O891" s="63"/>
      <c r="P891" s="63"/>
      <c r="Q891" s="63"/>
      <c r="R891" s="63"/>
      <c r="S891" s="63"/>
      <c r="T891" s="63"/>
      <c r="U891" s="63"/>
      <c r="V891" s="63"/>
      <c r="W891" s="63"/>
      <c r="X891" s="63"/>
      <c r="Y891" s="63"/>
      <c r="Z891" s="63"/>
      <c r="AA891" s="63"/>
      <c r="AB891" s="63"/>
      <c r="AC891" s="63"/>
    </row>
    <row r="892" spans="1:29">
      <c r="A892" s="62"/>
      <c r="B892" s="62"/>
      <c r="C892" s="62"/>
      <c r="D892" s="62"/>
      <c r="E892" s="62"/>
      <c r="F892" s="62"/>
      <c r="G892" s="62"/>
      <c r="H892" s="62"/>
      <c r="I892" s="62"/>
      <c r="J892" s="62"/>
      <c r="K892" s="53"/>
      <c r="L892" s="62"/>
      <c r="M892" s="63"/>
      <c r="N892" s="63"/>
      <c r="O892" s="63"/>
      <c r="P892" s="63"/>
      <c r="Q892" s="63"/>
      <c r="R892" s="63"/>
      <c r="S892" s="63"/>
      <c r="T892" s="63"/>
      <c r="U892" s="63"/>
      <c r="V892" s="63"/>
      <c r="W892" s="63"/>
      <c r="X892" s="63"/>
      <c r="Y892" s="63"/>
      <c r="Z892" s="63"/>
      <c r="AA892" s="63"/>
      <c r="AB892" s="63"/>
      <c r="AC892" s="63"/>
    </row>
    <row r="893" spans="1:29">
      <c r="A893" s="62"/>
      <c r="B893" s="62"/>
      <c r="C893" s="62"/>
      <c r="D893" s="62"/>
      <c r="E893" s="62"/>
      <c r="F893" s="62"/>
      <c r="G893" s="62"/>
      <c r="H893" s="62"/>
      <c r="I893" s="62"/>
      <c r="J893" s="62"/>
      <c r="K893" s="53"/>
      <c r="L893" s="62"/>
      <c r="M893" s="63"/>
      <c r="N893" s="63"/>
      <c r="O893" s="63"/>
      <c r="P893" s="63"/>
      <c r="Q893" s="63"/>
      <c r="R893" s="63"/>
      <c r="S893" s="63"/>
      <c r="T893" s="63"/>
      <c r="U893" s="63"/>
      <c r="V893" s="63"/>
      <c r="W893" s="63"/>
      <c r="X893" s="63"/>
      <c r="Y893" s="63"/>
      <c r="Z893" s="63"/>
      <c r="AA893" s="63"/>
      <c r="AB893" s="63"/>
      <c r="AC893" s="63"/>
    </row>
    <row r="894" spans="1:29">
      <c r="A894" s="62"/>
      <c r="B894" s="62"/>
      <c r="C894" s="62"/>
      <c r="D894" s="62"/>
      <c r="E894" s="62"/>
      <c r="F894" s="62"/>
      <c r="G894" s="62"/>
      <c r="H894" s="62"/>
      <c r="I894" s="62"/>
      <c r="J894" s="62"/>
      <c r="K894" s="53"/>
      <c r="L894" s="62"/>
      <c r="M894" s="63"/>
      <c r="N894" s="63"/>
      <c r="O894" s="63"/>
      <c r="P894" s="63"/>
      <c r="Q894" s="63"/>
      <c r="R894" s="63"/>
      <c r="S894" s="63"/>
      <c r="T894" s="63"/>
      <c r="U894" s="63"/>
      <c r="V894" s="63"/>
      <c r="W894" s="63"/>
      <c r="X894" s="63"/>
      <c r="Y894" s="63"/>
      <c r="Z894" s="63"/>
      <c r="AA894" s="63"/>
      <c r="AB894" s="63"/>
      <c r="AC894" s="63"/>
    </row>
    <row r="895" spans="1:29">
      <c r="A895" s="62"/>
      <c r="B895" s="62"/>
      <c r="C895" s="62"/>
      <c r="D895" s="62"/>
      <c r="E895" s="62"/>
      <c r="F895" s="62"/>
      <c r="G895" s="62"/>
      <c r="H895" s="62"/>
      <c r="I895" s="62"/>
      <c r="J895" s="62"/>
      <c r="K895" s="53"/>
      <c r="L895" s="62"/>
      <c r="M895" s="63"/>
      <c r="N895" s="63"/>
      <c r="O895" s="63"/>
      <c r="P895" s="63"/>
      <c r="Q895" s="63"/>
      <c r="R895" s="63"/>
      <c r="S895" s="63"/>
      <c r="T895" s="63"/>
      <c r="U895" s="63"/>
      <c r="V895" s="63"/>
      <c r="W895" s="63"/>
      <c r="X895" s="63"/>
      <c r="Y895" s="63"/>
      <c r="Z895" s="63"/>
      <c r="AA895" s="63"/>
      <c r="AB895" s="63"/>
      <c r="AC895" s="63"/>
    </row>
    <row r="896" spans="1:29">
      <c r="A896" s="62"/>
      <c r="B896" s="62"/>
      <c r="C896" s="62"/>
      <c r="D896" s="62"/>
      <c r="E896" s="62"/>
      <c r="F896" s="62"/>
      <c r="G896" s="62"/>
      <c r="H896" s="62"/>
      <c r="I896" s="62"/>
      <c r="J896" s="62"/>
      <c r="K896" s="53"/>
      <c r="L896" s="62"/>
      <c r="M896" s="63"/>
      <c r="N896" s="63"/>
      <c r="O896" s="63"/>
      <c r="P896" s="63"/>
      <c r="Q896" s="63"/>
      <c r="R896" s="63"/>
      <c r="S896" s="63"/>
      <c r="T896" s="63"/>
      <c r="U896" s="63"/>
      <c r="V896" s="63"/>
      <c r="W896" s="63"/>
      <c r="X896" s="63"/>
      <c r="Y896" s="63"/>
      <c r="Z896" s="63"/>
      <c r="AA896" s="63"/>
      <c r="AB896" s="63"/>
      <c r="AC896" s="63"/>
    </row>
    <row r="897" spans="1:29">
      <c r="A897" s="62"/>
      <c r="B897" s="62"/>
      <c r="C897" s="62"/>
      <c r="D897" s="62"/>
      <c r="E897" s="62"/>
      <c r="F897" s="62"/>
      <c r="G897" s="62"/>
      <c r="H897" s="62"/>
      <c r="I897" s="62"/>
      <c r="J897" s="62"/>
      <c r="K897" s="53"/>
      <c r="L897" s="62"/>
      <c r="M897" s="63"/>
      <c r="N897" s="63"/>
      <c r="O897" s="63"/>
      <c r="P897" s="63"/>
      <c r="Q897" s="63"/>
      <c r="R897" s="63"/>
      <c r="S897" s="63"/>
      <c r="T897" s="63"/>
      <c r="U897" s="63"/>
      <c r="V897" s="63"/>
      <c r="W897" s="63"/>
      <c r="X897" s="63"/>
      <c r="Y897" s="63"/>
      <c r="Z897" s="63"/>
      <c r="AA897" s="63"/>
      <c r="AB897" s="63"/>
      <c r="AC897" s="63"/>
    </row>
    <row r="898" spans="1:29">
      <c r="A898" s="62"/>
      <c r="B898" s="62"/>
      <c r="C898" s="62"/>
      <c r="D898" s="62"/>
      <c r="E898" s="62"/>
      <c r="F898" s="62"/>
      <c r="G898" s="62"/>
      <c r="H898" s="62"/>
      <c r="I898" s="62"/>
      <c r="J898" s="62"/>
      <c r="K898" s="53"/>
      <c r="L898" s="62"/>
      <c r="M898" s="63"/>
      <c r="N898" s="63"/>
      <c r="O898" s="63"/>
      <c r="P898" s="63"/>
      <c r="Q898" s="63"/>
      <c r="R898" s="63"/>
      <c r="S898" s="63"/>
      <c r="T898" s="63"/>
      <c r="U898" s="63"/>
      <c r="V898" s="63"/>
      <c r="W898" s="63"/>
      <c r="X898" s="63"/>
      <c r="Y898" s="63"/>
      <c r="Z898" s="63"/>
      <c r="AA898" s="63"/>
      <c r="AB898" s="63"/>
      <c r="AC898" s="63"/>
    </row>
    <row r="899" spans="1:29">
      <c r="A899" s="62"/>
      <c r="B899" s="62"/>
      <c r="C899" s="62"/>
      <c r="D899" s="62"/>
      <c r="E899" s="62"/>
      <c r="F899" s="62"/>
      <c r="G899" s="62"/>
      <c r="H899" s="62"/>
      <c r="I899" s="62"/>
      <c r="J899" s="62"/>
      <c r="K899" s="53"/>
      <c r="L899" s="62"/>
      <c r="M899" s="63"/>
      <c r="N899" s="63"/>
      <c r="O899" s="63"/>
      <c r="P899" s="63"/>
      <c r="Q899" s="63"/>
      <c r="R899" s="63"/>
      <c r="S899" s="63"/>
      <c r="T899" s="63"/>
      <c r="U899" s="63"/>
      <c r="V899" s="63"/>
      <c r="W899" s="63"/>
      <c r="X899" s="63"/>
      <c r="Y899" s="63"/>
      <c r="Z899" s="63"/>
      <c r="AA899" s="63"/>
      <c r="AB899" s="63"/>
      <c r="AC899" s="63"/>
    </row>
    <row r="900" spans="1:29">
      <c r="A900" s="62"/>
      <c r="B900" s="62"/>
      <c r="C900" s="62"/>
      <c r="D900" s="62"/>
      <c r="E900" s="62"/>
      <c r="F900" s="62"/>
      <c r="G900" s="62"/>
      <c r="H900" s="62"/>
      <c r="I900" s="62"/>
      <c r="J900" s="62"/>
      <c r="K900" s="53"/>
      <c r="L900" s="62"/>
      <c r="M900" s="63"/>
      <c r="N900" s="63"/>
      <c r="O900" s="63"/>
      <c r="P900" s="63"/>
      <c r="Q900" s="63"/>
      <c r="R900" s="63"/>
      <c r="S900" s="63"/>
      <c r="T900" s="63"/>
      <c r="U900" s="63"/>
      <c r="V900" s="63"/>
      <c r="W900" s="63"/>
      <c r="X900" s="63"/>
      <c r="Y900" s="63"/>
      <c r="Z900" s="63"/>
      <c r="AA900" s="63"/>
      <c r="AB900" s="63"/>
      <c r="AC900" s="63"/>
    </row>
    <row r="901" spans="1:29">
      <c r="A901" s="62"/>
      <c r="B901" s="62"/>
      <c r="C901" s="62"/>
      <c r="D901" s="62"/>
      <c r="E901" s="62"/>
      <c r="F901" s="62"/>
      <c r="G901" s="62"/>
      <c r="H901" s="62"/>
      <c r="I901" s="62"/>
      <c r="J901" s="62"/>
      <c r="K901" s="53"/>
      <c r="L901" s="62"/>
      <c r="M901" s="63"/>
      <c r="N901" s="63"/>
      <c r="O901" s="63"/>
      <c r="P901" s="63"/>
      <c r="Q901" s="63"/>
      <c r="R901" s="63"/>
      <c r="S901" s="63"/>
      <c r="T901" s="63"/>
      <c r="U901" s="63"/>
      <c r="V901" s="63"/>
      <c r="W901" s="63"/>
      <c r="X901" s="63"/>
      <c r="Y901" s="63"/>
      <c r="Z901" s="63"/>
      <c r="AA901" s="63"/>
      <c r="AB901" s="63"/>
      <c r="AC901" s="63"/>
    </row>
    <row r="902" spans="1:29">
      <c r="A902" s="62"/>
      <c r="B902" s="62"/>
      <c r="C902" s="62"/>
      <c r="D902" s="62"/>
      <c r="E902" s="62"/>
      <c r="F902" s="62"/>
      <c r="G902" s="62"/>
      <c r="H902" s="62"/>
      <c r="I902" s="62"/>
      <c r="J902" s="62"/>
      <c r="K902" s="53"/>
      <c r="L902" s="62"/>
      <c r="M902" s="63"/>
      <c r="N902" s="63"/>
      <c r="O902" s="63"/>
      <c r="P902" s="63"/>
      <c r="Q902" s="63"/>
      <c r="R902" s="63"/>
      <c r="S902" s="63"/>
      <c r="T902" s="63"/>
      <c r="U902" s="63"/>
      <c r="V902" s="63"/>
      <c r="W902" s="63"/>
      <c r="X902" s="63"/>
      <c r="Y902" s="63"/>
      <c r="Z902" s="63"/>
      <c r="AA902" s="63"/>
      <c r="AB902" s="63"/>
      <c r="AC902" s="63"/>
    </row>
    <row r="903" spans="1:29">
      <c r="A903" s="62"/>
      <c r="B903" s="62"/>
      <c r="C903" s="62"/>
      <c r="D903" s="62"/>
      <c r="E903" s="62"/>
      <c r="F903" s="62"/>
      <c r="G903" s="62"/>
      <c r="H903" s="62"/>
      <c r="I903" s="62"/>
      <c r="J903" s="62"/>
      <c r="K903" s="53"/>
      <c r="L903" s="62"/>
      <c r="M903" s="63"/>
      <c r="N903" s="63"/>
      <c r="O903" s="63"/>
      <c r="P903" s="63"/>
      <c r="Q903" s="63"/>
      <c r="R903" s="63"/>
      <c r="S903" s="63"/>
      <c r="T903" s="63"/>
      <c r="U903" s="63"/>
      <c r="V903" s="63"/>
      <c r="W903" s="63"/>
      <c r="X903" s="63"/>
      <c r="Y903" s="63"/>
      <c r="Z903" s="63"/>
      <c r="AA903" s="63"/>
      <c r="AB903" s="63"/>
      <c r="AC903" s="63"/>
    </row>
    <row r="904" spans="1:29">
      <c r="A904" s="62"/>
      <c r="B904" s="62"/>
      <c r="C904" s="62"/>
      <c r="D904" s="62"/>
      <c r="E904" s="62"/>
      <c r="F904" s="62"/>
      <c r="G904" s="62"/>
      <c r="H904" s="62"/>
      <c r="I904" s="62"/>
      <c r="J904" s="62"/>
      <c r="K904" s="53"/>
      <c r="L904" s="62"/>
      <c r="M904" s="63"/>
      <c r="N904" s="63"/>
      <c r="O904" s="63"/>
      <c r="P904" s="63"/>
      <c r="Q904" s="63"/>
      <c r="R904" s="63"/>
      <c r="S904" s="63"/>
      <c r="T904" s="63"/>
      <c r="U904" s="63"/>
      <c r="V904" s="63"/>
      <c r="W904" s="63"/>
      <c r="X904" s="63"/>
      <c r="Y904" s="63"/>
      <c r="Z904" s="63"/>
      <c r="AA904" s="63"/>
      <c r="AB904" s="63"/>
      <c r="AC904" s="63"/>
    </row>
    <row r="905" spans="1:29">
      <c r="A905" s="62"/>
      <c r="B905" s="62"/>
      <c r="C905" s="62"/>
      <c r="D905" s="62"/>
      <c r="E905" s="62"/>
      <c r="F905" s="62"/>
      <c r="G905" s="62"/>
      <c r="H905" s="62"/>
      <c r="I905" s="62"/>
      <c r="J905" s="62"/>
      <c r="K905" s="53"/>
      <c r="L905" s="62"/>
      <c r="M905" s="63"/>
      <c r="N905" s="63"/>
      <c r="O905" s="63"/>
      <c r="P905" s="63"/>
      <c r="Q905" s="63"/>
      <c r="R905" s="63"/>
      <c r="S905" s="63"/>
      <c r="T905" s="63"/>
      <c r="U905" s="63"/>
      <c r="V905" s="63"/>
      <c r="W905" s="63"/>
      <c r="X905" s="63"/>
      <c r="Y905" s="63"/>
      <c r="Z905" s="63"/>
      <c r="AA905" s="63"/>
      <c r="AB905" s="63"/>
      <c r="AC905" s="63"/>
    </row>
    <row r="906" spans="1:29">
      <c r="A906" s="62"/>
      <c r="B906" s="62"/>
      <c r="C906" s="62"/>
      <c r="D906" s="62"/>
      <c r="E906" s="62"/>
      <c r="F906" s="62"/>
      <c r="G906" s="62"/>
      <c r="H906" s="62"/>
      <c r="I906" s="62"/>
      <c r="J906" s="62"/>
      <c r="K906" s="53"/>
      <c r="L906" s="62"/>
      <c r="M906" s="63"/>
      <c r="N906" s="63"/>
      <c r="O906" s="63"/>
      <c r="P906" s="63"/>
      <c r="Q906" s="63"/>
      <c r="R906" s="63"/>
      <c r="S906" s="63"/>
      <c r="T906" s="63"/>
      <c r="U906" s="63"/>
      <c r="V906" s="63"/>
      <c r="W906" s="63"/>
      <c r="X906" s="63"/>
      <c r="Y906" s="63"/>
      <c r="Z906" s="63"/>
      <c r="AA906" s="63"/>
      <c r="AB906" s="63"/>
      <c r="AC906" s="63"/>
    </row>
    <row r="907" spans="1:29">
      <c r="A907" s="62"/>
      <c r="B907" s="62"/>
      <c r="C907" s="62"/>
      <c r="D907" s="62"/>
      <c r="E907" s="62"/>
      <c r="F907" s="62"/>
      <c r="G907" s="62"/>
      <c r="H907" s="62"/>
      <c r="I907" s="62"/>
      <c r="J907" s="62"/>
      <c r="K907" s="53"/>
      <c r="L907" s="62"/>
      <c r="M907" s="63"/>
      <c r="N907" s="63"/>
      <c r="O907" s="63"/>
      <c r="P907" s="63"/>
      <c r="Q907" s="63"/>
      <c r="R907" s="63"/>
      <c r="S907" s="63"/>
      <c r="T907" s="63"/>
      <c r="U907" s="63"/>
      <c r="V907" s="63"/>
      <c r="W907" s="63"/>
      <c r="X907" s="63"/>
      <c r="Y907" s="63"/>
      <c r="Z907" s="63"/>
      <c r="AA907" s="63"/>
      <c r="AB907" s="63"/>
      <c r="AC907" s="63"/>
    </row>
    <row r="908" spans="1:29">
      <c r="A908" s="62"/>
      <c r="B908" s="62"/>
      <c r="C908" s="62"/>
      <c r="D908" s="62"/>
      <c r="E908" s="62"/>
      <c r="F908" s="62"/>
      <c r="G908" s="62"/>
      <c r="H908" s="62"/>
      <c r="I908" s="62"/>
      <c r="J908" s="62"/>
      <c r="K908" s="53"/>
      <c r="L908" s="62"/>
      <c r="M908" s="63"/>
      <c r="N908" s="63"/>
      <c r="O908" s="63"/>
      <c r="P908" s="63"/>
      <c r="Q908" s="63"/>
      <c r="R908" s="63"/>
      <c r="S908" s="63"/>
      <c r="T908" s="63"/>
      <c r="U908" s="63"/>
      <c r="V908" s="63"/>
      <c r="W908" s="63"/>
      <c r="X908" s="63"/>
      <c r="Y908" s="63"/>
      <c r="Z908" s="63"/>
      <c r="AA908" s="63"/>
      <c r="AB908" s="63"/>
      <c r="AC908" s="63"/>
    </row>
    <row r="909" spans="1:29">
      <c r="A909" s="62"/>
      <c r="B909" s="62"/>
      <c r="C909" s="62"/>
      <c r="D909" s="62"/>
      <c r="E909" s="62"/>
      <c r="F909" s="62"/>
      <c r="G909" s="62"/>
      <c r="H909" s="62"/>
      <c r="I909" s="62"/>
      <c r="J909" s="62"/>
      <c r="K909" s="53"/>
      <c r="L909" s="62"/>
      <c r="M909" s="63"/>
      <c r="N909" s="63"/>
      <c r="O909" s="63"/>
      <c r="P909" s="63"/>
      <c r="Q909" s="63"/>
      <c r="R909" s="63"/>
      <c r="S909" s="63"/>
      <c r="T909" s="63"/>
      <c r="U909" s="63"/>
      <c r="V909" s="63"/>
      <c r="W909" s="63"/>
      <c r="X909" s="63"/>
      <c r="Y909" s="63"/>
      <c r="Z909" s="63"/>
      <c r="AA909" s="63"/>
      <c r="AB909" s="63"/>
      <c r="AC909" s="63"/>
    </row>
    <row r="910" spans="1:29">
      <c r="A910" s="62"/>
      <c r="B910" s="62"/>
      <c r="C910" s="62"/>
      <c r="D910" s="62"/>
      <c r="E910" s="62"/>
      <c r="F910" s="62"/>
      <c r="G910" s="62"/>
      <c r="H910" s="62"/>
      <c r="I910" s="62"/>
      <c r="J910" s="62"/>
      <c r="K910" s="53"/>
      <c r="L910" s="62"/>
      <c r="M910" s="63"/>
      <c r="N910" s="63"/>
      <c r="O910" s="63"/>
      <c r="P910" s="63"/>
      <c r="Q910" s="63"/>
      <c r="R910" s="63"/>
      <c r="S910" s="63"/>
      <c r="T910" s="63"/>
      <c r="U910" s="63"/>
      <c r="V910" s="63"/>
      <c r="W910" s="63"/>
      <c r="X910" s="63"/>
      <c r="Y910" s="63"/>
      <c r="Z910" s="63"/>
      <c r="AA910" s="63"/>
      <c r="AB910" s="63"/>
      <c r="AC910" s="63"/>
    </row>
    <row r="911" spans="1:29">
      <c r="A911" s="62"/>
      <c r="B911" s="62"/>
      <c r="C911" s="62"/>
      <c r="D911" s="62"/>
      <c r="E911" s="62"/>
      <c r="F911" s="62"/>
      <c r="G911" s="62"/>
      <c r="H911" s="62"/>
      <c r="I911" s="62"/>
      <c r="J911" s="62"/>
      <c r="K911" s="53"/>
      <c r="L911" s="62"/>
      <c r="M911" s="63"/>
      <c r="N911" s="63"/>
      <c r="O911" s="63"/>
      <c r="P911" s="63"/>
      <c r="Q911" s="63"/>
      <c r="R911" s="63"/>
      <c r="S911" s="63"/>
      <c r="T911" s="63"/>
      <c r="U911" s="63"/>
      <c r="V911" s="63"/>
      <c r="W911" s="63"/>
      <c r="X911" s="63"/>
      <c r="Y911" s="63"/>
      <c r="Z911" s="63"/>
      <c r="AA911" s="63"/>
      <c r="AB911" s="63"/>
      <c r="AC911" s="63"/>
    </row>
    <row r="912" spans="1:29">
      <c r="A912" s="62"/>
      <c r="B912" s="62"/>
      <c r="C912" s="62"/>
      <c r="D912" s="62"/>
      <c r="E912" s="62"/>
      <c r="F912" s="62"/>
      <c r="G912" s="62"/>
      <c r="H912" s="62"/>
      <c r="I912" s="62"/>
      <c r="J912" s="62"/>
      <c r="K912" s="53"/>
      <c r="L912" s="62"/>
      <c r="M912" s="63"/>
      <c r="N912" s="63"/>
      <c r="O912" s="63"/>
      <c r="P912" s="63"/>
      <c r="Q912" s="63"/>
      <c r="R912" s="63"/>
      <c r="S912" s="63"/>
      <c r="T912" s="63"/>
      <c r="U912" s="63"/>
      <c r="V912" s="63"/>
      <c r="W912" s="63"/>
      <c r="X912" s="63"/>
      <c r="Y912" s="63"/>
      <c r="Z912" s="63"/>
      <c r="AA912" s="63"/>
      <c r="AB912" s="63"/>
      <c r="AC912" s="63"/>
    </row>
    <row r="913" spans="1:29">
      <c r="A913" s="62"/>
      <c r="B913" s="62"/>
      <c r="C913" s="62"/>
      <c r="D913" s="62"/>
      <c r="E913" s="62"/>
      <c r="F913" s="62"/>
      <c r="G913" s="62"/>
      <c r="H913" s="62"/>
      <c r="I913" s="62"/>
      <c r="J913" s="62"/>
      <c r="K913" s="53"/>
      <c r="L913" s="62"/>
      <c r="M913" s="63"/>
      <c r="N913" s="63"/>
      <c r="O913" s="63"/>
      <c r="P913" s="63"/>
      <c r="Q913" s="63"/>
      <c r="R913" s="63"/>
      <c r="S913" s="63"/>
      <c r="T913" s="63"/>
      <c r="U913" s="63"/>
      <c r="V913" s="63"/>
      <c r="W913" s="63"/>
      <c r="X913" s="63"/>
      <c r="Y913" s="63"/>
      <c r="Z913" s="63"/>
      <c r="AA913" s="63"/>
      <c r="AB913" s="63"/>
      <c r="AC913" s="63"/>
    </row>
    <row r="914" spans="1:29">
      <c r="A914" s="62"/>
      <c r="B914" s="62"/>
      <c r="C914" s="62"/>
      <c r="D914" s="62"/>
      <c r="E914" s="62"/>
      <c r="F914" s="62"/>
      <c r="G914" s="62"/>
      <c r="H914" s="62"/>
      <c r="I914" s="62"/>
      <c r="J914" s="62"/>
      <c r="K914" s="53"/>
      <c r="L914" s="62"/>
      <c r="M914" s="63"/>
      <c r="N914" s="63"/>
      <c r="O914" s="63"/>
      <c r="P914" s="63"/>
      <c r="Q914" s="63"/>
      <c r="R914" s="63"/>
      <c r="S914" s="63"/>
      <c r="T914" s="63"/>
      <c r="U914" s="63"/>
      <c r="V914" s="63"/>
      <c r="W914" s="63"/>
      <c r="X914" s="63"/>
      <c r="Y914" s="63"/>
      <c r="Z914" s="63"/>
      <c r="AA914" s="63"/>
      <c r="AB914" s="63"/>
      <c r="AC914" s="63"/>
    </row>
    <row r="915" spans="1:29">
      <c r="A915" s="62"/>
      <c r="B915" s="62"/>
      <c r="C915" s="62"/>
      <c r="D915" s="62"/>
      <c r="E915" s="62"/>
      <c r="F915" s="62"/>
      <c r="G915" s="62"/>
      <c r="H915" s="62"/>
      <c r="I915" s="62"/>
      <c r="J915" s="62"/>
      <c r="K915" s="53"/>
      <c r="L915" s="62"/>
      <c r="M915" s="63"/>
      <c r="N915" s="63"/>
      <c r="O915" s="63"/>
      <c r="P915" s="63"/>
      <c r="Q915" s="63"/>
      <c r="R915" s="63"/>
      <c r="S915" s="63"/>
      <c r="T915" s="63"/>
      <c r="U915" s="63"/>
      <c r="V915" s="63"/>
      <c r="W915" s="63"/>
      <c r="X915" s="63"/>
      <c r="Y915" s="63"/>
      <c r="Z915" s="63"/>
      <c r="AA915" s="63"/>
      <c r="AB915" s="63"/>
      <c r="AC915" s="63"/>
    </row>
    <row r="916" spans="1:29">
      <c r="A916" s="62"/>
      <c r="B916" s="62"/>
      <c r="C916" s="62"/>
      <c r="D916" s="62"/>
      <c r="E916" s="62"/>
      <c r="F916" s="62"/>
      <c r="G916" s="62"/>
      <c r="H916" s="62"/>
      <c r="I916" s="62"/>
      <c r="J916" s="62"/>
      <c r="K916" s="53"/>
      <c r="L916" s="62"/>
      <c r="M916" s="63"/>
      <c r="N916" s="63"/>
      <c r="O916" s="63"/>
      <c r="P916" s="63"/>
      <c r="Q916" s="63"/>
      <c r="R916" s="63"/>
      <c r="S916" s="63"/>
      <c r="T916" s="63"/>
      <c r="U916" s="63"/>
      <c r="V916" s="63"/>
      <c r="W916" s="63"/>
      <c r="X916" s="63"/>
      <c r="Y916" s="63"/>
      <c r="Z916" s="63"/>
      <c r="AA916" s="63"/>
      <c r="AB916" s="63"/>
      <c r="AC916" s="63"/>
    </row>
    <row r="917" spans="1:29">
      <c r="A917" s="62"/>
      <c r="B917" s="62"/>
      <c r="C917" s="62"/>
      <c r="D917" s="62"/>
      <c r="E917" s="62"/>
      <c r="F917" s="62"/>
      <c r="G917" s="62"/>
      <c r="H917" s="62"/>
      <c r="I917" s="62"/>
      <c r="J917" s="62"/>
      <c r="K917" s="53"/>
      <c r="L917" s="62"/>
      <c r="M917" s="63"/>
      <c r="N917" s="63"/>
      <c r="O917" s="63"/>
      <c r="P917" s="63"/>
      <c r="Q917" s="63"/>
      <c r="R917" s="63"/>
      <c r="S917" s="63"/>
      <c r="T917" s="63"/>
      <c r="U917" s="63"/>
      <c r="V917" s="63"/>
      <c r="W917" s="63"/>
      <c r="X917" s="63"/>
      <c r="Y917" s="63"/>
      <c r="Z917" s="63"/>
      <c r="AA917" s="63"/>
      <c r="AB917" s="63"/>
      <c r="AC917" s="63"/>
    </row>
    <row r="918" spans="1:29">
      <c r="A918" s="62"/>
      <c r="B918" s="62"/>
      <c r="C918" s="62"/>
      <c r="D918" s="62"/>
      <c r="E918" s="62"/>
      <c r="F918" s="62"/>
      <c r="G918" s="62"/>
      <c r="H918" s="62"/>
      <c r="I918" s="62"/>
      <c r="J918" s="62"/>
      <c r="K918" s="53"/>
      <c r="L918" s="62"/>
      <c r="M918" s="63"/>
      <c r="N918" s="63"/>
      <c r="O918" s="63"/>
      <c r="P918" s="63"/>
      <c r="Q918" s="63"/>
      <c r="R918" s="63"/>
      <c r="S918" s="63"/>
      <c r="T918" s="63"/>
      <c r="U918" s="63"/>
      <c r="V918" s="63"/>
      <c r="W918" s="63"/>
      <c r="X918" s="63"/>
      <c r="Y918" s="63"/>
      <c r="Z918" s="63"/>
      <c r="AA918" s="63"/>
      <c r="AB918" s="63"/>
      <c r="AC918" s="63"/>
    </row>
    <row r="919" spans="1:29">
      <c r="A919" s="62"/>
      <c r="B919" s="62"/>
      <c r="C919" s="62"/>
      <c r="D919" s="62"/>
      <c r="E919" s="62"/>
      <c r="F919" s="62"/>
      <c r="G919" s="62"/>
      <c r="H919" s="62"/>
      <c r="I919" s="62"/>
      <c r="J919" s="62"/>
      <c r="K919" s="53"/>
      <c r="L919" s="62"/>
      <c r="M919" s="63"/>
      <c r="N919" s="63"/>
      <c r="O919" s="63"/>
      <c r="P919" s="63"/>
      <c r="Q919" s="63"/>
      <c r="R919" s="63"/>
      <c r="S919" s="63"/>
      <c r="T919" s="63"/>
      <c r="U919" s="63"/>
      <c r="V919" s="63"/>
      <c r="W919" s="63"/>
      <c r="X919" s="63"/>
      <c r="Y919" s="63"/>
      <c r="Z919" s="63"/>
      <c r="AA919" s="63"/>
      <c r="AB919" s="63"/>
      <c r="AC919" s="63"/>
    </row>
    <row r="920" spans="1:29">
      <c r="A920" s="62"/>
      <c r="B920" s="62"/>
      <c r="C920" s="62"/>
      <c r="D920" s="62"/>
      <c r="E920" s="62"/>
      <c r="F920" s="62"/>
      <c r="G920" s="62"/>
      <c r="H920" s="62"/>
      <c r="I920" s="62"/>
      <c r="J920" s="62"/>
      <c r="K920" s="53"/>
      <c r="L920" s="62"/>
      <c r="M920" s="63"/>
      <c r="N920" s="63"/>
      <c r="O920" s="63"/>
      <c r="P920" s="63"/>
      <c r="Q920" s="63"/>
      <c r="R920" s="63"/>
      <c r="S920" s="63"/>
      <c r="T920" s="63"/>
      <c r="U920" s="63"/>
      <c r="V920" s="63"/>
      <c r="W920" s="63"/>
      <c r="X920" s="63"/>
      <c r="Y920" s="63"/>
      <c r="Z920" s="63"/>
      <c r="AA920" s="63"/>
      <c r="AB920" s="63"/>
      <c r="AC920" s="63"/>
    </row>
    <row r="921" spans="1:29">
      <c r="A921" s="62"/>
      <c r="B921" s="62"/>
      <c r="C921" s="62"/>
      <c r="D921" s="62"/>
      <c r="E921" s="62"/>
      <c r="F921" s="62"/>
      <c r="G921" s="62"/>
      <c r="H921" s="62"/>
      <c r="I921" s="62"/>
      <c r="J921" s="62"/>
      <c r="K921" s="53"/>
      <c r="L921" s="62"/>
      <c r="M921" s="63"/>
      <c r="N921" s="63"/>
      <c r="O921" s="63"/>
      <c r="P921" s="63"/>
      <c r="Q921" s="63"/>
      <c r="R921" s="63"/>
      <c r="S921" s="63"/>
      <c r="T921" s="63"/>
      <c r="U921" s="63"/>
      <c r="V921" s="63"/>
      <c r="W921" s="63"/>
      <c r="X921" s="63"/>
      <c r="Y921" s="63"/>
      <c r="Z921" s="63"/>
      <c r="AA921" s="63"/>
      <c r="AB921" s="63"/>
      <c r="AC921" s="63"/>
    </row>
    <row r="922" spans="1:29">
      <c r="A922" s="62"/>
      <c r="B922" s="62"/>
      <c r="C922" s="62"/>
      <c r="D922" s="62"/>
      <c r="E922" s="62"/>
      <c r="F922" s="62"/>
      <c r="G922" s="62"/>
      <c r="H922" s="62"/>
      <c r="I922" s="62"/>
      <c r="J922" s="62"/>
      <c r="K922" s="53"/>
      <c r="L922" s="62"/>
      <c r="M922" s="63"/>
      <c r="N922" s="63"/>
      <c r="O922" s="63"/>
      <c r="P922" s="63"/>
      <c r="Q922" s="63"/>
      <c r="R922" s="63"/>
      <c r="S922" s="63"/>
      <c r="T922" s="63"/>
      <c r="U922" s="63"/>
      <c r="V922" s="63"/>
      <c r="W922" s="63"/>
      <c r="X922" s="63"/>
      <c r="Y922" s="63"/>
      <c r="Z922" s="63"/>
      <c r="AA922" s="63"/>
      <c r="AB922" s="63"/>
      <c r="AC922" s="63"/>
    </row>
    <row r="923" spans="1:29">
      <c r="A923" s="62"/>
      <c r="B923" s="62"/>
      <c r="C923" s="62"/>
      <c r="D923" s="62"/>
      <c r="E923" s="62"/>
      <c r="F923" s="62"/>
      <c r="G923" s="62"/>
      <c r="H923" s="62"/>
      <c r="I923" s="62"/>
      <c r="J923" s="62"/>
      <c r="K923" s="53"/>
      <c r="L923" s="62"/>
      <c r="M923" s="63"/>
      <c r="N923" s="63"/>
      <c r="O923" s="63"/>
      <c r="P923" s="63"/>
      <c r="Q923" s="63"/>
      <c r="R923" s="63"/>
      <c r="S923" s="63"/>
      <c r="T923" s="63"/>
      <c r="U923" s="63"/>
      <c r="V923" s="63"/>
      <c r="W923" s="63"/>
      <c r="X923" s="63"/>
      <c r="Y923" s="63"/>
      <c r="Z923" s="63"/>
      <c r="AA923" s="63"/>
      <c r="AB923" s="63"/>
      <c r="AC923" s="63"/>
    </row>
    <row r="924" spans="1:29">
      <c r="A924" s="62"/>
      <c r="B924" s="62"/>
      <c r="C924" s="62"/>
      <c r="D924" s="62"/>
      <c r="E924" s="62"/>
      <c r="F924" s="62"/>
      <c r="G924" s="62"/>
      <c r="H924" s="62"/>
      <c r="I924" s="62"/>
      <c r="J924" s="62"/>
      <c r="K924" s="53"/>
      <c r="L924" s="62"/>
      <c r="M924" s="63"/>
      <c r="N924" s="63"/>
      <c r="O924" s="63"/>
      <c r="P924" s="63"/>
      <c r="Q924" s="63"/>
      <c r="R924" s="63"/>
      <c r="S924" s="63"/>
      <c r="T924" s="63"/>
      <c r="U924" s="63"/>
      <c r="V924" s="63"/>
      <c r="W924" s="63"/>
      <c r="X924" s="63"/>
      <c r="Y924" s="63"/>
      <c r="Z924" s="63"/>
      <c r="AA924" s="63"/>
      <c r="AB924" s="63"/>
      <c r="AC924" s="63"/>
    </row>
    <row r="925" spans="1:29">
      <c r="A925" s="62"/>
      <c r="B925" s="62"/>
      <c r="C925" s="62"/>
      <c r="D925" s="62"/>
      <c r="E925" s="62"/>
      <c r="F925" s="62"/>
      <c r="G925" s="62"/>
      <c r="H925" s="62"/>
      <c r="I925" s="62"/>
      <c r="J925" s="62"/>
      <c r="K925" s="53"/>
      <c r="L925" s="62"/>
      <c r="M925" s="63"/>
      <c r="N925" s="63"/>
      <c r="O925" s="63"/>
      <c r="P925" s="63"/>
      <c r="Q925" s="63"/>
      <c r="R925" s="63"/>
      <c r="S925" s="63"/>
      <c r="T925" s="63"/>
      <c r="U925" s="63"/>
      <c r="V925" s="63"/>
      <c r="W925" s="63"/>
      <c r="X925" s="63"/>
      <c r="Y925" s="63"/>
      <c r="Z925" s="63"/>
      <c r="AA925" s="63"/>
      <c r="AB925" s="63"/>
      <c r="AC925" s="63"/>
    </row>
    <row r="926" spans="1:29">
      <c r="A926" s="62"/>
      <c r="B926" s="62"/>
      <c r="C926" s="62"/>
      <c r="D926" s="62"/>
      <c r="E926" s="62"/>
      <c r="F926" s="62"/>
      <c r="G926" s="62"/>
      <c r="H926" s="62"/>
      <c r="I926" s="62"/>
      <c r="J926" s="62"/>
      <c r="K926" s="53"/>
      <c r="L926" s="62"/>
      <c r="M926" s="63"/>
      <c r="N926" s="63"/>
      <c r="O926" s="63"/>
      <c r="P926" s="63"/>
      <c r="Q926" s="63"/>
      <c r="R926" s="63"/>
      <c r="S926" s="63"/>
      <c r="T926" s="63"/>
      <c r="U926" s="63"/>
      <c r="V926" s="63"/>
      <c r="W926" s="63"/>
      <c r="X926" s="63"/>
      <c r="Y926" s="63"/>
      <c r="Z926" s="63"/>
      <c r="AA926" s="63"/>
      <c r="AB926" s="63"/>
      <c r="AC926" s="63"/>
    </row>
    <row r="927" spans="1:29">
      <c r="A927" s="62"/>
      <c r="B927" s="62"/>
      <c r="C927" s="62"/>
      <c r="D927" s="62"/>
      <c r="E927" s="62"/>
      <c r="F927" s="62"/>
      <c r="G927" s="62"/>
      <c r="H927" s="62"/>
      <c r="I927" s="62"/>
      <c r="J927" s="62"/>
      <c r="K927" s="53"/>
      <c r="L927" s="62"/>
      <c r="M927" s="63"/>
      <c r="N927" s="63"/>
      <c r="O927" s="63"/>
      <c r="P927" s="63"/>
      <c r="Q927" s="63"/>
      <c r="R927" s="63"/>
      <c r="S927" s="63"/>
      <c r="T927" s="63"/>
      <c r="U927" s="63"/>
      <c r="V927" s="63"/>
      <c r="W927" s="63"/>
      <c r="X927" s="63"/>
      <c r="Y927" s="63"/>
      <c r="Z927" s="63"/>
      <c r="AA927" s="63"/>
      <c r="AB927" s="63"/>
      <c r="AC927" s="63"/>
    </row>
    <row r="928" spans="1:29">
      <c r="A928" s="62"/>
      <c r="B928" s="62"/>
      <c r="C928" s="62"/>
      <c r="D928" s="62"/>
      <c r="E928" s="62"/>
      <c r="F928" s="62"/>
      <c r="G928" s="62"/>
      <c r="H928" s="62"/>
      <c r="I928" s="62"/>
      <c r="J928" s="62"/>
      <c r="K928" s="53"/>
      <c r="L928" s="62"/>
      <c r="M928" s="63"/>
      <c r="N928" s="63"/>
      <c r="O928" s="63"/>
      <c r="P928" s="63"/>
      <c r="Q928" s="63"/>
      <c r="R928" s="63"/>
      <c r="S928" s="63"/>
      <c r="T928" s="63"/>
      <c r="U928" s="63"/>
      <c r="V928" s="63"/>
      <c r="W928" s="63"/>
      <c r="X928" s="63"/>
      <c r="Y928" s="63"/>
      <c r="Z928" s="63"/>
      <c r="AA928" s="63"/>
      <c r="AB928" s="63"/>
      <c r="AC928" s="63"/>
    </row>
    <row r="929" spans="1:29">
      <c r="A929" s="62"/>
      <c r="B929" s="62"/>
      <c r="C929" s="62"/>
      <c r="D929" s="62"/>
      <c r="E929" s="62"/>
      <c r="F929" s="62"/>
      <c r="G929" s="62"/>
      <c r="H929" s="62"/>
      <c r="I929" s="62"/>
      <c r="J929" s="62"/>
      <c r="K929" s="53"/>
      <c r="L929" s="62"/>
      <c r="M929" s="63"/>
      <c r="N929" s="63"/>
      <c r="O929" s="63"/>
      <c r="P929" s="63"/>
      <c r="Q929" s="63"/>
      <c r="R929" s="63"/>
      <c r="S929" s="63"/>
      <c r="T929" s="63"/>
      <c r="U929" s="63"/>
      <c r="V929" s="63"/>
      <c r="W929" s="63"/>
      <c r="X929" s="63"/>
      <c r="Y929" s="63"/>
      <c r="Z929" s="63"/>
      <c r="AA929" s="63"/>
      <c r="AB929" s="63"/>
      <c r="AC929" s="63"/>
    </row>
    <row r="930" spans="1:29">
      <c r="A930" s="62"/>
      <c r="B930" s="62"/>
      <c r="C930" s="62"/>
      <c r="D930" s="62"/>
      <c r="E930" s="62"/>
      <c r="F930" s="62"/>
      <c r="G930" s="62"/>
      <c r="H930" s="62"/>
      <c r="I930" s="62"/>
      <c r="J930" s="62"/>
      <c r="K930" s="53"/>
      <c r="L930" s="62"/>
      <c r="M930" s="63"/>
      <c r="N930" s="63"/>
      <c r="O930" s="63"/>
      <c r="P930" s="63"/>
      <c r="Q930" s="63"/>
      <c r="R930" s="63"/>
      <c r="S930" s="63"/>
      <c r="T930" s="63"/>
      <c r="U930" s="63"/>
      <c r="V930" s="63"/>
      <c r="W930" s="63"/>
      <c r="X930" s="63"/>
      <c r="Y930" s="63"/>
      <c r="Z930" s="63"/>
      <c r="AA930" s="63"/>
      <c r="AB930" s="63"/>
      <c r="AC930" s="63"/>
    </row>
    <row r="931" spans="1:29">
      <c r="A931" s="62"/>
      <c r="B931" s="62"/>
      <c r="C931" s="62"/>
      <c r="D931" s="62"/>
      <c r="E931" s="62"/>
      <c r="F931" s="62"/>
      <c r="G931" s="62"/>
      <c r="H931" s="62"/>
      <c r="I931" s="62"/>
      <c r="J931" s="62"/>
      <c r="K931" s="53"/>
      <c r="L931" s="62"/>
      <c r="M931" s="63"/>
      <c r="N931" s="63"/>
      <c r="O931" s="63"/>
      <c r="P931" s="63"/>
      <c r="Q931" s="63"/>
      <c r="R931" s="63"/>
      <c r="S931" s="63"/>
      <c r="T931" s="63"/>
      <c r="U931" s="63"/>
      <c r="V931" s="63"/>
      <c r="W931" s="63"/>
      <c r="X931" s="63"/>
      <c r="Y931" s="63"/>
      <c r="Z931" s="63"/>
      <c r="AA931" s="63"/>
      <c r="AB931" s="63"/>
      <c r="AC931" s="63"/>
    </row>
    <row r="932" spans="1:29">
      <c r="A932" s="62"/>
      <c r="B932" s="62"/>
      <c r="C932" s="62"/>
      <c r="D932" s="62"/>
      <c r="E932" s="62"/>
      <c r="F932" s="62"/>
      <c r="G932" s="62"/>
      <c r="H932" s="62"/>
      <c r="I932" s="62"/>
      <c r="J932" s="62"/>
      <c r="K932" s="53"/>
      <c r="L932" s="62"/>
      <c r="M932" s="63"/>
      <c r="N932" s="63"/>
      <c r="O932" s="63"/>
      <c r="P932" s="63"/>
      <c r="Q932" s="63"/>
      <c r="R932" s="63"/>
      <c r="S932" s="63"/>
      <c r="T932" s="63"/>
      <c r="U932" s="63"/>
      <c r="V932" s="63"/>
      <c r="W932" s="63"/>
      <c r="X932" s="63"/>
      <c r="Y932" s="63"/>
      <c r="Z932" s="63"/>
      <c r="AA932" s="63"/>
      <c r="AB932" s="63"/>
      <c r="AC932" s="63"/>
    </row>
    <row r="933" spans="1:29">
      <c r="A933" s="62"/>
      <c r="B933" s="62"/>
      <c r="C933" s="62"/>
      <c r="D933" s="62"/>
      <c r="E933" s="62"/>
      <c r="F933" s="62"/>
      <c r="G933" s="62"/>
      <c r="H933" s="62"/>
      <c r="I933" s="62"/>
      <c r="J933" s="62"/>
      <c r="K933" s="53"/>
      <c r="L933" s="62"/>
      <c r="M933" s="63"/>
      <c r="N933" s="63"/>
      <c r="O933" s="63"/>
      <c r="P933" s="63"/>
      <c r="Q933" s="63"/>
      <c r="R933" s="63"/>
      <c r="S933" s="63"/>
      <c r="T933" s="63"/>
      <c r="U933" s="63"/>
      <c r="V933" s="63"/>
      <c r="W933" s="63"/>
      <c r="X933" s="63"/>
      <c r="Y933" s="63"/>
      <c r="Z933" s="63"/>
      <c r="AA933" s="63"/>
      <c r="AB933" s="63"/>
      <c r="AC933" s="63"/>
    </row>
    <row r="934" spans="1:29">
      <c r="A934" s="62"/>
      <c r="B934" s="62"/>
      <c r="C934" s="62"/>
      <c r="D934" s="62"/>
      <c r="E934" s="62"/>
      <c r="F934" s="62"/>
      <c r="G934" s="62"/>
      <c r="H934" s="62"/>
      <c r="I934" s="62"/>
      <c r="J934" s="62"/>
      <c r="K934" s="53"/>
      <c r="L934" s="62"/>
      <c r="M934" s="63"/>
      <c r="N934" s="63"/>
      <c r="O934" s="63"/>
      <c r="P934" s="63"/>
      <c r="Q934" s="63"/>
      <c r="R934" s="63"/>
      <c r="S934" s="63"/>
      <c r="T934" s="63"/>
      <c r="U934" s="63"/>
      <c r="V934" s="63"/>
      <c r="W934" s="63"/>
      <c r="X934" s="63"/>
      <c r="Y934" s="63"/>
      <c r="Z934" s="63"/>
      <c r="AA934" s="63"/>
      <c r="AB934" s="63"/>
      <c r="AC934" s="63"/>
    </row>
    <row r="935" spans="1:29">
      <c r="A935" s="62"/>
      <c r="B935" s="62"/>
      <c r="C935" s="62"/>
      <c r="D935" s="62"/>
      <c r="E935" s="62"/>
      <c r="F935" s="62"/>
      <c r="G935" s="62"/>
      <c r="H935" s="62"/>
      <c r="I935" s="62"/>
      <c r="J935" s="62"/>
      <c r="K935" s="53"/>
      <c r="L935" s="62"/>
      <c r="M935" s="63"/>
      <c r="N935" s="63"/>
      <c r="O935" s="63"/>
      <c r="P935" s="63"/>
      <c r="Q935" s="63"/>
      <c r="R935" s="63"/>
      <c r="S935" s="63"/>
      <c r="T935" s="63"/>
      <c r="U935" s="63"/>
      <c r="V935" s="63"/>
      <c r="W935" s="63"/>
      <c r="X935" s="63"/>
      <c r="Y935" s="63"/>
      <c r="Z935" s="63"/>
      <c r="AA935" s="63"/>
      <c r="AB935" s="63"/>
      <c r="AC935" s="63"/>
    </row>
    <row r="936" spans="1:29">
      <c r="A936" s="62"/>
      <c r="B936" s="62"/>
      <c r="C936" s="62"/>
      <c r="D936" s="62"/>
      <c r="E936" s="62"/>
      <c r="F936" s="62"/>
      <c r="G936" s="62"/>
      <c r="H936" s="62"/>
      <c r="I936" s="62"/>
      <c r="J936" s="62"/>
      <c r="K936" s="53"/>
      <c r="L936" s="62"/>
      <c r="M936" s="63"/>
      <c r="N936" s="63"/>
      <c r="O936" s="63"/>
      <c r="P936" s="63"/>
      <c r="Q936" s="63"/>
      <c r="R936" s="63"/>
      <c r="S936" s="63"/>
      <c r="T936" s="63"/>
      <c r="U936" s="63"/>
      <c r="V936" s="63"/>
      <c r="W936" s="63"/>
      <c r="X936" s="63"/>
      <c r="Y936" s="63"/>
      <c r="Z936" s="63"/>
      <c r="AA936" s="63"/>
      <c r="AB936" s="63"/>
      <c r="AC936" s="63"/>
    </row>
    <row r="937" spans="1:29">
      <c r="A937" s="62"/>
      <c r="B937" s="62"/>
      <c r="C937" s="62"/>
      <c r="D937" s="62"/>
      <c r="E937" s="62"/>
      <c r="F937" s="62"/>
      <c r="G937" s="62"/>
      <c r="H937" s="62"/>
      <c r="I937" s="62"/>
      <c r="J937" s="62"/>
      <c r="K937" s="53"/>
      <c r="L937" s="62"/>
      <c r="M937" s="63"/>
      <c r="N937" s="63"/>
      <c r="O937" s="63"/>
      <c r="P937" s="63"/>
      <c r="Q937" s="63"/>
      <c r="R937" s="63"/>
      <c r="S937" s="63"/>
      <c r="T937" s="63"/>
      <c r="U937" s="63"/>
      <c r="V937" s="63"/>
      <c r="W937" s="63"/>
      <c r="X937" s="63"/>
      <c r="Y937" s="63"/>
      <c r="Z937" s="63"/>
      <c r="AA937" s="63"/>
      <c r="AB937" s="63"/>
      <c r="AC937" s="63"/>
    </row>
    <row r="938" spans="1:29">
      <c r="A938" s="62"/>
      <c r="B938" s="62"/>
      <c r="C938" s="62"/>
      <c r="D938" s="62"/>
      <c r="E938" s="62"/>
      <c r="F938" s="62"/>
      <c r="G938" s="62"/>
      <c r="H938" s="62"/>
      <c r="I938" s="62"/>
      <c r="J938" s="62"/>
      <c r="K938" s="53"/>
      <c r="L938" s="62"/>
      <c r="M938" s="63"/>
      <c r="N938" s="63"/>
      <c r="O938" s="63"/>
      <c r="P938" s="63"/>
      <c r="Q938" s="63"/>
      <c r="R938" s="63"/>
      <c r="S938" s="63"/>
      <c r="T938" s="63"/>
      <c r="U938" s="63"/>
      <c r="V938" s="63"/>
      <c r="W938" s="63"/>
      <c r="X938" s="63"/>
      <c r="Y938" s="63"/>
      <c r="Z938" s="63"/>
      <c r="AA938" s="63"/>
      <c r="AB938" s="63"/>
      <c r="AC938" s="63"/>
    </row>
    <row r="939" spans="1:29">
      <c r="A939" s="62"/>
      <c r="B939" s="62"/>
      <c r="C939" s="62"/>
      <c r="D939" s="62"/>
      <c r="E939" s="62"/>
      <c r="F939" s="62"/>
      <c r="G939" s="62"/>
      <c r="H939" s="62"/>
      <c r="I939" s="62"/>
      <c r="J939" s="62"/>
      <c r="K939" s="53"/>
      <c r="L939" s="62"/>
      <c r="M939" s="63"/>
      <c r="N939" s="63"/>
      <c r="O939" s="63"/>
      <c r="P939" s="63"/>
      <c r="Q939" s="63"/>
      <c r="R939" s="63"/>
      <c r="S939" s="63"/>
      <c r="T939" s="63"/>
      <c r="U939" s="63"/>
      <c r="V939" s="63"/>
      <c r="W939" s="63"/>
      <c r="X939" s="63"/>
      <c r="Y939" s="63"/>
      <c r="Z939" s="63"/>
      <c r="AA939" s="63"/>
      <c r="AB939" s="63"/>
      <c r="AC939" s="63"/>
    </row>
    <row r="940" spans="1:29">
      <c r="A940" s="62"/>
      <c r="B940" s="62"/>
      <c r="C940" s="62"/>
      <c r="D940" s="62"/>
      <c r="E940" s="62"/>
      <c r="F940" s="62"/>
      <c r="G940" s="62"/>
      <c r="H940" s="62"/>
      <c r="I940" s="62"/>
      <c r="J940" s="62"/>
      <c r="K940" s="53"/>
      <c r="L940" s="62"/>
      <c r="M940" s="63"/>
      <c r="N940" s="63"/>
      <c r="O940" s="63"/>
      <c r="P940" s="63"/>
      <c r="Q940" s="63"/>
      <c r="R940" s="63"/>
      <c r="S940" s="63"/>
      <c r="T940" s="63"/>
      <c r="U940" s="63"/>
      <c r="V940" s="63"/>
      <c r="W940" s="63"/>
      <c r="X940" s="63"/>
      <c r="Y940" s="63"/>
      <c r="Z940" s="63"/>
      <c r="AA940" s="63"/>
      <c r="AB940" s="63"/>
      <c r="AC940" s="63"/>
    </row>
    <row r="941" spans="1:29">
      <c r="A941" s="62"/>
      <c r="B941" s="62"/>
      <c r="C941" s="62"/>
      <c r="D941" s="62"/>
      <c r="E941" s="62"/>
      <c r="F941" s="62"/>
      <c r="G941" s="62"/>
      <c r="H941" s="62"/>
      <c r="I941" s="62"/>
      <c r="J941" s="62"/>
      <c r="K941" s="53"/>
      <c r="L941" s="62"/>
      <c r="M941" s="63"/>
      <c r="N941" s="63"/>
      <c r="O941" s="63"/>
      <c r="P941" s="63"/>
      <c r="Q941" s="63"/>
      <c r="R941" s="63"/>
      <c r="S941" s="63"/>
      <c r="T941" s="63"/>
      <c r="U941" s="63"/>
      <c r="V941" s="63"/>
      <c r="W941" s="63"/>
      <c r="X941" s="63"/>
      <c r="Y941" s="63"/>
      <c r="Z941" s="63"/>
      <c r="AA941" s="63"/>
      <c r="AB941" s="63"/>
      <c r="AC941" s="63"/>
    </row>
    <row r="942" spans="1:29">
      <c r="A942" s="62"/>
      <c r="B942" s="62"/>
      <c r="C942" s="62"/>
      <c r="D942" s="62"/>
      <c r="E942" s="62"/>
      <c r="F942" s="62"/>
      <c r="G942" s="62"/>
      <c r="H942" s="62"/>
      <c r="I942" s="62"/>
      <c r="J942" s="62"/>
      <c r="K942" s="53"/>
      <c r="L942" s="62"/>
      <c r="M942" s="63"/>
      <c r="N942" s="63"/>
      <c r="O942" s="63"/>
      <c r="P942" s="63"/>
      <c r="Q942" s="63"/>
      <c r="R942" s="63"/>
      <c r="S942" s="63"/>
      <c r="T942" s="63"/>
      <c r="U942" s="63"/>
      <c r="V942" s="63"/>
      <c r="W942" s="63"/>
      <c r="X942" s="63"/>
      <c r="Y942" s="63"/>
      <c r="Z942" s="63"/>
      <c r="AA942" s="63"/>
      <c r="AB942" s="63"/>
      <c r="AC942" s="63"/>
    </row>
    <row r="943" spans="1:29">
      <c r="A943" s="62"/>
      <c r="B943" s="62"/>
      <c r="C943" s="62"/>
      <c r="D943" s="62"/>
      <c r="E943" s="62"/>
      <c r="F943" s="62"/>
      <c r="G943" s="62"/>
      <c r="H943" s="62"/>
      <c r="I943" s="62"/>
      <c r="J943" s="62"/>
      <c r="K943" s="53"/>
      <c r="L943" s="62"/>
      <c r="M943" s="63"/>
      <c r="N943" s="63"/>
      <c r="O943" s="63"/>
      <c r="P943" s="63"/>
      <c r="Q943" s="63"/>
      <c r="R943" s="63"/>
      <c r="S943" s="63"/>
      <c r="T943" s="63"/>
      <c r="U943" s="63"/>
      <c r="V943" s="63"/>
      <c r="W943" s="63"/>
      <c r="X943" s="63"/>
      <c r="Y943" s="63"/>
      <c r="Z943" s="63"/>
      <c r="AA943" s="63"/>
      <c r="AB943" s="63"/>
      <c r="AC943" s="63"/>
    </row>
    <row r="944" spans="1:29">
      <c r="A944" s="62"/>
      <c r="B944" s="62"/>
      <c r="C944" s="62"/>
      <c r="D944" s="62"/>
      <c r="E944" s="62"/>
      <c r="F944" s="62"/>
      <c r="G944" s="62"/>
      <c r="H944" s="62"/>
      <c r="I944" s="62"/>
      <c r="J944" s="62"/>
      <c r="K944" s="53"/>
      <c r="L944" s="62"/>
      <c r="M944" s="63"/>
      <c r="N944" s="63"/>
      <c r="O944" s="63"/>
      <c r="P944" s="63"/>
      <c r="Q944" s="63"/>
      <c r="R944" s="63"/>
      <c r="S944" s="63"/>
      <c r="T944" s="63"/>
      <c r="U944" s="63"/>
      <c r="V944" s="63"/>
      <c r="W944" s="63"/>
      <c r="X944" s="63"/>
      <c r="Y944" s="63"/>
      <c r="Z944" s="63"/>
      <c r="AA944" s="63"/>
      <c r="AB944" s="63"/>
      <c r="AC944" s="63"/>
    </row>
    <row r="945" spans="1:29">
      <c r="A945" s="62"/>
      <c r="B945" s="62"/>
      <c r="C945" s="62"/>
      <c r="D945" s="62"/>
      <c r="E945" s="62"/>
      <c r="F945" s="62"/>
      <c r="G945" s="62"/>
      <c r="H945" s="62"/>
      <c r="I945" s="62"/>
      <c r="J945" s="62"/>
      <c r="K945" s="53"/>
      <c r="L945" s="62"/>
      <c r="M945" s="63"/>
      <c r="N945" s="63"/>
      <c r="O945" s="63"/>
      <c r="P945" s="63"/>
      <c r="Q945" s="63"/>
      <c r="R945" s="63"/>
      <c r="S945" s="63"/>
      <c r="T945" s="63"/>
      <c r="U945" s="63"/>
      <c r="V945" s="63"/>
      <c r="W945" s="63"/>
      <c r="X945" s="63"/>
      <c r="Y945" s="63"/>
      <c r="Z945" s="63"/>
      <c r="AA945" s="63"/>
      <c r="AB945" s="63"/>
      <c r="AC945" s="63"/>
    </row>
    <row r="946" spans="1:29">
      <c r="A946" s="62"/>
      <c r="B946" s="62"/>
      <c r="C946" s="62"/>
      <c r="D946" s="62"/>
      <c r="E946" s="62"/>
      <c r="F946" s="62"/>
      <c r="G946" s="62"/>
      <c r="H946" s="62"/>
      <c r="I946" s="62"/>
      <c r="J946" s="62"/>
      <c r="K946" s="53"/>
      <c r="L946" s="62"/>
      <c r="M946" s="63"/>
      <c r="N946" s="63"/>
      <c r="O946" s="63"/>
      <c r="P946" s="63"/>
      <c r="Q946" s="63"/>
      <c r="R946" s="63"/>
      <c r="S946" s="63"/>
      <c r="T946" s="63"/>
      <c r="U946" s="63"/>
      <c r="V946" s="63"/>
      <c r="W946" s="63"/>
      <c r="X946" s="63"/>
      <c r="Y946" s="63"/>
      <c r="Z946" s="63"/>
      <c r="AA946" s="63"/>
      <c r="AB946" s="63"/>
      <c r="AC946" s="63"/>
    </row>
    <row r="947" spans="1:29">
      <c r="A947" s="62"/>
      <c r="B947" s="62"/>
      <c r="C947" s="62"/>
      <c r="D947" s="62"/>
      <c r="E947" s="62"/>
      <c r="F947" s="62"/>
      <c r="G947" s="62"/>
      <c r="H947" s="62"/>
      <c r="I947" s="62"/>
      <c r="J947" s="62"/>
      <c r="K947" s="53"/>
      <c r="L947" s="62"/>
      <c r="M947" s="63"/>
      <c r="N947" s="63"/>
      <c r="O947" s="63"/>
      <c r="P947" s="63"/>
      <c r="Q947" s="63"/>
      <c r="R947" s="63"/>
      <c r="S947" s="63"/>
      <c r="T947" s="63"/>
      <c r="U947" s="63"/>
      <c r="V947" s="63"/>
      <c r="W947" s="63"/>
      <c r="X947" s="63"/>
      <c r="Y947" s="63"/>
      <c r="Z947" s="63"/>
      <c r="AA947" s="63"/>
      <c r="AB947" s="63"/>
      <c r="AC947" s="63"/>
    </row>
    <row r="948" spans="1:29">
      <c r="A948" s="62"/>
      <c r="B948" s="62"/>
      <c r="C948" s="62"/>
      <c r="D948" s="62"/>
      <c r="E948" s="62"/>
      <c r="F948" s="62"/>
      <c r="G948" s="62"/>
      <c r="H948" s="62"/>
      <c r="I948" s="62"/>
      <c r="J948" s="62"/>
      <c r="K948" s="53"/>
      <c r="L948" s="62"/>
      <c r="M948" s="63"/>
      <c r="N948" s="63"/>
      <c r="O948" s="63"/>
      <c r="P948" s="63"/>
      <c r="Q948" s="63"/>
      <c r="R948" s="63"/>
      <c r="S948" s="63"/>
      <c r="T948" s="63"/>
      <c r="U948" s="63"/>
      <c r="V948" s="63"/>
      <c r="W948" s="63"/>
      <c r="X948" s="63"/>
      <c r="Y948" s="63"/>
      <c r="Z948" s="63"/>
      <c r="AA948" s="63"/>
      <c r="AB948" s="63"/>
      <c r="AC948" s="63"/>
    </row>
    <row r="949" spans="1:29">
      <c r="A949" s="62"/>
      <c r="B949" s="62"/>
      <c r="C949" s="62"/>
      <c r="D949" s="62"/>
      <c r="E949" s="62"/>
      <c r="F949" s="62"/>
      <c r="G949" s="62"/>
      <c r="H949" s="62"/>
      <c r="I949" s="62"/>
      <c r="J949" s="62"/>
      <c r="K949" s="53"/>
      <c r="L949" s="62"/>
      <c r="M949" s="63"/>
      <c r="N949" s="63"/>
      <c r="O949" s="63"/>
      <c r="P949" s="63"/>
      <c r="Q949" s="63"/>
      <c r="R949" s="63"/>
      <c r="S949" s="63"/>
      <c r="T949" s="63"/>
      <c r="U949" s="63"/>
      <c r="V949" s="63"/>
      <c r="W949" s="63"/>
      <c r="X949" s="63"/>
      <c r="Y949" s="63"/>
      <c r="Z949" s="63"/>
      <c r="AA949" s="63"/>
      <c r="AB949" s="63"/>
      <c r="AC949" s="63"/>
    </row>
    <row r="950" spans="1:29">
      <c r="A950" s="62"/>
      <c r="B950" s="62"/>
      <c r="C950" s="62"/>
      <c r="D950" s="62"/>
      <c r="E950" s="62"/>
      <c r="F950" s="62"/>
      <c r="G950" s="62"/>
      <c r="H950" s="62"/>
      <c r="I950" s="62"/>
      <c r="J950" s="62"/>
      <c r="K950" s="53"/>
      <c r="L950" s="62"/>
      <c r="M950" s="63"/>
      <c r="N950" s="63"/>
      <c r="O950" s="63"/>
      <c r="P950" s="63"/>
      <c r="Q950" s="63"/>
      <c r="R950" s="63"/>
      <c r="S950" s="63"/>
      <c r="T950" s="63"/>
      <c r="U950" s="63"/>
      <c r="V950" s="63"/>
      <c r="W950" s="63"/>
      <c r="X950" s="63"/>
      <c r="Y950" s="63"/>
      <c r="Z950" s="63"/>
      <c r="AA950" s="63"/>
      <c r="AB950" s="63"/>
      <c r="AC950" s="63"/>
    </row>
    <row r="951" spans="1:29">
      <c r="A951" s="62"/>
      <c r="B951" s="62"/>
      <c r="C951" s="62"/>
      <c r="D951" s="62"/>
      <c r="E951" s="62"/>
      <c r="F951" s="62"/>
      <c r="G951" s="62"/>
      <c r="H951" s="62"/>
      <c r="I951" s="62"/>
      <c r="J951" s="62"/>
      <c r="K951" s="53"/>
      <c r="L951" s="62"/>
      <c r="M951" s="63"/>
      <c r="N951" s="63"/>
      <c r="O951" s="63"/>
      <c r="P951" s="63"/>
      <c r="Q951" s="63"/>
      <c r="R951" s="63"/>
      <c r="S951" s="63"/>
      <c r="T951" s="63"/>
      <c r="U951" s="63"/>
      <c r="V951" s="63"/>
      <c r="W951" s="63"/>
      <c r="X951" s="63"/>
      <c r="Y951" s="63"/>
      <c r="Z951" s="63"/>
      <c r="AA951" s="63"/>
      <c r="AB951" s="63"/>
      <c r="AC951" s="63"/>
    </row>
    <row r="952" spans="1:29">
      <c r="A952" s="62"/>
      <c r="B952" s="62"/>
      <c r="C952" s="62"/>
      <c r="D952" s="62"/>
      <c r="E952" s="62"/>
      <c r="F952" s="62"/>
      <c r="G952" s="62"/>
      <c r="H952" s="62"/>
      <c r="I952" s="62"/>
      <c r="J952" s="62"/>
      <c r="K952" s="53"/>
      <c r="L952" s="62"/>
      <c r="M952" s="63"/>
      <c r="N952" s="63"/>
      <c r="O952" s="63"/>
      <c r="P952" s="63"/>
      <c r="Q952" s="63"/>
      <c r="R952" s="63"/>
      <c r="S952" s="63"/>
      <c r="T952" s="63"/>
      <c r="U952" s="63"/>
      <c r="V952" s="63"/>
      <c r="W952" s="63"/>
      <c r="X952" s="63"/>
      <c r="Y952" s="63"/>
      <c r="Z952" s="63"/>
      <c r="AA952" s="63"/>
      <c r="AB952" s="63"/>
      <c r="AC952" s="63"/>
    </row>
    <row r="953" spans="1:29">
      <c r="A953" s="62"/>
      <c r="B953" s="62"/>
      <c r="C953" s="62"/>
      <c r="D953" s="62"/>
      <c r="E953" s="62"/>
      <c r="F953" s="62"/>
      <c r="G953" s="62"/>
      <c r="H953" s="62"/>
      <c r="I953" s="62"/>
      <c r="J953" s="62"/>
      <c r="K953" s="53"/>
      <c r="L953" s="62"/>
      <c r="M953" s="63"/>
      <c r="N953" s="63"/>
      <c r="O953" s="63"/>
      <c r="P953" s="63"/>
      <c r="Q953" s="63"/>
      <c r="R953" s="63"/>
      <c r="S953" s="63"/>
      <c r="T953" s="63"/>
      <c r="U953" s="63"/>
      <c r="V953" s="63"/>
      <c r="W953" s="63"/>
      <c r="X953" s="63"/>
      <c r="Y953" s="63"/>
      <c r="Z953" s="63"/>
      <c r="AA953" s="63"/>
      <c r="AB953" s="63"/>
      <c r="AC953" s="63"/>
    </row>
    <row r="954" spans="1:29">
      <c r="A954" s="62"/>
      <c r="B954" s="62"/>
      <c r="C954" s="62"/>
      <c r="D954" s="62"/>
      <c r="E954" s="62"/>
      <c r="F954" s="62"/>
      <c r="G954" s="62"/>
      <c r="H954" s="62"/>
      <c r="I954" s="62"/>
      <c r="J954" s="62"/>
      <c r="K954" s="53"/>
      <c r="L954" s="62"/>
      <c r="M954" s="63"/>
      <c r="N954" s="63"/>
      <c r="O954" s="63"/>
      <c r="P954" s="63"/>
      <c r="Q954" s="63"/>
      <c r="R954" s="63"/>
      <c r="S954" s="63"/>
      <c r="T954" s="63"/>
      <c r="U954" s="63"/>
      <c r="V954" s="63"/>
      <c r="W954" s="63"/>
      <c r="X954" s="63"/>
      <c r="Y954" s="63"/>
      <c r="Z954" s="63"/>
      <c r="AA954" s="63"/>
      <c r="AB954" s="63"/>
      <c r="AC954" s="63"/>
    </row>
    <row r="955" spans="1:29">
      <c r="A955" s="62"/>
      <c r="B955" s="62"/>
      <c r="C955" s="62"/>
      <c r="D955" s="62"/>
      <c r="E955" s="62"/>
      <c r="F955" s="62"/>
      <c r="G955" s="62"/>
      <c r="H955" s="62"/>
      <c r="I955" s="62"/>
      <c r="J955" s="62"/>
      <c r="K955" s="53"/>
      <c r="L955" s="62"/>
      <c r="M955" s="63"/>
      <c r="N955" s="63"/>
      <c r="O955" s="63"/>
      <c r="P955" s="63"/>
      <c r="Q955" s="63"/>
      <c r="R955" s="63"/>
      <c r="S955" s="63"/>
      <c r="T955" s="63"/>
      <c r="U955" s="63"/>
      <c r="V955" s="63"/>
      <c r="W955" s="63"/>
      <c r="X955" s="63"/>
      <c r="Y955" s="63"/>
      <c r="Z955" s="63"/>
      <c r="AA955" s="63"/>
      <c r="AB955" s="63"/>
      <c r="AC955" s="63"/>
    </row>
    <row r="956" spans="1:29">
      <c r="A956" s="62"/>
      <c r="B956" s="62"/>
      <c r="C956" s="62"/>
      <c r="D956" s="62"/>
      <c r="E956" s="62"/>
      <c r="F956" s="62"/>
      <c r="G956" s="62"/>
      <c r="H956" s="62"/>
      <c r="I956" s="62"/>
      <c r="J956" s="62"/>
      <c r="K956" s="53"/>
      <c r="L956" s="62"/>
      <c r="M956" s="63"/>
      <c r="N956" s="63"/>
      <c r="O956" s="63"/>
      <c r="P956" s="63"/>
      <c r="Q956" s="63"/>
      <c r="R956" s="63"/>
      <c r="S956" s="63"/>
      <c r="T956" s="63"/>
      <c r="U956" s="63"/>
      <c r="V956" s="63"/>
      <c r="W956" s="63"/>
      <c r="X956" s="63"/>
      <c r="Y956" s="63"/>
      <c r="Z956" s="63"/>
      <c r="AA956" s="63"/>
      <c r="AB956" s="63"/>
      <c r="AC956" s="63"/>
    </row>
    <row r="957" spans="1:29">
      <c r="A957" s="62"/>
      <c r="B957" s="62"/>
      <c r="C957" s="62"/>
      <c r="D957" s="62"/>
      <c r="E957" s="62"/>
      <c r="F957" s="62"/>
      <c r="G957" s="62"/>
      <c r="H957" s="62"/>
      <c r="I957" s="62"/>
      <c r="J957" s="62"/>
      <c r="K957" s="53"/>
      <c r="L957" s="62"/>
      <c r="M957" s="63"/>
      <c r="N957" s="63"/>
      <c r="O957" s="63"/>
      <c r="P957" s="63"/>
      <c r="Q957" s="63"/>
      <c r="R957" s="63"/>
      <c r="S957" s="63"/>
      <c r="T957" s="63"/>
      <c r="U957" s="63"/>
      <c r="V957" s="63"/>
      <c r="W957" s="63"/>
      <c r="X957" s="63"/>
      <c r="Y957" s="63"/>
      <c r="Z957" s="63"/>
      <c r="AA957" s="63"/>
      <c r="AB957" s="63"/>
      <c r="AC957" s="63"/>
    </row>
    <row r="958" spans="1:29">
      <c r="A958" s="62"/>
      <c r="B958" s="62"/>
      <c r="C958" s="62"/>
      <c r="D958" s="62"/>
      <c r="E958" s="62"/>
      <c r="F958" s="62"/>
      <c r="G958" s="62"/>
      <c r="H958" s="62"/>
      <c r="I958" s="62"/>
      <c r="J958" s="62"/>
      <c r="K958" s="53"/>
      <c r="L958" s="62"/>
      <c r="M958" s="63"/>
      <c r="N958" s="63"/>
      <c r="O958" s="63"/>
      <c r="P958" s="63"/>
      <c r="Q958" s="63"/>
      <c r="R958" s="63"/>
      <c r="S958" s="63"/>
      <c r="T958" s="63"/>
      <c r="U958" s="63"/>
      <c r="V958" s="63"/>
      <c r="W958" s="63"/>
      <c r="X958" s="63"/>
      <c r="Y958" s="63"/>
      <c r="Z958" s="63"/>
      <c r="AA958" s="63"/>
      <c r="AB958" s="63"/>
      <c r="AC958" s="63"/>
    </row>
    <row r="959" spans="1:29">
      <c r="A959" s="62"/>
      <c r="B959" s="62"/>
      <c r="C959" s="62"/>
      <c r="D959" s="62"/>
      <c r="E959" s="62"/>
      <c r="F959" s="62"/>
      <c r="G959" s="62"/>
      <c r="H959" s="62"/>
      <c r="I959" s="62"/>
      <c r="J959" s="62"/>
      <c r="K959" s="53"/>
      <c r="L959" s="62"/>
      <c r="M959" s="63"/>
      <c r="N959" s="63"/>
      <c r="O959" s="63"/>
      <c r="P959" s="63"/>
      <c r="Q959" s="63"/>
      <c r="R959" s="63"/>
      <c r="S959" s="63"/>
      <c r="T959" s="63"/>
      <c r="U959" s="63"/>
      <c r="V959" s="63"/>
      <c r="W959" s="63"/>
      <c r="X959" s="63"/>
      <c r="Y959" s="63"/>
      <c r="Z959" s="63"/>
      <c r="AA959" s="63"/>
      <c r="AB959" s="63"/>
      <c r="AC959" s="63"/>
    </row>
    <row r="960" spans="1:29">
      <c r="A960" s="62"/>
      <c r="B960" s="62"/>
      <c r="C960" s="62"/>
      <c r="D960" s="62"/>
      <c r="E960" s="62"/>
      <c r="F960" s="62"/>
      <c r="G960" s="62"/>
      <c r="H960" s="62"/>
      <c r="I960" s="62"/>
      <c r="J960" s="62"/>
      <c r="K960" s="53"/>
      <c r="L960" s="62"/>
      <c r="M960" s="63"/>
      <c r="N960" s="63"/>
      <c r="O960" s="63"/>
      <c r="P960" s="63"/>
      <c r="Q960" s="63"/>
      <c r="R960" s="63"/>
      <c r="S960" s="63"/>
      <c r="T960" s="63"/>
      <c r="U960" s="63"/>
      <c r="V960" s="63"/>
      <c r="W960" s="63"/>
      <c r="X960" s="63"/>
      <c r="Y960" s="63"/>
      <c r="Z960" s="63"/>
      <c r="AA960" s="63"/>
      <c r="AB960" s="63"/>
      <c r="AC960" s="63"/>
    </row>
    <row r="961" spans="1:29">
      <c r="A961" s="62"/>
      <c r="B961" s="62"/>
      <c r="C961" s="62"/>
      <c r="D961" s="62"/>
      <c r="E961" s="62"/>
      <c r="F961" s="62"/>
      <c r="G961" s="62"/>
      <c r="H961" s="62"/>
      <c r="I961" s="62"/>
      <c r="J961" s="62"/>
      <c r="K961" s="53"/>
      <c r="L961" s="62"/>
      <c r="M961" s="63"/>
      <c r="N961" s="63"/>
      <c r="O961" s="63"/>
      <c r="P961" s="63"/>
      <c r="Q961" s="63"/>
      <c r="R961" s="63"/>
      <c r="S961" s="63"/>
      <c r="T961" s="63"/>
      <c r="U961" s="63"/>
      <c r="V961" s="63"/>
      <c r="W961" s="63"/>
      <c r="X961" s="63"/>
      <c r="Y961" s="63"/>
      <c r="Z961" s="63"/>
      <c r="AA961" s="63"/>
      <c r="AB961" s="63"/>
      <c r="AC961" s="63"/>
    </row>
    <row r="962" spans="1:29">
      <c r="A962" s="62"/>
      <c r="B962" s="62"/>
      <c r="C962" s="62"/>
      <c r="D962" s="62"/>
      <c r="E962" s="62"/>
      <c r="F962" s="62"/>
      <c r="G962" s="62"/>
      <c r="H962" s="62"/>
      <c r="I962" s="62"/>
      <c r="J962" s="62"/>
      <c r="K962" s="53"/>
      <c r="L962" s="62"/>
      <c r="M962" s="63"/>
      <c r="N962" s="63"/>
      <c r="O962" s="63"/>
      <c r="P962" s="63"/>
      <c r="Q962" s="63"/>
      <c r="R962" s="63"/>
      <c r="S962" s="63"/>
      <c r="T962" s="63"/>
      <c r="U962" s="63"/>
      <c r="V962" s="63"/>
      <c r="W962" s="63"/>
      <c r="X962" s="63"/>
      <c r="Y962" s="63"/>
      <c r="Z962" s="63"/>
      <c r="AA962" s="63"/>
      <c r="AB962" s="63"/>
      <c r="AC962" s="63"/>
    </row>
    <row r="963" spans="1:29">
      <c r="A963" s="62"/>
      <c r="B963" s="62"/>
      <c r="C963" s="62"/>
      <c r="D963" s="62"/>
      <c r="E963" s="62"/>
      <c r="F963" s="62"/>
      <c r="G963" s="62"/>
      <c r="H963" s="62"/>
      <c r="I963" s="62"/>
      <c r="J963" s="62"/>
      <c r="K963" s="53"/>
      <c r="L963" s="62"/>
      <c r="M963" s="63"/>
      <c r="N963" s="63"/>
      <c r="O963" s="63"/>
      <c r="P963" s="63"/>
      <c r="Q963" s="63"/>
      <c r="R963" s="63"/>
      <c r="S963" s="63"/>
      <c r="T963" s="63"/>
      <c r="U963" s="63"/>
      <c r="V963" s="63"/>
      <c r="W963" s="63"/>
      <c r="X963" s="63"/>
      <c r="Y963" s="63"/>
      <c r="Z963" s="63"/>
      <c r="AA963" s="63"/>
      <c r="AB963" s="63"/>
      <c r="AC963" s="63"/>
    </row>
    <row r="964" spans="1:29">
      <c r="A964" s="62"/>
      <c r="B964" s="62"/>
      <c r="C964" s="62"/>
      <c r="D964" s="62"/>
      <c r="E964" s="62"/>
      <c r="F964" s="62"/>
      <c r="G964" s="62"/>
      <c r="H964" s="62"/>
      <c r="I964" s="62"/>
      <c r="J964" s="62"/>
      <c r="K964" s="53"/>
      <c r="L964" s="62"/>
      <c r="M964" s="63"/>
      <c r="N964" s="63"/>
      <c r="O964" s="63"/>
      <c r="P964" s="63"/>
      <c r="Q964" s="63"/>
      <c r="R964" s="63"/>
      <c r="S964" s="63"/>
      <c r="T964" s="63"/>
      <c r="U964" s="63"/>
      <c r="V964" s="63"/>
      <c r="W964" s="63"/>
      <c r="X964" s="63"/>
      <c r="Y964" s="63"/>
      <c r="Z964" s="63"/>
      <c r="AA964" s="63"/>
      <c r="AB964" s="63"/>
      <c r="AC964" s="63"/>
    </row>
    <row r="965" spans="1:29">
      <c r="A965" s="62"/>
      <c r="B965" s="62"/>
      <c r="C965" s="62"/>
      <c r="D965" s="62"/>
      <c r="E965" s="62"/>
      <c r="F965" s="62"/>
      <c r="G965" s="62"/>
      <c r="H965" s="62"/>
      <c r="I965" s="62"/>
      <c r="J965" s="62"/>
      <c r="K965" s="53"/>
      <c r="L965" s="62"/>
      <c r="M965" s="63"/>
      <c r="N965" s="63"/>
      <c r="O965" s="63"/>
      <c r="P965" s="63"/>
      <c r="Q965" s="63"/>
      <c r="R965" s="63"/>
      <c r="S965" s="63"/>
      <c r="T965" s="63"/>
      <c r="U965" s="63"/>
      <c r="V965" s="63"/>
      <c r="W965" s="63"/>
      <c r="X965" s="63"/>
      <c r="Y965" s="63"/>
      <c r="Z965" s="63"/>
      <c r="AA965" s="63"/>
      <c r="AB965" s="63"/>
      <c r="AC965" s="63"/>
    </row>
    <row r="966" spans="1:29">
      <c r="A966" s="62"/>
      <c r="B966" s="62"/>
      <c r="C966" s="62"/>
      <c r="D966" s="62"/>
      <c r="E966" s="62"/>
      <c r="F966" s="62"/>
      <c r="G966" s="62"/>
      <c r="H966" s="62"/>
      <c r="I966" s="62"/>
      <c r="J966" s="62"/>
      <c r="K966" s="53"/>
      <c r="L966" s="62"/>
      <c r="M966" s="63"/>
      <c r="N966" s="63"/>
      <c r="O966" s="63"/>
      <c r="P966" s="63"/>
      <c r="Q966" s="63"/>
      <c r="R966" s="63"/>
      <c r="S966" s="63"/>
      <c r="T966" s="63"/>
      <c r="U966" s="63"/>
      <c r="V966" s="63"/>
      <c r="W966" s="63"/>
      <c r="X966" s="63"/>
      <c r="Y966" s="63"/>
      <c r="Z966" s="63"/>
      <c r="AA966" s="63"/>
      <c r="AB966" s="63"/>
      <c r="AC966" s="63"/>
    </row>
    <row r="967" spans="1:29">
      <c r="A967" s="62"/>
      <c r="B967" s="62"/>
      <c r="C967" s="62"/>
      <c r="D967" s="62"/>
      <c r="E967" s="62"/>
      <c r="F967" s="62"/>
      <c r="G967" s="62"/>
      <c r="H967" s="62"/>
      <c r="I967" s="62"/>
      <c r="J967" s="62"/>
      <c r="K967" s="53"/>
      <c r="L967" s="62"/>
      <c r="M967" s="63"/>
      <c r="N967" s="63"/>
      <c r="O967" s="63"/>
      <c r="P967" s="63"/>
      <c r="Q967" s="63"/>
      <c r="R967" s="63"/>
      <c r="S967" s="63"/>
      <c r="T967" s="63"/>
      <c r="U967" s="63"/>
      <c r="V967" s="63"/>
      <c r="W967" s="63"/>
      <c r="X967" s="63"/>
      <c r="Y967" s="63"/>
      <c r="Z967" s="63"/>
      <c r="AA967" s="63"/>
      <c r="AB967" s="63"/>
      <c r="AC967" s="63"/>
    </row>
    <row r="968" spans="1:29">
      <c r="A968" s="62"/>
      <c r="B968" s="62"/>
      <c r="C968" s="62"/>
      <c r="D968" s="62"/>
      <c r="E968" s="62"/>
      <c r="F968" s="62"/>
      <c r="G968" s="62"/>
      <c r="H968" s="62"/>
      <c r="I968" s="62"/>
      <c r="J968" s="62"/>
      <c r="K968" s="53"/>
      <c r="L968" s="62"/>
      <c r="M968" s="63"/>
      <c r="N968" s="63"/>
      <c r="O968" s="63"/>
      <c r="P968" s="63"/>
      <c r="Q968" s="63"/>
      <c r="R968" s="63"/>
      <c r="S968" s="63"/>
      <c r="T968" s="63"/>
      <c r="U968" s="63"/>
      <c r="V968" s="63"/>
      <c r="W968" s="63"/>
      <c r="X968" s="63"/>
      <c r="Y968" s="63"/>
      <c r="Z968" s="63"/>
      <c r="AA968" s="63"/>
      <c r="AB968" s="63"/>
      <c r="AC968" s="63"/>
    </row>
    <row r="969" spans="1:29">
      <c r="A969" s="62"/>
      <c r="B969" s="62"/>
      <c r="C969" s="62"/>
      <c r="D969" s="62"/>
      <c r="E969" s="62"/>
      <c r="F969" s="62"/>
      <c r="G969" s="62"/>
      <c r="H969" s="62"/>
      <c r="I969" s="62"/>
      <c r="J969" s="62"/>
      <c r="K969" s="53"/>
      <c r="L969" s="62"/>
      <c r="M969" s="63"/>
      <c r="N969" s="63"/>
      <c r="O969" s="63"/>
      <c r="P969" s="63"/>
      <c r="Q969" s="63"/>
      <c r="R969" s="63"/>
      <c r="S969" s="63"/>
      <c r="T969" s="63"/>
      <c r="U969" s="63"/>
      <c r="V969" s="63"/>
      <c r="W969" s="63"/>
      <c r="X969" s="63"/>
      <c r="Y969" s="63"/>
      <c r="Z969" s="63"/>
      <c r="AA969" s="63"/>
      <c r="AB969" s="63"/>
      <c r="AC969" s="63"/>
    </row>
    <row r="970" spans="1:29">
      <c r="A970" s="62"/>
      <c r="B970" s="62"/>
      <c r="C970" s="62"/>
      <c r="D970" s="62"/>
      <c r="E970" s="62"/>
      <c r="F970" s="62"/>
      <c r="G970" s="62"/>
      <c r="H970" s="62"/>
      <c r="I970" s="62"/>
      <c r="J970" s="62"/>
      <c r="K970" s="53"/>
      <c r="L970" s="62"/>
      <c r="M970" s="63"/>
      <c r="N970" s="63"/>
      <c r="O970" s="63"/>
      <c r="P970" s="63"/>
      <c r="Q970" s="63"/>
      <c r="R970" s="63"/>
      <c r="S970" s="63"/>
      <c r="T970" s="63"/>
      <c r="U970" s="63"/>
      <c r="V970" s="63"/>
      <c r="W970" s="63"/>
      <c r="X970" s="63"/>
      <c r="Y970" s="63"/>
      <c r="Z970" s="63"/>
      <c r="AA970" s="63"/>
      <c r="AB970" s="63"/>
      <c r="AC970" s="63"/>
    </row>
    <row r="971" spans="1:29">
      <c r="A971" s="62"/>
      <c r="B971" s="62"/>
      <c r="C971" s="62"/>
      <c r="D971" s="62"/>
      <c r="E971" s="62"/>
      <c r="F971" s="62"/>
      <c r="G971" s="62"/>
      <c r="H971" s="62"/>
      <c r="I971" s="62"/>
      <c r="J971" s="62"/>
      <c r="K971" s="53"/>
      <c r="L971" s="62"/>
      <c r="M971" s="63"/>
      <c r="N971" s="63"/>
      <c r="O971" s="63"/>
      <c r="P971" s="63"/>
      <c r="Q971" s="63"/>
      <c r="R971" s="63"/>
      <c r="S971" s="63"/>
      <c r="T971" s="63"/>
      <c r="U971" s="63"/>
      <c r="V971" s="63"/>
      <c r="W971" s="63"/>
      <c r="X971" s="63"/>
      <c r="Y971" s="63"/>
      <c r="Z971" s="63"/>
      <c r="AA971" s="63"/>
      <c r="AB971" s="63"/>
      <c r="AC971" s="63"/>
    </row>
    <row r="972" spans="1:29">
      <c r="A972" s="62"/>
      <c r="B972" s="62"/>
      <c r="C972" s="62"/>
      <c r="D972" s="62"/>
      <c r="E972" s="62"/>
      <c r="F972" s="62"/>
      <c r="G972" s="62"/>
      <c r="H972" s="62"/>
      <c r="I972" s="62"/>
      <c r="J972" s="62"/>
      <c r="K972" s="53"/>
      <c r="L972" s="62"/>
      <c r="M972" s="63"/>
      <c r="N972" s="63"/>
      <c r="O972" s="63"/>
      <c r="P972" s="63"/>
      <c r="Q972" s="63"/>
      <c r="R972" s="63"/>
      <c r="S972" s="63"/>
      <c r="T972" s="63"/>
      <c r="U972" s="63"/>
      <c r="V972" s="63"/>
      <c r="W972" s="63"/>
      <c r="X972" s="63"/>
      <c r="Y972" s="63"/>
      <c r="Z972" s="63"/>
      <c r="AA972" s="63"/>
      <c r="AB972" s="63"/>
      <c r="AC972" s="63"/>
    </row>
    <row r="973" spans="1:29">
      <c r="A973" s="62"/>
      <c r="B973" s="62"/>
      <c r="C973" s="62"/>
      <c r="D973" s="62"/>
      <c r="E973" s="62"/>
      <c r="F973" s="62"/>
      <c r="G973" s="62"/>
      <c r="H973" s="62"/>
      <c r="I973" s="62"/>
      <c r="J973" s="62"/>
      <c r="K973" s="53"/>
      <c r="L973" s="62"/>
      <c r="M973" s="63"/>
      <c r="N973" s="63"/>
      <c r="O973" s="63"/>
      <c r="P973" s="63"/>
      <c r="Q973" s="63"/>
      <c r="R973" s="63"/>
      <c r="S973" s="63"/>
      <c r="T973" s="63"/>
      <c r="U973" s="63"/>
      <c r="V973" s="63"/>
      <c r="W973" s="63"/>
      <c r="X973" s="63"/>
      <c r="Y973" s="63"/>
      <c r="Z973" s="63"/>
      <c r="AA973" s="63"/>
      <c r="AB973" s="63"/>
      <c r="AC973" s="63"/>
    </row>
    <row r="974" spans="1:29">
      <c r="A974" s="62"/>
      <c r="B974" s="62"/>
      <c r="C974" s="62"/>
      <c r="D974" s="62"/>
      <c r="E974" s="62"/>
      <c r="F974" s="62"/>
      <c r="G974" s="62"/>
      <c r="H974" s="62"/>
      <c r="I974" s="62"/>
      <c r="J974" s="62"/>
      <c r="K974" s="53"/>
      <c r="L974" s="62"/>
      <c r="M974" s="63"/>
      <c r="N974" s="63"/>
      <c r="O974" s="63"/>
      <c r="P974" s="63"/>
      <c r="Q974" s="63"/>
      <c r="R974" s="63"/>
      <c r="S974" s="63"/>
      <c r="T974" s="63"/>
      <c r="U974" s="63"/>
      <c r="V974" s="63"/>
      <c r="W974" s="63"/>
      <c r="X974" s="63"/>
      <c r="Y974" s="63"/>
      <c r="Z974" s="63"/>
      <c r="AA974" s="63"/>
      <c r="AB974" s="63"/>
      <c r="AC974" s="63"/>
    </row>
    <row r="975" spans="1:29">
      <c r="A975" s="62"/>
      <c r="B975" s="62"/>
      <c r="C975" s="62"/>
      <c r="D975" s="62"/>
      <c r="E975" s="62"/>
      <c r="F975" s="62"/>
      <c r="G975" s="62"/>
      <c r="H975" s="62"/>
      <c r="I975" s="62"/>
      <c r="J975" s="62"/>
      <c r="K975" s="53"/>
      <c r="L975" s="62"/>
      <c r="M975" s="63"/>
      <c r="N975" s="63"/>
      <c r="O975" s="63"/>
      <c r="P975" s="63"/>
      <c r="Q975" s="63"/>
      <c r="R975" s="63"/>
      <c r="S975" s="63"/>
      <c r="T975" s="63"/>
      <c r="U975" s="63"/>
      <c r="V975" s="63"/>
      <c r="W975" s="63"/>
      <c r="X975" s="63"/>
      <c r="Y975" s="63"/>
      <c r="Z975" s="63"/>
      <c r="AA975" s="63"/>
      <c r="AB975" s="63"/>
      <c r="AC975" s="63"/>
    </row>
    <row r="976" spans="1:29">
      <c r="A976" s="62"/>
      <c r="B976" s="62"/>
      <c r="C976" s="62"/>
      <c r="D976" s="62"/>
      <c r="E976" s="62"/>
      <c r="F976" s="62"/>
      <c r="G976" s="62"/>
      <c r="H976" s="62"/>
      <c r="I976" s="62"/>
      <c r="J976" s="62"/>
      <c r="K976" s="53"/>
      <c r="L976" s="62"/>
      <c r="M976" s="63"/>
      <c r="N976" s="63"/>
      <c r="O976" s="63"/>
      <c r="P976" s="63"/>
      <c r="Q976" s="63"/>
      <c r="R976" s="63"/>
      <c r="S976" s="63"/>
      <c r="T976" s="63"/>
      <c r="U976" s="63"/>
      <c r="V976" s="63"/>
      <c r="W976" s="63"/>
      <c r="X976" s="63"/>
      <c r="Y976" s="63"/>
      <c r="Z976" s="63"/>
      <c r="AA976" s="63"/>
      <c r="AB976" s="63"/>
      <c r="AC976" s="63"/>
    </row>
    <row r="977" spans="1:29">
      <c r="A977" s="62"/>
      <c r="B977" s="62"/>
      <c r="C977" s="62"/>
      <c r="D977" s="62"/>
      <c r="E977" s="62"/>
      <c r="F977" s="62"/>
      <c r="G977" s="62"/>
      <c r="H977" s="62"/>
      <c r="I977" s="62"/>
      <c r="J977" s="62"/>
      <c r="K977" s="53"/>
      <c r="L977" s="62"/>
      <c r="M977" s="63"/>
      <c r="N977" s="63"/>
      <c r="O977" s="63"/>
      <c r="P977" s="63"/>
      <c r="Q977" s="63"/>
      <c r="R977" s="63"/>
      <c r="S977" s="63"/>
      <c r="T977" s="63"/>
      <c r="U977" s="63"/>
      <c r="V977" s="63"/>
      <c r="W977" s="63"/>
      <c r="X977" s="63"/>
      <c r="Y977" s="63"/>
      <c r="Z977" s="63"/>
      <c r="AA977" s="63"/>
      <c r="AB977" s="63"/>
      <c r="AC977" s="63"/>
    </row>
    <row r="978" spans="1:29">
      <c r="A978" s="62"/>
      <c r="B978" s="62"/>
      <c r="C978" s="62"/>
      <c r="D978" s="62"/>
      <c r="E978" s="62"/>
      <c r="F978" s="62"/>
      <c r="G978" s="62"/>
      <c r="H978" s="62"/>
      <c r="I978" s="62"/>
      <c r="J978" s="62"/>
      <c r="K978" s="53"/>
      <c r="L978" s="62"/>
      <c r="M978" s="63"/>
      <c r="N978" s="63"/>
      <c r="O978" s="63"/>
      <c r="P978" s="63"/>
      <c r="Q978" s="63"/>
      <c r="R978" s="63"/>
      <c r="S978" s="63"/>
      <c r="T978" s="63"/>
      <c r="U978" s="63"/>
      <c r="V978" s="63"/>
      <c r="W978" s="63"/>
      <c r="X978" s="63"/>
      <c r="Y978" s="63"/>
      <c r="Z978" s="63"/>
      <c r="AA978" s="63"/>
      <c r="AB978" s="63"/>
      <c r="AC978" s="63"/>
    </row>
    <row r="979" spans="1:29">
      <c r="A979" s="62"/>
      <c r="B979" s="62"/>
      <c r="C979" s="62"/>
      <c r="D979" s="62"/>
      <c r="E979" s="62"/>
      <c r="F979" s="62"/>
      <c r="G979" s="62"/>
      <c r="H979" s="62"/>
      <c r="I979" s="62"/>
      <c r="J979" s="62"/>
      <c r="K979" s="53"/>
      <c r="L979" s="62"/>
      <c r="M979" s="63"/>
      <c r="N979" s="63"/>
      <c r="O979" s="63"/>
      <c r="P979" s="63"/>
      <c r="Q979" s="63"/>
      <c r="R979" s="63"/>
      <c r="S979" s="63"/>
      <c r="T979" s="63"/>
      <c r="U979" s="63"/>
      <c r="V979" s="63"/>
      <c r="W979" s="63"/>
      <c r="X979" s="63"/>
      <c r="Y979" s="63"/>
      <c r="Z979" s="63"/>
      <c r="AA979" s="63"/>
      <c r="AB979" s="63"/>
      <c r="AC979" s="63"/>
    </row>
    <row r="980" spans="1:29">
      <c r="A980" s="62"/>
      <c r="B980" s="62"/>
      <c r="C980" s="62"/>
      <c r="D980" s="62"/>
      <c r="E980" s="62"/>
      <c r="F980" s="62"/>
      <c r="G980" s="62"/>
      <c r="H980" s="62"/>
      <c r="I980" s="62"/>
      <c r="J980" s="62"/>
      <c r="K980" s="53"/>
      <c r="L980" s="62"/>
      <c r="M980" s="63"/>
      <c r="N980" s="63"/>
      <c r="O980" s="63"/>
      <c r="P980" s="63"/>
      <c r="Q980" s="63"/>
      <c r="R980" s="63"/>
      <c r="S980" s="63"/>
      <c r="T980" s="63"/>
      <c r="U980" s="63"/>
      <c r="V980" s="63"/>
      <c r="W980" s="63"/>
      <c r="X980" s="63"/>
      <c r="Y980" s="63"/>
      <c r="Z980" s="63"/>
      <c r="AA980" s="63"/>
      <c r="AB980" s="63"/>
      <c r="AC980" s="63"/>
    </row>
    <row r="981" spans="1:29">
      <c r="A981" s="62"/>
      <c r="B981" s="62"/>
      <c r="C981" s="62"/>
      <c r="D981" s="62"/>
      <c r="E981" s="62"/>
      <c r="F981" s="62"/>
      <c r="G981" s="62"/>
      <c r="H981" s="62"/>
      <c r="I981" s="62"/>
      <c r="J981" s="62"/>
      <c r="K981" s="53"/>
      <c r="L981" s="62"/>
      <c r="M981" s="63"/>
      <c r="N981" s="63"/>
      <c r="O981" s="63"/>
      <c r="P981" s="63"/>
      <c r="Q981" s="63"/>
      <c r="R981" s="63"/>
      <c r="S981" s="63"/>
      <c r="T981" s="63"/>
      <c r="U981" s="63"/>
      <c r="V981" s="63"/>
      <c r="W981" s="63"/>
      <c r="X981" s="63"/>
      <c r="Y981" s="63"/>
      <c r="Z981" s="63"/>
      <c r="AA981" s="63"/>
      <c r="AB981" s="63"/>
      <c r="AC981" s="63"/>
    </row>
    <row r="982" spans="1:29">
      <c r="A982" s="62"/>
      <c r="B982" s="62"/>
      <c r="C982" s="62"/>
      <c r="D982" s="62"/>
      <c r="E982" s="62"/>
      <c r="F982" s="62"/>
      <c r="G982" s="62"/>
      <c r="H982" s="62"/>
      <c r="I982" s="62"/>
      <c r="J982" s="62"/>
      <c r="K982" s="53"/>
      <c r="L982" s="62"/>
      <c r="M982" s="63"/>
      <c r="N982" s="63"/>
      <c r="O982" s="63"/>
      <c r="P982" s="63"/>
      <c r="Q982" s="63"/>
      <c r="R982" s="63"/>
      <c r="S982" s="63"/>
      <c r="T982" s="63"/>
      <c r="U982" s="63"/>
      <c r="V982" s="63"/>
      <c r="W982" s="63"/>
      <c r="X982" s="63"/>
      <c r="Y982" s="63"/>
      <c r="Z982" s="63"/>
      <c r="AA982" s="63"/>
      <c r="AB982" s="63"/>
      <c r="AC982" s="63"/>
    </row>
    <row r="983" spans="1:29">
      <c r="A983" s="62"/>
      <c r="B983" s="62"/>
      <c r="C983" s="62"/>
      <c r="D983" s="62"/>
      <c r="E983" s="62"/>
      <c r="F983" s="62"/>
      <c r="G983" s="62"/>
      <c r="H983" s="62"/>
      <c r="I983" s="62"/>
      <c r="J983" s="62"/>
      <c r="K983" s="53"/>
      <c r="L983" s="62"/>
      <c r="M983" s="63"/>
      <c r="N983" s="63"/>
      <c r="O983" s="63"/>
      <c r="P983" s="63"/>
      <c r="Q983" s="63"/>
      <c r="R983" s="63"/>
      <c r="S983" s="63"/>
      <c r="T983" s="63"/>
      <c r="U983" s="63"/>
      <c r="V983" s="63"/>
      <c r="W983" s="63"/>
      <c r="X983" s="63"/>
      <c r="Y983" s="63"/>
      <c r="Z983" s="63"/>
      <c r="AA983" s="63"/>
      <c r="AB983" s="63"/>
      <c r="AC983" s="63"/>
    </row>
    <row r="984" spans="1:29">
      <c r="A984" s="62"/>
      <c r="B984" s="62"/>
      <c r="C984" s="62"/>
      <c r="D984" s="62"/>
      <c r="E984" s="62"/>
      <c r="F984" s="62"/>
      <c r="G984" s="62"/>
      <c r="H984" s="62"/>
      <c r="I984" s="62"/>
      <c r="J984" s="62"/>
      <c r="K984" s="53"/>
      <c r="L984" s="62"/>
      <c r="M984" s="63"/>
      <c r="N984" s="63"/>
      <c r="O984" s="63"/>
      <c r="P984" s="63"/>
      <c r="Q984" s="63"/>
      <c r="R984" s="63"/>
      <c r="S984" s="63"/>
      <c r="T984" s="63"/>
      <c r="U984" s="63"/>
      <c r="V984" s="63"/>
      <c r="W984" s="63"/>
      <c r="X984" s="63"/>
      <c r="Y984" s="63"/>
      <c r="Z984" s="63"/>
      <c r="AA984" s="63"/>
      <c r="AB984" s="63"/>
      <c r="AC984" s="63"/>
    </row>
    <row r="985" spans="1:29">
      <c r="A985" s="62"/>
      <c r="B985" s="62"/>
      <c r="C985" s="62"/>
      <c r="D985" s="62"/>
      <c r="E985" s="62"/>
      <c r="F985" s="62"/>
      <c r="G985" s="62"/>
      <c r="H985" s="62"/>
      <c r="I985" s="62"/>
      <c r="J985" s="62"/>
      <c r="K985" s="53"/>
      <c r="L985" s="62"/>
      <c r="M985" s="63"/>
      <c r="N985" s="63"/>
      <c r="O985" s="63"/>
      <c r="P985" s="63"/>
      <c r="Q985" s="63"/>
      <c r="R985" s="63"/>
      <c r="S985" s="63"/>
      <c r="T985" s="63"/>
      <c r="U985" s="63"/>
      <c r="V985" s="63"/>
      <c r="W985" s="63"/>
      <c r="X985" s="63"/>
      <c r="Y985" s="63"/>
      <c r="Z985" s="63"/>
      <c r="AA985" s="63"/>
      <c r="AB985" s="63"/>
      <c r="AC985" s="63"/>
    </row>
    <row r="986" spans="1:29">
      <c r="A986" s="62"/>
      <c r="B986" s="62"/>
      <c r="C986" s="62"/>
      <c r="D986" s="62"/>
      <c r="E986" s="62"/>
      <c r="F986" s="62"/>
      <c r="G986" s="62"/>
      <c r="H986" s="62"/>
      <c r="I986" s="62"/>
      <c r="J986" s="62"/>
      <c r="K986" s="53"/>
      <c r="L986" s="62"/>
      <c r="M986" s="63"/>
      <c r="N986" s="63"/>
      <c r="O986" s="63"/>
      <c r="P986" s="63"/>
      <c r="Q986" s="63"/>
      <c r="R986" s="63"/>
      <c r="S986" s="63"/>
      <c r="T986" s="63"/>
      <c r="U986" s="63"/>
      <c r="V986" s="63"/>
      <c r="W986" s="63"/>
      <c r="X986" s="63"/>
      <c r="Y986" s="63"/>
      <c r="Z986" s="63"/>
      <c r="AA986" s="63"/>
      <c r="AB986" s="63"/>
      <c r="AC986" s="63"/>
    </row>
    <row r="987" spans="1:29">
      <c r="A987" s="62"/>
      <c r="B987" s="62"/>
      <c r="C987" s="62"/>
      <c r="D987" s="62"/>
      <c r="E987" s="62"/>
      <c r="F987" s="62"/>
      <c r="G987" s="62"/>
      <c r="H987" s="62"/>
      <c r="I987" s="62"/>
      <c r="J987" s="62"/>
      <c r="K987" s="53"/>
      <c r="L987" s="62"/>
      <c r="M987" s="63"/>
      <c r="N987" s="63"/>
      <c r="O987" s="63"/>
      <c r="P987" s="63"/>
      <c r="Q987" s="63"/>
      <c r="R987" s="63"/>
      <c r="S987" s="63"/>
      <c r="T987" s="63"/>
      <c r="U987" s="63"/>
      <c r="V987" s="63"/>
      <c r="W987" s="63"/>
      <c r="X987" s="63"/>
      <c r="Y987" s="63"/>
      <c r="Z987" s="63"/>
      <c r="AA987" s="63"/>
      <c r="AB987" s="63"/>
      <c r="AC987" s="63"/>
    </row>
    <row r="988" spans="1:29">
      <c r="A988" s="62"/>
      <c r="B988" s="62"/>
      <c r="C988" s="62"/>
      <c r="D988" s="62"/>
      <c r="E988" s="62"/>
      <c r="F988" s="62"/>
      <c r="G988" s="62"/>
      <c r="H988" s="62"/>
      <c r="I988" s="62"/>
      <c r="J988" s="62"/>
      <c r="K988" s="53"/>
      <c r="L988" s="62"/>
      <c r="M988" s="63"/>
      <c r="N988" s="63"/>
      <c r="O988" s="63"/>
      <c r="P988" s="63"/>
      <c r="Q988" s="63"/>
      <c r="R988" s="63"/>
      <c r="S988" s="63"/>
      <c r="T988" s="63"/>
      <c r="U988" s="63"/>
      <c r="V988" s="63"/>
      <c r="W988" s="63"/>
      <c r="X988" s="63"/>
      <c r="Y988" s="63"/>
      <c r="Z988" s="63"/>
      <c r="AA988" s="63"/>
      <c r="AB988" s="63"/>
      <c r="AC988" s="63"/>
    </row>
    <row r="989" spans="1:29">
      <c r="A989" s="62"/>
      <c r="B989" s="62"/>
      <c r="C989" s="62"/>
      <c r="D989" s="62"/>
      <c r="E989" s="62"/>
      <c r="F989" s="62"/>
      <c r="G989" s="62"/>
      <c r="H989" s="62"/>
      <c r="I989" s="62"/>
      <c r="J989" s="62"/>
      <c r="K989" s="53"/>
      <c r="L989" s="62"/>
      <c r="M989" s="63"/>
      <c r="N989" s="63"/>
      <c r="O989" s="63"/>
      <c r="P989" s="63"/>
      <c r="Q989" s="63"/>
      <c r="R989" s="63"/>
      <c r="S989" s="63"/>
      <c r="T989" s="63"/>
      <c r="U989" s="63"/>
      <c r="V989" s="63"/>
      <c r="W989" s="63"/>
      <c r="X989" s="63"/>
      <c r="Y989" s="63"/>
      <c r="Z989" s="63"/>
      <c r="AA989" s="63"/>
      <c r="AB989" s="63"/>
      <c r="AC989" s="63"/>
    </row>
    <row r="990" spans="1:29">
      <c r="A990" s="62"/>
      <c r="B990" s="62"/>
      <c r="C990" s="62"/>
      <c r="D990" s="62"/>
      <c r="E990" s="62"/>
      <c r="F990" s="62"/>
      <c r="G990" s="62"/>
      <c r="H990" s="62"/>
      <c r="I990" s="62"/>
      <c r="J990" s="62"/>
      <c r="K990" s="53"/>
      <c r="L990" s="62"/>
      <c r="M990" s="63"/>
      <c r="N990" s="63"/>
      <c r="O990" s="63"/>
      <c r="P990" s="63"/>
      <c r="Q990" s="63"/>
      <c r="R990" s="63"/>
      <c r="S990" s="63"/>
      <c r="T990" s="63"/>
      <c r="U990" s="63"/>
      <c r="V990" s="63"/>
      <c r="W990" s="63"/>
      <c r="X990" s="63"/>
      <c r="Y990" s="63"/>
      <c r="Z990" s="63"/>
      <c r="AA990" s="63"/>
      <c r="AB990" s="63"/>
      <c r="AC990" s="63"/>
    </row>
    <row r="991" spans="1:29">
      <c r="A991" s="62"/>
      <c r="B991" s="62"/>
      <c r="C991" s="62"/>
      <c r="D991" s="62"/>
      <c r="E991" s="62"/>
      <c r="F991" s="62"/>
      <c r="G991" s="62"/>
      <c r="H991" s="62"/>
      <c r="I991" s="62"/>
      <c r="J991" s="62"/>
      <c r="K991" s="53"/>
      <c r="L991" s="62"/>
      <c r="M991" s="63"/>
      <c r="N991" s="63"/>
      <c r="O991" s="63"/>
      <c r="P991" s="63"/>
      <c r="Q991" s="63"/>
      <c r="R991" s="63"/>
      <c r="S991" s="63"/>
      <c r="T991" s="63"/>
      <c r="U991" s="63"/>
      <c r="V991" s="63"/>
      <c r="W991" s="63"/>
      <c r="X991" s="63"/>
      <c r="Y991" s="63"/>
      <c r="Z991" s="63"/>
      <c r="AA991" s="63"/>
      <c r="AB991" s="63"/>
      <c r="AC991" s="63"/>
    </row>
    <row r="992" spans="1:29">
      <c r="A992" s="62"/>
      <c r="B992" s="62"/>
      <c r="C992" s="62"/>
      <c r="D992" s="62"/>
      <c r="E992" s="62"/>
      <c r="F992" s="62"/>
      <c r="G992" s="62"/>
      <c r="H992" s="62"/>
      <c r="I992" s="62"/>
      <c r="J992" s="62"/>
      <c r="K992" s="53"/>
      <c r="L992" s="62"/>
      <c r="M992" s="63"/>
      <c r="N992" s="63"/>
      <c r="O992" s="63"/>
      <c r="P992" s="63"/>
      <c r="Q992" s="63"/>
      <c r="R992" s="63"/>
      <c r="S992" s="63"/>
      <c r="T992" s="63"/>
      <c r="U992" s="63"/>
      <c r="V992" s="63"/>
      <c r="W992" s="63"/>
      <c r="X992" s="63"/>
      <c r="Y992" s="63"/>
      <c r="Z992" s="63"/>
      <c r="AA992" s="63"/>
      <c r="AB992" s="63"/>
      <c r="AC992" s="63"/>
    </row>
    <row r="993" spans="1:29">
      <c r="A993" s="62"/>
      <c r="B993" s="62"/>
      <c r="C993" s="62"/>
      <c r="D993" s="62"/>
      <c r="E993" s="62"/>
      <c r="F993" s="62"/>
      <c r="G993" s="62"/>
      <c r="H993" s="62"/>
      <c r="I993" s="62"/>
      <c r="J993" s="62"/>
      <c r="K993" s="53"/>
      <c r="L993" s="62"/>
      <c r="M993" s="63"/>
      <c r="N993" s="63"/>
      <c r="O993" s="63"/>
      <c r="P993" s="63"/>
      <c r="Q993" s="63"/>
      <c r="R993" s="63"/>
      <c r="S993" s="63"/>
      <c r="T993" s="63"/>
      <c r="U993" s="63"/>
      <c r="V993" s="63"/>
      <c r="W993" s="63"/>
      <c r="X993" s="63"/>
      <c r="Y993" s="63"/>
      <c r="Z993" s="63"/>
      <c r="AA993" s="63"/>
      <c r="AB993" s="63"/>
      <c r="AC993" s="63"/>
    </row>
    <row r="994" spans="1:29">
      <c r="A994" s="62"/>
      <c r="B994" s="62"/>
      <c r="C994" s="62"/>
      <c r="D994" s="62"/>
      <c r="E994" s="62"/>
      <c r="F994" s="62"/>
      <c r="G994" s="62"/>
      <c r="H994" s="62"/>
      <c r="I994" s="62"/>
      <c r="J994" s="62"/>
      <c r="K994" s="53"/>
      <c r="L994" s="62"/>
      <c r="M994" s="63"/>
      <c r="N994" s="63"/>
      <c r="O994" s="63"/>
      <c r="P994" s="63"/>
      <c r="Q994" s="63"/>
      <c r="R994" s="63"/>
      <c r="S994" s="63"/>
      <c r="T994" s="63"/>
      <c r="U994" s="63"/>
      <c r="V994" s="63"/>
      <c r="W994" s="63"/>
      <c r="X994" s="63"/>
      <c r="Y994" s="63"/>
      <c r="Z994" s="63"/>
      <c r="AA994" s="63"/>
      <c r="AB994" s="63"/>
      <c r="AC994" s="63"/>
    </row>
    <row r="995" spans="1:29">
      <c r="A995" s="62"/>
      <c r="B995" s="62"/>
      <c r="C995" s="62"/>
      <c r="D995" s="62"/>
      <c r="E995" s="62"/>
      <c r="F995" s="62"/>
      <c r="G995" s="62"/>
      <c r="H995" s="62"/>
      <c r="I995" s="62"/>
      <c r="J995" s="62"/>
      <c r="K995" s="53"/>
      <c r="L995" s="62"/>
      <c r="M995" s="63"/>
      <c r="N995" s="63"/>
      <c r="O995" s="63"/>
      <c r="P995" s="63"/>
      <c r="Q995" s="63"/>
      <c r="R995" s="63"/>
      <c r="S995" s="63"/>
      <c r="T995" s="63"/>
      <c r="U995" s="63"/>
      <c r="V995" s="63"/>
      <c r="W995" s="63"/>
      <c r="X995" s="63"/>
      <c r="Y995" s="63"/>
      <c r="Z995" s="63"/>
      <c r="AA995" s="63"/>
      <c r="AB995" s="63"/>
      <c r="AC995" s="63"/>
    </row>
    <row r="996" spans="1:29">
      <c r="A996" s="62"/>
      <c r="B996" s="62"/>
      <c r="C996" s="62"/>
      <c r="D996" s="62"/>
      <c r="E996" s="62"/>
      <c r="F996" s="62"/>
      <c r="G996" s="62"/>
      <c r="H996" s="62"/>
      <c r="I996" s="62"/>
      <c r="J996" s="62"/>
      <c r="K996" s="53"/>
      <c r="L996" s="62"/>
      <c r="M996" s="63"/>
      <c r="N996" s="63"/>
      <c r="O996" s="63"/>
      <c r="P996" s="63"/>
      <c r="Q996" s="63"/>
      <c r="R996" s="63"/>
      <c r="S996" s="63"/>
      <c r="T996" s="63"/>
      <c r="U996" s="63"/>
      <c r="V996" s="63"/>
      <c r="W996" s="63"/>
      <c r="X996" s="63"/>
      <c r="Y996" s="63"/>
      <c r="Z996" s="63"/>
      <c r="AA996" s="63"/>
      <c r="AB996" s="63"/>
      <c r="AC996" s="63"/>
    </row>
    <row r="997" spans="1:29">
      <c r="A997" s="62"/>
      <c r="B997" s="62"/>
      <c r="C997" s="62"/>
      <c r="D997" s="62"/>
      <c r="E997" s="62"/>
      <c r="F997" s="62"/>
      <c r="G997" s="62"/>
      <c r="H997" s="62"/>
      <c r="I997" s="62"/>
      <c r="J997" s="62"/>
      <c r="K997" s="53"/>
      <c r="L997" s="62"/>
      <c r="M997" s="63"/>
      <c r="N997" s="63"/>
      <c r="O997" s="63"/>
      <c r="P997" s="63"/>
      <c r="Q997" s="63"/>
      <c r="R997" s="63"/>
      <c r="S997" s="63"/>
      <c r="T997" s="63"/>
      <c r="U997" s="63"/>
      <c r="V997" s="63"/>
      <c r="W997" s="63"/>
      <c r="X997" s="63"/>
      <c r="Y997" s="63"/>
      <c r="Z997" s="63"/>
      <c r="AA997" s="63"/>
      <c r="AB997" s="63"/>
      <c r="AC997" s="63"/>
    </row>
    <row r="998" spans="1:29">
      <c r="A998" s="62"/>
      <c r="B998" s="62"/>
      <c r="C998" s="62"/>
      <c r="D998" s="62"/>
      <c r="E998" s="62"/>
      <c r="F998" s="62"/>
      <c r="G998" s="62"/>
      <c r="H998" s="62"/>
      <c r="I998" s="62"/>
      <c r="J998" s="62"/>
      <c r="K998" s="53"/>
      <c r="L998" s="62"/>
      <c r="M998" s="63"/>
      <c r="N998" s="63"/>
      <c r="O998" s="63"/>
      <c r="P998" s="63"/>
      <c r="Q998" s="63"/>
      <c r="R998" s="63"/>
      <c r="S998" s="63"/>
      <c r="T998" s="63"/>
      <c r="U998" s="63"/>
      <c r="V998" s="63"/>
      <c r="W998" s="63"/>
      <c r="X998" s="63"/>
      <c r="Y998" s="63"/>
      <c r="Z998" s="63"/>
      <c r="AA998" s="63"/>
      <c r="AB998" s="63"/>
      <c r="AC998" s="63"/>
    </row>
    <row r="999" spans="1:29">
      <c r="A999" s="62"/>
      <c r="B999" s="62"/>
      <c r="C999" s="62"/>
      <c r="D999" s="62"/>
      <c r="E999" s="62"/>
      <c r="F999" s="62"/>
      <c r="G999" s="62"/>
      <c r="H999" s="62"/>
      <c r="I999" s="62"/>
      <c r="J999" s="62"/>
      <c r="K999" s="53"/>
      <c r="L999" s="62"/>
      <c r="M999" s="63"/>
      <c r="N999" s="63"/>
      <c r="O999" s="63"/>
      <c r="P999" s="63"/>
      <c r="Q999" s="63"/>
      <c r="R999" s="63"/>
      <c r="S999" s="63"/>
      <c r="T999" s="63"/>
      <c r="U999" s="63"/>
      <c r="V999" s="63"/>
      <c r="W999" s="63"/>
      <c r="X999" s="63"/>
      <c r="Y999" s="63"/>
      <c r="Z999" s="63"/>
      <c r="AA999" s="63"/>
      <c r="AB999" s="63"/>
      <c r="AC999" s="63"/>
    </row>
    <row r="1000" spans="1:29">
      <c r="A1000" s="62"/>
      <c r="B1000" s="62"/>
      <c r="C1000" s="62"/>
      <c r="D1000" s="62"/>
      <c r="E1000" s="62"/>
      <c r="F1000" s="62"/>
      <c r="G1000" s="62"/>
      <c r="H1000" s="62"/>
      <c r="I1000" s="62"/>
      <c r="J1000" s="62"/>
      <c r="K1000" s="53"/>
      <c r="L1000" s="62"/>
      <c r="M1000" s="63"/>
      <c r="N1000" s="63"/>
      <c r="O1000" s="63"/>
      <c r="P1000" s="63"/>
      <c r="Q1000" s="63"/>
      <c r="R1000" s="63"/>
      <c r="S1000" s="63"/>
      <c r="T1000" s="63"/>
      <c r="U1000" s="63"/>
      <c r="V1000" s="63"/>
      <c r="W1000" s="63"/>
      <c r="X1000" s="63"/>
      <c r="Y1000" s="63"/>
      <c r="Z1000" s="63"/>
      <c r="AA1000" s="63"/>
      <c r="AB1000" s="63"/>
      <c r="AC1000" s="63"/>
    </row>
  </sheetData>
  <dataValidations count="2">
    <dataValidation type="list" allowBlank="1" showErrorMessage="1" sqref="K2:K1000" xr:uid="{00000000-0002-0000-0300-000003000000}">
      <formula1>"Panchayat,Mandal,Assembly,Parliament,State"</formula1>
    </dataValidation>
    <dataValidation type="list" allowBlank="1" showErrorMessage="1" sqref="G2:G1000" xr:uid="{00000000-0002-0000-0300-000005000000}">
      <formula1>"OC,BC,SC,ST,Others"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0000000-0002-0000-0300-000000000000}">
          <x14:formula1>
            <xm:f>'village-reports'!$S$2:$S1000</xm:f>
          </x14:formula1>
          <xm:sqref>A2:A1000</xm:sqref>
        </x14:dataValidation>
        <x14:dataValidation type="list" allowBlank="1" showErrorMessage="1" xr:uid="{00000000-0002-0000-0300-000001000000}">
          <x14:formula1>
            <xm:f>'Back End'!$B$2:$B1000</xm:f>
          </x14:formula1>
          <xm:sqref>B2:B1000</xm:sqref>
        </x14:dataValidation>
        <x14:dataValidation type="list" allowBlank="1" showErrorMessage="1" xr:uid="{00000000-0002-0000-0300-000002000000}">
          <x14:formula1>
            <xm:f>'Back End'!$C$2:$C1000</xm:f>
          </x14:formula1>
          <xm:sqref>C2:C1000</xm:sqref>
        </x14:dataValidation>
        <x14:dataValidation type="list" allowBlank="1" showErrorMessage="1" xr:uid="{00000000-0002-0000-0300-000004000000}">
          <x14:formula1>
            <xm:f>'Back End'!$H$1:$H$5</xm:f>
          </x14:formula1>
          <xm:sqref>H2:H1000</xm:sqref>
        </x14:dataValidation>
        <x14:dataValidation type="list" allowBlank="1" showErrorMessage="1" xr:uid="{00000000-0002-0000-0300-000006000000}">
          <x14:formula1>
            <xm:f>'Caste Data'!$D$2:$D1000</xm:f>
          </x14:formula1>
          <xm:sqref>F2:F1000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943"/>
  <sheetViews>
    <sheetView workbookViewId="0"/>
  </sheetViews>
  <sheetFormatPr defaultColWidth="12.59765625" defaultRowHeight="15.75" customHeight="1"/>
  <sheetData>
    <row r="1" spans="1:14" ht="15.75" customHeight="1">
      <c r="A1" s="64" t="s">
        <v>0</v>
      </c>
      <c r="B1" s="64" t="s">
        <v>1</v>
      </c>
      <c r="C1" s="64" t="s">
        <v>2</v>
      </c>
      <c r="D1" s="64" t="s">
        <v>1587</v>
      </c>
      <c r="E1" s="64" t="str">
        <f t="array" ref="E1:E1943">A:A&amp;"-"&amp;B:B&amp;"-"&amp;C:C&amp;"-"&amp;D:D</f>
        <v>Assembly-Mandal-Panchayat-Panchayat / Village / Hamlet</v>
      </c>
      <c r="F1" s="65" t="s">
        <v>1588</v>
      </c>
      <c r="G1" s="65" t="s">
        <v>1589</v>
      </c>
      <c r="H1" s="65" t="s">
        <v>4</v>
      </c>
      <c r="I1" s="65" t="s">
        <v>1590</v>
      </c>
      <c r="J1" s="65" t="s">
        <v>1591</v>
      </c>
      <c r="K1" s="65" t="s">
        <v>1592</v>
      </c>
      <c r="L1" s="65" t="s">
        <v>1593</v>
      </c>
      <c r="M1" s="66" t="s">
        <v>1594</v>
      </c>
      <c r="N1" s="65" t="s">
        <v>594</v>
      </c>
    </row>
    <row r="2" spans="1:14" ht="15.75" customHeight="1">
      <c r="A2" s="65" t="s">
        <v>19</v>
      </c>
      <c r="B2" s="65" t="s">
        <v>88</v>
      </c>
      <c r="C2" s="65" t="s">
        <v>89</v>
      </c>
      <c r="D2" s="65" t="s">
        <v>89</v>
      </c>
      <c r="E2" s="65" t="str">
        <v>Jaggampeta-Gandepalle-Borrampalem-Borrampalem</v>
      </c>
      <c r="F2" s="65" t="str">
        <f ca="1">IFERROR(__xludf.DUMMYFUNCTION("unique(filter(B:B,A:A=Dashboard!A2))"),"#N/A")</f>
        <v>#N/A</v>
      </c>
      <c r="G2" s="65" t="str">
        <f ca="1">IFERROR(__xludf.DUMMYFUNCTION("arrayformula(sort(proper(filter(D:D,A:A=Dashboard!A2,B:B=Dashboard!D2)),1,true))"),"#N/A")</f>
        <v>#N/A</v>
      </c>
      <c r="H2" s="65" t="s">
        <v>5</v>
      </c>
      <c r="I2" s="65" t="s">
        <v>1595</v>
      </c>
      <c r="J2" s="65" t="s">
        <v>1596</v>
      </c>
      <c r="K2" s="65" t="s">
        <v>1597</v>
      </c>
      <c r="L2" s="65" t="s">
        <v>1598</v>
      </c>
      <c r="M2" s="66" t="s">
        <v>1599</v>
      </c>
      <c r="N2" s="65" t="s">
        <v>615</v>
      </c>
    </row>
    <row r="3" spans="1:14" ht="15.75" customHeight="1">
      <c r="A3" s="65" t="s">
        <v>19</v>
      </c>
      <c r="B3" s="65" t="s">
        <v>88</v>
      </c>
      <c r="C3" s="65" t="s">
        <v>88</v>
      </c>
      <c r="D3" s="65" t="s">
        <v>88</v>
      </c>
      <c r="E3" s="65" t="str">
        <v>Jaggampeta-Gandepalle-Gandepalle-Gandepalle</v>
      </c>
      <c r="F3" s="65"/>
      <c r="G3" s="65"/>
      <c r="H3" s="65" t="s">
        <v>6</v>
      </c>
      <c r="I3" s="65" t="s">
        <v>1600</v>
      </c>
      <c r="J3" s="65" t="s">
        <v>1601</v>
      </c>
      <c r="K3" s="65" t="s">
        <v>1602</v>
      </c>
      <c r="L3" s="65" t="s">
        <v>1603</v>
      </c>
      <c r="M3" s="66" t="s">
        <v>1604</v>
      </c>
      <c r="N3" s="65" t="s">
        <v>85</v>
      </c>
    </row>
    <row r="4" spans="1:14" ht="15.75" customHeight="1">
      <c r="A4" s="65" t="s">
        <v>19</v>
      </c>
      <c r="B4" s="65" t="s">
        <v>88</v>
      </c>
      <c r="C4" s="65" t="s">
        <v>99</v>
      </c>
      <c r="D4" s="65" t="s">
        <v>99</v>
      </c>
      <c r="E4" s="65" t="str">
        <v>Jaggampeta-Gandepalle-K. Nayakampalle-K. Nayakampalle</v>
      </c>
      <c r="F4" s="65"/>
      <c r="G4" s="65"/>
      <c r="H4" s="65" t="s">
        <v>1605</v>
      </c>
      <c r="I4" s="65" t="s">
        <v>1606</v>
      </c>
      <c r="J4" s="65"/>
      <c r="K4" s="65" t="s">
        <v>1607</v>
      </c>
      <c r="L4" s="65" t="s">
        <v>1608</v>
      </c>
      <c r="M4" s="66" t="s">
        <v>1609</v>
      </c>
      <c r="N4" s="65" t="s">
        <v>86</v>
      </c>
    </row>
    <row r="5" spans="1:14" ht="15.75" customHeight="1">
      <c r="A5" s="65" t="s">
        <v>19</v>
      </c>
      <c r="B5" s="65" t="s">
        <v>88</v>
      </c>
      <c r="C5" s="65" t="s">
        <v>104</v>
      </c>
      <c r="D5" s="65" t="s">
        <v>104</v>
      </c>
      <c r="E5" s="65" t="str">
        <v>Jaggampeta-Gandepalle-K.Gopalapuram-K.Gopalapuram</v>
      </c>
      <c r="F5" s="65"/>
      <c r="G5" s="65"/>
      <c r="H5" s="65" t="s">
        <v>1610</v>
      </c>
      <c r="I5" s="65" t="s">
        <v>1611</v>
      </c>
      <c r="J5" s="65"/>
      <c r="K5" s="65" t="s">
        <v>1612</v>
      </c>
      <c r="L5" s="65" t="s">
        <v>1613</v>
      </c>
      <c r="M5" s="66" t="s">
        <v>1614</v>
      </c>
      <c r="N5" s="65" t="s">
        <v>1615</v>
      </c>
    </row>
    <row r="6" spans="1:14" ht="15.75" customHeight="1">
      <c r="A6" s="65" t="s">
        <v>19</v>
      </c>
      <c r="B6" s="65" t="s">
        <v>88</v>
      </c>
      <c r="C6" s="65" t="s">
        <v>108</v>
      </c>
      <c r="D6" s="65" t="s">
        <v>108</v>
      </c>
      <c r="E6" s="65" t="str">
        <v>Jaggampeta-Gandepalle-Mallepalli-Mallepalli</v>
      </c>
      <c r="F6" s="65"/>
      <c r="G6" s="65"/>
      <c r="H6" s="65"/>
      <c r="I6" s="65" t="s">
        <v>1616</v>
      </c>
      <c r="J6" s="65"/>
      <c r="K6" s="65" t="s">
        <v>1617</v>
      </c>
      <c r="L6" s="65"/>
      <c r="M6" s="66" t="s">
        <v>1618</v>
      </c>
      <c r="N6" s="65" t="s">
        <v>1619</v>
      </c>
    </row>
    <row r="7" spans="1:14" ht="15.75" customHeight="1">
      <c r="A7" s="65" t="s">
        <v>19</v>
      </c>
      <c r="B7" s="65" t="s">
        <v>88</v>
      </c>
      <c r="C7" s="65" t="s">
        <v>108</v>
      </c>
      <c r="D7" s="65" t="s">
        <v>110</v>
      </c>
      <c r="E7" s="65" t="str">
        <v>Jaggampeta-Gandepalle-Mallepalli-Pathuru</v>
      </c>
      <c r="F7" s="65"/>
      <c r="G7" s="65"/>
      <c r="H7" s="65"/>
      <c r="I7" s="65" t="s">
        <v>1620</v>
      </c>
      <c r="J7" s="65"/>
      <c r="K7" s="65" t="s">
        <v>1621</v>
      </c>
      <c r="L7" s="65"/>
      <c r="M7" s="66" t="s">
        <v>1622</v>
      </c>
      <c r="N7" s="65" t="s">
        <v>1623</v>
      </c>
    </row>
    <row r="8" spans="1:14" ht="15.75" customHeight="1">
      <c r="A8" s="65" t="s">
        <v>19</v>
      </c>
      <c r="B8" s="65" t="s">
        <v>88</v>
      </c>
      <c r="C8" s="65" t="s">
        <v>111</v>
      </c>
      <c r="D8" s="65" t="s">
        <v>111</v>
      </c>
      <c r="E8" s="65" t="str">
        <v>Jaggampeta-Gandepalle-Murari-Murari</v>
      </c>
      <c r="F8" s="65"/>
      <c r="G8" s="65"/>
      <c r="H8" s="65"/>
      <c r="I8" s="65" t="s">
        <v>1624</v>
      </c>
      <c r="J8" s="65"/>
      <c r="K8" s="65" t="s">
        <v>1625</v>
      </c>
      <c r="L8" s="65"/>
      <c r="M8" s="66" t="s">
        <v>1626</v>
      </c>
      <c r="N8" s="65"/>
    </row>
    <row r="9" spans="1:14" ht="15.75" customHeight="1">
      <c r="A9" s="65" t="s">
        <v>19</v>
      </c>
      <c r="B9" s="65" t="s">
        <v>88</v>
      </c>
      <c r="C9" s="65" t="s">
        <v>115</v>
      </c>
      <c r="D9" s="65" t="s">
        <v>115</v>
      </c>
      <c r="E9" s="65" t="str">
        <v>Jaggampeta-Gandepalle-N.T.Rajapuram-N.T.Rajapuram</v>
      </c>
      <c r="F9" s="65"/>
      <c r="G9" s="65"/>
      <c r="H9" s="65"/>
      <c r="I9" s="65" t="s">
        <v>1627</v>
      </c>
      <c r="J9" s="65"/>
      <c r="K9" s="65" t="s">
        <v>1628</v>
      </c>
      <c r="L9" s="65"/>
      <c r="M9" s="66" t="s">
        <v>1629</v>
      </c>
      <c r="N9" s="65"/>
    </row>
    <row r="10" spans="1:14" ht="15.75" customHeight="1">
      <c r="A10" s="65" t="s">
        <v>19</v>
      </c>
      <c r="B10" s="65" t="s">
        <v>88</v>
      </c>
      <c r="C10" s="65" t="s">
        <v>117</v>
      </c>
      <c r="D10" s="65" t="s">
        <v>117</v>
      </c>
      <c r="E10" s="65" t="str">
        <v>Jaggampeta-Gandepalle-Neeladriraopeta-Neeladriraopeta</v>
      </c>
      <c r="F10" s="65"/>
      <c r="G10" s="65"/>
      <c r="H10" s="65"/>
      <c r="I10" s="65" t="s">
        <v>1630</v>
      </c>
      <c r="J10" s="65"/>
      <c r="K10" s="65"/>
      <c r="L10" s="65"/>
      <c r="M10" s="66" t="s">
        <v>1631</v>
      </c>
      <c r="N10" s="65"/>
    </row>
    <row r="11" spans="1:14" ht="15.75" customHeight="1">
      <c r="A11" s="65" t="s">
        <v>19</v>
      </c>
      <c r="B11" s="65" t="s">
        <v>88</v>
      </c>
      <c r="C11" s="65" t="s">
        <v>121</v>
      </c>
      <c r="D11" s="65" t="s">
        <v>121</v>
      </c>
      <c r="E11" s="65" t="str">
        <v>Jaggampeta-Gandepalle-P. Nayakampalle-P. Nayakampalle</v>
      </c>
      <c r="F11" s="65"/>
      <c r="G11" s="65"/>
      <c r="H11" s="65"/>
      <c r="I11" s="65" t="s">
        <v>1632</v>
      </c>
      <c r="J11" s="65"/>
      <c r="K11" s="65"/>
      <c r="L11" s="65"/>
      <c r="M11" s="66" t="s">
        <v>1633</v>
      </c>
      <c r="N11" s="65"/>
    </row>
    <row r="12" spans="1:14" ht="15.75" customHeight="1">
      <c r="A12" s="65" t="s">
        <v>19</v>
      </c>
      <c r="B12" s="65" t="s">
        <v>88</v>
      </c>
      <c r="C12" s="65" t="s">
        <v>123</v>
      </c>
      <c r="D12" s="65" t="s">
        <v>123</v>
      </c>
      <c r="E12" s="65" t="str">
        <v>Jaggampeta-Gandepalle-P.Surampalem-P.Surampalem</v>
      </c>
      <c r="F12" s="65"/>
      <c r="G12" s="65"/>
      <c r="H12" s="65"/>
      <c r="I12" s="65"/>
      <c r="J12" s="65"/>
      <c r="K12" s="65"/>
      <c r="L12" s="65"/>
      <c r="M12" s="66" t="s">
        <v>1634</v>
      </c>
      <c r="N12" s="65"/>
    </row>
    <row r="13" spans="1:14" ht="15.75" customHeight="1">
      <c r="A13" s="65" t="s">
        <v>19</v>
      </c>
      <c r="B13" s="65" t="s">
        <v>88</v>
      </c>
      <c r="C13" s="65" t="s">
        <v>123</v>
      </c>
      <c r="D13" s="65" t="s">
        <v>126</v>
      </c>
      <c r="E13" s="65" t="str">
        <v>Jaggampeta-Gandepalle-P.Surampalem-K.Surampalem</v>
      </c>
      <c r="F13" s="65"/>
      <c r="G13" s="65"/>
      <c r="H13" s="65"/>
      <c r="I13" s="65"/>
      <c r="J13" s="65"/>
      <c r="K13" s="65"/>
      <c r="L13" s="65"/>
      <c r="M13" s="66" t="s">
        <v>1635</v>
      </c>
      <c r="N13" s="65"/>
    </row>
    <row r="14" spans="1:14" ht="15.75" customHeight="1">
      <c r="A14" s="65" t="s">
        <v>19</v>
      </c>
      <c r="B14" s="65" t="s">
        <v>88</v>
      </c>
      <c r="C14" s="65" t="s">
        <v>127</v>
      </c>
      <c r="D14" s="65" t="s">
        <v>127</v>
      </c>
      <c r="E14" s="65" t="str">
        <v>Jaggampeta-Gandepalle-Ramayyapalem-Ramayyapalem</v>
      </c>
      <c r="F14" s="65"/>
      <c r="G14" s="65"/>
      <c r="H14" s="65"/>
      <c r="I14" s="65"/>
      <c r="J14" s="65"/>
      <c r="K14" s="65"/>
      <c r="L14" s="65"/>
      <c r="M14" s="66" t="s">
        <v>1636</v>
      </c>
      <c r="N14" s="65"/>
    </row>
    <row r="15" spans="1:14" ht="15.75" customHeight="1">
      <c r="A15" s="65" t="s">
        <v>19</v>
      </c>
      <c r="B15" s="65" t="s">
        <v>88</v>
      </c>
      <c r="C15" s="65" t="s">
        <v>129</v>
      </c>
      <c r="D15" s="65" t="s">
        <v>129</v>
      </c>
      <c r="E15" s="65" t="str">
        <v>Jaggampeta-Gandepalle-Singarampalem-Singarampalem</v>
      </c>
      <c r="F15" s="65"/>
      <c r="G15" s="65"/>
      <c r="H15" s="65"/>
      <c r="I15" s="65"/>
      <c r="J15" s="65"/>
      <c r="K15" s="65"/>
      <c r="L15" s="65"/>
      <c r="M15" s="66" t="s">
        <v>225</v>
      </c>
      <c r="N15" s="65"/>
    </row>
    <row r="16" spans="1:14" ht="15.75" customHeight="1">
      <c r="A16" s="65" t="s">
        <v>19</v>
      </c>
      <c r="B16" s="65" t="s">
        <v>88</v>
      </c>
      <c r="C16" s="65" t="s">
        <v>132</v>
      </c>
      <c r="D16" s="65" t="s">
        <v>132</v>
      </c>
      <c r="E16" s="65" t="str">
        <v>Jaggampeta-Gandepalle-Subbayamma Peta-Subbayamma Peta</v>
      </c>
      <c r="F16" s="65"/>
      <c r="G16" s="65"/>
      <c r="H16" s="65"/>
      <c r="I16" s="65"/>
      <c r="J16" s="65"/>
      <c r="K16" s="65"/>
      <c r="L16" s="65"/>
      <c r="M16" s="66" t="s">
        <v>1637</v>
      </c>
      <c r="N16" s="65"/>
    </row>
    <row r="17" spans="1:14" ht="14.25">
      <c r="A17" s="65" t="s">
        <v>19</v>
      </c>
      <c r="B17" s="65" t="s">
        <v>88</v>
      </c>
      <c r="C17" s="65" t="s">
        <v>134</v>
      </c>
      <c r="D17" s="65" t="s">
        <v>134</v>
      </c>
      <c r="E17" s="65" t="str">
        <v>Jaggampeta-Gandepalle-Talluru-Talluru</v>
      </c>
      <c r="F17" s="65"/>
      <c r="G17" s="65"/>
      <c r="H17" s="65"/>
      <c r="I17" s="65"/>
      <c r="J17" s="65"/>
      <c r="K17" s="65"/>
      <c r="L17" s="65"/>
      <c r="M17" s="66" t="s">
        <v>1638</v>
      </c>
      <c r="N17" s="65"/>
    </row>
    <row r="18" spans="1:14" ht="14.25">
      <c r="A18" s="65" t="s">
        <v>19</v>
      </c>
      <c r="B18" s="65" t="s">
        <v>88</v>
      </c>
      <c r="C18" s="65" t="s">
        <v>137</v>
      </c>
      <c r="D18" s="65" t="s">
        <v>137</v>
      </c>
      <c r="E18" s="65" t="str">
        <v>Jaggampeta-Gandepalle-Uppalapadu-Uppalapadu</v>
      </c>
      <c r="F18" s="65"/>
      <c r="G18" s="65"/>
      <c r="H18" s="65"/>
      <c r="I18" s="65"/>
      <c r="J18" s="65"/>
      <c r="K18" s="65"/>
      <c r="L18" s="65"/>
      <c r="M18" s="66" t="s">
        <v>1639</v>
      </c>
      <c r="N18" s="65"/>
    </row>
    <row r="19" spans="1:14" ht="14.25">
      <c r="A19" s="65" t="s">
        <v>19</v>
      </c>
      <c r="B19" s="65" t="s">
        <v>88</v>
      </c>
      <c r="C19" s="65" t="s">
        <v>140</v>
      </c>
      <c r="D19" s="65" t="s">
        <v>140</v>
      </c>
      <c r="E19" s="65" t="str">
        <v>Jaggampeta-Gandepalle-Yellamilli-Yellamilli</v>
      </c>
      <c r="F19" s="65"/>
      <c r="G19" s="65"/>
      <c r="H19" s="65"/>
      <c r="I19" s="65"/>
      <c r="J19" s="65"/>
      <c r="K19" s="65"/>
      <c r="L19" s="65"/>
      <c r="M19" s="66" t="s">
        <v>1640</v>
      </c>
      <c r="N19" s="65"/>
    </row>
    <row r="20" spans="1:14" ht="14.25">
      <c r="A20" s="65" t="s">
        <v>19</v>
      </c>
      <c r="B20" s="65" t="s">
        <v>88</v>
      </c>
      <c r="C20" s="65" t="s">
        <v>143</v>
      </c>
      <c r="D20" s="65" t="s">
        <v>143</v>
      </c>
      <c r="E20" s="65" t="str">
        <v>Jaggampeta-Gandepalle-Yerrampalem-Yerrampalem</v>
      </c>
      <c r="F20" s="65"/>
      <c r="G20" s="65"/>
      <c r="H20" s="65"/>
      <c r="I20" s="65"/>
      <c r="J20" s="65"/>
      <c r="K20" s="65"/>
      <c r="L20" s="65"/>
      <c r="M20" s="66" t="s">
        <v>1641</v>
      </c>
      <c r="N20" s="65"/>
    </row>
    <row r="21" spans="1:14" ht="14.25">
      <c r="A21" s="65" t="s">
        <v>19</v>
      </c>
      <c r="B21" s="65" t="s">
        <v>88</v>
      </c>
      <c r="C21" s="65" t="s">
        <v>145</v>
      </c>
      <c r="D21" s="65" t="s">
        <v>145</v>
      </c>
      <c r="E21" s="65" t="str">
        <v>Jaggampeta-Gandepalle-Z.Ragampeta-Z.Ragampeta</v>
      </c>
      <c r="F21" s="65"/>
      <c r="G21" s="65"/>
      <c r="H21" s="65"/>
      <c r="I21" s="65"/>
      <c r="J21" s="65"/>
      <c r="K21" s="65"/>
      <c r="L21" s="65"/>
      <c r="M21" s="66" t="s">
        <v>154</v>
      </c>
      <c r="N21" s="65"/>
    </row>
    <row r="22" spans="1:14" ht="14.25">
      <c r="A22" s="65" t="s">
        <v>19</v>
      </c>
      <c r="B22" s="65" t="s">
        <v>147</v>
      </c>
      <c r="C22" s="65" t="s">
        <v>148</v>
      </c>
      <c r="D22" s="65" t="s">
        <v>148</v>
      </c>
      <c r="E22" s="65" t="str">
        <v>Jaggampeta-Gokavaram-Atchutapuram-Atchutapuram</v>
      </c>
      <c r="F22" s="65"/>
      <c r="G22" s="65"/>
      <c r="H22" s="65"/>
      <c r="I22" s="65"/>
      <c r="J22" s="65"/>
      <c r="K22" s="65"/>
      <c r="L22" s="65"/>
      <c r="M22" s="66" t="s">
        <v>1642</v>
      </c>
      <c r="N22" s="65"/>
    </row>
    <row r="23" spans="1:14" ht="14.25">
      <c r="A23" s="65" t="s">
        <v>19</v>
      </c>
      <c r="B23" s="65" t="s">
        <v>147</v>
      </c>
      <c r="C23" s="65" t="s">
        <v>150</v>
      </c>
      <c r="D23" s="65" t="s">
        <v>150</v>
      </c>
      <c r="E23" s="65" t="str">
        <v>Jaggampeta-Gokavaram-Gadelapalem-Gadelapalem</v>
      </c>
      <c r="F23" s="65"/>
      <c r="G23" s="65"/>
      <c r="H23" s="65"/>
      <c r="I23" s="65"/>
      <c r="J23" s="65"/>
      <c r="K23" s="65"/>
      <c r="L23" s="65"/>
      <c r="M23" s="66" t="s">
        <v>1643</v>
      </c>
      <c r="N23" s="65"/>
    </row>
    <row r="24" spans="1:14" ht="14.25">
      <c r="A24" s="65" t="s">
        <v>19</v>
      </c>
      <c r="B24" s="65" t="s">
        <v>147</v>
      </c>
      <c r="C24" s="65" t="s">
        <v>152</v>
      </c>
      <c r="D24" s="65" t="s">
        <v>152</v>
      </c>
      <c r="E24" s="65" t="str">
        <v>Jaggampeta-Gokavaram-Gangam Palem-Gangam Palem</v>
      </c>
      <c r="F24" s="65"/>
      <c r="G24" s="65"/>
      <c r="H24" s="65"/>
      <c r="I24" s="65"/>
      <c r="J24" s="65"/>
      <c r="K24" s="65"/>
      <c r="L24" s="65"/>
      <c r="M24" s="66" t="s">
        <v>1644</v>
      </c>
      <c r="N24" s="65"/>
    </row>
    <row r="25" spans="1:14" ht="14.25">
      <c r="A25" s="65" t="s">
        <v>19</v>
      </c>
      <c r="B25" s="65" t="s">
        <v>147</v>
      </c>
      <c r="C25" s="65" t="s">
        <v>152</v>
      </c>
      <c r="D25" s="65" t="s">
        <v>155</v>
      </c>
      <c r="E25" s="65" t="str">
        <v>Jaggampeta-Gokavaram-Gangam Palem-Takurupalem</v>
      </c>
      <c r="F25" s="65"/>
      <c r="G25" s="65"/>
      <c r="H25" s="65"/>
      <c r="I25" s="65"/>
      <c r="J25" s="65"/>
      <c r="K25" s="65"/>
      <c r="L25" s="65"/>
      <c r="M25" s="66" t="s">
        <v>1645</v>
      </c>
      <c r="N25" s="65"/>
    </row>
    <row r="26" spans="1:14" ht="14.25">
      <c r="A26" s="65" t="s">
        <v>19</v>
      </c>
      <c r="B26" s="65" t="s">
        <v>147</v>
      </c>
      <c r="C26" s="65" t="s">
        <v>147</v>
      </c>
      <c r="D26" s="65" t="s">
        <v>147</v>
      </c>
      <c r="E26" s="65" t="str">
        <v>Jaggampeta-Gokavaram-Gokavaram-Gokavaram</v>
      </c>
      <c r="F26" s="65"/>
      <c r="G26" s="65"/>
      <c r="H26" s="65"/>
      <c r="I26" s="65"/>
      <c r="J26" s="65"/>
      <c r="K26" s="65"/>
      <c r="L26" s="65"/>
      <c r="M26" s="66" t="s">
        <v>103</v>
      </c>
      <c r="N26" s="65"/>
    </row>
    <row r="27" spans="1:14" ht="14.25">
      <c r="A27" s="65" t="s">
        <v>19</v>
      </c>
      <c r="B27" s="65" t="s">
        <v>147</v>
      </c>
      <c r="C27" s="65" t="s">
        <v>159</v>
      </c>
      <c r="D27" s="65" t="s">
        <v>159</v>
      </c>
      <c r="E27" s="65" t="str">
        <v>Jaggampeta-Gokavaram-Gummalladuddi-Gummalladuddi</v>
      </c>
      <c r="F27" s="65"/>
      <c r="G27" s="65"/>
      <c r="H27" s="65"/>
      <c r="I27" s="65"/>
      <c r="J27" s="65"/>
      <c r="K27" s="65"/>
      <c r="L27" s="65"/>
      <c r="M27" s="66" t="s">
        <v>1646</v>
      </c>
      <c r="N27" s="65"/>
    </row>
    <row r="28" spans="1:14" ht="14.25">
      <c r="A28" s="65" t="s">
        <v>19</v>
      </c>
      <c r="B28" s="65" t="s">
        <v>147</v>
      </c>
      <c r="C28" s="65" t="s">
        <v>161</v>
      </c>
      <c r="D28" s="65" t="s">
        <v>161</v>
      </c>
      <c r="E28" s="65" t="str">
        <v>Jaggampeta-Gokavaram-Itikayala Palle-Itikayala Palle</v>
      </c>
      <c r="F28" s="65"/>
      <c r="G28" s="65"/>
      <c r="H28" s="65"/>
      <c r="I28" s="65"/>
      <c r="J28" s="65"/>
      <c r="K28" s="65"/>
      <c r="L28" s="65"/>
      <c r="M28" s="66" t="s">
        <v>139</v>
      </c>
      <c r="N28" s="65"/>
    </row>
    <row r="29" spans="1:14" ht="14.25">
      <c r="A29" s="65" t="s">
        <v>19</v>
      </c>
      <c r="B29" s="65" t="s">
        <v>147</v>
      </c>
      <c r="C29" s="65" t="s">
        <v>163</v>
      </c>
      <c r="D29" s="65" t="s">
        <v>163</v>
      </c>
      <c r="E29" s="65" t="str">
        <v>Jaggampeta-Gokavaram-Kamaraju Peta-Kamaraju Peta</v>
      </c>
      <c r="F29" s="65"/>
      <c r="G29" s="65"/>
      <c r="H29" s="65"/>
      <c r="I29" s="65"/>
      <c r="J29" s="65"/>
      <c r="K29" s="65"/>
      <c r="L29" s="65"/>
      <c r="M29" s="66" t="s">
        <v>1647</v>
      </c>
      <c r="N29" s="65"/>
    </row>
    <row r="30" spans="1:14" ht="14.25">
      <c r="A30" s="65" t="s">
        <v>19</v>
      </c>
      <c r="B30" s="65" t="s">
        <v>147</v>
      </c>
      <c r="C30" s="65" t="s">
        <v>166</v>
      </c>
      <c r="D30" s="65" t="s">
        <v>166</v>
      </c>
      <c r="E30" s="65" t="str">
        <v>Jaggampeta-Gokavaram-Kothapalle-Kothapalle</v>
      </c>
      <c r="F30" s="65"/>
      <c r="G30" s="65"/>
      <c r="H30" s="65"/>
      <c r="I30" s="65"/>
      <c r="J30" s="65"/>
      <c r="K30" s="65"/>
      <c r="L30" s="65"/>
      <c r="M30" s="66" t="s">
        <v>1648</v>
      </c>
      <c r="N30" s="65"/>
    </row>
    <row r="31" spans="1:14" ht="14.25">
      <c r="A31" s="65" t="s">
        <v>19</v>
      </c>
      <c r="B31" s="65" t="s">
        <v>147</v>
      </c>
      <c r="C31" s="65" t="s">
        <v>168</v>
      </c>
      <c r="D31" s="65" t="s">
        <v>168</v>
      </c>
      <c r="E31" s="65" t="str">
        <v>Jaggampeta-Gokavaram-Krishnuni Palem-Krishnuni Palem</v>
      </c>
      <c r="F31" s="65"/>
      <c r="G31" s="65"/>
      <c r="H31" s="65"/>
      <c r="I31" s="65"/>
      <c r="J31" s="65"/>
      <c r="K31" s="65"/>
      <c r="L31" s="65"/>
      <c r="M31" s="66" t="s">
        <v>1649</v>
      </c>
      <c r="N31" s="65"/>
    </row>
    <row r="32" spans="1:14" ht="14.25">
      <c r="A32" s="65" t="s">
        <v>19</v>
      </c>
      <c r="B32" s="65" t="s">
        <v>147</v>
      </c>
      <c r="C32" s="65" t="s">
        <v>170</v>
      </c>
      <c r="D32" s="65" t="s">
        <v>170</v>
      </c>
      <c r="E32" s="65" t="str">
        <v>Jaggampeta-Gokavaram-Mallavaram-Mallavaram</v>
      </c>
      <c r="F32" s="65"/>
      <c r="G32" s="65"/>
      <c r="H32" s="65"/>
      <c r="I32" s="65"/>
      <c r="J32" s="65"/>
      <c r="K32" s="65"/>
      <c r="L32" s="65"/>
      <c r="M32" s="66" t="s">
        <v>545</v>
      </c>
      <c r="N32" s="65"/>
    </row>
    <row r="33" spans="1:14" ht="14.25">
      <c r="A33" s="65" t="s">
        <v>19</v>
      </c>
      <c r="B33" s="65" t="s">
        <v>147</v>
      </c>
      <c r="C33" s="65" t="s">
        <v>170</v>
      </c>
      <c r="D33" s="65" t="s">
        <v>172</v>
      </c>
      <c r="E33" s="65" t="str">
        <v>Jaggampeta-Gokavaram-Mallavaram-Sivaramapatnam</v>
      </c>
      <c r="F33" s="65"/>
      <c r="G33" s="65"/>
      <c r="H33" s="65"/>
      <c r="I33" s="65"/>
      <c r="J33" s="65"/>
      <c r="K33" s="65"/>
      <c r="L33" s="65"/>
      <c r="M33" s="66" t="s">
        <v>1650</v>
      </c>
      <c r="N33" s="65"/>
    </row>
    <row r="34" spans="1:14" ht="14.25">
      <c r="A34" s="65" t="s">
        <v>19</v>
      </c>
      <c r="B34" s="65" t="s">
        <v>147</v>
      </c>
      <c r="C34" s="65" t="s">
        <v>173</v>
      </c>
      <c r="D34" s="65" t="s">
        <v>173</v>
      </c>
      <c r="E34" s="65" t="str">
        <v>Jaggampeta-Gokavaram-Rampa Yerrampalem-Rampa Yerrampalem</v>
      </c>
      <c r="F34" s="65"/>
      <c r="G34" s="65"/>
      <c r="H34" s="65"/>
      <c r="I34" s="65"/>
      <c r="J34" s="65"/>
      <c r="K34" s="65"/>
      <c r="L34" s="65"/>
      <c r="M34" s="66" t="s">
        <v>1651</v>
      </c>
      <c r="N34" s="65"/>
    </row>
    <row r="35" spans="1:14" ht="14.25">
      <c r="A35" s="65" t="s">
        <v>19</v>
      </c>
      <c r="B35" s="65" t="s">
        <v>147</v>
      </c>
      <c r="C35" s="65" t="s">
        <v>175</v>
      </c>
      <c r="D35" s="65" t="s">
        <v>175</v>
      </c>
      <c r="E35" s="65" t="str">
        <v>Jaggampeta-Gokavaram-Thanti Konda-Thanti Konda</v>
      </c>
      <c r="F35" s="65"/>
      <c r="G35" s="65"/>
      <c r="H35" s="65"/>
      <c r="I35" s="65"/>
      <c r="J35" s="65"/>
      <c r="K35" s="65"/>
      <c r="L35" s="65"/>
      <c r="M35" s="66" t="s">
        <v>1652</v>
      </c>
      <c r="N35" s="65"/>
    </row>
    <row r="36" spans="1:14" ht="14.25">
      <c r="A36" s="65" t="s">
        <v>19</v>
      </c>
      <c r="B36" s="65" t="s">
        <v>147</v>
      </c>
      <c r="C36" s="65" t="s">
        <v>177</v>
      </c>
      <c r="D36" s="65" t="s">
        <v>177</v>
      </c>
      <c r="E36" s="65" t="str">
        <v>Jaggampeta-Gokavaram-Tirumalayapalem-Tirumalayapalem</v>
      </c>
      <c r="F36" s="65"/>
      <c r="G36" s="65"/>
      <c r="H36" s="65"/>
      <c r="I36" s="65"/>
      <c r="J36" s="65"/>
      <c r="K36" s="65"/>
      <c r="L36" s="65"/>
      <c r="M36" s="66" t="s">
        <v>1653</v>
      </c>
      <c r="N36" s="65"/>
    </row>
    <row r="37" spans="1:14" ht="14.25">
      <c r="A37" s="65" t="s">
        <v>19</v>
      </c>
      <c r="B37" s="65" t="s">
        <v>147</v>
      </c>
      <c r="C37" s="65" t="s">
        <v>179</v>
      </c>
      <c r="D37" s="65" t="s">
        <v>179</v>
      </c>
      <c r="E37" s="65" t="str">
        <v>Jaggampeta-Gokavaram-Vedurupaka-Vedurupaka</v>
      </c>
      <c r="F37" s="65"/>
      <c r="G37" s="65"/>
      <c r="H37" s="65"/>
      <c r="I37" s="65"/>
      <c r="J37" s="65"/>
      <c r="K37" s="65"/>
      <c r="L37" s="65"/>
      <c r="M37" s="66" t="s">
        <v>586</v>
      </c>
      <c r="N37" s="65"/>
    </row>
    <row r="38" spans="1:14" ht="14.25">
      <c r="A38" s="65" t="s">
        <v>19</v>
      </c>
      <c r="B38" s="65" t="s">
        <v>147</v>
      </c>
      <c r="C38" s="65" t="s">
        <v>179</v>
      </c>
      <c r="D38" s="65" t="s">
        <v>181</v>
      </c>
      <c r="E38" s="65" t="str">
        <v>Jaggampeta-Gokavaram-Vedurupaka-Bavojipeta</v>
      </c>
      <c r="F38" s="65"/>
      <c r="G38" s="65"/>
      <c r="H38" s="65"/>
      <c r="I38" s="65"/>
      <c r="J38" s="65"/>
      <c r="K38" s="65"/>
      <c r="L38" s="65"/>
      <c r="M38" s="66" t="s">
        <v>131</v>
      </c>
      <c r="N38" s="65"/>
    </row>
    <row r="39" spans="1:14" ht="14.25">
      <c r="A39" s="65" t="s">
        <v>19</v>
      </c>
      <c r="B39" s="65" t="s">
        <v>19</v>
      </c>
      <c r="C39" s="65" t="s">
        <v>182</v>
      </c>
      <c r="D39" s="65" t="s">
        <v>182</v>
      </c>
      <c r="E39" s="65" t="str">
        <v>Jaggampeta-Jaggampeta-Gollalagunta-Gollalagunta</v>
      </c>
      <c r="F39" s="65"/>
      <c r="G39" s="65"/>
      <c r="H39" s="65"/>
      <c r="I39" s="65"/>
      <c r="J39" s="65"/>
      <c r="K39" s="65"/>
      <c r="L39" s="65"/>
      <c r="M39" s="66" t="s">
        <v>120</v>
      </c>
      <c r="N39" s="65"/>
    </row>
    <row r="40" spans="1:14" ht="14.25">
      <c r="A40" s="65" t="s">
        <v>19</v>
      </c>
      <c r="B40" s="65" t="s">
        <v>19</v>
      </c>
      <c r="C40" s="65" t="s">
        <v>184</v>
      </c>
      <c r="D40" s="65" t="s">
        <v>184</v>
      </c>
      <c r="E40" s="65" t="str">
        <v>Jaggampeta-Jaggampeta-Govindapuram-Govindapuram</v>
      </c>
      <c r="F40" s="65"/>
      <c r="G40" s="65"/>
      <c r="H40" s="65"/>
      <c r="I40" s="65"/>
      <c r="J40" s="65"/>
      <c r="K40" s="65"/>
      <c r="L40" s="65"/>
      <c r="M40" s="66" t="s">
        <v>467</v>
      </c>
      <c r="N40" s="65"/>
    </row>
    <row r="41" spans="1:14" ht="14.25">
      <c r="A41" s="65" t="s">
        <v>19</v>
      </c>
      <c r="B41" s="65" t="s">
        <v>19</v>
      </c>
      <c r="C41" s="65" t="s">
        <v>186</v>
      </c>
      <c r="D41" s="65" t="s">
        <v>187</v>
      </c>
      <c r="E41" s="65" t="str">
        <v>Jaggampeta-Jaggampeta-Gurra Palem-Balabhadrapuram</v>
      </c>
      <c r="F41" s="65"/>
      <c r="G41" s="65"/>
      <c r="H41" s="65"/>
      <c r="I41" s="65"/>
      <c r="J41" s="65"/>
      <c r="K41" s="65"/>
      <c r="L41" s="65"/>
      <c r="M41" s="66" t="s">
        <v>114</v>
      </c>
      <c r="N41" s="65"/>
    </row>
    <row r="42" spans="1:14" ht="14.25">
      <c r="A42" s="65" t="s">
        <v>19</v>
      </c>
      <c r="B42" s="65" t="s">
        <v>19</v>
      </c>
      <c r="C42" s="65" t="s">
        <v>186</v>
      </c>
      <c r="D42" s="65" t="s">
        <v>186</v>
      </c>
      <c r="E42" s="65" t="str">
        <v>Jaggampeta-Jaggampeta-Gurra Palem-Gurra Palem</v>
      </c>
      <c r="F42" s="65"/>
      <c r="G42" s="65"/>
      <c r="H42" s="65"/>
      <c r="I42" s="65"/>
      <c r="J42" s="65"/>
      <c r="K42" s="65"/>
      <c r="L42" s="65"/>
      <c r="M42" s="66" t="s">
        <v>1654</v>
      </c>
      <c r="N42" s="65"/>
    </row>
    <row r="43" spans="1:14" ht="14.25">
      <c r="A43" s="65" t="s">
        <v>19</v>
      </c>
      <c r="B43" s="65" t="s">
        <v>19</v>
      </c>
      <c r="C43" s="65" t="s">
        <v>189</v>
      </c>
      <c r="D43" s="65" t="s">
        <v>189</v>
      </c>
      <c r="E43" s="65" t="str">
        <v>Jaggampeta-Jaggampeta-Irripaka-Irripaka</v>
      </c>
      <c r="F43" s="65"/>
      <c r="G43" s="65"/>
      <c r="H43" s="65"/>
      <c r="I43" s="65"/>
      <c r="J43" s="65"/>
      <c r="K43" s="65"/>
      <c r="L43" s="65"/>
      <c r="M43" s="66" t="s">
        <v>1655</v>
      </c>
      <c r="N43" s="65"/>
    </row>
    <row r="44" spans="1:14" ht="14.25">
      <c r="A44" s="65" t="s">
        <v>19</v>
      </c>
      <c r="B44" s="65" t="s">
        <v>19</v>
      </c>
      <c r="C44" s="65" t="s">
        <v>191</v>
      </c>
      <c r="D44" s="65" t="s">
        <v>191</v>
      </c>
      <c r="E44" s="65" t="str">
        <v>Jaggampeta-Jaggampeta-J.Kothuru-J.Kothuru</v>
      </c>
      <c r="F44" s="65"/>
      <c r="G44" s="65"/>
      <c r="H44" s="65"/>
      <c r="I44" s="65"/>
      <c r="J44" s="65"/>
      <c r="K44" s="65"/>
      <c r="L44" s="65"/>
      <c r="M44" s="66" t="s">
        <v>1656</v>
      </c>
      <c r="N44" s="65"/>
    </row>
    <row r="45" spans="1:14" ht="14.25">
      <c r="A45" s="65" t="s">
        <v>19</v>
      </c>
      <c r="B45" s="65" t="s">
        <v>19</v>
      </c>
      <c r="C45" s="65" t="s">
        <v>19</v>
      </c>
      <c r="D45" s="65" t="s">
        <v>19</v>
      </c>
      <c r="E45" s="65" t="str">
        <v>Jaggampeta-Jaggampeta-Jaggampeta-Jaggampeta</v>
      </c>
      <c r="F45" s="65"/>
      <c r="G45" s="65"/>
      <c r="H45" s="65"/>
      <c r="I45" s="65"/>
      <c r="J45" s="65"/>
      <c r="K45" s="65"/>
      <c r="L45" s="65"/>
      <c r="M45" s="66" t="s">
        <v>1657</v>
      </c>
      <c r="N45" s="65"/>
    </row>
    <row r="46" spans="1:14" ht="14.25">
      <c r="A46" s="65" t="s">
        <v>19</v>
      </c>
      <c r="B46" s="65" t="s">
        <v>19</v>
      </c>
      <c r="C46" s="65" t="s">
        <v>19</v>
      </c>
      <c r="D46" s="65" t="s">
        <v>194</v>
      </c>
      <c r="E46" s="65" t="str">
        <v>Jaggampeta-Jaggampeta-Jaggampeta-Seethanagaram</v>
      </c>
      <c r="F46" s="65"/>
      <c r="G46" s="65"/>
      <c r="H46" s="65"/>
      <c r="I46" s="65"/>
      <c r="J46" s="65"/>
      <c r="K46" s="65"/>
      <c r="L46" s="65"/>
      <c r="M46" s="66" t="s">
        <v>1658</v>
      </c>
      <c r="N46" s="65"/>
    </row>
    <row r="47" spans="1:14" ht="14.25">
      <c r="A47" s="65" t="s">
        <v>19</v>
      </c>
      <c r="B47" s="65" t="s">
        <v>19</v>
      </c>
      <c r="C47" s="65" t="s">
        <v>195</v>
      </c>
      <c r="D47" s="65" t="s">
        <v>195</v>
      </c>
      <c r="E47" s="65" t="str">
        <v>Jaggampeta-Jaggampeta-Kandregula-Kandregula</v>
      </c>
      <c r="F47" s="65"/>
      <c r="G47" s="65"/>
      <c r="H47" s="65"/>
      <c r="I47" s="65"/>
      <c r="J47" s="65"/>
      <c r="K47" s="65"/>
      <c r="L47" s="65"/>
      <c r="M47" s="66" t="s">
        <v>1659</v>
      </c>
      <c r="N47" s="65"/>
    </row>
    <row r="48" spans="1:14" ht="14.25">
      <c r="A48" s="65" t="s">
        <v>19</v>
      </c>
      <c r="B48" s="65" t="s">
        <v>19</v>
      </c>
      <c r="C48" s="65" t="s">
        <v>197</v>
      </c>
      <c r="D48" s="65" t="s">
        <v>197</v>
      </c>
      <c r="E48" s="65" t="str">
        <v>Jaggampeta-Jaggampeta-Katravulapalle-Katravulapalle</v>
      </c>
      <c r="F48" s="65"/>
      <c r="G48" s="65"/>
      <c r="H48" s="65"/>
      <c r="I48" s="65"/>
      <c r="J48" s="65"/>
      <c r="K48" s="65"/>
      <c r="L48" s="65"/>
      <c r="M48" s="66" t="s">
        <v>595</v>
      </c>
      <c r="N48" s="65"/>
    </row>
    <row r="49" spans="1:14" ht="14.25">
      <c r="A49" s="65" t="s">
        <v>19</v>
      </c>
      <c r="B49" s="65" t="s">
        <v>19</v>
      </c>
      <c r="C49" s="65" t="s">
        <v>199</v>
      </c>
      <c r="D49" s="65" t="s">
        <v>199</v>
      </c>
      <c r="E49" s="65" t="str">
        <v>Jaggampeta-Jaggampeta-Mallisala-Mallisala</v>
      </c>
      <c r="F49" s="65"/>
      <c r="G49" s="65"/>
      <c r="H49" s="65"/>
      <c r="I49" s="65"/>
      <c r="J49" s="65"/>
      <c r="K49" s="65"/>
      <c r="L49" s="65"/>
      <c r="M49" s="66" t="s">
        <v>38</v>
      </c>
      <c r="N49" s="65"/>
    </row>
    <row r="50" spans="1:14" ht="14.25">
      <c r="A50" s="65" t="s">
        <v>19</v>
      </c>
      <c r="B50" s="65" t="s">
        <v>19</v>
      </c>
      <c r="C50" s="65" t="s">
        <v>201</v>
      </c>
      <c r="D50" s="65" t="s">
        <v>201</v>
      </c>
      <c r="E50" s="65" t="str">
        <v>Jaggampeta-Jaggampeta-Mamidada-Mamidada</v>
      </c>
      <c r="F50" s="65"/>
      <c r="G50" s="65"/>
      <c r="H50" s="65"/>
      <c r="I50" s="65"/>
      <c r="J50" s="65"/>
      <c r="K50" s="65"/>
      <c r="L50" s="65"/>
      <c r="M50" s="66" t="s">
        <v>1660</v>
      </c>
      <c r="N50" s="65"/>
    </row>
    <row r="51" spans="1:14" ht="14.25">
      <c r="A51" s="65" t="s">
        <v>19</v>
      </c>
      <c r="B51" s="65" t="s">
        <v>19</v>
      </c>
      <c r="C51" s="65" t="s">
        <v>203</v>
      </c>
      <c r="D51" s="65" t="s">
        <v>203</v>
      </c>
      <c r="E51" s="65" t="str">
        <v>Jaggampeta-Jaggampeta-Manyanvari Palem-Manyanvari Palem</v>
      </c>
      <c r="F51" s="65"/>
      <c r="G51" s="65"/>
      <c r="H51" s="65"/>
      <c r="I51" s="65"/>
      <c r="J51" s="65"/>
      <c r="K51" s="65"/>
      <c r="L51" s="65"/>
      <c r="M51" s="66" t="s">
        <v>1661</v>
      </c>
      <c r="N51" s="65"/>
    </row>
    <row r="52" spans="1:14" ht="14.25">
      <c r="A52" s="65" t="s">
        <v>19</v>
      </c>
      <c r="B52" s="65" t="s">
        <v>19</v>
      </c>
      <c r="C52" s="65" t="s">
        <v>206</v>
      </c>
      <c r="D52" s="65" t="s">
        <v>206</v>
      </c>
      <c r="E52" s="65" t="str">
        <v>Jaggampeta-Jaggampeta-Marripaka-Marripaka</v>
      </c>
      <c r="F52" s="65"/>
      <c r="G52" s="65"/>
      <c r="H52" s="65"/>
      <c r="I52" s="65"/>
      <c r="J52" s="65"/>
      <c r="K52" s="65"/>
      <c r="L52" s="65"/>
      <c r="M52" s="66" t="s">
        <v>1662</v>
      </c>
      <c r="N52" s="65"/>
    </row>
    <row r="53" spans="1:14" ht="14.25">
      <c r="A53" s="65" t="s">
        <v>19</v>
      </c>
      <c r="B53" s="65" t="s">
        <v>19</v>
      </c>
      <c r="C53" s="65" t="s">
        <v>208</v>
      </c>
      <c r="D53" s="65" t="s">
        <v>208</v>
      </c>
      <c r="E53" s="65" t="str">
        <v>Jaggampeta-Jaggampeta-Narendrapatnam-Narendrapatnam</v>
      </c>
      <c r="F53" s="65"/>
      <c r="G53" s="65"/>
      <c r="H53" s="65"/>
      <c r="I53" s="65"/>
      <c r="J53" s="65"/>
      <c r="K53" s="65"/>
      <c r="L53" s="65"/>
      <c r="M53" s="66" t="s">
        <v>1663</v>
      </c>
      <c r="N53" s="65"/>
    </row>
    <row r="54" spans="1:14" ht="14.25">
      <c r="A54" s="65" t="s">
        <v>19</v>
      </c>
      <c r="B54" s="65" t="s">
        <v>19</v>
      </c>
      <c r="C54" s="65" t="s">
        <v>208</v>
      </c>
      <c r="D54" s="65" t="s">
        <v>210</v>
      </c>
      <c r="E54" s="65" t="str">
        <v>Jaggampeta-Jaggampeta-Narendrapatnam-Bhavavaram</v>
      </c>
      <c r="F54" s="65"/>
      <c r="G54" s="65"/>
      <c r="H54" s="65"/>
      <c r="I54" s="65"/>
      <c r="J54" s="65"/>
      <c r="K54" s="65"/>
      <c r="L54" s="65"/>
      <c r="M54" s="66" t="s">
        <v>1664</v>
      </c>
      <c r="N54" s="65"/>
    </row>
    <row r="55" spans="1:14" ht="14.25">
      <c r="A55" s="65" t="s">
        <v>19</v>
      </c>
      <c r="B55" s="65" t="s">
        <v>19</v>
      </c>
      <c r="C55" s="65" t="s">
        <v>211</v>
      </c>
      <c r="D55" s="65" t="s">
        <v>211</v>
      </c>
      <c r="E55" s="65" t="str">
        <v>Jaggampeta-Jaggampeta-Rajapudi-Rajapudi</v>
      </c>
      <c r="F55" s="65"/>
      <c r="G55" s="65"/>
      <c r="H55" s="65"/>
      <c r="I55" s="65"/>
      <c r="J55" s="65"/>
      <c r="K55" s="65"/>
      <c r="L55" s="65"/>
      <c r="M55" s="66" t="s">
        <v>94</v>
      </c>
      <c r="N55" s="65"/>
    </row>
    <row r="56" spans="1:14" ht="14.25">
      <c r="A56" s="65" t="s">
        <v>19</v>
      </c>
      <c r="B56" s="65" t="s">
        <v>19</v>
      </c>
      <c r="C56" s="65" t="s">
        <v>211</v>
      </c>
      <c r="D56" s="65" t="s">
        <v>214</v>
      </c>
      <c r="E56" s="65" t="str">
        <v>Jaggampeta-Jaggampeta-Rajapudi-Krishnapuram</v>
      </c>
      <c r="F56" s="65"/>
      <c r="G56" s="65"/>
      <c r="H56" s="65"/>
      <c r="I56" s="65"/>
      <c r="J56" s="65"/>
      <c r="K56" s="65"/>
      <c r="L56" s="65"/>
      <c r="M56" s="66" t="s">
        <v>1665</v>
      </c>
      <c r="N56" s="65"/>
    </row>
    <row r="57" spans="1:14" ht="14.25">
      <c r="A57" s="65" t="s">
        <v>19</v>
      </c>
      <c r="B57" s="65" t="s">
        <v>19</v>
      </c>
      <c r="C57" s="65" t="s">
        <v>211</v>
      </c>
      <c r="D57" s="65" t="s">
        <v>215</v>
      </c>
      <c r="E57" s="65" t="str">
        <v>Jaggampeta-Jaggampeta-Rajapudi-Tirupatirajupeta</v>
      </c>
      <c r="F57" s="65"/>
      <c r="G57" s="65"/>
      <c r="H57" s="65"/>
      <c r="I57" s="65"/>
      <c r="J57" s="65"/>
      <c r="K57" s="65"/>
      <c r="L57" s="65"/>
      <c r="M57" s="66" t="s">
        <v>158</v>
      </c>
      <c r="N57" s="65"/>
    </row>
    <row r="58" spans="1:14" ht="14.25">
      <c r="A58" s="65" t="s">
        <v>19</v>
      </c>
      <c r="B58" s="65" t="s">
        <v>19</v>
      </c>
      <c r="C58" s="65" t="s">
        <v>216</v>
      </c>
      <c r="D58" s="65" t="s">
        <v>216</v>
      </c>
      <c r="E58" s="65" t="str">
        <v>Jaggampeta-Jaggampeta-Ramavaram-Ramavaram</v>
      </c>
      <c r="F58" s="65"/>
      <c r="G58" s="65"/>
      <c r="H58" s="65"/>
      <c r="I58" s="65"/>
      <c r="J58" s="65"/>
      <c r="K58" s="65"/>
      <c r="L58" s="65"/>
      <c r="M58" s="66" t="s">
        <v>437</v>
      </c>
      <c r="N58" s="65"/>
    </row>
    <row r="59" spans="1:14" ht="14.25">
      <c r="A59" s="65" t="s">
        <v>19</v>
      </c>
      <c r="B59" s="65" t="s">
        <v>19</v>
      </c>
      <c r="C59" s="65" t="s">
        <v>218</v>
      </c>
      <c r="D59" s="65" t="s">
        <v>218</v>
      </c>
      <c r="E59" s="65" t="str">
        <v>Jaggampeta-Jaggampeta-Vengayamma Puram-Vengayamma Puram</v>
      </c>
      <c r="F59" s="65"/>
      <c r="G59" s="65"/>
      <c r="H59" s="65"/>
      <c r="I59" s="65"/>
      <c r="J59" s="65"/>
      <c r="K59" s="65"/>
      <c r="L59" s="65"/>
      <c r="M59" s="66" t="s">
        <v>1666</v>
      </c>
      <c r="N59" s="65"/>
    </row>
    <row r="60" spans="1:14" ht="14.25">
      <c r="A60" s="65" t="s">
        <v>19</v>
      </c>
      <c r="B60" s="65" t="s">
        <v>220</v>
      </c>
      <c r="C60" s="65" t="s">
        <v>221</v>
      </c>
      <c r="D60" s="65" t="s">
        <v>221</v>
      </c>
      <c r="E60" s="65" t="str">
        <v>Jaggampeta-Kirlampudi-Bhupalapantam-Bhupalapantam</v>
      </c>
      <c r="F60" s="65"/>
      <c r="G60" s="65"/>
      <c r="H60" s="65"/>
      <c r="I60" s="65"/>
      <c r="J60" s="65"/>
      <c r="K60" s="65"/>
      <c r="L60" s="65"/>
      <c r="M60" s="66" t="s">
        <v>205</v>
      </c>
      <c r="N60" s="65"/>
    </row>
    <row r="61" spans="1:14" ht="14.25">
      <c r="A61" s="65" t="s">
        <v>19</v>
      </c>
      <c r="B61" s="65" t="s">
        <v>220</v>
      </c>
      <c r="C61" s="65" t="s">
        <v>223</v>
      </c>
      <c r="D61" s="65" t="s">
        <v>223</v>
      </c>
      <c r="E61" s="65" t="str">
        <v>Jaggampeta-Kirlampudi-Burugupudi-Burugupudi</v>
      </c>
      <c r="F61" s="65"/>
      <c r="G61" s="65"/>
      <c r="H61" s="65"/>
      <c r="I61" s="65"/>
      <c r="J61" s="65"/>
      <c r="K61" s="65"/>
      <c r="L61" s="65"/>
      <c r="M61" s="66" t="s">
        <v>1667</v>
      </c>
      <c r="N61" s="65"/>
    </row>
    <row r="62" spans="1:14" ht="14.25">
      <c r="A62" s="65" t="s">
        <v>19</v>
      </c>
      <c r="B62" s="65" t="s">
        <v>220</v>
      </c>
      <c r="C62" s="65" t="s">
        <v>226</v>
      </c>
      <c r="D62" s="65" t="s">
        <v>226</v>
      </c>
      <c r="E62" s="65" t="str">
        <v>Jaggampeta-Kirlampudi-Geddanapalle-Geddanapalle</v>
      </c>
      <c r="F62" s="65"/>
      <c r="G62" s="65"/>
      <c r="H62" s="65"/>
      <c r="I62" s="65"/>
      <c r="J62" s="65"/>
      <c r="K62" s="65"/>
      <c r="L62" s="65"/>
      <c r="M62" s="66" t="s">
        <v>1668</v>
      </c>
      <c r="N62" s="65"/>
    </row>
    <row r="63" spans="1:14" ht="14.25">
      <c r="A63" s="65" t="s">
        <v>19</v>
      </c>
      <c r="B63" s="65" t="s">
        <v>220</v>
      </c>
      <c r="C63" s="65" t="s">
        <v>228</v>
      </c>
      <c r="D63" s="65" t="s">
        <v>228</v>
      </c>
      <c r="E63" s="65" t="str">
        <v>Jaggampeta-Kirlampudi-Goneda-Goneda</v>
      </c>
      <c r="F63" s="65"/>
      <c r="G63" s="65"/>
      <c r="H63" s="65"/>
      <c r="I63" s="65"/>
      <c r="J63" s="65"/>
      <c r="K63" s="65"/>
      <c r="L63" s="65"/>
      <c r="M63" s="66" t="s">
        <v>1669</v>
      </c>
      <c r="N63" s="65"/>
    </row>
    <row r="64" spans="1:14" ht="14.25">
      <c r="A64" s="65" t="s">
        <v>19</v>
      </c>
      <c r="B64" s="65" t="s">
        <v>220</v>
      </c>
      <c r="C64" s="65" t="s">
        <v>230</v>
      </c>
      <c r="D64" s="65" t="s">
        <v>231</v>
      </c>
      <c r="E64" s="65" t="str">
        <v>Jaggampeta-Kirlampudi-Jagapathinagaram-Chillangi</v>
      </c>
      <c r="F64" s="65"/>
      <c r="G64" s="65"/>
      <c r="H64" s="65"/>
      <c r="I64" s="65"/>
      <c r="J64" s="65"/>
      <c r="K64" s="65"/>
      <c r="L64" s="65"/>
      <c r="M64" s="66" t="s">
        <v>1670</v>
      </c>
      <c r="N64" s="65"/>
    </row>
    <row r="65" spans="1:14" ht="14.25">
      <c r="A65" s="65" t="s">
        <v>19</v>
      </c>
      <c r="B65" s="65" t="s">
        <v>220</v>
      </c>
      <c r="C65" s="65" t="s">
        <v>230</v>
      </c>
      <c r="D65" s="65" t="s">
        <v>230</v>
      </c>
      <c r="E65" s="65" t="str">
        <v>Jaggampeta-Kirlampudi-Jagapathinagaram-Jagapathinagaram</v>
      </c>
      <c r="F65" s="65"/>
      <c r="G65" s="65"/>
      <c r="H65" s="65"/>
      <c r="I65" s="65"/>
      <c r="J65" s="65"/>
      <c r="K65" s="65"/>
      <c r="L65" s="65"/>
      <c r="M65" s="66" t="s">
        <v>1671</v>
      </c>
      <c r="N65" s="65"/>
    </row>
    <row r="66" spans="1:14" ht="14.25">
      <c r="A66" s="65" t="s">
        <v>19</v>
      </c>
      <c r="B66" s="65" t="s">
        <v>220</v>
      </c>
      <c r="C66" s="65" t="s">
        <v>230</v>
      </c>
      <c r="D66" s="65" t="s">
        <v>220</v>
      </c>
      <c r="E66" s="65" t="str">
        <v>Jaggampeta-Kirlampudi-Jagapathinagaram-Kirlampudi</v>
      </c>
      <c r="F66" s="65"/>
      <c r="G66" s="65"/>
      <c r="H66" s="65"/>
      <c r="I66" s="65"/>
      <c r="J66" s="65"/>
      <c r="K66" s="65"/>
      <c r="L66" s="65"/>
      <c r="M66" s="66" t="s">
        <v>1672</v>
      </c>
      <c r="N66" s="65"/>
    </row>
    <row r="67" spans="1:14" ht="14.25">
      <c r="A67" s="65" t="s">
        <v>19</v>
      </c>
      <c r="B67" s="65" t="s">
        <v>220</v>
      </c>
      <c r="C67" s="65" t="s">
        <v>233</v>
      </c>
      <c r="D67" s="65" t="s">
        <v>233</v>
      </c>
      <c r="E67" s="65" t="str">
        <v>Jaggampeta-Kirlampudi-Krishnavaram-Krishnavaram</v>
      </c>
      <c r="F67" s="65"/>
      <c r="G67" s="65"/>
      <c r="H67" s="65"/>
      <c r="I67" s="65"/>
      <c r="J67" s="65"/>
      <c r="K67" s="65"/>
      <c r="L67" s="65"/>
      <c r="M67" s="66" t="s">
        <v>1673</v>
      </c>
      <c r="N67" s="65"/>
    </row>
    <row r="68" spans="1:14" ht="14.25">
      <c r="A68" s="65" t="s">
        <v>19</v>
      </c>
      <c r="B68" s="65" t="s">
        <v>220</v>
      </c>
      <c r="C68" s="65" t="s">
        <v>235</v>
      </c>
      <c r="D68" s="65" t="s">
        <v>235</v>
      </c>
      <c r="E68" s="65" t="str">
        <v>Jaggampeta-Kirlampudi-Mukkollu-Mukkollu</v>
      </c>
      <c r="F68" s="65"/>
      <c r="G68" s="65"/>
      <c r="H68" s="65"/>
      <c r="I68" s="65"/>
      <c r="J68" s="65"/>
      <c r="K68" s="65"/>
      <c r="L68" s="65"/>
      <c r="M68" s="66" t="s">
        <v>213</v>
      </c>
      <c r="N68" s="65"/>
    </row>
    <row r="69" spans="1:14" ht="14.25">
      <c r="A69" s="65" t="s">
        <v>19</v>
      </c>
      <c r="B69" s="65" t="s">
        <v>220</v>
      </c>
      <c r="C69" s="65" t="s">
        <v>237</v>
      </c>
      <c r="D69" s="65" t="s">
        <v>237</v>
      </c>
      <c r="E69" s="65" t="str">
        <v>Jaggampeta-Kirlampudi-Palem-Palem</v>
      </c>
      <c r="F69" s="65"/>
      <c r="G69" s="65"/>
      <c r="H69" s="65"/>
      <c r="I69" s="65"/>
      <c r="J69" s="65"/>
      <c r="K69" s="65"/>
      <c r="L69" s="65"/>
      <c r="M69" s="66" t="s">
        <v>1674</v>
      </c>
      <c r="N69" s="65"/>
    </row>
    <row r="70" spans="1:14" ht="14.25">
      <c r="A70" s="65" t="s">
        <v>19</v>
      </c>
      <c r="B70" s="65" t="s">
        <v>220</v>
      </c>
      <c r="C70" s="65" t="s">
        <v>239</v>
      </c>
      <c r="D70" s="65" t="s">
        <v>239</v>
      </c>
      <c r="E70" s="65" t="str">
        <v>Jaggampeta-Kirlampudi-Rajupalem-Rajupalem</v>
      </c>
      <c r="F70" s="65"/>
      <c r="G70" s="65"/>
      <c r="H70" s="65"/>
      <c r="I70" s="65"/>
      <c r="J70" s="65"/>
      <c r="K70" s="65"/>
      <c r="L70" s="65"/>
      <c r="M70" s="66" t="s">
        <v>288</v>
      </c>
      <c r="N70" s="65"/>
    </row>
    <row r="71" spans="1:14" ht="14.25">
      <c r="A71" s="65" t="s">
        <v>19</v>
      </c>
      <c r="B71" s="65" t="s">
        <v>220</v>
      </c>
      <c r="C71" s="65" t="s">
        <v>241</v>
      </c>
      <c r="D71" s="65" t="s">
        <v>241</v>
      </c>
      <c r="E71" s="65" t="str">
        <v>Jaggampeta-Kirlampudi-Ramachandra Puram-Ramachandra Puram</v>
      </c>
      <c r="F71" s="65"/>
      <c r="G71" s="65"/>
      <c r="H71" s="65"/>
      <c r="I71" s="65"/>
      <c r="J71" s="65"/>
      <c r="K71" s="65"/>
      <c r="L71" s="65"/>
      <c r="M71" s="66" t="s">
        <v>1675</v>
      </c>
      <c r="N71" s="65"/>
    </row>
    <row r="72" spans="1:14" ht="14.25">
      <c r="A72" s="65" t="s">
        <v>19</v>
      </c>
      <c r="B72" s="65" t="s">
        <v>220</v>
      </c>
      <c r="C72" s="65" t="s">
        <v>243</v>
      </c>
      <c r="D72" s="65" t="s">
        <v>243</v>
      </c>
      <c r="E72" s="65" t="str">
        <v>Jaggampeta-Kirlampudi-Ramakrishnapuram-Ramakrishnapuram</v>
      </c>
      <c r="F72" s="65"/>
      <c r="G72" s="65"/>
      <c r="H72" s="65"/>
      <c r="I72" s="65"/>
      <c r="J72" s="65"/>
      <c r="K72" s="65"/>
      <c r="L72" s="65"/>
      <c r="M72" s="66" t="s">
        <v>1676</v>
      </c>
      <c r="N72" s="65"/>
    </row>
    <row r="73" spans="1:14" ht="14.25">
      <c r="A73" s="65" t="s">
        <v>19</v>
      </c>
      <c r="B73" s="65" t="s">
        <v>220</v>
      </c>
      <c r="C73" s="65" t="s">
        <v>245</v>
      </c>
      <c r="D73" s="65" t="s">
        <v>245</v>
      </c>
      <c r="E73" s="65" t="str">
        <v>Jaggampeta-Kirlampudi-S.Thimmapuram-S.Thimmapuram</v>
      </c>
      <c r="F73" s="65"/>
      <c r="G73" s="65"/>
      <c r="H73" s="65"/>
      <c r="I73" s="65"/>
      <c r="J73" s="65"/>
      <c r="K73" s="65"/>
      <c r="L73" s="65"/>
      <c r="M73" s="66" t="s">
        <v>1677</v>
      </c>
      <c r="N73" s="65"/>
    </row>
    <row r="74" spans="1:14" ht="14.25">
      <c r="A74" s="65" t="s">
        <v>19</v>
      </c>
      <c r="B74" s="65" t="s">
        <v>220</v>
      </c>
      <c r="C74" s="65" t="s">
        <v>247</v>
      </c>
      <c r="D74" s="65" t="s">
        <v>247</v>
      </c>
      <c r="E74" s="65" t="str">
        <v>Jaggampeta-Kirlampudi-Simhadri Puram-Simhadri Puram</v>
      </c>
      <c r="F74" s="65"/>
      <c r="G74" s="65"/>
      <c r="H74" s="65"/>
      <c r="I74" s="65"/>
      <c r="J74" s="65"/>
      <c r="K74" s="65"/>
      <c r="L74" s="65"/>
      <c r="M74" s="66" t="s">
        <v>1678</v>
      </c>
      <c r="N74" s="65"/>
    </row>
    <row r="75" spans="1:14" ht="14.25">
      <c r="A75" s="65" t="s">
        <v>19</v>
      </c>
      <c r="B75" s="65" t="s">
        <v>220</v>
      </c>
      <c r="C75" s="65" t="s">
        <v>249</v>
      </c>
      <c r="D75" s="65" t="s">
        <v>249</v>
      </c>
      <c r="E75" s="65" t="str">
        <v>Jaggampeta-Kirlampudi-Somanarayani Peta-Somanarayani Peta</v>
      </c>
      <c r="F75" s="65"/>
      <c r="G75" s="65"/>
      <c r="H75" s="65"/>
      <c r="I75" s="65"/>
      <c r="J75" s="65"/>
      <c r="K75" s="65"/>
      <c r="L75" s="65"/>
      <c r="M75" s="66" t="s">
        <v>1679</v>
      </c>
      <c r="N75" s="65"/>
    </row>
    <row r="76" spans="1:14" ht="14.25">
      <c r="A76" s="65" t="s">
        <v>19</v>
      </c>
      <c r="B76" s="65" t="s">
        <v>220</v>
      </c>
      <c r="C76" s="65" t="s">
        <v>251</v>
      </c>
      <c r="D76" s="65" t="s">
        <v>251</v>
      </c>
      <c r="E76" s="65" t="str">
        <v>Jaggampeta-Kirlampudi-Somavaram-Somavaram</v>
      </c>
      <c r="F76" s="65"/>
      <c r="G76" s="65"/>
      <c r="H76" s="65"/>
      <c r="I76" s="65"/>
      <c r="J76" s="65"/>
      <c r="K76" s="65"/>
      <c r="L76" s="65"/>
      <c r="M76" s="66" t="s">
        <v>1680</v>
      </c>
      <c r="N76" s="65"/>
    </row>
    <row r="77" spans="1:14" ht="14.25">
      <c r="A77" s="65" t="s">
        <v>19</v>
      </c>
      <c r="B77" s="65" t="s">
        <v>220</v>
      </c>
      <c r="C77" s="65" t="s">
        <v>253</v>
      </c>
      <c r="D77" s="65" t="s">
        <v>253</v>
      </c>
      <c r="E77" s="65" t="str">
        <v>Jaggampeta-Kirlampudi-Sungarayunipalem-Sungarayunipalem</v>
      </c>
      <c r="F77" s="65"/>
      <c r="G77" s="65"/>
      <c r="H77" s="65"/>
      <c r="I77" s="65"/>
      <c r="J77" s="65"/>
      <c r="K77" s="65"/>
      <c r="L77" s="65"/>
      <c r="M77" s="66" t="s">
        <v>368</v>
      </c>
      <c r="N77" s="65"/>
    </row>
    <row r="78" spans="1:14" ht="14.25">
      <c r="A78" s="65" t="s">
        <v>19</v>
      </c>
      <c r="B78" s="65" t="s">
        <v>220</v>
      </c>
      <c r="C78" s="65" t="s">
        <v>255</v>
      </c>
      <c r="D78" s="65" t="s">
        <v>255</v>
      </c>
      <c r="E78" s="65" t="str">
        <v>Jaggampeta-Kirlampudi-Thamarada-Thamarada</v>
      </c>
      <c r="F78" s="65"/>
      <c r="G78" s="65"/>
      <c r="H78" s="65"/>
      <c r="I78" s="65"/>
      <c r="J78" s="65"/>
      <c r="K78" s="65"/>
      <c r="L78" s="65"/>
      <c r="M78" s="66" t="s">
        <v>136</v>
      </c>
      <c r="N78" s="65"/>
    </row>
    <row r="79" spans="1:14" ht="14.25">
      <c r="A79" s="65" t="s">
        <v>19</v>
      </c>
      <c r="B79" s="65" t="s">
        <v>220</v>
      </c>
      <c r="C79" s="65" t="s">
        <v>257</v>
      </c>
      <c r="D79" s="65" t="s">
        <v>257</v>
      </c>
      <c r="E79" s="65" t="str">
        <v>Jaggampeta-Kirlampudi-Veeravaram-Veeravaram</v>
      </c>
      <c r="F79" s="65"/>
      <c r="G79" s="65"/>
      <c r="H79" s="65"/>
      <c r="I79" s="65"/>
      <c r="J79" s="65"/>
      <c r="K79" s="65"/>
      <c r="L79" s="65"/>
      <c r="M79" s="66" t="s">
        <v>165</v>
      </c>
      <c r="N79" s="65"/>
    </row>
    <row r="80" spans="1:14" ht="14.25">
      <c r="A80" s="65" t="s">
        <v>19</v>
      </c>
      <c r="B80" s="65" t="s">
        <v>220</v>
      </c>
      <c r="C80" s="65" t="s">
        <v>259</v>
      </c>
      <c r="D80" s="65" t="s">
        <v>259</v>
      </c>
      <c r="E80" s="65" t="str">
        <v>Jaggampeta-Kirlampudi-Velanka-Velanka</v>
      </c>
      <c r="F80" s="65"/>
      <c r="G80" s="65"/>
      <c r="H80" s="65"/>
      <c r="I80" s="65"/>
      <c r="J80" s="65"/>
      <c r="K80" s="65"/>
      <c r="L80" s="65"/>
      <c r="M80" s="66" t="s">
        <v>1681</v>
      </c>
      <c r="N80" s="65"/>
    </row>
    <row r="81" spans="1:14" ht="14.25">
      <c r="A81" s="65" t="s">
        <v>11</v>
      </c>
      <c r="B81" s="65" t="s">
        <v>261</v>
      </c>
      <c r="C81" s="65" t="s">
        <v>262</v>
      </c>
      <c r="D81" s="65" t="s">
        <v>262</v>
      </c>
      <c r="E81" s="65" t="str">
        <v>Kakinada Rural-Kakinada (Rural)-Chidiga-Chidiga</v>
      </c>
      <c r="F81" s="65"/>
      <c r="G81" s="65"/>
      <c r="H81" s="65"/>
      <c r="I81" s="65"/>
      <c r="J81" s="65"/>
      <c r="K81" s="65"/>
      <c r="L81" s="65"/>
      <c r="M81" s="66" t="s">
        <v>1682</v>
      </c>
      <c r="N81" s="65"/>
    </row>
    <row r="82" spans="1:14" ht="12.75">
      <c r="A82" s="65" t="s">
        <v>11</v>
      </c>
      <c r="B82" s="65" t="s">
        <v>261</v>
      </c>
      <c r="C82" s="65" t="s">
        <v>264</v>
      </c>
      <c r="D82" s="65" t="s">
        <v>264</v>
      </c>
      <c r="E82" s="65" t="str">
        <v>Kakinada Rural-Kakinada (Rural)-Ganganapalli-Ganganapalli</v>
      </c>
      <c r="F82" s="65"/>
      <c r="G82" s="65"/>
      <c r="H82" s="65"/>
      <c r="I82" s="65"/>
      <c r="J82" s="65"/>
      <c r="K82" s="65"/>
      <c r="L82" s="65"/>
      <c r="M82" s="65" t="s">
        <v>1683</v>
      </c>
      <c r="N82" s="65"/>
    </row>
    <row r="83" spans="1:14" ht="12.75">
      <c r="A83" s="65" t="s">
        <v>11</v>
      </c>
      <c r="B83" s="65" t="s">
        <v>261</v>
      </c>
      <c r="C83" s="65" t="s">
        <v>266</v>
      </c>
      <c r="D83" s="65" t="s">
        <v>266</v>
      </c>
      <c r="E83" s="65" t="str">
        <v>Kakinada Rural-Kakinada (Rural)-Indra Palem-Indra Palem</v>
      </c>
      <c r="F83" s="65"/>
      <c r="G83" s="65"/>
      <c r="H83" s="65"/>
      <c r="I83" s="65"/>
      <c r="J83" s="65"/>
      <c r="K83" s="65"/>
      <c r="L83" s="65"/>
      <c r="M83" s="65" t="s">
        <v>1684</v>
      </c>
      <c r="N83" s="65"/>
    </row>
    <row r="84" spans="1:14" ht="12.75">
      <c r="A84" s="65" t="s">
        <v>11</v>
      </c>
      <c r="B84" s="65" t="s">
        <v>261</v>
      </c>
      <c r="C84" s="65" t="s">
        <v>267</v>
      </c>
      <c r="D84" s="65" t="s">
        <v>267</v>
      </c>
      <c r="E84" s="65" t="str">
        <v>Kakinada Rural-Kakinada (Rural)-Kovvada-Kovvada</v>
      </c>
      <c r="F84" s="65"/>
      <c r="G84" s="65"/>
      <c r="H84" s="65"/>
      <c r="I84" s="65"/>
      <c r="J84" s="65"/>
      <c r="K84" s="65"/>
      <c r="L84" s="65"/>
      <c r="M84" s="65" t="s">
        <v>1685</v>
      </c>
      <c r="N84" s="65"/>
    </row>
    <row r="85" spans="1:14" ht="12.75">
      <c r="A85" s="65" t="s">
        <v>11</v>
      </c>
      <c r="B85" s="65" t="s">
        <v>261</v>
      </c>
      <c r="C85" s="65" t="s">
        <v>269</v>
      </c>
      <c r="D85" s="65" t="s">
        <v>269</v>
      </c>
      <c r="E85" s="65" t="str">
        <v>Kakinada Rural-Kakinada (Rural)-Kovvuru-Kovvuru</v>
      </c>
      <c r="F85" s="65"/>
      <c r="G85" s="65"/>
      <c r="H85" s="65"/>
      <c r="I85" s="65"/>
      <c r="J85" s="65"/>
      <c r="K85" s="65"/>
      <c r="L85" s="65"/>
      <c r="M85" s="65" t="s">
        <v>1686</v>
      </c>
      <c r="N85" s="65"/>
    </row>
    <row r="86" spans="1:14" ht="12.75">
      <c r="A86" s="65" t="s">
        <v>11</v>
      </c>
      <c r="B86" s="65" t="s">
        <v>261</v>
      </c>
      <c r="C86" s="65" t="s">
        <v>271</v>
      </c>
      <c r="D86" s="65" t="s">
        <v>271</v>
      </c>
      <c r="E86" s="65" t="str">
        <v>Kakinada Rural-Kakinada (Rural)-Nemam-Nemam</v>
      </c>
      <c r="F86" s="65"/>
      <c r="G86" s="65"/>
      <c r="H86" s="65"/>
      <c r="I86" s="65"/>
      <c r="J86" s="65"/>
      <c r="K86" s="65"/>
      <c r="L86" s="65"/>
      <c r="M86" s="65" t="s">
        <v>1687</v>
      </c>
      <c r="N86" s="65"/>
    </row>
    <row r="87" spans="1:14" ht="12.75">
      <c r="A87" s="65" t="s">
        <v>11</v>
      </c>
      <c r="B87" s="65" t="s">
        <v>261</v>
      </c>
      <c r="C87" s="65" t="s">
        <v>273</v>
      </c>
      <c r="D87" s="65" t="s">
        <v>273</v>
      </c>
      <c r="E87" s="65" t="str">
        <v>Kakinada Rural-Kakinada (Rural)-P.Venkatapuram-P.Venkatapuram</v>
      </c>
      <c r="F87" s="65"/>
      <c r="G87" s="65"/>
      <c r="H87" s="65"/>
      <c r="I87" s="65"/>
      <c r="J87" s="65"/>
      <c r="K87" s="65"/>
      <c r="L87" s="65"/>
      <c r="M87" s="65" t="s">
        <v>1688</v>
      </c>
      <c r="N87" s="65"/>
    </row>
    <row r="88" spans="1:14" ht="12.75">
      <c r="A88" s="65" t="s">
        <v>11</v>
      </c>
      <c r="B88" s="65" t="s">
        <v>261</v>
      </c>
      <c r="C88" s="65" t="s">
        <v>275</v>
      </c>
      <c r="D88" s="65" t="s">
        <v>275</v>
      </c>
      <c r="E88" s="65" t="str">
        <v>Kakinada Rural-Kakinada (Rural)-Panduru-Panduru</v>
      </c>
      <c r="F88" s="65"/>
      <c r="G88" s="65"/>
      <c r="H88" s="65"/>
      <c r="I88" s="65"/>
      <c r="J88" s="65"/>
      <c r="K88" s="65"/>
      <c r="L88" s="65"/>
      <c r="M88" s="65" t="s">
        <v>451</v>
      </c>
      <c r="N88" s="65"/>
    </row>
    <row r="89" spans="1:14" ht="12.75">
      <c r="A89" s="65" t="s">
        <v>11</v>
      </c>
      <c r="B89" s="65" t="s">
        <v>261</v>
      </c>
      <c r="C89" s="65" t="s">
        <v>277</v>
      </c>
      <c r="D89" s="65" t="s">
        <v>277</v>
      </c>
      <c r="E89" s="65" t="str">
        <v>Kakinada Rural-Kakinada (Rural)-Penumarthi-Penumarthi</v>
      </c>
      <c r="F89" s="65"/>
      <c r="G89" s="65"/>
      <c r="H89" s="65"/>
      <c r="I89" s="65"/>
      <c r="J89" s="65"/>
      <c r="K89" s="65"/>
      <c r="L89" s="65"/>
      <c r="M89" s="65" t="s">
        <v>1689</v>
      </c>
      <c r="N89" s="65"/>
    </row>
    <row r="90" spans="1:14" ht="12.75">
      <c r="A90" s="65" t="s">
        <v>11</v>
      </c>
      <c r="B90" s="65" t="s">
        <v>261</v>
      </c>
      <c r="C90" s="65" t="s">
        <v>280</v>
      </c>
      <c r="D90" s="65" t="s">
        <v>280</v>
      </c>
      <c r="E90" s="65" t="str">
        <v>Kakinada Rural-Kakinada (Rural)-Ramanayyapeta-Ramanayyapeta</v>
      </c>
      <c r="F90" s="65"/>
      <c r="G90" s="65"/>
      <c r="H90" s="65"/>
      <c r="I90" s="65"/>
      <c r="J90" s="65"/>
      <c r="K90" s="65"/>
      <c r="L90" s="65"/>
      <c r="M90" s="65" t="s">
        <v>1690</v>
      </c>
      <c r="N90" s="65"/>
    </row>
    <row r="91" spans="1:14" ht="12.75">
      <c r="A91" s="65" t="s">
        <v>11</v>
      </c>
      <c r="B91" s="65" t="s">
        <v>261</v>
      </c>
      <c r="C91" s="65" t="s">
        <v>281</v>
      </c>
      <c r="D91" s="65" t="s">
        <v>281</v>
      </c>
      <c r="E91" s="65" t="str">
        <v>Kakinada Rural-Kakinada (Rural)-Repuru-Repuru</v>
      </c>
      <c r="F91" s="65"/>
      <c r="G91" s="65"/>
      <c r="H91" s="65"/>
      <c r="I91" s="65"/>
      <c r="J91" s="65"/>
      <c r="K91" s="65"/>
      <c r="L91" s="65"/>
      <c r="M91" s="65" t="s">
        <v>1691</v>
      </c>
      <c r="N91" s="65"/>
    </row>
    <row r="92" spans="1:14" ht="12.75">
      <c r="A92" s="65" t="s">
        <v>11</v>
      </c>
      <c r="B92" s="65" t="s">
        <v>261</v>
      </c>
      <c r="C92" s="65" t="s">
        <v>283</v>
      </c>
      <c r="D92" s="65" t="s">
        <v>283</v>
      </c>
      <c r="E92" s="65" t="str">
        <v>Kakinada Rural-Kakinada (Rural)-S. Atchuthapuram-S. Atchuthapuram</v>
      </c>
      <c r="F92" s="65"/>
      <c r="G92" s="65"/>
      <c r="H92" s="65"/>
      <c r="I92" s="65"/>
      <c r="J92" s="65"/>
      <c r="K92" s="65"/>
      <c r="L92" s="65"/>
      <c r="M92" s="65" t="s">
        <v>1692</v>
      </c>
      <c r="N92" s="65"/>
    </row>
    <row r="93" spans="1:14" ht="12.75">
      <c r="A93" s="65" t="s">
        <v>11</v>
      </c>
      <c r="B93" s="65" t="s">
        <v>261</v>
      </c>
      <c r="C93" s="65" t="s">
        <v>284</v>
      </c>
      <c r="D93" s="65" t="s">
        <v>284</v>
      </c>
      <c r="E93" s="65" t="str">
        <v>Kakinada Rural-Kakinada (Rural)-Sarpavaram-Sarpavaram</v>
      </c>
      <c r="F93" s="65"/>
      <c r="G93" s="65"/>
      <c r="H93" s="65"/>
      <c r="I93" s="65"/>
      <c r="J93" s="65"/>
      <c r="K93" s="65"/>
      <c r="L93" s="65"/>
      <c r="M93" s="65"/>
      <c r="N93" s="65"/>
    </row>
    <row r="94" spans="1:14" ht="12.75">
      <c r="A94" s="65" t="s">
        <v>11</v>
      </c>
      <c r="B94" s="65" t="s">
        <v>261</v>
      </c>
      <c r="C94" s="65" t="s">
        <v>286</v>
      </c>
      <c r="D94" s="65" t="s">
        <v>286</v>
      </c>
      <c r="E94" s="65" t="str">
        <v>Kakinada Rural-Kakinada (Rural)-Suryarao Peta-Suryarao Peta</v>
      </c>
      <c r="F94" s="65"/>
      <c r="G94" s="65"/>
      <c r="H94" s="65"/>
      <c r="I94" s="65"/>
      <c r="J94" s="65"/>
      <c r="K94" s="65"/>
      <c r="L94" s="65"/>
      <c r="M94" s="65"/>
      <c r="N94" s="65"/>
    </row>
    <row r="95" spans="1:14" ht="12.75">
      <c r="A95" s="65" t="s">
        <v>11</v>
      </c>
      <c r="B95" s="65" t="s">
        <v>261</v>
      </c>
      <c r="C95" s="65" t="s">
        <v>289</v>
      </c>
      <c r="D95" s="65" t="s">
        <v>289</v>
      </c>
      <c r="E95" s="65" t="str">
        <v>Kakinada Rural-Kakinada (Rural)-Swamynagar-Swamynagar</v>
      </c>
      <c r="F95" s="65"/>
      <c r="G95" s="65"/>
      <c r="H95" s="65"/>
      <c r="I95" s="65"/>
      <c r="J95" s="65"/>
      <c r="K95" s="65"/>
      <c r="L95" s="65"/>
      <c r="M95" s="65"/>
      <c r="N95" s="65"/>
    </row>
    <row r="96" spans="1:14" ht="12.75">
      <c r="A96" s="65" t="s">
        <v>11</v>
      </c>
      <c r="B96" s="65" t="s">
        <v>261</v>
      </c>
      <c r="C96" s="65" t="s">
        <v>290</v>
      </c>
      <c r="D96" s="65" t="s">
        <v>290</v>
      </c>
      <c r="E96" s="65" t="str">
        <v>Kakinada Rural-Kakinada (Rural)-Thammavaram-Thammavaram</v>
      </c>
      <c r="F96" s="65"/>
      <c r="G96" s="65"/>
      <c r="H96" s="65"/>
      <c r="I96" s="65"/>
      <c r="J96" s="65"/>
      <c r="K96" s="65"/>
      <c r="L96" s="65"/>
      <c r="M96" s="65"/>
      <c r="N96" s="65"/>
    </row>
    <row r="97" spans="1:14" ht="12.75">
      <c r="A97" s="65" t="s">
        <v>11</v>
      </c>
      <c r="B97" s="65" t="s">
        <v>261</v>
      </c>
      <c r="C97" s="65" t="s">
        <v>292</v>
      </c>
      <c r="D97" s="65" t="s">
        <v>292</v>
      </c>
      <c r="E97" s="65" t="str">
        <v>Kakinada Rural-Kakinada (Rural)-Thimmapuram-Thimmapuram</v>
      </c>
      <c r="F97" s="65"/>
      <c r="G97" s="65"/>
      <c r="H97" s="65"/>
      <c r="I97" s="65"/>
      <c r="J97" s="65"/>
      <c r="K97" s="65"/>
      <c r="L97" s="65"/>
      <c r="M97" s="65"/>
      <c r="N97" s="65"/>
    </row>
    <row r="98" spans="1:14" ht="12.75">
      <c r="A98" s="65" t="s">
        <v>11</v>
      </c>
      <c r="B98" s="65" t="s">
        <v>261</v>
      </c>
      <c r="C98" s="65" t="s">
        <v>294</v>
      </c>
      <c r="D98" s="65" t="s">
        <v>294</v>
      </c>
      <c r="E98" s="65" t="str">
        <v>Kakinada Rural-Kakinada (Rural)-Toorangi-Toorangi</v>
      </c>
      <c r="F98" s="65"/>
      <c r="G98" s="65"/>
      <c r="H98" s="65"/>
      <c r="I98" s="65"/>
      <c r="J98" s="65"/>
      <c r="K98" s="65"/>
      <c r="L98" s="65"/>
      <c r="M98" s="65"/>
      <c r="N98" s="65"/>
    </row>
    <row r="99" spans="1:14" ht="12.75">
      <c r="A99" s="65" t="s">
        <v>11</v>
      </c>
      <c r="B99" s="65" t="s">
        <v>261</v>
      </c>
      <c r="C99" s="65" t="s">
        <v>295</v>
      </c>
      <c r="D99" s="65" t="s">
        <v>295</v>
      </c>
      <c r="E99" s="65" t="str">
        <v>Kakinada Rural-Kakinada (Rural)-Vakalapudi-Vakalapudi</v>
      </c>
      <c r="F99" s="65"/>
      <c r="G99" s="65"/>
      <c r="H99" s="65"/>
      <c r="I99" s="65"/>
      <c r="J99" s="65"/>
      <c r="K99" s="65"/>
      <c r="L99" s="65"/>
      <c r="M99" s="65"/>
      <c r="N99" s="65"/>
    </row>
    <row r="100" spans="1:14" ht="12.75">
      <c r="A100" s="65" t="s">
        <v>11</v>
      </c>
      <c r="B100" s="65" t="s">
        <v>261</v>
      </c>
      <c r="C100" s="65" t="s">
        <v>296</v>
      </c>
      <c r="D100" s="65" t="s">
        <v>296</v>
      </c>
      <c r="E100" s="65" t="str">
        <v>Kakinada Rural-Kakinada (Rural)-Valasapakalu-Valasapakalu</v>
      </c>
      <c r="F100" s="65"/>
      <c r="G100" s="65"/>
      <c r="H100" s="65"/>
      <c r="I100" s="65"/>
      <c r="J100" s="65"/>
      <c r="K100" s="65"/>
      <c r="L100" s="65"/>
      <c r="M100" s="65"/>
      <c r="N100" s="65"/>
    </row>
    <row r="101" spans="1:14" ht="12.75">
      <c r="A101" s="65" t="s">
        <v>11</v>
      </c>
      <c r="B101" s="65" t="s">
        <v>297</v>
      </c>
      <c r="C101" s="65" t="s">
        <v>298</v>
      </c>
      <c r="D101" s="65" t="s">
        <v>298</v>
      </c>
      <c r="E101" s="65" t="str">
        <v>Kakinada Rural-Karapa-Aratlakatta-Aratlakatta</v>
      </c>
      <c r="F101" s="65"/>
      <c r="G101" s="65"/>
      <c r="H101" s="65"/>
      <c r="I101" s="65"/>
      <c r="J101" s="65"/>
      <c r="K101" s="65"/>
      <c r="L101" s="65"/>
      <c r="M101" s="65"/>
      <c r="N101" s="65"/>
    </row>
    <row r="102" spans="1:14" ht="12.75">
      <c r="A102" s="65" t="s">
        <v>11</v>
      </c>
      <c r="B102" s="65" t="s">
        <v>297</v>
      </c>
      <c r="C102" s="65" t="s">
        <v>300</v>
      </c>
      <c r="D102" s="65" t="s">
        <v>300</v>
      </c>
      <c r="E102" s="65" t="str">
        <v>Kakinada Rural-Karapa-G. Bhavaram-G. Bhavaram</v>
      </c>
      <c r="F102" s="65"/>
      <c r="G102" s="65"/>
      <c r="H102" s="65"/>
      <c r="I102" s="65"/>
      <c r="J102" s="65"/>
      <c r="K102" s="65"/>
      <c r="L102" s="65"/>
      <c r="M102" s="65"/>
      <c r="N102" s="65"/>
    </row>
    <row r="103" spans="1:14" ht="12.75">
      <c r="A103" s="65" t="s">
        <v>11</v>
      </c>
      <c r="B103" s="65" t="s">
        <v>297</v>
      </c>
      <c r="C103" s="65" t="s">
        <v>302</v>
      </c>
      <c r="D103" s="65" t="s">
        <v>302</v>
      </c>
      <c r="E103" s="65" t="str">
        <v>Kakinada Rural-Karapa-Goddatipalem-Goddatipalem</v>
      </c>
      <c r="F103" s="65"/>
      <c r="G103" s="65"/>
      <c r="H103" s="65"/>
      <c r="I103" s="65"/>
      <c r="J103" s="65"/>
      <c r="K103" s="65"/>
      <c r="L103" s="65"/>
      <c r="M103" s="65"/>
      <c r="N103" s="65"/>
    </row>
    <row r="104" spans="1:14" ht="12.75">
      <c r="A104" s="65" t="s">
        <v>11</v>
      </c>
      <c r="B104" s="65" t="s">
        <v>297</v>
      </c>
      <c r="C104" s="65" t="s">
        <v>303</v>
      </c>
      <c r="D104" s="65" t="s">
        <v>303</v>
      </c>
      <c r="E104" s="65" t="str">
        <v>Kakinada Rural-Karapa-Gorripudi-Gorripudi</v>
      </c>
      <c r="F104" s="65"/>
      <c r="G104" s="65"/>
      <c r="H104" s="65"/>
      <c r="I104" s="65"/>
      <c r="J104" s="65"/>
      <c r="K104" s="65"/>
      <c r="L104" s="65"/>
      <c r="M104" s="65"/>
      <c r="N104" s="65"/>
    </row>
    <row r="105" spans="1:14" ht="12.75">
      <c r="A105" s="65" t="s">
        <v>11</v>
      </c>
      <c r="B105" s="65" t="s">
        <v>297</v>
      </c>
      <c r="C105" s="65" t="s">
        <v>305</v>
      </c>
      <c r="D105" s="65" t="s">
        <v>305</v>
      </c>
      <c r="E105" s="65" t="str">
        <v>Kakinada Rural-Karapa-Gurajanapalle-Gurajanapalle</v>
      </c>
      <c r="F105" s="65"/>
      <c r="G105" s="65"/>
      <c r="H105" s="65"/>
      <c r="I105" s="65"/>
      <c r="J105" s="65"/>
      <c r="K105" s="65"/>
      <c r="L105" s="65"/>
      <c r="M105" s="65"/>
      <c r="N105" s="65"/>
    </row>
    <row r="106" spans="1:14" ht="12.75">
      <c r="A106" s="65" t="s">
        <v>11</v>
      </c>
      <c r="B106" s="65" t="s">
        <v>297</v>
      </c>
      <c r="C106" s="65" t="s">
        <v>297</v>
      </c>
      <c r="D106" s="65" t="s">
        <v>297</v>
      </c>
      <c r="E106" s="65" t="str">
        <v>Kakinada Rural-Karapa-Karapa-Karapa</v>
      </c>
      <c r="F106" s="65"/>
      <c r="G106" s="65"/>
      <c r="H106" s="65"/>
      <c r="I106" s="65"/>
      <c r="J106" s="65"/>
      <c r="K106" s="65"/>
      <c r="L106" s="65"/>
      <c r="M106" s="65"/>
      <c r="N106" s="65"/>
    </row>
    <row r="107" spans="1:14" ht="12.75">
      <c r="A107" s="65" t="s">
        <v>11</v>
      </c>
      <c r="B107" s="65" t="s">
        <v>297</v>
      </c>
      <c r="C107" s="65" t="s">
        <v>308</v>
      </c>
      <c r="D107" s="65" t="s">
        <v>308</v>
      </c>
      <c r="E107" s="65" t="str">
        <v>Kakinada Rural-Karapa-Kongodu-Kongodu</v>
      </c>
      <c r="F107" s="65"/>
      <c r="G107" s="65"/>
      <c r="H107" s="65"/>
      <c r="I107" s="65"/>
      <c r="J107" s="65"/>
      <c r="K107" s="65"/>
      <c r="L107" s="65"/>
      <c r="M107" s="65"/>
      <c r="N107" s="65"/>
    </row>
    <row r="108" spans="1:14" ht="12.75">
      <c r="A108" s="65" t="s">
        <v>11</v>
      </c>
      <c r="B108" s="65" t="s">
        <v>297</v>
      </c>
      <c r="C108" s="65" t="s">
        <v>310</v>
      </c>
      <c r="D108" s="65" t="s">
        <v>310</v>
      </c>
      <c r="E108" s="65" t="str">
        <v>Kakinada Rural-Karapa-Koripalle-Koripalle</v>
      </c>
      <c r="F108" s="65"/>
      <c r="G108" s="65"/>
      <c r="H108" s="65"/>
      <c r="I108" s="65"/>
      <c r="J108" s="65"/>
      <c r="K108" s="65"/>
      <c r="L108" s="65"/>
      <c r="M108" s="65"/>
      <c r="N108" s="65"/>
    </row>
    <row r="109" spans="1:14" ht="12.75">
      <c r="A109" s="65" t="s">
        <v>11</v>
      </c>
      <c r="B109" s="65" t="s">
        <v>297</v>
      </c>
      <c r="C109" s="65" t="s">
        <v>312</v>
      </c>
      <c r="D109" s="65" t="s">
        <v>313</v>
      </c>
      <c r="E109" s="65" t="str">
        <v>Kakinada Rural-Karapa-Kurada-China Mamidada</v>
      </c>
      <c r="F109" s="65"/>
      <c r="G109" s="65"/>
      <c r="H109" s="65"/>
      <c r="I109" s="65"/>
      <c r="J109" s="65"/>
      <c r="K109" s="65"/>
      <c r="L109" s="65"/>
      <c r="M109" s="65"/>
      <c r="N109" s="65"/>
    </row>
    <row r="110" spans="1:14" ht="12.75">
      <c r="A110" s="65" t="s">
        <v>11</v>
      </c>
      <c r="B110" s="65" t="s">
        <v>297</v>
      </c>
      <c r="C110" s="65" t="s">
        <v>312</v>
      </c>
      <c r="D110" s="65" t="s">
        <v>312</v>
      </c>
      <c r="E110" s="65" t="str">
        <v>Kakinada Rural-Karapa-Kurada-Kurada</v>
      </c>
      <c r="F110" s="65"/>
      <c r="G110" s="65"/>
      <c r="H110" s="65"/>
      <c r="I110" s="65"/>
      <c r="J110" s="65"/>
      <c r="K110" s="65"/>
      <c r="L110" s="65"/>
      <c r="M110" s="65"/>
      <c r="N110" s="65"/>
    </row>
    <row r="111" spans="1:14" ht="12.75">
      <c r="A111" s="65" t="s">
        <v>11</v>
      </c>
      <c r="B111" s="65" t="s">
        <v>297</v>
      </c>
      <c r="C111" s="65" t="s">
        <v>315</v>
      </c>
      <c r="D111" s="65" t="s">
        <v>315</v>
      </c>
      <c r="E111" s="65" t="str">
        <v>Kakinada Rural-Karapa-Nadakuduru-Nadakuduru</v>
      </c>
      <c r="F111" s="65"/>
      <c r="G111" s="65"/>
      <c r="H111" s="65"/>
      <c r="I111" s="65"/>
      <c r="J111" s="65"/>
      <c r="K111" s="65"/>
      <c r="L111" s="65"/>
      <c r="M111" s="65"/>
      <c r="N111" s="65"/>
    </row>
    <row r="112" spans="1:14" ht="12.75">
      <c r="A112" s="65" t="s">
        <v>11</v>
      </c>
      <c r="B112" s="65" t="s">
        <v>297</v>
      </c>
      <c r="C112" s="65" t="s">
        <v>317</v>
      </c>
      <c r="D112" s="65" t="s">
        <v>317</v>
      </c>
      <c r="E112" s="65" t="str">
        <v>Kakinada Rural-Karapa-Patharlagadda-Patharlagadda</v>
      </c>
      <c r="F112" s="65"/>
      <c r="G112" s="65"/>
      <c r="H112" s="65"/>
      <c r="I112" s="65"/>
      <c r="J112" s="65"/>
      <c r="K112" s="65"/>
      <c r="L112" s="65"/>
      <c r="M112" s="65"/>
      <c r="N112" s="65"/>
    </row>
    <row r="113" spans="1:14" ht="12.75">
      <c r="A113" s="65" t="s">
        <v>11</v>
      </c>
      <c r="B113" s="65" t="s">
        <v>297</v>
      </c>
      <c r="C113" s="65" t="s">
        <v>319</v>
      </c>
      <c r="D113" s="65" t="s">
        <v>319</v>
      </c>
      <c r="E113" s="65" t="str">
        <v>Kakinada Rural-Karapa-Peda Kothuru-Peda Kothuru</v>
      </c>
      <c r="F113" s="65"/>
      <c r="G113" s="65"/>
      <c r="H113" s="65"/>
      <c r="I113" s="65"/>
      <c r="J113" s="65"/>
      <c r="K113" s="65"/>
      <c r="L113" s="65"/>
      <c r="M113" s="65"/>
      <c r="N113" s="65"/>
    </row>
    <row r="114" spans="1:14" ht="12.75">
      <c r="A114" s="65" t="s">
        <v>11</v>
      </c>
      <c r="B114" s="65" t="s">
        <v>297</v>
      </c>
      <c r="C114" s="65" t="s">
        <v>321</v>
      </c>
      <c r="D114" s="65" t="s">
        <v>321</v>
      </c>
      <c r="E114" s="65" t="str">
        <v>Kakinada Rural-Karapa-Peddapurappadu-Peddapurappadu</v>
      </c>
      <c r="F114" s="65"/>
      <c r="G114" s="65"/>
      <c r="H114" s="65"/>
      <c r="I114" s="65"/>
      <c r="J114" s="65"/>
      <c r="K114" s="65"/>
      <c r="L114" s="65"/>
      <c r="M114" s="65"/>
      <c r="N114" s="65"/>
    </row>
    <row r="115" spans="1:14" ht="12.75">
      <c r="A115" s="65" t="s">
        <v>11</v>
      </c>
      <c r="B115" s="65" t="s">
        <v>297</v>
      </c>
      <c r="C115" s="65" t="s">
        <v>323</v>
      </c>
      <c r="D115" s="65" t="s">
        <v>323</v>
      </c>
      <c r="E115" s="65" t="str">
        <v>Kakinada Rural-Karapa-Penuguduru-Penuguduru</v>
      </c>
      <c r="F115" s="65"/>
      <c r="G115" s="65"/>
      <c r="H115" s="65"/>
      <c r="I115" s="65"/>
      <c r="J115" s="65"/>
      <c r="K115" s="65"/>
      <c r="L115" s="65"/>
      <c r="M115" s="65"/>
      <c r="N115" s="65"/>
    </row>
    <row r="116" spans="1:14" ht="12.75">
      <c r="A116" s="65" t="s">
        <v>11</v>
      </c>
      <c r="B116" s="65" t="s">
        <v>297</v>
      </c>
      <c r="C116" s="65" t="s">
        <v>325</v>
      </c>
      <c r="D116" s="65" t="s">
        <v>325</v>
      </c>
      <c r="E116" s="65" t="str">
        <v>Kakinada Rural-Karapa-Siripuram-Siripuram</v>
      </c>
      <c r="F116" s="65"/>
      <c r="G116" s="65"/>
      <c r="H116" s="65"/>
      <c r="I116" s="65"/>
      <c r="J116" s="65"/>
      <c r="K116" s="65"/>
      <c r="L116" s="65"/>
      <c r="M116" s="65"/>
      <c r="N116" s="65"/>
    </row>
    <row r="117" spans="1:14" ht="12.75">
      <c r="A117" s="65" t="s">
        <v>11</v>
      </c>
      <c r="B117" s="65" t="s">
        <v>297</v>
      </c>
      <c r="C117" s="65" t="s">
        <v>327</v>
      </c>
      <c r="D117" s="65" t="s">
        <v>327</v>
      </c>
      <c r="E117" s="65" t="str">
        <v>Kakinada Rural-Karapa-Uppalanka-Uppalanka</v>
      </c>
      <c r="F117" s="65"/>
      <c r="G117" s="65"/>
      <c r="H117" s="65"/>
      <c r="I117" s="65"/>
      <c r="J117" s="65"/>
      <c r="K117" s="65"/>
      <c r="L117" s="65"/>
      <c r="M117" s="67"/>
      <c r="N117" s="65"/>
    </row>
    <row r="118" spans="1:14" ht="12.75">
      <c r="A118" s="65" t="s">
        <v>11</v>
      </c>
      <c r="B118" s="65" t="s">
        <v>297</v>
      </c>
      <c r="C118" s="65" t="s">
        <v>329</v>
      </c>
      <c r="D118" s="65" t="s">
        <v>329</v>
      </c>
      <c r="E118" s="65" t="str">
        <v>Kakinada Rural-Karapa-Vakada-Vakada</v>
      </c>
      <c r="F118" s="65"/>
      <c r="G118" s="65"/>
      <c r="H118" s="65"/>
      <c r="I118" s="65"/>
      <c r="J118" s="65"/>
      <c r="K118" s="65"/>
      <c r="L118" s="65"/>
      <c r="M118" s="65"/>
      <c r="N118" s="65"/>
    </row>
    <row r="119" spans="1:14" ht="12.75">
      <c r="A119" s="65" t="s">
        <v>11</v>
      </c>
      <c r="B119" s="65" t="s">
        <v>297</v>
      </c>
      <c r="C119" s="65" t="s">
        <v>331</v>
      </c>
      <c r="D119" s="65" t="s">
        <v>331</v>
      </c>
      <c r="E119" s="65" t="str">
        <v>Kakinada Rural-Karapa-Valasapakulu-Valasapakulu</v>
      </c>
      <c r="F119" s="65"/>
      <c r="G119" s="65"/>
      <c r="H119" s="65"/>
      <c r="I119" s="65"/>
      <c r="J119" s="65"/>
      <c r="K119" s="65"/>
      <c r="L119" s="65"/>
      <c r="M119" s="65"/>
      <c r="N119" s="65"/>
    </row>
    <row r="120" spans="1:14" ht="12.75">
      <c r="A120" s="65" t="s">
        <v>11</v>
      </c>
      <c r="B120" s="65" t="s">
        <v>297</v>
      </c>
      <c r="C120" s="65" t="s">
        <v>333</v>
      </c>
      <c r="D120" s="65" t="s">
        <v>333</v>
      </c>
      <c r="E120" s="65" t="str">
        <v>Kakinada Rural-Karapa-Velangi-Velangi</v>
      </c>
      <c r="F120" s="65"/>
      <c r="G120" s="65"/>
      <c r="H120" s="65"/>
      <c r="I120" s="65"/>
      <c r="J120" s="65"/>
      <c r="K120" s="65"/>
      <c r="L120" s="65"/>
      <c r="M120" s="65"/>
      <c r="N120" s="65"/>
    </row>
    <row r="121" spans="1:14" ht="12.75">
      <c r="A121" s="65" t="s">
        <v>11</v>
      </c>
      <c r="B121" s="65" t="s">
        <v>297</v>
      </c>
      <c r="C121" s="65" t="s">
        <v>335</v>
      </c>
      <c r="D121" s="65" t="s">
        <v>335</v>
      </c>
      <c r="E121" s="65" t="str">
        <v>Kakinada Rural-Karapa-Vemulavada-Vemulavada</v>
      </c>
      <c r="F121" s="65"/>
      <c r="G121" s="65"/>
      <c r="H121" s="65"/>
      <c r="I121" s="65"/>
      <c r="J121" s="65"/>
      <c r="K121" s="65"/>
      <c r="L121" s="65"/>
      <c r="M121" s="65"/>
      <c r="N121" s="65"/>
    </row>
    <row r="122" spans="1:14" ht="12.75">
      <c r="A122" s="65" t="s">
        <v>11</v>
      </c>
      <c r="B122" s="65" t="s">
        <v>297</v>
      </c>
      <c r="C122" s="65" t="s">
        <v>337</v>
      </c>
      <c r="D122" s="65" t="s">
        <v>337</v>
      </c>
      <c r="E122" s="65" t="str">
        <v>Kakinada Rural-Karapa-Vijayarayudu Palem-Vijayarayudu Palem</v>
      </c>
      <c r="F122" s="65"/>
      <c r="G122" s="65"/>
      <c r="H122" s="65"/>
      <c r="I122" s="65"/>
      <c r="J122" s="65"/>
      <c r="K122" s="65"/>
      <c r="L122" s="65"/>
      <c r="M122" s="65"/>
      <c r="N122" s="65"/>
    </row>
    <row r="123" spans="1:14" ht="12.75">
      <c r="A123" s="65" t="s">
        <v>11</v>
      </c>
      <c r="B123" s="65" t="s">
        <v>297</v>
      </c>
      <c r="C123" s="65" t="s">
        <v>339</v>
      </c>
      <c r="D123" s="65" t="s">
        <v>339</v>
      </c>
      <c r="E123" s="65" t="str">
        <v>Kakinada Rural-Karapa-Yandamuru-Yandamuru</v>
      </c>
      <c r="F123" s="65"/>
      <c r="G123" s="65"/>
      <c r="H123" s="65"/>
      <c r="I123" s="65"/>
      <c r="J123" s="65"/>
      <c r="K123" s="65"/>
      <c r="L123" s="65"/>
      <c r="M123" s="65"/>
      <c r="N123" s="65"/>
    </row>
    <row r="124" spans="1:14" ht="12.75">
      <c r="A124" s="65" t="s">
        <v>11</v>
      </c>
      <c r="B124" s="65" t="s">
        <v>297</v>
      </c>
      <c r="C124" s="65" t="s">
        <v>341</v>
      </c>
      <c r="D124" s="65" t="s">
        <v>341</v>
      </c>
      <c r="E124" s="65" t="str">
        <v>Kakinada Rural-Karapa-Z. Bhavaram-Z. Bhavaram</v>
      </c>
      <c r="F124" s="65"/>
      <c r="G124" s="65"/>
      <c r="H124" s="65"/>
      <c r="I124" s="65"/>
      <c r="J124" s="65"/>
      <c r="K124" s="65"/>
      <c r="L124" s="65"/>
      <c r="M124" s="65"/>
      <c r="N124" s="65"/>
    </row>
    <row r="125" spans="1:14" ht="12.75">
      <c r="A125" s="65" t="s">
        <v>15</v>
      </c>
      <c r="B125" s="65" t="s">
        <v>15</v>
      </c>
      <c r="C125" s="65" t="s">
        <v>343</v>
      </c>
      <c r="D125" s="65" t="s">
        <v>343</v>
      </c>
      <c r="E125" s="65" t="str">
        <v>Peddapuram-Peddapuram-Anuru-Anuru</v>
      </c>
      <c r="F125" s="65"/>
      <c r="G125" s="65"/>
      <c r="H125" s="65"/>
      <c r="I125" s="65"/>
      <c r="J125" s="65"/>
      <c r="K125" s="65"/>
      <c r="L125" s="65"/>
      <c r="M125" s="65"/>
      <c r="N125" s="65"/>
    </row>
    <row r="126" spans="1:14" ht="12.75">
      <c r="A126" s="65" t="s">
        <v>15</v>
      </c>
      <c r="B126" s="65" t="s">
        <v>15</v>
      </c>
      <c r="C126" s="65" t="s">
        <v>343</v>
      </c>
      <c r="D126" s="65" t="s">
        <v>345</v>
      </c>
      <c r="E126" s="65" t="str">
        <v>Peddapuram-Peddapuram-Anuru-Rameswaram</v>
      </c>
      <c r="F126" s="65"/>
      <c r="G126" s="65"/>
      <c r="H126" s="65"/>
      <c r="I126" s="65"/>
      <c r="J126" s="65"/>
      <c r="K126" s="65"/>
      <c r="L126" s="65"/>
      <c r="M126" s="65"/>
      <c r="N126" s="65"/>
    </row>
    <row r="127" spans="1:14" ht="12.75">
      <c r="A127" s="65" t="s">
        <v>15</v>
      </c>
      <c r="B127" s="65" t="s">
        <v>15</v>
      </c>
      <c r="C127" s="65" t="s">
        <v>346</v>
      </c>
      <c r="D127" s="65" t="s">
        <v>346</v>
      </c>
      <c r="E127" s="65" t="str">
        <v>Peddapuram-Peddapuram-Chadalada-Chadalada</v>
      </c>
      <c r="F127" s="65"/>
      <c r="G127" s="65"/>
      <c r="H127" s="65"/>
      <c r="I127" s="65"/>
      <c r="J127" s="65"/>
      <c r="K127" s="65"/>
      <c r="L127" s="65"/>
      <c r="M127" s="65"/>
      <c r="N127" s="65"/>
    </row>
    <row r="128" spans="1:14" ht="12.75">
      <c r="A128" s="65" t="s">
        <v>15</v>
      </c>
      <c r="B128" s="65" t="s">
        <v>15</v>
      </c>
      <c r="C128" s="65" t="s">
        <v>348</v>
      </c>
      <c r="D128" s="65" t="s">
        <v>348</v>
      </c>
      <c r="E128" s="65" t="str">
        <v>Peddapuram-Peddapuram-Chandramampalle-Chandramampalle</v>
      </c>
      <c r="F128" s="65"/>
      <c r="G128" s="65"/>
      <c r="H128" s="65"/>
      <c r="I128" s="65"/>
      <c r="J128" s="65"/>
      <c r="K128" s="65"/>
      <c r="L128" s="65"/>
      <c r="M128" s="65"/>
      <c r="N128" s="65"/>
    </row>
    <row r="129" spans="1:14" ht="12.75">
      <c r="A129" s="65" t="s">
        <v>15</v>
      </c>
      <c r="B129" s="65" t="s">
        <v>15</v>
      </c>
      <c r="C129" s="65" t="s">
        <v>350</v>
      </c>
      <c r="D129" s="65" t="s">
        <v>350</v>
      </c>
      <c r="E129" s="65" t="str">
        <v>Peddapuram-Peddapuram-Chinabrahmadevam-Chinabrahmadevam</v>
      </c>
      <c r="F129" s="65"/>
      <c r="G129" s="65"/>
      <c r="H129" s="65"/>
      <c r="I129" s="65"/>
      <c r="J129" s="65"/>
      <c r="K129" s="65"/>
      <c r="L129" s="65"/>
      <c r="M129" s="65"/>
      <c r="N129" s="65"/>
    </row>
    <row r="130" spans="1:14" ht="12.75">
      <c r="A130" s="65" t="s">
        <v>15</v>
      </c>
      <c r="B130" s="65" t="s">
        <v>15</v>
      </c>
      <c r="C130" s="65" t="s">
        <v>352</v>
      </c>
      <c r="D130" s="65" t="s">
        <v>352</v>
      </c>
      <c r="E130" s="65" t="str">
        <v>Peddapuram-Peddapuram-Divlli-Divlli</v>
      </c>
      <c r="F130" s="65"/>
      <c r="G130" s="65"/>
      <c r="H130" s="65"/>
      <c r="I130" s="65"/>
      <c r="J130" s="65"/>
      <c r="K130" s="65"/>
      <c r="L130" s="65"/>
      <c r="M130" s="65"/>
      <c r="N130" s="65"/>
    </row>
    <row r="131" spans="1:14" ht="12.75">
      <c r="A131" s="65" t="s">
        <v>15</v>
      </c>
      <c r="B131" s="65" t="s">
        <v>15</v>
      </c>
      <c r="C131" s="65" t="s">
        <v>354</v>
      </c>
      <c r="D131" s="65" t="s">
        <v>354</v>
      </c>
      <c r="E131" s="65" t="str">
        <v>Peddapuram-Peddapuram-G. Ragampeta-G. Ragampeta</v>
      </c>
      <c r="F131" s="65"/>
      <c r="G131" s="65"/>
      <c r="H131" s="65"/>
      <c r="I131" s="65"/>
      <c r="J131" s="65"/>
      <c r="K131" s="65"/>
      <c r="L131" s="65"/>
      <c r="M131" s="65"/>
      <c r="N131" s="65"/>
    </row>
    <row r="132" spans="1:14" ht="12.75">
      <c r="A132" s="65" t="s">
        <v>15</v>
      </c>
      <c r="B132" s="65" t="s">
        <v>15</v>
      </c>
      <c r="C132" s="65" t="s">
        <v>356</v>
      </c>
      <c r="D132" s="65" t="s">
        <v>356</v>
      </c>
      <c r="E132" s="65" t="str">
        <v>Peddapuram-Peddapuram-Gorinta-Gorinta</v>
      </c>
      <c r="F132" s="65"/>
      <c r="G132" s="65"/>
      <c r="H132" s="65"/>
      <c r="I132" s="65"/>
      <c r="J132" s="65"/>
      <c r="K132" s="65"/>
      <c r="L132" s="65"/>
      <c r="M132" s="65"/>
      <c r="N132" s="65"/>
    </row>
    <row r="133" spans="1:14" ht="12.75">
      <c r="A133" s="65" t="s">
        <v>15</v>
      </c>
      <c r="B133" s="65" t="s">
        <v>15</v>
      </c>
      <c r="C133" s="65" t="s">
        <v>358</v>
      </c>
      <c r="D133" s="65" t="s">
        <v>358</v>
      </c>
      <c r="E133" s="65" t="str">
        <v>Peddapuram-Peddapuram-Gudivada-Gudivada</v>
      </c>
      <c r="F133" s="65"/>
      <c r="G133" s="65"/>
      <c r="H133" s="65"/>
      <c r="I133" s="65"/>
      <c r="J133" s="65"/>
      <c r="K133" s="65"/>
      <c r="L133" s="65"/>
      <c r="M133" s="65"/>
      <c r="N133" s="65"/>
    </row>
    <row r="134" spans="1:14" ht="12.75">
      <c r="A134" s="65" t="s">
        <v>15</v>
      </c>
      <c r="B134" s="65" t="s">
        <v>15</v>
      </c>
      <c r="C134" s="65" t="s">
        <v>360</v>
      </c>
      <c r="D134" s="65" t="s">
        <v>360</v>
      </c>
      <c r="E134" s="65" t="str">
        <v>Peddapuram-Peddapuram-J. Thimmapuram-J. Thimmapuram</v>
      </c>
      <c r="F134" s="65"/>
      <c r="G134" s="65"/>
      <c r="H134" s="65"/>
      <c r="I134" s="65"/>
      <c r="J134" s="65"/>
      <c r="K134" s="65"/>
      <c r="L134" s="65"/>
      <c r="M134" s="65"/>
      <c r="N134" s="65"/>
    </row>
    <row r="135" spans="1:14" ht="12.75">
      <c r="A135" s="65" t="s">
        <v>15</v>
      </c>
      <c r="B135" s="65" t="s">
        <v>15</v>
      </c>
      <c r="C135" s="65" t="s">
        <v>362</v>
      </c>
      <c r="D135" s="65" t="s">
        <v>362</v>
      </c>
      <c r="E135" s="65" t="str">
        <v>Peddapuram-Peddapuram-Kandrakota-Kandrakota</v>
      </c>
      <c r="F135" s="65"/>
      <c r="G135" s="65"/>
      <c r="H135" s="65"/>
      <c r="I135" s="65"/>
      <c r="J135" s="65"/>
      <c r="K135" s="65"/>
      <c r="L135" s="65"/>
      <c r="M135" s="65"/>
      <c r="N135" s="65"/>
    </row>
    <row r="136" spans="1:14" ht="12.75">
      <c r="A136" s="65" t="s">
        <v>15</v>
      </c>
      <c r="B136" s="65" t="s">
        <v>15</v>
      </c>
      <c r="C136" s="65" t="s">
        <v>364</v>
      </c>
      <c r="D136" s="65" t="s">
        <v>364</v>
      </c>
      <c r="E136" s="65" t="str">
        <v>Peddapuram-Peddapuram-Kattamuru-Kattamuru</v>
      </c>
      <c r="F136" s="65"/>
      <c r="G136" s="65"/>
      <c r="H136" s="65"/>
      <c r="I136" s="65"/>
      <c r="J136" s="65"/>
      <c r="K136" s="65"/>
      <c r="L136" s="65"/>
      <c r="M136" s="65"/>
      <c r="N136" s="65"/>
    </row>
    <row r="137" spans="1:14" ht="12.75">
      <c r="A137" s="65" t="s">
        <v>15</v>
      </c>
      <c r="B137" s="65" t="s">
        <v>15</v>
      </c>
      <c r="C137" s="65" t="s">
        <v>366</v>
      </c>
      <c r="D137" s="65" t="s">
        <v>366</v>
      </c>
      <c r="E137" s="65" t="str">
        <v>Peddapuram-Peddapuram-Kondapalle-Kondapalle</v>
      </c>
      <c r="F137" s="65"/>
      <c r="G137" s="65"/>
      <c r="H137" s="65"/>
      <c r="I137" s="65"/>
      <c r="J137" s="65"/>
      <c r="K137" s="65"/>
      <c r="L137" s="65"/>
      <c r="M137" s="65"/>
      <c r="N137" s="65"/>
    </row>
    <row r="138" spans="1:14" ht="12.75">
      <c r="A138" s="65" t="s">
        <v>15</v>
      </c>
      <c r="B138" s="65" t="s">
        <v>15</v>
      </c>
      <c r="C138" s="65" t="s">
        <v>369</v>
      </c>
      <c r="D138" s="65" t="s">
        <v>369</v>
      </c>
      <c r="E138" s="65" t="str">
        <v>Peddapuram-Peddapuram-Marlava-Marlava</v>
      </c>
      <c r="F138" s="65"/>
      <c r="G138" s="65"/>
      <c r="H138" s="65"/>
      <c r="I138" s="65"/>
      <c r="J138" s="65"/>
      <c r="K138" s="65"/>
      <c r="L138" s="65"/>
      <c r="M138" s="65"/>
      <c r="N138" s="65"/>
    </row>
    <row r="139" spans="1:14" ht="12.75">
      <c r="A139" s="65" t="s">
        <v>15</v>
      </c>
      <c r="B139" s="65" t="s">
        <v>15</v>
      </c>
      <c r="C139" s="65" t="s">
        <v>371</v>
      </c>
      <c r="D139" s="65" t="s">
        <v>371</v>
      </c>
      <c r="E139" s="65" t="str">
        <v>Peddapuram-Peddapuram-Pulimeru-Pulimeru</v>
      </c>
      <c r="F139" s="65"/>
      <c r="G139" s="65"/>
      <c r="H139" s="65"/>
      <c r="I139" s="65"/>
      <c r="J139" s="65"/>
      <c r="K139" s="65"/>
      <c r="L139" s="65"/>
      <c r="M139" s="65"/>
      <c r="N139" s="65"/>
    </row>
    <row r="140" spans="1:14" ht="12.75">
      <c r="A140" s="65" t="s">
        <v>15</v>
      </c>
      <c r="B140" s="65" t="s">
        <v>15</v>
      </c>
      <c r="C140" s="65" t="s">
        <v>373</v>
      </c>
      <c r="D140" s="65" t="s">
        <v>373</v>
      </c>
      <c r="E140" s="65" t="str">
        <v>Peddapuram-Peddapuram-R.B. Kothuru-R.B. Kothuru</v>
      </c>
      <c r="F140" s="65"/>
      <c r="G140" s="65"/>
      <c r="H140" s="65"/>
      <c r="I140" s="65"/>
      <c r="J140" s="65"/>
      <c r="K140" s="65"/>
      <c r="L140" s="65"/>
      <c r="M140" s="65"/>
      <c r="N140" s="65"/>
    </row>
    <row r="141" spans="1:14" ht="12.75">
      <c r="A141" s="65" t="s">
        <v>15</v>
      </c>
      <c r="B141" s="65" t="s">
        <v>15</v>
      </c>
      <c r="C141" s="65" t="s">
        <v>375</v>
      </c>
      <c r="D141" s="65" t="s">
        <v>375</v>
      </c>
      <c r="E141" s="65" t="str">
        <v>Peddapuram-Peddapuram-Rayabhupalapatnam-Rayabhupalapatnam</v>
      </c>
      <c r="F141" s="65"/>
      <c r="G141" s="65"/>
      <c r="H141" s="65"/>
      <c r="I141" s="65"/>
      <c r="J141" s="65"/>
      <c r="K141" s="65"/>
      <c r="L141" s="65"/>
      <c r="M141" s="65"/>
      <c r="N141" s="65"/>
    </row>
    <row r="142" spans="1:14" ht="12.75">
      <c r="A142" s="65" t="s">
        <v>15</v>
      </c>
      <c r="B142" s="65" t="s">
        <v>15</v>
      </c>
      <c r="C142" s="65" t="s">
        <v>376</v>
      </c>
      <c r="D142" s="65" t="s">
        <v>376</v>
      </c>
      <c r="E142" s="65" t="str">
        <v>Peddapuram-Peddapuram-Sirivada-Sirivada</v>
      </c>
      <c r="F142" s="65"/>
      <c r="G142" s="65"/>
      <c r="H142" s="65"/>
      <c r="I142" s="65"/>
      <c r="J142" s="65"/>
      <c r="K142" s="65"/>
      <c r="L142" s="65"/>
      <c r="M142" s="65"/>
      <c r="N142" s="65"/>
    </row>
    <row r="143" spans="1:14" ht="12.75">
      <c r="A143" s="65" t="s">
        <v>15</v>
      </c>
      <c r="B143" s="65" t="s">
        <v>15</v>
      </c>
      <c r="C143" s="65" t="s">
        <v>378</v>
      </c>
      <c r="D143" s="65" t="s">
        <v>378</v>
      </c>
      <c r="E143" s="65" t="str">
        <v>Peddapuram-Peddapuram-Tatiparthi-Tatiparthi</v>
      </c>
      <c r="F143" s="65"/>
      <c r="G143" s="65"/>
      <c r="H143" s="65"/>
      <c r="I143" s="65"/>
      <c r="J143" s="65"/>
      <c r="K143" s="65"/>
      <c r="L143" s="65"/>
      <c r="M143" s="65"/>
      <c r="N143" s="65"/>
    </row>
    <row r="144" spans="1:14" ht="12.75">
      <c r="A144" s="65" t="s">
        <v>15</v>
      </c>
      <c r="B144" s="65" t="s">
        <v>15</v>
      </c>
      <c r="C144" s="65" t="s">
        <v>379</v>
      </c>
      <c r="D144" s="65" t="s">
        <v>379</v>
      </c>
      <c r="E144" s="65" t="str">
        <v>Peddapuram-Peddapuram-Tirupati-Tirupati</v>
      </c>
      <c r="F144" s="65"/>
      <c r="G144" s="65"/>
      <c r="H144" s="65"/>
      <c r="I144" s="65"/>
      <c r="J144" s="65"/>
      <c r="K144" s="65"/>
      <c r="L144" s="65"/>
      <c r="M144" s="65"/>
      <c r="N144" s="65"/>
    </row>
    <row r="145" spans="1:14" ht="12.75">
      <c r="A145" s="65" t="s">
        <v>15</v>
      </c>
      <c r="B145" s="65" t="s">
        <v>15</v>
      </c>
      <c r="C145" s="65" t="s">
        <v>381</v>
      </c>
      <c r="D145" s="65" t="s">
        <v>381</v>
      </c>
      <c r="E145" s="65" t="str">
        <v>Peddapuram-Peddapuram-Turupu Pakalu-Turupu Pakalu</v>
      </c>
      <c r="F145" s="65"/>
      <c r="G145" s="65"/>
      <c r="H145" s="65"/>
      <c r="I145" s="65"/>
      <c r="J145" s="65"/>
      <c r="K145" s="65"/>
      <c r="L145" s="65"/>
      <c r="M145" s="65"/>
      <c r="N145" s="65"/>
    </row>
    <row r="146" spans="1:14" ht="12.75">
      <c r="A146" s="65" t="s">
        <v>15</v>
      </c>
      <c r="B146" s="65" t="s">
        <v>15</v>
      </c>
      <c r="C146" s="65" t="s">
        <v>383</v>
      </c>
      <c r="D146" s="65" t="s">
        <v>383</v>
      </c>
      <c r="E146" s="65" t="str">
        <v>Peddapuram-Peddapuram-Ulimeswaram-Ulimeswaram</v>
      </c>
      <c r="F146" s="65"/>
      <c r="G146" s="65"/>
      <c r="H146" s="65"/>
      <c r="I146" s="65"/>
      <c r="J146" s="65"/>
      <c r="K146" s="65"/>
      <c r="L146" s="65"/>
      <c r="M146" s="65"/>
      <c r="N146" s="65"/>
    </row>
    <row r="147" spans="1:14" ht="12.75">
      <c r="A147" s="65" t="s">
        <v>15</v>
      </c>
      <c r="B147" s="65" t="s">
        <v>15</v>
      </c>
      <c r="C147" s="65" t="s">
        <v>385</v>
      </c>
      <c r="D147" s="65" t="s">
        <v>385</v>
      </c>
      <c r="E147" s="65" t="str">
        <v>Peddapuram-Peddapuram-Vadlamuru-Vadlamuru</v>
      </c>
      <c r="F147" s="65"/>
      <c r="G147" s="65"/>
      <c r="H147" s="65"/>
      <c r="I147" s="65"/>
      <c r="J147" s="65"/>
      <c r="K147" s="65"/>
      <c r="L147" s="65"/>
      <c r="M147" s="65"/>
      <c r="N147" s="65"/>
    </row>
    <row r="148" spans="1:14" ht="12.75">
      <c r="A148" s="65" t="s">
        <v>15</v>
      </c>
      <c r="B148" s="65" t="s">
        <v>15</v>
      </c>
      <c r="C148" s="65" t="s">
        <v>387</v>
      </c>
      <c r="D148" s="65" t="s">
        <v>387</v>
      </c>
      <c r="E148" s="65" t="str">
        <v>Peddapuram-Peddapuram-Valuthimmapuram-Valuthimmapuram</v>
      </c>
      <c r="F148" s="65"/>
      <c r="G148" s="65"/>
      <c r="H148" s="65"/>
      <c r="I148" s="65"/>
      <c r="J148" s="65"/>
      <c r="K148" s="65"/>
      <c r="L148" s="65"/>
      <c r="M148" s="65"/>
      <c r="N148" s="65"/>
    </row>
    <row r="149" spans="1:14" ht="12.75">
      <c r="A149" s="65" t="s">
        <v>15</v>
      </c>
      <c r="B149" s="65" t="s">
        <v>389</v>
      </c>
      <c r="C149" s="65" t="s">
        <v>390</v>
      </c>
      <c r="D149" s="65" t="s">
        <v>390</v>
      </c>
      <c r="E149" s="65" t="str">
        <v>Peddapuram-Samalkota-Atcham  Peta-Atcham  Peta</v>
      </c>
      <c r="F149" s="65"/>
      <c r="G149" s="65"/>
      <c r="H149" s="65"/>
      <c r="I149" s="65"/>
      <c r="J149" s="65"/>
      <c r="K149" s="65"/>
      <c r="L149" s="65"/>
      <c r="M149" s="65"/>
      <c r="N149" s="65"/>
    </row>
    <row r="150" spans="1:14" ht="12.75">
      <c r="A150" s="65" t="s">
        <v>15</v>
      </c>
      <c r="B150" s="65" t="s">
        <v>389</v>
      </c>
      <c r="C150" s="65" t="s">
        <v>390</v>
      </c>
      <c r="D150" s="65" t="s">
        <v>392</v>
      </c>
      <c r="E150" s="65" t="str">
        <v>Peddapuram-Samalkota-Atcham  Peta-Koppavaram</v>
      </c>
      <c r="F150" s="65"/>
      <c r="G150" s="65"/>
      <c r="H150" s="65"/>
      <c r="I150" s="65"/>
      <c r="J150" s="65"/>
      <c r="K150" s="65"/>
      <c r="L150" s="65"/>
      <c r="M150" s="65"/>
      <c r="N150" s="65"/>
    </row>
    <row r="151" spans="1:14" ht="12.75">
      <c r="A151" s="65" t="s">
        <v>15</v>
      </c>
      <c r="B151" s="65" t="s">
        <v>389</v>
      </c>
      <c r="C151" s="65" t="s">
        <v>393</v>
      </c>
      <c r="D151" s="65" t="s">
        <v>393</v>
      </c>
      <c r="E151" s="65" t="str">
        <v>Peddapuram-Samalkota-Boyanapudi-Boyanapudi</v>
      </c>
      <c r="F151" s="65"/>
      <c r="G151" s="65"/>
      <c r="H151" s="65"/>
      <c r="I151" s="65"/>
      <c r="J151" s="65"/>
      <c r="K151" s="65"/>
      <c r="L151" s="65"/>
      <c r="M151" s="65"/>
      <c r="N151" s="65"/>
    </row>
    <row r="152" spans="1:14" ht="12.75">
      <c r="A152" s="65" t="s">
        <v>15</v>
      </c>
      <c r="B152" s="65" t="s">
        <v>389</v>
      </c>
      <c r="C152" s="65" t="s">
        <v>395</v>
      </c>
      <c r="D152" s="65" t="s">
        <v>395</v>
      </c>
      <c r="E152" s="65" t="str">
        <v>Peddapuram-Samalkota-Chandram Palem-Chandram Palem</v>
      </c>
      <c r="F152" s="65"/>
      <c r="G152" s="65"/>
      <c r="H152" s="65"/>
      <c r="I152" s="65"/>
      <c r="J152" s="65"/>
      <c r="K152" s="65"/>
      <c r="L152" s="65"/>
      <c r="M152" s="65"/>
      <c r="N152" s="65"/>
    </row>
    <row r="153" spans="1:14" ht="12.75">
      <c r="A153" s="65" t="s">
        <v>15</v>
      </c>
      <c r="B153" s="65" t="s">
        <v>389</v>
      </c>
      <c r="C153" s="65" t="s">
        <v>397</v>
      </c>
      <c r="D153" s="65" t="s">
        <v>397</v>
      </c>
      <c r="E153" s="65" t="str">
        <v>Peddapuram-Samalkota-G. Kothuru-G. Kothuru</v>
      </c>
      <c r="F153" s="65"/>
      <c r="G153" s="65"/>
      <c r="H153" s="65"/>
      <c r="I153" s="65"/>
      <c r="J153" s="65"/>
      <c r="K153" s="65"/>
      <c r="L153" s="65"/>
      <c r="M153" s="65"/>
      <c r="N153" s="65"/>
    </row>
    <row r="154" spans="1:14" ht="12.75">
      <c r="A154" s="65" t="s">
        <v>15</v>
      </c>
      <c r="B154" s="65" t="s">
        <v>389</v>
      </c>
      <c r="C154" s="65" t="s">
        <v>399</v>
      </c>
      <c r="D154" s="65" t="s">
        <v>399</v>
      </c>
      <c r="E154" s="65" t="str">
        <v>Peddapuram-Samalkota-G. Medapadu-G. Medapadu</v>
      </c>
      <c r="F154" s="65"/>
      <c r="G154" s="65"/>
      <c r="H154" s="65"/>
      <c r="I154" s="65"/>
      <c r="J154" s="65"/>
      <c r="K154" s="65"/>
      <c r="L154" s="65"/>
      <c r="M154" s="65"/>
      <c r="N154" s="65"/>
    </row>
    <row r="155" spans="1:14" ht="12.75">
      <c r="A155" s="65" t="s">
        <v>15</v>
      </c>
      <c r="B155" s="65" t="s">
        <v>389</v>
      </c>
      <c r="C155" s="65" t="s">
        <v>401</v>
      </c>
      <c r="D155" s="65" t="s">
        <v>401</v>
      </c>
      <c r="E155" s="65" t="str">
        <v>Peddapuram-Samalkota-G.Medapadumetta-G.Medapadumetta</v>
      </c>
      <c r="F155" s="65"/>
      <c r="G155" s="65"/>
      <c r="H155" s="65"/>
      <c r="I155" s="65"/>
      <c r="J155" s="65"/>
      <c r="K155" s="65"/>
      <c r="L155" s="65"/>
      <c r="M155" s="65"/>
      <c r="N155" s="65"/>
    </row>
    <row r="156" spans="1:14" ht="12.75">
      <c r="A156" s="65" t="s">
        <v>15</v>
      </c>
      <c r="B156" s="65" t="s">
        <v>389</v>
      </c>
      <c r="C156" s="65" t="s">
        <v>402</v>
      </c>
      <c r="D156" s="65" t="s">
        <v>402</v>
      </c>
      <c r="E156" s="65" t="str">
        <v>Peddapuram-Samalkota-Gonchala-Gonchala</v>
      </c>
      <c r="F156" s="65"/>
      <c r="G156" s="65"/>
      <c r="H156" s="65"/>
      <c r="I156" s="65"/>
      <c r="J156" s="65"/>
      <c r="K156" s="65"/>
      <c r="L156" s="65"/>
      <c r="M156" s="65"/>
      <c r="N156" s="65"/>
    </row>
    <row r="157" spans="1:14" ht="12.75">
      <c r="A157" s="65" t="s">
        <v>15</v>
      </c>
      <c r="B157" s="65" t="s">
        <v>389</v>
      </c>
      <c r="C157" s="65" t="s">
        <v>404</v>
      </c>
      <c r="D157" s="65" t="s">
        <v>404</v>
      </c>
      <c r="E157" s="65" t="str">
        <v>Peddapuram-Samalkota-Hussianpuram-Hussianpuram</v>
      </c>
      <c r="F157" s="65"/>
      <c r="G157" s="65"/>
      <c r="H157" s="65"/>
      <c r="I157" s="65"/>
      <c r="J157" s="65"/>
      <c r="K157" s="65"/>
      <c r="L157" s="65"/>
      <c r="M157" s="65"/>
      <c r="N157" s="65"/>
    </row>
    <row r="158" spans="1:14" ht="12.75">
      <c r="A158" s="65" t="s">
        <v>15</v>
      </c>
      <c r="B158" s="65" t="s">
        <v>389</v>
      </c>
      <c r="C158" s="65" t="s">
        <v>404</v>
      </c>
      <c r="D158" s="65" t="s">
        <v>406</v>
      </c>
      <c r="E158" s="65" t="str">
        <v>Peddapuram-Samalkota-Hussianpuram-Hussianpuram(H.W)</v>
      </c>
      <c r="F158" s="65"/>
      <c r="G158" s="65"/>
      <c r="H158" s="65"/>
      <c r="I158" s="65"/>
      <c r="J158" s="65"/>
      <c r="K158" s="65"/>
      <c r="L158" s="65"/>
      <c r="M158" s="65"/>
      <c r="N158" s="65"/>
    </row>
    <row r="159" spans="1:14" ht="12.75">
      <c r="A159" s="65" t="s">
        <v>15</v>
      </c>
      <c r="B159" s="65" t="s">
        <v>389</v>
      </c>
      <c r="C159" s="65" t="s">
        <v>407</v>
      </c>
      <c r="D159" s="65" t="s">
        <v>407</v>
      </c>
      <c r="E159" s="65" t="str">
        <v>Peddapuram-Samalkota-Kapavaram-Kapavaram</v>
      </c>
      <c r="F159" s="65"/>
      <c r="G159" s="65"/>
      <c r="H159" s="65"/>
      <c r="I159" s="65"/>
      <c r="J159" s="65"/>
      <c r="K159" s="65"/>
      <c r="L159" s="65"/>
      <c r="M159" s="65"/>
      <c r="N159" s="65"/>
    </row>
    <row r="160" spans="1:14" ht="12.75">
      <c r="A160" s="65" t="s">
        <v>15</v>
      </c>
      <c r="B160" s="65" t="s">
        <v>389</v>
      </c>
      <c r="C160" s="65" t="s">
        <v>409</v>
      </c>
      <c r="D160" s="65" t="s">
        <v>409</v>
      </c>
      <c r="E160" s="65" t="str">
        <v>Peddapuram-Samalkota-Madhavapatnam-Madhavapatnam</v>
      </c>
      <c r="F160" s="65"/>
      <c r="G160" s="65"/>
      <c r="H160" s="65"/>
      <c r="I160" s="65"/>
      <c r="J160" s="65"/>
      <c r="K160" s="65"/>
      <c r="L160" s="65"/>
      <c r="M160" s="65"/>
      <c r="N160" s="65"/>
    </row>
    <row r="161" spans="1:14" ht="12.75">
      <c r="A161" s="65" t="s">
        <v>15</v>
      </c>
      <c r="B161" s="65" t="s">
        <v>389</v>
      </c>
      <c r="C161" s="65" t="s">
        <v>411</v>
      </c>
      <c r="D161" s="65" t="s">
        <v>411</v>
      </c>
      <c r="E161" s="65" t="str">
        <v>Peddapuram-Samalkota-Navara-Navara</v>
      </c>
      <c r="F161" s="65"/>
      <c r="G161" s="65"/>
      <c r="H161" s="65"/>
      <c r="I161" s="65"/>
      <c r="J161" s="65"/>
      <c r="K161" s="65"/>
      <c r="L161" s="65"/>
      <c r="M161" s="65"/>
      <c r="N161" s="65"/>
    </row>
    <row r="162" spans="1:14" ht="12.75">
      <c r="A162" s="65" t="s">
        <v>15</v>
      </c>
      <c r="B162" s="65" t="s">
        <v>389</v>
      </c>
      <c r="C162" s="65" t="s">
        <v>413</v>
      </c>
      <c r="D162" s="65" t="s">
        <v>413</v>
      </c>
      <c r="E162" s="65" t="str">
        <v>Peddapuram-Samalkota-P. Vemavaram-P. Vemavaram</v>
      </c>
      <c r="F162" s="65"/>
      <c r="G162" s="65"/>
      <c r="H162" s="65"/>
      <c r="I162" s="65"/>
      <c r="J162" s="65"/>
      <c r="K162" s="65"/>
      <c r="L162" s="65"/>
      <c r="M162" s="65"/>
      <c r="N162" s="65"/>
    </row>
    <row r="163" spans="1:14" ht="12.75">
      <c r="A163" s="65" t="s">
        <v>15</v>
      </c>
      <c r="B163" s="65" t="s">
        <v>389</v>
      </c>
      <c r="C163" s="65" t="s">
        <v>415</v>
      </c>
      <c r="D163" s="65" t="s">
        <v>415</v>
      </c>
      <c r="E163" s="65" t="str">
        <v>Peddapuram-Samalkota-Panasapadu-Panasapadu</v>
      </c>
      <c r="F163" s="65"/>
      <c r="G163" s="65"/>
      <c r="H163" s="65"/>
      <c r="I163" s="65"/>
      <c r="J163" s="65"/>
      <c r="K163" s="65"/>
      <c r="L163" s="65"/>
      <c r="M163" s="65"/>
      <c r="N163" s="65"/>
    </row>
    <row r="164" spans="1:14" ht="12.75">
      <c r="A164" s="65" t="s">
        <v>15</v>
      </c>
      <c r="B164" s="65" t="s">
        <v>389</v>
      </c>
      <c r="C164" s="65" t="s">
        <v>417</v>
      </c>
      <c r="D164" s="65" t="s">
        <v>417</v>
      </c>
      <c r="E164" s="65" t="str">
        <v>Peddapuram-Samalkota-Pandravada-Pandravada</v>
      </c>
      <c r="F164" s="65"/>
      <c r="G164" s="65"/>
      <c r="H164" s="65"/>
      <c r="I164" s="65"/>
      <c r="J164" s="65"/>
      <c r="K164" s="65"/>
      <c r="L164" s="65"/>
      <c r="M164" s="65"/>
      <c r="N164" s="65"/>
    </row>
    <row r="165" spans="1:14" ht="12.75">
      <c r="A165" s="65" t="s">
        <v>15</v>
      </c>
      <c r="B165" s="65" t="s">
        <v>389</v>
      </c>
      <c r="C165" s="65" t="s">
        <v>419</v>
      </c>
      <c r="D165" s="65" t="s">
        <v>419</v>
      </c>
      <c r="E165" s="65" t="str">
        <v>Peddapuram-Samalkota-Pavara-Pavara</v>
      </c>
      <c r="F165" s="65"/>
      <c r="G165" s="65"/>
      <c r="H165" s="65"/>
      <c r="I165" s="65"/>
      <c r="J165" s="65"/>
      <c r="K165" s="65"/>
      <c r="L165" s="65"/>
      <c r="M165" s="65"/>
      <c r="N165" s="65"/>
    </row>
    <row r="166" spans="1:14" ht="12.75">
      <c r="A166" s="65" t="s">
        <v>15</v>
      </c>
      <c r="B166" s="65" t="s">
        <v>389</v>
      </c>
      <c r="C166" s="65" t="s">
        <v>421</v>
      </c>
      <c r="D166" s="65" t="s">
        <v>421</v>
      </c>
      <c r="E166" s="65" t="str">
        <v>Peddapuram-Samalkota-Pedabrahmadevam-Pedabrahmadevam</v>
      </c>
      <c r="F166" s="65"/>
      <c r="G166" s="65"/>
      <c r="H166" s="65"/>
      <c r="I166" s="65"/>
      <c r="J166" s="65"/>
      <c r="K166" s="65"/>
      <c r="L166" s="65"/>
      <c r="M166" s="65"/>
      <c r="N166" s="65"/>
    </row>
    <row r="167" spans="1:14" ht="12.75">
      <c r="A167" s="65" t="s">
        <v>15</v>
      </c>
      <c r="B167" s="65" t="s">
        <v>389</v>
      </c>
      <c r="C167" s="65" t="s">
        <v>423</v>
      </c>
      <c r="D167" s="65" t="s">
        <v>423</v>
      </c>
      <c r="E167" s="65" t="str">
        <v>Peddapuram-Samalkota-Unduru-Unduru</v>
      </c>
      <c r="F167" s="65"/>
      <c r="G167" s="65"/>
      <c r="H167" s="65"/>
      <c r="I167" s="65"/>
      <c r="J167" s="65"/>
      <c r="K167" s="65"/>
      <c r="L167" s="65"/>
      <c r="M167" s="65"/>
      <c r="N167" s="65"/>
    </row>
    <row r="168" spans="1:14" ht="12.75">
      <c r="A168" s="65" t="s">
        <v>15</v>
      </c>
      <c r="B168" s="65" t="s">
        <v>389</v>
      </c>
      <c r="C168" s="65" t="s">
        <v>423</v>
      </c>
      <c r="D168" s="65" t="s">
        <v>425</v>
      </c>
      <c r="E168" s="65" t="str">
        <v>Peddapuram-Samalkota-Unduru-Valluru</v>
      </c>
      <c r="F168" s="65"/>
      <c r="G168" s="65"/>
      <c r="H168" s="65"/>
      <c r="I168" s="65"/>
      <c r="J168" s="65"/>
      <c r="K168" s="65"/>
      <c r="L168" s="65"/>
      <c r="M168" s="65"/>
      <c r="N168" s="65"/>
    </row>
    <row r="169" spans="1:14" ht="12.75">
      <c r="A169" s="65" t="s">
        <v>15</v>
      </c>
      <c r="B169" s="65" t="s">
        <v>389</v>
      </c>
      <c r="C169" s="65" t="s">
        <v>426</v>
      </c>
      <c r="D169" s="65" t="s">
        <v>426</v>
      </c>
      <c r="E169" s="65" t="str">
        <v>Peddapuram-Samalkota-Venkatakrishnarayapuram-Venkatakrishnarayapuram</v>
      </c>
      <c r="F169" s="65"/>
      <c r="G169" s="65"/>
      <c r="H169" s="65"/>
      <c r="I169" s="65"/>
      <c r="J169" s="65"/>
      <c r="K169" s="65"/>
      <c r="L169" s="65"/>
      <c r="M169" s="65"/>
      <c r="N169" s="65"/>
    </row>
    <row r="170" spans="1:14" ht="12.75">
      <c r="A170" s="65" t="s">
        <v>15</v>
      </c>
      <c r="B170" s="65" t="s">
        <v>389</v>
      </c>
      <c r="C170" s="65" t="s">
        <v>428</v>
      </c>
      <c r="D170" s="65" t="s">
        <v>428</v>
      </c>
      <c r="E170" s="65" t="str">
        <v>Peddapuram-Samalkota-Vetlapalem-Vetlapalem</v>
      </c>
      <c r="F170" s="65"/>
      <c r="G170" s="65"/>
      <c r="H170" s="65"/>
      <c r="I170" s="65"/>
      <c r="J170" s="65"/>
      <c r="K170" s="65"/>
      <c r="L170" s="65"/>
      <c r="M170" s="65"/>
      <c r="N170" s="65"/>
    </row>
    <row r="171" spans="1:14" ht="12.75">
      <c r="A171" s="65" t="s">
        <v>10</v>
      </c>
      <c r="B171" s="65" t="s">
        <v>430</v>
      </c>
      <c r="C171" s="65" t="s">
        <v>431</v>
      </c>
      <c r="D171" s="65" t="s">
        <v>431</v>
      </c>
      <c r="E171" s="65" t="str">
        <v>Pithapuram-Gollaprolu-A.K.Mallavaram-A.K.Mallavaram</v>
      </c>
      <c r="F171" s="65"/>
      <c r="G171" s="65"/>
      <c r="H171" s="65"/>
      <c r="I171" s="65"/>
      <c r="J171" s="65"/>
      <c r="K171" s="65"/>
      <c r="L171" s="65"/>
      <c r="M171" s="65"/>
      <c r="N171" s="65"/>
    </row>
    <row r="172" spans="1:14" ht="12.75">
      <c r="A172" s="65" t="s">
        <v>10</v>
      </c>
      <c r="B172" s="65" t="s">
        <v>430</v>
      </c>
      <c r="C172" s="65" t="s">
        <v>434</v>
      </c>
      <c r="D172" s="65" t="s">
        <v>434</v>
      </c>
      <c r="E172" s="65" t="str">
        <v>Pithapuram-Gollaprolu-A.P.Mallavaram-A.P.Mallavaram</v>
      </c>
      <c r="F172" s="65"/>
      <c r="G172" s="65"/>
      <c r="H172" s="65"/>
      <c r="I172" s="65"/>
      <c r="J172" s="65"/>
      <c r="K172" s="65"/>
      <c r="L172" s="65"/>
      <c r="M172" s="65"/>
      <c r="N172" s="65"/>
    </row>
    <row r="173" spans="1:14" ht="12.75">
      <c r="A173" s="65" t="s">
        <v>10</v>
      </c>
      <c r="B173" s="65" t="s">
        <v>430</v>
      </c>
      <c r="C173" s="65" t="s">
        <v>438</v>
      </c>
      <c r="D173" s="65" t="s">
        <v>438</v>
      </c>
      <c r="E173" s="65" t="str">
        <v>Pithapuram-Gollaprolu-A.Vijayanagaram-A.Vijayanagaram</v>
      </c>
      <c r="F173" s="65"/>
      <c r="G173" s="65"/>
      <c r="H173" s="65"/>
      <c r="I173" s="65"/>
      <c r="J173" s="65"/>
      <c r="K173" s="65"/>
      <c r="L173" s="65"/>
      <c r="M173" s="65"/>
      <c r="N173" s="65"/>
    </row>
    <row r="174" spans="1:14" ht="12.75">
      <c r="A174" s="65" t="s">
        <v>10</v>
      </c>
      <c r="B174" s="65" t="s">
        <v>430</v>
      </c>
      <c r="C174" s="65" t="s">
        <v>441</v>
      </c>
      <c r="D174" s="65" t="s">
        <v>441</v>
      </c>
      <c r="E174" s="65" t="str">
        <v>Pithapuram-Gollaprolu-Chebrolu-Chebrolu</v>
      </c>
      <c r="F174" s="65"/>
      <c r="G174" s="65"/>
      <c r="H174" s="65"/>
      <c r="I174" s="65"/>
      <c r="J174" s="65"/>
      <c r="K174" s="65"/>
      <c r="L174" s="65"/>
      <c r="M174" s="65"/>
      <c r="N174" s="65"/>
    </row>
    <row r="175" spans="1:14" ht="12.75">
      <c r="A175" s="65" t="s">
        <v>10</v>
      </c>
      <c r="B175" s="65" t="s">
        <v>430</v>
      </c>
      <c r="C175" s="65" t="s">
        <v>443</v>
      </c>
      <c r="D175" s="65" t="s">
        <v>443</v>
      </c>
      <c r="E175" s="65" t="str">
        <v>Pithapuram-Gollaprolu-Chendurthi-Chendurthi</v>
      </c>
      <c r="F175" s="65"/>
      <c r="G175" s="65"/>
      <c r="H175" s="65"/>
      <c r="I175" s="65"/>
      <c r="J175" s="65"/>
      <c r="K175" s="65"/>
      <c r="L175" s="65"/>
      <c r="M175" s="65"/>
      <c r="N175" s="65"/>
    </row>
    <row r="176" spans="1:14" ht="12.75">
      <c r="A176" s="65" t="s">
        <v>10</v>
      </c>
      <c r="B176" s="65" t="s">
        <v>430</v>
      </c>
      <c r="C176" s="65" t="s">
        <v>445</v>
      </c>
      <c r="D176" s="65" t="s">
        <v>445</v>
      </c>
      <c r="E176" s="65" t="str">
        <v>Pithapuram-Gollaprolu-China Jaggampeta-China Jaggampeta</v>
      </c>
      <c r="F176" s="65"/>
      <c r="G176" s="65"/>
      <c r="H176" s="65"/>
      <c r="I176" s="65"/>
      <c r="J176" s="65"/>
      <c r="K176" s="65"/>
      <c r="L176" s="65"/>
      <c r="M176" s="65"/>
      <c r="N176" s="65"/>
    </row>
    <row r="177" spans="1:14" ht="12.75">
      <c r="A177" s="65" t="s">
        <v>10</v>
      </c>
      <c r="B177" s="65" t="s">
        <v>430</v>
      </c>
      <c r="C177" s="65" t="s">
        <v>447</v>
      </c>
      <c r="D177" s="65" t="s">
        <v>447</v>
      </c>
      <c r="E177" s="65" t="str">
        <v>Pithapuram-Gollaprolu-Durgada-Durgada</v>
      </c>
      <c r="F177" s="65"/>
      <c r="G177" s="65"/>
      <c r="H177" s="65"/>
      <c r="I177" s="65"/>
      <c r="J177" s="65"/>
      <c r="K177" s="65"/>
      <c r="L177" s="65"/>
      <c r="M177" s="65"/>
      <c r="N177" s="65"/>
    </row>
    <row r="178" spans="1:14" ht="12.75">
      <c r="A178" s="65" t="s">
        <v>10</v>
      </c>
      <c r="B178" s="65" t="s">
        <v>430</v>
      </c>
      <c r="C178" s="65" t="s">
        <v>449</v>
      </c>
      <c r="D178" s="65" t="s">
        <v>449</v>
      </c>
      <c r="E178" s="65" t="str">
        <v>Pithapuram-Gollaprolu-Kodavali-Kodavali</v>
      </c>
      <c r="F178" s="65"/>
      <c r="G178" s="65"/>
      <c r="H178" s="65"/>
      <c r="I178" s="65"/>
      <c r="J178" s="65"/>
      <c r="K178" s="65"/>
      <c r="L178" s="65"/>
      <c r="M178" s="65"/>
      <c r="N178" s="65"/>
    </row>
    <row r="179" spans="1:14" ht="12.75">
      <c r="A179" s="65" t="s">
        <v>10</v>
      </c>
      <c r="B179" s="65" t="s">
        <v>430</v>
      </c>
      <c r="C179" s="65" t="s">
        <v>378</v>
      </c>
      <c r="D179" s="65" t="s">
        <v>378</v>
      </c>
      <c r="E179" s="65" t="str">
        <v>Pithapuram-Gollaprolu-Tatiparthi-Tatiparthi</v>
      </c>
      <c r="F179" s="65"/>
      <c r="G179" s="65"/>
      <c r="H179" s="65"/>
      <c r="I179" s="65"/>
      <c r="J179" s="65"/>
      <c r="K179" s="65"/>
      <c r="L179" s="65"/>
      <c r="M179" s="65"/>
      <c r="N179" s="65"/>
    </row>
    <row r="180" spans="1:14" ht="12.75">
      <c r="A180" s="65" t="s">
        <v>10</v>
      </c>
      <c r="B180" s="65" t="s">
        <v>430</v>
      </c>
      <c r="C180" s="65" t="s">
        <v>453</v>
      </c>
      <c r="D180" s="65" t="s">
        <v>453</v>
      </c>
      <c r="E180" s="65" t="str">
        <v>Pithapuram-Gollaprolu-Vannepudi-Vannepudi</v>
      </c>
      <c r="F180" s="65"/>
      <c r="G180" s="65"/>
      <c r="H180" s="65"/>
      <c r="I180" s="65"/>
      <c r="J180" s="65"/>
      <c r="K180" s="65"/>
      <c r="L180" s="65"/>
      <c r="M180" s="65"/>
      <c r="N180" s="65"/>
    </row>
    <row r="181" spans="1:14" ht="12.75">
      <c r="A181" s="65" t="s">
        <v>10</v>
      </c>
      <c r="B181" s="65" t="s">
        <v>166</v>
      </c>
      <c r="C181" s="65" t="s">
        <v>455</v>
      </c>
      <c r="D181" s="65" t="s">
        <v>455</v>
      </c>
      <c r="E181" s="65" t="str">
        <v>Pithapuram-Kothapalle-Amaravilli-Amaravilli</v>
      </c>
      <c r="F181" s="65"/>
      <c r="G181" s="65"/>
      <c r="H181" s="65"/>
      <c r="I181" s="65"/>
      <c r="J181" s="65"/>
      <c r="K181" s="65"/>
      <c r="L181" s="65"/>
      <c r="M181" s="65"/>
      <c r="N181" s="65"/>
    </row>
    <row r="182" spans="1:14" ht="12.75">
      <c r="A182" s="65" t="s">
        <v>10</v>
      </c>
      <c r="B182" s="65" t="s">
        <v>166</v>
      </c>
      <c r="C182" s="65" t="s">
        <v>457</v>
      </c>
      <c r="D182" s="65" t="s">
        <v>457</v>
      </c>
      <c r="E182" s="65" t="str">
        <v>Pithapuram-Kothapalle-Aminabada-Aminabada</v>
      </c>
      <c r="F182" s="65"/>
      <c r="G182" s="65"/>
      <c r="H182" s="65"/>
      <c r="I182" s="65"/>
      <c r="J182" s="65"/>
      <c r="K182" s="65"/>
      <c r="L182" s="65"/>
      <c r="M182" s="65"/>
      <c r="N182" s="65"/>
    </row>
    <row r="183" spans="1:14" ht="12.75">
      <c r="A183" s="65" t="s">
        <v>10</v>
      </c>
      <c r="B183" s="65" t="s">
        <v>166</v>
      </c>
      <c r="C183" s="65" t="s">
        <v>459</v>
      </c>
      <c r="D183" s="65" t="s">
        <v>459</v>
      </c>
      <c r="E183" s="65" t="str">
        <v>Pithapuram-Kothapalle-Gorsa-Gorsa</v>
      </c>
      <c r="F183" s="65"/>
      <c r="G183" s="65"/>
      <c r="H183" s="65"/>
      <c r="I183" s="65"/>
      <c r="J183" s="65"/>
      <c r="K183" s="65"/>
      <c r="L183" s="65"/>
      <c r="M183" s="65"/>
      <c r="N183" s="65"/>
    </row>
    <row r="184" spans="1:14" ht="12.75">
      <c r="A184" s="65" t="s">
        <v>10</v>
      </c>
      <c r="B184" s="65" t="s">
        <v>166</v>
      </c>
      <c r="C184" s="65" t="s">
        <v>461</v>
      </c>
      <c r="D184" s="65" t="s">
        <v>462</v>
      </c>
      <c r="E184" s="65" t="str">
        <v>Pithapuram-Kothapalle-Isukapalli-P. Isukapalle</v>
      </c>
      <c r="F184" s="65"/>
      <c r="G184" s="65"/>
      <c r="H184" s="65"/>
      <c r="I184" s="65"/>
      <c r="J184" s="65"/>
      <c r="K184" s="65"/>
      <c r="L184" s="65"/>
      <c r="M184" s="65"/>
      <c r="N184" s="65"/>
    </row>
    <row r="185" spans="1:14" ht="12.75">
      <c r="A185" s="65" t="s">
        <v>10</v>
      </c>
      <c r="B185" s="65" t="s">
        <v>166</v>
      </c>
      <c r="C185" s="65" t="s">
        <v>463</v>
      </c>
      <c r="D185" s="65" t="s">
        <v>463</v>
      </c>
      <c r="E185" s="65" t="str">
        <v>Pithapuram-Kothapalle-Komaragiri-Komaragiri</v>
      </c>
      <c r="F185" s="65"/>
      <c r="G185" s="65"/>
      <c r="H185" s="65"/>
      <c r="I185" s="65"/>
      <c r="J185" s="65"/>
      <c r="K185" s="65"/>
      <c r="L185" s="65"/>
      <c r="M185" s="65"/>
      <c r="N185" s="65"/>
    </row>
    <row r="186" spans="1:14" ht="12.75">
      <c r="A186" s="65" t="s">
        <v>10</v>
      </c>
      <c r="B186" s="65" t="s">
        <v>166</v>
      </c>
      <c r="C186" s="65" t="s">
        <v>465</v>
      </c>
      <c r="D186" s="65" t="s">
        <v>465</v>
      </c>
      <c r="E186" s="65" t="str">
        <v>Pithapuram-Kothapalle-Kondevaram-Kondevaram</v>
      </c>
      <c r="F186" s="65"/>
      <c r="G186" s="65"/>
      <c r="H186" s="65"/>
      <c r="I186" s="65"/>
      <c r="J186" s="65"/>
      <c r="K186" s="65"/>
      <c r="L186" s="65"/>
      <c r="M186" s="65"/>
      <c r="N186" s="65"/>
    </row>
    <row r="187" spans="1:14" ht="12.75">
      <c r="A187" s="65" t="s">
        <v>10</v>
      </c>
      <c r="B187" s="65" t="s">
        <v>166</v>
      </c>
      <c r="C187" s="65" t="s">
        <v>468</v>
      </c>
      <c r="D187" s="65" t="s">
        <v>468</v>
      </c>
      <c r="E187" s="65" t="str">
        <v>Pithapuram-Kothapalle-Kotha Isukapalle-Kotha Isukapalle</v>
      </c>
      <c r="F187" s="65"/>
      <c r="G187" s="65"/>
      <c r="H187" s="65"/>
      <c r="I187" s="65"/>
      <c r="J187" s="65"/>
      <c r="K187" s="65"/>
      <c r="L187" s="65"/>
      <c r="M187" s="65"/>
      <c r="N187" s="65"/>
    </row>
    <row r="188" spans="1:14" ht="12.75">
      <c r="A188" s="65" t="s">
        <v>10</v>
      </c>
      <c r="B188" s="65" t="s">
        <v>166</v>
      </c>
      <c r="C188" s="65" t="s">
        <v>469</v>
      </c>
      <c r="D188" s="65" t="s">
        <v>469</v>
      </c>
      <c r="E188" s="65" t="str">
        <v>Pithapuram-Kothapalle-Kotha Mulapeta-Kotha Mulapeta</v>
      </c>
      <c r="F188" s="65"/>
      <c r="G188" s="65"/>
      <c r="H188" s="65"/>
      <c r="I188" s="65"/>
      <c r="J188" s="65"/>
      <c r="K188" s="65"/>
      <c r="L188" s="65"/>
      <c r="M188" s="65"/>
      <c r="N188" s="65"/>
    </row>
    <row r="189" spans="1:14" ht="12.75">
      <c r="A189" s="65" t="s">
        <v>10</v>
      </c>
      <c r="B189" s="65" t="s">
        <v>166</v>
      </c>
      <c r="C189" s="65" t="s">
        <v>166</v>
      </c>
      <c r="D189" s="65" t="s">
        <v>166</v>
      </c>
      <c r="E189" s="65" t="str">
        <v>Pithapuram-Kothapalle-Kothapalle-Kothapalle</v>
      </c>
      <c r="F189" s="65"/>
      <c r="G189" s="65"/>
      <c r="H189" s="65"/>
      <c r="I189" s="65"/>
      <c r="J189" s="65"/>
      <c r="K189" s="65"/>
      <c r="L189" s="65"/>
      <c r="M189" s="65"/>
      <c r="N189" s="65"/>
    </row>
    <row r="190" spans="1:14" ht="12.75">
      <c r="A190" s="65" t="s">
        <v>10</v>
      </c>
      <c r="B190" s="65" t="s">
        <v>166</v>
      </c>
      <c r="C190" s="65" t="s">
        <v>471</v>
      </c>
      <c r="D190" s="65" t="s">
        <v>471</v>
      </c>
      <c r="E190" s="65" t="str">
        <v>Pithapuram-Kothapalle-Kutukudumilli-Kutukudumilli</v>
      </c>
      <c r="F190" s="65"/>
      <c r="G190" s="65"/>
      <c r="H190" s="65"/>
      <c r="I190" s="65"/>
      <c r="J190" s="65"/>
      <c r="K190" s="65"/>
      <c r="L190" s="65"/>
      <c r="M190" s="65"/>
      <c r="N190" s="65"/>
    </row>
    <row r="191" spans="1:14" ht="12.75">
      <c r="A191" s="65" t="s">
        <v>10</v>
      </c>
      <c r="B191" s="65" t="s">
        <v>166</v>
      </c>
      <c r="C191" s="65" t="s">
        <v>473</v>
      </c>
      <c r="D191" s="65" t="s">
        <v>473</v>
      </c>
      <c r="E191" s="65" t="str">
        <v>Pithapuram-Kothapalle-Mulapeta-Mulapeta</v>
      </c>
      <c r="F191" s="65"/>
      <c r="G191" s="65"/>
      <c r="H191" s="65"/>
      <c r="I191" s="65"/>
      <c r="J191" s="65"/>
      <c r="K191" s="65"/>
      <c r="L191" s="65"/>
      <c r="M191" s="65"/>
      <c r="N191" s="65"/>
    </row>
    <row r="192" spans="1:14" ht="12.75">
      <c r="A192" s="65" t="s">
        <v>10</v>
      </c>
      <c r="B192" s="65" t="s">
        <v>166</v>
      </c>
      <c r="C192" s="65" t="s">
        <v>475</v>
      </c>
      <c r="D192" s="65" t="s">
        <v>475</v>
      </c>
      <c r="E192" s="65" t="str">
        <v>Pithapuram-Kothapalle-Nagulapalle-Nagulapalle</v>
      </c>
      <c r="F192" s="65"/>
      <c r="G192" s="65"/>
      <c r="H192" s="65"/>
      <c r="I192" s="65"/>
      <c r="J192" s="65"/>
      <c r="K192" s="65"/>
      <c r="L192" s="65"/>
      <c r="M192" s="65"/>
      <c r="N192" s="65"/>
    </row>
    <row r="193" spans="1:14" ht="12.75">
      <c r="A193" s="65" t="s">
        <v>10</v>
      </c>
      <c r="B193" s="65" t="s">
        <v>166</v>
      </c>
      <c r="C193" s="65" t="s">
        <v>477</v>
      </c>
      <c r="D193" s="65" t="s">
        <v>477</v>
      </c>
      <c r="E193" s="65" t="str">
        <v>Pithapuram-Kothapalle-Ponnada-Ponnada</v>
      </c>
      <c r="F193" s="65"/>
      <c r="G193" s="65"/>
      <c r="H193" s="65"/>
      <c r="I193" s="65"/>
      <c r="J193" s="65"/>
      <c r="K193" s="65"/>
      <c r="L193" s="65"/>
      <c r="M193" s="65"/>
      <c r="N193" s="65"/>
    </row>
    <row r="194" spans="1:14" ht="12.75">
      <c r="A194" s="65" t="s">
        <v>10</v>
      </c>
      <c r="B194" s="65" t="s">
        <v>166</v>
      </c>
      <c r="C194" s="65" t="s">
        <v>479</v>
      </c>
      <c r="D194" s="65" t="s">
        <v>479</v>
      </c>
      <c r="E194" s="65" t="str">
        <v>Pithapuram-Kothapalle-Ramanakkapeta-Ramanakkapeta</v>
      </c>
      <c r="F194" s="65"/>
      <c r="G194" s="65"/>
      <c r="H194" s="65"/>
      <c r="I194" s="65"/>
      <c r="J194" s="65"/>
      <c r="K194" s="65"/>
      <c r="L194" s="65"/>
      <c r="M194" s="65"/>
      <c r="N194" s="65"/>
    </row>
    <row r="195" spans="1:14" ht="12.75">
      <c r="A195" s="65" t="s">
        <v>10</v>
      </c>
      <c r="B195" s="65" t="s">
        <v>166</v>
      </c>
      <c r="C195" s="65" t="s">
        <v>481</v>
      </c>
      <c r="D195" s="65" t="s">
        <v>481</v>
      </c>
      <c r="E195" s="65" t="str">
        <v>Pithapuram-Kothapalle-Sreeramnagar-Sreeramnagar</v>
      </c>
      <c r="F195" s="65"/>
      <c r="G195" s="65"/>
      <c r="H195" s="65"/>
      <c r="I195" s="65"/>
      <c r="J195" s="65"/>
      <c r="K195" s="65"/>
      <c r="L195" s="65"/>
      <c r="M195" s="65"/>
      <c r="N195" s="65"/>
    </row>
    <row r="196" spans="1:14" ht="12.75">
      <c r="A196" s="65" t="s">
        <v>10</v>
      </c>
      <c r="B196" s="65" t="s">
        <v>166</v>
      </c>
      <c r="C196" s="65" t="s">
        <v>482</v>
      </c>
      <c r="D196" s="65" t="s">
        <v>483</v>
      </c>
      <c r="E196" s="65" t="str">
        <v>Pithapuram-Kothapalle-Uppada-Subbampeta</v>
      </c>
      <c r="F196" s="65"/>
      <c r="G196" s="65"/>
      <c r="H196" s="65"/>
      <c r="I196" s="65"/>
      <c r="J196" s="65"/>
      <c r="K196" s="65"/>
      <c r="L196" s="65"/>
      <c r="M196" s="65"/>
      <c r="N196" s="65"/>
    </row>
    <row r="197" spans="1:14" ht="12.75">
      <c r="A197" s="65" t="s">
        <v>10</v>
      </c>
      <c r="B197" s="65" t="s">
        <v>166</v>
      </c>
      <c r="C197" s="65" t="s">
        <v>482</v>
      </c>
      <c r="D197" s="65" t="s">
        <v>482</v>
      </c>
      <c r="E197" s="65" t="str">
        <v>Pithapuram-Kothapalle-Uppada-Uppada</v>
      </c>
      <c r="F197" s="65"/>
      <c r="G197" s="65"/>
      <c r="H197" s="65"/>
      <c r="I197" s="65"/>
      <c r="J197" s="65"/>
      <c r="K197" s="65"/>
      <c r="L197" s="65"/>
      <c r="M197" s="65"/>
      <c r="N197" s="65"/>
    </row>
    <row r="198" spans="1:14" ht="12.75">
      <c r="A198" s="65" t="s">
        <v>10</v>
      </c>
      <c r="B198" s="65" t="s">
        <v>166</v>
      </c>
      <c r="C198" s="65" t="s">
        <v>485</v>
      </c>
      <c r="D198" s="65" t="s">
        <v>485</v>
      </c>
      <c r="E198" s="65" t="str">
        <v>Pithapuram-Kothapalle-Vakatippa-Vakatippa</v>
      </c>
      <c r="F198" s="65"/>
      <c r="G198" s="65"/>
      <c r="H198" s="65"/>
      <c r="I198" s="65"/>
      <c r="J198" s="65"/>
      <c r="K198" s="65"/>
      <c r="L198" s="65"/>
      <c r="M198" s="65"/>
      <c r="N198" s="65"/>
    </row>
    <row r="199" spans="1:14" ht="12.75">
      <c r="A199" s="65" t="s">
        <v>10</v>
      </c>
      <c r="B199" s="65" t="s">
        <v>166</v>
      </c>
      <c r="C199" s="65" t="s">
        <v>487</v>
      </c>
      <c r="D199" s="65" t="s">
        <v>487</v>
      </c>
      <c r="E199" s="65" t="str">
        <v>Pithapuram-Kothapalle-Yendapalle-Yendapalle</v>
      </c>
      <c r="F199" s="65"/>
      <c r="G199" s="65"/>
      <c r="H199" s="65"/>
      <c r="I199" s="65"/>
      <c r="J199" s="65"/>
      <c r="K199" s="65"/>
      <c r="L199" s="65"/>
      <c r="M199" s="65"/>
      <c r="N199" s="65"/>
    </row>
    <row r="200" spans="1:14" ht="12.75">
      <c r="A200" s="65" t="s">
        <v>10</v>
      </c>
      <c r="B200" s="65" t="s">
        <v>10</v>
      </c>
      <c r="C200" s="65" t="s">
        <v>489</v>
      </c>
      <c r="D200" s="65" t="s">
        <v>489</v>
      </c>
      <c r="E200" s="65" t="str">
        <v>Pithapuram-Pithapuram-B Prathipadu-B Prathipadu</v>
      </c>
      <c r="F200" s="65"/>
      <c r="G200" s="65"/>
      <c r="H200" s="65"/>
      <c r="I200" s="65"/>
      <c r="J200" s="65"/>
      <c r="K200" s="65"/>
      <c r="L200" s="65"/>
      <c r="M200" s="65"/>
      <c r="N200" s="65"/>
    </row>
    <row r="201" spans="1:14" ht="12.75">
      <c r="A201" s="65" t="s">
        <v>10</v>
      </c>
      <c r="B201" s="65" t="s">
        <v>10</v>
      </c>
      <c r="C201" s="65" t="s">
        <v>491</v>
      </c>
      <c r="D201" s="65" t="s">
        <v>491</v>
      </c>
      <c r="E201" s="65" t="str">
        <v>Pithapuram-Pithapuram-B. Kothuru-B. Kothuru</v>
      </c>
      <c r="F201" s="65"/>
      <c r="G201" s="65"/>
      <c r="H201" s="65"/>
      <c r="I201" s="65"/>
      <c r="J201" s="65"/>
      <c r="K201" s="65"/>
      <c r="L201" s="65"/>
      <c r="M201" s="65"/>
      <c r="N201" s="65"/>
    </row>
    <row r="202" spans="1:14" ht="12.75">
      <c r="A202" s="65" t="s">
        <v>10</v>
      </c>
      <c r="B202" s="65" t="s">
        <v>10</v>
      </c>
      <c r="C202" s="65" t="s">
        <v>493</v>
      </c>
      <c r="D202" s="65" t="s">
        <v>493</v>
      </c>
      <c r="E202" s="65" t="str">
        <v>Pithapuram-Pithapuram-Bhogapuram-Bhogapuram</v>
      </c>
      <c r="F202" s="65"/>
      <c r="G202" s="65"/>
      <c r="H202" s="65"/>
      <c r="I202" s="65"/>
      <c r="J202" s="65"/>
      <c r="K202" s="65"/>
      <c r="L202" s="65"/>
      <c r="M202" s="65"/>
      <c r="N202" s="65"/>
    </row>
    <row r="203" spans="1:14" ht="12.75">
      <c r="A203" s="65" t="s">
        <v>10</v>
      </c>
      <c r="B203" s="65" t="s">
        <v>10</v>
      </c>
      <c r="C203" s="65" t="s">
        <v>495</v>
      </c>
      <c r="D203" s="65" t="s">
        <v>495</v>
      </c>
      <c r="E203" s="65" t="str">
        <v>Pithapuram-Pithapuram-Chitrada-Chitrada</v>
      </c>
      <c r="F203" s="65"/>
      <c r="G203" s="65"/>
      <c r="H203" s="65"/>
      <c r="I203" s="65"/>
      <c r="J203" s="65"/>
      <c r="K203" s="65"/>
      <c r="L203" s="65"/>
      <c r="M203" s="65"/>
      <c r="N203" s="65"/>
    </row>
    <row r="204" spans="1:14" ht="12.75">
      <c r="A204" s="65" t="s">
        <v>10</v>
      </c>
      <c r="B204" s="65" t="s">
        <v>10</v>
      </c>
      <c r="C204" s="65" t="s">
        <v>497</v>
      </c>
      <c r="D204" s="65" t="s">
        <v>497</v>
      </c>
      <c r="E204" s="65" t="str">
        <v>Pithapuram-Pithapuram-Fakruddinpalem-Fakruddinpalem</v>
      </c>
      <c r="F204" s="65"/>
      <c r="G204" s="65"/>
      <c r="H204" s="65"/>
      <c r="I204" s="65"/>
      <c r="J204" s="65"/>
      <c r="K204" s="65"/>
      <c r="L204" s="65"/>
      <c r="M204" s="65"/>
      <c r="N204" s="65"/>
    </row>
    <row r="205" spans="1:14" ht="12.75">
      <c r="A205" s="65" t="s">
        <v>10</v>
      </c>
      <c r="B205" s="65" t="s">
        <v>10</v>
      </c>
      <c r="C205" s="65" t="s">
        <v>499</v>
      </c>
      <c r="D205" s="65" t="s">
        <v>499</v>
      </c>
      <c r="E205" s="65" t="str">
        <v>Pithapuram-Pithapuram-Gokivada-Gokivada</v>
      </c>
      <c r="F205" s="65"/>
      <c r="G205" s="65"/>
      <c r="H205" s="65"/>
      <c r="I205" s="65"/>
      <c r="J205" s="65"/>
      <c r="K205" s="65"/>
      <c r="L205" s="65"/>
      <c r="M205" s="65"/>
      <c r="N205" s="65"/>
    </row>
    <row r="206" spans="1:14" ht="12.75">
      <c r="A206" s="65" t="s">
        <v>10</v>
      </c>
      <c r="B206" s="65" t="s">
        <v>10</v>
      </c>
      <c r="C206" s="65" t="s">
        <v>501</v>
      </c>
      <c r="D206" s="65" t="s">
        <v>501</v>
      </c>
      <c r="E206" s="65" t="str">
        <v>Pithapuram-Pithapuram-Jagapathirajpuram-Jagapathirajpuram</v>
      </c>
      <c r="F206" s="65"/>
      <c r="G206" s="65"/>
      <c r="H206" s="65"/>
      <c r="I206" s="65"/>
      <c r="J206" s="65"/>
      <c r="K206" s="65"/>
      <c r="L206" s="65"/>
      <c r="M206" s="65"/>
      <c r="N206" s="65"/>
    </row>
    <row r="207" spans="1:14" ht="12.75">
      <c r="A207" s="65" t="s">
        <v>10</v>
      </c>
      <c r="B207" s="65" t="s">
        <v>10</v>
      </c>
      <c r="C207" s="65" t="s">
        <v>502</v>
      </c>
      <c r="D207" s="65" t="s">
        <v>503</v>
      </c>
      <c r="E207" s="65" t="str">
        <v>Pithapuram-Pithapuram-Jalluru-Govindarajupalem</v>
      </c>
      <c r="F207" s="65"/>
      <c r="G207" s="65"/>
      <c r="H207" s="65"/>
      <c r="I207" s="65"/>
      <c r="J207" s="65"/>
      <c r="K207" s="65"/>
      <c r="L207" s="65"/>
      <c r="M207" s="65"/>
      <c r="N207" s="65"/>
    </row>
    <row r="208" spans="1:14" ht="12.75">
      <c r="A208" s="65" t="s">
        <v>10</v>
      </c>
      <c r="B208" s="65" t="s">
        <v>10</v>
      </c>
      <c r="C208" s="65" t="s">
        <v>502</v>
      </c>
      <c r="D208" s="65" t="s">
        <v>502</v>
      </c>
      <c r="E208" s="65" t="str">
        <v>Pithapuram-Pithapuram-Jalluru-Jalluru</v>
      </c>
      <c r="F208" s="65"/>
      <c r="G208" s="65"/>
      <c r="H208" s="65"/>
      <c r="I208" s="65"/>
      <c r="J208" s="65"/>
      <c r="K208" s="65"/>
      <c r="L208" s="65"/>
      <c r="M208" s="65"/>
      <c r="N208" s="65"/>
    </row>
    <row r="209" spans="1:14" ht="12.75">
      <c r="A209" s="65" t="s">
        <v>10</v>
      </c>
      <c r="B209" s="65" t="s">
        <v>10</v>
      </c>
      <c r="C209" s="65" t="s">
        <v>505</v>
      </c>
      <c r="D209" s="65" t="s">
        <v>505</v>
      </c>
      <c r="E209" s="65" t="str">
        <v>Pithapuram-Pithapuram-Jamulapalli-Jamulapalli</v>
      </c>
      <c r="F209" s="65"/>
      <c r="G209" s="65"/>
      <c r="H209" s="65"/>
      <c r="I209" s="65"/>
      <c r="J209" s="65"/>
      <c r="K209" s="65"/>
      <c r="L209" s="65"/>
      <c r="M209" s="65"/>
      <c r="N209" s="65"/>
    </row>
    <row r="210" spans="1:14" ht="12.75">
      <c r="A210" s="65" t="s">
        <v>10</v>
      </c>
      <c r="B210" s="65" t="s">
        <v>10</v>
      </c>
      <c r="C210" s="65" t="s">
        <v>507</v>
      </c>
      <c r="D210" s="65" t="s">
        <v>507</v>
      </c>
      <c r="E210" s="65" t="str">
        <v>Pithapuram-Pithapuram-Kandarada-Kandarada</v>
      </c>
      <c r="F210" s="65"/>
      <c r="G210" s="65"/>
      <c r="H210" s="65"/>
      <c r="I210" s="65"/>
      <c r="J210" s="65"/>
      <c r="K210" s="65"/>
      <c r="L210" s="65"/>
      <c r="M210" s="65"/>
      <c r="N210" s="65"/>
    </row>
    <row r="211" spans="1:14" ht="12.75">
      <c r="A211" s="65" t="s">
        <v>10</v>
      </c>
      <c r="B211" s="65" t="s">
        <v>10</v>
      </c>
      <c r="C211" s="65" t="s">
        <v>507</v>
      </c>
      <c r="D211" s="65" t="s">
        <v>251</v>
      </c>
      <c r="E211" s="65" t="str">
        <v>Pithapuram-Pithapuram-Kandarada-Somavaram</v>
      </c>
      <c r="F211" s="65"/>
      <c r="G211" s="65"/>
      <c r="H211" s="65"/>
      <c r="I211" s="65"/>
      <c r="J211" s="65"/>
      <c r="K211" s="65"/>
      <c r="L211" s="65"/>
      <c r="M211" s="65"/>
      <c r="N211" s="65"/>
    </row>
    <row r="212" spans="1:14" ht="12.75">
      <c r="A212" s="65" t="s">
        <v>10</v>
      </c>
      <c r="B212" s="65" t="s">
        <v>10</v>
      </c>
      <c r="C212" s="65" t="s">
        <v>509</v>
      </c>
      <c r="D212" s="65" t="s">
        <v>509</v>
      </c>
      <c r="E212" s="65" t="str">
        <v>Pithapuram-Pithapuram-Kolanka-Kolanka</v>
      </c>
      <c r="F212" s="65"/>
      <c r="G212" s="65"/>
      <c r="H212" s="65"/>
      <c r="I212" s="65"/>
      <c r="J212" s="65"/>
      <c r="K212" s="65"/>
      <c r="L212" s="65"/>
      <c r="M212" s="65"/>
      <c r="N212" s="65"/>
    </row>
    <row r="213" spans="1:14" ht="12.75">
      <c r="A213" s="65" t="s">
        <v>10</v>
      </c>
      <c r="B213" s="65" t="s">
        <v>10</v>
      </c>
      <c r="C213" s="65" t="s">
        <v>511</v>
      </c>
      <c r="D213" s="65" t="s">
        <v>511</v>
      </c>
      <c r="E213" s="65" t="str">
        <v>Pithapuram-Pithapuram-Kumarapuram-Kumarapuram</v>
      </c>
      <c r="F213" s="65"/>
      <c r="G213" s="65"/>
      <c r="H213" s="65"/>
      <c r="I213" s="65"/>
      <c r="J213" s="65"/>
      <c r="K213" s="65"/>
      <c r="L213" s="65"/>
      <c r="M213" s="65"/>
      <c r="N213" s="65"/>
    </row>
    <row r="214" spans="1:14" ht="12.75">
      <c r="A214" s="65" t="s">
        <v>10</v>
      </c>
      <c r="B214" s="65" t="s">
        <v>10</v>
      </c>
      <c r="C214" s="65" t="s">
        <v>513</v>
      </c>
      <c r="D214" s="65" t="s">
        <v>513</v>
      </c>
      <c r="E214" s="65" t="str">
        <v>Pithapuram-Pithapuram-L N Puram-L N Puram</v>
      </c>
      <c r="F214" s="65"/>
      <c r="G214" s="65"/>
      <c r="H214" s="65"/>
      <c r="I214" s="65"/>
      <c r="J214" s="65"/>
      <c r="K214" s="65"/>
      <c r="L214" s="65"/>
      <c r="M214" s="65"/>
      <c r="N214" s="65"/>
    </row>
    <row r="215" spans="1:14" ht="12.75">
      <c r="A215" s="65" t="s">
        <v>10</v>
      </c>
      <c r="B215" s="65" t="s">
        <v>10</v>
      </c>
      <c r="C215" s="65" t="s">
        <v>515</v>
      </c>
      <c r="D215" s="65" t="s">
        <v>516</v>
      </c>
      <c r="E215" s="65" t="str">
        <v>Pithapuram-Pithapuram-Madhavapuram-Illindrada</v>
      </c>
      <c r="F215" s="65"/>
      <c r="G215" s="65"/>
      <c r="H215" s="65"/>
      <c r="I215" s="65"/>
      <c r="J215" s="65"/>
      <c r="K215" s="65"/>
      <c r="L215" s="65"/>
      <c r="M215" s="65"/>
      <c r="N215" s="65"/>
    </row>
    <row r="216" spans="1:14" ht="12.75">
      <c r="A216" s="65" t="s">
        <v>10</v>
      </c>
      <c r="B216" s="65" t="s">
        <v>10</v>
      </c>
      <c r="C216" s="65" t="s">
        <v>515</v>
      </c>
      <c r="D216" s="65" t="s">
        <v>515</v>
      </c>
      <c r="E216" s="65" t="str">
        <v>Pithapuram-Pithapuram-Madhavapuram-Madhavapuram</v>
      </c>
      <c r="F216" s="65"/>
      <c r="G216" s="65"/>
      <c r="H216" s="65"/>
      <c r="I216" s="65"/>
      <c r="J216" s="65"/>
      <c r="K216" s="65"/>
      <c r="L216" s="65"/>
      <c r="M216" s="65"/>
      <c r="N216" s="65"/>
    </row>
    <row r="217" spans="1:14" ht="12.75">
      <c r="A217" s="65" t="s">
        <v>10</v>
      </c>
      <c r="B217" s="65" t="s">
        <v>10</v>
      </c>
      <c r="C217" s="65" t="s">
        <v>518</v>
      </c>
      <c r="D217" s="65" t="s">
        <v>518</v>
      </c>
      <c r="E217" s="65" t="str">
        <v>Pithapuram-Pithapuram-Mallam-Mallam</v>
      </c>
      <c r="F217" s="65"/>
      <c r="G217" s="65"/>
      <c r="H217" s="65"/>
      <c r="I217" s="65"/>
      <c r="J217" s="65"/>
      <c r="K217" s="65"/>
      <c r="L217" s="65"/>
      <c r="M217" s="65"/>
      <c r="N217" s="65"/>
    </row>
    <row r="218" spans="1:14" ht="12.75">
      <c r="A218" s="65" t="s">
        <v>10</v>
      </c>
      <c r="B218" s="65" t="s">
        <v>10</v>
      </c>
      <c r="C218" s="65" t="s">
        <v>520</v>
      </c>
      <c r="D218" s="65" t="s">
        <v>520</v>
      </c>
      <c r="E218" s="65" t="str">
        <v>Pithapuram-Pithapuram-Mangiturthi-Mangiturthi</v>
      </c>
      <c r="F218" s="65"/>
      <c r="G218" s="65"/>
      <c r="H218" s="65"/>
      <c r="I218" s="65"/>
      <c r="J218" s="65"/>
      <c r="K218" s="65"/>
      <c r="L218" s="65"/>
      <c r="M218" s="65"/>
      <c r="N218" s="65"/>
    </row>
    <row r="219" spans="1:14" ht="12.75">
      <c r="A219" s="65" t="s">
        <v>10</v>
      </c>
      <c r="B219" s="65" t="s">
        <v>10</v>
      </c>
      <c r="C219" s="65" t="s">
        <v>523</v>
      </c>
      <c r="D219" s="65" t="s">
        <v>524</v>
      </c>
      <c r="E219" s="65" t="str">
        <v>Pithapuram-Pithapuram-Narasingapuram-Agraharam (Rural)</v>
      </c>
      <c r="F219" s="65"/>
      <c r="G219" s="65"/>
      <c r="H219" s="65"/>
      <c r="I219" s="65"/>
      <c r="J219" s="65"/>
      <c r="K219" s="65"/>
      <c r="L219" s="65"/>
      <c r="M219" s="65"/>
      <c r="N219" s="65"/>
    </row>
    <row r="220" spans="1:14" ht="12.75">
      <c r="A220" s="65" t="s">
        <v>10</v>
      </c>
      <c r="B220" s="65" t="s">
        <v>10</v>
      </c>
      <c r="C220" s="65" t="s">
        <v>523</v>
      </c>
      <c r="D220" s="65" t="s">
        <v>523</v>
      </c>
      <c r="E220" s="65" t="str">
        <v>Pithapuram-Pithapuram-Narasingapuram-Narasingapuram</v>
      </c>
      <c r="F220" s="65"/>
      <c r="G220" s="65"/>
      <c r="H220" s="65"/>
      <c r="I220" s="65"/>
      <c r="J220" s="65"/>
      <c r="K220" s="65"/>
      <c r="L220" s="65"/>
      <c r="M220" s="65"/>
      <c r="N220" s="65"/>
    </row>
    <row r="221" spans="1:14" ht="12.75">
      <c r="A221" s="65" t="s">
        <v>10</v>
      </c>
      <c r="B221" s="65" t="s">
        <v>10</v>
      </c>
      <c r="C221" s="65" t="s">
        <v>526</v>
      </c>
      <c r="D221" s="65" t="s">
        <v>526</v>
      </c>
      <c r="E221" s="65" t="str">
        <v>Pithapuram-Pithapuram-Navakandravada-Navakandravada</v>
      </c>
      <c r="F221" s="65"/>
      <c r="G221" s="65"/>
      <c r="H221" s="65"/>
      <c r="I221" s="65"/>
      <c r="J221" s="65"/>
      <c r="K221" s="65"/>
      <c r="L221" s="65"/>
      <c r="M221" s="65"/>
      <c r="N221" s="65"/>
    </row>
    <row r="222" spans="1:14" ht="12.75">
      <c r="A222" s="65" t="s">
        <v>10</v>
      </c>
      <c r="B222" s="65" t="s">
        <v>10</v>
      </c>
      <c r="C222" s="65" t="s">
        <v>528</v>
      </c>
      <c r="D222" s="65" t="s">
        <v>528</v>
      </c>
      <c r="E222" s="65" t="str">
        <v>Pithapuram-Pithapuram-P Donthamuru-P Donthamuru</v>
      </c>
      <c r="F222" s="65"/>
      <c r="G222" s="65"/>
      <c r="H222" s="65"/>
      <c r="I222" s="65"/>
      <c r="J222" s="65"/>
      <c r="K222" s="65"/>
      <c r="L222" s="65"/>
      <c r="M222" s="65"/>
      <c r="N222" s="65"/>
    </row>
    <row r="223" spans="1:14" ht="12.75">
      <c r="A223" s="65" t="s">
        <v>10</v>
      </c>
      <c r="B223" s="65" t="s">
        <v>10</v>
      </c>
      <c r="C223" s="65" t="s">
        <v>530</v>
      </c>
      <c r="D223" s="65" t="s">
        <v>530</v>
      </c>
      <c r="E223" s="65" t="str">
        <v>Pithapuram-Pithapuram-P Rayavaram-P Rayavaram</v>
      </c>
      <c r="F223" s="65"/>
      <c r="G223" s="65"/>
      <c r="H223" s="65"/>
      <c r="I223" s="65"/>
      <c r="J223" s="65"/>
      <c r="K223" s="65"/>
      <c r="L223" s="65"/>
      <c r="M223" s="65"/>
      <c r="N223" s="65"/>
    </row>
    <row r="224" spans="1:14" ht="12.75">
      <c r="A224" s="65" t="s">
        <v>10</v>
      </c>
      <c r="B224" s="65" t="s">
        <v>10</v>
      </c>
      <c r="C224" s="65" t="s">
        <v>532</v>
      </c>
      <c r="D224" s="65" t="s">
        <v>532</v>
      </c>
      <c r="E224" s="65" t="str">
        <v>Pithapuram-Pithapuram-P Thimmapuram-P Thimmapuram</v>
      </c>
      <c r="F224" s="65"/>
      <c r="G224" s="65"/>
      <c r="H224" s="65"/>
      <c r="I224" s="65"/>
      <c r="J224" s="65"/>
      <c r="K224" s="65"/>
      <c r="L224" s="65"/>
      <c r="M224" s="65"/>
      <c r="N224" s="65"/>
    </row>
    <row r="225" spans="1:14" ht="12.75">
      <c r="A225" s="65" t="s">
        <v>10</v>
      </c>
      <c r="B225" s="65" t="s">
        <v>10</v>
      </c>
      <c r="C225" s="65" t="s">
        <v>534</v>
      </c>
      <c r="D225" s="65" t="s">
        <v>534</v>
      </c>
      <c r="E225" s="65" t="str">
        <v>Pithapuram-Pithapuram-Raparthi-Raparthi</v>
      </c>
      <c r="F225" s="65"/>
      <c r="G225" s="65"/>
      <c r="H225" s="65"/>
      <c r="I225" s="65"/>
      <c r="J225" s="65"/>
      <c r="K225" s="65"/>
      <c r="L225" s="65"/>
      <c r="M225" s="65"/>
      <c r="N225" s="65"/>
    </row>
    <row r="226" spans="1:14" ht="12.75">
      <c r="A226" s="65" t="s">
        <v>10</v>
      </c>
      <c r="B226" s="65" t="s">
        <v>10</v>
      </c>
      <c r="C226" s="65" t="s">
        <v>536</v>
      </c>
      <c r="D226" s="65" t="s">
        <v>536</v>
      </c>
      <c r="E226" s="65" t="str">
        <v>Pithapuram-Pithapuram-Veldurthi-Veldurthi</v>
      </c>
      <c r="F226" s="65"/>
      <c r="G226" s="65"/>
      <c r="H226" s="65"/>
      <c r="I226" s="65"/>
      <c r="J226" s="65"/>
      <c r="K226" s="65"/>
      <c r="L226" s="65"/>
      <c r="M226" s="65"/>
      <c r="N226" s="65"/>
    </row>
    <row r="227" spans="1:14" ht="12.75">
      <c r="A227" s="65" t="s">
        <v>10</v>
      </c>
      <c r="B227" s="65" t="s">
        <v>10</v>
      </c>
      <c r="C227" s="65" t="s">
        <v>538</v>
      </c>
      <c r="D227" s="65" t="s">
        <v>538</v>
      </c>
      <c r="E227" s="65" t="str">
        <v>Pithapuram-Pithapuram-Virava-Virava</v>
      </c>
      <c r="F227" s="65"/>
      <c r="G227" s="65"/>
      <c r="H227" s="65"/>
      <c r="I227" s="65"/>
      <c r="J227" s="65"/>
      <c r="K227" s="65"/>
      <c r="L227" s="65"/>
      <c r="M227" s="65"/>
      <c r="N227" s="65"/>
    </row>
    <row r="228" spans="1:14" ht="12.75">
      <c r="A228" s="65" t="s">
        <v>10</v>
      </c>
      <c r="B228" s="65" t="s">
        <v>10</v>
      </c>
      <c r="C228" s="65" t="s">
        <v>540</v>
      </c>
      <c r="D228" s="65" t="s">
        <v>540</v>
      </c>
      <c r="E228" s="65" t="str">
        <v>Pithapuram-Pithapuram-Virawada-Virawada</v>
      </c>
      <c r="F228" s="65"/>
      <c r="G228" s="65"/>
      <c r="H228" s="65"/>
      <c r="I228" s="65"/>
      <c r="J228" s="65"/>
      <c r="K228" s="65"/>
      <c r="L228" s="65"/>
      <c r="M228" s="65"/>
      <c r="N228" s="65"/>
    </row>
    <row r="229" spans="1:14" ht="12.75">
      <c r="A229" s="65" t="s">
        <v>8</v>
      </c>
      <c r="B229" s="65" t="s">
        <v>8</v>
      </c>
      <c r="C229" s="65" t="s">
        <v>542</v>
      </c>
      <c r="D229" s="65" t="s">
        <v>542</v>
      </c>
      <c r="E229" s="65" t="str">
        <v>Prathipadu-Prathipadu-Bavuruvaka-Bavuruvaka</v>
      </c>
      <c r="F229" s="65"/>
      <c r="G229" s="65"/>
      <c r="H229" s="65"/>
      <c r="I229" s="65"/>
      <c r="J229" s="65"/>
      <c r="K229" s="65"/>
      <c r="L229" s="65"/>
      <c r="M229" s="65"/>
      <c r="N229" s="65"/>
    </row>
    <row r="230" spans="1:14" ht="12.75">
      <c r="A230" s="65" t="s">
        <v>8</v>
      </c>
      <c r="B230" s="65" t="s">
        <v>8</v>
      </c>
      <c r="C230" s="65" t="s">
        <v>9</v>
      </c>
      <c r="D230" s="65" t="s">
        <v>9</v>
      </c>
      <c r="E230" s="65" t="str">
        <v>Prathipadu-Prathipadu-Buradakota-Buradakota</v>
      </c>
      <c r="F230" s="65"/>
      <c r="G230" s="65"/>
      <c r="H230" s="65"/>
      <c r="I230" s="65"/>
      <c r="J230" s="65"/>
      <c r="K230" s="65"/>
      <c r="L230" s="65"/>
      <c r="M230" s="65"/>
      <c r="N230" s="65"/>
    </row>
    <row r="231" spans="1:14" ht="12.75">
      <c r="A231" s="65" t="s">
        <v>8</v>
      </c>
      <c r="B231" s="65" t="s">
        <v>8</v>
      </c>
      <c r="C231" s="65" t="s">
        <v>546</v>
      </c>
      <c r="D231" s="65" t="s">
        <v>546</v>
      </c>
      <c r="E231" s="65" t="str">
        <v>Prathipadu-Prathipadu-Chinasankarlapudi-Chinasankarlapudi</v>
      </c>
      <c r="F231" s="65"/>
      <c r="G231" s="65"/>
      <c r="H231" s="65"/>
      <c r="I231" s="65"/>
      <c r="J231" s="65"/>
      <c r="K231" s="65"/>
      <c r="L231" s="65"/>
      <c r="M231" s="65"/>
      <c r="N231" s="65"/>
    </row>
    <row r="232" spans="1:14" ht="12.75">
      <c r="A232" s="65" t="s">
        <v>8</v>
      </c>
      <c r="B232" s="65" t="s">
        <v>8</v>
      </c>
      <c r="C232" s="65" t="s">
        <v>548</v>
      </c>
      <c r="D232" s="65" t="s">
        <v>548</v>
      </c>
      <c r="E232" s="65" t="str">
        <v>Prathipadu-Prathipadu-Chintaluru-Chintaluru</v>
      </c>
      <c r="F232" s="65"/>
      <c r="G232" s="65"/>
      <c r="H232" s="65"/>
      <c r="I232" s="65"/>
      <c r="J232" s="65"/>
      <c r="K232" s="65"/>
      <c r="L232" s="65"/>
      <c r="M232" s="65"/>
      <c r="N232" s="65"/>
    </row>
    <row r="233" spans="1:14" ht="12.75">
      <c r="A233" s="65" t="s">
        <v>8</v>
      </c>
      <c r="B233" s="65" t="s">
        <v>8</v>
      </c>
      <c r="C233" s="65" t="s">
        <v>550</v>
      </c>
      <c r="D233" s="65" t="s">
        <v>550</v>
      </c>
      <c r="E233" s="65" t="str">
        <v>Prathipadu-Prathipadu-Dharmavaram-Dharmavaram</v>
      </c>
      <c r="F233" s="65"/>
      <c r="G233" s="65"/>
      <c r="H233" s="65"/>
      <c r="I233" s="65"/>
      <c r="J233" s="65"/>
      <c r="K233" s="65"/>
      <c r="L233" s="65"/>
      <c r="M233" s="65"/>
      <c r="N233" s="65"/>
    </row>
    <row r="234" spans="1:14" ht="12.75">
      <c r="A234" s="65" t="s">
        <v>8</v>
      </c>
      <c r="B234" s="65" t="s">
        <v>8</v>
      </c>
      <c r="C234" s="65" t="s">
        <v>552</v>
      </c>
      <c r="D234" s="65" t="s">
        <v>552</v>
      </c>
      <c r="E234" s="65" t="str">
        <v>Prathipadu-Prathipadu-Gajjanapudi-Gajjanapudi</v>
      </c>
      <c r="F234" s="65"/>
      <c r="G234" s="65"/>
      <c r="H234" s="65"/>
      <c r="I234" s="65"/>
      <c r="J234" s="65"/>
      <c r="K234" s="65"/>
      <c r="L234" s="65"/>
      <c r="M234" s="65"/>
      <c r="N234" s="65"/>
    </row>
    <row r="235" spans="1:14" ht="12.75">
      <c r="A235" s="65" t="s">
        <v>8</v>
      </c>
      <c r="B235" s="65" t="s">
        <v>8</v>
      </c>
      <c r="C235" s="65" t="s">
        <v>552</v>
      </c>
      <c r="D235" s="65" t="s">
        <v>554</v>
      </c>
      <c r="E235" s="65" t="str">
        <v>Prathipadu-Prathipadu-Gajjanapudi-Kothuru</v>
      </c>
      <c r="F235" s="65"/>
      <c r="G235" s="65"/>
      <c r="H235" s="65"/>
      <c r="I235" s="65"/>
      <c r="J235" s="65"/>
      <c r="K235" s="65"/>
      <c r="L235" s="65"/>
      <c r="M235" s="65"/>
      <c r="N235" s="65"/>
    </row>
    <row r="236" spans="1:14" ht="12.75">
      <c r="A236" s="65" t="s">
        <v>8</v>
      </c>
      <c r="B236" s="65" t="s">
        <v>8</v>
      </c>
      <c r="C236" s="65" t="s">
        <v>147</v>
      </c>
      <c r="D236" s="65" t="s">
        <v>147</v>
      </c>
      <c r="E236" s="65" t="str">
        <v>Prathipadu-Prathipadu-Gokavaram-Gokavaram</v>
      </c>
      <c r="F236" s="65"/>
      <c r="G236" s="65"/>
      <c r="H236" s="65"/>
      <c r="I236" s="65"/>
      <c r="J236" s="65"/>
      <c r="K236" s="65"/>
      <c r="L236" s="65"/>
      <c r="M236" s="65"/>
      <c r="N236" s="65"/>
    </row>
    <row r="237" spans="1:14" ht="12.75">
      <c r="A237" s="65" t="s">
        <v>8</v>
      </c>
      <c r="B237" s="65" t="s">
        <v>8</v>
      </c>
      <c r="C237" s="65" t="s">
        <v>147</v>
      </c>
      <c r="D237" s="65" t="s">
        <v>556</v>
      </c>
      <c r="E237" s="65" t="str">
        <v>Prathipadu-Prathipadu-Gokavaram-Vemulapalem</v>
      </c>
      <c r="F237" s="65"/>
      <c r="G237" s="65"/>
      <c r="H237" s="65"/>
      <c r="I237" s="65"/>
      <c r="J237" s="65"/>
      <c r="K237" s="65"/>
      <c r="L237" s="65"/>
      <c r="M237" s="65"/>
      <c r="N237" s="65"/>
    </row>
    <row r="238" spans="1:14" ht="12.75">
      <c r="A238" s="65" t="s">
        <v>8</v>
      </c>
      <c r="B238" s="65" t="s">
        <v>8</v>
      </c>
      <c r="C238" s="65" t="s">
        <v>557</v>
      </c>
      <c r="D238" s="65" t="s">
        <v>557</v>
      </c>
      <c r="E238" s="65" t="str">
        <v>Prathipadu-Prathipadu-Lampakalova-Lampakalova</v>
      </c>
      <c r="F238" s="65"/>
      <c r="G238" s="65"/>
      <c r="H238" s="65"/>
      <c r="I238" s="65"/>
      <c r="J238" s="65"/>
      <c r="K238" s="65"/>
      <c r="L238" s="65"/>
      <c r="M238" s="65"/>
      <c r="N238" s="65"/>
    </row>
    <row r="239" spans="1:14" ht="12.75">
      <c r="A239" s="65" t="s">
        <v>8</v>
      </c>
      <c r="B239" s="65" t="s">
        <v>8</v>
      </c>
      <c r="C239" s="65" t="s">
        <v>559</v>
      </c>
      <c r="D239" s="65" t="s">
        <v>559</v>
      </c>
      <c r="E239" s="65" t="str">
        <v>Prathipadu-Prathipadu-Pandavulapalem-Pandavulapalem</v>
      </c>
      <c r="F239" s="65"/>
      <c r="G239" s="65"/>
      <c r="H239" s="65"/>
      <c r="I239" s="65"/>
      <c r="J239" s="65"/>
      <c r="K239" s="65"/>
      <c r="L239" s="65"/>
      <c r="M239" s="65"/>
      <c r="N239" s="65"/>
    </row>
    <row r="240" spans="1:14" ht="12.75">
      <c r="A240" s="65" t="s">
        <v>8</v>
      </c>
      <c r="B240" s="65" t="s">
        <v>8</v>
      </c>
      <c r="C240" s="65" t="s">
        <v>560</v>
      </c>
      <c r="D240" s="65" t="s">
        <v>560</v>
      </c>
      <c r="E240" s="65" t="str">
        <v>Prathipadu-Prathipadu-Peda Sankarlapudi-Peda Sankarlapudi</v>
      </c>
      <c r="F240" s="65"/>
      <c r="G240" s="65"/>
      <c r="H240" s="65"/>
      <c r="I240" s="65"/>
      <c r="J240" s="65"/>
      <c r="K240" s="65"/>
      <c r="L240" s="65"/>
      <c r="M240" s="65"/>
      <c r="N240" s="65"/>
    </row>
    <row r="241" spans="1:14" ht="12.75">
      <c r="A241" s="65" t="s">
        <v>8</v>
      </c>
      <c r="B241" s="65" t="s">
        <v>8</v>
      </c>
      <c r="C241" s="65" t="s">
        <v>562</v>
      </c>
      <c r="D241" s="65" t="s">
        <v>562</v>
      </c>
      <c r="E241" s="65" t="str">
        <v>Prathipadu-Prathipadu-Peddipalem-Peddipalem</v>
      </c>
      <c r="F241" s="65"/>
      <c r="G241" s="65"/>
      <c r="H241" s="65"/>
      <c r="I241" s="65"/>
      <c r="J241" s="65"/>
      <c r="K241" s="65"/>
      <c r="L241" s="65"/>
      <c r="M241" s="65"/>
      <c r="N241" s="65"/>
    </row>
    <row r="242" spans="1:14" ht="12.75">
      <c r="A242" s="65" t="s">
        <v>8</v>
      </c>
      <c r="B242" s="65" t="s">
        <v>8</v>
      </c>
      <c r="C242" s="65" t="s">
        <v>564</v>
      </c>
      <c r="D242" s="65" t="s">
        <v>564</v>
      </c>
      <c r="E242" s="65" t="str">
        <v>Prathipadu-Prathipadu-Pothuluru-Pothuluru</v>
      </c>
      <c r="F242" s="65"/>
      <c r="G242" s="65"/>
      <c r="H242" s="65"/>
      <c r="I242" s="65"/>
      <c r="J242" s="65"/>
      <c r="K242" s="65"/>
      <c r="L242" s="65"/>
      <c r="M242" s="65"/>
      <c r="N242" s="65"/>
    </row>
    <row r="243" spans="1:14" ht="12.75">
      <c r="A243" s="65" t="s">
        <v>8</v>
      </c>
      <c r="B243" s="65" t="s">
        <v>8</v>
      </c>
      <c r="C243" s="65" t="s">
        <v>8</v>
      </c>
      <c r="D243" s="65" t="s">
        <v>8</v>
      </c>
      <c r="E243" s="65" t="str">
        <v>Prathipadu-Prathipadu-Prathipadu-Prathipadu</v>
      </c>
      <c r="F243" s="65"/>
      <c r="G243" s="65"/>
      <c r="H243" s="65"/>
      <c r="I243" s="65"/>
      <c r="J243" s="65"/>
      <c r="K243" s="65"/>
      <c r="L243" s="65"/>
      <c r="M243" s="65"/>
      <c r="N243" s="65"/>
    </row>
    <row r="244" spans="1:14" ht="12.75">
      <c r="A244" s="65" t="s">
        <v>8</v>
      </c>
      <c r="B244" s="65" t="s">
        <v>8</v>
      </c>
      <c r="C244" s="65" t="s">
        <v>567</v>
      </c>
      <c r="D244" s="65" t="s">
        <v>567</v>
      </c>
      <c r="E244" s="65" t="str">
        <v>Prathipadu-Prathipadu-Rachapalle-Rachapalle</v>
      </c>
      <c r="F244" s="65"/>
      <c r="G244" s="65"/>
      <c r="H244" s="65"/>
      <c r="I244" s="65"/>
      <c r="J244" s="65"/>
      <c r="K244" s="65"/>
      <c r="L244" s="65"/>
      <c r="M244" s="65"/>
      <c r="N244" s="65"/>
    </row>
    <row r="245" spans="1:14" ht="12.75">
      <c r="A245" s="65" t="s">
        <v>8</v>
      </c>
      <c r="B245" s="65" t="s">
        <v>8</v>
      </c>
      <c r="C245" s="65" t="s">
        <v>569</v>
      </c>
      <c r="D245" s="65" t="s">
        <v>569</v>
      </c>
      <c r="E245" s="65" t="str">
        <v>Prathipadu-Prathipadu-Rowthulapalem-Rowthulapalem</v>
      </c>
      <c r="F245" s="65"/>
      <c r="G245" s="65"/>
      <c r="H245" s="65"/>
      <c r="I245" s="65"/>
      <c r="J245" s="65"/>
      <c r="K245" s="65"/>
      <c r="L245" s="65"/>
      <c r="M245" s="65"/>
      <c r="N245" s="65"/>
    </row>
    <row r="246" spans="1:14" ht="12.75">
      <c r="A246" s="65" t="s">
        <v>8</v>
      </c>
      <c r="B246" s="65" t="s">
        <v>8</v>
      </c>
      <c r="C246" s="65" t="s">
        <v>570</v>
      </c>
      <c r="D246" s="65" t="s">
        <v>570</v>
      </c>
      <c r="E246" s="65" t="str">
        <v>Prathipadu-Prathipadu-Sarabhavaram-Sarabhavaram</v>
      </c>
      <c r="F246" s="65"/>
      <c r="G246" s="65"/>
      <c r="H246" s="65"/>
      <c r="I246" s="65"/>
      <c r="J246" s="65"/>
      <c r="K246" s="65"/>
      <c r="L246" s="65"/>
      <c r="M246" s="65"/>
      <c r="N246" s="65"/>
    </row>
    <row r="247" spans="1:14" ht="12.75">
      <c r="A247" s="65" t="s">
        <v>8</v>
      </c>
      <c r="B247" s="65" t="s">
        <v>8</v>
      </c>
      <c r="C247" s="65" t="s">
        <v>572</v>
      </c>
      <c r="D247" s="65" t="s">
        <v>572</v>
      </c>
      <c r="E247" s="65" t="str">
        <v>Prathipadu-Prathipadu-T Rayavaram-T Rayavaram</v>
      </c>
      <c r="F247" s="65"/>
      <c r="G247" s="65"/>
      <c r="H247" s="65"/>
      <c r="I247" s="65"/>
      <c r="J247" s="65"/>
      <c r="K247" s="65"/>
      <c r="L247" s="65"/>
      <c r="M247" s="65"/>
      <c r="N247" s="65"/>
    </row>
    <row r="248" spans="1:14" ht="12.75">
      <c r="A248" s="65" t="s">
        <v>8</v>
      </c>
      <c r="B248" s="65" t="s">
        <v>8</v>
      </c>
      <c r="C248" s="65" t="s">
        <v>573</v>
      </c>
      <c r="D248" s="65" t="s">
        <v>573</v>
      </c>
      <c r="E248" s="65" t="str">
        <v>Prathipadu-Prathipadu-U.Jagannadhapuram-U.Jagannadhapuram</v>
      </c>
      <c r="F248" s="65"/>
      <c r="G248" s="65"/>
      <c r="H248" s="65"/>
      <c r="I248" s="65"/>
      <c r="J248" s="65"/>
      <c r="K248" s="65"/>
      <c r="L248" s="65"/>
      <c r="M248" s="65"/>
      <c r="N248" s="65"/>
    </row>
    <row r="249" spans="1:14" ht="12.75">
      <c r="A249" s="65" t="s">
        <v>8</v>
      </c>
      <c r="B249" s="65" t="s">
        <v>8</v>
      </c>
      <c r="C249" s="65" t="s">
        <v>575</v>
      </c>
      <c r="D249" s="65" t="s">
        <v>575</v>
      </c>
      <c r="E249" s="65" t="str">
        <v>Prathipadu-Prathipadu-Uttarakanchi-Uttarakanchi</v>
      </c>
      <c r="F249" s="65"/>
      <c r="G249" s="65"/>
      <c r="H249" s="65"/>
      <c r="I249" s="65"/>
      <c r="J249" s="65"/>
      <c r="K249" s="65"/>
      <c r="L249" s="65"/>
      <c r="M249" s="65"/>
      <c r="N249" s="65"/>
    </row>
    <row r="250" spans="1:14" ht="12.75">
      <c r="A250" s="65" t="s">
        <v>8</v>
      </c>
      <c r="B250" s="65" t="s">
        <v>8</v>
      </c>
      <c r="C250" s="65" t="s">
        <v>577</v>
      </c>
      <c r="D250" s="65" t="s">
        <v>577</v>
      </c>
      <c r="E250" s="65" t="str">
        <v>Prathipadu-Prathipadu-Vakapalle-Vakapalle</v>
      </c>
      <c r="F250" s="65"/>
      <c r="G250" s="65"/>
      <c r="H250" s="65"/>
      <c r="I250" s="65"/>
      <c r="J250" s="65"/>
      <c r="K250" s="65"/>
      <c r="L250" s="65"/>
      <c r="M250" s="65"/>
      <c r="N250" s="65"/>
    </row>
    <row r="251" spans="1:14" ht="12.75">
      <c r="A251" s="65" t="s">
        <v>8</v>
      </c>
      <c r="B251" s="65" t="s">
        <v>8</v>
      </c>
      <c r="C251" s="65" t="s">
        <v>579</v>
      </c>
      <c r="D251" s="65" t="s">
        <v>579</v>
      </c>
      <c r="E251" s="65" t="str">
        <v>Prathipadu-Prathipadu-Venkatanagaram-Venkatanagaram</v>
      </c>
      <c r="F251" s="65"/>
      <c r="G251" s="65"/>
      <c r="H251" s="65"/>
      <c r="I251" s="65"/>
      <c r="J251" s="65"/>
      <c r="K251" s="65"/>
      <c r="L251" s="65"/>
      <c r="M251" s="65"/>
      <c r="N251" s="65"/>
    </row>
    <row r="252" spans="1:14" ht="12.75">
      <c r="A252" s="65" t="s">
        <v>8</v>
      </c>
      <c r="B252" s="65" t="s">
        <v>8</v>
      </c>
      <c r="C252" s="65" t="s">
        <v>581</v>
      </c>
      <c r="D252" s="65" t="s">
        <v>581</v>
      </c>
      <c r="E252" s="65" t="str">
        <v>Prathipadu-Prathipadu-Vommangi-Vommangi</v>
      </c>
      <c r="F252" s="65"/>
      <c r="G252" s="65"/>
      <c r="H252" s="65"/>
      <c r="I252" s="65"/>
      <c r="J252" s="65"/>
      <c r="K252" s="65"/>
      <c r="L252" s="65"/>
      <c r="M252" s="65"/>
      <c r="N252" s="65"/>
    </row>
    <row r="253" spans="1:14" ht="12.75">
      <c r="A253" s="65" t="s">
        <v>8</v>
      </c>
      <c r="B253" s="65" t="s">
        <v>8</v>
      </c>
      <c r="C253" s="65" t="s">
        <v>583</v>
      </c>
      <c r="D253" s="65" t="s">
        <v>584</v>
      </c>
      <c r="E253" s="65" t="str">
        <v>Prathipadu-Prathipadu-Yeluru-P. Jagannadhapuram</v>
      </c>
      <c r="F253" s="65"/>
      <c r="G253" s="65"/>
      <c r="H253" s="65"/>
      <c r="I253" s="65"/>
      <c r="J253" s="65"/>
      <c r="K253" s="65"/>
      <c r="L253" s="65"/>
      <c r="M253" s="65"/>
      <c r="N253" s="65"/>
    </row>
    <row r="254" spans="1:14" ht="12.75">
      <c r="A254" s="65" t="s">
        <v>8</v>
      </c>
      <c r="B254" s="65" t="s">
        <v>8</v>
      </c>
      <c r="C254" s="65" t="s">
        <v>583</v>
      </c>
      <c r="D254" s="65" t="s">
        <v>583</v>
      </c>
      <c r="E254" s="65" t="str">
        <v>Prathipadu-Prathipadu-Yeluru-Yeluru</v>
      </c>
      <c r="F254" s="65"/>
      <c r="G254" s="65"/>
      <c r="H254" s="65"/>
      <c r="I254" s="65"/>
      <c r="J254" s="65"/>
      <c r="K254" s="65"/>
      <c r="L254" s="65"/>
      <c r="M254" s="65"/>
      <c r="N254" s="65"/>
    </row>
    <row r="255" spans="1:14" ht="12.75">
      <c r="A255" s="65" t="s">
        <v>8</v>
      </c>
      <c r="B255" s="65" t="s">
        <v>587</v>
      </c>
      <c r="C255" s="65" t="s">
        <v>588</v>
      </c>
      <c r="D255" s="65" t="s">
        <v>588</v>
      </c>
      <c r="E255" s="65" t="str">
        <v>Prathipadu-Rowthulapudi-A.Mallavaram-A.Mallavaram</v>
      </c>
      <c r="F255" s="65"/>
      <c r="G255" s="65"/>
      <c r="H255" s="65"/>
      <c r="I255" s="65"/>
      <c r="J255" s="65"/>
      <c r="K255" s="65"/>
      <c r="L255" s="65"/>
      <c r="M255" s="65"/>
      <c r="N255" s="65"/>
    </row>
    <row r="256" spans="1:14" ht="12.75">
      <c r="A256" s="65" t="s">
        <v>8</v>
      </c>
      <c r="B256" s="65" t="s">
        <v>587</v>
      </c>
      <c r="C256" s="65" t="s">
        <v>590</v>
      </c>
      <c r="D256" s="65" t="s">
        <v>590</v>
      </c>
      <c r="E256" s="65" t="str">
        <v>Prathipadu-Rowthulapudi-Bapa Bhupalapatnam-Bapa Bhupalapatnam</v>
      </c>
      <c r="F256" s="65"/>
      <c r="G256" s="65"/>
      <c r="H256" s="65"/>
      <c r="I256" s="65"/>
      <c r="J256" s="65"/>
      <c r="K256" s="65"/>
      <c r="L256" s="65"/>
      <c r="M256" s="65"/>
      <c r="N256" s="65"/>
    </row>
    <row r="257" spans="1:14" ht="12.75">
      <c r="A257" s="65" t="s">
        <v>8</v>
      </c>
      <c r="B257" s="65" t="s">
        <v>587</v>
      </c>
      <c r="C257" s="65" t="s">
        <v>588</v>
      </c>
      <c r="D257" s="65" t="s">
        <v>591</v>
      </c>
      <c r="E257" s="65" t="str">
        <v>Prathipadu-Rowthulapudi-A.Mallavaram-Kondapalem</v>
      </c>
      <c r="F257" s="65"/>
      <c r="G257" s="65"/>
      <c r="H257" s="65"/>
      <c r="I257" s="65"/>
      <c r="J257" s="65"/>
      <c r="K257" s="65"/>
      <c r="L257" s="65"/>
      <c r="M257" s="65"/>
      <c r="N257" s="65"/>
    </row>
    <row r="258" spans="1:14" ht="12.75">
      <c r="A258" s="65" t="s">
        <v>8</v>
      </c>
      <c r="B258" s="65" t="s">
        <v>587</v>
      </c>
      <c r="C258" s="65" t="s">
        <v>592</v>
      </c>
      <c r="D258" s="65" t="s">
        <v>592</v>
      </c>
      <c r="E258" s="65" t="str">
        <v>Prathipadu-Rowthulapudi-Balarmpuram-Balarmpuram</v>
      </c>
      <c r="F258" s="65"/>
      <c r="G258" s="65"/>
      <c r="H258" s="65"/>
      <c r="I258" s="65"/>
      <c r="J258" s="65"/>
      <c r="K258" s="65"/>
      <c r="L258" s="65"/>
      <c r="M258" s="65"/>
      <c r="N258" s="65"/>
    </row>
    <row r="259" spans="1:14" ht="12.75">
      <c r="A259" s="65" t="s">
        <v>8</v>
      </c>
      <c r="B259" s="65" t="s">
        <v>587</v>
      </c>
      <c r="C259" s="65" t="s">
        <v>596</v>
      </c>
      <c r="D259" s="65" t="s">
        <v>596</v>
      </c>
      <c r="E259" s="65" t="str">
        <v>Prathipadu-Rowthulapudi-Bangarayyapeta-Bangarayyapeta</v>
      </c>
      <c r="F259" s="65"/>
      <c r="G259" s="65"/>
      <c r="H259" s="65"/>
      <c r="I259" s="65"/>
      <c r="J259" s="65"/>
      <c r="K259" s="65"/>
      <c r="L259" s="65"/>
      <c r="M259" s="65"/>
      <c r="N259" s="65"/>
    </row>
    <row r="260" spans="1:14" ht="12.75">
      <c r="A260" s="65" t="s">
        <v>8</v>
      </c>
      <c r="B260" s="65" t="s">
        <v>587</v>
      </c>
      <c r="C260" s="65" t="s">
        <v>597</v>
      </c>
      <c r="D260" s="65" t="s">
        <v>597</v>
      </c>
      <c r="E260" s="65" t="str">
        <v>Prathipadu-Rowthulapudi-Dhara Jagannadhapuram-Dhara Jagannadhapuram</v>
      </c>
      <c r="F260" s="65"/>
      <c r="G260" s="65"/>
      <c r="H260" s="65"/>
      <c r="I260" s="65"/>
      <c r="J260" s="65"/>
      <c r="K260" s="65"/>
      <c r="L260" s="65"/>
      <c r="M260" s="65"/>
      <c r="N260" s="65"/>
    </row>
    <row r="261" spans="1:14" ht="12.75">
      <c r="A261" s="65" t="s">
        <v>8</v>
      </c>
      <c r="B261" s="65" t="s">
        <v>587</v>
      </c>
      <c r="C261" s="65" t="s">
        <v>598</v>
      </c>
      <c r="D261" s="65" t="s">
        <v>598</v>
      </c>
      <c r="E261" s="65" t="str">
        <v>Prathipadu-Rowthulapudi-Diguva Sivada-Diguva Sivada</v>
      </c>
      <c r="F261" s="65"/>
      <c r="G261" s="65"/>
      <c r="H261" s="65"/>
      <c r="I261" s="65"/>
      <c r="J261" s="65"/>
      <c r="K261" s="65"/>
      <c r="L261" s="65"/>
      <c r="M261" s="65"/>
      <c r="N261" s="65"/>
    </row>
    <row r="262" spans="1:14" ht="12.75">
      <c r="A262" s="65" t="s">
        <v>8</v>
      </c>
      <c r="B262" s="65" t="s">
        <v>587</v>
      </c>
      <c r="C262" s="65" t="s">
        <v>599</v>
      </c>
      <c r="D262" s="65" t="s">
        <v>599</v>
      </c>
      <c r="E262" s="65" t="str">
        <v>Prathipadu-Rowthulapudi-Gangavaram-Gangavaram</v>
      </c>
      <c r="F262" s="65"/>
      <c r="G262" s="65"/>
      <c r="H262" s="65"/>
      <c r="I262" s="65"/>
      <c r="J262" s="65"/>
      <c r="K262" s="65"/>
      <c r="L262" s="65"/>
      <c r="M262" s="65"/>
      <c r="N262" s="65"/>
    </row>
    <row r="263" spans="1:14" ht="12.75">
      <c r="A263" s="65" t="s">
        <v>8</v>
      </c>
      <c r="B263" s="65" t="s">
        <v>587</v>
      </c>
      <c r="C263" s="65" t="s">
        <v>602</v>
      </c>
      <c r="D263" s="65" t="s">
        <v>602</v>
      </c>
      <c r="E263" s="65" t="str">
        <v>Prathipadu-Rowthulapudi-Gidajam-Gidajam</v>
      </c>
      <c r="F263" s="65"/>
      <c r="G263" s="65"/>
      <c r="H263" s="65"/>
      <c r="I263" s="65"/>
      <c r="J263" s="65"/>
      <c r="K263" s="65"/>
      <c r="L263" s="65"/>
      <c r="M263" s="65"/>
      <c r="N263" s="65"/>
    </row>
    <row r="264" spans="1:14" ht="12.75">
      <c r="A264" s="65" t="s">
        <v>8</v>
      </c>
      <c r="B264" s="65" t="s">
        <v>587</v>
      </c>
      <c r="C264" s="65" t="s">
        <v>604</v>
      </c>
      <c r="D264" s="65" t="s">
        <v>604</v>
      </c>
      <c r="E264" s="65" t="str">
        <v>Prathipadu-Rowthulapudi-Gummaregula-Gummaregula</v>
      </c>
      <c r="F264" s="65"/>
      <c r="G264" s="65"/>
      <c r="H264" s="65"/>
      <c r="I264" s="65"/>
      <c r="J264" s="65"/>
      <c r="K264" s="65"/>
      <c r="L264" s="65"/>
      <c r="M264" s="65"/>
      <c r="N264" s="65"/>
    </row>
    <row r="265" spans="1:14" ht="12.75">
      <c r="A265" s="65" t="s">
        <v>8</v>
      </c>
      <c r="B265" s="65" t="s">
        <v>587</v>
      </c>
      <c r="C265" s="65" t="s">
        <v>605</v>
      </c>
      <c r="D265" s="65" t="s">
        <v>605</v>
      </c>
      <c r="E265" s="65" t="str">
        <v>Prathipadu-Rowthulapudi-Jaldam-Jaldam</v>
      </c>
      <c r="F265" s="65"/>
      <c r="G265" s="65"/>
      <c r="H265" s="65"/>
      <c r="I265" s="65"/>
      <c r="J265" s="65"/>
      <c r="K265" s="65"/>
      <c r="L265" s="65"/>
      <c r="M265" s="65"/>
      <c r="N265" s="65"/>
    </row>
    <row r="266" spans="1:14" ht="12.75">
      <c r="A266" s="65" t="s">
        <v>8</v>
      </c>
      <c r="B266" s="65" t="s">
        <v>587</v>
      </c>
      <c r="C266" s="65" t="s">
        <v>606</v>
      </c>
      <c r="D266" s="65" t="s">
        <v>606</v>
      </c>
      <c r="E266" s="65" t="str">
        <v>Prathipadu-Rowthulapudi-Koduru-Koduru</v>
      </c>
      <c r="F266" s="65"/>
      <c r="G266" s="65"/>
      <c r="H266" s="65"/>
      <c r="I266" s="65"/>
      <c r="J266" s="65"/>
      <c r="K266" s="65"/>
      <c r="L266" s="65"/>
      <c r="M266" s="65"/>
      <c r="N266" s="65"/>
    </row>
    <row r="267" spans="1:14" ht="12.75">
      <c r="A267" s="65" t="s">
        <v>8</v>
      </c>
      <c r="B267" s="65" t="s">
        <v>587</v>
      </c>
      <c r="C267" s="65" t="s">
        <v>607</v>
      </c>
      <c r="D267" s="65" t="s">
        <v>607</v>
      </c>
      <c r="E267" s="65" t="str">
        <v>Prathipadu-Rowthulapudi-Lachireddypalem-Lachireddypalem</v>
      </c>
      <c r="F267" s="65"/>
      <c r="G267" s="65"/>
      <c r="H267" s="65"/>
      <c r="I267" s="65"/>
      <c r="J267" s="65"/>
      <c r="K267" s="65"/>
      <c r="L267" s="65"/>
      <c r="M267" s="65"/>
      <c r="N267" s="65"/>
    </row>
    <row r="268" spans="1:14" ht="12.75">
      <c r="A268" s="65" t="s">
        <v>8</v>
      </c>
      <c r="B268" s="65" t="s">
        <v>587</v>
      </c>
      <c r="C268" s="65" t="s">
        <v>609</v>
      </c>
      <c r="D268" s="65" t="s">
        <v>609</v>
      </c>
      <c r="E268" s="65" t="str">
        <v>Prathipadu-Rowthulapudi-M Chamavaram-M Chamavaram</v>
      </c>
      <c r="F268" s="65"/>
      <c r="G268" s="65"/>
      <c r="H268" s="65"/>
      <c r="I268" s="65"/>
      <c r="J268" s="65"/>
      <c r="K268" s="65"/>
      <c r="L268" s="65"/>
      <c r="M268" s="65"/>
      <c r="N268" s="65"/>
    </row>
    <row r="269" spans="1:14" ht="12.75">
      <c r="A269" s="65" t="s">
        <v>8</v>
      </c>
      <c r="B269" s="65" t="s">
        <v>587</v>
      </c>
      <c r="C269" s="65" t="s">
        <v>610</v>
      </c>
      <c r="D269" s="65" t="s">
        <v>610</v>
      </c>
      <c r="E269" s="65" t="str">
        <v>Prathipadu-Rowthulapudi-M.Kothuru-M.Kothuru</v>
      </c>
      <c r="F269" s="65"/>
      <c r="G269" s="65"/>
      <c r="H269" s="65"/>
      <c r="I269" s="65"/>
      <c r="J269" s="65"/>
      <c r="K269" s="65"/>
      <c r="L269" s="65"/>
      <c r="M269" s="65"/>
      <c r="N269" s="65"/>
    </row>
    <row r="270" spans="1:14" ht="12.75">
      <c r="A270" s="65" t="s">
        <v>8</v>
      </c>
      <c r="B270" s="65" t="s">
        <v>587</v>
      </c>
      <c r="C270" s="65" t="s">
        <v>611</v>
      </c>
      <c r="D270" s="65" t="s">
        <v>611</v>
      </c>
      <c r="E270" s="65" t="str">
        <v>Prathipadu-Rowthulapudi-Mallampeta-Mallampeta</v>
      </c>
      <c r="F270" s="65"/>
      <c r="G270" s="65"/>
      <c r="H270" s="65"/>
      <c r="I270" s="65"/>
      <c r="J270" s="65"/>
      <c r="K270" s="65"/>
      <c r="L270" s="65"/>
      <c r="M270" s="65"/>
      <c r="N270" s="65"/>
    </row>
    <row r="271" spans="1:14" ht="12.75">
      <c r="A271" s="65" t="s">
        <v>8</v>
      </c>
      <c r="B271" s="65" t="s">
        <v>587</v>
      </c>
      <c r="C271" s="65" t="s">
        <v>612</v>
      </c>
      <c r="D271" s="65" t="s">
        <v>612</v>
      </c>
      <c r="E271" s="65" t="str">
        <v>Prathipadu-Rowthulapudi-Mulagapudi-Mulagapudi</v>
      </c>
      <c r="F271" s="65"/>
      <c r="G271" s="65"/>
      <c r="H271" s="65"/>
      <c r="I271" s="65"/>
      <c r="J271" s="65"/>
      <c r="K271" s="65"/>
      <c r="L271" s="65"/>
      <c r="M271" s="65"/>
      <c r="N271" s="65"/>
    </row>
    <row r="272" spans="1:14" ht="12.75">
      <c r="A272" s="65" t="s">
        <v>8</v>
      </c>
      <c r="B272" s="65" t="s">
        <v>587</v>
      </c>
      <c r="C272" s="65" t="s">
        <v>613</v>
      </c>
      <c r="D272" s="65" t="s">
        <v>613</v>
      </c>
      <c r="E272" s="65" t="str">
        <v>Prathipadu-Rowthulapudi-N.N.Patnam-N.N.Patnam</v>
      </c>
      <c r="F272" s="65"/>
      <c r="G272" s="65"/>
      <c r="H272" s="65"/>
      <c r="I272" s="65"/>
      <c r="J272" s="65"/>
      <c r="K272" s="65"/>
      <c r="L272" s="65"/>
      <c r="M272" s="65"/>
      <c r="N272" s="65"/>
    </row>
    <row r="273" spans="1:14" ht="12.75">
      <c r="A273" s="65" t="s">
        <v>8</v>
      </c>
      <c r="B273" s="65" t="s">
        <v>587</v>
      </c>
      <c r="C273" s="65" t="s">
        <v>617</v>
      </c>
      <c r="D273" s="65" t="s">
        <v>617</v>
      </c>
      <c r="E273" s="65" t="str">
        <v>Prathipadu-Rowthulapudi-P.Chamavaram-P.Chamavaram</v>
      </c>
      <c r="F273" s="65"/>
      <c r="G273" s="65"/>
      <c r="H273" s="65"/>
      <c r="I273" s="65"/>
      <c r="J273" s="65"/>
      <c r="K273" s="65"/>
      <c r="L273" s="65"/>
      <c r="M273" s="65"/>
      <c r="N273" s="65"/>
    </row>
    <row r="274" spans="1:14" ht="12.75">
      <c r="A274" s="65" t="s">
        <v>8</v>
      </c>
      <c r="B274" s="65" t="s">
        <v>587</v>
      </c>
      <c r="C274" s="65" t="s">
        <v>618</v>
      </c>
      <c r="D274" s="65" t="s">
        <v>618</v>
      </c>
      <c r="E274" s="65" t="str">
        <v>Prathipadu-Rowthulapudi-Parupaka-Parupaka</v>
      </c>
      <c r="F274" s="65"/>
      <c r="G274" s="65"/>
      <c r="H274" s="65"/>
      <c r="I274" s="65"/>
      <c r="J274" s="65"/>
      <c r="K274" s="65"/>
      <c r="L274" s="65"/>
      <c r="M274" s="65"/>
      <c r="N274" s="65"/>
    </row>
    <row r="275" spans="1:14" ht="12.75">
      <c r="A275" s="65" t="s">
        <v>8</v>
      </c>
      <c r="B275" s="65" t="s">
        <v>587</v>
      </c>
      <c r="C275" s="65" t="s">
        <v>621</v>
      </c>
      <c r="D275" s="65" t="s">
        <v>621</v>
      </c>
      <c r="E275" s="65" t="str">
        <v>Prathipadu-Rowthulapudi-Raghavapatnam-Raghavapatnam</v>
      </c>
      <c r="F275" s="65"/>
      <c r="G275" s="65"/>
      <c r="H275" s="65"/>
      <c r="I275" s="65"/>
      <c r="J275" s="65"/>
      <c r="K275" s="65"/>
      <c r="L275" s="65"/>
      <c r="M275" s="65"/>
      <c r="N275" s="65"/>
    </row>
    <row r="276" spans="1:14" ht="12.75">
      <c r="A276" s="65" t="s">
        <v>8</v>
      </c>
      <c r="B276" s="65" t="s">
        <v>587</v>
      </c>
      <c r="C276" s="65" t="s">
        <v>623</v>
      </c>
      <c r="D276" s="65" t="s">
        <v>623</v>
      </c>
      <c r="E276" s="65" t="str">
        <v>Prathipadu-Rowthulapudi-Rajavaram-Rajavaram</v>
      </c>
      <c r="F276" s="65"/>
      <c r="G276" s="65"/>
      <c r="H276" s="65"/>
      <c r="I276" s="65"/>
      <c r="J276" s="65"/>
      <c r="K276" s="65"/>
      <c r="L276" s="65"/>
      <c r="M276" s="65"/>
      <c r="N276" s="65"/>
    </row>
    <row r="277" spans="1:14" ht="12.75">
      <c r="A277" s="65" t="s">
        <v>8</v>
      </c>
      <c r="B277" s="65" t="s">
        <v>587</v>
      </c>
      <c r="C277" s="65" t="s">
        <v>587</v>
      </c>
      <c r="D277" s="65" t="s">
        <v>587</v>
      </c>
      <c r="E277" s="65" t="str">
        <v>Prathipadu-Rowthulapudi-Rowthulapudi-Rowthulapudi</v>
      </c>
      <c r="F277" s="65"/>
      <c r="G277" s="65"/>
      <c r="H277" s="65"/>
      <c r="I277" s="65"/>
      <c r="J277" s="65"/>
      <c r="K277" s="65"/>
      <c r="L277" s="65"/>
      <c r="M277" s="65"/>
      <c r="N277" s="65"/>
    </row>
    <row r="278" spans="1:14" ht="12.75">
      <c r="A278" s="65" t="s">
        <v>8</v>
      </c>
      <c r="B278" s="65" t="s">
        <v>587</v>
      </c>
      <c r="C278" s="65" t="s">
        <v>626</v>
      </c>
      <c r="D278" s="65" t="s">
        <v>626</v>
      </c>
      <c r="E278" s="65" t="str">
        <v>Prathipadu-Rowthulapudi-Srungadhara Agraharam-Srungadhara Agraharam</v>
      </c>
      <c r="F278" s="65"/>
      <c r="G278" s="65"/>
      <c r="H278" s="65"/>
      <c r="I278" s="65"/>
      <c r="J278" s="65"/>
      <c r="K278" s="65"/>
      <c r="L278" s="65"/>
      <c r="M278" s="65"/>
      <c r="N278" s="65"/>
    </row>
    <row r="279" spans="1:14" ht="12.75">
      <c r="A279" s="65" t="s">
        <v>8</v>
      </c>
      <c r="B279" s="65" t="s">
        <v>587</v>
      </c>
      <c r="C279" s="65" t="s">
        <v>629</v>
      </c>
      <c r="D279" s="65" t="s">
        <v>629</v>
      </c>
      <c r="E279" s="65" t="str">
        <v>Prathipadu-Rowthulapudi-S.Pydipala-S.Pydipala</v>
      </c>
      <c r="F279" s="65"/>
      <c r="G279" s="65"/>
      <c r="H279" s="65"/>
      <c r="I279" s="65"/>
      <c r="J279" s="65"/>
      <c r="K279" s="65"/>
      <c r="L279" s="65"/>
      <c r="M279" s="65"/>
      <c r="N279" s="65"/>
    </row>
    <row r="280" spans="1:14" ht="12.75">
      <c r="A280" s="65" t="s">
        <v>8</v>
      </c>
      <c r="B280" s="65" t="s">
        <v>587</v>
      </c>
      <c r="C280" s="65" t="s">
        <v>631</v>
      </c>
      <c r="D280" s="65" t="s">
        <v>631</v>
      </c>
      <c r="E280" s="65" t="str">
        <v>Prathipadu-Rowthulapudi-Srungavaram-Srungavaram</v>
      </c>
      <c r="F280" s="65"/>
      <c r="G280" s="65"/>
      <c r="H280" s="65"/>
      <c r="I280" s="65"/>
      <c r="J280" s="65"/>
      <c r="K280" s="65"/>
      <c r="L280" s="65"/>
      <c r="M280" s="65"/>
      <c r="N280" s="65"/>
    </row>
    <row r="281" spans="1:14" ht="12.75">
      <c r="A281" s="65" t="s">
        <v>8</v>
      </c>
      <c r="B281" s="65" t="s">
        <v>633</v>
      </c>
      <c r="C281" s="65" t="s">
        <v>634</v>
      </c>
      <c r="D281" s="65" t="s">
        <v>634</v>
      </c>
      <c r="E281" s="65" t="str">
        <v>Prathipadu-Sankhavaram-Achempeta-Achempeta</v>
      </c>
      <c r="F281" s="65"/>
      <c r="G281" s="65"/>
      <c r="H281" s="65"/>
      <c r="I281" s="65"/>
      <c r="J281" s="65"/>
      <c r="K281" s="65"/>
      <c r="L281" s="65"/>
      <c r="M281" s="65"/>
      <c r="N281" s="65"/>
    </row>
    <row r="282" spans="1:14" ht="12.75">
      <c r="A282" s="65" t="s">
        <v>8</v>
      </c>
      <c r="B282" s="65" t="s">
        <v>633</v>
      </c>
      <c r="C282" s="65" t="s">
        <v>635</v>
      </c>
      <c r="D282" s="65" t="s">
        <v>635</v>
      </c>
      <c r="E282" s="65" t="str">
        <v>Prathipadu-Sankhavaram-Annavaram-Annavaram</v>
      </c>
      <c r="F282" s="65"/>
      <c r="G282" s="65"/>
      <c r="H282" s="65"/>
      <c r="I282" s="65"/>
      <c r="J282" s="65"/>
      <c r="K282" s="65"/>
      <c r="L282" s="65"/>
      <c r="M282" s="65"/>
      <c r="N282" s="65"/>
    </row>
    <row r="283" spans="1:14" ht="12.75">
      <c r="A283" s="65" t="s">
        <v>8</v>
      </c>
      <c r="B283" s="65" t="s">
        <v>633</v>
      </c>
      <c r="C283" s="65" t="s">
        <v>637</v>
      </c>
      <c r="D283" s="65" t="s">
        <v>637</v>
      </c>
      <c r="E283" s="65" t="str">
        <v>Prathipadu-Sankhavaram-G. Kothapalli-G. Kothapalli</v>
      </c>
      <c r="F283" s="65"/>
      <c r="G283" s="65"/>
      <c r="H283" s="65"/>
      <c r="I283" s="65"/>
      <c r="J283" s="65"/>
      <c r="K283" s="65"/>
      <c r="L283" s="65"/>
      <c r="M283" s="65"/>
      <c r="N283" s="65"/>
    </row>
    <row r="284" spans="1:14" ht="12.75">
      <c r="A284" s="65" t="s">
        <v>8</v>
      </c>
      <c r="B284" s="65" t="s">
        <v>633</v>
      </c>
      <c r="C284" s="65" t="s">
        <v>640</v>
      </c>
      <c r="D284" s="65" t="s">
        <v>640</v>
      </c>
      <c r="E284" s="65" t="str">
        <v>Prathipadu-Sankhavaram-Gowrampeta-Gowrampeta</v>
      </c>
      <c r="F284" s="65"/>
      <c r="G284" s="65"/>
      <c r="H284" s="65"/>
      <c r="I284" s="65"/>
      <c r="J284" s="65"/>
      <c r="K284" s="65"/>
      <c r="L284" s="65"/>
      <c r="M284" s="65"/>
      <c r="N284" s="65"/>
    </row>
    <row r="285" spans="1:14" ht="12.75">
      <c r="A285" s="65" t="s">
        <v>8</v>
      </c>
      <c r="B285" s="65" t="s">
        <v>633</v>
      </c>
      <c r="C285" s="65" t="s">
        <v>19</v>
      </c>
      <c r="D285" s="65" t="s">
        <v>19</v>
      </c>
      <c r="E285" s="65" t="str">
        <v>Prathipadu-Sankhavaram-Jaggampeta-Jaggampeta</v>
      </c>
      <c r="F285" s="65"/>
      <c r="G285" s="65"/>
      <c r="H285" s="65"/>
      <c r="I285" s="65"/>
      <c r="J285" s="65"/>
      <c r="K285" s="65"/>
      <c r="L285" s="65"/>
      <c r="M285" s="65"/>
      <c r="N285" s="65"/>
    </row>
    <row r="286" spans="1:14" ht="12.75">
      <c r="A286" s="65" t="s">
        <v>8</v>
      </c>
      <c r="B286" s="65" t="s">
        <v>633</v>
      </c>
      <c r="C286" s="65" t="s">
        <v>643</v>
      </c>
      <c r="D286" s="65" t="s">
        <v>643</v>
      </c>
      <c r="E286" s="65" t="str">
        <v>Prathipadu-Sankhavaram-Kathipudi-Kathipudi</v>
      </c>
      <c r="F286" s="65"/>
      <c r="G286" s="65"/>
      <c r="H286" s="65"/>
      <c r="I286" s="65"/>
      <c r="J286" s="65"/>
      <c r="K286" s="65"/>
      <c r="L286" s="65"/>
      <c r="M286" s="65"/>
      <c r="N286" s="65"/>
    </row>
    <row r="287" spans="1:14" ht="12.75">
      <c r="A287" s="65" t="s">
        <v>8</v>
      </c>
      <c r="B287" s="65" t="s">
        <v>633</v>
      </c>
      <c r="C287" s="65" t="s">
        <v>645</v>
      </c>
      <c r="D287" s="65" t="s">
        <v>645</v>
      </c>
      <c r="E287" s="65" t="str">
        <v>Prathipadu-Sankhavaram-Konthangi-Konthangi</v>
      </c>
      <c r="F287" s="65"/>
      <c r="G287" s="65"/>
      <c r="H287" s="65"/>
      <c r="I287" s="65"/>
      <c r="J287" s="65"/>
      <c r="K287" s="65"/>
      <c r="L287" s="65"/>
      <c r="M287" s="65"/>
      <c r="N287" s="65"/>
    </row>
    <row r="288" spans="1:14" ht="12.75">
      <c r="A288" s="65" t="s">
        <v>8</v>
      </c>
      <c r="B288" s="65" t="s">
        <v>633</v>
      </c>
      <c r="C288" s="65" t="s">
        <v>647</v>
      </c>
      <c r="D288" s="65" t="s">
        <v>647</v>
      </c>
      <c r="E288" s="65" t="str">
        <v>Prathipadu-Sankhavaram-Mandapam-Mandapam</v>
      </c>
      <c r="F288" s="65"/>
      <c r="G288" s="65"/>
      <c r="H288" s="65"/>
      <c r="I288" s="65"/>
      <c r="J288" s="65"/>
      <c r="K288" s="65"/>
      <c r="L288" s="65"/>
      <c r="M288" s="65"/>
      <c r="N288" s="65"/>
    </row>
    <row r="289" spans="1:14" ht="12.75">
      <c r="A289" s="65" t="s">
        <v>8</v>
      </c>
      <c r="B289" s="65" t="s">
        <v>633</v>
      </c>
      <c r="C289" s="65" t="s">
        <v>649</v>
      </c>
      <c r="D289" s="65" t="s">
        <v>649</v>
      </c>
      <c r="E289" s="65" t="str">
        <v>Prathipadu-Sankhavaram-Nellipudi-Nellipudi</v>
      </c>
      <c r="F289" s="65"/>
      <c r="G289" s="65"/>
      <c r="H289" s="65"/>
      <c r="I289" s="65"/>
      <c r="J289" s="65"/>
      <c r="K289" s="65"/>
      <c r="L289" s="65"/>
      <c r="M289" s="65"/>
      <c r="N289" s="65"/>
    </row>
    <row r="290" spans="1:14" ht="12.75">
      <c r="A290" s="65" t="s">
        <v>8</v>
      </c>
      <c r="B290" s="65" t="s">
        <v>633</v>
      </c>
      <c r="C290" s="65" t="s">
        <v>651</v>
      </c>
      <c r="D290" s="65" t="s">
        <v>651</v>
      </c>
      <c r="E290" s="65" t="str">
        <v>Prathipadu-Sankhavaram-Peda.Mallapuram-Peda.Mallapuram</v>
      </c>
      <c r="F290" s="65"/>
      <c r="G290" s="65"/>
      <c r="H290" s="65"/>
      <c r="I290" s="65"/>
      <c r="J290" s="65"/>
      <c r="K290" s="65"/>
      <c r="L290" s="65"/>
      <c r="M290" s="65"/>
      <c r="N290" s="65"/>
    </row>
    <row r="291" spans="1:14" ht="12.75">
      <c r="A291" s="65" t="s">
        <v>8</v>
      </c>
      <c r="B291" s="65" t="s">
        <v>633</v>
      </c>
      <c r="C291" s="65" t="s">
        <v>633</v>
      </c>
      <c r="D291" s="65" t="s">
        <v>633</v>
      </c>
      <c r="E291" s="65" t="str">
        <v>Prathipadu-Sankhavaram-Sankhavaram-Sankhavaram</v>
      </c>
      <c r="F291" s="65"/>
      <c r="G291" s="65"/>
      <c r="H291" s="65"/>
      <c r="I291" s="65"/>
      <c r="J291" s="65"/>
      <c r="K291" s="65"/>
      <c r="L291" s="65"/>
      <c r="M291" s="65"/>
      <c r="N291" s="65"/>
    </row>
    <row r="292" spans="1:14" ht="12.75">
      <c r="A292" s="65" t="s">
        <v>8</v>
      </c>
      <c r="B292" s="65" t="s">
        <v>633</v>
      </c>
      <c r="C292" s="65" t="s">
        <v>654</v>
      </c>
      <c r="D292" s="65" t="s">
        <v>654</v>
      </c>
      <c r="E292" s="65" t="str">
        <v>Prathipadu-Sankhavaram-Seethayampeta-Seethayampeta</v>
      </c>
      <c r="F292" s="65"/>
      <c r="G292" s="65"/>
      <c r="H292" s="65"/>
      <c r="I292" s="65"/>
      <c r="J292" s="65"/>
      <c r="K292" s="65"/>
      <c r="L292" s="65"/>
      <c r="M292" s="65"/>
      <c r="N292" s="65"/>
    </row>
    <row r="293" spans="1:14" ht="12.75">
      <c r="A293" s="65" t="s">
        <v>8</v>
      </c>
      <c r="B293" s="65" t="s">
        <v>633</v>
      </c>
      <c r="C293" s="65" t="s">
        <v>655</v>
      </c>
      <c r="D293" s="65" t="s">
        <v>655</v>
      </c>
      <c r="E293" s="65" t="str">
        <v>Prathipadu-Sankhavaram-Vazrakutam-Vazrakutam</v>
      </c>
      <c r="F293" s="65"/>
      <c r="G293" s="65"/>
      <c r="H293" s="65"/>
      <c r="I293" s="65"/>
      <c r="J293" s="65"/>
      <c r="K293" s="65"/>
      <c r="L293" s="65"/>
      <c r="M293" s="65"/>
      <c r="N293" s="65"/>
    </row>
    <row r="294" spans="1:14" ht="12.75">
      <c r="A294" s="65" t="s">
        <v>8</v>
      </c>
      <c r="B294" s="65" t="s">
        <v>633</v>
      </c>
      <c r="C294" s="65" t="s">
        <v>333</v>
      </c>
      <c r="D294" s="65" t="s">
        <v>333</v>
      </c>
      <c r="E294" s="65" t="str">
        <v>Prathipadu-Sankhavaram-Velangi-Velangi</v>
      </c>
      <c r="F294" s="65"/>
      <c r="G294" s="65"/>
      <c r="H294" s="65"/>
      <c r="I294" s="65"/>
      <c r="J294" s="65"/>
      <c r="K294" s="65"/>
      <c r="L294" s="65"/>
      <c r="M294" s="65"/>
      <c r="N294" s="65"/>
    </row>
    <row r="295" spans="1:14" ht="12.75">
      <c r="A295" s="65" t="s">
        <v>8</v>
      </c>
      <c r="B295" s="65" t="s">
        <v>658</v>
      </c>
      <c r="C295" s="65" t="s">
        <v>659</v>
      </c>
      <c r="D295" s="65" t="s">
        <v>659</v>
      </c>
      <c r="E295" s="65" t="str">
        <v>Prathipadu-Yeleswaram-Bhadravaram-Bhadravaram</v>
      </c>
      <c r="F295" s="65"/>
      <c r="G295" s="65"/>
      <c r="H295" s="65"/>
      <c r="I295" s="65"/>
      <c r="J295" s="65"/>
      <c r="K295" s="65"/>
      <c r="L295" s="65"/>
      <c r="M295" s="65"/>
      <c r="N295" s="65"/>
    </row>
    <row r="296" spans="1:14" ht="12.75">
      <c r="A296" s="65" t="s">
        <v>8</v>
      </c>
      <c r="B296" s="65" t="s">
        <v>658</v>
      </c>
      <c r="C296" s="65" t="s">
        <v>660</v>
      </c>
      <c r="D296" s="65" t="s">
        <v>660</v>
      </c>
      <c r="E296" s="65" t="str">
        <v>Prathipadu-Yeleswaram-C. Rayavaram-C. Rayavaram</v>
      </c>
      <c r="F296" s="65"/>
      <c r="G296" s="65"/>
      <c r="H296" s="65"/>
      <c r="I296" s="65"/>
      <c r="J296" s="65"/>
      <c r="K296" s="65"/>
      <c r="L296" s="65"/>
      <c r="M296" s="65"/>
      <c r="N296" s="65"/>
    </row>
    <row r="297" spans="1:14" ht="12.75">
      <c r="A297" s="65" t="s">
        <v>8</v>
      </c>
      <c r="B297" s="65" t="s">
        <v>658</v>
      </c>
      <c r="C297" s="65" t="s">
        <v>661</v>
      </c>
      <c r="D297" s="65" t="s">
        <v>661</v>
      </c>
      <c r="E297" s="65" t="str">
        <v>Prathipadu-Yeleswaram-East Lakshmipuram-East Lakshmipuram</v>
      </c>
      <c r="F297" s="65"/>
      <c r="G297" s="65"/>
      <c r="H297" s="65"/>
      <c r="I297" s="65"/>
      <c r="J297" s="65"/>
      <c r="K297" s="65"/>
      <c r="L297" s="65"/>
      <c r="M297" s="65"/>
      <c r="N297" s="65"/>
    </row>
    <row r="298" spans="1:14" ht="12.75">
      <c r="A298" s="65" t="s">
        <v>8</v>
      </c>
      <c r="B298" s="65" t="s">
        <v>658</v>
      </c>
      <c r="C298" s="65" t="s">
        <v>662</v>
      </c>
      <c r="D298" s="65" t="s">
        <v>662</v>
      </c>
      <c r="E298" s="65" t="str">
        <v>Prathipadu-Yeleswaram-Jeddangi Annavaram-Jeddangi Annavaram</v>
      </c>
      <c r="F298" s="65"/>
      <c r="G298" s="65"/>
      <c r="H298" s="65"/>
      <c r="I298" s="65"/>
      <c r="J298" s="65"/>
      <c r="K298" s="65"/>
      <c r="L298" s="65"/>
      <c r="M298" s="65"/>
      <c r="N298" s="65"/>
    </row>
    <row r="299" spans="1:14" ht="12.75">
      <c r="A299" s="65" t="s">
        <v>8</v>
      </c>
      <c r="B299" s="65" t="s">
        <v>658</v>
      </c>
      <c r="C299" s="65" t="s">
        <v>663</v>
      </c>
      <c r="D299" s="65" t="s">
        <v>663</v>
      </c>
      <c r="E299" s="65" t="str">
        <v>Prathipadu-Yeleswaram-Lingamparthi-Lingamparthi</v>
      </c>
      <c r="F299" s="65"/>
      <c r="G299" s="65"/>
      <c r="H299" s="65"/>
      <c r="I299" s="65"/>
      <c r="J299" s="65"/>
      <c r="K299" s="65"/>
      <c r="L299" s="65"/>
      <c r="M299" s="65"/>
      <c r="N299" s="65"/>
    </row>
    <row r="300" spans="1:14" ht="12.75">
      <c r="A300" s="65" t="s">
        <v>8</v>
      </c>
      <c r="B300" s="65" t="s">
        <v>658</v>
      </c>
      <c r="C300" s="65" t="s">
        <v>664</v>
      </c>
      <c r="D300" s="65" t="s">
        <v>665</v>
      </c>
      <c r="E300" s="65" t="str">
        <v>Prathipadu-Yeleswaram-Marriveedu-Lakkavaram</v>
      </c>
      <c r="F300" s="65"/>
      <c r="G300" s="65"/>
      <c r="H300" s="65"/>
      <c r="I300" s="65"/>
      <c r="J300" s="65"/>
      <c r="K300" s="65"/>
      <c r="L300" s="65"/>
      <c r="M300" s="65"/>
      <c r="N300" s="65"/>
    </row>
    <row r="301" spans="1:14" ht="12.75">
      <c r="A301" s="65" t="s">
        <v>8</v>
      </c>
      <c r="B301" s="65" t="s">
        <v>658</v>
      </c>
      <c r="C301" s="65" t="s">
        <v>664</v>
      </c>
      <c r="D301" s="65" t="s">
        <v>664</v>
      </c>
      <c r="E301" s="65" t="str">
        <v>Prathipadu-Yeleswaram-Marriveedu-Marriveedu</v>
      </c>
      <c r="F301" s="65"/>
      <c r="G301" s="65"/>
      <c r="H301" s="65"/>
      <c r="I301" s="65"/>
      <c r="J301" s="65"/>
      <c r="K301" s="65"/>
      <c r="L301" s="65"/>
      <c r="M301" s="65"/>
      <c r="N301" s="65"/>
    </row>
    <row r="302" spans="1:14" ht="12.75">
      <c r="A302" s="65" t="s">
        <v>8</v>
      </c>
      <c r="B302" s="65" t="s">
        <v>658</v>
      </c>
      <c r="C302" s="65" t="s">
        <v>666</v>
      </c>
      <c r="D302" s="65" t="s">
        <v>666</v>
      </c>
      <c r="E302" s="65" t="str">
        <v>Prathipadu-Yeleswaram-Peddanapalle-Peddanapalle</v>
      </c>
      <c r="F302" s="65"/>
      <c r="G302" s="65"/>
      <c r="H302" s="65"/>
      <c r="I302" s="65"/>
      <c r="J302" s="65"/>
      <c r="K302" s="65"/>
      <c r="L302" s="65"/>
      <c r="M302" s="65"/>
      <c r="N302" s="65"/>
    </row>
    <row r="303" spans="1:14" ht="12.75">
      <c r="A303" s="65" t="s">
        <v>8</v>
      </c>
      <c r="B303" s="65" t="s">
        <v>658</v>
      </c>
      <c r="C303" s="65" t="s">
        <v>667</v>
      </c>
      <c r="D303" s="65" t="s">
        <v>667</v>
      </c>
      <c r="E303" s="65" t="str">
        <v>Prathipadu-Yeleswaram-Peravaram-Peravaram</v>
      </c>
      <c r="F303" s="65"/>
      <c r="G303" s="65"/>
      <c r="H303" s="65"/>
      <c r="I303" s="65"/>
      <c r="J303" s="65"/>
      <c r="K303" s="65"/>
      <c r="L303" s="65"/>
      <c r="M303" s="65"/>
      <c r="N303" s="65"/>
    </row>
    <row r="304" spans="1:14" ht="12.75">
      <c r="A304" s="65" t="s">
        <v>8</v>
      </c>
      <c r="B304" s="65" t="s">
        <v>658</v>
      </c>
      <c r="C304" s="65" t="s">
        <v>668</v>
      </c>
      <c r="D304" s="65" t="s">
        <v>668</v>
      </c>
      <c r="E304" s="65" t="str">
        <v>Prathipadu-Yeleswaram-Ramanayya Peta-Ramanayya Peta</v>
      </c>
      <c r="F304" s="65"/>
      <c r="G304" s="65"/>
      <c r="H304" s="65"/>
      <c r="I304" s="65"/>
      <c r="J304" s="65"/>
      <c r="K304" s="65"/>
      <c r="L304" s="65"/>
      <c r="M304" s="65"/>
      <c r="N304" s="65"/>
    </row>
    <row r="305" spans="1:14" ht="12.75">
      <c r="A305" s="65" t="s">
        <v>8</v>
      </c>
      <c r="B305" s="65" t="s">
        <v>658</v>
      </c>
      <c r="C305" s="65" t="s">
        <v>325</v>
      </c>
      <c r="D305" s="65" t="s">
        <v>325</v>
      </c>
      <c r="E305" s="65" t="str">
        <v>Prathipadu-Yeleswaram-Siripuram-Siripuram</v>
      </c>
      <c r="F305" s="65"/>
      <c r="G305" s="65"/>
      <c r="H305" s="65"/>
      <c r="I305" s="65"/>
      <c r="J305" s="65"/>
      <c r="K305" s="65"/>
      <c r="L305" s="65"/>
      <c r="M305" s="65"/>
      <c r="N305" s="65"/>
    </row>
    <row r="306" spans="1:14" ht="12.75">
      <c r="A306" s="65" t="s">
        <v>8</v>
      </c>
      <c r="B306" s="65" t="s">
        <v>658</v>
      </c>
      <c r="C306" s="65" t="s">
        <v>669</v>
      </c>
      <c r="D306" s="65" t="s">
        <v>669</v>
      </c>
      <c r="E306" s="65" t="str">
        <v>Prathipadu-Yeleswaram-Thirumali-Thirumali</v>
      </c>
      <c r="F306" s="65"/>
      <c r="G306" s="65"/>
      <c r="H306" s="65"/>
      <c r="I306" s="65"/>
      <c r="J306" s="65"/>
      <c r="K306" s="65"/>
      <c r="L306" s="65"/>
      <c r="M306" s="65"/>
      <c r="N306" s="65"/>
    </row>
    <row r="307" spans="1:14" ht="12.75">
      <c r="A307" s="65" t="s">
        <v>8</v>
      </c>
      <c r="B307" s="65" t="s">
        <v>658</v>
      </c>
      <c r="C307" s="65" t="s">
        <v>670</v>
      </c>
      <c r="D307" s="65" t="s">
        <v>670</v>
      </c>
      <c r="E307" s="65" t="str">
        <v>Prathipadu-Yeleswaram-Yerravaram-Yerravaram</v>
      </c>
      <c r="F307" s="65"/>
      <c r="G307" s="65"/>
      <c r="H307" s="65"/>
      <c r="I307" s="65"/>
      <c r="J307" s="65"/>
      <c r="K307" s="65"/>
      <c r="L307" s="65"/>
      <c r="M307" s="65"/>
      <c r="N307" s="65"/>
    </row>
    <row r="308" spans="1:14" ht="12.75">
      <c r="A308" s="65" t="s">
        <v>7</v>
      </c>
      <c r="B308" s="65" t="s">
        <v>671</v>
      </c>
      <c r="C308" s="65" t="s">
        <v>672</v>
      </c>
      <c r="D308" s="65" t="s">
        <v>672</v>
      </c>
      <c r="E308" s="65" t="str">
        <v>Tuni-Kotananduru-Allipudi-Allipudi</v>
      </c>
      <c r="F308" s="65"/>
      <c r="G308" s="65"/>
      <c r="H308" s="65"/>
      <c r="I308" s="65"/>
      <c r="J308" s="65"/>
      <c r="K308" s="65"/>
      <c r="L308" s="65"/>
      <c r="M308" s="65"/>
      <c r="N308" s="65"/>
    </row>
    <row r="309" spans="1:14" ht="12.75">
      <c r="A309" s="65" t="s">
        <v>7</v>
      </c>
      <c r="B309" s="65" t="s">
        <v>671</v>
      </c>
      <c r="C309" s="65" t="s">
        <v>674</v>
      </c>
      <c r="D309" s="65" t="s">
        <v>674</v>
      </c>
      <c r="E309" s="65" t="str">
        <v>Tuni-Kotananduru-Appalarajupeta-Appalarajupeta</v>
      </c>
      <c r="F309" s="65"/>
      <c r="G309" s="65"/>
      <c r="H309" s="65"/>
      <c r="I309" s="65"/>
      <c r="J309" s="65"/>
      <c r="K309" s="65"/>
      <c r="L309" s="65"/>
      <c r="M309" s="65"/>
      <c r="N309" s="65"/>
    </row>
    <row r="310" spans="1:14" ht="12.75">
      <c r="A310" s="65" t="s">
        <v>7</v>
      </c>
      <c r="B310" s="65" t="s">
        <v>671</v>
      </c>
      <c r="C310" s="65" t="s">
        <v>675</v>
      </c>
      <c r="D310" s="65" t="s">
        <v>675</v>
      </c>
      <c r="E310" s="65" t="str">
        <v>Tuni-Kotananduru-B.H.Kota-B.H.Kota</v>
      </c>
      <c r="F310" s="65"/>
      <c r="G310" s="65"/>
      <c r="H310" s="65"/>
      <c r="I310" s="65"/>
      <c r="J310" s="65"/>
      <c r="K310" s="65"/>
      <c r="L310" s="65"/>
      <c r="M310" s="65"/>
      <c r="N310" s="65"/>
    </row>
    <row r="311" spans="1:14" ht="12.75">
      <c r="A311" s="65" t="s">
        <v>7</v>
      </c>
      <c r="B311" s="65" t="s">
        <v>671</v>
      </c>
      <c r="C311" s="65" t="s">
        <v>677</v>
      </c>
      <c r="D311" s="65" t="s">
        <v>677</v>
      </c>
      <c r="E311" s="65" t="str">
        <v>Tuni-Kotananduru-Billananduru-Billananduru</v>
      </c>
      <c r="F311" s="65"/>
      <c r="G311" s="65"/>
      <c r="H311" s="65"/>
      <c r="I311" s="65"/>
      <c r="J311" s="65"/>
      <c r="K311" s="65"/>
      <c r="L311" s="65"/>
      <c r="M311" s="65"/>
      <c r="N311" s="65"/>
    </row>
    <row r="312" spans="1:14" ht="12.75">
      <c r="A312" s="65" t="s">
        <v>7</v>
      </c>
      <c r="B312" s="65" t="s">
        <v>671</v>
      </c>
      <c r="C312" s="65" t="s">
        <v>679</v>
      </c>
      <c r="D312" s="65" t="s">
        <v>679</v>
      </c>
      <c r="E312" s="65" t="str">
        <v>Tuni-Kotananduru-Boddavaram-Boddavaram</v>
      </c>
      <c r="F312" s="65"/>
      <c r="G312" s="65"/>
      <c r="H312" s="65"/>
      <c r="I312" s="65"/>
      <c r="J312" s="65"/>
      <c r="K312" s="65"/>
      <c r="L312" s="65"/>
      <c r="M312" s="65"/>
      <c r="N312" s="65"/>
    </row>
    <row r="313" spans="1:14" ht="12.75">
      <c r="A313" s="65" t="s">
        <v>7</v>
      </c>
      <c r="B313" s="65" t="s">
        <v>671</v>
      </c>
      <c r="C313" s="65" t="s">
        <v>681</v>
      </c>
      <c r="D313" s="65" t="s">
        <v>681</v>
      </c>
      <c r="E313" s="65" t="str">
        <v>Tuni-Kotananduru-Indugapalle-Indugapalle</v>
      </c>
      <c r="F313" s="65"/>
      <c r="G313" s="65"/>
      <c r="H313" s="65"/>
      <c r="I313" s="65"/>
      <c r="J313" s="65"/>
      <c r="K313" s="65"/>
      <c r="L313" s="65"/>
      <c r="M313" s="65"/>
      <c r="N313" s="65"/>
    </row>
    <row r="314" spans="1:14" ht="12.75">
      <c r="A314" s="65" t="s">
        <v>7</v>
      </c>
      <c r="B314" s="65" t="s">
        <v>671</v>
      </c>
      <c r="C314" s="65" t="s">
        <v>683</v>
      </c>
      <c r="D314" s="65" t="s">
        <v>683</v>
      </c>
      <c r="E314" s="65" t="str">
        <v>Tuni-Kotananduru-Jagannadhapuram-Jagannadhapuram</v>
      </c>
      <c r="F314" s="65"/>
      <c r="G314" s="65"/>
      <c r="H314" s="65"/>
      <c r="I314" s="65"/>
      <c r="J314" s="65"/>
      <c r="K314" s="65"/>
      <c r="L314" s="65"/>
      <c r="M314" s="65"/>
      <c r="N314" s="65"/>
    </row>
    <row r="315" spans="1:14" ht="12.75">
      <c r="A315" s="65" t="s">
        <v>7</v>
      </c>
      <c r="B315" s="65" t="s">
        <v>671</v>
      </c>
      <c r="C315" s="65" t="s">
        <v>685</v>
      </c>
      <c r="D315" s="65" t="s">
        <v>686</v>
      </c>
      <c r="E315" s="65" t="str">
        <v>Tuni-Kotananduru-K.A.Mallavaram-Arthamuru</v>
      </c>
      <c r="F315" s="65"/>
      <c r="G315" s="65"/>
      <c r="H315" s="65"/>
      <c r="I315" s="65"/>
      <c r="J315" s="65"/>
      <c r="K315" s="65"/>
      <c r="L315" s="65"/>
      <c r="M315" s="65"/>
      <c r="N315" s="65"/>
    </row>
    <row r="316" spans="1:14" ht="12.75">
      <c r="A316" s="65" t="s">
        <v>7</v>
      </c>
      <c r="B316" s="65" t="s">
        <v>671</v>
      </c>
      <c r="C316" s="65" t="s">
        <v>685</v>
      </c>
      <c r="D316" s="65" t="s">
        <v>685</v>
      </c>
      <c r="E316" s="65" t="str">
        <v>Tuni-Kotananduru-K.A.Mallavaram-K.A.Mallavaram</v>
      </c>
      <c r="F316" s="65"/>
      <c r="G316" s="65"/>
      <c r="H316" s="65"/>
      <c r="I316" s="65"/>
      <c r="J316" s="65"/>
      <c r="K316" s="65"/>
      <c r="L316" s="65"/>
      <c r="M316" s="65"/>
      <c r="N316" s="65"/>
    </row>
    <row r="317" spans="1:14" ht="12.75">
      <c r="A317" s="65" t="s">
        <v>7</v>
      </c>
      <c r="B317" s="65" t="s">
        <v>671</v>
      </c>
      <c r="C317" s="65" t="s">
        <v>688</v>
      </c>
      <c r="D317" s="65" t="s">
        <v>688</v>
      </c>
      <c r="E317" s="65" t="str">
        <v>Tuni-Kotananduru-K.E.Chinnayyapalem-K.E.Chinnayyapalem</v>
      </c>
      <c r="F317" s="65"/>
      <c r="G317" s="65"/>
      <c r="H317" s="65"/>
      <c r="I317" s="65"/>
      <c r="J317" s="65"/>
      <c r="K317" s="65"/>
      <c r="L317" s="65"/>
      <c r="M317" s="65"/>
      <c r="N317" s="65"/>
    </row>
    <row r="318" spans="1:14" ht="12.75">
      <c r="A318" s="65" t="s">
        <v>7</v>
      </c>
      <c r="B318" s="65" t="s">
        <v>671</v>
      </c>
      <c r="C318" s="65" t="s">
        <v>690</v>
      </c>
      <c r="D318" s="65" t="s">
        <v>691</v>
      </c>
      <c r="E318" s="65" t="str">
        <v>Tuni-Kotananduru-K.Kottam-Darakonda</v>
      </c>
      <c r="F318" s="65"/>
      <c r="G318" s="65"/>
      <c r="H318" s="65"/>
      <c r="I318" s="65"/>
      <c r="J318" s="65"/>
      <c r="K318" s="65"/>
      <c r="L318" s="65"/>
      <c r="M318" s="65"/>
      <c r="N318" s="65"/>
    </row>
    <row r="319" spans="1:14" ht="12.75">
      <c r="A319" s="65" t="s">
        <v>7</v>
      </c>
      <c r="B319" s="65" t="s">
        <v>671</v>
      </c>
      <c r="C319" s="65" t="s">
        <v>690</v>
      </c>
      <c r="D319" s="65" t="s">
        <v>690</v>
      </c>
      <c r="E319" s="65" t="str">
        <v>Tuni-Kotananduru-K.Kottam-K.Kottam</v>
      </c>
      <c r="F319" s="65"/>
      <c r="G319" s="65"/>
      <c r="H319" s="65"/>
      <c r="I319" s="65"/>
      <c r="J319" s="65"/>
      <c r="K319" s="65"/>
      <c r="L319" s="65"/>
      <c r="M319" s="65"/>
      <c r="N319" s="65"/>
    </row>
    <row r="320" spans="1:14" ht="12.75">
      <c r="A320" s="65" t="s">
        <v>7</v>
      </c>
      <c r="B320" s="65" t="s">
        <v>671</v>
      </c>
      <c r="C320" s="65" t="s">
        <v>693</v>
      </c>
      <c r="D320" s="65" t="s">
        <v>693</v>
      </c>
      <c r="E320" s="65" t="str">
        <v>Tuni-Kotananduru-K.O.Agraharam-K.O.Agraharam</v>
      </c>
      <c r="F320" s="65"/>
      <c r="G320" s="65"/>
      <c r="H320" s="65"/>
      <c r="I320" s="65"/>
      <c r="J320" s="65"/>
      <c r="K320" s="65"/>
      <c r="L320" s="65"/>
      <c r="M320" s="65"/>
      <c r="N320" s="65"/>
    </row>
    <row r="321" spans="1:14" ht="12.75">
      <c r="A321" s="65" t="s">
        <v>7</v>
      </c>
      <c r="B321" s="65" t="s">
        <v>671</v>
      </c>
      <c r="C321" s="65" t="s">
        <v>695</v>
      </c>
      <c r="D321" s="65" t="s">
        <v>695</v>
      </c>
      <c r="E321" s="65" t="str">
        <v>Tuni-Kotananduru-Kakarapalle-Kakarapalle</v>
      </c>
      <c r="F321" s="65"/>
      <c r="G321" s="65"/>
      <c r="H321" s="65"/>
      <c r="I321" s="65"/>
      <c r="J321" s="65"/>
      <c r="K321" s="65"/>
      <c r="L321" s="65"/>
      <c r="M321" s="65"/>
      <c r="N321" s="65"/>
    </row>
    <row r="322" spans="1:14" ht="12.75">
      <c r="A322" s="65" t="s">
        <v>7</v>
      </c>
      <c r="B322" s="65" t="s">
        <v>671</v>
      </c>
      <c r="C322" s="65" t="s">
        <v>671</v>
      </c>
      <c r="D322" s="65" t="s">
        <v>671</v>
      </c>
      <c r="E322" s="65" t="str">
        <v>Tuni-Kotananduru-Kotananduru-Kotananduru</v>
      </c>
      <c r="F322" s="65"/>
      <c r="G322" s="65"/>
      <c r="H322" s="65"/>
      <c r="I322" s="65"/>
      <c r="J322" s="65"/>
      <c r="K322" s="65"/>
      <c r="L322" s="65"/>
      <c r="M322" s="65"/>
      <c r="N322" s="65"/>
    </row>
    <row r="323" spans="1:14" ht="12.75">
      <c r="A323" s="65" t="s">
        <v>7</v>
      </c>
      <c r="B323" s="65" t="s">
        <v>671</v>
      </c>
      <c r="C323" s="65" t="s">
        <v>698</v>
      </c>
      <c r="D323" s="65" t="s">
        <v>698</v>
      </c>
      <c r="E323" s="65" t="str">
        <v>Tuni-Kotananduru-L.D.Peta-L.D.Peta</v>
      </c>
      <c r="F323" s="65"/>
      <c r="G323" s="65"/>
      <c r="H323" s="65"/>
      <c r="I323" s="65"/>
      <c r="J323" s="65"/>
      <c r="K323" s="65"/>
      <c r="L323" s="65"/>
      <c r="M323" s="65"/>
      <c r="N323" s="65"/>
    </row>
    <row r="324" spans="1:14" ht="12.75">
      <c r="A324" s="65" t="s">
        <v>7</v>
      </c>
      <c r="B324" s="65" t="s">
        <v>671</v>
      </c>
      <c r="C324" s="65" t="s">
        <v>700</v>
      </c>
      <c r="D324" s="65" t="s">
        <v>700</v>
      </c>
      <c r="E324" s="65" t="str">
        <v>Tuni-Kotananduru-P.Kottam-P.Kottam</v>
      </c>
      <c r="F324" s="65"/>
      <c r="G324" s="65"/>
      <c r="H324" s="65"/>
      <c r="I324" s="65"/>
      <c r="J324" s="65"/>
      <c r="K324" s="65"/>
      <c r="L324" s="65"/>
      <c r="M324" s="65"/>
      <c r="N324" s="65"/>
    </row>
    <row r="325" spans="1:14" ht="12.75">
      <c r="A325" s="65" t="s">
        <v>7</v>
      </c>
      <c r="B325" s="65" t="s">
        <v>671</v>
      </c>
      <c r="C325" s="65" t="s">
        <v>702</v>
      </c>
      <c r="D325" s="65" t="s">
        <v>702</v>
      </c>
      <c r="E325" s="65" t="str">
        <v>Tuni-Kotananduru-Surapurajupeta-Surapurajupeta</v>
      </c>
      <c r="F325" s="65"/>
      <c r="G325" s="65"/>
      <c r="H325" s="65"/>
      <c r="I325" s="65"/>
      <c r="J325" s="65"/>
      <c r="K325" s="65"/>
      <c r="L325" s="65"/>
      <c r="M325" s="65"/>
      <c r="N325" s="65"/>
    </row>
    <row r="326" spans="1:14" ht="12.75">
      <c r="A326" s="65" t="s">
        <v>7</v>
      </c>
      <c r="B326" s="65" t="s">
        <v>671</v>
      </c>
      <c r="C326" s="65" t="s">
        <v>704</v>
      </c>
      <c r="D326" s="65" t="s">
        <v>704</v>
      </c>
      <c r="E326" s="65" t="str">
        <v>Tuni-Kotananduru-T.J.Nagaram-T.J.Nagaram</v>
      </c>
      <c r="F326" s="65"/>
      <c r="G326" s="65"/>
      <c r="H326" s="65"/>
      <c r="I326" s="65"/>
      <c r="J326" s="65"/>
      <c r="K326" s="65"/>
      <c r="L326" s="65"/>
      <c r="M326" s="65"/>
      <c r="N326" s="65"/>
    </row>
    <row r="327" spans="1:14" ht="12.75">
      <c r="A327" s="65" t="s">
        <v>7</v>
      </c>
      <c r="B327" s="65" t="s">
        <v>706</v>
      </c>
      <c r="C327" s="65" t="s">
        <v>707</v>
      </c>
      <c r="D327" s="65" t="s">
        <v>707</v>
      </c>
      <c r="E327" s="65" t="str">
        <v>Tuni-Thondangi-A.Kothapalle-A.Kothapalle</v>
      </c>
      <c r="F327" s="65"/>
      <c r="G327" s="65"/>
      <c r="H327" s="65"/>
      <c r="I327" s="65"/>
      <c r="J327" s="65"/>
      <c r="K327" s="65"/>
      <c r="L327" s="65"/>
      <c r="M327" s="65"/>
      <c r="N327" s="65"/>
    </row>
    <row r="328" spans="1:14" ht="12.75">
      <c r="A328" s="65" t="s">
        <v>7</v>
      </c>
      <c r="B328" s="65" t="s">
        <v>706</v>
      </c>
      <c r="C328" s="65" t="s">
        <v>709</v>
      </c>
      <c r="D328" s="65" t="s">
        <v>709</v>
      </c>
      <c r="E328" s="65" t="str">
        <v>Tuni-Thondangi-A.V.Nagaram-A.V.Nagaram</v>
      </c>
      <c r="F328" s="65"/>
      <c r="G328" s="65"/>
      <c r="H328" s="65"/>
      <c r="I328" s="65"/>
      <c r="J328" s="65"/>
      <c r="K328" s="65"/>
      <c r="L328" s="65"/>
      <c r="M328" s="65"/>
      <c r="N328" s="65"/>
    </row>
    <row r="329" spans="1:14" ht="12.75">
      <c r="A329" s="65" t="s">
        <v>7</v>
      </c>
      <c r="B329" s="65" t="s">
        <v>706</v>
      </c>
      <c r="C329" s="65" t="s">
        <v>711</v>
      </c>
      <c r="D329" s="65" t="s">
        <v>711</v>
      </c>
      <c r="E329" s="65" t="str">
        <v>Tuni-Thondangi-Addaripeta-Addaripeta</v>
      </c>
      <c r="F329" s="65"/>
      <c r="G329" s="65"/>
      <c r="H329" s="65"/>
      <c r="I329" s="65"/>
      <c r="J329" s="65"/>
      <c r="K329" s="65"/>
      <c r="L329" s="65"/>
      <c r="M329" s="65"/>
      <c r="N329" s="65"/>
    </row>
    <row r="330" spans="1:14" ht="12.75">
      <c r="A330" s="65" t="s">
        <v>7</v>
      </c>
      <c r="B330" s="65" t="s">
        <v>706</v>
      </c>
      <c r="C330" s="65" t="s">
        <v>712</v>
      </c>
      <c r="D330" s="65" t="s">
        <v>712</v>
      </c>
      <c r="E330" s="65" t="str">
        <v>Tuni-Thondangi-Bendapudi-Bendapudi</v>
      </c>
      <c r="F330" s="65"/>
      <c r="G330" s="65"/>
      <c r="H330" s="65"/>
      <c r="I330" s="65"/>
      <c r="J330" s="65"/>
      <c r="K330" s="65"/>
      <c r="L330" s="65"/>
      <c r="M330" s="65"/>
      <c r="N330" s="65"/>
    </row>
    <row r="331" spans="1:14" ht="12.75">
      <c r="A331" s="65" t="s">
        <v>7</v>
      </c>
      <c r="B331" s="65" t="s">
        <v>706</v>
      </c>
      <c r="C331" s="65" t="s">
        <v>714</v>
      </c>
      <c r="D331" s="65" t="s">
        <v>714</v>
      </c>
      <c r="E331" s="65" t="str">
        <v>Tuni-Thondangi-Danavaipeta-Danavaipeta</v>
      </c>
      <c r="F331" s="65"/>
      <c r="G331" s="65"/>
      <c r="H331" s="65"/>
      <c r="I331" s="65"/>
      <c r="J331" s="65"/>
      <c r="K331" s="65"/>
      <c r="L331" s="65"/>
      <c r="M331" s="65"/>
      <c r="N331" s="65"/>
    </row>
    <row r="332" spans="1:14" ht="12.75">
      <c r="A332" s="65" t="s">
        <v>7</v>
      </c>
      <c r="B332" s="65" t="s">
        <v>706</v>
      </c>
      <c r="C332" s="65" t="s">
        <v>716</v>
      </c>
      <c r="D332" s="65" t="s">
        <v>716</v>
      </c>
      <c r="E332" s="65" t="str">
        <v>Tuni-Thondangi-Gollamusalayyapeta-Gollamusalayyapeta</v>
      </c>
      <c r="F332" s="65"/>
      <c r="G332" s="65"/>
      <c r="H332" s="65"/>
      <c r="I332" s="65"/>
      <c r="J332" s="65"/>
      <c r="K332" s="65"/>
      <c r="L332" s="65"/>
      <c r="M332" s="65"/>
      <c r="N332" s="65"/>
    </row>
    <row r="333" spans="1:14" ht="12.75">
      <c r="A333" s="65" t="s">
        <v>7</v>
      </c>
      <c r="B333" s="65" t="s">
        <v>706</v>
      </c>
      <c r="C333" s="65" t="s">
        <v>718</v>
      </c>
      <c r="D333" s="65" t="s">
        <v>718</v>
      </c>
      <c r="E333" s="65" t="str">
        <v>Tuni-Thondangi-Gopalapatnam-Gopalapatnam</v>
      </c>
      <c r="F333" s="65"/>
      <c r="G333" s="65"/>
      <c r="H333" s="65"/>
      <c r="I333" s="65"/>
      <c r="J333" s="65"/>
      <c r="K333" s="65"/>
      <c r="L333" s="65"/>
      <c r="M333" s="65"/>
      <c r="N333" s="65"/>
    </row>
    <row r="334" spans="1:14" ht="12.75">
      <c r="A334" s="65" t="s">
        <v>7</v>
      </c>
      <c r="B334" s="65" t="s">
        <v>706</v>
      </c>
      <c r="C334" s="65" t="s">
        <v>720</v>
      </c>
      <c r="D334" s="65" t="s">
        <v>720</v>
      </c>
      <c r="E334" s="65" t="str">
        <v>Tuni-Thondangi-Kodada-Kodada</v>
      </c>
      <c r="F334" s="65"/>
      <c r="G334" s="65"/>
      <c r="H334" s="65"/>
      <c r="I334" s="65"/>
      <c r="J334" s="65"/>
      <c r="K334" s="65"/>
      <c r="L334" s="65"/>
      <c r="M334" s="65"/>
      <c r="N334" s="65"/>
    </row>
    <row r="335" spans="1:14" ht="12.75">
      <c r="A335" s="65" t="s">
        <v>7</v>
      </c>
      <c r="B335" s="65" t="s">
        <v>706</v>
      </c>
      <c r="C335" s="65" t="s">
        <v>722</v>
      </c>
      <c r="D335" s="65" t="s">
        <v>722</v>
      </c>
      <c r="E335" s="65" t="str">
        <v>Tuni-Thondangi-Kommanapalle-Kommanapalle</v>
      </c>
      <c r="F335" s="65"/>
      <c r="G335" s="65"/>
      <c r="H335" s="65"/>
      <c r="I335" s="65"/>
      <c r="J335" s="65"/>
      <c r="K335" s="65"/>
      <c r="L335" s="65"/>
      <c r="M335" s="65"/>
      <c r="N335" s="65"/>
    </row>
    <row r="336" spans="1:14" ht="12.75">
      <c r="A336" s="65" t="s">
        <v>7</v>
      </c>
      <c r="B336" s="65" t="s">
        <v>706</v>
      </c>
      <c r="C336" s="65" t="s">
        <v>724</v>
      </c>
      <c r="D336" s="65" t="s">
        <v>724</v>
      </c>
      <c r="E336" s="65" t="str">
        <v>Tuni-Thondangi-Kothaperumalapuram-Kothaperumalapuram</v>
      </c>
      <c r="F336" s="65"/>
      <c r="G336" s="65"/>
      <c r="H336" s="65"/>
      <c r="I336" s="65"/>
      <c r="J336" s="65"/>
      <c r="K336" s="65"/>
      <c r="L336" s="65"/>
      <c r="M336" s="65"/>
      <c r="N336" s="65"/>
    </row>
    <row r="337" spans="1:14" ht="12.75">
      <c r="A337" s="65" t="s">
        <v>7</v>
      </c>
      <c r="B337" s="65" t="s">
        <v>706</v>
      </c>
      <c r="C337" s="65" t="s">
        <v>726</v>
      </c>
      <c r="D337" s="65" t="s">
        <v>726</v>
      </c>
      <c r="E337" s="65" t="str">
        <v>Tuni-Thondangi-Krishanpuram-Krishanpuram</v>
      </c>
      <c r="F337" s="65"/>
      <c r="G337" s="65"/>
      <c r="H337" s="65"/>
      <c r="I337" s="65"/>
      <c r="J337" s="65"/>
      <c r="K337" s="65"/>
      <c r="L337" s="65"/>
      <c r="M337" s="65"/>
      <c r="N337" s="65"/>
    </row>
    <row r="338" spans="1:14" ht="12.75">
      <c r="A338" s="65" t="s">
        <v>7</v>
      </c>
      <c r="B338" s="65" t="s">
        <v>706</v>
      </c>
      <c r="C338" s="65" t="s">
        <v>728</v>
      </c>
      <c r="D338" s="65" t="s">
        <v>728</v>
      </c>
      <c r="E338" s="65" t="str">
        <v>Tuni-Thondangi-Ontimamidi-Ontimamidi</v>
      </c>
      <c r="F338" s="65"/>
      <c r="G338" s="65"/>
      <c r="H338" s="65"/>
      <c r="I338" s="65"/>
      <c r="J338" s="65"/>
      <c r="K338" s="65"/>
      <c r="L338" s="65"/>
      <c r="M338" s="65"/>
      <c r="N338" s="65"/>
    </row>
    <row r="339" spans="1:14" ht="12.75">
      <c r="A339" s="65" t="s">
        <v>7</v>
      </c>
      <c r="B339" s="65" t="s">
        <v>706</v>
      </c>
      <c r="C339" s="65" t="s">
        <v>729</v>
      </c>
      <c r="D339" s="65" t="s">
        <v>729</v>
      </c>
      <c r="E339" s="65" t="str">
        <v>Tuni-Thondangi-P.Agraharam-P.Agraharam</v>
      </c>
      <c r="F339" s="65"/>
      <c r="G339" s="65"/>
      <c r="H339" s="65"/>
      <c r="I339" s="65"/>
      <c r="J339" s="65"/>
      <c r="K339" s="65"/>
      <c r="L339" s="65"/>
      <c r="M339" s="65"/>
      <c r="N339" s="65"/>
    </row>
    <row r="340" spans="1:14" ht="12.75">
      <c r="A340" s="65" t="s">
        <v>7</v>
      </c>
      <c r="B340" s="65" t="s">
        <v>706</v>
      </c>
      <c r="C340" s="65" t="s">
        <v>731</v>
      </c>
      <c r="D340" s="65" t="s">
        <v>731</v>
      </c>
      <c r="E340" s="65" t="str">
        <v>Tuni-Thondangi-P.E.Chinnayapalem-P.E.Chinnayapalem</v>
      </c>
      <c r="F340" s="65"/>
      <c r="G340" s="65"/>
      <c r="H340" s="65"/>
      <c r="I340" s="65"/>
      <c r="J340" s="65"/>
      <c r="K340" s="65"/>
      <c r="L340" s="65"/>
      <c r="M340" s="65"/>
      <c r="N340" s="65"/>
    </row>
    <row r="341" spans="1:14" ht="12.75">
      <c r="A341" s="65" t="s">
        <v>7</v>
      </c>
      <c r="B341" s="65" t="s">
        <v>706</v>
      </c>
      <c r="C341" s="65" t="s">
        <v>733</v>
      </c>
      <c r="D341" s="65" t="s">
        <v>343</v>
      </c>
      <c r="E341" s="65" t="str">
        <v>Tuni-Thondangi-Pydikonda-Anuru</v>
      </c>
      <c r="F341" s="65"/>
      <c r="G341" s="65"/>
      <c r="H341" s="65"/>
      <c r="I341" s="65"/>
      <c r="J341" s="65"/>
      <c r="K341" s="65"/>
      <c r="L341" s="65"/>
      <c r="M341" s="65"/>
      <c r="N341" s="65"/>
    </row>
    <row r="342" spans="1:14" ht="12.75">
      <c r="A342" s="65" t="s">
        <v>7</v>
      </c>
      <c r="B342" s="65" t="s">
        <v>706</v>
      </c>
      <c r="C342" s="65" t="s">
        <v>733</v>
      </c>
      <c r="D342" s="65" t="s">
        <v>733</v>
      </c>
      <c r="E342" s="65" t="str">
        <v>Tuni-Thondangi-Pydikonda-Pydikonda</v>
      </c>
      <c r="F342" s="65"/>
      <c r="G342" s="65"/>
      <c r="H342" s="65"/>
      <c r="I342" s="65"/>
      <c r="J342" s="65"/>
      <c r="K342" s="65"/>
      <c r="L342" s="65"/>
      <c r="M342" s="65"/>
      <c r="N342" s="65"/>
    </row>
    <row r="343" spans="1:14" ht="12.75">
      <c r="A343" s="65" t="s">
        <v>7</v>
      </c>
      <c r="B343" s="65" t="s">
        <v>706</v>
      </c>
      <c r="C343" s="65" t="s">
        <v>735</v>
      </c>
      <c r="D343" s="65" t="s">
        <v>735</v>
      </c>
      <c r="E343" s="65" t="str">
        <v>Tuni-Thondangi-Ravikampadu-Ravikampadu</v>
      </c>
      <c r="F343" s="65"/>
      <c r="G343" s="65"/>
      <c r="H343" s="65"/>
      <c r="I343" s="65"/>
      <c r="J343" s="65"/>
      <c r="K343" s="65"/>
      <c r="L343" s="65"/>
      <c r="M343" s="65"/>
      <c r="N343" s="65"/>
    </row>
    <row r="344" spans="1:14" ht="12.75">
      <c r="A344" s="65" t="s">
        <v>7</v>
      </c>
      <c r="B344" s="65" t="s">
        <v>706</v>
      </c>
      <c r="C344" s="65" t="s">
        <v>737</v>
      </c>
      <c r="D344" s="65" t="s">
        <v>737</v>
      </c>
      <c r="E344" s="65" t="str">
        <v>Tuni-Thondangi-Seetharampuram-Seetharampuram</v>
      </c>
      <c r="F344" s="65"/>
      <c r="G344" s="65"/>
      <c r="H344" s="65"/>
      <c r="I344" s="65"/>
      <c r="J344" s="65"/>
      <c r="K344" s="65"/>
      <c r="L344" s="65"/>
      <c r="M344" s="65"/>
      <c r="N344" s="65"/>
    </row>
    <row r="345" spans="1:14" ht="12.75">
      <c r="A345" s="65" t="s">
        <v>7</v>
      </c>
      <c r="B345" s="65" t="s">
        <v>706</v>
      </c>
      <c r="C345" s="65" t="s">
        <v>739</v>
      </c>
      <c r="D345" s="65" t="s">
        <v>739</v>
      </c>
      <c r="E345" s="65" t="str">
        <v>Tuni-Thondangi-Srungavruksham-Srungavruksham</v>
      </c>
      <c r="F345" s="65"/>
      <c r="G345" s="65"/>
      <c r="H345" s="65"/>
      <c r="I345" s="65"/>
      <c r="J345" s="65"/>
      <c r="K345" s="65"/>
      <c r="L345" s="65"/>
      <c r="M345" s="65"/>
      <c r="N345" s="65"/>
    </row>
    <row r="346" spans="1:14" ht="12.75">
      <c r="A346" s="65" t="s">
        <v>7</v>
      </c>
      <c r="B346" s="65" t="s">
        <v>706</v>
      </c>
      <c r="C346" s="65" t="s">
        <v>706</v>
      </c>
      <c r="D346" s="65" t="s">
        <v>706</v>
      </c>
      <c r="E346" s="65" t="str">
        <v>Tuni-Thondangi-Thondangi-Thondangi</v>
      </c>
      <c r="F346" s="65"/>
      <c r="G346" s="65"/>
      <c r="H346" s="65"/>
      <c r="I346" s="65"/>
      <c r="J346" s="65"/>
      <c r="K346" s="65"/>
      <c r="L346" s="65"/>
      <c r="M346" s="65"/>
      <c r="N346" s="65"/>
    </row>
    <row r="347" spans="1:14" ht="12.75">
      <c r="A347" s="65" t="s">
        <v>7</v>
      </c>
      <c r="B347" s="65" t="s">
        <v>706</v>
      </c>
      <c r="C347" s="65" t="s">
        <v>742</v>
      </c>
      <c r="D347" s="65" t="s">
        <v>742</v>
      </c>
      <c r="E347" s="65" t="str">
        <v>Tuni-Thondangi-Vemavaram-Vemavaram</v>
      </c>
      <c r="F347" s="65"/>
      <c r="G347" s="65"/>
      <c r="H347" s="65"/>
      <c r="I347" s="65"/>
      <c r="J347" s="65"/>
      <c r="K347" s="65"/>
      <c r="L347" s="65"/>
      <c r="M347" s="65"/>
      <c r="N347" s="65"/>
    </row>
    <row r="348" spans="1:14" ht="12.75">
      <c r="A348" s="65" t="s">
        <v>7</v>
      </c>
      <c r="B348" s="65" t="s">
        <v>706</v>
      </c>
      <c r="C348" s="65" t="s">
        <v>744</v>
      </c>
      <c r="D348" s="65" t="s">
        <v>744</v>
      </c>
      <c r="E348" s="65" t="str">
        <v>Tuni-Thondangi-Yellayyapeta-Yellayyapeta</v>
      </c>
      <c r="F348" s="65"/>
      <c r="G348" s="65"/>
      <c r="H348" s="65"/>
      <c r="I348" s="65"/>
      <c r="J348" s="65"/>
      <c r="K348" s="65"/>
      <c r="L348" s="65"/>
      <c r="M348" s="65"/>
      <c r="N348" s="65"/>
    </row>
    <row r="349" spans="1:14" ht="12.75">
      <c r="A349" s="65" t="s">
        <v>7</v>
      </c>
      <c r="B349" s="65" t="s">
        <v>706</v>
      </c>
      <c r="C349" s="65" t="s">
        <v>746</v>
      </c>
      <c r="D349" s="65" t="s">
        <v>746</v>
      </c>
      <c r="E349" s="65" t="str">
        <v>Tuni-Thondangi-Yerrayyapeta-Yerrayyapeta</v>
      </c>
      <c r="F349" s="65"/>
      <c r="G349" s="65"/>
      <c r="H349" s="65"/>
      <c r="I349" s="65"/>
      <c r="J349" s="65"/>
      <c r="K349" s="65"/>
      <c r="L349" s="65"/>
      <c r="M349" s="65"/>
      <c r="N349" s="65"/>
    </row>
    <row r="350" spans="1:14" ht="12.75">
      <c r="A350" s="65" t="s">
        <v>7</v>
      </c>
      <c r="B350" s="65" t="s">
        <v>7</v>
      </c>
      <c r="C350" s="65" t="s">
        <v>748</v>
      </c>
      <c r="D350" s="65" t="s">
        <v>748</v>
      </c>
      <c r="E350" s="65" t="str">
        <v>Tuni-Tuni-Agraharam-Agraharam</v>
      </c>
      <c r="F350" s="65"/>
      <c r="G350" s="65"/>
      <c r="H350" s="65"/>
      <c r="I350" s="65"/>
      <c r="J350" s="65"/>
      <c r="K350" s="65"/>
      <c r="L350" s="65"/>
      <c r="M350" s="65"/>
      <c r="N350" s="65"/>
    </row>
    <row r="351" spans="1:14" ht="12.75">
      <c r="A351" s="65" t="s">
        <v>7</v>
      </c>
      <c r="B351" s="65" t="s">
        <v>7</v>
      </c>
      <c r="C351" s="65" t="s">
        <v>749</v>
      </c>
      <c r="D351" s="65" t="s">
        <v>749</v>
      </c>
      <c r="E351" s="65" t="str">
        <v>Tuni-Tuni-Atikivanipalem-Atikivanipalem</v>
      </c>
      <c r="F351" s="65"/>
      <c r="G351" s="65"/>
      <c r="H351" s="65"/>
      <c r="I351" s="65"/>
      <c r="J351" s="65"/>
      <c r="K351" s="65"/>
      <c r="L351" s="65"/>
      <c r="M351" s="65"/>
      <c r="N351" s="65"/>
    </row>
    <row r="352" spans="1:14" ht="12.75">
      <c r="A352" s="65" t="s">
        <v>7</v>
      </c>
      <c r="B352" s="65" t="s">
        <v>7</v>
      </c>
      <c r="C352" s="65" t="s">
        <v>751</v>
      </c>
      <c r="D352" s="65" t="s">
        <v>751</v>
      </c>
      <c r="E352" s="65" t="str">
        <v>Tuni-Tuni-Chamavaram-Chamavaram</v>
      </c>
      <c r="F352" s="65"/>
      <c r="G352" s="65"/>
      <c r="H352" s="65"/>
      <c r="I352" s="65"/>
      <c r="J352" s="65"/>
      <c r="K352" s="65"/>
      <c r="L352" s="65"/>
      <c r="M352" s="65"/>
      <c r="N352" s="65"/>
    </row>
    <row r="353" spans="1:14" ht="12.75">
      <c r="A353" s="65" t="s">
        <v>7</v>
      </c>
      <c r="B353" s="65" t="s">
        <v>7</v>
      </c>
      <c r="C353" s="65" t="s">
        <v>753</v>
      </c>
      <c r="D353" s="65" t="s">
        <v>753</v>
      </c>
      <c r="E353" s="65" t="str">
        <v>Tuni-Tuni-Chepuru-Chepuru</v>
      </c>
      <c r="F353" s="65"/>
      <c r="G353" s="65"/>
      <c r="H353" s="65"/>
      <c r="I353" s="65"/>
      <c r="J353" s="65"/>
      <c r="K353" s="65"/>
      <c r="L353" s="65"/>
      <c r="M353" s="65"/>
      <c r="N353" s="65"/>
    </row>
    <row r="354" spans="1:14" ht="12.75">
      <c r="A354" s="65" t="s">
        <v>7</v>
      </c>
      <c r="B354" s="65" t="s">
        <v>7</v>
      </c>
      <c r="C354" s="65" t="s">
        <v>755</v>
      </c>
      <c r="D354" s="65" t="s">
        <v>755</v>
      </c>
      <c r="E354" s="65" t="str">
        <v>Tuni-Tuni-D.Polavaram-D.Polavaram</v>
      </c>
      <c r="F354" s="65"/>
      <c r="G354" s="65"/>
      <c r="H354" s="65"/>
      <c r="I354" s="65"/>
      <c r="J354" s="65"/>
      <c r="K354" s="65"/>
      <c r="L354" s="65"/>
      <c r="M354" s="65"/>
      <c r="N354" s="65"/>
    </row>
    <row r="355" spans="1:14" ht="12.75">
      <c r="A355" s="65" t="s">
        <v>7</v>
      </c>
      <c r="B355" s="65" t="s">
        <v>7</v>
      </c>
      <c r="C355" s="65" t="s">
        <v>757</v>
      </c>
      <c r="D355" s="65" t="s">
        <v>758</v>
      </c>
      <c r="E355" s="65" t="str">
        <v>Tuni-Tuni-Dondavaka-SK. Rajanagaram</v>
      </c>
      <c r="F355" s="65"/>
      <c r="G355" s="65"/>
      <c r="H355" s="65"/>
      <c r="I355" s="65"/>
      <c r="J355" s="65"/>
      <c r="K355" s="65"/>
      <c r="L355" s="65"/>
      <c r="M355" s="65"/>
      <c r="N355" s="65"/>
    </row>
    <row r="356" spans="1:14" ht="12.75">
      <c r="A356" s="65" t="s">
        <v>7</v>
      </c>
      <c r="B356" s="65" t="s">
        <v>7</v>
      </c>
      <c r="C356" s="65" t="s">
        <v>757</v>
      </c>
      <c r="D356" s="65" t="s">
        <v>757</v>
      </c>
      <c r="E356" s="65" t="str">
        <v>Tuni-Tuni-Dondavaka-Dondavaka</v>
      </c>
      <c r="F356" s="65"/>
      <c r="G356" s="65"/>
      <c r="H356" s="65"/>
      <c r="I356" s="65"/>
      <c r="J356" s="65"/>
      <c r="K356" s="65"/>
      <c r="L356" s="65"/>
      <c r="M356" s="65"/>
      <c r="N356" s="65"/>
    </row>
    <row r="357" spans="1:14" ht="12.75">
      <c r="A357" s="65" t="s">
        <v>7</v>
      </c>
      <c r="B357" s="65" t="s">
        <v>7</v>
      </c>
      <c r="C357" s="65" t="s">
        <v>760</v>
      </c>
      <c r="D357" s="65" t="s">
        <v>760</v>
      </c>
      <c r="E357" s="65" t="str">
        <v>Tuni-Tuni-H Kothuru-H Kothuru</v>
      </c>
      <c r="F357" s="65"/>
      <c r="G357" s="65"/>
      <c r="H357" s="65"/>
      <c r="I357" s="65"/>
      <c r="J357" s="65"/>
      <c r="K357" s="65"/>
      <c r="L357" s="65"/>
      <c r="M357" s="65"/>
      <c r="N357" s="65"/>
    </row>
    <row r="358" spans="1:14" ht="12.75">
      <c r="A358" s="65" t="s">
        <v>7</v>
      </c>
      <c r="B358" s="65" t="s">
        <v>7</v>
      </c>
      <c r="C358" s="65" t="s">
        <v>761</v>
      </c>
      <c r="D358" s="65" t="s">
        <v>761</v>
      </c>
      <c r="E358" s="65" t="str">
        <v>Tuni-Tuni-Hamsavaram-Hamsavaram</v>
      </c>
      <c r="F358" s="65"/>
      <c r="G358" s="65"/>
      <c r="H358" s="65"/>
      <c r="I358" s="65"/>
      <c r="J358" s="65"/>
      <c r="K358" s="65"/>
      <c r="L358" s="65"/>
      <c r="M358" s="65"/>
      <c r="N358" s="65"/>
    </row>
    <row r="359" spans="1:14" ht="12.75">
      <c r="A359" s="65" t="s">
        <v>7</v>
      </c>
      <c r="B359" s="65" t="s">
        <v>7</v>
      </c>
      <c r="C359" s="65" t="s">
        <v>763</v>
      </c>
      <c r="D359" s="65" t="s">
        <v>763</v>
      </c>
      <c r="E359" s="65" t="str">
        <v>Tuni-Tuni-K.O.Mallavaram-K.O.Mallavaram</v>
      </c>
      <c r="F359" s="65"/>
      <c r="G359" s="65"/>
      <c r="H359" s="65"/>
      <c r="I359" s="65"/>
      <c r="J359" s="65"/>
      <c r="K359" s="65"/>
      <c r="L359" s="65"/>
      <c r="M359" s="65"/>
      <c r="N359" s="65"/>
    </row>
    <row r="360" spans="1:14" ht="12.75">
      <c r="A360" s="65" t="s">
        <v>7</v>
      </c>
      <c r="B360" s="65" t="s">
        <v>7</v>
      </c>
      <c r="C360" s="65" t="s">
        <v>765</v>
      </c>
      <c r="D360" s="65" t="s">
        <v>765</v>
      </c>
      <c r="E360" s="65" t="str">
        <v>Tuni-Tuni-Kolimeru-Kolimeru</v>
      </c>
      <c r="F360" s="65"/>
      <c r="G360" s="65"/>
      <c r="H360" s="65"/>
      <c r="I360" s="65"/>
      <c r="J360" s="65"/>
      <c r="K360" s="65"/>
      <c r="L360" s="65"/>
      <c r="M360" s="65"/>
      <c r="N360" s="65"/>
    </row>
    <row r="361" spans="1:14" ht="12.75">
      <c r="A361" s="65" t="s">
        <v>7</v>
      </c>
      <c r="B361" s="65" t="s">
        <v>7</v>
      </c>
      <c r="C361" s="65" t="s">
        <v>765</v>
      </c>
      <c r="D361" s="65" t="s">
        <v>767</v>
      </c>
      <c r="E361" s="65" t="str">
        <v>Tuni-Tuni-Kolimeru-Nandivampu</v>
      </c>
      <c r="F361" s="65"/>
      <c r="G361" s="65"/>
      <c r="H361" s="65"/>
      <c r="I361" s="65"/>
      <c r="J361" s="65"/>
      <c r="K361" s="65"/>
      <c r="L361" s="65"/>
      <c r="M361" s="65"/>
      <c r="N361" s="65"/>
    </row>
    <row r="362" spans="1:14" ht="12.75">
      <c r="A362" s="65" t="s">
        <v>7</v>
      </c>
      <c r="B362" s="65" t="s">
        <v>7</v>
      </c>
      <c r="C362" s="65" t="s">
        <v>554</v>
      </c>
      <c r="D362" s="65" t="s">
        <v>554</v>
      </c>
      <c r="E362" s="65" t="str">
        <v>Tuni-Tuni-Kothuru-Kothuru</v>
      </c>
      <c r="F362" s="65"/>
      <c r="G362" s="65"/>
      <c r="H362" s="65"/>
      <c r="I362" s="65"/>
      <c r="J362" s="65"/>
      <c r="K362" s="65"/>
      <c r="L362" s="65"/>
      <c r="M362" s="65"/>
      <c r="N362" s="65"/>
    </row>
    <row r="363" spans="1:14" ht="12.75">
      <c r="A363" s="65" t="s">
        <v>7</v>
      </c>
      <c r="B363" s="65" t="s">
        <v>7</v>
      </c>
      <c r="C363" s="65" t="s">
        <v>554</v>
      </c>
      <c r="D363" s="65" t="s">
        <v>768</v>
      </c>
      <c r="E363" s="65" t="str">
        <v>Tuni-Tuni-Kothuru-Velama Kothuru</v>
      </c>
      <c r="F363" s="65"/>
      <c r="G363" s="65"/>
      <c r="H363" s="65"/>
      <c r="I363" s="65"/>
      <c r="J363" s="65"/>
      <c r="K363" s="65"/>
      <c r="L363" s="65"/>
      <c r="M363" s="65"/>
      <c r="N363" s="65"/>
    </row>
    <row r="364" spans="1:14" ht="12.75">
      <c r="A364" s="65" t="s">
        <v>7</v>
      </c>
      <c r="B364" s="65" t="s">
        <v>7</v>
      </c>
      <c r="C364" s="65" t="s">
        <v>769</v>
      </c>
      <c r="D364" s="65" t="s">
        <v>769</v>
      </c>
      <c r="E364" s="65" t="str">
        <v>Tuni-Tuni-Kummarilova-Kummarilova</v>
      </c>
      <c r="F364" s="65"/>
      <c r="G364" s="65"/>
      <c r="H364" s="65"/>
      <c r="I364" s="65"/>
      <c r="J364" s="65"/>
      <c r="K364" s="65"/>
      <c r="L364" s="65"/>
      <c r="M364" s="65"/>
      <c r="N364" s="65"/>
    </row>
    <row r="365" spans="1:14" ht="12.75">
      <c r="A365" s="65" t="s">
        <v>7</v>
      </c>
      <c r="B365" s="65" t="s">
        <v>7</v>
      </c>
      <c r="C365" s="65" t="s">
        <v>770</v>
      </c>
      <c r="D365" s="65" t="s">
        <v>770</v>
      </c>
      <c r="E365" s="65" t="str">
        <v>Tuni-Tuni-L Kothuru-L Kothuru</v>
      </c>
      <c r="F365" s="65"/>
      <c r="G365" s="65"/>
      <c r="H365" s="65"/>
      <c r="I365" s="65"/>
      <c r="J365" s="65"/>
      <c r="K365" s="65"/>
      <c r="L365" s="65"/>
      <c r="M365" s="65"/>
      <c r="N365" s="65"/>
    </row>
    <row r="366" spans="1:14" ht="12.75">
      <c r="A366" s="65" t="s">
        <v>7</v>
      </c>
      <c r="B366" s="65" t="s">
        <v>7</v>
      </c>
      <c r="C366" s="65" t="s">
        <v>771</v>
      </c>
      <c r="D366" s="65" t="s">
        <v>771</v>
      </c>
      <c r="E366" s="65" t="str">
        <v>Tuni-Tuni-N.Suravaram-N.Suravaram</v>
      </c>
      <c r="F366" s="65"/>
      <c r="G366" s="65"/>
      <c r="H366" s="65"/>
      <c r="I366" s="65"/>
      <c r="J366" s="65"/>
      <c r="K366" s="65"/>
      <c r="L366" s="65"/>
      <c r="M366" s="65"/>
      <c r="N366" s="65"/>
    </row>
    <row r="367" spans="1:14" ht="12.75">
      <c r="A367" s="65" t="s">
        <v>7</v>
      </c>
      <c r="B367" s="65" t="s">
        <v>7</v>
      </c>
      <c r="C367" s="65" t="s">
        <v>773</v>
      </c>
      <c r="D367" s="65" t="s">
        <v>773</v>
      </c>
      <c r="E367" s="65" t="str">
        <v>Tuni-Tuni-Rajupeta-Rajupeta</v>
      </c>
      <c r="F367" s="65"/>
      <c r="G367" s="65"/>
      <c r="H367" s="65"/>
      <c r="I367" s="65"/>
      <c r="J367" s="65"/>
      <c r="K367" s="65"/>
      <c r="L367" s="65"/>
      <c r="M367" s="65"/>
      <c r="N367" s="65"/>
    </row>
    <row r="368" spans="1:14" ht="12.75">
      <c r="A368" s="65" t="s">
        <v>7</v>
      </c>
      <c r="B368" s="65" t="s">
        <v>7</v>
      </c>
      <c r="C368" s="65" t="s">
        <v>774</v>
      </c>
      <c r="D368" s="65" t="s">
        <v>774</v>
      </c>
      <c r="E368" s="65" t="str">
        <v>Tuni-Tuni-Rapaka-Rapaka</v>
      </c>
      <c r="F368" s="65"/>
      <c r="G368" s="65"/>
      <c r="H368" s="65"/>
      <c r="I368" s="65"/>
      <c r="J368" s="65"/>
      <c r="K368" s="65"/>
      <c r="L368" s="65"/>
      <c r="M368" s="65"/>
      <c r="N368" s="65"/>
    </row>
    <row r="369" spans="1:14" ht="12.75">
      <c r="A369" s="65" t="s">
        <v>7</v>
      </c>
      <c r="B369" s="65" t="s">
        <v>7</v>
      </c>
      <c r="C369" s="65" t="s">
        <v>776</v>
      </c>
      <c r="D369" s="65" t="s">
        <v>777</v>
      </c>
      <c r="E369" s="65" t="str">
        <v>Tuni-Tuni-Rekhavanipalem-Maruvada</v>
      </c>
      <c r="F369" s="65"/>
      <c r="G369" s="65"/>
      <c r="H369" s="65"/>
      <c r="I369" s="65"/>
      <c r="J369" s="65"/>
      <c r="K369" s="65"/>
      <c r="L369" s="65"/>
      <c r="M369" s="65"/>
      <c r="N369" s="65"/>
    </row>
    <row r="370" spans="1:14" ht="12.75">
      <c r="A370" s="65" t="s">
        <v>7</v>
      </c>
      <c r="B370" s="65" t="s">
        <v>7</v>
      </c>
      <c r="C370" s="65" t="s">
        <v>776</v>
      </c>
      <c r="D370" s="65" t="s">
        <v>776</v>
      </c>
      <c r="E370" s="65" t="str">
        <v>Tuni-Tuni-Rekhavanipalem-Rekhavanipalem</v>
      </c>
      <c r="F370" s="65"/>
      <c r="G370" s="65"/>
      <c r="H370" s="65"/>
      <c r="I370" s="65"/>
      <c r="J370" s="65"/>
      <c r="K370" s="65"/>
      <c r="L370" s="65"/>
      <c r="M370" s="65"/>
      <c r="N370" s="65"/>
    </row>
    <row r="371" spans="1:14" ht="12.75">
      <c r="A371" s="65" t="s">
        <v>7</v>
      </c>
      <c r="B371" s="65" t="s">
        <v>7</v>
      </c>
      <c r="C371" s="65" t="s">
        <v>778</v>
      </c>
      <c r="D371" s="65" t="s">
        <v>778</v>
      </c>
      <c r="E371" s="65" t="str">
        <v>Tuni-Tuni-S.Annavaram-S.Annavaram</v>
      </c>
      <c r="F371" s="65"/>
      <c r="G371" s="65"/>
      <c r="H371" s="65"/>
      <c r="I371" s="65"/>
      <c r="J371" s="65"/>
      <c r="K371" s="65"/>
      <c r="L371" s="65"/>
      <c r="M371" s="65"/>
      <c r="N371" s="65"/>
    </row>
    <row r="372" spans="1:14" ht="12.75">
      <c r="A372" s="65" t="s">
        <v>7</v>
      </c>
      <c r="B372" s="65" t="s">
        <v>7</v>
      </c>
      <c r="C372" s="65" t="s">
        <v>134</v>
      </c>
      <c r="D372" s="65" t="s">
        <v>134</v>
      </c>
      <c r="E372" s="65" t="str">
        <v>Tuni-Tuni-Talluru-Talluru</v>
      </c>
      <c r="F372" s="65"/>
      <c r="G372" s="65"/>
      <c r="H372" s="65"/>
      <c r="I372" s="65"/>
      <c r="J372" s="65"/>
      <c r="K372" s="65"/>
      <c r="L372" s="65"/>
      <c r="M372" s="65"/>
      <c r="N372" s="65"/>
    </row>
    <row r="373" spans="1:14" ht="12.75">
      <c r="A373" s="65" t="s">
        <v>7</v>
      </c>
      <c r="B373" s="65" t="s">
        <v>7</v>
      </c>
      <c r="C373" s="65" t="s">
        <v>779</v>
      </c>
      <c r="D373" s="65" t="s">
        <v>779</v>
      </c>
      <c r="E373" s="65" t="str">
        <v>Tuni-Tuni-Tetagunta-Tetagunta</v>
      </c>
      <c r="F373" s="65"/>
      <c r="G373" s="65"/>
      <c r="H373" s="65"/>
      <c r="I373" s="65"/>
      <c r="J373" s="65"/>
      <c r="K373" s="65"/>
      <c r="L373" s="65"/>
      <c r="M373" s="65"/>
      <c r="N373" s="65"/>
    </row>
    <row r="374" spans="1:14" ht="12.75">
      <c r="A374" s="65" t="s">
        <v>7</v>
      </c>
      <c r="B374" s="65" t="s">
        <v>7</v>
      </c>
      <c r="C374" s="65" t="s">
        <v>781</v>
      </c>
      <c r="D374" s="65" t="s">
        <v>781</v>
      </c>
      <c r="E374" s="65" t="str">
        <v>Tuni-Tuni-Timmapuram-Timmapuram</v>
      </c>
      <c r="F374" s="65"/>
      <c r="G374" s="65"/>
      <c r="H374" s="65"/>
      <c r="I374" s="65"/>
      <c r="J374" s="65"/>
      <c r="K374" s="65"/>
      <c r="L374" s="65"/>
      <c r="M374" s="65"/>
      <c r="N374" s="65"/>
    </row>
    <row r="375" spans="1:14" ht="12.75">
      <c r="A375" s="65" t="s">
        <v>7</v>
      </c>
      <c r="B375" s="65" t="s">
        <v>7</v>
      </c>
      <c r="C375" s="65" t="s">
        <v>425</v>
      </c>
      <c r="D375" s="65" t="s">
        <v>425</v>
      </c>
      <c r="E375" s="65" t="str">
        <v>Tuni-Tuni-Valluru-Valluru</v>
      </c>
      <c r="F375" s="65"/>
      <c r="G375" s="65"/>
      <c r="H375" s="65"/>
      <c r="I375" s="65"/>
      <c r="J375" s="65"/>
      <c r="K375" s="65"/>
      <c r="L375" s="65"/>
      <c r="M375" s="65"/>
      <c r="N375" s="65"/>
    </row>
    <row r="376" spans="1:14" ht="12.75">
      <c r="A376" s="65" t="s">
        <v>7</v>
      </c>
      <c r="B376" s="65" t="s">
        <v>7</v>
      </c>
      <c r="C376" s="65" t="s">
        <v>579</v>
      </c>
      <c r="D376" s="65" t="s">
        <v>579</v>
      </c>
      <c r="E376" s="65" t="str">
        <v>Tuni-Tuni-Venkatanagaram-Venkatanagaram</v>
      </c>
      <c r="F376" s="65"/>
      <c r="G376" s="65"/>
      <c r="H376" s="65"/>
      <c r="I376" s="65"/>
      <c r="J376" s="65"/>
      <c r="K376" s="65"/>
      <c r="L376" s="65"/>
      <c r="M376" s="65"/>
      <c r="N376" s="65"/>
    </row>
    <row r="377" spans="1:14" ht="12.75">
      <c r="A377" s="65" t="s">
        <v>7</v>
      </c>
      <c r="B377" s="65" t="s">
        <v>785</v>
      </c>
      <c r="C377" s="65" t="s">
        <v>785</v>
      </c>
      <c r="D377" s="65" t="s">
        <v>785</v>
      </c>
      <c r="E377" s="65" t="str">
        <v>Tuni-Tuni Town-Tuni Town-Tuni Town</v>
      </c>
      <c r="F377" s="65"/>
      <c r="G377" s="65"/>
      <c r="H377" s="65"/>
      <c r="I377" s="65"/>
      <c r="J377" s="65"/>
      <c r="K377" s="65"/>
      <c r="L377" s="65"/>
      <c r="M377" s="65"/>
      <c r="N377" s="65"/>
    </row>
    <row r="378" spans="1:14" ht="12.75">
      <c r="A378" s="65" t="s">
        <v>10</v>
      </c>
      <c r="B378" s="65" t="s">
        <v>786</v>
      </c>
      <c r="C378" s="65" t="s">
        <v>786</v>
      </c>
      <c r="D378" s="65" t="s">
        <v>786</v>
      </c>
      <c r="E378" s="65" t="str">
        <v>Pithapuram-Pithapuram Town-Pithapuram Town-Pithapuram Town</v>
      </c>
      <c r="F378" s="65"/>
      <c r="G378" s="65"/>
      <c r="H378" s="65"/>
      <c r="I378" s="65"/>
      <c r="J378" s="65"/>
      <c r="K378" s="65"/>
      <c r="L378" s="65"/>
      <c r="M378" s="65"/>
      <c r="N378" s="65"/>
    </row>
    <row r="379" spans="1:14" ht="12.75">
      <c r="A379" s="65" t="s">
        <v>10</v>
      </c>
      <c r="B379" s="65" t="s">
        <v>787</v>
      </c>
      <c r="C379" s="65" t="s">
        <v>787</v>
      </c>
      <c r="D379" s="65" t="s">
        <v>787</v>
      </c>
      <c r="E379" s="65" t="str">
        <v>Pithapuram-Gollaprolu Town-Gollaprolu Town-Gollaprolu Town</v>
      </c>
      <c r="F379" s="65"/>
      <c r="G379" s="65"/>
      <c r="H379" s="65"/>
      <c r="I379" s="65"/>
      <c r="J379" s="65"/>
      <c r="K379" s="65" t="s">
        <v>1693</v>
      </c>
      <c r="L379" s="65"/>
      <c r="M379" s="65"/>
      <c r="N379" s="65"/>
    </row>
    <row r="380" spans="1:14" ht="12.75">
      <c r="A380" s="65" t="s">
        <v>8</v>
      </c>
      <c r="B380" s="65" t="s">
        <v>788</v>
      </c>
      <c r="C380" s="65" t="s">
        <v>788</v>
      </c>
      <c r="D380" s="65" t="s">
        <v>788</v>
      </c>
      <c r="E380" s="65" t="str">
        <v>Prathipadu-Yeleswaram Town-Yeleswaram Town-Yeleswaram Town</v>
      </c>
      <c r="F380" s="65"/>
      <c r="G380" s="65"/>
      <c r="H380" s="65"/>
      <c r="I380" s="65"/>
      <c r="J380" s="65"/>
      <c r="K380" s="65" t="s">
        <v>1694</v>
      </c>
      <c r="L380" s="65"/>
      <c r="M380" s="65"/>
      <c r="N380" s="65"/>
    </row>
    <row r="381" spans="1:14" ht="12.75">
      <c r="A381" s="65" t="s">
        <v>15</v>
      </c>
      <c r="B381" s="65" t="s">
        <v>789</v>
      </c>
      <c r="C381" s="65" t="s">
        <v>789</v>
      </c>
      <c r="D381" s="65" t="s">
        <v>789</v>
      </c>
      <c r="E381" s="65" t="str">
        <v>Peddapuram-Peddapuram Town-Peddapuram Town-Peddapuram Town</v>
      </c>
      <c r="F381" s="65"/>
      <c r="G381" s="65"/>
      <c r="H381" s="65"/>
      <c r="I381" s="65"/>
      <c r="J381" s="65"/>
      <c r="K381" s="65" t="s">
        <v>1695</v>
      </c>
      <c r="L381" s="65"/>
      <c r="M381" s="65"/>
      <c r="N381" s="65"/>
    </row>
    <row r="382" spans="1:14" ht="12.75">
      <c r="A382" s="65" t="s">
        <v>15</v>
      </c>
      <c r="B382" s="65" t="s">
        <v>790</v>
      </c>
      <c r="C382" s="65" t="s">
        <v>790</v>
      </c>
      <c r="D382" s="65" t="s">
        <v>790</v>
      </c>
      <c r="E382" s="65" t="str">
        <v>Peddapuram-Samalkota Town-Samalkota Town-Samalkota Town</v>
      </c>
      <c r="F382" s="65"/>
      <c r="G382" s="65"/>
      <c r="H382" s="65"/>
      <c r="I382" s="65"/>
      <c r="J382" s="65"/>
      <c r="K382" s="65" t="s">
        <v>1696</v>
      </c>
      <c r="L382" s="65"/>
      <c r="M382" s="65"/>
      <c r="N382" s="65"/>
    </row>
    <row r="383" spans="1:14" ht="12.75">
      <c r="A383" s="65" t="s">
        <v>16</v>
      </c>
      <c r="B383" s="65" t="s">
        <v>792</v>
      </c>
      <c r="C383" s="65" t="s">
        <v>792</v>
      </c>
      <c r="D383" s="65" t="s">
        <v>792</v>
      </c>
      <c r="E383" s="65" t="str">
        <v>Kakinada Urban-Kakinada City-Kakinada City-Kakinada City</v>
      </c>
      <c r="F383" s="65"/>
      <c r="G383" s="65"/>
      <c r="H383" s="65"/>
      <c r="I383" s="65"/>
      <c r="J383" s="65"/>
      <c r="K383" s="65" t="s">
        <v>1697</v>
      </c>
      <c r="L383" s="65"/>
      <c r="M383" s="65"/>
      <c r="N383" s="65"/>
    </row>
    <row r="384" spans="1:14" ht="12.75">
      <c r="A384" s="65" t="s">
        <v>11</v>
      </c>
      <c r="B384" s="65" t="s">
        <v>792</v>
      </c>
      <c r="C384" s="65" t="s">
        <v>792</v>
      </c>
      <c r="D384" s="65" t="s">
        <v>792</v>
      </c>
      <c r="E384" s="65" t="str">
        <v>Kakinada Rural-Kakinada City-Kakinada City-Kakinada City</v>
      </c>
      <c r="F384" s="65"/>
      <c r="G384" s="65"/>
      <c r="H384" s="65"/>
      <c r="I384" s="65"/>
      <c r="J384" s="65"/>
      <c r="K384" s="65" t="s">
        <v>1698</v>
      </c>
      <c r="L384" s="65"/>
      <c r="M384" s="65"/>
      <c r="N384" s="65"/>
    </row>
    <row r="385" spans="1:14" ht="12.75">
      <c r="A385" s="65" t="s">
        <v>10</v>
      </c>
      <c r="B385" s="65" t="s">
        <v>166</v>
      </c>
      <c r="C385" s="65" t="s">
        <v>483</v>
      </c>
      <c r="D385" s="65" t="s">
        <v>483</v>
      </c>
      <c r="E385" s="65" t="str">
        <v>Pithapuram-Kothapalle-Subbampeta-Subbampeta</v>
      </c>
      <c r="F385" s="65"/>
      <c r="G385" s="65"/>
      <c r="H385" s="65"/>
      <c r="I385" s="65"/>
      <c r="J385" s="65"/>
      <c r="K385" s="65" t="s">
        <v>1700</v>
      </c>
      <c r="L385" s="65"/>
      <c r="M385" s="65"/>
      <c r="N385" s="65"/>
    </row>
    <row r="386" spans="1:14" ht="12.75">
      <c r="A386" s="65"/>
      <c r="B386" s="65"/>
      <c r="C386" s="65"/>
      <c r="D386" s="65"/>
      <c r="E386" s="65" t="str">
        <v>---</v>
      </c>
      <c r="F386" s="65"/>
      <c r="G386" s="65"/>
      <c r="H386" s="65"/>
      <c r="I386" s="65"/>
      <c r="J386" s="65"/>
      <c r="K386" s="65" t="s">
        <v>1701</v>
      </c>
      <c r="L386" s="65"/>
      <c r="M386" s="65"/>
      <c r="N386" s="65"/>
    </row>
    <row r="387" spans="1:14" ht="12.75">
      <c r="A387" s="65"/>
      <c r="B387" s="65"/>
      <c r="C387" s="65"/>
      <c r="D387" s="65"/>
      <c r="E387" s="65" t="str">
        <v>---</v>
      </c>
      <c r="F387" s="65"/>
      <c r="G387" s="65"/>
      <c r="H387" s="65"/>
      <c r="I387" s="65"/>
      <c r="J387" s="65"/>
      <c r="K387" s="65" t="s">
        <v>1702</v>
      </c>
      <c r="L387" s="65"/>
      <c r="M387" s="65"/>
      <c r="N387" s="65"/>
    </row>
    <row r="388" spans="1:14" ht="12.75">
      <c r="A388" s="65"/>
      <c r="B388" s="65"/>
      <c r="C388" s="65"/>
      <c r="D388" s="65"/>
      <c r="E388" s="65" t="str">
        <v>---</v>
      </c>
      <c r="F388" s="65"/>
      <c r="G388" s="65"/>
      <c r="H388" s="65"/>
      <c r="I388" s="65"/>
      <c r="J388" s="65"/>
      <c r="K388" s="65" t="s">
        <v>1703</v>
      </c>
      <c r="L388" s="65"/>
      <c r="M388" s="65"/>
      <c r="N388" s="65"/>
    </row>
    <row r="389" spans="1:14" ht="12.75">
      <c r="A389" s="65"/>
      <c r="B389" s="65"/>
      <c r="C389" s="65"/>
      <c r="D389" s="65"/>
      <c r="E389" s="65" t="str">
        <v>---</v>
      </c>
      <c r="F389" s="65"/>
      <c r="G389" s="65"/>
      <c r="H389" s="65"/>
      <c r="I389" s="65"/>
      <c r="J389" s="65"/>
      <c r="K389" s="65" t="s">
        <v>1704</v>
      </c>
      <c r="L389" s="65"/>
      <c r="M389" s="65"/>
      <c r="N389" s="65"/>
    </row>
    <row r="390" spans="1:14" ht="12.75">
      <c r="A390" s="65"/>
      <c r="B390" s="65"/>
      <c r="C390" s="65"/>
      <c r="D390" s="65"/>
      <c r="E390" s="65" t="str">
        <v>---</v>
      </c>
      <c r="F390" s="65"/>
      <c r="G390" s="65"/>
      <c r="H390" s="65"/>
      <c r="I390" s="65"/>
      <c r="J390" s="65"/>
      <c r="K390" s="65" t="s">
        <v>1705</v>
      </c>
      <c r="L390" s="65"/>
      <c r="M390" s="65"/>
      <c r="N390" s="65"/>
    </row>
    <row r="391" spans="1:14" ht="12.75">
      <c r="A391" s="65"/>
      <c r="B391" s="65"/>
      <c r="C391" s="65"/>
      <c r="D391" s="65"/>
      <c r="E391" s="65" t="str">
        <v>---</v>
      </c>
      <c r="F391" s="65"/>
      <c r="G391" s="65"/>
      <c r="H391" s="65"/>
      <c r="I391" s="65"/>
      <c r="J391" s="65"/>
      <c r="K391" s="65" t="s">
        <v>1706</v>
      </c>
      <c r="L391" s="65"/>
      <c r="M391" s="65"/>
      <c r="N391" s="65"/>
    </row>
    <row r="392" spans="1:14" ht="12.75">
      <c r="A392" s="65"/>
      <c r="B392" s="65"/>
      <c r="C392" s="65"/>
      <c r="D392" s="65"/>
      <c r="E392" s="65" t="str">
        <v>---</v>
      </c>
      <c r="F392" s="65"/>
      <c r="G392" s="65"/>
      <c r="H392" s="65"/>
      <c r="I392" s="65"/>
      <c r="J392" s="65"/>
      <c r="K392" s="65" t="s">
        <v>1707</v>
      </c>
      <c r="L392" s="65"/>
      <c r="M392" s="65"/>
      <c r="N392" s="65"/>
    </row>
    <row r="393" spans="1:14" ht="12.75">
      <c r="A393" s="65"/>
      <c r="B393" s="65"/>
      <c r="C393" s="65"/>
      <c r="D393" s="65"/>
      <c r="E393" s="65" t="str">
        <v>---</v>
      </c>
      <c r="F393" s="65"/>
      <c r="G393" s="65"/>
      <c r="H393" s="65"/>
      <c r="I393" s="65"/>
      <c r="J393" s="65"/>
      <c r="K393" s="65" t="s">
        <v>1708</v>
      </c>
      <c r="L393" s="65"/>
      <c r="M393" s="65"/>
      <c r="N393" s="65"/>
    </row>
    <row r="394" spans="1:14" ht="12.75">
      <c r="A394" s="65"/>
      <c r="B394" s="65"/>
      <c r="C394" s="65"/>
      <c r="D394" s="65"/>
      <c r="E394" s="65" t="str">
        <v>---</v>
      </c>
      <c r="F394" s="65"/>
      <c r="G394" s="65"/>
      <c r="H394" s="65"/>
      <c r="I394" s="65"/>
      <c r="J394" s="65"/>
      <c r="K394" s="65" t="s">
        <v>1709</v>
      </c>
      <c r="L394" s="65"/>
      <c r="M394" s="65"/>
      <c r="N394" s="65"/>
    </row>
    <row r="395" spans="1:14" ht="12.75">
      <c r="A395" s="65"/>
      <c r="B395" s="65"/>
      <c r="C395" s="65"/>
      <c r="D395" s="65"/>
      <c r="E395" s="65" t="str">
        <v>---</v>
      </c>
      <c r="F395" s="65"/>
      <c r="G395" s="65"/>
      <c r="H395" s="65"/>
      <c r="I395" s="65"/>
      <c r="J395" s="65"/>
      <c r="K395" s="65" t="s">
        <v>1710</v>
      </c>
      <c r="L395" s="65"/>
      <c r="M395" s="65"/>
      <c r="N395" s="65"/>
    </row>
    <row r="396" spans="1:14" ht="12.75">
      <c r="A396" s="65"/>
      <c r="B396" s="65"/>
      <c r="C396" s="65"/>
      <c r="D396" s="65"/>
      <c r="E396" s="65" t="str">
        <v>---</v>
      </c>
      <c r="F396" s="65"/>
      <c r="G396" s="65"/>
      <c r="H396" s="65"/>
      <c r="I396" s="65"/>
      <c r="J396" s="65"/>
      <c r="K396" s="65" t="s">
        <v>1711</v>
      </c>
      <c r="L396" s="65"/>
      <c r="M396" s="65"/>
      <c r="N396" s="65"/>
    </row>
    <row r="397" spans="1:14" ht="12.75">
      <c r="A397" s="65"/>
      <c r="B397" s="65"/>
      <c r="C397" s="65"/>
      <c r="D397" s="65"/>
      <c r="E397" s="65" t="str">
        <v>---</v>
      </c>
      <c r="F397" s="65"/>
      <c r="G397" s="65"/>
      <c r="H397" s="65"/>
      <c r="I397" s="65"/>
      <c r="J397" s="65"/>
      <c r="K397" s="65" t="s">
        <v>1712</v>
      </c>
      <c r="L397" s="65"/>
      <c r="M397" s="65"/>
      <c r="N397" s="65"/>
    </row>
    <row r="398" spans="1:14" ht="12.75">
      <c r="A398" s="65"/>
      <c r="B398" s="65"/>
      <c r="C398" s="65"/>
      <c r="D398" s="65"/>
      <c r="E398" s="65" t="str">
        <v>---</v>
      </c>
      <c r="F398" s="65"/>
      <c r="G398" s="65"/>
      <c r="H398" s="65"/>
      <c r="I398" s="65"/>
      <c r="J398" s="65"/>
      <c r="K398" s="65" t="s">
        <v>1713</v>
      </c>
      <c r="L398" s="65"/>
      <c r="M398" s="65"/>
      <c r="N398" s="65"/>
    </row>
    <row r="399" spans="1:14" ht="12.75">
      <c r="A399" s="65"/>
      <c r="B399" s="65"/>
      <c r="C399" s="65"/>
      <c r="D399" s="65"/>
      <c r="E399" s="65" t="str">
        <v>---</v>
      </c>
      <c r="F399" s="65"/>
      <c r="G399" s="65"/>
      <c r="H399" s="65"/>
      <c r="I399" s="65"/>
      <c r="J399" s="65"/>
      <c r="K399" s="65" t="s">
        <v>1714</v>
      </c>
      <c r="L399" s="65"/>
      <c r="M399" s="65"/>
      <c r="N399" s="65"/>
    </row>
    <row r="400" spans="1:14" ht="12.75">
      <c r="A400" s="65"/>
      <c r="B400" s="65"/>
      <c r="C400" s="65"/>
      <c r="D400" s="65"/>
      <c r="E400" s="65" t="str">
        <v>---</v>
      </c>
      <c r="F400" s="65"/>
      <c r="G400" s="65"/>
      <c r="H400" s="65"/>
      <c r="I400" s="65"/>
      <c r="J400" s="65"/>
      <c r="K400" s="65" t="s">
        <v>1715</v>
      </c>
      <c r="L400" s="65"/>
      <c r="M400" s="65"/>
      <c r="N400" s="65"/>
    </row>
    <row r="401" spans="1:14" ht="12.75">
      <c r="A401" s="65"/>
      <c r="B401" s="65"/>
      <c r="C401" s="65"/>
      <c r="D401" s="65"/>
      <c r="E401" s="65" t="str">
        <v>---</v>
      </c>
      <c r="F401" s="65"/>
      <c r="G401" s="65"/>
      <c r="H401" s="65"/>
      <c r="I401" s="65"/>
      <c r="J401" s="65"/>
      <c r="K401" s="65" t="s">
        <v>1716</v>
      </c>
      <c r="L401" s="65"/>
      <c r="M401" s="65"/>
      <c r="N401" s="65"/>
    </row>
    <row r="402" spans="1:14" ht="12.75">
      <c r="A402" s="65"/>
      <c r="B402" s="65"/>
      <c r="C402" s="65"/>
      <c r="D402" s="65"/>
      <c r="E402" s="65" t="str">
        <v>---</v>
      </c>
      <c r="F402" s="65"/>
      <c r="G402" s="65"/>
      <c r="H402" s="65"/>
      <c r="I402" s="65"/>
      <c r="J402" s="65"/>
      <c r="K402" s="65" t="s">
        <v>1717</v>
      </c>
      <c r="L402" s="65"/>
      <c r="M402" s="65"/>
      <c r="N402" s="65"/>
    </row>
    <row r="403" spans="1:14" ht="12.75">
      <c r="A403" s="65"/>
      <c r="B403" s="65"/>
      <c r="C403" s="65"/>
      <c r="D403" s="65"/>
      <c r="E403" s="65" t="str">
        <v>---</v>
      </c>
      <c r="F403" s="65"/>
      <c r="G403" s="65"/>
      <c r="H403" s="65"/>
      <c r="I403" s="65"/>
      <c r="J403" s="65"/>
      <c r="K403" s="65" t="s">
        <v>1718</v>
      </c>
      <c r="L403" s="65"/>
      <c r="M403" s="65"/>
      <c r="N403" s="65"/>
    </row>
    <row r="404" spans="1:14" ht="12.75">
      <c r="A404" s="65"/>
      <c r="B404" s="65"/>
      <c r="C404" s="65"/>
      <c r="D404" s="65"/>
      <c r="E404" s="65" t="str">
        <v>---</v>
      </c>
      <c r="F404" s="65"/>
      <c r="G404" s="65"/>
      <c r="H404" s="65"/>
      <c r="I404" s="65"/>
      <c r="J404" s="65"/>
      <c r="K404" s="65" t="s">
        <v>1719</v>
      </c>
      <c r="L404" s="65"/>
      <c r="M404" s="65"/>
      <c r="N404" s="65"/>
    </row>
    <row r="405" spans="1:14" ht="12.75">
      <c r="A405" s="65"/>
      <c r="B405" s="65"/>
      <c r="C405" s="65"/>
      <c r="D405" s="65"/>
      <c r="E405" s="65" t="str">
        <v>---</v>
      </c>
      <c r="F405" s="65"/>
      <c r="G405" s="65"/>
      <c r="H405" s="65"/>
      <c r="I405" s="65"/>
      <c r="J405" s="65"/>
      <c r="K405" s="65" t="s">
        <v>1720</v>
      </c>
      <c r="L405" s="65"/>
      <c r="M405" s="65"/>
      <c r="N405" s="65"/>
    </row>
    <row r="406" spans="1:14" ht="12.75">
      <c r="A406" s="65"/>
      <c r="B406" s="65"/>
      <c r="C406" s="65"/>
      <c r="D406" s="65"/>
      <c r="E406" s="65" t="str">
        <v>---</v>
      </c>
      <c r="F406" s="65"/>
      <c r="G406" s="65"/>
      <c r="H406" s="65"/>
      <c r="I406" s="65"/>
      <c r="J406" s="65"/>
      <c r="K406" s="65" t="s">
        <v>1721</v>
      </c>
      <c r="L406" s="65"/>
      <c r="M406" s="65"/>
      <c r="N406" s="65"/>
    </row>
    <row r="407" spans="1:14" ht="12.75">
      <c r="A407" s="65"/>
      <c r="B407" s="65"/>
      <c r="C407" s="65"/>
      <c r="D407" s="65"/>
      <c r="E407" s="65" t="str">
        <v>---</v>
      </c>
      <c r="F407" s="65"/>
      <c r="G407" s="65"/>
      <c r="H407" s="65"/>
      <c r="I407" s="65"/>
      <c r="J407" s="65"/>
      <c r="K407" s="65" t="s">
        <v>1722</v>
      </c>
      <c r="L407" s="65"/>
      <c r="M407" s="65"/>
      <c r="N407" s="65"/>
    </row>
    <row r="408" spans="1:14" ht="12.75">
      <c r="A408" s="65"/>
      <c r="B408" s="65"/>
      <c r="C408" s="65"/>
      <c r="D408" s="65"/>
      <c r="E408" s="65" t="str">
        <v>---</v>
      </c>
      <c r="F408" s="65"/>
      <c r="G408" s="65"/>
      <c r="H408" s="65"/>
      <c r="I408" s="65"/>
      <c r="J408" s="65"/>
      <c r="K408" s="65" t="s">
        <v>1723</v>
      </c>
      <c r="L408" s="65"/>
      <c r="M408" s="65"/>
      <c r="N408" s="65"/>
    </row>
    <row r="409" spans="1:14" ht="12.75">
      <c r="A409" s="65"/>
      <c r="B409" s="65"/>
      <c r="C409" s="65"/>
      <c r="D409" s="65"/>
      <c r="E409" s="65" t="str">
        <v>---</v>
      </c>
      <c r="F409" s="65"/>
      <c r="G409" s="65"/>
      <c r="H409" s="65"/>
      <c r="I409" s="65"/>
      <c r="J409" s="65"/>
      <c r="K409" s="65" t="s">
        <v>1724</v>
      </c>
      <c r="L409" s="65"/>
      <c r="M409" s="65"/>
      <c r="N409" s="65"/>
    </row>
    <row r="410" spans="1:14" ht="12.75">
      <c r="A410" s="65"/>
      <c r="B410" s="65"/>
      <c r="C410" s="65"/>
      <c r="D410" s="65"/>
      <c r="E410" s="65" t="str">
        <v>---</v>
      </c>
      <c r="F410" s="65"/>
      <c r="G410" s="65"/>
      <c r="H410" s="65"/>
      <c r="I410" s="65"/>
      <c r="J410" s="65"/>
      <c r="K410" s="65" t="s">
        <v>1725</v>
      </c>
      <c r="L410" s="65"/>
      <c r="M410" s="65"/>
      <c r="N410" s="65"/>
    </row>
    <row r="411" spans="1:14" ht="12.75">
      <c r="A411" s="65"/>
      <c r="B411" s="65"/>
      <c r="C411" s="65"/>
      <c r="D411" s="65"/>
      <c r="E411" s="65" t="str">
        <v>---</v>
      </c>
      <c r="F411" s="65"/>
      <c r="G411" s="65"/>
      <c r="H411" s="65"/>
      <c r="I411" s="65"/>
      <c r="J411" s="65"/>
      <c r="K411" s="65" t="s">
        <v>1726</v>
      </c>
      <c r="L411" s="65"/>
      <c r="M411" s="65"/>
      <c r="N411" s="65"/>
    </row>
    <row r="412" spans="1:14" ht="12.75">
      <c r="A412" s="65"/>
      <c r="B412" s="65"/>
      <c r="C412" s="65"/>
      <c r="D412" s="65"/>
      <c r="E412" s="65" t="str">
        <v>---</v>
      </c>
      <c r="F412" s="65"/>
      <c r="G412" s="65"/>
      <c r="H412" s="65"/>
      <c r="I412" s="65"/>
      <c r="J412" s="65"/>
      <c r="K412" s="65" t="s">
        <v>1727</v>
      </c>
      <c r="L412" s="65"/>
      <c r="M412" s="65"/>
      <c r="N412" s="65"/>
    </row>
    <row r="413" spans="1:14" ht="12.75">
      <c r="A413" s="65"/>
      <c r="B413" s="65"/>
      <c r="C413" s="65"/>
      <c r="D413" s="65"/>
      <c r="E413" s="65" t="str">
        <v>---</v>
      </c>
      <c r="F413" s="65"/>
      <c r="G413" s="65"/>
      <c r="H413" s="65"/>
      <c r="I413" s="65"/>
      <c r="J413" s="65"/>
      <c r="K413" s="65" t="s">
        <v>1728</v>
      </c>
      <c r="L413" s="65"/>
      <c r="M413" s="65"/>
      <c r="N413" s="65"/>
    </row>
    <row r="414" spans="1:14" ht="12.75">
      <c r="A414" s="65"/>
      <c r="B414" s="65"/>
      <c r="C414" s="65"/>
      <c r="D414" s="65"/>
      <c r="E414" s="65" t="str">
        <v>---</v>
      </c>
      <c r="F414" s="65"/>
      <c r="G414" s="65"/>
      <c r="H414" s="65"/>
      <c r="I414" s="65"/>
      <c r="J414" s="65"/>
      <c r="K414" s="65" t="s">
        <v>1729</v>
      </c>
      <c r="L414" s="65"/>
      <c r="M414" s="65"/>
      <c r="N414" s="65"/>
    </row>
    <row r="415" spans="1:14" ht="12.75">
      <c r="A415" s="65"/>
      <c r="B415" s="65"/>
      <c r="C415" s="65"/>
      <c r="D415" s="65"/>
      <c r="E415" s="65" t="str">
        <v>---</v>
      </c>
      <c r="F415" s="65"/>
      <c r="G415" s="65"/>
      <c r="H415" s="65"/>
      <c r="I415" s="65"/>
      <c r="J415" s="65"/>
      <c r="K415" s="65" t="s">
        <v>1730</v>
      </c>
      <c r="L415" s="65"/>
      <c r="M415" s="65"/>
      <c r="N415" s="65"/>
    </row>
    <row r="416" spans="1:14" ht="12.75">
      <c r="A416" s="65"/>
      <c r="B416" s="65"/>
      <c r="C416" s="65"/>
      <c r="D416" s="65"/>
      <c r="E416" s="65" t="str">
        <v>---</v>
      </c>
      <c r="F416" s="65"/>
      <c r="G416" s="65"/>
      <c r="H416" s="65"/>
      <c r="I416" s="65"/>
      <c r="J416" s="65"/>
      <c r="K416" s="65" t="s">
        <v>1731</v>
      </c>
      <c r="L416" s="65"/>
      <c r="M416" s="65"/>
      <c r="N416" s="65"/>
    </row>
    <row r="417" spans="1:14" ht="12.75">
      <c r="A417" s="65"/>
      <c r="B417" s="65"/>
      <c r="C417" s="65"/>
      <c r="D417" s="65"/>
      <c r="E417" s="65" t="str">
        <v>---</v>
      </c>
      <c r="F417" s="65"/>
      <c r="G417" s="65"/>
      <c r="H417" s="65"/>
      <c r="I417" s="65"/>
      <c r="J417" s="65"/>
      <c r="K417" s="65" t="s">
        <v>1732</v>
      </c>
      <c r="L417" s="65"/>
      <c r="M417" s="65"/>
      <c r="N417" s="65"/>
    </row>
    <row r="418" spans="1:14" ht="12.75">
      <c r="A418" s="65"/>
      <c r="B418" s="65"/>
      <c r="C418" s="65"/>
      <c r="D418" s="65"/>
      <c r="E418" s="65" t="str">
        <v>---</v>
      </c>
      <c r="F418" s="65"/>
      <c r="G418" s="65"/>
      <c r="H418" s="65"/>
      <c r="I418" s="65"/>
      <c r="J418" s="65"/>
      <c r="K418" s="65" t="s">
        <v>1733</v>
      </c>
      <c r="L418" s="65"/>
      <c r="M418" s="65"/>
      <c r="N418" s="65"/>
    </row>
    <row r="419" spans="1:14" ht="12.75">
      <c r="A419" s="65"/>
      <c r="B419" s="65"/>
      <c r="C419" s="65"/>
      <c r="D419" s="65"/>
      <c r="E419" s="65" t="str">
        <v>---</v>
      </c>
      <c r="F419" s="65"/>
      <c r="G419" s="65"/>
      <c r="H419" s="65"/>
      <c r="I419" s="65"/>
      <c r="J419" s="65"/>
      <c r="K419" s="65" t="s">
        <v>1734</v>
      </c>
      <c r="L419" s="65"/>
      <c r="M419" s="65"/>
      <c r="N419" s="65"/>
    </row>
    <row r="420" spans="1:14" ht="12.75">
      <c r="A420" s="65"/>
      <c r="B420" s="65"/>
      <c r="C420" s="65"/>
      <c r="D420" s="65"/>
      <c r="E420" s="65" t="str">
        <v>---</v>
      </c>
      <c r="F420" s="65"/>
      <c r="G420" s="65"/>
      <c r="H420" s="65"/>
      <c r="I420" s="65"/>
      <c r="J420" s="65"/>
      <c r="K420" s="65" t="s">
        <v>1735</v>
      </c>
      <c r="L420" s="65"/>
      <c r="M420" s="65"/>
      <c r="N420" s="65"/>
    </row>
    <row r="421" spans="1:14" ht="12.75">
      <c r="A421" s="65"/>
      <c r="B421" s="65"/>
      <c r="C421" s="65"/>
      <c r="D421" s="65"/>
      <c r="E421" s="65" t="str">
        <v>---</v>
      </c>
      <c r="F421" s="65"/>
      <c r="G421" s="65"/>
      <c r="H421" s="65"/>
      <c r="I421" s="65"/>
      <c r="J421" s="65"/>
      <c r="K421" s="65" t="s">
        <v>1736</v>
      </c>
      <c r="L421" s="65"/>
      <c r="M421" s="65"/>
      <c r="N421" s="65"/>
    </row>
    <row r="422" spans="1:14" ht="12.75">
      <c r="A422" s="65"/>
      <c r="B422" s="65"/>
      <c r="C422" s="65"/>
      <c r="D422" s="65"/>
      <c r="E422" s="65" t="str">
        <v>---</v>
      </c>
      <c r="F422" s="65"/>
      <c r="G422" s="65"/>
      <c r="H422" s="65"/>
      <c r="I422" s="65"/>
      <c r="J422" s="65"/>
      <c r="K422" s="65" t="s">
        <v>1737</v>
      </c>
      <c r="L422" s="65"/>
      <c r="M422" s="65"/>
      <c r="N422" s="65"/>
    </row>
    <row r="423" spans="1:14" ht="12.75">
      <c r="A423" s="65"/>
      <c r="B423" s="65"/>
      <c r="C423" s="65"/>
      <c r="D423" s="65"/>
      <c r="E423" s="65" t="str">
        <v>---</v>
      </c>
      <c r="F423" s="65"/>
      <c r="G423" s="65"/>
      <c r="H423" s="65"/>
      <c r="I423" s="65"/>
      <c r="J423" s="65"/>
      <c r="K423" s="65" t="s">
        <v>1738</v>
      </c>
      <c r="L423" s="65"/>
      <c r="M423" s="65"/>
      <c r="N423" s="65"/>
    </row>
    <row r="424" spans="1:14" ht="12.75">
      <c r="A424" s="65"/>
      <c r="B424" s="65"/>
      <c r="C424" s="65"/>
      <c r="D424" s="65"/>
      <c r="E424" s="65" t="str">
        <v>---</v>
      </c>
      <c r="F424" s="65"/>
      <c r="G424" s="65"/>
      <c r="H424" s="65"/>
      <c r="I424" s="65"/>
      <c r="J424" s="65"/>
      <c r="K424" s="65" t="s">
        <v>1739</v>
      </c>
      <c r="L424" s="65"/>
      <c r="M424" s="65"/>
      <c r="N424" s="65"/>
    </row>
    <row r="425" spans="1:14" ht="12.75">
      <c r="A425" s="65"/>
      <c r="B425" s="65"/>
      <c r="C425" s="65"/>
      <c r="D425" s="65"/>
      <c r="E425" s="65" t="str">
        <v>---</v>
      </c>
      <c r="F425" s="65"/>
      <c r="G425" s="65"/>
      <c r="H425" s="65"/>
      <c r="I425" s="65"/>
      <c r="J425" s="65"/>
      <c r="K425" s="65" t="s">
        <v>1740</v>
      </c>
      <c r="L425" s="65"/>
      <c r="M425" s="65"/>
      <c r="N425" s="65"/>
    </row>
    <row r="426" spans="1:14" ht="12.75">
      <c r="A426" s="65"/>
      <c r="B426" s="65"/>
      <c r="C426" s="65"/>
      <c r="D426" s="65"/>
      <c r="E426" s="65" t="str">
        <v>---</v>
      </c>
      <c r="F426" s="65"/>
      <c r="G426" s="65"/>
      <c r="H426" s="65"/>
      <c r="I426" s="65"/>
      <c r="J426" s="65"/>
      <c r="K426" s="65" t="s">
        <v>1741</v>
      </c>
      <c r="L426" s="65"/>
      <c r="M426" s="65"/>
      <c r="N426" s="65"/>
    </row>
    <row r="427" spans="1:14" ht="12.75">
      <c r="A427" s="65"/>
      <c r="B427" s="65"/>
      <c r="C427" s="65"/>
      <c r="D427" s="65"/>
      <c r="E427" s="65" t="str">
        <v>---</v>
      </c>
      <c r="F427" s="65"/>
      <c r="G427" s="65"/>
      <c r="H427" s="65"/>
      <c r="I427" s="65"/>
      <c r="J427" s="65"/>
      <c r="K427" s="65" t="s">
        <v>1742</v>
      </c>
      <c r="L427" s="65"/>
      <c r="M427" s="65"/>
      <c r="N427" s="65"/>
    </row>
    <row r="428" spans="1:14" ht="12.75">
      <c r="A428" s="65"/>
      <c r="B428" s="65"/>
      <c r="C428" s="65"/>
      <c r="D428" s="65"/>
      <c r="E428" s="65" t="str">
        <v>---</v>
      </c>
      <c r="F428" s="65"/>
      <c r="G428" s="65"/>
      <c r="H428" s="65"/>
      <c r="I428" s="65"/>
      <c r="J428" s="65"/>
      <c r="K428" s="65"/>
      <c r="L428" s="65"/>
      <c r="M428" s="65"/>
      <c r="N428" s="65"/>
    </row>
    <row r="429" spans="1:14" ht="12.75">
      <c r="A429" s="65"/>
      <c r="B429" s="65"/>
      <c r="C429" s="65"/>
      <c r="D429" s="65"/>
      <c r="E429" s="65" t="str">
        <v>---</v>
      </c>
      <c r="F429" s="65"/>
      <c r="G429" s="65"/>
      <c r="H429" s="65"/>
      <c r="I429" s="65"/>
      <c r="J429" s="65"/>
      <c r="K429" s="65" t="s">
        <v>1743</v>
      </c>
      <c r="L429" s="65"/>
      <c r="M429" s="65"/>
      <c r="N429" s="65"/>
    </row>
    <row r="430" spans="1:14" ht="12.75">
      <c r="A430" s="65"/>
      <c r="B430" s="65"/>
      <c r="C430" s="65"/>
      <c r="D430" s="65"/>
      <c r="E430" s="65" t="str">
        <v>---</v>
      </c>
      <c r="F430" s="65"/>
      <c r="G430" s="65"/>
      <c r="H430" s="65"/>
      <c r="I430" s="65"/>
      <c r="J430" s="65"/>
      <c r="K430" s="65" t="s">
        <v>1744</v>
      </c>
      <c r="L430" s="65"/>
      <c r="M430" s="65"/>
      <c r="N430" s="65"/>
    </row>
    <row r="431" spans="1:14" ht="12.75">
      <c r="A431" s="65"/>
      <c r="B431" s="65"/>
      <c r="C431" s="65"/>
      <c r="D431" s="65"/>
      <c r="E431" s="65" t="str">
        <v>---</v>
      </c>
      <c r="F431" s="65"/>
      <c r="G431" s="65"/>
      <c r="H431" s="65"/>
      <c r="I431" s="65"/>
      <c r="J431" s="65"/>
      <c r="K431" s="65" t="s">
        <v>1745</v>
      </c>
      <c r="L431" s="65"/>
      <c r="M431" s="65"/>
      <c r="N431" s="65"/>
    </row>
    <row r="432" spans="1:14" ht="12.75">
      <c r="A432" s="65"/>
      <c r="B432" s="65"/>
      <c r="C432" s="65"/>
      <c r="D432" s="65"/>
      <c r="E432" s="65" t="str">
        <v>---</v>
      </c>
      <c r="F432" s="65"/>
      <c r="G432" s="65"/>
      <c r="H432" s="65"/>
      <c r="I432" s="65"/>
      <c r="J432" s="65"/>
      <c r="K432" s="65" t="s">
        <v>1746</v>
      </c>
      <c r="L432" s="65"/>
      <c r="M432" s="65"/>
      <c r="N432" s="65"/>
    </row>
    <row r="433" spans="1:14" ht="12.75">
      <c r="A433" s="65"/>
      <c r="B433" s="65"/>
      <c r="C433" s="65"/>
      <c r="D433" s="65"/>
      <c r="E433" s="65" t="str">
        <v>---</v>
      </c>
      <c r="F433" s="65"/>
      <c r="G433" s="65"/>
      <c r="H433" s="65"/>
      <c r="I433" s="65"/>
      <c r="J433" s="65"/>
      <c r="K433" s="65" t="s">
        <v>1747</v>
      </c>
      <c r="L433" s="65"/>
      <c r="M433" s="65"/>
      <c r="N433" s="65"/>
    </row>
    <row r="434" spans="1:14" ht="12.75">
      <c r="A434" s="65"/>
      <c r="B434" s="65"/>
      <c r="C434" s="65"/>
      <c r="D434" s="65"/>
      <c r="E434" s="65" t="str">
        <v>---</v>
      </c>
      <c r="F434" s="65"/>
      <c r="G434" s="65"/>
      <c r="H434" s="65"/>
      <c r="I434" s="65"/>
      <c r="J434" s="65"/>
      <c r="K434" s="65" t="s">
        <v>1748</v>
      </c>
      <c r="L434" s="65"/>
      <c r="M434" s="65"/>
      <c r="N434" s="65"/>
    </row>
    <row r="435" spans="1:14" ht="12.75">
      <c r="A435" s="65"/>
      <c r="B435" s="65"/>
      <c r="C435" s="65"/>
      <c r="D435" s="65"/>
      <c r="E435" s="65" t="str">
        <v>---</v>
      </c>
      <c r="F435" s="65"/>
      <c r="G435" s="65"/>
      <c r="H435" s="65"/>
      <c r="I435" s="65"/>
      <c r="J435" s="65"/>
      <c r="K435" s="65" t="s">
        <v>1749</v>
      </c>
      <c r="L435" s="65"/>
      <c r="M435" s="65"/>
      <c r="N435" s="65"/>
    </row>
    <row r="436" spans="1:14" ht="12.75">
      <c r="A436" s="65"/>
      <c r="B436" s="65"/>
      <c r="C436" s="65"/>
      <c r="D436" s="65"/>
      <c r="E436" s="65" t="str">
        <v>---</v>
      </c>
      <c r="F436" s="65"/>
      <c r="G436" s="65"/>
      <c r="H436" s="65"/>
      <c r="I436" s="65"/>
      <c r="J436" s="65"/>
      <c r="K436" s="65" t="s">
        <v>1750</v>
      </c>
      <c r="L436" s="65"/>
      <c r="M436" s="65"/>
      <c r="N436" s="65"/>
    </row>
    <row r="437" spans="1:14" ht="12.75">
      <c r="A437" s="65"/>
      <c r="B437" s="65"/>
      <c r="C437" s="65"/>
      <c r="D437" s="65"/>
      <c r="E437" s="65" t="str">
        <v>---</v>
      </c>
      <c r="F437" s="65"/>
      <c r="G437" s="65"/>
      <c r="H437" s="65"/>
      <c r="I437" s="65"/>
      <c r="J437" s="65"/>
      <c r="K437" s="65" t="s">
        <v>1751</v>
      </c>
      <c r="L437" s="65"/>
      <c r="M437" s="65"/>
      <c r="N437" s="65"/>
    </row>
    <row r="438" spans="1:14" ht="12.75">
      <c r="A438" s="65"/>
      <c r="B438" s="65"/>
      <c r="C438" s="65"/>
      <c r="D438" s="65"/>
      <c r="E438" s="65" t="str">
        <v>---</v>
      </c>
      <c r="F438" s="65"/>
      <c r="G438" s="65"/>
      <c r="H438" s="65"/>
      <c r="I438" s="65"/>
      <c r="J438" s="65"/>
      <c r="K438" s="65" t="s">
        <v>1752</v>
      </c>
      <c r="L438" s="65"/>
      <c r="M438" s="65"/>
      <c r="N438" s="65"/>
    </row>
    <row r="439" spans="1:14" ht="12.75">
      <c r="A439" s="65"/>
      <c r="B439" s="65"/>
      <c r="C439" s="65"/>
      <c r="D439" s="65"/>
      <c r="E439" s="65" t="str">
        <v>---</v>
      </c>
      <c r="F439" s="65"/>
      <c r="G439" s="65"/>
      <c r="H439" s="65"/>
      <c r="I439" s="65"/>
      <c r="J439" s="65"/>
      <c r="K439" s="65" t="s">
        <v>1753</v>
      </c>
      <c r="L439" s="65"/>
      <c r="M439" s="65"/>
      <c r="N439" s="65"/>
    </row>
    <row r="440" spans="1:14" ht="12.75">
      <c r="A440" s="65"/>
      <c r="B440" s="65"/>
      <c r="C440" s="65"/>
      <c r="D440" s="65"/>
      <c r="E440" s="65" t="str">
        <v>---</v>
      </c>
      <c r="F440" s="65"/>
      <c r="G440" s="65"/>
      <c r="H440" s="65"/>
      <c r="I440" s="65"/>
      <c r="J440" s="65"/>
      <c r="K440" s="65" t="s">
        <v>1754</v>
      </c>
      <c r="L440" s="65"/>
      <c r="M440" s="65"/>
      <c r="N440" s="65"/>
    </row>
    <row r="441" spans="1:14" ht="12.75">
      <c r="A441" s="65"/>
      <c r="B441" s="65"/>
      <c r="C441" s="65"/>
      <c r="D441" s="65"/>
      <c r="E441" s="65" t="str">
        <v>---</v>
      </c>
      <c r="F441" s="65"/>
      <c r="G441" s="65"/>
      <c r="H441" s="65"/>
      <c r="I441" s="65"/>
      <c r="J441" s="65"/>
      <c r="K441" s="65" t="s">
        <v>1755</v>
      </c>
      <c r="L441" s="65"/>
      <c r="M441" s="65"/>
      <c r="N441" s="65"/>
    </row>
    <row r="442" spans="1:14" ht="12.75">
      <c r="A442" s="65"/>
      <c r="B442" s="65"/>
      <c r="C442" s="65"/>
      <c r="D442" s="65"/>
      <c r="E442" s="65" t="str">
        <v>---</v>
      </c>
      <c r="F442" s="65"/>
      <c r="G442" s="65"/>
      <c r="H442" s="65"/>
      <c r="I442" s="65"/>
      <c r="J442" s="65"/>
      <c r="K442" s="65" t="s">
        <v>1756</v>
      </c>
      <c r="L442" s="65"/>
      <c r="M442" s="65"/>
      <c r="N442" s="65"/>
    </row>
    <row r="443" spans="1:14" ht="12.75">
      <c r="A443" s="65"/>
      <c r="B443" s="65"/>
      <c r="C443" s="65"/>
      <c r="D443" s="65"/>
      <c r="E443" s="65" t="str">
        <v>---</v>
      </c>
      <c r="F443" s="65"/>
      <c r="G443" s="65"/>
      <c r="H443" s="65"/>
      <c r="I443" s="65"/>
      <c r="J443" s="65"/>
      <c r="K443" s="65" t="s">
        <v>1757</v>
      </c>
      <c r="L443" s="65"/>
      <c r="M443" s="65"/>
      <c r="N443" s="65"/>
    </row>
    <row r="444" spans="1:14" ht="12.75">
      <c r="A444" s="65"/>
      <c r="B444" s="65"/>
      <c r="C444" s="65"/>
      <c r="D444" s="65"/>
      <c r="E444" s="65" t="str">
        <v>---</v>
      </c>
      <c r="F444" s="65"/>
      <c r="G444" s="65"/>
      <c r="H444" s="65"/>
      <c r="I444" s="65"/>
      <c r="J444" s="65"/>
      <c r="K444" s="65" t="s">
        <v>1758</v>
      </c>
      <c r="L444" s="65"/>
      <c r="M444" s="65"/>
      <c r="N444" s="65"/>
    </row>
    <row r="445" spans="1:14" ht="12.75">
      <c r="A445" s="65"/>
      <c r="B445" s="65"/>
      <c r="C445" s="65"/>
      <c r="D445" s="65"/>
      <c r="E445" s="65" t="str">
        <v>---</v>
      </c>
      <c r="F445" s="65"/>
      <c r="G445" s="65"/>
      <c r="H445" s="65"/>
      <c r="I445" s="65"/>
      <c r="J445" s="65"/>
      <c r="K445" s="65" t="s">
        <v>1759</v>
      </c>
      <c r="L445" s="65"/>
      <c r="M445" s="65"/>
      <c r="N445" s="65"/>
    </row>
    <row r="446" spans="1:14" ht="12.75">
      <c r="A446" s="65"/>
      <c r="B446" s="65"/>
      <c r="C446" s="65"/>
      <c r="D446" s="65"/>
      <c r="E446" s="65" t="str">
        <v>---</v>
      </c>
      <c r="F446" s="65"/>
      <c r="G446" s="65"/>
      <c r="H446" s="65"/>
      <c r="I446" s="65"/>
      <c r="J446" s="65"/>
      <c r="K446" s="65" t="s">
        <v>1760</v>
      </c>
      <c r="L446" s="65"/>
      <c r="M446" s="65"/>
      <c r="N446" s="65"/>
    </row>
    <row r="447" spans="1:14" ht="12.75">
      <c r="A447" s="65"/>
      <c r="B447" s="65"/>
      <c r="C447" s="65"/>
      <c r="D447" s="65"/>
      <c r="E447" s="65" t="str">
        <v>---</v>
      </c>
      <c r="F447" s="65"/>
      <c r="G447" s="65"/>
      <c r="H447" s="65"/>
      <c r="I447" s="65"/>
      <c r="J447" s="65"/>
      <c r="K447" s="65" t="s">
        <v>1761</v>
      </c>
      <c r="L447" s="65"/>
      <c r="M447" s="65"/>
      <c r="N447" s="65"/>
    </row>
    <row r="448" spans="1:14" ht="12.75">
      <c r="A448" s="65"/>
      <c r="B448" s="65"/>
      <c r="C448" s="65"/>
      <c r="D448" s="65"/>
      <c r="E448" s="65" t="str">
        <v>---</v>
      </c>
      <c r="F448" s="65"/>
      <c r="G448" s="65"/>
      <c r="H448" s="65"/>
      <c r="I448" s="65"/>
      <c r="J448" s="65"/>
      <c r="K448" s="65" t="s">
        <v>1762</v>
      </c>
      <c r="L448" s="65"/>
      <c r="M448" s="65"/>
      <c r="N448" s="65"/>
    </row>
    <row r="449" spans="1:14" ht="12.75">
      <c r="A449" s="65"/>
      <c r="B449" s="65"/>
      <c r="C449" s="65"/>
      <c r="D449" s="65"/>
      <c r="E449" s="65" t="str">
        <v>---</v>
      </c>
      <c r="F449" s="65"/>
      <c r="G449" s="65"/>
      <c r="H449" s="65"/>
      <c r="I449" s="65"/>
      <c r="J449" s="65"/>
      <c r="K449" s="65" t="s">
        <v>1763</v>
      </c>
      <c r="L449" s="65"/>
      <c r="M449" s="65"/>
      <c r="N449" s="65"/>
    </row>
    <row r="450" spans="1:14" ht="12.75">
      <c r="A450" s="65"/>
      <c r="B450" s="65"/>
      <c r="C450" s="65"/>
      <c r="D450" s="65"/>
      <c r="E450" s="65" t="str">
        <v>---</v>
      </c>
      <c r="F450" s="65"/>
      <c r="G450" s="65"/>
      <c r="H450" s="65"/>
      <c r="I450" s="65"/>
      <c r="J450" s="65"/>
      <c r="K450" s="65" t="s">
        <v>1764</v>
      </c>
      <c r="L450" s="65"/>
      <c r="M450" s="65"/>
      <c r="N450" s="65"/>
    </row>
    <row r="451" spans="1:14" ht="12.75">
      <c r="A451" s="65"/>
      <c r="B451" s="65"/>
      <c r="C451" s="65"/>
      <c r="D451" s="65"/>
      <c r="E451" s="65" t="str">
        <v>---</v>
      </c>
      <c r="F451" s="65"/>
      <c r="G451" s="65"/>
      <c r="H451" s="65"/>
      <c r="I451" s="65"/>
      <c r="J451" s="65"/>
      <c r="K451" s="65" t="s">
        <v>1765</v>
      </c>
      <c r="L451" s="65"/>
      <c r="M451" s="65"/>
      <c r="N451" s="65"/>
    </row>
    <row r="452" spans="1:14" ht="12.75">
      <c r="A452" s="65"/>
      <c r="B452" s="65"/>
      <c r="C452" s="65"/>
      <c r="D452" s="65"/>
      <c r="E452" s="65" t="str">
        <v>---</v>
      </c>
      <c r="F452" s="65"/>
      <c r="G452" s="65"/>
      <c r="H452" s="65"/>
      <c r="I452" s="65"/>
      <c r="J452" s="65"/>
      <c r="K452" s="65" t="s">
        <v>1766</v>
      </c>
      <c r="L452" s="65"/>
      <c r="M452" s="65"/>
      <c r="N452" s="65"/>
    </row>
    <row r="453" spans="1:14" ht="12.75">
      <c r="A453" s="65"/>
      <c r="B453" s="65"/>
      <c r="C453" s="65"/>
      <c r="D453" s="65"/>
      <c r="E453" s="65" t="str">
        <v>---</v>
      </c>
      <c r="F453" s="65"/>
      <c r="G453" s="65"/>
      <c r="H453" s="65"/>
      <c r="I453" s="65"/>
      <c r="J453" s="65"/>
      <c r="K453" s="65" t="s">
        <v>1767</v>
      </c>
      <c r="L453" s="65"/>
      <c r="M453" s="65"/>
      <c r="N453" s="65"/>
    </row>
    <row r="454" spans="1:14" ht="12.75">
      <c r="A454" s="65"/>
      <c r="B454" s="65"/>
      <c r="C454" s="65"/>
      <c r="D454" s="65"/>
      <c r="E454" s="65" t="str">
        <v>---</v>
      </c>
      <c r="F454" s="65"/>
      <c r="G454" s="65"/>
      <c r="H454" s="65"/>
      <c r="I454" s="65"/>
      <c r="J454" s="65"/>
      <c r="K454" s="65" t="s">
        <v>1768</v>
      </c>
      <c r="L454" s="65"/>
      <c r="M454" s="65"/>
      <c r="N454" s="65"/>
    </row>
    <row r="455" spans="1:14" ht="12.75">
      <c r="A455" s="65"/>
      <c r="B455" s="65"/>
      <c r="C455" s="65"/>
      <c r="D455" s="65"/>
      <c r="E455" s="65" t="str">
        <v>---</v>
      </c>
      <c r="F455" s="65"/>
      <c r="G455" s="65"/>
      <c r="H455" s="65"/>
      <c r="I455" s="65"/>
      <c r="J455" s="65"/>
      <c r="K455" s="65" t="s">
        <v>1769</v>
      </c>
      <c r="L455" s="65"/>
      <c r="M455" s="65"/>
      <c r="N455" s="65"/>
    </row>
    <row r="456" spans="1:14" ht="12.75">
      <c r="A456" s="65"/>
      <c r="B456" s="65"/>
      <c r="C456" s="65"/>
      <c r="D456" s="65"/>
      <c r="E456" s="65" t="str">
        <v>---</v>
      </c>
      <c r="F456" s="65"/>
      <c r="G456" s="65"/>
      <c r="H456" s="65"/>
      <c r="I456" s="65"/>
      <c r="J456" s="65"/>
      <c r="K456" s="65" t="s">
        <v>1770</v>
      </c>
      <c r="L456" s="65"/>
      <c r="M456" s="65"/>
      <c r="N456" s="65"/>
    </row>
    <row r="457" spans="1:14" ht="12.75">
      <c r="A457" s="65"/>
      <c r="B457" s="65"/>
      <c r="C457" s="65"/>
      <c r="D457" s="65"/>
      <c r="E457" s="65" t="str">
        <v>---</v>
      </c>
      <c r="F457" s="65"/>
      <c r="G457" s="65"/>
      <c r="H457" s="65"/>
      <c r="I457" s="65"/>
      <c r="J457" s="65"/>
      <c r="K457" s="65" t="s">
        <v>1771</v>
      </c>
      <c r="L457" s="65"/>
      <c r="M457" s="65"/>
      <c r="N457" s="65"/>
    </row>
    <row r="458" spans="1:14" ht="12.75">
      <c r="A458" s="65"/>
      <c r="B458" s="65"/>
      <c r="C458" s="65"/>
      <c r="D458" s="65"/>
      <c r="E458" s="65" t="str">
        <v>---</v>
      </c>
      <c r="F458" s="65"/>
      <c r="G458" s="65"/>
      <c r="H458" s="65"/>
      <c r="I458" s="65"/>
      <c r="J458" s="65"/>
      <c r="K458" s="65" t="s">
        <v>1772</v>
      </c>
      <c r="L458" s="65"/>
      <c r="M458" s="65"/>
      <c r="N458" s="65"/>
    </row>
    <row r="459" spans="1:14" ht="12.75">
      <c r="A459" s="65"/>
      <c r="B459" s="65"/>
      <c r="C459" s="65"/>
      <c r="D459" s="65"/>
      <c r="E459" s="65" t="str">
        <v>---</v>
      </c>
      <c r="F459" s="65"/>
      <c r="G459" s="65"/>
      <c r="H459" s="65"/>
      <c r="I459" s="65"/>
      <c r="J459" s="65"/>
      <c r="K459" s="65" t="s">
        <v>1773</v>
      </c>
      <c r="L459" s="65"/>
      <c r="M459" s="65"/>
      <c r="N459" s="65"/>
    </row>
    <row r="460" spans="1:14" ht="12.75">
      <c r="A460" s="65"/>
      <c r="B460" s="65"/>
      <c r="C460" s="65"/>
      <c r="D460" s="65"/>
      <c r="E460" s="65" t="str">
        <v>---</v>
      </c>
      <c r="F460" s="65"/>
      <c r="G460" s="65"/>
      <c r="H460" s="65"/>
      <c r="I460" s="65"/>
      <c r="J460" s="65"/>
      <c r="K460" s="65" t="s">
        <v>1774</v>
      </c>
      <c r="L460" s="65"/>
      <c r="M460" s="65"/>
      <c r="N460" s="65"/>
    </row>
    <row r="461" spans="1:14" ht="12.75">
      <c r="A461" s="65"/>
      <c r="B461" s="65"/>
      <c r="C461" s="65"/>
      <c r="D461" s="65"/>
      <c r="E461" s="65" t="str">
        <v>---</v>
      </c>
      <c r="F461" s="65"/>
      <c r="G461" s="65"/>
      <c r="H461" s="65"/>
      <c r="I461" s="65"/>
      <c r="J461" s="65"/>
      <c r="K461" s="65" t="s">
        <v>1775</v>
      </c>
      <c r="L461" s="65"/>
      <c r="M461" s="65"/>
      <c r="N461" s="65"/>
    </row>
    <row r="462" spans="1:14" ht="12.75">
      <c r="A462" s="65"/>
      <c r="B462" s="65"/>
      <c r="C462" s="65"/>
      <c r="D462" s="65"/>
      <c r="E462" s="65" t="str">
        <v>---</v>
      </c>
      <c r="F462" s="65"/>
      <c r="G462" s="65"/>
      <c r="H462" s="65"/>
      <c r="I462" s="65"/>
      <c r="J462" s="65"/>
      <c r="K462" s="65" t="s">
        <v>1776</v>
      </c>
      <c r="L462" s="65"/>
      <c r="M462" s="65"/>
      <c r="N462" s="65"/>
    </row>
    <row r="463" spans="1:14" ht="12.75">
      <c r="A463" s="65"/>
      <c r="B463" s="65"/>
      <c r="C463" s="65"/>
      <c r="D463" s="65"/>
      <c r="E463" s="65" t="str">
        <v>---</v>
      </c>
      <c r="F463" s="65"/>
      <c r="G463" s="65"/>
      <c r="H463" s="65"/>
      <c r="I463" s="65"/>
      <c r="J463" s="65"/>
      <c r="K463" s="65" t="s">
        <v>1777</v>
      </c>
      <c r="L463" s="65"/>
      <c r="M463" s="65"/>
      <c r="N463" s="65"/>
    </row>
    <row r="464" spans="1:14" ht="12.75">
      <c r="A464" s="65"/>
      <c r="B464" s="65"/>
      <c r="C464" s="65"/>
      <c r="D464" s="65"/>
      <c r="E464" s="65" t="str">
        <v>---</v>
      </c>
      <c r="F464" s="65"/>
      <c r="G464" s="65"/>
      <c r="H464" s="65"/>
      <c r="I464" s="65"/>
      <c r="J464" s="65"/>
      <c r="K464" s="65" t="s">
        <v>1778</v>
      </c>
      <c r="L464" s="65"/>
      <c r="M464" s="65"/>
      <c r="N464" s="65"/>
    </row>
    <row r="465" spans="1:14" ht="12.75">
      <c r="A465" s="65"/>
      <c r="B465" s="65"/>
      <c r="C465" s="65"/>
      <c r="D465" s="65"/>
      <c r="E465" s="65" t="str">
        <v>---</v>
      </c>
      <c r="F465" s="65"/>
      <c r="G465" s="65"/>
      <c r="H465" s="65"/>
      <c r="I465" s="65"/>
      <c r="J465" s="65"/>
      <c r="K465" s="65" t="s">
        <v>1779</v>
      </c>
      <c r="L465" s="65"/>
      <c r="M465" s="65"/>
      <c r="N465" s="65"/>
    </row>
    <row r="466" spans="1:14" ht="12.75">
      <c r="A466" s="65"/>
      <c r="B466" s="65"/>
      <c r="C466" s="65"/>
      <c r="D466" s="65"/>
      <c r="E466" s="65" t="str">
        <v>---</v>
      </c>
      <c r="F466" s="65"/>
      <c r="G466" s="65"/>
      <c r="H466" s="65"/>
      <c r="I466" s="65"/>
      <c r="J466" s="65"/>
      <c r="K466" s="65" t="s">
        <v>1780</v>
      </c>
      <c r="L466" s="65"/>
      <c r="M466" s="65"/>
      <c r="N466" s="65"/>
    </row>
    <row r="467" spans="1:14" ht="12.75">
      <c r="A467" s="65"/>
      <c r="B467" s="65"/>
      <c r="C467" s="65"/>
      <c r="D467" s="65"/>
      <c r="E467" s="65" t="str">
        <v>---</v>
      </c>
      <c r="F467" s="65"/>
      <c r="G467" s="65"/>
      <c r="H467" s="65"/>
      <c r="I467" s="65"/>
      <c r="J467" s="65"/>
      <c r="K467" s="65" t="s">
        <v>1781</v>
      </c>
      <c r="L467" s="65"/>
      <c r="M467" s="65"/>
      <c r="N467" s="65"/>
    </row>
    <row r="468" spans="1:14" ht="12.75">
      <c r="A468" s="65"/>
      <c r="B468" s="65"/>
      <c r="C468" s="65"/>
      <c r="D468" s="65"/>
      <c r="E468" s="65" t="str">
        <v>---</v>
      </c>
      <c r="F468" s="65"/>
      <c r="G468" s="65"/>
      <c r="H468" s="65"/>
      <c r="I468" s="65"/>
      <c r="J468" s="65"/>
      <c r="K468" s="65" t="s">
        <v>1782</v>
      </c>
      <c r="L468" s="65"/>
      <c r="M468" s="65"/>
      <c r="N468" s="65"/>
    </row>
    <row r="469" spans="1:14" ht="12.75">
      <c r="A469" s="65"/>
      <c r="B469" s="65"/>
      <c r="C469" s="65"/>
      <c r="D469" s="65"/>
      <c r="E469" s="65" t="str">
        <v>---</v>
      </c>
      <c r="F469" s="65"/>
      <c r="G469" s="65"/>
      <c r="H469" s="65"/>
      <c r="I469" s="65"/>
      <c r="J469" s="65"/>
      <c r="K469" s="65" t="s">
        <v>1783</v>
      </c>
      <c r="L469" s="65"/>
      <c r="M469" s="65"/>
      <c r="N469" s="65"/>
    </row>
    <row r="470" spans="1:14" ht="12.75">
      <c r="A470" s="65"/>
      <c r="B470" s="65"/>
      <c r="C470" s="65"/>
      <c r="D470" s="65"/>
      <c r="E470" s="65" t="str">
        <v>---</v>
      </c>
      <c r="F470" s="65"/>
      <c r="G470" s="65"/>
      <c r="H470" s="65"/>
      <c r="I470" s="65"/>
      <c r="J470" s="65"/>
      <c r="K470" s="65" t="s">
        <v>1784</v>
      </c>
      <c r="L470" s="65"/>
      <c r="M470" s="65"/>
      <c r="N470" s="65"/>
    </row>
    <row r="471" spans="1:14" ht="12.75">
      <c r="A471" s="65"/>
      <c r="B471" s="65"/>
      <c r="C471" s="65"/>
      <c r="D471" s="65"/>
      <c r="E471" s="65" t="str">
        <v>---</v>
      </c>
      <c r="F471" s="65"/>
      <c r="G471" s="65"/>
      <c r="H471" s="65"/>
      <c r="I471" s="65"/>
      <c r="J471" s="65"/>
      <c r="K471" s="65" t="s">
        <v>1785</v>
      </c>
      <c r="L471" s="65"/>
      <c r="M471" s="65"/>
      <c r="N471" s="65"/>
    </row>
    <row r="472" spans="1:14" ht="12.75">
      <c r="A472" s="65"/>
      <c r="B472" s="65"/>
      <c r="C472" s="65"/>
      <c r="D472" s="65"/>
      <c r="E472" s="65" t="str">
        <v>---</v>
      </c>
      <c r="F472" s="65"/>
      <c r="G472" s="65"/>
      <c r="H472" s="65"/>
      <c r="I472" s="65"/>
      <c r="J472" s="65"/>
      <c r="K472" s="65" t="s">
        <v>1786</v>
      </c>
      <c r="L472" s="65"/>
      <c r="M472" s="65"/>
      <c r="N472" s="65"/>
    </row>
    <row r="473" spans="1:14" ht="12.75">
      <c r="A473" s="65"/>
      <c r="B473" s="65"/>
      <c r="C473" s="65"/>
      <c r="D473" s="65"/>
      <c r="E473" s="65" t="str">
        <v>---</v>
      </c>
      <c r="F473" s="65"/>
      <c r="G473" s="65"/>
      <c r="H473" s="65"/>
      <c r="I473" s="65"/>
      <c r="J473" s="65"/>
      <c r="K473" s="65" t="s">
        <v>1787</v>
      </c>
      <c r="L473" s="65"/>
      <c r="M473" s="65"/>
      <c r="N473" s="65"/>
    </row>
    <row r="474" spans="1:14" ht="12.75">
      <c r="A474" s="65"/>
      <c r="B474" s="65"/>
      <c r="C474" s="65"/>
      <c r="D474" s="65"/>
      <c r="E474" s="65" t="str">
        <v>---</v>
      </c>
      <c r="F474" s="65"/>
      <c r="G474" s="65"/>
      <c r="H474" s="65"/>
      <c r="I474" s="65"/>
      <c r="J474" s="65"/>
      <c r="K474" s="65" t="s">
        <v>1788</v>
      </c>
      <c r="L474" s="65"/>
      <c r="M474" s="65"/>
      <c r="N474" s="65"/>
    </row>
    <row r="475" spans="1:14" ht="12.75">
      <c r="A475" s="65"/>
      <c r="B475" s="65"/>
      <c r="C475" s="65"/>
      <c r="D475" s="65"/>
      <c r="E475" s="65" t="str">
        <v>---</v>
      </c>
      <c r="F475" s="65"/>
      <c r="G475" s="65"/>
      <c r="H475" s="65"/>
      <c r="I475" s="65"/>
      <c r="J475" s="65"/>
      <c r="K475" s="65" t="s">
        <v>1789</v>
      </c>
      <c r="L475" s="65"/>
      <c r="M475" s="65"/>
      <c r="N475" s="65"/>
    </row>
    <row r="476" spans="1:14" ht="12.75">
      <c r="A476" s="65"/>
      <c r="B476" s="65"/>
      <c r="C476" s="65"/>
      <c r="D476" s="65"/>
      <c r="E476" s="65" t="str">
        <v>---</v>
      </c>
      <c r="F476" s="65"/>
      <c r="G476" s="65"/>
      <c r="H476" s="65"/>
      <c r="I476" s="65"/>
      <c r="J476" s="65"/>
      <c r="K476" s="65" t="s">
        <v>1790</v>
      </c>
      <c r="L476" s="65"/>
      <c r="M476" s="65"/>
      <c r="N476" s="65"/>
    </row>
    <row r="477" spans="1:14" ht="12.75">
      <c r="A477" s="65"/>
      <c r="B477" s="65"/>
      <c r="C477" s="65"/>
      <c r="D477" s="65"/>
      <c r="E477" s="65" t="str">
        <v>---</v>
      </c>
      <c r="F477" s="65"/>
      <c r="G477" s="65"/>
      <c r="H477" s="65"/>
      <c r="I477" s="65"/>
      <c r="J477" s="65"/>
      <c r="K477" s="65" t="s">
        <v>1791</v>
      </c>
      <c r="L477" s="65"/>
      <c r="M477" s="65"/>
      <c r="N477" s="65"/>
    </row>
    <row r="478" spans="1:14" ht="12.75">
      <c r="A478" s="65"/>
      <c r="B478" s="65"/>
      <c r="C478" s="65"/>
      <c r="D478" s="65"/>
      <c r="E478" s="65" t="str">
        <v>---</v>
      </c>
      <c r="F478" s="65"/>
      <c r="G478" s="65"/>
      <c r="H478" s="65"/>
      <c r="I478" s="65"/>
      <c r="J478" s="65"/>
      <c r="K478" s="65" t="s">
        <v>1792</v>
      </c>
      <c r="L478" s="65"/>
      <c r="M478" s="65"/>
      <c r="N478" s="65"/>
    </row>
    <row r="479" spans="1:14" ht="12.75">
      <c r="A479" s="65"/>
      <c r="B479" s="65"/>
      <c r="C479" s="65"/>
      <c r="D479" s="65"/>
      <c r="E479" s="65" t="str">
        <v>---</v>
      </c>
      <c r="F479" s="65"/>
      <c r="G479" s="65"/>
      <c r="H479" s="65"/>
      <c r="I479" s="65"/>
      <c r="J479" s="65"/>
      <c r="K479" s="65" t="s">
        <v>1793</v>
      </c>
      <c r="L479" s="65"/>
      <c r="M479" s="65"/>
      <c r="N479" s="65"/>
    </row>
    <row r="480" spans="1:14" ht="12.75">
      <c r="A480" s="65"/>
      <c r="B480" s="65"/>
      <c r="C480" s="65"/>
      <c r="D480" s="65"/>
      <c r="E480" s="65" t="str">
        <v>---</v>
      </c>
      <c r="F480" s="65"/>
      <c r="G480" s="65"/>
      <c r="H480" s="65"/>
      <c r="I480" s="65"/>
      <c r="J480" s="65"/>
      <c r="K480" s="65" t="s">
        <v>1794</v>
      </c>
      <c r="L480" s="65"/>
      <c r="M480" s="65"/>
      <c r="N480" s="65"/>
    </row>
    <row r="481" spans="1:14" ht="12.75">
      <c r="A481" s="65"/>
      <c r="B481" s="65"/>
      <c r="C481" s="65"/>
      <c r="D481" s="65"/>
      <c r="E481" s="65" t="str">
        <v>---</v>
      </c>
      <c r="F481" s="65"/>
      <c r="G481" s="65"/>
      <c r="H481" s="65"/>
      <c r="I481" s="65"/>
      <c r="J481" s="65"/>
      <c r="K481" s="65" t="s">
        <v>1795</v>
      </c>
      <c r="L481" s="65"/>
      <c r="M481" s="65"/>
      <c r="N481" s="65"/>
    </row>
    <row r="482" spans="1:14" ht="12.75">
      <c r="A482" s="65"/>
      <c r="B482" s="65"/>
      <c r="C482" s="65"/>
      <c r="D482" s="65"/>
      <c r="E482" s="65" t="str">
        <v>---</v>
      </c>
      <c r="F482" s="65"/>
      <c r="G482" s="65"/>
      <c r="H482" s="65"/>
      <c r="I482" s="65"/>
      <c r="J482" s="65"/>
      <c r="K482" s="65" t="s">
        <v>1796</v>
      </c>
      <c r="L482" s="65"/>
      <c r="M482" s="65"/>
      <c r="N482" s="65"/>
    </row>
    <row r="483" spans="1:14" ht="12.75">
      <c r="A483" s="65"/>
      <c r="B483" s="65"/>
      <c r="C483" s="65"/>
      <c r="D483" s="65"/>
      <c r="E483" s="65" t="str">
        <v>---</v>
      </c>
      <c r="F483" s="65"/>
      <c r="G483" s="65"/>
      <c r="H483" s="65"/>
      <c r="I483" s="65"/>
      <c r="J483" s="65"/>
      <c r="K483" s="65" t="s">
        <v>1797</v>
      </c>
      <c r="L483" s="65"/>
      <c r="M483" s="65"/>
      <c r="N483" s="65"/>
    </row>
    <row r="484" spans="1:14" ht="12.75">
      <c r="A484" s="65"/>
      <c r="B484" s="65"/>
      <c r="C484" s="65"/>
      <c r="D484" s="65"/>
      <c r="E484" s="65" t="str">
        <v>---</v>
      </c>
      <c r="F484" s="65"/>
      <c r="G484" s="65"/>
      <c r="H484" s="65"/>
      <c r="I484" s="65"/>
      <c r="J484" s="65"/>
      <c r="K484" s="65" t="s">
        <v>1798</v>
      </c>
      <c r="L484" s="65"/>
      <c r="M484" s="65"/>
      <c r="N484" s="65"/>
    </row>
    <row r="485" spans="1:14" ht="12.75">
      <c r="A485" s="65"/>
      <c r="B485" s="65"/>
      <c r="C485" s="65"/>
      <c r="D485" s="65"/>
      <c r="E485" s="65" t="str">
        <v>---</v>
      </c>
      <c r="F485" s="65"/>
      <c r="G485" s="65"/>
      <c r="H485" s="65"/>
      <c r="I485" s="65"/>
      <c r="J485" s="65"/>
      <c r="K485" s="65" t="s">
        <v>1799</v>
      </c>
      <c r="L485" s="65"/>
      <c r="M485" s="65"/>
      <c r="N485" s="65"/>
    </row>
    <row r="486" spans="1:14" ht="12.75">
      <c r="A486" s="65"/>
      <c r="B486" s="65"/>
      <c r="C486" s="65"/>
      <c r="D486" s="65"/>
      <c r="E486" s="65" t="str">
        <v>---</v>
      </c>
      <c r="F486" s="65"/>
      <c r="G486" s="65"/>
      <c r="H486" s="65"/>
      <c r="I486" s="65"/>
      <c r="J486" s="65"/>
      <c r="K486" s="65" t="s">
        <v>1800</v>
      </c>
      <c r="L486" s="65"/>
      <c r="M486" s="65"/>
      <c r="N486" s="65"/>
    </row>
    <row r="487" spans="1:14" ht="12.75">
      <c r="A487" s="65"/>
      <c r="B487" s="65"/>
      <c r="C487" s="65"/>
      <c r="D487" s="65"/>
      <c r="E487" s="65" t="str">
        <v>---</v>
      </c>
      <c r="F487" s="65"/>
      <c r="G487" s="65"/>
      <c r="H487" s="65"/>
      <c r="I487" s="65"/>
      <c r="J487" s="65"/>
      <c r="K487" s="65" t="s">
        <v>1801</v>
      </c>
      <c r="L487" s="65"/>
      <c r="M487" s="65"/>
      <c r="N487" s="65"/>
    </row>
    <row r="488" spans="1:14" ht="12.75">
      <c r="A488" s="65"/>
      <c r="B488" s="65"/>
      <c r="C488" s="65"/>
      <c r="D488" s="65"/>
      <c r="E488" s="65" t="str">
        <v>---</v>
      </c>
      <c r="F488" s="65"/>
      <c r="G488" s="65"/>
      <c r="H488" s="65"/>
      <c r="I488" s="65"/>
      <c r="J488" s="65"/>
      <c r="K488" s="65" t="s">
        <v>1802</v>
      </c>
      <c r="L488" s="65"/>
      <c r="M488" s="65"/>
      <c r="N488" s="65"/>
    </row>
    <row r="489" spans="1:14" ht="12.75">
      <c r="A489" s="65"/>
      <c r="B489" s="65"/>
      <c r="C489" s="65"/>
      <c r="D489" s="65"/>
      <c r="E489" s="65" t="str">
        <v>---</v>
      </c>
      <c r="F489" s="65"/>
      <c r="G489" s="65"/>
      <c r="H489" s="65"/>
      <c r="I489" s="65"/>
      <c r="J489" s="65"/>
      <c r="K489" s="65" t="s">
        <v>1803</v>
      </c>
      <c r="L489" s="65"/>
      <c r="M489" s="65"/>
      <c r="N489" s="65"/>
    </row>
    <row r="490" spans="1:14" ht="12.75">
      <c r="A490" s="65"/>
      <c r="B490" s="65"/>
      <c r="C490" s="65"/>
      <c r="D490" s="65"/>
      <c r="E490" s="65" t="str">
        <v>---</v>
      </c>
      <c r="F490" s="65"/>
      <c r="G490" s="65"/>
      <c r="H490" s="65"/>
      <c r="I490" s="65"/>
      <c r="J490" s="65"/>
      <c r="K490" s="65" t="s">
        <v>1804</v>
      </c>
      <c r="L490" s="65"/>
      <c r="M490" s="65"/>
      <c r="N490" s="65"/>
    </row>
    <row r="491" spans="1:14" ht="12.75">
      <c r="A491" s="65"/>
      <c r="B491" s="65"/>
      <c r="C491" s="65"/>
      <c r="D491" s="65"/>
      <c r="E491" s="65" t="str">
        <v>---</v>
      </c>
      <c r="F491" s="65"/>
      <c r="G491" s="65"/>
      <c r="H491" s="65"/>
      <c r="I491" s="65"/>
      <c r="J491" s="65"/>
      <c r="K491" s="65" t="s">
        <v>1805</v>
      </c>
      <c r="L491" s="65"/>
      <c r="M491" s="65"/>
      <c r="N491" s="65"/>
    </row>
    <row r="492" spans="1:14" ht="12.75">
      <c r="A492" s="65"/>
      <c r="B492" s="65"/>
      <c r="C492" s="65"/>
      <c r="D492" s="65"/>
      <c r="E492" s="65" t="str">
        <v>---</v>
      </c>
      <c r="F492" s="65"/>
      <c r="G492" s="65"/>
      <c r="H492" s="65"/>
      <c r="I492" s="65"/>
      <c r="J492" s="65"/>
      <c r="K492" s="65" t="s">
        <v>1806</v>
      </c>
      <c r="L492" s="65"/>
      <c r="M492" s="65"/>
      <c r="N492" s="65"/>
    </row>
    <row r="493" spans="1:14" ht="12.75">
      <c r="A493" s="65"/>
      <c r="B493" s="65"/>
      <c r="C493" s="65"/>
      <c r="D493" s="65"/>
      <c r="E493" s="65" t="str">
        <v>---</v>
      </c>
      <c r="F493" s="65"/>
      <c r="G493" s="65"/>
      <c r="H493" s="65"/>
      <c r="I493" s="65"/>
      <c r="J493" s="65"/>
      <c r="K493" s="65" t="s">
        <v>1807</v>
      </c>
      <c r="L493" s="65"/>
      <c r="M493" s="65"/>
      <c r="N493" s="65"/>
    </row>
    <row r="494" spans="1:14" ht="12.75">
      <c r="A494" s="65"/>
      <c r="B494" s="65"/>
      <c r="C494" s="65"/>
      <c r="D494" s="65"/>
      <c r="E494" s="65" t="str">
        <v>---</v>
      </c>
      <c r="F494" s="65"/>
      <c r="G494" s="65"/>
      <c r="H494" s="65"/>
      <c r="I494" s="65"/>
      <c r="J494" s="65"/>
      <c r="K494" s="65" t="s">
        <v>1808</v>
      </c>
      <c r="L494" s="65"/>
      <c r="M494" s="65"/>
      <c r="N494" s="65"/>
    </row>
    <row r="495" spans="1:14" ht="12.75">
      <c r="A495" s="65"/>
      <c r="B495" s="65"/>
      <c r="C495" s="65"/>
      <c r="D495" s="65"/>
      <c r="E495" s="65" t="str">
        <v>---</v>
      </c>
      <c r="F495" s="65"/>
      <c r="G495" s="65"/>
      <c r="H495" s="65"/>
      <c r="I495" s="65"/>
      <c r="J495" s="65"/>
      <c r="K495" s="65" t="s">
        <v>1809</v>
      </c>
      <c r="L495" s="65"/>
      <c r="M495" s="65"/>
      <c r="N495" s="65"/>
    </row>
    <row r="496" spans="1:14" ht="12.75">
      <c r="A496" s="65"/>
      <c r="B496" s="65"/>
      <c r="C496" s="65"/>
      <c r="D496" s="65"/>
      <c r="E496" s="65" t="str">
        <v>---</v>
      </c>
      <c r="F496" s="65"/>
      <c r="G496" s="65"/>
      <c r="H496" s="65"/>
      <c r="I496" s="65"/>
      <c r="J496" s="65"/>
      <c r="K496" s="65" t="s">
        <v>1810</v>
      </c>
      <c r="L496" s="65"/>
      <c r="M496" s="65"/>
      <c r="N496" s="65"/>
    </row>
    <row r="497" spans="1:14" ht="12.75">
      <c r="A497" s="65"/>
      <c r="B497" s="65"/>
      <c r="C497" s="65"/>
      <c r="D497" s="65"/>
      <c r="E497" s="65" t="str">
        <v>---</v>
      </c>
      <c r="F497" s="65"/>
      <c r="G497" s="65"/>
      <c r="H497" s="65"/>
      <c r="I497" s="65"/>
      <c r="J497" s="65"/>
      <c r="K497" s="65" t="s">
        <v>1811</v>
      </c>
      <c r="L497" s="65"/>
      <c r="M497" s="65"/>
      <c r="N497" s="65"/>
    </row>
    <row r="498" spans="1:14" ht="12.75">
      <c r="A498" s="65"/>
      <c r="B498" s="65"/>
      <c r="C498" s="65"/>
      <c r="D498" s="65"/>
      <c r="E498" s="65" t="str">
        <v>---</v>
      </c>
      <c r="F498" s="65"/>
      <c r="G498" s="65"/>
      <c r="H498" s="65"/>
      <c r="I498" s="65"/>
      <c r="J498" s="65"/>
      <c r="K498" s="65" t="s">
        <v>1812</v>
      </c>
      <c r="L498" s="65"/>
      <c r="M498" s="65"/>
      <c r="N498" s="65"/>
    </row>
    <row r="499" spans="1:14" ht="12.75">
      <c r="A499" s="65"/>
      <c r="B499" s="65"/>
      <c r="C499" s="65"/>
      <c r="D499" s="65"/>
      <c r="E499" s="65" t="str">
        <v>---</v>
      </c>
      <c r="F499" s="65"/>
      <c r="G499" s="65"/>
      <c r="H499" s="65"/>
      <c r="I499" s="65"/>
      <c r="J499" s="65"/>
      <c r="K499" s="65" t="s">
        <v>1813</v>
      </c>
      <c r="L499" s="65"/>
      <c r="M499" s="65"/>
      <c r="N499" s="65"/>
    </row>
    <row r="500" spans="1:14" ht="12.75">
      <c r="A500" s="65"/>
      <c r="B500" s="65"/>
      <c r="C500" s="65"/>
      <c r="D500" s="65"/>
      <c r="E500" s="65" t="str">
        <v>---</v>
      </c>
      <c r="F500" s="65"/>
      <c r="G500" s="65"/>
      <c r="H500" s="65"/>
      <c r="I500" s="65"/>
      <c r="J500" s="65"/>
      <c r="K500" s="65" t="s">
        <v>1814</v>
      </c>
      <c r="L500" s="65"/>
      <c r="M500" s="65"/>
      <c r="N500" s="65"/>
    </row>
    <row r="501" spans="1:14" ht="12.75">
      <c r="A501" s="65"/>
      <c r="B501" s="65"/>
      <c r="C501" s="65"/>
      <c r="D501" s="65"/>
      <c r="E501" s="65" t="str">
        <v>---</v>
      </c>
      <c r="F501" s="65"/>
      <c r="G501" s="65"/>
      <c r="H501" s="65"/>
      <c r="I501" s="65"/>
      <c r="J501" s="65"/>
      <c r="K501" s="65" t="s">
        <v>1815</v>
      </c>
      <c r="L501" s="65"/>
      <c r="M501" s="65"/>
      <c r="N501" s="65"/>
    </row>
    <row r="502" spans="1:14" ht="12.75">
      <c r="A502" s="65"/>
      <c r="B502" s="65"/>
      <c r="C502" s="65"/>
      <c r="D502" s="65"/>
      <c r="E502" s="65" t="str">
        <v>---</v>
      </c>
      <c r="F502" s="65"/>
      <c r="G502" s="65"/>
      <c r="H502" s="65"/>
      <c r="I502" s="65"/>
      <c r="J502" s="65"/>
      <c r="K502" s="65" t="s">
        <v>1816</v>
      </c>
      <c r="L502" s="65"/>
      <c r="M502" s="65"/>
      <c r="N502" s="65"/>
    </row>
    <row r="503" spans="1:14" ht="12.75">
      <c r="A503" s="65"/>
      <c r="B503" s="65"/>
      <c r="C503" s="65"/>
      <c r="D503" s="65"/>
      <c r="E503" s="65" t="str">
        <v>---</v>
      </c>
      <c r="F503" s="65"/>
      <c r="G503" s="65"/>
      <c r="H503" s="65"/>
      <c r="I503" s="65"/>
      <c r="J503" s="65"/>
      <c r="K503" s="65" t="s">
        <v>1817</v>
      </c>
      <c r="L503" s="65"/>
      <c r="M503" s="65"/>
      <c r="N503" s="65"/>
    </row>
    <row r="504" spans="1:14" ht="12.75">
      <c r="A504" s="65"/>
      <c r="B504" s="65"/>
      <c r="C504" s="65"/>
      <c r="D504" s="65"/>
      <c r="E504" s="65" t="str">
        <v>---</v>
      </c>
      <c r="F504" s="65"/>
      <c r="G504" s="65"/>
      <c r="H504" s="65"/>
      <c r="I504" s="65"/>
      <c r="J504" s="65"/>
      <c r="K504" s="65" t="s">
        <v>1818</v>
      </c>
      <c r="L504" s="65"/>
      <c r="M504" s="65"/>
      <c r="N504" s="65"/>
    </row>
    <row r="505" spans="1:14" ht="12.75">
      <c r="A505" s="65"/>
      <c r="B505" s="65"/>
      <c r="C505" s="65"/>
      <c r="D505" s="65"/>
      <c r="E505" s="65" t="str">
        <v>---</v>
      </c>
      <c r="F505" s="65"/>
      <c r="G505" s="65"/>
      <c r="H505" s="65"/>
      <c r="I505" s="65"/>
      <c r="J505" s="65"/>
      <c r="K505" s="65" t="s">
        <v>1819</v>
      </c>
      <c r="L505" s="65"/>
      <c r="M505" s="65"/>
      <c r="N505" s="65"/>
    </row>
    <row r="506" spans="1:14" ht="12.75">
      <c r="A506" s="65"/>
      <c r="B506" s="65"/>
      <c r="C506" s="65"/>
      <c r="D506" s="65"/>
      <c r="E506" s="65" t="str">
        <v>---</v>
      </c>
      <c r="F506" s="65"/>
      <c r="G506" s="65"/>
      <c r="H506" s="65"/>
      <c r="I506" s="65"/>
      <c r="J506" s="65"/>
      <c r="K506" s="65" t="s">
        <v>1820</v>
      </c>
      <c r="L506" s="65"/>
      <c r="M506" s="65"/>
      <c r="N506" s="65"/>
    </row>
    <row r="507" spans="1:14" ht="12.75">
      <c r="A507" s="65"/>
      <c r="B507" s="65"/>
      <c r="C507" s="65"/>
      <c r="D507" s="65"/>
      <c r="E507" s="65" t="str">
        <v>---</v>
      </c>
      <c r="F507" s="65"/>
      <c r="G507" s="65"/>
      <c r="H507" s="65"/>
      <c r="I507" s="65"/>
      <c r="J507" s="65"/>
      <c r="K507" s="65" t="s">
        <v>1821</v>
      </c>
      <c r="L507" s="65"/>
      <c r="M507" s="65"/>
      <c r="N507" s="65"/>
    </row>
    <row r="508" spans="1:14" ht="12.75">
      <c r="A508" s="65"/>
      <c r="B508" s="65"/>
      <c r="C508" s="65"/>
      <c r="D508" s="65"/>
      <c r="E508" s="65" t="str">
        <v>---</v>
      </c>
      <c r="F508" s="65"/>
      <c r="G508" s="65"/>
      <c r="H508" s="65"/>
      <c r="I508" s="65"/>
      <c r="J508" s="65"/>
      <c r="K508" s="65" t="s">
        <v>1822</v>
      </c>
      <c r="L508" s="65"/>
      <c r="M508" s="65"/>
      <c r="N508" s="65"/>
    </row>
    <row r="509" spans="1:14" ht="12.75">
      <c r="A509" s="65"/>
      <c r="B509" s="65"/>
      <c r="C509" s="65"/>
      <c r="D509" s="65"/>
      <c r="E509" s="65" t="str">
        <v>---</v>
      </c>
      <c r="F509" s="65"/>
      <c r="G509" s="65"/>
      <c r="H509" s="65"/>
      <c r="I509" s="65"/>
      <c r="J509" s="65"/>
      <c r="K509" s="65" t="s">
        <v>1823</v>
      </c>
      <c r="L509" s="65"/>
      <c r="M509" s="65"/>
      <c r="N509" s="65"/>
    </row>
    <row r="510" spans="1:14" ht="12.75">
      <c r="A510" s="65"/>
      <c r="B510" s="65"/>
      <c r="C510" s="65"/>
      <c r="D510" s="65"/>
      <c r="E510" s="65" t="str">
        <v>---</v>
      </c>
      <c r="F510" s="65"/>
      <c r="G510" s="65"/>
      <c r="H510" s="65"/>
      <c r="I510" s="65"/>
      <c r="J510" s="65"/>
      <c r="K510" s="65" t="s">
        <v>1824</v>
      </c>
      <c r="L510" s="65"/>
      <c r="M510" s="65"/>
      <c r="N510" s="65"/>
    </row>
    <row r="511" spans="1:14" ht="12.75">
      <c r="A511" s="65"/>
      <c r="B511" s="65"/>
      <c r="C511" s="65"/>
      <c r="D511" s="65"/>
      <c r="E511" s="65" t="str">
        <v>---</v>
      </c>
      <c r="F511" s="65"/>
      <c r="G511" s="65"/>
      <c r="H511" s="65"/>
      <c r="I511" s="65"/>
      <c r="J511" s="65"/>
      <c r="K511" s="65" t="s">
        <v>1825</v>
      </c>
      <c r="L511" s="65"/>
      <c r="M511" s="65"/>
      <c r="N511" s="65"/>
    </row>
    <row r="512" spans="1:14" ht="12.75">
      <c r="A512" s="65"/>
      <c r="B512" s="65"/>
      <c r="C512" s="65"/>
      <c r="D512" s="65"/>
      <c r="E512" s="65" t="str">
        <v>---</v>
      </c>
      <c r="F512" s="65"/>
      <c r="G512" s="65"/>
      <c r="H512" s="65"/>
      <c r="I512" s="65"/>
      <c r="J512" s="65"/>
      <c r="K512" s="65" t="s">
        <v>1826</v>
      </c>
      <c r="L512" s="65"/>
      <c r="M512" s="65"/>
      <c r="N512" s="65"/>
    </row>
    <row r="513" spans="1:14" ht="12.75">
      <c r="A513" s="65"/>
      <c r="B513" s="65"/>
      <c r="C513" s="65"/>
      <c r="D513" s="65"/>
      <c r="E513" s="65" t="str">
        <v>---</v>
      </c>
      <c r="F513" s="65"/>
      <c r="G513" s="65"/>
      <c r="H513" s="65"/>
      <c r="I513" s="65"/>
      <c r="J513" s="65"/>
      <c r="K513" s="65" t="s">
        <v>1827</v>
      </c>
      <c r="L513" s="65"/>
      <c r="M513" s="65"/>
      <c r="N513" s="65"/>
    </row>
    <row r="514" spans="1:14" ht="12.75">
      <c r="A514" s="65"/>
      <c r="B514" s="65"/>
      <c r="C514" s="65"/>
      <c r="D514" s="65"/>
      <c r="E514" s="65" t="str">
        <v>---</v>
      </c>
      <c r="F514" s="65"/>
      <c r="G514" s="65"/>
      <c r="H514" s="65"/>
      <c r="I514" s="65"/>
      <c r="J514" s="65"/>
      <c r="K514" s="65" t="s">
        <v>1828</v>
      </c>
      <c r="L514" s="65"/>
      <c r="M514" s="65"/>
      <c r="N514" s="65"/>
    </row>
    <row r="515" spans="1:14" ht="12.75">
      <c r="A515" s="65"/>
      <c r="B515" s="65"/>
      <c r="C515" s="65"/>
      <c r="D515" s="65"/>
      <c r="E515" s="65" t="str">
        <v>---</v>
      </c>
      <c r="F515" s="65"/>
      <c r="G515" s="65"/>
      <c r="H515" s="65"/>
      <c r="I515" s="65"/>
      <c r="J515" s="65"/>
      <c r="K515" s="65" t="s">
        <v>1829</v>
      </c>
      <c r="L515" s="65"/>
      <c r="M515" s="65"/>
      <c r="N515" s="65"/>
    </row>
    <row r="516" spans="1:14" ht="12.75">
      <c r="A516" s="65"/>
      <c r="B516" s="65"/>
      <c r="C516" s="65"/>
      <c r="D516" s="65"/>
      <c r="E516" s="65" t="str">
        <v>---</v>
      </c>
      <c r="F516" s="65"/>
      <c r="G516" s="65"/>
      <c r="H516" s="65"/>
      <c r="I516" s="65"/>
      <c r="J516" s="65"/>
      <c r="K516" s="65" t="s">
        <v>1830</v>
      </c>
      <c r="L516" s="65"/>
      <c r="M516" s="65"/>
      <c r="N516" s="65"/>
    </row>
    <row r="517" spans="1:14" ht="12.75">
      <c r="A517" s="65"/>
      <c r="B517" s="65"/>
      <c r="C517" s="65"/>
      <c r="D517" s="65"/>
      <c r="E517" s="65" t="str">
        <v>---</v>
      </c>
      <c r="F517" s="65"/>
      <c r="G517" s="65"/>
      <c r="H517" s="65"/>
      <c r="I517" s="65"/>
      <c r="J517" s="65"/>
      <c r="K517" s="65" t="s">
        <v>1831</v>
      </c>
      <c r="L517" s="65"/>
      <c r="M517" s="65"/>
      <c r="N517" s="65"/>
    </row>
    <row r="518" spans="1:14" ht="12.75">
      <c r="A518" s="65"/>
      <c r="B518" s="65"/>
      <c r="C518" s="65"/>
      <c r="D518" s="65"/>
      <c r="E518" s="65" t="str">
        <v>---</v>
      </c>
      <c r="F518" s="65"/>
      <c r="G518" s="65"/>
      <c r="H518" s="65"/>
      <c r="I518" s="65"/>
      <c r="J518" s="65"/>
      <c r="K518" s="65" t="s">
        <v>1832</v>
      </c>
      <c r="L518" s="65"/>
      <c r="M518" s="65"/>
      <c r="N518" s="65"/>
    </row>
    <row r="519" spans="1:14" ht="12.75">
      <c r="A519" s="65"/>
      <c r="B519" s="65"/>
      <c r="C519" s="65"/>
      <c r="D519" s="65"/>
      <c r="E519" s="65" t="str">
        <v>---</v>
      </c>
      <c r="F519" s="65"/>
      <c r="G519" s="65"/>
      <c r="H519" s="65"/>
      <c r="I519" s="65"/>
      <c r="J519" s="65"/>
      <c r="K519" s="65" t="s">
        <v>1833</v>
      </c>
      <c r="L519" s="65"/>
      <c r="M519" s="65"/>
      <c r="N519" s="65"/>
    </row>
    <row r="520" spans="1:14" ht="12.75">
      <c r="A520" s="65"/>
      <c r="B520" s="65"/>
      <c r="C520" s="65"/>
      <c r="D520" s="65"/>
      <c r="E520" s="65" t="str">
        <v>---</v>
      </c>
      <c r="F520" s="65"/>
      <c r="G520" s="65"/>
      <c r="H520" s="65"/>
      <c r="I520" s="65"/>
      <c r="J520" s="65"/>
      <c r="K520" s="65" t="s">
        <v>1834</v>
      </c>
      <c r="L520" s="65"/>
      <c r="M520" s="65"/>
      <c r="N520" s="65"/>
    </row>
    <row r="521" spans="1:14" ht="12.75">
      <c r="A521" s="65"/>
      <c r="B521" s="65"/>
      <c r="C521" s="65"/>
      <c r="D521" s="65"/>
      <c r="E521" s="65" t="str">
        <v>---</v>
      </c>
      <c r="F521" s="65"/>
      <c r="G521" s="65"/>
      <c r="H521" s="65"/>
      <c r="I521" s="65"/>
      <c r="J521" s="65"/>
      <c r="K521" s="65" t="s">
        <v>1835</v>
      </c>
      <c r="L521" s="65"/>
      <c r="M521" s="65"/>
      <c r="N521" s="65"/>
    </row>
    <row r="522" spans="1:14" ht="12.75">
      <c r="A522" s="65"/>
      <c r="B522" s="65"/>
      <c r="C522" s="65"/>
      <c r="D522" s="65"/>
      <c r="E522" s="65" t="str">
        <v>---</v>
      </c>
      <c r="F522" s="65"/>
      <c r="G522" s="65"/>
      <c r="H522" s="65"/>
      <c r="I522" s="65"/>
      <c r="J522" s="65"/>
      <c r="K522" s="65" t="s">
        <v>1836</v>
      </c>
      <c r="L522" s="65"/>
      <c r="M522" s="65"/>
      <c r="N522" s="65"/>
    </row>
    <row r="523" spans="1:14" ht="12.75">
      <c r="A523" s="65"/>
      <c r="B523" s="65"/>
      <c r="C523" s="65"/>
      <c r="D523" s="65"/>
      <c r="E523" s="65" t="str">
        <v>---</v>
      </c>
      <c r="F523" s="65"/>
      <c r="G523" s="65"/>
      <c r="H523" s="65"/>
      <c r="I523" s="65"/>
      <c r="J523" s="65"/>
      <c r="K523" s="65" t="s">
        <v>1837</v>
      </c>
      <c r="L523" s="65"/>
      <c r="M523" s="65"/>
      <c r="N523" s="65"/>
    </row>
    <row r="524" spans="1:14" ht="12.75">
      <c r="A524" s="65"/>
      <c r="B524" s="65"/>
      <c r="C524" s="65"/>
      <c r="D524" s="65"/>
      <c r="E524" s="65" t="str">
        <v>---</v>
      </c>
      <c r="F524" s="65"/>
      <c r="G524" s="65"/>
      <c r="H524" s="65"/>
      <c r="I524" s="65"/>
      <c r="J524" s="65"/>
      <c r="K524" s="65" t="s">
        <v>1838</v>
      </c>
      <c r="L524" s="65"/>
      <c r="M524" s="65"/>
      <c r="N524" s="65"/>
    </row>
    <row r="525" spans="1:14" ht="12.75">
      <c r="A525" s="65"/>
      <c r="B525" s="65"/>
      <c r="C525" s="65"/>
      <c r="D525" s="65"/>
      <c r="E525" s="65" t="str">
        <v>---</v>
      </c>
      <c r="F525" s="65"/>
      <c r="G525" s="65"/>
      <c r="H525" s="65"/>
      <c r="I525" s="65"/>
      <c r="J525" s="65"/>
      <c r="K525" s="65" t="s">
        <v>1839</v>
      </c>
      <c r="L525" s="65"/>
      <c r="M525" s="65"/>
      <c r="N525" s="65"/>
    </row>
    <row r="526" spans="1:14" ht="12.75">
      <c r="A526" s="65"/>
      <c r="B526" s="65"/>
      <c r="C526" s="65"/>
      <c r="D526" s="65"/>
      <c r="E526" s="65" t="str">
        <v>---</v>
      </c>
      <c r="F526" s="65"/>
      <c r="G526" s="65"/>
      <c r="H526" s="65"/>
      <c r="I526" s="65"/>
      <c r="J526" s="65"/>
      <c r="K526" s="65" t="s">
        <v>1840</v>
      </c>
      <c r="L526" s="65"/>
      <c r="M526" s="65"/>
      <c r="N526" s="65"/>
    </row>
    <row r="527" spans="1:14" ht="12.75">
      <c r="A527" s="65"/>
      <c r="B527" s="65"/>
      <c r="C527" s="65"/>
      <c r="D527" s="65"/>
      <c r="E527" s="65" t="str">
        <v>---</v>
      </c>
      <c r="F527" s="65"/>
      <c r="G527" s="65"/>
      <c r="H527" s="65"/>
      <c r="I527" s="65"/>
      <c r="J527" s="65"/>
      <c r="K527" s="65" t="s">
        <v>1841</v>
      </c>
      <c r="L527" s="65"/>
      <c r="M527" s="65"/>
      <c r="N527" s="65"/>
    </row>
    <row r="528" spans="1:14" ht="12.75">
      <c r="A528" s="65"/>
      <c r="B528" s="65"/>
      <c r="C528" s="65"/>
      <c r="D528" s="65"/>
      <c r="E528" s="65" t="str">
        <v>---</v>
      </c>
      <c r="F528" s="65"/>
      <c r="G528" s="65"/>
      <c r="H528" s="65"/>
      <c r="I528" s="65"/>
      <c r="J528" s="65"/>
      <c r="K528" s="65" t="s">
        <v>1842</v>
      </c>
      <c r="L528" s="65"/>
      <c r="M528" s="65"/>
      <c r="N528" s="65"/>
    </row>
    <row r="529" spans="1:14" ht="12.75">
      <c r="A529" s="65"/>
      <c r="B529" s="65"/>
      <c r="C529" s="65"/>
      <c r="D529" s="65"/>
      <c r="E529" s="65" t="str">
        <v>---</v>
      </c>
      <c r="F529" s="65"/>
      <c r="G529" s="65"/>
      <c r="H529" s="65"/>
      <c r="I529" s="65"/>
      <c r="J529" s="65"/>
      <c r="K529" s="65" t="s">
        <v>1843</v>
      </c>
      <c r="L529" s="65"/>
      <c r="M529" s="65"/>
      <c r="N529" s="65"/>
    </row>
    <row r="530" spans="1:14" ht="12.75">
      <c r="A530" s="65"/>
      <c r="B530" s="65"/>
      <c r="C530" s="65"/>
      <c r="D530" s="65"/>
      <c r="E530" s="65" t="str">
        <v>---</v>
      </c>
      <c r="F530" s="65"/>
      <c r="G530" s="65"/>
      <c r="H530" s="65"/>
      <c r="I530" s="65"/>
      <c r="J530" s="65"/>
      <c r="K530" s="65" t="s">
        <v>1844</v>
      </c>
      <c r="L530" s="65"/>
      <c r="M530" s="65"/>
      <c r="N530" s="65"/>
    </row>
    <row r="531" spans="1:14" ht="12.75">
      <c r="A531" s="65"/>
      <c r="B531" s="65"/>
      <c r="C531" s="65"/>
      <c r="D531" s="65"/>
      <c r="E531" s="65" t="str">
        <v>---</v>
      </c>
      <c r="F531" s="65"/>
      <c r="G531" s="65"/>
      <c r="H531" s="65"/>
      <c r="I531" s="65"/>
      <c r="J531" s="65"/>
      <c r="K531" s="65" t="s">
        <v>1845</v>
      </c>
      <c r="L531" s="65"/>
      <c r="M531" s="65"/>
      <c r="N531" s="65"/>
    </row>
    <row r="532" spans="1:14" ht="12.75">
      <c r="A532" s="65"/>
      <c r="B532" s="65"/>
      <c r="C532" s="65"/>
      <c r="D532" s="65"/>
      <c r="E532" s="65" t="str">
        <v>---</v>
      </c>
      <c r="F532" s="65"/>
      <c r="G532" s="65"/>
      <c r="H532" s="65"/>
      <c r="I532" s="65"/>
      <c r="J532" s="65"/>
      <c r="K532" s="65" t="s">
        <v>1846</v>
      </c>
      <c r="L532" s="65"/>
      <c r="M532" s="65"/>
      <c r="N532" s="65"/>
    </row>
    <row r="533" spans="1:14" ht="12.75">
      <c r="A533" s="65"/>
      <c r="B533" s="65"/>
      <c r="C533" s="65"/>
      <c r="D533" s="65"/>
      <c r="E533" s="65" t="str">
        <v>---</v>
      </c>
      <c r="F533" s="65"/>
      <c r="G533" s="65"/>
      <c r="H533" s="65"/>
      <c r="I533" s="65"/>
      <c r="J533" s="65"/>
      <c r="K533" s="65" t="s">
        <v>1847</v>
      </c>
      <c r="L533" s="65"/>
      <c r="M533" s="65"/>
      <c r="N533" s="65"/>
    </row>
    <row r="534" spans="1:14" ht="12.75">
      <c r="A534" s="65"/>
      <c r="B534" s="65"/>
      <c r="C534" s="65"/>
      <c r="D534" s="65"/>
      <c r="E534" s="65" t="str">
        <v>---</v>
      </c>
      <c r="F534" s="65"/>
      <c r="G534" s="65"/>
      <c r="H534" s="65"/>
      <c r="I534" s="65"/>
      <c r="J534" s="65"/>
      <c r="K534" s="65" t="s">
        <v>1848</v>
      </c>
      <c r="L534" s="65"/>
      <c r="M534" s="65"/>
      <c r="N534" s="65"/>
    </row>
    <row r="535" spans="1:14" ht="12.75">
      <c r="A535" s="65"/>
      <c r="B535" s="65"/>
      <c r="C535" s="65"/>
      <c r="D535" s="65"/>
      <c r="E535" s="65" t="str">
        <v>---</v>
      </c>
      <c r="F535" s="65"/>
      <c r="G535" s="65"/>
      <c r="H535" s="65"/>
      <c r="I535" s="65"/>
      <c r="J535" s="65"/>
      <c r="K535" s="65" t="s">
        <v>1849</v>
      </c>
      <c r="L535" s="65"/>
      <c r="M535" s="65"/>
      <c r="N535" s="65"/>
    </row>
    <row r="536" spans="1:14" ht="12.75">
      <c r="A536" s="65"/>
      <c r="B536" s="65"/>
      <c r="C536" s="65"/>
      <c r="D536" s="65"/>
      <c r="E536" s="65" t="str">
        <v>---</v>
      </c>
      <c r="F536" s="65"/>
      <c r="G536" s="65"/>
      <c r="H536" s="65"/>
      <c r="I536" s="65"/>
      <c r="J536" s="65"/>
      <c r="K536" s="65" t="s">
        <v>1850</v>
      </c>
      <c r="L536" s="65"/>
      <c r="M536" s="65"/>
      <c r="N536" s="65"/>
    </row>
    <row r="537" spans="1:14" ht="12.75">
      <c r="A537" s="65"/>
      <c r="B537" s="65"/>
      <c r="C537" s="65"/>
      <c r="D537" s="65"/>
      <c r="E537" s="65" t="str">
        <v>---</v>
      </c>
      <c r="F537" s="65"/>
      <c r="G537" s="65"/>
      <c r="H537" s="65"/>
      <c r="I537" s="65"/>
      <c r="J537" s="65"/>
      <c r="K537" s="65" t="s">
        <v>1851</v>
      </c>
      <c r="L537" s="65"/>
      <c r="M537" s="65"/>
      <c r="N537" s="65"/>
    </row>
    <row r="538" spans="1:14" ht="12.75">
      <c r="A538" s="65"/>
      <c r="B538" s="65"/>
      <c r="C538" s="65"/>
      <c r="D538" s="65"/>
      <c r="E538" s="65" t="str">
        <v>---</v>
      </c>
      <c r="F538" s="65"/>
      <c r="G538" s="65"/>
      <c r="H538" s="65"/>
      <c r="I538" s="65"/>
      <c r="J538" s="65"/>
      <c r="K538" s="65" t="s">
        <v>1852</v>
      </c>
      <c r="L538" s="65"/>
      <c r="M538" s="65"/>
      <c r="N538" s="65"/>
    </row>
    <row r="539" spans="1:14" ht="12.75">
      <c r="A539" s="65"/>
      <c r="B539" s="65"/>
      <c r="C539" s="65"/>
      <c r="D539" s="65"/>
      <c r="E539" s="65" t="str">
        <v>---</v>
      </c>
      <c r="F539" s="65"/>
      <c r="G539" s="65"/>
      <c r="H539" s="65"/>
      <c r="I539" s="65"/>
      <c r="J539" s="65"/>
      <c r="K539" s="65" t="s">
        <v>1853</v>
      </c>
      <c r="L539" s="65"/>
      <c r="M539" s="65"/>
      <c r="N539" s="65"/>
    </row>
    <row r="540" spans="1:14" ht="12.75">
      <c r="A540" s="65"/>
      <c r="B540" s="65"/>
      <c r="C540" s="65"/>
      <c r="D540" s="65"/>
      <c r="E540" s="65" t="str">
        <v>---</v>
      </c>
      <c r="F540" s="65"/>
      <c r="G540" s="65"/>
      <c r="H540" s="65"/>
      <c r="I540" s="65"/>
      <c r="J540" s="65"/>
      <c r="K540" s="65" t="s">
        <v>1854</v>
      </c>
      <c r="L540" s="65"/>
      <c r="M540" s="65"/>
      <c r="N540" s="65"/>
    </row>
    <row r="541" spans="1:14" ht="12.75">
      <c r="A541" s="65"/>
      <c r="B541" s="65"/>
      <c r="C541" s="65"/>
      <c r="D541" s="65"/>
      <c r="E541" s="65" t="str">
        <v>---</v>
      </c>
      <c r="F541" s="65"/>
      <c r="G541" s="65"/>
      <c r="H541" s="65"/>
      <c r="I541" s="65"/>
      <c r="J541" s="65"/>
      <c r="K541" s="65" t="s">
        <v>1855</v>
      </c>
      <c r="L541" s="65"/>
      <c r="M541" s="65"/>
      <c r="N541" s="65"/>
    </row>
    <row r="542" spans="1:14" ht="12.75">
      <c r="A542" s="65"/>
      <c r="B542" s="65"/>
      <c r="C542" s="65"/>
      <c r="D542" s="65"/>
      <c r="E542" s="65" t="str">
        <v>---</v>
      </c>
      <c r="F542" s="65"/>
      <c r="G542" s="65"/>
      <c r="H542" s="65"/>
      <c r="I542" s="65"/>
      <c r="J542" s="65"/>
      <c r="K542" s="65" t="s">
        <v>1856</v>
      </c>
      <c r="L542" s="65"/>
      <c r="M542" s="65"/>
      <c r="N542" s="65"/>
    </row>
    <row r="543" spans="1:14" ht="12.75">
      <c r="A543" s="65"/>
      <c r="B543" s="65"/>
      <c r="C543" s="65"/>
      <c r="D543" s="65"/>
      <c r="E543" s="65" t="str">
        <v>---</v>
      </c>
      <c r="F543" s="65"/>
      <c r="G543" s="65"/>
      <c r="H543" s="65"/>
      <c r="I543" s="65"/>
      <c r="J543" s="65"/>
      <c r="K543" s="65" t="s">
        <v>1857</v>
      </c>
      <c r="L543" s="65"/>
      <c r="M543" s="65"/>
      <c r="N543" s="65"/>
    </row>
    <row r="544" spans="1:14" ht="12.75">
      <c r="A544" s="65"/>
      <c r="B544" s="65"/>
      <c r="C544" s="65"/>
      <c r="D544" s="65"/>
      <c r="E544" s="65" t="str">
        <v>---</v>
      </c>
      <c r="F544" s="65"/>
      <c r="G544" s="65"/>
      <c r="H544" s="65"/>
      <c r="I544" s="65"/>
      <c r="J544" s="65"/>
      <c r="K544" s="65" t="s">
        <v>1858</v>
      </c>
      <c r="L544" s="65"/>
      <c r="M544" s="65"/>
      <c r="N544" s="65"/>
    </row>
    <row r="545" spans="1:14" ht="12.75">
      <c r="A545" s="65"/>
      <c r="B545" s="65"/>
      <c r="C545" s="65"/>
      <c r="D545" s="65"/>
      <c r="E545" s="65" t="str">
        <v>---</v>
      </c>
      <c r="F545" s="65"/>
      <c r="G545" s="65"/>
      <c r="H545" s="65"/>
      <c r="I545" s="65"/>
      <c r="J545" s="65"/>
      <c r="K545" s="65" t="s">
        <v>1859</v>
      </c>
      <c r="L545" s="65"/>
      <c r="M545" s="65"/>
      <c r="N545" s="65"/>
    </row>
    <row r="546" spans="1:14" ht="12.75">
      <c r="A546" s="65"/>
      <c r="B546" s="65"/>
      <c r="C546" s="65"/>
      <c r="D546" s="65"/>
      <c r="E546" s="65" t="str">
        <v>---</v>
      </c>
      <c r="F546" s="65"/>
      <c r="G546" s="65"/>
      <c r="H546" s="65"/>
      <c r="I546" s="65"/>
      <c r="J546" s="65"/>
      <c r="K546" s="65" t="s">
        <v>1860</v>
      </c>
      <c r="L546" s="65"/>
      <c r="M546" s="65"/>
      <c r="N546" s="65"/>
    </row>
    <row r="547" spans="1:14" ht="12.75">
      <c r="A547" s="65"/>
      <c r="B547" s="65"/>
      <c r="C547" s="65"/>
      <c r="D547" s="65"/>
      <c r="E547" s="65" t="str">
        <v>---</v>
      </c>
      <c r="F547" s="65"/>
      <c r="G547" s="65"/>
      <c r="H547" s="65"/>
      <c r="I547" s="65"/>
      <c r="J547" s="65"/>
      <c r="K547" s="65" t="s">
        <v>1861</v>
      </c>
      <c r="L547" s="65"/>
      <c r="M547" s="65"/>
      <c r="N547" s="65"/>
    </row>
    <row r="548" spans="1:14" ht="12.75">
      <c r="A548" s="65"/>
      <c r="B548" s="65"/>
      <c r="C548" s="65"/>
      <c r="D548" s="65"/>
      <c r="E548" s="65" t="str">
        <v>---</v>
      </c>
      <c r="F548" s="65"/>
      <c r="G548" s="65"/>
      <c r="H548" s="65"/>
      <c r="I548" s="65"/>
      <c r="J548" s="65"/>
      <c r="K548" s="65" t="s">
        <v>1862</v>
      </c>
      <c r="L548" s="65"/>
      <c r="M548" s="65"/>
      <c r="N548" s="65"/>
    </row>
    <row r="549" spans="1:14" ht="12.75">
      <c r="A549" s="65"/>
      <c r="B549" s="65"/>
      <c r="C549" s="65"/>
      <c r="D549" s="65"/>
      <c r="E549" s="65" t="str">
        <v>---</v>
      </c>
      <c r="F549" s="65"/>
      <c r="G549" s="65"/>
      <c r="H549" s="65"/>
      <c r="I549" s="65"/>
      <c r="J549" s="65"/>
      <c r="K549" s="65" t="s">
        <v>1863</v>
      </c>
      <c r="L549" s="65"/>
      <c r="M549" s="65"/>
      <c r="N549" s="65"/>
    </row>
    <row r="550" spans="1:14" ht="12.75">
      <c r="A550" s="65"/>
      <c r="B550" s="65"/>
      <c r="C550" s="65"/>
      <c r="D550" s="65"/>
      <c r="E550" s="65" t="str">
        <v>---</v>
      </c>
      <c r="F550" s="65"/>
      <c r="G550" s="65"/>
      <c r="H550" s="65"/>
      <c r="I550" s="65"/>
      <c r="J550" s="65"/>
      <c r="K550" s="65" t="s">
        <v>1864</v>
      </c>
      <c r="L550" s="65"/>
      <c r="M550" s="65"/>
      <c r="N550" s="65"/>
    </row>
    <row r="551" spans="1:14" ht="12.75">
      <c r="A551" s="65"/>
      <c r="B551" s="65"/>
      <c r="C551" s="65"/>
      <c r="D551" s="65"/>
      <c r="E551" s="65" t="str">
        <v>---</v>
      </c>
      <c r="F551" s="65"/>
      <c r="G551" s="65"/>
      <c r="H551" s="65"/>
      <c r="I551" s="65"/>
      <c r="J551" s="65"/>
      <c r="K551" s="65" t="s">
        <v>1865</v>
      </c>
      <c r="L551" s="65"/>
      <c r="M551" s="65"/>
      <c r="N551" s="65"/>
    </row>
    <row r="552" spans="1:14" ht="12.75">
      <c r="A552" s="65"/>
      <c r="B552" s="65"/>
      <c r="C552" s="65"/>
      <c r="D552" s="65"/>
      <c r="E552" s="65" t="str">
        <v>---</v>
      </c>
      <c r="F552" s="65"/>
      <c r="G552" s="65"/>
      <c r="H552" s="65"/>
      <c r="I552" s="65"/>
      <c r="J552" s="65"/>
      <c r="K552" s="65" t="s">
        <v>1866</v>
      </c>
      <c r="L552" s="65"/>
      <c r="M552" s="65"/>
      <c r="N552" s="65"/>
    </row>
    <row r="553" spans="1:14" ht="12.75">
      <c r="A553" s="65"/>
      <c r="B553" s="65"/>
      <c r="C553" s="65"/>
      <c r="D553" s="65"/>
      <c r="E553" s="65" t="str">
        <v>---</v>
      </c>
      <c r="F553" s="65"/>
      <c r="G553" s="65"/>
      <c r="H553" s="65"/>
      <c r="I553" s="65"/>
      <c r="J553" s="65"/>
      <c r="K553" s="65" t="s">
        <v>1867</v>
      </c>
      <c r="L553" s="65"/>
      <c r="M553" s="65"/>
      <c r="N553" s="65"/>
    </row>
    <row r="554" spans="1:14" ht="12.75">
      <c r="A554" s="65"/>
      <c r="B554" s="65"/>
      <c r="C554" s="65"/>
      <c r="D554" s="65"/>
      <c r="E554" s="65" t="str">
        <v>---</v>
      </c>
      <c r="F554" s="65"/>
      <c r="G554" s="65"/>
      <c r="H554" s="65"/>
      <c r="I554" s="65"/>
      <c r="J554" s="65"/>
      <c r="K554" s="65" t="s">
        <v>1868</v>
      </c>
      <c r="L554" s="65"/>
      <c r="M554" s="65"/>
      <c r="N554" s="65"/>
    </row>
    <row r="555" spans="1:14" ht="12.75">
      <c r="A555" s="65"/>
      <c r="B555" s="65"/>
      <c r="C555" s="65"/>
      <c r="D555" s="65"/>
      <c r="E555" s="65" t="str">
        <v>---</v>
      </c>
      <c r="F555" s="65"/>
      <c r="G555" s="65"/>
      <c r="H555" s="65"/>
      <c r="I555" s="65"/>
      <c r="J555" s="65"/>
      <c r="K555" s="65" t="s">
        <v>1869</v>
      </c>
      <c r="L555" s="65"/>
      <c r="M555" s="65"/>
      <c r="N555" s="65"/>
    </row>
    <row r="556" spans="1:14" ht="12.75">
      <c r="A556" s="65"/>
      <c r="B556" s="65"/>
      <c r="C556" s="65"/>
      <c r="D556" s="65"/>
      <c r="E556" s="65" t="str">
        <v>---</v>
      </c>
      <c r="F556" s="65"/>
      <c r="G556" s="65"/>
      <c r="H556" s="65"/>
      <c r="I556" s="65"/>
      <c r="J556" s="65"/>
      <c r="K556" s="65" t="s">
        <v>1870</v>
      </c>
      <c r="L556" s="65"/>
      <c r="M556" s="65"/>
      <c r="N556" s="65"/>
    </row>
    <row r="557" spans="1:14" ht="12.75">
      <c r="A557" s="65"/>
      <c r="B557" s="65"/>
      <c r="C557" s="65"/>
      <c r="D557" s="65"/>
      <c r="E557" s="65" t="str">
        <v>---</v>
      </c>
      <c r="F557" s="65"/>
      <c r="G557" s="65"/>
      <c r="H557" s="65"/>
      <c r="I557" s="65"/>
      <c r="J557" s="65"/>
      <c r="K557" s="65" t="s">
        <v>1871</v>
      </c>
      <c r="L557" s="65"/>
      <c r="M557" s="65"/>
      <c r="N557" s="65"/>
    </row>
    <row r="558" spans="1:14" ht="12.75">
      <c r="A558" s="65"/>
      <c r="B558" s="65"/>
      <c r="C558" s="65"/>
      <c r="D558" s="65"/>
      <c r="E558" s="65" t="str">
        <v>---</v>
      </c>
      <c r="F558" s="65"/>
      <c r="G558" s="65"/>
      <c r="H558" s="65"/>
      <c r="I558" s="65"/>
      <c r="J558" s="65"/>
      <c r="K558" s="65" t="s">
        <v>1872</v>
      </c>
      <c r="L558" s="65"/>
      <c r="M558" s="65"/>
      <c r="N558" s="65"/>
    </row>
    <row r="559" spans="1:14" ht="12.75">
      <c r="A559" s="65"/>
      <c r="B559" s="65"/>
      <c r="C559" s="65"/>
      <c r="D559" s="65"/>
      <c r="E559" s="65" t="str">
        <v>---</v>
      </c>
      <c r="F559" s="65"/>
      <c r="G559" s="65"/>
      <c r="H559" s="65"/>
      <c r="I559" s="65"/>
      <c r="J559" s="65"/>
      <c r="K559" s="65" t="s">
        <v>1873</v>
      </c>
      <c r="L559" s="65"/>
      <c r="M559" s="65"/>
      <c r="N559" s="65"/>
    </row>
    <row r="560" spans="1:14" ht="12.75">
      <c r="A560" s="65"/>
      <c r="B560" s="65"/>
      <c r="C560" s="65"/>
      <c r="D560" s="65"/>
      <c r="E560" s="65" t="str">
        <v>---</v>
      </c>
      <c r="F560" s="65"/>
      <c r="G560" s="65"/>
      <c r="H560" s="65"/>
      <c r="I560" s="65"/>
      <c r="J560" s="65"/>
      <c r="K560" s="65" t="s">
        <v>1874</v>
      </c>
      <c r="L560" s="65"/>
      <c r="M560" s="65"/>
      <c r="N560" s="65"/>
    </row>
    <row r="561" spans="1:14" ht="12.75">
      <c r="A561" s="65"/>
      <c r="B561" s="65"/>
      <c r="C561" s="65"/>
      <c r="D561" s="65"/>
      <c r="E561" s="65" t="str">
        <v>---</v>
      </c>
      <c r="F561" s="65"/>
      <c r="G561" s="65"/>
      <c r="H561" s="65"/>
      <c r="I561" s="65"/>
      <c r="J561" s="65"/>
      <c r="K561" s="65" t="s">
        <v>1875</v>
      </c>
      <c r="L561" s="65"/>
      <c r="M561" s="65"/>
      <c r="N561" s="65"/>
    </row>
    <row r="562" spans="1:14" ht="12.75">
      <c r="A562" s="65"/>
      <c r="B562" s="65"/>
      <c r="C562" s="65"/>
      <c r="D562" s="65"/>
      <c r="E562" s="65" t="str">
        <v>---</v>
      </c>
      <c r="F562" s="65"/>
      <c r="G562" s="65"/>
      <c r="H562" s="65"/>
      <c r="I562" s="65"/>
      <c r="J562" s="65"/>
      <c r="K562" s="65" t="s">
        <v>1876</v>
      </c>
      <c r="L562" s="65"/>
      <c r="M562" s="65"/>
      <c r="N562" s="65"/>
    </row>
    <row r="563" spans="1:14" ht="12.75">
      <c r="A563" s="65"/>
      <c r="B563" s="65"/>
      <c r="C563" s="65"/>
      <c r="D563" s="65"/>
      <c r="E563" s="65" t="str">
        <v>---</v>
      </c>
      <c r="F563" s="65"/>
      <c r="G563" s="65"/>
      <c r="H563" s="65"/>
      <c r="I563" s="65"/>
      <c r="J563" s="65"/>
      <c r="K563" s="65" t="s">
        <v>1877</v>
      </c>
      <c r="L563" s="65"/>
      <c r="M563" s="65"/>
      <c r="N563" s="65"/>
    </row>
    <row r="564" spans="1:14" ht="12.75">
      <c r="A564" s="65"/>
      <c r="B564" s="65"/>
      <c r="C564" s="65"/>
      <c r="D564" s="65"/>
      <c r="E564" s="65" t="str">
        <v>---</v>
      </c>
      <c r="F564" s="65"/>
      <c r="G564" s="65"/>
      <c r="H564" s="65"/>
      <c r="I564" s="65"/>
      <c r="J564" s="65"/>
      <c r="K564" s="65" t="s">
        <v>1878</v>
      </c>
      <c r="L564" s="65"/>
      <c r="M564" s="65"/>
      <c r="N564" s="65"/>
    </row>
    <row r="565" spans="1:14" ht="12.75">
      <c r="A565" s="65"/>
      <c r="B565" s="65"/>
      <c r="C565" s="65"/>
      <c r="D565" s="65"/>
      <c r="E565" s="65" t="str">
        <v>---</v>
      </c>
      <c r="F565" s="65"/>
      <c r="G565" s="65"/>
      <c r="H565" s="65"/>
      <c r="I565" s="65"/>
      <c r="J565" s="65"/>
      <c r="K565" s="65" t="s">
        <v>1879</v>
      </c>
      <c r="L565" s="65"/>
      <c r="M565" s="65"/>
      <c r="N565" s="65"/>
    </row>
    <row r="566" spans="1:14" ht="12.75">
      <c r="A566" s="65"/>
      <c r="B566" s="65"/>
      <c r="C566" s="65"/>
      <c r="D566" s="65"/>
      <c r="E566" s="65" t="str">
        <v>---</v>
      </c>
      <c r="F566" s="65"/>
      <c r="G566" s="65"/>
      <c r="H566" s="65"/>
      <c r="I566" s="65"/>
      <c r="J566" s="65"/>
      <c r="K566" s="65" t="s">
        <v>1880</v>
      </c>
      <c r="L566" s="65"/>
      <c r="M566" s="65"/>
      <c r="N566" s="65"/>
    </row>
    <row r="567" spans="1:14" ht="12.75">
      <c r="A567" s="65"/>
      <c r="B567" s="65"/>
      <c r="C567" s="65"/>
      <c r="D567" s="65"/>
      <c r="E567" s="65" t="str">
        <v>---</v>
      </c>
      <c r="F567" s="65"/>
      <c r="G567" s="65"/>
      <c r="H567" s="65"/>
      <c r="I567" s="65"/>
      <c r="J567" s="65"/>
      <c r="K567" s="65" t="s">
        <v>1881</v>
      </c>
      <c r="L567" s="65"/>
      <c r="M567" s="65"/>
      <c r="N567" s="65"/>
    </row>
    <row r="568" spans="1:14" ht="12.75">
      <c r="A568" s="65"/>
      <c r="B568" s="65"/>
      <c r="C568" s="65"/>
      <c r="D568" s="65"/>
      <c r="E568" s="65" t="str">
        <v>---</v>
      </c>
      <c r="F568" s="65"/>
      <c r="G568" s="65"/>
      <c r="H568" s="65"/>
      <c r="I568" s="65"/>
      <c r="J568" s="65"/>
      <c r="K568" s="65" t="s">
        <v>1882</v>
      </c>
      <c r="L568" s="65"/>
      <c r="M568" s="65"/>
      <c r="N568" s="65"/>
    </row>
    <row r="569" spans="1:14" ht="12.75">
      <c r="A569" s="65"/>
      <c r="B569" s="65"/>
      <c r="C569" s="65"/>
      <c r="D569" s="65"/>
      <c r="E569" s="65" t="str">
        <v>---</v>
      </c>
      <c r="F569" s="65"/>
      <c r="G569" s="65"/>
      <c r="H569" s="65"/>
      <c r="I569" s="65"/>
      <c r="J569" s="65"/>
      <c r="K569" s="65" t="s">
        <v>1883</v>
      </c>
      <c r="L569" s="65"/>
      <c r="M569" s="65"/>
      <c r="N569" s="65"/>
    </row>
    <row r="570" spans="1:14" ht="12.75">
      <c r="A570" s="65"/>
      <c r="B570" s="65"/>
      <c r="C570" s="65"/>
      <c r="D570" s="65"/>
      <c r="E570" s="65" t="str">
        <v>---</v>
      </c>
      <c r="F570" s="65"/>
      <c r="G570" s="65"/>
      <c r="H570" s="65"/>
      <c r="I570" s="65"/>
      <c r="J570" s="65"/>
      <c r="K570" s="65" t="s">
        <v>1884</v>
      </c>
      <c r="L570" s="65"/>
      <c r="M570" s="65"/>
      <c r="N570" s="65"/>
    </row>
    <row r="571" spans="1:14" ht="12.75">
      <c r="A571" s="65"/>
      <c r="B571" s="65"/>
      <c r="C571" s="65"/>
      <c r="D571" s="65"/>
      <c r="E571" s="65" t="str">
        <v>---</v>
      </c>
      <c r="F571" s="65"/>
      <c r="G571" s="65"/>
      <c r="H571" s="65"/>
      <c r="I571" s="65"/>
      <c r="J571" s="65"/>
      <c r="K571" s="65" t="s">
        <v>1885</v>
      </c>
      <c r="L571" s="65"/>
      <c r="M571" s="65"/>
      <c r="N571" s="65"/>
    </row>
    <row r="572" spans="1:14" ht="12.75">
      <c r="A572" s="65"/>
      <c r="B572" s="65"/>
      <c r="C572" s="65"/>
      <c r="D572" s="65"/>
      <c r="E572" s="65" t="str">
        <v>---</v>
      </c>
      <c r="F572" s="65"/>
      <c r="G572" s="65"/>
      <c r="H572" s="65"/>
      <c r="I572" s="65"/>
      <c r="J572" s="65"/>
      <c r="K572" s="65" t="s">
        <v>1886</v>
      </c>
      <c r="L572" s="65"/>
      <c r="M572" s="65"/>
      <c r="N572" s="65"/>
    </row>
    <row r="573" spans="1:14" ht="12.75">
      <c r="A573" s="65"/>
      <c r="B573" s="65"/>
      <c r="C573" s="65"/>
      <c r="D573" s="65"/>
      <c r="E573" s="65" t="str">
        <v>---</v>
      </c>
      <c r="F573" s="65"/>
      <c r="G573" s="65"/>
      <c r="H573" s="65"/>
      <c r="I573" s="65"/>
      <c r="J573" s="65"/>
      <c r="K573" s="65" t="s">
        <v>1887</v>
      </c>
      <c r="L573" s="65"/>
      <c r="M573" s="65"/>
      <c r="N573" s="65"/>
    </row>
    <row r="574" spans="1:14" ht="12.75">
      <c r="A574" s="65"/>
      <c r="B574" s="65"/>
      <c r="C574" s="65"/>
      <c r="D574" s="65"/>
      <c r="E574" s="65" t="str">
        <v>---</v>
      </c>
      <c r="F574" s="65"/>
      <c r="G574" s="65"/>
      <c r="H574" s="65"/>
      <c r="I574" s="65"/>
      <c r="J574" s="65"/>
      <c r="K574" s="65" t="s">
        <v>1888</v>
      </c>
      <c r="L574" s="65"/>
      <c r="M574" s="65"/>
      <c r="N574" s="65"/>
    </row>
    <row r="575" spans="1:14" ht="12.75">
      <c r="A575" s="65"/>
      <c r="B575" s="65"/>
      <c r="C575" s="65"/>
      <c r="D575" s="65"/>
      <c r="E575" s="65" t="str">
        <v>---</v>
      </c>
      <c r="F575" s="65"/>
      <c r="G575" s="65"/>
      <c r="H575" s="65"/>
      <c r="I575" s="65"/>
      <c r="J575" s="65"/>
      <c r="K575" s="65" t="s">
        <v>1889</v>
      </c>
      <c r="L575" s="65"/>
      <c r="M575" s="65"/>
      <c r="N575" s="65"/>
    </row>
    <row r="576" spans="1:14" ht="12.75">
      <c r="A576" s="65"/>
      <c r="B576" s="65"/>
      <c r="C576" s="65"/>
      <c r="D576" s="65"/>
      <c r="E576" s="65" t="str">
        <v>---</v>
      </c>
      <c r="F576" s="65"/>
      <c r="G576" s="65"/>
      <c r="H576" s="65"/>
      <c r="I576" s="65"/>
      <c r="J576" s="65"/>
      <c r="K576" s="65" t="s">
        <v>1890</v>
      </c>
      <c r="L576" s="65"/>
      <c r="M576" s="65"/>
      <c r="N576" s="65"/>
    </row>
    <row r="577" spans="1:14" ht="12.75">
      <c r="A577" s="65"/>
      <c r="B577" s="65"/>
      <c r="C577" s="65"/>
      <c r="D577" s="65"/>
      <c r="E577" s="65" t="str">
        <v>---</v>
      </c>
      <c r="F577" s="65"/>
      <c r="G577" s="65"/>
      <c r="H577" s="65"/>
      <c r="I577" s="65"/>
      <c r="J577" s="65"/>
      <c r="K577" s="65" t="s">
        <v>1891</v>
      </c>
      <c r="L577" s="65"/>
      <c r="M577" s="65"/>
      <c r="N577" s="65"/>
    </row>
    <row r="578" spans="1:14" ht="12.75">
      <c r="A578" s="65"/>
      <c r="B578" s="65"/>
      <c r="C578" s="65"/>
      <c r="D578" s="65"/>
      <c r="E578" s="65" t="str">
        <v>---</v>
      </c>
      <c r="F578" s="65"/>
      <c r="G578" s="65"/>
      <c r="H578" s="65"/>
      <c r="I578" s="65"/>
      <c r="J578" s="65"/>
      <c r="K578" s="65" t="s">
        <v>1892</v>
      </c>
      <c r="L578" s="65"/>
      <c r="M578" s="65"/>
      <c r="N578" s="65"/>
    </row>
    <row r="579" spans="1:14" ht="12.75">
      <c r="A579" s="65"/>
      <c r="B579" s="65"/>
      <c r="C579" s="65"/>
      <c r="D579" s="65"/>
      <c r="E579" s="65" t="str">
        <v>---</v>
      </c>
      <c r="F579" s="65"/>
      <c r="G579" s="65"/>
      <c r="H579" s="65"/>
      <c r="I579" s="65"/>
      <c r="J579" s="65"/>
      <c r="K579" s="65" t="s">
        <v>1893</v>
      </c>
      <c r="L579" s="65"/>
      <c r="M579" s="65"/>
      <c r="N579" s="65"/>
    </row>
    <row r="580" spans="1:14" ht="12.75">
      <c r="A580" s="65"/>
      <c r="B580" s="65"/>
      <c r="C580" s="65"/>
      <c r="D580" s="65"/>
      <c r="E580" s="65" t="str">
        <v>---</v>
      </c>
      <c r="F580" s="65"/>
      <c r="G580" s="65"/>
      <c r="H580" s="65"/>
      <c r="I580" s="65"/>
      <c r="J580" s="65"/>
      <c r="K580" s="65" t="s">
        <v>1894</v>
      </c>
      <c r="L580" s="65"/>
      <c r="M580" s="65"/>
      <c r="N580" s="65"/>
    </row>
    <row r="581" spans="1:14" ht="12.75">
      <c r="A581" s="65"/>
      <c r="B581" s="65"/>
      <c r="C581" s="65"/>
      <c r="D581" s="65"/>
      <c r="E581" s="65" t="str">
        <v>---</v>
      </c>
      <c r="F581" s="65"/>
      <c r="G581" s="65"/>
      <c r="H581" s="65"/>
      <c r="I581" s="65"/>
      <c r="J581" s="65"/>
      <c r="K581" s="65" t="s">
        <v>1895</v>
      </c>
      <c r="L581" s="65"/>
      <c r="M581" s="65"/>
      <c r="N581" s="65"/>
    </row>
    <row r="582" spans="1:14" ht="12.75">
      <c r="A582" s="65"/>
      <c r="B582" s="65"/>
      <c r="C582" s="65"/>
      <c r="D582" s="65"/>
      <c r="E582" s="65" t="str">
        <v>---</v>
      </c>
      <c r="F582" s="65"/>
      <c r="G582" s="65"/>
      <c r="H582" s="65"/>
      <c r="I582" s="65"/>
      <c r="J582" s="65"/>
      <c r="K582" s="65" t="s">
        <v>1896</v>
      </c>
      <c r="L582" s="65"/>
      <c r="M582" s="65"/>
      <c r="N582" s="65"/>
    </row>
    <row r="583" spans="1:14" ht="12.75">
      <c r="A583" s="65"/>
      <c r="B583" s="65"/>
      <c r="C583" s="65"/>
      <c r="D583" s="65"/>
      <c r="E583" s="65" t="str">
        <v>---</v>
      </c>
      <c r="F583" s="65"/>
      <c r="G583" s="65"/>
      <c r="H583" s="65"/>
      <c r="I583" s="65"/>
      <c r="J583" s="65"/>
      <c r="K583" s="65" t="s">
        <v>1897</v>
      </c>
      <c r="L583" s="65"/>
      <c r="M583" s="65"/>
      <c r="N583" s="65"/>
    </row>
    <row r="584" spans="1:14" ht="12.75">
      <c r="A584" s="65"/>
      <c r="B584" s="65"/>
      <c r="C584" s="65"/>
      <c r="D584" s="65"/>
      <c r="E584" s="65" t="str">
        <v>---</v>
      </c>
      <c r="F584" s="65"/>
      <c r="G584" s="65"/>
      <c r="H584" s="65"/>
      <c r="I584" s="65"/>
      <c r="J584" s="65"/>
      <c r="K584" s="65" t="s">
        <v>1898</v>
      </c>
      <c r="L584" s="65"/>
      <c r="M584" s="65"/>
      <c r="N584" s="65"/>
    </row>
    <row r="585" spans="1:14" ht="12.75">
      <c r="A585" s="65"/>
      <c r="B585" s="65"/>
      <c r="C585" s="65"/>
      <c r="D585" s="65"/>
      <c r="E585" s="65" t="str">
        <v>---</v>
      </c>
      <c r="F585" s="65"/>
      <c r="G585" s="65"/>
      <c r="H585" s="65"/>
      <c r="I585" s="65"/>
      <c r="J585" s="65"/>
      <c r="K585" s="65" t="s">
        <v>1899</v>
      </c>
      <c r="L585" s="65"/>
      <c r="M585" s="65"/>
      <c r="N585" s="65"/>
    </row>
    <row r="586" spans="1:14" ht="12.75">
      <c r="A586" s="65"/>
      <c r="B586" s="65"/>
      <c r="C586" s="65"/>
      <c r="D586" s="65"/>
      <c r="E586" s="65" t="str">
        <v>---</v>
      </c>
      <c r="F586" s="65"/>
      <c r="G586" s="65"/>
      <c r="H586" s="65"/>
      <c r="I586" s="65"/>
      <c r="J586" s="65"/>
      <c r="K586" s="65" t="s">
        <v>1900</v>
      </c>
      <c r="L586" s="65"/>
      <c r="M586" s="65"/>
      <c r="N586" s="65"/>
    </row>
    <row r="587" spans="1:14" ht="12.75">
      <c r="A587" s="65"/>
      <c r="B587" s="65"/>
      <c r="C587" s="65"/>
      <c r="D587" s="65"/>
      <c r="E587" s="65" t="str">
        <v>---</v>
      </c>
      <c r="F587" s="65"/>
      <c r="G587" s="65"/>
      <c r="H587" s="65"/>
      <c r="I587" s="65"/>
      <c r="J587" s="65"/>
      <c r="K587" s="65" t="s">
        <v>1901</v>
      </c>
      <c r="L587" s="65"/>
      <c r="M587" s="65"/>
      <c r="N587" s="65"/>
    </row>
    <row r="588" spans="1:14" ht="12.75">
      <c r="A588" s="65"/>
      <c r="B588" s="65"/>
      <c r="C588" s="65"/>
      <c r="D588" s="65"/>
      <c r="E588" s="65" t="str">
        <v>---</v>
      </c>
      <c r="F588" s="65"/>
      <c r="G588" s="65"/>
      <c r="H588" s="65"/>
      <c r="I588" s="65"/>
      <c r="J588" s="65"/>
      <c r="K588" s="65" t="s">
        <v>1902</v>
      </c>
      <c r="L588" s="65"/>
      <c r="M588" s="65"/>
      <c r="N588" s="65"/>
    </row>
    <row r="589" spans="1:14" ht="12.75">
      <c r="A589" s="65"/>
      <c r="B589" s="65"/>
      <c r="C589" s="65"/>
      <c r="D589" s="65"/>
      <c r="E589" s="65" t="str">
        <v>---</v>
      </c>
      <c r="F589" s="65"/>
      <c r="G589" s="65"/>
      <c r="H589" s="65"/>
      <c r="I589" s="65"/>
      <c r="J589" s="65"/>
      <c r="K589" s="65" t="s">
        <v>1903</v>
      </c>
      <c r="L589" s="65"/>
      <c r="M589" s="65"/>
      <c r="N589" s="65"/>
    </row>
    <row r="590" spans="1:14" ht="12.75">
      <c r="A590" s="65"/>
      <c r="B590" s="65"/>
      <c r="C590" s="65"/>
      <c r="D590" s="65"/>
      <c r="E590" s="65" t="str">
        <v>---</v>
      </c>
      <c r="F590" s="65"/>
      <c r="G590" s="65"/>
      <c r="H590" s="65"/>
      <c r="I590" s="65"/>
      <c r="J590" s="65"/>
      <c r="K590" s="65" t="s">
        <v>1904</v>
      </c>
      <c r="L590" s="65"/>
      <c r="M590" s="65"/>
      <c r="N590" s="65"/>
    </row>
    <row r="591" spans="1:14" ht="12.75">
      <c r="A591" s="65"/>
      <c r="B591" s="65"/>
      <c r="C591" s="65"/>
      <c r="D591" s="65"/>
      <c r="E591" s="65" t="str">
        <v>---</v>
      </c>
      <c r="F591" s="65"/>
      <c r="G591" s="65"/>
      <c r="H591" s="65"/>
      <c r="I591" s="65"/>
      <c r="J591" s="65"/>
      <c r="K591" s="65" t="s">
        <v>1905</v>
      </c>
      <c r="L591" s="65"/>
      <c r="M591" s="65"/>
      <c r="N591" s="65"/>
    </row>
    <row r="592" spans="1:14" ht="12.75">
      <c r="A592" s="65"/>
      <c r="B592" s="65"/>
      <c r="C592" s="65"/>
      <c r="D592" s="65"/>
      <c r="E592" s="65" t="str">
        <v>---</v>
      </c>
      <c r="F592" s="65"/>
      <c r="G592" s="65"/>
      <c r="H592" s="65"/>
      <c r="I592" s="65"/>
      <c r="J592" s="65"/>
      <c r="K592" s="65" t="s">
        <v>1906</v>
      </c>
      <c r="L592" s="65"/>
      <c r="M592" s="65"/>
      <c r="N592" s="65"/>
    </row>
    <row r="593" spans="1:14" ht="12.75">
      <c r="A593" s="65"/>
      <c r="B593" s="65"/>
      <c r="C593" s="65"/>
      <c r="D593" s="65"/>
      <c r="E593" s="65" t="str">
        <v>---</v>
      </c>
      <c r="F593" s="65"/>
      <c r="G593" s="65"/>
      <c r="H593" s="65"/>
      <c r="I593" s="65"/>
      <c r="J593" s="65"/>
      <c r="K593" s="65" t="s">
        <v>1907</v>
      </c>
      <c r="L593" s="65"/>
      <c r="M593" s="65"/>
      <c r="N593" s="65"/>
    </row>
    <row r="594" spans="1:14" ht="12.75">
      <c r="A594" s="65"/>
      <c r="B594" s="65"/>
      <c r="C594" s="65"/>
      <c r="D594" s="65"/>
      <c r="E594" s="65" t="str">
        <v>---</v>
      </c>
      <c r="F594" s="65"/>
      <c r="G594" s="65"/>
      <c r="H594" s="65"/>
      <c r="I594" s="65"/>
      <c r="J594" s="65"/>
      <c r="K594" s="65" t="s">
        <v>1908</v>
      </c>
      <c r="L594" s="65"/>
      <c r="M594" s="65"/>
      <c r="N594" s="65"/>
    </row>
    <row r="595" spans="1:14" ht="12.75">
      <c r="A595" s="65"/>
      <c r="B595" s="65"/>
      <c r="C595" s="65"/>
      <c r="D595" s="65"/>
      <c r="E595" s="65" t="str">
        <v>---</v>
      </c>
      <c r="F595" s="65"/>
      <c r="G595" s="65"/>
      <c r="H595" s="65"/>
      <c r="I595" s="65"/>
      <c r="J595" s="65"/>
      <c r="K595" s="65" t="s">
        <v>1909</v>
      </c>
      <c r="L595" s="65"/>
      <c r="M595" s="65"/>
      <c r="N595" s="65"/>
    </row>
    <row r="596" spans="1:14" ht="12.75">
      <c r="A596" s="65"/>
      <c r="B596" s="65"/>
      <c r="C596" s="65"/>
      <c r="D596" s="65"/>
      <c r="E596" s="65" t="str">
        <v>---</v>
      </c>
      <c r="F596" s="65"/>
      <c r="G596" s="65"/>
      <c r="H596" s="65"/>
      <c r="I596" s="65"/>
      <c r="J596" s="65"/>
      <c r="K596" s="65" t="s">
        <v>1910</v>
      </c>
      <c r="L596" s="65"/>
      <c r="M596" s="65"/>
      <c r="N596" s="65"/>
    </row>
    <row r="597" spans="1:14" ht="12.75">
      <c r="A597" s="65"/>
      <c r="B597" s="65"/>
      <c r="C597" s="65"/>
      <c r="D597" s="65"/>
      <c r="E597" s="65" t="str">
        <v>---</v>
      </c>
      <c r="F597" s="65"/>
      <c r="G597" s="65"/>
      <c r="H597" s="65"/>
      <c r="I597" s="65"/>
      <c r="J597" s="65"/>
      <c r="K597" s="65" t="s">
        <v>1911</v>
      </c>
      <c r="L597" s="65"/>
      <c r="M597" s="65"/>
      <c r="N597" s="65"/>
    </row>
    <row r="598" spans="1:14" ht="12.75">
      <c r="A598" s="65"/>
      <c r="B598" s="65"/>
      <c r="C598" s="65"/>
      <c r="D598" s="65"/>
      <c r="E598" s="65" t="str">
        <v>---</v>
      </c>
      <c r="F598" s="65"/>
      <c r="G598" s="65"/>
      <c r="H598" s="65"/>
      <c r="I598" s="65"/>
      <c r="J598" s="65"/>
      <c r="K598" s="65" t="s">
        <v>1912</v>
      </c>
      <c r="L598" s="65"/>
      <c r="M598" s="65"/>
      <c r="N598" s="65"/>
    </row>
    <row r="599" spans="1:14" ht="12.75">
      <c r="A599" s="65"/>
      <c r="B599" s="65"/>
      <c r="C599" s="65"/>
      <c r="D599" s="65"/>
      <c r="E599" s="65" t="str">
        <v>---</v>
      </c>
      <c r="F599" s="65"/>
      <c r="G599" s="65"/>
      <c r="H599" s="65"/>
      <c r="I599" s="65"/>
      <c r="J599" s="65"/>
      <c r="K599" s="65" t="s">
        <v>1913</v>
      </c>
      <c r="L599" s="65"/>
      <c r="M599" s="65"/>
      <c r="N599" s="65"/>
    </row>
    <row r="600" spans="1:14" ht="12.75">
      <c r="A600" s="65"/>
      <c r="B600" s="65"/>
      <c r="C600" s="65"/>
      <c r="D600" s="65"/>
      <c r="E600" s="65" t="str">
        <v>---</v>
      </c>
      <c r="F600" s="65"/>
      <c r="G600" s="65"/>
      <c r="H600" s="65"/>
      <c r="I600" s="65"/>
      <c r="J600" s="65"/>
      <c r="K600" s="65" t="s">
        <v>1914</v>
      </c>
      <c r="L600" s="65"/>
      <c r="M600" s="65"/>
      <c r="N600" s="65"/>
    </row>
    <row r="601" spans="1:14" ht="12.75">
      <c r="A601" s="65"/>
      <c r="B601" s="65"/>
      <c r="C601" s="65"/>
      <c r="D601" s="65"/>
      <c r="E601" s="65" t="str">
        <v>---</v>
      </c>
      <c r="F601" s="65"/>
      <c r="G601" s="65"/>
      <c r="H601" s="65"/>
      <c r="I601" s="65"/>
      <c r="J601" s="65"/>
      <c r="K601" s="65" t="s">
        <v>1915</v>
      </c>
      <c r="L601" s="65"/>
      <c r="M601" s="65"/>
      <c r="N601" s="65"/>
    </row>
    <row r="602" spans="1:14" ht="12.75">
      <c r="A602" s="65"/>
      <c r="B602" s="65"/>
      <c r="C602" s="65"/>
      <c r="D602" s="65"/>
      <c r="E602" s="65" t="str">
        <v>---</v>
      </c>
      <c r="F602" s="65"/>
      <c r="G602" s="65"/>
      <c r="H602" s="65"/>
      <c r="I602" s="65"/>
      <c r="J602" s="65"/>
      <c r="K602" s="65" t="s">
        <v>1916</v>
      </c>
      <c r="L602" s="65"/>
      <c r="M602" s="65"/>
      <c r="N602" s="65"/>
    </row>
    <row r="603" spans="1:14" ht="12.75">
      <c r="A603" s="65"/>
      <c r="B603" s="65"/>
      <c r="C603" s="65"/>
      <c r="D603" s="65"/>
      <c r="E603" s="65" t="str">
        <v>---</v>
      </c>
      <c r="F603" s="65"/>
      <c r="G603" s="65"/>
      <c r="H603" s="65"/>
      <c r="I603" s="65"/>
      <c r="J603" s="65"/>
      <c r="K603" s="65" t="s">
        <v>1917</v>
      </c>
      <c r="L603" s="65"/>
      <c r="M603" s="65"/>
      <c r="N603" s="65"/>
    </row>
    <row r="604" spans="1:14" ht="12.75">
      <c r="A604" s="65"/>
      <c r="B604" s="65"/>
      <c r="C604" s="65"/>
      <c r="D604" s="65"/>
      <c r="E604" s="65" t="str">
        <v>---</v>
      </c>
      <c r="F604" s="65"/>
      <c r="G604" s="65"/>
      <c r="H604" s="65"/>
      <c r="I604" s="65"/>
      <c r="J604" s="65"/>
      <c r="K604" s="65" t="s">
        <v>1918</v>
      </c>
      <c r="L604" s="65"/>
      <c r="M604" s="65"/>
      <c r="N604" s="65"/>
    </row>
    <row r="605" spans="1:14" ht="12.75">
      <c r="A605" s="65"/>
      <c r="B605" s="65"/>
      <c r="C605" s="65"/>
      <c r="D605" s="65"/>
      <c r="E605" s="65" t="str">
        <v>---</v>
      </c>
      <c r="F605" s="65"/>
      <c r="G605" s="65"/>
      <c r="H605" s="65"/>
      <c r="I605" s="65"/>
      <c r="J605" s="65"/>
      <c r="K605" s="65" t="s">
        <v>1919</v>
      </c>
      <c r="L605" s="65"/>
      <c r="M605" s="65"/>
      <c r="N605" s="65"/>
    </row>
    <row r="606" spans="1:14" ht="12.75">
      <c r="A606" s="65"/>
      <c r="B606" s="65"/>
      <c r="C606" s="65"/>
      <c r="D606" s="65"/>
      <c r="E606" s="65" t="str">
        <v>---</v>
      </c>
      <c r="F606" s="65"/>
      <c r="G606" s="65"/>
      <c r="H606" s="65"/>
      <c r="I606" s="65"/>
      <c r="J606" s="65"/>
      <c r="K606" s="65" t="s">
        <v>1920</v>
      </c>
      <c r="L606" s="65"/>
      <c r="M606" s="65"/>
      <c r="N606" s="65"/>
    </row>
    <row r="607" spans="1:14" ht="12.75">
      <c r="A607" s="65"/>
      <c r="B607" s="65"/>
      <c r="C607" s="65"/>
      <c r="D607" s="65"/>
      <c r="E607" s="65" t="str">
        <v>---</v>
      </c>
      <c r="F607" s="65"/>
      <c r="G607" s="65"/>
      <c r="H607" s="65"/>
      <c r="I607" s="65"/>
      <c r="J607" s="65"/>
      <c r="K607" s="65" t="s">
        <v>1921</v>
      </c>
      <c r="L607" s="65"/>
      <c r="M607" s="65"/>
      <c r="N607" s="65"/>
    </row>
    <row r="608" spans="1:14" ht="12.75">
      <c r="A608" s="65"/>
      <c r="B608" s="65"/>
      <c r="C608" s="65"/>
      <c r="D608" s="65"/>
      <c r="E608" s="65" t="str">
        <v>---</v>
      </c>
      <c r="F608" s="65"/>
      <c r="G608" s="65"/>
      <c r="H608" s="65"/>
      <c r="I608" s="65"/>
      <c r="J608" s="65"/>
      <c r="K608" s="65" t="s">
        <v>1922</v>
      </c>
      <c r="L608" s="65"/>
      <c r="M608" s="65"/>
      <c r="N608" s="65"/>
    </row>
    <row r="609" spans="1:14" ht="12.75">
      <c r="A609" s="65"/>
      <c r="B609" s="65"/>
      <c r="C609" s="65"/>
      <c r="D609" s="65"/>
      <c r="E609" s="65" t="str">
        <v>---</v>
      </c>
      <c r="F609" s="65"/>
      <c r="G609" s="65"/>
      <c r="H609" s="65"/>
      <c r="I609" s="65"/>
      <c r="J609" s="65"/>
      <c r="K609" s="65" t="s">
        <v>1923</v>
      </c>
      <c r="L609" s="65"/>
      <c r="M609" s="65"/>
      <c r="N609" s="65"/>
    </row>
    <row r="610" spans="1:14" ht="12.75">
      <c r="A610" s="65"/>
      <c r="B610" s="65"/>
      <c r="C610" s="65"/>
      <c r="D610" s="65"/>
      <c r="E610" s="65" t="str">
        <v>---</v>
      </c>
      <c r="F610" s="65"/>
      <c r="G610" s="65"/>
      <c r="H610" s="65"/>
      <c r="I610" s="65"/>
      <c r="J610" s="65"/>
      <c r="K610" s="65" t="s">
        <v>1924</v>
      </c>
      <c r="L610" s="65"/>
      <c r="M610" s="65"/>
      <c r="N610" s="65"/>
    </row>
    <row r="611" spans="1:14" ht="12.75">
      <c r="A611" s="65"/>
      <c r="B611" s="65"/>
      <c r="C611" s="65"/>
      <c r="D611" s="65"/>
      <c r="E611" s="65" t="str">
        <v>---</v>
      </c>
      <c r="F611" s="65"/>
      <c r="G611" s="65"/>
      <c r="H611" s="65"/>
      <c r="I611" s="65"/>
      <c r="J611" s="65"/>
      <c r="K611" s="65" t="s">
        <v>1925</v>
      </c>
      <c r="L611" s="65"/>
      <c r="M611" s="65"/>
      <c r="N611" s="65"/>
    </row>
    <row r="612" spans="1:14" ht="12.75">
      <c r="A612" s="65"/>
      <c r="B612" s="65"/>
      <c r="C612" s="65"/>
      <c r="D612" s="65"/>
      <c r="E612" s="65" t="str">
        <v>---</v>
      </c>
      <c r="F612" s="65"/>
      <c r="G612" s="65"/>
      <c r="H612" s="65"/>
      <c r="I612" s="65"/>
      <c r="J612" s="65"/>
      <c r="K612" s="65" t="s">
        <v>1926</v>
      </c>
      <c r="L612" s="65"/>
      <c r="M612" s="65"/>
      <c r="N612" s="65"/>
    </row>
    <row r="613" spans="1:14" ht="12.75">
      <c r="A613" s="65"/>
      <c r="B613" s="65"/>
      <c r="C613" s="65"/>
      <c r="D613" s="65"/>
      <c r="E613" s="65" t="str">
        <v>---</v>
      </c>
      <c r="F613" s="65"/>
      <c r="G613" s="65"/>
      <c r="H613" s="65"/>
      <c r="I613" s="65"/>
      <c r="J613" s="65"/>
      <c r="K613" s="65" t="s">
        <v>1927</v>
      </c>
      <c r="L613" s="65"/>
      <c r="M613" s="65"/>
      <c r="N613" s="65"/>
    </row>
    <row r="614" spans="1:14" ht="12.75">
      <c r="A614" s="65"/>
      <c r="B614" s="65"/>
      <c r="C614" s="65"/>
      <c r="D614" s="65"/>
      <c r="E614" s="65" t="str">
        <v>---</v>
      </c>
      <c r="F614" s="65"/>
      <c r="G614" s="65"/>
      <c r="H614" s="65"/>
      <c r="I614" s="65"/>
      <c r="J614" s="65"/>
      <c r="K614" s="65" t="s">
        <v>1928</v>
      </c>
      <c r="L614" s="65"/>
      <c r="M614" s="65"/>
      <c r="N614" s="65"/>
    </row>
    <row r="615" spans="1:14" ht="12.75">
      <c r="A615" s="65"/>
      <c r="B615" s="65"/>
      <c r="C615" s="65"/>
      <c r="D615" s="65"/>
      <c r="E615" s="65" t="str">
        <v>---</v>
      </c>
      <c r="F615" s="65"/>
      <c r="G615" s="65"/>
      <c r="H615" s="65"/>
      <c r="I615" s="65"/>
      <c r="J615" s="65"/>
      <c r="K615" s="65" t="s">
        <v>1929</v>
      </c>
      <c r="L615" s="65"/>
      <c r="M615" s="65"/>
      <c r="N615" s="65"/>
    </row>
    <row r="616" spans="1:14" ht="12.75">
      <c r="A616" s="65"/>
      <c r="B616" s="65"/>
      <c r="C616" s="65"/>
      <c r="D616" s="65"/>
      <c r="E616" s="65" t="str">
        <v>---</v>
      </c>
      <c r="F616" s="65"/>
      <c r="G616" s="65"/>
      <c r="H616" s="65"/>
      <c r="I616" s="65"/>
      <c r="J616" s="65"/>
      <c r="K616" s="65" t="s">
        <v>1930</v>
      </c>
      <c r="L616" s="65"/>
      <c r="M616" s="65"/>
      <c r="N616" s="65"/>
    </row>
    <row r="617" spans="1:14" ht="12.75">
      <c r="A617" s="65"/>
      <c r="B617" s="65"/>
      <c r="C617" s="65"/>
      <c r="D617" s="65"/>
      <c r="E617" s="65" t="str">
        <v>---</v>
      </c>
      <c r="F617" s="65"/>
      <c r="G617" s="65"/>
      <c r="H617" s="65"/>
      <c r="I617" s="65"/>
      <c r="J617" s="65"/>
      <c r="K617" s="65" t="s">
        <v>1931</v>
      </c>
      <c r="L617" s="65"/>
      <c r="M617" s="65"/>
      <c r="N617" s="65"/>
    </row>
    <row r="618" spans="1:14" ht="12.75">
      <c r="A618" s="65"/>
      <c r="B618" s="65"/>
      <c r="C618" s="65"/>
      <c r="D618" s="65"/>
      <c r="E618" s="65" t="str">
        <v>---</v>
      </c>
      <c r="F618" s="65"/>
      <c r="G618" s="65"/>
      <c r="H618" s="65"/>
      <c r="I618" s="65"/>
      <c r="J618" s="65"/>
      <c r="K618" s="65" t="s">
        <v>1932</v>
      </c>
      <c r="L618" s="65"/>
      <c r="M618" s="65"/>
      <c r="N618" s="65"/>
    </row>
    <row r="619" spans="1:14" ht="12.75">
      <c r="A619" s="65"/>
      <c r="B619" s="65"/>
      <c r="C619" s="65"/>
      <c r="D619" s="65"/>
      <c r="E619" s="65" t="str">
        <v>---</v>
      </c>
      <c r="F619" s="65"/>
      <c r="G619" s="65"/>
      <c r="H619" s="65"/>
      <c r="I619" s="65"/>
      <c r="J619" s="65"/>
      <c r="K619" s="65" t="s">
        <v>1933</v>
      </c>
      <c r="L619" s="65"/>
      <c r="M619" s="65"/>
      <c r="N619" s="65"/>
    </row>
    <row r="620" spans="1:14" ht="12.75">
      <c r="A620" s="65"/>
      <c r="B620" s="65"/>
      <c r="C620" s="65"/>
      <c r="D620" s="65"/>
      <c r="E620" s="65" t="str">
        <v>---</v>
      </c>
      <c r="F620" s="65"/>
      <c r="G620" s="65"/>
      <c r="H620" s="65"/>
      <c r="I620" s="65"/>
      <c r="J620" s="65"/>
      <c r="K620" s="65" t="s">
        <v>1934</v>
      </c>
      <c r="L620" s="65"/>
      <c r="M620" s="65"/>
      <c r="N620" s="65"/>
    </row>
    <row r="621" spans="1:14" ht="12.75">
      <c r="A621" s="65"/>
      <c r="B621" s="65"/>
      <c r="C621" s="65"/>
      <c r="D621" s="65"/>
      <c r="E621" s="65" t="str">
        <v>---</v>
      </c>
      <c r="F621" s="65"/>
      <c r="G621" s="65"/>
      <c r="H621" s="65"/>
      <c r="I621" s="65"/>
      <c r="J621" s="65"/>
      <c r="K621" s="65" t="s">
        <v>1935</v>
      </c>
      <c r="L621" s="65"/>
      <c r="M621" s="65"/>
      <c r="N621" s="65"/>
    </row>
    <row r="622" spans="1:14" ht="12.75">
      <c r="A622" s="65"/>
      <c r="B622" s="65"/>
      <c r="C622" s="65"/>
      <c r="D622" s="65"/>
      <c r="E622" s="65" t="str">
        <v>---</v>
      </c>
      <c r="F622" s="65"/>
      <c r="G622" s="65"/>
      <c r="H622" s="65"/>
      <c r="I622" s="65"/>
      <c r="J622" s="65"/>
      <c r="K622" s="65" t="s">
        <v>1936</v>
      </c>
      <c r="L622" s="65"/>
      <c r="M622" s="65"/>
      <c r="N622" s="65"/>
    </row>
    <row r="623" spans="1:14" ht="12.75">
      <c r="A623" s="65"/>
      <c r="B623" s="65"/>
      <c r="C623" s="65"/>
      <c r="D623" s="65"/>
      <c r="E623" s="65" t="str">
        <v>---</v>
      </c>
      <c r="F623" s="65"/>
      <c r="G623" s="65"/>
      <c r="H623" s="65"/>
      <c r="I623" s="65"/>
      <c r="J623" s="65"/>
      <c r="K623" s="65" t="s">
        <v>1937</v>
      </c>
      <c r="L623" s="65"/>
      <c r="M623" s="65"/>
      <c r="N623" s="65"/>
    </row>
    <row r="624" spans="1:14" ht="12.75">
      <c r="A624" s="65"/>
      <c r="B624" s="65"/>
      <c r="C624" s="65"/>
      <c r="D624" s="65"/>
      <c r="E624" s="65" t="str">
        <v>---</v>
      </c>
      <c r="F624" s="65"/>
      <c r="G624" s="65"/>
      <c r="H624" s="65"/>
      <c r="I624" s="65"/>
      <c r="J624" s="65"/>
      <c r="K624" s="65" t="s">
        <v>1938</v>
      </c>
      <c r="L624" s="65"/>
      <c r="M624" s="65"/>
      <c r="N624" s="65"/>
    </row>
    <row r="625" spans="1:14" ht="12.75">
      <c r="A625" s="65"/>
      <c r="B625" s="65"/>
      <c r="C625" s="65"/>
      <c r="D625" s="65"/>
      <c r="E625" s="65" t="str">
        <v>---</v>
      </c>
      <c r="F625" s="65"/>
      <c r="G625" s="65"/>
      <c r="H625" s="65"/>
      <c r="I625" s="65"/>
      <c r="J625" s="65"/>
      <c r="K625" s="65" t="s">
        <v>1939</v>
      </c>
      <c r="L625" s="65"/>
      <c r="M625" s="65"/>
      <c r="N625" s="65"/>
    </row>
    <row r="626" spans="1:14" ht="12.75">
      <c r="A626" s="65"/>
      <c r="B626" s="65"/>
      <c r="C626" s="65"/>
      <c r="D626" s="65"/>
      <c r="E626" s="65" t="str">
        <v>---</v>
      </c>
      <c r="F626" s="65"/>
      <c r="G626" s="65"/>
      <c r="H626" s="65"/>
      <c r="I626" s="65"/>
      <c r="J626" s="65"/>
      <c r="K626" s="65" t="s">
        <v>1940</v>
      </c>
      <c r="L626" s="65"/>
      <c r="M626" s="65"/>
      <c r="N626" s="65"/>
    </row>
    <row r="627" spans="1:14" ht="12.75">
      <c r="A627" s="65"/>
      <c r="B627" s="65"/>
      <c r="C627" s="65"/>
      <c r="D627" s="65"/>
      <c r="E627" s="65" t="str">
        <v>---</v>
      </c>
      <c r="F627" s="65"/>
      <c r="G627" s="65"/>
      <c r="H627" s="65"/>
      <c r="I627" s="65"/>
      <c r="J627" s="65"/>
      <c r="K627" s="65" t="s">
        <v>1941</v>
      </c>
      <c r="L627" s="65"/>
      <c r="M627" s="65"/>
      <c r="N627" s="65"/>
    </row>
    <row r="628" spans="1:14" ht="12.75">
      <c r="A628" s="65"/>
      <c r="B628" s="65"/>
      <c r="C628" s="65"/>
      <c r="D628" s="65"/>
      <c r="E628" s="65" t="str">
        <v>---</v>
      </c>
      <c r="F628" s="65"/>
      <c r="G628" s="65"/>
      <c r="H628" s="65"/>
      <c r="I628" s="65"/>
      <c r="J628" s="65"/>
      <c r="K628" s="65" t="s">
        <v>1942</v>
      </c>
      <c r="L628" s="65"/>
      <c r="M628" s="65"/>
      <c r="N628" s="65"/>
    </row>
    <row r="629" spans="1:14" ht="12.75">
      <c r="A629" s="65"/>
      <c r="B629" s="65"/>
      <c r="C629" s="65"/>
      <c r="D629" s="65"/>
      <c r="E629" s="65" t="str">
        <v>---</v>
      </c>
      <c r="F629" s="65"/>
      <c r="G629" s="65"/>
      <c r="H629" s="65"/>
      <c r="I629" s="65"/>
      <c r="J629" s="65"/>
      <c r="K629" s="65" t="s">
        <v>1943</v>
      </c>
      <c r="L629" s="65"/>
      <c r="M629" s="65"/>
      <c r="N629" s="65"/>
    </row>
    <row r="630" spans="1:14" ht="12.75">
      <c r="A630" s="65"/>
      <c r="B630" s="65"/>
      <c r="C630" s="65"/>
      <c r="D630" s="65"/>
      <c r="E630" s="65" t="str">
        <v>---</v>
      </c>
      <c r="F630" s="65"/>
      <c r="G630" s="65"/>
      <c r="H630" s="65"/>
      <c r="I630" s="65"/>
      <c r="J630" s="65"/>
      <c r="K630" s="65" t="s">
        <v>1944</v>
      </c>
      <c r="L630" s="65"/>
      <c r="M630" s="65"/>
      <c r="N630" s="65"/>
    </row>
    <row r="631" spans="1:14" ht="12.75">
      <c r="A631" s="65"/>
      <c r="B631" s="65"/>
      <c r="C631" s="65"/>
      <c r="D631" s="65"/>
      <c r="E631" s="65" t="str">
        <v>---</v>
      </c>
      <c r="F631" s="65"/>
      <c r="G631" s="65"/>
      <c r="H631" s="65"/>
      <c r="I631" s="65"/>
      <c r="J631" s="65"/>
      <c r="K631" s="65" t="s">
        <v>1945</v>
      </c>
      <c r="L631" s="65"/>
      <c r="M631" s="65"/>
      <c r="N631" s="65"/>
    </row>
    <row r="632" spans="1:14" ht="12.75">
      <c r="A632" s="65"/>
      <c r="B632" s="65"/>
      <c r="C632" s="65"/>
      <c r="D632" s="65"/>
      <c r="E632" s="65" t="str">
        <v>---</v>
      </c>
      <c r="F632" s="65"/>
      <c r="G632" s="65"/>
      <c r="H632" s="65"/>
      <c r="I632" s="65"/>
      <c r="J632" s="65"/>
      <c r="K632" s="65" t="s">
        <v>1946</v>
      </c>
      <c r="L632" s="65"/>
      <c r="M632" s="65"/>
      <c r="N632" s="65"/>
    </row>
    <row r="633" spans="1:14" ht="12.75">
      <c r="A633" s="65"/>
      <c r="B633" s="65"/>
      <c r="C633" s="65"/>
      <c r="D633" s="65"/>
      <c r="E633" s="65" t="str">
        <v>---</v>
      </c>
      <c r="F633" s="65"/>
      <c r="G633" s="65"/>
      <c r="H633" s="65"/>
      <c r="I633" s="65"/>
      <c r="J633" s="65"/>
      <c r="K633" s="65" t="s">
        <v>1947</v>
      </c>
      <c r="L633" s="65"/>
      <c r="M633" s="65"/>
      <c r="N633" s="65"/>
    </row>
    <row r="634" spans="1:14" ht="12.75">
      <c r="A634" s="65"/>
      <c r="B634" s="65"/>
      <c r="C634" s="65"/>
      <c r="D634" s="65"/>
      <c r="E634" s="65" t="str">
        <v>---</v>
      </c>
      <c r="F634" s="65"/>
      <c r="G634" s="65"/>
      <c r="H634" s="65"/>
      <c r="I634" s="65"/>
      <c r="J634" s="65"/>
      <c r="K634" s="65" t="s">
        <v>1948</v>
      </c>
      <c r="L634" s="65"/>
      <c r="M634" s="65"/>
      <c r="N634" s="65"/>
    </row>
    <row r="635" spans="1:14" ht="12.75">
      <c r="A635" s="65"/>
      <c r="B635" s="65"/>
      <c r="C635" s="65"/>
      <c r="D635" s="65"/>
      <c r="E635" s="65" t="str">
        <v>---</v>
      </c>
      <c r="F635" s="65"/>
      <c r="G635" s="65"/>
      <c r="H635" s="65"/>
      <c r="I635" s="65"/>
      <c r="J635" s="65"/>
      <c r="K635" s="65" t="s">
        <v>1949</v>
      </c>
      <c r="L635" s="65"/>
      <c r="M635" s="65"/>
      <c r="N635" s="65"/>
    </row>
    <row r="636" spans="1:14" ht="12.75">
      <c r="A636" s="65"/>
      <c r="B636" s="65"/>
      <c r="C636" s="65"/>
      <c r="D636" s="65"/>
      <c r="E636" s="65" t="str">
        <v>---</v>
      </c>
      <c r="F636" s="65"/>
      <c r="G636" s="65"/>
      <c r="H636" s="65"/>
      <c r="I636" s="65"/>
      <c r="J636" s="65"/>
      <c r="K636" s="65" t="s">
        <v>1950</v>
      </c>
      <c r="L636" s="65"/>
      <c r="M636" s="65"/>
      <c r="N636" s="65"/>
    </row>
    <row r="637" spans="1:14" ht="12.75">
      <c r="A637" s="65"/>
      <c r="B637" s="65"/>
      <c r="C637" s="65"/>
      <c r="D637" s="65"/>
      <c r="E637" s="65" t="str">
        <v>---</v>
      </c>
      <c r="F637" s="65"/>
      <c r="G637" s="65"/>
      <c r="H637" s="65"/>
      <c r="I637" s="65"/>
      <c r="J637" s="65"/>
      <c r="K637" s="65" t="s">
        <v>1951</v>
      </c>
      <c r="L637" s="65"/>
      <c r="M637" s="65"/>
      <c r="N637" s="65"/>
    </row>
    <row r="638" spans="1:14" ht="12.75">
      <c r="A638" s="65"/>
      <c r="B638" s="65"/>
      <c r="C638" s="65"/>
      <c r="D638" s="65"/>
      <c r="E638" s="65" t="str">
        <v>---</v>
      </c>
      <c r="F638" s="65"/>
      <c r="G638" s="65"/>
      <c r="H638" s="65"/>
      <c r="I638" s="65"/>
      <c r="J638" s="65"/>
      <c r="K638" s="65" t="s">
        <v>1952</v>
      </c>
      <c r="L638" s="65"/>
      <c r="M638" s="65"/>
      <c r="N638" s="65"/>
    </row>
    <row r="639" spans="1:14" ht="12.75">
      <c r="A639" s="65"/>
      <c r="B639" s="65"/>
      <c r="C639" s="65"/>
      <c r="D639" s="65"/>
      <c r="E639" s="65" t="str">
        <v>---</v>
      </c>
      <c r="F639" s="65"/>
      <c r="G639" s="65"/>
      <c r="H639" s="65"/>
      <c r="I639" s="65"/>
      <c r="J639" s="65"/>
      <c r="K639" s="65" t="s">
        <v>1953</v>
      </c>
      <c r="L639" s="65"/>
      <c r="M639" s="65"/>
      <c r="N639" s="65"/>
    </row>
    <row r="640" spans="1:14" ht="12.75">
      <c r="A640" s="65"/>
      <c r="B640" s="65"/>
      <c r="C640" s="65"/>
      <c r="D640" s="65"/>
      <c r="E640" s="65" t="str">
        <v>---</v>
      </c>
      <c r="F640" s="65"/>
      <c r="G640" s="65"/>
      <c r="H640" s="65"/>
      <c r="I640" s="65"/>
      <c r="J640" s="65"/>
      <c r="K640" s="65" t="s">
        <v>1954</v>
      </c>
      <c r="L640" s="65"/>
      <c r="M640" s="65"/>
      <c r="N640" s="65"/>
    </row>
    <row r="641" spans="1:14" ht="12.75">
      <c r="A641" s="65"/>
      <c r="B641" s="65"/>
      <c r="C641" s="65"/>
      <c r="D641" s="65"/>
      <c r="E641" s="65" t="str">
        <v>---</v>
      </c>
      <c r="F641" s="65"/>
      <c r="G641" s="65"/>
      <c r="H641" s="65"/>
      <c r="I641" s="65"/>
      <c r="J641" s="65"/>
      <c r="K641" s="65" t="s">
        <v>1955</v>
      </c>
      <c r="L641" s="65"/>
      <c r="M641" s="65"/>
      <c r="N641" s="65"/>
    </row>
    <row r="642" spans="1:14" ht="12.75">
      <c r="A642" s="65"/>
      <c r="B642" s="65"/>
      <c r="C642" s="65"/>
      <c r="D642" s="65"/>
      <c r="E642" s="65" t="str">
        <v>---</v>
      </c>
      <c r="F642" s="65"/>
      <c r="G642" s="65"/>
      <c r="H642" s="65"/>
      <c r="I642" s="65"/>
      <c r="J642" s="65"/>
      <c r="K642" s="65" t="s">
        <v>1956</v>
      </c>
      <c r="L642" s="65"/>
      <c r="M642" s="65"/>
      <c r="N642" s="65"/>
    </row>
    <row r="643" spans="1:14" ht="12.75">
      <c r="A643" s="65"/>
      <c r="B643" s="65"/>
      <c r="C643" s="65"/>
      <c r="D643" s="65"/>
      <c r="E643" s="65" t="str">
        <v>---</v>
      </c>
      <c r="F643" s="65"/>
      <c r="G643" s="65"/>
      <c r="H643" s="65"/>
      <c r="I643" s="65"/>
      <c r="J643" s="65"/>
      <c r="K643" s="65" t="s">
        <v>1957</v>
      </c>
      <c r="L643" s="65"/>
      <c r="M643" s="65"/>
      <c r="N643" s="65"/>
    </row>
    <row r="644" spans="1:14" ht="12.75">
      <c r="A644" s="65"/>
      <c r="B644" s="65"/>
      <c r="C644" s="65"/>
      <c r="D644" s="65"/>
      <c r="E644" s="65" t="str">
        <v>---</v>
      </c>
      <c r="F644" s="65"/>
      <c r="G644" s="65"/>
      <c r="H644" s="65"/>
      <c r="I644" s="65"/>
      <c r="J644" s="65"/>
      <c r="K644" s="65" t="s">
        <v>1958</v>
      </c>
      <c r="L644" s="65"/>
      <c r="M644" s="65"/>
      <c r="N644" s="65"/>
    </row>
    <row r="645" spans="1:14" ht="12.75">
      <c r="A645" s="65"/>
      <c r="B645" s="65"/>
      <c r="C645" s="65"/>
      <c r="D645" s="65"/>
      <c r="E645" s="65" t="str">
        <v>---</v>
      </c>
      <c r="F645" s="65"/>
      <c r="G645" s="65"/>
      <c r="H645" s="65"/>
      <c r="I645" s="65"/>
      <c r="J645" s="65"/>
      <c r="K645" s="65" t="s">
        <v>1959</v>
      </c>
      <c r="L645" s="65"/>
      <c r="M645" s="65"/>
      <c r="N645" s="65"/>
    </row>
    <row r="646" spans="1:14" ht="12.75">
      <c r="A646" s="65"/>
      <c r="B646" s="65"/>
      <c r="C646" s="65"/>
      <c r="D646" s="65"/>
      <c r="E646" s="65" t="str">
        <v>---</v>
      </c>
      <c r="F646" s="65"/>
      <c r="G646" s="65"/>
      <c r="H646" s="65"/>
      <c r="I646" s="65"/>
      <c r="J646" s="65"/>
      <c r="K646" s="65" t="s">
        <v>1960</v>
      </c>
      <c r="L646" s="65"/>
      <c r="M646" s="65"/>
      <c r="N646" s="65"/>
    </row>
    <row r="647" spans="1:14" ht="12.75">
      <c r="A647" s="65"/>
      <c r="B647" s="65"/>
      <c r="C647" s="65"/>
      <c r="D647" s="65"/>
      <c r="E647" s="65" t="str">
        <v>---</v>
      </c>
      <c r="F647" s="65"/>
      <c r="G647" s="65"/>
      <c r="H647" s="65"/>
      <c r="I647" s="65"/>
      <c r="J647" s="65"/>
      <c r="K647" s="65" t="s">
        <v>1961</v>
      </c>
      <c r="L647" s="65"/>
      <c r="M647" s="65"/>
      <c r="N647" s="65"/>
    </row>
    <row r="648" spans="1:14" ht="12.75">
      <c r="A648" s="65"/>
      <c r="B648" s="65"/>
      <c r="C648" s="65"/>
      <c r="D648" s="65"/>
      <c r="E648" s="65" t="str">
        <v>---</v>
      </c>
      <c r="F648" s="65"/>
      <c r="G648" s="65"/>
      <c r="H648" s="65"/>
      <c r="I648" s="65"/>
      <c r="J648" s="65"/>
      <c r="K648" s="65" t="s">
        <v>1962</v>
      </c>
      <c r="L648" s="65"/>
      <c r="M648" s="65"/>
      <c r="N648" s="65"/>
    </row>
    <row r="649" spans="1:14" ht="12.75">
      <c r="A649" s="65"/>
      <c r="B649" s="65"/>
      <c r="C649" s="65"/>
      <c r="D649" s="65"/>
      <c r="E649" s="65" t="str">
        <v>---</v>
      </c>
      <c r="F649" s="65"/>
      <c r="G649" s="65"/>
      <c r="H649" s="65"/>
      <c r="I649" s="65"/>
      <c r="J649" s="65"/>
      <c r="K649" s="65" t="s">
        <v>1963</v>
      </c>
      <c r="L649" s="65"/>
      <c r="M649" s="65"/>
      <c r="N649" s="65"/>
    </row>
    <row r="650" spans="1:14" ht="12.75">
      <c r="A650" s="65"/>
      <c r="B650" s="65"/>
      <c r="C650" s="65"/>
      <c r="D650" s="65"/>
      <c r="E650" s="65" t="str">
        <v>---</v>
      </c>
      <c r="F650" s="65"/>
      <c r="G650" s="65"/>
      <c r="H650" s="65"/>
      <c r="I650" s="65"/>
      <c r="J650" s="65"/>
      <c r="K650" s="65" t="s">
        <v>1964</v>
      </c>
      <c r="L650" s="65"/>
      <c r="M650" s="65"/>
      <c r="N650" s="65"/>
    </row>
    <row r="651" spans="1:14" ht="12.75">
      <c r="A651" s="65"/>
      <c r="B651" s="65"/>
      <c r="C651" s="65"/>
      <c r="D651" s="65"/>
      <c r="E651" s="65" t="str">
        <v>---</v>
      </c>
      <c r="F651" s="65"/>
      <c r="G651" s="65"/>
      <c r="H651" s="65"/>
      <c r="I651" s="65"/>
      <c r="J651" s="65"/>
      <c r="K651" s="65" t="s">
        <v>1965</v>
      </c>
      <c r="L651" s="65"/>
      <c r="M651" s="68"/>
      <c r="N651" s="65"/>
    </row>
    <row r="652" spans="1:14" ht="12.75">
      <c r="A652" s="65"/>
      <c r="B652" s="65"/>
      <c r="C652" s="65"/>
      <c r="D652" s="65"/>
      <c r="E652" s="65" t="str">
        <v>---</v>
      </c>
      <c r="F652" s="65"/>
      <c r="G652" s="65"/>
      <c r="H652" s="65"/>
      <c r="I652" s="65"/>
      <c r="J652" s="65"/>
      <c r="K652" s="65" t="s">
        <v>1966</v>
      </c>
      <c r="L652" s="65"/>
      <c r="M652" s="68"/>
      <c r="N652" s="65"/>
    </row>
    <row r="653" spans="1:14" ht="12.75">
      <c r="A653" s="65"/>
      <c r="B653" s="65"/>
      <c r="C653" s="65"/>
      <c r="D653" s="65"/>
      <c r="E653" s="65" t="str">
        <v>---</v>
      </c>
      <c r="F653" s="65"/>
      <c r="G653" s="65"/>
      <c r="H653" s="65"/>
      <c r="I653" s="65"/>
      <c r="J653" s="65"/>
      <c r="K653" s="65" t="s">
        <v>1967</v>
      </c>
      <c r="L653" s="65"/>
      <c r="M653" s="65"/>
      <c r="N653" s="65"/>
    </row>
    <row r="654" spans="1:14" ht="12.75">
      <c r="A654" s="65"/>
      <c r="B654" s="65"/>
      <c r="C654" s="65"/>
      <c r="D654" s="65"/>
      <c r="E654" s="65" t="str">
        <v>---</v>
      </c>
      <c r="F654" s="65"/>
      <c r="G654" s="65"/>
      <c r="H654" s="65"/>
      <c r="I654" s="65"/>
      <c r="J654" s="65"/>
      <c r="K654" s="65" t="s">
        <v>1968</v>
      </c>
      <c r="L654" s="65"/>
      <c r="M654" s="65"/>
      <c r="N654" s="65"/>
    </row>
    <row r="655" spans="1:14" ht="12.75">
      <c r="A655" s="65"/>
      <c r="B655" s="65"/>
      <c r="C655" s="65"/>
      <c r="D655" s="65"/>
      <c r="E655" s="65" t="str">
        <v>---</v>
      </c>
      <c r="F655" s="65"/>
      <c r="G655" s="65"/>
      <c r="H655" s="65"/>
      <c r="I655" s="65"/>
      <c r="J655" s="65"/>
      <c r="K655" s="65" t="s">
        <v>1969</v>
      </c>
      <c r="L655" s="65"/>
      <c r="M655" s="65"/>
      <c r="N655" s="65"/>
    </row>
    <row r="656" spans="1:14" ht="12.75">
      <c r="A656" s="65"/>
      <c r="B656" s="65"/>
      <c r="C656" s="65"/>
      <c r="D656" s="65"/>
      <c r="E656" s="65" t="str">
        <v>---</v>
      </c>
      <c r="F656" s="65"/>
      <c r="G656" s="65"/>
      <c r="H656" s="65"/>
      <c r="I656" s="65"/>
      <c r="J656" s="65"/>
      <c r="K656" s="65" t="s">
        <v>1970</v>
      </c>
      <c r="L656" s="65"/>
      <c r="M656" s="65"/>
      <c r="N656" s="65"/>
    </row>
    <row r="657" spans="1:14" ht="12.75">
      <c r="A657" s="65"/>
      <c r="B657" s="65"/>
      <c r="C657" s="65"/>
      <c r="D657" s="65"/>
      <c r="E657" s="65" t="str">
        <v>---</v>
      </c>
      <c r="F657" s="65"/>
      <c r="G657" s="65"/>
      <c r="H657" s="65"/>
      <c r="I657" s="65"/>
      <c r="J657" s="65"/>
      <c r="K657" s="65" t="s">
        <v>1971</v>
      </c>
      <c r="L657" s="65"/>
      <c r="M657" s="65"/>
      <c r="N657" s="65"/>
    </row>
    <row r="658" spans="1:14" ht="12.75">
      <c r="A658" s="65"/>
      <c r="B658" s="65"/>
      <c r="C658" s="65"/>
      <c r="D658" s="65"/>
      <c r="E658" s="65" t="str">
        <v>---</v>
      </c>
      <c r="F658" s="65"/>
      <c r="G658" s="65"/>
      <c r="H658" s="65"/>
      <c r="I658" s="65"/>
      <c r="J658" s="65"/>
      <c r="K658" s="65" t="s">
        <v>1972</v>
      </c>
      <c r="L658" s="65"/>
      <c r="M658" s="65"/>
      <c r="N658" s="65"/>
    </row>
    <row r="659" spans="1:14" ht="12.75">
      <c r="A659" s="65"/>
      <c r="B659" s="65"/>
      <c r="C659" s="65"/>
      <c r="D659" s="65"/>
      <c r="E659" s="65" t="str">
        <v>---</v>
      </c>
      <c r="F659" s="65"/>
      <c r="G659" s="65"/>
      <c r="H659" s="65"/>
      <c r="I659" s="65"/>
      <c r="J659" s="65"/>
      <c r="K659" s="65" t="s">
        <v>1973</v>
      </c>
      <c r="L659" s="65"/>
      <c r="M659" s="65"/>
      <c r="N659" s="65"/>
    </row>
    <row r="660" spans="1:14" ht="12.75">
      <c r="A660" s="65"/>
      <c r="B660" s="65"/>
      <c r="C660" s="65"/>
      <c r="D660" s="65"/>
      <c r="E660" s="65" t="str">
        <v>---</v>
      </c>
      <c r="F660" s="65"/>
      <c r="G660" s="65"/>
      <c r="H660" s="65"/>
      <c r="I660" s="65"/>
      <c r="J660" s="65"/>
      <c r="K660" s="65" t="s">
        <v>1974</v>
      </c>
      <c r="L660" s="65"/>
      <c r="M660" s="65"/>
      <c r="N660" s="65"/>
    </row>
    <row r="661" spans="1:14" ht="12.75">
      <c r="A661" s="65"/>
      <c r="B661" s="65"/>
      <c r="C661" s="65"/>
      <c r="D661" s="65"/>
      <c r="E661" s="65" t="str">
        <v>---</v>
      </c>
      <c r="F661" s="65"/>
      <c r="G661" s="65"/>
      <c r="H661" s="65"/>
      <c r="I661" s="65"/>
      <c r="J661" s="65"/>
      <c r="K661" s="65" t="s">
        <v>1975</v>
      </c>
      <c r="L661" s="65"/>
      <c r="M661" s="65"/>
      <c r="N661" s="65"/>
    </row>
    <row r="662" spans="1:14" ht="12.75">
      <c r="A662" s="65"/>
      <c r="B662" s="65"/>
      <c r="C662" s="65"/>
      <c r="D662" s="65"/>
      <c r="E662" s="65" t="str">
        <v>---</v>
      </c>
      <c r="F662" s="65"/>
      <c r="G662" s="65"/>
      <c r="H662" s="65"/>
      <c r="I662" s="65"/>
      <c r="J662" s="65"/>
      <c r="K662" s="65" t="s">
        <v>1976</v>
      </c>
      <c r="L662" s="65"/>
      <c r="M662" s="65"/>
      <c r="N662" s="65"/>
    </row>
    <row r="663" spans="1:14" ht="12.75">
      <c r="A663" s="65"/>
      <c r="B663" s="65"/>
      <c r="C663" s="65"/>
      <c r="D663" s="65"/>
      <c r="E663" s="65" t="str">
        <v>---</v>
      </c>
      <c r="F663" s="65"/>
      <c r="G663" s="65"/>
      <c r="H663" s="65"/>
      <c r="I663" s="65"/>
      <c r="J663" s="65"/>
      <c r="K663" s="65" t="s">
        <v>1977</v>
      </c>
      <c r="L663" s="65"/>
      <c r="M663" s="65"/>
      <c r="N663" s="65"/>
    </row>
    <row r="664" spans="1:14" ht="12.75">
      <c r="A664" s="65"/>
      <c r="B664" s="65"/>
      <c r="C664" s="65"/>
      <c r="D664" s="65"/>
      <c r="E664" s="65" t="str">
        <v>---</v>
      </c>
      <c r="F664" s="65"/>
      <c r="G664" s="65"/>
      <c r="H664" s="65"/>
      <c r="I664" s="65"/>
      <c r="J664" s="65"/>
      <c r="K664" s="65" t="s">
        <v>1978</v>
      </c>
      <c r="L664" s="65"/>
      <c r="M664" s="65"/>
      <c r="N664" s="65"/>
    </row>
    <row r="665" spans="1:14" ht="12.75">
      <c r="A665" s="65"/>
      <c r="B665" s="65"/>
      <c r="C665" s="65"/>
      <c r="D665" s="65"/>
      <c r="E665" s="65" t="str">
        <v>---</v>
      </c>
      <c r="F665" s="65"/>
      <c r="G665" s="65"/>
      <c r="H665" s="65"/>
      <c r="I665" s="65"/>
      <c r="J665" s="65"/>
      <c r="K665" s="65" t="s">
        <v>1979</v>
      </c>
      <c r="L665" s="65"/>
      <c r="M665" s="65"/>
      <c r="N665" s="65"/>
    </row>
    <row r="666" spans="1:14" ht="12.75">
      <c r="A666" s="65"/>
      <c r="B666" s="65"/>
      <c r="C666" s="65"/>
      <c r="D666" s="65"/>
      <c r="E666" s="65" t="str">
        <v>---</v>
      </c>
      <c r="F666" s="65"/>
      <c r="G666" s="65"/>
      <c r="H666" s="65"/>
      <c r="I666" s="65"/>
      <c r="J666" s="65"/>
      <c r="K666" s="65" t="s">
        <v>1980</v>
      </c>
      <c r="L666" s="65"/>
      <c r="M666" s="65"/>
      <c r="N666" s="65"/>
    </row>
    <row r="667" spans="1:14" ht="12.75">
      <c r="A667" s="65"/>
      <c r="B667" s="65"/>
      <c r="C667" s="65"/>
      <c r="D667" s="65"/>
      <c r="E667" s="65" t="str">
        <v>---</v>
      </c>
      <c r="F667" s="65"/>
      <c r="G667" s="65"/>
      <c r="H667" s="65"/>
      <c r="I667" s="65"/>
      <c r="J667" s="65"/>
      <c r="K667" s="65" t="s">
        <v>1981</v>
      </c>
      <c r="L667" s="65"/>
      <c r="M667" s="65"/>
      <c r="N667" s="65"/>
    </row>
    <row r="668" spans="1:14" ht="12.75">
      <c r="A668" s="65"/>
      <c r="B668" s="65"/>
      <c r="C668" s="65"/>
      <c r="D668" s="65"/>
      <c r="E668" s="65" t="str">
        <v>---</v>
      </c>
      <c r="F668" s="65"/>
      <c r="G668" s="65"/>
      <c r="H668" s="65"/>
      <c r="I668" s="65"/>
      <c r="J668" s="65"/>
      <c r="K668" s="65" t="s">
        <v>1982</v>
      </c>
      <c r="L668" s="65"/>
      <c r="M668" s="65"/>
      <c r="N668" s="65"/>
    </row>
    <row r="669" spans="1:14" ht="12.75">
      <c r="A669" s="65"/>
      <c r="B669" s="65"/>
      <c r="C669" s="65"/>
      <c r="D669" s="65"/>
      <c r="E669" s="65" t="str">
        <v>---</v>
      </c>
      <c r="F669" s="65"/>
      <c r="G669" s="65"/>
      <c r="H669" s="65"/>
      <c r="I669" s="65"/>
      <c r="J669" s="65"/>
      <c r="K669" s="65" t="s">
        <v>1983</v>
      </c>
      <c r="L669" s="65"/>
      <c r="M669" s="65"/>
      <c r="N669" s="65"/>
    </row>
    <row r="670" spans="1:14" ht="12.75">
      <c r="A670" s="65"/>
      <c r="B670" s="65"/>
      <c r="C670" s="65"/>
      <c r="D670" s="65"/>
      <c r="E670" s="65" t="str">
        <v>---</v>
      </c>
      <c r="F670" s="65"/>
      <c r="G670" s="65"/>
      <c r="H670" s="65"/>
      <c r="I670" s="65"/>
      <c r="J670" s="65"/>
      <c r="K670" s="65" t="s">
        <v>1984</v>
      </c>
      <c r="L670" s="65"/>
      <c r="M670" s="65"/>
      <c r="N670" s="65"/>
    </row>
    <row r="671" spans="1:14" ht="12.75">
      <c r="A671" s="65"/>
      <c r="B671" s="65"/>
      <c r="C671" s="65"/>
      <c r="D671" s="65"/>
      <c r="E671" s="65" t="str">
        <v>---</v>
      </c>
      <c r="F671" s="65"/>
      <c r="G671" s="65"/>
      <c r="H671" s="65"/>
      <c r="I671" s="65"/>
      <c r="J671" s="65"/>
      <c r="K671" s="65" t="s">
        <v>1985</v>
      </c>
      <c r="L671" s="65"/>
      <c r="M671" s="65"/>
      <c r="N671" s="65"/>
    </row>
    <row r="672" spans="1:14" ht="12.75">
      <c r="A672" s="65"/>
      <c r="B672" s="65"/>
      <c r="C672" s="65"/>
      <c r="D672" s="65"/>
      <c r="E672" s="65" t="str">
        <v>---</v>
      </c>
      <c r="F672" s="65"/>
      <c r="G672" s="65"/>
      <c r="H672" s="65"/>
      <c r="I672" s="65"/>
      <c r="J672" s="65"/>
      <c r="K672" s="65" t="s">
        <v>1986</v>
      </c>
      <c r="L672" s="65"/>
      <c r="M672" s="65"/>
      <c r="N672" s="65"/>
    </row>
    <row r="673" spans="1:14" ht="12.75">
      <c r="A673" s="65"/>
      <c r="B673" s="65"/>
      <c r="C673" s="65"/>
      <c r="D673" s="65"/>
      <c r="E673" s="65" t="str">
        <v>---</v>
      </c>
      <c r="F673" s="65"/>
      <c r="G673" s="65"/>
      <c r="H673" s="65"/>
      <c r="I673" s="65"/>
      <c r="J673" s="65"/>
      <c r="K673" s="65" t="s">
        <v>1987</v>
      </c>
      <c r="L673" s="65"/>
      <c r="M673" s="65"/>
      <c r="N673" s="65"/>
    </row>
    <row r="674" spans="1:14" ht="12.75">
      <c r="A674" s="65"/>
      <c r="B674" s="65"/>
      <c r="C674" s="65"/>
      <c r="D674" s="65"/>
      <c r="E674" s="65" t="str">
        <v>---</v>
      </c>
      <c r="F674" s="65"/>
      <c r="G674" s="65"/>
      <c r="H674" s="65"/>
      <c r="I674" s="65"/>
      <c r="J674" s="65"/>
      <c r="K674" s="65" t="s">
        <v>1988</v>
      </c>
      <c r="L674" s="65"/>
      <c r="M674" s="65"/>
      <c r="N674" s="65"/>
    </row>
    <row r="675" spans="1:14" ht="12.75">
      <c r="A675" s="65"/>
      <c r="B675" s="65"/>
      <c r="C675" s="65"/>
      <c r="D675" s="65"/>
      <c r="E675" s="65" t="str">
        <v>---</v>
      </c>
      <c r="F675" s="65"/>
      <c r="G675" s="65"/>
      <c r="H675" s="65"/>
      <c r="I675" s="65"/>
      <c r="J675" s="65"/>
      <c r="K675" s="65" t="s">
        <v>1989</v>
      </c>
      <c r="L675" s="65"/>
      <c r="M675" s="65"/>
      <c r="N675" s="65"/>
    </row>
    <row r="676" spans="1:14" ht="12.75">
      <c r="A676" s="65"/>
      <c r="B676" s="65"/>
      <c r="C676" s="65"/>
      <c r="D676" s="65"/>
      <c r="E676" s="65" t="str">
        <v>---</v>
      </c>
      <c r="F676" s="65"/>
      <c r="G676" s="65"/>
      <c r="H676" s="65"/>
      <c r="I676" s="65"/>
      <c r="J676" s="65"/>
      <c r="K676" s="65" t="s">
        <v>1990</v>
      </c>
      <c r="L676" s="65"/>
      <c r="M676" s="65"/>
      <c r="N676" s="65"/>
    </row>
    <row r="677" spans="1:14" ht="12.75">
      <c r="A677" s="65"/>
      <c r="B677" s="65"/>
      <c r="C677" s="65"/>
      <c r="D677" s="65"/>
      <c r="E677" s="65" t="str">
        <v>---</v>
      </c>
      <c r="F677" s="65"/>
      <c r="G677" s="65"/>
      <c r="H677" s="65"/>
      <c r="I677" s="65"/>
      <c r="J677" s="65"/>
      <c r="K677" s="65" t="s">
        <v>1991</v>
      </c>
      <c r="L677" s="65"/>
      <c r="M677" s="65"/>
      <c r="N677" s="65"/>
    </row>
    <row r="678" spans="1:14" ht="12.75">
      <c r="A678" s="65"/>
      <c r="B678" s="65"/>
      <c r="C678" s="65"/>
      <c r="D678" s="65"/>
      <c r="E678" s="65" t="str">
        <v>---</v>
      </c>
      <c r="F678" s="65"/>
      <c r="G678" s="65"/>
      <c r="H678" s="65"/>
      <c r="I678" s="65"/>
      <c r="J678" s="65"/>
      <c r="K678" s="65" t="s">
        <v>1992</v>
      </c>
      <c r="L678" s="65"/>
      <c r="M678" s="65"/>
      <c r="N678" s="65"/>
    </row>
    <row r="679" spans="1:14" ht="12.75">
      <c r="A679" s="65"/>
      <c r="B679" s="65"/>
      <c r="C679" s="65"/>
      <c r="D679" s="65"/>
      <c r="E679" s="65" t="str">
        <v>---</v>
      </c>
      <c r="F679" s="65"/>
      <c r="G679" s="65"/>
      <c r="H679" s="65"/>
      <c r="I679" s="65"/>
      <c r="J679" s="65"/>
      <c r="K679" s="65" t="s">
        <v>1993</v>
      </c>
      <c r="L679" s="65"/>
      <c r="M679" s="65"/>
      <c r="N679" s="65"/>
    </row>
    <row r="680" spans="1:14" ht="12.75">
      <c r="A680" s="65"/>
      <c r="B680" s="65"/>
      <c r="C680" s="65"/>
      <c r="D680" s="65"/>
      <c r="E680" s="65" t="str">
        <v>---</v>
      </c>
      <c r="F680" s="65"/>
      <c r="G680" s="65"/>
      <c r="H680" s="65"/>
      <c r="I680" s="65"/>
      <c r="J680" s="65"/>
      <c r="K680" s="65" t="s">
        <v>1994</v>
      </c>
      <c r="L680" s="65"/>
      <c r="M680" s="65"/>
      <c r="N680" s="65"/>
    </row>
    <row r="681" spans="1:14" ht="12.75">
      <c r="A681" s="65"/>
      <c r="B681" s="65"/>
      <c r="C681" s="65"/>
      <c r="D681" s="65"/>
      <c r="E681" s="65" t="str">
        <v>---</v>
      </c>
      <c r="F681" s="65"/>
      <c r="G681" s="65"/>
      <c r="H681" s="65"/>
      <c r="I681" s="65"/>
      <c r="J681" s="65"/>
      <c r="K681" s="65" t="s">
        <v>1995</v>
      </c>
      <c r="L681" s="65"/>
      <c r="M681" s="65"/>
      <c r="N681" s="65"/>
    </row>
    <row r="682" spans="1:14" ht="12.75">
      <c r="A682" s="65"/>
      <c r="B682" s="65"/>
      <c r="C682" s="65"/>
      <c r="D682" s="65"/>
      <c r="E682" s="65" t="str">
        <v>---</v>
      </c>
      <c r="F682" s="65"/>
      <c r="G682" s="65"/>
      <c r="H682" s="65"/>
      <c r="I682" s="65"/>
      <c r="J682" s="65"/>
      <c r="K682" s="65" t="s">
        <v>1996</v>
      </c>
      <c r="L682" s="65"/>
      <c r="M682" s="65"/>
      <c r="N682" s="65"/>
    </row>
    <row r="683" spans="1:14" ht="12.75">
      <c r="A683" s="65"/>
      <c r="B683" s="65"/>
      <c r="C683" s="65"/>
      <c r="D683" s="65"/>
      <c r="E683" s="65" t="str">
        <v>---</v>
      </c>
      <c r="F683" s="65"/>
      <c r="G683" s="65"/>
      <c r="H683" s="65"/>
      <c r="I683" s="65"/>
      <c r="J683" s="65"/>
      <c r="K683" s="65" t="s">
        <v>1997</v>
      </c>
      <c r="L683" s="65"/>
      <c r="M683" s="65"/>
      <c r="N683" s="65"/>
    </row>
    <row r="684" spans="1:14" ht="12.75">
      <c r="A684" s="65"/>
      <c r="B684" s="65"/>
      <c r="C684" s="65"/>
      <c r="D684" s="65"/>
      <c r="E684" s="65" t="str">
        <v>---</v>
      </c>
      <c r="F684" s="65"/>
      <c r="G684" s="65"/>
      <c r="H684" s="65"/>
      <c r="I684" s="65"/>
      <c r="J684" s="65"/>
      <c r="K684" s="65" t="s">
        <v>1998</v>
      </c>
      <c r="L684" s="65"/>
      <c r="M684" s="65"/>
      <c r="N684" s="65"/>
    </row>
    <row r="685" spans="1:14" ht="12.75">
      <c r="A685" s="65"/>
      <c r="B685" s="65"/>
      <c r="C685" s="65"/>
      <c r="D685" s="65"/>
      <c r="E685" s="65" t="str">
        <v>---</v>
      </c>
      <c r="F685" s="65"/>
      <c r="G685" s="65"/>
      <c r="H685" s="65"/>
      <c r="I685" s="65"/>
      <c r="J685" s="65"/>
      <c r="K685" s="65" t="s">
        <v>1999</v>
      </c>
      <c r="L685" s="65"/>
      <c r="M685" s="65"/>
      <c r="N685" s="65"/>
    </row>
    <row r="686" spans="1:14" ht="12.75">
      <c r="A686" s="65"/>
      <c r="B686" s="65"/>
      <c r="C686" s="65"/>
      <c r="D686" s="65"/>
      <c r="E686" s="65" t="str">
        <v>---</v>
      </c>
      <c r="F686" s="65"/>
      <c r="G686" s="65"/>
      <c r="H686" s="65"/>
      <c r="I686" s="65"/>
      <c r="J686" s="65"/>
      <c r="K686" s="65" t="s">
        <v>2000</v>
      </c>
      <c r="L686" s="65"/>
      <c r="M686" s="65"/>
      <c r="N686" s="65"/>
    </row>
    <row r="687" spans="1:14" ht="12.75">
      <c r="A687" s="65"/>
      <c r="B687" s="65"/>
      <c r="C687" s="65"/>
      <c r="D687" s="65"/>
      <c r="E687" s="65" t="str">
        <v>---</v>
      </c>
      <c r="F687" s="65"/>
      <c r="G687" s="65"/>
      <c r="H687" s="65"/>
      <c r="I687" s="65"/>
      <c r="J687" s="65"/>
      <c r="K687" s="65" t="s">
        <v>2001</v>
      </c>
      <c r="L687" s="65"/>
      <c r="M687" s="65"/>
      <c r="N687" s="65"/>
    </row>
    <row r="688" spans="1:14" ht="12.75">
      <c r="A688" s="65"/>
      <c r="B688" s="65"/>
      <c r="C688" s="65"/>
      <c r="D688" s="65"/>
      <c r="E688" s="65" t="str">
        <v>---</v>
      </c>
      <c r="F688" s="65"/>
      <c r="G688" s="65"/>
      <c r="H688" s="65"/>
      <c r="I688" s="65"/>
      <c r="J688" s="65"/>
      <c r="K688" s="65" t="s">
        <v>2002</v>
      </c>
      <c r="L688" s="65"/>
      <c r="M688" s="65"/>
      <c r="N688" s="65"/>
    </row>
    <row r="689" spans="1:14" ht="12.75">
      <c r="A689" s="65"/>
      <c r="B689" s="65"/>
      <c r="C689" s="65"/>
      <c r="D689" s="65"/>
      <c r="E689" s="65" t="str">
        <v>---</v>
      </c>
      <c r="F689" s="65"/>
      <c r="G689" s="65"/>
      <c r="H689" s="65"/>
      <c r="I689" s="65"/>
      <c r="J689" s="65"/>
      <c r="K689" s="65" t="s">
        <v>2003</v>
      </c>
      <c r="L689" s="65"/>
      <c r="M689" s="65"/>
      <c r="N689" s="65"/>
    </row>
    <row r="690" spans="1:14" ht="12.75">
      <c r="A690" s="65"/>
      <c r="B690" s="65"/>
      <c r="C690" s="65"/>
      <c r="D690" s="65"/>
      <c r="E690" s="65" t="str">
        <v>---</v>
      </c>
      <c r="F690" s="65"/>
      <c r="G690" s="65"/>
      <c r="H690" s="65"/>
      <c r="I690" s="65"/>
      <c r="J690" s="65"/>
      <c r="K690" s="65" t="s">
        <v>2004</v>
      </c>
      <c r="L690" s="65"/>
      <c r="M690" s="65"/>
      <c r="N690" s="65"/>
    </row>
    <row r="691" spans="1:14" ht="12.75">
      <c r="A691" s="65"/>
      <c r="B691" s="65"/>
      <c r="C691" s="65"/>
      <c r="D691" s="65"/>
      <c r="E691" s="65" t="str">
        <v>---</v>
      </c>
      <c r="F691" s="65"/>
      <c r="G691" s="65"/>
      <c r="H691" s="65"/>
      <c r="I691" s="65"/>
      <c r="J691" s="65"/>
      <c r="K691" s="65" t="s">
        <v>2005</v>
      </c>
      <c r="L691" s="65"/>
      <c r="M691" s="65"/>
      <c r="N691" s="65"/>
    </row>
    <row r="692" spans="1:14" ht="12.75">
      <c r="A692" s="65"/>
      <c r="B692" s="65"/>
      <c r="C692" s="65"/>
      <c r="D692" s="65"/>
      <c r="E692" s="65" t="str">
        <v>---</v>
      </c>
      <c r="F692" s="65"/>
      <c r="G692" s="65"/>
      <c r="H692" s="65"/>
      <c r="I692" s="65"/>
      <c r="J692" s="65"/>
      <c r="K692" s="65" t="s">
        <v>2006</v>
      </c>
      <c r="L692" s="65"/>
      <c r="M692" s="65"/>
      <c r="N692" s="65"/>
    </row>
    <row r="693" spans="1:14" ht="12.75">
      <c r="A693" s="65"/>
      <c r="B693" s="65"/>
      <c r="C693" s="65"/>
      <c r="D693" s="65"/>
      <c r="E693" s="65" t="str">
        <v>---</v>
      </c>
      <c r="F693" s="65"/>
      <c r="G693" s="65"/>
      <c r="H693" s="65"/>
      <c r="I693" s="65"/>
      <c r="J693" s="65"/>
      <c r="K693" s="65" t="s">
        <v>2007</v>
      </c>
      <c r="L693" s="65"/>
      <c r="M693" s="65"/>
      <c r="N693" s="65"/>
    </row>
    <row r="694" spans="1:14" ht="12.75">
      <c r="A694" s="65"/>
      <c r="B694" s="65"/>
      <c r="C694" s="65"/>
      <c r="D694" s="65"/>
      <c r="E694" s="65" t="str">
        <v>---</v>
      </c>
      <c r="F694" s="65"/>
      <c r="G694" s="65"/>
      <c r="H694" s="65"/>
      <c r="I694" s="65"/>
      <c r="J694" s="65"/>
      <c r="K694" s="65" t="s">
        <v>2008</v>
      </c>
      <c r="L694" s="65"/>
      <c r="M694" s="65"/>
      <c r="N694" s="65"/>
    </row>
    <row r="695" spans="1:14" ht="12.75">
      <c r="A695" s="65"/>
      <c r="B695" s="65"/>
      <c r="C695" s="65"/>
      <c r="D695" s="65"/>
      <c r="E695" s="65" t="str">
        <v>---</v>
      </c>
      <c r="F695" s="65"/>
      <c r="G695" s="65"/>
      <c r="H695" s="65"/>
      <c r="I695" s="65"/>
      <c r="J695" s="65"/>
      <c r="K695" s="65" t="s">
        <v>2009</v>
      </c>
      <c r="L695" s="65"/>
      <c r="M695" s="65"/>
      <c r="N695" s="65"/>
    </row>
    <row r="696" spans="1:14" ht="12.75">
      <c r="A696" s="65"/>
      <c r="B696" s="65"/>
      <c r="C696" s="65"/>
      <c r="D696" s="65"/>
      <c r="E696" s="65" t="str">
        <v>---</v>
      </c>
      <c r="F696" s="65"/>
      <c r="G696" s="65"/>
      <c r="H696" s="65"/>
      <c r="I696" s="65"/>
      <c r="J696" s="65"/>
      <c r="K696" s="65" t="s">
        <v>2010</v>
      </c>
      <c r="L696" s="65"/>
      <c r="M696" s="65"/>
      <c r="N696" s="65"/>
    </row>
    <row r="697" spans="1:14" ht="12.75">
      <c r="A697" s="65"/>
      <c r="B697" s="65"/>
      <c r="C697" s="65"/>
      <c r="D697" s="65"/>
      <c r="E697" s="65" t="str">
        <v>---</v>
      </c>
      <c r="F697" s="65"/>
      <c r="G697" s="65"/>
      <c r="H697" s="65"/>
      <c r="I697" s="65"/>
      <c r="J697" s="65"/>
      <c r="K697" s="65" t="s">
        <v>2011</v>
      </c>
      <c r="L697" s="65"/>
      <c r="M697" s="65"/>
      <c r="N697" s="65"/>
    </row>
    <row r="698" spans="1:14" ht="12.75">
      <c r="A698" s="65"/>
      <c r="B698" s="65"/>
      <c r="C698" s="65"/>
      <c r="D698" s="65"/>
      <c r="E698" s="65" t="str">
        <v>---</v>
      </c>
      <c r="F698" s="65"/>
      <c r="G698" s="65"/>
      <c r="H698" s="65"/>
      <c r="I698" s="65"/>
      <c r="J698" s="65"/>
      <c r="K698" s="65" t="s">
        <v>2012</v>
      </c>
      <c r="L698" s="65"/>
      <c r="M698" s="65"/>
      <c r="N698" s="65"/>
    </row>
    <row r="699" spans="1:14" ht="12.75">
      <c r="A699" s="65"/>
      <c r="B699" s="65"/>
      <c r="C699" s="65"/>
      <c r="D699" s="65"/>
      <c r="E699" s="65" t="str">
        <v>---</v>
      </c>
      <c r="F699" s="65"/>
      <c r="G699" s="65"/>
      <c r="H699" s="65"/>
      <c r="I699" s="65"/>
      <c r="J699" s="65"/>
      <c r="K699" s="65" t="s">
        <v>2013</v>
      </c>
      <c r="L699" s="65"/>
      <c r="M699" s="65"/>
      <c r="N699" s="65"/>
    </row>
    <row r="700" spans="1:14" ht="12.75">
      <c r="A700" s="65"/>
      <c r="B700" s="65"/>
      <c r="C700" s="65"/>
      <c r="D700" s="65"/>
      <c r="E700" s="65" t="str">
        <v>---</v>
      </c>
      <c r="F700" s="65"/>
      <c r="G700" s="65"/>
      <c r="H700" s="65"/>
      <c r="I700" s="65"/>
      <c r="J700" s="65"/>
      <c r="K700" s="65" t="s">
        <v>2014</v>
      </c>
      <c r="L700" s="65"/>
      <c r="M700" s="65"/>
      <c r="N700" s="65"/>
    </row>
    <row r="701" spans="1:14" ht="12.75">
      <c r="A701" s="65"/>
      <c r="B701" s="65"/>
      <c r="C701" s="65"/>
      <c r="D701" s="65"/>
      <c r="E701" s="65" t="str">
        <v>---</v>
      </c>
      <c r="F701" s="65"/>
      <c r="G701" s="65"/>
      <c r="H701" s="65"/>
      <c r="I701" s="65"/>
      <c r="J701" s="65"/>
      <c r="K701" s="65" t="s">
        <v>2015</v>
      </c>
      <c r="L701" s="65"/>
      <c r="M701" s="65"/>
      <c r="N701" s="65"/>
    </row>
    <row r="702" spans="1:14" ht="12.75">
      <c r="A702" s="65"/>
      <c r="B702" s="65"/>
      <c r="C702" s="65"/>
      <c r="D702" s="65"/>
      <c r="E702" s="65" t="str">
        <v>---</v>
      </c>
      <c r="F702" s="65"/>
      <c r="G702" s="65"/>
      <c r="H702" s="65"/>
      <c r="I702" s="65"/>
      <c r="J702" s="65"/>
      <c r="K702" s="65" t="s">
        <v>1693</v>
      </c>
      <c r="L702" s="65"/>
      <c r="M702" s="65"/>
      <c r="N702" s="65"/>
    </row>
    <row r="703" spans="1:14" ht="12.75">
      <c r="A703" s="65"/>
      <c r="B703" s="65"/>
      <c r="C703" s="65"/>
      <c r="D703" s="65"/>
      <c r="E703" s="65" t="str">
        <v>---</v>
      </c>
      <c r="F703" s="65"/>
      <c r="G703" s="65"/>
      <c r="H703" s="65"/>
      <c r="I703" s="65"/>
      <c r="J703" s="65"/>
      <c r="K703" s="65" t="s">
        <v>1694</v>
      </c>
      <c r="L703" s="65"/>
      <c r="M703" s="65"/>
      <c r="N703" s="65"/>
    </row>
    <row r="704" spans="1:14" ht="12.75">
      <c r="A704" s="65"/>
      <c r="B704" s="65"/>
      <c r="C704" s="65"/>
      <c r="D704" s="65"/>
      <c r="E704" s="65" t="str">
        <v>---</v>
      </c>
      <c r="F704" s="65"/>
      <c r="G704" s="65"/>
      <c r="H704" s="65"/>
      <c r="I704" s="65"/>
      <c r="J704" s="65"/>
      <c r="K704" s="65" t="s">
        <v>1695</v>
      </c>
      <c r="L704" s="65"/>
      <c r="M704" s="65"/>
      <c r="N704" s="65"/>
    </row>
    <row r="705" spans="1:14" ht="12.75">
      <c r="A705" s="65"/>
      <c r="B705" s="65"/>
      <c r="C705" s="65"/>
      <c r="D705" s="65"/>
      <c r="E705" s="65" t="str">
        <v>---</v>
      </c>
      <c r="F705" s="65"/>
      <c r="G705" s="65"/>
      <c r="H705" s="65"/>
      <c r="I705" s="65"/>
      <c r="J705" s="65"/>
      <c r="K705" s="65" t="s">
        <v>1696</v>
      </c>
      <c r="L705" s="65"/>
      <c r="M705" s="65"/>
      <c r="N705" s="65"/>
    </row>
    <row r="706" spans="1:14" ht="12.75">
      <c r="A706" s="65"/>
      <c r="B706" s="65"/>
      <c r="C706" s="65"/>
      <c r="D706" s="65"/>
      <c r="E706" s="65" t="str">
        <v>---</v>
      </c>
      <c r="F706" s="65"/>
      <c r="G706" s="65"/>
      <c r="H706" s="65"/>
      <c r="I706" s="65"/>
      <c r="J706" s="65"/>
      <c r="K706" s="65" t="s">
        <v>1697</v>
      </c>
      <c r="L706" s="65"/>
      <c r="M706" s="65"/>
      <c r="N706" s="65"/>
    </row>
    <row r="707" spans="1:14" ht="12.75">
      <c r="A707" s="65"/>
      <c r="B707" s="65"/>
      <c r="C707" s="65"/>
      <c r="D707" s="65"/>
      <c r="E707" s="65" t="str">
        <v>---</v>
      </c>
      <c r="F707" s="65"/>
      <c r="G707" s="65"/>
      <c r="H707" s="65"/>
      <c r="I707" s="65"/>
      <c r="J707" s="65"/>
      <c r="K707" s="65" t="s">
        <v>1698</v>
      </c>
      <c r="L707" s="65"/>
      <c r="M707" s="65"/>
      <c r="N707" s="65"/>
    </row>
    <row r="708" spans="1:14" ht="12.75">
      <c r="A708" s="65"/>
      <c r="B708" s="65"/>
      <c r="C708" s="65"/>
      <c r="D708" s="65"/>
      <c r="E708" s="65" t="str">
        <v>---</v>
      </c>
      <c r="F708" s="65"/>
      <c r="G708" s="65"/>
      <c r="H708" s="65"/>
      <c r="I708" s="65"/>
      <c r="J708" s="65"/>
      <c r="K708" s="65" t="s">
        <v>1700</v>
      </c>
      <c r="L708" s="65"/>
      <c r="M708" s="65"/>
      <c r="N708" s="65"/>
    </row>
    <row r="709" spans="1:14" ht="12.75">
      <c r="A709" s="65"/>
      <c r="B709" s="65"/>
      <c r="C709" s="65"/>
      <c r="D709" s="65"/>
      <c r="E709" s="65" t="str">
        <v>---</v>
      </c>
      <c r="F709" s="65"/>
      <c r="G709" s="65"/>
      <c r="H709" s="65"/>
      <c r="I709" s="65"/>
      <c r="J709" s="65"/>
      <c r="K709" s="65" t="s">
        <v>1701</v>
      </c>
      <c r="L709" s="65"/>
      <c r="M709" s="65"/>
      <c r="N709" s="65"/>
    </row>
    <row r="710" spans="1:14" ht="12.75">
      <c r="A710" s="65"/>
      <c r="B710" s="65"/>
      <c r="C710" s="65"/>
      <c r="D710" s="65"/>
      <c r="E710" s="65" t="str">
        <v>---</v>
      </c>
      <c r="F710" s="65"/>
      <c r="G710" s="65"/>
      <c r="H710" s="65"/>
      <c r="I710" s="65"/>
      <c r="J710" s="65"/>
      <c r="K710" s="65" t="s">
        <v>1702</v>
      </c>
      <c r="L710" s="65"/>
      <c r="M710" s="65"/>
      <c r="N710" s="65"/>
    </row>
    <row r="711" spans="1:14" ht="12.75">
      <c r="A711" s="65"/>
      <c r="B711" s="65"/>
      <c r="C711" s="65"/>
      <c r="D711" s="65"/>
      <c r="E711" s="65" t="str">
        <v>---</v>
      </c>
      <c r="F711" s="65"/>
      <c r="G711" s="65"/>
      <c r="H711" s="65"/>
      <c r="I711" s="65"/>
      <c r="J711" s="65"/>
      <c r="K711" s="65" t="s">
        <v>1703</v>
      </c>
      <c r="L711" s="65"/>
      <c r="M711" s="65"/>
      <c r="N711" s="65"/>
    </row>
    <row r="712" spans="1:14" ht="12.75">
      <c r="A712" s="65"/>
      <c r="B712" s="65"/>
      <c r="C712" s="65"/>
      <c r="D712" s="65"/>
      <c r="E712" s="65" t="str">
        <v>---</v>
      </c>
      <c r="F712" s="65"/>
      <c r="G712" s="65"/>
      <c r="H712" s="65"/>
      <c r="I712" s="65"/>
      <c r="J712" s="65"/>
      <c r="K712" s="65" t="s">
        <v>1704</v>
      </c>
      <c r="L712" s="65"/>
      <c r="M712" s="65"/>
      <c r="N712" s="65"/>
    </row>
    <row r="713" spans="1:14" ht="12.75">
      <c r="A713" s="65"/>
      <c r="B713" s="65"/>
      <c r="C713" s="65"/>
      <c r="D713" s="65"/>
      <c r="E713" s="65" t="str">
        <v>---</v>
      </c>
      <c r="F713" s="65"/>
      <c r="G713" s="65"/>
      <c r="H713" s="65"/>
      <c r="I713" s="65"/>
      <c r="J713" s="65"/>
      <c r="K713" s="65" t="s">
        <v>1705</v>
      </c>
      <c r="L713" s="65"/>
      <c r="M713" s="65"/>
      <c r="N713" s="65"/>
    </row>
    <row r="714" spans="1:14" ht="12.75">
      <c r="A714" s="65"/>
      <c r="B714" s="65"/>
      <c r="C714" s="65"/>
      <c r="D714" s="65"/>
      <c r="E714" s="65" t="str">
        <v>---</v>
      </c>
      <c r="F714" s="65"/>
      <c r="G714" s="65"/>
      <c r="H714" s="65"/>
      <c r="I714" s="65"/>
      <c r="J714" s="65"/>
      <c r="K714" s="65" t="s">
        <v>1706</v>
      </c>
      <c r="L714" s="65"/>
      <c r="M714" s="65"/>
      <c r="N714" s="65"/>
    </row>
    <row r="715" spans="1:14" ht="12.75">
      <c r="A715" s="65"/>
      <c r="B715" s="65"/>
      <c r="C715" s="65"/>
      <c r="D715" s="65"/>
      <c r="E715" s="65" t="str">
        <v>---</v>
      </c>
      <c r="F715" s="65"/>
      <c r="G715" s="65"/>
      <c r="H715" s="65"/>
      <c r="I715" s="65"/>
      <c r="J715" s="65"/>
      <c r="K715" s="65" t="s">
        <v>1707</v>
      </c>
      <c r="L715" s="65"/>
      <c r="M715" s="65"/>
      <c r="N715" s="65"/>
    </row>
    <row r="716" spans="1:14" ht="12.75">
      <c r="A716" s="65"/>
      <c r="B716" s="65"/>
      <c r="C716" s="65"/>
      <c r="D716" s="65"/>
      <c r="E716" s="65" t="str">
        <v>---</v>
      </c>
      <c r="F716" s="65"/>
      <c r="G716" s="65"/>
      <c r="H716" s="65"/>
      <c r="I716" s="65"/>
      <c r="J716" s="65"/>
      <c r="K716" s="65" t="s">
        <v>1708</v>
      </c>
      <c r="L716" s="65"/>
      <c r="M716" s="65"/>
      <c r="N716" s="65"/>
    </row>
    <row r="717" spans="1:14" ht="12.75">
      <c r="A717" s="65"/>
      <c r="B717" s="65"/>
      <c r="C717" s="65"/>
      <c r="D717" s="65"/>
      <c r="E717" s="65" t="str">
        <v>---</v>
      </c>
      <c r="F717" s="65"/>
      <c r="G717" s="65"/>
      <c r="H717" s="65"/>
      <c r="I717" s="65"/>
      <c r="J717" s="65"/>
      <c r="K717" s="65" t="s">
        <v>1709</v>
      </c>
      <c r="L717" s="65"/>
      <c r="M717" s="65"/>
      <c r="N717" s="65"/>
    </row>
    <row r="718" spans="1:14" ht="12.75">
      <c r="A718" s="65"/>
      <c r="B718" s="65"/>
      <c r="C718" s="65"/>
      <c r="D718" s="65"/>
      <c r="E718" s="65" t="str">
        <v>---</v>
      </c>
      <c r="F718" s="65"/>
      <c r="G718" s="65"/>
      <c r="H718" s="65"/>
      <c r="I718" s="65"/>
      <c r="J718" s="65"/>
      <c r="K718" s="65" t="s">
        <v>1710</v>
      </c>
      <c r="L718" s="65"/>
      <c r="M718" s="65"/>
      <c r="N718" s="65"/>
    </row>
    <row r="719" spans="1:14" ht="12.75">
      <c r="A719" s="65"/>
      <c r="B719" s="65"/>
      <c r="C719" s="65"/>
      <c r="D719" s="65"/>
      <c r="E719" s="65" t="str">
        <v>---</v>
      </c>
      <c r="F719" s="65"/>
      <c r="G719" s="65"/>
      <c r="H719" s="65"/>
      <c r="I719" s="65"/>
      <c r="J719" s="65"/>
      <c r="K719" s="65" t="s">
        <v>1711</v>
      </c>
      <c r="L719" s="65"/>
      <c r="M719" s="65"/>
      <c r="N719" s="65"/>
    </row>
    <row r="720" spans="1:14" ht="12.75">
      <c r="A720" s="65"/>
      <c r="B720" s="65"/>
      <c r="C720" s="65"/>
      <c r="D720" s="65"/>
      <c r="E720" s="65" t="str">
        <v>---</v>
      </c>
      <c r="F720" s="65"/>
      <c r="G720" s="65"/>
      <c r="H720" s="65"/>
      <c r="I720" s="65"/>
      <c r="J720" s="65"/>
      <c r="K720" s="65" t="s">
        <v>1712</v>
      </c>
      <c r="L720" s="65"/>
      <c r="M720" s="65"/>
      <c r="N720" s="65"/>
    </row>
    <row r="721" spans="1:14" ht="12.75">
      <c r="A721" s="65"/>
      <c r="B721" s="65"/>
      <c r="C721" s="65"/>
      <c r="D721" s="65"/>
      <c r="E721" s="65" t="str">
        <v>---</v>
      </c>
      <c r="F721" s="65"/>
      <c r="G721" s="65"/>
      <c r="H721" s="65"/>
      <c r="I721" s="65"/>
      <c r="J721" s="65"/>
      <c r="K721" s="65" t="s">
        <v>1713</v>
      </c>
      <c r="L721" s="65"/>
      <c r="M721" s="65"/>
      <c r="N721" s="65"/>
    </row>
    <row r="722" spans="1:14" ht="12.75">
      <c r="A722" s="65"/>
      <c r="B722" s="65"/>
      <c r="C722" s="65"/>
      <c r="D722" s="65"/>
      <c r="E722" s="65" t="str">
        <v>---</v>
      </c>
      <c r="F722" s="65"/>
      <c r="G722" s="65"/>
      <c r="H722" s="65"/>
      <c r="I722" s="65"/>
      <c r="J722" s="65"/>
      <c r="K722" s="65" t="s">
        <v>1714</v>
      </c>
      <c r="L722" s="65"/>
      <c r="M722" s="65"/>
      <c r="N722" s="65"/>
    </row>
    <row r="723" spans="1:14" ht="12.75">
      <c r="A723" s="65"/>
      <c r="B723" s="65"/>
      <c r="C723" s="65"/>
      <c r="D723" s="65"/>
      <c r="E723" s="65" t="str">
        <v>---</v>
      </c>
      <c r="F723" s="65"/>
      <c r="G723" s="65"/>
      <c r="H723" s="65"/>
      <c r="I723" s="65"/>
      <c r="J723" s="65"/>
      <c r="K723" s="65" t="s">
        <v>1715</v>
      </c>
      <c r="L723" s="65"/>
      <c r="M723" s="65"/>
      <c r="N723" s="65"/>
    </row>
    <row r="724" spans="1:14" ht="12.75">
      <c r="A724" s="65"/>
      <c r="B724" s="65"/>
      <c r="C724" s="65"/>
      <c r="D724" s="65"/>
      <c r="E724" s="65" t="str">
        <v>---</v>
      </c>
      <c r="F724" s="65"/>
      <c r="G724" s="65"/>
      <c r="H724" s="65"/>
      <c r="I724" s="65"/>
      <c r="J724" s="65"/>
      <c r="K724" s="65" t="s">
        <v>1716</v>
      </c>
      <c r="L724" s="65"/>
      <c r="M724" s="65"/>
      <c r="N724" s="65"/>
    </row>
    <row r="725" spans="1:14" ht="12.75">
      <c r="A725" s="65"/>
      <c r="B725" s="65"/>
      <c r="C725" s="65"/>
      <c r="D725" s="65"/>
      <c r="E725" s="65" t="str">
        <v>---</v>
      </c>
      <c r="F725" s="65"/>
      <c r="G725" s="65"/>
      <c r="H725" s="65"/>
      <c r="I725" s="65"/>
      <c r="J725" s="65"/>
      <c r="K725" s="65" t="s">
        <v>1717</v>
      </c>
      <c r="L725" s="65"/>
      <c r="M725" s="65"/>
      <c r="N725" s="65"/>
    </row>
    <row r="726" spans="1:14" ht="12.75">
      <c r="A726" s="65"/>
      <c r="B726" s="65"/>
      <c r="C726" s="65"/>
      <c r="D726" s="65"/>
      <c r="E726" s="65" t="str">
        <v>---</v>
      </c>
      <c r="F726" s="65"/>
      <c r="G726" s="65"/>
      <c r="H726" s="65"/>
      <c r="I726" s="65"/>
      <c r="J726" s="65"/>
      <c r="K726" s="65" t="s">
        <v>1718</v>
      </c>
      <c r="L726" s="65"/>
      <c r="M726" s="65"/>
      <c r="N726" s="65"/>
    </row>
    <row r="727" spans="1:14" ht="12.75">
      <c r="A727" s="65"/>
      <c r="B727" s="65"/>
      <c r="C727" s="65"/>
      <c r="D727" s="65"/>
      <c r="E727" s="65" t="str">
        <v>---</v>
      </c>
      <c r="F727" s="65"/>
      <c r="G727" s="65"/>
      <c r="H727" s="65"/>
      <c r="I727" s="65"/>
      <c r="J727" s="65"/>
      <c r="K727" s="65" t="s">
        <v>1719</v>
      </c>
      <c r="L727" s="65"/>
      <c r="M727" s="65"/>
      <c r="N727" s="65"/>
    </row>
    <row r="728" spans="1:14" ht="12.75">
      <c r="A728" s="65"/>
      <c r="B728" s="65"/>
      <c r="C728" s="65"/>
      <c r="D728" s="65"/>
      <c r="E728" s="65" t="str">
        <v>---</v>
      </c>
      <c r="F728" s="65"/>
      <c r="G728" s="65"/>
      <c r="H728" s="65"/>
      <c r="I728" s="65"/>
      <c r="J728" s="65"/>
      <c r="K728" s="65" t="s">
        <v>1720</v>
      </c>
      <c r="L728" s="65"/>
      <c r="M728" s="65"/>
      <c r="N728" s="65"/>
    </row>
    <row r="729" spans="1:14" ht="12.75">
      <c r="A729" s="65"/>
      <c r="B729" s="65"/>
      <c r="C729" s="65"/>
      <c r="D729" s="65"/>
      <c r="E729" s="65" t="str">
        <v>---</v>
      </c>
      <c r="F729" s="65"/>
      <c r="G729" s="65"/>
      <c r="H729" s="65"/>
      <c r="I729" s="65"/>
      <c r="J729" s="65"/>
      <c r="K729" s="65" t="s">
        <v>1721</v>
      </c>
      <c r="L729" s="65"/>
      <c r="M729" s="65"/>
      <c r="N729" s="65"/>
    </row>
    <row r="730" spans="1:14" ht="12.75">
      <c r="A730" s="65"/>
      <c r="B730" s="65"/>
      <c r="C730" s="65"/>
      <c r="D730" s="65"/>
      <c r="E730" s="65" t="str">
        <v>---</v>
      </c>
      <c r="F730" s="65"/>
      <c r="G730" s="65"/>
      <c r="H730" s="65"/>
      <c r="I730" s="65"/>
      <c r="J730" s="65"/>
      <c r="K730" s="65" t="s">
        <v>1722</v>
      </c>
      <c r="L730" s="65"/>
      <c r="M730" s="65"/>
      <c r="N730" s="65"/>
    </row>
    <row r="731" spans="1:14" ht="12.75">
      <c r="A731" s="65"/>
      <c r="B731" s="65"/>
      <c r="C731" s="65"/>
      <c r="D731" s="65"/>
      <c r="E731" s="65" t="str">
        <v>---</v>
      </c>
      <c r="F731" s="65"/>
      <c r="G731" s="65"/>
      <c r="H731" s="65"/>
      <c r="I731" s="65"/>
      <c r="J731" s="65"/>
      <c r="K731" s="65" t="s">
        <v>1723</v>
      </c>
      <c r="L731" s="65"/>
      <c r="M731" s="65"/>
      <c r="N731" s="65"/>
    </row>
    <row r="732" spans="1:14" ht="12.75">
      <c r="A732" s="65"/>
      <c r="B732" s="65"/>
      <c r="C732" s="65"/>
      <c r="D732" s="65"/>
      <c r="E732" s="65" t="str">
        <v>---</v>
      </c>
      <c r="F732" s="65"/>
      <c r="G732" s="65"/>
      <c r="H732" s="65"/>
      <c r="I732" s="65"/>
      <c r="J732" s="65"/>
      <c r="K732" s="65" t="s">
        <v>1724</v>
      </c>
      <c r="L732" s="65"/>
      <c r="M732" s="65"/>
      <c r="N732" s="65"/>
    </row>
    <row r="733" spans="1:14" ht="12.75">
      <c r="A733" s="65"/>
      <c r="B733" s="65"/>
      <c r="C733" s="65"/>
      <c r="D733" s="65"/>
      <c r="E733" s="65" t="str">
        <v>---</v>
      </c>
      <c r="F733" s="65"/>
      <c r="G733" s="65"/>
      <c r="H733" s="65"/>
      <c r="I733" s="65"/>
      <c r="J733" s="65"/>
      <c r="K733" s="65" t="s">
        <v>1725</v>
      </c>
      <c r="L733" s="65"/>
      <c r="M733" s="65"/>
      <c r="N733" s="65"/>
    </row>
    <row r="734" spans="1:14" ht="12.75">
      <c r="A734" s="65"/>
      <c r="B734" s="65"/>
      <c r="C734" s="65"/>
      <c r="D734" s="65"/>
      <c r="E734" s="65" t="str">
        <v>---</v>
      </c>
      <c r="F734" s="65"/>
      <c r="G734" s="65"/>
      <c r="H734" s="65"/>
      <c r="I734" s="65"/>
      <c r="J734" s="65"/>
      <c r="K734" s="65" t="s">
        <v>1726</v>
      </c>
      <c r="L734" s="65"/>
      <c r="M734" s="65"/>
      <c r="N734" s="65"/>
    </row>
    <row r="735" spans="1:14" ht="12.75">
      <c r="A735" s="65"/>
      <c r="B735" s="65"/>
      <c r="C735" s="65"/>
      <c r="D735" s="65"/>
      <c r="E735" s="65" t="str">
        <v>---</v>
      </c>
      <c r="F735" s="65"/>
      <c r="G735" s="65"/>
      <c r="H735" s="65"/>
      <c r="I735" s="65"/>
      <c r="J735" s="65"/>
      <c r="K735" s="65" t="s">
        <v>1727</v>
      </c>
      <c r="L735" s="65"/>
      <c r="M735" s="65"/>
      <c r="N735" s="65"/>
    </row>
    <row r="736" spans="1:14" ht="12.75">
      <c r="A736" s="65"/>
      <c r="B736" s="65"/>
      <c r="C736" s="65"/>
      <c r="D736" s="65"/>
      <c r="E736" s="65" t="str">
        <v>---</v>
      </c>
      <c r="F736" s="65"/>
      <c r="G736" s="65"/>
      <c r="H736" s="65"/>
      <c r="I736" s="65"/>
      <c r="J736" s="65"/>
      <c r="K736" s="65" t="s">
        <v>1728</v>
      </c>
      <c r="L736" s="65"/>
      <c r="M736" s="65"/>
      <c r="N736" s="65"/>
    </row>
    <row r="737" spans="1:14" ht="12.75">
      <c r="A737" s="65"/>
      <c r="B737" s="65"/>
      <c r="C737" s="65"/>
      <c r="D737" s="65"/>
      <c r="E737" s="65" t="str">
        <v>---</v>
      </c>
      <c r="F737" s="65"/>
      <c r="G737" s="65"/>
      <c r="H737" s="65"/>
      <c r="I737" s="65"/>
      <c r="J737" s="65"/>
      <c r="K737" s="65" t="s">
        <v>1729</v>
      </c>
      <c r="L737" s="65"/>
      <c r="M737" s="65"/>
      <c r="N737" s="65"/>
    </row>
    <row r="738" spans="1:14" ht="12.75">
      <c r="A738" s="65"/>
      <c r="B738" s="65"/>
      <c r="C738" s="65"/>
      <c r="D738" s="65"/>
      <c r="E738" s="65" t="str">
        <v>---</v>
      </c>
      <c r="F738" s="65"/>
      <c r="G738" s="65"/>
      <c r="H738" s="65"/>
      <c r="I738" s="65"/>
      <c r="J738" s="65"/>
      <c r="K738" s="65" t="s">
        <v>1730</v>
      </c>
      <c r="L738" s="65"/>
      <c r="M738" s="65"/>
      <c r="N738" s="65"/>
    </row>
    <row r="739" spans="1:14" ht="12.75">
      <c r="A739" s="65"/>
      <c r="B739" s="65"/>
      <c r="C739" s="65"/>
      <c r="D739" s="65"/>
      <c r="E739" s="65" t="str">
        <v>---</v>
      </c>
      <c r="F739" s="65"/>
      <c r="G739" s="65"/>
      <c r="H739" s="65"/>
      <c r="I739" s="65"/>
      <c r="J739" s="65"/>
      <c r="K739" s="65" t="s">
        <v>1731</v>
      </c>
      <c r="L739" s="65"/>
      <c r="M739" s="65"/>
      <c r="N739" s="65"/>
    </row>
    <row r="740" spans="1:14" ht="12.75">
      <c r="A740" s="65"/>
      <c r="B740" s="65"/>
      <c r="C740" s="65"/>
      <c r="D740" s="65"/>
      <c r="E740" s="65" t="str">
        <v>---</v>
      </c>
      <c r="F740" s="65"/>
      <c r="G740" s="65"/>
      <c r="H740" s="65"/>
      <c r="I740" s="65"/>
      <c r="J740" s="65"/>
      <c r="K740" s="65" t="s">
        <v>1732</v>
      </c>
      <c r="L740" s="65"/>
      <c r="M740" s="65"/>
      <c r="N740" s="65"/>
    </row>
    <row r="741" spans="1:14" ht="12.75">
      <c r="A741" s="65"/>
      <c r="B741" s="65"/>
      <c r="C741" s="65"/>
      <c r="D741" s="65"/>
      <c r="E741" s="65" t="str">
        <v>---</v>
      </c>
      <c r="F741" s="65"/>
      <c r="G741" s="65"/>
      <c r="H741" s="65"/>
      <c r="I741" s="65"/>
      <c r="J741" s="65"/>
      <c r="K741" s="65" t="s">
        <v>1733</v>
      </c>
      <c r="L741" s="65"/>
      <c r="M741" s="65"/>
      <c r="N741" s="65"/>
    </row>
    <row r="742" spans="1:14" ht="12.75">
      <c r="A742" s="65"/>
      <c r="B742" s="65"/>
      <c r="C742" s="65"/>
      <c r="D742" s="65"/>
      <c r="E742" s="65" t="str">
        <v>---</v>
      </c>
      <c r="F742" s="65"/>
      <c r="G742" s="65"/>
      <c r="H742" s="65"/>
      <c r="I742" s="65"/>
      <c r="J742" s="65"/>
      <c r="K742" s="65" t="s">
        <v>1734</v>
      </c>
      <c r="L742" s="65"/>
      <c r="M742" s="65"/>
      <c r="N742" s="65"/>
    </row>
    <row r="743" spans="1:14" ht="12.75">
      <c r="A743" s="65"/>
      <c r="B743" s="65"/>
      <c r="C743" s="65"/>
      <c r="D743" s="65"/>
      <c r="E743" s="65" t="str">
        <v>---</v>
      </c>
      <c r="F743" s="65"/>
      <c r="G743" s="65"/>
      <c r="H743" s="65"/>
      <c r="I743" s="65"/>
      <c r="J743" s="65"/>
      <c r="K743" s="65" t="s">
        <v>1735</v>
      </c>
      <c r="L743" s="65"/>
      <c r="M743" s="65"/>
      <c r="N743" s="65"/>
    </row>
    <row r="744" spans="1:14" ht="12.75">
      <c r="A744" s="65"/>
      <c r="B744" s="65"/>
      <c r="C744" s="65"/>
      <c r="D744" s="65"/>
      <c r="E744" s="65" t="str">
        <v>---</v>
      </c>
      <c r="F744" s="65"/>
      <c r="G744" s="65"/>
      <c r="H744" s="65"/>
      <c r="I744" s="65"/>
      <c r="J744" s="65"/>
      <c r="K744" s="65" t="s">
        <v>1736</v>
      </c>
      <c r="L744" s="65"/>
      <c r="M744" s="65"/>
      <c r="N744" s="65"/>
    </row>
    <row r="745" spans="1:14" ht="12.75">
      <c r="A745" s="65"/>
      <c r="B745" s="65"/>
      <c r="C745" s="65"/>
      <c r="D745" s="65"/>
      <c r="E745" s="65" t="str">
        <v>---</v>
      </c>
      <c r="F745" s="65"/>
      <c r="G745" s="65"/>
      <c r="H745" s="65"/>
      <c r="I745" s="65"/>
      <c r="J745" s="65"/>
      <c r="K745" s="65" t="s">
        <v>1737</v>
      </c>
      <c r="L745" s="65"/>
      <c r="M745" s="65"/>
      <c r="N745" s="65"/>
    </row>
    <row r="746" spans="1:14" ht="12.75">
      <c r="A746" s="65"/>
      <c r="B746" s="65"/>
      <c r="C746" s="65"/>
      <c r="D746" s="65"/>
      <c r="E746" s="65" t="str">
        <v>---</v>
      </c>
      <c r="F746" s="65"/>
      <c r="G746" s="65"/>
      <c r="H746" s="65"/>
      <c r="I746" s="65"/>
      <c r="J746" s="65"/>
      <c r="K746" s="65" t="s">
        <v>1738</v>
      </c>
      <c r="L746" s="65"/>
      <c r="M746" s="65"/>
      <c r="N746" s="65"/>
    </row>
    <row r="747" spans="1:14" ht="12.75">
      <c r="A747" s="65"/>
      <c r="B747" s="65"/>
      <c r="C747" s="65"/>
      <c r="D747" s="65"/>
      <c r="E747" s="65" t="str">
        <v>---</v>
      </c>
      <c r="F747" s="65"/>
      <c r="G747" s="65"/>
      <c r="H747" s="65"/>
      <c r="I747" s="65"/>
      <c r="J747" s="65"/>
      <c r="K747" s="65" t="s">
        <v>1739</v>
      </c>
      <c r="L747" s="65"/>
      <c r="M747" s="65"/>
      <c r="N747" s="65"/>
    </row>
    <row r="748" spans="1:14" ht="12.75">
      <c r="A748" s="65"/>
      <c r="B748" s="65"/>
      <c r="C748" s="65"/>
      <c r="D748" s="65"/>
      <c r="E748" s="65" t="str">
        <v>---</v>
      </c>
      <c r="F748" s="65"/>
      <c r="G748" s="65"/>
      <c r="H748" s="65"/>
      <c r="I748" s="65"/>
      <c r="J748" s="65"/>
      <c r="K748" s="65" t="s">
        <v>1740</v>
      </c>
      <c r="L748" s="65"/>
      <c r="M748" s="65"/>
      <c r="N748" s="65"/>
    </row>
    <row r="749" spans="1:14" ht="12.75">
      <c r="A749" s="65"/>
      <c r="B749" s="65"/>
      <c r="C749" s="65"/>
      <c r="D749" s="65"/>
      <c r="E749" s="65" t="str">
        <v>---</v>
      </c>
      <c r="F749" s="65"/>
      <c r="G749" s="65"/>
      <c r="H749" s="65"/>
      <c r="I749" s="65"/>
      <c r="J749" s="65"/>
      <c r="K749" s="65" t="s">
        <v>1741</v>
      </c>
      <c r="L749" s="65"/>
      <c r="M749" s="65"/>
      <c r="N749" s="65"/>
    </row>
    <row r="750" spans="1:14" ht="12.75">
      <c r="A750" s="65"/>
      <c r="B750" s="65"/>
      <c r="C750" s="65"/>
      <c r="D750" s="65"/>
      <c r="E750" s="65" t="str">
        <v>---</v>
      </c>
      <c r="F750" s="65"/>
      <c r="G750" s="65"/>
      <c r="H750" s="65"/>
      <c r="I750" s="65"/>
      <c r="J750" s="65"/>
      <c r="K750" s="65" t="s">
        <v>1742</v>
      </c>
      <c r="L750" s="65"/>
      <c r="M750" s="65"/>
      <c r="N750" s="65"/>
    </row>
    <row r="751" spans="1:14" ht="12.75">
      <c r="A751" s="65"/>
      <c r="B751" s="65"/>
      <c r="C751" s="65"/>
      <c r="D751" s="65"/>
      <c r="E751" s="65" t="str">
        <v>---</v>
      </c>
      <c r="F751" s="65"/>
      <c r="G751" s="65"/>
      <c r="H751" s="65"/>
      <c r="I751" s="65"/>
      <c r="J751" s="65"/>
      <c r="K751" s="65" t="s">
        <v>1743</v>
      </c>
      <c r="L751" s="65"/>
      <c r="M751" s="65"/>
      <c r="N751" s="65"/>
    </row>
    <row r="752" spans="1:14" ht="12.75">
      <c r="A752" s="65"/>
      <c r="B752" s="65"/>
      <c r="C752" s="65"/>
      <c r="D752" s="65"/>
      <c r="E752" s="65" t="str">
        <v>---</v>
      </c>
      <c r="F752" s="65"/>
      <c r="G752" s="65"/>
      <c r="H752" s="65"/>
      <c r="I752" s="65"/>
      <c r="J752" s="65"/>
      <c r="K752" s="65" t="s">
        <v>1744</v>
      </c>
      <c r="L752" s="65"/>
      <c r="M752" s="65"/>
      <c r="N752" s="65"/>
    </row>
    <row r="753" spans="1:14" ht="12.75">
      <c r="A753" s="65"/>
      <c r="B753" s="65"/>
      <c r="C753" s="65"/>
      <c r="D753" s="65"/>
      <c r="E753" s="65" t="str">
        <v>---</v>
      </c>
      <c r="F753" s="65"/>
      <c r="G753" s="65"/>
      <c r="H753" s="65"/>
      <c r="I753" s="65"/>
      <c r="J753" s="65"/>
      <c r="K753" s="65" t="s">
        <v>1745</v>
      </c>
      <c r="L753" s="65"/>
      <c r="M753" s="65"/>
      <c r="N753" s="65"/>
    </row>
    <row r="754" spans="1:14" ht="12.75">
      <c r="A754" s="65"/>
      <c r="B754" s="65"/>
      <c r="C754" s="65"/>
      <c r="D754" s="65"/>
      <c r="E754" s="65" t="str">
        <v>---</v>
      </c>
      <c r="F754" s="65"/>
      <c r="G754" s="65"/>
      <c r="H754" s="65"/>
      <c r="I754" s="65"/>
      <c r="J754" s="65"/>
      <c r="K754" s="65" t="s">
        <v>1746</v>
      </c>
      <c r="L754" s="65"/>
      <c r="M754" s="65"/>
      <c r="N754" s="65"/>
    </row>
    <row r="755" spans="1:14" ht="12.75">
      <c r="A755" s="65"/>
      <c r="B755" s="65"/>
      <c r="C755" s="65"/>
      <c r="D755" s="65"/>
      <c r="E755" s="65" t="str">
        <v>---</v>
      </c>
      <c r="F755" s="65"/>
      <c r="G755" s="65"/>
      <c r="H755" s="65"/>
      <c r="I755" s="65"/>
      <c r="J755" s="65"/>
      <c r="K755" s="65" t="s">
        <v>1747</v>
      </c>
      <c r="L755" s="65"/>
      <c r="M755" s="65"/>
      <c r="N755" s="65"/>
    </row>
    <row r="756" spans="1:14" ht="12.75">
      <c r="A756" s="65"/>
      <c r="B756" s="65"/>
      <c r="C756" s="65"/>
      <c r="D756" s="65"/>
      <c r="E756" s="65" t="str">
        <v>---</v>
      </c>
      <c r="F756" s="65"/>
      <c r="G756" s="65"/>
      <c r="H756" s="65"/>
      <c r="I756" s="65"/>
      <c r="J756" s="65"/>
      <c r="K756" s="65" t="s">
        <v>1748</v>
      </c>
      <c r="L756" s="65"/>
      <c r="M756" s="65"/>
      <c r="N756" s="65"/>
    </row>
    <row r="757" spans="1:14" ht="12.75">
      <c r="A757" s="65"/>
      <c r="B757" s="65"/>
      <c r="C757" s="65"/>
      <c r="D757" s="65"/>
      <c r="E757" s="65" t="str">
        <v>---</v>
      </c>
      <c r="F757" s="65"/>
      <c r="G757" s="65"/>
      <c r="H757" s="65"/>
      <c r="I757" s="65"/>
      <c r="J757" s="65"/>
      <c r="K757" s="65" t="s">
        <v>1749</v>
      </c>
      <c r="L757" s="65"/>
      <c r="M757" s="65"/>
      <c r="N757" s="65"/>
    </row>
    <row r="758" spans="1:14" ht="12.75">
      <c r="A758" s="65"/>
      <c r="B758" s="65"/>
      <c r="C758" s="65"/>
      <c r="D758" s="65"/>
      <c r="E758" s="65" t="str">
        <v>---</v>
      </c>
      <c r="F758" s="65"/>
      <c r="G758" s="65"/>
      <c r="H758" s="65"/>
      <c r="I758" s="65"/>
      <c r="J758" s="65"/>
      <c r="K758" s="65" t="s">
        <v>1750</v>
      </c>
      <c r="L758" s="65"/>
      <c r="M758" s="65"/>
      <c r="N758" s="65"/>
    </row>
    <row r="759" spans="1:14" ht="12.75">
      <c r="A759" s="65"/>
      <c r="B759" s="65"/>
      <c r="C759" s="65"/>
      <c r="D759" s="65"/>
      <c r="E759" s="65" t="str">
        <v>---</v>
      </c>
      <c r="F759" s="65"/>
      <c r="G759" s="65"/>
      <c r="H759" s="65"/>
      <c r="I759" s="65"/>
      <c r="J759" s="65"/>
      <c r="K759" s="65" t="s">
        <v>1751</v>
      </c>
      <c r="L759" s="65"/>
      <c r="M759" s="65"/>
      <c r="N759" s="65"/>
    </row>
    <row r="760" spans="1:14" ht="12.75">
      <c r="A760" s="65"/>
      <c r="B760" s="65"/>
      <c r="C760" s="65"/>
      <c r="D760" s="65"/>
      <c r="E760" s="65" t="str">
        <v>---</v>
      </c>
      <c r="F760" s="65"/>
      <c r="G760" s="65"/>
      <c r="H760" s="65"/>
      <c r="I760" s="65"/>
      <c r="J760" s="65"/>
      <c r="K760" s="65" t="s">
        <v>1752</v>
      </c>
      <c r="L760" s="65"/>
      <c r="M760" s="65"/>
      <c r="N760" s="65"/>
    </row>
    <row r="761" spans="1:14" ht="12.75">
      <c r="A761" s="65"/>
      <c r="B761" s="65"/>
      <c r="C761" s="65"/>
      <c r="D761" s="65"/>
      <c r="E761" s="65" t="str">
        <v>---</v>
      </c>
      <c r="F761" s="65"/>
      <c r="G761" s="65"/>
      <c r="H761" s="65"/>
      <c r="I761" s="65"/>
      <c r="J761" s="65"/>
      <c r="K761" s="65" t="s">
        <v>1753</v>
      </c>
      <c r="L761" s="65"/>
      <c r="M761" s="65"/>
      <c r="N761" s="65"/>
    </row>
    <row r="762" spans="1:14" ht="12.75">
      <c r="A762" s="65"/>
      <c r="B762" s="65"/>
      <c r="C762" s="65"/>
      <c r="D762" s="65"/>
      <c r="E762" s="65" t="str">
        <v>---</v>
      </c>
      <c r="F762" s="65"/>
      <c r="G762" s="65"/>
      <c r="H762" s="65"/>
      <c r="I762" s="65"/>
      <c r="J762" s="65"/>
      <c r="K762" s="65" t="s">
        <v>1754</v>
      </c>
      <c r="L762" s="65"/>
      <c r="M762" s="65"/>
      <c r="N762" s="65"/>
    </row>
    <row r="763" spans="1:14" ht="12.75">
      <c r="A763" s="65"/>
      <c r="B763" s="65"/>
      <c r="C763" s="65"/>
      <c r="D763" s="65"/>
      <c r="E763" s="65" t="str">
        <v>---</v>
      </c>
      <c r="F763" s="65"/>
      <c r="G763" s="65"/>
      <c r="H763" s="65"/>
      <c r="I763" s="65"/>
      <c r="J763" s="65"/>
      <c r="K763" s="65" t="s">
        <v>1755</v>
      </c>
      <c r="L763" s="65"/>
      <c r="M763" s="65"/>
      <c r="N763" s="65"/>
    </row>
    <row r="764" spans="1:14" ht="12.75">
      <c r="A764" s="65"/>
      <c r="B764" s="65"/>
      <c r="C764" s="65"/>
      <c r="D764" s="65"/>
      <c r="E764" s="65" t="str">
        <v>---</v>
      </c>
      <c r="F764" s="65"/>
      <c r="G764" s="65"/>
      <c r="H764" s="65"/>
      <c r="I764" s="65"/>
      <c r="J764" s="65"/>
      <c r="K764" s="65" t="s">
        <v>1756</v>
      </c>
      <c r="L764" s="65"/>
      <c r="M764" s="65"/>
      <c r="N764" s="65"/>
    </row>
    <row r="765" spans="1:14" ht="12.75">
      <c r="A765" s="65"/>
      <c r="B765" s="65"/>
      <c r="C765" s="65"/>
      <c r="D765" s="65"/>
      <c r="E765" s="65" t="str">
        <v>---</v>
      </c>
      <c r="F765" s="65"/>
      <c r="G765" s="65"/>
      <c r="H765" s="65"/>
      <c r="I765" s="65"/>
      <c r="J765" s="65"/>
      <c r="K765" s="65" t="s">
        <v>1757</v>
      </c>
      <c r="L765" s="65"/>
      <c r="M765" s="65"/>
      <c r="N765" s="65"/>
    </row>
    <row r="766" spans="1:14" ht="12.75">
      <c r="A766" s="65"/>
      <c r="B766" s="65"/>
      <c r="C766" s="65"/>
      <c r="D766" s="65"/>
      <c r="E766" s="65" t="str">
        <v>---</v>
      </c>
      <c r="F766" s="65"/>
      <c r="G766" s="65"/>
      <c r="H766" s="65"/>
      <c r="I766" s="65"/>
      <c r="J766" s="65"/>
      <c r="K766" s="65" t="s">
        <v>1758</v>
      </c>
      <c r="L766" s="65"/>
      <c r="M766" s="65"/>
      <c r="N766" s="65"/>
    </row>
    <row r="767" spans="1:14" ht="12.75">
      <c r="A767" s="65"/>
      <c r="B767" s="65"/>
      <c r="C767" s="65"/>
      <c r="D767" s="65"/>
      <c r="E767" s="65" t="str">
        <v>---</v>
      </c>
      <c r="F767" s="65"/>
      <c r="G767" s="65"/>
      <c r="H767" s="65"/>
      <c r="I767" s="65"/>
      <c r="J767" s="65"/>
      <c r="K767" s="65" t="s">
        <v>1759</v>
      </c>
      <c r="L767" s="65"/>
      <c r="M767" s="65"/>
      <c r="N767" s="65"/>
    </row>
    <row r="768" spans="1:14" ht="12.75">
      <c r="A768" s="65"/>
      <c r="B768" s="65"/>
      <c r="C768" s="65"/>
      <c r="D768" s="65"/>
      <c r="E768" s="65" t="str">
        <v>---</v>
      </c>
      <c r="F768" s="65"/>
      <c r="G768" s="65"/>
      <c r="H768" s="65"/>
      <c r="I768" s="65"/>
      <c r="J768" s="65"/>
      <c r="K768" s="65" t="s">
        <v>1760</v>
      </c>
      <c r="L768" s="65"/>
      <c r="M768" s="65"/>
      <c r="N768" s="65"/>
    </row>
    <row r="769" spans="1:14" ht="12.75">
      <c r="A769" s="65"/>
      <c r="B769" s="65"/>
      <c r="C769" s="65"/>
      <c r="D769" s="65"/>
      <c r="E769" s="65" t="str">
        <v>---</v>
      </c>
      <c r="F769" s="65"/>
      <c r="G769" s="65"/>
      <c r="H769" s="65"/>
      <c r="I769" s="65"/>
      <c r="J769" s="65"/>
      <c r="K769" s="65" t="s">
        <v>1761</v>
      </c>
      <c r="L769" s="65"/>
      <c r="M769" s="65"/>
      <c r="N769" s="65"/>
    </row>
    <row r="770" spans="1:14" ht="12.75">
      <c r="A770" s="65"/>
      <c r="B770" s="65"/>
      <c r="C770" s="65"/>
      <c r="D770" s="65"/>
      <c r="E770" s="65" t="str">
        <v>---</v>
      </c>
      <c r="F770" s="65"/>
      <c r="G770" s="65"/>
      <c r="H770" s="65"/>
      <c r="I770" s="65"/>
      <c r="J770" s="65"/>
      <c r="K770" s="65" t="s">
        <v>1762</v>
      </c>
      <c r="L770" s="65"/>
      <c r="M770" s="65"/>
      <c r="N770" s="65"/>
    </row>
    <row r="771" spans="1:14" ht="12.75">
      <c r="A771" s="65"/>
      <c r="B771" s="65"/>
      <c r="C771" s="65"/>
      <c r="D771" s="65"/>
      <c r="E771" s="65" t="str">
        <v>---</v>
      </c>
      <c r="F771" s="65"/>
      <c r="G771" s="65"/>
      <c r="H771" s="65"/>
      <c r="I771" s="65"/>
      <c r="J771" s="65"/>
      <c r="K771" s="65" t="s">
        <v>1763</v>
      </c>
      <c r="L771" s="65"/>
      <c r="M771" s="65"/>
      <c r="N771" s="65"/>
    </row>
    <row r="772" spans="1:14" ht="12.75">
      <c r="A772" s="65"/>
      <c r="B772" s="65"/>
      <c r="C772" s="65"/>
      <c r="D772" s="65"/>
      <c r="E772" s="65" t="str">
        <v>---</v>
      </c>
      <c r="F772" s="65"/>
      <c r="G772" s="65"/>
      <c r="H772" s="65"/>
      <c r="I772" s="65"/>
      <c r="J772" s="65"/>
      <c r="K772" s="65" t="s">
        <v>1764</v>
      </c>
      <c r="L772" s="65"/>
      <c r="M772" s="65"/>
      <c r="N772" s="65"/>
    </row>
    <row r="773" spans="1:14" ht="12.75">
      <c r="A773" s="65"/>
      <c r="B773" s="65"/>
      <c r="C773" s="65"/>
      <c r="D773" s="65"/>
      <c r="E773" s="65" t="str">
        <v>---</v>
      </c>
      <c r="F773" s="65"/>
      <c r="G773" s="65"/>
      <c r="H773" s="65"/>
      <c r="I773" s="65"/>
      <c r="J773" s="65"/>
      <c r="K773" s="65" t="s">
        <v>1765</v>
      </c>
      <c r="L773" s="65"/>
      <c r="M773" s="65"/>
      <c r="N773" s="65"/>
    </row>
    <row r="774" spans="1:14" ht="12.75">
      <c r="A774" s="65"/>
      <c r="B774" s="65"/>
      <c r="C774" s="65"/>
      <c r="D774" s="65"/>
      <c r="E774" s="65" t="str">
        <v>---</v>
      </c>
      <c r="F774" s="65"/>
      <c r="G774" s="65"/>
      <c r="H774" s="65"/>
      <c r="I774" s="65"/>
      <c r="J774" s="65"/>
      <c r="K774" s="65" t="s">
        <v>1766</v>
      </c>
      <c r="L774" s="65"/>
      <c r="M774" s="65"/>
      <c r="N774" s="65"/>
    </row>
    <row r="775" spans="1:14" ht="12.75">
      <c r="A775" s="65"/>
      <c r="B775" s="65"/>
      <c r="C775" s="65"/>
      <c r="D775" s="65"/>
      <c r="E775" s="65" t="str">
        <v>---</v>
      </c>
      <c r="F775" s="65"/>
      <c r="G775" s="65"/>
      <c r="H775" s="65"/>
      <c r="I775" s="65"/>
      <c r="J775" s="65"/>
      <c r="K775" s="65" t="s">
        <v>1767</v>
      </c>
      <c r="L775" s="65"/>
      <c r="M775" s="65"/>
      <c r="N775" s="65"/>
    </row>
    <row r="776" spans="1:14" ht="12.75">
      <c r="A776" s="65"/>
      <c r="B776" s="65"/>
      <c r="C776" s="65"/>
      <c r="D776" s="65"/>
      <c r="E776" s="65" t="str">
        <v>---</v>
      </c>
      <c r="F776" s="65"/>
      <c r="G776" s="65"/>
      <c r="H776" s="65"/>
      <c r="I776" s="65"/>
      <c r="J776" s="65"/>
      <c r="K776" s="65" t="s">
        <v>1768</v>
      </c>
      <c r="L776" s="65"/>
      <c r="M776" s="65"/>
      <c r="N776" s="65"/>
    </row>
    <row r="777" spans="1:14" ht="12.75">
      <c r="A777" s="65"/>
      <c r="B777" s="65"/>
      <c r="C777" s="65"/>
      <c r="D777" s="65"/>
      <c r="E777" s="65" t="str">
        <v>---</v>
      </c>
      <c r="F777" s="65"/>
      <c r="G777" s="65"/>
      <c r="H777" s="65"/>
      <c r="I777" s="65"/>
      <c r="J777" s="65"/>
      <c r="K777" s="65" t="s">
        <v>1769</v>
      </c>
      <c r="L777" s="65"/>
      <c r="M777" s="65"/>
      <c r="N777" s="65"/>
    </row>
    <row r="778" spans="1:14" ht="12.75">
      <c r="A778" s="65"/>
      <c r="B778" s="65"/>
      <c r="C778" s="65"/>
      <c r="D778" s="65"/>
      <c r="E778" s="65" t="str">
        <v>---</v>
      </c>
      <c r="F778" s="65"/>
      <c r="G778" s="65"/>
      <c r="H778" s="65"/>
      <c r="I778" s="65"/>
      <c r="J778" s="65"/>
      <c r="K778" s="65" t="s">
        <v>1770</v>
      </c>
      <c r="L778" s="65"/>
      <c r="M778" s="65"/>
      <c r="N778" s="65"/>
    </row>
    <row r="779" spans="1:14" ht="12.75">
      <c r="A779" s="65"/>
      <c r="B779" s="65"/>
      <c r="C779" s="65"/>
      <c r="D779" s="65"/>
      <c r="E779" s="65" t="str">
        <v>---</v>
      </c>
      <c r="F779" s="65"/>
      <c r="G779" s="65"/>
      <c r="H779" s="65"/>
      <c r="I779" s="65"/>
      <c r="J779" s="65"/>
      <c r="K779" s="65" t="s">
        <v>1771</v>
      </c>
      <c r="L779" s="65"/>
      <c r="M779" s="65"/>
      <c r="N779" s="65"/>
    </row>
    <row r="780" spans="1:14" ht="12.75">
      <c r="A780" s="65"/>
      <c r="B780" s="65"/>
      <c r="C780" s="65"/>
      <c r="D780" s="65"/>
      <c r="E780" s="65" t="str">
        <v>---</v>
      </c>
      <c r="F780" s="65"/>
      <c r="G780" s="65"/>
      <c r="H780" s="65"/>
      <c r="I780" s="65"/>
      <c r="J780" s="65"/>
      <c r="K780" s="65" t="s">
        <v>1772</v>
      </c>
      <c r="L780" s="65"/>
      <c r="M780" s="65"/>
      <c r="N780" s="65"/>
    </row>
    <row r="781" spans="1:14" ht="12.75">
      <c r="A781" s="65"/>
      <c r="B781" s="65"/>
      <c r="C781" s="65"/>
      <c r="D781" s="65"/>
      <c r="E781" s="65" t="str">
        <v>---</v>
      </c>
      <c r="F781" s="65"/>
      <c r="G781" s="65"/>
      <c r="H781" s="65"/>
      <c r="I781" s="65"/>
      <c r="J781" s="65"/>
      <c r="K781" s="65" t="s">
        <v>1773</v>
      </c>
      <c r="L781" s="65"/>
      <c r="M781" s="65"/>
      <c r="N781" s="65"/>
    </row>
    <row r="782" spans="1:14" ht="12.75">
      <c r="A782" s="65"/>
      <c r="B782" s="65"/>
      <c r="C782" s="65"/>
      <c r="D782" s="65"/>
      <c r="E782" s="65" t="str">
        <v>---</v>
      </c>
      <c r="F782" s="65"/>
      <c r="G782" s="65"/>
      <c r="H782" s="65"/>
      <c r="I782" s="65"/>
      <c r="J782" s="65"/>
      <c r="K782" s="65" t="s">
        <v>1774</v>
      </c>
      <c r="L782" s="65"/>
      <c r="M782" s="65"/>
      <c r="N782" s="65"/>
    </row>
    <row r="783" spans="1:14" ht="12.75">
      <c r="A783" s="65"/>
      <c r="B783" s="65"/>
      <c r="C783" s="65"/>
      <c r="D783" s="65"/>
      <c r="E783" s="65" t="str">
        <v>---</v>
      </c>
      <c r="F783" s="65"/>
      <c r="G783" s="65"/>
      <c r="H783" s="65"/>
      <c r="I783" s="65"/>
      <c r="J783" s="65"/>
      <c r="K783" s="65" t="s">
        <v>1775</v>
      </c>
      <c r="L783" s="65"/>
      <c r="M783" s="65"/>
      <c r="N783" s="65"/>
    </row>
    <row r="784" spans="1:14" ht="12.75">
      <c r="A784" s="65"/>
      <c r="B784" s="65"/>
      <c r="C784" s="65"/>
      <c r="D784" s="65"/>
      <c r="E784" s="65" t="str">
        <v>---</v>
      </c>
      <c r="F784" s="65"/>
      <c r="G784" s="65"/>
      <c r="H784" s="65"/>
      <c r="I784" s="65"/>
      <c r="J784" s="65"/>
      <c r="K784" s="65" t="s">
        <v>1776</v>
      </c>
      <c r="L784" s="65"/>
      <c r="M784" s="65"/>
      <c r="N784" s="65"/>
    </row>
    <row r="785" spans="1:14" ht="12.75">
      <c r="A785" s="65"/>
      <c r="B785" s="65"/>
      <c r="C785" s="65"/>
      <c r="D785" s="65"/>
      <c r="E785" s="65" t="str">
        <v>---</v>
      </c>
      <c r="F785" s="65"/>
      <c r="G785" s="65"/>
      <c r="H785" s="65"/>
      <c r="I785" s="65"/>
      <c r="J785" s="65"/>
      <c r="K785" s="65" t="s">
        <v>1777</v>
      </c>
      <c r="L785" s="65"/>
      <c r="M785" s="65"/>
      <c r="N785" s="65"/>
    </row>
    <row r="786" spans="1:14" ht="12.75">
      <c r="A786" s="65"/>
      <c r="B786" s="65"/>
      <c r="C786" s="65"/>
      <c r="D786" s="65"/>
      <c r="E786" s="65" t="str">
        <v>---</v>
      </c>
      <c r="F786" s="65"/>
      <c r="G786" s="65"/>
      <c r="H786" s="65"/>
      <c r="I786" s="65"/>
      <c r="J786" s="65"/>
      <c r="K786" s="65" t="s">
        <v>1778</v>
      </c>
      <c r="L786" s="65"/>
      <c r="M786" s="65"/>
      <c r="N786" s="65"/>
    </row>
    <row r="787" spans="1:14" ht="12.75">
      <c r="A787" s="65"/>
      <c r="B787" s="65"/>
      <c r="C787" s="65"/>
      <c r="D787" s="65"/>
      <c r="E787" s="65" t="str">
        <v>---</v>
      </c>
      <c r="F787" s="65"/>
      <c r="G787" s="65"/>
      <c r="H787" s="65"/>
      <c r="I787" s="65"/>
      <c r="J787" s="65"/>
      <c r="K787" s="65" t="s">
        <v>1779</v>
      </c>
      <c r="L787" s="65"/>
      <c r="M787" s="65"/>
      <c r="N787" s="65"/>
    </row>
    <row r="788" spans="1:14" ht="12.75">
      <c r="A788" s="65"/>
      <c r="B788" s="65"/>
      <c r="C788" s="65"/>
      <c r="D788" s="65"/>
      <c r="E788" s="65" t="str">
        <v>---</v>
      </c>
      <c r="F788" s="65"/>
      <c r="G788" s="65"/>
      <c r="H788" s="65"/>
      <c r="I788" s="65"/>
      <c r="J788" s="65"/>
      <c r="K788" s="65" t="s">
        <v>1780</v>
      </c>
      <c r="L788" s="65"/>
      <c r="M788" s="65"/>
      <c r="N788" s="65"/>
    </row>
    <row r="789" spans="1:14" ht="12.75">
      <c r="A789" s="65"/>
      <c r="B789" s="65"/>
      <c r="C789" s="65"/>
      <c r="D789" s="65"/>
      <c r="E789" s="65" t="str">
        <v>---</v>
      </c>
      <c r="F789" s="65"/>
      <c r="G789" s="65"/>
      <c r="H789" s="65"/>
      <c r="I789" s="65"/>
      <c r="J789" s="65"/>
      <c r="K789" s="65" t="s">
        <v>1781</v>
      </c>
      <c r="L789" s="65"/>
      <c r="M789" s="65"/>
      <c r="N789" s="65"/>
    </row>
    <row r="790" spans="1:14" ht="12.75">
      <c r="A790" s="65"/>
      <c r="B790" s="65"/>
      <c r="C790" s="65"/>
      <c r="D790" s="65"/>
      <c r="E790" s="65" t="str">
        <v>---</v>
      </c>
      <c r="F790" s="65"/>
      <c r="G790" s="65"/>
      <c r="H790" s="65"/>
      <c r="I790" s="65"/>
      <c r="J790" s="65"/>
      <c r="K790" s="65" t="s">
        <v>1782</v>
      </c>
      <c r="L790" s="65"/>
      <c r="M790" s="65"/>
      <c r="N790" s="65"/>
    </row>
    <row r="791" spans="1:14" ht="12.75">
      <c r="A791" s="65"/>
      <c r="B791" s="65"/>
      <c r="C791" s="65"/>
      <c r="D791" s="65"/>
      <c r="E791" s="65" t="str">
        <v>---</v>
      </c>
      <c r="F791" s="65"/>
      <c r="G791" s="65"/>
      <c r="H791" s="65"/>
      <c r="I791" s="65"/>
      <c r="J791" s="65"/>
      <c r="K791" s="65" t="s">
        <v>1783</v>
      </c>
      <c r="L791" s="65"/>
      <c r="M791" s="65"/>
      <c r="N791" s="65"/>
    </row>
    <row r="792" spans="1:14" ht="12.75">
      <c r="A792" s="65"/>
      <c r="B792" s="65"/>
      <c r="C792" s="65"/>
      <c r="D792" s="65"/>
      <c r="E792" s="65" t="str">
        <v>---</v>
      </c>
      <c r="F792" s="65"/>
      <c r="G792" s="65"/>
      <c r="H792" s="65"/>
      <c r="I792" s="65"/>
      <c r="J792" s="65"/>
      <c r="K792" s="65" t="s">
        <v>1784</v>
      </c>
      <c r="L792" s="65"/>
      <c r="M792" s="65"/>
      <c r="N792" s="65"/>
    </row>
    <row r="793" spans="1:14" ht="12.75">
      <c r="A793" s="65"/>
      <c r="B793" s="65"/>
      <c r="C793" s="65"/>
      <c r="D793" s="65"/>
      <c r="E793" s="65" t="str">
        <v>---</v>
      </c>
      <c r="F793" s="65"/>
      <c r="G793" s="65"/>
      <c r="H793" s="65"/>
      <c r="I793" s="65"/>
      <c r="J793" s="65"/>
      <c r="K793" s="65" t="s">
        <v>1785</v>
      </c>
      <c r="L793" s="65"/>
      <c r="M793" s="65"/>
      <c r="N793" s="65"/>
    </row>
    <row r="794" spans="1:14" ht="12.75">
      <c r="A794" s="65"/>
      <c r="B794" s="65"/>
      <c r="C794" s="65"/>
      <c r="D794" s="65"/>
      <c r="E794" s="65" t="str">
        <v>---</v>
      </c>
      <c r="F794" s="65"/>
      <c r="G794" s="65"/>
      <c r="H794" s="65"/>
      <c r="I794" s="65"/>
      <c r="J794" s="65"/>
      <c r="K794" s="65" t="s">
        <v>1786</v>
      </c>
      <c r="L794" s="65"/>
      <c r="M794" s="65"/>
      <c r="N794" s="65"/>
    </row>
    <row r="795" spans="1:14" ht="12.75">
      <c r="A795" s="65"/>
      <c r="B795" s="65"/>
      <c r="C795" s="65"/>
      <c r="D795" s="65"/>
      <c r="E795" s="65" t="str">
        <v>---</v>
      </c>
      <c r="F795" s="65"/>
      <c r="G795" s="65"/>
      <c r="H795" s="65"/>
      <c r="I795" s="65"/>
      <c r="J795" s="65"/>
      <c r="K795" s="65" t="s">
        <v>1787</v>
      </c>
      <c r="L795" s="65"/>
      <c r="M795" s="65"/>
      <c r="N795" s="65"/>
    </row>
    <row r="796" spans="1:14" ht="12.75">
      <c r="A796" s="65"/>
      <c r="B796" s="65"/>
      <c r="C796" s="65"/>
      <c r="D796" s="65"/>
      <c r="E796" s="65" t="str">
        <v>---</v>
      </c>
      <c r="F796" s="65"/>
      <c r="G796" s="65"/>
      <c r="H796" s="65"/>
      <c r="I796" s="65"/>
      <c r="J796" s="65"/>
      <c r="K796" s="65" t="s">
        <v>1788</v>
      </c>
      <c r="L796" s="65"/>
      <c r="M796" s="65"/>
      <c r="N796" s="65"/>
    </row>
    <row r="797" spans="1:14" ht="12.75">
      <c r="A797" s="65"/>
      <c r="B797" s="65"/>
      <c r="C797" s="65"/>
      <c r="D797" s="65"/>
      <c r="E797" s="65" t="str">
        <v>---</v>
      </c>
      <c r="F797" s="65"/>
      <c r="G797" s="65"/>
      <c r="H797" s="65"/>
      <c r="I797" s="65"/>
      <c r="J797" s="65"/>
      <c r="K797" s="65" t="s">
        <v>1789</v>
      </c>
      <c r="L797" s="65"/>
      <c r="M797" s="65"/>
      <c r="N797" s="65"/>
    </row>
    <row r="798" spans="1:14" ht="12.75">
      <c r="A798" s="65"/>
      <c r="B798" s="65"/>
      <c r="C798" s="65"/>
      <c r="D798" s="65"/>
      <c r="E798" s="65" t="str">
        <v>---</v>
      </c>
      <c r="F798" s="65"/>
      <c r="G798" s="65"/>
      <c r="H798" s="65"/>
      <c r="I798" s="65"/>
      <c r="J798" s="65"/>
      <c r="K798" s="65" t="s">
        <v>1790</v>
      </c>
      <c r="L798" s="65"/>
      <c r="M798" s="65"/>
      <c r="N798" s="65"/>
    </row>
    <row r="799" spans="1:14" ht="12.75">
      <c r="A799" s="65"/>
      <c r="B799" s="65"/>
      <c r="C799" s="65"/>
      <c r="D799" s="65"/>
      <c r="E799" s="65" t="str">
        <v>---</v>
      </c>
      <c r="F799" s="65"/>
      <c r="G799" s="65"/>
      <c r="H799" s="65"/>
      <c r="I799" s="65"/>
      <c r="J799" s="65"/>
      <c r="K799" s="65" t="s">
        <v>1791</v>
      </c>
      <c r="L799" s="65"/>
      <c r="M799" s="65"/>
      <c r="N799" s="65"/>
    </row>
    <row r="800" spans="1:14" ht="12.75">
      <c r="A800" s="65"/>
      <c r="B800" s="65"/>
      <c r="C800" s="65"/>
      <c r="D800" s="65"/>
      <c r="E800" s="65" t="str">
        <v>---</v>
      </c>
      <c r="F800" s="65"/>
      <c r="G800" s="65"/>
      <c r="H800" s="65"/>
      <c r="I800" s="65"/>
      <c r="J800" s="65"/>
      <c r="K800" s="65" t="s">
        <v>1792</v>
      </c>
      <c r="L800" s="65"/>
      <c r="M800" s="65"/>
      <c r="N800" s="65"/>
    </row>
    <row r="801" spans="1:14" ht="12.75">
      <c r="A801" s="65"/>
      <c r="B801" s="65"/>
      <c r="C801" s="65"/>
      <c r="D801" s="65"/>
      <c r="E801" s="65" t="str">
        <v>---</v>
      </c>
      <c r="F801" s="65"/>
      <c r="G801" s="65"/>
      <c r="H801" s="65"/>
      <c r="I801" s="65"/>
      <c r="J801" s="65"/>
      <c r="K801" s="65" t="s">
        <v>1793</v>
      </c>
      <c r="L801" s="65"/>
      <c r="M801" s="65"/>
      <c r="N801" s="65"/>
    </row>
    <row r="802" spans="1:14" ht="12.75">
      <c r="A802" s="65"/>
      <c r="B802" s="65"/>
      <c r="C802" s="65"/>
      <c r="D802" s="65"/>
      <c r="E802" s="65" t="str">
        <v>---</v>
      </c>
      <c r="F802" s="65"/>
      <c r="G802" s="65"/>
      <c r="H802" s="65"/>
      <c r="I802" s="65"/>
      <c r="J802" s="65"/>
      <c r="K802" s="65" t="s">
        <v>1794</v>
      </c>
      <c r="L802" s="65"/>
      <c r="M802" s="65"/>
      <c r="N802" s="65"/>
    </row>
    <row r="803" spans="1:14" ht="12.75">
      <c r="A803" s="65"/>
      <c r="B803" s="65"/>
      <c r="C803" s="65"/>
      <c r="D803" s="65"/>
      <c r="E803" s="65" t="str">
        <v>---</v>
      </c>
      <c r="F803" s="65"/>
      <c r="G803" s="65"/>
      <c r="H803" s="65"/>
      <c r="I803" s="65"/>
      <c r="J803" s="65"/>
      <c r="K803" s="65" t="s">
        <v>1795</v>
      </c>
      <c r="L803" s="65"/>
      <c r="M803" s="65"/>
      <c r="N803" s="65"/>
    </row>
    <row r="804" spans="1:14" ht="12.75">
      <c r="A804" s="65"/>
      <c r="B804" s="65"/>
      <c r="C804" s="65"/>
      <c r="D804" s="65"/>
      <c r="E804" s="65" t="str">
        <v>---</v>
      </c>
      <c r="F804" s="65"/>
      <c r="G804" s="65"/>
      <c r="H804" s="65"/>
      <c r="I804" s="65"/>
      <c r="J804" s="65"/>
      <c r="K804" s="65" t="s">
        <v>1796</v>
      </c>
      <c r="L804" s="65"/>
      <c r="M804" s="65"/>
      <c r="N804" s="65"/>
    </row>
    <row r="805" spans="1:14" ht="12.75">
      <c r="A805" s="65"/>
      <c r="B805" s="65"/>
      <c r="C805" s="65"/>
      <c r="D805" s="65"/>
      <c r="E805" s="65" t="str">
        <v>---</v>
      </c>
      <c r="F805" s="65"/>
      <c r="G805" s="65"/>
      <c r="H805" s="65"/>
      <c r="I805" s="65"/>
      <c r="J805" s="65"/>
      <c r="K805" s="65" t="s">
        <v>1797</v>
      </c>
      <c r="L805" s="65"/>
      <c r="M805" s="65"/>
      <c r="N805" s="65"/>
    </row>
    <row r="806" spans="1:14" ht="12.75">
      <c r="A806" s="65"/>
      <c r="B806" s="65"/>
      <c r="C806" s="65"/>
      <c r="D806" s="65"/>
      <c r="E806" s="65" t="str">
        <v>---</v>
      </c>
      <c r="F806" s="65"/>
      <c r="G806" s="65"/>
      <c r="H806" s="65"/>
      <c r="I806" s="65"/>
      <c r="J806" s="65"/>
      <c r="K806" s="65" t="s">
        <v>1798</v>
      </c>
      <c r="L806" s="65"/>
      <c r="M806" s="65"/>
      <c r="N806" s="65"/>
    </row>
    <row r="807" spans="1:14" ht="12.75">
      <c r="A807" s="65"/>
      <c r="B807" s="65"/>
      <c r="C807" s="65"/>
      <c r="D807" s="65"/>
      <c r="E807" s="65" t="str">
        <v>---</v>
      </c>
      <c r="F807" s="65"/>
      <c r="G807" s="65"/>
      <c r="H807" s="65"/>
      <c r="I807" s="65"/>
      <c r="J807" s="65"/>
      <c r="K807" s="65" t="s">
        <v>1799</v>
      </c>
      <c r="L807" s="65"/>
      <c r="M807" s="65"/>
      <c r="N807" s="65"/>
    </row>
    <row r="808" spans="1:14" ht="12.75">
      <c r="A808" s="65"/>
      <c r="B808" s="65"/>
      <c r="C808" s="65"/>
      <c r="D808" s="65"/>
      <c r="E808" s="65" t="str">
        <v>---</v>
      </c>
      <c r="F808" s="65"/>
      <c r="G808" s="65"/>
      <c r="H808" s="65"/>
      <c r="I808" s="65"/>
      <c r="J808" s="65"/>
      <c r="K808" s="65" t="s">
        <v>1800</v>
      </c>
      <c r="L808" s="65"/>
      <c r="M808" s="65"/>
      <c r="N808" s="65"/>
    </row>
    <row r="809" spans="1:14" ht="12.75">
      <c r="A809" s="65"/>
      <c r="B809" s="65"/>
      <c r="C809" s="65"/>
      <c r="D809" s="65"/>
      <c r="E809" s="65" t="str">
        <v>---</v>
      </c>
      <c r="F809" s="65"/>
      <c r="G809" s="65"/>
      <c r="H809" s="65"/>
      <c r="I809" s="65"/>
      <c r="J809" s="65"/>
      <c r="K809" s="65" t="s">
        <v>1801</v>
      </c>
      <c r="L809" s="65"/>
      <c r="M809" s="65"/>
      <c r="N809" s="65"/>
    </row>
    <row r="810" spans="1:14" ht="12.75">
      <c r="A810" s="65"/>
      <c r="B810" s="65"/>
      <c r="C810" s="65"/>
      <c r="D810" s="65"/>
      <c r="E810" s="65" t="str">
        <v>---</v>
      </c>
      <c r="F810" s="65"/>
      <c r="G810" s="65"/>
      <c r="H810" s="65"/>
      <c r="I810" s="65"/>
      <c r="J810" s="65"/>
      <c r="K810" s="65" t="s">
        <v>1802</v>
      </c>
      <c r="L810" s="65"/>
      <c r="M810" s="65"/>
      <c r="N810" s="65"/>
    </row>
    <row r="811" spans="1:14" ht="12.75">
      <c r="A811" s="65"/>
      <c r="B811" s="65"/>
      <c r="C811" s="65"/>
      <c r="D811" s="65"/>
      <c r="E811" s="65" t="str">
        <v>---</v>
      </c>
      <c r="F811" s="65"/>
      <c r="G811" s="65"/>
      <c r="H811" s="65"/>
      <c r="I811" s="65"/>
      <c r="J811" s="65"/>
      <c r="K811" s="65" t="s">
        <v>1803</v>
      </c>
      <c r="L811" s="65"/>
      <c r="M811" s="65"/>
      <c r="N811" s="65"/>
    </row>
    <row r="812" spans="1:14" ht="12.75">
      <c r="A812" s="65"/>
      <c r="B812" s="65"/>
      <c r="C812" s="65"/>
      <c r="D812" s="65"/>
      <c r="E812" s="65" t="str">
        <v>---</v>
      </c>
      <c r="F812" s="65"/>
      <c r="G812" s="65"/>
      <c r="H812" s="65"/>
      <c r="I812" s="65"/>
      <c r="J812" s="65"/>
      <c r="K812" s="65" t="s">
        <v>1804</v>
      </c>
      <c r="L812" s="65"/>
      <c r="M812" s="65"/>
      <c r="N812" s="65"/>
    </row>
    <row r="813" spans="1:14" ht="12.75">
      <c r="A813" s="65"/>
      <c r="B813" s="65"/>
      <c r="C813" s="65"/>
      <c r="D813" s="65"/>
      <c r="E813" s="65" t="str">
        <v>---</v>
      </c>
      <c r="F813" s="65"/>
      <c r="G813" s="65"/>
      <c r="H813" s="65"/>
      <c r="I813" s="65"/>
      <c r="J813" s="65"/>
      <c r="K813" s="65" t="s">
        <v>1805</v>
      </c>
      <c r="L813" s="65"/>
      <c r="M813" s="65"/>
      <c r="N813" s="65"/>
    </row>
    <row r="814" spans="1:14" ht="12.75">
      <c r="A814" s="65"/>
      <c r="B814" s="65"/>
      <c r="C814" s="65"/>
      <c r="D814" s="65"/>
      <c r="E814" s="65" t="str">
        <v>---</v>
      </c>
      <c r="F814" s="65"/>
      <c r="G814" s="65"/>
      <c r="H814" s="65"/>
      <c r="I814" s="65"/>
      <c r="J814" s="65"/>
      <c r="K814" s="65" t="s">
        <v>1806</v>
      </c>
      <c r="L814" s="65"/>
      <c r="M814" s="65"/>
      <c r="N814" s="65"/>
    </row>
    <row r="815" spans="1:14" ht="12.75">
      <c r="A815" s="65"/>
      <c r="B815" s="65"/>
      <c r="C815" s="65"/>
      <c r="D815" s="65"/>
      <c r="E815" s="65" t="str">
        <v>---</v>
      </c>
      <c r="F815" s="65"/>
      <c r="G815" s="65"/>
      <c r="H815" s="65"/>
      <c r="I815" s="65"/>
      <c r="J815" s="65"/>
      <c r="K815" s="65" t="s">
        <v>1807</v>
      </c>
      <c r="L815" s="65"/>
      <c r="M815" s="65"/>
      <c r="N815" s="65"/>
    </row>
    <row r="816" spans="1:14" ht="12.75">
      <c r="A816" s="65"/>
      <c r="B816" s="65"/>
      <c r="C816" s="65"/>
      <c r="D816" s="65"/>
      <c r="E816" s="65" t="str">
        <v>---</v>
      </c>
      <c r="F816" s="65"/>
      <c r="G816" s="65"/>
      <c r="H816" s="65"/>
      <c r="I816" s="65"/>
      <c r="J816" s="65"/>
      <c r="K816" s="65" t="s">
        <v>1808</v>
      </c>
      <c r="L816" s="65"/>
      <c r="M816" s="65"/>
      <c r="N816" s="65"/>
    </row>
    <row r="817" spans="1:14" ht="12.75">
      <c r="A817" s="65"/>
      <c r="B817" s="65"/>
      <c r="C817" s="65"/>
      <c r="D817" s="65"/>
      <c r="E817" s="65" t="str">
        <v>---</v>
      </c>
      <c r="F817" s="65"/>
      <c r="G817" s="65"/>
      <c r="H817" s="65"/>
      <c r="I817" s="65"/>
      <c r="J817" s="65"/>
      <c r="K817" s="65" t="s">
        <v>1809</v>
      </c>
      <c r="L817" s="65"/>
      <c r="M817" s="65"/>
      <c r="N817" s="65"/>
    </row>
    <row r="818" spans="1:14" ht="12.75">
      <c r="A818" s="65"/>
      <c r="B818" s="65"/>
      <c r="C818" s="65"/>
      <c r="D818" s="65"/>
      <c r="E818" s="65" t="str">
        <v>---</v>
      </c>
      <c r="F818" s="65"/>
      <c r="G818" s="65"/>
      <c r="H818" s="65"/>
      <c r="I818" s="65"/>
      <c r="J818" s="65"/>
      <c r="K818" s="65" t="s">
        <v>1810</v>
      </c>
      <c r="L818" s="65"/>
      <c r="M818" s="65"/>
      <c r="N818" s="65"/>
    </row>
    <row r="819" spans="1:14" ht="12.75">
      <c r="A819" s="65"/>
      <c r="B819" s="65"/>
      <c r="C819" s="65"/>
      <c r="D819" s="65"/>
      <c r="E819" s="65" t="str">
        <v>---</v>
      </c>
      <c r="F819" s="65"/>
      <c r="G819" s="65"/>
      <c r="H819" s="65"/>
      <c r="I819" s="65"/>
      <c r="J819" s="65"/>
      <c r="K819" s="65" t="s">
        <v>1811</v>
      </c>
      <c r="L819" s="65"/>
      <c r="M819" s="65"/>
      <c r="N819" s="65"/>
    </row>
    <row r="820" spans="1:14" ht="12.75">
      <c r="A820" s="65"/>
      <c r="B820" s="65"/>
      <c r="C820" s="65"/>
      <c r="D820" s="65"/>
      <c r="E820" s="65" t="str">
        <v>---</v>
      </c>
      <c r="F820" s="65"/>
      <c r="G820" s="65"/>
      <c r="H820" s="65"/>
      <c r="I820" s="65"/>
      <c r="J820" s="65"/>
      <c r="K820" s="65" t="s">
        <v>1812</v>
      </c>
      <c r="L820" s="65"/>
      <c r="M820" s="65"/>
      <c r="N820" s="65"/>
    </row>
    <row r="821" spans="1:14" ht="12.75">
      <c r="A821" s="65"/>
      <c r="B821" s="65"/>
      <c r="C821" s="65"/>
      <c r="D821" s="65"/>
      <c r="E821" s="65" t="str">
        <v>---</v>
      </c>
      <c r="F821" s="65"/>
      <c r="G821" s="65"/>
      <c r="H821" s="65"/>
      <c r="I821" s="65"/>
      <c r="J821" s="65"/>
      <c r="K821" s="65" t="s">
        <v>1813</v>
      </c>
      <c r="L821" s="65"/>
      <c r="M821" s="65"/>
      <c r="N821" s="65"/>
    </row>
    <row r="822" spans="1:14" ht="12.75">
      <c r="A822" s="65"/>
      <c r="B822" s="65"/>
      <c r="C822" s="65"/>
      <c r="D822" s="65"/>
      <c r="E822" s="65" t="str">
        <v>---</v>
      </c>
      <c r="F822" s="65"/>
      <c r="G822" s="65"/>
      <c r="H822" s="65"/>
      <c r="I822" s="65"/>
      <c r="J822" s="65"/>
      <c r="K822" s="65" t="s">
        <v>1814</v>
      </c>
      <c r="L822" s="65"/>
      <c r="M822" s="65"/>
      <c r="N822" s="65"/>
    </row>
    <row r="823" spans="1:14" ht="12.75">
      <c r="A823" s="65"/>
      <c r="B823" s="65"/>
      <c r="C823" s="65"/>
      <c r="D823" s="65"/>
      <c r="E823" s="65" t="str">
        <v>---</v>
      </c>
      <c r="F823" s="65"/>
      <c r="G823" s="65"/>
      <c r="H823" s="65"/>
      <c r="I823" s="65"/>
      <c r="J823" s="65"/>
      <c r="K823" s="65" t="s">
        <v>1815</v>
      </c>
      <c r="L823" s="65"/>
      <c r="M823" s="65"/>
      <c r="N823" s="65"/>
    </row>
    <row r="824" spans="1:14" ht="12.75">
      <c r="A824" s="65"/>
      <c r="B824" s="65"/>
      <c r="C824" s="65"/>
      <c r="D824" s="65"/>
      <c r="E824" s="65" t="str">
        <v>---</v>
      </c>
      <c r="F824" s="65"/>
      <c r="G824" s="65"/>
      <c r="H824" s="65"/>
      <c r="I824" s="65"/>
      <c r="J824" s="65"/>
      <c r="K824" s="65" t="s">
        <v>1816</v>
      </c>
      <c r="L824" s="65"/>
      <c r="M824" s="65"/>
      <c r="N824" s="65"/>
    </row>
    <row r="825" spans="1:14" ht="12.75">
      <c r="A825" s="65"/>
      <c r="B825" s="65"/>
      <c r="C825" s="65"/>
      <c r="D825" s="65"/>
      <c r="E825" s="65" t="str">
        <v>---</v>
      </c>
      <c r="F825" s="65"/>
      <c r="G825" s="65"/>
      <c r="H825" s="65"/>
      <c r="I825" s="65"/>
      <c r="J825" s="65"/>
      <c r="K825" s="65" t="s">
        <v>1817</v>
      </c>
      <c r="L825" s="65"/>
      <c r="M825" s="65"/>
      <c r="N825" s="65"/>
    </row>
    <row r="826" spans="1:14" ht="12.75">
      <c r="A826" s="65"/>
      <c r="B826" s="65"/>
      <c r="C826" s="65"/>
      <c r="D826" s="65"/>
      <c r="E826" s="65" t="str">
        <v>---</v>
      </c>
      <c r="F826" s="65"/>
      <c r="G826" s="65"/>
      <c r="H826" s="65"/>
      <c r="I826" s="65"/>
      <c r="J826" s="65"/>
      <c r="K826" s="65" t="s">
        <v>1818</v>
      </c>
      <c r="L826" s="65"/>
      <c r="M826" s="65"/>
      <c r="N826" s="65"/>
    </row>
    <row r="827" spans="1:14" ht="12.75">
      <c r="A827" s="65"/>
      <c r="B827" s="65"/>
      <c r="C827" s="65"/>
      <c r="D827" s="65"/>
      <c r="E827" s="65" t="str">
        <v>---</v>
      </c>
      <c r="F827" s="65"/>
      <c r="G827" s="65"/>
      <c r="H827" s="65"/>
      <c r="I827" s="65"/>
      <c r="J827" s="65"/>
      <c r="K827" s="65" t="s">
        <v>1819</v>
      </c>
      <c r="L827" s="65"/>
      <c r="M827" s="65"/>
      <c r="N827" s="65"/>
    </row>
    <row r="828" spans="1:14" ht="12.75">
      <c r="A828" s="65"/>
      <c r="B828" s="65"/>
      <c r="C828" s="65"/>
      <c r="D828" s="65"/>
      <c r="E828" s="65" t="str">
        <v>---</v>
      </c>
      <c r="F828" s="65"/>
      <c r="G828" s="65"/>
      <c r="H828" s="65"/>
      <c r="I828" s="65"/>
      <c r="J828" s="65"/>
      <c r="K828" s="65" t="s">
        <v>1820</v>
      </c>
      <c r="L828" s="65"/>
      <c r="M828" s="65"/>
      <c r="N828" s="65"/>
    </row>
    <row r="829" spans="1:14" ht="12.75">
      <c r="A829" s="65"/>
      <c r="B829" s="65"/>
      <c r="C829" s="65"/>
      <c r="D829" s="65"/>
      <c r="E829" s="65" t="str">
        <v>---</v>
      </c>
      <c r="F829" s="65"/>
      <c r="G829" s="65"/>
      <c r="H829" s="65"/>
      <c r="I829" s="65"/>
      <c r="J829" s="65"/>
      <c r="K829" s="65" t="s">
        <v>1821</v>
      </c>
      <c r="L829" s="65"/>
      <c r="M829" s="65"/>
      <c r="N829" s="65"/>
    </row>
    <row r="830" spans="1:14" ht="12.75">
      <c r="A830" s="65"/>
      <c r="B830" s="65"/>
      <c r="C830" s="65"/>
      <c r="D830" s="65"/>
      <c r="E830" s="65" t="str">
        <v>---</v>
      </c>
      <c r="F830" s="65"/>
      <c r="G830" s="65"/>
      <c r="H830" s="65"/>
      <c r="I830" s="65"/>
      <c r="J830" s="65"/>
      <c r="K830" s="65" t="s">
        <v>1822</v>
      </c>
      <c r="L830" s="65"/>
      <c r="M830" s="65"/>
      <c r="N830" s="65"/>
    </row>
    <row r="831" spans="1:14" ht="12.75">
      <c r="A831" s="65"/>
      <c r="B831" s="65"/>
      <c r="C831" s="65"/>
      <c r="D831" s="65"/>
      <c r="E831" s="65" t="str">
        <v>---</v>
      </c>
      <c r="F831" s="65"/>
      <c r="G831" s="65"/>
      <c r="H831" s="65"/>
      <c r="I831" s="65"/>
      <c r="J831" s="65"/>
      <c r="K831" s="65" t="s">
        <v>1823</v>
      </c>
      <c r="L831" s="65"/>
      <c r="M831" s="65"/>
      <c r="N831" s="65"/>
    </row>
    <row r="832" spans="1:14" ht="12.75">
      <c r="A832" s="65"/>
      <c r="B832" s="65"/>
      <c r="C832" s="65"/>
      <c r="D832" s="65"/>
      <c r="E832" s="65" t="str">
        <v>---</v>
      </c>
      <c r="F832" s="65"/>
      <c r="G832" s="65"/>
      <c r="H832" s="65"/>
      <c r="I832" s="65"/>
      <c r="J832" s="65"/>
      <c r="K832" s="65" t="s">
        <v>1824</v>
      </c>
      <c r="L832" s="65"/>
      <c r="M832" s="65"/>
      <c r="N832" s="65"/>
    </row>
    <row r="833" spans="1:14" ht="12.75">
      <c r="A833" s="65"/>
      <c r="B833" s="65"/>
      <c r="C833" s="65"/>
      <c r="D833" s="65"/>
      <c r="E833" s="65" t="str">
        <v>---</v>
      </c>
      <c r="F833" s="65"/>
      <c r="G833" s="65"/>
      <c r="H833" s="65"/>
      <c r="I833" s="65"/>
      <c r="J833" s="65"/>
      <c r="K833" s="65" t="s">
        <v>1825</v>
      </c>
      <c r="L833" s="65"/>
      <c r="M833" s="65"/>
      <c r="N833" s="65"/>
    </row>
    <row r="834" spans="1:14" ht="12.75">
      <c r="A834" s="65"/>
      <c r="B834" s="65"/>
      <c r="C834" s="65"/>
      <c r="D834" s="65"/>
      <c r="E834" s="65" t="str">
        <v>---</v>
      </c>
      <c r="F834" s="65"/>
      <c r="G834" s="65"/>
      <c r="H834" s="65"/>
      <c r="I834" s="65"/>
      <c r="J834" s="65"/>
      <c r="K834" s="65" t="s">
        <v>1826</v>
      </c>
      <c r="L834" s="65"/>
      <c r="M834" s="65"/>
      <c r="N834" s="65"/>
    </row>
    <row r="835" spans="1:14" ht="12.75">
      <c r="A835" s="65"/>
      <c r="B835" s="65"/>
      <c r="C835" s="65"/>
      <c r="D835" s="65"/>
      <c r="E835" s="65" t="str">
        <v>---</v>
      </c>
      <c r="F835" s="65"/>
      <c r="G835" s="65"/>
      <c r="H835" s="65"/>
      <c r="I835" s="65"/>
      <c r="J835" s="65"/>
      <c r="K835" s="65" t="s">
        <v>1827</v>
      </c>
      <c r="L835" s="65"/>
      <c r="M835" s="65"/>
      <c r="N835" s="65"/>
    </row>
    <row r="836" spans="1:14" ht="12.75">
      <c r="A836" s="65"/>
      <c r="B836" s="65"/>
      <c r="C836" s="65"/>
      <c r="D836" s="65"/>
      <c r="E836" s="65" t="str">
        <v>---</v>
      </c>
      <c r="F836" s="65"/>
      <c r="G836" s="65"/>
      <c r="H836" s="65"/>
      <c r="I836" s="65"/>
      <c r="J836" s="65"/>
      <c r="K836" s="65" t="s">
        <v>1828</v>
      </c>
      <c r="L836" s="65"/>
      <c r="M836" s="65"/>
      <c r="N836" s="65"/>
    </row>
    <row r="837" spans="1:14" ht="12.75">
      <c r="A837" s="65"/>
      <c r="B837" s="65"/>
      <c r="C837" s="65"/>
      <c r="D837" s="65"/>
      <c r="E837" s="65" t="str">
        <v>---</v>
      </c>
      <c r="F837" s="65"/>
      <c r="G837" s="65"/>
      <c r="H837" s="65"/>
      <c r="I837" s="65"/>
      <c r="J837" s="65"/>
      <c r="K837" s="65" t="s">
        <v>1829</v>
      </c>
      <c r="L837" s="65"/>
      <c r="M837" s="65"/>
      <c r="N837" s="65"/>
    </row>
    <row r="838" spans="1:14" ht="12.75">
      <c r="A838" s="65"/>
      <c r="B838" s="65"/>
      <c r="C838" s="65"/>
      <c r="D838" s="65"/>
      <c r="E838" s="65" t="str">
        <v>---</v>
      </c>
      <c r="F838" s="65"/>
      <c r="G838" s="65"/>
      <c r="H838" s="65"/>
      <c r="I838" s="65"/>
      <c r="J838" s="65"/>
      <c r="K838" s="65" t="s">
        <v>1830</v>
      </c>
      <c r="L838" s="65"/>
      <c r="M838" s="65"/>
      <c r="N838" s="65"/>
    </row>
    <row r="839" spans="1:14" ht="12.75">
      <c r="A839" s="65"/>
      <c r="B839" s="65"/>
      <c r="C839" s="65"/>
      <c r="D839" s="65"/>
      <c r="E839" s="65" t="str">
        <v>---</v>
      </c>
      <c r="F839" s="65"/>
      <c r="G839" s="65"/>
      <c r="H839" s="65"/>
      <c r="I839" s="65"/>
      <c r="J839" s="65"/>
      <c r="K839" s="65" t="s">
        <v>1831</v>
      </c>
      <c r="L839" s="65"/>
      <c r="M839" s="65"/>
      <c r="N839" s="65"/>
    </row>
    <row r="840" spans="1:14" ht="12.75">
      <c r="A840" s="65"/>
      <c r="B840" s="65"/>
      <c r="C840" s="65"/>
      <c r="D840" s="65"/>
      <c r="E840" s="65" t="str">
        <v>---</v>
      </c>
      <c r="F840" s="65"/>
      <c r="G840" s="65"/>
      <c r="H840" s="65"/>
      <c r="I840" s="65"/>
      <c r="J840" s="65"/>
      <c r="K840" s="65" t="s">
        <v>1832</v>
      </c>
      <c r="L840" s="65"/>
      <c r="M840" s="65"/>
      <c r="N840" s="65"/>
    </row>
    <row r="841" spans="1:14" ht="12.75">
      <c r="A841" s="65"/>
      <c r="B841" s="65"/>
      <c r="C841" s="65"/>
      <c r="D841" s="65"/>
      <c r="E841" s="65" t="str">
        <v>---</v>
      </c>
      <c r="F841" s="65"/>
      <c r="G841" s="65"/>
      <c r="H841" s="65"/>
      <c r="I841" s="65"/>
      <c r="J841" s="65"/>
      <c r="K841" s="65" t="s">
        <v>1833</v>
      </c>
      <c r="L841" s="65"/>
      <c r="M841" s="65"/>
      <c r="N841" s="65"/>
    </row>
    <row r="842" spans="1:14" ht="12.75">
      <c r="A842" s="65"/>
      <c r="B842" s="65"/>
      <c r="C842" s="65"/>
      <c r="D842" s="65"/>
      <c r="E842" s="65" t="str">
        <v>---</v>
      </c>
      <c r="F842" s="65"/>
      <c r="G842" s="65"/>
      <c r="H842" s="65"/>
      <c r="I842" s="65"/>
      <c r="J842" s="65"/>
      <c r="K842" s="65" t="s">
        <v>1834</v>
      </c>
      <c r="L842" s="65"/>
      <c r="M842" s="65"/>
      <c r="N842" s="65"/>
    </row>
    <row r="843" spans="1:14" ht="12.75">
      <c r="A843" s="65"/>
      <c r="B843" s="65"/>
      <c r="C843" s="65"/>
      <c r="D843" s="65"/>
      <c r="E843" s="65" t="str">
        <v>---</v>
      </c>
      <c r="F843" s="65"/>
      <c r="G843" s="65"/>
      <c r="H843" s="65"/>
      <c r="I843" s="65"/>
      <c r="J843" s="65"/>
      <c r="K843" s="65" t="s">
        <v>1835</v>
      </c>
      <c r="L843" s="65"/>
      <c r="M843" s="65"/>
      <c r="N843" s="65"/>
    </row>
    <row r="844" spans="1:14" ht="12.75">
      <c r="A844" s="65"/>
      <c r="B844" s="65"/>
      <c r="C844" s="65"/>
      <c r="D844" s="65"/>
      <c r="E844" s="65" t="str">
        <v>---</v>
      </c>
      <c r="F844" s="65"/>
      <c r="G844" s="65"/>
      <c r="H844" s="65"/>
      <c r="I844" s="65"/>
      <c r="J844" s="65"/>
      <c r="K844" s="65" t="s">
        <v>1836</v>
      </c>
      <c r="L844" s="65"/>
      <c r="M844" s="65"/>
      <c r="N844" s="65"/>
    </row>
    <row r="845" spans="1:14" ht="12.75">
      <c r="A845" s="65"/>
      <c r="B845" s="65"/>
      <c r="C845" s="65"/>
      <c r="D845" s="65"/>
      <c r="E845" s="65" t="str">
        <v>---</v>
      </c>
      <c r="F845" s="65"/>
      <c r="G845" s="65"/>
      <c r="H845" s="65"/>
      <c r="I845" s="65"/>
      <c r="J845" s="65"/>
      <c r="K845" s="65" t="s">
        <v>1837</v>
      </c>
      <c r="L845" s="65"/>
      <c r="M845" s="65"/>
      <c r="N845" s="65"/>
    </row>
    <row r="846" spans="1:14" ht="12.75">
      <c r="A846" s="65"/>
      <c r="B846" s="65"/>
      <c r="C846" s="65"/>
      <c r="D846" s="65"/>
      <c r="E846" s="65" t="str">
        <v>---</v>
      </c>
      <c r="F846" s="65"/>
      <c r="G846" s="65"/>
      <c r="H846" s="65"/>
      <c r="I846" s="65"/>
      <c r="J846" s="65"/>
      <c r="K846" s="65" t="s">
        <v>1838</v>
      </c>
      <c r="L846" s="65"/>
      <c r="M846" s="65"/>
      <c r="N846" s="65"/>
    </row>
    <row r="847" spans="1:14" ht="12.75">
      <c r="A847" s="65"/>
      <c r="B847" s="65"/>
      <c r="C847" s="65"/>
      <c r="D847" s="65"/>
      <c r="E847" s="65" t="str">
        <v>---</v>
      </c>
      <c r="F847" s="65"/>
      <c r="G847" s="65"/>
      <c r="H847" s="65"/>
      <c r="I847" s="65"/>
      <c r="J847" s="65"/>
      <c r="K847" s="65" t="s">
        <v>1839</v>
      </c>
      <c r="L847" s="65"/>
      <c r="M847" s="65"/>
      <c r="N847" s="65"/>
    </row>
    <row r="848" spans="1:14" ht="12.75">
      <c r="A848" s="65"/>
      <c r="B848" s="65"/>
      <c r="C848" s="65"/>
      <c r="D848" s="65"/>
      <c r="E848" s="65" t="str">
        <v>---</v>
      </c>
      <c r="F848" s="65"/>
      <c r="G848" s="65"/>
      <c r="H848" s="65"/>
      <c r="I848" s="65"/>
      <c r="J848" s="65"/>
      <c r="K848" s="65" t="s">
        <v>1840</v>
      </c>
      <c r="L848" s="65"/>
      <c r="M848" s="65"/>
      <c r="N848" s="65"/>
    </row>
    <row r="849" spans="1:14" ht="12.75">
      <c r="A849" s="65"/>
      <c r="B849" s="65"/>
      <c r="C849" s="65"/>
      <c r="D849" s="65"/>
      <c r="E849" s="65" t="str">
        <v>---</v>
      </c>
      <c r="F849" s="65"/>
      <c r="G849" s="65"/>
      <c r="H849" s="65"/>
      <c r="I849" s="65"/>
      <c r="J849" s="65"/>
      <c r="K849" s="65" t="s">
        <v>1841</v>
      </c>
      <c r="L849" s="65"/>
      <c r="M849" s="65"/>
      <c r="N849" s="65"/>
    </row>
    <row r="850" spans="1:14" ht="12.75">
      <c r="A850" s="65"/>
      <c r="B850" s="65"/>
      <c r="C850" s="65"/>
      <c r="D850" s="65"/>
      <c r="E850" s="65" t="str">
        <v>---</v>
      </c>
      <c r="F850" s="65"/>
      <c r="G850" s="65"/>
      <c r="H850" s="65"/>
      <c r="I850" s="65"/>
      <c r="J850" s="65"/>
      <c r="K850" s="65" t="s">
        <v>1842</v>
      </c>
      <c r="L850" s="65"/>
      <c r="M850" s="65"/>
      <c r="N850" s="65"/>
    </row>
    <row r="851" spans="1:14" ht="12.75">
      <c r="A851" s="65"/>
      <c r="B851" s="65"/>
      <c r="C851" s="65"/>
      <c r="D851" s="65"/>
      <c r="E851" s="65" t="str">
        <v>---</v>
      </c>
      <c r="F851" s="65"/>
      <c r="G851" s="65"/>
      <c r="H851" s="65"/>
      <c r="I851" s="65"/>
      <c r="J851" s="65"/>
      <c r="K851" s="65" t="s">
        <v>1843</v>
      </c>
      <c r="L851" s="65"/>
      <c r="M851" s="65"/>
      <c r="N851" s="65"/>
    </row>
    <row r="852" spans="1:14" ht="12.75">
      <c r="A852" s="65"/>
      <c r="B852" s="65"/>
      <c r="C852" s="65"/>
      <c r="D852" s="65"/>
      <c r="E852" s="65" t="str">
        <v>---</v>
      </c>
      <c r="F852" s="65"/>
      <c r="G852" s="65"/>
      <c r="H852" s="65"/>
      <c r="I852" s="65"/>
      <c r="J852" s="65"/>
      <c r="K852" s="65" t="s">
        <v>1844</v>
      </c>
      <c r="L852" s="65"/>
      <c r="M852" s="65"/>
      <c r="N852" s="65"/>
    </row>
    <row r="853" spans="1:14" ht="12.75">
      <c r="A853" s="65"/>
      <c r="B853" s="65"/>
      <c r="C853" s="65"/>
      <c r="D853" s="65"/>
      <c r="E853" s="65" t="str">
        <v>---</v>
      </c>
      <c r="F853" s="65"/>
      <c r="G853" s="65"/>
      <c r="H853" s="65"/>
      <c r="I853" s="65"/>
      <c r="J853" s="65"/>
      <c r="K853" s="65" t="s">
        <v>1845</v>
      </c>
      <c r="L853" s="65"/>
      <c r="M853" s="65"/>
      <c r="N853" s="65"/>
    </row>
    <row r="854" spans="1:14" ht="12.75">
      <c r="A854" s="65"/>
      <c r="B854" s="65"/>
      <c r="C854" s="65"/>
      <c r="D854" s="65"/>
      <c r="E854" s="65" t="str">
        <v>---</v>
      </c>
      <c r="F854" s="65"/>
      <c r="G854" s="65"/>
      <c r="H854" s="65"/>
      <c r="I854" s="65"/>
      <c r="J854" s="65"/>
      <c r="K854" s="65" t="s">
        <v>1846</v>
      </c>
      <c r="L854" s="65"/>
      <c r="M854" s="65"/>
      <c r="N854" s="65"/>
    </row>
    <row r="855" spans="1:14" ht="12.75">
      <c r="A855" s="65"/>
      <c r="B855" s="65"/>
      <c r="C855" s="65"/>
      <c r="D855" s="65"/>
      <c r="E855" s="65" t="str">
        <v>---</v>
      </c>
      <c r="F855" s="65"/>
      <c r="G855" s="65"/>
      <c r="H855" s="65"/>
      <c r="I855" s="65"/>
      <c r="J855" s="65"/>
      <c r="K855" s="65" t="s">
        <v>1847</v>
      </c>
      <c r="L855" s="65"/>
      <c r="M855" s="65"/>
      <c r="N855" s="65"/>
    </row>
    <row r="856" spans="1:14" ht="12.75">
      <c r="A856" s="65"/>
      <c r="B856" s="65"/>
      <c r="C856" s="65"/>
      <c r="D856" s="65"/>
      <c r="E856" s="65" t="str">
        <v>---</v>
      </c>
      <c r="F856" s="65"/>
      <c r="G856" s="65"/>
      <c r="H856" s="65"/>
      <c r="I856" s="65"/>
      <c r="J856" s="65"/>
      <c r="K856" s="65" t="s">
        <v>1848</v>
      </c>
      <c r="L856" s="65"/>
      <c r="M856" s="65"/>
      <c r="N856" s="65"/>
    </row>
    <row r="857" spans="1:14" ht="12.75">
      <c r="A857" s="65"/>
      <c r="B857" s="65"/>
      <c r="C857" s="65"/>
      <c r="D857" s="65"/>
      <c r="E857" s="65" t="str">
        <v>---</v>
      </c>
      <c r="F857" s="65"/>
      <c r="G857" s="65"/>
      <c r="H857" s="65"/>
      <c r="I857" s="65"/>
      <c r="J857" s="65"/>
      <c r="K857" s="65" t="s">
        <v>1849</v>
      </c>
      <c r="L857" s="65"/>
      <c r="M857" s="65"/>
      <c r="N857" s="65"/>
    </row>
    <row r="858" spans="1:14" ht="12.75">
      <c r="A858" s="65"/>
      <c r="B858" s="65"/>
      <c r="C858" s="65"/>
      <c r="D858" s="65"/>
      <c r="E858" s="65" t="str">
        <v>---</v>
      </c>
      <c r="F858" s="65"/>
      <c r="G858" s="65"/>
      <c r="H858" s="65"/>
      <c r="I858" s="65"/>
      <c r="J858" s="65"/>
      <c r="K858" s="65" t="s">
        <v>1850</v>
      </c>
      <c r="L858" s="65"/>
      <c r="M858" s="65"/>
      <c r="N858" s="65"/>
    </row>
    <row r="859" spans="1:14" ht="12.75">
      <c r="A859" s="65"/>
      <c r="B859" s="65"/>
      <c r="C859" s="65"/>
      <c r="D859" s="65"/>
      <c r="E859" s="65" t="str">
        <v>---</v>
      </c>
      <c r="F859" s="65"/>
      <c r="G859" s="65"/>
      <c r="H859" s="65"/>
      <c r="I859" s="65"/>
      <c r="J859" s="65"/>
      <c r="K859" s="65" t="s">
        <v>1851</v>
      </c>
      <c r="L859" s="65"/>
      <c r="M859" s="65"/>
      <c r="N859" s="65"/>
    </row>
    <row r="860" spans="1:14" ht="12.75">
      <c r="A860" s="65"/>
      <c r="B860" s="65"/>
      <c r="C860" s="65"/>
      <c r="D860" s="65"/>
      <c r="E860" s="65" t="str">
        <v>---</v>
      </c>
      <c r="F860" s="65"/>
      <c r="G860" s="65"/>
      <c r="H860" s="65"/>
      <c r="I860" s="65"/>
      <c r="J860" s="65"/>
      <c r="K860" s="65" t="s">
        <v>1852</v>
      </c>
      <c r="L860" s="65"/>
      <c r="M860" s="65"/>
      <c r="N860" s="65"/>
    </row>
    <row r="861" spans="1:14" ht="12.75">
      <c r="A861" s="65"/>
      <c r="B861" s="65"/>
      <c r="C861" s="65"/>
      <c r="D861" s="65"/>
      <c r="E861" s="65" t="str">
        <v>---</v>
      </c>
      <c r="F861" s="65"/>
      <c r="G861" s="65"/>
      <c r="H861" s="65"/>
      <c r="I861" s="65"/>
      <c r="J861" s="65"/>
      <c r="K861" s="65" t="s">
        <v>1853</v>
      </c>
      <c r="L861" s="65"/>
      <c r="M861" s="65"/>
      <c r="N861" s="65"/>
    </row>
    <row r="862" spans="1:14" ht="12.75">
      <c r="A862" s="65"/>
      <c r="B862" s="65"/>
      <c r="C862" s="65"/>
      <c r="D862" s="65"/>
      <c r="E862" s="65" t="str">
        <v>---</v>
      </c>
      <c r="F862" s="65"/>
      <c r="G862" s="65"/>
      <c r="H862" s="65"/>
      <c r="I862" s="65"/>
      <c r="J862" s="65"/>
      <c r="K862" s="65" t="s">
        <v>1854</v>
      </c>
      <c r="L862" s="65"/>
      <c r="M862" s="65"/>
      <c r="N862" s="65"/>
    </row>
    <row r="863" spans="1:14" ht="12.75">
      <c r="A863" s="65"/>
      <c r="B863" s="65"/>
      <c r="C863" s="65"/>
      <c r="D863" s="65"/>
      <c r="E863" s="65" t="str">
        <v>---</v>
      </c>
      <c r="F863" s="65"/>
      <c r="G863" s="65"/>
      <c r="H863" s="65"/>
      <c r="I863" s="65"/>
      <c r="J863" s="65"/>
      <c r="K863" s="65" t="s">
        <v>1855</v>
      </c>
      <c r="L863" s="65"/>
      <c r="M863" s="65"/>
      <c r="N863" s="65"/>
    </row>
    <row r="864" spans="1:14" ht="12.75">
      <c r="A864" s="65"/>
      <c r="B864" s="65"/>
      <c r="C864" s="65"/>
      <c r="D864" s="65"/>
      <c r="E864" s="65" t="str">
        <v>---</v>
      </c>
      <c r="F864" s="65"/>
      <c r="G864" s="65"/>
      <c r="H864" s="65"/>
      <c r="I864" s="65"/>
      <c r="J864" s="65"/>
      <c r="K864" s="65" t="s">
        <v>1856</v>
      </c>
      <c r="L864" s="65"/>
      <c r="M864" s="65"/>
      <c r="N864" s="65"/>
    </row>
    <row r="865" spans="1:14" ht="12.75">
      <c r="A865" s="65"/>
      <c r="B865" s="65"/>
      <c r="C865" s="65"/>
      <c r="D865" s="65"/>
      <c r="E865" s="65" t="str">
        <v>---</v>
      </c>
      <c r="F865" s="65"/>
      <c r="G865" s="65"/>
      <c r="H865" s="65"/>
      <c r="I865" s="65"/>
      <c r="J865" s="65"/>
      <c r="K865" s="65" t="s">
        <v>1857</v>
      </c>
      <c r="L865" s="65"/>
      <c r="M865" s="65"/>
      <c r="N865" s="65"/>
    </row>
    <row r="866" spans="1:14" ht="12.75">
      <c r="A866" s="65"/>
      <c r="B866" s="65"/>
      <c r="C866" s="65"/>
      <c r="D866" s="65"/>
      <c r="E866" s="65" t="str">
        <v>---</v>
      </c>
      <c r="F866" s="65"/>
      <c r="G866" s="65"/>
      <c r="H866" s="65"/>
      <c r="I866" s="65"/>
      <c r="J866" s="65"/>
      <c r="K866" s="65" t="s">
        <v>1858</v>
      </c>
      <c r="L866" s="65"/>
      <c r="M866" s="65"/>
      <c r="N866" s="65"/>
    </row>
    <row r="867" spans="1:14" ht="12.75">
      <c r="A867" s="65"/>
      <c r="B867" s="65"/>
      <c r="C867" s="65"/>
      <c r="D867" s="65"/>
      <c r="E867" s="65" t="str">
        <v>---</v>
      </c>
      <c r="F867" s="65"/>
      <c r="G867" s="65"/>
      <c r="H867" s="65"/>
      <c r="I867" s="65"/>
      <c r="J867" s="65"/>
      <c r="K867" s="65" t="s">
        <v>1859</v>
      </c>
      <c r="L867" s="65"/>
      <c r="M867" s="65"/>
      <c r="N867" s="65"/>
    </row>
    <row r="868" spans="1:14" ht="12.75">
      <c r="A868" s="65"/>
      <c r="B868" s="65"/>
      <c r="C868" s="65"/>
      <c r="D868" s="65"/>
      <c r="E868" s="65" t="str">
        <v>---</v>
      </c>
      <c r="F868" s="65"/>
      <c r="G868" s="65"/>
      <c r="H868" s="65"/>
      <c r="I868" s="65"/>
      <c r="J868" s="65"/>
      <c r="K868" s="65" t="s">
        <v>1860</v>
      </c>
      <c r="L868" s="65"/>
      <c r="M868" s="65"/>
      <c r="N868" s="65"/>
    </row>
    <row r="869" spans="1:14" ht="12.75">
      <c r="A869" s="65"/>
      <c r="B869" s="65"/>
      <c r="C869" s="65"/>
      <c r="D869" s="65"/>
      <c r="E869" s="65" t="str">
        <v>---</v>
      </c>
      <c r="F869" s="65"/>
      <c r="G869" s="65"/>
      <c r="H869" s="65"/>
      <c r="I869" s="65"/>
      <c r="J869" s="65"/>
      <c r="K869" s="65" t="s">
        <v>1861</v>
      </c>
      <c r="L869" s="65"/>
      <c r="M869" s="65"/>
      <c r="N869" s="65"/>
    </row>
    <row r="870" spans="1:14" ht="12.75">
      <c r="A870" s="65"/>
      <c r="B870" s="65"/>
      <c r="C870" s="65"/>
      <c r="D870" s="65"/>
      <c r="E870" s="65" t="str">
        <v>---</v>
      </c>
      <c r="F870" s="65"/>
      <c r="G870" s="65"/>
      <c r="H870" s="65"/>
      <c r="I870" s="65"/>
      <c r="J870" s="65"/>
      <c r="K870" s="65" t="s">
        <v>1862</v>
      </c>
      <c r="L870" s="65"/>
      <c r="M870" s="65"/>
      <c r="N870" s="65"/>
    </row>
    <row r="871" spans="1:14" ht="12.75">
      <c r="A871" s="65"/>
      <c r="B871" s="65"/>
      <c r="C871" s="65"/>
      <c r="D871" s="65"/>
      <c r="E871" s="65" t="str">
        <v>---</v>
      </c>
      <c r="F871" s="65"/>
      <c r="G871" s="65"/>
      <c r="H871" s="65"/>
      <c r="I871" s="65"/>
      <c r="J871" s="65"/>
      <c r="K871" s="65" t="s">
        <v>1863</v>
      </c>
      <c r="L871" s="65"/>
      <c r="M871" s="65"/>
      <c r="N871" s="65"/>
    </row>
    <row r="872" spans="1:14" ht="12.75">
      <c r="A872" s="65"/>
      <c r="B872" s="65"/>
      <c r="C872" s="65"/>
      <c r="D872" s="65"/>
      <c r="E872" s="65" t="str">
        <v>---</v>
      </c>
      <c r="F872" s="65"/>
      <c r="G872" s="65"/>
      <c r="H872" s="65"/>
      <c r="I872" s="65"/>
      <c r="J872" s="65"/>
      <c r="K872" s="65" t="s">
        <v>1864</v>
      </c>
      <c r="L872" s="65"/>
      <c r="M872" s="65"/>
      <c r="N872" s="65"/>
    </row>
    <row r="873" spans="1:14" ht="12.75">
      <c r="A873" s="65"/>
      <c r="B873" s="65"/>
      <c r="C873" s="65"/>
      <c r="D873" s="65"/>
      <c r="E873" s="65" t="str">
        <v>---</v>
      </c>
      <c r="F873" s="65"/>
      <c r="G873" s="65"/>
      <c r="H873" s="65"/>
      <c r="I873" s="65"/>
      <c r="J873" s="65"/>
      <c r="K873" s="65" t="s">
        <v>1865</v>
      </c>
      <c r="L873" s="65"/>
      <c r="M873" s="65"/>
      <c r="N873" s="65"/>
    </row>
    <row r="874" spans="1:14" ht="12.75">
      <c r="A874" s="65"/>
      <c r="B874" s="65"/>
      <c r="C874" s="65"/>
      <c r="D874" s="65"/>
      <c r="E874" s="65" t="str">
        <v>---</v>
      </c>
      <c r="F874" s="65"/>
      <c r="G874" s="65"/>
      <c r="H874" s="65"/>
      <c r="I874" s="65"/>
      <c r="J874" s="65"/>
      <c r="K874" s="65" t="s">
        <v>1866</v>
      </c>
      <c r="L874" s="65"/>
      <c r="M874" s="65"/>
      <c r="N874" s="65"/>
    </row>
    <row r="875" spans="1:14" ht="12.75">
      <c r="A875" s="65"/>
      <c r="B875" s="65"/>
      <c r="C875" s="65"/>
      <c r="D875" s="65"/>
      <c r="E875" s="65" t="str">
        <v>---</v>
      </c>
      <c r="F875" s="65"/>
      <c r="G875" s="65"/>
      <c r="H875" s="65"/>
      <c r="I875" s="65"/>
      <c r="J875" s="65"/>
      <c r="K875" s="65" t="s">
        <v>1867</v>
      </c>
      <c r="L875" s="65"/>
      <c r="M875" s="65"/>
      <c r="N875" s="65"/>
    </row>
    <row r="876" spans="1:14" ht="12.75">
      <c r="A876" s="65"/>
      <c r="B876" s="65"/>
      <c r="C876" s="65"/>
      <c r="D876" s="65"/>
      <c r="E876" s="65" t="str">
        <v>---</v>
      </c>
      <c r="F876" s="65"/>
      <c r="G876" s="65"/>
      <c r="H876" s="65"/>
      <c r="I876" s="65"/>
      <c r="J876" s="65"/>
      <c r="K876" s="65" t="s">
        <v>1868</v>
      </c>
      <c r="L876" s="65"/>
      <c r="M876" s="65"/>
      <c r="N876" s="65"/>
    </row>
    <row r="877" spans="1:14" ht="12.75">
      <c r="A877" s="65"/>
      <c r="B877" s="65"/>
      <c r="C877" s="65"/>
      <c r="D877" s="65"/>
      <c r="E877" s="65" t="str">
        <v>---</v>
      </c>
      <c r="F877" s="65"/>
      <c r="G877" s="65"/>
      <c r="H877" s="65"/>
      <c r="I877" s="65"/>
      <c r="J877" s="65"/>
      <c r="K877" s="65" t="s">
        <v>1869</v>
      </c>
      <c r="L877" s="65"/>
      <c r="M877" s="65"/>
      <c r="N877" s="65"/>
    </row>
    <row r="878" spans="1:14" ht="12.75">
      <c r="A878" s="65"/>
      <c r="B878" s="65"/>
      <c r="C878" s="65"/>
      <c r="D878" s="65"/>
      <c r="E878" s="65" t="str">
        <v>---</v>
      </c>
      <c r="F878" s="65"/>
      <c r="G878" s="65"/>
      <c r="H878" s="65"/>
      <c r="I878" s="65"/>
      <c r="J878" s="65"/>
      <c r="K878" s="65" t="s">
        <v>1870</v>
      </c>
      <c r="L878" s="65"/>
      <c r="M878" s="65"/>
      <c r="N878" s="65"/>
    </row>
    <row r="879" spans="1:14" ht="12.75">
      <c r="A879" s="65"/>
      <c r="B879" s="65"/>
      <c r="C879" s="65"/>
      <c r="D879" s="65"/>
      <c r="E879" s="65" t="str">
        <v>---</v>
      </c>
      <c r="F879" s="65"/>
      <c r="G879" s="65"/>
      <c r="H879" s="65"/>
      <c r="I879" s="65"/>
      <c r="J879" s="65"/>
      <c r="K879" s="65" t="s">
        <v>1871</v>
      </c>
      <c r="L879" s="65"/>
      <c r="M879" s="65"/>
      <c r="N879" s="65"/>
    </row>
    <row r="880" spans="1:14" ht="12.75">
      <c r="A880" s="65"/>
      <c r="B880" s="65"/>
      <c r="C880" s="65"/>
      <c r="D880" s="65"/>
      <c r="E880" s="65" t="str">
        <v>---</v>
      </c>
      <c r="F880" s="65"/>
      <c r="G880" s="65"/>
      <c r="H880" s="65"/>
      <c r="I880" s="65"/>
      <c r="J880" s="65"/>
      <c r="K880" s="65" t="s">
        <v>1872</v>
      </c>
      <c r="L880" s="65"/>
      <c r="M880" s="65"/>
      <c r="N880" s="65"/>
    </row>
    <row r="881" spans="1:14" ht="12.75">
      <c r="A881" s="65"/>
      <c r="B881" s="65"/>
      <c r="C881" s="65"/>
      <c r="D881" s="65"/>
      <c r="E881" s="65" t="str">
        <v>---</v>
      </c>
      <c r="F881" s="65"/>
      <c r="G881" s="65"/>
      <c r="H881" s="65"/>
      <c r="I881" s="65"/>
      <c r="J881" s="65"/>
      <c r="K881" s="65" t="s">
        <v>1873</v>
      </c>
      <c r="L881" s="65"/>
      <c r="M881" s="65"/>
      <c r="N881" s="65"/>
    </row>
    <row r="882" spans="1:14" ht="12.75">
      <c r="A882" s="65"/>
      <c r="B882" s="65"/>
      <c r="C882" s="65"/>
      <c r="D882" s="65"/>
      <c r="E882" s="65" t="str">
        <v>---</v>
      </c>
      <c r="F882" s="65"/>
      <c r="G882" s="65"/>
      <c r="H882" s="65"/>
      <c r="I882" s="65"/>
      <c r="J882" s="65"/>
      <c r="K882" s="65" t="s">
        <v>1874</v>
      </c>
      <c r="L882" s="65"/>
      <c r="M882" s="65"/>
      <c r="N882" s="65"/>
    </row>
    <row r="883" spans="1:14" ht="12.75">
      <c r="A883" s="65"/>
      <c r="B883" s="65"/>
      <c r="C883" s="65"/>
      <c r="D883" s="65"/>
      <c r="E883" s="65" t="str">
        <v>---</v>
      </c>
      <c r="F883" s="65"/>
      <c r="G883" s="65"/>
      <c r="H883" s="65"/>
      <c r="I883" s="65"/>
      <c r="J883" s="65"/>
      <c r="K883" s="65" t="s">
        <v>1875</v>
      </c>
      <c r="L883" s="65"/>
      <c r="M883" s="65"/>
      <c r="N883" s="65"/>
    </row>
    <row r="884" spans="1:14" ht="12.75">
      <c r="A884" s="65"/>
      <c r="B884" s="65"/>
      <c r="C884" s="65"/>
      <c r="D884" s="65"/>
      <c r="E884" s="65" t="str">
        <v>---</v>
      </c>
      <c r="F884" s="65"/>
      <c r="G884" s="65"/>
      <c r="H884" s="65"/>
      <c r="I884" s="65"/>
      <c r="J884" s="65"/>
      <c r="K884" s="65" t="s">
        <v>1876</v>
      </c>
      <c r="L884" s="65"/>
      <c r="M884" s="65"/>
      <c r="N884" s="65"/>
    </row>
    <row r="885" spans="1:14" ht="12.75">
      <c r="A885" s="65"/>
      <c r="B885" s="65"/>
      <c r="C885" s="65"/>
      <c r="D885" s="65"/>
      <c r="E885" s="65" t="str">
        <v>---</v>
      </c>
      <c r="F885" s="65"/>
      <c r="G885" s="65"/>
      <c r="H885" s="65"/>
      <c r="I885" s="65"/>
      <c r="J885" s="65"/>
      <c r="K885" s="65" t="s">
        <v>1877</v>
      </c>
      <c r="L885" s="65"/>
      <c r="M885" s="65"/>
      <c r="N885" s="65"/>
    </row>
    <row r="886" spans="1:14" ht="12.75">
      <c r="A886" s="65"/>
      <c r="B886" s="65"/>
      <c r="C886" s="65"/>
      <c r="D886" s="65"/>
      <c r="E886" s="65" t="str">
        <v>---</v>
      </c>
      <c r="F886" s="65"/>
      <c r="G886" s="65"/>
      <c r="H886" s="65"/>
      <c r="I886" s="65"/>
      <c r="J886" s="65"/>
      <c r="K886" s="65" t="s">
        <v>1878</v>
      </c>
      <c r="L886" s="65"/>
      <c r="M886" s="65"/>
      <c r="N886" s="65"/>
    </row>
    <row r="887" spans="1:14" ht="12.75">
      <c r="A887" s="65"/>
      <c r="B887" s="65"/>
      <c r="C887" s="65"/>
      <c r="D887" s="65"/>
      <c r="E887" s="65" t="str">
        <v>---</v>
      </c>
      <c r="F887" s="65"/>
      <c r="G887" s="65"/>
      <c r="H887" s="65"/>
      <c r="I887" s="65"/>
      <c r="J887" s="65"/>
      <c r="K887" s="65" t="s">
        <v>1879</v>
      </c>
      <c r="L887" s="65"/>
      <c r="M887" s="65"/>
      <c r="N887" s="65"/>
    </row>
    <row r="888" spans="1:14" ht="12.75">
      <c r="A888" s="65"/>
      <c r="B888" s="65"/>
      <c r="C888" s="65"/>
      <c r="D888" s="65"/>
      <c r="E888" s="65" t="str">
        <v>---</v>
      </c>
      <c r="F888" s="65"/>
      <c r="G888" s="65"/>
      <c r="H888" s="65"/>
      <c r="I888" s="65"/>
      <c r="J888" s="65"/>
      <c r="K888" s="65" t="s">
        <v>1880</v>
      </c>
      <c r="L888" s="65"/>
      <c r="M888" s="65"/>
      <c r="N888" s="65"/>
    </row>
    <row r="889" spans="1:14" ht="12.75">
      <c r="A889" s="65"/>
      <c r="B889" s="65"/>
      <c r="C889" s="65"/>
      <c r="D889" s="65"/>
      <c r="E889" s="65" t="str">
        <v>---</v>
      </c>
      <c r="F889" s="65"/>
      <c r="G889" s="65"/>
      <c r="H889" s="65"/>
      <c r="I889" s="65"/>
      <c r="J889" s="65"/>
      <c r="K889" s="65" t="s">
        <v>1881</v>
      </c>
      <c r="L889" s="65"/>
      <c r="M889" s="65"/>
      <c r="N889" s="65"/>
    </row>
    <row r="890" spans="1:14" ht="12.75">
      <c r="A890" s="65"/>
      <c r="B890" s="65"/>
      <c r="C890" s="65"/>
      <c r="D890" s="65"/>
      <c r="E890" s="65" t="str">
        <v>---</v>
      </c>
      <c r="F890" s="65"/>
      <c r="G890" s="65"/>
      <c r="H890" s="65"/>
      <c r="I890" s="65"/>
      <c r="J890" s="65"/>
      <c r="K890" s="65" t="s">
        <v>1882</v>
      </c>
      <c r="L890" s="65"/>
      <c r="M890" s="65"/>
      <c r="N890" s="65"/>
    </row>
    <row r="891" spans="1:14" ht="12.75">
      <c r="A891" s="65"/>
      <c r="B891" s="65"/>
      <c r="C891" s="65"/>
      <c r="D891" s="65"/>
      <c r="E891" s="65" t="str">
        <v>---</v>
      </c>
      <c r="F891" s="65"/>
      <c r="G891" s="65"/>
      <c r="H891" s="65"/>
      <c r="I891" s="65"/>
      <c r="J891" s="65"/>
      <c r="K891" s="65" t="s">
        <v>1883</v>
      </c>
      <c r="L891" s="65"/>
      <c r="M891" s="65"/>
      <c r="N891" s="65"/>
    </row>
    <row r="892" spans="1:14" ht="12.75">
      <c r="A892" s="65"/>
      <c r="B892" s="65"/>
      <c r="C892" s="65"/>
      <c r="D892" s="65"/>
      <c r="E892" s="65" t="str">
        <v>---</v>
      </c>
      <c r="F892" s="65"/>
      <c r="G892" s="65"/>
      <c r="H892" s="65"/>
      <c r="I892" s="65"/>
      <c r="J892" s="65"/>
      <c r="K892" s="65" t="s">
        <v>1884</v>
      </c>
      <c r="L892" s="65"/>
      <c r="M892" s="65"/>
      <c r="N892" s="65"/>
    </row>
    <row r="893" spans="1:14" ht="12.75">
      <c r="A893" s="65"/>
      <c r="B893" s="65"/>
      <c r="C893" s="65"/>
      <c r="D893" s="65"/>
      <c r="E893" s="65" t="str">
        <v>---</v>
      </c>
      <c r="F893" s="65"/>
      <c r="G893" s="65"/>
      <c r="H893" s="65"/>
      <c r="I893" s="65"/>
      <c r="J893" s="65"/>
      <c r="K893" s="65" t="s">
        <v>1885</v>
      </c>
      <c r="L893" s="65"/>
      <c r="M893" s="65"/>
      <c r="N893" s="65"/>
    </row>
    <row r="894" spans="1:14" ht="12.75">
      <c r="A894" s="65"/>
      <c r="B894" s="65"/>
      <c r="C894" s="65"/>
      <c r="D894" s="65"/>
      <c r="E894" s="65" t="str">
        <v>---</v>
      </c>
      <c r="F894" s="65"/>
      <c r="G894" s="65"/>
      <c r="H894" s="65"/>
      <c r="I894" s="65"/>
      <c r="J894" s="65"/>
      <c r="K894" s="65" t="s">
        <v>1886</v>
      </c>
      <c r="L894" s="65"/>
      <c r="M894" s="65"/>
      <c r="N894" s="65"/>
    </row>
    <row r="895" spans="1:14" ht="12.75">
      <c r="A895" s="65"/>
      <c r="B895" s="65"/>
      <c r="C895" s="65"/>
      <c r="D895" s="65"/>
      <c r="E895" s="65" t="str">
        <v>---</v>
      </c>
      <c r="F895" s="65"/>
      <c r="G895" s="65"/>
      <c r="H895" s="65"/>
      <c r="I895" s="65"/>
      <c r="J895" s="65"/>
      <c r="K895" s="65" t="s">
        <v>1887</v>
      </c>
      <c r="L895" s="65"/>
      <c r="M895" s="65"/>
      <c r="N895" s="65"/>
    </row>
    <row r="896" spans="1:14" ht="12.75">
      <c r="A896" s="65"/>
      <c r="B896" s="65"/>
      <c r="C896" s="65"/>
      <c r="D896" s="65"/>
      <c r="E896" s="65" t="str">
        <v>---</v>
      </c>
      <c r="F896" s="65"/>
      <c r="G896" s="65"/>
      <c r="H896" s="65"/>
      <c r="I896" s="65"/>
      <c r="J896" s="65"/>
      <c r="K896" s="65" t="s">
        <v>1888</v>
      </c>
      <c r="L896" s="65"/>
      <c r="M896" s="65"/>
      <c r="N896" s="65"/>
    </row>
    <row r="897" spans="1:14" ht="12.75">
      <c r="A897" s="65"/>
      <c r="B897" s="65"/>
      <c r="C897" s="65"/>
      <c r="D897" s="65"/>
      <c r="E897" s="65" t="str">
        <v>---</v>
      </c>
      <c r="F897" s="65"/>
      <c r="G897" s="65"/>
      <c r="H897" s="65"/>
      <c r="I897" s="65"/>
      <c r="J897" s="65"/>
      <c r="K897" s="65" t="s">
        <v>1889</v>
      </c>
      <c r="L897" s="65"/>
      <c r="M897" s="65"/>
      <c r="N897" s="65"/>
    </row>
    <row r="898" spans="1:14" ht="12.75">
      <c r="A898" s="65"/>
      <c r="B898" s="65"/>
      <c r="C898" s="65"/>
      <c r="D898" s="65"/>
      <c r="E898" s="65" t="str">
        <v>---</v>
      </c>
      <c r="F898" s="65"/>
      <c r="G898" s="65"/>
      <c r="H898" s="65"/>
      <c r="I898" s="65"/>
      <c r="J898" s="65"/>
      <c r="K898" s="65" t="s">
        <v>1890</v>
      </c>
      <c r="L898" s="65"/>
      <c r="M898" s="65"/>
      <c r="N898" s="65"/>
    </row>
    <row r="899" spans="1:14" ht="12.75">
      <c r="A899" s="65"/>
      <c r="B899" s="65"/>
      <c r="C899" s="65"/>
      <c r="D899" s="65"/>
      <c r="E899" s="65" t="str">
        <v>---</v>
      </c>
      <c r="F899" s="65"/>
      <c r="G899" s="65"/>
      <c r="H899" s="65"/>
      <c r="I899" s="65"/>
      <c r="J899" s="65"/>
      <c r="K899" s="65" t="s">
        <v>1891</v>
      </c>
      <c r="L899" s="65"/>
      <c r="M899" s="65"/>
      <c r="N899" s="65"/>
    </row>
    <row r="900" spans="1:14" ht="12.75">
      <c r="A900" s="65"/>
      <c r="B900" s="65"/>
      <c r="C900" s="65"/>
      <c r="D900" s="65"/>
      <c r="E900" s="65" t="str">
        <v>---</v>
      </c>
      <c r="F900" s="65"/>
      <c r="G900" s="65"/>
      <c r="H900" s="65"/>
      <c r="I900" s="65"/>
      <c r="J900" s="65"/>
      <c r="K900" s="65" t="s">
        <v>1892</v>
      </c>
      <c r="L900" s="65"/>
      <c r="M900" s="65"/>
      <c r="N900" s="65"/>
    </row>
    <row r="901" spans="1:14" ht="12.75">
      <c r="A901" s="65"/>
      <c r="B901" s="65"/>
      <c r="C901" s="65"/>
      <c r="D901" s="65"/>
      <c r="E901" s="65" t="str">
        <v>---</v>
      </c>
      <c r="F901" s="65"/>
      <c r="G901" s="65"/>
      <c r="H901" s="65"/>
      <c r="I901" s="65"/>
      <c r="J901" s="65"/>
      <c r="K901" s="65" t="s">
        <v>1893</v>
      </c>
      <c r="L901" s="65"/>
      <c r="M901" s="65"/>
      <c r="N901" s="65"/>
    </row>
    <row r="902" spans="1:14" ht="12.75">
      <c r="A902" s="65"/>
      <c r="B902" s="65"/>
      <c r="C902" s="65"/>
      <c r="D902" s="65"/>
      <c r="E902" s="65" t="str">
        <v>---</v>
      </c>
      <c r="F902" s="65"/>
      <c r="G902" s="65"/>
      <c r="H902" s="65"/>
      <c r="I902" s="65"/>
      <c r="J902" s="65"/>
      <c r="K902" s="65" t="s">
        <v>1894</v>
      </c>
      <c r="L902" s="65"/>
      <c r="M902" s="65"/>
      <c r="N902" s="65"/>
    </row>
    <row r="903" spans="1:14" ht="12.75">
      <c r="A903" s="65"/>
      <c r="B903" s="65"/>
      <c r="C903" s="65"/>
      <c r="D903" s="65"/>
      <c r="E903" s="65" t="str">
        <v>---</v>
      </c>
      <c r="F903" s="65"/>
      <c r="G903" s="65"/>
      <c r="H903" s="65"/>
      <c r="I903" s="65"/>
      <c r="J903" s="65"/>
      <c r="K903" s="65" t="s">
        <v>1895</v>
      </c>
      <c r="L903" s="65"/>
      <c r="M903" s="65"/>
      <c r="N903" s="65"/>
    </row>
    <row r="904" spans="1:14" ht="12.75">
      <c r="A904" s="65"/>
      <c r="B904" s="65"/>
      <c r="C904" s="65"/>
      <c r="D904" s="65"/>
      <c r="E904" s="65" t="str">
        <v>---</v>
      </c>
      <c r="F904" s="65"/>
      <c r="G904" s="65"/>
      <c r="H904" s="65"/>
      <c r="I904" s="65"/>
      <c r="J904" s="65"/>
      <c r="K904" s="65" t="s">
        <v>1896</v>
      </c>
      <c r="L904" s="65"/>
      <c r="M904" s="65"/>
      <c r="N904" s="65"/>
    </row>
    <row r="905" spans="1:14" ht="12.75">
      <c r="A905" s="65"/>
      <c r="B905" s="65"/>
      <c r="C905" s="65"/>
      <c r="D905" s="65"/>
      <c r="E905" s="65" t="str">
        <v>---</v>
      </c>
      <c r="F905" s="65"/>
      <c r="G905" s="65"/>
      <c r="H905" s="65"/>
      <c r="I905" s="65"/>
      <c r="J905" s="65"/>
      <c r="K905" s="65" t="s">
        <v>1897</v>
      </c>
      <c r="L905" s="65"/>
      <c r="M905" s="65"/>
      <c r="N905" s="65"/>
    </row>
    <row r="906" spans="1:14" ht="12.75">
      <c r="A906" s="65"/>
      <c r="B906" s="65"/>
      <c r="C906" s="65"/>
      <c r="D906" s="65"/>
      <c r="E906" s="65" t="str">
        <v>---</v>
      </c>
      <c r="F906" s="65"/>
      <c r="G906" s="65"/>
      <c r="H906" s="65"/>
      <c r="I906" s="65"/>
      <c r="J906" s="65"/>
      <c r="K906" s="65" t="s">
        <v>1898</v>
      </c>
      <c r="L906" s="65"/>
      <c r="M906" s="65"/>
      <c r="N906" s="65"/>
    </row>
    <row r="907" spans="1:14" ht="12.75">
      <c r="A907" s="65"/>
      <c r="B907" s="65"/>
      <c r="C907" s="65"/>
      <c r="D907" s="65"/>
      <c r="E907" s="65" t="str">
        <v>---</v>
      </c>
      <c r="F907" s="65"/>
      <c r="G907" s="65"/>
      <c r="H907" s="65"/>
      <c r="I907" s="65"/>
      <c r="J907" s="65"/>
      <c r="K907" s="65" t="s">
        <v>1899</v>
      </c>
      <c r="L907" s="65"/>
      <c r="M907" s="65"/>
      <c r="N907" s="65"/>
    </row>
    <row r="908" spans="1:14" ht="12.75">
      <c r="A908" s="65"/>
      <c r="B908" s="65"/>
      <c r="C908" s="65"/>
      <c r="D908" s="65"/>
      <c r="E908" s="65" t="str">
        <v>---</v>
      </c>
      <c r="F908" s="65"/>
      <c r="G908" s="65"/>
      <c r="H908" s="65"/>
      <c r="I908" s="65"/>
      <c r="J908" s="65"/>
      <c r="K908" s="65" t="s">
        <v>1900</v>
      </c>
      <c r="L908" s="65"/>
      <c r="M908" s="65"/>
      <c r="N908" s="65"/>
    </row>
    <row r="909" spans="1:14" ht="12.75">
      <c r="A909" s="65"/>
      <c r="B909" s="65"/>
      <c r="C909" s="65"/>
      <c r="D909" s="65"/>
      <c r="E909" s="65" t="str">
        <v>---</v>
      </c>
      <c r="F909" s="65"/>
      <c r="G909" s="65"/>
      <c r="H909" s="65"/>
      <c r="I909" s="65"/>
      <c r="J909" s="65"/>
      <c r="K909" s="65" t="s">
        <v>1901</v>
      </c>
      <c r="L909" s="65"/>
      <c r="M909" s="65"/>
      <c r="N909" s="65"/>
    </row>
    <row r="910" spans="1:14" ht="12.75">
      <c r="A910" s="65"/>
      <c r="B910" s="65"/>
      <c r="C910" s="65"/>
      <c r="D910" s="65"/>
      <c r="E910" s="65" t="str">
        <v>---</v>
      </c>
      <c r="F910" s="65"/>
      <c r="G910" s="65"/>
      <c r="H910" s="65"/>
      <c r="I910" s="65"/>
      <c r="J910" s="65"/>
      <c r="K910" s="65" t="s">
        <v>1902</v>
      </c>
      <c r="L910" s="65"/>
      <c r="M910" s="65"/>
      <c r="N910" s="65"/>
    </row>
    <row r="911" spans="1:14" ht="12.75">
      <c r="A911" s="65"/>
      <c r="B911" s="65"/>
      <c r="C911" s="65"/>
      <c r="D911" s="65"/>
      <c r="E911" s="65" t="str">
        <v>---</v>
      </c>
      <c r="F911" s="65"/>
      <c r="G911" s="65"/>
      <c r="H911" s="65"/>
      <c r="I911" s="65"/>
      <c r="J911" s="65"/>
      <c r="K911" s="65" t="s">
        <v>1903</v>
      </c>
      <c r="L911" s="65"/>
      <c r="M911" s="65"/>
      <c r="N911" s="65"/>
    </row>
    <row r="912" spans="1:14" ht="12.75">
      <c r="A912" s="65"/>
      <c r="B912" s="65"/>
      <c r="C912" s="65"/>
      <c r="D912" s="65"/>
      <c r="E912" s="65" t="str">
        <v>---</v>
      </c>
      <c r="F912" s="65"/>
      <c r="G912" s="65"/>
      <c r="H912" s="65"/>
      <c r="I912" s="65"/>
      <c r="J912" s="65"/>
      <c r="K912" s="65" t="s">
        <v>1904</v>
      </c>
      <c r="L912" s="65"/>
      <c r="M912" s="65"/>
      <c r="N912" s="65"/>
    </row>
    <row r="913" spans="1:14" ht="12.75">
      <c r="A913" s="65"/>
      <c r="B913" s="65"/>
      <c r="C913" s="65"/>
      <c r="D913" s="65"/>
      <c r="E913" s="65" t="str">
        <v>---</v>
      </c>
      <c r="F913" s="65"/>
      <c r="G913" s="65"/>
      <c r="H913" s="65"/>
      <c r="I913" s="65"/>
      <c r="J913" s="65"/>
      <c r="K913" s="65" t="s">
        <v>1905</v>
      </c>
      <c r="L913" s="65"/>
      <c r="M913" s="65"/>
      <c r="N913" s="65"/>
    </row>
    <row r="914" spans="1:14" ht="12.75">
      <c r="A914" s="65"/>
      <c r="B914" s="65"/>
      <c r="C914" s="65"/>
      <c r="D914" s="65"/>
      <c r="E914" s="65" t="str">
        <v>---</v>
      </c>
      <c r="F914" s="65"/>
      <c r="G914" s="65"/>
      <c r="H914" s="65"/>
      <c r="I914" s="65"/>
      <c r="J914" s="65"/>
      <c r="K914" s="65" t="s">
        <v>1906</v>
      </c>
      <c r="L914" s="65"/>
      <c r="M914" s="65"/>
      <c r="N914" s="65"/>
    </row>
    <row r="915" spans="1:14" ht="12.75">
      <c r="A915" s="65"/>
      <c r="B915" s="65"/>
      <c r="C915" s="65"/>
      <c r="D915" s="65"/>
      <c r="E915" s="65" t="str">
        <v>---</v>
      </c>
      <c r="F915" s="65"/>
      <c r="G915" s="65"/>
      <c r="H915" s="65"/>
      <c r="I915" s="65"/>
      <c r="J915" s="65"/>
      <c r="K915" s="65" t="s">
        <v>1907</v>
      </c>
      <c r="L915" s="65"/>
      <c r="M915" s="65"/>
      <c r="N915" s="65"/>
    </row>
    <row r="916" spans="1:14" ht="12.75">
      <c r="A916" s="65"/>
      <c r="B916" s="65"/>
      <c r="C916" s="65"/>
      <c r="D916" s="65"/>
      <c r="E916" s="65" t="str">
        <v>---</v>
      </c>
      <c r="F916" s="65"/>
      <c r="G916" s="65"/>
      <c r="H916" s="65"/>
      <c r="I916" s="65"/>
      <c r="J916" s="65"/>
      <c r="K916" s="65" t="s">
        <v>1908</v>
      </c>
      <c r="L916" s="65"/>
      <c r="M916" s="65"/>
      <c r="N916" s="65"/>
    </row>
    <row r="917" spans="1:14" ht="12.75">
      <c r="A917" s="65"/>
      <c r="B917" s="65"/>
      <c r="C917" s="65"/>
      <c r="D917" s="65"/>
      <c r="E917" s="65" t="str">
        <v>---</v>
      </c>
      <c r="F917" s="65"/>
      <c r="G917" s="65"/>
      <c r="H917" s="65"/>
      <c r="I917" s="65"/>
      <c r="J917" s="65"/>
      <c r="K917" s="65" t="s">
        <v>1909</v>
      </c>
      <c r="L917" s="65"/>
      <c r="M917" s="65"/>
      <c r="N917" s="65"/>
    </row>
    <row r="918" spans="1:14" ht="12.75">
      <c r="A918" s="65"/>
      <c r="B918" s="65"/>
      <c r="C918" s="65"/>
      <c r="D918" s="65"/>
      <c r="E918" s="65" t="str">
        <v>---</v>
      </c>
      <c r="F918" s="65"/>
      <c r="G918" s="65"/>
      <c r="H918" s="65"/>
      <c r="I918" s="65"/>
      <c r="J918" s="65"/>
      <c r="K918" s="65" t="s">
        <v>1910</v>
      </c>
      <c r="L918" s="65"/>
      <c r="M918" s="65"/>
      <c r="N918" s="65"/>
    </row>
    <row r="919" spans="1:14" ht="12.75">
      <c r="A919" s="65"/>
      <c r="B919" s="65"/>
      <c r="C919" s="65"/>
      <c r="D919" s="65"/>
      <c r="E919" s="65" t="str">
        <v>---</v>
      </c>
      <c r="F919" s="65"/>
      <c r="G919" s="65"/>
      <c r="H919" s="65"/>
      <c r="I919" s="65"/>
      <c r="J919" s="65"/>
      <c r="K919" s="65" t="s">
        <v>1911</v>
      </c>
      <c r="L919" s="65"/>
      <c r="M919" s="65"/>
      <c r="N919" s="65"/>
    </row>
    <row r="920" spans="1:14" ht="12.75">
      <c r="A920" s="65"/>
      <c r="B920" s="65"/>
      <c r="C920" s="65"/>
      <c r="D920" s="65"/>
      <c r="E920" s="65" t="str">
        <v>---</v>
      </c>
      <c r="F920" s="65"/>
      <c r="G920" s="65"/>
      <c r="H920" s="65"/>
      <c r="I920" s="65"/>
      <c r="J920" s="65"/>
      <c r="K920" s="65" t="s">
        <v>1912</v>
      </c>
      <c r="L920" s="65"/>
      <c r="M920" s="65"/>
      <c r="N920" s="65"/>
    </row>
    <row r="921" spans="1:14" ht="12.75">
      <c r="A921" s="65"/>
      <c r="B921" s="65"/>
      <c r="C921" s="65"/>
      <c r="D921" s="65"/>
      <c r="E921" s="65" t="str">
        <v>---</v>
      </c>
      <c r="F921" s="65"/>
      <c r="G921" s="65"/>
      <c r="H921" s="65"/>
      <c r="I921" s="65"/>
      <c r="J921" s="65"/>
      <c r="K921" s="65" t="s">
        <v>1913</v>
      </c>
      <c r="L921" s="65"/>
      <c r="M921" s="65"/>
      <c r="N921" s="65"/>
    </row>
    <row r="922" spans="1:14" ht="12.75">
      <c r="A922" s="65"/>
      <c r="B922" s="65"/>
      <c r="C922" s="65"/>
      <c r="D922" s="65"/>
      <c r="E922" s="65" t="str">
        <v>---</v>
      </c>
      <c r="F922" s="65"/>
      <c r="G922" s="65"/>
      <c r="H922" s="65"/>
      <c r="I922" s="65"/>
      <c r="J922" s="65"/>
      <c r="K922" s="65" t="s">
        <v>1914</v>
      </c>
      <c r="L922" s="65"/>
      <c r="M922" s="65"/>
      <c r="N922" s="65"/>
    </row>
    <row r="923" spans="1:14" ht="12.75">
      <c r="A923" s="65"/>
      <c r="B923" s="65"/>
      <c r="C923" s="65"/>
      <c r="D923" s="65"/>
      <c r="E923" s="65" t="str">
        <v>---</v>
      </c>
      <c r="F923" s="65"/>
      <c r="G923" s="65"/>
      <c r="H923" s="65"/>
      <c r="I923" s="65"/>
      <c r="J923" s="65"/>
      <c r="K923" s="65" t="s">
        <v>1915</v>
      </c>
      <c r="L923" s="65"/>
      <c r="M923" s="65"/>
      <c r="N923" s="65"/>
    </row>
    <row r="924" spans="1:14" ht="12.75">
      <c r="A924" s="65"/>
      <c r="B924" s="65"/>
      <c r="C924" s="65"/>
      <c r="D924" s="65"/>
      <c r="E924" s="65" t="str">
        <v>---</v>
      </c>
      <c r="F924" s="65"/>
      <c r="G924" s="65"/>
      <c r="H924" s="65"/>
      <c r="I924" s="65"/>
      <c r="J924" s="65"/>
      <c r="K924" s="65" t="s">
        <v>1916</v>
      </c>
      <c r="L924" s="65"/>
      <c r="M924" s="65"/>
      <c r="N924" s="65"/>
    </row>
    <row r="925" spans="1:14" ht="12.75">
      <c r="A925" s="65"/>
      <c r="B925" s="65"/>
      <c r="C925" s="65"/>
      <c r="D925" s="65"/>
      <c r="E925" s="65" t="str">
        <v>---</v>
      </c>
      <c r="F925" s="65"/>
      <c r="G925" s="65"/>
      <c r="H925" s="65"/>
      <c r="I925" s="65"/>
      <c r="J925" s="65"/>
      <c r="K925" s="65" t="s">
        <v>1917</v>
      </c>
      <c r="L925" s="65"/>
      <c r="M925" s="65"/>
      <c r="N925" s="65"/>
    </row>
    <row r="926" spans="1:14" ht="12.75">
      <c r="A926" s="65"/>
      <c r="B926" s="65"/>
      <c r="C926" s="65"/>
      <c r="D926" s="65"/>
      <c r="E926" s="65" t="str">
        <v>---</v>
      </c>
      <c r="F926" s="65"/>
      <c r="G926" s="65"/>
      <c r="H926" s="65"/>
      <c r="I926" s="65"/>
      <c r="J926" s="65"/>
      <c r="K926" s="65" t="s">
        <v>1918</v>
      </c>
      <c r="L926" s="65"/>
      <c r="M926" s="65"/>
      <c r="N926" s="65"/>
    </row>
    <row r="927" spans="1:14" ht="12.75">
      <c r="A927" s="65"/>
      <c r="B927" s="65"/>
      <c r="C927" s="65"/>
      <c r="D927" s="65"/>
      <c r="E927" s="65" t="str">
        <v>---</v>
      </c>
      <c r="F927" s="65"/>
      <c r="G927" s="65"/>
      <c r="H927" s="65"/>
      <c r="I927" s="65"/>
      <c r="J927" s="65"/>
      <c r="K927" s="65" t="s">
        <v>1919</v>
      </c>
      <c r="L927" s="65"/>
      <c r="M927" s="65"/>
      <c r="N927" s="65"/>
    </row>
    <row r="928" spans="1:14" ht="12.75">
      <c r="A928" s="65"/>
      <c r="B928" s="65"/>
      <c r="C928" s="65"/>
      <c r="D928" s="65"/>
      <c r="E928" s="65" t="str">
        <v>---</v>
      </c>
      <c r="F928" s="65"/>
      <c r="G928" s="65"/>
      <c r="H928" s="65"/>
      <c r="I928" s="65"/>
      <c r="J928" s="65"/>
      <c r="K928" s="65" t="s">
        <v>1920</v>
      </c>
      <c r="L928" s="65"/>
      <c r="M928" s="65"/>
      <c r="N928" s="65"/>
    </row>
    <row r="929" spans="1:14" ht="12.75">
      <c r="A929" s="65"/>
      <c r="B929" s="65"/>
      <c r="C929" s="65"/>
      <c r="D929" s="65"/>
      <c r="E929" s="65" t="str">
        <v>---</v>
      </c>
      <c r="F929" s="65"/>
      <c r="G929" s="65"/>
      <c r="H929" s="65"/>
      <c r="I929" s="65"/>
      <c r="J929" s="65"/>
      <c r="K929" s="65" t="s">
        <v>1921</v>
      </c>
      <c r="L929" s="65"/>
      <c r="M929" s="65"/>
      <c r="N929" s="65"/>
    </row>
    <row r="930" spans="1:14" ht="12.75">
      <c r="A930" s="65"/>
      <c r="B930" s="65"/>
      <c r="C930" s="65"/>
      <c r="D930" s="65"/>
      <c r="E930" s="65" t="str">
        <v>---</v>
      </c>
      <c r="F930" s="65"/>
      <c r="G930" s="65"/>
      <c r="H930" s="65"/>
      <c r="I930" s="65"/>
      <c r="J930" s="65"/>
      <c r="K930" s="65" t="s">
        <v>1922</v>
      </c>
      <c r="L930" s="65"/>
      <c r="M930" s="65"/>
      <c r="N930" s="65"/>
    </row>
    <row r="931" spans="1:14" ht="12.75">
      <c r="A931" s="65"/>
      <c r="B931" s="65"/>
      <c r="C931" s="65"/>
      <c r="D931" s="65"/>
      <c r="E931" s="65" t="str">
        <v>---</v>
      </c>
      <c r="F931" s="65"/>
      <c r="G931" s="65"/>
      <c r="H931" s="65"/>
      <c r="I931" s="65"/>
      <c r="J931" s="65"/>
      <c r="K931" s="65" t="s">
        <v>1923</v>
      </c>
      <c r="L931" s="65"/>
      <c r="M931" s="65"/>
      <c r="N931" s="65"/>
    </row>
    <row r="932" spans="1:14" ht="12.75">
      <c r="A932" s="65"/>
      <c r="B932" s="65"/>
      <c r="C932" s="65"/>
      <c r="D932" s="65"/>
      <c r="E932" s="65" t="str">
        <v>---</v>
      </c>
      <c r="F932" s="65"/>
      <c r="G932" s="65"/>
      <c r="H932" s="65"/>
      <c r="I932" s="65"/>
      <c r="J932" s="65"/>
      <c r="K932" s="65" t="s">
        <v>1924</v>
      </c>
      <c r="L932" s="65"/>
      <c r="M932" s="65"/>
      <c r="N932" s="65"/>
    </row>
    <row r="933" spans="1:14" ht="12.75">
      <c r="A933" s="65"/>
      <c r="B933" s="65"/>
      <c r="C933" s="65"/>
      <c r="D933" s="65"/>
      <c r="E933" s="65" t="str">
        <v>---</v>
      </c>
      <c r="F933" s="65"/>
      <c r="G933" s="65"/>
      <c r="H933" s="65"/>
      <c r="I933" s="65"/>
      <c r="J933" s="65"/>
      <c r="K933" s="65" t="s">
        <v>1925</v>
      </c>
      <c r="L933" s="65"/>
      <c r="M933" s="65"/>
      <c r="N933" s="65"/>
    </row>
    <row r="934" spans="1:14" ht="12.75">
      <c r="A934" s="65"/>
      <c r="B934" s="65"/>
      <c r="C934" s="65"/>
      <c r="D934" s="65"/>
      <c r="E934" s="65" t="str">
        <v>---</v>
      </c>
      <c r="F934" s="65"/>
      <c r="G934" s="65"/>
      <c r="H934" s="65"/>
      <c r="I934" s="65"/>
      <c r="J934" s="65"/>
      <c r="K934" s="65" t="s">
        <v>1926</v>
      </c>
      <c r="L934" s="65"/>
      <c r="M934" s="65"/>
      <c r="N934" s="65"/>
    </row>
    <row r="935" spans="1:14" ht="12.75">
      <c r="A935" s="65"/>
      <c r="B935" s="65"/>
      <c r="C935" s="65"/>
      <c r="D935" s="65"/>
      <c r="E935" s="65" t="str">
        <v>---</v>
      </c>
      <c r="F935" s="65"/>
      <c r="G935" s="65"/>
      <c r="H935" s="65"/>
      <c r="I935" s="65"/>
      <c r="J935" s="65"/>
      <c r="K935" s="65" t="s">
        <v>1927</v>
      </c>
      <c r="L935" s="65"/>
      <c r="M935" s="65"/>
      <c r="N935" s="65"/>
    </row>
    <row r="936" spans="1:14" ht="12.75">
      <c r="A936" s="65"/>
      <c r="B936" s="65"/>
      <c r="C936" s="65"/>
      <c r="D936" s="65"/>
      <c r="E936" s="65" t="str">
        <v>---</v>
      </c>
      <c r="F936" s="65"/>
      <c r="G936" s="65"/>
      <c r="H936" s="65"/>
      <c r="I936" s="65"/>
      <c r="J936" s="65"/>
      <c r="K936" s="65" t="s">
        <v>1928</v>
      </c>
      <c r="L936" s="65"/>
      <c r="M936" s="65"/>
      <c r="N936" s="65"/>
    </row>
    <row r="937" spans="1:14" ht="12.75">
      <c r="A937" s="65"/>
      <c r="B937" s="65"/>
      <c r="C937" s="65"/>
      <c r="D937" s="65"/>
      <c r="E937" s="65" t="str">
        <v>---</v>
      </c>
      <c r="F937" s="65"/>
      <c r="G937" s="65"/>
      <c r="H937" s="65"/>
      <c r="I937" s="65"/>
      <c r="J937" s="65"/>
      <c r="K937" s="65" t="s">
        <v>1929</v>
      </c>
      <c r="L937" s="65"/>
      <c r="M937" s="65"/>
      <c r="N937" s="65"/>
    </row>
    <row r="938" spans="1:14" ht="12.75">
      <c r="A938" s="65"/>
      <c r="B938" s="65"/>
      <c r="C938" s="65"/>
      <c r="D938" s="65"/>
      <c r="E938" s="65" t="str">
        <v>---</v>
      </c>
      <c r="F938" s="65"/>
      <c r="G938" s="65"/>
      <c r="H938" s="65"/>
      <c r="I938" s="65"/>
      <c r="J938" s="65"/>
      <c r="K938" s="65" t="s">
        <v>1930</v>
      </c>
      <c r="L938" s="65"/>
      <c r="M938" s="65"/>
      <c r="N938" s="65"/>
    </row>
    <row r="939" spans="1:14" ht="12.75">
      <c r="A939" s="65"/>
      <c r="B939" s="65"/>
      <c r="C939" s="65"/>
      <c r="D939" s="65"/>
      <c r="E939" s="65" t="str">
        <v>---</v>
      </c>
      <c r="F939" s="65"/>
      <c r="G939" s="65"/>
      <c r="H939" s="65"/>
      <c r="I939" s="65"/>
      <c r="J939" s="65"/>
      <c r="K939" s="65" t="s">
        <v>1931</v>
      </c>
      <c r="L939" s="65"/>
      <c r="M939" s="65"/>
      <c r="N939" s="65"/>
    </row>
    <row r="940" spans="1:14" ht="12.75">
      <c r="A940" s="65"/>
      <c r="B940" s="65"/>
      <c r="C940" s="65"/>
      <c r="D940" s="65"/>
      <c r="E940" s="65" t="str">
        <v>---</v>
      </c>
      <c r="F940" s="65"/>
      <c r="G940" s="65"/>
      <c r="H940" s="65"/>
      <c r="I940" s="65"/>
      <c r="J940" s="65"/>
      <c r="K940" s="65" t="s">
        <v>1932</v>
      </c>
      <c r="L940" s="65"/>
      <c r="M940" s="65"/>
      <c r="N940" s="65"/>
    </row>
    <row r="941" spans="1:14" ht="12.75">
      <c r="A941" s="65"/>
      <c r="B941" s="65"/>
      <c r="C941" s="65"/>
      <c r="D941" s="65"/>
      <c r="E941" s="65" t="str">
        <v>---</v>
      </c>
      <c r="F941" s="65"/>
      <c r="G941" s="65"/>
      <c r="H941" s="65"/>
      <c r="I941" s="65"/>
      <c r="J941" s="65"/>
      <c r="K941" s="65" t="s">
        <v>1933</v>
      </c>
      <c r="L941" s="65"/>
      <c r="M941" s="65"/>
      <c r="N941" s="65"/>
    </row>
    <row r="942" spans="1:14" ht="12.75">
      <c r="A942" s="65"/>
      <c r="B942" s="65"/>
      <c r="C942" s="65"/>
      <c r="D942" s="65"/>
      <c r="E942" s="65" t="str">
        <v>---</v>
      </c>
      <c r="F942" s="65"/>
      <c r="G942" s="65"/>
      <c r="H942" s="65"/>
      <c r="I942" s="65"/>
      <c r="J942" s="65"/>
      <c r="K942" s="65" t="s">
        <v>1934</v>
      </c>
      <c r="L942" s="65"/>
      <c r="M942" s="65"/>
      <c r="N942" s="65"/>
    </row>
    <row r="943" spans="1:14" ht="12.75">
      <c r="A943" s="65"/>
      <c r="B943" s="65"/>
      <c r="C943" s="65"/>
      <c r="D943" s="65"/>
      <c r="E943" s="65" t="str">
        <v>---</v>
      </c>
      <c r="F943" s="65"/>
      <c r="G943" s="65"/>
      <c r="H943" s="65"/>
      <c r="I943" s="65"/>
      <c r="J943" s="65"/>
      <c r="K943" s="65" t="s">
        <v>1935</v>
      </c>
      <c r="L943" s="65"/>
      <c r="M943" s="65"/>
      <c r="N943" s="65"/>
    </row>
    <row r="944" spans="1:14" ht="12.75">
      <c r="A944" s="65"/>
      <c r="B944" s="65"/>
      <c r="C944" s="65"/>
      <c r="D944" s="65"/>
      <c r="E944" s="65" t="str">
        <v>---</v>
      </c>
      <c r="F944" s="65"/>
      <c r="G944" s="65"/>
      <c r="H944" s="65"/>
      <c r="I944" s="65"/>
      <c r="J944" s="65"/>
      <c r="K944" s="65" t="s">
        <v>1936</v>
      </c>
      <c r="L944" s="65"/>
      <c r="M944" s="65"/>
      <c r="N944" s="65"/>
    </row>
    <row r="945" spans="1:14" ht="12.75">
      <c r="A945" s="65"/>
      <c r="B945" s="65"/>
      <c r="C945" s="65"/>
      <c r="D945" s="65"/>
      <c r="E945" s="65" t="str">
        <v>---</v>
      </c>
      <c r="F945" s="65"/>
      <c r="G945" s="65"/>
      <c r="H945" s="65"/>
      <c r="I945" s="65"/>
      <c r="J945" s="65"/>
      <c r="K945" s="65" t="s">
        <v>1937</v>
      </c>
      <c r="L945" s="65"/>
      <c r="M945" s="65"/>
      <c r="N945" s="65"/>
    </row>
    <row r="946" spans="1:14" ht="12.75">
      <c r="A946" s="65"/>
      <c r="B946" s="65"/>
      <c r="C946" s="65"/>
      <c r="D946" s="65"/>
      <c r="E946" s="65" t="str">
        <v>---</v>
      </c>
      <c r="F946" s="65"/>
      <c r="G946" s="65"/>
      <c r="H946" s="65"/>
      <c r="I946" s="65"/>
      <c r="J946" s="65"/>
      <c r="K946" s="65" t="s">
        <v>1938</v>
      </c>
      <c r="L946" s="65"/>
      <c r="M946" s="65"/>
      <c r="N946" s="65"/>
    </row>
    <row r="947" spans="1:14" ht="12.75">
      <c r="A947" s="65"/>
      <c r="B947" s="65"/>
      <c r="C947" s="65"/>
      <c r="D947" s="65"/>
      <c r="E947" s="65" t="str">
        <v>---</v>
      </c>
      <c r="F947" s="65"/>
      <c r="G947" s="65"/>
      <c r="H947" s="65"/>
      <c r="I947" s="65"/>
      <c r="J947" s="65"/>
      <c r="K947" s="65" t="s">
        <v>1939</v>
      </c>
      <c r="L947" s="65"/>
      <c r="M947" s="65"/>
      <c r="N947" s="65"/>
    </row>
    <row r="948" spans="1:14" ht="12.75">
      <c r="A948" s="65"/>
      <c r="B948" s="65"/>
      <c r="C948" s="65"/>
      <c r="D948" s="65"/>
      <c r="E948" s="65" t="str">
        <v>---</v>
      </c>
      <c r="F948" s="65"/>
      <c r="G948" s="65"/>
      <c r="H948" s="65"/>
      <c r="I948" s="65"/>
      <c r="J948" s="65"/>
      <c r="K948" s="65" t="s">
        <v>1940</v>
      </c>
      <c r="L948" s="65"/>
      <c r="M948" s="65"/>
      <c r="N948" s="65"/>
    </row>
    <row r="949" spans="1:14" ht="12.75">
      <c r="A949" s="65"/>
      <c r="B949" s="65"/>
      <c r="C949" s="65"/>
      <c r="D949" s="65"/>
      <c r="E949" s="65" t="str">
        <v>---</v>
      </c>
      <c r="F949" s="65"/>
      <c r="G949" s="65"/>
      <c r="H949" s="65"/>
      <c r="I949" s="65"/>
      <c r="J949" s="65"/>
      <c r="K949" s="65" t="s">
        <v>1941</v>
      </c>
      <c r="L949" s="65"/>
      <c r="M949" s="65"/>
      <c r="N949" s="65"/>
    </row>
    <row r="950" spans="1:14" ht="12.75">
      <c r="A950" s="65"/>
      <c r="B950" s="65"/>
      <c r="C950" s="65"/>
      <c r="D950" s="65"/>
      <c r="E950" s="65" t="str">
        <v>---</v>
      </c>
      <c r="F950" s="65"/>
      <c r="G950" s="65"/>
      <c r="H950" s="65"/>
      <c r="I950" s="65"/>
      <c r="J950" s="65"/>
      <c r="K950" s="65" t="s">
        <v>1942</v>
      </c>
      <c r="L950" s="65"/>
      <c r="M950" s="65"/>
      <c r="N950" s="65"/>
    </row>
    <row r="951" spans="1:14" ht="12.75">
      <c r="A951" s="65"/>
      <c r="B951" s="65"/>
      <c r="C951" s="65"/>
      <c r="D951" s="65"/>
      <c r="E951" s="65" t="str">
        <v>---</v>
      </c>
      <c r="F951" s="65"/>
      <c r="G951" s="65"/>
      <c r="H951" s="65"/>
      <c r="I951" s="65"/>
      <c r="J951" s="65"/>
      <c r="K951" s="65" t="s">
        <v>1943</v>
      </c>
      <c r="L951" s="65"/>
      <c r="M951" s="65"/>
      <c r="N951" s="65"/>
    </row>
    <row r="952" spans="1:14" ht="12.75">
      <c r="A952" s="65"/>
      <c r="B952" s="65"/>
      <c r="C952" s="65"/>
      <c r="D952" s="65"/>
      <c r="E952" s="65" t="str">
        <v>---</v>
      </c>
      <c r="F952" s="65"/>
      <c r="G952" s="65"/>
      <c r="H952" s="65"/>
      <c r="I952" s="65"/>
      <c r="J952" s="65"/>
      <c r="K952" s="65" t="s">
        <v>1944</v>
      </c>
      <c r="L952" s="65"/>
      <c r="M952" s="65"/>
      <c r="N952" s="65"/>
    </row>
    <row r="953" spans="1:14" ht="12.75">
      <c r="A953" s="65"/>
      <c r="B953" s="65"/>
      <c r="C953" s="65"/>
      <c r="D953" s="65"/>
      <c r="E953" s="65" t="str">
        <v>---</v>
      </c>
      <c r="F953" s="65"/>
      <c r="G953" s="65"/>
      <c r="H953" s="65"/>
      <c r="I953" s="65"/>
      <c r="J953" s="65"/>
      <c r="K953" s="65" t="s">
        <v>1945</v>
      </c>
      <c r="L953" s="65"/>
      <c r="M953" s="65"/>
      <c r="N953" s="65"/>
    </row>
    <row r="954" spans="1:14" ht="12.75">
      <c r="A954" s="65"/>
      <c r="B954" s="65"/>
      <c r="C954" s="65"/>
      <c r="D954" s="65"/>
      <c r="E954" s="65" t="str">
        <v>---</v>
      </c>
      <c r="F954" s="65"/>
      <c r="G954" s="65"/>
      <c r="H954" s="65"/>
      <c r="I954" s="65"/>
      <c r="J954" s="65"/>
      <c r="K954" s="65" t="s">
        <v>1946</v>
      </c>
      <c r="L954" s="65"/>
      <c r="M954" s="65"/>
      <c r="N954" s="65"/>
    </row>
    <row r="955" spans="1:14" ht="12.75">
      <c r="A955" s="65"/>
      <c r="B955" s="65"/>
      <c r="C955" s="65"/>
      <c r="D955" s="65"/>
      <c r="E955" s="65" t="str">
        <v>---</v>
      </c>
      <c r="F955" s="65"/>
      <c r="G955" s="65"/>
      <c r="H955" s="65"/>
      <c r="I955" s="65"/>
      <c r="J955" s="65"/>
      <c r="K955" s="65" t="s">
        <v>1947</v>
      </c>
      <c r="L955" s="65"/>
      <c r="M955" s="65"/>
      <c r="N955" s="65"/>
    </row>
    <row r="956" spans="1:14" ht="12.75">
      <c r="A956" s="65"/>
      <c r="B956" s="65"/>
      <c r="C956" s="65"/>
      <c r="D956" s="65"/>
      <c r="E956" s="65" t="str">
        <v>---</v>
      </c>
      <c r="F956" s="65"/>
      <c r="G956" s="65"/>
      <c r="H956" s="65"/>
      <c r="I956" s="65"/>
      <c r="J956" s="65"/>
      <c r="K956" s="65" t="s">
        <v>1948</v>
      </c>
      <c r="L956" s="65"/>
      <c r="M956" s="65"/>
      <c r="N956" s="65"/>
    </row>
    <row r="957" spans="1:14" ht="12.75">
      <c r="A957" s="65"/>
      <c r="B957" s="65"/>
      <c r="C957" s="65"/>
      <c r="D957" s="65"/>
      <c r="E957" s="65" t="str">
        <v>---</v>
      </c>
      <c r="F957" s="65"/>
      <c r="G957" s="65"/>
      <c r="H957" s="65"/>
      <c r="I957" s="65"/>
      <c r="J957" s="65"/>
      <c r="K957" s="65" t="s">
        <v>1949</v>
      </c>
      <c r="L957" s="65"/>
      <c r="M957" s="65"/>
      <c r="N957" s="65"/>
    </row>
    <row r="958" spans="1:14" ht="12.75">
      <c r="A958" s="65"/>
      <c r="B958" s="65"/>
      <c r="C958" s="65"/>
      <c r="D958" s="65"/>
      <c r="E958" s="65" t="str">
        <v>---</v>
      </c>
      <c r="F958" s="65"/>
      <c r="G958" s="65"/>
      <c r="H958" s="65"/>
      <c r="I958" s="65"/>
      <c r="J958" s="65"/>
      <c r="K958" s="65" t="s">
        <v>1950</v>
      </c>
      <c r="L958" s="65"/>
      <c r="M958" s="65"/>
      <c r="N958" s="65"/>
    </row>
    <row r="959" spans="1:14" ht="12.75">
      <c r="A959" s="65"/>
      <c r="B959" s="65"/>
      <c r="C959" s="65"/>
      <c r="D959" s="65"/>
      <c r="E959" s="65" t="str">
        <v>---</v>
      </c>
      <c r="F959" s="65"/>
      <c r="G959" s="65"/>
      <c r="H959" s="65"/>
      <c r="I959" s="65"/>
      <c r="J959" s="65"/>
      <c r="K959" s="65" t="s">
        <v>1951</v>
      </c>
      <c r="L959" s="65"/>
      <c r="M959" s="65"/>
      <c r="N959" s="65"/>
    </row>
    <row r="960" spans="1:14" ht="12.75">
      <c r="A960" s="65"/>
      <c r="B960" s="65"/>
      <c r="C960" s="65"/>
      <c r="D960" s="65"/>
      <c r="E960" s="65" t="str">
        <v>---</v>
      </c>
      <c r="F960" s="65"/>
      <c r="G960" s="65"/>
      <c r="H960" s="65"/>
      <c r="I960" s="65"/>
      <c r="J960" s="65"/>
      <c r="K960" s="65" t="s">
        <v>1952</v>
      </c>
      <c r="L960" s="65"/>
      <c r="M960" s="65"/>
      <c r="N960" s="65"/>
    </row>
    <row r="961" spans="1:14" ht="12.75">
      <c r="A961" s="65"/>
      <c r="B961" s="65"/>
      <c r="C961" s="65"/>
      <c r="D961" s="65"/>
      <c r="E961" s="65" t="str">
        <v>---</v>
      </c>
      <c r="F961" s="65"/>
      <c r="G961" s="65"/>
      <c r="H961" s="65"/>
      <c r="I961" s="65"/>
      <c r="J961" s="65"/>
      <c r="K961" s="65" t="s">
        <v>1953</v>
      </c>
      <c r="L961" s="65"/>
      <c r="M961" s="65"/>
      <c r="N961" s="65"/>
    </row>
    <row r="962" spans="1:14" ht="12.75">
      <c r="A962" s="65"/>
      <c r="B962" s="65"/>
      <c r="C962" s="65"/>
      <c r="D962" s="65"/>
      <c r="E962" s="65" t="str">
        <v>---</v>
      </c>
      <c r="F962" s="65"/>
      <c r="G962" s="65"/>
      <c r="H962" s="65"/>
      <c r="I962" s="65"/>
      <c r="J962" s="65"/>
      <c r="K962" s="65" t="s">
        <v>1954</v>
      </c>
      <c r="L962" s="65"/>
      <c r="M962" s="65"/>
      <c r="N962" s="65"/>
    </row>
    <row r="963" spans="1:14" ht="12.75">
      <c r="A963" s="65"/>
      <c r="B963" s="65"/>
      <c r="C963" s="65"/>
      <c r="D963" s="65"/>
      <c r="E963" s="65" t="str">
        <v>---</v>
      </c>
      <c r="F963" s="65"/>
      <c r="G963" s="65"/>
      <c r="H963" s="65"/>
      <c r="I963" s="65"/>
      <c r="J963" s="65"/>
      <c r="K963" s="65" t="s">
        <v>1955</v>
      </c>
      <c r="L963" s="65"/>
      <c r="M963" s="65"/>
      <c r="N963" s="65"/>
    </row>
    <row r="964" spans="1:14" ht="12.75">
      <c r="A964" s="65"/>
      <c r="B964" s="65"/>
      <c r="C964" s="65"/>
      <c r="D964" s="65"/>
      <c r="E964" s="65" t="str">
        <v>---</v>
      </c>
      <c r="F964" s="65"/>
      <c r="G964" s="65"/>
      <c r="H964" s="65"/>
      <c r="I964" s="65"/>
      <c r="J964" s="65"/>
      <c r="K964" s="65" t="s">
        <v>1956</v>
      </c>
      <c r="L964" s="65"/>
      <c r="M964" s="65"/>
      <c r="N964" s="65"/>
    </row>
    <row r="965" spans="1:14" ht="12.75">
      <c r="A965" s="65"/>
      <c r="B965" s="65"/>
      <c r="C965" s="65"/>
      <c r="D965" s="65"/>
      <c r="E965" s="65" t="str">
        <v>---</v>
      </c>
      <c r="F965" s="65"/>
      <c r="G965" s="65"/>
      <c r="H965" s="65"/>
      <c r="I965" s="65"/>
      <c r="J965" s="65"/>
      <c r="K965" s="65" t="s">
        <v>1957</v>
      </c>
      <c r="L965" s="65"/>
      <c r="M965" s="65"/>
      <c r="N965" s="65"/>
    </row>
    <row r="966" spans="1:14" ht="12.75">
      <c r="A966" s="65"/>
      <c r="B966" s="65"/>
      <c r="C966" s="65"/>
      <c r="D966" s="65"/>
      <c r="E966" s="65" t="str">
        <v>---</v>
      </c>
      <c r="F966" s="65"/>
      <c r="G966" s="65"/>
      <c r="H966" s="65"/>
      <c r="I966" s="65"/>
      <c r="J966" s="65"/>
      <c r="K966" s="65" t="s">
        <v>1958</v>
      </c>
      <c r="L966" s="65"/>
      <c r="M966" s="65"/>
      <c r="N966" s="65"/>
    </row>
    <row r="967" spans="1:14" ht="12.75">
      <c r="A967" s="65"/>
      <c r="B967" s="65"/>
      <c r="C967" s="65"/>
      <c r="D967" s="65"/>
      <c r="E967" s="65" t="str">
        <v>---</v>
      </c>
      <c r="F967" s="65"/>
      <c r="G967" s="65"/>
      <c r="H967" s="65"/>
      <c r="I967" s="65"/>
      <c r="J967" s="65"/>
      <c r="K967" s="65" t="s">
        <v>1959</v>
      </c>
      <c r="L967" s="65"/>
      <c r="M967" s="65"/>
      <c r="N967" s="65"/>
    </row>
    <row r="968" spans="1:14" ht="12.75">
      <c r="A968" s="65"/>
      <c r="B968" s="65"/>
      <c r="C968" s="65"/>
      <c r="D968" s="65"/>
      <c r="E968" s="65" t="str">
        <v>---</v>
      </c>
      <c r="F968" s="65"/>
      <c r="G968" s="65"/>
      <c r="H968" s="65"/>
      <c r="I968" s="65"/>
      <c r="J968" s="65"/>
      <c r="K968" s="65" t="s">
        <v>1960</v>
      </c>
      <c r="L968" s="65"/>
      <c r="M968" s="65"/>
      <c r="N968" s="65"/>
    </row>
    <row r="969" spans="1:14" ht="12.75">
      <c r="A969" s="65"/>
      <c r="B969" s="65"/>
      <c r="C969" s="65"/>
      <c r="D969" s="65"/>
      <c r="E969" s="65" t="str">
        <v>---</v>
      </c>
      <c r="F969" s="65"/>
      <c r="G969" s="65"/>
      <c r="H969" s="65"/>
      <c r="I969" s="65"/>
      <c r="J969" s="65"/>
      <c r="K969" s="65" t="s">
        <v>1961</v>
      </c>
      <c r="L969" s="65"/>
      <c r="M969" s="65"/>
      <c r="N969" s="65"/>
    </row>
    <row r="970" spans="1:14" ht="12.75">
      <c r="A970" s="65"/>
      <c r="B970" s="65"/>
      <c r="C970" s="65"/>
      <c r="D970" s="65"/>
      <c r="E970" s="65" t="str">
        <v>---</v>
      </c>
      <c r="F970" s="65"/>
      <c r="G970" s="65"/>
      <c r="H970" s="65"/>
      <c r="I970" s="65"/>
      <c r="J970" s="65"/>
      <c r="K970" s="65" t="s">
        <v>1962</v>
      </c>
      <c r="L970" s="65"/>
      <c r="M970" s="65"/>
      <c r="N970" s="65"/>
    </row>
    <row r="971" spans="1:14" ht="12.75">
      <c r="A971" s="65"/>
      <c r="B971" s="65"/>
      <c r="C971" s="65"/>
      <c r="D971" s="65"/>
      <c r="E971" s="65" t="str">
        <v>---</v>
      </c>
      <c r="F971" s="65"/>
      <c r="G971" s="65"/>
      <c r="H971" s="65"/>
      <c r="I971" s="65"/>
      <c r="J971" s="65"/>
      <c r="K971" s="65" t="s">
        <v>1963</v>
      </c>
      <c r="L971" s="65"/>
      <c r="M971" s="65"/>
      <c r="N971" s="65"/>
    </row>
    <row r="972" spans="1:14" ht="12.75">
      <c r="A972" s="65"/>
      <c r="B972" s="65"/>
      <c r="C972" s="65"/>
      <c r="D972" s="65"/>
      <c r="E972" s="65" t="str">
        <v>---</v>
      </c>
      <c r="F972" s="65"/>
      <c r="G972" s="65"/>
      <c r="H972" s="65"/>
      <c r="I972" s="65"/>
      <c r="J972" s="65"/>
      <c r="K972" s="65" t="s">
        <v>1964</v>
      </c>
      <c r="L972" s="65"/>
      <c r="M972" s="65"/>
      <c r="N972" s="65"/>
    </row>
    <row r="973" spans="1:14" ht="12.75">
      <c r="A973" s="65"/>
      <c r="B973" s="65"/>
      <c r="C973" s="65"/>
      <c r="D973" s="65"/>
      <c r="E973" s="65" t="str">
        <v>---</v>
      </c>
      <c r="F973" s="65"/>
      <c r="G973" s="65"/>
      <c r="H973" s="65"/>
      <c r="I973" s="65"/>
      <c r="J973" s="65"/>
      <c r="K973" s="65" t="s">
        <v>1965</v>
      </c>
      <c r="L973" s="65"/>
      <c r="M973" s="65"/>
      <c r="N973" s="65"/>
    </row>
    <row r="974" spans="1:14" ht="12.75">
      <c r="A974" s="65"/>
      <c r="B974" s="65"/>
      <c r="C974" s="65"/>
      <c r="D974" s="65"/>
      <c r="E974" s="65" t="str">
        <v>---</v>
      </c>
      <c r="F974" s="65"/>
      <c r="G974" s="65"/>
      <c r="H974" s="65"/>
      <c r="I974" s="65"/>
      <c r="J974" s="65"/>
      <c r="K974" s="65" t="s">
        <v>1966</v>
      </c>
      <c r="L974" s="65"/>
      <c r="M974" s="65"/>
      <c r="N974" s="65"/>
    </row>
    <row r="975" spans="1:14" ht="12.75">
      <c r="A975" s="65"/>
      <c r="B975" s="65"/>
      <c r="C975" s="65"/>
      <c r="D975" s="65"/>
      <c r="E975" s="65" t="str">
        <v>---</v>
      </c>
      <c r="F975" s="65"/>
      <c r="G975" s="65"/>
      <c r="H975" s="65"/>
      <c r="I975" s="65"/>
      <c r="J975" s="65"/>
      <c r="K975" s="65" t="s">
        <v>1967</v>
      </c>
      <c r="L975" s="65"/>
      <c r="M975" s="65"/>
      <c r="N975" s="65"/>
    </row>
    <row r="976" spans="1:14" ht="12.75">
      <c r="A976" s="65"/>
      <c r="B976" s="65"/>
      <c r="C976" s="65"/>
      <c r="D976" s="65"/>
      <c r="E976" s="65" t="str">
        <v>---</v>
      </c>
      <c r="F976" s="65"/>
      <c r="G976" s="65"/>
      <c r="H976" s="65"/>
      <c r="I976" s="65"/>
      <c r="J976" s="65"/>
      <c r="K976" s="65" t="s">
        <v>1968</v>
      </c>
      <c r="L976" s="65"/>
      <c r="M976" s="65"/>
      <c r="N976" s="65"/>
    </row>
    <row r="977" spans="1:14" ht="12.75">
      <c r="A977" s="65"/>
      <c r="B977" s="65"/>
      <c r="C977" s="65"/>
      <c r="D977" s="65"/>
      <c r="E977" s="65" t="str">
        <v>---</v>
      </c>
      <c r="F977" s="65"/>
      <c r="G977" s="65"/>
      <c r="H977" s="65"/>
      <c r="I977" s="65"/>
      <c r="J977" s="65"/>
      <c r="K977" s="65" t="s">
        <v>1969</v>
      </c>
      <c r="L977" s="65"/>
      <c r="M977" s="65"/>
      <c r="N977" s="65"/>
    </row>
    <row r="978" spans="1:14" ht="12.75">
      <c r="A978" s="65"/>
      <c r="B978" s="65"/>
      <c r="C978" s="65"/>
      <c r="D978" s="65"/>
      <c r="E978" s="65" t="str">
        <v>---</v>
      </c>
      <c r="F978" s="65"/>
      <c r="G978" s="65"/>
      <c r="H978" s="65"/>
      <c r="I978" s="65"/>
      <c r="J978" s="65"/>
      <c r="K978" s="65" t="s">
        <v>1970</v>
      </c>
      <c r="L978" s="65"/>
      <c r="M978" s="65"/>
      <c r="N978" s="65"/>
    </row>
    <row r="979" spans="1:14" ht="12.75">
      <c r="A979" s="65"/>
      <c r="B979" s="65"/>
      <c r="C979" s="65"/>
      <c r="D979" s="65"/>
      <c r="E979" s="65" t="str">
        <v>---</v>
      </c>
      <c r="F979" s="65"/>
      <c r="G979" s="65"/>
      <c r="H979" s="65"/>
      <c r="I979" s="65"/>
      <c r="J979" s="65"/>
      <c r="K979" s="65" t="s">
        <v>1971</v>
      </c>
      <c r="L979" s="65"/>
      <c r="M979" s="65"/>
      <c r="N979" s="65"/>
    </row>
    <row r="980" spans="1:14" ht="12.75">
      <c r="A980" s="65"/>
      <c r="B980" s="65"/>
      <c r="C980" s="65"/>
      <c r="D980" s="65"/>
      <c r="E980" s="65" t="str">
        <v>---</v>
      </c>
      <c r="F980" s="65"/>
      <c r="G980" s="65"/>
      <c r="H980" s="65"/>
      <c r="I980" s="65"/>
      <c r="J980" s="65"/>
      <c r="K980" s="65" t="s">
        <v>1972</v>
      </c>
      <c r="L980" s="65"/>
      <c r="M980" s="65"/>
      <c r="N980" s="65"/>
    </row>
    <row r="981" spans="1:14" ht="12.75">
      <c r="A981" s="65"/>
      <c r="B981" s="65"/>
      <c r="C981" s="65"/>
      <c r="D981" s="65"/>
      <c r="E981" s="65" t="str">
        <v>---</v>
      </c>
      <c r="F981" s="65"/>
      <c r="G981" s="65"/>
      <c r="H981" s="65"/>
      <c r="I981" s="65"/>
      <c r="J981" s="65"/>
      <c r="K981" s="65" t="s">
        <v>1973</v>
      </c>
      <c r="L981" s="65"/>
      <c r="M981" s="65"/>
      <c r="N981" s="65"/>
    </row>
    <row r="982" spans="1:14" ht="12.75">
      <c r="A982" s="65"/>
      <c r="B982" s="65"/>
      <c r="C982" s="65"/>
      <c r="D982" s="65"/>
      <c r="E982" s="65" t="str">
        <v>---</v>
      </c>
      <c r="F982" s="65"/>
      <c r="G982" s="65"/>
      <c r="H982" s="65"/>
      <c r="I982" s="65"/>
      <c r="J982" s="65"/>
      <c r="K982" s="65" t="s">
        <v>1974</v>
      </c>
      <c r="L982" s="65"/>
      <c r="M982" s="65"/>
      <c r="N982" s="65"/>
    </row>
    <row r="983" spans="1:14" ht="12.75">
      <c r="A983" s="65"/>
      <c r="B983" s="65"/>
      <c r="C983" s="65"/>
      <c r="D983" s="65"/>
      <c r="E983" s="65" t="str">
        <v>---</v>
      </c>
      <c r="F983" s="65"/>
      <c r="G983" s="65"/>
      <c r="H983" s="65"/>
      <c r="I983" s="65"/>
      <c r="J983" s="65"/>
      <c r="K983" s="65" t="s">
        <v>1975</v>
      </c>
      <c r="L983" s="65"/>
      <c r="M983" s="65"/>
      <c r="N983" s="65"/>
    </row>
    <row r="984" spans="1:14" ht="12.75">
      <c r="A984" s="65"/>
      <c r="B984" s="65"/>
      <c r="C984" s="65"/>
      <c r="D984" s="65"/>
      <c r="E984" s="65" t="str">
        <v>---</v>
      </c>
      <c r="F984" s="65"/>
      <c r="G984" s="65"/>
      <c r="H984" s="65"/>
      <c r="I984" s="65"/>
      <c r="J984" s="65"/>
      <c r="K984" s="65" t="s">
        <v>1976</v>
      </c>
      <c r="L984" s="65"/>
      <c r="M984" s="65"/>
      <c r="N984" s="65"/>
    </row>
    <row r="985" spans="1:14" ht="12.75">
      <c r="A985" s="65"/>
      <c r="B985" s="65"/>
      <c r="C985" s="65"/>
      <c r="D985" s="65"/>
      <c r="E985" s="65" t="str">
        <v>---</v>
      </c>
      <c r="F985" s="65"/>
      <c r="G985" s="65"/>
      <c r="H985" s="65"/>
      <c r="I985" s="65"/>
      <c r="J985" s="65"/>
      <c r="K985" s="65" t="s">
        <v>1977</v>
      </c>
      <c r="L985" s="65"/>
      <c r="M985" s="65"/>
      <c r="N985" s="65"/>
    </row>
    <row r="986" spans="1:14" ht="12.75">
      <c r="A986" s="65"/>
      <c r="B986" s="65"/>
      <c r="C986" s="65"/>
      <c r="D986" s="65"/>
      <c r="E986" s="65" t="str">
        <v>---</v>
      </c>
      <c r="F986" s="65"/>
      <c r="G986" s="65"/>
      <c r="H986" s="65"/>
      <c r="I986" s="65"/>
      <c r="J986" s="65"/>
      <c r="K986" s="65" t="s">
        <v>1978</v>
      </c>
      <c r="L986" s="65"/>
      <c r="M986" s="65"/>
      <c r="N986" s="65"/>
    </row>
    <row r="987" spans="1:14" ht="12.75">
      <c r="A987" s="65"/>
      <c r="B987" s="65"/>
      <c r="C987" s="65"/>
      <c r="D987" s="65"/>
      <c r="E987" s="65" t="str">
        <v>---</v>
      </c>
      <c r="F987" s="65"/>
      <c r="G987" s="65"/>
      <c r="H987" s="65"/>
      <c r="I987" s="65"/>
      <c r="J987" s="65"/>
      <c r="K987" s="65" t="s">
        <v>1979</v>
      </c>
      <c r="L987" s="65"/>
      <c r="M987" s="65"/>
      <c r="N987" s="65"/>
    </row>
    <row r="988" spans="1:14" ht="12.75">
      <c r="A988" s="65"/>
      <c r="B988" s="65"/>
      <c r="C988" s="65"/>
      <c r="D988" s="65"/>
      <c r="E988" s="65" t="str">
        <v>---</v>
      </c>
      <c r="F988" s="65"/>
      <c r="G988" s="65"/>
      <c r="H988" s="65"/>
      <c r="I988" s="65"/>
      <c r="J988" s="65"/>
      <c r="K988" s="65" t="s">
        <v>1980</v>
      </c>
      <c r="L988" s="65"/>
      <c r="M988" s="65"/>
      <c r="N988" s="65"/>
    </row>
    <row r="989" spans="1:14" ht="12.75">
      <c r="A989" s="65"/>
      <c r="B989" s="65"/>
      <c r="C989" s="65"/>
      <c r="D989" s="65"/>
      <c r="E989" s="65" t="str">
        <v>---</v>
      </c>
      <c r="F989" s="65"/>
      <c r="G989" s="65"/>
      <c r="H989" s="65"/>
      <c r="I989" s="65"/>
      <c r="J989" s="65"/>
      <c r="K989" s="65" t="s">
        <v>1981</v>
      </c>
      <c r="L989" s="65"/>
      <c r="M989" s="65"/>
      <c r="N989" s="65"/>
    </row>
    <row r="990" spans="1:14" ht="12.75">
      <c r="A990" s="65"/>
      <c r="B990" s="65"/>
      <c r="C990" s="65"/>
      <c r="D990" s="65"/>
      <c r="E990" s="65" t="str">
        <v>---</v>
      </c>
      <c r="F990" s="65"/>
      <c r="G990" s="65"/>
      <c r="H990" s="65"/>
      <c r="I990" s="65"/>
      <c r="J990" s="65"/>
      <c r="K990" s="65" t="s">
        <v>1982</v>
      </c>
      <c r="L990" s="65"/>
      <c r="M990" s="65"/>
      <c r="N990" s="65"/>
    </row>
    <row r="991" spans="1:14" ht="12.75">
      <c r="A991" s="65"/>
      <c r="B991" s="65"/>
      <c r="C991" s="65"/>
      <c r="D991" s="65"/>
      <c r="E991" s="65" t="str">
        <v>---</v>
      </c>
      <c r="F991" s="65"/>
      <c r="G991" s="65"/>
      <c r="H991" s="65"/>
      <c r="I991" s="65"/>
      <c r="J991" s="65"/>
      <c r="K991" s="65" t="s">
        <v>1983</v>
      </c>
      <c r="L991" s="65"/>
      <c r="M991" s="65"/>
      <c r="N991" s="65"/>
    </row>
    <row r="992" spans="1:14" ht="12.75">
      <c r="A992" s="65"/>
      <c r="B992" s="65"/>
      <c r="C992" s="65"/>
      <c r="D992" s="65"/>
      <c r="E992" s="65" t="str">
        <v>---</v>
      </c>
      <c r="F992" s="65"/>
      <c r="G992" s="65"/>
      <c r="H992" s="65"/>
      <c r="I992" s="65"/>
      <c r="J992" s="65"/>
      <c r="K992" s="65" t="s">
        <v>1984</v>
      </c>
      <c r="L992" s="65"/>
      <c r="M992" s="65"/>
      <c r="N992" s="65"/>
    </row>
    <row r="993" spans="1:14" ht="12.75">
      <c r="A993" s="65"/>
      <c r="B993" s="65"/>
      <c r="C993" s="65"/>
      <c r="D993" s="65"/>
      <c r="E993" s="65" t="str">
        <v>---</v>
      </c>
      <c r="F993" s="65"/>
      <c r="G993" s="65"/>
      <c r="H993" s="65"/>
      <c r="I993" s="65"/>
      <c r="J993" s="65"/>
      <c r="K993" s="65" t="s">
        <v>1985</v>
      </c>
      <c r="L993" s="65"/>
      <c r="M993" s="65"/>
      <c r="N993" s="65"/>
    </row>
    <row r="994" spans="1:14" ht="12.75">
      <c r="A994" s="65"/>
      <c r="B994" s="65"/>
      <c r="C994" s="65"/>
      <c r="D994" s="65"/>
      <c r="E994" s="65" t="str">
        <v>---</v>
      </c>
      <c r="F994" s="65"/>
      <c r="G994" s="65"/>
      <c r="H994" s="65"/>
      <c r="I994" s="65"/>
      <c r="J994" s="65"/>
      <c r="K994" s="65" t="s">
        <v>1986</v>
      </c>
      <c r="L994" s="65"/>
      <c r="M994" s="65"/>
      <c r="N994" s="65"/>
    </row>
    <row r="995" spans="1:14" ht="12.75">
      <c r="A995" s="65"/>
      <c r="B995" s="65"/>
      <c r="C995" s="65"/>
      <c r="D995" s="65"/>
      <c r="E995" s="65" t="str">
        <v>---</v>
      </c>
      <c r="F995" s="65"/>
      <c r="G995" s="65"/>
      <c r="H995" s="65"/>
      <c r="I995" s="65"/>
      <c r="J995" s="65"/>
      <c r="K995" s="65" t="s">
        <v>1987</v>
      </c>
      <c r="L995" s="65"/>
      <c r="M995" s="65"/>
      <c r="N995" s="65"/>
    </row>
    <row r="996" spans="1:14" ht="12.75">
      <c r="A996" s="65"/>
      <c r="B996" s="65"/>
      <c r="C996" s="65"/>
      <c r="D996" s="65"/>
      <c r="E996" s="65" t="str">
        <v>---</v>
      </c>
      <c r="F996" s="65"/>
      <c r="G996" s="65"/>
      <c r="H996" s="65"/>
      <c r="I996" s="65"/>
      <c r="J996" s="65"/>
      <c r="K996" s="65" t="s">
        <v>1988</v>
      </c>
      <c r="L996" s="65"/>
      <c r="M996" s="65"/>
      <c r="N996" s="65"/>
    </row>
    <row r="997" spans="1:14" ht="12.75">
      <c r="A997" s="65"/>
      <c r="B997" s="65"/>
      <c r="C997" s="65"/>
      <c r="D997" s="65"/>
      <c r="E997" s="65" t="str">
        <v>---</v>
      </c>
      <c r="F997" s="65"/>
      <c r="G997" s="65"/>
      <c r="H997" s="65"/>
      <c r="I997" s="65"/>
      <c r="J997" s="65"/>
      <c r="K997" s="65" t="s">
        <v>1989</v>
      </c>
      <c r="L997" s="65"/>
      <c r="M997" s="65"/>
      <c r="N997" s="65"/>
    </row>
    <row r="998" spans="1:14" ht="12.75">
      <c r="A998" s="65"/>
      <c r="B998" s="65"/>
      <c r="C998" s="65"/>
      <c r="D998" s="65"/>
      <c r="E998" s="65" t="str">
        <v>---</v>
      </c>
      <c r="F998" s="65"/>
      <c r="G998" s="65"/>
      <c r="H998" s="65"/>
      <c r="I998" s="65"/>
      <c r="J998" s="65"/>
      <c r="K998" s="65" t="s">
        <v>1990</v>
      </c>
      <c r="L998" s="65"/>
      <c r="M998" s="65"/>
      <c r="N998" s="65"/>
    </row>
    <row r="999" spans="1:14" ht="12.75">
      <c r="A999" s="65"/>
      <c r="B999" s="65"/>
      <c r="C999" s="65"/>
      <c r="D999" s="65"/>
      <c r="E999" s="65" t="str">
        <v>---</v>
      </c>
      <c r="F999" s="65"/>
      <c r="G999" s="65"/>
      <c r="H999" s="65"/>
      <c r="I999" s="65"/>
      <c r="J999" s="65"/>
      <c r="K999" s="65" t="s">
        <v>1991</v>
      </c>
      <c r="L999" s="65"/>
      <c r="M999" s="65"/>
      <c r="N999" s="65"/>
    </row>
    <row r="1000" spans="1:14" ht="12.75">
      <c r="A1000" s="65"/>
      <c r="B1000" s="65"/>
      <c r="C1000" s="65"/>
      <c r="D1000" s="65"/>
      <c r="E1000" s="65" t="str">
        <v>---</v>
      </c>
      <c r="F1000" s="65"/>
      <c r="G1000" s="65"/>
      <c r="H1000" s="65"/>
      <c r="I1000" s="65"/>
      <c r="J1000" s="65"/>
      <c r="K1000" s="65" t="s">
        <v>1992</v>
      </c>
      <c r="L1000" s="65"/>
      <c r="M1000" s="65"/>
      <c r="N1000" s="65"/>
    </row>
    <row r="1001" spans="1:14" ht="12.75">
      <c r="A1001" s="65"/>
      <c r="B1001" s="65"/>
      <c r="C1001" s="65"/>
      <c r="D1001" s="65"/>
      <c r="E1001" s="65" t="str">
        <v>---</v>
      </c>
      <c r="F1001" s="65"/>
      <c r="G1001" s="65"/>
      <c r="H1001" s="65"/>
      <c r="I1001" s="65"/>
      <c r="J1001" s="65"/>
      <c r="K1001" s="65" t="s">
        <v>1993</v>
      </c>
      <c r="L1001" s="65"/>
      <c r="M1001" s="65"/>
      <c r="N1001" s="65"/>
    </row>
    <row r="1002" spans="1:14" ht="12.75">
      <c r="A1002" s="65"/>
      <c r="B1002" s="65"/>
      <c r="C1002" s="65"/>
      <c r="D1002" s="65"/>
      <c r="E1002" s="65" t="str">
        <v>---</v>
      </c>
      <c r="F1002" s="65"/>
      <c r="G1002" s="65"/>
      <c r="H1002" s="65"/>
      <c r="I1002" s="65"/>
      <c r="J1002" s="65"/>
      <c r="K1002" s="65" t="s">
        <v>1994</v>
      </c>
      <c r="L1002" s="65"/>
      <c r="M1002" s="65"/>
      <c r="N1002" s="65"/>
    </row>
    <row r="1003" spans="1:14" ht="12.75">
      <c r="A1003" s="65"/>
      <c r="B1003" s="65"/>
      <c r="C1003" s="65"/>
      <c r="D1003" s="65"/>
      <c r="E1003" s="65" t="str">
        <v>---</v>
      </c>
      <c r="F1003" s="65"/>
      <c r="G1003" s="65"/>
      <c r="H1003" s="65"/>
      <c r="I1003" s="65"/>
      <c r="J1003" s="65"/>
      <c r="K1003" s="65" t="s">
        <v>1995</v>
      </c>
      <c r="L1003" s="65"/>
      <c r="M1003" s="65"/>
      <c r="N1003" s="65"/>
    </row>
    <row r="1004" spans="1:14" ht="12.75">
      <c r="A1004" s="65"/>
      <c r="B1004" s="65"/>
      <c r="C1004" s="65"/>
      <c r="D1004" s="65"/>
      <c r="E1004" s="65" t="str">
        <v>---</v>
      </c>
      <c r="F1004" s="65"/>
      <c r="G1004" s="65"/>
      <c r="H1004" s="65"/>
      <c r="I1004" s="65"/>
      <c r="J1004" s="65"/>
      <c r="K1004" s="65" t="s">
        <v>1996</v>
      </c>
      <c r="L1004" s="65"/>
      <c r="M1004" s="65"/>
      <c r="N1004" s="65"/>
    </row>
    <row r="1005" spans="1:14" ht="12.75">
      <c r="A1005" s="65"/>
      <c r="B1005" s="65"/>
      <c r="C1005" s="65"/>
      <c r="D1005" s="65"/>
      <c r="E1005" s="65" t="str">
        <v>---</v>
      </c>
      <c r="F1005" s="65"/>
      <c r="G1005" s="65"/>
      <c r="H1005" s="65"/>
      <c r="I1005" s="65"/>
      <c r="J1005" s="65"/>
      <c r="K1005" s="65" t="s">
        <v>1997</v>
      </c>
      <c r="L1005" s="65"/>
      <c r="M1005" s="65"/>
      <c r="N1005" s="65"/>
    </row>
    <row r="1006" spans="1:14" ht="12.75">
      <c r="A1006" s="65"/>
      <c r="B1006" s="65"/>
      <c r="C1006" s="65"/>
      <c r="D1006" s="65"/>
      <c r="E1006" s="65" t="str">
        <v>---</v>
      </c>
      <c r="F1006" s="65"/>
      <c r="G1006" s="65"/>
      <c r="H1006" s="65"/>
      <c r="I1006" s="65"/>
      <c r="J1006" s="65"/>
      <c r="K1006" s="65" t="s">
        <v>1998</v>
      </c>
      <c r="L1006" s="65"/>
      <c r="M1006" s="65"/>
      <c r="N1006" s="65"/>
    </row>
    <row r="1007" spans="1:14" ht="12.75">
      <c r="A1007" s="65"/>
      <c r="B1007" s="65"/>
      <c r="C1007" s="65"/>
      <c r="D1007" s="65"/>
      <c r="E1007" s="65" t="str">
        <v>---</v>
      </c>
      <c r="F1007" s="65"/>
      <c r="G1007" s="65"/>
      <c r="H1007" s="65"/>
      <c r="I1007" s="65"/>
      <c r="J1007" s="65"/>
      <c r="K1007" s="65" t="s">
        <v>1999</v>
      </c>
      <c r="L1007" s="65"/>
      <c r="M1007" s="65"/>
      <c r="N1007" s="65"/>
    </row>
    <row r="1008" spans="1:14" ht="12.75">
      <c r="A1008" s="65"/>
      <c r="B1008" s="65"/>
      <c r="C1008" s="65"/>
      <c r="D1008" s="65"/>
      <c r="E1008" s="65" t="str">
        <v>---</v>
      </c>
      <c r="F1008" s="65"/>
      <c r="G1008" s="65"/>
      <c r="H1008" s="65"/>
      <c r="I1008" s="65"/>
      <c r="J1008" s="65"/>
      <c r="K1008" s="65" t="s">
        <v>2000</v>
      </c>
      <c r="L1008" s="65"/>
      <c r="M1008" s="65"/>
      <c r="N1008" s="65"/>
    </row>
    <row r="1009" spans="1:14" ht="12.75">
      <c r="A1009" s="65"/>
      <c r="B1009" s="65"/>
      <c r="C1009" s="65"/>
      <c r="D1009" s="65"/>
      <c r="E1009" s="65" t="str">
        <v>---</v>
      </c>
      <c r="F1009" s="65"/>
      <c r="G1009" s="65"/>
      <c r="H1009" s="65"/>
      <c r="I1009" s="65"/>
      <c r="J1009" s="65"/>
      <c r="K1009" s="65" t="s">
        <v>2001</v>
      </c>
      <c r="L1009" s="65"/>
      <c r="M1009" s="65"/>
      <c r="N1009" s="65"/>
    </row>
    <row r="1010" spans="1:14" ht="12.75">
      <c r="A1010" s="65"/>
      <c r="B1010" s="65"/>
      <c r="C1010" s="65"/>
      <c r="D1010" s="65"/>
      <c r="E1010" s="65" t="str">
        <v>---</v>
      </c>
      <c r="F1010" s="65"/>
      <c r="G1010" s="65"/>
      <c r="H1010" s="65"/>
      <c r="I1010" s="65"/>
      <c r="J1010" s="65"/>
      <c r="K1010" s="65" t="s">
        <v>2002</v>
      </c>
      <c r="L1010" s="65"/>
      <c r="M1010" s="65"/>
      <c r="N1010" s="65"/>
    </row>
    <row r="1011" spans="1:14" ht="12.75">
      <c r="A1011" s="65"/>
      <c r="B1011" s="65"/>
      <c r="C1011" s="65"/>
      <c r="D1011" s="65"/>
      <c r="E1011" s="65" t="str">
        <v>---</v>
      </c>
      <c r="F1011" s="65"/>
      <c r="G1011" s="65"/>
      <c r="H1011" s="65"/>
      <c r="I1011" s="65"/>
      <c r="J1011" s="65"/>
      <c r="K1011" s="65" t="s">
        <v>2003</v>
      </c>
      <c r="L1011" s="65"/>
      <c r="M1011" s="65"/>
      <c r="N1011" s="65"/>
    </row>
    <row r="1012" spans="1:14" ht="12.75">
      <c r="A1012" s="65"/>
      <c r="B1012" s="65"/>
      <c r="C1012" s="65"/>
      <c r="D1012" s="65"/>
      <c r="E1012" s="65" t="str">
        <v>---</v>
      </c>
      <c r="F1012" s="65"/>
      <c r="G1012" s="65"/>
      <c r="H1012" s="65"/>
      <c r="I1012" s="65"/>
      <c r="J1012" s="65"/>
      <c r="K1012" s="65" t="s">
        <v>2004</v>
      </c>
      <c r="L1012" s="65"/>
      <c r="M1012" s="65"/>
      <c r="N1012" s="65"/>
    </row>
    <row r="1013" spans="1:14" ht="12.75">
      <c r="A1013" s="65"/>
      <c r="B1013" s="65"/>
      <c r="C1013" s="65"/>
      <c r="D1013" s="65"/>
      <c r="E1013" s="65" t="str">
        <v>---</v>
      </c>
      <c r="F1013" s="65"/>
      <c r="G1013" s="65"/>
      <c r="H1013" s="65"/>
      <c r="I1013" s="65"/>
      <c r="J1013" s="65"/>
      <c r="K1013" s="65" t="s">
        <v>2005</v>
      </c>
      <c r="L1013" s="65"/>
      <c r="M1013" s="65"/>
      <c r="N1013" s="65"/>
    </row>
    <row r="1014" spans="1:14" ht="12.75">
      <c r="A1014" s="65"/>
      <c r="B1014" s="65"/>
      <c r="C1014" s="65"/>
      <c r="D1014" s="65"/>
      <c r="E1014" s="65" t="str">
        <v>---</v>
      </c>
      <c r="F1014" s="65"/>
      <c r="G1014" s="65"/>
      <c r="H1014" s="65"/>
      <c r="I1014" s="65"/>
      <c r="J1014" s="65"/>
      <c r="K1014" s="65" t="s">
        <v>2006</v>
      </c>
      <c r="L1014" s="65"/>
      <c r="M1014" s="65"/>
      <c r="N1014" s="65"/>
    </row>
    <row r="1015" spans="1:14" ht="12.75">
      <c r="A1015" s="65"/>
      <c r="B1015" s="65"/>
      <c r="C1015" s="65"/>
      <c r="D1015" s="65"/>
      <c r="E1015" s="65" t="str">
        <v>---</v>
      </c>
      <c r="F1015" s="65"/>
      <c r="G1015" s="65"/>
      <c r="H1015" s="65"/>
      <c r="I1015" s="65"/>
      <c r="J1015" s="65"/>
      <c r="K1015" s="65" t="s">
        <v>2007</v>
      </c>
      <c r="L1015" s="65"/>
      <c r="M1015" s="65"/>
      <c r="N1015" s="65"/>
    </row>
    <row r="1016" spans="1:14" ht="12.75">
      <c r="A1016" s="65"/>
      <c r="B1016" s="65"/>
      <c r="C1016" s="65"/>
      <c r="D1016" s="65"/>
      <c r="E1016" s="65" t="str">
        <v>---</v>
      </c>
      <c r="F1016" s="65"/>
      <c r="G1016" s="65"/>
      <c r="H1016" s="65"/>
      <c r="I1016" s="65"/>
      <c r="J1016" s="65"/>
      <c r="K1016" s="65" t="s">
        <v>2008</v>
      </c>
      <c r="L1016" s="65"/>
      <c r="M1016" s="65"/>
      <c r="N1016" s="65"/>
    </row>
    <row r="1017" spans="1:14" ht="12.75">
      <c r="A1017" s="65"/>
      <c r="B1017" s="65"/>
      <c r="C1017" s="65"/>
      <c r="D1017" s="65"/>
      <c r="E1017" s="65" t="str">
        <v>---</v>
      </c>
      <c r="F1017" s="65"/>
      <c r="G1017" s="65"/>
      <c r="H1017" s="65"/>
      <c r="I1017" s="65"/>
      <c r="J1017" s="65"/>
      <c r="K1017" s="65" t="s">
        <v>2009</v>
      </c>
      <c r="L1017" s="65"/>
      <c r="M1017" s="65"/>
      <c r="N1017" s="65"/>
    </row>
    <row r="1018" spans="1:14" ht="12.75">
      <c r="A1018" s="65"/>
      <c r="B1018" s="65"/>
      <c r="C1018" s="65"/>
      <c r="D1018" s="65"/>
      <c r="E1018" s="65" t="str">
        <v>---</v>
      </c>
      <c r="F1018" s="65"/>
      <c r="G1018" s="65"/>
      <c r="H1018" s="65"/>
      <c r="I1018" s="65"/>
      <c r="J1018" s="65"/>
      <c r="K1018" s="65" t="s">
        <v>2010</v>
      </c>
      <c r="L1018" s="65"/>
      <c r="M1018" s="65"/>
      <c r="N1018" s="65"/>
    </row>
    <row r="1019" spans="1:14" ht="12.75">
      <c r="A1019" s="65"/>
      <c r="B1019" s="65"/>
      <c r="C1019" s="65"/>
      <c r="D1019" s="65"/>
      <c r="E1019" s="65" t="str">
        <v>---</v>
      </c>
      <c r="F1019" s="65"/>
      <c r="G1019" s="65"/>
      <c r="H1019" s="65"/>
      <c r="I1019" s="65"/>
      <c r="J1019" s="65"/>
      <c r="K1019" s="65" t="s">
        <v>2011</v>
      </c>
      <c r="L1019" s="65"/>
      <c r="M1019" s="65"/>
      <c r="N1019" s="65"/>
    </row>
    <row r="1020" spans="1:14" ht="12.75">
      <c r="A1020" s="65"/>
      <c r="B1020" s="65"/>
      <c r="C1020" s="65"/>
      <c r="D1020" s="65"/>
      <c r="E1020" s="65" t="str">
        <v>---</v>
      </c>
      <c r="F1020" s="65"/>
      <c r="G1020" s="65"/>
      <c r="H1020" s="65"/>
      <c r="I1020" s="65"/>
      <c r="J1020" s="65"/>
      <c r="K1020" s="65" t="s">
        <v>2012</v>
      </c>
      <c r="L1020" s="65"/>
      <c r="M1020" s="65"/>
      <c r="N1020" s="65"/>
    </row>
    <row r="1021" spans="1:14" ht="12.75">
      <c r="A1021" s="65"/>
      <c r="B1021" s="65"/>
      <c r="C1021" s="65"/>
      <c r="D1021" s="65"/>
      <c r="E1021" s="65" t="str">
        <v>---</v>
      </c>
      <c r="F1021" s="65"/>
      <c r="G1021" s="65"/>
      <c r="H1021" s="65"/>
      <c r="I1021" s="65"/>
      <c r="J1021" s="65"/>
      <c r="K1021" s="65" t="s">
        <v>2013</v>
      </c>
      <c r="L1021" s="65"/>
      <c r="M1021" s="65"/>
      <c r="N1021" s="65"/>
    </row>
    <row r="1022" spans="1:14" ht="12.75">
      <c r="A1022" s="65"/>
      <c r="B1022" s="65"/>
      <c r="C1022" s="65"/>
      <c r="D1022" s="65"/>
      <c r="E1022" s="65" t="str">
        <v>---</v>
      </c>
      <c r="F1022" s="65"/>
      <c r="G1022" s="65"/>
      <c r="H1022" s="65"/>
      <c r="I1022" s="65"/>
      <c r="J1022" s="65"/>
      <c r="K1022" s="65" t="s">
        <v>2014</v>
      </c>
      <c r="L1022" s="65"/>
      <c r="M1022" s="65"/>
      <c r="N1022" s="65"/>
    </row>
    <row r="1023" spans="1:14" ht="12.75">
      <c r="A1023" s="65"/>
      <c r="B1023" s="65"/>
      <c r="C1023" s="65"/>
      <c r="D1023" s="65"/>
      <c r="E1023" s="65" t="str">
        <v>---</v>
      </c>
      <c r="F1023" s="65"/>
      <c r="G1023" s="65"/>
      <c r="H1023" s="65"/>
      <c r="I1023" s="65"/>
      <c r="J1023" s="65"/>
      <c r="K1023" s="65" t="s">
        <v>2015</v>
      </c>
      <c r="L1023" s="65"/>
      <c r="M1023" s="65"/>
      <c r="N1023" s="65"/>
    </row>
    <row r="1024" spans="1:14" ht="12.75">
      <c r="A1024" s="65"/>
      <c r="B1024" s="65"/>
      <c r="C1024" s="65"/>
      <c r="D1024" s="65"/>
      <c r="E1024" s="65" t="str">
        <v>---</v>
      </c>
      <c r="F1024" s="65"/>
      <c r="G1024" s="65"/>
      <c r="H1024" s="65"/>
      <c r="I1024" s="65"/>
      <c r="J1024" s="65"/>
      <c r="K1024" s="65" t="s">
        <v>1693</v>
      </c>
      <c r="L1024" s="65"/>
      <c r="M1024" s="65"/>
      <c r="N1024" s="65"/>
    </row>
    <row r="1025" spans="1:14" ht="12.75">
      <c r="A1025" s="65"/>
      <c r="B1025" s="65"/>
      <c r="C1025" s="65"/>
      <c r="D1025" s="65"/>
      <c r="E1025" s="65" t="str">
        <v>---</v>
      </c>
      <c r="F1025" s="65"/>
      <c r="G1025" s="65"/>
      <c r="H1025" s="65"/>
      <c r="I1025" s="65"/>
      <c r="J1025" s="65"/>
      <c r="K1025" s="65" t="s">
        <v>1694</v>
      </c>
      <c r="L1025" s="65"/>
      <c r="M1025" s="65"/>
      <c r="N1025" s="65"/>
    </row>
    <row r="1026" spans="1:14" ht="12.75">
      <c r="A1026" s="65"/>
      <c r="B1026" s="65"/>
      <c r="C1026" s="65"/>
      <c r="D1026" s="65"/>
      <c r="E1026" s="65" t="str">
        <v>---</v>
      </c>
      <c r="F1026" s="65"/>
      <c r="G1026" s="65"/>
      <c r="H1026" s="65"/>
      <c r="I1026" s="65"/>
      <c r="J1026" s="65"/>
      <c r="K1026" s="65" t="s">
        <v>1695</v>
      </c>
      <c r="L1026" s="65"/>
      <c r="M1026" s="65"/>
      <c r="N1026" s="65"/>
    </row>
    <row r="1027" spans="1:14" ht="12.75">
      <c r="A1027" s="65"/>
      <c r="B1027" s="65"/>
      <c r="C1027" s="65"/>
      <c r="D1027" s="65"/>
      <c r="E1027" s="65" t="str">
        <v>---</v>
      </c>
      <c r="F1027" s="65"/>
      <c r="G1027" s="65"/>
      <c r="H1027" s="65"/>
      <c r="I1027" s="65"/>
      <c r="J1027" s="65"/>
      <c r="K1027" s="65" t="s">
        <v>1696</v>
      </c>
      <c r="L1027" s="65"/>
      <c r="M1027" s="65"/>
      <c r="N1027" s="65"/>
    </row>
    <row r="1028" spans="1:14" ht="12.75">
      <c r="A1028" s="65"/>
      <c r="B1028" s="65"/>
      <c r="C1028" s="65"/>
      <c r="D1028" s="65"/>
      <c r="E1028" s="65" t="str">
        <v>---</v>
      </c>
      <c r="F1028" s="65"/>
      <c r="G1028" s="65"/>
      <c r="H1028" s="65"/>
      <c r="I1028" s="65"/>
      <c r="J1028" s="65"/>
      <c r="K1028" s="65" t="s">
        <v>1697</v>
      </c>
      <c r="L1028" s="65"/>
      <c r="M1028" s="65"/>
      <c r="N1028" s="65"/>
    </row>
    <row r="1029" spans="1:14" ht="12.75">
      <c r="A1029" s="65"/>
      <c r="B1029" s="65"/>
      <c r="C1029" s="65"/>
      <c r="D1029" s="65"/>
      <c r="E1029" s="65" t="str">
        <v>---</v>
      </c>
      <c r="F1029" s="65"/>
      <c r="G1029" s="65"/>
      <c r="H1029" s="65"/>
      <c r="I1029" s="65"/>
      <c r="J1029" s="65"/>
      <c r="K1029" s="65" t="s">
        <v>1698</v>
      </c>
      <c r="L1029" s="65"/>
      <c r="M1029" s="65"/>
      <c r="N1029" s="65"/>
    </row>
    <row r="1030" spans="1:14" ht="12.75">
      <c r="A1030" s="65"/>
      <c r="B1030" s="65"/>
      <c r="C1030" s="65"/>
      <c r="D1030" s="65"/>
      <c r="E1030" s="65" t="str">
        <v>---</v>
      </c>
      <c r="F1030" s="65"/>
      <c r="G1030" s="65"/>
      <c r="H1030" s="65"/>
      <c r="I1030" s="65"/>
      <c r="J1030" s="65"/>
      <c r="K1030" s="65" t="s">
        <v>1700</v>
      </c>
      <c r="L1030" s="65"/>
      <c r="M1030" s="65"/>
      <c r="N1030" s="65"/>
    </row>
    <row r="1031" spans="1:14" ht="12.75">
      <c r="A1031" s="65"/>
      <c r="B1031" s="65"/>
      <c r="C1031" s="65"/>
      <c r="D1031" s="65"/>
      <c r="E1031" s="65" t="str">
        <v>---</v>
      </c>
      <c r="F1031" s="65"/>
      <c r="G1031" s="65"/>
      <c r="H1031" s="65"/>
      <c r="I1031" s="65"/>
      <c r="J1031" s="65"/>
      <c r="K1031" s="65" t="s">
        <v>1701</v>
      </c>
      <c r="L1031" s="65"/>
      <c r="M1031" s="65"/>
      <c r="N1031" s="65"/>
    </row>
    <row r="1032" spans="1:14" ht="12.75">
      <c r="A1032" s="65"/>
      <c r="B1032" s="65"/>
      <c r="C1032" s="65"/>
      <c r="D1032" s="65"/>
      <c r="E1032" s="65" t="str">
        <v>---</v>
      </c>
      <c r="F1032" s="65"/>
      <c r="G1032" s="65"/>
      <c r="H1032" s="65"/>
      <c r="I1032" s="65"/>
      <c r="J1032" s="65"/>
      <c r="K1032" s="65" t="s">
        <v>1702</v>
      </c>
      <c r="L1032" s="65"/>
      <c r="M1032" s="65"/>
      <c r="N1032" s="65"/>
    </row>
    <row r="1033" spans="1:14" ht="12.75">
      <c r="A1033" s="65"/>
      <c r="B1033" s="65"/>
      <c r="C1033" s="65"/>
      <c r="D1033" s="65"/>
      <c r="E1033" s="65" t="str">
        <v>---</v>
      </c>
      <c r="F1033" s="65"/>
      <c r="G1033" s="65"/>
      <c r="H1033" s="65"/>
      <c r="I1033" s="65"/>
      <c r="J1033" s="65"/>
      <c r="K1033" s="65" t="s">
        <v>1703</v>
      </c>
      <c r="L1033" s="65"/>
      <c r="M1033" s="65"/>
      <c r="N1033" s="65"/>
    </row>
    <row r="1034" spans="1:14" ht="12.75">
      <c r="A1034" s="65"/>
      <c r="B1034" s="65"/>
      <c r="C1034" s="65"/>
      <c r="D1034" s="65"/>
      <c r="E1034" s="65" t="str">
        <v>---</v>
      </c>
      <c r="F1034" s="65"/>
      <c r="G1034" s="65"/>
      <c r="H1034" s="65"/>
      <c r="I1034" s="65"/>
      <c r="J1034" s="65"/>
      <c r="K1034" s="65" t="s">
        <v>1704</v>
      </c>
      <c r="L1034" s="65"/>
      <c r="M1034" s="65"/>
      <c r="N1034" s="65"/>
    </row>
    <row r="1035" spans="1:14" ht="12.75">
      <c r="A1035" s="65"/>
      <c r="B1035" s="65"/>
      <c r="C1035" s="65"/>
      <c r="D1035" s="65"/>
      <c r="E1035" s="65" t="str">
        <v>---</v>
      </c>
      <c r="F1035" s="65"/>
      <c r="G1035" s="65"/>
      <c r="H1035" s="65"/>
      <c r="I1035" s="65"/>
      <c r="J1035" s="65"/>
      <c r="K1035" s="65" t="s">
        <v>1705</v>
      </c>
      <c r="L1035" s="65"/>
      <c r="M1035" s="65"/>
      <c r="N1035" s="65"/>
    </row>
    <row r="1036" spans="1:14" ht="12.75">
      <c r="A1036" s="65"/>
      <c r="B1036" s="65"/>
      <c r="C1036" s="65"/>
      <c r="D1036" s="65"/>
      <c r="E1036" s="65" t="str">
        <v>---</v>
      </c>
      <c r="F1036" s="65"/>
      <c r="G1036" s="65"/>
      <c r="H1036" s="65"/>
      <c r="I1036" s="65"/>
      <c r="J1036" s="65"/>
      <c r="K1036" s="65" t="s">
        <v>1706</v>
      </c>
      <c r="L1036" s="65"/>
      <c r="M1036" s="65"/>
      <c r="N1036" s="65"/>
    </row>
    <row r="1037" spans="1:14" ht="12.75">
      <c r="A1037" s="65"/>
      <c r="B1037" s="65"/>
      <c r="C1037" s="65"/>
      <c r="D1037" s="65"/>
      <c r="E1037" s="65" t="str">
        <v>---</v>
      </c>
      <c r="F1037" s="65"/>
      <c r="G1037" s="65"/>
      <c r="H1037" s="65"/>
      <c r="I1037" s="65"/>
      <c r="J1037" s="65"/>
      <c r="K1037" s="65" t="s">
        <v>1707</v>
      </c>
      <c r="L1037" s="65"/>
      <c r="M1037" s="65"/>
      <c r="N1037" s="65"/>
    </row>
    <row r="1038" spans="1:14" ht="12.75">
      <c r="A1038" s="65"/>
      <c r="B1038" s="65"/>
      <c r="C1038" s="65"/>
      <c r="D1038" s="65"/>
      <c r="E1038" s="65" t="str">
        <v>---</v>
      </c>
      <c r="F1038" s="65"/>
      <c r="G1038" s="65"/>
      <c r="H1038" s="65"/>
      <c r="I1038" s="65"/>
      <c r="J1038" s="65"/>
      <c r="K1038" s="65" t="s">
        <v>1708</v>
      </c>
      <c r="L1038" s="65"/>
      <c r="M1038" s="65"/>
      <c r="N1038" s="65"/>
    </row>
    <row r="1039" spans="1:14" ht="12.75">
      <c r="A1039" s="65"/>
      <c r="B1039" s="65"/>
      <c r="C1039" s="65"/>
      <c r="D1039" s="65"/>
      <c r="E1039" s="65" t="str">
        <v>---</v>
      </c>
      <c r="F1039" s="65"/>
      <c r="G1039" s="65"/>
      <c r="H1039" s="65"/>
      <c r="I1039" s="65"/>
      <c r="J1039" s="65"/>
      <c r="K1039" s="65" t="s">
        <v>1709</v>
      </c>
      <c r="L1039" s="65"/>
      <c r="M1039" s="65"/>
      <c r="N1039" s="65"/>
    </row>
    <row r="1040" spans="1:14" ht="12.75">
      <c r="A1040" s="65"/>
      <c r="B1040" s="65"/>
      <c r="C1040" s="65"/>
      <c r="D1040" s="65"/>
      <c r="E1040" s="65" t="str">
        <v>---</v>
      </c>
      <c r="F1040" s="65"/>
      <c r="G1040" s="65"/>
      <c r="H1040" s="65"/>
      <c r="I1040" s="65"/>
      <c r="J1040" s="65"/>
      <c r="K1040" s="65" t="s">
        <v>1710</v>
      </c>
      <c r="L1040" s="65"/>
      <c r="M1040" s="65"/>
      <c r="N1040" s="65"/>
    </row>
    <row r="1041" spans="1:14" ht="12.75">
      <c r="A1041" s="65"/>
      <c r="B1041" s="65"/>
      <c r="C1041" s="65"/>
      <c r="D1041" s="65"/>
      <c r="E1041" s="65" t="str">
        <v>---</v>
      </c>
      <c r="F1041" s="65"/>
      <c r="G1041" s="65"/>
      <c r="H1041" s="65"/>
      <c r="I1041" s="65"/>
      <c r="J1041" s="65"/>
      <c r="K1041" s="65" t="s">
        <v>1711</v>
      </c>
      <c r="L1041" s="65"/>
      <c r="M1041" s="65"/>
      <c r="N1041" s="65"/>
    </row>
    <row r="1042" spans="1:14" ht="12.75">
      <c r="A1042" s="65"/>
      <c r="B1042" s="65"/>
      <c r="C1042" s="65"/>
      <c r="D1042" s="65"/>
      <c r="E1042" s="65" t="str">
        <v>---</v>
      </c>
      <c r="F1042" s="65"/>
      <c r="G1042" s="65"/>
      <c r="H1042" s="65"/>
      <c r="I1042" s="65"/>
      <c r="J1042" s="65"/>
      <c r="K1042" s="65" t="s">
        <v>1712</v>
      </c>
      <c r="L1042" s="65"/>
      <c r="M1042" s="65"/>
      <c r="N1042" s="65"/>
    </row>
    <row r="1043" spans="1:14" ht="12.75">
      <c r="A1043" s="65"/>
      <c r="B1043" s="65"/>
      <c r="C1043" s="65"/>
      <c r="D1043" s="65"/>
      <c r="E1043" s="65" t="str">
        <v>---</v>
      </c>
      <c r="F1043" s="65"/>
      <c r="G1043" s="65"/>
      <c r="H1043" s="65"/>
      <c r="I1043" s="65"/>
      <c r="J1043" s="65"/>
      <c r="K1043" s="65" t="s">
        <v>1713</v>
      </c>
      <c r="L1043" s="65"/>
      <c r="M1043" s="65"/>
      <c r="N1043" s="65"/>
    </row>
    <row r="1044" spans="1:14" ht="12.75">
      <c r="A1044" s="65"/>
      <c r="B1044" s="65"/>
      <c r="C1044" s="65"/>
      <c r="D1044" s="65"/>
      <c r="E1044" s="65" t="str">
        <v>---</v>
      </c>
      <c r="F1044" s="65"/>
      <c r="G1044" s="65"/>
      <c r="H1044" s="65"/>
      <c r="I1044" s="65"/>
      <c r="J1044" s="65"/>
      <c r="K1044" s="65" t="s">
        <v>1714</v>
      </c>
      <c r="L1044" s="65"/>
      <c r="M1044" s="65"/>
      <c r="N1044" s="65"/>
    </row>
    <row r="1045" spans="1:14" ht="12.75">
      <c r="A1045" s="65"/>
      <c r="B1045" s="65"/>
      <c r="C1045" s="65"/>
      <c r="D1045" s="65"/>
      <c r="E1045" s="65" t="str">
        <v>---</v>
      </c>
      <c r="F1045" s="65"/>
      <c r="G1045" s="65"/>
      <c r="H1045" s="65"/>
      <c r="I1045" s="65"/>
      <c r="J1045" s="65"/>
      <c r="K1045" s="65" t="s">
        <v>1715</v>
      </c>
      <c r="L1045" s="65"/>
      <c r="M1045" s="65"/>
      <c r="N1045" s="65"/>
    </row>
    <row r="1046" spans="1:14" ht="12.75">
      <c r="A1046" s="65"/>
      <c r="B1046" s="65"/>
      <c r="C1046" s="65"/>
      <c r="D1046" s="65"/>
      <c r="E1046" s="65" t="str">
        <v>---</v>
      </c>
      <c r="F1046" s="65"/>
      <c r="G1046" s="65"/>
      <c r="H1046" s="65"/>
      <c r="I1046" s="65"/>
      <c r="J1046" s="65"/>
      <c r="K1046" s="65" t="s">
        <v>1716</v>
      </c>
      <c r="L1046" s="65"/>
      <c r="M1046" s="65"/>
      <c r="N1046" s="65"/>
    </row>
    <row r="1047" spans="1:14" ht="12.75">
      <c r="A1047" s="65"/>
      <c r="B1047" s="65"/>
      <c r="C1047" s="65"/>
      <c r="D1047" s="65"/>
      <c r="E1047" s="65" t="str">
        <v>---</v>
      </c>
      <c r="F1047" s="65"/>
      <c r="G1047" s="65"/>
      <c r="H1047" s="65"/>
      <c r="I1047" s="65"/>
      <c r="J1047" s="65"/>
      <c r="K1047" s="65" t="s">
        <v>1717</v>
      </c>
      <c r="L1047" s="65"/>
      <c r="M1047" s="65"/>
      <c r="N1047" s="65"/>
    </row>
    <row r="1048" spans="1:14" ht="12.75">
      <c r="A1048" s="65"/>
      <c r="B1048" s="65"/>
      <c r="C1048" s="65"/>
      <c r="D1048" s="65"/>
      <c r="E1048" s="65" t="str">
        <v>---</v>
      </c>
      <c r="F1048" s="65"/>
      <c r="G1048" s="65"/>
      <c r="H1048" s="65"/>
      <c r="I1048" s="65"/>
      <c r="J1048" s="65"/>
      <c r="K1048" s="65" t="s">
        <v>1718</v>
      </c>
      <c r="L1048" s="65"/>
      <c r="M1048" s="65"/>
      <c r="N1048" s="65"/>
    </row>
    <row r="1049" spans="1:14" ht="12.75">
      <c r="A1049" s="65"/>
      <c r="B1049" s="65"/>
      <c r="C1049" s="65"/>
      <c r="D1049" s="65"/>
      <c r="E1049" s="65" t="str">
        <v>---</v>
      </c>
      <c r="F1049" s="65"/>
      <c r="G1049" s="65"/>
      <c r="H1049" s="65"/>
      <c r="I1049" s="65"/>
      <c r="J1049" s="65"/>
      <c r="K1049" s="65" t="s">
        <v>1719</v>
      </c>
      <c r="L1049" s="65"/>
      <c r="M1049" s="65"/>
      <c r="N1049" s="65"/>
    </row>
    <row r="1050" spans="1:14" ht="12.75">
      <c r="A1050" s="65"/>
      <c r="B1050" s="65"/>
      <c r="C1050" s="65"/>
      <c r="D1050" s="65"/>
      <c r="E1050" s="65" t="str">
        <v>---</v>
      </c>
      <c r="F1050" s="65"/>
      <c r="G1050" s="65"/>
      <c r="H1050" s="65"/>
      <c r="I1050" s="65"/>
      <c r="J1050" s="65"/>
      <c r="K1050" s="65" t="s">
        <v>1720</v>
      </c>
      <c r="L1050" s="65"/>
      <c r="M1050" s="65"/>
      <c r="N1050" s="65"/>
    </row>
    <row r="1051" spans="1:14" ht="12.75">
      <c r="A1051" s="65"/>
      <c r="B1051" s="65"/>
      <c r="C1051" s="65"/>
      <c r="D1051" s="65"/>
      <c r="E1051" s="65" t="str">
        <v>---</v>
      </c>
      <c r="F1051" s="65"/>
      <c r="G1051" s="65"/>
      <c r="H1051" s="65"/>
      <c r="I1051" s="65"/>
      <c r="J1051" s="65"/>
      <c r="K1051" s="65" t="s">
        <v>1721</v>
      </c>
      <c r="L1051" s="65"/>
      <c r="M1051" s="65"/>
      <c r="N1051" s="65"/>
    </row>
    <row r="1052" spans="1:14" ht="12.75">
      <c r="A1052" s="65"/>
      <c r="B1052" s="65"/>
      <c r="C1052" s="65"/>
      <c r="D1052" s="65"/>
      <c r="E1052" s="65" t="str">
        <v>---</v>
      </c>
      <c r="F1052" s="65"/>
      <c r="G1052" s="65"/>
      <c r="H1052" s="65"/>
      <c r="I1052" s="65"/>
      <c r="J1052" s="65"/>
      <c r="K1052" s="65" t="s">
        <v>1722</v>
      </c>
      <c r="L1052" s="65"/>
      <c r="M1052" s="65"/>
      <c r="N1052" s="65"/>
    </row>
    <row r="1053" spans="1:14" ht="12.75">
      <c r="A1053" s="65"/>
      <c r="B1053" s="65"/>
      <c r="C1053" s="65"/>
      <c r="D1053" s="65"/>
      <c r="E1053" s="65" t="str">
        <v>---</v>
      </c>
      <c r="F1053" s="65"/>
      <c r="G1053" s="65"/>
      <c r="H1053" s="65"/>
      <c r="I1053" s="65"/>
      <c r="J1053" s="65"/>
      <c r="K1053" s="65" t="s">
        <v>1723</v>
      </c>
      <c r="L1053" s="65"/>
      <c r="M1053" s="65"/>
      <c r="N1053" s="65"/>
    </row>
    <row r="1054" spans="1:14" ht="12.75">
      <c r="A1054" s="65"/>
      <c r="B1054" s="65"/>
      <c r="C1054" s="65"/>
      <c r="D1054" s="65"/>
      <c r="E1054" s="65" t="str">
        <v>---</v>
      </c>
      <c r="F1054" s="65"/>
      <c r="G1054" s="65"/>
      <c r="H1054" s="65"/>
      <c r="I1054" s="65"/>
      <c r="J1054" s="65"/>
      <c r="K1054" s="65" t="s">
        <v>1724</v>
      </c>
      <c r="L1054" s="65"/>
      <c r="M1054" s="65"/>
      <c r="N1054" s="65"/>
    </row>
    <row r="1055" spans="1:14" ht="12.75">
      <c r="A1055" s="65"/>
      <c r="B1055" s="65"/>
      <c r="C1055" s="65"/>
      <c r="D1055" s="65"/>
      <c r="E1055" s="65" t="str">
        <v>---</v>
      </c>
      <c r="F1055" s="65"/>
      <c r="G1055" s="65"/>
      <c r="H1055" s="65"/>
      <c r="I1055" s="65"/>
      <c r="J1055" s="65"/>
      <c r="K1055" s="65" t="s">
        <v>1725</v>
      </c>
      <c r="L1055" s="65"/>
      <c r="M1055" s="65"/>
      <c r="N1055" s="65"/>
    </row>
    <row r="1056" spans="1:14" ht="12.75">
      <c r="A1056" s="65"/>
      <c r="B1056" s="65"/>
      <c r="C1056" s="65"/>
      <c r="D1056" s="65"/>
      <c r="E1056" s="65" t="str">
        <v>---</v>
      </c>
      <c r="F1056" s="65"/>
      <c r="G1056" s="65"/>
      <c r="H1056" s="65"/>
      <c r="I1056" s="65"/>
      <c r="J1056" s="65"/>
      <c r="K1056" s="65" t="s">
        <v>1726</v>
      </c>
      <c r="L1056" s="65"/>
      <c r="M1056" s="65"/>
      <c r="N1056" s="65"/>
    </row>
    <row r="1057" spans="1:14" ht="12.75">
      <c r="A1057" s="65"/>
      <c r="B1057" s="65"/>
      <c r="C1057" s="65"/>
      <c r="D1057" s="65"/>
      <c r="E1057" s="65" t="str">
        <v>---</v>
      </c>
      <c r="F1057" s="65"/>
      <c r="G1057" s="65"/>
      <c r="H1057" s="65"/>
      <c r="I1057" s="65"/>
      <c r="J1057" s="65"/>
      <c r="K1057" s="65" t="s">
        <v>1727</v>
      </c>
      <c r="L1057" s="65"/>
      <c r="M1057" s="65"/>
      <c r="N1057" s="65"/>
    </row>
    <row r="1058" spans="1:14" ht="12.75">
      <c r="A1058" s="65"/>
      <c r="B1058" s="65"/>
      <c r="C1058" s="65"/>
      <c r="D1058" s="65"/>
      <c r="E1058" s="65" t="str">
        <v>---</v>
      </c>
      <c r="F1058" s="65"/>
      <c r="G1058" s="65"/>
      <c r="H1058" s="65"/>
      <c r="I1058" s="65"/>
      <c r="J1058" s="65"/>
      <c r="K1058" s="65" t="s">
        <v>1728</v>
      </c>
      <c r="L1058" s="65"/>
      <c r="M1058" s="65"/>
      <c r="N1058" s="65"/>
    </row>
    <row r="1059" spans="1:14" ht="12.75">
      <c r="A1059" s="65"/>
      <c r="B1059" s="65"/>
      <c r="C1059" s="65"/>
      <c r="D1059" s="65"/>
      <c r="E1059" s="65" t="str">
        <v>---</v>
      </c>
      <c r="F1059" s="65"/>
      <c r="G1059" s="65"/>
      <c r="H1059" s="65"/>
      <c r="I1059" s="65"/>
      <c r="J1059" s="65"/>
      <c r="K1059" s="65" t="s">
        <v>1729</v>
      </c>
      <c r="L1059" s="65"/>
      <c r="M1059" s="65"/>
      <c r="N1059" s="65"/>
    </row>
    <row r="1060" spans="1:14" ht="12.75">
      <c r="A1060" s="65"/>
      <c r="B1060" s="65"/>
      <c r="C1060" s="65"/>
      <c r="D1060" s="65"/>
      <c r="E1060" s="65" t="str">
        <v>---</v>
      </c>
      <c r="F1060" s="65"/>
      <c r="G1060" s="65"/>
      <c r="H1060" s="65"/>
      <c r="I1060" s="65"/>
      <c r="J1060" s="65"/>
      <c r="K1060" s="65" t="s">
        <v>1730</v>
      </c>
      <c r="L1060" s="65"/>
      <c r="M1060" s="65"/>
      <c r="N1060" s="65"/>
    </row>
    <row r="1061" spans="1:14" ht="12.75">
      <c r="A1061" s="65"/>
      <c r="B1061" s="65"/>
      <c r="C1061" s="65"/>
      <c r="D1061" s="65"/>
      <c r="E1061" s="65" t="str">
        <v>---</v>
      </c>
      <c r="F1061" s="65"/>
      <c r="G1061" s="65"/>
      <c r="H1061" s="65"/>
      <c r="I1061" s="65"/>
      <c r="J1061" s="65"/>
      <c r="K1061" s="65" t="s">
        <v>1731</v>
      </c>
      <c r="L1061" s="65"/>
      <c r="M1061" s="65"/>
      <c r="N1061" s="65"/>
    </row>
    <row r="1062" spans="1:14" ht="12.75">
      <c r="A1062" s="65"/>
      <c r="B1062" s="65"/>
      <c r="C1062" s="65"/>
      <c r="D1062" s="65"/>
      <c r="E1062" s="65" t="str">
        <v>---</v>
      </c>
      <c r="F1062" s="65"/>
      <c r="G1062" s="65"/>
      <c r="H1062" s="65"/>
      <c r="I1062" s="65"/>
      <c r="J1062" s="65"/>
      <c r="K1062" s="65" t="s">
        <v>1732</v>
      </c>
      <c r="L1062" s="65"/>
      <c r="M1062" s="65"/>
      <c r="N1062" s="65"/>
    </row>
    <row r="1063" spans="1:14" ht="12.75">
      <c r="A1063" s="65"/>
      <c r="B1063" s="65"/>
      <c r="C1063" s="65"/>
      <c r="D1063" s="65"/>
      <c r="E1063" s="65" t="str">
        <v>---</v>
      </c>
      <c r="F1063" s="65"/>
      <c r="G1063" s="65"/>
      <c r="H1063" s="65"/>
      <c r="I1063" s="65"/>
      <c r="J1063" s="65"/>
      <c r="K1063" s="65" t="s">
        <v>1733</v>
      </c>
      <c r="L1063" s="65"/>
      <c r="M1063" s="65"/>
      <c r="N1063" s="65"/>
    </row>
    <row r="1064" spans="1:14" ht="12.75">
      <c r="A1064" s="65"/>
      <c r="B1064" s="65"/>
      <c r="C1064" s="65"/>
      <c r="D1064" s="65"/>
      <c r="E1064" s="65" t="str">
        <v>---</v>
      </c>
      <c r="F1064" s="65"/>
      <c r="G1064" s="65"/>
      <c r="H1064" s="65"/>
      <c r="I1064" s="65"/>
      <c r="J1064" s="65"/>
      <c r="K1064" s="65" t="s">
        <v>1734</v>
      </c>
      <c r="L1064" s="65"/>
      <c r="M1064" s="65"/>
      <c r="N1064" s="65"/>
    </row>
    <row r="1065" spans="1:14" ht="12.75">
      <c r="A1065" s="65"/>
      <c r="B1065" s="65"/>
      <c r="C1065" s="65"/>
      <c r="D1065" s="65"/>
      <c r="E1065" s="65" t="str">
        <v>---</v>
      </c>
      <c r="F1065" s="65"/>
      <c r="G1065" s="65"/>
      <c r="H1065" s="65"/>
      <c r="I1065" s="65"/>
      <c r="J1065" s="65"/>
      <c r="K1065" s="65" t="s">
        <v>1735</v>
      </c>
      <c r="L1065" s="65"/>
      <c r="M1065" s="65"/>
      <c r="N1065" s="65"/>
    </row>
    <row r="1066" spans="1:14" ht="12.75">
      <c r="A1066" s="65"/>
      <c r="B1066" s="65"/>
      <c r="C1066" s="65"/>
      <c r="D1066" s="65"/>
      <c r="E1066" s="65" t="str">
        <v>---</v>
      </c>
      <c r="F1066" s="65"/>
      <c r="G1066" s="65"/>
      <c r="H1066" s="65"/>
      <c r="I1066" s="65"/>
      <c r="J1066" s="65"/>
      <c r="K1066" s="65" t="s">
        <v>1736</v>
      </c>
      <c r="L1066" s="65"/>
      <c r="M1066" s="65"/>
      <c r="N1066" s="65"/>
    </row>
    <row r="1067" spans="1:14" ht="12.75">
      <c r="A1067" s="65"/>
      <c r="B1067" s="65"/>
      <c r="C1067" s="65"/>
      <c r="D1067" s="65"/>
      <c r="E1067" s="65" t="str">
        <v>---</v>
      </c>
      <c r="F1067" s="65"/>
      <c r="G1067" s="65"/>
      <c r="H1067" s="65"/>
      <c r="I1067" s="65"/>
      <c r="J1067" s="65"/>
      <c r="K1067" s="65" t="s">
        <v>1737</v>
      </c>
      <c r="L1067" s="65"/>
      <c r="M1067" s="65"/>
      <c r="N1067" s="65"/>
    </row>
    <row r="1068" spans="1:14" ht="12.75">
      <c r="A1068" s="65"/>
      <c r="B1068" s="65"/>
      <c r="C1068" s="65"/>
      <c r="D1068" s="65"/>
      <c r="E1068" s="65" t="str">
        <v>---</v>
      </c>
      <c r="F1068" s="65"/>
      <c r="G1068" s="65"/>
      <c r="H1068" s="65"/>
      <c r="I1068" s="65"/>
      <c r="J1068" s="65"/>
      <c r="K1068" s="65" t="s">
        <v>1738</v>
      </c>
      <c r="L1068" s="65"/>
      <c r="M1068" s="65"/>
      <c r="N1068" s="65"/>
    </row>
    <row r="1069" spans="1:14" ht="12.75">
      <c r="A1069" s="65"/>
      <c r="B1069" s="65"/>
      <c r="C1069" s="65"/>
      <c r="D1069" s="65"/>
      <c r="E1069" s="65" t="str">
        <v>---</v>
      </c>
      <c r="F1069" s="65"/>
      <c r="G1069" s="65"/>
      <c r="H1069" s="65"/>
      <c r="I1069" s="65"/>
      <c r="J1069" s="65"/>
      <c r="K1069" s="65" t="s">
        <v>1739</v>
      </c>
      <c r="L1069" s="65"/>
      <c r="M1069" s="65"/>
      <c r="N1069" s="65"/>
    </row>
    <row r="1070" spans="1:14" ht="12.75">
      <c r="A1070" s="65"/>
      <c r="B1070" s="65"/>
      <c r="C1070" s="65"/>
      <c r="D1070" s="65"/>
      <c r="E1070" s="65" t="str">
        <v>---</v>
      </c>
      <c r="F1070" s="65"/>
      <c r="G1070" s="65"/>
      <c r="H1070" s="65"/>
      <c r="I1070" s="65"/>
      <c r="J1070" s="65"/>
      <c r="K1070" s="65" t="s">
        <v>1740</v>
      </c>
      <c r="L1070" s="65"/>
      <c r="M1070" s="65"/>
      <c r="N1070" s="65"/>
    </row>
    <row r="1071" spans="1:14" ht="12.75">
      <c r="A1071" s="65"/>
      <c r="B1071" s="65"/>
      <c r="C1071" s="65"/>
      <c r="D1071" s="65"/>
      <c r="E1071" s="65" t="str">
        <v>---</v>
      </c>
      <c r="F1071" s="65"/>
      <c r="G1071" s="65"/>
      <c r="H1071" s="65"/>
      <c r="I1071" s="65"/>
      <c r="J1071" s="65"/>
      <c r="K1071" s="65" t="s">
        <v>1741</v>
      </c>
      <c r="L1071" s="65"/>
      <c r="M1071" s="65"/>
      <c r="N1071" s="65"/>
    </row>
    <row r="1072" spans="1:14" ht="12.75">
      <c r="A1072" s="65"/>
      <c r="B1072" s="65"/>
      <c r="C1072" s="65"/>
      <c r="D1072" s="65"/>
      <c r="E1072" s="65" t="str">
        <v>---</v>
      </c>
      <c r="F1072" s="65"/>
      <c r="G1072" s="65"/>
      <c r="H1072" s="65"/>
      <c r="I1072" s="65"/>
      <c r="J1072" s="65"/>
      <c r="K1072" s="65" t="s">
        <v>1742</v>
      </c>
      <c r="L1072" s="65"/>
      <c r="M1072" s="65"/>
      <c r="N1072" s="65"/>
    </row>
    <row r="1073" spans="1:14" ht="12.75">
      <c r="A1073" s="65"/>
      <c r="B1073" s="65"/>
      <c r="C1073" s="65"/>
      <c r="D1073" s="65"/>
      <c r="E1073" s="65" t="str">
        <v>---</v>
      </c>
      <c r="F1073" s="65"/>
      <c r="G1073" s="65"/>
      <c r="H1073" s="65"/>
      <c r="I1073" s="65"/>
      <c r="J1073" s="65"/>
      <c r="K1073" s="65" t="s">
        <v>1743</v>
      </c>
      <c r="L1073" s="65"/>
      <c r="M1073" s="65"/>
      <c r="N1073" s="65"/>
    </row>
    <row r="1074" spans="1:14" ht="12.75">
      <c r="A1074" s="65"/>
      <c r="B1074" s="65"/>
      <c r="C1074" s="65"/>
      <c r="D1074" s="65"/>
      <c r="E1074" s="65" t="str">
        <v>---</v>
      </c>
      <c r="F1074" s="65"/>
      <c r="G1074" s="65"/>
      <c r="H1074" s="65"/>
      <c r="I1074" s="65"/>
      <c r="J1074" s="65"/>
      <c r="K1074" s="65" t="s">
        <v>1744</v>
      </c>
      <c r="L1074" s="65"/>
      <c r="M1074" s="65"/>
      <c r="N1074" s="65"/>
    </row>
    <row r="1075" spans="1:14" ht="12.75">
      <c r="A1075" s="65"/>
      <c r="B1075" s="65"/>
      <c r="C1075" s="65"/>
      <c r="D1075" s="65"/>
      <c r="E1075" s="65" t="str">
        <v>---</v>
      </c>
      <c r="F1075" s="65"/>
      <c r="G1075" s="65"/>
      <c r="H1075" s="65"/>
      <c r="I1075" s="65"/>
      <c r="J1075" s="65"/>
      <c r="K1075" s="65" t="s">
        <v>1745</v>
      </c>
      <c r="L1075" s="65"/>
      <c r="M1075" s="65"/>
      <c r="N1075" s="65"/>
    </row>
    <row r="1076" spans="1:14" ht="12.75">
      <c r="A1076" s="65"/>
      <c r="B1076" s="65"/>
      <c r="C1076" s="65"/>
      <c r="D1076" s="65"/>
      <c r="E1076" s="65" t="str">
        <v>---</v>
      </c>
      <c r="F1076" s="65"/>
      <c r="G1076" s="65"/>
      <c r="H1076" s="65"/>
      <c r="I1076" s="65"/>
      <c r="J1076" s="65"/>
      <c r="K1076" s="65" t="s">
        <v>1746</v>
      </c>
      <c r="L1076" s="65"/>
      <c r="M1076" s="65"/>
      <c r="N1076" s="65"/>
    </row>
    <row r="1077" spans="1:14" ht="12.75">
      <c r="A1077" s="65"/>
      <c r="B1077" s="65"/>
      <c r="C1077" s="65"/>
      <c r="D1077" s="65"/>
      <c r="E1077" s="65" t="str">
        <v>---</v>
      </c>
      <c r="F1077" s="65"/>
      <c r="G1077" s="65"/>
      <c r="H1077" s="65"/>
      <c r="I1077" s="65"/>
      <c r="J1077" s="65"/>
      <c r="K1077" s="65" t="s">
        <v>1747</v>
      </c>
      <c r="L1077" s="65"/>
      <c r="M1077" s="65"/>
      <c r="N1077" s="65"/>
    </row>
    <row r="1078" spans="1:14" ht="12.75">
      <c r="A1078" s="65"/>
      <c r="B1078" s="65"/>
      <c r="C1078" s="65"/>
      <c r="D1078" s="65"/>
      <c r="E1078" s="65" t="str">
        <v>---</v>
      </c>
      <c r="F1078" s="65"/>
      <c r="G1078" s="65"/>
      <c r="H1078" s="65"/>
      <c r="I1078" s="65"/>
      <c r="J1078" s="65"/>
      <c r="K1078" s="65" t="s">
        <v>1748</v>
      </c>
      <c r="L1078" s="65"/>
      <c r="M1078" s="65"/>
      <c r="N1078" s="65"/>
    </row>
    <row r="1079" spans="1:14" ht="12.75">
      <c r="A1079" s="65"/>
      <c r="B1079" s="65"/>
      <c r="C1079" s="65"/>
      <c r="D1079" s="65"/>
      <c r="E1079" s="65" t="str">
        <v>---</v>
      </c>
      <c r="F1079" s="65"/>
      <c r="G1079" s="65"/>
      <c r="H1079" s="65"/>
      <c r="I1079" s="65"/>
      <c r="J1079" s="65"/>
      <c r="K1079" s="65" t="s">
        <v>1749</v>
      </c>
      <c r="L1079" s="65"/>
      <c r="M1079" s="65"/>
      <c r="N1079" s="65"/>
    </row>
    <row r="1080" spans="1:14" ht="12.75">
      <c r="A1080" s="65"/>
      <c r="B1080" s="65"/>
      <c r="C1080" s="65"/>
      <c r="D1080" s="65"/>
      <c r="E1080" s="65" t="str">
        <v>---</v>
      </c>
      <c r="F1080" s="65"/>
      <c r="G1080" s="65"/>
      <c r="H1080" s="65"/>
      <c r="I1080" s="65"/>
      <c r="J1080" s="65"/>
      <c r="K1080" s="65" t="s">
        <v>1750</v>
      </c>
      <c r="L1080" s="65"/>
      <c r="M1080" s="65"/>
      <c r="N1080" s="65"/>
    </row>
    <row r="1081" spans="1:14" ht="12.75">
      <c r="A1081" s="65"/>
      <c r="B1081" s="65"/>
      <c r="C1081" s="65"/>
      <c r="D1081" s="65"/>
      <c r="E1081" s="65" t="str">
        <v>---</v>
      </c>
      <c r="F1081" s="65"/>
      <c r="G1081" s="65"/>
      <c r="H1081" s="65"/>
      <c r="I1081" s="65"/>
      <c r="J1081" s="65"/>
      <c r="K1081" s="65" t="s">
        <v>1751</v>
      </c>
      <c r="L1081" s="65"/>
      <c r="M1081" s="65"/>
      <c r="N1081" s="65"/>
    </row>
    <row r="1082" spans="1:14" ht="12.75">
      <c r="A1082" s="65"/>
      <c r="B1082" s="65"/>
      <c r="C1082" s="65"/>
      <c r="D1082" s="65"/>
      <c r="E1082" s="65" t="str">
        <v>---</v>
      </c>
      <c r="F1082" s="65"/>
      <c r="G1082" s="65"/>
      <c r="H1082" s="65"/>
      <c r="I1082" s="65"/>
      <c r="J1082" s="65"/>
      <c r="K1082" s="65" t="s">
        <v>1752</v>
      </c>
      <c r="L1082" s="65"/>
      <c r="M1082" s="65"/>
      <c r="N1082" s="65"/>
    </row>
    <row r="1083" spans="1:14" ht="12.75">
      <c r="A1083" s="65"/>
      <c r="B1083" s="65"/>
      <c r="C1083" s="65"/>
      <c r="D1083" s="65"/>
      <c r="E1083" s="65" t="str">
        <v>---</v>
      </c>
      <c r="F1083" s="65"/>
      <c r="G1083" s="65"/>
      <c r="H1083" s="65"/>
      <c r="I1083" s="65"/>
      <c r="J1083" s="65"/>
      <c r="K1083" s="65" t="s">
        <v>1753</v>
      </c>
      <c r="L1083" s="65"/>
      <c r="M1083" s="65"/>
      <c r="N1083" s="65"/>
    </row>
    <row r="1084" spans="1:14" ht="12.75">
      <c r="A1084" s="65"/>
      <c r="B1084" s="65"/>
      <c r="C1084" s="65"/>
      <c r="D1084" s="65"/>
      <c r="E1084" s="65" t="str">
        <v>---</v>
      </c>
      <c r="F1084" s="65"/>
      <c r="G1084" s="65"/>
      <c r="H1084" s="65"/>
      <c r="I1084" s="65"/>
      <c r="J1084" s="65"/>
      <c r="K1084" s="65" t="s">
        <v>1754</v>
      </c>
      <c r="L1084" s="65"/>
      <c r="M1084" s="65"/>
      <c r="N1084" s="65"/>
    </row>
    <row r="1085" spans="1:14" ht="12.75">
      <c r="A1085" s="65"/>
      <c r="B1085" s="65"/>
      <c r="C1085" s="65"/>
      <c r="D1085" s="65"/>
      <c r="E1085" s="65" t="str">
        <v>---</v>
      </c>
      <c r="F1085" s="65"/>
      <c r="G1085" s="65"/>
      <c r="H1085" s="65"/>
      <c r="I1085" s="65"/>
      <c r="J1085" s="65"/>
      <c r="K1085" s="65" t="s">
        <v>1755</v>
      </c>
      <c r="L1085" s="65"/>
      <c r="M1085" s="65"/>
      <c r="N1085" s="65"/>
    </row>
    <row r="1086" spans="1:14" ht="12.75">
      <c r="A1086" s="65"/>
      <c r="B1086" s="65"/>
      <c r="C1086" s="65"/>
      <c r="D1086" s="65"/>
      <c r="E1086" s="65" t="str">
        <v>---</v>
      </c>
      <c r="F1086" s="65"/>
      <c r="G1086" s="65"/>
      <c r="H1086" s="65"/>
      <c r="I1086" s="65"/>
      <c r="J1086" s="65"/>
      <c r="K1086" s="65" t="s">
        <v>1756</v>
      </c>
      <c r="L1086" s="65"/>
      <c r="M1086" s="65"/>
      <c r="N1086" s="65"/>
    </row>
    <row r="1087" spans="1:14" ht="12.75">
      <c r="A1087" s="65"/>
      <c r="B1087" s="65"/>
      <c r="C1087" s="65"/>
      <c r="D1087" s="65"/>
      <c r="E1087" s="65" t="str">
        <v>---</v>
      </c>
      <c r="F1087" s="65"/>
      <c r="G1087" s="65"/>
      <c r="H1087" s="65"/>
      <c r="I1087" s="65"/>
      <c r="J1087" s="65"/>
      <c r="K1087" s="65" t="s">
        <v>1757</v>
      </c>
      <c r="L1087" s="65"/>
      <c r="M1087" s="65"/>
      <c r="N1087" s="65"/>
    </row>
    <row r="1088" spans="1:14" ht="12.75">
      <c r="A1088" s="65"/>
      <c r="B1088" s="65"/>
      <c r="C1088" s="65"/>
      <c r="D1088" s="65"/>
      <c r="E1088" s="65" t="str">
        <v>---</v>
      </c>
      <c r="F1088" s="65"/>
      <c r="G1088" s="65"/>
      <c r="H1088" s="65"/>
      <c r="I1088" s="65"/>
      <c r="J1088" s="65"/>
      <c r="K1088" s="65" t="s">
        <v>1758</v>
      </c>
      <c r="L1088" s="65"/>
      <c r="M1088" s="65"/>
      <c r="N1088" s="65"/>
    </row>
    <row r="1089" spans="1:14" ht="12.75">
      <c r="A1089" s="65"/>
      <c r="B1089" s="65"/>
      <c r="C1089" s="65"/>
      <c r="D1089" s="65"/>
      <c r="E1089" s="65" t="str">
        <v>---</v>
      </c>
      <c r="F1089" s="65"/>
      <c r="G1089" s="65"/>
      <c r="H1089" s="65"/>
      <c r="I1089" s="65"/>
      <c r="J1089" s="65"/>
      <c r="K1089" s="65" t="s">
        <v>1759</v>
      </c>
      <c r="L1089" s="65"/>
      <c r="M1089" s="65"/>
      <c r="N1089" s="65"/>
    </row>
    <row r="1090" spans="1:14" ht="12.75">
      <c r="A1090" s="65"/>
      <c r="B1090" s="65"/>
      <c r="C1090" s="65"/>
      <c r="D1090" s="65"/>
      <c r="E1090" s="65" t="str">
        <v>---</v>
      </c>
      <c r="F1090" s="65"/>
      <c r="G1090" s="65"/>
      <c r="H1090" s="65"/>
      <c r="I1090" s="65"/>
      <c r="J1090" s="65"/>
      <c r="K1090" s="65" t="s">
        <v>1760</v>
      </c>
      <c r="L1090" s="65"/>
      <c r="M1090" s="65"/>
      <c r="N1090" s="65"/>
    </row>
    <row r="1091" spans="1:14" ht="12.75">
      <c r="A1091" s="65"/>
      <c r="B1091" s="65"/>
      <c r="C1091" s="65"/>
      <c r="D1091" s="65"/>
      <c r="E1091" s="65" t="str">
        <v>---</v>
      </c>
      <c r="F1091" s="65"/>
      <c r="G1091" s="65"/>
      <c r="H1091" s="65"/>
      <c r="I1091" s="65"/>
      <c r="J1091" s="65"/>
      <c r="K1091" s="65" t="s">
        <v>1761</v>
      </c>
      <c r="L1091" s="65"/>
      <c r="M1091" s="65"/>
      <c r="N1091" s="65"/>
    </row>
    <row r="1092" spans="1:14" ht="12.75">
      <c r="A1092" s="65"/>
      <c r="B1092" s="65"/>
      <c r="C1092" s="65"/>
      <c r="D1092" s="65"/>
      <c r="E1092" s="65" t="str">
        <v>---</v>
      </c>
      <c r="F1092" s="65"/>
      <c r="G1092" s="65"/>
      <c r="H1092" s="65"/>
      <c r="I1092" s="65"/>
      <c r="J1092" s="65"/>
      <c r="K1092" s="65" t="s">
        <v>1762</v>
      </c>
      <c r="L1092" s="65"/>
      <c r="M1092" s="65"/>
      <c r="N1092" s="65"/>
    </row>
    <row r="1093" spans="1:14" ht="12.75">
      <c r="A1093" s="65"/>
      <c r="B1093" s="65"/>
      <c r="C1093" s="65"/>
      <c r="D1093" s="65"/>
      <c r="E1093" s="65" t="str">
        <v>---</v>
      </c>
      <c r="F1093" s="65"/>
      <c r="G1093" s="65"/>
      <c r="H1093" s="65"/>
      <c r="I1093" s="65"/>
      <c r="J1093" s="65"/>
      <c r="K1093" s="65" t="s">
        <v>1763</v>
      </c>
      <c r="L1093" s="65"/>
      <c r="M1093" s="65"/>
      <c r="N1093" s="65"/>
    </row>
    <row r="1094" spans="1:14" ht="12.75">
      <c r="A1094" s="65"/>
      <c r="B1094" s="65"/>
      <c r="C1094" s="65"/>
      <c r="D1094" s="65"/>
      <c r="E1094" s="65" t="str">
        <v>---</v>
      </c>
      <c r="F1094" s="65"/>
      <c r="G1094" s="65"/>
      <c r="H1094" s="65"/>
      <c r="I1094" s="65"/>
      <c r="J1094" s="65"/>
      <c r="K1094" s="65" t="s">
        <v>1764</v>
      </c>
      <c r="L1094" s="65"/>
      <c r="M1094" s="65"/>
      <c r="N1094" s="65"/>
    </row>
    <row r="1095" spans="1:14" ht="12.75">
      <c r="A1095" s="65"/>
      <c r="B1095" s="65"/>
      <c r="C1095" s="65"/>
      <c r="D1095" s="65"/>
      <c r="E1095" s="65" t="str">
        <v>---</v>
      </c>
      <c r="F1095" s="65"/>
      <c r="G1095" s="65"/>
      <c r="H1095" s="65"/>
      <c r="I1095" s="65"/>
      <c r="J1095" s="65"/>
      <c r="K1095" s="65" t="s">
        <v>1765</v>
      </c>
      <c r="L1095" s="65"/>
      <c r="M1095" s="65"/>
      <c r="N1095" s="65"/>
    </row>
    <row r="1096" spans="1:14" ht="12.75">
      <c r="A1096" s="65"/>
      <c r="B1096" s="65"/>
      <c r="C1096" s="65"/>
      <c r="D1096" s="65"/>
      <c r="E1096" s="65" t="str">
        <v>---</v>
      </c>
      <c r="F1096" s="65"/>
      <c r="G1096" s="65"/>
      <c r="H1096" s="65"/>
      <c r="I1096" s="65"/>
      <c r="J1096" s="65"/>
      <c r="K1096" s="65" t="s">
        <v>1766</v>
      </c>
      <c r="L1096" s="65"/>
      <c r="M1096" s="65"/>
      <c r="N1096" s="65"/>
    </row>
    <row r="1097" spans="1:14" ht="12.75">
      <c r="A1097" s="65"/>
      <c r="B1097" s="65"/>
      <c r="C1097" s="65"/>
      <c r="D1097" s="65"/>
      <c r="E1097" s="65" t="str">
        <v>---</v>
      </c>
      <c r="F1097" s="65"/>
      <c r="G1097" s="65"/>
      <c r="H1097" s="65"/>
      <c r="I1097" s="65"/>
      <c r="J1097" s="65"/>
      <c r="K1097" s="65" t="s">
        <v>1767</v>
      </c>
      <c r="L1097" s="65"/>
      <c r="M1097" s="65"/>
      <c r="N1097" s="65"/>
    </row>
    <row r="1098" spans="1:14" ht="12.75">
      <c r="A1098" s="65"/>
      <c r="B1098" s="65"/>
      <c r="C1098" s="65"/>
      <c r="D1098" s="65"/>
      <c r="E1098" s="65" t="str">
        <v>---</v>
      </c>
      <c r="F1098" s="65"/>
      <c r="G1098" s="65"/>
      <c r="H1098" s="65"/>
      <c r="I1098" s="65"/>
      <c r="J1098" s="65"/>
      <c r="K1098" s="65" t="s">
        <v>1768</v>
      </c>
      <c r="L1098" s="65"/>
      <c r="M1098" s="65"/>
      <c r="N1098" s="65"/>
    </row>
    <row r="1099" spans="1:14" ht="12.75">
      <c r="A1099" s="65"/>
      <c r="B1099" s="65"/>
      <c r="C1099" s="65"/>
      <c r="D1099" s="65"/>
      <c r="E1099" s="65" t="str">
        <v>---</v>
      </c>
      <c r="F1099" s="65"/>
      <c r="G1099" s="65"/>
      <c r="H1099" s="65"/>
      <c r="I1099" s="65"/>
      <c r="J1099" s="65"/>
      <c r="K1099" s="65" t="s">
        <v>1769</v>
      </c>
      <c r="L1099" s="65"/>
      <c r="M1099" s="65"/>
      <c r="N1099" s="65"/>
    </row>
    <row r="1100" spans="1:14" ht="12.75">
      <c r="A1100" s="65"/>
      <c r="B1100" s="65"/>
      <c r="C1100" s="65"/>
      <c r="D1100" s="65"/>
      <c r="E1100" s="65" t="str">
        <v>---</v>
      </c>
      <c r="F1100" s="65"/>
      <c r="G1100" s="65"/>
      <c r="H1100" s="65"/>
      <c r="I1100" s="65"/>
      <c r="J1100" s="65"/>
      <c r="K1100" s="65" t="s">
        <v>1770</v>
      </c>
      <c r="L1100" s="65"/>
      <c r="M1100" s="65"/>
      <c r="N1100" s="65"/>
    </row>
    <row r="1101" spans="1:14" ht="12.75">
      <c r="A1101" s="65"/>
      <c r="B1101" s="65"/>
      <c r="C1101" s="65"/>
      <c r="D1101" s="65"/>
      <c r="E1101" s="65" t="str">
        <v>---</v>
      </c>
      <c r="F1101" s="65"/>
      <c r="G1101" s="65"/>
      <c r="H1101" s="65"/>
      <c r="I1101" s="65"/>
      <c r="J1101" s="65"/>
      <c r="K1101" s="65" t="s">
        <v>1771</v>
      </c>
      <c r="L1101" s="65"/>
      <c r="M1101" s="65"/>
      <c r="N1101" s="65"/>
    </row>
    <row r="1102" spans="1:14" ht="12.75">
      <c r="A1102" s="65"/>
      <c r="B1102" s="65"/>
      <c r="C1102" s="65"/>
      <c r="D1102" s="65"/>
      <c r="E1102" s="65" t="str">
        <v>---</v>
      </c>
      <c r="F1102" s="65"/>
      <c r="G1102" s="65"/>
      <c r="H1102" s="65"/>
      <c r="I1102" s="65"/>
      <c r="J1102" s="65"/>
      <c r="K1102" s="65" t="s">
        <v>1772</v>
      </c>
      <c r="L1102" s="65"/>
      <c r="M1102" s="65"/>
      <c r="N1102" s="65"/>
    </row>
    <row r="1103" spans="1:14" ht="12.75">
      <c r="A1103" s="65"/>
      <c r="B1103" s="65"/>
      <c r="C1103" s="65"/>
      <c r="D1103" s="65"/>
      <c r="E1103" s="65" t="str">
        <v>---</v>
      </c>
      <c r="F1103" s="65"/>
      <c r="G1103" s="65"/>
      <c r="H1103" s="65"/>
      <c r="I1103" s="65"/>
      <c r="J1103" s="65"/>
      <c r="K1103" s="65" t="s">
        <v>1773</v>
      </c>
      <c r="L1103" s="65"/>
      <c r="M1103" s="65"/>
      <c r="N1103" s="65"/>
    </row>
    <row r="1104" spans="1:14" ht="12.75">
      <c r="A1104" s="65"/>
      <c r="B1104" s="65"/>
      <c r="C1104" s="65"/>
      <c r="D1104" s="65"/>
      <c r="E1104" s="65" t="str">
        <v>---</v>
      </c>
      <c r="F1104" s="65"/>
      <c r="G1104" s="65"/>
      <c r="H1104" s="65"/>
      <c r="I1104" s="65"/>
      <c r="J1104" s="65"/>
      <c r="K1104" s="65" t="s">
        <v>1774</v>
      </c>
      <c r="L1104" s="65"/>
      <c r="M1104" s="65"/>
      <c r="N1104" s="65"/>
    </row>
    <row r="1105" spans="1:14" ht="12.75">
      <c r="A1105" s="65"/>
      <c r="B1105" s="65"/>
      <c r="C1105" s="65"/>
      <c r="D1105" s="65"/>
      <c r="E1105" s="65" t="str">
        <v>---</v>
      </c>
      <c r="F1105" s="65"/>
      <c r="G1105" s="65"/>
      <c r="H1105" s="65"/>
      <c r="I1105" s="65"/>
      <c r="J1105" s="65"/>
      <c r="K1105" s="65" t="s">
        <v>1775</v>
      </c>
      <c r="L1105" s="65"/>
      <c r="M1105" s="65"/>
      <c r="N1105" s="65"/>
    </row>
    <row r="1106" spans="1:14" ht="12.75">
      <c r="A1106" s="65"/>
      <c r="B1106" s="65"/>
      <c r="C1106" s="65"/>
      <c r="D1106" s="65"/>
      <c r="E1106" s="65" t="str">
        <v>---</v>
      </c>
      <c r="F1106" s="65"/>
      <c r="G1106" s="65"/>
      <c r="H1106" s="65"/>
      <c r="I1106" s="65"/>
      <c r="J1106" s="65"/>
      <c r="K1106" s="65" t="s">
        <v>1776</v>
      </c>
      <c r="L1106" s="65"/>
      <c r="M1106" s="65"/>
      <c r="N1106" s="65"/>
    </row>
    <row r="1107" spans="1:14" ht="12.75">
      <c r="A1107" s="65"/>
      <c r="B1107" s="65"/>
      <c r="C1107" s="65"/>
      <c r="D1107" s="65"/>
      <c r="E1107" s="65" t="str">
        <v>---</v>
      </c>
      <c r="F1107" s="65"/>
      <c r="G1107" s="65"/>
      <c r="H1107" s="65"/>
      <c r="I1107" s="65"/>
      <c r="J1107" s="65"/>
      <c r="K1107" s="65" t="s">
        <v>1777</v>
      </c>
      <c r="L1107" s="65"/>
      <c r="M1107" s="65"/>
      <c r="N1107" s="65"/>
    </row>
    <row r="1108" spans="1:14" ht="12.75">
      <c r="A1108" s="65"/>
      <c r="B1108" s="65"/>
      <c r="C1108" s="65"/>
      <c r="D1108" s="65"/>
      <c r="E1108" s="65" t="str">
        <v>---</v>
      </c>
      <c r="F1108" s="65"/>
      <c r="G1108" s="65"/>
      <c r="H1108" s="65"/>
      <c r="I1108" s="65"/>
      <c r="J1108" s="65"/>
      <c r="K1108" s="65" t="s">
        <v>1778</v>
      </c>
      <c r="L1108" s="65"/>
      <c r="M1108" s="65"/>
      <c r="N1108" s="65"/>
    </row>
    <row r="1109" spans="1:14" ht="12.75">
      <c r="A1109" s="65"/>
      <c r="B1109" s="65"/>
      <c r="C1109" s="65"/>
      <c r="D1109" s="65"/>
      <c r="E1109" s="65" t="str">
        <v>---</v>
      </c>
      <c r="F1109" s="65"/>
      <c r="G1109" s="65"/>
      <c r="H1109" s="65"/>
      <c r="I1109" s="65"/>
      <c r="J1109" s="65"/>
      <c r="K1109" s="65" t="s">
        <v>1779</v>
      </c>
      <c r="L1109" s="65"/>
      <c r="M1109" s="65"/>
      <c r="N1109" s="65"/>
    </row>
    <row r="1110" spans="1:14" ht="12.75">
      <c r="A1110" s="65"/>
      <c r="B1110" s="65"/>
      <c r="C1110" s="65"/>
      <c r="D1110" s="65"/>
      <c r="E1110" s="65" t="str">
        <v>---</v>
      </c>
      <c r="F1110" s="65"/>
      <c r="G1110" s="65"/>
      <c r="H1110" s="65"/>
      <c r="I1110" s="65"/>
      <c r="J1110" s="65"/>
      <c r="K1110" s="65" t="s">
        <v>1780</v>
      </c>
      <c r="L1110" s="65"/>
      <c r="M1110" s="65"/>
      <c r="N1110" s="65"/>
    </row>
    <row r="1111" spans="1:14" ht="12.75">
      <c r="A1111" s="65"/>
      <c r="B1111" s="65"/>
      <c r="C1111" s="65"/>
      <c r="D1111" s="65"/>
      <c r="E1111" s="65" t="str">
        <v>---</v>
      </c>
      <c r="F1111" s="65"/>
      <c r="G1111" s="65"/>
      <c r="H1111" s="65"/>
      <c r="I1111" s="65"/>
      <c r="J1111" s="65"/>
      <c r="K1111" s="65" t="s">
        <v>1781</v>
      </c>
      <c r="L1111" s="65"/>
      <c r="M1111" s="65"/>
      <c r="N1111" s="65"/>
    </row>
    <row r="1112" spans="1:14" ht="12.75">
      <c r="A1112" s="65"/>
      <c r="B1112" s="65"/>
      <c r="C1112" s="65"/>
      <c r="D1112" s="65"/>
      <c r="E1112" s="65" t="str">
        <v>---</v>
      </c>
      <c r="F1112" s="65"/>
      <c r="G1112" s="65"/>
      <c r="H1112" s="65"/>
      <c r="I1112" s="65"/>
      <c r="J1112" s="65"/>
      <c r="K1112" s="65" t="s">
        <v>1782</v>
      </c>
      <c r="L1112" s="65"/>
      <c r="M1112" s="65"/>
      <c r="N1112" s="65"/>
    </row>
    <row r="1113" spans="1:14" ht="12.75">
      <c r="A1113" s="65"/>
      <c r="B1113" s="65"/>
      <c r="C1113" s="65"/>
      <c r="D1113" s="65"/>
      <c r="E1113" s="65" t="str">
        <v>---</v>
      </c>
      <c r="F1113" s="65"/>
      <c r="G1113" s="65"/>
      <c r="H1113" s="65"/>
      <c r="I1113" s="65"/>
      <c r="J1113" s="65"/>
      <c r="K1113" s="65" t="s">
        <v>1783</v>
      </c>
      <c r="L1113" s="65"/>
      <c r="M1113" s="65"/>
      <c r="N1113" s="65"/>
    </row>
    <row r="1114" spans="1:14" ht="12.75">
      <c r="A1114" s="65"/>
      <c r="B1114" s="65"/>
      <c r="C1114" s="65"/>
      <c r="D1114" s="65"/>
      <c r="E1114" s="65" t="str">
        <v>---</v>
      </c>
      <c r="F1114" s="65"/>
      <c r="G1114" s="65"/>
      <c r="H1114" s="65"/>
      <c r="I1114" s="65"/>
      <c r="J1114" s="65"/>
      <c r="K1114" s="65" t="s">
        <v>1784</v>
      </c>
      <c r="L1114" s="65"/>
      <c r="M1114" s="65"/>
      <c r="N1114" s="65"/>
    </row>
    <row r="1115" spans="1:14" ht="12.75">
      <c r="A1115" s="65"/>
      <c r="B1115" s="65"/>
      <c r="C1115" s="65"/>
      <c r="D1115" s="65"/>
      <c r="E1115" s="65" t="str">
        <v>---</v>
      </c>
      <c r="F1115" s="65"/>
      <c r="G1115" s="65"/>
      <c r="H1115" s="65"/>
      <c r="I1115" s="65"/>
      <c r="J1115" s="65"/>
      <c r="K1115" s="65" t="s">
        <v>1785</v>
      </c>
      <c r="L1115" s="65"/>
      <c r="M1115" s="65"/>
      <c r="N1115" s="65"/>
    </row>
    <row r="1116" spans="1:14" ht="12.75">
      <c r="A1116" s="65"/>
      <c r="B1116" s="65"/>
      <c r="C1116" s="65"/>
      <c r="D1116" s="65"/>
      <c r="E1116" s="65" t="str">
        <v>---</v>
      </c>
      <c r="F1116" s="65"/>
      <c r="G1116" s="65"/>
      <c r="H1116" s="65"/>
      <c r="I1116" s="65"/>
      <c r="J1116" s="65"/>
      <c r="K1116" s="65" t="s">
        <v>1786</v>
      </c>
      <c r="L1116" s="65"/>
      <c r="M1116" s="65"/>
      <c r="N1116" s="65"/>
    </row>
    <row r="1117" spans="1:14" ht="12.75">
      <c r="A1117" s="65"/>
      <c r="B1117" s="65"/>
      <c r="C1117" s="65"/>
      <c r="D1117" s="65"/>
      <c r="E1117" s="65" t="str">
        <v>---</v>
      </c>
      <c r="F1117" s="65"/>
      <c r="G1117" s="65"/>
      <c r="H1117" s="65"/>
      <c r="I1117" s="65"/>
      <c r="J1117" s="65"/>
      <c r="K1117" s="65" t="s">
        <v>1787</v>
      </c>
      <c r="L1117" s="65"/>
      <c r="M1117" s="65"/>
      <c r="N1117" s="65"/>
    </row>
    <row r="1118" spans="1:14" ht="12.75">
      <c r="A1118" s="65"/>
      <c r="B1118" s="65"/>
      <c r="C1118" s="65"/>
      <c r="D1118" s="65"/>
      <c r="E1118" s="65" t="str">
        <v>---</v>
      </c>
      <c r="F1118" s="65"/>
      <c r="G1118" s="65"/>
      <c r="H1118" s="65"/>
      <c r="I1118" s="65"/>
      <c r="J1118" s="65"/>
      <c r="K1118" s="65" t="s">
        <v>1788</v>
      </c>
      <c r="L1118" s="65"/>
      <c r="M1118" s="65"/>
      <c r="N1118" s="65"/>
    </row>
    <row r="1119" spans="1:14" ht="12.75">
      <c r="A1119" s="65"/>
      <c r="B1119" s="65"/>
      <c r="C1119" s="65"/>
      <c r="D1119" s="65"/>
      <c r="E1119" s="65" t="str">
        <v>---</v>
      </c>
      <c r="F1119" s="65"/>
      <c r="G1119" s="65"/>
      <c r="H1119" s="65"/>
      <c r="I1119" s="65"/>
      <c r="J1119" s="65"/>
      <c r="K1119" s="65" t="s">
        <v>1789</v>
      </c>
      <c r="L1119" s="65"/>
      <c r="M1119" s="65"/>
      <c r="N1119" s="65"/>
    </row>
    <row r="1120" spans="1:14" ht="12.75">
      <c r="A1120" s="65"/>
      <c r="B1120" s="65"/>
      <c r="C1120" s="65"/>
      <c r="D1120" s="65"/>
      <c r="E1120" s="65" t="str">
        <v>---</v>
      </c>
      <c r="F1120" s="65"/>
      <c r="G1120" s="65"/>
      <c r="H1120" s="65"/>
      <c r="I1120" s="65"/>
      <c r="J1120" s="65"/>
      <c r="K1120" s="65" t="s">
        <v>1790</v>
      </c>
      <c r="L1120" s="65"/>
      <c r="M1120" s="65"/>
      <c r="N1120" s="65"/>
    </row>
    <row r="1121" spans="1:14" ht="12.75">
      <c r="A1121" s="65"/>
      <c r="B1121" s="65"/>
      <c r="C1121" s="65"/>
      <c r="D1121" s="65"/>
      <c r="E1121" s="65" t="str">
        <v>---</v>
      </c>
      <c r="F1121" s="65"/>
      <c r="G1121" s="65"/>
      <c r="H1121" s="65"/>
      <c r="I1121" s="65"/>
      <c r="J1121" s="65"/>
      <c r="K1121" s="65" t="s">
        <v>1791</v>
      </c>
      <c r="L1121" s="65"/>
      <c r="M1121" s="65"/>
      <c r="N1121" s="65"/>
    </row>
    <row r="1122" spans="1:14" ht="12.75">
      <c r="A1122" s="65"/>
      <c r="B1122" s="65"/>
      <c r="C1122" s="65"/>
      <c r="D1122" s="65"/>
      <c r="E1122" s="65" t="str">
        <v>---</v>
      </c>
      <c r="F1122" s="65"/>
      <c r="G1122" s="65"/>
      <c r="H1122" s="65"/>
      <c r="I1122" s="65"/>
      <c r="J1122" s="65"/>
      <c r="K1122" s="65" t="s">
        <v>1792</v>
      </c>
      <c r="L1122" s="65"/>
      <c r="M1122" s="65"/>
      <c r="N1122" s="65"/>
    </row>
    <row r="1123" spans="1:14" ht="12.75">
      <c r="A1123" s="65"/>
      <c r="B1123" s="65"/>
      <c r="C1123" s="65"/>
      <c r="D1123" s="65"/>
      <c r="E1123" s="65" t="str">
        <v>---</v>
      </c>
      <c r="F1123" s="65"/>
      <c r="G1123" s="65"/>
      <c r="H1123" s="65"/>
      <c r="I1123" s="65"/>
      <c r="J1123" s="65"/>
      <c r="K1123" s="65" t="s">
        <v>1793</v>
      </c>
      <c r="L1123" s="65"/>
      <c r="M1123" s="65"/>
      <c r="N1123" s="65"/>
    </row>
    <row r="1124" spans="1:14" ht="12.75">
      <c r="A1124" s="65"/>
      <c r="B1124" s="65"/>
      <c r="C1124" s="65"/>
      <c r="D1124" s="65"/>
      <c r="E1124" s="65" t="str">
        <v>---</v>
      </c>
      <c r="F1124" s="65"/>
      <c r="G1124" s="65"/>
      <c r="H1124" s="65"/>
      <c r="I1124" s="65"/>
      <c r="J1124" s="65"/>
      <c r="K1124" s="65" t="s">
        <v>1794</v>
      </c>
      <c r="L1124" s="65"/>
      <c r="M1124" s="65"/>
      <c r="N1124" s="65"/>
    </row>
    <row r="1125" spans="1:14" ht="12.75">
      <c r="A1125" s="65"/>
      <c r="B1125" s="65"/>
      <c r="C1125" s="65"/>
      <c r="D1125" s="65"/>
      <c r="E1125" s="65" t="str">
        <v>---</v>
      </c>
      <c r="F1125" s="65"/>
      <c r="G1125" s="65"/>
      <c r="H1125" s="65"/>
      <c r="I1125" s="65"/>
      <c r="J1125" s="65"/>
      <c r="K1125" s="65" t="s">
        <v>1795</v>
      </c>
      <c r="L1125" s="65"/>
      <c r="M1125" s="65"/>
      <c r="N1125" s="65"/>
    </row>
    <row r="1126" spans="1:14" ht="12.75">
      <c r="A1126" s="65"/>
      <c r="B1126" s="65"/>
      <c r="C1126" s="65"/>
      <c r="D1126" s="65"/>
      <c r="E1126" s="65" t="str">
        <v>---</v>
      </c>
      <c r="F1126" s="65"/>
      <c r="G1126" s="65"/>
      <c r="H1126" s="65"/>
      <c r="I1126" s="65"/>
      <c r="J1126" s="65"/>
      <c r="K1126" s="65" t="s">
        <v>1796</v>
      </c>
      <c r="L1126" s="65"/>
      <c r="M1126" s="65"/>
      <c r="N1126" s="65"/>
    </row>
    <row r="1127" spans="1:14" ht="12.75">
      <c r="A1127" s="65"/>
      <c r="B1127" s="65"/>
      <c r="C1127" s="65"/>
      <c r="D1127" s="65"/>
      <c r="E1127" s="65" t="str">
        <v>---</v>
      </c>
      <c r="F1127" s="65"/>
      <c r="G1127" s="65"/>
      <c r="H1127" s="65"/>
      <c r="I1127" s="65"/>
      <c r="J1127" s="65"/>
      <c r="K1127" s="65" t="s">
        <v>1797</v>
      </c>
      <c r="L1127" s="65"/>
      <c r="M1127" s="65"/>
      <c r="N1127" s="65"/>
    </row>
    <row r="1128" spans="1:14" ht="12.75">
      <c r="A1128" s="65"/>
      <c r="B1128" s="65"/>
      <c r="C1128" s="65"/>
      <c r="D1128" s="65"/>
      <c r="E1128" s="65" t="str">
        <v>---</v>
      </c>
      <c r="F1128" s="65"/>
      <c r="G1128" s="65"/>
      <c r="H1128" s="65"/>
      <c r="I1128" s="65"/>
      <c r="J1128" s="65"/>
      <c r="K1128" s="65" t="s">
        <v>1798</v>
      </c>
      <c r="L1128" s="65"/>
      <c r="M1128" s="65"/>
      <c r="N1128" s="65"/>
    </row>
    <row r="1129" spans="1:14" ht="12.75">
      <c r="A1129" s="65"/>
      <c r="B1129" s="65"/>
      <c r="C1129" s="65"/>
      <c r="D1129" s="65"/>
      <c r="E1129" s="65" t="str">
        <v>---</v>
      </c>
      <c r="F1129" s="65"/>
      <c r="G1129" s="65"/>
      <c r="H1129" s="65"/>
      <c r="I1129" s="65"/>
      <c r="J1129" s="65"/>
      <c r="K1129" s="65" t="s">
        <v>1799</v>
      </c>
      <c r="L1129" s="65"/>
      <c r="M1129" s="65"/>
      <c r="N1129" s="65"/>
    </row>
    <row r="1130" spans="1:14" ht="12.75">
      <c r="A1130" s="65"/>
      <c r="B1130" s="65"/>
      <c r="C1130" s="65"/>
      <c r="D1130" s="65"/>
      <c r="E1130" s="65" t="str">
        <v>---</v>
      </c>
      <c r="F1130" s="65"/>
      <c r="G1130" s="65"/>
      <c r="H1130" s="65"/>
      <c r="I1130" s="65"/>
      <c r="J1130" s="65"/>
      <c r="K1130" s="65" t="s">
        <v>1800</v>
      </c>
      <c r="L1130" s="65"/>
      <c r="M1130" s="65"/>
      <c r="N1130" s="65"/>
    </row>
    <row r="1131" spans="1:14" ht="12.75">
      <c r="A1131" s="65"/>
      <c r="B1131" s="65"/>
      <c r="C1131" s="65"/>
      <c r="D1131" s="65"/>
      <c r="E1131" s="65" t="str">
        <v>---</v>
      </c>
      <c r="F1131" s="65"/>
      <c r="G1131" s="65"/>
      <c r="H1131" s="65"/>
      <c r="I1131" s="65"/>
      <c r="J1131" s="65"/>
      <c r="K1131" s="65" t="s">
        <v>1801</v>
      </c>
      <c r="L1131" s="65"/>
      <c r="M1131" s="65"/>
      <c r="N1131" s="65"/>
    </row>
    <row r="1132" spans="1:14" ht="12.75">
      <c r="A1132" s="65"/>
      <c r="B1132" s="65"/>
      <c r="C1132" s="65"/>
      <c r="D1132" s="65"/>
      <c r="E1132" s="65" t="str">
        <v>---</v>
      </c>
      <c r="F1132" s="65"/>
      <c r="G1132" s="65"/>
      <c r="H1132" s="65"/>
      <c r="I1132" s="65"/>
      <c r="J1132" s="65"/>
      <c r="K1132" s="65" t="s">
        <v>1802</v>
      </c>
      <c r="L1132" s="65"/>
      <c r="M1132" s="65"/>
      <c r="N1132" s="65"/>
    </row>
    <row r="1133" spans="1:14" ht="12.75">
      <c r="A1133" s="65"/>
      <c r="B1133" s="65"/>
      <c r="C1133" s="65"/>
      <c r="D1133" s="65"/>
      <c r="E1133" s="65" t="str">
        <v>---</v>
      </c>
      <c r="F1133" s="65"/>
      <c r="G1133" s="65"/>
      <c r="H1133" s="65"/>
      <c r="I1133" s="65"/>
      <c r="J1133" s="65"/>
      <c r="K1133" s="65" t="s">
        <v>1803</v>
      </c>
      <c r="L1133" s="65"/>
      <c r="M1133" s="65"/>
      <c r="N1133" s="65"/>
    </row>
    <row r="1134" spans="1:14" ht="12.75">
      <c r="A1134" s="65"/>
      <c r="B1134" s="65"/>
      <c r="C1134" s="65"/>
      <c r="D1134" s="65"/>
      <c r="E1134" s="65" t="str">
        <v>---</v>
      </c>
      <c r="F1134" s="65"/>
      <c r="G1134" s="65"/>
      <c r="H1134" s="65"/>
      <c r="I1134" s="65"/>
      <c r="J1134" s="65"/>
      <c r="K1134" s="65" t="s">
        <v>1804</v>
      </c>
      <c r="L1134" s="65"/>
      <c r="M1134" s="65"/>
      <c r="N1134" s="65"/>
    </row>
    <row r="1135" spans="1:14" ht="12.75">
      <c r="A1135" s="65"/>
      <c r="B1135" s="65"/>
      <c r="C1135" s="65"/>
      <c r="D1135" s="65"/>
      <c r="E1135" s="65" t="str">
        <v>---</v>
      </c>
      <c r="F1135" s="65"/>
      <c r="G1135" s="65"/>
      <c r="H1135" s="65"/>
      <c r="I1135" s="65"/>
      <c r="J1135" s="65"/>
      <c r="K1135" s="65" t="s">
        <v>1805</v>
      </c>
      <c r="L1135" s="65"/>
      <c r="M1135" s="65"/>
      <c r="N1135" s="65"/>
    </row>
    <row r="1136" spans="1:14" ht="12.75">
      <c r="A1136" s="65"/>
      <c r="B1136" s="65"/>
      <c r="C1136" s="65"/>
      <c r="D1136" s="65"/>
      <c r="E1136" s="65" t="str">
        <v>---</v>
      </c>
      <c r="F1136" s="65"/>
      <c r="G1136" s="65"/>
      <c r="H1136" s="65"/>
      <c r="I1136" s="65"/>
      <c r="J1136" s="65"/>
      <c r="K1136" s="65" t="s">
        <v>1806</v>
      </c>
      <c r="L1136" s="65"/>
      <c r="M1136" s="65"/>
      <c r="N1136" s="65"/>
    </row>
    <row r="1137" spans="1:14" ht="12.75">
      <c r="A1137" s="65"/>
      <c r="B1137" s="65"/>
      <c r="C1137" s="65"/>
      <c r="D1137" s="65"/>
      <c r="E1137" s="65" t="str">
        <v>---</v>
      </c>
      <c r="F1137" s="65"/>
      <c r="G1137" s="65"/>
      <c r="H1137" s="65"/>
      <c r="I1137" s="65"/>
      <c r="J1137" s="65"/>
      <c r="K1137" s="65" t="s">
        <v>1807</v>
      </c>
      <c r="L1137" s="65"/>
      <c r="M1137" s="65"/>
      <c r="N1137" s="65"/>
    </row>
    <row r="1138" spans="1:14" ht="12.75">
      <c r="A1138" s="65"/>
      <c r="B1138" s="65"/>
      <c r="C1138" s="65"/>
      <c r="D1138" s="65"/>
      <c r="E1138" s="65" t="str">
        <v>---</v>
      </c>
      <c r="F1138" s="65"/>
      <c r="G1138" s="65"/>
      <c r="H1138" s="65"/>
      <c r="I1138" s="65"/>
      <c r="J1138" s="65"/>
      <c r="K1138" s="65" t="s">
        <v>1808</v>
      </c>
      <c r="L1138" s="65"/>
      <c r="M1138" s="65"/>
      <c r="N1138" s="65"/>
    </row>
    <row r="1139" spans="1:14" ht="12.75">
      <c r="A1139" s="65"/>
      <c r="B1139" s="65"/>
      <c r="C1139" s="65"/>
      <c r="D1139" s="65"/>
      <c r="E1139" s="65" t="str">
        <v>---</v>
      </c>
      <c r="F1139" s="65"/>
      <c r="G1139" s="65"/>
      <c r="H1139" s="65"/>
      <c r="I1139" s="65"/>
      <c r="J1139" s="65"/>
      <c r="K1139" s="65" t="s">
        <v>1809</v>
      </c>
      <c r="L1139" s="65"/>
      <c r="M1139" s="65"/>
      <c r="N1139" s="65"/>
    </row>
    <row r="1140" spans="1:14" ht="12.75">
      <c r="A1140" s="65"/>
      <c r="B1140" s="65"/>
      <c r="C1140" s="65"/>
      <c r="D1140" s="65"/>
      <c r="E1140" s="65" t="str">
        <v>---</v>
      </c>
      <c r="F1140" s="65"/>
      <c r="G1140" s="65"/>
      <c r="H1140" s="65"/>
      <c r="I1140" s="65"/>
      <c r="J1140" s="65"/>
      <c r="K1140" s="65" t="s">
        <v>1810</v>
      </c>
      <c r="L1140" s="65"/>
      <c r="M1140" s="65"/>
      <c r="N1140" s="65"/>
    </row>
    <row r="1141" spans="1:14" ht="12.75">
      <c r="A1141" s="65"/>
      <c r="B1141" s="65"/>
      <c r="C1141" s="65"/>
      <c r="D1141" s="65"/>
      <c r="E1141" s="65" t="str">
        <v>---</v>
      </c>
      <c r="F1141" s="65"/>
      <c r="G1141" s="65"/>
      <c r="H1141" s="65"/>
      <c r="I1141" s="65"/>
      <c r="J1141" s="65"/>
      <c r="K1141" s="65" t="s">
        <v>1811</v>
      </c>
      <c r="L1141" s="65"/>
      <c r="M1141" s="65"/>
      <c r="N1141" s="65"/>
    </row>
    <row r="1142" spans="1:14" ht="12.75">
      <c r="A1142" s="65"/>
      <c r="B1142" s="65"/>
      <c r="C1142" s="65"/>
      <c r="D1142" s="65"/>
      <c r="E1142" s="65" t="str">
        <v>---</v>
      </c>
      <c r="F1142" s="65"/>
      <c r="G1142" s="65"/>
      <c r="H1142" s="65"/>
      <c r="I1142" s="65"/>
      <c r="J1142" s="65"/>
      <c r="K1142" s="65" t="s">
        <v>1812</v>
      </c>
      <c r="L1142" s="65"/>
      <c r="M1142" s="65"/>
      <c r="N1142" s="65"/>
    </row>
    <row r="1143" spans="1:14" ht="12.75">
      <c r="A1143" s="65"/>
      <c r="B1143" s="65"/>
      <c r="C1143" s="65"/>
      <c r="D1143" s="65"/>
      <c r="E1143" s="65" t="str">
        <v>---</v>
      </c>
      <c r="F1143" s="65"/>
      <c r="G1143" s="65"/>
      <c r="H1143" s="65"/>
      <c r="I1143" s="65"/>
      <c r="J1143" s="65"/>
      <c r="K1143" s="65" t="s">
        <v>1813</v>
      </c>
      <c r="L1143" s="65"/>
      <c r="M1143" s="65"/>
      <c r="N1143" s="65"/>
    </row>
    <row r="1144" spans="1:14" ht="12.75">
      <c r="A1144" s="65"/>
      <c r="B1144" s="65"/>
      <c r="C1144" s="65"/>
      <c r="D1144" s="65"/>
      <c r="E1144" s="65" t="str">
        <v>---</v>
      </c>
      <c r="F1144" s="65"/>
      <c r="G1144" s="65"/>
      <c r="H1144" s="65"/>
      <c r="I1144" s="65"/>
      <c r="J1144" s="65"/>
      <c r="K1144" s="65" t="s">
        <v>1814</v>
      </c>
      <c r="L1144" s="65"/>
      <c r="M1144" s="65"/>
      <c r="N1144" s="65"/>
    </row>
    <row r="1145" spans="1:14" ht="12.75">
      <c r="A1145" s="65"/>
      <c r="B1145" s="65"/>
      <c r="C1145" s="65"/>
      <c r="D1145" s="65"/>
      <c r="E1145" s="65" t="str">
        <v>---</v>
      </c>
      <c r="F1145" s="65"/>
      <c r="G1145" s="65"/>
      <c r="H1145" s="65"/>
      <c r="I1145" s="65"/>
      <c r="J1145" s="65"/>
      <c r="K1145" s="65" t="s">
        <v>1815</v>
      </c>
      <c r="L1145" s="65"/>
      <c r="M1145" s="65"/>
      <c r="N1145" s="65"/>
    </row>
    <row r="1146" spans="1:14" ht="12.75">
      <c r="A1146" s="65"/>
      <c r="B1146" s="65"/>
      <c r="C1146" s="65"/>
      <c r="D1146" s="65"/>
      <c r="E1146" s="65" t="str">
        <v>---</v>
      </c>
      <c r="F1146" s="65"/>
      <c r="G1146" s="65"/>
      <c r="H1146" s="65"/>
      <c r="I1146" s="65"/>
      <c r="J1146" s="65"/>
      <c r="K1146" s="65" t="s">
        <v>1816</v>
      </c>
      <c r="L1146" s="65"/>
      <c r="M1146" s="65"/>
      <c r="N1146" s="65"/>
    </row>
    <row r="1147" spans="1:14" ht="12.75">
      <c r="A1147" s="65"/>
      <c r="B1147" s="65"/>
      <c r="C1147" s="65"/>
      <c r="D1147" s="65"/>
      <c r="E1147" s="65" t="str">
        <v>---</v>
      </c>
      <c r="F1147" s="65"/>
      <c r="G1147" s="65"/>
      <c r="H1147" s="65"/>
      <c r="I1147" s="65"/>
      <c r="J1147" s="65"/>
      <c r="K1147" s="65" t="s">
        <v>1817</v>
      </c>
      <c r="L1147" s="65"/>
      <c r="M1147" s="65"/>
      <c r="N1147" s="65"/>
    </row>
    <row r="1148" spans="1:14" ht="12.75">
      <c r="A1148" s="65"/>
      <c r="B1148" s="65"/>
      <c r="C1148" s="65"/>
      <c r="D1148" s="65"/>
      <c r="E1148" s="65" t="str">
        <v>---</v>
      </c>
      <c r="F1148" s="65"/>
      <c r="G1148" s="65"/>
      <c r="H1148" s="65"/>
      <c r="I1148" s="65"/>
      <c r="J1148" s="65"/>
      <c r="K1148" s="65" t="s">
        <v>1818</v>
      </c>
      <c r="L1148" s="65"/>
      <c r="M1148" s="65"/>
      <c r="N1148" s="65"/>
    </row>
    <row r="1149" spans="1:14" ht="12.75">
      <c r="A1149" s="65"/>
      <c r="B1149" s="65"/>
      <c r="C1149" s="65"/>
      <c r="D1149" s="65"/>
      <c r="E1149" s="65" t="str">
        <v>---</v>
      </c>
      <c r="F1149" s="65"/>
      <c r="G1149" s="65"/>
      <c r="H1149" s="65"/>
      <c r="I1149" s="65"/>
      <c r="J1149" s="65"/>
      <c r="K1149" s="65" t="s">
        <v>1819</v>
      </c>
      <c r="L1149" s="65"/>
      <c r="M1149" s="65"/>
      <c r="N1149" s="65"/>
    </row>
    <row r="1150" spans="1:14" ht="12.75">
      <c r="A1150" s="65"/>
      <c r="B1150" s="65"/>
      <c r="C1150" s="65"/>
      <c r="D1150" s="65"/>
      <c r="E1150" s="65" t="str">
        <v>---</v>
      </c>
      <c r="F1150" s="65"/>
      <c r="G1150" s="65"/>
      <c r="H1150" s="65"/>
      <c r="I1150" s="65"/>
      <c r="J1150" s="65"/>
      <c r="K1150" s="65" t="s">
        <v>1820</v>
      </c>
      <c r="L1150" s="65"/>
      <c r="M1150" s="65"/>
      <c r="N1150" s="65"/>
    </row>
    <row r="1151" spans="1:14" ht="12.75">
      <c r="A1151" s="65"/>
      <c r="B1151" s="65"/>
      <c r="C1151" s="65"/>
      <c r="D1151" s="65"/>
      <c r="E1151" s="65" t="str">
        <v>---</v>
      </c>
      <c r="F1151" s="65"/>
      <c r="G1151" s="65"/>
      <c r="H1151" s="65"/>
      <c r="I1151" s="65"/>
      <c r="J1151" s="65"/>
      <c r="K1151" s="65" t="s">
        <v>1821</v>
      </c>
      <c r="L1151" s="65"/>
      <c r="M1151" s="65"/>
      <c r="N1151" s="65"/>
    </row>
    <row r="1152" spans="1:14" ht="12.75">
      <c r="A1152" s="65"/>
      <c r="B1152" s="65"/>
      <c r="C1152" s="65"/>
      <c r="D1152" s="65"/>
      <c r="E1152" s="65" t="str">
        <v>---</v>
      </c>
      <c r="F1152" s="65"/>
      <c r="G1152" s="65"/>
      <c r="H1152" s="65"/>
      <c r="I1152" s="65"/>
      <c r="J1152" s="65"/>
      <c r="K1152" s="65" t="s">
        <v>1822</v>
      </c>
      <c r="L1152" s="65"/>
      <c r="M1152" s="65"/>
      <c r="N1152" s="65"/>
    </row>
    <row r="1153" spans="1:14" ht="12.75">
      <c r="A1153" s="65"/>
      <c r="B1153" s="65"/>
      <c r="C1153" s="65"/>
      <c r="D1153" s="65"/>
      <c r="E1153" s="65" t="str">
        <v>---</v>
      </c>
      <c r="F1153" s="65"/>
      <c r="G1153" s="65"/>
      <c r="H1153" s="65"/>
      <c r="I1153" s="65"/>
      <c r="J1153" s="65"/>
      <c r="K1153" s="65" t="s">
        <v>1823</v>
      </c>
      <c r="L1153" s="65"/>
      <c r="M1153" s="65"/>
      <c r="N1153" s="65"/>
    </row>
    <row r="1154" spans="1:14" ht="12.75">
      <c r="A1154" s="65"/>
      <c r="B1154" s="65"/>
      <c r="C1154" s="65"/>
      <c r="D1154" s="65"/>
      <c r="E1154" s="65" t="str">
        <v>---</v>
      </c>
      <c r="F1154" s="65"/>
      <c r="G1154" s="65"/>
      <c r="H1154" s="65"/>
      <c r="I1154" s="65"/>
      <c r="J1154" s="65"/>
      <c r="K1154" s="65" t="s">
        <v>1824</v>
      </c>
      <c r="L1154" s="65"/>
      <c r="M1154" s="65"/>
      <c r="N1154" s="65"/>
    </row>
    <row r="1155" spans="1:14" ht="12.75">
      <c r="A1155" s="65"/>
      <c r="B1155" s="65"/>
      <c r="C1155" s="65"/>
      <c r="D1155" s="65"/>
      <c r="E1155" s="65" t="str">
        <v>---</v>
      </c>
      <c r="F1155" s="65"/>
      <c r="G1155" s="65"/>
      <c r="H1155" s="65"/>
      <c r="I1155" s="65"/>
      <c r="J1155" s="65"/>
      <c r="K1155" s="65" t="s">
        <v>1825</v>
      </c>
      <c r="L1155" s="65"/>
      <c r="M1155" s="65"/>
      <c r="N1155" s="65"/>
    </row>
    <row r="1156" spans="1:14" ht="12.75">
      <c r="A1156" s="65"/>
      <c r="B1156" s="65"/>
      <c r="C1156" s="65"/>
      <c r="D1156" s="65"/>
      <c r="E1156" s="65" t="str">
        <v>---</v>
      </c>
      <c r="F1156" s="65"/>
      <c r="G1156" s="65"/>
      <c r="H1156" s="65"/>
      <c r="I1156" s="65"/>
      <c r="J1156" s="65"/>
      <c r="K1156" s="65" t="s">
        <v>1826</v>
      </c>
      <c r="L1156" s="65"/>
      <c r="M1156" s="65"/>
      <c r="N1156" s="65"/>
    </row>
    <row r="1157" spans="1:14" ht="12.75">
      <c r="A1157" s="65"/>
      <c r="B1157" s="65"/>
      <c r="C1157" s="65"/>
      <c r="D1157" s="65"/>
      <c r="E1157" s="65" t="str">
        <v>---</v>
      </c>
      <c r="F1157" s="65"/>
      <c r="G1157" s="65"/>
      <c r="H1157" s="65"/>
      <c r="I1157" s="65"/>
      <c r="J1157" s="65"/>
      <c r="K1157" s="65" t="s">
        <v>1827</v>
      </c>
      <c r="L1157" s="65"/>
      <c r="M1157" s="65"/>
      <c r="N1157" s="65"/>
    </row>
    <row r="1158" spans="1:14" ht="12.75">
      <c r="A1158" s="65"/>
      <c r="B1158" s="65"/>
      <c r="C1158" s="65"/>
      <c r="D1158" s="65"/>
      <c r="E1158" s="65" t="str">
        <v>---</v>
      </c>
      <c r="F1158" s="65"/>
      <c r="G1158" s="65"/>
      <c r="H1158" s="65"/>
      <c r="I1158" s="65"/>
      <c r="J1158" s="65"/>
      <c r="K1158" s="65" t="s">
        <v>1828</v>
      </c>
      <c r="L1158" s="65"/>
      <c r="M1158" s="65"/>
      <c r="N1158" s="65"/>
    </row>
    <row r="1159" spans="1:14" ht="12.75">
      <c r="A1159" s="65"/>
      <c r="B1159" s="65"/>
      <c r="C1159" s="65"/>
      <c r="D1159" s="65"/>
      <c r="E1159" s="65" t="str">
        <v>---</v>
      </c>
      <c r="F1159" s="65"/>
      <c r="G1159" s="65"/>
      <c r="H1159" s="65"/>
      <c r="I1159" s="65"/>
      <c r="J1159" s="65"/>
      <c r="K1159" s="65" t="s">
        <v>1829</v>
      </c>
      <c r="L1159" s="65"/>
      <c r="M1159" s="65"/>
      <c r="N1159" s="65"/>
    </row>
    <row r="1160" spans="1:14" ht="12.75">
      <c r="A1160" s="65"/>
      <c r="B1160" s="65"/>
      <c r="C1160" s="65"/>
      <c r="D1160" s="65"/>
      <c r="E1160" s="65" t="str">
        <v>---</v>
      </c>
      <c r="F1160" s="65"/>
      <c r="G1160" s="65"/>
      <c r="H1160" s="65"/>
      <c r="I1160" s="65"/>
      <c r="J1160" s="65"/>
      <c r="K1160" s="65" t="s">
        <v>1830</v>
      </c>
      <c r="L1160" s="65"/>
      <c r="M1160" s="65"/>
      <c r="N1160" s="65"/>
    </row>
    <row r="1161" spans="1:14" ht="12.75">
      <c r="A1161" s="65"/>
      <c r="B1161" s="65"/>
      <c r="C1161" s="65"/>
      <c r="D1161" s="65"/>
      <c r="E1161" s="65" t="str">
        <v>---</v>
      </c>
      <c r="F1161" s="65"/>
      <c r="G1161" s="65"/>
      <c r="H1161" s="65"/>
      <c r="I1161" s="65"/>
      <c r="J1161" s="65"/>
      <c r="K1161" s="65" t="s">
        <v>1831</v>
      </c>
      <c r="L1161" s="65"/>
      <c r="M1161" s="65"/>
      <c r="N1161" s="65"/>
    </row>
    <row r="1162" spans="1:14" ht="12.75">
      <c r="A1162" s="65"/>
      <c r="B1162" s="65"/>
      <c r="C1162" s="65"/>
      <c r="D1162" s="65"/>
      <c r="E1162" s="65" t="str">
        <v>---</v>
      </c>
      <c r="F1162" s="65"/>
      <c r="G1162" s="65"/>
      <c r="H1162" s="65"/>
      <c r="I1162" s="65"/>
      <c r="J1162" s="65"/>
      <c r="K1162" s="65" t="s">
        <v>1832</v>
      </c>
      <c r="L1162" s="65"/>
      <c r="M1162" s="65"/>
      <c r="N1162" s="65"/>
    </row>
    <row r="1163" spans="1:14" ht="12.75">
      <c r="A1163" s="65"/>
      <c r="B1163" s="65"/>
      <c r="C1163" s="65"/>
      <c r="D1163" s="65"/>
      <c r="E1163" s="65" t="str">
        <v>---</v>
      </c>
      <c r="F1163" s="65"/>
      <c r="G1163" s="65"/>
      <c r="H1163" s="65"/>
      <c r="I1163" s="65"/>
      <c r="J1163" s="65"/>
      <c r="K1163" s="65" t="s">
        <v>1833</v>
      </c>
      <c r="L1163" s="65"/>
      <c r="M1163" s="65"/>
      <c r="N1163" s="65"/>
    </row>
    <row r="1164" spans="1:14" ht="12.75">
      <c r="A1164" s="65"/>
      <c r="B1164" s="65"/>
      <c r="C1164" s="65"/>
      <c r="D1164" s="65"/>
      <c r="E1164" s="65" t="str">
        <v>---</v>
      </c>
      <c r="F1164" s="65"/>
      <c r="G1164" s="65"/>
      <c r="H1164" s="65"/>
      <c r="I1164" s="65"/>
      <c r="J1164" s="65"/>
      <c r="K1164" s="65" t="s">
        <v>1834</v>
      </c>
      <c r="L1164" s="65"/>
      <c r="M1164" s="65"/>
      <c r="N1164" s="65"/>
    </row>
    <row r="1165" spans="1:14" ht="12.75">
      <c r="A1165" s="65"/>
      <c r="B1165" s="65"/>
      <c r="C1165" s="65"/>
      <c r="D1165" s="65"/>
      <c r="E1165" s="65" t="str">
        <v>---</v>
      </c>
      <c r="F1165" s="65"/>
      <c r="G1165" s="65"/>
      <c r="H1165" s="65"/>
      <c r="I1165" s="65"/>
      <c r="J1165" s="65"/>
      <c r="K1165" s="65" t="s">
        <v>1835</v>
      </c>
      <c r="L1165" s="65"/>
      <c r="M1165" s="65"/>
      <c r="N1165" s="65"/>
    </row>
    <row r="1166" spans="1:14" ht="12.75">
      <c r="A1166" s="65"/>
      <c r="B1166" s="65"/>
      <c r="C1166" s="65"/>
      <c r="D1166" s="65"/>
      <c r="E1166" s="65" t="str">
        <v>---</v>
      </c>
      <c r="F1166" s="65"/>
      <c r="G1166" s="65"/>
      <c r="H1166" s="65"/>
      <c r="I1166" s="65"/>
      <c r="J1166" s="65"/>
      <c r="K1166" s="65" t="s">
        <v>1836</v>
      </c>
      <c r="L1166" s="65"/>
      <c r="M1166" s="65"/>
      <c r="N1166" s="65"/>
    </row>
    <row r="1167" spans="1:14" ht="12.75">
      <c r="A1167" s="65"/>
      <c r="B1167" s="65"/>
      <c r="C1167" s="65"/>
      <c r="D1167" s="65"/>
      <c r="E1167" s="65" t="str">
        <v>---</v>
      </c>
      <c r="F1167" s="65"/>
      <c r="G1167" s="65"/>
      <c r="H1167" s="65"/>
      <c r="I1167" s="65"/>
      <c r="J1167" s="65"/>
      <c r="K1167" s="65" t="s">
        <v>1837</v>
      </c>
      <c r="L1167" s="65"/>
      <c r="M1167" s="65"/>
      <c r="N1167" s="65"/>
    </row>
    <row r="1168" spans="1:14" ht="12.75">
      <c r="A1168" s="65"/>
      <c r="B1168" s="65"/>
      <c r="C1168" s="65"/>
      <c r="D1168" s="65"/>
      <c r="E1168" s="65" t="str">
        <v>---</v>
      </c>
      <c r="F1168" s="65"/>
      <c r="G1168" s="65"/>
      <c r="H1168" s="65"/>
      <c r="I1168" s="65"/>
      <c r="J1168" s="65"/>
      <c r="K1168" s="65" t="s">
        <v>1838</v>
      </c>
      <c r="L1168" s="65"/>
      <c r="M1168" s="65"/>
      <c r="N1168" s="65"/>
    </row>
    <row r="1169" spans="1:14" ht="12.75">
      <c r="A1169" s="65"/>
      <c r="B1169" s="65"/>
      <c r="C1169" s="65"/>
      <c r="D1169" s="65"/>
      <c r="E1169" s="65" t="str">
        <v>---</v>
      </c>
      <c r="F1169" s="65"/>
      <c r="G1169" s="65"/>
      <c r="H1169" s="65"/>
      <c r="I1169" s="65"/>
      <c r="J1169" s="65"/>
      <c r="K1169" s="65" t="s">
        <v>1839</v>
      </c>
      <c r="L1169" s="65"/>
      <c r="M1169" s="65"/>
      <c r="N1169" s="65"/>
    </row>
    <row r="1170" spans="1:14" ht="12.75">
      <c r="A1170" s="65"/>
      <c r="B1170" s="65"/>
      <c r="C1170" s="65"/>
      <c r="D1170" s="65"/>
      <c r="E1170" s="65" t="str">
        <v>---</v>
      </c>
      <c r="F1170" s="65"/>
      <c r="G1170" s="65"/>
      <c r="H1170" s="65"/>
      <c r="I1170" s="65"/>
      <c r="J1170" s="65"/>
      <c r="K1170" s="65" t="s">
        <v>1840</v>
      </c>
      <c r="L1170" s="65"/>
      <c r="M1170" s="65"/>
      <c r="N1170" s="65"/>
    </row>
    <row r="1171" spans="1:14" ht="12.75">
      <c r="A1171" s="65"/>
      <c r="B1171" s="65"/>
      <c r="C1171" s="65"/>
      <c r="D1171" s="65"/>
      <c r="E1171" s="65" t="str">
        <v>---</v>
      </c>
      <c r="F1171" s="65"/>
      <c r="G1171" s="65"/>
      <c r="H1171" s="65"/>
      <c r="I1171" s="65"/>
      <c r="J1171" s="65"/>
      <c r="K1171" s="65" t="s">
        <v>1841</v>
      </c>
      <c r="L1171" s="65"/>
      <c r="M1171" s="65"/>
      <c r="N1171" s="65"/>
    </row>
    <row r="1172" spans="1:14" ht="12.75">
      <c r="A1172" s="65"/>
      <c r="B1172" s="65"/>
      <c r="C1172" s="65"/>
      <c r="D1172" s="65"/>
      <c r="E1172" s="65" t="str">
        <v>---</v>
      </c>
      <c r="F1172" s="65"/>
      <c r="G1172" s="65"/>
      <c r="H1172" s="65"/>
      <c r="I1172" s="65"/>
      <c r="J1172" s="65"/>
      <c r="K1172" s="65" t="s">
        <v>1842</v>
      </c>
      <c r="L1172" s="65"/>
      <c r="M1172" s="65"/>
      <c r="N1172" s="65"/>
    </row>
    <row r="1173" spans="1:14" ht="12.75">
      <c r="A1173" s="65"/>
      <c r="B1173" s="65"/>
      <c r="C1173" s="65"/>
      <c r="D1173" s="65"/>
      <c r="E1173" s="65" t="str">
        <v>---</v>
      </c>
      <c r="F1173" s="65"/>
      <c r="G1173" s="65"/>
      <c r="H1173" s="65"/>
      <c r="I1173" s="65"/>
      <c r="J1173" s="65"/>
      <c r="K1173" s="65" t="s">
        <v>1843</v>
      </c>
      <c r="L1173" s="65"/>
      <c r="M1173" s="65"/>
      <c r="N1173" s="65"/>
    </row>
    <row r="1174" spans="1:14" ht="12.75">
      <c r="A1174" s="65"/>
      <c r="B1174" s="65"/>
      <c r="C1174" s="65"/>
      <c r="D1174" s="65"/>
      <c r="E1174" s="65" t="str">
        <v>---</v>
      </c>
      <c r="F1174" s="65"/>
      <c r="G1174" s="65"/>
      <c r="H1174" s="65"/>
      <c r="I1174" s="65"/>
      <c r="J1174" s="65"/>
      <c r="K1174" s="65" t="s">
        <v>1844</v>
      </c>
      <c r="L1174" s="65"/>
      <c r="M1174" s="65"/>
      <c r="N1174" s="65"/>
    </row>
    <row r="1175" spans="1:14" ht="12.75">
      <c r="A1175" s="65"/>
      <c r="B1175" s="65"/>
      <c r="C1175" s="65"/>
      <c r="D1175" s="65"/>
      <c r="E1175" s="65" t="str">
        <v>---</v>
      </c>
      <c r="F1175" s="65"/>
      <c r="G1175" s="65"/>
      <c r="H1175" s="65"/>
      <c r="I1175" s="65"/>
      <c r="J1175" s="65"/>
      <c r="K1175" s="65" t="s">
        <v>1845</v>
      </c>
      <c r="L1175" s="65"/>
      <c r="M1175" s="65"/>
      <c r="N1175" s="65"/>
    </row>
    <row r="1176" spans="1:14" ht="12.75">
      <c r="A1176" s="65"/>
      <c r="B1176" s="65"/>
      <c r="C1176" s="65"/>
      <c r="D1176" s="65"/>
      <c r="E1176" s="65" t="str">
        <v>---</v>
      </c>
      <c r="F1176" s="65"/>
      <c r="G1176" s="65"/>
      <c r="H1176" s="65"/>
      <c r="I1176" s="65"/>
      <c r="J1176" s="65"/>
      <c r="K1176" s="65" t="s">
        <v>1846</v>
      </c>
      <c r="L1176" s="65"/>
      <c r="M1176" s="65"/>
      <c r="N1176" s="65"/>
    </row>
    <row r="1177" spans="1:14" ht="12.75">
      <c r="A1177" s="65"/>
      <c r="B1177" s="65"/>
      <c r="C1177" s="65"/>
      <c r="D1177" s="65"/>
      <c r="E1177" s="65" t="str">
        <v>---</v>
      </c>
      <c r="F1177" s="65"/>
      <c r="G1177" s="65"/>
      <c r="H1177" s="65"/>
      <c r="I1177" s="65"/>
      <c r="J1177" s="65"/>
      <c r="K1177" s="65" t="s">
        <v>1847</v>
      </c>
      <c r="L1177" s="65"/>
      <c r="M1177" s="65"/>
      <c r="N1177" s="65"/>
    </row>
    <row r="1178" spans="1:14" ht="12.75">
      <c r="A1178" s="65"/>
      <c r="B1178" s="65"/>
      <c r="C1178" s="65"/>
      <c r="D1178" s="65"/>
      <c r="E1178" s="65" t="str">
        <v>---</v>
      </c>
      <c r="F1178" s="65"/>
      <c r="G1178" s="65"/>
      <c r="H1178" s="65"/>
      <c r="I1178" s="65"/>
      <c r="J1178" s="65"/>
      <c r="K1178" s="65" t="s">
        <v>1848</v>
      </c>
      <c r="L1178" s="65"/>
      <c r="M1178" s="65"/>
      <c r="N1178" s="65"/>
    </row>
    <row r="1179" spans="1:14" ht="12.75">
      <c r="A1179" s="65"/>
      <c r="B1179" s="65"/>
      <c r="C1179" s="65"/>
      <c r="D1179" s="65"/>
      <c r="E1179" s="65" t="str">
        <v>---</v>
      </c>
      <c r="F1179" s="65"/>
      <c r="G1179" s="65"/>
      <c r="H1179" s="65"/>
      <c r="I1179" s="65"/>
      <c r="J1179" s="65"/>
      <c r="K1179" s="65" t="s">
        <v>1849</v>
      </c>
      <c r="L1179" s="65"/>
      <c r="M1179" s="65"/>
      <c r="N1179" s="65"/>
    </row>
    <row r="1180" spans="1:14" ht="12.75">
      <c r="A1180" s="65"/>
      <c r="B1180" s="65"/>
      <c r="C1180" s="65"/>
      <c r="D1180" s="65"/>
      <c r="E1180" s="65" t="str">
        <v>---</v>
      </c>
      <c r="F1180" s="65"/>
      <c r="G1180" s="65"/>
      <c r="H1180" s="65"/>
      <c r="I1180" s="65"/>
      <c r="J1180" s="65"/>
      <c r="K1180" s="65" t="s">
        <v>1850</v>
      </c>
      <c r="L1180" s="65"/>
      <c r="M1180" s="65"/>
      <c r="N1180" s="65"/>
    </row>
    <row r="1181" spans="1:14" ht="12.75">
      <c r="A1181" s="65"/>
      <c r="B1181" s="65"/>
      <c r="C1181" s="65"/>
      <c r="D1181" s="65"/>
      <c r="E1181" s="65" t="str">
        <v>---</v>
      </c>
      <c r="F1181" s="65"/>
      <c r="G1181" s="65"/>
      <c r="H1181" s="65"/>
      <c r="I1181" s="65"/>
      <c r="J1181" s="65"/>
      <c r="K1181" s="65" t="s">
        <v>1851</v>
      </c>
      <c r="L1181" s="65"/>
      <c r="M1181" s="65"/>
      <c r="N1181" s="65"/>
    </row>
    <row r="1182" spans="1:14" ht="12.75">
      <c r="A1182" s="65"/>
      <c r="B1182" s="65"/>
      <c r="C1182" s="65"/>
      <c r="D1182" s="65"/>
      <c r="E1182" s="65" t="str">
        <v>---</v>
      </c>
      <c r="F1182" s="65"/>
      <c r="G1182" s="65"/>
      <c r="H1182" s="65"/>
      <c r="I1182" s="65"/>
      <c r="J1182" s="65"/>
      <c r="K1182" s="65" t="s">
        <v>1852</v>
      </c>
      <c r="L1182" s="65"/>
      <c r="M1182" s="65"/>
      <c r="N1182" s="65"/>
    </row>
    <row r="1183" spans="1:14" ht="12.75">
      <c r="A1183" s="65"/>
      <c r="B1183" s="65"/>
      <c r="C1183" s="65"/>
      <c r="D1183" s="65"/>
      <c r="E1183" s="65" t="str">
        <v>---</v>
      </c>
      <c r="F1183" s="65"/>
      <c r="G1183" s="65"/>
      <c r="H1183" s="65"/>
      <c r="I1183" s="65"/>
      <c r="J1183" s="65"/>
      <c r="K1183" s="65" t="s">
        <v>1853</v>
      </c>
      <c r="L1183" s="65"/>
      <c r="M1183" s="65"/>
      <c r="N1183" s="65"/>
    </row>
    <row r="1184" spans="1:14" ht="12.75">
      <c r="A1184" s="65"/>
      <c r="B1184" s="65"/>
      <c r="C1184" s="65"/>
      <c r="D1184" s="65"/>
      <c r="E1184" s="65" t="str">
        <v>---</v>
      </c>
      <c r="F1184" s="65"/>
      <c r="G1184" s="65"/>
      <c r="H1184" s="65"/>
      <c r="I1184" s="65"/>
      <c r="J1184" s="65"/>
      <c r="K1184" s="65" t="s">
        <v>1854</v>
      </c>
      <c r="L1184" s="65"/>
      <c r="M1184" s="65"/>
      <c r="N1184" s="65"/>
    </row>
    <row r="1185" spans="1:14" ht="12.75">
      <c r="A1185" s="65"/>
      <c r="B1185" s="65"/>
      <c r="C1185" s="65"/>
      <c r="D1185" s="65"/>
      <c r="E1185" s="65" t="str">
        <v>---</v>
      </c>
      <c r="F1185" s="65"/>
      <c r="G1185" s="65"/>
      <c r="H1185" s="65"/>
      <c r="I1185" s="65"/>
      <c r="J1185" s="65"/>
      <c r="K1185" s="65" t="s">
        <v>1855</v>
      </c>
      <c r="L1185" s="65"/>
      <c r="M1185" s="65"/>
      <c r="N1185" s="65"/>
    </row>
    <row r="1186" spans="1:14" ht="12.75">
      <c r="A1186" s="65"/>
      <c r="B1186" s="65"/>
      <c r="C1186" s="65"/>
      <c r="D1186" s="65"/>
      <c r="E1186" s="65" t="str">
        <v>---</v>
      </c>
      <c r="F1186" s="65"/>
      <c r="G1186" s="65"/>
      <c r="H1186" s="65"/>
      <c r="I1186" s="65"/>
      <c r="J1186" s="65"/>
      <c r="K1186" s="65" t="s">
        <v>1856</v>
      </c>
      <c r="L1186" s="65"/>
      <c r="M1186" s="65"/>
      <c r="N1186" s="65"/>
    </row>
    <row r="1187" spans="1:14" ht="12.75">
      <c r="A1187" s="65"/>
      <c r="B1187" s="65"/>
      <c r="C1187" s="65"/>
      <c r="D1187" s="65"/>
      <c r="E1187" s="65" t="str">
        <v>---</v>
      </c>
      <c r="F1187" s="65"/>
      <c r="G1187" s="65"/>
      <c r="H1187" s="65"/>
      <c r="I1187" s="65"/>
      <c r="J1187" s="65"/>
      <c r="K1187" s="65" t="s">
        <v>1857</v>
      </c>
      <c r="L1187" s="65"/>
      <c r="M1187" s="65"/>
      <c r="N1187" s="65"/>
    </row>
    <row r="1188" spans="1:14" ht="12.75">
      <c r="A1188" s="65"/>
      <c r="B1188" s="65"/>
      <c r="C1188" s="65"/>
      <c r="D1188" s="65"/>
      <c r="E1188" s="65" t="str">
        <v>---</v>
      </c>
      <c r="F1188" s="65"/>
      <c r="G1188" s="65"/>
      <c r="H1188" s="65"/>
      <c r="I1188" s="65"/>
      <c r="J1188" s="65"/>
      <c r="K1188" s="65" t="s">
        <v>1858</v>
      </c>
      <c r="L1188" s="65"/>
      <c r="M1188" s="65"/>
      <c r="N1188" s="65"/>
    </row>
    <row r="1189" spans="1:14" ht="12.75">
      <c r="A1189" s="65"/>
      <c r="B1189" s="65"/>
      <c r="C1189" s="65"/>
      <c r="D1189" s="65"/>
      <c r="E1189" s="65" t="str">
        <v>---</v>
      </c>
      <c r="F1189" s="65"/>
      <c r="G1189" s="65"/>
      <c r="H1189" s="65"/>
      <c r="I1189" s="65"/>
      <c r="J1189" s="65"/>
      <c r="K1189" s="65" t="s">
        <v>1859</v>
      </c>
      <c r="L1189" s="65"/>
      <c r="M1189" s="65"/>
      <c r="N1189" s="65"/>
    </row>
    <row r="1190" spans="1:14" ht="12.75">
      <c r="A1190" s="65"/>
      <c r="B1190" s="65"/>
      <c r="C1190" s="65"/>
      <c r="D1190" s="65"/>
      <c r="E1190" s="65" t="str">
        <v>---</v>
      </c>
      <c r="F1190" s="65"/>
      <c r="G1190" s="65"/>
      <c r="H1190" s="65"/>
      <c r="I1190" s="65"/>
      <c r="J1190" s="65"/>
      <c r="K1190" s="65" t="s">
        <v>1860</v>
      </c>
      <c r="L1190" s="65"/>
      <c r="M1190" s="65"/>
      <c r="N1190" s="65"/>
    </row>
    <row r="1191" spans="1:14" ht="12.75">
      <c r="A1191" s="65"/>
      <c r="B1191" s="65"/>
      <c r="C1191" s="65"/>
      <c r="D1191" s="65"/>
      <c r="E1191" s="65" t="str">
        <v>---</v>
      </c>
      <c r="F1191" s="65"/>
      <c r="G1191" s="65"/>
      <c r="H1191" s="65"/>
      <c r="I1191" s="65"/>
      <c r="J1191" s="65"/>
      <c r="K1191" s="65" t="s">
        <v>1861</v>
      </c>
      <c r="L1191" s="65"/>
      <c r="M1191" s="65"/>
      <c r="N1191" s="65"/>
    </row>
    <row r="1192" spans="1:14" ht="12.75">
      <c r="A1192" s="65"/>
      <c r="B1192" s="65"/>
      <c r="C1192" s="65"/>
      <c r="D1192" s="65"/>
      <c r="E1192" s="65" t="str">
        <v>---</v>
      </c>
      <c r="F1192" s="65"/>
      <c r="G1192" s="65"/>
      <c r="H1192" s="65"/>
      <c r="I1192" s="65"/>
      <c r="J1192" s="65"/>
      <c r="K1192" s="65" t="s">
        <v>1862</v>
      </c>
      <c r="L1192" s="65"/>
      <c r="M1192" s="65"/>
      <c r="N1192" s="65"/>
    </row>
    <row r="1193" spans="1:14" ht="12.75">
      <c r="A1193" s="65"/>
      <c r="B1193" s="65"/>
      <c r="C1193" s="65"/>
      <c r="D1193" s="65"/>
      <c r="E1193" s="65" t="str">
        <v>---</v>
      </c>
      <c r="F1193" s="65"/>
      <c r="G1193" s="65"/>
      <c r="H1193" s="65"/>
      <c r="I1193" s="65"/>
      <c r="J1193" s="65"/>
      <c r="K1193" s="65" t="s">
        <v>1863</v>
      </c>
      <c r="L1193" s="65"/>
      <c r="M1193" s="65"/>
      <c r="N1193" s="65"/>
    </row>
    <row r="1194" spans="1:14" ht="12.75">
      <c r="A1194" s="65"/>
      <c r="B1194" s="65"/>
      <c r="C1194" s="65"/>
      <c r="D1194" s="65"/>
      <c r="E1194" s="65" t="str">
        <v>---</v>
      </c>
      <c r="F1194" s="65"/>
      <c r="G1194" s="65"/>
      <c r="H1194" s="65"/>
      <c r="I1194" s="65"/>
      <c r="J1194" s="65"/>
      <c r="K1194" s="65" t="s">
        <v>1864</v>
      </c>
      <c r="L1194" s="65"/>
      <c r="M1194" s="65"/>
      <c r="N1194" s="65"/>
    </row>
    <row r="1195" spans="1:14" ht="12.75">
      <c r="A1195" s="65"/>
      <c r="B1195" s="65"/>
      <c r="C1195" s="65"/>
      <c r="D1195" s="65"/>
      <c r="E1195" s="65" t="str">
        <v>---</v>
      </c>
      <c r="F1195" s="65"/>
      <c r="G1195" s="65"/>
      <c r="H1195" s="65"/>
      <c r="I1195" s="65"/>
      <c r="J1195" s="65"/>
      <c r="K1195" s="65" t="s">
        <v>1865</v>
      </c>
      <c r="L1195" s="65"/>
      <c r="M1195" s="65"/>
      <c r="N1195" s="65"/>
    </row>
    <row r="1196" spans="1:14" ht="12.75">
      <c r="A1196" s="65"/>
      <c r="B1196" s="65"/>
      <c r="C1196" s="65"/>
      <c r="D1196" s="65"/>
      <c r="E1196" s="65" t="str">
        <v>---</v>
      </c>
      <c r="F1196" s="65"/>
      <c r="G1196" s="65"/>
      <c r="H1196" s="65"/>
      <c r="I1196" s="65"/>
      <c r="J1196" s="65"/>
      <c r="K1196" s="65" t="s">
        <v>1866</v>
      </c>
      <c r="L1196" s="65"/>
      <c r="M1196" s="65"/>
      <c r="N1196" s="65"/>
    </row>
    <row r="1197" spans="1:14" ht="12.75">
      <c r="A1197" s="65"/>
      <c r="B1197" s="65"/>
      <c r="C1197" s="65"/>
      <c r="D1197" s="65"/>
      <c r="E1197" s="65" t="str">
        <v>---</v>
      </c>
      <c r="F1197" s="65"/>
      <c r="G1197" s="65"/>
      <c r="H1197" s="65"/>
      <c r="I1197" s="65"/>
      <c r="J1197" s="65"/>
      <c r="K1197" s="65" t="s">
        <v>1867</v>
      </c>
      <c r="L1197" s="65"/>
      <c r="M1197" s="65"/>
      <c r="N1197" s="65"/>
    </row>
    <row r="1198" spans="1:14" ht="12.75">
      <c r="A1198" s="65"/>
      <c r="B1198" s="65"/>
      <c r="C1198" s="65"/>
      <c r="D1198" s="65"/>
      <c r="E1198" s="65" t="str">
        <v>---</v>
      </c>
      <c r="F1198" s="65"/>
      <c r="G1198" s="65"/>
      <c r="H1198" s="65"/>
      <c r="I1198" s="65"/>
      <c r="J1198" s="65"/>
      <c r="K1198" s="65" t="s">
        <v>1868</v>
      </c>
      <c r="L1198" s="65"/>
      <c r="M1198" s="65"/>
      <c r="N1198" s="65"/>
    </row>
    <row r="1199" spans="1:14" ht="12.75">
      <c r="A1199" s="65"/>
      <c r="B1199" s="65"/>
      <c r="C1199" s="65"/>
      <c r="D1199" s="65"/>
      <c r="E1199" s="65" t="str">
        <v>---</v>
      </c>
      <c r="F1199" s="65"/>
      <c r="G1199" s="65"/>
      <c r="H1199" s="65"/>
      <c r="I1199" s="65"/>
      <c r="J1199" s="65"/>
      <c r="K1199" s="65" t="s">
        <v>1869</v>
      </c>
      <c r="L1199" s="65"/>
      <c r="M1199" s="65"/>
      <c r="N1199" s="65"/>
    </row>
    <row r="1200" spans="1:14" ht="12.75">
      <c r="A1200" s="65"/>
      <c r="B1200" s="65"/>
      <c r="C1200" s="65"/>
      <c r="D1200" s="65"/>
      <c r="E1200" s="65" t="str">
        <v>---</v>
      </c>
      <c r="F1200" s="65"/>
      <c r="G1200" s="65"/>
      <c r="H1200" s="65"/>
      <c r="I1200" s="65"/>
      <c r="J1200" s="65"/>
      <c r="K1200" s="65" t="s">
        <v>1870</v>
      </c>
      <c r="L1200" s="65"/>
      <c r="M1200" s="65"/>
      <c r="N1200" s="65"/>
    </row>
    <row r="1201" spans="1:14" ht="12.75">
      <c r="A1201" s="65"/>
      <c r="B1201" s="65"/>
      <c r="C1201" s="65"/>
      <c r="D1201" s="65"/>
      <c r="E1201" s="65" t="str">
        <v>---</v>
      </c>
      <c r="F1201" s="65"/>
      <c r="G1201" s="65"/>
      <c r="H1201" s="65"/>
      <c r="I1201" s="65"/>
      <c r="J1201" s="65"/>
      <c r="K1201" s="65" t="s">
        <v>1871</v>
      </c>
      <c r="L1201" s="65"/>
      <c r="M1201" s="65"/>
      <c r="N1201" s="65"/>
    </row>
    <row r="1202" spans="1:14" ht="12.75">
      <c r="A1202" s="65"/>
      <c r="B1202" s="65"/>
      <c r="C1202" s="65"/>
      <c r="D1202" s="65"/>
      <c r="E1202" s="65" t="str">
        <v>---</v>
      </c>
      <c r="F1202" s="65"/>
      <c r="G1202" s="65"/>
      <c r="H1202" s="65"/>
      <c r="I1202" s="65"/>
      <c r="J1202" s="65"/>
      <c r="K1202" s="65" t="s">
        <v>1872</v>
      </c>
      <c r="L1202" s="65"/>
      <c r="M1202" s="65"/>
      <c r="N1202" s="65"/>
    </row>
    <row r="1203" spans="1:14" ht="12.75">
      <c r="A1203" s="65"/>
      <c r="B1203" s="65"/>
      <c r="C1203" s="65"/>
      <c r="D1203" s="65"/>
      <c r="E1203" s="65" t="str">
        <v>---</v>
      </c>
      <c r="F1203" s="65"/>
      <c r="G1203" s="65"/>
      <c r="H1203" s="65"/>
      <c r="I1203" s="65"/>
      <c r="J1203" s="65"/>
      <c r="K1203" s="65" t="s">
        <v>1873</v>
      </c>
      <c r="L1203" s="65"/>
      <c r="M1203" s="65"/>
      <c r="N1203" s="65"/>
    </row>
    <row r="1204" spans="1:14" ht="12.75">
      <c r="A1204" s="65"/>
      <c r="B1204" s="65"/>
      <c r="C1204" s="65"/>
      <c r="D1204" s="65"/>
      <c r="E1204" s="65" t="str">
        <v>---</v>
      </c>
      <c r="F1204" s="65"/>
      <c r="G1204" s="65"/>
      <c r="H1204" s="65"/>
      <c r="I1204" s="65"/>
      <c r="J1204" s="65"/>
      <c r="K1204" s="65" t="s">
        <v>1874</v>
      </c>
      <c r="L1204" s="65"/>
      <c r="M1204" s="65"/>
      <c r="N1204" s="65"/>
    </row>
    <row r="1205" spans="1:14" ht="12.75">
      <c r="A1205" s="65"/>
      <c r="B1205" s="65"/>
      <c r="C1205" s="65"/>
      <c r="D1205" s="65"/>
      <c r="E1205" s="65" t="str">
        <v>---</v>
      </c>
      <c r="F1205" s="65"/>
      <c r="G1205" s="65"/>
      <c r="H1205" s="65"/>
      <c r="I1205" s="65"/>
      <c r="J1205" s="65"/>
      <c r="K1205" s="65" t="s">
        <v>1875</v>
      </c>
      <c r="L1205" s="65"/>
      <c r="M1205" s="65"/>
      <c r="N1205" s="65"/>
    </row>
    <row r="1206" spans="1:14" ht="12.75">
      <c r="A1206" s="65"/>
      <c r="B1206" s="65"/>
      <c r="C1206" s="65"/>
      <c r="D1206" s="65"/>
      <c r="E1206" s="65" t="str">
        <v>---</v>
      </c>
      <c r="F1206" s="65"/>
      <c r="G1206" s="65"/>
      <c r="H1206" s="65"/>
      <c r="I1206" s="65"/>
      <c r="J1206" s="65"/>
      <c r="K1206" s="65" t="s">
        <v>1876</v>
      </c>
      <c r="L1206" s="65"/>
      <c r="M1206" s="65"/>
      <c r="N1206" s="65"/>
    </row>
    <row r="1207" spans="1:14" ht="12.75">
      <c r="A1207" s="65"/>
      <c r="B1207" s="65"/>
      <c r="C1207" s="65"/>
      <c r="D1207" s="65"/>
      <c r="E1207" s="65" t="str">
        <v>---</v>
      </c>
      <c r="F1207" s="65"/>
      <c r="G1207" s="65"/>
      <c r="H1207" s="65"/>
      <c r="I1207" s="65"/>
      <c r="J1207" s="65"/>
      <c r="K1207" s="65" t="s">
        <v>1877</v>
      </c>
      <c r="L1207" s="65"/>
      <c r="M1207" s="65"/>
      <c r="N1207" s="65"/>
    </row>
    <row r="1208" spans="1:14" ht="12.75">
      <c r="A1208" s="65"/>
      <c r="B1208" s="65"/>
      <c r="C1208" s="65"/>
      <c r="D1208" s="65"/>
      <c r="E1208" s="65" t="str">
        <v>---</v>
      </c>
      <c r="F1208" s="65"/>
      <c r="G1208" s="65"/>
      <c r="H1208" s="65"/>
      <c r="I1208" s="65"/>
      <c r="J1208" s="65"/>
      <c r="K1208" s="65" t="s">
        <v>1878</v>
      </c>
      <c r="L1208" s="65"/>
      <c r="M1208" s="65"/>
      <c r="N1208" s="65"/>
    </row>
    <row r="1209" spans="1:14" ht="12.75">
      <c r="A1209" s="65"/>
      <c r="B1209" s="65"/>
      <c r="C1209" s="65"/>
      <c r="D1209" s="65"/>
      <c r="E1209" s="65" t="str">
        <v>---</v>
      </c>
      <c r="F1209" s="65"/>
      <c r="G1209" s="65"/>
      <c r="H1209" s="65"/>
      <c r="I1209" s="65"/>
      <c r="J1209" s="65"/>
      <c r="K1209" s="65" t="s">
        <v>1879</v>
      </c>
      <c r="L1209" s="65"/>
      <c r="M1209" s="65"/>
      <c r="N1209" s="65"/>
    </row>
    <row r="1210" spans="1:14" ht="12.75">
      <c r="A1210" s="65"/>
      <c r="B1210" s="65"/>
      <c r="C1210" s="65"/>
      <c r="D1210" s="65"/>
      <c r="E1210" s="65" t="str">
        <v>---</v>
      </c>
      <c r="F1210" s="65"/>
      <c r="G1210" s="65"/>
      <c r="H1210" s="65"/>
      <c r="I1210" s="65"/>
      <c r="J1210" s="65"/>
      <c r="K1210" s="65" t="s">
        <v>1880</v>
      </c>
      <c r="L1210" s="65"/>
      <c r="M1210" s="65"/>
      <c r="N1210" s="65"/>
    </row>
    <row r="1211" spans="1:14" ht="12.75">
      <c r="A1211" s="65"/>
      <c r="B1211" s="65"/>
      <c r="C1211" s="65"/>
      <c r="D1211" s="65"/>
      <c r="E1211" s="65" t="str">
        <v>---</v>
      </c>
      <c r="F1211" s="65"/>
      <c r="G1211" s="65"/>
      <c r="H1211" s="65"/>
      <c r="I1211" s="65"/>
      <c r="J1211" s="65"/>
      <c r="K1211" s="65" t="s">
        <v>1881</v>
      </c>
      <c r="L1211" s="65"/>
      <c r="M1211" s="65"/>
      <c r="N1211" s="65"/>
    </row>
    <row r="1212" spans="1:14" ht="12.75">
      <c r="A1212" s="65"/>
      <c r="B1212" s="65"/>
      <c r="C1212" s="65"/>
      <c r="D1212" s="65"/>
      <c r="E1212" s="65" t="str">
        <v>---</v>
      </c>
      <c r="F1212" s="65"/>
      <c r="G1212" s="65"/>
      <c r="H1212" s="65"/>
      <c r="I1212" s="65"/>
      <c r="J1212" s="65"/>
      <c r="K1212" s="65" t="s">
        <v>1882</v>
      </c>
      <c r="L1212" s="65"/>
      <c r="M1212" s="65"/>
      <c r="N1212" s="65"/>
    </row>
    <row r="1213" spans="1:14" ht="12.75">
      <c r="A1213" s="65"/>
      <c r="B1213" s="65"/>
      <c r="C1213" s="65"/>
      <c r="D1213" s="65"/>
      <c r="E1213" s="65" t="str">
        <v>---</v>
      </c>
      <c r="F1213" s="65"/>
      <c r="G1213" s="65"/>
      <c r="H1213" s="65"/>
      <c r="I1213" s="65"/>
      <c r="J1213" s="65"/>
      <c r="K1213" s="65" t="s">
        <v>1883</v>
      </c>
      <c r="L1213" s="65"/>
      <c r="M1213" s="65"/>
      <c r="N1213" s="65"/>
    </row>
    <row r="1214" spans="1:14" ht="12.75">
      <c r="A1214" s="65"/>
      <c r="B1214" s="65"/>
      <c r="C1214" s="65"/>
      <c r="D1214" s="65"/>
      <c r="E1214" s="65" t="str">
        <v>---</v>
      </c>
      <c r="F1214" s="65"/>
      <c r="G1214" s="65"/>
      <c r="H1214" s="65"/>
      <c r="I1214" s="65"/>
      <c r="J1214" s="65"/>
      <c r="K1214" s="65" t="s">
        <v>1884</v>
      </c>
      <c r="L1214" s="65"/>
      <c r="M1214" s="65"/>
      <c r="N1214" s="65"/>
    </row>
    <row r="1215" spans="1:14" ht="12.75">
      <c r="A1215" s="65"/>
      <c r="B1215" s="65"/>
      <c r="C1215" s="65"/>
      <c r="D1215" s="65"/>
      <c r="E1215" s="65" t="str">
        <v>---</v>
      </c>
      <c r="F1215" s="65"/>
      <c r="G1215" s="65"/>
      <c r="H1215" s="65"/>
      <c r="I1215" s="65"/>
      <c r="J1215" s="65"/>
      <c r="K1215" s="65" t="s">
        <v>1885</v>
      </c>
      <c r="L1215" s="65"/>
      <c r="M1215" s="65"/>
      <c r="N1215" s="65"/>
    </row>
    <row r="1216" spans="1:14" ht="12.75">
      <c r="A1216" s="65"/>
      <c r="B1216" s="65"/>
      <c r="C1216" s="65"/>
      <c r="D1216" s="65"/>
      <c r="E1216" s="65" t="str">
        <v>---</v>
      </c>
      <c r="F1216" s="65"/>
      <c r="G1216" s="65"/>
      <c r="H1216" s="65"/>
      <c r="I1216" s="65"/>
      <c r="J1216" s="65"/>
      <c r="K1216" s="65" t="s">
        <v>1886</v>
      </c>
      <c r="L1216" s="65"/>
      <c r="M1216" s="65"/>
      <c r="N1216" s="65"/>
    </row>
    <row r="1217" spans="1:14" ht="12.75">
      <c r="A1217" s="65"/>
      <c r="B1217" s="65"/>
      <c r="C1217" s="65"/>
      <c r="D1217" s="65"/>
      <c r="E1217" s="65" t="str">
        <v>---</v>
      </c>
      <c r="F1217" s="65"/>
      <c r="G1217" s="65"/>
      <c r="H1217" s="65"/>
      <c r="I1217" s="65"/>
      <c r="J1217" s="65"/>
      <c r="K1217" s="65" t="s">
        <v>1887</v>
      </c>
      <c r="L1217" s="65"/>
      <c r="M1217" s="65"/>
      <c r="N1217" s="65"/>
    </row>
    <row r="1218" spans="1:14" ht="12.75">
      <c r="A1218" s="65"/>
      <c r="B1218" s="65"/>
      <c r="C1218" s="65"/>
      <c r="D1218" s="65"/>
      <c r="E1218" s="65" t="str">
        <v>---</v>
      </c>
      <c r="F1218" s="65"/>
      <c r="G1218" s="65"/>
      <c r="H1218" s="65"/>
      <c r="I1218" s="65"/>
      <c r="J1218" s="65"/>
      <c r="K1218" s="65" t="s">
        <v>1888</v>
      </c>
      <c r="L1218" s="65"/>
      <c r="M1218" s="65"/>
      <c r="N1218" s="65"/>
    </row>
    <row r="1219" spans="1:14" ht="12.75">
      <c r="A1219" s="65"/>
      <c r="B1219" s="65"/>
      <c r="C1219" s="65"/>
      <c r="D1219" s="65"/>
      <c r="E1219" s="65" t="str">
        <v>---</v>
      </c>
      <c r="F1219" s="65"/>
      <c r="G1219" s="65"/>
      <c r="H1219" s="65"/>
      <c r="I1219" s="65"/>
      <c r="J1219" s="65"/>
      <c r="K1219" s="65" t="s">
        <v>1889</v>
      </c>
      <c r="L1219" s="65"/>
      <c r="M1219" s="65"/>
      <c r="N1219" s="65"/>
    </row>
    <row r="1220" spans="1:14" ht="12.75">
      <c r="A1220" s="65"/>
      <c r="B1220" s="65"/>
      <c r="C1220" s="65"/>
      <c r="D1220" s="65"/>
      <c r="E1220" s="65" t="str">
        <v>---</v>
      </c>
      <c r="F1220" s="65"/>
      <c r="G1220" s="65"/>
      <c r="H1220" s="65"/>
      <c r="I1220" s="65"/>
      <c r="J1220" s="65"/>
      <c r="K1220" s="65" t="s">
        <v>1890</v>
      </c>
      <c r="L1220" s="65"/>
      <c r="M1220" s="65"/>
      <c r="N1220" s="65"/>
    </row>
    <row r="1221" spans="1:14" ht="12.75">
      <c r="A1221" s="65"/>
      <c r="B1221" s="65"/>
      <c r="C1221" s="65"/>
      <c r="D1221" s="65"/>
      <c r="E1221" s="65" t="str">
        <v>---</v>
      </c>
      <c r="F1221" s="65"/>
      <c r="G1221" s="65"/>
      <c r="H1221" s="65"/>
      <c r="I1221" s="65"/>
      <c r="J1221" s="65"/>
      <c r="K1221" s="65" t="s">
        <v>1891</v>
      </c>
      <c r="L1221" s="65"/>
      <c r="M1221" s="65"/>
      <c r="N1221" s="65"/>
    </row>
    <row r="1222" spans="1:14" ht="12.75">
      <c r="A1222" s="65"/>
      <c r="B1222" s="65"/>
      <c r="C1222" s="65"/>
      <c r="D1222" s="65"/>
      <c r="E1222" s="65" t="str">
        <v>---</v>
      </c>
      <c r="F1222" s="65"/>
      <c r="G1222" s="65"/>
      <c r="H1222" s="65"/>
      <c r="I1222" s="65"/>
      <c r="J1222" s="65"/>
      <c r="K1222" s="65" t="s">
        <v>1892</v>
      </c>
      <c r="L1222" s="65"/>
      <c r="M1222" s="65"/>
      <c r="N1222" s="65"/>
    </row>
    <row r="1223" spans="1:14" ht="12.75">
      <c r="A1223" s="65"/>
      <c r="B1223" s="65"/>
      <c r="C1223" s="65"/>
      <c r="D1223" s="65"/>
      <c r="E1223" s="65" t="str">
        <v>---</v>
      </c>
      <c r="F1223" s="65"/>
      <c r="G1223" s="65"/>
      <c r="H1223" s="65"/>
      <c r="I1223" s="65"/>
      <c r="J1223" s="65"/>
      <c r="K1223" s="65" t="s">
        <v>1893</v>
      </c>
      <c r="L1223" s="65"/>
      <c r="M1223" s="65"/>
      <c r="N1223" s="65"/>
    </row>
    <row r="1224" spans="1:14" ht="12.75">
      <c r="A1224" s="65"/>
      <c r="B1224" s="65"/>
      <c r="C1224" s="65"/>
      <c r="D1224" s="65"/>
      <c r="E1224" s="65" t="str">
        <v>---</v>
      </c>
      <c r="F1224" s="65"/>
      <c r="G1224" s="65"/>
      <c r="H1224" s="65"/>
      <c r="I1224" s="65"/>
      <c r="J1224" s="65"/>
      <c r="K1224" s="65" t="s">
        <v>1894</v>
      </c>
      <c r="L1224" s="65"/>
      <c r="M1224" s="65"/>
      <c r="N1224" s="65"/>
    </row>
    <row r="1225" spans="1:14" ht="12.75">
      <c r="A1225" s="65"/>
      <c r="B1225" s="65"/>
      <c r="C1225" s="65"/>
      <c r="D1225" s="65"/>
      <c r="E1225" s="65" t="str">
        <v>---</v>
      </c>
      <c r="F1225" s="65"/>
      <c r="G1225" s="65"/>
      <c r="H1225" s="65"/>
      <c r="I1225" s="65"/>
      <c r="J1225" s="65"/>
      <c r="K1225" s="65" t="s">
        <v>1895</v>
      </c>
      <c r="L1225" s="65"/>
      <c r="M1225" s="65"/>
      <c r="N1225" s="65"/>
    </row>
    <row r="1226" spans="1:14" ht="12.75">
      <c r="A1226" s="65"/>
      <c r="B1226" s="65"/>
      <c r="C1226" s="65"/>
      <c r="D1226" s="65"/>
      <c r="E1226" s="65" t="str">
        <v>---</v>
      </c>
      <c r="F1226" s="65"/>
      <c r="G1226" s="65"/>
      <c r="H1226" s="65"/>
      <c r="I1226" s="65"/>
      <c r="J1226" s="65"/>
      <c r="K1226" s="65" t="s">
        <v>1896</v>
      </c>
      <c r="L1226" s="65"/>
      <c r="M1226" s="65"/>
      <c r="N1226" s="65"/>
    </row>
    <row r="1227" spans="1:14" ht="12.75">
      <c r="A1227" s="65"/>
      <c r="B1227" s="65"/>
      <c r="C1227" s="65"/>
      <c r="D1227" s="65"/>
      <c r="E1227" s="65" t="str">
        <v>---</v>
      </c>
      <c r="F1227" s="65"/>
      <c r="G1227" s="65"/>
      <c r="H1227" s="65"/>
      <c r="I1227" s="65"/>
      <c r="J1227" s="65"/>
      <c r="K1227" s="65" t="s">
        <v>1897</v>
      </c>
      <c r="L1227" s="65"/>
      <c r="M1227" s="65"/>
      <c r="N1227" s="65"/>
    </row>
    <row r="1228" spans="1:14" ht="12.75">
      <c r="A1228" s="65"/>
      <c r="B1228" s="65"/>
      <c r="C1228" s="65"/>
      <c r="D1228" s="65"/>
      <c r="E1228" s="65" t="str">
        <v>---</v>
      </c>
      <c r="F1228" s="65"/>
      <c r="G1228" s="65"/>
      <c r="H1228" s="65"/>
      <c r="I1228" s="65"/>
      <c r="J1228" s="65"/>
      <c r="K1228" s="65" t="s">
        <v>1898</v>
      </c>
      <c r="L1228" s="65"/>
      <c r="M1228" s="65"/>
      <c r="N1228" s="65"/>
    </row>
    <row r="1229" spans="1:14" ht="12.75">
      <c r="A1229" s="65"/>
      <c r="B1229" s="65"/>
      <c r="C1229" s="65"/>
      <c r="D1229" s="65"/>
      <c r="E1229" s="65" t="str">
        <v>---</v>
      </c>
      <c r="F1229" s="65"/>
      <c r="G1229" s="65"/>
      <c r="H1229" s="65"/>
      <c r="I1229" s="65"/>
      <c r="J1229" s="65"/>
      <c r="K1229" s="65" t="s">
        <v>1899</v>
      </c>
      <c r="L1229" s="65"/>
      <c r="M1229" s="65"/>
      <c r="N1229" s="65"/>
    </row>
    <row r="1230" spans="1:14" ht="12.75">
      <c r="A1230" s="65"/>
      <c r="B1230" s="65"/>
      <c r="C1230" s="65"/>
      <c r="D1230" s="65"/>
      <c r="E1230" s="65" t="str">
        <v>---</v>
      </c>
      <c r="F1230" s="65"/>
      <c r="G1230" s="65"/>
      <c r="H1230" s="65"/>
      <c r="I1230" s="65"/>
      <c r="J1230" s="65"/>
      <c r="K1230" s="65" t="s">
        <v>1900</v>
      </c>
      <c r="L1230" s="65"/>
      <c r="M1230" s="65"/>
      <c r="N1230" s="65"/>
    </row>
    <row r="1231" spans="1:14" ht="12.75">
      <c r="A1231" s="65"/>
      <c r="B1231" s="65"/>
      <c r="C1231" s="65"/>
      <c r="D1231" s="65"/>
      <c r="E1231" s="65" t="str">
        <v>---</v>
      </c>
      <c r="F1231" s="65"/>
      <c r="G1231" s="65"/>
      <c r="H1231" s="65"/>
      <c r="I1231" s="65"/>
      <c r="J1231" s="65"/>
      <c r="K1231" s="65" t="s">
        <v>1901</v>
      </c>
      <c r="L1231" s="65"/>
      <c r="M1231" s="65"/>
      <c r="N1231" s="65"/>
    </row>
    <row r="1232" spans="1:14" ht="12.75">
      <c r="A1232" s="65"/>
      <c r="B1232" s="65"/>
      <c r="C1232" s="65"/>
      <c r="D1232" s="65"/>
      <c r="E1232" s="65" t="str">
        <v>---</v>
      </c>
      <c r="F1232" s="65"/>
      <c r="G1232" s="65"/>
      <c r="H1232" s="65"/>
      <c r="I1232" s="65"/>
      <c r="J1232" s="65"/>
      <c r="K1232" s="65" t="s">
        <v>1902</v>
      </c>
      <c r="L1232" s="65"/>
      <c r="M1232" s="65"/>
      <c r="N1232" s="65"/>
    </row>
    <row r="1233" spans="1:14" ht="12.75">
      <c r="A1233" s="65"/>
      <c r="B1233" s="65"/>
      <c r="C1233" s="65"/>
      <c r="D1233" s="65"/>
      <c r="E1233" s="65" t="str">
        <v>---</v>
      </c>
      <c r="F1233" s="65"/>
      <c r="G1233" s="65"/>
      <c r="H1233" s="65"/>
      <c r="I1233" s="65"/>
      <c r="J1233" s="65"/>
      <c r="K1233" s="65" t="s">
        <v>1903</v>
      </c>
      <c r="L1233" s="65"/>
      <c r="M1233" s="65"/>
      <c r="N1233" s="65"/>
    </row>
    <row r="1234" spans="1:14" ht="12.75">
      <c r="A1234" s="65"/>
      <c r="B1234" s="65"/>
      <c r="C1234" s="65"/>
      <c r="D1234" s="65"/>
      <c r="E1234" s="65" t="str">
        <v>---</v>
      </c>
      <c r="F1234" s="65"/>
      <c r="G1234" s="65"/>
      <c r="H1234" s="65"/>
      <c r="I1234" s="65"/>
      <c r="J1234" s="65"/>
      <c r="K1234" s="65" t="s">
        <v>1904</v>
      </c>
      <c r="L1234" s="65"/>
      <c r="M1234" s="65"/>
      <c r="N1234" s="65"/>
    </row>
    <row r="1235" spans="1:14" ht="12.75">
      <c r="A1235" s="65"/>
      <c r="B1235" s="65"/>
      <c r="C1235" s="65"/>
      <c r="D1235" s="65"/>
      <c r="E1235" s="65" t="str">
        <v>---</v>
      </c>
      <c r="F1235" s="65"/>
      <c r="G1235" s="65"/>
      <c r="H1235" s="65"/>
      <c r="I1235" s="65"/>
      <c r="J1235" s="65"/>
      <c r="K1235" s="65" t="s">
        <v>1905</v>
      </c>
      <c r="L1235" s="65"/>
      <c r="M1235" s="65"/>
      <c r="N1235" s="65"/>
    </row>
    <row r="1236" spans="1:14" ht="12.75">
      <c r="A1236" s="65"/>
      <c r="B1236" s="65"/>
      <c r="C1236" s="65"/>
      <c r="D1236" s="65"/>
      <c r="E1236" s="65" t="str">
        <v>---</v>
      </c>
      <c r="F1236" s="65"/>
      <c r="G1236" s="65"/>
      <c r="H1236" s="65"/>
      <c r="I1236" s="65"/>
      <c r="J1236" s="65"/>
      <c r="K1236" s="65" t="s">
        <v>1906</v>
      </c>
      <c r="L1236" s="65"/>
      <c r="M1236" s="65"/>
      <c r="N1236" s="65"/>
    </row>
    <row r="1237" spans="1:14" ht="12.75">
      <c r="A1237" s="65"/>
      <c r="B1237" s="65"/>
      <c r="C1237" s="65"/>
      <c r="D1237" s="65"/>
      <c r="E1237" s="65" t="str">
        <v>---</v>
      </c>
      <c r="F1237" s="65"/>
      <c r="G1237" s="65"/>
      <c r="H1237" s="65"/>
      <c r="I1237" s="65"/>
      <c r="J1237" s="65"/>
      <c r="K1237" s="65" t="s">
        <v>1907</v>
      </c>
      <c r="L1237" s="65"/>
      <c r="M1237" s="65"/>
      <c r="N1237" s="65"/>
    </row>
    <row r="1238" spans="1:14" ht="12.75">
      <c r="A1238" s="65"/>
      <c r="B1238" s="65"/>
      <c r="C1238" s="65"/>
      <c r="D1238" s="65"/>
      <c r="E1238" s="65" t="str">
        <v>---</v>
      </c>
      <c r="F1238" s="65"/>
      <c r="G1238" s="65"/>
      <c r="H1238" s="65"/>
      <c r="I1238" s="65"/>
      <c r="J1238" s="65"/>
      <c r="K1238" s="65" t="s">
        <v>1908</v>
      </c>
      <c r="L1238" s="65"/>
      <c r="M1238" s="65"/>
      <c r="N1238" s="65"/>
    </row>
    <row r="1239" spans="1:14" ht="12.75">
      <c r="A1239" s="65"/>
      <c r="B1239" s="65"/>
      <c r="C1239" s="65"/>
      <c r="D1239" s="65"/>
      <c r="E1239" s="65" t="str">
        <v>---</v>
      </c>
      <c r="F1239" s="65"/>
      <c r="G1239" s="65"/>
      <c r="H1239" s="65"/>
      <c r="I1239" s="65"/>
      <c r="J1239" s="65"/>
      <c r="K1239" s="65" t="s">
        <v>1909</v>
      </c>
      <c r="L1239" s="65"/>
      <c r="M1239" s="65"/>
      <c r="N1239" s="65"/>
    </row>
    <row r="1240" spans="1:14" ht="12.75">
      <c r="A1240" s="65"/>
      <c r="B1240" s="65"/>
      <c r="C1240" s="65"/>
      <c r="D1240" s="65"/>
      <c r="E1240" s="65" t="str">
        <v>---</v>
      </c>
      <c r="F1240" s="65"/>
      <c r="G1240" s="65"/>
      <c r="H1240" s="65"/>
      <c r="I1240" s="65"/>
      <c r="J1240" s="65"/>
      <c r="K1240" s="65" t="s">
        <v>1910</v>
      </c>
      <c r="L1240" s="65"/>
      <c r="M1240" s="65"/>
      <c r="N1240" s="65"/>
    </row>
    <row r="1241" spans="1:14" ht="12.75">
      <c r="A1241" s="65"/>
      <c r="B1241" s="65"/>
      <c r="C1241" s="65"/>
      <c r="D1241" s="65"/>
      <c r="E1241" s="65" t="str">
        <v>---</v>
      </c>
      <c r="F1241" s="65"/>
      <c r="G1241" s="65"/>
      <c r="H1241" s="65"/>
      <c r="I1241" s="65"/>
      <c r="J1241" s="65"/>
      <c r="K1241" s="65" t="s">
        <v>1911</v>
      </c>
      <c r="L1241" s="65"/>
      <c r="M1241" s="65"/>
      <c r="N1241" s="65"/>
    </row>
    <row r="1242" spans="1:14" ht="12.75">
      <c r="A1242" s="65"/>
      <c r="B1242" s="65"/>
      <c r="C1242" s="65"/>
      <c r="D1242" s="65"/>
      <c r="E1242" s="65" t="str">
        <v>---</v>
      </c>
      <c r="F1242" s="65"/>
      <c r="G1242" s="65"/>
      <c r="H1242" s="65"/>
      <c r="I1242" s="65"/>
      <c r="J1242" s="65"/>
      <c r="K1242" s="65" t="s">
        <v>1912</v>
      </c>
      <c r="L1242" s="65"/>
      <c r="M1242" s="65"/>
      <c r="N1242" s="65"/>
    </row>
    <row r="1243" spans="1:14" ht="12.75">
      <c r="A1243" s="65"/>
      <c r="B1243" s="65"/>
      <c r="C1243" s="65"/>
      <c r="D1243" s="65"/>
      <c r="E1243" s="65" t="str">
        <v>---</v>
      </c>
      <c r="F1243" s="65"/>
      <c r="G1243" s="65"/>
      <c r="H1243" s="65"/>
      <c r="I1243" s="65"/>
      <c r="J1243" s="65"/>
      <c r="K1243" s="65" t="s">
        <v>1913</v>
      </c>
      <c r="L1243" s="65"/>
      <c r="M1243" s="65"/>
      <c r="N1243" s="65"/>
    </row>
    <row r="1244" spans="1:14" ht="12.75">
      <c r="A1244" s="65"/>
      <c r="B1244" s="65"/>
      <c r="C1244" s="65"/>
      <c r="D1244" s="65"/>
      <c r="E1244" s="65" t="str">
        <v>---</v>
      </c>
      <c r="F1244" s="65"/>
      <c r="G1244" s="65"/>
      <c r="H1244" s="65"/>
      <c r="I1244" s="65"/>
      <c r="J1244" s="65"/>
      <c r="K1244" s="65" t="s">
        <v>1914</v>
      </c>
      <c r="L1244" s="65"/>
      <c r="M1244" s="65"/>
      <c r="N1244" s="65"/>
    </row>
    <row r="1245" spans="1:14" ht="12.75">
      <c r="A1245" s="65"/>
      <c r="B1245" s="65"/>
      <c r="C1245" s="65"/>
      <c r="D1245" s="65"/>
      <c r="E1245" s="65" t="str">
        <v>---</v>
      </c>
      <c r="F1245" s="65"/>
      <c r="G1245" s="65"/>
      <c r="H1245" s="65"/>
      <c r="I1245" s="65"/>
      <c r="J1245" s="65"/>
      <c r="K1245" s="65" t="s">
        <v>1915</v>
      </c>
      <c r="L1245" s="65"/>
      <c r="M1245" s="65"/>
      <c r="N1245" s="65"/>
    </row>
    <row r="1246" spans="1:14" ht="12.75">
      <c r="A1246" s="65"/>
      <c r="B1246" s="65"/>
      <c r="C1246" s="65"/>
      <c r="D1246" s="65"/>
      <c r="E1246" s="65" t="str">
        <v>---</v>
      </c>
      <c r="F1246" s="65"/>
      <c r="G1246" s="65"/>
      <c r="H1246" s="65"/>
      <c r="I1246" s="65"/>
      <c r="J1246" s="65"/>
      <c r="K1246" s="65" t="s">
        <v>1916</v>
      </c>
      <c r="L1246" s="65"/>
      <c r="M1246" s="65"/>
      <c r="N1246" s="65"/>
    </row>
    <row r="1247" spans="1:14" ht="12.75">
      <c r="A1247" s="65"/>
      <c r="B1247" s="65"/>
      <c r="C1247" s="65"/>
      <c r="D1247" s="65"/>
      <c r="E1247" s="65" t="str">
        <v>---</v>
      </c>
      <c r="F1247" s="65"/>
      <c r="G1247" s="65"/>
      <c r="H1247" s="65"/>
      <c r="I1247" s="65"/>
      <c r="J1247" s="65"/>
      <c r="K1247" s="65" t="s">
        <v>1917</v>
      </c>
      <c r="L1247" s="65"/>
      <c r="M1247" s="65"/>
      <c r="N1247" s="65"/>
    </row>
    <row r="1248" spans="1:14" ht="12.75">
      <c r="A1248" s="65"/>
      <c r="B1248" s="65"/>
      <c r="C1248" s="65"/>
      <c r="D1248" s="65"/>
      <c r="E1248" s="65" t="str">
        <v>---</v>
      </c>
      <c r="F1248" s="65"/>
      <c r="G1248" s="65"/>
      <c r="H1248" s="65"/>
      <c r="I1248" s="65"/>
      <c r="J1248" s="65"/>
      <c r="K1248" s="65" t="s">
        <v>1918</v>
      </c>
      <c r="L1248" s="65"/>
      <c r="M1248" s="65"/>
      <c r="N1248" s="65"/>
    </row>
    <row r="1249" spans="1:14" ht="12.75">
      <c r="A1249" s="65"/>
      <c r="B1249" s="65"/>
      <c r="C1249" s="65"/>
      <c r="D1249" s="65"/>
      <c r="E1249" s="65" t="str">
        <v>---</v>
      </c>
      <c r="F1249" s="65"/>
      <c r="G1249" s="65"/>
      <c r="H1249" s="65"/>
      <c r="I1249" s="65"/>
      <c r="J1249" s="65"/>
      <c r="K1249" s="65" t="s">
        <v>1919</v>
      </c>
      <c r="L1249" s="65"/>
      <c r="M1249" s="65"/>
      <c r="N1249" s="65"/>
    </row>
    <row r="1250" spans="1:14" ht="12.75">
      <c r="A1250" s="65"/>
      <c r="B1250" s="65"/>
      <c r="C1250" s="65"/>
      <c r="D1250" s="65"/>
      <c r="E1250" s="65" t="str">
        <v>---</v>
      </c>
      <c r="F1250" s="65"/>
      <c r="G1250" s="65"/>
      <c r="H1250" s="65"/>
      <c r="I1250" s="65"/>
      <c r="J1250" s="65"/>
      <c r="K1250" s="65" t="s">
        <v>1920</v>
      </c>
      <c r="L1250" s="65"/>
      <c r="M1250" s="65"/>
      <c r="N1250" s="65"/>
    </row>
    <row r="1251" spans="1:14" ht="12.75">
      <c r="A1251" s="65"/>
      <c r="B1251" s="65"/>
      <c r="C1251" s="65"/>
      <c r="D1251" s="65"/>
      <c r="E1251" s="65" t="str">
        <v>---</v>
      </c>
      <c r="F1251" s="65"/>
      <c r="G1251" s="65"/>
      <c r="H1251" s="65"/>
      <c r="I1251" s="65"/>
      <c r="J1251" s="65"/>
      <c r="K1251" s="65" t="s">
        <v>1921</v>
      </c>
      <c r="L1251" s="65"/>
      <c r="M1251" s="65"/>
      <c r="N1251" s="65"/>
    </row>
    <row r="1252" spans="1:14" ht="12.75">
      <c r="A1252" s="65"/>
      <c r="B1252" s="65"/>
      <c r="C1252" s="65"/>
      <c r="D1252" s="65"/>
      <c r="E1252" s="65" t="str">
        <v>---</v>
      </c>
      <c r="F1252" s="65"/>
      <c r="G1252" s="65"/>
      <c r="H1252" s="65"/>
      <c r="I1252" s="65"/>
      <c r="J1252" s="65"/>
      <c r="K1252" s="65" t="s">
        <v>1922</v>
      </c>
      <c r="L1252" s="65"/>
      <c r="M1252" s="65"/>
      <c r="N1252" s="65"/>
    </row>
    <row r="1253" spans="1:14" ht="12.75">
      <c r="A1253" s="65"/>
      <c r="B1253" s="65"/>
      <c r="C1253" s="65"/>
      <c r="D1253" s="65"/>
      <c r="E1253" s="65" t="str">
        <v>---</v>
      </c>
      <c r="F1253" s="65"/>
      <c r="G1253" s="65"/>
      <c r="H1253" s="65"/>
      <c r="I1253" s="65"/>
      <c r="J1253" s="65"/>
      <c r="K1253" s="65" t="s">
        <v>1923</v>
      </c>
      <c r="L1253" s="65"/>
      <c r="M1253" s="65"/>
      <c r="N1253" s="65"/>
    </row>
    <row r="1254" spans="1:14" ht="12.75">
      <c r="A1254" s="65"/>
      <c r="B1254" s="65"/>
      <c r="C1254" s="65"/>
      <c r="D1254" s="65"/>
      <c r="E1254" s="65" t="str">
        <v>---</v>
      </c>
      <c r="F1254" s="65"/>
      <c r="G1254" s="65"/>
      <c r="H1254" s="65"/>
      <c r="I1254" s="65"/>
      <c r="J1254" s="65"/>
      <c r="K1254" s="65" t="s">
        <v>1924</v>
      </c>
      <c r="L1254" s="65"/>
      <c r="M1254" s="65"/>
      <c r="N1254" s="65"/>
    </row>
    <row r="1255" spans="1:14" ht="12.75">
      <c r="A1255" s="65"/>
      <c r="B1255" s="65"/>
      <c r="C1255" s="65"/>
      <c r="D1255" s="65"/>
      <c r="E1255" s="65" t="str">
        <v>---</v>
      </c>
      <c r="F1255" s="65"/>
      <c r="G1255" s="65"/>
      <c r="H1255" s="65"/>
      <c r="I1255" s="65"/>
      <c r="J1255" s="65"/>
      <c r="K1255" s="65" t="s">
        <v>1925</v>
      </c>
      <c r="L1255" s="65"/>
      <c r="M1255" s="65"/>
      <c r="N1255" s="65"/>
    </row>
    <row r="1256" spans="1:14" ht="12.75">
      <c r="A1256" s="65"/>
      <c r="B1256" s="65"/>
      <c r="C1256" s="65"/>
      <c r="D1256" s="65"/>
      <c r="E1256" s="65" t="str">
        <v>---</v>
      </c>
      <c r="F1256" s="65"/>
      <c r="G1256" s="65"/>
      <c r="H1256" s="65"/>
      <c r="I1256" s="65"/>
      <c r="J1256" s="65"/>
      <c r="K1256" s="65" t="s">
        <v>1926</v>
      </c>
      <c r="L1256" s="65"/>
      <c r="M1256" s="65"/>
      <c r="N1256" s="65"/>
    </row>
    <row r="1257" spans="1:14" ht="12.75">
      <c r="A1257" s="65"/>
      <c r="B1257" s="65"/>
      <c r="C1257" s="65"/>
      <c r="D1257" s="65"/>
      <c r="E1257" s="65" t="str">
        <v>---</v>
      </c>
      <c r="F1257" s="65"/>
      <c r="G1257" s="65"/>
      <c r="H1257" s="65"/>
      <c r="I1257" s="65"/>
      <c r="J1257" s="65"/>
      <c r="K1257" s="65" t="s">
        <v>1927</v>
      </c>
      <c r="L1257" s="65"/>
      <c r="M1257" s="65"/>
      <c r="N1257" s="65"/>
    </row>
    <row r="1258" spans="1:14" ht="12.75">
      <c r="A1258" s="65"/>
      <c r="B1258" s="65"/>
      <c r="C1258" s="65"/>
      <c r="D1258" s="65"/>
      <c r="E1258" s="65" t="str">
        <v>---</v>
      </c>
      <c r="F1258" s="65"/>
      <c r="G1258" s="65"/>
      <c r="H1258" s="65"/>
      <c r="I1258" s="65"/>
      <c r="J1258" s="65"/>
      <c r="K1258" s="65" t="s">
        <v>1928</v>
      </c>
      <c r="L1258" s="65"/>
      <c r="M1258" s="65"/>
      <c r="N1258" s="65"/>
    </row>
    <row r="1259" spans="1:14" ht="12.75">
      <c r="A1259" s="65"/>
      <c r="B1259" s="65"/>
      <c r="C1259" s="65"/>
      <c r="D1259" s="65"/>
      <c r="E1259" s="65" t="str">
        <v>---</v>
      </c>
      <c r="F1259" s="65"/>
      <c r="G1259" s="65"/>
      <c r="H1259" s="65"/>
      <c r="I1259" s="65"/>
      <c r="J1259" s="65"/>
      <c r="K1259" s="65" t="s">
        <v>1929</v>
      </c>
      <c r="L1259" s="65"/>
      <c r="M1259" s="65"/>
      <c r="N1259" s="65"/>
    </row>
    <row r="1260" spans="1:14" ht="12.75">
      <c r="A1260" s="65"/>
      <c r="B1260" s="65"/>
      <c r="C1260" s="65"/>
      <c r="D1260" s="65"/>
      <c r="E1260" s="65" t="str">
        <v>---</v>
      </c>
      <c r="F1260" s="65"/>
      <c r="G1260" s="65"/>
      <c r="H1260" s="65"/>
      <c r="I1260" s="65"/>
      <c r="J1260" s="65"/>
      <c r="K1260" s="65" t="s">
        <v>1930</v>
      </c>
      <c r="L1260" s="65"/>
      <c r="M1260" s="65"/>
      <c r="N1260" s="65"/>
    </row>
    <row r="1261" spans="1:14" ht="12.75">
      <c r="A1261" s="65"/>
      <c r="B1261" s="65"/>
      <c r="C1261" s="65"/>
      <c r="D1261" s="65"/>
      <c r="E1261" s="65" t="str">
        <v>---</v>
      </c>
      <c r="F1261" s="65"/>
      <c r="G1261" s="65"/>
      <c r="H1261" s="65"/>
      <c r="I1261" s="65"/>
      <c r="J1261" s="65"/>
      <c r="K1261" s="65" t="s">
        <v>1931</v>
      </c>
      <c r="L1261" s="65"/>
      <c r="M1261" s="65"/>
      <c r="N1261" s="65"/>
    </row>
    <row r="1262" spans="1:14" ht="12.75">
      <c r="A1262" s="65"/>
      <c r="B1262" s="65"/>
      <c r="C1262" s="65"/>
      <c r="D1262" s="65"/>
      <c r="E1262" s="65" t="str">
        <v>---</v>
      </c>
      <c r="F1262" s="65"/>
      <c r="G1262" s="65"/>
      <c r="H1262" s="65"/>
      <c r="I1262" s="65"/>
      <c r="J1262" s="65"/>
      <c r="K1262" s="65" t="s">
        <v>1932</v>
      </c>
      <c r="L1262" s="65"/>
      <c r="M1262" s="65"/>
      <c r="N1262" s="65"/>
    </row>
    <row r="1263" spans="1:14" ht="12.75">
      <c r="A1263" s="65"/>
      <c r="B1263" s="65"/>
      <c r="C1263" s="65"/>
      <c r="D1263" s="65"/>
      <c r="E1263" s="65" t="str">
        <v>---</v>
      </c>
      <c r="F1263" s="65"/>
      <c r="G1263" s="65"/>
      <c r="H1263" s="65"/>
      <c r="I1263" s="65"/>
      <c r="J1263" s="65"/>
      <c r="K1263" s="65" t="s">
        <v>1933</v>
      </c>
      <c r="L1263" s="65"/>
      <c r="M1263" s="65"/>
      <c r="N1263" s="65"/>
    </row>
    <row r="1264" spans="1:14" ht="12.75">
      <c r="A1264" s="65"/>
      <c r="B1264" s="65"/>
      <c r="C1264" s="65"/>
      <c r="D1264" s="65"/>
      <c r="E1264" s="65" t="str">
        <v>---</v>
      </c>
      <c r="F1264" s="65"/>
      <c r="G1264" s="65"/>
      <c r="H1264" s="65"/>
      <c r="I1264" s="65"/>
      <c r="J1264" s="65"/>
      <c r="K1264" s="65" t="s">
        <v>1934</v>
      </c>
      <c r="L1264" s="65"/>
      <c r="M1264" s="65"/>
      <c r="N1264" s="65"/>
    </row>
    <row r="1265" spans="1:14" ht="12.75">
      <c r="A1265" s="65"/>
      <c r="B1265" s="65"/>
      <c r="C1265" s="65"/>
      <c r="D1265" s="65"/>
      <c r="E1265" s="65" t="str">
        <v>---</v>
      </c>
      <c r="F1265" s="65"/>
      <c r="G1265" s="65"/>
      <c r="H1265" s="65"/>
      <c r="I1265" s="65"/>
      <c r="J1265" s="65"/>
      <c r="K1265" s="65" t="s">
        <v>1935</v>
      </c>
      <c r="L1265" s="65"/>
      <c r="M1265" s="65"/>
      <c r="N1265" s="65"/>
    </row>
    <row r="1266" spans="1:14" ht="12.75">
      <c r="A1266" s="65"/>
      <c r="B1266" s="65"/>
      <c r="C1266" s="65"/>
      <c r="D1266" s="65"/>
      <c r="E1266" s="65" t="str">
        <v>---</v>
      </c>
      <c r="F1266" s="65"/>
      <c r="G1266" s="65"/>
      <c r="H1266" s="65"/>
      <c r="I1266" s="65"/>
      <c r="J1266" s="65"/>
      <c r="K1266" s="65" t="s">
        <v>1936</v>
      </c>
      <c r="L1266" s="65"/>
      <c r="M1266" s="65"/>
      <c r="N1266" s="65"/>
    </row>
    <row r="1267" spans="1:14" ht="12.75">
      <c r="A1267" s="65"/>
      <c r="B1267" s="65"/>
      <c r="C1267" s="65"/>
      <c r="D1267" s="65"/>
      <c r="E1267" s="65" t="str">
        <v>---</v>
      </c>
      <c r="F1267" s="65"/>
      <c r="G1267" s="65"/>
      <c r="H1267" s="65"/>
      <c r="I1267" s="65"/>
      <c r="J1267" s="65"/>
      <c r="K1267" s="65" t="s">
        <v>1937</v>
      </c>
      <c r="L1267" s="65"/>
      <c r="M1267" s="65"/>
      <c r="N1267" s="65"/>
    </row>
    <row r="1268" spans="1:14" ht="12.75">
      <c r="A1268" s="65"/>
      <c r="B1268" s="65"/>
      <c r="C1268" s="65"/>
      <c r="D1268" s="65"/>
      <c r="E1268" s="65" t="str">
        <v>---</v>
      </c>
      <c r="F1268" s="65"/>
      <c r="G1268" s="65"/>
      <c r="H1268" s="65"/>
      <c r="I1268" s="65"/>
      <c r="J1268" s="65"/>
      <c r="K1268" s="65" t="s">
        <v>1938</v>
      </c>
      <c r="L1268" s="65"/>
      <c r="M1268" s="65"/>
      <c r="N1268" s="65"/>
    </row>
    <row r="1269" spans="1:14" ht="12.75">
      <c r="A1269" s="65"/>
      <c r="B1269" s="65"/>
      <c r="C1269" s="65"/>
      <c r="D1269" s="65"/>
      <c r="E1269" s="65" t="str">
        <v>---</v>
      </c>
      <c r="F1269" s="65"/>
      <c r="G1269" s="65"/>
      <c r="H1269" s="65"/>
      <c r="I1269" s="65"/>
      <c r="J1269" s="65"/>
      <c r="K1269" s="65" t="s">
        <v>1939</v>
      </c>
      <c r="L1269" s="65"/>
      <c r="M1269" s="65"/>
      <c r="N1269" s="65"/>
    </row>
    <row r="1270" spans="1:14" ht="12.75">
      <c r="A1270" s="65"/>
      <c r="B1270" s="65"/>
      <c r="C1270" s="65"/>
      <c r="D1270" s="65"/>
      <c r="E1270" s="65" t="str">
        <v>---</v>
      </c>
      <c r="F1270" s="65"/>
      <c r="G1270" s="65"/>
      <c r="H1270" s="65"/>
      <c r="I1270" s="65"/>
      <c r="J1270" s="65"/>
      <c r="K1270" s="65" t="s">
        <v>1940</v>
      </c>
      <c r="L1270" s="65"/>
      <c r="M1270" s="65"/>
      <c r="N1270" s="65"/>
    </row>
    <row r="1271" spans="1:14" ht="12.75">
      <c r="A1271" s="65"/>
      <c r="B1271" s="65"/>
      <c r="C1271" s="65"/>
      <c r="D1271" s="65"/>
      <c r="E1271" s="65" t="str">
        <v>---</v>
      </c>
      <c r="F1271" s="65"/>
      <c r="G1271" s="65"/>
      <c r="H1271" s="65"/>
      <c r="I1271" s="65"/>
      <c r="J1271" s="65"/>
      <c r="K1271" s="65" t="s">
        <v>1941</v>
      </c>
      <c r="L1271" s="65"/>
      <c r="M1271" s="65"/>
      <c r="N1271" s="65"/>
    </row>
    <row r="1272" spans="1:14" ht="12.75">
      <c r="A1272" s="65"/>
      <c r="B1272" s="65"/>
      <c r="C1272" s="65"/>
      <c r="D1272" s="65"/>
      <c r="E1272" s="65" t="str">
        <v>---</v>
      </c>
      <c r="F1272" s="65"/>
      <c r="G1272" s="65"/>
      <c r="H1272" s="65"/>
      <c r="I1272" s="65"/>
      <c r="J1272" s="65"/>
      <c r="K1272" s="65" t="s">
        <v>1942</v>
      </c>
      <c r="L1272" s="65"/>
      <c r="M1272" s="65"/>
      <c r="N1272" s="65"/>
    </row>
    <row r="1273" spans="1:14" ht="12.75">
      <c r="A1273" s="65"/>
      <c r="B1273" s="65"/>
      <c r="C1273" s="65"/>
      <c r="D1273" s="65"/>
      <c r="E1273" s="65" t="str">
        <v>---</v>
      </c>
      <c r="F1273" s="65"/>
      <c r="G1273" s="65"/>
      <c r="H1273" s="65"/>
      <c r="I1273" s="65"/>
      <c r="J1273" s="65"/>
      <c r="K1273" s="65" t="s">
        <v>1943</v>
      </c>
      <c r="L1273" s="65"/>
      <c r="M1273" s="65"/>
      <c r="N1273" s="65"/>
    </row>
    <row r="1274" spans="1:14" ht="12.75">
      <c r="A1274" s="65"/>
      <c r="B1274" s="65"/>
      <c r="C1274" s="65"/>
      <c r="D1274" s="65"/>
      <c r="E1274" s="65" t="str">
        <v>---</v>
      </c>
      <c r="F1274" s="65"/>
      <c r="G1274" s="65"/>
      <c r="H1274" s="65"/>
      <c r="I1274" s="65"/>
      <c r="J1274" s="65"/>
      <c r="K1274" s="65" t="s">
        <v>1944</v>
      </c>
      <c r="L1274" s="65"/>
      <c r="M1274" s="65"/>
      <c r="N1274" s="65"/>
    </row>
    <row r="1275" spans="1:14" ht="12.75">
      <c r="A1275" s="65"/>
      <c r="B1275" s="65"/>
      <c r="C1275" s="65"/>
      <c r="D1275" s="65"/>
      <c r="E1275" s="65" t="str">
        <v>---</v>
      </c>
      <c r="F1275" s="65"/>
      <c r="G1275" s="65"/>
      <c r="H1275" s="65"/>
      <c r="I1275" s="65"/>
      <c r="J1275" s="65"/>
      <c r="K1275" s="65" t="s">
        <v>1945</v>
      </c>
      <c r="L1275" s="65"/>
      <c r="M1275" s="65"/>
      <c r="N1275" s="65"/>
    </row>
    <row r="1276" spans="1:14" ht="12.75">
      <c r="A1276" s="65"/>
      <c r="B1276" s="65"/>
      <c r="C1276" s="65"/>
      <c r="D1276" s="65"/>
      <c r="E1276" s="65" t="str">
        <v>---</v>
      </c>
      <c r="F1276" s="65"/>
      <c r="G1276" s="65"/>
      <c r="H1276" s="65"/>
      <c r="I1276" s="65"/>
      <c r="J1276" s="65"/>
      <c r="K1276" s="65" t="s">
        <v>1946</v>
      </c>
      <c r="L1276" s="65"/>
      <c r="M1276" s="65"/>
      <c r="N1276" s="65"/>
    </row>
    <row r="1277" spans="1:14" ht="12.75">
      <c r="A1277" s="65"/>
      <c r="B1277" s="65"/>
      <c r="C1277" s="65"/>
      <c r="D1277" s="65"/>
      <c r="E1277" s="65" t="str">
        <v>---</v>
      </c>
      <c r="F1277" s="65"/>
      <c r="G1277" s="65"/>
      <c r="H1277" s="65"/>
      <c r="I1277" s="65"/>
      <c r="J1277" s="65"/>
      <c r="K1277" s="65" t="s">
        <v>1947</v>
      </c>
      <c r="L1277" s="65"/>
      <c r="M1277" s="65"/>
      <c r="N1277" s="65"/>
    </row>
    <row r="1278" spans="1:14" ht="12.75">
      <c r="A1278" s="65"/>
      <c r="B1278" s="65"/>
      <c r="C1278" s="65"/>
      <c r="D1278" s="65"/>
      <c r="E1278" s="65" t="str">
        <v>---</v>
      </c>
      <c r="F1278" s="65"/>
      <c r="G1278" s="65"/>
      <c r="H1278" s="65"/>
      <c r="I1278" s="65"/>
      <c r="J1278" s="65"/>
      <c r="K1278" s="65" t="s">
        <v>1948</v>
      </c>
      <c r="L1278" s="65"/>
      <c r="M1278" s="65"/>
      <c r="N1278" s="65"/>
    </row>
    <row r="1279" spans="1:14" ht="12.75">
      <c r="A1279" s="65"/>
      <c r="B1279" s="65"/>
      <c r="C1279" s="65"/>
      <c r="D1279" s="65"/>
      <c r="E1279" s="65" t="str">
        <v>---</v>
      </c>
      <c r="F1279" s="65"/>
      <c r="G1279" s="65"/>
      <c r="H1279" s="65"/>
      <c r="I1279" s="65"/>
      <c r="J1279" s="65"/>
      <c r="K1279" s="65" t="s">
        <v>1949</v>
      </c>
      <c r="L1279" s="65"/>
      <c r="M1279" s="65"/>
      <c r="N1279" s="65"/>
    </row>
    <row r="1280" spans="1:14" ht="12.75">
      <c r="A1280" s="65"/>
      <c r="B1280" s="65"/>
      <c r="C1280" s="65"/>
      <c r="D1280" s="65"/>
      <c r="E1280" s="65" t="str">
        <v>---</v>
      </c>
      <c r="F1280" s="65"/>
      <c r="G1280" s="65"/>
      <c r="H1280" s="65"/>
      <c r="I1280" s="65"/>
      <c r="J1280" s="65"/>
      <c r="K1280" s="65" t="s">
        <v>1950</v>
      </c>
      <c r="L1280" s="65"/>
      <c r="M1280" s="65"/>
      <c r="N1280" s="65"/>
    </row>
    <row r="1281" spans="1:14" ht="12.75">
      <c r="A1281" s="65"/>
      <c r="B1281" s="65"/>
      <c r="C1281" s="65"/>
      <c r="D1281" s="65"/>
      <c r="E1281" s="65" t="str">
        <v>---</v>
      </c>
      <c r="F1281" s="65"/>
      <c r="G1281" s="65"/>
      <c r="H1281" s="65"/>
      <c r="I1281" s="65"/>
      <c r="J1281" s="65"/>
      <c r="K1281" s="65" t="s">
        <v>1951</v>
      </c>
      <c r="L1281" s="65"/>
      <c r="M1281" s="65"/>
      <c r="N1281" s="65"/>
    </row>
    <row r="1282" spans="1:14" ht="12.75">
      <c r="A1282" s="65"/>
      <c r="B1282" s="65"/>
      <c r="C1282" s="65"/>
      <c r="D1282" s="65"/>
      <c r="E1282" s="65" t="str">
        <v>---</v>
      </c>
      <c r="F1282" s="65"/>
      <c r="G1282" s="65"/>
      <c r="H1282" s="65"/>
      <c r="I1282" s="65"/>
      <c r="J1282" s="65"/>
      <c r="K1282" s="65" t="s">
        <v>1952</v>
      </c>
      <c r="L1282" s="65"/>
      <c r="M1282" s="65"/>
      <c r="N1282" s="65"/>
    </row>
    <row r="1283" spans="1:14" ht="12.75">
      <c r="A1283" s="65"/>
      <c r="B1283" s="65"/>
      <c r="C1283" s="65"/>
      <c r="D1283" s="65"/>
      <c r="E1283" s="65" t="str">
        <v>---</v>
      </c>
      <c r="F1283" s="65"/>
      <c r="G1283" s="65"/>
      <c r="H1283" s="65"/>
      <c r="I1283" s="65"/>
      <c r="J1283" s="65"/>
      <c r="K1283" s="65" t="s">
        <v>1953</v>
      </c>
      <c r="L1283" s="65"/>
      <c r="M1283" s="65"/>
      <c r="N1283" s="65"/>
    </row>
    <row r="1284" spans="1:14" ht="12.75">
      <c r="A1284" s="65"/>
      <c r="B1284" s="65"/>
      <c r="C1284" s="65"/>
      <c r="D1284" s="65"/>
      <c r="E1284" s="65" t="str">
        <v>---</v>
      </c>
      <c r="F1284" s="65"/>
      <c r="G1284" s="65"/>
      <c r="H1284" s="65"/>
      <c r="I1284" s="65"/>
      <c r="J1284" s="65"/>
      <c r="K1284" s="65" t="s">
        <v>1954</v>
      </c>
      <c r="L1284" s="65"/>
      <c r="M1284" s="65"/>
      <c r="N1284" s="65"/>
    </row>
    <row r="1285" spans="1:14" ht="12.75">
      <c r="A1285" s="65"/>
      <c r="B1285" s="65"/>
      <c r="C1285" s="65"/>
      <c r="D1285" s="65"/>
      <c r="E1285" s="65" t="str">
        <v>---</v>
      </c>
      <c r="F1285" s="65"/>
      <c r="G1285" s="65"/>
      <c r="H1285" s="65"/>
      <c r="I1285" s="65"/>
      <c r="J1285" s="65"/>
      <c r="K1285" s="65" t="s">
        <v>1955</v>
      </c>
      <c r="L1285" s="65"/>
      <c r="M1285" s="65"/>
      <c r="N1285" s="65"/>
    </row>
    <row r="1286" spans="1:14" ht="12.75">
      <c r="A1286" s="65"/>
      <c r="B1286" s="65"/>
      <c r="C1286" s="65"/>
      <c r="D1286" s="65"/>
      <c r="E1286" s="65" t="str">
        <v>---</v>
      </c>
      <c r="F1286" s="65"/>
      <c r="G1286" s="65"/>
      <c r="H1286" s="65"/>
      <c r="I1286" s="65"/>
      <c r="J1286" s="65"/>
      <c r="K1286" s="65" t="s">
        <v>1956</v>
      </c>
      <c r="L1286" s="65"/>
      <c r="M1286" s="65"/>
      <c r="N1286" s="65"/>
    </row>
    <row r="1287" spans="1:14" ht="12.75">
      <c r="A1287" s="65"/>
      <c r="B1287" s="65"/>
      <c r="C1287" s="65"/>
      <c r="D1287" s="65"/>
      <c r="E1287" s="65" t="str">
        <v>---</v>
      </c>
      <c r="F1287" s="65"/>
      <c r="G1287" s="65"/>
      <c r="H1287" s="65"/>
      <c r="I1287" s="65"/>
      <c r="J1287" s="65"/>
      <c r="K1287" s="65" t="s">
        <v>1957</v>
      </c>
      <c r="L1287" s="65"/>
      <c r="M1287" s="65"/>
      <c r="N1287" s="65"/>
    </row>
    <row r="1288" spans="1:14" ht="12.75">
      <c r="A1288" s="65"/>
      <c r="B1288" s="65"/>
      <c r="C1288" s="65"/>
      <c r="D1288" s="65"/>
      <c r="E1288" s="65" t="str">
        <v>---</v>
      </c>
      <c r="F1288" s="65"/>
      <c r="G1288" s="65"/>
      <c r="H1288" s="65"/>
      <c r="I1288" s="65"/>
      <c r="J1288" s="65"/>
      <c r="K1288" s="65" t="s">
        <v>1958</v>
      </c>
      <c r="L1288" s="65"/>
      <c r="M1288" s="65"/>
      <c r="N1288" s="65"/>
    </row>
    <row r="1289" spans="1:14" ht="12.75">
      <c r="A1289" s="65"/>
      <c r="B1289" s="65"/>
      <c r="C1289" s="65"/>
      <c r="D1289" s="65"/>
      <c r="E1289" s="65" t="str">
        <v>---</v>
      </c>
      <c r="F1289" s="65"/>
      <c r="G1289" s="65"/>
      <c r="H1289" s="65"/>
      <c r="I1289" s="65"/>
      <c r="J1289" s="65"/>
      <c r="K1289" s="65" t="s">
        <v>1959</v>
      </c>
      <c r="L1289" s="65"/>
      <c r="M1289" s="65"/>
      <c r="N1289" s="65"/>
    </row>
    <row r="1290" spans="1:14" ht="12.75">
      <c r="A1290" s="65"/>
      <c r="B1290" s="65"/>
      <c r="C1290" s="65"/>
      <c r="D1290" s="65"/>
      <c r="E1290" s="65" t="str">
        <v>---</v>
      </c>
      <c r="F1290" s="65"/>
      <c r="G1290" s="65"/>
      <c r="H1290" s="65"/>
      <c r="I1290" s="65"/>
      <c r="J1290" s="65"/>
      <c r="K1290" s="65" t="s">
        <v>1960</v>
      </c>
      <c r="L1290" s="65"/>
      <c r="M1290" s="65"/>
      <c r="N1290" s="65"/>
    </row>
    <row r="1291" spans="1:14" ht="12.75">
      <c r="A1291" s="65"/>
      <c r="B1291" s="65"/>
      <c r="C1291" s="65"/>
      <c r="D1291" s="65"/>
      <c r="E1291" s="65" t="str">
        <v>---</v>
      </c>
      <c r="F1291" s="65"/>
      <c r="G1291" s="65"/>
      <c r="H1291" s="65"/>
      <c r="I1291" s="65"/>
      <c r="J1291" s="65"/>
      <c r="K1291" s="65" t="s">
        <v>1961</v>
      </c>
      <c r="L1291" s="65"/>
      <c r="M1291" s="65"/>
      <c r="N1291" s="65"/>
    </row>
    <row r="1292" spans="1:14" ht="12.75">
      <c r="A1292" s="65"/>
      <c r="B1292" s="65"/>
      <c r="C1292" s="65"/>
      <c r="D1292" s="65"/>
      <c r="E1292" s="65" t="str">
        <v>---</v>
      </c>
      <c r="F1292" s="65"/>
      <c r="G1292" s="65"/>
      <c r="H1292" s="65"/>
      <c r="I1292" s="65"/>
      <c r="J1292" s="65"/>
      <c r="K1292" s="65" t="s">
        <v>1962</v>
      </c>
      <c r="L1292" s="65"/>
      <c r="M1292" s="65"/>
      <c r="N1292" s="65"/>
    </row>
    <row r="1293" spans="1:14" ht="12.75">
      <c r="A1293" s="65"/>
      <c r="B1293" s="65"/>
      <c r="C1293" s="65"/>
      <c r="D1293" s="65"/>
      <c r="E1293" s="65" t="str">
        <v>---</v>
      </c>
      <c r="F1293" s="65"/>
      <c r="G1293" s="65"/>
      <c r="H1293" s="65"/>
      <c r="I1293" s="65"/>
      <c r="J1293" s="65"/>
      <c r="K1293" s="65" t="s">
        <v>1963</v>
      </c>
      <c r="L1293" s="65"/>
      <c r="M1293" s="65"/>
      <c r="N1293" s="65"/>
    </row>
    <row r="1294" spans="1:14" ht="12.75">
      <c r="A1294" s="65"/>
      <c r="B1294" s="65"/>
      <c r="C1294" s="65"/>
      <c r="D1294" s="65"/>
      <c r="E1294" s="65" t="str">
        <v>---</v>
      </c>
      <c r="F1294" s="65"/>
      <c r="G1294" s="65"/>
      <c r="H1294" s="65"/>
      <c r="I1294" s="65"/>
      <c r="J1294" s="65"/>
      <c r="K1294" s="65" t="s">
        <v>1964</v>
      </c>
      <c r="L1294" s="65"/>
      <c r="M1294" s="65"/>
      <c r="N1294" s="65"/>
    </row>
    <row r="1295" spans="1:14" ht="12.75">
      <c r="A1295" s="65"/>
      <c r="B1295" s="65"/>
      <c r="C1295" s="65"/>
      <c r="D1295" s="65"/>
      <c r="E1295" s="65" t="str">
        <v>---</v>
      </c>
      <c r="F1295" s="65"/>
      <c r="G1295" s="65"/>
      <c r="H1295" s="65"/>
      <c r="I1295" s="65"/>
      <c r="J1295" s="65"/>
      <c r="K1295" s="65" t="s">
        <v>1965</v>
      </c>
      <c r="L1295" s="65"/>
      <c r="M1295" s="65"/>
      <c r="N1295" s="65"/>
    </row>
    <row r="1296" spans="1:14" ht="12.75">
      <c r="A1296" s="65"/>
      <c r="B1296" s="65"/>
      <c r="C1296" s="65"/>
      <c r="D1296" s="65"/>
      <c r="E1296" s="65" t="str">
        <v>---</v>
      </c>
      <c r="F1296" s="65"/>
      <c r="G1296" s="65"/>
      <c r="H1296" s="65"/>
      <c r="I1296" s="65"/>
      <c r="J1296" s="65"/>
      <c r="K1296" s="65" t="s">
        <v>1966</v>
      </c>
      <c r="L1296" s="65"/>
      <c r="M1296" s="65"/>
      <c r="N1296" s="65"/>
    </row>
    <row r="1297" spans="1:14" ht="12.75">
      <c r="A1297" s="65"/>
      <c r="B1297" s="65"/>
      <c r="C1297" s="65"/>
      <c r="D1297" s="65"/>
      <c r="E1297" s="65" t="str">
        <v>---</v>
      </c>
      <c r="F1297" s="65"/>
      <c r="G1297" s="65"/>
      <c r="H1297" s="65"/>
      <c r="I1297" s="65"/>
      <c r="J1297" s="65"/>
      <c r="K1297" s="65" t="s">
        <v>1967</v>
      </c>
      <c r="L1297" s="65"/>
      <c r="M1297" s="65"/>
      <c r="N1297" s="65"/>
    </row>
    <row r="1298" spans="1:14" ht="12.75">
      <c r="A1298" s="65"/>
      <c r="B1298" s="65"/>
      <c r="C1298" s="65"/>
      <c r="D1298" s="65"/>
      <c r="E1298" s="65" t="str">
        <v>---</v>
      </c>
      <c r="F1298" s="65"/>
      <c r="G1298" s="65"/>
      <c r="H1298" s="65"/>
      <c r="I1298" s="65"/>
      <c r="J1298" s="65"/>
      <c r="K1298" s="65" t="s">
        <v>1968</v>
      </c>
      <c r="L1298" s="65"/>
      <c r="M1298" s="65"/>
      <c r="N1298" s="65"/>
    </row>
    <row r="1299" spans="1:14" ht="12.75">
      <c r="A1299" s="65"/>
      <c r="B1299" s="65"/>
      <c r="C1299" s="65"/>
      <c r="D1299" s="65"/>
      <c r="E1299" s="65" t="str">
        <v>---</v>
      </c>
      <c r="F1299" s="65"/>
      <c r="G1299" s="65"/>
      <c r="H1299" s="65"/>
      <c r="I1299" s="65"/>
      <c r="J1299" s="65"/>
      <c r="K1299" s="65" t="s">
        <v>1969</v>
      </c>
      <c r="L1299" s="65"/>
      <c r="M1299" s="65"/>
      <c r="N1299" s="65"/>
    </row>
    <row r="1300" spans="1:14" ht="12.75">
      <c r="A1300" s="65"/>
      <c r="B1300" s="65"/>
      <c r="C1300" s="65"/>
      <c r="D1300" s="65"/>
      <c r="E1300" s="65" t="str">
        <v>---</v>
      </c>
      <c r="F1300" s="65"/>
      <c r="G1300" s="65"/>
      <c r="H1300" s="65"/>
      <c r="I1300" s="65"/>
      <c r="J1300" s="65"/>
      <c r="K1300" s="65" t="s">
        <v>1970</v>
      </c>
      <c r="L1300" s="65"/>
      <c r="M1300" s="65"/>
      <c r="N1300" s="65"/>
    </row>
    <row r="1301" spans="1:14" ht="12.75">
      <c r="A1301" s="65"/>
      <c r="B1301" s="65"/>
      <c r="C1301" s="65"/>
      <c r="D1301" s="65"/>
      <c r="E1301" s="65" t="str">
        <v>---</v>
      </c>
      <c r="F1301" s="65"/>
      <c r="G1301" s="65"/>
      <c r="H1301" s="65"/>
      <c r="I1301" s="65"/>
      <c r="J1301" s="65"/>
      <c r="K1301" s="65" t="s">
        <v>1971</v>
      </c>
      <c r="L1301" s="65"/>
      <c r="M1301" s="65"/>
      <c r="N1301" s="65"/>
    </row>
    <row r="1302" spans="1:14" ht="12.75">
      <c r="A1302" s="65"/>
      <c r="B1302" s="65"/>
      <c r="C1302" s="65"/>
      <c r="D1302" s="65"/>
      <c r="E1302" s="65" t="str">
        <v>---</v>
      </c>
      <c r="F1302" s="65"/>
      <c r="G1302" s="65"/>
      <c r="H1302" s="65"/>
      <c r="I1302" s="65"/>
      <c r="J1302" s="65"/>
      <c r="K1302" s="65" t="s">
        <v>1972</v>
      </c>
      <c r="L1302" s="65"/>
      <c r="M1302" s="65"/>
      <c r="N1302" s="65"/>
    </row>
    <row r="1303" spans="1:14" ht="12.75">
      <c r="A1303" s="65"/>
      <c r="B1303" s="65"/>
      <c r="C1303" s="65"/>
      <c r="D1303" s="65"/>
      <c r="E1303" s="65" t="str">
        <v>---</v>
      </c>
      <c r="F1303" s="65"/>
      <c r="G1303" s="65"/>
      <c r="H1303" s="65"/>
      <c r="I1303" s="65"/>
      <c r="J1303" s="65"/>
      <c r="K1303" s="65" t="s">
        <v>1973</v>
      </c>
      <c r="L1303" s="65"/>
      <c r="M1303" s="65"/>
      <c r="N1303" s="65"/>
    </row>
    <row r="1304" spans="1:14" ht="12.75">
      <c r="A1304" s="65"/>
      <c r="B1304" s="65"/>
      <c r="C1304" s="65"/>
      <c r="D1304" s="65"/>
      <c r="E1304" s="65" t="str">
        <v>---</v>
      </c>
      <c r="F1304" s="65"/>
      <c r="G1304" s="65"/>
      <c r="H1304" s="65"/>
      <c r="I1304" s="65"/>
      <c r="J1304" s="65"/>
      <c r="K1304" s="65" t="s">
        <v>1974</v>
      </c>
      <c r="L1304" s="65"/>
      <c r="M1304" s="65"/>
      <c r="N1304" s="65"/>
    </row>
    <row r="1305" spans="1:14" ht="12.75">
      <c r="A1305" s="65"/>
      <c r="B1305" s="65"/>
      <c r="C1305" s="65"/>
      <c r="D1305" s="65"/>
      <c r="E1305" s="65" t="str">
        <v>---</v>
      </c>
      <c r="F1305" s="65"/>
      <c r="G1305" s="65"/>
      <c r="H1305" s="65"/>
      <c r="I1305" s="65"/>
      <c r="J1305" s="65"/>
      <c r="K1305" s="65" t="s">
        <v>1975</v>
      </c>
      <c r="L1305" s="65"/>
      <c r="M1305" s="65"/>
      <c r="N1305" s="65"/>
    </row>
    <row r="1306" spans="1:14" ht="12.75">
      <c r="A1306" s="65"/>
      <c r="B1306" s="65"/>
      <c r="C1306" s="65"/>
      <c r="D1306" s="65"/>
      <c r="E1306" s="65" t="str">
        <v>---</v>
      </c>
      <c r="F1306" s="65"/>
      <c r="G1306" s="65"/>
      <c r="H1306" s="65"/>
      <c r="I1306" s="65"/>
      <c r="J1306" s="65"/>
      <c r="K1306" s="65" t="s">
        <v>1976</v>
      </c>
      <c r="L1306" s="65"/>
      <c r="M1306" s="65"/>
      <c r="N1306" s="65"/>
    </row>
    <row r="1307" spans="1:14" ht="12.75">
      <c r="A1307" s="65"/>
      <c r="B1307" s="65"/>
      <c r="C1307" s="65"/>
      <c r="D1307" s="65"/>
      <c r="E1307" s="65" t="str">
        <v>---</v>
      </c>
      <c r="F1307" s="65"/>
      <c r="G1307" s="65"/>
      <c r="H1307" s="65"/>
      <c r="I1307" s="65"/>
      <c r="J1307" s="65"/>
      <c r="K1307" s="65" t="s">
        <v>1977</v>
      </c>
      <c r="L1307" s="65"/>
      <c r="M1307" s="65"/>
      <c r="N1307" s="65"/>
    </row>
    <row r="1308" spans="1:14" ht="12.75">
      <c r="A1308" s="65"/>
      <c r="B1308" s="65"/>
      <c r="C1308" s="65"/>
      <c r="D1308" s="65"/>
      <c r="E1308" s="65" t="str">
        <v>---</v>
      </c>
      <c r="F1308" s="65"/>
      <c r="G1308" s="65"/>
      <c r="H1308" s="65"/>
      <c r="I1308" s="65"/>
      <c r="J1308" s="65"/>
      <c r="K1308" s="65" t="s">
        <v>1978</v>
      </c>
      <c r="L1308" s="65"/>
      <c r="M1308" s="65"/>
      <c r="N1308" s="65"/>
    </row>
    <row r="1309" spans="1:14" ht="12.75">
      <c r="A1309" s="65"/>
      <c r="B1309" s="65"/>
      <c r="C1309" s="65"/>
      <c r="D1309" s="65"/>
      <c r="E1309" s="65" t="str">
        <v>---</v>
      </c>
      <c r="F1309" s="65"/>
      <c r="G1309" s="65"/>
      <c r="H1309" s="65"/>
      <c r="I1309" s="65"/>
      <c r="J1309" s="65"/>
      <c r="K1309" s="65" t="s">
        <v>1979</v>
      </c>
      <c r="L1309" s="65"/>
      <c r="M1309" s="65"/>
      <c r="N1309" s="65"/>
    </row>
    <row r="1310" spans="1:14" ht="12.75">
      <c r="A1310" s="65"/>
      <c r="B1310" s="65"/>
      <c r="C1310" s="65"/>
      <c r="D1310" s="65"/>
      <c r="E1310" s="65" t="str">
        <v>---</v>
      </c>
      <c r="F1310" s="65"/>
      <c r="G1310" s="65"/>
      <c r="H1310" s="65"/>
      <c r="I1310" s="65"/>
      <c r="J1310" s="65"/>
      <c r="K1310" s="65" t="s">
        <v>1980</v>
      </c>
      <c r="L1310" s="65"/>
      <c r="M1310" s="65"/>
      <c r="N1310" s="65"/>
    </row>
    <row r="1311" spans="1:14" ht="12.75">
      <c r="A1311" s="65"/>
      <c r="B1311" s="65"/>
      <c r="C1311" s="65"/>
      <c r="D1311" s="65"/>
      <c r="E1311" s="65" t="str">
        <v>---</v>
      </c>
      <c r="F1311" s="65"/>
      <c r="G1311" s="65"/>
      <c r="H1311" s="65"/>
      <c r="I1311" s="65"/>
      <c r="J1311" s="65"/>
      <c r="K1311" s="65" t="s">
        <v>1981</v>
      </c>
      <c r="L1311" s="65"/>
      <c r="M1311" s="65"/>
      <c r="N1311" s="65"/>
    </row>
    <row r="1312" spans="1:14" ht="12.75">
      <c r="A1312" s="65"/>
      <c r="B1312" s="65"/>
      <c r="C1312" s="65"/>
      <c r="D1312" s="65"/>
      <c r="E1312" s="65" t="str">
        <v>---</v>
      </c>
      <c r="F1312" s="65"/>
      <c r="G1312" s="65"/>
      <c r="H1312" s="65"/>
      <c r="I1312" s="65"/>
      <c r="J1312" s="65"/>
      <c r="K1312" s="65" t="s">
        <v>1982</v>
      </c>
      <c r="L1312" s="65"/>
      <c r="M1312" s="65"/>
      <c r="N1312" s="65"/>
    </row>
    <row r="1313" spans="1:14" ht="12.75">
      <c r="A1313" s="65"/>
      <c r="B1313" s="65"/>
      <c r="C1313" s="65"/>
      <c r="D1313" s="65"/>
      <c r="E1313" s="65" t="str">
        <v>---</v>
      </c>
      <c r="F1313" s="65"/>
      <c r="G1313" s="65"/>
      <c r="H1313" s="65"/>
      <c r="I1313" s="65"/>
      <c r="J1313" s="65"/>
      <c r="K1313" s="65" t="s">
        <v>1983</v>
      </c>
      <c r="L1313" s="65"/>
      <c r="M1313" s="65"/>
      <c r="N1313" s="65"/>
    </row>
    <row r="1314" spans="1:14" ht="12.75">
      <c r="A1314" s="65"/>
      <c r="B1314" s="65"/>
      <c r="C1314" s="65"/>
      <c r="D1314" s="65"/>
      <c r="E1314" s="65" t="str">
        <v>---</v>
      </c>
      <c r="F1314" s="65"/>
      <c r="G1314" s="65"/>
      <c r="H1314" s="65"/>
      <c r="I1314" s="65"/>
      <c r="J1314" s="65"/>
      <c r="K1314" s="65" t="s">
        <v>1984</v>
      </c>
      <c r="L1314" s="65"/>
      <c r="M1314" s="65"/>
      <c r="N1314" s="65"/>
    </row>
    <row r="1315" spans="1:14" ht="12.75">
      <c r="A1315" s="65"/>
      <c r="B1315" s="65"/>
      <c r="C1315" s="65"/>
      <c r="D1315" s="65"/>
      <c r="E1315" s="65" t="str">
        <v>---</v>
      </c>
      <c r="F1315" s="65"/>
      <c r="G1315" s="65"/>
      <c r="H1315" s="65"/>
      <c r="I1315" s="65"/>
      <c r="J1315" s="65"/>
      <c r="K1315" s="65" t="s">
        <v>1985</v>
      </c>
      <c r="L1315" s="65"/>
      <c r="M1315" s="65"/>
      <c r="N1315" s="65"/>
    </row>
    <row r="1316" spans="1:14" ht="12.75">
      <c r="A1316" s="65"/>
      <c r="B1316" s="65"/>
      <c r="C1316" s="65"/>
      <c r="D1316" s="65"/>
      <c r="E1316" s="65" t="str">
        <v>---</v>
      </c>
      <c r="F1316" s="65"/>
      <c r="G1316" s="65"/>
      <c r="H1316" s="65"/>
      <c r="I1316" s="65"/>
      <c r="J1316" s="65"/>
      <c r="K1316" s="65" t="s">
        <v>1986</v>
      </c>
      <c r="L1316" s="65"/>
      <c r="M1316" s="65"/>
      <c r="N1316" s="65"/>
    </row>
    <row r="1317" spans="1:14" ht="12.75">
      <c r="A1317" s="65"/>
      <c r="B1317" s="65"/>
      <c r="C1317" s="65"/>
      <c r="D1317" s="65"/>
      <c r="E1317" s="65" t="str">
        <v>---</v>
      </c>
      <c r="F1317" s="65"/>
      <c r="G1317" s="65"/>
      <c r="H1317" s="65"/>
      <c r="I1317" s="65"/>
      <c r="J1317" s="65"/>
      <c r="K1317" s="65" t="s">
        <v>1987</v>
      </c>
      <c r="L1317" s="65"/>
      <c r="M1317" s="65"/>
      <c r="N1317" s="65"/>
    </row>
    <row r="1318" spans="1:14" ht="12.75">
      <c r="A1318" s="65"/>
      <c r="B1318" s="65"/>
      <c r="C1318" s="65"/>
      <c r="D1318" s="65"/>
      <c r="E1318" s="65" t="str">
        <v>---</v>
      </c>
      <c r="F1318" s="65"/>
      <c r="G1318" s="65"/>
      <c r="H1318" s="65"/>
      <c r="I1318" s="65"/>
      <c r="J1318" s="65"/>
      <c r="K1318" s="65" t="s">
        <v>1988</v>
      </c>
      <c r="L1318" s="65"/>
      <c r="M1318" s="65"/>
      <c r="N1318" s="65"/>
    </row>
    <row r="1319" spans="1:14" ht="12.75">
      <c r="A1319" s="65"/>
      <c r="B1319" s="65"/>
      <c r="C1319" s="65"/>
      <c r="D1319" s="65"/>
      <c r="E1319" s="65" t="str">
        <v>---</v>
      </c>
      <c r="F1319" s="65"/>
      <c r="G1319" s="65"/>
      <c r="H1319" s="65"/>
      <c r="I1319" s="65"/>
      <c r="J1319" s="65"/>
      <c r="K1319" s="65" t="s">
        <v>1989</v>
      </c>
      <c r="L1319" s="65"/>
      <c r="M1319" s="65"/>
      <c r="N1319" s="65"/>
    </row>
    <row r="1320" spans="1:14" ht="12.75">
      <c r="A1320" s="65"/>
      <c r="B1320" s="65"/>
      <c r="C1320" s="65"/>
      <c r="D1320" s="65"/>
      <c r="E1320" s="65" t="str">
        <v>---</v>
      </c>
      <c r="F1320" s="65"/>
      <c r="G1320" s="65"/>
      <c r="H1320" s="65"/>
      <c r="I1320" s="65"/>
      <c r="J1320" s="65"/>
      <c r="K1320" s="65" t="s">
        <v>1990</v>
      </c>
      <c r="L1320" s="65"/>
      <c r="M1320" s="65"/>
      <c r="N1320" s="65"/>
    </row>
    <row r="1321" spans="1:14" ht="12.75">
      <c r="A1321" s="65"/>
      <c r="B1321" s="65"/>
      <c r="C1321" s="65"/>
      <c r="D1321" s="65"/>
      <c r="E1321" s="65" t="str">
        <v>---</v>
      </c>
      <c r="F1321" s="65"/>
      <c r="G1321" s="65"/>
      <c r="H1321" s="65"/>
      <c r="I1321" s="65"/>
      <c r="J1321" s="65"/>
      <c r="K1321" s="65" t="s">
        <v>1991</v>
      </c>
      <c r="L1321" s="65"/>
      <c r="M1321" s="65"/>
      <c r="N1321" s="65"/>
    </row>
    <row r="1322" spans="1:14" ht="12.75">
      <c r="A1322" s="65"/>
      <c r="B1322" s="65"/>
      <c r="C1322" s="65"/>
      <c r="D1322" s="65"/>
      <c r="E1322" s="65" t="str">
        <v>---</v>
      </c>
      <c r="F1322" s="65"/>
      <c r="G1322" s="65"/>
      <c r="H1322" s="65"/>
      <c r="I1322" s="65"/>
      <c r="J1322" s="65"/>
      <c r="K1322" s="65" t="s">
        <v>1992</v>
      </c>
      <c r="L1322" s="65"/>
      <c r="M1322" s="65"/>
      <c r="N1322" s="65"/>
    </row>
    <row r="1323" spans="1:14" ht="12.75">
      <c r="A1323" s="65"/>
      <c r="B1323" s="65"/>
      <c r="C1323" s="65"/>
      <c r="D1323" s="65"/>
      <c r="E1323" s="65" t="str">
        <v>---</v>
      </c>
      <c r="F1323" s="65"/>
      <c r="G1323" s="65"/>
      <c r="H1323" s="65"/>
      <c r="I1323" s="65"/>
      <c r="J1323" s="65"/>
      <c r="K1323" s="65" t="s">
        <v>1993</v>
      </c>
      <c r="L1323" s="65"/>
      <c r="M1323" s="65"/>
      <c r="N1323" s="65"/>
    </row>
    <row r="1324" spans="1:14" ht="12.75">
      <c r="A1324" s="65"/>
      <c r="B1324" s="65"/>
      <c r="C1324" s="65"/>
      <c r="D1324" s="65"/>
      <c r="E1324" s="65" t="str">
        <v>---</v>
      </c>
      <c r="F1324" s="65"/>
      <c r="G1324" s="65"/>
      <c r="H1324" s="65"/>
      <c r="I1324" s="65"/>
      <c r="J1324" s="65"/>
      <c r="K1324" s="65" t="s">
        <v>1994</v>
      </c>
      <c r="L1324" s="65"/>
      <c r="M1324" s="65"/>
      <c r="N1324" s="65"/>
    </row>
    <row r="1325" spans="1:14" ht="12.75">
      <c r="A1325" s="65"/>
      <c r="B1325" s="65"/>
      <c r="C1325" s="65"/>
      <c r="D1325" s="65"/>
      <c r="E1325" s="65" t="str">
        <v>---</v>
      </c>
      <c r="F1325" s="65"/>
      <c r="G1325" s="65"/>
      <c r="H1325" s="65"/>
      <c r="I1325" s="65"/>
      <c r="J1325" s="65"/>
      <c r="K1325" s="65" t="s">
        <v>1995</v>
      </c>
      <c r="L1325" s="65"/>
      <c r="M1325" s="65"/>
      <c r="N1325" s="65"/>
    </row>
    <row r="1326" spans="1:14" ht="12.75">
      <c r="A1326" s="65"/>
      <c r="B1326" s="65"/>
      <c r="C1326" s="65"/>
      <c r="D1326" s="65"/>
      <c r="E1326" s="65" t="str">
        <v>---</v>
      </c>
      <c r="F1326" s="65"/>
      <c r="G1326" s="65"/>
      <c r="H1326" s="65"/>
      <c r="I1326" s="65"/>
      <c r="J1326" s="65"/>
      <c r="K1326" s="65" t="s">
        <v>1996</v>
      </c>
      <c r="L1326" s="65"/>
      <c r="M1326" s="65"/>
      <c r="N1326" s="65"/>
    </row>
    <row r="1327" spans="1:14" ht="12.75">
      <c r="A1327" s="65"/>
      <c r="B1327" s="65"/>
      <c r="C1327" s="65"/>
      <c r="D1327" s="65"/>
      <c r="E1327" s="65" t="str">
        <v>---</v>
      </c>
      <c r="F1327" s="65"/>
      <c r="G1327" s="65"/>
      <c r="H1327" s="65"/>
      <c r="I1327" s="65"/>
      <c r="J1327" s="65"/>
      <c r="K1327" s="65" t="s">
        <v>1997</v>
      </c>
      <c r="L1327" s="65"/>
      <c r="M1327" s="65"/>
      <c r="N1327" s="65"/>
    </row>
    <row r="1328" spans="1:14" ht="12.75">
      <c r="A1328" s="65"/>
      <c r="B1328" s="65"/>
      <c r="C1328" s="65"/>
      <c r="D1328" s="65"/>
      <c r="E1328" s="65" t="str">
        <v>---</v>
      </c>
      <c r="F1328" s="65"/>
      <c r="G1328" s="65"/>
      <c r="H1328" s="65"/>
      <c r="I1328" s="65"/>
      <c r="J1328" s="65"/>
      <c r="K1328" s="65" t="s">
        <v>1998</v>
      </c>
      <c r="L1328" s="65"/>
      <c r="M1328" s="65"/>
      <c r="N1328" s="65"/>
    </row>
    <row r="1329" spans="1:14" ht="12.75">
      <c r="A1329" s="65"/>
      <c r="B1329" s="65"/>
      <c r="C1329" s="65"/>
      <c r="D1329" s="65"/>
      <c r="E1329" s="65" t="str">
        <v>---</v>
      </c>
      <c r="F1329" s="65"/>
      <c r="G1329" s="65"/>
      <c r="H1329" s="65"/>
      <c r="I1329" s="65"/>
      <c r="J1329" s="65"/>
      <c r="K1329" s="65" t="s">
        <v>1999</v>
      </c>
      <c r="L1329" s="65"/>
      <c r="M1329" s="65"/>
      <c r="N1329" s="65"/>
    </row>
    <row r="1330" spans="1:14" ht="12.75">
      <c r="A1330" s="65"/>
      <c r="B1330" s="65"/>
      <c r="C1330" s="65"/>
      <c r="D1330" s="65"/>
      <c r="E1330" s="65" t="str">
        <v>---</v>
      </c>
      <c r="F1330" s="65"/>
      <c r="G1330" s="65"/>
      <c r="H1330" s="65"/>
      <c r="I1330" s="65"/>
      <c r="J1330" s="65"/>
      <c r="K1330" s="65" t="s">
        <v>2000</v>
      </c>
      <c r="L1330" s="65"/>
      <c r="M1330" s="65"/>
      <c r="N1330" s="65"/>
    </row>
    <row r="1331" spans="1:14" ht="12.75">
      <c r="A1331" s="65"/>
      <c r="B1331" s="65"/>
      <c r="C1331" s="65"/>
      <c r="D1331" s="65"/>
      <c r="E1331" s="65" t="str">
        <v>---</v>
      </c>
      <c r="F1331" s="65"/>
      <c r="G1331" s="65"/>
      <c r="H1331" s="65"/>
      <c r="I1331" s="65"/>
      <c r="J1331" s="65"/>
      <c r="K1331" s="65" t="s">
        <v>2001</v>
      </c>
      <c r="L1331" s="65"/>
      <c r="M1331" s="65"/>
      <c r="N1331" s="65"/>
    </row>
    <row r="1332" spans="1:14" ht="12.75">
      <c r="A1332" s="65"/>
      <c r="B1332" s="65"/>
      <c r="C1332" s="65"/>
      <c r="D1332" s="65"/>
      <c r="E1332" s="65" t="str">
        <v>---</v>
      </c>
      <c r="F1332" s="65"/>
      <c r="G1332" s="65"/>
      <c r="H1332" s="65"/>
      <c r="I1332" s="65"/>
      <c r="J1332" s="65"/>
      <c r="K1332" s="65" t="s">
        <v>2002</v>
      </c>
      <c r="L1332" s="65"/>
      <c r="M1332" s="65"/>
      <c r="N1332" s="65"/>
    </row>
    <row r="1333" spans="1:14" ht="12.75">
      <c r="A1333" s="65"/>
      <c r="B1333" s="65"/>
      <c r="C1333" s="65"/>
      <c r="D1333" s="65"/>
      <c r="E1333" s="65" t="str">
        <v>---</v>
      </c>
      <c r="F1333" s="65"/>
      <c r="G1333" s="65"/>
      <c r="H1333" s="65"/>
      <c r="I1333" s="65"/>
      <c r="J1333" s="65"/>
      <c r="K1333" s="65" t="s">
        <v>2003</v>
      </c>
      <c r="L1333" s="65"/>
      <c r="M1333" s="65"/>
      <c r="N1333" s="65"/>
    </row>
    <row r="1334" spans="1:14" ht="12.75">
      <c r="A1334" s="65"/>
      <c r="B1334" s="65"/>
      <c r="C1334" s="65"/>
      <c r="D1334" s="65"/>
      <c r="E1334" s="65" t="str">
        <v>---</v>
      </c>
      <c r="F1334" s="65"/>
      <c r="G1334" s="65"/>
      <c r="H1334" s="65"/>
      <c r="I1334" s="65"/>
      <c r="J1334" s="65"/>
      <c r="K1334" s="65" t="s">
        <v>2004</v>
      </c>
      <c r="L1334" s="65"/>
      <c r="M1334" s="65"/>
      <c r="N1334" s="65"/>
    </row>
    <row r="1335" spans="1:14" ht="12.75">
      <c r="A1335" s="65"/>
      <c r="B1335" s="65"/>
      <c r="C1335" s="65"/>
      <c r="D1335" s="65"/>
      <c r="E1335" s="65" t="str">
        <v>---</v>
      </c>
      <c r="F1335" s="65"/>
      <c r="G1335" s="65"/>
      <c r="H1335" s="65"/>
      <c r="I1335" s="65"/>
      <c r="J1335" s="65"/>
      <c r="K1335" s="65" t="s">
        <v>2005</v>
      </c>
      <c r="L1335" s="65"/>
      <c r="M1335" s="65"/>
      <c r="N1335" s="65"/>
    </row>
    <row r="1336" spans="1:14" ht="12.75">
      <c r="A1336" s="65"/>
      <c r="B1336" s="65"/>
      <c r="C1336" s="65"/>
      <c r="D1336" s="65"/>
      <c r="E1336" s="65" t="str">
        <v>---</v>
      </c>
      <c r="F1336" s="65"/>
      <c r="G1336" s="65"/>
      <c r="H1336" s="65"/>
      <c r="I1336" s="65"/>
      <c r="J1336" s="65"/>
      <c r="K1336" s="65" t="s">
        <v>2006</v>
      </c>
      <c r="L1336" s="65"/>
      <c r="M1336" s="65"/>
      <c r="N1336" s="65"/>
    </row>
    <row r="1337" spans="1:14" ht="12.75">
      <c r="A1337" s="65"/>
      <c r="B1337" s="65"/>
      <c r="C1337" s="65"/>
      <c r="D1337" s="65"/>
      <c r="E1337" s="65" t="str">
        <v>---</v>
      </c>
      <c r="F1337" s="65"/>
      <c r="G1337" s="65"/>
      <c r="H1337" s="65"/>
      <c r="I1337" s="65"/>
      <c r="J1337" s="65"/>
      <c r="K1337" s="65" t="s">
        <v>2007</v>
      </c>
      <c r="L1337" s="65"/>
      <c r="M1337" s="65"/>
      <c r="N1337" s="65"/>
    </row>
    <row r="1338" spans="1:14" ht="12.75">
      <c r="A1338" s="65"/>
      <c r="B1338" s="65"/>
      <c r="C1338" s="65"/>
      <c r="D1338" s="65"/>
      <c r="E1338" s="65" t="str">
        <v>---</v>
      </c>
      <c r="F1338" s="65"/>
      <c r="G1338" s="65"/>
      <c r="H1338" s="65"/>
      <c r="I1338" s="65"/>
      <c r="J1338" s="65"/>
      <c r="K1338" s="65" t="s">
        <v>2008</v>
      </c>
      <c r="L1338" s="65"/>
      <c r="M1338" s="65"/>
      <c r="N1338" s="65"/>
    </row>
    <row r="1339" spans="1:14" ht="12.75">
      <c r="A1339" s="65"/>
      <c r="B1339" s="65"/>
      <c r="C1339" s="65"/>
      <c r="D1339" s="65"/>
      <c r="E1339" s="65" t="str">
        <v>---</v>
      </c>
      <c r="F1339" s="65"/>
      <c r="G1339" s="65"/>
      <c r="H1339" s="65"/>
      <c r="I1339" s="65"/>
      <c r="J1339" s="65"/>
      <c r="K1339" s="65" t="s">
        <v>2009</v>
      </c>
      <c r="L1339" s="65"/>
      <c r="M1339" s="65"/>
      <c r="N1339" s="65"/>
    </row>
    <row r="1340" spans="1:14" ht="12.75">
      <c r="A1340" s="65"/>
      <c r="B1340" s="65"/>
      <c r="C1340" s="65"/>
      <c r="D1340" s="65"/>
      <c r="E1340" s="65" t="str">
        <v>---</v>
      </c>
      <c r="F1340" s="65"/>
      <c r="G1340" s="65"/>
      <c r="H1340" s="65"/>
      <c r="I1340" s="65"/>
      <c r="J1340" s="65"/>
      <c r="K1340" s="65" t="s">
        <v>2010</v>
      </c>
      <c r="L1340" s="65"/>
      <c r="M1340" s="65"/>
      <c r="N1340" s="65"/>
    </row>
    <row r="1341" spans="1:14" ht="12.75">
      <c r="A1341" s="65"/>
      <c r="B1341" s="65"/>
      <c r="C1341" s="65"/>
      <c r="D1341" s="65"/>
      <c r="E1341" s="65" t="str">
        <v>---</v>
      </c>
      <c r="F1341" s="65"/>
      <c r="G1341" s="65"/>
      <c r="H1341" s="65"/>
      <c r="I1341" s="65"/>
      <c r="J1341" s="65"/>
      <c r="K1341" s="65" t="s">
        <v>2011</v>
      </c>
      <c r="L1341" s="65"/>
      <c r="M1341" s="65"/>
      <c r="N1341" s="65"/>
    </row>
    <row r="1342" spans="1:14" ht="12.75">
      <c r="A1342" s="65"/>
      <c r="B1342" s="65"/>
      <c r="C1342" s="65"/>
      <c r="D1342" s="65"/>
      <c r="E1342" s="65" t="str">
        <v>---</v>
      </c>
      <c r="F1342" s="65"/>
      <c r="G1342" s="65"/>
      <c r="H1342" s="65"/>
      <c r="I1342" s="65"/>
      <c r="J1342" s="65"/>
      <c r="K1342" s="65" t="s">
        <v>2012</v>
      </c>
      <c r="L1342" s="65"/>
      <c r="M1342" s="65"/>
      <c r="N1342" s="65"/>
    </row>
    <row r="1343" spans="1:14" ht="12.75">
      <c r="A1343" s="65"/>
      <c r="B1343" s="65"/>
      <c r="C1343" s="65"/>
      <c r="D1343" s="65"/>
      <c r="E1343" s="65" t="str">
        <v>---</v>
      </c>
      <c r="F1343" s="65"/>
      <c r="G1343" s="65"/>
      <c r="H1343" s="65"/>
      <c r="I1343" s="65"/>
      <c r="J1343" s="65"/>
      <c r="K1343" s="65" t="s">
        <v>2013</v>
      </c>
      <c r="L1343" s="65"/>
      <c r="M1343" s="65"/>
      <c r="N1343" s="65"/>
    </row>
    <row r="1344" spans="1:14" ht="12.75">
      <c r="A1344" s="65"/>
      <c r="B1344" s="65"/>
      <c r="C1344" s="65"/>
      <c r="D1344" s="65"/>
      <c r="E1344" s="65" t="str">
        <v>---</v>
      </c>
      <c r="F1344" s="65"/>
      <c r="G1344" s="65"/>
      <c r="H1344" s="65"/>
      <c r="I1344" s="65"/>
      <c r="J1344" s="65"/>
      <c r="K1344" s="65" t="s">
        <v>2014</v>
      </c>
      <c r="L1344" s="65"/>
      <c r="M1344" s="65"/>
      <c r="N1344" s="65"/>
    </row>
    <row r="1345" spans="1:14" ht="12.75">
      <c r="A1345" s="65"/>
      <c r="B1345" s="65"/>
      <c r="C1345" s="65"/>
      <c r="D1345" s="65"/>
      <c r="E1345" s="65" t="str">
        <v>---</v>
      </c>
      <c r="F1345" s="65"/>
      <c r="G1345" s="65"/>
      <c r="H1345" s="65"/>
      <c r="I1345" s="65"/>
      <c r="J1345" s="65"/>
      <c r="K1345" s="65" t="s">
        <v>2015</v>
      </c>
      <c r="L1345" s="65"/>
      <c r="M1345" s="65"/>
      <c r="N1345" s="65"/>
    </row>
    <row r="1346" spans="1:14" ht="12.75">
      <c r="A1346" s="65"/>
      <c r="B1346" s="65"/>
      <c r="C1346" s="65"/>
      <c r="D1346" s="65"/>
      <c r="E1346" s="65" t="str">
        <v>---</v>
      </c>
      <c r="F1346" s="65"/>
      <c r="G1346" s="65"/>
      <c r="H1346" s="65"/>
      <c r="I1346" s="65"/>
      <c r="J1346" s="65"/>
      <c r="K1346" s="65" t="s">
        <v>1693</v>
      </c>
      <c r="L1346" s="65"/>
      <c r="M1346" s="65"/>
      <c r="N1346" s="65"/>
    </row>
    <row r="1347" spans="1:14" ht="12.75">
      <c r="A1347" s="65"/>
      <c r="B1347" s="65"/>
      <c r="C1347" s="65"/>
      <c r="D1347" s="65"/>
      <c r="E1347" s="65" t="str">
        <v>---</v>
      </c>
      <c r="F1347" s="65"/>
      <c r="G1347" s="65"/>
      <c r="H1347" s="65"/>
      <c r="I1347" s="65"/>
      <c r="J1347" s="65"/>
      <c r="K1347" s="65" t="s">
        <v>1694</v>
      </c>
      <c r="L1347" s="65"/>
      <c r="M1347" s="65"/>
      <c r="N1347" s="65"/>
    </row>
    <row r="1348" spans="1:14" ht="12.75">
      <c r="A1348" s="65"/>
      <c r="B1348" s="65"/>
      <c r="C1348" s="65"/>
      <c r="D1348" s="65"/>
      <c r="E1348" s="65" t="str">
        <v>---</v>
      </c>
      <c r="F1348" s="65"/>
      <c r="G1348" s="65"/>
      <c r="H1348" s="65"/>
      <c r="I1348" s="65"/>
      <c r="J1348" s="65"/>
      <c r="K1348" s="65" t="s">
        <v>1695</v>
      </c>
      <c r="L1348" s="65"/>
      <c r="M1348" s="65"/>
      <c r="N1348" s="65"/>
    </row>
    <row r="1349" spans="1:14" ht="12.75">
      <c r="A1349" s="65"/>
      <c r="B1349" s="65"/>
      <c r="C1349" s="65"/>
      <c r="D1349" s="65"/>
      <c r="E1349" s="65" t="str">
        <v>---</v>
      </c>
      <c r="F1349" s="65"/>
      <c r="G1349" s="65"/>
      <c r="H1349" s="65"/>
      <c r="I1349" s="65"/>
      <c r="J1349" s="65"/>
      <c r="K1349" s="65" t="s">
        <v>1696</v>
      </c>
      <c r="L1349" s="65"/>
      <c r="M1349" s="65"/>
      <c r="N1349" s="65"/>
    </row>
    <row r="1350" spans="1:14" ht="12.75">
      <c r="A1350" s="65"/>
      <c r="B1350" s="65"/>
      <c r="C1350" s="65"/>
      <c r="D1350" s="65"/>
      <c r="E1350" s="65" t="str">
        <v>---</v>
      </c>
      <c r="F1350" s="65"/>
      <c r="G1350" s="65"/>
      <c r="H1350" s="65"/>
      <c r="I1350" s="65"/>
      <c r="J1350" s="65"/>
      <c r="K1350" s="65" t="s">
        <v>1697</v>
      </c>
      <c r="L1350" s="65"/>
      <c r="M1350" s="65"/>
      <c r="N1350" s="65"/>
    </row>
    <row r="1351" spans="1:14" ht="12.75">
      <c r="A1351" s="65"/>
      <c r="B1351" s="65"/>
      <c r="C1351" s="65"/>
      <c r="D1351" s="65"/>
      <c r="E1351" s="65" t="str">
        <v>---</v>
      </c>
      <c r="F1351" s="65"/>
      <c r="G1351" s="65"/>
      <c r="H1351" s="65"/>
      <c r="I1351" s="65"/>
      <c r="J1351" s="65"/>
      <c r="K1351" s="65" t="s">
        <v>1698</v>
      </c>
      <c r="L1351" s="65"/>
      <c r="M1351" s="65"/>
      <c r="N1351" s="65"/>
    </row>
    <row r="1352" spans="1:14" ht="12.75">
      <c r="A1352" s="65"/>
      <c r="B1352" s="65"/>
      <c r="C1352" s="65"/>
      <c r="D1352" s="65"/>
      <c r="E1352" s="65" t="str">
        <v>---</v>
      </c>
      <c r="F1352" s="65"/>
      <c r="G1352" s="65"/>
      <c r="H1352" s="65"/>
      <c r="I1352" s="65"/>
      <c r="J1352" s="65"/>
      <c r="K1352" s="65" t="s">
        <v>1700</v>
      </c>
      <c r="L1352" s="65"/>
      <c r="M1352" s="65"/>
      <c r="N1352" s="65"/>
    </row>
    <row r="1353" spans="1:14" ht="12.75">
      <c r="A1353" s="65"/>
      <c r="B1353" s="65"/>
      <c r="C1353" s="65"/>
      <c r="D1353" s="65"/>
      <c r="E1353" s="65" t="str">
        <v>---</v>
      </c>
      <c r="F1353" s="65"/>
      <c r="G1353" s="65"/>
      <c r="H1353" s="65"/>
      <c r="I1353" s="65"/>
      <c r="J1353" s="65"/>
      <c r="K1353" s="65" t="s">
        <v>1701</v>
      </c>
      <c r="L1353" s="65"/>
      <c r="M1353" s="65"/>
      <c r="N1353" s="65"/>
    </row>
    <row r="1354" spans="1:14" ht="12.75">
      <c r="A1354" s="65"/>
      <c r="B1354" s="65"/>
      <c r="C1354" s="65"/>
      <c r="D1354" s="65"/>
      <c r="E1354" s="65" t="str">
        <v>---</v>
      </c>
      <c r="F1354" s="65"/>
      <c r="G1354" s="65"/>
      <c r="H1354" s="65"/>
      <c r="I1354" s="65"/>
      <c r="J1354" s="65"/>
      <c r="K1354" s="65" t="s">
        <v>1702</v>
      </c>
      <c r="L1354" s="65"/>
      <c r="M1354" s="65"/>
      <c r="N1354" s="65"/>
    </row>
    <row r="1355" spans="1:14" ht="12.75">
      <c r="A1355" s="65"/>
      <c r="B1355" s="65"/>
      <c r="C1355" s="65"/>
      <c r="D1355" s="65"/>
      <c r="E1355" s="65" t="str">
        <v>---</v>
      </c>
      <c r="F1355" s="65"/>
      <c r="G1355" s="65"/>
      <c r="H1355" s="65"/>
      <c r="I1355" s="65"/>
      <c r="J1355" s="65"/>
      <c r="K1355" s="65" t="s">
        <v>1703</v>
      </c>
      <c r="L1355" s="65"/>
      <c r="M1355" s="65"/>
      <c r="N1355" s="65"/>
    </row>
    <row r="1356" spans="1:14" ht="12.75">
      <c r="A1356" s="65"/>
      <c r="B1356" s="65"/>
      <c r="C1356" s="65"/>
      <c r="D1356" s="65"/>
      <c r="E1356" s="65" t="str">
        <v>---</v>
      </c>
      <c r="F1356" s="65"/>
      <c r="G1356" s="65"/>
      <c r="H1356" s="65"/>
      <c r="I1356" s="65"/>
      <c r="J1356" s="65"/>
      <c r="K1356" s="65" t="s">
        <v>1704</v>
      </c>
      <c r="L1356" s="65"/>
      <c r="M1356" s="65"/>
      <c r="N1356" s="65"/>
    </row>
    <row r="1357" spans="1:14" ht="12.75">
      <c r="A1357" s="65"/>
      <c r="B1357" s="65"/>
      <c r="C1357" s="65"/>
      <c r="D1357" s="65"/>
      <c r="E1357" s="65" t="str">
        <v>---</v>
      </c>
      <c r="F1357" s="65"/>
      <c r="G1357" s="65"/>
      <c r="H1357" s="65"/>
      <c r="I1357" s="65"/>
      <c r="J1357" s="65"/>
      <c r="K1357" s="65" t="s">
        <v>1705</v>
      </c>
      <c r="L1357" s="65"/>
      <c r="M1357" s="65"/>
      <c r="N1357" s="65"/>
    </row>
    <row r="1358" spans="1:14" ht="12.75">
      <c r="A1358" s="65"/>
      <c r="B1358" s="65"/>
      <c r="C1358" s="65"/>
      <c r="D1358" s="65"/>
      <c r="E1358" s="65" t="str">
        <v>---</v>
      </c>
      <c r="F1358" s="65"/>
      <c r="G1358" s="65"/>
      <c r="H1358" s="65"/>
      <c r="I1358" s="65"/>
      <c r="J1358" s="65"/>
      <c r="K1358" s="65" t="s">
        <v>1706</v>
      </c>
      <c r="L1358" s="65"/>
      <c r="M1358" s="65"/>
      <c r="N1358" s="65"/>
    </row>
    <row r="1359" spans="1:14" ht="12.75">
      <c r="A1359" s="65"/>
      <c r="B1359" s="65"/>
      <c r="C1359" s="65"/>
      <c r="D1359" s="65"/>
      <c r="E1359" s="65" t="str">
        <v>---</v>
      </c>
      <c r="F1359" s="65"/>
      <c r="G1359" s="65"/>
      <c r="H1359" s="65"/>
      <c r="I1359" s="65"/>
      <c r="J1359" s="65"/>
      <c r="K1359" s="65" t="s">
        <v>1707</v>
      </c>
      <c r="L1359" s="65"/>
      <c r="M1359" s="65"/>
      <c r="N1359" s="65"/>
    </row>
    <row r="1360" spans="1:14" ht="12.75">
      <c r="A1360" s="65"/>
      <c r="B1360" s="65"/>
      <c r="C1360" s="65"/>
      <c r="D1360" s="65"/>
      <c r="E1360" s="65" t="str">
        <v>---</v>
      </c>
      <c r="F1360" s="65"/>
      <c r="G1360" s="65"/>
      <c r="H1360" s="65"/>
      <c r="I1360" s="65"/>
      <c r="J1360" s="65"/>
      <c r="K1360" s="65" t="s">
        <v>1708</v>
      </c>
      <c r="L1360" s="65"/>
      <c r="M1360" s="65"/>
      <c r="N1360" s="65"/>
    </row>
    <row r="1361" spans="1:14" ht="12.75">
      <c r="A1361" s="65"/>
      <c r="B1361" s="65"/>
      <c r="C1361" s="65"/>
      <c r="D1361" s="65"/>
      <c r="E1361" s="65" t="str">
        <v>---</v>
      </c>
      <c r="F1361" s="65"/>
      <c r="G1361" s="65"/>
      <c r="H1361" s="65"/>
      <c r="I1361" s="65"/>
      <c r="J1361" s="65"/>
      <c r="K1361" s="65" t="s">
        <v>1709</v>
      </c>
      <c r="L1361" s="65"/>
      <c r="M1361" s="65"/>
      <c r="N1361" s="65"/>
    </row>
    <row r="1362" spans="1:14" ht="12.75">
      <c r="A1362" s="65"/>
      <c r="B1362" s="65"/>
      <c r="C1362" s="65"/>
      <c r="D1362" s="65"/>
      <c r="E1362" s="65" t="str">
        <v>---</v>
      </c>
      <c r="F1362" s="65"/>
      <c r="G1362" s="65"/>
      <c r="H1362" s="65"/>
      <c r="I1362" s="65"/>
      <c r="J1362" s="65"/>
      <c r="K1362" s="65" t="s">
        <v>1710</v>
      </c>
      <c r="L1362" s="65"/>
      <c r="M1362" s="65"/>
      <c r="N1362" s="65"/>
    </row>
    <row r="1363" spans="1:14" ht="12.75">
      <c r="A1363" s="65"/>
      <c r="B1363" s="65"/>
      <c r="C1363" s="65"/>
      <c r="D1363" s="65"/>
      <c r="E1363" s="65" t="str">
        <v>---</v>
      </c>
      <c r="F1363" s="65"/>
      <c r="G1363" s="65"/>
      <c r="H1363" s="65"/>
      <c r="I1363" s="65"/>
      <c r="J1363" s="65"/>
      <c r="K1363" s="65" t="s">
        <v>1711</v>
      </c>
      <c r="L1363" s="65"/>
      <c r="M1363" s="65"/>
      <c r="N1363" s="65"/>
    </row>
    <row r="1364" spans="1:14" ht="12.75">
      <c r="A1364" s="65"/>
      <c r="B1364" s="65"/>
      <c r="C1364" s="65"/>
      <c r="D1364" s="65"/>
      <c r="E1364" s="65" t="str">
        <v>---</v>
      </c>
      <c r="F1364" s="65"/>
      <c r="G1364" s="65"/>
      <c r="H1364" s="65"/>
      <c r="I1364" s="65"/>
      <c r="J1364" s="65"/>
      <c r="K1364" s="65" t="s">
        <v>1712</v>
      </c>
      <c r="L1364" s="65"/>
      <c r="M1364" s="65"/>
      <c r="N1364" s="65"/>
    </row>
    <row r="1365" spans="1:14" ht="12.75">
      <c r="A1365" s="65"/>
      <c r="B1365" s="65"/>
      <c r="C1365" s="65"/>
      <c r="D1365" s="65"/>
      <c r="E1365" s="65" t="str">
        <v>---</v>
      </c>
      <c r="F1365" s="65"/>
      <c r="G1365" s="65"/>
      <c r="H1365" s="65"/>
      <c r="I1365" s="65"/>
      <c r="J1365" s="65"/>
      <c r="K1365" s="65" t="s">
        <v>1713</v>
      </c>
      <c r="L1365" s="65"/>
      <c r="M1365" s="65"/>
      <c r="N1365" s="65"/>
    </row>
    <row r="1366" spans="1:14" ht="12.75">
      <c r="A1366" s="65"/>
      <c r="B1366" s="65"/>
      <c r="C1366" s="65"/>
      <c r="D1366" s="65"/>
      <c r="E1366" s="65" t="str">
        <v>---</v>
      </c>
      <c r="F1366" s="65"/>
      <c r="G1366" s="65"/>
      <c r="H1366" s="65"/>
      <c r="I1366" s="65"/>
      <c r="J1366" s="65"/>
      <c r="K1366" s="65" t="s">
        <v>1714</v>
      </c>
      <c r="L1366" s="65"/>
      <c r="M1366" s="65"/>
      <c r="N1366" s="65"/>
    </row>
    <row r="1367" spans="1:14" ht="12.75">
      <c r="A1367" s="65"/>
      <c r="B1367" s="65"/>
      <c r="C1367" s="65"/>
      <c r="D1367" s="65"/>
      <c r="E1367" s="65" t="str">
        <v>---</v>
      </c>
      <c r="F1367" s="65"/>
      <c r="G1367" s="65"/>
      <c r="H1367" s="65"/>
      <c r="I1367" s="65"/>
      <c r="J1367" s="65"/>
      <c r="K1367" s="65" t="s">
        <v>1715</v>
      </c>
      <c r="L1367" s="65"/>
      <c r="M1367" s="65"/>
      <c r="N1367" s="65"/>
    </row>
    <row r="1368" spans="1:14" ht="12.75">
      <c r="A1368" s="65"/>
      <c r="B1368" s="65"/>
      <c r="C1368" s="65"/>
      <c r="D1368" s="65"/>
      <c r="E1368" s="65" t="str">
        <v>---</v>
      </c>
      <c r="F1368" s="65"/>
      <c r="G1368" s="65"/>
      <c r="H1368" s="65"/>
      <c r="I1368" s="65"/>
      <c r="J1368" s="65"/>
      <c r="K1368" s="65" t="s">
        <v>1716</v>
      </c>
      <c r="L1368" s="65"/>
      <c r="M1368" s="65"/>
      <c r="N1368" s="65"/>
    </row>
    <row r="1369" spans="1:14" ht="12.75">
      <c r="A1369" s="65"/>
      <c r="B1369" s="65"/>
      <c r="C1369" s="65"/>
      <c r="D1369" s="65"/>
      <c r="E1369" s="65" t="str">
        <v>---</v>
      </c>
      <c r="F1369" s="65"/>
      <c r="G1369" s="65"/>
      <c r="H1369" s="65"/>
      <c r="I1369" s="65"/>
      <c r="J1369" s="65"/>
      <c r="K1369" s="65" t="s">
        <v>1717</v>
      </c>
      <c r="L1369" s="65"/>
      <c r="M1369" s="65"/>
      <c r="N1369" s="65"/>
    </row>
    <row r="1370" spans="1:14" ht="12.75">
      <c r="A1370" s="65"/>
      <c r="B1370" s="65"/>
      <c r="C1370" s="65"/>
      <c r="D1370" s="65"/>
      <c r="E1370" s="65" t="str">
        <v>---</v>
      </c>
      <c r="F1370" s="65"/>
      <c r="G1370" s="65"/>
      <c r="H1370" s="65"/>
      <c r="I1370" s="65"/>
      <c r="J1370" s="65"/>
      <c r="K1370" s="65" t="s">
        <v>1718</v>
      </c>
      <c r="L1370" s="65"/>
      <c r="M1370" s="65"/>
      <c r="N1370" s="65"/>
    </row>
    <row r="1371" spans="1:14" ht="12.75">
      <c r="A1371" s="65"/>
      <c r="B1371" s="65"/>
      <c r="C1371" s="65"/>
      <c r="D1371" s="65"/>
      <c r="E1371" s="65" t="str">
        <v>---</v>
      </c>
      <c r="F1371" s="65"/>
      <c r="G1371" s="65"/>
      <c r="H1371" s="65"/>
      <c r="I1371" s="65"/>
      <c r="J1371" s="65"/>
      <c r="K1371" s="65" t="s">
        <v>1719</v>
      </c>
      <c r="L1371" s="65"/>
      <c r="M1371" s="65"/>
      <c r="N1371" s="65"/>
    </row>
    <row r="1372" spans="1:14" ht="12.75">
      <c r="A1372" s="65"/>
      <c r="B1372" s="65"/>
      <c r="C1372" s="65"/>
      <c r="D1372" s="65"/>
      <c r="E1372" s="65" t="str">
        <v>---</v>
      </c>
      <c r="F1372" s="65"/>
      <c r="G1372" s="65"/>
      <c r="H1372" s="65"/>
      <c r="I1372" s="65"/>
      <c r="J1372" s="65"/>
      <c r="K1372" s="65" t="s">
        <v>1720</v>
      </c>
      <c r="L1372" s="65"/>
      <c r="M1372" s="65"/>
      <c r="N1372" s="65"/>
    </row>
    <row r="1373" spans="1:14" ht="12.75">
      <c r="A1373" s="65"/>
      <c r="B1373" s="65"/>
      <c r="C1373" s="65"/>
      <c r="D1373" s="65"/>
      <c r="E1373" s="65" t="str">
        <v>---</v>
      </c>
      <c r="F1373" s="65"/>
      <c r="G1373" s="65"/>
      <c r="H1373" s="65"/>
      <c r="I1373" s="65"/>
      <c r="J1373" s="65"/>
      <c r="K1373" s="65" t="s">
        <v>1721</v>
      </c>
      <c r="L1373" s="65"/>
      <c r="M1373" s="65"/>
      <c r="N1373" s="65"/>
    </row>
    <row r="1374" spans="1:14" ht="12.75">
      <c r="A1374" s="65"/>
      <c r="B1374" s="65"/>
      <c r="C1374" s="65"/>
      <c r="D1374" s="65"/>
      <c r="E1374" s="65" t="str">
        <v>---</v>
      </c>
      <c r="F1374" s="65"/>
      <c r="G1374" s="65"/>
      <c r="H1374" s="65"/>
      <c r="I1374" s="65"/>
      <c r="J1374" s="65"/>
      <c r="K1374" s="65" t="s">
        <v>1722</v>
      </c>
      <c r="L1374" s="65"/>
      <c r="M1374" s="65"/>
      <c r="N1374" s="65"/>
    </row>
    <row r="1375" spans="1:14" ht="12.75">
      <c r="A1375" s="65"/>
      <c r="B1375" s="65"/>
      <c r="C1375" s="65"/>
      <c r="D1375" s="65"/>
      <c r="E1375" s="65" t="str">
        <v>---</v>
      </c>
      <c r="F1375" s="65"/>
      <c r="G1375" s="65"/>
      <c r="H1375" s="65"/>
      <c r="I1375" s="65"/>
      <c r="J1375" s="65"/>
      <c r="K1375" s="65" t="s">
        <v>1723</v>
      </c>
      <c r="L1375" s="65"/>
      <c r="M1375" s="65"/>
      <c r="N1375" s="65"/>
    </row>
    <row r="1376" spans="1:14" ht="12.75">
      <c r="A1376" s="65"/>
      <c r="B1376" s="65"/>
      <c r="C1376" s="65"/>
      <c r="D1376" s="65"/>
      <c r="E1376" s="65" t="str">
        <v>---</v>
      </c>
      <c r="F1376" s="65"/>
      <c r="G1376" s="65"/>
      <c r="H1376" s="65"/>
      <c r="I1376" s="65"/>
      <c r="J1376" s="65"/>
      <c r="K1376" s="65" t="s">
        <v>1724</v>
      </c>
      <c r="L1376" s="65"/>
      <c r="M1376" s="65"/>
      <c r="N1376" s="65"/>
    </row>
    <row r="1377" spans="1:14" ht="12.75">
      <c r="A1377" s="65"/>
      <c r="B1377" s="65"/>
      <c r="C1377" s="65"/>
      <c r="D1377" s="65"/>
      <c r="E1377" s="65" t="str">
        <v>---</v>
      </c>
      <c r="F1377" s="65"/>
      <c r="G1377" s="65"/>
      <c r="H1377" s="65"/>
      <c r="I1377" s="65"/>
      <c r="J1377" s="65"/>
      <c r="K1377" s="65" t="s">
        <v>1725</v>
      </c>
      <c r="L1377" s="65"/>
      <c r="M1377" s="65"/>
      <c r="N1377" s="65"/>
    </row>
    <row r="1378" spans="1:14" ht="12.75">
      <c r="A1378" s="65"/>
      <c r="B1378" s="65"/>
      <c r="C1378" s="65"/>
      <c r="D1378" s="65"/>
      <c r="E1378" s="65" t="str">
        <v>---</v>
      </c>
      <c r="F1378" s="65"/>
      <c r="G1378" s="65"/>
      <c r="H1378" s="65"/>
      <c r="I1378" s="65"/>
      <c r="J1378" s="65"/>
      <c r="K1378" s="65" t="s">
        <v>1726</v>
      </c>
      <c r="L1378" s="65"/>
      <c r="M1378" s="65"/>
      <c r="N1378" s="65"/>
    </row>
    <row r="1379" spans="1:14" ht="12.75">
      <c r="A1379" s="65"/>
      <c r="B1379" s="65"/>
      <c r="C1379" s="65"/>
      <c r="D1379" s="65"/>
      <c r="E1379" s="65" t="str">
        <v>---</v>
      </c>
      <c r="F1379" s="65"/>
      <c r="G1379" s="65"/>
      <c r="H1379" s="65"/>
      <c r="I1379" s="65"/>
      <c r="J1379" s="65"/>
      <c r="K1379" s="65" t="s">
        <v>1727</v>
      </c>
      <c r="L1379" s="65"/>
      <c r="M1379" s="65"/>
      <c r="N1379" s="65"/>
    </row>
    <row r="1380" spans="1:14" ht="12.75">
      <c r="A1380" s="65"/>
      <c r="B1380" s="65"/>
      <c r="C1380" s="65"/>
      <c r="D1380" s="65"/>
      <c r="E1380" s="65" t="str">
        <v>---</v>
      </c>
      <c r="F1380" s="65"/>
      <c r="G1380" s="65"/>
      <c r="H1380" s="65"/>
      <c r="I1380" s="65"/>
      <c r="J1380" s="65"/>
      <c r="K1380" s="65" t="s">
        <v>1728</v>
      </c>
      <c r="L1380" s="65"/>
      <c r="M1380" s="65"/>
      <c r="N1380" s="65"/>
    </row>
    <row r="1381" spans="1:14" ht="12.75">
      <c r="A1381" s="65"/>
      <c r="B1381" s="65"/>
      <c r="C1381" s="65"/>
      <c r="D1381" s="65"/>
      <c r="E1381" s="65" t="str">
        <v>---</v>
      </c>
      <c r="F1381" s="65"/>
      <c r="G1381" s="65"/>
      <c r="H1381" s="65"/>
      <c r="I1381" s="65"/>
      <c r="J1381" s="65"/>
      <c r="K1381" s="65" t="s">
        <v>1729</v>
      </c>
      <c r="L1381" s="65"/>
      <c r="M1381" s="65"/>
      <c r="N1381" s="65"/>
    </row>
    <row r="1382" spans="1:14" ht="12.75">
      <c r="A1382" s="65"/>
      <c r="B1382" s="65"/>
      <c r="C1382" s="65"/>
      <c r="D1382" s="65"/>
      <c r="E1382" s="65" t="str">
        <v>---</v>
      </c>
      <c r="F1382" s="65"/>
      <c r="G1382" s="65"/>
      <c r="H1382" s="65"/>
      <c r="I1382" s="65"/>
      <c r="J1382" s="65"/>
      <c r="K1382" s="65" t="s">
        <v>1730</v>
      </c>
      <c r="L1382" s="65"/>
      <c r="M1382" s="65"/>
      <c r="N1382" s="65"/>
    </row>
    <row r="1383" spans="1:14" ht="12.75">
      <c r="A1383" s="65"/>
      <c r="B1383" s="65"/>
      <c r="C1383" s="65"/>
      <c r="D1383" s="65"/>
      <c r="E1383" s="65" t="str">
        <v>---</v>
      </c>
      <c r="F1383" s="65"/>
      <c r="G1383" s="65"/>
      <c r="H1383" s="65"/>
      <c r="I1383" s="65"/>
      <c r="J1383" s="65"/>
      <c r="K1383" s="65" t="s">
        <v>1731</v>
      </c>
      <c r="L1383" s="65"/>
      <c r="M1383" s="65"/>
      <c r="N1383" s="65"/>
    </row>
    <row r="1384" spans="1:14" ht="12.75">
      <c r="A1384" s="65"/>
      <c r="B1384" s="65"/>
      <c r="C1384" s="65"/>
      <c r="D1384" s="65"/>
      <c r="E1384" s="65" t="str">
        <v>---</v>
      </c>
      <c r="F1384" s="65"/>
      <c r="G1384" s="65"/>
      <c r="H1384" s="65"/>
      <c r="I1384" s="65"/>
      <c r="J1384" s="65"/>
      <c r="K1384" s="65" t="s">
        <v>1732</v>
      </c>
      <c r="L1384" s="65"/>
      <c r="M1384" s="65"/>
      <c r="N1384" s="65"/>
    </row>
    <row r="1385" spans="1:14" ht="12.75">
      <c r="A1385" s="65"/>
      <c r="B1385" s="65"/>
      <c r="C1385" s="65"/>
      <c r="D1385" s="65"/>
      <c r="E1385" s="65" t="str">
        <v>---</v>
      </c>
      <c r="F1385" s="65"/>
      <c r="G1385" s="65"/>
      <c r="H1385" s="65"/>
      <c r="I1385" s="65"/>
      <c r="J1385" s="65"/>
      <c r="K1385" s="65" t="s">
        <v>1733</v>
      </c>
      <c r="L1385" s="65"/>
      <c r="M1385" s="65"/>
      <c r="N1385" s="65"/>
    </row>
    <row r="1386" spans="1:14" ht="12.75">
      <c r="A1386" s="65"/>
      <c r="B1386" s="65"/>
      <c r="C1386" s="65"/>
      <c r="D1386" s="65"/>
      <c r="E1386" s="65" t="str">
        <v>---</v>
      </c>
      <c r="F1386" s="65"/>
      <c r="G1386" s="65"/>
      <c r="H1386" s="65"/>
      <c r="I1386" s="65"/>
      <c r="J1386" s="65"/>
      <c r="K1386" s="65" t="s">
        <v>1734</v>
      </c>
      <c r="L1386" s="65"/>
      <c r="M1386" s="65"/>
      <c r="N1386" s="65"/>
    </row>
    <row r="1387" spans="1:14" ht="12.75">
      <c r="A1387" s="65"/>
      <c r="B1387" s="65"/>
      <c r="C1387" s="65"/>
      <c r="D1387" s="65"/>
      <c r="E1387" s="65" t="str">
        <v>---</v>
      </c>
      <c r="F1387" s="65"/>
      <c r="G1387" s="65"/>
      <c r="H1387" s="65"/>
      <c r="I1387" s="65"/>
      <c r="J1387" s="65"/>
      <c r="K1387" s="65" t="s">
        <v>1735</v>
      </c>
      <c r="L1387" s="65"/>
      <c r="M1387" s="65"/>
      <c r="N1387" s="65"/>
    </row>
    <row r="1388" spans="1:14" ht="12.75">
      <c r="A1388" s="65"/>
      <c r="B1388" s="65"/>
      <c r="C1388" s="65"/>
      <c r="D1388" s="65"/>
      <c r="E1388" s="65" t="str">
        <v>---</v>
      </c>
      <c r="F1388" s="65"/>
      <c r="G1388" s="65"/>
      <c r="H1388" s="65"/>
      <c r="I1388" s="65"/>
      <c r="J1388" s="65"/>
      <c r="K1388" s="65" t="s">
        <v>1736</v>
      </c>
      <c r="L1388" s="65"/>
      <c r="M1388" s="65"/>
      <c r="N1388" s="65"/>
    </row>
    <row r="1389" spans="1:14" ht="12.75">
      <c r="A1389" s="65"/>
      <c r="B1389" s="65"/>
      <c r="C1389" s="65"/>
      <c r="D1389" s="65"/>
      <c r="E1389" s="65" t="str">
        <v>---</v>
      </c>
      <c r="F1389" s="65"/>
      <c r="G1389" s="65"/>
      <c r="H1389" s="65"/>
      <c r="I1389" s="65"/>
      <c r="J1389" s="65"/>
      <c r="K1389" s="65" t="s">
        <v>1737</v>
      </c>
      <c r="L1389" s="65"/>
      <c r="M1389" s="65"/>
      <c r="N1389" s="65"/>
    </row>
    <row r="1390" spans="1:14" ht="12.75">
      <c r="A1390" s="65"/>
      <c r="B1390" s="65"/>
      <c r="C1390" s="65"/>
      <c r="D1390" s="65"/>
      <c r="E1390" s="65" t="str">
        <v>---</v>
      </c>
      <c r="F1390" s="65"/>
      <c r="G1390" s="65"/>
      <c r="H1390" s="65"/>
      <c r="I1390" s="65"/>
      <c r="J1390" s="65"/>
      <c r="K1390" s="65" t="s">
        <v>1738</v>
      </c>
      <c r="L1390" s="65"/>
      <c r="M1390" s="65"/>
      <c r="N1390" s="65"/>
    </row>
    <row r="1391" spans="1:14" ht="12.75">
      <c r="A1391" s="65"/>
      <c r="B1391" s="65"/>
      <c r="C1391" s="65"/>
      <c r="D1391" s="65"/>
      <c r="E1391" s="65" t="str">
        <v>---</v>
      </c>
      <c r="F1391" s="65"/>
      <c r="G1391" s="65"/>
      <c r="H1391" s="65"/>
      <c r="I1391" s="65"/>
      <c r="J1391" s="65"/>
      <c r="K1391" s="65" t="s">
        <v>1739</v>
      </c>
      <c r="L1391" s="65"/>
      <c r="M1391" s="65"/>
      <c r="N1391" s="65"/>
    </row>
    <row r="1392" spans="1:14" ht="12.75">
      <c r="A1392" s="65"/>
      <c r="B1392" s="65"/>
      <c r="C1392" s="65"/>
      <c r="D1392" s="65"/>
      <c r="E1392" s="65" t="str">
        <v>---</v>
      </c>
      <c r="F1392" s="65"/>
      <c r="G1392" s="65"/>
      <c r="H1392" s="65"/>
      <c r="I1392" s="65"/>
      <c r="J1392" s="65"/>
      <c r="K1392" s="65" t="s">
        <v>1740</v>
      </c>
      <c r="L1392" s="65"/>
      <c r="M1392" s="65"/>
      <c r="N1392" s="65"/>
    </row>
    <row r="1393" spans="1:14" ht="12.75">
      <c r="A1393" s="65"/>
      <c r="B1393" s="65"/>
      <c r="C1393" s="65"/>
      <c r="D1393" s="65"/>
      <c r="E1393" s="65" t="str">
        <v>---</v>
      </c>
      <c r="F1393" s="65"/>
      <c r="G1393" s="65"/>
      <c r="H1393" s="65"/>
      <c r="I1393" s="65"/>
      <c r="J1393" s="65"/>
      <c r="K1393" s="65" t="s">
        <v>1741</v>
      </c>
      <c r="L1393" s="65"/>
      <c r="M1393" s="65"/>
      <c r="N1393" s="65"/>
    </row>
    <row r="1394" spans="1:14" ht="12.75">
      <c r="A1394" s="65"/>
      <c r="B1394" s="65"/>
      <c r="C1394" s="65"/>
      <c r="D1394" s="65"/>
      <c r="E1394" s="65" t="str">
        <v>---</v>
      </c>
      <c r="F1394" s="65"/>
      <c r="G1394" s="65"/>
      <c r="H1394" s="65"/>
      <c r="I1394" s="65"/>
      <c r="J1394" s="65"/>
      <c r="K1394" s="65" t="s">
        <v>1742</v>
      </c>
      <c r="L1394" s="65"/>
      <c r="M1394" s="65"/>
      <c r="N1394" s="65"/>
    </row>
    <row r="1395" spans="1:14" ht="12.75">
      <c r="A1395" s="65"/>
      <c r="B1395" s="65"/>
      <c r="C1395" s="65"/>
      <c r="D1395" s="65"/>
      <c r="E1395" s="65" t="str">
        <v>---</v>
      </c>
      <c r="F1395" s="65"/>
      <c r="G1395" s="65"/>
      <c r="H1395" s="65"/>
      <c r="I1395" s="65"/>
      <c r="J1395" s="65"/>
      <c r="K1395" s="65" t="s">
        <v>1743</v>
      </c>
      <c r="L1395" s="65"/>
      <c r="M1395" s="65"/>
      <c r="N1395" s="65"/>
    </row>
    <row r="1396" spans="1:14" ht="12.75">
      <c r="A1396" s="65"/>
      <c r="B1396" s="65"/>
      <c r="C1396" s="65"/>
      <c r="D1396" s="65"/>
      <c r="E1396" s="65" t="str">
        <v>---</v>
      </c>
      <c r="F1396" s="65"/>
      <c r="G1396" s="65"/>
      <c r="H1396" s="65"/>
      <c r="I1396" s="65"/>
      <c r="J1396" s="65"/>
      <c r="K1396" s="65" t="s">
        <v>1744</v>
      </c>
      <c r="L1396" s="65"/>
      <c r="M1396" s="65"/>
      <c r="N1396" s="65"/>
    </row>
    <row r="1397" spans="1:14" ht="12.75">
      <c r="A1397" s="65"/>
      <c r="B1397" s="65"/>
      <c r="C1397" s="65"/>
      <c r="D1397" s="65"/>
      <c r="E1397" s="65" t="str">
        <v>---</v>
      </c>
      <c r="F1397" s="65"/>
      <c r="G1397" s="65"/>
      <c r="H1397" s="65"/>
      <c r="I1397" s="65"/>
      <c r="J1397" s="65"/>
      <c r="K1397" s="65" t="s">
        <v>1745</v>
      </c>
      <c r="L1397" s="65"/>
      <c r="M1397" s="65"/>
      <c r="N1397" s="65"/>
    </row>
    <row r="1398" spans="1:14" ht="12.75">
      <c r="A1398" s="65"/>
      <c r="B1398" s="65"/>
      <c r="C1398" s="65"/>
      <c r="D1398" s="65"/>
      <c r="E1398" s="65" t="str">
        <v>---</v>
      </c>
      <c r="F1398" s="65"/>
      <c r="G1398" s="65"/>
      <c r="H1398" s="65"/>
      <c r="I1398" s="65"/>
      <c r="J1398" s="65"/>
      <c r="K1398" s="65" t="s">
        <v>1746</v>
      </c>
      <c r="L1398" s="65"/>
      <c r="M1398" s="65"/>
      <c r="N1398" s="65"/>
    </row>
    <row r="1399" spans="1:14" ht="12.75">
      <c r="A1399" s="65"/>
      <c r="B1399" s="65"/>
      <c r="C1399" s="65"/>
      <c r="D1399" s="65"/>
      <c r="E1399" s="65" t="str">
        <v>---</v>
      </c>
      <c r="F1399" s="65"/>
      <c r="G1399" s="65"/>
      <c r="H1399" s="65"/>
      <c r="I1399" s="65"/>
      <c r="J1399" s="65"/>
      <c r="K1399" s="65" t="s">
        <v>1747</v>
      </c>
      <c r="L1399" s="65"/>
      <c r="M1399" s="65"/>
      <c r="N1399" s="65"/>
    </row>
    <row r="1400" spans="1:14" ht="12.75">
      <c r="A1400" s="65"/>
      <c r="B1400" s="65"/>
      <c r="C1400" s="65"/>
      <c r="D1400" s="65"/>
      <c r="E1400" s="65" t="str">
        <v>---</v>
      </c>
      <c r="F1400" s="65"/>
      <c r="G1400" s="65"/>
      <c r="H1400" s="65"/>
      <c r="I1400" s="65"/>
      <c r="J1400" s="65"/>
      <c r="K1400" s="65" t="s">
        <v>1748</v>
      </c>
      <c r="L1400" s="65"/>
      <c r="M1400" s="65"/>
      <c r="N1400" s="65"/>
    </row>
    <row r="1401" spans="1:14" ht="12.75">
      <c r="A1401" s="65"/>
      <c r="B1401" s="65"/>
      <c r="C1401" s="65"/>
      <c r="D1401" s="65"/>
      <c r="E1401" s="65" t="str">
        <v>---</v>
      </c>
      <c r="F1401" s="65"/>
      <c r="G1401" s="65"/>
      <c r="H1401" s="65"/>
      <c r="I1401" s="65"/>
      <c r="J1401" s="65"/>
      <c r="K1401" s="65" t="s">
        <v>1749</v>
      </c>
      <c r="L1401" s="65"/>
      <c r="M1401" s="65"/>
      <c r="N1401" s="65"/>
    </row>
    <row r="1402" spans="1:14" ht="12.75">
      <c r="A1402" s="65"/>
      <c r="B1402" s="65"/>
      <c r="C1402" s="65"/>
      <c r="D1402" s="65"/>
      <c r="E1402" s="65" t="str">
        <v>---</v>
      </c>
      <c r="F1402" s="65"/>
      <c r="G1402" s="65"/>
      <c r="H1402" s="65"/>
      <c r="I1402" s="65"/>
      <c r="J1402" s="65"/>
      <c r="K1402" s="65" t="s">
        <v>1750</v>
      </c>
      <c r="L1402" s="65"/>
      <c r="M1402" s="65"/>
      <c r="N1402" s="65"/>
    </row>
    <row r="1403" spans="1:14" ht="12.75">
      <c r="A1403" s="65"/>
      <c r="B1403" s="65"/>
      <c r="C1403" s="65"/>
      <c r="D1403" s="65"/>
      <c r="E1403" s="65" t="str">
        <v>---</v>
      </c>
      <c r="F1403" s="65"/>
      <c r="G1403" s="65"/>
      <c r="H1403" s="65"/>
      <c r="I1403" s="65"/>
      <c r="J1403" s="65"/>
      <c r="K1403" s="65" t="s">
        <v>1751</v>
      </c>
      <c r="L1403" s="65"/>
      <c r="M1403" s="65"/>
      <c r="N1403" s="65"/>
    </row>
    <row r="1404" spans="1:14" ht="12.75">
      <c r="A1404" s="65"/>
      <c r="B1404" s="65"/>
      <c r="C1404" s="65"/>
      <c r="D1404" s="65"/>
      <c r="E1404" s="65" t="str">
        <v>---</v>
      </c>
      <c r="F1404" s="65"/>
      <c r="G1404" s="65"/>
      <c r="H1404" s="65"/>
      <c r="I1404" s="65"/>
      <c r="J1404" s="65"/>
      <c r="K1404" s="65" t="s">
        <v>1752</v>
      </c>
      <c r="L1404" s="65"/>
      <c r="M1404" s="65"/>
      <c r="N1404" s="65"/>
    </row>
    <row r="1405" spans="1:14" ht="12.75">
      <c r="A1405" s="65"/>
      <c r="B1405" s="65"/>
      <c r="C1405" s="65"/>
      <c r="D1405" s="65"/>
      <c r="E1405" s="65" t="str">
        <v>---</v>
      </c>
      <c r="F1405" s="65"/>
      <c r="G1405" s="65"/>
      <c r="H1405" s="65"/>
      <c r="I1405" s="65"/>
      <c r="J1405" s="65"/>
      <c r="K1405" s="65" t="s">
        <v>1753</v>
      </c>
      <c r="L1405" s="65"/>
      <c r="M1405" s="65"/>
      <c r="N1405" s="65"/>
    </row>
    <row r="1406" spans="1:14" ht="12.75">
      <c r="A1406" s="65"/>
      <c r="B1406" s="65"/>
      <c r="C1406" s="65"/>
      <c r="D1406" s="65"/>
      <c r="E1406" s="65" t="str">
        <v>---</v>
      </c>
      <c r="F1406" s="65"/>
      <c r="G1406" s="65"/>
      <c r="H1406" s="65"/>
      <c r="I1406" s="65"/>
      <c r="J1406" s="65"/>
      <c r="K1406" s="65" t="s">
        <v>1754</v>
      </c>
      <c r="L1406" s="65"/>
      <c r="M1406" s="65"/>
      <c r="N1406" s="65"/>
    </row>
    <row r="1407" spans="1:14" ht="12.75">
      <c r="A1407" s="65"/>
      <c r="B1407" s="65"/>
      <c r="C1407" s="65"/>
      <c r="D1407" s="65"/>
      <c r="E1407" s="65" t="str">
        <v>---</v>
      </c>
      <c r="F1407" s="65"/>
      <c r="G1407" s="65"/>
      <c r="H1407" s="65"/>
      <c r="I1407" s="65"/>
      <c r="J1407" s="65"/>
      <c r="K1407" s="65" t="s">
        <v>1755</v>
      </c>
      <c r="L1407" s="65"/>
      <c r="M1407" s="65"/>
      <c r="N1407" s="65"/>
    </row>
    <row r="1408" spans="1:14" ht="12.75">
      <c r="A1408" s="65"/>
      <c r="B1408" s="65"/>
      <c r="C1408" s="65"/>
      <c r="D1408" s="65"/>
      <c r="E1408" s="65" t="str">
        <v>---</v>
      </c>
      <c r="F1408" s="65"/>
      <c r="G1408" s="65"/>
      <c r="H1408" s="65"/>
      <c r="I1408" s="65"/>
      <c r="J1408" s="65"/>
      <c r="K1408" s="65" t="s">
        <v>1756</v>
      </c>
      <c r="L1408" s="65"/>
      <c r="M1408" s="65"/>
      <c r="N1408" s="65"/>
    </row>
    <row r="1409" spans="1:14" ht="12.75">
      <c r="A1409" s="65"/>
      <c r="B1409" s="65"/>
      <c r="C1409" s="65"/>
      <c r="D1409" s="65"/>
      <c r="E1409" s="65" t="str">
        <v>---</v>
      </c>
      <c r="F1409" s="65"/>
      <c r="G1409" s="65"/>
      <c r="H1409" s="65"/>
      <c r="I1409" s="65"/>
      <c r="J1409" s="65"/>
      <c r="K1409" s="65" t="s">
        <v>1757</v>
      </c>
      <c r="L1409" s="65"/>
      <c r="M1409" s="65"/>
      <c r="N1409" s="65"/>
    </row>
    <row r="1410" spans="1:14" ht="12.75">
      <c r="A1410" s="65"/>
      <c r="B1410" s="65"/>
      <c r="C1410" s="65"/>
      <c r="D1410" s="65"/>
      <c r="E1410" s="65" t="str">
        <v>---</v>
      </c>
      <c r="F1410" s="65"/>
      <c r="G1410" s="65"/>
      <c r="H1410" s="65"/>
      <c r="I1410" s="65"/>
      <c r="J1410" s="65"/>
      <c r="K1410" s="65" t="s">
        <v>1758</v>
      </c>
      <c r="L1410" s="65"/>
      <c r="M1410" s="65"/>
      <c r="N1410" s="65"/>
    </row>
    <row r="1411" spans="1:14" ht="12.75">
      <c r="A1411" s="65"/>
      <c r="B1411" s="65"/>
      <c r="C1411" s="65"/>
      <c r="D1411" s="65"/>
      <c r="E1411" s="65" t="str">
        <v>---</v>
      </c>
      <c r="F1411" s="65"/>
      <c r="G1411" s="65"/>
      <c r="H1411" s="65"/>
      <c r="I1411" s="65"/>
      <c r="J1411" s="65"/>
      <c r="K1411" s="65" t="s">
        <v>1759</v>
      </c>
      <c r="L1411" s="65"/>
      <c r="M1411" s="65"/>
      <c r="N1411" s="65"/>
    </row>
    <row r="1412" spans="1:14" ht="12.75">
      <c r="A1412" s="65"/>
      <c r="B1412" s="65"/>
      <c r="C1412" s="65"/>
      <c r="D1412" s="65"/>
      <c r="E1412" s="65" t="str">
        <v>---</v>
      </c>
      <c r="F1412" s="65"/>
      <c r="G1412" s="65"/>
      <c r="H1412" s="65"/>
      <c r="I1412" s="65"/>
      <c r="J1412" s="65"/>
      <c r="K1412" s="65" t="s">
        <v>1760</v>
      </c>
      <c r="L1412" s="65"/>
      <c r="M1412" s="65"/>
      <c r="N1412" s="65"/>
    </row>
    <row r="1413" spans="1:14" ht="12.75">
      <c r="A1413" s="65"/>
      <c r="B1413" s="65"/>
      <c r="C1413" s="65"/>
      <c r="D1413" s="65"/>
      <c r="E1413" s="65" t="str">
        <v>---</v>
      </c>
      <c r="F1413" s="65"/>
      <c r="G1413" s="65"/>
      <c r="H1413" s="65"/>
      <c r="I1413" s="65"/>
      <c r="J1413" s="65"/>
      <c r="K1413" s="65" t="s">
        <v>1761</v>
      </c>
      <c r="L1413" s="65"/>
      <c r="M1413" s="65"/>
      <c r="N1413" s="65"/>
    </row>
    <row r="1414" spans="1:14" ht="12.75">
      <c r="A1414" s="65"/>
      <c r="B1414" s="65"/>
      <c r="C1414" s="65"/>
      <c r="D1414" s="65"/>
      <c r="E1414" s="65" t="str">
        <v>---</v>
      </c>
      <c r="F1414" s="65"/>
      <c r="G1414" s="65"/>
      <c r="H1414" s="65"/>
      <c r="I1414" s="65"/>
      <c r="J1414" s="65"/>
      <c r="K1414" s="65" t="s">
        <v>1762</v>
      </c>
      <c r="L1414" s="65"/>
      <c r="M1414" s="65"/>
      <c r="N1414" s="65"/>
    </row>
    <row r="1415" spans="1:14" ht="12.75">
      <c r="A1415" s="65"/>
      <c r="B1415" s="65"/>
      <c r="C1415" s="65"/>
      <c r="D1415" s="65"/>
      <c r="E1415" s="65" t="str">
        <v>---</v>
      </c>
      <c r="F1415" s="65"/>
      <c r="G1415" s="65"/>
      <c r="H1415" s="65"/>
      <c r="I1415" s="65"/>
      <c r="J1415" s="65"/>
      <c r="K1415" s="65" t="s">
        <v>1763</v>
      </c>
      <c r="L1415" s="65"/>
      <c r="M1415" s="65"/>
      <c r="N1415" s="65"/>
    </row>
    <row r="1416" spans="1:14" ht="12.75">
      <c r="A1416" s="65"/>
      <c r="B1416" s="65"/>
      <c r="C1416" s="65"/>
      <c r="D1416" s="65"/>
      <c r="E1416" s="65" t="str">
        <v>---</v>
      </c>
      <c r="F1416" s="65"/>
      <c r="G1416" s="65"/>
      <c r="H1416" s="65"/>
      <c r="I1416" s="65"/>
      <c r="J1416" s="65"/>
      <c r="K1416" s="65" t="s">
        <v>1764</v>
      </c>
      <c r="L1416" s="65"/>
      <c r="M1416" s="65"/>
      <c r="N1416" s="65"/>
    </row>
    <row r="1417" spans="1:14" ht="12.75">
      <c r="A1417" s="65"/>
      <c r="B1417" s="65"/>
      <c r="C1417" s="65"/>
      <c r="D1417" s="65"/>
      <c r="E1417" s="65" t="str">
        <v>---</v>
      </c>
      <c r="F1417" s="65"/>
      <c r="G1417" s="65"/>
      <c r="H1417" s="65"/>
      <c r="I1417" s="65"/>
      <c r="J1417" s="65"/>
      <c r="K1417" s="65" t="s">
        <v>1765</v>
      </c>
      <c r="L1417" s="65"/>
      <c r="M1417" s="65"/>
      <c r="N1417" s="65"/>
    </row>
    <row r="1418" spans="1:14" ht="12.75">
      <c r="A1418" s="65"/>
      <c r="B1418" s="65"/>
      <c r="C1418" s="65"/>
      <c r="D1418" s="65"/>
      <c r="E1418" s="65" t="str">
        <v>---</v>
      </c>
      <c r="F1418" s="65"/>
      <c r="G1418" s="65"/>
      <c r="H1418" s="65"/>
      <c r="I1418" s="65"/>
      <c r="J1418" s="65"/>
      <c r="K1418" s="65" t="s">
        <v>1766</v>
      </c>
      <c r="L1418" s="65"/>
      <c r="M1418" s="65"/>
      <c r="N1418" s="65"/>
    </row>
    <row r="1419" spans="1:14" ht="12.75">
      <c r="A1419" s="65"/>
      <c r="B1419" s="65"/>
      <c r="C1419" s="65"/>
      <c r="D1419" s="65"/>
      <c r="E1419" s="65" t="str">
        <v>---</v>
      </c>
      <c r="F1419" s="65"/>
      <c r="G1419" s="65"/>
      <c r="H1419" s="65"/>
      <c r="I1419" s="65"/>
      <c r="J1419" s="65"/>
      <c r="K1419" s="65" t="s">
        <v>1767</v>
      </c>
      <c r="L1419" s="65"/>
      <c r="M1419" s="65"/>
      <c r="N1419" s="65"/>
    </row>
    <row r="1420" spans="1:14" ht="12.75">
      <c r="A1420" s="65"/>
      <c r="B1420" s="65"/>
      <c r="C1420" s="65"/>
      <c r="D1420" s="65"/>
      <c r="E1420" s="65" t="str">
        <v>---</v>
      </c>
      <c r="F1420" s="65"/>
      <c r="G1420" s="65"/>
      <c r="H1420" s="65"/>
      <c r="I1420" s="65"/>
      <c r="J1420" s="65"/>
      <c r="K1420" s="65" t="s">
        <v>1768</v>
      </c>
      <c r="L1420" s="65"/>
      <c r="M1420" s="65"/>
      <c r="N1420" s="65"/>
    </row>
    <row r="1421" spans="1:14" ht="12.75">
      <c r="A1421" s="65"/>
      <c r="B1421" s="65"/>
      <c r="C1421" s="65"/>
      <c r="D1421" s="65"/>
      <c r="E1421" s="65" t="str">
        <v>---</v>
      </c>
      <c r="F1421" s="65"/>
      <c r="G1421" s="65"/>
      <c r="H1421" s="65"/>
      <c r="I1421" s="65"/>
      <c r="J1421" s="65"/>
      <c r="K1421" s="65" t="s">
        <v>1769</v>
      </c>
      <c r="L1421" s="65"/>
      <c r="M1421" s="65"/>
      <c r="N1421" s="65"/>
    </row>
    <row r="1422" spans="1:14" ht="12.75">
      <c r="A1422" s="65"/>
      <c r="B1422" s="65"/>
      <c r="C1422" s="65"/>
      <c r="D1422" s="65"/>
      <c r="E1422" s="65" t="str">
        <v>---</v>
      </c>
      <c r="F1422" s="65"/>
      <c r="G1422" s="65"/>
      <c r="H1422" s="65"/>
      <c r="I1422" s="65"/>
      <c r="J1422" s="65"/>
      <c r="K1422" s="65" t="s">
        <v>1770</v>
      </c>
      <c r="L1422" s="65"/>
      <c r="M1422" s="65"/>
      <c r="N1422" s="65"/>
    </row>
    <row r="1423" spans="1:14" ht="12.75">
      <c r="A1423" s="65"/>
      <c r="B1423" s="65"/>
      <c r="C1423" s="65"/>
      <c r="D1423" s="65"/>
      <c r="E1423" s="65" t="str">
        <v>---</v>
      </c>
      <c r="F1423" s="65"/>
      <c r="G1423" s="65"/>
      <c r="H1423" s="65"/>
      <c r="I1423" s="65"/>
      <c r="J1423" s="65"/>
      <c r="K1423" s="65" t="s">
        <v>1771</v>
      </c>
      <c r="L1423" s="65"/>
      <c r="M1423" s="65"/>
      <c r="N1423" s="65"/>
    </row>
    <row r="1424" spans="1:14" ht="12.75">
      <c r="A1424" s="65"/>
      <c r="B1424" s="65"/>
      <c r="C1424" s="65"/>
      <c r="D1424" s="65"/>
      <c r="E1424" s="65" t="str">
        <v>---</v>
      </c>
      <c r="F1424" s="65"/>
      <c r="G1424" s="65"/>
      <c r="H1424" s="65"/>
      <c r="I1424" s="65"/>
      <c r="J1424" s="65"/>
      <c r="K1424" s="65" t="s">
        <v>1772</v>
      </c>
      <c r="L1424" s="65"/>
      <c r="M1424" s="65"/>
      <c r="N1424" s="65"/>
    </row>
    <row r="1425" spans="1:14" ht="12.75">
      <c r="A1425" s="65"/>
      <c r="B1425" s="65"/>
      <c r="C1425" s="65"/>
      <c r="D1425" s="65"/>
      <c r="E1425" s="65" t="str">
        <v>---</v>
      </c>
      <c r="F1425" s="65"/>
      <c r="G1425" s="65"/>
      <c r="H1425" s="65"/>
      <c r="I1425" s="65"/>
      <c r="J1425" s="65"/>
      <c r="K1425" s="65" t="s">
        <v>1773</v>
      </c>
      <c r="L1425" s="65"/>
      <c r="M1425" s="65"/>
      <c r="N1425" s="65"/>
    </row>
    <row r="1426" spans="1:14" ht="12.75">
      <c r="A1426" s="65"/>
      <c r="B1426" s="65"/>
      <c r="C1426" s="65"/>
      <c r="D1426" s="65"/>
      <c r="E1426" s="65" t="str">
        <v>---</v>
      </c>
      <c r="F1426" s="65"/>
      <c r="G1426" s="65"/>
      <c r="H1426" s="65"/>
      <c r="I1426" s="65"/>
      <c r="J1426" s="65"/>
      <c r="K1426" s="65" t="s">
        <v>1774</v>
      </c>
      <c r="L1426" s="65"/>
      <c r="M1426" s="65"/>
      <c r="N1426" s="65"/>
    </row>
    <row r="1427" spans="1:14" ht="12.75">
      <c r="A1427" s="65"/>
      <c r="B1427" s="65"/>
      <c r="C1427" s="65"/>
      <c r="D1427" s="65"/>
      <c r="E1427" s="65" t="str">
        <v>---</v>
      </c>
      <c r="F1427" s="65"/>
      <c r="G1427" s="65"/>
      <c r="H1427" s="65"/>
      <c r="I1427" s="65"/>
      <c r="J1427" s="65"/>
      <c r="K1427" s="65" t="s">
        <v>1775</v>
      </c>
      <c r="L1427" s="65"/>
      <c r="M1427" s="65"/>
      <c r="N1427" s="65"/>
    </row>
    <row r="1428" spans="1:14" ht="12.75">
      <c r="A1428" s="65"/>
      <c r="B1428" s="65"/>
      <c r="C1428" s="65"/>
      <c r="D1428" s="65"/>
      <c r="E1428" s="65" t="str">
        <v>---</v>
      </c>
      <c r="F1428" s="65"/>
      <c r="G1428" s="65"/>
      <c r="H1428" s="65"/>
      <c r="I1428" s="65"/>
      <c r="J1428" s="65"/>
      <c r="K1428" s="65" t="s">
        <v>1776</v>
      </c>
      <c r="L1428" s="65"/>
      <c r="M1428" s="65"/>
      <c r="N1428" s="65"/>
    </row>
    <row r="1429" spans="1:14" ht="12.75">
      <c r="A1429" s="65"/>
      <c r="B1429" s="65"/>
      <c r="C1429" s="65"/>
      <c r="D1429" s="65"/>
      <c r="E1429" s="65" t="str">
        <v>---</v>
      </c>
      <c r="F1429" s="65"/>
      <c r="G1429" s="65"/>
      <c r="H1429" s="65"/>
      <c r="I1429" s="65"/>
      <c r="J1429" s="65"/>
      <c r="K1429" s="65" t="s">
        <v>1777</v>
      </c>
      <c r="L1429" s="65"/>
      <c r="M1429" s="65"/>
      <c r="N1429" s="65"/>
    </row>
    <row r="1430" spans="1:14" ht="12.75">
      <c r="A1430" s="65"/>
      <c r="B1430" s="65"/>
      <c r="C1430" s="65"/>
      <c r="D1430" s="65"/>
      <c r="E1430" s="65" t="str">
        <v>---</v>
      </c>
      <c r="F1430" s="65"/>
      <c r="G1430" s="65"/>
      <c r="H1430" s="65"/>
      <c r="I1430" s="65"/>
      <c r="J1430" s="65"/>
      <c r="K1430" s="65" t="s">
        <v>1778</v>
      </c>
      <c r="L1430" s="65"/>
      <c r="M1430" s="65"/>
      <c r="N1430" s="65"/>
    </row>
    <row r="1431" spans="1:14" ht="12.75">
      <c r="A1431" s="65"/>
      <c r="B1431" s="65"/>
      <c r="C1431" s="65"/>
      <c r="D1431" s="65"/>
      <c r="E1431" s="65" t="str">
        <v>---</v>
      </c>
      <c r="F1431" s="65"/>
      <c r="G1431" s="65"/>
      <c r="H1431" s="65"/>
      <c r="I1431" s="65"/>
      <c r="J1431" s="65"/>
      <c r="K1431" s="65" t="s">
        <v>1779</v>
      </c>
      <c r="L1431" s="65"/>
      <c r="M1431" s="65"/>
      <c r="N1431" s="65"/>
    </row>
    <row r="1432" spans="1:14" ht="12.75">
      <c r="A1432" s="65"/>
      <c r="B1432" s="65"/>
      <c r="C1432" s="65"/>
      <c r="D1432" s="65"/>
      <c r="E1432" s="65" t="str">
        <v>---</v>
      </c>
      <c r="F1432" s="65"/>
      <c r="G1432" s="65"/>
      <c r="H1432" s="65"/>
      <c r="I1432" s="65"/>
      <c r="J1432" s="65"/>
      <c r="K1432" s="65" t="s">
        <v>1780</v>
      </c>
      <c r="L1432" s="65"/>
      <c r="M1432" s="65"/>
      <c r="N1432" s="65"/>
    </row>
    <row r="1433" spans="1:14" ht="12.75">
      <c r="A1433" s="65"/>
      <c r="B1433" s="65"/>
      <c r="C1433" s="65"/>
      <c r="D1433" s="65"/>
      <c r="E1433" s="65" t="str">
        <v>---</v>
      </c>
      <c r="F1433" s="65"/>
      <c r="G1433" s="65"/>
      <c r="H1433" s="65"/>
      <c r="I1433" s="65"/>
      <c r="J1433" s="65"/>
      <c r="K1433" s="65" t="s">
        <v>1781</v>
      </c>
      <c r="L1433" s="65"/>
      <c r="M1433" s="65"/>
      <c r="N1433" s="65"/>
    </row>
    <row r="1434" spans="1:14" ht="12.75">
      <c r="A1434" s="65"/>
      <c r="B1434" s="65"/>
      <c r="C1434" s="65"/>
      <c r="D1434" s="65"/>
      <c r="E1434" s="65" t="str">
        <v>---</v>
      </c>
      <c r="F1434" s="65"/>
      <c r="G1434" s="65"/>
      <c r="H1434" s="65"/>
      <c r="I1434" s="65"/>
      <c r="J1434" s="65"/>
      <c r="K1434" s="65" t="s">
        <v>1782</v>
      </c>
      <c r="L1434" s="65"/>
      <c r="M1434" s="65"/>
      <c r="N1434" s="65"/>
    </row>
    <row r="1435" spans="1:14" ht="12.75">
      <c r="A1435" s="65"/>
      <c r="B1435" s="65"/>
      <c r="C1435" s="65"/>
      <c r="D1435" s="65"/>
      <c r="E1435" s="65" t="str">
        <v>---</v>
      </c>
      <c r="F1435" s="65"/>
      <c r="G1435" s="65"/>
      <c r="H1435" s="65"/>
      <c r="I1435" s="65"/>
      <c r="J1435" s="65"/>
      <c r="K1435" s="65" t="s">
        <v>1783</v>
      </c>
      <c r="L1435" s="65"/>
      <c r="M1435" s="65"/>
      <c r="N1435" s="65"/>
    </row>
    <row r="1436" spans="1:14" ht="12.75">
      <c r="A1436" s="65"/>
      <c r="B1436" s="65"/>
      <c r="C1436" s="65"/>
      <c r="D1436" s="65"/>
      <c r="E1436" s="65" t="str">
        <v>---</v>
      </c>
      <c r="F1436" s="65"/>
      <c r="G1436" s="65"/>
      <c r="H1436" s="65"/>
      <c r="I1436" s="65"/>
      <c r="J1436" s="65"/>
      <c r="K1436" s="65" t="s">
        <v>1784</v>
      </c>
      <c r="L1436" s="65"/>
      <c r="M1436" s="65"/>
      <c r="N1436" s="65"/>
    </row>
    <row r="1437" spans="1:14" ht="12.75">
      <c r="A1437" s="65"/>
      <c r="B1437" s="65"/>
      <c r="C1437" s="65"/>
      <c r="D1437" s="65"/>
      <c r="E1437" s="65" t="str">
        <v>---</v>
      </c>
      <c r="F1437" s="65"/>
      <c r="G1437" s="65"/>
      <c r="H1437" s="65"/>
      <c r="I1437" s="65"/>
      <c r="J1437" s="65"/>
      <c r="K1437" s="65" t="s">
        <v>1785</v>
      </c>
      <c r="L1437" s="65"/>
      <c r="M1437" s="65"/>
      <c r="N1437" s="65"/>
    </row>
    <row r="1438" spans="1:14" ht="12.75">
      <c r="A1438" s="65"/>
      <c r="B1438" s="65"/>
      <c r="C1438" s="65"/>
      <c r="D1438" s="65"/>
      <c r="E1438" s="65" t="str">
        <v>---</v>
      </c>
      <c r="F1438" s="65"/>
      <c r="G1438" s="65"/>
      <c r="H1438" s="65"/>
      <c r="I1438" s="65"/>
      <c r="J1438" s="65"/>
      <c r="K1438" s="65" t="s">
        <v>1786</v>
      </c>
      <c r="L1438" s="65"/>
      <c r="M1438" s="65"/>
      <c r="N1438" s="65"/>
    </row>
    <row r="1439" spans="1:14" ht="12.75">
      <c r="A1439" s="65"/>
      <c r="B1439" s="65"/>
      <c r="C1439" s="65"/>
      <c r="D1439" s="65"/>
      <c r="E1439" s="65" t="str">
        <v>---</v>
      </c>
      <c r="F1439" s="65"/>
      <c r="G1439" s="65"/>
      <c r="H1439" s="65"/>
      <c r="I1439" s="65"/>
      <c r="J1439" s="65"/>
      <c r="K1439" s="65" t="s">
        <v>1787</v>
      </c>
      <c r="L1439" s="65"/>
      <c r="M1439" s="65"/>
      <c r="N1439" s="65"/>
    </row>
    <row r="1440" spans="1:14" ht="12.75">
      <c r="A1440" s="65"/>
      <c r="B1440" s="65"/>
      <c r="C1440" s="65"/>
      <c r="D1440" s="65"/>
      <c r="E1440" s="65" t="str">
        <v>---</v>
      </c>
      <c r="F1440" s="65"/>
      <c r="G1440" s="65"/>
      <c r="H1440" s="65"/>
      <c r="I1440" s="65"/>
      <c r="J1440" s="65"/>
      <c r="K1440" s="65" t="s">
        <v>1788</v>
      </c>
      <c r="L1440" s="65"/>
      <c r="M1440" s="65"/>
      <c r="N1440" s="65"/>
    </row>
    <row r="1441" spans="1:14" ht="12.75">
      <c r="A1441" s="65"/>
      <c r="B1441" s="65"/>
      <c r="C1441" s="65"/>
      <c r="D1441" s="65"/>
      <c r="E1441" s="65" t="str">
        <v>---</v>
      </c>
      <c r="F1441" s="65"/>
      <c r="G1441" s="65"/>
      <c r="H1441" s="65"/>
      <c r="I1441" s="65"/>
      <c r="J1441" s="65"/>
      <c r="K1441" s="65" t="s">
        <v>1789</v>
      </c>
      <c r="L1441" s="65"/>
      <c r="M1441" s="65"/>
      <c r="N1441" s="65"/>
    </row>
    <row r="1442" spans="1:14" ht="12.75">
      <c r="A1442" s="65"/>
      <c r="B1442" s="65"/>
      <c r="C1442" s="65"/>
      <c r="D1442" s="65"/>
      <c r="E1442" s="65" t="str">
        <v>---</v>
      </c>
      <c r="F1442" s="65"/>
      <c r="G1442" s="65"/>
      <c r="H1442" s="65"/>
      <c r="I1442" s="65"/>
      <c r="J1442" s="65"/>
      <c r="K1442" s="65" t="s">
        <v>1790</v>
      </c>
      <c r="L1442" s="65"/>
      <c r="M1442" s="65"/>
      <c r="N1442" s="65"/>
    </row>
    <row r="1443" spans="1:14" ht="12.75">
      <c r="A1443" s="65"/>
      <c r="B1443" s="65"/>
      <c r="C1443" s="65"/>
      <c r="D1443" s="65"/>
      <c r="E1443" s="65" t="str">
        <v>---</v>
      </c>
      <c r="F1443" s="65"/>
      <c r="G1443" s="65"/>
      <c r="H1443" s="65"/>
      <c r="I1443" s="65"/>
      <c r="J1443" s="65"/>
      <c r="K1443" s="65" t="s">
        <v>1791</v>
      </c>
      <c r="L1443" s="65"/>
      <c r="M1443" s="65"/>
      <c r="N1443" s="65"/>
    </row>
    <row r="1444" spans="1:14" ht="12.75">
      <c r="A1444" s="65"/>
      <c r="B1444" s="65"/>
      <c r="C1444" s="65"/>
      <c r="D1444" s="65"/>
      <c r="E1444" s="65" t="str">
        <v>---</v>
      </c>
      <c r="F1444" s="65"/>
      <c r="G1444" s="65"/>
      <c r="H1444" s="65"/>
      <c r="I1444" s="65"/>
      <c r="J1444" s="65"/>
      <c r="K1444" s="65" t="s">
        <v>1792</v>
      </c>
      <c r="L1444" s="65"/>
      <c r="M1444" s="65"/>
      <c r="N1444" s="65"/>
    </row>
    <row r="1445" spans="1:14" ht="12.75">
      <c r="A1445" s="65"/>
      <c r="B1445" s="65"/>
      <c r="C1445" s="65"/>
      <c r="D1445" s="65"/>
      <c r="E1445" s="65" t="str">
        <v>---</v>
      </c>
      <c r="F1445" s="65"/>
      <c r="G1445" s="65"/>
      <c r="H1445" s="65"/>
      <c r="I1445" s="65"/>
      <c r="J1445" s="65"/>
      <c r="K1445" s="65" t="s">
        <v>1793</v>
      </c>
      <c r="L1445" s="65"/>
      <c r="M1445" s="65"/>
      <c r="N1445" s="65"/>
    </row>
    <row r="1446" spans="1:14" ht="12.75">
      <c r="A1446" s="65"/>
      <c r="B1446" s="65"/>
      <c r="C1446" s="65"/>
      <c r="D1446" s="65"/>
      <c r="E1446" s="65" t="str">
        <v>---</v>
      </c>
      <c r="F1446" s="65"/>
      <c r="G1446" s="65"/>
      <c r="H1446" s="65"/>
      <c r="I1446" s="65"/>
      <c r="J1446" s="65"/>
      <c r="K1446" s="65" t="s">
        <v>1794</v>
      </c>
      <c r="L1446" s="65"/>
      <c r="M1446" s="65"/>
      <c r="N1446" s="65"/>
    </row>
    <row r="1447" spans="1:14" ht="12.75">
      <c r="A1447" s="65"/>
      <c r="B1447" s="65"/>
      <c r="C1447" s="65"/>
      <c r="D1447" s="65"/>
      <c r="E1447" s="65" t="str">
        <v>---</v>
      </c>
      <c r="F1447" s="65"/>
      <c r="G1447" s="65"/>
      <c r="H1447" s="65"/>
      <c r="I1447" s="65"/>
      <c r="J1447" s="65"/>
      <c r="K1447" s="65" t="s">
        <v>1795</v>
      </c>
      <c r="L1447" s="65"/>
      <c r="M1447" s="65"/>
      <c r="N1447" s="65"/>
    </row>
    <row r="1448" spans="1:14" ht="12.75">
      <c r="A1448" s="65"/>
      <c r="B1448" s="65"/>
      <c r="C1448" s="65"/>
      <c r="D1448" s="65"/>
      <c r="E1448" s="65" t="str">
        <v>---</v>
      </c>
      <c r="F1448" s="65"/>
      <c r="G1448" s="65"/>
      <c r="H1448" s="65"/>
      <c r="I1448" s="65"/>
      <c r="J1448" s="65"/>
      <c r="K1448" s="65" t="s">
        <v>1796</v>
      </c>
      <c r="L1448" s="65"/>
      <c r="M1448" s="65"/>
      <c r="N1448" s="65"/>
    </row>
    <row r="1449" spans="1:14" ht="12.75">
      <c r="A1449" s="65"/>
      <c r="B1449" s="65"/>
      <c r="C1449" s="65"/>
      <c r="D1449" s="65"/>
      <c r="E1449" s="65" t="str">
        <v>---</v>
      </c>
      <c r="F1449" s="65"/>
      <c r="G1449" s="65"/>
      <c r="H1449" s="65"/>
      <c r="I1449" s="65"/>
      <c r="J1449" s="65"/>
      <c r="K1449" s="65" t="s">
        <v>1797</v>
      </c>
      <c r="L1449" s="65"/>
      <c r="M1449" s="65"/>
      <c r="N1449" s="65"/>
    </row>
    <row r="1450" spans="1:14" ht="12.75">
      <c r="A1450" s="65"/>
      <c r="B1450" s="65"/>
      <c r="C1450" s="65"/>
      <c r="D1450" s="65"/>
      <c r="E1450" s="65" t="str">
        <v>---</v>
      </c>
      <c r="F1450" s="65"/>
      <c r="G1450" s="65"/>
      <c r="H1450" s="65"/>
      <c r="I1450" s="65"/>
      <c r="J1450" s="65"/>
      <c r="K1450" s="65" t="s">
        <v>1798</v>
      </c>
      <c r="L1450" s="65"/>
      <c r="M1450" s="65"/>
      <c r="N1450" s="65"/>
    </row>
    <row r="1451" spans="1:14" ht="12.75">
      <c r="A1451" s="65"/>
      <c r="B1451" s="65"/>
      <c r="C1451" s="65"/>
      <c r="D1451" s="65"/>
      <c r="E1451" s="65" t="str">
        <v>---</v>
      </c>
      <c r="F1451" s="65"/>
      <c r="G1451" s="65"/>
      <c r="H1451" s="65"/>
      <c r="I1451" s="65"/>
      <c r="J1451" s="65"/>
      <c r="K1451" s="65" t="s">
        <v>1799</v>
      </c>
      <c r="L1451" s="65"/>
      <c r="M1451" s="65"/>
      <c r="N1451" s="65"/>
    </row>
    <row r="1452" spans="1:14" ht="12.75">
      <c r="A1452" s="65"/>
      <c r="B1452" s="65"/>
      <c r="C1452" s="65"/>
      <c r="D1452" s="65"/>
      <c r="E1452" s="65" t="str">
        <v>---</v>
      </c>
      <c r="F1452" s="65"/>
      <c r="G1452" s="65"/>
      <c r="H1452" s="65"/>
      <c r="I1452" s="65"/>
      <c r="J1452" s="65"/>
      <c r="K1452" s="65" t="s">
        <v>1800</v>
      </c>
      <c r="L1452" s="65"/>
      <c r="M1452" s="65"/>
      <c r="N1452" s="65"/>
    </row>
    <row r="1453" spans="1:14" ht="12.75">
      <c r="A1453" s="65"/>
      <c r="B1453" s="65"/>
      <c r="C1453" s="65"/>
      <c r="D1453" s="65"/>
      <c r="E1453" s="65" t="str">
        <v>---</v>
      </c>
      <c r="F1453" s="65"/>
      <c r="G1453" s="65"/>
      <c r="H1453" s="65"/>
      <c r="I1453" s="65"/>
      <c r="J1453" s="65"/>
      <c r="K1453" s="65" t="s">
        <v>1801</v>
      </c>
      <c r="L1453" s="65"/>
      <c r="M1453" s="65"/>
      <c r="N1453" s="65"/>
    </row>
    <row r="1454" spans="1:14" ht="12.75">
      <c r="A1454" s="65"/>
      <c r="B1454" s="65"/>
      <c r="C1454" s="65"/>
      <c r="D1454" s="65"/>
      <c r="E1454" s="65" t="str">
        <v>---</v>
      </c>
      <c r="F1454" s="65"/>
      <c r="G1454" s="65"/>
      <c r="H1454" s="65"/>
      <c r="I1454" s="65"/>
      <c r="J1454" s="65"/>
      <c r="K1454" s="65" t="s">
        <v>1802</v>
      </c>
      <c r="L1454" s="65"/>
      <c r="M1454" s="65"/>
      <c r="N1454" s="65"/>
    </row>
    <row r="1455" spans="1:14" ht="12.75">
      <c r="A1455" s="65"/>
      <c r="B1455" s="65"/>
      <c r="C1455" s="65"/>
      <c r="D1455" s="65"/>
      <c r="E1455" s="65" t="str">
        <v>---</v>
      </c>
      <c r="F1455" s="65"/>
      <c r="G1455" s="65"/>
      <c r="H1455" s="65"/>
      <c r="I1455" s="65"/>
      <c r="J1455" s="65"/>
      <c r="K1455" s="65" t="s">
        <v>1803</v>
      </c>
      <c r="L1455" s="65"/>
      <c r="M1455" s="65"/>
      <c r="N1455" s="65"/>
    </row>
    <row r="1456" spans="1:14" ht="12.75">
      <c r="A1456" s="65"/>
      <c r="B1456" s="65"/>
      <c r="C1456" s="65"/>
      <c r="D1456" s="65"/>
      <c r="E1456" s="65" t="str">
        <v>---</v>
      </c>
      <c r="F1456" s="65"/>
      <c r="G1456" s="65"/>
      <c r="H1456" s="65"/>
      <c r="I1456" s="65"/>
      <c r="J1456" s="65"/>
      <c r="K1456" s="65" t="s">
        <v>1804</v>
      </c>
      <c r="L1456" s="65"/>
      <c r="M1456" s="65"/>
      <c r="N1456" s="65"/>
    </row>
    <row r="1457" spans="1:14" ht="12.75">
      <c r="A1457" s="65"/>
      <c r="B1457" s="65"/>
      <c r="C1457" s="65"/>
      <c r="D1457" s="65"/>
      <c r="E1457" s="65" t="str">
        <v>---</v>
      </c>
      <c r="F1457" s="65"/>
      <c r="G1457" s="65"/>
      <c r="H1457" s="65"/>
      <c r="I1457" s="65"/>
      <c r="J1457" s="65"/>
      <c r="K1457" s="65" t="s">
        <v>1805</v>
      </c>
      <c r="L1457" s="65"/>
      <c r="M1457" s="65"/>
      <c r="N1457" s="65"/>
    </row>
    <row r="1458" spans="1:14" ht="12.75">
      <c r="A1458" s="65"/>
      <c r="B1458" s="65"/>
      <c r="C1458" s="65"/>
      <c r="D1458" s="65"/>
      <c r="E1458" s="65" t="str">
        <v>---</v>
      </c>
      <c r="F1458" s="65"/>
      <c r="G1458" s="65"/>
      <c r="H1458" s="65"/>
      <c r="I1458" s="65"/>
      <c r="J1458" s="65"/>
      <c r="K1458" s="65" t="s">
        <v>1806</v>
      </c>
      <c r="L1458" s="65"/>
      <c r="M1458" s="65"/>
      <c r="N1458" s="65"/>
    </row>
    <row r="1459" spans="1:14" ht="12.75">
      <c r="A1459" s="65"/>
      <c r="B1459" s="65"/>
      <c r="C1459" s="65"/>
      <c r="D1459" s="65"/>
      <c r="E1459" s="65" t="str">
        <v>---</v>
      </c>
      <c r="F1459" s="65"/>
      <c r="G1459" s="65"/>
      <c r="H1459" s="65"/>
      <c r="I1459" s="65"/>
      <c r="J1459" s="65"/>
      <c r="K1459" s="65" t="s">
        <v>1807</v>
      </c>
      <c r="L1459" s="65"/>
      <c r="M1459" s="65"/>
      <c r="N1459" s="65"/>
    </row>
    <row r="1460" spans="1:14" ht="12.75">
      <c r="A1460" s="65"/>
      <c r="B1460" s="65"/>
      <c r="C1460" s="65"/>
      <c r="D1460" s="65"/>
      <c r="E1460" s="65" t="str">
        <v>---</v>
      </c>
      <c r="F1460" s="65"/>
      <c r="G1460" s="65"/>
      <c r="H1460" s="65"/>
      <c r="I1460" s="65"/>
      <c r="J1460" s="65"/>
      <c r="K1460" s="65" t="s">
        <v>1808</v>
      </c>
      <c r="L1460" s="65"/>
      <c r="M1460" s="65"/>
      <c r="N1460" s="65"/>
    </row>
    <row r="1461" spans="1:14" ht="12.75">
      <c r="A1461" s="65"/>
      <c r="B1461" s="65"/>
      <c r="C1461" s="65"/>
      <c r="D1461" s="65"/>
      <c r="E1461" s="65" t="str">
        <v>---</v>
      </c>
      <c r="F1461" s="65"/>
      <c r="G1461" s="65"/>
      <c r="H1461" s="65"/>
      <c r="I1461" s="65"/>
      <c r="J1461" s="65"/>
      <c r="K1461" s="65" t="s">
        <v>1809</v>
      </c>
      <c r="L1461" s="65"/>
      <c r="M1461" s="65"/>
      <c r="N1461" s="65"/>
    </row>
    <row r="1462" spans="1:14" ht="12.75">
      <c r="A1462" s="65"/>
      <c r="B1462" s="65"/>
      <c r="C1462" s="65"/>
      <c r="D1462" s="65"/>
      <c r="E1462" s="65" t="str">
        <v>---</v>
      </c>
      <c r="F1462" s="65"/>
      <c r="G1462" s="65"/>
      <c r="H1462" s="65"/>
      <c r="I1462" s="65"/>
      <c r="J1462" s="65"/>
      <c r="K1462" s="65" t="s">
        <v>1810</v>
      </c>
      <c r="L1462" s="65"/>
      <c r="M1462" s="65"/>
      <c r="N1462" s="65"/>
    </row>
    <row r="1463" spans="1:14" ht="12.75">
      <c r="A1463" s="65"/>
      <c r="B1463" s="65"/>
      <c r="C1463" s="65"/>
      <c r="D1463" s="65"/>
      <c r="E1463" s="65" t="str">
        <v>---</v>
      </c>
      <c r="F1463" s="65"/>
      <c r="G1463" s="65"/>
      <c r="H1463" s="65"/>
      <c r="I1463" s="65"/>
      <c r="J1463" s="65"/>
      <c r="K1463" s="65" t="s">
        <v>1811</v>
      </c>
      <c r="L1463" s="65"/>
      <c r="M1463" s="65"/>
      <c r="N1463" s="65"/>
    </row>
    <row r="1464" spans="1:14" ht="12.75">
      <c r="A1464" s="65"/>
      <c r="B1464" s="65"/>
      <c r="C1464" s="65"/>
      <c r="D1464" s="65"/>
      <c r="E1464" s="65" t="str">
        <v>---</v>
      </c>
      <c r="F1464" s="65"/>
      <c r="G1464" s="65"/>
      <c r="H1464" s="65"/>
      <c r="I1464" s="65"/>
      <c r="J1464" s="65"/>
      <c r="K1464" s="65" t="s">
        <v>1812</v>
      </c>
      <c r="L1464" s="65"/>
      <c r="M1464" s="65"/>
      <c r="N1464" s="65"/>
    </row>
    <row r="1465" spans="1:14" ht="12.75">
      <c r="A1465" s="65"/>
      <c r="B1465" s="65"/>
      <c r="C1465" s="65"/>
      <c r="D1465" s="65"/>
      <c r="E1465" s="65" t="str">
        <v>---</v>
      </c>
      <c r="F1465" s="65"/>
      <c r="G1465" s="65"/>
      <c r="H1465" s="65"/>
      <c r="I1465" s="65"/>
      <c r="J1465" s="65"/>
      <c r="K1465" s="65" t="s">
        <v>1813</v>
      </c>
      <c r="L1465" s="65"/>
      <c r="M1465" s="65"/>
      <c r="N1465" s="65"/>
    </row>
    <row r="1466" spans="1:14" ht="12.75">
      <c r="A1466" s="65"/>
      <c r="B1466" s="65"/>
      <c r="C1466" s="65"/>
      <c r="D1466" s="65"/>
      <c r="E1466" s="65" t="str">
        <v>---</v>
      </c>
      <c r="F1466" s="65"/>
      <c r="G1466" s="65"/>
      <c r="H1466" s="65"/>
      <c r="I1466" s="65"/>
      <c r="J1466" s="65"/>
      <c r="K1466" s="65" t="s">
        <v>1814</v>
      </c>
      <c r="L1466" s="65"/>
      <c r="M1466" s="65"/>
      <c r="N1466" s="65"/>
    </row>
    <row r="1467" spans="1:14" ht="12.75">
      <c r="A1467" s="65"/>
      <c r="B1467" s="65"/>
      <c r="C1467" s="65"/>
      <c r="D1467" s="65"/>
      <c r="E1467" s="65" t="str">
        <v>---</v>
      </c>
      <c r="F1467" s="65"/>
      <c r="G1467" s="65"/>
      <c r="H1467" s="65"/>
      <c r="I1467" s="65"/>
      <c r="J1467" s="65"/>
      <c r="K1467" s="65" t="s">
        <v>1815</v>
      </c>
      <c r="L1467" s="65"/>
      <c r="M1467" s="65"/>
      <c r="N1467" s="65"/>
    </row>
    <row r="1468" spans="1:14" ht="12.75">
      <c r="A1468" s="65"/>
      <c r="B1468" s="65"/>
      <c r="C1468" s="65"/>
      <c r="D1468" s="65"/>
      <c r="E1468" s="65" t="str">
        <v>---</v>
      </c>
      <c r="F1468" s="65"/>
      <c r="G1468" s="65"/>
      <c r="H1468" s="65"/>
      <c r="I1468" s="65"/>
      <c r="J1468" s="65"/>
      <c r="K1468" s="65" t="s">
        <v>1816</v>
      </c>
      <c r="L1468" s="65"/>
      <c r="M1468" s="65"/>
      <c r="N1468" s="65"/>
    </row>
    <row r="1469" spans="1:14" ht="12.75">
      <c r="A1469" s="65"/>
      <c r="B1469" s="65"/>
      <c r="C1469" s="65"/>
      <c r="D1469" s="65"/>
      <c r="E1469" s="65" t="str">
        <v>---</v>
      </c>
      <c r="F1469" s="65"/>
      <c r="G1469" s="65"/>
      <c r="H1469" s="65"/>
      <c r="I1469" s="65"/>
      <c r="J1469" s="65"/>
      <c r="K1469" s="65" t="s">
        <v>1817</v>
      </c>
      <c r="L1469" s="65"/>
      <c r="M1469" s="65"/>
      <c r="N1469" s="65"/>
    </row>
    <row r="1470" spans="1:14" ht="12.75">
      <c r="A1470" s="65"/>
      <c r="B1470" s="65"/>
      <c r="C1470" s="65"/>
      <c r="D1470" s="65"/>
      <c r="E1470" s="65" t="str">
        <v>---</v>
      </c>
      <c r="F1470" s="65"/>
      <c r="G1470" s="65"/>
      <c r="H1470" s="65"/>
      <c r="I1470" s="65"/>
      <c r="J1470" s="65"/>
      <c r="K1470" s="65" t="s">
        <v>1818</v>
      </c>
      <c r="L1470" s="65"/>
      <c r="M1470" s="65"/>
      <c r="N1470" s="65"/>
    </row>
    <row r="1471" spans="1:14" ht="12.75">
      <c r="A1471" s="65"/>
      <c r="B1471" s="65"/>
      <c r="C1471" s="65"/>
      <c r="D1471" s="65"/>
      <c r="E1471" s="65" t="str">
        <v>---</v>
      </c>
      <c r="F1471" s="65"/>
      <c r="G1471" s="65"/>
      <c r="H1471" s="65"/>
      <c r="I1471" s="65"/>
      <c r="J1471" s="65"/>
      <c r="K1471" s="65" t="s">
        <v>1819</v>
      </c>
      <c r="L1471" s="65"/>
      <c r="M1471" s="65"/>
      <c r="N1471" s="65"/>
    </row>
    <row r="1472" spans="1:14" ht="12.75">
      <c r="A1472" s="65"/>
      <c r="B1472" s="65"/>
      <c r="C1472" s="65"/>
      <c r="D1472" s="65"/>
      <c r="E1472" s="65" t="str">
        <v>---</v>
      </c>
      <c r="F1472" s="65"/>
      <c r="G1472" s="65"/>
      <c r="H1472" s="65"/>
      <c r="I1472" s="65"/>
      <c r="J1472" s="65"/>
      <c r="K1472" s="65" t="s">
        <v>1820</v>
      </c>
      <c r="L1472" s="65"/>
      <c r="M1472" s="65"/>
      <c r="N1472" s="65"/>
    </row>
    <row r="1473" spans="1:14" ht="12.75">
      <c r="A1473" s="65"/>
      <c r="B1473" s="65"/>
      <c r="C1473" s="65"/>
      <c r="D1473" s="65"/>
      <c r="E1473" s="65" t="str">
        <v>---</v>
      </c>
      <c r="F1473" s="65"/>
      <c r="G1473" s="65"/>
      <c r="H1473" s="65"/>
      <c r="I1473" s="65"/>
      <c r="J1473" s="65"/>
      <c r="K1473" s="65" t="s">
        <v>1821</v>
      </c>
      <c r="L1473" s="65"/>
      <c r="M1473" s="65"/>
      <c r="N1473" s="65"/>
    </row>
    <row r="1474" spans="1:14" ht="12.75">
      <c r="A1474" s="65"/>
      <c r="B1474" s="65"/>
      <c r="C1474" s="65"/>
      <c r="D1474" s="65"/>
      <c r="E1474" s="65" t="str">
        <v>---</v>
      </c>
      <c r="F1474" s="65"/>
      <c r="G1474" s="65"/>
      <c r="H1474" s="65"/>
      <c r="I1474" s="65"/>
      <c r="J1474" s="65"/>
      <c r="K1474" s="65" t="s">
        <v>1822</v>
      </c>
      <c r="L1474" s="65"/>
      <c r="M1474" s="65"/>
      <c r="N1474" s="65"/>
    </row>
    <row r="1475" spans="1:14" ht="12.75">
      <c r="A1475" s="65"/>
      <c r="B1475" s="65"/>
      <c r="C1475" s="65"/>
      <c r="D1475" s="65"/>
      <c r="E1475" s="65" t="str">
        <v>---</v>
      </c>
      <c r="F1475" s="65"/>
      <c r="G1475" s="65"/>
      <c r="H1475" s="65"/>
      <c r="I1475" s="65"/>
      <c r="J1475" s="65"/>
      <c r="K1475" s="65" t="s">
        <v>1823</v>
      </c>
      <c r="L1475" s="65"/>
      <c r="M1475" s="65"/>
      <c r="N1475" s="65"/>
    </row>
    <row r="1476" spans="1:14" ht="12.75">
      <c r="A1476" s="65"/>
      <c r="B1476" s="65"/>
      <c r="C1476" s="65"/>
      <c r="D1476" s="65"/>
      <c r="E1476" s="65" t="str">
        <v>---</v>
      </c>
      <c r="F1476" s="65"/>
      <c r="G1476" s="65"/>
      <c r="H1476" s="65"/>
      <c r="I1476" s="65"/>
      <c r="J1476" s="65"/>
      <c r="K1476" s="65" t="s">
        <v>1824</v>
      </c>
      <c r="L1476" s="65"/>
      <c r="M1476" s="65"/>
      <c r="N1476" s="65"/>
    </row>
    <row r="1477" spans="1:14" ht="12.75">
      <c r="A1477" s="65"/>
      <c r="B1477" s="65"/>
      <c r="C1477" s="65"/>
      <c r="D1477" s="65"/>
      <c r="E1477" s="65" t="str">
        <v>---</v>
      </c>
      <c r="F1477" s="65"/>
      <c r="G1477" s="65"/>
      <c r="H1477" s="65"/>
      <c r="I1477" s="65"/>
      <c r="J1477" s="65"/>
      <c r="K1477" s="65" t="s">
        <v>1825</v>
      </c>
      <c r="L1477" s="65"/>
      <c r="M1477" s="65"/>
      <c r="N1477" s="65"/>
    </row>
    <row r="1478" spans="1:14" ht="12.75">
      <c r="A1478" s="65"/>
      <c r="B1478" s="65"/>
      <c r="C1478" s="65"/>
      <c r="D1478" s="65"/>
      <c r="E1478" s="65" t="str">
        <v>---</v>
      </c>
      <c r="F1478" s="65"/>
      <c r="G1478" s="65"/>
      <c r="H1478" s="65"/>
      <c r="I1478" s="65"/>
      <c r="J1478" s="65"/>
      <c r="K1478" s="65" t="s">
        <v>1826</v>
      </c>
      <c r="L1478" s="65"/>
      <c r="M1478" s="65"/>
      <c r="N1478" s="65"/>
    </row>
    <row r="1479" spans="1:14" ht="12.75">
      <c r="A1479" s="65"/>
      <c r="B1479" s="65"/>
      <c r="C1479" s="65"/>
      <c r="D1479" s="65"/>
      <c r="E1479" s="65" t="str">
        <v>---</v>
      </c>
      <c r="F1479" s="65"/>
      <c r="G1479" s="65"/>
      <c r="H1479" s="65"/>
      <c r="I1479" s="65"/>
      <c r="J1479" s="65"/>
      <c r="K1479" s="65" t="s">
        <v>1827</v>
      </c>
      <c r="L1479" s="65"/>
      <c r="M1479" s="65"/>
      <c r="N1479" s="65"/>
    </row>
    <row r="1480" spans="1:14" ht="12.75">
      <c r="A1480" s="65"/>
      <c r="B1480" s="65"/>
      <c r="C1480" s="65"/>
      <c r="D1480" s="65"/>
      <c r="E1480" s="65" t="str">
        <v>---</v>
      </c>
      <c r="F1480" s="65"/>
      <c r="G1480" s="65"/>
      <c r="H1480" s="65"/>
      <c r="I1480" s="65"/>
      <c r="J1480" s="65"/>
      <c r="K1480" s="65" t="s">
        <v>1828</v>
      </c>
      <c r="L1480" s="65"/>
      <c r="M1480" s="65"/>
      <c r="N1480" s="65"/>
    </row>
    <row r="1481" spans="1:14" ht="12.75">
      <c r="A1481" s="65"/>
      <c r="B1481" s="65"/>
      <c r="C1481" s="65"/>
      <c r="D1481" s="65"/>
      <c r="E1481" s="65" t="str">
        <v>---</v>
      </c>
      <c r="F1481" s="65"/>
      <c r="G1481" s="65"/>
      <c r="H1481" s="65"/>
      <c r="I1481" s="65"/>
      <c r="J1481" s="65"/>
      <c r="K1481" s="65" t="s">
        <v>1829</v>
      </c>
      <c r="L1481" s="65"/>
      <c r="M1481" s="65"/>
      <c r="N1481" s="65"/>
    </row>
    <row r="1482" spans="1:14" ht="12.75">
      <c r="A1482" s="65"/>
      <c r="B1482" s="65"/>
      <c r="C1482" s="65"/>
      <c r="D1482" s="65"/>
      <c r="E1482" s="65" t="str">
        <v>---</v>
      </c>
      <c r="F1482" s="65"/>
      <c r="G1482" s="65"/>
      <c r="H1482" s="65"/>
      <c r="I1482" s="65"/>
      <c r="J1482" s="65"/>
      <c r="K1482" s="65" t="s">
        <v>1830</v>
      </c>
      <c r="L1482" s="65"/>
      <c r="M1482" s="65"/>
      <c r="N1482" s="65"/>
    </row>
    <row r="1483" spans="1:14" ht="12.75">
      <c r="A1483" s="65"/>
      <c r="B1483" s="65"/>
      <c r="C1483" s="65"/>
      <c r="D1483" s="65"/>
      <c r="E1483" s="65" t="str">
        <v>---</v>
      </c>
      <c r="F1483" s="65"/>
      <c r="G1483" s="65"/>
      <c r="H1483" s="65"/>
      <c r="I1483" s="65"/>
      <c r="J1483" s="65"/>
      <c r="K1483" s="65" t="s">
        <v>1831</v>
      </c>
      <c r="L1483" s="65"/>
      <c r="M1483" s="65"/>
      <c r="N1483" s="65"/>
    </row>
    <row r="1484" spans="1:14" ht="12.75">
      <c r="A1484" s="65"/>
      <c r="B1484" s="65"/>
      <c r="C1484" s="65"/>
      <c r="D1484" s="65"/>
      <c r="E1484" s="65" t="str">
        <v>---</v>
      </c>
      <c r="F1484" s="65"/>
      <c r="G1484" s="65"/>
      <c r="H1484" s="65"/>
      <c r="I1484" s="65"/>
      <c r="J1484" s="65"/>
      <c r="K1484" s="65" t="s">
        <v>1832</v>
      </c>
      <c r="L1484" s="65"/>
      <c r="M1484" s="65"/>
      <c r="N1484" s="65"/>
    </row>
    <row r="1485" spans="1:14" ht="12.75">
      <c r="A1485" s="65"/>
      <c r="B1485" s="65"/>
      <c r="C1485" s="65"/>
      <c r="D1485" s="65"/>
      <c r="E1485" s="65" t="str">
        <v>---</v>
      </c>
      <c r="F1485" s="65"/>
      <c r="G1485" s="65"/>
      <c r="H1485" s="65"/>
      <c r="I1485" s="65"/>
      <c r="J1485" s="65"/>
      <c r="K1485" s="65" t="s">
        <v>1833</v>
      </c>
      <c r="L1485" s="65"/>
      <c r="M1485" s="65"/>
      <c r="N1485" s="65"/>
    </row>
    <row r="1486" spans="1:14" ht="12.75">
      <c r="A1486" s="65"/>
      <c r="B1486" s="65"/>
      <c r="C1486" s="65"/>
      <c r="D1486" s="65"/>
      <c r="E1486" s="65" t="str">
        <v>---</v>
      </c>
      <c r="F1486" s="65"/>
      <c r="G1486" s="65"/>
      <c r="H1486" s="65"/>
      <c r="I1486" s="65"/>
      <c r="J1486" s="65"/>
      <c r="K1486" s="65" t="s">
        <v>1834</v>
      </c>
      <c r="L1486" s="65"/>
      <c r="M1486" s="65"/>
      <c r="N1486" s="65"/>
    </row>
    <row r="1487" spans="1:14" ht="12.75">
      <c r="A1487" s="65"/>
      <c r="B1487" s="65"/>
      <c r="C1487" s="65"/>
      <c r="D1487" s="65"/>
      <c r="E1487" s="65" t="str">
        <v>---</v>
      </c>
      <c r="F1487" s="65"/>
      <c r="G1487" s="65"/>
      <c r="H1487" s="65"/>
      <c r="I1487" s="65"/>
      <c r="J1487" s="65"/>
      <c r="K1487" s="65" t="s">
        <v>1835</v>
      </c>
      <c r="L1487" s="65"/>
      <c r="M1487" s="65"/>
      <c r="N1487" s="65"/>
    </row>
    <row r="1488" spans="1:14" ht="12.75">
      <c r="A1488" s="65"/>
      <c r="B1488" s="65"/>
      <c r="C1488" s="65"/>
      <c r="D1488" s="65"/>
      <c r="E1488" s="65" t="str">
        <v>---</v>
      </c>
      <c r="F1488" s="65"/>
      <c r="G1488" s="65"/>
      <c r="H1488" s="65"/>
      <c r="I1488" s="65"/>
      <c r="J1488" s="65"/>
      <c r="K1488" s="65" t="s">
        <v>1836</v>
      </c>
      <c r="L1488" s="65"/>
      <c r="M1488" s="65"/>
      <c r="N1488" s="65"/>
    </row>
    <row r="1489" spans="1:14" ht="12.75">
      <c r="A1489" s="65"/>
      <c r="B1489" s="65"/>
      <c r="C1489" s="65"/>
      <c r="D1489" s="65"/>
      <c r="E1489" s="65" t="str">
        <v>---</v>
      </c>
      <c r="F1489" s="65"/>
      <c r="G1489" s="65"/>
      <c r="H1489" s="65"/>
      <c r="I1489" s="65"/>
      <c r="J1489" s="65"/>
      <c r="K1489" s="65" t="s">
        <v>1837</v>
      </c>
      <c r="L1489" s="65"/>
      <c r="M1489" s="65"/>
      <c r="N1489" s="65"/>
    </row>
    <row r="1490" spans="1:14" ht="12.75">
      <c r="A1490" s="65"/>
      <c r="B1490" s="65"/>
      <c r="C1490" s="65"/>
      <c r="D1490" s="65"/>
      <c r="E1490" s="65" t="str">
        <v>---</v>
      </c>
      <c r="F1490" s="65"/>
      <c r="G1490" s="65"/>
      <c r="H1490" s="65"/>
      <c r="I1490" s="65"/>
      <c r="J1490" s="65"/>
      <c r="K1490" s="65" t="s">
        <v>1838</v>
      </c>
      <c r="L1490" s="65"/>
      <c r="M1490" s="65"/>
      <c r="N1490" s="65"/>
    </row>
    <row r="1491" spans="1:14" ht="12.75">
      <c r="A1491" s="65"/>
      <c r="B1491" s="65"/>
      <c r="C1491" s="65"/>
      <c r="D1491" s="65"/>
      <c r="E1491" s="65" t="str">
        <v>---</v>
      </c>
      <c r="F1491" s="65"/>
      <c r="G1491" s="65"/>
      <c r="H1491" s="65"/>
      <c r="I1491" s="65"/>
      <c r="J1491" s="65"/>
      <c r="K1491" s="65" t="s">
        <v>1839</v>
      </c>
      <c r="L1491" s="65"/>
      <c r="M1491" s="65"/>
      <c r="N1491" s="65"/>
    </row>
    <row r="1492" spans="1:14" ht="12.75">
      <c r="A1492" s="65"/>
      <c r="B1492" s="65"/>
      <c r="C1492" s="65"/>
      <c r="D1492" s="65"/>
      <c r="E1492" s="65" t="str">
        <v>---</v>
      </c>
      <c r="F1492" s="65"/>
      <c r="G1492" s="65"/>
      <c r="H1492" s="65"/>
      <c r="I1492" s="65"/>
      <c r="J1492" s="65"/>
      <c r="K1492" s="65" t="s">
        <v>1840</v>
      </c>
      <c r="L1492" s="65"/>
      <c r="M1492" s="65"/>
      <c r="N1492" s="65"/>
    </row>
    <row r="1493" spans="1:14" ht="12.75">
      <c r="A1493" s="65"/>
      <c r="B1493" s="65"/>
      <c r="C1493" s="65"/>
      <c r="D1493" s="65"/>
      <c r="E1493" s="65" t="str">
        <v>---</v>
      </c>
      <c r="F1493" s="65"/>
      <c r="G1493" s="65"/>
      <c r="H1493" s="65"/>
      <c r="I1493" s="65"/>
      <c r="J1493" s="65"/>
      <c r="K1493" s="65" t="s">
        <v>1841</v>
      </c>
      <c r="L1493" s="65"/>
      <c r="M1493" s="65"/>
      <c r="N1493" s="65"/>
    </row>
    <row r="1494" spans="1:14" ht="12.75">
      <c r="A1494" s="65"/>
      <c r="B1494" s="65"/>
      <c r="C1494" s="65"/>
      <c r="D1494" s="65"/>
      <c r="E1494" s="65" t="str">
        <v>---</v>
      </c>
      <c r="F1494" s="65"/>
      <c r="G1494" s="65"/>
      <c r="H1494" s="65"/>
      <c r="I1494" s="65"/>
      <c r="J1494" s="65"/>
      <c r="K1494" s="65" t="s">
        <v>1842</v>
      </c>
      <c r="L1494" s="65"/>
      <c r="M1494" s="65"/>
      <c r="N1494" s="65"/>
    </row>
    <row r="1495" spans="1:14" ht="12.75">
      <c r="A1495" s="65"/>
      <c r="B1495" s="65"/>
      <c r="C1495" s="65"/>
      <c r="D1495" s="65"/>
      <c r="E1495" s="65" t="str">
        <v>---</v>
      </c>
      <c r="F1495" s="65"/>
      <c r="G1495" s="65"/>
      <c r="H1495" s="65"/>
      <c r="I1495" s="65"/>
      <c r="J1495" s="65"/>
      <c r="K1495" s="65" t="s">
        <v>1843</v>
      </c>
      <c r="L1495" s="65"/>
      <c r="M1495" s="65"/>
      <c r="N1495" s="65"/>
    </row>
    <row r="1496" spans="1:14" ht="12.75">
      <c r="A1496" s="65"/>
      <c r="B1496" s="65"/>
      <c r="C1496" s="65"/>
      <c r="D1496" s="65"/>
      <c r="E1496" s="65" t="str">
        <v>---</v>
      </c>
      <c r="F1496" s="65"/>
      <c r="G1496" s="65"/>
      <c r="H1496" s="65"/>
      <c r="I1496" s="65"/>
      <c r="J1496" s="65"/>
      <c r="K1496" s="65" t="s">
        <v>1844</v>
      </c>
      <c r="L1496" s="65"/>
      <c r="M1496" s="65"/>
      <c r="N1496" s="65"/>
    </row>
    <row r="1497" spans="1:14" ht="12.75">
      <c r="A1497" s="65"/>
      <c r="B1497" s="65"/>
      <c r="C1497" s="65"/>
      <c r="D1497" s="65"/>
      <c r="E1497" s="65" t="str">
        <v>---</v>
      </c>
      <c r="F1497" s="65"/>
      <c r="G1497" s="65"/>
      <c r="H1497" s="65"/>
      <c r="I1497" s="65"/>
      <c r="J1497" s="65"/>
      <c r="K1497" s="65" t="s">
        <v>1845</v>
      </c>
      <c r="L1497" s="65"/>
      <c r="M1497" s="65"/>
      <c r="N1497" s="65"/>
    </row>
    <row r="1498" spans="1:14" ht="12.75">
      <c r="A1498" s="65"/>
      <c r="B1498" s="65"/>
      <c r="C1498" s="65"/>
      <c r="D1498" s="65"/>
      <c r="E1498" s="65" t="str">
        <v>---</v>
      </c>
      <c r="F1498" s="65"/>
      <c r="G1498" s="65"/>
      <c r="H1498" s="65"/>
      <c r="I1498" s="65"/>
      <c r="J1498" s="65"/>
      <c r="K1498" s="65" t="s">
        <v>1846</v>
      </c>
      <c r="L1498" s="65"/>
      <c r="M1498" s="65"/>
      <c r="N1498" s="65"/>
    </row>
    <row r="1499" spans="1:14" ht="12.75">
      <c r="A1499" s="65"/>
      <c r="B1499" s="65"/>
      <c r="C1499" s="65"/>
      <c r="D1499" s="65"/>
      <c r="E1499" s="65" t="str">
        <v>---</v>
      </c>
      <c r="F1499" s="65"/>
      <c r="G1499" s="65"/>
      <c r="H1499" s="65"/>
      <c r="I1499" s="65"/>
      <c r="J1499" s="65"/>
      <c r="K1499" s="65" t="s">
        <v>1847</v>
      </c>
      <c r="L1499" s="65"/>
      <c r="M1499" s="65"/>
      <c r="N1499" s="65"/>
    </row>
    <row r="1500" spans="1:14" ht="12.75">
      <c r="A1500" s="65"/>
      <c r="B1500" s="65"/>
      <c r="C1500" s="65"/>
      <c r="D1500" s="65"/>
      <c r="E1500" s="65" t="str">
        <v>---</v>
      </c>
      <c r="F1500" s="65"/>
      <c r="G1500" s="65"/>
      <c r="H1500" s="65"/>
      <c r="I1500" s="65"/>
      <c r="J1500" s="65"/>
      <c r="K1500" s="65" t="s">
        <v>1848</v>
      </c>
      <c r="L1500" s="65"/>
      <c r="M1500" s="65"/>
      <c r="N1500" s="65"/>
    </row>
    <row r="1501" spans="1:14" ht="12.75">
      <c r="A1501" s="65"/>
      <c r="B1501" s="65"/>
      <c r="C1501" s="65"/>
      <c r="D1501" s="65"/>
      <c r="E1501" s="65" t="str">
        <v>---</v>
      </c>
      <c r="F1501" s="65"/>
      <c r="G1501" s="65"/>
      <c r="H1501" s="65"/>
      <c r="I1501" s="65"/>
      <c r="J1501" s="65"/>
      <c r="K1501" s="65" t="s">
        <v>1849</v>
      </c>
      <c r="L1501" s="65"/>
      <c r="M1501" s="65"/>
      <c r="N1501" s="65"/>
    </row>
    <row r="1502" spans="1:14" ht="12.75">
      <c r="A1502" s="65"/>
      <c r="B1502" s="65"/>
      <c r="C1502" s="65"/>
      <c r="D1502" s="65"/>
      <c r="E1502" s="65" t="str">
        <v>---</v>
      </c>
      <c r="F1502" s="65"/>
      <c r="G1502" s="65"/>
      <c r="H1502" s="65"/>
      <c r="I1502" s="65"/>
      <c r="J1502" s="65"/>
      <c r="K1502" s="65" t="s">
        <v>1850</v>
      </c>
      <c r="L1502" s="65"/>
      <c r="M1502" s="65"/>
      <c r="N1502" s="65"/>
    </row>
    <row r="1503" spans="1:14" ht="12.75">
      <c r="A1503" s="65"/>
      <c r="B1503" s="65"/>
      <c r="C1503" s="65"/>
      <c r="D1503" s="65"/>
      <c r="E1503" s="65" t="str">
        <v>---</v>
      </c>
      <c r="F1503" s="65"/>
      <c r="G1503" s="65"/>
      <c r="H1503" s="65"/>
      <c r="I1503" s="65"/>
      <c r="J1503" s="65"/>
      <c r="K1503" s="65" t="s">
        <v>1851</v>
      </c>
      <c r="L1503" s="65"/>
      <c r="M1503" s="65"/>
      <c r="N1503" s="65"/>
    </row>
    <row r="1504" spans="1:14" ht="12.75">
      <c r="A1504" s="65"/>
      <c r="B1504" s="65"/>
      <c r="C1504" s="65"/>
      <c r="D1504" s="65"/>
      <c r="E1504" s="65" t="str">
        <v>---</v>
      </c>
      <c r="F1504" s="65"/>
      <c r="G1504" s="65"/>
      <c r="H1504" s="65"/>
      <c r="I1504" s="65"/>
      <c r="J1504" s="65"/>
      <c r="K1504" s="65" t="s">
        <v>1852</v>
      </c>
      <c r="L1504" s="65"/>
      <c r="M1504" s="65"/>
      <c r="N1504" s="65"/>
    </row>
    <row r="1505" spans="1:14" ht="12.75">
      <c r="A1505" s="65"/>
      <c r="B1505" s="65"/>
      <c r="C1505" s="65"/>
      <c r="D1505" s="65"/>
      <c r="E1505" s="65" t="str">
        <v>---</v>
      </c>
      <c r="F1505" s="65"/>
      <c r="G1505" s="65"/>
      <c r="H1505" s="65"/>
      <c r="I1505" s="65"/>
      <c r="J1505" s="65"/>
      <c r="K1505" s="65" t="s">
        <v>1853</v>
      </c>
      <c r="L1505" s="65"/>
      <c r="M1505" s="65"/>
      <c r="N1505" s="65"/>
    </row>
    <row r="1506" spans="1:14" ht="12.75">
      <c r="A1506" s="65"/>
      <c r="B1506" s="65"/>
      <c r="C1506" s="65"/>
      <c r="D1506" s="65"/>
      <c r="E1506" s="65" t="str">
        <v>---</v>
      </c>
      <c r="F1506" s="65"/>
      <c r="G1506" s="65"/>
      <c r="H1506" s="65"/>
      <c r="I1506" s="65"/>
      <c r="J1506" s="65"/>
      <c r="K1506" s="65" t="s">
        <v>1854</v>
      </c>
      <c r="L1506" s="65"/>
      <c r="M1506" s="65"/>
      <c r="N1506" s="65"/>
    </row>
    <row r="1507" spans="1:14" ht="12.75">
      <c r="A1507" s="65"/>
      <c r="B1507" s="65"/>
      <c r="C1507" s="65"/>
      <c r="D1507" s="65"/>
      <c r="E1507" s="65" t="str">
        <v>---</v>
      </c>
      <c r="F1507" s="65"/>
      <c r="G1507" s="65"/>
      <c r="H1507" s="65"/>
      <c r="I1507" s="65"/>
      <c r="J1507" s="65"/>
      <c r="K1507" s="65" t="s">
        <v>1855</v>
      </c>
      <c r="L1507" s="65"/>
      <c r="M1507" s="65"/>
      <c r="N1507" s="65"/>
    </row>
    <row r="1508" spans="1:14" ht="12.75">
      <c r="A1508" s="65"/>
      <c r="B1508" s="65"/>
      <c r="C1508" s="65"/>
      <c r="D1508" s="65"/>
      <c r="E1508" s="65" t="str">
        <v>---</v>
      </c>
      <c r="F1508" s="65"/>
      <c r="G1508" s="65"/>
      <c r="H1508" s="65"/>
      <c r="I1508" s="65"/>
      <c r="J1508" s="65"/>
      <c r="K1508" s="65" t="s">
        <v>1856</v>
      </c>
      <c r="L1508" s="65"/>
      <c r="M1508" s="65"/>
      <c r="N1508" s="65"/>
    </row>
    <row r="1509" spans="1:14" ht="12.75">
      <c r="A1509" s="65"/>
      <c r="B1509" s="65"/>
      <c r="C1509" s="65"/>
      <c r="D1509" s="65"/>
      <c r="E1509" s="65" t="str">
        <v>---</v>
      </c>
      <c r="F1509" s="65"/>
      <c r="G1509" s="65"/>
      <c r="H1509" s="65"/>
      <c r="I1509" s="65"/>
      <c r="J1509" s="65"/>
      <c r="K1509" s="65" t="s">
        <v>1857</v>
      </c>
      <c r="L1509" s="65"/>
      <c r="M1509" s="65"/>
      <c r="N1509" s="65"/>
    </row>
    <row r="1510" spans="1:14" ht="12.75">
      <c r="A1510" s="65"/>
      <c r="B1510" s="65"/>
      <c r="C1510" s="65"/>
      <c r="D1510" s="65"/>
      <c r="E1510" s="65" t="str">
        <v>---</v>
      </c>
      <c r="F1510" s="65"/>
      <c r="G1510" s="65"/>
      <c r="H1510" s="65"/>
      <c r="I1510" s="65"/>
      <c r="J1510" s="65"/>
      <c r="K1510" s="65" t="s">
        <v>1858</v>
      </c>
      <c r="L1510" s="65"/>
      <c r="M1510" s="65"/>
      <c r="N1510" s="65"/>
    </row>
    <row r="1511" spans="1:14" ht="12.75">
      <c r="A1511" s="65"/>
      <c r="B1511" s="65"/>
      <c r="C1511" s="65"/>
      <c r="D1511" s="65"/>
      <c r="E1511" s="65" t="str">
        <v>---</v>
      </c>
      <c r="F1511" s="65"/>
      <c r="G1511" s="65"/>
      <c r="H1511" s="65"/>
      <c r="I1511" s="65"/>
      <c r="J1511" s="65"/>
      <c r="K1511" s="65" t="s">
        <v>1859</v>
      </c>
      <c r="L1511" s="65"/>
      <c r="M1511" s="65"/>
      <c r="N1511" s="65"/>
    </row>
    <row r="1512" spans="1:14" ht="12.75">
      <c r="A1512" s="65"/>
      <c r="B1512" s="65"/>
      <c r="C1512" s="65"/>
      <c r="D1512" s="65"/>
      <c r="E1512" s="65" t="str">
        <v>---</v>
      </c>
      <c r="F1512" s="65"/>
      <c r="G1512" s="65"/>
      <c r="H1512" s="65"/>
      <c r="I1512" s="65"/>
      <c r="J1512" s="65"/>
      <c r="K1512" s="65" t="s">
        <v>1860</v>
      </c>
      <c r="L1512" s="65"/>
      <c r="M1512" s="65"/>
      <c r="N1512" s="65"/>
    </row>
    <row r="1513" spans="1:14" ht="12.75">
      <c r="A1513" s="65"/>
      <c r="B1513" s="65"/>
      <c r="C1513" s="65"/>
      <c r="D1513" s="65"/>
      <c r="E1513" s="65" t="str">
        <v>---</v>
      </c>
      <c r="F1513" s="65"/>
      <c r="G1513" s="65"/>
      <c r="H1513" s="65"/>
      <c r="I1513" s="65"/>
      <c r="J1513" s="65"/>
      <c r="K1513" s="65" t="s">
        <v>1861</v>
      </c>
      <c r="L1513" s="65"/>
      <c r="M1513" s="65"/>
      <c r="N1513" s="65"/>
    </row>
    <row r="1514" spans="1:14" ht="12.75">
      <c r="A1514" s="65"/>
      <c r="B1514" s="65"/>
      <c r="C1514" s="65"/>
      <c r="D1514" s="65"/>
      <c r="E1514" s="65" t="str">
        <v>---</v>
      </c>
      <c r="F1514" s="65"/>
      <c r="G1514" s="65"/>
      <c r="H1514" s="65"/>
      <c r="I1514" s="65"/>
      <c r="J1514" s="65"/>
      <c r="K1514" s="65" t="s">
        <v>1862</v>
      </c>
      <c r="L1514" s="65"/>
      <c r="M1514" s="65"/>
      <c r="N1514" s="65"/>
    </row>
    <row r="1515" spans="1:14" ht="12.75">
      <c r="A1515" s="65"/>
      <c r="B1515" s="65"/>
      <c r="C1515" s="65"/>
      <c r="D1515" s="65"/>
      <c r="E1515" s="65" t="str">
        <v>---</v>
      </c>
      <c r="F1515" s="65"/>
      <c r="G1515" s="65"/>
      <c r="H1515" s="65"/>
      <c r="I1515" s="65"/>
      <c r="J1515" s="65"/>
      <c r="K1515" s="65" t="s">
        <v>1863</v>
      </c>
      <c r="L1515" s="65"/>
      <c r="M1515" s="65"/>
      <c r="N1515" s="65"/>
    </row>
    <row r="1516" spans="1:14" ht="12.75">
      <c r="A1516" s="65"/>
      <c r="B1516" s="65"/>
      <c r="C1516" s="65"/>
      <c r="D1516" s="65"/>
      <c r="E1516" s="65" t="str">
        <v>---</v>
      </c>
      <c r="F1516" s="65"/>
      <c r="G1516" s="65"/>
      <c r="H1516" s="65"/>
      <c r="I1516" s="65"/>
      <c r="J1516" s="65"/>
      <c r="K1516" s="65" t="s">
        <v>1864</v>
      </c>
      <c r="L1516" s="65"/>
      <c r="M1516" s="65"/>
      <c r="N1516" s="65"/>
    </row>
    <row r="1517" spans="1:14" ht="12.75">
      <c r="A1517" s="65"/>
      <c r="B1517" s="65"/>
      <c r="C1517" s="65"/>
      <c r="D1517" s="65"/>
      <c r="E1517" s="65" t="str">
        <v>---</v>
      </c>
      <c r="F1517" s="65"/>
      <c r="G1517" s="65"/>
      <c r="H1517" s="65"/>
      <c r="I1517" s="65"/>
      <c r="J1517" s="65"/>
      <c r="K1517" s="65" t="s">
        <v>1865</v>
      </c>
      <c r="L1517" s="65"/>
      <c r="M1517" s="65"/>
      <c r="N1517" s="65"/>
    </row>
    <row r="1518" spans="1:14" ht="12.75">
      <c r="A1518" s="65"/>
      <c r="B1518" s="65"/>
      <c r="C1518" s="65"/>
      <c r="D1518" s="65"/>
      <c r="E1518" s="65" t="str">
        <v>---</v>
      </c>
      <c r="F1518" s="65"/>
      <c r="G1518" s="65"/>
      <c r="H1518" s="65"/>
      <c r="I1518" s="65"/>
      <c r="J1518" s="65"/>
      <c r="K1518" s="65" t="s">
        <v>1866</v>
      </c>
      <c r="L1518" s="65"/>
      <c r="M1518" s="65"/>
      <c r="N1518" s="65"/>
    </row>
    <row r="1519" spans="1:14" ht="12.75">
      <c r="A1519" s="65"/>
      <c r="B1519" s="65"/>
      <c r="C1519" s="65"/>
      <c r="D1519" s="65"/>
      <c r="E1519" s="65" t="str">
        <v>---</v>
      </c>
      <c r="F1519" s="65"/>
      <c r="G1519" s="65"/>
      <c r="H1519" s="65"/>
      <c r="I1519" s="65"/>
      <c r="J1519" s="65"/>
      <c r="K1519" s="65" t="s">
        <v>1867</v>
      </c>
      <c r="L1519" s="65"/>
      <c r="M1519" s="65"/>
      <c r="N1519" s="65"/>
    </row>
    <row r="1520" spans="1:14" ht="12.75">
      <c r="A1520" s="65"/>
      <c r="B1520" s="65"/>
      <c r="C1520" s="65"/>
      <c r="D1520" s="65"/>
      <c r="E1520" s="65" t="str">
        <v>---</v>
      </c>
      <c r="F1520" s="65"/>
      <c r="G1520" s="65"/>
      <c r="H1520" s="65"/>
      <c r="I1520" s="65"/>
      <c r="J1520" s="65"/>
      <c r="K1520" s="65" t="s">
        <v>1868</v>
      </c>
      <c r="L1520" s="65"/>
      <c r="M1520" s="65"/>
      <c r="N1520" s="65"/>
    </row>
    <row r="1521" spans="1:14" ht="12.75">
      <c r="A1521" s="65"/>
      <c r="B1521" s="65"/>
      <c r="C1521" s="65"/>
      <c r="D1521" s="65"/>
      <c r="E1521" s="65" t="str">
        <v>---</v>
      </c>
      <c r="F1521" s="65"/>
      <c r="G1521" s="65"/>
      <c r="H1521" s="65"/>
      <c r="I1521" s="65"/>
      <c r="J1521" s="65"/>
      <c r="K1521" s="65" t="s">
        <v>1869</v>
      </c>
      <c r="L1521" s="65"/>
      <c r="M1521" s="65"/>
      <c r="N1521" s="65"/>
    </row>
    <row r="1522" spans="1:14" ht="12.75">
      <c r="A1522" s="65"/>
      <c r="B1522" s="65"/>
      <c r="C1522" s="65"/>
      <c r="D1522" s="65"/>
      <c r="E1522" s="65" t="str">
        <v>---</v>
      </c>
      <c r="F1522" s="65"/>
      <c r="G1522" s="65"/>
      <c r="H1522" s="65"/>
      <c r="I1522" s="65"/>
      <c r="J1522" s="65"/>
      <c r="K1522" s="65" t="s">
        <v>1870</v>
      </c>
      <c r="L1522" s="65"/>
      <c r="M1522" s="65"/>
      <c r="N1522" s="65"/>
    </row>
    <row r="1523" spans="1:14" ht="12.75">
      <c r="A1523" s="65"/>
      <c r="B1523" s="65"/>
      <c r="C1523" s="65"/>
      <c r="D1523" s="65"/>
      <c r="E1523" s="65" t="str">
        <v>---</v>
      </c>
      <c r="F1523" s="65"/>
      <c r="G1523" s="65"/>
      <c r="H1523" s="65"/>
      <c r="I1523" s="65"/>
      <c r="J1523" s="65"/>
      <c r="K1523" s="65" t="s">
        <v>1871</v>
      </c>
      <c r="L1523" s="65"/>
      <c r="M1523" s="65"/>
      <c r="N1523" s="65"/>
    </row>
    <row r="1524" spans="1:14" ht="12.75">
      <c r="A1524" s="65"/>
      <c r="B1524" s="65"/>
      <c r="C1524" s="65"/>
      <c r="D1524" s="65"/>
      <c r="E1524" s="65" t="str">
        <v>---</v>
      </c>
      <c r="F1524" s="65"/>
      <c r="G1524" s="65"/>
      <c r="H1524" s="65"/>
      <c r="I1524" s="65"/>
      <c r="J1524" s="65"/>
      <c r="K1524" s="65" t="s">
        <v>1872</v>
      </c>
      <c r="L1524" s="65"/>
      <c r="M1524" s="65"/>
      <c r="N1524" s="65"/>
    </row>
    <row r="1525" spans="1:14" ht="12.75">
      <c r="A1525" s="65"/>
      <c r="B1525" s="65"/>
      <c r="C1525" s="65"/>
      <c r="D1525" s="65"/>
      <c r="E1525" s="65" t="str">
        <v>---</v>
      </c>
      <c r="F1525" s="65"/>
      <c r="G1525" s="65"/>
      <c r="H1525" s="65"/>
      <c r="I1525" s="65"/>
      <c r="J1525" s="65"/>
      <c r="K1525" s="65" t="s">
        <v>1873</v>
      </c>
      <c r="L1525" s="65"/>
      <c r="M1525" s="65"/>
      <c r="N1525" s="65"/>
    </row>
    <row r="1526" spans="1:14" ht="12.75">
      <c r="A1526" s="65"/>
      <c r="B1526" s="65"/>
      <c r="C1526" s="65"/>
      <c r="D1526" s="65"/>
      <c r="E1526" s="65" t="str">
        <v>---</v>
      </c>
      <c r="F1526" s="65"/>
      <c r="G1526" s="65"/>
      <c r="H1526" s="65"/>
      <c r="I1526" s="65"/>
      <c r="J1526" s="65"/>
      <c r="K1526" s="65" t="s">
        <v>1874</v>
      </c>
      <c r="L1526" s="65"/>
      <c r="M1526" s="65"/>
      <c r="N1526" s="65"/>
    </row>
    <row r="1527" spans="1:14" ht="12.75">
      <c r="A1527" s="65"/>
      <c r="B1527" s="65"/>
      <c r="C1527" s="65"/>
      <c r="D1527" s="65"/>
      <c r="E1527" s="65" t="str">
        <v>---</v>
      </c>
      <c r="F1527" s="65"/>
      <c r="G1527" s="65"/>
      <c r="H1527" s="65"/>
      <c r="I1527" s="65"/>
      <c r="J1527" s="65"/>
      <c r="K1527" s="65" t="s">
        <v>1875</v>
      </c>
      <c r="L1527" s="65"/>
      <c r="M1527" s="65"/>
      <c r="N1527" s="65"/>
    </row>
    <row r="1528" spans="1:14" ht="12.75">
      <c r="A1528" s="65"/>
      <c r="B1528" s="65"/>
      <c r="C1528" s="65"/>
      <c r="D1528" s="65"/>
      <c r="E1528" s="65" t="str">
        <v>---</v>
      </c>
      <c r="F1528" s="65"/>
      <c r="G1528" s="65"/>
      <c r="H1528" s="65"/>
      <c r="I1528" s="65"/>
      <c r="J1528" s="65"/>
      <c r="K1528" s="65" t="s">
        <v>1876</v>
      </c>
      <c r="L1528" s="65"/>
      <c r="M1528" s="65"/>
      <c r="N1528" s="65"/>
    </row>
    <row r="1529" spans="1:14" ht="12.75">
      <c r="A1529" s="65"/>
      <c r="B1529" s="65"/>
      <c r="C1529" s="65"/>
      <c r="D1529" s="65"/>
      <c r="E1529" s="65" t="str">
        <v>---</v>
      </c>
      <c r="F1529" s="65"/>
      <c r="G1529" s="65"/>
      <c r="H1529" s="65"/>
      <c r="I1529" s="65"/>
      <c r="J1529" s="65"/>
      <c r="K1529" s="65" t="s">
        <v>1877</v>
      </c>
      <c r="L1529" s="65"/>
      <c r="M1529" s="65"/>
      <c r="N1529" s="65"/>
    </row>
    <row r="1530" spans="1:14" ht="12.75">
      <c r="A1530" s="65"/>
      <c r="B1530" s="65"/>
      <c r="C1530" s="65"/>
      <c r="D1530" s="65"/>
      <c r="E1530" s="65" t="str">
        <v>---</v>
      </c>
      <c r="F1530" s="65"/>
      <c r="G1530" s="65"/>
      <c r="H1530" s="65"/>
      <c r="I1530" s="65"/>
      <c r="J1530" s="65"/>
      <c r="K1530" s="65" t="s">
        <v>1878</v>
      </c>
      <c r="L1530" s="65"/>
      <c r="M1530" s="65"/>
      <c r="N1530" s="65"/>
    </row>
    <row r="1531" spans="1:14" ht="12.75">
      <c r="A1531" s="65"/>
      <c r="B1531" s="65"/>
      <c r="C1531" s="65"/>
      <c r="D1531" s="65"/>
      <c r="E1531" s="65" t="str">
        <v>---</v>
      </c>
      <c r="F1531" s="65"/>
      <c r="G1531" s="65"/>
      <c r="H1531" s="65"/>
      <c r="I1531" s="65"/>
      <c r="J1531" s="65"/>
      <c r="K1531" s="65" t="s">
        <v>1879</v>
      </c>
      <c r="L1531" s="65"/>
      <c r="M1531" s="65"/>
      <c r="N1531" s="65"/>
    </row>
    <row r="1532" spans="1:14" ht="12.75">
      <c r="A1532" s="65"/>
      <c r="B1532" s="65"/>
      <c r="C1532" s="65"/>
      <c r="D1532" s="65"/>
      <c r="E1532" s="65" t="str">
        <v>---</v>
      </c>
      <c r="F1532" s="65"/>
      <c r="G1532" s="65"/>
      <c r="H1532" s="65"/>
      <c r="I1532" s="65"/>
      <c r="J1532" s="65"/>
      <c r="K1532" s="65" t="s">
        <v>1880</v>
      </c>
      <c r="L1532" s="65"/>
      <c r="M1532" s="65"/>
      <c r="N1532" s="65"/>
    </row>
    <row r="1533" spans="1:14" ht="12.75">
      <c r="A1533" s="65"/>
      <c r="B1533" s="65"/>
      <c r="C1533" s="65"/>
      <c r="D1533" s="65"/>
      <c r="E1533" s="65" t="str">
        <v>---</v>
      </c>
      <c r="F1533" s="65"/>
      <c r="G1533" s="65"/>
      <c r="H1533" s="65"/>
      <c r="I1533" s="65"/>
      <c r="J1533" s="65"/>
      <c r="K1533" s="65" t="s">
        <v>1881</v>
      </c>
      <c r="L1533" s="65"/>
      <c r="M1533" s="65"/>
      <c r="N1533" s="65"/>
    </row>
    <row r="1534" spans="1:14" ht="12.75">
      <c r="A1534" s="65"/>
      <c r="B1534" s="65"/>
      <c r="C1534" s="65"/>
      <c r="D1534" s="65"/>
      <c r="E1534" s="65" t="str">
        <v>---</v>
      </c>
      <c r="F1534" s="65"/>
      <c r="G1534" s="65"/>
      <c r="H1534" s="65"/>
      <c r="I1534" s="65"/>
      <c r="J1534" s="65"/>
      <c r="K1534" s="65" t="s">
        <v>1882</v>
      </c>
      <c r="L1534" s="65"/>
      <c r="M1534" s="65"/>
      <c r="N1534" s="65"/>
    </row>
    <row r="1535" spans="1:14" ht="12.75">
      <c r="A1535" s="65"/>
      <c r="B1535" s="65"/>
      <c r="C1535" s="65"/>
      <c r="D1535" s="65"/>
      <c r="E1535" s="65" t="str">
        <v>---</v>
      </c>
      <c r="F1535" s="65"/>
      <c r="G1535" s="65"/>
      <c r="H1535" s="65"/>
      <c r="I1535" s="65"/>
      <c r="J1535" s="65"/>
      <c r="K1535" s="65" t="s">
        <v>1883</v>
      </c>
      <c r="L1535" s="65"/>
      <c r="M1535" s="65"/>
      <c r="N1535" s="65"/>
    </row>
    <row r="1536" spans="1:14" ht="12.75">
      <c r="A1536" s="65"/>
      <c r="B1536" s="65"/>
      <c r="C1536" s="65"/>
      <c r="D1536" s="65"/>
      <c r="E1536" s="65" t="str">
        <v>---</v>
      </c>
      <c r="F1536" s="65"/>
      <c r="G1536" s="65"/>
      <c r="H1536" s="65"/>
      <c r="I1536" s="65"/>
      <c r="J1536" s="65"/>
      <c r="K1536" s="65" t="s">
        <v>1884</v>
      </c>
      <c r="L1536" s="65"/>
      <c r="M1536" s="65"/>
      <c r="N1536" s="65"/>
    </row>
    <row r="1537" spans="1:14" ht="12.75">
      <c r="A1537" s="65"/>
      <c r="B1537" s="65"/>
      <c r="C1537" s="65"/>
      <c r="D1537" s="65"/>
      <c r="E1537" s="65" t="str">
        <v>---</v>
      </c>
      <c r="F1537" s="65"/>
      <c r="G1537" s="65"/>
      <c r="H1537" s="65"/>
      <c r="I1537" s="65"/>
      <c r="J1537" s="65"/>
      <c r="K1537" s="65" t="s">
        <v>1885</v>
      </c>
      <c r="L1537" s="65"/>
      <c r="M1537" s="65"/>
      <c r="N1537" s="65"/>
    </row>
    <row r="1538" spans="1:14" ht="12.75">
      <c r="A1538" s="65"/>
      <c r="B1538" s="65"/>
      <c r="C1538" s="65"/>
      <c r="D1538" s="65"/>
      <c r="E1538" s="65" t="str">
        <v>---</v>
      </c>
      <c r="F1538" s="65"/>
      <c r="G1538" s="65"/>
      <c r="H1538" s="65"/>
      <c r="I1538" s="65"/>
      <c r="J1538" s="65"/>
      <c r="K1538" s="65" t="s">
        <v>1886</v>
      </c>
      <c r="L1538" s="65"/>
      <c r="M1538" s="65"/>
      <c r="N1538" s="65"/>
    </row>
    <row r="1539" spans="1:14" ht="12.75">
      <c r="A1539" s="65"/>
      <c r="B1539" s="65"/>
      <c r="C1539" s="65"/>
      <c r="D1539" s="65"/>
      <c r="E1539" s="65" t="str">
        <v>---</v>
      </c>
      <c r="F1539" s="65"/>
      <c r="G1539" s="65"/>
      <c r="H1539" s="65"/>
      <c r="I1539" s="65"/>
      <c r="J1539" s="65"/>
      <c r="K1539" s="65" t="s">
        <v>1887</v>
      </c>
      <c r="L1539" s="65"/>
      <c r="M1539" s="65"/>
      <c r="N1539" s="65"/>
    </row>
    <row r="1540" spans="1:14" ht="12.75">
      <c r="A1540" s="65"/>
      <c r="B1540" s="65"/>
      <c r="C1540" s="65"/>
      <c r="D1540" s="65"/>
      <c r="E1540" s="65" t="str">
        <v>---</v>
      </c>
      <c r="F1540" s="65"/>
      <c r="G1540" s="65"/>
      <c r="H1540" s="65"/>
      <c r="I1540" s="65"/>
      <c r="J1540" s="65"/>
      <c r="K1540" s="65" t="s">
        <v>1888</v>
      </c>
      <c r="L1540" s="65"/>
      <c r="M1540" s="65"/>
      <c r="N1540" s="65"/>
    </row>
    <row r="1541" spans="1:14" ht="12.75">
      <c r="A1541" s="65"/>
      <c r="B1541" s="65"/>
      <c r="C1541" s="65"/>
      <c r="D1541" s="65"/>
      <c r="E1541" s="65" t="str">
        <v>---</v>
      </c>
      <c r="F1541" s="65"/>
      <c r="G1541" s="65"/>
      <c r="H1541" s="65"/>
      <c r="I1541" s="65"/>
      <c r="J1541" s="65"/>
      <c r="K1541" s="65" t="s">
        <v>1889</v>
      </c>
      <c r="L1541" s="65"/>
      <c r="M1541" s="65"/>
      <c r="N1541" s="65"/>
    </row>
    <row r="1542" spans="1:14" ht="12.75">
      <c r="A1542" s="65"/>
      <c r="B1542" s="65"/>
      <c r="C1542" s="65"/>
      <c r="D1542" s="65"/>
      <c r="E1542" s="65" t="str">
        <v>---</v>
      </c>
      <c r="F1542" s="65"/>
      <c r="G1542" s="65"/>
      <c r="H1542" s="65"/>
      <c r="I1542" s="65"/>
      <c r="J1542" s="65"/>
      <c r="K1542" s="65" t="s">
        <v>1890</v>
      </c>
      <c r="L1542" s="65"/>
      <c r="M1542" s="65"/>
      <c r="N1542" s="65"/>
    </row>
    <row r="1543" spans="1:14" ht="12.75">
      <c r="A1543" s="65"/>
      <c r="B1543" s="65"/>
      <c r="C1543" s="65"/>
      <c r="D1543" s="65"/>
      <c r="E1543" s="65" t="str">
        <v>---</v>
      </c>
      <c r="F1543" s="65"/>
      <c r="G1543" s="65"/>
      <c r="H1543" s="65"/>
      <c r="I1543" s="65"/>
      <c r="J1543" s="65"/>
      <c r="K1543" s="65" t="s">
        <v>1891</v>
      </c>
      <c r="L1543" s="65"/>
      <c r="M1543" s="65"/>
      <c r="N1543" s="65"/>
    </row>
    <row r="1544" spans="1:14" ht="12.75">
      <c r="A1544" s="65"/>
      <c r="B1544" s="65"/>
      <c r="C1544" s="65"/>
      <c r="D1544" s="65"/>
      <c r="E1544" s="65" t="str">
        <v>---</v>
      </c>
      <c r="F1544" s="65"/>
      <c r="G1544" s="65"/>
      <c r="H1544" s="65"/>
      <c r="I1544" s="65"/>
      <c r="J1544" s="65"/>
      <c r="K1544" s="65" t="s">
        <v>1892</v>
      </c>
      <c r="L1544" s="65"/>
      <c r="M1544" s="65"/>
      <c r="N1544" s="65"/>
    </row>
    <row r="1545" spans="1:14" ht="12.75">
      <c r="A1545" s="65"/>
      <c r="B1545" s="65"/>
      <c r="C1545" s="65"/>
      <c r="D1545" s="65"/>
      <c r="E1545" s="65" t="str">
        <v>---</v>
      </c>
      <c r="F1545" s="65"/>
      <c r="G1545" s="65"/>
      <c r="H1545" s="65"/>
      <c r="I1545" s="65"/>
      <c r="J1545" s="65"/>
      <c r="K1545" s="65" t="s">
        <v>1893</v>
      </c>
      <c r="L1545" s="65"/>
      <c r="M1545" s="65"/>
      <c r="N1545" s="65"/>
    </row>
    <row r="1546" spans="1:14" ht="12.75">
      <c r="A1546" s="65"/>
      <c r="B1546" s="65"/>
      <c r="C1546" s="65"/>
      <c r="D1546" s="65"/>
      <c r="E1546" s="65" t="str">
        <v>---</v>
      </c>
      <c r="F1546" s="65"/>
      <c r="G1546" s="65"/>
      <c r="H1546" s="65"/>
      <c r="I1546" s="65"/>
      <c r="J1546" s="65"/>
      <c r="K1546" s="65" t="s">
        <v>1894</v>
      </c>
      <c r="L1546" s="65"/>
      <c r="M1546" s="65"/>
      <c r="N1546" s="65"/>
    </row>
    <row r="1547" spans="1:14" ht="12.75">
      <c r="A1547" s="65"/>
      <c r="B1547" s="65"/>
      <c r="C1547" s="65"/>
      <c r="D1547" s="65"/>
      <c r="E1547" s="65" t="str">
        <v>---</v>
      </c>
      <c r="F1547" s="65"/>
      <c r="G1547" s="65"/>
      <c r="H1547" s="65"/>
      <c r="I1547" s="65"/>
      <c r="J1547" s="65"/>
      <c r="K1547" s="65" t="s">
        <v>1895</v>
      </c>
      <c r="L1547" s="65"/>
      <c r="M1547" s="65"/>
      <c r="N1547" s="65"/>
    </row>
    <row r="1548" spans="1:14" ht="12.75">
      <c r="A1548" s="65"/>
      <c r="B1548" s="65"/>
      <c r="C1548" s="65"/>
      <c r="D1548" s="65"/>
      <c r="E1548" s="65" t="str">
        <v>---</v>
      </c>
      <c r="F1548" s="65"/>
      <c r="G1548" s="65"/>
      <c r="H1548" s="65"/>
      <c r="I1548" s="65"/>
      <c r="J1548" s="65"/>
      <c r="K1548" s="65" t="s">
        <v>1896</v>
      </c>
      <c r="L1548" s="65"/>
      <c r="M1548" s="65"/>
      <c r="N1548" s="65"/>
    </row>
    <row r="1549" spans="1:14" ht="12.75">
      <c r="A1549" s="65"/>
      <c r="B1549" s="65"/>
      <c r="C1549" s="65"/>
      <c r="D1549" s="65"/>
      <c r="E1549" s="65" t="str">
        <v>---</v>
      </c>
      <c r="F1549" s="65"/>
      <c r="G1549" s="65"/>
      <c r="H1549" s="65"/>
      <c r="I1549" s="65"/>
      <c r="J1549" s="65"/>
      <c r="K1549" s="65" t="s">
        <v>1897</v>
      </c>
      <c r="L1549" s="65"/>
      <c r="M1549" s="65"/>
      <c r="N1549" s="65"/>
    </row>
    <row r="1550" spans="1:14" ht="12.75">
      <c r="A1550" s="65"/>
      <c r="B1550" s="65"/>
      <c r="C1550" s="65"/>
      <c r="D1550" s="65"/>
      <c r="E1550" s="65" t="str">
        <v>---</v>
      </c>
      <c r="F1550" s="65"/>
      <c r="G1550" s="65"/>
      <c r="H1550" s="65"/>
      <c r="I1550" s="65"/>
      <c r="J1550" s="65"/>
      <c r="K1550" s="65" t="s">
        <v>1898</v>
      </c>
      <c r="L1550" s="65"/>
      <c r="M1550" s="65"/>
      <c r="N1550" s="65"/>
    </row>
    <row r="1551" spans="1:14" ht="12.75">
      <c r="A1551" s="65"/>
      <c r="B1551" s="65"/>
      <c r="C1551" s="65"/>
      <c r="D1551" s="65"/>
      <c r="E1551" s="65" t="str">
        <v>---</v>
      </c>
      <c r="F1551" s="65"/>
      <c r="G1551" s="65"/>
      <c r="H1551" s="65"/>
      <c r="I1551" s="65"/>
      <c r="J1551" s="65"/>
      <c r="K1551" s="65" t="s">
        <v>1899</v>
      </c>
      <c r="L1551" s="65"/>
      <c r="M1551" s="65"/>
      <c r="N1551" s="65"/>
    </row>
    <row r="1552" spans="1:14" ht="12.75">
      <c r="A1552" s="65"/>
      <c r="B1552" s="65"/>
      <c r="C1552" s="65"/>
      <c r="D1552" s="65"/>
      <c r="E1552" s="65" t="str">
        <v>---</v>
      </c>
      <c r="F1552" s="65"/>
      <c r="G1552" s="65"/>
      <c r="H1552" s="65"/>
      <c r="I1552" s="65"/>
      <c r="J1552" s="65"/>
      <c r="K1552" s="65" t="s">
        <v>1900</v>
      </c>
      <c r="L1552" s="65"/>
      <c r="M1552" s="65"/>
      <c r="N1552" s="65"/>
    </row>
    <row r="1553" spans="1:14" ht="12.75">
      <c r="A1553" s="65"/>
      <c r="B1553" s="65"/>
      <c r="C1553" s="65"/>
      <c r="D1553" s="65"/>
      <c r="E1553" s="65" t="str">
        <v>---</v>
      </c>
      <c r="F1553" s="65"/>
      <c r="G1553" s="65"/>
      <c r="H1553" s="65"/>
      <c r="I1553" s="65"/>
      <c r="J1553" s="65"/>
      <c r="K1553" s="65" t="s">
        <v>1901</v>
      </c>
      <c r="L1553" s="65"/>
      <c r="M1553" s="65"/>
      <c r="N1553" s="65"/>
    </row>
    <row r="1554" spans="1:14" ht="12.75">
      <c r="A1554" s="65"/>
      <c r="B1554" s="65"/>
      <c r="C1554" s="65"/>
      <c r="D1554" s="65"/>
      <c r="E1554" s="65" t="str">
        <v>---</v>
      </c>
      <c r="F1554" s="65"/>
      <c r="G1554" s="65"/>
      <c r="H1554" s="65"/>
      <c r="I1554" s="65"/>
      <c r="J1554" s="65"/>
      <c r="K1554" s="65" t="s">
        <v>1902</v>
      </c>
      <c r="L1554" s="65"/>
      <c r="M1554" s="65"/>
      <c r="N1554" s="65"/>
    </row>
    <row r="1555" spans="1:14" ht="12.75">
      <c r="A1555" s="65"/>
      <c r="B1555" s="65"/>
      <c r="C1555" s="65"/>
      <c r="D1555" s="65"/>
      <c r="E1555" s="65" t="str">
        <v>---</v>
      </c>
      <c r="F1555" s="65"/>
      <c r="G1555" s="65"/>
      <c r="H1555" s="65"/>
      <c r="I1555" s="65"/>
      <c r="J1555" s="65"/>
      <c r="K1555" s="65" t="s">
        <v>1903</v>
      </c>
      <c r="L1555" s="65"/>
      <c r="M1555" s="65"/>
      <c r="N1555" s="65"/>
    </row>
    <row r="1556" spans="1:14" ht="12.75">
      <c r="A1556" s="65"/>
      <c r="B1556" s="65"/>
      <c r="C1556" s="65"/>
      <c r="D1556" s="65"/>
      <c r="E1556" s="65" t="str">
        <v>---</v>
      </c>
      <c r="F1556" s="65"/>
      <c r="G1556" s="65"/>
      <c r="H1556" s="65"/>
      <c r="I1556" s="65"/>
      <c r="J1556" s="65"/>
      <c r="K1556" s="65" t="s">
        <v>1904</v>
      </c>
      <c r="L1556" s="65"/>
      <c r="M1556" s="65"/>
      <c r="N1556" s="65"/>
    </row>
    <row r="1557" spans="1:14" ht="12.75">
      <c r="A1557" s="65"/>
      <c r="B1557" s="65"/>
      <c r="C1557" s="65"/>
      <c r="D1557" s="65"/>
      <c r="E1557" s="65" t="str">
        <v>---</v>
      </c>
      <c r="F1557" s="65"/>
      <c r="G1557" s="65"/>
      <c r="H1557" s="65"/>
      <c r="I1557" s="65"/>
      <c r="J1557" s="65"/>
      <c r="K1557" s="65" t="s">
        <v>1905</v>
      </c>
      <c r="L1557" s="65"/>
      <c r="M1557" s="65"/>
      <c r="N1557" s="65"/>
    </row>
    <row r="1558" spans="1:14" ht="12.75">
      <c r="A1558" s="65"/>
      <c r="B1558" s="65"/>
      <c r="C1558" s="65"/>
      <c r="D1558" s="65"/>
      <c r="E1558" s="65" t="str">
        <v>---</v>
      </c>
      <c r="F1558" s="65"/>
      <c r="G1558" s="65"/>
      <c r="H1558" s="65"/>
      <c r="I1558" s="65"/>
      <c r="J1558" s="65"/>
      <c r="K1558" s="65" t="s">
        <v>1906</v>
      </c>
      <c r="L1558" s="65"/>
      <c r="M1558" s="65"/>
      <c r="N1558" s="65"/>
    </row>
    <row r="1559" spans="1:14" ht="12.75">
      <c r="A1559" s="65"/>
      <c r="B1559" s="65"/>
      <c r="C1559" s="65"/>
      <c r="D1559" s="65"/>
      <c r="E1559" s="65" t="str">
        <v>---</v>
      </c>
      <c r="F1559" s="65"/>
      <c r="G1559" s="65"/>
      <c r="H1559" s="65"/>
      <c r="I1559" s="65"/>
      <c r="J1559" s="65"/>
      <c r="K1559" s="65" t="s">
        <v>1907</v>
      </c>
      <c r="L1559" s="65"/>
      <c r="M1559" s="65"/>
      <c r="N1559" s="65"/>
    </row>
    <row r="1560" spans="1:14" ht="12.75">
      <c r="A1560" s="65"/>
      <c r="B1560" s="65"/>
      <c r="C1560" s="65"/>
      <c r="D1560" s="65"/>
      <c r="E1560" s="65" t="str">
        <v>---</v>
      </c>
      <c r="F1560" s="65"/>
      <c r="G1560" s="65"/>
      <c r="H1560" s="65"/>
      <c r="I1560" s="65"/>
      <c r="J1560" s="65"/>
      <c r="K1560" s="65" t="s">
        <v>1908</v>
      </c>
      <c r="L1560" s="65"/>
      <c r="M1560" s="65"/>
      <c r="N1560" s="65"/>
    </row>
    <row r="1561" spans="1:14" ht="12.75">
      <c r="A1561" s="65"/>
      <c r="B1561" s="65"/>
      <c r="C1561" s="65"/>
      <c r="D1561" s="65"/>
      <c r="E1561" s="65" t="str">
        <v>---</v>
      </c>
      <c r="F1561" s="65"/>
      <c r="G1561" s="65"/>
      <c r="H1561" s="65"/>
      <c r="I1561" s="65"/>
      <c r="J1561" s="65"/>
      <c r="K1561" s="65" t="s">
        <v>1909</v>
      </c>
      <c r="L1561" s="65"/>
      <c r="M1561" s="65"/>
      <c r="N1561" s="65"/>
    </row>
    <row r="1562" spans="1:14" ht="12.75">
      <c r="A1562" s="65"/>
      <c r="B1562" s="65"/>
      <c r="C1562" s="65"/>
      <c r="D1562" s="65"/>
      <c r="E1562" s="65" t="str">
        <v>---</v>
      </c>
      <c r="F1562" s="65"/>
      <c r="G1562" s="65"/>
      <c r="H1562" s="65"/>
      <c r="I1562" s="65"/>
      <c r="J1562" s="65"/>
      <c r="K1562" s="65" t="s">
        <v>1910</v>
      </c>
      <c r="L1562" s="65"/>
      <c r="M1562" s="65"/>
      <c r="N1562" s="65"/>
    </row>
    <row r="1563" spans="1:14" ht="12.75">
      <c r="A1563" s="65"/>
      <c r="B1563" s="65"/>
      <c r="C1563" s="65"/>
      <c r="D1563" s="65"/>
      <c r="E1563" s="65" t="str">
        <v>---</v>
      </c>
      <c r="F1563" s="65"/>
      <c r="G1563" s="65"/>
      <c r="H1563" s="65"/>
      <c r="I1563" s="65"/>
      <c r="J1563" s="65"/>
      <c r="K1563" s="65" t="s">
        <v>1911</v>
      </c>
      <c r="L1563" s="65"/>
      <c r="M1563" s="65"/>
      <c r="N1563" s="65"/>
    </row>
    <row r="1564" spans="1:14" ht="12.75">
      <c r="A1564" s="65"/>
      <c r="B1564" s="65"/>
      <c r="C1564" s="65"/>
      <c r="D1564" s="65"/>
      <c r="E1564" s="65" t="str">
        <v>---</v>
      </c>
      <c r="F1564" s="65"/>
      <c r="G1564" s="65"/>
      <c r="H1564" s="65"/>
      <c r="I1564" s="65"/>
      <c r="J1564" s="65"/>
      <c r="K1564" s="65" t="s">
        <v>1912</v>
      </c>
      <c r="L1564" s="65"/>
      <c r="M1564" s="65"/>
      <c r="N1564" s="65"/>
    </row>
    <row r="1565" spans="1:14" ht="12.75">
      <c r="A1565" s="65"/>
      <c r="B1565" s="65"/>
      <c r="C1565" s="65"/>
      <c r="D1565" s="65"/>
      <c r="E1565" s="65" t="str">
        <v>---</v>
      </c>
      <c r="F1565" s="65"/>
      <c r="G1565" s="65"/>
      <c r="H1565" s="65"/>
      <c r="I1565" s="65"/>
      <c r="J1565" s="65"/>
      <c r="K1565" s="65" t="s">
        <v>1913</v>
      </c>
      <c r="L1565" s="65"/>
      <c r="M1565" s="65"/>
      <c r="N1565" s="65"/>
    </row>
    <row r="1566" spans="1:14" ht="12.75">
      <c r="A1566" s="65"/>
      <c r="B1566" s="65"/>
      <c r="C1566" s="65"/>
      <c r="D1566" s="65"/>
      <c r="E1566" s="65" t="str">
        <v>---</v>
      </c>
      <c r="F1566" s="65"/>
      <c r="G1566" s="65"/>
      <c r="H1566" s="65"/>
      <c r="I1566" s="65"/>
      <c r="J1566" s="65"/>
      <c r="K1566" s="65" t="s">
        <v>1914</v>
      </c>
      <c r="L1566" s="65"/>
      <c r="M1566" s="65"/>
      <c r="N1566" s="65"/>
    </row>
    <row r="1567" spans="1:14" ht="12.75">
      <c r="A1567" s="65"/>
      <c r="B1567" s="65"/>
      <c r="C1567" s="65"/>
      <c r="D1567" s="65"/>
      <c r="E1567" s="65" t="str">
        <v>---</v>
      </c>
      <c r="F1567" s="65"/>
      <c r="G1567" s="65"/>
      <c r="H1567" s="65"/>
      <c r="I1567" s="65"/>
      <c r="J1567" s="65"/>
      <c r="K1567" s="65" t="s">
        <v>1915</v>
      </c>
      <c r="L1567" s="65"/>
      <c r="M1567" s="65"/>
      <c r="N1567" s="65"/>
    </row>
    <row r="1568" spans="1:14" ht="12.75">
      <c r="A1568" s="65"/>
      <c r="B1568" s="65"/>
      <c r="C1568" s="65"/>
      <c r="D1568" s="65"/>
      <c r="E1568" s="65" t="str">
        <v>---</v>
      </c>
      <c r="F1568" s="65"/>
      <c r="G1568" s="65"/>
      <c r="H1568" s="65"/>
      <c r="I1568" s="65"/>
      <c r="J1568" s="65"/>
      <c r="K1568" s="65" t="s">
        <v>1916</v>
      </c>
      <c r="L1568" s="65"/>
      <c r="M1568" s="65"/>
      <c r="N1568" s="65"/>
    </row>
    <row r="1569" spans="1:14" ht="12.75">
      <c r="A1569" s="65"/>
      <c r="B1569" s="65"/>
      <c r="C1569" s="65"/>
      <c r="D1569" s="65"/>
      <c r="E1569" s="65" t="str">
        <v>---</v>
      </c>
      <c r="F1569" s="65"/>
      <c r="G1569" s="65"/>
      <c r="H1569" s="65"/>
      <c r="I1569" s="65"/>
      <c r="J1569" s="65"/>
      <c r="K1569" s="65" t="s">
        <v>1917</v>
      </c>
      <c r="L1569" s="65"/>
      <c r="M1569" s="65"/>
      <c r="N1569" s="65"/>
    </row>
    <row r="1570" spans="1:14" ht="12.75">
      <c r="A1570" s="65"/>
      <c r="B1570" s="65"/>
      <c r="C1570" s="65"/>
      <c r="D1570" s="65"/>
      <c r="E1570" s="65" t="str">
        <v>---</v>
      </c>
      <c r="F1570" s="65"/>
      <c r="G1570" s="65"/>
      <c r="H1570" s="65"/>
      <c r="I1570" s="65"/>
      <c r="J1570" s="65"/>
      <c r="K1570" s="65" t="s">
        <v>1918</v>
      </c>
      <c r="L1570" s="65"/>
      <c r="M1570" s="65"/>
      <c r="N1570" s="65"/>
    </row>
    <row r="1571" spans="1:14" ht="12.75">
      <c r="A1571" s="65"/>
      <c r="B1571" s="65"/>
      <c r="C1571" s="65"/>
      <c r="D1571" s="65"/>
      <c r="E1571" s="65" t="str">
        <v>---</v>
      </c>
      <c r="F1571" s="65"/>
      <c r="G1571" s="65"/>
      <c r="H1571" s="65"/>
      <c r="I1571" s="65"/>
      <c r="J1571" s="65"/>
      <c r="K1571" s="65" t="s">
        <v>1919</v>
      </c>
      <c r="L1571" s="65"/>
      <c r="M1571" s="65"/>
      <c r="N1571" s="65"/>
    </row>
    <row r="1572" spans="1:14" ht="12.75">
      <c r="A1572" s="65"/>
      <c r="B1572" s="65"/>
      <c r="C1572" s="65"/>
      <c r="D1572" s="65"/>
      <c r="E1572" s="65" t="str">
        <v>---</v>
      </c>
      <c r="F1572" s="65"/>
      <c r="G1572" s="65"/>
      <c r="H1572" s="65"/>
      <c r="I1572" s="65"/>
      <c r="J1572" s="65"/>
      <c r="K1572" s="65" t="s">
        <v>1920</v>
      </c>
      <c r="L1572" s="65"/>
      <c r="M1572" s="65"/>
      <c r="N1572" s="65"/>
    </row>
    <row r="1573" spans="1:14" ht="12.75">
      <c r="A1573" s="65"/>
      <c r="B1573" s="65"/>
      <c r="C1573" s="65"/>
      <c r="D1573" s="65"/>
      <c r="E1573" s="65" t="str">
        <v>---</v>
      </c>
      <c r="F1573" s="65"/>
      <c r="G1573" s="65"/>
      <c r="H1573" s="65"/>
      <c r="I1573" s="65"/>
      <c r="J1573" s="65"/>
      <c r="K1573" s="65" t="s">
        <v>1921</v>
      </c>
      <c r="L1573" s="65"/>
      <c r="M1573" s="65"/>
      <c r="N1573" s="65"/>
    </row>
    <row r="1574" spans="1:14" ht="12.75">
      <c r="A1574" s="65"/>
      <c r="B1574" s="65"/>
      <c r="C1574" s="65"/>
      <c r="D1574" s="65"/>
      <c r="E1574" s="65" t="str">
        <v>---</v>
      </c>
      <c r="F1574" s="65"/>
      <c r="G1574" s="65"/>
      <c r="H1574" s="65"/>
      <c r="I1574" s="65"/>
      <c r="J1574" s="65"/>
      <c r="K1574" s="65" t="s">
        <v>1922</v>
      </c>
      <c r="L1574" s="65"/>
      <c r="M1574" s="65"/>
      <c r="N1574" s="65"/>
    </row>
    <row r="1575" spans="1:14" ht="12.75">
      <c r="A1575" s="65"/>
      <c r="B1575" s="65"/>
      <c r="C1575" s="65"/>
      <c r="D1575" s="65"/>
      <c r="E1575" s="65" t="str">
        <v>---</v>
      </c>
      <c r="F1575" s="65"/>
      <c r="G1575" s="65"/>
      <c r="H1575" s="65"/>
      <c r="I1575" s="65"/>
      <c r="J1575" s="65"/>
      <c r="K1575" s="65" t="s">
        <v>1923</v>
      </c>
      <c r="L1575" s="65"/>
      <c r="M1575" s="65"/>
      <c r="N1575" s="65"/>
    </row>
    <row r="1576" spans="1:14" ht="12.75">
      <c r="A1576" s="65"/>
      <c r="B1576" s="65"/>
      <c r="C1576" s="65"/>
      <c r="D1576" s="65"/>
      <c r="E1576" s="65" t="str">
        <v>---</v>
      </c>
      <c r="F1576" s="65"/>
      <c r="G1576" s="65"/>
      <c r="H1576" s="65"/>
      <c r="I1576" s="65"/>
      <c r="J1576" s="65"/>
      <c r="K1576" s="65" t="s">
        <v>1924</v>
      </c>
      <c r="L1576" s="65"/>
      <c r="M1576" s="65"/>
      <c r="N1576" s="65"/>
    </row>
    <row r="1577" spans="1:14" ht="12.75">
      <c r="A1577" s="65"/>
      <c r="B1577" s="65"/>
      <c r="C1577" s="65"/>
      <c r="D1577" s="65"/>
      <c r="E1577" s="65" t="str">
        <v>---</v>
      </c>
      <c r="F1577" s="65"/>
      <c r="G1577" s="65"/>
      <c r="H1577" s="65"/>
      <c r="I1577" s="65"/>
      <c r="J1577" s="65"/>
      <c r="K1577" s="65" t="s">
        <v>1925</v>
      </c>
      <c r="L1577" s="65"/>
      <c r="M1577" s="65"/>
      <c r="N1577" s="65"/>
    </row>
    <row r="1578" spans="1:14" ht="12.75">
      <c r="A1578" s="65"/>
      <c r="B1578" s="65"/>
      <c r="C1578" s="65"/>
      <c r="D1578" s="65"/>
      <c r="E1578" s="65" t="str">
        <v>---</v>
      </c>
      <c r="F1578" s="65"/>
      <c r="G1578" s="65"/>
      <c r="H1578" s="65"/>
      <c r="I1578" s="65"/>
      <c r="J1578" s="65"/>
      <c r="K1578" s="65" t="s">
        <v>1926</v>
      </c>
      <c r="L1578" s="65"/>
      <c r="M1578" s="65"/>
      <c r="N1578" s="65"/>
    </row>
    <row r="1579" spans="1:14" ht="12.75">
      <c r="A1579" s="65"/>
      <c r="B1579" s="65"/>
      <c r="C1579" s="65"/>
      <c r="D1579" s="65"/>
      <c r="E1579" s="65" t="str">
        <v>---</v>
      </c>
      <c r="F1579" s="65"/>
      <c r="G1579" s="65"/>
      <c r="H1579" s="65"/>
      <c r="I1579" s="65"/>
      <c r="J1579" s="65"/>
      <c r="K1579" s="65" t="s">
        <v>1927</v>
      </c>
      <c r="L1579" s="65"/>
      <c r="M1579" s="65"/>
      <c r="N1579" s="65"/>
    </row>
    <row r="1580" spans="1:14" ht="12.75">
      <c r="A1580" s="65"/>
      <c r="B1580" s="65"/>
      <c r="C1580" s="65"/>
      <c r="D1580" s="65"/>
      <c r="E1580" s="65" t="str">
        <v>---</v>
      </c>
      <c r="F1580" s="65"/>
      <c r="G1580" s="65"/>
      <c r="H1580" s="65"/>
      <c r="I1580" s="65"/>
      <c r="J1580" s="65"/>
      <c r="K1580" s="65" t="s">
        <v>1928</v>
      </c>
      <c r="L1580" s="65"/>
      <c r="M1580" s="65"/>
      <c r="N1580" s="65"/>
    </row>
    <row r="1581" spans="1:14" ht="12.75">
      <c r="A1581" s="65"/>
      <c r="B1581" s="65"/>
      <c r="C1581" s="65"/>
      <c r="D1581" s="65"/>
      <c r="E1581" s="65" t="str">
        <v>---</v>
      </c>
      <c r="F1581" s="65"/>
      <c r="G1581" s="65"/>
      <c r="H1581" s="65"/>
      <c r="I1581" s="65"/>
      <c r="J1581" s="65"/>
      <c r="K1581" s="65" t="s">
        <v>1929</v>
      </c>
      <c r="L1581" s="65"/>
      <c r="M1581" s="65"/>
      <c r="N1581" s="65"/>
    </row>
    <row r="1582" spans="1:14" ht="12.75">
      <c r="A1582" s="65"/>
      <c r="B1582" s="65"/>
      <c r="C1582" s="65"/>
      <c r="D1582" s="65"/>
      <c r="E1582" s="65" t="str">
        <v>---</v>
      </c>
      <c r="F1582" s="65"/>
      <c r="G1582" s="65"/>
      <c r="H1582" s="65"/>
      <c r="I1582" s="65"/>
      <c r="J1582" s="65"/>
      <c r="K1582" s="65" t="s">
        <v>1930</v>
      </c>
      <c r="L1582" s="65"/>
      <c r="M1582" s="65"/>
      <c r="N1582" s="65"/>
    </row>
    <row r="1583" spans="1:14" ht="12.75">
      <c r="A1583" s="65"/>
      <c r="B1583" s="65"/>
      <c r="C1583" s="65"/>
      <c r="D1583" s="65"/>
      <c r="E1583" s="65" t="str">
        <v>---</v>
      </c>
      <c r="F1583" s="65"/>
      <c r="G1583" s="65"/>
      <c r="H1583" s="65"/>
      <c r="I1583" s="65"/>
      <c r="J1583" s="65"/>
      <c r="K1583" s="65" t="s">
        <v>1931</v>
      </c>
      <c r="L1583" s="65"/>
      <c r="M1583" s="65"/>
      <c r="N1583" s="65"/>
    </row>
    <row r="1584" spans="1:14" ht="12.75">
      <c r="A1584" s="65"/>
      <c r="B1584" s="65"/>
      <c r="C1584" s="65"/>
      <c r="D1584" s="65"/>
      <c r="E1584" s="65" t="str">
        <v>---</v>
      </c>
      <c r="F1584" s="65"/>
      <c r="G1584" s="65"/>
      <c r="H1584" s="65"/>
      <c r="I1584" s="65"/>
      <c r="J1584" s="65"/>
      <c r="K1584" s="65" t="s">
        <v>1932</v>
      </c>
      <c r="L1584" s="65"/>
      <c r="M1584" s="65"/>
      <c r="N1584" s="65"/>
    </row>
    <row r="1585" spans="1:14" ht="12.75">
      <c r="A1585" s="65"/>
      <c r="B1585" s="65"/>
      <c r="C1585" s="65"/>
      <c r="D1585" s="65"/>
      <c r="E1585" s="65" t="str">
        <v>---</v>
      </c>
      <c r="F1585" s="65"/>
      <c r="G1585" s="65"/>
      <c r="H1585" s="65"/>
      <c r="I1585" s="65"/>
      <c r="J1585" s="65"/>
      <c r="K1585" s="65" t="s">
        <v>1933</v>
      </c>
      <c r="L1585" s="65"/>
      <c r="M1585" s="65"/>
      <c r="N1585" s="65"/>
    </row>
    <row r="1586" spans="1:14" ht="12.75">
      <c r="A1586" s="65"/>
      <c r="B1586" s="65"/>
      <c r="C1586" s="65"/>
      <c r="D1586" s="65"/>
      <c r="E1586" s="65" t="str">
        <v>---</v>
      </c>
      <c r="F1586" s="65"/>
      <c r="G1586" s="65"/>
      <c r="H1586" s="65"/>
      <c r="I1586" s="65"/>
      <c r="J1586" s="65"/>
      <c r="K1586" s="65" t="s">
        <v>1934</v>
      </c>
      <c r="L1586" s="65"/>
      <c r="M1586" s="65"/>
      <c r="N1586" s="65"/>
    </row>
    <row r="1587" spans="1:14" ht="12.75">
      <c r="A1587" s="65"/>
      <c r="B1587" s="65"/>
      <c r="C1587" s="65"/>
      <c r="D1587" s="65"/>
      <c r="E1587" s="65" t="str">
        <v>---</v>
      </c>
      <c r="F1587" s="65"/>
      <c r="G1587" s="65"/>
      <c r="H1587" s="65"/>
      <c r="I1587" s="65"/>
      <c r="J1587" s="65"/>
      <c r="K1587" s="65" t="s">
        <v>1935</v>
      </c>
      <c r="L1587" s="65"/>
      <c r="M1587" s="65"/>
      <c r="N1587" s="65"/>
    </row>
    <row r="1588" spans="1:14" ht="12.75">
      <c r="A1588" s="65"/>
      <c r="B1588" s="65"/>
      <c r="C1588" s="65"/>
      <c r="D1588" s="65"/>
      <c r="E1588" s="65" t="str">
        <v>---</v>
      </c>
      <c r="F1588" s="65"/>
      <c r="G1588" s="65"/>
      <c r="H1588" s="65"/>
      <c r="I1588" s="65"/>
      <c r="J1588" s="65"/>
      <c r="K1588" s="65" t="s">
        <v>1936</v>
      </c>
      <c r="L1588" s="65"/>
      <c r="M1588" s="65"/>
      <c r="N1588" s="65"/>
    </row>
    <row r="1589" spans="1:14" ht="12.75">
      <c r="A1589" s="65"/>
      <c r="B1589" s="65"/>
      <c r="C1589" s="65"/>
      <c r="D1589" s="65"/>
      <c r="E1589" s="65" t="str">
        <v>---</v>
      </c>
      <c r="F1589" s="65"/>
      <c r="G1589" s="65"/>
      <c r="H1589" s="65"/>
      <c r="I1589" s="65"/>
      <c r="J1589" s="65"/>
      <c r="K1589" s="65" t="s">
        <v>1937</v>
      </c>
      <c r="L1589" s="65"/>
      <c r="M1589" s="65"/>
      <c r="N1589" s="65"/>
    </row>
    <row r="1590" spans="1:14" ht="12.75">
      <c r="A1590" s="65"/>
      <c r="B1590" s="65"/>
      <c r="C1590" s="65"/>
      <c r="D1590" s="65"/>
      <c r="E1590" s="65" t="str">
        <v>---</v>
      </c>
      <c r="F1590" s="65"/>
      <c r="G1590" s="65"/>
      <c r="H1590" s="65"/>
      <c r="I1590" s="65"/>
      <c r="J1590" s="65"/>
      <c r="K1590" s="65" t="s">
        <v>1938</v>
      </c>
      <c r="L1590" s="65"/>
      <c r="M1590" s="65"/>
      <c r="N1590" s="65"/>
    </row>
    <row r="1591" spans="1:14" ht="12.75">
      <c r="A1591" s="65"/>
      <c r="B1591" s="65"/>
      <c r="C1591" s="65"/>
      <c r="D1591" s="65"/>
      <c r="E1591" s="65" t="str">
        <v>---</v>
      </c>
      <c r="F1591" s="65"/>
      <c r="G1591" s="65"/>
      <c r="H1591" s="65"/>
      <c r="I1591" s="65"/>
      <c r="J1591" s="65"/>
      <c r="K1591" s="65" t="s">
        <v>1939</v>
      </c>
      <c r="L1591" s="65"/>
      <c r="M1591" s="65"/>
      <c r="N1591" s="65"/>
    </row>
    <row r="1592" spans="1:14" ht="12.75">
      <c r="A1592" s="65"/>
      <c r="B1592" s="65"/>
      <c r="C1592" s="65"/>
      <c r="D1592" s="65"/>
      <c r="E1592" s="65" t="str">
        <v>---</v>
      </c>
      <c r="F1592" s="65"/>
      <c r="G1592" s="65"/>
      <c r="H1592" s="65"/>
      <c r="I1592" s="65"/>
      <c r="J1592" s="65"/>
      <c r="K1592" s="65" t="s">
        <v>1940</v>
      </c>
      <c r="L1592" s="65"/>
      <c r="M1592" s="65"/>
      <c r="N1592" s="65"/>
    </row>
    <row r="1593" spans="1:14" ht="12.75">
      <c r="A1593" s="65"/>
      <c r="B1593" s="65"/>
      <c r="C1593" s="65"/>
      <c r="D1593" s="65"/>
      <c r="E1593" s="65" t="str">
        <v>---</v>
      </c>
      <c r="F1593" s="65"/>
      <c r="G1593" s="65"/>
      <c r="H1593" s="65"/>
      <c r="I1593" s="65"/>
      <c r="J1593" s="65"/>
      <c r="K1593" s="65" t="s">
        <v>1941</v>
      </c>
      <c r="L1593" s="65"/>
      <c r="M1593" s="65"/>
      <c r="N1593" s="65"/>
    </row>
    <row r="1594" spans="1:14" ht="12.75">
      <c r="A1594" s="65"/>
      <c r="B1594" s="65"/>
      <c r="C1594" s="65"/>
      <c r="D1594" s="65"/>
      <c r="E1594" s="65" t="str">
        <v>---</v>
      </c>
      <c r="F1594" s="65"/>
      <c r="G1594" s="65"/>
      <c r="H1594" s="65"/>
      <c r="I1594" s="65"/>
      <c r="J1594" s="65"/>
      <c r="K1594" s="65" t="s">
        <v>1942</v>
      </c>
      <c r="L1594" s="65"/>
      <c r="M1594" s="65"/>
      <c r="N1594" s="65"/>
    </row>
    <row r="1595" spans="1:14" ht="12.75">
      <c r="A1595" s="65"/>
      <c r="B1595" s="65"/>
      <c r="C1595" s="65"/>
      <c r="D1595" s="65"/>
      <c r="E1595" s="65" t="str">
        <v>---</v>
      </c>
      <c r="F1595" s="65"/>
      <c r="G1595" s="65"/>
      <c r="H1595" s="65"/>
      <c r="I1595" s="65"/>
      <c r="J1595" s="65"/>
      <c r="K1595" s="65" t="s">
        <v>1943</v>
      </c>
      <c r="L1595" s="65"/>
      <c r="M1595" s="65"/>
      <c r="N1595" s="65"/>
    </row>
    <row r="1596" spans="1:14" ht="12.75">
      <c r="A1596" s="65"/>
      <c r="B1596" s="65"/>
      <c r="C1596" s="65"/>
      <c r="D1596" s="65"/>
      <c r="E1596" s="65" t="str">
        <v>---</v>
      </c>
      <c r="F1596" s="65"/>
      <c r="G1596" s="65"/>
      <c r="H1596" s="65"/>
      <c r="I1596" s="65"/>
      <c r="J1596" s="65"/>
      <c r="K1596" s="65" t="s">
        <v>1944</v>
      </c>
      <c r="L1596" s="65"/>
      <c r="M1596" s="65"/>
      <c r="N1596" s="65"/>
    </row>
    <row r="1597" spans="1:14" ht="12.75">
      <c r="A1597" s="65"/>
      <c r="B1597" s="65"/>
      <c r="C1597" s="65"/>
      <c r="D1597" s="65"/>
      <c r="E1597" s="65" t="str">
        <v>---</v>
      </c>
      <c r="F1597" s="65"/>
      <c r="G1597" s="65"/>
      <c r="H1597" s="65"/>
      <c r="I1597" s="65"/>
      <c r="J1597" s="65"/>
      <c r="K1597" s="65" t="s">
        <v>1945</v>
      </c>
      <c r="L1597" s="65"/>
      <c r="M1597" s="65"/>
      <c r="N1597" s="65"/>
    </row>
    <row r="1598" spans="1:14" ht="12.75">
      <c r="A1598" s="65"/>
      <c r="B1598" s="65"/>
      <c r="C1598" s="65"/>
      <c r="D1598" s="65"/>
      <c r="E1598" s="65" t="str">
        <v>---</v>
      </c>
      <c r="F1598" s="65"/>
      <c r="G1598" s="65"/>
      <c r="H1598" s="65"/>
      <c r="I1598" s="65"/>
      <c r="J1598" s="65"/>
      <c r="K1598" s="65" t="s">
        <v>1946</v>
      </c>
      <c r="L1598" s="65"/>
      <c r="M1598" s="65"/>
      <c r="N1598" s="65"/>
    </row>
    <row r="1599" spans="1:14" ht="12.75">
      <c r="A1599" s="65"/>
      <c r="B1599" s="65"/>
      <c r="C1599" s="65"/>
      <c r="D1599" s="65"/>
      <c r="E1599" s="65" t="str">
        <v>---</v>
      </c>
      <c r="F1599" s="65"/>
      <c r="G1599" s="65"/>
      <c r="H1599" s="65"/>
      <c r="I1599" s="65"/>
      <c r="J1599" s="65"/>
      <c r="K1599" s="65" t="s">
        <v>1947</v>
      </c>
      <c r="L1599" s="65"/>
      <c r="M1599" s="65"/>
      <c r="N1599" s="65"/>
    </row>
    <row r="1600" spans="1:14" ht="12.75">
      <c r="A1600" s="65"/>
      <c r="B1600" s="65"/>
      <c r="C1600" s="65"/>
      <c r="D1600" s="65"/>
      <c r="E1600" s="65" t="str">
        <v>---</v>
      </c>
      <c r="F1600" s="65"/>
      <c r="G1600" s="65"/>
      <c r="H1600" s="65"/>
      <c r="I1600" s="65"/>
      <c r="J1600" s="65"/>
      <c r="K1600" s="65" t="s">
        <v>1948</v>
      </c>
      <c r="L1600" s="65"/>
      <c r="M1600" s="65"/>
      <c r="N1600" s="65"/>
    </row>
    <row r="1601" spans="1:14" ht="12.75">
      <c r="A1601" s="65"/>
      <c r="B1601" s="65"/>
      <c r="C1601" s="65"/>
      <c r="D1601" s="65"/>
      <c r="E1601" s="65" t="str">
        <v>---</v>
      </c>
      <c r="F1601" s="65"/>
      <c r="G1601" s="65"/>
      <c r="H1601" s="65"/>
      <c r="I1601" s="65"/>
      <c r="J1601" s="65"/>
      <c r="K1601" s="65" t="s">
        <v>1949</v>
      </c>
      <c r="L1601" s="65"/>
      <c r="M1601" s="65"/>
      <c r="N1601" s="65"/>
    </row>
    <row r="1602" spans="1:14" ht="12.75">
      <c r="A1602" s="65"/>
      <c r="B1602" s="65"/>
      <c r="C1602" s="65"/>
      <c r="D1602" s="65"/>
      <c r="E1602" s="65" t="str">
        <v>---</v>
      </c>
      <c r="F1602" s="65"/>
      <c r="G1602" s="65"/>
      <c r="H1602" s="65"/>
      <c r="I1602" s="65"/>
      <c r="J1602" s="65"/>
      <c r="K1602" s="65" t="s">
        <v>1950</v>
      </c>
      <c r="L1602" s="65"/>
      <c r="M1602" s="65"/>
      <c r="N1602" s="65"/>
    </row>
    <row r="1603" spans="1:14" ht="12.75">
      <c r="A1603" s="65"/>
      <c r="B1603" s="65"/>
      <c r="C1603" s="65"/>
      <c r="D1603" s="65"/>
      <c r="E1603" s="65" t="str">
        <v>---</v>
      </c>
      <c r="F1603" s="65"/>
      <c r="G1603" s="65"/>
      <c r="H1603" s="65"/>
      <c r="I1603" s="65"/>
      <c r="J1603" s="65"/>
      <c r="K1603" s="65" t="s">
        <v>1951</v>
      </c>
      <c r="L1603" s="65"/>
      <c r="M1603" s="65"/>
      <c r="N1603" s="65"/>
    </row>
    <row r="1604" spans="1:14" ht="12.75">
      <c r="A1604" s="65"/>
      <c r="B1604" s="65"/>
      <c r="C1604" s="65"/>
      <c r="D1604" s="65"/>
      <c r="E1604" s="65" t="str">
        <v>---</v>
      </c>
      <c r="F1604" s="65"/>
      <c r="G1604" s="65"/>
      <c r="H1604" s="65"/>
      <c r="I1604" s="65"/>
      <c r="J1604" s="65"/>
      <c r="K1604" s="65" t="s">
        <v>1952</v>
      </c>
      <c r="L1604" s="65"/>
      <c r="M1604" s="65"/>
      <c r="N1604" s="65"/>
    </row>
    <row r="1605" spans="1:14" ht="12.75">
      <c r="A1605" s="65"/>
      <c r="B1605" s="65"/>
      <c r="C1605" s="65"/>
      <c r="D1605" s="65"/>
      <c r="E1605" s="65" t="str">
        <v>---</v>
      </c>
      <c r="F1605" s="65"/>
      <c r="G1605" s="65"/>
      <c r="H1605" s="65"/>
      <c r="I1605" s="65"/>
      <c r="J1605" s="65"/>
      <c r="K1605" s="65" t="s">
        <v>1953</v>
      </c>
      <c r="L1605" s="65"/>
      <c r="M1605" s="65"/>
      <c r="N1605" s="65"/>
    </row>
    <row r="1606" spans="1:14" ht="12.75">
      <c r="A1606" s="65"/>
      <c r="B1606" s="65"/>
      <c r="C1606" s="65"/>
      <c r="D1606" s="65"/>
      <c r="E1606" s="65" t="str">
        <v>---</v>
      </c>
      <c r="F1606" s="65"/>
      <c r="G1606" s="65"/>
      <c r="H1606" s="65"/>
      <c r="I1606" s="65"/>
      <c r="J1606" s="65"/>
      <c r="K1606" s="65" t="s">
        <v>1954</v>
      </c>
      <c r="L1606" s="65"/>
      <c r="M1606" s="65"/>
      <c r="N1606" s="65"/>
    </row>
    <row r="1607" spans="1:14" ht="12.75">
      <c r="A1607" s="65"/>
      <c r="B1607" s="65"/>
      <c r="C1607" s="65"/>
      <c r="D1607" s="65"/>
      <c r="E1607" s="65" t="str">
        <v>---</v>
      </c>
      <c r="F1607" s="65"/>
      <c r="G1607" s="65"/>
      <c r="H1607" s="65"/>
      <c r="I1607" s="65"/>
      <c r="J1607" s="65"/>
      <c r="K1607" s="65" t="s">
        <v>1955</v>
      </c>
      <c r="L1607" s="65"/>
      <c r="M1607" s="65"/>
      <c r="N1607" s="65"/>
    </row>
    <row r="1608" spans="1:14" ht="12.75">
      <c r="A1608" s="65"/>
      <c r="B1608" s="65"/>
      <c r="C1608" s="65"/>
      <c r="D1608" s="65"/>
      <c r="E1608" s="65" t="str">
        <v>---</v>
      </c>
      <c r="F1608" s="65"/>
      <c r="G1608" s="65"/>
      <c r="H1608" s="65"/>
      <c r="I1608" s="65"/>
      <c r="J1608" s="65"/>
      <c r="K1608" s="65" t="s">
        <v>1956</v>
      </c>
      <c r="L1608" s="65"/>
      <c r="M1608" s="65"/>
      <c r="N1608" s="65"/>
    </row>
    <row r="1609" spans="1:14" ht="12.75">
      <c r="A1609" s="65"/>
      <c r="B1609" s="65"/>
      <c r="C1609" s="65"/>
      <c r="D1609" s="65"/>
      <c r="E1609" s="65" t="str">
        <v>---</v>
      </c>
      <c r="F1609" s="65"/>
      <c r="G1609" s="65"/>
      <c r="H1609" s="65"/>
      <c r="I1609" s="65"/>
      <c r="J1609" s="65"/>
      <c r="K1609" s="65" t="s">
        <v>1957</v>
      </c>
      <c r="L1609" s="65"/>
      <c r="M1609" s="65"/>
      <c r="N1609" s="65"/>
    </row>
    <row r="1610" spans="1:14" ht="12.75">
      <c r="A1610" s="65"/>
      <c r="B1610" s="65"/>
      <c r="C1610" s="65"/>
      <c r="D1610" s="65"/>
      <c r="E1610" s="65" t="str">
        <v>---</v>
      </c>
      <c r="F1610" s="65"/>
      <c r="G1610" s="65"/>
      <c r="H1610" s="65"/>
      <c r="I1610" s="65"/>
      <c r="J1610" s="65"/>
      <c r="K1610" s="65" t="s">
        <v>1958</v>
      </c>
      <c r="L1610" s="65"/>
      <c r="M1610" s="65"/>
      <c r="N1610" s="65"/>
    </row>
    <row r="1611" spans="1:14" ht="12.75">
      <c r="A1611" s="65"/>
      <c r="B1611" s="65"/>
      <c r="C1611" s="65"/>
      <c r="D1611" s="65"/>
      <c r="E1611" s="65" t="str">
        <v>---</v>
      </c>
      <c r="F1611" s="65"/>
      <c r="G1611" s="65"/>
      <c r="H1611" s="65"/>
      <c r="I1611" s="65"/>
      <c r="J1611" s="65"/>
      <c r="K1611" s="65" t="s">
        <v>1959</v>
      </c>
      <c r="L1611" s="65"/>
      <c r="M1611" s="65"/>
      <c r="N1611" s="65"/>
    </row>
    <row r="1612" spans="1:14" ht="12.75">
      <c r="A1612" s="65"/>
      <c r="B1612" s="65"/>
      <c r="C1612" s="65"/>
      <c r="D1612" s="65"/>
      <c r="E1612" s="65" t="str">
        <v>---</v>
      </c>
      <c r="F1612" s="65"/>
      <c r="G1612" s="65"/>
      <c r="H1612" s="65"/>
      <c r="I1612" s="65"/>
      <c r="J1612" s="65"/>
      <c r="K1612" s="65" t="s">
        <v>1960</v>
      </c>
      <c r="L1612" s="65"/>
      <c r="M1612" s="65"/>
      <c r="N1612" s="65"/>
    </row>
    <row r="1613" spans="1:14" ht="12.75">
      <c r="A1613" s="65"/>
      <c r="B1613" s="65"/>
      <c r="C1613" s="65"/>
      <c r="D1613" s="65"/>
      <c r="E1613" s="65" t="str">
        <v>---</v>
      </c>
      <c r="F1613" s="65"/>
      <c r="G1613" s="65"/>
      <c r="H1613" s="65"/>
      <c r="I1613" s="65"/>
      <c r="J1613" s="65"/>
      <c r="K1613" s="65" t="s">
        <v>1961</v>
      </c>
      <c r="L1613" s="65"/>
      <c r="M1613" s="65"/>
      <c r="N1613" s="65"/>
    </row>
    <row r="1614" spans="1:14" ht="12.75">
      <c r="A1614" s="65"/>
      <c r="B1614" s="65"/>
      <c r="C1614" s="65"/>
      <c r="D1614" s="65"/>
      <c r="E1614" s="65" t="str">
        <v>---</v>
      </c>
      <c r="F1614" s="65"/>
      <c r="G1614" s="65"/>
      <c r="H1614" s="65"/>
      <c r="I1614" s="65"/>
      <c r="J1614" s="65"/>
      <c r="K1614" s="65" t="s">
        <v>1962</v>
      </c>
      <c r="L1614" s="65"/>
      <c r="M1614" s="65"/>
      <c r="N1614" s="65"/>
    </row>
    <row r="1615" spans="1:14" ht="12.75">
      <c r="A1615" s="65"/>
      <c r="B1615" s="65"/>
      <c r="C1615" s="65"/>
      <c r="D1615" s="65"/>
      <c r="E1615" s="65" t="str">
        <v>---</v>
      </c>
      <c r="F1615" s="65"/>
      <c r="G1615" s="65"/>
      <c r="H1615" s="65"/>
      <c r="I1615" s="65"/>
      <c r="J1615" s="65"/>
      <c r="K1615" s="65" t="s">
        <v>1963</v>
      </c>
      <c r="L1615" s="65"/>
      <c r="M1615" s="65"/>
      <c r="N1615" s="65"/>
    </row>
    <row r="1616" spans="1:14" ht="12.75">
      <c r="A1616" s="65"/>
      <c r="B1616" s="65"/>
      <c r="C1616" s="65"/>
      <c r="D1616" s="65"/>
      <c r="E1616" s="65" t="str">
        <v>---</v>
      </c>
      <c r="F1616" s="65"/>
      <c r="G1616" s="65"/>
      <c r="H1616" s="65"/>
      <c r="I1616" s="65"/>
      <c r="J1616" s="65"/>
      <c r="K1616" s="65" t="s">
        <v>1964</v>
      </c>
      <c r="L1616" s="65"/>
      <c r="M1616" s="65"/>
      <c r="N1616" s="65"/>
    </row>
    <row r="1617" spans="1:14" ht="12.75">
      <c r="A1617" s="65"/>
      <c r="B1617" s="65"/>
      <c r="C1617" s="65"/>
      <c r="D1617" s="65"/>
      <c r="E1617" s="65" t="str">
        <v>---</v>
      </c>
      <c r="F1617" s="65"/>
      <c r="G1617" s="65"/>
      <c r="H1617" s="65"/>
      <c r="I1617" s="65"/>
      <c r="J1617" s="65"/>
      <c r="K1617" s="65" t="s">
        <v>1965</v>
      </c>
      <c r="L1617" s="65"/>
      <c r="M1617" s="65"/>
      <c r="N1617" s="65"/>
    </row>
    <row r="1618" spans="1:14" ht="12.75">
      <c r="A1618" s="65"/>
      <c r="B1618" s="65"/>
      <c r="C1618" s="65"/>
      <c r="D1618" s="65"/>
      <c r="E1618" s="65" t="str">
        <v>---</v>
      </c>
      <c r="F1618" s="65"/>
      <c r="G1618" s="65"/>
      <c r="H1618" s="65"/>
      <c r="I1618" s="65"/>
      <c r="J1618" s="65"/>
      <c r="K1618" s="65" t="s">
        <v>1966</v>
      </c>
      <c r="L1618" s="65"/>
      <c r="M1618" s="65"/>
      <c r="N1618" s="65"/>
    </row>
    <row r="1619" spans="1:14" ht="12.75">
      <c r="A1619" s="65"/>
      <c r="B1619" s="65"/>
      <c r="C1619" s="65"/>
      <c r="D1619" s="65"/>
      <c r="E1619" s="65" t="str">
        <v>---</v>
      </c>
      <c r="F1619" s="65"/>
      <c r="G1619" s="65"/>
      <c r="H1619" s="65"/>
      <c r="I1619" s="65"/>
      <c r="J1619" s="65"/>
      <c r="K1619" s="65" t="s">
        <v>1967</v>
      </c>
      <c r="L1619" s="65"/>
      <c r="M1619" s="65"/>
      <c r="N1619" s="65"/>
    </row>
    <row r="1620" spans="1:14" ht="12.75">
      <c r="A1620" s="65"/>
      <c r="B1620" s="65"/>
      <c r="C1620" s="65"/>
      <c r="D1620" s="65"/>
      <c r="E1620" s="65" t="str">
        <v>---</v>
      </c>
      <c r="F1620" s="65"/>
      <c r="G1620" s="65"/>
      <c r="H1620" s="65"/>
      <c r="I1620" s="65"/>
      <c r="J1620" s="65"/>
      <c r="K1620" s="65" t="s">
        <v>1968</v>
      </c>
      <c r="L1620" s="65"/>
      <c r="M1620" s="65"/>
      <c r="N1620" s="65"/>
    </row>
    <row r="1621" spans="1:14" ht="12.75">
      <c r="A1621" s="65"/>
      <c r="B1621" s="65"/>
      <c r="C1621" s="65"/>
      <c r="D1621" s="65"/>
      <c r="E1621" s="65" t="str">
        <v>---</v>
      </c>
      <c r="F1621" s="65"/>
      <c r="G1621" s="65"/>
      <c r="H1621" s="65"/>
      <c r="I1621" s="65"/>
      <c r="J1621" s="65"/>
      <c r="K1621" s="65" t="s">
        <v>1969</v>
      </c>
      <c r="L1621" s="65"/>
      <c r="M1621" s="65"/>
      <c r="N1621" s="65"/>
    </row>
    <row r="1622" spans="1:14" ht="12.75">
      <c r="A1622" s="65"/>
      <c r="B1622" s="65"/>
      <c r="C1622" s="65"/>
      <c r="D1622" s="65"/>
      <c r="E1622" s="65" t="str">
        <v>---</v>
      </c>
      <c r="F1622" s="65"/>
      <c r="G1622" s="65"/>
      <c r="H1622" s="65"/>
      <c r="I1622" s="65"/>
      <c r="J1622" s="65"/>
      <c r="K1622" s="65" t="s">
        <v>1970</v>
      </c>
      <c r="L1622" s="65"/>
      <c r="M1622" s="65"/>
      <c r="N1622" s="65"/>
    </row>
    <row r="1623" spans="1:14" ht="12.75">
      <c r="A1623" s="65"/>
      <c r="B1623" s="65"/>
      <c r="C1623" s="65"/>
      <c r="D1623" s="65"/>
      <c r="E1623" s="65" t="str">
        <v>---</v>
      </c>
      <c r="F1623" s="65"/>
      <c r="G1623" s="65"/>
      <c r="H1623" s="65"/>
      <c r="I1623" s="65"/>
      <c r="J1623" s="65"/>
      <c r="K1623" s="65" t="s">
        <v>1971</v>
      </c>
      <c r="L1623" s="65"/>
      <c r="M1623" s="65"/>
      <c r="N1623" s="65"/>
    </row>
    <row r="1624" spans="1:14" ht="12.75">
      <c r="A1624" s="65"/>
      <c r="B1624" s="65"/>
      <c r="C1624" s="65"/>
      <c r="D1624" s="65"/>
      <c r="E1624" s="65" t="str">
        <v>---</v>
      </c>
      <c r="F1624" s="65"/>
      <c r="G1624" s="65"/>
      <c r="H1624" s="65"/>
      <c r="I1624" s="65"/>
      <c r="J1624" s="65"/>
      <c r="K1624" s="65" t="s">
        <v>1972</v>
      </c>
      <c r="L1624" s="65"/>
      <c r="M1624" s="65"/>
      <c r="N1624" s="65"/>
    </row>
    <row r="1625" spans="1:14" ht="12.75">
      <c r="A1625" s="65"/>
      <c r="B1625" s="65"/>
      <c r="C1625" s="65"/>
      <c r="D1625" s="65"/>
      <c r="E1625" s="65" t="str">
        <v>---</v>
      </c>
      <c r="F1625" s="65"/>
      <c r="G1625" s="65"/>
      <c r="H1625" s="65"/>
      <c r="I1625" s="65"/>
      <c r="J1625" s="65"/>
      <c r="K1625" s="65" t="s">
        <v>1973</v>
      </c>
      <c r="L1625" s="65"/>
      <c r="M1625" s="65"/>
      <c r="N1625" s="65"/>
    </row>
    <row r="1626" spans="1:14" ht="12.75">
      <c r="A1626" s="65"/>
      <c r="B1626" s="65"/>
      <c r="C1626" s="65"/>
      <c r="D1626" s="65"/>
      <c r="E1626" s="65" t="str">
        <v>---</v>
      </c>
      <c r="F1626" s="65"/>
      <c r="G1626" s="65"/>
      <c r="H1626" s="65"/>
      <c r="I1626" s="65"/>
      <c r="J1626" s="65"/>
      <c r="K1626" s="65" t="s">
        <v>1974</v>
      </c>
      <c r="L1626" s="65"/>
      <c r="M1626" s="65"/>
      <c r="N1626" s="65"/>
    </row>
    <row r="1627" spans="1:14" ht="12.75">
      <c r="A1627" s="65"/>
      <c r="B1627" s="65"/>
      <c r="C1627" s="65"/>
      <c r="D1627" s="65"/>
      <c r="E1627" s="65" t="str">
        <v>---</v>
      </c>
      <c r="F1627" s="65"/>
      <c r="G1627" s="65"/>
      <c r="H1627" s="65"/>
      <c r="I1627" s="65"/>
      <c r="J1627" s="65"/>
      <c r="K1627" s="65" t="s">
        <v>1975</v>
      </c>
      <c r="L1627" s="65"/>
      <c r="M1627" s="65"/>
      <c r="N1627" s="65"/>
    </row>
    <row r="1628" spans="1:14" ht="12.75">
      <c r="A1628" s="65"/>
      <c r="B1628" s="65"/>
      <c r="C1628" s="65"/>
      <c r="D1628" s="65"/>
      <c r="E1628" s="65" t="str">
        <v>---</v>
      </c>
      <c r="F1628" s="65"/>
      <c r="G1628" s="65"/>
      <c r="H1628" s="65"/>
      <c r="I1628" s="65"/>
      <c r="J1628" s="65"/>
      <c r="K1628" s="65" t="s">
        <v>1976</v>
      </c>
      <c r="L1628" s="65"/>
      <c r="M1628" s="65"/>
      <c r="N1628" s="65"/>
    </row>
    <row r="1629" spans="1:14" ht="12.75">
      <c r="A1629" s="65"/>
      <c r="B1629" s="65"/>
      <c r="C1629" s="65"/>
      <c r="D1629" s="65"/>
      <c r="E1629" s="65" t="str">
        <v>---</v>
      </c>
      <c r="F1629" s="65"/>
      <c r="G1629" s="65"/>
      <c r="H1629" s="65"/>
      <c r="I1629" s="65"/>
      <c r="J1629" s="65"/>
      <c r="K1629" s="65" t="s">
        <v>1977</v>
      </c>
      <c r="L1629" s="65"/>
      <c r="M1629" s="65"/>
      <c r="N1629" s="65"/>
    </row>
    <row r="1630" spans="1:14" ht="12.75">
      <c r="A1630" s="65"/>
      <c r="B1630" s="65"/>
      <c r="C1630" s="65"/>
      <c r="D1630" s="65"/>
      <c r="E1630" s="65" t="str">
        <v>---</v>
      </c>
      <c r="F1630" s="65"/>
      <c r="G1630" s="65"/>
      <c r="H1630" s="65"/>
      <c r="I1630" s="65"/>
      <c r="J1630" s="65"/>
      <c r="K1630" s="65" t="s">
        <v>1978</v>
      </c>
      <c r="L1630" s="65"/>
      <c r="M1630" s="65"/>
      <c r="N1630" s="65"/>
    </row>
    <row r="1631" spans="1:14" ht="12.75">
      <c r="A1631" s="65"/>
      <c r="B1631" s="65"/>
      <c r="C1631" s="65"/>
      <c r="D1631" s="65"/>
      <c r="E1631" s="65" t="str">
        <v>---</v>
      </c>
      <c r="F1631" s="65"/>
      <c r="G1631" s="65"/>
      <c r="H1631" s="65"/>
      <c r="I1631" s="65"/>
      <c r="J1631" s="65"/>
      <c r="K1631" s="65" t="s">
        <v>1979</v>
      </c>
      <c r="L1631" s="65"/>
      <c r="M1631" s="65"/>
      <c r="N1631" s="65"/>
    </row>
    <row r="1632" spans="1:14" ht="12.75">
      <c r="A1632" s="65"/>
      <c r="B1632" s="65"/>
      <c r="C1632" s="65"/>
      <c r="D1632" s="65"/>
      <c r="E1632" s="65" t="str">
        <v>---</v>
      </c>
      <c r="F1632" s="65"/>
      <c r="G1632" s="65"/>
      <c r="H1632" s="65"/>
      <c r="I1632" s="65"/>
      <c r="J1632" s="65"/>
      <c r="K1632" s="65" t="s">
        <v>1980</v>
      </c>
      <c r="L1632" s="65"/>
      <c r="M1632" s="65"/>
      <c r="N1632" s="65"/>
    </row>
    <row r="1633" spans="1:14" ht="12.75">
      <c r="A1633" s="65"/>
      <c r="B1633" s="65"/>
      <c r="C1633" s="65"/>
      <c r="D1633" s="65"/>
      <c r="E1633" s="65" t="str">
        <v>---</v>
      </c>
      <c r="F1633" s="65"/>
      <c r="G1633" s="65"/>
      <c r="H1633" s="65"/>
      <c r="I1633" s="65"/>
      <c r="J1633" s="65"/>
      <c r="K1633" s="65" t="s">
        <v>1981</v>
      </c>
      <c r="L1633" s="65"/>
      <c r="M1633" s="65"/>
      <c r="N1633" s="65"/>
    </row>
    <row r="1634" spans="1:14" ht="12.75">
      <c r="A1634" s="65"/>
      <c r="B1634" s="65"/>
      <c r="C1634" s="65"/>
      <c r="D1634" s="65"/>
      <c r="E1634" s="65" t="str">
        <v>---</v>
      </c>
      <c r="F1634" s="65"/>
      <c r="G1634" s="65"/>
      <c r="H1634" s="65"/>
      <c r="I1634" s="65"/>
      <c r="J1634" s="65"/>
      <c r="K1634" s="65" t="s">
        <v>1982</v>
      </c>
      <c r="L1634" s="65"/>
      <c r="M1634" s="65"/>
      <c r="N1634" s="65"/>
    </row>
    <row r="1635" spans="1:14" ht="12.75">
      <c r="A1635" s="65"/>
      <c r="B1635" s="65"/>
      <c r="C1635" s="65"/>
      <c r="D1635" s="65"/>
      <c r="E1635" s="65" t="str">
        <v>---</v>
      </c>
      <c r="F1635" s="65"/>
      <c r="G1635" s="65"/>
      <c r="H1635" s="65"/>
      <c r="I1635" s="65"/>
      <c r="J1635" s="65"/>
      <c r="K1635" s="65" t="s">
        <v>1983</v>
      </c>
      <c r="L1635" s="65"/>
      <c r="M1635" s="65"/>
      <c r="N1635" s="65"/>
    </row>
    <row r="1636" spans="1:14" ht="12.75">
      <c r="A1636" s="65"/>
      <c r="B1636" s="65"/>
      <c r="C1636" s="65"/>
      <c r="D1636" s="65"/>
      <c r="E1636" s="65" t="str">
        <v>---</v>
      </c>
      <c r="F1636" s="65"/>
      <c r="G1636" s="65"/>
      <c r="H1636" s="65"/>
      <c r="I1636" s="65"/>
      <c r="J1636" s="65"/>
      <c r="K1636" s="65" t="s">
        <v>1984</v>
      </c>
      <c r="L1636" s="65"/>
      <c r="M1636" s="65"/>
      <c r="N1636" s="65"/>
    </row>
    <row r="1637" spans="1:14" ht="12.75">
      <c r="A1637" s="65"/>
      <c r="B1637" s="65"/>
      <c r="C1637" s="65"/>
      <c r="D1637" s="65"/>
      <c r="E1637" s="65" t="str">
        <v>---</v>
      </c>
      <c r="F1637" s="65"/>
      <c r="G1637" s="65"/>
      <c r="H1637" s="65"/>
      <c r="I1637" s="65"/>
      <c r="J1637" s="65"/>
      <c r="K1637" s="65" t="s">
        <v>1985</v>
      </c>
      <c r="L1637" s="65"/>
      <c r="M1637" s="65"/>
      <c r="N1637" s="65"/>
    </row>
    <row r="1638" spans="1:14" ht="12.75">
      <c r="A1638" s="65"/>
      <c r="B1638" s="65"/>
      <c r="C1638" s="65"/>
      <c r="D1638" s="65"/>
      <c r="E1638" s="65" t="str">
        <v>---</v>
      </c>
      <c r="F1638" s="65"/>
      <c r="G1638" s="65"/>
      <c r="H1638" s="65"/>
      <c r="I1638" s="65"/>
      <c r="J1638" s="65"/>
      <c r="K1638" s="65" t="s">
        <v>1986</v>
      </c>
      <c r="L1638" s="65"/>
      <c r="M1638" s="65"/>
      <c r="N1638" s="65"/>
    </row>
    <row r="1639" spans="1:14" ht="12.75">
      <c r="A1639" s="65"/>
      <c r="B1639" s="65"/>
      <c r="C1639" s="65"/>
      <c r="D1639" s="65"/>
      <c r="E1639" s="65" t="str">
        <v>---</v>
      </c>
      <c r="F1639" s="65"/>
      <c r="G1639" s="65"/>
      <c r="H1639" s="65"/>
      <c r="I1639" s="65"/>
      <c r="J1639" s="65"/>
      <c r="K1639" s="65" t="s">
        <v>1987</v>
      </c>
      <c r="L1639" s="65"/>
      <c r="M1639" s="65"/>
      <c r="N1639" s="65"/>
    </row>
    <row r="1640" spans="1:14" ht="12.75">
      <c r="A1640" s="65"/>
      <c r="B1640" s="65"/>
      <c r="C1640" s="65"/>
      <c r="D1640" s="65"/>
      <c r="E1640" s="65" t="str">
        <v>---</v>
      </c>
      <c r="F1640" s="65"/>
      <c r="G1640" s="65"/>
      <c r="H1640" s="65"/>
      <c r="I1640" s="65"/>
      <c r="J1640" s="65"/>
      <c r="K1640" s="65" t="s">
        <v>1988</v>
      </c>
      <c r="L1640" s="65"/>
      <c r="M1640" s="65"/>
      <c r="N1640" s="65"/>
    </row>
    <row r="1641" spans="1:14" ht="12.75">
      <c r="A1641" s="65"/>
      <c r="B1641" s="65"/>
      <c r="C1641" s="65"/>
      <c r="D1641" s="65"/>
      <c r="E1641" s="65" t="str">
        <v>---</v>
      </c>
      <c r="F1641" s="65"/>
      <c r="G1641" s="65"/>
      <c r="H1641" s="65"/>
      <c r="I1641" s="65"/>
      <c r="J1641" s="65"/>
      <c r="K1641" s="65" t="s">
        <v>1989</v>
      </c>
      <c r="L1641" s="65"/>
      <c r="M1641" s="65"/>
      <c r="N1641" s="65"/>
    </row>
    <row r="1642" spans="1:14" ht="12.75">
      <c r="A1642" s="65"/>
      <c r="B1642" s="65"/>
      <c r="C1642" s="65"/>
      <c r="D1642" s="65"/>
      <c r="E1642" s="65" t="str">
        <v>---</v>
      </c>
      <c r="F1642" s="65"/>
      <c r="G1642" s="65"/>
      <c r="H1642" s="65"/>
      <c r="I1642" s="65"/>
      <c r="J1642" s="65"/>
      <c r="K1642" s="65" t="s">
        <v>1990</v>
      </c>
      <c r="L1642" s="65"/>
      <c r="M1642" s="65"/>
      <c r="N1642" s="65"/>
    </row>
    <row r="1643" spans="1:14" ht="12.75">
      <c r="A1643" s="65"/>
      <c r="B1643" s="65"/>
      <c r="C1643" s="65"/>
      <c r="D1643" s="65"/>
      <c r="E1643" s="65" t="str">
        <v>---</v>
      </c>
      <c r="F1643" s="65"/>
      <c r="G1643" s="65"/>
      <c r="H1643" s="65"/>
      <c r="I1643" s="65"/>
      <c r="J1643" s="65"/>
      <c r="K1643" s="65" t="s">
        <v>1991</v>
      </c>
      <c r="L1643" s="65"/>
      <c r="M1643" s="65"/>
      <c r="N1643" s="65"/>
    </row>
    <row r="1644" spans="1:14" ht="12.75">
      <c r="A1644" s="65"/>
      <c r="B1644" s="65"/>
      <c r="C1644" s="65"/>
      <c r="D1644" s="65"/>
      <c r="E1644" s="65" t="str">
        <v>---</v>
      </c>
      <c r="F1644" s="65"/>
      <c r="G1644" s="65"/>
      <c r="H1644" s="65"/>
      <c r="I1644" s="65"/>
      <c r="J1644" s="65"/>
      <c r="K1644" s="65" t="s">
        <v>1992</v>
      </c>
      <c r="L1644" s="65"/>
      <c r="M1644" s="65"/>
      <c r="N1644" s="65"/>
    </row>
    <row r="1645" spans="1:14" ht="12.75">
      <c r="A1645" s="65"/>
      <c r="B1645" s="65"/>
      <c r="C1645" s="65"/>
      <c r="D1645" s="65"/>
      <c r="E1645" s="65" t="str">
        <v>---</v>
      </c>
      <c r="F1645" s="65"/>
      <c r="G1645" s="65"/>
      <c r="H1645" s="65"/>
      <c r="I1645" s="65"/>
      <c r="J1645" s="65"/>
      <c r="K1645" s="65" t="s">
        <v>1993</v>
      </c>
      <c r="L1645" s="65"/>
      <c r="M1645" s="65"/>
      <c r="N1645" s="65"/>
    </row>
    <row r="1646" spans="1:14" ht="12.75">
      <c r="A1646" s="65"/>
      <c r="B1646" s="65"/>
      <c r="C1646" s="65"/>
      <c r="D1646" s="65"/>
      <c r="E1646" s="65" t="str">
        <v>---</v>
      </c>
      <c r="F1646" s="65"/>
      <c r="G1646" s="65"/>
      <c r="H1646" s="65"/>
      <c r="I1646" s="65"/>
      <c r="J1646" s="65"/>
      <c r="K1646" s="65" t="s">
        <v>1994</v>
      </c>
      <c r="L1646" s="65"/>
      <c r="M1646" s="65"/>
      <c r="N1646" s="65"/>
    </row>
    <row r="1647" spans="1:14" ht="12.75">
      <c r="A1647" s="65"/>
      <c r="B1647" s="65"/>
      <c r="C1647" s="65"/>
      <c r="D1647" s="65"/>
      <c r="E1647" s="65" t="str">
        <v>---</v>
      </c>
      <c r="F1647" s="65"/>
      <c r="G1647" s="65"/>
      <c r="H1647" s="65"/>
      <c r="I1647" s="65"/>
      <c r="J1647" s="65"/>
      <c r="K1647" s="65" t="s">
        <v>1995</v>
      </c>
      <c r="L1647" s="65"/>
      <c r="M1647" s="65"/>
      <c r="N1647" s="65"/>
    </row>
    <row r="1648" spans="1:14" ht="12.75">
      <c r="A1648" s="65"/>
      <c r="B1648" s="65"/>
      <c r="C1648" s="65"/>
      <c r="D1648" s="65"/>
      <c r="E1648" s="65" t="str">
        <v>---</v>
      </c>
      <c r="F1648" s="65"/>
      <c r="G1648" s="65"/>
      <c r="H1648" s="65"/>
      <c r="I1648" s="65"/>
      <c r="J1648" s="65"/>
      <c r="K1648" s="65" t="s">
        <v>1996</v>
      </c>
      <c r="L1648" s="65"/>
      <c r="M1648" s="65"/>
      <c r="N1648" s="65"/>
    </row>
    <row r="1649" spans="1:14" ht="12.75">
      <c r="A1649" s="65"/>
      <c r="B1649" s="65"/>
      <c r="C1649" s="65"/>
      <c r="D1649" s="65"/>
      <c r="E1649" s="65" t="str">
        <v>---</v>
      </c>
      <c r="F1649" s="65"/>
      <c r="G1649" s="65"/>
      <c r="H1649" s="65"/>
      <c r="I1649" s="65"/>
      <c r="J1649" s="65"/>
      <c r="K1649" s="65" t="s">
        <v>1997</v>
      </c>
      <c r="L1649" s="65"/>
      <c r="M1649" s="65"/>
      <c r="N1649" s="65"/>
    </row>
    <row r="1650" spans="1:14" ht="12.75">
      <c r="A1650" s="65"/>
      <c r="B1650" s="65"/>
      <c r="C1650" s="65"/>
      <c r="D1650" s="65"/>
      <c r="E1650" s="65" t="str">
        <v>---</v>
      </c>
      <c r="F1650" s="65"/>
      <c r="G1650" s="65"/>
      <c r="H1650" s="65"/>
      <c r="I1650" s="65"/>
      <c r="J1650" s="65"/>
      <c r="K1650" s="65" t="s">
        <v>1998</v>
      </c>
      <c r="L1650" s="65"/>
      <c r="M1650" s="65"/>
      <c r="N1650" s="65"/>
    </row>
    <row r="1651" spans="1:14" ht="12.75">
      <c r="A1651" s="65"/>
      <c r="B1651" s="65"/>
      <c r="C1651" s="65"/>
      <c r="D1651" s="65"/>
      <c r="E1651" s="65" t="str">
        <v>---</v>
      </c>
      <c r="F1651" s="65"/>
      <c r="G1651" s="65"/>
      <c r="H1651" s="65"/>
      <c r="I1651" s="65"/>
      <c r="J1651" s="65"/>
      <c r="K1651" s="65" t="s">
        <v>1999</v>
      </c>
      <c r="L1651" s="65"/>
      <c r="M1651" s="65"/>
      <c r="N1651" s="65"/>
    </row>
    <row r="1652" spans="1:14" ht="12.75">
      <c r="A1652" s="65"/>
      <c r="B1652" s="65"/>
      <c r="C1652" s="65"/>
      <c r="D1652" s="65"/>
      <c r="E1652" s="65" t="str">
        <v>---</v>
      </c>
      <c r="F1652" s="65"/>
      <c r="G1652" s="65"/>
      <c r="H1652" s="65"/>
      <c r="I1652" s="65"/>
      <c r="J1652" s="65"/>
      <c r="K1652" s="65" t="s">
        <v>2000</v>
      </c>
      <c r="L1652" s="65"/>
      <c r="M1652" s="65"/>
      <c r="N1652" s="65"/>
    </row>
    <row r="1653" spans="1:14" ht="12.75">
      <c r="A1653" s="65"/>
      <c r="B1653" s="65"/>
      <c r="C1653" s="65"/>
      <c r="D1653" s="65"/>
      <c r="E1653" s="65" t="str">
        <v>---</v>
      </c>
      <c r="F1653" s="65"/>
      <c r="G1653" s="65"/>
      <c r="H1653" s="65"/>
      <c r="I1653" s="65"/>
      <c r="J1653" s="65"/>
      <c r="K1653" s="65" t="s">
        <v>2001</v>
      </c>
      <c r="L1653" s="65"/>
      <c r="M1653" s="65"/>
      <c r="N1653" s="65"/>
    </row>
    <row r="1654" spans="1:14" ht="12.75">
      <c r="A1654" s="65"/>
      <c r="B1654" s="65"/>
      <c r="C1654" s="65"/>
      <c r="D1654" s="65"/>
      <c r="E1654" s="65" t="str">
        <v>---</v>
      </c>
      <c r="F1654" s="65"/>
      <c r="G1654" s="65"/>
      <c r="H1654" s="65"/>
      <c r="I1654" s="65"/>
      <c r="J1654" s="65"/>
      <c r="K1654" s="65" t="s">
        <v>2002</v>
      </c>
      <c r="L1654" s="65"/>
      <c r="M1654" s="65"/>
      <c r="N1654" s="65"/>
    </row>
    <row r="1655" spans="1:14" ht="12.75">
      <c r="A1655" s="65"/>
      <c r="B1655" s="65"/>
      <c r="C1655" s="65"/>
      <c r="D1655" s="65"/>
      <c r="E1655" s="65" t="str">
        <v>---</v>
      </c>
      <c r="F1655" s="65"/>
      <c r="G1655" s="65"/>
      <c r="H1655" s="65"/>
      <c r="I1655" s="65"/>
      <c r="J1655" s="65"/>
      <c r="K1655" s="65" t="s">
        <v>2003</v>
      </c>
      <c r="L1655" s="65"/>
      <c r="M1655" s="65"/>
      <c r="N1655" s="65"/>
    </row>
    <row r="1656" spans="1:14" ht="12.75">
      <c r="A1656" s="65"/>
      <c r="B1656" s="65"/>
      <c r="C1656" s="65"/>
      <c r="D1656" s="65"/>
      <c r="E1656" s="65" t="str">
        <v>---</v>
      </c>
      <c r="F1656" s="65"/>
      <c r="G1656" s="65"/>
      <c r="H1656" s="65"/>
      <c r="I1656" s="65"/>
      <c r="J1656" s="65"/>
      <c r="K1656" s="65" t="s">
        <v>2004</v>
      </c>
      <c r="L1656" s="65"/>
      <c r="M1656" s="65"/>
      <c r="N1656" s="65"/>
    </row>
    <row r="1657" spans="1:14" ht="12.75">
      <c r="A1657" s="65"/>
      <c r="B1657" s="65"/>
      <c r="C1657" s="65"/>
      <c r="D1657" s="65"/>
      <c r="E1657" s="65" t="str">
        <v>---</v>
      </c>
      <c r="F1657" s="65"/>
      <c r="G1657" s="65"/>
      <c r="H1657" s="65"/>
      <c r="I1657" s="65"/>
      <c r="J1657" s="65"/>
      <c r="K1657" s="65" t="s">
        <v>2005</v>
      </c>
      <c r="L1657" s="65"/>
      <c r="M1657" s="65"/>
      <c r="N1657" s="65"/>
    </row>
    <row r="1658" spans="1:14" ht="12.75">
      <c r="A1658" s="65"/>
      <c r="B1658" s="65"/>
      <c r="C1658" s="65"/>
      <c r="D1658" s="65"/>
      <c r="E1658" s="65" t="str">
        <v>---</v>
      </c>
      <c r="F1658" s="65"/>
      <c r="G1658" s="65"/>
      <c r="H1658" s="65"/>
      <c r="I1658" s="65"/>
      <c r="J1658" s="65"/>
      <c r="K1658" s="65" t="s">
        <v>2006</v>
      </c>
      <c r="L1658" s="65"/>
      <c r="M1658" s="65"/>
      <c r="N1658" s="65"/>
    </row>
    <row r="1659" spans="1:14" ht="12.75">
      <c r="A1659" s="65"/>
      <c r="B1659" s="65"/>
      <c r="C1659" s="65"/>
      <c r="D1659" s="65"/>
      <c r="E1659" s="65" t="str">
        <v>---</v>
      </c>
      <c r="F1659" s="65"/>
      <c r="G1659" s="65"/>
      <c r="H1659" s="65"/>
      <c r="I1659" s="65"/>
      <c r="J1659" s="65"/>
      <c r="K1659" s="65" t="s">
        <v>2007</v>
      </c>
      <c r="L1659" s="65"/>
      <c r="M1659" s="65"/>
      <c r="N1659" s="65"/>
    </row>
    <row r="1660" spans="1:14" ht="12.75">
      <c r="A1660" s="65"/>
      <c r="B1660" s="65"/>
      <c r="C1660" s="65"/>
      <c r="D1660" s="65"/>
      <c r="E1660" s="65" t="str">
        <v>---</v>
      </c>
      <c r="F1660" s="65"/>
      <c r="G1660" s="65"/>
      <c r="H1660" s="65"/>
      <c r="I1660" s="65"/>
      <c r="J1660" s="65"/>
      <c r="K1660" s="65" t="s">
        <v>2008</v>
      </c>
      <c r="L1660" s="65"/>
      <c r="M1660" s="65"/>
      <c r="N1660" s="65"/>
    </row>
    <row r="1661" spans="1:14" ht="12.75">
      <c r="A1661" s="65"/>
      <c r="B1661" s="65"/>
      <c r="C1661" s="65"/>
      <c r="D1661" s="65"/>
      <c r="E1661" s="65" t="str">
        <v>---</v>
      </c>
      <c r="F1661" s="65"/>
      <c r="G1661" s="65"/>
      <c r="H1661" s="65"/>
      <c r="I1661" s="65"/>
      <c r="J1661" s="65"/>
      <c r="K1661" s="65" t="s">
        <v>2009</v>
      </c>
      <c r="L1661" s="65"/>
      <c r="M1661" s="65"/>
      <c r="N1661" s="65"/>
    </row>
    <row r="1662" spans="1:14" ht="12.75">
      <c r="A1662" s="65"/>
      <c r="B1662" s="65"/>
      <c r="C1662" s="65"/>
      <c r="D1662" s="65"/>
      <c r="E1662" s="65" t="str">
        <v>---</v>
      </c>
      <c r="F1662" s="65"/>
      <c r="G1662" s="65"/>
      <c r="H1662" s="65"/>
      <c r="I1662" s="65"/>
      <c r="J1662" s="65"/>
      <c r="K1662" s="65" t="s">
        <v>2010</v>
      </c>
      <c r="L1662" s="65"/>
      <c r="M1662" s="65"/>
      <c r="N1662" s="65"/>
    </row>
    <row r="1663" spans="1:14" ht="12.75">
      <c r="A1663" s="65"/>
      <c r="B1663" s="65"/>
      <c r="C1663" s="65"/>
      <c r="D1663" s="65"/>
      <c r="E1663" s="65" t="str">
        <v>---</v>
      </c>
      <c r="F1663" s="65"/>
      <c r="G1663" s="65"/>
      <c r="H1663" s="65"/>
      <c r="I1663" s="65"/>
      <c r="J1663" s="65"/>
      <c r="K1663" s="65" t="s">
        <v>2011</v>
      </c>
      <c r="L1663" s="65"/>
      <c r="M1663" s="65"/>
      <c r="N1663" s="65"/>
    </row>
    <row r="1664" spans="1:14" ht="12.75">
      <c r="A1664" s="65"/>
      <c r="B1664" s="65"/>
      <c r="C1664" s="65"/>
      <c r="D1664" s="65"/>
      <c r="E1664" s="65" t="str">
        <v>---</v>
      </c>
      <c r="F1664" s="65"/>
      <c r="G1664" s="65"/>
      <c r="H1664" s="65"/>
      <c r="I1664" s="65"/>
      <c r="J1664" s="65"/>
      <c r="K1664" s="65" t="s">
        <v>2012</v>
      </c>
      <c r="L1664" s="65"/>
      <c r="M1664" s="65"/>
      <c r="N1664" s="65"/>
    </row>
    <row r="1665" spans="1:14" ht="12.75">
      <c r="A1665" s="65"/>
      <c r="B1665" s="65"/>
      <c r="C1665" s="65"/>
      <c r="D1665" s="65"/>
      <c r="E1665" s="65" t="str">
        <v>---</v>
      </c>
      <c r="F1665" s="65"/>
      <c r="G1665" s="65"/>
      <c r="H1665" s="65"/>
      <c r="I1665" s="65"/>
      <c r="J1665" s="65"/>
      <c r="K1665" s="65" t="s">
        <v>2013</v>
      </c>
      <c r="L1665" s="65"/>
      <c r="M1665" s="65"/>
      <c r="N1665" s="65"/>
    </row>
    <row r="1666" spans="1:14" ht="12.75">
      <c r="A1666" s="65"/>
      <c r="B1666" s="65"/>
      <c r="C1666" s="65"/>
      <c r="D1666" s="65"/>
      <c r="E1666" s="65" t="str">
        <v>---</v>
      </c>
      <c r="F1666" s="65"/>
      <c r="G1666" s="65"/>
      <c r="H1666" s="65"/>
      <c r="I1666" s="65"/>
      <c r="J1666" s="65"/>
      <c r="K1666" s="65" t="s">
        <v>2014</v>
      </c>
      <c r="L1666" s="65"/>
      <c r="M1666" s="65"/>
      <c r="N1666" s="65"/>
    </row>
    <row r="1667" spans="1:14" ht="12.75">
      <c r="A1667" s="65"/>
      <c r="B1667" s="65"/>
      <c r="C1667" s="65"/>
      <c r="D1667" s="65"/>
      <c r="E1667" s="65" t="str">
        <v>---</v>
      </c>
      <c r="F1667" s="65"/>
      <c r="G1667" s="65"/>
      <c r="H1667" s="65"/>
      <c r="I1667" s="65"/>
      <c r="J1667" s="65"/>
      <c r="K1667" s="65" t="s">
        <v>2015</v>
      </c>
      <c r="L1667" s="65"/>
      <c r="M1667" s="65"/>
      <c r="N1667" s="65"/>
    </row>
    <row r="1668" spans="1:14" ht="12.75">
      <c r="A1668" s="65"/>
      <c r="B1668" s="65"/>
      <c r="C1668" s="65"/>
      <c r="D1668" s="65"/>
      <c r="E1668" s="65" t="str">
        <v>---</v>
      </c>
      <c r="F1668" s="65"/>
      <c r="G1668" s="65"/>
      <c r="H1668" s="65"/>
      <c r="I1668" s="65"/>
      <c r="J1668" s="65"/>
      <c r="K1668" s="65" t="s">
        <v>1693</v>
      </c>
      <c r="L1668" s="65"/>
      <c r="M1668" s="65"/>
      <c r="N1668" s="65"/>
    </row>
    <row r="1669" spans="1:14" ht="12.75">
      <c r="A1669" s="65"/>
      <c r="B1669" s="65"/>
      <c r="C1669" s="65"/>
      <c r="D1669" s="65"/>
      <c r="E1669" s="65" t="str">
        <v>---</v>
      </c>
      <c r="F1669" s="65"/>
      <c r="G1669" s="65"/>
      <c r="H1669" s="65"/>
      <c r="I1669" s="65"/>
      <c r="J1669" s="65"/>
      <c r="K1669" s="65" t="s">
        <v>1694</v>
      </c>
      <c r="L1669" s="65"/>
      <c r="M1669" s="65"/>
      <c r="N1669" s="65"/>
    </row>
    <row r="1670" spans="1:14" ht="12.75">
      <c r="A1670" s="65"/>
      <c r="B1670" s="65"/>
      <c r="C1670" s="65"/>
      <c r="D1670" s="65"/>
      <c r="E1670" s="65" t="str">
        <v>---</v>
      </c>
      <c r="F1670" s="65"/>
      <c r="G1670" s="65"/>
      <c r="H1670" s="65"/>
      <c r="I1670" s="65"/>
      <c r="J1670" s="65"/>
      <c r="K1670" s="65" t="s">
        <v>1695</v>
      </c>
      <c r="L1670" s="65"/>
      <c r="M1670" s="65"/>
      <c r="N1670" s="65"/>
    </row>
    <row r="1671" spans="1:14" ht="12.75">
      <c r="A1671" s="65"/>
      <c r="B1671" s="65"/>
      <c r="C1671" s="65"/>
      <c r="D1671" s="65"/>
      <c r="E1671" s="65" t="str">
        <v>---</v>
      </c>
      <c r="F1671" s="65"/>
      <c r="G1671" s="65"/>
      <c r="H1671" s="65"/>
      <c r="I1671" s="65"/>
      <c r="J1671" s="65"/>
      <c r="K1671" s="65" t="s">
        <v>1696</v>
      </c>
      <c r="L1671" s="65"/>
      <c r="M1671" s="65"/>
      <c r="N1671" s="65"/>
    </row>
    <row r="1672" spans="1:14" ht="12.75">
      <c r="A1672" s="65"/>
      <c r="B1672" s="65"/>
      <c r="C1672" s="65"/>
      <c r="D1672" s="65"/>
      <c r="E1672" s="65" t="str">
        <v>---</v>
      </c>
      <c r="F1672" s="65"/>
      <c r="G1672" s="65"/>
      <c r="H1672" s="65"/>
      <c r="I1672" s="65"/>
      <c r="J1672" s="65"/>
      <c r="K1672" s="65" t="s">
        <v>1697</v>
      </c>
      <c r="L1672" s="65"/>
      <c r="M1672" s="65"/>
      <c r="N1672" s="65"/>
    </row>
    <row r="1673" spans="1:14" ht="12.75">
      <c r="A1673" s="65"/>
      <c r="B1673" s="65"/>
      <c r="C1673" s="65"/>
      <c r="D1673" s="65"/>
      <c r="E1673" s="65" t="str">
        <v>---</v>
      </c>
      <c r="F1673" s="65"/>
      <c r="G1673" s="65"/>
      <c r="H1673" s="65"/>
      <c r="I1673" s="65"/>
      <c r="J1673" s="65"/>
      <c r="K1673" s="65" t="s">
        <v>1698</v>
      </c>
      <c r="L1673" s="65"/>
      <c r="M1673" s="65"/>
      <c r="N1673" s="65"/>
    </row>
    <row r="1674" spans="1:14" ht="12.75">
      <c r="A1674" s="65"/>
      <c r="B1674" s="65"/>
      <c r="C1674" s="65"/>
      <c r="D1674" s="65"/>
      <c r="E1674" s="65" t="str">
        <v>---</v>
      </c>
      <c r="F1674" s="65"/>
      <c r="G1674" s="65"/>
      <c r="H1674" s="65"/>
      <c r="I1674" s="65"/>
      <c r="J1674" s="65"/>
      <c r="K1674" s="65" t="s">
        <v>1700</v>
      </c>
      <c r="L1674" s="65"/>
      <c r="M1674" s="65"/>
      <c r="N1674" s="65"/>
    </row>
    <row r="1675" spans="1:14" ht="12.75">
      <c r="A1675" s="65"/>
      <c r="B1675" s="65"/>
      <c r="C1675" s="65"/>
      <c r="D1675" s="65"/>
      <c r="E1675" s="65" t="str">
        <v>---</v>
      </c>
      <c r="F1675" s="65"/>
      <c r="G1675" s="65"/>
      <c r="H1675" s="65"/>
      <c r="I1675" s="65"/>
      <c r="J1675" s="65"/>
      <c r="K1675" s="65" t="s">
        <v>1701</v>
      </c>
      <c r="L1675" s="65"/>
      <c r="M1675" s="65"/>
      <c r="N1675" s="65"/>
    </row>
    <row r="1676" spans="1:14" ht="12.75">
      <c r="A1676" s="65"/>
      <c r="B1676" s="65"/>
      <c r="C1676" s="65"/>
      <c r="D1676" s="65"/>
      <c r="E1676" s="65" t="str">
        <v>---</v>
      </c>
      <c r="F1676" s="65"/>
      <c r="G1676" s="65"/>
      <c r="H1676" s="65"/>
      <c r="I1676" s="65"/>
      <c r="J1676" s="65"/>
      <c r="K1676" s="65" t="s">
        <v>1702</v>
      </c>
      <c r="L1676" s="65"/>
      <c r="M1676" s="65"/>
      <c r="N1676" s="65"/>
    </row>
    <row r="1677" spans="1:14" ht="12.75">
      <c r="A1677" s="65"/>
      <c r="B1677" s="65"/>
      <c r="C1677" s="65"/>
      <c r="D1677" s="65"/>
      <c r="E1677" s="65" t="str">
        <v>---</v>
      </c>
      <c r="F1677" s="65"/>
      <c r="G1677" s="65"/>
      <c r="H1677" s="65"/>
      <c r="I1677" s="65"/>
      <c r="J1677" s="65"/>
      <c r="K1677" s="65" t="s">
        <v>1703</v>
      </c>
      <c r="L1677" s="65"/>
      <c r="M1677" s="65"/>
      <c r="N1677" s="65"/>
    </row>
    <row r="1678" spans="1:14" ht="12.75">
      <c r="A1678" s="65"/>
      <c r="B1678" s="65"/>
      <c r="C1678" s="65"/>
      <c r="D1678" s="65"/>
      <c r="E1678" s="65" t="str">
        <v>---</v>
      </c>
      <c r="F1678" s="65"/>
      <c r="G1678" s="65"/>
      <c r="H1678" s="65"/>
      <c r="I1678" s="65"/>
      <c r="J1678" s="65"/>
      <c r="K1678" s="65" t="s">
        <v>1704</v>
      </c>
      <c r="L1678" s="65"/>
      <c r="M1678" s="65"/>
      <c r="N1678" s="65"/>
    </row>
    <row r="1679" spans="1:14" ht="12.75">
      <c r="A1679" s="65"/>
      <c r="B1679" s="65"/>
      <c r="C1679" s="65"/>
      <c r="D1679" s="65"/>
      <c r="E1679" s="65" t="str">
        <v>---</v>
      </c>
      <c r="F1679" s="65"/>
      <c r="G1679" s="65"/>
      <c r="H1679" s="65"/>
      <c r="I1679" s="65"/>
      <c r="J1679" s="65"/>
      <c r="K1679" s="65" t="s">
        <v>1705</v>
      </c>
      <c r="L1679" s="65"/>
      <c r="M1679" s="65"/>
      <c r="N1679" s="65"/>
    </row>
    <row r="1680" spans="1:14" ht="12.75">
      <c r="A1680" s="65"/>
      <c r="B1680" s="65"/>
      <c r="C1680" s="65"/>
      <c r="D1680" s="65"/>
      <c r="E1680" s="65" t="str">
        <v>---</v>
      </c>
      <c r="F1680" s="65"/>
      <c r="G1680" s="65"/>
      <c r="H1680" s="65"/>
      <c r="I1680" s="65"/>
      <c r="J1680" s="65"/>
      <c r="K1680" s="65" t="s">
        <v>1706</v>
      </c>
      <c r="L1680" s="65"/>
      <c r="M1680" s="65"/>
      <c r="N1680" s="65"/>
    </row>
    <row r="1681" spans="1:14" ht="12.75">
      <c r="A1681" s="65"/>
      <c r="B1681" s="65"/>
      <c r="C1681" s="65"/>
      <c r="D1681" s="65"/>
      <c r="E1681" s="65" t="str">
        <v>---</v>
      </c>
      <c r="F1681" s="65"/>
      <c r="G1681" s="65"/>
      <c r="H1681" s="65"/>
      <c r="I1681" s="65"/>
      <c r="J1681" s="65"/>
      <c r="K1681" s="65" t="s">
        <v>1707</v>
      </c>
      <c r="L1681" s="65"/>
      <c r="M1681" s="65"/>
      <c r="N1681" s="65"/>
    </row>
    <row r="1682" spans="1:14" ht="12.75">
      <c r="A1682" s="65"/>
      <c r="B1682" s="65"/>
      <c r="C1682" s="65"/>
      <c r="D1682" s="65"/>
      <c r="E1682" s="65" t="str">
        <v>---</v>
      </c>
      <c r="F1682" s="65"/>
      <c r="G1682" s="65"/>
      <c r="H1682" s="65"/>
      <c r="I1682" s="65"/>
      <c r="J1682" s="65"/>
      <c r="K1682" s="65" t="s">
        <v>1708</v>
      </c>
      <c r="L1682" s="65"/>
      <c r="M1682" s="65"/>
      <c r="N1682" s="65"/>
    </row>
    <row r="1683" spans="1:14" ht="12.75">
      <c r="A1683" s="65"/>
      <c r="B1683" s="65"/>
      <c r="C1683" s="65"/>
      <c r="D1683" s="65"/>
      <c r="E1683" s="65" t="str">
        <v>---</v>
      </c>
      <c r="F1683" s="65"/>
      <c r="G1683" s="65"/>
      <c r="H1683" s="65"/>
      <c r="I1683" s="65"/>
      <c r="J1683" s="65"/>
      <c r="K1683" s="65" t="s">
        <v>1709</v>
      </c>
      <c r="L1683" s="65"/>
      <c r="M1683" s="65"/>
      <c r="N1683" s="65"/>
    </row>
    <row r="1684" spans="1:14" ht="12.75">
      <c r="A1684" s="65"/>
      <c r="B1684" s="65"/>
      <c r="C1684" s="65"/>
      <c r="D1684" s="65"/>
      <c r="E1684" s="65" t="str">
        <v>---</v>
      </c>
      <c r="F1684" s="65"/>
      <c r="G1684" s="65"/>
      <c r="H1684" s="65"/>
      <c r="I1684" s="65"/>
      <c r="J1684" s="65"/>
      <c r="K1684" s="65" t="s">
        <v>1710</v>
      </c>
      <c r="L1684" s="65"/>
      <c r="M1684" s="65"/>
      <c r="N1684" s="65"/>
    </row>
    <row r="1685" spans="1:14" ht="12.75">
      <c r="A1685" s="65"/>
      <c r="B1685" s="65"/>
      <c r="C1685" s="65"/>
      <c r="D1685" s="65"/>
      <c r="E1685" s="65" t="str">
        <v>---</v>
      </c>
      <c r="F1685" s="65"/>
      <c r="G1685" s="65"/>
      <c r="H1685" s="65"/>
      <c r="I1685" s="65"/>
      <c r="J1685" s="65"/>
      <c r="K1685" s="65" t="s">
        <v>1711</v>
      </c>
      <c r="L1685" s="65"/>
      <c r="M1685" s="65"/>
      <c r="N1685" s="65"/>
    </row>
    <row r="1686" spans="1:14" ht="12.75">
      <c r="A1686" s="65"/>
      <c r="B1686" s="65"/>
      <c r="C1686" s="65"/>
      <c r="D1686" s="65"/>
      <c r="E1686" s="65" t="str">
        <v>---</v>
      </c>
      <c r="F1686" s="65"/>
      <c r="G1686" s="65"/>
      <c r="H1686" s="65"/>
      <c r="I1686" s="65"/>
      <c r="J1686" s="65"/>
      <c r="K1686" s="65" t="s">
        <v>1712</v>
      </c>
      <c r="L1686" s="65"/>
      <c r="M1686" s="65"/>
      <c r="N1686" s="65"/>
    </row>
    <row r="1687" spans="1:14" ht="12.75">
      <c r="A1687" s="65"/>
      <c r="B1687" s="65"/>
      <c r="C1687" s="65"/>
      <c r="D1687" s="65"/>
      <c r="E1687" s="65" t="str">
        <v>---</v>
      </c>
      <c r="F1687" s="65"/>
      <c r="G1687" s="65"/>
      <c r="H1687" s="65"/>
      <c r="I1687" s="65"/>
      <c r="J1687" s="65"/>
      <c r="K1687" s="65" t="s">
        <v>1713</v>
      </c>
      <c r="L1687" s="65"/>
      <c r="M1687" s="65"/>
      <c r="N1687" s="65"/>
    </row>
    <row r="1688" spans="1:14" ht="12.75">
      <c r="A1688" s="65"/>
      <c r="B1688" s="65"/>
      <c r="C1688" s="65"/>
      <c r="D1688" s="65"/>
      <c r="E1688" s="65" t="str">
        <v>---</v>
      </c>
      <c r="F1688" s="65"/>
      <c r="G1688" s="65"/>
      <c r="H1688" s="65"/>
      <c r="I1688" s="65"/>
      <c r="J1688" s="65"/>
      <c r="K1688" s="65" t="s">
        <v>1714</v>
      </c>
      <c r="L1688" s="65"/>
      <c r="M1688" s="65"/>
      <c r="N1688" s="65"/>
    </row>
    <row r="1689" spans="1:14" ht="12.75">
      <c r="A1689" s="65"/>
      <c r="B1689" s="65"/>
      <c r="C1689" s="65"/>
      <c r="D1689" s="65"/>
      <c r="E1689" s="65" t="str">
        <v>---</v>
      </c>
      <c r="F1689" s="65"/>
      <c r="G1689" s="65"/>
      <c r="H1689" s="65"/>
      <c r="I1689" s="65"/>
      <c r="J1689" s="65"/>
      <c r="K1689" s="65" t="s">
        <v>1715</v>
      </c>
      <c r="L1689" s="65"/>
      <c r="M1689" s="65"/>
      <c r="N1689" s="65"/>
    </row>
    <row r="1690" spans="1:14" ht="12.75">
      <c r="A1690" s="65"/>
      <c r="B1690" s="65"/>
      <c r="C1690" s="65"/>
      <c r="D1690" s="65"/>
      <c r="E1690" s="65" t="str">
        <v>---</v>
      </c>
      <c r="F1690" s="65"/>
      <c r="G1690" s="65"/>
      <c r="H1690" s="65"/>
      <c r="I1690" s="65"/>
      <c r="J1690" s="65"/>
      <c r="K1690" s="65" t="s">
        <v>1716</v>
      </c>
      <c r="L1690" s="65"/>
      <c r="M1690" s="65"/>
      <c r="N1690" s="65"/>
    </row>
    <row r="1691" spans="1:14" ht="12.75">
      <c r="A1691" s="65"/>
      <c r="B1691" s="65"/>
      <c r="C1691" s="65"/>
      <c r="D1691" s="65"/>
      <c r="E1691" s="65" t="str">
        <v>---</v>
      </c>
      <c r="F1691" s="65"/>
      <c r="G1691" s="65"/>
      <c r="H1691" s="65"/>
      <c r="I1691" s="65"/>
      <c r="J1691" s="65"/>
      <c r="K1691" s="65" t="s">
        <v>1717</v>
      </c>
      <c r="L1691" s="65"/>
      <c r="M1691" s="65"/>
      <c r="N1691" s="65"/>
    </row>
    <row r="1692" spans="1:14" ht="12.75">
      <c r="A1692" s="65"/>
      <c r="B1692" s="65"/>
      <c r="C1692" s="65"/>
      <c r="D1692" s="65"/>
      <c r="E1692" s="65" t="str">
        <v>---</v>
      </c>
      <c r="F1692" s="65"/>
      <c r="G1692" s="65"/>
      <c r="H1692" s="65"/>
      <c r="I1692" s="65"/>
      <c r="J1692" s="65"/>
      <c r="K1692" s="65" t="s">
        <v>1718</v>
      </c>
      <c r="L1692" s="65"/>
      <c r="M1692" s="65"/>
      <c r="N1692" s="65"/>
    </row>
    <row r="1693" spans="1:14" ht="12.75">
      <c r="A1693" s="65"/>
      <c r="B1693" s="65"/>
      <c r="C1693" s="65"/>
      <c r="D1693" s="65"/>
      <c r="E1693" s="65" t="str">
        <v>---</v>
      </c>
      <c r="F1693" s="65"/>
      <c r="G1693" s="65"/>
      <c r="H1693" s="65"/>
      <c r="I1693" s="65"/>
      <c r="J1693" s="65"/>
      <c r="K1693" s="65" t="s">
        <v>1719</v>
      </c>
      <c r="L1693" s="65"/>
      <c r="M1693" s="65"/>
      <c r="N1693" s="65"/>
    </row>
    <row r="1694" spans="1:14" ht="12.75">
      <c r="A1694" s="65"/>
      <c r="B1694" s="65"/>
      <c r="C1694" s="65"/>
      <c r="D1694" s="65"/>
      <c r="E1694" s="65" t="str">
        <v>---</v>
      </c>
      <c r="F1694" s="65"/>
      <c r="G1694" s="65"/>
      <c r="H1694" s="65"/>
      <c r="I1694" s="65"/>
      <c r="J1694" s="65"/>
      <c r="K1694" s="65" t="s">
        <v>1720</v>
      </c>
      <c r="L1694" s="65"/>
      <c r="M1694" s="65"/>
      <c r="N1694" s="65"/>
    </row>
    <row r="1695" spans="1:14" ht="12.75">
      <c r="A1695" s="65"/>
      <c r="B1695" s="65"/>
      <c r="C1695" s="65"/>
      <c r="D1695" s="65"/>
      <c r="E1695" s="65" t="str">
        <v>---</v>
      </c>
      <c r="F1695" s="65"/>
      <c r="G1695" s="65"/>
      <c r="H1695" s="65"/>
      <c r="I1695" s="65"/>
      <c r="J1695" s="65"/>
      <c r="K1695" s="65" t="s">
        <v>1721</v>
      </c>
      <c r="L1695" s="65"/>
      <c r="M1695" s="65"/>
      <c r="N1695" s="65"/>
    </row>
    <row r="1696" spans="1:14" ht="12.75">
      <c r="A1696" s="65"/>
      <c r="B1696" s="65"/>
      <c r="C1696" s="65"/>
      <c r="D1696" s="65"/>
      <c r="E1696" s="65" t="str">
        <v>---</v>
      </c>
      <c r="F1696" s="65"/>
      <c r="G1696" s="65"/>
      <c r="H1696" s="65"/>
      <c r="I1696" s="65"/>
      <c r="J1696" s="65"/>
      <c r="K1696" s="65" t="s">
        <v>1722</v>
      </c>
      <c r="L1696" s="65"/>
      <c r="M1696" s="65"/>
      <c r="N1696" s="65"/>
    </row>
    <row r="1697" spans="1:14" ht="12.75">
      <c r="A1697" s="65"/>
      <c r="B1697" s="65"/>
      <c r="C1697" s="65"/>
      <c r="D1697" s="65"/>
      <c r="E1697" s="65" t="str">
        <v>---</v>
      </c>
      <c r="F1697" s="65"/>
      <c r="G1697" s="65"/>
      <c r="H1697" s="65"/>
      <c r="I1697" s="65"/>
      <c r="J1697" s="65"/>
      <c r="K1697" s="65" t="s">
        <v>1723</v>
      </c>
      <c r="L1697" s="65"/>
      <c r="M1697" s="65"/>
      <c r="N1697" s="65"/>
    </row>
    <row r="1698" spans="1:14" ht="12.75">
      <c r="A1698" s="65"/>
      <c r="B1698" s="65"/>
      <c r="C1698" s="65"/>
      <c r="D1698" s="65"/>
      <c r="E1698" s="65" t="str">
        <v>---</v>
      </c>
      <c r="F1698" s="65"/>
      <c r="G1698" s="65"/>
      <c r="H1698" s="65"/>
      <c r="I1698" s="65"/>
      <c r="J1698" s="65"/>
      <c r="K1698" s="65" t="s">
        <v>1724</v>
      </c>
      <c r="L1698" s="65"/>
      <c r="M1698" s="65"/>
      <c r="N1698" s="65"/>
    </row>
    <row r="1699" spans="1:14" ht="12.75">
      <c r="A1699" s="65"/>
      <c r="B1699" s="65"/>
      <c r="C1699" s="65"/>
      <c r="D1699" s="65"/>
      <c r="E1699" s="65" t="str">
        <v>---</v>
      </c>
      <c r="F1699" s="65"/>
      <c r="G1699" s="65"/>
      <c r="H1699" s="65"/>
      <c r="I1699" s="65"/>
      <c r="J1699" s="65"/>
      <c r="K1699" s="65" t="s">
        <v>1725</v>
      </c>
      <c r="L1699" s="65"/>
      <c r="M1699" s="65"/>
      <c r="N1699" s="65"/>
    </row>
    <row r="1700" spans="1:14" ht="12.75">
      <c r="A1700" s="65"/>
      <c r="B1700" s="65"/>
      <c r="C1700" s="65"/>
      <c r="D1700" s="65"/>
      <c r="E1700" s="65" t="str">
        <v>---</v>
      </c>
      <c r="F1700" s="65"/>
      <c r="G1700" s="65"/>
      <c r="H1700" s="65"/>
      <c r="I1700" s="65"/>
      <c r="J1700" s="65"/>
      <c r="K1700" s="65" t="s">
        <v>1726</v>
      </c>
      <c r="L1700" s="65"/>
      <c r="M1700" s="65"/>
      <c r="N1700" s="65"/>
    </row>
    <row r="1701" spans="1:14" ht="12.75">
      <c r="A1701" s="65"/>
      <c r="B1701" s="65"/>
      <c r="C1701" s="65"/>
      <c r="D1701" s="65"/>
      <c r="E1701" s="65" t="str">
        <v>---</v>
      </c>
      <c r="F1701" s="65"/>
      <c r="G1701" s="65"/>
      <c r="H1701" s="65"/>
      <c r="I1701" s="65"/>
      <c r="J1701" s="65"/>
      <c r="K1701" s="65" t="s">
        <v>1727</v>
      </c>
      <c r="L1701" s="65"/>
      <c r="M1701" s="65"/>
      <c r="N1701" s="65"/>
    </row>
    <row r="1702" spans="1:14" ht="12.75">
      <c r="A1702" s="65"/>
      <c r="B1702" s="65"/>
      <c r="C1702" s="65"/>
      <c r="D1702" s="65"/>
      <c r="E1702" s="65" t="str">
        <v>---</v>
      </c>
      <c r="F1702" s="65"/>
      <c r="G1702" s="65"/>
      <c r="H1702" s="65"/>
      <c r="I1702" s="65"/>
      <c r="J1702" s="65"/>
      <c r="K1702" s="65" t="s">
        <v>1728</v>
      </c>
      <c r="L1702" s="65"/>
      <c r="M1702" s="65"/>
      <c r="N1702" s="65"/>
    </row>
    <row r="1703" spans="1:14" ht="12.75">
      <c r="A1703" s="65"/>
      <c r="B1703" s="65"/>
      <c r="C1703" s="65"/>
      <c r="D1703" s="65"/>
      <c r="E1703" s="65" t="str">
        <v>---</v>
      </c>
      <c r="F1703" s="65"/>
      <c r="G1703" s="65"/>
      <c r="H1703" s="65"/>
      <c r="I1703" s="65"/>
      <c r="J1703" s="65"/>
      <c r="K1703" s="65" t="s">
        <v>1729</v>
      </c>
      <c r="L1703" s="65"/>
      <c r="M1703" s="65"/>
      <c r="N1703" s="65"/>
    </row>
    <row r="1704" spans="1:14" ht="12.75">
      <c r="A1704" s="65"/>
      <c r="B1704" s="65"/>
      <c r="C1704" s="65"/>
      <c r="D1704" s="65"/>
      <c r="E1704" s="65" t="str">
        <v>---</v>
      </c>
      <c r="F1704" s="65"/>
      <c r="G1704" s="65"/>
      <c r="H1704" s="65"/>
      <c r="I1704" s="65"/>
      <c r="J1704" s="65"/>
      <c r="K1704" s="65" t="s">
        <v>1730</v>
      </c>
      <c r="L1704" s="65"/>
      <c r="M1704" s="65"/>
      <c r="N1704" s="65"/>
    </row>
    <row r="1705" spans="1:14" ht="12.75">
      <c r="A1705" s="65"/>
      <c r="B1705" s="65"/>
      <c r="C1705" s="65"/>
      <c r="D1705" s="65"/>
      <c r="E1705" s="65" t="str">
        <v>---</v>
      </c>
      <c r="F1705" s="65"/>
      <c r="G1705" s="65"/>
      <c r="H1705" s="65"/>
      <c r="I1705" s="65"/>
      <c r="J1705" s="65"/>
      <c r="K1705" s="65" t="s">
        <v>1731</v>
      </c>
      <c r="L1705" s="65"/>
      <c r="M1705" s="65"/>
      <c r="N1705" s="65"/>
    </row>
    <row r="1706" spans="1:14" ht="12.75">
      <c r="A1706" s="65"/>
      <c r="B1706" s="65"/>
      <c r="C1706" s="65"/>
      <c r="D1706" s="65"/>
      <c r="E1706" s="65" t="str">
        <v>---</v>
      </c>
      <c r="F1706" s="65"/>
      <c r="G1706" s="65"/>
      <c r="H1706" s="65"/>
      <c r="I1706" s="65"/>
      <c r="J1706" s="65"/>
      <c r="K1706" s="65" t="s">
        <v>1732</v>
      </c>
      <c r="L1706" s="65"/>
      <c r="M1706" s="65"/>
      <c r="N1706" s="65"/>
    </row>
    <row r="1707" spans="1:14" ht="12.75">
      <c r="A1707" s="65"/>
      <c r="B1707" s="65"/>
      <c r="C1707" s="65"/>
      <c r="D1707" s="65"/>
      <c r="E1707" s="65" t="str">
        <v>---</v>
      </c>
      <c r="F1707" s="65"/>
      <c r="G1707" s="65"/>
      <c r="H1707" s="65"/>
      <c r="I1707" s="65"/>
      <c r="J1707" s="65"/>
      <c r="K1707" s="65" t="s">
        <v>1733</v>
      </c>
      <c r="L1707" s="65"/>
      <c r="M1707" s="65"/>
      <c r="N1707" s="65"/>
    </row>
    <row r="1708" spans="1:14" ht="12.75">
      <c r="A1708" s="65"/>
      <c r="B1708" s="65"/>
      <c r="C1708" s="65"/>
      <c r="D1708" s="65"/>
      <c r="E1708" s="65" t="str">
        <v>---</v>
      </c>
      <c r="F1708" s="65"/>
      <c r="G1708" s="65"/>
      <c r="H1708" s="65"/>
      <c r="I1708" s="65"/>
      <c r="J1708" s="65"/>
      <c r="K1708" s="65" t="s">
        <v>1734</v>
      </c>
      <c r="L1708" s="65"/>
      <c r="M1708" s="65"/>
      <c r="N1708" s="65"/>
    </row>
    <row r="1709" spans="1:14" ht="12.75">
      <c r="A1709" s="65"/>
      <c r="B1709" s="65"/>
      <c r="C1709" s="65"/>
      <c r="D1709" s="65"/>
      <c r="E1709" s="65" t="str">
        <v>---</v>
      </c>
      <c r="F1709" s="65"/>
      <c r="G1709" s="65"/>
      <c r="H1709" s="65"/>
      <c r="I1709" s="65"/>
      <c r="J1709" s="65"/>
      <c r="K1709" s="65" t="s">
        <v>1735</v>
      </c>
      <c r="L1709" s="65"/>
      <c r="M1709" s="65"/>
      <c r="N1709" s="65"/>
    </row>
    <row r="1710" spans="1:14" ht="12.75">
      <c r="A1710" s="65"/>
      <c r="B1710" s="65"/>
      <c r="C1710" s="65"/>
      <c r="D1710" s="65"/>
      <c r="E1710" s="65" t="str">
        <v>---</v>
      </c>
      <c r="F1710" s="65"/>
      <c r="G1710" s="65"/>
      <c r="H1710" s="65"/>
      <c r="I1710" s="65"/>
      <c r="J1710" s="65"/>
      <c r="K1710" s="65" t="s">
        <v>1736</v>
      </c>
      <c r="L1710" s="65"/>
      <c r="M1710" s="65"/>
      <c r="N1710" s="65"/>
    </row>
    <row r="1711" spans="1:14" ht="12.75">
      <c r="A1711" s="65"/>
      <c r="B1711" s="65"/>
      <c r="C1711" s="65"/>
      <c r="D1711" s="65"/>
      <c r="E1711" s="65" t="str">
        <v>---</v>
      </c>
      <c r="F1711" s="65"/>
      <c r="G1711" s="65"/>
      <c r="H1711" s="65"/>
      <c r="I1711" s="65"/>
      <c r="J1711" s="65"/>
      <c r="K1711" s="65" t="s">
        <v>1737</v>
      </c>
      <c r="L1711" s="65"/>
      <c r="M1711" s="65"/>
      <c r="N1711" s="65"/>
    </row>
    <row r="1712" spans="1:14" ht="12.75">
      <c r="A1712" s="65"/>
      <c r="B1712" s="65"/>
      <c r="C1712" s="65"/>
      <c r="D1712" s="65"/>
      <c r="E1712" s="65" t="str">
        <v>---</v>
      </c>
      <c r="F1712" s="65"/>
      <c r="G1712" s="65"/>
      <c r="H1712" s="65"/>
      <c r="I1712" s="65"/>
      <c r="J1712" s="65"/>
      <c r="K1712" s="65" t="s">
        <v>1738</v>
      </c>
      <c r="L1712" s="65"/>
      <c r="M1712" s="65"/>
      <c r="N1712" s="65"/>
    </row>
    <row r="1713" spans="1:14" ht="12.75">
      <c r="A1713" s="65"/>
      <c r="B1713" s="65"/>
      <c r="C1713" s="65"/>
      <c r="D1713" s="65"/>
      <c r="E1713" s="65" t="str">
        <v>---</v>
      </c>
      <c r="F1713" s="65"/>
      <c r="G1713" s="65"/>
      <c r="H1713" s="65"/>
      <c r="I1713" s="65"/>
      <c r="J1713" s="65"/>
      <c r="K1713" s="65" t="s">
        <v>1739</v>
      </c>
      <c r="L1713" s="65"/>
      <c r="M1713" s="65"/>
      <c r="N1713" s="65"/>
    </row>
    <row r="1714" spans="1:14" ht="12.75">
      <c r="A1714" s="65"/>
      <c r="B1714" s="65"/>
      <c r="C1714" s="65"/>
      <c r="D1714" s="65"/>
      <c r="E1714" s="65" t="str">
        <v>---</v>
      </c>
      <c r="F1714" s="65"/>
      <c r="G1714" s="65"/>
      <c r="H1714" s="65"/>
      <c r="I1714" s="65"/>
      <c r="J1714" s="65"/>
      <c r="K1714" s="65" t="s">
        <v>1740</v>
      </c>
      <c r="L1714" s="65"/>
      <c r="M1714" s="65"/>
      <c r="N1714" s="65"/>
    </row>
    <row r="1715" spans="1:14" ht="12.75">
      <c r="A1715" s="65"/>
      <c r="B1715" s="65"/>
      <c r="C1715" s="65"/>
      <c r="D1715" s="65"/>
      <c r="E1715" s="65" t="str">
        <v>---</v>
      </c>
      <c r="F1715" s="65"/>
      <c r="G1715" s="65"/>
      <c r="H1715" s="65"/>
      <c r="I1715" s="65"/>
      <c r="J1715" s="65"/>
      <c r="K1715" s="65" t="s">
        <v>1741</v>
      </c>
      <c r="L1715" s="65"/>
      <c r="M1715" s="65"/>
      <c r="N1715" s="65"/>
    </row>
    <row r="1716" spans="1:14" ht="12.75">
      <c r="A1716" s="65"/>
      <c r="B1716" s="65"/>
      <c r="C1716" s="65"/>
      <c r="D1716" s="65"/>
      <c r="E1716" s="65" t="str">
        <v>---</v>
      </c>
      <c r="F1716" s="65"/>
      <c r="G1716" s="65"/>
      <c r="H1716" s="65"/>
      <c r="I1716" s="65"/>
      <c r="J1716" s="65"/>
      <c r="K1716" s="65" t="s">
        <v>1742</v>
      </c>
      <c r="L1716" s="65"/>
      <c r="M1716" s="65"/>
      <c r="N1716" s="65"/>
    </row>
    <row r="1717" spans="1:14" ht="12.75">
      <c r="A1717" s="65"/>
      <c r="B1717" s="65"/>
      <c r="C1717" s="65"/>
      <c r="D1717" s="65"/>
      <c r="E1717" s="65" t="str">
        <v>---</v>
      </c>
      <c r="F1717" s="65"/>
      <c r="G1717" s="65"/>
      <c r="H1717" s="65"/>
      <c r="I1717" s="65"/>
      <c r="J1717" s="65"/>
      <c r="K1717" s="65" t="s">
        <v>1743</v>
      </c>
      <c r="L1717" s="65"/>
      <c r="M1717" s="65"/>
      <c r="N1717" s="65"/>
    </row>
    <row r="1718" spans="1:14" ht="12.75">
      <c r="A1718" s="65"/>
      <c r="B1718" s="65"/>
      <c r="C1718" s="65"/>
      <c r="D1718" s="65"/>
      <c r="E1718" s="65" t="str">
        <v>---</v>
      </c>
      <c r="F1718" s="65"/>
      <c r="G1718" s="65"/>
      <c r="H1718" s="65"/>
      <c r="I1718" s="65"/>
      <c r="J1718" s="65"/>
      <c r="K1718" s="65" t="s">
        <v>1744</v>
      </c>
      <c r="L1718" s="65"/>
      <c r="M1718" s="65"/>
      <c r="N1718" s="65"/>
    </row>
    <row r="1719" spans="1:14" ht="12.75">
      <c r="A1719" s="65"/>
      <c r="B1719" s="65"/>
      <c r="C1719" s="65"/>
      <c r="D1719" s="65"/>
      <c r="E1719" s="65" t="str">
        <v>---</v>
      </c>
      <c r="F1719" s="65"/>
      <c r="G1719" s="65"/>
      <c r="H1719" s="65"/>
      <c r="I1719" s="65"/>
      <c r="J1719" s="65"/>
      <c r="K1719" s="65" t="s">
        <v>1745</v>
      </c>
      <c r="L1719" s="65"/>
      <c r="M1719" s="65"/>
      <c r="N1719" s="65"/>
    </row>
    <row r="1720" spans="1:14" ht="12.75">
      <c r="A1720" s="65"/>
      <c r="B1720" s="65"/>
      <c r="C1720" s="65"/>
      <c r="D1720" s="65"/>
      <c r="E1720" s="65" t="str">
        <v>---</v>
      </c>
      <c r="F1720" s="65"/>
      <c r="G1720" s="65"/>
      <c r="H1720" s="65"/>
      <c r="I1720" s="65"/>
      <c r="J1720" s="65"/>
      <c r="K1720" s="65" t="s">
        <v>1746</v>
      </c>
      <c r="L1720" s="65"/>
      <c r="M1720" s="65"/>
      <c r="N1720" s="65"/>
    </row>
    <row r="1721" spans="1:14" ht="12.75">
      <c r="A1721" s="65"/>
      <c r="B1721" s="65"/>
      <c r="C1721" s="65"/>
      <c r="D1721" s="65"/>
      <c r="E1721" s="65" t="str">
        <v>---</v>
      </c>
      <c r="F1721" s="65"/>
      <c r="G1721" s="65"/>
      <c r="H1721" s="65"/>
      <c r="I1721" s="65"/>
      <c r="J1721" s="65"/>
      <c r="K1721" s="65" t="s">
        <v>1747</v>
      </c>
      <c r="L1721" s="65"/>
      <c r="M1721" s="65"/>
      <c r="N1721" s="65"/>
    </row>
    <row r="1722" spans="1:14" ht="12.75">
      <c r="A1722" s="65"/>
      <c r="B1722" s="65"/>
      <c r="C1722" s="65"/>
      <c r="D1722" s="65"/>
      <c r="E1722" s="65" t="str">
        <v>---</v>
      </c>
      <c r="F1722" s="65"/>
      <c r="G1722" s="65"/>
      <c r="H1722" s="65"/>
      <c r="I1722" s="65"/>
      <c r="J1722" s="65"/>
      <c r="K1722" s="65" t="s">
        <v>1748</v>
      </c>
      <c r="L1722" s="65"/>
      <c r="M1722" s="65"/>
      <c r="N1722" s="65"/>
    </row>
    <row r="1723" spans="1:14" ht="12.75">
      <c r="A1723" s="65"/>
      <c r="B1723" s="65"/>
      <c r="C1723" s="65"/>
      <c r="D1723" s="65"/>
      <c r="E1723" s="65" t="str">
        <v>---</v>
      </c>
      <c r="F1723" s="65"/>
      <c r="G1723" s="65"/>
      <c r="H1723" s="65"/>
      <c r="I1723" s="65"/>
      <c r="J1723" s="65"/>
      <c r="K1723" s="65" t="s">
        <v>1749</v>
      </c>
      <c r="L1723" s="65"/>
      <c r="M1723" s="65"/>
      <c r="N1723" s="65"/>
    </row>
    <row r="1724" spans="1:14" ht="12.75">
      <c r="A1724" s="65"/>
      <c r="B1724" s="65"/>
      <c r="C1724" s="65"/>
      <c r="D1724" s="65"/>
      <c r="E1724" s="65" t="str">
        <v>---</v>
      </c>
      <c r="F1724" s="65"/>
      <c r="G1724" s="65"/>
      <c r="H1724" s="65"/>
      <c r="I1724" s="65"/>
      <c r="J1724" s="65"/>
      <c r="K1724" s="65" t="s">
        <v>1750</v>
      </c>
      <c r="L1724" s="65"/>
      <c r="M1724" s="65"/>
      <c r="N1724" s="65"/>
    </row>
    <row r="1725" spans="1:14" ht="12.75">
      <c r="A1725" s="65"/>
      <c r="B1725" s="65"/>
      <c r="C1725" s="65"/>
      <c r="D1725" s="65"/>
      <c r="E1725" s="65" t="str">
        <v>---</v>
      </c>
      <c r="F1725" s="65"/>
      <c r="G1725" s="65"/>
      <c r="H1725" s="65"/>
      <c r="I1725" s="65"/>
      <c r="J1725" s="65"/>
      <c r="K1725" s="65" t="s">
        <v>1751</v>
      </c>
      <c r="L1725" s="65"/>
      <c r="M1725" s="65"/>
      <c r="N1725" s="65"/>
    </row>
    <row r="1726" spans="1:14" ht="12.75">
      <c r="A1726" s="65"/>
      <c r="B1726" s="65"/>
      <c r="C1726" s="65"/>
      <c r="D1726" s="65"/>
      <c r="E1726" s="65" t="str">
        <v>---</v>
      </c>
      <c r="F1726" s="65"/>
      <c r="G1726" s="65"/>
      <c r="H1726" s="65"/>
      <c r="I1726" s="65"/>
      <c r="J1726" s="65"/>
      <c r="K1726" s="65" t="s">
        <v>1752</v>
      </c>
      <c r="L1726" s="65"/>
      <c r="M1726" s="65"/>
      <c r="N1726" s="65"/>
    </row>
    <row r="1727" spans="1:14" ht="12.75">
      <c r="A1727" s="65"/>
      <c r="B1727" s="65"/>
      <c r="C1727" s="65"/>
      <c r="D1727" s="65"/>
      <c r="E1727" s="65" t="str">
        <v>---</v>
      </c>
      <c r="F1727" s="65"/>
      <c r="G1727" s="65"/>
      <c r="H1727" s="65"/>
      <c r="I1727" s="65"/>
      <c r="J1727" s="65"/>
      <c r="K1727" s="65" t="s">
        <v>1753</v>
      </c>
      <c r="L1727" s="65"/>
      <c r="M1727" s="65"/>
      <c r="N1727" s="65"/>
    </row>
    <row r="1728" spans="1:14" ht="12.75">
      <c r="A1728" s="65"/>
      <c r="B1728" s="65"/>
      <c r="C1728" s="65"/>
      <c r="D1728" s="65"/>
      <c r="E1728" s="65" t="str">
        <v>---</v>
      </c>
      <c r="F1728" s="65"/>
      <c r="G1728" s="65"/>
      <c r="H1728" s="65"/>
      <c r="I1728" s="65"/>
      <c r="J1728" s="65"/>
      <c r="K1728" s="65" t="s">
        <v>1754</v>
      </c>
      <c r="L1728" s="65"/>
      <c r="M1728" s="65"/>
      <c r="N1728" s="65"/>
    </row>
    <row r="1729" spans="1:14" ht="12.75">
      <c r="A1729" s="65"/>
      <c r="B1729" s="65"/>
      <c r="C1729" s="65"/>
      <c r="D1729" s="65"/>
      <c r="E1729" s="65" t="str">
        <v>---</v>
      </c>
      <c r="F1729" s="65"/>
      <c r="G1729" s="65"/>
      <c r="H1729" s="65"/>
      <c r="I1729" s="65"/>
      <c r="J1729" s="65"/>
      <c r="K1729" s="65" t="s">
        <v>1755</v>
      </c>
      <c r="L1729" s="65"/>
      <c r="M1729" s="65"/>
      <c r="N1729" s="65"/>
    </row>
    <row r="1730" spans="1:14" ht="12.75">
      <c r="A1730" s="65"/>
      <c r="B1730" s="65"/>
      <c r="C1730" s="65"/>
      <c r="D1730" s="65"/>
      <c r="E1730" s="65" t="str">
        <v>---</v>
      </c>
      <c r="F1730" s="65"/>
      <c r="G1730" s="65"/>
      <c r="H1730" s="65"/>
      <c r="I1730" s="65"/>
      <c r="J1730" s="65"/>
      <c r="K1730" s="65" t="s">
        <v>1756</v>
      </c>
      <c r="L1730" s="65"/>
      <c r="M1730" s="65"/>
      <c r="N1730" s="65"/>
    </row>
    <row r="1731" spans="1:14" ht="12.75">
      <c r="A1731" s="65"/>
      <c r="B1731" s="65"/>
      <c r="C1731" s="65"/>
      <c r="D1731" s="65"/>
      <c r="E1731" s="65" t="str">
        <v>---</v>
      </c>
      <c r="F1731" s="65"/>
      <c r="G1731" s="65"/>
      <c r="H1731" s="65"/>
      <c r="I1731" s="65"/>
      <c r="J1731" s="65"/>
      <c r="K1731" s="65" t="s">
        <v>1757</v>
      </c>
      <c r="L1731" s="65"/>
      <c r="M1731" s="65"/>
      <c r="N1731" s="65"/>
    </row>
    <row r="1732" spans="1:14" ht="12.75">
      <c r="A1732" s="65"/>
      <c r="B1732" s="65"/>
      <c r="C1732" s="65"/>
      <c r="D1732" s="65"/>
      <c r="E1732" s="65" t="str">
        <v>---</v>
      </c>
      <c r="F1732" s="65"/>
      <c r="G1732" s="65"/>
      <c r="H1732" s="65"/>
      <c r="I1732" s="65"/>
      <c r="J1732" s="65"/>
      <c r="K1732" s="65" t="s">
        <v>1758</v>
      </c>
      <c r="L1732" s="65"/>
      <c r="M1732" s="65"/>
      <c r="N1732" s="65"/>
    </row>
    <row r="1733" spans="1:14" ht="12.75">
      <c r="A1733" s="65"/>
      <c r="B1733" s="65"/>
      <c r="C1733" s="65"/>
      <c r="D1733" s="65"/>
      <c r="E1733" s="65" t="str">
        <v>---</v>
      </c>
      <c r="F1733" s="65"/>
      <c r="G1733" s="65"/>
      <c r="H1733" s="65"/>
      <c r="I1733" s="65"/>
      <c r="J1733" s="65"/>
      <c r="K1733" s="65" t="s">
        <v>1759</v>
      </c>
      <c r="L1733" s="65"/>
      <c r="M1733" s="65"/>
      <c r="N1733" s="65"/>
    </row>
    <row r="1734" spans="1:14" ht="12.75">
      <c r="A1734" s="65"/>
      <c r="B1734" s="65"/>
      <c r="C1734" s="65"/>
      <c r="D1734" s="65"/>
      <c r="E1734" s="65" t="str">
        <v>---</v>
      </c>
      <c r="F1734" s="65"/>
      <c r="G1734" s="65"/>
      <c r="H1734" s="65"/>
      <c r="I1734" s="65"/>
      <c r="J1734" s="65"/>
      <c r="K1734" s="65" t="s">
        <v>1760</v>
      </c>
      <c r="L1734" s="65"/>
      <c r="M1734" s="65"/>
      <c r="N1734" s="65"/>
    </row>
    <row r="1735" spans="1:14" ht="12.75">
      <c r="A1735" s="65"/>
      <c r="B1735" s="65"/>
      <c r="C1735" s="65"/>
      <c r="D1735" s="65"/>
      <c r="E1735" s="65" t="str">
        <v>---</v>
      </c>
      <c r="F1735" s="65"/>
      <c r="G1735" s="65"/>
      <c r="H1735" s="65"/>
      <c r="I1735" s="65"/>
      <c r="J1735" s="65"/>
      <c r="K1735" s="65" t="s">
        <v>1761</v>
      </c>
      <c r="L1735" s="65"/>
      <c r="M1735" s="65"/>
      <c r="N1735" s="65"/>
    </row>
    <row r="1736" spans="1:14" ht="12.75">
      <c r="A1736" s="65"/>
      <c r="B1736" s="65"/>
      <c r="C1736" s="65"/>
      <c r="D1736" s="65"/>
      <c r="E1736" s="65" t="str">
        <v>---</v>
      </c>
      <c r="F1736" s="65"/>
      <c r="G1736" s="65"/>
      <c r="H1736" s="65"/>
      <c r="I1736" s="65"/>
      <c r="J1736" s="65"/>
      <c r="K1736" s="65" t="s">
        <v>1762</v>
      </c>
      <c r="L1736" s="65"/>
      <c r="M1736" s="65"/>
      <c r="N1736" s="65"/>
    </row>
    <row r="1737" spans="1:14" ht="12.75">
      <c r="A1737" s="65"/>
      <c r="B1737" s="65"/>
      <c r="C1737" s="65"/>
      <c r="D1737" s="65"/>
      <c r="E1737" s="65" t="str">
        <v>---</v>
      </c>
      <c r="F1737" s="65"/>
      <c r="G1737" s="65"/>
      <c r="H1737" s="65"/>
      <c r="I1737" s="65"/>
      <c r="J1737" s="65"/>
      <c r="K1737" s="65" t="s">
        <v>1763</v>
      </c>
      <c r="L1737" s="65"/>
      <c r="M1737" s="65"/>
      <c r="N1737" s="65"/>
    </row>
    <row r="1738" spans="1:14" ht="12.75">
      <c r="A1738" s="65"/>
      <c r="B1738" s="65"/>
      <c r="C1738" s="65"/>
      <c r="D1738" s="65"/>
      <c r="E1738" s="65" t="str">
        <v>---</v>
      </c>
      <c r="F1738" s="65"/>
      <c r="G1738" s="65"/>
      <c r="H1738" s="65"/>
      <c r="I1738" s="65"/>
      <c r="J1738" s="65"/>
      <c r="K1738" s="65" t="s">
        <v>1764</v>
      </c>
      <c r="L1738" s="65"/>
      <c r="M1738" s="65"/>
      <c r="N1738" s="65"/>
    </row>
    <row r="1739" spans="1:14" ht="12.75">
      <c r="A1739" s="65"/>
      <c r="B1739" s="65"/>
      <c r="C1739" s="65"/>
      <c r="D1739" s="65"/>
      <c r="E1739" s="65" t="str">
        <v>---</v>
      </c>
      <c r="F1739" s="65"/>
      <c r="G1739" s="65"/>
      <c r="H1739" s="65"/>
      <c r="I1739" s="65"/>
      <c r="J1739" s="65"/>
      <c r="K1739" s="65" t="s">
        <v>1765</v>
      </c>
      <c r="L1739" s="65"/>
      <c r="M1739" s="65"/>
      <c r="N1739" s="65"/>
    </row>
    <row r="1740" spans="1:14" ht="12.75">
      <c r="A1740" s="65"/>
      <c r="B1740" s="65"/>
      <c r="C1740" s="65"/>
      <c r="D1740" s="65"/>
      <c r="E1740" s="65" t="str">
        <v>---</v>
      </c>
      <c r="F1740" s="65"/>
      <c r="G1740" s="65"/>
      <c r="H1740" s="65"/>
      <c r="I1740" s="65"/>
      <c r="J1740" s="65"/>
      <c r="K1740" s="65" t="s">
        <v>1766</v>
      </c>
      <c r="L1740" s="65"/>
      <c r="M1740" s="65"/>
      <c r="N1740" s="65"/>
    </row>
    <row r="1741" spans="1:14" ht="12.75">
      <c r="A1741" s="65"/>
      <c r="B1741" s="65"/>
      <c r="C1741" s="65"/>
      <c r="D1741" s="65"/>
      <c r="E1741" s="65" t="str">
        <v>---</v>
      </c>
      <c r="F1741" s="65"/>
      <c r="G1741" s="65"/>
      <c r="H1741" s="65"/>
      <c r="I1741" s="65"/>
      <c r="J1741" s="65"/>
      <c r="K1741" s="65" t="s">
        <v>1767</v>
      </c>
      <c r="L1741" s="65"/>
      <c r="M1741" s="65"/>
      <c r="N1741" s="65"/>
    </row>
    <row r="1742" spans="1:14" ht="12.75">
      <c r="A1742" s="65"/>
      <c r="B1742" s="65"/>
      <c r="C1742" s="65"/>
      <c r="D1742" s="65"/>
      <c r="E1742" s="65" t="str">
        <v>---</v>
      </c>
      <c r="F1742" s="65"/>
      <c r="G1742" s="65"/>
      <c r="H1742" s="65"/>
      <c r="I1742" s="65"/>
      <c r="J1742" s="65"/>
      <c r="K1742" s="65" t="s">
        <v>1768</v>
      </c>
      <c r="L1742" s="65"/>
      <c r="M1742" s="65"/>
      <c r="N1742" s="65"/>
    </row>
    <row r="1743" spans="1:14" ht="12.75">
      <c r="A1743" s="65"/>
      <c r="B1743" s="65"/>
      <c r="C1743" s="65"/>
      <c r="D1743" s="65"/>
      <c r="E1743" s="65" t="str">
        <v>---</v>
      </c>
      <c r="F1743" s="65"/>
      <c r="G1743" s="65"/>
      <c r="H1743" s="65"/>
      <c r="I1743" s="65"/>
      <c r="J1743" s="65"/>
      <c r="K1743" s="65" t="s">
        <v>1769</v>
      </c>
      <c r="L1743" s="65"/>
      <c r="M1743" s="65"/>
      <c r="N1743" s="65"/>
    </row>
    <row r="1744" spans="1:14" ht="12.75">
      <c r="A1744" s="65"/>
      <c r="B1744" s="65"/>
      <c r="C1744" s="65"/>
      <c r="D1744" s="65"/>
      <c r="E1744" s="65" t="str">
        <v>---</v>
      </c>
      <c r="F1744" s="65"/>
      <c r="G1744" s="65"/>
      <c r="H1744" s="65"/>
      <c r="I1744" s="65"/>
      <c r="J1744" s="65"/>
      <c r="K1744" s="65" t="s">
        <v>1770</v>
      </c>
      <c r="L1744" s="65"/>
      <c r="M1744" s="65"/>
      <c r="N1744" s="65"/>
    </row>
    <row r="1745" spans="1:14" ht="12.75">
      <c r="A1745" s="65"/>
      <c r="B1745" s="65"/>
      <c r="C1745" s="65"/>
      <c r="D1745" s="65"/>
      <c r="E1745" s="65" t="str">
        <v>---</v>
      </c>
      <c r="F1745" s="65"/>
      <c r="G1745" s="65"/>
      <c r="H1745" s="65"/>
      <c r="I1745" s="65"/>
      <c r="J1745" s="65"/>
      <c r="K1745" s="65" t="s">
        <v>1771</v>
      </c>
      <c r="L1745" s="65"/>
      <c r="M1745" s="65"/>
      <c r="N1745" s="65"/>
    </row>
    <row r="1746" spans="1:14" ht="12.75">
      <c r="A1746" s="65"/>
      <c r="B1746" s="65"/>
      <c r="C1746" s="65"/>
      <c r="D1746" s="65"/>
      <c r="E1746" s="65" t="str">
        <v>---</v>
      </c>
      <c r="F1746" s="65"/>
      <c r="G1746" s="65"/>
      <c r="H1746" s="65"/>
      <c r="I1746" s="65"/>
      <c r="J1746" s="65"/>
      <c r="K1746" s="65" t="s">
        <v>1772</v>
      </c>
      <c r="L1746" s="65"/>
      <c r="M1746" s="65"/>
      <c r="N1746" s="65"/>
    </row>
    <row r="1747" spans="1:14" ht="12.75">
      <c r="A1747" s="65"/>
      <c r="B1747" s="65"/>
      <c r="C1747" s="65"/>
      <c r="D1747" s="65"/>
      <c r="E1747" s="65" t="str">
        <v>---</v>
      </c>
      <c r="F1747" s="65"/>
      <c r="G1747" s="65"/>
      <c r="H1747" s="65"/>
      <c r="I1747" s="65"/>
      <c r="J1747" s="65"/>
      <c r="K1747" s="65" t="s">
        <v>1773</v>
      </c>
      <c r="L1747" s="65"/>
      <c r="M1747" s="65"/>
      <c r="N1747" s="65"/>
    </row>
    <row r="1748" spans="1:14" ht="12.75">
      <c r="A1748" s="65"/>
      <c r="B1748" s="65"/>
      <c r="C1748" s="65"/>
      <c r="D1748" s="65"/>
      <c r="E1748" s="65" t="str">
        <v>---</v>
      </c>
      <c r="F1748" s="65"/>
      <c r="G1748" s="65"/>
      <c r="H1748" s="65"/>
      <c r="I1748" s="65"/>
      <c r="J1748" s="65"/>
      <c r="K1748" s="65" t="s">
        <v>1774</v>
      </c>
      <c r="L1748" s="65"/>
      <c r="M1748" s="65"/>
      <c r="N1748" s="65"/>
    </row>
    <row r="1749" spans="1:14" ht="12.75">
      <c r="A1749" s="65"/>
      <c r="B1749" s="65"/>
      <c r="C1749" s="65"/>
      <c r="D1749" s="65"/>
      <c r="E1749" s="65" t="str">
        <v>---</v>
      </c>
      <c r="F1749" s="65"/>
      <c r="G1749" s="65"/>
      <c r="H1749" s="65"/>
      <c r="I1749" s="65"/>
      <c r="J1749" s="65"/>
      <c r="K1749" s="65" t="s">
        <v>1775</v>
      </c>
      <c r="L1749" s="65"/>
      <c r="M1749" s="65"/>
      <c r="N1749" s="65"/>
    </row>
    <row r="1750" spans="1:14" ht="12.75">
      <c r="A1750" s="65"/>
      <c r="B1750" s="65"/>
      <c r="C1750" s="65"/>
      <c r="D1750" s="65"/>
      <c r="E1750" s="65" t="str">
        <v>---</v>
      </c>
      <c r="F1750" s="65"/>
      <c r="G1750" s="65"/>
      <c r="H1750" s="65"/>
      <c r="I1750" s="65"/>
      <c r="J1750" s="65"/>
      <c r="K1750" s="65" t="s">
        <v>1776</v>
      </c>
      <c r="L1750" s="65"/>
      <c r="M1750" s="65"/>
      <c r="N1750" s="65"/>
    </row>
    <row r="1751" spans="1:14" ht="12.75">
      <c r="A1751" s="65"/>
      <c r="B1751" s="65"/>
      <c r="C1751" s="65"/>
      <c r="D1751" s="65"/>
      <c r="E1751" s="65" t="str">
        <v>---</v>
      </c>
      <c r="F1751" s="65"/>
      <c r="G1751" s="65"/>
      <c r="H1751" s="65"/>
      <c r="I1751" s="65"/>
      <c r="J1751" s="65"/>
      <c r="K1751" s="65" t="s">
        <v>1777</v>
      </c>
      <c r="L1751" s="65"/>
      <c r="M1751" s="65"/>
      <c r="N1751" s="65"/>
    </row>
    <row r="1752" spans="1:14" ht="12.75">
      <c r="A1752" s="65"/>
      <c r="B1752" s="65"/>
      <c r="C1752" s="65"/>
      <c r="D1752" s="65"/>
      <c r="E1752" s="65" t="str">
        <v>---</v>
      </c>
      <c r="F1752" s="65"/>
      <c r="G1752" s="65"/>
      <c r="H1752" s="65"/>
      <c r="I1752" s="65"/>
      <c r="J1752" s="65"/>
      <c r="K1752" s="65" t="s">
        <v>1778</v>
      </c>
      <c r="L1752" s="65"/>
      <c r="M1752" s="65"/>
      <c r="N1752" s="65"/>
    </row>
    <row r="1753" spans="1:14" ht="12.75">
      <c r="A1753" s="65"/>
      <c r="B1753" s="65"/>
      <c r="C1753" s="65"/>
      <c r="D1753" s="65"/>
      <c r="E1753" s="65" t="str">
        <v>---</v>
      </c>
      <c r="F1753" s="65"/>
      <c r="G1753" s="65"/>
      <c r="H1753" s="65"/>
      <c r="I1753" s="65"/>
      <c r="J1753" s="65"/>
      <c r="K1753" s="65" t="s">
        <v>1779</v>
      </c>
      <c r="L1753" s="65"/>
      <c r="M1753" s="65"/>
      <c r="N1753" s="65"/>
    </row>
    <row r="1754" spans="1:14" ht="12.75">
      <c r="A1754" s="65"/>
      <c r="B1754" s="65"/>
      <c r="C1754" s="65"/>
      <c r="D1754" s="65"/>
      <c r="E1754" s="65" t="str">
        <v>---</v>
      </c>
      <c r="F1754" s="65"/>
      <c r="G1754" s="65"/>
      <c r="H1754" s="65"/>
      <c r="I1754" s="65"/>
      <c r="J1754" s="65"/>
      <c r="K1754" s="65" t="s">
        <v>1780</v>
      </c>
      <c r="L1754" s="65"/>
      <c r="M1754" s="65"/>
      <c r="N1754" s="65"/>
    </row>
    <row r="1755" spans="1:14" ht="12.75">
      <c r="A1755" s="65"/>
      <c r="B1755" s="65"/>
      <c r="C1755" s="65"/>
      <c r="D1755" s="65"/>
      <c r="E1755" s="65" t="str">
        <v>---</v>
      </c>
      <c r="F1755" s="65"/>
      <c r="G1755" s="65"/>
      <c r="H1755" s="65"/>
      <c r="I1755" s="65"/>
      <c r="J1755" s="65"/>
      <c r="K1755" s="65" t="s">
        <v>1781</v>
      </c>
      <c r="L1755" s="65"/>
      <c r="M1755" s="65"/>
      <c r="N1755" s="65"/>
    </row>
    <row r="1756" spans="1:14" ht="12.75">
      <c r="A1756" s="65"/>
      <c r="B1756" s="65"/>
      <c r="C1756" s="65"/>
      <c r="D1756" s="65"/>
      <c r="E1756" s="65" t="str">
        <v>---</v>
      </c>
      <c r="F1756" s="65"/>
      <c r="G1756" s="65"/>
      <c r="H1756" s="65"/>
      <c r="I1756" s="65"/>
      <c r="J1756" s="65"/>
      <c r="K1756" s="65" t="s">
        <v>1782</v>
      </c>
      <c r="L1756" s="65"/>
      <c r="M1756" s="65"/>
      <c r="N1756" s="65"/>
    </row>
    <row r="1757" spans="1:14" ht="12.75">
      <c r="A1757" s="65"/>
      <c r="B1757" s="65"/>
      <c r="C1757" s="65"/>
      <c r="D1757" s="65"/>
      <c r="E1757" s="65" t="str">
        <v>---</v>
      </c>
      <c r="F1757" s="65"/>
      <c r="G1757" s="65"/>
      <c r="H1757" s="65"/>
      <c r="I1757" s="65"/>
      <c r="J1757" s="65"/>
      <c r="K1757" s="65" t="s">
        <v>1783</v>
      </c>
      <c r="L1757" s="65"/>
      <c r="M1757" s="65"/>
      <c r="N1757" s="65"/>
    </row>
    <row r="1758" spans="1:14" ht="12.75">
      <c r="A1758" s="65"/>
      <c r="B1758" s="65"/>
      <c r="C1758" s="65"/>
      <c r="D1758" s="65"/>
      <c r="E1758" s="65" t="str">
        <v>---</v>
      </c>
      <c r="F1758" s="65"/>
      <c r="G1758" s="65"/>
      <c r="H1758" s="65"/>
      <c r="I1758" s="65"/>
      <c r="J1758" s="65"/>
      <c r="K1758" s="65" t="s">
        <v>1784</v>
      </c>
      <c r="L1758" s="65"/>
      <c r="M1758" s="65"/>
      <c r="N1758" s="65"/>
    </row>
    <row r="1759" spans="1:14" ht="12.75">
      <c r="A1759" s="65"/>
      <c r="B1759" s="65"/>
      <c r="C1759" s="65"/>
      <c r="D1759" s="65"/>
      <c r="E1759" s="65" t="str">
        <v>---</v>
      </c>
      <c r="F1759" s="65"/>
      <c r="G1759" s="65"/>
      <c r="H1759" s="65"/>
      <c r="I1759" s="65"/>
      <c r="J1759" s="65"/>
      <c r="K1759" s="65" t="s">
        <v>1785</v>
      </c>
      <c r="L1759" s="65"/>
      <c r="M1759" s="65"/>
      <c r="N1759" s="65"/>
    </row>
    <row r="1760" spans="1:14" ht="12.75">
      <c r="A1760" s="65"/>
      <c r="B1760" s="65"/>
      <c r="C1760" s="65"/>
      <c r="D1760" s="65"/>
      <c r="E1760" s="65" t="str">
        <v>---</v>
      </c>
      <c r="F1760" s="65"/>
      <c r="G1760" s="65"/>
      <c r="H1760" s="65"/>
      <c r="I1760" s="65"/>
      <c r="J1760" s="65"/>
      <c r="K1760" s="65" t="s">
        <v>1786</v>
      </c>
      <c r="L1760" s="65"/>
      <c r="M1760" s="65"/>
      <c r="N1760" s="65"/>
    </row>
    <row r="1761" spans="1:14" ht="12.75">
      <c r="A1761" s="65"/>
      <c r="B1761" s="65"/>
      <c r="C1761" s="65"/>
      <c r="D1761" s="65"/>
      <c r="E1761" s="65" t="str">
        <v>---</v>
      </c>
      <c r="F1761" s="65"/>
      <c r="G1761" s="65"/>
      <c r="H1761" s="65"/>
      <c r="I1761" s="65"/>
      <c r="J1761" s="65"/>
      <c r="K1761" s="65" t="s">
        <v>1787</v>
      </c>
      <c r="L1761" s="65"/>
      <c r="M1761" s="65"/>
      <c r="N1761" s="65"/>
    </row>
    <row r="1762" spans="1:14" ht="12.75">
      <c r="A1762" s="65"/>
      <c r="B1762" s="65"/>
      <c r="C1762" s="65"/>
      <c r="D1762" s="65"/>
      <c r="E1762" s="65" t="str">
        <v>---</v>
      </c>
      <c r="F1762" s="65"/>
      <c r="G1762" s="65"/>
      <c r="H1762" s="65"/>
      <c r="I1762" s="65"/>
      <c r="J1762" s="65"/>
      <c r="K1762" s="65" t="s">
        <v>1788</v>
      </c>
      <c r="L1762" s="65"/>
      <c r="M1762" s="65"/>
      <c r="N1762" s="65"/>
    </row>
    <row r="1763" spans="1:14" ht="12.75">
      <c r="A1763" s="65"/>
      <c r="B1763" s="65"/>
      <c r="C1763" s="65"/>
      <c r="D1763" s="65"/>
      <c r="E1763" s="65" t="str">
        <v>---</v>
      </c>
      <c r="F1763" s="65"/>
      <c r="G1763" s="65"/>
      <c r="H1763" s="65"/>
      <c r="I1763" s="65"/>
      <c r="J1763" s="65"/>
      <c r="K1763" s="65" t="s">
        <v>1789</v>
      </c>
      <c r="L1763" s="65"/>
      <c r="M1763" s="65"/>
      <c r="N1763" s="65"/>
    </row>
    <row r="1764" spans="1:14" ht="12.75">
      <c r="A1764" s="65"/>
      <c r="B1764" s="65"/>
      <c r="C1764" s="65"/>
      <c r="D1764" s="65"/>
      <c r="E1764" s="65" t="str">
        <v>---</v>
      </c>
      <c r="F1764" s="65"/>
      <c r="G1764" s="65"/>
      <c r="H1764" s="65"/>
      <c r="I1764" s="65"/>
      <c r="J1764" s="65"/>
      <c r="K1764" s="65" t="s">
        <v>1790</v>
      </c>
      <c r="L1764" s="65"/>
      <c r="M1764" s="65"/>
      <c r="N1764" s="65"/>
    </row>
    <row r="1765" spans="1:14" ht="12.75">
      <c r="A1765" s="65"/>
      <c r="B1765" s="65"/>
      <c r="C1765" s="65"/>
      <c r="D1765" s="65"/>
      <c r="E1765" s="65" t="str">
        <v>---</v>
      </c>
      <c r="F1765" s="65"/>
      <c r="G1765" s="65"/>
      <c r="H1765" s="65"/>
      <c r="I1765" s="65"/>
      <c r="J1765" s="65"/>
      <c r="K1765" s="65" t="s">
        <v>1791</v>
      </c>
      <c r="L1765" s="65"/>
      <c r="M1765" s="65"/>
      <c r="N1765" s="65"/>
    </row>
    <row r="1766" spans="1:14" ht="12.75">
      <c r="A1766" s="65"/>
      <c r="B1766" s="65"/>
      <c r="C1766" s="65"/>
      <c r="D1766" s="65"/>
      <c r="E1766" s="65" t="str">
        <v>---</v>
      </c>
      <c r="F1766" s="65"/>
      <c r="G1766" s="65"/>
      <c r="H1766" s="65"/>
      <c r="I1766" s="65"/>
      <c r="J1766" s="65"/>
      <c r="K1766" s="65" t="s">
        <v>1792</v>
      </c>
      <c r="L1766" s="65"/>
      <c r="M1766" s="65"/>
      <c r="N1766" s="65"/>
    </row>
    <row r="1767" spans="1:14" ht="12.75">
      <c r="A1767" s="65"/>
      <c r="B1767" s="65"/>
      <c r="C1767" s="65"/>
      <c r="D1767" s="65"/>
      <c r="E1767" s="65" t="str">
        <v>---</v>
      </c>
      <c r="F1767" s="65"/>
      <c r="G1767" s="65"/>
      <c r="H1767" s="65"/>
      <c r="I1767" s="65"/>
      <c r="J1767" s="65"/>
      <c r="K1767" s="65" t="s">
        <v>1793</v>
      </c>
      <c r="L1767" s="65"/>
      <c r="M1767" s="65"/>
      <c r="N1767" s="65"/>
    </row>
    <row r="1768" spans="1:14" ht="12.75">
      <c r="A1768" s="65"/>
      <c r="B1768" s="65"/>
      <c r="C1768" s="65"/>
      <c r="D1768" s="65"/>
      <c r="E1768" s="65" t="str">
        <v>---</v>
      </c>
      <c r="F1768" s="65"/>
      <c r="G1768" s="65"/>
      <c r="H1768" s="65"/>
      <c r="I1768" s="65"/>
      <c r="J1768" s="65"/>
      <c r="K1768" s="65" t="s">
        <v>1794</v>
      </c>
      <c r="L1768" s="65"/>
      <c r="M1768" s="65"/>
      <c r="N1768" s="65"/>
    </row>
    <row r="1769" spans="1:14" ht="12.75">
      <c r="A1769" s="65"/>
      <c r="B1769" s="65"/>
      <c r="C1769" s="65"/>
      <c r="D1769" s="65"/>
      <c r="E1769" s="65" t="str">
        <v>---</v>
      </c>
      <c r="F1769" s="65"/>
      <c r="G1769" s="65"/>
      <c r="H1769" s="65"/>
      <c r="I1769" s="65"/>
      <c r="J1769" s="65"/>
      <c r="K1769" s="65" t="s">
        <v>1795</v>
      </c>
      <c r="L1769" s="65"/>
      <c r="M1769" s="65"/>
      <c r="N1769" s="65"/>
    </row>
    <row r="1770" spans="1:14" ht="12.75">
      <c r="A1770" s="65"/>
      <c r="B1770" s="65"/>
      <c r="C1770" s="65"/>
      <c r="D1770" s="65"/>
      <c r="E1770" s="65" t="str">
        <v>---</v>
      </c>
      <c r="F1770" s="65"/>
      <c r="G1770" s="65"/>
      <c r="H1770" s="65"/>
      <c r="I1770" s="65"/>
      <c r="J1770" s="65"/>
      <c r="K1770" s="65" t="s">
        <v>1796</v>
      </c>
      <c r="L1770" s="65"/>
      <c r="M1770" s="65"/>
      <c r="N1770" s="65"/>
    </row>
    <row r="1771" spans="1:14" ht="12.75">
      <c r="A1771" s="65"/>
      <c r="B1771" s="65"/>
      <c r="C1771" s="65"/>
      <c r="D1771" s="65"/>
      <c r="E1771" s="65" t="str">
        <v>---</v>
      </c>
      <c r="F1771" s="65"/>
      <c r="G1771" s="65"/>
      <c r="H1771" s="65"/>
      <c r="I1771" s="65"/>
      <c r="J1771" s="65"/>
      <c r="K1771" s="65" t="s">
        <v>1797</v>
      </c>
      <c r="L1771" s="65"/>
      <c r="M1771" s="65"/>
      <c r="N1771" s="65"/>
    </row>
    <row r="1772" spans="1:14" ht="12.75">
      <c r="A1772" s="65"/>
      <c r="B1772" s="65"/>
      <c r="C1772" s="65"/>
      <c r="D1772" s="65"/>
      <c r="E1772" s="65" t="str">
        <v>---</v>
      </c>
      <c r="F1772" s="65"/>
      <c r="G1772" s="65"/>
      <c r="H1772" s="65"/>
      <c r="I1772" s="65"/>
      <c r="J1772" s="65"/>
      <c r="K1772" s="65" t="s">
        <v>1798</v>
      </c>
      <c r="L1772" s="65"/>
      <c r="M1772" s="65"/>
      <c r="N1772" s="65"/>
    </row>
    <row r="1773" spans="1:14" ht="12.75">
      <c r="A1773" s="65"/>
      <c r="B1773" s="65"/>
      <c r="C1773" s="65"/>
      <c r="D1773" s="65"/>
      <c r="E1773" s="65" t="str">
        <v>---</v>
      </c>
      <c r="F1773" s="65"/>
      <c r="G1773" s="65"/>
      <c r="H1773" s="65"/>
      <c r="I1773" s="65"/>
      <c r="J1773" s="65"/>
      <c r="K1773" s="65" t="s">
        <v>1799</v>
      </c>
      <c r="L1773" s="65"/>
      <c r="M1773" s="65"/>
      <c r="N1773" s="65"/>
    </row>
    <row r="1774" spans="1:14" ht="12.75">
      <c r="A1774" s="65"/>
      <c r="B1774" s="65"/>
      <c r="C1774" s="65"/>
      <c r="D1774" s="65"/>
      <c r="E1774" s="65" t="str">
        <v>---</v>
      </c>
      <c r="F1774" s="65"/>
      <c r="G1774" s="65"/>
      <c r="H1774" s="65"/>
      <c r="I1774" s="65"/>
      <c r="J1774" s="65"/>
      <c r="K1774" s="65" t="s">
        <v>1800</v>
      </c>
      <c r="L1774" s="65"/>
      <c r="M1774" s="65"/>
      <c r="N1774" s="65"/>
    </row>
    <row r="1775" spans="1:14" ht="12.75">
      <c r="A1775" s="65"/>
      <c r="B1775" s="65"/>
      <c r="C1775" s="65"/>
      <c r="D1775" s="65"/>
      <c r="E1775" s="65" t="str">
        <v>---</v>
      </c>
      <c r="F1775" s="65"/>
      <c r="G1775" s="65"/>
      <c r="H1775" s="65"/>
      <c r="I1775" s="65"/>
      <c r="J1775" s="65"/>
      <c r="K1775" s="65" t="s">
        <v>1801</v>
      </c>
      <c r="L1775" s="65"/>
      <c r="M1775" s="65"/>
      <c r="N1775" s="65"/>
    </row>
    <row r="1776" spans="1:14" ht="12.75">
      <c r="A1776" s="65"/>
      <c r="B1776" s="65"/>
      <c r="C1776" s="65"/>
      <c r="D1776" s="65"/>
      <c r="E1776" s="65" t="str">
        <v>---</v>
      </c>
      <c r="F1776" s="65"/>
      <c r="G1776" s="65"/>
      <c r="H1776" s="65"/>
      <c r="I1776" s="65"/>
      <c r="J1776" s="65"/>
      <c r="K1776" s="65" t="s">
        <v>1802</v>
      </c>
      <c r="L1776" s="65"/>
      <c r="M1776" s="65"/>
      <c r="N1776" s="65"/>
    </row>
    <row r="1777" spans="1:14" ht="12.75">
      <c r="A1777" s="65"/>
      <c r="B1777" s="65"/>
      <c r="C1777" s="65"/>
      <c r="D1777" s="65"/>
      <c r="E1777" s="65" t="str">
        <v>---</v>
      </c>
      <c r="F1777" s="65"/>
      <c r="G1777" s="65"/>
      <c r="H1777" s="65"/>
      <c r="I1777" s="65"/>
      <c r="J1777" s="65"/>
      <c r="K1777" s="65" t="s">
        <v>1803</v>
      </c>
      <c r="L1777" s="65"/>
      <c r="M1777" s="65"/>
      <c r="N1777" s="65"/>
    </row>
    <row r="1778" spans="1:14" ht="12.75">
      <c r="A1778" s="65"/>
      <c r="B1778" s="65"/>
      <c r="C1778" s="65"/>
      <c r="D1778" s="65"/>
      <c r="E1778" s="65" t="str">
        <v>---</v>
      </c>
      <c r="F1778" s="65"/>
      <c r="G1778" s="65"/>
      <c r="H1778" s="65"/>
      <c r="I1778" s="65"/>
      <c r="J1778" s="65"/>
      <c r="K1778" s="65" t="s">
        <v>1804</v>
      </c>
      <c r="L1778" s="65"/>
      <c r="M1778" s="65"/>
      <c r="N1778" s="65"/>
    </row>
    <row r="1779" spans="1:14" ht="12.75">
      <c r="A1779" s="65"/>
      <c r="B1779" s="65"/>
      <c r="C1779" s="65"/>
      <c r="D1779" s="65"/>
      <c r="E1779" s="65" t="str">
        <v>---</v>
      </c>
      <c r="F1779" s="65"/>
      <c r="G1779" s="65"/>
      <c r="H1779" s="65"/>
      <c r="I1779" s="65"/>
      <c r="J1779" s="65"/>
      <c r="K1779" s="65" t="s">
        <v>1805</v>
      </c>
      <c r="L1779" s="65"/>
      <c r="M1779" s="65"/>
      <c r="N1779" s="65"/>
    </row>
    <row r="1780" spans="1:14" ht="12.75">
      <c r="A1780" s="65"/>
      <c r="B1780" s="65"/>
      <c r="C1780" s="65"/>
      <c r="D1780" s="65"/>
      <c r="E1780" s="65" t="str">
        <v>---</v>
      </c>
      <c r="F1780" s="65"/>
      <c r="G1780" s="65"/>
      <c r="H1780" s="65"/>
      <c r="I1780" s="65"/>
      <c r="J1780" s="65"/>
      <c r="K1780" s="65" t="s">
        <v>1806</v>
      </c>
      <c r="L1780" s="65"/>
      <c r="M1780" s="65"/>
      <c r="N1780" s="65"/>
    </row>
    <row r="1781" spans="1:14" ht="12.75">
      <c r="A1781" s="65"/>
      <c r="B1781" s="65"/>
      <c r="C1781" s="65"/>
      <c r="D1781" s="65"/>
      <c r="E1781" s="65" t="str">
        <v>---</v>
      </c>
      <c r="F1781" s="65"/>
      <c r="G1781" s="65"/>
      <c r="H1781" s="65"/>
      <c r="I1781" s="65"/>
      <c r="J1781" s="65"/>
      <c r="K1781" s="65" t="s">
        <v>1807</v>
      </c>
      <c r="L1781" s="65"/>
      <c r="M1781" s="65"/>
      <c r="N1781" s="65"/>
    </row>
    <row r="1782" spans="1:14" ht="12.75">
      <c r="A1782" s="65"/>
      <c r="B1782" s="65"/>
      <c r="C1782" s="65"/>
      <c r="D1782" s="65"/>
      <c r="E1782" s="65" t="str">
        <v>---</v>
      </c>
      <c r="F1782" s="65"/>
      <c r="G1782" s="65"/>
      <c r="H1782" s="65"/>
      <c r="I1782" s="65"/>
      <c r="J1782" s="65"/>
      <c r="K1782" s="65" t="s">
        <v>1808</v>
      </c>
      <c r="L1782" s="65"/>
      <c r="M1782" s="65"/>
      <c r="N1782" s="65"/>
    </row>
    <row r="1783" spans="1:14" ht="12.75">
      <c r="A1783" s="65"/>
      <c r="B1783" s="65"/>
      <c r="C1783" s="65"/>
      <c r="D1783" s="65"/>
      <c r="E1783" s="65" t="str">
        <v>---</v>
      </c>
      <c r="F1783" s="65"/>
      <c r="G1783" s="65"/>
      <c r="H1783" s="65"/>
      <c r="I1783" s="65"/>
      <c r="J1783" s="65"/>
      <c r="K1783" s="65" t="s">
        <v>1809</v>
      </c>
      <c r="L1783" s="65"/>
      <c r="M1783" s="65"/>
      <c r="N1783" s="65"/>
    </row>
    <row r="1784" spans="1:14" ht="12.75">
      <c r="A1784" s="65"/>
      <c r="B1784" s="65"/>
      <c r="C1784" s="65"/>
      <c r="D1784" s="65"/>
      <c r="E1784" s="65" t="str">
        <v>---</v>
      </c>
      <c r="F1784" s="65"/>
      <c r="G1784" s="65"/>
      <c r="H1784" s="65"/>
      <c r="I1784" s="65"/>
      <c r="J1784" s="65"/>
      <c r="K1784" s="65" t="s">
        <v>1810</v>
      </c>
      <c r="L1784" s="65"/>
      <c r="M1784" s="65"/>
      <c r="N1784" s="65"/>
    </row>
    <row r="1785" spans="1:14" ht="12.75">
      <c r="A1785" s="65"/>
      <c r="B1785" s="65"/>
      <c r="C1785" s="65"/>
      <c r="D1785" s="65"/>
      <c r="E1785" s="65" t="str">
        <v>---</v>
      </c>
      <c r="F1785" s="65"/>
      <c r="G1785" s="65"/>
      <c r="H1785" s="65"/>
      <c r="I1785" s="65"/>
      <c r="J1785" s="65"/>
      <c r="K1785" s="65" t="s">
        <v>1811</v>
      </c>
      <c r="L1785" s="65"/>
      <c r="M1785" s="65"/>
      <c r="N1785" s="65"/>
    </row>
    <row r="1786" spans="1:14" ht="12.75">
      <c r="A1786" s="65"/>
      <c r="B1786" s="65"/>
      <c r="C1786" s="65"/>
      <c r="D1786" s="65"/>
      <c r="E1786" s="65" t="str">
        <v>---</v>
      </c>
      <c r="F1786" s="65"/>
      <c r="G1786" s="65"/>
      <c r="H1786" s="65"/>
      <c r="I1786" s="65"/>
      <c r="J1786" s="65"/>
      <c r="K1786" s="65" t="s">
        <v>1812</v>
      </c>
      <c r="L1786" s="65"/>
      <c r="M1786" s="65"/>
      <c r="N1786" s="65"/>
    </row>
    <row r="1787" spans="1:14" ht="12.75">
      <c r="A1787" s="65"/>
      <c r="B1787" s="65"/>
      <c r="C1787" s="65"/>
      <c r="D1787" s="65"/>
      <c r="E1787" s="65" t="str">
        <v>---</v>
      </c>
      <c r="F1787" s="65"/>
      <c r="G1787" s="65"/>
      <c r="H1787" s="65"/>
      <c r="I1787" s="65"/>
      <c r="J1787" s="65"/>
      <c r="K1787" s="65" t="s">
        <v>1813</v>
      </c>
      <c r="L1787" s="65"/>
      <c r="M1787" s="65"/>
      <c r="N1787" s="65"/>
    </row>
    <row r="1788" spans="1:14" ht="12.75">
      <c r="A1788" s="65"/>
      <c r="B1788" s="65"/>
      <c r="C1788" s="65"/>
      <c r="D1788" s="65"/>
      <c r="E1788" s="65" t="str">
        <v>---</v>
      </c>
      <c r="F1788" s="65"/>
      <c r="G1788" s="65"/>
      <c r="H1788" s="65"/>
      <c r="I1788" s="65"/>
      <c r="J1788" s="65"/>
      <c r="K1788" s="65" t="s">
        <v>1814</v>
      </c>
      <c r="L1788" s="65"/>
      <c r="M1788" s="65"/>
      <c r="N1788" s="65"/>
    </row>
    <row r="1789" spans="1:14" ht="12.75">
      <c r="A1789" s="65"/>
      <c r="B1789" s="65"/>
      <c r="C1789" s="65"/>
      <c r="D1789" s="65"/>
      <c r="E1789" s="65" t="str">
        <v>---</v>
      </c>
      <c r="F1789" s="65"/>
      <c r="G1789" s="65"/>
      <c r="H1789" s="65"/>
      <c r="I1789" s="65"/>
      <c r="J1789" s="65"/>
      <c r="K1789" s="65" t="s">
        <v>1815</v>
      </c>
      <c r="L1789" s="65"/>
      <c r="M1789" s="65"/>
      <c r="N1789" s="65"/>
    </row>
    <row r="1790" spans="1:14" ht="12.75">
      <c r="A1790" s="65"/>
      <c r="B1790" s="65"/>
      <c r="C1790" s="65"/>
      <c r="D1790" s="65"/>
      <c r="E1790" s="65" t="str">
        <v>---</v>
      </c>
      <c r="F1790" s="65"/>
      <c r="G1790" s="65"/>
      <c r="H1790" s="65"/>
      <c r="I1790" s="65"/>
      <c r="J1790" s="65"/>
      <c r="K1790" s="65" t="s">
        <v>1816</v>
      </c>
      <c r="L1790" s="65"/>
      <c r="M1790" s="65"/>
      <c r="N1790" s="65"/>
    </row>
    <row r="1791" spans="1:14" ht="12.75">
      <c r="A1791" s="65"/>
      <c r="B1791" s="65"/>
      <c r="C1791" s="65"/>
      <c r="D1791" s="65"/>
      <c r="E1791" s="65" t="str">
        <v>---</v>
      </c>
      <c r="F1791" s="65"/>
      <c r="G1791" s="65"/>
      <c r="H1791" s="65"/>
      <c r="I1791" s="65"/>
      <c r="J1791" s="65"/>
      <c r="K1791" s="65" t="s">
        <v>1817</v>
      </c>
      <c r="L1791" s="65"/>
      <c r="M1791" s="65"/>
      <c r="N1791" s="65"/>
    </row>
    <row r="1792" spans="1:14" ht="12.75">
      <c r="A1792" s="65"/>
      <c r="B1792" s="65"/>
      <c r="C1792" s="65"/>
      <c r="D1792" s="65"/>
      <c r="E1792" s="65" t="str">
        <v>---</v>
      </c>
      <c r="F1792" s="65"/>
      <c r="G1792" s="65"/>
      <c r="H1792" s="65"/>
      <c r="I1792" s="65"/>
      <c r="J1792" s="65"/>
      <c r="K1792" s="65" t="s">
        <v>1818</v>
      </c>
      <c r="L1792" s="65"/>
      <c r="M1792" s="65"/>
      <c r="N1792" s="65"/>
    </row>
    <row r="1793" spans="1:14" ht="12.75">
      <c r="A1793" s="65"/>
      <c r="B1793" s="65"/>
      <c r="C1793" s="65"/>
      <c r="D1793" s="65"/>
      <c r="E1793" s="65" t="str">
        <v>---</v>
      </c>
      <c r="F1793" s="65"/>
      <c r="G1793" s="65"/>
      <c r="H1793" s="65"/>
      <c r="I1793" s="65"/>
      <c r="J1793" s="65"/>
      <c r="K1793" s="65" t="s">
        <v>1819</v>
      </c>
      <c r="L1793" s="65"/>
      <c r="M1793" s="65"/>
      <c r="N1793" s="65"/>
    </row>
    <row r="1794" spans="1:14" ht="12.75">
      <c r="A1794" s="65"/>
      <c r="B1794" s="65"/>
      <c r="C1794" s="65"/>
      <c r="D1794" s="65"/>
      <c r="E1794" s="65" t="str">
        <v>---</v>
      </c>
      <c r="F1794" s="65"/>
      <c r="G1794" s="65"/>
      <c r="H1794" s="65"/>
      <c r="I1794" s="65"/>
      <c r="J1794" s="65"/>
      <c r="K1794" s="65" t="s">
        <v>1820</v>
      </c>
      <c r="L1794" s="65"/>
      <c r="M1794" s="65"/>
      <c r="N1794" s="65"/>
    </row>
    <row r="1795" spans="1:14" ht="12.75">
      <c r="A1795" s="65"/>
      <c r="B1795" s="65"/>
      <c r="C1795" s="65"/>
      <c r="D1795" s="65"/>
      <c r="E1795" s="65" t="str">
        <v>---</v>
      </c>
      <c r="F1795" s="65"/>
      <c r="G1795" s="65"/>
      <c r="H1795" s="65"/>
      <c r="I1795" s="65"/>
      <c r="J1795" s="65"/>
      <c r="K1795" s="65" t="s">
        <v>1821</v>
      </c>
      <c r="L1795" s="65"/>
      <c r="M1795" s="65"/>
      <c r="N1795" s="65"/>
    </row>
    <row r="1796" spans="1:14" ht="12.75">
      <c r="A1796" s="65"/>
      <c r="B1796" s="65"/>
      <c r="C1796" s="65"/>
      <c r="D1796" s="65"/>
      <c r="E1796" s="65" t="str">
        <v>---</v>
      </c>
      <c r="F1796" s="65"/>
      <c r="G1796" s="65"/>
      <c r="H1796" s="65"/>
      <c r="I1796" s="65"/>
      <c r="J1796" s="65"/>
      <c r="K1796" s="65" t="s">
        <v>1822</v>
      </c>
      <c r="L1796" s="65"/>
      <c r="M1796" s="65"/>
      <c r="N1796" s="65"/>
    </row>
    <row r="1797" spans="1:14" ht="12.75">
      <c r="A1797" s="65"/>
      <c r="B1797" s="65"/>
      <c r="C1797" s="65"/>
      <c r="D1797" s="65"/>
      <c r="E1797" s="65" t="str">
        <v>---</v>
      </c>
      <c r="F1797" s="65"/>
      <c r="G1797" s="65"/>
      <c r="H1797" s="65"/>
      <c r="I1797" s="65"/>
      <c r="J1797" s="65"/>
      <c r="K1797" s="65" t="s">
        <v>1823</v>
      </c>
      <c r="L1797" s="65"/>
      <c r="M1797" s="65"/>
      <c r="N1797" s="65"/>
    </row>
    <row r="1798" spans="1:14" ht="12.75">
      <c r="A1798" s="65"/>
      <c r="B1798" s="65"/>
      <c r="C1798" s="65"/>
      <c r="D1798" s="65"/>
      <c r="E1798" s="65" t="str">
        <v>---</v>
      </c>
      <c r="F1798" s="65"/>
      <c r="G1798" s="65"/>
      <c r="H1798" s="65"/>
      <c r="I1798" s="65"/>
      <c r="J1798" s="65"/>
      <c r="K1798" s="65" t="s">
        <v>1824</v>
      </c>
      <c r="L1798" s="65"/>
      <c r="M1798" s="65"/>
      <c r="N1798" s="65"/>
    </row>
    <row r="1799" spans="1:14" ht="12.75">
      <c r="A1799" s="65"/>
      <c r="B1799" s="65"/>
      <c r="C1799" s="65"/>
      <c r="D1799" s="65"/>
      <c r="E1799" s="65" t="str">
        <v>---</v>
      </c>
      <c r="F1799" s="65"/>
      <c r="G1799" s="65"/>
      <c r="H1799" s="65"/>
      <c r="I1799" s="65"/>
      <c r="J1799" s="65"/>
      <c r="K1799" s="65" t="s">
        <v>1825</v>
      </c>
      <c r="L1799" s="65"/>
      <c r="M1799" s="65"/>
      <c r="N1799" s="65"/>
    </row>
    <row r="1800" spans="1:14" ht="12.75">
      <c r="A1800" s="65"/>
      <c r="B1800" s="65"/>
      <c r="C1800" s="65"/>
      <c r="D1800" s="65"/>
      <c r="E1800" s="65" t="str">
        <v>---</v>
      </c>
      <c r="F1800" s="65"/>
      <c r="G1800" s="65"/>
      <c r="H1800" s="65"/>
      <c r="I1800" s="65"/>
      <c r="J1800" s="65"/>
      <c r="K1800" s="65" t="s">
        <v>1826</v>
      </c>
      <c r="L1800" s="65"/>
      <c r="M1800" s="65"/>
      <c r="N1800" s="65"/>
    </row>
    <row r="1801" spans="1:14" ht="12.75">
      <c r="A1801" s="65"/>
      <c r="B1801" s="65"/>
      <c r="C1801" s="65"/>
      <c r="D1801" s="65"/>
      <c r="E1801" s="65" t="str">
        <v>---</v>
      </c>
      <c r="F1801" s="65"/>
      <c r="G1801" s="65"/>
      <c r="H1801" s="65"/>
      <c r="I1801" s="65"/>
      <c r="J1801" s="65"/>
      <c r="K1801" s="65" t="s">
        <v>1827</v>
      </c>
      <c r="L1801" s="65"/>
      <c r="M1801" s="65"/>
      <c r="N1801" s="65"/>
    </row>
    <row r="1802" spans="1:14" ht="12.75">
      <c r="A1802" s="65"/>
      <c r="B1802" s="65"/>
      <c r="C1802" s="65"/>
      <c r="D1802" s="65"/>
      <c r="E1802" s="65" t="str">
        <v>---</v>
      </c>
      <c r="F1802" s="65"/>
      <c r="G1802" s="65"/>
      <c r="H1802" s="65"/>
      <c r="I1802" s="65"/>
      <c r="J1802" s="65"/>
      <c r="K1802" s="65" t="s">
        <v>1828</v>
      </c>
      <c r="L1802" s="65"/>
      <c r="M1802" s="65"/>
      <c r="N1802" s="65"/>
    </row>
    <row r="1803" spans="1:14" ht="12.75">
      <c r="A1803" s="65"/>
      <c r="B1803" s="65"/>
      <c r="C1803" s="65"/>
      <c r="D1803" s="65"/>
      <c r="E1803" s="65" t="str">
        <v>---</v>
      </c>
      <c r="F1803" s="65"/>
      <c r="G1803" s="65"/>
      <c r="H1803" s="65"/>
      <c r="I1803" s="65"/>
      <c r="J1803" s="65"/>
      <c r="K1803" s="65" t="s">
        <v>1829</v>
      </c>
      <c r="L1803" s="65"/>
      <c r="M1803" s="65"/>
      <c r="N1803" s="65"/>
    </row>
    <row r="1804" spans="1:14" ht="12.75">
      <c r="A1804" s="65"/>
      <c r="B1804" s="65"/>
      <c r="C1804" s="65"/>
      <c r="D1804" s="65"/>
      <c r="E1804" s="65" t="str">
        <v>---</v>
      </c>
      <c r="F1804" s="65"/>
      <c r="G1804" s="65"/>
      <c r="H1804" s="65"/>
      <c r="I1804" s="65"/>
      <c r="J1804" s="65"/>
      <c r="K1804" s="65" t="s">
        <v>1830</v>
      </c>
      <c r="L1804" s="65"/>
      <c r="M1804" s="65"/>
      <c r="N1804" s="65"/>
    </row>
    <row r="1805" spans="1:14" ht="12.75">
      <c r="A1805" s="65"/>
      <c r="B1805" s="65"/>
      <c r="C1805" s="65"/>
      <c r="D1805" s="65"/>
      <c r="E1805" s="65" t="str">
        <v>---</v>
      </c>
      <c r="F1805" s="65"/>
      <c r="G1805" s="65"/>
      <c r="H1805" s="65"/>
      <c r="I1805" s="65"/>
      <c r="J1805" s="65"/>
      <c r="K1805" s="65" t="s">
        <v>1831</v>
      </c>
      <c r="L1805" s="65"/>
      <c r="M1805" s="65"/>
      <c r="N1805" s="65"/>
    </row>
    <row r="1806" spans="1:14" ht="12.75">
      <c r="A1806" s="65"/>
      <c r="B1806" s="65"/>
      <c r="C1806" s="65"/>
      <c r="D1806" s="65"/>
      <c r="E1806" s="65" t="str">
        <v>---</v>
      </c>
      <c r="F1806" s="65"/>
      <c r="G1806" s="65"/>
      <c r="H1806" s="65"/>
      <c r="I1806" s="65"/>
      <c r="J1806" s="65"/>
      <c r="K1806" s="65" t="s">
        <v>1832</v>
      </c>
      <c r="L1806" s="65"/>
      <c r="M1806" s="65"/>
      <c r="N1806" s="65"/>
    </row>
    <row r="1807" spans="1:14" ht="12.75">
      <c r="A1807" s="65"/>
      <c r="B1807" s="65"/>
      <c r="C1807" s="65"/>
      <c r="D1807" s="65"/>
      <c r="E1807" s="65" t="str">
        <v>---</v>
      </c>
      <c r="F1807" s="65"/>
      <c r="G1807" s="65"/>
      <c r="H1807" s="65"/>
      <c r="I1807" s="65"/>
      <c r="J1807" s="65"/>
      <c r="K1807" s="65" t="s">
        <v>1833</v>
      </c>
      <c r="L1807" s="65"/>
      <c r="M1807" s="65"/>
      <c r="N1807" s="65"/>
    </row>
    <row r="1808" spans="1:14" ht="12.75">
      <c r="A1808" s="65"/>
      <c r="B1808" s="65"/>
      <c r="C1808" s="65"/>
      <c r="D1808" s="65"/>
      <c r="E1808" s="65" t="str">
        <v>---</v>
      </c>
      <c r="F1808" s="65"/>
      <c r="G1808" s="65"/>
      <c r="H1808" s="65"/>
      <c r="I1808" s="65"/>
      <c r="J1808" s="65"/>
      <c r="K1808" s="65" t="s">
        <v>1834</v>
      </c>
      <c r="L1808" s="65"/>
      <c r="M1808" s="65"/>
      <c r="N1808" s="65"/>
    </row>
    <row r="1809" spans="1:14" ht="12.75">
      <c r="A1809" s="65"/>
      <c r="B1809" s="65"/>
      <c r="C1809" s="65"/>
      <c r="D1809" s="65"/>
      <c r="E1809" s="65" t="str">
        <v>---</v>
      </c>
      <c r="F1809" s="65"/>
      <c r="G1809" s="65"/>
      <c r="H1809" s="65"/>
      <c r="I1809" s="65"/>
      <c r="J1809" s="65"/>
      <c r="K1809" s="65" t="s">
        <v>1835</v>
      </c>
      <c r="L1809" s="65"/>
      <c r="M1809" s="65"/>
      <c r="N1809" s="65"/>
    </row>
    <row r="1810" spans="1:14" ht="12.75">
      <c r="A1810" s="65"/>
      <c r="B1810" s="65"/>
      <c r="C1810" s="65"/>
      <c r="D1810" s="65"/>
      <c r="E1810" s="65" t="str">
        <v>---</v>
      </c>
      <c r="F1810" s="65"/>
      <c r="G1810" s="65"/>
      <c r="H1810" s="65"/>
      <c r="I1810" s="65"/>
      <c r="J1810" s="65"/>
      <c r="K1810" s="65" t="s">
        <v>1836</v>
      </c>
      <c r="L1810" s="65"/>
      <c r="M1810" s="65"/>
      <c r="N1810" s="65"/>
    </row>
    <row r="1811" spans="1:14" ht="12.75">
      <c r="A1811" s="65"/>
      <c r="B1811" s="65"/>
      <c r="C1811" s="65"/>
      <c r="D1811" s="65"/>
      <c r="E1811" s="65" t="str">
        <v>---</v>
      </c>
      <c r="F1811" s="65"/>
      <c r="G1811" s="65"/>
      <c r="H1811" s="65"/>
      <c r="I1811" s="65"/>
      <c r="J1811" s="65"/>
      <c r="K1811" s="65" t="s">
        <v>1837</v>
      </c>
      <c r="L1811" s="65"/>
      <c r="M1811" s="65"/>
      <c r="N1811" s="65"/>
    </row>
    <row r="1812" spans="1:14" ht="12.75">
      <c r="A1812" s="65"/>
      <c r="B1812" s="65"/>
      <c r="C1812" s="65"/>
      <c r="D1812" s="65"/>
      <c r="E1812" s="65" t="str">
        <v>---</v>
      </c>
      <c r="F1812" s="65"/>
      <c r="G1812" s="65"/>
      <c r="H1812" s="65"/>
      <c r="I1812" s="65"/>
      <c r="J1812" s="65"/>
      <c r="K1812" s="65" t="s">
        <v>1838</v>
      </c>
      <c r="L1812" s="65"/>
      <c r="M1812" s="65"/>
      <c r="N1812" s="65"/>
    </row>
    <row r="1813" spans="1:14" ht="12.75">
      <c r="A1813" s="65"/>
      <c r="B1813" s="65"/>
      <c r="C1813" s="65"/>
      <c r="D1813" s="65"/>
      <c r="E1813" s="65" t="str">
        <v>---</v>
      </c>
      <c r="F1813" s="65"/>
      <c r="G1813" s="65"/>
      <c r="H1813" s="65"/>
      <c r="I1813" s="65"/>
      <c r="J1813" s="65"/>
      <c r="K1813" s="65" t="s">
        <v>1839</v>
      </c>
      <c r="L1813" s="65"/>
      <c r="M1813" s="65"/>
      <c r="N1813" s="65"/>
    </row>
    <row r="1814" spans="1:14" ht="12.75">
      <c r="A1814" s="65"/>
      <c r="B1814" s="65"/>
      <c r="C1814" s="65"/>
      <c r="D1814" s="65"/>
      <c r="E1814" s="65" t="str">
        <v>---</v>
      </c>
      <c r="F1814" s="65"/>
      <c r="G1814" s="65"/>
      <c r="H1814" s="65"/>
      <c r="I1814" s="65"/>
      <c r="J1814" s="65"/>
      <c r="K1814" s="65" t="s">
        <v>1840</v>
      </c>
      <c r="L1814" s="65"/>
      <c r="M1814" s="65"/>
      <c r="N1814" s="65"/>
    </row>
    <row r="1815" spans="1:14" ht="12.75">
      <c r="A1815" s="65"/>
      <c r="B1815" s="65"/>
      <c r="C1815" s="65"/>
      <c r="D1815" s="65"/>
      <c r="E1815" s="65" t="str">
        <v>---</v>
      </c>
      <c r="F1815" s="65"/>
      <c r="G1815" s="65"/>
      <c r="H1815" s="65"/>
      <c r="I1815" s="65"/>
      <c r="J1815" s="65"/>
      <c r="K1815" s="65" t="s">
        <v>1841</v>
      </c>
      <c r="L1815" s="65"/>
      <c r="M1815" s="65"/>
      <c r="N1815" s="65"/>
    </row>
    <row r="1816" spans="1:14" ht="12.75">
      <c r="A1816" s="65"/>
      <c r="B1816" s="65"/>
      <c r="C1816" s="65"/>
      <c r="D1816" s="65"/>
      <c r="E1816" s="65" t="str">
        <v>---</v>
      </c>
      <c r="F1816" s="65"/>
      <c r="G1816" s="65"/>
      <c r="H1816" s="65"/>
      <c r="I1816" s="65"/>
      <c r="J1816" s="65"/>
      <c r="K1816" s="65" t="s">
        <v>1842</v>
      </c>
      <c r="L1816" s="65"/>
      <c r="M1816" s="65"/>
      <c r="N1816" s="65"/>
    </row>
    <row r="1817" spans="1:14" ht="12.75">
      <c r="A1817" s="65"/>
      <c r="B1817" s="65"/>
      <c r="C1817" s="65"/>
      <c r="D1817" s="65"/>
      <c r="E1817" s="65" t="str">
        <v>---</v>
      </c>
      <c r="F1817" s="65"/>
      <c r="G1817" s="65"/>
      <c r="H1817" s="65"/>
      <c r="I1817" s="65"/>
      <c r="J1817" s="65"/>
      <c r="K1817" s="65" t="s">
        <v>1843</v>
      </c>
      <c r="L1817" s="65"/>
      <c r="M1817" s="65"/>
      <c r="N1817" s="65"/>
    </row>
    <row r="1818" spans="1:14" ht="12.75">
      <c r="A1818" s="65"/>
      <c r="B1818" s="65"/>
      <c r="C1818" s="65"/>
      <c r="D1818" s="65"/>
      <c r="E1818" s="65" t="str">
        <v>---</v>
      </c>
      <c r="F1818" s="65"/>
      <c r="G1818" s="65"/>
      <c r="H1818" s="65"/>
      <c r="I1818" s="65"/>
      <c r="J1818" s="65"/>
      <c r="K1818" s="65" t="s">
        <v>1844</v>
      </c>
      <c r="L1818" s="65"/>
      <c r="M1818" s="65"/>
      <c r="N1818" s="65"/>
    </row>
    <row r="1819" spans="1:14" ht="12.75">
      <c r="A1819" s="65"/>
      <c r="B1819" s="65"/>
      <c r="C1819" s="65"/>
      <c r="D1819" s="65"/>
      <c r="E1819" s="65" t="str">
        <v>---</v>
      </c>
      <c r="F1819" s="65"/>
      <c r="G1819" s="65"/>
      <c r="H1819" s="65"/>
      <c r="I1819" s="65"/>
      <c r="J1819" s="65"/>
      <c r="K1819" s="65" t="s">
        <v>1845</v>
      </c>
      <c r="L1819" s="65"/>
      <c r="M1819" s="65"/>
      <c r="N1819" s="65"/>
    </row>
    <row r="1820" spans="1:14" ht="12.75">
      <c r="A1820" s="65"/>
      <c r="B1820" s="65"/>
      <c r="C1820" s="65"/>
      <c r="D1820" s="65"/>
      <c r="E1820" s="65" t="str">
        <v>---</v>
      </c>
      <c r="F1820" s="65"/>
      <c r="G1820" s="65"/>
      <c r="H1820" s="65"/>
      <c r="I1820" s="65"/>
      <c r="J1820" s="65"/>
      <c r="K1820" s="65" t="s">
        <v>1846</v>
      </c>
      <c r="L1820" s="65"/>
      <c r="M1820" s="65"/>
      <c r="N1820" s="65"/>
    </row>
    <row r="1821" spans="1:14" ht="12.75">
      <c r="A1821" s="65"/>
      <c r="B1821" s="65"/>
      <c r="C1821" s="65"/>
      <c r="D1821" s="65"/>
      <c r="E1821" s="65" t="str">
        <v>---</v>
      </c>
      <c r="F1821" s="65"/>
      <c r="G1821" s="65"/>
      <c r="H1821" s="65"/>
      <c r="I1821" s="65"/>
      <c r="J1821" s="65"/>
      <c r="K1821" s="65" t="s">
        <v>1847</v>
      </c>
      <c r="L1821" s="65"/>
      <c r="M1821" s="65"/>
      <c r="N1821" s="65"/>
    </row>
    <row r="1822" spans="1:14" ht="12.75">
      <c r="A1822" s="65"/>
      <c r="B1822" s="65"/>
      <c r="C1822" s="65"/>
      <c r="D1822" s="65"/>
      <c r="E1822" s="65" t="str">
        <v>---</v>
      </c>
      <c r="F1822" s="65"/>
      <c r="G1822" s="65"/>
      <c r="H1822" s="65"/>
      <c r="I1822" s="65"/>
      <c r="J1822" s="65"/>
      <c r="K1822" s="65" t="s">
        <v>1848</v>
      </c>
      <c r="L1822" s="65"/>
      <c r="M1822" s="65"/>
      <c r="N1822" s="65"/>
    </row>
    <row r="1823" spans="1:14" ht="12.75">
      <c r="A1823" s="65"/>
      <c r="B1823" s="65"/>
      <c r="C1823" s="65"/>
      <c r="D1823" s="65"/>
      <c r="E1823" s="65" t="str">
        <v>---</v>
      </c>
      <c r="F1823" s="65"/>
      <c r="G1823" s="65"/>
      <c r="H1823" s="65"/>
      <c r="I1823" s="65"/>
      <c r="J1823" s="65"/>
      <c r="K1823" s="65" t="s">
        <v>1849</v>
      </c>
      <c r="L1823" s="65"/>
      <c r="M1823" s="65"/>
      <c r="N1823" s="65"/>
    </row>
    <row r="1824" spans="1:14" ht="12.75">
      <c r="A1824" s="65"/>
      <c r="B1824" s="65"/>
      <c r="C1824" s="65"/>
      <c r="D1824" s="65"/>
      <c r="E1824" s="65" t="str">
        <v>---</v>
      </c>
      <c r="F1824" s="65"/>
      <c r="G1824" s="65"/>
      <c r="H1824" s="65"/>
      <c r="I1824" s="65"/>
      <c r="J1824" s="65"/>
      <c r="K1824" s="65" t="s">
        <v>1850</v>
      </c>
      <c r="L1824" s="65"/>
      <c r="M1824" s="65"/>
      <c r="N1824" s="65"/>
    </row>
    <row r="1825" spans="1:14" ht="12.75">
      <c r="A1825" s="65"/>
      <c r="B1825" s="65"/>
      <c r="C1825" s="65"/>
      <c r="D1825" s="65"/>
      <c r="E1825" s="65" t="str">
        <v>---</v>
      </c>
      <c r="F1825" s="65"/>
      <c r="G1825" s="65"/>
      <c r="H1825" s="65"/>
      <c r="I1825" s="65"/>
      <c r="J1825" s="65"/>
      <c r="K1825" s="65" t="s">
        <v>1851</v>
      </c>
      <c r="L1825" s="65"/>
      <c r="M1825" s="65"/>
      <c r="N1825" s="65"/>
    </row>
    <row r="1826" spans="1:14" ht="12.75">
      <c r="A1826" s="65"/>
      <c r="B1826" s="65"/>
      <c r="C1826" s="65"/>
      <c r="D1826" s="65"/>
      <c r="E1826" s="65" t="str">
        <v>---</v>
      </c>
      <c r="F1826" s="65"/>
      <c r="G1826" s="65"/>
      <c r="H1826" s="65"/>
      <c r="I1826" s="65"/>
      <c r="J1826" s="65"/>
      <c r="K1826" s="65" t="s">
        <v>1852</v>
      </c>
      <c r="L1826" s="65"/>
      <c r="M1826" s="65"/>
      <c r="N1826" s="65"/>
    </row>
    <row r="1827" spans="1:14" ht="12.75">
      <c r="A1827" s="65"/>
      <c r="B1827" s="65"/>
      <c r="C1827" s="65"/>
      <c r="D1827" s="65"/>
      <c r="E1827" s="65" t="str">
        <v>---</v>
      </c>
      <c r="F1827" s="65"/>
      <c r="G1827" s="65"/>
      <c r="H1827" s="65"/>
      <c r="I1827" s="65"/>
      <c r="J1827" s="65"/>
      <c r="K1827" s="65" t="s">
        <v>1853</v>
      </c>
      <c r="L1827" s="65"/>
      <c r="M1827" s="65"/>
      <c r="N1827" s="65"/>
    </row>
    <row r="1828" spans="1:14" ht="12.75">
      <c r="A1828" s="65"/>
      <c r="B1828" s="65"/>
      <c r="C1828" s="65"/>
      <c r="D1828" s="65"/>
      <c r="E1828" s="65" t="str">
        <v>---</v>
      </c>
      <c r="F1828" s="65"/>
      <c r="G1828" s="65"/>
      <c r="H1828" s="65"/>
      <c r="I1828" s="65"/>
      <c r="J1828" s="65"/>
      <c r="K1828" s="65" t="s">
        <v>1854</v>
      </c>
      <c r="L1828" s="65"/>
      <c r="M1828" s="65"/>
      <c r="N1828" s="65"/>
    </row>
    <row r="1829" spans="1:14" ht="12.75">
      <c r="A1829" s="65"/>
      <c r="B1829" s="65"/>
      <c r="C1829" s="65"/>
      <c r="D1829" s="65"/>
      <c r="E1829" s="65" t="str">
        <v>---</v>
      </c>
      <c r="F1829" s="65"/>
      <c r="G1829" s="65"/>
      <c r="H1829" s="65"/>
      <c r="I1829" s="65"/>
      <c r="J1829" s="65"/>
      <c r="K1829" s="65" t="s">
        <v>1855</v>
      </c>
      <c r="L1829" s="65"/>
      <c r="M1829" s="65"/>
      <c r="N1829" s="65"/>
    </row>
    <row r="1830" spans="1:14" ht="12.75">
      <c r="A1830" s="65"/>
      <c r="B1830" s="65"/>
      <c r="C1830" s="65"/>
      <c r="D1830" s="65"/>
      <c r="E1830" s="65" t="str">
        <v>---</v>
      </c>
      <c r="F1830" s="65"/>
      <c r="G1830" s="65"/>
      <c r="H1830" s="65"/>
      <c r="I1830" s="65"/>
      <c r="J1830" s="65"/>
      <c r="K1830" s="65" t="s">
        <v>1856</v>
      </c>
      <c r="L1830" s="65"/>
      <c r="M1830" s="65"/>
      <c r="N1830" s="65"/>
    </row>
    <row r="1831" spans="1:14" ht="12.75">
      <c r="A1831" s="65"/>
      <c r="B1831" s="65"/>
      <c r="C1831" s="65"/>
      <c r="D1831" s="65"/>
      <c r="E1831" s="65" t="str">
        <v>---</v>
      </c>
      <c r="F1831" s="65"/>
      <c r="G1831" s="65"/>
      <c r="H1831" s="65"/>
      <c r="I1831" s="65"/>
      <c r="J1831" s="65"/>
      <c r="K1831" s="65" t="s">
        <v>1857</v>
      </c>
      <c r="L1831" s="65"/>
      <c r="M1831" s="65"/>
      <c r="N1831" s="65"/>
    </row>
    <row r="1832" spans="1:14" ht="12.75">
      <c r="A1832" s="65"/>
      <c r="B1832" s="65"/>
      <c r="C1832" s="65"/>
      <c r="D1832" s="65"/>
      <c r="E1832" s="65" t="str">
        <v>---</v>
      </c>
      <c r="F1832" s="65"/>
      <c r="G1832" s="65"/>
      <c r="H1832" s="65"/>
      <c r="I1832" s="65"/>
      <c r="J1832" s="65"/>
      <c r="K1832" s="65" t="s">
        <v>1858</v>
      </c>
      <c r="L1832" s="65"/>
      <c r="M1832" s="65"/>
      <c r="N1832" s="65"/>
    </row>
    <row r="1833" spans="1:14" ht="12.75">
      <c r="A1833" s="65"/>
      <c r="B1833" s="65"/>
      <c r="C1833" s="65"/>
      <c r="D1833" s="65"/>
      <c r="E1833" s="65" t="str">
        <v>---</v>
      </c>
      <c r="F1833" s="65"/>
      <c r="G1833" s="65"/>
      <c r="H1833" s="65"/>
      <c r="I1833" s="65"/>
      <c r="J1833" s="65"/>
      <c r="K1833" s="65" t="s">
        <v>1859</v>
      </c>
      <c r="L1833" s="65"/>
      <c r="M1833" s="65"/>
      <c r="N1833" s="65"/>
    </row>
    <row r="1834" spans="1:14" ht="12.75">
      <c r="A1834" s="65"/>
      <c r="B1834" s="65"/>
      <c r="C1834" s="65"/>
      <c r="D1834" s="65"/>
      <c r="E1834" s="65" t="str">
        <v>---</v>
      </c>
      <c r="F1834" s="65"/>
      <c r="G1834" s="65"/>
      <c r="H1834" s="65"/>
      <c r="I1834" s="65"/>
      <c r="J1834" s="65"/>
      <c r="K1834" s="65" t="s">
        <v>1860</v>
      </c>
      <c r="L1834" s="65"/>
      <c r="M1834" s="65"/>
      <c r="N1834" s="65"/>
    </row>
    <row r="1835" spans="1:14" ht="12.75">
      <c r="A1835" s="65"/>
      <c r="B1835" s="65"/>
      <c r="C1835" s="65"/>
      <c r="D1835" s="65"/>
      <c r="E1835" s="65" t="str">
        <v>---</v>
      </c>
      <c r="F1835" s="65"/>
      <c r="G1835" s="65"/>
      <c r="H1835" s="65"/>
      <c r="I1835" s="65"/>
      <c r="J1835" s="65"/>
      <c r="K1835" s="65" t="s">
        <v>1861</v>
      </c>
      <c r="L1835" s="65"/>
      <c r="M1835" s="65"/>
      <c r="N1835" s="65"/>
    </row>
    <row r="1836" spans="1:14" ht="12.75">
      <c r="A1836" s="65"/>
      <c r="B1836" s="65"/>
      <c r="C1836" s="65"/>
      <c r="D1836" s="65"/>
      <c r="E1836" s="65" t="str">
        <v>---</v>
      </c>
      <c r="F1836" s="65"/>
      <c r="G1836" s="65"/>
      <c r="H1836" s="65"/>
      <c r="I1836" s="65"/>
      <c r="J1836" s="65"/>
      <c r="K1836" s="65" t="s">
        <v>1862</v>
      </c>
      <c r="L1836" s="65"/>
      <c r="M1836" s="65"/>
      <c r="N1836" s="65"/>
    </row>
    <row r="1837" spans="1:14" ht="12.75">
      <c r="A1837" s="65"/>
      <c r="B1837" s="65"/>
      <c r="C1837" s="65"/>
      <c r="D1837" s="65"/>
      <c r="E1837" s="65" t="str">
        <v>---</v>
      </c>
      <c r="F1837" s="65"/>
      <c r="G1837" s="65"/>
      <c r="H1837" s="65"/>
      <c r="I1837" s="65"/>
      <c r="J1837" s="65"/>
      <c r="K1837" s="65" t="s">
        <v>1863</v>
      </c>
      <c r="L1837" s="65"/>
      <c r="M1837" s="65"/>
      <c r="N1837" s="65"/>
    </row>
    <row r="1838" spans="1:14" ht="12.75">
      <c r="A1838" s="65"/>
      <c r="B1838" s="65"/>
      <c r="C1838" s="65"/>
      <c r="D1838" s="65"/>
      <c r="E1838" s="65" t="str">
        <v>---</v>
      </c>
      <c r="F1838" s="65"/>
      <c r="G1838" s="65"/>
      <c r="H1838" s="65"/>
      <c r="I1838" s="65"/>
      <c r="J1838" s="65"/>
      <c r="K1838" s="65" t="s">
        <v>1864</v>
      </c>
      <c r="L1838" s="65"/>
      <c r="M1838" s="65"/>
      <c r="N1838" s="65"/>
    </row>
    <row r="1839" spans="1:14" ht="12.75">
      <c r="A1839" s="65"/>
      <c r="B1839" s="65"/>
      <c r="C1839" s="65"/>
      <c r="D1839" s="65"/>
      <c r="E1839" s="65" t="str">
        <v>---</v>
      </c>
      <c r="F1839" s="65"/>
      <c r="G1839" s="65"/>
      <c r="H1839" s="65"/>
      <c r="I1839" s="65"/>
      <c r="J1839" s="65"/>
      <c r="K1839" s="65" t="s">
        <v>1865</v>
      </c>
      <c r="L1839" s="65"/>
      <c r="M1839" s="65"/>
      <c r="N1839" s="65"/>
    </row>
    <row r="1840" spans="1:14" ht="12.75">
      <c r="A1840" s="65"/>
      <c r="B1840" s="65"/>
      <c r="C1840" s="65"/>
      <c r="D1840" s="65"/>
      <c r="E1840" s="65" t="str">
        <v>---</v>
      </c>
      <c r="F1840" s="65"/>
      <c r="G1840" s="65"/>
      <c r="H1840" s="65"/>
      <c r="I1840" s="65"/>
      <c r="J1840" s="65"/>
      <c r="K1840" s="65" t="s">
        <v>1866</v>
      </c>
      <c r="L1840" s="65"/>
      <c r="M1840" s="65"/>
      <c r="N1840" s="65"/>
    </row>
    <row r="1841" spans="1:14" ht="12.75">
      <c r="A1841" s="65"/>
      <c r="B1841" s="65"/>
      <c r="C1841" s="65"/>
      <c r="D1841" s="65"/>
      <c r="E1841" s="65" t="str">
        <v>---</v>
      </c>
      <c r="F1841" s="65"/>
      <c r="G1841" s="65"/>
      <c r="H1841" s="65"/>
      <c r="I1841" s="65"/>
      <c r="J1841" s="65"/>
      <c r="K1841" s="65" t="s">
        <v>1867</v>
      </c>
      <c r="L1841" s="65"/>
      <c r="M1841" s="65"/>
      <c r="N1841" s="65"/>
    </row>
    <row r="1842" spans="1:14" ht="12.75">
      <c r="A1842" s="65"/>
      <c r="B1842" s="65"/>
      <c r="C1842" s="65"/>
      <c r="D1842" s="65"/>
      <c r="E1842" s="65" t="str">
        <v>---</v>
      </c>
      <c r="F1842" s="65"/>
      <c r="G1842" s="65"/>
      <c r="H1842" s="65"/>
      <c r="I1842" s="65"/>
      <c r="J1842" s="65"/>
      <c r="K1842" s="65" t="s">
        <v>1868</v>
      </c>
      <c r="L1842" s="65"/>
      <c r="M1842" s="65"/>
      <c r="N1842" s="65"/>
    </row>
    <row r="1843" spans="1:14" ht="12.75">
      <c r="A1843" s="65"/>
      <c r="B1843" s="65"/>
      <c r="C1843" s="65"/>
      <c r="D1843" s="65"/>
      <c r="E1843" s="65" t="str">
        <v>---</v>
      </c>
      <c r="F1843" s="65"/>
      <c r="G1843" s="65"/>
      <c r="H1843" s="65"/>
      <c r="I1843" s="65"/>
      <c r="J1843" s="65"/>
      <c r="K1843" s="65" t="s">
        <v>1869</v>
      </c>
      <c r="L1843" s="65"/>
      <c r="M1843" s="65"/>
      <c r="N1843" s="65"/>
    </row>
    <row r="1844" spans="1:14" ht="12.75">
      <c r="A1844" s="65"/>
      <c r="B1844" s="65"/>
      <c r="C1844" s="65"/>
      <c r="D1844" s="65"/>
      <c r="E1844" s="65" t="str">
        <v>---</v>
      </c>
      <c r="F1844" s="65"/>
      <c r="G1844" s="65"/>
      <c r="H1844" s="65"/>
      <c r="I1844" s="65"/>
      <c r="J1844" s="65"/>
      <c r="K1844" s="65" t="s">
        <v>1870</v>
      </c>
      <c r="L1844" s="65"/>
      <c r="M1844" s="65"/>
      <c r="N1844" s="65"/>
    </row>
    <row r="1845" spans="1:14" ht="12.75">
      <c r="A1845" s="65"/>
      <c r="B1845" s="65"/>
      <c r="C1845" s="65"/>
      <c r="D1845" s="65"/>
      <c r="E1845" s="65" t="str">
        <v>---</v>
      </c>
      <c r="F1845" s="65"/>
      <c r="G1845" s="65"/>
      <c r="H1845" s="65"/>
      <c r="I1845" s="65"/>
      <c r="J1845" s="65"/>
      <c r="K1845" s="65" t="s">
        <v>1871</v>
      </c>
      <c r="L1845" s="65"/>
      <c r="M1845" s="65"/>
      <c r="N1845" s="65"/>
    </row>
    <row r="1846" spans="1:14" ht="12.75">
      <c r="A1846" s="65"/>
      <c r="B1846" s="65"/>
      <c r="C1846" s="65"/>
      <c r="D1846" s="65"/>
      <c r="E1846" s="65" t="str">
        <v>---</v>
      </c>
      <c r="F1846" s="65"/>
      <c r="G1846" s="65"/>
      <c r="H1846" s="65"/>
      <c r="I1846" s="65"/>
      <c r="J1846" s="65"/>
      <c r="K1846" s="65" t="s">
        <v>1872</v>
      </c>
      <c r="L1846" s="65"/>
      <c r="M1846" s="65"/>
      <c r="N1846" s="65"/>
    </row>
    <row r="1847" spans="1:14" ht="12.75">
      <c r="A1847" s="65"/>
      <c r="B1847" s="65"/>
      <c r="C1847" s="65"/>
      <c r="D1847" s="65"/>
      <c r="E1847" s="65" t="str">
        <v>---</v>
      </c>
      <c r="F1847" s="65"/>
      <c r="G1847" s="65"/>
      <c r="H1847" s="65"/>
      <c r="I1847" s="65"/>
      <c r="J1847" s="65"/>
      <c r="K1847" s="65" t="s">
        <v>1873</v>
      </c>
      <c r="L1847" s="65"/>
      <c r="M1847" s="65"/>
      <c r="N1847" s="65"/>
    </row>
    <row r="1848" spans="1:14" ht="12.75">
      <c r="A1848" s="65"/>
      <c r="B1848" s="65"/>
      <c r="C1848" s="65"/>
      <c r="D1848" s="65"/>
      <c r="E1848" s="65" t="str">
        <v>---</v>
      </c>
      <c r="F1848" s="65"/>
      <c r="G1848" s="65"/>
      <c r="H1848" s="65"/>
      <c r="I1848" s="65"/>
      <c r="J1848" s="65"/>
      <c r="K1848" s="65" t="s">
        <v>1874</v>
      </c>
      <c r="L1848" s="65"/>
      <c r="M1848" s="65"/>
      <c r="N1848" s="65"/>
    </row>
    <row r="1849" spans="1:14" ht="12.75">
      <c r="A1849" s="65"/>
      <c r="B1849" s="65"/>
      <c r="C1849" s="65"/>
      <c r="D1849" s="65"/>
      <c r="E1849" s="65" t="str">
        <v>---</v>
      </c>
      <c r="F1849" s="65"/>
      <c r="G1849" s="65"/>
      <c r="H1849" s="65"/>
      <c r="I1849" s="65"/>
      <c r="J1849" s="65"/>
      <c r="K1849" s="65" t="s">
        <v>1875</v>
      </c>
      <c r="L1849" s="65"/>
      <c r="M1849" s="65"/>
      <c r="N1849" s="65"/>
    </row>
    <row r="1850" spans="1:14" ht="12.75">
      <c r="A1850" s="65"/>
      <c r="B1850" s="65"/>
      <c r="C1850" s="65"/>
      <c r="D1850" s="65"/>
      <c r="E1850" s="65" t="str">
        <v>---</v>
      </c>
      <c r="F1850" s="65"/>
      <c r="G1850" s="65"/>
      <c r="H1850" s="65"/>
      <c r="I1850" s="65"/>
      <c r="J1850" s="65"/>
      <c r="K1850" s="65" t="s">
        <v>1876</v>
      </c>
      <c r="L1850" s="65"/>
      <c r="M1850" s="65"/>
      <c r="N1850" s="65"/>
    </row>
    <row r="1851" spans="1:14" ht="12.75">
      <c r="A1851" s="65"/>
      <c r="B1851" s="65"/>
      <c r="C1851" s="65"/>
      <c r="D1851" s="65"/>
      <c r="E1851" s="65" t="str">
        <v>---</v>
      </c>
      <c r="F1851" s="65"/>
      <c r="G1851" s="65"/>
      <c r="H1851" s="65"/>
      <c r="I1851" s="65"/>
      <c r="J1851" s="65"/>
      <c r="K1851" s="65" t="s">
        <v>1877</v>
      </c>
      <c r="L1851" s="65"/>
      <c r="M1851" s="65"/>
      <c r="N1851" s="65"/>
    </row>
    <row r="1852" spans="1:14" ht="12.75">
      <c r="A1852" s="65"/>
      <c r="B1852" s="65"/>
      <c r="C1852" s="65"/>
      <c r="D1852" s="65"/>
      <c r="E1852" s="65" t="str">
        <v>---</v>
      </c>
      <c r="F1852" s="65"/>
      <c r="G1852" s="65"/>
      <c r="H1852" s="65"/>
      <c r="I1852" s="65"/>
      <c r="J1852" s="65"/>
      <c r="K1852" s="65" t="s">
        <v>1878</v>
      </c>
      <c r="L1852" s="65"/>
      <c r="M1852" s="65"/>
      <c r="N1852" s="65"/>
    </row>
    <row r="1853" spans="1:14" ht="12.75">
      <c r="A1853" s="65"/>
      <c r="B1853" s="65"/>
      <c r="C1853" s="65"/>
      <c r="D1853" s="65"/>
      <c r="E1853" s="65" t="str">
        <v>---</v>
      </c>
      <c r="F1853" s="65"/>
      <c r="G1853" s="65"/>
      <c r="H1853" s="65"/>
      <c r="I1853" s="65"/>
      <c r="J1853" s="65"/>
      <c r="K1853" s="65" t="s">
        <v>1879</v>
      </c>
      <c r="L1853" s="65"/>
      <c r="M1853" s="65"/>
      <c r="N1853" s="65"/>
    </row>
    <row r="1854" spans="1:14" ht="12.75">
      <c r="A1854" s="65"/>
      <c r="B1854" s="65"/>
      <c r="C1854" s="65"/>
      <c r="D1854" s="65"/>
      <c r="E1854" s="65" t="str">
        <v>---</v>
      </c>
      <c r="F1854" s="65"/>
      <c r="G1854" s="65"/>
      <c r="H1854" s="65"/>
      <c r="I1854" s="65"/>
      <c r="J1854" s="65"/>
      <c r="K1854" s="65" t="s">
        <v>1880</v>
      </c>
      <c r="L1854" s="65"/>
      <c r="M1854" s="65"/>
      <c r="N1854" s="65"/>
    </row>
    <row r="1855" spans="1:14" ht="12.75">
      <c r="A1855" s="65"/>
      <c r="B1855" s="65"/>
      <c r="C1855" s="65"/>
      <c r="D1855" s="65"/>
      <c r="E1855" s="65" t="str">
        <v>---</v>
      </c>
      <c r="F1855" s="65"/>
      <c r="G1855" s="65"/>
      <c r="H1855" s="65"/>
      <c r="I1855" s="65"/>
      <c r="J1855" s="65"/>
      <c r="K1855" s="65" t="s">
        <v>1881</v>
      </c>
      <c r="L1855" s="65"/>
      <c r="M1855" s="65"/>
      <c r="N1855" s="65"/>
    </row>
    <row r="1856" spans="1:14" ht="12.75">
      <c r="A1856" s="65"/>
      <c r="B1856" s="65"/>
      <c r="C1856" s="65"/>
      <c r="D1856" s="65"/>
      <c r="E1856" s="65" t="str">
        <v>---</v>
      </c>
      <c r="F1856" s="65"/>
      <c r="G1856" s="65"/>
      <c r="H1856" s="65"/>
      <c r="I1856" s="65"/>
      <c r="J1856" s="65"/>
      <c r="K1856" s="65" t="s">
        <v>1882</v>
      </c>
      <c r="L1856" s="65"/>
      <c r="M1856" s="65"/>
      <c r="N1856" s="65"/>
    </row>
    <row r="1857" spans="1:14" ht="12.75">
      <c r="A1857" s="65"/>
      <c r="B1857" s="65"/>
      <c r="C1857" s="65"/>
      <c r="D1857" s="65"/>
      <c r="E1857" s="65" t="str">
        <v>---</v>
      </c>
      <c r="F1857" s="65"/>
      <c r="G1857" s="65"/>
      <c r="H1857" s="65"/>
      <c r="I1857" s="65"/>
      <c r="J1857" s="65"/>
      <c r="K1857" s="65" t="s">
        <v>1883</v>
      </c>
      <c r="L1857" s="65"/>
      <c r="M1857" s="65"/>
      <c r="N1857" s="65"/>
    </row>
    <row r="1858" spans="1:14" ht="12.75">
      <c r="A1858" s="65"/>
      <c r="B1858" s="65"/>
      <c r="C1858" s="65"/>
      <c r="D1858" s="65"/>
      <c r="E1858" s="65" t="str">
        <v>---</v>
      </c>
      <c r="F1858" s="65"/>
      <c r="G1858" s="65"/>
      <c r="H1858" s="65"/>
      <c r="I1858" s="65"/>
      <c r="J1858" s="65"/>
      <c r="K1858" s="65" t="s">
        <v>1884</v>
      </c>
      <c r="L1858" s="65"/>
      <c r="M1858" s="65"/>
      <c r="N1858" s="65"/>
    </row>
    <row r="1859" spans="1:14" ht="12.75">
      <c r="A1859" s="65"/>
      <c r="B1859" s="65"/>
      <c r="C1859" s="65"/>
      <c r="D1859" s="65"/>
      <c r="E1859" s="65" t="str">
        <v>---</v>
      </c>
      <c r="F1859" s="65"/>
      <c r="G1859" s="65"/>
      <c r="H1859" s="65"/>
      <c r="I1859" s="65"/>
      <c r="J1859" s="65"/>
      <c r="K1859" s="65" t="s">
        <v>1885</v>
      </c>
      <c r="L1859" s="65"/>
      <c r="M1859" s="65"/>
      <c r="N1859" s="65"/>
    </row>
    <row r="1860" spans="1:14" ht="12.75">
      <c r="A1860" s="65"/>
      <c r="B1860" s="65"/>
      <c r="C1860" s="65"/>
      <c r="D1860" s="65"/>
      <c r="E1860" s="65" t="str">
        <v>---</v>
      </c>
      <c r="F1860" s="65"/>
      <c r="G1860" s="65"/>
      <c r="H1860" s="65"/>
      <c r="I1860" s="65"/>
      <c r="J1860" s="65"/>
      <c r="K1860" s="65" t="s">
        <v>1886</v>
      </c>
      <c r="L1860" s="65"/>
      <c r="M1860" s="65"/>
      <c r="N1860" s="65"/>
    </row>
    <row r="1861" spans="1:14" ht="12.75">
      <c r="A1861" s="65"/>
      <c r="B1861" s="65"/>
      <c r="C1861" s="65"/>
      <c r="D1861" s="65"/>
      <c r="E1861" s="65" t="str">
        <v>---</v>
      </c>
      <c r="F1861" s="65"/>
      <c r="G1861" s="65"/>
      <c r="H1861" s="65"/>
      <c r="I1861" s="65"/>
      <c r="J1861" s="65"/>
      <c r="K1861" s="65" t="s">
        <v>1887</v>
      </c>
      <c r="L1861" s="65"/>
      <c r="M1861" s="65"/>
      <c r="N1861" s="65"/>
    </row>
    <row r="1862" spans="1:14" ht="12.75">
      <c r="A1862" s="65"/>
      <c r="B1862" s="65"/>
      <c r="C1862" s="65"/>
      <c r="D1862" s="65"/>
      <c r="E1862" s="65" t="str">
        <v>---</v>
      </c>
      <c r="F1862" s="65"/>
      <c r="G1862" s="65"/>
      <c r="H1862" s="65"/>
      <c r="I1862" s="65"/>
      <c r="J1862" s="65"/>
      <c r="K1862" s="65" t="s">
        <v>1888</v>
      </c>
      <c r="L1862" s="65"/>
      <c r="M1862" s="65"/>
      <c r="N1862" s="65"/>
    </row>
    <row r="1863" spans="1:14" ht="12.75">
      <c r="A1863" s="65"/>
      <c r="B1863" s="65"/>
      <c r="C1863" s="65"/>
      <c r="D1863" s="65"/>
      <c r="E1863" s="65" t="str">
        <v>---</v>
      </c>
      <c r="F1863" s="65"/>
      <c r="G1863" s="65"/>
      <c r="H1863" s="65"/>
      <c r="I1863" s="65"/>
      <c r="J1863" s="65"/>
      <c r="K1863" s="65" t="s">
        <v>1889</v>
      </c>
      <c r="L1863" s="65"/>
      <c r="M1863" s="65"/>
      <c r="N1863" s="65"/>
    </row>
    <row r="1864" spans="1:14" ht="12.75">
      <c r="A1864" s="65"/>
      <c r="B1864" s="65"/>
      <c r="C1864" s="65"/>
      <c r="D1864" s="65"/>
      <c r="E1864" s="65" t="str">
        <v>---</v>
      </c>
      <c r="F1864" s="65"/>
      <c r="G1864" s="65"/>
      <c r="H1864" s="65"/>
      <c r="I1864" s="65"/>
      <c r="J1864" s="65"/>
      <c r="K1864" s="65" t="s">
        <v>1890</v>
      </c>
      <c r="L1864" s="65"/>
      <c r="M1864" s="65"/>
      <c r="N1864" s="65"/>
    </row>
    <row r="1865" spans="1:14" ht="12.75">
      <c r="A1865" s="65"/>
      <c r="B1865" s="65"/>
      <c r="C1865" s="65"/>
      <c r="D1865" s="65"/>
      <c r="E1865" s="65" t="str">
        <v>---</v>
      </c>
      <c r="F1865" s="65"/>
      <c r="G1865" s="65"/>
      <c r="H1865" s="65"/>
      <c r="I1865" s="65"/>
      <c r="J1865" s="65"/>
      <c r="K1865" s="65" t="s">
        <v>1891</v>
      </c>
      <c r="L1865" s="65"/>
      <c r="M1865" s="65"/>
      <c r="N1865" s="65"/>
    </row>
    <row r="1866" spans="1:14" ht="12.75">
      <c r="A1866" s="65"/>
      <c r="B1866" s="65"/>
      <c r="C1866" s="65"/>
      <c r="D1866" s="65"/>
      <c r="E1866" s="65" t="str">
        <v>---</v>
      </c>
      <c r="F1866" s="65"/>
      <c r="G1866" s="65"/>
      <c r="H1866" s="65"/>
      <c r="I1866" s="65"/>
      <c r="J1866" s="65"/>
      <c r="K1866" s="65" t="s">
        <v>1892</v>
      </c>
      <c r="L1866" s="65"/>
      <c r="M1866" s="65"/>
      <c r="N1866" s="65"/>
    </row>
    <row r="1867" spans="1:14" ht="12.75">
      <c r="A1867" s="65"/>
      <c r="B1867" s="65"/>
      <c r="C1867" s="65"/>
      <c r="D1867" s="65"/>
      <c r="E1867" s="65" t="str">
        <v>---</v>
      </c>
      <c r="F1867" s="65"/>
      <c r="G1867" s="65"/>
      <c r="H1867" s="65"/>
      <c r="I1867" s="65"/>
      <c r="J1867" s="65"/>
      <c r="K1867" s="65" t="s">
        <v>1893</v>
      </c>
      <c r="L1867" s="65"/>
      <c r="M1867" s="65"/>
      <c r="N1867" s="65"/>
    </row>
    <row r="1868" spans="1:14" ht="12.75">
      <c r="A1868" s="65"/>
      <c r="B1868" s="65"/>
      <c r="C1868" s="65"/>
      <c r="D1868" s="65"/>
      <c r="E1868" s="65" t="str">
        <v>---</v>
      </c>
      <c r="F1868" s="65"/>
      <c r="G1868" s="65"/>
      <c r="H1868" s="65"/>
      <c r="I1868" s="65"/>
      <c r="J1868" s="65"/>
      <c r="K1868" s="65" t="s">
        <v>1894</v>
      </c>
      <c r="L1868" s="65"/>
      <c r="M1868" s="65"/>
      <c r="N1868" s="65"/>
    </row>
    <row r="1869" spans="1:14" ht="12.75">
      <c r="A1869" s="65"/>
      <c r="B1869" s="65"/>
      <c r="C1869" s="65"/>
      <c r="D1869" s="65"/>
      <c r="E1869" s="65" t="str">
        <v>---</v>
      </c>
      <c r="F1869" s="65"/>
      <c r="G1869" s="65"/>
      <c r="H1869" s="65"/>
      <c r="I1869" s="65"/>
      <c r="J1869" s="65"/>
      <c r="K1869" s="65" t="s">
        <v>1895</v>
      </c>
      <c r="L1869" s="65"/>
      <c r="M1869" s="65"/>
      <c r="N1869" s="65"/>
    </row>
    <row r="1870" spans="1:14" ht="12.75">
      <c r="A1870" s="65"/>
      <c r="B1870" s="65"/>
      <c r="C1870" s="65"/>
      <c r="D1870" s="65"/>
      <c r="E1870" s="65" t="str">
        <v>---</v>
      </c>
      <c r="F1870" s="65"/>
      <c r="G1870" s="65"/>
      <c r="H1870" s="65"/>
      <c r="I1870" s="65"/>
      <c r="J1870" s="65"/>
      <c r="K1870" s="65" t="s">
        <v>1896</v>
      </c>
      <c r="L1870" s="65"/>
      <c r="M1870" s="65"/>
      <c r="N1870" s="65"/>
    </row>
    <row r="1871" spans="1:14" ht="12.75">
      <c r="A1871" s="65"/>
      <c r="B1871" s="65"/>
      <c r="C1871" s="65"/>
      <c r="D1871" s="65"/>
      <c r="E1871" s="65" t="str">
        <v>---</v>
      </c>
      <c r="F1871" s="65"/>
      <c r="G1871" s="65"/>
      <c r="H1871" s="65"/>
      <c r="I1871" s="65"/>
      <c r="J1871" s="65"/>
      <c r="K1871" s="65" t="s">
        <v>1897</v>
      </c>
      <c r="L1871" s="65"/>
      <c r="M1871" s="65"/>
      <c r="N1871" s="65"/>
    </row>
    <row r="1872" spans="1:14" ht="12.75">
      <c r="A1872" s="65"/>
      <c r="B1872" s="65"/>
      <c r="C1872" s="65"/>
      <c r="D1872" s="65"/>
      <c r="E1872" s="65" t="str">
        <v>---</v>
      </c>
      <c r="F1872" s="65"/>
      <c r="G1872" s="65"/>
      <c r="H1872" s="65"/>
      <c r="I1872" s="65"/>
      <c r="J1872" s="65"/>
      <c r="K1872" s="65" t="s">
        <v>1898</v>
      </c>
      <c r="L1872" s="65"/>
      <c r="M1872" s="65"/>
      <c r="N1872" s="65"/>
    </row>
    <row r="1873" spans="1:14" ht="12.75">
      <c r="A1873" s="65"/>
      <c r="B1873" s="65"/>
      <c r="C1873" s="65"/>
      <c r="D1873" s="65"/>
      <c r="E1873" s="65" t="str">
        <v>---</v>
      </c>
      <c r="F1873" s="65"/>
      <c r="G1873" s="65"/>
      <c r="H1873" s="65"/>
      <c r="I1873" s="65"/>
      <c r="J1873" s="65"/>
      <c r="K1873" s="65" t="s">
        <v>1899</v>
      </c>
      <c r="L1873" s="65"/>
      <c r="M1873" s="65"/>
      <c r="N1873" s="65"/>
    </row>
    <row r="1874" spans="1:14" ht="12.75">
      <c r="A1874" s="65"/>
      <c r="B1874" s="65"/>
      <c r="C1874" s="65"/>
      <c r="D1874" s="65"/>
      <c r="E1874" s="65" t="str">
        <v>---</v>
      </c>
      <c r="F1874" s="65"/>
      <c r="G1874" s="65"/>
      <c r="H1874" s="65"/>
      <c r="I1874" s="65"/>
      <c r="J1874" s="65"/>
      <c r="K1874" s="65" t="s">
        <v>1900</v>
      </c>
      <c r="L1874" s="65"/>
      <c r="M1874" s="65"/>
      <c r="N1874" s="65"/>
    </row>
    <row r="1875" spans="1:14" ht="12.75">
      <c r="A1875" s="65"/>
      <c r="B1875" s="65"/>
      <c r="C1875" s="65"/>
      <c r="D1875" s="65"/>
      <c r="E1875" s="65" t="str">
        <v>---</v>
      </c>
      <c r="F1875" s="65"/>
      <c r="G1875" s="65"/>
      <c r="H1875" s="65"/>
      <c r="I1875" s="65"/>
      <c r="J1875" s="65"/>
      <c r="K1875" s="65" t="s">
        <v>1901</v>
      </c>
      <c r="L1875" s="65"/>
      <c r="M1875" s="65"/>
      <c r="N1875" s="65"/>
    </row>
    <row r="1876" spans="1:14" ht="12.75">
      <c r="A1876" s="65"/>
      <c r="B1876" s="65"/>
      <c r="C1876" s="65"/>
      <c r="D1876" s="65"/>
      <c r="E1876" s="65" t="str">
        <v>---</v>
      </c>
      <c r="F1876" s="65"/>
      <c r="G1876" s="65"/>
      <c r="H1876" s="65"/>
      <c r="I1876" s="65"/>
      <c r="J1876" s="65"/>
      <c r="K1876" s="65" t="s">
        <v>1902</v>
      </c>
      <c r="L1876" s="65"/>
      <c r="M1876" s="65"/>
      <c r="N1876" s="65"/>
    </row>
    <row r="1877" spans="1:14" ht="12.75">
      <c r="A1877" s="65"/>
      <c r="B1877" s="65"/>
      <c r="C1877" s="65"/>
      <c r="D1877" s="65"/>
      <c r="E1877" s="65" t="str">
        <v>---</v>
      </c>
      <c r="F1877" s="65"/>
      <c r="G1877" s="65"/>
      <c r="H1877" s="65"/>
      <c r="I1877" s="65"/>
      <c r="J1877" s="65"/>
      <c r="K1877" s="65" t="s">
        <v>1903</v>
      </c>
      <c r="L1877" s="65"/>
      <c r="M1877" s="65"/>
      <c r="N1877" s="65"/>
    </row>
    <row r="1878" spans="1:14" ht="12.75">
      <c r="A1878" s="65"/>
      <c r="B1878" s="65"/>
      <c r="C1878" s="65"/>
      <c r="D1878" s="65"/>
      <c r="E1878" s="65" t="str">
        <v>---</v>
      </c>
      <c r="F1878" s="65"/>
      <c r="G1878" s="65"/>
      <c r="H1878" s="65"/>
      <c r="I1878" s="65"/>
      <c r="J1878" s="65"/>
      <c r="K1878" s="65" t="s">
        <v>1904</v>
      </c>
      <c r="L1878" s="65"/>
      <c r="M1878" s="65"/>
      <c r="N1878" s="65"/>
    </row>
    <row r="1879" spans="1:14" ht="12.75">
      <c r="A1879" s="65"/>
      <c r="B1879" s="65"/>
      <c r="C1879" s="65"/>
      <c r="D1879" s="65"/>
      <c r="E1879" s="65" t="str">
        <v>---</v>
      </c>
      <c r="F1879" s="65"/>
      <c r="G1879" s="65"/>
      <c r="H1879" s="65"/>
      <c r="I1879" s="65"/>
      <c r="J1879" s="65"/>
      <c r="K1879" s="65" t="s">
        <v>1905</v>
      </c>
      <c r="L1879" s="65"/>
      <c r="M1879" s="65"/>
      <c r="N1879" s="65"/>
    </row>
    <row r="1880" spans="1:14" ht="12.75">
      <c r="A1880" s="65"/>
      <c r="B1880" s="65"/>
      <c r="C1880" s="65"/>
      <c r="D1880" s="65"/>
      <c r="E1880" s="65" t="str">
        <v>---</v>
      </c>
      <c r="F1880" s="65"/>
      <c r="G1880" s="65"/>
      <c r="H1880" s="65"/>
      <c r="I1880" s="65"/>
      <c r="J1880" s="65"/>
      <c r="K1880" s="65" t="s">
        <v>1906</v>
      </c>
      <c r="L1880" s="65"/>
      <c r="M1880" s="65"/>
      <c r="N1880" s="65"/>
    </row>
    <row r="1881" spans="1:14" ht="12.75">
      <c r="A1881" s="65"/>
      <c r="B1881" s="65"/>
      <c r="C1881" s="65"/>
      <c r="D1881" s="65"/>
      <c r="E1881" s="65" t="str">
        <v>---</v>
      </c>
      <c r="F1881" s="65"/>
      <c r="G1881" s="65"/>
      <c r="H1881" s="65"/>
      <c r="I1881" s="65"/>
      <c r="J1881" s="65"/>
      <c r="K1881" s="65" t="s">
        <v>1907</v>
      </c>
      <c r="L1881" s="65"/>
      <c r="M1881" s="65"/>
      <c r="N1881" s="65"/>
    </row>
    <row r="1882" spans="1:14" ht="12.75">
      <c r="A1882" s="65"/>
      <c r="B1882" s="65"/>
      <c r="C1882" s="65"/>
      <c r="D1882" s="65"/>
      <c r="E1882" s="65" t="str">
        <v>---</v>
      </c>
      <c r="F1882" s="65"/>
      <c r="G1882" s="65"/>
      <c r="H1882" s="65"/>
      <c r="I1882" s="65"/>
      <c r="J1882" s="65"/>
      <c r="K1882" s="65" t="s">
        <v>1908</v>
      </c>
      <c r="L1882" s="65"/>
      <c r="M1882" s="65"/>
      <c r="N1882" s="65"/>
    </row>
    <row r="1883" spans="1:14" ht="12.75">
      <c r="A1883" s="65"/>
      <c r="B1883" s="65"/>
      <c r="C1883" s="65"/>
      <c r="D1883" s="65"/>
      <c r="E1883" s="65" t="str">
        <v>---</v>
      </c>
      <c r="F1883" s="65"/>
      <c r="G1883" s="65"/>
      <c r="H1883" s="65"/>
      <c r="I1883" s="65"/>
      <c r="J1883" s="65"/>
      <c r="K1883" s="65" t="s">
        <v>1909</v>
      </c>
      <c r="L1883" s="65"/>
      <c r="M1883" s="65"/>
      <c r="N1883" s="65"/>
    </row>
    <row r="1884" spans="1:14" ht="12.75">
      <c r="A1884" s="65"/>
      <c r="B1884" s="65"/>
      <c r="C1884" s="65"/>
      <c r="D1884" s="65"/>
      <c r="E1884" s="65" t="str">
        <v>---</v>
      </c>
      <c r="F1884" s="65"/>
      <c r="G1884" s="65"/>
      <c r="H1884" s="65"/>
      <c r="I1884" s="65"/>
      <c r="J1884" s="65"/>
      <c r="K1884" s="65" t="s">
        <v>1910</v>
      </c>
      <c r="L1884" s="65"/>
      <c r="M1884" s="65"/>
      <c r="N1884" s="65"/>
    </row>
    <row r="1885" spans="1:14" ht="12.75">
      <c r="A1885" s="65"/>
      <c r="B1885" s="65"/>
      <c r="C1885" s="65"/>
      <c r="D1885" s="65"/>
      <c r="E1885" s="65" t="str">
        <v>---</v>
      </c>
      <c r="F1885" s="65"/>
      <c r="G1885" s="65"/>
      <c r="H1885" s="65"/>
      <c r="I1885" s="65"/>
      <c r="J1885" s="65"/>
      <c r="K1885" s="65" t="s">
        <v>1911</v>
      </c>
      <c r="L1885" s="65"/>
      <c r="M1885" s="65"/>
      <c r="N1885" s="65"/>
    </row>
    <row r="1886" spans="1:14" ht="12.75">
      <c r="A1886" s="65"/>
      <c r="B1886" s="65"/>
      <c r="C1886" s="65"/>
      <c r="D1886" s="65"/>
      <c r="E1886" s="65" t="str">
        <v>---</v>
      </c>
      <c r="F1886" s="65"/>
      <c r="G1886" s="65"/>
      <c r="H1886" s="65"/>
      <c r="I1886" s="65"/>
      <c r="J1886" s="65"/>
      <c r="K1886" s="65" t="s">
        <v>1912</v>
      </c>
      <c r="L1886" s="65"/>
      <c r="M1886" s="65"/>
      <c r="N1886" s="65"/>
    </row>
    <row r="1887" spans="1:14" ht="12.75">
      <c r="A1887" s="65"/>
      <c r="B1887" s="65"/>
      <c r="C1887" s="65"/>
      <c r="D1887" s="65"/>
      <c r="E1887" s="65" t="str">
        <v>---</v>
      </c>
      <c r="F1887" s="65"/>
      <c r="G1887" s="65"/>
      <c r="H1887" s="65"/>
      <c r="I1887" s="65"/>
      <c r="J1887" s="65"/>
      <c r="K1887" s="65" t="s">
        <v>1913</v>
      </c>
      <c r="L1887" s="65"/>
      <c r="M1887" s="65"/>
      <c r="N1887" s="65"/>
    </row>
    <row r="1888" spans="1:14" ht="12.75">
      <c r="A1888" s="65"/>
      <c r="B1888" s="65"/>
      <c r="C1888" s="65"/>
      <c r="D1888" s="65"/>
      <c r="E1888" s="65" t="str">
        <v>---</v>
      </c>
      <c r="F1888" s="65"/>
      <c r="G1888" s="65"/>
      <c r="H1888" s="65"/>
      <c r="I1888" s="65"/>
      <c r="J1888" s="65"/>
      <c r="K1888" s="65" t="s">
        <v>1914</v>
      </c>
      <c r="L1888" s="65"/>
      <c r="M1888" s="65"/>
      <c r="N1888" s="65"/>
    </row>
    <row r="1889" spans="1:14" ht="12.75">
      <c r="A1889" s="65"/>
      <c r="B1889" s="65"/>
      <c r="C1889" s="65"/>
      <c r="D1889" s="65"/>
      <c r="E1889" s="65" t="str">
        <v>---</v>
      </c>
      <c r="F1889" s="65"/>
      <c r="G1889" s="65"/>
      <c r="H1889" s="65"/>
      <c r="I1889" s="65"/>
      <c r="J1889" s="65"/>
      <c r="K1889" s="65" t="s">
        <v>1915</v>
      </c>
      <c r="L1889" s="65"/>
      <c r="M1889" s="65"/>
      <c r="N1889" s="65"/>
    </row>
    <row r="1890" spans="1:14" ht="12.75">
      <c r="A1890" s="65"/>
      <c r="B1890" s="65"/>
      <c r="C1890" s="65"/>
      <c r="D1890" s="65"/>
      <c r="E1890" s="65" t="str">
        <v>---</v>
      </c>
      <c r="F1890" s="65"/>
      <c r="G1890" s="65"/>
      <c r="H1890" s="65"/>
      <c r="I1890" s="65"/>
      <c r="J1890" s="65"/>
      <c r="K1890" s="65" t="s">
        <v>1916</v>
      </c>
      <c r="L1890" s="65"/>
      <c r="M1890" s="65"/>
      <c r="N1890" s="65"/>
    </row>
    <row r="1891" spans="1:14" ht="12.75">
      <c r="A1891" s="65"/>
      <c r="B1891" s="65"/>
      <c r="C1891" s="65"/>
      <c r="D1891" s="65"/>
      <c r="E1891" s="65" t="str">
        <v>---</v>
      </c>
      <c r="F1891" s="65"/>
      <c r="G1891" s="65"/>
      <c r="H1891" s="65"/>
      <c r="I1891" s="65"/>
      <c r="J1891" s="65"/>
      <c r="K1891" s="65" t="s">
        <v>1917</v>
      </c>
      <c r="L1891" s="65"/>
      <c r="M1891" s="65"/>
      <c r="N1891" s="65"/>
    </row>
    <row r="1892" spans="1:14" ht="12.75">
      <c r="A1892" s="65"/>
      <c r="B1892" s="65"/>
      <c r="C1892" s="65"/>
      <c r="D1892" s="65"/>
      <c r="E1892" s="65" t="str">
        <v>---</v>
      </c>
      <c r="F1892" s="65"/>
      <c r="G1892" s="65"/>
      <c r="H1892" s="65"/>
      <c r="I1892" s="65"/>
      <c r="J1892" s="65"/>
      <c r="K1892" s="65" t="s">
        <v>1918</v>
      </c>
      <c r="L1892" s="65"/>
      <c r="M1892" s="65"/>
      <c r="N1892" s="65"/>
    </row>
    <row r="1893" spans="1:14" ht="12.75">
      <c r="A1893" s="65"/>
      <c r="B1893" s="65"/>
      <c r="C1893" s="65"/>
      <c r="D1893" s="65"/>
      <c r="E1893" s="65" t="str">
        <v>---</v>
      </c>
      <c r="F1893" s="65"/>
      <c r="G1893" s="65"/>
      <c r="H1893" s="65"/>
      <c r="I1893" s="65"/>
      <c r="J1893" s="65"/>
      <c r="K1893" s="65" t="s">
        <v>1919</v>
      </c>
      <c r="L1893" s="65"/>
      <c r="M1893" s="65"/>
      <c r="N1893" s="65"/>
    </row>
    <row r="1894" spans="1:14" ht="12.75">
      <c r="A1894" s="65"/>
      <c r="B1894" s="65"/>
      <c r="C1894" s="65"/>
      <c r="D1894" s="65"/>
      <c r="E1894" s="65" t="str">
        <v>---</v>
      </c>
      <c r="F1894" s="65"/>
      <c r="G1894" s="65"/>
      <c r="H1894" s="65"/>
      <c r="I1894" s="65"/>
      <c r="J1894" s="65"/>
      <c r="K1894" s="65" t="s">
        <v>1920</v>
      </c>
      <c r="L1894" s="65"/>
      <c r="M1894" s="65"/>
      <c r="N1894" s="65"/>
    </row>
    <row r="1895" spans="1:14" ht="12.75">
      <c r="A1895" s="65"/>
      <c r="B1895" s="65"/>
      <c r="C1895" s="65"/>
      <c r="D1895" s="65"/>
      <c r="E1895" s="65" t="str">
        <v>---</v>
      </c>
      <c r="F1895" s="65"/>
      <c r="G1895" s="65"/>
      <c r="H1895" s="65"/>
      <c r="I1895" s="65"/>
      <c r="J1895" s="65"/>
      <c r="K1895" s="65" t="s">
        <v>1921</v>
      </c>
      <c r="L1895" s="65"/>
      <c r="M1895" s="65"/>
      <c r="N1895" s="65"/>
    </row>
    <row r="1896" spans="1:14" ht="12.75">
      <c r="A1896" s="65"/>
      <c r="B1896" s="65"/>
      <c r="C1896" s="65"/>
      <c r="D1896" s="65"/>
      <c r="E1896" s="65" t="str">
        <v>---</v>
      </c>
      <c r="F1896" s="65"/>
      <c r="G1896" s="65"/>
      <c r="H1896" s="65"/>
      <c r="I1896" s="65"/>
      <c r="J1896" s="65"/>
      <c r="K1896" s="65" t="s">
        <v>1922</v>
      </c>
      <c r="L1896" s="65"/>
      <c r="M1896" s="65"/>
      <c r="N1896" s="65"/>
    </row>
    <row r="1897" spans="1:14" ht="12.75">
      <c r="A1897" s="65"/>
      <c r="B1897" s="65"/>
      <c r="C1897" s="65"/>
      <c r="D1897" s="65"/>
      <c r="E1897" s="65" t="str">
        <v>---</v>
      </c>
      <c r="F1897" s="65"/>
      <c r="G1897" s="65"/>
      <c r="H1897" s="65"/>
      <c r="I1897" s="65"/>
      <c r="J1897" s="65"/>
      <c r="K1897" s="65" t="s">
        <v>1923</v>
      </c>
      <c r="L1897" s="65"/>
      <c r="M1897" s="65"/>
      <c r="N1897" s="65"/>
    </row>
    <row r="1898" spans="1:14" ht="12.75">
      <c r="A1898" s="65"/>
      <c r="B1898" s="65"/>
      <c r="C1898" s="65"/>
      <c r="D1898" s="65"/>
      <c r="E1898" s="65" t="str">
        <v>---</v>
      </c>
      <c r="F1898" s="65"/>
      <c r="G1898" s="65"/>
      <c r="H1898" s="65"/>
      <c r="I1898" s="65"/>
      <c r="J1898" s="65"/>
      <c r="K1898" s="65" t="s">
        <v>1924</v>
      </c>
      <c r="L1898" s="65"/>
      <c r="M1898" s="65"/>
      <c r="N1898" s="65"/>
    </row>
    <row r="1899" spans="1:14" ht="12.75">
      <c r="A1899" s="65"/>
      <c r="B1899" s="65"/>
      <c r="C1899" s="65"/>
      <c r="D1899" s="65"/>
      <c r="E1899" s="65" t="str">
        <v>---</v>
      </c>
      <c r="F1899" s="65"/>
      <c r="G1899" s="65"/>
      <c r="H1899" s="65"/>
      <c r="I1899" s="65"/>
      <c r="J1899" s="65"/>
      <c r="K1899" s="65" t="s">
        <v>1925</v>
      </c>
      <c r="L1899" s="65"/>
      <c r="M1899" s="65"/>
      <c r="N1899" s="65"/>
    </row>
    <row r="1900" spans="1:14" ht="12.75">
      <c r="A1900" s="65"/>
      <c r="B1900" s="65"/>
      <c r="C1900" s="65"/>
      <c r="D1900" s="65"/>
      <c r="E1900" s="65" t="str">
        <v>---</v>
      </c>
      <c r="F1900" s="65"/>
      <c r="G1900" s="65"/>
      <c r="H1900" s="65"/>
      <c r="I1900" s="65"/>
      <c r="J1900" s="65"/>
      <c r="K1900" s="65" t="s">
        <v>1926</v>
      </c>
      <c r="L1900" s="65"/>
      <c r="M1900" s="65"/>
      <c r="N1900" s="65"/>
    </row>
    <row r="1901" spans="1:14" ht="12.75">
      <c r="A1901" s="65"/>
      <c r="B1901" s="65"/>
      <c r="C1901" s="65"/>
      <c r="D1901" s="65"/>
      <c r="E1901" s="65" t="str">
        <v>---</v>
      </c>
      <c r="F1901" s="65"/>
      <c r="G1901" s="65"/>
      <c r="H1901" s="65"/>
      <c r="I1901" s="65"/>
      <c r="J1901" s="65"/>
      <c r="K1901" s="65" t="s">
        <v>1927</v>
      </c>
      <c r="L1901" s="65"/>
      <c r="M1901" s="65"/>
      <c r="N1901" s="65"/>
    </row>
    <row r="1902" spans="1:14" ht="12.75">
      <c r="A1902" s="65"/>
      <c r="B1902" s="65"/>
      <c r="C1902" s="65"/>
      <c r="D1902" s="65"/>
      <c r="E1902" s="65" t="str">
        <v>---</v>
      </c>
      <c r="F1902" s="65"/>
      <c r="G1902" s="65"/>
      <c r="H1902" s="65"/>
      <c r="I1902" s="65"/>
      <c r="J1902" s="65"/>
      <c r="K1902" s="65" t="s">
        <v>1928</v>
      </c>
      <c r="L1902" s="65"/>
      <c r="M1902" s="65"/>
      <c r="N1902" s="65"/>
    </row>
    <row r="1903" spans="1:14" ht="12.75">
      <c r="A1903" s="65"/>
      <c r="B1903" s="65"/>
      <c r="C1903" s="65"/>
      <c r="D1903" s="65"/>
      <c r="E1903" s="65" t="str">
        <v>---</v>
      </c>
      <c r="F1903" s="65"/>
      <c r="G1903" s="65"/>
      <c r="H1903" s="65"/>
      <c r="I1903" s="65"/>
      <c r="J1903" s="65"/>
      <c r="K1903" s="65" t="s">
        <v>1929</v>
      </c>
      <c r="L1903" s="65"/>
      <c r="M1903" s="65"/>
      <c r="N1903" s="65"/>
    </row>
    <row r="1904" spans="1:14" ht="12.75">
      <c r="A1904" s="65"/>
      <c r="B1904" s="65"/>
      <c r="C1904" s="65"/>
      <c r="D1904" s="65"/>
      <c r="E1904" s="65" t="str">
        <v>---</v>
      </c>
      <c r="F1904" s="65"/>
      <c r="G1904" s="65"/>
      <c r="H1904" s="65"/>
      <c r="I1904" s="65"/>
      <c r="J1904" s="65"/>
      <c r="K1904" s="65" t="s">
        <v>1930</v>
      </c>
      <c r="L1904" s="65"/>
      <c r="M1904" s="65"/>
      <c r="N1904" s="65"/>
    </row>
    <row r="1905" spans="1:14" ht="12.75">
      <c r="A1905" s="65"/>
      <c r="B1905" s="65"/>
      <c r="C1905" s="65"/>
      <c r="D1905" s="65"/>
      <c r="E1905" s="65" t="str">
        <v>---</v>
      </c>
      <c r="F1905" s="65"/>
      <c r="G1905" s="65"/>
      <c r="H1905" s="65"/>
      <c r="I1905" s="65"/>
      <c r="J1905" s="65"/>
      <c r="K1905" s="65" t="s">
        <v>1931</v>
      </c>
      <c r="L1905" s="65"/>
      <c r="M1905" s="65"/>
      <c r="N1905" s="65"/>
    </row>
    <row r="1906" spans="1:14" ht="12.75">
      <c r="A1906" s="65"/>
      <c r="B1906" s="65"/>
      <c r="C1906" s="65"/>
      <c r="D1906" s="65"/>
      <c r="E1906" s="65" t="str">
        <v>---</v>
      </c>
      <c r="F1906" s="65"/>
      <c r="G1906" s="65"/>
      <c r="H1906" s="65"/>
      <c r="I1906" s="65"/>
      <c r="J1906" s="65"/>
      <c r="K1906" s="65" t="s">
        <v>1932</v>
      </c>
      <c r="L1906" s="65"/>
      <c r="M1906" s="65"/>
      <c r="N1906" s="65"/>
    </row>
    <row r="1907" spans="1:14" ht="12.75">
      <c r="A1907" s="65"/>
      <c r="B1907" s="65"/>
      <c r="C1907" s="65"/>
      <c r="D1907" s="65"/>
      <c r="E1907" s="65" t="str">
        <v>---</v>
      </c>
      <c r="F1907" s="65"/>
      <c r="G1907" s="65"/>
      <c r="H1907" s="65"/>
      <c r="I1907" s="65"/>
      <c r="J1907" s="65"/>
      <c r="K1907" s="65" t="s">
        <v>1933</v>
      </c>
      <c r="L1907" s="65"/>
      <c r="M1907" s="65"/>
      <c r="N1907" s="65"/>
    </row>
    <row r="1908" spans="1:14" ht="12.75">
      <c r="A1908" s="65"/>
      <c r="B1908" s="65"/>
      <c r="C1908" s="65"/>
      <c r="D1908" s="65"/>
      <c r="E1908" s="65" t="str">
        <v>---</v>
      </c>
      <c r="F1908" s="65"/>
      <c r="G1908" s="65"/>
      <c r="H1908" s="65"/>
      <c r="I1908" s="65"/>
      <c r="J1908" s="65"/>
      <c r="K1908" s="65" t="s">
        <v>1934</v>
      </c>
      <c r="L1908" s="65"/>
      <c r="M1908" s="65"/>
      <c r="N1908" s="65"/>
    </row>
    <row r="1909" spans="1:14" ht="12.75">
      <c r="A1909" s="65"/>
      <c r="B1909" s="65"/>
      <c r="C1909" s="65"/>
      <c r="D1909" s="65"/>
      <c r="E1909" s="65" t="str">
        <v>---</v>
      </c>
      <c r="F1909" s="65"/>
      <c r="G1909" s="65"/>
      <c r="H1909" s="65"/>
      <c r="I1909" s="65"/>
      <c r="J1909" s="65"/>
      <c r="K1909" s="65" t="s">
        <v>1935</v>
      </c>
      <c r="L1909" s="65"/>
      <c r="M1909" s="65"/>
      <c r="N1909" s="65"/>
    </row>
    <row r="1910" spans="1:14" ht="12.75">
      <c r="A1910" s="65"/>
      <c r="B1910" s="65"/>
      <c r="C1910" s="65"/>
      <c r="D1910" s="65"/>
      <c r="E1910" s="65" t="str">
        <v>---</v>
      </c>
      <c r="F1910" s="65"/>
      <c r="G1910" s="65"/>
      <c r="H1910" s="65"/>
      <c r="I1910" s="65"/>
      <c r="J1910" s="65"/>
      <c r="K1910" s="65" t="s">
        <v>1936</v>
      </c>
      <c r="L1910" s="65"/>
      <c r="M1910" s="65"/>
      <c r="N1910" s="65"/>
    </row>
    <row r="1911" spans="1:14" ht="12.75">
      <c r="A1911" s="65"/>
      <c r="B1911" s="65"/>
      <c r="C1911" s="65"/>
      <c r="D1911" s="65"/>
      <c r="E1911" s="65" t="str">
        <v>---</v>
      </c>
      <c r="F1911" s="65"/>
      <c r="G1911" s="65"/>
      <c r="H1911" s="65"/>
      <c r="I1911" s="65"/>
      <c r="J1911" s="65"/>
      <c r="K1911" s="65" t="s">
        <v>1937</v>
      </c>
      <c r="L1911" s="65"/>
      <c r="M1911" s="65"/>
      <c r="N1911" s="65"/>
    </row>
    <row r="1912" spans="1:14" ht="12.75">
      <c r="A1912" s="65"/>
      <c r="B1912" s="65"/>
      <c r="C1912" s="65"/>
      <c r="D1912" s="65"/>
      <c r="E1912" s="65" t="str">
        <v>---</v>
      </c>
      <c r="F1912" s="65"/>
      <c r="G1912" s="65"/>
      <c r="H1912" s="65"/>
      <c r="I1912" s="65"/>
      <c r="J1912" s="65"/>
      <c r="K1912" s="65" t="s">
        <v>1938</v>
      </c>
      <c r="L1912" s="65"/>
      <c r="M1912" s="65"/>
      <c r="N1912" s="65"/>
    </row>
    <row r="1913" spans="1:14" ht="12.75">
      <c r="A1913" s="65"/>
      <c r="B1913" s="65"/>
      <c r="C1913" s="65"/>
      <c r="D1913" s="65"/>
      <c r="E1913" s="65" t="str">
        <v>---</v>
      </c>
      <c r="F1913" s="65"/>
      <c r="G1913" s="65"/>
      <c r="H1913" s="65"/>
      <c r="I1913" s="65"/>
      <c r="J1913" s="65"/>
      <c r="K1913" s="65" t="s">
        <v>1939</v>
      </c>
      <c r="L1913" s="65"/>
      <c r="M1913" s="65"/>
      <c r="N1913" s="65"/>
    </row>
    <row r="1914" spans="1:14" ht="12.75">
      <c r="A1914" s="65"/>
      <c r="B1914" s="65"/>
      <c r="C1914" s="65"/>
      <c r="D1914" s="65"/>
      <c r="E1914" s="65" t="str">
        <v>---</v>
      </c>
      <c r="F1914" s="65"/>
      <c r="G1914" s="65"/>
      <c r="H1914" s="65"/>
      <c r="I1914" s="65"/>
      <c r="J1914" s="65"/>
      <c r="K1914" s="65" t="s">
        <v>1940</v>
      </c>
      <c r="L1914" s="65"/>
      <c r="M1914" s="65"/>
      <c r="N1914" s="65"/>
    </row>
    <row r="1915" spans="1:14" ht="12.75">
      <c r="A1915" s="65"/>
      <c r="B1915" s="65"/>
      <c r="C1915" s="65"/>
      <c r="D1915" s="65"/>
      <c r="E1915" s="65" t="str">
        <v>---</v>
      </c>
      <c r="F1915" s="65"/>
      <c r="G1915" s="65"/>
      <c r="H1915" s="65"/>
      <c r="I1915" s="65"/>
      <c r="J1915" s="65"/>
      <c r="K1915" s="65" t="s">
        <v>1941</v>
      </c>
      <c r="L1915" s="65"/>
      <c r="M1915" s="65"/>
      <c r="N1915" s="65"/>
    </row>
    <row r="1916" spans="1:14" ht="12.75">
      <c r="A1916" s="65"/>
      <c r="B1916" s="65"/>
      <c r="C1916" s="65"/>
      <c r="D1916" s="65"/>
      <c r="E1916" s="65" t="str">
        <v>---</v>
      </c>
      <c r="F1916" s="65"/>
      <c r="G1916" s="65"/>
      <c r="H1916" s="65"/>
      <c r="I1916" s="65"/>
      <c r="J1916" s="65"/>
      <c r="K1916" s="65" t="s">
        <v>1942</v>
      </c>
      <c r="L1916" s="65"/>
      <c r="M1916" s="65"/>
      <c r="N1916" s="65"/>
    </row>
    <row r="1917" spans="1:14" ht="12.75">
      <c r="A1917" s="65"/>
      <c r="B1917" s="65"/>
      <c r="C1917" s="65"/>
      <c r="D1917" s="65"/>
      <c r="E1917" s="65" t="str">
        <v>---</v>
      </c>
      <c r="F1917" s="65"/>
      <c r="G1917" s="65"/>
      <c r="H1917" s="65"/>
      <c r="I1917" s="65"/>
      <c r="J1917" s="65"/>
      <c r="K1917" s="65" t="s">
        <v>1943</v>
      </c>
      <c r="L1917" s="65"/>
      <c r="M1917" s="65"/>
      <c r="N1917" s="65"/>
    </row>
    <row r="1918" spans="1:14" ht="12.75">
      <c r="A1918" s="65"/>
      <c r="B1918" s="65"/>
      <c r="C1918" s="65"/>
      <c r="D1918" s="65"/>
      <c r="E1918" s="65" t="str">
        <v>---</v>
      </c>
      <c r="F1918" s="65"/>
      <c r="G1918" s="65"/>
      <c r="H1918" s="65"/>
      <c r="I1918" s="65"/>
      <c r="J1918" s="65"/>
      <c r="K1918" s="65" t="s">
        <v>1944</v>
      </c>
      <c r="L1918" s="65"/>
      <c r="M1918" s="65"/>
      <c r="N1918" s="65"/>
    </row>
    <row r="1919" spans="1:14" ht="12.75">
      <c r="A1919" s="65"/>
      <c r="B1919" s="65"/>
      <c r="C1919" s="65"/>
      <c r="D1919" s="65"/>
      <c r="E1919" s="65" t="str">
        <v>---</v>
      </c>
      <c r="F1919" s="65"/>
      <c r="G1919" s="65"/>
      <c r="H1919" s="65"/>
      <c r="I1919" s="65"/>
      <c r="J1919" s="65"/>
      <c r="K1919" s="65" t="s">
        <v>1945</v>
      </c>
      <c r="L1919" s="65"/>
      <c r="M1919" s="65"/>
      <c r="N1919" s="65"/>
    </row>
    <row r="1920" spans="1:14" ht="12.75">
      <c r="A1920" s="65"/>
      <c r="B1920" s="65"/>
      <c r="C1920" s="65"/>
      <c r="D1920" s="65"/>
      <c r="E1920" s="65" t="str">
        <v>---</v>
      </c>
      <c r="F1920" s="65"/>
      <c r="G1920" s="65"/>
      <c r="H1920" s="65"/>
      <c r="I1920" s="65"/>
      <c r="J1920" s="65"/>
      <c r="K1920" s="65" t="s">
        <v>1946</v>
      </c>
      <c r="L1920" s="65"/>
      <c r="M1920" s="65"/>
      <c r="N1920" s="65"/>
    </row>
    <row r="1921" spans="1:14" ht="12.75">
      <c r="A1921" s="65"/>
      <c r="B1921" s="65"/>
      <c r="C1921" s="65"/>
      <c r="D1921" s="65"/>
      <c r="E1921" s="65" t="str">
        <v>---</v>
      </c>
      <c r="F1921" s="65"/>
      <c r="G1921" s="65"/>
      <c r="H1921" s="65"/>
      <c r="I1921" s="65"/>
      <c r="J1921" s="65"/>
      <c r="K1921" s="65" t="s">
        <v>1947</v>
      </c>
      <c r="L1921" s="65"/>
      <c r="M1921" s="65"/>
      <c r="N1921" s="65"/>
    </row>
    <row r="1922" spans="1:14" ht="12.75">
      <c r="A1922" s="65"/>
      <c r="B1922" s="65"/>
      <c r="C1922" s="65"/>
      <c r="D1922" s="65"/>
      <c r="E1922" s="65" t="str">
        <v>---</v>
      </c>
      <c r="F1922" s="65"/>
      <c r="G1922" s="65"/>
      <c r="H1922" s="65"/>
      <c r="I1922" s="65"/>
      <c r="J1922" s="65"/>
      <c r="K1922" s="65" t="s">
        <v>1948</v>
      </c>
      <c r="L1922" s="65"/>
      <c r="M1922" s="65"/>
      <c r="N1922" s="65"/>
    </row>
    <row r="1923" spans="1:14" ht="12.75">
      <c r="A1923" s="65"/>
      <c r="B1923" s="65"/>
      <c r="C1923" s="65"/>
      <c r="D1923" s="65"/>
      <c r="E1923" s="65" t="str">
        <v>---</v>
      </c>
      <c r="F1923" s="65"/>
      <c r="G1923" s="65"/>
      <c r="H1923" s="65"/>
      <c r="I1923" s="65"/>
      <c r="J1923" s="65"/>
      <c r="K1923" s="65" t="s">
        <v>1949</v>
      </c>
      <c r="L1923" s="65"/>
      <c r="M1923" s="65"/>
      <c r="N1923" s="65"/>
    </row>
    <row r="1924" spans="1:14" ht="12.75">
      <c r="A1924" s="65"/>
      <c r="B1924" s="65"/>
      <c r="C1924" s="65"/>
      <c r="D1924" s="65"/>
      <c r="E1924" s="65" t="str">
        <v>---</v>
      </c>
      <c r="F1924" s="65"/>
      <c r="G1924" s="65"/>
      <c r="H1924" s="65"/>
      <c r="I1924" s="65"/>
      <c r="J1924" s="65"/>
      <c r="K1924" s="65" t="s">
        <v>1950</v>
      </c>
      <c r="L1924" s="65"/>
      <c r="M1924" s="65"/>
      <c r="N1924" s="65"/>
    </row>
    <row r="1925" spans="1:14" ht="12.75">
      <c r="A1925" s="65"/>
      <c r="B1925" s="65"/>
      <c r="C1925" s="65"/>
      <c r="D1925" s="65"/>
      <c r="E1925" s="65" t="str">
        <v>---</v>
      </c>
      <c r="F1925" s="65"/>
      <c r="G1925" s="65"/>
      <c r="H1925" s="65"/>
      <c r="I1925" s="65"/>
      <c r="J1925" s="65"/>
      <c r="K1925" s="65" t="s">
        <v>1951</v>
      </c>
      <c r="L1925" s="65"/>
      <c r="M1925" s="65"/>
      <c r="N1925" s="65"/>
    </row>
    <row r="1926" spans="1:14" ht="12.75">
      <c r="A1926" s="65"/>
      <c r="B1926" s="65"/>
      <c r="C1926" s="65"/>
      <c r="D1926" s="65"/>
      <c r="E1926" s="65" t="str">
        <v>---</v>
      </c>
      <c r="F1926" s="65"/>
      <c r="G1926" s="65"/>
      <c r="H1926" s="65"/>
      <c r="I1926" s="65"/>
      <c r="J1926" s="65"/>
      <c r="K1926" s="65" t="s">
        <v>1952</v>
      </c>
      <c r="L1926" s="65"/>
      <c r="M1926" s="65"/>
      <c r="N1926" s="65"/>
    </row>
    <row r="1927" spans="1:14" ht="12.75">
      <c r="A1927" s="65"/>
      <c r="B1927" s="65"/>
      <c r="C1927" s="65"/>
      <c r="D1927" s="65"/>
      <c r="E1927" s="65" t="str">
        <v>---</v>
      </c>
      <c r="F1927" s="65"/>
      <c r="G1927" s="65"/>
      <c r="H1927" s="65"/>
      <c r="I1927" s="65"/>
      <c r="J1927" s="65"/>
      <c r="K1927" s="65" t="s">
        <v>1953</v>
      </c>
      <c r="L1927" s="65"/>
      <c r="M1927" s="65"/>
      <c r="N1927" s="65"/>
    </row>
    <row r="1928" spans="1:14" ht="12.75">
      <c r="A1928" s="65"/>
      <c r="B1928" s="65"/>
      <c r="C1928" s="65"/>
      <c r="D1928" s="65"/>
      <c r="E1928" s="65" t="str">
        <v>---</v>
      </c>
      <c r="F1928" s="65"/>
      <c r="G1928" s="65"/>
      <c r="H1928" s="65"/>
      <c r="I1928" s="65"/>
      <c r="J1928" s="65"/>
      <c r="K1928" s="65" t="s">
        <v>1954</v>
      </c>
      <c r="L1928" s="65"/>
      <c r="M1928" s="65"/>
      <c r="N1928" s="65"/>
    </row>
    <row r="1929" spans="1:14" ht="12.75">
      <c r="A1929" s="65"/>
      <c r="B1929" s="65"/>
      <c r="C1929" s="65"/>
      <c r="D1929" s="65"/>
      <c r="E1929" s="65" t="str">
        <v>---</v>
      </c>
      <c r="F1929" s="65"/>
      <c r="G1929" s="65"/>
      <c r="H1929" s="65"/>
      <c r="I1929" s="65"/>
      <c r="J1929" s="65"/>
      <c r="K1929" s="65" t="s">
        <v>1955</v>
      </c>
      <c r="L1929" s="65"/>
      <c r="M1929" s="65"/>
      <c r="N1929" s="65"/>
    </row>
    <row r="1930" spans="1:14" ht="12.75">
      <c r="A1930" s="65"/>
      <c r="B1930" s="65"/>
      <c r="C1930" s="65"/>
      <c r="D1930" s="65"/>
      <c r="E1930" s="65" t="str">
        <v>---</v>
      </c>
      <c r="F1930" s="65"/>
      <c r="G1930" s="65"/>
      <c r="H1930" s="65"/>
      <c r="I1930" s="65"/>
      <c r="J1930" s="65"/>
      <c r="K1930" s="65" t="s">
        <v>1956</v>
      </c>
      <c r="L1930" s="65"/>
      <c r="M1930" s="65"/>
      <c r="N1930" s="65"/>
    </row>
    <row r="1931" spans="1:14" ht="12.75">
      <c r="A1931" s="65"/>
      <c r="B1931" s="65"/>
      <c r="C1931" s="65"/>
      <c r="D1931" s="65"/>
      <c r="E1931" s="65" t="str">
        <v>---</v>
      </c>
      <c r="F1931" s="65"/>
      <c r="G1931" s="65"/>
      <c r="H1931" s="65"/>
      <c r="I1931" s="65"/>
      <c r="J1931" s="65"/>
      <c r="K1931" s="65" t="s">
        <v>1957</v>
      </c>
      <c r="L1931" s="65"/>
      <c r="M1931" s="65"/>
      <c r="N1931" s="65"/>
    </row>
    <row r="1932" spans="1:14" ht="12.75">
      <c r="A1932" s="65"/>
      <c r="B1932" s="65"/>
      <c r="C1932" s="65"/>
      <c r="D1932" s="65"/>
      <c r="E1932" s="65" t="str">
        <v>---</v>
      </c>
      <c r="F1932" s="65"/>
      <c r="G1932" s="65"/>
      <c r="H1932" s="65"/>
      <c r="I1932" s="65"/>
      <c r="J1932" s="65"/>
      <c r="K1932" s="65" t="s">
        <v>1958</v>
      </c>
      <c r="L1932" s="65"/>
      <c r="M1932" s="65"/>
      <c r="N1932" s="65"/>
    </row>
    <row r="1933" spans="1:14" ht="12.75">
      <c r="A1933" s="65"/>
      <c r="B1933" s="65"/>
      <c r="C1933" s="65"/>
      <c r="D1933" s="65"/>
      <c r="E1933" s="65" t="str">
        <v>---</v>
      </c>
      <c r="F1933" s="65"/>
      <c r="G1933" s="65"/>
      <c r="H1933" s="65"/>
      <c r="I1933" s="65"/>
      <c r="J1933" s="65"/>
      <c r="K1933" s="65" t="s">
        <v>1959</v>
      </c>
      <c r="L1933" s="65"/>
      <c r="M1933" s="65"/>
      <c r="N1933" s="65"/>
    </row>
    <row r="1934" spans="1:14" ht="12.75">
      <c r="A1934" s="65"/>
      <c r="B1934" s="65"/>
      <c r="C1934" s="65"/>
      <c r="D1934" s="65"/>
      <c r="E1934" s="65" t="str">
        <v>---</v>
      </c>
      <c r="F1934" s="65"/>
      <c r="G1934" s="65"/>
      <c r="H1934" s="65"/>
      <c r="I1934" s="65"/>
      <c r="J1934" s="65"/>
      <c r="K1934" s="65" t="s">
        <v>1960</v>
      </c>
      <c r="L1934" s="65"/>
      <c r="M1934" s="65"/>
      <c r="N1934" s="65"/>
    </row>
    <row r="1935" spans="1:14" ht="12.75">
      <c r="A1935" s="65"/>
      <c r="B1935" s="65"/>
      <c r="C1935" s="65"/>
      <c r="D1935" s="65"/>
      <c r="E1935" s="65" t="str">
        <v>---</v>
      </c>
      <c r="F1935" s="65"/>
      <c r="G1935" s="65"/>
      <c r="H1935" s="65"/>
      <c r="I1935" s="65"/>
      <c r="J1935" s="65"/>
      <c r="K1935" s="65" t="s">
        <v>1961</v>
      </c>
      <c r="L1935" s="65"/>
      <c r="M1935" s="65"/>
      <c r="N1935" s="65"/>
    </row>
    <row r="1936" spans="1:14" ht="12.75">
      <c r="A1936" s="65"/>
      <c r="B1936" s="65"/>
      <c r="C1936" s="65"/>
      <c r="D1936" s="65"/>
      <c r="E1936" s="65" t="str">
        <v>---</v>
      </c>
      <c r="F1936" s="65"/>
      <c r="G1936" s="65"/>
      <c r="H1936" s="65"/>
      <c r="I1936" s="65"/>
      <c r="J1936" s="65"/>
      <c r="K1936" s="65" t="s">
        <v>1962</v>
      </c>
      <c r="L1936" s="65"/>
      <c r="M1936" s="65"/>
      <c r="N1936" s="65"/>
    </row>
    <row r="1937" spans="1:14" ht="12.75">
      <c r="A1937" s="65"/>
      <c r="B1937" s="65"/>
      <c r="C1937" s="65"/>
      <c r="D1937" s="65"/>
      <c r="E1937" s="65" t="str">
        <v>---</v>
      </c>
      <c r="F1937" s="65"/>
      <c r="G1937" s="65"/>
      <c r="H1937" s="65"/>
      <c r="I1937" s="65"/>
      <c r="J1937" s="65"/>
      <c r="K1937" s="65" t="s">
        <v>1963</v>
      </c>
      <c r="L1937" s="65"/>
      <c r="M1937" s="65"/>
      <c r="N1937" s="65"/>
    </row>
    <row r="1938" spans="1:14" ht="12.75">
      <c r="A1938" s="65"/>
      <c r="B1938" s="65"/>
      <c r="C1938" s="65"/>
      <c r="D1938" s="65"/>
      <c r="E1938" s="65" t="str">
        <v>---</v>
      </c>
      <c r="F1938" s="65"/>
      <c r="G1938" s="65"/>
      <c r="H1938" s="65"/>
      <c r="I1938" s="65"/>
      <c r="J1938" s="65"/>
      <c r="K1938" s="65" t="s">
        <v>1964</v>
      </c>
      <c r="L1938" s="65"/>
      <c r="M1938" s="65"/>
      <c r="N1938" s="65"/>
    </row>
    <row r="1939" spans="1:14" ht="12.75">
      <c r="A1939" s="65"/>
      <c r="B1939" s="65"/>
      <c r="C1939" s="65"/>
      <c r="D1939" s="65"/>
      <c r="E1939" s="65" t="str">
        <v>---</v>
      </c>
      <c r="F1939" s="65"/>
      <c r="G1939" s="65"/>
      <c r="H1939" s="65"/>
      <c r="I1939" s="65"/>
      <c r="J1939" s="65"/>
      <c r="K1939" s="65" t="s">
        <v>1965</v>
      </c>
      <c r="L1939" s="65"/>
      <c r="M1939" s="65"/>
      <c r="N1939" s="65"/>
    </row>
    <row r="1940" spans="1:14" ht="12.75">
      <c r="A1940" s="65"/>
      <c r="B1940" s="65"/>
      <c r="C1940" s="65"/>
      <c r="D1940" s="65"/>
      <c r="E1940" s="65" t="str">
        <v>---</v>
      </c>
      <c r="F1940" s="65"/>
      <c r="G1940" s="65"/>
      <c r="H1940" s="65"/>
      <c r="I1940" s="65"/>
      <c r="J1940" s="65"/>
      <c r="K1940" s="65" t="s">
        <v>1966</v>
      </c>
      <c r="L1940" s="65"/>
      <c r="M1940" s="65"/>
      <c r="N1940" s="65"/>
    </row>
    <row r="1941" spans="1:14" ht="12.75">
      <c r="A1941" s="65"/>
      <c r="B1941" s="65"/>
      <c r="C1941" s="65"/>
      <c r="D1941" s="65"/>
      <c r="E1941" s="65" t="str">
        <v>---</v>
      </c>
      <c r="F1941" s="65"/>
      <c r="G1941" s="65"/>
      <c r="H1941" s="65"/>
      <c r="I1941" s="65"/>
      <c r="J1941" s="65"/>
      <c r="K1941" s="65" t="s">
        <v>1967</v>
      </c>
      <c r="L1941" s="65"/>
      <c r="M1941" s="65"/>
      <c r="N1941" s="65"/>
    </row>
    <row r="1942" spans="1:14" ht="12.75">
      <c r="A1942" s="65"/>
      <c r="B1942" s="65"/>
      <c r="C1942" s="65"/>
      <c r="D1942" s="65"/>
      <c r="E1942" s="65" t="str">
        <v>---</v>
      </c>
      <c r="F1942" s="65"/>
      <c r="G1942" s="65"/>
      <c r="H1942" s="65"/>
      <c r="I1942" s="65"/>
      <c r="J1942" s="65"/>
      <c r="K1942" s="65" t="s">
        <v>1968</v>
      </c>
      <c r="L1942" s="65"/>
      <c r="M1942" s="65"/>
      <c r="N1942" s="65"/>
    </row>
    <row r="1943" spans="1:14" ht="12.75">
      <c r="A1943" s="65"/>
      <c r="B1943" s="65"/>
      <c r="C1943" s="65"/>
      <c r="D1943" s="65"/>
      <c r="E1943" s="65" t="str">
        <v>---</v>
      </c>
      <c r="F1943" s="65"/>
      <c r="G1943" s="65"/>
      <c r="H1943" s="65"/>
      <c r="I1943" s="65"/>
      <c r="J1943" s="65"/>
      <c r="K1943" s="65" t="s">
        <v>1699</v>
      </c>
      <c r="L1943" s="65"/>
      <c r="M1943" s="65"/>
      <c r="N1943" s="65"/>
    </row>
  </sheetData>
  <dataValidations count="2">
    <dataValidation type="list" allowBlank="1" showErrorMessage="1" sqref="A1:A1943" xr:uid="{00000000-0002-0000-0400-000000000000}">
      <formula1>"Jaggampeta,Kakinada Rural,Peddapuram,Pithapuram,Prathipadu,Tuni,Kakinada Urban"</formula1>
    </dataValidation>
    <dataValidation type="list" allowBlank="1" showErrorMessage="1" sqref="B2:B1943" xr:uid="{00000000-0002-0000-0400-000001000000}">
      <formula1>"Kotananduru,Thondangi,Tuni,Tuni Town,Sankhavaram,Rowthulapudi,Prathipadu,Yeleswaram,Yeleswaram Town,Gollaprolu,Gollaprolu Town,Pithapuram,Pithapuram Town,Kothapalle,Kakinada (Rural),Karapa,Samalkota,Samalkota Town,Peddapuram,Peddapuram Town,Kakinada City,"&amp;"Gandepalle,Kirlampudi,Gokavaram,Jaggampeta"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281"/>
  <sheetViews>
    <sheetView workbookViewId="0"/>
  </sheetViews>
  <sheetFormatPr defaultColWidth="12.59765625" defaultRowHeight="15.75" customHeight="1"/>
  <sheetData>
    <row r="1" spans="1:25" ht="15.75" customHeight="1">
      <c r="A1" s="69" t="s">
        <v>2016</v>
      </c>
      <c r="B1" s="69" t="s">
        <v>2017</v>
      </c>
      <c r="C1" s="69" t="s">
        <v>2018</v>
      </c>
      <c r="D1" s="69" t="s">
        <v>2019</v>
      </c>
      <c r="E1" s="69" t="s">
        <v>2020</v>
      </c>
      <c r="F1" s="69" t="s">
        <v>2021</v>
      </c>
      <c r="G1" s="69" t="s">
        <v>2022</v>
      </c>
      <c r="H1" s="69" t="s">
        <v>2023</v>
      </c>
      <c r="I1" s="69" t="s">
        <v>2024</v>
      </c>
      <c r="J1" s="69" t="s">
        <v>2025</v>
      </c>
      <c r="K1" s="69" t="s">
        <v>2026</v>
      </c>
      <c r="L1" s="69" t="s">
        <v>2027</v>
      </c>
      <c r="M1" s="69" t="s">
        <v>2028</v>
      </c>
      <c r="N1" s="69" t="s">
        <v>2029</v>
      </c>
      <c r="O1" s="69" t="s">
        <v>2030</v>
      </c>
      <c r="P1" s="69" t="s">
        <v>2029</v>
      </c>
      <c r="Q1" s="69" t="s">
        <v>2031</v>
      </c>
      <c r="R1" s="69" t="s">
        <v>2029</v>
      </c>
      <c r="S1" s="69" t="s">
        <v>2032</v>
      </c>
      <c r="T1" s="69" t="s">
        <v>2029</v>
      </c>
      <c r="U1" s="70" t="s">
        <v>2033</v>
      </c>
      <c r="V1" s="71" t="s">
        <v>2034</v>
      </c>
      <c r="W1" s="72" t="s">
        <v>2035</v>
      </c>
      <c r="X1" s="67"/>
      <c r="Y1" s="71" t="s">
        <v>2036</v>
      </c>
    </row>
    <row r="2" spans="1:25">
      <c r="A2" s="73" t="s">
        <v>10</v>
      </c>
      <c r="B2" s="73" t="s">
        <v>430</v>
      </c>
      <c r="C2" s="73" t="str">
        <f ca="1">IFERROR(__xludf.DUMMYFUNCTION("filter('Back End'!C:C,'Back End'!A:A=A2,'Back End'!B:B=B2,'Back End'!D:D=D2)"),"#REF!")</f>
        <v>#REF!</v>
      </c>
      <c r="D2" s="73" t="s">
        <v>817</v>
      </c>
      <c r="E2" s="73" t="s">
        <v>100</v>
      </c>
      <c r="F2" s="74"/>
      <c r="G2" s="73" t="s">
        <v>1590</v>
      </c>
      <c r="H2" s="73" t="s">
        <v>2037</v>
      </c>
      <c r="I2" s="73" t="s">
        <v>2038</v>
      </c>
      <c r="J2" s="73" t="s">
        <v>2039</v>
      </c>
      <c r="K2" s="73" t="s">
        <v>2040</v>
      </c>
      <c r="L2" s="73" t="s">
        <v>2041</v>
      </c>
      <c r="M2" s="73" t="s">
        <v>1591</v>
      </c>
      <c r="N2" s="73" t="s">
        <v>2042</v>
      </c>
      <c r="O2" s="73" t="s">
        <v>1596</v>
      </c>
      <c r="P2" s="73" t="s">
        <v>2042</v>
      </c>
      <c r="Q2" s="73" t="s">
        <v>1591</v>
      </c>
      <c r="R2" s="73" t="s">
        <v>2042</v>
      </c>
      <c r="S2" s="73" t="s">
        <v>2043</v>
      </c>
      <c r="T2" s="73" t="s">
        <v>2044</v>
      </c>
      <c r="U2" s="74"/>
      <c r="V2" s="67"/>
      <c r="W2" s="71" t="s">
        <v>2045</v>
      </c>
      <c r="X2" s="67"/>
      <c r="Y2" s="67"/>
    </row>
    <row r="3" spans="1:25">
      <c r="A3" s="73" t="s">
        <v>8</v>
      </c>
      <c r="B3" s="73" t="s">
        <v>8</v>
      </c>
      <c r="C3" s="73" t="str">
        <f ca="1">IFERROR(__xludf.DUMMYFUNCTION("filter('Back End'!C:C,'Back End'!A:A=A3,'Back End'!B:B=B3,'Back End'!D:D=D3)"),"#REF!")</f>
        <v>#REF!</v>
      </c>
      <c r="D3" s="73" t="s">
        <v>575</v>
      </c>
      <c r="E3" s="73" t="s">
        <v>100</v>
      </c>
      <c r="F3" s="74"/>
      <c r="G3" s="73" t="s">
        <v>1590</v>
      </c>
      <c r="H3" s="73" t="s">
        <v>2046</v>
      </c>
      <c r="I3" s="73" t="s">
        <v>2038</v>
      </c>
      <c r="J3" s="73" t="s">
        <v>2047</v>
      </c>
      <c r="K3" s="73" t="s">
        <v>2048</v>
      </c>
      <c r="L3" s="73" t="s">
        <v>2049</v>
      </c>
      <c r="M3" s="73" t="s">
        <v>1591</v>
      </c>
      <c r="N3" s="73" t="s">
        <v>2042</v>
      </c>
      <c r="O3" s="73" t="s">
        <v>2050</v>
      </c>
      <c r="P3" s="73" t="s">
        <v>2051</v>
      </c>
      <c r="Q3" s="73" t="s">
        <v>1591</v>
      </c>
      <c r="R3" s="73" t="s">
        <v>2042</v>
      </c>
      <c r="S3" s="73" t="s">
        <v>2052</v>
      </c>
      <c r="T3" s="73" t="s">
        <v>2053</v>
      </c>
      <c r="U3" s="74"/>
      <c r="V3" s="67"/>
      <c r="W3" s="71" t="s">
        <v>2054</v>
      </c>
      <c r="X3" s="67"/>
      <c r="Y3" s="67"/>
    </row>
    <row r="4" spans="1:25">
      <c r="A4" s="73" t="s">
        <v>8</v>
      </c>
      <c r="B4" s="73" t="s">
        <v>633</v>
      </c>
      <c r="C4" s="73" t="str">
        <f ca="1">IFERROR(__xludf.DUMMYFUNCTION("filter('Back End'!C:C,'Back End'!A:A=A4,'Back End'!B:B=B4,'Back End'!D:D=D4)"),"#REF!")</f>
        <v>#REF!</v>
      </c>
      <c r="D4" s="73" t="s">
        <v>647</v>
      </c>
      <c r="E4" s="73" t="s">
        <v>90</v>
      </c>
      <c r="F4" s="73" t="s">
        <v>1595</v>
      </c>
      <c r="G4" s="73" t="s">
        <v>1595</v>
      </c>
      <c r="H4" s="73" t="s">
        <v>2055</v>
      </c>
      <c r="I4" s="73" t="s">
        <v>2038</v>
      </c>
      <c r="J4" s="73" t="s">
        <v>2056</v>
      </c>
      <c r="K4" s="73" t="s">
        <v>2048</v>
      </c>
      <c r="L4" s="73" t="s">
        <v>2057</v>
      </c>
      <c r="M4" s="73" t="s">
        <v>1591</v>
      </c>
      <c r="N4" s="73" t="s">
        <v>2042</v>
      </c>
      <c r="O4" s="73" t="s">
        <v>1591</v>
      </c>
      <c r="P4" s="73" t="s">
        <v>2042</v>
      </c>
      <c r="Q4" s="73" t="s">
        <v>2050</v>
      </c>
      <c r="R4" s="73" t="s">
        <v>2051</v>
      </c>
      <c r="S4" s="73" t="s">
        <v>2043</v>
      </c>
      <c r="T4" s="73" t="s">
        <v>2044</v>
      </c>
      <c r="U4" s="74"/>
      <c r="V4" s="67"/>
      <c r="W4" s="71" t="s">
        <v>2045</v>
      </c>
      <c r="X4" s="67"/>
      <c r="Y4" s="71" t="s">
        <v>2058</v>
      </c>
    </row>
    <row r="5" spans="1:25">
      <c r="A5" s="73" t="s">
        <v>10</v>
      </c>
      <c r="B5" s="73" t="s">
        <v>10</v>
      </c>
      <c r="C5" s="73" t="str">
        <f ca="1">IFERROR(__xludf.DUMMYFUNCTION("filter('Back End'!C:C,'Back End'!A:A=A5,'Back End'!B:B=B5,'Back End'!D:D=D5)"),"#REF!")</f>
        <v>#REF!</v>
      </c>
      <c r="D5" s="73" t="s">
        <v>518</v>
      </c>
      <c r="E5" s="73" t="s">
        <v>90</v>
      </c>
      <c r="F5" s="74"/>
      <c r="G5" s="73" t="s">
        <v>2059</v>
      </c>
      <c r="H5" s="73" t="s">
        <v>2046</v>
      </c>
      <c r="I5" s="73" t="s">
        <v>2038</v>
      </c>
      <c r="J5" s="73" t="s">
        <v>2060</v>
      </c>
      <c r="K5" s="73" t="s">
        <v>2048</v>
      </c>
      <c r="L5" s="73" t="s">
        <v>2061</v>
      </c>
      <c r="M5" s="73" t="s">
        <v>1591</v>
      </c>
      <c r="N5" s="73" t="s">
        <v>2042</v>
      </c>
      <c r="O5" s="73" t="s">
        <v>1591</v>
      </c>
      <c r="P5" s="73" t="s">
        <v>2042</v>
      </c>
      <c r="Q5" s="73" t="s">
        <v>1591</v>
      </c>
      <c r="R5" s="73" t="s">
        <v>2042</v>
      </c>
      <c r="S5" s="73" t="s">
        <v>2043</v>
      </c>
      <c r="T5" s="73" t="s">
        <v>2044</v>
      </c>
      <c r="U5" s="74"/>
      <c r="V5" s="67"/>
      <c r="W5" s="71" t="s">
        <v>2054</v>
      </c>
      <c r="X5" s="67"/>
      <c r="Y5" s="67"/>
    </row>
    <row r="6" spans="1:25">
      <c r="A6" s="73" t="s">
        <v>10</v>
      </c>
      <c r="B6" s="73" t="s">
        <v>10</v>
      </c>
      <c r="C6" s="73" t="str">
        <f ca="1">IFERROR(__xludf.DUMMYFUNCTION("filter('Back End'!C:C,'Back End'!A:A=A6,'Back End'!B:B=B6,'Back End'!D:D=D6)"),"#REF!")</f>
        <v>#REF!</v>
      </c>
      <c r="D6" s="73" t="s">
        <v>509</v>
      </c>
      <c r="E6" s="73" t="s">
        <v>90</v>
      </c>
      <c r="F6" s="74"/>
      <c r="G6" s="73" t="s">
        <v>2059</v>
      </c>
      <c r="H6" s="73" t="s">
        <v>2062</v>
      </c>
      <c r="I6" s="73" t="s">
        <v>2063</v>
      </c>
      <c r="J6" s="73" t="s">
        <v>2064</v>
      </c>
      <c r="K6" s="73" t="s">
        <v>2048</v>
      </c>
      <c r="L6" s="73" t="s">
        <v>2065</v>
      </c>
      <c r="M6" s="73" t="s">
        <v>1591</v>
      </c>
      <c r="N6" s="73" t="s">
        <v>2042</v>
      </c>
      <c r="O6" s="73" t="s">
        <v>1591</v>
      </c>
      <c r="P6" s="73" t="s">
        <v>2042</v>
      </c>
      <c r="Q6" s="73" t="s">
        <v>2050</v>
      </c>
      <c r="R6" s="73" t="s">
        <v>2051</v>
      </c>
      <c r="S6" s="73" t="s">
        <v>2052</v>
      </c>
      <c r="T6" s="73" t="s">
        <v>2053</v>
      </c>
      <c r="U6" s="74"/>
      <c r="V6" s="67"/>
      <c r="W6" s="71" t="s">
        <v>2054</v>
      </c>
      <c r="X6" s="67"/>
      <c r="Y6" s="67"/>
    </row>
    <row r="7" spans="1:25">
      <c r="A7" s="73" t="s">
        <v>10</v>
      </c>
      <c r="B7" s="73" t="s">
        <v>10</v>
      </c>
      <c r="C7" s="73" t="str">
        <f ca="1">IFERROR(__xludf.DUMMYFUNCTION("filter('Back End'!C:C,'Back End'!A:A=A7,'Back End'!B:B=B7,'Back End'!D:D=D7)"),"#REF!")</f>
        <v>#REF!</v>
      </c>
      <c r="D7" s="73" t="s">
        <v>497</v>
      </c>
      <c r="E7" s="73" t="s">
        <v>90</v>
      </c>
      <c r="F7" s="74"/>
      <c r="G7" s="73" t="s">
        <v>2059</v>
      </c>
      <c r="H7" s="73" t="s">
        <v>2066</v>
      </c>
      <c r="I7" s="73" t="s">
        <v>2038</v>
      </c>
      <c r="J7" s="73" t="s">
        <v>2067</v>
      </c>
      <c r="K7" s="73" t="s">
        <v>2040</v>
      </c>
      <c r="L7" s="73" t="s">
        <v>2068</v>
      </c>
      <c r="M7" s="73" t="s">
        <v>1591</v>
      </c>
      <c r="N7" s="73" t="s">
        <v>2069</v>
      </c>
      <c r="O7" s="73" t="s">
        <v>1596</v>
      </c>
      <c r="P7" s="73" t="s">
        <v>2069</v>
      </c>
      <c r="Q7" s="73" t="s">
        <v>2050</v>
      </c>
      <c r="R7" s="73" t="s">
        <v>2051</v>
      </c>
      <c r="S7" s="73" t="s">
        <v>2052</v>
      </c>
      <c r="T7" s="73" t="s">
        <v>2053</v>
      </c>
      <c r="U7" s="74"/>
      <c r="V7" s="75"/>
      <c r="W7" s="71" t="s">
        <v>2070</v>
      </c>
      <c r="X7" s="67"/>
      <c r="Y7" s="67"/>
    </row>
    <row r="8" spans="1:25">
      <c r="A8" s="73" t="s">
        <v>10</v>
      </c>
      <c r="B8" s="73" t="s">
        <v>10</v>
      </c>
      <c r="C8" s="73" t="str">
        <f ca="1">IFERROR(__xludf.DUMMYFUNCTION("filter('Back End'!C:C,'Back End'!A:A=A8,'Back End'!B:B=B8,'Back End'!D:D=D8)"),"#REF!")</f>
        <v>#REF!</v>
      </c>
      <c r="D8" s="73" t="s">
        <v>523</v>
      </c>
      <c r="E8" s="73" t="s">
        <v>90</v>
      </c>
      <c r="F8" s="73" t="s">
        <v>1590</v>
      </c>
      <c r="G8" s="73" t="s">
        <v>2059</v>
      </c>
      <c r="H8" s="73" t="s">
        <v>2071</v>
      </c>
      <c r="I8" s="73" t="s">
        <v>2038</v>
      </c>
      <c r="J8" s="73" t="s">
        <v>2072</v>
      </c>
      <c r="K8" s="73" t="s">
        <v>2048</v>
      </c>
      <c r="L8" s="73" t="s">
        <v>2073</v>
      </c>
      <c r="M8" s="73" t="s">
        <v>1591</v>
      </c>
      <c r="N8" s="73" t="s">
        <v>2042</v>
      </c>
      <c r="O8" s="73" t="s">
        <v>1596</v>
      </c>
      <c r="P8" s="73" t="s">
        <v>2074</v>
      </c>
      <c r="Q8" s="73" t="s">
        <v>2050</v>
      </c>
      <c r="R8" s="73" t="s">
        <v>2051</v>
      </c>
      <c r="S8" s="73" t="s">
        <v>2043</v>
      </c>
      <c r="T8" s="73" t="s">
        <v>2044</v>
      </c>
      <c r="U8" s="73" t="s">
        <v>2075</v>
      </c>
      <c r="V8" s="67"/>
      <c r="W8" s="71" t="s">
        <v>2054</v>
      </c>
      <c r="X8" s="67"/>
      <c r="Y8" s="67"/>
    </row>
    <row r="9" spans="1:25">
      <c r="A9" s="73" t="s">
        <v>8</v>
      </c>
      <c r="B9" s="73" t="s">
        <v>8</v>
      </c>
      <c r="C9" s="73" t="str">
        <f ca="1">IFERROR(__xludf.DUMMYFUNCTION("filter('Back End'!C:C,'Back End'!A:A=A9,'Back End'!B:B=B9,'Back End'!D:D=D9)"),"#REF!")</f>
        <v>#REF!</v>
      </c>
      <c r="D9" s="73" t="s">
        <v>1325</v>
      </c>
      <c r="E9" s="73" t="s">
        <v>95</v>
      </c>
      <c r="F9" s="74"/>
      <c r="G9" s="73" t="s">
        <v>1595</v>
      </c>
      <c r="H9" s="73" t="s">
        <v>2076</v>
      </c>
      <c r="I9" s="73" t="s">
        <v>2038</v>
      </c>
      <c r="J9" s="73" t="s">
        <v>2077</v>
      </c>
      <c r="K9" s="73" t="s">
        <v>2040</v>
      </c>
      <c r="L9" s="73" t="s">
        <v>2078</v>
      </c>
      <c r="M9" s="73" t="s">
        <v>1591</v>
      </c>
      <c r="N9" s="73" t="s">
        <v>2042</v>
      </c>
      <c r="O9" s="73" t="s">
        <v>1591</v>
      </c>
      <c r="P9" s="73" t="s">
        <v>2042</v>
      </c>
      <c r="Q9" s="73" t="s">
        <v>2050</v>
      </c>
      <c r="R9" s="73" t="s">
        <v>2051</v>
      </c>
      <c r="S9" s="73" t="s">
        <v>2079</v>
      </c>
      <c r="T9" s="73" t="s">
        <v>2044</v>
      </c>
      <c r="U9" s="73" t="s">
        <v>2080</v>
      </c>
      <c r="V9" s="67"/>
      <c r="W9" s="71" t="s">
        <v>2054</v>
      </c>
      <c r="X9" s="67"/>
      <c r="Y9" s="67"/>
    </row>
    <row r="10" spans="1:25">
      <c r="A10" s="71" t="s">
        <v>19</v>
      </c>
      <c r="B10" s="71" t="s">
        <v>147</v>
      </c>
      <c r="C10" s="73" t="str">
        <f ca="1">IFERROR(__xludf.DUMMYFUNCTION("filter('Back End'!C:C,'Back End'!A:A=A10,'Back End'!B:B=B10,'Back End'!D:D=D10)"),"#REF!")</f>
        <v>#REF!</v>
      </c>
      <c r="D10" s="71" t="s">
        <v>2081</v>
      </c>
      <c r="E10" s="71" t="s">
        <v>2082</v>
      </c>
      <c r="F10" s="67"/>
      <c r="G10" s="71" t="s">
        <v>2083</v>
      </c>
      <c r="H10" s="71" t="s">
        <v>2084</v>
      </c>
      <c r="I10" s="67"/>
      <c r="J10" s="75"/>
      <c r="K10" s="67"/>
      <c r="L10" s="67"/>
      <c r="M10" s="75"/>
      <c r="N10" s="75"/>
      <c r="O10" s="75"/>
      <c r="P10" s="75"/>
      <c r="Q10" s="75"/>
      <c r="R10" s="75"/>
      <c r="S10" s="75"/>
      <c r="T10" s="75"/>
      <c r="U10" s="67"/>
      <c r="V10" s="67"/>
      <c r="W10" s="71" t="s">
        <v>2070</v>
      </c>
      <c r="X10" s="67"/>
      <c r="Y10" s="67"/>
    </row>
    <row r="11" spans="1:25">
      <c r="A11" s="73" t="s">
        <v>10</v>
      </c>
      <c r="B11" s="73" t="s">
        <v>10</v>
      </c>
      <c r="C11" s="73" t="str">
        <f ca="1">IFERROR(__xludf.DUMMYFUNCTION("filter('Back End'!C:C,'Back End'!A:A=A11,'Back End'!B:B=B11,'Back End'!D:D=D11)"),"#REF!")</f>
        <v>#REF!</v>
      </c>
      <c r="D11" s="73" t="s">
        <v>536</v>
      </c>
      <c r="E11" s="73" t="s">
        <v>90</v>
      </c>
      <c r="F11" s="74"/>
      <c r="G11" s="73" t="s">
        <v>2059</v>
      </c>
      <c r="H11" s="73" t="s">
        <v>2085</v>
      </c>
      <c r="I11" s="73" t="s">
        <v>2063</v>
      </c>
      <c r="J11" s="73" t="s">
        <v>2086</v>
      </c>
      <c r="K11" s="73" t="s">
        <v>2087</v>
      </c>
      <c r="L11" s="73" t="s">
        <v>2088</v>
      </c>
      <c r="M11" s="73" t="s">
        <v>1591</v>
      </c>
      <c r="N11" s="73" t="s">
        <v>2042</v>
      </c>
      <c r="O11" s="73" t="s">
        <v>1596</v>
      </c>
      <c r="P11" s="73" t="s">
        <v>2074</v>
      </c>
      <c r="Q11" s="73" t="s">
        <v>2050</v>
      </c>
      <c r="R11" s="73" t="s">
        <v>2051</v>
      </c>
      <c r="S11" s="73" t="s">
        <v>2079</v>
      </c>
      <c r="T11" s="73" t="s">
        <v>2044</v>
      </c>
      <c r="U11" s="73" t="s">
        <v>2089</v>
      </c>
      <c r="V11" s="67"/>
      <c r="W11" s="71" t="s">
        <v>2054</v>
      </c>
      <c r="X11" s="67"/>
      <c r="Y11" s="67"/>
    </row>
    <row r="12" spans="1:25">
      <c r="A12" s="73" t="s">
        <v>10</v>
      </c>
      <c r="B12" s="73" t="s">
        <v>10</v>
      </c>
      <c r="C12" s="73" t="str">
        <f ca="1">IFERROR(__xludf.DUMMYFUNCTION("filter('Back End'!C:C,'Back End'!A:A=A12,'Back End'!B:B=B12,'Back End'!D:D=D12)"),"#REF!")</f>
        <v>#REF!</v>
      </c>
      <c r="D12" s="73" t="s">
        <v>502</v>
      </c>
      <c r="E12" s="73" t="s">
        <v>90</v>
      </c>
      <c r="F12" s="74"/>
      <c r="G12" s="73" t="s">
        <v>2059</v>
      </c>
      <c r="H12" s="73" t="s">
        <v>2090</v>
      </c>
      <c r="I12" s="73" t="s">
        <v>2038</v>
      </c>
      <c r="J12" s="73" t="s">
        <v>2091</v>
      </c>
      <c r="K12" s="73" t="s">
        <v>2048</v>
      </c>
      <c r="L12" s="73" t="s">
        <v>2092</v>
      </c>
      <c r="M12" s="73" t="s">
        <v>1591</v>
      </c>
      <c r="N12" s="73" t="s">
        <v>2042</v>
      </c>
      <c r="O12" s="73" t="s">
        <v>1591</v>
      </c>
      <c r="P12" s="73" t="s">
        <v>2042</v>
      </c>
      <c r="Q12" s="73" t="s">
        <v>2050</v>
      </c>
      <c r="R12" s="73" t="s">
        <v>2051</v>
      </c>
      <c r="S12" s="73" t="s">
        <v>2043</v>
      </c>
      <c r="T12" s="73" t="s">
        <v>2044</v>
      </c>
      <c r="U12" s="74"/>
      <c r="V12" s="67"/>
      <c r="W12" s="71" t="s">
        <v>2054</v>
      </c>
      <c r="X12" s="67"/>
      <c r="Y12" s="67"/>
    </row>
    <row r="13" spans="1:25">
      <c r="A13" s="73" t="s">
        <v>8</v>
      </c>
      <c r="B13" s="73" t="s">
        <v>587</v>
      </c>
      <c r="C13" s="73" t="str">
        <f ca="1">IFERROR(__xludf.DUMMYFUNCTION("filter('Back End'!C:C,'Back End'!A:A=A13,'Back End'!B:B=B13,'Back End'!D:D=D13)"),"#REF!")</f>
        <v>#REF!</v>
      </c>
      <c r="D13" s="73" t="s">
        <v>604</v>
      </c>
      <c r="E13" s="73" t="s">
        <v>90</v>
      </c>
      <c r="F13" s="73" t="s">
        <v>1590</v>
      </c>
      <c r="G13" s="73" t="s">
        <v>1595</v>
      </c>
      <c r="H13" s="73" t="s">
        <v>2093</v>
      </c>
      <c r="I13" s="73" t="s">
        <v>2094</v>
      </c>
      <c r="J13" s="73" t="s">
        <v>2095</v>
      </c>
      <c r="K13" s="73" t="s">
        <v>2048</v>
      </c>
      <c r="L13" s="73" t="s">
        <v>2096</v>
      </c>
      <c r="M13" s="73" t="s">
        <v>1596</v>
      </c>
      <c r="N13" s="73" t="s">
        <v>2074</v>
      </c>
      <c r="O13" s="73" t="s">
        <v>1591</v>
      </c>
      <c r="P13" s="73" t="s">
        <v>2042</v>
      </c>
      <c r="Q13" s="73" t="s">
        <v>2050</v>
      </c>
      <c r="R13" s="73" t="s">
        <v>2051</v>
      </c>
      <c r="S13" s="73" t="s">
        <v>2052</v>
      </c>
      <c r="T13" s="73" t="s">
        <v>2097</v>
      </c>
      <c r="U13" s="74"/>
      <c r="V13" s="74"/>
      <c r="W13" s="73" t="s">
        <v>2054</v>
      </c>
      <c r="X13" s="74"/>
      <c r="Y13" s="73" t="s">
        <v>2098</v>
      </c>
    </row>
    <row r="14" spans="1:25">
      <c r="A14" s="73" t="s">
        <v>10</v>
      </c>
      <c r="B14" s="73" t="s">
        <v>10</v>
      </c>
      <c r="C14" s="73" t="str">
        <f ca="1">IFERROR(__xludf.DUMMYFUNCTION("filter('Back End'!C:C,'Back End'!A:A=A14,'Back End'!B:B=B14,'Back End'!D:D=D14)"),"#REF!")</f>
        <v>#REF!</v>
      </c>
      <c r="D14" s="73" t="s">
        <v>511</v>
      </c>
      <c r="E14" s="73" t="s">
        <v>90</v>
      </c>
      <c r="F14" s="74"/>
      <c r="G14" s="73" t="s">
        <v>2059</v>
      </c>
      <c r="H14" s="73" t="s">
        <v>2099</v>
      </c>
      <c r="I14" s="73" t="s">
        <v>2038</v>
      </c>
      <c r="J14" s="73" t="s">
        <v>2100</v>
      </c>
      <c r="K14" s="73" t="s">
        <v>2048</v>
      </c>
      <c r="L14" s="73" t="s">
        <v>2101</v>
      </c>
      <c r="M14" s="73" t="s">
        <v>1591</v>
      </c>
      <c r="N14" s="73" t="s">
        <v>2042</v>
      </c>
      <c r="O14" s="73" t="s">
        <v>1591</v>
      </c>
      <c r="P14" s="73" t="s">
        <v>2042</v>
      </c>
      <c r="Q14" s="73" t="s">
        <v>2050</v>
      </c>
      <c r="R14" s="73" t="s">
        <v>2051</v>
      </c>
      <c r="S14" s="73" t="s">
        <v>2043</v>
      </c>
      <c r="T14" s="73" t="s">
        <v>2044</v>
      </c>
      <c r="U14" s="73" t="s">
        <v>2102</v>
      </c>
      <c r="V14" s="67"/>
      <c r="W14" s="71" t="s">
        <v>2054</v>
      </c>
      <c r="X14" s="67"/>
      <c r="Y14" s="67"/>
    </row>
    <row r="15" spans="1:25">
      <c r="A15" s="73" t="s">
        <v>10</v>
      </c>
      <c r="B15" s="73" t="s">
        <v>430</v>
      </c>
      <c r="C15" s="73" t="str">
        <f ca="1">IFERROR(__xludf.DUMMYFUNCTION("filter('Back End'!C:C,'Back End'!A:A=A15,'Back End'!B:B=B15,'Back End'!D:D=D15)"),"#REF!")</f>
        <v>#REF!</v>
      </c>
      <c r="D15" s="73" t="s">
        <v>810</v>
      </c>
      <c r="E15" s="73" t="s">
        <v>90</v>
      </c>
      <c r="F15" s="74"/>
      <c r="G15" s="73" t="s">
        <v>2059</v>
      </c>
      <c r="H15" s="73" t="s">
        <v>2103</v>
      </c>
      <c r="I15" s="73" t="s">
        <v>2063</v>
      </c>
      <c r="J15" s="73" t="s">
        <v>2104</v>
      </c>
      <c r="K15" s="73" t="s">
        <v>2087</v>
      </c>
      <c r="L15" s="73" t="s">
        <v>2105</v>
      </c>
      <c r="M15" s="73" t="s">
        <v>1591</v>
      </c>
      <c r="N15" s="73" t="s">
        <v>2042</v>
      </c>
      <c r="O15" s="73" t="s">
        <v>2050</v>
      </c>
      <c r="P15" s="73" t="s">
        <v>2051</v>
      </c>
      <c r="Q15" s="73" t="s">
        <v>1591</v>
      </c>
      <c r="R15" s="73" t="s">
        <v>2042</v>
      </c>
      <c r="S15" s="73" t="s">
        <v>2052</v>
      </c>
      <c r="T15" s="73" t="s">
        <v>2053</v>
      </c>
      <c r="U15" s="73" t="s">
        <v>2106</v>
      </c>
      <c r="V15" s="67"/>
      <c r="W15" s="71" t="s">
        <v>2054</v>
      </c>
      <c r="X15" s="67"/>
      <c r="Y15" s="67"/>
    </row>
    <row r="16" spans="1:25">
      <c r="A16" s="73" t="s">
        <v>10</v>
      </c>
      <c r="B16" s="73" t="s">
        <v>430</v>
      </c>
      <c r="C16" s="73" t="str">
        <f ca="1">IFERROR(__xludf.DUMMYFUNCTION("filter('Back End'!C:C,'Back End'!A:A=A16,'Back End'!B:B=B16,'Back End'!D:D=D16)"),"#REF!")</f>
        <v>#REF!</v>
      </c>
      <c r="D16" s="73" t="s">
        <v>814</v>
      </c>
      <c r="E16" s="73" t="s">
        <v>90</v>
      </c>
      <c r="F16" s="74"/>
      <c r="G16" s="73" t="s">
        <v>1595</v>
      </c>
      <c r="H16" s="73" t="s">
        <v>2107</v>
      </c>
      <c r="I16" s="73" t="s">
        <v>2108</v>
      </c>
      <c r="J16" s="73" t="s">
        <v>2109</v>
      </c>
      <c r="K16" s="73" t="s">
        <v>2087</v>
      </c>
      <c r="L16" s="73" t="s">
        <v>2110</v>
      </c>
      <c r="M16" s="73" t="s">
        <v>1591</v>
      </c>
      <c r="N16" s="73" t="s">
        <v>2042</v>
      </c>
      <c r="O16" s="73" t="s">
        <v>1596</v>
      </c>
      <c r="P16" s="73" t="s">
        <v>2042</v>
      </c>
      <c r="Q16" s="73" t="s">
        <v>2050</v>
      </c>
      <c r="R16" s="73" t="s">
        <v>2069</v>
      </c>
      <c r="S16" s="73" t="s">
        <v>2052</v>
      </c>
      <c r="T16" s="73" t="s">
        <v>2053</v>
      </c>
      <c r="U16" s="73" t="s">
        <v>2111</v>
      </c>
      <c r="V16" s="67"/>
      <c r="W16" s="71" t="s">
        <v>2054</v>
      </c>
      <c r="X16" s="67"/>
      <c r="Y16" s="67"/>
    </row>
    <row r="17" spans="1:25" ht="94.5">
      <c r="A17" s="71" t="s">
        <v>8</v>
      </c>
      <c r="B17" s="71" t="s">
        <v>8</v>
      </c>
      <c r="C17" s="73" t="str">
        <f ca="1">IFERROR(__xludf.DUMMYFUNCTION("filter('Back End'!C:C,'Back End'!A:A=A17,'Back End'!B:B=B17,'Back End'!D:D=D17)"),"#REF!")</f>
        <v>#REF!</v>
      </c>
      <c r="D17" s="71" t="s">
        <v>2112</v>
      </c>
      <c r="E17" s="71" t="s">
        <v>100</v>
      </c>
      <c r="F17" s="67"/>
      <c r="G17" s="71" t="s">
        <v>1590</v>
      </c>
      <c r="H17" s="71" t="s">
        <v>2113</v>
      </c>
      <c r="I17" s="71" t="s">
        <v>2114</v>
      </c>
      <c r="J17" s="76" t="s">
        <v>2115</v>
      </c>
      <c r="K17" s="71" t="s">
        <v>2040</v>
      </c>
      <c r="L17" s="71" t="s">
        <v>2116</v>
      </c>
      <c r="M17" s="76" t="s">
        <v>1591</v>
      </c>
      <c r="N17" s="76" t="s">
        <v>2042</v>
      </c>
      <c r="O17" s="76" t="s">
        <v>1596</v>
      </c>
      <c r="P17" s="76" t="s">
        <v>2069</v>
      </c>
      <c r="Q17" s="76" t="s">
        <v>2050</v>
      </c>
      <c r="R17" s="76" t="s">
        <v>2051</v>
      </c>
      <c r="S17" s="76" t="s">
        <v>2052</v>
      </c>
      <c r="T17" s="76" t="s">
        <v>2053</v>
      </c>
      <c r="U17" s="67"/>
      <c r="V17" s="67"/>
      <c r="W17" s="71" t="s">
        <v>2070</v>
      </c>
      <c r="X17" s="67"/>
      <c r="Y17" s="67"/>
    </row>
    <row r="18" spans="1:25" ht="283.5">
      <c r="A18" s="73" t="s">
        <v>10</v>
      </c>
      <c r="B18" s="73" t="s">
        <v>430</v>
      </c>
      <c r="C18" s="73" t="str">
        <f ca="1">IFERROR(__xludf.DUMMYFUNCTION("filter('Back End'!C:C,'Back End'!A:A=A18,'Back End'!B:B=B18,'Back End'!D:D=D18)"),"#REF!")</f>
        <v>#REF!</v>
      </c>
      <c r="D18" s="73" t="s">
        <v>447</v>
      </c>
      <c r="E18" s="73" t="s">
        <v>2082</v>
      </c>
      <c r="F18" s="74"/>
      <c r="G18" s="73" t="s">
        <v>2083</v>
      </c>
      <c r="H18" s="73" t="s">
        <v>2117</v>
      </c>
      <c r="I18" s="73" t="s">
        <v>2063</v>
      </c>
      <c r="J18" s="73" t="s">
        <v>2118</v>
      </c>
      <c r="K18" s="73" t="s">
        <v>2048</v>
      </c>
      <c r="L18" s="73" t="s">
        <v>2119</v>
      </c>
      <c r="M18" s="73" t="s">
        <v>1596</v>
      </c>
      <c r="N18" s="73" t="s">
        <v>2069</v>
      </c>
      <c r="O18" s="73" t="s">
        <v>1591</v>
      </c>
      <c r="P18" s="73" t="s">
        <v>2042</v>
      </c>
      <c r="Q18" s="73" t="s">
        <v>2050</v>
      </c>
      <c r="R18" s="73" t="s">
        <v>2051</v>
      </c>
      <c r="S18" s="73" t="s">
        <v>2043</v>
      </c>
      <c r="T18" s="73" t="s">
        <v>2044</v>
      </c>
      <c r="U18" s="73" t="s">
        <v>2120</v>
      </c>
      <c r="V18" s="67"/>
      <c r="W18" s="71" t="s">
        <v>2054</v>
      </c>
      <c r="X18" s="67"/>
      <c r="Y18" s="67"/>
    </row>
    <row r="19" spans="1:25" ht="409.5">
      <c r="A19" s="71" t="s">
        <v>10</v>
      </c>
      <c r="B19" s="71" t="s">
        <v>10</v>
      </c>
      <c r="C19" s="73" t="str">
        <f ca="1">IFERROR(__xludf.DUMMYFUNCTION("filter('Back End'!C:C,'Back End'!A:A=A19,'Back End'!B:B=B19,'Back End'!D:D=D19)"),"#REF!")</f>
        <v>#REF!</v>
      </c>
      <c r="D19" s="71" t="s">
        <v>530</v>
      </c>
      <c r="E19" s="71" t="s">
        <v>90</v>
      </c>
      <c r="F19" s="71" t="s">
        <v>2059</v>
      </c>
      <c r="G19" s="71" t="s">
        <v>2059</v>
      </c>
      <c r="H19" s="71" t="s">
        <v>2121</v>
      </c>
      <c r="I19" s="71" t="s">
        <v>2094</v>
      </c>
      <c r="J19" s="76" t="s">
        <v>2122</v>
      </c>
      <c r="K19" s="71" t="s">
        <v>2123</v>
      </c>
      <c r="L19" s="71" t="s">
        <v>2124</v>
      </c>
      <c r="M19" s="76" t="s">
        <v>1596</v>
      </c>
      <c r="N19" s="76" t="s">
        <v>2125</v>
      </c>
      <c r="O19" s="76" t="s">
        <v>2050</v>
      </c>
      <c r="P19" s="76" t="s">
        <v>2051</v>
      </c>
      <c r="Q19" s="76" t="s">
        <v>1591</v>
      </c>
      <c r="R19" s="76" t="s">
        <v>2042</v>
      </c>
      <c r="S19" s="76" t="s">
        <v>2052</v>
      </c>
      <c r="T19" s="76" t="s">
        <v>2053</v>
      </c>
      <c r="U19" s="67"/>
      <c r="V19" s="67"/>
      <c r="W19" s="71" t="s">
        <v>2045</v>
      </c>
      <c r="X19" s="67"/>
      <c r="Y19" s="71" t="s">
        <v>2058</v>
      </c>
    </row>
    <row r="20" spans="1:25" ht="364.5">
      <c r="A20" s="73" t="s">
        <v>8</v>
      </c>
      <c r="B20" s="73" t="s">
        <v>8</v>
      </c>
      <c r="C20" s="73" t="str">
        <f ca="1">IFERROR(__xludf.DUMMYFUNCTION("filter('Back End'!C:C,'Back End'!A:A=A20,'Back End'!B:B=B20,'Back End'!D:D=D20)"),"#REF!")</f>
        <v>#REF!</v>
      </c>
      <c r="D20" s="73" t="s">
        <v>1298</v>
      </c>
      <c r="E20" s="73" t="s">
        <v>90</v>
      </c>
      <c r="F20" s="74"/>
      <c r="G20" s="73" t="s">
        <v>2059</v>
      </c>
      <c r="H20" s="73" t="s">
        <v>2126</v>
      </c>
      <c r="I20" s="73" t="s">
        <v>2038</v>
      </c>
      <c r="J20" s="73" t="s">
        <v>2127</v>
      </c>
      <c r="K20" s="73" t="s">
        <v>2048</v>
      </c>
      <c r="L20" s="73" t="s">
        <v>2128</v>
      </c>
      <c r="M20" s="73" t="s">
        <v>1596</v>
      </c>
      <c r="N20" s="73" t="s">
        <v>2069</v>
      </c>
      <c r="O20" s="73" t="s">
        <v>1591</v>
      </c>
      <c r="P20" s="73" t="s">
        <v>2042</v>
      </c>
      <c r="Q20" s="73" t="s">
        <v>2050</v>
      </c>
      <c r="R20" s="73" t="s">
        <v>2051</v>
      </c>
      <c r="S20" s="73" t="s">
        <v>2043</v>
      </c>
      <c r="T20" s="73" t="s">
        <v>2044</v>
      </c>
      <c r="U20" s="73" t="s">
        <v>2129</v>
      </c>
      <c r="V20" s="75"/>
      <c r="W20" s="71" t="s">
        <v>2045</v>
      </c>
      <c r="X20" s="75"/>
      <c r="Y20" s="75"/>
    </row>
    <row r="21" spans="1:25" ht="27">
      <c r="A21" s="71" t="s">
        <v>8</v>
      </c>
      <c r="B21" s="71" t="s">
        <v>147</v>
      </c>
      <c r="C21" s="73" t="str">
        <f ca="1">IFERROR(__xludf.DUMMYFUNCTION("filter('Back End'!C:C,'Back End'!A:A=A21,'Back End'!B:B=B21,'Back End'!D:D=D21)"),"#REF!")</f>
        <v>#REF!</v>
      </c>
      <c r="D21" s="71" t="s">
        <v>2130</v>
      </c>
      <c r="E21" s="71" t="s">
        <v>95</v>
      </c>
      <c r="F21" s="67"/>
      <c r="G21" s="71" t="s">
        <v>1595</v>
      </c>
      <c r="H21" s="67"/>
      <c r="I21" s="67"/>
      <c r="J21" s="75"/>
      <c r="K21" s="67"/>
      <c r="L21" s="67"/>
      <c r="M21" s="75"/>
      <c r="N21" s="75"/>
      <c r="O21" s="75"/>
      <c r="P21" s="75"/>
      <c r="Q21" s="75"/>
      <c r="R21" s="75"/>
      <c r="S21" s="75"/>
      <c r="T21" s="75"/>
      <c r="U21" s="67"/>
      <c r="V21" s="67"/>
      <c r="W21" s="71" t="s">
        <v>2070</v>
      </c>
      <c r="X21" s="67"/>
      <c r="Y21" s="67"/>
    </row>
    <row r="22" spans="1:25" ht="378">
      <c r="A22" s="73" t="s">
        <v>8</v>
      </c>
      <c r="B22" s="73" t="s">
        <v>8</v>
      </c>
      <c r="C22" s="73" t="str">
        <f ca="1">IFERROR(__xludf.DUMMYFUNCTION("filter('Back End'!C:C,'Back End'!A:A=A22,'Back End'!B:B=B22,'Back End'!D:D=D22)"),"#REF!")</f>
        <v>#REF!</v>
      </c>
      <c r="D22" s="73" t="s">
        <v>583</v>
      </c>
      <c r="E22" s="73" t="s">
        <v>95</v>
      </c>
      <c r="F22" s="74"/>
      <c r="G22" s="73" t="s">
        <v>1595</v>
      </c>
      <c r="H22" s="73" t="s">
        <v>2131</v>
      </c>
      <c r="I22" s="73" t="s">
        <v>2038</v>
      </c>
      <c r="J22" s="73" t="s">
        <v>2132</v>
      </c>
      <c r="K22" s="73" t="s">
        <v>2048</v>
      </c>
      <c r="L22" s="73" t="s">
        <v>2133</v>
      </c>
      <c r="M22" s="73" t="s">
        <v>1596</v>
      </c>
      <c r="N22" s="73" t="s">
        <v>2069</v>
      </c>
      <c r="O22" s="73" t="s">
        <v>1591</v>
      </c>
      <c r="P22" s="73" t="s">
        <v>2042</v>
      </c>
      <c r="Q22" s="73" t="s">
        <v>2050</v>
      </c>
      <c r="R22" s="73" t="s">
        <v>2125</v>
      </c>
      <c r="S22" s="73" t="s">
        <v>2043</v>
      </c>
      <c r="T22" s="73" t="s">
        <v>2134</v>
      </c>
      <c r="U22" s="73" t="s">
        <v>2135</v>
      </c>
      <c r="V22" s="67"/>
      <c r="W22" s="71" t="s">
        <v>2054</v>
      </c>
      <c r="X22" s="67"/>
      <c r="Y22" s="67"/>
    </row>
    <row r="23" spans="1:25" ht="351">
      <c r="A23" s="73" t="s">
        <v>8</v>
      </c>
      <c r="B23" s="73" t="s">
        <v>658</v>
      </c>
      <c r="C23" s="73" t="str">
        <f ca="1">IFERROR(__xludf.DUMMYFUNCTION("filter('Back End'!C:C,'Back End'!A:A=A23,'Back End'!B:B=B23,'Back End'!D:D=D23)"),"#REF!")</f>
        <v>#REF!</v>
      </c>
      <c r="D23" s="73" t="s">
        <v>325</v>
      </c>
      <c r="E23" s="73" t="s">
        <v>90</v>
      </c>
      <c r="F23" s="74"/>
      <c r="G23" s="73" t="s">
        <v>1590</v>
      </c>
      <c r="H23" s="73" t="s">
        <v>2136</v>
      </c>
      <c r="I23" s="73" t="s">
        <v>2038</v>
      </c>
      <c r="J23" s="73" t="s">
        <v>2137</v>
      </c>
      <c r="K23" s="73" t="s">
        <v>2048</v>
      </c>
      <c r="L23" s="73" t="s">
        <v>2138</v>
      </c>
      <c r="M23" s="73" t="s">
        <v>1591</v>
      </c>
      <c r="N23" s="73" t="s">
        <v>2042</v>
      </c>
      <c r="O23" s="73" t="s">
        <v>1591</v>
      </c>
      <c r="P23" s="73" t="s">
        <v>2069</v>
      </c>
      <c r="Q23" s="73" t="s">
        <v>2050</v>
      </c>
      <c r="R23" s="73" t="s">
        <v>2051</v>
      </c>
      <c r="S23" s="73" t="s">
        <v>2079</v>
      </c>
      <c r="T23" s="73" t="s">
        <v>2053</v>
      </c>
      <c r="U23" s="73" t="s">
        <v>2139</v>
      </c>
      <c r="V23" s="67"/>
      <c r="W23" s="71" t="s">
        <v>2054</v>
      </c>
      <c r="X23" s="67"/>
      <c r="Y23" s="67"/>
    </row>
    <row r="24" spans="1:25" ht="364.5">
      <c r="A24" s="73" t="s">
        <v>10</v>
      </c>
      <c r="B24" s="73" t="s">
        <v>430</v>
      </c>
      <c r="C24" s="73" t="str">
        <f ca="1">IFERROR(__xludf.DUMMYFUNCTION("filter('Back End'!C:C,'Back End'!A:A=A24,'Back End'!B:B=B24,'Back End'!D:D=D24)"),"#REF!")</f>
        <v>#REF!</v>
      </c>
      <c r="D24" s="73" t="s">
        <v>819</v>
      </c>
      <c r="E24" s="73" t="s">
        <v>90</v>
      </c>
      <c r="F24" s="74"/>
      <c r="G24" s="73" t="s">
        <v>2059</v>
      </c>
      <c r="H24" s="73" t="s">
        <v>2140</v>
      </c>
      <c r="I24" s="73" t="s">
        <v>2108</v>
      </c>
      <c r="J24" s="73" t="s">
        <v>2141</v>
      </c>
      <c r="K24" s="73" t="s">
        <v>2048</v>
      </c>
      <c r="L24" s="73" t="s">
        <v>2142</v>
      </c>
      <c r="M24" s="73" t="s">
        <v>1591</v>
      </c>
      <c r="N24" s="73" t="s">
        <v>2042</v>
      </c>
      <c r="O24" s="73" t="s">
        <v>1591</v>
      </c>
      <c r="P24" s="73" t="s">
        <v>2042</v>
      </c>
      <c r="Q24" s="73" t="s">
        <v>1596</v>
      </c>
      <c r="R24" s="73" t="s">
        <v>2125</v>
      </c>
      <c r="S24" s="73" t="s">
        <v>2043</v>
      </c>
      <c r="T24" s="73" t="s">
        <v>2044</v>
      </c>
      <c r="U24" s="73" t="s">
        <v>2143</v>
      </c>
      <c r="V24" s="67"/>
      <c r="W24" s="71" t="s">
        <v>2054</v>
      </c>
      <c r="X24" s="67"/>
      <c r="Y24" s="67"/>
    </row>
    <row r="25" spans="1:25" ht="409.5">
      <c r="A25" s="73" t="s">
        <v>11</v>
      </c>
      <c r="B25" s="73" t="s">
        <v>261</v>
      </c>
      <c r="C25" s="73" t="str">
        <f ca="1">IFERROR(__xludf.DUMMYFUNCTION("filter('Back End'!C:C,'Back End'!A:A=A25,'Back End'!B:B=B25,'Back End'!D:D=D25)"),"#REF!")</f>
        <v>#REF!</v>
      </c>
      <c r="D25" s="73" t="s">
        <v>825</v>
      </c>
      <c r="E25" s="73" t="s">
        <v>90</v>
      </c>
      <c r="F25" s="74"/>
      <c r="G25" s="73" t="s">
        <v>2059</v>
      </c>
      <c r="H25" s="73" t="s">
        <v>2144</v>
      </c>
      <c r="I25" s="73" t="s">
        <v>2038</v>
      </c>
      <c r="J25" s="73" t="s">
        <v>2145</v>
      </c>
      <c r="K25" s="73" t="s">
        <v>2087</v>
      </c>
      <c r="L25" s="73" t="s">
        <v>2146</v>
      </c>
      <c r="M25" s="73" t="s">
        <v>1596</v>
      </c>
      <c r="N25" s="73" t="s">
        <v>2069</v>
      </c>
      <c r="O25" s="73" t="s">
        <v>1596</v>
      </c>
      <c r="P25" s="73" t="s">
        <v>2069</v>
      </c>
      <c r="Q25" s="73" t="s">
        <v>1596</v>
      </c>
      <c r="R25" s="73" t="s">
        <v>2069</v>
      </c>
      <c r="S25" s="73" t="s">
        <v>2052</v>
      </c>
      <c r="T25" s="73" t="s">
        <v>2053</v>
      </c>
      <c r="U25" s="73" t="s">
        <v>2147</v>
      </c>
      <c r="V25" s="77" t="s">
        <v>2148</v>
      </c>
      <c r="W25" s="71" t="s">
        <v>2054</v>
      </c>
      <c r="X25" s="67"/>
      <c r="Y25" s="71" t="s">
        <v>2149</v>
      </c>
    </row>
    <row r="26" spans="1:25" ht="409.5">
      <c r="A26" s="73" t="s">
        <v>11</v>
      </c>
      <c r="B26" s="73" t="s">
        <v>261</v>
      </c>
      <c r="C26" s="73" t="str">
        <f ca="1">IFERROR(__xludf.DUMMYFUNCTION("filter('Back End'!C:C,'Back End'!A:A=A26,'Back End'!B:B=B26,'Back End'!D:D=D26)"),"#REF!")</f>
        <v>#REF!</v>
      </c>
      <c r="D26" s="73" t="s">
        <v>828</v>
      </c>
      <c r="E26" s="73" t="s">
        <v>90</v>
      </c>
      <c r="F26" s="74"/>
      <c r="G26" s="73" t="s">
        <v>2059</v>
      </c>
      <c r="H26" s="73" t="s">
        <v>2150</v>
      </c>
      <c r="I26" s="73" t="s">
        <v>2038</v>
      </c>
      <c r="J26" s="73" t="s">
        <v>2151</v>
      </c>
      <c r="K26" s="73" t="s">
        <v>2040</v>
      </c>
      <c r="L26" s="73" t="s">
        <v>2152</v>
      </c>
      <c r="M26" s="73" t="s">
        <v>1591</v>
      </c>
      <c r="N26" s="73" t="s">
        <v>2042</v>
      </c>
      <c r="O26" s="73" t="s">
        <v>1591</v>
      </c>
      <c r="P26" s="73" t="s">
        <v>2042</v>
      </c>
      <c r="Q26" s="73" t="s">
        <v>1596</v>
      </c>
      <c r="R26" s="73" t="s">
        <v>2125</v>
      </c>
      <c r="S26" s="73" t="s">
        <v>2079</v>
      </c>
      <c r="T26" s="73" t="s">
        <v>2044</v>
      </c>
      <c r="U26" s="73" t="s">
        <v>2153</v>
      </c>
      <c r="V26" s="67"/>
      <c r="W26" s="71" t="s">
        <v>2054</v>
      </c>
      <c r="X26" s="67"/>
      <c r="Y26" s="67"/>
    </row>
    <row r="27" spans="1:25" ht="409.5">
      <c r="A27" s="73" t="s">
        <v>19</v>
      </c>
      <c r="B27" s="73" t="s">
        <v>88</v>
      </c>
      <c r="C27" s="73" t="str">
        <f ca="1">IFERROR(__xludf.DUMMYFUNCTION("filter('Back End'!C:C,'Back End'!A:A=A27,'Back End'!B:B=B27,'Back End'!D:D=D27)"),"#REF!")</f>
        <v>#REF!</v>
      </c>
      <c r="D27" s="73" t="s">
        <v>127</v>
      </c>
      <c r="E27" s="73" t="s">
        <v>2082</v>
      </c>
      <c r="F27" s="74"/>
      <c r="G27" s="73" t="s">
        <v>2083</v>
      </c>
      <c r="H27" s="73" t="s">
        <v>2154</v>
      </c>
      <c r="I27" s="73" t="s">
        <v>2038</v>
      </c>
      <c r="J27" s="73" t="s">
        <v>2155</v>
      </c>
      <c r="K27" s="73" t="s">
        <v>2048</v>
      </c>
      <c r="L27" s="73" t="s">
        <v>2156</v>
      </c>
      <c r="M27" s="73" t="s">
        <v>2050</v>
      </c>
      <c r="N27" s="73" t="s">
        <v>2051</v>
      </c>
      <c r="O27" s="73" t="s">
        <v>1591</v>
      </c>
      <c r="P27" s="73" t="s">
        <v>2042</v>
      </c>
      <c r="Q27" s="73" t="s">
        <v>2050</v>
      </c>
      <c r="R27" s="73" t="s">
        <v>2051</v>
      </c>
      <c r="S27" s="73" t="s">
        <v>2043</v>
      </c>
      <c r="T27" s="73" t="s">
        <v>2134</v>
      </c>
      <c r="U27" s="74"/>
      <c r="V27" s="75"/>
      <c r="W27" s="71" t="s">
        <v>2070</v>
      </c>
      <c r="X27" s="75"/>
      <c r="Y27" s="75"/>
    </row>
    <row r="28" spans="1:25" ht="283.5">
      <c r="A28" s="73" t="s">
        <v>11</v>
      </c>
      <c r="B28" s="73" t="s">
        <v>261</v>
      </c>
      <c r="C28" s="73" t="str">
        <f ca="1">IFERROR(__xludf.DUMMYFUNCTION("filter('Back End'!C:C,'Back End'!A:A=A28,'Back End'!B:B=B28,'Back End'!D:D=D28)"),"#REF!")</f>
        <v>#REF!</v>
      </c>
      <c r="D28" s="73" t="s">
        <v>830</v>
      </c>
      <c r="E28" s="73" t="s">
        <v>2082</v>
      </c>
      <c r="F28" s="74"/>
      <c r="G28" s="73" t="s">
        <v>2083</v>
      </c>
      <c r="H28" s="73" t="s">
        <v>2157</v>
      </c>
      <c r="I28" s="73" t="s">
        <v>2114</v>
      </c>
      <c r="J28" s="73" t="s">
        <v>2158</v>
      </c>
      <c r="K28" s="73" t="s">
        <v>2048</v>
      </c>
      <c r="L28" s="73" t="s">
        <v>2159</v>
      </c>
      <c r="M28" s="73" t="s">
        <v>1596</v>
      </c>
      <c r="N28" s="73" t="s">
        <v>2069</v>
      </c>
      <c r="O28" s="73" t="s">
        <v>1591</v>
      </c>
      <c r="P28" s="73" t="s">
        <v>2042</v>
      </c>
      <c r="Q28" s="73" t="s">
        <v>2050</v>
      </c>
      <c r="R28" s="73" t="s">
        <v>2125</v>
      </c>
      <c r="S28" s="73" t="s">
        <v>2043</v>
      </c>
      <c r="T28" s="73" t="s">
        <v>2044</v>
      </c>
      <c r="U28" s="74"/>
      <c r="V28" s="67"/>
      <c r="W28" s="71" t="s">
        <v>2045</v>
      </c>
      <c r="X28" s="67"/>
      <c r="Y28" s="67"/>
    </row>
    <row r="29" spans="1:25" ht="54">
      <c r="A29" s="71" t="s">
        <v>19</v>
      </c>
      <c r="B29" s="71" t="s">
        <v>88</v>
      </c>
      <c r="C29" s="76" t="str">
        <f ca="1">IFERROR(__xludf.DUMMYFUNCTION("filter('Back End'!C:C,'Back End'!A:A=A29,'Back End'!B:B=B29,'Back End'!D:D=D29)"),"#REF!")</f>
        <v>#REF!</v>
      </c>
      <c r="D29" s="71" t="s">
        <v>132</v>
      </c>
      <c r="E29" s="71" t="s">
        <v>2082</v>
      </c>
      <c r="F29" s="67"/>
      <c r="G29" s="71" t="s">
        <v>2083</v>
      </c>
      <c r="H29" s="71" t="s">
        <v>2154</v>
      </c>
      <c r="I29" s="71" t="s">
        <v>2038</v>
      </c>
      <c r="J29" s="71" t="s">
        <v>2160</v>
      </c>
      <c r="K29" s="71" t="s">
        <v>2048</v>
      </c>
      <c r="L29" s="71" t="s">
        <v>2161</v>
      </c>
      <c r="M29" s="76" t="s">
        <v>2050</v>
      </c>
      <c r="N29" s="76" t="s">
        <v>2051</v>
      </c>
      <c r="O29" s="76" t="s">
        <v>1591</v>
      </c>
      <c r="P29" s="76" t="s">
        <v>2042</v>
      </c>
      <c r="Q29" s="76" t="s">
        <v>2050</v>
      </c>
      <c r="R29" s="76" t="s">
        <v>2051</v>
      </c>
      <c r="S29" s="76" t="s">
        <v>2043</v>
      </c>
      <c r="T29" s="76" t="s">
        <v>2134</v>
      </c>
      <c r="U29" s="67"/>
      <c r="V29" s="67"/>
      <c r="W29" s="71" t="s">
        <v>2070</v>
      </c>
      <c r="X29" s="67"/>
      <c r="Y29" s="67"/>
    </row>
    <row r="30" spans="1:25" ht="283.5">
      <c r="A30" s="73" t="s">
        <v>11</v>
      </c>
      <c r="B30" s="73" t="s">
        <v>261</v>
      </c>
      <c r="C30" s="73" t="str">
        <f ca="1">IFERROR(__xludf.DUMMYFUNCTION("filter('Back End'!C:C,'Back End'!A:A=A30,'Back End'!B:B=B30,'Back End'!D:D=D30)"),"#REF!")</f>
        <v>#REF!</v>
      </c>
      <c r="D30" s="73" t="s">
        <v>823</v>
      </c>
      <c r="E30" s="73" t="s">
        <v>2082</v>
      </c>
      <c r="F30" s="74"/>
      <c r="G30" s="73" t="s">
        <v>2083</v>
      </c>
      <c r="H30" s="73" t="s">
        <v>2162</v>
      </c>
      <c r="I30" s="73" t="s">
        <v>2094</v>
      </c>
      <c r="J30" s="73" t="s">
        <v>2163</v>
      </c>
      <c r="K30" s="73" t="s">
        <v>2048</v>
      </c>
      <c r="L30" s="73" t="s">
        <v>2164</v>
      </c>
      <c r="M30" s="73" t="s">
        <v>1596</v>
      </c>
      <c r="N30" s="73" t="s">
        <v>2069</v>
      </c>
      <c r="O30" s="73" t="s">
        <v>1591</v>
      </c>
      <c r="P30" s="73" t="s">
        <v>2042</v>
      </c>
      <c r="Q30" s="73" t="s">
        <v>2050</v>
      </c>
      <c r="R30" s="73" t="s">
        <v>2125</v>
      </c>
      <c r="S30" s="73" t="s">
        <v>2043</v>
      </c>
      <c r="T30" s="73" t="s">
        <v>2044</v>
      </c>
      <c r="U30" s="73" t="s">
        <v>2165</v>
      </c>
      <c r="V30" s="67"/>
      <c r="W30" s="71" t="s">
        <v>2045</v>
      </c>
      <c r="X30" s="67"/>
      <c r="Y30" s="67"/>
    </row>
    <row r="31" spans="1:25" ht="409.5">
      <c r="A31" s="73" t="s">
        <v>19</v>
      </c>
      <c r="B31" s="73" t="s">
        <v>88</v>
      </c>
      <c r="C31" s="73" t="str">
        <f ca="1">IFERROR(__xludf.DUMMYFUNCTION("filter('Back End'!C:C,'Back End'!A:A=A31,'Back End'!B:B=B31,'Back End'!D:D=D31)"),"#REF!")</f>
        <v>#REF!</v>
      </c>
      <c r="D31" s="73" t="s">
        <v>123</v>
      </c>
      <c r="E31" s="73" t="s">
        <v>2082</v>
      </c>
      <c r="F31" s="73" t="s">
        <v>2059</v>
      </c>
      <c r="G31" s="73" t="s">
        <v>2059</v>
      </c>
      <c r="H31" s="73" t="s">
        <v>2166</v>
      </c>
      <c r="I31" s="73" t="s">
        <v>2094</v>
      </c>
      <c r="J31" s="73" t="s">
        <v>2167</v>
      </c>
      <c r="K31" s="73" t="s">
        <v>2048</v>
      </c>
      <c r="L31" s="73" t="s">
        <v>2168</v>
      </c>
      <c r="M31" s="73" t="s">
        <v>1596</v>
      </c>
      <c r="N31" s="73" t="s">
        <v>2169</v>
      </c>
      <c r="O31" s="73" t="s">
        <v>1591</v>
      </c>
      <c r="P31" s="73" t="s">
        <v>2042</v>
      </c>
      <c r="Q31" s="73" t="s">
        <v>2050</v>
      </c>
      <c r="R31" s="73" t="s">
        <v>2051</v>
      </c>
      <c r="S31" s="73" t="s">
        <v>2043</v>
      </c>
      <c r="T31" s="73" t="s">
        <v>2044</v>
      </c>
      <c r="U31" s="74"/>
      <c r="V31" s="74"/>
      <c r="W31" s="73" t="s">
        <v>2054</v>
      </c>
      <c r="X31" s="74"/>
      <c r="Y31" s="73" t="s">
        <v>2098</v>
      </c>
    </row>
    <row r="32" spans="1:25" ht="391.5">
      <c r="A32" s="73" t="s">
        <v>19</v>
      </c>
      <c r="B32" s="73" t="s">
        <v>88</v>
      </c>
      <c r="C32" s="73" t="str">
        <f ca="1">IFERROR(__xludf.DUMMYFUNCTION("filter('Back End'!C:C,'Back End'!A:A=A32,'Back End'!B:B=B32,'Back End'!D:D=D32)"),"#REF!")</f>
        <v>#REF!</v>
      </c>
      <c r="D32" s="73" t="s">
        <v>121</v>
      </c>
      <c r="E32" s="73" t="s">
        <v>90</v>
      </c>
      <c r="F32" s="74"/>
      <c r="G32" s="73" t="s">
        <v>2059</v>
      </c>
      <c r="H32" s="73" t="s">
        <v>2170</v>
      </c>
      <c r="I32" s="73" t="s">
        <v>2038</v>
      </c>
      <c r="J32" s="73" t="s">
        <v>2171</v>
      </c>
      <c r="K32" s="73" t="s">
        <v>2040</v>
      </c>
      <c r="L32" s="73" t="s">
        <v>2172</v>
      </c>
      <c r="M32" s="73" t="s">
        <v>1596</v>
      </c>
      <c r="N32" s="73" t="s">
        <v>2069</v>
      </c>
      <c r="O32" s="73" t="s">
        <v>1596</v>
      </c>
      <c r="P32" s="73" t="s">
        <v>2069</v>
      </c>
      <c r="Q32" s="73" t="s">
        <v>1596</v>
      </c>
      <c r="R32" s="73" t="s">
        <v>2069</v>
      </c>
      <c r="S32" s="73" t="s">
        <v>2043</v>
      </c>
      <c r="T32" s="73" t="s">
        <v>2134</v>
      </c>
      <c r="U32" s="74"/>
      <c r="V32" s="67"/>
      <c r="W32" s="71" t="s">
        <v>2054</v>
      </c>
      <c r="X32" s="67"/>
      <c r="Y32" s="67"/>
    </row>
    <row r="33" spans="1:25" ht="409.5">
      <c r="A33" s="73" t="s">
        <v>10</v>
      </c>
      <c r="B33" s="73" t="s">
        <v>10</v>
      </c>
      <c r="C33" s="73" t="str">
        <f ca="1">IFERROR(__xludf.DUMMYFUNCTION("filter('Back End'!C:C,'Back End'!A:A=A33,'Back End'!B:B=B33,'Back End'!D:D=D33)"),"#REF!")</f>
        <v>#REF!</v>
      </c>
      <c r="D33" s="73" t="s">
        <v>520</v>
      </c>
      <c r="E33" s="73" t="s">
        <v>90</v>
      </c>
      <c r="F33" s="74"/>
      <c r="G33" s="73" t="s">
        <v>2059</v>
      </c>
      <c r="H33" s="73" t="s">
        <v>2173</v>
      </c>
      <c r="I33" s="73" t="s">
        <v>2038</v>
      </c>
      <c r="J33" s="73" t="s">
        <v>2174</v>
      </c>
      <c r="K33" s="73" t="s">
        <v>2048</v>
      </c>
      <c r="L33" s="73" t="s">
        <v>2175</v>
      </c>
      <c r="M33" s="73" t="s">
        <v>1591</v>
      </c>
      <c r="N33" s="73" t="s">
        <v>2042</v>
      </c>
      <c r="O33" s="73" t="s">
        <v>1591</v>
      </c>
      <c r="P33" s="73" t="s">
        <v>2042</v>
      </c>
      <c r="Q33" s="73" t="s">
        <v>2050</v>
      </c>
      <c r="R33" s="73" t="s">
        <v>2051</v>
      </c>
      <c r="S33" s="73" t="s">
        <v>2043</v>
      </c>
      <c r="T33" s="73" t="s">
        <v>2044</v>
      </c>
      <c r="U33" s="73" t="s">
        <v>2176</v>
      </c>
      <c r="V33" s="67"/>
      <c r="W33" s="71" t="s">
        <v>2054</v>
      </c>
      <c r="X33" s="67"/>
      <c r="Y33" s="67"/>
    </row>
    <row r="34" spans="1:25" ht="409.5">
      <c r="A34" s="73" t="s">
        <v>11</v>
      </c>
      <c r="B34" s="73" t="s">
        <v>297</v>
      </c>
      <c r="C34" s="73" t="str">
        <f ca="1">IFERROR(__xludf.DUMMYFUNCTION("filter('Back End'!C:C,'Back End'!A:A=A34,'Back End'!B:B=B34,'Back End'!D:D=D34)"),"#REF!")</f>
        <v>#REF!</v>
      </c>
      <c r="D34" s="73" t="s">
        <v>845</v>
      </c>
      <c r="E34" s="73" t="s">
        <v>90</v>
      </c>
      <c r="F34" s="74"/>
      <c r="G34" s="73" t="s">
        <v>2059</v>
      </c>
      <c r="H34" s="73" t="s">
        <v>2113</v>
      </c>
      <c r="I34" s="73" t="s">
        <v>2038</v>
      </c>
      <c r="J34" s="73" t="s">
        <v>2177</v>
      </c>
      <c r="K34" s="73" t="s">
        <v>2048</v>
      </c>
      <c r="L34" s="73" t="s">
        <v>2178</v>
      </c>
      <c r="M34" s="73" t="s">
        <v>1591</v>
      </c>
      <c r="N34" s="73" t="s">
        <v>2042</v>
      </c>
      <c r="O34" s="73" t="s">
        <v>1591</v>
      </c>
      <c r="P34" s="73" t="s">
        <v>2042</v>
      </c>
      <c r="Q34" s="73" t="s">
        <v>1596</v>
      </c>
      <c r="R34" s="73" t="s">
        <v>2125</v>
      </c>
      <c r="S34" s="73" t="s">
        <v>2043</v>
      </c>
      <c r="T34" s="73" t="s">
        <v>2044</v>
      </c>
      <c r="U34" s="74"/>
      <c r="V34" s="67"/>
      <c r="W34" s="71" t="s">
        <v>2045</v>
      </c>
      <c r="X34" s="67"/>
      <c r="Y34" s="67"/>
    </row>
    <row r="35" spans="1:25" ht="337.5">
      <c r="A35" s="73" t="s">
        <v>11</v>
      </c>
      <c r="B35" s="73" t="s">
        <v>297</v>
      </c>
      <c r="C35" s="73" t="str">
        <f ca="1">IFERROR(__xludf.DUMMYFUNCTION("filter('Back End'!C:C,'Back End'!A:A=A35,'Back End'!B:B=B35,'Back End'!D:D=D35)"),"#REF!")</f>
        <v>#REF!</v>
      </c>
      <c r="D35" s="73" t="s">
        <v>327</v>
      </c>
      <c r="E35" s="73" t="s">
        <v>90</v>
      </c>
      <c r="F35" s="74"/>
      <c r="G35" s="73" t="s">
        <v>2059</v>
      </c>
      <c r="H35" s="73" t="s">
        <v>2179</v>
      </c>
      <c r="I35" s="73" t="s">
        <v>2038</v>
      </c>
      <c r="J35" s="73" t="s">
        <v>2180</v>
      </c>
      <c r="K35" s="73" t="s">
        <v>2048</v>
      </c>
      <c r="L35" s="73" t="s">
        <v>2181</v>
      </c>
      <c r="M35" s="73" t="s">
        <v>1591</v>
      </c>
      <c r="N35" s="73" t="s">
        <v>2042</v>
      </c>
      <c r="O35" s="73" t="s">
        <v>1591</v>
      </c>
      <c r="P35" s="73" t="s">
        <v>2042</v>
      </c>
      <c r="Q35" s="73" t="s">
        <v>2050</v>
      </c>
      <c r="R35" s="73" t="s">
        <v>2051</v>
      </c>
      <c r="S35" s="73" t="s">
        <v>2043</v>
      </c>
      <c r="T35" s="73" t="s">
        <v>2044</v>
      </c>
      <c r="U35" s="74"/>
      <c r="V35" s="67"/>
      <c r="W35" s="71" t="s">
        <v>2045</v>
      </c>
      <c r="X35" s="67"/>
      <c r="Y35" s="67"/>
    </row>
    <row r="36" spans="1:25" ht="391.5">
      <c r="A36" s="73" t="s">
        <v>19</v>
      </c>
      <c r="B36" s="73" t="s">
        <v>88</v>
      </c>
      <c r="C36" s="73" t="str">
        <f ca="1">IFERROR(__xludf.DUMMYFUNCTION("filter('Back End'!C:C,'Back End'!A:A=A36,'Back End'!B:B=B36,'Back End'!D:D=D36)"),"#REF!")</f>
        <v>#REF!</v>
      </c>
      <c r="D36" s="73" t="s">
        <v>145</v>
      </c>
      <c r="E36" s="73" t="s">
        <v>90</v>
      </c>
      <c r="F36" s="74"/>
      <c r="G36" s="73" t="s">
        <v>2059</v>
      </c>
      <c r="H36" s="73" t="s">
        <v>2182</v>
      </c>
      <c r="I36" s="73" t="s">
        <v>2108</v>
      </c>
      <c r="J36" s="73" t="s">
        <v>2183</v>
      </c>
      <c r="K36" s="73" t="s">
        <v>2048</v>
      </c>
      <c r="L36" s="73" t="s">
        <v>2184</v>
      </c>
      <c r="M36" s="73" t="s">
        <v>1591</v>
      </c>
      <c r="N36" s="73" t="s">
        <v>2042</v>
      </c>
      <c r="O36" s="73" t="s">
        <v>1591</v>
      </c>
      <c r="P36" s="73" t="s">
        <v>2042</v>
      </c>
      <c r="Q36" s="73" t="s">
        <v>2050</v>
      </c>
      <c r="R36" s="73" t="s">
        <v>2051</v>
      </c>
      <c r="S36" s="73" t="s">
        <v>2079</v>
      </c>
      <c r="T36" s="73" t="s">
        <v>2044</v>
      </c>
      <c r="U36" s="73" t="s">
        <v>2185</v>
      </c>
      <c r="V36" s="67"/>
      <c r="W36" s="71" t="s">
        <v>2054</v>
      </c>
      <c r="X36" s="67"/>
      <c r="Y36" s="67"/>
    </row>
    <row r="37" spans="1:25" ht="409.5">
      <c r="A37" s="73" t="s">
        <v>15</v>
      </c>
      <c r="B37" s="73" t="s">
        <v>389</v>
      </c>
      <c r="C37" s="73" t="str">
        <f ca="1">IFERROR(__xludf.DUMMYFUNCTION("filter('Back End'!C:C,'Back End'!A:A=A37,'Back End'!B:B=B37,'Back End'!D:D=D37)"),"#REF!")</f>
        <v>#REF!</v>
      </c>
      <c r="D37" s="73" t="s">
        <v>390</v>
      </c>
      <c r="E37" s="73" t="s">
        <v>90</v>
      </c>
      <c r="F37" s="74"/>
      <c r="G37" s="73" t="s">
        <v>2059</v>
      </c>
      <c r="H37" s="73" t="s">
        <v>2186</v>
      </c>
      <c r="I37" s="73" t="s">
        <v>2063</v>
      </c>
      <c r="J37" s="73" t="s">
        <v>2187</v>
      </c>
      <c r="K37" s="73" t="s">
        <v>2188</v>
      </c>
      <c r="L37" s="73" t="s">
        <v>2189</v>
      </c>
      <c r="M37" s="73" t="s">
        <v>1596</v>
      </c>
      <c r="N37" s="73" t="s">
        <v>2069</v>
      </c>
      <c r="O37" s="73" t="s">
        <v>1591</v>
      </c>
      <c r="P37" s="73" t="s">
        <v>2042</v>
      </c>
      <c r="Q37" s="73" t="s">
        <v>1591</v>
      </c>
      <c r="R37" s="73" t="s">
        <v>2042</v>
      </c>
      <c r="S37" s="73" t="s">
        <v>2079</v>
      </c>
      <c r="T37" s="73" t="s">
        <v>2044</v>
      </c>
      <c r="U37" s="73" t="s">
        <v>2190</v>
      </c>
      <c r="V37" s="67"/>
      <c r="W37" s="71" t="s">
        <v>2054</v>
      </c>
      <c r="X37" s="67"/>
      <c r="Y37" s="67"/>
    </row>
    <row r="38" spans="1:25" ht="351">
      <c r="A38" s="73" t="s">
        <v>7</v>
      </c>
      <c r="B38" s="73" t="s">
        <v>7</v>
      </c>
      <c r="C38" s="73" t="str">
        <f ca="1">IFERROR(__xludf.DUMMYFUNCTION("filter('Back End'!C:C,'Back End'!A:A=A38,'Back End'!B:B=B38,'Back End'!D:D=D38)"),"#REF!")</f>
        <v>#REF!</v>
      </c>
      <c r="D38" s="73" t="s">
        <v>774</v>
      </c>
      <c r="E38" s="73" t="s">
        <v>90</v>
      </c>
      <c r="F38" s="74"/>
      <c r="G38" s="73" t="s">
        <v>2059</v>
      </c>
      <c r="H38" s="73" t="s">
        <v>2191</v>
      </c>
      <c r="I38" s="73" t="s">
        <v>2038</v>
      </c>
      <c r="J38" s="73" t="s">
        <v>2192</v>
      </c>
      <c r="K38" s="73" t="s">
        <v>2048</v>
      </c>
      <c r="L38" s="73" t="s">
        <v>2193</v>
      </c>
      <c r="M38" s="73" t="s">
        <v>1591</v>
      </c>
      <c r="N38" s="73" t="s">
        <v>2042</v>
      </c>
      <c r="O38" s="73" t="s">
        <v>1591</v>
      </c>
      <c r="P38" s="73" t="s">
        <v>2042</v>
      </c>
      <c r="Q38" s="73" t="s">
        <v>2050</v>
      </c>
      <c r="R38" s="73" t="s">
        <v>2051</v>
      </c>
      <c r="S38" s="73" t="s">
        <v>2043</v>
      </c>
      <c r="T38" s="73" t="s">
        <v>2044</v>
      </c>
      <c r="U38" s="74"/>
      <c r="V38" s="75"/>
      <c r="W38" s="71" t="s">
        <v>2054</v>
      </c>
      <c r="X38" s="75"/>
      <c r="Y38" s="75"/>
    </row>
    <row r="39" spans="1:25" ht="310.5">
      <c r="A39" s="73" t="s">
        <v>7</v>
      </c>
      <c r="B39" s="73" t="s">
        <v>7</v>
      </c>
      <c r="C39" s="73" t="str">
        <f ca="1">IFERROR(__xludf.DUMMYFUNCTION("filter('Back End'!C:C,'Back End'!A:A=A39,'Back End'!B:B=B39,'Back End'!D:D=D39)"),"#REF!")</f>
        <v>#REF!</v>
      </c>
      <c r="D39" s="73" t="s">
        <v>749</v>
      </c>
      <c r="E39" s="73" t="s">
        <v>90</v>
      </c>
      <c r="F39" s="74"/>
      <c r="G39" s="73" t="s">
        <v>2194</v>
      </c>
      <c r="H39" s="73" t="s">
        <v>2195</v>
      </c>
      <c r="I39" s="73" t="s">
        <v>2108</v>
      </c>
      <c r="J39" s="73" t="s">
        <v>2196</v>
      </c>
      <c r="K39" s="73" t="s">
        <v>2048</v>
      </c>
      <c r="L39" s="73" t="s">
        <v>2197</v>
      </c>
      <c r="M39" s="73" t="s">
        <v>1596</v>
      </c>
      <c r="N39" s="73" t="s">
        <v>2069</v>
      </c>
      <c r="O39" s="73" t="s">
        <v>1591</v>
      </c>
      <c r="P39" s="73" t="s">
        <v>2042</v>
      </c>
      <c r="Q39" s="73" t="s">
        <v>2050</v>
      </c>
      <c r="R39" s="73" t="s">
        <v>2051</v>
      </c>
      <c r="S39" s="73" t="s">
        <v>2079</v>
      </c>
      <c r="T39" s="73" t="s">
        <v>2044</v>
      </c>
      <c r="U39" s="73" t="s">
        <v>2198</v>
      </c>
      <c r="V39" s="67"/>
      <c r="W39" s="71" t="s">
        <v>2054</v>
      </c>
      <c r="X39" s="67"/>
      <c r="Y39" s="67"/>
    </row>
    <row r="40" spans="1:25" ht="405">
      <c r="A40" s="73" t="s">
        <v>7</v>
      </c>
      <c r="B40" s="73" t="s">
        <v>706</v>
      </c>
      <c r="C40" s="73" t="str">
        <f ca="1">IFERROR(__xludf.DUMMYFUNCTION("filter('Back End'!C:C,'Back End'!A:A=A40,'Back End'!B:B=B40,'Back End'!D:D=D40)"),"#REF!")</f>
        <v>#REF!</v>
      </c>
      <c r="D40" s="73" t="s">
        <v>707</v>
      </c>
      <c r="E40" s="73" t="s">
        <v>2082</v>
      </c>
      <c r="F40" s="74"/>
      <c r="G40" s="73" t="s">
        <v>2083</v>
      </c>
      <c r="H40" s="73" t="s">
        <v>2199</v>
      </c>
      <c r="I40" s="73" t="s">
        <v>2038</v>
      </c>
      <c r="J40" s="73" t="s">
        <v>2200</v>
      </c>
      <c r="K40" s="73" t="s">
        <v>2048</v>
      </c>
      <c r="L40" s="73" t="s">
        <v>2201</v>
      </c>
      <c r="M40" s="73" t="s">
        <v>1596</v>
      </c>
      <c r="N40" s="73" t="s">
        <v>2069</v>
      </c>
      <c r="O40" s="73" t="s">
        <v>1591</v>
      </c>
      <c r="P40" s="73" t="s">
        <v>2042</v>
      </c>
      <c r="Q40" s="73" t="s">
        <v>2050</v>
      </c>
      <c r="R40" s="73" t="s">
        <v>2051</v>
      </c>
      <c r="S40" s="73" t="s">
        <v>2043</v>
      </c>
      <c r="T40" s="73" t="s">
        <v>2044</v>
      </c>
      <c r="U40" s="73" t="s">
        <v>2202</v>
      </c>
      <c r="V40" s="67"/>
      <c r="W40" s="71" t="s">
        <v>2054</v>
      </c>
      <c r="X40" s="67"/>
      <c r="Y40" s="67"/>
    </row>
    <row r="41" spans="1:25" ht="256.5">
      <c r="A41" s="73" t="s">
        <v>7</v>
      </c>
      <c r="B41" s="73" t="s">
        <v>671</v>
      </c>
      <c r="C41" s="73" t="str">
        <f ca="1">IFERROR(__xludf.DUMMYFUNCTION("filter('Back End'!C:C,'Back End'!A:A=A41,'Back End'!B:B=B41,'Back End'!D:D=D41)"),"#REF!")</f>
        <v>#REF!</v>
      </c>
      <c r="D41" s="73" t="s">
        <v>675</v>
      </c>
      <c r="E41" s="73" t="s">
        <v>90</v>
      </c>
      <c r="F41" s="74"/>
      <c r="G41" s="73" t="s">
        <v>2059</v>
      </c>
      <c r="H41" s="73" t="s">
        <v>2203</v>
      </c>
      <c r="I41" s="73" t="s">
        <v>2038</v>
      </c>
      <c r="J41" s="73" t="s">
        <v>2204</v>
      </c>
      <c r="K41" s="73" t="s">
        <v>2048</v>
      </c>
      <c r="L41" s="73" t="s">
        <v>2205</v>
      </c>
      <c r="M41" s="73" t="s">
        <v>1596</v>
      </c>
      <c r="N41" s="73" t="s">
        <v>2069</v>
      </c>
      <c r="O41" s="73" t="s">
        <v>1591</v>
      </c>
      <c r="P41" s="73" t="s">
        <v>2042</v>
      </c>
      <c r="Q41" s="73" t="s">
        <v>2050</v>
      </c>
      <c r="R41" s="73" t="s">
        <v>2051</v>
      </c>
      <c r="S41" s="73" t="s">
        <v>2043</v>
      </c>
      <c r="T41" s="73" t="s">
        <v>2044</v>
      </c>
      <c r="U41" s="74"/>
      <c r="V41" s="67"/>
      <c r="W41" s="71" t="s">
        <v>2054</v>
      </c>
      <c r="X41" s="67"/>
      <c r="Y41" s="67"/>
    </row>
    <row r="42" spans="1:25" ht="405">
      <c r="A42" s="73" t="s">
        <v>7</v>
      </c>
      <c r="B42" s="73" t="s">
        <v>671</v>
      </c>
      <c r="C42" s="73" t="str">
        <f ca="1">IFERROR(__xludf.DUMMYFUNCTION("filter('Back End'!C:C,'Back End'!A:A=A42,'Back End'!B:B=B42,'Back End'!D:D=D42)"),"#REF!")</f>
        <v>#REF!</v>
      </c>
      <c r="D42" s="73" t="s">
        <v>674</v>
      </c>
      <c r="E42" s="73" t="s">
        <v>90</v>
      </c>
      <c r="F42" s="74"/>
      <c r="G42" s="73" t="s">
        <v>2059</v>
      </c>
      <c r="H42" s="73" t="s">
        <v>2206</v>
      </c>
      <c r="I42" s="73" t="s">
        <v>2038</v>
      </c>
      <c r="J42" s="73" t="s">
        <v>2207</v>
      </c>
      <c r="K42" s="73" t="s">
        <v>2048</v>
      </c>
      <c r="L42" s="73" t="s">
        <v>2208</v>
      </c>
      <c r="M42" s="73" t="s">
        <v>1596</v>
      </c>
      <c r="N42" s="73" t="s">
        <v>2069</v>
      </c>
      <c r="O42" s="73" t="s">
        <v>1591</v>
      </c>
      <c r="P42" s="73" t="s">
        <v>2042</v>
      </c>
      <c r="Q42" s="73" t="s">
        <v>2050</v>
      </c>
      <c r="R42" s="73" t="s">
        <v>2051</v>
      </c>
      <c r="S42" s="73" t="s">
        <v>2043</v>
      </c>
      <c r="T42" s="73" t="s">
        <v>2044</v>
      </c>
      <c r="U42" s="73" t="s">
        <v>2209</v>
      </c>
      <c r="V42" s="67"/>
      <c r="W42" s="71" t="s">
        <v>2054</v>
      </c>
      <c r="X42" s="67"/>
      <c r="Y42" s="67"/>
    </row>
    <row r="43" spans="1:25" ht="409.5">
      <c r="A43" s="73" t="s">
        <v>7</v>
      </c>
      <c r="B43" s="73" t="s">
        <v>671</v>
      </c>
      <c r="C43" s="73" t="str">
        <f ca="1">IFERROR(__xludf.DUMMYFUNCTION("filter('Back End'!C:C,'Back End'!A:A=A43,'Back End'!B:B=B43,'Back End'!D:D=D43)"),"#REF!")</f>
        <v>#REF!</v>
      </c>
      <c r="D43" s="73" t="s">
        <v>677</v>
      </c>
      <c r="E43" s="73" t="s">
        <v>2082</v>
      </c>
      <c r="F43" s="74"/>
      <c r="G43" s="73" t="s">
        <v>2083</v>
      </c>
      <c r="H43" s="73" t="s">
        <v>2210</v>
      </c>
      <c r="I43" s="73" t="s">
        <v>2038</v>
      </c>
      <c r="J43" s="73" t="s">
        <v>2211</v>
      </c>
      <c r="K43" s="73" t="s">
        <v>2048</v>
      </c>
      <c r="L43" s="73" t="s">
        <v>2212</v>
      </c>
      <c r="M43" s="73" t="s">
        <v>1596</v>
      </c>
      <c r="N43" s="73" t="s">
        <v>2069</v>
      </c>
      <c r="O43" s="73" t="s">
        <v>1591</v>
      </c>
      <c r="P43" s="73" t="s">
        <v>2042</v>
      </c>
      <c r="Q43" s="73" t="s">
        <v>2050</v>
      </c>
      <c r="R43" s="73" t="s">
        <v>2051</v>
      </c>
      <c r="S43" s="73" t="s">
        <v>2043</v>
      </c>
      <c r="T43" s="73" t="s">
        <v>2044</v>
      </c>
      <c r="U43" s="73" t="s">
        <v>2213</v>
      </c>
      <c r="V43" s="67"/>
      <c r="W43" s="71" t="s">
        <v>2054</v>
      </c>
      <c r="X43" s="67"/>
      <c r="Y43" s="67"/>
    </row>
    <row r="44" spans="1:25" ht="364.5">
      <c r="A44" s="73" t="s">
        <v>7</v>
      </c>
      <c r="B44" s="73" t="s">
        <v>706</v>
      </c>
      <c r="C44" s="73" t="str">
        <f ca="1">IFERROR(__xludf.DUMMYFUNCTION("filter('Back End'!C:C,'Back End'!A:A=A44,'Back End'!B:B=B44,'Back End'!D:D=D44)"),"#REF!")</f>
        <v>#REF!</v>
      </c>
      <c r="D44" s="73" t="s">
        <v>716</v>
      </c>
      <c r="E44" s="73" t="s">
        <v>90</v>
      </c>
      <c r="F44" s="74"/>
      <c r="G44" s="73" t="s">
        <v>2059</v>
      </c>
      <c r="H44" s="73" t="s">
        <v>2214</v>
      </c>
      <c r="I44" s="73" t="s">
        <v>2038</v>
      </c>
      <c r="J44" s="73" t="s">
        <v>2215</v>
      </c>
      <c r="K44" s="73" t="s">
        <v>2040</v>
      </c>
      <c r="L44" s="73" t="s">
        <v>2216</v>
      </c>
      <c r="M44" s="73" t="s">
        <v>1591</v>
      </c>
      <c r="N44" s="73" t="s">
        <v>2042</v>
      </c>
      <c r="O44" s="73" t="s">
        <v>1596</v>
      </c>
      <c r="P44" s="73" t="s">
        <v>2069</v>
      </c>
      <c r="Q44" s="73" t="s">
        <v>2050</v>
      </c>
      <c r="R44" s="73" t="s">
        <v>2051</v>
      </c>
      <c r="S44" s="73" t="s">
        <v>2079</v>
      </c>
      <c r="T44" s="73" t="s">
        <v>2044</v>
      </c>
      <c r="U44" s="74"/>
      <c r="V44" s="67"/>
      <c r="W44" s="71" t="s">
        <v>2054</v>
      </c>
      <c r="X44" s="67"/>
      <c r="Y44" s="67"/>
    </row>
    <row r="45" spans="1:25" ht="256.5">
      <c r="A45" s="73" t="s">
        <v>7</v>
      </c>
      <c r="B45" s="73" t="s">
        <v>671</v>
      </c>
      <c r="C45" s="73" t="str">
        <f ca="1">IFERROR(__xludf.DUMMYFUNCTION("filter('Back End'!C:C,'Back End'!A:A=A45,'Back End'!B:B=B45,'Back End'!D:D=D45)"),"#REF!")</f>
        <v>#REF!</v>
      </c>
      <c r="D45" s="73" t="s">
        <v>681</v>
      </c>
      <c r="E45" s="73" t="s">
        <v>90</v>
      </c>
      <c r="F45" s="74"/>
      <c r="G45" s="73" t="s">
        <v>2059</v>
      </c>
      <c r="H45" s="73" t="s">
        <v>2217</v>
      </c>
      <c r="I45" s="73" t="s">
        <v>2038</v>
      </c>
      <c r="J45" s="73" t="s">
        <v>2218</v>
      </c>
      <c r="K45" s="73" t="s">
        <v>2048</v>
      </c>
      <c r="L45" s="73" t="s">
        <v>2219</v>
      </c>
      <c r="M45" s="73" t="s">
        <v>1596</v>
      </c>
      <c r="N45" s="73" t="s">
        <v>2069</v>
      </c>
      <c r="O45" s="73" t="s">
        <v>1591</v>
      </c>
      <c r="P45" s="73" t="s">
        <v>2042</v>
      </c>
      <c r="Q45" s="73" t="s">
        <v>2050</v>
      </c>
      <c r="R45" s="73" t="s">
        <v>2051</v>
      </c>
      <c r="S45" s="73" t="s">
        <v>2043</v>
      </c>
      <c r="T45" s="73" t="s">
        <v>2044</v>
      </c>
      <c r="U45" s="73" t="s">
        <v>2220</v>
      </c>
      <c r="V45" s="67"/>
      <c r="W45" s="71" t="s">
        <v>2054</v>
      </c>
      <c r="X45" s="67"/>
      <c r="Y45" s="67"/>
    </row>
    <row r="46" spans="1:25" ht="270">
      <c r="A46" s="73" t="s">
        <v>7</v>
      </c>
      <c r="B46" s="73" t="s">
        <v>671</v>
      </c>
      <c r="C46" s="73" t="str">
        <f ca="1">IFERROR(__xludf.DUMMYFUNCTION("filter('Back End'!C:C,'Back End'!A:A=A46,'Back End'!B:B=B46,'Back End'!D:D=D46)"),"#REF!")</f>
        <v>#REF!</v>
      </c>
      <c r="D46" s="73" t="s">
        <v>683</v>
      </c>
      <c r="E46" s="73" t="s">
        <v>2082</v>
      </c>
      <c r="F46" s="74"/>
      <c r="G46" s="73" t="s">
        <v>2083</v>
      </c>
      <c r="H46" s="73" t="s">
        <v>2221</v>
      </c>
      <c r="I46" s="73" t="s">
        <v>2038</v>
      </c>
      <c r="J46" s="73" t="s">
        <v>2222</v>
      </c>
      <c r="K46" s="73" t="s">
        <v>2048</v>
      </c>
      <c r="L46" s="73" t="s">
        <v>2223</v>
      </c>
      <c r="M46" s="73" t="s">
        <v>1596</v>
      </c>
      <c r="N46" s="73" t="s">
        <v>2069</v>
      </c>
      <c r="O46" s="73" t="s">
        <v>1591</v>
      </c>
      <c r="P46" s="73" t="s">
        <v>2042</v>
      </c>
      <c r="Q46" s="73" t="s">
        <v>2050</v>
      </c>
      <c r="R46" s="73" t="s">
        <v>2051</v>
      </c>
      <c r="S46" s="73" t="s">
        <v>2043</v>
      </c>
      <c r="T46" s="73" t="s">
        <v>2044</v>
      </c>
      <c r="U46" s="67"/>
      <c r="V46" s="67"/>
      <c r="W46" s="71" t="s">
        <v>2045</v>
      </c>
      <c r="X46" s="67"/>
      <c r="Y46" s="67"/>
    </row>
    <row r="47" spans="1:25" ht="409.5">
      <c r="A47" s="73" t="s">
        <v>7</v>
      </c>
      <c r="B47" s="73" t="s">
        <v>7</v>
      </c>
      <c r="C47" s="73" t="str">
        <f ca="1">IFERROR(__xludf.DUMMYFUNCTION("filter('Back End'!C:C,'Back End'!A:A=A47,'Back End'!B:B=B47,'Back End'!D:D=D47)"),"#REF!")</f>
        <v>#REF!</v>
      </c>
      <c r="D47" s="73" t="s">
        <v>761</v>
      </c>
      <c r="E47" s="73" t="s">
        <v>2082</v>
      </c>
      <c r="F47" s="74"/>
      <c r="G47" s="73" t="s">
        <v>2083</v>
      </c>
      <c r="H47" s="73" t="s">
        <v>2224</v>
      </c>
      <c r="I47" s="73" t="s">
        <v>2038</v>
      </c>
      <c r="J47" s="73" t="s">
        <v>2225</v>
      </c>
      <c r="K47" s="73" t="s">
        <v>2048</v>
      </c>
      <c r="L47" s="73" t="s">
        <v>2226</v>
      </c>
      <c r="M47" s="73" t="s">
        <v>1596</v>
      </c>
      <c r="N47" s="73" t="s">
        <v>2074</v>
      </c>
      <c r="O47" s="73" t="s">
        <v>1591</v>
      </c>
      <c r="P47" s="73" t="s">
        <v>2042</v>
      </c>
      <c r="Q47" s="73" t="s">
        <v>2050</v>
      </c>
      <c r="R47" s="73" t="s">
        <v>2051</v>
      </c>
      <c r="S47" s="73" t="s">
        <v>2079</v>
      </c>
      <c r="T47" s="73" t="s">
        <v>2044</v>
      </c>
      <c r="U47" s="73" t="s">
        <v>2227</v>
      </c>
      <c r="V47" s="67"/>
      <c r="W47" s="71" t="s">
        <v>2054</v>
      </c>
      <c r="X47" s="67"/>
      <c r="Y47" s="67"/>
    </row>
    <row r="48" spans="1:25" ht="337.5">
      <c r="A48" s="73" t="s">
        <v>7</v>
      </c>
      <c r="B48" s="73" t="s">
        <v>7</v>
      </c>
      <c r="C48" s="73" t="str">
        <f ca="1">IFERROR(__xludf.DUMMYFUNCTION("filter('Back End'!C:C,'Back End'!A:A=A48,'Back End'!B:B=B48,'Back End'!D:D=D48)"),"#REF!")</f>
        <v>#REF!</v>
      </c>
      <c r="D48" s="78" t="s">
        <v>760</v>
      </c>
      <c r="E48" s="73" t="s">
        <v>90</v>
      </c>
      <c r="F48" s="74"/>
      <c r="G48" s="73" t="s">
        <v>2059</v>
      </c>
      <c r="H48" s="73" t="s">
        <v>2228</v>
      </c>
      <c r="I48" s="73" t="s">
        <v>2094</v>
      </c>
      <c r="J48" s="73" t="s">
        <v>2229</v>
      </c>
      <c r="K48" s="73" t="s">
        <v>2040</v>
      </c>
      <c r="L48" s="73" t="s">
        <v>2230</v>
      </c>
      <c r="M48" s="73" t="s">
        <v>1591</v>
      </c>
      <c r="N48" s="73" t="s">
        <v>2042</v>
      </c>
      <c r="O48" s="73" t="s">
        <v>1596</v>
      </c>
      <c r="P48" s="73" t="s">
        <v>2069</v>
      </c>
      <c r="Q48" s="73" t="s">
        <v>2050</v>
      </c>
      <c r="R48" s="73" t="s">
        <v>2051</v>
      </c>
      <c r="S48" s="73" t="s">
        <v>2043</v>
      </c>
      <c r="T48" s="73" t="s">
        <v>2044</v>
      </c>
      <c r="U48" s="74"/>
      <c r="V48" s="67"/>
      <c r="W48" s="71" t="s">
        <v>2054</v>
      </c>
      <c r="X48" s="67"/>
      <c r="Y48" s="67"/>
    </row>
    <row r="49" spans="1:25" ht="409.5">
      <c r="A49" s="73" t="s">
        <v>7</v>
      </c>
      <c r="B49" s="73" t="s">
        <v>7</v>
      </c>
      <c r="C49" s="73" t="str">
        <f ca="1">IFERROR(__xludf.DUMMYFUNCTION("filter('Back End'!C:C,'Back End'!A:A=A49,'Back End'!B:B=B49,'Back End'!D:D=D49)"),"#REF!")</f>
        <v>#REF!</v>
      </c>
      <c r="D49" s="73" t="s">
        <v>773</v>
      </c>
      <c r="E49" s="73" t="s">
        <v>95</v>
      </c>
      <c r="F49" s="74"/>
      <c r="G49" s="73" t="s">
        <v>1590</v>
      </c>
      <c r="H49" s="73" t="s">
        <v>2231</v>
      </c>
      <c r="I49" s="73" t="s">
        <v>2232</v>
      </c>
      <c r="J49" s="73" t="s">
        <v>2233</v>
      </c>
      <c r="K49" s="73" t="s">
        <v>2040</v>
      </c>
      <c r="L49" s="73" t="s">
        <v>2234</v>
      </c>
      <c r="M49" s="73" t="s">
        <v>1591</v>
      </c>
      <c r="N49" s="73" t="s">
        <v>2042</v>
      </c>
      <c r="O49" s="73" t="s">
        <v>1596</v>
      </c>
      <c r="P49" s="73" t="s">
        <v>2069</v>
      </c>
      <c r="Q49" s="73" t="s">
        <v>2050</v>
      </c>
      <c r="R49" s="73" t="s">
        <v>2125</v>
      </c>
      <c r="S49" s="73" t="s">
        <v>2079</v>
      </c>
      <c r="T49" s="73" t="s">
        <v>2044</v>
      </c>
      <c r="U49" s="73" t="s">
        <v>2235</v>
      </c>
      <c r="V49" s="67"/>
      <c r="W49" s="71" t="s">
        <v>2054</v>
      </c>
      <c r="X49" s="67"/>
      <c r="Y49" s="67"/>
    </row>
    <row r="50" spans="1:25" ht="378">
      <c r="A50" s="73" t="s">
        <v>7</v>
      </c>
      <c r="B50" s="73" t="s">
        <v>7</v>
      </c>
      <c r="C50" s="73" t="str">
        <f ca="1">IFERROR(__xludf.DUMMYFUNCTION("filter('Back End'!C:C,'Back End'!A:A=A50,'Back End'!B:B=B50,'Back End'!D:D=D50)"),"#REF!")</f>
        <v>#REF!</v>
      </c>
      <c r="D50" s="73" t="s">
        <v>751</v>
      </c>
      <c r="E50" s="73" t="s">
        <v>2082</v>
      </c>
      <c r="F50" s="74"/>
      <c r="G50" s="73" t="s">
        <v>2083</v>
      </c>
      <c r="H50" s="73" t="s">
        <v>2236</v>
      </c>
      <c r="I50" s="73" t="s">
        <v>2038</v>
      </c>
      <c r="J50" s="73" t="s">
        <v>2237</v>
      </c>
      <c r="K50" s="73" t="s">
        <v>2048</v>
      </c>
      <c r="L50" s="73" t="s">
        <v>2238</v>
      </c>
      <c r="M50" s="73" t="s">
        <v>1596</v>
      </c>
      <c r="N50" s="73" t="s">
        <v>2074</v>
      </c>
      <c r="O50" s="73" t="s">
        <v>1591</v>
      </c>
      <c r="P50" s="73" t="s">
        <v>2042</v>
      </c>
      <c r="Q50" s="73" t="s">
        <v>2050</v>
      </c>
      <c r="R50" s="73" t="s">
        <v>2051</v>
      </c>
      <c r="S50" s="73" t="s">
        <v>2043</v>
      </c>
      <c r="T50" s="73" t="s">
        <v>2044</v>
      </c>
      <c r="U50" s="73" t="s">
        <v>2239</v>
      </c>
      <c r="V50" s="67"/>
      <c r="W50" s="71" t="s">
        <v>2054</v>
      </c>
      <c r="X50" s="67"/>
      <c r="Y50" s="67"/>
    </row>
    <row r="51" spans="1:25" ht="378">
      <c r="A51" s="73" t="s">
        <v>7</v>
      </c>
      <c r="B51" s="73" t="s">
        <v>7</v>
      </c>
      <c r="C51" s="73" t="str">
        <f ca="1">IFERROR(__xludf.DUMMYFUNCTION("filter('Back End'!C:C,'Back End'!A:A=A51,'Back End'!B:B=B51,'Back End'!D:D=D51)"),"#REF!")</f>
        <v>#REF!</v>
      </c>
      <c r="D51" s="73" t="s">
        <v>748</v>
      </c>
      <c r="E51" s="73" t="s">
        <v>90</v>
      </c>
      <c r="F51" s="74"/>
      <c r="G51" s="73" t="s">
        <v>2059</v>
      </c>
      <c r="H51" s="73" t="s">
        <v>2240</v>
      </c>
      <c r="I51" s="73" t="s">
        <v>2038</v>
      </c>
      <c r="J51" s="73" t="s">
        <v>2241</v>
      </c>
      <c r="K51" s="73" t="s">
        <v>2048</v>
      </c>
      <c r="L51" s="73" t="s">
        <v>2242</v>
      </c>
      <c r="M51" s="73" t="s">
        <v>1596</v>
      </c>
      <c r="N51" s="73" t="s">
        <v>2074</v>
      </c>
      <c r="O51" s="73" t="s">
        <v>1591</v>
      </c>
      <c r="P51" s="73" t="s">
        <v>2042</v>
      </c>
      <c r="Q51" s="73" t="s">
        <v>2050</v>
      </c>
      <c r="R51" s="73" t="s">
        <v>2051</v>
      </c>
      <c r="S51" s="73" t="s">
        <v>2079</v>
      </c>
      <c r="T51" s="73" t="s">
        <v>2053</v>
      </c>
      <c r="U51" s="73" t="s">
        <v>2243</v>
      </c>
      <c r="V51" s="67"/>
      <c r="W51" s="71" t="s">
        <v>2054</v>
      </c>
      <c r="X51" s="67"/>
      <c r="Y51" s="67"/>
    </row>
    <row r="52" spans="1:25" ht="324">
      <c r="A52" s="73" t="s">
        <v>7</v>
      </c>
      <c r="B52" s="73" t="s">
        <v>7</v>
      </c>
      <c r="C52" s="73" t="str">
        <f ca="1">IFERROR(__xludf.DUMMYFUNCTION("filter('Back End'!C:C,'Back End'!A:A=A52,'Back End'!B:B=B52,'Back End'!D:D=D52)"),"#REF!")</f>
        <v>#REF!</v>
      </c>
      <c r="D52" s="73" t="s">
        <v>763</v>
      </c>
      <c r="E52" s="73" t="s">
        <v>90</v>
      </c>
      <c r="F52" s="74"/>
      <c r="G52" s="73" t="s">
        <v>2059</v>
      </c>
      <c r="H52" s="73" t="s">
        <v>2244</v>
      </c>
      <c r="I52" s="73" t="s">
        <v>2245</v>
      </c>
      <c r="J52" s="73" t="s">
        <v>2246</v>
      </c>
      <c r="K52" s="73" t="s">
        <v>2048</v>
      </c>
      <c r="L52" s="73" t="s">
        <v>2247</v>
      </c>
      <c r="M52" s="73" t="s">
        <v>1596</v>
      </c>
      <c r="N52" s="73" t="s">
        <v>2069</v>
      </c>
      <c r="O52" s="73" t="s">
        <v>1591</v>
      </c>
      <c r="P52" s="73" t="s">
        <v>2042</v>
      </c>
      <c r="Q52" s="73" t="s">
        <v>2050</v>
      </c>
      <c r="R52" s="73" t="s">
        <v>2051</v>
      </c>
      <c r="S52" s="73" t="s">
        <v>2043</v>
      </c>
      <c r="T52" s="73" t="s">
        <v>2044</v>
      </c>
      <c r="U52" s="74"/>
      <c r="V52" s="67"/>
      <c r="W52" s="71" t="s">
        <v>2054</v>
      </c>
      <c r="X52" s="67"/>
      <c r="Y52" s="67"/>
    </row>
    <row r="53" spans="1:25" ht="409.5">
      <c r="A53" s="73" t="s">
        <v>7</v>
      </c>
      <c r="B53" s="73" t="s">
        <v>7</v>
      </c>
      <c r="C53" s="73" t="str">
        <f ca="1">IFERROR(__xludf.DUMMYFUNCTION("filter('Back End'!C:C,'Back End'!A:A=A53,'Back End'!B:B=B53,'Back End'!D:D=D53)"),"#REF!")</f>
        <v>#REF!</v>
      </c>
      <c r="D53" s="73" t="s">
        <v>755</v>
      </c>
      <c r="E53" s="73" t="s">
        <v>90</v>
      </c>
      <c r="F53" s="74"/>
      <c r="G53" s="73" t="s">
        <v>2059</v>
      </c>
      <c r="H53" s="73" t="s">
        <v>2090</v>
      </c>
      <c r="I53" s="73" t="s">
        <v>2038</v>
      </c>
      <c r="J53" s="73" t="s">
        <v>2248</v>
      </c>
      <c r="K53" s="73" t="s">
        <v>2040</v>
      </c>
      <c r="L53" s="73" t="s">
        <v>2249</v>
      </c>
      <c r="M53" s="73" t="s">
        <v>1591</v>
      </c>
      <c r="N53" s="73" t="s">
        <v>2042</v>
      </c>
      <c r="O53" s="73" t="s">
        <v>1596</v>
      </c>
      <c r="P53" s="73" t="s">
        <v>2069</v>
      </c>
      <c r="Q53" s="73" t="s">
        <v>1596</v>
      </c>
      <c r="R53" s="73" t="s">
        <v>2069</v>
      </c>
      <c r="S53" s="73" t="s">
        <v>2052</v>
      </c>
      <c r="T53" s="73" t="s">
        <v>2053</v>
      </c>
      <c r="U53" s="74"/>
      <c r="V53" s="67"/>
      <c r="W53" s="71" t="s">
        <v>2054</v>
      </c>
      <c r="X53" s="67"/>
      <c r="Y53" s="67"/>
    </row>
    <row r="54" spans="1:25" ht="409.5">
      <c r="A54" s="73" t="s">
        <v>7</v>
      </c>
      <c r="B54" s="73" t="s">
        <v>7</v>
      </c>
      <c r="C54" s="73" t="str">
        <f ca="1">IFERROR(__xludf.DUMMYFUNCTION("filter('Back End'!C:C,'Back End'!A:A=A54,'Back End'!B:B=B54,'Back End'!D:D=D54)"),"#REF!")</f>
        <v>#REF!</v>
      </c>
      <c r="D54" s="73" t="s">
        <v>757</v>
      </c>
      <c r="E54" s="73" t="s">
        <v>90</v>
      </c>
      <c r="F54" s="74"/>
      <c r="G54" s="73" t="s">
        <v>2194</v>
      </c>
      <c r="H54" s="73" t="s">
        <v>2250</v>
      </c>
      <c r="I54" s="73" t="s">
        <v>2094</v>
      </c>
      <c r="J54" s="73" t="s">
        <v>2251</v>
      </c>
      <c r="K54" s="73" t="s">
        <v>2048</v>
      </c>
      <c r="L54" s="73" t="s">
        <v>2252</v>
      </c>
      <c r="M54" s="73" t="s">
        <v>1591</v>
      </c>
      <c r="N54" s="73" t="s">
        <v>2042</v>
      </c>
      <c r="O54" s="73" t="s">
        <v>1596</v>
      </c>
      <c r="P54" s="73" t="s">
        <v>2069</v>
      </c>
      <c r="Q54" s="73" t="s">
        <v>1596</v>
      </c>
      <c r="R54" s="73" t="s">
        <v>2069</v>
      </c>
      <c r="S54" s="73" t="s">
        <v>2052</v>
      </c>
      <c r="T54" s="73" t="s">
        <v>2053</v>
      </c>
      <c r="U54" s="73" t="s">
        <v>2253</v>
      </c>
      <c r="V54" s="67"/>
      <c r="W54" s="71" t="s">
        <v>2054</v>
      </c>
      <c r="X54" s="67"/>
      <c r="Y54" s="67"/>
    </row>
    <row r="55" spans="1:25" ht="378">
      <c r="A55" s="73" t="s">
        <v>7</v>
      </c>
      <c r="B55" s="73" t="s">
        <v>7</v>
      </c>
      <c r="C55" s="73" t="str">
        <f ca="1">IFERROR(__xludf.DUMMYFUNCTION("filter('Back End'!C:C,'Back End'!A:A=A55,'Back End'!B:B=B55,'Back End'!D:D=D55)"),"#REF!")</f>
        <v>#REF!</v>
      </c>
      <c r="D55" s="73" t="s">
        <v>765</v>
      </c>
      <c r="E55" s="73" t="s">
        <v>2082</v>
      </c>
      <c r="F55" s="74"/>
      <c r="G55" s="73" t="s">
        <v>2083</v>
      </c>
      <c r="H55" s="73" t="s">
        <v>2076</v>
      </c>
      <c r="I55" s="73" t="s">
        <v>2038</v>
      </c>
      <c r="J55" s="73" t="s">
        <v>2254</v>
      </c>
      <c r="K55" s="73" t="s">
        <v>2255</v>
      </c>
      <c r="L55" s="73" t="s">
        <v>2256</v>
      </c>
      <c r="M55" s="73" t="s">
        <v>2050</v>
      </c>
      <c r="N55" s="73" t="s">
        <v>2051</v>
      </c>
      <c r="O55" s="73" t="s">
        <v>1591</v>
      </c>
      <c r="P55" s="73" t="s">
        <v>2042</v>
      </c>
      <c r="Q55" s="73" t="s">
        <v>1596</v>
      </c>
      <c r="R55" s="73" t="s">
        <v>2069</v>
      </c>
      <c r="S55" s="73" t="s">
        <v>2079</v>
      </c>
      <c r="T55" s="73" t="s">
        <v>2044</v>
      </c>
      <c r="U55" s="73" t="s">
        <v>2257</v>
      </c>
      <c r="V55" s="67"/>
      <c r="W55" s="71" t="s">
        <v>2054</v>
      </c>
      <c r="X55" s="67"/>
      <c r="Y55" s="67"/>
    </row>
    <row r="56" spans="1:25" ht="409.5">
      <c r="A56" s="73" t="s">
        <v>7</v>
      </c>
      <c r="B56" s="73" t="s">
        <v>7</v>
      </c>
      <c r="C56" s="73" t="str">
        <f ca="1">IFERROR(__xludf.DUMMYFUNCTION("filter('Back End'!C:C,'Back End'!A:A=A56,'Back End'!B:B=B56,'Back End'!D:D=D56)"),"#REF!")</f>
        <v>#REF!</v>
      </c>
      <c r="D56" s="73" t="s">
        <v>779</v>
      </c>
      <c r="E56" s="73" t="s">
        <v>2082</v>
      </c>
      <c r="F56" s="74"/>
      <c r="G56" s="73" t="s">
        <v>2083</v>
      </c>
      <c r="H56" s="73" t="s">
        <v>2258</v>
      </c>
      <c r="I56" s="73" t="s">
        <v>2259</v>
      </c>
      <c r="J56" s="73" t="s">
        <v>2260</v>
      </c>
      <c r="K56" s="73" t="s">
        <v>2048</v>
      </c>
      <c r="L56" s="73" t="s">
        <v>2261</v>
      </c>
      <c r="M56" s="73" t="s">
        <v>1596</v>
      </c>
      <c r="N56" s="73" t="s">
        <v>2125</v>
      </c>
      <c r="O56" s="73" t="s">
        <v>1591</v>
      </c>
      <c r="P56" s="73" t="s">
        <v>2042</v>
      </c>
      <c r="Q56" s="73" t="s">
        <v>2050</v>
      </c>
      <c r="R56" s="73" t="s">
        <v>2051</v>
      </c>
      <c r="S56" s="73" t="s">
        <v>2079</v>
      </c>
      <c r="T56" s="73" t="s">
        <v>2044</v>
      </c>
      <c r="U56" s="73" t="s">
        <v>2262</v>
      </c>
      <c r="V56" s="67"/>
      <c r="W56" s="71" t="s">
        <v>2054</v>
      </c>
      <c r="X56" s="67"/>
      <c r="Y56" s="67"/>
    </row>
    <row r="57" spans="1:25" ht="256.5">
      <c r="A57" s="73" t="s">
        <v>8</v>
      </c>
      <c r="B57" s="73" t="s">
        <v>587</v>
      </c>
      <c r="C57" s="73" t="str">
        <f ca="1">IFERROR(__xludf.DUMMYFUNCTION("filter('Back End'!C:C,'Back End'!A:A=A57,'Back End'!B:B=B57,'Back End'!D:D=D57)"),"#REF!")</f>
        <v>#REF!</v>
      </c>
      <c r="D57" s="73" t="s">
        <v>602</v>
      </c>
      <c r="E57" s="73" t="s">
        <v>2082</v>
      </c>
      <c r="F57" s="73" t="s">
        <v>2083</v>
      </c>
      <c r="G57" s="73" t="s">
        <v>2083</v>
      </c>
      <c r="H57" s="73" t="s">
        <v>2263</v>
      </c>
      <c r="I57" s="73" t="s">
        <v>2038</v>
      </c>
      <c r="J57" s="73" t="s">
        <v>2264</v>
      </c>
      <c r="K57" s="73" t="s">
        <v>2048</v>
      </c>
      <c r="L57" s="73" t="s">
        <v>2265</v>
      </c>
      <c r="M57" s="73" t="s">
        <v>1596</v>
      </c>
      <c r="N57" s="73" t="s">
        <v>2069</v>
      </c>
      <c r="O57" s="73" t="s">
        <v>1591</v>
      </c>
      <c r="P57" s="73" t="s">
        <v>2069</v>
      </c>
      <c r="Q57" s="73" t="s">
        <v>2050</v>
      </c>
      <c r="R57" s="73" t="s">
        <v>2051</v>
      </c>
      <c r="S57" s="73" t="s">
        <v>2079</v>
      </c>
      <c r="T57" s="73" t="s">
        <v>2044</v>
      </c>
      <c r="U57" s="67"/>
      <c r="V57" s="71" t="s">
        <v>2266</v>
      </c>
      <c r="W57" s="71" t="s">
        <v>2054</v>
      </c>
      <c r="X57" s="67"/>
      <c r="Y57" s="67"/>
    </row>
    <row r="58" spans="1:25" ht="121.5">
      <c r="A58" s="71" t="s">
        <v>8</v>
      </c>
      <c r="B58" s="71" t="s">
        <v>633</v>
      </c>
      <c r="C58" s="73" t="str">
        <f ca="1">IFERROR(__xludf.DUMMYFUNCTION("filter('Back End'!C:C,'Back End'!A:A=A58,'Back End'!B:B=B58,'Back End'!D:D=D58)"),"#REF!")</f>
        <v>#REF!</v>
      </c>
      <c r="D58" s="71" t="s">
        <v>640</v>
      </c>
      <c r="E58" s="71" t="s">
        <v>2082</v>
      </c>
      <c r="F58" s="67"/>
      <c r="G58" s="71" t="s">
        <v>2083</v>
      </c>
      <c r="H58" s="71" t="s">
        <v>2267</v>
      </c>
      <c r="I58" s="71" t="s">
        <v>2268</v>
      </c>
      <c r="J58" s="71" t="s">
        <v>2269</v>
      </c>
      <c r="K58" s="71" t="s">
        <v>2048</v>
      </c>
      <c r="L58" s="71" t="s">
        <v>2270</v>
      </c>
      <c r="M58" s="76" t="s">
        <v>2050</v>
      </c>
      <c r="N58" s="76" t="s">
        <v>2051</v>
      </c>
      <c r="O58" s="76" t="s">
        <v>1591</v>
      </c>
      <c r="P58" s="76" t="s">
        <v>2042</v>
      </c>
      <c r="Q58" s="76" t="s">
        <v>2050</v>
      </c>
      <c r="R58" s="76" t="s">
        <v>2051</v>
      </c>
      <c r="S58" s="76" t="s">
        <v>2043</v>
      </c>
      <c r="T58" s="76" t="s">
        <v>2044</v>
      </c>
      <c r="U58" s="67"/>
      <c r="V58" s="67"/>
      <c r="W58" s="71" t="s">
        <v>2070</v>
      </c>
      <c r="X58" s="67"/>
      <c r="Y58" s="67"/>
    </row>
    <row r="59" spans="1:25" ht="409.5">
      <c r="A59" s="73" t="s">
        <v>8</v>
      </c>
      <c r="B59" s="73" t="s">
        <v>633</v>
      </c>
      <c r="C59" s="73" t="str">
        <f ca="1">IFERROR(__xludf.DUMMYFUNCTION("filter('Back End'!C:C,'Back End'!A:A=A59,'Back End'!B:B=B59,'Back End'!D:D=D59)"),"#REF!")</f>
        <v>#REF!</v>
      </c>
      <c r="D59" s="73" t="s">
        <v>643</v>
      </c>
      <c r="E59" s="73" t="s">
        <v>90</v>
      </c>
      <c r="F59" s="74"/>
      <c r="G59" s="73" t="s">
        <v>2059</v>
      </c>
      <c r="H59" s="73" t="s">
        <v>2271</v>
      </c>
      <c r="I59" s="73" t="s">
        <v>2038</v>
      </c>
      <c r="J59" s="73" t="s">
        <v>2272</v>
      </c>
      <c r="K59" s="73" t="s">
        <v>2048</v>
      </c>
      <c r="L59" s="73" t="s">
        <v>2273</v>
      </c>
      <c r="M59" s="73" t="s">
        <v>1591</v>
      </c>
      <c r="N59" s="73" t="s">
        <v>2042</v>
      </c>
      <c r="O59" s="73" t="s">
        <v>1591</v>
      </c>
      <c r="P59" s="73" t="s">
        <v>2042</v>
      </c>
      <c r="Q59" s="73" t="s">
        <v>2050</v>
      </c>
      <c r="R59" s="73" t="s">
        <v>2051</v>
      </c>
      <c r="S59" s="73" t="s">
        <v>2043</v>
      </c>
      <c r="T59" s="73" t="s">
        <v>2044</v>
      </c>
      <c r="U59" s="74"/>
      <c r="V59" s="67"/>
      <c r="W59" s="71" t="s">
        <v>2054</v>
      </c>
      <c r="X59" s="67"/>
      <c r="Y59" s="67"/>
    </row>
    <row r="60" spans="1:25" ht="409.5">
      <c r="A60" s="73" t="s">
        <v>19</v>
      </c>
      <c r="B60" s="73" t="s">
        <v>220</v>
      </c>
      <c r="C60" s="73" t="str">
        <f ca="1">IFERROR(__xludf.DUMMYFUNCTION("filter('Back End'!C:C,'Back End'!A:A=A60,'Back End'!B:B=B60,'Back End'!D:D=D60)"),"#REF!")</f>
        <v>#REF!</v>
      </c>
      <c r="D60" s="73" t="s">
        <v>235</v>
      </c>
      <c r="E60" s="73" t="s">
        <v>90</v>
      </c>
      <c r="F60" s="73" t="s">
        <v>1590</v>
      </c>
      <c r="G60" s="73" t="s">
        <v>2059</v>
      </c>
      <c r="H60" s="73" t="s">
        <v>2274</v>
      </c>
      <c r="I60" s="73" t="s">
        <v>2038</v>
      </c>
      <c r="J60" s="73" t="s">
        <v>2275</v>
      </c>
      <c r="K60" s="73" t="s">
        <v>2040</v>
      </c>
      <c r="L60" s="73" t="s">
        <v>2276</v>
      </c>
      <c r="M60" s="73" t="s">
        <v>1591</v>
      </c>
      <c r="N60" s="73" t="s">
        <v>2042</v>
      </c>
      <c r="O60" s="73" t="s">
        <v>1596</v>
      </c>
      <c r="P60" s="73" t="s">
        <v>2169</v>
      </c>
      <c r="Q60" s="73" t="s">
        <v>2050</v>
      </c>
      <c r="R60" s="73" t="s">
        <v>2051</v>
      </c>
      <c r="S60" s="73" t="s">
        <v>2052</v>
      </c>
      <c r="T60" s="73" t="s">
        <v>2053</v>
      </c>
      <c r="U60" s="73" t="s">
        <v>2277</v>
      </c>
      <c r="V60" s="74"/>
      <c r="W60" s="73" t="s">
        <v>2054</v>
      </c>
      <c r="X60" s="74"/>
      <c r="Y60" s="73" t="s">
        <v>2098</v>
      </c>
    </row>
    <row r="61" spans="1:25" ht="409.5">
      <c r="A61" s="73" t="s">
        <v>8</v>
      </c>
      <c r="B61" s="73" t="s">
        <v>658</v>
      </c>
      <c r="C61" s="73" t="str">
        <f ca="1">IFERROR(__xludf.DUMMYFUNCTION("filter('Back End'!C:C,'Back End'!A:A=A61,'Back End'!B:B=B61,'Back End'!D:D=D61)"),"#REF!")</f>
        <v>#REF!</v>
      </c>
      <c r="D61" s="73" t="s">
        <v>660</v>
      </c>
      <c r="E61" s="73" t="s">
        <v>90</v>
      </c>
      <c r="F61" s="74"/>
      <c r="G61" s="73" t="s">
        <v>2059</v>
      </c>
      <c r="H61" s="73" t="s">
        <v>2278</v>
      </c>
      <c r="I61" s="73" t="s">
        <v>2108</v>
      </c>
      <c r="J61" s="73" t="s">
        <v>2279</v>
      </c>
      <c r="K61" s="73" t="s">
        <v>2048</v>
      </c>
      <c r="L61" s="73" t="s">
        <v>2280</v>
      </c>
      <c r="M61" s="73" t="s">
        <v>1596</v>
      </c>
      <c r="N61" s="73" t="s">
        <v>2069</v>
      </c>
      <c r="O61" s="73" t="s">
        <v>1591</v>
      </c>
      <c r="P61" s="73" t="s">
        <v>2069</v>
      </c>
      <c r="Q61" s="73" t="s">
        <v>2050</v>
      </c>
      <c r="R61" s="73" t="s">
        <v>2051</v>
      </c>
      <c r="S61" s="73" t="s">
        <v>2043</v>
      </c>
      <c r="T61" s="73" t="s">
        <v>2044</v>
      </c>
      <c r="U61" s="73" t="s">
        <v>2281</v>
      </c>
      <c r="V61" s="67"/>
      <c r="W61" s="71" t="s">
        <v>2054</v>
      </c>
      <c r="X61" s="67"/>
      <c r="Y61" s="67"/>
    </row>
    <row r="62" spans="1:25" ht="378">
      <c r="A62" s="73" t="s">
        <v>15</v>
      </c>
      <c r="B62" s="73" t="s">
        <v>389</v>
      </c>
      <c r="C62" s="73" t="str">
        <f ca="1">IFERROR(__xludf.DUMMYFUNCTION("filter('Back End'!C:C,'Back End'!A:A=A62,'Back End'!B:B=B62,'Back End'!D:D=D62)"),"#REF!")</f>
        <v>#REF!</v>
      </c>
      <c r="D62" s="73" t="s">
        <v>940</v>
      </c>
      <c r="E62" s="73" t="s">
        <v>100</v>
      </c>
      <c r="F62" s="74"/>
      <c r="G62" s="73" t="s">
        <v>1590</v>
      </c>
      <c r="H62" s="73" t="s">
        <v>2282</v>
      </c>
      <c r="I62" s="73" t="s">
        <v>2094</v>
      </c>
      <c r="J62" s="73" t="s">
        <v>2283</v>
      </c>
      <c r="K62" s="73" t="s">
        <v>2040</v>
      </c>
      <c r="L62" s="73" t="s">
        <v>2284</v>
      </c>
      <c r="M62" s="73" t="s">
        <v>1591</v>
      </c>
      <c r="N62" s="73" t="s">
        <v>2042</v>
      </c>
      <c r="O62" s="73" t="s">
        <v>1596</v>
      </c>
      <c r="P62" s="73" t="s">
        <v>2069</v>
      </c>
      <c r="Q62" s="73" t="s">
        <v>1591</v>
      </c>
      <c r="R62" s="73" t="s">
        <v>2042</v>
      </c>
      <c r="S62" s="73" t="s">
        <v>2052</v>
      </c>
      <c r="T62" s="73" t="s">
        <v>2053</v>
      </c>
      <c r="U62" s="74"/>
      <c r="V62" s="67"/>
      <c r="W62" s="71" t="s">
        <v>2054</v>
      </c>
      <c r="X62" s="67"/>
      <c r="Y62" s="67"/>
    </row>
    <row r="63" spans="1:25" ht="409.5">
      <c r="A63" s="77" t="s">
        <v>11</v>
      </c>
      <c r="B63" s="77" t="s">
        <v>297</v>
      </c>
      <c r="C63" s="73" t="str">
        <f ca="1">IFERROR(__xludf.DUMMYFUNCTION("filter('Back End'!C:C,'Back End'!A:A=A63,'Back End'!B:B=B63,'Back End'!D:D=D63)"),"#REF!")</f>
        <v>#REF!</v>
      </c>
      <c r="D63" s="77" t="s">
        <v>860</v>
      </c>
      <c r="E63" s="77" t="s">
        <v>2082</v>
      </c>
      <c r="F63" s="79"/>
      <c r="G63" s="77" t="s">
        <v>2083</v>
      </c>
      <c r="H63" s="77" t="s">
        <v>2285</v>
      </c>
      <c r="I63" s="77" t="s">
        <v>2038</v>
      </c>
      <c r="J63" s="77" t="s">
        <v>2286</v>
      </c>
      <c r="K63" s="77" t="s">
        <v>2048</v>
      </c>
      <c r="L63" s="77" t="s">
        <v>2287</v>
      </c>
      <c r="M63" s="77" t="s">
        <v>1591</v>
      </c>
      <c r="N63" s="77" t="s">
        <v>2042</v>
      </c>
      <c r="O63" s="77" t="s">
        <v>1591</v>
      </c>
      <c r="P63" s="77" t="s">
        <v>2042</v>
      </c>
      <c r="Q63" s="77" t="s">
        <v>1596</v>
      </c>
      <c r="R63" s="77" t="s">
        <v>2069</v>
      </c>
      <c r="S63" s="77" t="s">
        <v>2043</v>
      </c>
      <c r="T63" s="77" t="s">
        <v>2044</v>
      </c>
      <c r="U63" s="77" t="s">
        <v>2288</v>
      </c>
      <c r="V63" s="79"/>
      <c r="W63" s="71" t="s">
        <v>2054</v>
      </c>
      <c r="X63" s="67"/>
      <c r="Y63" s="67"/>
    </row>
    <row r="64" spans="1:25" ht="310.5">
      <c r="A64" s="77" t="s">
        <v>8</v>
      </c>
      <c r="B64" s="77" t="s">
        <v>658</v>
      </c>
      <c r="C64" s="73" t="s">
        <v>280</v>
      </c>
      <c r="D64" s="77" t="s">
        <v>280</v>
      </c>
      <c r="E64" s="77" t="s">
        <v>2082</v>
      </c>
      <c r="F64" s="79"/>
      <c r="G64" s="77" t="s">
        <v>2083</v>
      </c>
      <c r="H64" s="77" t="s">
        <v>2289</v>
      </c>
      <c r="I64" s="77" t="s">
        <v>2038</v>
      </c>
      <c r="J64" s="77" t="s">
        <v>2290</v>
      </c>
      <c r="K64" s="77" t="s">
        <v>2048</v>
      </c>
      <c r="L64" s="77" t="s">
        <v>2291</v>
      </c>
      <c r="M64" s="77" t="s">
        <v>2050</v>
      </c>
      <c r="N64" s="77" t="s">
        <v>2051</v>
      </c>
      <c r="O64" s="77" t="s">
        <v>1591</v>
      </c>
      <c r="P64" s="77" t="s">
        <v>2042</v>
      </c>
      <c r="Q64" s="77" t="s">
        <v>2050</v>
      </c>
      <c r="R64" s="77" t="s">
        <v>2051</v>
      </c>
      <c r="S64" s="77" t="s">
        <v>2043</v>
      </c>
      <c r="T64" s="77" t="s">
        <v>2044</v>
      </c>
      <c r="U64" s="79"/>
      <c r="V64" s="67"/>
      <c r="W64" s="71" t="s">
        <v>2054</v>
      </c>
      <c r="X64" s="67"/>
      <c r="Y64" s="67"/>
    </row>
    <row r="65" spans="1:25" ht="229.5">
      <c r="A65" s="73" t="s">
        <v>15</v>
      </c>
      <c r="B65" s="73" t="s">
        <v>389</v>
      </c>
      <c r="C65" s="73" t="str">
        <f ca="1">IFERROR(__xludf.DUMMYFUNCTION("filter('Back End'!C:C,'Back End'!A:A=A65,'Back End'!B:B=B65,'Back End'!D:D=D65)"),"#REF!")</f>
        <v>#REF!</v>
      </c>
      <c r="D65" s="73" t="s">
        <v>417</v>
      </c>
      <c r="E65" s="73" t="s">
        <v>95</v>
      </c>
      <c r="F65" s="74"/>
      <c r="G65" s="73" t="s">
        <v>1595</v>
      </c>
      <c r="H65" s="73" t="s">
        <v>2292</v>
      </c>
      <c r="I65" s="73" t="s">
        <v>2094</v>
      </c>
      <c r="J65" s="73" t="s">
        <v>2293</v>
      </c>
      <c r="K65" s="73" t="s">
        <v>2040</v>
      </c>
      <c r="L65" s="73" t="s">
        <v>2294</v>
      </c>
      <c r="M65" s="73" t="s">
        <v>1591</v>
      </c>
      <c r="N65" s="73" t="s">
        <v>2042</v>
      </c>
      <c r="O65" s="73" t="s">
        <v>1596</v>
      </c>
      <c r="P65" s="73" t="s">
        <v>2074</v>
      </c>
      <c r="Q65" s="73" t="s">
        <v>2050</v>
      </c>
      <c r="R65" s="73" t="s">
        <v>2051</v>
      </c>
      <c r="S65" s="73" t="s">
        <v>2052</v>
      </c>
      <c r="T65" s="73" t="s">
        <v>2053</v>
      </c>
      <c r="U65" s="73" t="s">
        <v>2295</v>
      </c>
      <c r="V65" s="67"/>
      <c r="W65" s="71" t="s">
        <v>2054</v>
      </c>
      <c r="X65" s="67"/>
      <c r="Y65" s="67"/>
    </row>
    <row r="66" spans="1:25" ht="378">
      <c r="A66" s="73" t="s">
        <v>11</v>
      </c>
      <c r="B66" s="73" t="s">
        <v>297</v>
      </c>
      <c r="C66" s="73" t="str">
        <f ca="1">IFERROR(__xludf.DUMMYFUNCTION("filter('Back End'!C:C,'Back End'!A:A=A66,'Back End'!B:B=B66,'Back End'!D:D=D66)"),"#REF!")</f>
        <v>#REF!</v>
      </c>
      <c r="D66" s="73" t="s">
        <v>862</v>
      </c>
      <c r="E66" s="73" t="s">
        <v>2082</v>
      </c>
      <c r="F66" s="74"/>
      <c r="G66" s="73" t="s">
        <v>2083</v>
      </c>
      <c r="H66" s="73" t="s">
        <v>2296</v>
      </c>
      <c r="I66" s="73" t="s">
        <v>2108</v>
      </c>
      <c r="J66" s="73" t="s">
        <v>2297</v>
      </c>
      <c r="K66" s="73" t="s">
        <v>2048</v>
      </c>
      <c r="L66" s="73" t="s">
        <v>2298</v>
      </c>
      <c r="M66" s="73" t="s">
        <v>2050</v>
      </c>
      <c r="N66" s="73" t="s">
        <v>2051</v>
      </c>
      <c r="O66" s="73" t="s">
        <v>1591</v>
      </c>
      <c r="P66" s="73" t="s">
        <v>2042</v>
      </c>
      <c r="Q66" s="73" t="s">
        <v>1596</v>
      </c>
      <c r="R66" s="73" t="s">
        <v>2125</v>
      </c>
      <c r="S66" s="73" t="s">
        <v>2043</v>
      </c>
      <c r="T66" s="73" t="s">
        <v>2044</v>
      </c>
      <c r="U66" s="74"/>
      <c r="V66" s="67"/>
      <c r="W66" s="71" t="s">
        <v>2054</v>
      </c>
      <c r="X66" s="67"/>
      <c r="Y66" s="67"/>
    </row>
    <row r="67" spans="1:25" ht="324">
      <c r="A67" s="73" t="s">
        <v>8</v>
      </c>
      <c r="B67" s="73" t="s">
        <v>658</v>
      </c>
      <c r="C67" s="73" t="s">
        <v>177</v>
      </c>
      <c r="D67" s="73" t="s">
        <v>177</v>
      </c>
      <c r="E67" s="73" t="s">
        <v>95</v>
      </c>
      <c r="F67" s="74"/>
      <c r="G67" s="73" t="s">
        <v>1595</v>
      </c>
      <c r="H67" s="73" t="s">
        <v>2076</v>
      </c>
      <c r="I67" s="73" t="s">
        <v>2094</v>
      </c>
      <c r="J67" s="73" t="s">
        <v>2299</v>
      </c>
      <c r="K67" s="73" t="s">
        <v>2040</v>
      </c>
      <c r="L67" s="73" t="s">
        <v>2300</v>
      </c>
      <c r="M67" s="73" t="s">
        <v>1591</v>
      </c>
      <c r="N67" s="73" t="s">
        <v>2042</v>
      </c>
      <c r="O67" s="73" t="s">
        <v>1591</v>
      </c>
      <c r="P67" s="73" t="s">
        <v>2042</v>
      </c>
      <c r="Q67" s="73" t="s">
        <v>2050</v>
      </c>
      <c r="R67" s="73" t="s">
        <v>2051</v>
      </c>
      <c r="S67" s="73" t="s">
        <v>2043</v>
      </c>
      <c r="T67" s="73" t="s">
        <v>2044</v>
      </c>
      <c r="U67" s="73" t="s">
        <v>2301</v>
      </c>
      <c r="V67" s="67"/>
      <c r="W67" s="71" t="s">
        <v>2054</v>
      </c>
      <c r="X67" s="67"/>
      <c r="Y67" s="67"/>
    </row>
    <row r="68" spans="1:25" ht="391.5">
      <c r="A68" s="73" t="s">
        <v>15</v>
      </c>
      <c r="B68" s="73" t="s">
        <v>389</v>
      </c>
      <c r="C68" s="73" t="str">
        <f ca="1">IFERROR(__xludf.DUMMYFUNCTION("filter('Back End'!C:C,'Back End'!A:A=A68,'Back End'!B:B=B68,'Back End'!D:D=D68)"),"#REF!")</f>
        <v>#REF!</v>
      </c>
      <c r="D68" s="73" t="s">
        <v>948</v>
      </c>
      <c r="E68" s="73" t="s">
        <v>2082</v>
      </c>
      <c r="F68" s="74"/>
      <c r="G68" s="73" t="s">
        <v>2083</v>
      </c>
      <c r="H68" s="73" t="s">
        <v>2046</v>
      </c>
      <c r="I68" s="73" t="s">
        <v>2063</v>
      </c>
      <c r="J68" s="73" t="s">
        <v>2302</v>
      </c>
      <c r="K68" s="73" t="s">
        <v>2188</v>
      </c>
      <c r="L68" s="73" t="s">
        <v>2303</v>
      </c>
      <c r="M68" s="73" t="s">
        <v>2050</v>
      </c>
      <c r="N68" s="73" t="s">
        <v>2051</v>
      </c>
      <c r="O68" s="73" t="s">
        <v>1591</v>
      </c>
      <c r="P68" s="73" t="s">
        <v>2042</v>
      </c>
      <c r="Q68" s="73" t="s">
        <v>1596</v>
      </c>
      <c r="R68" s="73" t="s">
        <v>2125</v>
      </c>
      <c r="S68" s="73" t="s">
        <v>2043</v>
      </c>
      <c r="T68" s="73" t="s">
        <v>2044</v>
      </c>
      <c r="U68" s="74"/>
      <c r="V68" s="67"/>
      <c r="W68" s="71" t="s">
        <v>2054</v>
      </c>
      <c r="X68" s="67"/>
      <c r="Y68" s="67"/>
    </row>
    <row r="69" spans="1:25" ht="324">
      <c r="A69" s="73" t="s">
        <v>19</v>
      </c>
      <c r="B69" s="73" t="s">
        <v>220</v>
      </c>
      <c r="C69" s="73" t="str">
        <f ca="1">IFERROR(__xludf.DUMMYFUNCTION("filter('Back End'!C:C,'Back End'!A:A=A69,'Back End'!B:B=B69,'Back End'!D:D=D69)"),"#REF!")</f>
        <v>#REF!</v>
      </c>
      <c r="D69" s="73" t="s">
        <v>237</v>
      </c>
      <c r="E69" s="73" t="s">
        <v>90</v>
      </c>
      <c r="F69" s="74"/>
      <c r="G69" s="73" t="s">
        <v>2059</v>
      </c>
      <c r="H69" s="73" t="s">
        <v>2304</v>
      </c>
      <c r="I69" s="73" t="s">
        <v>2108</v>
      </c>
      <c r="J69" s="73" t="s">
        <v>2305</v>
      </c>
      <c r="K69" s="73" t="s">
        <v>2048</v>
      </c>
      <c r="L69" s="73" t="s">
        <v>2306</v>
      </c>
      <c r="M69" s="73" t="s">
        <v>1596</v>
      </c>
      <c r="N69" s="73" t="s">
        <v>2051</v>
      </c>
      <c r="O69" s="73" t="s">
        <v>1591</v>
      </c>
      <c r="P69" s="73" t="s">
        <v>2042</v>
      </c>
      <c r="Q69" s="73" t="s">
        <v>1596</v>
      </c>
      <c r="R69" s="73" t="s">
        <v>2051</v>
      </c>
      <c r="S69" s="73" t="s">
        <v>2079</v>
      </c>
      <c r="T69" s="73" t="s">
        <v>2044</v>
      </c>
      <c r="U69" s="73" t="s">
        <v>2307</v>
      </c>
      <c r="V69" s="74"/>
      <c r="W69" s="73" t="s">
        <v>2054</v>
      </c>
      <c r="X69" s="74"/>
      <c r="Y69" s="73" t="s">
        <v>2098</v>
      </c>
    </row>
    <row r="70" spans="1:25" ht="283.5">
      <c r="A70" s="73" t="s">
        <v>19</v>
      </c>
      <c r="B70" s="73" t="s">
        <v>220</v>
      </c>
      <c r="C70" s="73" t="str">
        <f ca="1">IFERROR(__xludf.DUMMYFUNCTION("filter('Back End'!C:C,'Back End'!A:A=A70,'Back End'!B:B=B70,'Back End'!D:D=D70)"),"#REF!")</f>
        <v>#REF!</v>
      </c>
      <c r="D70" s="73" t="s">
        <v>239</v>
      </c>
      <c r="E70" s="73" t="s">
        <v>90</v>
      </c>
      <c r="F70" s="74"/>
      <c r="G70" s="73" t="s">
        <v>2059</v>
      </c>
      <c r="H70" s="73" t="s">
        <v>2308</v>
      </c>
      <c r="I70" s="73" t="s">
        <v>2038</v>
      </c>
      <c r="J70" s="73" t="s">
        <v>2309</v>
      </c>
      <c r="K70" s="73" t="s">
        <v>2048</v>
      </c>
      <c r="L70" s="73" t="s">
        <v>2310</v>
      </c>
      <c r="M70" s="73" t="s">
        <v>1596</v>
      </c>
      <c r="N70" s="73" t="s">
        <v>2051</v>
      </c>
      <c r="O70" s="73" t="s">
        <v>1591</v>
      </c>
      <c r="P70" s="73" t="s">
        <v>2042</v>
      </c>
      <c r="Q70" s="73" t="s">
        <v>2050</v>
      </c>
      <c r="R70" s="73" t="s">
        <v>2051</v>
      </c>
      <c r="S70" s="73" t="s">
        <v>2043</v>
      </c>
      <c r="T70" s="73" t="s">
        <v>2044</v>
      </c>
      <c r="U70" s="74"/>
      <c r="V70" s="67"/>
      <c r="W70" s="71" t="s">
        <v>2054</v>
      </c>
      <c r="X70" s="67"/>
      <c r="Y70" s="67"/>
    </row>
    <row r="71" spans="1:25" ht="409.5">
      <c r="A71" s="73" t="s">
        <v>11</v>
      </c>
      <c r="B71" s="73" t="s">
        <v>297</v>
      </c>
      <c r="C71" s="73" t="str">
        <f ca="1">IFERROR(__xludf.DUMMYFUNCTION("filter('Back End'!C:C,'Back End'!A:A=A71,'Back End'!B:B=B71,'Back End'!D:D=D71)"),"#REF!")</f>
        <v>#REF!</v>
      </c>
      <c r="D71" s="73" t="s">
        <v>323</v>
      </c>
      <c r="E71" s="73" t="s">
        <v>90</v>
      </c>
      <c r="F71" s="74"/>
      <c r="G71" s="73" t="s">
        <v>2059</v>
      </c>
      <c r="H71" s="73" t="s">
        <v>2311</v>
      </c>
      <c r="I71" s="73" t="s">
        <v>2114</v>
      </c>
      <c r="J71" s="73" t="s">
        <v>2312</v>
      </c>
      <c r="K71" s="73" t="s">
        <v>2048</v>
      </c>
      <c r="L71" s="73" t="s">
        <v>2313</v>
      </c>
      <c r="M71" s="73" t="s">
        <v>1591</v>
      </c>
      <c r="N71" s="73" t="s">
        <v>2042</v>
      </c>
      <c r="O71" s="73" t="s">
        <v>1591</v>
      </c>
      <c r="P71" s="73" t="s">
        <v>2042</v>
      </c>
      <c r="Q71" s="73" t="s">
        <v>1596</v>
      </c>
      <c r="R71" s="73" t="s">
        <v>2069</v>
      </c>
      <c r="S71" s="73" t="s">
        <v>2043</v>
      </c>
      <c r="T71" s="73" t="s">
        <v>2044</v>
      </c>
      <c r="U71" s="74"/>
      <c r="V71" s="67"/>
      <c r="W71" s="71" t="s">
        <v>2054</v>
      </c>
      <c r="X71" s="67"/>
      <c r="Y71" s="67"/>
    </row>
    <row r="72" spans="1:25" ht="409.5">
      <c r="A72" s="73" t="s">
        <v>8</v>
      </c>
      <c r="B72" s="73" t="s">
        <v>658</v>
      </c>
      <c r="C72" s="73" t="str">
        <f ca="1">IFERROR(__xludf.DUMMYFUNCTION("filter('Back End'!C:C,'Back End'!A:A=A72,'Back End'!B:B=B72,'Back End'!D:D=D72)"),"#REF!")</f>
        <v>#REF!</v>
      </c>
      <c r="D72" s="73" t="s">
        <v>670</v>
      </c>
      <c r="E72" s="73" t="s">
        <v>90</v>
      </c>
      <c r="F72" s="74"/>
      <c r="G72" s="73" t="s">
        <v>2059</v>
      </c>
      <c r="H72" s="73" t="s">
        <v>2314</v>
      </c>
      <c r="I72" s="73" t="s">
        <v>2108</v>
      </c>
      <c r="J72" s="73" t="s">
        <v>2315</v>
      </c>
      <c r="K72" s="73" t="s">
        <v>2048</v>
      </c>
      <c r="L72" s="73" t="s">
        <v>2316</v>
      </c>
      <c r="M72" s="73" t="s">
        <v>1591</v>
      </c>
      <c r="N72" s="73" t="s">
        <v>2042</v>
      </c>
      <c r="O72" s="73" t="s">
        <v>1591</v>
      </c>
      <c r="P72" s="73" t="s">
        <v>2042</v>
      </c>
      <c r="Q72" s="73" t="s">
        <v>2050</v>
      </c>
      <c r="R72" s="73" t="s">
        <v>2125</v>
      </c>
      <c r="S72" s="73" t="s">
        <v>2043</v>
      </c>
      <c r="T72" s="73" t="s">
        <v>2044</v>
      </c>
      <c r="U72" s="73" t="s">
        <v>2317</v>
      </c>
      <c r="V72" s="67"/>
      <c r="W72" s="71" t="s">
        <v>2054</v>
      </c>
      <c r="X72" s="67"/>
      <c r="Y72" s="67"/>
    </row>
    <row r="73" spans="1:25" ht="148.5">
      <c r="A73" s="71" t="s">
        <v>15</v>
      </c>
      <c r="B73" s="71" t="s">
        <v>389</v>
      </c>
      <c r="C73" s="76" t="str">
        <f ca="1">IFERROR(__xludf.DUMMYFUNCTION("filter('Back End'!C:C,'Back End'!A:A=A73,'Back End'!B:B=B73,'Back End'!D:D=D73)"),"#REF!")</f>
        <v>#REF!</v>
      </c>
      <c r="D73" s="71" t="s">
        <v>950</v>
      </c>
      <c r="E73" s="71" t="s">
        <v>2082</v>
      </c>
      <c r="F73" s="67"/>
      <c r="G73" s="71" t="s">
        <v>2083</v>
      </c>
      <c r="H73" s="71" t="s">
        <v>2267</v>
      </c>
      <c r="I73" s="71" t="s">
        <v>2114</v>
      </c>
      <c r="J73" s="71" t="s">
        <v>2318</v>
      </c>
      <c r="K73" s="71" t="s">
        <v>2048</v>
      </c>
      <c r="L73" s="71" t="s">
        <v>2114</v>
      </c>
      <c r="M73" s="76" t="s">
        <v>1596</v>
      </c>
      <c r="N73" s="76" t="s">
        <v>2069</v>
      </c>
      <c r="O73" s="76" t="s">
        <v>1591</v>
      </c>
      <c r="P73" s="76" t="s">
        <v>2042</v>
      </c>
      <c r="Q73" s="76" t="s">
        <v>2050</v>
      </c>
      <c r="R73" s="76" t="s">
        <v>2051</v>
      </c>
      <c r="S73" s="76" t="s">
        <v>2043</v>
      </c>
      <c r="T73" s="76" t="s">
        <v>2044</v>
      </c>
      <c r="U73" s="67"/>
      <c r="V73" s="67"/>
      <c r="W73" s="71" t="s">
        <v>2070</v>
      </c>
      <c r="X73" s="67"/>
      <c r="Y73" s="67"/>
    </row>
    <row r="74" spans="1:25" ht="94.5">
      <c r="A74" s="71" t="s">
        <v>15</v>
      </c>
      <c r="B74" s="71" t="s">
        <v>389</v>
      </c>
      <c r="C74" s="76" t="str">
        <f ca="1">IFERROR(__xludf.DUMMYFUNCTION("filter('Back End'!C:C,'Back End'!A:A=A74,'Back End'!B:B=B74,'Back End'!D:D=D74)"),"#REF!")</f>
        <v>#REF!</v>
      </c>
      <c r="D74" s="71" t="s">
        <v>952</v>
      </c>
      <c r="E74" s="71" t="s">
        <v>2082</v>
      </c>
      <c r="F74" s="67"/>
      <c r="G74" s="71" t="s">
        <v>2083</v>
      </c>
      <c r="H74" s="71" t="s">
        <v>2267</v>
      </c>
      <c r="I74" s="71" t="s">
        <v>2268</v>
      </c>
      <c r="J74" s="71" t="s">
        <v>2319</v>
      </c>
      <c r="K74" s="71" t="s">
        <v>2048</v>
      </c>
      <c r="L74" s="71" t="s">
        <v>2114</v>
      </c>
      <c r="M74" s="76" t="s">
        <v>1596</v>
      </c>
      <c r="N74" s="76" t="s">
        <v>2069</v>
      </c>
      <c r="O74" s="76" t="s">
        <v>1591</v>
      </c>
      <c r="P74" s="76" t="s">
        <v>2042</v>
      </c>
      <c r="Q74" s="76" t="s">
        <v>2050</v>
      </c>
      <c r="R74" s="76" t="s">
        <v>2051</v>
      </c>
      <c r="S74" s="76" t="s">
        <v>2043</v>
      </c>
      <c r="T74" s="76" t="s">
        <v>2044</v>
      </c>
      <c r="U74" s="67"/>
      <c r="V74" s="67"/>
      <c r="W74" s="71" t="s">
        <v>2070</v>
      </c>
      <c r="X74" s="67"/>
      <c r="Y74" s="67"/>
    </row>
    <row r="75" spans="1:25" ht="337.5">
      <c r="A75" s="73" t="s">
        <v>19</v>
      </c>
      <c r="B75" s="73" t="s">
        <v>220</v>
      </c>
      <c r="C75" s="73" t="str">
        <f ca="1">IFERROR(__xludf.DUMMYFUNCTION("filter('Back End'!C:C,'Back End'!A:A=A75,'Back End'!B:B=B75,'Back End'!D:D=D75)"),"#REF!")</f>
        <v>#REF!</v>
      </c>
      <c r="D75" s="73" t="s">
        <v>247</v>
      </c>
      <c r="E75" s="73" t="s">
        <v>2082</v>
      </c>
      <c r="F75" s="73" t="s">
        <v>2194</v>
      </c>
      <c r="G75" s="73" t="s">
        <v>2194</v>
      </c>
      <c r="H75" s="73" t="s">
        <v>2320</v>
      </c>
      <c r="I75" s="73" t="s">
        <v>2094</v>
      </c>
      <c r="J75" s="73" t="s">
        <v>2321</v>
      </c>
      <c r="K75" s="73" t="s">
        <v>2048</v>
      </c>
      <c r="L75" s="73" t="s">
        <v>2322</v>
      </c>
      <c r="M75" s="73" t="s">
        <v>1596</v>
      </c>
      <c r="N75" s="73" t="s">
        <v>2042</v>
      </c>
      <c r="O75" s="73" t="s">
        <v>2050</v>
      </c>
      <c r="P75" s="73" t="s">
        <v>2051</v>
      </c>
      <c r="Q75" s="73" t="s">
        <v>2050</v>
      </c>
      <c r="R75" s="73" t="s">
        <v>2051</v>
      </c>
      <c r="S75" s="73" t="s">
        <v>2052</v>
      </c>
      <c r="T75" s="73" t="s">
        <v>2053</v>
      </c>
      <c r="U75" s="73" t="s">
        <v>2323</v>
      </c>
      <c r="V75" s="74"/>
      <c r="W75" s="73" t="s">
        <v>2054</v>
      </c>
      <c r="X75" s="74"/>
      <c r="Y75" s="73" t="s">
        <v>2098</v>
      </c>
    </row>
    <row r="76" spans="1:25" ht="270">
      <c r="A76" s="73" t="s">
        <v>19</v>
      </c>
      <c r="B76" s="73" t="s">
        <v>147</v>
      </c>
      <c r="C76" s="73" t="str">
        <f ca="1">IFERROR(__xludf.DUMMYFUNCTION("filter('Back End'!C:C,'Back End'!A:A=A76,'Back End'!B:B=B76,'Back End'!D:D=D76)"),"#REF!")</f>
        <v>#REF!</v>
      </c>
      <c r="D76" s="73" t="s">
        <v>159</v>
      </c>
      <c r="E76" s="73" t="s">
        <v>90</v>
      </c>
      <c r="F76" s="74"/>
      <c r="G76" s="73" t="s">
        <v>2059</v>
      </c>
      <c r="H76" s="73" t="s">
        <v>2324</v>
      </c>
      <c r="I76" s="73" t="s">
        <v>2038</v>
      </c>
      <c r="J76" s="73" t="s">
        <v>2325</v>
      </c>
      <c r="K76" s="73" t="s">
        <v>2040</v>
      </c>
      <c r="L76" s="73" t="s">
        <v>2326</v>
      </c>
      <c r="M76" s="73" t="s">
        <v>1591</v>
      </c>
      <c r="N76" s="73" t="s">
        <v>2042</v>
      </c>
      <c r="O76" s="73" t="s">
        <v>1596</v>
      </c>
      <c r="P76" s="73" t="s">
        <v>2074</v>
      </c>
      <c r="Q76" s="73" t="s">
        <v>2050</v>
      </c>
      <c r="R76" s="73" t="s">
        <v>2051</v>
      </c>
      <c r="S76" s="73" t="s">
        <v>2052</v>
      </c>
      <c r="T76" s="73" t="s">
        <v>2053</v>
      </c>
      <c r="U76" s="73" t="s">
        <v>2327</v>
      </c>
      <c r="V76" s="74"/>
      <c r="W76" s="73" t="s">
        <v>2054</v>
      </c>
      <c r="X76" s="74"/>
      <c r="Y76" s="74"/>
    </row>
    <row r="77" spans="1:25" ht="337.5">
      <c r="A77" s="73" t="s">
        <v>19</v>
      </c>
      <c r="B77" s="73" t="s">
        <v>147</v>
      </c>
      <c r="C77" s="73" t="str">
        <f ca="1">IFERROR(__xludf.DUMMYFUNCTION("filter('Back End'!C:C,'Back End'!A:A=A77,'Back End'!B:B=B77,'Back End'!D:D=D77)"),"#REF!")</f>
        <v>#REF!</v>
      </c>
      <c r="D77" s="73" t="s">
        <v>166</v>
      </c>
      <c r="E77" s="73" t="s">
        <v>2082</v>
      </c>
      <c r="F77" s="74"/>
      <c r="G77" s="73" t="s">
        <v>2083</v>
      </c>
      <c r="H77" s="73" t="s">
        <v>2328</v>
      </c>
      <c r="I77" s="73" t="s">
        <v>2038</v>
      </c>
      <c r="J77" s="73" t="s">
        <v>2329</v>
      </c>
      <c r="K77" s="73" t="s">
        <v>2048</v>
      </c>
      <c r="L77" s="73" t="s">
        <v>2330</v>
      </c>
      <c r="M77" s="73" t="s">
        <v>2050</v>
      </c>
      <c r="N77" s="73" t="s">
        <v>2051</v>
      </c>
      <c r="O77" s="73" t="s">
        <v>1591</v>
      </c>
      <c r="P77" s="73" t="s">
        <v>2042</v>
      </c>
      <c r="Q77" s="73" t="s">
        <v>2050</v>
      </c>
      <c r="R77" s="73" t="s">
        <v>2051</v>
      </c>
      <c r="S77" s="73" t="s">
        <v>2043</v>
      </c>
      <c r="T77" s="73" t="s">
        <v>2044</v>
      </c>
      <c r="U77" s="74"/>
      <c r="V77" s="67"/>
      <c r="W77" s="71" t="s">
        <v>2054</v>
      </c>
      <c r="X77" s="67"/>
      <c r="Y77" s="67"/>
    </row>
    <row r="78" spans="1:25" ht="409.5">
      <c r="A78" s="73" t="s">
        <v>19</v>
      </c>
      <c r="B78" s="73" t="s">
        <v>147</v>
      </c>
      <c r="C78" s="73" t="str">
        <f ca="1">IFERROR(__xludf.DUMMYFUNCTION("filter('Back End'!C:C,'Back End'!A:A=A78,'Back End'!B:B=B78,'Back End'!D:D=D78)"),"#REF!")</f>
        <v>#REF!</v>
      </c>
      <c r="D78" s="73" t="s">
        <v>1313</v>
      </c>
      <c r="E78" s="73" t="s">
        <v>90</v>
      </c>
      <c r="F78" s="74"/>
      <c r="G78" s="73" t="s">
        <v>2059</v>
      </c>
      <c r="H78" s="73" t="s">
        <v>2331</v>
      </c>
      <c r="I78" s="73" t="s">
        <v>2063</v>
      </c>
      <c r="J78" s="73" t="s">
        <v>2332</v>
      </c>
      <c r="K78" s="73" t="s">
        <v>2048</v>
      </c>
      <c r="L78" s="73" t="s">
        <v>2333</v>
      </c>
      <c r="M78" s="73" t="s">
        <v>1591</v>
      </c>
      <c r="N78" s="73" t="s">
        <v>2042</v>
      </c>
      <c r="O78" s="73" t="s">
        <v>1591</v>
      </c>
      <c r="P78" s="73" t="s">
        <v>2042</v>
      </c>
      <c r="Q78" s="73" t="s">
        <v>2050</v>
      </c>
      <c r="R78" s="73" t="s">
        <v>2051</v>
      </c>
      <c r="S78" s="73" t="s">
        <v>2052</v>
      </c>
      <c r="T78" s="73" t="s">
        <v>2053</v>
      </c>
      <c r="U78" s="73" t="s">
        <v>2334</v>
      </c>
      <c r="V78" s="67"/>
      <c r="W78" s="71" t="s">
        <v>2054</v>
      </c>
      <c r="X78" s="67"/>
      <c r="Y78" s="67"/>
    </row>
    <row r="79" spans="1:25" ht="189">
      <c r="A79" s="71" t="s">
        <v>11</v>
      </c>
      <c r="B79" s="71" t="s">
        <v>297</v>
      </c>
      <c r="C79" s="73" t="str">
        <f ca="1">IFERROR(__xludf.DUMMYFUNCTION("filter('Back End'!C:C,'Back End'!A:A=A79,'Back End'!B:B=B79,'Back End'!D:D=D79)"),"#REF!")</f>
        <v>#REF!</v>
      </c>
      <c r="D79" s="71" t="s">
        <v>874</v>
      </c>
      <c r="E79" s="71" t="s">
        <v>2082</v>
      </c>
      <c r="F79" s="67"/>
      <c r="G79" s="71" t="s">
        <v>2083</v>
      </c>
      <c r="H79" s="71" t="s">
        <v>2267</v>
      </c>
      <c r="I79" s="71" t="s">
        <v>2038</v>
      </c>
      <c r="J79" s="71" t="s">
        <v>2335</v>
      </c>
      <c r="K79" s="71" t="s">
        <v>2048</v>
      </c>
      <c r="L79" s="71" t="s">
        <v>2336</v>
      </c>
      <c r="M79" s="76" t="s">
        <v>1596</v>
      </c>
      <c r="N79" s="76" t="s">
        <v>2069</v>
      </c>
      <c r="O79" s="76" t="s">
        <v>1591</v>
      </c>
      <c r="P79" s="76" t="s">
        <v>2042</v>
      </c>
      <c r="Q79" s="76" t="s">
        <v>2050</v>
      </c>
      <c r="R79" s="76" t="s">
        <v>2051</v>
      </c>
      <c r="S79" s="76" t="s">
        <v>2043</v>
      </c>
      <c r="T79" s="76" t="s">
        <v>2044</v>
      </c>
      <c r="U79" s="67"/>
      <c r="V79" s="67"/>
      <c r="W79" s="71" t="s">
        <v>2045</v>
      </c>
      <c r="X79" s="67"/>
      <c r="Y79" s="67"/>
    </row>
    <row r="80" spans="1:25" ht="409.5">
      <c r="A80" s="73" t="s">
        <v>11</v>
      </c>
      <c r="B80" s="73" t="s">
        <v>297</v>
      </c>
      <c r="C80" s="73" t="str">
        <f ca="1">IFERROR(__xludf.DUMMYFUNCTION("filter('Back End'!C:C,'Back End'!A:A=A80,'Back End'!B:B=B80,'Back End'!D:D=D80)"),"#REF!")</f>
        <v>#REF!</v>
      </c>
      <c r="D80" s="73" t="s">
        <v>335</v>
      </c>
      <c r="E80" s="73" t="s">
        <v>90</v>
      </c>
      <c r="F80" s="74"/>
      <c r="G80" s="73" t="s">
        <v>2059</v>
      </c>
      <c r="H80" s="73" t="s">
        <v>2337</v>
      </c>
      <c r="I80" s="73" t="s">
        <v>2038</v>
      </c>
      <c r="J80" s="73" t="s">
        <v>2338</v>
      </c>
      <c r="K80" s="73" t="s">
        <v>2048</v>
      </c>
      <c r="L80" s="73" t="s">
        <v>2339</v>
      </c>
      <c r="M80" s="73" t="s">
        <v>1596</v>
      </c>
      <c r="N80" s="73" t="s">
        <v>2069</v>
      </c>
      <c r="O80" s="73" t="s">
        <v>1591</v>
      </c>
      <c r="P80" s="73" t="s">
        <v>2042</v>
      </c>
      <c r="Q80" s="73" t="s">
        <v>2050</v>
      </c>
      <c r="R80" s="73" t="s">
        <v>2125</v>
      </c>
      <c r="S80" s="73" t="s">
        <v>2043</v>
      </c>
      <c r="T80" s="73" t="s">
        <v>2044</v>
      </c>
      <c r="U80" s="73" t="s">
        <v>2340</v>
      </c>
      <c r="V80" s="67"/>
      <c r="W80" s="71" t="s">
        <v>2054</v>
      </c>
      <c r="X80" s="67"/>
      <c r="Y80" s="67"/>
    </row>
    <row r="81" spans="1:25" ht="409.5">
      <c r="A81" s="73" t="s">
        <v>19</v>
      </c>
      <c r="B81" s="73" t="s">
        <v>147</v>
      </c>
      <c r="C81" s="73" t="str">
        <f ca="1">IFERROR(__xludf.DUMMYFUNCTION("filter('Back End'!C:C,'Back End'!A:A=A81,'Back End'!B:B=B81,'Back End'!D:D=D81)"),"#REF!")</f>
        <v>#REF!</v>
      </c>
      <c r="D81" s="73" t="s">
        <v>2341</v>
      </c>
      <c r="E81" s="73" t="s">
        <v>2082</v>
      </c>
      <c r="F81" s="74"/>
      <c r="G81" s="73" t="s">
        <v>2194</v>
      </c>
      <c r="H81" s="73" t="s">
        <v>2342</v>
      </c>
      <c r="I81" s="73" t="s">
        <v>2038</v>
      </c>
      <c r="J81" s="73" t="s">
        <v>2343</v>
      </c>
      <c r="K81" s="73" t="s">
        <v>2048</v>
      </c>
      <c r="L81" s="73" t="s">
        <v>2344</v>
      </c>
      <c r="M81" s="73" t="s">
        <v>1596</v>
      </c>
      <c r="N81" s="73" t="s">
        <v>2345</v>
      </c>
      <c r="O81" s="73" t="s">
        <v>1591</v>
      </c>
      <c r="P81" s="73" t="s">
        <v>2042</v>
      </c>
      <c r="Q81" s="73" t="s">
        <v>2050</v>
      </c>
      <c r="R81" s="73" t="s">
        <v>2051</v>
      </c>
      <c r="S81" s="73" t="s">
        <v>2043</v>
      </c>
      <c r="T81" s="73" t="s">
        <v>2044</v>
      </c>
      <c r="U81" s="73" t="s">
        <v>2346</v>
      </c>
      <c r="V81" s="74"/>
      <c r="W81" s="73" t="s">
        <v>2045</v>
      </c>
      <c r="X81" s="74"/>
      <c r="Y81" s="73" t="s">
        <v>2098</v>
      </c>
    </row>
    <row r="82" spans="1:25" ht="378">
      <c r="A82" s="73" t="s">
        <v>15</v>
      </c>
      <c r="B82" s="73" t="s">
        <v>15</v>
      </c>
      <c r="C82" s="73" t="str">
        <f ca="1">IFERROR(__xludf.DUMMYFUNCTION("filter('Back End'!C:C,'Back End'!A:A=A82,'Back End'!B:B=B82,'Back End'!D:D=D82)"),"#REF!")</f>
        <v>#REF!</v>
      </c>
      <c r="D82" s="73" t="s">
        <v>352</v>
      </c>
      <c r="E82" s="73" t="s">
        <v>90</v>
      </c>
      <c r="F82" s="74"/>
      <c r="G82" s="73" t="s">
        <v>2059</v>
      </c>
      <c r="H82" s="73" t="s">
        <v>2221</v>
      </c>
      <c r="I82" s="73" t="s">
        <v>2038</v>
      </c>
      <c r="J82" s="73" t="s">
        <v>2347</v>
      </c>
      <c r="K82" s="73" t="s">
        <v>2048</v>
      </c>
      <c r="L82" s="73" t="s">
        <v>2348</v>
      </c>
      <c r="M82" s="73" t="s">
        <v>1596</v>
      </c>
      <c r="N82" s="73" t="s">
        <v>2069</v>
      </c>
      <c r="O82" s="73" t="s">
        <v>1591</v>
      </c>
      <c r="P82" s="73" t="s">
        <v>2042</v>
      </c>
      <c r="Q82" s="73" t="s">
        <v>2050</v>
      </c>
      <c r="R82" s="73" t="s">
        <v>2125</v>
      </c>
      <c r="S82" s="73" t="s">
        <v>2043</v>
      </c>
      <c r="T82" s="73" t="s">
        <v>2044</v>
      </c>
      <c r="U82" s="73" t="s">
        <v>2349</v>
      </c>
      <c r="V82" s="67"/>
      <c r="W82" s="71" t="s">
        <v>2054</v>
      </c>
      <c r="X82" s="67"/>
      <c r="Y82" s="67"/>
    </row>
    <row r="83" spans="1:25" ht="310.5">
      <c r="A83" s="73" t="s">
        <v>11</v>
      </c>
      <c r="B83" s="73" t="s">
        <v>297</v>
      </c>
      <c r="C83" s="73" t="str">
        <f ca="1">IFERROR(__xludf.DUMMYFUNCTION("filter('Back End'!C:C,'Back End'!A:A=A83,'Back End'!B:B=B83,'Back End'!D:D=D83)"),"#REF!")</f>
        <v>#REF!</v>
      </c>
      <c r="D83" s="73" t="s">
        <v>337</v>
      </c>
      <c r="E83" s="73" t="s">
        <v>90</v>
      </c>
      <c r="F83" s="74"/>
      <c r="G83" s="73" t="s">
        <v>2059</v>
      </c>
      <c r="H83" s="73" t="s">
        <v>2350</v>
      </c>
      <c r="I83" s="73" t="s">
        <v>2108</v>
      </c>
      <c r="J83" s="73" t="s">
        <v>2351</v>
      </c>
      <c r="K83" s="73" t="s">
        <v>2048</v>
      </c>
      <c r="L83" s="73" t="s">
        <v>2352</v>
      </c>
      <c r="M83" s="73" t="s">
        <v>1596</v>
      </c>
      <c r="N83" s="73" t="s">
        <v>2069</v>
      </c>
      <c r="O83" s="73" t="s">
        <v>1591</v>
      </c>
      <c r="P83" s="73" t="s">
        <v>2042</v>
      </c>
      <c r="Q83" s="73" t="s">
        <v>2050</v>
      </c>
      <c r="R83" s="73" t="s">
        <v>2051</v>
      </c>
      <c r="S83" s="73" t="s">
        <v>2043</v>
      </c>
      <c r="T83" s="73" t="s">
        <v>2044</v>
      </c>
      <c r="U83" s="73" t="s">
        <v>2353</v>
      </c>
      <c r="V83" s="67"/>
      <c r="W83" s="71" t="s">
        <v>2054</v>
      </c>
      <c r="X83" s="67"/>
      <c r="Y83" s="67"/>
    </row>
    <row r="84" spans="1:25" ht="283.5">
      <c r="A84" s="73" t="s">
        <v>11</v>
      </c>
      <c r="B84" s="73" t="s">
        <v>297</v>
      </c>
      <c r="C84" s="73" t="str">
        <f ca="1">IFERROR(__xludf.DUMMYFUNCTION("filter('Back End'!C:C,'Back End'!A:A=A84,'Back End'!B:B=B84,'Back End'!D:D=D84)"),"#REF!")</f>
        <v>#REF!</v>
      </c>
      <c r="D84" s="73" t="s">
        <v>851</v>
      </c>
      <c r="E84" s="73" t="s">
        <v>100</v>
      </c>
      <c r="F84" s="74"/>
      <c r="G84" s="73" t="s">
        <v>1590</v>
      </c>
      <c r="H84" s="73" t="s">
        <v>2267</v>
      </c>
      <c r="I84" s="73" t="s">
        <v>2094</v>
      </c>
      <c r="J84" s="73" t="s">
        <v>2354</v>
      </c>
      <c r="K84" s="73" t="s">
        <v>2087</v>
      </c>
      <c r="L84" s="73" t="s">
        <v>2355</v>
      </c>
      <c r="M84" s="73" t="s">
        <v>1591</v>
      </c>
      <c r="N84" s="73" t="s">
        <v>2042</v>
      </c>
      <c r="O84" s="73" t="s">
        <v>2050</v>
      </c>
      <c r="P84" s="73" t="s">
        <v>2051</v>
      </c>
      <c r="Q84" s="73" t="s">
        <v>1591</v>
      </c>
      <c r="R84" s="73" t="s">
        <v>2042</v>
      </c>
      <c r="S84" s="73" t="s">
        <v>2043</v>
      </c>
      <c r="T84" s="73" t="s">
        <v>2044</v>
      </c>
      <c r="U84" s="74"/>
      <c r="V84" s="67"/>
      <c r="W84" s="71" t="s">
        <v>2054</v>
      </c>
      <c r="X84" s="67"/>
      <c r="Y84" s="67"/>
    </row>
    <row r="85" spans="1:25" ht="256.5">
      <c r="A85" s="77" t="s">
        <v>15</v>
      </c>
      <c r="B85" s="77" t="s">
        <v>15</v>
      </c>
      <c r="C85" s="73" t="s">
        <v>358</v>
      </c>
      <c r="D85" s="77" t="s">
        <v>358</v>
      </c>
      <c r="E85" s="77" t="s">
        <v>2082</v>
      </c>
      <c r="F85" s="79"/>
      <c r="G85" s="77" t="s">
        <v>2083</v>
      </c>
      <c r="H85" s="77" t="s">
        <v>2356</v>
      </c>
      <c r="I85" s="77" t="s">
        <v>2063</v>
      </c>
      <c r="J85" s="77" t="s">
        <v>2357</v>
      </c>
      <c r="K85" s="77" t="s">
        <v>2048</v>
      </c>
      <c r="L85" s="77" t="s">
        <v>2358</v>
      </c>
      <c r="M85" s="77" t="s">
        <v>1596</v>
      </c>
      <c r="N85" s="77" t="s">
        <v>2042</v>
      </c>
      <c r="O85" s="77" t="s">
        <v>1591</v>
      </c>
      <c r="P85" s="77" t="s">
        <v>2042</v>
      </c>
      <c r="Q85" s="77" t="s">
        <v>2050</v>
      </c>
      <c r="R85" s="77" t="s">
        <v>2051</v>
      </c>
      <c r="S85" s="77" t="s">
        <v>2043</v>
      </c>
      <c r="T85" s="77" t="s">
        <v>2044</v>
      </c>
      <c r="U85" s="77" t="s">
        <v>2359</v>
      </c>
      <c r="V85" s="67"/>
      <c r="W85" s="71" t="s">
        <v>2045</v>
      </c>
      <c r="X85" s="67"/>
      <c r="Y85" s="67"/>
    </row>
    <row r="86" spans="1:25" ht="135">
      <c r="A86" s="80" t="s">
        <v>15</v>
      </c>
      <c r="B86" s="80" t="s">
        <v>389</v>
      </c>
      <c r="C86" s="73" t="str">
        <f ca="1">IFERROR(__xludf.DUMMYFUNCTION("filter('Back End'!C:C,'Back End'!A:A=A86,'Back End'!B:B=B86,'Back End'!D:D=D86)"),"#REF!")</f>
        <v>#REF!</v>
      </c>
      <c r="D86" s="80" t="s">
        <v>376</v>
      </c>
      <c r="E86" s="80" t="s">
        <v>2082</v>
      </c>
      <c r="F86" s="81"/>
      <c r="G86" s="80" t="s">
        <v>2083</v>
      </c>
      <c r="H86" s="80" t="s">
        <v>2267</v>
      </c>
      <c r="I86" s="80" t="s">
        <v>2114</v>
      </c>
      <c r="J86" s="80" t="s">
        <v>2360</v>
      </c>
      <c r="K86" s="80" t="s">
        <v>2048</v>
      </c>
      <c r="L86" s="80" t="s">
        <v>2361</v>
      </c>
      <c r="M86" s="80" t="s">
        <v>1596</v>
      </c>
      <c r="N86" s="80" t="s">
        <v>2042</v>
      </c>
      <c r="O86" s="80" t="s">
        <v>1591</v>
      </c>
      <c r="P86" s="80" t="s">
        <v>2042</v>
      </c>
      <c r="Q86" s="80" t="s">
        <v>1596</v>
      </c>
      <c r="R86" s="80" t="s">
        <v>2051</v>
      </c>
      <c r="S86" s="80" t="s">
        <v>2043</v>
      </c>
      <c r="T86" s="80" t="s">
        <v>2044</v>
      </c>
      <c r="U86" s="80" t="s">
        <v>2362</v>
      </c>
      <c r="V86" s="81"/>
      <c r="W86" s="71" t="s">
        <v>2070</v>
      </c>
      <c r="X86" s="81"/>
      <c r="Y86" s="81"/>
    </row>
    <row r="87" spans="1:25" ht="81">
      <c r="A87" s="71" t="s">
        <v>19</v>
      </c>
      <c r="B87" s="71" t="s">
        <v>147</v>
      </c>
      <c r="C87" s="73" t="str">
        <f ca="1">IFERROR(__xludf.DUMMYFUNCTION("filter('Back End'!C:C,'Back End'!A:A=A87,'Back End'!B:B=B87,'Back End'!D:D=D87)"),"#REF!")</f>
        <v>#REF!</v>
      </c>
      <c r="D87" s="71" t="s">
        <v>2363</v>
      </c>
      <c r="E87" s="71" t="s">
        <v>100</v>
      </c>
      <c r="F87" s="67"/>
      <c r="G87" s="71" t="s">
        <v>1590</v>
      </c>
      <c r="H87" s="71" t="s">
        <v>2267</v>
      </c>
      <c r="I87" s="71" t="s">
        <v>2114</v>
      </c>
      <c r="J87" s="71" t="s">
        <v>2364</v>
      </c>
      <c r="K87" s="71" t="s">
        <v>2040</v>
      </c>
      <c r="L87" s="71" t="s">
        <v>2365</v>
      </c>
      <c r="M87" s="76" t="s">
        <v>1591</v>
      </c>
      <c r="N87" s="76" t="s">
        <v>2042</v>
      </c>
      <c r="O87" s="76" t="s">
        <v>1596</v>
      </c>
      <c r="P87" s="76" t="s">
        <v>2125</v>
      </c>
      <c r="Q87" s="76" t="s">
        <v>1596</v>
      </c>
      <c r="R87" s="76" t="s">
        <v>2051</v>
      </c>
      <c r="S87" s="76" t="s">
        <v>2043</v>
      </c>
      <c r="T87" s="76" t="s">
        <v>2044</v>
      </c>
      <c r="U87" s="67"/>
      <c r="V87" s="67"/>
      <c r="W87" s="71" t="s">
        <v>2070</v>
      </c>
      <c r="X87" s="67"/>
      <c r="Y87" s="67"/>
    </row>
    <row r="88" spans="1:25" ht="297">
      <c r="A88" s="77" t="s">
        <v>19</v>
      </c>
      <c r="B88" s="77" t="s">
        <v>147</v>
      </c>
      <c r="C88" s="73" t="str">
        <f ca="1">IFERROR(__xludf.DUMMYFUNCTION("filter('Back End'!C:C,'Back End'!A:A=A88,'Back End'!B:B=B88,'Back End'!D:D=D88)"),"#REF!")</f>
        <v>#REF!</v>
      </c>
      <c r="D88" s="77" t="s">
        <v>2366</v>
      </c>
      <c r="E88" s="77" t="s">
        <v>90</v>
      </c>
      <c r="F88" s="79"/>
      <c r="G88" s="77" t="s">
        <v>2059</v>
      </c>
      <c r="H88" s="77" t="s">
        <v>2311</v>
      </c>
      <c r="I88" s="77" t="s">
        <v>2038</v>
      </c>
      <c r="J88" s="77" t="s">
        <v>2367</v>
      </c>
      <c r="K88" s="77" t="s">
        <v>2048</v>
      </c>
      <c r="L88" s="77" t="s">
        <v>2368</v>
      </c>
      <c r="M88" s="77" t="s">
        <v>1596</v>
      </c>
      <c r="N88" s="77" t="s">
        <v>2069</v>
      </c>
      <c r="O88" s="77" t="s">
        <v>1591</v>
      </c>
      <c r="P88" s="77" t="s">
        <v>2042</v>
      </c>
      <c r="Q88" s="77" t="s">
        <v>2050</v>
      </c>
      <c r="R88" s="77" t="s">
        <v>2051</v>
      </c>
      <c r="S88" s="77" t="s">
        <v>2043</v>
      </c>
      <c r="T88" s="77" t="s">
        <v>2044</v>
      </c>
      <c r="U88" s="77" t="s">
        <v>2369</v>
      </c>
      <c r="V88" s="67"/>
      <c r="W88" s="71" t="s">
        <v>2054</v>
      </c>
      <c r="X88" s="67"/>
      <c r="Y88" s="67"/>
    </row>
    <row r="89" spans="1:25" ht="409.5">
      <c r="A89" s="73" t="s">
        <v>19</v>
      </c>
      <c r="B89" s="73" t="s">
        <v>19</v>
      </c>
      <c r="C89" s="73" t="s">
        <v>186</v>
      </c>
      <c r="D89" s="73" t="s">
        <v>186</v>
      </c>
      <c r="E89" s="73" t="s">
        <v>95</v>
      </c>
      <c r="F89" s="73" t="s">
        <v>2083</v>
      </c>
      <c r="G89" s="73" t="s">
        <v>2083</v>
      </c>
      <c r="H89" s="73" t="s">
        <v>2370</v>
      </c>
      <c r="I89" s="73" t="s">
        <v>2114</v>
      </c>
      <c r="J89" s="73" t="s">
        <v>2371</v>
      </c>
      <c r="K89" s="73" t="s">
        <v>2048</v>
      </c>
      <c r="L89" s="73" t="s">
        <v>2372</v>
      </c>
      <c r="M89" s="73" t="s">
        <v>1596</v>
      </c>
      <c r="N89" s="73" t="s">
        <v>2345</v>
      </c>
      <c r="O89" s="73" t="s">
        <v>1591</v>
      </c>
      <c r="P89" s="73" t="s">
        <v>2042</v>
      </c>
      <c r="Q89" s="73" t="s">
        <v>2050</v>
      </c>
      <c r="R89" s="73" t="s">
        <v>2051</v>
      </c>
      <c r="S89" s="73" t="s">
        <v>2043</v>
      </c>
      <c r="T89" s="73" t="s">
        <v>2134</v>
      </c>
      <c r="U89" s="73" t="s">
        <v>2373</v>
      </c>
      <c r="V89" s="74"/>
      <c r="W89" s="73" t="s">
        <v>2054</v>
      </c>
      <c r="X89" s="74"/>
      <c r="Y89" s="73" t="s">
        <v>2098</v>
      </c>
    </row>
    <row r="90" spans="1:25" ht="270">
      <c r="A90" s="73" t="s">
        <v>19</v>
      </c>
      <c r="B90" s="73" t="s">
        <v>19</v>
      </c>
      <c r="C90" s="73" t="str">
        <f ca="1">IFERROR(__xludf.DUMMYFUNCTION("filter('Back End'!C:C,'Back End'!A:A=A90,'Back End'!B:B=B90,'Back End'!D:D=D90)"),"#REF!")</f>
        <v>#REF!</v>
      </c>
      <c r="D90" s="73" t="s">
        <v>1077</v>
      </c>
      <c r="E90" s="73" t="s">
        <v>90</v>
      </c>
      <c r="F90" s="74"/>
      <c r="G90" s="73" t="s">
        <v>2059</v>
      </c>
      <c r="H90" s="73" t="s">
        <v>2374</v>
      </c>
      <c r="I90" s="73" t="s">
        <v>2038</v>
      </c>
      <c r="J90" s="73" t="s">
        <v>2375</v>
      </c>
      <c r="K90" s="73" t="s">
        <v>2048</v>
      </c>
      <c r="L90" s="73" t="s">
        <v>2376</v>
      </c>
      <c r="M90" s="73" t="s">
        <v>1596</v>
      </c>
      <c r="N90" s="73" t="s">
        <v>2125</v>
      </c>
      <c r="O90" s="73" t="s">
        <v>1591</v>
      </c>
      <c r="P90" s="73" t="s">
        <v>2042</v>
      </c>
      <c r="Q90" s="73" t="s">
        <v>2050</v>
      </c>
      <c r="R90" s="73" t="s">
        <v>2051</v>
      </c>
      <c r="S90" s="73" t="s">
        <v>2043</v>
      </c>
      <c r="T90" s="73" t="s">
        <v>2044</v>
      </c>
      <c r="U90" s="73" t="s">
        <v>2377</v>
      </c>
      <c r="V90" s="67"/>
      <c r="W90" s="71" t="s">
        <v>2054</v>
      </c>
      <c r="X90" s="67"/>
      <c r="Y90" s="67"/>
    </row>
    <row r="91" spans="1:25" ht="324">
      <c r="A91" s="73" t="s">
        <v>19</v>
      </c>
      <c r="B91" s="73" t="s">
        <v>88</v>
      </c>
      <c r="C91" s="73" t="str">
        <f ca="1">IFERROR(__xludf.DUMMYFUNCTION("filter('Back End'!C:C,'Back End'!A:A=A91,'Back End'!B:B=B91,'Back End'!D:D=D91)"),"#REF!")</f>
        <v>#REF!</v>
      </c>
      <c r="D91" s="73" t="s">
        <v>89</v>
      </c>
      <c r="E91" s="73" t="s">
        <v>90</v>
      </c>
      <c r="F91" s="74"/>
      <c r="G91" s="73" t="s">
        <v>2059</v>
      </c>
      <c r="H91" s="73" t="s">
        <v>2378</v>
      </c>
      <c r="I91" s="73" t="s">
        <v>2108</v>
      </c>
      <c r="J91" s="73" t="s">
        <v>2379</v>
      </c>
      <c r="K91" s="73" t="s">
        <v>2048</v>
      </c>
      <c r="L91" s="73" t="s">
        <v>2380</v>
      </c>
      <c r="M91" s="73" t="s">
        <v>1591</v>
      </c>
      <c r="N91" s="73" t="s">
        <v>2042</v>
      </c>
      <c r="O91" s="73" t="s">
        <v>1591</v>
      </c>
      <c r="P91" s="73" t="s">
        <v>2042</v>
      </c>
      <c r="Q91" s="73" t="s">
        <v>2050</v>
      </c>
      <c r="R91" s="73" t="s">
        <v>2125</v>
      </c>
      <c r="S91" s="73" t="s">
        <v>2079</v>
      </c>
      <c r="T91" s="73" t="s">
        <v>2044</v>
      </c>
      <c r="U91" s="73" t="s">
        <v>2381</v>
      </c>
      <c r="V91" s="67"/>
      <c r="W91" s="71" t="s">
        <v>2054</v>
      </c>
      <c r="X91" s="67"/>
      <c r="Y91" s="67"/>
    </row>
    <row r="92" spans="1:25" ht="324">
      <c r="A92" s="77" t="s">
        <v>15</v>
      </c>
      <c r="B92" s="77" t="s">
        <v>15</v>
      </c>
      <c r="C92" s="73" t="str">
        <f ca="1">IFERROR(__xludf.DUMMYFUNCTION("filter('Back End'!C:C,'Back End'!A:A=A92,'Back End'!B:B=B92,'Back End'!D:D=D92)"),"#REF!")</f>
        <v>#REF!</v>
      </c>
      <c r="D92" s="77" t="s">
        <v>379</v>
      </c>
      <c r="E92" s="77" t="s">
        <v>90</v>
      </c>
      <c r="F92" s="79"/>
      <c r="G92" s="77" t="s">
        <v>2059</v>
      </c>
      <c r="H92" s="77" t="s">
        <v>2382</v>
      </c>
      <c r="I92" s="77" t="s">
        <v>2063</v>
      </c>
      <c r="J92" s="77" t="s">
        <v>2383</v>
      </c>
      <c r="K92" s="77" t="s">
        <v>2040</v>
      </c>
      <c r="L92" s="77" t="s">
        <v>2384</v>
      </c>
      <c r="M92" s="77" t="s">
        <v>1591</v>
      </c>
      <c r="N92" s="77" t="s">
        <v>2042</v>
      </c>
      <c r="O92" s="77" t="s">
        <v>1591</v>
      </c>
      <c r="P92" s="77" t="s">
        <v>2042</v>
      </c>
      <c r="Q92" s="77" t="s">
        <v>1596</v>
      </c>
      <c r="R92" s="77" t="s">
        <v>2074</v>
      </c>
      <c r="S92" s="77" t="s">
        <v>2079</v>
      </c>
      <c r="T92" s="77" t="s">
        <v>2053</v>
      </c>
      <c r="U92" s="77" t="s">
        <v>2385</v>
      </c>
      <c r="V92" s="74"/>
      <c r="W92" s="73" t="s">
        <v>2054</v>
      </c>
      <c r="X92" s="74"/>
      <c r="Y92" s="73" t="s">
        <v>2386</v>
      </c>
    </row>
    <row r="93" spans="1:25" ht="378">
      <c r="A93" s="73" t="s">
        <v>19</v>
      </c>
      <c r="B93" s="73" t="s">
        <v>88</v>
      </c>
      <c r="C93" s="73" t="str">
        <f ca="1">IFERROR(__xludf.DUMMYFUNCTION("filter('Back End'!C:C,'Back End'!A:A=A93,'Back End'!B:B=B93,'Back End'!D:D=D93)"),"#REF!")</f>
        <v>#REF!</v>
      </c>
      <c r="D93" s="73" t="s">
        <v>104</v>
      </c>
      <c r="E93" s="73" t="s">
        <v>90</v>
      </c>
      <c r="F93" s="74"/>
      <c r="G93" s="73" t="s">
        <v>2059</v>
      </c>
      <c r="H93" s="73" t="s">
        <v>2387</v>
      </c>
      <c r="I93" s="73" t="s">
        <v>2094</v>
      </c>
      <c r="J93" s="73" t="s">
        <v>2388</v>
      </c>
      <c r="K93" s="73" t="s">
        <v>2048</v>
      </c>
      <c r="L93" s="73" t="s">
        <v>2389</v>
      </c>
      <c r="M93" s="73" t="s">
        <v>1591</v>
      </c>
      <c r="N93" s="73" t="s">
        <v>2042</v>
      </c>
      <c r="O93" s="73" t="s">
        <v>1591</v>
      </c>
      <c r="P93" s="73" t="s">
        <v>2042</v>
      </c>
      <c r="Q93" s="73" t="s">
        <v>2050</v>
      </c>
      <c r="R93" s="73" t="s">
        <v>2051</v>
      </c>
      <c r="S93" s="73" t="s">
        <v>2079</v>
      </c>
      <c r="T93" s="73" t="s">
        <v>2044</v>
      </c>
      <c r="U93" s="73" t="s">
        <v>2390</v>
      </c>
      <c r="V93" s="67"/>
      <c r="W93" s="71" t="s">
        <v>2054</v>
      </c>
      <c r="X93" s="67"/>
      <c r="Y93" s="67"/>
    </row>
    <row r="94" spans="1:25" ht="391.5">
      <c r="A94" s="77" t="s">
        <v>8</v>
      </c>
      <c r="B94" s="77" t="s">
        <v>8</v>
      </c>
      <c r="C94" s="73" t="str">
        <f ca="1">IFERROR(__xludf.DUMMYFUNCTION("filter('Back End'!C:C,'Back End'!A:A=A94,'Back End'!B:B=B94,'Back End'!D:D=D94)"),"#REF!")</f>
        <v>#REF!</v>
      </c>
      <c r="D94" s="77" t="s">
        <v>1294</v>
      </c>
      <c r="E94" s="77" t="s">
        <v>95</v>
      </c>
      <c r="F94" s="79"/>
      <c r="G94" s="77" t="s">
        <v>1595</v>
      </c>
      <c r="H94" s="77" t="s">
        <v>2391</v>
      </c>
      <c r="I94" s="77" t="s">
        <v>2038</v>
      </c>
      <c r="J94" s="77" t="s">
        <v>2392</v>
      </c>
      <c r="K94" s="77" t="s">
        <v>2040</v>
      </c>
      <c r="L94" s="77" t="s">
        <v>2393</v>
      </c>
      <c r="M94" s="77" t="s">
        <v>1591</v>
      </c>
      <c r="N94" s="77" t="s">
        <v>2042</v>
      </c>
      <c r="O94" s="77" t="s">
        <v>1596</v>
      </c>
      <c r="P94" s="77" t="s">
        <v>2069</v>
      </c>
      <c r="Q94" s="77" t="s">
        <v>2050</v>
      </c>
      <c r="R94" s="77" t="s">
        <v>2051</v>
      </c>
      <c r="S94" s="77" t="s">
        <v>2052</v>
      </c>
      <c r="T94" s="77" t="s">
        <v>2053</v>
      </c>
      <c r="U94" s="77" t="s">
        <v>2394</v>
      </c>
      <c r="V94" s="67"/>
      <c r="W94" s="71" t="s">
        <v>2054</v>
      </c>
      <c r="X94" s="67"/>
      <c r="Y94" s="67"/>
    </row>
    <row r="95" spans="1:25" ht="243">
      <c r="A95" s="71" t="s">
        <v>11</v>
      </c>
      <c r="B95" s="76" t="s">
        <v>261</v>
      </c>
      <c r="C95" s="76" t="str">
        <f ca="1">IFERROR(__xludf.DUMMYFUNCTION("filter('Back End'!C:C,'Back End'!A:A=A95,'Back End'!B:B=B95,'Back End'!D:D=D95)"),"#REF!")</f>
        <v>#REF!</v>
      </c>
      <c r="D95" s="76" t="s">
        <v>832</v>
      </c>
      <c r="E95" s="76" t="s">
        <v>2082</v>
      </c>
      <c r="F95" s="75"/>
      <c r="G95" s="76" t="s">
        <v>2194</v>
      </c>
      <c r="H95" s="76" t="s">
        <v>2395</v>
      </c>
      <c r="I95" s="75"/>
      <c r="J95" s="75"/>
      <c r="K95" s="76" t="s">
        <v>2188</v>
      </c>
      <c r="L95" s="76" t="s">
        <v>2396</v>
      </c>
      <c r="M95" s="76" t="s">
        <v>2050</v>
      </c>
      <c r="N95" s="76" t="s">
        <v>2051</v>
      </c>
      <c r="O95" s="76" t="s">
        <v>1591</v>
      </c>
      <c r="P95" s="76" t="s">
        <v>2042</v>
      </c>
      <c r="Q95" s="76" t="s">
        <v>1596</v>
      </c>
      <c r="R95" s="76" t="s">
        <v>2069</v>
      </c>
      <c r="S95" s="76" t="s">
        <v>2079</v>
      </c>
      <c r="T95" s="76" t="s">
        <v>2044</v>
      </c>
      <c r="U95" s="76" t="s">
        <v>2397</v>
      </c>
      <c r="V95" s="67"/>
      <c r="W95" s="71" t="s">
        <v>2070</v>
      </c>
      <c r="X95" s="67"/>
      <c r="Y95" s="67"/>
    </row>
    <row r="96" spans="1:25" ht="351">
      <c r="A96" s="76" t="s">
        <v>19</v>
      </c>
      <c r="B96" s="76" t="s">
        <v>88</v>
      </c>
      <c r="C96" s="76" t="str">
        <f ca="1">IFERROR(__xludf.DUMMYFUNCTION("filter('Back End'!C:C,'Back End'!A:A=A96,'Back End'!B:B=B96,'Back End'!D:D=D96)"),"#REF!")</f>
        <v>#REF!</v>
      </c>
      <c r="D96" s="76" t="s">
        <v>108</v>
      </c>
      <c r="E96" s="76" t="s">
        <v>2082</v>
      </c>
      <c r="F96" s="76" t="s">
        <v>2194</v>
      </c>
      <c r="G96" s="76" t="s">
        <v>2194</v>
      </c>
      <c r="H96" s="76" t="s">
        <v>2398</v>
      </c>
      <c r="I96" s="76" t="s">
        <v>2094</v>
      </c>
      <c r="J96" s="76" t="s">
        <v>2399</v>
      </c>
      <c r="K96" s="76" t="s">
        <v>2048</v>
      </c>
      <c r="L96" s="76" t="s">
        <v>2400</v>
      </c>
      <c r="M96" s="76" t="s">
        <v>2050</v>
      </c>
      <c r="N96" s="76" t="s">
        <v>2051</v>
      </c>
      <c r="O96" s="76" t="s">
        <v>1591</v>
      </c>
      <c r="P96" s="76" t="s">
        <v>2042</v>
      </c>
      <c r="Q96" s="76" t="s">
        <v>2050</v>
      </c>
      <c r="R96" s="76" t="s">
        <v>2051</v>
      </c>
      <c r="S96" s="76" t="s">
        <v>2079</v>
      </c>
      <c r="T96" s="76" t="s">
        <v>2044</v>
      </c>
      <c r="U96" s="76" t="s">
        <v>2401</v>
      </c>
      <c r="V96" s="75"/>
      <c r="W96" s="71" t="s">
        <v>2054</v>
      </c>
      <c r="X96" s="67"/>
      <c r="Y96" s="71" t="s">
        <v>2058</v>
      </c>
    </row>
    <row r="97" spans="1:25" ht="283.5">
      <c r="A97" s="73" t="s">
        <v>8</v>
      </c>
      <c r="B97" s="73" t="s">
        <v>587</v>
      </c>
      <c r="C97" s="73" t="s">
        <v>590</v>
      </c>
      <c r="D97" s="73" t="s">
        <v>590</v>
      </c>
      <c r="E97" s="73" t="s">
        <v>2082</v>
      </c>
      <c r="F97" s="73" t="s">
        <v>2083</v>
      </c>
      <c r="G97" s="73" t="s">
        <v>2083</v>
      </c>
      <c r="H97" s="73" t="s">
        <v>2398</v>
      </c>
      <c r="I97" s="73" t="s">
        <v>2094</v>
      </c>
      <c r="J97" s="73" t="s">
        <v>2402</v>
      </c>
      <c r="K97" s="73" t="s">
        <v>2048</v>
      </c>
      <c r="L97" s="73" t="s">
        <v>2403</v>
      </c>
      <c r="M97" s="73" t="s">
        <v>1596</v>
      </c>
      <c r="N97" s="73" t="s">
        <v>2069</v>
      </c>
      <c r="O97" s="73" t="s">
        <v>1591</v>
      </c>
      <c r="P97" s="73" t="s">
        <v>2042</v>
      </c>
      <c r="Q97" s="73" t="s">
        <v>2050</v>
      </c>
      <c r="R97" s="73" t="s">
        <v>2051</v>
      </c>
      <c r="S97" s="73" t="s">
        <v>2043</v>
      </c>
      <c r="T97" s="73" t="s">
        <v>2044</v>
      </c>
      <c r="U97" s="74"/>
      <c r="V97" s="73" t="s">
        <v>2404</v>
      </c>
      <c r="W97" s="73" t="s">
        <v>2054</v>
      </c>
      <c r="X97" s="74"/>
      <c r="Y97" s="73" t="s">
        <v>2098</v>
      </c>
    </row>
    <row r="98" spans="1:25" ht="409.5">
      <c r="A98" s="73" t="s">
        <v>15</v>
      </c>
      <c r="B98" s="73" t="s">
        <v>389</v>
      </c>
      <c r="C98" s="73" t="str">
        <f ca="1">IFERROR(__xludf.DUMMYFUNCTION("filter('Back End'!C:C,'Back End'!A:A=A98,'Back End'!B:B=B98,'Back End'!D:D=D98)"),"#REF!")</f>
        <v>#REF!</v>
      </c>
      <c r="D98" s="73" t="s">
        <v>402</v>
      </c>
      <c r="E98" s="73" t="s">
        <v>90</v>
      </c>
      <c r="F98" s="74"/>
      <c r="G98" s="73" t="s">
        <v>2194</v>
      </c>
      <c r="H98" s="73" t="s">
        <v>2405</v>
      </c>
      <c r="I98" s="73" t="s">
        <v>2063</v>
      </c>
      <c r="J98" s="73" t="s">
        <v>2406</v>
      </c>
      <c r="K98" s="73" t="s">
        <v>2255</v>
      </c>
      <c r="L98" s="73" t="s">
        <v>2407</v>
      </c>
      <c r="M98" s="73" t="s">
        <v>1596</v>
      </c>
      <c r="N98" s="73" t="s">
        <v>2074</v>
      </c>
      <c r="O98" s="73" t="s">
        <v>1591</v>
      </c>
      <c r="P98" s="73" t="s">
        <v>2042</v>
      </c>
      <c r="Q98" s="73" t="s">
        <v>1596</v>
      </c>
      <c r="R98" s="73" t="s">
        <v>2069</v>
      </c>
      <c r="S98" s="73" t="s">
        <v>2079</v>
      </c>
      <c r="T98" s="73" t="s">
        <v>2053</v>
      </c>
      <c r="U98" s="73" t="s">
        <v>2408</v>
      </c>
      <c r="V98" s="67"/>
      <c r="W98" s="71" t="s">
        <v>2054</v>
      </c>
      <c r="X98" s="67"/>
      <c r="Y98" s="67"/>
    </row>
    <row r="99" spans="1:25" ht="409.5">
      <c r="A99" s="71" t="s">
        <v>10</v>
      </c>
      <c r="B99" s="71" t="s">
        <v>10</v>
      </c>
      <c r="C99" s="76" t="str">
        <f ca="1">IFERROR(__xludf.DUMMYFUNCTION("filter('Back End'!C:C,'Back End'!A:A=A99,'Back End'!B:B=B99,'Back End'!D:D=D99)"),"#REF!")</f>
        <v>#REF!</v>
      </c>
      <c r="D99" s="71" t="s">
        <v>495</v>
      </c>
      <c r="E99" s="71" t="s">
        <v>95</v>
      </c>
      <c r="F99" s="71" t="s">
        <v>1595</v>
      </c>
      <c r="G99" s="71" t="s">
        <v>1595</v>
      </c>
      <c r="H99" s="71" t="s">
        <v>2409</v>
      </c>
      <c r="I99" s="71" t="s">
        <v>2232</v>
      </c>
      <c r="J99" s="71" t="s">
        <v>2410</v>
      </c>
      <c r="K99" s="71" t="s">
        <v>2087</v>
      </c>
      <c r="L99" s="71" t="s">
        <v>2411</v>
      </c>
      <c r="M99" s="76" t="s">
        <v>1591</v>
      </c>
      <c r="N99" s="76" t="s">
        <v>2042</v>
      </c>
      <c r="O99" s="76" t="s">
        <v>2050</v>
      </c>
      <c r="P99" s="76" t="s">
        <v>2051</v>
      </c>
      <c r="Q99" s="76" t="s">
        <v>1596</v>
      </c>
      <c r="R99" s="76" t="s">
        <v>2074</v>
      </c>
      <c r="S99" s="76" t="s">
        <v>2052</v>
      </c>
      <c r="T99" s="76" t="s">
        <v>2053</v>
      </c>
      <c r="U99" s="71" t="s">
        <v>2412</v>
      </c>
      <c r="V99" s="67"/>
      <c r="W99" s="71" t="s">
        <v>2054</v>
      </c>
      <c r="X99" s="67"/>
      <c r="Y99" s="71" t="s">
        <v>2058</v>
      </c>
    </row>
    <row r="100" spans="1:25" ht="297">
      <c r="A100" s="73" t="s">
        <v>11</v>
      </c>
      <c r="B100" s="73" t="s">
        <v>261</v>
      </c>
      <c r="C100" s="73" t="str">
        <f ca="1">IFERROR(__xludf.DUMMYFUNCTION("filter('Back End'!C:C,'Back End'!A:A=A100,'Back End'!B:B=B100,'Back End'!D:D=D100)"),"#REF!")</f>
        <v>#REF!</v>
      </c>
      <c r="D100" s="73" t="s">
        <v>290</v>
      </c>
      <c r="E100" s="73" t="s">
        <v>90</v>
      </c>
      <c r="F100" s="74"/>
      <c r="G100" s="73" t="s">
        <v>2194</v>
      </c>
      <c r="H100" s="73" t="s">
        <v>2413</v>
      </c>
      <c r="I100" s="73" t="s">
        <v>2108</v>
      </c>
      <c r="J100" s="73" t="s">
        <v>2414</v>
      </c>
      <c r="K100" s="73" t="s">
        <v>2048</v>
      </c>
      <c r="L100" s="73" t="s">
        <v>2415</v>
      </c>
      <c r="M100" s="73" t="s">
        <v>1596</v>
      </c>
      <c r="N100" s="73" t="s">
        <v>2069</v>
      </c>
      <c r="O100" s="73" t="s">
        <v>1591</v>
      </c>
      <c r="P100" s="73" t="s">
        <v>2042</v>
      </c>
      <c r="Q100" s="73" t="s">
        <v>1596</v>
      </c>
      <c r="R100" s="73" t="s">
        <v>2125</v>
      </c>
      <c r="S100" s="73" t="s">
        <v>2043</v>
      </c>
      <c r="T100" s="73" t="s">
        <v>2044</v>
      </c>
      <c r="U100" s="73" t="s">
        <v>2416</v>
      </c>
      <c r="V100" s="67"/>
      <c r="W100" s="71" t="s">
        <v>2070</v>
      </c>
      <c r="X100" s="67"/>
      <c r="Y100" s="67"/>
    </row>
    <row r="101" spans="1:25" ht="409.5">
      <c r="A101" s="73" t="s">
        <v>15</v>
      </c>
      <c r="B101" s="73" t="s">
        <v>389</v>
      </c>
      <c r="C101" s="73" t="str">
        <f ca="1">IFERROR(__xludf.DUMMYFUNCTION("filter('Back End'!C:C,'Back End'!A:A=A101,'Back End'!B:B=B101,'Back End'!D:D=D101)"),"#REF!")</f>
        <v>#REF!</v>
      </c>
      <c r="D101" s="73" t="s">
        <v>933</v>
      </c>
      <c r="E101" s="73" t="s">
        <v>90</v>
      </c>
      <c r="F101" s="74"/>
      <c r="G101" s="73" t="s">
        <v>2059</v>
      </c>
      <c r="H101" s="73" t="s">
        <v>2417</v>
      </c>
      <c r="I101" s="73" t="s">
        <v>2038</v>
      </c>
      <c r="J101" s="73" t="s">
        <v>2418</v>
      </c>
      <c r="K101" s="73" t="s">
        <v>2048</v>
      </c>
      <c r="L101" s="73" t="s">
        <v>2419</v>
      </c>
      <c r="M101" s="73" t="s">
        <v>1591</v>
      </c>
      <c r="N101" s="73" t="s">
        <v>2042</v>
      </c>
      <c r="O101" s="73" t="s">
        <v>1591</v>
      </c>
      <c r="P101" s="73" t="s">
        <v>2042</v>
      </c>
      <c r="Q101" s="73" t="s">
        <v>1596</v>
      </c>
      <c r="R101" s="73" t="s">
        <v>2125</v>
      </c>
      <c r="S101" s="73" t="s">
        <v>2043</v>
      </c>
      <c r="T101" s="73" t="s">
        <v>2044</v>
      </c>
      <c r="U101" s="74"/>
      <c r="V101" s="67"/>
      <c r="W101" s="71" t="s">
        <v>2054</v>
      </c>
      <c r="X101" s="67"/>
      <c r="Y101" s="67"/>
    </row>
    <row r="102" spans="1:25" ht="364.5">
      <c r="A102" s="73" t="s">
        <v>15</v>
      </c>
      <c r="B102" s="73" t="s">
        <v>389</v>
      </c>
      <c r="C102" s="73" t="str">
        <f ca="1">IFERROR(__xludf.DUMMYFUNCTION("filter('Back End'!C:C,'Back End'!A:A=A102,'Back End'!B:B=B102,'Back End'!D:D=D102)"),"#REF!")</f>
        <v>#REF!</v>
      </c>
      <c r="D102" s="73" t="s">
        <v>936</v>
      </c>
      <c r="E102" s="73" t="s">
        <v>90</v>
      </c>
      <c r="F102" s="74"/>
      <c r="G102" s="73" t="s">
        <v>2059</v>
      </c>
      <c r="H102" s="73" t="s">
        <v>2420</v>
      </c>
      <c r="I102" s="73" t="s">
        <v>2063</v>
      </c>
      <c r="J102" s="73" t="s">
        <v>2421</v>
      </c>
      <c r="K102" s="73" t="s">
        <v>2040</v>
      </c>
      <c r="L102" s="73" t="s">
        <v>2422</v>
      </c>
      <c r="M102" s="73" t="s">
        <v>1591</v>
      </c>
      <c r="N102" s="73" t="s">
        <v>2042</v>
      </c>
      <c r="O102" s="73" t="s">
        <v>1591</v>
      </c>
      <c r="P102" s="73" t="s">
        <v>2042</v>
      </c>
      <c r="Q102" s="73" t="s">
        <v>1596</v>
      </c>
      <c r="R102" s="73" t="s">
        <v>2069</v>
      </c>
      <c r="S102" s="73" t="s">
        <v>2079</v>
      </c>
      <c r="T102" s="73" t="s">
        <v>2053</v>
      </c>
      <c r="U102" s="73" t="s">
        <v>2423</v>
      </c>
      <c r="V102" s="67"/>
      <c r="W102" s="71" t="s">
        <v>2054</v>
      </c>
      <c r="X102" s="67"/>
      <c r="Y102" s="67"/>
    </row>
    <row r="103" spans="1:25" ht="297">
      <c r="A103" s="73" t="s">
        <v>10</v>
      </c>
      <c r="B103" s="73" t="s">
        <v>10</v>
      </c>
      <c r="C103" s="73" t="str">
        <f ca="1">IFERROR(__xludf.DUMMYFUNCTION("filter('Back End'!C:C,'Back End'!A:A=A103,'Back End'!B:B=B103,'Back End'!D:D=D103)"),"#REF!")</f>
        <v>#REF!</v>
      </c>
      <c r="D103" s="73" t="s">
        <v>532</v>
      </c>
      <c r="E103" s="73" t="s">
        <v>90</v>
      </c>
      <c r="F103" s="74"/>
      <c r="G103" s="73" t="s">
        <v>2059</v>
      </c>
      <c r="H103" s="73" t="s">
        <v>2424</v>
      </c>
      <c r="I103" s="73" t="s">
        <v>2425</v>
      </c>
      <c r="J103" s="73" t="s">
        <v>2426</v>
      </c>
      <c r="K103" s="73" t="s">
        <v>2040</v>
      </c>
      <c r="L103" s="73" t="s">
        <v>2427</v>
      </c>
      <c r="M103" s="73" t="s">
        <v>1591</v>
      </c>
      <c r="N103" s="73" t="s">
        <v>2069</v>
      </c>
      <c r="O103" s="73" t="s">
        <v>1591</v>
      </c>
      <c r="P103" s="73" t="s">
        <v>2042</v>
      </c>
      <c r="Q103" s="73" t="s">
        <v>2050</v>
      </c>
      <c r="R103" s="73" t="s">
        <v>2051</v>
      </c>
      <c r="S103" s="73" t="s">
        <v>2079</v>
      </c>
      <c r="T103" s="73" t="s">
        <v>2044</v>
      </c>
      <c r="U103" s="73" t="s">
        <v>2428</v>
      </c>
      <c r="V103" s="67"/>
      <c r="W103" s="71" t="s">
        <v>2054</v>
      </c>
      <c r="X103" s="67"/>
      <c r="Y103" s="67"/>
    </row>
    <row r="104" spans="1:25" ht="364.5">
      <c r="A104" s="73" t="s">
        <v>15</v>
      </c>
      <c r="B104" s="73" t="s">
        <v>389</v>
      </c>
      <c r="C104" s="73" t="str">
        <f ca="1">IFERROR(__xludf.DUMMYFUNCTION("filter('Back End'!C:C,'Back End'!A:A=A104,'Back End'!B:B=B104,'Back End'!D:D=D104)"),"#REF!")</f>
        <v>#REF!</v>
      </c>
      <c r="D104" s="73" t="s">
        <v>409</v>
      </c>
      <c r="E104" s="73" t="s">
        <v>90</v>
      </c>
      <c r="F104" s="74"/>
      <c r="G104" s="73" t="s">
        <v>2059</v>
      </c>
      <c r="H104" s="73" t="s">
        <v>2429</v>
      </c>
      <c r="I104" s="73" t="s">
        <v>2063</v>
      </c>
      <c r="J104" s="73" t="s">
        <v>2430</v>
      </c>
      <c r="K104" s="73" t="s">
        <v>2048</v>
      </c>
      <c r="L104" s="73" t="s">
        <v>2431</v>
      </c>
      <c r="M104" s="73" t="s">
        <v>1591</v>
      </c>
      <c r="N104" s="73" t="s">
        <v>2042</v>
      </c>
      <c r="O104" s="73" t="s">
        <v>1591</v>
      </c>
      <c r="P104" s="73" t="s">
        <v>2042</v>
      </c>
      <c r="Q104" s="73" t="s">
        <v>2050</v>
      </c>
      <c r="R104" s="73" t="s">
        <v>2051</v>
      </c>
      <c r="S104" s="73" t="s">
        <v>2079</v>
      </c>
      <c r="T104" s="73" t="s">
        <v>2044</v>
      </c>
      <c r="U104" s="73" t="s">
        <v>2432</v>
      </c>
      <c r="V104" s="67"/>
      <c r="W104" s="71" t="s">
        <v>2054</v>
      </c>
      <c r="X104" s="67"/>
      <c r="Y104" s="67"/>
    </row>
    <row r="105" spans="1:25" ht="351">
      <c r="A105" s="73" t="s">
        <v>15</v>
      </c>
      <c r="B105" s="73" t="s">
        <v>389</v>
      </c>
      <c r="C105" s="73" t="str">
        <f ca="1">IFERROR(__xludf.DUMMYFUNCTION("filter('Back End'!C:C,'Back End'!A:A=A105,'Back End'!B:B=B105,'Back End'!D:D=D105)"),"#REF!")</f>
        <v>#REF!</v>
      </c>
      <c r="D105" s="73" t="s">
        <v>413</v>
      </c>
      <c r="E105" s="73" t="s">
        <v>90</v>
      </c>
      <c r="F105" s="74"/>
      <c r="G105" s="73" t="s">
        <v>2194</v>
      </c>
      <c r="H105" s="73" t="s">
        <v>2433</v>
      </c>
      <c r="I105" s="73" t="s">
        <v>2063</v>
      </c>
      <c r="J105" s="73" t="s">
        <v>2434</v>
      </c>
      <c r="K105" s="73" t="s">
        <v>2188</v>
      </c>
      <c r="L105" s="73" t="s">
        <v>2435</v>
      </c>
      <c r="M105" s="73" t="s">
        <v>2050</v>
      </c>
      <c r="N105" s="73" t="s">
        <v>2051</v>
      </c>
      <c r="O105" s="73" t="s">
        <v>1591</v>
      </c>
      <c r="P105" s="73" t="s">
        <v>2042</v>
      </c>
      <c r="Q105" s="73" t="s">
        <v>1591</v>
      </c>
      <c r="R105" s="73" t="s">
        <v>2042</v>
      </c>
      <c r="S105" s="73" t="s">
        <v>2079</v>
      </c>
      <c r="T105" s="73" t="s">
        <v>2044</v>
      </c>
      <c r="U105" s="73" t="s">
        <v>2436</v>
      </c>
      <c r="V105" s="67"/>
      <c r="W105" s="71" t="s">
        <v>2054</v>
      </c>
      <c r="X105" s="67"/>
      <c r="Y105" s="67"/>
    </row>
    <row r="106" spans="1:25" ht="351">
      <c r="A106" s="73" t="s">
        <v>8</v>
      </c>
      <c r="B106" s="73" t="s">
        <v>587</v>
      </c>
      <c r="C106" s="73" t="str">
        <f ca="1">IFERROR(__xludf.DUMMYFUNCTION("filter('Back End'!C:C,'Back End'!A:A=A106,'Back End'!B:B=B106,'Back End'!D:D=D106)"),"#REF!")</f>
        <v>#REF!</v>
      </c>
      <c r="D106" s="73" t="s">
        <v>592</v>
      </c>
      <c r="E106" s="73" t="s">
        <v>90</v>
      </c>
      <c r="F106" s="73" t="s">
        <v>2083</v>
      </c>
      <c r="G106" s="73" t="s">
        <v>2059</v>
      </c>
      <c r="H106" s="73" t="s">
        <v>2437</v>
      </c>
      <c r="I106" s="73" t="s">
        <v>2038</v>
      </c>
      <c r="J106" s="73" t="s">
        <v>2438</v>
      </c>
      <c r="K106" s="73" t="s">
        <v>2255</v>
      </c>
      <c r="L106" s="73" t="s">
        <v>2439</v>
      </c>
      <c r="M106" s="73" t="s">
        <v>1591</v>
      </c>
      <c r="N106" s="73" t="s">
        <v>2042</v>
      </c>
      <c r="O106" s="73" t="s">
        <v>1591</v>
      </c>
      <c r="P106" s="73" t="s">
        <v>2042</v>
      </c>
      <c r="Q106" s="73" t="s">
        <v>2050</v>
      </c>
      <c r="R106" s="73" t="s">
        <v>2051</v>
      </c>
      <c r="S106" s="73" t="s">
        <v>2043</v>
      </c>
      <c r="T106" s="73" t="s">
        <v>2044</v>
      </c>
      <c r="U106" s="73" t="s">
        <v>2440</v>
      </c>
      <c r="V106" s="71" t="s">
        <v>2441</v>
      </c>
      <c r="W106" s="71" t="s">
        <v>2054</v>
      </c>
      <c r="X106" s="67"/>
      <c r="Y106" s="67"/>
    </row>
    <row r="107" spans="1:25" ht="283.5">
      <c r="A107" s="73" t="s">
        <v>7</v>
      </c>
      <c r="B107" s="73" t="s">
        <v>7</v>
      </c>
      <c r="C107" s="73" t="str">
        <f ca="1">IFERROR(__xludf.DUMMYFUNCTION("filter('Back End'!C:C,'Back End'!A:A=A107,'Back End'!B:B=B107,'Back End'!D:D=D107)"),"#REF!")</f>
        <v>#REF!</v>
      </c>
      <c r="D107" s="73" t="s">
        <v>771</v>
      </c>
      <c r="E107" s="73" t="s">
        <v>90</v>
      </c>
      <c r="F107" s="74"/>
      <c r="G107" s="73" t="s">
        <v>2059</v>
      </c>
      <c r="H107" s="73" t="s">
        <v>2442</v>
      </c>
      <c r="I107" s="73" t="s">
        <v>2094</v>
      </c>
      <c r="J107" s="73" t="s">
        <v>2443</v>
      </c>
      <c r="K107" s="73" t="s">
        <v>2048</v>
      </c>
      <c r="L107" s="73" t="s">
        <v>2444</v>
      </c>
      <c r="M107" s="73" t="s">
        <v>1591</v>
      </c>
      <c r="N107" s="73" t="s">
        <v>2042</v>
      </c>
      <c r="O107" s="73" t="s">
        <v>1591</v>
      </c>
      <c r="P107" s="73" t="s">
        <v>2042</v>
      </c>
      <c r="Q107" s="73" t="s">
        <v>2050</v>
      </c>
      <c r="R107" s="73" t="s">
        <v>2125</v>
      </c>
      <c r="S107" s="73" t="s">
        <v>2079</v>
      </c>
      <c r="T107" s="73" t="s">
        <v>2044</v>
      </c>
      <c r="U107" s="73" t="s">
        <v>2445</v>
      </c>
      <c r="V107" s="67"/>
      <c r="W107" s="71" t="s">
        <v>2070</v>
      </c>
      <c r="X107" s="67"/>
      <c r="Y107" s="67"/>
    </row>
    <row r="108" spans="1:25" ht="391.5">
      <c r="A108" s="73" t="s">
        <v>10</v>
      </c>
      <c r="B108" s="73" t="s">
        <v>10</v>
      </c>
      <c r="C108" s="73" t="str">
        <f ca="1">IFERROR(__xludf.DUMMYFUNCTION("filter('Back End'!C:C,'Back End'!A:A=A108,'Back End'!B:B=B108,'Back End'!D:D=D108)"),"#REF!")</f>
        <v>#REF!</v>
      </c>
      <c r="D108" s="73" t="s">
        <v>538</v>
      </c>
      <c r="E108" s="73" t="s">
        <v>90</v>
      </c>
      <c r="F108" s="74"/>
      <c r="G108" s="73" t="s">
        <v>2194</v>
      </c>
      <c r="H108" s="73" t="s">
        <v>2446</v>
      </c>
      <c r="I108" s="73" t="s">
        <v>2108</v>
      </c>
      <c r="J108" s="73" t="s">
        <v>2447</v>
      </c>
      <c r="K108" s="73" t="s">
        <v>2048</v>
      </c>
      <c r="L108" s="73" t="s">
        <v>2448</v>
      </c>
      <c r="M108" s="73" t="s">
        <v>1596</v>
      </c>
      <c r="N108" s="73" t="s">
        <v>2069</v>
      </c>
      <c r="O108" s="73" t="s">
        <v>1591</v>
      </c>
      <c r="P108" s="73" t="s">
        <v>2042</v>
      </c>
      <c r="Q108" s="73" t="s">
        <v>1596</v>
      </c>
      <c r="R108" s="73" t="s">
        <v>2069</v>
      </c>
      <c r="S108" s="73" t="s">
        <v>2079</v>
      </c>
      <c r="T108" s="73" t="s">
        <v>2044</v>
      </c>
      <c r="U108" s="73" t="s">
        <v>2449</v>
      </c>
      <c r="V108" s="67"/>
      <c r="W108" s="71" t="s">
        <v>2054</v>
      </c>
      <c r="X108" s="67"/>
      <c r="Y108" s="67"/>
    </row>
    <row r="109" spans="1:25" ht="283.5">
      <c r="A109" s="73" t="s">
        <v>15</v>
      </c>
      <c r="B109" s="73" t="s">
        <v>389</v>
      </c>
      <c r="C109" s="73" t="str">
        <f ca="1">IFERROR(__xludf.DUMMYFUNCTION("filter('Back End'!C:C,'Back End'!A:A=A109,'Back End'!B:B=B109,'Back End'!D:D=D109)"),"#REF!")</f>
        <v>#REF!</v>
      </c>
      <c r="D109" s="73" t="s">
        <v>944</v>
      </c>
      <c r="E109" s="73" t="s">
        <v>90</v>
      </c>
      <c r="F109" s="74"/>
      <c r="G109" s="73" t="s">
        <v>2059</v>
      </c>
      <c r="H109" s="73" t="s">
        <v>2450</v>
      </c>
      <c r="I109" s="73" t="s">
        <v>2108</v>
      </c>
      <c r="J109" s="73" t="s">
        <v>2451</v>
      </c>
      <c r="K109" s="73" t="s">
        <v>2040</v>
      </c>
      <c r="L109" s="73" t="s">
        <v>2452</v>
      </c>
      <c r="M109" s="73" t="s">
        <v>1591</v>
      </c>
      <c r="N109" s="73" t="s">
        <v>2042</v>
      </c>
      <c r="O109" s="73" t="s">
        <v>1591</v>
      </c>
      <c r="P109" s="73" t="s">
        <v>2042</v>
      </c>
      <c r="Q109" s="73" t="s">
        <v>2050</v>
      </c>
      <c r="R109" s="73" t="s">
        <v>2051</v>
      </c>
      <c r="S109" s="73" t="s">
        <v>2079</v>
      </c>
      <c r="T109" s="73" t="s">
        <v>2053</v>
      </c>
      <c r="U109" s="73" t="s">
        <v>2453</v>
      </c>
      <c r="V109" s="67"/>
      <c r="W109" s="71" t="s">
        <v>2054</v>
      </c>
      <c r="X109" s="67"/>
      <c r="Y109" s="67"/>
    </row>
    <row r="110" spans="1:25" ht="409.5">
      <c r="A110" s="73" t="s">
        <v>7</v>
      </c>
      <c r="B110" s="73" t="s">
        <v>7</v>
      </c>
      <c r="C110" s="73" t="s">
        <v>781</v>
      </c>
      <c r="D110" s="73" t="s">
        <v>292</v>
      </c>
      <c r="E110" s="73" t="s">
        <v>90</v>
      </c>
      <c r="F110" s="74"/>
      <c r="G110" s="73" t="s">
        <v>2059</v>
      </c>
      <c r="H110" s="73" t="s">
        <v>2454</v>
      </c>
      <c r="I110" s="73" t="s">
        <v>2108</v>
      </c>
      <c r="J110" s="73" t="s">
        <v>2455</v>
      </c>
      <c r="K110" s="73" t="s">
        <v>2048</v>
      </c>
      <c r="L110" s="73" t="s">
        <v>2456</v>
      </c>
      <c r="M110" s="73" t="s">
        <v>1591</v>
      </c>
      <c r="N110" s="73" t="s">
        <v>2042</v>
      </c>
      <c r="O110" s="73" t="s">
        <v>1596</v>
      </c>
      <c r="P110" s="73" t="s">
        <v>2069</v>
      </c>
      <c r="Q110" s="73" t="s">
        <v>2050</v>
      </c>
      <c r="R110" s="73" t="s">
        <v>2051</v>
      </c>
      <c r="S110" s="73" t="s">
        <v>2079</v>
      </c>
      <c r="T110" s="73" t="s">
        <v>2044</v>
      </c>
      <c r="U110" s="73" t="s">
        <v>2457</v>
      </c>
      <c r="V110" s="67"/>
      <c r="W110" s="71" t="s">
        <v>2054</v>
      </c>
      <c r="X110" s="67"/>
      <c r="Y110" s="67"/>
    </row>
    <row r="111" spans="1:25" ht="391.5">
      <c r="A111" s="73" t="s">
        <v>10</v>
      </c>
      <c r="B111" s="73" t="s">
        <v>430</v>
      </c>
      <c r="C111" s="73" t="str">
        <f ca="1">IFERROR(__xludf.DUMMYFUNCTION("filter('Back End'!C:C,'Back End'!A:A=A111,'Back End'!B:B=B111,'Back End'!D:D=D111)"),"#REF!")</f>
        <v>#REF!</v>
      </c>
      <c r="D111" s="73" t="s">
        <v>821</v>
      </c>
      <c r="E111" s="73" t="s">
        <v>90</v>
      </c>
      <c r="F111" s="74"/>
      <c r="G111" s="73" t="s">
        <v>2059</v>
      </c>
      <c r="H111" s="73" t="s">
        <v>2458</v>
      </c>
      <c r="I111" s="73" t="s">
        <v>2108</v>
      </c>
      <c r="J111" s="73" t="s">
        <v>2459</v>
      </c>
      <c r="K111" s="73" t="s">
        <v>2048</v>
      </c>
      <c r="L111" s="73" t="s">
        <v>2460</v>
      </c>
      <c r="M111" s="73" t="s">
        <v>1591</v>
      </c>
      <c r="N111" s="73" t="s">
        <v>2042</v>
      </c>
      <c r="O111" s="73" t="s">
        <v>1591</v>
      </c>
      <c r="P111" s="73" t="s">
        <v>2069</v>
      </c>
      <c r="Q111" s="73" t="s">
        <v>2050</v>
      </c>
      <c r="R111" s="73" t="s">
        <v>2051</v>
      </c>
      <c r="S111" s="73" t="s">
        <v>2079</v>
      </c>
      <c r="T111" s="73" t="s">
        <v>2044</v>
      </c>
      <c r="U111" s="73" t="s">
        <v>2461</v>
      </c>
      <c r="V111" s="67"/>
      <c r="W111" s="71" t="s">
        <v>2054</v>
      </c>
      <c r="X111" s="67"/>
      <c r="Y111" s="67"/>
    </row>
    <row r="112" spans="1:25" ht="409.5">
      <c r="A112" s="77" t="s">
        <v>10</v>
      </c>
      <c r="B112" s="77" t="s">
        <v>10</v>
      </c>
      <c r="C112" s="73" t="str">
        <f ca="1">IFERROR(__xludf.DUMMYFUNCTION("filter('Back End'!C:C,'Back End'!A:A=A112,'Back End'!B:B=B112,'Back End'!D:D=D112)"),"#REF!")</f>
        <v>#REF!</v>
      </c>
      <c r="D112" s="77" t="s">
        <v>540</v>
      </c>
      <c r="E112" s="77" t="s">
        <v>90</v>
      </c>
      <c r="F112" s="79"/>
      <c r="G112" s="77" t="s">
        <v>2059</v>
      </c>
      <c r="H112" s="77" t="s">
        <v>2462</v>
      </c>
      <c r="I112" s="77" t="s">
        <v>2063</v>
      </c>
      <c r="J112" s="77" t="s">
        <v>2463</v>
      </c>
      <c r="K112" s="77" t="s">
        <v>2048</v>
      </c>
      <c r="L112" s="77" t="s">
        <v>2464</v>
      </c>
      <c r="M112" s="77" t="s">
        <v>1591</v>
      </c>
      <c r="N112" s="77" t="s">
        <v>2042</v>
      </c>
      <c r="O112" s="77" t="s">
        <v>1591</v>
      </c>
      <c r="P112" s="77" t="s">
        <v>2042</v>
      </c>
      <c r="Q112" s="77" t="s">
        <v>1596</v>
      </c>
      <c r="R112" s="77" t="s">
        <v>2069</v>
      </c>
      <c r="S112" s="77" t="s">
        <v>2079</v>
      </c>
      <c r="T112" s="77" t="s">
        <v>2044</v>
      </c>
      <c r="U112" s="77" t="s">
        <v>2465</v>
      </c>
      <c r="V112" s="67"/>
      <c r="W112" s="71" t="s">
        <v>2054</v>
      </c>
      <c r="X112" s="67"/>
      <c r="Y112" s="67"/>
    </row>
    <row r="113" spans="1:25" ht="409.5">
      <c r="A113" s="77" t="s">
        <v>15</v>
      </c>
      <c r="B113" s="77" t="s">
        <v>15</v>
      </c>
      <c r="C113" s="73" t="s">
        <v>375</v>
      </c>
      <c r="D113" s="77" t="s">
        <v>375</v>
      </c>
      <c r="E113" s="77" t="s">
        <v>100</v>
      </c>
      <c r="F113" s="79"/>
      <c r="G113" s="77" t="s">
        <v>1590</v>
      </c>
      <c r="H113" s="77" t="s">
        <v>2466</v>
      </c>
      <c r="I113" s="77" t="s">
        <v>2038</v>
      </c>
      <c r="J113" s="77" t="s">
        <v>2467</v>
      </c>
      <c r="K113" s="77" t="s">
        <v>2087</v>
      </c>
      <c r="L113" s="77" t="s">
        <v>2468</v>
      </c>
      <c r="M113" s="77" t="s">
        <v>1591</v>
      </c>
      <c r="N113" s="77" t="s">
        <v>2042</v>
      </c>
      <c r="O113" s="77" t="s">
        <v>2050</v>
      </c>
      <c r="P113" s="77" t="s">
        <v>2051</v>
      </c>
      <c r="Q113" s="77" t="s">
        <v>1596</v>
      </c>
      <c r="R113" s="77" t="s">
        <v>2069</v>
      </c>
      <c r="S113" s="77" t="s">
        <v>2052</v>
      </c>
      <c r="T113" s="77" t="s">
        <v>2053</v>
      </c>
      <c r="U113" s="77" t="s">
        <v>2469</v>
      </c>
      <c r="V113" s="67"/>
      <c r="W113" s="71" t="s">
        <v>2054</v>
      </c>
      <c r="X113" s="67"/>
      <c r="Y113" s="67"/>
    </row>
    <row r="114" spans="1:25" ht="310.5">
      <c r="A114" s="73" t="s">
        <v>8</v>
      </c>
      <c r="B114" s="73" t="s">
        <v>587</v>
      </c>
      <c r="C114" s="73" t="str">
        <f ca="1">IFERROR(__xludf.DUMMYFUNCTION("filter('Back End'!C:C,'Back End'!A:A=A114,'Back End'!B:B=B114,'Back End'!D:D=D114)"),"#REF!")</f>
        <v>#REF!</v>
      </c>
      <c r="D114" s="78" t="s">
        <v>607</v>
      </c>
      <c r="E114" s="73" t="s">
        <v>90</v>
      </c>
      <c r="F114" s="73" t="s">
        <v>2059</v>
      </c>
      <c r="G114" s="73" t="s">
        <v>2059</v>
      </c>
      <c r="H114" s="73" t="s">
        <v>2470</v>
      </c>
      <c r="I114" s="73" t="s">
        <v>2108</v>
      </c>
      <c r="J114" s="73" t="s">
        <v>2471</v>
      </c>
      <c r="K114" s="73" t="s">
        <v>2040</v>
      </c>
      <c r="L114" s="73" t="s">
        <v>2472</v>
      </c>
      <c r="M114" s="73" t="s">
        <v>1591</v>
      </c>
      <c r="N114" s="73" t="s">
        <v>2042</v>
      </c>
      <c r="O114" s="73" t="s">
        <v>1596</v>
      </c>
      <c r="P114" s="73" t="s">
        <v>2069</v>
      </c>
      <c r="Q114" s="73" t="s">
        <v>2050</v>
      </c>
      <c r="R114" s="73" t="s">
        <v>2051</v>
      </c>
      <c r="S114" s="73" t="s">
        <v>2079</v>
      </c>
      <c r="T114" s="73" t="s">
        <v>2044</v>
      </c>
      <c r="U114" s="73" t="s">
        <v>2473</v>
      </c>
      <c r="V114" s="71" t="s">
        <v>2474</v>
      </c>
      <c r="W114" s="71" t="s">
        <v>2054</v>
      </c>
      <c r="X114" s="67"/>
      <c r="Y114" s="67"/>
    </row>
    <row r="115" spans="1:25" ht="202.5">
      <c r="A115" s="76" t="s">
        <v>10</v>
      </c>
      <c r="B115" s="76" t="s">
        <v>430</v>
      </c>
      <c r="C115" s="76" t="s">
        <v>438</v>
      </c>
      <c r="D115" s="76" t="s">
        <v>438</v>
      </c>
      <c r="E115" s="76" t="s">
        <v>90</v>
      </c>
      <c r="F115" s="75"/>
      <c r="G115" s="76" t="s">
        <v>2059</v>
      </c>
      <c r="H115" s="76" t="s">
        <v>2475</v>
      </c>
      <c r="I115" s="76" t="s">
        <v>2038</v>
      </c>
      <c r="J115" s="76" t="s">
        <v>2476</v>
      </c>
      <c r="K115" s="76" t="s">
        <v>2048</v>
      </c>
      <c r="L115" s="76" t="s">
        <v>2477</v>
      </c>
      <c r="M115" s="76" t="s">
        <v>1596</v>
      </c>
      <c r="N115" s="76" t="s">
        <v>2069</v>
      </c>
      <c r="O115" s="76" t="s">
        <v>1591</v>
      </c>
      <c r="P115" s="76" t="s">
        <v>2042</v>
      </c>
      <c r="Q115" s="76" t="s">
        <v>2050</v>
      </c>
      <c r="R115" s="76" t="s">
        <v>2051</v>
      </c>
      <c r="S115" s="76" t="s">
        <v>2043</v>
      </c>
      <c r="T115" s="76" t="s">
        <v>2044</v>
      </c>
      <c r="U115" s="75"/>
      <c r="V115" s="75"/>
      <c r="W115" s="71" t="s">
        <v>2070</v>
      </c>
      <c r="X115" s="75"/>
      <c r="Y115" s="75"/>
    </row>
    <row r="116" spans="1:25" ht="409.5">
      <c r="A116" s="73" t="s">
        <v>11</v>
      </c>
      <c r="B116" s="73" t="s">
        <v>297</v>
      </c>
      <c r="C116" s="73" t="str">
        <f ca="1">IFERROR(__xludf.DUMMYFUNCTION("filter('Back End'!C:C,'Back End'!A:A=A116,'Back End'!B:B=B116,'Back End'!D:D=D116)"),"#REF!")</f>
        <v>#REF!</v>
      </c>
      <c r="D116" s="73" t="s">
        <v>341</v>
      </c>
      <c r="E116" s="73" t="s">
        <v>95</v>
      </c>
      <c r="F116" s="73" t="s">
        <v>1590</v>
      </c>
      <c r="G116" s="73" t="s">
        <v>2059</v>
      </c>
      <c r="H116" s="73" t="s">
        <v>2478</v>
      </c>
      <c r="I116" s="73" t="s">
        <v>2038</v>
      </c>
      <c r="J116" s="73" t="s">
        <v>2479</v>
      </c>
      <c r="K116" s="73" t="s">
        <v>2087</v>
      </c>
      <c r="L116" s="73" t="s">
        <v>2480</v>
      </c>
      <c r="M116" s="73" t="s">
        <v>1591</v>
      </c>
      <c r="N116" s="73" t="s">
        <v>2042</v>
      </c>
      <c r="O116" s="73" t="s">
        <v>2050</v>
      </c>
      <c r="P116" s="73" t="s">
        <v>2125</v>
      </c>
      <c r="Q116" s="73" t="s">
        <v>1596</v>
      </c>
      <c r="R116" s="73" t="s">
        <v>2169</v>
      </c>
      <c r="S116" s="73" t="s">
        <v>2079</v>
      </c>
      <c r="T116" s="73" t="s">
        <v>2044</v>
      </c>
      <c r="U116" s="73" t="s">
        <v>2469</v>
      </c>
      <c r="V116" s="74"/>
      <c r="W116" s="73" t="s">
        <v>2054</v>
      </c>
      <c r="X116" s="74"/>
      <c r="Y116" s="73" t="s">
        <v>2098</v>
      </c>
    </row>
    <row r="117" spans="1:25" ht="409.5">
      <c r="A117" s="73" t="s">
        <v>10</v>
      </c>
      <c r="B117" s="73" t="s">
        <v>430</v>
      </c>
      <c r="C117" s="73" t="str">
        <f ca="1">IFERROR(__xludf.DUMMYFUNCTION("filter('Back End'!C:C,'Back End'!A:A=A117,'Back End'!B:B=B117,'Back End'!D:D=D117)"),"#REF!")</f>
        <v>#REF!</v>
      </c>
      <c r="D117" s="73" t="s">
        <v>431</v>
      </c>
      <c r="E117" s="73" t="s">
        <v>2082</v>
      </c>
      <c r="F117" s="74"/>
      <c r="G117" s="73" t="s">
        <v>2083</v>
      </c>
      <c r="H117" s="73" t="s">
        <v>2481</v>
      </c>
      <c r="I117" s="73" t="s">
        <v>2038</v>
      </c>
      <c r="J117" s="73" t="s">
        <v>2482</v>
      </c>
      <c r="K117" s="73" t="s">
        <v>2048</v>
      </c>
      <c r="L117" s="73" t="s">
        <v>2483</v>
      </c>
      <c r="M117" s="73" t="s">
        <v>1596</v>
      </c>
      <c r="N117" s="73" t="s">
        <v>2074</v>
      </c>
      <c r="O117" s="73" t="s">
        <v>1591</v>
      </c>
      <c r="P117" s="73" t="s">
        <v>2042</v>
      </c>
      <c r="Q117" s="73" t="s">
        <v>2050</v>
      </c>
      <c r="R117" s="73" t="s">
        <v>2051</v>
      </c>
      <c r="S117" s="73" t="s">
        <v>2079</v>
      </c>
      <c r="T117" s="73" t="s">
        <v>2044</v>
      </c>
      <c r="U117" s="73" t="s">
        <v>2484</v>
      </c>
      <c r="V117" s="67"/>
      <c r="W117" s="71" t="s">
        <v>2054</v>
      </c>
      <c r="X117" s="67"/>
      <c r="Y117" s="67"/>
    </row>
    <row r="118" spans="1:25" ht="297">
      <c r="A118" s="73" t="s">
        <v>8</v>
      </c>
      <c r="B118" s="73" t="s">
        <v>587</v>
      </c>
      <c r="C118" s="73" t="str">
        <f ca="1">IFERROR(__xludf.DUMMYFUNCTION("filter('Back End'!C:C,'Back End'!A:A=A118,'Back End'!B:B=B118,'Back End'!D:D=D118)"),"#REF!")</f>
        <v>#REF!</v>
      </c>
      <c r="D118" s="73" t="s">
        <v>626</v>
      </c>
      <c r="E118" s="73" t="s">
        <v>90</v>
      </c>
      <c r="F118" s="73" t="s">
        <v>2083</v>
      </c>
      <c r="G118" s="73" t="s">
        <v>2059</v>
      </c>
      <c r="H118" s="73" t="s">
        <v>2485</v>
      </c>
      <c r="I118" s="73" t="s">
        <v>2038</v>
      </c>
      <c r="J118" s="73" t="s">
        <v>2486</v>
      </c>
      <c r="K118" s="73" t="s">
        <v>2040</v>
      </c>
      <c r="L118" s="73" t="s">
        <v>2487</v>
      </c>
      <c r="M118" s="73" t="s">
        <v>1591</v>
      </c>
      <c r="N118" s="73" t="s">
        <v>2042</v>
      </c>
      <c r="O118" s="73" t="s">
        <v>1596</v>
      </c>
      <c r="P118" s="73" t="s">
        <v>2069</v>
      </c>
      <c r="Q118" s="73" t="s">
        <v>2050</v>
      </c>
      <c r="R118" s="73" t="s">
        <v>2051</v>
      </c>
      <c r="S118" s="73" t="s">
        <v>2079</v>
      </c>
      <c r="T118" s="73" t="s">
        <v>2044</v>
      </c>
      <c r="U118" s="73" t="s">
        <v>2488</v>
      </c>
      <c r="V118" s="71" t="s">
        <v>2489</v>
      </c>
      <c r="W118" s="71" t="s">
        <v>2054</v>
      </c>
      <c r="X118" s="67"/>
      <c r="Y118" s="67"/>
    </row>
    <row r="119" spans="1:25" ht="351">
      <c r="A119" s="73" t="s">
        <v>8</v>
      </c>
      <c r="B119" s="73" t="s">
        <v>587</v>
      </c>
      <c r="C119" s="73" t="str">
        <f ca="1">IFERROR(__xludf.DUMMYFUNCTION("filter('Back End'!C:C,'Back End'!A:A=A119,'Back End'!B:B=B119,'Back End'!D:D=D119)"),"#REF!")</f>
        <v>#REF!</v>
      </c>
      <c r="D119" s="73" t="s">
        <v>617</v>
      </c>
      <c r="E119" s="73" t="s">
        <v>100</v>
      </c>
      <c r="F119" s="73" t="s">
        <v>1590</v>
      </c>
      <c r="G119" s="73" t="s">
        <v>1590</v>
      </c>
      <c r="H119" s="73" t="s">
        <v>2490</v>
      </c>
      <c r="I119" s="73" t="s">
        <v>2038</v>
      </c>
      <c r="J119" s="73" t="s">
        <v>2491</v>
      </c>
      <c r="K119" s="73" t="s">
        <v>2040</v>
      </c>
      <c r="L119" s="73" t="s">
        <v>2492</v>
      </c>
      <c r="M119" s="73" t="s">
        <v>1591</v>
      </c>
      <c r="N119" s="73" t="s">
        <v>2042</v>
      </c>
      <c r="O119" s="73" t="s">
        <v>1596</v>
      </c>
      <c r="P119" s="73" t="s">
        <v>2069</v>
      </c>
      <c r="Q119" s="73" t="s">
        <v>2050</v>
      </c>
      <c r="R119" s="73" t="s">
        <v>2051</v>
      </c>
      <c r="S119" s="73" t="s">
        <v>2043</v>
      </c>
      <c r="T119" s="73" t="s">
        <v>2044</v>
      </c>
      <c r="U119" s="73" t="s">
        <v>2493</v>
      </c>
      <c r="V119" s="73" t="s">
        <v>2494</v>
      </c>
      <c r="W119" s="73" t="s">
        <v>2054</v>
      </c>
      <c r="X119" s="74"/>
      <c r="Y119" s="73" t="s">
        <v>2098</v>
      </c>
    </row>
    <row r="120" spans="1:25" ht="378">
      <c r="A120" s="73" t="s">
        <v>7</v>
      </c>
      <c r="B120" s="73" t="s">
        <v>671</v>
      </c>
      <c r="C120" s="73" t="str">
        <f ca="1">IFERROR(__xludf.DUMMYFUNCTION("filter('Back End'!C:C,'Back End'!A:A=A120,'Back End'!B:B=B120,'Back End'!D:D=D120)"),"#REF!")</f>
        <v>#REF!</v>
      </c>
      <c r="D120" s="73" t="s">
        <v>690</v>
      </c>
      <c r="E120" s="73" t="s">
        <v>90</v>
      </c>
      <c r="F120" s="74"/>
      <c r="G120" s="73" t="s">
        <v>2194</v>
      </c>
      <c r="H120" s="73" t="s">
        <v>2495</v>
      </c>
      <c r="I120" s="73" t="s">
        <v>2425</v>
      </c>
      <c r="J120" s="73" t="s">
        <v>2496</v>
      </c>
      <c r="K120" s="73" t="s">
        <v>2048</v>
      </c>
      <c r="L120" s="73" t="s">
        <v>2497</v>
      </c>
      <c r="M120" s="73" t="s">
        <v>1596</v>
      </c>
      <c r="N120" s="73" t="s">
        <v>2125</v>
      </c>
      <c r="O120" s="73" t="s">
        <v>1591</v>
      </c>
      <c r="P120" s="73" t="s">
        <v>2042</v>
      </c>
      <c r="Q120" s="73" t="s">
        <v>2050</v>
      </c>
      <c r="R120" s="73" t="s">
        <v>2051</v>
      </c>
      <c r="S120" s="73" t="s">
        <v>2043</v>
      </c>
      <c r="T120" s="73" t="s">
        <v>2044</v>
      </c>
      <c r="U120" s="73" t="s">
        <v>2498</v>
      </c>
      <c r="V120" s="74"/>
      <c r="W120" s="73" t="s">
        <v>2054</v>
      </c>
      <c r="X120" s="74"/>
      <c r="Y120" s="74"/>
    </row>
    <row r="121" spans="1:25" ht="283.5">
      <c r="A121" s="73" t="s">
        <v>8</v>
      </c>
      <c r="B121" s="73" t="s">
        <v>587</v>
      </c>
      <c r="C121" s="73" t="str">
        <f ca="1">IFERROR(__xludf.DUMMYFUNCTION("filter('Back End'!C:C,'Back End'!A:A=A121,'Back End'!B:B=B121,'Back End'!D:D=D121)"),"#REF!")</f>
        <v>#REF!</v>
      </c>
      <c r="D121" s="73" t="s">
        <v>597</v>
      </c>
      <c r="E121" s="73" t="s">
        <v>2082</v>
      </c>
      <c r="F121" s="73" t="s">
        <v>2059</v>
      </c>
      <c r="G121" s="73" t="s">
        <v>2083</v>
      </c>
      <c r="H121" s="73" t="s">
        <v>2499</v>
      </c>
      <c r="I121" s="73" t="s">
        <v>2038</v>
      </c>
      <c r="J121" s="73" t="s">
        <v>2500</v>
      </c>
      <c r="K121" s="73" t="s">
        <v>2048</v>
      </c>
      <c r="L121" s="73" t="s">
        <v>2501</v>
      </c>
      <c r="M121" s="73" t="s">
        <v>1596</v>
      </c>
      <c r="N121" s="73" t="s">
        <v>2069</v>
      </c>
      <c r="O121" s="73" t="s">
        <v>1591</v>
      </c>
      <c r="P121" s="73" t="s">
        <v>2069</v>
      </c>
      <c r="Q121" s="73" t="s">
        <v>2050</v>
      </c>
      <c r="R121" s="73" t="s">
        <v>2051</v>
      </c>
      <c r="S121" s="73" t="s">
        <v>2043</v>
      </c>
      <c r="T121" s="73" t="s">
        <v>2044</v>
      </c>
      <c r="U121" s="73" t="s">
        <v>2502</v>
      </c>
      <c r="V121" s="73" t="s">
        <v>2503</v>
      </c>
      <c r="W121" s="73" t="s">
        <v>2054</v>
      </c>
      <c r="X121" s="74"/>
      <c r="Y121" s="67"/>
    </row>
    <row r="122" spans="1:25" ht="364.5">
      <c r="A122" s="73" t="s">
        <v>8</v>
      </c>
      <c r="B122" s="73" t="s">
        <v>587</v>
      </c>
      <c r="C122" s="73" t="str">
        <f ca="1">IFERROR(__xludf.DUMMYFUNCTION("filter('Back End'!C:C,'Back End'!A:A=A122,'Back End'!B:B=B122,'Back End'!D:D=D122)"),"#REF!")</f>
        <v>#REF!</v>
      </c>
      <c r="D122" s="73" t="s">
        <v>609</v>
      </c>
      <c r="E122" s="73" t="s">
        <v>90</v>
      </c>
      <c r="F122" s="73" t="s">
        <v>2083</v>
      </c>
      <c r="G122" s="73" t="s">
        <v>2059</v>
      </c>
      <c r="H122" s="73" t="s">
        <v>2504</v>
      </c>
      <c r="I122" s="73" t="s">
        <v>2063</v>
      </c>
      <c r="J122" s="73" t="s">
        <v>2505</v>
      </c>
      <c r="K122" s="73" t="s">
        <v>2040</v>
      </c>
      <c r="L122" s="73" t="s">
        <v>2506</v>
      </c>
      <c r="M122" s="73" t="s">
        <v>1591</v>
      </c>
      <c r="N122" s="73" t="s">
        <v>2042</v>
      </c>
      <c r="O122" s="73" t="s">
        <v>1596</v>
      </c>
      <c r="P122" s="73" t="s">
        <v>2074</v>
      </c>
      <c r="Q122" s="73" t="s">
        <v>2050</v>
      </c>
      <c r="R122" s="73" t="s">
        <v>2051</v>
      </c>
      <c r="S122" s="73" t="s">
        <v>2043</v>
      </c>
      <c r="T122" s="73" t="s">
        <v>2044</v>
      </c>
      <c r="U122" s="73" t="s">
        <v>2507</v>
      </c>
      <c r="V122" s="73" t="s">
        <v>2508</v>
      </c>
      <c r="W122" s="73" t="s">
        <v>2054</v>
      </c>
      <c r="X122" s="74"/>
      <c r="Y122" s="71" t="s">
        <v>2098</v>
      </c>
    </row>
    <row r="123" spans="1:25" ht="324">
      <c r="A123" s="73" t="s">
        <v>10</v>
      </c>
      <c r="B123" s="73" t="s">
        <v>166</v>
      </c>
      <c r="C123" s="73" t="str">
        <f ca="1">IFERROR(__xludf.DUMMYFUNCTION("filter('Back End'!C:C,'Back End'!A:A=A123,'Back End'!B:B=B123,'Back End'!D:D=D123)"),"#REF!")</f>
        <v>#REF!</v>
      </c>
      <c r="D123" s="73" t="s">
        <v>459</v>
      </c>
      <c r="E123" s="73" t="s">
        <v>90</v>
      </c>
      <c r="F123" s="74"/>
      <c r="G123" s="73" t="s">
        <v>2059</v>
      </c>
      <c r="H123" s="73" t="s">
        <v>2509</v>
      </c>
      <c r="I123" s="73" t="s">
        <v>2063</v>
      </c>
      <c r="J123" s="73" t="s">
        <v>2510</v>
      </c>
      <c r="K123" s="73" t="s">
        <v>2040</v>
      </c>
      <c r="L123" s="73" t="s">
        <v>2511</v>
      </c>
      <c r="M123" s="73" t="s">
        <v>1591</v>
      </c>
      <c r="N123" s="73" t="s">
        <v>2042</v>
      </c>
      <c r="O123" s="73" t="s">
        <v>1596</v>
      </c>
      <c r="P123" s="73" t="s">
        <v>2074</v>
      </c>
      <c r="Q123" s="73" t="s">
        <v>1596</v>
      </c>
      <c r="R123" s="73" t="s">
        <v>2069</v>
      </c>
      <c r="S123" s="73" t="s">
        <v>2043</v>
      </c>
      <c r="T123" s="73" t="s">
        <v>2044</v>
      </c>
      <c r="U123" s="73" t="s">
        <v>2512</v>
      </c>
      <c r="V123" s="67"/>
      <c r="W123" s="71" t="s">
        <v>2054</v>
      </c>
      <c r="X123" s="67"/>
      <c r="Y123" s="67"/>
    </row>
    <row r="124" spans="1:25" ht="324">
      <c r="A124" s="73" t="s">
        <v>10</v>
      </c>
      <c r="B124" s="73" t="s">
        <v>430</v>
      </c>
      <c r="C124" s="73" t="str">
        <f ca="1">IFERROR(__xludf.DUMMYFUNCTION("filter('Back End'!C:C,'Back End'!A:A=A124,'Back End'!B:B=B124,'Back End'!D:D=D124)"),"#REF!")</f>
        <v>#REF!</v>
      </c>
      <c r="D124" s="73" t="s">
        <v>443</v>
      </c>
      <c r="E124" s="73" t="s">
        <v>90</v>
      </c>
      <c r="F124" s="74"/>
      <c r="G124" s="73" t="s">
        <v>2059</v>
      </c>
      <c r="H124" s="73" t="s">
        <v>2513</v>
      </c>
      <c r="I124" s="73" t="s">
        <v>2038</v>
      </c>
      <c r="J124" s="73" t="s">
        <v>2514</v>
      </c>
      <c r="K124" s="73" t="s">
        <v>2188</v>
      </c>
      <c r="L124" s="73" t="s">
        <v>2515</v>
      </c>
      <c r="M124" s="73" t="s">
        <v>1596</v>
      </c>
      <c r="N124" s="73" t="s">
        <v>2074</v>
      </c>
      <c r="O124" s="73" t="s">
        <v>1591</v>
      </c>
      <c r="P124" s="73" t="s">
        <v>2042</v>
      </c>
      <c r="Q124" s="73" t="s">
        <v>2050</v>
      </c>
      <c r="R124" s="73" t="s">
        <v>2051</v>
      </c>
      <c r="S124" s="73" t="s">
        <v>2043</v>
      </c>
      <c r="T124" s="73" t="s">
        <v>2044</v>
      </c>
      <c r="U124" s="73" t="s">
        <v>2516</v>
      </c>
      <c r="V124" s="67"/>
      <c r="W124" s="71" t="s">
        <v>2045</v>
      </c>
      <c r="X124" s="67"/>
      <c r="Y124" s="67"/>
    </row>
    <row r="125" spans="1:25" ht="243">
      <c r="A125" s="73" t="s">
        <v>8</v>
      </c>
      <c r="B125" s="73" t="s">
        <v>587</v>
      </c>
      <c r="C125" s="73" t="str">
        <f ca="1">IFERROR(__xludf.DUMMYFUNCTION("filter('Back End'!C:C,'Back End'!A:A=A125,'Back End'!B:B=B125,'Back End'!D:D=D125)"),"#REF!")</f>
        <v>#REF!</v>
      </c>
      <c r="D125" s="73" t="s">
        <v>610</v>
      </c>
      <c r="E125" s="73" t="s">
        <v>100</v>
      </c>
      <c r="F125" s="73" t="s">
        <v>2059</v>
      </c>
      <c r="G125" s="73" t="s">
        <v>1590</v>
      </c>
      <c r="H125" s="73" t="s">
        <v>2517</v>
      </c>
      <c r="I125" s="73" t="s">
        <v>2094</v>
      </c>
      <c r="J125" s="73" t="s">
        <v>2518</v>
      </c>
      <c r="K125" s="73" t="s">
        <v>2087</v>
      </c>
      <c r="L125" s="73" t="s">
        <v>2519</v>
      </c>
      <c r="M125" s="73" t="s">
        <v>1591</v>
      </c>
      <c r="N125" s="73" t="s">
        <v>2042</v>
      </c>
      <c r="O125" s="73" t="s">
        <v>2050</v>
      </c>
      <c r="P125" s="73" t="s">
        <v>2051</v>
      </c>
      <c r="Q125" s="73" t="s">
        <v>1596</v>
      </c>
      <c r="R125" s="73" t="s">
        <v>2074</v>
      </c>
      <c r="S125" s="73" t="s">
        <v>2052</v>
      </c>
      <c r="T125" s="73" t="s">
        <v>2053</v>
      </c>
      <c r="U125" s="73" t="s">
        <v>2520</v>
      </c>
      <c r="V125" s="71" t="s">
        <v>2521</v>
      </c>
      <c r="W125" s="71" t="s">
        <v>2054</v>
      </c>
      <c r="X125" s="67"/>
      <c r="Y125" s="67"/>
    </row>
    <row r="126" spans="1:25" ht="364.5">
      <c r="A126" s="73" t="s">
        <v>7</v>
      </c>
      <c r="B126" s="73" t="s">
        <v>706</v>
      </c>
      <c r="C126" s="73" t="str">
        <f ca="1">IFERROR(__xludf.DUMMYFUNCTION("filter('Back End'!C:C,'Back End'!A:A=A126,'Back End'!B:B=B126,'Back End'!D:D=D126)"),"#REF!")</f>
        <v>#REF!</v>
      </c>
      <c r="D126" s="73" t="s">
        <v>733</v>
      </c>
      <c r="E126" s="73" t="s">
        <v>90</v>
      </c>
      <c r="F126" s="74"/>
      <c r="G126" s="73" t="s">
        <v>2059</v>
      </c>
      <c r="H126" s="73" t="s">
        <v>2522</v>
      </c>
      <c r="I126" s="73" t="s">
        <v>2038</v>
      </c>
      <c r="J126" s="73" t="s">
        <v>2523</v>
      </c>
      <c r="K126" s="73" t="s">
        <v>2040</v>
      </c>
      <c r="L126" s="73" t="s">
        <v>2524</v>
      </c>
      <c r="M126" s="73" t="s">
        <v>1591</v>
      </c>
      <c r="N126" s="73" t="s">
        <v>2042</v>
      </c>
      <c r="O126" s="73" t="s">
        <v>1596</v>
      </c>
      <c r="P126" s="73" t="s">
        <v>2074</v>
      </c>
      <c r="Q126" s="73" t="s">
        <v>2050</v>
      </c>
      <c r="R126" s="73" t="s">
        <v>2051</v>
      </c>
      <c r="S126" s="73" t="s">
        <v>2052</v>
      </c>
      <c r="T126" s="73" t="s">
        <v>2053</v>
      </c>
      <c r="U126" s="73" t="s">
        <v>2525</v>
      </c>
      <c r="V126" s="67"/>
      <c r="W126" s="71" t="s">
        <v>2054</v>
      </c>
      <c r="X126" s="67"/>
      <c r="Y126" s="67"/>
    </row>
    <row r="127" spans="1:25" ht="378">
      <c r="A127" s="73" t="s">
        <v>7</v>
      </c>
      <c r="B127" s="73" t="s">
        <v>7</v>
      </c>
      <c r="C127" s="73" t="str">
        <f ca="1">IFERROR(__xludf.DUMMYFUNCTION("filter('Back End'!C:C,'Back End'!A:A=A127,'Back End'!B:B=B127,'Back End'!D:D=D127)"),"#REF!")</f>
        <v>#REF!</v>
      </c>
      <c r="D127" s="73" t="s">
        <v>770</v>
      </c>
      <c r="E127" s="73" t="s">
        <v>90</v>
      </c>
      <c r="F127" s="74"/>
      <c r="G127" s="73" t="s">
        <v>2059</v>
      </c>
      <c r="H127" s="73" t="s">
        <v>2526</v>
      </c>
      <c r="I127" s="73" t="s">
        <v>2038</v>
      </c>
      <c r="J127" s="73" t="s">
        <v>2527</v>
      </c>
      <c r="K127" s="73" t="s">
        <v>2040</v>
      </c>
      <c r="L127" s="73" t="s">
        <v>2528</v>
      </c>
      <c r="M127" s="73" t="s">
        <v>1591</v>
      </c>
      <c r="N127" s="73" t="s">
        <v>2042</v>
      </c>
      <c r="O127" s="73" t="s">
        <v>1596</v>
      </c>
      <c r="P127" s="73" t="s">
        <v>2074</v>
      </c>
      <c r="Q127" s="73" t="s">
        <v>2050</v>
      </c>
      <c r="R127" s="73" t="s">
        <v>2051</v>
      </c>
      <c r="S127" s="73" t="s">
        <v>2052</v>
      </c>
      <c r="T127" s="73" t="s">
        <v>2053</v>
      </c>
      <c r="U127" s="73" t="s">
        <v>2529</v>
      </c>
      <c r="V127" s="67"/>
      <c r="W127" s="71" t="s">
        <v>2054</v>
      </c>
      <c r="X127" s="67"/>
      <c r="Y127" s="67"/>
    </row>
    <row r="128" spans="1:25" ht="351">
      <c r="A128" s="73" t="s">
        <v>7</v>
      </c>
      <c r="B128" s="73" t="s">
        <v>671</v>
      </c>
      <c r="C128" s="73" t="str">
        <f ca="1">IFERROR(__xludf.DUMMYFUNCTION("filter('Back End'!C:C,'Back End'!A:A=A128,'Back End'!B:B=B128,'Back End'!D:D=D128)"),"#REF!")</f>
        <v>#REF!</v>
      </c>
      <c r="D128" s="73" t="s">
        <v>693</v>
      </c>
      <c r="E128" s="73" t="s">
        <v>90</v>
      </c>
      <c r="F128" s="74"/>
      <c r="G128" s="73" t="s">
        <v>2059</v>
      </c>
      <c r="H128" s="73" t="s">
        <v>2530</v>
      </c>
      <c r="I128" s="73" t="s">
        <v>2038</v>
      </c>
      <c r="J128" s="73" t="s">
        <v>2531</v>
      </c>
      <c r="K128" s="73" t="s">
        <v>2048</v>
      </c>
      <c r="L128" s="73" t="s">
        <v>2532</v>
      </c>
      <c r="M128" s="73" t="s">
        <v>1596</v>
      </c>
      <c r="N128" s="73" t="s">
        <v>2125</v>
      </c>
      <c r="O128" s="73" t="s">
        <v>1591</v>
      </c>
      <c r="P128" s="73" t="s">
        <v>2042</v>
      </c>
      <c r="Q128" s="73" t="s">
        <v>2050</v>
      </c>
      <c r="R128" s="73" t="s">
        <v>2051</v>
      </c>
      <c r="S128" s="73" t="s">
        <v>2043</v>
      </c>
      <c r="T128" s="73" t="s">
        <v>2044</v>
      </c>
      <c r="U128" s="73" t="s">
        <v>2533</v>
      </c>
      <c r="V128" s="67"/>
      <c r="W128" s="71" t="s">
        <v>2054</v>
      </c>
      <c r="X128" s="67"/>
      <c r="Y128" s="67"/>
    </row>
    <row r="129" spans="1:25" ht="409.5">
      <c r="A129" s="73" t="s">
        <v>10</v>
      </c>
      <c r="B129" s="73" t="s">
        <v>10</v>
      </c>
      <c r="C129" s="73" t="str">
        <f ca="1">IFERROR(__xludf.DUMMYFUNCTION("filter('Back End'!C:C,'Back End'!A:A=A129,'Back End'!B:B=B129,'Back End'!D:D=D129)"),"#REF!")</f>
        <v>#REF!</v>
      </c>
      <c r="D129" s="73" t="s">
        <v>489</v>
      </c>
      <c r="E129" s="73" t="s">
        <v>90</v>
      </c>
      <c r="F129" s="74"/>
      <c r="G129" s="73" t="s">
        <v>2194</v>
      </c>
      <c r="H129" s="73" t="s">
        <v>2534</v>
      </c>
      <c r="I129" s="73" t="s">
        <v>2063</v>
      </c>
      <c r="J129" s="73" t="s">
        <v>2535</v>
      </c>
      <c r="K129" s="73" t="s">
        <v>2188</v>
      </c>
      <c r="L129" s="73" t="s">
        <v>2536</v>
      </c>
      <c r="M129" s="73" t="s">
        <v>2050</v>
      </c>
      <c r="N129" s="73" t="s">
        <v>2051</v>
      </c>
      <c r="O129" s="73" t="s">
        <v>1596</v>
      </c>
      <c r="P129" s="73" t="s">
        <v>2125</v>
      </c>
      <c r="Q129" s="73" t="s">
        <v>1596</v>
      </c>
      <c r="R129" s="73" t="s">
        <v>2125</v>
      </c>
      <c r="S129" s="73" t="s">
        <v>2052</v>
      </c>
      <c r="T129" s="73" t="s">
        <v>2053</v>
      </c>
      <c r="U129" s="73" t="s">
        <v>2537</v>
      </c>
      <c r="V129" s="67"/>
      <c r="W129" s="71" t="s">
        <v>2054</v>
      </c>
      <c r="X129" s="67"/>
      <c r="Y129" s="67"/>
    </row>
    <row r="130" spans="1:25" ht="270">
      <c r="A130" s="73" t="s">
        <v>8</v>
      </c>
      <c r="B130" s="73" t="s">
        <v>587</v>
      </c>
      <c r="C130" s="73" t="str">
        <f ca="1">IFERROR(__xludf.DUMMYFUNCTION("filter('Back End'!C:C,'Back End'!A:A=A130,'Back End'!B:B=B130,'Back End'!D:D=D130)"),"#REF!")</f>
        <v>#REF!</v>
      </c>
      <c r="D130" s="73" t="s">
        <v>612</v>
      </c>
      <c r="E130" s="73" t="s">
        <v>95</v>
      </c>
      <c r="F130" s="73" t="s">
        <v>1590</v>
      </c>
      <c r="G130" s="73" t="s">
        <v>1595</v>
      </c>
      <c r="H130" s="73" t="s">
        <v>2538</v>
      </c>
      <c r="I130" s="73" t="s">
        <v>2038</v>
      </c>
      <c r="J130" s="73" t="s">
        <v>2539</v>
      </c>
      <c r="K130" s="73" t="s">
        <v>2040</v>
      </c>
      <c r="L130" s="73" t="s">
        <v>2540</v>
      </c>
      <c r="M130" s="73" t="s">
        <v>1591</v>
      </c>
      <c r="N130" s="73" t="s">
        <v>2042</v>
      </c>
      <c r="O130" s="73" t="s">
        <v>1596</v>
      </c>
      <c r="P130" s="73" t="s">
        <v>2074</v>
      </c>
      <c r="Q130" s="73" t="s">
        <v>2050</v>
      </c>
      <c r="R130" s="73" t="s">
        <v>2051</v>
      </c>
      <c r="S130" s="73" t="s">
        <v>2043</v>
      </c>
      <c r="T130" s="73" t="s">
        <v>2044</v>
      </c>
      <c r="U130" s="73" t="s">
        <v>2541</v>
      </c>
      <c r="V130" s="71" t="s">
        <v>2542</v>
      </c>
      <c r="W130" s="71" t="s">
        <v>2054</v>
      </c>
      <c r="X130" s="67"/>
      <c r="Y130" s="67"/>
    </row>
    <row r="131" spans="1:25" ht="175.5">
      <c r="A131" s="73" t="s">
        <v>8</v>
      </c>
      <c r="B131" s="73" t="s">
        <v>587</v>
      </c>
      <c r="C131" s="73" t="str">
        <f ca="1">IFERROR(__xludf.DUMMYFUNCTION("filter('Back End'!C:C,'Back End'!A:A=A131,'Back End'!B:B=B131,'Back End'!D:D=D131)"),"#REF!")</f>
        <v>#REF!</v>
      </c>
      <c r="D131" s="73" t="s">
        <v>623</v>
      </c>
      <c r="E131" s="73" t="s">
        <v>90</v>
      </c>
      <c r="F131" s="73" t="s">
        <v>2059</v>
      </c>
      <c r="G131" s="73" t="s">
        <v>2059</v>
      </c>
      <c r="H131" s="73" t="s">
        <v>2543</v>
      </c>
      <c r="I131" s="73" t="s">
        <v>2038</v>
      </c>
      <c r="J131" s="73" t="s">
        <v>2544</v>
      </c>
      <c r="K131" s="73" t="s">
        <v>2040</v>
      </c>
      <c r="L131" s="73" t="s">
        <v>2545</v>
      </c>
      <c r="M131" s="73" t="s">
        <v>1591</v>
      </c>
      <c r="N131" s="73" t="s">
        <v>2042</v>
      </c>
      <c r="O131" s="73" t="s">
        <v>1596</v>
      </c>
      <c r="P131" s="73" t="s">
        <v>2074</v>
      </c>
      <c r="Q131" s="73" t="s">
        <v>2050</v>
      </c>
      <c r="R131" s="73" t="s">
        <v>2051</v>
      </c>
      <c r="S131" s="73" t="s">
        <v>2043</v>
      </c>
      <c r="T131" s="73" t="s">
        <v>2044</v>
      </c>
      <c r="U131" s="74"/>
      <c r="V131" s="71" t="s">
        <v>2546</v>
      </c>
      <c r="W131" s="71" t="s">
        <v>2054</v>
      </c>
      <c r="X131" s="67"/>
      <c r="Y131" s="67"/>
    </row>
    <row r="132" spans="1:25" ht="409.5">
      <c r="A132" s="73" t="s">
        <v>7</v>
      </c>
      <c r="B132" s="73" t="s">
        <v>706</v>
      </c>
      <c r="C132" s="73" t="str">
        <f ca="1">IFERROR(__xludf.DUMMYFUNCTION("filter('Back End'!C:C,'Back End'!A:A=A132,'Back End'!B:B=B132,'Back End'!D:D=D132)"),"#REF!")</f>
        <v>#REF!</v>
      </c>
      <c r="D132" s="73" t="s">
        <v>726</v>
      </c>
      <c r="E132" s="73" t="s">
        <v>100</v>
      </c>
      <c r="F132" s="73" t="s">
        <v>2059</v>
      </c>
      <c r="G132" s="73" t="s">
        <v>1595</v>
      </c>
      <c r="H132" s="73" t="s">
        <v>2547</v>
      </c>
      <c r="I132" s="73" t="s">
        <v>2038</v>
      </c>
      <c r="J132" s="73" t="s">
        <v>2548</v>
      </c>
      <c r="K132" s="73" t="s">
        <v>2040</v>
      </c>
      <c r="L132" s="73" t="s">
        <v>2549</v>
      </c>
      <c r="M132" s="73" t="s">
        <v>1591</v>
      </c>
      <c r="N132" s="73" t="s">
        <v>2042</v>
      </c>
      <c r="O132" s="73" t="s">
        <v>1596</v>
      </c>
      <c r="P132" s="73" t="s">
        <v>2074</v>
      </c>
      <c r="Q132" s="73" t="s">
        <v>2050</v>
      </c>
      <c r="R132" s="73" t="s">
        <v>2550</v>
      </c>
      <c r="S132" s="73" t="s">
        <v>2052</v>
      </c>
      <c r="T132" s="73" t="s">
        <v>2097</v>
      </c>
      <c r="U132" s="73" t="s">
        <v>2551</v>
      </c>
      <c r="V132" s="67"/>
      <c r="W132" s="71" t="s">
        <v>2054</v>
      </c>
      <c r="X132" s="67"/>
      <c r="Y132" s="71" t="s">
        <v>2098</v>
      </c>
    </row>
    <row r="133" spans="1:25" ht="283.5">
      <c r="A133" s="76" t="s">
        <v>8</v>
      </c>
      <c r="B133" s="76" t="s">
        <v>587</v>
      </c>
      <c r="C133" s="76" t="s">
        <v>621</v>
      </c>
      <c r="D133" s="76" t="s">
        <v>621</v>
      </c>
      <c r="E133" s="76" t="s">
        <v>2082</v>
      </c>
      <c r="F133" s="76" t="s">
        <v>2083</v>
      </c>
      <c r="G133" s="76" t="s">
        <v>2083</v>
      </c>
      <c r="H133" s="76" t="s">
        <v>2552</v>
      </c>
      <c r="I133" s="76" t="s">
        <v>2038</v>
      </c>
      <c r="J133" s="76" t="s">
        <v>2553</v>
      </c>
      <c r="K133" s="76" t="s">
        <v>2048</v>
      </c>
      <c r="L133" s="76" t="s">
        <v>2554</v>
      </c>
      <c r="M133" s="76" t="s">
        <v>1596</v>
      </c>
      <c r="N133" s="76" t="s">
        <v>2125</v>
      </c>
      <c r="O133" s="76" t="s">
        <v>1591</v>
      </c>
      <c r="P133" s="76" t="s">
        <v>2042</v>
      </c>
      <c r="Q133" s="76" t="s">
        <v>2050</v>
      </c>
      <c r="R133" s="76" t="s">
        <v>2051</v>
      </c>
      <c r="S133" s="76" t="s">
        <v>2043</v>
      </c>
      <c r="T133" s="76" t="s">
        <v>2044</v>
      </c>
      <c r="U133" s="76" t="s">
        <v>2555</v>
      </c>
      <c r="V133" s="67"/>
      <c r="W133" s="71" t="s">
        <v>2054</v>
      </c>
      <c r="X133" s="67"/>
      <c r="Y133" s="71" t="s">
        <v>2058</v>
      </c>
    </row>
    <row r="134" spans="1:25" ht="409.5">
      <c r="A134" s="73" t="s">
        <v>7</v>
      </c>
      <c r="B134" s="73" t="s">
        <v>706</v>
      </c>
      <c r="C134" s="73" t="s">
        <v>742</v>
      </c>
      <c r="D134" s="73" t="s">
        <v>742</v>
      </c>
      <c r="E134" s="73" t="s">
        <v>100</v>
      </c>
      <c r="F134" s="73" t="s">
        <v>1590</v>
      </c>
      <c r="G134" s="73" t="s">
        <v>2059</v>
      </c>
      <c r="H134" s="73" t="s">
        <v>2556</v>
      </c>
      <c r="I134" s="73" t="s">
        <v>2038</v>
      </c>
      <c r="J134" s="73" t="s">
        <v>2557</v>
      </c>
      <c r="K134" s="73" t="s">
        <v>2040</v>
      </c>
      <c r="L134" s="73" t="s">
        <v>2558</v>
      </c>
      <c r="M134" s="73" t="s">
        <v>1591</v>
      </c>
      <c r="N134" s="73" t="s">
        <v>2042</v>
      </c>
      <c r="O134" s="73" t="s">
        <v>1596</v>
      </c>
      <c r="P134" s="73" t="s">
        <v>2169</v>
      </c>
      <c r="Q134" s="73" t="s">
        <v>1596</v>
      </c>
      <c r="R134" s="73" t="s">
        <v>2550</v>
      </c>
      <c r="S134" s="73" t="s">
        <v>2052</v>
      </c>
      <c r="T134" s="73" t="s">
        <v>2097</v>
      </c>
      <c r="U134" s="73" t="s">
        <v>2555</v>
      </c>
      <c r="V134" s="74"/>
      <c r="W134" s="73" t="s">
        <v>2054</v>
      </c>
      <c r="X134" s="74"/>
      <c r="Y134" s="73" t="s">
        <v>2098</v>
      </c>
    </row>
    <row r="135" spans="1:25" ht="284.25">
      <c r="A135" s="73" t="s">
        <v>8</v>
      </c>
      <c r="B135" s="73" t="s">
        <v>587</v>
      </c>
      <c r="C135" s="73" t="s">
        <v>605</v>
      </c>
      <c r="D135" s="73" t="s">
        <v>605</v>
      </c>
      <c r="E135" s="73" t="s">
        <v>2082</v>
      </c>
      <c r="F135" s="73" t="s">
        <v>2194</v>
      </c>
      <c r="G135" s="73" t="s">
        <v>2194</v>
      </c>
      <c r="H135" s="73" t="s">
        <v>2559</v>
      </c>
      <c r="I135" s="73" t="s">
        <v>2038</v>
      </c>
      <c r="J135" s="82" t="s">
        <v>2560</v>
      </c>
      <c r="K135" s="73" t="s">
        <v>2048</v>
      </c>
      <c r="L135" s="73" t="s">
        <v>2561</v>
      </c>
      <c r="M135" s="73" t="s">
        <v>1596</v>
      </c>
      <c r="N135" s="73" t="s">
        <v>2069</v>
      </c>
      <c r="O135" s="73" t="s">
        <v>1591</v>
      </c>
      <c r="P135" s="73" t="s">
        <v>2042</v>
      </c>
      <c r="Q135" s="73" t="s">
        <v>2050</v>
      </c>
      <c r="R135" s="73" t="s">
        <v>2051</v>
      </c>
      <c r="S135" s="73" t="s">
        <v>2043</v>
      </c>
      <c r="T135" s="73" t="s">
        <v>2044</v>
      </c>
      <c r="U135" s="73" t="s">
        <v>2562</v>
      </c>
      <c r="V135" s="67"/>
      <c r="W135" s="71" t="s">
        <v>2054</v>
      </c>
      <c r="X135" s="67"/>
      <c r="Y135" s="71" t="s">
        <v>2058</v>
      </c>
    </row>
    <row r="136" spans="1:25" ht="351">
      <c r="A136" s="73" t="s">
        <v>8</v>
      </c>
      <c r="B136" s="73" t="s">
        <v>587</v>
      </c>
      <c r="C136" s="73" t="s">
        <v>598</v>
      </c>
      <c r="D136" s="73" t="s">
        <v>598</v>
      </c>
      <c r="E136" s="73" t="s">
        <v>90</v>
      </c>
      <c r="F136" s="73" t="s">
        <v>2059</v>
      </c>
      <c r="G136" s="73" t="s">
        <v>2059</v>
      </c>
      <c r="H136" s="73" t="s">
        <v>2563</v>
      </c>
      <c r="I136" s="73" t="s">
        <v>2038</v>
      </c>
      <c r="J136" s="73" t="s">
        <v>2564</v>
      </c>
      <c r="K136" s="73" t="s">
        <v>2048</v>
      </c>
      <c r="L136" s="73" t="s">
        <v>2565</v>
      </c>
      <c r="M136" s="73" t="s">
        <v>1596</v>
      </c>
      <c r="N136" s="73" t="s">
        <v>2125</v>
      </c>
      <c r="O136" s="73" t="s">
        <v>1591</v>
      </c>
      <c r="P136" s="73" t="s">
        <v>2042</v>
      </c>
      <c r="Q136" s="73" t="s">
        <v>2050</v>
      </c>
      <c r="R136" s="73" t="s">
        <v>2051</v>
      </c>
      <c r="S136" s="73" t="s">
        <v>2043</v>
      </c>
      <c r="T136" s="73" t="s">
        <v>2044</v>
      </c>
      <c r="U136" s="73" t="s">
        <v>2566</v>
      </c>
      <c r="V136" s="67"/>
      <c r="W136" s="71" t="s">
        <v>2054</v>
      </c>
      <c r="X136" s="67"/>
      <c r="Y136" s="71" t="s">
        <v>2058</v>
      </c>
    </row>
    <row r="137" spans="1:25" ht="409.5">
      <c r="A137" s="73" t="s">
        <v>7</v>
      </c>
      <c r="B137" s="73" t="s">
        <v>706</v>
      </c>
      <c r="C137" s="73" t="s">
        <v>746</v>
      </c>
      <c r="D137" s="78" t="s">
        <v>746</v>
      </c>
      <c r="E137" s="73" t="s">
        <v>90</v>
      </c>
      <c r="F137" s="73" t="s">
        <v>2059</v>
      </c>
      <c r="G137" s="73" t="s">
        <v>2059</v>
      </c>
      <c r="H137" s="73" t="s">
        <v>2567</v>
      </c>
      <c r="I137" s="73" t="s">
        <v>2038</v>
      </c>
      <c r="J137" s="73" t="s">
        <v>2568</v>
      </c>
      <c r="K137" s="73" t="s">
        <v>2040</v>
      </c>
      <c r="L137" s="73" t="s">
        <v>2569</v>
      </c>
      <c r="M137" s="73" t="s">
        <v>1591</v>
      </c>
      <c r="N137" s="73" t="s">
        <v>2042</v>
      </c>
      <c r="O137" s="73" t="s">
        <v>1596</v>
      </c>
      <c r="P137" s="73" t="s">
        <v>2074</v>
      </c>
      <c r="Q137" s="73" t="s">
        <v>2050</v>
      </c>
      <c r="R137" s="73" t="s">
        <v>2051</v>
      </c>
      <c r="S137" s="73" t="s">
        <v>2052</v>
      </c>
      <c r="T137" s="73" t="s">
        <v>2053</v>
      </c>
      <c r="U137" s="71" t="s">
        <v>2570</v>
      </c>
      <c r="V137" s="67"/>
      <c r="W137" s="71" t="s">
        <v>2054</v>
      </c>
      <c r="X137" s="67"/>
      <c r="Y137" s="71" t="s">
        <v>2098</v>
      </c>
    </row>
    <row r="138" spans="1:25" ht="409.5">
      <c r="A138" s="73" t="s">
        <v>7</v>
      </c>
      <c r="B138" s="73" t="s">
        <v>706</v>
      </c>
      <c r="C138" s="73" t="s">
        <v>744</v>
      </c>
      <c r="D138" s="78" t="s">
        <v>744</v>
      </c>
      <c r="E138" s="73" t="s">
        <v>90</v>
      </c>
      <c r="F138" s="73" t="s">
        <v>2059</v>
      </c>
      <c r="G138" s="73" t="s">
        <v>2059</v>
      </c>
      <c r="H138" s="73" t="s">
        <v>2567</v>
      </c>
      <c r="I138" s="73" t="s">
        <v>2038</v>
      </c>
      <c r="J138" s="73" t="s">
        <v>2571</v>
      </c>
      <c r="K138" s="73" t="s">
        <v>2048</v>
      </c>
      <c r="L138" s="73" t="s">
        <v>2572</v>
      </c>
      <c r="M138" s="73" t="s">
        <v>1591</v>
      </c>
      <c r="N138" s="73" t="s">
        <v>2042</v>
      </c>
      <c r="O138" s="73" t="s">
        <v>1591</v>
      </c>
      <c r="P138" s="73" t="s">
        <v>2042</v>
      </c>
      <c r="Q138" s="73" t="s">
        <v>2050</v>
      </c>
      <c r="R138" s="73" t="s">
        <v>2051</v>
      </c>
      <c r="S138" s="73" t="s">
        <v>2052</v>
      </c>
      <c r="T138" s="73" t="s">
        <v>2573</v>
      </c>
      <c r="U138" s="71" t="s">
        <v>2574</v>
      </c>
      <c r="V138" s="67"/>
      <c r="W138" s="71" t="s">
        <v>2054</v>
      </c>
      <c r="X138" s="67"/>
      <c r="Y138" s="71" t="s">
        <v>2098</v>
      </c>
    </row>
    <row r="139" spans="1:25" ht="351">
      <c r="A139" s="73" t="s">
        <v>10</v>
      </c>
      <c r="B139" s="73" t="s">
        <v>10</v>
      </c>
      <c r="C139" s="73" t="s">
        <v>515</v>
      </c>
      <c r="D139" s="73" t="s">
        <v>515</v>
      </c>
      <c r="E139" s="73" t="s">
        <v>90</v>
      </c>
      <c r="F139" s="73" t="s">
        <v>2059</v>
      </c>
      <c r="G139" s="73" t="s">
        <v>2059</v>
      </c>
      <c r="H139" s="73" t="s">
        <v>2575</v>
      </c>
      <c r="I139" s="73" t="s">
        <v>2038</v>
      </c>
      <c r="J139" s="73" t="s">
        <v>2576</v>
      </c>
      <c r="K139" s="73" t="s">
        <v>2048</v>
      </c>
      <c r="L139" s="73" t="s">
        <v>2577</v>
      </c>
      <c r="M139" s="73" t="s">
        <v>1596</v>
      </c>
      <c r="N139" s="73" t="s">
        <v>2069</v>
      </c>
      <c r="O139" s="73" t="s">
        <v>1591</v>
      </c>
      <c r="P139" s="73" t="s">
        <v>2074</v>
      </c>
      <c r="Q139" s="73" t="s">
        <v>1596</v>
      </c>
      <c r="R139" s="73" t="s">
        <v>2125</v>
      </c>
      <c r="S139" s="73" t="s">
        <v>2079</v>
      </c>
      <c r="T139" s="73" t="s">
        <v>2044</v>
      </c>
      <c r="U139" s="73" t="s">
        <v>2578</v>
      </c>
      <c r="V139" s="73" t="s">
        <v>2579</v>
      </c>
      <c r="W139" s="71" t="s">
        <v>2054</v>
      </c>
      <c r="X139" s="67"/>
      <c r="Y139" s="71" t="s">
        <v>2058</v>
      </c>
    </row>
    <row r="140" spans="1:25" ht="297">
      <c r="A140" s="73" t="s">
        <v>7</v>
      </c>
      <c r="B140" s="73" t="s">
        <v>671</v>
      </c>
      <c r="C140" s="73" t="s">
        <v>672</v>
      </c>
      <c r="D140" s="78" t="s">
        <v>672</v>
      </c>
      <c r="E140" s="73" t="s">
        <v>2082</v>
      </c>
      <c r="F140" s="73" t="s">
        <v>2083</v>
      </c>
      <c r="G140" s="73" t="s">
        <v>2083</v>
      </c>
      <c r="H140" s="73" t="s">
        <v>2580</v>
      </c>
      <c r="I140" s="73" t="s">
        <v>2038</v>
      </c>
      <c r="J140" s="73" t="s">
        <v>2581</v>
      </c>
      <c r="K140" s="73" t="s">
        <v>2048</v>
      </c>
      <c r="L140" s="73" t="s">
        <v>2582</v>
      </c>
      <c r="M140" s="73" t="s">
        <v>1596</v>
      </c>
      <c r="N140" s="73" t="s">
        <v>2074</v>
      </c>
      <c r="O140" s="73" t="s">
        <v>1591</v>
      </c>
      <c r="P140" s="73" t="s">
        <v>2074</v>
      </c>
      <c r="Q140" s="73" t="s">
        <v>2050</v>
      </c>
      <c r="R140" s="73" t="s">
        <v>2051</v>
      </c>
      <c r="S140" s="73" t="s">
        <v>2043</v>
      </c>
      <c r="T140" s="73" t="s">
        <v>2044</v>
      </c>
      <c r="U140" s="73" t="s">
        <v>2583</v>
      </c>
      <c r="V140" s="67"/>
      <c r="W140" s="71" t="s">
        <v>2054</v>
      </c>
      <c r="X140" s="67"/>
      <c r="Y140" s="71" t="s">
        <v>2098</v>
      </c>
    </row>
    <row r="141" spans="1:25" ht="409.5">
      <c r="A141" s="73" t="s">
        <v>10</v>
      </c>
      <c r="B141" s="73" t="s">
        <v>166</v>
      </c>
      <c r="C141" s="73" t="s">
        <v>461</v>
      </c>
      <c r="D141" s="73" t="s">
        <v>462</v>
      </c>
      <c r="E141" s="73" t="s">
        <v>95</v>
      </c>
      <c r="F141" s="73" t="s">
        <v>1595</v>
      </c>
      <c r="G141" s="73" t="s">
        <v>1595</v>
      </c>
      <c r="H141" s="73" t="s">
        <v>2584</v>
      </c>
      <c r="I141" s="73" t="s">
        <v>2094</v>
      </c>
      <c r="J141" s="73" t="s">
        <v>2585</v>
      </c>
      <c r="K141" s="73" t="s">
        <v>2040</v>
      </c>
      <c r="L141" s="73" t="s">
        <v>2586</v>
      </c>
      <c r="M141" s="73" t="s">
        <v>1591</v>
      </c>
      <c r="N141" s="73" t="s">
        <v>2042</v>
      </c>
      <c r="O141" s="73" t="s">
        <v>1596</v>
      </c>
      <c r="P141" s="73" t="s">
        <v>2074</v>
      </c>
      <c r="Q141" s="73" t="s">
        <v>2050</v>
      </c>
      <c r="R141" s="73" t="s">
        <v>2069</v>
      </c>
      <c r="S141" s="73" t="s">
        <v>2052</v>
      </c>
      <c r="T141" s="73" t="s">
        <v>2097</v>
      </c>
      <c r="U141" s="73" t="s">
        <v>2587</v>
      </c>
      <c r="V141" s="73" t="s">
        <v>2588</v>
      </c>
      <c r="W141" s="71" t="s">
        <v>2054</v>
      </c>
      <c r="X141" s="74"/>
      <c r="Y141" s="73" t="s">
        <v>2058</v>
      </c>
    </row>
    <row r="142" spans="1:25" ht="310.5">
      <c r="A142" s="73" t="s">
        <v>7</v>
      </c>
      <c r="B142" s="73" t="s">
        <v>671</v>
      </c>
      <c r="C142" s="73" t="s">
        <v>679</v>
      </c>
      <c r="D142" s="73" t="s">
        <v>679</v>
      </c>
      <c r="E142" s="73" t="s">
        <v>2082</v>
      </c>
      <c r="F142" s="73" t="s">
        <v>2083</v>
      </c>
      <c r="G142" s="73" t="s">
        <v>2083</v>
      </c>
      <c r="H142" s="73" t="s">
        <v>2589</v>
      </c>
      <c r="I142" s="73" t="s">
        <v>2094</v>
      </c>
      <c r="J142" s="73" t="s">
        <v>2590</v>
      </c>
      <c r="K142" s="73" t="s">
        <v>2048</v>
      </c>
      <c r="L142" s="73" t="s">
        <v>2591</v>
      </c>
      <c r="M142" s="73" t="s">
        <v>1596</v>
      </c>
      <c r="N142" s="73" t="s">
        <v>2069</v>
      </c>
      <c r="O142" s="73" t="s">
        <v>1591</v>
      </c>
      <c r="P142" s="73" t="s">
        <v>2042</v>
      </c>
      <c r="Q142" s="73" t="s">
        <v>2050</v>
      </c>
      <c r="R142" s="73" t="s">
        <v>2051</v>
      </c>
      <c r="S142" s="73" t="s">
        <v>2043</v>
      </c>
      <c r="T142" s="73" t="s">
        <v>2044</v>
      </c>
      <c r="U142" s="73" t="s">
        <v>2592</v>
      </c>
      <c r="V142" s="73" t="s">
        <v>2593</v>
      </c>
      <c r="W142" s="71" t="s">
        <v>2054</v>
      </c>
      <c r="X142" s="74"/>
      <c r="Y142" s="73" t="s">
        <v>2098</v>
      </c>
    </row>
    <row r="143" spans="1:25" ht="364.5">
      <c r="A143" s="73" t="s">
        <v>10</v>
      </c>
      <c r="B143" s="73" t="s">
        <v>166</v>
      </c>
      <c r="C143" s="73" t="s">
        <v>473</v>
      </c>
      <c r="D143" s="73" t="s">
        <v>473</v>
      </c>
      <c r="E143" s="73" t="s">
        <v>90</v>
      </c>
      <c r="F143" s="73" t="s">
        <v>2194</v>
      </c>
      <c r="G143" s="73" t="s">
        <v>2194</v>
      </c>
      <c r="H143" s="73" t="s">
        <v>2594</v>
      </c>
      <c r="I143" s="73" t="s">
        <v>2038</v>
      </c>
      <c r="J143" s="73" t="s">
        <v>2595</v>
      </c>
      <c r="K143" s="73" t="s">
        <v>2048</v>
      </c>
      <c r="L143" s="73" t="s">
        <v>2596</v>
      </c>
      <c r="M143" s="73" t="s">
        <v>1596</v>
      </c>
      <c r="N143" s="73" t="s">
        <v>2074</v>
      </c>
      <c r="O143" s="73" t="s">
        <v>1591</v>
      </c>
      <c r="P143" s="73" t="s">
        <v>2042</v>
      </c>
      <c r="Q143" s="73" t="s">
        <v>2597</v>
      </c>
      <c r="R143" s="73" t="s">
        <v>2051</v>
      </c>
      <c r="S143" s="73" t="s">
        <v>2052</v>
      </c>
      <c r="T143" s="73" t="s">
        <v>2097</v>
      </c>
      <c r="U143" s="73" t="s">
        <v>2598</v>
      </c>
      <c r="V143" s="73" t="s">
        <v>2599</v>
      </c>
      <c r="W143" s="71" t="s">
        <v>2054</v>
      </c>
      <c r="X143" s="74"/>
      <c r="Y143" s="73" t="s">
        <v>2058</v>
      </c>
    </row>
    <row r="144" spans="1:25" ht="409.5">
      <c r="A144" s="73" t="s">
        <v>7</v>
      </c>
      <c r="B144" s="73" t="s">
        <v>671</v>
      </c>
      <c r="C144" s="73" t="s">
        <v>688</v>
      </c>
      <c r="D144" s="73" t="s">
        <v>688</v>
      </c>
      <c r="E144" s="73" t="s">
        <v>90</v>
      </c>
      <c r="F144" s="73" t="s">
        <v>2194</v>
      </c>
      <c r="G144" s="73" t="s">
        <v>2059</v>
      </c>
      <c r="H144" s="73" t="s">
        <v>2600</v>
      </c>
      <c r="I144" s="73" t="s">
        <v>2038</v>
      </c>
      <c r="J144" s="73" t="s">
        <v>2601</v>
      </c>
      <c r="K144" s="73" t="s">
        <v>2048</v>
      </c>
      <c r="L144" s="73" t="s">
        <v>2602</v>
      </c>
      <c r="M144" s="73" t="s">
        <v>1596</v>
      </c>
      <c r="N144" s="73" t="s">
        <v>2074</v>
      </c>
      <c r="O144" s="73" t="s">
        <v>1591</v>
      </c>
      <c r="P144" s="73" t="s">
        <v>2042</v>
      </c>
      <c r="Q144" s="73" t="s">
        <v>2050</v>
      </c>
      <c r="R144" s="73" t="s">
        <v>2051</v>
      </c>
      <c r="S144" s="73" t="s">
        <v>2043</v>
      </c>
      <c r="T144" s="73" t="s">
        <v>2044</v>
      </c>
      <c r="U144" s="73" t="s">
        <v>2603</v>
      </c>
      <c r="V144" s="67"/>
      <c r="W144" s="71" t="s">
        <v>2054</v>
      </c>
      <c r="X144" s="67"/>
      <c r="Y144" s="73" t="s">
        <v>2098</v>
      </c>
    </row>
    <row r="145" spans="1:25" ht="409.5">
      <c r="A145" s="73" t="s">
        <v>7</v>
      </c>
      <c r="B145" s="73" t="s">
        <v>706</v>
      </c>
      <c r="C145" s="73" t="s">
        <v>735</v>
      </c>
      <c r="D145" s="78" t="s">
        <v>735</v>
      </c>
      <c r="E145" s="73" t="s">
        <v>2082</v>
      </c>
      <c r="F145" s="74"/>
      <c r="G145" s="73" t="s">
        <v>2083</v>
      </c>
      <c r="H145" s="73" t="s">
        <v>2604</v>
      </c>
      <c r="I145" s="73" t="s">
        <v>2038</v>
      </c>
      <c r="J145" s="73" t="s">
        <v>2605</v>
      </c>
      <c r="K145" s="73" t="s">
        <v>2048</v>
      </c>
      <c r="L145" s="73" t="s">
        <v>2606</v>
      </c>
      <c r="M145" s="73" t="s">
        <v>1596</v>
      </c>
      <c r="N145" s="73" t="s">
        <v>2074</v>
      </c>
      <c r="O145" s="73" t="s">
        <v>1591</v>
      </c>
      <c r="P145" s="73" t="s">
        <v>2042</v>
      </c>
      <c r="Q145" s="73" t="s">
        <v>2050</v>
      </c>
      <c r="R145" s="73" t="s">
        <v>2051</v>
      </c>
      <c r="S145" s="73" t="s">
        <v>2043</v>
      </c>
      <c r="T145" s="73" t="s">
        <v>2044</v>
      </c>
      <c r="U145" s="73" t="s">
        <v>2607</v>
      </c>
      <c r="V145" s="67"/>
      <c r="W145" s="71" t="s">
        <v>2054</v>
      </c>
      <c r="X145" s="67"/>
      <c r="Y145" s="67"/>
    </row>
    <row r="146" spans="1:25" ht="409.5">
      <c r="A146" s="73" t="s">
        <v>7</v>
      </c>
      <c r="B146" s="73" t="s">
        <v>706</v>
      </c>
      <c r="C146" s="73" t="s">
        <v>731</v>
      </c>
      <c r="D146" s="78" t="s">
        <v>731</v>
      </c>
      <c r="E146" s="73" t="s">
        <v>2082</v>
      </c>
      <c r="F146" s="74"/>
      <c r="G146" s="73" t="s">
        <v>2194</v>
      </c>
      <c r="H146" s="73" t="s">
        <v>2608</v>
      </c>
      <c r="I146" s="73" t="s">
        <v>2038</v>
      </c>
      <c r="J146" s="73" t="s">
        <v>2609</v>
      </c>
      <c r="K146" s="73" t="s">
        <v>2048</v>
      </c>
      <c r="L146" s="73" t="s">
        <v>2610</v>
      </c>
      <c r="M146" s="73" t="s">
        <v>1596</v>
      </c>
      <c r="N146" s="73" t="s">
        <v>2074</v>
      </c>
      <c r="O146" s="73" t="s">
        <v>1591</v>
      </c>
      <c r="P146" s="73" t="s">
        <v>2042</v>
      </c>
      <c r="Q146" s="73" t="s">
        <v>2050</v>
      </c>
      <c r="R146" s="73" t="s">
        <v>2051</v>
      </c>
      <c r="S146" s="73" t="s">
        <v>2043</v>
      </c>
      <c r="T146" s="73" t="s">
        <v>2044</v>
      </c>
      <c r="U146" s="73" t="s">
        <v>2611</v>
      </c>
      <c r="V146" s="73" t="s">
        <v>2612</v>
      </c>
      <c r="W146" s="71" t="s">
        <v>2054</v>
      </c>
      <c r="X146" s="67"/>
      <c r="Y146" s="71" t="s">
        <v>2098</v>
      </c>
    </row>
    <row r="147" spans="1:25" ht="351">
      <c r="A147" s="73" t="s">
        <v>19</v>
      </c>
      <c r="B147" s="73" t="s">
        <v>147</v>
      </c>
      <c r="C147" s="73" t="s">
        <v>148</v>
      </c>
      <c r="D147" s="78" t="s">
        <v>148</v>
      </c>
      <c r="E147" s="73" t="s">
        <v>90</v>
      </c>
      <c r="F147" s="74"/>
      <c r="G147" s="73" t="s">
        <v>2059</v>
      </c>
      <c r="H147" s="73" t="s">
        <v>2613</v>
      </c>
      <c r="I147" s="73" t="s">
        <v>2038</v>
      </c>
      <c r="J147" s="73" t="s">
        <v>2614</v>
      </c>
      <c r="K147" s="73" t="s">
        <v>2048</v>
      </c>
      <c r="L147" s="73" t="s">
        <v>2615</v>
      </c>
      <c r="M147" s="73" t="s">
        <v>1596</v>
      </c>
      <c r="N147" s="73" t="s">
        <v>2074</v>
      </c>
      <c r="O147" s="73" t="s">
        <v>1591</v>
      </c>
      <c r="P147" s="73" t="s">
        <v>2042</v>
      </c>
      <c r="Q147" s="73" t="s">
        <v>2050</v>
      </c>
      <c r="R147" s="73" t="s">
        <v>2051</v>
      </c>
      <c r="S147" s="73" t="s">
        <v>2043</v>
      </c>
      <c r="T147" s="73" t="s">
        <v>2044</v>
      </c>
      <c r="U147" s="73" t="s">
        <v>2616</v>
      </c>
      <c r="V147" s="67"/>
      <c r="W147" s="71" t="s">
        <v>2054</v>
      </c>
      <c r="X147" s="67"/>
      <c r="Y147" s="71" t="s">
        <v>2098</v>
      </c>
    </row>
    <row r="148" spans="1:25" ht="351">
      <c r="A148" s="73" t="s">
        <v>7</v>
      </c>
      <c r="B148" s="73" t="s">
        <v>671</v>
      </c>
      <c r="C148" s="73" t="s">
        <v>671</v>
      </c>
      <c r="D148" s="73" t="s">
        <v>2617</v>
      </c>
      <c r="E148" s="73" t="s">
        <v>2082</v>
      </c>
      <c r="F148" s="73" t="s">
        <v>2083</v>
      </c>
      <c r="G148" s="73" t="s">
        <v>2083</v>
      </c>
      <c r="H148" s="73" t="s">
        <v>2618</v>
      </c>
      <c r="I148" s="73" t="s">
        <v>2094</v>
      </c>
      <c r="J148" s="73" t="s">
        <v>2619</v>
      </c>
      <c r="K148" s="73" t="s">
        <v>2048</v>
      </c>
      <c r="L148" s="73" t="s">
        <v>2620</v>
      </c>
      <c r="M148" s="73" t="s">
        <v>1596</v>
      </c>
      <c r="N148" s="73" t="s">
        <v>2074</v>
      </c>
      <c r="O148" s="73" t="s">
        <v>1591</v>
      </c>
      <c r="P148" s="73" t="s">
        <v>2042</v>
      </c>
      <c r="Q148" s="73" t="s">
        <v>2050</v>
      </c>
      <c r="R148" s="73" t="s">
        <v>2051</v>
      </c>
      <c r="S148" s="73" t="s">
        <v>2043</v>
      </c>
      <c r="T148" s="73" t="s">
        <v>2044</v>
      </c>
      <c r="U148" s="73" t="s">
        <v>2621</v>
      </c>
      <c r="V148" s="73" t="s">
        <v>2622</v>
      </c>
      <c r="W148" s="71" t="s">
        <v>2054</v>
      </c>
      <c r="X148" s="67"/>
      <c r="Y148" s="71" t="s">
        <v>2058</v>
      </c>
    </row>
    <row r="149" spans="1:25" ht="409.5">
      <c r="A149" s="73" t="s">
        <v>8</v>
      </c>
      <c r="B149" s="73" t="s">
        <v>587</v>
      </c>
      <c r="C149" s="73" t="s">
        <v>629</v>
      </c>
      <c r="D149" s="73" t="s">
        <v>629</v>
      </c>
      <c r="E149" s="73" t="s">
        <v>95</v>
      </c>
      <c r="F149" s="73" t="s">
        <v>1590</v>
      </c>
      <c r="G149" s="73" t="s">
        <v>1590</v>
      </c>
      <c r="H149" s="73" t="s">
        <v>2623</v>
      </c>
      <c r="I149" s="73" t="s">
        <v>2094</v>
      </c>
      <c r="J149" s="83" t="s">
        <v>2624</v>
      </c>
      <c r="K149" s="73" t="s">
        <v>2040</v>
      </c>
      <c r="L149" s="83" t="s">
        <v>2625</v>
      </c>
      <c r="M149" s="73" t="s">
        <v>1591</v>
      </c>
      <c r="N149" s="73" t="s">
        <v>2042</v>
      </c>
      <c r="O149" s="73" t="s">
        <v>1596</v>
      </c>
      <c r="P149" s="73" t="s">
        <v>2074</v>
      </c>
      <c r="Q149" s="73" t="s">
        <v>2050</v>
      </c>
      <c r="R149" s="73" t="s">
        <v>2051</v>
      </c>
      <c r="S149" s="73" t="s">
        <v>2052</v>
      </c>
      <c r="T149" s="73" t="s">
        <v>2053</v>
      </c>
      <c r="U149" s="73" t="s">
        <v>2626</v>
      </c>
      <c r="V149" s="73" t="s">
        <v>2627</v>
      </c>
      <c r="W149" s="71" t="s">
        <v>2054</v>
      </c>
      <c r="X149" s="74"/>
      <c r="Y149" s="73" t="s">
        <v>2058</v>
      </c>
    </row>
    <row r="150" spans="1:25" ht="378">
      <c r="A150" s="73" t="s">
        <v>7</v>
      </c>
      <c r="B150" s="73" t="s">
        <v>706</v>
      </c>
      <c r="C150" s="73" t="s">
        <v>722</v>
      </c>
      <c r="D150" s="84" t="s">
        <v>722</v>
      </c>
      <c r="E150" s="73" t="s">
        <v>2082</v>
      </c>
      <c r="F150" s="73" t="s">
        <v>2083</v>
      </c>
      <c r="G150" s="73" t="s">
        <v>2083</v>
      </c>
      <c r="H150" s="73" t="s">
        <v>2628</v>
      </c>
      <c r="I150" s="73" t="s">
        <v>2038</v>
      </c>
      <c r="J150" s="83" t="s">
        <v>2629</v>
      </c>
      <c r="K150" s="73" t="s">
        <v>2048</v>
      </c>
      <c r="L150" s="83" t="s">
        <v>2630</v>
      </c>
      <c r="M150" s="73" t="s">
        <v>1596</v>
      </c>
      <c r="N150" s="73" t="s">
        <v>2074</v>
      </c>
      <c r="O150" s="73" t="s">
        <v>1591</v>
      </c>
      <c r="P150" s="73" t="s">
        <v>2042</v>
      </c>
      <c r="Q150" s="73" t="s">
        <v>2050</v>
      </c>
      <c r="R150" s="73" t="s">
        <v>2051</v>
      </c>
      <c r="S150" s="73" t="s">
        <v>2043</v>
      </c>
      <c r="T150" s="73" t="s">
        <v>2044</v>
      </c>
      <c r="U150" s="71" t="s">
        <v>2631</v>
      </c>
      <c r="V150" s="67"/>
      <c r="W150" s="71" t="s">
        <v>2054</v>
      </c>
      <c r="X150" s="67"/>
      <c r="Y150" s="71" t="s">
        <v>2098</v>
      </c>
    </row>
    <row r="151" spans="1:25" ht="409.5">
      <c r="A151" s="73" t="s">
        <v>7</v>
      </c>
      <c r="B151" s="73" t="s">
        <v>706</v>
      </c>
      <c r="C151" s="73" t="s">
        <v>714</v>
      </c>
      <c r="D151" s="73" t="s">
        <v>714</v>
      </c>
      <c r="E151" s="73" t="s">
        <v>90</v>
      </c>
      <c r="F151" s="73" t="s">
        <v>2194</v>
      </c>
      <c r="G151" s="73" t="s">
        <v>2194</v>
      </c>
      <c r="H151" s="73" t="s">
        <v>2632</v>
      </c>
      <c r="I151" s="73" t="s">
        <v>2094</v>
      </c>
      <c r="J151" s="83" t="s">
        <v>2633</v>
      </c>
      <c r="K151" s="73" t="s">
        <v>2048</v>
      </c>
      <c r="L151" s="83" t="s">
        <v>2634</v>
      </c>
      <c r="M151" s="73" t="s">
        <v>1596</v>
      </c>
      <c r="N151" s="73" t="s">
        <v>2635</v>
      </c>
      <c r="O151" s="73" t="s">
        <v>1591</v>
      </c>
      <c r="P151" s="73" t="s">
        <v>2042</v>
      </c>
      <c r="Q151" s="73" t="s">
        <v>2050</v>
      </c>
      <c r="R151" s="73" t="s">
        <v>2051</v>
      </c>
      <c r="S151" s="73" t="s">
        <v>2052</v>
      </c>
      <c r="T151" s="73" t="s">
        <v>2573</v>
      </c>
      <c r="U151" s="73" t="s">
        <v>2631</v>
      </c>
      <c r="V151" s="73" t="s">
        <v>2636</v>
      </c>
      <c r="W151" s="71" t="s">
        <v>2054</v>
      </c>
      <c r="X151" s="74"/>
      <c r="Y151" s="73" t="s">
        <v>2058</v>
      </c>
    </row>
    <row r="152" spans="1:25" ht="216">
      <c r="A152" s="71" t="s">
        <v>10</v>
      </c>
      <c r="B152" s="71" t="s">
        <v>166</v>
      </c>
      <c r="C152" s="71" t="s">
        <v>479</v>
      </c>
      <c r="D152" s="71" t="s">
        <v>479</v>
      </c>
      <c r="E152" s="71" t="s">
        <v>2082</v>
      </c>
      <c r="F152" s="67"/>
      <c r="G152" s="71" t="s">
        <v>2083</v>
      </c>
      <c r="H152" s="71" t="s">
        <v>2637</v>
      </c>
      <c r="I152" s="67"/>
      <c r="J152" s="67"/>
      <c r="K152" s="71" t="s">
        <v>2188</v>
      </c>
      <c r="L152" s="67"/>
      <c r="M152" s="76" t="s">
        <v>2050</v>
      </c>
      <c r="N152" s="76" t="s">
        <v>2051</v>
      </c>
      <c r="O152" s="76" t="s">
        <v>1591</v>
      </c>
      <c r="P152" s="76" t="s">
        <v>2074</v>
      </c>
      <c r="Q152" s="76" t="s">
        <v>1596</v>
      </c>
      <c r="R152" s="76" t="s">
        <v>2125</v>
      </c>
      <c r="S152" s="76" t="s">
        <v>2043</v>
      </c>
      <c r="T152" s="76" t="s">
        <v>2044</v>
      </c>
      <c r="U152" s="71" t="s">
        <v>2638</v>
      </c>
      <c r="V152" s="71" t="s">
        <v>2639</v>
      </c>
      <c r="W152" s="71" t="s">
        <v>2070</v>
      </c>
      <c r="X152" s="67"/>
      <c r="Y152" s="71" t="s">
        <v>2058</v>
      </c>
    </row>
    <row r="153" spans="1:25" ht="297">
      <c r="A153" s="73" t="s">
        <v>10</v>
      </c>
      <c r="B153" s="73" t="s">
        <v>166</v>
      </c>
      <c r="C153" s="73" t="s">
        <v>475</v>
      </c>
      <c r="D153" s="84" t="s">
        <v>475</v>
      </c>
      <c r="E153" s="73" t="s">
        <v>2082</v>
      </c>
      <c r="F153" s="74"/>
      <c r="G153" s="73" t="s">
        <v>2083</v>
      </c>
      <c r="H153" s="73" t="s">
        <v>2640</v>
      </c>
      <c r="I153" s="73" t="s">
        <v>2038</v>
      </c>
      <c r="J153" s="83" t="s">
        <v>2641</v>
      </c>
      <c r="K153" s="73" t="s">
        <v>2048</v>
      </c>
      <c r="L153" s="83" t="s">
        <v>2642</v>
      </c>
      <c r="M153" s="73" t="s">
        <v>1596</v>
      </c>
      <c r="N153" s="73" t="s">
        <v>2051</v>
      </c>
      <c r="O153" s="73" t="s">
        <v>1591</v>
      </c>
      <c r="P153" s="73" t="s">
        <v>2074</v>
      </c>
      <c r="Q153" s="73" t="s">
        <v>2050</v>
      </c>
      <c r="R153" s="73" t="s">
        <v>2051</v>
      </c>
      <c r="S153" s="73" t="s">
        <v>2043</v>
      </c>
      <c r="T153" s="73" t="s">
        <v>2044</v>
      </c>
      <c r="U153" s="73" t="s">
        <v>2643</v>
      </c>
      <c r="V153" s="67"/>
      <c r="W153" s="71" t="s">
        <v>2054</v>
      </c>
      <c r="X153" s="67"/>
      <c r="Y153" s="71" t="s">
        <v>2098</v>
      </c>
    </row>
    <row r="154" spans="1:25" ht="297">
      <c r="A154" s="73" t="s">
        <v>7</v>
      </c>
      <c r="B154" s="73" t="s">
        <v>671</v>
      </c>
      <c r="C154" s="73" t="s">
        <v>685</v>
      </c>
      <c r="D154" s="73" t="s">
        <v>685</v>
      </c>
      <c r="E154" s="73" t="s">
        <v>90</v>
      </c>
      <c r="F154" s="73" t="s">
        <v>2194</v>
      </c>
      <c r="G154" s="73" t="s">
        <v>2194</v>
      </c>
      <c r="H154" s="73" t="s">
        <v>2644</v>
      </c>
      <c r="I154" s="73" t="s">
        <v>2108</v>
      </c>
      <c r="J154" s="83" t="s">
        <v>2645</v>
      </c>
      <c r="K154" s="73" t="s">
        <v>2048</v>
      </c>
      <c r="L154" s="83" t="s">
        <v>2646</v>
      </c>
      <c r="M154" s="73" t="s">
        <v>1596</v>
      </c>
      <c r="N154" s="73" t="s">
        <v>2069</v>
      </c>
      <c r="O154" s="73" t="s">
        <v>1591</v>
      </c>
      <c r="P154" s="73" t="s">
        <v>2042</v>
      </c>
      <c r="Q154" s="73" t="s">
        <v>2050</v>
      </c>
      <c r="R154" s="73" t="s">
        <v>2051</v>
      </c>
      <c r="S154" s="73" t="s">
        <v>2079</v>
      </c>
      <c r="T154" s="73" t="s">
        <v>2044</v>
      </c>
      <c r="U154" s="73" t="s">
        <v>2647</v>
      </c>
      <c r="V154" s="73" t="s">
        <v>2648</v>
      </c>
      <c r="W154" s="71" t="s">
        <v>2054</v>
      </c>
      <c r="X154" s="74"/>
      <c r="Y154" s="73" t="s">
        <v>2058</v>
      </c>
    </row>
    <row r="155" spans="1:25" ht="40.9">
      <c r="A155" s="71" t="s">
        <v>19</v>
      </c>
      <c r="B155" s="71" t="s">
        <v>147</v>
      </c>
      <c r="C155" s="71" t="s">
        <v>163</v>
      </c>
      <c r="D155" s="85" t="s">
        <v>163</v>
      </c>
      <c r="E155" s="67"/>
      <c r="F155" s="67"/>
      <c r="G155" s="67"/>
      <c r="H155" s="71" t="s">
        <v>2649</v>
      </c>
      <c r="I155" s="67"/>
      <c r="J155" s="67"/>
      <c r="K155" s="67"/>
      <c r="L155" s="67"/>
      <c r="M155" s="67"/>
      <c r="N155" s="75"/>
      <c r="O155" s="67"/>
      <c r="P155" s="67"/>
      <c r="Q155" s="67"/>
      <c r="R155" s="75"/>
      <c r="S155" s="67"/>
      <c r="T155" s="75"/>
      <c r="U155" s="67"/>
      <c r="V155" s="67"/>
      <c r="W155" s="71" t="s">
        <v>2070</v>
      </c>
      <c r="X155" s="67"/>
      <c r="Y155" s="67"/>
    </row>
    <row r="156" spans="1:25" ht="409.5">
      <c r="A156" s="73" t="s">
        <v>10</v>
      </c>
      <c r="B156" s="73" t="s">
        <v>10</v>
      </c>
      <c r="C156" s="73" t="s">
        <v>534</v>
      </c>
      <c r="D156" s="73" t="s">
        <v>534</v>
      </c>
      <c r="E156" s="73" t="s">
        <v>90</v>
      </c>
      <c r="F156" s="73" t="s">
        <v>2194</v>
      </c>
      <c r="G156" s="73" t="s">
        <v>2194</v>
      </c>
      <c r="H156" s="73" t="s">
        <v>2650</v>
      </c>
      <c r="I156" s="73" t="s">
        <v>2114</v>
      </c>
      <c r="J156" s="83" t="s">
        <v>2651</v>
      </c>
      <c r="K156" s="73" t="s">
        <v>2087</v>
      </c>
      <c r="L156" s="83" t="s">
        <v>2652</v>
      </c>
      <c r="M156" s="73" t="s">
        <v>1591</v>
      </c>
      <c r="N156" s="73" t="s">
        <v>2042</v>
      </c>
      <c r="O156" s="73" t="s">
        <v>1596</v>
      </c>
      <c r="P156" s="73" t="s">
        <v>2345</v>
      </c>
      <c r="Q156" s="73" t="s">
        <v>1596</v>
      </c>
      <c r="R156" s="73" t="s">
        <v>2125</v>
      </c>
      <c r="S156" s="73" t="s">
        <v>2052</v>
      </c>
      <c r="T156" s="73" t="s">
        <v>2053</v>
      </c>
      <c r="U156" s="74"/>
      <c r="V156" s="73" t="s">
        <v>2653</v>
      </c>
      <c r="W156" s="71" t="s">
        <v>2045</v>
      </c>
      <c r="X156" s="74"/>
      <c r="Y156" s="73" t="s">
        <v>2098</v>
      </c>
    </row>
    <row r="157" spans="1:25" ht="405">
      <c r="A157" s="73" t="s">
        <v>19</v>
      </c>
      <c r="B157" s="73" t="s">
        <v>147</v>
      </c>
      <c r="C157" s="73" t="s">
        <v>163</v>
      </c>
      <c r="D157" s="73" t="s">
        <v>163</v>
      </c>
      <c r="E157" s="73" t="s">
        <v>90</v>
      </c>
      <c r="F157" s="73" t="s">
        <v>1595</v>
      </c>
      <c r="G157" s="73" t="s">
        <v>1595</v>
      </c>
      <c r="H157" s="73" t="s">
        <v>2654</v>
      </c>
      <c r="I157" s="74"/>
      <c r="J157" s="74"/>
      <c r="K157" s="73" t="s">
        <v>2040</v>
      </c>
      <c r="L157" s="83" t="s">
        <v>2655</v>
      </c>
      <c r="M157" s="73" t="s">
        <v>1591</v>
      </c>
      <c r="N157" s="73" t="s">
        <v>2042</v>
      </c>
      <c r="O157" s="73" t="s">
        <v>1596</v>
      </c>
      <c r="P157" s="73" t="s">
        <v>2042</v>
      </c>
      <c r="Q157" s="73" t="s">
        <v>2050</v>
      </c>
      <c r="R157" s="73" t="s">
        <v>2051</v>
      </c>
      <c r="S157" s="73" t="s">
        <v>2052</v>
      </c>
      <c r="T157" s="73" t="s">
        <v>2053</v>
      </c>
      <c r="U157" s="73" t="s">
        <v>2656</v>
      </c>
      <c r="V157" s="73" t="s">
        <v>2657</v>
      </c>
      <c r="W157" s="71" t="s">
        <v>2054</v>
      </c>
      <c r="X157" s="74"/>
      <c r="Y157" s="73" t="s">
        <v>2058</v>
      </c>
    </row>
    <row r="158" spans="1:25" ht="364.5">
      <c r="A158" s="73" t="s">
        <v>7</v>
      </c>
      <c r="B158" s="73" t="s">
        <v>671</v>
      </c>
      <c r="C158" s="73" t="s">
        <v>698</v>
      </c>
      <c r="D158" s="73" t="s">
        <v>698</v>
      </c>
      <c r="E158" s="73" t="s">
        <v>2082</v>
      </c>
      <c r="F158" s="73" t="s">
        <v>2083</v>
      </c>
      <c r="G158" s="73" t="s">
        <v>2083</v>
      </c>
      <c r="H158" s="73" t="s">
        <v>2658</v>
      </c>
      <c r="I158" s="73" t="s">
        <v>2114</v>
      </c>
      <c r="J158" s="83" t="s">
        <v>2659</v>
      </c>
      <c r="K158" s="73" t="s">
        <v>2048</v>
      </c>
      <c r="L158" s="83" t="s">
        <v>2660</v>
      </c>
      <c r="M158" s="73" t="s">
        <v>1596</v>
      </c>
      <c r="N158" s="73" t="s">
        <v>2345</v>
      </c>
      <c r="O158" s="73" t="s">
        <v>1591</v>
      </c>
      <c r="P158" s="73" t="s">
        <v>2042</v>
      </c>
      <c r="Q158" s="73" t="s">
        <v>2050</v>
      </c>
      <c r="R158" s="73" t="s">
        <v>2051</v>
      </c>
      <c r="S158" s="73" t="s">
        <v>2043</v>
      </c>
      <c r="T158" s="73" t="s">
        <v>2044</v>
      </c>
      <c r="U158" s="73" t="s">
        <v>2661</v>
      </c>
      <c r="V158" s="74"/>
      <c r="W158" s="73" t="s">
        <v>2054</v>
      </c>
      <c r="X158" s="74"/>
      <c r="Y158" s="74"/>
    </row>
    <row r="159" spans="1:25" ht="391.5">
      <c r="A159" s="73" t="s">
        <v>11</v>
      </c>
      <c r="B159" s="73" t="s">
        <v>261</v>
      </c>
      <c r="C159" s="73" t="s">
        <v>269</v>
      </c>
      <c r="D159" s="73" t="s">
        <v>269</v>
      </c>
      <c r="E159" s="73" t="s">
        <v>90</v>
      </c>
      <c r="F159" s="73" t="s">
        <v>1595</v>
      </c>
      <c r="G159" s="73" t="s">
        <v>1595</v>
      </c>
      <c r="H159" s="73" t="s">
        <v>2662</v>
      </c>
      <c r="I159" s="73" t="s">
        <v>2094</v>
      </c>
      <c r="J159" s="83" t="s">
        <v>2663</v>
      </c>
      <c r="K159" s="73" t="s">
        <v>2255</v>
      </c>
      <c r="L159" s="83" t="s">
        <v>2664</v>
      </c>
      <c r="M159" s="73" t="s">
        <v>2050</v>
      </c>
      <c r="N159" s="73" t="s">
        <v>2051</v>
      </c>
      <c r="O159" s="73" t="s">
        <v>1596</v>
      </c>
      <c r="P159" s="73" t="s">
        <v>2635</v>
      </c>
      <c r="Q159" s="73" t="s">
        <v>1591</v>
      </c>
      <c r="R159" s="73" t="s">
        <v>2042</v>
      </c>
      <c r="S159" s="73" t="s">
        <v>2079</v>
      </c>
      <c r="T159" s="73" t="s">
        <v>2044</v>
      </c>
      <c r="U159" s="73" t="s">
        <v>2665</v>
      </c>
      <c r="V159" s="73" t="s">
        <v>2666</v>
      </c>
      <c r="W159" s="71" t="s">
        <v>2054</v>
      </c>
      <c r="X159" s="74"/>
      <c r="Y159" s="73" t="s">
        <v>2058</v>
      </c>
    </row>
    <row r="160" spans="1:25" ht="189">
      <c r="A160" s="71" t="s">
        <v>7</v>
      </c>
      <c r="B160" s="71" t="s">
        <v>706</v>
      </c>
      <c r="C160" s="71" t="s">
        <v>728</v>
      </c>
      <c r="D160" s="71" t="s">
        <v>728</v>
      </c>
      <c r="E160" s="71" t="s">
        <v>95</v>
      </c>
      <c r="F160" s="67"/>
      <c r="G160" s="67"/>
      <c r="H160" s="71" t="s">
        <v>2667</v>
      </c>
      <c r="I160" s="71" t="s">
        <v>2425</v>
      </c>
      <c r="J160" s="86" t="s">
        <v>2668</v>
      </c>
      <c r="K160" s="71" t="s">
        <v>2040</v>
      </c>
      <c r="L160" s="86" t="s">
        <v>2669</v>
      </c>
      <c r="M160" s="67"/>
      <c r="N160" s="75"/>
      <c r="O160" s="67"/>
      <c r="P160" s="67"/>
      <c r="Q160" s="76" t="s">
        <v>2050</v>
      </c>
      <c r="R160" s="76" t="s">
        <v>2051</v>
      </c>
      <c r="S160" s="76" t="s">
        <v>2052</v>
      </c>
      <c r="T160" s="76" t="s">
        <v>2053</v>
      </c>
      <c r="U160" s="71" t="s">
        <v>2665</v>
      </c>
      <c r="V160" s="67"/>
      <c r="W160" s="71" t="s">
        <v>2070</v>
      </c>
      <c r="X160" s="67"/>
      <c r="Y160" s="76" t="s">
        <v>2058</v>
      </c>
    </row>
    <row r="161" spans="1:25" ht="409.5">
      <c r="A161" s="73" t="s">
        <v>10</v>
      </c>
      <c r="B161" s="73" t="s">
        <v>166</v>
      </c>
      <c r="C161" s="73" t="s">
        <v>465</v>
      </c>
      <c r="D161" s="73" t="s">
        <v>465</v>
      </c>
      <c r="E161" s="73" t="s">
        <v>95</v>
      </c>
      <c r="F161" s="73" t="s">
        <v>1595</v>
      </c>
      <c r="G161" s="73" t="s">
        <v>1595</v>
      </c>
      <c r="H161" s="73" t="s">
        <v>2670</v>
      </c>
      <c r="I161" s="73" t="s">
        <v>2094</v>
      </c>
      <c r="J161" s="83" t="s">
        <v>2671</v>
      </c>
      <c r="K161" s="73" t="s">
        <v>2040</v>
      </c>
      <c r="L161" s="83" t="s">
        <v>2672</v>
      </c>
      <c r="M161" s="73" t="s">
        <v>1591</v>
      </c>
      <c r="N161" s="73" t="s">
        <v>2042</v>
      </c>
      <c r="O161" s="73" t="s">
        <v>1596</v>
      </c>
      <c r="P161" s="73" t="s">
        <v>2042</v>
      </c>
      <c r="Q161" s="73" t="s">
        <v>2050</v>
      </c>
      <c r="R161" s="73" t="s">
        <v>2051</v>
      </c>
      <c r="S161" s="73" t="s">
        <v>2079</v>
      </c>
      <c r="T161" s="73" t="s">
        <v>2044</v>
      </c>
      <c r="U161" s="73" t="s">
        <v>2673</v>
      </c>
      <c r="V161" s="83" t="s">
        <v>2674</v>
      </c>
      <c r="W161" s="71" t="s">
        <v>2054</v>
      </c>
      <c r="X161" s="67"/>
      <c r="Y161" s="67"/>
    </row>
    <row r="162" spans="1:25" ht="409.5">
      <c r="A162" s="73" t="s">
        <v>19</v>
      </c>
      <c r="B162" s="73" t="s">
        <v>220</v>
      </c>
      <c r="C162" s="73" t="s">
        <v>226</v>
      </c>
      <c r="D162" s="73" t="s">
        <v>226</v>
      </c>
      <c r="E162" s="73" t="s">
        <v>2082</v>
      </c>
      <c r="F162" s="73" t="s">
        <v>2083</v>
      </c>
      <c r="G162" s="73" t="s">
        <v>2083</v>
      </c>
      <c r="H162" s="73" t="s">
        <v>2675</v>
      </c>
      <c r="I162" s="73" t="s">
        <v>2114</v>
      </c>
      <c r="J162" s="83" t="s">
        <v>2676</v>
      </c>
      <c r="K162" s="73" t="s">
        <v>2048</v>
      </c>
      <c r="L162" s="83" t="s">
        <v>2677</v>
      </c>
      <c r="M162" s="73" t="s">
        <v>1596</v>
      </c>
      <c r="N162" s="73" t="s">
        <v>2345</v>
      </c>
      <c r="O162" s="73" t="s">
        <v>1591</v>
      </c>
      <c r="P162" s="73" t="s">
        <v>2042</v>
      </c>
      <c r="Q162" s="73" t="s">
        <v>2050</v>
      </c>
      <c r="R162" s="73" t="s">
        <v>2051</v>
      </c>
      <c r="S162" s="73" t="s">
        <v>2079</v>
      </c>
      <c r="T162" s="73" t="s">
        <v>2044</v>
      </c>
      <c r="U162" s="73" t="s">
        <v>2678</v>
      </c>
      <c r="V162" s="74"/>
      <c r="W162" s="73" t="s">
        <v>2054</v>
      </c>
      <c r="X162" s="74"/>
      <c r="Y162" s="73" t="s">
        <v>2098</v>
      </c>
    </row>
    <row r="163" spans="1:25" ht="351">
      <c r="A163" s="71" t="s">
        <v>19</v>
      </c>
      <c r="B163" s="71" t="s">
        <v>147</v>
      </c>
      <c r="C163" s="71" t="s">
        <v>168</v>
      </c>
      <c r="D163" s="71" t="s">
        <v>168</v>
      </c>
      <c r="E163" s="71" t="s">
        <v>90</v>
      </c>
      <c r="F163" s="71" t="s">
        <v>2083</v>
      </c>
      <c r="G163" s="71" t="s">
        <v>2083</v>
      </c>
      <c r="H163" s="71" t="s">
        <v>2679</v>
      </c>
      <c r="I163" s="71" t="s">
        <v>2038</v>
      </c>
      <c r="J163" s="86" t="s">
        <v>2680</v>
      </c>
      <c r="K163" s="71" t="s">
        <v>2048</v>
      </c>
      <c r="L163" s="86" t="s">
        <v>2681</v>
      </c>
      <c r="M163" s="76" t="s">
        <v>1596</v>
      </c>
      <c r="N163" s="76" t="s">
        <v>2635</v>
      </c>
      <c r="O163" s="76" t="s">
        <v>1591</v>
      </c>
      <c r="P163" s="76" t="s">
        <v>2042</v>
      </c>
      <c r="Q163" s="76" t="s">
        <v>2050</v>
      </c>
      <c r="R163" s="76" t="s">
        <v>2051</v>
      </c>
      <c r="S163" s="76" t="s">
        <v>2043</v>
      </c>
      <c r="T163" s="76" t="s">
        <v>2044</v>
      </c>
      <c r="U163" s="71" t="s">
        <v>2682</v>
      </c>
      <c r="V163" s="71" t="s">
        <v>2683</v>
      </c>
      <c r="W163" s="71" t="s">
        <v>2070</v>
      </c>
      <c r="X163" s="67"/>
      <c r="Y163" s="76" t="s">
        <v>2058</v>
      </c>
    </row>
    <row r="164" spans="1:25" ht="310.5">
      <c r="A164" s="73" t="s">
        <v>7</v>
      </c>
      <c r="B164" s="73" t="s">
        <v>706</v>
      </c>
      <c r="C164" s="73" t="s">
        <v>706</v>
      </c>
      <c r="D164" s="73" t="s">
        <v>706</v>
      </c>
      <c r="E164" s="73" t="s">
        <v>2082</v>
      </c>
      <c r="F164" s="73" t="s">
        <v>2194</v>
      </c>
      <c r="G164" s="73" t="s">
        <v>2194</v>
      </c>
      <c r="H164" s="73" t="s">
        <v>2684</v>
      </c>
      <c r="I164" s="73" t="s">
        <v>2038</v>
      </c>
      <c r="J164" s="83" t="s">
        <v>2685</v>
      </c>
      <c r="K164" s="73" t="s">
        <v>2048</v>
      </c>
      <c r="L164" s="83" t="s">
        <v>2686</v>
      </c>
      <c r="M164" s="73" t="s">
        <v>1596</v>
      </c>
      <c r="N164" s="73" t="s">
        <v>2169</v>
      </c>
      <c r="O164" s="73" t="s">
        <v>1591</v>
      </c>
      <c r="P164" s="73" t="s">
        <v>2042</v>
      </c>
      <c r="Q164" s="73" t="s">
        <v>2050</v>
      </c>
      <c r="R164" s="73" t="s">
        <v>2051</v>
      </c>
      <c r="S164" s="73" t="s">
        <v>2043</v>
      </c>
      <c r="T164" s="73" t="s">
        <v>2044</v>
      </c>
      <c r="U164" s="73" t="s">
        <v>2687</v>
      </c>
      <c r="V164" s="74"/>
      <c r="W164" s="73" t="s">
        <v>2054</v>
      </c>
      <c r="X164" s="74"/>
      <c r="Y164" s="73" t="s">
        <v>2098</v>
      </c>
    </row>
    <row r="165" spans="1:25" ht="409.5">
      <c r="A165" s="73" t="s">
        <v>7</v>
      </c>
      <c r="B165" s="73" t="s">
        <v>706</v>
      </c>
      <c r="C165" s="73" t="s">
        <v>709</v>
      </c>
      <c r="D165" s="73" t="s">
        <v>709</v>
      </c>
      <c r="E165" s="73" t="s">
        <v>90</v>
      </c>
      <c r="F165" s="73" t="s">
        <v>2059</v>
      </c>
      <c r="G165" s="73" t="s">
        <v>2059</v>
      </c>
      <c r="H165" s="73" t="s">
        <v>2688</v>
      </c>
      <c r="I165" s="73" t="s">
        <v>2094</v>
      </c>
      <c r="J165" s="83" t="s">
        <v>2689</v>
      </c>
      <c r="K165" s="73" t="s">
        <v>2040</v>
      </c>
      <c r="L165" s="83" t="s">
        <v>2690</v>
      </c>
      <c r="M165" s="73" t="s">
        <v>1591</v>
      </c>
      <c r="N165" s="73" t="s">
        <v>2042</v>
      </c>
      <c r="O165" s="73" t="s">
        <v>1596</v>
      </c>
      <c r="P165" s="73" t="s">
        <v>2169</v>
      </c>
      <c r="Q165" s="73" t="s">
        <v>2050</v>
      </c>
      <c r="R165" s="73" t="s">
        <v>2051</v>
      </c>
      <c r="S165" s="73" t="s">
        <v>2079</v>
      </c>
      <c r="T165" s="73" t="s">
        <v>2044</v>
      </c>
      <c r="U165" s="73" t="s">
        <v>2691</v>
      </c>
      <c r="V165" s="74"/>
      <c r="W165" s="73" t="s">
        <v>2054</v>
      </c>
      <c r="X165" s="74"/>
      <c r="Y165" s="73" t="s">
        <v>2098</v>
      </c>
    </row>
    <row r="166" spans="1:25" ht="409.5">
      <c r="A166" s="73" t="s">
        <v>19</v>
      </c>
      <c r="B166" s="73" t="s">
        <v>220</v>
      </c>
      <c r="C166" s="73" t="s">
        <v>228</v>
      </c>
      <c r="D166" s="73" t="s">
        <v>228</v>
      </c>
      <c r="E166" s="73" t="s">
        <v>90</v>
      </c>
      <c r="F166" s="73" t="s">
        <v>2194</v>
      </c>
      <c r="G166" s="73" t="s">
        <v>2194</v>
      </c>
      <c r="H166" s="73" t="s">
        <v>2692</v>
      </c>
      <c r="I166" s="73" t="s">
        <v>2094</v>
      </c>
      <c r="J166" s="83" t="s">
        <v>2693</v>
      </c>
      <c r="K166" s="73" t="s">
        <v>2048</v>
      </c>
      <c r="L166" s="83" t="s">
        <v>2694</v>
      </c>
      <c r="M166" s="73" t="s">
        <v>1596</v>
      </c>
      <c r="N166" s="73" t="s">
        <v>2169</v>
      </c>
      <c r="O166" s="73" t="s">
        <v>1591</v>
      </c>
      <c r="P166" s="73" t="s">
        <v>2042</v>
      </c>
      <c r="Q166" s="73" t="s">
        <v>1596</v>
      </c>
      <c r="R166" s="73" t="s">
        <v>2051</v>
      </c>
      <c r="S166" s="73" t="s">
        <v>2043</v>
      </c>
      <c r="T166" s="73" t="s">
        <v>2044</v>
      </c>
      <c r="U166" s="73" t="s">
        <v>2695</v>
      </c>
      <c r="V166" s="73" t="s">
        <v>2696</v>
      </c>
      <c r="W166" s="73" t="s">
        <v>2054</v>
      </c>
      <c r="X166" s="74"/>
      <c r="Y166" s="73" t="s">
        <v>2098</v>
      </c>
    </row>
    <row r="167" spans="1:25" ht="351">
      <c r="A167" s="73" t="s">
        <v>8</v>
      </c>
      <c r="B167" s="73" t="s">
        <v>658</v>
      </c>
      <c r="C167" s="73" t="s">
        <v>668</v>
      </c>
      <c r="D167" s="73" t="s">
        <v>668</v>
      </c>
      <c r="E167" s="73" t="s">
        <v>90</v>
      </c>
      <c r="F167" s="74"/>
      <c r="G167" s="73" t="s">
        <v>2059</v>
      </c>
      <c r="H167" s="73" t="s">
        <v>2697</v>
      </c>
      <c r="I167" s="73" t="s">
        <v>2038</v>
      </c>
      <c r="J167" s="83" t="s">
        <v>2698</v>
      </c>
      <c r="K167" s="73" t="s">
        <v>2048</v>
      </c>
      <c r="L167" s="83" t="s">
        <v>2699</v>
      </c>
      <c r="M167" s="73" t="s">
        <v>1596</v>
      </c>
      <c r="N167" s="73" t="s">
        <v>2635</v>
      </c>
      <c r="O167" s="73" t="s">
        <v>1591</v>
      </c>
      <c r="P167" s="73" t="s">
        <v>2042</v>
      </c>
      <c r="Q167" s="73" t="s">
        <v>2050</v>
      </c>
      <c r="R167" s="73" t="s">
        <v>2051</v>
      </c>
      <c r="S167" s="73" t="s">
        <v>2043</v>
      </c>
      <c r="T167" s="73" t="s">
        <v>2044</v>
      </c>
      <c r="U167" s="73" t="s">
        <v>2700</v>
      </c>
      <c r="V167" s="67"/>
      <c r="W167" s="71" t="s">
        <v>2054</v>
      </c>
      <c r="X167" s="67"/>
      <c r="Y167" s="71" t="s">
        <v>2098</v>
      </c>
    </row>
    <row r="168" spans="1:25" ht="229.5">
      <c r="A168" s="76" t="s">
        <v>10</v>
      </c>
      <c r="B168" s="71" t="s">
        <v>10</v>
      </c>
      <c r="C168" s="71" t="s">
        <v>507</v>
      </c>
      <c r="D168" s="71" t="s">
        <v>507</v>
      </c>
      <c r="E168" s="71" t="s">
        <v>90</v>
      </c>
      <c r="F168" s="71" t="s">
        <v>2194</v>
      </c>
      <c r="G168" s="71" t="s">
        <v>2194</v>
      </c>
      <c r="H168" s="71" t="s">
        <v>2701</v>
      </c>
      <c r="I168" s="71" t="s">
        <v>2038</v>
      </c>
      <c r="J168" s="86" t="s">
        <v>2702</v>
      </c>
      <c r="K168" s="71" t="s">
        <v>2048</v>
      </c>
      <c r="L168" s="86" t="s">
        <v>2703</v>
      </c>
      <c r="M168" s="71" t="s">
        <v>1596</v>
      </c>
      <c r="N168" s="76" t="s">
        <v>2345</v>
      </c>
      <c r="O168" s="71" t="s">
        <v>1591</v>
      </c>
      <c r="P168" s="71" t="s">
        <v>2042</v>
      </c>
      <c r="Q168" s="71" t="s">
        <v>2050</v>
      </c>
      <c r="R168" s="71" t="s">
        <v>2051</v>
      </c>
      <c r="S168" s="71" t="s">
        <v>2052</v>
      </c>
      <c r="T168" s="71" t="s">
        <v>2053</v>
      </c>
      <c r="U168" s="71" t="s">
        <v>2704</v>
      </c>
      <c r="V168" s="71" t="s">
        <v>2705</v>
      </c>
      <c r="W168" s="71" t="s">
        <v>2045</v>
      </c>
      <c r="X168" s="67"/>
      <c r="Y168" s="76" t="s">
        <v>2058</v>
      </c>
    </row>
    <row r="169" spans="1:25" ht="283.5">
      <c r="A169" s="71" t="s">
        <v>8</v>
      </c>
      <c r="B169" s="71" t="s">
        <v>8</v>
      </c>
      <c r="C169" s="71" t="s">
        <v>579</v>
      </c>
      <c r="D169" s="71" t="s">
        <v>579</v>
      </c>
      <c r="E169" s="71" t="s">
        <v>90</v>
      </c>
      <c r="F169" s="71" t="s">
        <v>2194</v>
      </c>
      <c r="G169" s="71" t="s">
        <v>2194</v>
      </c>
      <c r="H169" s="71" t="s">
        <v>2706</v>
      </c>
      <c r="I169" s="71" t="s">
        <v>2094</v>
      </c>
      <c r="J169" s="86" t="s">
        <v>2707</v>
      </c>
      <c r="K169" s="71" t="s">
        <v>2048</v>
      </c>
      <c r="L169" s="86" t="s">
        <v>2708</v>
      </c>
      <c r="M169" s="71" t="s">
        <v>1596</v>
      </c>
      <c r="N169" s="76" t="s">
        <v>2635</v>
      </c>
      <c r="O169" s="71" t="s">
        <v>1591</v>
      </c>
      <c r="P169" s="71" t="s">
        <v>2042</v>
      </c>
      <c r="Q169" s="71" t="s">
        <v>2050</v>
      </c>
      <c r="R169" s="71" t="s">
        <v>2051</v>
      </c>
      <c r="S169" s="71" t="s">
        <v>2052</v>
      </c>
      <c r="T169" s="71" t="s">
        <v>2053</v>
      </c>
      <c r="U169" s="71" t="s">
        <v>2709</v>
      </c>
      <c r="V169" s="71" t="s">
        <v>2710</v>
      </c>
      <c r="W169" s="71" t="s">
        <v>2054</v>
      </c>
      <c r="X169" s="67"/>
      <c r="Y169" s="76" t="s">
        <v>2058</v>
      </c>
    </row>
    <row r="170" spans="1:25" ht="409.5">
      <c r="A170" s="71" t="s">
        <v>19</v>
      </c>
      <c r="B170" s="71" t="s">
        <v>220</v>
      </c>
      <c r="C170" s="71" t="s">
        <v>247</v>
      </c>
      <c r="D170" s="71" t="s">
        <v>247</v>
      </c>
      <c r="E170" s="71" t="s">
        <v>2082</v>
      </c>
      <c r="F170" s="71" t="s">
        <v>2083</v>
      </c>
      <c r="G170" s="71" t="s">
        <v>2083</v>
      </c>
      <c r="H170" s="71" t="s">
        <v>2711</v>
      </c>
      <c r="I170" s="71" t="s">
        <v>2425</v>
      </c>
      <c r="J170" s="86" t="s">
        <v>2712</v>
      </c>
      <c r="K170" s="71" t="s">
        <v>2048</v>
      </c>
      <c r="L170" s="86" t="s">
        <v>2713</v>
      </c>
      <c r="M170" s="71" t="s">
        <v>1596</v>
      </c>
      <c r="N170" s="76" t="s">
        <v>2074</v>
      </c>
      <c r="O170" s="71" t="s">
        <v>1591</v>
      </c>
      <c r="P170" s="71" t="s">
        <v>2042</v>
      </c>
      <c r="Q170" s="71" t="s">
        <v>2050</v>
      </c>
      <c r="R170" s="71" t="s">
        <v>2051</v>
      </c>
      <c r="S170" s="71" t="s">
        <v>2079</v>
      </c>
      <c r="T170" s="71" t="s">
        <v>2044</v>
      </c>
      <c r="U170" s="71" t="s">
        <v>2714</v>
      </c>
      <c r="V170" s="67"/>
      <c r="W170" s="71" t="s">
        <v>2054</v>
      </c>
      <c r="X170" s="67"/>
      <c r="Y170" s="71" t="s">
        <v>2715</v>
      </c>
    </row>
    <row r="171" spans="1:25" ht="297">
      <c r="A171" s="71" t="s">
        <v>8</v>
      </c>
      <c r="B171" s="71" t="s">
        <v>8</v>
      </c>
      <c r="C171" s="71" t="s">
        <v>570</v>
      </c>
      <c r="D171" s="71" t="s">
        <v>570</v>
      </c>
      <c r="E171" s="71" t="s">
        <v>90</v>
      </c>
      <c r="F171" s="71" t="s">
        <v>1595</v>
      </c>
      <c r="G171" s="71" t="s">
        <v>1595</v>
      </c>
      <c r="H171" s="71" t="s">
        <v>2716</v>
      </c>
      <c r="I171" s="71" t="s">
        <v>2094</v>
      </c>
      <c r="J171" s="86" t="s">
        <v>2717</v>
      </c>
      <c r="K171" s="71" t="s">
        <v>2040</v>
      </c>
      <c r="L171" s="86" t="s">
        <v>2718</v>
      </c>
      <c r="M171" s="71" t="s">
        <v>1596</v>
      </c>
      <c r="N171" s="76" t="s">
        <v>2069</v>
      </c>
      <c r="O171" s="71" t="s">
        <v>1591</v>
      </c>
      <c r="P171" s="71" t="s">
        <v>2042</v>
      </c>
      <c r="Q171" s="71" t="s">
        <v>2050</v>
      </c>
      <c r="R171" s="71" t="s">
        <v>2051</v>
      </c>
      <c r="S171" s="71" t="s">
        <v>2052</v>
      </c>
      <c r="T171" s="71" t="s">
        <v>2053</v>
      </c>
      <c r="U171" s="67"/>
      <c r="V171" s="67"/>
      <c r="W171" s="71" t="s">
        <v>2054</v>
      </c>
      <c r="X171" s="67"/>
      <c r="Y171" s="76" t="s">
        <v>2058</v>
      </c>
    </row>
    <row r="172" spans="1:25" ht="297">
      <c r="A172" s="71" t="s">
        <v>8</v>
      </c>
      <c r="B172" s="71" t="s">
        <v>587</v>
      </c>
      <c r="C172" s="71" t="s">
        <v>631</v>
      </c>
      <c r="D172" s="71" t="s">
        <v>631</v>
      </c>
      <c r="E172" s="71" t="s">
        <v>2082</v>
      </c>
      <c r="F172" s="71" t="s">
        <v>2083</v>
      </c>
      <c r="G172" s="71" t="s">
        <v>2083</v>
      </c>
      <c r="H172" s="71" t="s">
        <v>2719</v>
      </c>
      <c r="I172" s="71" t="s">
        <v>2038</v>
      </c>
      <c r="J172" s="86" t="s">
        <v>2720</v>
      </c>
      <c r="K172" s="71" t="s">
        <v>2048</v>
      </c>
      <c r="L172" s="86" t="s">
        <v>2721</v>
      </c>
      <c r="M172" s="71" t="s">
        <v>1596</v>
      </c>
      <c r="N172" s="76" t="s">
        <v>2074</v>
      </c>
      <c r="O172" s="71" t="s">
        <v>1591</v>
      </c>
      <c r="P172" s="71" t="s">
        <v>2042</v>
      </c>
      <c r="Q172" s="71" t="s">
        <v>2050</v>
      </c>
      <c r="R172" s="71" t="s">
        <v>2051</v>
      </c>
      <c r="S172" s="71" t="s">
        <v>2043</v>
      </c>
      <c r="T172" s="71" t="s">
        <v>2044</v>
      </c>
      <c r="U172" s="71" t="s">
        <v>2722</v>
      </c>
      <c r="V172" s="67"/>
      <c r="W172" s="71" t="s">
        <v>2054</v>
      </c>
      <c r="X172" s="67"/>
      <c r="Y172" s="76" t="s">
        <v>2058</v>
      </c>
    </row>
    <row r="173" spans="1:25" ht="256.5">
      <c r="A173" s="71" t="s">
        <v>8</v>
      </c>
      <c r="B173" s="71" t="s">
        <v>587</v>
      </c>
      <c r="C173" s="71" t="s">
        <v>613</v>
      </c>
      <c r="D173" s="71" t="s">
        <v>613</v>
      </c>
      <c r="E173" s="71" t="s">
        <v>2082</v>
      </c>
      <c r="F173" s="71" t="s">
        <v>2083</v>
      </c>
      <c r="G173" s="71" t="s">
        <v>2083</v>
      </c>
      <c r="H173" s="71" t="s">
        <v>2723</v>
      </c>
      <c r="I173" s="71" t="s">
        <v>2425</v>
      </c>
      <c r="J173" s="86" t="s">
        <v>2724</v>
      </c>
      <c r="K173" s="71" t="s">
        <v>2048</v>
      </c>
      <c r="L173" s="86" t="s">
        <v>2725</v>
      </c>
      <c r="M173" s="71" t="s">
        <v>2050</v>
      </c>
      <c r="N173" s="76" t="s">
        <v>2051</v>
      </c>
      <c r="O173" s="71" t="s">
        <v>1591</v>
      </c>
      <c r="P173" s="71" t="s">
        <v>2042</v>
      </c>
      <c r="Q173" s="71" t="s">
        <v>2050</v>
      </c>
      <c r="R173" s="71" t="s">
        <v>2051</v>
      </c>
      <c r="S173" s="71" t="s">
        <v>2043</v>
      </c>
      <c r="T173" s="71" t="s">
        <v>2044</v>
      </c>
      <c r="U173" s="71" t="s">
        <v>2726</v>
      </c>
      <c r="V173" s="67"/>
      <c r="W173" s="71" t="s">
        <v>2045</v>
      </c>
      <c r="X173" s="67"/>
      <c r="Y173" s="76" t="s">
        <v>2058</v>
      </c>
    </row>
    <row r="174" spans="1:25" ht="270">
      <c r="A174" s="71" t="s">
        <v>10</v>
      </c>
      <c r="B174" s="71" t="s">
        <v>10</v>
      </c>
      <c r="C174" s="71" t="s">
        <v>513</v>
      </c>
      <c r="D174" s="71" t="s">
        <v>513</v>
      </c>
      <c r="E174" s="71" t="s">
        <v>95</v>
      </c>
      <c r="F174" s="71" t="s">
        <v>2059</v>
      </c>
      <c r="G174" s="71" t="s">
        <v>1595</v>
      </c>
      <c r="H174" s="71" t="s">
        <v>2727</v>
      </c>
      <c r="I174" s="71" t="s">
        <v>2038</v>
      </c>
      <c r="J174" s="86" t="s">
        <v>2728</v>
      </c>
      <c r="K174" s="71" t="s">
        <v>2040</v>
      </c>
      <c r="L174" s="86" t="s">
        <v>2729</v>
      </c>
      <c r="M174" s="71" t="s">
        <v>1591</v>
      </c>
      <c r="N174" s="76" t="s">
        <v>2042</v>
      </c>
      <c r="O174" s="71" t="s">
        <v>1596</v>
      </c>
      <c r="P174" s="71" t="s">
        <v>2635</v>
      </c>
      <c r="Q174" s="71" t="s">
        <v>1596</v>
      </c>
      <c r="R174" s="71" t="s">
        <v>2125</v>
      </c>
      <c r="S174" s="71" t="s">
        <v>2052</v>
      </c>
      <c r="T174" s="71" t="s">
        <v>2573</v>
      </c>
      <c r="U174" s="71" t="s">
        <v>2730</v>
      </c>
      <c r="V174" s="71" t="s">
        <v>2731</v>
      </c>
      <c r="W174" s="71" t="s">
        <v>2045</v>
      </c>
      <c r="X174" s="67"/>
      <c r="Y174" s="76" t="s">
        <v>2058</v>
      </c>
    </row>
    <row r="175" spans="1:25" ht="409.5">
      <c r="A175" s="71" t="s">
        <v>7</v>
      </c>
      <c r="B175" s="71" t="s">
        <v>706</v>
      </c>
      <c r="C175" s="71" t="s">
        <v>739</v>
      </c>
      <c r="D175" s="71" t="s">
        <v>739</v>
      </c>
      <c r="E175" s="71" t="s">
        <v>90</v>
      </c>
      <c r="F175" s="71" t="s">
        <v>2059</v>
      </c>
      <c r="G175" s="71" t="s">
        <v>2059</v>
      </c>
      <c r="H175" s="71" t="s">
        <v>2732</v>
      </c>
      <c r="I175" s="71" t="s">
        <v>2038</v>
      </c>
      <c r="J175" s="86" t="s">
        <v>2733</v>
      </c>
      <c r="K175" s="71" t="s">
        <v>2048</v>
      </c>
      <c r="L175" s="86" t="s">
        <v>2734</v>
      </c>
      <c r="M175" s="71" t="s">
        <v>1591</v>
      </c>
      <c r="N175" s="76" t="s">
        <v>2042</v>
      </c>
      <c r="O175" s="71" t="s">
        <v>1591</v>
      </c>
      <c r="P175" s="71" t="s">
        <v>2042</v>
      </c>
      <c r="Q175" s="71" t="s">
        <v>1596</v>
      </c>
      <c r="R175" s="71" t="s">
        <v>2550</v>
      </c>
      <c r="S175" s="71" t="s">
        <v>2052</v>
      </c>
      <c r="T175" s="71" t="s">
        <v>2053</v>
      </c>
      <c r="U175" s="71" t="s">
        <v>2735</v>
      </c>
      <c r="V175" s="67"/>
      <c r="W175" s="71" t="s">
        <v>2054</v>
      </c>
      <c r="X175" s="67"/>
      <c r="Y175" s="67"/>
    </row>
    <row r="176" spans="1:25" ht="283.5">
      <c r="A176" s="71" t="s">
        <v>11</v>
      </c>
      <c r="B176" s="71" t="s">
        <v>261</v>
      </c>
      <c r="C176" s="71" t="s">
        <v>275</v>
      </c>
      <c r="D176" s="71" t="s">
        <v>275</v>
      </c>
      <c r="E176" s="71" t="s">
        <v>2082</v>
      </c>
      <c r="F176" s="71" t="s">
        <v>2083</v>
      </c>
      <c r="G176" s="71" t="s">
        <v>2083</v>
      </c>
      <c r="H176" s="71" t="s">
        <v>2736</v>
      </c>
      <c r="I176" s="71" t="s">
        <v>2038</v>
      </c>
      <c r="J176" s="86" t="s">
        <v>2737</v>
      </c>
      <c r="K176" s="71" t="s">
        <v>2255</v>
      </c>
      <c r="L176" s="86" t="s">
        <v>2738</v>
      </c>
      <c r="M176" s="71" t="s">
        <v>2050</v>
      </c>
      <c r="N176" s="76" t="s">
        <v>2051</v>
      </c>
      <c r="O176" s="71" t="s">
        <v>1596</v>
      </c>
      <c r="P176" s="71" t="s">
        <v>2345</v>
      </c>
      <c r="Q176" s="71" t="s">
        <v>1591</v>
      </c>
      <c r="R176" s="71" t="s">
        <v>2042</v>
      </c>
      <c r="S176" s="71" t="s">
        <v>2052</v>
      </c>
      <c r="T176" s="71" t="s">
        <v>2053</v>
      </c>
      <c r="U176" s="67"/>
      <c r="V176" s="67"/>
      <c r="W176" s="71" t="s">
        <v>2045</v>
      </c>
      <c r="X176" s="67"/>
      <c r="Y176" s="76" t="s">
        <v>2058</v>
      </c>
    </row>
    <row r="177" spans="1:25" ht="81">
      <c r="A177" s="71" t="s">
        <v>8</v>
      </c>
      <c r="B177" s="71" t="s">
        <v>658</v>
      </c>
      <c r="C177" s="71" t="s">
        <v>663</v>
      </c>
      <c r="D177" s="71" t="s">
        <v>663</v>
      </c>
      <c r="E177" s="67"/>
      <c r="F177" s="67"/>
      <c r="G177" s="67"/>
      <c r="H177" s="71" t="s">
        <v>2739</v>
      </c>
      <c r="I177" s="67"/>
      <c r="J177" s="67"/>
      <c r="K177" s="67"/>
      <c r="L177" s="67"/>
      <c r="M177" s="67"/>
      <c r="N177" s="75"/>
      <c r="O177" s="67"/>
      <c r="P177" s="67"/>
      <c r="Q177" s="71" t="s">
        <v>2050</v>
      </c>
      <c r="R177" s="71" t="s">
        <v>2051</v>
      </c>
      <c r="S177" s="71" t="s">
        <v>2052</v>
      </c>
      <c r="T177" s="71" t="s">
        <v>2053</v>
      </c>
      <c r="U177" s="67"/>
      <c r="V177" s="67"/>
      <c r="W177" s="71" t="s">
        <v>2070</v>
      </c>
      <c r="X177" s="67"/>
      <c r="Y177" s="76" t="s">
        <v>2058</v>
      </c>
    </row>
    <row r="178" spans="1:25" ht="324">
      <c r="A178" s="71" t="s">
        <v>8</v>
      </c>
      <c r="B178" s="71" t="s">
        <v>8</v>
      </c>
      <c r="C178" s="71" t="s">
        <v>573</v>
      </c>
      <c r="D178" s="71" t="s">
        <v>573</v>
      </c>
      <c r="E178" s="71" t="s">
        <v>90</v>
      </c>
      <c r="F178" s="71" t="s">
        <v>2194</v>
      </c>
      <c r="G178" s="71" t="s">
        <v>2194</v>
      </c>
      <c r="H178" s="71" t="s">
        <v>2740</v>
      </c>
      <c r="I178" s="71" t="s">
        <v>2741</v>
      </c>
      <c r="J178" s="86" t="s">
        <v>2742</v>
      </c>
      <c r="K178" s="71" t="s">
        <v>2048</v>
      </c>
      <c r="L178" s="86" t="s">
        <v>2743</v>
      </c>
      <c r="M178" s="71" t="s">
        <v>1596</v>
      </c>
      <c r="N178" s="76" t="s">
        <v>2550</v>
      </c>
      <c r="O178" s="71" t="s">
        <v>1591</v>
      </c>
      <c r="P178" s="71" t="s">
        <v>2042</v>
      </c>
      <c r="Q178" s="71" t="s">
        <v>2050</v>
      </c>
      <c r="R178" s="71" t="s">
        <v>2051</v>
      </c>
      <c r="S178" s="71" t="s">
        <v>2052</v>
      </c>
      <c r="T178" s="71" t="s">
        <v>2053</v>
      </c>
      <c r="U178" s="71" t="s">
        <v>2744</v>
      </c>
      <c r="V178" s="67"/>
      <c r="W178" s="71" t="s">
        <v>2045</v>
      </c>
      <c r="X178" s="67"/>
      <c r="Y178" s="76" t="s">
        <v>2058</v>
      </c>
    </row>
    <row r="179" spans="1:25" ht="409.5">
      <c r="A179" s="73" t="s">
        <v>8</v>
      </c>
      <c r="B179" s="73" t="s">
        <v>587</v>
      </c>
      <c r="C179" s="73" t="s">
        <v>611</v>
      </c>
      <c r="D179" s="73" t="s">
        <v>611</v>
      </c>
      <c r="E179" s="73" t="s">
        <v>90</v>
      </c>
      <c r="F179" s="73" t="s">
        <v>2194</v>
      </c>
      <c r="G179" s="73" t="s">
        <v>2194</v>
      </c>
      <c r="H179" s="73" t="s">
        <v>2745</v>
      </c>
      <c r="I179" s="73" t="s">
        <v>2094</v>
      </c>
      <c r="J179" s="83" t="s">
        <v>2746</v>
      </c>
      <c r="K179" s="73" t="s">
        <v>2048</v>
      </c>
      <c r="L179" s="83" t="s">
        <v>2747</v>
      </c>
      <c r="M179" s="73" t="s">
        <v>1596</v>
      </c>
      <c r="N179" s="73" t="s">
        <v>2550</v>
      </c>
      <c r="O179" s="73" t="s">
        <v>1591</v>
      </c>
      <c r="P179" s="73" t="s">
        <v>2042</v>
      </c>
      <c r="Q179" s="73" t="s">
        <v>2050</v>
      </c>
      <c r="R179" s="73" t="s">
        <v>2051</v>
      </c>
      <c r="S179" s="73" t="s">
        <v>2052</v>
      </c>
      <c r="T179" s="73" t="s">
        <v>2097</v>
      </c>
      <c r="U179" s="73" t="s">
        <v>2748</v>
      </c>
      <c r="V179" s="74"/>
      <c r="W179" s="73" t="s">
        <v>2054</v>
      </c>
      <c r="X179" s="74"/>
      <c r="Y179" s="73" t="s">
        <v>2098</v>
      </c>
    </row>
    <row r="180" spans="1:25" ht="409.5">
      <c r="A180" s="71" t="s">
        <v>19</v>
      </c>
      <c r="B180" s="71" t="s">
        <v>220</v>
      </c>
      <c r="C180" s="71" t="s">
        <v>251</v>
      </c>
      <c r="D180" s="71" t="s">
        <v>251</v>
      </c>
      <c r="E180" s="71" t="s">
        <v>2082</v>
      </c>
      <c r="F180" s="71" t="s">
        <v>2083</v>
      </c>
      <c r="G180" s="71" t="s">
        <v>2083</v>
      </c>
      <c r="H180" s="71" t="s">
        <v>2749</v>
      </c>
      <c r="I180" s="71" t="s">
        <v>2425</v>
      </c>
      <c r="J180" s="86" t="s">
        <v>2750</v>
      </c>
      <c r="K180" s="71" t="s">
        <v>2048</v>
      </c>
      <c r="L180" s="86" t="s">
        <v>2751</v>
      </c>
      <c r="M180" s="71" t="s">
        <v>1596</v>
      </c>
      <c r="N180" s="76" t="s">
        <v>2074</v>
      </c>
      <c r="O180" s="71" t="s">
        <v>1591</v>
      </c>
      <c r="P180" s="71" t="s">
        <v>2042</v>
      </c>
      <c r="Q180" s="71" t="s">
        <v>1596</v>
      </c>
      <c r="R180" s="71" t="s">
        <v>2550</v>
      </c>
      <c r="S180" s="71" t="s">
        <v>2079</v>
      </c>
      <c r="T180" s="71" t="s">
        <v>2053</v>
      </c>
      <c r="U180" s="71" t="s">
        <v>2752</v>
      </c>
      <c r="V180" s="67"/>
      <c r="W180" s="71" t="s">
        <v>2054</v>
      </c>
      <c r="X180" s="67"/>
      <c r="Y180" s="67"/>
    </row>
    <row r="181" spans="1:25" ht="256.5">
      <c r="A181" s="71" t="s">
        <v>8</v>
      </c>
      <c r="B181" s="71" t="s">
        <v>633</v>
      </c>
      <c r="C181" s="71" t="s">
        <v>637</v>
      </c>
      <c r="D181" s="71" t="s">
        <v>637</v>
      </c>
      <c r="E181" s="71" t="s">
        <v>2082</v>
      </c>
      <c r="F181" s="71" t="s">
        <v>2083</v>
      </c>
      <c r="G181" s="71" t="s">
        <v>2083</v>
      </c>
      <c r="H181" s="71" t="s">
        <v>2753</v>
      </c>
      <c r="I181" s="71" t="s">
        <v>2114</v>
      </c>
      <c r="J181" s="86" t="s">
        <v>2754</v>
      </c>
      <c r="K181" s="71" t="s">
        <v>2048</v>
      </c>
      <c r="L181" s="86" t="s">
        <v>2755</v>
      </c>
      <c r="M181" s="71" t="s">
        <v>1596</v>
      </c>
      <c r="N181" s="76" t="s">
        <v>2635</v>
      </c>
      <c r="O181" s="71" t="s">
        <v>1591</v>
      </c>
      <c r="P181" s="71" t="s">
        <v>2042</v>
      </c>
      <c r="Q181" s="71" t="s">
        <v>2050</v>
      </c>
      <c r="R181" s="71" t="s">
        <v>2051</v>
      </c>
      <c r="S181" s="71" t="s">
        <v>2043</v>
      </c>
      <c r="T181" s="71" t="s">
        <v>2044</v>
      </c>
      <c r="U181" s="71" t="s">
        <v>2756</v>
      </c>
      <c r="V181" s="67"/>
      <c r="W181" s="67"/>
      <c r="X181" s="67"/>
      <c r="Y181" s="71" t="s">
        <v>2058</v>
      </c>
    </row>
    <row r="182" spans="1:25" ht="324">
      <c r="A182" s="73" t="s">
        <v>8</v>
      </c>
      <c r="B182" s="73" t="s">
        <v>587</v>
      </c>
      <c r="C182" s="73" t="s">
        <v>596</v>
      </c>
      <c r="D182" s="73" t="s">
        <v>596</v>
      </c>
      <c r="E182" s="73" t="s">
        <v>95</v>
      </c>
      <c r="F182" s="73" t="s">
        <v>1595</v>
      </c>
      <c r="G182" s="73" t="s">
        <v>1595</v>
      </c>
      <c r="H182" s="73" t="s">
        <v>2757</v>
      </c>
      <c r="I182" s="73" t="s">
        <v>2038</v>
      </c>
      <c r="J182" s="83" t="s">
        <v>2758</v>
      </c>
      <c r="K182" s="73" t="s">
        <v>2040</v>
      </c>
      <c r="L182" s="83" t="s">
        <v>2759</v>
      </c>
      <c r="M182" s="73" t="s">
        <v>1591</v>
      </c>
      <c r="N182" s="73" t="s">
        <v>2042</v>
      </c>
      <c r="O182" s="73" t="s">
        <v>1596</v>
      </c>
      <c r="P182" s="73" t="s">
        <v>2345</v>
      </c>
      <c r="Q182" s="73" t="s">
        <v>2050</v>
      </c>
      <c r="R182" s="73" t="s">
        <v>2051</v>
      </c>
      <c r="S182" s="73" t="s">
        <v>2052</v>
      </c>
      <c r="T182" s="73" t="s">
        <v>2053</v>
      </c>
      <c r="U182" s="73" t="s">
        <v>2760</v>
      </c>
      <c r="V182" s="74"/>
      <c r="W182" s="74"/>
      <c r="X182" s="74"/>
      <c r="Y182" s="73" t="s">
        <v>2098</v>
      </c>
    </row>
    <row r="183" spans="1:25" ht="324">
      <c r="A183" s="71" t="s">
        <v>8</v>
      </c>
      <c r="B183" s="71" t="s">
        <v>658</v>
      </c>
      <c r="C183" s="71" t="s">
        <v>667</v>
      </c>
      <c r="D183" s="71" t="s">
        <v>667</v>
      </c>
      <c r="E183" s="71" t="s">
        <v>95</v>
      </c>
      <c r="F183" s="71" t="s">
        <v>1595</v>
      </c>
      <c r="G183" s="71" t="s">
        <v>1595</v>
      </c>
      <c r="H183" s="71" t="s">
        <v>2761</v>
      </c>
      <c r="I183" s="71" t="s">
        <v>2094</v>
      </c>
      <c r="J183" s="86" t="s">
        <v>2762</v>
      </c>
      <c r="K183" s="71" t="s">
        <v>2040</v>
      </c>
      <c r="L183" s="86" t="s">
        <v>2763</v>
      </c>
      <c r="M183" s="71" t="s">
        <v>1591</v>
      </c>
      <c r="N183" s="76" t="s">
        <v>2042</v>
      </c>
      <c r="O183" s="71" t="s">
        <v>1596</v>
      </c>
      <c r="P183" s="71" t="s">
        <v>2345</v>
      </c>
      <c r="Q183" s="71" t="s">
        <v>2050</v>
      </c>
      <c r="R183" s="71" t="s">
        <v>2051</v>
      </c>
      <c r="S183" s="71" t="s">
        <v>2052</v>
      </c>
      <c r="T183" s="71" t="s">
        <v>2053</v>
      </c>
      <c r="U183" s="67"/>
      <c r="V183" s="67"/>
      <c r="W183" s="67"/>
      <c r="X183" s="67"/>
      <c r="Y183" s="71" t="s">
        <v>2058</v>
      </c>
    </row>
    <row r="184" spans="1:25" ht="409.5">
      <c r="A184" s="71" t="s">
        <v>8</v>
      </c>
      <c r="B184" s="71" t="s">
        <v>658</v>
      </c>
      <c r="C184" s="71" t="s">
        <v>659</v>
      </c>
      <c r="D184" s="71" t="s">
        <v>659</v>
      </c>
      <c r="E184" s="71" t="s">
        <v>95</v>
      </c>
      <c r="F184" s="71" t="s">
        <v>1595</v>
      </c>
      <c r="G184" s="71" t="s">
        <v>1595</v>
      </c>
      <c r="H184" s="71" t="s">
        <v>2764</v>
      </c>
      <c r="I184" s="71" t="s">
        <v>2038</v>
      </c>
      <c r="J184" s="86" t="s">
        <v>2765</v>
      </c>
      <c r="K184" s="71" t="s">
        <v>2040</v>
      </c>
      <c r="L184" s="86" t="s">
        <v>2766</v>
      </c>
      <c r="M184" s="71" t="s">
        <v>1591</v>
      </c>
      <c r="N184" s="76" t="s">
        <v>2042</v>
      </c>
      <c r="O184" s="71" t="s">
        <v>1596</v>
      </c>
      <c r="P184" s="71" t="s">
        <v>2345</v>
      </c>
      <c r="Q184" s="71" t="s">
        <v>2050</v>
      </c>
      <c r="R184" s="71" t="s">
        <v>2051</v>
      </c>
      <c r="S184" s="71" t="s">
        <v>2052</v>
      </c>
      <c r="T184" s="71" t="s">
        <v>2053</v>
      </c>
      <c r="U184" s="71" t="s">
        <v>2767</v>
      </c>
      <c r="V184" s="71" t="s">
        <v>2768</v>
      </c>
      <c r="W184" s="67"/>
      <c r="X184" s="67"/>
      <c r="Y184" s="71" t="s">
        <v>2058</v>
      </c>
    </row>
    <row r="185" spans="1:25" ht="229.5">
      <c r="A185" s="71" t="s">
        <v>8</v>
      </c>
      <c r="B185" s="71" t="s">
        <v>8</v>
      </c>
      <c r="C185" s="71" t="s">
        <v>548</v>
      </c>
      <c r="D185" s="71" t="s">
        <v>548</v>
      </c>
      <c r="E185" s="71" t="s">
        <v>95</v>
      </c>
      <c r="F185" s="71" t="s">
        <v>2059</v>
      </c>
      <c r="G185" s="71" t="s">
        <v>2194</v>
      </c>
      <c r="H185" s="71" t="s">
        <v>2757</v>
      </c>
      <c r="I185" s="71" t="s">
        <v>2425</v>
      </c>
      <c r="J185" s="86" t="s">
        <v>2769</v>
      </c>
      <c r="K185" s="71" t="s">
        <v>2040</v>
      </c>
      <c r="L185" s="67"/>
      <c r="M185" s="67"/>
      <c r="N185" s="75"/>
      <c r="O185" s="67"/>
      <c r="P185" s="67"/>
      <c r="Q185" s="71" t="s">
        <v>2050</v>
      </c>
      <c r="R185" s="71" t="s">
        <v>2051</v>
      </c>
      <c r="S185" s="71" t="s">
        <v>2052</v>
      </c>
      <c r="T185" s="71" t="s">
        <v>2053</v>
      </c>
      <c r="U185" s="71" t="s">
        <v>2770</v>
      </c>
      <c r="V185" s="67"/>
      <c r="W185" s="67"/>
      <c r="X185" s="67"/>
      <c r="Y185" s="71" t="s">
        <v>2058</v>
      </c>
    </row>
    <row r="186" spans="1:25" ht="310.5">
      <c r="A186" s="71" t="s">
        <v>8</v>
      </c>
      <c r="B186" s="71" t="s">
        <v>633</v>
      </c>
      <c r="C186" s="71" t="s">
        <v>633</v>
      </c>
      <c r="D186" s="71" t="s">
        <v>633</v>
      </c>
      <c r="E186" s="71" t="s">
        <v>2082</v>
      </c>
      <c r="F186" s="71" t="s">
        <v>2083</v>
      </c>
      <c r="G186" s="71" t="s">
        <v>2083</v>
      </c>
      <c r="H186" s="71" t="s">
        <v>2771</v>
      </c>
      <c r="I186" s="71" t="s">
        <v>2094</v>
      </c>
      <c r="J186" s="86" t="s">
        <v>2772</v>
      </c>
      <c r="K186" s="71" t="s">
        <v>2048</v>
      </c>
      <c r="L186" s="86" t="s">
        <v>2773</v>
      </c>
      <c r="M186" s="71" t="s">
        <v>1596</v>
      </c>
      <c r="N186" s="76" t="s">
        <v>2345</v>
      </c>
      <c r="O186" s="71" t="s">
        <v>1591</v>
      </c>
      <c r="P186" s="71" t="s">
        <v>2042</v>
      </c>
      <c r="Q186" s="71" t="s">
        <v>2050</v>
      </c>
      <c r="R186" s="71" t="s">
        <v>2051</v>
      </c>
      <c r="S186" s="71" t="s">
        <v>2043</v>
      </c>
      <c r="T186" s="71" t="s">
        <v>2044</v>
      </c>
      <c r="U186" s="71" t="s">
        <v>2774</v>
      </c>
      <c r="V186" s="67"/>
      <c r="W186" s="67"/>
      <c r="X186" s="67"/>
      <c r="Y186" s="71" t="s">
        <v>2058</v>
      </c>
    </row>
    <row r="187" spans="1:25" ht="297">
      <c r="A187" s="71" t="s">
        <v>8</v>
      </c>
      <c r="B187" s="71" t="s">
        <v>633</v>
      </c>
      <c r="C187" s="71" t="s">
        <v>635</v>
      </c>
      <c r="D187" s="71" t="s">
        <v>635</v>
      </c>
      <c r="E187" s="71" t="s">
        <v>2082</v>
      </c>
      <c r="F187" s="71" t="s">
        <v>2083</v>
      </c>
      <c r="G187" s="71" t="s">
        <v>2083</v>
      </c>
      <c r="H187" s="71" t="s">
        <v>2775</v>
      </c>
      <c r="I187" s="71" t="s">
        <v>2094</v>
      </c>
      <c r="J187" s="86" t="s">
        <v>2776</v>
      </c>
      <c r="K187" s="71" t="s">
        <v>2048</v>
      </c>
      <c r="L187" s="86" t="s">
        <v>2777</v>
      </c>
      <c r="M187" s="71" t="s">
        <v>1596</v>
      </c>
      <c r="N187" s="76" t="s">
        <v>2345</v>
      </c>
      <c r="O187" s="71" t="s">
        <v>1591</v>
      </c>
      <c r="P187" s="71" t="s">
        <v>2042</v>
      </c>
      <c r="Q187" s="71" t="s">
        <v>2050</v>
      </c>
      <c r="R187" s="71" t="s">
        <v>2051</v>
      </c>
      <c r="S187" s="71" t="s">
        <v>2043</v>
      </c>
      <c r="T187" s="71" t="s">
        <v>2044</v>
      </c>
      <c r="U187" s="71" t="s">
        <v>2778</v>
      </c>
      <c r="V187" s="67"/>
      <c r="W187" s="67"/>
      <c r="X187" s="67"/>
      <c r="Y187" s="71" t="s">
        <v>2058</v>
      </c>
    </row>
    <row r="188" spans="1:25" ht="229.5">
      <c r="A188" s="71" t="s">
        <v>8</v>
      </c>
      <c r="B188" s="71" t="s">
        <v>8</v>
      </c>
      <c r="C188" s="71" t="s">
        <v>564</v>
      </c>
      <c r="D188" s="71" t="s">
        <v>564</v>
      </c>
      <c r="E188" s="71" t="s">
        <v>2082</v>
      </c>
      <c r="F188" s="71" t="s">
        <v>2083</v>
      </c>
      <c r="G188" s="71" t="s">
        <v>2083</v>
      </c>
      <c r="H188" s="71" t="s">
        <v>2779</v>
      </c>
      <c r="I188" s="71" t="s">
        <v>2425</v>
      </c>
      <c r="J188" s="86" t="s">
        <v>2780</v>
      </c>
      <c r="K188" s="71" t="s">
        <v>2048</v>
      </c>
      <c r="L188" s="86" t="s">
        <v>2781</v>
      </c>
      <c r="M188" s="71" t="s">
        <v>1596</v>
      </c>
      <c r="N188" s="76" t="s">
        <v>2345</v>
      </c>
      <c r="O188" s="71" t="s">
        <v>1591</v>
      </c>
      <c r="P188" s="71" t="s">
        <v>2042</v>
      </c>
      <c r="Q188" s="71" t="s">
        <v>2050</v>
      </c>
      <c r="R188" s="71" t="s">
        <v>2051</v>
      </c>
      <c r="S188" s="71" t="s">
        <v>2043</v>
      </c>
      <c r="T188" s="71" t="s">
        <v>2044</v>
      </c>
      <c r="U188" s="71" t="s">
        <v>2782</v>
      </c>
      <c r="V188" s="67"/>
      <c r="W188" s="67"/>
      <c r="X188" s="67"/>
      <c r="Y188" s="71" t="s">
        <v>2058</v>
      </c>
    </row>
    <row r="189" spans="1:25" ht="364.5">
      <c r="A189" s="71" t="s">
        <v>10</v>
      </c>
      <c r="B189" s="71" t="s">
        <v>166</v>
      </c>
      <c r="C189" s="71" t="s">
        <v>457</v>
      </c>
      <c r="D189" s="71" t="s">
        <v>457</v>
      </c>
      <c r="E189" s="71" t="s">
        <v>90</v>
      </c>
      <c r="F189" s="71" t="s">
        <v>2194</v>
      </c>
      <c r="G189" s="71" t="s">
        <v>2194</v>
      </c>
      <c r="H189" s="71" t="s">
        <v>2783</v>
      </c>
      <c r="I189" s="71" t="s">
        <v>2038</v>
      </c>
      <c r="J189" s="86" t="s">
        <v>2784</v>
      </c>
      <c r="K189" s="71" t="s">
        <v>2040</v>
      </c>
      <c r="L189" s="86" t="s">
        <v>2785</v>
      </c>
      <c r="M189" s="71" t="s">
        <v>1596</v>
      </c>
      <c r="N189" s="76" t="s">
        <v>2345</v>
      </c>
      <c r="O189" s="71" t="s">
        <v>1591</v>
      </c>
      <c r="P189" s="71" t="s">
        <v>2042</v>
      </c>
      <c r="Q189" s="71" t="s">
        <v>2050</v>
      </c>
      <c r="R189" s="71" t="s">
        <v>2051</v>
      </c>
      <c r="S189" s="71" t="s">
        <v>2043</v>
      </c>
      <c r="T189" s="71" t="s">
        <v>2044</v>
      </c>
      <c r="U189" s="67"/>
      <c r="V189" s="67"/>
      <c r="W189" s="67"/>
      <c r="X189" s="67"/>
      <c r="Y189" s="71" t="s">
        <v>2058</v>
      </c>
    </row>
    <row r="190" spans="1:25" ht="391.5">
      <c r="A190" s="71" t="s">
        <v>8</v>
      </c>
      <c r="B190" s="71" t="s">
        <v>633</v>
      </c>
      <c r="C190" s="71" t="s">
        <v>645</v>
      </c>
      <c r="D190" s="71" t="s">
        <v>645</v>
      </c>
      <c r="E190" s="71" t="s">
        <v>2082</v>
      </c>
      <c r="F190" s="71" t="s">
        <v>2083</v>
      </c>
      <c r="G190" s="71" t="s">
        <v>2083</v>
      </c>
      <c r="H190" s="71" t="s">
        <v>2786</v>
      </c>
      <c r="I190" s="71" t="s">
        <v>2038</v>
      </c>
      <c r="J190" s="86" t="s">
        <v>2787</v>
      </c>
      <c r="K190" s="71" t="s">
        <v>2048</v>
      </c>
      <c r="L190" s="86" t="s">
        <v>2788</v>
      </c>
      <c r="M190" s="71" t="s">
        <v>1596</v>
      </c>
      <c r="N190" s="76" t="s">
        <v>2345</v>
      </c>
      <c r="O190" s="71" t="s">
        <v>1591</v>
      </c>
      <c r="P190" s="71" t="s">
        <v>2042</v>
      </c>
      <c r="Q190" s="71" t="s">
        <v>2050</v>
      </c>
      <c r="R190" s="71" t="s">
        <v>2051</v>
      </c>
      <c r="S190" s="71" t="s">
        <v>2043</v>
      </c>
      <c r="T190" s="71" t="s">
        <v>2044</v>
      </c>
      <c r="U190" s="71" t="s">
        <v>2789</v>
      </c>
      <c r="V190" s="67"/>
      <c r="W190" s="67"/>
      <c r="X190" s="67"/>
      <c r="Y190" s="71" t="s">
        <v>2058</v>
      </c>
    </row>
    <row r="191" spans="1:25" ht="409.5">
      <c r="A191" s="71" t="s">
        <v>10</v>
      </c>
      <c r="B191" s="71" t="s">
        <v>10</v>
      </c>
      <c r="C191" s="71" t="s">
        <v>505</v>
      </c>
      <c r="D191" s="71" t="s">
        <v>505</v>
      </c>
      <c r="E191" s="71" t="s">
        <v>95</v>
      </c>
      <c r="F191" s="71" t="s">
        <v>1595</v>
      </c>
      <c r="G191" s="71" t="s">
        <v>1595</v>
      </c>
      <c r="H191" s="71" t="s">
        <v>2790</v>
      </c>
      <c r="I191" s="71" t="s">
        <v>2094</v>
      </c>
      <c r="J191" s="86" t="s">
        <v>2791</v>
      </c>
      <c r="K191" s="71" t="s">
        <v>2040</v>
      </c>
      <c r="L191" s="86" t="s">
        <v>2792</v>
      </c>
      <c r="M191" s="71" t="s">
        <v>1591</v>
      </c>
      <c r="N191" s="76" t="s">
        <v>2042</v>
      </c>
      <c r="O191" s="71" t="s">
        <v>1596</v>
      </c>
      <c r="P191" s="71" t="s">
        <v>2345</v>
      </c>
      <c r="Q191" s="71" t="s">
        <v>2050</v>
      </c>
      <c r="R191" s="71" t="s">
        <v>2051</v>
      </c>
      <c r="S191" s="71" t="s">
        <v>2052</v>
      </c>
      <c r="T191" s="71" t="s">
        <v>2053</v>
      </c>
      <c r="U191" s="71" t="s">
        <v>2793</v>
      </c>
      <c r="V191" s="71" t="s">
        <v>2794</v>
      </c>
      <c r="W191" s="67"/>
      <c r="X191" s="67"/>
      <c r="Y191" s="71" t="s">
        <v>2058</v>
      </c>
    </row>
    <row r="192" spans="1:25" ht="337.5">
      <c r="A192" s="71" t="s">
        <v>10</v>
      </c>
      <c r="B192" s="71" t="s">
        <v>10</v>
      </c>
      <c r="C192" s="71" t="s">
        <v>499</v>
      </c>
      <c r="D192" s="71" t="s">
        <v>499</v>
      </c>
      <c r="E192" s="71" t="s">
        <v>90</v>
      </c>
      <c r="F192" s="71" t="s">
        <v>2059</v>
      </c>
      <c r="G192" s="71" t="s">
        <v>2059</v>
      </c>
      <c r="H192" s="71" t="s">
        <v>2795</v>
      </c>
      <c r="I192" s="71" t="s">
        <v>2094</v>
      </c>
      <c r="J192" s="86" t="s">
        <v>2796</v>
      </c>
      <c r="K192" s="71" t="s">
        <v>2048</v>
      </c>
      <c r="L192" s="86" t="s">
        <v>2797</v>
      </c>
      <c r="M192" s="71" t="s">
        <v>1596</v>
      </c>
      <c r="N192" s="76" t="s">
        <v>2074</v>
      </c>
      <c r="O192" s="71" t="s">
        <v>1591</v>
      </c>
      <c r="P192" s="71" t="s">
        <v>2042</v>
      </c>
      <c r="Q192" s="71" t="s">
        <v>2050</v>
      </c>
      <c r="R192" s="71" t="s">
        <v>2051</v>
      </c>
      <c r="S192" s="71" t="s">
        <v>2079</v>
      </c>
      <c r="T192" s="71" t="s">
        <v>2044</v>
      </c>
      <c r="U192" s="67"/>
      <c r="V192" s="71" t="s">
        <v>2798</v>
      </c>
      <c r="W192" s="67"/>
      <c r="X192" s="67"/>
      <c r="Y192" s="71" t="s">
        <v>2058</v>
      </c>
    </row>
    <row r="193" spans="1:25" ht="270">
      <c r="A193" s="71" t="s">
        <v>19</v>
      </c>
      <c r="B193" s="71" t="s">
        <v>220</v>
      </c>
      <c r="C193" s="71" t="s">
        <v>243</v>
      </c>
      <c r="D193" s="71" t="s">
        <v>243</v>
      </c>
      <c r="E193" s="71" t="s">
        <v>95</v>
      </c>
      <c r="F193" s="71" t="s">
        <v>1595</v>
      </c>
      <c r="G193" s="71" t="s">
        <v>1595</v>
      </c>
      <c r="H193" s="71" t="s">
        <v>2799</v>
      </c>
      <c r="I193" s="71" t="s">
        <v>2094</v>
      </c>
      <c r="J193" s="86" t="s">
        <v>2800</v>
      </c>
      <c r="K193" s="71" t="s">
        <v>2040</v>
      </c>
      <c r="L193" s="86" t="s">
        <v>2801</v>
      </c>
      <c r="M193" s="71" t="s">
        <v>1591</v>
      </c>
      <c r="N193" s="76" t="s">
        <v>2042</v>
      </c>
      <c r="O193" s="71" t="s">
        <v>1596</v>
      </c>
      <c r="P193" s="71" t="s">
        <v>2074</v>
      </c>
      <c r="Q193" s="71" t="s">
        <v>2050</v>
      </c>
      <c r="R193" s="71" t="s">
        <v>2051</v>
      </c>
      <c r="S193" s="71" t="s">
        <v>2052</v>
      </c>
      <c r="T193" s="71" t="s">
        <v>2053</v>
      </c>
      <c r="U193" s="71" t="s">
        <v>2802</v>
      </c>
      <c r="V193" s="65"/>
      <c r="W193" s="67"/>
      <c r="X193" s="67"/>
      <c r="Y193" s="71" t="s">
        <v>2058</v>
      </c>
    </row>
    <row r="194" spans="1:25" ht="409.5">
      <c r="A194" s="73" t="s">
        <v>8</v>
      </c>
      <c r="B194" s="73" t="s">
        <v>8</v>
      </c>
      <c r="C194" s="73" t="s">
        <v>560</v>
      </c>
      <c r="D194" s="73" t="s">
        <v>560</v>
      </c>
      <c r="E194" s="73" t="s">
        <v>90</v>
      </c>
      <c r="F194" s="73" t="s">
        <v>2059</v>
      </c>
      <c r="G194" s="73" t="s">
        <v>2059</v>
      </c>
      <c r="H194" s="73" t="s">
        <v>2803</v>
      </c>
      <c r="I194" s="73" t="s">
        <v>2094</v>
      </c>
      <c r="J194" s="83" t="s">
        <v>2804</v>
      </c>
      <c r="K194" s="73" t="s">
        <v>2040</v>
      </c>
      <c r="L194" s="83" t="s">
        <v>2805</v>
      </c>
      <c r="M194" s="73" t="s">
        <v>1591</v>
      </c>
      <c r="N194" s="73" t="s">
        <v>2042</v>
      </c>
      <c r="O194" s="73" t="s">
        <v>1596</v>
      </c>
      <c r="P194" s="73" t="s">
        <v>2169</v>
      </c>
      <c r="Q194" s="73" t="s">
        <v>2050</v>
      </c>
      <c r="R194" s="73" t="s">
        <v>2051</v>
      </c>
      <c r="S194" s="73" t="s">
        <v>2052</v>
      </c>
      <c r="T194" s="73" t="s">
        <v>2053</v>
      </c>
      <c r="U194" s="74"/>
      <c r="V194" s="73" t="s">
        <v>2806</v>
      </c>
      <c r="W194" s="73" t="s">
        <v>2054</v>
      </c>
      <c r="X194" s="74"/>
      <c r="Y194" s="73" t="s">
        <v>2098</v>
      </c>
    </row>
    <row r="195" spans="1:25" ht="337.5">
      <c r="A195" s="73" t="s">
        <v>19</v>
      </c>
      <c r="B195" s="73" t="s">
        <v>220</v>
      </c>
      <c r="C195" s="73" t="s">
        <v>221</v>
      </c>
      <c r="D195" s="73" t="s">
        <v>221</v>
      </c>
      <c r="E195" s="73" t="s">
        <v>90</v>
      </c>
      <c r="F195" s="74"/>
      <c r="G195" s="73" t="s">
        <v>2059</v>
      </c>
      <c r="H195" s="73" t="s">
        <v>2221</v>
      </c>
      <c r="I195" s="73" t="s">
        <v>2038</v>
      </c>
      <c r="J195" s="83" t="s">
        <v>2807</v>
      </c>
      <c r="K195" s="73" t="s">
        <v>2040</v>
      </c>
      <c r="L195" s="83" t="s">
        <v>2808</v>
      </c>
      <c r="M195" s="73" t="s">
        <v>1596</v>
      </c>
      <c r="N195" s="73" t="s">
        <v>2550</v>
      </c>
      <c r="O195" s="73" t="s">
        <v>1591</v>
      </c>
      <c r="P195" s="73" t="s">
        <v>2042</v>
      </c>
      <c r="Q195" s="73" t="s">
        <v>2050</v>
      </c>
      <c r="R195" s="73" t="s">
        <v>2051</v>
      </c>
      <c r="S195" s="73" t="s">
        <v>2052</v>
      </c>
      <c r="T195" s="73" t="s">
        <v>2053</v>
      </c>
      <c r="U195" s="73" t="s">
        <v>2809</v>
      </c>
      <c r="V195" s="74"/>
      <c r="W195" s="74"/>
      <c r="X195" s="74"/>
      <c r="Y195" s="73" t="s">
        <v>2098</v>
      </c>
    </row>
    <row r="196" spans="1:25" ht="297">
      <c r="A196" s="71" t="s">
        <v>8</v>
      </c>
      <c r="B196" s="71" t="s">
        <v>8</v>
      </c>
      <c r="C196" s="71" t="s">
        <v>550</v>
      </c>
      <c r="D196" s="71" t="s">
        <v>550</v>
      </c>
      <c r="E196" s="71" t="s">
        <v>95</v>
      </c>
      <c r="F196" s="71" t="s">
        <v>1595</v>
      </c>
      <c r="G196" s="71" t="s">
        <v>1595</v>
      </c>
      <c r="H196" s="71" t="s">
        <v>2810</v>
      </c>
      <c r="I196" s="71" t="s">
        <v>2038</v>
      </c>
      <c r="J196" s="86" t="s">
        <v>2811</v>
      </c>
      <c r="K196" s="71" t="s">
        <v>2040</v>
      </c>
      <c r="L196" s="86" t="s">
        <v>2812</v>
      </c>
      <c r="M196" s="71" t="s">
        <v>1591</v>
      </c>
      <c r="N196" s="76" t="s">
        <v>2042</v>
      </c>
      <c r="O196" s="71" t="s">
        <v>1596</v>
      </c>
      <c r="P196" s="71" t="s">
        <v>2345</v>
      </c>
      <c r="Q196" s="71" t="s">
        <v>2050</v>
      </c>
      <c r="R196" s="71" t="s">
        <v>2051</v>
      </c>
      <c r="S196" s="71" t="s">
        <v>2052</v>
      </c>
      <c r="T196" s="71" t="s">
        <v>2053</v>
      </c>
      <c r="U196" s="67"/>
      <c r="V196" s="67"/>
      <c r="W196" s="67"/>
      <c r="X196" s="67"/>
      <c r="Y196" s="71" t="s">
        <v>2058</v>
      </c>
    </row>
    <row r="197" spans="1:25" ht="175.5">
      <c r="A197" s="71" t="s">
        <v>19</v>
      </c>
      <c r="B197" s="71" t="s">
        <v>19</v>
      </c>
      <c r="C197" s="71" t="s">
        <v>201</v>
      </c>
      <c r="D197" s="71" t="s">
        <v>201</v>
      </c>
      <c r="E197" s="71" t="s">
        <v>95</v>
      </c>
      <c r="F197" s="71" t="s">
        <v>1595</v>
      </c>
      <c r="G197" s="71" t="s">
        <v>1595</v>
      </c>
      <c r="H197" s="71" t="s">
        <v>2563</v>
      </c>
      <c r="I197" s="71" t="s">
        <v>2114</v>
      </c>
      <c r="J197" s="86" t="s">
        <v>2813</v>
      </c>
      <c r="K197" s="67"/>
      <c r="L197" s="67"/>
      <c r="M197" s="67"/>
      <c r="N197" s="75"/>
      <c r="O197" s="71" t="s">
        <v>1596</v>
      </c>
      <c r="P197" s="67"/>
      <c r="Q197" s="71" t="s">
        <v>2050</v>
      </c>
      <c r="R197" s="71" t="s">
        <v>2051</v>
      </c>
      <c r="S197" s="71" t="s">
        <v>2052</v>
      </c>
      <c r="T197" s="71" t="s">
        <v>2053</v>
      </c>
      <c r="U197" s="71" t="s">
        <v>2814</v>
      </c>
      <c r="V197" s="67"/>
      <c r="W197" s="87" t="s">
        <v>2070</v>
      </c>
      <c r="X197" s="67"/>
      <c r="Y197" s="71" t="s">
        <v>2058</v>
      </c>
    </row>
    <row r="198" spans="1:25" ht="409.5">
      <c r="A198" s="73" t="s">
        <v>19</v>
      </c>
      <c r="B198" s="73" t="s">
        <v>220</v>
      </c>
      <c r="C198" s="73" t="s">
        <v>223</v>
      </c>
      <c r="D198" s="73" t="s">
        <v>223</v>
      </c>
      <c r="E198" s="73" t="s">
        <v>95</v>
      </c>
      <c r="F198" s="73" t="s">
        <v>1595</v>
      </c>
      <c r="G198" s="73" t="s">
        <v>1595</v>
      </c>
      <c r="H198" s="73" t="s">
        <v>2815</v>
      </c>
      <c r="I198" s="73" t="s">
        <v>2094</v>
      </c>
      <c r="J198" s="83" t="s">
        <v>2816</v>
      </c>
      <c r="K198" s="73" t="s">
        <v>2040</v>
      </c>
      <c r="L198" s="83" t="s">
        <v>2817</v>
      </c>
      <c r="M198" s="73" t="s">
        <v>1591</v>
      </c>
      <c r="N198" s="73" t="s">
        <v>2042</v>
      </c>
      <c r="O198" s="73" t="s">
        <v>1596</v>
      </c>
      <c r="P198" s="73" t="s">
        <v>2345</v>
      </c>
      <c r="Q198" s="73" t="s">
        <v>2050</v>
      </c>
      <c r="R198" s="73" t="s">
        <v>2051</v>
      </c>
      <c r="S198" s="73" t="s">
        <v>2052</v>
      </c>
      <c r="T198" s="73" t="s">
        <v>2053</v>
      </c>
      <c r="U198" s="74"/>
      <c r="V198" s="73" t="s">
        <v>2818</v>
      </c>
      <c r="W198" s="74"/>
      <c r="X198" s="74"/>
      <c r="Y198" s="73" t="s">
        <v>2098</v>
      </c>
    </row>
    <row r="199" spans="1:25" ht="409.5">
      <c r="A199" s="71" t="s">
        <v>19</v>
      </c>
      <c r="B199" s="71" t="s">
        <v>19</v>
      </c>
      <c r="C199" s="71" t="s">
        <v>216</v>
      </c>
      <c r="D199" s="71" t="s">
        <v>216</v>
      </c>
      <c r="E199" s="71" t="s">
        <v>90</v>
      </c>
      <c r="F199" s="71" t="s">
        <v>2194</v>
      </c>
      <c r="G199" s="71" t="s">
        <v>2194</v>
      </c>
      <c r="H199" s="71" t="s">
        <v>2819</v>
      </c>
      <c r="I199" s="71" t="s">
        <v>2094</v>
      </c>
      <c r="J199" s="86" t="s">
        <v>2820</v>
      </c>
      <c r="K199" s="71" t="s">
        <v>2048</v>
      </c>
      <c r="L199" s="86" t="s">
        <v>2821</v>
      </c>
      <c r="M199" s="71" t="s">
        <v>1596</v>
      </c>
      <c r="N199" s="76" t="s">
        <v>2635</v>
      </c>
      <c r="O199" s="71" t="s">
        <v>1591</v>
      </c>
      <c r="P199" s="71" t="s">
        <v>2042</v>
      </c>
      <c r="Q199" s="71" t="s">
        <v>2050</v>
      </c>
      <c r="R199" s="71" t="s">
        <v>2051</v>
      </c>
      <c r="S199" s="71" t="s">
        <v>2079</v>
      </c>
      <c r="T199" s="71" t="s">
        <v>2044</v>
      </c>
      <c r="U199" s="71" t="s">
        <v>2822</v>
      </c>
      <c r="V199" s="71" t="s">
        <v>2823</v>
      </c>
      <c r="W199" s="67"/>
      <c r="X199" s="67"/>
      <c r="Y199" s="71" t="s">
        <v>2058</v>
      </c>
    </row>
    <row r="200" spans="1:25" ht="256.5">
      <c r="A200" s="71" t="s">
        <v>19</v>
      </c>
      <c r="B200" s="71" t="s">
        <v>88</v>
      </c>
      <c r="C200" s="71" t="s">
        <v>88</v>
      </c>
      <c r="D200" s="71" t="s">
        <v>88</v>
      </c>
      <c r="E200" s="71" t="s">
        <v>90</v>
      </c>
      <c r="F200" s="71" t="s">
        <v>2194</v>
      </c>
      <c r="G200" s="71" t="s">
        <v>2194</v>
      </c>
      <c r="H200" s="71" t="s">
        <v>2824</v>
      </c>
      <c r="I200" s="71" t="s">
        <v>2094</v>
      </c>
      <c r="J200" s="86" t="s">
        <v>2825</v>
      </c>
      <c r="K200" s="71" t="s">
        <v>2048</v>
      </c>
      <c r="L200" s="86" t="s">
        <v>2826</v>
      </c>
      <c r="M200" s="71" t="s">
        <v>1596</v>
      </c>
      <c r="N200" s="76" t="s">
        <v>2635</v>
      </c>
      <c r="O200" s="71" t="s">
        <v>1591</v>
      </c>
      <c r="P200" s="71" t="s">
        <v>2042</v>
      </c>
      <c r="Q200" s="71" t="s">
        <v>2050</v>
      </c>
      <c r="R200" s="71" t="s">
        <v>2051</v>
      </c>
      <c r="S200" s="71" t="s">
        <v>2043</v>
      </c>
      <c r="T200" s="71" t="s">
        <v>2044</v>
      </c>
      <c r="U200" s="67"/>
      <c r="V200" s="67"/>
      <c r="W200" s="67"/>
      <c r="X200" s="67"/>
      <c r="Y200" s="71" t="s">
        <v>2058</v>
      </c>
    </row>
    <row r="201" spans="1:25" ht="409.5">
      <c r="A201" s="71" t="s">
        <v>19</v>
      </c>
      <c r="B201" s="71" t="s">
        <v>147</v>
      </c>
      <c r="C201" s="71" t="s">
        <v>177</v>
      </c>
      <c r="D201" s="71" t="s">
        <v>177</v>
      </c>
      <c r="E201" s="71" t="s">
        <v>90</v>
      </c>
      <c r="F201" s="71" t="s">
        <v>2059</v>
      </c>
      <c r="G201" s="71" t="s">
        <v>2059</v>
      </c>
      <c r="H201" s="71" t="s">
        <v>2827</v>
      </c>
      <c r="I201" s="71" t="s">
        <v>2038</v>
      </c>
      <c r="J201" s="86" t="s">
        <v>2828</v>
      </c>
      <c r="K201" s="71" t="s">
        <v>2048</v>
      </c>
      <c r="L201" s="86" t="s">
        <v>2829</v>
      </c>
      <c r="M201" s="71" t="s">
        <v>1596</v>
      </c>
      <c r="N201" s="76" t="s">
        <v>2074</v>
      </c>
      <c r="O201" s="71" t="s">
        <v>1591</v>
      </c>
      <c r="P201" s="71" t="s">
        <v>2042</v>
      </c>
      <c r="Q201" s="71" t="s">
        <v>2050</v>
      </c>
      <c r="R201" s="71" t="s">
        <v>2051</v>
      </c>
      <c r="S201" s="71" t="s">
        <v>2043</v>
      </c>
      <c r="T201" s="71" t="s">
        <v>2044</v>
      </c>
      <c r="U201" s="71" t="s">
        <v>2631</v>
      </c>
      <c r="V201" s="67"/>
      <c r="W201" s="67"/>
      <c r="X201" s="67"/>
      <c r="Y201" s="67"/>
    </row>
    <row r="202" spans="1:25" ht="391.5">
      <c r="A202" s="73" t="s">
        <v>19</v>
      </c>
      <c r="B202" s="73" t="s">
        <v>220</v>
      </c>
      <c r="C202" s="73" t="s">
        <v>253</v>
      </c>
      <c r="D202" s="73" t="s">
        <v>253</v>
      </c>
      <c r="E202" s="73" t="s">
        <v>90</v>
      </c>
      <c r="F202" s="73" t="s">
        <v>1595</v>
      </c>
      <c r="G202" s="73" t="s">
        <v>1595</v>
      </c>
      <c r="H202" s="73" t="s">
        <v>2830</v>
      </c>
      <c r="I202" s="73" t="s">
        <v>2038</v>
      </c>
      <c r="J202" s="83" t="s">
        <v>2831</v>
      </c>
      <c r="K202" s="73" t="s">
        <v>2040</v>
      </c>
      <c r="L202" s="83" t="s">
        <v>2832</v>
      </c>
      <c r="M202" s="73" t="s">
        <v>1591</v>
      </c>
      <c r="N202" s="73" t="s">
        <v>2042</v>
      </c>
      <c r="O202" s="73" t="s">
        <v>1596</v>
      </c>
      <c r="P202" s="73" t="s">
        <v>2125</v>
      </c>
      <c r="Q202" s="73" t="s">
        <v>1596</v>
      </c>
      <c r="R202" s="73" t="s">
        <v>2069</v>
      </c>
      <c r="S202" s="73" t="s">
        <v>2052</v>
      </c>
      <c r="T202" s="73" t="s">
        <v>2097</v>
      </c>
      <c r="U202" s="73" t="s">
        <v>2833</v>
      </c>
      <c r="V202" s="74"/>
      <c r="W202" s="74"/>
      <c r="X202" s="74"/>
      <c r="Y202" s="73" t="s">
        <v>2058</v>
      </c>
    </row>
    <row r="203" spans="1:25" ht="409.5">
      <c r="A203" s="71" t="s">
        <v>19</v>
      </c>
      <c r="B203" s="71" t="s">
        <v>220</v>
      </c>
      <c r="C203" s="71" t="s">
        <v>233</v>
      </c>
      <c r="D203" s="71" t="s">
        <v>233</v>
      </c>
      <c r="E203" s="71" t="s">
        <v>95</v>
      </c>
      <c r="F203" s="71" t="s">
        <v>1595</v>
      </c>
      <c r="G203" s="71" t="s">
        <v>1595</v>
      </c>
      <c r="H203" s="71" t="s">
        <v>2834</v>
      </c>
      <c r="I203" s="71" t="s">
        <v>2038</v>
      </c>
      <c r="J203" s="71" t="s">
        <v>2835</v>
      </c>
      <c r="K203" s="71" t="s">
        <v>2040</v>
      </c>
      <c r="L203" s="71" t="s">
        <v>2836</v>
      </c>
      <c r="M203" s="71" t="s">
        <v>1591</v>
      </c>
      <c r="N203" s="76" t="s">
        <v>2042</v>
      </c>
      <c r="O203" s="71" t="s">
        <v>1596</v>
      </c>
      <c r="P203" s="71" t="s">
        <v>2125</v>
      </c>
      <c r="Q203" s="71" t="s">
        <v>2050</v>
      </c>
      <c r="R203" s="71" t="s">
        <v>2051</v>
      </c>
      <c r="S203" s="71" t="s">
        <v>2043</v>
      </c>
      <c r="T203" s="71" t="s">
        <v>2044</v>
      </c>
      <c r="U203" s="67"/>
      <c r="V203" s="67"/>
      <c r="W203" s="67"/>
      <c r="X203" s="67"/>
      <c r="Y203" s="71" t="s">
        <v>2058</v>
      </c>
    </row>
    <row r="204" spans="1:25" ht="409.5">
      <c r="A204" s="73" t="s">
        <v>15</v>
      </c>
      <c r="B204" s="73" t="s">
        <v>15</v>
      </c>
      <c r="C204" s="73" t="s">
        <v>343</v>
      </c>
      <c r="D204" s="73" t="s">
        <v>343</v>
      </c>
      <c r="E204" s="73" t="s">
        <v>95</v>
      </c>
      <c r="F204" s="74"/>
      <c r="G204" s="73" t="s">
        <v>1595</v>
      </c>
      <c r="H204" s="73" t="s">
        <v>2837</v>
      </c>
      <c r="I204" s="73" t="s">
        <v>2094</v>
      </c>
      <c r="J204" s="83" t="s">
        <v>2838</v>
      </c>
      <c r="K204" s="73" t="s">
        <v>2040</v>
      </c>
      <c r="L204" s="83" t="s">
        <v>2839</v>
      </c>
      <c r="M204" s="73" t="s">
        <v>1591</v>
      </c>
      <c r="N204" s="73" t="s">
        <v>2042</v>
      </c>
      <c r="O204" s="73" t="s">
        <v>1596</v>
      </c>
      <c r="P204" s="73" t="s">
        <v>2125</v>
      </c>
      <c r="Q204" s="73" t="s">
        <v>1596</v>
      </c>
      <c r="R204" s="73" t="s">
        <v>2550</v>
      </c>
      <c r="S204" s="73" t="s">
        <v>2052</v>
      </c>
      <c r="T204" s="73" t="s">
        <v>2573</v>
      </c>
      <c r="U204" s="73" t="s">
        <v>2840</v>
      </c>
      <c r="V204" s="74"/>
      <c r="W204" s="74"/>
      <c r="X204" s="74"/>
      <c r="Y204" s="73" t="s">
        <v>2098</v>
      </c>
    </row>
    <row r="205" spans="1:25" ht="378">
      <c r="A205" s="73" t="s">
        <v>19</v>
      </c>
      <c r="B205" s="73" t="s">
        <v>220</v>
      </c>
      <c r="C205" s="73" t="s">
        <v>230</v>
      </c>
      <c r="D205" s="73" t="s">
        <v>230</v>
      </c>
      <c r="E205" s="73" t="s">
        <v>95</v>
      </c>
      <c r="F205" s="73" t="s">
        <v>1595</v>
      </c>
      <c r="G205" s="73" t="s">
        <v>1595</v>
      </c>
      <c r="H205" s="73" t="s">
        <v>2841</v>
      </c>
      <c r="I205" s="73" t="s">
        <v>2094</v>
      </c>
      <c r="J205" s="73" t="s">
        <v>2842</v>
      </c>
      <c r="K205" s="73" t="s">
        <v>2040</v>
      </c>
      <c r="L205" s="73" t="s">
        <v>2843</v>
      </c>
      <c r="M205" s="73" t="s">
        <v>1591</v>
      </c>
      <c r="N205" s="73" t="s">
        <v>2042</v>
      </c>
      <c r="O205" s="73" t="s">
        <v>1596</v>
      </c>
      <c r="P205" s="73" t="s">
        <v>2125</v>
      </c>
      <c r="Q205" s="73" t="s">
        <v>2050</v>
      </c>
      <c r="R205" s="73" t="s">
        <v>2051</v>
      </c>
      <c r="S205" s="73" t="s">
        <v>2079</v>
      </c>
      <c r="T205" s="73" t="s">
        <v>2044</v>
      </c>
      <c r="U205" s="73" t="s">
        <v>2844</v>
      </c>
      <c r="V205" s="73" t="s">
        <v>2845</v>
      </c>
      <c r="W205" s="74"/>
      <c r="X205" s="74"/>
      <c r="Y205" s="74"/>
    </row>
    <row r="206" spans="1:25" ht="351">
      <c r="A206" s="71" t="s">
        <v>15</v>
      </c>
      <c r="B206" s="71" t="s">
        <v>15</v>
      </c>
      <c r="C206" s="71" t="s">
        <v>346</v>
      </c>
      <c r="D206" s="71" t="s">
        <v>346</v>
      </c>
      <c r="E206" s="71" t="s">
        <v>95</v>
      </c>
      <c r="F206" s="71" t="s">
        <v>1595</v>
      </c>
      <c r="G206" s="71" t="s">
        <v>1595</v>
      </c>
      <c r="H206" s="71" t="s">
        <v>2846</v>
      </c>
      <c r="I206" s="67"/>
      <c r="J206" s="67"/>
      <c r="K206" s="71" t="s">
        <v>2040</v>
      </c>
      <c r="L206" s="86" t="s">
        <v>2847</v>
      </c>
      <c r="M206" s="71" t="s">
        <v>1591</v>
      </c>
      <c r="N206" s="76" t="s">
        <v>2042</v>
      </c>
      <c r="O206" s="71" t="s">
        <v>1596</v>
      </c>
      <c r="P206" s="71" t="s">
        <v>2074</v>
      </c>
      <c r="Q206" s="71" t="s">
        <v>1596</v>
      </c>
      <c r="R206" s="71" t="s">
        <v>2345</v>
      </c>
      <c r="S206" s="71" t="s">
        <v>2079</v>
      </c>
      <c r="T206" s="71" t="s">
        <v>2044</v>
      </c>
      <c r="U206" s="71" t="s">
        <v>2848</v>
      </c>
      <c r="V206" s="67"/>
      <c r="W206" s="87" t="s">
        <v>2070</v>
      </c>
      <c r="X206" s="67"/>
      <c r="Y206" s="71" t="s">
        <v>2058</v>
      </c>
    </row>
    <row r="207" spans="1:25" ht="378">
      <c r="A207" s="73" t="s">
        <v>8</v>
      </c>
      <c r="B207" s="73" t="s">
        <v>587</v>
      </c>
      <c r="C207" s="73" t="s">
        <v>599</v>
      </c>
      <c r="D207" s="73" t="s">
        <v>599</v>
      </c>
      <c r="E207" s="73" t="s">
        <v>90</v>
      </c>
      <c r="F207" s="73" t="s">
        <v>2059</v>
      </c>
      <c r="G207" s="73" t="s">
        <v>2059</v>
      </c>
      <c r="H207" s="73" t="s">
        <v>2849</v>
      </c>
      <c r="I207" s="73" t="s">
        <v>2038</v>
      </c>
      <c r="J207" s="83" t="s">
        <v>2850</v>
      </c>
      <c r="K207" s="73" t="s">
        <v>2048</v>
      </c>
      <c r="L207" s="83" t="s">
        <v>2851</v>
      </c>
      <c r="M207" s="73" t="s">
        <v>1596</v>
      </c>
      <c r="N207" s="73" t="s">
        <v>2069</v>
      </c>
      <c r="O207" s="73" t="s">
        <v>1591</v>
      </c>
      <c r="P207" s="73" t="s">
        <v>2042</v>
      </c>
      <c r="Q207" s="73" t="s">
        <v>2050</v>
      </c>
      <c r="R207" s="73" t="s">
        <v>2051</v>
      </c>
      <c r="S207" s="73" t="s">
        <v>2043</v>
      </c>
      <c r="T207" s="73" t="s">
        <v>2044</v>
      </c>
      <c r="U207" s="73" t="s">
        <v>2852</v>
      </c>
      <c r="V207" s="74"/>
      <c r="W207" s="74"/>
      <c r="X207" s="74"/>
      <c r="Y207" s="73" t="s">
        <v>2098</v>
      </c>
    </row>
    <row r="208" spans="1:25" ht="364.5">
      <c r="A208" s="71" t="s">
        <v>19</v>
      </c>
      <c r="B208" s="71" t="s">
        <v>220</v>
      </c>
      <c r="C208" s="71" t="s">
        <v>259</v>
      </c>
      <c r="D208" s="71" t="s">
        <v>259</v>
      </c>
      <c r="E208" s="71" t="s">
        <v>95</v>
      </c>
      <c r="F208" s="71" t="s">
        <v>1595</v>
      </c>
      <c r="G208" s="71" t="s">
        <v>1595</v>
      </c>
      <c r="H208" s="71" t="s">
        <v>2853</v>
      </c>
      <c r="I208" s="71" t="s">
        <v>2425</v>
      </c>
      <c r="J208" s="86" t="s">
        <v>2854</v>
      </c>
      <c r="K208" s="71" t="s">
        <v>2040</v>
      </c>
      <c r="L208" s="86" t="s">
        <v>2855</v>
      </c>
      <c r="M208" s="71" t="s">
        <v>1591</v>
      </c>
      <c r="N208" s="76" t="s">
        <v>2042</v>
      </c>
      <c r="O208" s="71" t="s">
        <v>1596</v>
      </c>
      <c r="P208" s="71" t="s">
        <v>2345</v>
      </c>
      <c r="Q208" s="71" t="s">
        <v>1596</v>
      </c>
      <c r="R208" s="71" t="s">
        <v>2345</v>
      </c>
      <c r="S208" s="71" t="s">
        <v>2052</v>
      </c>
      <c r="T208" s="71" t="s">
        <v>2053</v>
      </c>
      <c r="U208" s="71" t="s">
        <v>2856</v>
      </c>
      <c r="V208" s="71" t="s">
        <v>2857</v>
      </c>
      <c r="W208" s="67"/>
      <c r="X208" s="67"/>
      <c r="Y208" s="71" t="s">
        <v>2058</v>
      </c>
    </row>
    <row r="209" spans="1:25" ht="54">
      <c r="A209" s="71" t="s">
        <v>19</v>
      </c>
      <c r="B209" s="71" t="s">
        <v>220</v>
      </c>
      <c r="C209" s="71" t="s">
        <v>257</v>
      </c>
      <c r="D209" s="71" t="s">
        <v>257</v>
      </c>
      <c r="E209" s="71" t="s">
        <v>2082</v>
      </c>
      <c r="F209" s="71" t="s">
        <v>2194</v>
      </c>
      <c r="G209" s="71" t="s">
        <v>2194</v>
      </c>
      <c r="H209" s="71" t="s">
        <v>2858</v>
      </c>
      <c r="I209" s="71" t="s">
        <v>2094</v>
      </c>
      <c r="J209" s="67"/>
      <c r="K209" s="71" t="s">
        <v>2040</v>
      </c>
      <c r="L209" s="67"/>
      <c r="M209" s="71" t="s">
        <v>1591</v>
      </c>
      <c r="N209" s="76" t="s">
        <v>2042</v>
      </c>
      <c r="O209" s="71" t="s">
        <v>1596</v>
      </c>
      <c r="P209" s="71" t="s">
        <v>2345</v>
      </c>
      <c r="Q209" s="71" t="s">
        <v>2050</v>
      </c>
      <c r="R209" s="71" t="s">
        <v>2051</v>
      </c>
      <c r="S209" s="71" t="s">
        <v>2052</v>
      </c>
      <c r="T209" s="71" t="s">
        <v>2053</v>
      </c>
      <c r="U209" s="67"/>
      <c r="V209" s="67"/>
      <c r="W209" s="75"/>
      <c r="X209" s="67"/>
      <c r="Y209" s="71" t="s">
        <v>2058</v>
      </c>
    </row>
    <row r="210" spans="1:25" ht="378">
      <c r="A210" s="71" t="s">
        <v>10</v>
      </c>
      <c r="B210" s="71" t="s">
        <v>166</v>
      </c>
      <c r="C210" s="71" t="s">
        <v>487</v>
      </c>
      <c r="D210" s="71" t="s">
        <v>487</v>
      </c>
      <c r="E210" s="71" t="s">
        <v>95</v>
      </c>
      <c r="F210" s="71" t="s">
        <v>1595</v>
      </c>
      <c r="G210" s="71" t="s">
        <v>1595</v>
      </c>
      <c r="H210" s="71" t="s">
        <v>2859</v>
      </c>
      <c r="I210" s="67"/>
      <c r="J210" s="67"/>
      <c r="K210" s="71" t="s">
        <v>2040</v>
      </c>
      <c r="L210" s="86" t="s">
        <v>2860</v>
      </c>
      <c r="M210" s="71" t="s">
        <v>1591</v>
      </c>
      <c r="N210" s="76" t="s">
        <v>2042</v>
      </c>
      <c r="O210" s="71" t="s">
        <v>1596</v>
      </c>
      <c r="P210" s="71" t="s">
        <v>2345</v>
      </c>
      <c r="Q210" s="71" t="s">
        <v>1596</v>
      </c>
      <c r="R210" s="71" t="s">
        <v>2550</v>
      </c>
      <c r="S210" s="71" t="s">
        <v>2052</v>
      </c>
      <c r="T210" s="71" t="s">
        <v>2097</v>
      </c>
      <c r="U210" s="71" t="s">
        <v>2861</v>
      </c>
      <c r="V210" s="67"/>
      <c r="W210" s="87" t="s">
        <v>2070</v>
      </c>
      <c r="X210" s="67"/>
      <c r="Y210" s="71" t="s">
        <v>2058</v>
      </c>
    </row>
    <row r="211" spans="1:25" ht="378">
      <c r="A211" s="71" t="s">
        <v>10</v>
      </c>
      <c r="B211" s="71" t="s">
        <v>10</v>
      </c>
      <c r="C211" s="71" t="s">
        <v>493</v>
      </c>
      <c r="D211" s="71" t="s">
        <v>493</v>
      </c>
      <c r="E211" s="71" t="s">
        <v>90</v>
      </c>
      <c r="F211" s="71" t="s">
        <v>2059</v>
      </c>
      <c r="G211" s="71" t="s">
        <v>2059</v>
      </c>
      <c r="H211" s="71" t="s">
        <v>2862</v>
      </c>
      <c r="I211" s="71" t="s">
        <v>2038</v>
      </c>
      <c r="J211" s="86" t="s">
        <v>2863</v>
      </c>
      <c r="K211" s="71" t="s">
        <v>2040</v>
      </c>
      <c r="L211" s="86" t="s">
        <v>2864</v>
      </c>
      <c r="M211" s="71" t="s">
        <v>1591</v>
      </c>
      <c r="N211" s="76" t="s">
        <v>2042</v>
      </c>
      <c r="O211" s="71" t="s">
        <v>1596</v>
      </c>
      <c r="P211" s="71" t="s">
        <v>2125</v>
      </c>
      <c r="Q211" s="71" t="s">
        <v>1596</v>
      </c>
      <c r="R211" s="71" t="s">
        <v>2550</v>
      </c>
      <c r="S211" s="71" t="s">
        <v>2079</v>
      </c>
      <c r="T211" s="71" t="s">
        <v>2044</v>
      </c>
      <c r="U211" s="71" t="s">
        <v>2865</v>
      </c>
      <c r="V211" s="71" t="s">
        <v>2866</v>
      </c>
      <c r="W211" s="67"/>
      <c r="X211" s="67"/>
      <c r="Y211" s="71" t="s">
        <v>2058</v>
      </c>
    </row>
    <row r="212" spans="1:25" ht="391.5">
      <c r="A212" s="71" t="s">
        <v>15</v>
      </c>
      <c r="B212" s="71" t="s">
        <v>15</v>
      </c>
      <c r="C212" s="71" t="s">
        <v>385</v>
      </c>
      <c r="D212" s="71" t="s">
        <v>385</v>
      </c>
      <c r="E212" s="71" t="s">
        <v>95</v>
      </c>
      <c r="F212" s="71" t="s">
        <v>1590</v>
      </c>
      <c r="G212" s="71" t="s">
        <v>1590</v>
      </c>
      <c r="H212" s="71" t="s">
        <v>2563</v>
      </c>
      <c r="I212" s="71" t="s">
        <v>2094</v>
      </c>
      <c r="J212" s="86" t="s">
        <v>2867</v>
      </c>
      <c r="K212" s="71" t="s">
        <v>2040</v>
      </c>
      <c r="L212" s="86" t="s">
        <v>2868</v>
      </c>
      <c r="M212" s="71" t="s">
        <v>1591</v>
      </c>
      <c r="N212" s="76" t="s">
        <v>2042</v>
      </c>
      <c r="O212" s="71" t="s">
        <v>1596</v>
      </c>
      <c r="P212" s="71" t="s">
        <v>2125</v>
      </c>
      <c r="Q212" s="71" t="s">
        <v>2050</v>
      </c>
      <c r="R212" s="71" t="s">
        <v>2051</v>
      </c>
      <c r="S212" s="71" t="s">
        <v>2052</v>
      </c>
      <c r="T212" s="71" t="s">
        <v>2053</v>
      </c>
      <c r="U212" s="71" t="s">
        <v>2869</v>
      </c>
      <c r="V212" s="67"/>
      <c r="W212" s="67"/>
      <c r="X212" s="67"/>
      <c r="Y212" s="71" t="s">
        <v>2058</v>
      </c>
    </row>
    <row r="213" spans="1:25" ht="337.5">
      <c r="A213" s="71" t="s">
        <v>15</v>
      </c>
      <c r="B213" s="71" t="s">
        <v>15</v>
      </c>
      <c r="C213" s="71" t="s">
        <v>387</v>
      </c>
      <c r="D213" s="71" t="s">
        <v>387</v>
      </c>
      <c r="E213" s="71" t="s">
        <v>95</v>
      </c>
      <c r="F213" s="71" t="s">
        <v>1590</v>
      </c>
      <c r="G213" s="71" t="s">
        <v>1590</v>
      </c>
      <c r="H213" s="71" t="s">
        <v>2870</v>
      </c>
      <c r="I213" s="71" t="s">
        <v>2094</v>
      </c>
      <c r="J213" s="86" t="s">
        <v>2871</v>
      </c>
      <c r="K213" s="71" t="s">
        <v>2040</v>
      </c>
      <c r="L213" s="86" t="s">
        <v>2872</v>
      </c>
      <c r="M213" s="71" t="s">
        <v>1591</v>
      </c>
      <c r="N213" s="76" t="s">
        <v>2042</v>
      </c>
      <c r="O213" s="71" t="s">
        <v>1596</v>
      </c>
      <c r="P213" s="71" t="s">
        <v>2125</v>
      </c>
      <c r="Q213" s="71" t="s">
        <v>2050</v>
      </c>
      <c r="R213" s="71" t="s">
        <v>2051</v>
      </c>
      <c r="S213" s="71" t="s">
        <v>2052</v>
      </c>
      <c r="T213" s="71" t="s">
        <v>2053</v>
      </c>
      <c r="U213" s="71" t="s">
        <v>2873</v>
      </c>
      <c r="V213" s="67"/>
      <c r="W213" s="67"/>
      <c r="X213" s="67"/>
      <c r="Y213" s="71" t="s">
        <v>2058</v>
      </c>
    </row>
    <row r="214" spans="1:25" ht="391.5">
      <c r="A214" s="71" t="s">
        <v>8</v>
      </c>
      <c r="B214" s="71" t="s">
        <v>658</v>
      </c>
      <c r="C214" s="71" t="s">
        <v>662</v>
      </c>
      <c r="D214" s="71" t="s">
        <v>662</v>
      </c>
      <c r="E214" s="71" t="s">
        <v>95</v>
      </c>
      <c r="F214" s="71" t="s">
        <v>1595</v>
      </c>
      <c r="G214" s="71" t="s">
        <v>1595</v>
      </c>
      <c r="H214" s="71" t="s">
        <v>2874</v>
      </c>
      <c r="I214" s="71" t="s">
        <v>2094</v>
      </c>
      <c r="J214" s="86" t="s">
        <v>2875</v>
      </c>
      <c r="K214" s="71" t="s">
        <v>2040</v>
      </c>
      <c r="L214" s="86" t="s">
        <v>2876</v>
      </c>
      <c r="M214" s="71" t="s">
        <v>1591</v>
      </c>
      <c r="N214" s="76" t="s">
        <v>2042</v>
      </c>
      <c r="O214" s="71" t="s">
        <v>1596</v>
      </c>
      <c r="P214" s="71" t="s">
        <v>2550</v>
      </c>
      <c r="Q214" s="71" t="s">
        <v>2050</v>
      </c>
      <c r="R214" s="71" t="s">
        <v>2051</v>
      </c>
      <c r="S214" s="71" t="s">
        <v>2052</v>
      </c>
      <c r="T214" s="71" t="s">
        <v>2053</v>
      </c>
      <c r="U214" s="71" t="s">
        <v>2877</v>
      </c>
      <c r="V214" s="67"/>
      <c r="W214" s="67"/>
      <c r="X214" s="67"/>
      <c r="Y214" s="71" t="s">
        <v>2058</v>
      </c>
    </row>
    <row r="215" spans="1:25" ht="256.5">
      <c r="A215" s="71" t="s">
        <v>19</v>
      </c>
      <c r="B215" s="71" t="s">
        <v>88</v>
      </c>
      <c r="C215" s="71" t="s">
        <v>129</v>
      </c>
      <c r="D215" s="71" t="s">
        <v>129</v>
      </c>
      <c r="E215" s="71" t="s">
        <v>90</v>
      </c>
      <c r="F215" s="71" t="s">
        <v>2083</v>
      </c>
      <c r="G215" s="71" t="s">
        <v>2083</v>
      </c>
      <c r="H215" s="71" t="s">
        <v>2878</v>
      </c>
      <c r="I215" s="71" t="s">
        <v>2108</v>
      </c>
      <c r="J215" s="86" t="s">
        <v>2879</v>
      </c>
      <c r="K215" s="71" t="s">
        <v>2048</v>
      </c>
      <c r="L215" s="86" t="s">
        <v>2880</v>
      </c>
      <c r="M215" s="71" t="s">
        <v>1596</v>
      </c>
      <c r="N215" s="76" t="s">
        <v>2345</v>
      </c>
      <c r="O215" s="71" t="s">
        <v>1591</v>
      </c>
      <c r="P215" s="71" t="s">
        <v>2042</v>
      </c>
      <c r="Q215" s="71" t="s">
        <v>2050</v>
      </c>
      <c r="R215" s="71" t="s">
        <v>2051</v>
      </c>
      <c r="S215" s="71" t="s">
        <v>2043</v>
      </c>
      <c r="T215" s="71" t="s">
        <v>2044</v>
      </c>
      <c r="U215" s="71" t="s">
        <v>2881</v>
      </c>
      <c r="V215" s="67"/>
      <c r="W215" s="67"/>
      <c r="X215" s="67"/>
      <c r="Y215" s="71" t="s">
        <v>2058</v>
      </c>
    </row>
    <row r="216" spans="1:25" ht="409.5">
      <c r="A216" s="71" t="s">
        <v>15</v>
      </c>
      <c r="B216" s="71" t="s">
        <v>15</v>
      </c>
      <c r="C216" s="71" t="s">
        <v>381</v>
      </c>
      <c r="D216" s="71" t="s">
        <v>381</v>
      </c>
      <c r="E216" s="71" t="s">
        <v>2082</v>
      </c>
      <c r="F216" s="71" t="s">
        <v>2083</v>
      </c>
      <c r="G216" s="71" t="s">
        <v>2083</v>
      </c>
      <c r="H216" s="71" t="s">
        <v>2563</v>
      </c>
      <c r="I216" s="71" t="s">
        <v>2038</v>
      </c>
      <c r="J216" s="86" t="s">
        <v>2882</v>
      </c>
      <c r="K216" s="71" t="s">
        <v>2048</v>
      </c>
      <c r="L216" s="86" t="s">
        <v>2883</v>
      </c>
      <c r="M216" s="71" t="s">
        <v>1596</v>
      </c>
      <c r="N216" s="76" t="s">
        <v>2345</v>
      </c>
      <c r="O216" s="71" t="s">
        <v>1591</v>
      </c>
      <c r="P216" s="71" t="s">
        <v>2042</v>
      </c>
      <c r="Q216" s="71" t="s">
        <v>2050</v>
      </c>
      <c r="R216" s="71" t="s">
        <v>2051</v>
      </c>
      <c r="S216" s="71" t="s">
        <v>2079</v>
      </c>
      <c r="T216" s="71" t="s">
        <v>2053</v>
      </c>
      <c r="U216" s="71" t="s">
        <v>2884</v>
      </c>
      <c r="V216" s="67"/>
      <c r="W216" s="67"/>
      <c r="X216" s="67"/>
      <c r="Y216" s="71" t="s">
        <v>2058</v>
      </c>
    </row>
    <row r="217" spans="1:25" ht="391.5">
      <c r="A217" s="71" t="s">
        <v>19</v>
      </c>
      <c r="B217" s="71" t="s">
        <v>19</v>
      </c>
      <c r="C217" s="71" t="s">
        <v>206</v>
      </c>
      <c r="D217" s="71" t="s">
        <v>206</v>
      </c>
      <c r="E217" s="71" t="s">
        <v>2082</v>
      </c>
      <c r="F217" s="71" t="s">
        <v>2194</v>
      </c>
      <c r="G217" s="71" t="s">
        <v>2194</v>
      </c>
      <c r="H217" s="71" t="s">
        <v>2563</v>
      </c>
      <c r="I217" s="71" t="s">
        <v>2038</v>
      </c>
      <c r="J217" s="86" t="s">
        <v>2885</v>
      </c>
      <c r="K217" s="71" t="s">
        <v>2048</v>
      </c>
      <c r="L217" s="86" t="s">
        <v>2886</v>
      </c>
      <c r="M217" s="71" t="s">
        <v>1596</v>
      </c>
      <c r="N217" s="76" t="s">
        <v>2345</v>
      </c>
      <c r="O217" s="71" t="s">
        <v>1591</v>
      </c>
      <c r="P217" s="71" t="s">
        <v>2042</v>
      </c>
      <c r="Q217" s="71" t="s">
        <v>2050</v>
      </c>
      <c r="R217" s="71" t="s">
        <v>2051</v>
      </c>
      <c r="S217" s="71" t="s">
        <v>2043</v>
      </c>
      <c r="T217" s="71" t="s">
        <v>2044</v>
      </c>
      <c r="U217" s="71" t="s">
        <v>2887</v>
      </c>
      <c r="V217" s="67"/>
      <c r="W217" s="67"/>
      <c r="X217" s="67"/>
      <c r="Y217" s="71" t="s">
        <v>2058</v>
      </c>
    </row>
    <row r="218" spans="1:25" ht="409.5">
      <c r="A218" s="71" t="s">
        <v>19</v>
      </c>
      <c r="B218" s="71" t="s">
        <v>19</v>
      </c>
      <c r="C218" s="71" t="s">
        <v>211</v>
      </c>
      <c r="D218" s="71" t="s">
        <v>211</v>
      </c>
      <c r="E218" s="71" t="s">
        <v>95</v>
      </c>
      <c r="F218" s="71" t="s">
        <v>1595</v>
      </c>
      <c r="G218" s="71" t="s">
        <v>1595</v>
      </c>
      <c r="H218" s="71" t="s">
        <v>2888</v>
      </c>
      <c r="I218" s="71" t="s">
        <v>2094</v>
      </c>
      <c r="J218" s="86" t="s">
        <v>2889</v>
      </c>
      <c r="K218" s="71" t="s">
        <v>2040</v>
      </c>
      <c r="L218" s="86" t="s">
        <v>2890</v>
      </c>
      <c r="M218" s="71" t="s">
        <v>1591</v>
      </c>
      <c r="N218" s="76" t="s">
        <v>2042</v>
      </c>
      <c r="O218" s="71" t="s">
        <v>1596</v>
      </c>
      <c r="P218" s="71" t="s">
        <v>2345</v>
      </c>
      <c r="Q218" s="71" t="s">
        <v>2050</v>
      </c>
      <c r="R218" s="71" t="s">
        <v>2051</v>
      </c>
      <c r="S218" s="71" t="s">
        <v>2052</v>
      </c>
      <c r="T218" s="71" t="s">
        <v>2053</v>
      </c>
      <c r="U218" s="71" t="s">
        <v>2891</v>
      </c>
      <c r="V218" s="67"/>
      <c r="W218" s="67"/>
      <c r="X218" s="67"/>
      <c r="Y218" s="71" t="s">
        <v>2058</v>
      </c>
    </row>
    <row r="219" spans="1:25" ht="378">
      <c r="A219" s="71" t="s">
        <v>19</v>
      </c>
      <c r="B219" s="71" t="s">
        <v>19</v>
      </c>
      <c r="C219" s="71" t="s">
        <v>208</v>
      </c>
      <c r="D219" s="71" t="s">
        <v>208</v>
      </c>
      <c r="E219" s="71" t="s">
        <v>95</v>
      </c>
      <c r="F219" s="71" t="s">
        <v>1595</v>
      </c>
      <c r="G219" s="71" t="s">
        <v>1595</v>
      </c>
      <c r="H219" s="71" t="s">
        <v>2892</v>
      </c>
      <c r="I219" s="71" t="s">
        <v>2094</v>
      </c>
      <c r="J219" s="86" t="s">
        <v>2893</v>
      </c>
      <c r="K219" s="71" t="s">
        <v>2040</v>
      </c>
      <c r="L219" s="86" t="s">
        <v>2894</v>
      </c>
      <c r="M219" s="71" t="s">
        <v>1591</v>
      </c>
      <c r="N219" s="76" t="s">
        <v>2042</v>
      </c>
      <c r="O219" s="71" t="s">
        <v>1596</v>
      </c>
      <c r="P219" s="71" t="s">
        <v>2550</v>
      </c>
      <c r="Q219" s="71" t="s">
        <v>2050</v>
      </c>
      <c r="R219" s="71" t="s">
        <v>2051</v>
      </c>
      <c r="S219" s="71" t="s">
        <v>2052</v>
      </c>
      <c r="T219" s="71" t="s">
        <v>2573</v>
      </c>
      <c r="U219" s="67"/>
      <c r="V219" s="71" t="s">
        <v>2895</v>
      </c>
      <c r="W219" s="67"/>
      <c r="X219" s="67"/>
      <c r="Y219" s="71" t="s">
        <v>2058</v>
      </c>
    </row>
    <row r="220" spans="1:25" ht="409.5">
      <c r="A220" s="71" t="s">
        <v>8</v>
      </c>
      <c r="B220" s="71" t="s">
        <v>8</v>
      </c>
      <c r="C220" s="71" t="s">
        <v>559</v>
      </c>
      <c r="D220" s="71" t="s">
        <v>559</v>
      </c>
      <c r="E220" s="71" t="s">
        <v>95</v>
      </c>
      <c r="F220" s="71" t="s">
        <v>1595</v>
      </c>
      <c r="G220" s="71" t="s">
        <v>1595</v>
      </c>
      <c r="H220" s="71" t="s">
        <v>2896</v>
      </c>
      <c r="I220" s="71" t="s">
        <v>2038</v>
      </c>
      <c r="J220" s="86" t="s">
        <v>2897</v>
      </c>
      <c r="K220" s="71" t="s">
        <v>2040</v>
      </c>
      <c r="L220" s="86" t="s">
        <v>2898</v>
      </c>
      <c r="M220" s="71" t="s">
        <v>1591</v>
      </c>
      <c r="N220" s="76" t="s">
        <v>2042</v>
      </c>
      <c r="O220" s="71" t="s">
        <v>1596</v>
      </c>
      <c r="P220" s="71" t="s">
        <v>2125</v>
      </c>
      <c r="Q220" s="71" t="s">
        <v>2050</v>
      </c>
      <c r="R220" s="71" t="s">
        <v>2051</v>
      </c>
      <c r="S220" s="71" t="s">
        <v>2052</v>
      </c>
      <c r="T220" s="71" t="s">
        <v>2053</v>
      </c>
      <c r="U220" s="71" t="s">
        <v>2899</v>
      </c>
      <c r="V220" s="67"/>
      <c r="W220" s="67"/>
      <c r="X220" s="67"/>
      <c r="Y220" s="71" t="s">
        <v>2058</v>
      </c>
    </row>
    <row r="221" spans="1:25" ht="409.5">
      <c r="A221" s="73" t="s">
        <v>11</v>
      </c>
      <c r="B221" s="73" t="s">
        <v>261</v>
      </c>
      <c r="C221" s="73" t="s">
        <v>277</v>
      </c>
      <c r="D221" s="73" t="s">
        <v>277</v>
      </c>
      <c r="E221" s="73" t="s">
        <v>2082</v>
      </c>
      <c r="F221" s="73" t="s">
        <v>2194</v>
      </c>
      <c r="G221" s="73" t="s">
        <v>2194</v>
      </c>
      <c r="H221" s="73" t="s">
        <v>2900</v>
      </c>
      <c r="I221" s="73" t="s">
        <v>2114</v>
      </c>
      <c r="J221" s="83" t="s">
        <v>2901</v>
      </c>
      <c r="K221" s="73" t="s">
        <v>2048</v>
      </c>
      <c r="L221" s="83" t="s">
        <v>2902</v>
      </c>
      <c r="M221" s="73" t="s">
        <v>1596</v>
      </c>
      <c r="N221" s="73" t="s">
        <v>2069</v>
      </c>
      <c r="O221" s="73" t="s">
        <v>1591</v>
      </c>
      <c r="P221" s="73" t="s">
        <v>2042</v>
      </c>
      <c r="Q221" s="73" t="s">
        <v>2050</v>
      </c>
      <c r="R221" s="73" t="s">
        <v>2051</v>
      </c>
      <c r="S221" s="73" t="s">
        <v>2043</v>
      </c>
      <c r="T221" s="73" t="s">
        <v>2044</v>
      </c>
      <c r="U221" s="74"/>
      <c r="V221" s="74"/>
      <c r="W221" s="74"/>
      <c r="X221" s="74"/>
      <c r="Y221" s="73" t="s">
        <v>2098</v>
      </c>
    </row>
    <row r="222" spans="1:25" ht="409.5">
      <c r="A222" s="73" t="s">
        <v>11</v>
      </c>
      <c r="B222" s="73" t="s">
        <v>261</v>
      </c>
      <c r="C222" s="73" t="s">
        <v>281</v>
      </c>
      <c r="D222" s="73" t="s">
        <v>281</v>
      </c>
      <c r="E222" s="73" t="s">
        <v>2082</v>
      </c>
      <c r="F222" s="73" t="s">
        <v>2083</v>
      </c>
      <c r="G222" s="73" t="s">
        <v>2083</v>
      </c>
      <c r="H222" s="73" t="s">
        <v>2903</v>
      </c>
      <c r="I222" s="73" t="s">
        <v>2063</v>
      </c>
      <c r="J222" s="83" t="s">
        <v>2904</v>
      </c>
      <c r="K222" s="73" t="s">
        <v>2255</v>
      </c>
      <c r="L222" s="83" t="s">
        <v>2905</v>
      </c>
      <c r="M222" s="73" t="s">
        <v>2050</v>
      </c>
      <c r="N222" s="73" t="s">
        <v>2051</v>
      </c>
      <c r="O222" s="73" t="s">
        <v>1596</v>
      </c>
      <c r="P222" s="73" t="s">
        <v>2550</v>
      </c>
      <c r="Q222" s="73" t="s">
        <v>1591</v>
      </c>
      <c r="R222" s="73" t="s">
        <v>2042</v>
      </c>
      <c r="S222" s="73" t="s">
        <v>2079</v>
      </c>
      <c r="T222" s="73" t="s">
        <v>2044</v>
      </c>
      <c r="U222" s="73" t="s">
        <v>2906</v>
      </c>
      <c r="V222" s="74"/>
      <c r="W222" s="74"/>
      <c r="X222" s="74"/>
      <c r="Y222" s="73" t="s">
        <v>2098</v>
      </c>
    </row>
    <row r="223" spans="1:25" ht="364.5">
      <c r="A223" s="73" t="s">
        <v>10</v>
      </c>
      <c r="B223" s="73" t="s">
        <v>10</v>
      </c>
      <c r="C223" s="73" t="s">
        <v>501</v>
      </c>
      <c r="D223" s="73" t="s">
        <v>501</v>
      </c>
      <c r="E223" s="73" t="s">
        <v>2082</v>
      </c>
      <c r="F223" s="73" t="s">
        <v>2083</v>
      </c>
      <c r="G223" s="73" t="s">
        <v>2083</v>
      </c>
      <c r="H223" s="73" t="s">
        <v>2136</v>
      </c>
      <c r="I223" s="73" t="s">
        <v>2038</v>
      </c>
      <c r="J223" s="83" t="s">
        <v>2907</v>
      </c>
      <c r="K223" s="73" t="s">
        <v>2048</v>
      </c>
      <c r="L223" s="83" t="s">
        <v>2908</v>
      </c>
      <c r="M223" s="73" t="s">
        <v>1596</v>
      </c>
      <c r="N223" s="73" t="s">
        <v>2345</v>
      </c>
      <c r="O223" s="73" t="s">
        <v>1591</v>
      </c>
      <c r="P223" s="73" t="s">
        <v>2042</v>
      </c>
      <c r="Q223" s="73" t="s">
        <v>2050</v>
      </c>
      <c r="R223" s="73" t="s">
        <v>2051</v>
      </c>
      <c r="S223" s="73" t="s">
        <v>2043</v>
      </c>
      <c r="T223" s="73" t="s">
        <v>2044</v>
      </c>
      <c r="U223" s="74"/>
      <c r="V223" s="74"/>
      <c r="W223" s="74"/>
      <c r="X223" s="74"/>
      <c r="Y223" s="73" t="s">
        <v>2058</v>
      </c>
    </row>
    <row r="224" spans="1:25" ht="297">
      <c r="A224" s="73" t="s">
        <v>8</v>
      </c>
      <c r="B224" s="73" t="s">
        <v>587</v>
      </c>
      <c r="C224" s="73" t="s">
        <v>606</v>
      </c>
      <c r="D224" s="73" t="s">
        <v>606</v>
      </c>
      <c r="E224" s="73" t="s">
        <v>2082</v>
      </c>
      <c r="F224" s="73" t="s">
        <v>2083</v>
      </c>
      <c r="G224" s="73" t="s">
        <v>2083</v>
      </c>
      <c r="H224" s="73" t="s">
        <v>2909</v>
      </c>
      <c r="I224" s="73" t="s">
        <v>2038</v>
      </c>
      <c r="J224" s="83" t="s">
        <v>2910</v>
      </c>
      <c r="K224" s="73" t="s">
        <v>2048</v>
      </c>
      <c r="L224" s="83" t="s">
        <v>2911</v>
      </c>
      <c r="M224" s="73" t="s">
        <v>1596</v>
      </c>
      <c r="N224" s="73" t="s">
        <v>2345</v>
      </c>
      <c r="O224" s="73" t="s">
        <v>1591</v>
      </c>
      <c r="P224" s="73" t="s">
        <v>2042</v>
      </c>
      <c r="Q224" s="73" t="s">
        <v>2050</v>
      </c>
      <c r="R224" s="73" t="s">
        <v>2051</v>
      </c>
      <c r="S224" s="73" t="s">
        <v>2043</v>
      </c>
      <c r="T224" s="73" t="s">
        <v>2044</v>
      </c>
      <c r="U224" s="74"/>
      <c r="V224" s="74"/>
      <c r="W224" s="74"/>
      <c r="X224" s="74"/>
      <c r="Y224" s="73" t="s">
        <v>2098</v>
      </c>
    </row>
    <row r="225" spans="1:25" ht="409.5">
      <c r="A225" s="73" t="s">
        <v>15</v>
      </c>
      <c r="B225" s="73" t="s">
        <v>389</v>
      </c>
      <c r="C225" s="73" t="s">
        <v>404</v>
      </c>
      <c r="D225" s="73" t="s">
        <v>404</v>
      </c>
      <c r="E225" s="73" t="s">
        <v>100</v>
      </c>
      <c r="F225" s="73" t="s">
        <v>1590</v>
      </c>
      <c r="G225" s="73" t="s">
        <v>1590</v>
      </c>
      <c r="H225" s="73" t="s">
        <v>2912</v>
      </c>
      <c r="I225" s="73" t="s">
        <v>2094</v>
      </c>
      <c r="J225" s="83" t="s">
        <v>2913</v>
      </c>
      <c r="K225" s="73" t="s">
        <v>2040</v>
      </c>
      <c r="L225" s="83" t="s">
        <v>2914</v>
      </c>
      <c r="M225" s="73" t="s">
        <v>1591</v>
      </c>
      <c r="N225" s="73" t="s">
        <v>2042</v>
      </c>
      <c r="O225" s="73" t="s">
        <v>1596</v>
      </c>
      <c r="P225" s="73" t="s">
        <v>2345</v>
      </c>
      <c r="Q225" s="73" t="s">
        <v>2050</v>
      </c>
      <c r="R225" s="73" t="s">
        <v>2051</v>
      </c>
      <c r="S225" s="73" t="s">
        <v>2052</v>
      </c>
      <c r="T225" s="73" t="s">
        <v>2053</v>
      </c>
      <c r="U225" s="74"/>
      <c r="V225" s="74"/>
      <c r="W225" s="74"/>
      <c r="X225" s="74"/>
      <c r="Y225" s="73" t="s">
        <v>2098</v>
      </c>
    </row>
    <row r="226" spans="1:25" ht="409.5">
      <c r="A226" s="73" t="s">
        <v>8</v>
      </c>
      <c r="B226" s="73" t="s">
        <v>8</v>
      </c>
      <c r="C226" s="73" t="s">
        <v>567</v>
      </c>
      <c r="D226" s="73" t="s">
        <v>567</v>
      </c>
      <c r="E226" s="73" t="s">
        <v>90</v>
      </c>
      <c r="F226" s="73" t="s">
        <v>2194</v>
      </c>
      <c r="G226" s="73" t="s">
        <v>2059</v>
      </c>
      <c r="H226" s="73" t="s">
        <v>2915</v>
      </c>
      <c r="I226" s="73" t="s">
        <v>2063</v>
      </c>
      <c r="J226" s="83" t="s">
        <v>2916</v>
      </c>
      <c r="K226" s="73" t="s">
        <v>2048</v>
      </c>
      <c r="L226" s="83" t="s">
        <v>2917</v>
      </c>
      <c r="M226" s="73" t="s">
        <v>1596</v>
      </c>
      <c r="N226" s="73" t="s">
        <v>2125</v>
      </c>
      <c r="O226" s="73" t="s">
        <v>1591</v>
      </c>
      <c r="P226" s="73" t="s">
        <v>2042</v>
      </c>
      <c r="Q226" s="73" t="s">
        <v>2050</v>
      </c>
      <c r="R226" s="73" t="s">
        <v>2051</v>
      </c>
      <c r="S226" s="73" t="s">
        <v>2043</v>
      </c>
      <c r="T226" s="73" t="s">
        <v>2044</v>
      </c>
      <c r="U226" s="73" t="s">
        <v>2918</v>
      </c>
      <c r="V226" s="74"/>
      <c r="W226" s="74"/>
      <c r="X226" s="74"/>
      <c r="Y226" s="73" t="s">
        <v>2098</v>
      </c>
    </row>
    <row r="227" spans="1:25" ht="351">
      <c r="A227" s="73" t="s">
        <v>19</v>
      </c>
      <c r="B227" s="73" t="s">
        <v>88</v>
      </c>
      <c r="C227" s="73" t="s">
        <v>111</v>
      </c>
      <c r="D227" s="73" t="s">
        <v>111</v>
      </c>
      <c r="E227" s="73" t="s">
        <v>90</v>
      </c>
      <c r="F227" s="73" t="s">
        <v>2194</v>
      </c>
      <c r="G227" s="73" t="s">
        <v>2194</v>
      </c>
      <c r="H227" s="73" t="s">
        <v>2919</v>
      </c>
      <c r="I227" s="73" t="s">
        <v>2094</v>
      </c>
      <c r="J227" s="83" t="s">
        <v>2920</v>
      </c>
      <c r="K227" s="73" t="s">
        <v>2048</v>
      </c>
      <c r="L227" s="83" t="s">
        <v>2921</v>
      </c>
      <c r="M227" s="73" t="s">
        <v>1596</v>
      </c>
      <c r="N227" s="73" t="s">
        <v>2125</v>
      </c>
      <c r="O227" s="73" t="s">
        <v>1591</v>
      </c>
      <c r="P227" s="73" t="s">
        <v>2042</v>
      </c>
      <c r="Q227" s="73" t="s">
        <v>2050</v>
      </c>
      <c r="R227" s="73" t="s">
        <v>2051</v>
      </c>
      <c r="S227" s="73" t="s">
        <v>2043</v>
      </c>
      <c r="T227" s="73" t="s">
        <v>2044</v>
      </c>
      <c r="U227" s="73" t="s">
        <v>2922</v>
      </c>
      <c r="V227" s="74"/>
      <c r="W227" s="74"/>
      <c r="X227" s="74"/>
      <c r="Y227" s="73" t="s">
        <v>2098</v>
      </c>
    </row>
    <row r="228" spans="1:25" ht="378">
      <c r="A228" s="73" t="s">
        <v>19</v>
      </c>
      <c r="B228" s="73" t="s">
        <v>220</v>
      </c>
      <c r="C228" s="73" t="s">
        <v>245</v>
      </c>
      <c r="D228" s="73" t="s">
        <v>245</v>
      </c>
      <c r="E228" s="73" t="s">
        <v>95</v>
      </c>
      <c r="F228" s="73" t="s">
        <v>1590</v>
      </c>
      <c r="G228" s="73" t="s">
        <v>2194</v>
      </c>
      <c r="H228" s="73" t="s">
        <v>2923</v>
      </c>
      <c r="I228" s="73" t="s">
        <v>2094</v>
      </c>
      <c r="J228" s="83" t="s">
        <v>2924</v>
      </c>
      <c r="K228" s="73" t="s">
        <v>2040</v>
      </c>
      <c r="L228" s="83" t="s">
        <v>2925</v>
      </c>
      <c r="M228" s="73" t="s">
        <v>1591</v>
      </c>
      <c r="N228" s="73" t="s">
        <v>2042</v>
      </c>
      <c r="O228" s="73" t="s">
        <v>1596</v>
      </c>
      <c r="P228" s="73" t="s">
        <v>2125</v>
      </c>
      <c r="Q228" s="73" t="s">
        <v>2050</v>
      </c>
      <c r="R228" s="73" t="s">
        <v>2051</v>
      </c>
      <c r="S228" s="73" t="s">
        <v>2052</v>
      </c>
      <c r="T228" s="73" t="s">
        <v>2053</v>
      </c>
      <c r="U228" s="73" t="s">
        <v>2926</v>
      </c>
      <c r="V228" s="74"/>
      <c r="W228" s="74"/>
      <c r="X228" s="74"/>
      <c r="Y228" s="73" t="s">
        <v>2098</v>
      </c>
    </row>
    <row r="229" spans="1:25" ht="409.5">
      <c r="A229" s="73" t="s">
        <v>11</v>
      </c>
      <c r="B229" s="73" t="s">
        <v>297</v>
      </c>
      <c r="C229" s="73" t="s">
        <v>305</v>
      </c>
      <c r="D229" s="73" t="s">
        <v>305</v>
      </c>
      <c r="E229" s="73" t="s">
        <v>2082</v>
      </c>
      <c r="F229" s="73" t="s">
        <v>2083</v>
      </c>
      <c r="G229" s="73" t="s">
        <v>2083</v>
      </c>
      <c r="H229" s="73" t="s">
        <v>2927</v>
      </c>
      <c r="I229" s="73" t="s">
        <v>2063</v>
      </c>
      <c r="J229" s="83" t="s">
        <v>2928</v>
      </c>
      <c r="K229" s="73" t="s">
        <v>2188</v>
      </c>
      <c r="L229" s="83" t="s">
        <v>2929</v>
      </c>
      <c r="M229" s="73" t="s">
        <v>2050</v>
      </c>
      <c r="N229" s="73" t="s">
        <v>2051</v>
      </c>
      <c r="O229" s="73" t="s">
        <v>1591</v>
      </c>
      <c r="P229" s="73" t="s">
        <v>2042</v>
      </c>
      <c r="Q229" s="73" t="s">
        <v>1596</v>
      </c>
      <c r="R229" s="73" t="s">
        <v>2930</v>
      </c>
      <c r="S229" s="73" t="s">
        <v>2043</v>
      </c>
      <c r="T229" s="73" t="s">
        <v>2044</v>
      </c>
      <c r="U229" s="74"/>
      <c r="V229" s="74"/>
      <c r="W229" s="74"/>
      <c r="X229" s="74"/>
      <c r="Y229" s="73" t="s">
        <v>2098</v>
      </c>
    </row>
    <row r="230" spans="1:25" ht="409.5">
      <c r="A230" s="73" t="s">
        <v>11</v>
      </c>
      <c r="B230" s="73" t="s">
        <v>297</v>
      </c>
      <c r="C230" s="73" t="s">
        <v>297</v>
      </c>
      <c r="D230" s="73" t="s">
        <v>297</v>
      </c>
      <c r="E230" s="73" t="s">
        <v>2082</v>
      </c>
      <c r="F230" s="73" t="s">
        <v>2083</v>
      </c>
      <c r="G230" s="73" t="s">
        <v>2194</v>
      </c>
      <c r="H230" s="73" t="s">
        <v>2931</v>
      </c>
      <c r="I230" s="73" t="s">
        <v>2063</v>
      </c>
      <c r="J230" s="83" t="s">
        <v>2932</v>
      </c>
      <c r="K230" s="73" t="s">
        <v>2123</v>
      </c>
      <c r="L230" s="83" t="s">
        <v>2933</v>
      </c>
      <c r="M230" s="73" t="s">
        <v>1596</v>
      </c>
      <c r="N230" s="73" t="s">
        <v>2930</v>
      </c>
      <c r="O230" s="73" t="s">
        <v>2050</v>
      </c>
      <c r="P230" s="73" t="s">
        <v>2345</v>
      </c>
      <c r="Q230" s="73" t="s">
        <v>1591</v>
      </c>
      <c r="R230" s="73" t="s">
        <v>2042</v>
      </c>
      <c r="S230" s="73" t="s">
        <v>2052</v>
      </c>
      <c r="T230" s="73" t="s">
        <v>2053</v>
      </c>
      <c r="U230" s="73" t="s">
        <v>2934</v>
      </c>
      <c r="V230" s="74"/>
      <c r="W230" s="74"/>
      <c r="X230" s="74"/>
      <c r="Y230" s="73" t="s">
        <v>2098</v>
      </c>
    </row>
    <row r="231" spans="1:25" ht="283.5">
      <c r="A231" s="73" t="s">
        <v>8</v>
      </c>
      <c r="B231" s="73" t="s">
        <v>8</v>
      </c>
      <c r="C231" s="73" t="s">
        <v>581</v>
      </c>
      <c r="D231" s="73" t="s">
        <v>581</v>
      </c>
      <c r="E231" s="73" t="s">
        <v>2082</v>
      </c>
      <c r="F231" s="73" t="s">
        <v>2083</v>
      </c>
      <c r="G231" s="73" t="s">
        <v>2083</v>
      </c>
      <c r="H231" s="73" t="s">
        <v>2935</v>
      </c>
      <c r="I231" s="73" t="s">
        <v>2114</v>
      </c>
      <c r="J231" s="83" t="s">
        <v>2936</v>
      </c>
      <c r="K231" s="73" t="s">
        <v>2048</v>
      </c>
      <c r="L231" s="83" t="s">
        <v>2937</v>
      </c>
      <c r="M231" s="73" t="s">
        <v>1596</v>
      </c>
      <c r="N231" s="73" t="s">
        <v>2345</v>
      </c>
      <c r="O231" s="73" t="s">
        <v>1591</v>
      </c>
      <c r="P231" s="73" t="s">
        <v>2042</v>
      </c>
      <c r="Q231" s="73" t="s">
        <v>2050</v>
      </c>
      <c r="R231" s="73" t="s">
        <v>2051</v>
      </c>
      <c r="S231" s="73" t="s">
        <v>2043</v>
      </c>
      <c r="T231" s="73" t="s">
        <v>2044</v>
      </c>
      <c r="U231" s="73" t="s">
        <v>2938</v>
      </c>
      <c r="V231" s="74"/>
      <c r="W231" s="74"/>
      <c r="X231" s="74"/>
      <c r="Y231" s="73" t="s">
        <v>2058</v>
      </c>
    </row>
    <row r="232" spans="1:25" ht="378">
      <c r="A232" s="73" t="s">
        <v>10</v>
      </c>
      <c r="B232" s="73" t="s">
        <v>10</v>
      </c>
      <c r="C232" s="73" t="s">
        <v>528</v>
      </c>
      <c r="D232" s="73" t="s">
        <v>528</v>
      </c>
      <c r="E232" s="73" t="s">
        <v>2082</v>
      </c>
      <c r="F232" s="73" t="s">
        <v>1590</v>
      </c>
      <c r="G232" s="73" t="s">
        <v>2059</v>
      </c>
      <c r="H232" s="73" t="s">
        <v>2939</v>
      </c>
      <c r="I232" s="73" t="s">
        <v>2114</v>
      </c>
      <c r="J232" s="83" t="s">
        <v>2940</v>
      </c>
      <c r="K232" s="73" t="s">
        <v>2040</v>
      </c>
      <c r="L232" s="83" t="s">
        <v>2941</v>
      </c>
      <c r="M232" s="73" t="s">
        <v>1591</v>
      </c>
      <c r="N232" s="73" t="s">
        <v>2042</v>
      </c>
      <c r="O232" s="73" t="s">
        <v>1596</v>
      </c>
      <c r="P232" s="73" t="s">
        <v>2345</v>
      </c>
      <c r="Q232" s="73" t="s">
        <v>2050</v>
      </c>
      <c r="R232" s="73" t="s">
        <v>2051</v>
      </c>
      <c r="S232" s="73" t="s">
        <v>2052</v>
      </c>
      <c r="T232" s="73" t="s">
        <v>2053</v>
      </c>
      <c r="U232" s="74"/>
      <c r="V232" s="74"/>
      <c r="W232" s="74"/>
      <c r="X232" s="74"/>
      <c r="Y232" s="73" t="s">
        <v>2098</v>
      </c>
    </row>
    <row r="233" spans="1:25" ht="409.5">
      <c r="A233" s="73" t="s">
        <v>15</v>
      </c>
      <c r="B233" s="73" t="s">
        <v>15</v>
      </c>
      <c r="C233" s="73" t="s">
        <v>350</v>
      </c>
      <c r="D233" s="73" t="s">
        <v>350</v>
      </c>
      <c r="E233" s="73" t="s">
        <v>2082</v>
      </c>
      <c r="F233" s="73" t="s">
        <v>2083</v>
      </c>
      <c r="G233" s="73" t="s">
        <v>2194</v>
      </c>
      <c r="H233" s="73" t="s">
        <v>2942</v>
      </c>
      <c r="I233" s="73" t="s">
        <v>2063</v>
      </c>
      <c r="J233" s="83" t="s">
        <v>2943</v>
      </c>
      <c r="K233" s="73" t="s">
        <v>2255</v>
      </c>
      <c r="L233" s="83" t="s">
        <v>2944</v>
      </c>
      <c r="M233" s="73" t="s">
        <v>2050</v>
      </c>
      <c r="N233" s="73" t="s">
        <v>2550</v>
      </c>
      <c r="O233" s="73" t="s">
        <v>1596</v>
      </c>
      <c r="P233" s="73" t="s">
        <v>2169</v>
      </c>
      <c r="Q233" s="73" t="s">
        <v>1591</v>
      </c>
      <c r="R233" s="73" t="s">
        <v>2042</v>
      </c>
      <c r="S233" s="73" t="s">
        <v>2043</v>
      </c>
      <c r="T233" s="73" t="s">
        <v>2044</v>
      </c>
      <c r="U233" s="73" t="s">
        <v>2945</v>
      </c>
      <c r="V233" s="74"/>
      <c r="W233" s="74"/>
      <c r="X233" s="74"/>
      <c r="Y233" s="73" t="s">
        <v>2098</v>
      </c>
    </row>
    <row r="234" spans="1:25" ht="409.5">
      <c r="A234" s="71" t="s">
        <v>15</v>
      </c>
      <c r="B234" s="71" t="s">
        <v>15</v>
      </c>
      <c r="C234" s="71" t="s">
        <v>371</v>
      </c>
      <c r="D234" s="71" t="s">
        <v>371</v>
      </c>
      <c r="E234" s="71" t="s">
        <v>95</v>
      </c>
      <c r="F234" s="71" t="s">
        <v>1590</v>
      </c>
      <c r="G234" s="71" t="s">
        <v>1590</v>
      </c>
      <c r="H234" s="71" t="s">
        <v>2946</v>
      </c>
      <c r="I234" s="71" t="s">
        <v>2094</v>
      </c>
      <c r="J234" s="86" t="s">
        <v>2947</v>
      </c>
      <c r="K234" s="71" t="s">
        <v>2040</v>
      </c>
      <c r="L234" s="86" t="s">
        <v>2948</v>
      </c>
      <c r="M234" s="71" t="s">
        <v>1591</v>
      </c>
      <c r="N234" s="76" t="s">
        <v>2042</v>
      </c>
      <c r="O234" s="71" t="s">
        <v>1596</v>
      </c>
      <c r="P234" s="71" t="s">
        <v>2125</v>
      </c>
      <c r="Q234" s="71" t="s">
        <v>1596</v>
      </c>
      <c r="R234" s="71" t="s">
        <v>2125</v>
      </c>
      <c r="S234" s="71" t="s">
        <v>2052</v>
      </c>
      <c r="T234" s="71" t="s">
        <v>2053</v>
      </c>
      <c r="U234" s="71" t="s">
        <v>2949</v>
      </c>
      <c r="V234" s="67"/>
      <c r="W234" s="67"/>
      <c r="X234" s="67"/>
      <c r="Y234" s="71" t="s">
        <v>2058</v>
      </c>
    </row>
    <row r="235" spans="1:25" ht="405">
      <c r="A235" s="71" t="s">
        <v>15</v>
      </c>
      <c r="B235" s="71" t="s">
        <v>15</v>
      </c>
      <c r="C235" s="71" t="s">
        <v>369</v>
      </c>
      <c r="D235" s="71" t="s">
        <v>369</v>
      </c>
      <c r="E235" s="71" t="s">
        <v>95</v>
      </c>
      <c r="F235" s="71" t="s">
        <v>1590</v>
      </c>
      <c r="G235" s="71" t="s">
        <v>1590</v>
      </c>
      <c r="H235" s="71" t="s">
        <v>2950</v>
      </c>
      <c r="I235" s="71" t="s">
        <v>2094</v>
      </c>
      <c r="J235" s="86" t="s">
        <v>2951</v>
      </c>
      <c r="K235" s="71" t="s">
        <v>2040</v>
      </c>
      <c r="L235" s="86" t="s">
        <v>2952</v>
      </c>
      <c r="M235" s="71" t="s">
        <v>1591</v>
      </c>
      <c r="N235" s="76" t="s">
        <v>2042</v>
      </c>
      <c r="O235" s="71" t="s">
        <v>1596</v>
      </c>
      <c r="P235" s="71" t="s">
        <v>2345</v>
      </c>
      <c r="Q235" s="71" t="s">
        <v>2050</v>
      </c>
      <c r="R235" s="71" t="s">
        <v>2051</v>
      </c>
      <c r="S235" s="71" t="s">
        <v>2052</v>
      </c>
      <c r="T235" s="71" t="s">
        <v>2053</v>
      </c>
      <c r="U235" s="71" t="s">
        <v>2953</v>
      </c>
      <c r="V235" s="67"/>
      <c r="W235" s="67"/>
      <c r="X235" s="67"/>
      <c r="Y235" s="71" t="s">
        <v>2058</v>
      </c>
    </row>
    <row r="236" spans="1:25" ht="409.5">
      <c r="A236" s="73" t="s">
        <v>7</v>
      </c>
      <c r="B236" s="73" t="s">
        <v>706</v>
      </c>
      <c r="C236" s="73" t="s">
        <v>737</v>
      </c>
      <c r="D236" s="73" t="s">
        <v>737</v>
      </c>
      <c r="E236" s="73" t="s">
        <v>90</v>
      </c>
      <c r="F236" s="73" t="s">
        <v>2194</v>
      </c>
      <c r="G236" s="73" t="s">
        <v>1595</v>
      </c>
      <c r="H236" s="73" t="s">
        <v>2954</v>
      </c>
      <c r="I236" s="73" t="s">
        <v>2094</v>
      </c>
      <c r="J236" s="83" t="s">
        <v>2955</v>
      </c>
      <c r="K236" s="73" t="s">
        <v>2048</v>
      </c>
      <c r="L236" s="83" t="s">
        <v>2956</v>
      </c>
      <c r="M236" s="73" t="s">
        <v>1596</v>
      </c>
      <c r="N236" s="73" t="s">
        <v>2345</v>
      </c>
      <c r="O236" s="73" t="s">
        <v>1591</v>
      </c>
      <c r="P236" s="73" t="s">
        <v>2042</v>
      </c>
      <c r="Q236" s="73" t="s">
        <v>2050</v>
      </c>
      <c r="R236" s="73" t="s">
        <v>2051</v>
      </c>
      <c r="S236" s="73" t="s">
        <v>2043</v>
      </c>
      <c r="T236" s="73" t="s">
        <v>2044</v>
      </c>
      <c r="U236" s="73" t="s">
        <v>2957</v>
      </c>
      <c r="V236" s="74"/>
      <c r="W236" s="74"/>
      <c r="X236" s="74"/>
      <c r="Y236" s="73" t="s">
        <v>2098</v>
      </c>
    </row>
    <row r="237" spans="1:25" ht="409.5">
      <c r="A237" s="73" t="s">
        <v>10</v>
      </c>
      <c r="B237" s="73" t="s">
        <v>10</v>
      </c>
      <c r="C237" s="73" t="s">
        <v>526</v>
      </c>
      <c r="D237" s="73" t="s">
        <v>526</v>
      </c>
      <c r="E237" s="73" t="s">
        <v>90</v>
      </c>
      <c r="F237" s="73" t="s">
        <v>1595</v>
      </c>
      <c r="G237" s="73" t="s">
        <v>2194</v>
      </c>
      <c r="H237" s="73" t="s">
        <v>2958</v>
      </c>
      <c r="I237" s="73" t="s">
        <v>2094</v>
      </c>
      <c r="J237" s="83" t="s">
        <v>2959</v>
      </c>
      <c r="K237" s="73" t="s">
        <v>2040</v>
      </c>
      <c r="L237" s="83" t="s">
        <v>2960</v>
      </c>
      <c r="M237" s="73" t="s">
        <v>1591</v>
      </c>
      <c r="N237" s="73" t="s">
        <v>2042</v>
      </c>
      <c r="O237" s="73" t="s">
        <v>1596</v>
      </c>
      <c r="P237" s="73" t="s">
        <v>2345</v>
      </c>
      <c r="Q237" s="73" t="s">
        <v>2050</v>
      </c>
      <c r="R237" s="73" t="s">
        <v>2051</v>
      </c>
      <c r="S237" s="73" t="s">
        <v>2052</v>
      </c>
      <c r="T237" s="73" t="s">
        <v>2053</v>
      </c>
      <c r="U237" s="74"/>
      <c r="V237" s="74"/>
      <c r="W237" s="74"/>
      <c r="X237" s="74"/>
      <c r="Y237" s="73" t="s">
        <v>2098</v>
      </c>
    </row>
    <row r="238" spans="1:25" ht="391.5">
      <c r="A238" s="73" t="s">
        <v>10</v>
      </c>
      <c r="B238" s="73" t="s">
        <v>166</v>
      </c>
      <c r="C238" s="73" t="s">
        <v>455</v>
      </c>
      <c r="D238" s="73" t="s">
        <v>455</v>
      </c>
      <c r="E238" s="73" t="s">
        <v>2082</v>
      </c>
      <c r="F238" s="73" t="s">
        <v>2194</v>
      </c>
      <c r="G238" s="73" t="s">
        <v>2194</v>
      </c>
      <c r="H238" s="73" t="s">
        <v>2179</v>
      </c>
      <c r="I238" s="73" t="s">
        <v>2094</v>
      </c>
      <c r="J238" s="83" t="s">
        <v>2961</v>
      </c>
      <c r="K238" s="73" t="s">
        <v>2048</v>
      </c>
      <c r="L238" s="83" t="s">
        <v>2962</v>
      </c>
      <c r="M238" s="73" t="s">
        <v>1596</v>
      </c>
      <c r="N238" s="73" t="s">
        <v>2345</v>
      </c>
      <c r="O238" s="73" t="s">
        <v>1591</v>
      </c>
      <c r="P238" s="73" t="s">
        <v>2042</v>
      </c>
      <c r="Q238" s="73" t="s">
        <v>2050</v>
      </c>
      <c r="R238" s="73" t="s">
        <v>2051</v>
      </c>
      <c r="S238" s="73" t="s">
        <v>2043</v>
      </c>
      <c r="T238" s="73" t="s">
        <v>2044</v>
      </c>
      <c r="U238" s="74"/>
      <c r="V238" s="74"/>
      <c r="W238" s="74"/>
      <c r="X238" s="74"/>
      <c r="Y238" s="73" t="s">
        <v>2098</v>
      </c>
    </row>
    <row r="239" spans="1:25" ht="378">
      <c r="A239" s="73" t="s">
        <v>8</v>
      </c>
      <c r="B239" s="73" t="s">
        <v>8</v>
      </c>
      <c r="C239" s="73" t="s">
        <v>9</v>
      </c>
      <c r="D239" s="73" t="s">
        <v>9</v>
      </c>
      <c r="E239" s="73" t="s">
        <v>90</v>
      </c>
      <c r="F239" s="73" t="s">
        <v>2083</v>
      </c>
      <c r="G239" s="73" t="s">
        <v>2059</v>
      </c>
      <c r="H239" s="73" t="s">
        <v>2963</v>
      </c>
      <c r="I239" s="73" t="s">
        <v>2094</v>
      </c>
      <c r="J239" s="83" t="s">
        <v>2964</v>
      </c>
      <c r="K239" s="73" t="s">
        <v>2048</v>
      </c>
      <c r="L239" s="83" t="s">
        <v>2965</v>
      </c>
      <c r="M239" s="73" t="s">
        <v>1596</v>
      </c>
      <c r="N239" s="73" t="s">
        <v>2345</v>
      </c>
      <c r="O239" s="73" t="s">
        <v>1591</v>
      </c>
      <c r="P239" s="73" t="s">
        <v>2042</v>
      </c>
      <c r="Q239" s="73" t="s">
        <v>2050</v>
      </c>
      <c r="R239" s="73" t="s">
        <v>2051</v>
      </c>
      <c r="S239" s="73" t="s">
        <v>2043</v>
      </c>
      <c r="T239" s="73" t="s">
        <v>2044</v>
      </c>
      <c r="U239" s="73" t="s">
        <v>2966</v>
      </c>
      <c r="V239" s="74"/>
      <c r="W239" s="74"/>
      <c r="X239" s="74"/>
      <c r="Y239" s="73" t="s">
        <v>2098</v>
      </c>
    </row>
    <row r="240" spans="1:25" ht="409.5">
      <c r="A240" s="73" t="s">
        <v>15</v>
      </c>
      <c r="B240" s="73" t="s">
        <v>15</v>
      </c>
      <c r="C240" s="73" t="s">
        <v>360</v>
      </c>
      <c r="D240" s="73" t="s">
        <v>360</v>
      </c>
      <c r="E240" s="73" t="s">
        <v>90</v>
      </c>
      <c r="F240" s="73" t="s">
        <v>1590</v>
      </c>
      <c r="G240" s="73" t="s">
        <v>2059</v>
      </c>
      <c r="H240" s="73" t="s">
        <v>2967</v>
      </c>
      <c r="I240" s="73" t="s">
        <v>2038</v>
      </c>
      <c r="J240" s="83" t="s">
        <v>2968</v>
      </c>
      <c r="K240" s="73" t="s">
        <v>2040</v>
      </c>
      <c r="L240" s="83" t="s">
        <v>2969</v>
      </c>
      <c r="M240" s="73" t="s">
        <v>1591</v>
      </c>
      <c r="N240" s="73" t="s">
        <v>2042</v>
      </c>
      <c r="O240" s="73" t="s">
        <v>1596</v>
      </c>
      <c r="P240" s="73" t="s">
        <v>2345</v>
      </c>
      <c r="Q240" s="73" t="s">
        <v>2050</v>
      </c>
      <c r="R240" s="73" t="s">
        <v>2051</v>
      </c>
      <c r="S240" s="73" t="s">
        <v>2079</v>
      </c>
      <c r="T240" s="73" t="s">
        <v>2573</v>
      </c>
      <c r="U240" s="73" t="s">
        <v>2970</v>
      </c>
      <c r="V240" s="74"/>
      <c r="W240" s="74"/>
      <c r="X240" s="74"/>
      <c r="Y240" s="73" t="s">
        <v>2098</v>
      </c>
    </row>
    <row r="241" spans="1:25" ht="409.5">
      <c r="A241" s="73" t="s">
        <v>11</v>
      </c>
      <c r="B241" s="73" t="s">
        <v>261</v>
      </c>
      <c r="C241" s="73" t="s">
        <v>286</v>
      </c>
      <c r="D241" s="73" t="s">
        <v>286</v>
      </c>
      <c r="E241" s="73" t="s">
        <v>90</v>
      </c>
      <c r="F241" s="73" t="s">
        <v>1595</v>
      </c>
      <c r="G241" s="73" t="s">
        <v>2059</v>
      </c>
      <c r="H241" s="73" t="s">
        <v>2971</v>
      </c>
      <c r="I241" s="73" t="s">
        <v>2063</v>
      </c>
      <c r="J241" s="83" t="s">
        <v>2972</v>
      </c>
      <c r="K241" s="73" t="s">
        <v>2087</v>
      </c>
      <c r="L241" s="83" t="s">
        <v>2973</v>
      </c>
      <c r="M241" s="73" t="s">
        <v>1591</v>
      </c>
      <c r="N241" s="73" t="s">
        <v>2042</v>
      </c>
      <c r="O241" s="73" t="s">
        <v>2050</v>
      </c>
      <c r="P241" s="73" t="s">
        <v>2051</v>
      </c>
      <c r="Q241" s="73" t="s">
        <v>1596</v>
      </c>
      <c r="R241" s="73" t="s">
        <v>2169</v>
      </c>
      <c r="S241" s="73" t="s">
        <v>2052</v>
      </c>
      <c r="T241" s="73" t="s">
        <v>2053</v>
      </c>
      <c r="U241" s="73" t="s">
        <v>2974</v>
      </c>
      <c r="V241" s="74"/>
      <c r="W241" s="74"/>
      <c r="X241" s="74"/>
      <c r="Y241" s="73" t="s">
        <v>2098</v>
      </c>
    </row>
    <row r="242" spans="1:25" ht="378">
      <c r="A242" s="73" t="s">
        <v>8</v>
      </c>
      <c r="B242" s="73" t="s">
        <v>587</v>
      </c>
      <c r="C242" s="73" t="s">
        <v>588</v>
      </c>
      <c r="D242" s="73" t="s">
        <v>588</v>
      </c>
      <c r="E242" s="73" t="s">
        <v>90</v>
      </c>
      <c r="F242" s="73" t="s">
        <v>2083</v>
      </c>
      <c r="G242" s="73" t="s">
        <v>2059</v>
      </c>
      <c r="H242" s="73" t="s">
        <v>2975</v>
      </c>
      <c r="I242" s="73" t="s">
        <v>2038</v>
      </c>
      <c r="J242" s="83" t="s">
        <v>2976</v>
      </c>
      <c r="K242" s="73" t="s">
        <v>2048</v>
      </c>
      <c r="L242" s="83" t="s">
        <v>2977</v>
      </c>
      <c r="M242" s="73" t="s">
        <v>1596</v>
      </c>
      <c r="N242" s="73" t="s">
        <v>2169</v>
      </c>
      <c r="O242" s="73" t="s">
        <v>1591</v>
      </c>
      <c r="P242" s="73" t="s">
        <v>2042</v>
      </c>
      <c r="Q242" s="73" t="s">
        <v>2050</v>
      </c>
      <c r="R242" s="73" t="s">
        <v>2051</v>
      </c>
      <c r="S242" s="73" t="s">
        <v>2043</v>
      </c>
      <c r="T242" s="73" t="s">
        <v>2044</v>
      </c>
      <c r="U242" s="74"/>
      <c r="V242" s="74"/>
      <c r="W242" s="74"/>
      <c r="X242" s="74"/>
      <c r="Y242" s="73" t="s">
        <v>2098</v>
      </c>
    </row>
    <row r="243" spans="1:25" ht="405">
      <c r="A243" s="73" t="s">
        <v>7</v>
      </c>
      <c r="B243" s="73" t="s">
        <v>706</v>
      </c>
      <c r="C243" s="73" t="s">
        <v>729</v>
      </c>
      <c r="D243" s="73" t="s">
        <v>729</v>
      </c>
      <c r="E243" s="73" t="s">
        <v>100</v>
      </c>
      <c r="F243" s="73" t="s">
        <v>1590</v>
      </c>
      <c r="G243" s="73" t="s">
        <v>1590</v>
      </c>
      <c r="H243" s="73" t="s">
        <v>2978</v>
      </c>
      <c r="I243" s="73" t="s">
        <v>2114</v>
      </c>
      <c r="J243" s="83" t="s">
        <v>2979</v>
      </c>
      <c r="K243" s="73" t="s">
        <v>2040</v>
      </c>
      <c r="L243" s="83" t="s">
        <v>2980</v>
      </c>
      <c r="M243" s="73" t="s">
        <v>1591</v>
      </c>
      <c r="N243" s="73" t="s">
        <v>2042</v>
      </c>
      <c r="O243" s="73" t="s">
        <v>1596</v>
      </c>
      <c r="P243" s="73" t="s">
        <v>2169</v>
      </c>
      <c r="Q243" s="73" t="s">
        <v>2050</v>
      </c>
      <c r="R243" s="73" t="s">
        <v>2051</v>
      </c>
      <c r="S243" s="73" t="s">
        <v>2079</v>
      </c>
      <c r="T243" s="73" t="s">
        <v>2053</v>
      </c>
      <c r="U243" s="74"/>
      <c r="V243" s="74"/>
      <c r="W243" s="74"/>
      <c r="X243" s="74"/>
      <c r="Y243" s="73" t="s">
        <v>2098</v>
      </c>
    </row>
    <row r="244" spans="1:25" ht="409.5">
      <c r="A244" s="73" t="s">
        <v>11</v>
      </c>
      <c r="B244" s="73" t="s">
        <v>297</v>
      </c>
      <c r="C244" s="73" t="s">
        <v>300</v>
      </c>
      <c r="D244" s="73" t="s">
        <v>300</v>
      </c>
      <c r="E244" s="73" t="s">
        <v>2082</v>
      </c>
      <c r="F244" s="73" t="s">
        <v>1590</v>
      </c>
      <c r="G244" s="73" t="s">
        <v>2194</v>
      </c>
      <c r="H244" s="73" t="s">
        <v>2981</v>
      </c>
      <c r="I244" s="73" t="s">
        <v>2038</v>
      </c>
      <c r="J244" s="83" t="s">
        <v>2982</v>
      </c>
      <c r="K244" s="73" t="s">
        <v>2087</v>
      </c>
      <c r="L244" s="83" t="s">
        <v>2983</v>
      </c>
      <c r="M244" s="73" t="s">
        <v>1591</v>
      </c>
      <c r="N244" s="73" t="s">
        <v>2042</v>
      </c>
      <c r="O244" s="73" t="s">
        <v>2050</v>
      </c>
      <c r="P244" s="73" t="s">
        <v>2051</v>
      </c>
      <c r="Q244" s="73" t="s">
        <v>1596</v>
      </c>
      <c r="R244" s="73" t="s">
        <v>2169</v>
      </c>
      <c r="S244" s="73" t="s">
        <v>2052</v>
      </c>
      <c r="T244" s="73" t="s">
        <v>2053</v>
      </c>
      <c r="U244" s="74"/>
      <c r="V244" s="74"/>
      <c r="W244" s="74"/>
      <c r="X244" s="74"/>
      <c r="Y244" s="73" t="s">
        <v>2098</v>
      </c>
    </row>
    <row r="245" spans="1:25" ht="409.5">
      <c r="A245" s="73" t="s">
        <v>11</v>
      </c>
      <c r="B245" s="73" t="s">
        <v>297</v>
      </c>
      <c r="C245" s="73" t="s">
        <v>302</v>
      </c>
      <c r="D245" s="73" t="s">
        <v>302</v>
      </c>
      <c r="E245" s="73" t="s">
        <v>95</v>
      </c>
      <c r="F245" s="73" t="s">
        <v>1595</v>
      </c>
      <c r="G245" s="73" t="s">
        <v>1595</v>
      </c>
      <c r="H245" s="73" t="s">
        <v>2984</v>
      </c>
      <c r="I245" s="73" t="s">
        <v>2038</v>
      </c>
      <c r="J245" s="83" t="s">
        <v>2985</v>
      </c>
      <c r="K245" s="73" t="s">
        <v>2087</v>
      </c>
      <c r="L245" s="83" t="s">
        <v>2986</v>
      </c>
      <c r="M245" s="73" t="s">
        <v>1591</v>
      </c>
      <c r="N245" s="73" t="s">
        <v>2042</v>
      </c>
      <c r="O245" s="73" t="s">
        <v>2050</v>
      </c>
      <c r="P245" s="73" t="s">
        <v>2051</v>
      </c>
      <c r="Q245" s="73" t="s">
        <v>1596</v>
      </c>
      <c r="R245" s="73" t="s">
        <v>2169</v>
      </c>
      <c r="S245" s="73" t="s">
        <v>2052</v>
      </c>
      <c r="T245" s="73" t="s">
        <v>2053</v>
      </c>
      <c r="U245" s="74"/>
      <c r="V245" s="74"/>
      <c r="W245" s="74"/>
      <c r="X245" s="74"/>
      <c r="Y245" s="73" t="s">
        <v>2098</v>
      </c>
    </row>
    <row r="246" spans="1:25" ht="405">
      <c r="A246" s="71" t="s">
        <v>15</v>
      </c>
      <c r="B246" s="71" t="s">
        <v>15</v>
      </c>
      <c r="C246" s="71" t="s">
        <v>364</v>
      </c>
      <c r="D246" s="71" t="s">
        <v>364</v>
      </c>
      <c r="E246" s="71" t="s">
        <v>90</v>
      </c>
      <c r="F246" s="71" t="s">
        <v>1595</v>
      </c>
      <c r="G246" s="71" t="s">
        <v>1595</v>
      </c>
      <c r="H246" s="71" t="s">
        <v>2987</v>
      </c>
      <c r="I246" s="71" t="s">
        <v>2063</v>
      </c>
      <c r="J246" s="86" t="s">
        <v>2988</v>
      </c>
      <c r="K246" s="71" t="s">
        <v>2040</v>
      </c>
      <c r="L246" s="86" t="s">
        <v>2989</v>
      </c>
      <c r="M246" s="71" t="s">
        <v>1591</v>
      </c>
      <c r="N246" s="76" t="s">
        <v>2042</v>
      </c>
      <c r="O246" s="71" t="s">
        <v>1596</v>
      </c>
      <c r="P246" s="71" t="s">
        <v>2169</v>
      </c>
      <c r="Q246" s="71" t="s">
        <v>2050</v>
      </c>
      <c r="R246" s="71" t="s">
        <v>2051</v>
      </c>
      <c r="S246" s="71" t="s">
        <v>2052</v>
      </c>
      <c r="T246" s="71" t="s">
        <v>2053</v>
      </c>
      <c r="U246" s="67"/>
      <c r="V246" s="67"/>
      <c r="W246" s="67"/>
      <c r="X246" s="67"/>
      <c r="Y246" s="71" t="s">
        <v>2058</v>
      </c>
    </row>
    <row r="247" spans="1:25" ht="409.5">
      <c r="A247" s="73" t="s">
        <v>19</v>
      </c>
      <c r="B247" s="73" t="s">
        <v>19</v>
      </c>
      <c r="C247" s="73" t="s">
        <v>191</v>
      </c>
      <c r="D247" s="73" t="s">
        <v>191</v>
      </c>
      <c r="E247" s="73" t="s">
        <v>95</v>
      </c>
      <c r="F247" s="73" t="s">
        <v>1590</v>
      </c>
      <c r="G247" s="73" t="s">
        <v>2059</v>
      </c>
      <c r="H247" s="73" t="s">
        <v>2990</v>
      </c>
      <c r="I247" s="73" t="s">
        <v>2094</v>
      </c>
      <c r="J247" s="83" t="s">
        <v>2991</v>
      </c>
      <c r="K247" s="73" t="s">
        <v>2040</v>
      </c>
      <c r="L247" s="83" t="s">
        <v>2992</v>
      </c>
      <c r="M247" s="73" t="s">
        <v>1591</v>
      </c>
      <c r="N247" s="73" t="s">
        <v>2042</v>
      </c>
      <c r="O247" s="73" t="s">
        <v>1596</v>
      </c>
      <c r="P247" s="73" t="s">
        <v>2169</v>
      </c>
      <c r="Q247" s="73" t="s">
        <v>2050</v>
      </c>
      <c r="R247" s="73" t="s">
        <v>2051</v>
      </c>
      <c r="S247" s="73" t="s">
        <v>2052</v>
      </c>
      <c r="T247" s="73" t="s">
        <v>2053</v>
      </c>
      <c r="U247" s="73" t="s">
        <v>2993</v>
      </c>
      <c r="V247" s="74"/>
      <c r="W247" s="74"/>
      <c r="X247" s="74"/>
      <c r="Y247" s="73" t="s">
        <v>2098</v>
      </c>
    </row>
    <row r="248" spans="1:25" ht="310.5">
      <c r="A248" s="73" t="s">
        <v>8</v>
      </c>
      <c r="B248" s="73" t="s">
        <v>8</v>
      </c>
      <c r="C248" s="73" t="s">
        <v>577</v>
      </c>
      <c r="D248" s="73" t="s">
        <v>577</v>
      </c>
      <c r="E248" s="73" t="s">
        <v>100</v>
      </c>
      <c r="F248" s="73" t="s">
        <v>2194</v>
      </c>
      <c r="G248" s="73" t="s">
        <v>1590</v>
      </c>
      <c r="H248" s="73" t="s">
        <v>2994</v>
      </c>
      <c r="I248" s="73" t="s">
        <v>2114</v>
      </c>
      <c r="J248" s="83" t="s">
        <v>2995</v>
      </c>
      <c r="K248" s="73" t="s">
        <v>2048</v>
      </c>
      <c r="L248" s="83" t="s">
        <v>2996</v>
      </c>
      <c r="M248" s="73" t="s">
        <v>1591</v>
      </c>
      <c r="N248" s="73" t="s">
        <v>2042</v>
      </c>
      <c r="O248" s="73" t="s">
        <v>1596</v>
      </c>
      <c r="P248" s="73" t="s">
        <v>2169</v>
      </c>
      <c r="Q248" s="73" t="s">
        <v>2050</v>
      </c>
      <c r="R248" s="73" t="s">
        <v>2051</v>
      </c>
      <c r="S248" s="73" t="s">
        <v>2079</v>
      </c>
      <c r="T248" s="73" t="s">
        <v>2053</v>
      </c>
      <c r="U248" s="73" t="s">
        <v>2997</v>
      </c>
      <c r="V248" s="74"/>
      <c r="W248" s="74"/>
      <c r="X248" s="74"/>
      <c r="Y248" s="73" t="s">
        <v>2098</v>
      </c>
    </row>
    <row r="249" spans="1:25" ht="409.5">
      <c r="A249" s="71" t="s">
        <v>10</v>
      </c>
      <c r="B249" s="71" t="s">
        <v>166</v>
      </c>
      <c r="C249" s="71" t="s">
        <v>471</v>
      </c>
      <c r="D249" s="71" t="s">
        <v>471</v>
      </c>
      <c r="E249" s="71" t="s">
        <v>95</v>
      </c>
      <c r="F249" s="71" t="s">
        <v>1595</v>
      </c>
      <c r="G249" s="71" t="s">
        <v>1595</v>
      </c>
      <c r="H249" s="71" t="s">
        <v>2998</v>
      </c>
      <c r="I249" s="71" t="s">
        <v>2038</v>
      </c>
      <c r="J249" s="86" t="s">
        <v>2999</v>
      </c>
      <c r="K249" s="71" t="s">
        <v>2040</v>
      </c>
      <c r="L249" s="86" t="s">
        <v>3000</v>
      </c>
      <c r="M249" s="71" t="s">
        <v>1591</v>
      </c>
      <c r="N249" s="76" t="s">
        <v>2042</v>
      </c>
      <c r="O249" s="71" t="s">
        <v>1596</v>
      </c>
      <c r="P249" s="71" t="s">
        <v>2169</v>
      </c>
      <c r="Q249" s="71" t="s">
        <v>1596</v>
      </c>
      <c r="R249" s="71" t="s">
        <v>2345</v>
      </c>
      <c r="S249" s="71" t="s">
        <v>2052</v>
      </c>
      <c r="T249" s="71" t="s">
        <v>2053</v>
      </c>
      <c r="U249" s="71" t="s">
        <v>3001</v>
      </c>
      <c r="V249" s="67"/>
      <c r="W249" s="67"/>
      <c r="X249" s="67"/>
      <c r="Y249" s="71" t="s">
        <v>2058</v>
      </c>
    </row>
    <row r="250" spans="1:25" ht="409.5">
      <c r="A250" s="71" t="s">
        <v>8</v>
      </c>
      <c r="B250" s="71" t="s">
        <v>8</v>
      </c>
      <c r="C250" s="71" t="s">
        <v>557</v>
      </c>
      <c r="D250" s="71" t="s">
        <v>557</v>
      </c>
      <c r="E250" s="71" t="s">
        <v>95</v>
      </c>
      <c r="F250" s="71" t="s">
        <v>1595</v>
      </c>
      <c r="G250" s="71" t="s">
        <v>1595</v>
      </c>
      <c r="H250" s="71" t="s">
        <v>3002</v>
      </c>
      <c r="I250" s="71" t="s">
        <v>2094</v>
      </c>
      <c r="J250" s="86" t="s">
        <v>3003</v>
      </c>
      <c r="K250" s="71" t="s">
        <v>2040</v>
      </c>
      <c r="L250" s="86" t="s">
        <v>3004</v>
      </c>
      <c r="M250" s="71" t="s">
        <v>1591</v>
      </c>
      <c r="N250" s="76" t="s">
        <v>2042</v>
      </c>
      <c r="O250" s="71" t="s">
        <v>1596</v>
      </c>
      <c r="P250" s="71" t="s">
        <v>2169</v>
      </c>
      <c r="Q250" s="71" t="s">
        <v>2050</v>
      </c>
      <c r="R250" s="71" t="s">
        <v>2051</v>
      </c>
      <c r="S250" s="71" t="s">
        <v>2052</v>
      </c>
      <c r="T250" s="71" t="s">
        <v>2053</v>
      </c>
      <c r="U250" s="71" t="s">
        <v>3005</v>
      </c>
      <c r="V250" s="67"/>
      <c r="W250" s="67"/>
      <c r="X250" s="67"/>
      <c r="Y250" s="71" t="s">
        <v>2058</v>
      </c>
    </row>
    <row r="251" spans="1:25" ht="409.5">
      <c r="A251" s="71" t="s">
        <v>19</v>
      </c>
      <c r="B251" s="71" t="s">
        <v>19</v>
      </c>
      <c r="C251" s="71" t="s">
        <v>195</v>
      </c>
      <c r="D251" s="71" t="s">
        <v>195</v>
      </c>
      <c r="E251" s="71" t="s">
        <v>90</v>
      </c>
      <c r="F251" s="71" t="s">
        <v>1595</v>
      </c>
      <c r="G251" s="71" t="s">
        <v>1595</v>
      </c>
      <c r="H251" s="71" t="s">
        <v>3006</v>
      </c>
      <c r="I251" s="71" t="s">
        <v>2038</v>
      </c>
      <c r="J251" s="86" t="s">
        <v>3007</v>
      </c>
      <c r="K251" s="71" t="s">
        <v>2040</v>
      </c>
      <c r="L251" s="86" t="s">
        <v>3008</v>
      </c>
      <c r="M251" s="71" t="s">
        <v>1591</v>
      </c>
      <c r="N251" s="76" t="s">
        <v>2042</v>
      </c>
      <c r="O251" s="71" t="s">
        <v>1596</v>
      </c>
      <c r="P251" s="71" t="s">
        <v>2169</v>
      </c>
      <c r="Q251" s="71" t="s">
        <v>2050</v>
      </c>
      <c r="R251" s="71" t="s">
        <v>2051</v>
      </c>
      <c r="S251" s="71" t="s">
        <v>2079</v>
      </c>
      <c r="T251" s="71" t="s">
        <v>2044</v>
      </c>
      <c r="U251" s="71" t="s">
        <v>3009</v>
      </c>
      <c r="V251" s="71" t="s">
        <v>3010</v>
      </c>
      <c r="W251" s="67"/>
      <c r="X251" s="67"/>
      <c r="Y251" s="71" t="s">
        <v>2058</v>
      </c>
    </row>
    <row r="252" spans="1:25" ht="409.5">
      <c r="A252" s="71" t="s">
        <v>10</v>
      </c>
      <c r="B252" s="71" t="s">
        <v>166</v>
      </c>
      <c r="C252" s="71" t="s">
        <v>166</v>
      </c>
      <c r="D252" s="71" t="s">
        <v>166</v>
      </c>
      <c r="E252" s="71" t="s">
        <v>95</v>
      </c>
      <c r="F252" s="71" t="s">
        <v>1595</v>
      </c>
      <c r="G252" s="71" t="s">
        <v>1595</v>
      </c>
      <c r="H252" s="71" t="s">
        <v>3011</v>
      </c>
      <c r="I252" s="71" t="s">
        <v>2094</v>
      </c>
      <c r="J252" s="86" t="s">
        <v>3012</v>
      </c>
      <c r="K252" s="71" t="s">
        <v>2040</v>
      </c>
      <c r="L252" s="86" t="s">
        <v>3013</v>
      </c>
      <c r="M252" s="71" t="s">
        <v>1591</v>
      </c>
      <c r="N252" s="76" t="s">
        <v>2042</v>
      </c>
      <c r="O252" s="71" t="s">
        <v>1596</v>
      </c>
      <c r="P252" s="71" t="s">
        <v>2169</v>
      </c>
      <c r="Q252" s="71" t="s">
        <v>1596</v>
      </c>
      <c r="R252" s="71" t="s">
        <v>2169</v>
      </c>
      <c r="S252" s="71" t="s">
        <v>2052</v>
      </c>
      <c r="T252" s="71" t="s">
        <v>2053</v>
      </c>
      <c r="U252" s="71" t="s">
        <v>3014</v>
      </c>
      <c r="V252" s="67"/>
      <c r="W252" s="67"/>
      <c r="X252" s="67"/>
      <c r="Y252" s="71" t="s">
        <v>2058</v>
      </c>
    </row>
    <row r="253" spans="1:25" ht="409.5">
      <c r="A253" s="73" t="s">
        <v>11</v>
      </c>
      <c r="B253" s="73" t="s">
        <v>261</v>
      </c>
      <c r="C253" s="73" t="s">
        <v>296</v>
      </c>
      <c r="D253" s="73" t="s">
        <v>296</v>
      </c>
      <c r="E253" s="73" t="s">
        <v>90</v>
      </c>
      <c r="F253" s="73" t="s">
        <v>1590</v>
      </c>
      <c r="G253" s="73" t="s">
        <v>1590</v>
      </c>
      <c r="H253" s="73" t="s">
        <v>3015</v>
      </c>
      <c r="I253" s="73" t="s">
        <v>2063</v>
      </c>
      <c r="J253" s="83" t="s">
        <v>3016</v>
      </c>
      <c r="K253" s="73" t="s">
        <v>2087</v>
      </c>
      <c r="L253" s="83" t="s">
        <v>3017</v>
      </c>
      <c r="M253" s="73" t="s">
        <v>1591</v>
      </c>
      <c r="N253" s="73" t="s">
        <v>2042</v>
      </c>
      <c r="O253" s="73" t="s">
        <v>2050</v>
      </c>
      <c r="P253" s="73" t="s">
        <v>2051</v>
      </c>
      <c r="Q253" s="73" t="s">
        <v>1596</v>
      </c>
      <c r="R253" s="73" t="s">
        <v>2169</v>
      </c>
      <c r="S253" s="73" t="s">
        <v>2052</v>
      </c>
      <c r="T253" s="73" t="s">
        <v>2053</v>
      </c>
      <c r="U253" s="73" t="s">
        <v>3018</v>
      </c>
      <c r="V253" s="74"/>
      <c r="W253" s="74"/>
      <c r="X253" s="74"/>
      <c r="Y253" s="73" t="s">
        <v>2098</v>
      </c>
    </row>
    <row r="254" spans="1:25" ht="409.5">
      <c r="A254" s="71" t="s">
        <v>8</v>
      </c>
      <c r="B254" s="71" t="s">
        <v>8</v>
      </c>
      <c r="C254" s="71" t="s">
        <v>572</v>
      </c>
      <c r="D254" s="71" t="s">
        <v>572</v>
      </c>
      <c r="E254" s="71" t="s">
        <v>95</v>
      </c>
      <c r="F254" s="71" t="s">
        <v>1595</v>
      </c>
      <c r="G254" s="71" t="s">
        <v>1595</v>
      </c>
      <c r="H254" s="71" t="s">
        <v>3019</v>
      </c>
      <c r="I254" s="71" t="s">
        <v>2094</v>
      </c>
      <c r="J254" s="86" t="s">
        <v>3020</v>
      </c>
      <c r="K254" s="71" t="s">
        <v>2040</v>
      </c>
      <c r="L254" s="86" t="s">
        <v>3021</v>
      </c>
      <c r="M254" s="71" t="s">
        <v>1591</v>
      </c>
      <c r="N254" s="76" t="s">
        <v>2042</v>
      </c>
      <c r="O254" s="71" t="s">
        <v>1596</v>
      </c>
      <c r="P254" s="71" t="s">
        <v>2169</v>
      </c>
      <c r="Q254" s="71" t="s">
        <v>2050</v>
      </c>
      <c r="R254" s="71" t="s">
        <v>2051</v>
      </c>
      <c r="S254" s="71" t="s">
        <v>2052</v>
      </c>
      <c r="T254" s="71" t="s">
        <v>2053</v>
      </c>
      <c r="U254" s="71" t="s">
        <v>3022</v>
      </c>
      <c r="V254" s="67"/>
      <c r="W254" s="67"/>
      <c r="X254" s="67"/>
      <c r="Y254" s="71" t="s">
        <v>2058</v>
      </c>
    </row>
    <row r="255" spans="1:25" ht="409.5">
      <c r="A255" s="73" t="s">
        <v>15</v>
      </c>
      <c r="B255" s="73" t="s">
        <v>389</v>
      </c>
      <c r="C255" s="73" t="s">
        <v>399</v>
      </c>
      <c r="D255" s="73" t="s">
        <v>399</v>
      </c>
      <c r="E255" s="73" t="s">
        <v>90</v>
      </c>
      <c r="F255" s="73" t="s">
        <v>2059</v>
      </c>
      <c r="G255" s="73" t="s">
        <v>2059</v>
      </c>
      <c r="H255" s="73" t="s">
        <v>3023</v>
      </c>
      <c r="I255" s="73" t="s">
        <v>2038</v>
      </c>
      <c r="J255" s="83" t="s">
        <v>3024</v>
      </c>
      <c r="K255" s="73" t="s">
        <v>2040</v>
      </c>
      <c r="L255" s="83" t="s">
        <v>3025</v>
      </c>
      <c r="M255" s="73" t="s">
        <v>1591</v>
      </c>
      <c r="N255" s="73" t="s">
        <v>2042</v>
      </c>
      <c r="O255" s="73" t="s">
        <v>1596</v>
      </c>
      <c r="P255" s="73" t="s">
        <v>2169</v>
      </c>
      <c r="Q255" s="73" t="s">
        <v>2050</v>
      </c>
      <c r="R255" s="73" t="s">
        <v>2051</v>
      </c>
      <c r="S255" s="73" t="s">
        <v>2052</v>
      </c>
      <c r="T255" s="73" t="s">
        <v>2053</v>
      </c>
      <c r="U255" s="73" t="s">
        <v>3026</v>
      </c>
      <c r="V255" s="74"/>
      <c r="W255" s="74"/>
      <c r="X255" s="74"/>
      <c r="Y255" s="73" t="s">
        <v>2098</v>
      </c>
    </row>
    <row r="256" spans="1:25" ht="351">
      <c r="A256" s="73" t="s">
        <v>15</v>
      </c>
      <c r="B256" s="73" t="s">
        <v>389</v>
      </c>
      <c r="C256" s="73" t="s">
        <v>393</v>
      </c>
      <c r="D256" s="73" t="s">
        <v>393</v>
      </c>
      <c r="E256" s="73" t="s">
        <v>95</v>
      </c>
      <c r="F256" s="73" t="s">
        <v>1595</v>
      </c>
      <c r="G256" s="73" t="s">
        <v>1595</v>
      </c>
      <c r="H256" s="73" t="s">
        <v>2543</v>
      </c>
      <c r="I256" s="73" t="s">
        <v>2038</v>
      </c>
      <c r="J256" s="83" t="s">
        <v>3027</v>
      </c>
      <c r="K256" s="73" t="s">
        <v>2040</v>
      </c>
      <c r="L256" s="88" t="s">
        <v>3028</v>
      </c>
      <c r="M256" s="73" t="s">
        <v>1591</v>
      </c>
      <c r="N256" s="73" t="s">
        <v>2042</v>
      </c>
      <c r="O256" s="73" t="s">
        <v>1596</v>
      </c>
      <c r="P256" s="73" t="s">
        <v>2169</v>
      </c>
      <c r="Q256" s="73" t="s">
        <v>2050</v>
      </c>
      <c r="R256" s="73" t="s">
        <v>2051</v>
      </c>
      <c r="S256" s="73" t="s">
        <v>2052</v>
      </c>
      <c r="T256" s="73" t="s">
        <v>2053</v>
      </c>
      <c r="U256" s="73" t="s">
        <v>3029</v>
      </c>
      <c r="V256" s="74"/>
      <c r="W256" s="74"/>
      <c r="X256" s="74"/>
      <c r="Y256" s="73" t="s">
        <v>2098</v>
      </c>
    </row>
    <row r="257" spans="1:25" ht="409.5">
      <c r="A257" s="73" t="s">
        <v>10</v>
      </c>
      <c r="B257" s="73" t="s">
        <v>166</v>
      </c>
      <c r="C257" s="73" t="s">
        <v>482</v>
      </c>
      <c r="D257" s="73" t="s">
        <v>482</v>
      </c>
      <c r="E257" s="73" t="s">
        <v>90</v>
      </c>
      <c r="F257" s="73" t="s">
        <v>1595</v>
      </c>
      <c r="G257" s="73" t="s">
        <v>2059</v>
      </c>
      <c r="H257" s="73" t="s">
        <v>3030</v>
      </c>
      <c r="I257" s="73" t="s">
        <v>2114</v>
      </c>
      <c r="J257" s="83" t="s">
        <v>3031</v>
      </c>
      <c r="K257" s="73" t="s">
        <v>2040</v>
      </c>
      <c r="L257" s="83" t="s">
        <v>3032</v>
      </c>
      <c r="M257" s="73" t="s">
        <v>1591</v>
      </c>
      <c r="N257" s="73" t="s">
        <v>2042</v>
      </c>
      <c r="O257" s="73" t="s">
        <v>1596</v>
      </c>
      <c r="P257" s="73" t="s">
        <v>2169</v>
      </c>
      <c r="Q257" s="73" t="s">
        <v>2050</v>
      </c>
      <c r="R257" s="73" t="s">
        <v>2051</v>
      </c>
      <c r="S257" s="73" t="s">
        <v>2052</v>
      </c>
      <c r="T257" s="73" t="s">
        <v>2053</v>
      </c>
      <c r="U257" s="73" t="s">
        <v>3033</v>
      </c>
      <c r="V257" s="74"/>
      <c r="W257" s="74"/>
      <c r="X257" s="74"/>
      <c r="Y257" s="73" t="s">
        <v>2098</v>
      </c>
    </row>
    <row r="258" spans="1:25" ht="409.5">
      <c r="A258" s="73" t="s">
        <v>11</v>
      </c>
      <c r="B258" s="73" t="s">
        <v>261</v>
      </c>
      <c r="C258" s="73" t="s">
        <v>295</v>
      </c>
      <c r="D258" s="73" t="s">
        <v>295</v>
      </c>
      <c r="E258" s="73" t="s">
        <v>95</v>
      </c>
      <c r="F258" s="73" t="s">
        <v>2059</v>
      </c>
      <c r="G258" s="73" t="s">
        <v>2059</v>
      </c>
      <c r="H258" s="73" t="s">
        <v>3034</v>
      </c>
      <c r="I258" s="73" t="s">
        <v>2063</v>
      </c>
      <c r="J258" s="83" t="s">
        <v>3035</v>
      </c>
      <c r="K258" s="73" t="s">
        <v>2040</v>
      </c>
      <c r="L258" s="83" t="s">
        <v>3036</v>
      </c>
      <c r="M258" s="73" t="s">
        <v>1591</v>
      </c>
      <c r="N258" s="73" t="s">
        <v>2042</v>
      </c>
      <c r="O258" s="73" t="s">
        <v>1596</v>
      </c>
      <c r="P258" s="73" t="s">
        <v>2169</v>
      </c>
      <c r="Q258" s="73" t="s">
        <v>2050</v>
      </c>
      <c r="R258" s="73" t="s">
        <v>2051</v>
      </c>
      <c r="S258" s="73" t="s">
        <v>2052</v>
      </c>
      <c r="T258" s="73" t="s">
        <v>2053</v>
      </c>
      <c r="U258" s="74"/>
      <c r="V258" s="74"/>
      <c r="W258" s="74"/>
      <c r="X258" s="74"/>
      <c r="Y258" s="73" t="s">
        <v>2098</v>
      </c>
    </row>
    <row r="259" spans="1:25" ht="202.5">
      <c r="A259" s="73" t="s">
        <v>11</v>
      </c>
      <c r="B259" s="73" t="s">
        <v>261</v>
      </c>
      <c r="C259" s="71" t="s">
        <v>280</v>
      </c>
      <c r="D259" s="71" t="s">
        <v>280</v>
      </c>
      <c r="E259" s="67"/>
      <c r="F259" s="67"/>
      <c r="G259" s="67"/>
      <c r="H259" s="71" t="s">
        <v>3037</v>
      </c>
      <c r="I259" s="67"/>
      <c r="J259" s="65"/>
      <c r="K259" s="67"/>
      <c r="L259" s="67"/>
      <c r="M259" s="71" t="s">
        <v>1591</v>
      </c>
      <c r="N259" s="75"/>
      <c r="O259" s="71" t="s">
        <v>1596</v>
      </c>
      <c r="P259" s="67"/>
      <c r="Q259" s="71" t="s">
        <v>1596</v>
      </c>
      <c r="R259" s="67"/>
      <c r="S259" s="67"/>
      <c r="T259" s="67"/>
      <c r="U259" s="67"/>
      <c r="V259" s="67"/>
      <c r="W259" s="67"/>
      <c r="X259" s="67"/>
      <c r="Y259" s="71" t="s">
        <v>2058</v>
      </c>
    </row>
    <row r="260" spans="1:25" ht="409.5">
      <c r="A260" s="73" t="s">
        <v>15</v>
      </c>
      <c r="B260" s="73" t="s">
        <v>15</v>
      </c>
      <c r="C260" s="73" t="s">
        <v>354</v>
      </c>
      <c r="D260" s="73" t="s">
        <v>354</v>
      </c>
      <c r="E260" s="73" t="s">
        <v>90</v>
      </c>
      <c r="F260" s="73" t="s">
        <v>2059</v>
      </c>
      <c r="G260" s="73" t="s">
        <v>2059</v>
      </c>
      <c r="H260" s="73" t="s">
        <v>2263</v>
      </c>
      <c r="I260" s="73" t="s">
        <v>2038</v>
      </c>
      <c r="J260" s="83" t="s">
        <v>3038</v>
      </c>
      <c r="K260" s="73" t="s">
        <v>2040</v>
      </c>
      <c r="L260" s="83" t="s">
        <v>3039</v>
      </c>
      <c r="M260" s="73" t="s">
        <v>1591</v>
      </c>
      <c r="N260" s="73" t="s">
        <v>2042</v>
      </c>
      <c r="O260" s="73" t="s">
        <v>1596</v>
      </c>
      <c r="P260" s="73" t="s">
        <v>2169</v>
      </c>
      <c r="Q260" s="73" t="s">
        <v>2050</v>
      </c>
      <c r="R260" s="73" t="s">
        <v>2550</v>
      </c>
      <c r="S260" s="73" t="s">
        <v>2079</v>
      </c>
      <c r="T260" s="73" t="s">
        <v>2053</v>
      </c>
      <c r="U260" s="73" t="s">
        <v>3040</v>
      </c>
      <c r="V260" s="74"/>
      <c r="W260" s="74"/>
      <c r="X260" s="74"/>
      <c r="Y260" s="73" t="s">
        <v>2098</v>
      </c>
    </row>
    <row r="261" spans="1:25" ht="409.5">
      <c r="A261" s="71" t="s">
        <v>19</v>
      </c>
      <c r="B261" s="71" t="s">
        <v>19</v>
      </c>
      <c r="C261" s="71" t="s">
        <v>184</v>
      </c>
      <c r="D261" s="71" t="s">
        <v>184</v>
      </c>
      <c r="E261" s="73" t="s">
        <v>90</v>
      </c>
      <c r="F261" s="73" t="s">
        <v>1595</v>
      </c>
      <c r="G261" s="71" t="s">
        <v>1595</v>
      </c>
      <c r="H261" s="71" t="s">
        <v>3041</v>
      </c>
      <c r="I261" s="71" t="s">
        <v>2108</v>
      </c>
      <c r="J261" s="86" t="s">
        <v>3042</v>
      </c>
      <c r="K261" s="71" t="s">
        <v>2040</v>
      </c>
      <c r="L261" s="86" t="s">
        <v>3043</v>
      </c>
      <c r="M261" s="71" t="s">
        <v>1591</v>
      </c>
      <c r="N261" s="76" t="s">
        <v>2042</v>
      </c>
      <c r="O261" s="71" t="s">
        <v>1591</v>
      </c>
      <c r="P261" s="71" t="s">
        <v>2042</v>
      </c>
      <c r="Q261" s="71" t="s">
        <v>1596</v>
      </c>
      <c r="R261" s="71" t="s">
        <v>2550</v>
      </c>
      <c r="S261" s="71" t="s">
        <v>2079</v>
      </c>
      <c r="T261" s="71" t="s">
        <v>2053</v>
      </c>
      <c r="U261" s="71" t="s">
        <v>3044</v>
      </c>
      <c r="V261" s="67"/>
      <c r="W261" s="67"/>
      <c r="X261" s="67"/>
      <c r="Y261" s="71" t="s">
        <v>2715</v>
      </c>
    </row>
    <row r="262" spans="1:25" ht="409.5">
      <c r="A262" s="73" t="s">
        <v>7</v>
      </c>
      <c r="B262" s="73" t="s">
        <v>706</v>
      </c>
      <c r="C262" s="73" t="s">
        <v>718</v>
      </c>
      <c r="D262" s="73" t="s">
        <v>718</v>
      </c>
      <c r="E262" s="73" t="s">
        <v>90</v>
      </c>
      <c r="F262" s="73" t="s">
        <v>1590</v>
      </c>
      <c r="G262" s="73" t="s">
        <v>2059</v>
      </c>
      <c r="H262" s="73" t="s">
        <v>2263</v>
      </c>
      <c r="I262" s="73" t="s">
        <v>2038</v>
      </c>
      <c r="J262" s="83" t="s">
        <v>3045</v>
      </c>
      <c r="K262" s="73" t="s">
        <v>2048</v>
      </c>
      <c r="L262" s="83" t="s">
        <v>3046</v>
      </c>
      <c r="M262" s="73" t="s">
        <v>1596</v>
      </c>
      <c r="N262" s="73" t="s">
        <v>2169</v>
      </c>
      <c r="O262" s="73" t="s">
        <v>1591</v>
      </c>
      <c r="P262" s="73" t="s">
        <v>2042</v>
      </c>
      <c r="Q262" s="73" t="s">
        <v>2050</v>
      </c>
      <c r="R262" s="73" t="s">
        <v>2550</v>
      </c>
      <c r="S262" s="73" t="s">
        <v>2043</v>
      </c>
      <c r="T262" s="73" t="s">
        <v>2044</v>
      </c>
      <c r="U262" s="74"/>
      <c r="V262" s="74"/>
      <c r="W262" s="74"/>
      <c r="X262" s="74"/>
      <c r="Y262" s="73" t="s">
        <v>2098</v>
      </c>
    </row>
    <row r="263" spans="1:25" ht="405">
      <c r="A263" s="73" t="s">
        <v>7</v>
      </c>
      <c r="B263" s="73" t="s">
        <v>671</v>
      </c>
      <c r="C263" s="73" t="s">
        <v>700</v>
      </c>
      <c r="D263" s="73" t="s">
        <v>700</v>
      </c>
      <c r="E263" s="73" t="s">
        <v>90</v>
      </c>
      <c r="F263" s="73" t="s">
        <v>2059</v>
      </c>
      <c r="G263" s="73" t="s">
        <v>2059</v>
      </c>
      <c r="H263" s="73" t="s">
        <v>3047</v>
      </c>
      <c r="I263" s="73" t="s">
        <v>2038</v>
      </c>
      <c r="J263" s="83" t="s">
        <v>3048</v>
      </c>
      <c r="K263" s="73" t="s">
        <v>2040</v>
      </c>
      <c r="L263" s="83" t="s">
        <v>3049</v>
      </c>
      <c r="M263" s="73" t="s">
        <v>1591</v>
      </c>
      <c r="N263" s="73" t="s">
        <v>2042</v>
      </c>
      <c r="O263" s="73" t="s">
        <v>1596</v>
      </c>
      <c r="P263" s="73" t="s">
        <v>2169</v>
      </c>
      <c r="Q263" s="73" t="s">
        <v>2050</v>
      </c>
      <c r="R263" s="73" t="s">
        <v>2550</v>
      </c>
      <c r="S263" s="73" t="s">
        <v>2043</v>
      </c>
      <c r="T263" s="73" t="s">
        <v>2044</v>
      </c>
      <c r="U263" s="74"/>
      <c r="V263" s="74"/>
      <c r="W263" s="74"/>
      <c r="X263" s="74"/>
      <c r="Y263" s="73" t="s">
        <v>2098</v>
      </c>
    </row>
    <row r="264" spans="1:25" ht="409.5">
      <c r="A264" s="73" t="s">
        <v>11</v>
      </c>
      <c r="B264" s="73" t="s">
        <v>297</v>
      </c>
      <c r="C264" s="73" t="s">
        <v>339</v>
      </c>
      <c r="D264" s="73" t="s">
        <v>339</v>
      </c>
      <c r="E264" s="73" t="s">
        <v>95</v>
      </c>
      <c r="F264" s="73" t="s">
        <v>1595</v>
      </c>
      <c r="G264" s="73" t="s">
        <v>1595</v>
      </c>
      <c r="H264" s="73" t="s">
        <v>3050</v>
      </c>
      <c r="I264" s="73" t="s">
        <v>2038</v>
      </c>
      <c r="J264" s="83" t="s">
        <v>3051</v>
      </c>
      <c r="K264" s="73" t="s">
        <v>2040</v>
      </c>
      <c r="L264" s="83" t="s">
        <v>3052</v>
      </c>
      <c r="M264" s="73" t="s">
        <v>1591</v>
      </c>
      <c r="N264" s="73" t="s">
        <v>2042</v>
      </c>
      <c r="O264" s="73" t="s">
        <v>1596</v>
      </c>
      <c r="P264" s="73" t="s">
        <v>2169</v>
      </c>
      <c r="Q264" s="73" t="s">
        <v>2050</v>
      </c>
      <c r="R264" s="73" t="s">
        <v>2550</v>
      </c>
      <c r="S264" s="73" t="s">
        <v>2052</v>
      </c>
      <c r="T264" s="73" t="s">
        <v>2053</v>
      </c>
      <c r="U264" s="73" t="s">
        <v>3053</v>
      </c>
      <c r="V264" s="74"/>
      <c r="W264" s="74"/>
      <c r="X264" s="74"/>
      <c r="Y264" s="73" t="s">
        <v>2098</v>
      </c>
    </row>
    <row r="265" spans="1:25" ht="409.5">
      <c r="A265" s="73" t="s">
        <v>7</v>
      </c>
      <c r="B265" s="73" t="s">
        <v>671</v>
      </c>
      <c r="C265" s="73" t="s">
        <v>702</v>
      </c>
      <c r="D265" s="73" t="s">
        <v>702</v>
      </c>
      <c r="E265" s="73" t="s">
        <v>90</v>
      </c>
      <c r="F265" s="73" t="s">
        <v>2083</v>
      </c>
      <c r="G265" s="73" t="s">
        <v>2059</v>
      </c>
      <c r="H265" s="73" t="s">
        <v>3054</v>
      </c>
      <c r="I265" s="73" t="s">
        <v>2063</v>
      </c>
      <c r="J265" s="83" t="s">
        <v>3055</v>
      </c>
      <c r="K265" s="73" t="s">
        <v>2048</v>
      </c>
      <c r="L265" s="83" t="s">
        <v>3056</v>
      </c>
      <c r="M265" s="73" t="s">
        <v>1596</v>
      </c>
      <c r="N265" s="73" t="s">
        <v>2169</v>
      </c>
      <c r="O265" s="73" t="s">
        <v>1591</v>
      </c>
      <c r="P265" s="73" t="s">
        <v>2042</v>
      </c>
      <c r="Q265" s="73" t="s">
        <v>2050</v>
      </c>
      <c r="R265" s="73" t="s">
        <v>2550</v>
      </c>
      <c r="S265" s="73" t="s">
        <v>2043</v>
      </c>
      <c r="T265" s="73" t="s">
        <v>2044</v>
      </c>
      <c r="U265" s="73" t="s">
        <v>3057</v>
      </c>
      <c r="V265" s="74"/>
      <c r="W265" s="74"/>
      <c r="X265" s="74"/>
      <c r="Y265" s="73" t="s">
        <v>2098</v>
      </c>
    </row>
    <row r="266" spans="1:25" ht="409.5">
      <c r="A266" s="73" t="s">
        <v>8</v>
      </c>
      <c r="B266" s="73" t="s">
        <v>8</v>
      </c>
      <c r="C266" s="73" t="s">
        <v>8</v>
      </c>
      <c r="D266" s="73" t="s">
        <v>8</v>
      </c>
      <c r="E266" s="73" t="s">
        <v>100</v>
      </c>
      <c r="F266" s="73" t="s">
        <v>1590</v>
      </c>
      <c r="G266" s="73" t="s">
        <v>1590</v>
      </c>
      <c r="H266" s="73" t="s">
        <v>3058</v>
      </c>
      <c r="I266" s="73" t="s">
        <v>2038</v>
      </c>
      <c r="J266" s="83" t="s">
        <v>3059</v>
      </c>
      <c r="K266" s="73" t="s">
        <v>2040</v>
      </c>
      <c r="L266" s="83" t="s">
        <v>3060</v>
      </c>
      <c r="M266" s="73" t="s">
        <v>1591</v>
      </c>
      <c r="N266" s="73" t="s">
        <v>2042</v>
      </c>
      <c r="O266" s="73" t="s">
        <v>1596</v>
      </c>
      <c r="P266" s="73" t="s">
        <v>2169</v>
      </c>
      <c r="Q266" s="73" t="s">
        <v>2050</v>
      </c>
      <c r="R266" s="73" t="s">
        <v>2550</v>
      </c>
      <c r="S266" s="73" t="s">
        <v>2079</v>
      </c>
      <c r="T266" s="73" t="s">
        <v>2053</v>
      </c>
      <c r="U266" s="73" t="s">
        <v>3061</v>
      </c>
      <c r="V266" s="74"/>
      <c r="W266" s="74"/>
      <c r="X266" s="74"/>
      <c r="Y266" s="73" t="s">
        <v>2098</v>
      </c>
    </row>
    <row r="267" spans="1:25" ht="409.5">
      <c r="A267" s="71" t="s">
        <v>7</v>
      </c>
      <c r="B267" s="71" t="s">
        <v>671</v>
      </c>
      <c r="C267" s="71" t="s">
        <v>704</v>
      </c>
      <c r="D267" s="71" t="s">
        <v>704</v>
      </c>
      <c r="E267" s="71" t="s">
        <v>2082</v>
      </c>
      <c r="F267" s="71" t="s">
        <v>2083</v>
      </c>
      <c r="G267" s="71" t="s">
        <v>2083</v>
      </c>
      <c r="H267" s="71" t="s">
        <v>3062</v>
      </c>
      <c r="I267" s="71" t="s">
        <v>2038</v>
      </c>
      <c r="J267" s="89" t="s">
        <v>3063</v>
      </c>
      <c r="K267" s="71" t="s">
        <v>2048</v>
      </c>
      <c r="L267" s="86" t="s">
        <v>3064</v>
      </c>
      <c r="M267" s="71" t="s">
        <v>1596</v>
      </c>
      <c r="N267" s="76" t="s">
        <v>2930</v>
      </c>
      <c r="O267" s="71" t="s">
        <v>1591</v>
      </c>
      <c r="P267" s="71" t="s">
        <v>2042</v>
      </c>
      <c r="Q267" s="71" t="s">
        <v>2050</v>
      </c>
      <c r="R267" s="71" t="s">
        <v>2051</v>
      </c>
      <c r="S267" s="71" t="s">
        <v>2043</v>
      </c>
      <c r="T267" s="71" t="s">
        <v>2044</v>
      </c>
      <c r="U267" s="67"/>
      <c r="V267" s="67"/>
      <c r="W267" s="67"/>
      <c r="X267" s="67"/>
      <c r="Y267" s="71" t="s">
        <v>2058</v>
      </c>
    </row>
    <row r="268" spans="1:25" ht="409.5">
      <c r="A268" s="73" t="s">
        <v>19</v>
      </c>
      <c r="B268" s="73" t="s">
        <v>88</v>
      </c>
      <c r="C268" s="73" t="s">
        <v>134</v>
      </c>
      <c r="D268" s="73" t="s">
        <v>134</v>
      </c>
      <c r="E268" s="73" t="s">
        <v>90</v>
      </c>
      <c r="F268" s="73" t="s">
        <v>2059</v>
      </c>
      <c r="G268" s="73" t="s">
        <v>2059</v>
      </c>
      <c r="H268" s="73" t="s">
        <v>2958</v>
      </c>
      <c r="I268" s="74"/>
      <c r="J268" s="83" t="s">
        <v>3065</v>
      </c>
      <c r="K268" s="73" t="s">
        <v>2048</v>
      </c>
      <c r="L268" s="83" t="s">
        <v>3066</v>
      </c>
      <c r="M268" s="73" t="s">
        <v>1596</v>
      </c>
      <c r="N268" s="73" t="s">
        <v>2930</v>
      </c>
      <c r="O268" s="73" t="s">
        <v>1591</v>
      </c>
      <c r="P268" s="73" t="s">
        <v>2042</v>
      </c>
      <c r="Q268" s="73" t="s">
        <v>2050</v>
      </c>
      <c r="R268" s="73" t="s">
        <v>2051</v>
      </c>
      <c r="S268" s="73" t="s">
        <v>2043</v>
      </c>
      <c r="T268" s="73" t="s">
        <v>2044</v>
      </c>
      <c r="U268" s="73" t="s">
        <v>3067</v>
      </c>
      <c r="V268" s="74"/>
      <c r="W268" s="74"/>
      <c r="X268" s="74"/>
      <c r="Y268" s="73" t="s">
        <v>2098</v>
      </c>
    </row>
    <row r="269" spans="1:25" ht="409.5">
      <c r="A269" s="71" t="s">
        <v>15</v>
      </c>
      <c r="B269" s="71" t="s">
        <v>15</v>
      </c>
      <c r="C269" s="71" t="s">
        <v>356</v>
      </c>
      <c r="D269" s="71" t="s">
        <v>356</v>
      </c>
      <c r="E269" s="71" t="s">
        <v>100</v>
      </c>
      <c r="F269" s="71" t="s">
        <v>1590</v>
      </c>
      <c r="G269" s="71" t="s">
        <v>1590</v>
      </c>
      <c r="H269" s="71" t="s">
        <v>2563</v>
      </c>
      <c r="I269" s="71" t="s">
        <v>2094</v>
      </c>
      <c r="J269" s="86" t="s">
        <v>3068</v>
      </c>
      <c r="K269" s="71" t="s">
        <v>2040</v>
      </c>
      <c r="L269" s="86" t="s">
        <v>3069</v>
      </c>
      <c r="M269" s="71" t="s">
        <v>1591</v>
      </c>
      <c r="N269" s="76" t="s">
        <v>2042</v>
      </c>
      <c r="O269" s="71" t="s">
        <v>1596</v>
      </c>
      <c r="P269" s="71" t="s">
        <v>2930</v>
      </c>
      <c r="Q269" s="71" t="s">
        <v>1596</v>
      </c>
      <c r="R269" s="71" t="s">
        <v>2550</v>
      </c>
      <c r="S269" s="71" t="s">
        <v>2052</v>
      </c>
      <c r="T269" s="71" t="s">
        <v>2053</v>
      </c>
      <c r="U269" s="71" t="s">
        <v>3070</v>
      </c>
      <c r="V269" s="67"/>
      <c r="W269" s="67"/>
      <c r="X269" s="67"/>
      <c r="Y269" s="71" t="s">
        <v>2058</v>
      </c>
    </row>
    <row r="270" spans="1:25" ht="409.5">
      <c r="A270" s="71" t="s">
        <v>8</v>
      </c>
      <c r="B270" s="71" t="s">
        <v>8</v>
      </c>
      <c r="C270" s="71" t="s">
        <v>552</v>
      </c>
      <c r="D270" s="71" t="s">
        <v>552</v>
      </c>
      <c r="E270" s="71" t="s">
        <v>90</v>
      </c>
      <c r="F270" s="71" t="s">
        <v>2194</v>
      </c>
      <c r="G270" s="71" t="s">
        <v>2194</v>
      </c>
      <c r="H270" s="71" t="s">
        <v>3071</v>
      </c>
      <c r="I270" s="71" t="s">
        <v>2094</v>
      </c>
      <c r="J270" s="86" t="s">
        <v>3072</v>
      </c>
      <c r="K270" s="71" t="s">
        <v>2048</v>
      </c>
      <c r="L270" s="86" t="s">
        <v>3073</v>
      </c>
      <c r="M270" s="71" t="s">
        <v>1596</v>
      </c>
      <c r="N270" s="76" t="s">
        <v>2550</v>
      </c>
      <c r="O270" s="71" t="s">
        <v>1591</v>
      </c>
      <c r="P270" s="71" t="s">
        <v>2042</v>
      </c>
      <c r="Q270" s="71" t="s">
        <v>2050</v>
      </c>
      <c r="R270" s="71" t="s">
        <v>2051</v>
      </c>
      <c r="S270" s="71" t="s">
        <v>2052</v>
      </c>
      <c r="T270" s="71" t="s">
        <v>2053</v>
      </c>
      <c r="U270" s="71" t="s">
        <v>3074</v>
      </c>
      <c r="V270" s="71" t="s">
        <v>3075</v>
      </c>
      <c r="W270" s="67"/>
      <c r="X270" s="67"/>
      <c r="Y270" s="71" t="s">
        <v>2058</v>
      </c>
    </row>
    <row r="271" spans="1:25" ht="409.5">
      <c r="A271" s="73" t="s">
        <v>10</v>
      </c>
      <c r="B271" s="73" t="s">
        <v>166</v>
      </c>
      <c r="C271" s="74"/>
      <c r="D271" s="74"/>
      <c r="E271" s="73" t="s">
        <v>100</v>
      </c>
      <c r="F271" s="73" t="s">
        <v>1590</v>
      </c>
      <c r="G271" s="73" t="s">
        <v>1595</v>
      </c>
      <c r="H271" s="73" t="s">
        <v>2179</v>
      </c>
      <c r="I271" s="73" t="s">
        <v>2038</v>
      </c>
      <c r="J271" s="83" t="s">
        <v>3076</v>
      </c>
      <c r="K271" s="73" t="s">
        <v>2087</v>
      </c>
      <c r="L271" s="83" t="s">
        <v>3077</v>
      </c>
      <c r="M271" s="73" t="s">
        <v>1591</v>
      </c>
      <c r="N271" s="73" t="s">
        <v>2042</v>
      </c>
      <c r="O271" s="73" t="s">
        <v>2050</v>
      </c>
      <c r="P271" s="73" t="s">
        <v>2051</v>
      </c>
      <c r="Q271" s="73" t="s">
        <v>1596</v>
      </c>
      <c r="R271" s="73" t="s">
        <v>2169</v>
      </c>
      <c r="S271" s="73" t="s">
        <v>2052</v>
      </c>
      <c r="T271" s="73" t="s">
        <v>2053</v>
      </c>
      <c r="U271" s="74"/>
      <c r="V271" s="74"/>
      <c r="W271" s="74"/>
      <c r="X271" s="73" t="s">
        <v>3078</v>
      </c>
      <c r="Y271" s="73" t="s">
        <v>2098</v>
      </c>
    </row>
    <row r="272" spans="1:25" ht="409.5">
      <c r="A272" s="73" t="s">
        <v>19</v>
      </c>
      <c r="B272" s="73" t="s">
        <v>88</v>
      </c>
      <c r="C272" s="73" t="s">
        <v>140</v>
      </c>
      <c r="D272" s="73" t="s">
        <v>140</v>
      </c>
      <c r="E272" s="73" t="s">
        <v>2082</v>
      </c>
      <c r="F272" s="73" t="s">
        <v>2083</v>
      </c>
      <c r="G272" s="73" t="s">
        <v>2194</v>
      </c>
      <c r="H272" s="73" t="s">
        <v>2580</v>
      </c>
      <c r="I272" s="73" t="s">
        <v>2094</v>
      </c>
      <c r="J272" s="83" t="s">
        <v>3079</v>
      </c>
      <c r="K272" s="73" t="s">
        <v>2048</v>
      </c>
      <c r="L272" s="83" t="s">
        <v>3080</v>
      </c>
      <c r="M272" s="73" t="s">
        <v>1596</v>
      </c>
      <c r="N272" s="73" t="s">
        <v>2169</v>
      </c>
      <c r="O272" s="73" t="s">
        <v>1591</v>
      </c>
      <c r="P272" s="73" t="s">
        <v>2042</v>
      </c>
      <c r="Q272" s="73" t="s">
        <v>2050</v>
      </c>
      <c r="R272" s="73" t="s">
        <v>2051</v>
      </c>
      <c r="S272" s="73" t="s">
        <v>2043</v>
      </c>
      <c r="T272" s="73" t="s">
        <v>2044</v>
      </c>
      <c r="U272" s="74"/>
      <c r="V272" s="74"/>
      <c r="W272" s="74"/>
      <c r="X272" s="74"/>
      <c r="Y272" s="73" t="s">
        <v>2098</v>
      </c>
    </row>
    <row r="273" spans="1:25" ht="409.5">
      <c r="A273" s="73" t="s">
        <v>10</v>
      </c>
      <c r="B273" s="73" t="s">
        <v>166</v>
      </c>
      <c r="C273" s="73" t="s">
        <v>477</v>
      </c>
      <c r="D273" s="73" t="s">
        <v>477</v>
      </c>
      <c r="E273" s="73" t="s">
        <v>90</v>
      </c>
      <c r="F273" s="73" t="s">
        <v>1590</v>
      </c>
      <c r="G273" s="73" t="s">
        <v>2059</v>
      </c>
      <c r="H273" s="73" t="s">
        <v>3081</v>
      </c>
      <c r="I273" s="73" t="s">
        <v>2063</v>
      </c>
      <c r="J273" s="83" t="s">
        <v>3082</v>
      </c>
      <c r="K273" s="73" t="s">
        <v>2040</v>
      </c>
      <c r="L273" s="83" t="s">
        <v>3083</v>
      </c>
      <c r="M273" s="73" t="s">
        <v>1591</v>
      </c>
      <c r="N273" s="73" t="s">
        <v>2042</v>
      </c>
      <c r="O273" s="73" t="s">
        <v>1596</v>
      </c>
      <c r="P273" s="73" t="s">
        <v>2169</v>
      </c>
      <c r="Q273" s="73" t="s">
        <v>2050</v>
      </c>
      <c r="R273" s="73" t="s">
        <v>2550</v>
      </c>
      <c r="S273" s="73" t="s">
        <v>2052</v>
      </c>
      <c r="T273" s="73" t="s">
        <v>2053</v>
      </c>
      <c r="U273" s="74"/>
      <c r="V273" s="74"/>
      <c r="W273" s="74"/>
      <c r="X273" s="74"/>
      <c r="Y273" s="73" t="s">
        <v>2098</v>
      </c>
    </row>
    <row r="274" spans="1:25" ht="409.5">
      <c r="A274" s="73" t="s">
        <v>8</v>
      </c>
      <c r="B274" s="73" t="s">
        <v>658</v>
      </c>
      <c r="C274" s="73" t="s">
        <v>666</v>
      </c>
      <c r="D274" s="73" t="s">
        <v>666</v>
      </c>
      <c r="E274" s="73" t="s">
        <v>90</v>
      </c>
      <c r="F274" s="73" t="s">
        <v>1595</v>
      </c>
      <c r="G274" s="73" t="s">
        <v>2059</v>
      </c>
      <c r="H274" s="73" t="s">
        <v>3084</v>
      </c>
      <c r="I274" s="73" t="s">
        <v>2038</v>
      </c>
      <c r="J274" s="83" t="s">
        <v>3085</v>
      </c>
      <c r="K274" s="73" t="s">
        <v>2040</v>
      </c>
      <c r="L274" s="83" t="s">
        <v>3086</v>
      </c>
      <c r="M274" s="73" t="s">
        <v>1591</v>
      </c>
      <c r="N274" s="73" t="s">
        <v>2042</v>
      </c>
      <c r="O274" s="73" t="s">
        <v>1596</v>
      </c>
      <c r="P274" s="73" t="s">
        <v>2169</v>
      </c>
      <c r="Q274" s="73" t="s">
        <v>2050</v>
      </c>
      <c r="R274" s="73" t="s">
        <v>2550</v>
      </c>
      <c r="S274" s="73" t="s">
        <v>2052</v>
      </c>
      <c r="T274" s="73" t="s">
        <v>2053</v>
      </c>
      <c r="U274" s="74"/>
      <c r="V274" s="74"/>
      <c r="W274" s="74"/>
      <c r="X274" s="74"/>
      <c r="Y274" s="73" t="s">
        <v>2098</v>
      </c>
    </row>
    <row r="275" spans="1:25" ht="409.5">
      <c r="A275" s="73" t="s">
        <v>11</v>
      </c>
      <c r="B275" s="73" t="s">
        <v>297</v>
      </c>
      <c r="C275" s="73" t="s">
        <v>319</v>
      </c>
      <c r="D275" s="73" t="s">
        <v>319</v>
      </c>
      <c r="E275" s="73" t="s">
        <v>2082</v>
      </c>
      <c r="F275" s="73" t="s">
        <v>2083</v>
      </c>
      <c r="G275" s="73" t="s">
        <v>2083</v>
      </c>
      <c r="H275" s="73" t="s">
        <v>3087</v>
      </c>
      <c r="I275" s="73" t="s">
        <v>2063</v>
      </c>
      <c r="J275" s="83" t="s">
        <v>3088</v>
      </c>
      <c r="K275" s="73" t="s">
        <v>2188</v>
      </c>
      <c r="L275" s="83" t="s">
        <v>3089</v>
      </c>
      <c r="M275" s="73" t="s">
        <v>2050</v>
      </c>
      <c r="N275" s="73" t="s">
        <v>2550</v>
      </c>
      <c r="O275" s="73" t="s">
        <v>1591</v>
      </c>
      <c r="P275" s="73" t="s">
        <v>2042</v>
      </c>
      <c r="Q275" s="73" t="s">
        <v>1596</v>
      </c>
      <c r="R275" s="73" t="s">
        <v>2169</v>
      </c>
      <c r="S275" s="73" t="s">
        <v>2043</v>
      </c>
      <c r="T275" s="73" t="s">
        <v>2044</v>
      </c>
      <c r="U275" s="74"/>
      <c r="V275" s="74"/>
      <c r="W275" s="74"/>
      <c r="X275" s="74"/>
      <c r="Y275" s="73" t="s">
        <v>2098</v>
      </c>
    </row>
    <row r="276" spans="1:25" ht="409.5">
      <c r="A276" s="73" t="s">
        <v>7</v>
      </c>
      <c r="B276" s="73" t="s">
        <v>7</v>
      </c>
      <c r="C276" s="73" t="s">
        <v>425</v>
      </c>
      <c r="D276" s="73" t="s">
        <v>425</v>
      </c>
      <c r="E276" s="73" t="s">
        <v>90</v>
      </c>
      <c r="F276" s="73" t="s">
        <v>1590</v>
      </c>
      <c r="G276" s="73" t="s">
        <v>2059</v>
      </c>
      <c r="H276" s="73" t="s">
        <v>2263</v>
      </c>
      <c r="I276" s="73" t="s">
        <v>2038</v>
      </c>
      <c r="J276" s="83" t="s">
        <v>3090</v>
      </c>
      <c r="K276" s="73" t="s">
        <v>2087</v>
      </c>
      <c r="L276" s="83" t="s">
        <v>3091</v>
      </c>
      <c r="M276" s="73" t="s">
        <v>1591</v>
      </c>
      <c r="N276" s="73" t="s">
        <v>2042</v>
      </c>
      <c r="O276" s="73" t="s">
        <v>2050</v>
      </c>
      <c r="P276" s="73" t="s">
        <v>2550</v>
      </c>
      <c r="Q276" s="73" t="s">
        <v>1596</v>
      </c>
      <c r="R276" s="73" t="s">
        <v>2169</v>
      </c>
      <c r="S276" s="73" t="s">
        <v>2052</v>
      </c>
      <c r="T276" s="73" t="s">
        <v>2053</v>
      </c>
      <c r="U276" s="74"/>
      <c r="V276" s="74"/>
      <c r="W276" s="74"/>
      <c r="X276" s="74"/>
      <c r="Y276" s="73" t="s">
        <v>2098</v>
      </c>
    </row>
    <row r="277" spans="1:25" ht="409.5">
      <c r="A277" s="73" t="s">
        <v>7</v>
      </c>
      <c r="B277" s="73" t="s">
        <v>7</v>
      </c>
      <c r="C277" s="73" t="s">
        <v>579</v>
      </c>
      <c r="D277" s="73" t="s">
        <v>579</v>
      </c>
      <c r="E277" s="73" t="s">
        <v>100</v>
      </c>
      <c r="F277" s="73" t="s">
        <v>1590</v>
      </c>
      <c r="G277" s="73" t="s">
        <v>1590</v>
      </c>
      <c r="H277" s="73" t="s">
        <v>3092</v>
      </c>
      <c r="I277" s="73" t="s">
        <v>2038</v>
      </c>
      <c r="J277" s="83" t="s">
        <v>3093</v>
      </c>
      <c r="K277" s="73" t="s">
        <v>2040</v>
      </c>
      <c r="L277" s="83" t="s">
        <v>3094</v>
      </c>
      <c r="M277" s="73" t="s">
        <v>1591</v>
      </c>
      <c r="N277" s="73" t="s">
        <v>2042</v>
      </c>
      <c r="O277" s="73" t="s">
        <v>1596</v>
      </c>
      <c r="P277" s="73" t="s">
        <v>2169</v>
      </c>
      <c r="Q277" s="73" t="s">
        <v>2050</v>
      </c>
      <c r="R277" s="73" t="s">
        <v>2550</v>
      </c>
      <c r="S277" s="73" t="s">
        <v>2052</v>
      </c>
      <c r="T277" s="73" t="s">
        <v>2053</v>
      </c>
      <c r="U277" s="74"/>
      <c r="V277" s="74"/>
      <c r="W277" s="74"/>
      <c r="X277" s="74"/>
      <c r="Y277" s="73" t="s">
        <v>2098</v>
      </c>
    </row>
    <row r="278" spans="1:25" ht="409.5">
      <c r="A278" s="73" t="s">
        <v>7</v>
      </c>
      <c r="B278" s="73" t="s">
        <v>7</v>
      </c>
      <c r="C278" s="73" t="s">
        <v>781</v>
      </c>
      <c r="D278" s="73" t="s">
        <v>781</v>
      </c>
      <c r="E278" s="73" t="s">
        <v>90</v>
      </c>
      <c r="F278" s="73" t="s">
        <v>1590</v>
      </c>
      <c r="G278" s="73" t="s">
        <v>2059</v>
      </c>
      <c r="H278" s="73" t="s">
        <v>3095</v>
      </c>
      <c r="I278" s="73" t="s">
        <v>2038</v>
      </c>
      <c r="J278" s="83" t="s">
        <v>3096</v>
      </c>
      <c r="K278" s="73" t="s">
        <v>2040</v>
      </c>
      <c r="L278" s="83" t="s">
        <v>3097</v>
      </c>
      <c r="M278" s="73" t="s">
        <v>1591</v>
      </c>
      <c r="N278" s="73" t="s">
        <v>2042</v>
      </c>
      <c r="O278" s="73" t="s">
        <v>1596</v>
      </c>
      <c r="P278" s="73" t="s">
        <v>2169</v>
      </c>
      <c r="Q278" s="73" t="s">
        <v>2050</v>
      </c>
      <c r="R278" s="73" t="s">
        <v>2550</v>
      </c>
      <c r="S278" s="73" t="s">
        <v>2052</v>
      </c>
      <c r="T278" s="73" t="s">
        <v>2053</v>
      </c>
      <c r="U278" s="74"/>
      <c r="V278" s="74"/>
      <c r="W278" s="74"/>
      <c r="X278" s="74"/>
      <c r="Y278" s="73" t="s">
        <v>2098</v>
      </c>
    </row>
    <row r="279" spans="1:25" ht="409.5">
      <c r="A279" s="73" t="s">
        <v>7</v>
      </c>
      <c r="B279" s="73" t="s">
        <v>7</v>
      </c>
      <c r="C279" s="73" t="s">
        <v>554</v>
      </c>
      <c r="D279" s="73" t="s">
        <v>554</v>
      </c>
      <c r="E279" s="73" t="s">
        <v>95</v>
      </c>
      <c r="F279" s="73" t="s">
        <v>1595</v>
      </c>
      <c r="G279" s="73" t="s">
        <v>2059</v>
      </c>
      <c r="H279" s="73" t="s">
        <v>3095</v>
      </c>
      <c r="I279" s="73" t="s">
        <v>2038</v>
      </c>
      <c r="J279" s="83" t="s">
        <v>3098</v>
      </c>
      <c r="K279" s="73" t="s">
        <v>2048</v>
      </c>
      <c r="L279" s="83" t="s">
        <v>3099</v>
      </c>
      <c r="M279" s="73" t="s">
        <v>1596</v>
      </c>
      <c r="N279" s="73" t="s">
        <v>2930</v>
      </c>
      <c r="O279" s="73" t="s">
        <v>1591</v>
      </c>
      <c r="P279" s="73" t="s">
        <v>2042</v>
      </c>
      <c r="Q279" s="73" t="s">
        <v>2050</v>
      </c>
      <c r="R279" s="73" t="s">
        <v>2550</v>
      </c>
      <c r="S279" s="73" t="s">
        <v>2043</v>
      </c>
      <c r="T279" s="73" t="s">
        <v>2044</v>
      </c>
      <c r="U279" s="74"/>
      <c r="V279" s="74"/>
      <c r="W279" s="74"/>
      <c r="X279" s="74"/>
      <c r="Y279" s="73" t="s">
        <v>2098</v>
      </c>
    </row>
    <row r="280" spans="1:25" ht="40.5">
      <c r="A280" s="71" t="s">
        <v>7</v>
      </c>
      <c r="B280" s="71" t="s">
        <v>7</v>
      </c>
      <c r="C280" s="71" t="s">
        <v>753</v>
      </c>
      <c r="D280" s="71" t="s">
        <v>753</v>
      </c>
      <c r="E280" s="71" t="s">
        <v>90</v>
      </c>
      <c r="F280" s="71" t="s">
        <v>1595</v>
      </c>
      <c r="G280" s="71" t="s">
        <v>2059</v>
      </c>
      <c r="H280" s="71" t="s">
        <v>3100</v>
      </c>
      <c r="I280" s="71" t="s">
        <v>2094</v>
      </c>
      <c r="J280" s="86">
        <v>1</v>
      </c>
      <c r="K280" s="67"/>
      <c r="L280" s="67"/>
      <c r="M280" s="67"/>
      <c r="N280" s="75"/>
      <c r="O280" s="67"/>
      <c r="P280" s="67"/>
      <c r="Q280" s="67"/>
      <c r="R280" s="67"/>
      <c r="S280" s="67"/>
      <c r="T280" s="67"/>
      <c r="U280" s="67"/>
      <c r="V280" s="67"/>
      <c r="W280" s="67"/>
      <c r="X280" s="67"/>
      <c r="Y280" s="67"/>
    </row>
    <row r="281" spans="1:25" ht="13.5">
      <c r="A281" s="71" t="s">
        <v>7</v>
      </c>
      <c r="B281" s="71" t="s">
        <v>706</v>
      </c>
      <c r="C281" s="71" t="s">
        <v>720</v>
      </c>
      <c r="D281" s="71" t="s">
        <v>720</v>
      </c>
      <c r="E281" s="71" t="s">
        <v>90</v>
      </c>
      <c r="F281" s="67"/>
      <c r="G281" s="67"/>
      <c r="H281" s="67"/>
      <c r="I281" s="67"/>
      <c r="J281" s="67"/>
      <c r="K281" s="67"/>
      <c r="L281" s="67"/>
      <c r="M281" s="67"/>
      <c r="N281" s="75"/>
      <c r="O281" s="67"/>
      <c r="P281" s="67"/>
      <c r="Q281" s="67"/>
      <c r="R281" s="67"/>
      <c r="S281" s="67"/>
      <c r="T281" s="67"/>
      <c r="U281" s="67"/>
      <c r="V281" s="67"/>
      <c r="W281" s="67"/>
      <c r="X281" s="67"/>
      <c r="Y281" s="71" t="s">
        <v>2058</v>
      </c>
    </row>
  </sheetData>
  <dataValidations count="10">
    <dataValidation type="list" allowBlank="1" sqref="E2:E37 E38:F39 E40:E46 E47:F56 E57:E106 E107:F107 E108:E109 E110:F110 E111:E126 E127:F127 E128:E281" xr:uid="{00000000-0002-0000-0500-000000000000}">
      <formula1>"Safe,Favourable,Battleground,Difficult"</formula1>
    </dataValidation>
    <dataValidation type="list" allowBlank="1" showErrorMessage="1" sqref="P2:P154 P156:P159 N2:N281 P161:P281 R2:R281" xr:uid="{00000000-0002-0000-0500-000001000000}">
      <formula1>"Strong Cadre and Strong Leadership,Strong Cadre Weak Leadership,Weak Leadership &amp; Weak Cadre,weak leadership and strong cadre,Strong Leadership but Weak Vote Bank,Weak Leadership but strong vote bank,Strong Leadership but Weak Cadre,Medium Leadership but "&amp;"low vote bank,Strong Leadership but medium Vote bank,Medium leadership medium vote bank"</formula1>
    </dataValidation>
    <dataValidation type="list" allowBlank="1" showErrorMessage="1" sqref="T2:T281" xr:uid="{00000000-0002-0000-0500-000002000000}">
      <formula1>"Positive Image Welfare Schemes,No Development,Negative Image on Local Leadership,One More Chance to Jagan,negative image on welfare schemes"</formula1>
    </dataValidation>
    <dataValidation type="list" allowBlank="1" showErrorMessage="1" sqref="A2:D281" xr:uid="{00000000-0002-0000-0500-000003000000}">
      <formula1>#REF!</formula1>
    </dataValidation>
    <dataValidation type="list" allowBlank="1" showErrorMessage="1" sqref="K2:K281" xr:uid="{00000000-0002-0000-0500-000004000000}">
      <formula1>"YCP&gt;TDP&gt;JSP,TDP&gt;YCP&gt;JSP,JSP&gt;YCP&gt;TDP,TDP&gt;JSP&gt;YCP,JSP&gt;TDP&gt;YCP,YCP&gt;JSP&gt;TDP"</formula1>
    </dataValidation>
    <dataValidation type="list" allowBlank="1" showErrorMessage="1" sqref="O2:O135 Q2:Q142 M2:M154 O137:O154 Q144:Q154 M156:M159 O156:O159 M161:M281 O161:O281 Q156:Q281" xr:uid="{00000000-0002-0000-0500-000006000000}">
      <formula1>"Strong,Medium,Weak"</formula1>
    </dataValidation>
    <dataValidation type="list" allowBlank="1" showErrorMessage="1" sqref="S2:S154 S156:S281" xr:uid="{00000000-0002-0000-0500-000007000000}">
      <formula1>"Positive,Negative,No Opinion,Mixed"</formula1>
    </dataValidation>
    <dataValidation type="list" allowBlank="1" showErrorMessage="1" sqref="I2:I281" xr:uid="{00000000-0002-0000-0500-000009000000}">
      <formula1>"Internal Conflicts,Leader Dominance,Caste Composition,JSP Split the Votes,Issue Based Voting,Anti-Incumbency on TDP,Defections,Party Leaders Tacit Understanding with Opposition Leaders,Impact of Janmabhoomi Commitees,Inactive Local Leadership,welfare sche"&amp;"mes,TDP boycotted elecetions,Jagan Navaratanalu schemes"</formula1>
    </dataValidation>
    <dataValidation type="list" allowBlank="1" showErrorMessage="1" sqref="F2:G37 G38:G39 F40:G46 G47:G56 F57:G106 G107 F108:G109 G110 F111:G126 G127 F128:G281" xr:uid="{00000000-0002-0000-0500-00000B000000}">
      <formula1>"TDP Ahead,TDP Closely Ahead,Dead Heat,TDP Closely Trailing,TDP Trailing"</formula1>
    </dataValidation>
    <dataValidation type="list" allowBlank="1" showErrorMessage="1" sqref="W2:W180 W194 W197 W206 W209:W210" xr:uid="{00000000-0002-0000-0500-00000C000000}">
      <formula1>"Complete,Incomplete,Review"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3656"/>
  <sheetViews>
    <sheetView workbookViewId="0"/>
  </sheetViews>
  <sheetFormatPr defaultColWidth="12.59765625" defaultRowHeight="15.75" customHeight="1"/>
  <cols>
    <col min="2" max="2" width="14.265625" customWidth="1"/>
    <col min="3" max="3" width="17.1328125" customWidth="1"/>
    <col min="4" max="4" width="13.46484375" customWidth="1"/>
  </cols>
  <sheetData>
    <row r="1" spans="1:15" ht="15.75" customHeight="1">
      <c r="A1" s="90" t="s">
        <v>0</v>
      </c>
      <c r="B1" s="90" t="s">
        <v>1</v>
      </c>
      <c r="C1" s="90" t="s">
        <v>2018</v>
      </c>
      <c r="D1" s="90" t="s">
        <v>66</v>
      </c>
      <c r="E1" s="90" t="s">
        <v>56</v>
      </c>
      <c r="F1" s="90" t="s">
        <v>21</v>
      </c>
      <c r="G1" s="90" t="s">
        <v>57</v>
      </c>
      <c r="H1" s="90" t="s">
        <v>3101</v>
      </c>
      <c r="I1" s="90" t="s">
        <v>58</v>
      </c>
      <c r="J1" s="90" t="s">
        <v>3102</v>
      </c>
      <c r="K1" s="90" t="s">
        <v>3103</v>
      </c>
      <c r="L1" s="67"/>
      <c r="M1" s="67"/>
      <c r="N1" s="67"/>
      <c r="O1" s="67"/>
    </row>
    <row r="2" spans="1:15" ht="15.75" customHeight="1">
      <c r="A2" s="91" t="s">
        <v>7</v>
      </c>
      <c r="B2" s="92" t="s">
        <v>7</v>
      </c>
      <c r="C2" s="92" t="s">
        <v>654</v>
      </c>
      <c r="D2" s="91" t="s">
        <v>654</v>
      </c>
      <c r="E2" s="92" t="s">
        <v>3104</v>
      </c>
      <c r="F2" s="91" t="s">
        <v>288</v>
      </c>
      <c r="G2" s="91" t="s">
        <v>615</v>
      </c>
      <c r="H2" s="93" t="s">
        <v>5</v>
      </c>
      <c r="I2" s="92" t="s">
        <v>3105</v>
      </c>
      <c r="J2" s="92">
        <v>9908854433</v>
      </c>
      <c r="K2" s="67"/>
      <c r="L2" s="67"/>
      <c r="M2" s="67"/>
      <c r="N2" s="91" t="e">
        <f t="array" aca="1" ref="N2:N21" ca="1">_xludf.unique(B2:B4905)</f>
        <v>#NAME?</v>
      </c>
      <c r="O2" s="91" t="s">
        <v>7</v>
      </c>
    </row>
    <row r="3" spans="1:15" ht="15.75" customHeight="1">
      <c r="A3" s="91" t="s">
        <v>7</v>
      </c>
      <c r="B3" s="92" t="s">
        <v>7</v>
      </c>
      <c r="C3" s="92" t="s">
        <v>654</v>
      </c>
      <c r="D3" s="91" t="s">
        <v>654</v>
      </c>
      <c r="E3" s="92" t="s">
        <v>3106</v>
      </c>
      <c r="F3" s="91" t="s">
        <v>38</v>
      </c>
      <c r="G3" s="91" t="s">
        <v>594</v>
      </c>
      <c r="H3" s="93" t="s">
        <v>5</v>
      </c>
      <c r="I3" s="92" t="s">
        <v>3107</v>
      </c>
      <c r="J3" s="92">
        <v>7794821158</v>
      </c>
      <c r="K3" s="67"/>
      <c r="L3" s="67"/>
      <c r="M3" s="67"/>
      <c r="N3" s="91" t="e">
        <f ca="1"/>
        <v>#NAME?</v>
      </c>
      <c r="O3" s="91" t="s">
        <v>10</v>
      </c>
    </row>
    <row r="4" spans="1:15" ht="15.75" customHeight="1">
      <c r="A4" s="91" t="s">
        <v>7</v>
      </c>
      <c r="B4" s="92" t="s">
        <v>7</v>
      </c>
      <c r="C4" s="92" t="s">
        <v>654</v>
      </c>
      <c r="D4" s="91" t="s">
        <v>654</v>
      </c>
      <c r="E4" s="92" t="s">
        <v>3108</v>
      </c>
      <c r="F4" s="91" t="s">
        <v>288</v>
      </c>
      <c r="G4" s="91" t="s">
        <v>615</v>
      </c>
      <c r="H4" s="93" t="s">
        <v>5</v>
      </c>
      <c r="I4" s="92" t="s">
        <v>3109</v>
      </c>
      <c r="J4" s="92">
        <v>7702072826</v>
      </c>
      <c r="K4" s="67"/>
      <c r="L4" s="67"/>
      <c r="M4" s="67"/>
      <c r="N4" s="91" t="e">
        <f ca="1"/>
        <v>#NAME?</v>
      </c>
      <c r="O4" s="91" t="s">
        <v>19</v>
      </c>
    </row>
    <row r="5" spans="1:15" ht="15.75" customHeight="1">
      <c r="A5" s="91" t="s">
        <v>7</v>
      </c>
      <c r="B5" s="92" t="s">
        <v>7</v>
      </c>
      <c r="C5" s="92" t="s">
        <v>654</v>
      </c>
      <c r="D5" s="91" t="s">
        <v>654</v>
      </c>
      <c r="E5" s="92" t="s">
        <v>3110</v>
      </c>
      <c r="F5" s="91" t="s">
        <v>139</v>
      </c>
      <c r="G5" s="91" t="s">
        <v>594</v>
      </c>
      <c r="H5" s="93" t="s">
        <v>4</v>
      </c>
      <c r="I5" s="92" t="s">
        <v>3107</v>
      </c>
      <c r="J5" s="92">
        <v>9494187111</v>
      </c>
      <c r="K5" s="67"/>
      <c r="L5" s="67"/>
      <c r="M5" s="67"/>
      <c r="N5" s="91" t="e">
        <f ca="1"/>
        <v>#NAME?</v>
      </c>
      <c r="O5" s="91" t="s">
        <v>7</v>
      </c>
    </row>
    <row r="6" spans="1:15" ht="15.75" customHeight="1">
      <c r="A6" s="91" t="s">
        <v>7</v>
      </c>
      <c r="B6" s="92" t="s">
        <v>7</v>
      </c>
      <c r="C6" s="92" t="s">
        <v>654</v>
      </c>
      <c r="D6" s="91" t="s">
        <v>654</v>
      </c>
      <c r="E6" s="92" t="s">
        <v>3111</v>
      </c>
      <c r="F6" s="91" t="s">
        <v>139</v>
      </c>
      <c r="G6" s="91" t="s">
        <v>594</v>
      </c>
      <c r="H6" s="93" t="s">
        <v>4</v>
      </c>
      <c r="I6" s="92" t="s">
        <v>3112</v>
      </c>
      <c r="J6" s="92">
        <v>9296553324</v>
      </c>
      <c r="K6" s="67"/>
      <c r="L6" s="67"/>
      <c r="M6" s="67"/>
      <c r="N6" s="91" t="e">
        <f ca="1"/>
        <v>#NAME?</v>
      </c>
      <c r="O6" s="91" t="s">
        <v>7</v>
      </c>
    </row>
    <row r="7" spans="1:15" ht="15.75" customHeight="1">
      <c r="A7" s="91" t="s">
        <v>7</v>
      </c>
      <c r="B7" s="92" t="s">
        <v>7</v>
      </c>
      <c r="C7" s="92" t="s">
        <v>654</v>
      </c>
      <c r="D7" s="91" t="s">
        <v>654</v>
      </c>
      <c r="E7" s="92" t="s">
        <v>3113</v>
      </c>
      <c r="F7" s="91" t="s">
        <v>139</v>
      </c>
      <c r="G7" s="91" t="s">
        <v>594</v>
      </c>
      <c r="H7" s="93" t="s">
        <v>4</v>
      </c>
      <c r="I7" s="92" t="s">
        <v>3112</v>
      </c>
      <c r="J7" s="67"/>
      <c r="K7" s="67"/>
      <c r="L7" s="67"/>
      <c r="M7" s="67"/>
      <c r="N7" s="91" t="e">
        <f ca="1"/>
        <v>#NAME?</v>
      </c>
      <c r="O7" s="91" t="s">
        <v>8</v>
      </c>
    </row>
    <row r="8" spans="1:15" ht="15.75" customHeight="1">
      <c r="A8" s="91" t="s">
        <v>7</v>
      </c>
      <c r="B8" s="92" t="s">
        <v>7</v>
      </c>
      <c r="C8" s="92" t="str">
        <f ca="1">IFERROR(__xludf.DUMMYFUNCTION("filter('Back End'!C:C,'Back End'!A:A=A8,'Back End'!B:B=B8,'Back End'!D:D=D8)"),"Valluru")</f>
        <v>Valluru</v>
      </c>
      <c r="D8" s="91" t="s">
        <v>425</v>
      </c>
      <c r="E8" s="92" t="s">
        <v>3114</v>
      </c>
      <c r="F8" s="91" t="s">
        <v>139</v>
      </c>
      <c r="G8" s="91" t="s">
        <v>594</v>
      </c>
      <c r="H8" s="93" t="s">
        <v>5</v>
      </c>
      <c r="I8" s="92" t="s">
        <v>3115</v>
      </c>
      <c r="J8" s="92">
        <v>8885920788</v>
      </c>
      <c r="K8" s="67"/>
      <c r="L8" s="67"/>
      <c r="M8" s="67"/>
      <c r="N8" s="91" t="e">
        <f ca="1"/>
        <v>#NAME?</v>
      </c>
      <c r="O8" s="91" t="s">
        <v>8</v>
      </c>
    </row>
    <row r="9" spans="1:15" ht="15.75" customHeight="1">
      <c r="A9" s="91" t="s">
        <v>7</v>
      </c>
      <c r="B9" s="92" t="s">
        <v>7</v>
      </c>
      <c r="C9" s="92" t="str">
        <f ca="1">IFERROR(__xludf.DUMMYFUNCTION("filter('Back End'!C:C,'Back End'!A:A=A9,'Back End'!B:B=B9,'Back End'!D:D=D9)"),"Valluru")</f>
        <v>Valluru</v>
      </c>
      <c r="D9" s="91" t="s">
        <v>425</v>
      </c>
      <c r="E9" s="92" t="s">
        <v>3116</v>
      </c>
      <c r="F9" s="91" t="s">
        <v>288</v>
      </c>
      <c r="G9" s="91" t="s">
        <v>615</v>
      </c>
      <c r="H9" s="93" t="s">
        <v>5</v>
      </c>
      <c r="I9" s="92" t="s">
        <v>3117</v>
      </c>
      <c r="J9" s="92">
        <v>9000831368</v>
      </c>
      <c r="K9" s="67"/>
      <c r="L9" s="67"/>
      <c r="M9" s="67"/>
      <c r="N9" s="91" t="e">
        <f ca="1"/>
        <v>#NAME?</v>
      </c>
      <c r="O9" s="91" t="s">
        <v>10</v>
      </c>
    </row>
    <row r="10" spans="1:15" ht="15.75" customHeight="1">
      <c r="A10" s="91" t="s">
        <v>7</v>
      </c>
      <c r="B10" s="92" t="s">
        <v>7</v>
      </c>
      <c r="C10" s="92" t="str">
        <f ca="1">IFERROR(__xludf.DUMMYFUNCTION("filter('Back End'!C:C,'Back End'!A:A=A10,'Back End'!B:B=B10,'Back End'!D:D=D10)"),"Valluru")</f>
        <v>Valluru</v>
      </c>
      <c r="D10" s="91" t="s">
        <v>425</v>
      </c>
      <c r="E10" s="92" t="s">
        <v>3108</v>
      </c>
      <c r="F10" s="91" t="s">
        <v>288</v>
      </c>
      <c r="G10" s="91" t="s">
        <v>615</v>
      </c>
      <c r="H10" s="93" t="s">
        <v>5</v>
      </c>
      <c r="I10" s="92" t="s">
        <v>3118</v>
      </c>
      <c r="J10" s="92">
        <v>7702072826</v>
      </c>
      <c r="K10" s="67"/>
      <c r="L10" s="67"/>
      <c r="M10" s="67"/>
      <c r="N10" s="91" t="e">
        <f ca="1"/>
        <v>#NAME?</v>
      </c>
      <c r="O10" s="91" t="s">
        <v>10</v>
      </c>
    </row>
    <row r="11" spans="1:15" ht="15.75" customHeight="1">
      <c r="A11" s="91" t="s">
        <v>7</v>
      </c>
      <c r="B11" s="92" t="s">
        <v>7</v>
      </c>
      <c r="C11" s="92" t="str">
        <f ca="1">IFERROR(__xludf.DUMMYFUNCTION("filter('Back End'!C:C,'Back End'!A:A=A11,'Back End'!B:B=B11,'Back End'!D:D=D11)"),"Valluru")</f>
        <v>Valluru</v>
      </c>
      <c r="D11" s="91" t="s">
        <v>425</v>
      </c>
      <c r="E11" s="92" t="s">
        <v>3119</v>
      </c>
      <c r="F11" s="91" t="s">
        <v>139</v>
      </c>
      <c r="G11" s="91" t="s">
        <v>594</v>
      </c>
      <c r="H11" s="93" t="s">
        <v>4</v>
      </c>
      <c r="I11" s="92" t="s">
        <v>3120</v>
      </c>
      <c r="J11" s="92">
        <v>9866946806</v>
      </c>
      <c r="K11" s="92" t="s">
        <v>1608</v>
      </c>
      <c r="L11" s="67"/>
      <c r="M11" s="67"/>
      <c r="N11" s="91" t="e">
        <f ca="1"/>
        <v>#NAME?</v>
      </c>
      <c r="O11" s="91" t="s">
        <v>8</v>
      </c>
    </row>
    <row r="12" spans="1:15" ht="15.75" customHeight="1">
      <c r="A12" s="91" t="s">
        <v>7</v>
      </c>
      <c r="B12" s="92" t="s">
        <v>7</v>
      </c>
      <c r="C12" s="92" t="str">
        <f ca="1">IFERROR(__xludf.DUMMYFUNCTION("filter('Back End'!C:C,'Back End'!A:A=A12,'Back End'!B:B=B12,'Back End'!D:D=D12)"),"Valluru")</f>
        <v>Valluru</v>
      </c>
      <c r="D12" s="91" t="s">
        <v>425</v>
      </c>
      <c r="E12" s="92" t="s">
        <v>3121</v>
      </c>
      <c r="F12" s="91" t="s">
        <v>139</v>
      </c>
      <c r="G12" s="91" t="s">
        <v>594</v>
      </c>
      <c r="H12" s="93" t="s">
        <v>4</v>
      </c>
      <c r="I12" s="92" t="s">
        <v>3122</v>
      </c>
      <c r="J12" s="92">
        <v>9490150147</v>
      </c>
      <c r="K12" s="92" t="s">
        <v>3123</v>
      </c>
      <c r="L12" s="67"/>
      <c r="M12" s="67"/>
      <c r="N12" s="91" t="e">
        <f ca="1"/>
        <v>#NAME?</v>
      </c>
      <c r="O12" s="91" t="s">
        <v>7</v>
      </c>
    </row>
    <row r="13" spans="1:15" ht="15.75" customHeight="1">
      <c r="A13" s="91" t="s">
        <v>7</v>
      </c>
      <c r="B13" s="91" t="s">
        <v>7</v>
      </c>
      <c r="C13" s="92" t="str">
        <f ca="1">IFERROR(__xludf.DUMMYFUNCTION("filter('Back End'!C:C,'Back End'!A:A=A13,'Back End'!B:B=B13,'Back End'!D:D=D13)"),"Valluru")</f>
        <v>Valluru</v>
      </c>
      <c r="D13" s="91" t="s">
        <v>425</v>
      </c>
      <c r="E13" s="91" t="s">
        <v>3124</v>
      </c>
      <c r="F13" s="91" t="s">
        <v>139</v>
      </c>
      <c r="G13" s="91" t="s">
        <v>594</v>
      </c>
      <c r="H13" s="93" t="s">
        <v>4</v>
      </c>
      <c r="I13" s="92" t="s">
        <v>3125</v>
      </c>
      <c r="J13" s="92">
        <v>9705739606</v>
      </c>
      <c r="K13" s="67"/>
      <c r="L13" s="67"/>
      <c r="M13" s="67"/>
      <c r="N13" s="91" t="e">
        <f ca="1"/>
        <v>#NAME?</v>
      </c>
      <c r="O13" s="67"/>
    </row>
    <row r="14" spans="1:15" ht="15.75" customHeight="1">
      <c r="A14" s="91" t="s">
        <v>7</v>
      </c>
      <c r="B14" s="91" t="s">
        <v>7</v>
      </c>
      <c r="C14" s="92" t="str">
        <f ca="1">IFERROR(__xludf.DUMMYFUNCTION("filter('Back End'!C:C,'Back End'!A:A=A14,'Back End'!B:B=B14,'Back End'!D:D=D14)"),"Valluru")</f>
        <v>Valluru</v>
      </c>
      <c r="D14" s="91" t="s">
        <v>425</v>
      </c>
      <c r="E14" s="91" t="s">
        <v>3126</v>
      </c>
      <c r="F14" s="91" t="s">
        <v>288</v>
      </c>
      <c r="G14" s="91" t="s">
        <v>615</v>
      </c>
      <c r="H14" s="93" t="s">
        <v>4</v>
      </c>
      <c r="I14" s="92" t="s">
        <v>3127</v>
      </c>
      <c r="J14" s="92">
        <v>9177907099</v>
      </c>
      <c r="K14" s="67"/>
      <c r="L14" s="67"/>
      <c r="M14" s="67"/>
      <c r="N14" s="91" t="e">
        <f ca="1"/>
        <v>#NAME?</v>
      </c>
      <c r="O14" s="67"/>
    </row>
    <row r="15" spans="1:15" ht="15.75" customHeight="1">
      <c r="A15" s="91" t="s">
        <v>7</v>
      </c>
      <c r="B15" s="91" t="s">
        <v>7</v>
      </c>
      <c r="C15" s="92" t="str">
        <f ca="1">IFERROR(__xludf.DUMMYFUNCTION("filter('Back End'!C:C,'Back End'!A:A=A15,'Back End'!B:B=B15,'Back End'!D:D=D15)"),"Valluru")</f>
        <v>Valluru</v>
      </c>
      <c r="D15" s="91" t="s">
        <v>425</v>
      </c>
      <c r="E15" s="91" t="s">
        <v>3128</v>
      </c>
      <c r="F15" s="91" t="s">
        <v>139</v>
      </c>
      <c r="G15" s="91" t="s">
        <v>594</v>
      </c>
      <c r="H15" s="93" t="s">
        <v>4</v>
      </c>
      <c r="I15" s="92" t="s">
        <v>3127</v>
      </c>
      <c r="J15" s="92">
        <v>9989112399</v>
      </c>
      <c r="K15" s="67"/>
      <c r="L15" s="67"/>
      <c r="M15" s="67"/>
      <c r="N15" s="91" t="e">
        <f ca="1"/>
        <v>#NAME?</v>
      </c>
      <c r="O15" s="67"/>
    </row>
    <row r="16" spans="1:15" ht="15.75" customHeight="1">
      <c r="A16" s="91" t="s">
        <v>7</v>
      </c>
      <c r="B16" s="91" t="s">
        <v>7</v>
      </c>
      <c r="C16" s="92" t="str">
        <f ca="1">IFERROR(__xludf.DUMMYFUNCTION("filter('Back End'!C:C,'Back End'!A:A=A16,'Back End'!B:B=B16,'Back End'!D:D=D16)"),"Valluru")</f>
        <v>Valluru</v>
      </c>
      <c r="D16" s="91" t="s">
        <v>425</v>
      </c>
      <c r="E16" s="91" t="s">
        <v>3129</v>
      </c>
      <c r="F16" s="91" t="s">
        <v>139</v>
      </c>
      <c r="G16" s="91" t="s">
        <v>594</v>
      </c>
      <c r="H16" s="93" t="s">
        <v>5</v>
      </c>
      <c r="I16" s="92" t="s">
        <v>3130</v>
      </c>
      <c r="J16" s="92">
        <v>9908791791</v>
      </c>
      <c r="K16" s="67"/>
      <c r="L16" s="67"/>
      <c r="M16" s="67"/>
      <c r="N16" s="91" t="e">
        <f ca="1"/>
        <v>#NAME?</v>
      </c>
      <c r="O16" s="67"/>
    </row>
    <row r="17" spans="1:15" ht="30">
      <c r="A17" s="91" t="s">
        <v>7</v>
      </c>
      <c r="B17" s="92" t="s">
        <v>7</v>
      </c>
      <c r="C17" s="92" t="str">
        <f ca="1">IFERROR(__xludf.DUMMYFUNCTION("filter('Back End'!C:C,'Back End'!A:A=A17,'Back End'!B:B=B17,'Back End'!D:D=D17)"),"Valluru")</f>
        <v>Valluru</v>
      </c>
      <c r="D17" s="91" t="s">
        <v>425</v>
      </c>
      <c r="E17" s="92" t="s">
        <v>3131</v>
      </c>
      <c r="F17" s="91" t="s">
        <v>139</v>
      </c>
      <c r="G17" s="91" t="s">
        <v>594</v>
      </c>
      <c r="H17" s="93" t="s">
        <v>4</v>
      </c>
      <c r="I17" s="92" t="s">
        <v>3132</v>
      </c>
      <c r="J17" s="92">
        <v>9989112399</v>
      </c>
      <c r="K17" s="67"/>
      <c r="L17" s="67"/>
      <c r="M17" s="67"/>
      <c r="N17" s="67" t="e">
        <f ca="1"/>
        <v>#NAME?</v>
      </c>
      <c r="O17" s="91" t="s">
        <v>11</v>
      </c>
    </row>
    <row r="18" spans="1:15" ht="45.75">
      <c r="A18" s="91" t="s">
        <v>10</v>
      </c>
      <c r="B18" s="91" t="s">
        <v>430</v>
      </c>
      <c r="C18" s="92" t="s">
        <v>449</v>
      </c>
      <c r="D18" s="91" t="s">
        <v>449</v>
      </c>
      <c r="E18" s="94" t="s">
        <v>3133</v>
      </c>
      <c r="F18" s="91" t="s">
        <v>114</v>
      </c>
      <c r="G18" s="91" t="s">
        <v>85</v>
      </c>
      <c r="H18" s="93" t="s">
        <v>5</v>
      </c>
      <c r="I18" s="92" t="s">
        <v>3134</v>
      </c>
      <c r="J18" s="92">
        <v>9121958834</v>
      </c>
      <c r="K18" s="67"/>
      <c r="L18" s="67"/>
      <c r="M18" s="67"/>
      <c r="N18" s="91" t="e">
        <f ca="1"/>
        <v>#NAME?</v>
      </c>
      <c r="O18" s="67"/>
    </row>
    <row r="19" spans="1:15" ht="31.5">
      <c r="A19" s="91" t="s">
        <v>10</v>
      </c>
      <c r="B19" s="91" t="s">
        <v>430</v>
      </c>
      <c r="C19" s="92" t="s">
        <v>449</v>
      </c>
      <c r="D19" s="91" t="s">
        <v>449</v>
      </c>
      <c r="E19" s="94" t="s">
        <v>3135</v>
      </c>
      <c r="F19" s="91" t="s">
        <v>114</v>
      </c>
      <c r="G19" s="91" t="s">
        <v>85</v>
      </c>
      <c r="H19" s="93" t="s">
        <v>5</v>
      </c>
      <c r="I19" s="67"/>
      <c r="J19" s="92">
        <v>9542997294</v>
      </c>
      <c r="K19" s="67"/>
      <c r="L19" s="67"/>
      <c r="M19" s="67"/>
      <c r="N19" s="91" t="e">
        <f ca="1"/>
        <v>#NAME?</v>
      </c>
      <c r="O19" s="91" t="s">
        <v>8</v>
      </c>
    </row>
    <row r="20" spans="1:15" ht="60.75">
      <c r="A20" s="91" t="s">
        <v>10</v>
      </c>
      <c r="B20" s="91" t="s">
        <v>430</v>
      </c>
      <c r="C20" s="92" t="s">
        <v>449</v>
      </c>
      <c r="D20" s="91" t="s">
        <v>449</v>
      </c>
      <c r="E20" s="94" t="s">
        <v>3136</v>
      </c>
      <c r="F20" s="91" t="s">
        <v>1669</v>
      </c>
      <c r="G20" s="91" t="s">
        <v>615</v>
      </c>
      <c r="H20" s="93" t="s">
        <v>4</v>
      </c>
      <c r="I20" s="92" t="s">
        <v>3137</v>
      </c>
      <c r="J20" s="92">
        <v>9948006454</v>
      </c>
      <c r="K20" s="67"/>
      <c r="L20" s="67"/>
      <c r="M20" s="67"/>
      <c r="N20" s="67" t="e">
        <f ca="1"/>
        <v>#NAME?</v>
      </c>
      <c r="O20" s="91" t="s">
        <v>19</v>
      </c>
    </row>
    <row r="21" spans="1:15" ht="15">
      <c r="A21" s="91" t="s">
        <v>10</v>
      </c>
      <c r="B21" s="91" t="s">
        <v>430</v>
      </c>
      <c r="C21" s="92" t="str">
        <f ca="1">IFERROR(__xludf.DUMMYFUNCTION("filter('Back End'!C:C,'Back End'!A:A=A21,'Back End'!B:B=B21,'Back End'!D:D=D21)"),"Kodavali")</f>
        <v>Kodavali</v>
      </c>
      <c r="D21" s="91" t="s">
        <v>449</v>
      </c>
      <c r="E21" s="91" t="s">
        <v>3139</v>
      </c>
      <c r="F21" s="91" t="s">
        <v>1642</v>
      </c>
      <c r="G21" s="91" t="s">
        <v>615</v>
      </c>
      <c r="H21" s="93" t="s">
        <v>4</v>
      </c>
      <c r="I21" s="92" t="s">
        <v>3140</v>
      </c>
      <c r="J21" s="92">
        <v>9000580096</v>
      </c>
      <c r="K21" s="67"/>
      <c r="L21" s="67"/>
      <c r="M21" s="67"/>
      <c r="N21" s="91" t="e">
        <f ca="1"/>
        <v>#NAME?</v>
      </c>
      <c r="O21" s="67"/>
    </row>
    <row r="22" spans="1:15" ht="30">
      <c r="A22" s="91" t="s">
        <v>10</v>
      </c>
      <c r="B22" s="91" t="s">
        <v>430</v>
      </c>
      <c r="C22" s="92" t="str">
        <f ca="1">IFERROR(__xludf.DUMMYFUNCTION("filter('Back End'!C:C,'Back End'!A:A=A22,'Back End'!B:B=B22,'Back End'!D:D=D22)"),"Kodavali")</f>
        <v>Kodavali</v>
      </c>
      <c r="D22" s="91" t="s">
        <v>449</v>
      </c>
      <c r="E22" s="91" t="s">
        <v>3141</v>
      </c>
      <c r="F22" s="91" t="s">
        <v>1669</v>
      </c>
      <c r="G22" s="91" t="s">
        <v>615</v>
      </c>
      <c r="H22" s="93" t="s">
        <v>4</v>
      </c>
      <c r="I22" s="92" t="s">
        <v>3142</v>
      </c>
      <c r="J22" s="92">
        <v>9059670170</v>
      </c>
      <c r="K22" s="67"/>
      <c r="L22" s="67"/>
      <c r="M22" s="67"/>
      <c r="N22" s="67"/>
      <c r="O22" s="67"/>
    </row>
    <row r="23" spans="1:15" ht="15">
      <c r="A23" s="91" t="s">
        <v>10</v>
      </c>
      <c r="B23" s="91" t="s">
        <v>430</v>
      </c>
      <c r="C23" s="92" t="str">
        <f ca="1">IFERROR(__xludf.DUMMYFUNCTION("filter('Back End'!C:C,'Back End'!A:A=A23,'Back End'!B:B=B23,'Back End'!D:D=D23)"),"Kodavali")</f>
        <v>Kodavali</v>
      </c>
      <c r="D23" s="91" t="s">
        <v>449</v>
      </c>
      <c r="E23" s="91" t="s">
        <v>3143</v>
      </c>
      <c r="F23" s="91" t="s">
        <v>139</v>
      </c>
      <c r="G23" s="91" t="s">
        <v>594</v>
      </c>
      <c r="H23" s="93" t="s">
        <v>4</v>
      </c>
      <c r="I23" s="92" t="s">
        <v>3140</v>
      </c>
      <c r="J23" s="92">
        <v>9959375758</v>
      </c>
      <c r="K23" s="67"/>
      <c r="L23" s="67"/>
      <c r="M23" s="67"/>
      <c r="N23" s="67"/>
      <c r="O23" s="67"/>
    </row>
    <row r="24" spans="1:15" ht="15">
      <c r="A24" s="91" t="s">
        <v>10</v>
      </c>
      <c r="B24" s="91" t="s">
        <v>430</v>
      </c>
      <c r="C24" s="92" t="str">
        <f ca="1">IFERROR(__xludf.DUMMYFUNCTION("filter('Back End'!C:C,'Back End'!A:A=A24,'Back End'!B:B=B24,'Back End'!D:D=D24)"),"Kodavali")</f>
        <v>Kodavali</v>
      </c>
      <c r="D24" s="91" t="s">
        <v>449</v>
      </c>
      <c r="E24" s="91" t="s">
        <v>3144</v>
      </c>
      <c r="F24" s="91" t="s">
        <v>165</v>
      </c>
      <c r="G24" s="91" t="s">
        <v>615</v>
      </c>
      <c r="H24" s="93" t="s">
        <v>4</v>
      </c>
      <c r="I24" s="92" t="s">
        <v>3140</v>
      </c>
      <c r="J24" s="92">
        <v>8885408957</v>
      </c>
      <c r="K24" s="67"/>
      <c r="L24" s="67"/>
      <c r="M24" s="67"/>
      <c r="N24" s="67"/>
      <c r="O24" s="67"/>
    </row>
    <row r="25" spans="1:15" ht="45">
      <c r="A25" s="91" t="s">
        <v>10</v>
      </c>
      <c r="B25" s="91" t="s">
        <v>430</v>
      </c>
      <c r="C25" s="92" t="s">
        <v>449</v>
      </c>
      <c r="D25" s="91" t="s">
        <v>449</v>
      </c>
      <c r="E25" s="91" t="s">
        <v>3145</v>
      </c>
      <c r="F25" s="91" t="s">
        <v>139</v>
      </c>
      <c r="G25" s="91" t="s">
        <v>594</v>
      </c>
      <c r="H25" s="93" t="s">
        <v>5</v>
      </c>
      <c r="I25" s="92" t="s">
        <v>3146</v>
      </c>
      <c r="J25" s="92">
        <v>9989115597</v>
      </c>
      <c r="K25" s="67"/>
      <c r="L25" s="67"/>
      <c r="M25" s="67"/>
      <c r="N25" s="67"/>
      <c r="O25" s="91" t="s">
        <v>19</v>
      </c>
    </row>
    <row r="26" spans="1:15" ht="15">
      <c r="A26" s="91" t="s">
        <v>10</v>
      </c>
      <c r="B26" s="91" t="s">
        <v>430</v>
      </c>
      <c r="C26" s="92" t="s">
        <v>449</v>
      </c>
      <c r="D26" s="91" t="s">
        <v>449</v>
      </c>
      <c r="E26" s="91" t="s">
        <v>3147</v>
      </c>
      <c r="F26" s="91" t="s">
        <v>139</v>
      </c>
      <c r="G26" s="91" t="s">
        <v>594</v>
      </c>
      <c r="H26" s="93" t="s">
        <v>6</v>
      </c>
      <c r="I26" s="92" t="s">
        <v>3148</v>
      </c>
      <c r="J26" s="92">
        <v>7981338119</v>
      </c>
      <c r="K26" s="67"/>
      <c r="L26" s="67"/>
      <c r="M26" s="67"/>
      <c r="N26" s="67"/>
      <c r="O26" s="91" t="s">
        <v>11</v>
      </c>
    </row>
    <row r="27" spans="1:15" ht="15">
      <c r="A27" s="91" t="s">
        <v>10</v>
      </c>
      <c r="B27" s="91" t="s">
        <v>430</v>
      </c>
      <c r="C27" s="92" t="s">
        <v>449</v>
      </c>
      <c r="D27" s="91" t="s">
        <v>449</v>
      </c>
      <c r="E27" s="91" t="s">
        <v>3149</v>
      </c>
      <c r="F27" s="91" t="s">
        <v>1673</v>
      </c>
      <c r="G27" s="91" t="s">
        <v>615</v>
      </c>
      <c r="H27" s="93" t="s">
        <v>5</v>
      </c>
      <c r="I27" s="92" t="s">
        <v>3115</v>
      </c>
      <c r="J27" s="92">
        <v>9866027338</v>
      </c>
      <c r="K27" s="67"/>
      <c r="L27" s="67"/>
      <c r="M27" s="67"/>
      <c r="N27" s="67"/>
      <c r="O27" s="91" t="s">
        <v>15</v>
      </c>
    </row>
    <row r="28" spans="1:15" ht="15">
      <c r="A28" s="91" t="s">
        <v>10</v>
      </c>
      <c r="B28" s="91" t="s">
        <v>430</v>
      </c>
      <c r="C28" s="92" t="s">
        <v>449</v>
      </c>
      <c r="D28" s="91" t="s">
        <v>449</v>
      </c>
      <c r="E28" s="91" t="s">
        <v>3150</v>
      </c>
      <c r="F28" s="67"/>
      <c r="G28" s="67"/>
      <c r="H28" s="95"/>
      <c r="I28" s="67"/>
      <c r="J28" s="67"/>
      <c r="K28" s="67"/>
      <c r="L28" s="67"/>
      <c r="M28" s="67"/>
      <c r="N28" s="67"/>
      <c r="O28" s="91" t="s">
        <v>8</v>
      </c>
    </row>
    <row r="29" spans="1:15" ht="15">
      <c r="A29" s="91" t="s">
        <v>10</v>
      </c>
      <c r="B29" s="91" t="s">
        <v>430</v>
      </c>
      <c r="C29" s="92" t="s">
        <v>449</v>
      </c>
      <c r="D29" s="91" t="s">
        <v>449</v>
      </c>
      <c r="E29" s="91" t="s">
        <v>3151</v>
      </c>
      <c r="F29" s="91" t="s">
        <v>114</v>
      </c>
      <c r="G29" s="91" t="s">
        <v>85</v>
      </c>
      <c r="H29" s="93" t="s">
        <v>5</v>
      </c>
      <c r="I29" s="92" t="s">
        <v>3152</v>
      </c>
      <c r="J29" s="92">
        <v>9949462757</v>
      </c>
      <c r="K29" s="67"/>
      <c r="L29" s="67"/>
      <c r="M29" s="67"/>
      <c r="N29" s="67"/>
      <c r="O29" s="67"/>
    </row>
    <row r="30" spans="1:15" ht="15">
      <c r="A30" s="91" t="s">
        <v>10</v>
      </c>
      <c r="B30" s="91" t="s">
        <v>430</v>
      </c>
      <c r="C30" s="92" t="s">
        <v>449</v>
      </c>
      <c r="D30" s="91" t="s">
        <v>449</v>
      </c>
      <c r="E30" s="91" t="s">
        <v>3153</v>
      </c>
      <c r="F30" s="67"/>
      <c r="G30" s="67"/>
      <c r="H30" s="93" t="s">
        <v>5</v>
      </c>
      <c r="I30" s="67"/>
      <c r="J30" s="92">
        <v>9947462757</v>
      </c>
      <c r="K30" s="67"/>
      <c r="L30" s="67"/>
      <c r="M30" s="67"/>
      <c r="N30" s="67"/>
      <c r="O30" s="67"/>
    </row>
    <row r="31" spans="1:15" ht="15">
      <c r="A31" s="91" t="s">
        <v>10</v>
      </c>
      <c r="B31" s="91" t="s">
        <v>430</v>
      </c>
      <c r="C31" s="92" t="s">
        <v>449</v>
      </c>
      <c r="D31" s="91" t="s">
        <v>449</v>
      </c>
      <c r="E31" s="91" t="s">
        <v>3154</v>
      </c>
      <c r="F31" s="91" t="s">
        <v>139</v>
      </c>
      <c r="G31" s="91" t="s">
        <v>594</v>
      </c>
      <c r="H31" s="93" t="s">
        <v>5</v>
      </c>
      <c r="I31" s="67"/>
      <c r="J31" s="92">
        <v>9989115597</v>
      </c>
      <c r="K31" s="67"/>
      <c r="L31" s="67"/>
      <c r="M31" s="67"/>
      <c r="N31" s="67"/>
      <c r="O31" s="67"/>
    </row>
    <row r="32" spans="1:15" ht="30">
      <c r="A32" s="91" t="s">
        <v>10</v>
      </c>
      <c r="B32" s="91" t="s">
        <v>430</v>
      </c>
      <c r="C32" s="92" t="s">
        <v>449</v>
      </c>
      <c r="D32" s="91" t="s">
        <v>449</v>
      </c>
      <c r="E32" s="91" t="s">
        <v>3155</v>
      </c>
      <c r="F32" s="91" t="s">
        <v>467</v>
      </c>
      <c r="G32" s="91" t="s">
        <v>85</v>
      </c>
      <c r="H32" s="93" t="s">
        <v>5</v>
      </c>
      <c r="I32" s="92" t="s">
        <v>3156</v>
      </c>
      <c r="J32" s="92">
        <v>9704526371</v>
      </c>
      <c r="K32" s="67"/>
      <c r="L32" s="92" t="s">
        <v>3157</v>
      </c>
      <c r="M32" s="67"/>
      <c r="N32" s="67"/>
      <c r="O32" s="67"/>
    </row>
    <row r="33" spans="1:15" ht="15">
      <c r="A33" s="91" t="s">
        <v>10</v>
      </c>
      <c r="B33" s="91" t="s">
        <v>430</v>
      </c>
      <c r="C33" s="92" t="s">
        <v>449</v>
      </c>
      <c r="D33" s="91" t="s">
        <v>449</v>
      </c>
      <c r="E33" s="91" t="s">
        <v>3158</v>
      </c>
      <c r="F33" s="67"/>
      <c r="G33" s="67"/>
      <c r="H33" s="93" t="s">
        <v>5</v>
      </c>
      <c r="I33" s="67"/>
      <c r="J33" s="92">
        <v>9666435273</v>
      </c>
      <c r="K33" s="67"/>
      <c r="L33" s="67"/>
      <c r="M33" s="67"/>
      <c r="N33" s="67"/>
      <c r="O33" s="67"/>
    </row>
    <row r="34" spans="1:15" ht="30">
      <c r="A34" s="91" t="s">
        <v>10</v>
      </c>
      <c r="B34" s="91" t="s">
        <v>430</v>
      </c>
      <c r="C34" s="92" t="s">
        <v>449</v>
      </c>
      <c r="D34" s="91" t="s">
        <v>449</v>
      </c>
      <c r="E34" s="92" t="s">
        <v>3159</v>
      </c>
      <c r="F34" s="91" t="s">
        <v>114</v>
      </c>
      <c r="G34" s="91" t="s">
        <v>85</v>
      </c>
      <c r="H34" s="93" t="s">
        <v>5</v>
      </c>
      <c r="I34" s="92" t="s">
        <v>3140</v>
      </c>
      <c r="J34" s="92">
        <v>8790248656</v>
      </c>
      <c r="K34" s="67"/>
      <c r="L34" s="67"/>
      <c r="M34" s="67"/>
      <c r="N34" s="67"/>
      <c r="O34" s="91" t="s">
        <v>8</v>
      </c>
    </row>
    <row r="35" spans="1:15" ht="15">
      <c r="A35" s="91" t="s">
        <v>19</v>
      </c>
      <c r="B35" s="91" t="s">
        <v>88</v>
      </c>
      <c r="C35" s="92" t="str">
        <f ca="1">IFERROR(__xludf.DUMMYFUNCTION("filter('Back End'!C:C,'Back End'!A:A=A35,'Back End'!B:B=B35,'Back End'!D:D=D35)"),"Gandepalle")</f>
        <v>Gandepalle</v>
      </c>
      <c r="D35" s="91" t="s">
        <v>88</v>
      </c>
      <c r="E35" s="91" t="s">
        <v>3160</v>
      </c>
      <c r="F35" s="91" t="s">
        <v>103</v>
      </c>
      <c r="G35" s="91" t="s">
        <v>594</v>
      </c>
      <c r="H35" s="93" t="s">
        <v>4</v>
      </c>
      <c r="I35" s="92" t="s">
        <v>3125</v>
      </c>
      <c r="J35" s="92">
        <v>9989646555</v>
      </c>
      <c r="K35" s="67"/>
      <c r="L35" s="67"/>
      <c r="M35" s="67"/>
      <c r="N35" s="67"/>
      <c r="O35" s="67"/>
    </row>
    <row r="36" spans="1:15" ht="30">
      <c r="A36" s="91" t="s">
        <v>19</v>
      </c>
      <c r="B36" s="91" t="s">
        <v>88</v>
      </c>
      <c r="C36" s="92" t="str">
        <f ca="1">IFERROR(__xludf.DUMMYFUNCTION("filter('Back End'!C:C,'Back End'!A:A=A36,'Back End'!B:B=B36,'Back End'!D:D=D36)"),"Gandepalle")</f>
        <v>Gandepalle</v>
      </c>
      <c r="D36" s="91" t="s">
        <v>88</v>
      </c>
      <c r="E36" s="91" t="s">
        <v>3161</v>
      </c>
      <c r="F36" s="91" t="s">
        <v>437</v>
      </c>
      <c r="G36" s="91" t="s">
        <v>594</v>
      </c>
      <c r="H36" s="93" t="s">
        <v>5</v>
      </c>
      <c r="I36" s="92" t="s">
        <v>3162</v>
      </c>
      <c r="J36" s="92">
        <v>9912254465</v>
      </c>
      <c r="K36" s="67"/>
      <c r="L36" s="67"/>
      <c r="M36" s="67"/>
      <c r="N36" s="67"/>
      <c r="O36" s="67"/>
    </row>
    <row r="37" spans="1:15" ht="15">
      <c r="A37" s="91" t="s">
        <v>19</v>
      </c>
      <c r="B37" s="91" t="s">
        <v>88</v>
      </c>
      <c r="C37" s="92" t="str">
        <f ca="1">IFERROR(__xludf.DUMMYFUNCTION("filter('Back End'!C:C,'Back End'!A:A=A37,'Back End'!B:B=B37,'Back End'!D:D=D37)"),"Gandepalle")</f>
        <v>Gandepalle</v>
      </c>
      <c r="D37" s="91" t="s">
        <v>88</v>
      </c>
      <c r="E37" s="91" t="s">
        <v>3163</v>
      </c>
      <c r="F37" s="91" t="s">
        <v>1680</v>
      </c>
      <c r="G37" s="91" t="s">
        <v>615</v>
      </c>
      <c r="H37" s="93" t="s">
        <v>5</v>
      </c>
      <c r="I37" s="92" t="s">
        <v>3164</v>
      </c>
      <c r="J37" s="92">
        <v>9491691831</v>
      </c>
      <c r="K37" s="67"/>
      <c r="L37" s="67"/>
      <c r="M37" s="67"/>
      <c r="N37" s="67"/>
      <c r="O37" s="67"/>
    </row>
    <row r="38" spans="1:15" ht="30">
      <c r="A38" s="91" t="s">
        <v>19</v>
      </c>
      <c r="B38" s="91" t="s">
        <v>88</v>
      </c>
      <c r="C38" s="92" t="str">
        <f ca="1">IFERROR(__xludf.DUMMYFUNCTION("filter('Back End'!C:C,'Back End'!A:A=A38,'Back End'!B:B=B38,'Back End'!D:D=D38)"),"Gandepalle")</f>
        <v>Gandepalle</v>
      </c>
      <c r="D38" s="91" t="s">
        <v>88</v>
      </c>
      <c r="E38" s="91" t="s">
        <v>3165</v>
      </c>
      <c r="F38" s="91" t="s">
        <v>103</v>
      </c>
      <c r="G38" s="91" t="s">
        <v>594</v>
      </c>
      <c r="H38" s="93" t="s">
        <v>4</v>
      </c>
      <c r="I38" s="92" t="s">
        <v>3166</v>
      </c>
      <c r="J38" s="92">
        <v>9989999306</v>
      </c>
      <c r="K38" s="67"/>
      <c r="L38" s="67"/>
      <c r="M38" s="67"/>
      <c r="N38" s="67"/>
      <c r="O38" s="67"/>
    </row>
    <row r="39" spans="1:15" ht="15">
      <c r="A39" s="91" t="s">
        <v>19</v>
      </c>
      <c r="B39" s="91" t="s">
        <v>88</v>
      </c>
      <c r="C39" s="92" t="str">
        <f ca="1">IFERROR(__xludf.DUMMYFUNCTION("filter('Back End'!C:C,'Back End'!A:A=A39,'Back End'!B:B=B39,'Back End'!D:D=D39)"),"Gandepalle")</f>
        <v>Gandepalle</v>
      </c>
      <c r="D39" s="91" t="s">
        <v>88</v>
      </c>
      <c r="E39" s="91" t="s">
        <v>3167</v>
      </c>
      <c r="F39" s="91" t="s">
        <v>103</v>
      </c>
      <c r="G39" s="91" t="s">
        <v>594</v>
      </c>
      <c r="H39" s="93" t="s">
        <v>5</v>
      </c>
      <c r="I39" s="92" t="s">
        <v>3140</v>
      </c>
      <c r="J39" s="92">
        <v>9666629616</v>
      </c>
      <c r="K39" s="67"/>
      <c r="L39" s="67"/>
      <c r="M39" s="67"/>
      <c r="N39" s="67"/>
      <c r="O39" s="67"/>
    </row>
    <row r="40" spans="1:15" ht="45">
      <c r="A40" s="91" t="s">
        <v>19</v>
      </c>
      <c r="B40" s="92" t="s">
        <v>88</v>
      </c>
      <c r="C40" s="92" t="s">
        <v>88</v>
      </c>
      <c r="D40" s="91" t="s">
        <v>88</v>
      </c>
      <c r="E40" s="92" t="s">
        <v>3168</v>
      </c>
      <c r="F40" s="91" t="s">
        <v>103</v>
      </c>
      <c r="G40" s="91" t="s">
        <v>594</v>
      </c>
      <c r="H40" s="93" t="s">
        <v>4</v>
      </c>
      <c r="I40" s="92" t="s">
        <v>3169</v>
      </c>
      <c r="J40" s="67"/>
      <c r="K40" s="92" t="s">
        <v>1608</v>
      </c>
      <c r="L40" s="67"/>
      <c r="M40" s="67"/>
      <c r="N40" s="67"/>
      <c r="O40" s="91" t="s">
        <v>19</v>
      </c>
    </row>
    <row r="41" spans="1:15" ht="45">
      <c r="A41" s="91" t="s">
        <v>19</v>
      </c>
      <c r="B41" s="92" t="s">
        <v>88</v>
      </c>
      <c r="C41" s="92" t="s">
        <v>88</v>
      </c>
      <c r="D41" s="91" t="s">
        <v>88</v>
      </c>
      <c r="E41" s="92" t="s">
        <v>3170</v>
      </c>
      <c r="F41" s="91" t="s">
        <v>139</v>
      </c>
      <c r="G41" s="91" t="s">
        <v>594</v>
      </c>
      <c r="H41" s="93" t="s">
        <v>4</v>
      </c>
      <c r="I41" s="92" t="s">
        <v>3171</v>
      </c>
      <c r="J41" s="92">
        <v>9848368688</v>
      </c>
      <c r="K41" s="92" t="s">
        <v>1598</v>
      </c>
      <c r="L41" s="67"/>
      <c r="M41" s="67"/>
      <c r="N41" s="67"/>
      <c r="O41" s="91" t="s">
        <v>15</v>
      </c>
    </row>
    <row r="42" spans="1:15" ht="60">
      <c r="A42" s="91" t="s">
        <v>19</v>
      </c>
      <c r="B42" s="92" t="s">
        <v>88</v>
      </c>
      <c r="C42" s="92" t="s">
        <v>88</v>
      </c>
      <c r="D42" s="91" t="s">
        <v>88</v>
      </c>
      <c r="E42" s="92" t="s">
        <v>3172</v>
      </c>
      <c r="F42" s="91" t="s">
        <v>103</v>
      </c>
      <c r="G42" s="91" t="s">
        <v>594</v>
      </c>
      <c r="H42" s="93" t="s">
        <v>4</v>
      </c>
      <c r="I42" s="92" t="s">
        <v>3173</v>
      </c>
      <c r="J42" s="67"/>
      <c r="K42" s="92" t="s">
        <v>1598</v>
      </c>
      <c r="L42" s="67"/>
      <c r="M42" s="67"/>
      <c r="N42" s="67"/>
      <c r="O42" s="67"/>
    </row>
    <row r="43" spans="1:15" ht="45">
      <c r="A43" s="91" t="s">
        <v>19</v>
      </c>
      <c r="B43" s="92" t="s">
        <v>88</v>
      </c>
      <c r="C43" s="92" t="s">
        <v>88</v>
      </c>
      <c r="D43" s="91" t="s">
        <v>88</v>
      </c>
      <c r="E43" s="92" t="s">
        <v>3174</v>
      </c>
      <c r="F43" s="91" t="s">
        <v>103</v>
      </c>
      <c r="G43" s="91" t="s">
        <v>594</v>
      </c>
      <c r="H43" s="93" t="s">
        <v>5</v>
      </c>
      <c r="I43" s="92" t="s">
        <v>3175</v>
      </c>
      <c r="J43" s="92">
        <v>9849371723</v>
      </c>
      <c r="K43" s="92" t="s">
        <v>1608</v>
      </c>
      <c r="L43" s="92" t="s">
        <v>3176</v>
      </c>
      <c r="M43" s="67"/>
      <c r="N43" s="67"/>
      <c r="O43" s="67"/>
    </row>
    <row r="44" spans="1:15" ht="30">
      <c r="A44" s="91" t="s">
        <v>19</v>
      </c>
      <c r="B44" s="92" t="s">
        <v>88</v>
      </c>
      <c r="C44" s="92" t="s">
        <v>88</v>
      </c>
      <c r="D44" s="91" t="s">
        <v>88</v>
      </c>
      <c r="E44" s="92" t="s">
        <v>3177</v>
      </c>
      <c r="F44" s="91" t="s">
        <v>103</v>
      </c>
      <c r="G44" s="91" t="s">
        <v>594</v>
      </c>
      <c r="H44" s="93" t="s">
        <v>5</v>
      </c>
      <c r="I44" s="96" t="s">
        <v>3178</v>
      </c>
      <c r="J44" s="67"/>
      <c r="K44" s="92" t="s">
        <v>1608</v>
      </c>
      <c r="L44" s="92" t="s">
        <v>3179</v>
      </c>
      <c r="M44" s="67"/>
      <c r="N44" s="67"/>
      <c r="O44" s="67"/>
    </row>
    <row r="45" spans="1:15" ht="30">
      <c r="A45" s="91" t="s">
        <v>8</v>
      </c>
      <c r="B45" s="92" t="s">
        <v>633</v>
      </c>
      <c r="C45" s="92" t="str">
        <f ca="1">IFERROR(__xludf.DUMMYFUNCTION("filter('Back End'!C:C,'Back End'!A:A=A45,'Back End'!B:B=B45,'Back End'!D:D=D45)"),"Mandapam")</f>
        <v>Mandapam</v>
      </c>
      <c r="D45" s="91" t="s">
        <v>647</v>
      </c>
      <c r="E45" s="92" t="s">
        <v>3180</v>
      </c>
      <c r="F45" s="91" t="s">
        <v>139</v>
      </c>
      <c r="G45" s="91" t="s">
        <v>594</v>
      </c>
      <c r="H45" s="93" t="s">
        <v>4</v>
      </c>
      <c r="I45" s="92" t="s">
        <v>3181</v>
      </c>
      <c r="J45" s="92">
        <v>9951373145</v>
      </c>
      <c r="K45" s="92" t="s">
        <v>1613</v>
      </c>
      <c r="L45" s="92" t="s">
        <v>3182</v>
      </c>
      <c r="M45" s="67"/>
      <c r="N45" s="67"/>
      <c r="O45" s="67"/>
    </row>
    <row r="46" spans="1:15" ht="30">
      <c r="A46" s="91" t="s">
        <v>8</v>
      </c>
      <c r="B46" s="92" t="s">
        <v>633</v>
      </c>
      <c r="C46" s="92" t="str">
        <f ca="1">IFERROR(__xludf.DUMMYFUNCTION("filter('Back End'!C:C,'Back End'!A:A=A46,'Back End'!B:B=B46,'Back End'!D:D=D46)"),"Mandapam")</f>
        <v>Mandapam</v>
      </c>
      <c r="D46" s="91" t="s">
        <v>647</v>
      </c>
      <c r="E46" s="92" t="s">
        <v>3183</v>
      </c>
      <c r="F46" s="91" t="s">
        <v>139</v>
      </c>
      <c r="G46" s="91" t="s">
        <v>594</v>
      </c>
      <c r="H46" s="93" t="s">
        <v>5</v>
      </c>
      <c r="I46" s="92" t="s">
        <v>3115</v>
      </c>
      <c r="J46" s="92">
        <v>9848733464</v>
      </c>
      <c r="K46" s="92" t="s">
        <v>1608</v>
      </c>
      <c r="L46" s="67"/>
      <c r="M46" s="67"/>
      <c r="N46" s="67"/>
      <c r="O46" s="67"/>
    </row>
    <row r="47" spans="1:15" ht="30">
      <c r="A47" s="91" t="s">
        <v>8</v>
      </c>
      <c r="B47" s="92" t="s">
        <v>633</v>
      </c>
      <c r="C47" s="92" t="str">
        <f ca="1">IFERROR(__xludf.DUMMYFUNCTION("filter('Back End'!C:C,'Back End'!A:A=A47,'Back End'!B:B=B47,'Back End'!D:D=D47)"),"Mandapam")</f>
        <v>Mandapam</v>
      </c>
      <c r="D47" s="91" t="s">
        <v>647</v>
      </c>
      <c r="E47" s="92" t="s">
        <v>3184</v>
      </c>
      <c r="F47" s="91" t="s">
        <v>139</v>
      </c>
      <c r="G47" s="91" t="s">
        <v>594</v>
      </c>
      <c r="H47" s="93" t="s">
        <v>5</v>
      </c>
      <c r="I47" s="92" t="s">
        <v>3185</v>
      </c>
      <c r="J47" s="92">
        <v>9848733464</v>
      </c>
      <c r="K47" s="92" t="s">
        <v>1613</v>
      </c>
      <c r="L47" s="92" t="s">
        <v>3182</v>
      </c>
      <c r="M47" s="67"/>
      <c r="N47" s="67"/>
      <c r="O47" s="67"/>
    </row>
    <row r="48" spans="1:15" ht="30">
      <c r="A48" s="91" t="s">
        <v>8</v>
      </c>
      <c r="B48" s="92" t="s">
        <v>633</v>
      </c>
      <c r="C48" s="92" t="str">
        <f ca="1">IFERROR(__xludf.DUMMYFUNCTION("filter('Back End'!C:C,'Back End'!A:A=A48,'Back End'!B:B=B48,'Back End'!D:D=D48)"),"Mandapam")</f>
        <v>Mandapam</v>
      </c>
      <c r="D48" s="91" t="s">
        <v>647</v>
      </c>
      <c r="E48" s="92" t="s">
        <v>3186</v>
      </c>
      <c r="F48" s="91" t="s">
        <v>139</v>
      </c>
      <c r="G48" s="91" t="s">
        <v>594</v>
      </c>
      <c r="H48" s="93" t="s">
        <v>6</v>
      </c>
      <c r="I48" s="92" t="s">
        <v>3187</v>
      </c>
      <c r="J48" s="92" t="s">
        <v>2631</v>
      </c>
      <c r="K48" s="67"/>
      <c r="L48" s="67"/>
      <c r="M48" s="67"/>
      <c r="N48" s="67"/>
      <c r="O48" s="67"/>
    </row>
    <row r="49" spans="1:15" ht="45">
      <c r="A49" s="91" t="s">
        <v>8</v>
      </c>
      <c r="B49" s="92" t="s">
        <v>633</v>
      </c>
      <c r="C49" s="92" t="str">
        <f ca="1">IFERROR(__xludf.DUMMYFUNCTION("filter('Back End'!C:C,'Back End'!A:A=A49,'Back End'!B:B=B49,'Back End'!D:D=D49)"),"Mandapam")</f>
        <v>Mandapam</v>
      </c>
      <c r="D49" s="91" t="s">
        <v>647</v>
      </c>
      <c r="E49" s="92" t="s">
        <v>3188</v>
      </c>
      <c r="F49" s="91" t="s">
        <v>139</v>
      </c>
      <c r="G49" s="91" t="s">
        <v>594</v>
      </c>
      <c r="H49" s="93" t="s">
        <v>6</v>
      </c>
      <c r="I49" s="92" t="s">
        <v>3189</v>
      </c>
      <c r="J49" s="92" t="s">
        <v>2631</v>
      </c>
      <c r="K49" s="92" t="s">
        <v>1608</v>
      </c>
      <c r="L49" s="92" t="s">
        <v>3190</v>
      </c>
      <c r="M49" s="67"/>
      <c r="N49" s="67"/>
      <c r="O49" s="67"/>
    </row>
    <row r="50" spans="1:15" ht="15">
      <c r="A50" s="91" t="s">
        <v>8</v>
      </c>
      <c r="B50" s="91" t="s">
        <v>633</v>
      </c>
      <c r="C50" s="92" t="s">
        <v>647</v>
      </c>
      <c r="D50" s="91" t="s">
        <v>647</v>
      </c>
      <c r="E50" s="91" t="s">
        <v>3191</v>
      </c>
      <c r="F50" s="91" t="s">
        <v>165</v>
      </c>
      <c r="G50" s="91" t="s">
        <v>615</v>
      </c>
      <c r="H50" s="93" t="s">
        <v>4</v>
      </c>
      <c r="I50" s="92" t="s">
        <v>3192</v>
      </c>
      <c r="J50" s="92">
        <v>9848608172</v>
      </c>
      <c r="K50" s="67"/>
      <c r="L50" s="67"/>
      <c r="M50" s="67"/>
      <c r="N50" s="67"/>
      <c r="O50" s="67"/>
    </row>
    <row r="51" spans="1:15" ht="30">
      <c r="A51" s="91" t="s">
        <v>8</v>
      </c>
      <c r="B51" s="91" t="s">
        <v>633</v>
      </c>
      <c r="C51" s="92" t="s">
        <v>647</v>
      </c>
      <c r="D51" s="91" t="s">
        <v>647</v>
      </c>
      <c r="E51" s="91" t="s">
        <v>3193</v>
      </c>
      <c r="F51" s="91" t="s">
        <v>545</v>
      </c>
      <c r="G51" s="91" t="s">
        <v>86</v>
      </c>
      <c r="H51" s="93" t="s">
        <v>4</v>
      </c>
      <c r="I51" s="92" t="s">
        <v>3194</v>
      </c>
      <c r="J51" s="92">
        <v>6304255075</v>
      </c>
      <c r="K51" s="67"/>
      <c r="L51" s="67"/>
      <c r="M51" s="67"/>
      <c r="N51" s="67"/>
      <c r="O51" s="67"/>
    </row>
    <row r="52" spans="1:15" ht="30">
      <c r="A52" s="91" t="s">
        <v>8</v>
      </c>
      <c r="B52" s="91" t="s">
        <v>633</v>
      </c>
      <c r="C52" s="92" t="s">
        <v>647</v>
      </c>
      <c r="D52" s="91" t="s">
        <v>647</v>
      </c>
      <c r="E52" s="91" t="s">
        <v>3195</v>
      </c>
      <c r="F52" s="91" t="s">
        <v>139</v>
      </c>
      <c r="G52" s="91" t="s">
        <v>594</v>
      </c>
      <c r="H52" s="93" t="s">
        <v>4</v>
      </c>
      <c r="I52" s="92" t="s">
        <v>3196</v>
      </c>
      <c r="J52" s="92">
        <v>9951373145</v>
      </c>
      <c r="K52" s="67"/>
      <c r="L52" s="67"/>
      <c r="M52" s="67"/>
      <c r="N52" s="67"/>
      <c r="O52" s="67"/>
    </row>
    <row r="53" spans="1:15" ht="30">
      <c r="A53" s="91" t="s">
        <v>8</v>
      </c>
      <c r="B53" s="91" t="s">
        <v>633</v>
      </c>
      <c r="C53" s="92" t="s">
        <v>647</v>
      </c>
      <c r="D53" s="91" t="s">
        <v>647</v>
      </c>
      <c r="E53" s="91" t="s">
        <v>3197</v>
      </c>
      <c r="F53" s="91" t="s">
        <v>139</v>
      </c>
      <c r="G53" s="91" t="s">
        <v>594</v>
      </c>
      <c r="H53" s="93" t="s">
        <v>4</v>
      </c>
      <c r="I53" s="92" t="s">
        <v>3198</v>
      </c>
      <c r="J53" s="92">
        <v>9299550919</v>
      </c>
      <c r="K53" s="67"/>
      <c r="L53" s="67"/>
      <c r="M53" s="67"/>
      <c r="N53" s="67"/>
      <c r="O53" s="67"/>
    </row>
    <row r="54" spans="1:15" ht="15">
      <c r="A54" s="91" t="s">
        <v>8</v>
      </c>
      <c r="B54" s="91" t="s">
        <v>633</v>
      </c>
      <c r="C54" s="92" t="str">
        <f ca="1">IFERROR(__xludf.DUMMYFUNCTION("filter('Back End'!C:C,'Back End'!A:A=A54,'Back End'!B:B=B54,'Back End'!D:D=D54)"),"Mandapam")</f>
        <v>Mandapam</v>
      </c>
      <c r="D54" s="91" t="s">
        <v>647</v>
      </c>
      <c r="E54" s="91" t="s">
        <v>3199</v>
      </c>
      <c r="F54" s="91" t="s">
        <v>165</v>
      </c>
      <c r="G54" s="91" t="s">
        <v>615</v>
      </c>
      <c r="H54" s="93" t="s">
        <v>5</v>
      </c>
      <c r="I54" s="92" t="s">
        <v>3140</v>
      </c>
      <c r="J54" s="92">
        <v>9949346942</v>
      </c>
      <c r="K54" s="67"/>
      <c r="L54" s="67"/>
      <c r="M54" s="67"/>
      <c r="N54" s="67"/>
      <c r="O54" s="67"/>
    </row>
    <row r="55" spans="1:15" ht="15">
      <c r="A55" s="91" t="s">
        <v>8</v>
      </c>
      <c r="B55" s="91" t="s">
        <v>633</v>
      </c>
      <c r="C55" s="92" t="str">
        <f ca="1">IFERROR(__xludf.DUMMYFUNCTION("filter('Back End'!C:C,'Back End'!A:A=A55,'Back End'!B:B=B55,'Back End'!D:D=D55)"),"Mandapam")</f>
        <v>Mandapam</v>
      </c>
      <c r="D55" s="91" t="s">
        <v>647</v>
      </c>
      <c r="E55" s="91" t="s">
        <v>3200</v>
      </c>
      <c r="F55" s="91" t="s">
        <v>114</v>
      </c>
      <c r="G55" s="91" t="s">
        <v>85</v>
      </c>
      <c r="H55" s="93" t="s">
        <v>5</v>
      </c>
      <c r="I55" s="92" t="s">
        <v>3201</v>
      </c>
      <c r="J55" s="92">
        <v>9951674335</v>
      </c>
      <c r="K55" s="67"/>
      <c r="L55" s="67"/>
      <c r="M55" s="67"/>
      <c r="N55" s="67"/>
      <c r="O55" s="67"/>
    </row>
    <row r="56" spans="1:15" ht="30">
      <c r="A56" s="91" t="s">
        <v>8</v>
      </c>
      <c r="B56" s="91" t="s">
        <v>633</v>
      </c>
      <c r="C56" s="92" t="str">
        <f ca="1">IFERROR(__xludf.DUMMYFUNCTION("filter('Back End'!C:C,'Back End'!A:A=A56,'Back End'!B:B=B56,'Back End'!D:D=D56)"),"Mandapam")</f>
        <v>Mandapam</v>
      </c>
      <c r="D56" s="91" t="s">
        <v>647</v>
      </c>
      <c r="E56" s="91" t="s">
        <v>3202</v>
      </c>
      <c r="F56" s="91" t="s">
        <v>139</v>
      </c>
      <c r="G56" s="91" t="s">
        <v>594</v>
      </c>
      <c r="H56" s="93" t="s">
        <v>5</v>
      </c>
      <c r="I56" s="92" t="s">
        <v>3203</v>
      </c>
      <c r="J56" s="92">
        <v>9705845366</v>
      </c>
      <c r="K56" s="67"/>
      <c r="L56" s="67"/>
      <c r="M56" s="67"/>
      <c r="N56" s="67"/>
      <c r="O56" s="67"/>
    </row>
    <row r="57" spans="1:15" ht="30">
      <c r="A57" s="91" t="s">
        <v>8</v>
      </c>
      <c r="B57" s="91" t="s">
        <v>633</v>
      </c>
      <c r="C57" s="92" t="s">
        <v>647</v>
      </c>
      <c r="D57" s="91" t="s">
        <v>647</v>
      </c>
      <c r="E57" s="91" t="s">
        <v>3204</v>
      </c>
      <c r="F57" s="91" t="s">
        <v>165</v>
      </c>
      <c r="G57" s="91" t="s">
        <v>615</v>
      </c>
      <c r="H57" s="93" t="s">
        <v>5</v>
      </c>
      <c r="I57" s="92" t="s">
        <v>3205</v>
      </c>
      <c r="J57" s="92">
        <v>9912442822</v>
      </c>
      <c r="K57" s="67"/>
      <c r="L57" s="67"/>
      <c r="M57" s="67"/>
      <c r="N57" s="67"/>
      <c r="O57" s="67"/>
    </row>
    <row r="58" spans="1:15" ht="30">
      <c r="A58" s="91" t="s">
        <v>8</v>
      </c>
      <c r="B58" s="91" t="s">
        <v>633</v>
      </c>
      <c r="C58" s="92" t="s">
        <v>647</v>
      </c>
      <c r="D58" s="91" t="s">
        <v>647</v>
      </c>
      <c r="E58" s="91" t="s">
        <v>3206</v>
      </c>
      <c r="F58" s="91" t="s">
        <v>165</v>
      </c>
      <c r="G58" s="91" t="s">
        <v>615</v>
      </c>
      <c r="H58" s="93" t="s">
        <v>5</v>
      </c>
      <c r="I58" s="92" t="s">
        <v>3194</v>
      </c>
      <c r="J58" s="92">
        <v>9705532484</v>
      </c>
      <c r="K58" s="67"/>
      <c r="L58" s="67"/>
      <c r="M58" s="67"/>
      <c r="N58" s="67"/>
      <c r="O58" s="67"/>
    </row>
    <row r="59" spans="1:15" ht="30">
      <c r="A59" s="91" t="s">
        <v>8</v>
      </c>
      <c r="B59" s="91" t="s">
        <v>633</v>
      </c>
      <c r="C59" s="92" t="s">
        <v>647</v>
      </c>
      <c r="D59" s="91" t="s">
        <v>647</v>
      </c>
      <c r="E59" s="91" t="s">
        <v>3207</v>
      </c>
      <c r="F59" s="91" t="s">
        <v>165</v>
      </c>
      <c r="G59" s="91" t="s">
        <v>615</v>
      </c>
      <c r="H59" s="93" t="s">
        <v>5</v>
      </c>
      <c r="I59" s="92" t="s">
        <v>3194</v>
      </c>
      <c r="J59" s="92">
        <v>9912099152</v>
      </c>
      <c r="K59" s="67"/>
      <c r="L59" s="67"/>
      <c r="M59" s="67"/>
      <c r="N59" s="67"/>
      <c r="O59" s="67"/>
    </row>
    <row r="60" spans="1:15" ht="30">
      <c r="A60" s="91" t="s">
        <v>8</v>
      </c>
      <c r="B60" s="91" t="s">
        <v>633</v>
      </c>
      <c r="C60" s="92" t="s">
        <v>647</v>
      </c>
      <c r="D60" s="91" t="s">
        <v>647</v>
      </c>
      <c r="E60" s="91" t="s">
        <v>3208</v>
      </c>
      <c r="F60" s="91" t="s">
        <v>545</v>
      </c>
      <c r="G60" s="91" t="s">
        <v>86</v>
      </c>
      <c r="H60" s="93" t="s">
        <v>4</v>
      </c>
      <c r="I60" s="92" t="s">
        <v>3194</v>
      </c>
      <c r="J60" s="92">
        <v>9392891866</v>
      </c>
      <c r="K60" s="67"/>
      <c r="L60" s="67"/>
      <c r="M60" s="67"/>
      <c r="N60" s="67"/>
      <c r="O60" s="67"/>
    </row>
    <row r="61" spans="1:15" ht="30">
      <c r="A61" s="91" t="s">
        <v>8</v>
      </c>
      <c r="B61" s="91" t="s">
        <v>633</v>
      </c>
      <c r="C61" s="92" t="s">
        <v>647</v>
      </c>
      <c r="D61" s="91" t="s">
        <v>647</v>
      </c>
      <c r="E61" s="91" t="s">
        <v>3209</v>
      </c>
      <c r="F61" s="91" t="s">
        <v>545</v>
      </c>
      <c r="G61" s="91" t="s">
        <v>86</v>
      </c>
      <c r="H61" s="93" t="s">
        <v>4</v>
      </c>
      <c r="I61" s="92" t="s">
        <v>3210</v>
      </c>
      <c r="J61" s="92">
        <v>90120956601</v>
      </c>
      <c r="K61" s="67"/>
      <c r="L61" s="67"/>
      <c r="M61" s="67"/>
      <c r="N61" s="67"/>
      <c r="O61" s="67"/>
    </row>
    <row r="62" spans="1:15" ht="30">
      <c r="A62" s="91" t="s">
        <v>8</v>
      </c>
      <c r="B62" s="91" t="s">
        <v>633</v>
      </c>
      <c r="C62" s="92" t="s">
        <v>647</v>
      </c>
      <c r="D62" s="91" t="s">
        <v>647</v>
      </c>
      <c r="E62" s="91" t="s">
        <v>3211</v>
      </c>
      <c r="F62" s="91" t="s">
        <v>545</v>
      </c>
      <c r="G62" s="91" t="s">
        <v>86</v>
      </c>
      <c r="H62" s="93" t="s">
        <v>4</v>
      </c>
      <c r="I62" s="92" t="s">
        <v>3212</v>
      </c>
      <c r="J62" s="92">
        <v>7732010330</v>
      </c>
      <c r="K62" s="67"/>
      <c r="L62" s="67"/>
      <c r="M62" s="67"/>
      <c r="N62" s="67"/>
      <c r="O62" s="67"/>
    </row>
    <row r="63" spans="1:15" ht="30">
      <c r="A63" s="91" t="s">
        <v>7</v>
      </c>
      <c r="B63" s="92" t="s">
        <v>7</v>
      </c>
      <c r="C63" s="92" t="str">
        <f ca="1">IFERROR(__xludf.DUMMYFUNCTION("filter('Back End'!C:C,'Back End'!A:A=A63,'Back End'!B:B=B63,'Back End'!D:D=D63)"),"S.Annavaram")</f>
        <v>S.Annavaram</v>
      </c>
      <c r="D63" s="91" t="s">
        <v>778</v>
      </c>
      <c r="E63" s="92" t="s">
        <v>3213</v>
      </c>
      <c r="F63" s="91" t="s">
        <v>139</v>
      </c>
      <c r="G63" s="91" t="s">
        <v>594</v>
      </c>
      <c r="H63" s="93" t="s">
        <v>5</v>
      </c>
      <c r="I63" s="67"/>
      <c r="J63" s="67"/>
      <c r="K63" s="67"/>
      <c r="L63" s="67"/>
      <c r="M63" s="67"/>
      <c r="N63" s="67"/>
      <c r="O63" s="67"/>
    </row>
    <row r="64" spans="1:15" ht="30">
      <c r="A64" s="91" t="s">
        <v>7</v>
      </c>
      <c r="B64" s="92" t="s">
        <v>7</v>
      </c>
      <c r="C64" s="92" t="str">
        <f ca="1">IFERROR(__xludf.DUMMYFUNCTION("filter('Back End'!C:C,'Back End'!A:A=A64,'Back End'!B:B=B64,'Back End'!D:D=D64)"),"S.Annavaram")</f>
        <v>S.Annavaram</v>
      </c>
      <c r="D64" s="91" t="s">
        <v>778</v>
      </c>
      <c r="E64" s="92" t="s">
        <v>3214</v>
      </c>
      <c r="F64" s="91" t="s">
        <v>114</v>
      </c>
      <c r="G64" s="91" t="s">
        <v>85</v>
      </c>
      <c r="H64" s="93" t="s">
        <v>5</v>
      </c>
      <c r="I64" s="92" t="s">
        <v>3115</v>
      </c>
      <c r="J64" s="92">
        <v>9849122371</v>
      </c>
      <c r="K64" s="92" t="s">
        <v>1613</v>
      </c>
      <c r="L64" s="92" t="s">
        <v>3215</v>
      </c>
      <c r="M64" s="67"/>
      <c r="N64" s="67"/>
      <c r="O64" s="67"/>
    </row>
    <row r="65" spans="1:15" ht="30">
      <c r="A65" s="91" t="s">
        <v>7</v>
      </c>
      <c r="B65" s="92" t="s">
        <v>7</v>
      </c>
      <c r="C65" s="92" t="str">
        <f ca="1">IFERROR(__xludf.DUMMYFUNCTION("filter('Back End'!C:C,'Back End'!A:A=A65,'Back End'!B:B=B65,'Back End'!D:D=D65)"),"S.Annavaram")</f>
        <v>S.Annavaram</v>
      </c>
      <c r="D65" s="91" t="s">
        <v>778</v>
      </c>
      <c r="E65" s="92" t="s">
        <v>3216</v>
      </c>
      <c r="F65" s="91" t="s">
        <v>1669</v>
      </c>
      <c r="G65" s="91" t="s">
        <v>615</v>
      </c>
      <c r="H65" s="93" t="s">
        <v>5</v>
      </c>
      <c r="I65" s="92" t="s">
        <v>3217</v>
      </c>
      <c r="J65" s="92">
        <v>9848521650</v>
      </c>
      <c r="K65" s="92" t="s">
        <v>1608</v>
      </c>
      <c r="L65" s="92" t="s">
        <v>3218</v>
      </c>
      <c r="M65" s="67"/>
      <c r="N65" s="67"/>
      <c r="O65" s="67"/>
    </row>
    <row r="66" spans="1:15" ht="30">
      <c r="A66" s="91" t="s">
        <v>7</v>
      </c>
      <c r="B66" s="92" t="s">
        <v>7</v>
      </c>
      <c r="C66" s="92" t="str">
        <f ca="1">IFERROR(__xludf.DUMMYFUNCTION("filter('Back End'!C:C,'Back End'!A:A=A66,'Back End'!B:B=B66,'Back End'!D:D=D66)"),"S.Annavaram")</f>
        <v>S.Annavaram</v>
      </c>
      <c r="D66" s="91" t="s">
        <v>778</v>
      </c>
      <c r="E66" s="92" t="s">
        <v>3219</v>
      </c>
      <c r="F66" s="91" t="s">
        <v>139</v>
      </c>
      <c r="G66" s="91" t="s">
        <v>594</v>
      </c>
      <c r="H66" s="93" t="s">
        <v>5</v>
      </c>
      <c r="I66" s="92" t="s">
        <v>3112</v>
      </c>
      <c r="J66" s="92">
        <v>9849509432</v>
      </c>
      <c r="K66" s="92" t="s">
        <v>1603</v>
      </c>
      <c r="L66" s="67"/>
      <c r="M66" s="67"/>
      <c r="N66" s="67"/>
      <c r="O66" s="67"/>
    </row>
    <row r="67" spans="1:15" ht="30">
      <c r="A67" s="91" t="s">
        <v>7</v>
      </c>
      <c r="B67" s="92" t="s">
        <v>7</v>
      </c>
      <c r="C67" s="92" t="str">
        <f ca="1">IFERROR(__xludf.DUMMYFUNCTION("filter('Back End'!C:C,'Back End'!A:A=A67,'Back End'!B:B=B67,'Back End'!D:D=D67)"),"S.Annavaram")</f>
        <v>S.Annavaram</v>
      </c>
      <c r="D67" s="91" t="s">
        <v>778</v>
      </c>
      <c r="E67" s="92" t="s">
        <v>3220</v>
      </c>
      <c r="F67" s="91" t="s">
        <v>139</v>
      </c>
      <c r="G67" s="91" t="s">
        <v>615</v>
      </c>
      <c r="H67" s="93" t="s">
        <v>4</v>
      </c>
      <c r="I67" s="92" t="s">
        <v>3112</v>
      </c>
      <c r="J67" s="67"/>
      <c r="K67" s="92" t="s">
        <v>1603</v>
      </c>
      <c r="L67" s="67"/>
      <c r="M67" s="67"/>
      <c r="N67" s="67"/>
      <c r="O67" s="67"/>
    </row>
    <row r="68" spans="1:15" ht="30">
      <c r="A68" s="91" t="s">
        <v>7</v>
      </c>
      <c r="B68" s="92" t="s">
        <v>7</v>
      </c>
      <c r="C68" s="92" t="str">
        <f ca="1">IFERROR(__xludf.DUMMYFUNCTION("filter('Back End'!C:C,'Back End'!A:A=A68,'Back End'!B:B=B68,'Back End'!D:D=D68)"),"S.Annavaram")</f>
        <v>S.Annavaram</v>
      </c>
      <c r="D68" s="91" t="s">
        <v>778</v>
      </c>
      <c r="E68" s="92" t="s">
        <v>3221</v>
      </c>
      <c r="F68" s="91" t="s">
        <v>114</v>
      </c>
      <c r="G68" s="91" t="s">
        <v>85</v>
      </c>
      <c r="H68" s="93" t="s">
        <v>5</v>
      </c>
      <c r="I68" s="92" t="s">
        <v>3210</v>
      </c>
      <c r="J68" s="67"/>
      <c r="K68" s="92" t="s">
        <v>1613</v>
      </c>
      <c r="L68" s="92" t="s">
        <v>3222</v>
      </c>
      <c r="M68" s="67"/>
      <c r="N68" s="67"/>
      <c r="O68" s="67"/>
    </row>
    <row r="69" spans="1:15" ht="60">
      <c r="A69" s="91" t="s">
        <v>7</v>
      </c>
      <c r="B69" s="92" t="s">
        <v>7</v>
      </c>
      <c r="C69" s="92" t="str">
        <f ca="1">IFERROR(__xludf.DUMMYFUNCTION("filter('Back End'!C:C,'Back End'!A:A=A69,'Back End'!B:B=B69,'Back End'!D:D=D69)"),"S.Annavaram")</f>
        <v>S.Annavaram</v>
      </c>
      <c r="D69" s="91" t="s">
        <v>778</v>
      </c>
      <c r="E69" s="92" t="s">
        <v>3223</v>
      </c>
      <c r="F69" s="91" t="s">
        <v>114</v>
      </c>
      <c r="G69" s="91" t="s">
        <v>85</v>
      </c>
      <c r="H69" s="93" t="s">
        <v>4</v>
      </c>
      <c r="I69" s="92" t="s">
        <v>3224</v>
      </c>
      <c r="J69" s="67"/>
      <c r="K69" s="92" t="s">
        <v>1613</v>
      </c>
      <c r="L69" s="92" t="s">
        <v>3225</v>
      </c>
      <c r="M69" s="67"/>
      <c r="N69" s="67"/>
      <c r="O69" s="67"/>
    </row>
    <row r="70" spans="1:15" ht="30">
      <c r="A70" s="91" t="s">
        <v>7</v>
      </c>
      <c r="B70" s="92" t="s">
        <v>7</v>
      </c>
      <c r="C70" s="92" t="str">
        <f ca="1">IFERROR(__xludf.DUMMYFUNCTION("filter('Back End'!C:C,'Back End'!A:A=A70,'Back End'!B:B=B70,'Back End'!D:D=D70)"),"S.Annavaram")</f>
        <v>S.Annavaram</v>
      </c>
      <c r="D70" s="91" t="s">
        <v>778</v>
      </c>
      <c r="E70" s="92" t="s">
        <v>3226</v>
      </c>
      <c r="F70" s="91" t="s">
        <v>586</v>
      </c>
      <c r="G70" s="91" t="s">
        <v>615</v>
      </c>
      <c r="H70" s="93" t="s">
        <v>4</v>
      </c>
      <c r="I70" s="92" t="s">
        <v>3112</v>
      </c>
      <c r="J70" s="67"/>
      <c r="K70" s="92" t="s">
        <v>1613</v>
      </c>
      <c r="L70" s="92" t="s">
        <v>3225</v>
      </c>
      <c r="M70" s="67"/>
      <c r="N70" s="67"/>
      <c r="O70" s="67"/>
    </row>
    <row r="71" spans="1:15" ht="45">
      <c r="A71" s="91" t="s">
        <v>7</v>
      </c>
      <c r="B71" s="91" t="s">
        <v>7</v>
      </c>
      <c r="C71" s="92" t="str">
        <f ca="1">IFERROR(__xludf.DUMMYFUNCTION("filter('Back End'!C:C,'Back End'!A:A=A71,'Back End'!B:B=B71,'Back End'!D:D=D71)"),"S.Annavaram")</f>
        <v>S.Annavaram</v>
      </c>
      <c r="D71" s="91" t="s">
        <v>778</v>
      </c>
      <c r="E71" s="91" t="s">
        <v>3227</v>
      </c>
      <c r="F71" s="91" t="s">
        <v>139</v>
      </c>
      <c r="G71" s="91" t="s">
        <v>594</v>
      </c>
      <c r="H71" s="93" t="s">
        <v>5</v>
      </c>
      <c r="I71" s="92" t="s">
        <v>3228</v>
      </c>
      <c r="J71" s="92">
        <v>9440887662</v>
      </c>
      <c r="K71" s="67"/>
      <c r="L71" s="67"/>
      <c r="M71" s="67"/>
      <c r="N71" s="67"/>
      <c r="O71" s="67"/>
    </row>
    <row r="72" spans="1:15" ht="30">
      <c r="A72" s="91" t="s">
        <v>7</v>
      </c>
      <c r="B72" s="91" t="s">
        <v>7</v>
      </c>
      <c r="C72" s="92" t="str">
        <f ca="1">IFERROR(__xludf.DUMMYFUNCTION("filter('Back End'!C:C,'Back End'!A:A=A72,'Back End'!B:B=B72,'Back End'!D:D=D72)"),"S.Annavaram")</f>
        <v>S.Annavaram</v>
      </c>
      <c r="D72" s="91" t="s">
        <v>778</v>
      </c>
      <c r="E72" s="91" t="s">
        <v>3229</v>
      </c>
      <c r="F72" s="91" t="s">
        <v>139</v>
      </c>
      <c r="G72" s="91" t="s">
        <v>594</v>
      </c>
      <c r="H72" s="93" t="s">
        <v>5</v>
      </c>
      <c r="I72" s="92" t="s">
        <v>3230</v>
      </c>
      <c r="J72" s="92">
        <v>9885350266</v>
      </c>
      <c r="K72" s="67"/>
      <c r="L72" s="67"/>
      <c r="M72" s="67"/>
      <c r="N72" s="67"/>
      <c r="O72" s="67"/>
    </row>
    <row r="73" spans="1:15" ht="15">
      <c r="A73" s="91" t="s">
        <v>7</v>
      </c>
      <c r="B73" s="91" t="s">
        <v>7</v>
      </c>
      <c r="C73" s="92" t="str">
        <f ca="1">IFERROR(__xludf.DUMMYFUNCTION("filter('Back End'!C:C,'Back End'!A:A=A73,'Back End'!B:B=B73,'Back End'!D:D=D73)"),"S.Annavaram")</f>
        <v>S.Annavaram</v>
      </c>
      <c r="D73" s="91" t="s">
        <v>778</v>
      </c>
      <c r="E73" s="91" t="s">
        <v>3231</v>
      </c>
      <c r="F73" s="91" t="s">
        <v>139</v>
      </c>
      <c r="G73" s="91" t="s">
        <v>594</v>
      </c>
      <c r="H73" s="93" t="s">
        <v>5</v>
      </c>
      <c r="I73" s="67"/>
      <c r="J73" s="92">
        <v>9949749782</v>
      </c>
      <c r="K73" s="67"/>
      <c r="L73" s="67"/>
      <c r="M73" s="67"/>
      <c r="N73" s="67"/>
      <c r="O73" s="67"/>
    </row>
    <row r="74" spans="1:15" ht="45">
      <c r="A74" s="91" t="s">
        <v>7</v>
      </c>
      <c r="B74" s="91" t="s">
        <v>7</v>
      </c>
      <c r="C74" s="92" t="str">
        <f ca="1">IFERROR(__xludf.DUMMYFUNCTION("filter('Back End'!C:C,'Back End'!A:A=A74,'Back End'!B:B=B74,'Back End'!D:D=D74)"),"S.Annavaram")</f>
        <v>S.Annavaram</v>
      </c>
      <c r="D74" s="91" t="s">
        <v>778</v>
      </c>
      <c r="E74" s="91" t="s">
        <v>3232</v>
      </c>
      <c r="F74" s="91" t="s">
        <v>139</v>
      </c>
      <c r="G74" s="91" t="s">
        <v>594</v>
      </c>
      <c r="H74" s="93" t="s">
        <v>4</v>
      </c>
      <c r="I74" s="92" t="s">
        <v>3233</v>
      </c>
      <c r="J74" s="92">
        <v>8712831922</v>
      </c>
      <c r="K74" s="67"/>
      <c r="L74" s="67"/>
      <c r="M74" s="67"/>
      <c r="N74" s="67"/>
      <c r="O74" s="67"/>
    </row>
    <row r="75" spans="1:15" ht="15">
      <c r="A75" s="91" t="s">
        <v>7</v>
      </c>
      <c r="B75" s="91" t="s">
        <v>7</v>
      </c>
      <c r="C75" s="92" t="str">
        <f ca="1">IFERROR(__xludf.DUMMYFUNCTION("filter('Back End'!C:C,'Back End'!A:A=A75,'Back End'!B:B=B75,'Back End'!D:D=D75)"),"S.Annavaram")</f>
        <v>S.Annavaram</v>
      </c>
      <c r="D75" s="91" t="s">
        <v>778</v>
      </c>
      <c r="E75" s="91" t="s">
        <v>3234</v>
      </c>
      <c r="F75" s="91" t="s">
        <v>586</v>
      </c>
      <c r="G75" s="91" t="s">
        <v>615</v>
      </c>
      <c r="H75" s="93" t="s">
        <v>4</v>
      </c>
      <c r="I75" s="92" t="s">
        <v>3235</v>
      </c>
      <c r="J75" s="92">
        <v>9000663951</v>
      </c>
      <c r="K75" s="67"/>
      <c r="L75" s="67"/>
      <c r="M75" s="67"/>
      <c r="N75" s="67"/>
      <c r="O75" s="67"/>
    </row>
    <row r="76" spans="1:15" ht="60">
      <c r="A76" s="91" t="s">
        <v>7</v>
      </c>
      <c r="B76" s="91" t="s">
        <v>7</v>
      </c>
      <c r="C76" s="92" t="str">
        <f ca="1">IFERROR(__xludf.DUMMYFUNCTION("filter('Back End'!C:C,'Back End'!A:A=A76,'Back End'!B:B=B76,'Back End'!D:D=D76)"),"S.Annavaram")</f>
        <v>S.Annavaram</v>
      </c>
      <c r="D76" s="91" t="s">
        <v>778</v>
      </c>
      <c r="E76" s="91" t="s">
        <v>3236</v>
      </c>
      <c r="F76" s="91" t="s">
        <v>139</v>
      </c>
      <c r="G76" s="91" t="s">
        <v>594</v>
      </c>
      <c r="H76" s="93" t="s">
        <v>4</v>
      </c>
      <c r="I76" s="92" t="s">
        <v>3237</v>
      </c>
      <c r="J76" s="92">
        <v>9951917885</v>
      </c>
      <c r="K76" s="67"/>
      <c r="L76" s="67"/>
      <c r="M76" s="67"/>
      <c r="N76" s="67"/>
      <c r="O76" s="67"/>
    </row>
    <row r="77" spans="1:15" ht="45">
      <c r="A77" s="91" t="s">
        <v>7</v>
      </c>
      <c r="B77" s="91" t="s">
        <v>7</v>
      </c>
      <c r="C77" s="92" t="str">
        <f ca="1">IFERROR(__xludf.DUMMYFUNCTION("filter('Back End'!C:C,'Back End'!A:A=A77,'Back End'!B:B=B77,'Back End'!D:D=D77)"),"S.Annavaram")</f>
        <v>S.Annavaram</v>
      </c>
      <c r="D77" s="91" t="s">
        <v>778</v>
      </c>
      <c r="E77" s="91" t="s">
        <v>3238</v>
      </c>
      <c r="F77" s="91" t="s">
        <v>139</v>
      </c>
      <c r="G77" s="91" t="s">
        <v>594</v>
      </c>
      <c r="H77" s="93" t="s">
        <v>4</v>
      </c>
      <c r="I77" s="92" t="s">
        <v>3239</v>
      </c>
      <c r="J77" s="92">
        <v>8688888759</v>
      </c>
      <c r="K77" s="67"/>
      <c r="L77" s="67"/>
      <c r="M77" s="67"/>
      <c r="N77" s="67"/>
      <c r="O77" s="67"/>
    </row>
    <row r="78" spans="1:15" ht="15">
      <c r="A78" s="91" t="s">
        <v>7</v>
      </c>
      <c r="B78" s="91" t="s">
        <v>7</v>
      </c>
      <c r="C78" s="92" t="str">
        <f ca="1">IFERROR(__xludf.DUMMYFUNCTION("filter('Back End'!C:C,'Back End'!A:A=A78,'Back End'!B:B=B78,'Back End'!D:D=D78)"),"S.Annavaram")</f>
        <v>S.Annavaram</v>
      </c>
      <c r="D78" s="91" t="s">
        <v>778</v>
      </c>
      <c r="E78" s="91" t="s">
        <v>3240</v>
      </c>
      <c r="F78" s="91" t="s">
        <v>139</v>
      </c>
      <c r="G78" s="91" t="s">
        <v>594</v>
      </c>
      <c r="H78" s="93" t="s">
        <v>4</v>
      </c>
      <c r="I78" s="92" t="s">
        <v>3241</v>
      </c>
      <c r="J78" s="92">
        <v>9246246555</v>
      </c>
      <c r="K78" s="67"/>
      <c r="L78" s="67"/>
      <c r="M78" s="67"/>
      <c r="N78" s="67"/>
      <c r="O78" s="67"/>
    </row>
    <row r="79" spans="1:15" ht="45">
      <c r="A79" s="91" t="s">
        <v>7</v>
      </c>
      <c r="B79" s="91" t="s">
        <v>7</v>
      </c>
      <c r="C79" s="92" t="str">
        <f ca="1">IFERROR(__xludf.DUMMYFUNCTION("filter('Back End'!C:C,'Back End'!A:A=A79,'Back End'!B:B=B79,'Back End'!D:D=D79)"),"S.Annavaram")</f>
        <v>S.Annavaram</v>
      </c>
      <c r="D79" s="91" t="s">
        <v>778</v>
      </c>
      <c r="E79" s="91" t="s">
        <v>3242</v>
      </c>
      <c r="F79" s="91" t="s">
        <v>139</v>
      </c>
      <c r="G79" s="91" t="s">
        <v>594</v>
      </c>
      <c r="H79" s="93" t="s">
        <v>4</v>
      </c>
      <c r="I79" s="92" t="s">
        <v>3239</v>
      </c>
      <c r="J79" s="92">
        <v>8106903637</v>
      </c>
      <c r="K79" s="67"/>
      <c r="L79" s="67"/>
      <c r="M79" s="67"/>
      <c r="N79" s="67"/>
      <c r="O79" s="67"/>
    </row>
    <row r="80" spans="1:15" ht="15">
      <c r="A80" s="91" t="s">
        <v>7</v>
      </c>
      <c r="B80" s="91" t="s">
        <v>7</v>
      </c>
      <c r="C80" s="92" t="str">
        <f ca="1">IFERROR(__xludf.DUMMYFUNCTION("filter('Back End'!C:C,'Back End'!A:A=A80,'Back End'!B:B=B80,'Back End'!D:D=D80)"),"S.Annavaram")</f>
        <v>S.Annavaram</v>
      </c>
      <c r="D80" s="91" t="s">
        <v>778</v>
      </c>
      <c r="E80" s="91" t="s">
        <v>3243</v>
      </c>
      <c r="F80" s="91" t="s">
        <v>139</v>
      </c>
      <c r="G80" s="91" t="s">
        <v>594</v>
      </c>
      <c r="H80" s="93" t="s">
        <v>4</v>
      </c>
      <c r="I80" s="92" t="s">
        <v>3140</v>
      </c>
      <c r="J80" s="92">
        <v>9030556776</v>
      </c>
      <c r="K80" s="67"/>
      <c r="L80" s="67"/>
      <c r="M80" s="67"/>
      <c r="N80" s="67"/>
      <c r="O80" s="67"/>
    </row>
    <row r="81" spans="1:15" ht="15">
      <c r="A81" s="91" t="s">
        <v>7</v>
      </c>
      <c r="B81" s="91" t="s">
        <v>7</v>
      </c>
      <c r="C81" s="92" t="str">
        <f ca="1">IFERROR(__xludf.DUMMYFUNCTION("filter('Back End'!C:C,'Back End'!A:A=A81,'Back End'!B:B=B81,'Back End'!D:D=D81)"),"S.Annavaram")</f>
        <v>S.Annavaram</v>
      </c>
      <c r="D81" s="91" t="s">
        <v>778</v>
      </c>
      <c r="E81" s="91" t="s">
        <v>3244</v>
      </c>
      <c r="F81" s="91" t="s">
        <v>165</v>
      </c>
      <c r="G81" s="91" t="s">
        <v>615</v>
      </c>
      <c r="H81" s="93" t="s">
        <v>4</v>
      </c>
      <c r="I81" s="92" t="s">
        <v>3235</v>
      </c>
      <c r="J81" s="92">
        <v>9550355028</v>
      </c>
      <c r="K81" s="67"/>
      <c r="L81" s="67"/>
      <c r="M81" s="67"/>
      <c r="N81" s="67"/>
      <c r="O81" s="67"/>
    </row>
    <row r="82" spans="1:15" ht="30">
      <c r="A82" s="91" t="s">
        <v>7</v>
      </c>
      <c r="B82" s="91" t="s">
        <v>7</v>
      </c>
      <c r="C82" s="92" t="str">
        <f ca="1">IFERROR(__xludf.DUMMYFUNCTION("filter('Back End'!C:C,'Back End'!A:A=A82,'Back End'!B:B=B82,'Back End'!D:D=D82)"),"S.Annavaram")</f>
        <v>S.Annavaram</v>
      </c>
      <c r="D82" s="91" t="s">
        <v>778</v>
      </c>
      <c r="E82" s="91" t="s">
        <v>3245</v>
      </c>
      <c r="F82" s="91" t="s">
        <v>586</v>
      </c>
      <c r="G82" s="91" t="s">
        <v>615</v>
      </c>
      <c r="H82" s="93" t="s">
        <v>4</v>
      </c>
      <c r="I82" s="92" t="s">
        <v>3246</v>
      </c>
      <c r="J82" s="92">
        <v>9177385557</v>
      </c>
      <c r="K82" s="67"/>
      <c r="L82" s="67"/>
      <c r="M82" s="67"/>
      <c r="N82" s="67"/>
      <c r="O82" s="67"/>
    </row>
    <row r="83" spans="1:15" ht="15">
      <c r="A83" s="91" t="s">
        <v>7</v>
      </c>
      <c r="B83" s="91" t="s">
        <v>7</v>
      </c>
      <c r="C83" s="92" t="str">
        <f ca="1">IFERROR(__xludf.DUMMYFUNCTION("filter('Back End'!C:C,'Back End'!A:A=A83,'Back End'!B:B=B83,'Back End'!D:D=D83)"),"S.Annavaram")</f>
        <v>S.Annavaram</v>
      </c>
      <c r="D83" s="91" t="s">
        <v>778</v>
      </c>
      <c r="E83" s="91" t="s">
        <v>3247</v>
      </c>
      <c r="F83" s="91" t="s">
        <v>139</v>
      </c>
      <c r="G83" s="91" t="s">
        <v>594</v>
      </c>
      <c r="H83" s="93" t="s">
        <v>4</v>
      </c>
      <c r="I83" s="92" t="s">
        <v>3248</v>
      </c>
      <c r="J83" s="92">
        <v>9494544347</v>
      </c>
      <c r="K83" s="67"/>
      <c r="L83" s="67"/>
      <c r="M83" s="67"/>
      <c r="N83" s="67"/>
      <c r="O83" s="67"/>
    </row>
    <row r="84" spans="1:15" ht="15">
      <c r="A84" s="91" t="s">
        <v>7</v>
      </c>
      <c r="B84" s="91" t="s">
        <v>7</v>
      </c>
      <c r="C84" s="92" t="str">
        <f ca="1">IFERROR(__xludf.DUMMYFUNCTION("filter('Back End'!C:C,'Back End'!A:A=A84,'Back End'!B:B=B84,'Back End'!D:D=D84)"),"S.Annavaram")</f>
        <v>S.Annavaram</v>
      </c>
      <c r="D84" s="91" t="s">
        <v>778</v>
      </c>
      <c r="E84" s="91" t="s">
        <v>3249</v>
      </c>
      <c r="F84" s="91" t="s">
        <v>139</v>
      </c>
      <c r="G84" s="91" t="s">
        <v>594</v>
      </c>
      <c r="H84" s="93" t="s">
        <v>4</v>
      </c>
      <c r="I84" s="92" t="s">
        <v>3250</v>
      </c>
      <c r="J84" s="92">
        <v>9704960074</v>
      </c>
      <c r="K84" s="67"/>
      <c r="L84" s="67"/>
      <c r="M84" s="67"/>
      <c r="N84" s="67"/>
      <c r="O84" s="67"/>
    </row>
    <row r="85" spans="1:15" ht="45">
      <c r="A85" s="91" t="s">
        <v>7</v>
      </c>
      <c r="B85" s="91" t="s">
        <v>7</v>
      </c>
      <c r="C85" s="92" t="str">
        <f ca="1">IFERROR(__xludf.DUMMYFUNCTION("filter('Back End'!C:C,'Back End'!A:A=A85,'Back End'!B:B=B85,'Back End'!D:D=D85)"),"S.Annavaram")</f>
        <v>S.Annavaram</v>
      </c>
      <c r="D85" s="91" t="s">
        <v>778</v>
      </c>
      <c r="E85" s="91" t="s">
        <v>3251</v>
      </c>
      <c r="F85" s="91" t="s">
        <v>139</v>
      </c>
      <c r="G85" s="91" t="s">
        <v>594</v>
      </c>
      <c r="H85" s="93" t="s">
        <v>5</v>
      </c>
      <c r="I85" s="92" t="s">
        <v>3252</v>
      </c>
      <c r="J85" s="92">
        <v>9866950533</v>
      </c>
      <c r="K85" s="67"/>
      <c r="L85" s="67"/>
      <c r="M85" s="67"/>
      <c r="N85" s="67"/>
      <c r="O85" s="67"/>
    </row>
    <row r="86" spans="1:15" ht="15">
      <c r="A86" s="91" t="s">
        <v>7</v>
      </c>
      <c r="B86" s="91" t="s">
        <v>7</v>
      </c>
      <c r="C86" s="92" t="str">
        <f ca="1">IFERROR(__xludf.DUMMYFUNCTION("filter('Back End'!C:C,'Back End'!A:A=A86,'Back End'!B:B=B86,'Back End'!D:D=D86)"),"S.Annavaram")</f>
        <v>S.Annavaram</v>
      </c>
      <c r="D86" s="91" t="s">
        <v>778</v>
      </c>
      <c r="E86" s="91" t="s">
        <v>3253</v>
      </c>
      <c r="F86" s="91" t="s">
        <v>139</v>
      </c>
      <c r="G86" s="91" t="s">
        <v>594</v>
      </c>
      <c r="H86" s="93" t="s">
        <v>5</v>
      </c>
      <c r="I86" s="67"/>
      <c r="J86" s="92">
        <v>9866447044</v>
      </c>
      <c r="K86" s="67"/>
      <c r="L86" s="67"/>
      <c r="M86" s="67"/>
      <c r="N86" s="67"/>
      <c r="O86" s="67"/>
    </row>
    <row r="87" spans="1:15" ht="15">
      <c r="A87" s="91" t="s">
        <v>7</v>
      </c>
      <c r="B87" s="91" t="s">
        <v>7</v>
      </c>
      <c r="C87" s="92" t="str">
        <f ca="1">IFERROR(__xludf.DUMMYFUNCTION("filter('Back End'!C:C,'Back End'!A:A=A87,'Back End'!B:B=B87,'Back End'!D:D=D87)"),"S.Annavaram")</f>
        <v>S.Annavaram</v>
      </c>
      <c r="D87" s="91" t="s">
        <v>778</v>
      </c>
      <c r="E87" s="91" t="s">
        <v>3254</v>
      </c>
      <c r="F87" s="91" t="s">
        <v>114</v>
      </c>
      <c r="G87" s="91" t="s">
        <v>85</v>
      </c>
      <c r="H87" s="93" t="s">
        <v>5</v>
      </c>
      <c r="I87" s="92" t="s">
        <v>3255</v>
      </c>
      <c r="J87" s="92">
        <v>9700060634</v>
      </c>
      <c r="K87" s="67"/>
      <c r="L87" s="67"/>
      <c r="M87" s="67"/>
      <c r="N87" s="67"/>
      <c r="O87" s="67"/>
    </row>
    <row r="88" spans="1:15" ht="45">
      <c r="A88" s="91" t="s">
        <v>7</v>
      </c>
      <c r="B88" s="91" t="s">
        <v>7</v>
      </c>
      <c r="C88" s="92" t="str">
        <f ca="1">IFERROR(__xludf.DUMMYFUNCTION("filter('Back End'!C:C,'Back End'!A:A=A88,'Back End'!B:B=B88,'Back End'!D:D=D88)"),"S.Annavaram")</f>
        <v>S.Annavaram</v>
      </c>
      <c r="D88" s="91" t="s">
        <v>778</v>
      </c>
      <c r="E88" s="91" t="s">
        <v>3256</v>
      </c>
      <c r="F88" s="91" t="s">
        <v>139</v>
      </c>
      <c r="G88" s="91" t="s">
        <v>594</v>
      </c>
      <c r="H88" s="93" t="s">
        <v>5</v>
      </c>
      <c r="I88" s="92" t="s">
        <v>3257</v>
      </c>
      <c r="J88" s="92">
        <v>9491494937</v>
      </c>
      <c r="K88" s="67"/>
      <c r="L88" s="67"/>
      <c r="M88" s="67"/>
      <c r="N88" s="67"/>
      <c r="O88" s="67"/>
    </row>
    <row r="89" spans="1:15" ht="15">
      <c r="A89" s="91" t="s">
        <v>7</v>
      </c>
      <c r="B89" s="91" t="s">
        <v>7</v>
      </c>
      <c r="C89" s="92" t="str">
        <f ca="1">IFERROR(__xludf.DUMMYFUNCTION("filter('Back End'!C:C,'Back End'!A:A=A89,'Back End'!B:B=B89,'Back End'!D:D=D89)"),"S.Annavaram")</f>
        <v>S.Annavaram</v>
      </c>
      <c r="D89" s="91" t="s">
        <v>778</v>
      </c>
      <c r="E89" s="91" t="s">
        <v>3258</v>
      </c>
      <c r="F89" s="91" t="s">
        <v>139</v>
      </c>
      <c r="G89" s="91" t="s">
        <v>594</v>
      </c>
      <c r="H89" s="93" t="s">
        <v>5</v>
      </c>
      <c r="I89" s="92" t="s">
        <v>3259</v>
      </c>
      <c r="J89" s="92">
        <v>9951703224</v>
      </c>
      <c r="K89" s="67"/>
      <c r="L89" s="67"/>
      <c r="M89" s="67"/>
      <c r="N89" s="67"/>
      <c r="O89" s="67"/>
    </row>
    <row r="90" spans="1:15" ht="30">
      <c r="A90" s="91" t="s">
        <v>7</v>
      </c>
      <c r="B90" s="91" t="s">
        <v>7</v>
      </c>
      <c r="C90" s="92" t="str">
        <f ca="1">IFERROR(__xludf.DUMMYFUNCTION("filter('Back End'!C:C,'Back End'!A:A=A90,'Back End'!B:B=B90,'Back End'!D:D=D90)"),"S.Annavaram")</f>
        <v>S.Annavaram</v>
      </c>
      <c r="D90" s="91" t="s">
        <v>778</v>
      </c>
      <c r="E90" s="91" t="s">
        <v>3260</v>
      </c>
      <c r="F90" s="91" t="s">
        <v>139</v>
      </c>
      <c r="G90" s="91" t="s">
        <v>594</v>
      </c>
      <c r="H90" s="93" t="s">
        <v>5</v>
      </c>
      <c r="I90" s="92" t="s">
        <v>3142</v>
      </c>
      <c r="J90" s="92">
        <v>7075098515</v>
      </c>
      <c r="K90" s="67"/>
      <c r="L90" s="67"/>
      <c r="M90" s="67"/>
      <c r="N90" s="67"/>
      <c r="O90" s="67"/>
    </row>
    <row r="91" spans="1:15" ht="45">
      <c r="A91" s="91" t="s">
        <v>10</v>
      </c>
      <c r="B91" s="92" t="s">
        <v>10</v>
      </c>
      <c r="C91" s="92" t="str">
        <f ca="1">IFERROR(__xludf.DUMMYFUNCTION("filter('Back End'!C:C,'Back End'!A:A=A91,'Back End'!B:B=B91,'Back End'!D:D=D91)"),"P Donthamuru")</f>
        <v>P Donthamuru</v>
      </c>
      <c r="D91" s="91" t="s">
        <v>528</v>
      </c>
      <c r="E91" s="92" t="s">
        <v>3261</v>
      </c>
      <c r="F91" s="91" t="s">
        <v>114</v>
      </c>
      <c r="G91" s="91" t="s">
        <v>85</v>
      </c>
      <c r="H91" s="93" t="s">
        <v>4</v>
      </c>
      <c r="I91" s="92" t="s">
        <v>3262</v>
      </c>
      <c r="J91" s="92">
        <v>8885407270</v>
      </c>
      <c r="K91" s="92" t="s">
        <v>1608</v>
      </c>
      <c r="L91" s="92" t="s">
        <v>3218</v>
      </c>
      <c r="M91" s="67"/>
      <c r="N91" s="67"/>
      <c r="O91" s="67"/>
    </row>
    <row r="92" spans="1:15" ht="45">
      <c r="A92" s="91" t="s">
        <v>10</v>
      </c>
      <c r="B92" s="92" t="s">
        <v>10</v>
      </c>
      <c r="C92" s="92" t="str">
        <f ca="1">IFERROR(__xludf.DUMMYFUNCTION("filter('Back End'!C:C,'Back End'!A:A=A92,'Back End'!B:B=B92,'Back End'!D:D=D92)"),"P Donthamuru")</f>
        <v>P Donthamuru</v>
      </c>
      <c r="D92" s="91" t="s">
        <v>528</v>
      </c>
      <c r="E92" s="92" t="s">
        <v>3263</v>
      </c>
      <c r="F92" s="91" t="s">
        <v>114</v>
      </c>
      <c r="G92" s="91" t="s">
        <v>85</v>
      </c>
      <c r="H92" s="93" t="s">
        <v>4</v>
      </c>
      <c r="I92" s="92" t="s">
        <v>3212</v>
      </c>
      <c r="J92" s="67"/>
      <c r="K92" s="92" t="s">
        <v>1608</v>
      </c>
      <c r="L92" s="92" t="s">
        <v>3264</v>
      </c>
      <c r="M92" s="67"/>
      <c r="N92" s="67"/>
      <c r="O92" s="67"/>
    </row>
    <row r="93" spans="1:15" ht="45">
      <c r="A93" s="91" t="s">
        <v>10</v>
      </c>
      <c r="B93" s="91" t="s">
        <v>10</v>
      </c>
      <c r="C93" s="92" t="str">
        <f ca="1">IFERROR(__xludf.DUMMYFUNCTION("filter('Back End'!C:C,'Back End'!A:A=A93,'Back End'!B:B=B93,'Back End'!D:D=D93)"),"P Donthamuru")</f>
        <v>P Donthamuru</v>
      </c>
      <c r="D93" s="91" t="s">
        <v>528</v>
      </c>
      <c r="E93" s="91" t="s">
        <v>3265</v>
      </c>
      <c r="F93" s="91" t="s">
        <v>1669</v>
      </c>
      <c r="G93" s="91" t="s">
        <v>615</v>
      </c>
      <c r="H93" s="93" t="s">
        <v>4</v>
      </c>
      <c r="I93" s="92" t="s">
        <v>3266</v>
      </c>
      <c r="J93" s="92">
        <v>9059272750</v>
      </c>
      <c r="K93" s="67"/>
      <c r="L93" s="67"/>
      <c r="M93" s="67"/>
      <c r="N93" s="67"/>
      <c r="O93" s="67"/>
    </row>
    <row r="94" spans="1:15" ht="15">
      <c r="A94" s="91" t="s">
        <v>10</v>
      </c>
      <c r="B94" s="91" t="s">
        <v>10</v>
      </c>
      <c r="C94" s="92" t="str">
        <f ca="1">IFERROR(__xludf.DUMMYFUNCTION("filter('Back End'!C:C,'Back End'!A:A=A94,'Back End'!B:B=B94,'Back End'!D:D=D94)"),"P Donthamuru")</f>
        <v>P Donthamuru</v>
      </c>
      <c r="D94" s="91" t="s">
        <v>528</v>
      </c>
      <c r="E94" s="91" t="s">
        <v>3267</v>
      </c>
      <c r="F94" s="67"/>
      <c r="G94" s="67"/>
      <c r="H94" s="93" t="s">
        <v>4</v>
      </c>
      <c r="I94" s="92" t="s">
        <v>3125</v>
      </c>
      <c r="J94" s="92">
        <v>9505447775</v>
      </c>
      <c r="K94" s="67"/>
      <c r="L94" s="67"/>
      <c r="M94" s="67"/>
      <c r="N94" s="67"/>
      <c r="O94" s="67"/>
    </row>
    <row r="95" spans="1:15" ht="15">
      <c r="A95" s="91" t="s">
        <v>10</v>
      </c>
      <c r="B95" s="91" t="s">
        <v>10</v>
      </c>
      <c r="C95" s="92" t="str">
        <f ca="1">IFERROR(__xludf.DUMMYFUNCTION("filter('Back End'!C:C,'Back End'!A:A=A95,'Back End'!B:B=B95,'Back End'!D:D=D95)"),"P Donthamuru")</f>
        <v>P Donthamuru</v>
      </c>
      <c r="D95" s="91" t="s">
        <v>528</v>
      </c>
      <c r="E95" s="91" t="s">
        <v>3268</v>
      </c>
      <c r="F95" s="91" t="s">
        <v>139</v>
      </c>
      <c r="G95" s="91" t="s">
        <v>594</v>
      </c>
      <c r="H95" s="93" t="s">
        <v>4</v>
      </c>
      <c r="I95" s="92" t="s">
        <v>3140</v>
      </c>
      <c r="J95" s="92">
        <v>9177704186</v>
      </c>
      <c r="K95" s="67"/>
      <c r="L95" s="67"/>
      <c r="M95" s="67"/>
      <c r="N95" s="67"/>
      <c r="O95" s="67"/>
    </row>
    <row r="96" spans="1:15" ht="16.5">
      <c r="A96" s="91" t="s">
        <v>10</v>
      </c>
      <c r="B96" s="91" t="s">
        <v>10</v>
      </c>
      <c r="C96" s="92" t="str">
        <f ca="1">IFERROR(__xludf.DUMMYFUNCTION("filter('Back End'!C:C,'Back End'!A:A=A96,'Back End'!B:B=B96,'Back End'!D:D=D96)"),"P Donthamuru")</f>
        <v>P Donthamuru</v>
      </c>
      <c r="D96" s="91" t="s">
        <v>528</v>
      </c>
      <c r="E96" s="97" t="s">
        <v>3269</v>
      </c>
      <c r="F96" s="98" t="s">
        <v>139</v>
      </c>
      <c r="G96" s="98" t="s">
        <v>594</v>
      </c>
      <c r="H96" s="93" t="s">
        <v>4</v>
      </c>
      <c r="I96" s="98" t="s">
        <v>3185</v>
      </c>
      <c r="J96" s="98">
        <v>9848053900</v>
      </c>
      <c r="K96" s="99"/>
      <c r="L96" s="99"/>
      <c r="M96" s="99"/>
      <c r="N96" s="67"/>
      <c r="O96" s="67"/>
    </row>
    <row r="97" spans="1:15" ht="16.5">
      <c r="A97" s="91" t="s">
        <v>10</v>
      </c>
      <c r="B97" s="91" t="s">
        <v>10</v>
      </c>
      <c r="C97" s="92" t="str">
        <f ca="1">IFERROR(__xludf.DUMMYFUNCTION("filter('Back End'!C:C,'Back End'!A:A=A97,'Back End'!B:B=B97,'Back End'!D:D=D97)"),"P Donthamuru")</f>
        <v>P Donthamuru</v>
      </c>
      <c r="D97" s="91" t="s">
        <v>528</v>
      </c>
      <c r="E97" s="97" t="s">
        <v>3270</v>
      </c>
      <c r="F97" s="98" t="s">
        <v>139</v>
      </c>
      <c r="G97" s="98" t="s">
        <v>594</v>
      </c>
      <c r="H97" s="93" t="s">
        <v>4</v>
      </c>
      <c r="I97" s="98" t="s">
        <v>3271</v>
      </c>
      <c r="J97" s="98">
        <v>8522865242</v>
      </c>
      <c r="K97" s="99"/>
      <c r="L97" s="99"/>
      <c r="M97" s="99"/>
      <c r="N97" s="67"/>
      <c r="O97" s="67"/>
    </row>
    <row r="98" spans="1:15" ht="45.4">
      <c r="A98" s="91" t="s">
        <v>10</v>
      </c>
      <c r="B98" s="91" t="s">
        <v>10</v>
      </c>
      <c r="C98" s="92" t="str">
        <f ca="1">IFERROR(__xludf.DUMMYFUNCTION("filter('Back End'!C:C,'Back End'!A:A=A98,'Back End'!B:B=B98,'Back End'!D:D=D98)"),"P Donthamuru")</f>
        <v>P Donthamuru</v>
      </c>
      <c r="D98" s="91" t="s">
        <v>528</v>
      </c>
      <c r="E98" s="97" t="s">
        <v>3272</v>
      </c>
      <c r="F98" s="98" t="s">
        <v>1669</v>
      </c>
      <c r="G98" s="98" t="s">
        <v>594</v>
      </c>
      <c r="H98" s="93" t="s">
        <v>6</v>
      </c>
      <c r="I98" s="98" t="s">
        <v>3185</v>
      </c>
      <c r="J98" s="98">
        <v>9240603447</v>
      </c>
      <c r="K98" s="99"/>
      <c r="L98" s="99"/>
      <c r="M98" s="99"/>
      <c r="N98" s="67"/>
      <c r="O98" s="67"/>
    </row>
    <row r="99" spans="1:15" ht="16.5">
      <c r="A99" s="91" t="s">
        <v>10</v>
      </c>
      <c r="B99" s="91" t="s">
        <v>10</v>
      </c>
      <c r="C99" s="92" t="str">
        <f ca="1">IFERROR(__xludf.DUMMYFUNCTION("filter('Back End'!C:C,'Back End'!A:A=A99,'Back End'!B:B=B99,'Back End'!D:D=D99)"),"P Donthamuru")</f>
        <v>P Donthamuru</v>
      </c>
      <c r="D99" s="91" t="s">
        <v>528</v>
      </c>
      <c r="E99" s="97" t="s">
        <v>3273</v>
      </c>
      <c r="F99" s="98" t="s">
        <v>139</v>
      </c>
      <c r="G99" s="98" t="s">
        <v>594</v>
      </c>
      <c r="H99" s="93" t="s">
        <v>6</v>
      </c>
      <c r="I99" s="98" t="s">
        <v>3112</v>
      </c>
      <c r="J99" s="98">
        <v>8498983117</v>
      </c>
      <c r="K99" s="99"/>
      <c r="L99" s="99"/>
      <c r="M99" s="99"/>
      <c r="N99" s="67"/>
      <c r="O99" s="67"/>
    </row>
    <row r="100" spans="1:15" ht="30.4">
      <c r="A100" s="91" t="s">
        <v>10</v>
      </c>
      <c r="B100" s="91" t="s">
        <v>10</v>
      </c>
      <c r="C100" s="92" t="str">
        <f ca="1">IFERROR(__xludf.DUMMYFUNCTION("filter('Back End'!C:C,'Back End'!A:A=A100,'Back End'!B:B=B100,'Back End'!D:D=D100)"),"P Donthamuru")</f>
        <v>P Donthamuru</v>
      </c>
      <c r="D100" s="91" t="s">
        <v>528</v>
      </c>
      <c r="E100" s="97" t="s">
        <v>3274</v>
      </c>
      <c r="F100" s="98" t="s">
        <v>139</v>
      </c>
      <c r="G100" s="98" t="s">
        <v>594</v>
      </c>
      <c r="H100" s="93" t="s">
        <v>6</v>
      </c>
      <c r="I100" s="98" t="s">
        <v>3112</v>
      </c>
      <c r="J100" s="98">
        <v>8886827720</v>
      </c>
      <c r="K100" s="99"/>
      <c r="L100" s="99"/>
      <c r="M100" s="99"/>
      <c r="N100" s="67"/>
      <c r="O100" s="67"/>
    </row>
    <row r="101" spans="1:15" ht="45.4">
      <c r="A101" s="91" t="s">
        <v>10</v>
      </c>
      <c r="B101" s="91" t="s">
        <v>10</v>
      </c>
      <c r="C101" s="92" t="str">
        <f ca="1">IFERROR(__xludf.DUMMYFUNCTION("filter('Back End'!C:C,'Back End'!A:A=A101,'Back End'!B:B=B101,'Back End'!D:D=D101)"),"P Donthamuru")</f>
        <v>P Donthamuru</v>
      </c>
      <c r="D101" s="91" t="s">
        <v>528</v>
      </c>
      <c r="E101" s="97" t="s">
        <v>3275</v>
      </c>
      <c r="F101" s="98" t="s">
        <v>1669</v>
      </c>
      <c r="G101" s="98" t="s">
        <v>615</v>
      </c>
      <c r="H101" s="93" t="s">
        <v>5</v>
      </c>
      <c r="I101" s="98" t="s">
        <v>3205</v>
      </c>
      <c r="J101" s="98" t="s">
        <v>2631</v>
      </c>
      <c r="K101" s="99"/>
      <c r="L101" s="99"/>
      <c r="M101" s="99"/>
      <c r="N101" s="67"/>
      <c r="O101" s="67"/>
    </row>
    <row r="102" spans="1:15" ht="30.4">
      <c r="A102" s="91" t="s">
        <v>10</v>
      </c>
      <c r="B102" s="91" t="s">
        <v>10</v>
      </c>
      <c r="C102" s="92" t="str">
        <f ca="1">IFERROR(__xludf.DUMMYFUNCTION("filter('Back End'!C:C,'Back End'!A:A=A102,'Back End'!B:B=B102,'Back End'!D:D=D102)"),"P Donthamuru")</f>
        <v>P Donthamuru</v>
      </c>
      <c r="D102" s="91" t="s">
        <v>528</v>
      </c>
      <c r="E102" s="97" t="s">
        <v>3276</v>
      </c>
      <c r="F102" s="98" t="s">
        <v>1665</v>
      </c>
      <c r="G102" s="98" t="s">
        <v>615</v>
      </c>
      <c r="H102" s="93" t="s">
        <v>5</v>
      </c>
      <c r="I102" s="98" t="s">
        <v>3115</v>
      </c>
      <c r="J102" s="98">
        <v>9989771157</v>
      </c>
      <c r="K102" s="99"/>
      <c r="L102" s="99"/>
      <c r="M102" s="99"/>
      <c r="N102" s="67"/>
      <c r="O102" s="67"/>
    </row>
    <row r="103" spans="1:15" ht="30">
      <c r="A103" s="91" t="s">
        <v>10</v>
      </c>
      <c r="B103" s="97" t="s">
        <v>10</v>
      </c>
      <c r="C103" s="97" t="str">
        <f ca="1">IFERROR(__xludf.DUMMYFUNCTION("filter('Back End'!C:C,'Back End'!A:A=A103,'Back End'!B:B=B103,'Back End'!D:D=D103)"),"P Donthamuru")</f>
        <v>P Donthamuru</v>
      </c>
      <c r="D103" s="100" t="s">
        <v>528</v>
      </c>
      <c r="E103" s="97" t="s">
        <v>3277</v>
      </c>
      <c r="F103" s="99"/>
      <c r="G103" s="99"/>
      <c r="H103" s="100" t="s">
        <v>5</v>
      </c>
      <c r="I103" s="99"/>
      <c r="J103" s="99"/>
      <c r="K103" s="97" t="s">
        <v>1603</v>
      </c>
      <c r="L103" s="97" t="s">
        <v>3278</v>
      </c>
      <c r="M103" s="99"/>
      <c r="N103" s="67"/>
      <c r="O103" s="67"/>
    </row>
    <row r="104" spans="1:15" ht="15">
      <c r="A104" s="101" t="s">
        <v>10</v>
      </c>
      <c r="B104" s="93" t="s">
        <v>10</v>
      </c>
      <c r="C104" s="102" t="str">
        <f ca="1">IFERROR(__xludf.DUMMYFUNCTION("filter('Back End'!C:C,'Back End'!A:A=A104,'Back End'!B:B=B104,'Back End'!D:D=D104)"),"P Donthamuru")</f>
        <v>P Donthamuru</v>
      </c>
      <c r="D104" s="93" t="s">
        <v>528</v>
      </c>
      <c r="E104" s="93" t="s">
        <v>3279</v>
      </c>
      <c r="F104" s="93" t="s">
        <v>1665</v>
      </c>
      <c r="G104" s="93" t="s">
        <v>594</v>
      </c>
      <c r="H104" s="93" t="s">
        <v>5</v>
      </c>
      <c r="I104" s="95"/>
      <c r="J104" s="102">
        <v>9989771157</v>
      </c>
      <c r="K104" s="95"/>
      <c r="L104" s="95"/>
      <c r="M104" s="95"/>
      <c r="N104" s="67"/>
      <c r="O104" s="67"/>
    </row>
    <row r="105" spans="1:15" ht="45">
      <c r="A105" s="91" t="s">
        <v>7</v>
      </c>
      <c r="B105" s="92" t="s">
        <v>7</v>
      </c>
      <c r="C105" s="102" t="s">
        <v>554</v>
      </c>
      <c r="D105" s="91" t="s">
        <v>554</v>
      </c>
      <c r="E105" s="92" t="s">
        <v>3280</v>
      </c>
      <c r="F105" s="91" t="s">
        <v>586</v>
      </c>
      <c r="G105" s="91" t="s">
        <v>615</v>
      </c>
      <c r="H105" s="93" t="s">
        <v>5</v>
      </c>
      <c r="I105" s="92" t="s">
        <v>3281</v>
      </c>
      <c r="J105" s="92">
        <v>9347808987</v>
      </c>
      <c r="K105" s="92" t="s">
        <v>1613</v>
      </c>
      <c r="L105" s="92" t="s">
        <v>3282</v>
      </c>
      <c r="M105" s="67"/>
      <c r="N105" s="67"/>
      <c r="O105" s="67"/>
    </row>
    <row r="106" spans="1:15" ht="30">
      <c r="A106" s="91" t="s">
        <v>7</v>
      </c>
      <c r="B106" s="92" t="s">
        <v>7</v>
      </c>
      <c r="C106" s="102" t="s">
        <v>554</v>
      </c>
      <c r="D106" s="91" t="s">
        <v>554</v>
      </c>
      <c r="E106" s="92" t="s">
        <v>3283</v>
      </c>
      <c r="F106" s="91" t="s">
        <v>586</v>
      </c>
      <c r="G106" s="91" t="s">
        <v>615</v>
      </c>
      <c r="H106" s="93" t="s">
        <v>5</v>
      </c>
      <c r="I106" s="92" t="s">
        <v>3284</v>
      </c>
      <c r="J106" s="92">
        <v>9505650793</v>
      </c>
      <c r="K106" s="92" t="s">
        <v>1598</v>
      </c>
      <c r="L106" s="67"/>
      <c r="M106" s="67"/>
      <c r="N106" s="67"/>
      <c r="O106" s="67"/>
    </row>
    <row r="107" spans="1:15" ht="60">
      <c r="A107" s="91" t="s">
        <v>7</v>
      </c>
      <c r="B107" s="92" t="s">
        <v>7</v>
      </c>
      <c r="C107" s="102" t="s">
        <v>554</v>
      </c>
      <c r="D107" s="91" t="s">
        <v>554</v>
      </c>
      <c r="E107" s="92" t="s">
        <v>3285</v>
      </c>
      <c r="F107" s="91" t="s">
        <v>586</v>
      </c>
      <c r="G107" s="91" t="s">
        <v>615</v>
      </c>
      <c r="H107" s="93" t="s">
        <v>5</v>
      </c>
      <c r="I107" s="92" t="s">
        <v>3286</v>
      </c>
      <c r="J107" s="92">
        <v>9848544227</v>
      </c>
      <c r="K107" s="92" t="s">
        <v>1603</v>
      </c>
      <c r="L107" s="92" t="s">
        <v>3287</v>
      </c>
      <c r="M107" s="67"/>
      <c r="N107" s="67"/>
      <c r="O107" s="67"/>
    </row>
    <row r="108" spans="1:15" ht="45">
      <c r="A108" s="91" t="s">
        <v>7</v>
      </c>
      <c r="B108" s="92" t="s">
        <v>7</v>
      </c>
      <c r="C108" s="102" t="s">
        <v>554</v>
      </c>
      <c r="D108" s="91" t="s">
        <v>554</v>
      </c>
      <c r="E108" s="92" t="s">
        <v>3288</v>
      </c>
      <c r="F108" s="91" t="s">
        <v>586</v>
      </c>
      <c r="G108" s="91" t="s">
        <v>615</v>
      </c>
      <c r="H108" s="93" t="s">
        <v>5</v>
      </c>
      <c r="I108" s="92" t="s">
        <v>3284</v>
      </c>
      <c r="J108" s="92">
        <v>9676562213</v>
      </c>
      <c r="K108" s="92" t="s">
        <v>1603</v>
      </c>
      <c r="L108" s="67"/>
      <c r="M108" s="67"/>
      <c r="N108" s="67"/>
      <c r="O108" s="67"/>
    </row>
    <row r="109" spans="1:15" ht="60">
      <c r="A109" s="91" t="s">
        <v>7</v>
      </c>
      <c r="B109" s="92" t="s">
        <v>7</v>
      </c>
      <c r="C109" s="102" t="s">
        <v>554</v>
      </c>
      <c r="D109" s="91" t="s">
        <v>554</v>
      </c>
      <c r="E109" s="92" t="s">
        <v>3289</v>
      </c>
      <c r="F109" s="91" t="s">
        <v>586</v>
      </c>
      <c r="G109" s="91" t="s">
        <v>615</v>
      </c>
      <c r="H109" s="93" t="s">
        <v>5</v>
      </c>
      <c r="I109" s="92" t="s">
        <v>3290</v>
      </c>
      <c r="J109" s="92">
        <v>9502241943</v>
      </c>
      <c r="K109" s="92" t="s">
        <v>1608</v>
      </c>
      <c r="L109" s="92" t="s">
        <v>3287</v>
      </c>
      <c r="M109" s="67"/>
      <c r="N109" s="67"/>
      <c r="O109" s="67"/>
    </row>
    <row r="110" spans="1:15" ht="105">
      <c r="A110" s="91" t="s">
        <v>7</v>
      </c>
      <c r="B110" s="92" t="s">
        <v>7</v>
      </c>
      <c r="C110" s="102" t="s">
        <v>554</v>
      </c>
      <c r="D110" s="91" t="s">
        <v>554</v>
      </c>
      <c r="E110" s="92" t="s">
        <v>3291</v>
      </c>
      <c r="F110" s="91" t="s">
        <v>586</v>
      </c>
      <c r="G110" s="91" t="s">
        <v>615</v>
      </c>
      <c r="H110" s="93" t="s">
        <v>4</v>
      </c>
      <c r="I110" s="92" t="s">
        <v>3292</v>
      </c>
      <c r="J110" s="92">
        <v>9182500344</v>
      </c>
      <c r="K110" s="92" t="s">
        <v>1613</v>
      </c>
      <c r="L110" s="67"/>
      <c r="M110" s="67"/>
      <c r="N110" s="67"/>
      <c r="O110" s="67"/>
    </row>
    <row r="111" spans="1:15" ht="60">
      <c r="A111" s="91" t="s">
        <v>7</v>
      </c>
      <c r="B111" s="92" t="s">
        <v>7</v>
      </c>
      <c r="C111" s="102" t="s">
        <v>554</v>
      </c>
      <c r="D111" s="91" t="s">
        <v>554</v>
      </c>
      <c r="E111" s="92" t="s">
        <v>3293</v>
      </c>
      <c r="F111" s="91" t="s">
        <v>586</v>
      </c>
      <c r="G111" s="91" t="s">
        <v>615</v>
      </c>
      <c r="H111" s="93" t="s">
        <v>4</v>
      </c>
      <c r="I111" s="92" t="s">
        <v>3294</v>
      </c>
      <c r="J111" s="92">
        <v>9912282310</v>
      </c>
      <c r="K111" s="92" t="s">
        <v>1598</v>
      </c>
      <c r="L111" s="67"/>
      <c r="M111" s="67"/>
      <c r="N111" s="67"/>
      <c r="O111" s="67"/>
    </row>
    <row r="112" spans="1:15" ht="105">
      <c r="A112" s="91" t="s">
        <v>7</v>
      </c>
      <c r="B112" s="92" t="s">
        <v>7</v>
      </c>
      <c r="C112" s="102" t="s">
        <v>554</v>
      </c>
      <c r="D112" s="91" t="s">
        <v>554</v>
      </c>
      <c r="E112" s="92" t="s">
        <v>3295</v>
      </c>
      <c r="F112" s="91" t="s">
        <v>586</v>
      </c>
      <c r="G112" s="91" t="s">
        <v>615</v>
      </c>
      <c r="H112" s="93" t="s">
        <v>4</v>
      </c>
      <c r="I112" s="92" t="s">
        <v>3296</v>
      </c>
      <c r="J112" s="92">
        <v>9989796236</v>
      </c>
      <c r="K112" s="92" t="s">
        <v>1598</v>
      </c>
      <c r="L112" s="92" t="s">
        <v>3297</v>
      </c>
      <c r="M112" s="67"/>
      <c r="N112" s="67"/>
      <c r="O112" s="67"/>
    </row>
    <row r="113" spans="1:15" ht="30">
      <c r="A113" s="91" t="s">
        <v>7</v>
      </c>
      <c r="B113" s="92" t="s">
        <v>7</v>
      </c>
      <c r="C113" s="102" t="s">
        <v>554</v>
      </c>
      <c r="D113" s="91" t="s">
        <v>554</v>
      </c>
      <c r="E113" s="92" t="s">
        <v>3298</v>
      </c>
      <c r="F113" s="91" t="s">
        <v>586</v>
      </c>
      <c r="G113" s="91" t="s">
        <v>615</v>
      </c>
      <c r="H113" s="93" t="s">
        <v>4</v>
      </c>
      <c r="I113" s="92" t="s">
        <v>3299</v>
      </c>
      <c r="J113" s="67"/>
      <c r="K113" s="92" t="s">
        <v>1598</v>
      </c>
      <c r="L113" s="67"/>
      <c r="M113" s="67"/>
      <c r="N113" s="67"/>
      <c r="O113" s="67"/>
    </row>
    <row r="114" spans="1:15" ht="30">
      <c r="A114" s="91" t="s">
        <v>7</v>
      </c>
      <c r="B114" s="92" t="s">
        <v>7</v>
      </c>
      <c r="C114" s="102" t="s">
        <v>554</v>
      </c>
      <c r="D114" s="91" t="s">
        <v>554</v>
      </c>
      <c r="E114" s="92" t="s">
        <v>3300</v>
      </c>
      <c r="F114" s="91" t="s">
        <v>114</v>
      </c>
      <c r="G114" s="91" t="s">
        <v>85</v>
      </c>
      <c r="H114" s="93" t="s">
        <v>5</v>
      </c>
      <c r="I114" s="92" t="s">
        <v>3301</v>
      </c>
      <c r="J114" s="92">
        <v>9676562213</v>
      </c>
      <c r="K114" s="67"/>
      <c r="L114" s="67"/>
      <c r="M114" s="67"/>
      <c r="N114" s="67"/>
      <c r="O114" s="67"/>
    </row>
    <row r="115" spans="1:15" ht="105">
      <c r="A115" s="91" t="s">
        <v>7</v>
      </c>
      <c r="B115" s="92" t="s">
        <v>7</v>
      </c>
      <c r="C115" s="102" t="s">
        <v>554</v>
      </c>
      <c r="D115" s="91" t="s">
        <v>554</v>
      </c>
      <c r="E115" s="92" t="s">
        <v>3302</v>
      </c>
      <c r="F115" s="91" t="s">
        <v>586</v>
      </c>
      <c r="G115" s="91" t="s">
        <v>615</v>
      </c>
      <c r="H115" s="93" t="s">
        <v>5</v>
      </c>
      <c r="I115" s="92" t="s">
        <v>3115</v>
      </c>
      <c r="J115" s="92">
        <v>9247236611</v>
      </c>
      <c r="K115" s="92" t="s">
        <v>1608</v>
      </c>
      <c r="L115" s="67"/>
      <c r="M115" s="67"/>
      <c r="N115" s="67"/>
      <c r="O115" s="67"/>
    </row>
    <row r="116" spans="1:15" ht="45">
      <c r="A116" s="91" t="s">
        <v>7</v>
      </c>
      <c r="B116" s="92" t="s">
        <v>7</v>
      </c>
      <c r="C116" s="102" t="s">
        <v>554</v>
      </c>
      <c r="D116" s="91" t="s">
        <v>554</v>
      </c>
      <c r="E116" s="92" t="s">
        <v>3303</v>
      </c>
      <c r="F116" s="91" t="s">
        <v>586</v>
      </c>
      <c r="G116" s="91" t="s">
        <v>615</v>
      </c>
      <c r="H116" s="93" t="s">
        <v>5</v>
      </c>
      <c r="I116" s="92" t="s">
        <v>3304</v>
      </c>
      <c r="J116" s="92">
        <v>9849632656</v>
      </c>
      <c r="K116" s="67"/>
      <c r="L116" s="92" t="s">
        <v>3305</v>
      </c>
      <c r="M116" s="67"/>
      <c r="N116" s="67"/>
      <c r="O116" s="67"/>
    </row>
    <row r="117" spans="1:15" ht="45">
      <c r="A117" s="91" t="s">
        <v>7</v>
      </c>
      <c r="B117" s="92" t="s">
        <v>7</v>
      </c>
      <c r="C117" s="102" t="s">
        <v>554</v>
      </c>
      <c r="D117" s="91" t="s">
        <v>554</v>
      </c>
      <c r="E117" s="92" t="s">
        <v>3306</v>
      </c>
      <c r="F117" s="91" t="s">
        <v>586</v>
      </c>
      <c r="G117" s="91" t="s">
        <v>615</v>
      </c>
      <c r="H117" s="93" t="s">
        <v>4</v>
      </c>
      <c r="I117" s="92" t="s">
        <v>3194</v>
      </c>
      <c r="J117" s="92">
        <v>8985595958</v>
      </c>
      <c r="K117" s="67"/>
      <c r="L117" s="92" t="s">
        <v>3307</v>
      </c>
      <c r="M117" s="67"/>
      <c r="N117" s="67"/>
      <c r="O117" s="67"/>
    </row>
    <row r="118" spans="1:15" ht="75">
      <c r="A118" s="91" t="s">
        <v>7</v>
      </c>
      <c r="B118" s="92" t="s">
        <v>7</v>
      </c>
      <c r="C118" s="102" t="s">
        <v>554</v>
      </c>
      <c r="D118" s="91" t="s">
        <v>554</v>
      </c>
      <c r="E118" s="92" t="s">
        <v>3308</v>
      </c>
      <c r="F118" s="91" t="s">
        <v>586</v>
      </c>
      <c r="G118" s="91" t="s">
        <v>615</v>
      </c>
      <c r="H118" s="93" t="s">
        <v>4</v>
      </c>
      <c r="I118" s="92" t="s">
        <v>3309</v>
      </c>
      <c r="J118" s="92">
        <v>94401016665</v>
      </c>
      <c r="K118" s="67"/>
      <c r="L118" s="67"/>
      <c r="M118" s="67"/>
      <c r="N118" s="67"/>
      <c r="O118" s="67"/>
    </row>
    <row r="119" spans="1:15" ht="15">
      <c r="A119" s="91" t="s">
        <v>7</v>
      </c>
      <c r="B119" s="91" t="s">
        <v>7</v>
      </c>
      <c r="C119" s="102" t="s">
        <v>554</v>
      </c>
      <c r="D119" s="91" t="s">
        <v>554</v>
      </c>
      <c r="E119" s="91" t="s">
        <v>3310</v>
      </c>
      <c r="F119" s="91" t="s">
        <v>586</v>
      </c>
      <c r="G119" s="91" t="s">
        <v>615</v>
      </c>
      <c r="H119" s="93" t="s">
        <v>4</v>
      </c>
      <c r="I119" s="92" t="s">
        <v>3311</v>
      </c>
      <c r="J119" s="92">
        <v>9951088903</v>
      </c>
      <c r="K119" s="67"/>
      <c r="L119" s="67"/>
      <c r="M119" s="67"/>
      <c r="N119" s="67"/>
      <c r="O119" s="67"/>
    </row>
    <row r="120" spans="1:15" ht="15">
      <c r="A120" s="91" t="s">
        <v>7</v>
      </c>
      <c r="B120" s="91" t="s">
        <v>7</v>
      </c>
      <c r="C120" s="102" t="s">
        <v>554</v>
      </c>
      <c r="D120" s="91" t="s">
        <v>554</v>
      </c>
      <c r="E120" s="91" t="s">
        <v>3312</v>
      </c>
      <c r="F120" s="91" t="s">
        <v>586</v>
      </c>
      <c r="G120" s="91" t="s">
        <v>615</v>
      </c>
      <c r="H120" s="93" t="s">
        <v>4</v>
      </c>
      <c r="I120" s="92" t="s">
        <v>3313</v>
      </c>
      <c r="J120" s="92">
        <v>8347535132</v>
      </c>
      <c r="K120" s="67"/>
      <c r="L120" s="67"/>
      <c r="M120" s="67"/>
      <c r="N120" s="67"/>
      <c r="O120" s="67"/>
    </row>
    <row r="121" spans="1:15" ht="15">
      <c r="A121" s="91" t="s">
        <v>7</v>
      </c>
      <c r="B121" s="91" t="s">
        <v>7</v>
      </c>
      <c r="C121" s="102" t="s">
        <v>554</v>
      </c>
      <c r="D121" s="91" t="s">
        <v>554</v>
      </c>
      <c r="E121" s="91" t="s">
        <v>3314</v>
      </c>
      <c r="F121" s="91" t="s">
        <v>165</v>
      </c>
      <c r="G121" s="91" t="s">
        <v>615</v>
      </c>
      <c r="H121" s="93" t="s">
        <v>4</v>
      </c>
      <c r="I121" s="92" t="s">
        <v>3315</v>
      </c>
      <c r="J121" s="92">
        <v>8688076444</v>
      </c>
      <c r="K121" s="67"/>
      <c r="L121" s="67"/>
      <c r="M121" s="67"/>
      <c r="N121" s="67"/>
      <c r="O121" s="67"/>
    </row>
    <row r="122" spans="1:15" ht="15">
      <c r="A122" s="91" t="s">
        <v>7</v>
      </c>
      <c r="B122" s="91" t="s">
        <v>7</v>
      </c>
      <c r="C122" s="102" t="s">
        <v>554</v>
      </c>
      <c r="D122" s="91" t="s">
        <v>554</v>
      </c>
      <c r="E122" s="91" t="s">
        <v>3316</v>
      </c>
      <c r="F122" s="91" t="s">
        <v>165</v>
      </c>
      <c r="G122" s="67"/>
      <c r="H122" s="93" t="s">
        <v>4</v>
      </c>
      <c r="I122" s="92" t="s">
        <v>3317</v>
      </c>
      <c r="J122" s="92">
        <v>9951031529</v>
      </c>
      <c r="K122" s="67"/>
      <c r="L122" s="67"/>
      <c r="M122" s="67"/>
      <c r="N122" s="67"/>
      <c r="O122" s="67"/>
    </row>
    <row r="123" spans="1:15" ht="15">
      <c r="A123" s="91" t="s">
        <v>7</v>
      </c>
      <c r="B123" s="91" t="s">
        <v>7</v>
      </c>
      <c r="C123" s="102" t="s">
        <v>554</v>
      </c>
      <c r="D123" s="91" t="s">
        <v>554</v>
      </c>
      <c r="E123" s="91" t="s">
        <v>3318</v>
      </c>
      <c r="F123" s="91" t="s">
        <v>586</v>
      </c>
      <c r="G123" s="91" t="s">
        <v>615</v>
      </c>
      <c r="H123" s="93" t="s">
        <v>4</v>
      </c>
      <c r="I123" s="92" t="s">
        <v>3317</v>
      </c>
      <c r="J123" s="92">
        <v>9493776898</v>
      </c>
      <c r="K123" s="67"/>
      <c r="L123" s="67"/>
      <c r="M123" s="67"/>
      <c r="N123" s="67"/>
      <c r="O123" s="67"/>
    </row>
    <row r="124" spans="1:15" ht="30">
      <c r="A124" s="91" t="s">
        <v>7</v>
      </c>
      <c r="B124" s="91" t="s">
        <v>7</v>
      </c>
      <c r="C124" s="102" t="s">
        <v>554</v>
      </c>
      <c r="D124" s="91" t="s">
        <v>554</v>
      </c>
      <c r="E124" s="91" t="s">
        <v>3319</v>
      </c>
      <c r="F124" s="91" t="s">
        <v>139</v>
      </c>
      <c r="G124" s="91" t="s">
        <v>594</v>
      </c>
      <c r="H124" s="93" t="s">
        <v>4</v>
      </c>
      <c r="I124" s="92" t="s">
        <v>3320</v>
      </c>
      <c r="J124" s="92">
        <v>9849203403</v>
      </c>
      <c r="K124" s="67"/>
      <c r="L124" s="67"/>
      <c r="M124" s="67"/>
      <c r="N124" s="67"/>
      <c r="O124" s="67"/>
    </row>
    <row r="125" spans="1:15" ht="15">
      <c r="A125" s="91" t="s">
        <v>7</v>
      </c>
      <c r="B125" s="91" t="s">
        <v>7</v>
      </c>
      <c r="C125" s="102" t="s">
        <v>554</v>
      </c>
      <c r="D125" s="91" t="s">
        <v>554</v>
      </c>
      <c r="E125" s="91" t="s">
        <v>3321</v>
      </c>
      <c r="F125" s="91" t="s">
        <v>586</v>
      </c>
      <c r="G125" s="91" t="s">
        <v>594</v>
      </c>
      <c r="H125" s="93" t="s">
        <v>4</v>
      </c>
      <c r="I125" s="92" t="s">
        <v>3317</v>
      </c>
      <c r="J125" s="92">
        <v>9010380648</v>
      </c>
      <c r="K125" s="67"/>
      <c r="L125" s="67"/>
      <c r="M125" s="67"/>
      <c r="N125" s="67"/>
      <c r="O125" s="67"/>
    </row>
    <row r="126" spans="1:15" ht="30">
      <c r="A126" s="91" t="s">
        <v>7</v>
      </c>
      <c r="B126" s="91" t="s">
        <v>7</v>
      </c>
      <c r="C126" s="102" t="s">
        <v>554</v>
      </c>
      <c r="D126" s="91" t="s">
        <v>554</v>
      </c>
      <c r="E126" s="91" t="s">
        <v>3322</v>
      </c>
      <c r="F126" s="91" t="s">
        <v>586</v>
      </c>
      <c r="G126" s="91" t="s">
        <v>615</v>
      </c>
      <c r="H126" s="93" t="s">
        <v>5</v>
      </c>
      <c r="I126" s="92" t="s">
        <v>3323</v>
      </c>
      <c r="J126" s="92">
        <v>9849994454</v>
      </c>
      <c r="K126" s="67"/>
      <c r="L126" s="67"/>
      <c r="M126" s="67"/>
      <c r="N126" s="67"/>
      <c r="O126" s="67"/>
    </row>
    <row r="127" spans="1:15" ht="15">
      <c r="A127" s="91" t="s">
        <v>7</v>
      </c>
      <c r="B127" s="91" t="s">
        <v>7</v>
      </c>
      <c r="C127" s="102" t="s">
        <v>554</v>
      </c>
      <c r="D127" s="91" t="s">
        <v>554</v>
      </c>
      <c r="E127" s="91" t="s">
        <v>3324</v>
      </c>
      <c r="F127" s="91" t="s">
        <v>586</v>
      </c>
      <c r="G127" s="91" t="s">
        <v>615</v>
      </c>
      <c r="H127" s="93" t="s">
        <v>5</v>
      </c>
      <c r="I127" s="92" t="s">
        <v>3185</v>
      </c>
      <c r="J127" s="92">
        <v>9849632656</v>
      </c>
      <c r="K127" s="67"/>
      <c r="L127" s="67"/>
      <c r="M127" s="67"/>
      <c r="N127" s="67"/>
      <c r="O127" s="67"/>
    </row>
    <row r="128" spans="1:15" ht="15">
      <c r="A128" s="91" t="s">
        <v>7</v>
      </c>
      <c r="B128" s="91" t="s">
        <v>7</v>
      </c>
      <c r="C128" s="102" t="s">
        <v>554</v>
      </c>
      <c r="D128" s="91" t="s">
        <v>554</v>
      </c>
      <c r="E128" s="91" t="s">
        <v>3325</v>
      </c>
      <c r="F128" s="91" t="s">
        <v>1669</v>
      </c>
      <c r="G128" s="91" t="s">
        <v>615</v>
      </c>
      <c r="H128" s="93" t="s">
        <v>5</v>
      </c>
      <c r="I128" s="67"/>
      <c r="J128" s="92">
        <v>9959771934</v>
      </c>
      <c r="K128" s="67"/>
      <c r="L128" s="67"/>
      <c r="M128" s="67"/>
      <c r="N128" s="67"/>
      <c r="O128" s="67"/>
    </row>
    <row r="129" spans="1:15" ht="30">
      <c r="A129" s="91" t="s">
        <v>7</v>
      </c>
      <c r="B129" s="92" t="s">
        <v>706</v>
      </c>
      <c r="C129" s="92" t="str">
        <f ca="1">IFERROR(__xludf.DUMMYFUNCTION("filter('Back End'!C:C,'Back End'!A:A=A129,'Back End'!B:B=B129,'Back End'!D:D=D129)"),"Seetharampuram")</f>
        <v>Seetharampuram</v>
      </c>
      <c r="D129" s="91" t="s">
        <v>737</v>
      </c>
      <c r="E129" s="92" t="s">
        <v>3326</v>
      </c>
      <c r="F129" s="91" t="s">
        <v>165</v>
      </c>
      <c r="G129" s="91" t="s">
        <v>615</v>
      </c>
      <c r="H129" s="93" t="s">
        <v>5</v>
      </c>
      <c r="I129" s="92" t="s">
        <v>3327</v>
      </c>
      <c r="J129" s="67"/>
      <c r="K129" s="92" t="s">
        <v>1608</v>
      </c>
      <c r="L129" s="67"/>
      <c r="M129" s="67"/>
      <c r="N129" s="67"/>
      <c r="O129" s="67"/>
    </row>
    <row r="130" spans="1:15" ht="30.4">
      <c r="A130" s="103" t="s">
        <v>7</v>
      </c>
      <c r="B130" s="98" t="s">
        <v>706</v>
      </c>
      <c r="C130" s="98" t="s">
        <v>737</v>
      </c>
      <c r="D130" s="93" t="s">
        <v>737</v>
      </c>
      <c r="E130" s="98" t="s">
        <v>3328</v>
      </c>
      <c r="F130" s="100" t="s">
        <v>165</v>
      </c>
      <c r="G130" s="100" t="s">
        <v>615</v>
      </c>
      <c r="H130" s="100" t="s">
        <v>5</v>
      </c>
      <c r="I130" s="97" t="s">
        <v>3329</v>
      </c>
      <c r="J130" s="104">
        <v>9505099364</v>
      </c>
      <c r="K130" s="99"/>
      <c r="L130" s="99"/>
      <c r="M130" s="67"/>
      <c r="N130" s="67"/>
      <c r="O130" s="67"/>
    </row>
    <row r="131" spans="1:15" ht="30.4">
      <c r="A131" s="103" t="s">
        <v>7</v>
      </c>
      <c r="B131" s="98" t="s">
        <v>706</v>
      </c>
      <c r="C131" s="98" t="s">
        <v>737</v>
      </c>
      <c r="D131" s="100" t="s">
        <v>737</v>
      </c>
      <c r="E131" s="105" t="s">
        <v>3330</v>
      </c>
      <c r="F131" s="93" t="s">
        <v>1686</v>
      </c>
      <c r="G131" s="93" t="s">
        <v>615</v>
      </c>
      <c r="H131" s="93" t="s">
        <v>5</v>
      </c>
      <c r="I131" s="102" t="s">
        <v>3205</v>
      </c>
      <c r="J131" s="106">
        <v>9951133766</v>
      </c>
      <c r="K131" s="95"/>
      <c r="L131" s="95"/>
      <c r="M131" s="67"/>
      <c r="N131" s="67"/>
      <c r="O131" s="67"/>
    </row>
    <row r="132" spans="1:15" ht="16.5">
      <c r="A132" s="103" t="s">
        <v>7</v>
      </c>
      <c r="B132" s="98" t="s">
        <v>706</v>
      </c>
      <c r="C132" s="98" t="s">
        <v>737</v>
      </c>
      <c r="D132" s="100" t="s">
        <v>737</v>
      </c>
      <c r="E132" s="105" t="s">
        <v>3331</v>
      </c>
      <c r="F132" s="93" t="s">
        <v>165</v>
      </c>
      <c r="G132" s="93" t="s">
        <v>615</v>
      </c>
      <c r="H132" s="93" t="s">
        <v>5</v>
      </c>
      <c r="I132" s="102">
        <v>9505099364</v>
      </c>
      <c r="J132" s="95"/>
      <c r="K132" s="95"/>
      <c r="L132" s="95"/>
      <c r="M132" s="67"/>
      <c r="N132" s="67"/>
      <c r="O132" s="67"/>
    </row>
    <row r="133" spans="1:15" ht="16.5">
      <c r="A133" s="107" t="s">
        <v>7</v>
      </c>
      <c r="B133" s="105" t="s">
        <v>706</v>
      </c>
      <c r="C133" s="105" t="s">
        <v>737</v>
      </c>
      <c r="D133" s="93" t="s">
        <v>737</v>
      </c>
      <c r="E133" s="105" t="s">
        <v>3332</v>
      </c>
      <c r="F133" s="93" t="s">
        <v>165</v>
      </c>
      <c r="G133" s="93" t="s">
        <v>615</v>
      </c>
      <c r="H133" s="93" t="s">
        <v>5</v>
      </c>
      <c r="I133" s="102" t="s">
        <v>3185</v>
      </c>
      <c r="J133" s="106">
        <v>9640928891</v>
      </c>
      <c r="K133" s="95"/>
      <c r="L133" s="95"/>
      <c r="M133" s="67"/>
      <c r="N133" s="67"/>
      <c r="O133" s="67"/>
    </row>
    <row r="134" spans="1:15" ht="45">
      <c r="A134" s="91" t="s">
        <v>7</v>
      </c>
      <c r="B134" s="97" t="s">
        <v>706</v>
      </c>
      <c r="C134" s="97" t="str">
        <f ca="1">IFERROR(__xludf.DUMMYFUNCTION("filter('Back End'!C:C,'Back End'!A:A=A134,'Back End'!B:B=B134,'Back End'!D:D=D134)"),"Seetharampuram")</f>
        <v>Seetharampuram</v>
      </c>
      <c r="D134" s="93" t="s">
        <v>737</v>
      </c>
      <c r="E134" s="97" t="s">
        <v>3328</v>
      </c>
      <c r="F134" s="100" t="s">
        <v>165</v>
      </c>
      <c r="G134" s="100" t="s">
        <v>615</v>
      </c>
      <c r="H134" s="100" t="s">
        <v>4</v>
      </c>
      <c r="I134" s="97" t="s">
        <v>3333</v>
      </c>
      <c r="J134" s="99"/>
      <c r="K134" s="97" t="s">
        <v>1608</v>
      </c>
      <c r="L134" s="99"/>
      <c r="M134" s="99"/>
      <c r="N134" s="67"/>
      <c r="O134" s="67"/>
    </row>
    <row r="135" spans="1:15" ht="30">
      <c r="A135" s="101" t="s">
        <v>7</v>
      </c>
      <c r="B135" s="102" t="s">
        <v>706</v>
      </c>
      <c r="C135" s="102" t="str">
        <f ca="1">IFERROR(__xludf.DUMMYFUNCTION("filter('Back End'!C:C,'Back End'!A:A=A135,'Back End'!B:B=B135,'Back End'!D:D=D135)"),"Seetharampuram")</f>
        <v>Seetharampuram</v>
      </c>
      <c r="D135" s="93" t="s">
        <v>737</v>
      </c>
      <c r="E135" s="102" t="s">
        <v>3334</v>
      </c>
      <c r="F135" s="93" t="s">
        <v>165</v>
      </c>
      <c r="G135" s="93" t="s">
        <v>615</v>
      </c>
      <c r="H135" s="93" t="s">
        <v>4</v>
      </c>
      <c r="I135" s="102" t="s">
        <v>3327</v>
      </c>
      <c r="J135" s="95"/>
      <c r="K135" s="102" t="s">
        <v>1603</v>
      </c>
      <c r="L135" s="95"/>
      <c r="M135" s="95"/>
      <c r="N135" s="67"/>
      <c r="O135" s="67"/>
    </row>
    <row r="136" spans="1:15" ht="30.4">
      <c r="A136" s="107" t="s">
        <v>7</v>
      </c>
      <c r="B136" s="105" t="s">
        <v>706</v>
      </c>
      <c r="C136" s="105" t="s">
        <v>737</v>
      </c>
      <c r="D136" s="93" t="s">
        <v>737</v>
      </c>
      <c r="E136" s="105" t="s">
        <v>3335</v>
      </c>
      <c r="F136" s="93" t="s">
        <v>165</v>
      </c>
      <c r="G136" s="93" t="s">
        <v>615</v>
      </c>
      <c r="H136" s="93" t="s">
        <v>4</v>
      </c>
      <c r="I136" s="102" t="s">
        <v>3212</v>
      </c>
      <c r="J136" s="106" t="s">
        <v>2631</v>
      </c>
      <c r="K136" s="95"/>
      <c r="L136" s="95"/>
      <c r="M136" s="67"/>
      <c r="N136" s="67"/>
      <c r="O136" s="67"/>
    </row>
    <row r="137" spans="1:15" ht="30.4">
      <c r="A137" s="107" t="s">
        <v>7</v>
      </c>
      <c r="B137" s="105" t="s">
        <v>706</v>
      </c>
      <c r="C137" s="105" t="s">
        <v>737</v>
      </c>
      <c r="D137" s="93" t="s">
        <v>737</v>
      </c>
      <c r="E137" s="105" t="s">
        <v>3336</v>
      </c>
      <c r="F137" s="93" t="s">
        <v>165</v>
      </c>
      <c r="G137" s="93" t="s">
        <v>615</v>
      </c>
      <c r="H137" s="93" t="s">
        <v>4</v>
      </c>
      <c r="I137" s="102" t="s">
        <v>3212</v>
      </c>
      <c r="J137" s="92">
        <v>8919821087</v>
      </c>
      <c r="K137" s="95"/>
      <c r="L137" s="95"/>
      <c r="M137" s="67"/>
      <c r="N137" s="67"/>
      <c r="O137" s="67"/>
    </row>
    <row r="138" spans="1:15" ht="60">
      <c r="A138" s="91" t="s">
        <v>7</v>
      </c>
      <c r="B138" s="91" t="s">
        <v>706</v>
      </c>
      <c r="C138" s="92" t="str">
        <f ca="1">IFERROR(__xludf.DUMMYFUNCTION("filter('Back End'!C:C,'Back End'!A:A=A138,'Back End'!B:B=B138,'Back End'!D:D=D138)"),"Seetharampuram")</f>
        <v>Seetharampuram</v>
      </c>
      <c r="D138" s="91" t="s">
        <v>737</v>
      </c>
      <c r="E138" s="92" t="s">
        <v>3337</v>
      </c>
      <c r="F138" s="91" t="s">
        <v>165</v>
      </c>
      <c r="G138" s="91" t="s">
        <v>615</v>
      </c>
      <c r="H138" s="93" t="s">
        <v>4</v>
      </c>
      <c r="I138" s="92" t="s">
        <v>3338</v>
      </c>
      <c r="J138" s="92">
        <v>9808979999</v>
      </c>
      <c r="K138" s="67"/>
      <c r="L138" s="67"/>
      <c r="M138" s="67"/>
      <c r="N138" s="67"/>
      <c r="O138" s="67"/>
    </row>
    <row r="139" spans="1:15" ht="45">
      <c r="A139" s="91" t="s">
        <v>7</v>
      </c>
      <c r="B139" s="91" t="s">
        <v>706</v>
      </c>
      <c r="C139" s="92" t="str">
        <f ca="1">IFERROR(__xludf.DUMMYFUNCTION("filter('Back End'!C:C,'Back End'!A:A=A139,'Back End'!B:B=B139,'Back End'!D:D=D139)"),"Seetharampuram")</f>
        <v>Seetharampuram</v>
      </c>
      <c r="D139" s="91" t="s">
        <v>737</v>
      </c>
      <c r="E139" s="92" t="s">
        <v>3339</v>
      </c>
      <c r="F139" s="91" t="s">
        <v>165</v>
      </c>
      <c r="G139" s="91" t="s">
        <v>615</v>
      </c>
      <c r="H139" s="93" t="s">
        <v>6</v>
      </c>
      <c r="I139" s="92" t="s">
        <v>3112</v>
      </c>
      <c r="J139" s="92">
        <v>9133165797</v>
      </c>
      <c r="K139" s="67"/>
      <c r="L139" s="67"/>
      <c r="M139" s="67"/>
      <c r="N139" s="67"/>
      <c r="O139" s="67"/>
    </row>
    <row r="140" spans="1:15" ht="30">
      <c r="A140" s="91" t="s">
        <v>7</v>
      </c>
      <c r="B140" s="91" t="s">
        <v>706</v>
      </c>
      <c r="C140" s="92" t="str">
        <f ca="1">IFERROR(__xludf.DUMMYFUNCTION("filter('Back End'!C:C,'Back End'!A:A=A140,'Back End'!B:B=B140,'Back End'!D:D=D140)"),"Seetharampuram")</f>
        <v>Seetharampuram</v>
      </c>
      <c r="D140" s="91" t="s">
        <v>737</v>
      </c>
      <c r="E140" s="92" t="s">
        <v>3340</v>
      </c>
      <c r="F140" s="91" t="s">
        <v>165</v>
      </c>
      <c r="G140" s="91" t="s">
        <v>615</v>
      </c>
      <c r="H140" s="93" t="s">
        <v>6</v>
      </c>
      <c r="I140" s="92" t="s">
        <v>3112</v>
      </c>
      <c r="J140" s="92" t="s">
        <v>2631</v>
      </c>
      <c r="K140" s="67"/>
      <c r="L140" s="67"/>
      <c r="M140" s="67"/>
      <c r="N140" s="67"/>
      <c r="O140" s="67"/>
    </row>
    <row r="141" spans="1:15" ht="60">
      <c r="A141" s="91" t="s">
        <v>8</v>
      </c>
      <c r="B141" s="92" t="s">
        <v>587</v>
      </c>
      <c r="C141" s="92" t="str">
        <f ca="1">IFERROR(__xludf.DUMMYFUNCTION("filter('Back End'!C:C,'Back End'!A:A=A141,'Back End'!B:B=B141,'Back End'!D:D=D141)"),"Balarmpuram")</f>
        <v>Balarmpuram</v>
      </c>
      <c r="D141" s="91" t="s">
        <v>592</v>
      </c>
      <c r="E141" s="92" t="s">
        <v>3341</v>
      </c>
      <c r="F141" s="91" t="s">
        <v>139</v>
      </c>
      <c r="G141" s="91" t="s">
        <v>594</v>
      </c>
      <c r="H141" s="93" t="s">
        <v>4</v>
      </c>
      <c r="I141" s="92" t="s">
        <v>3185</v>
      </c>
      <c r="J141" s="92">
        <v>9912781427</v>
      </c>
      <c r="K141" s="67"/>
      <c r="L141" s="67"/>
      <c r="M141" s="67"/>
      <c r="N141" s="67"/>
      <c r="O141" s="67"/>
    </row>
    <row r="142" spans="1:15" ht="30">
      <c r="A142" s="91" t="s">
        <v>8</v>
      </c>
      <c r="B142" s="92" t="s">
        <v>587</v>
      </c>
      <c r="C142" s="92" t="str">
        <f ca="1">IFERROR(__xludf.DUMMYFUNCTION("filter('Back End'!C:C,'Back End'!A:A=A142,'Back End'!B:B=B142,'Back End'!D:D=D142)"),"Balarmpuram")</f>
        <v>Balarmpuram</v>
      </c>
      <c r="D142" s="91" t="s">
        <v>592</v>
      </c>
      <c r="E142" s="92" t="s">
        <v>3342</v>
      </c>
      <c r="F142" s="91" t="s">
        <v>586</v>
      </c>
      <c r="G142" s="91" t="s">
        <v>615</v>
      </c>
      <c r="H142" s="93" t="s">
        <v>5</v>
      </c>
      <c r="I142" s="92" t="s">
        <v>3112</v>
      </c>
      <c r="J142" s="92">
        <v>9550214810</v>
      </c>
      <c r="K142" s="67"/>
      <c r="L142" s="67"/>
      <c r="M142" s="67"/>
      <c r="N142" s="67"/>
      <c r="O142" s="67"/>
    </row>
    <row r="143" spans="1:15" ht="75">
      <c r="A143" s="91" t="s">
        <v>8</v>
      </c>
      <c r="B143" s="92" t="s">
        <v>587</v>
      </c>
      <c r="C143" s="92" t="str">
        <f ca="1">IFERROR(__xludf.DUMMYFUNCTION("filter('Back End'!C:C,'Back End'!A:A=A143,'Back End'!B:B=B143,'Back End'!D:D=D143)"),"Balarmpuram")</f>
        <v>Balarmpuram</v>
      </c>
      <c r="D143" s="91" t="s">
        <v>592</v>
      </c>
      <c r="E143" s="92" t="s">
        <v>3343</v>
      </c>
      <c r="F143" s="91" t="s">
        <v>139</v>
      </c>
      <c r="G143" s="91" t="s">
        <v>594</v>
      </c>
      <c r="H143" s="93" t="s">
        <v>5</v>
      </c>
      <c r="I143" s="92" t="s">
        <v>3344</v>
      </c>
      <c r="J143" s="92">
        <v>9849665916</v>
      </c>
      <c r="K143" s="67"/>
      <c r="L143" s="67"/>
      <c r="M143" s="67"/>
      <c r="N143" s="67"/>
      <c r="O143" s="67"/>
    </row>
    <row r="144" spans="1:15" ht="45">
      <c r="A144" s="91" t="s">
        <v>8</v>
      </c>
      <c r="B144" s="92" t="s">
        <v>587</v>
      </c>
      <c r="C144" s="92" t="str">
        <f ca="1">IFERROR(__xludf.DUMMYFUNCTION("filter('Back End'!C:C,'Back End'!A:A=A144,'Back End'!B:B=B144,'Back End'!D:D=D144)"),"Balarmpuram")</f>
        <v>Balarmpuram</v>
      </c>
      <c r="D144" s="91" t="s">
        <v>592</v>
      </c>
      <c r="E144" s="92" t="s">
        <v>3345</v>
      </c>
      <c r="F144" s="91" t="s">
        <v>139</v>
      </c>
      <c r="G144" s="91" t="s">
        <v>594</v>
      </c>
      <c r="H144" s="93" t="s">
        <v>4</v>
      </c>
      <c r="I144" s="92" t="s">
        <v>3346</v>
      </c>
      <c r="J144" s="92">
        <v>9347866578</v>
      </c>
      <c r="K144" s="67"/>
      <c r="L144" s="92" t="s">
        <v>3347</v>
      </c>
      <c r="M144" s="67"/>
      <c r="N144" s="67"/>
      <c r="O144" s="67"/>
    </row>
    <row r="145" spans="1:15" ht="45">
      <c r="A145" s="91" t="s">
        <v>8</v>
      </c>
      <c r="B145" s="92" t="s">
        <v>587</v>
      </c>
      <c r="C145" s="92" t="str">
        <f ca="1">IFERROR(__xludf.DUMMYFUNCTION("filter('Back End'!C:C,'Back End'!A:A=A145,'Back End'!B:B=B145,'Back End'!D:D=D145)"),"Balarmpuram")</f>
        <v>Balarmpuram</v>
      </c>
      <c r="D145" s="91" t="s">
        <v>592</v>
      </c>
      <c r="E145" s="92" t="s">
        <v>3348</v>
      </c>
      <c r="F145" s="91" t="s">
        <v>139</v>
      </c>
      <c r="G145" s="91" t="s">
        <v>594</v>
      </c>
      <c r="H145" s="93" t="s">
        <v>4</v>
      </c>
      <c r="I145" s="92" t="s">
        <v>3349</v>
      </c>
      <c r="J145" s="92">
        <v>7013051799</v>
      </c>
      <c r="K145" s="67"/>
      <c r="L145" s="67"/>
      <c r="M145" s="67"/>
      <c r="N145" s="67"/>
      <c r="O145" s="67"/>
    </row>
    <row r="146" spans="1:15" ht="45">
      <c r="A146" s="91" t="s">
        <v>8</v>
      </c>
      <c r="B146" s="92" t="s">
        <v>587</v>
      </c>
      <c r="C146" s="92" t="str">
        <f ca="1">IFERROR(__xludf.DUMMYFUNCTION("filter('Back End'!C:C,'Back End'!A:A=A146,'Back End'!B:B=B146,'Back End'!D:D=D146)"),"Balarmpuram")</f>
        <v>Balarmpuram</v>
      </c>
      <c r="D146" s="91" t="s">
        <v>592</v>
      </c>
      <c r="E146" s="92" t="s">
        <v>3350</v>
      </c>
      <c r="F146" s="91" t="s">
        <v>586</v>
      </c>
      <c r="G146" s="91" t="s">
        <v>615</v>
      </c>
      <c r="H146" s="93" t="s">
        <v>4</v>
      </c>
      <c r="I146" s="92" t="s">
        <v>3351</v>
      </c>
      <c r="J146" s="92">
        <v>9704677091</v>
      </c>
      <c r="K146" s="67"/>
      <c r="L146" s="92" t="s">
        <v>3352</v>
      </c>
      <c r="M146" s="67"/>
      <c r="N146" s="67"/>
      <c r="O146" s="67"/>
    </row>
    <row r="147" spans="1:15" ht="60">
      <c r="A147" s="91" t="s">
        <v>10</v>
      </c>
      <c r="B147" s="92" t="s">
        <v>587</v>
      </c>
      <c r="C147" s="92" t="str">
        <f ca="1">IFERROR(__xludf.DUMMYFUNCTION("filter('Back End'!C:C,'Back End'!A:A=A147,'Back End'!B:B=B147,'Back End'!D:D=D147)"),"#N/A")</f>
        <v>#N/A</v>
      </c>
      <c r="D147" s="91" t="s">
        <v>592</v>
      </c>
      <c r="E147" s="92" t="s">
        <v>3353</v>
      </c>
      <c r="F147" s="91" t="s">
        <v>586</v>
      </c>
      <c r="G147" s="91" t="s">
        <v>615</v>
      </c>
      <c r="H147" s="93" t="s">
        <v>4</v>
      </c>
      <c r="I147" s="92" t="s">
        <v>3354</v>
      </c>
      <c r="J147" s="92">
        <v>6281753649</v>
      </c>
      <c r="K147" s="67"/>
      <c r="L147" s="92" t="s">
        <v>3355</v>
      </c>
      <c r="M147" s="67"/>
      <c r="N147" s="67"/>
      <c r="O147" s="67"/>
    </row>
    <row r="148" spans="1:15" ht="30">
      <c r="A148" s="91" t="s">
        <v>10</v>
      </c>
      <c r="B148" s="92" t="s">
        <v>587</v>
      </c>
      <c r="C148" s="92" t="str">
        <f ca="1">IFERROR(__xludf.DUMMYFUNCTION("filter('Back End'!C:C,'Back End'!A:A=A148,'Back End'!B:B=B148,'Back End'!D:D=D148)"),"#N/A")</f>
        <v>#N/A</v>
      </c>
      <c r="D148" s="91" t="s">
        <v>592</v>
      </c>
      <c r="E148" s="92" t="s">
        <v>3356</v>
      </c>
      <c r="F148" s="91" t="s">
        <v>139</v>
      </c>
      <c r="G148" s="91" t="s">
        <v>594</v>
      </c>
      <c r="H148" s="93" t="s">
        <v>5</v>
      </c>
      <c r="I148" s="92" t="s">
        <v>3115</v>
      </c>
      <c r="J148" s="92" t="s">
        <v>3357</v>
      </c>
      <c r="K148" s="92" t="s">
        <v>1613</v>
      </c>
      <c r="L148" s="92" t="s">
        <v>3358</v>
      </c>
      <c r="M148" s="67"/>
      <c r="N148" s="67"/>
      <c r="O148" s="67"/>
    </row>
    <row r="149" spans="1:15" ht="30">
      <c r="A149" s="91" t="s">
        <v>10</v>
      </c>
      <c r="B149" s="92" t="s">
        <v>587</v>
      </c>
      <c r="C149" s="92" t="str">
        <f ca="1">IFERROR(__xludf.DUMMYFUNCTION("filter('Back End'!C:C,'Back End'!A:A=A149,'Back End'!B:B=B149,'Back End'!D:D=D149)"),"#N/A")</f>
        <v>#N/A</v>
      </c>
      <c r="D149" s="91" t="s">
        <v>592</v>
      </c>
      <c r="E149" s="92" t="s">
        <v>3359</v>
      </c>
      <c r="F149" s="91" t="s">
        <v>1684</v>
      </c>
      <c r="G149" s="91" t="s">
        <v>594</v>
      </c>
      <c r="H149" s="93" t="s">
        <v>4</v>
      </c>
      <c r="I149" s="92" t="s">
        <v>3181</v>
      </c>
      <c r="J149" s="92">
        <v>9550214810</v>
      </c>
      <c r="K149" s="67"/>
      <c r="L149" s="92" t="s">
        <v>3360</v>
      </c>
      <c r="M149" s="67"/>
      <c r="N149" s="67"/>
      <c r="O149" s="67"/>
    </row>
    <row r="150" spans="1:15" ht="15">
      <c r="A150" s="91" t="s">
        <v>3361</v>
      </c>
      <c r="B150" s="91" t="s">
        <v>587</v>
      </c>
      <c r="C150" s="92" t="str">
        <f ca="1">IFERROR(__xludf.DUMMYFUNCTION("filter('Back End'!C:C,'Back End'!A:A=A150,'Back End'!B:B=B150,'Back End'!D:D=D150)"),"#N/A")</f>
        <v>#N/A</v>
      </c>
      <c r="D150" s="91" t="s">
        <v>592</v>
      </c>
      <c r="E150" s="91" t="s">
        <v>3362</v>
      </c>
      <c r="F150" s="91" t="s">
        <v>586</v>
      </c>
      <c r="G150" s="67"/>
      <c r="H150" s="93" t="s">
        <v>4</v>
      </c>
      <c r="I150" s="92" t="s">
        <v>3125</v>
      </c>
      <c r="J150" s="92">
        <v>9000749290</v>
      </c>
      <c r="K150" s="67"/>
      <c r="L150" s="67"/>
      <c r="M150" s="67"/>
      <c r="N150" s="67"/>
      <c r="O150" s="67"/>
    </row>
    <row r="151" spans="1:15" ht="30">
      <c r="A151" s="91" t="s">
        <v>3361</v>
      </c>
      <c r="B151" s="91" t="s">
        <v>587</v>
      </c>
      <c r="C151" s="92" t="str">
        <f ca="1">IFERROR(__xludf.DUMMYFUNCTION("filter('Back End'!C:C,'Back End'!A:A=A151,'Back End'!B:B=B151,'Back End'!D:D=D151)"),"#N/A")</f>
        <v>#N/A</v>
      </c>
      <c r="D151" s="91" t="s">
        <v>592</v>
      </c>
      <c r="E151" s="91" t="s">
        <v>3363</v>
      </c>
      <c r="F151" s="91" t="s">
        <v>139</v>
      </c>
      <c r="G151" s="91" t="s">
        <v>594</v>
      </c>
      <c r="H151" s="93" t="s">
        <v>4</v>
      </c>
      <c r="I151" s="92" t="s">
        <v>3194</v>
      </c>
      <c r="J151" s="92">
        <v>9000632949</v>
      </c>
      <c r="K151" s="67"/>
      <c r="L151" s="67"/>
      <c r="M151" s="67"/>
      <c r="N151" s="67"/>
      <c r="O151" s="67"/>
    </row>
    <row r="152" spans="1:15" ht="15">
      <c r="A152" s="91" t="s">
        <v>8</v>
      </c>
      <c r="B152" s="91" t="s">
        <v>587</v>
      </c>
      <c r="C152" s="92" t="str">
        <f ca="1">IFERROR(__xludf.DUMMYFUNCTION("filter('Back End'!C:C,'Back End'!A:A=A152,'Back End'!B:B=B152,'Back End'!D:D=D152)"),"Balarmpuram")</f>
        <v>Balarmpuram</v>
      </c>
      <c r="D152" s="91" t="s">
        <v>592</v>
      </c>
      <c r="E152" s="91" t="s">
        <v>3364</v>
      </c>
      <c r="F152" s="91" t="s">
        <v>139</v>
      </c>
      <c r="G152" s="91" t="s">
        <v>594</v>
      </c>
      <c r="H152" s="93" t="s">
        <v>5</v>
      </c>
      <c r="I152" s="92" t="s">
        <v>3164</v>
      </c>
      <c r="J152" s="92">
        <v>8374857677</v>
      </c>
      <c r="K152" s="67"/>
      <c r="L152" s="67"/>
      <c r="M152" s="67"/>
      <c r="N152" s="67"/>
      <c r="O152" s="67"/>
    </row>
    <row r="153" spans="1:15" ht="15">
      <c r="A153" s="91" t="s">
        <v>8</v>
      </c>
      <c r="B153" s="91" t="s">
        <v>587</v>
      </c>
      <c r="C153" s="92" t="str">
        <f ca="1">IFERROR(__xludf.DUMMYFUNCTION("filter('Back End'!C:C,'Back End'!A:A=A153,'Back End'!B:B=B153,'Back End'!D:D=D153)"),"Balarmpuram")</f>
        <v>Balarmpuram</v>
      </c>
      <c r="D153" s="91" t="s">
        <v>592</v>
      </c>
      <c r="E153" s="91" t="s">
        <v>3365</v>
      </c>
      <c r="F153" s="91" t="s">
        <v>288</v>
      </c>
      <c r="G153" s="91" t="s">
        <v>615</v>
      </c>
      <c r="H153" s="93" t="s">
        <v>4</v>
      </c>
      <c r="I153" s="92" t="s">
        <v>3235</v>
      </c>
      <c r="J153" s="67"/>
      <c r="K153" s="67"/>
      <c r="L153" s="67"/>
      <c r="M153" s="67"/>
      <c r="N153" s="67"/>
      <c r="O153" s="67"/>
    </row>
    <row r="154" spans="1:15" ht="15">
      <c r="A154" s="91" t="s">
        <v>10</v>
      </c>
      <c r="B154" s="92" t="s">
        <v>10</v>
      </c>
      <c r="C154" s="92" t="str">
        <f ca="1">IFERROR(__xludf.DUMMYFUNCTION("filter('Back End'!C:C,'Back End'!A:A=A154,'Back End'!B:B=B154,'Back End'!D:D=D154)"),"Mangiturthi")</f>
        <v>Mangiturthi</v>
      </c>
      <c r="D154" s="91" t="s">
        <v>520</v>
      </c>
      <c r="E154" s="92" t="s">
        <v>3366</v>
      </c>
      <c r="F154" s="91" t="s">
        <v>1669</v>
      </c>
      <c r="G154" s="91" t="s">
        <v>615</v>
      </c>
      <c r="H154" s="93" t="s">
        <v>5</v>
      </c>
      <c r="I154" s="92" t="s">
        <v>3115</v>
      </c>
      <c r="J154" s="92">
        <v>7799683838</v>
      </c>
      <c r="K154" s="67"/>
      <c r="L154" s="67"/>
      <c r="M154" s="67"/>
      <c r="N154" s="67"/>
      <c r="O154" s="67"/>
    </row>
    <row r="155" spans="1:15" ht="30">
      <c r="A155" s="91" t="s">
        <v>10</v>
      </c>
      <c r="B155" s="92" t="s">
        <v>10</v>
      </c>
      <c r="C155" s="92" t="str">
        <f ca="1">IFERROR(__xludf.DUMMYFUNCTION("filter('Back End'!C:C,'Back End'!A:A=A155,'Back End'!B:B=B155,'Back End'!D:D=D155)"),"Mangiturthi")</f>
        <v>Mangiturthi</v>
      </c>
      <c r="D155" s="91" t="s">
        <v>520</v>
      </c>
      <c r="E155" s="92" t="s">
        <v>3367</v>
      </c>
      <c r="F155" s="91" t="s">
        <v>139</v>
      </c>
      <c r="G155" s="91" t="s">
        <v>594</v>
      </c>
      <c r="H155" s="93" t="s">
        <v>6</v>
      </c>
      <c r="I155" s="92" t="s">
        <v>3368</v>
      </c>
      <c r="J155" s="92">
        <v>8317619939</v>
      </c>
      <c r="K155" s="92" t="s">
        <v>1598</v>
      </c>
      <c r="L155" s="67"/>
      <c r="M155" s="67"/>
      <c r="N155" s="67"/>
      <c r="O155" s="67"/>
    </row>
    <row r="156" spans="1:15" ht="30">
      <c r="A156" s="91" t="s">
        <v>10</v>
      </c>
      <c r="B156" s="92" t="s">
        <v>10</v>
      </c>
      <c r="C156" s="92" t="str">
        <f ca="1">IFERROR(__xludf.DUMMYFUNCTION("filter('Back End'!C:C,'Back End'!A:A=A156,'Back End'!B:B=B156,'Back End'!D:D=D156)"),"Mangiturthi")</f>
        <v>Mangiturthi</v>
      </c>
      <c r="D156" s="91" t="s">
        <v>520</v>
      </c>
      <c r="E156" s="92" t="s">
        <v>3369</v>
      </c>
      <c r="F156" s="91" t="s">
        <v>139</v>
      </c>
      <c r="G156" s="91" t="s">
        <v>594</v>
      </c>
      <c r="H156" s="93" t="s">
        <v>6</v>
      </c>
      <c r="I156" s="92" t="s">
        <v>3368</v>
      </c>
      <c r="J156" s="92">
        <v>9494110921</v>
      </c>
      <c r="K156" s="67"/>
      <c r="L156" s="67"/>
      <c r="M156" s="67"/>
      <c r="N156" s="67"/>
      <c r="O156" s="67"/>
    </row>
    <row r="157" spans="1:15" ht="15">
      <c r="A157" s="91" t="s">
        <v>10</v>
      </c>
      <c r="B157" s="92" t="s">
        <v>10</v>
      </c>
      <c r="C157" s="92" t="str">
        <f ca="1">IFERROR(__xludf.DUMMYFUNCTION("filter('Back End'!C:C,'Back End'!A:A=A157,'Back End'!B:B=B157,'Back End'!D:D=D157)"),"Mangiturthi")</f>
        <v>Mangiturthi</v>
      </c>
      <c r="D157" s="91" t="s">
        <v>520</v>
      </c>
      <c r="E157" s="92" t="s">
        <v>3370</v>
      </c>
      <c r="F157" s="91" t="s">
        <v>139</v>
      </c>
      <c r="G157" s="91" t="s">
        <v>594</v>
      </c>
      <c r="H157" s="93" t="s">
        <v>6</v>
      </c>
      <c r="I157" s="67"/>
      <c r="J157" s="92">
        <v>9640128011</v>
      </c>
      <c r="K157" s="67"/>
      <c r="L157" s="67"/>
      <c r="M157" s="67"/>
      <c r="N157" s="67"/>
      <c r="O157" s="67"/>
    </row>
    <row r="158" spans="1:15" ht="45">
      <c r="A158" s="91" t="s">
        <v>10</v>
      </c>
      <c r="B158" s="92" t="s">
        <v>10</v>
      </c>
      <c r="C158" s="92" t="str">
        <f ca="1">IFERROR(__xludf.DUMMYFUNCTION("filter('Back End'!C:C,'Back End'!A:A=A158,'Back End'!B:B=B158,'Back End'!D:D=D158)"),"Mangiturthi")</f>
        <v>Mangiturthi</v>
      </c>
      <c r="D158" s="91" t="s">
        <v>520</v>
      </c>
      <c r="E158" s="92" t="s">
        <v>3371</v>
      </c>
      <c r="F158" s="91" t="s">
        <v>139</v>
      </c>
      <c r="G158" s="91" t="s">
        <v>594</v>
      </c>
      <c r="H158" s="93" t="s">
        <v>5</v>
      </c>
      <c r="I158" s="92" t="s">
        <v>3372</v>
      </c>
      <c r="J158" s="67"/>
      <c r="K158" s="67"/>
      <c r="L158" s="67"/>
      <c r="M158" s="67"/>
      <c r="N158" s="67"/>
      <c r="O158" s="67"/>
    </row>
    <row r="159" spans="1:15" ht="30">
      <c r="A159" s="91" t="s">
        <v>10</v>
      </c>
      <c r="B159" s="92" t="s">
        <v>10</v>
      </c>
      <c r="C159" s="92" t="str">
        <f ca="1">IFERROR(__xludf.DUMMYFUNCTION("filter('Back End'!C:C,'Back End'!A:A=A159,'Back End'!B:B=B159,'Back End'!D:D=D159)"),"Mangiturthi")</f>
        <v>Mangiturthi</v>
      </c>
      <c r="D159" s="91" t="s">
        <v>520</v>
      </c>
      <c r="E159" s="92" t="s">
        <v>3373</v>
      </c>
      <c r="F159" s="91" t="s">
        <v>1660</v>
      </c>
      <c r="G159" s="91" t="s">
        <v>615</v>
      </c>
      <c r="H159" s="93" t="s">
        <v>5</v>
      </c>
      <c r="I159" s="92" t="s">
        <v>3112</v>
      </c>
      <c r="J159" s="67"/>
      <c r="K159" s="67"/>
      <c r="L159" s="67"/>
      <c r="M159" s="67"/>
      <c r="N159" s="67"/>
      <c r="O159" s="67"/>
    </row>
    <row r="160" spans="1:15" ht="30">
      <c r="A160" s="91" t="s">
        <v>10</v>
      </c>
      <c r="B160" s="92" t="s">
        <v>10</v>
      </c>
      <c r="C160" s="92" t="str">
        <f ca="1">IFERROR(__xludf.DUMMYFUNCTION("filter('Back End'!C:C,'Back End'!A:A=A160,'Back End'!B:B=B160,'Back End'!D:D=D160)"),"Mangiturthi")</f>
        <v>Mangiturthi</v>
      </c>
      <c r="D160" s="91" t="s">
        <v>520</v>
      </c>
      <c r="E160" s="92" t="s">
        <v>3374</v>
      </c>
      <c r="F160" s="67" t="s">
        <v>3138</v>
      </c>
      <c r="G160" s="67"/>
      <c r="H160" s="93" t="s">
        <v>6</v>
      </c>
      <c r="I160" s="67"/>
      <c r="J160" s="92">
        <v>9502523246</v>
      </c>
      <c r="K160" s="67"/>
      <c r="L160" s="67"/>
      <c r="M160" s="67"/>
      <c r="N160" s="67"/>
      <c r="O160" s="67"/>
    </row>
    <row r="161" spans="1:15" ht="15">
      <c r="A161" s="91" t="s">
        <v>10</v>
      </c>
      <c r="B161" s="91" t="s">
        <v>10</v>
      </c>
      <c r="C161" s="92" t="str">
        <f ca="1">IFERROR(__xludf.DUMMYFUNCTION("filter('Back End'!C:C,'Back End'!A:A=A161,'Back End'!B:B=B161,'Back End'!D:D=D161)"),"Mangiturthi")</f>
        <v>Mangiturthi</v>
      </c>
      <c r="D161" s="91" t="s">
        <v>520</v>
      </c>
      <c r="E161" s="91" t="s">
        <v>3375</v>
      </c>
      <c r="F161" s="91" t="s">
        <v>139</v>
      </c>
      <c r="G161" s="91" t="s">
        <v>594</v>
      </c>
      <c r="H161" s="93" t="s">
        <v>4</v>
      </c>
      <c r="I161" s="92" t="s">
        <v>3376</v>
      </c>
      <c r="J161" s="67"/>
      <c r="K161" s="67"/>
      <c r="L161" s="67"/>
      <c r="M161" s="67"/>
      <c r="N161" s="67"/>
      <c r="O161" s="67"/>
    </row>
    <row r="162" spans="1:15" ht="15">
      <c r="A162" s="91" t="s">
        <v>10</v>
      </c>
      <c r="B162" s="91" t="s">
        <v>10</v>
      </c>
      <c r="C162" s="92" t="str">
        <f ca="1">IFERROR(__xludf.DUMMYFUNCTION("filter('Back End'!C:C,'Back End'!A:A=A162,'Back End'!B:B=B162,'Back End'!D:D=D162)"),"Mangiturthi")</f>
        <v>Mangiturthi</v>
      </c>
      <c r="D162" s="91" t="s">
        <v>520</v>
      </c>
      <c r="E162" s="91" t="s">
        <v>3377</v>
      </c>
      <c r="F162" s="91" t="s">
        <v>1660</v>
      </c>
      <c r="G162" s="91" t="s">
        <v>615</v>
      </c>
      <c r="H162" s="93" t="s">
        <v>4</v>
      </c>
      <c r="I162" s="92" t="s">
        <v>3112</v>
      </c>
      <c r="J162" s="67"/>
      <c r="K162" s="67"/>
      <c r="L162" s="67"/>
      <c r="M162" s="67"/>
      <c r="N162" s="67"/>
      <c r="O162" s="67"/>
    </row>
    <row r="163" spans="1:15" ht="15">
      <c r="A163" s="91" t="s">
        <v>10</v>
      </c>
      <c r="B163" s="91" t="s">
        <v>10</v>
      </c>
      <c r="C163" s="92" t="str">
        <f ca="1">IFERROR(__xludf.DUMMYFUNCTION("filter('Back End'!C:C,'Back End'!A:A=A163,'Back End'!B:B=B163,'Back End'!D:D=D163)"),"Virava")</f>
        <v>Virava</v>
      </c>
      <c r="D163" s="91" t="s">
        <v>538</v>
      </c>
      <c r="E163" s="91" t="s">
        <v>3378</v>
      </c>
      <c r="F163" s="91" t="s">
        <v>139</v>
      </c>
      <c r="G163" s="91" t="s">
        <v>594</v>
      </c>
      <c r="H163" s="93" t="s">
        <v>5</v>
      </c>
      <c r="I163" s="92" t="s">
        <v>3379</v>
      </c>
      <c r="J163" s="67"/>
      <c r="K163" s="67"/>
      <c r="L163" s="67"/>
      <c r="M163" s="67"/>
      <c r="N163" s="67"/>
      <c r="O163" s="67"/>
    </row>
    <row r="164" spans="1:15" ht="15">
      <c r="A164" s="91" t="s">
        <v>10</v>
      </c>
      <c r="B164" s="91" t="s">
        <v>10</v>
      </c>
      <c r="C164" s="92" t="str">
        <f ca="1">IFERROR(__xludf.DUMMYFUNCTION("filter('Back End'!C:C,'Back End'!A:A=A164,'Back End'!B:B=B164,'Back End'!D:D=D164)"),"Virava")</f>
        <v>Virava</v>
      </c>
      <c r="D164" s="91" t="s">
        <v>538</v>
      </c>
      <c r="E164" s="91" t="s">
        <v>3380</v>
      </c>
      <c r="F164" s="91" t="s">
        <v>139</v>
      </c>
      <c r="G164" s="91" t="s">
        <v>594</v>
      </c>
      <c r="H164" s="93" t="s">
        <v>5</v>
      </c>
      <c r="I164" s="92" t="s">
        <v>3381</v>
      </c>
      <c r="J164" s="67"/>
      <c r="K164" s="67"/>
      <c r="L164" s="67"/>
      <c r="M164" s="67"/>
      <c r="N164" s="67"/>
      <c r="O164" s="67"/>
    </row>
    <row r="165" spans="1:15" ht="30">
      <c r="A165" s="91" t="s">
        <v>10</v>
      </c>
      <c r="B165" s="91" t="s">
        <v>10</v>
      </c>
      <c r="C165" s="92" t="str">
        <f ca="1">IFERROR(__xludf.DUMMYFUNCTION("filter('Back End'!C:C,'Back End'!A:A=A165,'Back End'!B:B=B165,'Back End'!D:D=D165)"),"Virava")</f>
        <v>Virava</v>
      </c>
      <c r="D165" s="91" t="s">
        <v>538</v>
      </c>
      <c r="E165" s="91" t="s">
        <v>3382</v>
      </c>
      <c r="F165" s="91" t="s">
        <v>139</v>
      </c>
      <c r="G165" s="91" t="s">
        <v>594</v>
      </c>
      <c r="H165" s="93" t="s">
        <v>4</v>
      </c>
      <c r="I165" s="92" t="s">
        <v>3107</v>
      </c>
      <c r="J165" s="67"/>
      <c r="K165" s="67"/>
      <c r="L165" s="67"/>
      <c r="M165" s="67"/>
      <c r="N165" s="67"/>
      <c r="O165" s="67"/>
    </row>
    <row r="166" spans="1:15" ht="15">
      <c r="A166" s="91" t="s">
        <v>10</v>
      </c>
      <c r="B166" s="91" t="s">
        <v>10</v>
      </c>
      <c r="C166" s="92" t="str">
        <f ca="1">IFERROR(__xludf.DUMMYFUNCTION("filter('Back End'!C:C,'Back End'!A:A=A166,'Back End'!B:B=B166,'Back End'!D:D=D166)"),"Virava")</f>
        <v>Virava</v>
      </c>
      <c r="D166" s="91" t="s">
        <v>538</v>
      </c>
      <c r="E166" s="91" t="s">
        <v>3383</v>
      </c>
      <c r="F166" s="91" t="s">
        <v>139</v>
      </c>
      <c r="G166" s="91" t="s">
        <v>594</v>
      </c>
      <c r="H166" s="93" t="s">
        <v>4</v>
      </c>
      <c r="I166" s="92" t="s">
        <v>3384</v>
      </c>
      <c r="J166" s="67"/>
      <c r="K166" s="67"/>
      <c r="L166" s="67"/>
      <c r="M166" s="67"/>
      <c r="N166" s="67"/>
      <c r="O166" s="67"/>
    </row>
    <row r="167" spans="1:15" ht="60">
      <c r="A167" s="91" t="s">
        <v>10</v>
      </c>
      <c r="B167" s="92" t="s">
        <v>10</v>
      </c>
      <c r="C167" s="92" t="str">
        <f ca="1">IFERROR(__xludf.DUMMYFUNCTION("filter('Back End'!C:C,'Back End'!A:A=A167,'Back End'!B:B=B167,'Back End'!D:D=D167)"),"Virava")</f>
        <v>Virava</v>
      </c>
      <c r="D167" s="91" t="s">
        <v>538</v>
      </c>
      <c r="E167" s="92" t="s">
        <v>3385</v>
      </c>
      <c r="F167" s="91" t="s">
        <v>139</v>
      </c>
      <c r="G167" s="91" t="s">
        <v>594</v>
      </c>
      <c r="H167" s="93" t="s">
        <v>4</v>
      </c>
      <c r="I167" s="92" t="s">
        <v>3386</v>
      </c>
      <c r="J167" s="92" t="s">
        <v>2631</v>
      </c>
      <c r="K167" s="67"/>
      <c r="L167" s="92" t="s">
        <v>3387</v>
      </c>
      <c r="M167" s="67"/>
      <c r="N167" s="67"/>
      <c r="O167" s="67"/>
    </row>
    <row r="168" spans="1:15" ht="45">
      <c r="A168" s="91" t="s">
        <v>10</v>
      </c>
      <c r="B168" s="92" t="s">
        <v>10</v>
      </c>
      <c r="C168" s="92" t="str">
        <f ca="1">IFERROR(__xludf.DUMMYFUNCTION("filter('Back End'!C:C,'Back End'!A:A=A168,'Back End'!B:B=B168,'Back End'!D:D=D168)"),"Virava")</f>
        <v>Virava</v>
      </c>
      <c r="D168" s="91" t="s">
        <v>538</v>
      </c>
      <c r="E168" s="92" t="s">
        <v>3388</v>
      </c>
      <c r="F168" s="91" t="s">
        <v>139</v>
      </c>
      <c r="G168" s="91" t="s">
        <v>594</v>
      </c>
      <c r="H168" s="93" t="s">
        <v>4</v>
      </c>
      <c r="I168" s="92" t="s">
        <v>3389</v>
      </c>
      <c r="J168" s="92">
        <v>9642942999</v>
      </c>
      <c r="K168" s="92" t="s">
        <v>1608</v>
      </c>
      <c r="L168" s="67"/>
      <c r="M168" s="67"/>
      <c r="N168" s="67"/>
      <c r="O168" s="67"/>
    </row>
    <row r="169" spans="1:15" ht="30">
      <c r="A169" s="91" t="s">
        <v>10</v>
      </c>
      <c r="B169" s="92" t="s">
        <v>10</v>
      </c>
      <c r="C169" s="92" t="str">
        <f ca="1">IFERROR(__xludf.DUMMYFUNCTION("filter('Back End'!C:C,'Back End'!A:A=A169,'Back End'!B:B=B169,'Back End'!D:D=D169)"),"Virava")</f>
        <v>Virava</v>
      </c>
      <c r="D169" s="91" t="s">
        <v>538</v>
      </c>
      <c r="E169" s="92" t="s">
        <v>3390</v>
      </c>
      <c r="F169" s="91" t="s">
        <v>114</v>
      </c>
      <c r="G169" s="91" t="s">
        <v>85</v>
      </c>
      <c r="H169" s="93" t="s">
        <v>5</v>
      </c>
      <c r="I169" s="92" t="s">
        <v>3391</v>
      </c>
      <c r="J169" s="92">
        <v>9347803024</v>
      </c>
      <c r="K169" s="92" t="s">
        <v>1603</v>
      </c>
      <c r="L169" s="67"/>
      <c r="M169" s="67"/>
      <c r="N169" s="67"/>
      <c r="O169" s="67"/>
    </row>
    <row r="170" spans="1:15" ht="30">
      <c r="A170" s="91" t="s">
        <v>10</v>
      </c>
      <c r="B170" s="92" t="s">
        <v>10</v>
      </c>
      <c r="C170" s="92" t="str">
        <f ca="1">IFERROR(__xludf.DUMMYFUNCTION("filter('Back End'!C:C,'Back End'!A:A=A170,'Back End'!B:B=B170,'Back End'!D:D=D170)"),"Virava")</f>
        <v>Virava</v>
      </c>
      <c r="D170" s="91" t="s">
        <v>538</v>
      </c>
      <c r="E170" s="92" t="s">
        <v>3392</v>
      </c>
      <c r="F170" s="91" t="s">
        <v>139</v>
      </c>
      <c r="G170" s="91" t="s">
        <v>594</v>
      </c>
      <c r="H170" s="93" t="s">
        <v>4</v>
      </c>
      <c r="I170" s="92" t="s">
        <v>3393</v>
      </c>
      <c r="J170" s="92">
        <v>9963414036</v>
      </c>
      <c r="K170" s="92" t="s">
        <v>1603</v>
      </c>
      <c r="L170" s="67"/>
      <c r="M170" s="67"/>
      <c r="N170" s="67"/>
      <c r="O170" s="67"/>
    </row>
    <row r="171" spans="1:15" ht="30">
      <c r="A171" s="91" t="s">
        <v>10</v>
      </c>
      <c r="B171" s="92" t="s">
        <v>10</v>
      </c>
      <c r="C171" s="92" t="str">
        <f ca="1">IFERROR(__xludf.DUMMYFUNCTION("filter('Back End'!C:C,'Back End'!A:A=A171,'Back End'!B:B=B171,'Back End'!D:D=D171)"),"Virava")</f>
        <v>Virava</v>
      </c>
      <c r="D171" s="91" t="s">
        <v>538</v>
      </c>
      <c r="E171" s="92" t="s">
        <v>3394</v>
      </c>
      <c r="F171" s="91" t="s">
        <v>139</v>
      </c>
      <c r="G171" s="91" t="s">
        <v>594</v>
      </c>
      <c r="H171" s="93" t="s">
        <v>5</v>
      </c>
      <c r="I171" s="92" t="s">
        <v>3395</v>
      </c>
      <c r="J171" s="92">
        <v>9949614777</v>
      </c>
      <c r="K171" s="92" t="s">
        <v>1608</v>
      </c>
      <c r="L171" s="67"/>
      <c r="M171" s="67"/>
      <c r="N171" s="67"/>
      <c r="O171" s="67"/>
    </row>
    <row r="172" spans="1:15" ht="30">
      <c r="A172" s="91" t="s">
        <v>10</v>
      </c>
      <c r="B172" s="92" t="s">
        <v>10</v>
      </c>
      <c r="C172" s="92" t="str">
        <f ca="1">IFERROR(__xludf.DUMMYFUNCTION("filter('Back End'!C:C,'Back End'!A:A=A172,'Back End'!B:B=B172,'Back End'!D:D=D172)"),"Virava")</f>
        <v>Virava</v>
      </c>
      <c r="D172" s="91" t="s">
        <v>538</v>
      </c>
      <c r="E172" s="92" t="s">
        <v>3396</v>
      </c>
      <c r="F172" s="91" t="s">
        <v>139</v>
      </c>
      <c r="G172" s="91" t="s">
        <v>594</v>
      </c>
      <c r="H172" s="93" t="s">
        <v>4</v>
      </c>
      <c r="I172" s="92" t="s">
        <v>3393</v>
      </c>
      <c r="J172" s="92">
        <v>9676970864</v>
      </c>
      <c r="K172" s="92" t="s">
        <v>1603</v>
      </c>
      <c r="L172" s="67"/>
      <c r="M172" s="67"/>
      <c r="N172" s="67"/>
      <c r="O172" s="67"/>
    </row>
    <row r="173" spans="1:15" ht="30">
      <c r="A173" s="91" t="s">
        <v>10</v>
      </c>
      <c r="B173" s="92" t="s">
        <v>10</v>
      </c>
      <c r="C173" s="92" t="str">
        <f ca="1">IFERROR(__xludf.DUMMYFUNCTION("filter('Back End'!C:C,'Back End'!A:A=A173,'Back End'!B:B=B173,'Back End'!D:D=D173)"),"Virava")</f>
        <v>Virava</v>
      </c>
      <c r="D173" s="91" t="s">
        <v>538</v>
      </c>
      <c r="E173" s="92" t="s">
        <v>3397</v>
      </c>
      <c r="F173" s="91" t="s">
        <v>139</v>
      </c>
      <c r="G173" s="91" t="s">
        <v>594</v>
      </c>
      <c r="H173" s="93" t="s">
        <v>4</v>
      </c>
      <c r="I173" s="92" t="s">
        <v>3398</v>
      </c>
      <c r="J173" s="92">
        <v>9652629013</v>
      </c>
      <c r="K173" s="92" t="s">
        <v>1603</v>
      </c>
      <c r="L173" s="67"/>
      <c r="M173" s="67"/>
      <c r="N173" s="67"/>
      <c r="O173" s="67"/>
    </row>
    <row r="174" spans="1:15" ht="30">
      <c r="A174" s="91" t="s">
        <v>10</v>
      </c>
      <c r="B174" s="92" t="s">
        <v>10</v>
      </c>
      <c r="C174" s="92" t="str">
        <f ca="1">IFERROR(__xludf.DUMMYFUNCTION("filter('Back End'!C:C,'Back End'!A:A=A174,'Back End'!B:B=B174,'Back End'!D:D=D174)"),"Virava")</f>
        <v>Virava</v>
      </c>
      <c r="D174" s="91" t="s">
        <v>538</v>
      </c>
      <c r="E174" s="92" t="s">
        <v>3399</v>
      </c>
      <c r="F174" s="91" t="s">
        <v>139</v>
      </c>
      <c r="G174" s="91" t="s">
        <v>594</v>
      </c>
      <c r="H174" s="93" t="s">
        <v>5</v>
      </c>
      <c r="I174" s="92" t="s">
        <v>3400</v>
      </c>
      <c r="J174" s="92">
        <v>9490535796</v>
      </c>
      <c r="K174" s="92" t="s">
        <v>1608</v>
      </c>
      <c r="L174" s="67"/>
      <c r="M174" s="67"/>
      <c r="N174" s="67"/>
      <c r="O174" s="67"/>
    </row>
    <row r="175" spans="1:15" ht="30">
      <c r="A175" s="91" t="s">
        <v>10</v>
      </c>
      <c r="B175" s="92" t="s">
        <v>10</v>
      </c>
      <c r="C175" s="92" t="str">
        <f ca="1">IFERROR(__xludf.DUMMYFUNCTION("filter('Back End'!C:C,'Back End'!A:A=A175,'Back End'!B:B=B175,'Back End'!D:D=D175)"),"Virava")</f>
        <v>Virava</v>
      </c>
      <c r="D175" s="91" t="s">
        <v>538</v>
      </c>
      <c r="E175" s="92" t="s">
        <v>3401</v>
      </c>
      <c r="F175" s="91" t="s">
        <v>139</v>
      </c>
      <c r="G175" s="91" t="s">
        <v>594</v>
      </c>
      <c r="H175" s="93" t="s">
        <v>6</v>
      </c>
      <c r="I175" s="92" t="s">
        <v>3398</v>
      </c>
      <c r="J175" s="92">
        <v>9490056549</v>
      </c>
      <c r="K175" s="92" t="s">
        <v>1603</v>
      </c>
      <c r="L175" s="92" t="s">
        <v>3402</v>
      </c>
      <c r="M175" s="67"/>
      <c r="N175" s="67"/>
      <c r="O175" s="67"/>
    </row>
    <row r="176" spans="1:15" ht="30">
      <c r="A176" s="91" t="s">
        <v>10</v>
      </c>
      <c r="B176" s="92" t="s">
        <v>10</v>
      </c>
      <c r="C176" s="92" t="str">
        <f ca="1">IFERROR(__xludf.DUMMYFUNCTION("filter('Back End'!C:C,'Back End'!A:A=A176,'Back End'!B:B=B176,'Back End'!D:D=D176)"),"Virava")</f>
        <v>Virava</v>
      </c>
      <c r="D176" s="91" t="s">
        <v>538</v>
      </c>
      <c r="E176" s="92" t="s">
        <v>3403</v>
      </c>
      <c r="F176" s="91" t="s">
        <v>139</v>
      </c>
      <c r="G176" s="91" t="s">
        <v>594</v>
      </c>
      <c r="H176" s="93" t="s">
        <v>5</v>
      </c>
      <c r="I176" s="92" t="s">
        <v>3404</v>
      </c>
      <c r="J176" s="92">
        <v>9963414036</v>
      </c>
      <c r="K176" s="92" t="s">
        <v>1608</v>
      </c>
      <c r="L176" s="67"/>
      <c r="M176" s="67"/>
      <c r="N176" s="67"/>
      <c r="O176" s="67"/>
    </row>
    <row r="177" spans="1:15" ht="30">
      <c r="A177" s="91" t="s">
        <v>10</v>
      </c>
      <c r="B177" s="92" t="s">
        <v>10</v>
      </c>
      <c r="C177" s="92" t="str">
        <f ca="1">IFERROR(__xludf.DUMMYFUNCTION("filter('Back End'!C:C,'Back End'!A:A=A177,'Back End'!B:B=B177,'Back End'!D:D=D177)"),"Virava")</f>
        <v>Virava</v>
      </c>
      <c r="D177" s="91" t="s">
        <v>538</v>
      </c>
      <c r="E177" s="92" t="s">
        <v>3405</v>
      </c>
      <c r="F177" s="91" t="s">
        <v>139</v>
      </c>
      <c r="G177" s="91" t="s">
        <v>594</v>
      </c>
      <c r="H177" s="93" t="s">
        <v>5</v>
      </c>
      <c r="I177" s="92" t="s">
        <v>3115</v>
      </c>
      <c r="J177" s="92" t="s">
        <v>2631</v>
      </c>
      <c r="K177" s="92" t="s">
        <v>1608</v>
      </c>
      <c r="L177" s="67"/>
      <c r="M177" s="67"/>
      <c r="N177" s="67"/>
      <c r="O177" s="67"/>
    </row>
    <row r="178" spans="1:15" ht="30">
      <c r="A178" s="91" t="s">
        <v>10</v>
      </c>
      <c r="B178" s="91" t="s">
        <v>10</v>
      </c>
      <c r="C178" s="92" t="str">
        <f ca="1">IFERROR(__xludf.DUMMYFUNCTION("filter('Back End'!C:C,'Back End'!A:A=A178,'Back End'!B:B=B178,'Back End'!D:D=D178)"),"Virava")</f>
        <v>Virava</v>
      </c>
      <c r="D178" s="91" t="s">
        <v>538</v>
      </c>
      <c r="E178" s="91" t="s">
        <v>3406</v>
      </c>
      <c r="F178" s="91" t="s">
        <v>139</v>
      </c>
      <c r="G178" s="91" t="s">
        <v>594</v>
      </c>
      <c r="H178" s="93" t="s">
        <v>4</v>
      </c>
      <c r="I178" s="92" t="s">
        <v>3142</v>
      </c>
      <c r="J178" s="92">
        <v>9642942999</v>
      </c>
      <c r="K178" s="67"/>
      <c r="L178" s="67"/>
      <c r="M178" s="67"/>
      <c r="N178" s="67"/>
      <c r="O178" s="67"/>
    </row>
    <row r="179" spans="1:15" ht="15">
      <c r="A179" s="91" t="s">
        <v>10</v>
      </c>
      <c r="B179" s="91" t="s">
        <v>10</v>
      </c>
      <c r="C179" s="92" t="str">
        <f ca="1">IFERROR(__xludf.DUMMYFUNCTION("filter('Back End'!C:C,'Back End'!A:A=A179,'Back End'!B:B=B179,'Back End'!D:D=D179)"),"Virava")</f>
        <v>Virava</v>
      </c>
      <c r="D179" s="91" t="s">
        <v>538</v>
      </c>
      <c r="E179" s="91" t="s">
        <v>3407</v>
      </c>
      <c r="F179" s="91" t="s">
        <v>139</v>
      </c>
      <c r="G179" s="91" t="s">
        <v>594</v>
      </c>
      <c r="H179" s="93" t="s">
        <v>5</v>
      </c>
      <c r="I179" s="92" t="s">
        <v>3185</v>
      </c>
      <c r="J179" s="92">
        <v>9866138626</v>
      </c>
      <c r="K179" s="67"/>
      <c r="L179" s="67"/>
      <c r="M179" s="67"/>
      <c r="N179" s="67"/>
      <c r="O179" s="67"/>
    </row>
    <row r="180" spans="1:15" ht="15">
      <c r="A180" s="91" t="s">
        <v>10</v>
      </c>
      <c r="B180" s="91" t="s">
        <v>10</v>
      </c>
      <c r="C180" s="92" t="str">
        <f ca="1">IFERROR(__xludf.DUMMYFUNCTION("filter('Back End'!C:C,'Back End'!A:A=A180,'Back End'!B:B=B180,'Back End'!D:D=D180)"),"Virava")</f>
        <v>Virava</v>
      </c>
      <c r="D180" s="91" t="s">
        <v>538</v>
      </c>
      <c r="E180" s="91" t="s">
        <v>3408</v>
      </c>
      <c r="F180" s="91" t="s">
        <v>139</v>
      </c>
      <c r="G180" s="91" t="s">
        <v>594</v>
      </c>
      <c r="H180" s="93" t="s">
        <v>4</v>
      </c>
      <c r="I180" s="92" t="s">
        <v>3125</v>
      </c>
      <c r="J180" s="92">
        <v>9491615365</v>
      </c>
      <c r="K180" s="67"/>
      <c r="L180" s="67"/>
      <c r="M180" s="67"/>
      <c r="N180" s="67"/>
      <c r="O180" s="67"/>
    </row>
    <row r="181" spans="1:15" ht="30">
      <c r="A181" s="91" t="s">
        <v>10</v>
      </c>
      <c r="B181" s="91" t="s">
        <v>10</v>
      </c>
      <c r="C181" s="92" t="str">
        <f ca="1">IFERROR(__xludf.DUMMYFUNCTION("filter('Back End'!C:C,'Back End'!A:A=A181,'Back End'!B:B=B181,'Back End'!D:D=D181)"),"Virava")</f>
        <v>Virava</v>
      </c>
      <c r="D181" s="91" t="s">
        <v>538</v>
      </c>
      <c r="E181" s="91" t="s">
        <v>3409</v>
      </c>
      <c r="F181" s="91" t="s">
        <v>139</v>
      </c>
      <c r="G181" s="91" t="s">
        <v>594</v>
      </c>
      <c r="H181" s="93" t="s">
        <v>4</v>
      </c>
      <c r="I181" s="92" t="s">
        <v>3142</v>
      </c>
      <c r="J181" s="92">
        <v>9676970864</v>
      </c>
      <c r="K181" s="67"/>
      <c r="L181" s="67"/>
      <c r="M181" s="67"/>
      <c r="N181" s="67"/>
      <c r="O181" s="67"/>
    </row>
    <row r="182" spans="1:15" ht="15">
      <c r="A182" s="91" t="s">
        <v>10</v>
      </c>
      <c r="B182" s="91" t="s">
        <v>10</v>
      </c>
      <c r="C182" s="92" t="str">
        <f ca="1">IFERROR(__xludf.DUMMYFUNCTION("filter('Back End'!C:C,'Back End'!A:A=A182,'Back End'!B:B=B182,'Back End'!D:D=D182)"),"Virava")</f>
        <v>Virava</v>
      </c>
      <c r="D182" s="91" t="s">
        <v>538</v>
      </c>
      <c r="E182" s="91" t="s">
        <v>3410</v>
      </c>
      <c r="F182" s="91" t="s">
        <v>114</v>
      </c>
      <c r="G182" s="91" t="s">
        <v>85</v>
      </c>
      <c r="H182" s="93" t="s">
        <v>5</v>
      </c>
      <c r="I182" s="92" t="s">
        <v>3112</v>
      </c>
      <c r="J182" s="92">
        <v>9948121883</v>
      </c>
      <c r="K182" s="67"/>
      <c r="L182" s="67"/>
      <c r="M182" s="67"/>
      <c r="N182" s="67"/>
      <c r="O182" s="67"/>
    </row>
    <row r="183" spans="1:15" ht="30">
      <c r="A183" s="91" t="s">
        <v>10</v>
      </c>
      <c r="B183" s="91" t="s">
        <v>10</v>
      </c>
      <c r="C183" s="92" t="str">
        <f ca="1">IFERROR(__xludf.DUMMYFUNCTION("filter('Back End'!C:C,'Back End'!A:A=A183,'Back End'!B:B=B183,'Back End'!D:D=D183)"),"Virava")</f>
        <v>Virava</v>
      </c>
      <c r="D183" s="91" t="s">
        <v>538</v>
      </c>
      <c r="E183" s="91" t="s">
        <v>3411</v>
      </c>
      <c r="F183" s="91" t="s">
        <v>139</v>
      </c>
      <c r="G183" s="91" t="s">
        <v>594</v>
      </c>
      <c r="H183" s="93" t="s">
        <v>5</v>
      </c>
      <c r="I183" s="92" t="s">
        <v>3412</v>
      </c>
      <c r="J183" s="92">
        <v>9908854359</v>
      </c>
      <c r="K183" s="67"/>
      <c r="L183" s="67"/>
      <c r="M183" s="67"/>
      <c r="N183" s="67"/>
      <c r="O183" s="67"/>
    </row>
    <row r="184" spans="1:15" ht="30">
      <c r="A184" s="91" t="s">
        <v>10</v>
      </c>
      <c r="B184" s="91" t="s">
        <v>10</v>
      </c>
      <c r="C184" s="92" t="str">
        <f ca="1">IFERROR(__xludf.DUMMYFUNCTION("filter('Back End'!C:C,'Back End'!A:A=A184,'Back End'!B:B=B184,'Back End'!D:D=D184)"),"Virava")</f>
        <v>Virava</v>
      </c>
      <c r="D184" s="91" t="s">
        <v>538</v>
      </c>
      <c r="E184" s="91" t="s">
        <v>3413</v>
      </c>
      <c r="F184" s="91" t="s">
        <v>139</v>
      </c>
      <c r="G184" s="91" t="s">
        <v>594</v>
      </c>
      <c r="H184" s="93" t="s">
        <v>4</v>
      </c>
      <c r="I184" s="92" t="s">
        <v>3142</v>
      </c>
      <c r="J184" s="92">
        <v>9989518139</v>
      </c>
      <c r="K184" s="67"/>
      <c r="L184" s="67"/>
      <c r="M184" s="67"/>
      <c r="N184" s="67"/>
      <c r="O184" s="67"/>
    </row>
    <row r="185" spans="1:15" ht="30">
      <c r="A185" s="91" t="s">
        <v>10</v>
      </c>
      <c r="B185" s="91" t="s">
        <v>10</v>
      </c>
      <c r="C185" s="92" t="str">
        <f ca="1">IFERROR(__xludf.DUMMYFUNCTION("filter('Back End'!C:C,'Back End'!A:A=A185,'Back End'!B:B=B185,'Back End'!D:D=D185)"),"Virava")</f>
        <v>Virava</v>
      </c>
      <c r="D185" s="91" t="s">
        <v>538</v>
      </c>
      <c r="E185" s="91" t="s">
        <v>3414</v>
      </c>
      <c r="F185" s="91" t="s">
        <v>139</v>
      </c>
      <c r="G185" s="91" t="s">
        <v>594</v>
      </c>
      <c r="H185" s="93" t="s">
        <v>5</v>
      </c>
      <c r="I185" s="92" t="s">
        <v>3142</v>
      </c>
      <c r="J185" s="92">
        <v>9493791390</v>
      </c>
      <c r="K185" s="67"/>
      <c r="L185" s="67"/>
      <c r="M185" s="67"/>
      <c r="N185" s="67"/>
      <c r="O185" s="67"/>
    </row>
    <row r="186" spans="1:15" ht="30">
      <c r="A186" s="91" t="s">
        <v>10</v>
      </c>
      <c r="B186" s="91" t="s">
        <v>10</v>
      </c>
      <c r="C186" s="92" t="str">
        <f ca="1">IFERROR(__xludf.DUMMYFUNCTION("filter('Back End'!C:C,'Back End'!A:A=A186,'Back End'!B:B=B186,'Back End'!D:D=D186)"),"Virava")</f>
        <v>Virava</v>
      </c>
      <c r="D186" s="91" t="s">
        <v>538</v>
      </c>
      <c r="E186" s="91" t="s">
        <v>3415</v>
      </c>
      <c r="F186" s="91" t="s">
        <v>139</v>
      </c>
      <c r="G186" s="91" t="s">
        <v>594</v>
      </c>
      <c r="H186" s="93" t="s">
        <v>5</v>
      </c>
      <c r="I186" s="92" t="s">
        <v>3416</v>
      </c>
      <c r="J186" s="92">
        <v>9704459286</v>
      </c>
      <c r="K186" s="67"/>
      <c r="L186" s="67"/>
      <c r="M186" s="67"/>
      <c r="N186" s="67"/>
      <c r="O186" s="67"/>
    </row>
    <row r="187" spans="1:15" ht="30">
      <c r="A187" s="91" t="s">
        <v>10</v>
      </c>
      <c r="B187" s="91" t="s">
        <v>10</v>
      </c>
      <c r="C187" s="92" t="str">
        <f ca="1">IFERROR(__xludf.DUMMYFUNCTION("filter('Back End'!C:C,'Back End'!A:A=A187,'Back End'!B:B=B187,'Back End'!D:D=D187)"),"Virava")</f>
        <v>Virava</v>
      </c>
      <c r="D187" s="91" t="s">
        <v>538</v>
      </c>
      <c r="E187" s="91" t="s">
        <v>3417</v>
      </c>
      <c r="F187" s="91" t="s">
        <v>139</v>
      </c>
      <c r="G187" s="91" t="s">
        <v>594</v>
      </c>
      <c r="H187" s="93" t="s">
        <v>5</v>
      </c>
      <c r="I187" s="92" t="s">
        <v>3142</v>
      </c>
      <c r="J187" s="92">
        <v>998948331</v>
      </c>
      <c r="K187" s="67"/>
      <c r="L187" s="67"/>
      <c r="M187" s="67"/>
      <c r="N187" s="67"/>
      <c r="O187" s="67"/>
    </row>
    <row r="188" spans="1:15" ht="30">
      <c r="A188" s="91" t="s">
        <v>10</v>
      </c>
      <c r="B188" s="92" t="s">
        <v>10</v>
      </c>
      <c r="C188" s="92" t="str">
        <f ca="1">IFERROR(__xludf.DUMMYFUNCTION("filter('Back End'!C:C,'Back End'!A:A=A188,'Back End'!B:B=B188,'Back End'!D:D=D188)"),"Mallam")</f>
        <v>Mallam</v>
      </c>
      <c r="D188" s="91" t="s">
        <v>518</v>
      </c>
      <c r="E188" s="92" t="s">
        <v>3418</v>
      </c>
      <c r="F188" s="91" t="s">
        <v>139</v>
      </c>
      <c r="G188" s="91" t="s">
        <v>594</v>
      </c>
      <c r="H188" s="93" t="s">
        <v>5</v>
      </c>
      <c r="I188" s="92" t="s">
        <v>3185</v>
      </c>
      <c r="J188" s="92">
        <v>9491517532</v>
      </c>
      <c r="K188" s="92" t="s">
        <v>1608</v>
      </c>
      <c r="L188" s="67"/>
      <c r="M188" s="67"/>
      <c r="N188" s="67"/>
      <c r="O188" s="67"/>
    </row>
    <row r="189" spans="1:15" ht="45">
      <c r="A189" s="91" t="s">
        <v>10</v>
      </c>
      <c r="B189" s="92" t="s">
        <v>10</v>
      </c>
      <c r="C189" s="92" t="str">
        <f ca="1">IFERROR(__xludf.DUMMYFUNCTION("filter('Back End'!C:C,'Back End'!A:A=A189,'Back End'!B:B=B189,'Back End'!D:D=D189)"),"Mallam")</f>
        <v>Mallam</v>
      </c>
      <c r="D189" s="91" t="s">
        <v>518</v>
      </c>
      <c r="E189" s="92" t="s">
        <v>3419</v>
      </c>
      <c r="F189" s="91" t="s">
        <v>139</v>
      </c>
      <c r="G189" s="91" t="s">
        <v>594</v>
      </c>
      <c r="H189" s="93" t="s">
        <v>5</v>
      </c>
      <c r="I189" s="92" t="s">
        <v>3185</v>
      </c>
      <c r="J189" s="92">
        <v>9848444677</v>
      </c>
      <c r="K189" s="92" t="s">
        <v>1608</v>
      </c>
      <c r="L189" s="92">
        <v>400</v>
      </c>
      <c r="M189" s="67"/>
      <c r="N189" s="67"/>
      <c r="O189" s="67"/>
    </row>
    <row r="190" spans="1:15" ht="45">
      <c r="A190" s="91" t="s">
        <v>10</v>
      </c>
      <c r="B190" s="92" t="s">
        <v>10</v>
      </c>
      <c r="C190" s="92" t="str">
        <f ca="1">IFERROR(__xludf.DUMMYFUNCTION("filter('Back End'!C:C,'Back End'!A:A=A190,'Back End'!B:B=B190,'Back End'!D:D=D190)"),"Mallam")</f>
        <v>Mallam</v>
      </c>
      <c r="D190" s="91" t="s">
        <v>518</v>
      </c>
      <c r="E190" s="92" t="s">
        <v>3420</v>
      </c>
      <c r="F190" s="91" t="s">
        <v>139</v>
      </c>
      <c r="G190" s="91" t="s">
        <v>594</v>
      </c>
      <c r="H190" s="93" t="s">
        <v>6</v>
      </c>
      <c r="I190" s="92" t="s">
        <v>3185</v>
      </c>
      <c r="J190" s="92">
        <v>9550668226</v>
      </c>
      <c r="K190" s="92" t="s">
        <v>1603</v>
      </c>
      <c r="L190" s="67"/>
      <c r="M190" s="67"/>
      <c r="N190" s="67"/>
      <c r="O190" s="67"/>
    </row>
    <row r="191" spans="1:15" ht="45">
      <c r="A191" s="91" t="s">
        <v>10</v>
      </c>
      <c r="B191" s="92" t="s">
        <v>10</v>
      </c>
      <c r="C191" s="92" t="str">
        <f ca="1">IFERROR(__xludf.DUMMYFUNCTION("filter('Back End'!C:C,'Back End'!A:A=A191,'Back End'!B:B=B191,'Back End'!D:D=D191)"),"Mallam")</f>
        <v>Mallam</v>
      </c>
      <c r="D191" s="91" t="s">
        <v>518</v>
      </c>
      <c r="E191" s="92" t="s">
        <v>3421</v>
      </c>
      <c r="F191" s="91" t="s">
        <v>139</v>
      </c>
      <c r="G191" s="91" t="s">
        <v>594</v>
      </c>
      <c r="H191" s="93" t="s">
        <v>4</v>
      </c>
      <c r="I191" s="92" t="s">
        <v>3185</v>
      </c>
      <c r="J191" s="92" t="s">
        <v>2631</v>
      </c>
      <c r="K191" s="67"/>
      <c r="L191" s="92" t="s">
        <v>3422</v>
      </c>
      <c r="M191" s="67"/>
      <c r="N191" s="67"/>
      <c r="O191" s="67"/>
    </row>
    <row r="192" spans="1:15" ht="30">
      <c r="A192" s="91" t="s">
        <v>10</v>
      </c>
      <c r="B192" s="92" t="s">
        <v>10</v>
      </c>
      <c r="C192" s="92" t="str">
        <f ca="1">IFERROR(__xludf.DUMMYFUNCTION("filter('Back End'!C:C,'Back End'!A:A=A192,'Back End'!B:B=B192,'Back End'!D:D=D192)"),"Mallam")</f>
        <v>Mallam</v>
      </c>
      <c r="D192" s="91" t="s">
        <v>518</v>
      </c>
      <c r="E192" s="92" t="s">
        <v>3423</v>
      </c>
      <c r="F192" s="91" t="s">
        <v>114</v>
      </c>
      <c r="G192" s="91" t="s">
        <v>85</v>
      </c>
      <c r="H192" s="93" t="s">
        <v>5</v>
      </c>
      <c r="I192" s="92" t="s">
        <v>3115</v>
      </c>
      <c r="J192" s="92">
        <v>9347236387</v>
      </c>
      <c r="K192" s="92" t="s">
        <v>1603</v>
      </c>
      <c r="L192" s="67"/>
      <c r="M192" s="67"/>
      <c r="N192" s="67"/>
      <c r="O192" s="67"/>
    </row>
    <row r="193" spans="1:15" ht="30">
      <c r="A193" s="91" t="s">
        <v>10</v>
      </c>
      <c r="B193" s="91" t="s">
        <v>10</v>
      </c>
      <c r="C193" s="92" t="str">
        <f ca="1">IFERROR(__xludf.DUMMYFUNCTION("filter('Back End'!C:C,'Back End'!A:A=A193,'Back End'!B:B=B193,'Back End'!D:D=D193)"),"Mallam")</f>
        <v>Mallam</v>
      </c>
      <c r="D193" s="91" t="s">
        <v>518</v>
      </c>
      <c r="E193" s="91" t="s">
        <v>3424</v>
      </c>
      <c r="F193" s="91" t="s">
        <v>114</v>
      </c>
      <c r="G193" s="91" t="s">
        <v>85</v>
      </c>
      <c r="H193" s="93" t="s">
        <v>5</v>
      </c>
      <c r="I193" s="92" t="s">
        <v>3142</v>
      </c>
      <c r="J193" s="92">
        <v>9704000108</v>
      </c>
      <c r="K193" s="67"/>
      <c r="L193" s="67"/>
      <c r="M193" s="67"/>
      <c r="N193" s="67"/>
      <c r="O193" s="67"/>
    </row>
    <row r="194" spans="1:15" ht="15">
      <c r="A194" s="91" t="s">
        <v>10</v>
      </c>
      <c r="B194" s="91" t="s">
        <v>10</v>
      </c>
      <c r="C194" s="92" t="str">
        <f ca="1">IFERROR(__xludf.DUMMYFUNCTION("filter('Back End'!C:C,'Back End'!A:A=A194,'Back End'!B:B=B194,'Back End'!D:D=D194)"),"Mallam")</f>
        <v>Mallam</v>
      </c>
      <c r="D194" s="91" t="s">
        <v>518</v>
      </c>
      <c r="E194" s="91" t="s">
        <v>3425</v>
      </c>
      <c r="F194" s="91" t="s">
        <v>1669</v>
      </c>
      <c r="G194" s="91" t="s">
        <v>615</v>
      </c>
      <c r="H194" s="93" t="s">
        <v>5</v>
      </c>
      <c r="I194" s="92" t="s">
        <v>3115</v>
      </c>
      <c r="J194" s="92">
        <v>9493275878</v>
      </c>
      <c r="K194" s="67"/>
      <c r="L194" s="67"/>
      <c r="M194" s="67"/>
      <c r="N194" s="67"/>
      <c r="O194" s="67"/>
    </row>
    <row r="195" spans="1:15" ht="45">
      <c r="A195" s="91" t="s">
        <v>10</v>
      </c>
      <c r="B195" s="91" t="s">
        <v>10</v>
      </c>
      <c r="C195" s="92" t="str">
        <f ca="1">IFERROR(__xludf.DUMMYFUNCTION("filter('Back End'!C:C,'Back End'!A:A=A195,'Back End'!B:B=B195,'Back End'!D:D=D195)"),"Mallam")</f>
        <v>Mallam</v>
      </c>
      <c r="D195" s="91" t="s">
        <v>518</v>
      </c>
      <c r="E195" s="91" t="s">
        <v>3426</v>
      </c>
      <c r="F195" s="91" t="s">
        <v>139</v>
      </c>
      <c r="G195" s="91" t="s">
        <v>594</v>
      </c>
      <c r="H195" s="93" t="s">
        <v>5</v>
      </c>
      <c r="I195" s="92" t="s">
        <v>3427</v>
      </c>
      <c r="J195" s="92">
        <v>8790441224</v>
      </c>
      <c r="K195" s="67"/>
      <c r="L195" s="67"/>
      <c r="M195" s="67"/>
      <c r="N195" s="67"/>
      <c r="O195" s="67"/>
    </row>
    <row r="196" spans="1:15" ht="30">
      <c r="A196" s="91" t="s">
        <v>7</v>
      </c>
      <c r="B196" s="92" t="s">
        <v>7</v>
      </c>
      <c r="C196" s="92" t="str">
        <f ca="1">IFERROR(__xludf.DUMMYFUNCTION("filter('Back End'!C:C,'Back End'!A:A=A196,'Back End'!B:B=B196,'Back End'!D:D=D196)"),"L Kothuru")</f>
        <v>L Kothuru</v>
      </c>
      <c r="D196" s="91" t="s">
        <v>770</v>
      </c>
      <c r="E196" s="92" t="s">
        <v>3428</v>
      </c>
      <c r="F196" s="91" t="s">
        <v>114</v>
      </c>
      <c r="G196" s="91" t="s">
        <v>85</v>
      </c>
      <c r="H196" s="93" t="s">
        <v>5</v>
      </c>
      <c r="I196" s="92" t="s">
        <v>3429</v>
      </c>
      <c r="J196" s="92">
        <v>9949356372</v>
      </c>
      <c r="K196" s="67"/>
      <c r="L196" s="67"/>
      <c r="M196" s="67"/>
      <c r="N196" s="67"/>
      <c r="O196" s="67"/>
    </row>
    <row r="197" spans="1:15" ht="75">
      <c r="A197" s="91" t="s">
        <v>7</v>
      </c>
      <c r="B197" s="92" t="s">
        <v>7</v>
      </c>
      <c r="C197" s="92" t="str">
        <f ca="1">IFERROR(__xludf.DUMMYFUNCTION("filter('Back End'!C:C,'Back End'!A:A=A197,'Back End'!B:B=B197,'Back End'!D:D=D197)"),"L Kothuru")</f>
        <v>L Kothuru</v>
      </c>
      <c r="D197" s="91" t="s">
        <v>770</v>
      </c>
      <c r="E197" s="92" t="s">
        <v>3430</v>
      </c>
      <c r="F197" s="91" t="s">
        <v>165</v>
      </c>
      <c r="G197" s="91" t="s">
        <v>615</v>
      </c>
      <c r="H197" s="93" t="s">
        <v>5</v>
      </c>
      <c r="I197" s="92" t="s">
        <v>3431</v>
      </c>
      <c r="J197" s="67"/>
      <c r="K197" s="67"/>
      <c r="L197" s="67"/>
      <c r="M197" s="67"/>
      <c r="N197" s="67"/>
      <c r="O197" s="67"/>
    </row>
    <row r="198" spans="1:15" ht="30">
      <c r="A198" s="91" t="s">
        <v>7</v>
      </c>
      <c r="B198" s="92" t="s">
        <v>7</v>
      </c>
      <c r="C198" s="92" t="str">
        <f ca="1">IFERROR(__xludf.DUMMYFUNCTION("filter('Back End'!C:C,'Back End'!A:A=A198,'Back End'!B:B=B198,'Back End'!D:D=D198)"),"L Kothuru")</f>
        <v>L Kothuru</v>
      </c>
      <c r="D198" s="91" t="s">
        <v>770</v>
      </c>
      <c r="E198" s="92" t="s">
        <v>3432</v>
      </c>
      <c r="F198" s="91" t="s">
        <v>1669</v>
      </c>
      <c r="G198" s="91" t="s">
        <v>615</v>
      </c>
      <c r="H198" s="93" t="s">
        <v>5</v>
      </c>
      <c r="I198" s="92" t="s">
        <v>3433</v>
      </c>
      <c r="J198" s="92">
        <v>8639509148</v>
      </c>
      <c r="K198" s="67"/>
      <c r="L198" s="67"/>
      <c r="M198" s="67"/>
      <c r="N198" s="67"/>
      <c r="O198" s="67"/>
    </row>
    <row r="199" spans="1:15" ht="30">
      <c r="A199" s="91" t="s">
        <v>7</v>
      </c>
      <c r="B199" s="92" t="s">
        <v>7</v>
      </c>
      <c r="C199" s="92" t="str">
        <f ca="1">IFERROR(__xludf.DUMMYFUNCTION("filter('Back End'!C:C,'Back End'!A:A=A199,'Back End'!B:B=B199,'Back End'!D:D=D199)"),"L Kothuru")</f>
        <v>L Kothuru</v>
      </c>
      <c r="D199" s="91" t="s">
        <v>770</v>
      </c>
      <c r="E199" s="92" t="s">
        <v>3434</v>
      </c>
      <c r="F199" s="91" t="s">
        <v>114</v>
      </c>
      <c r="G199" s="91" t="s">
        <v>85</v>
      </c>
      <c r="H199" s="93" t="s">
        <v>5</v>
      </c>
      <c r="I199" s="92" t="s">
        <v>3435</v>
      </c>
      <c r="J199" s="92">
        <v>9676562213</v>
      </c>
      <c r="K199" s="67"/>
      <c r="L199" s="67"/>
      <c r="M199" s="67"/>
      <c r="N199" s="67"/>
      <c r="O199" s="67"/>
    </row>
    <row r="200" spans="1:15" ht="30">
      <c r="A200" s="91" t="s">
        <v>7</v>
      </c>
      <c r="B200" s="92" t="s">
        <v>7</v>
      </c>
      <c r="C200" s="92" t="str">
        <f ca="1">IFERROR(__xludf.DUMMYFUNCTION("filter('Back End'!C:C,'Back End'!A:A=A200,'Back End'!B:B=B200,'Back End'!D:D=D200)"),"L Kothuru")</f>
        <v>L Kothuru</v>
      </c>
      <c r="D200" s="91" t="s">
        <v>770</v>
      </c>
      <c r="E200" s="92" t="s">
        <v>3436</v>
      </c>
      <c r="F200" s="91" t="s">
        <v>1669</v>
      </c>
      <c r="G200" s="91" t="s">
        <v>615</v>
      </c>
      <c r="H200" s="93" t="s">
        <v>5</v>
      </c>
      <c r="I200" s="92" t="s">
        <v>3185</v>
      </c>
      <c r="J200" s="92">
        <v>9440996500</v>
      </c>
      <c r="K200" s="92" t="s">
        <v>1613</v>
      </c>
      <c r="L200" s="67"/>
      <c r="M200" s="67"/>
      <c r="N200" s="67"/>
      <c r="O200" s="67"/>
    </row>
    <row r="201" spans="1:15" ht="30">
      <c r="A201" s="91" t="s">
        <v>7</v>
      </c>
      <c r="B201" s="92" t="s">
        <v>7</v>
      </c>
      <c r="C201" s="92" t="str">
        <f ca="1">IFERROR(__xludf.DUMMYFUNCTION("filter('Back End'!C:C,'Back End'!A:A=A201,'Back End'!B:B=B201,'Back End'!D:D=D201)"),"L Kothuru")</f>
        <v>L Kothuru</v>
      </c>
      <c r="D201" s="91" t="s">
        <v>770</v>
      </c>
      <c r="E201" s="92" t="s">
        <v>3437</v>
      </c>
      <c r="F201" s="91" t="s">
        <v>1669</v>
      </c>
      <c r="G201" s="91" t="s">
        <v>615</v>
      </c>
      <c r="H201" s="93" t="s">
        <v>5</v>
      </c>
      <c r="I201" s="92" t="s">
        <v>3327</v>
      </c>
      <c r="J201" s="92">
        <v>9440996501</v>
      </c>
      <c r="K201" s="92" t="s">
        <v>1613</v>
      </c>
      <c r="L201" s="67"/>
      <c r="M201" s="67"/>
      <c r="N201" s="67"/>
      <c r="O201" s="67"/>
    </row>
    <row r="202" spans="1:15" ht="75">
      <c r="A202" s="91" t="s">
        <v>7</v>
      </c>
      <c r="B202" s="92" t="s">
        <v>7</v>
      </c>
      <c r="C202" s="92" t="str">
        <f ca="1">IFERROR(__xludf.DUMMYFUNCTION("filter('Back End'!C:C,'Back End'!A:A=A202,'Back End'!B:B=B202,'Back End'!D:D=D202)"),"L Kothuru")</f>
        <v>L Kothuru</v>
      </c>
      <c r="D202" s="91" t="s">
        <v>770</v>
      </c>
      <c r="E202" s="92" t="s">
        <v>3438</v>
      </c>
      <c r="F202" s="91" t="s">
        <v>139</v>
      </c>
      <c r="G202" s="91" t="s">
        <v>594</v>
      </c>
      <c r="H202" s="93" t="s">
        <v>5</v>
      </c>
      <c r="I202" s="92" t="s">
        <v>3439</v>
      </c>
      <c r="J202" s="67"/>
      <c r="K202" s="92" t="s">
        <v>1608</v>
      </c>
      <c r="L202" s="67"/>
      <c r="M202" s="67"/>
      <c r="N202" s="67"/>
      <c r="O202" s="67"/>
    </row>
    <row r="203" spans="1:15" ht="45">
      <c r="A203" s="91" t="s">
        <v>7</v>
      </c>
      <c r="B203" s="92" t="s">
        <v>7</v>
      </c>
      <c r="C203" s="92" t="str">
        <f ca="1">IFERROR(__xludf.DUMMYFUNCTION("filter('Back End'!C:C,'Back End'!A:A=A203,'Back End'!B:B=B203,'Back End'!D:D=D203)"),"L Kothuru")</f>
        <v>L Kothuru</v>
      </c>
      <c r="D203" s="91" t="s">
        <v>770</v>
      </c>
      <c r="E203" s="92" t="s">
        <v>3440</v>
      </c>
      <c r="F203" s="91" t="s">
        <v>139</v>
      </c>
      <c r="G203" s="91" t="s">
        <v>594</v>
      </c>
      <c r="H203" s="93" t="s">
        <v>4</v>
      </c>
      <c r="I203" s="92" t="s">
        <v>3327</v>
      </c>
      <c r="J203" s="92">
        <v>950505788</v>
      </c>
      <c r="K203" s="92" t="s">
        <v>1598</v>
      </c>
      <c r="L203" s="67"/>
      <c r="M203" s="67"/>
      <c r="N203" s="67"/>
      <c r="O203" s="67"/>
    </row>
    <row r="204" spans="1:15" ht="30">
      <c r="A204" s="91" t="s">
        <v>7</v>
      </c>
      <c r="B204" s="92" t="s">
        <v>7</v>
      </c>
      <c r="C204" s="92" t="str">
        <f ca="1">IFERROR(__xludf.DUMMYFUNCTION("filter('Back End'!C:C,'Back End'!A:A=A204,'Back End'!B:B=B204,'Back End'!D:D=D204)"),"L Kothuru")</f>
        <v>L Kothuru</v>
      </c>
      <c r="D204" s="91" t="s">
        <v>770</v>
      </c>
      <c r="E204" s="92" t="s">
        <v>3441</v>
      </c>
      <c r="F204" s="91" t="s">
        <v>114</v>
      </c>
      <c r="G204" s="91" t="s">
        <v>85</v>
      </c>
      <c r="H204" s="93" t="s">
        <v>4</v>
      </c>
      <c r="I204" s="92" t="s">
        <v>3327</v>
      </c>
      <c r="J204" s="67"/>
      <c r="K204" s="92" t="s">
        <v>1603</v>
      </c>
      <c r="L204" s="67"/>
      <c r="M204" s="67"/>
      <c r="N204" s="67"/>
      <c r="O204" s="67"/>
    </row>
    <row r="205" spans="1:15" ht="30">
      <c r="A205" s="91" t="s">
        <v>7</v>
      </c>
      <c r="B205" s="92" t="s">
        <v>7</v>
      </c>
      <c r="C205" s="92" t="str">
        <f ca="1">IFERROR(__xludf.DUMMYFUNCTION("filter('Back End'!C:C,'Back End'!A:A=A205,'Back End'!B:B=B205,'Back End'!D:D=D205)"),"L Kothuru")</f>
        <v>L Kothuru</v>
      </c>
      <c r="D205" s="91" t="s">
        <v>770</v>
      </c>
      <c r="E205" s="92" t="s">
        <v>3442</v>
      </c>
      <c r="F205" s="91" t="s">
        <v>165</v>
      </c>
      <c r="G205" s="91" t="s">
        <v>615</v>
      </c>
      <c r="H205" s="93" t="s">
        <v>4</v>
      </c>
      <c r="I205" s="92" t="s">
        <v>3443</v>
      </c>
      <c r="J205" s="67"/>
      <c r="K205" s="92" t="s">
        <v>1603</v>
      </c>
      <c r="L205" s="67"/>
      <c r="M205" s="67"/>
      <c r="N205" s="67"/>
      <c r="O205" s="67"/>
    </row>
    <row r="206" spans="1:15" ht="30">
      <c r="A206" s="91" t="s">
        <v>7</v>
      </c>
      <c r="B206" s="92" t="s">
        <v>7</v>
      </c>
      <c r="C206" s="92" t="str">
        <f ca="1">IFERROR(__xludf.DUMMYFUNCTION("filter('Back End'!C:C,'Back End'!A:A=A206,'Back End'!B:B=B206,'Back End'!D:D=D206)"),"L Kothuru")</f>
        <v>L Kothuru</v>
      </c>
      <c r="D206" s="91" t="s">
        <v>770</v>
      </c>
      <c r="E206" s="92" t="s">
        <v>3444</v>
      </c>
      <c r="F206" s="91" t="s">
        <v>586</v>
      </c>
      <c r="G206" s="91" t="s">
        <v>615</v>
      </c>
      <c r="H206" s="93" t="s">
        <v>4</v>
      </c>
      <c r="I206" s="92" t="s">
        <v>3445</v>
      </c>
      <c r="J206" s="67"/>
      <c r="K206" s="67"/>
      <c r="L206" s="67"/>
      <c r="M206" s="67"/>
      <c r="N206" s="67"/>
      <c r="O206" s="67"/>
    </row>
    <row r="207" spans="1:15" ht="30">
      <c r="A207" s="91" t="s">
        <v>7</v>
      </c>
      <c r="B207" s="92" t="s">
        <v>7</v>
      </c>
      <c r="C207" s="92" t="str">
        <f ca="1">IFERROR(__xludf.DUMMYFUNCTION("filter('Back End'!C:C,'Back End'!A:A=A207,'Back End'!B:B=B207,'Back End'!D:D=D207)"),"L Kothuru")</f>
        <v>L Kothuru</v>
      </c>
      <c r="D207" s="91" t="s">
        <v>770</v>
      </c>
      <c r="E207" s="92" t="s">
        <v>3446</v>
      </c>
      <c r="F207" s="67"/>
      <c r="G207" s="67"/>
      <c r="H207" s="93" t="s">
        <v>4</v>
      </c>
      <c r="I207" s="67"/>
      <c r="J207" s="92">
        <v>91822553166</v>
      </c>
      <c r="K207" s="92" t="s">
        <v>1608</v>
      </c>
      <c r="L207" s="108"/>
      <c r="M207" s="67"/>
      <c r="N207" s="67"/>
      <c r="O207" s="67"/>
    </row>
    <row r="208" spans="1:15" ht="30">
      <c r="A208" s="91" t="s">
        <v>7</v>
      </c>
      <c r="B208" s="92" t="s">
        <v>7</v>
      </c>
      <c r="C208" s="92" t="str">
        <f ca="1">IFERROR(__xludf.DUMMYFUNCTION("filter('Back End'!C:C,'Back End'!A:A=A208,'Back End'!B:B=B208,'Back End'!D:D=D208)"),"L Kothuru")</f>
        <v>L Kothuru</v>
      </c>
      <c r="D208" s="91" t="s">
        <v>770</v>
      </c>
      <c r="E208" s="92" t="s">
        <v>3447</v>
      </c>
      <c r="F208" s="91" t="s">
        <v>467</v>
      </c>
      <c r="G208" s="91" t="s">
        <v>85</v>
      </c>
      <c r="H208" s="93" t="s">
        <v>5</v>
      </c>
      <c r="I208" s="92" t="s">
        <v>3448</v>
      </c>
      <c r="J208" s="92">
        <v>91822553166</v>
      </c>
      <c r="K208" s="67"/>
      <c r="L208" s="67"/>
      <c r="M208" s="67"/>
      <c r="N208" s="67"/>
      <c r="O208" s="67"/>
    </row>
    <row r="209" spans="1:15" ht="45">
      <c r="A209" s="91" t="s">
        <v>7</v>
      </c>
      <c r="B209" s="92" t="s">
        <v>7</v>
      </c>
      <c r="C209" s="92" t="str">
        <f ca="1">IFERROR(__xludf.DUMMYFUNCTION("filter('Back End'!C:C,'Back End'!A:A=A209,'Back End'!B:B=B209,'Back End'!D:D=D209)"),"L Kothuru")</f>
        <v>L Kothuru</v>
      </c>
      <c r="D209" s="91" t="s">
        <v>770</v>
      </c>
      <c r="E209" s="92" t="s">
        <v>3449</v>
      </c>
      <c r="F209" s="91" t="s">
        <v>586</v>
      </c>
      <c r="G209" s="91" t="s">
        <v>615</v>
      </c>
      <c r="H209" s="93" t="s">
        <v>4</v>
      </c>
      <c r="I209" s="92" t="s">
        <v>3115</v>
      </c>
      <c r="J209" s="92">
        <v>9912282310</v>
      </c>
      <c r="K209" s="67"/>
      <c r="L209" s="67"/>
      <c r="M209" s="67"/>
      <c r="N209" s="67"/>
      <c r="O209" s="67"/>
    </row>
    <row r="210" spans="1:15" ht="45">
      <c r="A210" s="91" t="s">
        <v>7</v>
      </c>
      <c r="B210" s="92" t="s">
        <v>7</v>
      </c>
      <c r="C210" s="92" t="str">
        <f ca="1">IFERROR(__xludf.DUMMYFUNCTION("filter('Back End'!C:C,'Back End'!A:A=A210,'Back End'!B:B=B210,'Back End'!D:D=D210)"),"L Kothuru")</f>
        <v>L Kothuru</v>
      </c>
      <c r="D210" s="91" t="s">
        <v>770</v>
      </c>
      <c r="E210" s="92" t="s">
        <v>3450</v>
      </c>
      <c r="F210" s="91" t="s">
        <v>114</v>
      </c>
      <c r="G210" s="91" t="s">
        <v>85</v>
      </c>
      <c r="H210" s="93" t="s">
        <v>5</v>
      </c>
      <c r="I210" s="92" t="s">
        <v>3451</v>
      </c>
      <c r="J210" s="92">
        <v>8639292724</v>
      </c>
      <c r="K210" s="67"/>
      <c r="L210" s="67"/>
      <c r="M210" s="67"/>
      <c r="N210" s="67"/>
      <c r="O210" s="67"/>
    </row>
    <row r="211" spans="1:15" ht="30">
      <c r="A211" s="91" t="s">
        <v>8</v>
      </c>
      <c r="B211" s="92" t="s">
        <v>8</v>
      </c>
      <c r="C211" s="92" t="str">
        <f ca="1">IFERROR(__xludf.DUMMYFUNCTION("filter('Back End'!C:C,'Back End'!A:A=A211,'Back End'!B:B=B211,'Back End'!D:D=D211)"),"Rowthulapalem")</f>
        <v>Rowthulapalem</v>
      </c>
      <c r="D211" s="91" t="s">
        <v>569</v>
      </c>
      <c r="E211" s="92" t="s">
        <v>3452</v>
      </c>
      <c r="F211" s="91" t="s">
        <v>139</v>
      </c>
      <c r="G211" s="91" t="s">
        <v>594</v>
      </c>
      <c r="H211" s="93" t="s">
        <v>4</v>
      </c>
      <c r="I211" s="92" t="s">
        <v>3453</v>
      </c>
      <c r="J211" s="67"/>
      <c r="K211" s="67"/>
      <c r="L211" s="67"/>
      <c r="M211" s="67"/>
      <c r="N211" s="67"/>
      <c r="O211" s="67"/>
    </row>
    <row r="212" spans="1:15" ht="45">
      <c r="A212" s="91" t="s">
        <v>8</v>
      </c>
      <c r="B212" s="92" t="s">
        <v>8</v>
      </c>
      <c r="C212" s="92" t="str">
        <f ca="1">IFERROR(__xludf.DUMMYFUNCTION("filter('Back End'!C:C,'Back End'!A:A=A212,'Back End'!B:B=B212,'Back End'!D:D=D212)"),"Rowthulapalem")</f>
        <v>Rowthulapalem</v>
      </c>
      <c r="D212" s="91" t="s">
        <v>569</v>
      </c>
      <c r="E212" s="92" t="s">
        <v>3454</v>
      </c>
      <c r="F212" s="91" t="s">
        <v>139</v>
      </c>
      <c r="G212" s="91" t="s">
        <v>594</v>
      </c>
      <c r="H212" s="93" t="s">
        <v>5</v>
      </c>
      <c r="I212" s="92" t="s">
        <v>3453</v>
      </c>
      <c r="J212" s="92">
        <v>8106963741</v>
      </c>
      <c r="K212" s="67"/>
      <c r="L212" s="67"/>
      <c r="M212" s="92" t="s">
        <v>3455</v>
      </c>
      <c r="N212" s="67"/>
      <c r="O212" s="67"/>
    </row>
    <row r="213" spans="1:15" ht="30">
      <c r="A213" s="91" t="s">
        <v>7</v>
      </c>
      <c r="B213" s="92" t="s">
        <v>706</v>
      </c>
      <c r="C213" s="92" t="str">
        <f ca="1">IFERROR(__xludf.DUMMYFUNCTION("filter('Back End'!C:C,'Back End'!A:A=A213,'Back End'!B:B=B213,'Back End'!D:D=D213)"),"Gollamusalayyapeta")</f>
        <v>Gollamusalayyapeta</v>
      </c>
      <c r="D213" s="91" t="s">
        <v>716</v>
      </c>
      <c r="E213" s="92" t="s">
        <v>3456</v>
      </c>
      <c r="F213" s="91" t="s">
        <v>165</v>
      </c>
      <c r="G213" s="91" t="s">
        <v>615</v>
      </c>
      <c r="H213" s="93" t="s">
        <v>5</v>
      </c>
      <c r="I213" s="92" t="s">
        <v>3453</v>
      </c>
      <c r="J213" s="92">
        <v>9963062378</v>
      </c>
      <c r="K213" s="92" t="s">
        <v>1608</v>
      </c>
      <c r="L213" s="92" t="s">
        <v>3218</v>
      </c>
      <c r="M213" s="67"/>
      <c r="N213" s="67"/>
      <c r="O213" s="67"/>
    </row>
    <row r="214" spans="1:15" ht="30">
      <c r="A214" s="91" t="s">
        <v>7</v>
      </c>
      <c r="B214" s="92" t="s">
        <v>706</v>
      </c>
      <c r="C214" s="92" t="str">
        <f ca="1">IFERROR(__xludf.DUMMYFUNCTION("filter('Back End'!C:C,'Back End'!A:A=A214,'Back End'!B:B=B214,'Back End'!D:D=D214)"),"Gollamusalayyapeta")</f>
        <v>Gollamusalayyapeta</v>
      </c>
      <c r="D214" s="91" t="s">
        <v>716</v>
      </c>
      <c r="E214" s="92" t="s">
        <v>3457</v>
      </c>
      <c r="F214" s="91" t="s">
        <v>165</v>
      </c>
      <c r="G214" s="91" t="s">
        <v>615</v>
      </c>
      <c r="H214" s="93" t="s">
        <v>5</v>
      </c>
      <c r="I214" s="92" t="s">
        <v>3185</v>
      </c>
      <c r="J214" s="92">
        <v>9182548516</v>
      </c>
      <c r="K214" s="92" t="s">
        <v>1613</v>
      </c>
      <c r="L214" s="92" t="s">
        <v>3458</v>
      </c>
      <c r="M214" s="67"/>
      <c r="N214" s="67"/>
      <c r="O214" s="67"/>
    </row>
    <row r="215" spans="1:15" ht="30">
      <c r="A215" s="91" t="s">
        <v>7</v>
      </c>
      <c r="B215" s="92" t="s">
        <v>706</v>
      </c>
      <c r="C215" s="92" t="str">
        <f ca="1">IFERROR(__xludf.DUMMYFUNCTION("filter('Back End'!C:C,'Back End'!A:A=A215,'Back End'!B:B=B215,'Back End'!D:D=D215)"),"Gollamusalayyapeta")</f>
        <v>Gollamusalayyapeta</v>
      </c>
      <c r="D215" s="91" t="s">
        <v>716</v>
      </c>
      <c r="E215" s="92" t="s">
        <v>3459</v>
      </c>
      <c r="F215" s="91" t="s">
        <v>165</v>
      </c>
      <c r="G215" s="91" t="s">
        <v>615</v>
      </c>
      <c r="H215" s="93" t="s">
        <v>4</v>
      </c>
      <c r="I215" s="92" t="s">
        <v>3112</v>
      </c>
      <c r="J215" s="92">
        <v>9346729248</v>
      </c>
      <c r="K215" s="92" t="s">
        <v>1598</v>
      </c>
      <c r="L215" s="92">
        <v>100</v>
      </c>
      <c r="M215" s="67"/>
      <c r="N215" s="67"/>
      <c r="O215" s="67"/>
    </row>
    <row r="216" spans="1:15" ht="30">
      <c r="A216" s="91" t="s">
        <v>7</v>
      </c>
      <c r="B216" s="91" t="s">
        <v>706</v>
      </c>
      <c r="C216" s="92" t="str">
        <f ca="1">IFERROR(__xludf.DUMMYFUNCTION("filter('Back End'!C:C,'Back End'!A:A=A216,'Back End'!B:B=B216,'Back End'!D:D=D216)"),"Gollamusalayyapeta")</f>
        <v>Gollamusalayyapeta</v>
      </c>
      <c r="D216" s="91" t="s">
        <v>716</v>
      </c>
      <c r="E216" s="91" t="s">
        <v>3460</v>
      </c>
      <c r="F216" s="91" t="s">
        <v>165</v>
      </c>
      <c r="G216" s="91" t="s">
        <v>615</v>
      </c>
      <c r="H216" s="93" t="s">
        <v>5</v>
      </c>
      <c r="I216" s="92" t="s">
        <v>3461</v>
      </c>
      <c r="J216" s="92">
        <v>9550380987</v>
      </c>
      <c r="K216" s="67"/>
      <c r="L216" s="67"/>
      <c r="M216" s="67"/>
      <c r="N216" s="67"/>
      <c r="O216" s="67"/>
    </row>
    <row r="217" spans="1:15" ht="30">
      <c r="A217" s="91" t="s">
        <v>7</v>
      </c>
      <c r="B217" s="91" t="s">
        <v>706</v>
      </c>
      <c r="C217" s="92" t="str">
        <f ca="1">IFERROR(__xludf.DUMMYFUNCTION("filter('Back End'!C:C,'Back End'!A:A=A217,'Back End'!B:B=B217,'Back End'!D:D=D217)"),"Gollamusalayyapeta")</f>
        <v>Gollamusalayyapeta</v>
      </c>
      <c r="D217" s="91" t="s">
        <v>716</v>
      </c>
      <c r="E217" s="91" t="s">
        <v>3462</v>
      </c>
      <c r="F217" s="91" t="s">
        <v>165</v>
      </c>
      <c r="G217" s="91" t="s">
        <v>615</v>
      </c>
      <c r="H217" s="93" t="s">
        <v>5</v>
      </c>
      <c r="I217" s="92" t="s">
        <v>3463</v>
      </c>
      <c r="J217" s="92">
        <v>9963783268</v>
      </c>
      <c r="K217" s="67"/>
      <c r="L217" s="67"/>
      <c r="M217" s="67"/>
      <c r="N217" s="67"/>
      <c r="O217" s="67"/>
    </row>
    <row r="218" spans="1:15" ht="30">
      <c r="A218" s="91" t="s">
        <v>7</v>
      </c>
      <c r="B218" s="91" t="s">
        <v>706</v>
      </c>
      <c r="C218" s="92" t="str">
        <f ca="1">IFERROR(__xludf.DUMMYFUNCTION("filter('Back End'!C:C,'Back End'!A:A=A218,'Back End'!B:B=B218,'Back End'!D:D=D218)"),"Gollamusalayyapeta")</f>
        <v>Gollamusalayyapeta</v>
      </c>
      <c r="D218" s="91" t="s">
        <v>716</v>
      </c>
      <c r="E218" s="91" t="s">
        <v>3464</v>
      </c>
      <c r="F218" s="91" t="s">
        <v>165</v>
      </c>
      <c r="G218" s="91" t="s">
        <v>615</v>
      </c>
      <c r="H218" s="93" t="s">
        <v>4</v>
      </c>
      <c r="I218" s="92" t="s">
        <v>3112</v>
      </c>
      <c r="J218" s="92">
        <v>9866386471</v>
      </c>
      <c r="K218" s="67"/>
      <c r="L218" s="67"/>
      <c r="M218" s="67"/>
      <c r="N218" s="67"/>
      <c r="O218" s="67"/>
    </row>
    <row r="219" spans="1:15" ht="30">
      <c r="A219" s="91" t="s">
        <v>7</v>
      </c>
      <c r="B219" s="91" t="s">
        <v>706</v>
      </c>
      <c r="C219" s="92" t="str">
        <f ca="1">IFERROR(__xludf.DUMMYFUNCTION("filter('Back End'!C:C,'Back End'!A:A=A219,'Back End'!B:B=B219,'Back End'!D:D=D219)"),"Gollamusalayyapeta")</f>
        <v>Gollamusalayyapeta</v>
      </c>
      <c r="D219" s="91" t="s">
        <v>716</v>
      </c>
      <c r="E219" s="91" t="s">
        <v>3465</v>
      </c>
      <c r="F219" s="91" t="s">
        <v>288</v>
      </c>
      <c r="G219" s="91" t="s">
        <v>615</v>
      </c>
      <c r="H219" s="93" t="s">
        <v>4</v>
      </c>
      <c r="I219" s="92" t="s">
        <v>3164</v>
      </c>
      <c r="J219" s="92">
        <v>9963593843</v>
      </c>
      <c r="K219" s="67"/>
      <c r="L219" s="67"/>
      <c r="M219" s="67"/>
      <c r="N219" s="67"/>
      <c r="O219" s="67"/>
    </row>
    <row r="220" spans="1:15" ht="45">
      <c r="A220" s="109" t="s">
        <v>7</v>
      </c>
      <c r="B220" s="110" t="s">
        <v>706</v>
      </c>
      <c r="C220" s="92" t="str">
        <f ca="1">IFERROR(__xludf.DUMMYFUNCTION("filter('Back End'!C:C,'Back End'!A:A=A220,'Back End'!B:B=B220,'Back End'!D:D=D220)"),"Gollamusalayyapeta")</f>
        <v>Gollamusalayyapeta</v>
      </c>
      <c r="D220" s="91" t="s">
        <v>716</v>
      </c>
      <c r="E220" s="91" t="s">
        <v>3466</v>
      </c>
      <c r="F220" s="91" t="s">
        <v>165</v>
      </c>
      <c r="G220" s="91" t="s">
        <v>615</v>
      </c>
      <c r="H220" s="93" t="s">
        <v>5</v>
      </c>
      <c r="I220" s="92" t="s">
        <v>3467</v>
      </c>
      <c r="J220" s="67"/>
      <c r="K220" s="67"/>
      <c r="L220" s="67"/>
      <c r="M220" s="67"/>
      <c r="N220" s="67"/>
      <c r="O220" s="67"/>
    </row>
    <row r="221" spans="1:15" ht="30">
      <c r="A221" s="109" t="s">
        <v>7</v>
      </c>
      <c r="B221" s="110" t="s">
        <v>706</v>
      </c>
      <c r="C221" s="92" t="str">
        <f ca="1">IFERROR(__xludf.DUMMYFUNCTION("filter('Back End'!C:C,'Back End'!A:A=A221,'Back End'!B:B=B221,'Back End'!D:D=D221)"),"Gollamusalayyapeta")</f>
        <v>Gollamusalayyapeta</v>
      </c>
      <c r="D221" s="91" t="s">
        <v>716</v>
      </c>
      <c r="E221" s="91" t="s">
        <v>3468</v>
      </c>
      <c r="F221" s="91" t="s">
        <v>165</v>
      </c>
      <c r="G221" s="91" t="s">
        <v>615</v>
      </c>
      <c r="H221" s="93" t="s">
        <v>5</v>
      </c>
      <c r="I221" s="92" t="s">
        <v>3469</v>
      </c>
      <c r="J221" s="92">
        <v>9177080668</v>
      </c>
      <c r="K221" s="67"/>
      <c r="L221" s="67"/>
      <c r="M221" s="67"/>
      <c r="N221" s="67"/>
      <c r="O221" s="67"/>
    </row>
    <row r="222" spans="1:15" ht="30">
      <c r="A222" s="109" t="s">
        <v>7</v>
      </c>
      <c r="B222" s="110" t="s">
        <v>706</v>
      </c>
      <c r="C222" s="92" t="str">
        <f ca="1">IFERROR(__xludf.DUMMYFUNCTION("filter('Back End'!C:C,'Back End'!A:A=A222,'Back End'!B:B=B222,'Back End'!D:D=D222)"),"Gollamusalayyapeta")</f>
        <v>Gollamusalayyapeta</v>
      </c>
      <c r="D222" s="91" t="s">
        <v>716</v>
      </c>
      <c r="E222" s="91" t="s">
        <v>3470</v>
      </c>
      <c r="F222" s="91" t="s">
        <v>165</v>
      </c>
      <c r="G222" s="91" t="s">
        <v>615</v>
      </c>
      <c r="H222" s="93" t="s">
        <v>4</v>
      </c>
      <c r="I222" s="92" t="s">
        <v>3115</v>
      </c>
      <c r="J222" s="91">
        <v>9949130899</v>
      </c>
      <c r="K222" s="67"/>
      <c r="L222" s="67"/>
      <c r="M222" s="67"/>
      <c r="N222" s="67"/>
      <c r="O222" s="67"/>
    </row>
    <row r="223" spans="1:15" ht="30">
      <c r="A223" s="109" t="s">
        <v>7</v>
      </c>
      <c r="B223" s="110" t="s">
        <v>706</v>
      </c>
      <c r="C223" s="92" t="str">
        <f ca="1">IFERROR(__xludf.DUMMYFUNCTION("filter('Back End'!C:C,'Back End'!A:A=A223,'Back End'!B:B=B223,'Back End'!D:D=D223)"),"Gollamusalayyapeta")</f>
        <v>Gollamusalayyapeta</v>
      </c>
      <c r="D223" s="91" t="s">
        <v>716</v>
      </c>
      <c r="E223" s="91" t="s">
        <v>3471</v>
      </c>
      <c r="F223" s="91" t="s">
        <v>165</v>
      </c>
      <c r="G223" s="91" t="s">
        <v>615</v>
      </c>
      <c r="H223" s="93" t="s">
        <v>4</v>
      </c>
      <c r="I223" s="92" t="s">
        <v>3395</v>
      </c>
      <c r="J223" s="67"/>
      <c r="K223" s="67"/>
      <c r="L223" s="67"/>
      <c r="M223" s="67"/>
      <c r="N223" s="67"/>
      <c r="O223" s="67"/>
    </row>
    <row r="224" spans="1:15" ht="30">
      <c r="A224" s="109" t="s">
        <v>7</v>
      </c>
      <c r="B224" s="110" t="s">
        <v>706</v>
      </c>
      <c r="C224" s="92" t="str">
        <f ca="1">IFERROR(__xludf.DUMMYFUNCTION("filter('Back End'!C:C,'Back End'!A:A=A224,'Back End'!B:B=B224,'Back End'!D:D=D224)"),"Gollamusalayyapeta")</f>
        <v>Gollamusalayyapeta</v>
      </c>
      <c r="D224" s="91" t="s">
        <v>716</v>
      </c>
      <c r="E224" s="91" t="s">
        <v>3472</v>
      </c>
      <c r="F224" s="91" t="s">
        <v>288</v>
      </c>
      <c r="G224" s="91" t="s">
        <v>615</v>
      </c>
      <c r="H224" s="93" t="s">
        <v>4</v>
      </c>
      <c r="I224" s="92" t="s">
        <v>3473</v>
      </c>
      <c r="J224" s="67"/>
      <c r="K224" s="67"/>
      <c r="L224" s="67"/>
      <c r="M224" s="67"/>
      <c r="N224" s="67"/>
      <c r="O224" s="67"/>
    </row>
    <row r="225" spans="1:15" ht="60">
      <c r="A225" s="91" t="s">
        <v>8</v>
      </c>
      <c r="B225" s="92" t="s">
        <v>587</v>
      </c>
      <c r="C225" s="92" t="str">
        <f ca="1">IFERROR(__xludf.DUMMYFUNCTION("filter('Back End'!C:C,'Back End'!A:A=A225,'Back End'!B:B=B225,'Back End'!D:D=D225)"),"Gummaregula")</f>
        <v>Gummaregula</v>
      </c>
      <c r="D225" s="91" t="s">
        <v>604</v>
      </c>
      <c r="E225" s="92" t="s">
        <v>3474</v>
      </c>
      <c r="F225" s="91" t="s">
        <v>136</v>
      </c>
      <c r="G225" s="91" t="s">
        <v>615</v>
      </c>
      <c r="H225" s="93" t="s">
        <v>5</v>
      </c>
      <c r="I225" s="92" t="s">
        <v>3475</v>
      </c>
      <c r="J225" s="92">
        <v>9505161571</v>
      </c>
      <c r="K225" s="92" t="s">
        <v>1608</v>
      </c>
      <c r="L225" s="92" t="s">
        <v>3476</v>
      </c>
      <c r="M225" s="67"/>
      <c r="N225" s="67"/>
      <c r="O225" s="67"/>
    </row>
    <row r="226" spans="1:15" ht="45">
      <c r="A226" s="91" t="s">
        <v>8</v>
      </c>
      <c r="B226" s="92" t="s">
        <v>587</v>
      </c>
      <c r="C226" s="92" t="str">
        <f ca="1">IFERROR(__xludf.DUMMYFUNCTION("filter('Back End'!C:C,'Back End'!A:A=A226,'Back End'!B:B=B226,'Back End'!D:D=D226)"),"Gummaregula")</f>
        <v>Gummaregula</v>
      </c>
      <c r="D226" s="91" t="s">
        <v>604</v>
      </c>
      <c r="E226" s="92" t="s">
        <v>3477</v>
      </c>
      <c r="F226" s="91" t="s">
        <v>136</v>
      </c>
      <c r="G226" s="91" t="s">
        <v>615</v>
      </c>
      <c r="H226" s="93" t="s">
        <v>4</v>
      </c>
      <c r="I226" s="92" t="s">
        <v>3478</v>
      </c>
      <c r="J226" s="92">
        <v>9989076638</v>
      </c>
      <c r="K226" s="92" t="s">
        <v>1608</v>
      </c>
      <c r="L226" s="92" t="s">
        <v>3479</v>
      </c>
      <c r="M226" s="67"/>
      <c r="N226" s="67"/>
      <c r="O226" s="67"/>
    </row>
    <row r="227" spans="1:15" ht="45">
      <c r="A227" s="91" t="s">
        <v>8</v>
      </c>
      <c r="B227" s="92" t="s">
        <v>587</v>
      </c>
      <c r="C227" s="92" t="str">
        <f ca="1">IFERROR(__xludf.DUMMYFUNCTION("filter('Back End'!C:C,'Back End'!A:A=A227,'Back End'!B:B=B227,'Back End'!D:D=D227)"),"Gummaregula")</f>
        <v>Gummaregula</v>
      </c>
      <c r="D227" s="91" t="s">
        <v>604</v>
      </c>
      <c r="E227" s="92" t="s">
        <v>3480</v>
      </c>
      <c r="F227" s="91" t="s">
        <v>139</v>
      </c>
      <c r="G227" s="91" t="s">
        <v>594</v>
      </c>
      <c r="H227" s="93" t="s">
        <v>5</v>
      </c>
      <c r="I227" s="92" t="s">
        <v>3481</v>
      </c>
      <c r="J227" s="92" t="s">
        <v>2631</v>
      </c>
      <c r="K227" s="92" t="s">
        <v>1603</v>
      </c>
      <c r="L227" s="67"/>
      <c r="M227" s="67"/>
      <c r="N227" s="67"/>
      <c r="O227" s="67"/>
    </row>
    <row r="228" spans="1:15" ht="60">
      <c r="A228" s="91" t="s">
        <v>8</v>
      </c>
      <c r="B228" s="92" t="s">
        <v>587</v>
      </c>
      <c r="C228" s="92" t="str">
        <f ca="1">IFERROR(__xludf.DUMMYFUNCTION("filter('Back End'!C:C,'Back End'!A:A=A228,'Back End'!B:B=B228,'Back End'!D:D=D228)"),"Gummaregula")</f>
        <v>Gummaregula</v>
      </c>
      <c r="D228" s="91" t="s">
        <v>604</v>
      </c>
      <c r="E228" s="92" t="s">
        <v>3482</v>
      </c>
      <c r="F228" s="91" t="s">
        <v>139</v>
      </c>
      <c r="G228" s="91" t="s">
        <v>594</v>
      </c>
      <c r="H228" s="95"/>
      <c r="I228" s="92" t="s">
        <v>3483</v>
      </c>
      <c r="J228" s="92">
        <v>9100973369</v>
      </c>
      <c r="K228" s="67"/>
      <c r="L228" s="92" t="s">
        <v>3484</v>
      </c>
      <c r="M228" s="67"/>
      <c r="N228" s="67"/>
      <c r="O228" s="67"/>
    </row>
    <row r="229" spans="1:15" ht="30.4">
      <c r="A229" s="91" t="s">
        <v>8</v>
      </c>
      <c r="B229" s="91" t="s">
        <v>587</v>
      </c>
      <c r="C229" s="92" t="str">
        <f ca="1">IFERROR(__xludf.DUMMYFUNCTION("filter('Back End'!C:C,'Back End'!A:A=A229,'Back End'!B:B=B229,'Back End'!D:D=D229)"),"Gummaregula")</f>
        <v>Gummaregula</v>
      </c>
      <c r="D229" s="111" t="s">
        <v>604</v>
      </c>
      <c r="E229" s="91" t="s">
        <v>3485</v>
      </c>
      <c r="F229" s="91" t="s">
        <v>139</v>
      </c>
      <c r="G229" s="91" t="s">
        <v>594</v>
      </c>
      <c r="H229" s="93" t="s">
        <v>4</v>
      </c>
      <c r="I229" s="92" t="s">
        <v>3463</v>
      </c>
      <c r="J229" s="92">
        <v>7013700580</v>
      </c>
      <c r="K229" s="67"/>
      <c r="L229" s="67"/>
      <c r="M229" s="67"/>
      <c r="N229" s="67"/>
      <c r="O229" s="67"/>
    </row>
    <row r="230" spans="1:15" ht="15">
      <c r="A230" s="91" t="s">
        <v>8</v>
      </c>
      <c r="B230" s="91" t="s">
        <v>587</v>
      </c>
      <c r="C230" s="92" t="str">
        <f ca="1">IFERROR(__xludf.DUMMYFUNCTION("filter('Back End'!C:C,'Back End'!A:A=A230,'Back End'!B:B=B230,'Back End'!D:D=D230)"),"Gummaregula")</f>
        <v>Gummaregula</v>
      </c>
      <c r="D230" s="91" t="s">
        <v>604</v>
      </c>
      <c r="E230" s="91" t="s">
        <v>3486</v>
      </c>
      <c r="F230" s="67"/>
      <c r="G230" s="67"/>
      <c r="H230" s="93" t="s">
        <v>4</v>
      </c>
      <c r="I230" s="67"/>
      <c r="J230" s="92">
        <v>9949065892</v>
      </c>
      <c r="K230" s="67"/>
      <c r="L230" s="67"/>
      <c r="M230" s="67"/>
      <c r="N230" s="67"/>
      <c r="O230" s="67"/>
    </row>
    <row r="231" spans="1:15" ht="30">
      <c r="A231" s="92" t="s">
        <v>8</v>
      </c>
      <c r="B231" s="97" t="s">
        <v>587</v>
      </c>
      <c r="C231" s="112" t="str">
        <f ca="1">IFERROR(__xludf.DUMMYFUNCTION("filter('Back End'!C:C,'Back End'!A:A=A231,'Back End'!B:B=B231,'Back End'!D:D=D231)"),"Gummaregula")</f>
        <v>Gummaregula</v>
      </c>
      <c r="D231" s="112" t="s">
        <v>604</v>
      </c>
      <c r="E231" s="92" t="s">
        <v>3487</v>
      </c>
      <c r="F231" s="97" t="s">
        <v>1661</v>
      </c>
      <c r="G231" s="97" t="s">
        <v>615</v>
      </c>
      <c r="H231" s="93" t="s">
        <v>5</v>
      </c>
      <c r="I231" s="97" t="s">
        <v>3185</v>
      </c>
      <c r="J231" s="97">
        <v>9959775848</v>
      </c>
      <c r="K231" s="99"/>
      <c r="L231" s="99"/>
      <c r="M231" s="67"/>
      <c r="N231" s="67"/>
      <c r="O231" s="67"/>
    </row>
    <row r="232" spans="1:15" ht="30">
      <c r="A232" s="91" t="s">
        <v>8</v>
      </c>
      <c r="B232" s="91" t="s">
        <v>587</v>
      </c>
      <c r="C232" s="92" t="str">
        <f ca="1">IFERROR(__xludf.DUMMYFUNCTION("filter('Back End'!C:C,'Back End'!A:A=A232,'Back End'!B:B=B232,'Back End'!D:D=D232)"),"Gummaregula")</f>
        <v>Gummaregula</v>
      </c>
      <c r="D232" s="91" t="s">
        <v>604</v>
      </c>
      <c r="E232" s="91" t="s">
        <v>3488</v>
      </c>
      <c r="F232" s="91" t="s">
        <v>1661</v>
      </c>
      <c r="G232" s="91" t="s">
        <v>615</v>
      </c>
      <c r="H232" s="93" t="s">
        <v>4</v>
      </c>
      <c r="I232" s="92" t="s">
        <v>3463</v>
      </c>
      <c r="J232" s="92">
        <v>9030607085</v>
      </c>
      <c r="K232" s="67"/>
      <c r="L232" s="67"/>
      <c r="M232" s="67"/>
      <c r="N232" s="67"/>
      <c r="O232" s="67"/>
    </row>
    <row r="233" spans="1:15" ht="15">
      <c r="A233" s="91" t="s">
        <v>8</v>
      </c>
      <c r="B233" s="91" t="s">
        <v>587</v>
      </c>
      <c r="C233" s="92" t="str">
        <f ca="1">IFERROR(__xludf.DUMMYFUNCTION("filter('Back End'!C:C,'Back End'!A:A=A233,'Back End'!B:B=B233,'Back End'!D:D=D233)"),"Gummaregula")</f>
        <v>Gummaregula</v>
      </c>
      <c r="D233" s="91" t="s">
        <v>604</v>
      </c>
      <c r="E233" s="91" t="s">
        <v>3489</v>
      </c>
      <c r="F233" s="91" t="s">
        <v>139</v>
      </c>
      <c r="G233" s="91" t="s">
        <v>594</v>
      </c>
      <c r="H233" s="93" t="s">
        <v>5</v>
      </c>
      <c r="I233" s="92" t="s">
        <v>3490</v>
      </c>
      <c r="J233" s="92">
        <v>9849876721</v>
      </c>
      <c r="K233" s="67"/>
      <c r="L233" s="67"/>
      <c r="M233" s="67"/>
      <c r="N233" s="67"/>
      <c r="O233" s="67"/>
    </row>
    <row r="234" spans="1:15" ht="60">
      <c r="A234" s="91" t="s">
        <v>8</v>
      </c>
      <c r="B234" s="91" t="s">
        <v>587</v>
      </c>
      <c r="C234" s="92" t="str">
        <f ca="1">IFERROR(__xludf.DUMMYFUNCTION("filter('Back End'!C:C,'Back End'!A:A=A234,'Back End'!B:B=B234,'Back End'!D:D=D234)"),"Gummaregula")</f>
        <v>Gummaregula</v>
      </c>
      <c r="D234" s="91" t="s">
        <v>604</v>
      </c>
      <c r="E234" s="92" t="s">
        <v>3491</v>
      </c>
      <c r="F234" s="91" t="s">
        <v>595</v>
      </c>
      <c r="G234" s="91" t="s">
        <v>594</v>
      </c>
      <c r="H234" s="93" t="s">
        <v>4</v>
      </c>
      <c r="I234" s="92" t="s">
        <v>3185</v>
      </c>
      <c r="J234" s="92">
        <v>9701168594</v>
      </c>
      <c r="K234" s="67"/>
      <c r="L234" s="67"/>
      <c r="M234" s="67"/>
      <c r="N234" s="67"/>
      <c r="O234" s="67"/>
    </row>
    <row r="235" spans="1:15" ht="45">
      <c r="A235" s="91" t="s">
        <v>8</v>
      </c>
      <c r="B235" s="91" t="s">
        <v>587</v>
      </c>
      <c r="C235" s="92" t="str">
        <f ca="1">IFERROR(__xludf.DUMMYFUNCTION("filter('Back End'!C:C,'Back End'!A:A=A235,'Back End'!B:B=B235,'Back End'!D:D=D235)"),"Gummaregula")</f>
        <v>Gummaregula</v>
      </c>
      <c r="D235" s="91" t="s">
        <v>604</v>
      </c>
      <c r="E235" s="92" t="s">
        <v>3492</v>
      </c>
      <c r="F235" s="91" t="s">
        <v>586</v>
      </c>
      <c r="G235" s="91" t="s">
        <v>615</v>
      </c>
      <c r="H235" s="93" t="s">
        <v>5</v>
      </c>
      <c r="I235" s="92" t="s">
        <v>3493</v>
      </c>
      <c r="J235" s="92">
        <v>9550214810</v>
      </c>
      <c r="K235" s="67"/>
      <c r="L235" s="67"/>
      <c r="M235" s="67"/>
      <c r="N235" s="67"/>
      <c r="O235" s="67"/>
    </row>
    <row r="236" spans="1:15" ht="30">
      <c r="A236" s="91" t="s">
        <v>8</v>
      </c>
      <c r="B236" s="91" t="s">
        <v>587</v>
      </c>
      <c r="C236" s="92" t="str">
        <f ca="1">IFERROR(__xludf.DUMMYFUNCTION("filter('Back End'!C:C,'Back End'!A:A=A236,'Back End'!B:B=B236,'Back End'!D:D=D236)"),"Gummaregula")</f>
        <v>Gummaregula</v>
      </c>
      <c r="D236" s="91" t="s">
        <v>604</v>
      </c>
      <c r="E236" s="92" t="s">
        <v>3494</v>
      </c>
      <c r="F236" s="100" t="s">
        <v>586</v>
      </c>
      <c r="G236" s="100" t="s">
        <v>615</v>
      </c>
      <c r="H236" s="93" t="s">
        <v>5</v>
      </c>
      <c r="I236" s="92" t="s">
        <v>3495</v>
      </c>
      <c r="J236" s="92">
        <v>9393317788</v>
      </c>
      <c r="K236" s="67"/>
      <c r="L236" s="67"/>
      <c r="M236" s="67"/>
      <c r="N236" s="67"/>
      <c r="O236" s="67"/>
    </row>
    <row r="237" spans="1:15" ht="30">
      <c r="A237" s="91" t="s">
        <v>19</v>
      </c>
      <c r="B237" s="92" t="s">
        <v>430</v>
      </c>
      <c r="C237" s="92" t="str">
        <f ca="1">IFERROR(__xludf.DUMMYFUNCTION("filter('Back End'!C:C,'Back End'!A:A=A237,'Back End'!B:B=B237,'Back End'!D:D=D237)"),"#N/A")</f>
        <v>#N/A</v>
      </c>
      <c r="D237" s="91" t="s">
        <v>431</v>
      </c>
      <c r="E237" s="92" t="s">
        <v>3496</v>
      </c>
      <c r="F237" s="91" t="s">
        <v>139</v>
      </c>
      <c r="G237" s="91" t="s">
        <v>594</v>
      </c>
      <c r="H237" s="93" t="s">
        <v>5</v>
      </c>
      <c r="I237" s="92" t="s">
        <v>3185</v>
      </c>
      <c r="J237" s="92">
        <v>9705934446</v>
      </c>
      <c r="K237" s="92" t="s">
        <v>1593</v>
      </c>
      <c r="L237" s="67"/>
      <c r="M237" s="67"/>
      <c r="N237" s="67"/>
      <c r="O237" s="67"/>
    </row>
    <row r="238" spans="1:15" ht="15">
      <c r="A238" s="91" t="s">
        <v>10</v>
      </c>
      <c r="B238" s="91" t="s">
        <v>430</v>
      </c>
      <c r="C238" s="92" t="str">
        <f ca="1">IFERROR(__xludf.DUMMYFUNCTION("filter('Back End'!C:C,'Back End'!A:A=A238,'Back End'!B:B=B238,'Back End'!D:D=D238)"),"A.K.Mallavaram")</f>
        <v>A.K.Mallavaram</v>
      </c>
      <c r="D238" s="91" t="s">
        <v>431</v>
      </c>
      <c r="E238" s="91" t="s">
        <v>3497</v>
      </c>
      <c r="F238" s="91" t="s">
        <v>139</v>
      </c>
      <c r="G238" s="91" t="s">
        <v>594</v>
      </c>
      <c r="H238" s="93" t="s">
        <v>5</v>
      </c>
      <c r="I238" s="92" t="s">
        <v>3498</v>
      </c>
      <c r="J238" s="92">
        <v>9533541818</v>
      </c>
      <c r="K238" s="67"/>
      <c r="L238" s="67"/>
      <c r="M238" s="67"/>
      <c r="N238" s="67"/>
      <c r="O238" s="67"/>
    </row>
    <row r="239" spans="1:15" ht="15">
      <c r="A239" s="91" t="s">
        <v>10</v>
      </c>
      <c r="B239" s="91" t="s">
        <v>430</v>
      </c>
      <c r="C239" s="92" t="str">
        <f ca="1">IFERROR(__xludf.DUMMYFUNCTION("filter('Back End'!C:C,'Back End'!A:A=A239,'Back End'!B:B=B239,'Back End'!D:D=D239)"),"A.K.Mallavaram")</f>
        <v>A.K.Mallavaram</v>
      </c>
      <c r="D239" s="91" t="s">
        <v>431</v>
      </c>
      <c r="E239" s="91" t="s">
        <v>3499</v>
      </c>
      <c r="F239" s="91" t="s">
        <v>595</v>
      </c>
      <c r="G239" s="91" t="s">
        <v>594</v>
      </c>
      <c r="H239" s="93" t="s">
        <v>5</v>
      </c>
      <c r="I239" s="92" t="s">
        <v>3140</v>
      </c>
      <c r="J239" s="92">
        <v>9951566299</v>
      </c>
      <c r="K239" s="67"/>
      <c r="L239" s="67"/>
      <c r="M239" s="67"/>
      <c r="N239" s="67"/>
      <c r="O239" s="67"/>
    </row>
    <row r="240" spans="1:15" ht="30">
      <c r="A240" s="91" t="s">
        <v>10</v>
      </c>
      <c r="B240" s="91" t="s">
        <v>430</v>
      </c>
      <c r="C240" s="92" t="str">
        <f ca="1">IFERROR(__xludf.DUMMYFUNCTION("filter('Back End'!C:C,'Back End'!A:A=A240,'Back End'!B:B=B240,'Back End'!D:D=D240)"),"A.K.Mallavaram")</f>
        <v>A.K.Mallavaram</v>
      </c>
      <c r="D240" s="91" t="s">
        <v>431</v>
      </c>
      <c r="E240" s="91" t="s">
        <v>3500</v>
      </c>
      <c r="F240" s="91" t="s">
        <v>437</v>
      </c>
      <c r="G240" s="91" t="s">
        <v>594</v>
      </c>
      <c r="H240" s="93" t="s">
        <v>5</v>
      </c>
      <c r="I240" s="92" t="s">
        <v>3501</v>
      </c>
      <c r="J240" s="92">
        <v>9948273573</v>
      </c>
      <c r="K240" s="67"/>
      <c r="L240" s="67"/>
      <c r="M240" s="67"/>
      <c r="N240" s="67"/>
      <c r="O240" s="67"/>
    </row>
    <row r="241" spans="1:15" ht="15">
      <c r="A241" s="91" t="s">
        <v>10</v>
      </c>
      <c r="B241" s="91" t="s">
        <v>430</v>
      </c>
      <c r="C241" s="92" t="str">
        <f ca="1">IFERROR(__xludf.DUMMYFUNCTION("filter('Back End'!C:C,'Back End'!A:A=A241,'Back End'!B:B=B241,'Back End'!D:D=D241)"),"A.K.Mallavaram")</f>
        <v>A.K.Mallavaram</v>
      </c>
      <c r="D241" s="91" t="s">
        <v>431</v>
      </c>
      <c r="E241" s="91" t="s">
        <v>3502</v>
      </c>
      <c r="F241" s="91" t="s">
        <v>437</v>
      </c>
      <c r="G241" s="91" t="s">
        <v>594</v>
      </c>
      <c r="H241" s="93" t="s">
        <v>5</v>
      </c>
      <c r="I241" s="67"/>
      <c r="J241" s="92">
        <v>9949524111</v>
      </c>
      <c r="K241" s="67"/>
      <c r="L241" s="67"/>
      <c r="M241" s="67"/>
      <c r="N241" s="67"/>
      <c r="O241" s="67"/>
    </row>
    <row r="242" spans="1:15" ht="15">
      <c r="A242" s="91" t="s">
        <v>10</v>
      </c>
      <c r="B242" s="91" t="s">
        <v>430</v>
      </c>
      <c r="C242" s="92" t="str">
        <f ca="1">IFERROR(__xludf.DUMMYFUNCTION("filter('Back End'!C:C,'Back End'!A:A=A242,'Back End'!B:B=B242,'Back End'!D:D=D242)"),"A.K.Mallavaram")</f>
        <v>A.K.Mallavaram</v>
      </c>
      <c r="D242" s="91" t="s">
        <v>431</v>
      </c>
      <c r="E242" s="91" t="s">
        <v>3503</v>
      </c>
      <c r="F242" s="91" t="s">
        <v>114</v>
      </c>
      <c r="G242" s="91" t="s">
        <v>85</v>
      </c>
      <c r="H242" s="93" t="s">
        <v>5</v>
      </c>
      <c r="I242" s="92" t="s">
        <v>3504</v>
      </c>
      <c r="J242" s="92">
        <v>9989208929</v>
      </c>
      <c r="K242" s="67"/>
      <c r="L242" s="67"/>
      <c r="M242" s="67"/>
      <c r="N242" s="67"/>
      <c r="O242" s="67"/>
    </row>
    <row r="243" spans="1:15" ht="30">
      <c r="A243" s="91" t="s">
        <v>10</v>
      </c>
      <c r="B243" s="91" t="s">
        <v>430</v>
      </c>
      <c r="C243" s="92" t="str">
        <f ca="1">IFERROR(__xludf.DUMMYFUNCTION("filter('Back End'!C:C,'Back End'!A:A=A243,'Back End'!B:B=B243,'Back End'!D:D=D243)"),"A.K.Mallavaram")</f>
        <v>A.K.Mallavaram</v>
      </c>
      <c r="D243" s="91" t="s">
        <v>431</v>
      </c>
      <c r="E243" s="91" t="s">
        <v>3505</v>
      </c>
      <c r="F243" s="91" t="s">
        <v>139</v>
      </c>
      <c r="G243" s="91" t="s">
        <v>594</v>
      </c>
      <c r="H243" s="93" t="s">
        <v>4</v>
      </c>
      <c r="I243" s="92" t="s">
        <v>3506</v>
      </c>
      <c r="J243" s="92">
        <v>9640126744</v>
      </c>
      <c r="K243" s="67"/>
      <c r="L243" s="67"/>
      <c r="M243" s="67"/>
      <c r="N243" s="67"/>
      <c r="O243" s="67"/>
    </row>
    <row r="244" spans="1:15" ht="30">
      <c r="A244" s="91" t="s">
        <v>10</v>
      </c>
      <c r="B244" s="91" t="s">
        <v>430</v>
      </c>
      <c r="C244" s="92" t="str">
        <f ca="1">IFERROR(__xludf.DUMMYFUNCTION("filter('Back End'!C:C,'Back End'!A:A=A244,'Back End'!B:B=B244,'Back End'!D:D=D244)"),"A.K.Mallavaram")</f>
        <v>A.K.Mallavaram</v>
      </c>
      <c r="D244" s="91" t="s">
        <v>431</v>
      </c>
      <c r="E244" s="91" t="s">
        <v>3507</v>
      </c>
      <c r="F244" s="91" t="s">
        <v>139</v>
      </c>
      <c r="G244" s="91" t="s">
        <v>594</v>
      </c>
      <c r="H244" s="93" t="s">
        <v>4</v>
      </c>
      <c r="I244" s="92" t="s">
        <v>3508</v>
      </c>
      <c r="J244" s="92">
        <v>9603955336</v>
      </c>
      <c r="K244" s="67"/>
      <c r="L244" s="67"/>
      <c r="M244" s="67"/>
      <c r="N244" s="67"/>
      <c r="O244" s="67"/>
    </row>
    <row r="245" spans="1:15" ht="30">
      <c r="A245" s="91" t="s">
        <v>10</v>
      </c>
      <c r="B245" s="91" t="s">
        <v>430</v>
      </c>
      <c r="C245" s="92" t="str">
        <f ca="1">IFERROR(__xludf.DUMMYFUNCTION("filter('Back End'!C:C,'Back End'!A:A=A245,'Back End'!B:B=B245,'Back End'!D:D=D245)"),"A.K.Mallavaram")</f>
        <v>A.K.Mallavaram</v>
      </c>
      <c r="D245" s="91" t="s">
        <v>431</v>
      </c>
      <c r="E245" s="91" t="s">
        <v>3509</v>
      </c>
      <c r="F245" s="91" t="s">
        <v>114</v>
      </c>
      <c r="G245" s="91" t="s">
        <v>85</v>
      </c>
      <c r="H245" s="93" t="s">
        <v>4</v>
      </c>
      <c r="I245" s="92" t="s">
        <v>3510</v>
      </c>
      <c r="J245" s="92">
        <v>9908743261</v>
      </c>
      <c r="K245" s="67"/>
      <c r="L245" s="67"/>
      <c r="M245" s="67"/>
      <c r="N245" s="67"/>
      <c r="O245" s="67"/>
    </row>
    <row r="246" spans="1:15" ht="15">
      <c r="A246" s="91" t="s">
        <v>10</v>
      </c>
      <c r="B246" s="91" t="s">
        <v>430</v>
      </c>
      <c r="C246" s="92" t="str">
        <f ca="1">IFERROR(__xludf.DUMMYFUNCTION("filter('Back End'!C:C,'Back End'!A:A=A246,'Back End'!B:B=B246,'Back End'!D:D=D246)"),"A.K.Mallavaram")</f>
        <v>A.K.Mallavaram</v>
      </c>
      <c r="D246" s="91" t="s">
        <v>431</v>
      </c>
      <c r="E246" s="91" t="s">
        <v>3511</v>
      </c>
      <c r="F246" s="91" t="s">
        <v>139</v>
      </c>
      <c r="G246" s="91" t="s">
        <v>594</v>
      </c>
      <c r="H246" s="93" t="s">
        <v>4</v>
      </c>
      <c r="I246" s="92" t="s">
        <v>3125</v>
      </c>
      <c r="J246" s="92">
        <v>9848182879</v>
      </c>
      <c r="K246" s="67"/>
      <c r="L246" s="67"/>
      <c r="M246" s="67"/>
      <c r="N246" s="67"/>
      <c r="O246" s="67"/>
    </row>
    <row r="247" spans="1:15" ht="45">
      <c r="A247" s="91" t="s">
        <v>10</v>
      </c>
      <c r="B247" s="91" t="s">
        <v>430</v>
      </c>
      <c r="C247" s="92" t="str">
        <f ca="1">IFERROR(__xludf.DUMMYFUNCTION("filter('Back End'!C:C,'Back End'!A:A=A247,'Back End'!B:B=B247,'Back End'!D:D=D247)"),"A.K.Mallavaram")</f>
        <v>A.K.Mallavaram</v>
      </c>
      <c r="D247" s="91" t="s">
        <v>431</v>
      </c>
      <c r="E247" s="91" t="s">
        <v>3512</v>
      </c>
      <c r="F247" s="91" t="s">
        <v>595</v>
      </c>
      <c r="G247" s="91" t="s">
        <v>594</v>
      </c>
      <c r="H247" s="93" t="s">
        <v>5</v>
      </c>
      <c r="I247" s="92" t="s">
        <v>3513</v>
      </c>
      <c r="J247" s="92">
        <v>9705934446</v>
      </c>
      <c r="K247" s="67"/>
      <c r="L247" s="67"/>
      <c r="M247" s="67"/>
      <c r="N247" s="67"/>
      <c r="O247" s="67"/>
    </row>
    <row r="248" spans="1:15" ht="15">
      <c r="A248" s="91" t="s">
        <v>10</v>
      </c>
      <c r="B248" s="91" t="s">
        <v>430</v>
      </c>
      <c r="C248" s="92" t="str">
        <f ca="1">IFERROR(__xludf.DUMMYFUNCTION("filter('Back End'!C:C,'Back End'!A:A=A248,'Back End'!B:B=B248,'Back End'!D:D=D248)"),"A.K.Mallavaram")</f>
        <v>A.K.Mallavaram</v>
      </c>
      <c r="D248" s="91" t="s">
        <v>431</v>
      </c>
      <c r="E248" s="91" t="s">
        <v>3514</v>
      </c>
      <c r="F248" s="91" t="s">
        <v>595</v>
      </c>
      <c r="G248" s="91" t="s">
        <v>594</v>
      </c>
      <c r="H248" s="93" t="s">
        <v>5</v>
      </c>
      <c r="I248" s="92" t="s">
        <v>3515</v>
      </c>
      <c r="J248" s="92">
        <v>9705934446</v>
      </c>
      <c r="K248" s="67"/>
      <c r="L248" s="67"/>
      <c r="M248" s="67"/>
      <c r="N248" s="67"/>
      <c r="O248" s="67"/>
    </row>
    <row r="249" spans="1:15" ht="15">
      <c r="A249" s="91" t="s">
        <v>10</v>
      </c>
      <c r="B249" s="91" t="s">
        <v>430</v>
      </c>
      <c r="C249" s="92" t="str">
        <f ca="1">IFERROR(__xludf.DUMMYFUNCTION("filter('Back End'!C:C,'Back End'!A:A=A249,'Back End'!B:B=B249,'Back End'!D:D=D249)"),"A.K.Mallavaram")</f>
        <v>A.K.Mallavaram</v>
      </c>
      <c r="D249" s="91" t="s">
        <v>431</v>
      </c>
      <c r="E249" s="91" t="s">
        <v>3516</v>
      </c>
      <c r="F249" s="91" t="s">
        <v>595</v>
      </c>
      <c r="G249" s="91" t="s">
        <v>594</v>
      </c>
      <c r="H249" s="93" t="s">
        <v>4</v>
      </c>
      <c r="I249" s="92" t="s">
        <v>3517</v>
      </c>
      <c r="J249" s="91">
        <v>9848182879</v>
      </c>
      <c r="K249" s="67"/>
      <c r="L249" s="67"/>
      <c r="M249" s="67"/>
      <c r="N249" s="67"/>
      <c r="O249" s="67"/>
    </row>
    <row r="250" spans="1:15" ht="30">
      <c r="A250" s="91" t="s">
        <v>7</v>
      </c>
      <c r="B250" s="92" t="s">
        <v>7</v>
      </c>
      <c r="C250" s="92" t="str">
        <f ca="1">IFERROR(__xludf.DUMMYFUNCTION("filter('Back End'!C:C,'Back End'!A:A=A250,'Back End'!B:B=B250,'Back End'!D:D=D250)"),"Hamsavaram")</f>
        <v>Hamsavaram</v>
      </c>
      <c r="D250" s="91" t="s">
        <v>761</v>
      </c>
      <c r="E250" s="92" t="s">
        <v>3518</v>
      </c>
      <c r="F250" s="91" t="s">
        <v>94</v>
      </c>
      <c r="G250" s="91" t="s">
        <v>615</v>
      </c>
      <c r="H250" s="93" t="s">
        <v>5</v>
      </c>
      <c r="I250" s="92" t="s">
        <v>3185</v>
      </c>
      <c r="J250" s="92">
        <v>9121456149</v>
      </c>
      <c r="K250" s="67"/>
      <c r="L250" s="67"/>
      <c r="M250" s="67"/>
      <c r="N250" s="67"/>
      <c r="O250" s="67"/>
    </row>
    <row r="251" spans="1:15" ht="30">
      <c r="A251" s="91" t="s">
        <v>7</v>
      </c>
      <c r="B251" s="92" t="s">
        <v>7</v>
      </c>
      <c r="C251" s="92" t="str">
        <f ca="1">IFERROR(__xludf.DUMMYFUNCTION("filter('Back End'!C:C,'Back End'!A:A=A251,'Back End'!B:B=B251,'Back End'!D:D=D251)"),"Hamsavaram")</f>
        <v>Hamsavaram</v>
      </c>
      <c r="D251" s="91" t="s">
        <v>761</v>
      </c>
      <c r="E251" s="92" t="s">
        <v>3519</v>
      </c>
      <c r="F251" s="91" t="s">
        <v>114</v>
      </c>
      <c r="G251" s="91" t="s">
        <v>85</v>
      </c>
      <c r="H251" s="93" t="s">
        <v>5</v>
      </c>
      <c r="I251" s="92" t="s">
        <v>3185</v>
      </c>
      <c r="J251" s="92">
        <v>9618947312</v>
      </c>
      <c r="K251" s="92" t="s">
        <v>1608</v>
      </c>
      <c r="L251" s="67"/>
      <c r="M251" s="67"/>
      <c r="N251" s="67"/>
      <c r="O251" s="67"/>
    </row>
    <row r="252" spans="1:15" ht="30">
      <c r="A252" s="91" t="s">
        <v>7</v>
      </c>
      <c r="B252" s="92" t="s">
        <v>7</v>
      </c>
      <c r="C252" s="92" t="str">
        <f ca="1">IFERROR(__xludf.DUMMYFUNCTION("filter('Back End'!C:C,'Back End'!A:A=A252,'Back End'!B:B=B252,'Back End'!D:D=D252)"),"Hamsavaram")</f>
        <v>Hamsavaram</v>
      </c>
      <c r="D252" s="91" t="s">
        <v>761</v>
      </c>
      <c r="E252" s="91" t="s">
        <v>3520</v>
      </c>
      <c r="F252" s="91" t="s">
        <v>114</v>
      </c>
      <c r="G252" s="91" t="s">
        <v>85</v>
      </c>
      <c r="H252" s="93" t="s">
        <v>5</v>
      </c>
      <c r="I252" s="92" t="s">
        <v>3205</v>
      </c>
      <c r="J252" s="92">
        <v>8688755214</v>
      </c>
      <c r="K252" s="67"/>
      <c r="L252" s="67"/>
      <c r="M252" s="67"/>
      <c r="N252" s="67"/>
      <c r="O252" s="67"/>
    </row>
    <row r="253" spans="1:15" ht="60">
      <c r="A253" s="91" t="s">
        <v>7</v>
      </c>
      <c r="B253" s="91" t="s">
        <v>7</v>
      </c>
      <c r="C253" s="92" t="str">
        <f ca="1">IFERROR(__xludf.DUMMYFUNCTION("filter('Back End'!C:C,'Back End'!A:A=A253,'Back End'!B:B=B253,'Back End'!D:D=D253)"),"Hamsavaram")</f>
        <v>Hamsavaram</v>
      </c>
      <c r="D253" s="91" t="s">
        <v>761</v>
      </c>
      <c r="E253" s="91" t="s">
        <v>3521</v>
      </c>
      <c r="F253" s="91" t="s">
        <v>114</v>
      </c>
      <c r="G253" s="91" t="s">
        <v>85</v>
      </c>
      <c r="H253" s="93" t="s">
        <v>5</v>
      </c>
      <c r="I253" s="92" t="s">
        <v>3522</v>
      </c>
      <c r="J253" s="92">
        <v>9014923984</v>
      </c>
      <c r="K253" s="67"/>
      <c r="L253" s="67"/>
      <c r="M253" s="67"/>
      <c r="N253" s="67"/>
      <c r="O253" s="67"/>
    </row>
    <row r="254" spans="1:15" ht="30">
      <c r="A254" s="91" t="s">
        <v>7</v>
      </c>
      <c r="B254" s="92" t="s">
        <v>7</v>
      </c>
      <c r="C254" s="92" t="str">
        <f ca="1">IFERROR(__xludf.DUMMYFUNCTION("filter('Back End'!C:C,'Back End'!A:A=A254,'Back End'!B:B=B254,'Back End'!D:D=D254)"),"Hamsavaram")</f>
        <v>Hamsavaram</v>
      </c>
      <c r="D254" s="91" t="s">
        <v>761</v>
      </c>
      <c r="E254" s="92" t="s">
        <v>3523</v>
      </c>
      <c r="F254" s="91" t="s">
        <v>165</v>
      </c>
      <c r="G254" s="91" t="s">
        <v>615</v>
      </c>
      <c r="H254" s="93" t="s">
        <v>4</v>
      </c>
      <c r="I254" s="92" t="s">
        <v>3393</v>
      </c>
      <c r="J254" s="92">
        <v>9505757477</v>
      </c>
      <c r="K254" s="92" t="s">
        <v>1598</v>
      </c>
      <c r="L254" s="67"/>
      <c r="M254" s="67"/>
      <c r="N254" s="67"/>
      <c r="O254" s="67"/>
    </row>
    <row r="255" spans="1:15" ht="15">
      <c r="A255" s="91" t="s">
        <v>7</v>
      </c>
      <c r="B255" s="92" t="s">
        <v>7</v>
      </c>
      <c r="C255" s="92" t="str">
        <f ca="1">IFERROR(__xludf.DUMMYFUNCTION("filter('Back End'!C:C,'Back End'!A:A=A255,'Back End'!B:B=B255,'Back End'!D:D=D255)"),"Hamsavaram")</f>
        <v>Hamsavaram</v>
      </c>
      <c r="D255" s="91" t="s">
        <v>761</v>
      </c>
      <c r="E255" s="92" t="s">
        <v>3442</v>
      </c>
      <c r="F255" s="91" t="s">
        <v>165</v>
      </c>
      <c r="G255" s="91" t="s">
        <v>615</v>
      </c>
      <c r="H255" s="93" t="s">
        <v>4</v>
      </c>
      <c r="I255" s="92" t="s">
        <v>3393</v>
      </c>
      <c r="J255" s="92">
        <v>9542529182</v>
      </c>
      <c r="K255" s="67"/>
      <c r="L255" s="67"/>
      <c r="M255" s="67"/>
      <c r="N255" s="67"/>
      <c r="O255" s="67"/>
    </row>
    <row r="256" spans="1:15" ht="30">
      <c r="A256" s="91" t="s">
        <v>7</v>
      </c>
      <c r="B256" s="92" t="s">
        <v>7</v>
      </c>
      <c r="C256" s="92" t="str">
        <f ca="1">IFERROR(__xludf.DUMMYFUNCTION("filter('Back End'!C:C,'Back End'!A:A=A256,'Back End'!B:B=B256,'Back End'!D:D=D256)"),"Hamsavaram")</f>
        <v>Hamsavaram</v>
      </c>
      <c r="D256" s="91" t="s">
        <v>761</v>
      </c>
      <c r="E256" s="92" t="s">
        <v>3524</v>
      </c>
      <c r="F256" s="91" t="s">
        <v>165</v>
      </c>
      <c r="G256" s="91" t="s">
        <v>615</v>
      </c>
      <c r="H256" s="93" t="s">
        <v>4</v>
      </c>
      <c r="I256" s="92" t="s">
        <v>3212</v>
      </c>
      <c r="J256" s="92">
        <v>8328597899</v>
      </c>
      <c r="K256" s="92" t="s">
        <v>1603</v>
      </c>
      <c r="L256" s="67"/>
      <c r="M256" s="67"/>
      <c r="N256" s="67"/>
      <c r="O256" s="67"/>
    </row>
    <row r="257" spans="1:15" ht="30">
      <c r="A257" s="91" t="s">
        <v>7</v>
      </c>
      <c r="B257" s="91" t="s">
        <v>7</v>
      </c>
      <c r="C257" s="92" t="str">
        <f ca="1">IFERROR(__xludf.DUMMYFUNCTION("filter('Back End'!C:C,'Back End'!A:A=A257,'Back End'!B:B=B257,'Back End'!D:D=D257)"),"Hamsavaram")</f>
        <v>Hamsavaram</v>
      </c>
      <c r="D257" s="91" t="s">
        <v>761</v>
      </c>
      <c r="E257" s="91" t="s">
        <v>3525</v>
      </c>
      <c r="F257" s="91" t="s">
        <v>114</v>
      </c>
      <c r="G257" s="91" t="s">
        <v>85</v>
      </c>
      <c r="H257" s="93" t="s">
        <v>4</v>
      </c>
      <c r="I257" s="92" t="s">
        <v>3510</v>
      </c>
      <c r="J257" s="92">
        <v>8309397788</v>
      </c>
      <c r="K257" s="67"/>
      <c r="L257" s="67"/>
      <c r="M257" s="67"/>
      <c r="N257" s="67"/>
      <c r="O257" s="67"/>
    </row>
    <row r="258" spans="1:15" ht="30">
      <c r="A258" s="91" t="s">
        <v>7</v>
      </c>
      <c r="B258" s="91" t="s">
        <v>7</v>
      </c>
      <c r="C258" s="92" t="str">
        <f ca="1">IFERROR(__xludf.DUMMYFUNCTION("filter('Back End'!C:C,'Back End'!A:A=A258,'Back End'!B:B=B258,'Back End'!D:D=D258)"),"Hamsavaram")</f>
        <v>Hamsavaram</v>
      </c>
      <c r="D258" s="91" t="s">
        <v>761</v>
      </c>
      <c r="E258" s="91" t="s">
        <v>3526</v>
      </c>
      <c r="F258" s="91" t="s">
        <v>1669</v>
      </c>
      <c r="G258" s="91" t="s">
        <v>615</v>
      </c>
      <c r="H258" s="93" t="s">
        <v>4</v>
      </c>
      <c r="I258" s="92" t="s">
        <v>3510</v>
      </c>
      <c r="J258" s="92">
        <v>9989605513</v>
      </c>
      <c r="K258" s="67"/>
      <c r="L258" s="67"/>
      <c r="M258" s="67"/>
      <c r="N258" s="67"/>
      <c r="O258" s="67"/>
    </row>
    <row r="259" spans="1:15" ht="30">
      <c r="A259" s="91" t="s">
        <v>7</v>
      </c>
      <c r="B259" s="91" t="s">
        <v>7</v>
      </c>
      <c r="C259" s="92" t="str">
        <f ca="1">IFERROR(__xludf.DUMMYFUNCTION("filter('Back End'!C:C,'Back End'!A:A=A259,'Back End'!B:B=B259,'Back End'!D:D=D259)"),"Hamsavaram")</f>
        <v>Hamsavaram</v>
      </c>
      <c r="D259" s="91" t="s">
        <v>761</v>
      </c>
      <c r="E259" s="91" t="s">
        <v>3527</v>
      </c>
      <c r="F259" s="91" t="s">
        <v>437</v>
      </c>
      <c r="G259" s="91" t="s">
        <v>594</v>
      </c>
      <c r="H259" s="93" t="s">
        <v>4</v>
      </c>
      <c r="I259" s="92" t="s">
        <v>3510</v>
      </c>
      <c r="J259" s="92">
        <v>8463967718</v>
      </c>
      <c r="K259" s="67"/>
      <c r="L259" s="67"/>
      <c r="M259" s="67"/>
      <c r="N259" s="67"/>
      <c r="O259" s="67"/>
    </row>
    <row r="260" spans="1:15" ht="45">
      <c r="A260" s="91" t="s">
        <v>7</v>
      </c>
      <c r="B260" s="91" t="s">
        <v>7</v>
      </c>
      <c r="C260" s="92" t="str">
        <f ca="1">IFERROR(__xludf.DUMMYFUNCTION("filter('Back End'!C:C,'Back End'!A:A=A260,'Back End'!B:B=B260,'Back End'!D:D=D260)"),"Hamsavaram")</f>
        <v>Hamsavaram</v>
      </c>
      <c r="D260" s="91" t="s">
        <v>761</v>
      </c>
      <c r="E260" s="91" t="s">
        <v>3528</v>
      </c>
      <c r="F260" s="91" t="s">
        <v>94</v>
      </c>
      <c r="G260" s="91" t="s">
        <v>615</v>
      </c>
      <c r="H260" s="93" t="s">
        <v>5</v>
      </c>
      <c r="I260" s="92" t="s">
        <v>3529</v>
      </c>
      <c r="J260" s="92">
        <v>8978831442</v>
      </c>
      <c r="K260" s="67"/>
      <c r="L260" s="67"/>
      <c r="M260" s="92" t="s">
        <v>3530</v>
      </c>
      <c r="N260" s="67"/>
      <c r="O260" s="67"/>
    </row>
    <row r="261" spans="1:15" ht="30">
      <c r="A261" s="91" t="s">
        <v>7</v>
      </c>
      <c r="B261" s="91" t="s">
        <v>7</v>
      </c>
      <c r="C261" s="92" t="str">
        <f ca="1">IFERROR(__xludf.DUMMYFUNCTION("filter('Back End'!C:C,'Back End'!A:A=A261,'Back End'!B:B=B261,'Back End'!D:D=D261)"),"H Kothuru")</f>
        <v>H Kothuru</v>
      </c>
      <c r="D261" s="91" t="s">
        <v>760</v>
      </c>
      <c r="E261" s="91" t="s">
        <v>3531</v>
      </c>
      <c r="F261" s="91" t="s">
        <v>114</v>
      </c>
      <c r="G261" s="91" t="s">
        <v>85</v>
      </c>
      <c r="H261" s="93" t="s">
        <v>5</v>
      </c>
      <c r="I261" s="67"/>
      <c r="J261" s="92">
        <v>7036864801</v>
      </c>
      <c r="K261" s="67"/>
      <c r="L261" s="67"/>
      <c r="M261" s="92" t="s">
        <v>3157</v>
      </c>
      <c r="N261" s="67"/>
      <c r="O261" s="67"/>
    </row>
    <row r="262" spans="1:15" ht="45">
      <c r="A262" s="91" t="s">
        <v>7</v>
      </c>
      <c r="B262" s="91" t="s">
        <v>7</v>
      </c>
      <c r="C262" s="92" t="str">
        <f ca="1">IFERROR(__xludf.DUMMYFUNCTION("filter('Back End'!C:C,'Back End'!A:A=A262,'Back End'!B:B=B262,'Back End'!D:D=D262)"),"Hamsavaram")</f>
        <v>Hamsavaram</v>
      </c>
      <c r="D262" s="91" t="s">
        <v>761</v>
      </c>
      <c r="E262" s="91" t="s">
        <v>3532</v>
      </c>
      <c r="F262" s="91" t="s">
        <v>165</v>
      </c>
      <c r="G262" s="91" t="s">
        <v>615</v>
      </c>
      <c r="H262" s="93" t="s">
        <v>4</v>
      </c>
      <c r="I262" s="92" t="s">
        <v>3533</v>
      </c>
      <c r="J262" s="92">
        <v>9010483635</v>
      </c>
      <c r="K262" s="92" t="s">
        <v>1613</v>
      </c>
      <c r="L262" s="67"/>
      <c r="M262" s="67"/>
      <c r="N262" s="67"/>
      <c r="O262" s="67"/>
    </row>
    <row r="263" spans="1:15" ht="15">
      <c r="A263" s="91" t="s">
        <v>7</v>
      </c>
      <c r="B263" s="91" t="s">
        <v>7</v>
      </c>
      <c r="C263" s="92" t="str">
        <f ca="1">IFERROR(__xludf.DUMMYFUNCTION("filter('Back End'!C:C,'Back End'!A:A=A263,'Back End'!B:B=B263,'Back End'!D:D=D263)"),"Kummarilova")</f>
        <v>Kummarilova</v>
      </c>
      <c r="D263" s="91" t="s">
        <v>769</v>
      </c>
      <c r="E263" s="91" t="s">
        <v>3534</v>
      </c>
      <c r="F263" s="91" t="s">
        <v>437</v>
      </c>
      <c r="G263" s="91" t="s">
        <v>594</v>
      </c>
      <c r="H263" s="93" t="s">
        <v>4</v>
      </c>
      <c r="I263" s="92" t="s">
        <v>3535</v>
      </c>
      <c r="J263" s="92">
        <v>9866337146</v>
      </c>
      <c r="K263" s="67"/>
      <c r="L263" s="113"/>
      <c r="M263" s="67"/>
      <c r="N263" s="67"/>
      <c r="O263" s="67"/>
    </row>
    <row r="264" spans="1:15" ht="15">
      <c r="A264" s="91" t="s">
        <v>7</v>
      </c>
      <c r="B264" s="91" t="s">
        <v>7</v>
      </c>
      <c r="C264" s="92" t="str">
        <f ca="1">IFERROR(__xludf.DUMMYFUNCTION("filter('Back End'!C:C,'Back End'!A:A=A264,'Back End'!B:B=B264,'Back End'!D:D=D264)"),"Kummarilova")</f>
        <v>Kummarilova</v>
      </c>
      <c r="D264" s="91" t="s">
        <v>769</v>
      </c>
      <c r="E264" s="91" t="s">
        <v>3536</v>
      </c>
      <c r="F264" s="91" t="s">
        <v>586</v>
      </c>
      <c r="G264" s="91" t="s">
        <v>615</v>
      </c>
      <c r="H264" s="93" t="s">
        <v>4</v>
      </c>
      <c r="I264" s="92" t="s">
        <v>3164</v>
      </c>
      <c r="J264" s="92">
        <v>9000140173</v>
      </c>
      <c r="K264" s="67"/>
      <c r="L264" s="113"/>
      <c r="M264" s="67"/>
      <c r="N264" s="67"/>
      <c r="O264" s="67"/>
    </row>
    <row r="265" spans="1:15" ht="15">
      <c r="A265" s="91" t="s">
        <v>7</v>
      </c>
      <c r="B265" s="91" t="s">
        <v>7</v>
      </c>
      <c r="C265" s="92" t="str">
        <f ca="1">IFERROR(__xludf.DUMMYFUNCTION("filter('Back End'!C:C,'Back End'!A:A=A265,'Back End'!B:B=B265,'Back End'!D:D=D265)"),"Kummarilova")</f>
        <v>Kummarilova</v>
      </c>
      <c r="D265" s="91" t="s">
        <v>769</v>
      </c>
      <c r="E265" s="91" t="s">
        <v>3537</v>
      </c>
      <c r="F265" s="91" t="s">
        <v>586</v>
      </c>
      <c r="G265" s="91" t="s">
        <v>615</v>
      </c>
      <c r="H265" s="93" t="s">
        <v>4</v>
      </c>
      <c r="I265" s="92" t="s">
        <v>3125</v>
      </c>
      <c r="J265" s="92">
        <v>7893563229</v>
      </c>
      <c r="K265" s="67"/>
      <c r="L265" s="113"/>
      <c r="M265" s="67"/>
      <c r="N265" s="67"/>
      <c r="O265" s="67"/>
    </row>
    <row r="266" spans="1:15" ht="45">
      <c r="A266" s="91" t="s">
        <v>7</v>
      </c>
      <c r="B266" s="92" t="s">
        <v>7</v>
      </c>
      <c r="C266" s="92" t="str">
        <f ca="1">IFERROR(__xludf.DUMMYFUNCTION("filter('Back End'!C:C,'Back End'!A:A=A266,'Back End'!B:B=B266,'Back End'!D:D=D266)"),"Kummarilova")</f>
        <v>Kummarilova</v>
      </c>
      <c r="D266" s="91" t="s">
        <v>769</v>
      </c>
      <c r="E266" s="92" t="s">
        <v>3538</v>
      </c>
      <c r="F266" s="91" t="s">
        <v>586</v>
      </c>
      <c r="G266" s="91" t="s">
        <v>615</v>
      </c>
      <c r="H266" s="93" t="s">
        <v>5</v>
      </c>
      <c r="I266" s="92" t="s">
        <v>3539</v>
      </c>
      <c r="J266" s="67"/>
      <c r="K266" s="67"/>
      <c r="L266" s="114">
        <v>0.3</v>
      </c>
      <c r="M266" s="67"/>
      <c r="N266" s="67"/>
      <c r="O266" s="67"/>
    </row>
    <row r="267" spans="1:15" ht="45">
      <c r="A267" s="91" t="s">
        <v>7</v>
      </c>
      <c r="B267" s="92" t="s">
        <v>7</v>
      </c>
      <c r="C267" s="92" t="str">
        <f ca="1">IFERROR(__xludf.DUMMYFUNCTION("filter('Back End'!C:C,'Back End'!A:A=A267,'Back End'!B:B=B267,'Back End'!D:D=D267)"),"Kummarilova")</f>
        <v>Kummarilova</v>
      </c>
      <c r="D267" s="91" t="s">
        <v>769</v>
      </c>
      <c r="E267" s="92" t="s">
        <v>3540</v>
      </c>
      <c r="F267" s="91" t="s">
        <v>586</v>
      </c>
      <c r="G267" s="91" t="s">
        <v>615</v>
      </c>
      <c r="H267" s="93" t="s">
        <v>5</v>
      </c>
      <c r="I267" s="92" t="s">
        <v>3192</v>
      </c>
      <c r="J267" s="92">
        <v>8106051888</v>
      </c>
      <c r="K267" s="67"/>
      <c r="L267" s="67"/>
      <c r="M267" s="67"/>
      <c r="N267" s="67"/>
      <c r="O267" s="67"/>
    </row>
    <row r="268" spans="1:15" ht="60">
      <c r="A268" s="91" t="s">
        <v>7</v>
      </c>
      <c r="B268" s="92" t="s">
        <v>7</v>
      </c>
      <c r="C268" s="92" t="str">
        <f ca="1">IFERROR(__xludf.DUMMYFUNCTION("filter('Back End'!C:C,'Back End'!A:A=A268,'Back End'!B:B=B268,'Back End'!D:D=D268)"),"Kummarilova")</f>
        <v>Kummarilova</v>
      </c>
      <c r="D268" s="91" t="s">
        <v>769</v>
      </c>
      <c r="E268" s="92" t="s">
        <v>3541</v>
      </c>
      <c r="F268" s="91" t="s">
        <v>586</v>
      </c>
      <c r="G268" s="91" t="s">
        <v>615</v>
      </c>
      <c r="H268" s="93" t="s">
        <v>4</v>
      </c>
      <c r="I268" s="92" t="s">
        <v>3241</v>
      </c>
      <c r="J268" s="92">
        <v>9291444580</v>
      </c>
      <c r="K268" s="67"/>
      <c r="L268" s="92" t="s">
        <v>3542</v>
      </c>
      <c r="M268" s="67"/>
      <c r="N268" s="67"/>
      <c r="O268" s="67"/>
    </row>
    <row r="269" spans="1:15" ht="15">
      <c r="A269" s="91" t="s">
        <v>7</v>
      </c>
      <c r="B269" s="91" t="s">
        <v>7</v>
      </c>
      <c r="C269" s="92" t="str">
        <f ca="1">IFERROR(__xludf.DUMMYFUNCTION("filter('Back End'!C:C,'Back End'!A:A=A269,'Back End'!B:B=B269,'Back End'!D:D=D269)"),"Kummarilova")</f>
        <v>Kummarilova</v>
      </c>
      <c r="D269" s="91" t="s">
        <v>769</v>
      </c>
      <c r="E269" s="91" t="s">
        <v>3543</v>
      </c>
      <c r="F269" s="91" t="s">
        <v>586</v>
      </c>
      <c r="G269" s="91" t="s">
        <v>615</v>
      </c>
      <c r="H269" s="93" t="s">
        <v>5</v>
      </c>
      <c r="I269" s="92" t="s">
        <v>3164</v>
      </c>
      <c r="J269" s="92">
        <v>9866859440</v>
      </c>
      <c r="K269" s="67"/>
      <c r="L269" s="67"/>
      <c r="M269" s="67"/>
      <c r="N269" s="67"/>
      <c r="O269" s="67"/>
    </row>
    <row r="270" spans="1:15" ht="30">
      <c r="A270" s="91" t="s">
        <v>7</v>
      </c>
      <c r="B270" s="91" t="s">
        <v>7</v>
      </c>
      <c r="C270" s="92" t="str">
        <f ca="1">IFERROR(__xludf.DUMMYFUNCTION("filter('Back End'!C:C,'Back End'!A:A=A270,'Back End'!B:B=B270,'Back End'!D:D=D270)"),"Kummarilova")</f>
        <v>Kummarilova</v>
      </c>
      <c r="D270" s="91" t="s">
        <v>769</v>
      </c>
      <c r="E270" s="91" t="s">
        <v>3544</v>
      </c>
      <c r="F270" s="91" t="s">
        <v>586</v>
      </c>
      <c r="G270" s="91" t="s">
        <v>615</v>
      </c>
      <c r="H270" s="93" t="s">
        <v>5</v>
      </c>
      <c r="I270" s="92" t="s">
        <v>3510</v>
      </c>
      <c r="J270" s="92">
        <v>9949345055</v>
      </c>
      <c r="K270" s="67"/>
      <c r="L270" s="67"/>
      <c r="M270" s="67"/>
      <c r="N270" s="67"/>
      <c r="O270" s="67"/>
    </row>
    <row r="271" spans="1:15" ht="60">
      <c r="A271" s="91" t="s">
        <v>7</v>
      </c>
      <c r="B271" s="92" t="s">
        <v>7</v>
      </c>
      <c r="C271" s="92" t="str">
        <f ca="1">IFERROR(__xludf.DUMMYFUNCTION("filter('Back End'!C:C,'Back End'!A:A=A271,'Back End'!B:B=B271,'Back End'!D:D=D271)"),"Kummarilova")</f>
        <v>Kummarilova</v>
      </c>
      <c r="D271" s="91" t="s">
        <v>769</v>
      </c>
      <c r="E271" s="92" t="s">
        <v>3545</v>
      </c>
      <c r="F271" s="91" t="s">
        <v>586</v>
      </c>
      <c r="G271" s="91" t="s">
        <v>615</v>
      </c>
      <c r="H271" s="93" t="s">
        <v>4</v>
      </c>
      <c r="I271" s="92" t="s">
        <v>3546</v>
      </c>
      <c r="J271" s="92">
        <v>9849440537</v>
      </c>
      <c r="K271" s="67"/>
      <c r="L271" s="92" t="s">
        <v>3547</v>
      </c>
      <c r="M271" s="67"/>
      <c r="N271" s="67"/>
      <c r="O271" s="67"/>
    </row>
    <row r="272" spans="1:15" ht="60">
      <c r="A272" s="91" t="s">
        <v>19</v>
      </c>
      <c r="B272" s="91" t="s">
        <v>88</v>
      </c>
      <c r="C272" s="92" t="str">
        <f ca="1">IFERROR(__xludf.DUMMYFUNCTION("filter('Back End'!C:C,'Back End'!A:A=A272,'Back End'!B:B=B272,'Back End'!D:D=D272)"),"Talluru")</f>
        <v>Talluru</v>
      </c>
      <c r="D272" s="91" t="s">
        <v>134</v>
      </c>
      <c r="E272" s="92" t="s">
        <v>3548</v>
      </c>
      <c r="F272" s="91" t="s">
        <v>586</v>
      </c>
      <c r="G272" s="91" t="s">
        <v>615</v>
      </c>
      <c r="H272" s="93" t="s">
        <v>5</v>
      </c>
      <c r="I272" s="92" t="s">
        <v>3510</v>
      </c>
      <c r="J272" s="92">
        <v>9493752488</v>
      </c>
      <c r="K272" s="67"/>
      <c r="L272" s="92" t="s">
        <v>3542</v>
      </c>
      <c r="M272" s="67"/>
      <c r="N272" s="67"/>
      <c r="O272" s="67"/>
    </row>
    <row r="273" spans="1:15" ht="30">
      <c r="A273" s="91" t="s">
        <v>19</v>
      </c>
      <c r="B273" s="91" t="s">
        <v>88</v>
      </c>
      <c r="C273" s="92" t="str">
        <f ca="1">IFERROR(__xludf.DUMMYFUNCTION("filter('Back End'!C:C,'Back End'!A:A=A273,'Back End'!B:B=B273,'Back End'!D:D=D273)"),"Talluru")</f>
        <v>Talluru</v>
      </c>
      <c r="D273" s="91" t="s">
        <v>134</v>
      </c>
      <c r="E273" s="92" t="s">
        <v>3549</v>
      </c>
      <c r="F273" s="91" t="s">
        <v>1656</v>
      </c>
      <c r="G273" s="91" t="s">
        <v>615</v>
      </c>
      <c r="H273" s="93" t="s">
        <v>5</v>
      </c>
      <c r="I273" s="92" t="s">
        <v>3550</v>
      </c>
      <c r="J273" s="67"/>
      <c r="K273" s="67"/>
      <c r="L273" s="92" t="s">
        <v>3551</v>
      </c>
      <c r="M273" s="67"/>
      <c r="N273" s="67"/>
      <c r="O273" s="67"/>
    </row>
    <row r="274" spans="1:15" ht="60">
      <c r="A274" s="91" t="s">
        <v>19</v>
      </c>
      <c r="B274" s="91" t="s">
        <v>88</v>
      </c>
      <c r="C274" s="92" t="str">
        <f ca="1">IFERROR(__xludf.DUMMYFUNCTION("filter('Back End'!C:C,'Back End'!A:A=A274,'Back End'!B:B=B274,'Back End'!D:D=D274)"),"Talluru")</f>
        <v>Talluru</v>
      </c>
      <c r="D274" s="91" t="s">
        <v>134</v>
      </c>
      <c r="E274" s="92" t="s">
        <v>3552</v>
      </c>
      <c r="F274" s="91" t="s">
        <v>586</v>
      </c>
      <c r="G274" s="91" t="s">
        <v>615</v>
      </c>
      <c r="H274" s="93" t="s">
        <v>4</v>
      </c>
      <c r="I274" s="92" t="s">
        <v>3553</v>
      </c>
      <c r="J274" s="92">
        <v>9177351928</v>
      </c>
      <c r="K274" s="67"/>
      <c r="L274" s="92" t="s">
        <v>3547</v>
      </c>
      <c r="M274" s="67"/>
      <c r="N274" s="67"/>
      <c r="O274" s="67"/>
    </row>
    <row r="275" spans="1:15" ht="15">
      <c r="A275" s="91" t="s">
        <v>19</v>
      </c>
      <c r="B275" s="91" t="s">
        <v>88</v>
      </c>
      <c r="C275" s="92" t="str">
        <f ca="1">IFERROR(__xludf.DUMMYFUNCTION("filter('Back End'!C:C,'Back End'!A:A=A275,'Back End'!B:B=B275,'Back End'!D:D=D275)"),"Talluru")</f>
        <v>Talluru</v>
      </c>
      <c r="D275" s="91" t="s">
        <v>134</v>
      </c>
      <c r="E275" s="91" t="s">
        <v>3554</v>
      </c>
      <c r="F275" s="91" t="s">
        <v>103</v>
      </c>
      <c r="G275" s="91" t="s">
        <v>594</v>
      </c>
      <c r="H275" s="93" t="s">
        <v>4</v>
      </c>
      <c r="I275" s="92" t="s">
        <v>3125</v>
      </c>
      <c r="J275" s="92">
        <v>9666971821</v>
      </c>
      <c r="K275" s="67"/>
      <c r="L275" s="67"/>
      <c r="M275" s="67"/>
      <c r="N275" s="67"/>
      <c r="O275" s="67"/>
    </row>
    <row r="276" spans="1:15" ht="15">
      <c r="A276" s="91" t="s">
        <v>19</v>
      </c>
      <c r="B276" s="91" t="s">
        <v>88</v>
      </c>
      <c r="C276" s="92" t="str">
        <f ca="1">IFERROR(__xludf.DUMMYFUNCTION("filter('Back End'!C:C,'Back End'!A:A=A276,'Back End'!B:B=B276,'Back End'!D:D=D276)"),"Talluru")</f>
        <v>Talluru</v>
      </c>
      <c r="D276" s="91" t="s">
        <v>134</v>
      </c>
      <c r="E276" s="91" t="s">
        <v>3555</v>
      </c>
      <c r="F276" s="91" t="s">
        <v>586</v>
      </c>
      <c r="G276" s="91" t="s">
        <v>615</v>
      </c>
      <c r="H276" s="93" t="s">
        <v>4</v>
      </c>
      <c r="I276" s="92" t="s">
        <v>3112</v>
      </c>
      <c r="J276" s="92">
        <v>7981224041</v>
      </c>
      <c r="K276" s="67"/>
      <c r="L276" s="67"/>
      <c r="M276" s="67"/>
      <c r="N276" s="67"/>
      <c r="O276" s="67"/>
    </row>
    <row r="277" spans="1:15" ht="30">
      <c r="A277" s="91" t="s">
        <v>19</v>
      </c>
      <c r="B277" s="91" t="s">
        <v>88</v>
      </c>
      <c r="C277" s="92" t="str">
        <f ca="1">IFERROR(__xludf.DUMMYFUNCTION("filter('Back End'!C:C,'Back End'!A:A=A277,'Back End'!B:B=B277,'Back End'!D:D=D277)"),"Talluru")</f>
        <v>Talluru</v>
      </c>
      <c r="D277" s="91" t="s">
        <v>134</v>
      </c>
      <c r="E277" s="91" t="s">
        <v>3556</v>
      </c>
      <c r="F277" s="91" t="s">
        <v>139</v>
      </c>
      <c r="G277" s="91" t="s">
        <v>594</v>
      </c>
      <c r="H277" s="93" t="s">
        <v>4</v>
      </c>
      <c r="I277" s="92" t="s">
        <v>3510</v>
      </c>
      <c r="J277" s="92">
        <v>9298658327</v>
      </c>
      <c r="K277" s="67"/>
      <c r="L277" s="67"/>
      <c r="M277" s="67"/>
      <c r="N277" s="67"/>
      <c r="O277" s="67"/>
    </row>
    <row r="278" spans="1:15" ht="15">
      <c r="A278" s="91" t="s">
        <v>19</v>
      </c>
      <c r="B278" s="91" t="s">
        <v>88</v>
      </c>
      <c r="C278" s="92" t="str">
        <f ca="1">IFERROR(__xludf.DUMMYFUNCTION("filter('Back End'!C:C,'Back End'!A:A=A278,'Back End'!B:B=B278,'Back End'!D:D=D278)"),"Talluru")</f>
        <v>Talluru</v>
      </c>
      <c r="D278" s="91" t="s">
        <v>134</v>
      </c>
      <c r="E278" s="91" t="s">
        <v>3557</v>
      </c>
      <c r="F278" s="91" t="s">
        <v>3558</v>
      </c>
      <c r="G278" s="91" t="s">
        <v>594</v>
      </c>
      <c r="H278" s="93" t="s">
        <v>5</v>
      </c>
      <c r="I278" s="67"/>
      <c r="J278" s="92">
        <v>9985555343</v>
      </c>
      <c r="K278" s="67"/>
      <c r="L278" s="67"/>
      <c r="M278" s="67"/>
      <c r="N278" s="67"/>
      <c r="O278" s="67"/>
    </row>
    <row r="279" spans="1:15" ht="15">
      <c r="A279" s="91" t="s">
        <v>19</v>
      </c>
      <c r="B279" s="91" t="s">
        <v>88</v>
      </c>
      <c r="C279" s="92" t="str">
        <f ca="1">IFERROR(__xludf.DUMMYFUNCTION("filter('Back End'!C:C,'Back End'!A:A=A279,'Back End'!B:B=B279,'Back End'!D:D=D279)"),"Talluru")</f>
        <v>Talluru</v>
      </c>
      <c r="D279" s="91" t="s">
        <v>134</v>
      </c>
      <c r="E279" s="91" t="s">
        <v>3559</v>
      </c>
      <c r="F279" s="91" t="s">
        <v>586</v>
      </c>
      <c r="G279" s="91" t="s">
        <v>615</v>
      </c>
      <c r="H279" s="93" t="s">
        <v>4</v>
      </c>
      <c r="I279" s="92" t="s">
        <v>3560</v>
      </c>
      <c r="J279" s="92">
        <v>9966439255</v>
      </c>
      <c r="K279" s="67"/>
      <c r="L279" s="67"/>
      <c r="M279" s="67"/>
      <c r="N279" s="67"/>
      <c r="O279" s="67"/>
    </row>
    <row r="280" spans="1:15" ht="30">
      <c r="A280" s="91" t="s">
        <v>19</v>
      </c>
      <c r="B280" s="91" t="s">
        <v>88</v>
      </c>
      <c r="C280" s="92" t="str">
        <f ca="1">IFERROR(__xludf.DUMMYFUNCTION("filter('Back End'!C:C,'Back End'!A:A=A280,'Back End'!B:B=B280,'Back End'!D:D=D280)"),"Talluru")</f>
        <v>Talluru</v>
      </c>
      <c r="D280" s="91" t="s">
        <v>134</v>
      </c>
      <c r="E280" s="91" t="s">
        <v>3561</v>
      </c>
      <c r="F280" s="91" t="s">
        <v>586</v>
      </c>
      <c r="G280" s="91" t="s">
        <v>615</v>
      </c>
      <c r="H280" s="93" t="s">
        <v>4</v>
      </c>
      <c r="I280" s="92" t="s">
        <v>3510</v>
      </c>
      <c r="J280" s="92">
        <v>9396777623</v>
      </c>
      <c r="K280" s="67"/>
      <c r="L280" s="67"/>
      <c r="M280" s="67"/>
      <c r="N280" s="67"/>
      <c r="O280" s="67"/>
    </row>
    <row r="281" spans="1:15" ht="30">
      <c r="A281" s="91" t="s">
        <v>19</v>
      </c>
      <c r="B281" s="91" t="s">
        <v>88</v>
      </c>
      <c r="C281" s="92" t="str">
        <f ca="1">IFERROR(__xludf.DUMMYFUNCTION("filter('Back End'!C:C,'Back End'!A:A=A281,'Back End'!B:B=B281,'Back End'!D:D=D281)"),"Talluru")</f>
        <v>Talluru</v>
      </c>
      <c r="D281" s="91" t="s">
        <v>134</v>
      </c>
      <c r="E281" s="91" t="s">
        <v>3562</v>
      </c>
      <c r="F281" s="91" t="s">
        <v>586</v>
      </c>
      <c r="G281" s="91" t="s">
        <v>594</v>
      </c>
      <c r="H281" s="93" t="s">
        <v>4</v>
      </c>
      <c r="I281" s="92" t="s">
        <v>3510</v>
      </c>
      <c r="J281" s="92">
        <v>9390475808</v>
      </c>
      <c r="K281" s="67"/>
      <c r="L281" s="67"/>
      <c r="M281" s="67"/>
      <c r="N281" s="67"/>
      <c r="O281" s="67"/>
    </row>
    <row r="282" spans="1:15" ht="15">
      <c r="A282" s="91" t="s">
        <v>19</v>
      </c>
      <c r="B282" s="91" t="s">
        <v>88</v>
      </c>
      <c r="C282" s="92" t="str">
        <f ca="1">IFERROR(__xludf.DUMMYFUNCTION("filter('Back End'!C:C,'Back End'!A:A=A282,'Back End'!B:B=B282,'Back End'!D:D=D282)"),"Talluru")</f>
        <v>Talluru</v>
      </c>
      <c r="D282" s="91" t="s">
        <v>134</v>
      </c>
      <c r="E282" s="91" t="s">
        <v>3563</v>
      </c>
      <c r="F282" s="91" t="s">
        <v>1656</v>
      </c>
      <c r="G282" s="91" t="s">
        <v>615</v>
      </c>
      <c r="H282" s="93" t="s">
        <v>5</v>
      </c>
      <c r="I282" s="92" t="s">
        <v>3164</v>
      </c>
      <c r="J282" s="92">
        <v>9177283962</v>
      </c>
      <c r="K282" s="67"/>
      <c r="L282" s="67"/>
      <c r="M282" s="67"/>
      <c r="N282" s="67"/>
      <c r="O282" s="67"/>
    </row>
    <row r="283" spans="1:15" ht="30">
      <c r="A283" s="91" t="s">
        <v>19</v>
      </c>
      <c r="B283" s="91" t="s">
        <v>88</v>
      </c>
      <c r="C283" s="92" t="str">
        <f ca="1">IFERROR(__xludf.DUMMYFUNCTION("filter('Back End'!C:C,'Back End'!A:A=A283,'Back End'!B:B=B283,'Back End'!D:D=D283)"),"Talluru")</f>
        <v>Talluru</v>
      </c>
      <c r="D283" s="91" t="s">
        <v>134</v>
      </c>
      <c r="E283" s="91" t="s">
        <v>3564</v>
      </c>
      <c r="F283" s="91" t="s">
        <v>586</v>
      </c>
      <c r="G283" s="91" t="s">
        <v>615</v>
      </c>
      <c r="H283" s="93" t="s">
        <v>5</v>
      </c>
      <c r="I283" s="92" t="s">
        <v>3565</v>
      </c>
      <c r="J283" s="92">
        <v>9493489416</v>
      </c>
      <c r="K283" s="67"/>
      <c r="L283" s="67"/>
      <c r="M283" s="67"/>
      <c r="N283" s="67"/>
      <c r="O283" s="67"/>
    </row>
    <row r="284" spans="1:15" ht="15">
      <c r="A284" s="91" t="s">
        <v>19</v>
      </c>
      <c r="B284" s="91" t="s">
        <v>88</v>
      </c>
      <c r="C284" s="92" t="str">
        <f ca="1">IFERROR(__xludf.DUMMYFUNCTION("filter('Back End'!C:C,'Back End'!A:A=A284,'Back End'!B:B=B284,'Back End'!D:D=D284)"),"Talluru")</f>
        <v>Talluru</v>
      </c>
      <c r="D284" s="91" t="s">
        <v>134</v>
      </c>
      <c r="E284" s="91" t="s">
        <v>3566</v>
      </c>
      <c r="F284" s="91" t="s">
        <v>114</v>
      </c>
      <c r="G284" s="91" t="s">
        <v>85</v>
      </c>
      <c r="H284" s="93" t="s">
        <v>5</v>
      </c>
      <c r="I284" s="92" t="s">
        <v>3164</v>
      </c>
      <c r="J284" s="92">
        <v>8341829253</v>
      </c>
      <c r="K284" s="67"/>
      <c r="L284" s="67"/>
      <c r="M284" s="67"/>
      <c r="N284" s="67"/>
      <c r="O284" s="67"/>
    </row>
    <row r="285" spans="1:15" ht="30">
      <c r="A285" s="67"/>
      <c r="B285" s="91" t="s">
        <v>88</v>
      </c>
      <c r="C285" s="92" t="s">
        <v>134</v>
      </c>
      <c r="D285" s="91" t="s">
        <v>134</v>
      </c>
      <c r="E285" s="92" t="s">
        <v>3567</v>
      </c>
      <c r="F285" s="91" t="s">
        <v>1669</v>
      </c>
      <c r="G285" s="91" t="s">
        <v>615</v>
      </c>
      <c r="H285" s="93" t="s">
        <v>5</v>
      </c>
      <c r="I285" s="92" t="s">
        <v>3185</v>
      </c>
      <c r="J285" s="92">
        <v>9985184347</v>
      </c>
      <c r="K285" s="67"/>
      <c r="L285" s="67"/>
      <c r="M285" s="67"/>
      <c r="N285" s="67"/>
      <c r="O285" s="67"/>
    </row>
    <row r="286" spans="1:15" ht="30">
      <c r="A286" s="91" t="s">
        <v>7</v>
      </c>
      <c r="B286" s="92" t="s">
        <v>706</v>
      </c>
      <c r="C286" s="92" t="str">
        <f ca="1">IFERROR(__xludf.DUMMYFUNCTION("filter('Back End'!C:C,'Back End'!A:A=A286,'Back End'!B:B=B286,'Back End'!D:D=D286)"),"Gopalapatnam")</f>
        <v>Gopalapatnam</v>
      </c>
      <c r="D286" s="91" t="s">
        <v>718</v>
      </c>
      <c r="E286" s="92" t="s">
        <v>3568</v>
      </c>
      <c r="F286" s="91" t="s">
        <v>94</v>
      </c>
      <c r="G286" s="91" t="s">
        <v>615</v>
      </c>
      <c r="H286" s="93" t="s">
        <v>5</v>
      </c>
      <c r="I286" s="92" t="s">
        <v>3115</v>
      </c>
      <c r="J286" s="67"/>
      <c r="K286" s="67"/>
      <c r="L286" s="67"/>
      <c r="M286" s="67"/>
      <c r="N286" s="67"/>
      <c r="O286" s="67"/>
    </row>
    <row r="287" spans="1:15" ht="30">
      <c r="A287" s="91" t="s">
        <v>7</v>
      </c>
      <c r="B287" s="92" t="s">
        <v>706</v>
      </c>
      <c r="C287" s="92" t="str">
        <f ca="1">IFERROR(__xludf.DUMMYFUNCTION("filter('Back End'!C:C,'Back End'!A:A=A287,'Back End'!B:B=B287,'Back End'!D:D=D287)"),"Gopalapatnam")</f>
        <v>Gopalapatnam</v>
      </c>
      <c r="D287" s="91" t="s">
        <v>718</v>
      </c>
      <c r="E287" s="92" t="s">
        <v>3569</v>
      </c>
      <c r="F287" s="91" t="s">
        <v>94</v>
      </c>
      <c r="G287" s="91" t="s">
        <v>615</v>
      </c>
      <c r="H287" s="93" t="s">
        <v>4</v>
      </c>
      <c r="I287" s="92" t="s">
        <v>3570</v>
      </c>
      <c r="J287" s="92">
        <v>9912511880</v>
      </c>
      <c r="K287" s="67"/>
      <c r="L287" s="67"/>
      <c r="M287" s="67"/>
      <c r="N287" s="67"/>
      <c r="O287" s="67"/>
    </row>
    <row r="288" spans="1:15" ht="45">
      <c r="A288" s="91" t="s">
        <v>7</v>
      </c>
      <c r="B288" s="92" t="s">
        <v>706</v>
      </c>
      <c r="C288" s="92" t="str">
        <f ca="1">IFERROR(__xludf.DUMMYFUNCTION("filter('Back End'!C:C,'Back End'!A:A=A288,'Back End'!B:B=B288,'Back End'!D:D=D288)"),"Gopalapatnam")</f>
        <v>Gopalapatnam</v>
      </c>
      <c r="D288" s="91" t="s">
        <v>718</v>
      </c>
      <c r="E288" s="92" t="s">
        <v>3571</v>
      </c>
      <c r="F288" s="91" t="s">
        <v>94</v>
      </c>
      <c r="G288" s="91" t="s">
        <v>615</v>
      </c>
      <c r="H288" s="93" t="s">
        <v>4</v>
      </c>
      <c r="I288" s="92" t="s">
        <v>3354</v>
      </c>
      <c r="J288" s="67"/>
      <c r="K288" s="67"/>
      <c r="L288" s="67"/>
      <c r="M288" s="67"/>
      <c r="N288" s="67"/>
      <c r="O288" s="67"/>
    </row>
    <row r="289" spans="1:15" ht="30">
      <c r="A289" s="91" t="s">
        <v>7</v>
      </c>
      <c r="B289" s="91" t="s">
        <v>706</v>
      </c>
      <c r="C289" s="92" t="str">
        <f ca="1">IFERROR(__xludf.DUMMYFUNCTION("filter('Back End'!C:C,'Back End'!A:A=A289,'Back End'!B:B=B289,'Back End'!D:D=D289)"),"Gopalapatnam")</f>
        <v>Gopalapatnam</v>
      </c>
      <c r="D289" s="91" t="s">
        <v>718</v>
      </c>
      <c r="E289" s="91" t="s">
        <v>3572</v>
      </c>
      <c r="F289" s="91" t="s">
        <v>94</v>
      </c>
      <c r="G289" s="91" t="s">
        <v>615</v>
      </c>
      <c r="H289" s="93" t="s">
        <v>4</v>
      </c>
      <c r="I289" s="92" t="s">
        <v>3570</v>
      </c>
      <c r="J289" s="92">
        <v>7799228799</v>
      </c>
      <c r="K289" s="67"/>
      <c r="L289" s="67"/>
      <c r="M289" s="67"/>
      <c r="N289" s="67"/>
      <c r="O289" s="67"/>
    </row>
    <row r="290" spans="1:15" ht="15">
      <c r="A290" s="91" t="s">
        <v>7</v>
      </c>
      <c r="B290" s="91" t="s">
        <v>706</v>
      </c>
      <c r="C290" s="92" t="str">
        <f ca="1">IFERROR(__xludf.DUMMYFUNCTION("filter('Back End'!C:C,'Back End'!A:A=A290,'Back End'!B:B=B290,'Back End'!D:D=D290)"),"Gopalapatnam")</f>
        <v>Gopalapatnam</v>
      </c>
      <c r="D290" s="91" t="s">
        <v>718</v>
      </c>
      <c r="E290" s="91" t="s">
        <v>3573</v>
      </c>
      <c r="F290" s="91" t="s">
        <v>94</v>
      </c>
      <c r="G290" s="91" t="s">
        <v>615</v>
      </c>
      <c r="H290" s="93" t="s">
        <v>5</v>
      </c>
      <c r="I290" s="92" t="s">
        <v>3185</v>
      </c>
      <c r="J290" s="92">
        <v>8125310709</v>
      </c>
      <c r="K290" s="67"/>
      <c r="L290" s="67"/>
      <c r="M290" s="67"/>
      <c r="N290" s="67"/>
      <c r="O290" s="67"/>
    </row>
    <row r="291" spans="1:15" ht="15">
      <c r="A291" s="91" t="s">
        <v>7</v>
      </c>
      <c r="B291" s="91" t="s">
        <v>706</v>
      </c>
      <c r="C291" s="92" t="str">
        <f ca="1">IFERROR(__xludf.DUMMYFUNCTION("filter('Back End'!C:C,'Back End'!A:A=A291,'Back End'!B:B=B291,'Back End'!D:D=D291)"),"Gopalapatnam")</f>
        <v>Gopalapatnam</v>
      </c>
      <c r="D291" s="91" t="s">
        <v>718</v>
      </c>
      <c r="E291" s="91" t="s">
        <v>3574</v>
      </c>
      <c r="F291" s="91" t="s">
        <v>114</v>
      </c>
      <c r="G291" s="91" t="s">
        <v>85</v>
      </c>
      <c r="H291" s="93" t="s">
        <v>4</v>
      </c>
      <c r="I291" s="92" t="s">
        <v>3164</v>
      </c>
      <c r="J291" s="92">
        <v>9908383755</v>
      </c>
      <c r="K291" s="67"/>
      <c r="L291" s="67"/>
      <c r="M291" s="67"/>
      <c r="N291" s="67"/>
      <c r="O291" s="67"/>
    </row>
    <row r="292" spans="1:15" ht="30">
      <c r="A292" s="91" t="s">
        <v>7</v>
      </c>
      <c r="B292" s="91" t="s">
        <v>706</v>
      </c>
      <c r="C292" s="92" t="str">
        <f ca="1">IFERROR(__xludf.DUMMYFUNCTION("filter('Back End'!C:C,'Back End'!A:A=A292,'Back End'!B:B=B292,'Back End'!D:D=D292)"),"Gopalapatnam")</f>
        <v>Gopalapatnam</v>
      </c>
      <c r="D292" s="91" t="s">
        <v>718</v>
      </c>
      <c r="E292" s="91" t="s">
        <v>3575</v>
      </c>
      <c r="F292" s="91" t="s">
        <v>94</v>
      </c>
      <c r="G292" s="91" t="s">
        <v>615</v>
      </c>
      <c r="H292" s="93" t="s">
        <v>5</v>
      </c>
      <c r="I292" s="92" t="s">
        <v>3510</v>
      </c>
      <c r="J292" s="92">
        <v>9000347090</v>
      </c>
      <c r="K292" s="67"/>
      <c r="L292" s="67"/>
      <c r="M292" s="67"/>
      <c r="N292" s="67"/>
      <c r="O292" s="67"/>
    </row>
    <row r="293" spans="1:15" ht="75">
      <c r="A293" s="91" t="s">
        <v>10</v>
      </c>
      <c r="B293" s="92" t="s">
        <v>261</v>
      </c>
      <c r="C293" s="92" t="str">
        <f ca="1">IFERROR(__xludf.DUMMYFUNCTION("filter('Back End'!C:C,'Back End'!A:A=A293,'Back End'!B:B=B293,'Back End'!D:D=D293)"),"#N/A")</f>
        <v>#N/A</v>
      </c>
      <c r="D293" s="91" t="s">
        <v>281</v>
      </c>
      <c r="E293" s="92" t="s">
        <v>3576</v>
      </c>
      <c r="F293" s="91" t="s">
        <v>139</v>
      </c>
      <c r="G293" s="91" t="s">
        <v>594</v>
      </c>
      <c r="H293" s="93" t="s">
        <v>6</v>
      </c>
      <c r="I293" s="92" t="s">
        <v>3577</v>
      </c>
      <c r="J293" s="92">
        <v>9948272978</v>
      </c>
      <c r="K293" s="67"/>
      <c r="L293" s="92" t="s">
        <v>3578</v>
      </c>
      <c r="M293" s="67"/>
      <c r="N293" s="67"/>
      <c r="O293" s="67"/>
    </row>
    <row r="294" spans="1:15" ht="30">
      <c r="A294" s="91" t="s">
        <v>10</v>
      </c>
      <c r="B294" s="92" t="s">
        <v>261</v>
      </c>
      <c r="C294" s="92" t="str">
        <f ca="1">IFERROR(__xludf.DUMMYFUNCTION("filter('Back End'!C:C,'Back End'!A:A=A294,'Back End'!B:B=B294,'Back End'!D:D=D294)"),"#N/A")</f>
        <v>#N/A</v>
      </c>
      <c r="D294" s="91" t="s">
        <v>281</v>
      </c>
      <c r="E294" s="92" t="s">
        <v>3579</v>
      </c>
      <c r="F294" s="91" t="s">
        <v>139</v>
      </c>
      <c r="G294" s="91" t="s">
        <v>594</v>
      </c>
      <c r="H294" s="93" t="s">
        <v>4</v>
      </c>
      <c r="I294" s="92" t="s">
        <v>3384</v>
      </c>
      <c r="J294" s="92">
        <v>9290629778</v>
      </c>
      <c r="K294" s="67"/>
      <c r="L294" s="67"/>
      <c r="M294" s="67"/>
      <c r="N294" s="67"/>
      <c r="O294" s="67"/>
    </row>
    <row r="295" spans="1:15" ht="15">
      <c r="A295" s="91" t="s">
        <v>11</v>
      </c>
      <c r="B295" s="91" t="s">
        <v>261</v>
      </c>
      <c r="C295" s="92" t="str">
        <f ca="1">IFERROR(__xludf.DUMMYFUNCTION("filter('Back End'!C:C,'Back End'!A:A=A295,'Back End'!B:B=B295,'Back End'!D:D=D295)"),"Repuru")</f>
        <v>Repuru</v>
      </c>
      <c r="D295" s="91" t="s">
        <v>281</v>
      </c>
      <c r="E295" s="91" t="s">
        <v>3580</v>
      </c>
      <c r="F295" s="91" t="s">
        <v>139</v>
      </c>
      <c r="G295" s="91" t="s">
        <v>594</v>
      </c>
      <c r="H295" s="93" t="s">
        <v>4</v>
      </c>
      <c r="I295" s="92" t="s">
        <v>3125</v>
      </c>
      <c r="J295" s="92">
        <v>9550822775</v>
      </c>
      <c r="K295" s="67"/>
      <c r="L295" s="67"/>
      <c r="M295" s="67"/>
      <c r="N295" s="67"/>
      <c r="O295" s="67"/>
    </row>
    <row r="296" spans="1:15" ht="60">
      <c r="A296" s="91" t="s">
        <v>8</v>
      </c>
      <c r="B296" s="92" t="s">
        <v>658</v>
      </c>
      <c r="C296" s="92" t="str">
        <f ca="1">IFERROR(__xludf.DUMMYFUNCTION("filter('Back End'!C:C,'Back End'!A:A=A296,'Back End'!B:B=B296,'Back End'!D:D=D296)"),"Thirumali")</f>
        <v>Thirumali</v>
      </c>
      <c r="D296" s="91" t="s">
        <v>669</v>
      </c>
      <c r="E296" s="92" t="s">
        <v>3581</v>
      </c>
      <c r="F296" s="91" t="s">
        <v>139</v>
      </c>
      <c r="G296" s="91" t="s">
        <v>594</v>
      </c>
      <c r="H296" s="93" t="s">
        <v>4</v>
      </c>
      <c r="I296" s="92" t="s">
        <v>3582</v>
      </c>
      <c r="J296" s="92">
        <v>9705696861</v>
      </c>
      <c r="K296" s="67"/>
      <c r="L296" s="92" t="s">
        <v>3547</v>
      </c>
      <c r="M296" s="67"/>
      <c r="N296" s="67"/>
      <c r="O296" s="67"/>
    </row>
    <row r="297" spans="1:15" ht="60">
      <c r="A297" s="91" t="s">
        <v>8</v>
      </c>
      <c r="B297" s="92" t="s">
        <v>658</v>
      </c>
      <c r="C297" s="92" t="str">
        <f ca="1">IFERROR(__xludf.DUMMYFUNCTION("filter('Back End'!C:C,'Back End'!A:A=A297,'Back End'!B:B=B297,'Back End'!D:D=D297)"),"Thirumali")</f>
        <v>Thirumali</v>
      </c>
      <c r="D297" s="91" t="s">
        <v>669</v>
      </c>
      <c r="E297" s="92" t="s">
        <v>3583</v>
      </c>
      <c r="F297" s="91" t="s">
        <v>139</v>
      </c>
      <c r="G297" s="91" t="s">
        <v>594</v>
      </c>
      <c r="H297" s="93" t="s">
        <v>4</v>
      </c>
      <c r="I297" s="92" t="s">
        <v>3185</v>
      </c>
      <c r="J297" s="92">
        <v>9666373233</v>
      </c>
      <c r="K297" s="67"/>
      <c r="L297" s="92" t="s">
        <v>3547</v>
      </c>
      <c r="M297" s="67"/>
      <c r="N297" s="67"/>
      <c r="O297" s="67"/>
    </row>
    <row r="298" spans="1:15" ht="60">
      <c r="A298" s="91" t="s">
        <v>8</v>
      </c>
      <c r="B298" s="92" t="s">
        <v>658</v>
      </c>
      <c r="C298" s="92" t="str">
        <f ca="1">IFERROR(__xludf.DUMMYFUNCTION("filter('Back End'!C:C,'Back End'!A:A=A298,'Back End'!B:B=B298,'Back End'!D:D=D298)"),"Thirumali")</f>
        <v>Thirumali</v>
      </c>
      <c r="D298" s="91" t="s">
        <v>669</v>
      </c>
      <c r="E298" s="92" t="s">
        <v>3584</v>
      </c>
      <c r="F298" s="91" t="s">
        <v>139</v>
      </c>
      <c r="G298" s="91" t="s">
        <v>594</v>
      </c>
      <c r="H298" s="93" t="s">
        <v>4</v>
      </c>
      <c r="I298" s="92" t="s">
        <v>3547</v>
      </c>
      <c r="J298" s="92">
        <v>9951556464</v>
      </c>
      <c r="K298" s="67"/>
      <c r="L298" s="67"/>
      <c r="M298" s="67"/>
      <c r="N298" s="67"/>
      <c r="O298" s="67"/>
    </row>
    <row r="299" spans="1:15" ht="30">
      <c r="A299" s="91" t="s">
        <v>8</v>
      </c>
      <c r="B299" s="92" t="s">
        <v>658</v>
      </c>
      <c r="C299" s="92" t="str">
        <f ca="1">IFERROR(__xludf.DUMMYFUNCTION("filter('Back End'!C:C,'Back End'!A:A=A299,'Back End'!B:B=B299,'Back End'!D:D=D299)"),"Thirumali")</f>
        <v>Thirumali</v>
      </c>
      <c r="D299" s="91" t="s">
        <v>669</v>
      </c>
      <c r="E299" s="92" t="s">
        <v>3585</v>
      </c>
      <c r="F299" s="91" t="s">
        <v>139</v>
      </c>
      <c r="G299" s="91" t="s">
        <v>594</v>
      </c>
      <c r="H299" s="93" t="s">
        <v>5</v>
      </c>
      <c r="I299" s="92" t="s">
        <v>3586</v>
      </c>
      <c r="J299" s="92">
        <v>9849983545</v>
      </c>
      <c r="K299" s="92">
        <v>50</v>
      </c>
      <c r="L299" s="67"/>
      <c r="M299" s="67"/>
      <c r="N299" s="67"/>
      <c r="O299" s="67"/>
    </row>
    <row r="300" spans="1:15" ht="45">
      <c r="A300" s="91" t="s">
        <v>8</v>
      </c>
      <c r="B300" s="92" t="s">
        <v>658</v>
      </c>
      <c r="C300" s="92" t="str">
        <f ca="1">IFERROR(__xludf.DUMMYFUNCTION("filter('Back End'!C:C,'Back End'!A:A=A300,'Back End'!B:B=B300,'Back End'!D:D=D300)"),"Thirumali")</f>
        <v>Thirumali</v>
      </c>
      <c r="D300" s="91" t="s">
        <v>669</v>
      </c>
      <c r="E300" s="92" t="s">
        <v>3587</v>
      </c>
      <c r="F300" s="91" t="s">
        <v>139</v>
      </c>
      <c r="G300" s="91" t="s">
        <v>594</v>
      </c>
      <c r="H300" s="93" t="s">
        <v>5</v>
      </c>
      <c r="I300" s="92" t="s">
        <v>3185</v>
      </c>
      <c r="J300" s="92">
        <v>9908489122</v>
      </c>
      <c r="K300" s="92">
        <v>150</v>
      </c>
      <c r="L300" s="67"/>
      <c r="M300" s="67"/>
      <c r="N300" s="67"/>
      <c r="O300" s="67"/>
    </row>
    <row r="301" spans="1:15" ht="30">
      <c r="A301" s="91" t="s">
        <v>8</v>
      </c>
      <c r="B301" s="92" t="s">
        <v>658</v>
      </c>
      <c r="C301" s="92" t="str">
        <f ca="1">IFERROR(__xludf.DUMMYFUNCTION("filter('Back End'!C:C,'Back End'!A:A=A301,'Back End'!B:B=B301,'Back End'!D:D=D301)"),"Thirumali")</f>
        <v>Thirumali</v>
      </c>
      <c r="D301" s="91" t="s">
        <v>669</v>
      </c>
      <c r="E301" s="92" t="s">
        <v>3588</v>
      </c>
      <c r="F301" s="91" t="s">
        <v>139</v>
      </c>
      <c r="G301" s="91" t="s">
        <v>594</v>
      </c>
      <c r="H301" s="93" t="s">
        <v>4</v>
      </c>
      <c r="I301" s="92" t="s">
        <v>3384</v>
      </c>
      <c r="J301" s="67"/>
      <c r="K301" s="67"/>
      <c r="L301" s="67"/>
      <c r="M301" s="67"/>
      <c r="N301" s="67"/>
      <c r="O301" s="67"/>
    </row>
    <row r="302" spans="1:15" ht="30">
      <c r="A302" s="91" t="s">
        <v>8</v>
      </c>
      <c r="B302" s="92" t="s">
        <v>658</v>
      </c>
      <c r="C302" s="92" t="str">
        <f ca="1">IFERROR(__xludf.DUMMYFUNCTION("filter('Back End'!C:C,'Back End'!A:A=A302,'Back End'!B:B=B302,'Back End'!D:D=D302)"),"Thirumali")</f>
        <v>Thirumali</v>
      </c>
      <c r="D302" s="91" t="s">
        <v>669</v>
      </c>
      <c r="E302" s="92" t="s">
        <v>3589</v>
      </c>
      <c r="F302" s="91" t="s">
        <v>368</v>
      </c>
      <c r="G302" s="91" t="s">
        <v>594</v>
      </c>
      <c r="H302" s="93" t="s">
        <v>4</v>
      </c>
      <c r="I302" s="92" t="s">
        <v>3586</v>
      </c>
      <c r="J302" s="91">
        <v>9951556464</v>
      </c>
      <c r="K302" s="67"/>
      <c r="L302" s="67"/>
      <c r="M302" s="67"/>
      <c r="N302" s="67"/>
      <c r="O302" s="67"/>
    </row>
    <row r="303" spans="1:15" ht="30">
      <c r="A303" s="91" t="s">
        <v>8</v>
      </c>
      <c r="B303" s="91" t="s">
        <v>658</v>
      </c>
      <c r="C303" s="92" t="str">
        <f ca="1">IFERROR(__xludf.DUMMYFUNCTION("filter('Back End'!C:C,'Back End'!A:A=A303,'Back End'!B:B=B303,'Back End'!D:D=D303)"),"Thirumali")</f>
        <v>Thirumali</v>
      </c>
      <c r="D303" s="91" t="s">
        <v>669</v>
      </c>
      <c r="E303" s="91" t="s">
        <v>3590</v>
      </c>
      <c r="F303" s="91" t="s">
        <v>139</v>
      </c>
      <c r="G303" s="91" t="s">
        <v>594</v>
      </c>
      <c r="H303" s="93" t="s">
        <v>4</v>
      </c>
      <c r="I303" s="92" t="s">
        <v>3591</v>
      </c>
      <c r="J303" s="92">
        <v>9666686856</v>
      </c>
      <c r="K303" s="67"/>
      <c r="L303" s="67"/>
      <c r="M303" s="67"/>
      <c r="N303" s="67"/>
      <c r="O303" s="67"/>
    </row>
    <row r="304" spans="1:15" ht="30">
      <c r="A304" s="91" t="s">
        <v>8</v>
      </c>
      <c r="B304" s="91" t="s">
        <v>658</v>
      </c>
      <c r="C304" s="92" t="str">
        <f ca="1">IFERROR(__xludf.DUMMYFUNCTION("filter('Back End'!C:C,'Back End'!A:A=A304,'Back End'!B:B=B304,'Back End'!D:D=D304)"),"Thirumali")</f>
        <v>Thirumali</v>
      </c>
      <c r="D304" s="91" t="s">
        <v>669</v>
      </c>
      <c r="E304" s="91" t="s">
        <v>3592</v>
      </c>
      <c r="F304" s="91" t="s">
        <v>139</v>
      </c>
      <c r="G304" s="91" t="s">
        <v>594</v>
      </c>
      <c r="H304" s="93" t="s">
        <v>4</v>
      </c>
      <c r="I304" s="92" t="s">
        <v>3591</v>
      </c>
      <c r="J304" s="92">
        <v>9000826731</v>
      </c>
      <c r="K304" s="67"/>
      <c r="L304" s="67"/>
      <c r="M304" s="67"/>
      <c r="N304" s="67"/>
      <c r="O304" s="67"/>
    </row>
    <row r="305" spans="1:15" ht="45">
      <c r="A305" s="91" t="s">
        <v>8</v>
      </c>
      <c r="B305" s="91" t="s">
        <v>658</v>
      </c>
      <c r="C305" s="92" t="str">
        <f ca="1">IFERROR(__xludf.DUMMYFUNCTION("filter('Back End'!C:C,'Back End'!A:A=A305,'Back End'!B:B=B305,'Back End'!D:D=D305)"),"Thirumali")</f>
        <v>Thirumali</v>
      </c>
      <c r="D305" s="91" t="s">
        <v>669</v>
      </c>
      <c r="E305" s="91" t="s">
        <v>3593</v>
      </c>
      <c r="F305" s="91" t="s">
        <v>368</v>
      </c>
      <c r="G305" s="91" t="s">
        <v>594</v>
      </c>
      <c r="H305" s="93" t="s">
        <v>4</v>
      </c>
      <c r="I305" s="92" t="s">
        <v>3594</v>
      </c>
      <c r="J305" s="92">
        <v>9866224422</v>
      </c>
      <c r="K305" s="67"/>
      <c r="L305" s="67"/>
      <c r="M305" s="67"/>
      <c r="N305" s="67"/>
      <c r="O305" s="67"/>
    </row>
    <row r="306" spans="1:15" ht="30">
      <c r="A306" s="91" t="s">
        <v>8</v>
      </c>
      <c r="B306" s="91" t="s">
        <v>658</v>
      </c>
      <c r="C306" s="92" t="str">
        <f ca="1">IFERROR(__xludf.DUMMYFUNCTION("filter('Back End'!C:C,'Back End'!A:A=A306,'Back End'!B:B=B306,'Back End'!D:D=D306)"),"Thirumali")</f>
        <v>Thirumali</v>
      </c>
      <c r="D306" s="91" t="s">
        <v>669</v>
      </c>
      <c r="E306" s="91" t="s">
        <v>3595</v>
      </c>
      <c r="F306" s="91" t="s">
        <v>368</v>
      </c>
      <c r="G306" s="91" t="s">
        <v>594</v>
      </c>
      <c r="H306" s="93" t="s">
        <v>4</v>
      </c>
      <c r="I306" s="92" t="s">
        <v>3596</v>
      </c>
      <c r="J306" s="92">
        <v>9951556464</v>
      </c>
      <c r="K306" s="67"/>
      <c r="L306" s="67"/>
      <c r="M306" s="67"/>
      <c r="N306" s="67"/>
      <c r="O306" s="67"/>
    </row>
    <row r="307" spans="1:15" ht="30">
      <c r="A307" s="91" t="s">
        <v>8</v>
      </c>
      <c r="B307" s="91" t="s">
        <v>658</v>
      </c>
      <c r="C307" s="92" t="str">
        <f ca="1">IFERROR(__xludf.DUMMYFUNCTION("filter('Back End'!C:C,'Back End'!A:A=A307,'Back End'!B:B=B307,'Back End'!D:D=D307)"),"Thirumali")</f>
        <v>Thirumali</v>
      </c>
      <c r="D307" s="91" t="s">
        <v>669</v>
      </c>
      <c r="E307" s="91" t="s">
        <v>3597</v>
      </c>
      <c r="F307" s="91" t="s">
        <v>139</v>
      </c>
      <c r="G307" s="91" t="s">
        <v>594</v>
      </c>
      <c r="H307" s="93" t="s">
        <v>4</v>
      </c>
      <c r="I307" s="92" t="s">
        <v>3591</v>
      </c>
      <c r="J307" s="92">
        <v>9030948858</v>
      </c>
      <c r="K307" s="67"/>
      <c r="L307" s="67"/>
      <c r="M307" s="67"/>
      <c r="N307" s="67"/>
      <c r="O307" s="67"/>
    </row>
    <row r="308" spans="1:15" ht="30">
      <c r="A308" s="91" t="s">
        <v>8</v>
      </c>
      <c r="B308" s="91" t="s">
        <v>658</v>
      </c>
      <c r="C308" s="92" t="str">
        <f ca="1">IFERROR(__xludf.DUMMYFUNCTION("filter('Back End'!C:C,'Back End'!A:A=A308,'Back End'!B:B=B308,'Back End'!D:D=D308)"),"Thirumali")</f>
        <v>Thirumali</v>
      </c>
      <c r="D308" s="91" t="s">
        <v>669</v>
      </c>
      <c r="E308" s="91" t="s">
        <v>3598</v>
      </c>
      <c r="F308" s="91" t="s">
        <v>586</v>
      </c>
      <c r="G308" s="91" t="s">
        <v>615</v>
      </c>
      <c r="H308" s="93" t="s">
        <v>4</v>
      </c>
      <c r="I308" s="92" t="s">
        <v>3591</v>
      </c>
      <c r="J308" s="92">
        <v>8886079905</v>
      </c>
      <c r="K308" s="67"/>
      <c r="L308" s="67"/>
      <c r="M308" s="67"/>
      <c r="N308" s="67"/>
      <c r="O308" s="67"/>
    </row>
    <row r="309" spans="1:15" ht="30">
      <c r="A309" s="91" t="s">
        <v>10</v>
      </c>
      <c r="B309" s="92" t="s">
        <v>10</v>
      </c>
      <c r="C309" s="92" t="str">
        <f ca="1">IFERROR(__xludf.DUMMYFUNCTION("filter('Back End'!C:C,'Back End'!A:A=A309,'Back End'!B:B=B309,'Back End'!D:D=D309)"),"Kolanka")</f>
        <v>Kolanka</v>
      </c>
      <c r="D309" s="91" t="s">
        <v>509</v>
      </c>
      <c r="E309" s="92" t="s">
        <v>3599</v>
      </c>
      <c r="F309" s="91" t="s">
        <v>139</v>
      </c>
      <c r="G309" s="91" t="s">
        <v>594</v>
      </c>
      <c r="H309" s="93" t="s">
        <v>5</v>
      </c>
      <c r="I309" s="92" t="s">
        <v>3376</v>
      </c>
      <c r="J309" s="67"/>
      <c r="K309" s="92" t="s">
        <v>1613</v>
      </c>
      <c r="L309" s="92" t="s">
        <v>3600</v>
      </c>
      <c r="M309" s="67"/>
      <c r="N309" s="67"/>
      <c r="O309" s="67"/>
    </row>
    <row r="310" spans="1:15" ht="30">
      <c r="A310" s="91" t="s">
        <v>10</v>
      </c>
      <c r="B310" s="92" t="s">
        <v>10</v>
      </c>
      <c r="C310" s="92" t="str">
        <f ca="1">IFERROR(__xludf.DUMMYFUNCTION("filter('Back End'!C:C,'Back End'!A:A=A310,'Back End'!B:B=B310,'Back End'!D:D=D310)"),"Kolanka")</f>
        <v>Kolanka</v>
      </c>
      <c r="D310" s="91" t="s">
        <v>509</v>
      </c>
      <c r="E310" s="92" t="s">
        <v>3601</v>
      </c>
      <c r="F310" s="91" t="s">
        <v>139</v>
      </c>
      <c r="G310" s="91" t="s">
        <v>594</v>
      </c>
      <c r="H310" s="93" t="s">
        <v>4</v>
      </c>
      <c r="I310" s="92" t="s">
        <v>3602</v>
      </c>
      <c r="J310" s="67"/>
      <c r="K310" s="92" t="s">
        <v>1608</v>
      </c>
      <c r="L310" s="92" t="s">
        <v>3603</v>
      </c>
      <c r="M310" s="67"/>
      <c r="N310" s="67"/>
      <c r="O310" s="67"/>
    </row>
    <row r="311" spans="1:15" ht="30">
      <c r="A311" s="91" t="s">
        <v>10</v>
      </c>
      <c r="B311" s="92" t="s">
        <v>10</v>
      </c>
      <c r="C311" s="92" t="str">
        <f ca="1">IFERROR(__xludf.DUMMYFUNCTION("filter('Back End'!C:C,'Back End'!A:A=A311,'Back End'!B:B=B311,'Back End'!D:D=D311)"),"Kolanka")</f>
        <v>Kolanka</v>
      </c>
      <c r="D311" s="91" t="s">
        <v>509</v>
      </c>
      <c r="E311" s="92" t="s">
        <v>3604</v>
      </c>
      <c r="F311" s="91" t="s">
        <v>139</v>
      </c>
      <c r="G311" s="91" t="s">
        <v>594</v>
      </c>
      <c r="H311" s="93" t="s">
        <v>6</v>
      </c>
      <c r="I311" s="92" t="s">
        <v>3605</v>
      </c>
      <c r="J311" s="67"/>
      <c r="K311" s="92" t="s">
        <v>1608</v>
      </c>
      <c r="L311" s="92" t="s">
        <v>3603</v>
      </c>
      <c r="M311" s="67"/>
      <c r="N311" s="67"/>
      <c r="O311" s="67"/>
    </row>
    <row r="312" spans="1:15" ht="30">
      <c r="A312" s="91" t="s">
        <v>10</v>
      </c>
      <c r="B312" s="92" t="s">
        <v>10</v>
      </c>
      <c r="C312" s="92" t="str">
        <f ca="1">IFERROR(__xludf.DUMMYFUNCTION("filter('Back End'!C:C,'Back End'!A:A=A312,'Back End'!B:B=B312,'Back End'!D:D=D312)"),"Kolanka")</f>
        <v>Kolanka</v>
      </c>
      <c r="D312" s="91" t="s">
        <v>509</v>
      </c>
      <c r="E312" s="92" t="s">
        <v>3606</v>
      </c>
      <c r="F312" s="91" t="s">
        <v>139</v>
      </c>
      <c r="G312" s="91" t="s">
        <v>594</v>
      </c>
      <c r="H312" s="93" t="s">
        <v>5</v>
      </c>
      <c r="I312" s="92" t="s">
        <v>3115</v>
      </c>
      <c r="J312" s="92">
        <v>9494777666</v>
      </c>
      <c r="K312" s="92" t="s">
        <v>1608</v>
      </c>
      <c r="L312" s="67"/>
      <c r="M312" s="67"/>
      <c r="N312" s="67"/>
      <c r="O312" s="67"/>
    </row>
    <row r="313" spans="1:15" ht="45">
      <c r="A313" s="91" t="s">
        <v>10</v>
      </c>
      <c r="B313" s="92" t="s">
        <v>10</v>
      </c>
      <c r="C313" s="92" t="str">
        <f ca="1">IFERROR(__xludf.DUMMYFUNCTION("filter('Back End'!C:C,'Back End'!A:A=A313,'Back End'!B:B=B313,'Back End'!D:D=D313)"),"Kolanka")</f>
        <v>Kolanka</v>
      </c>
      <c r="D313" s="91" t="s">
        <v>509</v>
      </c>
      <c r="E313" s="92" t="s">
        <v>3607</v>
      </c>
      <c r="F313" s="91" t="s">
        <v>139</v>
      </c>
      <c r="G313" s="91" t="s">
        <v>594</v>
      </c>
      <c r="H313" s="93" t="s">
        <v>5</v>
      </c>
      <c r="I313" s="92" t="s">
        <v>3205</v>
      </c>
      <c r="J313" s="92">
        <v>7780360522</v>
      </c>
      <c r="K313" s="92" t="s">
        <v>1608</v>
      </c>
      <c r="L313" s="67"/>
      <c r="M313" s="67"/>
      <c r="N313" s="67"/>
      <c r="O313" s="67"/>
    </row>
    <row r="314" spans="1:15" ht="30">
      <c r="A314" s="91" t="s">
        <v>10</v>
      </c>
      <c r="B314" s="92" t="s">
        <v>10</v>
      </c>
      <c r="C314" s="92" t="str">
        <f ca="1">IFERROR(__xludf.DUMMYFUNCTION("filter('Back End'!C:C,'Back End'!A:A=A314,'Back End'!B:B=B314,'Back End'!D:D=D314)"),"Kolanka")</f>
        <v>Kolanka</v>
      </c>
      <c r="D314" s="91" t="s">
        <v>509</v>
      </c>
      <c r="E314" s="92" t="s">
        <v>3608</v>
      </c>
      <c r="F314" s="91" t="s">
        <v>139</v>
      </c>
      <c r="G314" s="91" t="s">
        <v>594</v>
      </c>
      <c r="H314" s="93" t="s">
        <v>5</v>
      </c>
      <c r="I314" s="92" t="s">
        <v>3185</v>
      </c>
      <c r="J314" s="92">
        <v>9502255297</v>
      </c>
      <c r="K314" s="92" t="s">
        <v>1608</v>
      </c>
      <c r="L314" s="67"/>
      <c r="M314" s="67"/>
      <c r="N314" s="67"/>
      <c r="O314" s="67"/>
    </row>
    <row r="315" spans="1:15" ht="15">
      <c r="A315" s="91" t="s">
        <v>10</v>
      </c>
      <c r="B315" s="91" t="s">
        <v>10</v>
      </c>
      <c r="C315" s="92" t="str">
        <f ca="1">IFERROR(__xludf.DUMMYFUNCTION("filter('Back End'!C:C,'Back End'!A:A=A315,'Back End'!B:B=B315,'Back End'!D:D=D315)"),"Kolanka")</f>
        <v>Kolanka</v>
      </c>
      <c r="D315" s="91" t="s">
        <v>509</v>
      </c>
      <c r="E315" s="91" t="s">
        <v>3609</v>
      </c>
      <c r="F315" s="91" t="s">
        <v>139</v>
      </c>
      <c r="G315" s="91" t="s">
        <v>594</v>
      </c>
      <c r="H315" s="93" t="s">
        <v>4</v>
      </c>
      <c r="I315" s="92" t="s">
        <v>3112</v>
      </c>
      <c r="J315" s="92">
        <v>9959354516</v>
      </c>
      <c r="K315" s="67"/>
      <c r="L315" s="67"/>
      <c r="M315" s="67"/>
      <c r="N315" s="67"/>
      <c r="O315" s="67"/>
    </row>
    <row r="316" spans="1:15" ht="15">
      <c r="A316" s="91" t="s">
        <v>10</v>
      </c>
      <c r="B316" s="91" t="s">
        <v>10</v>
      </c>
      <c r="C316" s="92" t="str">
        <f ca="1">IFERROR(__xludf.DUMMYFUNCTION("filter('Back End'!C:C,'Back End'!A:A=A316,'Back End'!B:B=B316,'Back End'!D:D=D316)"),"Kolanka")</f>
        <v>Kolanka</v>
      </c>
      <c r="D316" s="91" t="s">
        <v>509</v>
      </c>
      <c r="E316" s="91" t="s">
        <v>3610</v>
      </c>
      <c r="F316" s="91" t="s">
        <v>139</v>
      </c>
      <c r="G316" s="91" t="s">
        <v>594</v>
      </c>
      <c r="H316" s="93" t="s">
        <v>4</v>
      </c>
      <c r="I316" s="92" t="s">
        <v>3125</v>
      </c>
      <c r="J316" s="92">
        <v>6305786774</v>
      </c>
      <c r="K316" s="67"/>
      <c r="L316" s="67"/>
      <c r="M316" s="67"/>
      <c r="N316" s="67"/>
      <c r="O316" s="67"/>
    </row>
    <row r="317" spans="1:15" ht="15">
      <c r="A317" s="91" t="s">
        <v>10</v>
      </c>
      <c r="B317" s="91" t="s">
        <v>10</v>
      </c>
      <c r="C317" s="92" t="str">
        <f ca="1">IFERROR(__xludf.DUMMYFUNCTION("filter('Back End'!C:C,'Back End'!A:A=A317,'Back End'!B:B=B317,'Back End'!D:D=D317)"),"Kolanka")</f>
        <v>Kolanka</v>
      </c>
      <c r="D317" s="91" t="s">
        <v>509</v>
      </c>
      <c r="E317" s="91" t="s">
        <v>3611</v>
      </c>
      <c r="F317" s="91" t="s">
        <v>139</v>
      </c>
      <c r="G317" s="91" t="s">
        <v>594</v>
      </c>
      <c r="H317" s="93" t="s">
        <v>4</v>
      </c>
      <c r="I317" s="92" t="s">
        <v>3504</v>
      </c>
      <c r="J317" s="92">
        <v>7780310779</v>
      </c>
      <c r="K317" s="67"/>
      <c r="L317" s="67"/>
      <c r="M317" s="67"/>
      <c r="N317" s="67"/>
      <c r="O317" s="67"/>
    </row>
    <row r="318" spans="1:15" ht="30">
      <c r="A318" s="91" t="s">
        <v>10</v>
      </c>
      <c r="B318" s="92" t="s">
        <v>10</v>
      </c>
      <c r="C318" s="92" t="str">
        <f ca="1">IFERROR(__xludf.DUMMYFUNCTION("filter('Back End'!C:C,'Back End'!A:A=A318,'Back End'!B:B=B318,'Back End'!D:D=D318)"),"Fakruddinpalem")</f>
        <v>Fakruddinpalem</v>
      </c>
      <c r="D318" s="91" t="s">
        <v>497</v>
      </c>
      <c r="E318" s="92" t="s">
        <v>3612</v>
      </c>
      <c r="F318" s="91" t="s">
        <v>139</v>
      </c>
      <c r="G318" s="91" t="s">
        <v>594</v>
      </c>
      <c r="H318" s="93" t="s">
        <v>6</v>
      </c>
      <c r="I318" s="92" t="s">
        <v>3613</v>
      </c>
      <c r="J318" s="92">
        <v>9177642075</v>
      </c>
      <c r="K318" s="92" t="s">
        <v>1608</v>
      </c>
      <c r="L318" s="67"/>
      <c r="M318" s="67"/>
      <c r="N318" s="67"/>
      <c r="O318" s="67"/>
    </row>
    <row r="319" spans="1:15" ht="45">
      <c r="A319" s="91" t="s">
        <v>10</v>
      </c>
      <c r="B319" s="92" t="s">
        <v>10</v>
      </c>
      <c r="C319" s="92" t="str">
        <f ca="1">IFERROR(__xludf.DUMMYFUNCTION("filter('Back End'!C:C,'Back End'!A:A=A319,'Back End'!B:B=B319,'Back End'!D:D=D319)"),"Fakruddinpalem")</f>
        <v>Fakruddinpalem</v>
      </c>
      <c r="D319" s="91" t="s">
        <v>497</v>
      </c>
      <c r="E319" s="92" t="s">
        <v>3614</v>
      </c>
      <c r="F319" s="91" t="s">
        <v>139</v>
      </c>
      <c r="G319" s="91" t="s">
        <v>594</v>
      </c>
      <c r="H319" s="93" t="s">
        <v>5</v>
      </c>
      <c r="I319" s="92" t="s">
        <v>3185</v>
      </c>
      <c r="J319" s="92" t="s">
        <v>2631</v>
      </c>
      <c r="K319" s="92" t="s">
        <v>1608</v>
      </c>
      <c r="L319" s="92" t="s">
        <v>3615</v>
      </c>
      <c r="M319" s="67"/>
      <c r="N319" s="67"/>
      <c r="O319" s="67"/>
    </row>
    <row r="320" spans="1:15" ht="30">
      <c r="A320" s="91" t="s">
        <v>10</v>
      </c>
      <c r="B320" s="92" t="s">
        <v>10</v>
      </c>
      <c r="C320" s="92" t="str">
        <f ca="1">IFERROR(__xludf.DUMMYFUNCTION("filter('Back End'!C:C,'Back End'!A:A=A320,'Back End'!B:B=B320,'Back End'!D:D=D320)"),"Fakruddinpalem")</f>
        <v>Fakruddinpalem</v>
      </c>
      <c r="D320" s="91" t="s">
        <v>497</v>
      </c>
      <c r="E320" s="92" t="s">
        <v>3616</v>
      </c>
      <c r="F320" s="91" t="s">
        <v>139</v>
      </c>
      <c r="G320" s="91" t="s">
        <v>594</v>
      </c>
      <c r="H320" s="93" t="s">
        <v>6</v>
      </c>
      <c r="I320" s="92" t="s">
        <v>3617</v>
      </c>
      <c r="J320" s="92">
        <v>8978999268</v>
      </c>
      <c r="K320" s="92" t="s">
        <v>1608</v>
      </c>
      <c r="L320" s="92" t="s">
        <v>3618</v>
      </c>
      <c r="M320" s="67"/>
      <c r="N320" s="67"/>
      <c r="O320" s="67"/>
    </row>
    <row r="321" spans="1:15" ht="30">
      <c r="A321" s="91" t="s">
        <v>10</v>
      </c>
      <c r="B321" s="91" t="s">
        <v>10</v>
      </c>
      <c r="C321" s="92" t="str">
        <f ca="1">IFERROR(__xludf.DUMMYFUNCTION("filter('Back End'!C:C,'Back End'!A:A=A321,'Back End'!B:B=B321,'Back End'!D:D=D321)"),"Fakruddinpalem")</f>
        <v>Fakruddinpalem</v>
      </c>
      <c r="D321" s="91" t="s">
        <v>497</v>
      </c>
      <c r="E321" s="91" t="s">
        <v>3619</v>
      </c>
      <c r="F321" s="91" t="s">
        <v>114</v>
      </c>
      <c r="G321" s="91" t="s">
        <v>85</v>
      </c>
      <c r="H321" s="93" t="s">
        <v>4</v>
      </c>
      <c r="I321" s="92" t="s">
        <v>3142</v>
      </c>
      <c r="J321" s="92">
        <v>7013923129</v>
      </c>
      <c r="K321" s="67"/>
      <c r="L321" s="67"/>
      <c r="M321" s="67"/>
      <c r="N321" s="67"/>
      <c r="O321" s="67"/>
    </row>
    <row r="322" spans="1:15" ht="30">
      <c r="A322" s="91" t="s">
        <v>10</v>
      </c>
      <c r="B322" s="91" t="s">
        <v>10</v>
      </c>
      <c r="C322" s="92" t="str">
        <f ca="1">IFERROR(__xludf.DUMMYFUNCTION("filter('Back End'!C:C,'Back End'!A:A=A322,'Back End'!B:B=B322,'Back End'!D:D=D322)"),"Fakruddinpalem")</f>
        <v>Fakruddinpalem</v>
      </c>
      <c r="D322" s="91" t="s">
        <v>497</v>
      </c>
      <c r="E322" s="91" t="s">
        <v>3620</v>
      </c>
      <c r="F322" s="91" t="s">
        <v>1665</v>
      </c>
      <c r="G322" s="91" t="s">
        <v>615</v>
      </c>
      <c r="H322" s="93" t="s">
        <v>4</v>
      </c>
      <c r="I322" s="92" t="s">
        <v>3142</v>
      </c>
      <c r="J322" s="92">
        <v>9848114456</v>
      </c>
      <c r="K322" s="67"/>
      <c r="L322" s="67"/>
      <c r="M322" s="67"/>
      <c r="N322" s="67"/>
      <c r="O322" s="67"/>
    </row>
    <row r="323" spans="1:15" ht="15">
      <c r="A323" s="91" t="s">
        <v>10</v>
      </c>
      <c r="B323" s="91" t="s">
        <v>10</v>
      </c>
      <c r="C323" s="92" t="str">
        <f ca="1">IFERROR(__xludf.DUMMYFUNCTION("filter('Back End'!C:C,'Back End'!A:A=A323,'Back End'!B:B=B323,'Back End'!D:D=D323)"),"Fakruddinpalem")</f>
        <v>Fakruddinpalem</v>
      </c>
      <c r="D323" s="91" t="s">
        <v>497</v>
      </c>
      <c r="E323" s="91" t="s">
        <v>3621</v>
      </c>
      <c r="F323" s="91" t="s">
        <v>139</v>
      </c>
      <c r="G323" s="91" t="s">
        <v>594</v>
      </c>
      <c r="H323" s="93" t="s">
        <v>4</v>
      </c>
      <c r="I323" s="92" t="s">
        <v>3125</v>
      </c>
      <c r="J323" s="92">
        <v>9441190949</v>
      </c>
      <c r="K323" s="67"/>
      <c r="L323" s="67"/>
      <c r="M323" s="67"/>
      <c r="N323" s="67"/>
      <c r="O323" s="67"/>
    </row>
    <row r="324" spans="1:15" ht="45">
      <c r="A324" s="91" t="s">
        <v>10</v>
      </c>
      <c r="B324" s="92" t="s">
        <v>10</v>
      </c>
      <c r="C324" s="92" t="str">
        <f ca="1">IFERROR(__xludf.DUMMYFUNCTION("filter('Back End'!C:C,'Back End'!A:A=A324,'Back End'!B:B=B324,'Back End'!D:D=D324)"),"Narasingapuram")</f>
        <v>Narasingapuram</v>
      </c>
      <c r="D324" s="91" t="s">
        <v>523</v>
      </c>
      <c r="E324" s="92" t="s">
        <v>3622</v>
      </c>
      <c r="F324" s="91" t="s">
        <v>1669</v>
      </c>
      <c r="G324" s="91" t="s">
        <v>594</v>
      </c>
      <c r="H324" s="93" t="s">
        <v>5</v>
      </c>
      <c r="I324" s="92" t="s">
        <v>3623</v>
      </c>
      <c r="J324" s="67"/>
      <c r="K324" s="92" t="s">
        <v>1608</v>
      </c>
      <c r="L324" s="92" t="s">
        <v>3218</v>
      </c>
      <c r="M324" s="67"/>
      <c r="N324" s="67"/>
      <c r="O324" s="67"/>
    </row>
    <row r="325" spans="1:15" ht="45">
      <c r="A325" s="91" t="s">
        <v>10</v>
      </c>
      <c r="B325" s="92" t="s">
        <v>10</v>
      </c>
      <c r="C325" s="92" t="str">
        <f ca="1">IFERROR(__xludf.DUMMYFUNCTION("filter('Back End'!C:C,'Back End'!A:A=A325,'Back End'!B:B=B325,'Back End'!D:D=D325)"),"Narasingapuram")</f>
        <v>Narasingapuram</v>
      </c>
      <c r="D325" s="91" t="s">
        <v>523</v>
      </c>
      <c r="E325" s="92" t="s">
        <v>3624</v>
      </c>
      <c r="F325" s="91" t="s">
        <v>1669</v>
      </c>
      <c r="G325" s="91" t="s">
        <v>615</v>
      </c>
      <c r="H325" s="93" t="s">
        <v>4</v>
      </c>
      <c r="I325" s="92" t="s">
        <v>3625</v>
      </c>
      <c r="J325" s="92">
        <v>7794077989</v>
      </c>
      <c r="K325" s="92" t="s">
        <v>1608</v>
      </c>
      <c r="L325" s="92" t="s">
        <v>3218</v>
      </c>
      <c r="M325" s="67"/>
      <c r="N325" s="67"/>
      <c r="O325" s="67"/>
    </row>
    <row r="326" spans="1:15" ht="30">
      <c r="A326" s="91" t="s">
        <v>10</v>
      </c>
      <c r="B326" s="92" t="s">
        <v>10</v>
      </c>
      <c r="C326" s="92" t="str">
        <f ca="1">IFERROR(__xludf.DUMMYFUNCTION("filter('Back End'!C:C,'Back End'!A:A=A326,'Back End'!B:B=B326,'Back End'!D:D=D326)"),"Narasingapuram")</f>
        <v>Narasingapuram</v>
      </c>
      <c r="D326" s="91" t="s">
        <v>523</v>
      </c>
      <c r="E326" s="92" t="s">
        <v>3626</v>
      </c>
      <c r="F326" s="91" t="s">
        <v>114</v>
      </c>
      <c r="G326" s="91" t="s">
        <v>85</v>
      </c>
      <c r="H326" s="93" t="s">
        <v>4</v>
      </c>
      <c r="I326" s="92" t="s">
        <v>3185</v>
      </c>
      <c r="J326" s="92">
        <v>8886773427</v>
      </c>
      <c r="K326" s="92" t="s">
        <v>1613</v>
      </c>
      <c r="L326" s="92" t="s">
        <v>3627</v>
      </c>
      <c r="M326" s="67"/>
      <c r="N326" s="67"/>
      <c r="O326" s="67"/>
    </row>
    <row r="327" spans="1:15" ht="30">
      <c r="A327" s="91" t="s">
        <v>10</v>
      </c>
      <c r="B327" s="92" t="s">
        <v>10</v>
      </c>
      <c r="C327" s="92" t="str">
        <f ca="1">IFERROR(__xludf.DUMMYFUNCTION("filter('Back End'!C:C,'Back End'!A:A=A327,'Back End'!B:B=B327,'Back End'!D:D=D327)"),"Narasingapuram")</f>
        <v>Narasingapuram</v>
      </c>
      <c r="D327" s="91" t="s">
        <v>523</v>
      </c>
      <c r="E327" s="92" t="s">
        <v>3628</v>
      </c>
      <c r="F327" s="91" t="s">
        <v>1669</v>
      </c>
      <c r="G327" s="91" t="s">
        <v>615</v>
      </c>
      <c r="H327" s="93" t="s">
        <v>5</v>
      </c>
      <c r="I327" s="92" t="s">
        <v>3115</v>
      </c>
      <c r="J327" s="92">
        <v>9502951625</v>
      </c>
      <c r="K327" s="92" t="s">
        <v>1608</v>
      </c>
      <c r="L327" s="67"/>
      <c r="M327" s="67"/>
      <c r="N327" s="67"/>
      <c r="O327" s="67"/>
    </row>
    <row r="328" spans="1:15" ht="30">
      <c r="A328" s="91" t="s">
        <v>10</v>
      </c>
      <c r="B328" s="92" t="s">
        <v>10</v>
      </c>
      <c r="C328" s="92" t="str">
        <f ca="1">IFERROR(__xludf.DUMMYFUNCTION("filter('Back End'!C:C,'Back End'!A:A=A328,'Back End'!B:B=B328,'Back End'!D:D=D328)"),"Narasingapuram")</f>
        <v>Narasingapuram</v>
      </c>
      <c r="D328" s="91" t="s">
        <v>523</v>
      </c>
      <c r="E328" s="92" t="s">
        <v>3629</v>
      </c>
      <c r="F328" s="91" t="s">
        <v>114</v>
      </c>
      <c r="G328" s="91" t="s">
        <v>85</v>
      </c>
      <c r="H328" s="93" t="s">
        <v>5</v>
      </c>
      <c r="I328" s="92" t="s">
        <v>3205</v>
      </c>
      <c r="J328" s="92">
        <v>9701825489</v>
      </c>
      <c r="K328" s="92" t="s">
        <v>1603</v>
      </c>
      <c r="L328" s="67"/>
      <c r="M328" s="67"/>
      <c r="N328" s="67"/>
      <c r="O328" s="67"/>
    </row>
    <row r="329" spans="1:15" ht="30">
      <c r="A329" s="91" t="s">
        <v>10</v>
      </c>
      <c r="B329" s="92" t="s">
        <v>10</v>
      </c>
      <c r="C329" s="92" t="str">
        <f ca="1">IFERROR(__xludf.DUMMYFUNCTION("filter('Back End'!C:C,'Back End'!A:A=A329,'Back End'!B:B=B329,'Back End'!D:D=D329)"),"Narasingapuram")</f>
        <v>Narasingapuram</v>
      </c>
      <c r="D329" s="91" t="s">
        <v>523</v>
      </c>
      <c r="E329" s="92" t="s">
        <v>3630</v>
      </c>
      <c r="F329" s="91" t="s">
        <v>139</v>
      </c>
      <c r="G329" s="91" t="s">
        <v>594</v>
      </c>
      <c r="H329" s="93" t="s">
        <v>5</v>
      </c>
      <c r="I329" s="92" t="s">
        <v>3570</v>
      </c>
      <c r="J329" s="92" t="s">
        <v>2631</v>
      </c>
      <c r="K329" s="92" t="s">
        <v>1608</v>
      </c>
      <c r="L329" s="67"/>
      <c r="M329" s="67"/>
      <c r="N329" s="67"/>
      <c r="O329" s="67"/>
    </row>
    <row r="330" spans="1:15" ht="45">
      <c r="A330" s="91" t="s">
        <v>10</v>
      </c>
      <c r="B330" s="92" t="s">
        <v>10</v>
      </c>
      <c r="C330" s="92" t="str">
        <f ca="1">IFERROR(__xludf.DUMMYFUNCTION("filter('Back End'!C:C,'Back End'!A:A=A330,'Back End'!B:B=B330,'Back End'!D:D=D330)"),"Narasingapuram")</f>
        <v>Narasingapuram</v>
      </c>
      <c r="D330" s="91" t="s">
        <v>523</v>
      </c>
      <c r="E330" s="92" t="s">
        <v>3631</v>
      </c>
      <c r="F330" s="91" t="s">
        <v>114</v>
      </c>
      <c r="G330" s="91" t="s">
        <v>85</v>
      </c>
      <c r="H330" s="93" t="s">
        <v>5</v>
      </c>
      <c r="I330" s="92" t="s">
        <v>3632</v>
      </c>
      <c r="J330" s="92">
        <v>9345586880</v>
      </c>
      <c r="K330" s="92" t="s">
        <v>1603</v>
      </c>
      <c r="L330" s="67"/>
      <c r="M330" s="67"/>
      <c r="N330" s="67"/>
      <c r="O330" s="67"/>
    </row>
    <row r="331" spans="1:15" ht="30">
      <c r="A331" s="91" t="s">
        <v>10</v>
      </c>
      <c r="B331" s="91" t="s">
        <v>10</v>
      </c>
      <c r="C331" s="92" t="str">
        <f ca="1">IFERROR(__xludf.DUMMYFUNCTION("filter('Back End'!C:C,'Back End'!A:A=A331,'Back End'!B:B=B331,'Back End'!D:D=D331)"),"Narasingapuram")</f>
        <v>Narasingapuram</v>
      </c>
      <c r="D331" s="91" t="s">
        <v>523</v>
      </c>
      <c r="E331" s="91" t="s">
        <v>3633</v>
      </c>
      <c r="F331" s="91" t="s">
        <v>114</v>
      </c>
      <c r="G331" s="91" t="s">
        <v>85</v>
      </c>
      <c r="H331" s="93" t="s">
        <v>5</v>
      </c>
      <c r="I331" s="92" t="s">
        <v>3634</v>
      </c>
      <c r="J331" s="92">
        <v>9866029672</v>
      </c>
      <c r="K331" s="67"/>
      <c r="L331" s="67"/>
      <c r="M331" s="67"/>
      <c r="N331" s="67"/>
      <c r="O331" s="67"/>
    </row>
    <row r="332" spans="1:15" ht="45">
      <c r="A332" s="91" t="s">
        <v>10</v>
      </c>
      <c r="B332" s="91" t="s">
        <v>10</v>
      </c>
      <c r="C332" s="92" t="str">
        <f ca="1">IFERROR(__xludf.DUMMYFUNCTION("filter('Back End'!C:C,'Back End'!A:A=A332,'Back End'!B:B=B332,'Back End'!D:D=D332)"),"Narasingapuram")</f>
        <v>Narasingapuram</v>
      </c>
      <c r="D332" s="91" t="s">
        <v>523</v>
      </c>
      <c r="E332" s="91" t="s">
        <v>3635</v>
      </c>
      <c r="F332" s="91" t="s">
        <v>1669</v>
      </c>
      <c r="G332" s="91" t="s">
        <v>615</v>
      </c>
      <c r="H332" s="93" t="s">
        <v>4</v>
      </c>
      <c r="I332" s="92" t="s">
        <v>3636</v>
      </c>
      <c r="J332" s="92">
        <v>7794077989</v>
      </c>
      <c r="K332" s="67"/>
      <c r="L332" s="67"/>
      <c r="M332" s="67"/>
      <c r="N332" s="67"/>
      <c r="O332" s="67"/>
    </row>
    <row r="333" spans="1:15" ht="60">
      <c r="A333" s="91" t="s">
        <v>10</v>
      </c>
      <c r="B333" s="91" t="s">
        <v>10</v>
      </c>
      <c r="C333" s="92" t="str">
        <f ca="1">IFERROR(__xludf.DUMMYFUNCTION("filter('Back End'!C:C,'Back End'!A:A=A333,'Back End'!B:B=B333,'Back End'!D:D=D333)"),"Narasingapuram")</f>
        <v>Narasingapuram</v>
      </c>
      <c r="D333" s="91" t="s">
        <v>523</v>
      </c>
      <c r="E333" s="91" t="s">
        <v>3637</v>
      </c>
      <c r="F333" s="91" t="s">
        <v>114</v>
      </c>
      <c r="G333" s="91" t="s">
        <v>85</v>
      </c>
      <c r="H333" s="93" t="s">
        <v>4</v>
      </c>
      <c r="I333" s="92" t="s">
        <v>3638</v>
      </c>
      <c r="J333" s="92">
        <v>9652015066</v>
      </c>
      <c r="K333" s="67"/>
      <c r="L333" s="67"/>
      <c r="M333" s="67"/>
      <c r="N333" s="67"/>
      <c r="O333" s="67"/>
    </row>
    <row r="334" spans="1:15" ht="30">
      <c r="A334" s="91" t="s">
        <v>10</v>
      </c>
      <c r="B334" s="91" t="s">
        <v>10</v>
      </c>
      <c r="C334" s="92" t="str">
        <f ca="1">IFERROR(__xludf.DUMMYFUNCTION("filter('Back End'!C:C,'Back End'!A:A=A334,'Back End'!B:B=B334,'Back End'!D:D=D334)"),"Narasingapuram")</f>
        <v>Narasingapuram</v>
      </c>
      <c r="D334" s="91" t="s">
        <v>523</v>
      </c>
      <c r="E334" s="91" t="s">
        <v>3639</v>
      </c>
      <c r="F334" s="91" t="s">
        <v>114</v>
      </c>
      <c r="G334" s="91" t="s">
        <v>85</v>
      </c>
      <c r="H334" s="93" t="s">
        <v>4</v>
      </c>
      <c r="I334" s="92" t="s">
        <v>3634</v>
      </c>
      <c r="J334" s="92">
        <v>9666551965</v>
      </c>
      <c r="K334" s="67"/>
      <c r="L334" s="67"/>
      <c r="M334" s="67"/>
      <c r="N334" s="67"/>
      <c r="O334" s="67"/>
    </row>
    <row r="335" spans="1:15" ht="15">
      <c r="A335" s="109" t="s">
        <v>10</v>
      </c>
      <c r="B335" s="109" t="s">
        <v>10</v>
      </c>
      <c r="C335" s="92" t="str">
        <f ca="1">IFERROR(__xludf.DUMMYFUNCTION("filter('Back End'!C:C,'Back End'!A:A=A335,'Back End'!B:B=B335,'Back End'!D:D=D335)"),"Narasingapuram")</f>
        <v>Narasingapuram</v>
      </c>
      <c r="D335" s="91" t="s">
        <v>523</v>
      </c>
      <c r="E335" s="91" t="s">
        <v>3640</v>
      </c>
      <c r="F335" s="91" t="s">
        <v>1669</v>
      </c>
      <c r="G335" s="91" t="s">
        <v>615</v>
      </c>
      <c r="H335" s="93" t="s">
        <v>4</v>
      </c>
      <c r="I335" s="92" t="s">
        <v>3185</v>
      </c>
      <c r="J335" s="67"/>
      <c r="K335" s="67"/>
      <c r="L335" s="67"/>
      <c r="M335" s="67"/>
      <c r="N335" s="67"/>
      <c r="O335" s="67"/>
    </row>
    <row r="336" spans="1:15" ht="15">
      <c r="A336" s="109" t="s">
        <v>10</v>
      </c>
      <c r="B336" s="109" t="s">
        <v>10</v>
      </c>
      <c r="C336" s="92" t="str">
        <f ca="1">IFERROR(__xludf.DUMMYFUNCTION("filter('Back End'!C:C,'Back End'!A:A=A336,'Back End'!B:B=B336,'Back End'!D:D=D336)"),"Narasingapuram")</f>
        <v>Narasingapuram</v>
      </c>
      <c r="D336" s="91" t="s">
        <v>523</v>
      </c>
      <c r="E336" s="91" t="s">
        <v>3641</v>
      </c>
      <c r="F336" s="91" t="s">
        <v>114</v>
      </c>
      <c r="G336" s="91" t="s">
        <v>85</v>
      </c>
      <c r="H336" s="93" t="s">
        <v>5</v>
      </c>
      <c r="I336" s="92" t="s">
        <v>3185</v>
      </c>
      <c r="J336" s="91">
        <v>7013406398</v>
      </c>
      <c r="K336" s="67"/>
      <c r="L336" s="67"/>
      <c r="M336" s="67"/>
      <c r="N336" s="67"/>
      <c r="O336" s="67"/>
    </row>
    <row r="337" spans="1:15" ht="30">
      <c r="A337" s="91" t="s">
        <v>7</v>
      </c>
      <c r="B337" s="92" t="s">
        <v>7</v>
      </c>
      <c r="C337" s="92" t="str">
        <f ca="1">IFERROR(__xludf.DUMMYFUNCTION("filter('Back End'!C:C,'Back End'!A:A=A337,'Back End'!B:B=B337,'Back End'!D:D=D337)"),"#N/A")</f>
        <v>#N/A</v>
      </c>
      <c r="D337" s="91" t="s">
        <v>3642</v>
      </c>
      <c r="E337" s="92" t="s">
        <v>3643</v>
      </c>
      <c r="F337" s="91" t="s">
        <v>1674</v>
      </c>
      <c r="G337" s="91" t="s">
        <v>615</v>
      </c>
      <c r="H337" s="93" t="s">
        <v>5</v>
      </c>
      <c r="I337" s="92" t="s">
        <v>3115</v>
      </c>
      <c r="J337" s="92">
        <v>9502004587</v>
      </c>
      <c r="K337" s="92" t="s">
        <v>1593</v>
      </c>
      <c r="L337" s="67"/>
      <c r="M337" s="67"/>
      <c r="N337" s="67"/>
      <c r="O337" s="67"/>
    </row>
    <row r="338" spans="1:15" ht="30">
      <c r="A338" s="91" t="s">
        <v>7</v>
      </c>
      <c r="B338" s="92" t="s">
        <v>7</v>
      </c>
      <c r="C338" s="92" t="str">
        <f ca="1">IFERROR(__xludf.DUMMYFUNCTION("filter('Back End'!C:C,'Back End'!A:A=A338,'Back End'!B:B=B338,'Back End'!D:D=D338)"),"#N/A")</f>
        <v>#N/A</v>
      </c>
      <c r="D338" s="91" t="s">
        <v>3642</v>
      </c>
      <c r="E338" s="92" t="s">
        <v>3644</v>
      </c>
      <c r="F338" s="91" t="s">
        <v>1674</v>
      </c>
      <c r="G338" s="91" t="s">
        <v>615</v>
      </c>
      <c r="H338" s="93" t="s">
        <v>5</v>
      </c>
      <c r="I338" s="92" t="s">
        <v>3645</v>
      </c>
      <c r="J338" s="92">
        <v>9000831289</v>
      </c>
      <c r="K338" s="67"/>
      <c r="L338" s="67"/>
      <c r="M338" s="67"/>
      <c r="N338" s="67"/>
      <c r="O338" s="67"/>
    </row>
    <row r="339" spans="1:15" ht="30">
      <c r="A339" s="91" t="s">
        <v>7</v>
      </c>
      <c r="B339" s="92" t="s">
        <v>7</v>
      </c>
      <c r="C339" s="92" t="str">
        <f ca="1">IFERROR(__xludf.DUMMYFUNCTION("filter('Back End'!C:C,'Back End'!A:A=A339,'Back End'!B:B=B339,'Back End'!D:D=D339)"),"#N/A")</f>
        <v>#N/A</v>
      </c>
      <c r="D339" s="91" t="s">
        <v>3642</v>
      </c>
      <c r="E339" s="92" t="s">
        <v>3646</v>
      </c>
      <c r="F339" s="91" t="s">
        <v>1674</v>
      </c>
      <c r="G339" s="91" t="s">
        <v>615</v>
      </c>
      <c r="H339" s="93" t="s">
        <v>5</v>
      </c>
      <c r="I339" s="92" t="s">
        <v>3647</v>
      </c>
      <c r="J339" s="92">
        <v>9948493541</v>
      </c>
      <c r="K339" s="92" t="s">
        <v>1603</v>
      </c>
      <c r="L339" s="67"/>
      <c r="M339" s="67"/>
      <c r="N339" s="67"/>
      <c r="O339" s="67"/>
    </row>
    <row r="340" spans="1:15" ht="60">
      <c r="A340" s="91" t="s">
        <v>7</v>
      </c>
      <c r="B340" s="92" t="s">
        <v>7</v>
      </c>
      <c r="C340" s="92" t="str">
        <f ca="1">IFERROR(__xludf.DUMMYFUNCTION("filter('Back End'!C:C,'Back End'!A:A=A340,'Back End'!B:B=B340,'Back End'!D:D=D340)"),"#N/A")</f>
        <v>#N/A</v>
      </c>
      <c r="D340" s="91" t="s">
        <v>3642</v>
      </c>
      <c r="E340" s="92" t="s">
        <v>3648</v>
      </c>
      <c r="F340" s="91" t="s">
        <v>1674</v>
      </c>
      <c r="G340" s="91" t="s">
        <v>615</v>
      </c>
      <c r="H340" s="93" t="s">
        <v>5</v>
      </c>
      <c r="I340" s="92" t="s">
        <v>3649</v>
      </c>
      <c r="J340" s="92">
        <v>9177716717</v>
      </c>
      <c r="K340" s="67"/>
      <c r="L340" s="67"/>
      <c r="M340" s="67"/>
      <c r="N340" s="67"/>
      <c r="O340" s="67"/>
    </row>
    <row r="341" spans="1:15" ht="30">
      <c r="A341" s="91" t="s">
        <v>7</v>
      </c>
      <c r="B341" s="92" t="s">
        <v>7</v>
      </c>
      <c r="C341" s="92" t="str">
        <f ca="1">IFERROR(__xludf.DUMMYFUNCTION("filter('Back End'!C:C,'Back End'!A:A=A341,'Back End'!B:B=B341,'Back End'!D:D=D341)"),"#N/A")</f>
        <v>#N/A</v>
      </c>
      <c r="D341" s="91" t="s">
        <v>3642</v>
      </c>
      <c r="E341" s="92" t="s">
        <v>3650</v>
      </c>
      <c r="F341" s="91" t="s">
        <v>1674</v>
      </c>
      <c r="G341" s="91" t="s">
        <v>615</v>
      </c>
      <c r="H341" s="93" t="s">
        <v>4</v>
      </c>
      <c r="I341" s="92" t="s">
        <v>3651</v>
      </c>
      <c r="J341" s="92">
        <v>9032987172</v>
      </c>
      <c r="K341" s="92" t="s">
        <v>1603</v>
      </c>
      <c r="L341" s="67"/>
      <c r="M341" s="67"/>
      <c r="N341" s="67"/>
      <c r="O341" s="67"/>
    </row>
    <row r="342" spans="1:15" ht="45">
      <c r="A342" s="91" t="s">
        <v>7</v>
      </c>
      <c r="B342" s="92" t="s">
        <v>7</v>
      </c>
      <c r="C342" s="92" t="str">
        <f ca="1">IFERROR(__xludf.DUMMYFUNCTION("filter('Back End'!C:C,'Back End'!A:A=A342,'Back End'!B:B=B342,'Back End'!D:D=D342)"),"#N/A")</f>
        <v>#N/A</v>
      </c>
      <c r="D342" s="91" t="s">
        <v>3642</v>
      </c>
      <c r="E342" s="92" t="s">
        <v>3652</v>
      </c>
      <c r="F342" s="91" t="s">
        <v>1674</v>
      </c>
      <c r="G342" s="91" t="s">
        <v>615</v>
      </c>
      <c r="H342" s="93" t="s">
        <v>4</v>
      </c>
      <c r="I342" s="92" t="s">
        <v>3653</v>
      </c>
      <c r="J342" s="92">
        <v>900140947</v>
      </c>
      <c r="K342" s="92" t="s">
        <v>1593</v>
      </c>
      <c r="L342" s="67"/>
      <c r="M342" s="67"/>
      <c r="N342" s="67"/>
      <c r="O342" s="67"/>
    </row>
    <row r="343" spans="1:15" ht="60">
      <c r="A343" s="91" t="s">
        <v>7</v>
      </c>
      <c r="B343" s="92" t="s">
        <v>7</v>
      </c>
      <c r="C343" s="92" t="str">
        <f ca="1">IFERROR(__xludf.DUMMYFUNCTION("filter('Back End'!C:C,'Back End'!A:A=A343,'Back End'!B:B=B343,'Back End'!D:D=D343)"),"#N/A")</f>
        <v>#N/A</v>
      </c>
      <c r="D343" s="91" t="s">
        <v>3642</v>
      </c>
      <c r="E343" s="92" t="s">
        <v>3654</v>
      </c>
      <c r="F343" s="91" t="s">
        <v>1674</v>
      </c>
      <c r="G343" s="91" t="s">
        <v>615</v>
      </c>
      <c r="H343" s="93" t="s">
        <v>4</v>
      </c>
      <c r="I343" s="92" t="s">
        <v>3655</v>
      </c>
      <c r="J343" s="92">
        <v>9908792115</v>
      </c>
      <c r="K343" s="67"/>
      <c r="L343" s="92" t="s">
        <v>3542</v>
      </c>
      <c r="M343" s="67"/>
      <c r="N343" s="67"/>
      <c r="O343" s="67"/>
    </row>
    <row r="344" spans="1:15" ht="60">
      <c r="A344" s="91" t="s">
        <v>7</v>
      </c>
      <c r="B344" s="92" t="s">
        <v>7</v>
      </c>
      <c r="C344" s="92" t="str">
        <f ca="1">IFERROR(__xludf.DUMMYFUNCTION("filter('Back End'!C:C,'Back End'!A:A=A344,'Back End'!B:B=B344,'Back End'!D:D=D344)"),"#N/A")</f>
        <v>#N/A</v>
      </c>
      <c r="D344" s="91" t="s">
        <v>3642</v>
      </c>
      <c r="E344" s="92" t="s">
        <v>3656</v>
      </c>
      <c r="F344" s="91" t="s">
        <v>94</v>
      </c>
      <c r="G344" s="91" t="s">
        <v>615</v>
      </c>
      <c r="H344" s="93" t="s">
        <v>4</v>
      </c>
      <c r="I344" s="92" t="s">
        <v>3185</v>
      </c>
      <c r="J344" s="92">
        <v>9948493541</v>
      </c>
      <c r="K344" s="67"/>
      <c r="L344" s="92" t="s">
        <v>3542</v>
      </c>
      <c r="M344" s="67"/>
      <c r="N344" s="67"/>
      <c r="O344" s="67"/>
    </row>
    <row r="345" spans="1:15" ht="60">
      <c r="A345" s="91" t="s">
        <v>7</v>
      </c>
      <c r="B345" s="92" t="s">
        <v>7</v>
      </c>
      <c r="C345" s="92" t="str">
        <f ca="1">IFERROR(__xludf.DUMMYFUNCTION("filter('Back End'!C:C,'Back End'!A:A=A345,'Back End'!B:B=B345,'Back End'!D:D=D345)"),"#N/A")</f>
        <v>#N/A</v>
      </c>
      <c r="D345" s="91" t="s">
        <v>3642</v>
      </c>
      <c r="E345" s="92" t="s">
        <v>3657</v>
      </c>
      <c r="F345" s="91" t="s">
        <v>1674</v>
      </c>
      <c r="G345" s="91" t="s">
        <v>615</v>
      </c>
      <c r="H345" s="93" t="s">
        <v>5</v>
      </c>
      <c r="I345" s="92" t="s">
        <v>3140</v>
      </c>
      <c r="J345" s="92">
        <v>9704515144</v>
      </c>
      <c r="K345" s="67"/>
      <c r="L345" s="92" t="s">
        <v>3658</v>
      </c>
      <c r="M345" s="67"/>
      <c r="N345" s="67"/>
      <c r="O345" s="67"/>
    </row>
    <row r="346" spans="1:15" ht="60">
      <c r="A346" s="91" t="s">
        <v>7</v>
      </c>
      <c r="B346" s="92" t="s">
        <v>7</v>
      </c>
      <c r="C346" s="92" t="str">
        <f ca="1">IFERROR(__xludf.DUMMYFUNCTION("filter('Back End'!C:C,'Back End'!A:A=A346,'Back End'!B:B=B346,'Back End'!D:D=D346)"),"#N/A")</f>
        <v>#N/A</v>
      </c>
      <c r="D346" s="91" t="s">
        <v>3642</v>
      </c>
      <c r="E346" s="92" t="s">
        <v>3659</v>
      </c>
      <c r="F346" s="91" t="s">
        <v>1674</v>
      </c>
      <c r="G346" s="91" t="s">
        <v>615</v>
      </c>
      <c r="H346" s="93" t="s">
        <v>5</v>
      </c>
      <c r="I346" s="92" t="s">
        <v>3140</v>
      </c>
      <c r="J346" s="92">
        <v>9177716717</v>
      </c>
      <c r="K346" s="67"/>
      <c r="L346" s="92" t="s">
        <v>3542</v>
      </c>
      <c r="M346" s="67"/>
      <c r="N346" s="67"/>
      <c r="O346" s="67"/>
    </row>
    <row r="347" spans="1:15" ht="45">
      <c r="A347" s="91" t="s">
        <v>7</v>
      </c>
      <c r="B347" s="92" t="s">
        <v>7</v>
      </c>
      <c r="C347" s="92" t="str">
        <f ca="1">IFERROR(__xludf.DUMMYFUNCTION("filter('Back End'!C:C,'Back End'!A:A=A347,'Back End'!B:B=B347,'Back End'!D:D=D347)"),"#N/A")</f>
        <v>#N/A</v>
      </c>
      <c r="D347" s="91" t="s">
        <v>3642</v>
      </c>
      <c r="E347" s="92" t="s">
        <v>3648</v>
      </c>
      <c r="F347" s="91" t="s">
        <v>1674</v>
      </c>
      <c r="G347" s="91" t="s">
        <v>615</v>
      </c>
      <c r="H347" s="93" t="s">
        <v>5</v>
      </c>
      <c r="I347" s="92" t="s">
        <v>3140</v>
      </c>
      <c r="J347" s="92">
        <v>9133847072</v>
      </c>
      <c r="K347" s="67"/>
      <c r="L347" s="67"/>
      <c r="M347" s="67"/>
      <c r="N347" s="67"/>
      <c r="O347" s="67"/>
    </row>
    <row r="348" spans="1:15" ht="30">
      <c r="A348" s="91" t="s">
        <v>7</v>
      </c>
      <c r="B348" s="92" t="s">
        <v>7</v>
      </c>
      <c r="C348" s="92" t="str">
        <f ca="1">IFERROR(__xludf.DUMMYFUNCTION("filter('Back End'!C:C,'Back End'!A:A=A348,'Back End'!B:B=B348,'Back End'!D:D=D348)"),"#N/A")</f>
        <v>#N/A</v>
      </c>
      <c r="D348" s="91" t="s">
        <v>3642</v>
      </c>
      <c r="E348" s="92" t="s">
        <v>3660</v>
      </c>
      <c r="F348" s="91" t="s">
        <v>94</v>
      </c>
      <c r="G348" s="91" t="s">
        <v>615</v>
      </c>
      <c r="H348" s="93" t="s">
        <v>5</v>
      </c>
      <c r="I348" s="92" t="s">
        <v>3140</v>
      </c>
      <c r="J348" s="92">
        <v>8688738888</v>
      </c>
      <c r="K348" s="67"/>
      <c r="L348" s="67"/>
      <c r="M348" s="67"/>
      <c r="N348" s="67"/>
      <c r="O348" s="67"/>
    </row>
    <row r="349" spans="1:15" ht="30">
      <c r="A349" s="91" t="s">
        <v>7</v>
      </c>
      <c r="B349" s="92" t="s">
        <v>7</v>
      </c>
      <c r="C349" s="92" t="str">
        <f ca="1">IFERROR(__xludf.DUMMYFUNCTION("filter('Back End'!C:C,'Back End'!A:A=A349,'Back End'!B:B=B349,'Back End'!D:D=D349)"),"#N/A")</f>
        <v>#N/A</v>
      </c>
      <c r="D349" s="91" t="s">
        <v>3642</v>
      </c>
      <c r="E349" s="92" t="s">
        <v>3661</v>
      </c>
      <c r="F349" s="91" t="s">
        <v>1674</v>
      </c>
      <c r="G349" s="91" t="s">
        <v>615</v>
      </c>
      <c r="H349" s="93" t="s">
        <v>4</v>
      </c>
      <c r="I349" s="92" t="s">
        <v>3662</v>
      </c>
      <c r="J349" s="92">
        <v>9177009176</v>
      </c>
      <c r="K349" s="67"/>
      <c r="L349" s="92" t="s">
        <v>3663</v>
      </c>
      <c r="M349" s="67"/>
      <c r="N349" s="67"/>
      <c r="O349" s="67"/>
    </row>
    <row r="350" spans="1:15" ht="30">
      <c r="A350" s="91" t="s">
        <v>7</v>
      </c>
      <c r="B350" s="92" t="s">
        <v>7</v>
      </c>
      <c r="C350" s="92" t="str">
        <f ca="1">IFERROR(__xludf.DUMMYFUNCTION("filter('Back End'!C:C,'Back End'!A:A=A350,'Back End'!B:B=B350,'Back End'!D:D=D350)"),"#N/A")</f>
        <v>#N/A</v>
      </c>
      <c r="D350" s="91" t="s">
        <v>3642</v>
      </c>
      <c r="E350" s="92" t="s">
        <v>3664</v>
      </c>
      <c r="F350" s="91" t="s">
        <v>1669</v>
      </c>
      <c r="G350" s="91" t="s">
        <v>615</v>
      </c>
      <c r="H350" s="93" t="s">
        <v>5</v>
      </c>
      <c r="I350" s="92" t="s">
        <v>3376</v>
      </c>
      <c r="J350" s="67"/>
      <c r="K350" s="92" t="s">
        <v>1608</v>
      </c>
      <c r="L350" s="92" t="s">
        <v>3665</v>
      </c>
      <c r="M350" s="67"/>
      <c r="N350" s="67"/>
      <c r="O350" s="67"/>
    </row>
    <row r="351" spans="1:15" ht="30">
      <c r="A351" s="91" t="s">
        <v>7</v>
      </c>
      <c r="B351" s="92" t="s">
        <v>7</v>
      </c>
      <c r="C351" s="92" t="str">
        <f ca="1">IFERROR(__xludf.DUMMYFUNCTION("filter('Back End'!C:C,'Back End'!A:A=A351,'Back End'!B:B=B351,'Back End'!D:D=D351)"),"#N/A")</f>
        <v>#N/A</v>
      </c>
      <c r="D351" s="91" t="s">
        <v>3642</v>
      </c>
      <c r="E351" s="92" t="s">
        <v>3666</v>
      </c>
      <c r="F351" s="67" t="s">
        <v>3138</v>
      </c>
      <c r="G351" s="67"/>
      <c r="H351" s="93" t="s">
        <v>5</v>
      </c>
      <c r="I351" s="92" t="s">
        <v>3185</v>
      </c>
      <c r="J351" s="67"/>
      <c r="K351" s="67"/>
      <c r="L351" s="92" t="s">
        <v>3667</v>
      </c>
      <c r="M351" s="67"/>
      <c r="N351" s="67"/>
      <c r="O351" s="67"/>
    </row>
    <row r="352" spans="1:15" ht="105">
      <c r="A352" s="91" t="s">
        <v>11</v>
      </c>
      <c r="B352" s="92" t="s">
        <v>261</v>
      </c>
      <c r="C352" s="92" t="str">
        <f ca="1">IFERROR(__xludf.DUMMYFUNCTION("filter('Back End'!C:C,'Back End'!A:A=A352,'Back End'!B:B=B352,'Back End'!D:D=D352)"),"Ganganapalli")</f>
        <v>Ganganapalli</v>
      </c>
      <c r="D352" s="91" t="s">
        <v>264</v>
      </c>
      <c r="E352" s="92" t="s">
        <v>3668</v>
      </c>
      <c r="F352" s="91" t="s">
        <v>1669</v>
      </c>
      <c r="G352" s="91" t="s">
        <v>615</v>
      </c>
      <c r="H352" s="93" t="s">
        <v>5</v>
      </c>
      <c r="I352" s="92" t="s">
        <v>3669</v>
      </c>
      <c r="J352" s="92">
        <v>6303385466</v>
      </c>
      <c r="K352" s="67"/>
      <c r="L352" s="67"/>
      <c r="M352" s="67"/>
      <c r="N352" s="67"/>
      <c r="O352" s="67"/>
    </row>
    <row r="353" spans="1:15" ht="45">
      <c r="A353" s="91" t="s">
        <v>11</v>
      </c>
      <c r="B353" s="92" t="s">
        <v>261</v>
      </c>
      <c r="C353" s="92" t="str">
        <f ca="1">IFERROR(__xludf.DUMMYFUNCTION("filter('Back End'!C:C,'Back End'!A:A=A353,'Back End'!B:B=B353,'Back End'!D:D=D353)"),"Ganganapalli")</f>
        <v>Ganganapalli</v>
      </c>
      <c r="D353" s="91" t="s">
        <v>264</v>
      </c>
      <c r="E353" s="92" t="s">
        <v>3670</v>
      </c>
      <c r="F353" s="91" t="s">
        <v>139</v>
      </c>
      <c r="G353" s="91" t="s">
        <v>594</v>
      </c>
      <c r="H353" s="93" t="s">
        <v>5</v>
      </c>
      <c r="I353" s="92" t="s">
        <v>3185</v>
      </c>
      <c r="J353" s="92">
        <v>7075851263</v>
      </c>
      <c r="K353" s="67"/>
      <c r="L353" s="67"/>
      <c r="M353" s="67"/>
      <c r="N353" s="67"/>
      <c r="O353" s="67"/>
    </row>
    <row r="354" spans="1:15" ht="60">
      <c r="A354" s="91" t="s">
        <v>11</v>
      </c>
      <c r="B354" s="92" t="s">
        <v>261</v>
      </c>
      <c r="C354" s="92" t="str">
        <f ca="1">IFERROR(__xludf.DUMMYFUNCTION("filter('Back End'!C:C,'Back End'!A:A=A354,'Back End'!B:B=B354,'Back End'!D:D=D354)"),"Ganganapalli")</f>
        <v>Ganganapalli</v>
      </c>
      <c r="D354" s="91" t="s">
        <v>264</v>
      </c>
      <c r="E354" s="92" t="s">
        <v>3671</v>
      </c>
      <c r="F354" s="91" t="s">
        <v>139</v>
      </c>
      <c r="G354" s="91" t="s">
        <v>594</v>
      </c>
      <c r="H354" s="93" t="s">
        <v>5</v>
      </c>
      <c r="I354" s="92" t="s">
        <v>3508</v>
      </c>
      <c r="J354" s="92">
        <v>9959994645</v>
      </c>
      <c r="K354" s="67"/>
      <c r="L354" s="67"/>
      <c r="M354" s="67"/>
      <c r="N354" s="67"/>
      <c r="O354" s="67"/>
    </row>
    <row r="355" spans="1:15" ht="45">
      <c r="A355" s="91" t="s">
        <v>11</v>
      </c>
      <c r="B355" s="92" t="s">
        <v>261</v>
      </c>
      <c r="C355" s="92" t="str">
        <f ca="1">IFERROR(__xludf.DUMMYFUNCTION("filter('Back End'!C:C,'Back End'!A:A=A355,'Back End'!B:B=B355,'Back End'!D:D=D355)"),"Ganganapalli")</f>
        <v>Ganganapalli</v>
      </c>
      <c r="D355" s="91" t="s">
        <v>264</v>
      </c>
      <c r="E355" s="92" t="s">
        <v>3672</v>
      </c>
      <c r="F355" s="91" t="s">
        <v>139</v>
      </c>
      <c r="G355" s="91" t="s">
        <v>594</v>
      </c>
      <c r="H355" s="93" t="s">
        <v>6</v>
      </c>
      <c r="I355" s="92" t="s">
        <v>3210</v>
      </c>
      <c r="J355" s="92">
        <v>9505563222</v>
      </c>
      <c r="K355" s="67"/>
      <c r="L355" s="67"/>
      <c r="M355" s="67"/>
      <c r="N355" s="67"/>
      <c r="O355" s="67"/>
    </row>
    <row r="356" spans="1:15" ht="30">
      <c r="A356" s="91" t="s">
        <v>11</v>
      </c>
      <c r="B356" s="92" t="s">
        <v>261</v>
      </c>
      <c r="C356" s="92" t="str">
        <f ca="1">IFERROR(__xludf.DUMMYFUNCTION("filter('Back End'!C:C,'Back End'!A:A=A356,'Back End'!B:B=B356,'Back End'!D:D=D356)"),"Ganganapalli")</f>
        <v>Ganganapalli</v>
      </c>
      <c r="D356" s="91" t="s">
        <v>264</v>
      </c>
      <c r="E356" s="92" t="s">
        <v>3673</v>
      </c>
      <c r="F356" s="91" t="s">
        <v>139</v>
      </c>
      <c r="G356" s="91" t="s">
        <v>594</v>
      </c>
      <c r="H356" s="93" t="s">
        <v>6</v>
      </c>
      <c r="I356" s="92" t="s">
        <v>3185</v>
      </c>
      <c r="J356" s="67"/>
      <c r="K356" s="67"/>
      <c r="L356" s="67"/>
      <c r="M356" s="67"/>
      <c r="N356" s="67"/>
      <c r="O356" s="67"/>
    </row>
    <row r="357" spans="1:15" ht="45">
      <c r="A357" s="91" t="s">
        <v>11</v>
      </c>
      <c r="B357" s="92" t="s">
        <v>261</v>
      </c>
      <c r="C357" s="92" t="str">
        <f ca="1">IFERROR(__xludf.DUMMYFUNCTION("filter('Back End'!C:C,'Back End'!A:A=A357,'Back End'!B:B=B357,'Back End'!D:D=D357)"),"Ganganapalli")</f>
        <v>Ganganapalli</v>
      </c>
      <c r="D357" s="91" t="s">
        <v>264</v>
      </c>
      <c r="E357" s="92" t="s">
        <v>3674</v>
      </c>
      <c r="F357" s="91" t="s">
        <v>139</v>
      </c>
      <c r="G357" s="91" t="s">
        <v>594</v>
      </c>
      <c r="H357" s="93" t="s">
        <v>4</v>
      </c>
      <c r="I357" s="92" t="s">
        <v>3210</v>
      </c>
      <c r="J357" s="92">
        <v>9963049636</v>
      </c>
      <c r="K357" s="67"/>
      <c r="L357" s="67"/>
      <c r="M357" s="67"/>
      <c r="N357" s="67"/>
      <c r="O357" s="67"/>
    </row>
    <row r="358" spans="1:15" ht="45">
      <c r="A358" s="91" t="s">
        <v>11</v>
      </c>
      <c r="B358" s="92" t="s">
        <v>261</v>
      </c>
      <c r="C358" s="92" t="str">
        <f ca="1">IFERROR(__xludf.DUMMYFUNCTION("filter('Back End'!C:C,'Back End'!A:A=A358,'Back End'!B:B=B358,'Back End'!D:D=D358)"),"Ganganapalli")</f>
        <v>Ganganapalli</v>
      </c>
      <c r="D358" s="91" t="s">
        <v>264</v>
      </c>
      <c r="E358" s="92" t="s">
        <v>3675</v>
      </c>
      <c r="F358" s="91" t="s">
        <v>1669</v>
      </c>
      <c r="G358" s="91" t="s">
        <v>615</v>
      </c>
      <c r="H358" s="93" t="s">
        <v>4</v>
      </c>
      <c r="I358" s="92" t="s">
        <v>3185</v>
      </c>
      <c r="J358" s="67"/>
      <c r="K358" s="67"/>
      <c r="L358" s="67"/>
      <c r="M358" s="67"/>
      <c r="N358" s="67"/>
      <c r="O358" s="67"/>
    </row>
    <row r="359" spans="1:15" ht="60">
      <c r="A359" s="91" t="s">
        <v>10</v>
      </c>
      <c r="B359" s="92" t="s">
        <v>261</v>
      </c>
      <c r="C359" s="92" t="s">
        <v>264</v>
      </c>
      <c r="D359" s="91" t="s">
        <v>264</v>
      </c>
      <c r="E359" s="92" t="s">
        <v>3676</v>
      </c>
      <c r="F359" s="91" t="s">
        <v>1669</v>
      </c>
      <c r="G359" s="91" t="s">
        <v>615</v>
      </c>
      <c r="H359" s="93" t="s">
        <v>5</v>
      </c>
      <c r="I359" s="92" t="s">
        <v>3677</v>
      </c>
      <c r="J359" s="67"/>
      <c r="K359" s="92" t="s">
        <v>3678</v>
      </c>
      <c r="L359" s="67"/>
      <c r="M359" s="67"/>
      <c r="N359" s="67"/>
      <c r="O359" s="67"/>
    </row>
    <row r="360" spans="1:15" ht="30">
      <c r="A360" s="91" t="s">
        <v>10</v>
      </c>
      <c r="B360" s="92" t="s">
        <v>261</v>
      </c>
      <c r="C360" s="92" t="s">
        <v>264</v>
      </c>
      <c r="D360" s="91" t="s">
        <v>264</v>
      </c>
      <c r="E360" s="92" t="s">
        <v>3679</v>
      </c>
      <c r="F360" s="91" t="s">
        <v>139</v>
      </c>
      <c r="G360" s="91" t="s">
        <v>594</v>
      </c>
      <c r="H360" s="93" t="s">
        <v>5</v>
      </c>
      <c r="I360" s="92" t="s">
        <v>3680</v>
      </c>
      <c r="J360" s="67"/>
      <c r="K360" s="92" t="s">
        <v>3681</v>
      </c>
      <c r="L360" s="67"/>
      <c r="M360" s="67"/>
      <c r="N360" s="67"/>
      <c r="O360" s="67"/>
    </row>
    <row r="361" spans="1:15" ht="45">
      <c r="A361" s="91" t="s">
        <v>10</v>
      </c>
      <c r="B361" s="92" t="s">
        <v>261</v>
      </c>
      <c r="C361" s="92" t="s">
        <v>264</v>
      </c>
      <c r="D361" s="91" t="s">
        <v>264</v>
      </c>
      <c r="E361" s="92" t="s">
        <v>3682</v>
      </c>
      <c r="F361" s="91" t="s">
        <v>139</v>
      </c>
      <c r="G361" s="91" t="s">
        <v>594</v>
      </c>
      <c r="H361" s="93" t="s">
        <v>5</v>
      </c>
      <c r="I361" s="92" t="s">
        <v>3115</v>
      </c>
      <c r="J361" s="92">
        <v>9160699909</v>
      </c>
      <c r="K361" s="92" t="s">
        <v>3683</v>
      </c>
      <c r="L361" s="67"/>
      <c r="M361" s="67"/>
      <c r="N361" s="67"/>
      <c r="O361" s="67"/>
    </row>
    <row r="362" spans="1:15" ht="60">
      <c r="A362" s="91" t="s">
        <v>8</v>
      </c>
      <c r="B362" s="92" t="s">
        <v>8</v>
      </c>
      <c r="C362" s="92" t="str">
        <f ca="1">IFERROR(__xludf.DUMMYFUNCTION("filter('Back End'!C:C,'Back End'!A:A=A362,'Back End'!B:B=B362,'Back End'!D:D=D362)"),"Peddipalem")</f>
        <v>Peddipalem</v>
      </c>
      <c r="D362" s="91" t="s">
        <v>562</v>
      </c>
      <c r="E362" s="92" t="s">
        <v>3684</v>
      </c>
      <c r="F362" s="91" t="s">
        <v>165</v>
      </c>
      <c r="G362" s="91" t="s">
        <v>615</v>
      </c>
      <c r="H362" s="93" t="s">
        <v>4</v>
      </c>
      <c r="I362" s="92" t="s">
        <v>3685</v>
      </c>
      <c r="J362" s="92">
        <v>9393167777</v>
      </c>
      <c r="K362" s="92" t="s">
        <v>1613</v>
      </c>
      <c r="L362" s="92" t="s">
        <v>3686</v>
      </c>
      <c r="M362" s="67"/>
      <c r="N362" s="67"/>
      <c r="O362" s="67"/>
    </row>
    <row r="363" spans="1:15" ht="60">
      <c r="A363" s="91" t="s">
        <v>8</v>
      </c>
      <c r="B363" s="92" t="s">
        <v>8</v>
      </c>
      <c r="C363" s="92" t="str">
        <f ca="1">IFERROR(__xludf.DUMMYFUNCTION("filter('Back End'!C:C,'Back End'!A:A=A363,'Back End'!B:B=B363,'Back End'!D:D=D363)"),"Peddipalem")</f>
        <v>Peddipalem</v>
      </c>
      <c r="D363" s="91" t="s">
        <v>562</v>
      </c>
      <c r="E363" s="92" t="s">
        <v>3687</v>
      </c>
      <c r="F363" s="91" t="s">
        <v>165</v>
      </c>
      <c r="G363" s="91" t="s">
        <v>615</v>
      </c>
      <c r="H363" s="93" t="s">
        <v>4</v>
      </c>
      <c r="I363" s="92" t="s">
        <v>3688</v>
      </c>
      <c r="J363" s="92">
        <v>9494111183</v>
      </c>
      <c r="K363" s="92" t="s">
        <v>1608</v>
      </c>
      <c r="L363" s="92" t="s">
        <v>3689</v>
      </c>
      <c r="M363" s="67"/>
      <c r="N363" s="67"/>
      <c r="O363" s="67"/>
    </row>
    <row r="364" spans="1:15" ht="45">
      <c r="A364" s="91" t="s">
        <v>8</v>
      </c>
      <c r="B364" s="92" t="s">
        <v>8</v>
      </c>
      <c r="C364" s="92" t="str">
        <f ca="1">IFERROR(__xludf.DUMMYFUNCTION("filter('Back End'!C:C,'Back End'!A:A=A364,'Back End'!B:B=B364,'Back End'!D:D=D364)"),"Peddipalem")</f>
        <v>Peddipalem</v>
      </c>
      <c r="D364" s="91" t="s">
        <v>562</v>
      </c>
      <c r="E364" s="92" t="s">
        <v>3690</v>
      </c>
      <c r="F364" s="91" t="s">
        <v>165</v>
      </c>
      <c r="G364" s="91" t="s">
        <v>615</v>
      </c>
      <c r="H364" s="93" t="s">
        <v>4</v>
      </c>
      <c r="I364" s="92" t="s">
        <v>3691</v>
      </c>
      <c r="J364" s="92">
        <v>7901383579</v>
      </c>
      <c r="K364" s="92" t="s">
        <v>1608</v>
      </c>
      <c r="L364" s="92" t="s">
        <v>3692</v>
      </c>
      <c r="M364" s="67"/>
      <c r="N364" s="67"/>
      <c r="O364" s="67"/>
    </row>
    <row r="365" spans="1:15" ht="60">
      <c r="A365" s="91" t="s">
        <v>8</v>
      </c>
      <c r="B365" s="92" t="s">
        <v>8</v>
      </c>
      <c r="C365" s="92" t="str">
        <f ca="1">IFERROR(__xludf.DUMMYFUNCTION("filter('Back End'!C:C,'Back End'!A:A=A365,'Back End'!B:B=B365,'Back End'!D:D=D365)"),"Peddipalem")</f>
        <v>Peddipalem</v>
      </c>
      <c r="D365" s="91" t="s">
        <v>562</v>
      </c>
      <c r="E365" s="92" t="s">
        <v>3693</v>
      </c>
      <c r="F365" s="91" t="s">
        <v>165</v>
      </c>
      <c r="G365" s="91" t="s">
        <v>615</v>
      </c>
      <c r="H365" s="93" t="s">
        <v>5</v>
      </c>
      <c r="I365" s="92" t="s">
        <v>3284</v>
      </c>
      <c r="J365" s="92">
        <v>9177290858</v>
      </c>
      <c r="K365" s="92" t="s">
        <v>1608</v>
      </c>
      <c r="L365" s="92" t="s">
        <v>3694</v>
      </c>
      <c r="M365" s="67"/>
      <c r="N365" s="67"/>
      <c r="O365" s="67"/>
    </row>
    <row r="366" spans="1:15" ht="30">
      <c r="A366" s="91" t="s">
        <v>8</v>
      </c>
      <c r="B366" s="92" t="s">
        <v>8</v>
      </c>
      <c r="C366" s="92" t="str">
        <f ca="1">IFERROR(__xludf.DUMMYFUNCTION("filter('Back End'!C:C,'Back End'!A:A=A366,'Back End'!B:B=B366,'Back End'!D:D=D366)"),"Peddipalem")</f>
        <v>Peddipalem</v>
      </c>
      <c r="D366" s="91" t="s">
        <v>562</v>
      </c>
      <c r="E366" s="92" t="s">
        <v>3695</v>
      </c>
      <c r="F366" s="91" t="s">
        <v>1669</v>
      </c>
      <c r="G366" s="91" t="s">
        <v>615</v>
      </c>
      <c r="H366" s="93" t="s">
        <v>5</v>
      </c>
      <c r="I366" s="92" t="s">
        <v>3140</v>
      </c>
      <c r="J366" s="67"/>
      <c r="K366" s="67"/>
      <c r="L366" s="67"/>
      <c r="M366" s="67"/>
      <c r="N366" s="67"/>
      <c r="O366" s="67"/>
    </row>
    <row r="367" spans="1:15" ht="150">
      <c r="A367" s="91" t="s">
        <v>8</v>
      </c>
      <c r="B367" s="92" t="s">
        <v>8</v>
      </c>
      <c r="C367" s="92" t="str">
        <f ca="1">IFERROR(__xludf.DUMMYFUNCTION("filter('Back End'!C:C,'Back End'!A:A=A367,'Back End'!B:B=B367,'Back End'!D:D=D367)"),"Peddipalem")</f>
        <v>Peddipalem</v>
      </c>
      <c r="D367" s="91" t="s">
        <v>562</v>
      </c>
      <c r="E367" s="92" t="s">
        <v>3696</v>
      </c>
      <c r="F367" s="91" t="s">
        <v>165</v>
      </c>
      <c r="G367" s="91" t="s">
        <v>615</v>
      </c>
      <c r="H367" s="93" t="s">
        <v>4</v>
      </c>
      <c r="I367" s="92" t="s">
        <v>3284</v>
      </c>
      <c r="J367" s="92">
        <v>8985774488</v>
      </c>
      <c r="K367" s="67"/>
      <c r="L367" s="92" t="s">
        <v>3697</v>
      </c>
      <c r="M367" s="67"/>
      <c r="N367" s="67"/>
      <c r="O367" s="67"/>
    </row>
    <row r="368" spans="1:15" ht="15">
      <c r="A368" s="91" t="s">
        <v>3361</v>
      </c>
      <c r="B368" s="91" t="s">
        <v>8</v>
      </c>
      <c r="C368" s="92" t="s">
        <v>562</v>
      </c>
      <c r="D368" s="91" t="s">
        <v>562</v>
      </c>
      <c r="E368" s="91" t="s">
        <v>3698</v>
      </c>
      <c r="F368" s="91" t="s">
        <v>165</v>
      </c>
      <c r="G368" s="91" t="s">
        <v>615</v>
      </c>
      <c r="H368" s="93" t="s">
        <v>4</v>
      </c>
      <c r="I368" s="92" t="s">
        <v>3517</v>
      </c>
      <c r="J368" s="92">
        <v>9525449999</v>
      </c>
      <c r="K368" s="67"/>
      <c r="L368" s="67"/>
      <c r="M368" s="67"/>
      <c r="N368" s="67"/>
      <c r="O368" s="67"/>
    </row>
    <row r="369" spans="1:15" ht="15">
      <c r="A369" s="91" t="s">
        <v>3361</v>
      </c>
      <c r="B369" s="91" t="s">
        <v>8</v>
      </c>
      <c r="C369" s="92" t="s">
        <v>562</v>
      </c>
      <c r="D369" s="91" t="s">
        <v>562</v>
      </c>
      <c r="E369" s="91" t="s">
        <v>3699</v>
      </c>
      <c r="F369" s="67" t="s">
        <v>3138</v>
      </c>
      <c r="G369" s="67"/>
      <c r="H369" s="93" t="s">
        <v>4</v>
      </c>
      <c r="I369" s="67"/>
      <c r="J369" s="92">
        <v>9573224514</v>
      </c>
      <c r="K369" s="67"/>
      <c r="L369" s="67"/>
      <c r="M369" s="67"/>
      <c r="N369" s="67"/>
      <c r="O369" s="67"/>
    </row>
    <row r="370" spans="1:15" ht="15">
      <c r="A370" s="91" t="s">
        <v>3361</v>
      </c>
      <c r="B370" s="91" t="s">
        <v>8</v>
      </c>
      <c r="C370" s="92" t="s">
        <v>562</v>
      </c>
      <c r="D370" s="91" t="s">
        <v>562</v>
      </c>
      <c r="E370" s="91" t="s">
        <v>3700</v>
      </c>
      <c r="F370" s="91" t="s">
        <v>1669</v>
      </c>
      <c r="G370" s="91" t="s">
        <v>615</v>
      </c>
      <c r="H370" s="93" t="s">
        <v>4</v>
      </c>
      <c r="I370" s="92" t="s">
        <v>3517</v>
      </c>
      <c r="J370" s="92">
        <v>7729931193</v>
      </c>
      <c r="K370" s="67"/>
      <c r="L370" s="67"/>
      <c r="M370" s="67"/>
      <c r="N370" s="67"/>
      <c r="O370" s="67"/>
    </row>
    <row r="371" spans="1:15" ht="15">
      <c r="A371" s="91" t="s">
        <v>3361</v>
      </c>
      <c r="B371" s="91" t="s">
        <v>8</v>
      </c>
      <c r="C371" s="92" t="s">
        <v>562</v>
      </c>
      <c r="D371" s="91" t="s">
        <v>562</v>
      </c>
      <c r="E371" s="91" t="s">
        <v>3701</v>
      </c>
      <c r="F371" s="91" t="s">
        <v>139</v>
      </c>
      <c r="G371" s="91" t="s">
        <v>594</v>
      </c>
      <c r="H371" s="93" t="s">
        <v>4</v>
      </c>
      <c r="I371" s="92" t="s">
        <v>3517</v>
      </c>
      <c r="J371" s="92">
        <v>8897796559</v>
      </c>
      <c r="K371" s="67"/>
      <c r="L371" s="67"/>
      <c r="M371" s="67"/>
      <c r="N371" s="67"/>
      <c r="O371" s="67"/>
    </row>
    <row r="372" spans="1:15" ht="15">
      <c r="A372" s="91" t="s">
        <v>3361</v>
      </c>
      <c r="B372" s="91" t="s">
        <v>8</v>
      </c>
      <c r="C372" s="92" t="s">
        <v>562</v>
      </c>
      <c r="D372" s="91" t="s">
        <v>562</v>
      </c>
      <c r="E372" s="91" t="s">
        <v>3702</v>
      </c>
      <c r="F372" s="91" t="s">
        <v>165</v>
      </c>
      <c r="G372" s="91" t="s">
        <v>615</v>
      </c>
      <c r="H372" s="93" t="s">
        <v>4</v>
      </c>
      <c r="I372" s="92" t="s">
        <v>3125</v>
      </c>
      <c r="J372" s="92">
        <v>9849656144</v>
      </c>
      <c r="K372" s="67"/>
      <c r="L372" s="67"/>
      <c r="M372" s="67"/>
      <c r="N372" s="67"/>
      <c r="O372" s="67"/>
    </row>
    <row r="373" spans="1:15" ht="15">
      <c r="A373" s="91" t="s">
        <v>3361</v>
      </c>
      <c r="B373" s="91" t="s">
        <v>8</v>
      </c>
      <c r="C373" s="92" t="s">
        <v>562</v>
      </c>
      <c r="D373" s="91" t="s">
        <v>562</v>
      </c>
      <c r="E373" s="91" t="s">
        <v>3703</v>
      </c>
      <c r="F373" s="91" t="s">
        <v>165</v>
      </c>
      <c r="G373" s="91" t="s">
        <v>615</v>
      </c>
      <c r="H373" s="93" t="s">
        <v>5</v>
      </c>
      <c r="I373" s="92" t="s">
        <v>3379</v>
      </c>
      <c r="J373" s="92">
        <v>9177290858</v>
      </c>
      <c r="K373" s="67"/>
      <c r="L373" s="67"/>
      <c r="M373" s="67"/>
      <c r="N373" s="67"/>
      <c r="O373" s="67"/>
    </row>
    <row r="374" spans="1:15" ht="45">
      <c r="A374" s="91" t="s">
        <v>3361</v>
      </c>
      <c r="B374" s="91" t="s">
        <v>8</v>
      </c>
      <c r="C374" s="92" t="s">
        <v>562</v>
      </c>
      <c r="D374" s="91" t="s">
        <v>562</v>
      </c>
      <c r="E374" s="91" t="s">
        <v>3704</v>
      </c>
      <c r="F374" s="91" t="s">
        <v>165</v>
      </c>
      <c r="G374" s="91" t="s">
        <v>615</v>
      </c>
      <c r="H374" s="93" t="s">
        <v>5</v>
      </c>
      <c r="I374" s="92" t="s">
        <v>3705</v>
      </c>
      <c r="J374" s="67"/>
      <c r="K374" s="67"/>
      <c r="L374" s="67"/>
      <c r="M374" s="67"/>
      <c r="N374" s="67"/>
      <c r="O374" s="67"/>
    </row>
    <row r="375" spans="1:15" ht="30">
      <c r="A375" s="91" t="s">
        <v>3361</v>
      </c>
      <c r="B375" s="91" t="s">
        <v>8</v>
      </c>
      <c r="C375" s="92" t="s">
        <v>562</v>
      </c>
      <c r="D375" s="91" t="s">
        <v>562</v>
      </c>
      <c r="E375" s="91" t="s">
        <v>563</v>
      </c>
      <c r="F375" s="91" t="s">
        <v>165</v>
      </c>
      <c r="G375" s="91" t="s">
        <v>615</v>
      </c>
      <c r="H375" s="93" t="s">
        <v>5</v>
      </c>
      <c r="I375" s="92" t="s">
        <v>3706</v>
      </c>
      <c r="J375" s="92">
        <v>9393167777</v>
      </c>
      <c r="K375" s="67"/>
      <c r="L375" s="67"/>
      <c r="M375" s="67"/>
      <c r="N375" s="67"/>
      <c r="O375" s="67"/>
    </row>
    <row r="376" spans="1:15" ht="30">
      <c r="A376" s="91" t="s">
        <v>8</v>
      </c>
      <c r="B376" s="91" t="s">
        <v>8</v>
      </c>
      <c r="C376" s="92" t="str">
        <f ca="1">IFERROR(__xludf.DUMMYFUNCTION("filter('Back End'!C:C,'Back End'!A:A=A376,'Back End'!B:B=B376,'Back End'!D:D=D376)"),"Peddipalem")</f>
        <v>Peddipalem</v>
      </c>
      <c r="D376" s="91" t="s">
        <v>562</v>
      </c>
      <c r="E376" s="91" t="s">
        <v>3707</v>
      </c>
      <c r="F376" s="91" t="s">
        <v>165</v>
      </c>
      <c r="G376" s="91" t="s">
        <v>615</v>
      </c>
      <c r="H376" s="93" t="s">
        <v>5</v>
      </c>
      <c r="I376" s="92" t="s">
        <v>3461</v>
      </c>
      <c r="J376" s="92">
        <v>9618820363</v>
      </c>
      <c r="K376" s="67"/>
      <c r="L376" s="67"/>
      <c r="M376" s="67"/>
      <c r="N376" s="67"/>
      <c r="O376" s="67"/>
    </row>
    <row r="377" spans="1:15" ht="30">
      <c r="A377" s="91" t="s">
        <v>8</v>
      </c>
      <c r="B377" s="91" t="s">
        <v>8</v>
      </c>
      <c r="C377" s="92" t="str">
        <f ca="1">IFERROR(__xludf.DUMMYFUNCTION("filter('Back End'!C:C,'Back End'!A:A=A377,'Back End'!B:B=B377,'Back End'!D:D=D377)"),"Peddipalem")</f>
        <v>Peddipalem</v>
      </c>
      <c r="D377" s="91" t="s">
        <v>562</v>
      </c>
      <c r="E377" s="91" t="s">
        <v>3708</v>
      </c>
      <c r="F377" s="91" t="s">
        <v>165</v>
      </c>
      <c r="G377" s="91" t="s">
        <v>615</v>
      </c>
      <c r="H377" s="93" t="s">
        <v>5</v>
      </c>
      <c r="I377" s="92" t="s">
        <v>3709</v>
      </c>
      <c r="J377" s="92">
        <v>9866141877</v>
      </c>
      <c r="K377" s="67"/>
      <c r="L377" s="67"/>
      <c r="M377" s="67"/>
      <c r="N377" s="67"/>
      <c r="O377" s="67"/>
    </row>
    <row r="378" spans="1:15" ht="15">
      <c r="A378" s="91" t="s">
        <v>8</v>
      </c>
      <c r="B378" s="91" t="s">
        <v>8</v>
      </c>
      <c r="C378" s="92" t="str">
        <f ca="1">IFERROR(__xludf.DUMMYFUNCTION("filter('Back End'!C:C,'Back End'!A:A=A378,'Back End'!B:B=B378,'Back End'!D:D=D378)"),"Peddipalem")</f>
        <v>Peddipalem</v>
      </c>
      <c r="D378" s="91" t="s">
        <v>562</v>
      </c>
      <c r="E378" s="91" t="s">
        <v>3710</v>
      </c>
      <c r="F378" s="91" t="s">
        <v>165</v>
      </c>
      <c r="G378" s="91" t="s">
        <v>615</v>
      </c>
      <c r="H378" s="93" t="s">
        <v>5</v>
      </c>
      <c r="I378" s="92" t="s">
        <v>3711</v>
      </c>
      <c r="J378" s="92">
        <v>9177290858</v>
      </c>
      <c r="K378" s="67"/>
      <c r="L378" s="67"/>
      <c r="M378" s="67"/>
      <c r="N378" s="67"/>
      <c r="O378" s="67"/>
    </row>
    <row r="379" spans="1:15" ht="15">
      <c r="A379" s="91" t="s">
        <v>8</v>
      </c>
      <c r="B379" s="91" t="s">
        <v>8</v>
      </c>
      <c r="C379" s="92" t="str">
        <f ca="1">IFERROR(__xludf.DUMMYFUNCTION("filter('Back End'!C:C,'Back End'!A:A=A379,'Back End'!B:B=B379,'Back End'!D:D=D379)"),"Peddipalem")</f>
        <v>Peddipalem</v>
      </c>
      <c r="D379" s="91" t="s">
        <v>562</v>
      </c>
      <c r="E379" s="91" t="s">
        <v>3712</v>
      </c>
      <c r="F379" s="91" t="s">
        <v>139</v>
      </c>
      <c r="G379" s="91" t="s">
        <v>594</v>
      </c>
      <c r="H379" s="93" t="s">
        <v>5</v>
      </c>
      <c r="I379" s="92" t="s">
        <v>3713</v>
      </c>
      <c r="J379" s="92">
        <v>9989261776</v>
      </c>
      <c r="K379" s="67"/>
      <c r="L379" s="67"/>
      <c r="M379" s="67"/>
      <c r="N379" s="67"/>
      <c r="O379" s="67"/>
    </row>
    <row r="380" spans="1:15" ht="45">
      <c r="A380" s="91" t="s">
        <v>10</v>
      </c>
      <c r="B380" s="92" t="s">
        <v>10</v>
      </c>
      <c r="C380" s="92" t="str">
        <f ca="1">IFERROR(__xludf.DUMMYFUNCTION("filter('Back End'!C:C,'Back End'!A:A=A380,'Back End'!B:B=B380,'Back End'!D:D=D380)"),"L N Puram")</f>
        <v>L N Puram</v>
      </c>
      <c r="D380" s="91" t="s">
        <v>513</v>
      </c>
      <c r="E380" s="92" t="s">
        <v>3714</v>
      </c>
      <c r="F380" s="91" t="s">
        <v>139</v>
      </c>
      <c r="G380" s="91" t="s">
        <v>594</v>
      </c>
      <c r="H380" s="93" t="s">
        <v>5</v>
      </c>
      <c r="I380" s="92" t="s">
        <v>3715</v>
      </c>
      <c r="J380" s="92">
        <v>8555021631</v>
      </c>
      <c r="K380" s="92" t="s">
        <v>1603</v>
      </c>
      <c r="L380" s="67"/>
      <c r="M380" s="67"/>
      <c r="N380" s="67"/>
      <c r="O380" s="67"/>
    </row>
    <row r="381" spans="1:15" ht="45">
      <c r="A381" s="91" t="s">
        <v>10</v>
      </c>
      <c r="B381" s="92" t="s">
        <v>10</v>
      </c>
      <c r="C381" s="92" t="str">
        <f ca="1">IFERROR(__xludf.DUMMYFUNCTION("filter('Back End'!C:C,'Back End'!A:A=A381,'Back End'!B:B=B381,'Back End'!D:D=D381)"),"L N Puram")</f>
        <v>L N Puram</v>
      </c>
      <c r="D381" s="91" t="s">
        <v>513</v>
      </c>
      <c r="E381" s="92" t="s">
        <v>3716</v>
      </c>
      <c r="F381" s="91" t="s">
        <v>1668</v>
      </c>
      <c r="G381" s="91" t="s">
        <v>615</v>
      </c>
      <c r="H381" s="93" t="s">
        <v>5</v>
      </c>
      <c r="I381" s="92" t="s">
        <v>3717</v>
      </c>
      <c r="J381" s="92">
        <v>8309114579</v>
      </c>
      <c r="K381" s="92" t="s">
        <v>1603</v>
      </c>
      <c r="L381" s="67"/>
      <c r="M381" s="67"/>
      <c r="N381" s="67"/>
      <c r="O381" s="67"/>
    </row>
    <row r="382" spans="1:15" ht="45">
      <c r="A382" s="91" t="s">
        <v>10</v>
      </c>
      <c r="B382" s="92" t="s">
        <v>10</v>
      </c>
      <c r="C382" s="92" t="str">
        <f ca="1">IFERROR(__xludf.DUMMYFUNCTION("filter('Back End'!C:C,'Back End'!A:A=A382,'Back End'!B:B=B382,'Back End'!D:D=D382)"),"L N Puram")</f>
        <v>L N Puram</v>
      </c>
      <c r="D382" s="91" t="s">
        <v>513</v>
      </c>
      <c r="E382" s="92" t="s">
        <v>3718</v>
      </c>
      <c r="F382" s="91" t="s">
        <v>154</v>
      </c>
      <c r="G382" s="91" t="s">
        <v>615</v>
      </c>
      <c r="H382" s="95"/>
      <c r="I382" s="92" t="s">
        <v>3719</v>
      </c>
      <c r="J382" s="92">
        <v>9110300467</v>
      </c>
      <c r="K382" s="92" t="s">
        <v>1603</v>
      </c>
      <c r="L382" s="67"/>
      <c r="M382" s="67"/>
      <c r="N382" s="67"/>
      <c r="O382" s="67"/>
    </row>
    <row r="383" spans="1:15" ht="30">
      <c r="A383" s="91" t="s">
        <v>10</v>
      </c>
      <c r="B383" s="92" t="s">
        <v>10</v>
      </c>
      <c r="C383" s="92" t="str">
        <f ca="1">IFERROR(__xludf.DUMMYFUNCTION("filter('Back End'!C:C,'Back End'!A:A=A383,'Back End'!B:B=B383,'Back End'!D:D=D383)"),"L N Puram")</f>
        <v>L N Puram</v>
      </c>
      <c r="D383" s="91" t="s">
        <v>513</v>
      </c>
      <c r="E383" s="92" t="s">
        <v>3720</v>
      </c>
      <c r="F383" s="91" t="s">
        <v>1668</v>
      </c>
      <c r="G383" s="91" t="s">
        <v>615</v>
      </c>
      <c r="H383" s="93" t="s">
        <v>4</v>
      </c>
      <c r="I383" s="92" t="s">
        <v>3721</v>
      </c>
      <c r="J383" s="92">
        <v>9347758697</v>
      </c>
      <c r="K383" s="92" t="s">
        <v>1603</v>
      </c>
      <c r="L383" s="67"/>
      <c r="M383" s="67"/>
      <c r="N383" s="67"/>
      <c r="O383" s="67"/>
    </row>
    <row r="384" spans="1:15" ht="30">
      <c r="A384" s="91" t="s">
        <v>10</v>
      </c>
      <c r="B384" s="91" t="s">
        <v>10</v>
      </c>
      <c r="C384" s="92" t="str">
        <f ca="1">IFERROR(__xludf.DUMMYFUNCTION("filter('Back End'!C:C,'Back End'!A:A=A384,'Back End'!B:B=B384,'Back End'!D:D=D384)"),"L N Puram")</f>
        <v>L N Puram</v>
      </c>
      <c r="D384" s="91" t="s">
        <v>513</v>
      </c>
      <c r="E384" s="91" t="s">
        <v>3722</v>
      </c>
      <c r="F384" s="91" t="s">
        <v>1636</v>
      </c>
      <c r="G384" s="91" t="s">
        <v>615</v>
      </c>
      <c r="H384" s="93" t="s">
        <v>4</v>
      </c>
      <c r="I384" s="92" t="s">
        <v>3142</v>
      </c>
      <c r="J384" s="92">
        <v>6300544347</v>
      </c>
      <c r="K384" s="67"/>
      <c r="L384" s="67"/>
      <c r="M384" s="67"/>
      <c r="N384" s="67"/>
      <c r="O384" s="67"/>
    </row>
    <row r="385" spans="1:15" ht="15">
      <c r="A385" s="91" t="s">
        <v>10</v>
      </c>
      <c r="B385" s="91" t="s">
        <v>10</v>
      </c>
      <c r="C385" s="92" t="str">
        <f ca="1">IFERROR(__xludf.DUMMYFUNCTION("filter('Back End'!C:C,'Back End'!A:A=A385,'Back End'!B:B=B385,'Back End'!D:D=D385)"),"L N Puram")</f>
        <v>L N Puram</v>
      </c>
      <c r="D385" s="91" t="s">
        <v>513</v>
      </c>
      <c r="E385" s="91" t="s">
        <v>3723</v>
      </c>
      <c r="F385" s="91" t="s">
        <v>139</v>
      </c>
      <c r="G385" s="91" t="s">
        <v>594</v>
      </c>
      <c r="H385" s="93" t="s">
        <v>4</v>
      </c>
      <c r="I385" s="92" t="s">
        <v>3125</v>
      </c>
      <c r="J385" s="92">
        <v>8555851019</v>
      </c>
      <c r="K385" s="67"/>
      <c r="L385" s="67"/>
      <c r="M385" s="67"/>
      <c r="N385" s="67"/>
      <c r="O385" s="67"/>
    </row>
    <row r="386" spans="1:15" ht="15">
      <c r="A386" s="91" t="s">
        <v>10</v>
      </c>
      <c r="B386" s="91" t="s">
        <v>10</v>
      </c>
      <c r="C386" s="92" t="str">
        <f ca="1">IFERROR(__xludf.DUMMYFUNCTION("filter('Back End'!C:C,'Back End'!A:A=A386,'Back End'!B:B=B386,'Back End'!D:D=D386)"),"L N Puram")</f>
        <v>L N Puram</v>
      </c>
      <c r="D386" s="91" t="s">
        <v>513</v>
      </c>
      <c r="E386" s="91" t="s">
        <v>3724</v>
      </c>
      <c r="F386" s="91" t="s">
        <v>139</v>
      </c>
      <c r="G386" s="91" t="s">
        <v>594</v>
      </c>
      <c r="H386" s="93" t="s">
        <v>5</v>
      </c>
      <c r="I386" s="92" t="s">
        <v>3140</v>
      </c>
      <c r="J386" s="92">
        <v>9948520608</v>
      </c>
      <c r="K386" s="67"/>
      <c r="L386" s="67"/>
      <c r="M386" s="67"/>
      <c r="N386" s="67"/>
      <c r="O386" s="67"/>
    </row>
    <row r="387" spans="1:15" ht="15">
      <c r="A387" s="91" t="s">
        <v>10</v>
      </c>
      <c r="B387" s="91" t="s">
        <v>10</v>
      </c>
      <c r="C387" s="92" t="str">
        <f ca="1">IFERROR(__xludf.DUMMYFUNCTION("filter('Back End'!C:C,'Back End'!A:A=A387,'Back End'!B:B=B387,'Back End'!D:D=D387)"),"L N Puram")</f>
        <v>L N Puram</v>
      </c>
      <c r="D387" s="91" t="s">
        <v>513</v>
      </c>
      <c r="E387" s="91" t="s">
        <v>3725</v>
      </c>
      <c r="F387" s="91" t="s">
        <v>139</v>
      </c>
      <c r="G387" s="91" t="s">
        <v>594</v>
      </c>
      <c r="H387" s="93" t="s">
        <v>5</v>
      </c>
      <c r="I387" s="67"/>
      <c r="J387" s="92">
        <v>7396951565</v>
      </c>
      <c r="K387" s="67"/>
      <c r="L387" s="67"/>
      <c r="M387" s="67"/>
      <c r="N387" s="67"/>
      <c r="O387" s="67"/>
    </row>
    <row r="388" spans="1:15" ht="30">
      <c r="A388" s="91" t="s">
        <v>7</v>
      </c>
      <c r="B388" s="92" t="s">
        <v>7</v>
      </c>
      <c r="C388" s="92" t="str">
        <f ca="1">IFERROR(__xludf.DUMMYFUNCTION("filter('Back End'!C:C,'Back End'!A:A=A388,'Back End'!B:B=B388,'Back End'!D:D=D388)"),"Chepuru")</f>
        <v>Chepuru</v>
      </c>
      <c r="D388" s="91" t="s">
        <v>753</v>
      </c>
      <c r="E388" s="92" t="s">
        <v>3726</v>
      </c>
      <c r="F388" s="91" t="s">
        <v>586</v>
      </c>
      <c r="G388" s="91" t="s">
        <v>615</v>
      </c>
      <c r="H388" s="93" t="s">
        <v>5</v>
      </c>
      <c r="I388" s="92" t="s">
        <v>3205</v>
      </c>
      <c r="J388" s="92">
        <v>8909602080</v>
      </c>
      <c r="K388" s="67"/>
      <c r="L388" s="67"/>
      <c r="M388" s="67"/>
      <c r="N388" s="67"/>
      <c r="O388" s="67"/>
    </row>
    <row r="389" spans="1:15" ht="30">
      <c r="A389" s="91" t="s">
        <v>7</v>
      </c>
      <c r="B389" s="92" t="s">
        <v>7</v>
      </c>
      <c r="C389" s="92" t="str">
        <f ca="1">IFERROR(__xludf.DUMMYFUNCTION("filter('Back End'!C:C,'Back End'!A:A=A389,'Back End'!B:B=B389,'Back End'!D:D=D389)"),"Chepuru")</f>
        <v>Chepuru</v>
      </c>
      <c r="D389" s="91" t="s">
        <v>753</v>
      </c>
      <c r="E389" s="92" t="s">
        <v>3727</v>
      </c>
      <c r="F389" s="91" t="s">
        <v>1638</v>
      </c>
      <c r="G389" s="91" t="s">
        <v>86</v>
      </c>
      <c r="H389" s="93" t="s">
        <v>5</v>
      </c>
      <c r="I389" s="92" t="s">
        <v>3728</v>
      </c>
      <c r="J389" s="92">
        <v>9951225687</v>
      </c>
      <c r="K389" s="67"/>
      <c r="L389" s="67"/>
      <c r="M389" s="67"/>
      <c r="N389" s="67"/>
      <c r="O389" s="67"/>
    </row>
    <row r="390" spans="1:15" ht="60">
      <c r="A390" s="91" t="s">
        <v>7</v>
      </c>
      <c r="B390" s="92" t="s">
        <v>7</v>
      </c>
      <c r="C390" s="92" t="str">
        <f ca="1">IFERROR(__xludf.DUMMYFUNCTION("filter('Back End'!C:C,'Back End'!A:A=A390,'Back End'!B:B=B390,'Back End'!D:D=D390)"),"Chepuru")</f>
        <v>Chepuru</v>
      </c>
      <c r="D390" s="91" t="s">
        <v>753</v>
      </c>
      <c r="E390" s="92" t="s">
        <v>3729</v>
      </c>
      <c r="F390" s="91" t="s">
        <v>165</v>
      </c>
      <c r="G390" s="91" t="s">
        <v>615</v>
      </c>
      <c r="H390" s="93" t="s">
        <v>5</v>
      </c>
      <c r="I390" s="92" t="s">
        <v>3730</v>
      </c>
      <c r="J390" s="92">
        <v>8885831638</v>
      </c>
      <c r="K390" s="67"/>
      <c r="L390" s="92" t="s">
        <v>3694</v>
      </c>
      <c r="M390" s="67"/>
      <c r="N390" s="67"/>
      <c r="O390" s="67"/>
    </row>
    <row r="391" spans="1:15" ht="30">
      <c r="A391" s="91" t="s">
        <v>7</v>
      </c>
      <c r="B391" s="92" t="s">
        <v>7</v>
      </c>
      <c r="C391" s="92" t="str">
        <f ca="1">IFERROR(__xludf.DUMMYFUNCTION("filter('Back End'!C:C,'Back End'!A:A=A391,'Back End'!B:B=B391,'Back End'!D:D=D391)"),"Chepuru")</f>
        <v>Chepuru</v>
      </c>
      <c r="D391" s="91" t="s">
        <v>753</v>
      </c>
      <c r="E391" s="92" t="s">
        <v>3731</v>
      </c>
      <c r="F391" s="91" t="s">
        <v>165</v>
      </c>
      <c r="G391" s="91" t="s">
        <v>615</v>
      </c>
      <c r="H391" s="93" t="s">
        <v>5</v>
      </c>
      <c r="I391" s="92" t="s">
        <v>3730</v>
      </c>
      <c r="J391" s="92">
        <v>6303382133</v>
      </c>
      <c r="K391" s="67"/>
      <c r="L391" s="67"/>
      <c r="M391" s="67"/>
      <c r="N391" s="67"/>
      <c r="O391" s="67"/>
    </row>
    <row r="392" spans="1:15" ht="60">
      <c r="A392" s="91" t="s">
        <v>7</v>
      </c>
      <c r="B392" s="92" t="s">
        <v>7</v>
      </c>
      <c r="C392" s="92" t="str">
        <f ca="1">IFERROR(__xludf.DUMMYFUNCTION("filter('Back End'!C:C,'Back End'!A:A=A392,'Back End'!B:B=B392,'Back End'!D:D=D392)"),"Chepuru")</f>
        <v>Chepuru</v>
      </c>
      <c r="D392" s="91" t="s">
        <v>753</v>
      </c>
      <c r="E392" s="92" t="s">
        <v>3732</v>
      </c>
      <c r="F392" s="91" t="s">
        <v>586</v>
      </c>
      <c r="G392" s="91" t="s">
        <v>615</v>
      </c>
      <c r="H392" s="93" t="s">
        <v>5</v>
      </c>
      <c r="I392" s="92" t="s">
        <v>3730</v>
      </c>
      <c r="J392" s="92">
        <v>9985541753</v>
      </c>
      <c r="K392" s="67"/>
      <c r="L392" s="92" t="s">
        <v>3694</v>
      </c>
      <c r="M392" s="67"/>
      <c r="N392" s="67"/>
      <c r="O392" s="67"/>
    </row>
    <row r="393" spans="1:15" ht="60">
      <c r="A393" s="91" t="s">
        <v>7</v>
      </c>
      <c r="B393" s="92" t="s">
        <v>7</v>
      </c>
      <c r="C393" s="92" t="str">
        <f ca="1">IFERROR(__xludf.DUMMYFUNCTION("filter('Back End'!C:C,'Back End'!A:A=A393,'Back End'!B:B=B393,'Back End'!D:D=D393)"),"Chepuru")</f>
        <v>Chepuru</v>
      </c>
      <c r="D393" s="91" t="s">
        <v>753</v>
      </c>
      <c r="E393" s="92" t="s">
        <v>3733</v>
      </c>
      <c r="F393" s="91" t="s">
        <v>586</v>
      </c>
      <c r="G393" s="91" t="s">
        <v>615</v>
      </c>
      <c r="H393" s="93" t="s">
        <v>5</v>
      </c>
      <c r="I393" s="92" t="s">
        <v>3730</v>
      </c>
      <c r="J393" s="92">
        <v>8186046512</v>
      </c>
      <c r="K393" s="67"/>
      <c r="L393" s="92" t="s">
        <v>3694</v>
      </c>
      <c r="M393" s="67"/>
      <c r="N393" s="67"/>
      <c r="O393" s="67"/>
    </row>
    <row r="394" spans="1:15" ht="60">
      <c r="A394" s="91" t="s">
        <v>7</v>
      </c>
      <c r="B394" s="92" t="s">
        <v>7</v>
      </c>
      <c r="C394" s="92" t="str">
        <f ca="1">IFERROR(__xludf.DUMMYFUNCTION("filter('Back End'!C:C,'Back End'!A:A=A394,'Back End'!B:B=B394,'Back End'!D:D=D394)"),"Chepuru")</f>
        <v>Chepuru</v>
      </c>
      <c r="D394" s="91" t="s">
        <v>753</v>
      </c>
      <c r="E394" s="92" t="s">
        <v>3734</v>
      </c>
      <c r="F394" s="91" t="s">
        <v>165</v>
      </c>
      <c r="G394" s="91" t="s">
        <v>615</v>
      </c>
      <c r="H394" s="93" t="s">
        <v>4</v>
      </c>
      <c r="I394" s="92" t="s">
        <v>3735</v>
      </c>
      <c r="J394" s="92">
        <v>9603344277</v>
      </c>
      <c r="K394" s="67"/>
      <c r="L394" s="92" t="s">
        <v>3736</v>
      </c>
      <c r="M394" s="67"/>
      <c r="N394" s="67"/>
      <c r="O394" s="67"/>
    </row>
    <row r="395" spans="1:15" ht="45">
      <c r="A395" s="91" t="s">
        <v>7</v>
      </c>
      <c r="B395" s="92" t="s">
        <v>7</v>
      </c>
      <c r="C395" s="92" t="str">
        <f ca="1">IFERROR(__xludf.DUMMYFUNCTION("filter('Back End'!C:C,'Back End'!A:A=A395,'Back End'!B:B=B395,'Back End'!D:D=D395)"),"Chepuru")</f>
        <v>Chepuru</v>
      </c>
      <c r="D395" s="91" t="s">
        <v>753</v>
      </c>
      <c r="E395" s="92" t="s">
        <v>3737</v>
      </c>
      <c r="F395" s="91" t="s">
        <v>165</v>
      </c>
      <c r="G395" s="91" t="s">
        <v>615</v>
      </c>
      <c r="H395" s="93" t="s">
        <v>4</v>
      </c>
      <c r="I395" s="92" t="s">
        <v>3738</v>
      </c>
      <c r="J395" s="92">
        <v>9951762426</v>
      </c>
      <c r="K395" s="67"/>
      <c r="L395" s="67"/>
      <c r="M395" s="67"/>
      <c r="N395" s="67"/>
      <c r="O395" s="67"/>
    </row>
    <row r="396" spans="1:15" ht="45">
      <c r="A396" s="91" t="s">
        <v>7</v>
      </c>
      <c r="B396" s="92" t="s">
        <v>7</v>
      </c>
      <c r="C396" s="92" t="str">
        <f ca="1">IFERROR(__xludf.DUMMYFUNCTION("filter('Back End'!C:C,'Back End'!A:A=A396,'Back End'!B:B=B396,'Back End'!D:D=D396)"),"Chepuru")</f>
        <v>Chepuru</v>
      </c>
      <c r="D396" s="91" t="s">
        <v>753</v>
      </c>
      <c r="E396" s="92" t="s">
        <v>3739</v>
      </c>
      <c r="F396" s="91" t="s">
        <v>165</v>
      </c>
      <c r="G396" s="91" t="s">
        <v>615</v>
      </c>
      <c r="H396" s="93" t="s">
        <v>4</v>
      </c>
      <c r="I396" s="92" t="s">
        <v>3738</v>
      </c>
      <c r="J396" s="92">
        <v>7708338680</v>
      </c>
      <c r="K396" s="67"/>
      <c r="L396" s="67"/>
      <c r="M396" s="67"/>
      <c r="N396" s="67"/>
      <c r="O396" s="67"/>
    </row>
    <row r="397" spans="1:15" ht="60">
      <c r="A397" s="91" t="s">
        <v>7</v>
      </c>
      <c r="B397" s="92" t="s">
        <v>7</v>
      </c>
      <c r="C397" s="92" t="str">
        <f ca="1">IFERROR(__xludf.DUMMYFUNCTION("filter('Back End'!C:C,'Back End'!A:A=A397,'Back End'!B:B=B397,'Back End'!D:D=D397)"),"Chepuru")</f>
        <v>Chepuru</v>
      </c>
      <c r="D397" s="91" t="s">
        <v>753</v>
      </c>
      <c r="E397" s="92" t="s">
        <v>3740</v>
      </c>
      <c r="F397" s="91" t="s">
        <v>165</v>
      </c>
      <c r="G397" s="91" t="s">
        <v>615</v>
      </c>
      <c r="H397" s="93" t="s">
        <v>4</v>
      </c>
      <c r="I397" s="92" t="s">
        <v>3738</v>
      </c>
      <c r="J397" s="92">
        <v>7013736770</v>
      </c>
      <c r="K397" s="67"/>
      <c r="L397" s="92" t="s">
        <v>3736</v>
      </c>
      <c r="M397" s="67"/>
      <c r="N397" s="67"/>
      <c r="O397" s="67"/>
    </row>
    <row r="398" spans="1:15" ht="60">
      <c r="A398" s="91" t="s">
        <v>7</v>
      </c>
      <c r="B398" s="92" t="s">
        <v>7</v>
      </c>
      <c r="C398" s="92" t="str">
        <f ca="1">IFERROR(__xludf.DUMMYFUNCTION("filter('Back End'!C:C,'Back End'!A:A=A398,'Back End'!B:B=B398,'Back End'!D:D=D398)"),"Chepuru")</f>
        <v>Chepuru</v>
      </c>
      <c r="D398" s="91" t="s">
        <v>753</v>
      </c>
      <c r="E398" s="92" t="s">
        <v>3741</v>
      </c>
      <c r="F398" s="91" t="s">
        <v>165</v>
      </c>
      <c r="G398" s="91" t="s">
        <v>615</v>
      </c>
      <c r="H398" s="93" t="s">
        <v>4</v>
      </c>
      <c r="I398" s="92" t="s">
        <v>3738</v>
      </c>
      <c r="J398" s="92">
        <v>9866652595</v>
      </c>
      <c r="K398" s="67"/>
      <c r="L398" s="92" t="s">
        <v>3736</v>
      </c>
      <c r="M398" s="67"/>
      <c r="N398" s="67"/>
      <c r="O398" s="67"/>
    </row>
    <row r="399" spans="1:15" ht="30">
      <c r="A399" s="91" t="s">
        <v>7</v>
      </c>
      <c r="B399" s="92" t="s">
        <v>7</v>
      </c>
      <c r="C399" s="92" t="str">
        <f ca="1">IFERROR(__xludf.DUMMYFUNCTION("filter('Back End'!C:C,'Back End'!A:A=A399,'Back End'!B:B=B399,'Back End'!D:D=D399)"),"Chepuru")</f>
        <v>Chepuru</v>
      </c>
      <c r="D399" s="91" t="s">
        <v>753</v>
      </c>
      <c r="E399" s="92" t="s">
        <v>3628</v>
      </c>
      <c r="F399" s="91" t="s">
        <v>165</v>
      </c>
      <c r="G399" s="91" t="s">
        <v>615</v>
      </c>
      <c r="H399" s="93" t="s">
        <v>5</v>
      </c>
      <c r="I399" s="92" t="s">
        <v>3115</v>
      </c>
      <c r="J399" s="92">
        <v>9603774778</v>
      </c>
      <c r="K399" s="92" t="s">
        <v>1608</v>
      </c>
      <c r="L399" s="67"/>
      <c r="M399" s="67"/>
      <c r="N399" s="67"/>
      <c r="O399" s="67"/>
    </row>
    <row r="400" spans="1:15" ht="60">
      <c r="A400" s="91" t="s">
        <v>7</v>
      </c>
      <c r="B400" s="92" t="s">
        <v>7</v>
      </c>
      <c r="C400" s="92" t="str">
        <f ca="1">IFERROR(__xludf.DUMMYFUNCTION("filter('Back End'!C:C,'Back End'!A:A=A400,'Back End'!B:B=B400,'Back End'!D:D=D400)"),"Chepuru")</f>
        <v>Chepuru</v>
      </c>
      <c r="D400" s="91" t="s">
        <v>753</v>
      </c>
      <c r="E400" s="92" t="s">
        <v>3742</v>
      </c>
      <c r="F400" s="91" t="s">
        <v>586</v>
      </c>
      <c r="G400" s="91" t="s">
        <v>615</v>
      </c>
      <c r="H400" s="93" t="s">
        <v>5</v>
      </c>
      <c r="I400" s="92" t="s">
        <v>3743</v>
      </c>
      <c r="J400" s="92">
        <v>8909602080</v>
      </c>
      <c r="K400" s="92" t="s">
        <v>1598</v>
      </c>
      <c r="L400" s="67"/>
      <c r="M400" s="67"/>
      <c r="N400" s="67"/>
      <c r="O400" s="67"/>
    </row>
    <row r="401" spans="1:15" ht="30">
      <c r="A401" s="91" t="s">
        <v>7</v>
      </c>
      <c r="B401" s="92" t="s">
        <v>7</v>
      </c>
      <c r="C401" s="92" t="str">
        <f ca="1">IFERROR(__xludf.DUMMYFUNCTION("filter('Back End'!C:C,'Back End'!A:A=A401,'Back End'!B:B=B401,'Back End'!D:D=D401)"),"Chepuru")</f>
        <v>Chepuru</v>
      </c>
      <c r="D401" s="91" t="s">
        <v>753</v>
      </c>
      <c r="E401" s="92" t="s">
        <v>3744</v>
      </c>
      <c r="F401" s="91" t="s">
        <v>165</v>
      </c>
      <c r="G401" s="91" t="s">
        <v>615</v>
      </c>
      <c r="H401" s="93" t="s">
        <v>5</v>
      </c>
      <c r="I401" s="92" t="s">
        <v>3140</v>
      </c>
      <c r="J401" s="92">
        <v>8885831638</v>
      </c>
      <c r="K401" s="92" t="s">
        <v>1593</v>
      </c>
      <c r="L401" s="67"/>
      <c r="M401" s="67"/>
      <c r="N401" s="67"/>
      <c r="O401" s="67"/>
    </row>
    <row r="402" spans="1:15" ht="30">
      <c r="A402" s="91" t="s">
        <v>7</v>
      </c>
      <c r="B402" s="92" t="s">
        <v>7</v>
      </c>
      <c r="C402" s="92" t="str">
        <f ca="1">IFERROR(__xludf.DUMMYFUNCTION("filter('Back End'!C:C,'Back End'!A:A=A402,'Back End'!B:B=B402,'Back End'!D:D=D402)"),"Chepuru")</f>
        <v>Chepuru</v>
      </c>
      <c r="D402" s="91" t="s">
        <v>753</v>
      </c>
      <c r="E402" s="92" t="s">
        <v>3731</v>
      </c>
      <c r="F402" s="91" t="s">
        <v>165</v>
      </c>
      <c r="G402" s="91" t="s">
        <v>615</v>
      </c>
      <c r="H402" s="93" t="s">
        <v>5</v>
      </c>
      <c r="I402" s="92" t="s">
        <v>3745</v>
      </c>
      <c r="J402" s="92">
        <v>6303382133</v>
      </c>
      <c r="K402" s="92" t="s">
        <v>1593</v>
      </c>
      <c r="L402" s="67"/>
      <c r="M402" s="67"/>
      <c r="N402" s="67"/>
      <c r="O402" s="67"/>
    </row>
    <row r="403" spans="1:15" ht="30">
      <c r="A403" s="91" t="s">
        <v>7</v>
      </c>
      <c r="B403" s="92" t="s">
        <v>7</v>
      </c>
      <c r="C403" s="92" t="str">
        <f ca="1">IFERROR(__xludf.DUMMYFUNCTION("filter('Back End'!C:C,'Back End'!A:A=A403,'Back End'!B:B=B403,'Back End'!D:D=D403)"),"Chepuru")</f>
        <v>Chepuru</v>
      </c>
      <c r="D403" s="91" t="s">
        <v>753</v>
      </c>
      <c r="E403" s="92" t="s">
        <v>3746</v>
      </c>
      <c r="F403" s="91" t="s">
        <v>586</v>
      </c>
      <c r="G403" s="91" t="s">
        <v>615</v>
      </c>
      <c r="H403" s="93" t="s">
        <v>5</v>
      </c>
      <c r="I403" s="92" t="s">
        <v>3140</v>
      </c>
      <c r="J403" s="92">
        <v>9985541735</v>
      </c>
      <c r="K403" s="92" t="s">
        <v>1593</v>
      </c>
      <c r="L403" s="67"/>
      <c r="M403" s="67"/>
      <c r="N403" s="67"/>
      <c r="O403" s="67"/>
    </row>
    <row r="404" spans="1:15" ht="15">
      <c r="A404" s="91" t="s">
        <v>7</v>
      </c>
      <c r="B404" s="91" t="s">
        <v>7</v>
      </c>
      <c r="C404" s="92" t="str">
        <f ca="1">IFERROR(__xludf.DUMMYFUNCTION("filter('Back End'!C:C,'Back End'!A:A=A404,'Back End'!B:B=B404,'Back End'!D:D=D404)"),"Chepuru")</f>
        <v>Chepuru</v>
      </c>
      <c r="D404" s="91" t="s">
        <v>753</v>
      </c>
      <c r="E404" s="91" t="s">
        <v>3747</v>
      </c>
      <c r="F404" s="91" t="s">
        <v>165</v>
      </c>
      <c r="G404" s="91" t="s">
        <v>594</v>
      </c>
      <c r="H404" s="93" t="s">
        <v>4</v>
      </c>
      <c r="I404" s="92" t="s">
        <v>3125</v>
      </c>
      <c r="J404" s="92">
        <v>6301742419</v>
      </c>
      <c r="K404" s="67"/>
      <c r="L404" s="67"/>
      <c r="M404" s="67"/>
      <c r="N404" s="67"/>
      <c r="O404" s="67"/>
    </row>
    <row r="405" spans="1:15" ht="30">
      <c r="A405" s="91" t="s">
        <v>7</v>
      </c>
      <c r="B405" s="91" t="s">
        <v>7</v>
      </c>
      <c r="C405" s="92" t="str">
        <f ca="1">IFERROR(__xludf.DUMMYFUNCTION("filter('Back End'!C:C,'Back End'!A:A=A405,'Back End'!B:B=B405,'Back End'!D:D=D405)"),"Chepuru")</f>
        <v>Chepuru</v>
      </c>
      <c r="D405" s="91" t="s">
        <v>753</v>
      </c>
      <c r="E405" s="91" t="s">
        <v>3748</v>
      </c>
      <c r="F405" s="91" t="s">
        <v>165</v>
      </c>
      <c r="G405" s="91" t="s">
        <v>594</v>
      </c>
      <c r="H405" s="93" t="s">
        <v>4</v>
      </c>
      <c r="I405" s="92" t="s">
        <v>3142</v>
      </c>
      <c r="J405" s="92">
        <v>8985950461</v>
      </c>
      <c r="K405" s="67"/>
      <c r="L405" s="67"/>
      <c r="M405" s="67"/>
      <c r="N405" s="67"/>
      <c r="O405" s="67"/>
    </row>
    <row r="406" spans="1:15" ht="30">
      <c r="A406" s="91" t="s">
        <v>7</v>
      </c>
      <c r="B406" s="91" t="s">
        <v>7</v>
      </c>
      <c r="C406" s="92" t="str">
        <f ca="1">IFERROR(__xludf.DUMMYFUNCTION("filter('Back End'!C:C,'Back End'!A:A=A406,'Back End'!B:B=B406,'Back End'!D:D=D406)"),"Chepuru")</f>
        <v>Chepuru</v>
      </c>
      <c r="D406" s="91" t="s">
        <v>753</v>
      </c>
      <c r="E406" s="91" t="s">
        <v>3749</v>
      </c>
      <c r="F406" s="91" t="s">
        <v>165</v>
      </c>
      <c r="G406" s="91" t="s">
        <v>594</v>
      </c>
      <c r="H406" s="93" t="s">
        <v>4</v>
      </c>
      <c r="I406" s="92" t="s">
        <v>3142</v>
      </c>
      <c r="J406" s="92">
        <v>7780338680</v>
      </c>
      <c r="K406" s="67"/>
      <c r="L406" s="67"/>
      <c r="M406" s="67"/>
      <c r="N406" s="67"/>
      <c r="O406" s="67"/>
    </row>
    <row r="407" spans="1:15" ht="30">
      <c r="A407" s="91" t="s">
        <v>7</v>
      </c>
      <c r="B407" s="92" t="s">
        <v>7</v>
      </c>
      <c r="C407" s="92" t="str">
        <f ca="1">IFERROR(__xludf.DUMMYFUNCTION("filter('Back End'!C:C,'Back End'!A:A=A407,'Back End'!B:B=B407,'Back End'!D:D=D407)"),"N.Suravaram")</f>
        <v>N.Suravaram</v>
      </c>
      <c r="D407" s="91" t="s">
        <v>771</v>
      </c>
      <c r="E407" s="92" t="s">
        <v>3750</v>
      </c>
      <c r="F407" s="91" t="s">
        <v>139</v>
      </c>
      <c r="G407" s="91" t="s">
        <v>594</v>
      </c>
      <c r="H407" s="93" t="s">
        <v>5</v>
      </c>
      <c r="I407" s="92" t="s">
        <v>3751</v>
      </c>
      <c r="J407" s="92">
        <v>8464988978</v>
      </c>
      <c r="K407" s="67"/>
      <c r="L407" s="67"/>
      <c r="M407" s="67"/>
      <c r="N407" s="67"/>
      <c r="O407" s="67"/>
    </row>
    <row r="408" spans="1:15" ht="30">
      <c r="A408" s="91" t="s">
        <v>7</v>
      </c>
      <c r="B408" s="92" t="s">
        <v>7</v>
      </c>
      <c r="C408" s="92" t="str">
        <f ca="1">IFERROR(__xludf.DUMMYFUNCTION("filter('Back End'!C:C,'Back End'!A:A=A408,'Back End'!B:B=B408,'Back End'!D:D=D408)"),"N.Suravaram")</f>
        <v>N.Suravaram</v>
      </c>
      <c r="D408" s="91" t="s">
        <v>771</v>
      </c>
      <c r="E408" s="92" t="s">
        <v>3752</v>
      </c>
      <c r="F408" s="91" t="s">
        <v>139</v>
      </c>
      <c r="G408" s="91" t="s">
        <v>594</v>
      </c>
      <c r="H408" s="93" t="s">
        <v>4</v>
      </c>
      <c r="I408" s="92" t="s">
        <v>3753</v>
      </c>
      <c r="J408" s="92">
        <v>7674929707</v>
      </c>
      <c r="K408" s="67"/>
      <c r="L408" s="67"/>
      <c r="M408" s="67"/>
      <c r="N408" s="67"/>
      <c r="O408" s="67"/>
    </row>
    <row r="409" spans="1:15" ht="15">
      <c r="A409" s="91" t="s">
        <v>7</v>
      </c>
      <c r="B409" s="92" t="s">
        <v>7</v>
      </c>
      <c r="C409" s="92" t="str">
        <f ca="1">IFERROR(__xludf.DUMMYFUNCTION("filter('Back End'!C:C,'Back End'!A:A=A409,'Back End'!B:B=B409,'Back End'!D:D=D409)"),"N.Suravaram")</f>
        <v>N.Suravaram</v>
      </c>
      <c r="D409" s="91" t="s">
        <v>771</v>
      </c>
      <c r="E409" s="92" t="s">
        <v>3754</v>
      </c>
      <c r="F409" s="91" t="s">
        <v>139</v>
      </c>
      <c r="G409" s="91" t="s">
        <v>594</v>
      </c>
      <c r="H409" s="93" t="s">
        <v>5</v>
      </c>
      <c r="I409" s="92" t="s">
        <v>3185</v>
      </c>
      <c r="J409" s="92">
        <v>7013772771</v>
      </c>
      <c r="K409" s="67"/>
      <c r="L409" s="67"/>
      <c r="M409" s="67"/>
      <c r="N409" s="67"/>
      <c r="O409" s="67"/>
    </row>
    <row r="410" spans="1:15" ht="30">
      <c r="A410" s="91" t="s">
        <v>7</v>
      </c>
      <c r="B410" s="92" t="s">
        <v>7</v>
      </c>
      <c r="C410" s="92" t="str">
        <f ca="1">IFERROR(__xludf.DUMMYFUNCTION("filter('Back End'!C:C,'Back End'!A:A=A410,'Back End'!B:B=B410,'Back End'!D:D=D410)"),"N.Suravaram")</f>
        <v>N.Suravaram</v>
      </c>
      <c r="D410" s="91" t="s">
        <v>771</v>
      </c>
      <c r="E410" s="92" t="s">
        <v>3755</v>
      </c>
      <c r="F410" s="91" t="s">
        <v>139</v>
      </c>
      <c r="G410" s="91" t="s">
        <v>594</v>
      </c>
      <c r="H410" s="93" t="s">
        <v>4</v>
      </c>
      <c r="I410" s="92" t="s">
        <v>3185</v>
      </c>
      <c r="J410" s="92">
        <v>9676816288</v>
      </c>
      <c r="K410" s="67"/>
      <c r="L410" s="67"/>
      <c r="M410" s="67"/>
      <c r="N410" s="67"/>
      <c r="O410" s="67"/>
    </row>
    <row r="411" spans="1:15" ht="15">
      <c r="A411" s="91" t="s">
        <v>7</v>
      </c>
      <c r="B411" s="92" t="s">
        <v>7</v>
      </c>
      <c r="C411" s="92" t="str">
        <f ca="1">IFERROR(__xludf.DUMMYFUNCTION("filter('Back End'!C:C,'Back End'!A:A=A411,'Back End'!B:B=B411,'Back End'!D:D=D411)"),"N.Suravaram")</f>
        <v>N.Suravaram</v>
      </c>
      <c r="D411" s="91" t="s">
        <v>771</v>
      </c>
      <c r="E411" s="92" t="s">
        <v>3756</v>
      </c>
      <c r="F411" s="91" t="s">
        <v>139</v>
      </c>
      <c r="G411" s="91" t="s">
        <v>594</v>
      </c>
      <c r="H411" s="93" t="s">
        <v>6</v>
      </c>
      <c r="I411" s="92" t="s">
        <v>3757</v>
      </c>
      <c r="J411" s="67"/>
      <c r="K411" s="67"/>
      <c r="L411" s="67"/>
      <c r="M411" s="67"/>
      <c r="N411" s="67"/>
      <c r="O411" s="67"/>
    </row>
    <row r="412" spans="1:15" ht="60">
      <c r="A412" s="91" t="s">
        <v>7</v>
      </c>
      <c r="B412" s="92" t="s">
        <v>7</v>
      </c>
      <c r="C412" s="92" t="str">
        <f ca="1">IFERROR(__xludf.DUMMYFUNCTION("filter('Back End'!C:C,'Back End'!A:A=A412,'Back End'!B:B=B412,'Back End'!D:D=D412)"),"N.Suravaram")</f>
        <v>N.Suravaram</v>
      </c>
      <c r="D412" s="91" t="s">
        <v>771</v>
      </c>
      <c r="E412" s="92" t="s">
        <v>3758</v>
      </c>
      <c r="F412" s="91" t="s">
        <v>139</v>
      </c>
      <c r="G412" s="91" t="s">
        <v>594</v>
      </c>
      <c r="H412" s="93" t="s">
        <v>5</v>
      </c>
      <c r="I412" s="92" t="s">
        <v>3759</v>
      </c>
      <c r="J412" s="92">
        <v>9440576326</v>
      </c>
      <c r="K412" s="67"/>
      <c r="L412" s="67"/>
      <c r="M412" s="67"/>
      <c r="N412" s="67"/>
      <c r="O412" s="67"/>
    </row>
    <row r="413" spans="1:15" ht="30">
      <c r="A413" s="91" t="s">
        <v>7</v>
      </c>
      <c r="B413" s="92" t="s">
        <v>7</v>
      </c>
      <c r="C413" s="92" t="str">
        <f ca="1">IFERROR(__xludf.DUMMYFUNCTION("filter('Back End'!C:C,'Back End'!A:A=A413,'Back End'!B:B=B413,'Back End'!D:D=D413)"),"N.Suravaram")</f>
        <v>N.Suravaram</v>
      </c>
      <c r="D413" s="91" t="s">
        <v>771</v>
      </c>
      <c r="E413" s="92" t="s">
        <v>3760</v>
      </c>
      <c r="F413" s="91" t="s">
        <v>139</v>
      </c>
      <c r="G413" s="91" t="s">
        <v>594</v>
      </c>
      <c r="H413" s="93" t="s">
        <v>5</v>
      </c>
      <c r="I413" s="92" t="s">
        <v>3185</v>
      </c>
      <c r="J413" s="92">
        <v>9505542396</v>
      </c>
      <c r="K413" s="67"/>
      <c r="L413" s="67"/>
      <c r="M413" s="67"/>
      <c r="N413" s="67"/>
      <c r="O413" s="67"/>
    </row>
    <row r="414" spans="1:15" ht="45">
      <c r="A414" s="91" t="s">
        <v>7</v>
      </c>
      <c r="B414" s="92" t="s">
        <v>7</v>
      </c>
      <c r="C414" s="92" t="str">
        <f ca="1">IFERROR(__xludf.DUMMYFUNCTION("filter('Back End'!C:C,'Back End'!A:A=A414,'Back End'!B:B=B414,'Back End'!D:D=D414)"),"N.Suravaram")</f>
        <v>N.Suravaram</v>
      </c>
      <c r="D414" s="91" t="s">
        <v>771</v>
      </c>
      <c r="E414" s="92" t="s">
        <v>3761</v>
      </c>
      <c r="F414" s="91" t="s">
        <v>139</v>
      </c>
      <c r="G414" s="91" t="s">
        <v>594</v>
      </c>
      <c r="H414" s="93" t="s">
        <v>5</v>
      </c>
      <c r="I414" s="92" t="s">
        <v>3762</v>
      </c>
      <c r="J414" s="92">
        <v>8464988979</v>
      </c>
      <c r="K414" s="67"/>
      <c r="L414" s="67"/>
      <c r="M414" s="67"/>
      <c r="N414" s="67"/>
      <c r="O414" s="67"/>
    </row>
    <row r="415" spans="1:15" ht="15">
      <c r="A415" s="91" t="s">
        <v>7</v>
      </c>
      <c r="B415" s="109" t="s">
        <v>7</v>
      </c>
      <c r="C415" s="92" t="str">
        <f ca="1">IFERROR(__xludf.DUMMYFUNCTION("filter('Back End'!C:C,'Back End'!A:A=A415,'Back End'!B:B=B415,'Back End'!D:D=D415)"),"N.Suravaram")</f>
        <v>N.Suravaram</v>
      </c>
      <c r="D415" s="91" t="s">
        <v>771</v>
      </c>
      <c r="E415" s="91" t="s">
        <v>3763</v>
      </c>
      <c r="F415" s="91" t="s">
        <v>139</v>
      </c>
      <c r="G415" s="91" t="s">
        <v>594</v>
      </c>
      <c r="H415" s="93" t="s">
        <v>4</v>
      </c>
      <c r="I415" s="92" t="s">
        <v>3125</v>
      </c>
      <c r="J415" s="92">
        <v>9390152516</v>
      </c>
      <c r="K415" s="67"/>
      <c r="L415" s="67"/>
      <c r="M415" s="67"/>
      <c r="N415" s="67"/>
      <c r="O415" s="67"/>
    </row>
    <row r="416" spans="1:15" ht="30">
      <c r="A416" s="91" t="s">
        <v>7</v>
      </c>
      <c r="B416" s="109" t="s">
        <v>7</v>
      </c>
      <c r="C416" s="92" t="str">
        <f ca="1">IFERROR(__xludf.DUMMYFUNCTION("filter('Back End'!C:C,'Back End'!A:A=A416,'Back End'!B:B=B416,'Back End'!D:D=D416)"),"N.Suravaram")</f>
        <v>N.Suravaram</v>
      </c>
      <c r="D416" s="91" t="s">
        <v>771</v>
      </c>
      <c r="E416" s="91" t="s">
        <v>3764</v>
      </c>
      <c r="F416" s="91" t="s">
        <v>114</v>
      </c>
      <c r="G416" s="91" t="s">
        <v>85</v>
      </c>
      <c r="H416" s="93" t="s">
        <v>4</v>
      </c>
      <c r="I416" s="92" t="s">
        <v>3765</v>
      </c>
      <c r="J416" s="92">
        <v>8008007871</v>
      </c>
      <c r="K416" s="67"/>
      <c r="L416" s="67"/>
      <c r="M416" s="67"/>
      <c r="N416" s="67"/>
      <c r="O416" s="67"/>
    </row>
    <row r="417" spans="1:15" ht="15">
      <c r="A417" s="91" t="s">
        <v>7</v>
      </c>
      <c r="B417" s="109" t="s">
        <v>7</v>
      </c>
      <c r="C417" s="92" t="str">
        <f ca="1">IFERROR(__xludf.DUMMYFUNCTION("filter('Back End'!C:C,'Back End'!A:A=A417,'Back End'!B:B=B417,'Back End'!D:D=D417)"),"N.Suravaram")</f>
        <v>N.Suravaram</v>
      </c>
      <c r="D417" s="91" t="s">
        <v>771</v>
      </c>
      <c r="E417" s="91" t="s">
        <v>3766</v>
      </c>
      <c r="F417" s="91" t="s">
        <v>139</v>
      </c>
      <c r="G417" s="91" t="s">
        <v>594</v>
      </c>
      <c r="H417" s="93" t="s">
        <v>4</v>
      </c>
      <c r="I417" s="92" t="s">
        <v>3767</v>
      </c>
      <c r="J417" s="92">
        <v>9542724892</v>
      </c>
      <c r="K417" s="67"/>
      <c r="L417" s="67"/>
      <c r="M417" s="67"/>
      <c r="N417" s="67"/>
      <c r="O417" s="67"/>
    </row>
    <row r="418" spans="1:15" ht="30">
      <c r="A418" s="91" t="s">
        <v>7</v>
      </c>
      <c r="B418" s="91" t="s">
        <v>7</v>
      </c>
      <c r="C418" s="92" t="str">
        <f ca="1">IFERROR(__xludf.DUMMYFUNCTION("filter('Back End'!C:C,'Back End'!A:A=A418,'Back End'!B:B=B418,'Back End'!D:D=D418)"),"N.Suravaram")</f>
        <v>N.Suravaram</v>
      </c>
      <c r="D418" s="91" t="s">
        <v>771</v>
      </c>
      <c r="E418" s="91" t="s">
        <v>3768</v>
      </c>
      <c r="F418" s="91" t="s">
        <v>139</v>
      </c>
      <c r="G418" s="91" t="s">
        <v>594</v>
      </c>
      <c r="H418" s="93" t="s">
        <v>5</v>
      </c>
      <c r="I418" s="92" t="s">
        <v>3463</v>
      </c>
      <c r="J418" s="92">
        <v>9491433661</v>
      </c>
      <c r="K418" s="67"/>
      <c r="L418" s="67"/>
      <c r="M418" s="67"/>
      <c r="N418" s="67"/>
      <c r="O418" s="67"/>
    </row>
    <row r="419" spans="1:15" ht="30">
      <c r="A419" s="91" t="s">
        <v>7</v>
      </c>
      <c r="B419" s="91" t="s">
        <v>7</v>
      </c>
      <c r="C419" s="92" t="str">
        <f ca="1">IFERROR(__xludf.DUMMYFUNCTION("filter('Back End'!C:C,'Back End'!A:A=A419,'Back End'!B:B=B419,'Back End'!D:D=D419)"),"N.Suravaram")</f>
        <v>N.Suravaram</v>
      </c>
      <c r="D419" s="91" t="s">
        <v>771</v>
      </c>
      <c r="E419" s="91" t="s">
        <v>3769</v>
      </c>
      <c r="F419" s="91" t="s">
        <v>139</v>
      </c>
      <c r="G419" s="91" t="s">
        <v>594</v>
      </c>
      <c r="H419" s="93" t="s">
        <v>6</v>
      </c>
      <c r="I419" s="92" t="s">
        <v>3765</v>
      </c>
      <c r="J419" s="92">
        <v>9849644807</v>
      </c>
      <c r="K419" s="67"/>
      <c r="L419" s="67"/>
      <c r="M419" s="67"/>
      <c r="N419" s="67"/>
      <c r="O419" s="67"/>
    </row>
    <row r="420" spans="1:15" ht="15">
      <c r="A420" s="91" t="s">
        <v>7</v>
      </c>
      <c r="B420" s="91" t="s">
        <v>7</v>
      </c>
      <c r="C420" s="92" t="str">
        <f ca="1">IFERROR(__xludf.DUMMYFUNCTION("filter('Back End'!C:C,'Back End'!A:A=A420,'Back End'!B:B=B420,'Back End'!D:D=D420)"),"N.Suravaram")</f>
        <v>N.Suravaram</v>
      </c>
      <c r="D420" s="91" t="s">
        <v>771</v>
      </c>
      <c r="E420" s="91" t="s">
        <v>3770</v>
      </c>
      <c r="F420" s="91" t="s">
        <v>139</v>
      </c>
      <c r="G420" s="91" t="s">
        <v>594</v>
      </c>
      <c r="H420" s="93" t="s">
        <v>5</v>
      </c>
      <c r="I420" s="92" t="s">
        <v>3185</v>
      </c>
      <c r="J420" s="92">
        <v>7012772771</v>
      </c>
      <c r="K420" s="67"/>
      <c r="L420" s="67"/>
      <c r="M420" s="67"/>
      <c r="N420" s="67"/>
      <c r="O420" s="67"/>
    </row>
    <row r="421" spans="1:15" ht="60">
      <c r="A421" s="91" t="s">
        <v>7</v>
      </c>
      <c r="B421" s="91" t="s">
        <v>7</v>
      </c>
      <c r="C421" s="92" t="str">
        <f ca="1">IFERROR(__xludf.DUMMYFUNCTION("filter('Back End'!C:C,'Back End'!A:A=A421,'Back End'!B:B=B421,'Back End'!D:D=D421)"),"N.Suravaram")</f>
        <v>N.Suravaram</v>
      </c>
      <c r="D421" s="91" t="s">
        <v>771</v>
      </c>
      <c r="E421" s="91" t="s">
        <v>3771</v>
      </c>
      <c r="F421" s="91" t="s">
        <v>139</v>
      </c>
      <c r="G421" s="91" t="s">
        <v>594</v>
      </c>
      <c r="H421" s="93" t="s">
        <v>5</v>
      </c>
      <c r="I421" s="92" t="s">
        <v>3772</v>
      </c>
      <c r="J421" s="92">
        <v>9491442592</v>
      </c>
      <c r="K421" s="67"/>
      <c r="L421" s="67"/>
      <c r="M421" s="67"/>
      <c r="N421" s="67"/>
      <c r="O421" s="67"/>
    </row>
    <row r="422" spans="1:15" ht="30">
      <c r="A422" s="91" t="s">
        <v>7</v>
      </c>
      <c r="B422" s="91" t="s">
        <v>7</v>
      </c>
      <c r="C422" s="92" t="str">
        <f ca="1">IFERROR(__xludf.DUMMYFUNCTION("filter('Back End'!C:C,'Back End'!A:A=A422,'Back End'!B:B=B422,'Back End'!D:D=D422)"),"N.Suravaram")</f>
        <v>N.Suravaram</v>
      </c>
      <c r="D422" s="91" t="s">
        <v>771</v>
      </c>
      <c r="E422" s="91" t="s">
        <v>3773</v>
      </c>
      <c r="F422" s="91" t="s">
        <v>139</v>
      </c>
      <c r="G422" s="91" t="s">
        <v>594</v>
      </c>
      <c r="H422" s="93" t="s">
        <v>5</v>
      </c>
      <c r="I422" s="92" t="s">
        <v>3774</v>
      </c>
      <c r="J422" s="92">
        <v>9959921333</v>
      </c>
      <c r="K422" s="67"/>
      <c r="L422" s="67"/>
      <c r="M422" s="67"/>
      <c r="N422" s="67"/>
      <c r="O422" s="67"/>
    </row>
    <row r="423" spans="1:15" ht="30">
      <c r="A423" s="91" t="s">
        <v>7</v>
      </c>
      <c r="B423" s="91" t="s">
        <v>7</v>
      </c>
      <c r="C423" s="92" t="str">
        <f ca="1">IFERROR(__xludf.DUMMYFUNCTION("filter('Back End'!C:C,'Back End'!A:A=A423,'Back End'!B:B=B423,'Back End'!D:D=D423)"),"N.Suravaram")</f>
        <v>N.Suravaram</v>
      </c>
      <c r="D423" s="91" t="s">
        <v>771</v>
      </c>
      <c r="E423" s="91" t="s">
        <v>3775</v>
      </c>
      <c r="F423" s="91" t="s">
        <v>139</v>
      </c>
      <c r="G423" s="91" t="s">
        <v>594</v>
      </c>
      <c r="H423" s="93" t="s">
        <v>5</v>
      </c>
      <c r="I423" s="92" t="s">
        <v>3709</v>
      </c>
      <c r="J423" s="92">
        <v>9440221154</v>
      </c>
      <c r="K423" s="67"/>
      <c r="L423" s="67"/>
      <c r="M423" s="67"/>
      <c r="N423" s="67"/>
      <c r="O423" s="67"/>
    </row>
    <row r="424" spans="1:15" ht="15">
      <c r="A424" s="91" t="s">
        <v>7</v>
      </c>
      <c r="B424" s="91" t="s">
        <v>7</v>
      </c>
      <c r="C424" s="92" t="str">
        <f ca="1">IFERROR(__xludf.DUMMYFUNCTION("filter('Back End'!C:C,'Back End'!A:A=A424,'Back End'!B:B=B424,'Back End'!D:D=D424)"),"N.Suravaram")</f>
        <v>N.Suravaram</v>
      </c>
      <c r="D424" s="91" t="s">
        <v>771</v>
      </c>
      <c r="E424" s="91" t="s">
        <v>3776</v>
      </c>
      <c r="F424" s="91" t="s">
        <v>139</v>
      </c>
      <c r="G424" s="91" t="s">
        <v>594</v>
      </c>
      <c r="H424" s="93" t="s">
        <v>4</v>
      </c>
      <c r="I424" s="92" t="s">
        <v>3777</v>
      </c>
      <c r="J424" s="91">
        <v>9676816288</v>
      </c>
      <c r="K424" s="67"/>
      <c r="L424" s="67"/>
      <c r="M424" s="67"/>
      <c r="N424" s="67"/>
      <c r="O424" s="67"/>
    </row>
    <row r="425" spans="1:15" ht="45">
      <c r="A425" s="91" t="s">
        <v>8</v>
      </c>
      <c r="B425" s="92" t="s">
        <v>8</v>
      </c>
      <c r="C425" s="92" t="str">
        <f ca="1">IFERROR(__xludf.DUMMYFUNCTION("filter('Back End'!C:C,'Back End'!A:A=A425,'Back End'!B:B=B425,'Back End'!D:D=D425)"),"#N/A")</f>
        <v>#N/A</v>
      </c>
      <c r="D425" s="91" t="s">
        <v>502</v>
      </c>
      <c r="E425" s="92" t="s">
        <v>3778</v>
      </c>
      <c r="F425" s="91" t="s">
        <v>139</v>
      </c>
      <c r="G425" s="91" t="s">
        <v>594</v>
      </c>
      <c r="H425" s="93" t="s">
        <v>4</v>
      </c>
      <c r="I425" s="92" t="s">
        <v>3779</v>
      </c>
      <c r="J425" s="92">
        <v>9666614251</v>
      </c>
      <c r="K425" s="67"/>
      <c r="L425" s="67"/>
      <c r="M425" s="67"/>
      <c r="N425" s="67"/>
      <c r="O425" s="67"/>
    </row>
    <row r="426" spans="1:15" ht="30">
      <c r="A426" s="91" t="s">
        <v>8</v>
      </c>
      <c r="B426" s="92" t="s">
        <v>8</v>
      </c>
      <c r="C426" s="92" t="str">
        <f ca="1">IFERROR(__xludf.DUMMYFUNCTION("filter('Back End'!C:C,'Back End'!A:A=A426,'Back End'!B:B=B426,'Back End'!D:D=D426)"),"#N/A")</f>
        <v>#N/A</v>
      </c>
      <c r="D426" s="91" t="s">
        <v>502</v>
      </c>
      <c r="E426" s="92" t="s">
        <v>3780</v>
      </c>
      <c r="F426" s="91" t="s">
        <v>139</v>
      </c>
      <c r="G426" s="91" t="s">
        <v>594</v>
      </c>
      <c r="H426" s="93" t="s">
        <v>5</v>
      </c>
      <c r="I426" s="92" t="s">
        <v>3779</v>
      </c>
      <c r="J426" s="92">
        <v>9848280803</v>
      </c>
      <c r="K426" s="67"/>
      <c r="L426" s="67"/>
      <c r="M426" s="67"/>
      <c r="N426" s="67"/>
      <c r="O426" s="67"/>
    </row>
    <row r="427" spans="1:15" ht="45">
      <c r="A427" s="91" t="s">
        <v>8</v>
      </c>
      <c r="B427" s="92" t="s">
        <v>8</v>
      </c>
      <c r="C427" s="92" t="str">
        <f ca="1">IFERROR(__xludf.DUMMYFUNCTION("filter('Back End'!C:C,'Back End'!A:A=A427,'Back End'!B:B=B427,'Back End'!D:D=D427)"),"#N/A")</f>
        <v>#N/A</v>
      </c>
      <c r="D427" s="91" t="s">
        <v>502</v>
      </c>
      <c r="E427" s="92" t="s">
        <v>3781</v>
      </c>
      <c r="F427" s="91" t="s">
        <v>139</v>
      </c>
      <c r="G427" s="91" t="s">
        <v>594</v>
      </c>
      <c r="H427" s="93" t="s">
        <v>4</v>
      </c>
      <c r="I427" s="92" t="s">
        <v>3779</v>
      </c>
      <c r="J427" s="92">
        <v>8985775826</v>
      </c>
      <c r="K427" s="67"/>
      <c r="L427" s="67"/>
      <c r="M427" s="67"/>
      <c r="N427" s="67"/>
      <c r="O427" s="67"/>
    </row>
    <row r="428" spans="1:15" ht="45">
      <c r="A428" s="91" t="s">
        <v>8</v>
      </c>
      <c r="B428" s="92" t="s">
        <v>8</v>
      </c>
      <c r="C428" s="92" t="str">
        <f ca="1">IFERROR(__xludf.DUMMYFUNCTION("filter('Back End'!C:C,'Back End'!A:A=A428,'Back End'!B:B=B428,'Back End'!D:D=D428)"),"#N/A")</f>
        <v>#N/A</v>
      </c>
      <c r="D428" s="91" t="s">
        <v>502</v>
      </c>
      <c r="E428" s="92" t="s">
        <v>3782</v>
      </c>
      <c r="F428" s="91" t="s">
        <v>1669</v>
      </c>
      <c r="G428" s="91" t="s">
        <v>615</v>
      </c>
      <c r="H428" s="93" t="s">
        <v>4</v>
      </c>
      <c r="I428" s="92" t="s">
        <v>3783</v>
      </c>
      <c r="J428" s="92">
        <v>9912162095</v>
      </c>
      <c r="K428" s="92" t="s">
        <v>1613</v>
      </c>
      <c r="L428" s="92" t="s">
        <v>3458</v>
      </c>
      <c r="M428" s="67"/>
      <c r="N428" s="67"/>
      <c r="O428" s="67"/>
    </row>
    <row r="429" spans="1:15" ht="45">
      <c r="A429" s="91" t="s">
        <v>8</v>
      </c>
      <c r="B429" s="92" t="s">
        <v>8</v>
      </c>
      <c r="C429" s="92" t="str">
        <f ca="1">IFERROR(__xludf.DUMMYFUNCTION("filter('Back End'!C:C,'Back End'!A:A=A429,'Back End'!B:B=B429,'Back End'!D:D=D429)"),"#N/A")</f>
        <v>#N/A</v>
      </c>
      <c r="D429" s="91" t="s">
        <v>502</v>
      </c>
      <c r="E429" s="92" t="s">
        <v>3784</v>
      </c>
      <c r="F429" s="91" t="s">
        <v>213</v>
      </c>
      <c r="G429" s="91" t="s">
        <v>615</v>
      </c>
      <c r="H429" s="93" t="s">
        <v>4</v>
      </c>
      <c r="I429" s="92" t="s">
        <v>3785</v>
      </c>
      <c r="J429" s="92">
        <v>8185953050</v>
      </c>
      <c r="K429" s="67"/>
      <c r="L429" s="92" t="s">
        <v>3264</v>
      </c>
      <c r="M429" s="67"/>
      <c r="N429" s="67"/>
      <c r="O429" s="67"/>
    </row>
    <row r="430" spans="1:15" ht="45">
      <c r="A430" s="91" t="s">
        <v>8</v>
      </c>
      <c r="B430" s="92" t="s">
        <v>8</v>
      </c>
      <c r="C430" s="92" t="str">
        <f ca="1">IFERROR(__xludf.DUMMYFUNCTION("filter('Back End'!C:C,'Back End'!A:A=A430,'Back End'!B:B=B430,'Back End'!D:D=D430)"),"#N/A")</f>
        <v>#N/A</v>
      </c>
      <c r="D430" s="91" t="s">
        <v>502</v>
      </c>
      <c r="E430" s="92" t="s">
        <v>3786</v>
      </c>
      <c r="F430" s="91" t="s">
        <v>139</v>
      </c>
      <c r="G430" s="91" t="s">
        <v>594</v>
      </c>
      <c r="H430" s="93" t="s">
        <v>6</v>
      </c>
      <c r="I430" s="92" t="s">
        <v>3787</v>
      </c>
      <c r="J430" s="92">
        <v>9949966788</v>
      </c>
      <c r="K430" s="67"/>
      <c r="L430" s="67"/>
      <c r="M430" s="67"/>
      <c r="N430" s="67"/>
      <c r="O430" s="67"/>
    </row>
    <row r="431" spans="1:15" ht="45">
      <c r="A431" s="91" t="s">
        <v>8</v>
      </c>
      <c r="B431" s="92" t="s">
        <v>8</v>
      </c>
      <c r="C431" s="92" t="str">
        <f ca="1">IFERROR(__xludf.DUMMYFUNCTION("filter('Back End'!C:C,'Back End'!A:A=A431,'Back End'!B:B=B431,'Back End'!D:D=D431)"),"#N/A")</f>
        <v>#N/A</v>
      </c>
      <c r="D431" s="91" t="s">
        <v>502</v>
      </c>
      <c r="E431" s="92" t="s">
        <v>3788</v>
      </c>
      <c r="F431" s="91" t="s">
        <v>139</v>
      </c>
      <c r="G431" s="91" t="s">
        <v>594</v>
      </c>
      <c r="H431" s="93" t="s">
        <v>4</v>
      </c>
      <c r="I431" s="92" t="s">
        <v>3181</v>
      </c>
      <c r="J431" s="92">
        <v>9248757667</v>
      </c>
      <c r="K431" s="67"/>
      <c r="L431" s="67"/>
      <c r="M431" s="67"/>
      <c r="N431" s="67"/>
      <c r="O431" s="67"/>
    </row>
    <row r="432" spans="1:15" ht="30">
      <c r="A432" s="91" t="s">
        <v>10</v>
      </c>
      <c r="B432" s="92" t="s">
        <v>10</v>
      </c>
      <c r="C432" s="92" t="str">
        <f ca="1">IFERROR(__xludf.DUMMYFUNCTION("filter('Back End'!C:C,'Back End'!A:A=A432,'Back End'!B:B=B432,'Back End'!D:D=D432)"),"Jalluru")</f>
        <v>Jalluru</v>
      </c>
      <c r="D432" s="91" t="s">
        <v>502</v>
      </c>
      <c r="E432" s="92" t="s">
        <v>3789</v>
      </c>
      <c r="F432" s="91" t="s">
        <v>1669</v>
      </c>
      <c r="G432" s="91" t="s">
        <v>615</v>
      </c>
      <c r="H432" s="93" t="s">
        <v>5</v>
      </c>
      <c r="I432" s="92" t="s">
        <v>3115</v>
      </c>
      <c r="J432" s="92">
        <v>9493275878</v>
      </c>
      <c r="K432" s="92" t="s">
        <v>1603</v>
      </c>
      <c r="L432" s="67"/>
      <c r="M432" s="67"/>
      <c r="N432" s="67"/>
      <c r="O432" s="67"/>
    </row>
    <row r="433" spans="1:15" ht="30">
      <c r="A433" s="91" t="s">
        <v>10</v>
      </c>
      <c r="B433" s="92" t="s">
        <v>10</v>
      </c>
      <c r="C433" s="92" t="str">
        <f ca="1">IFERROR(__xludf.DUMMYFUNCTION("filter('Back End'!C:C,'Back End'!A:A=A433,'Back End'!B:B=B433,'Back End'!D:D=D433)"),"Jalluru")</f>
        <v>Jalluru</v>
      </c>
      <c r="D433" s="91" t="s">
        <v>502</v>
      </c>
      <c r="E433" s="92" t="s">
        <v>3790</v>
      </c>
      <c r="F433" s="91" t="s">
        <v>1669</v>
      </c>
      <c r="G433" s="91" t="s">
        <v>615</v>
      </c>
      <c r="H433" s="93" t="s">
        <v>5</v>
      </c>
      <c r="I433" s="92" t="s">
        <v>3185</v>
      </c>
      <c r="J433" s="92">
        <v>9989771257</v>
      </c>
      <c r="K433" s="92" t="s">
        <v>1613</v>
      </c>
      <c r="L433" s="67"/>
      <c r="M433" s="67"/>
      <c r="N433" s="67"/>
      <c r="O433" s="67"/>
    </row>
    <row r="434" spans="1:15" ht="30">
      <c r="A434" s="91" t="s">
        <v>10</v>
      </c>
      <c r="B434" s="92" t="s">
        <v>10</v>
      </c>
      <c r="C434" s="92" t="str">
        <f ca="1">IFERROR(__xludf.DUMMYFUNCTION("filter('Back End'!C:C,'Back End'!A:A=A434,'Back End'!B:B=B434,'Back End'!D:D=D434)"),"Jalluru")</f>
        <v>Jalluru</v>
      </c>
      <c r="D434" s="91" t="s">
        <v>502</v>
      </c>
      <c r="E434" s="92" t="s">
        <v>3791</v>
      </c>
      <c r="F434" s="91" t="s">
        <v>139</v>
      </c>
      <c r="G434" s="91" t="s">
        <v>594</v>
      </c>
      <c r="H434" s="93" t="s">
        <v>5</v>
      </c>
      <c r="I434" s="92" t="s">
        <v>3743</v>
      </c>
      <c r="J434" s="92">
        <v>8309395902</v>
      </c>
      <c r="K434" s="92" t="s">
        <v>1608</v>
      </c>
      <c r="L434" s="67"/>
      <c r="M434" s="67"/>
      <c r="N434" s="67"/>
      <c r="O434" s="67"/>
    </row>
    <row r="435" spans="1:15" ht="30">
      <c r="A435" s="91" t="s">
        <v>10</v>
      </c>
      <c r="B435" s="92" t="s">
        <v>10</v>
      </c>
      <c r="C435" s="92" t="str">
        <f ca="1">IFERROR(__xludf.DUMMYFUNCTION("filter('Back End'!C:C,'Back End'!A:A=A435,'Back End'!B:B=B435,'Back End'!D:D=D435)"),"Jalluru")</f>
        <v>Jalluru</v>
      </c>
      <c r="D435" s="91" t="s">
        <v>502</v>
      </c>
      <c r="E435" s="92" t="s">
        <v>3792</v>
      </c>
      <c r="F435" s="91" t="s">
        <v>139</v>
      </c>
      <c r="G435" s="91" t="s">
        <v>594</v>
      </c>
      <c r="H435" s="93" t="s">
        <v>5</v>
      </c>
      <c r="I435" s="92" t="s">
        <v>3793</v>
      </c>
      <c r="J435" s="92">
        <v>9866176699</v>
      </c>
      <c r="K435" s="92" t="s">
        <v>1603</v>
      </c>
      <c r="L435" s="67"/>
      <c r="M435" s="67"/>
      <c r="N435" s="67"/>
      <c r="O435" s="67"/>
    </row>
    <row r="436" spans="1:15" ht="30">
      <c r="A436" s="91" t="s">
        <v>10</v>
      </c>
      <c r="B436" s="91" t="s">
        <v>10</v>
      </c>
      <c r="C436" s="92" t="str">
        <f ca="1">IFERROR(__xludf.DUMMYFUNCTION("filter('Back End'!C:C,'Back End'!A:A=A436,'Back End'!B:B=B436,'Back End'!D:D=D436)"),"Jalluru")</f>
        <v>Jalluru</v>
      </c>
      <c r="D436" s="91" t="s">
        <v>502</v>
      </c>
      <c r="E436" s="91" t="s">
        <v>3794</v>
      </c>
      <c r="F436" s="91" t="s">
        <v>114</v>
      </c>
      <c r="G436" s="91" t="s">
        <v>85</v>
      </c>
      <c r="H436" s="93" t="s">
        <v>4</v>
      </c>
      <c r="I436" s="92" t="s">
        <v>3463</v>
      </c>
      <c r="J436" s="92">
        <v>6281346033</v>
      </c>
      <c r="K436" s="67"/>
      <c r="L436" s="67"/>
      <c r="M436" s="67"/>
      <c r="N436" s="67"/>
      <c r="O436" s="67"/>
    </row>
    <row r="437" spans="1:15" ht="15">
      <c r="A437" s="91" t="s">
        <v>10</v>
      </c>
      <c r="B437" s="91" t="s">
        <v>10</v>
      </c>
      <c r="C437" s="92" t="str">
        <f ca="1">IFERROR(__xludf.DUMMYFUNCTION("filter('Back End'!C:C,'Back End'!A:A=A437,'Back End'!B:B=B437,'Back End'!D:D=D437)"),"Jalluru")</f>
        <v>Jalluru</v>
      </c>
      <c r="D437" s="91" t="s">
        <v>502</v>
      </c>
      <c r="E437" s="91" t="s">
        <v>3795</v>
      </c>
      <c r="F437" s="91" t="s">
        <v>139</v>
      </c>
      <c r="G437" s="91" t="s">
        <v>594</v>
      </c>
      <c r="H437" s="93" t="s">
        <v>4</v>
      </c>
      <c r="I437" s="92" t="s">
        <v>3125</v>
      </c>
      <c r="J437" s="92">
        <v>9248757667</v>
      </c>
      <c r="K437" s="67"/>
      <c r="L437" s="67"/>
      <c r="M437" s="67"/>
      <c r="N437" s="67"/>
      <c r="O437" s="67"/>
    </row>
    <row r="438" spans="1:15" ht="60">
      <c r="A438" s="91" t="s">
        <v>7</v>
      </c>
      <c r="B438" s="92" t="s">
        <v>7</v>
      </c>
      <c r="C438" s="92" t="str">
        <f ca="1">IFERROR(__xludf.DUMMYFUNCTION("filter('Back End'!C:C,'Back End'!A:A=A438,'Back End'!B:B=B438,'Back End'!D:D=D438)"),"D.Polavaram")</f>
        <v>D.Polavaram</v>
      </c>
      <c r="D438" s="91" t="s">
        <v>755</v>
      </c>
      <c r="E438" s="92" t="s">
        <v>3796</v>
      </c>
      <c r="F438" s="91" t="s">
        <v>586</v>
      </c>
      <c r="G438" s="91" t="s">
        <v>615</v>
      </c>
      <c r="H438" s="93" t="s">
        <v>5</v>
      </c>
      <c r="I438" s="92" t="s">
        <v>3797</v>
      </c>
      <c r="J438" s="92">
        <v>9491763915</v>
      </c>
      <c r="K438" s="67"/>
      <c r="L438" s="67"/>
      <c r="M438" s="67"/>
      <c r="N438" s="67"/>
      <c r="O438" s="67"/>
    </row>
    <row r="439" spans="1:15" ht="45">
      <c r="A439" s="91" t="s">
        <v>7</v>
      </c>
      <c r="B439" s="92" t="s">
        <v>7</v>
      </c>
      <c r="C439" s="92" t="str">
        <f ca="1">IFERROR(__xludf.DUMMYFUNCTION("filter('Back End'!C:C,'Back End'!A:A=A439,'Back End'!B:B=B439,'Back End'!D:D=D439)"),"D.Polavaram")</f>
        <v>D.Polavaram</v>
      </c>
      <c r="D439" s="91" t="s">
        <v>755</v>
      </c>
      <c r="E439" s="92" t="s">
        <v>3798</v>
      </c>
      <c r="F439" s="91" t="s">
        <v>586</v>
      </c>
      <c r="G439" s="91" t="s">
        <v>615</v>
      </c>
      <c r="H439" s="93" t="s">
        <v>5</v>
      </c>
      <c r="I439" s="92" t="s">
        <v>3799</v>
      </c>
      <c r="J439" s="92">
        <v>9491686497</v>
      </c>
      <c r="K439" s="67"/>
      <c r="L439" s="67"/>
      <c r="M439" s="67"/>
      <c r="N439" s="67"/>
      <c r="O439" s="67"/>
    </row>
    <row r="440" spans="1:15" ht="60">
      <c r="A440" s="91" t="s">
        <v>7</v>
      </c>
      <c r="B440" s="92" t="s">
        <v>7</v>
      </c>
      <c r="C440" s="92" t="str">
        <f ca="1">IFERROR(__xludf.DUMMYFUNCTION("filter('Back End'!C:C,'Back End'!A:A=A440,'Back End'!B:B=B440,'Back End'!D:D=D440)"),"D.Polavaram")</f>
        <v>D.Polavaram</v>
      </c>
      <c r="D440" s="91" t="s">
        <v>755</v>
      </c>
      <c r="E440" s="92" t="s">
        <v>3800</v>
      </c>
      <c r="F440" s="91" t="s">
        <v>1668</v>
      </c>
      <c r="G440" s="91" t="s">
        <v>615</v>
      </c>
      <c r="H440" s="93" t="s">
        <v>4</v>
      </c>
      <c r="I440" s="92" t="s">
        <v>3115</v>
      </c>
      <c r="J440" s="92">
        <v>9491442482</v>
      </c>
      <c r="K440" s="67"/>
      <c r="L440" s="92" t="s">
        <v>3694</v>
      </c>
      <c r="M440" s="67"/>
      <c r="N440" s="67"/>
      <c r="O440" s="67"/>
    </row>
    <row r="441" spans="1:15" ht="30">
      <c r="A441" s="91" t="s">
        <v>7</v>
      </c>
      <c r="B441" s="92" t="s">
        <v>7</v>
      </c>
      <c r="C441" s="92" t="str">
        <f ca="1">IFERROR(__xludf.DUMMYFUNCTION("filter('Back End'!C:C,'Back End'!A:A=A441,'Back End'!B:B=B441,'Back End'!D:D=D441)"),"D.Polavaram")</f>
        <v>D.Polavaram</v>
      </c>
      <c r="D441" s="91" t="s">
        <v>755</v>
      </c>
      <c r="E441" s="92" t="s">
        <v>3801</v>
      </c>
      <c r="F441" s="91" t="s">
        <v>1669</v>
      </c>
      <c r="G441" s="91" t="s">
        <v>615</v>
      </c>
      <c r="H441" s="93" t="s">
        <v>4</v>
      </c>
      <c r="I441" s="92" t="s">
        <v>3181</v>
      </c>
      <c r="J441" s="92">
        <v>8008714595</v>
      </c>
      <c r="K441" s="67"/>
      <c r="L441" s="67"/>
      <c r="M441" s="67"/>
      <c r="N441" s="67"/>
      <c r="O441" s="67"/>
    </row>
    <row r="442" spans="1:15" ht="30">
      <c r="A442" s="91" t="s">
        <v>7</v>
      </c>
      <c r="B442" s="92" t="s">
        <v>7</v>
      </c>
      <c r="C442" s="92" t="str">
        <f ca="1">IFERROR(__xludf.DUMMYFUNCTION("filter('Back End'!C:C,'Back End'!A:A=A442,'Back End'!B:B=B442,'Back End'!D:D=D442)"),"D.Polavaram")</f>
        <v>D.Polavaram</v>
      </c>
      <c r="D442" s="91" t="s">
        <v>755</v>
      </c>
      <c r="E442" s="92" t="s">
        <v>3802</v>
      </c>
      <c r="F442" s="91" t="s">
        <v>114</v>
      </c>
      <c r="G442" s="91" t="s">
        <v>85</v>
      </c>
      <c r="H442" s="93" t="s">
        <v>4</v>
      </c>
      <c r="I442" s="92" t="s">
        <v>3803</v>
      </c>
      <c r="J442" s="92">
        <v>7013005177</v>
      </c>
      <c r="K442" s="67"/>
      <c r="L442" s="67"/>
      <c r="M442" s="67"/>
      <c r="N442" s="67"/>
      <c r="O442" s="67"/>
    </row>
    <row r="443" spans="1:15" ht="30">
      <c r="A443" s="91" t="s">
        <v>7</v>
      </c>
      <c r="B443" s="92" t="s">
        <v>7</v>
      </c>
      <c r="C443" s="92" t="str">
        <f ca="1">IFERROR(__xludf.DUMMYFUNCTION("filter('Back End'!C:C,'Back End'!A:A=A443,'Back End'!B:B=B443,'Back End'!D:D=D443)"),"D.Polavaram")</f>
        <v>D.Polavaram</v>
      </c>
      <c r="D443" s="91" t="s">
        <v>755</v>
      </c>
      <c r="E443" s="92" t="s">
        <v>3804</v>
      </c>
      <c r="F443" s="91" t="s">
        <v>586</v>
      </c>
      <c r="G443" s="91" t="s">
        <v>615</v>
      </c>
      <c r="H443" s="93" t="s">
        <v>5</v>
      </c>
      <c r="I443" s="92" t="s">
        <v>3805</v>
      </c>
      <c r="J443" s="92">
        <v>9491763915</v>
      </c>
      <c r="K443" s="67"/>
      <c r="L443" s="67"/>
      <c r="M443" s="67"/>
      <c r="N443" s="67"/>
      <c r="O443" s="67"/>
    </row>
    <row r="444" spans="1:15" ht="30">
      <c r="A444" s="91" t="s">
        <v>7</v>
      </c>
      <c r="B444" s="92" t="s">
        <v>7</v>
      </c>
      <c r="C444" s="92" t="str">
        <f ca="1">IFERROR(__xludf.DUMMYFUNCTION("filter('Back End'!C:C,'Back End'!A:A=A444,'Back End'!B:B=B444,'Back End'!D:D=D444)"),"D.Polavaram")</f>
        <v>D.Polavaram</v>
      </c>
      <c r="D444" s="91" t="s">
        <v>755</v>
      </c>
      <c r="E444" s="92" t="s">
        <v>3806</v>
      </c>
      <c r="F444" s="91" t="s">
        <v>586</v>
      </c>
      <c r="G444" s="91" t="s">
        <v>615</v>
      </c>
      <c r="H444" s="93" t="s">
        <v>5</v>
      </c>
      <c r="I444" s="92" t="s">
        <v>3185</v>
      </c>
      <c r="J444" s="92">
        <v>9491763914</v>
      </c>
      <c r="K444" s="67"/>
      <c r="L444" s="67"/>
      <c r="M444" s="67"/>
      <c r="N444" s="67"/>
      <c r="O444" s="67"/>
    </row>
    <row r="445" spans="1:15" ht="45">
      <c r="A445" s="91" t="s">
        <v>7</v>
      </c>
      <c r="B445" s="92" t="s">
        <v>7</v>
      </c>
      <c r="C445" s="92" t="str">
        <f ca="1">IFERROR(__xludf.DUMMYFUNCTION("filter('Back End'!C:C,'Back End'!A:A=A445,'Back End'!B:B=B445,'Back End'!D:D=D445)"),"D.Polavaram")</f>
        <v>D.Polavaram</v>
      </c>
      <c r="D445" s="91" t="s">
        <v>755</v>
      </c>
      <c r="E445" s="92" t="s">
        <v>3807</v>
      </c>
      <c r="F445" s="91" t="s">
        <v>586</v>
      </c>
      <c r="G445" s="91" t="s">
        <v>615</v>
      </c>
      <c r="H445" s="93" t="s">
        <v>5</v>
      </c>
      <c r="I445" s="92" t="s">
        <v>3808</v>
      </c>
      <c r="J445" s="92">
        <v>9491763915</v>
      </c>
      <c r="K445" s="92" t="s">
        <v>1598</v>
      </c>
      <c r="L445" s="92" t="s">
        <v>3809</v>
      </c>
      <c r="M445" s="67"/>
      <c r="N445" s="67"/>
      <c r="O445" s="67"/>
    </row>
    <row r="446" spans="1:15" ht="75">
      <c r="A446" s="91" t="s">
        <v>7</v>
      </c>
      <c r="B446" s="92" t="s">
        <v>7</v>
      </c>
      <c r="C446" s="92" t="str">
        <f ca="1">IFERROR(__xludf.DUMMYFUNCTION("filter('Back End'!C:C,'Back End'!A:A=A446,'Back End'!B:B=B446,'Back End'!D:D=D446)"),"D.Polavaram")</f>
        <v>D.Polavaram</v>
      </c>
      <c r="D446" s="91" t="s">
        <v>755</v>
      </c>
      <c r="E446" s="92" t="s">
        <v>3810</v>
      </c>
      <c r="F446" s="91" t="s">
        <v>154</v>
      </c>
      <c r="G446" s="91" t="s">
        <v>615</v>
      </c>
      <c r="H446" s="93" t="s">
        <v>5</v>
      </c>
      <c r="I446" s="92" t="s">
        <v>3811</v>
      </c>
      <c r="J446" s="92">
        <v>9492510118</v>
      </c>
      <c r="K446" s="92" t="s">
        <v>1603</v>
      </c>
      <c r="L446" s="67"/>
      <c r="M446" s="67"/>
      <c r="N446" s="67"/>
      <c r="O446" s="67"/>
    </row>
    <row r="447" spans="1:15" ht="45">
      <c r="A447" s="91" t="s">
        <v>7</v>
      </c>
      <c r="B447" s="92" t="s">
        <v>7</v>
      </c>
      <c r="C447" s="92" t="str">
        <f ca="1">IFERROR(__xludf.DUMMYFUNCTION("filter('Back End'!C:C,'Back End'!A:A=A447,'Back End'!B:B=B447,'Back End'!D:D=D447)"),"D.Polavaram")</f>
        <v>D.Polavaram</v>
      </c>
      <c r="D447" s="91" t="s">
        <v>755</v>
      </c>
      <c r="E447" s="92" t="s">
        <v>3812</v>
      </c>
      <c r="F447" s="91" t="s">
        <v>586</v>
      </c>
      <c r="G447" s="91" t="s">
        <v>615</v>
      </c>
      <c r="H447" s="93" t="s">
        <v>5</v>
      </c>
      <c r="I447" s="92" t="s">
        <v>3813</v>
      </c>
      <c r="J447" s="92">
        <v>9491686497</v>
      </c>
      <c r="K447" s="92" t="s">
        <v>1593</v>
      </c>
      <c r="L447" s="67"/>
      <c r="M447" s="67"/>
      <c r="N447" s="67"/>
      <c r="O447" s="67"/>
    </row>
    <row r="448" spans="1:15" ht="45">
      <c r="A448" s="91" t="s">
        <v>7</v>
      </c>
      <c r="B448" s="92" t="s">
        <v>7</v>
      </c>
      <c r="C448" s="92" t="str">
        <f ca="1">IFERROR(__xludf.DUMMYFUNCTION("filter('Back End'!C:C,'Back End'!A:A=A448,'Back End'!B:B=B448,'Back End'!D:D=D448)"),"D.Polavaram")</f>
        <v>D.Polavaram</v>
      </c>
      <c r="D448" s="91" t="s">
        <v>755</v>
      </c>
      <c r="E448" s="92" t="s">
        <v>3814</v>
      </c>
      <c r="F448" s="91" t="s">
        <v>136</v>
      </c>
      <c r="G448" s="91" t="s">
        <v>615</v>
      </c>
      <c r="H448" s="93" t="s">
        <v>4</v>
      </c>
      <c r="I448" s="92" t="s">
        <v>3815</v>
      </c>
      <c r="J448" s="92">
        <v>9491442482</v>
      </c>
      <c r="K448" s="92" t="s">
        <v>1613</v>
      </c>
      <c r="L448" s="92" t="s">
        <v>3816</v>
      </c>
      <c r="M448" s="67"/>
      <c r="N448" s="67"/>
      <c r="O448" s="67"/>
    </row>
    <row r="449" spans="1:15" ht="30">
      <c r="A449" s="91" t="s">
        <v>7</v>
      </c>
      <c r="B449" s="92" t="s">
        <v>7</v>
      </c>
      <c r="C449" s="92" t="str">
        <f ca="1">IFERROR(__xludf.DUMMYFUNCTION("filter('Back End'!C:C,'Back End'!A:A=A449,'Back End'!B:B=B449,'Back End'!D:D=D449)"),"D.Polavaram")</f>
        <v>D.Polavaram</v>
      </c>
      <c r="D449" s="91" t="s">
        <v>755</v>
      </c>
      <c r="E449" s="92" t="s">
        <v>3817</v>
      </c>
      <c r="F449" s="91" t="s">
        <v>1669</v>
      </c>
      <c r="G449" s="91" t="s">
        <v>615</v>
      </c>
      <c r="H449" s="93" t="s">
        <v>4</v>
      </c>
      <c r="I449" s="92" t="s">
        <v>3818</v>
      </c>
      <c r="J449" s="92">
        <v>8008714595</v>
      </c>
      <c r="K449" s="92" t="s">
        <v>1603</v>
      </c>
      <c r="L449" s="67"/>
      <c r="M449" s="67"/>
      <c r="N449" s="67"/>
      <c r="O449" s="67"/>
    </row>
    <row r="450" spans="1:15" ht="45">
      <c r="A450" s="91" t="s">
        <v>7</v>
      </c>
      <c r="B450" s="92" t="s">
        <v>7</v>
      </c>
      <c r="C450" s="92" t="str">
        <f ca="1">IFERROR(__xludf.DUMMYFUNCTION("filter('Back End'!C:C,'Back End'!A:A=A450,'Back End'!B:B=B450,'Back End'!D:D=D450)"),"D.Polavaram")</f>
        <v>D.Polavaram</v>
      </c>
      <c r="D450" s="91" t="s">
        <v>755</v>
      </c>
      <c r="E450" s="92" t="s">
        <v>3819</v>
      </c>
      <c r="F450" s="91" t="s">
        <v>586</v>
      </c>
      <c r="G450" s="91" t="s">
        <v>615</v>
      </c>
      <c r="H450" s="93" t="s">
        <v>4</v>
      </c>
      <c r="I450" s="92" t="s">
        <v>3820</v>
      </c>
      <c r="J450" s="92" t="s">
        <v>2631</v>
      </c>
      <c r="K450" s="92" t="s">
        <v>1593</v>
      </c>
      <c r="L450" s="67"/>
      <c r="M450" s="67"/>
      <c r="N450" s="67"/>
      <c r="O450" s="67"/>
    </row>
    <row r="451" spans="1:15" ht="30">
      <c r="A451" s="91" t="s">
        <v>7</v>
      </c>
      <c r="B451" s="91" t="s">
        <v>7</v>
      </c>
      <c r="C451" s="92" t="str">
        <f ca="1">IFERROR(__xludf.DUMMYFUNCTION("filter('Back End'!C:C,'Back End'!A:A=A451,'Back End'!B:B=B451,'Back End'!D:D=D451)"),"D.Polavaram")</f>
        <v>D.Polavaram</v>
      </c>
      <c r="D451" s="91" t="s">
        <v>755</v>
      </c>
      <c r="E451" s="91" t="s">
        <v>3821</v>
      </c>
      <c r="F451" s="91" t="s">
        <v>1660</v>
      </c>
      <c r="G451" s="91" t="s">
        <v>615</v>
      </c>
      <c r="H451" s="93" t="s">
        <v>5</v>
      </c>
      <c r="I451" s="92" t="s">
        <v>3822</v>
      </c>
      <c r="J451" s="92">
        <v>9492140425</v>
      </c>
      <c r="K451" s="67"/>
      <c r="L451" s="67"/>
      <c r="M451" s="67"/>
      <c r="N451" s="67"/>
      <c r="O451" s="67"/>
    </row>
    <row r="452" spans="1:15" ht="15">
      <c r="A452" s="91" t="s">
        <v>7</v>
      </c>
      <c r="B452" s="91" t="s">
        <v>7</v>
      </c>
      <c r="C452" s="92" t="str">
        <f ca="1">IFERROR(__xludf.DUMMYFUNCTION("filter('Back End'!C:C,'Back End'!A:A=A452,'Back End'!B:B=B452,'Back End'!D:D=D452)"),"D.Polavaram")</f>
        <v>D.Polavaram</v>
      </c>
      <c r="D452" s="91" t="s">
        <v>755</v>
      </c>
      <c r="E452" s="91" t="s">
        <v>3823</v>
      </c>
      <c r="F452" s="91" t="s">
        <v>114</v>
      </c>
      <c r="G452" s="91" t="s">
        <v>85</v>
      </c>
      <c r="H452" s="93" t="s">
        <v>5</v>
      </c>
      <c r="I452" s="92" t="s">
        <v>3824</v>
      </c>
      <c r="J452" s="92">
        <v>7013931776</v>
      </c>
      <c r="K452" s="67"/>
      <c r="L452" s="67"/>
      <c r="M452" s="67"/>
      <c r="N452" s="67"/>
      <c r="O452" s="67"/>
    </row>
    <row r="453" spans="1:15" ht="30">
      <c r="A453" s="91" t="s">
        <v>7</v>
      </c>
      <c r="B453" s="91" t="s">
        <v>7</v>
      </c>
      <c r="C453" s="92" t="str">
        <f ca="1">IFERROR(__xludf.DUMMYFUNCTION("filter('Back End'!C:C,'Back End'!A:A=A453,'Back End'!B:B=B453,'Back End'!D:D=D453)"),"D.Polavaram")</f>
        <v>D.Polavaram</v>
      </c>
      <c r="D453" s="91" t="s">
        <v>755</v>
      </c>
      <c r="E453" s="91" t="s">
        <v>3825</v>
      </c>
      <c r="F453" s="91" t="s">
        <v>139</v>
      </c>
      <c r="G453" s="91" t="s">
        <v>594</v>
      </c>
      <c r="H453" s="93" t="s">
        <v>5</v>
      </c>
      <c r="I453" s="92" t="s">
        <v>3826</v>
      </c>
      <c r="J453" s="92">
        <v>8008679419</v>
      </c>
      <c r="K453" s="67"/>
      <c r="L453" s="67"/>
      <c r="M453" s="67"/>
      <c r="N453" s="67"/>
      <c r="O453" s="67"/>
    </row>
    <row r="454" spans="1:15" ht="60">
      <c r="A454" s="91" t="s">
        <v>7</v>
      </c>
      <c r="B454" s="91" t="s">
        <v>7</v>
      </c>
      <c r="C454" s="92" t="str">
        <f ca="1">IFERROR(__xludf.DUMMYFUNCTION("filter('Back End'!C:C,'Back End'!A:A=A454,'Back End'!B:B=B454,'Back End'!D:D=D454)"),"D.Polavaram")</f>
        <v>D.Polavaram</v>
      </c>
      <c r="D454" s="91" t="s">
        <v>755</v>
      </c>
      <c r="E454" s="91" t="s">
        <v>3827</v>
      </c>
      <c r="F454" s="91" t="s">
        <v>165</v>
      </c>
      <c r="G454" s="91" t="s">
        <v>615</v>
      </c>
      <c r="H454" s="93" t="s">
        <v>4</v>
      </c>
      <c r="I454" s="92" t="s">
        <v>3828</v>
      </c>
      <c r="J454" s="92">
        <v>9492385027</v>
      </c>
      <c r="K454" s="67"/>
      <c r="L454" s="67"/>
      <c r="M454" s="67"/>
      <c r="N454" s="67"/>
      <c r="O454" s="67"/>
    </row>
    <row r="455" spans="1:15" ht="30">
      <c r="A455" s="91" t="s">
        <v>7</v>
      </c>
      <c r="B455" s="91" t="s">
        <v>7</v>
      </c>
      <c r="C455" s="92" t="str">
        <f ca="1">IFERROR(__xludf.DUMMYFUNCTION("filter('Back End'!C:C,'Back End'!A:A=A455,'Back End'!B:B=B455,'Back End'!D:D=D455)"),"D.Polavaram")</f>
        <v>D.Polavaram</v>
      </c>
      <c r="D455" s="91" t="s">
        <v>755</v>
      </c>
      <c r="E455" s="91" t="s">
        <v>3829</v>
      </c>
      <c r="F455" s="91" t="s">
        <v>154</v>
      </c>
      <c r="G455" s="91" t="s">
        <v>615</v>
      </c>
      <c r="H455" s="93" t="s">
        <v>4</v>
      </c>
      <c r="I455" s="92" t="s">
        <v>3495</v>
      </c>
      <c r="J455" s="92">
        <v>9490479474</v>
      </c>
      <c r="K455" s="67"/>
      <c r="L455" s="67"/>
      <c r="M455" s="67"/>
      <c r="N455" s="67"/>
      <c r="O455" s="67"/>
    </row>
    <row r="456" spans="1:15" ht="30">
      <c r="A456" s="91" t="s">
        <v>7</v>
      </c>
      <c r="B456" s="91" t="s">
        <v>7</v>
      </c>
      <c r="C456" s="92" t="str">
        <f ca="1">IFERROR(__xludf.DUMMYFUNCTION("filter('Back End'!C:C,'Back End'!A:A=A456,'Back End'!B:B=B456,'Back End'!D:D=D456)"),"D.Polavaram")</f>
        <v>D.Polavaram</v>
      </c>
      <c r="D456" s="91" t="s">
        <v>755</v>
      </c>
      <c r="E456" s="91" t="s">
        <v>3830</v>
      </c>
      <c r="F456" s="91" t="s">
        <v>136</v>
      </c>
      <c r="G456" s="91" t="s">
        <v>615</v>
      </c>
      <c r="H456" s="93" t="s">
        <v>4</v>
      </c>
      <c r="I456" s="92" t="s">
        <v>3709</v>
      </c>
      <c r="J456" s="92">
        <v>7981733084</v>
      </c>
      <c r="K456" s="67"/>
      <c r="L456" s="67"/>
      <c r="M456" s="67"/>
      <c r="N456" s="67"/>
      <c r="O456" s="67"/>
    </row>
    <row r="457" spans="1:15" ht="45">
      <c r="A457" s="91" t="s">
        <v>7</v>
      </c>
      <c r="B457" s="91" t="s">
        <v>7</v>
      </c>
      <c r="C457" s="92" t="str">
        <f ca="1">IFERROR(__xludf.DUMMYFUNCTION("filter('Back End'!C:C,'Back End'!A:A=A457,'Back End'!B:B=B457,'Back End'!D:D=D457)"),"D.Polavaram")</f>
        <v>D.Polavaram</v>
      </c>
      <c r="D457" s="91" t="s">
        <v>755</v>
      </c>
      <c r="E457" s="91" t="s">
        <v>3831</v>
      </c>
      <c r="F457" s="91" t="s">
        <v>586</v>
      </c>
      <c r="G457" s="91" t="s">
        <v>615</v>
      </c>
      <c r="H457" s="93" t="s">
        <v>5</v>
      </c>
      <c r="I457" s="92" t="s">
        <v>3832</v>
      </c>
      <c r="J457" s="92">
        <v>9491763915</v>
      </c>
      <c r="K457" s="67"/>
      <c r="L457" s="67"/>
      <c r="M457" s="67"/>
      <c r="N457" s="67"/>
      <c r="O457" s="67"/>
    </row>
    <row r="458" spans="1:15" ht="30">
      <c r="A458" s="91" t="s">
        <v>7</v>
      </c>
      <c r="B458" s="91" t="s">
        <v>7</v>
      </c>
      <c r="C458" s="92" t="str">
        <f ca="1">IFERROR(__xludf.DUMMYFUNCTION("filter('Back End'!C:C,'Back End'!A:A=A458,'Back End'!B:B=B458,'Back End'!D:D=D458)"),"D.Polavaram")</f>
        <v>D.Polavaram</v>
      </c>
      <c r="D458" s="91" t="s">
        <v>755</v>
      </c>
      <c r="E458" s="91" t="s">
        <v>3833</v>
      </c>
      <c r="F458" s="91" t="s">
        <v>586</v>
      </c>
      <c r="G458" s="91" t="s">
        <v>615</v>
      </c>
      <c r="H458" s="93" t="s">
        <v>4</v>
      </c>
      <c r="I458" s="92" t="s">
        <v>3591</v>
      </c>
      <c r="J458" s="92">
        <v>8309254343</v>
      </c>
      <c r="K458" s="67"/>
      <c r="L458" s="67"/>
      <c r="M458" s="67"/>
      <c r="N458" s="67"/>
      <c r="O458" s="67"/>
    </row>
    <row r="459" spans="1:15" ht="30">
      <c r="A459" s="91" t="s">
        <v>7</v>
      </c>
      <c r="B459" s="91" t="s">
        <v>7</v>
      </c>
      <c r="C459" s="92" t="str">
        <f ca="1">IFERROR(__xludf.DUMMYFUNCTION("filter('Back End'!C:C,'Back End'!A:A=A459,'Back End'!B:B=B459,'Back End'!D:D=D459)"),"D.Polavaram")</f>
        <v>D.Polavaram</v>
      </c>
      <c r="D459" s="91" t="s">
        <v>755</v>
      </c>
      <c r="E459" s="91" t="s">
        <v>3834</v>
      </c>
      <c r="F459" s="91" t="s">
        <v>114</v>
      </c>
      <c r="G459" s="91" t="s">
        <v>85</v>
      </c>
      <c r="H459" s="93" t="s">
        <v>4</v>
      </c>
      <c r="I459" s="92" t="s">
        <v>3709</v>
      </c>
      <c r="J459" s="92">
        <v>8897690720</v>
      </c>
      <c r="K459" s="67"/>
      <c r="L459" s="67"/>
      <c r="M459" s="67"/>
      <c r="N459" s="67"/>
      <c r="O459" s="67"/>
    </row>
    <row r="460" spans="1:15" ht="15">
      <c r="A460" s="91" t="s">
        <v>7</v>
      </c>
      <c r="B460" s="91" t="s">
        <v>7</v>
      </c>
      <c r="C460" s="92" t="str">
        <f ca="1">IFERROR(__xludf.DUMMYFUNCTION("filter('Back End'!C:C,'Back End'!A:A=A460,'Back End'!B:B=B460,'Back End'!D:D=D460)"),"D.Polavaram")</f>
        <v>D.Polavaram</v>
      </c>
      <c r="D460" s="91" t="s">
        <v>755</v>
      </c>
      <c r="E460" s="91" t="s">
        <v>3835</v>
      </c>
      <c r="F460" s="91" t="s">
        <v>1660</v>
      </c>
      <c r="G460" s="91" t="s">
        <v>615</v>
      </c>
      <c r="H460" s="93" t="s">
        <v>4</v>
      </c>
      <c r="I460" s="92" t="s">
        <v>3820</v>
      </c>
      <c r="J460" s="92">
        <v>9491442445</v>
      </c>
      <c r="K460" s="67"/>
      <c r="L460" s="67"/>
      <c r="M460" s="67"/>
      <c r="N460" s="67"/>
      <c r="O460" s="67"/>
    </row>
    <row r="461" spans="1:15" ht="45">
      <c r="A461" s="91" t="s">
        <v>8</v>
      </c>
      <c r="B461" s="92" t="s">
        <v>8</v>
      </c>
      <c r="C461" s="92" t="str">
        <f ca="1">IFERROR(__xludf.DUMMYFUNCTION("filter('Back End'!C:C,'Back End'!A:A=A461,'Back End'!B:B=B461,'Back End'!D:D=D461)"),"#N/A")</f>
        <v>#N/A</v>
      </c>
      <c r="D461" s="91" t="s">
        <v>596</v>
      </c>
      <c r="E461" s="92" t="s">
        <v>3836</v>
      </c>
      <c r="F461" s="91" t="s">
        <v>165</v>
      </c>
      <c r="G461" s="91" t="s">
        <v>615</v>
      </c>
      <c r="H461" s="93" t="s">
        <v>4</v>
      </c>
      <c r="I461" s="92" t="s">
        <v>3837</v>
      </c>
      <c r="J461" s="92">
        <v>9948709696</v>
      </c>
      <c r="K461" s="67"/>
      <c r="L461" s="67"/>
      <c r="M461" s="67"/>
      <c r="N461" s="67"/>
      <c r="O461" s="67"/>
    </row>
    <row r="462" spans="1:15" ht="30">
      <c r="A462" s="91" t="s">
        <v>8</v>
      </c>
      <c r="B462" s="92" t="s">
        <v>8</v>
      </c>
      <c r="C462" s="92" t="str">
        <f ca="1">IFERROR(__xludf.DUMMYFUNCTION("filter('Back End'!C:C,'Back End'!A:A=A462,'Back End'!B:B=B462,'Back End'!D:D=D462)"),"#N/A")</f>
        <v>#N/A</v>
      </c>
      <c r="D462" s="91" t="s">
        <v>596</v>
      </c>
      <c r="E462" s="92" t="s">
        <v>3838</v>
      </c>
      <c r="F462" s="91" t="s">
        <v>139</v>
      </c>
      <c r="G462" s="91" t="s">
        <v>594</v>
      </c>
      <c r="H462" s="93" t="s">
        <v>4</v>
      </c>
      <c r="I462" s="92" t="s">
        <v>3107</v>
      </c>
      <c r="J462" s="92">
        <v>9441808439</v>
      </c>
      <c r="K462" s="92" t="s">
        <v>1608</v>
      </c>
      <c r="L462" s="92" t="s">
        <v>3218</v>
      </c>
      <c r="M462" s="67"/>
      <c r="N462" s="67"/>
      <c r="O462" s="67"/>
    </row>
    <row r="463" spans="1:15" ht="30">
      <c r="A463" s="91" t="s">
        <v>8</v>
      </c>
      <c r="B463" s="92" t="s">
        <v>8</v>
      </c>
      <c r="C463" s="92" t="str">
        <f ca="1">IFERROR(__xludf.DUMMYFUNCTION("filter('Back End'!C:C,'Back End'!A:A=A463,'Back End'!B:B=B463,'Back End'!D:D=D463)"),"#N/A")</f>
        <v>#N/A</v>
      </c>
      <c r="D463" s="91" t="s">
        <v>596</v>
      </c>
      <c r="E463" s="92" t="s">
        <v>3839</v>
      </c>
      <c r="F463" s="91" t="s">
        <v>165</v>
      </c>
      <c r="G463" s="91" t="s">
        <v>615</v>
      </c>
      <c r="H463" s="93" t="s">
        <v>4</v>
      </c>
      <c r="I463" s="92" t="s">
        <v>3840</v>
      </c>
      <c r="J463" s="92">
        <v>8639338634</v>
      </c>
      <c r="K463" s="67"/>
      <c r="L463" s="67"/>
      <c r="M463" s="67"/>
      <c r="N463" s="67"/>
      <c r="O463" s="67"/>
    </row>
    <row r="464" spans="1:15" ht="30">
      <c r="A464" s="91" t="s">
        <v>8</v>
      </c>
      <c r="B464" s="92" t="s">
        <v>8</v>
      </c>
      <c r="C464" s="92" t="str">
        <f ca="1">IFERROR(__xludf.DUMMYFUNCTION("filter('Back End'!C:C,'Back End'!A:A=A464,'Back End'!B:B=B464,'Back End'!D:D=D464)"),"#N/A")</f>
        <v>#N/A</v>
      </c>
      <c r="D464" s="91" t="s">
        <v>596</v>
      </c>
      <c r="E464" s="92" t="s">
        <v>3841</v>
      </c>
      <c r="F464" s="91" t="s">
        <v>139</v>
      </c>
      <c r="G464" s="91" t="s">
        <v>594</v>
      </c>
      <c r="H464" s="93" t="s">
        <v>6</v>
      </c>
      <c r="I464" s="92" t="s">
        <v>3140</v>
      </c>
      <c r="J464" s="92">
        <v>915407322</v>
      </c>
      <c r="K464" s="92" t="s">
        <v>1608</v>
      </c>
      <c r="L464" s="92" t="s">
        <v>3842</v>
      </c>
      <c r="M464" s="67"/>
      <c r="N464" s="67"/>
      <c r="O464" s="67"/>
    </row>
    <row r="465" spans="1:15" ht="30">
      <c r="A465" s="91" t="s">
        <v>3361</v>
      </c>
      <c r="B465" s="91" t="s">
        <v>587</v>
      </c>
      <c r="C465" s="92" t="str">
        <f ca="1">IFERROR(__xludf.DUMMYFUNCTION("filter('Back End'!C:C,'Back End'!A:A=A465,'Back End'!B:B=B465,'Back End'!D:D=D465)"),"#N/A")</f>
        <v>#N/A</v>
      </c>
      <c r="D465" s="91" t="s">
        <v>596</v>
      </c>
      <c r="E465" s="91" t="s">
        <v>3843</v>
      </c>
      <c r="F465" s="91" t="s">
        <v>139</v>
      </c>
      <c r="G465" s="91" t="s">
        <v>594</v>
      </c>
      <c r="H465" s="93" t="s">
        <v>4</v>
      </c>
      <c r="I465" s="92" t="s">
        <v>3463</v>
      </c>
      <c r="J465" s="92">
        <v>9010999586</v>
      </c>
      <c r="K465" s="67"/>
      <c r="L465" s="67"/>
      <c r="M465" s="67"/>
      <c r="N465" s="67"/>
      <c r="O465" s="67"/>
    </row>
    <row r="466" spans="1:15" ht="15">
      <c r="A466" s="91" t="s">
        <v>3361</v>
      </c>
      <c r="B466" s="91" t="s">
        <v>587</v>
      </c>
      <c r="C466" s="92" t="str">
        <f ca="1">IFERROR(__xludf.DUMMYFUNCTION("filter('Back End'!C:C,'Back End'!A:A=A466,'Back End'!B:B=B466,'Back End'!D:D=D466)"),"#N/A")</f>
        <v>#N/A</v>
      </c>
      <c r="D466" s="91" t="s">
        <v>596</v>
      </c>
      <c r="E466" s="91" t="s">
        <v>3844</v>
      </c>
      <c r="F466" s="91" t="s">
        <v>139</v>
      </c>
      <c r="G466" s="91" t="s">
        <v>594</v>
      </c>
      <c r="H466" s="93" t="s">
        <v>4</v>
      </c>
      <c r="I466" s="92" t="s">
        <v>3125</v>
      </c>
      <c r="J466" s="92">
        <v>7702971850</v>
      </c>
      <c r="K466" s="67"/>
      <c r="L466" s="67"/>
      <c r="M466" s="67"/>
      <c r="N466" s="67"/>
      <c r="O466" s="67"/>
    </row>
    <row r="467" spans="1:15" ht="30">
      <c r="A467" s="91" t="s">
        <v>8</v>
      </c>
      <c r="B467" s="91" t="s">
        <v>587</v>
      </c>
      <c r="C467" s="92" t="str">
        <f ca="1">IFERROR(__xludf.DUMMYFUNCTION("filter('Back End'!C:C,'Back End'!A:A=A467,'Back End'!B:B=B467,'Back End'!D:D=D467)"),"Bangarayyapeta")</f>
        <v>Bangarayyapeta</v>
      </c>
      <c r="D467" s="91" t="s">
        <v>596</v>
      </c>
      <c r="E467" s="91" t="s">
        <v>3845</v>
      </c>
      <c r="F467" s="91" t="s">
        <v>139</v>
      </c>
      <c r="G467" s="91" t="s">
        <v>594</v>
      </c>
      <c r="H467" s="93" t="s">
        <v>5</v>
      </c>
      <c r="I467" s="92" t="s">
        <v>3495</v>
      </c>
      <c r="J467" s="92">
        <v>7093262627</v>
      </c>
      <c r="K467" s="67"/>
      <c r="L467" s="67"/>
      <c r="M467" s="67"/>
      <c r="N467" s="67"/>
      <c r="O467" s="67"/>
    </row>
    <row r="468" spans="1:15" ht="30">
      <c r="A468" s="91" t="s">
        <v>8</v>
      </c>
      <c r="B468" s="92" t="s">
        <v>8</v>
      </c>
      <c r="C468" s="92" t="str">
        <f ca="1">IFERROR(__xludf.DUMMYFUNCTION("filter('Back End'!C:C,'Back End'!A:A=A468,'Back End'!B:B=B468,'Back End'!D:D=D468)"),"Peda Sankarlapudi")</f>
        <v>Peda Sankarlapudi</v>
      </c>
      <c r="D468" s="91" t="s">
        <v>560</v>
      </c>
      <c r="E468" s="92" t="s">
        <v>3846</v>
      </c>
      <c r="F468" s="91" t="s">
        <v>139</v>
      </c>
      <c r="G468" s="91" t="s">
        <v>594</v>
      </c>
      <c r="H468" s="93" t="s">
        <v>5</v>
      </c>
      <c r="I468" s="92" t="s">
        <v>3284</v>
      </c>
      <c r="J468" s="92">
        <v>9000060455</v>
      </c>
      <c r="K468" s="67"/>
      <c r="L468" s="67"/>
      <c r="M468" s="67"/>
      <c r="N468" s="67"/>
      <c r="O468" s="67"/>
    </row>
    <row r="469" spans="1:15" ht="90">
      <c r="A469" s="91" t="s">
        <v>8</v>
      </c>
      <c r="B469" s="92" t="s">
        <v>8</v>
      </c>
      <c r="C469" s="92" t="str">
        <f ca="1">IFERROR(__xludf.DUMMYFUNCTION("filter('Back End'!C:C,'Back End'!A:A=A469,'Back End'!B:B=B469,'Back End'!D:D=D469)"),"Peda Sankarlapudi")</f>
        <v>Peda Sankarlapudi</v>
      </c>
      <c r="D469" s="91" t="s">
        <v>560</v>
      </c>
      <c r="E469" s="92" t="s">
        <v>3847</v>
      </c>
      <c r="F469" s="91" t="s">
        <v>139</v>
      </c>
      <c r="G469" s="91" t="s">
        <v>594</v>
      </c>
      <c r="H469" s="93" t="s">
        <v>4</v>
      </c>
      <c r="I469" s="92" t="s">
        <v>3284</v>
      </c>
      <c r="J469" s="92">
        <v>9000056686</v>
      </c>
      <c r="K469" s="67"/>
      <c r="L469" s="92" t="s">
        <v>3848</v>
      </c>
      <c r="M469" s="67"/>
      <c r="N469" s="67"/>
      <c r="O469" s="67"/>
    </row>
    <row r="470" spans="1:15" ht="105">
      <c r="A470" s="91" t="s">
        <v>8</v>
      </c>
      <c r="B470" s="92" t="s">
        <v>8</v>
      </c>
      <c r="C470" s="92" t="str">
        <f ca="1">IFERROR(__xludf.DUMMYFUNCTION("filter('Back End'!C:C,'Back End'!A:A=A470,'Back End'!B:B=B470,'Back End'!D:D=D470)"),"Peda Sankarlapudi")</f>
        <v>Peda Sankarlapudi</v>
      </c>
      <c r="D470" s="91" t="s">
        <v>560</v>
      </c>
      <c r="E470" s="92" t="s">
        <v>3849</v>
      </c>
      <c r="F470" s="91" t="s">
        <v>139</v>
      </c>
      <c r="G470" s="91" t="s">
        <v>594</v>
      </c>
      <c r="H470" s="93" t="s">
        <v>5</v>
      </c>
      <c r="I470" s="92" t="s">
        <v>3850</v>
      </c>
      <c r="J470" s="92">
        <v>9177525003</v>
      </c>
      <c r="K470" s="67"/>
      <c r="L470" s="92" t="s">
        <v>3851</v>
      </c>
      <c r="M470" s="67"/>
      <c r="N470" s="67"/>
      <c r="O470" s="67"/>
    </row>
    <row r="471" spans="1:15" ht="30">
      <c r="A471" s="91" t="s">
        <v>8</v>
      </c>
      <c r="B471" s="92" t="s">
        <v>8</v>
      </c>
      <c r="C471" s="92" t="str">
        <f ca="1">IFERROR(__xludf.DUMMYFUNCTION("filter('Back End'!C:C,'Back End'!A:A=A471,'Back End'!B:B=B471,'Back End'!D:D=D471)"),"Peda Sankarlapudi")</f>
        <v>Peda Sankarlapudi</v>
      </c>
      <c r="D471" s="91" t="s">
        <v>560</v>
      </c>
      <c r="E471" s="92" t="s">
        <v>3852</v>
      </c>
      <c r="F471" s="91" t="s">
        <v>1669</v>
      </c>
      <c r="G471" s="91" t="s">
        <v>615</v>
      </c>
      <c r="H471" s="93" t="s">
        <v>5</v>
      </c>
      <c r="I471" s="92" t="s">
        <v>3210</v>
      </c>
      <c r="J471" s="92">
        <v>7382312684</v>
      </c>
      <c r="K471" s="92" t="s">
        <v>1608</v>
      </c>
      <c r="L471" s="92" t="s">
        <v>3853</v>
      </c>
      <c r="M471" s="67"/>
      <c r="N471" s="67"/>
      <c r="O471" s="67"/>
    </row>
    <row r="472" spans="1:15" ht="45">
      <c r="A472" s="91" t="s">
        <v>8</v>
      </c>
      <c r="B472" s="92" t="s">
        <v>8</v>
      </c>
      <c r="C472" s="92" t="str">
        <f ca="1">IFERROR(__xludf.DUMMYFUNCTION("filter('Back End'!C:C,'Back End'!A:A=A472,'Back End'!B:B=B472,'Back End'!D:D=D472)"),"Peda Sankarlapudi")</f>
        <v>Peda Sankarlapudi</v>
      </c>
      <c r="D472" s="91" t="s">
        <v>560</v>
      </c>
      <c r="E472" s="92" t="s">
        <v>3854</v>
      </c>
      <c r="F472" s="91" t="s">
        <v>139</v>
      </c>
      <c r="G472" s="91" t="s">
        <v>594</v>
      </c>
      <c r="H472" s="93" t="s">
        <v>5</v>
      </c>
      <c r="I472" s="92" t="s">
        <v>3855</v>
      </c>
      <c r="J472" s="92">
        <v>9059679111</v>
      </c>
      <c r="K472" s="92" t="s">
        <v>1608</v>
      </c>
      <c r="L472" s="67"/>
      <c r="M472" s="67"/>
      <c r="N472" s="67"/>
      <c r="O472" s="67"/>
    </row>
    <row r="473" spans="1:15" ht="45">
      <c r="A473" s="91" t="s">
        <v>8</v>
      </c>
      <c r="B473" s="92" t="s">
        <v>8</v>
      </c>
      <c r="C473" s="92" t="str">
        <f ca="1">IFERROR(__xludf.DUMMYFUNCTION("filter('Back End'!C:C,'Back End'!A:A=A473,'Back End'!B:B=B473,'Back End'!D:D=D473)"),"Peda Sankarlapudi")</f>
        <v>Peda Sankarlapudi</v>
      </c>
      <c r="D473" s="91" t="s">
        <v>560</v>
      </c>
      <c r="E473" s="92" t="s">
        <v>3856</v>
      </c>
      <c r="F473" s="91" t="s">
        <v>139</v>
      </c>
      <c r="G473" s="91" t="s">
        <v>594</v>
      </c>
      <c r="H473" s="93" t="s">
        <v>4</v>
      </c>
      <c r="I473" s="92" t="s">
        <v>3115</v>
      </c>
      <c r="J473" s="92">
        <v>9948498889</v>
      </c>
      <c r="K473" s="92" t="s">
        <v>1603</v>
      </c>
      <c r="L473" s="67"/>
      <c r="M473" s="67"/>
      <c r="N473" s="67"/>
      <c r="O473" s="67"/>
    </row>
    <row r="474" spans="1:15" ht="30">
      <c r="A474" s="91" t="s">
        <v>8</v>
      </c>
      <c r="B474" s="92" t="s">
        <v>8</v>
      </c>
      <c r="C474" s="92" t="str">
        <f ca="1">IFERROR(__xludf.DUMMYFUNCTION("filter('Back End'!C:C,'Back End'!A:A=A474,'Back End'!B:B=B474,'Back End'!D:D=D474)"),"Peda Sankarlapudi")</f>
        <v>Peda Sankarlapudi</v>
      </c>
      <c r="D474" s="91" t="s">
        <v>560</v>
      </c>
      <c r="E474" s="92" t="s">
        <v>3857</v>
      </c>
      <c r="F474" s="91" t="s">
        <v>139</v>
      </c>
      <c r="G474" s="91" t="s">
        <v>594</v>
      </c>
      <c r="H474" s="93" t="s">
        <v>4</v>
      </c>
      <c r="I474" s="92" t="s">
        <v>3858</v>
      </c>
      <c r="J474" s="92">
        <v>98494666667</v>
      </c>
      <c r="K474" s="92" t="s">
        <v>1613</v>
      </c>
      <c r="L474" s="92" t="s">
        <v>3859</v>
      </c>
      <c r="M474" s="67"/>
      <c r="N474" s="67"/>
      <c r="O474" s="67"/>
    </row>
    <row r="475" spans="1:15" ht="30">
      <c r="A475" s="91" t="s">
        <v>8</v>
      </c>
      <c r="B475" s="91" t="s">
        <v>8</v>
      </c>
      <c r="C475" s="92" t="s">
        <v>560</v>
      </c>
      <c r="D475" s="91" t="s">
        <v>560</v>
      </c>
      <c r="E475" s="91" t="s">
        <v>3860</v>
      </c>
      <c r="F475" s="91" t="s">
        <v>165</v>
      </c>
      <c r="G475" s="91" t="s">
        <v>615</v>
      </c>
      <c r="H475" s="93" t="s">
        <v>4</v>
      </c>
      <c r="I475" s="92" t="s">
        <v>3463</v>
      </c>
      <c r="J475" s="92">
        <v>8978122828</v>
      </c>
      <c r="K475" s="67"/>
      <c r="L475" s="67"/>
      <c r="M475" s="67"/>
      <c r="N475" s="67"/>
      <c r="O475" s="67"/>
    </row>
    <row r="476" spans="1:15" ht="30">
      <c r="A476" s="91" t="s">
        <v>8</v>
      </c>
      <c r="B476" s="91" t="s">
        <v>8</v>
      </c>
      <c r="C476" s="92" t="s">
        <v>560</v>
      </c>
      <c r="D476" s="91" t="s">
        <v>560</v>
      </c>
      <c r="E476" s="91" t="s">
        <v>3861</v>
      </c>
      <c r="F476" s="91" t="s">
        <v>139</v>
      </c>
      <c r="G476" s="91" t="s">
        <v>594</v>
      </c>
      <c r="H476" s="93" t="s">
        <v>4</v>
      </c>
      <c r="I476" s="92" t="s">
        <v>3125</v>
      </c>
      <c r="J476" s="92">
        <v>9398949349</v>
      </c>
      <c r="K476" s="67"/>
      <c r="L476" s="67"/>
      <c r="M476" s="67"/>
      <c r="N476" s="67"/>
      <c r="O476" s="67"/>
    </row>
    <row r="477" spans="1:15" ht="30">
      <c r="A477" s="91" t="s">
        <v>8</v>
      </c>
      <c r="B477" s="91" t="s">
        <v>8</v>
      </c>
      <c r="C477" s="92" t="s">
        <v>560</v>
      </c>
      <c r="D477" s="91" t="s">
        <v>560</v>
      </c>
      <c r="E477" s="91" t="s">
        <v>3862</v>
      </c>
      <c r="F477" s="91" t="s">
        <v>139</v>
      </c>
      <c r="G477" s="91" t="s">
        <v>594</v>
      </c>
      <c r="H477" s="93" t="s">
        <v>4</v>
      </c>
      <c r="I477" s="92" t="s">
        <v>3863</v>
      </c>
      <c r="J477" s="92">
        <v>9000056686</v>
      </c>
      <c r="K477" s="67"/>
      <c r="L477" s="67"/>
      <c r="M477" s="67"/>
      <c r="N477" s="67"/>
      <c r="O477" s="67"/>
    </row>
    <row r="478" spans="1:15" ht="30">
      <c r="A478" s="91" t="s">
        <v>8</v>
      </c>
      <c r="B478" s="91" t="s">
        <v>8</v>
      </c>
      <c r="C478" s="92" t="str">
        <f ca="1">IFERROR(__xludf.DUMMYFUNCTION("filter('Back End'!C:C,'Back End'!A:A=A478,'Back End'!B:B=B478,'Back End'!D:D=D478)"),"Peda Sankarlapudi")</f>
        <v>Peda Sankarlapudi</v>
      </c>
      <c r="D478" s="91" t="s">
        <v>560</v>
      </c>
      <c r="E478" s="91" t="s">
        <v>3864</v>
      </c>
      <c r="F478" s="91" t="s">
        <v>139</v>
      </c>
      <c r="G478" s="91" t="s">
        <v>594</v>
      </c>
      <c r="H478" s="93" t="s">
        <v>5</v>
      </c>
      <c r="I478" s="92" t="s">
        <v>3185</v>
      </c>
      <c r="J478" s="92">
        <v>9701003407</v>
      </c>
      <c r="K478" s="67"/>
      <c r="L478" s="67"/>
      <c r="M478" s="67"/>
      <c r="N478" s="67"/>
      <c r="O478" s="67"/>
    </row>
    <row r="479" spans="1:15" ht="45">
      <c r="A479" s="91" t="s">
        <v>8</v>
      </c>
      <c r="B479" s="91" t="s">
        <v>8</v>
      </c>
      <c r="C479" s="92" t="str">
        <f ca="1">IFERROR(__xludf.DUMMYFUNCTION("filter('Back End'!C:C,'Back End'!A:A=A479,'Back End'!B:B=B479,'Back End'!D:D=D479)"),"Peda Sankarlapudi")</f>
        <v>Peda Sankarlapudi</v>
      </c>
      <c r="D479" s="91" t="s">
        <v>560</v>
      </c>
      <c r="E479" s="91" t="s">
        <v>3865</v>
      </c>
      <c r="F479" s="91" t="s">
        <v>139</v>
      </c>
      <c r="G479" s="91" t="s">
        <v>594</v>
      </c>
      <c r="H479" s="93" t="s">
        <v>5</v>
      </c>
      <c r="I479" s="92" t="s">
        <v>3866</v>
      </c>
      <c r="J479" s="92">
        <v>9059679111</v>
      </c>
      <c r="K479" s="67"/>
      <c r="L479" s="67"/>
      <c r="M479" s="67"/>
      <c r="N479" s="67"/>
      <c r="O479" s="67"/>
    </row>
    <row r="480" spans="1:15" ht="30">
      <c r="A480" s="91" t="s">
        <v>8</v>
      </c>
      <c r="B480" s="91" t="s">
        <v>8</v>
      </c>
      <c r="C480" s="92" t="str">
        <f ca="1">IFERROR(__xludf.DUMMYFUNCTION("filter('Back End'!C:C,'Back End'!A:A=A480,'Back End'!B:B=B480,'Back End'!D:D=D480)"),"Peda Sankarlapudi")</f>
        <v>Peda Sankarlapudi</v>
      </c>
      <c r="D480" s="91" t="s">
        <v>560</v>
      </c>
      <c r="E480" s="91" t="s">
        <v>3867</v>
      </c>
      <c r="F480" s="91" t="s">
        <v>114</v>
      </c>
      <c r="G480" s="91" t="s">
        <v>85</v>
      </c>
      <c r="H480" s="93" t="s">
        <v>5</v>
      </c>
      <c r="I480" s="92" t="s">
        <v>3709</v>
      </c>
      <c r="J480" s="92">
        <v>9701022072</v>
      </c>
      <c r="K480" s="67"/>
      <c r="L480" s="67"/>
      <c r="M480" s="67"/>
      <c r="N480" s="67"/>
      <c r="O480" s="67"/>
    </row>
    <row r="481" spans="1:15" ht="30">
      <c r="A481" s="91" t="s">
        <v>8</v>
      </c>
      <c r="B481" s="92" t="s">
        <v>658</v>
      </c>
      <c r="C481" s="92" t="str">
        <f ca="1">IFERROR(__xludf.DUMMYFUNCTION("filter('Back End'!C:C,'Back End'!A:A=A481,'Back End'!B:B=B481,'Back End'!D:D=D481)"),"Siripuram")</f>
        <v>Siripuram</v>
      </c>
      <c r="D481" s="91" t="s">
        <v>325</v>
      </c>
      <c r="E481" s="92" t="s">
        <v>3868</v>
      </c>
      <c r="F481" s="91" t="s">
        <v>114</v>
      </c>
      <c r="G481" s="91" t="s">
        <v>85</v>
      </c>
      <c r="H481" s="93" t="s">
        <v>5</v>
      </c>
      <c r="I481" s="92" t="s">
        <v>3869</v>
      </c>
      <c r="J481" s="92">
        <v>7093300390</v>
      </c>
      <c r="K481" s="92" t="s">
        <v>1608</v>
      </c>
      <c r="L481" s="92" t="s">
        <v>3842</v>
      </c>
      <c r="M481" s="67"/>
      <c r="N481" s="67"/>
      <c r="O481" s="67"/>
    </row>
    <row r="482" spans="1:15" ht="60">
      <c r="A482" s="91" t="s">
        <v>8</v>
      </c>
      <c r="B482" s="92" t="s">
        <v>658</v>
      </c>
      <c r="C482" s="92" t="str">
        <f ca="1">IFERROR(__xludf.DUMMYFUNCTION("filter('Back End'!C:C,'Back End'!A:A=A482,'Back End'!B:B=B482,'Back End'!D:D=D482)"),"Siripuram")</f>
        <v>Siripuram</v>
      </c>
      <c r="D482" s="91" t="s">
        <v>325</v>
      </c>
      <c r="E482" s="92" t="s">
        <v>3870</v>
      </c>
      <c r="F482" s="91" t="s">
        <v>114</v>
      </c>
      <c r="G482" s="91" t="s">
        <v>85</v>
      </c>
      <c r="H482" s="93" t="s">
        <v>4</v>
      </c>
      <c r="I482" s="92" t="s">
        <v>3871</v>
      </c>
      <c r="J482" s="92">
        <v>9000808298</v>
      </c>
      <c r="K482" s="92" t="s">
        <v>1608</v>
      </c>
      <c r="L482" s="92" t="s">
        <v>3842</v>
      </c>
      <c r="M482" s="67"/>
      <c r="N482" s="67"/>
      <c r="O482" s="67"/>
    </row>
    <row r="483" spans="1:15" ht="60">
      <c r="A483" s="91" t="s">
        <v>8</v>
      </c>
      <c r="B483" s="92" t="s">
        <v>658</v>
      </c>
      <c r="C483" s="92" t="str">
        <f ca="1">IFERROR(__xludf.DUMMYFUNCTION("filter('Back End'!C:C,'Back End'!A:A=A483,'Back End'!B:B=B483,'Back End'!D:D=D483)"),"Siripuram")</f>
        <v>Siripuram</v>
      </c>
      <c r="D483" s="91" t="s">
        <v>325</v>
      </c>
      <c r="E483" s="92" t="s">
        <v>3872</v>
      </c>
      <c r="F483" s="91" t="s">
        <v>1669</v>
      </c>
      <c r="G483" s="91" t="s">
        <v>615</v>
      </c>
      <c r="H483" s="93" t="s">
        <v>4</v>
      </c>
      <c r="I483" s="92" t="s">
        <v>3873</v>
      </c>
      <c r="J483" s="92">
        <v>7993479979</v>
      </c>
      <c r="K483" s="67"/>
      <c r="L483" s="92" t="s">
        <v>3736</v>
      </c>
      <c r="M483" s="67"/>
      <c r="N483" s="67"/>
      <c r="O483" s="67"/>
    </row>
    <row r="484" spans="1:15" ht="30">
      <c r="A484" s="91" t="s">
        <v>8</v>
      </c>
      <c r="B484" s="92" t="s">
        <v>658</v>
      </c>
      <c r="C484" s="92" t="str">
        <f ca="1">IFERROR(__xludf.DUMMYFUNCTION("filter('Back End'!C:C,'Back End'!A:A=A484,'Back End'!B:B=B484,'Back End'!D:D=D484)"),"Siripuram")</f>
        <v>Siripuram</v>
      </c>
      <c r="D484" s="91" t="s">
        <v>325</v>
      </c>
      <c r="E484" s="92" t="s">
        <v>3874</v>
      </c>
      <c r="F484" s="91" t="s">
        <v>114</v>
      </c>
      <c r="G484" s="91" t="s">
        <v>85</v>
      </c>
      <c r="H484" s="93" t="s">
        <v>5</v>
      </c>
      <c r="I484" s="92" t="s">
        <v>3115</v>
      </c>
      <c r="J484" s="92">
        <v>7673985556</v>
      </c>
      <c r="K484" s="92" t="s">
        <v>1613</v>
      </c>
      <c r="L484" s="67"/>
      <c r="M484" s="67"/>
      <c r="N484" s="67"/>
      <c r="O484" s="67"/>
    </row>
    <row r="485" spans="1:15" ht="30">
      <c r="A485" s="91" t="s">
        <v>8</v>
      </c>
      <c r="B485" s="92" t="s">
        <v>658</v>
      </c>
      <c r="C485" s="92" t="str">
        <f ca="1">IFERROR(__xludf.DUMMYFUNCTION("filter('Back End'!C:C,'Back End'!A:A=A485,'Back End'!B:B=B485,'Back End'!D:D=D485)"),"Siripuram")</f>
        <v>Siripuram</v>
      </c>
      <c r="D485" s="91" t="s">
        <v>325</v>
      </c>
      <c r="E485" s="92" t="s">
        <v>3875</v>
      </c>
      <c r="F485" s="91" t="s">
        <v>114</v>
      </c>
      <c r="G485" s="91" t="s">
        <v>85</v>
      </c>
      <c r="H485" s="93" t="s">
        <v>6</v>
      </c>
      <c r="I485" s="92" t="s">
        <v>3140</v>
      </c>
      <c r="J485" s="92">
        <v>9989614313</v>
      </c>
      <c r="K485" s="92" t="s">
        <v>1593</v>
      </c>
      <c r="L485" s="67"/>
      <c r="M485" s="67"/>
      <c r="N485" s="67"/>
      <c r="O485" s="67"/>
    </row>
    <row r="486" spans="1:15" ht="30">
      <c r="A486" s="91" t="s">
        <v>8</v>
      </c>
      <c r="B486" s="92" t="s">
        <v>658</v>
      </c>
      <c r="C486" s="92" t="str">
        <f ca="1">IFERROR(__xludf.DUMMYFUNCTION("filter('Back End'!C:C,'Back End'!A:A=A486,'Back End'!B:B=B486,'Back End'!D:D=D486)"),"Siripuram")</f>
        <v>Siripuram</v>
      </c>
      <c r="D486" s="91" t="s">
        <v>325</v>
      </c>
      <c r="E486" s="92" t="s">
        <v>3876</v>
      </c>
      <c r="F486" s="91" t="s">
        <v>94</v>
      </c>
      <c r="G486" s="91" t="s">
        <v>615</v>
      </c>
      <c r="H486" s="93" t="s">
        <v>4</v>
      </c>
      <c r="I486" s="92" t="s">
        <v>3863</v>
      </c>
      <c r="J486" s="92">
        <v>9346241846</v>
      </c>
      <c r="K486" s="92" t="s">
        <v>1598</v>
      </c>
      <c r="L486" s="67"/>
      <c r="M486" s="67"/>
      <c r="N486" s="67"/>
      <c r="O486" s="67"/>
    </row>
    <row r="487" spans="1:15" ht="45">
      <c r="A487" s="91" t="s">
        <v>8</v>
      </c>
      <c r="B487" s="92" t="s">
        <v>658</v>
      </c>
      <c r="C487" s="92" t="str">
        <f ca="1">IFERROR(__xludf.DUMMYFUNCTION("filter('Back End'!C:C,'Back End'!A:A=A487,'Back End'!B:B=B487,'Back End'!D:D=D487)"),"Siripuram")</f>
        <v>Siripuram</v>
      </c>
      <c r="D487" s="91" t="s">
        <v>325</v>
      </c>
      <c r="E487" s="92" t="s">
        <v>3877</v>
      </c>
      <c r="F487" s="91" t="s">
        <v>94</v>
      </c>
      <c r="G487" s="91" t="s">
        <v>615</v>
      </c>
      <c r="H487" s="93" t="s">
        <v>4</v>
      </c>
      <c r="I487" s="92" t="s">
        <v>3878</v>
      </c>
      <c r="J487" s="92">
        <v>9948231849</v>
      </c>
      <c r="K487" s="92" t="s">
        <v>1608</v>
      </c>
      <c r="L487" s="92" t="s">
        <v>3190</v>
      </c>
      <c r="M487" s="67"/>
      <c r="N487" s="67"/>
      <c r="O487" s="67"/>
    </row>
    <row r="488" spans="1:15" ht="45">
      <c r="A488" s="91" t="s">
        <v>8</v>
      </c>
      <c r="B488" s="92" t="s">
        <v>658</v>
      </c>
      <c r="C488" s="92" t="str">
        <f ca="1">IFERROR(__xludf.DUMMYFUNCTION("filter('Back End'!C:C,'Back End'!A:A=A488,'Back End'!B:B=B488,'Back End'!D:D=D488)"),"Siripuram")</f>
        <v>Siripuram</v>
      </c>
      <c r="D488" s="91" t="s">
        <v>325</v>
      </c>
      <c r="E488" s="92" t="s">
        <v>3879</v>
      </c>
      <c r="F488" s="91" t="s">
        <v>586</v>
      </c>
      <c r="G488" s="91" t="s">
        <v>615</v>
      </c>
      <c r="H488" s="93" t="s">
        <v>5</v>
      </c>
      <c r="I488" s="92" t="s">
        <v>3863</v>
      </c>
      <c r="J488" s="92">
        <v>9000832770</v>
      </c>
      <c r="K488" s="92" t="s">
        <v>1603</v>
      </c>
      <c r="L488" s="67"/>
      <c r="M488" s="67"/>
      <c r="N488" s="67"/>
      <c r="O488" s="67"/>
    </row>
    <row r="489" spans="1:15" ht="30">
      <c r="A489" s="91" t="s">
        <v>8</v>
      </c>
      <c r="B489" s="92" t="s">
        <v>658</v>
      </c>
      <c r="C489" s="92" t="str">
        <f ca="1">IFERROR(__xludf.DUMMYFUNCTION("filter('Back End'!C:C,'Back End'!A:A=A489,'Back End'!B:B=B489,'Back End'!D:D=D489)"),"Siripuram")</f>
        <v>Siripuram</v>
      </c>
      <c r="D489" s="91" t="s">
        <v>325</v>
      </c>
      <c r="E489" s="92" t="s">
        <v>3880</v>
      </c>
      <c r="F489" s="91" t="s">
        <v>94</v>
      </c>
      <c r="G489" s="91" t="s">
        <v>615</v>
      </c>
      <c r="H489" s="93" t="s">
        <v>4</v>
      </c>
      <c r="I489" s="92" t="s">
        <v>3881</v>
      </c>
      <c r="J489" s="92">
        <v>9948231849</v>
      </c>
      <c r="K489" s="67"/>
      <c r="L489" s="67"/>
      <c r="M489" s="67"/>
      <c r="N489" s="67"/>
      <c r="O489" s="67"/>
    </row>
    <row r="490" spans="1:15" ht="30">
      <c r="A490" s="91" t="s">
        <v>8</v>
      </c>
      <c r="B490" s="92" t="s">
        <v>658</v>
      </c>
      <c r="C490" s="92" t="str">
        <f ca="1">IFERROR(__xludf.DUMMYFUNCTION("filter('Back End'!C:C,'Back End'!A:A=A490,'Back End'!B:B=B490,'Back End'!D:D=D490)"),"Siripuram")</f>
        <v>Siripuram</v>
      </c>
      <c r="D490" s="91" t="s">
        <v>325</v>
      </c>
      <c r="E490" s="92" t="s">
        <v>3882</v>
      </c>
      <c r="F490" s="91" t="s">
        <v>114</v>
      </c>
      <c r="G490" s="91" t="s">
        <v>85</v>
      </c>
      <c r="H490" s="93" t="s">
        <v>5</v>
      </c>
      <c r="I490" s="92" t="s">
        <v>3863</v>
      </c>
      <c r="J490" s="92">
        <v>9100562807</v>
      </c>
      <c r="K490" s="67"/>
      <c r="L490" s="67"/>
      <c r="M490" s="67"/>
      <c r="N490" s="67"/>
      <c r="O490" s="67"/>
    </row>
    <row r="491" spans="1:15" ht="45">
      <c r="A491" s="91" t="s">
        <v>8</v>
      </c>
      <c r="B491" s="92" t="s">
        <v>658</v>
      </c>
      <c r="C491" s="92" t="str">
        <f ca="1">IFERROR(__xludf.DUMMYFUNCTION("filter('Back End'!C:C,'Back End'!A:A=A491,'Back End'!B:B=B491,'Back End'!D:D=D491)"),"Siripuram")</f>
        <v>Siripuram</v>
      </c>
      <c r="D491" s="91" t="s">
        <v>325</v>
      </c>
      <c r="E491" s="92" t="s">
        <v>3883</v>
      </c>
      <c r="F491" s="91" t="s">
        <v>94</v>
      </c>
      <c r="G491" s="91" t="s">
        <v>615</v>
      </c>
      <c r="H491" s="93" t="s">
        <v>5</v>
      </c>
      <c r="I491" s="92" t="s">
        <v>3884</v>
      </c>
      <c r="J491" s="92">
        <v>7036629999</v>
      </c>
      <c r="K491" s="67"/>
      <c r="L491" s="67"/>
      <c r="M491" s="67"/>
      <c r="N491" s="67"/>
      <c r="O491" s="67"/>
    </row>
    <row r="492" spans="1:15" ht="30">
      <c r="A492" s="91" t="s">
        <v>8</v>
      </c>
      <c r="B492" s="92" t="s">
        <v>658</v>
      </c>
      <c r="C492" s="92" t="str">
        <f ca="1">IFERROR(__xludf.DUMMYFUNCTION("filter('Back End'!C:C,'Back End'!A:A=A492,'Back End'!B:B=B492,'Back End'!D:D=D492)"),"Siripuram")</f>
        <v>Siripuram</v>
      </c>
      <c r="D492" s="91" t="s">
        <v>325</v>
      </c>
      <c r="E492" s="92" t="s">
        <v>3885</v>
      </c>
      <c r="F492" s="91" t="s">
        <v>94</v>
      </c>
      <c r="G492" s="91" t="s">
        <v>615</v>
      </c>
      <c r="H492" s="93" t="s">
        <v>6</v>
      </c>
      <c r="I492" s="92" t="s">
        <v>3886</v>
      </c>
      <c r="J492" s="92">
        <v>9912321124</v>
      </c>
      <c r="K492" s="67"/>
      <c r="L492" s="67"/>
      <c r="M492" s="67"/>
      <c r="N492" s="67"/>
      <c r="O492" s="67"/>
    </row>
    <row r="493" spans="1:15" ht="30">
      <c r="A493" s="91" t="s">
        <v>10</v>
      </c>
      <c r="B493" s="92" t="s">
        <v>10</v>
      </c>
      <c r="C493" s="92" t="str">
        <f ca="1">IFERROR(__xludf.DUMMYFUNCTION("filter('Back End'!C:C,'Back End'!A:A=A493,'Back End'!B:B=B493,'Back End'!D:D=D493)"),"Kandarada")</f>
        <v>Kandarada</v>
      </c>
      <c r="D493" s="91" t="s">
        <v>507</v>
      </c>
      <c r="E493" s="92" t="s">
        <v>3887</v>
      </c>
      <c r="F493" s="91" t="s">
        <v>139</v>
      </c>
      <c r="G493" s="91" t="s">
        <v>594</v>
      </c>
      <c r="H493" s="93" t="s">
        <v>4</v>
      </c>
      <c r="I493" s="92" t="s">
        <v>3888</v>
      </c>
      <c r="J493" s="92">
        <v>9542746438</v>
      </c>
      <c r="K493" s="67"/>
      <c r="L493" s="67"/>
      <c r="M493" s="67"/>
      <c r="N493" s="67"/>
      <c r="O493" s="67"/>
    </row>
    <row r="494" spans="1:15" ht="45">
      <c r="A494" s="91" t="s">
        <v>10</v>
      </c>
      <c r="B494" s="92" t="s">
        <v>10</v>
      </c>
      <c r="C494" s="92" t="str">
        <f ca="1">IFERROR(__xludf.DUMMYFUNCTION("filter('Back End'!C:C,'Back End'!A:A=A494,'Back End'!B:B=B494,'Back End'!D:D=D494)"),"Kandarada")</f>
        <v>Kandarada</v>
      </c>
      <c r="D494" s="91" t="s">
        <v>507</v>
      </c>
      <c r="E494" s="92" t="s">
        <v>3889</v>
      </c>
      <c r="F494" s="91" t="s">
        <v>114</v>
      </c>
      <c r="G494" s="91" t="s">
        <v>85</v>
      </c>
      <c r="H494" s="93" t="s">
        <v>6</v>
      </c>
      <c r="I494" s="92" t="s">
        <v>3863</v>
      </c>
      <c r="J494" s="92">
        <v>9908478874</v>
      </c>
      <c r="K494" s="67"/>
      <c r="L494" s="67"/>
      <c r="M494" s="67"/>
      <c r="N494" s="67"/>
      <c r="O494" s="67"/>
    </row>
    <row r="495" spans="1:15" ht="60">
      <c r="A495" s="91" t="s">
        <v>10</v>
      </c>
      <c r="B495" s="92" t="s">
        <v>10</v>
      </c>
      <c r="C495" s="92" t="str">
        <f ca="1">IFERROR(__xludf.DUMMYFUNCTION("filter('Back End'!C:C,'Back End'!A:A=A495,'Back End'!B:B=B495,'Back End'!D:D=D495)"),"Kandarada")</f>
        <v>Kandarada</v>
      </c>
      <c r="D495" s="91" t="s">
        <v>507</v>
      </c>
      <c r="E495" s="92" t="s">
        <v>3890</v>
      </c>
      <c r="F495" s="91" t="s">
        <v>139</v>
      </c>
      <c r="G495" s="91" t="s">
        <v>594</v>
      </c>
      <c r="H495" s="93" t="s">
        <v>6</v>
      </c>
      <c r="I495" s="92" t="s">
        <v>3891</v>
      </c>
      <c r="J495" s="92">
        <v>9676215682</v>
      </c>
      <c r="K495" s="67"/>
      <c r="L495" s="92" t="s">
        <v>3892</v>
      </c>
      <c r="M495" s="67"/>
      <c r="N495" s="67"/>
      <c r="O495" s="67"/>
    </row>
    <row r="496" spans="1:15" ht="45">
      <c r="A496" s="91" t="s">
        <v>10</v>
      </c>
      <c r="B496" s="91" t="s">
        <v>10</v>
      </c>
      <c r="C496" s="92" t="str">
        <f ca="1">IFERROR(__xludf.DUMMYFUNCTION("filter('Back End'!C:C,'Back End'!A:A=A496,'Back End'!B:B=B496,'Back End'!D:D=D496)"),"Kandarada")</f>
        <v>Kandarada</v>
      </c>
      <c r="D496" s="91" t="s">
        <v>507</v>
      </c>
      <c r="E496" s="91" t="s">
        <v>3893</v>
      </c>
      <c r="F496" s="91" t="s">
        <v>114</v>
      </c>
      <c r="G496" s="91" t="s">
        <v>85</v>
      </c>
      <c r="H496" s="93" t="s">
        <v>4</v>
      </c>
      <c r="I496" s="92" t="s">
        <v>3894</v>
      </c>
      <c r="J496" s="92">
        <v>9949136805</v>
      </c>
      <c r="K496" s="67"/>
      <c r="L496" s="67"/>
      <c r="M496" s="67"/>
      <c r="N496" s="67"/>
      <c r="O496" s="67"/>
    </row>
    <row r="497" spans="1:15" ht="15">
      <c r="A497" s="91" t="s">
        <v>10</v>
      </c>
      <c r="B497" s="91" t="s">
        <v>10</v>
      </c>
      <c r="C497" s="92" t="str">
        <f ca="1">IFERROR(__xludf.DUMMYFUNCTION("filter('Back End'!C:C,'Back End'!A:A=A497,'Back End'!B:B=B497,'Back End'!D:D=D497)"),"Kandarada")</f>
        <v>Kandarada</v>
      </c>
      <c r="D497" s="91" t="s">
        <v>507</v>
      </c>
      <c r="E497" s="91" t="s">
        <v>3895</v>
      </c>
      <c r="F497" s="91" t="s">
        <v>139</v>
      </c>
      <c r="G497" s="91" t="s">
        <v>594</v>
      </c>
      <c r="H497" s="93" t="s">
        <v>4</v>
      </c>
      <c r="I497" s="92" t="s">
        <v>3125</v>
      </c>
      <c r="J497" s="92">
        <v>9959218909</v>
      </c>
      <c r="K497" s="67"/>
      <c r="L497" s="67"/>
      <c r="M497" s="67"/>
      <c r="N497" s="67"/>
      <c r="O497" s="67"/>
    </row>
    <row r="498" spans="1:15" ht="15">
      <c r="A498" s="91" t="s">
        <v>10</v>
      </c>
      <c r="B498" s="91" t="s">
        <v>10</v>
      </c>
      <c r="C498" s="92" t="str">
        <f ca="1">IFERROR(__xludf.DUMMYFUNCTION("filter('Back End'!C:C,'Back End'!A:A=A498,'Back End'!B:B=B498,'Back End'!D:D=D498)"),"Kandarada")</f>
        <v>Kandarada</v>
      </c>
      <c r="D498" s="91" t="s">
        <v>507</v>
      </c>
      <c r="E498" s="91" t="s">
        <v>3896</v>
      </c>
      <c r="F498" s="91" t="s">
        <v>114</v>
      </c>
      <c r="G498" s="91" t="s">
        <v>85</v>
      </c>
      <c r="H498" s="93" t="s">
        <v>5</v>
      </c>
      <c r="I498" s="92" t="s">
        <v>3515</v>
      </c>
      <c r="J498" s="92">
        <v>9866505102</v>
      </c>
      <c r="K498" s="67"/>
      <c r="L498" s="67"/>
      <c r="M498" s="67"/>
      <c r="N498" s="67"/>
      <c r="O498" s="67"/>
    </row>
    <row r="499" spans="1:15" ht="30">
      <c r="A499" s="91" t="s">
        <v>10</v>
      </c>
      <c r="B499" s="91" t="s">
        <v>10</v>
      </c>
      <c r="C499" s="92" t="str">
        <f ca="1">IFERROR(__xludf.DUMMYFUNCTION("filter('Back End'!C:C,'Back End'!A:A=A499,'Back End'!B:B=B499,'Back End'!D:D=D499)"),"Kandarada")</f>
        <v>Kandarada</v>
      </c>
      <c r="D499" s="91" t="s">
        <v>507</v>
      </c>
      <c r="E499" s="91" t="s">
        <v>3897</v>
      </c>
      <c r="F499" s="91" t="s">
        <v>139</v>
      </c>
      <c r="G499" s="91" t="s">
        <v>594</v>
      </c>
      <c r="H499" s="93" t="s">
        <v>4</v>
      </c>
      <c r="I499" s="92" t="s">
        <v>3463</v>
      </c>
      <c r="J499" s="92">
        <v>8106882356</v>
      </c>
      <c r="K499" s="67"/>
      <c r="L499" s="67"/>
      <c r="M499" s="67"/>
      <c r="N499" s="67"/>
      <c r="O499" s="67"/>
    </row>
    <row r="500" spans="1:15" ht="30">
      <c r="A500" s="91" t="s">
        <v>10</v>
      </c>
      <c r="B500" s="91" t="s">
        <v>10</v>
      </c>
      <c r="C500" s="92" t="str">
        <f ca="1">IFERROR(__xludf.DUMMYFUNCTION("filter('Back End'!C:C,'Back End'!A:A=A500,'Back End'!B:B=B500,'Back End'!D:D=D500)"),"Kandarada")</f>
        <v>Kandarada</v>
      </c>
      <c r="D500" s="91" t="s">
        <v>507</v>
      </c>
      <c r="E500" s="91" t="s">
        <v>3898</v>
      </c>
      <c r="F500" s="91" t="s">
        <v>139</v>
      </c>
      <c r="G500" s="91" t="s">
        <v>594</v>
      </c>
      <c r="H500" s="93" t="s">
        <v>5</v>
      </c>
      <c r="I500" s="92" t="s">
        <v>3899</v>
      </c>
      <c r="J500" s="92">
        <v>9642593267</v>
      </c>
      <c r="K500" s="67"/>
      <c r="L500" s="67"/>
      <c r="M500" s="67"/>
      <c r="N500" s="67"/>
      <c r="O500" s="67"/>
    </row>
    <row r="501" spans="1:15" ht="45">
      <c r="A501" s="91" t="s">
        <v>7</v>
      </c>
      <c r="B501" s="92" t="s">
        <v>7</v>
      </c>
      <c r="C501" s="92" t="str">
        <f ca="1">IFERROR(__xludf.DUMMYFUNCTION("filter('Back End'!C:C,'Back End'!A:A=A501,'Back End'!B:B=B501,'Back End'!D:D=D501)"),"#N/A")</f>
        <v>#N/A</v>
      </c>
      <c r="D501" s="91" t="s">
        <v>672</v>
      </c>
      <c r="E501" s="92" t="s">
        <v>3900</v>
      </c>
      <c r="F501" s="91" t="s">
        <v>586</v>
      </c>
      <c r="G501" s="91" t="s">
        <v>615</v>
      </c>
      <c r="H501" s="93" t="s">
        <v>5</v>
      </c>
      <c r="I501" s="92" t="s">
        <v>3901</v>
      </c>
      <c r="J501" s="92">
        <v>9393628585</v>
      </c>
      <c r="K501" s="67"/>
      <c r="L501" s="67"/>
      <c r="M501" s="67"/>
      <c r="N501" s="67"/>
      <c r="O501" s="67"/>
    </row>
    <row r="502" spans="1:15" ht="60">
      <c r="A502" s="91" t="s">
        <v>7</v>
      </c>
      <c r="B502" s="92" t="s">
        <v>7</v>
      </c>
      <c r="C502" s="92" t="str">
        <f ca="1">IFERROR(__xludf.DUMMYFUNCTION("filter('Back End'!C:C,'Back End'!A:A=A502,'Back End'!B:B=B502,'Back End'!D:D=D502)"),"#N/A")</f>
        <v>#N/A</v>
      </c>
      <c r="D502" s="91" t="s">
        <v>672</v>
      </c>
      <c r="E502" s="92" t="s">
        <v>3902</v>
      </c>
      <c r="F502" s="91" t="s">
        <v>586</v>
      </c>
      <c r="G502" s="91" t="s">
        <v>615</v>
      </c>
      <c r="H502" s="93" t="s">
        <v>5</v>
      </c>
      <c r="I502" s="92" t="s">
        <v>3863</v>
      </c>
      <c r="J502" s="92">
        <v>9441709962</v>
      </c>
      <c r="K502" s="92" t="s">
        <v>1598</v>
      </c>
      <c r="L502" s="92" t="s">
        <v>3360</v>
      </c>
      <c r="M502" s="67"/>
      <c r="N502" s="67"/>
      <c r="O502" s="67"/>
    </row>
    <row r="503" spans="1:15" ht="60">
      <c r="A503" s="91" t="s">
        <v>7</v>
      </c>
      <c r="B503" s="92" t="s">
        <v>7</v>
      </c>
      <c r="C503" s="92" t="str">
        <f ca="1">IFERROR(__xludf.DUMMYFUNCTION("filter('Back End'!C:C,'Back End'!A:A=A503,'Back End'!B:B=B503,'Back End'!D:D=D503)"),"#N/A")</f>
        <v>#N/A</v>
      </c>
      <c r="D503" s="91" t="s">
        <v>672</v>
      </c>
      <c r="E503" s="92" t="s">
        <v>3903</v>
      </c>
      <c r="F503" s="91" t="s">
        <v>114</v>
      </c>
      <c r="G503" s="91" t="s">
        <v>85</v>
      </c>
      <c r="H503" s="93" t="s">
        <v>5</v>
      </c>
      <c r="I503" s="92" t="s">
        <v>3140</v>
      </c>
      <c r="J503" s="92">
        <v>9010752300</v>
      </c>
      <c r="K503" s="67"/>
      <c r="L503" s="92" t="s">
        <v>3851</v>
      </c>
      <c r="M503" s="67"/>
      <c r="N503" s="67"/>
      <c r="O503" s="67"/>
    </row>
    <row r="504" spans="1:15" ht="60">
      <c r="A504" s="91" t="s">
        <v>7</v>
      </c>
      <c r="B504" s="92" t="s">
        <v>7</v>
      </c>
      <c r="C504" s="92" t="str">
        <f ca="1">IFERROR(__xludf.DUMMYFUNCTION("filter('Back End'!C:C,'Back End'!A:A=A504,'Back End'!B:B=B504,'Back End'!D:D=D504)"),"#N/A")</f>
        <v>#N/A</v>
      </c>
      <c r="D504" s="91" t="s">
        <v>672</v>
      </c>
      <c r="E504" s="92" t="s">
        <v>3904</v>
      </c>
      <c r="F504" s="91" t="s">
        <v>586</v>
      </c>
      <c r="G504" s="91" t="s">
        <v>615</v>
      </c>
      <c r="H504" s="93" t="s">
        <v>4</v>
      </c>
      <c r="I504" s="92" t="s">
        <v>3140</v>
      </c>
      <c r="J504" s="92">
        <v>9000310220</v>
      </c>
      <c r="K504" s="67"/>
      <c r="L504" s="92" t="s">
        <v>3851</v>
      </c>
      <c r="M504" s="67"/>
      <c r="N504" s="67"/>
      <c r="O504" s="67"/>
    </row>
    <row r="505" spans="1:15" ht="60">
      <c r="A505" s="91" t="s">
        <v>7</v>
      </c>
      <c r="B505" s="92" t="s">
        <v>7</v>
      </c>
      <c r="C505" s="92" t="str">
        <f ca="1">IFERROR(__xludf.DUMMYFUNCTION("filter('Back End'!C:C,'Back End'!A:A=A505,'Back End'!B:B=B505,'Back End'!D:D=D505)"),"#N/A")</f>
        <v>#N/A</v>
      </c>
      <c r="D505" s="91" t="s">
        <v>672</v>
      </c>
      <c r="E505" s="92" t="s">
        <v>3905</v>
      </c>
      <c r="F505" s="91" t="s">
        <v>114</v>
      </c>
      <c r="G505" s="91" t="s">
        <v>85</v>
      </c>
      <c r="H505" s="93" t="s">
        <v>4</v>
      </c>
      <c r="I505" s="92" t="s">
        <v>3906</v>
      </c>
      <c r="J505" s="92">
        <v>9640993912</v>
      </c>
      <c r="K505" s="67"/>
      <c r="L505" s="67"/>
      <c r="M505" s="67"/>
      <c r="N505" s="67"/>
      <c r="O505" s="67"/>
    </row>
    <row r="506" spans="1:15" ht="45">
      <c r="A506" s="91" t="s">
        <v>7</v>
      </c>
      <c r="B506" s="92" t="s">
        <v>7</v>
      </c>
      <c r="C506" s="92" t="str">
        <f ca="1">IFERROR(__xludf.DUMMYFUNCTION("filter('Back End'!C:C,'Back End'!A:A=A506,'Back End'!B:B=B506,'Back End'!D:D=D506)"),"#N/A")</f>
        <v>#N/A</v>
      </c>
      <c r="D506" s="91" t="s">
        <v>672</v>
      </c>
      <c r="E506" s="92" t="s">
        <v>3907</v>
      </c>
      <c r="F506" s="91" t="s">
        <v>114</v>
      </c>
      <c r="G506" s="91" t="s">
        <v>85</v>
      </c>
      <c r="H506" s="93" t="s">
        <v>5</v>
      </c>
      <c r="I506" s="92" t="s">
        <v>3185</v>
      </c>
      <c r="J506" s="92">
        <v>7993106427</v>
      </c>
      <c r="K506" s="67"/>
      <c r="L506" s="67"/>
      <c r="M506" s="67"/>
      <c r="N506" s="67"/>
      <c r="O506" s="67"/>
    </row>
    <row r="507" spans="1:15" ht="30">
      <c r="A507" s="91" t="s">
        <v>7</v>
      </c>
      <c r="B507" s="92" t="s">
        <v>7</v>
      </c>
      <c r="C507" s="92" t="str">
        <f ca="1">IFERROR(__xludf.DUMMYFUNCTION("filter('Back End'!C:C,'Back End'!A:A=A507,'Back End'!B:B=B507,'Back End'!D:D=D507)"),"#N/A")</f>
        <v>#N/A</v>
      </c>
      <c r="D507" s="91" t="s">
        <v>672</v>
      </c>
      <c r="E507" s="92" t="s">
        <v>3908</v>
      </c>
      <c r="F507" s="91" t="s">
        <v>586</v>
      </c>
      <c r="G507" s="91" t="s">
        <v>615</v>
      </c>
      <c r="H507" s="93" t="s">
        <v>5</v>
      </c>
      <c r="I507" s="92" t="s">
        <v>3909</v>
      </c>
      <c r="J507" s="92">
        <v>9441326672</v>
      </c>
      <c r="K507" s="67"/>
      <c r="L507" s="67"/>
      <c r="M507" s="67"/>
      <c r="N507" s="67"/>
      <c r="O507" s="67"/>
    </row>
    <row r="508" spans="1:15" ht="30">
      <c r="A508" s="91" t="s">
        <v>7</v>
      </c>
      <c r="B508" s="91" t="s">
        <v>671</v>
      </c>
      <c r="C508" s="92" t="str">
        <f ca="1">IFERROR(__xludf.DUMMYFUNCTION("filter('Back End'!C:C,'Back End'!A:A=A508,'Back End'!B:B=B508,'Back End'!D:D=D508)"),"Allipudi")</f>
        <v>Allipudi</v>
      </c>
      <c r="D508" s="91" t="s">
        <v>672</v>
      </c>
      <c r="E508" s="91" t="s">
        <v>3910</v>
      </c>
      <c r="F508" s="91" t="s">
        <v>1660</v>
      </c>
      <c r="G508" s="91" t="s">
        <v>615</v>
      </c>
      <c r="H508" s="93" t="s">
        <v>5</v>
      </c>
      <c r="I508" s="92" t="s">
        <v>3911</v>
      </c>
      <c r="J508" s="92">
        <v>9493101719</v>
      </c>
      <c r="K508" s="67"/>
      <c r="L508" s="67"/>
      <c r="M508" s="67"/>
      <c r="N508" s="67"/>
      <c r="O508" s="67"/>
    </row>
    <row r="509" spans="1:15" ht="30">
      <c r="A509" s="91" t="s">
        <v>7</v>
      </c>
      <c r="B509" s="91" t="s">
        <v>671</v>
      </c>
      <c r="C509" s="92" t="str">
        <f ca="1">IFERROR(__xludf.DUMMYFUNCTION("filter('Back End'!C:C,'Back End'!A:A=A509,'Back End'!B:B=B509,'Back End'!D:D=D509)"),"Allipudi")</f>
        <v>Allipudi</v>
      </c>
      <c r="D509" s="91" t="s">
        <v>672</v>
      </c>
      <c r="E509" s="91" t="s">
        <v>3912</v>
      </c>
      <c r="F509" s="91" t="s">
        <v>586</v>
      </c>
      <c r="G509" s="91" t="s">
        <v>615</v>
      </c>
      <c r="H509" s="93" t="s">
        <v>4</v>
      </c>
      <c r="I509" s="92" t="s">
        <v>3212</v>
      </c>
      <c r="J509" s="92">
        <v>9347117066</v>
      </c>
      <c r="K509" s="67"/>
      <c r="L509" s="67"/>
      <c r="M509" s="67"/>
      <c r="N509" s="67"/>
      <c r="O509" s="67"/>
    </row>
    <row r="510" spans="1:15" ht="30">
      <c r="A510" s="91" t="s">
        <v>7</v>
      </c>
      <c r="B510" s="91" t="s">
        <v>671</v>
      </c>
      <c r="C510" s="92" t="str">
        <f ca="1">IFERROR(__xludf.DUMMYFUNCTION("filter('Back End'!C:C,'Back End'!A:A=A510,'Back End'!B:B=B510,'Back End'!D:D=D510)"),"Allipudi")</f>
        <v>Allipudi</v>
      </c>
      <c r="D510" s="91" t="s">
        <v>672</v>
      </c>
      <c r="E510" s="91" t="s">
        <v>3913</v>
      </c>
      <c r="F510" s="91" t="s">
        <v>114</v>
      </c>
      <c r="G510" s="91" t="s">
        <v>85</v>
      </c>
      <c r="H510" s="93" t="s">
        <v>4</v>
      </c>
      <c r="I510" s="92" t="s">
        <v>3463</v>
      </c>
      <c r="J510" s="92">
        <v>7660052111</v>
      </c>
      <c r="K510" s="67"/>
      <c r="L510" s="67"/>
      <c r="M510" s="67"/>
      <c r="N510" s="67"/>
      <c r="O510" s="67"/>
    </row>
    <row r="511" spans="1:15" ht="30">
      <c r="A511" s="91" t="s">
        <v>7</v>
      </c>
      <c r="B511" s="91" t="s">
        <v>671</v>
      </c>
      <c r="C511" s="92" t="str">
        <f ca="1">IFERROR(__xludf.DUMMYFUNCTION("filter('Back End'!C:C,'Back End'!A:A=A511,'Back End'!B:B=B511,'Back End'!D:D=D511)"),"Allipudi")</f>
        <v>Allipudi</v>
      </c>
      <c r="D511" s="91" t="s">
        <v>672</v>
      </c>
      <c r="E511" s="91" t="s">
        <v>3914</v>
      </c>
      <c r="F511" s="91" t="s">
        <v>1660</v>
      </c>
      <c r="G511" s="91" t="s">
        <v>615</v>
      </c>
      <c r="H511" s="93" t="s">
        <v>5</v>
      </c>
      <c r="I511" s="92" t="s">
        <v>3463</v>
      </c>
      <c r="J511" s="92">
        <v>9441709962</v>
      </c>
      <c r="K511" s="67"/>
      <c r="L511" s="67"/>
      <c r="M511" s="67"/>
      <c r="N511" s="67"/>
      <c r="O511" s="67"/>
    </row>
    <row r="512" spans="1:15" ht="30">
      <c r="A512" s="91" t="s">
        <v>7</v>
      </c>
      <c r="B512" s="91" t="s">
        <v>671</v>
      </c>
      <c r="C512" s="92" t="str">
        <f ca="1">IFERROR(__xludf.DUMMYFUNCTION("filter('Back End'!C:C,'Back End'!A:A=A512,'Back End'!B:B=B512,'Back End'!D:D=D512)"),"Allipudi")</f>
        <v>Allipudi</v>
      </c>
      <c r="D512" s="91" t="s">
        <v>672</v>
      </c>
      <c r="E512" s="91" t="s">
        <v>3915</v>
      </c>
      <c r="F512" s="91" t="s">
        <v>1660</v>
      </c>
      <c r="G512" s="91" t="s">
        <v>615</v>
      </c>
      <c r="H512" s="93" t="s">
        <v>5</v>
      </c>
      <c r="I512" s="92" t="s">
        <v>3916</v>
      </c>
      <c r="J512" s="92">
        <v>8099628585</v>
      </c>
      <c r="K512" s="67"/>
      <c r="L512" s="67"/>
      <c r="M512" s="67"/>
      <c r="N512" s="67"/>
      <c r="O512" s="67"/>
    </row>
    <row r="513" spans="1:15" ht="30">
      <c r="A513" s="91" t="s">
        <v>7</v>
      </c>
      <c r="B513" s="91" t="s">
        <v>671</v>
      </c>
      <c r="C513" s="92" t="str">
        <f ca="1">IFERROR(__xludf.DUMMYFUNCTION("filter('Back End'!C:C,'Back End'!A:A=A513,'Back End'!B:B=B513,'Back End'!D:D=D513)"),"Allipudi")</f>
        <v>Allipudi</v>
      </c>
      <c r="D513" s="91" t="s">
        <v>672</v>
      </c>
      <c r="E513" s="91" t="s">
        <v>3917</v>
      </c>
      <c r="F513" s="91" t="s">
        <v>114</v>
      </c>
      <c r="G513" s="91" t="s">
        <v>85</v>
      </c>
      <c r="H513" s="93" t="s">
        <v>5</v>
      </c>
      <c r="I513" s="92" t="s">
        <v>3918</v>
      </c>
      <c r="J513" s="92">
        <v>9133448892</v>
      </c>
      <c r="K513" s="67"/>
      <c r="L513" s="67"/>
      <c r="M513" s="67"/>
      <c r="N513" s="67"/>
      <c r="O513" s="67"/>
    </row>
    <row r="514" spans="1:15" ht="15">
      <c r="A514" s="91" t="s">
        <v>7</v>
      </c>
      <c r="B514" s="91" t="s">
        <v>671</v>
      </c>
      <c r="C514" s="92" t="str">
        <f ca="1">IFERROR(__xludf.DUMMYFUNCTION("filter('Back End'!C:C,'Back End'!A:A=A514,'Back End'!B:B=B514,'Back End'!D:D=D514)"),"Allipudi")</f>
        <v>Allipudi</v>
      </c>
      <c r="D514" s="91" t="s">
        <v>672</v>
      </c>
      <c r="E514" s="91" t="s">
        <v>3919</v>
      </c>
      <c r="F514" s="91" t="s">
        <v>437</v>
      </c>
      <c r="G514" s="91" t="s">
        <v>594</v>
      </c>
      <c r="H514" s="93" t="s">
        <v>4</v>
      </c>
      <c r="I514" s="92" t="s">
        <v>3125</v>
      </c>
      <c r="J514" s="92">
        <v>9640149977</v>
      </c>
      <c r="K514" s="67"/>
      <c r="L514" s="67"/>
      <c r="M514" s="67"/>
      <c r="N514" s="67"/>
      <c r="O514" s="67"/>
    </row>
    <row r="515" spans="1:15" ht="30">
      <c r="A515" s="91" t="s">
        <v>7</v>
      </c>
      <c r="B515" s="91" t="s">
        <v>671</v>
      </c>
      <c r="C515" s="92" t="str">
        <f ca="1">IFERROR(__xludf.DUMMYFUNCTION("filter('Back End'!C:C,'Back End'!A:A=A515,'Back End'!B:B=B515,'Back End'!D:D=D515)"),"Allipudi")</f>
        <v>Allipudi</v>
      </c>
      <c r="D515" s="91" t="s">
        <v>672</v>
      </c>
      <c r="E515" s="91" t="s">
        <v>3920</v>
      </c>
      <c r="F515" s="91" t="s">
        <v>586</v>
      </c>
      <c r="G515" s="91" t="s">
        <v>615</v>
      </c>
      <c r="H515" s="93" t="s">
        <v>4</v>
      </c>
      <c r="I515" s="92" t="s">
        <v>3463</v>
      </c>
      <c r="J515" s="92">
        <v>9381943259</v>
      </c>
      <c r="K515" s="67"/>
      <c r="L515" s="67"/>
      <c r="M515" s="67"/>
      <c r="N515" s="67"/>
      <c r="O515" s="67"/>
    </row>
    <row r="516" spans="1:15" ht="30">
      <c r="A516" s="91" t="s">
        <v>7</v>
      </c>
      <c r="B516" s="91" t="s">
        <v>671</v>
      </c>
      <c r="C516" s="92" t="str">
        <f ca="1">IFERROR(__xludf.DUMMYFUNCTION("filter('Back End'!C:C,'Back End'!A:A=A516,'Back End'!B:B=B516,'Back End'!D:D=D516)"),"Allipudi")</f>
        <v>Allipudi</v>
      </c>
      <c r="D516" s="91" t="s">
        <v>672</v>
      </c>
      <c r="E516" s="91" t="s">
        <v>3921</v>
      </c>
      <c r="F516" s="91" t="s">
        <v>114</v>
      </c>
      <c r="G516" s="91" t="s">
        <v>85</v>
      </c>
      <c r="H516" s="93" t="s">
        <v>5</v>
      </c>
      <c r="I516" s="92" t="s">
        <v>3922</v>
      </c>
      <c r="J516" s="92">
        <v>7661953637</v>
      </c>
      <c r="K516" s="67"/>
      <c r="L516" s="67"/>
      <c r="M516" s="67"/>
      <c r="N516" s="67"/>
      <c r="O516" s="67"/>
    </row>
    <row r="517" spans="1:15" ht="30">
      <c r="A517" s="91" t="s">
        <v>7</v>
      </c>
      <c r="B517" s="91" t="s">
        <v>671</v>
      </c>
      <c r="C517" s="92" t="str">
        <f ca="1">IFERROR(__xludf.DUMMYFUNCTION("filter('Back End'!C:C,'Back End'!A:A=A517,'Back End'!B:B=B517,'Back End'!D:D=D517)"),"Allipudi")</f>
        <v>Allipudi</v>
      </c>
      <c r="D517" s="91" t="s">
        <v>672</v>
      </c>
      <c r="E517" s="91" t="s">
        <v>3923</v>
      </c>
      <c r="F517" s="91" t="s">
        <v>114</v>
      </c>
      <c r="G517" s="91" t="s">
        <v>85</v>
      </c>
      <c r="H517" s="93" t="s">
        <v>4</v>
      </c>
      <c r="I517" s="92" t="s">
        <v>3463</v>
      </c>
      <c r="J517" s="92">
        <v>6304357448</v>
      </c>
      <c r="K517" s="67"/>
      <c r="L517" s="67"/>
      <c r="M517" s="67"/>
      <c r="N517" s="67"/>
      <c r="O517" s="67"/>
    </row>
    <row r="518" spans="1:15" ht="30">
      <c r="A518" s="91" t="s">
        <v>7</v>
      </c>
      <c r="B518" s="91" t="s">
        <v>671</v>
      </c>
      <c r="C518" s="92" t="str">
        <f ca="1">IFERROR(__xludf.DUMMYFUNCTION("filter('Back End'!C:C,'Back End'!A:A=A518,'Back End'!B:B=B518,'Back End'!D:D=D518)"),"Allipudi")</f>
        <v>Allipudi</v>
      </c>
      <c r="D518" s="91" t="s">
        <v>672</v>
      </c>
      <c r="E518" s="91" t="s">
        <v>3924</v>
      </c>
      <c r="F518" s="91" t="s">
        <v>139</v>
      </c>
      <c r="G518" s="91" t="s">
        <v>594</v>
      </c>
      <c r="H518" s="93" t="s">
        <v>4</v>
      </c>
      <c r="I518" s="92" t="s">
        <v>3463</v>
      </c>
      <c r="J518" s="92">
        <v>8688441918</v>
      </c>
      <c r="K518" s="67"/>
      <c r="L518" s="67"/>
      <c r="M518" s="67"/>
      <c r="N518" s="67"/>
      <c r="O518" s="67"/>
    </row>
    <row r="519" spans="1:15" ht="30">
      <c r="A519" s="91" t="s">
        <v>10</v>
      </c>
      <c r="B519" s="92" t="s">
        <v>261</v>
      </c>
      <c r="C519" s="92" t="str">
        <f ca="1">IFERROR(__xludf.DUMMYFUNCTION("filter('Back End'!C:C,'Back End'!A:A=A519,'Back End'!B:B=B519,'Back End'!D:D=D519)"),"#N/A")</f>
        <v>#N/A</v>
      </c>
      <c r="D519" s="91" t="s">
        <v>269</v>
      </c>
      <c r="E519" s="92" t="s">
        <v>3925</v>
      </c>
      <c r="F519" s="91" t="s">
        <v>114</v>
      </c>
      <c r="G519" s="91" t="s">
        <v>85</v>
      </c>
      <c r="H519" s="93" t="s">
        <v>5</v>
      </c>
      <c r="I519" s="67"/>
      <c r="J519" s="92">
        <v>7396360783</v>
      </c>
      <c r="K519" s="67"/>
      <c r="L519" s="67"/>
      <c r="M519" s="67"/>
      <c r="N519" s="67"/>
      <c r="O519" s="67"/>
    </row>
    <row r="520" spans="1:15" ht="75">
      <c r="A520" s="91" t="s">
        <v>10</v>
      </c>
      <c r="B520" s="92" t="s">
        <v>261</v>
      </c>
      <c r="C520" s="92" t="str">
        <f ca="1">IFERROR(__xludf.DUMMYFUNCTION("filter('Back End'!C:C,'Back End'!A:A=A520,'Back End'!B:B=B520,'Back End'!D:D=D520)"),"#N/A")</f>
        <v>#N/A</v>
      </c>
      <c r="D520" s="91" t="s">
        <v>269</v>
      </c>
      <c r="E520" s="92" t="s">
        <v>3926</v>
      </c>
      <c r="F520" s="91" t="s">
        <v>139</v>
      </c>
      <c r="G520" s="91" t="s">
        <v>594</v>
      </c>
      <c r="H520" s="95"/>
      <c r="I520" s="92" t="s">
        <v>3927</v>
      </c>
      <c r="J520" s="67"/>
      <c r="K520" s="67"/>
      <c r="L520" s="67"/>
      <c r="M520" s="67"/>
      <c r="N520" s="67"/>
      <c r="O520" s="67"/>
    </row>
    <row r="521" spans="1:15" ht="30">
      <c r="A521" s="91" t="s">
        <v>10</v>
      </c>
      <c r="B521" s="92" t="s">
        <v>261</v>
      </c>
      <c r="C521" s="92" t="str">
        <f ca="1">IFERROR(__xludf.DUMMYFUNCTION("filter('Back End'!C:C,'Back End'!A:A=A521,'Back End'!B:B=B521,'Back End'!D:D=D521)"),"#N/A")</f>
        <v>#N/A</v>
      </c>
      <c r="D521" s="91" t="s">
        <v>269</v>
      </c>
      <c r="E521" s="92" t="s">
        <v>3928</v>
      </c>
      <c r="F521" s="91" t="s">
        <v>1669</v>
      </c>
      <c r="G521" s="91" t="s">
        <v>615</v>
      </c>
      <c r="H521" s="93" t="s">
        <v>6</v>
      </c>
      <c r="I521" s="92" t="s">
        <v>3929</v>
      </c>
      <c r="J521" s="92">
        <v>9004990049</v>
      </c>
      <c r="K521" s="67"/>
      <c r="L521" s="67"/>
      <c r="M521" s="67"/>
      <c r="N521" s="67"/>
      <c r="O521" s="67"/>
    </row>
    <row r="522" spans="1:15" ht="45">
      <c r="A522" s="91" t="s">
        <v>10</v>
      </c>
      <c r="B522" s="92" t="s">
        <v>261</v>
      </c>
      <c r="C522" s="92" t="str">
        <f ca="1">IFERROR(__xludf.DUMMYFUNCTION("filter('Back End'!C:C,'Back End'!A:A=A522,'Back End'!B:B=B522,'Back End'!D:D=D522)"),"#N/A")</f>
        <v>#N/A</v>
      </c>
      <c r="D522" s="91" t="s">
        <v>269</v>
      </c>
      <c r="E522" s="92" t="s">
        <v>3930</v>
      </c>
      <c r="F522" s="91" t="s">
        <v>1669</v>
      </c>
      <c r="G522" s="91" t="s">
        <v>615</v>
      </c>
      <c r="H522" s="93" t="s">
        <v>6</v>
      </c>
      <c r="I522" s="92" t="s">
        <v>3185</v>
      </c>
      <c r="J522" s="67"/>
      <c r="K522" s="67"/>
      <c r="L522" s="67"/>
      <c r="M522" s="67"/>
      <c r="N522" s="67"/>
      <c r="O522" s="67"/>
    </row>
    <row r="523" spans="1:15" ht="30">
      <c r="A523" s="91" t="s">
        <v>10</v>
      </c>
      <c r="B523" s="92" t="s">
        <v>261</v>
      </c>
      <c r="C523" s="92" t="str">
        <f ca="1">IFERROR(__xludf.DUMMYFUNCTION("filter('Back End'!C:C,'Back End'!A:A=A523,'Back End'!B:B=B523,'Back End'!D:D=D523)"),"#N/A")</f>
        <v>#N/A</v>
      </c>
      <c r="D523" s="91" t="s">
        <v>269</v>
      </c>
      <c r="E523" s="92" t="s">
        <v>3931</v>
      </c>
      <c r="F523" s="67" t="s">
        <v>3138</v>
      </c>
      <c r="G523" s="67"/>
      <c r="H523" s="93" t="s">
        <v>4</v>
      </c>
      <c r="I523" s="92" t="s">
        <v>3929</v>
      </c>
      <c r="J523" s="67"/>
      <c r="K523" s="67"/>
      <c r="L523" s="67"/>
      <c r="M523" s="67"/>
      <c r="N523" s="67"/>
      <c r="O523" s="67"/>
    </row>
    <row r="524" spans="1:15" ht="30">
      <c r="A524" s="91" t="s">
        <v>10</v>
      </c>
      <c r="B524" s="92" t="s">
        <v>261</v>
      </c>
      <c r="C524" s="92" t="str">
        <f ca="1">IFERROR(__xludf.DUMMYFUNCTION("filter('Back End'!C:C,'Back End'!A:A=A524,'Back End'!B:B=B524,'Back End'!D:D=D524)"),"#N/A")</f>
        <v>#N/A</v>
      </c>
      <c r="D524" s="91" t="s">
        <v>269</v>
      </c>
      <c r="E524" s="92" t="s">
        <v>3932</v>
      </c>
      <c r="F524" s="91" t="s">
        <v>139</v>
      </c>
      <c r="G524" s="91" t="s">
        <v>594</v>
      </c>
      <c r="H524" s="93" t="s">
        <v>5</v>
      </c>
      <c r="I524" s="92" t="s">
        <v>3933</v>
      </c>
      <c r="J524" s="92">
        <v>9603270548</v>
      </c>
      <c r="K524" s="67"/>
      <c r="L524" s="67"/>
      <c r="M524" s="67"/>
      <c r="N524" s="67"/>
      <c r="O524" s="67"/>
    </row>
    <row r="525" spans="1:15" ht="15">
      <c r="A525" s="91" t="s">
        <v>11</v>
      </c>
      <c r="B525" s="91" t="s">
        <v>261</v>
      </c>
      <c r="C525" s="92" t="str">
        <f ca="1">IFERROR(__xludf.DUMMYFUNCTION("filter('Back End'!C:C,'Back End'!A:A=A525,'Back End'!B:B=B525,'Back End'!D:D=D525)"),"Kovvuru")</f>
        <v>Kovvuru</v>
      </c>
      <c r="D525" s="91" t="s">
        <v>269</v>
      </c>
      <c r="E525" s="91" t="s">
        <v>3934</v>
      </c>
      <c r="F525" s="67"/>
      <c r="G525" s="91" t="s">
        <v>594</v>
      </c>
      <c r="H525" s="93" t="s">
        <v>5</v>
      </c>
      <c r="I525" s="67"/>
      <c r="J525" s="92">
        <v>9848815223</v>
      </c>
      <c r="K525" s="67"/>
      <c r="L525" s="67"/>
      <c r="M525" s="67"/>
      <c r="N525" s="67"/>
      <c r="O525" s="67"/>
    </row>
    <row r="526" spans="1:15" ht="30">
      <c r="A526" s="91" t="s">
        <v>11</v>
      </c>
      <c r="B526" s="91" t="s">
        <v>261</v>
      </c>
      <c r="C526" s="92" t="str">
        <f ca="1">IFERROR(__xludf.DUMMYFUNCTION("filter('Back End'!C:C,'Back End'!A:A=A526,'Back End'!B:B=B526,'Back End'!D:D=D526)"),"Kovvuru")</f>
        <v>Kovvuru</v>
      </c>
      <c r="D526" s="91" t="s">
        <v>269</v>
      </c>
      <c r="E526" s="91" t="s">
        <v>3935</v>
      </c>
      <c r="F526" s="91" t="s">
        <v>114</v>
      </c>
      <c r="G526" s="91" t="s">
        <v>85</v>
      </c>
      <c r="H526" s="93" t="s">
        <v>5</v>
      </c>
      <c r="I526" s="92" t="s">
        <v>3863</v>
      </c>
      <c r="J526" s="92">
        <v>9666454163</v>
      </c>
      <c r="K526" s="67"/>
      <c r="L526" s="67"/>
      <c r="M526" s="67"/>
      <c r="N526" s="67"/>
      <c r="O526" s="67"/>
    </row>
    <row r="527" spans="1:15" ht="30">
      <c r="A527" s="91" t="s">
        <v>11</v>
      </c>
      <c r="B527" s="91" t="s">
        <v>261</v>
      </c>
      <c r="C527" s="92" t="str">
        <f ca="1">IFERROR(__xludf.DUMMYFUNCTION("filter('Back End'!C:C,'Back End'!A:A=A527,'Back End'!B:B=B527,'Back End'!D:D=D527)"),"Kovvuru")</f>
        <v>Kovvuru</v>
      </c>
      <c r="D527" s="91" t="s">
        <v>269</v>
      </c>
      <c r="E527" s="91" t="s">
        <v>3936</v>
      </c>
      <c r="F527" s="91" t="s">
        <v>139</v>
      </c>
      <c r="G527" s="91" t="s">
        <v>594</v>
      </c>
      <c r="H527" s="93" t="s">
        <v>5</v>
      </c>
      <c r="I527" s="92" t="s">
        <v>3863</v>
      </c>
      <c r="J527" s="92">
        <v>9666572866</v>
      </c>
      <c r="K527" s="67"/>
      <c r="L527" s="67"/>
      <c r="M527" s="67"/>
      <c r="N527" s="67"/>
      <c r="O527" s="67"/>
    </row>
    <row r="528" spans="1:15" ht="15">
      <c r="A528" s="91" t="s">
        <v>11</v>
      </c>
      <c r="B528" s="91" t="s">
        <v>261</v>
      </c>
      <c r="C528" s="92" t="str">
        <f ca="1">IFERROR(__xludf.DUMMYFUNCTION("filter('Back End'!C:C,'Back End'!A:A=A528,'Back End'!B:B=B528,'Back End'!D:D=D528)"),"Kovvuru")</f>
        <v>Kovvuru</v>
      </c>
      <c r="D528" s="91" t="s">
        <v>269</v>
      </c>
      <c r="E528" s="91" t="s">
        <v>3937</v>
      </c>
      <c r="F528" s="91" t="s">
        <v>114</v>
      </c>
      <c r="G528" s="91" t="s">
        <v>85</v>
      </c>
      <c r="H528" s="93" t="s">
        <v>5</v>
      </c>
      <c r="I528" s="92" t="s">
        <v>3938</v>
      </c>
      <c r="J528" s="92">
        <v>9848620028</v>
      </c>
      <c r="K528" s="67"/>
      <c r="L528" s="67"/>
      <c r="M528" s="67"/>
      <c r="N528" s="67"/>
      <c r="O528" s="67"/>
    </row>
    <row r="529" spans="1:15" ht="30">
      <c r="A529" s="91" t="s">
        <v>11</v>
      </c>
      <c r="B529" s="91" t="s">
        <v>261</v>
      </c>
      <c r="C529" s="92" t="str">
        <f ca="1">IFERROR(__xludf.DUMMYFUNCTION("filter('Back End'!C:C,'Back End'!A:A=A529,'Back End'!B:B=B529,'Back End'!D:D=D529)"),"Kovvuru")</f>
        <v>Kovvuru</v>
      </c>
      <c r="D529" s="91" t="s">
        <v>269</v>
      </c>
      <c r="E529" s="91" t="s">
        <v>3939</v>
      </c>
      <c r="F529" s="91" t="s">
        <v>139</v>
      </c>
      <c r="G529" s="91" t="s">
        <v>594</v>
      </c>
      <c r="H529" s="93" t="s">
        <v>5</v>
      </c>
      <c r="I529" s="92" t="s">
        <v>3863</v>
      </c>
      <c r="J529" s="92">
        <v>9246037285</v>
      </c>
      <c r="K529" s="67"/>
      <c r="L529" s="67"/>
      <c r="M529" s="67"/>
      <c r="N529" s="67"/>
      <c r="O529" s="67"/>
    </row>
    <row r="530" spans="1:15" ht="30">
      <c r="A530" s="91" t="s">
        <v>10</v>
      </c>
      <c r="B530" s="92" t="s">
        <v>261</v>
      </c>
      <c r="C530" s="92" t="str">
        <f ca="1">IFERROR(__xludf.DUMMYFUNCTION("filter('Back End'!C:C,'Back End'!A:A=A530,'Back End'!B:B=B530,'Back End'!D:D=D530)"),"#N/A")</f>
        <v>#N/A</v>
      </c>
      <c r="D530" s="91" t="s">
        <v>269</v>
      </c>
      <c r="E530" s="92" t="s">
        <v>270</v>
      </c>
      <c r="F530" s="91" t="s">
        <v>1669</v>
      </c>
      <c r="G530" s="91" t="s">
        <v>615</v>
      </c>
      <c r="H530" s="93" t="s">
        <v>5</v>
      </c>
      <c r="I530" s="92" t="s">
        <v>3115</v>
      </c>
      <c r="J530" s="92">
        <v>9848398161</v>
      </c>
      <c r="K530" s="67"/>
      <c r="L530" s="67"/>
      <c r="M530" s="67"/>
      <c r="N530" s="67"/>
      <c r="O530" s="67"/>
    </row>
    <row r="531" spans="1:15" ht="15">
      <c r="A531" s="91" t="s">
        <v>11</v>
      </c>
      <c r="B531" s="91" t="s">
        <v>261</v>
      </c>
      <c r="C531" s="92" t="str">
        <f ca="1">IFERROR(__xludf.DUMMYFUNCTION("filter('Back End'!C:C,'Back End'!A:A=A531,'Back End'!B:B=B531,'Back End'!D:D=D531)"),"Kovvuru")</f>
        <v>Kovvuru</v>
      </c>
      <c r="D531" s="91" t="s">
        <v>269</v>
      </c>
      <c r="E531" s="91" t="s">
        <v>3940</v>
      </c>
      <c r="F531" s="91" t="s">
        <v>1669</v>
      </c>
      <c r="G531" s="91" t="s">
        <v>615</v>
      </c>
      <c r="H531" s="93" t="s">
        <v>4</v>
      </c>
      <c r="I531" s="92" t="s">
        <v>3560</v>
      </c>
      <c r="J531" s="92">
        <v>9948030067</v>
      </c>
      <c r="K531" s="67"/>
      <c r="L531" s="67"/>
      <c r="M531" s="67"/>
      <c r="N531" s="67"/>
      <c r="O531" s="67"/>
    </row>
    <row r="532" spans="1:15" ht="30">
      <c r="A532" s="91" t="s">
        <v>8</v>
      </c>
      <c r="B532" s="92" t="s">
        <v>8</v>
      </c>
      <c r="C532" s="92" t="str">
        <f ca="1">IFERROR(__xludf.DUMMYFUNCTION("filter('Back End'!C:C,'Back End'!A:A=A532,'Back End'!B:B=B532,'Back End'!D:D=D532)"),"Chinasankarlapudi")</f>
        <v>Chinasankarlapudi</v>
      </c>
      <c r="D532" s="91" t="s">
        <v>546</v>
      </c>
      <c r="E532" s="92" t="s">
        <v>3941</v>
      </c>
      <c r="F532" s="91" t="s">
        <v>139</v>
      </c>
      <c r="G532" s="91" t="s">
        <v>594</v>
      </c>
      <c r="H532" s="93" t="s">
        <v>5</v>
      </c>
      <c r="I532" s="92" t="s">
        <v>3185</v>
      </c>
      <c r="J532" s="92">
        <v>9959807275</v>
      </c>
      <c r="K532" s="67"/>
      <c r="L532" s="67"/>
      <c r="M532" s="67"/>
      <c r="N532" s="67"/>
      <c r="O532" s="67"/>
    </row>
    <row r="533" spans="1:15" ht="60">
      <c r="A533" s="91" t="s">
        <v>8</v>
      </c>
      <c r="B533" s="92" t="s">
        <v>8</v>
      </c>
      <c r="C533" s="92" t="str">
        <f ca="1">IFERROR(__xludf.DUMMYFUNCTION("filter('Back End'!C:C,'Back End'!A:A=A533,'Back End'!B:B=B533,'Back End'!D:D=D533)"),"Chinasankarlapudi")</f>
        <v>Chinasankarlapudi</v>
      </c>
      <c r="D533" s="91" t="s">
        <v>546</v>
      </c>
      <c r="E533" s="92" t="s">
        <v>3942</v>
      </c>
      <c r="F533" s="91" t="s">
        <v>139</v>
      </c>
      <c r="G533" s="91" t="s">
        <v>594</v>
      </c>
      <c r="H533" s="93" t="s">
        <v>4</v>
      </c>
      <c r="I533" s="92" t="s">
        <v>3560</v>
      </c>
      <c r="J533" s="92">
        <v>9492389086</v>
      </c>
      <c r="K533" s="67"/>
      <c r="L533" s="92" t="s">
        <v>3736</v>
      </c>
      <c r="M533" s="67"/>
      <c r="N533" s="67"/>
      <c r="O533" s="67"/>
    </row>
    <row r="534" spans="1:15" ht="60">
      <c r="A534" s="91" t="s">
        <v>8</v>
      </c>
      <c r="B534" s="92" t="s">
        <v>8</v>
      </c>
      <c r="C534" s="92" t="str">
        <f ca="1">IFERROR(__xludf.DUMMYFUNCTION("filter('Back End'!C:C,'Back End'!A:A=A534,'Back End'!B:B=B534,'Back End'!D:D=D534)"),"Chinasankarlapudi")</f>
        <v>Chinasankarlapudi</v>
      </c>
      <c r="D534" s="91" t="s">
        <v>546</v>
      </c>
      <c r="E534" s="92" t="s">
        <v>3943</v>
      </c>
      <c r="F534" s="91" t="s">
        <v>114</v>
      </c>
      <c r="G534" s="91" t="s">
        <v>85</v>
      </c>
      <c r="H534" s="93" t="s">
        <v>5</v>
      </c>
      <c r="I534" s="92" t="s">
        <v>3944</v>
      </c>
      <c r="J534" s="92">
        <v>9493646199</v>
      </c>
      <c r="K534" s="67"/>
      <c r="L534" s="92" t="s">
        <v>3694</v>
      </c>
      <c r="M534" s="67"/>
      <c r="N534" s="67"/>
      <c r="O534" s="67"/>
    </row>
    <row r="535" spans="1:15" ht="60">
      <c r="A535" s="91" t="s">
        <v>8</v>
      </c>
      <c r="B535" s="92" t="s">
        <v>8</v>
      </c>
      <c r="C535" s="92" t="str">
        <f ca="1">IFERROR(__xludf.DUMMYFUNCTION("filter('Back End'!C:C,'Back End'!A:A=A535,'Back End'!B:B=B535,'Back End'!D:D=D535)"),"Chinasankarlapudi")</f>
        <v>Chinasankarlapudi</v>
      </c>
      <c r="D535" s="91" t="s">
        <v>546</v>
      </c>
      <c r="E535" s="92" t="s">
        <v>3945</v>
      </c>
      <c r="F535" s="91" t="s">
        <v>1674</v>
      </c>
      <c r="G535" s="91" t="s">
        <v>615</v>
      </c>
      <c r="H535" s="93" t="s">
        <v>5</v>
      </c>
      <c r="I535" s="92" t="s">
        <v>3115</v>
      </c>
      <c r="J535" s="92">
        <v>9177374670</v>
      </c>
      <c r="K535" s="67"/>
      <c r="L535" s="92" t="s">
        <v>3694</v>
      </c>
      <c r="M535" s="67"/>
      <c r="N535" s="67"/>
      <c r="O535" s="67"/>
    </row>
    <row r="536" spans="1:15" ht="30">
      <c r="A536" s="91" t="s">
        <v>3361</v>
      </c>
      <c r="B536" s="91" t="s">
        <v>8</v>
      </c>
      <c r="C536" s="92" t="str">
        <f ca="1">IFERROR(__xludf.DUMMYFUNCTION("filter('Back End'!C:C,'Back End'!A:A=A536,'Back End'!B:B=B536,'Back End'!D:D=D536)"),"#N/A")</f>
        <v>#N/A</v>
      </c>
      <c r="D536" s="91" t="s">
        <v>546</v>
      </c>
      <c r="E536" s="91" t="s">
        <v>3946</v>
      </c>
      <c r="F536" s="91" t="s">
        <v>1674</v>
      </c>
      <c r="G536" s="91" t="s">
        <v>615</v>
      </c>
      <c r="H536" s="93" t="s">
        <v>4</v>
      </c>
      <c r="I536" s="92" t="s">
        <v>3463</v>
      </c>
      <c r="J536" s="67"/>
      <c r="K536" s="67"/>
      <c r="L536" s="67"/>
      <c r="M536" s="67"/>
      <c r="N536" s="67"/>
      <c r="O536" s="67"/>
    </row>
    <row r="537" spans="1:15" ht="30">
      <c r="A537" s="91" t="s">
        <v>8</v>
      </c>
      <c r="B537" s="91" t="s">
        <v>8</v>
      </c>
      <c r="C537" s="92" t="str">
        <f ca="1">IFERROR(__xludf.DUMMYFUNCTION("filter('Back End'!C:C,'Back End'!A:A=A537,'Back End'!B:B=B537,'Back End'!D:D=D537)"),"Chinasankarlapudi")</f>
        <v>Chinasankarlapudi</v>
      </c>
      <c r="D537" s="91" t="s">
        <v>546</v>
      </c>
      <c r="E537" s="91" t="s">
        <v>3947</v>
      </c>
      <c r="F537" s="67" t="s">
        <v>3138</v>
      </c>
      <c r="G537" s="67"/>
      <c r="H537" s="93" t="s">
        <v>5</v>
      </c>
      <c r="I537" s="92" t="s">
        <v>3194</v>
      </c>
      <c r="J537" s="67"/>
      <c r="K537" s="67"/>
      <c r="L537" s="67"/>
      <c r="M537" s="67"/>
      <c r="N537" s="67"/>
      <c r="O537" s="67"/>
    </row>
    <row r="538" spans="1:15" ht="30">
      <c r="A538" s="91" t="s">
        <v>8</v>
      </c>
      <c r="B538" s="91" t="s">
        <v>8</v>
      </c>
      <c r="C538" s="92" t="str">
        <f ca="1">IFERROR(__xludf.DUMMYFUNCTION("filter('Back End'!C:C,'Back End'!A:A=A538,'Back End'!B:B=B538,'Back End'!D:D=D538)"),"Chinasankarlapudi")</f>
        <v>Chinasankarlapudi</v>
      </c>
      <c r="D538" s="91" t="s">
        <v>546</v>
      </c>
      <c r="E538" s="91" t="s">
        <v>3948</v>
      </c>
      <c r="F538" s="91" t="s">
        <v>139</v>
      </c>
      <c r="G538" s="91" t="s">
        <v>594</v>
      </c>
      <c r="H538" s="93" t="s">
        <v>5</v>
      </c>
      <c r="I538" s="67"/>
      <c r="J538" s="67"/>
      <c r="K538" s="67"/>
      <c r="L538" s="67"/>
      <c r="M538" s="67"/>
      <c r="N538" s="67"/>
      <c r="O538" s="67"/>
    </row>
    <row r="539" spans="1:15" ht="60">
      <c r="A539" s="92" t="s">
        <v>8</v>
      </c>
      <c r="B539" s="92" t="s">
        <v>8</v>
      </c>
      <c r="C539" s="92" t="str">
        <f ca="1">IFERROR(__xludf.DUMMYFUNCTION("filter('Back End'!C:C,'Back End'!A:A=A539,'Back End'!B:B=B539,'Back End'!D:D=D539)"),"Yeluru")</f>
        <v>Yeluru</v>
      </c>
      <c r="D539" s="91" t="s">
        <v>583</v>
      </c>
      <c r="E539" s="92" t="s">
        <v>3949</v>
      </c>
      <c r="F539" s="91" t="s">
        <v>586</v>
      </c>
      <c r="G539" s="91" t="s">
        <v>594</v>
      </c>
      <c r="H539" s="93" t="s">
        <v>5</v>
      </c>
      <c r="I539" s="92" t="s">
        <v>3950</v>
      </c>
      <c r="J539" s="92">
        <v>9666155994</v>
      </c>
      <c r="K539" s="92" t="s">
        <v>1608</v>
      </c>
      <c r="L539" s="92" t="s">
        <v>3694</v>
      </c>
      <c r="M539" s="92" t="s">
        <v>3218</v>
      </c>
      <c r="N539" s="67"/>
      <c r="O539" s="67"/>
    </row>
    <row r="540" spans="1:15" ht="60">
      <c r="A540" s="92" t="s">
        <v>8</v>
      </c>
      <c r="B540" s="92" t="s">
        <v>8</v>
      </c>
      <c r="C540" s="92" t="str">
        <f ca="1">IFERROR(__xludf.DUMMYFUNCTION("filter('Back End'!C:C,'Back End'!A:A=A540,'Back End'!B:B=B540,'Back End'!D:D=D540)"),"Yeluru")</f>
        <v>Yeluru</v>
      </c>
      <c r="D540" s="91" t="s">
        <v>583</v>
      </c>
      <c r="E540" s="92" t="s">
        <v>3951</v>
      </c>
      <c r="F540" s="91" t="s">
        <v>139</v>
      </c>
      <c r="G540" s="91" t="s">
        <v>594</v>
      </c>
      <c r="H540" s="93" t="s">
        <v>5</v>
      </c>
      <c r="I540" s="92" t="s">
        <v>3185</v>
      </c>
      <c r="J540" s="92">
        <v>9247853169</v>
      </c>
      <c r="K540" s="67"/>
      <c r="L540" s="92" t="s">
        <v>3694</v>
      </c>
      <c r="M540" s="67"/>
      <c r="N540" s="67"/>
      <c r="O540" s="67"/>
    </row>
    <row r="541" spans="1:15" ht="45">
      <c r="A541" s="92" t="s">
        <v>8</v>
      </c>
      <c r="B541" s="92" t="s">
        <v>8</v>
      </c>
      <c r="C541" s="92" t="str">
        <f ca="1">IFERROR(__xludf.DUMMYFUNCTION("filter('Back End'!C:C,'Back End'!A:A=A541,'Back End'!B:B=B541,'Back End'!D:D=D541)"),"Yeluru")</f>
        <v>Yeluru</v>
      </c>
      <c r="D541" s="91" t="s">
        <v>583</v>
      </c>
      <c r="E541" s="92" t="s">
        <v>3952</v>
      </c>
      <c r="F541" s="91" t="s">
        <v>139</v>
      </c>
      <c r="G541" s="91" t="s">
        <v>594</v>
      </c>
      <c r="H541" s="93" t="s">
        <v>5</v>
      </c>
      <c r="I541" s="92" t="s">
        <v>3863</v>
      </c>
      <c r="J541" s="92">
        <v>9866428861</v>
      </c>
      <c r="K541" s="92" t="s">
        <v>1598</v>
      </c>
      <c r="L541" s="67"/>
      <c r="M541" s="92" t="s">
        <v>3953</v>
      </c>
      <c r="N541" s="67"/>
      <c r="O541" s="67"/>
    </row>
    <row r="542" spans="1:15" ht="30">
      <c r="A542" s="92" t="s">
        <v>8</v>
      </c>
      <c r="B542" s="92" t="s">
        <v>8</v>
      </c>
      <c r="C542" s="92" t="str">
        <f ca="1">IFERROR(__xludf.DUMMYFUNCTION("filter('Back End'!C:C,'Back End'!A:A=A542,'Back End'!B:B=B542,'Back End'!D:D=D542)"),"Yeluru")</f>
        <v>Yeluru</v>
      </c>
      <c r="D542" s="91" t="s">
        <v>583</v>
      </c>
      <c r="E542" s="92" t="s">
        <v>3954</v>
      </c>
      <c r="F542" s="91" t="s">
        <v>139</v>
      </c>
      <c r="G542" s="91" t="s">
        <v>594</v>
      </c>
      <c r="H542" s="93" t="s">
        <v>5</v>
      </c>
      <c r="I542" s="92" t="s">
        <v>3107</v>
      </c>
      <c r="J542" s="92">
        <v>9247853169</v>
      </c>
      <c r="K542" s="92" t="s">
        <v>1608</v>
      </c>
      <c r="L542" s="67"/>
      <c r="M542" s="92" t="s">
        <v>3955</v>
      </c>
      <c r="N542" s="67"/>
      <c r="O542" s="67"/>
    </row>
    <row r="543" spans="1:15" ht="45">
      <c r="A543" s="92" t="s">
        <v>8</v>
      </c>
      <c r="B543" s="92" t="s">
        <v>8</v>
      </c>
      <c r="C543" s="92" t="str">
        <f ca="1">IFERROR(__xludf.DUMMYFUNCTION("filter('Back End'!C:C,'Back End'!A:A=A543,'Back End'!B:B=B543,'Back End'!D:D=D543)"),"Yeluru")</f>
        <v>Yeluru</v>
      </c>
      <c r="D543" s="91" t="s">
        <v>583</v>
      </c>
      <c r="E543" s="92" t="s">
        <v>3956</v>
      </c>
      <c r="F543" s="91" t="s">
        <v>586</v>
      </c>
      <c r="G543" s="91" t="s">
        <v>615</v>
      </c>
      <c r="H543" s="93" t="s">
        <v>4</v>
      </c>
      <c r="I543" s="92" t="s">
        <v>3115</v>
      </c>
      <c r="J543" s="92">
        <v>9247853169</v>
      </c>
      <c r="K543" s="92" t="s">
        <v>1608</v>
      </c>
      <c r="L543" s="67"/>
      <c r="M543" s="92" t="s">
        <v>3218</v>
      </c>
      <c r="N543" s="67"/>
      <c r="O543" s="67"/>
    </row>
    <row r="544" spans="1:15" ht="60">
      <c r="A544" s="92" t="s">
        <v>8</v>
      </c>
      <c r="B544" s="92" t="s">
        <v>8</v>
      </c>
      <c r="C544" s="92" t="str">
        <f ca="1">IFERROR(__xludf.DUMMYFUNCTION("filter('Back End'!C:C,'Back End'!A:A=A544,'Back End'!B:B=B544,'Back End'!D:D=D544)"),"Yeluru")</f>
        <v>Yeluru</v>
      </c>
      <c r="D544" s="91" t="s">
        <v>583</v>
      </c>
      <c r="E544" s="92" t="s">
        <v>3957</v>
      </c>
      <c r="F544" s="91" t="s">
        <v>586</v>
      </c>
      <c r="G544" s="91" t="s">
        <v>615</v>
      </c>
      <c r="H544" s="93" t="s">
        <v>4</v>
      </c>
      <c r="I544" s="92" t="s">
        <v>3958</v>
      </c>
      <c r="J544" s="92">
        <v>9502488146</v>
      </c>
      <c r="K544" s="92" t="s">
        <v>1598</v>
      </c>
      <c r="L544" s="67"/>
      <c r="M544" s="92" t="s">
        <v>3264</v>
      </c>
      <c r="N544" s="67"/>
      <c r="O544" s="67"/>
    </row>
    <row r="545" spans="1:15" ht="30">
      <c r="A545" s="92" t="s">
        <v>8</v>
      </c>
      <c r="B545" s="92" t="s">
        <v>8</v>
      </c>
      <c r="C545" s="92" t="str">
        <f ca="1">IFERROR(__xludf.DUMMYFUNCTION("filter('Back End'!C:C,'Back End'!A:A=A545,'Back End'!B:B=B545,'Back End'!D:D=D545)"),"Yeluru")</f>
        <v>Yeluru</v>
      </c>
      <c r="D545" s="91" t="s">
        <v>583</v>
      </c>
      <c r="E545" s="92" t="s">
        <v>3959</v>
      </c>
      <c r="F545" s="91" t="s">
        <v>139</v>
      </c>
      <c r="G545" s="91" t="s">
        <v>594</v>
      </c>
      <c r="H545" s="93" t="s">
        <v>4</v>
      </c>
      <c r="I545" s="67"/>
      <c r="J545" s="67"/>
      <c r="K545" s="67"/>
      <c r="L545" s="67"/>
      <c r="M545" s="67"/>
      <c r="N545" s="67"/>
      <c r="O545" s="67"/>
    </row>
    <row r="546" spans="1:15" ht="45">
      <c r="A546" s="92" t="s">
        <v>8</v>
      </c>
      <c r="B546" s="92" t="s">
        <v>8</v>
      </c>
      <c r="C546" s="92" t="str">
        <f ca="1">IFERROR(__xludf.DUMMYFUNCTION("filter('Back End'!C:C,'Back End'!A:A=A546,'Back End'!B:B=B546,'Back End'!D:D=D546)"),"Yeluru")</f>
        <v>Yeluru</v>
      </c>
      <c r="D546" s="91" t="s">
        <v>583</v>
      </c>
      <c r="E546" s="92" t="s">
        <v>3960</v>
      </c>
      <c r="F546" s="91" t="s">
        <v>139</v>
      </c>
      <c r="G546" s="91" t="s">
        <v>594</v>
      </c>
      <c r="H546" s="93" t="s">
        <v>5</v>
      </c>
      <c r="I546" s="92" t="s">
        <v>3961</v>
      </c>
      <c r="J546" s="92">
        <v>9866428861</v>
      </c>
      <c r="K546" s="67"/>
      <c r="L546" s="67"/>
      <c r="M546" s="67"/>
      <c r="N546" s="67"/>
      <c r="O546" s="67"/>
    </row>
    <row r="547" spans="1:15" ht="30">
      <c r="A547" s="92" t="s">
        <v>8</v>
      </c>
      <c r="B547" s="92" t="s">
        <v>8</v>
      </c>
      <c r="C547" s="92" t="str">
        <f ca="1">IFERROR(__xludf.DUMMYFUNCTION("filter('Back End'!C:C,'Back End'!A:A=A547,'Back End'!B:B=B547,'Back End'!D:D=D547)"),"Yeluru")</f>
        <v>Yeluru</v>
      </c>
      <c r="D547" s="91" t="s">
        <v>583</v>
      </c>
      <c r="E547" s="92" t="s">
        <v>3962</v>
      </c>
      <c r="F547" s="91" t="s">
        <v>586</v>
      </c>
      <c r="G547" s="91" t="s">
        <v>615</v>
      </c>
      <c r="H547" s="93" t="s">
        <v>4</v>
      </c>
      <c r="I547" s="92" t="s">
        <v>3508</v>
      </c>
      <c r="J547" s="92">
        <v>9866604932</v>
      </c>
      <c r="K547" s="67"/>
      <c r="L547" s="67"/>
      <c r="M547" s="67"/>
      <c r="N547" s="67"/>
      <c r="O547" s="67"/>
    </row>
    <row r="548" spans="1:15" ht="30">
      <c r="A548" s="92" t="s">
        <v>8</v>
      </c>
      <c r="B548" s="92" t="s">
        <v>8</v>
      </c>
      <c r="C548" s="92" t="str">
        <f ca="1">IFERROR(__xludf.DUMMYFUNCTION("filter('Back End'!C:C,'Back End'!A:A=A548,'Back End'!B:B=B548,'Back End'!D:D=D548)"),"Yeluru")</f>
        <v>Yeluru</v>
      </c>
      <c r="D548" s="91" t="s">
        <v>583</v>
      </c>
      <c r="E548" s="92" t="s">
        <v>3963</v>
      </c>
      <c r="F548" s="91" t="s">
        <v>586</v>
      </c>
      <c r="G548" s="91" t="s">
        <v>615</v>
      </c>
      <c r="H548" s="93" t="s">
        <v>5</v>
      </c>
      <c r="I548" s="92" t="s">
        <v>3863</v>
      </c>
      <c r="J548" s="67"/>
      <c r="K548" s="67"/>
      <c r="L548" s="67"/>
      <c r="M548" s="67"/>
      <c r="N548" s="67"/>
      <c r="O548" s="67"/>
    </row>
    <row r="549" spans="1:15" ht="45">
      <c r="A549" s="92" t="s">
        <v>8</v>
      </c>
      <c r="B549" s="92" t="s">
        <v>8</v>
      </c>
      <c r="C549" s="92" t="str">
        <f ca="1">IFERROR(__xludf.DUMMYFUNCTION("filter('Back End'!C:C,'Back End'!A:A=A549,'Back End'!B:B=B549,'Back End'!D:D=D549)"),"Yeluru")</f>
        <v>Yeluru</v>
      </c>
      <c r="D549" s="91" t="s">
        <v>583</v>
      </c>
      <c r="E549" s="92" t="s">
        <v>3964</v>
      </c>
      <c r="F549" s="91" t="s">
        <v>586</v>
      </c>
      <c r="G549" s="91" t="s">
        <v>615</v>
      </c>
      <c r="H549" s="93" t="s">
        <v>1610</v>
      </c>
      <c r="I549" s="92" t="s">
        <v>3965</v>
      </c>
      <c r="J549" s="67"/>
      <c r="K549" s="67"/>
      <c r="L549" s="67"/>
      <c r="M549" s="67"/>
      <c r="N549" s="67"/>
      <c r="O549" s="67"/>
    </row>
    <row r="550" spans="1:15" ht="90">
      <c r="A550" s="91" t="s">
        <v>7</v>
      </c>
      <c r="B550" s="92" t="s">
        <v>7</v>
      </c>
      <c r="C550" s="92" t="str">
        <f ca="1">IFERROR(__xludf.DUMMYFUNCTION("filter('Back End'!C:C,'Back End'!A:A=A550,'Back End'!B:B=B550,'Back End'!D:D=D550)"),"#N/A")</f>
        <v>#N/A</v>
      </c>
      <c r="D550" s="91" t="s">
        <v>257</v>
      </c>
      <c r="E550" s="92" t="s">
        <v>3966</v>
      </c>
      <c r="F550" s="91" t="s">
        <v>139</v>
      </c>
      <c r="G550" s="91" t="s">
        <v>594</v>
      </c>
      <c r="H550" s="93" t="s">
        <v>5</v>
      </c>
      <c r="I550" s="92" t="s">
        <v>3967</v>
      </c>
      <c r="J550" s="92">
        <v>9492279999</v>
      </c>
      <c r="K550" s="67"/>
      <c r="L550" s="92" t="s">
        <v>3968</v>
      </c>
      <c r="M550" s="67"/>
      <c r="N550" s="67"/>
      <c r="O550" s="67"/>
    </row>
    <row r="551" spans="1:15" ht="90">
      <c r="A551" s="91" t="s">
        <v>8</v>
      </c>
      <c r="B551" s="92" t="s">
        <v>8</v>
      </c>
      <c r="C551" s="92" t="str">
        <f ca="1">IFERROR(__xludf.DUMMYFUNCTION("filter('Back End'!C:C,'Back End'!A:A=A551,'Back End'!B:B=B551,'Back End'!D:D=D551)"),"Gajjanapudi")</f>
        <v>Gajjanapudi</v>
      </c>
      <c r="D551" s="91" t="s">
        <v>552</v>
      </c>
      <c r="E551" s="92" t="s">
        <v>3969</v>
      </c>
      <c r="F551" s="91" t="s">
        <v>165</v>
      </c>
      <c r="G551" s="91" t="s">
        <v>615</v>
      </c>
      <c r="H551" s="93" t="s">
        <v>5</v>
      </c>
      <c r="I551" s="92" t="s">
        <v>3185</v>
      </c>
      <c r="J551" s="92">
        <v>8688013237</v>
      </c>
      <c r="K551" s="67"/>
      <c r="L551" s="92" t="s">
        <v>3970</v>
      </c>
      <c r="M551" s="67"/>
      <c r="N551" s="67"/>
      <c r="O551" s="67"/>
    </row>
    <row r="552" spans="1:15" ht="45">
      <c r="A552" s="91" t="s">
        <v>8</v>
      </c>
      <c r="B552" s="92" t="s">
        <v>8</v>
      </c>
      <c r="C552" s="92" t="str">
        <f ca="1">IFERROR(__xludf.DUMMYFUNCTION("filter('Back End'!C:C,'Back End'!A:A=A552,'Back End'!B:B=B552,'Back End'!D:D=D552)"),"Gajjanapudi")</f>
        <v>Gajjanapudi</v>
      </c>
      <c r="D552" s="91" t="s">
        <v>552</v>
      </c>
      <c r="E552" s="92" t="s">
        <v>3971</v>
      </c>
      <c r="F552" s="91" t="s">
        <v>165</v>
      </c>
      <c r="G552" s="91" t="s">
        <v>615</v>
      </c>
      <c r="H552" s="93" t="s">
        <v>4</v>
      </c>
      <c r="I552" s="92" t="s">
        <v>3832</v>
      </c>
      <c r="J552" s="92">
        <v>8341722888</v>
      </c>
      <c r="K552" s="67"/>
      <c r="L552" s="67"/>
      <c r="M552" s="67"/>
      <c r="N552" s="67"/>
      <c r="O552" s="67"/>
    </row>
    <row r="553" spans="1:15" ht="15">
      <c r="A553" s="91" t="s">
        <v>8</v>
      </c>
      <c r="B553" s="92" t="s">
        <v>8</v>
      </c>
      <c r="C553" s="92" t="str">
        <f ca="1">IFERROR(__xludf.DUMMYFUNCTION("filter('Back End'!C:C,'Back End'!A:A=A553,'Back End'!B:B=B553,'Back End'!D:D=D553)"),"Gajjanapudi")</f>
        <v>Gajjanapudi</v>
      </c>
      <c r="D553" s="91" t="s">
        <v>552</v>
      </c>
      <c r="E553" s="92" t="s">
        <v>3972</v>
      </c>
      <c r="F553" s="91" t="s">
        <v>165</v>
      </c>
      <c r="G553" s="91" t="s">
        <v>615</v>
      </c>
      <c r="H553" s="93" t="s">
        <v>4</v>
      </c>
      <c r="I553" s="92" t="s">
        <v>3185</v>
      </c>
      <c r="J553" s="92">
        <v>8688918435</v>
      </c>
      <c r="K553" s="67"/>
      <c r="L553" s="67"/>
      <c r="M553" s="67"/>
      <c r="N553" s="67"/>
      <c r="O553" s="67"/>
    </row>
    <row r="554" spans="1:15" ht="105">
      <c r="A554" s="91" t="s">
        <v>10</v>
      </c>
      <c r="B554" s="92" t="s">
        <v>587</v>
      </c>
      <c r="C554" s="92" t="str">
        <f ca="1">IFERROR(__xludf.DUMMYFUNCTION("filter('Back End'!C:C,'Back End'!A:A=A554,'Back End'!B:B=B554,'Back End'!D:D=D554)"),"#N/A")</f>
        <v>#N/A</v>
      </c>
      <c r="D554" s="91" t="s">
        <v>587</v>
      </c>
      <c r="E554" s="92" t="s">
        <v>3973</v>
      </c>
      <c r="F554" s="91" t="s">
        <v>165</v>
      </c>
      <c r="G554" s="91" t="s">
        <v>615</v>
      </c>
      <c r="H554" s="93" t="s">
        <v>4</v>
      </c>
      <c r="I554" s="92" t="s">
        <v>3974</v>
      </c>
      <c r="J554" s="92">
        <v>8142947707</v>
      </c>
      <c r="K554" s="67"/>
      <c r="L554" s="67"/>
      <c r="M554" s="67"/>
      <c r="N554" s="67"/>
      <c r="O554" s="67"/>
    </row>
    <row r="555" spans="1:15" ht="195">
      <c r="A555" s="91" t="s">
        <v>10</v>
      </c>
      <c r="B555" s="92" t="s">
        <v>587</v>
      </c>
      <c r="C555" s="92" t="str">
        <f ca="1">IFERROR(__xludf.DUMMYFUNCTION("filter('Back End'!C:C,'Back End'!A:A=A555,'Back End'!B:B=B555,'Back End'!D:D=D555)"),"#N/A")</f>
        <v>#N/A</v>
      </c>
      <c r="D555" s="91" t="s">
        <v>587</v>
      </c>
      <c r="E555" s="92" t="s">
        <v>3975</v>
      </c>
      <c r="F555" s="91" t="s">
        <v>114</v>
      </c>
      <c r="G555" s="91" t="s">
        <v>85</v>
      </c>
      <c r="H555" s="93" t="s">
        <v>5</v>
      </c>
      <c r="I555" s="92" t="s">
        <v>3976</v>
      </c>
      <c r="J555" s="92">
        <v>9949859999</v>
      </c>
      <c r="K555" s="67"/>
      <c r="L555" s="92" t="s">
        <v>3977</v>
      </c>
      <c r="M555" s="67"/>
      <c r="N555" s="67"/>
      <c r="O555" s="67"/>
    </row>
    <row r="556" spans="1:15" ht="30">
      <c r="A556" s="91" t="s">
        <v>10</v>
      </c>
      <c r="B556" s="92" t="s">
        <v>587</v>
      </c>
      <c r="C556" s="92" t="str">
        <f ca="1">IFERROR(__xludf.DUMMYFUNCTION("filter('Back End'!C:C,'Back End'!A:A=A556,'Back End'!B:B=B556,'Back End'!D:D=D556)"),"#N/A")</f>
        <v>#N/A</v>
      </c>
      <c r="D556" s="91" t="s">
        <v>587</v>
      </c>
      <c r="E556" s="92" t="s">
        <v>3978</v>
      </c>
      <c r="F556" s="91" t="s">
        <v>586</v>
      </c>
      <c r="G556" s="91" t="s">
        <v>615</v>
      </c>
      <c r="H556" s="93" t="s">
        <v>4</v>
      </c>
      <c r="I556" s="92" t="s">
        <v>3929</v>
      </c>
      <c r="J556" s="92">
        <v>9959361999</v>
      </c>
      <c r="K556" s="67"/>
      <c r="L556" s="67"/>
      <c r="M556" s="67"/>
      <c r="N556" s="67"/>
      <c r="O556" s="67"/>
    </row>
    <row r="557" spans="1:15" ht="60">
      <c r="A557" s="91" t="s">
        <v>19</v>
      </c>
      <c r="B557" s="92" t="s">
        <v>220</v>
      </c>
      <c r="C557" s="92" t="str">
        <f ca="1">IFERROR(__xludf.DUMMYFUNCTION("filter('Back End'!C:C,'Back End'!A:A=A557,'Back End'!B:B=B557,'Back End'!D:D=D557)"),"Thamarada")</f>
        <v>Thamarada</v>
      </c>
      <c r="D557" s="91" t="s">
        <v>255</v>
      </c>
      <c r="E557" s="92" t="s">
        <v>3979</v>
      </c>
      <c r="F557" s="91" t="s">
        <v>139</v>
      </c>
      <c r="G557" s="91" t="s">
        <v>594</v>
      </c>
      <c r="H557" s="93" t="s">
        <v>5</v>
      </c>
      <c r="I557" s="92" t="s">
        <v>3185</v>
      </c>
      <c r="J557" s="92">
        <v>9542693444</v>
      </c>
      <c r="K557" s="67"/>
      <c r="L557" s="92" t="s">
        <v>3694</v>
      </c>
      <c r="M557" s="67"/>
      <c r="N557" s="67"/>
      <c r="O557" s="67"/>
    </row>
    <row r="558" spans="1:15" ht="30">
      <c r="A558" s="91" t="s">
        <v>19</v>
      </c>
      <c r="B558" s="92" t="s">
        <v>220</v>
      </c>
      <c r="C558" s="92" t="str">
        <f ca="1">IFERROR(__xludf.DUMMYFUNCTION("filter('Back End'!C:C,'Back End'!A:A=A558,'Back End'!B:B=B558,'Back End'!D:D=D558)"),"Thamarada")</f>
        <v>Thamarada</v>
      </c>
      <c r="D558" s="91" t="s">
        <v>255</v>
      </c>
      <c r="E558" s="92" t="s">
        <v>3980</v>
      </c>
      <c r="F558" s="91" t="s">
        <v>139</v>
      </c>
      <c r="G558" s="91" t="s">
        <v>594</v>
      </c>
      <c r="H558" s="93" t="s">
        <v>4</v>
      </c>
      <c r="I558" s="92" t="s">
        <v>3210</v>
      </c>
      <c r="J558" s="92">
        <v>8500985998</v>
      </c>
      <c r="K558" s="67"/>
      <c r="L558" s="67"/>
      <c r="M558" s="67"/>
      <c r="N558" s="67"/>
      <c r="O558" s="67"/>
    </row>
    <row r="559" spans="1:15" ht="45">
      <c r="A559" s="91" t="s">
        <v>19</v>
      </c>
      <c r="B559" s="92" t="s">
        <v>220</v>
      </c>
      <c r="C559" s="92" t="str">
        <f ca="1">IFERROR(__xludf.DUMMYFUNCTION("filter('Back End'!C:C,'Back End'!A:A=A559,'Back End'!B:B=B559,'Back End'!D:D=D559)"),"Thamarada")</f>
        <v>Thamarada</v>
      </c>
      <c r="D559" s="91" t="s">
        <v>255</v>
      </c>
      <c r="E559" s="92" t="s">
        <v>3981</v>
      </c>
      <c r="F559" s="91" t="s">
        <v>139</v>
      </c>
      <c r="G559" s="91" t="s">
        <v>594</v>
      </c>
      <c r="H559" s="95"/>
      <c r="I559" s="67"/>
      <c r="J559" s="92">
        <v>7382264659</v>
      </c>
      <c r="K559" s="67"/>
      <c r="L559" s="67"/>
      <c r="M559" s="67"/>
      <c r="N559" s="67"/>
      <c r="O559" s="67"/>
    </row>
    <row r="560" spans="1:15" ht="45">
      <c r="A560" s="91" t="s">
        <v>19</v>
      </c>
      <c r="B560" s="92" t="s">
        <v>220</v>
      </c>
      <c r="C560" s="92" t="str">
        <f ca="1">IFERROR(__xludf.DUMMYFUNCTION("filter('Back End'!C:C,'Back End'!A:A=A560,'Back End'!B:B=B560,'Back End'!D:D=D560)"),"Thamarada")</f>
        <v>Thamarada</v>
      </c>
      <c r="D560" s="91" t="s">
        <v>255</v>
      </c>
      <c r="E560" s="92" t="s">
        <v>3982</v>
      </c>
      <c r="F560" s="91" t="s">
        <v>139</v>
      </c>
      <c r="G560" s="91" t="s">
        <v>594</v>
      </c>
      <c r="H560" s="95"/>
      <c r="I560" s="92" t="s">
        <v>3983</v>
      </c>
      <c r="J560" s="67"/>
      <c r="K560" s="67"/>
      <c r="L560" s="67"/>
      <c r="M560" s="67"/>
      <c r="N560" s="67"/>
      <c r="O560" s="67"/>
    </row>
    <row r="561" spans="1:15" ht="30">
      <c r="A561" s="91" t="s">
        <v>7</v>
      </c>
      <c r="B561" s="92" t="s">
        <v>7</v>
      </c>
      <c r="C561" s="92" t="str">
        <f ca="1">IFERROR(__xludf.DUMMYFUNCTION("filter('Back End'!C:C,'Back End'!A:A=A561,'Back End'!B:B=B561,'Back End'!D:D=D561)"),"Rajupeta")</f>
        <v>Rajupeta</v>
      </c>
      <c r="D561" s="91" t="s">
        <v>773</v>
      </c>
      <c r="E561" s="92" t="s">
        <v>3984</v>
      </c>
      <c r="F561" s="91" t="s">
        <v>165</v>
      </c>
      <c r="G561" s="91" t="s">
        <v>615</v>
      </c>
      <c r="H561" s="93" t="s">
        <v>5</v>
      </c>
      <c r="I561" s="92" t="s">
        <v>3115</v>
      </c>
      <c r="J561" s="92">
        <v>8500811055</v>
      </c>
      <c r="K561" s="92" t="s">
        <v>1608</v>
      </c>
      <c r="L561" s="67"/>
      <c r="M561" s="67"/>
      <c r="N561" s="67"/>
      <c r="O561" s="67"/>
    </row>
    <row r="562" spans="1:15" ht="30">
      <c r="A562" s="91" t="s">
        <v>7</v>
      </c>
      <c r="B562" s="92" t="s">
        <v>7</v>
      </c>
      <c r="C562" s="92" t="str">
        <f ca="1">IFERROR(__xludf.DUMMYFUNCTION("filter('Back End'!C:C,'Back End'!A:A=A562,'Back End'!B:B=B562,'Back End'!D:D=D562)"),"Rajupeta")</f>
        <v>Rajupeta</v>
      </c>
      <c r="D562" s="91" t="s">
        <v>773</v>
      </c>
      <c r="E562" s="92" t="s">
        <v>3985</v>
      </c>
      <c r="F562" s="91" t="s">
        <v>165</v>
      </c>
      <c r="G562" s="91" t="s">
        <v>615</v>
      </c>
      <c r="H562" s="93" t="s">
        <v>5</v>
      </c>
      <c r="I562" s="92" t="s">
        <v>3463</v>
      </c>
      <c r="J562" s="92">
        <v>9490148057</v>
      </c>
      <c r="K562" s="92" t="s">
        <v>1598</v>
      </c>
      <c r="L562" s="92" t="s">
        <v>3422</v>
      </c>
      <c r="M562" s="67"/>
      <c r="N562" s="67"/>
      <c r="O562" s="67"/>
    </row>
    <row r="563" spans="1:15" ht="45">
      <c r="A563" s="91" t="s">
        <v>7</v>
      </c>
      <c r="B563" s="92" t="s">
        <v>7</v>
      </c>
      <c r="C563" s="92" t="str">
        <f ca="1">IFERROR(__xludf.DUMMYFUNCTION("filter('Back End'!C:C,'Back End'!A:A=A563,'Back End'!B:B=B563,'Back End'!D:D=D563)"),"Rajupeta")</f>
        <v>Rajupeta</v>
      </c>
      <c r="D563" s="91" t="s">
        <v>773</v>
      </c>
      <c r="E563" s="92" t="s">
        <v>3986</v>
      </c>
      <c r="F563" s="91" t="s">
        <v>165</v>
      </c>
      <c r="G563" s="91" t="s">
        <v>615</v>
      </c>
      <c r="H563" s="93" t="s">
        <v>5</v>
      </c>
      <c r="I563" s="92" t="s">
        <v>3987</v>
      </c>
      <c r="J563" s="92">
        <v>8919682020</v>
      </c>
      <c r="K563" s="92" t="s">
        <v>1593</v>
      </c>
      <c r="L563" s="67"/>
      <c r="M563" s="67"/>
      <c r="N563" s="67"/>
      <c r="O563" s="67"/>
    </row>
    <row r="564" spans="1:15" ht="30">
      <c r="A564" s="91" t="s">
        <v>7</v>
      </c>
      <c r="B564" s="92" t="s">
        <v>7</v>
      </c>
      <c r="C564" s="92" t="str">
        <f ca="1">IFERROR(__xludf.DUMMYFUNCTION("filter('Back End'!C:C,'Back End'!A:A=A564,'Back End'!B:B=B564,'Back End'!D:D=D564)"),"Rajupeta")</f>
        <v>Rajupeta</v>
      </c>
      <c r="D564" s="91" t="s">
        <v>773</v>
      </c>
      <c r="E564" s="92" t="s">
        <v>3988</v>
      </c>
      <c r="F564" s="91" t="s">
        <v>165</v>
      </c>
      <c r="G564" s="91" t="s">
        <v>615</v>
      </c>
      <c r="H564" s="93" t="s">
        <v>5</v>
      </c>
      <c r="I564" s="92" t="s">
        <v>3529</v>
      </c>
      <c r="J564" s="92">
        <v>7893529558</v>
      </c>
      <c r="K564" s="67"/>
      <c r="L564" s="67"/>
      <c r="M564" s="67"/>
      <c r="N564" s="67"/>
      <c r="O564" s="67"/>
    </row>
    <row r="565" spans="1:15" ht="30">
      <c r="A565" s="91" t="s">
        <v>7</v>
      </c>
      <c r="B565" s="92" t="s">
        <v>7</v>
      </c>
      <c r="C565" s="92" t="str">
        <f ca="1">IFERROR(__xludf.DUMMYFUNCTION("filter('Back End'!C:C,'Back End'!A:A=A565,'Back End'!B:B=B565,'Back End'!D:D=D565)"),"Rajupeta")</f>
        <v>Rajupeta</v>
      </c>
      <c r="D565" s="91" t="s">
        <v>773</v>
      </c>
      <c r="E565" s="92" t="s">
        <v>3989</v>
      </c>
      <c r="F565" s="91" t="s">
        <v>165</v>
      </c>
      <c r="G565" s="91" t="s">
        <v>615</v>
      </c>
      <c r="H565" s="93" t="s">
        <v>5</v>
      </c>
      <c r="I565" s="92" t="s">
        <v>3529</v>
      </c>
      <c r="J565" s="92">
        <v>7702304422</v>
      </c>
      <c r="K565" s="67"/>
      <c r="L565" s="67"/>
      <c r="M565" s="67"/>
      <c r="N565" s="67"/>
      <c r="O565" s="67"/>
    </row>
    <row r="566" spans="1:15" ht="30">
      <c r="A566" s="91" t="s">
        <v>7</v>
      </c>
      <c r="B566" s="92" t="s">
        <v>7</v>
      </c>
      <c r="C566" s="92" t="str">
        <f ca="1">IFERROR(__xludf.DUMMYFUNCTION("filter('Back End'!C:C,'Back End'!A:A=A566,'Back End'!B:B=B566,'Back End'!D:D=D566)"),"Rajupeta")</f>
        <v>Rajupeta</v>
      </c>
      <c r="D566" s="91" t="s">
        <v>773</v>
      </c>
      <c r="E566" s="92" t="s">
        <v>3990</v>
      </c>
      <c r="F566" s="91" t="s">
        <v>165</v>
      </c>
      <c r="G566" s="91" t="s">
        <v>615</v>
      </c>
      <c r="H566" s="93" t="s">
        <v>4</v>
      </c>
      <c r="I566" s="92" t="s">
        <v>3991</v>
      </c>
      <c r="J566" s="92">
        <v>9398660621</v>
      </c>
      <c r="K566" s="67"/>
      <c r="L566" s="67"/>
      <c r="M566" s="67"/>
      <c r="N566" s="67"/>
      <c r="O566" s="67"/>
    </row>
    <row r="567" spans="1:15" ht="120">
      <c r="A567" s="91" t="s">
        <v>7</v>
      </c>
      <c r="B567" s="92" t="s">
        <v>7</v>
      </c>
      <c r="C567" s="92" t="str">
        <f ca="1">IFERROR(__xludf.DUMMYFUNCTION("filter('Back End'!C:C,'Back End'!A:A=A567,'Back End'!B:B=B567,'Back End'!D:D=D567)"),"Rajupeta")</f>
        <v>Rajupeta</v>
      </c>
      <c r="D567" s="91" t="s">
        <v>773</v>
      </c>
      <c r="E567" s="92" t="s">
        <v>3992</v>
      </c>
      <c r="F567" s="91" t="s">
        <v>586</v>
      </c>
      <c r="G567" s="91" t="s">
        <v>615</v>
      </c>
      <c r="H567" s="93" t="s">
        <v>4</v>
      </c>
      <c r="I567" s="92" t="s">
        <v>3993</v>
      </c>
      <c r="J567" s="92">
        <v>9912282310</v>
      </c>
      <c r="K567" s="92" t="s">
        <v>1603</v>
      </c>
      <c r="L567" s="67"/>
      <c r="M567" s="67"/>
      <c r="N567" s="67"/>
      <c r="O567" s="67"/>
    </row>
    <row r="568" spans="1:15" ht="45">
      <c r="A568" s="91" t="s">
        <v>7</v>
      </c>
      <c r="B568" s="92" t="s">
        <v>7</v>
      </c>
      <c r="C568" s="92" t="str">
        <f ca="1">IFERROR(__xludf.DUMMYFUNCTION("filter('Back End'!C:C,'Back End'!A:A=A568,'Back End'!B:B=B568,'Back End'!D:D=D568)"),"Rajupeta")</f>
        <v>Rajupeta</v>
      </c>
      <c r="D568" s="91" t="s">
        <v>773</v>
      </c>
      <c r="E568" s="92" t="s">
        <v>3994</v>
      </c>
      <c r="F568" s="91" t="s">
        <v>165</v>
      </c>
      <c r="G568" s="91" t="s">
        <v>615</v>
      </c>
      <c r="H568" s="93" t="s">
        <v>4</v>
      </c>
      <c r="I568" s="92" t="s">
        <v>3490</v>
      </c>
      <c r="J568" s="92">
        <v>9494656097</v>
      </c>
      <c r="K568" s="67"/>
      <c r="L568" s="67"/>
      <c r="M568" s="67"/>
      <c r="N568" s="67"/>
      <c r="O568" s="67"/>
    </row>
    <row r="569" spans="1:15" ht="90">
      <c r="A569" s="91" t="s">
        <v>7</v>
      </c>
      <c r="B569" s="92" t="s">
        <v>7</v>
      </c>
      <c r="C569" s="92" t="str">
        <f ca="1">IFERROR(__xludf.DUMMYFUNCTION("filter('Back End'!C:C,'Back End'!A:A=A569,'Back End'!B:B=B569,'Back End'!D:D=D569)"),"Rajupeta")</f>
        <v>Rajupeta</v>
      </c>
      <c r="D569" s="91" t="s">
        <v>773</v>
      </c>
      <c r="E569" s="92" t="s">
        <v>3995</v>
      </c>
      <c r="F569" s="91" t="s">
        <v>165</v>
      </c>
      <c r="G569" s="91" t="s">
        <v>615</v>
      </c>
      <c r="H569" s="93" t="s">
        <v>4</v>
      </c>
      <c r="I569" s="92" t="s">
        <v>3996</v>
      </c>
      <c r="J569" s="92">
        <v>9533164198</v>
      </c>
      <c r="K569" s="92" t="s">
        <v>1613</v>
      </c>
      <c r="L569" s="67"/>
      <c r="M569" s="67"/>
      <c r="N569" s="67"/>
      <c r="O569" s="67"/>
    </row>
    <row r="570" spans="1:15" ht="45">
      <c r="A570" s="91" t="s">
        <v>7</v>
      </c>
      <c r="B570" s="92" t="s">
        <v>7</v>
      </c>
      <c r="C570" s="92" t="str">
        <f ca="1">IFERROR(__xludf.DUMMYFUNCTION("filter('Back End'!C:C,'Back End'!A:A=A570,'Back End'!B:B=B570,'Back End'!D:D=D570)"),"Rajupeta")</f>
        <v>Rajupeta</v>
      </c>
      <c r="D570" s="91" t="s">
        <v>773</v>
      </c>
      <c r="E570" s="92" t="s">
        <v>3997</v>
      </c>
      <c r="F570" s="91" t="s">
        <v>165</v>
      </c>
      <c r="G570" s="91" t="s">
        <v>615</v>
      </c>
      <c r="H570" s="93" t="s">
        <v>4</v>
      </c>
      <c r="I570" s="92" t="s">
        <v>3463</v>
      </c>
      <c r="J570" s="92">
        <v>9951031529</v>
      </c>
      <c r="K570" s="67"/>
      <c r="L570" s="67"/>
      <c r="M570" s="67"/>
      <c r="N570" s="67"/>
      <c r="O570" s="67"/>
    </row>
    <row r="571" spans="1:15" ht="30">
      <c r="A571" s="91" t="s">
        <v>19</v>
      </c>
      <c r="B571" s="92" t="s">
        <v>147</v>
      </c>
      <c r="C571" s="92" t="str">
        <f ca="1">IFERROR(__xludf.DUMMYFUNCTION("filter('Back End'!C:C,'Back End'!A:A=A571,'Back End'!B:B=B571,'Back End'!D:D=D571)"),"Gadelapalem")</f>
        <v>Gadelapalem</v>
      </c>
      <c r="D571" s="91" t="s">
        <v>150</v>
      </c>
      <c r="E571" s="92" t="s">
        <v>3998</v>
      </c>
      <c r="F571" s="91" t="s">
        <v>139</v>
      </c>
      <c r="G571" s="91" t="s">
        <v>594</v>
      </c>
      <c r="H571" s="93" t="s">
        <v>5</v>
      </c>
      <c r="I571" s="92" t="s">
        <v>3115</v>
      </c>
      <c r="J571" s="92">
        <v>9490520300</v>
      </c>
      <c r="K571" s="92" t="s">
        <v>1608</v>
      </c>
      <c r="L571" s="67"/>
      <c r="M571" s="67"/>
      <c r="N571" s="67"/>
      <c r="O571" s="67"/>
    </row>
    <row r="572" spans="1:15" ht="45">
      <c r="A572" s="91" t="s">
        <v>19</v>
      </c>
      <c r="B572" s="92" t="s">
        <v>147</v>
      </c>
      <c r="C572" s="92" t="str">
        <f ca="1">IFERROR(__xludf.DUMMYFUNCTION("filter('Back End'!C:C,'Back End'!A:A=A572,'Back End'!B:B=B572,'Back End'!D:D=D572)"),"Gadelapalem")</f>
        <v>Gadelapalem</v>
      </c>
      <c r="D572" s="91" t="s">
        <v>150</v>
      </c>
      <c r="E572" s="92" t="s">
        <v>3999</v>
      </c>
      <c r="F572" s="91" t="s">
        <v>114</v>
      </c>
      <c r="G572" s="91" t="s">
        <v>85</v>
      </c>
      <c r="H572" s="93" t="s">
        <v>5</v>
      </c>
      <c r="I572" s="92" t="s">
        <v>3107</v>
      </c>
      <c r="J572" s="92">
        <v>9492063434</v>
      </c>
      <c r="K572" s="92" t="s">
        <v>1603</v>
      </c>
      <c r="L572" s="67"/>
      <c r="M572" s="67"/>
      <c r="N572" s="67"/>
      <c r="O572" s="67"/>
    </row>
    <row r="573" spans="1:15" ht="30">
      <c r="A573" s="91" t="s">
        <v>19</v>
      </c>
      <c r="B573" s="92" t="s">
        <v>147</v>
      </c>
      <c r="C573" s="92" t="str">
        <f ca="1">IFERROR(__xludf.DUMMYFUNCTION("filter('Back End'!C:C,'Back End'!A:A=A573,'Back End'!B:B=B573,'Back End'!D:D=D573)"),"Gadelapalem")</f>
        <v>Gadelapalem</v>
      </c>
      <c r="D573" s="91" t="s">
        <v>150</v>
      </c>
      <c r="E573" s="92" t="s">
        <v>4000</v>
      </c>
      <c r="F573" s="91" t="s">
        <v>139</v>
      </c>
      <c r="G573" s="91" t="s">
        <v>594</v>
      </c>
      <c r="H573" s="93" t="s">
        <v>5</v>
      </c>
      <c r="I573" s="92" t="s">
        <v>4001</v>
      </c>
      <c r="J573" s="92">
        <v>9848106405</v>
      </c>
      <c r="K573" s="92" t="s">
        <v>1603</v>
      </c>
      <c r="L573" s="67"/>
      <c r="M573" s="67"/>
      <c r="N573" s="67"/>
      <c r="O573" s="67"/>
    </row>
    <row r="574" spans="1:15" ht="30">
      <c r="A574" s="91" t="s">
        <v>19</v>
      </c>
      <c r="B574" s="92" t="s">
        <v>147</v>
      </c>
      <c r="C574" s="92" t="str">
        <f ca="1">IFERROR(__xludf.DUMMYFUNCTION("filter('Back End'!C:C,'Back End'!A:A=A574,'Back End'!B:B=B574,'Back End'!D:D=D574)"),"Gadelapalem")</f>
        <v>Gadelapalem</v>
      </c>
      <c r="D574" s="91" t="s">
        <v>150</v>
      </c>
      <c r="E574" s="92" t="s">
        <v>4002</v>
      </c>
      <c r="F574" s="91" t="s">
        <v>139</v>
      </c>
      <c r="G574" s="91" t="s">
        <v>594</v>
      </c>
      <c r="H574" s="93" t="s">
        <v>4</v>
      </c>
      <c r="I574" s="92" t="s">
        <v>3185</v>
      </c>
      <c r="J574" s="92">
        <v>9866822158</v>
      </c>
      <c r="K574" s="92" t="s">
        <v>1608</v>
      </c>
      <c r="L574" s="67"/>
      <c r="M574" s="67"/>
      <c r="N574" s="67"/>
      <c r="O574" s="67"/>
    </row>
    <row r="575" spans="1:15" ht="30">
      <c r="A575" s="91" t="s">
        <v>19</v>
      </c>
      <c r="B575" s="92" t="s">
        <v>147</v>
      </c>
      <c r="C575" s="92" t="str">
        <f ca="1">IFERROR(__xludf.DUMMYFUNCTION("filter('Back End'!C:C,'Back End'!A:A=A575,'Back End'!B:B=B575,'Back End'!D:D=D575)"),"Gadelapalem")</f>
        <v>Gadelapalem</v>
      </c>
      <c r="D575" s="91" t="s">
        <v>150</v>
      </c>
      <c r="E575" s="92" t="s">
        <v>4003</v>
      </c>
      <c r="F575" s="91" t="s">
        <v>139</v>
      </c>
      <c r="G575" s="91" t="s">
        <v>594</v>
      </c>
      <c r="H575" s="93" t="s">
        <v>4</v>
      </c>
      <c r="I575" s="92" t="s">
        <v>4004</v>
      </c>
      <c r="J575" s="92">
        <v>9542350444</v>
      </c>
      <c r="K575" s="92" t="s">
        <v>1603</v>
      </c>
      <c r="L575" s="67"/>
      <c r="M575" s="67"/>
      <c r="N575" s="67"/>
      <c r="O575" s="67"/>
    </row>
    <row r="576" spans="1:15" ht="30">
      <c r="A576" s="91" t="s">
        <v>19</v>
      </c>
      <c r="B576" s="92" t="s">
        <v>147</v>
      </c>
      <c r="C576" s="92" t="str">
        <f ca="1">IFERROR(__xludf.DUMMYFUNCTION("filter('Back End'!C:C,'Back End'!A:A=A576,'Back End'!B:B=B576,'Back End'!D:D=D576)"),"Gadelapalem")</f>
        <v>Gadelapalem</v>
      </c>
      <c r="D576" s="91" t="s">
        <v>150</v>
      </c>
      <c r="E576" s="92" t="s">
        <v>4005</v>
      </c>
      <c r="F576" s="91" t="s">
        <v>139</v>
      </c>
      <c r="G576" s="91" t="s">
        <v>594</v>
      </c>
      <c r="H576" s="93" t="s">
        <v>4</v>
      </c>
      <c r="I576" s="92" t="s">
        <v>4006</v>
      </c>
      <c r="J576" s="92">
        <v>9494228616</v>
      </c>
      <c r="K576" s="67"/>
      <c r="L576" s="67"/>
      <c r="M576" s="67"/>
      <c r="N576" s="67"/>
      <c r="O576" s="67"/>
    </row>
    <row r="577" spans="1:15" ht="30">
      <c r="A577" s="91" t="s">
        <v>7</v>
      </c>
      <c r="B577" s="92" t="s">
        <v>7</v>
      </c>
      <c r="C577" s="92" t="str">
        <f ca="1">IFERROR(__xludf.DUMMYFUNCTION("filter('Back End'!C:C,'Back End'!A:A=A577,'Back End'!B:B=B577,'Back End'!D:D=D577)"),"Agraharam")</f>
        <v>Agraharam</v>
      </c>
      <c r="D577" s="91" t="s">
        <v>748</v>
      </c>
      <c r="E577" s="92" t="s">
        <v>4007</v>
      </c>
      <c r="F577" s="91" t="s">
        <v>288</v>
      </c>
      <c r="G577" s="91" t="s">
        <v>615</v>
      </c>
      <c r="H577" s="93" t="s">
        <v>5</v>
      </c>
      <c r="I577" s="92" t="s">
        <v>3115</v>
      </c>
      <c r="J577" s="92">
        <v>9908854433</v>
      </c>
      <c r="K577" s="92" t="s">
        <v>1598</v>
      </c>
      <c r="L577" s="67"/>
      <c r="M577" s="67"/>
      <c r="N577" s="67"/>
      <c r="O577" s="67"/>
    </row>
    <row r="578" spans="1:15" ht="30">
      <c r="A578" s="91" t="s">
        <v>7</v>
      </c>
      <c r="B578" s="92" t="s">
        <v>7</v>
      </c>
      <c r="C578" s="92" t="str">
        <f ca="1">IFERROR(__xludf.DUMMYFUNCTION("filter('Back End'!C:C,'Back End'!A:A=A578,'Back End'!B:B=B578,'Back End'!D:D=D578)"),"Agraharam")</f>
        <v>Agraharam</v>
      </c>
      <c r="D578" s="91" t="s">
        <v>748</v>
      </c>
      <c r="E578" s="92" t="s">
        <v>4008</v>
      </c>
      <c r="F578" s="91" t="s">
        <v>595</v>
      </c>
      <c r="G578" s="91" t="s">
        <v>594</v>
      </c>
      <c r="H578" s="93" t="s">
        <v>5</v>
      </c>
      <c r="I578" s="92" t="s">
        <v>3743</v>
      </c>
      <c r="J578" s="92">
        <v>7794821158</v>
      </c>
      <c r="K578" s="92" t="s">
        <v>1598</v>
      </c>
      <c r="L578" s="67"/>
      <c r="M578" s="67"/>
      <c r="N578" s="67"/>
      <c r="O578" s="67"/>
    </row>
    <row r="579" spans="1:15" ht="30">
      <c r="A579" s="91" t="s">
        <v>7</v>
      </c>
      <c r="B579" s="92" t="s">
        <v>7</v>
      </c>
      <c r="C579" s="92" t="str">
        <f ca="1">IFERROR(__xludf.DUMMYFUNCTION("filter('Back End'!C:C,'Back End'!A:A=A579,'Back End'!B:B=B579,'Back End'!D:D=D579)"),"Agraharam")</f>
        <v>Agraharam</v>
      </c>
      <c r="D579" s="91" t="s">
        <v>748</v>
      </c>
      <c r="E579" s="92" t="s">
        <v>4009</v>
      </c>
      <c r="F579" s="91" t="s">
        <v>288</v>
      </c>
      <c r="G579" s="91" t="s">
        <v>615</v>
      </c>
      <c r="H579" s="93" t="s">
        <v>5</v>
      </c>
      <c r="I579" s="92" t="s">
        <v>3185</v>
      </c>
      <c r="J579" s="92">
        <v>7702072826</v>
      </c>
      <c r="K579" s="92" t="s">
        <v>1603</v>
      </c>
      <c r="L579" s="67"/>
      <c r="M579" s="67"/>
      <c r="N579" s="67"/>
      <c r="O579" s="67"/>
    </row>
    <row r="580" spans="1:15" ht="30">
      <c r="A580" s="91" t="s">
        <v>7</v>
      </c>
      <c r="B580" s="92" t="s">
        <v>7</v>
      </c>
      <c r="C580" s="92" t="str">
        <f ca="1">IFERROR(__xludf.DUMMYFUNCTION("filter('Back End'!C:C,'Back End'!A:A=A580,'Back End'!B:B=B580,'Back End'!D:D=D580)"),"Agraharam")</f>
        <v>Agraharam</v>
      </c>
      <c r="D580" s="91" t="s">
        <v>748</v>
      </c>
      <c r="E580" s="92" t="s">
        <v>4010</v>
      </c>
      <c r="F580" s="91" t="s">
        <v>139</v>
      </c>
      <c r="G580" s="91" t="s">
        <v>594</v>
      </c>
      <c r="H580" s="93" t="s">
        <v>4</v>
      </c>
      <c r="I580" s="92" t="s">
        <v>3107</v>
      </c>
      <c r="J580" s="92">
        <v>9494187111</v>
      </c>
      <c r="K580" s="92" t="s">
        <v>1608</v>
      </c>
      <c r="L580" s="67"/>
      <c r="M580" s="67"/>
      <c r="N580" s="67"/>
      <c r="O580" s="67"/>
    </row>
    <row r="581" spans="1:15" ht="60">
      <c r="A581" s="91" t="s">
        <v>7</v>
      </c>
      <c r="B581" s="92" t="s">
        <v>7</v>
      </c>
      <c r="C581" s="92" t="str">
        <f ca="1">IFERROR(__xludf.DUMMYFUNCTION("filter('Back End'!C:C,'Back End'!A:A=A581,'Back End'!B:B=B581,'Back End'!D:D=D581)"),"Agraharam")</f>
        <v>Agraharam</v>
      </c>
      <c r="D581" s="91" t="s">
        <v>748</v>
      </c>
      <c r="E581" s="92" t="s">
        <v>4011</v>
      </c>
      <c r="F581" s="91" t="s">
        <v>139</v>
      </c>
      <c r="G581" s="91" t="s">
        <v>594</v>
      </c>
      <c r="H581" s="93" t="s">
        <v>4</v>
      </c>
      <c r="I581" s="92" t="s">
        <v>4012</v>
      </c>
      <c r="J581" s="92">
        <v>9296553324</v>
      </c>
      <c r="K581" s="92" t="s">
        <v>1598</v>
      </c>
      <c r="L581" s="67"/>
      <c r="M581" s="67"/>
      <c r="N581" s="67"/>
      <c r="O581" s="67"/>
    </row>
    <row r="582" spans="1:15" ht="45">
      <c r="A582" s="91" t="s">
        <v>19</v>
      </c>
      <c r="B582" s="92" t="s">
        <v>147</v>
      </c>
      <c r="C582" s="92" t="str">
        <f ca="1">IFERROR(__xludf.DUMMYFUNCTION("filter('Back End'!C:C,'Back End'!A:A=A582,'Back End'!B:B=B582,'Back End'!D:D=D582)"),"Gadelapalem")</f>
        <v>Gadelapalem</v>
      </c>
      <c r="D582" s="91" t="s">
        <v>150</v>
      </c>
      <c r="E582" s="92" t="s">
        <v>4013</v>
      </c>
      <c r="F582" s="91" t="s">
        <v>139</v>
      </c>
      <c r="G582" s="91" t="s">
        <v>594</v>
      </c>
      <c r="H582" s="93" t="s">
        <v>6</v>
      </c>
      <c r="I582" s="92" t="s">
        <v>4014</v>
      </c>
      <c r="J582" s="92">
        <v>7989387130</v>
      </c>
      <c r="K582" s="67"/>
      <c r="L582" s="67"/>
      <c r="M582" s="67"/>
      <c r="N582" s="67"/>
      <c r="O582" s="67"/>
    </row>
    <row r="583" spans="1:15" ht="30">
      <c r="A583" s="91" t="s">
        <v>19</v>
      </c>
      <c r="B583" s="92" t="s">
        <v>147</v>
      </c>
      <c r="C583" s="92" t="str">
        <f ca="1">IFERROR(__xludf.DUMMYFUNCTION("filter('Back End'!C:C,'Back End'!A:A=A583,'Back End'!B:B=B583,'Back End'!D:D=D583)"),"Gadelapalem")</f>
        <v>Gadelapalem</v>
      </c>
      <c r="D583" s="91" t="s">
        <v>150</v>
      </c>
      <c r="E583" s="92" t="s">
        <v>4015</v>
      </c>
      <c r="F583" s="91" t="s">
        <v>139</v>
      </c>
      <c r="G583" s="91" t="s">
        <v>594</v>
      </c>
      <c r="H583" s="93" t="s">
        <v>6</v>
      </c>
      <c r="I583" s="92" t="s">
        <v>3162</v>
      </c>
      <c r="J583" s="92">
        <v>9666638038</v>
      </c>
      <c r="K583" s="67"/>
      <c r="L583" s="67"/>
      <c r="M583" s="67"/>
      <c r="N583" s="67"/>
      <c r="O583" s="67"/>
    </row>
    <row r="584" spans="1:15" ht="45">
      <c r="A584" s="91" t="s">
        <v>19</v>
      </c>
      <c r="B584" s="92" t="s">
        <v>147</v>
      </c>
      <c r="C584" s="92" t="str">
        <f ca="1">IFERROR(__xludf.DUMMYFUNCTION("filter('Back End'!C:C,'Back End'!A:A=A584,'Back End'!B:B=B584,'Back End'!D:D=D584)"),"Gadelapalem")</f>
        <v>Gadelapalem</v>
      </c>
      <c r="D584" s="91" t="s">
        <v>150</v>
      </c>
      <c r="E584" s="92" t="s">
        <v>4016</v>
      </c>
      <c r="F584" s="91" t="s">
        <v>139</v>
      </c>
      <c r="G584" s="91" t="s">
        <v>594</v>
      </c>
      <c r="H584" s="93" t="s">
        <v>6</v>
      </c>
      <c r="I584" s="92" t="s">
        <v>3863</v>
      </c>
      <c r="J584" s="92">
        <v>9848333985</v>
      </c>
      <c r="K584" s="67"/>
      <c r="L584" s="67"/>
      <c r="M584" s="67"/>
      <c r="N584" s="67"/>
      <c r="O584" s="67"/>
    </row>
    <row r="585" spans="1:15" ht="45">
      <c r="A585" s="91" t="s">
        <v>10</v>
      </c>
      <c r="B585" s="92" t="s">
        <v>10</v>
      </c>
      <c r="C585" s="92" t="str">
        <f ca="1">IFERROR(__xludf.DUMMYFUNCTION("filter('Back End'!C:C,'Back End'!A:A=A585,'Back End'!B:B=B585,'Back End'!D:D=D585)"),"Veldurthi")</f>
        <v>Veldurthi</v>
      </c>
      <c r="D585" s="91" t="s">
        <v>536</v>
      </c>
      <c r="E585" s="92" t="s">
        <v>4017</v>
      </c>
      <c r="F585" s="91" t="s">
        <v>139</v>
      </c>
      <c r="G585" s="91" t="s">
        <v>594</v>
      </c>
      <c r="H585" s="93" t="s">
        <v>4</v>
      </c>
      <c r="I585" s="92" t="s">
        <v>3743</v>
      </c>
      <c r="J585" s="92">
        <v>9505446512</v>
      </c>
      <c r="K585" s="92" t="s">
        <v>1598</v>
      </c>
      <c r="L585" s="67"/>
      <c r="M585" s="67"/>
      <c r="N585" s="67"/>
      <c r="O585" s="67"/>
    </row>
    <row r="586" spans="1:15" ht="45">
      <c r="A586" s="91" t="s">
        <v>10</v>
      </c>
      <c r="B586" s="92" t="s">
        <v>10</v>
      </c>
      <c r="C586" s="92" t="str">
        <f ca="1">IFERROR(__xludf.DUMMYFUNCTION("filter('Back End'!C:C,'Back End'!A:A=A586,'Back End'!B:B=B586,'Back End'!D:D=D586)"),"Veldurthi")</f>
        <v>Veldurthi</v>
      </c>
      <c r="D586" s="91" t="s">
        <v>536</v>
      </c>
      <c r="E586" s="92" t="s">
        <v>4018</v>
      </c>
      <c r="F586" s="91" t="s">
        <v>139</v>
      </c>
      <c r="G586" s="91" t="s">
        <v>594</v>
      </c>
      <c r="H586" s="93" t="s">
        <v>4</v>
      </c>
      <c r="I586" s="92" t="s">
        <v>3115</v>
      </c>
      <c r="J586" s="92">
        <v>9505223212</v>
      </c>
      <c r="K586" s="92" t="s">
        <v>1608</v>
      </c>
      <c r="L586" s="67"/>
      <c r="M586" s="67"/>
      <c r="N586" s="67"/>
      <c r="O586" s="67"/>
    </row>
    <row r="587" spans="1:15" ht="30">
      <c r="A587" s="91" t="s">
        <v>10</v>
      </c>
      <c r="B587" s="92" t="s">
        <v>10</v>
      </c>
      <c r="C587" s="92" t="str">
        <f ca="1">IFERROR(__xludf.DUMMYFUNCTION("filter('Back End'!C:C,'Back End'!A:A=A587,'Back End'!B:B=B587,'Back End'!D:D=D587)"),"Veldurthi")</f>
        <v>Veldurthi</v>
      </c>
      <c r="D587" s="91" t="s">
        <v>536</v>
      </c>
      <c r="E587" s="92" t="s">
        <v>4019</v>
      </c>
      <c r="F587" s="91" t="s">
        <v>139</v>
      </c>
      <c r="G587" s="91" t="s">
        <v>594</v>
      </c>
      <c r="H587" s="95"/>
      <c r="I587" s="67"/>
      <c r="J587" s="92">
        <v>8886304560</v>
      </c>
      <c r="K587" s="92" t="s">
        <v>1603</v>
      </c>
      <c r="L587" s="67"/>
      <c r="M587" s="67"/>
      <c r="N587" s="67"/>
      <c r="O587" s="67"/>
    </row>
    <row r="588" spans="1:15" ht="30">
      <c r="A588" s="91" t="s">
        <v>10</v>
      </c>
      <c r="B588" s="92" t="s">
        <v>10</v>
      </c>
      <c r="C588" s="92" t="str">
        <f ca="1">IFERROR(__xludf.DUMMYFUNCTION("filter('Back End'!C:C,'Back End'!A:A=A588,'Back End'!B:B=B588,'Back End'!D:D=D588)"),"Veldurthi")</f>
        <v>Veldurthi</v>
      </c>
      <c r="D588" s="91" t="s">
        <v>536</v>
      </c>
      <c r="E588" s="92" t="s">
        <v>4020</v>
      </c>
      <c r="F588" s="91" t="s">
        <v>139</v>
      </c>
      <c r="G588" s="91" t="s">
        <v>594</v>
      </c>
      <c r="H588" s="93" t="s">
        <v>4</v>
      </c>
      <c r="I588" s="92" t="s">
        <v>3329</v>
      </c>
      <c r="J588" s="92">
        <v>8186905454</v>
      </c>
      <c r="K588" s="92" t="s">
        <v>1608</v>
      </c>
      <c r="L588" s="67"/>
      <c r="M588" s="67"/>
      <c r="N588" s="67"/>
      <c r="O588" s="67"/>
    </row>
    <row r="589" spans="1:15" ht="30">
      <c r="A589" s="91" t="s">
        <v>10</v>
      </c>
      <c r="B589" s="92" t="s">
        <v>10</v>
      </c>
      <c r="C589" s="92" t="str">
        <f ca="1">IFERROR(__xludf.DUMMYFUNCTION("filter('Back End'!C:C,'Back End'!A:A=A589,'Back End'!B:B=B589,'Back End'!D:D=D589)"),"Veldurthi")</f>
        <v>Veldurthi</v>
      </c>
      <c r="D589" s="91" t="s">
        <v>536</v>
      </c>
      <c r="E589" s="115" t="s">
        <v>4021</v>
      </c>
      <c r="F589" s="91" t="s">
        <v>139</v>
      </c>
      <c r="G589" s="91" t="s">
        <v>594</v>
      </c>
      <c r="H589" s="93" t="s">
        <v>4</v>
      </c>
      <c r="I589" s="92" t="s">
        <v>3142</v>
      </c>
      <c r="J589" s="92">
        <v>9505666367</v>
      </c>
      <c r="K589" s="67"/>
      <c r="L589" s="67"/>
      <c r="M589" s="67"/>
      <c r="N589" s="67"/>
      <c r="O589" s="67"/>
    </row>
    <row r="590" spans="1:15" ht="30">
      <c r="A590" s="91" t="s">
        <v>10</v>
      </c>
      <c r="B590" s="92" t="s">
        <v>10</v>
      </c>
      <c r="C590" s="92" t="str">
        <f ca="1">IFERROR(__xludf.DUMMYFUNCTION("filter('Back End'!C:C,'Back End'!A:A=A590,'Back End'!B:B=B590,'Back End'!D:D=D590)"),"Veldurthi")</f>
        <v>Veldurthi</v>
      </c>
      <c r="D590" s="91" t="s">
        <v>536</v>
      </c>
      <c r="E590" s="115" t="s">
        <v>4022</v>
      </c>
      <c r="F590" s="91" t="s">
        <v>139</v>
      </c>
      <c r="G590" s="91" t="s">
        <v>594</v>
      </c>
      <c r="H590" s="93" t="s">
        <v>4</v>
      </c>
      <c r="I590" s="92" t="s">
        <v>4023</v>
      </c>
      <c r="J590" s="92">
        <v>9848648629</v>
      </c>
      <c r="K590" s="67"/>
      <c r="L590" s="67"/>
      <c r="M590" s="67"/>
      <c r="N590" s="67"/>
      <c r="O590" s="67"/>
    </row>
    <row r="591" spans="1:15" ht="30">
      <c r="A591" s="91" t="s">
        <v>10</v>
      </c>
      <c r="B591" s="92" t="s">
        <v>10</v>
      </c>
      <c r="C591" s="92" t="str">
        <f ca="1">IFERROR(__xludf.DUMMYFUNCTION("filter('Back End'!C:C,'Back End'!A:A=A591,'Back End'!B:B=B591,'Back End'!D:D=D591)"),"Veldurthi")</f>
        <v>Veldurthi</v>
      </c>
      <c r="D591" s="91" t="s">
        <v>536</v>
      </c>
      <c r="E591" s="91" t="s">
        <v>4024</v>
      </c>
      <c r="F591" s="91" t="s">
        <v>139</v>
      </c>
      <c r="G591" s="91" t="s">
        <v>594</v>
      </c>
      <c r="H591" s="93" t="s">
        <v>4</v>
      </c>
      <c r="I591" s="92" t="s">
        <v>4025</v>
      </c>
      <c r="J591" s="92">
        <v>9502794939</v>
      </c>
      <c r="K591" s="67"/>
      <c r="L591" s="67"/>
      <c r="M591" s="67"/>
      <c r="N591" s="67"/>
      <c r="O591" s="67"/>
    </row>
    <row r="592" spans="1:15" ht="30">
      <c r="A592" s="91" t="s">
        <v>10</v>
      </c>
      <c r="B592" s="91" t="s">
        <v>10</v>
      </c>
      <c r="C592" s="92" t="str">
        <f ca="1">IFERROR(__xludf.DUMMYFUNCTION("filter('Back End'!C:C,'Back End'!A:A=A592,'Back End'!B:B=B592,'Back End'!D:D=D592)"),"Veldurthi")</f>
        <v>Veldurthi</v>
      </c>
      <c r="D592" s="91" t="s">
        <v>536</v>
      </c>
      <c r="E592" s="91" t="s">
        <v>4026</v>
      </c>
      <c r="F592" s="91" t="s">
        <v>139</v>
      </c>
      <c r="G592" s="91" t="s">
        <v>594</v>
      </c>
      <c r="H592" s="93" t="s">
        <v>4</v>
      </c>
      <c r="I592" s="92" t="s">
        <v>3142</v>
      </c>
      <c r="J592" s="92">
        <v>6281810173</v>
      </c>
      <c r="K592" s="67"/>
      <c r="L592" s="67"/>
      <c r="M592" s="67"/>
      <c r="N592" s="67"/>
      <c r="O592" s="67"/>
    </row>
    <row r="593" spans="1:15" ht="30">
      <c r="A593" s="91" t="s">
        <v>10</v>
      </c>
      <c r="B593" s="91" t="s">
        <v>10</v>
      </c>
      <c r="C593" s="92" t="str">
        <f ca="1">IFERROR(__xludf.DUMMYFUNCTION("filter('Back End'!C:C,'Back End'!A:A=A593,'Back End'!B:B=B593,'Back End'!D:D=D593)"),"Veldurthi")</f>
        <v>Veldurthi</v>
      </c>
      <c r="D593" s="91" t="s">
        <v>536</v>
      </c>
      <c r="E593" s="91" t="s">
        <v>4027</v>
      </c>
      <c r="F593" s="91" t="s">
        <v>139</v>
      </c>
      <c r="G593" s="91" t="s">
        <v>594</v>
      </c>
      <c r="H593" s="93" t="s">
        <v>4</v>
      </c>
      <c r="I593" s="92" t="s">
        <v>3863</v>
      </c>
      <c r="J593" s="92">
        <v>8074968228</v>
      </c>
      <c r="K593" s="67"/>
      <c r="L593" s="67"/>
      <c r="M593" s="67"/>
      <c r="N593" s="67"/>
      <c r="O593" s="67"/>
    </row>
    <row r="594" spans="1:15" ht="30">
      <c r="A594" s="91" t="s">
        <v>10</v>
      </c>
      <c r="B594" s="91" t="s">
        <v>10</v>
      </c>
      <c r="C594" s="92" t="str">
        <f ca="1">IFERROR(__xludf.DUMMYFUNCTION("filter('Back End'!C:C,'Back End'!A:A=A594,'Back End'!B:B=B594,'Back End'!D:D=D594)"),"Veldurthi")</f>
        <v>Veldurthi</v>
      </c>
      <c r="D594" s="91" t="s">
        <v>536</v>
      </c>
      <c r="E594" s="91" t="s">
        <v>4028</v>
      </c>
      <c r="F594" s="91" t="s">
        <v>139</v>
      </c>
      <c r="G594" s="91" t="s">
        <v>594</v>
      </c>
      <c r="H594" s="93" t="s">
        <v>4</v>
      </c>
      <c r="I594" s="92" t="s">
        <v>3329</v>
      </c>
      <c r="J594" s="92">
        <v>9848884118</v>
      </c>
      <c r="K594" s="67"/>
      <c r="L594" s="67"/>
      <c r="M594" s="67"/>
      <c r="N594" s="67"/>
      <c r="O594" s="67"/>
    </row>
    <row r="595" spans="1:15" ht="15">
      <c r="A595" s="91" t="s">
        <v>10</v>
      </c>
      <c r="B595" s="91" t="s">
        <v>10</v>
      </c>
      <c r="C595" s="92" t="str">
        <f ca="1">IFERROR(__xludf.DUMMYFUNCTION("filter('Back End'!C:C,'Back End'!A:A=A595,'Back End'!B:B=B595,'Back End'!D:D=D595)"),"Veldurthi")</f>
        <v>Veldurthi</v>
      </c>
      <c r="D595" s="91" t="s">
        <v>536</v>
      </c>
      <c r="E595" s="91" t="s">
        <v>4029</v>
      </c>
      <c r="F595" s="67" t="s">
        <v>3138</v>
      </c>
      <c r="G595" s="67"/>
      <c r="H595" s="93" t="s">
        <v>4</v>
      </c>
      <c r="I595" s="92" t="s">
        <v>3125</v>
      </c>
      <c r="J595" s="92">
        <v>6303210853</v>
      </c>
      <c r="K595" s="67"/>
      <c r="L595" s="67"/>
      <c r="M595" s="67"/>
      <c r="N595" s="67"/>
      <c r="O595" s="67"/>
    </row>
    <row r="596" spans="1:15" ht="15">
      <c r="A596" s="91" t="s">
        <v>19</v>
      </c>
      <c r="B596" s="91" t="s">
        <v>147</v>
      </c>
      <c r="C596" s="92" t="str">
        <f ca="1">IFERROR(__xludf.DUMMYFUNCTION("filter('Back End'!C:C,'Back End'!A:A=A596,'Back End'!B:B=B596,'Back End'!D:D=D596)"),"#N/A")</f>
        <v>#N/A</v>
      </c>
      <c r="D596" s="91" t="s">
        <v>536</v>
      </c>
      <c r="E596" s="91" t="s">
        <v>4030</v>
      </c>
      <c r="F596" s="67" t="s">
        <v>3138</v>
      </c>
      <c r="G596" s="67"/>
      <c r="H596" s="93" t="s">
        <v>4</v>
      </c>
      <c r="I596" s="67"/>
      <c r="J596" s="92">
        <v>9346054741</v>
      </c>
      <c r="K596" s="67"/>
      <c r="L596" s="67"/>
      <c r="M596" s="67"/>
      <c r="N596" s="67"/>
      <c r="O596" s="67"/>
    </row>
    <row r="597" spans="1:15" ht="15">
      <c r="A597" s="91" t="s">
        <v>10</v>
      </c>
      <c r="B597" s="91" t="s">
        <v>10</v>
      </c>
      <c r="C597" s="92" t="str">
        <f ca="1">IFERROR(__xludf.DUMMYFUNCTION("filter('Back End'!C:C,'Back End'!A:A=A597,'Back End'!B:B=B597,'Back End'!D:D=D597)"),"Veldurthi")</f>
        <v>Veldurthi</v>
      </c>
      <c r="D597" s="91" t="s">
        <v>536</v>
      </c>
      <c r="E597" s="91" t="s">
        <v>4031</v>
      </c>
      <c r="F597" s="91" t="s">
        <v>139</v>
      </c>
      <c r="G597" s="91" t="s">
        <v>594</v>
      </c>
      <c r="H597" s="93" t="s">
        <v>5</v>
      </c>
      <c r="I597" s="67"/>
      <c r="J597" s="92">
        <v>8639111962</v>
      </c>
      <c r="K597" s="67"/>
      <c r="L597" s="67"/>
      <c r="M597" s="67"/>
      <c r="N597" s="67"/>
      <c r="O597" s="67"/>
    </row>
    <row r="598" spans="1:15" ht="15">
      <c r="A598" s="91" t="s">
        <v>10</v>
      </c>
      <c r="B598" s="91" t="s">
        <v>10</v>
      </c>
      <c r="C598" s="92" t="str">
        <f ca="1">IFERROR(__xludf.DUMMYFUNCTION("filter('Back End'!C:C,'Back End'!A:A=A598,'Back End'!B:B=B598,'Back End'!D:D=D598)"),"Veldurthi")</f>
        <v>Veldurthi</v>
      </c>
      <c r="D598" s="91" t="s">
        <v>536</v>
      </c>
      <c r="E598" s="91" t="s">
        <v>4032</v>
      </c>
      <c r="F598" s="67" t="s">
        <v>3138</v>
      </c>
      <c r="G598" s="67"/>
      <c r="H598" s="93" t="s">
        <v>5</v>
      </c>
      <c r="I598" s="67"/>
      <c r="J598" s="92">
        <v>9951034485</v>
      </c>
      <c r="K598" s="67"/>
      <c r="L598" s="67"/>
      <c r="M598" s="67"/>
      <c r="N598" s="67"/>
      <c r="O598" s="67"/>
    </row>
    <row r="599" spans="1:15" ht="15">
      <c r="A599" s="91" t="s">
        <v>10</v>
      </c>
      <c r="B599" s="91" t="s">
        <v>10</v>
      </c>
      <c r="C599" s="92" t="str">
        <f ca="1">IFERROR(__xludf.DUMMYFUNCTION("filter('Back End'!C:C,'Back End'!A:A=A599,'Back End'!B:B=B599,'Back End'!D:D=D599)"),"Veldurthi")</f>
        <v>Veldurthi</v>
      </c>
      <c r="D599" s="91" t="s">
        <v>536</v>
      </c>
      <c r="E599" s="91" t="s">
        <v>4033</v>
      </c>
      <c r="F599" s="91" t="s">
        <v>139</v>
      </c>
      <c r="G599" s="91" t="s">
        <v>594</v>
      </c>
      <c r="H599" s="93" t="s">
        <v>5</v>
      </c>
      <c r="I599" s="67"/>
      <c r="J599" s="92">
        <v>9603751383</v>
      </c>
      <c r="K599" s="67"/>
      <c r="L599" s="67"/>
      <c r="M599" s="67"/>
      <c r="N599" s="67"/>
      <c r="O599" s="67"/>
    </row>
    <row r="600" spans="1:15" ht="15">
      <c r="A600" s="91" t="s">
        <v>10</v>
      </c>
      <c r="B600" s="91" t="s">
        <v>10</v>
      </c>
      <c r="C600" s="92" t="str">
        <f ca="1">IFERROR(__xludf.DUMMYFUNCTION("filter('Back End'!C:C,'Back End'!A:A=A600,'Back End'!B:B=B600,'Back End'!D:D=D600)"),"Veldurthi")</f>
        <v>Veldurthi</v>
      </c>
      <c r="D600" s="91" t="s">
        <v>536</v>
      </c>
      <c r="E600" s="91" t="s">
        <v>4034</v>
      </c>
      <c r="F600" s="67" t="s">
        <v>3138</v>
      </c>
      <c r="G600" s="67"/>
      <c r="H600" s="93" t="s">
        <v>5</v>
      </c>
      <c r="I600" s="67"/>
      <c r="J600" s="92">
        <v>9908816747</v>
      </c>
      <c r="K600" s="67"/>
      <c r="L600" s="67"/>
      <c r="M600" s="67"/>
      <c r="N600" s="67"/>
      <c r="O600" s="67"/>
    </row>
    <row r="601" spans="1:15" ht="15">
      <c r="A601" s="91" t="s">
        <v>10</v>
      </c>
      <c r="B601" s="91" t="s">
        <v>10</v>
      </c>
      <c r="C601" s="92" t="str">
        <f ca="1">IFERROR(__xludf.DUMMYFUNCTION("filter('Back End'!C:C,'Back End'!A:A=A601,'Back End'!B:B=B601,'Back End'!D:D=D601)"),"Veldurthi")</f>
        <v>Veldurthi</v>
      </c>
      <c r="D601" s="91" t="s">
        <v>536</v>
      </c>
      <c r="E601" s="91" t="s">
        <v>4035</v>
      </c>
      <c r="F601" s="67" t="s">
        <v>3138</v>
      </c>
      <c r="G601" s="67"/>
      <c r="H601" s="93" t="s">
        <v>5</v>
      </c>
      <c r="I601" s="67"/>
      <c r="J601" s="92">
        <v>9652846542</v>
      </c>
      <c r="K601" s="67"/>
      <c r="L601" s="67"/>
      <c r="M601" s="67"/>
      <c r="N601" s="67"/>
      <c r="O601" s="67"/>
    </row>
    <row r="602" spans="1:15" ht="45">
      <c r="A602" s="91" t="s">
        <v>10</v>
      </c>
      <c r="B602" s="92" t="s">
        <v>10</v>
      </c>
      <c r="C602" s="92" t="str">
        <f ca="1">IFERROR(__xludf.DUMMYFUNCTION("filter('Back End'!C:C,'Back End'!A:A=A602,'Back End'!B:B=B602,'Back End'!D:D=D602)"),"Veldurthi")</f>
        <v>Veldurthi</v>
      </c>
      <c r="D602" s="91" t="s">
        <v>536</v>
      </c>
      <c r="E602" s="92" t="s">
        <v>4036</v>
      </c>
      <c r="F602" s="67" t="s">
        <v>3138</v>
      </c>
      <c r="G602" s="67"/>
      <c r="H602" s="93" t="s">
        <v>5</v>
      </c>
      <c r="I602" s="92" t="s">
        <v>3185</v>
      </c>
      <c r="J602" s="67"/>
      <c r="K602" s="92" t="s">
        <v>1608</v>
      </c>
      <c r="L602" s="67"/>
      <c r="M602" s="67"/>
      <c r="N602" s="67"/>
      <c r="O602" s="67"/>
    </row>
    <row r="603" spans="1:15" ht="45">
      <c r="A603" s="91" t="s">
        <v>10</v>
      </c>
      <c r="B603" s="92" t="s">
        <v>261</v>
      </c>
      <c r="C603" s="92" t="str">
        <f ca="1">IFERROR(__xludf.DUMMYFUNCTION("filter('Back End'!C:C,'Back End'!A:A=A603,'Back End'!B:B=B603,'Back End'!D:D=D603)"),"#N/A")</f>
        <v>#N/A</v>
      </c>
      <c r="D603" s="91" t="s">
        <v>292</v>
      </c>
      <c r="E603" s="92" t="s">
        <v>4037</v>
      </c>
      <c r="F603" s="91" t="s">
        <v>139</v>
      </c>
      <c r="G603" s="91" t="s">
        <v>594</v>
      </c>
      <c r="H603" s="93" t="s">
        <v>5</v>
      </c>
      <c r="I603" s="92" t="s">
        <v>3115</v>
      </c>
      <c r="J603" s="92">
        <v>9618036666</v>
      </c>
      <c r="K603" s="67"/>
      <c r="L603" s="67"/>
      <c r="M603" s="67"/>
      <c r="N603" s="67"/>
      <c r="O603" s="67"/>
    </row>
    <row r="604" spans="1:15" ht="30">
      <c r="A604" s="91" t="s">
        <v>10</v>
      </c>
      <c r="B604" s="92" t="s">
        <v>261</v>
      </c>
      <c r="C604" s="92" t="str">
        <f ca="1">IFERROR(__xludf.DUMMYFUNCTION("filter('Back End'!C:C,'Back End'!A:A=A604,'Back End'!B:B=B604,'Back End'!D:D=D604)"),"#N/A")</f>
        <v>#N/A</v>
      </c>
      <c r="D604" s="91" t="s">
        <v>292</v>
      </c>
      <c r="E604" s="92" t="s">
        <v>4038</v>
      </c>
      <c r="F604" s="67" t="s">
        <v>3138</v>
      </c>
      <c r="G604" s="91" t="s">
        <v>615</v>
      </c>
      <c r="H604" s="93" t="s">
        <v>4</v>
      </c>
      <c r="I604" s="92" t="s">
        <v>4039</v>
      </c>
      <c r="J604" s="67"/>
      <c r="K604" s="67"/>
      <c r="L604" s="67"/>
      <c r="M604" s="67"/>
      <c r="N604" s="67"/>
      <c r="O604" s="67"/>
    </row>
    <row r="605" spans="1:15" ht="30">
      <c r="A605" s="91" t="s">
        <v>10</v>
      </c>
      <c r="B605" s="92" t="s">
        <v>261</v>
      </c>
      <c r="C605" s="92" t="str">
        <f ca="1">IFERROR(__xludf.DUMMYFUNCTION("filter('Back End'!C:C,'Back End'!A:A=A605,'Back End'!B:B=B605,'Back End'!D:D=D605)"),"#N/A")</f>
        <v>#N/A</v>
      </c>
      <c r="D605" s="91" t="s">
        <v>292</v>
      </c>
      <c r="E605" s="92" t="s">
        <v>4040</v>
      </c>
      <c r="F605" s="67" t="s">
        <v>3138</v>
      </c>
      <c r="G605" s="67"/>
      <c r="H605" s="93" t="s">
        <v>4</v>
      </c>
      <c r="I605" s="92" t="s">
        <v>3181</v>
      </c>
      <c r="J605" s="67"/>
      <c r="K605" s="67"/>
      <c r="L605" s="67"/>
      <c r="M605" s="67"/>
      <c r="N605" s="67"/>
      <c r="O605" s="67"/>
    </row>
    <row r="606" spans="1:15" ht="30">
      <c r="A606" s="91" t="s">
        <v>10</v>
      </c>
      <c r="B606" s="92" t="s">
        <v>261</v>
      </c>
      <c r="C606" s="92" t="str">
        <f ca="1">IFERROR(__xludf.DUMMYFUNCTION("filter('Back End'!C:C,'Back End'!A:A=A606,'Back End'!B:B=B606,'Back End'!D:D=D606)"),"#N/A")</f>
        <v>#N/A</v>
      </c>
      <c r="D606" s="91" t="s">
        <v>292</v>
      </c>
      <c r="E606" s="92" t="s">
        <v>4041</v>
      </c>
      <c r="F606" s="67" t="s">
        <v>3138</v>
      </c>
      <c r="G606" s="67"/>
      <c r="H606" s="93" t="s">
        <v>4</v>
      </c>
      <c r="I606" s="92" t="s">
        <v>4042</v>
      </c>
      <c r="J606" s="67"/>
      <c r="K606" s="67"/>
      <c r="L606" s="67"/>
      <c r="M606" s="67"/>
      <c r="N606" s="67"/>
      <c r="O606" s="67"/>
    </row>
    <row r="607" spans="1:15" ht="45">
      <c r="A607" s="91" t="s">
        <v>10</v>
      </c>
      <c r="B607" s="92" t="s">
        <v>261</v>
      </c>
      <c r="C607" s="92" t="str">
        <f ca="1">IFERROR(__xludf.DUMMYFUNCTION("filter('Back End'!C:C,'Back End'!A:A=A607,'Back End'!B:B=B607,'Back End'!D:D=D607)"),"#N/A")</f>
        <v>#N/A</v>
      </c>
      <c r="D607" s="91" t="s">
        <v>292</v>
      </c>
      <c r="E607" s="92" t="s">
        <v>4043</v>
      </c>
      <c r="F607" s="67" t="s">
        <v>3138</v>
      </c>
      <c r="G607" s="67"/>
      <c r="H607" s="95"/>
      <c r="I607" s="92" t="s">
        <v>4044</v>
      </c>
      <c r="J607" s="92">
        <v>9515487752</v>
      </c>
      <c r="K607" s="67"/>
      <c r="L607" s="67"/>
      <c r="M607" s="67"/>
      <c r="N607" s="67"/>
      <c r="O607" s="67"/>
    </row>
    <row r="608" spans="1:15" ht="30">
      <c r="A608" s="91" t="s">
        <v>10</v>
      </c>
      <c r="B608" s="92" t="s">
        <v>261</v>
      </c>
      <c r="C608" s="92" t="str">
        <f ca="1">IFERROR(__xludf.DUMMYFUNCTION("filter('Back End'!C:C,'Back End'!A:A=A608,'Back End'!B:B=B608,'Back End'!D:D=D608)"),"#N/A")</f>
        <v>#N/A</v>
      </c>
      <c r="D608" s="91" t="s">
        <v>292</v>
      </c>
      <c r="E608" s="92" t="s">
        <v>4045</v>
      </c>
      <c r="F608" s="67" t="s">
        <v>3138</v>
      </c>
      <c r="G608" s="67"/>
      <c r="H608" s="95"/>
      <c r="I608" s="92" t="s">
        <v>4044</v>
      </c>
      <c r="J608" s="92">
        <v>9515126580</v>
      </c>
      <c r="K608" s="67"/>
      <c r="L608" s="67"/>
      <c r="M608" s="67"/>
      <c r="N608" s="67"/>
      <c r="O608" s="67"/>
    </row>
    <row r="609" spans="1:15" ht="60">
      <c r="A609" s="91" t="s">
        <v>7</v>
      </c>
      <c r="B609" s="92" t="s">
        <v>7</v>
      </c>
      <c r="C609" s="92" t="str">
        <f ca="1">IFERROR(__xludf.DUMMYFUNCTION("filter('Back End'!C:C,'Back End'!A:A=A609,'Back End'!B:B=B609,'Back End'!D:D=D609)"),"Atikivanipalem")</f>
        <v>Atikivanipalem</v>
      </c>
      <c r="D609" s="91" t="s">
        <v>749</v>
      </c>
      <c r="E609" s="92" t="s">
        <v>4046</v>
      </c>
      <c r="F609" s="91" t="s">
        <v>1669</v>
      </c>
      <c r="G609" s="91" t="s">
        <v>615</v>
      </c>
      <c r="H609" s="93" t="s">
        <v>5</v>
      </c>
      <c r="I609" s="92" t="s">
        <v>3115</v>
      </c>
      <c r="J609" s="92">
        <v>9542923727</v>
      </c>
      <c r="K609" s="92" t="s">
        <v>1593</v>
      </c>
      <c r="L609" s="67"/>
      <c r="M609" s="67"/>
      <c r="N609" s="67"/>
      <c r="O609" s="67"/>
    </row>
    <row r="610" spans="1:15" ht="30">
      <c r="A610" s="91" t="s">
        <v>7</v>
      </c>
      <c r="B610" s="92" t="s">
        <v>7</v>
      </c>
      <c r="C610" s="92" t="str">
        <f ca="1">IFERROR(__xludf.DUMMYFUNCTION("filter('Back End'!C:C,'Back End'!A:A=A610,'Back End'!B:B=B610,'Back End'!D:D=D610)"),"Atikivanipalem")</f>
        <v>Atikivanipalem</v>
      </c>
      <c r="D610" s="91" t="s">
        <v>749</v>
      </c>
      <c r="E610" s="92" t="s">
        <v>4047</v>
      </c>
      <c r="F610" s="91" t="s">
        <v>94</v>
      </c>
      <c r="G610" s="91" t="s">
        <v>615</v>
      </c>
      <c r="H610" s="93" t="s">
        <v>5</v>
      </c>
      <c r="I610" s="92" t="s">
        <v>3508</v>
      </c>
      <c r="J610" s="92">
        <v>9989207332</v>
      </c>
      <c r="K610" s="92" t="s">
        <v>1593</v>
      </c>
      <c r="L610" s="67"/>
      <c r="M610" s="67"/>
      <c r="N610" s="67"/>
      <c r="O610" s="67"/>
    </row>
    <row r="611" spans="1:15" ht="30">
      <c r="A611" s="91" t="s">
        <v>7</v>
      </c>
      <c r="B611" s="92" t="s">
        <v>7</v>
      </c>
      <c r="C611" s="92" t="str">
        <f ca="1">IFERROR(__xludf.DUMMYFUNCTION("filter('Back End'!C:C,'Back End'!A:A=A611,'Back End'!B:B=B611,'Back End'!D:D=D611)"),"Atikivanipalem")</f>
        <v>Atikivanipalem</v>
      </c>
      <c r="D611" s="91" t="s">
        <v>749</v>
      </c>
      <c r="E611" s="92" t="s">
        <v>4048</v>
      </c>
      <c r="F611" s="91" t="s">
        <v>139</v>
      </c>
      <c r="G611" s="91" t="s">
        <v>594</v>
      </c>
      <c r="H611" s="93" t="s">
        <v>5</v>
      </c>
      <c r="I611" s="92" t="s">
        <v>3185</v>
      </c>
      <c r="J611" s="92">
        <v>9573408292</v>
      </c>
      <c r="K611" s="92" t="s">
        <v>1593</v>
      </c>
      <c r="L611" s="67"/>
      <c r="M611" s="67"/>
      <c r="N611" s="67"/>
      <c r="O611" s="67"/>
    </row>
    <row r="612" spans="1:15" ht="75">
      <c r="A612" s="91" t="s">
        <v>7</v>
      </c>
      <c r="B612" s="92" t="s">
        <v>7</v>
      </c>
      <c r="C612" s="92" t="str">
        <f ca="1">IFERROR(__xludf.DUMMYFUNCTION("filter('Back End'!C:C,'Back End'!A:A=A612,'Back End'!B:B=B612,'Back End'!D:D=D612)"),"Atikivanipalem")</f>
        <v>Atikivanipalem</v>
      </c>
      <c r="D612" s="91" t="s">
        <v>749</v>
      </c>
      <c r="E612" s="92" t="s">
        <v>4049</v>
      </c>
      <c r="F612" s="91" t="s">
        <v>94</v>
      </c>
      <c r="G612" s="91" t="s">
        <v>615</v>
      </c>
      <c r="H612" s="93" t="s">
        <v>4</v>
      </c>
      <c r="I612" s="92" t="s">
        <v>4050</v>
      </c>
      <c r="J612" s="92">
        <v>9441754191</v>
      </c>
      <c r="K612" s="92" t="s">
        <v>1613</v>
      </c>
      <c r="L612" s="67"/>
      <c r="M612" s="67"/>
      <c r="N612" s="67"/>
      <c r="O612" s="67"/>
    </row>
    <row r="613" spans="1:15" ht="30">
      <c r="A613" s="91" t="s">
        <v>7</v>
      </c>
      <c r="B613" s="92" t="s">
        <v>7</v>
      </c>
      <c r="C613" s="92" t="str">
        <f ca="1">IFERROR(__xludf.DUMMYFUNCTION("filter('Back End'!C:C,'Back End'!A:A=A613,'Back End'!B:B=B613,'Back End'!D:D=D613)"),"Atikivanipalem")</f>
        <v>Atikivanipalem</v>
      </c>
      <c r="D613" s="91" t="s">
        <v>749</v>
      </c>
      <c r="E613" s="92" t="s">
        <v>4051</v>
      </c>
      <c r="F613" s="91" t="s">
        <v>467</v>
      </c>
      <c r="G613" s="91" t="s">
        <v>85</v>
      </c>
      <c r="H613" s="93" t="s">
        <v>4</v>
      </c>
      <c r="I613" s="92" t="s">
        <v>3212</v>
      </c>
      <c r="J613" s="92">
        <v>9703973467</v>
      </c>
      <c r="K613" s="92" t="s">
        <v>1608</v>
      </c>
      <c r="L613" s="67"/>
      <c r="M613" s="67"/>
      <c r="N613" s="67"/>
      <c r="O613" s="67"/>
    </row>
    <row r="614" spans="1:15" ht="30">
      <c r="A614" s="91" t="s">
        <v>7</v>
      </c>
      <c r="B614" s="92" t="s">
        <v>7</v>
      </c>
      <c r="C614" s="92" t="str">
        <f ca="1">IFERROR(__xludf.DUMMYFUNCTION("filter('Back End'!C:C,'Back End'!A:A=A614,'Back End'!B:B=B614,'Back End'!D:D=D614)"),"Atikivanipalem")</f>
        <v>Atikivanipalem</v>
      </c>
      <c r="D614" s="91" t="s">
        <v>749</v>
      </c>
      <c r="E614" s="92" t="s">
        <v>3687</v>
      </c>
      <c r="F614" s="91" t="s">
        <v>114</v>
      </c>
      <c r="G614" s="91" t="s">
        <v>85</v>
      </c>
      <c r="H614" s="93" t="s">
        <v>4</v>
      </c>
      <c r="I614" s="92" t="s">
        <v>4052</v>
      </c>
      <c r="J614" s="92">
        <v>6281531442</v>
      </c>
      <c r="K614" s="92" t="s">
        <v>1603</v>
      </c>
      <c r="L614" s="67"/>
      <c r="M614" s="67"/>
      <c r="N614" s="67"/>
      <c r="O614" s="67"/>
    </row>
    <row r="615" spans="1:15" ht="30">
      <c r="A615" s="91" t="s">
        <v>7</v>
      </c>
      <c r="B615" s="92" t="s">
        <v>7</v>
      </c>
      <c r="C615" s="92" t="str">
        <f ca="1">IFERROR(__xludf.DUMMYFUNCTION("filter('Back End'!C:C,'Back End'!A:A=A615,'Back End'!B:B=B615,'Back End'!D:D=D615)"),"Atikivanipalem")</f>
        <v>Atikivanipalem</v>
      </c>
      <c r="D615" s="91" t="s">
        <v>749</v>
      </c>
      <c r="E615" s="92" t="s">
        <v>4053</v>
      </c>
      <c r="F615" s="91" t="s">
        <v>1669</v>
      </c>
      <c r="G615" s="91" t="s">
        <v>615</v>
      </c>
      <c r="H615" s="93" t="s">
        <v>4</v>
      </c>
      <c r="I615" s="92" t="s">
        <v>3140</v>
      </c>
      <c r="J615" s="92">
        <v>9494820344</v>
      </c>
      <c r="K615" s="92" t="s">
        <v>1608</v>
      </c>
      <c r="L615" s="67"/>
      <c r="M615" s="67"/>
      <c r="N615" s="67"/>
      <c r="O615" s="67"/>
    </row>
    <row r="616" spans="1:15" ht="30">
      <c r="A616" s="91" t="s">
        <v>7</v>
      </c>
      <c r="B616" s="92" t="s">
        <v>7</v>
      </c>
      <c r="C616" s="92" t="str">
        <f ca="1">IFERROR(__xludf.DUMMYFUNCTION("filter('Back End'!C:C,'Back End'!A:A=A616,'Back End'!B:B=B616,'Back End'!D:D=D616)"),"Atikivanipalem")</f>
        <v>Atikivanipalem</v>
      </c>
      <c r="D616" s="91" t="s">
        <v>749</v>
      </c>
      <c r="E616" s="91" t="s">
        <v>4054</v>
      </c>
      <c r="F616" s="91" t="s">
        <v>1669</v>
      </c>
      <c r="G616" s="91" t="s">
        <v>615</v>
      </c>
      <c r="H616" s="93" t="s">
        <v>4</v>
      </c>
      <c r="I616" s="92" t="s">
        <v>3991</v>
      </c>
      <c r="J616" s="92">
        <v>7013363783</v>
      </c>
      <c r="K616" s="92" t="s">
        <v>1593</v>
      </c>
      <c r="L616" s="67"/>
      <c r="M616" s="67"/>
      <c r="N616" s="67"/>
      <c r="O616" s="67"/>
    </row>
    <row r="617" spans="1:15" ht="30">
      <c r="A617" s="91" t="s">
        <v>7</v>
      </c>
      <c r="B617" s="92" t="s">
        <v>7</v>
      </c>
      <c r="C617" s="92" t="str">
        <f ca="1">IFERROR(__xludf.DUMMYFUNCTION("filter('Back End'!C:C,'Back End'!A:A=A617,'Back End'!B:B=B617,'Back End'!D:D=D617)"),"Atikivanipalem")</f>
        <v>Atikivanipalem</v>
      </c>
      <c r="D617" s="91" t="s">
        <v>749</v>
      </c>
      <c r="E617" s="91" t="s">
        <v>4055</v>
      </c>
      <c r="F617" s="91" t="s">
        <v>94</v>
      </c>
      <c r="G617" s="91" t="s">
        <v>615</v>
      </c>
      <c r="H617" s="93" t="s">
        <v>5</v>
      </c>
      <c r="I617" s="92" t="s">
        <v>4056</v>
      </c>
      <c r="J617" s="92">
        <v>9393407784</v>
      </c>
      <c r="K617" s="92" t="s">
        <v>1608</v>
      </c>
      <c r="L617" s="67"/>
      <c r="M617" s="67"/>
      <c r="N617" s="67"/>
      <c r="O617" s="67"/>
    </row>
    <row r="618" spans="1:15" ht="30">
      <c r="A618" s="91" t="s">
        <v>19</v>
      </c>
      <c r="B618" s="92" t="s">
        <v>220</v>
      </c>
      <c r="C618" s="92" t="str">
        <f ca="1">IFERROR(__xludf.DUMMYFUNCTION("filter('Back End'!C:C,'Back End'!A:A=A618,'Back End'!B:B=B618,'Back End'!D:D=D618)"),"Goneda")</f>
        <v>Goneda</v>
      </c>
      <c r="D618" s="91" t="s">
        <v>228</v>
      </c>
      <c r="E618" s="92" t="s">
        <v>4057</v>
      </c>
      <c r="F618" s="91" t="s">
        <v>139</v>
      </c>
      <c r="G618" s="91" t="s">
        <v>594</v>
      </c>
      <c r="H618" s="93" t="s">
        <v>5</v>
      </c>
      <c r="I618" s="92" t="s">
        <v>3115</v>
      </c>
      <c r="J618" s="92">
        <v>9951676022</v>
      </c>
      <c r="K618" s="67"/>
      <c r="L618" s="67"/>
      <c r="M618" s="67"/>
      <c r="N618" s="67"/>
      <c r="O618" s="67"/>
    </row>
    <row r="619" spans="1:15" ht="30">
      <c r="A619" s="91" t="s">
        <v>19</v>
      </c>
      <c r="B619" s="92" t="s">
        <v>220</v>
      </c>
      <c r="C619" s="92" t="str">
        <f ca="1">IFERROR(__xludf.DUMMYFUNCTION("filter('Back End'!C:C,'Back End'!A:A=A619,'Back End'!B:B=B619,'Back End'!D:D=D619)"),"Goneda")</f>
        <v>Goneda</v>
      </c>
      <c r="D619" s="91" t="s">
        <v>228</v>
      </c>
      <c r="E619" s="92" t="s">
        <v>4058</v>
      </c>
      <c r="F619" s="91" t="s">
        <v>139</v>
      </c>
      <c r="G619" s="91" t="s">
        <v>594</v>
      </c>
      <c r="H619" s="93" t="s">
        <v>4</v>
      </c>
      <c r="I619" s="92" t="s">
        <v>3863</v>
      </c>
      <c r="J619" s="92">
        <v>6303623325</v>
      </c>
      <c r="K619" s="67"/>
      <c r="L619" s="67"/>
      <c r="M619" s="67"/>
      <c r="N619" s="67"/>
      <c r="O619" s="67"/>
    </row>
    <row r="620" spans="1:15" ht="30">
      <c r="A620" s="91" t="s">
        <v>19</v>
      </c>
      <c r="B620" s="92" t="s">
        <v>220</v>
      </c>
      <c r="C620" s="92" t="str">
        <f ca="1">IFERROR(__xludf.DUMMYFUNCTION("filter('Back End'!C:C,'Back End'!A:A=A620,'Back End'!B:B=B620,'Back End'!D:D=D620)"),"Goneda")</f>
        <v>Goneda</v>
      </c>
      <c r="D620" s="91" t="s">
        <v>228</v>
      </c>
      <c r="E620" s="92" t="s">
        <v>4059</v>
      </c>
      <c r="F620" s="91" t="s">
        <v>139</v>
      </c>
      <c r="G620" s="91" t="s">
        <v>594</v>
      </c>
      <c r="H620" s="93" t="s">
        <v>4</v>
      </c>
      <c r="I620" s="92" t="s">
        <v>3185</v>
      </c>
      <c r="J620" s="92">
        <v>9666965797</v>
      </c>
      <c r="K620" s="67"/>
      <c r="L620" s="67"/>
      <c r="M620" s="67"/>
      <c r="N620" s="67"/>
      <c r="O620" s="67"/>
    </row>
    <row r="621" spans="1:15" ht="30">
      <c r="A621" s="91" t="s">
        <v>10</v>
      </c>
      <c r="B621" s="91" t="s">
        <v>10</v>
      </c>
      <c r="C621" s="92" t="str">
        <f ca="1">IFERROR(__xludf.DUMMYFUNCTION("filter('Back End'!C:C,'Back End'!A:A=A621,'Back End'!B:B=B621,'Back End'!D:D=D621)"),"Kumarapuram")</f>
        <v>Kumarapuram</v>
      </c>
      <c r="D621" s="91" t="s">
        <v>511</v>
      </c>
      <c r="E621" s="91" t="s">
        <v>4060</v>
      </c>
      <c r="F621" s="91" t="s">
        <v>114</v>
      </c>
      <c r="G621" s="91" t="s">
        <v>85</v>
      </c>
      <c r="H621" s="93" t="s">
        <v>5</v>
      </c>
      <c r="I621" s="92" t="s">
        <v>3863</v>
      </c>
      <c r="J621" s="92">
        <v>7075756090</v>
      </c>
      <c r="K621" s="67"/>
      <c r="L621" s="67"/>
      <c r="M621" s="67"/>
      <c r="N621" s="67"/>
      <c r="O621" s="67"/>
    </row>
    <row r="622" spans="1:15" ht="60">
      <c r="A622" s="91" t="s">
        <v>10</v>
      </c>
      <c r="B622" s="91" t="s">
        <v>10</v>
      </c>
      <c r="C622" s="92" t="str">
        <f ca="1">IFERROR(__xludf.DUMMYFUNCTION("filter('Back End'!C:C,'Back End'!A:A=A622,'Back End'!B:B=B622,'Back End'!D:D=D622)"),"Kumarapuram")</f>
        <v>Kumarapuram</v>
      </c>
      <c r="D622" s="91" t="s">
        <v>511</v>
      </c>
      <c r="E622" s="91" t="s">
        <v>4061</v>
      </c>
      <c r="F622" s="91" t="s">
        <v>1669</v>
      </c>
      <c r="G622" s="91" t="s">
        <v>615</v>
      </c>
      <c r="H622" s="93" t="s">
        <v>5</v>
      </c>
      <c r="I622" s="92" t="s">
        <v>4062</v>
      </c>
      <c r="J622" s="67"/>
      <c r="K622" s="67"/>
      <c r="L622" s="67"/>
      <c r="M622" s="67"/>
      <c r="N622" s="67"/>
      <c r="O622" s="67"/>
    </row>
    <row r="623" spans="1:15" ht="30">
      <c r="A623" s="91" t="s">
        <v>10</v>
      </c>
      <c r="B623" s="91" t="s">
        <v>10</v>
      </c>
      <c r="C623" s="92" t="str">
        <f ca="1">IFERROR(__xludf.DUMMYFUNCTION("filter('Back End'!C:C,'Back End'!A:A=A623,'Back End'!B:B=B623,'Back End'!D:D=D623)"),"Kumarapuram")</f>
        <v>Kumarapuram</v>
      </c>
      <c r="D623" s="91" t="s">
        <v>511</v>
      </c>
      <c r="E623" s="91" t="s">
        <v>4063</v>
      </c>
      <c r="F623" s="91" t="s">
        <v>139</v>
      </c>
      <c r="G623" s="91" t="s">
        <v>594</v>
      </c>
      <c r="H623" s="93" t="s">
        <v>5</v>
      </c>
      <c r="I623" s="92" t="s">
        <v>3463</v>
      </c>
      <c r="J623" s="92">
        <v>9948271513</v>
      </c>
      <c r="K623" s="67"/>
      <c r="L623" s="67"/>
      <c r="M623" s="67"/>
      <c r="N623" s="67"/>
      <c r="O623" s="67"/>
    </row>
    <row r="624" spans="1:15" ht="15">
      <c r="A624" s="91" t="s">
        <v>10</v>
      </c>
      <c r="B624" s="91" t="s">
        <v>10</v>
      </c>
      <c r="C624" s="92" t="str">
        <f ca="1">IFERROR(__xludf.DUMMYFUNCTION("filter('Back End'!C:C,'Back End'!A:A=A624,'Back End'!B:B=B624,'Back End'!D:D=D624)"),"Kumarapuram")</f>
        <v>Kumarapuram</v>
      </c>
      <c r="D624" s="91" t="s">
        <v>511</v>
      </c>
      <c r="E624" s="91" t="s">
        <v>4064</v>
      </c>
      <c r="F624" s="91" t="s">
        <v>139</v>
      </c>
      <c r="G624" s="91" t="s">
        <v>594</v>
      </c>
      <c r="H624" s="93" t="s">
        <v>4</v>
      </c>
      <c r="I624" s="92" t="s">
        <v>3125</v>
      </c>
      <c r="J624" s="92">
        <v>9491190417</v>
      </c>
      <c r="K624" s="67"/>
      <c r="L624" s="67"/>
      <c r="M624" s="67"/>
      <c r="N624" s="67"/>
      <c r="O624" s="67"/>
    </row>
    <row r="625" spans="1:15" ht="30">
      <c r="A625" s="91" t="s">
        <v>10</v>
      </c>
      <c r="B625" s="91" t="s">
        <v>10</v>
      </c>
      <c r="C625" s="92" t="str">
        <f ca="1">IFERROR(__xludf.DUMMYFUNCTION("filter('Back End'!C:C,'Back End'!A:A=A625,'Back End'!B:B=B625,'Back End'!D:D=D625)"),"Kumarapuram")</f>
        <v>Kumarapuram</v>
      </c>
      <c r="D625" s="91" t="s">
        <v>511</v>
      </c>
      <c r="E625" s="91" t="s">
        <v>4065</v>
      </c>
      <c r="F625" s="91" t="s">
        <v>1660</v>
      </c>
      <c r="G625" s="91" t="s">
        <v>615</v>
      </c>
      <c r="H625" s="93" t="s">
        <v>4</v>
      </c>
      <c r="I625" s="92" t="s">
        <v>3463</v>
      </c>
      <c r="J625" s="92">
        <v>9177167223</v>
      </c>
      <c r="K625" s="67"/>
      <c r="L625" s="67"/>
      <c r="M625" s="67"/>
      <c r="N625" s="67"/>
      <c r="O625" s="67"/>
    </row>
    <row r="626" spans="1:15" ht="30">
      <c r="A626" s="91" t="s">
        <v>10</v>
      </c>
      <c r="B626" s="91" t="s">
        <v>10</v>
      </c>
      <c r="C626" s="92" t="str">
        <f ca="1">IFERROR(__xludf.DUMMYFUNCTION("filter('Back End'!C:C,'Back End'!A:A=A626,'Back End'!B:B=B626,'Back End'!D:D=D626)"),"Kumarapuram")</f>
        <v>Kumarapuram</v>
      </c>
      <c r="D626" s="91" t="s">
        <v>511</v>
      </c>
      <c r="E626" s="92" t="s">
        <v>4066</v>
      </c>
      <c r="F626" s="91" t="s">
        <v>139</v>
      </c>
      <c r="G626" s="91" t="s">
        <v>594</v>
      </c>
      <c r="H626" s="93" t="s">
        <v>4</v>
      </c>
      <c r="I626" s="92" t="s">
        <v>3463</v>
      </c>
      <c r="J626" s="92">
        <v>9848331993</v>
      </c>
      <c r="K626" s="67"/>
      <c r="L626" s="67"/>
      <c r="M626" s="67"/>
      <c r="N626" s="67"/>
      <c r="O626" s="67"/>
    </row>
    <row r="627" spans="1:15" ht="30">
      <c r="A627" s="91" t="s">
        <v>10</v>
      </c>
      <c r="B627" s="92" t="s">
        <v>10</v>
      </c>
      <c r="C627" s="92" t="str">
        <f ca="1">IFERROR(__xludf.DUMMYFUNCTION("filter('Back End'!C:C,'Back End'!A:A=A627,'Back End'!B:B=B627,'Back End'!D:D=D627)"),"Kumarapuram")</f>
        <v>Kumarapuram</v>
      </c>
      <c r="D627" s="91" t="s">
        <v>511</v>
      </c>
      <c r="E627" s="92" t="s">
        <v>4067</v>
      </c>
      <c r="F627" s="91" t="s">
        <v>139</v>
      </c>
      <c r="G627" s="91" t="s">
        <v>594</v>
      </c>
      <c r="H627" s="93" t="s">
        <v>5</v>
      </c>
      <c r="I627" s="92" t="s">
        <v>3125</v>
      </c>
      <c r="J627" s="92">
        <v>9948291513</v>
      </c>
      <c r="K627" s="67"/>
      <c r="L627" s="67"/>
      <c r="M627" s="67"/>
      <c r="N627" s="67"/>
      <c r="O627" s="67"/>
    </row>
    <row r="628" spans="1:15" ht="15">
      <c r="A628" s="91" t="s">
        <v>10</v>
      </c>
      <c r="B628" s="92" t="s">
        <v>10</v>
      </c>
      <c r="C628" s="92" t="str">
        <f ca="1">IFERROR(__xludf.DUMMYFUNCTION("filter('Back End'!C:C,'Back End'!A:A=A628,'Back End'!B:B=B628,'Back End'!D:D=D628)"),"Navakandravada")</f>
        <v>Navakandravada</v>
      </c>
      <c r="D628" s="91" t="s">
        <v>526</v>
      </c>
      <c r="E628" s="92" t="s">
        <v>4068</v>
      </c>
      <c r="F628" s="91" t="s">
        <v>114</v>
      </c>
      <c r="G628" s="91" t="s">
        <v>85</v>
      </c>
      <c r="H628" s="93" t="s">
        <v>5</v>
      </c>
      <c r="I628" s="92" t="s">
        <v>4069</v>
      </c>
      <c r="J628" s="92">
        <v>9849122371</v>
      </c>
      <c r="K628" s="67"/>
      <c r="L628" s="67"/>
      <c r="M628" s="67"/>
      <c r="N628" s="67"/>
      <c r="O628" s="67"/>
    </row>
    <row r="629" spans="1:15" ht="30">
      <c r="A629" s="91" t="s">
        <v>10</v>
      </c>
      <c r="B629" s="92" t="s">
        <v>10</v>
      </c>
      <c r="C629" s="92" t="str">
        <f ca="1">IFERROR(__xludf.DUMMYFUNCTION("filter('Back End'!C:C,'Back End'!A:A=A629,'Back End'!B:B=B629,'Back End'!D:D=D629)"),"Navakandravada")</f>
        <v>Navakandravada</v>
      </c>
      <c r="D629" s="91" t="s">
        <v>526</v>
      </c>
      <c r="E629" s="92" t="s">
        <v>4070</v>
      </c>
      <c r="F629" s="91" t="s">
        <v>1669</v>
      </c>
      <c r="G629" s="91" t="s">
        <v>615</v>
      </c>
      <c r="H629" s="93" t="s">
        <v>5</v>
      </c>
      <c r="I629" s="92" t="s">
        <v>4071</v>
      </c>
      <c r="J629" s="92">
        <v>9848521650</v>
      </c>
      <c r="K629" s="67"/>
      <c r="L629" s="67"/>
      <c r="M629" s="67"/>
      <c r="N629" s="67"/>
      <c r="O629" s="67"/>
    </row>
    <row r="630" spans="1:15" ht="30">
      <c r="A630" s="91" t="s">
        <v>10</v>
      </c>
      <c r="B630" s="92" t="s">
        <v>10</v>
      </c>
      <c r="C630" s="92" t="str">
        <f ca="1">IFERROR(__xludf.DUMMYFUNCTION("filter('Back End'!C:C,'Back End'!A:A=A630,'Back End'!B:B=B630,'Back End'!D:D=D630)"),"Navakandravada")</f>
        <v>Navakandravada</v>
      </c>
      <c r="D630" s="91" t="s">
        <v>526</v>
      </c>
      <c r="E630" s="92" t="s">
        <v>4072</v>
      </c>
      <c r="F630" s="91" t="s">
        <v>139</v>
      </c>
      <c r="G630" s="91" t="s">
        <v>594</v>
      </c>
      <c r="H630" s="93" t="s">
        <v>5</v>
      </c>
      <c r="I630" s="92" t="s">
        <v>3863</v>
      </c>
      <c r="J630" s="92">
        <v>9849509432</v>
      </c>
      <c r="K630" s="67"/>
      <c r="L630" s="67"/>
      <c r="M630" s="67"/>
      <c r="N630" s="67"/>
      <c r="O630" s="67"/>
    </row>
    <row r="631" spans="1:15" ht="30">
      <c r="A631" s="91" t="s">
        <v>10</v>
      </c>
      <c r="B631" s="92" t="s">
        <v>10</v>
      </c>
      <c r="C631" s="92" t="str">
        <f ca="1">IFERROR(__xludf.DUMMYFUNCTION("filter('Back End'!C:C,'Back End'!A:A=A631,'Back End'!B:B=B631,'Back End'!D:D=D631)"),"Navakandravada")</f>
        <v>Navakandravada</v>
      </c>
      <c r="D631" s="91" t="s">
        <v>526</v>
      </c>
      <c r="E631" s="92" t="s">
        <v>3220</v>
      </c>
      <c r="F631" s="91" t="s">
        <v>139</v>
      </c>
      <c r="G631" s="91" t="s">
        <v>594</v>
      </c>
      <c r="H631" s="93" t="s">
        <v>5</v>
      </c>
      <c r="I631" s="92" t="s">
        <v>3329</v>
      </c>
      <c r="J631" s="92">
        <v>9866313909</v>
      </c>
      <c r="K631" s="67"/>
      <c r="L631" s="67"/>
      <c r="M631" s="67"/>
      <c r="N631" s="67"/>
      <c r="O631" s="67"/>
    </row>
    <row r="632" spans="1:15" ht="30">
      <c r="A632" s="91" t="s">
        <v>10</v>
      </c>
      <c r="B632" s="92" t="s">
        <v>10</v>
      </c>
      <c r="C632" s="92" t="str">
        <f ca="1">IFERROR(__xludf.DUMMYFUNCTION("filter('Back End'!C:C,'Back End'!A:A=A632,'Back End'!B:B=B632,'Back End'!D:D=D632)"),"Navakandravada")</f>
        <v>Navakandravada</v>
      </c>
      <c r="D632" s="91" t="s">
        <v>526</v>
      </c>
      <c r="E632" s="92" t="s">
        <v>3221</v>
      </c>
      <c r="F632" s="91" t="s">
        <v>114</v>
      </c>
      <c r="G632" s="91" t="s">
        <v>85</v>
      </c>
      <c r="H632" s="93" t="s">
        <v>5</v>
      </c>
      <c r="I632" s="92" t="s">
        <v>4073</v>
      </c>
      <c r="J632" s="92">
        <v>9849478433</v>
      </c>
      <c r="K632" s="67"/>
      <c r="L632" s="67"/>
      <c r="M632" s="67"/>
      <c r="N632" s="67"/>
      <c r="O632" s="67"/>
    </row>
    <row r="633" spans="1:15" ht="30">
      <c r="A633" s="91" t="s">
        <v>10</v>
      </c>
      <c r="B633" s="92" t="s">
        <v>10</v>
      </c>
      <c r="C633" s="92" t="str">
        <f ca="1">IFERROR(__xludf.DUMMYFUNCTION("filter('Back End'!C:C,'Back End'!A:A=A633,'Back End'!B:B=B633,'Back End'!D:D=D633)"),"Navakandravada")</f>
        <v>Navakandravada</v>
      </c>
      <c r="D633" s="91" t="s">
        <v>526</v>
      </c>
      <c r="E633" s="92" t="s">
        <v>4074</v>
      </c>
      <c r="F633" s="91" t="s">
        <v>114</v>
      </c>
      <c r="G633" s="91" t="s">
        <v>85</v>
      </c>
      <c r="H633" s="93" t="s">
        <v>4</v>
      </c>
      <c r="I633" s="92" t="s">
        <v>4075</v>
      </c>
      <c r="J633" s="92">
        <v>9490001177</v>
      </c>
      <c r="K633" s="67"/>
      <c r="L633" s="67"/>
      <c r="M633" s="67"/>
      <c r="N633" s="67"/>
      <c r="O633" s="67"/>
    </row>
    <row r="634" spans="1:15" ht="30">
      <c r="A634" s="91" t="s">
        <v>10</v>
      </c>
      <c r="B634" s="92" t="s">
        <v>10</v>
      </c>
      <c r="C634" s="92" t="str">
        <f ca="1">IFERROR(__xludf.DUMMYFUNCTION("filter('Back End'!C:C,'Back End'!A:A=A634,'Back End'!B:B=B634,'Back End'!D:D=D634)"),"Navakandravada")</f>
        <v>Navakandravada</v>
      </c>
      <c r="D634" s="91" t="s">
        <v>526</v>
      </c>
      <c r="E634" s="92" t="s">
        <v>4076</v>
      </c>
      <c r="F634" s="91" t="s">
        <v>586</v>
      </c>
      <c r="G634" s="91" t="s">
        <v>615</v>
      </c>
      <c r="H634" s="93" t="s">
        <v>4</v>
      </c>
      <c r="I634" s="92" t="s">
        <v>4077</v>
      </c>
      <c r="J634" s="92">
        <v>9177710055</v>
      </c>
      <c r="K634" s="67"/>
      <c r="L634" s="67"/>
      <c r="M634" s="67"/>
      <c r="N634" s="67"/>
      <c r="O634" s="67"/>
    </row>
    <row r="635" spans="1:15" ht="30">
      <c r="A635" s="91" t="s">
        <v>10</v>
      </c>
      <c r="B635" s="92" t="s">
        <v>10</v>
      </c>
      <c r="C635" s="92" t="str">
        <f ca="1">IFERROR(__xludf.DUMMYFUNCTION("filter('Back End'!C:C,'Back End'!A:A=A635,'Back End'!B:B=B635,'Back End'!D:D=D635)"),"Navakandravada")</f>
        <v>Navakandravada</v>
      </c>
      <c r="D635" s="91" t="s">
        <v>526</v>
      </c>
      <c r="E635" s="92" t="s">
        <v>4078</v>
      </c>
      <c r="F635" s="91" t="s">
        <v>586</v>
      </c>
      <c r="G635" s="91" t="s">
        <v>615</v>
      </c>
      <c r="H635" s="93" t="s">
        <v>4</v>
      </c>
      <c r="I635" s="92" t="s">
        <v>3112</v>
      </c>
      <c r="J635" s="92">
        <v>7842504251</v>
      </c>
      <c r="K635" s="67"/>
      <c r="L635" s="67"/>
      <c r="M635" s="67"/>
      <c r="N635" s="67"/>
      <c r="O635" s="67"/>
    </row>
    <row r="636" spans="1:15" ht="30">
      <c r="A636" s="91" t="s">
        <v>10</v>
      </c>
      <c r="B636" s="92" t="s">
        <v>10</v>
      </c>
      <c r="C636" s="92" t="str">
        <f ca="1">IFERROR(__xludf.DUMMYFUNCTION("filter('Back End'!C:C,'Back End'!A:A=A636,'Back End'!B:B=B636,'Back End'!D:D=D636)"),"Navakandravada")</f>
        <v>Navakandravada</v>
      </c>
      <c r="D636" s="91" t="s">
        <v>526</v>
      </c>
      <c r="E636" s="92" t="s">
        <v>4079</v>
      </c>
      <c r="F636" s="91" t="s">
        <v>114</v>
      </c>
      <c r="G636" s="91" t="s">
        <v>85</v>
      </c>
      <c r="H636" s="93" t="s">
        <v>4</v>
      </c>
      <c r="I636" s="92" t="s">
        <v>4080</v>
      </c>
      <c r="J636" s="92">
        <v>9912708871</v>
      </c>
      <c r="K636" s="67"/>
      <c r="L636" s="67"/>
      <c r="M636" s="67"/>
      <c r="N636" s="67"/>
      <c r="O636" s="67"/>
    </row>
    <row r="637" spans="1:15" ht="30">
      <c r="A637" s="91" t="s">
        <v>8</v>
      </c>
      <c r="B637" s="92" t="s">
        <v>8</v>
      </c>
      <c r="C637" s="92" t="str">
        <f ca="1">IFERROR(__xludf.DUMMYFUNCTION("filter('Back End'!C:C,'Back End'!A:A=A637,'Back End'!B:B=B637,'Back End'!D:D=D637)"),"Prathipadu")</f>
        <v>Prathipadu</v>
      </c>
      <c r="D637" s="91" t="s">
        <v>8</v>
      </c>
      <c r="E637" s="92" t="s">
        <v>4081</v>
      </c>
      <c r="F637" s="91" t="s">
        <v>114</v>
      </c>
      <c r="G637" s="91" t="s">
        <v>85</v>
      </c>
      <c r="H637" s="95"/>
      <c r="I637" s="92" t="s">
        <v>4082</v>
      </c>
      <c r="J637" s="92">
        <v>9848752539</v>
      </c>
      <c r="K637" s="92" t="s">
        <v>1613</v>
      </c>
      <c r="L637" s="92" t="s">
        <v>4083</v>
      </c>
      <c r="M637" s="67"/>
      <c r="N637" s="67"/>
      <c r="O637" s="67"/>
    </row>
    <row r="638" spans="1:15" ht="45">
      <c r="A638" s="91" t="s">
        <v>8</v>
      </c>
      <c r="B638" s="92" t="s">
        <v>8</v>
      </c>
      <c r="C638" s="92" t="str">
        <f ca="1">IFERROR(__xludf.DUMMYFUNCTION("filter('Back End'!C:C,'Back End'!A:A=A638,'Back End'!B:B=B638,'Back End'!D:D=D638)"),"Prathipadu")</f>
        <v>Prathipadu</v>
      </c>
      <c r="D638" s="91" t="s">
        <v>8</v>
      </c>
      <c r="E638" s="92" t="s">
        <v>4084</v>
      </c>
      <c r="F638" s="91" t="s">
        <v>94</v>
      </c>
      <c r="G638" s="91" t="s">
        <v>615</v>
      </c>
      <c r="H638" s="95"/>
      <c r="I638" s="92" t="s">
        <v>4085</v>
      </c>
      <c r="J638" s="92">
        <v>9949874357</v>
      </c>
      <c r="K638" s="92" t="s">
        <v>1608</v>
      </c>
      <c r="L638" s="92" t="s">
        <v>4086</v>
      </c>
      <c r="M638" s="67"/>
      <c r="N638" s="67"/>
      <c r="O638" s="67"/>
    </row>
    <row r="639" spans="1:15" ht="30">
      <c r="A639" s="91" t="s">
        <v>8</v>
      </c>
      <c r="B639" s="92" t="s">
        <v>8</v>
      </c>
      <c r="C639" s="92" t="str">
        <f ca="1">IFERROR(__xludf.DUMMYFUNCTION("filter('Back End'!C:C,'Back End'!A:A=A639,'Back End'!B:B=B639,'Back End'!D:D=D639)"),"Prathipadu")</f>
        <v>Prathipadu</v>
      </c>
      <c r="D639" s="91" t="s">
        <v>8</v>
      </c>
      <c r="E639" s="92" t="s">
        <v>4087</v>
      </c>
      <c r="F639" s="91" t="s">
        <v>94</v>
      </c>
      <c r="G639" s="91" t="s">
        <v>615</v>
      </c>
      <c r="H639" s="95"/>
      <c r="I639" s="92" t="s">
        <v>4088</v>
      </c>
      <c r="J639" s="92" t="s">
        <v>2631</v>
      </c>
      <c r="K639" s="67"/>
      <c r="L639" s="67"/>
      <c r="M639" s="67"/>
      <c r="N639" s="67"/>
      <c r="O639" s="67"/>
    </row>
    <row r="640" spans="1:15" ht="30">
      <c r="A640" s="91" t="s">
        <v>8</v>
      </c>
      <c r="B640" s="92" t="s">
        <v>8</v>
      </c>
      <c r="C640" s="92" t="str">
        <f ca="1">IFERROR(__xludf.DUMMYFUNCTION("filter('Back End'!C:C,'Back End'!A:A=A640,'Back End'!B:B=B640,'Back End'!D:D=D640)"),"Prathipadu")</f>
        <v>Prathipadu</v>
      </c>
      <c r="D640" s="91" t="s">
        <v>8</v>
      </c>
      <c r="E640" s="92" t="s">
        <v>4089</v>
      </c>
      <c r="F640" s="91" t="s">
        <v>139</v>
      </c>
      <c r="G640" s="91" t="s">
        <v>594</v>
      </c>
      <c r="H640" s="93" t="s">
        <v>5</v>
      </c>
      <c r="I640" s="92" t="s">
        <v>4090</v>
      </c>
      <c r="J640" s="92">
        <v>6300277959</v>
      </c>
      <c r="K640" s="67"/>
      <c r="L640" s="67"/>
      <c r="M640" s="67"/>
      <c r="N640" s="67"/>
      <c r="O640" s="67"/>
    </row>
    <row r="641" spans="1:15" ht="30">
      <c r="A641" s="91" t="s">
        <v>8</v>
      </c>
      <c r="B641" s="92" t="s">
        <v>8</v>
      </c>
      <c r="C641" s="92" t="str">
        <f ca="1">IFERROR(__xludf.DUMMYFUNCTION("filter('Back End'!C:C,'Back End'!A:A=A641,'Back End'!B:B=B641,'Back End'!D:D=D641)"),"Prathipadu")</f>
        <v>Prathipadu</v>
      </c>
      <c r="D641" s="91" t="s">
        <v>8</v>
      </c>
      <c r="E641" s="92" t="s">
        <v>4091</v>
      </c>
      <c r="F641" s="91" t="s">
        <v>114</v>
      </c>
      <c r="G641" s="91" t="s">
        <v>85</v>
      </c>
      <c r="H641" s="93" t="s">
        <v>5</v>
      </c>
      <c r="I641" s="92" t="s">
        <v>3185</v>
      </c>
      <c r="J641" s="92">
        <v>9246693055</v>
      </c>
      <c r="K641" s="67"/>
      <c r="L641" s="67"/>
      <c r="M641" s="67"/>
      <c r="N641" s="67"/>
      <c r="O641" s="67"/>
    </row>
    <row r="642" spans="1:15" ht="45">
      <c r="A642" s="91" t="s">
        <v>8</v>
      </c>
      <c r="B642" s="92" t="s">
        <v>8</v>
      </c>
      <c r="C642" s="92" t="str">
        <f ca="1">IFERROR(__xludf.DUMMYFUNCTION("filter('Back End'!C:C,'Back End'!A:A=A642,'Back End'!B:B=B642,'Back End'!D:D=D642)"),"Prathipadu")</f>
        <v>Prathipadu</v>
      </c>
      <c r="D642" s="91" t="s">
        <v>8</v>
      </c>
      <c r="E642" s="92" t="s">
        <v>4092</v>
      </c>
      <c r="F642" s="91" t="s">
        <v>114</v>
      </c>
      <c r="G642" s="91" t="s">
        <v>85</v>
      </c>
      <c r="H642" s="93" t="s">
        <v>5</v>
      </c>
      <c r="I642" s="92" t="s">
        <v>3115</v>
      </c>
      <c r="J642" s="92">
        <v>9849752539</v>
      </c>
      <c r="K642" s="92" t="s">
        <v>1613</v>
      </c>
      <c r="L642" s="67"/>
      <c r="M642" s="67"/>
      <c r="N642" s="67"/>
      <c r="O642" s="67"/>
    </row>
    <row r="643" spans="1:15" ht="45">
      <c r="A643" s="91" t="s">
        <v>10</v>
      </c>
      <c r="B643" s="92" t="s">
        <v>10</v>
      </c>
      <c r="C643" s="92" t="str">
        <f ca="1">IFERROR(__xludf.DUMMYFUNCTION("filter('Back End'!C:C,'Back End'!A:A=A643,'Back End'!B:B=B643,'Back End'!D:D=D643)"),"Madhavapuram")</f>
        <v>Madhavapuram</v>
      </c>
      <c r="D643" s="91" t="s">
        <v>515</v>
      </c>
      <c r="E643" s="92" t="s">
        <v>4093</v>
      </c>
      <c r="F643" s="67" t="s">
        <v>3138</v>
      </c>
      <c r="G643" s="67"/>
      <c r="H643" s="93" t="s">
        <v>5</v>
      </c>
      <c r="I643" s="92" t="s">
        <v>4094</v>
      </c>
      <c r="J643" s="67"/>
      <c r="K643" s="67"/>
      <c r="L643" s="67"/>
      <c r="M643" s="67"/>
      <c r="N643" s="67"/>
      <c r="O643" s="67"/>
    </row>
    <row r="644" spans="1:15" ht="30">
      <c r="A644" s="91" t="s">
        <v>10</v>
      </c>
      <c r="B644" s="92" t="s">
        <v>10</v>
      </c>
      <c r="C644" s="92" t="str">
        <f ca="1">IFERROR(__xludf.DUMMYFUNCTION("filter('Back End'!C:C,'Back End'!A:A=A644,'Back End'!B:B=B644,'Back End'!D:D=D644)"),"Madhavapuram")</f>
        <v>Madhavapuram</v>
      </c>
      <c r="D644" s="91" t="s">
        <v>515</v>
      </c>
      <c r="E644" s="92" t="s">
        <v>4095</v>
      </c>
      <c r="F644" s="67" t="s">
        <v>3138</v>
      </c>
      <c r="G644" s="67"/>
      <c r="H644" s="93" t="s">
        <v>5</v>
      </c>
      <c r="I644" s="92" t="s">
        <v>4096</v>
      </c>
      <c r="J644" s="67"/>
      <c r="K644" s="67"/>
      <c r="L644" s="67"/>
      <c r="M644" s="67"/>
      <c r="N644" s="67"/>
      <c r="O644" s="67"/>
    </row>
    <row r="645" spans="1:15" ht="30">
      <c r="A645" s="91" t="s">
        <v>10</v>
      </c>
      <c r="B645" s="92" t="s">
        <v>10</v>
      </c>
      <c r="C645" s="92" t="str">
        <f ca="1">IFERROR(__xludf.DUMMYFUNCTION("filter('Back End'!C:C,'Back End'!A:A=A645,'Back End'!B:B=B645,'Back End'!D:D=D645)"),"Madhavapuram")</f>
        <v>Madhavapuram</v>
      </c>
      <c r="D645" s="91" t="s">
        <v>515</v>
      </c>
      <c r="E645" s="92" t="s">
        <v>4097</v>
      </c>
      <c r="F645" s="67" t="s">
        <v>3138</v>
      </c>
      <c r="G645" s="67"/>
      <c r="H645" s="93" t="s">
        <v>5</v>
      </c>
      <c r="I645" s="92" t="s">
        <v>4098</v>
      </c>
      <c r="J645" s="67"/>
      <c r="K645" s="67"/>
      <c r="L645" s="67"/>
      <c r="M645" s="67"/>
      <c r="N645" s="67"/>
      <c r="O645" s="67"/>
    </row>
    <row r="646" spans="1:15" ht="30">
      <c r="A646" s="91" t="s">
        <v>10</v>
      </c>
      <c r="B646" s="92" t="s">
        <v>10</v>
      </c>
      <c r="C646" s="92" t="str">
        <f ca="1">IFERROR(__xludf.DUMMYFUNCTION("filter('Back End'!C:C,'Back End'!A:A=A646,'Back End'!B:B=B646,'Back End'!D:D=D646)"),"Madhavapuram")</f>
        <v>Madhavapuram</v>
      </c>
      <c r="D646" s="91" t="s">
        <v>515</v>
      </c>
      <c r="E646" s="92" t="s">
        <v>4099</v>
      </c>
      <c r="F646" s="67" t="s">
        <v>3138</v>
      </c>
      <c r="G646" s="67"/>
      <c r="H646" s="93" t="s">
        <v>5</v>
      </c>
      <c r="I646" s="92" t="s">
        <v>4100</v>
      </c>
      <c r="J646" s="67"/>
      <c r="K646" s="67"/>
      <c r="L646" s="67"/>
      <c r="M646" s="67"/>
      <c r="N646" s="67"/>
      <c r="O646" s="67"/>
    </row>
    <row r="647" spans="1:15" ht="30">
      <c r="A647" s="91" t="s">
        <v>10</v>
      </c>
      <c r="B647" s="92" t="s">
        <v>10</v>
      </c>
      <c r="C647" s="92" t="str">
        <f ca="1">IFERROR(__xludf.DUMMYFUNCTION("filter('Back End'!C:C,'Back End'!A:A=A647,'Back End'!B:B=B647,'Back End'!D:D=D647)"),"Madhavapuram")</f>
        <v>Madhavapuram</v>
      </c>
      <c r="D647" s="91" t="s">
        <v>515</v>
      </c>
      <c r="E647" s="92" t="s">
        <v>4101</v>
      </c>
      <c r="F647" s="67" t="s">
        <v>3138</v>
      </c>
      <c r="G647" s="67"/>
      <c r="H647" s="93" t="s">
        <v>5</v>
      </c>
      <c r="I647" s="92" t="s">
        <v>4102</v>
      </c>
      <c r="J647" s="67"/>
      <c r="K647" s="67"/>
      <c r="L647" s="67"/>
      <c r="M647" s="67"/>
      <c r="N647" s="67"/>
      <c r="O647" s="67"/>
    </row>
    <row r="648" spans="1:15" ht="30">
      <c r="A648" s="91" t="s">
        <v>10</v>
      </c>
      <c r="B648" s="92" t="s">
        <v>10</v>
      </c>
      <c r="C648" s="92" t="str">
        <f ca="1">IFERROR(__xludf.DUMMYFUNCTION("filter('Back End'!C:C,'Back End'!A:A=A648,'Back End'!B:B=B648,'Back End'!D:D=D648)"),"Madhavapuram")</f>
        <v>Madhavapuram</v>
      </c>
      <c r="D648" s="91" t="s">
        <v>515</v>
      </c>
      <c r="E648" s="92" t="s">
        <v>4103</v>
      </c>
      <c r="F648" s="67" t="s">
        <v>3138</v>
      </c>
      <c r="G648" s="67"/>
      <c r="H648" s="93" t="s">
        <v>5</v>
      </c>
      <c r="I648" s="92" t="s">
        <v>4104</v>
      </c>
      <c r="J648" s="67"/>
      <c r="K648" s="67"/>
      <c r="L648" s="67"/>
      <c r="M648" s="67"/>
      <c r="N648" s="67"/>
      <c r="O648" s="67"/>
    </row>
    <row r="649" spans="1:15" ht="30">
      <c r="A649" s="91" t="s">
        <v>10</v>
      </c>
      <c r="B649" s="92" t="s">
        <v>10</v>
      </c>
      <c r="C649" s="92" t="str">
        <f ca="1">IFERROR(__xludf.DUMMYFUNCTION("filter('Back End'!C:C,'Back End'!A:A=A649,'Back End'!B:B=B649,'Back End'!D:D=D649)"),"Madhavapuram")</f>
        <v>Madhavapuram</v>
      </c>
      <c r="D649" s="91" t="s">
        <v>515</v>
      </c>
      <c r="E649" s="92" t="s">
        <v>4105</v>
      </c>
      <c r="F649" s="91" t="s">
        <v>114</v>
      </c>
      <c r="G649" s="91" t="s">
        <v>85</v>
      </c>
      <c r="H649" s="93" t="s">
        <v>4</v>
      </c>
      <c r="I649" s="92" t="s">
        <v>2631</v>
      </c>
      <c r="J649" s="67"/>
      <c r="K649" s="67"/>
      <c r="L649" s="67"/>
      <c r="M649" s="67"/>
      <c r="N649" s="67"/>
      <c r="O649" s="67"/>
    </row>
    <row r="650" spans="1:15" ht="30">
      <c r="A650" s="91" t="s">
        <v>10</v>
      </c>
      <c r="B650" s="92" t="s">
        <v>10</v>
      </c>
      <c r="C650" s="92" t="str">
        <f ca="1">IFERROR(__xludf.DUMMYFUNCTION("filter('Back End'!C:C,'Back End'!A:A=A650,'Back End'!B:B=B650,'Back End'!D:D=D650)"),"Madhavapuram")</f>
        <v>Madhavapuram</v>
      </c>
      <c r="D650" s="91" t="s">
        <v>515</v>
      </c>
      <c r="E650" s="92" t="s">
        <v>4106</v>
      </c>
      <c r="F650" s="91" t="s">
        <v>139</v>
      </c>
      <c r="G650" s="91" t="s">
        <v>594</v>
      </c>
      <c r="H650" s="93" t="s">
        <v>4</v>
      </c>
      <c r="I650" s="92" t="s">
        <v>4107</v>
      </c>
      <c r="J650" s="67"/>
      <c r="K650" s="67"/>
      <c r="L650" s="67"/>
      <c r="M650" s="67"/>
      <c r="N650" s="67"/>
      <c r="O650" s="67"/>
    </row>
    <row r="651" spans="1:15" ht="30">
      <c r="A651" s="91" t="s">
        <v>10</v>
      </c>
      <c r="B651" s="92" t="s">
        <v>10</v>
      </c>
      <c r="C651" s="92" t="str">
        <f ca="1">IFERROR(__xludf.DUMMYFUNCTION("filter('Back End'!C:C,'Back End'!A:A=A651,'Back End'!B:B=B651,'Back End'!D:D=D651)"),"Madhavapuram")</f>
        <v>Madhavapuram</v>
      </c>
      <c r="D651" s="91" t="s">
        <v>515</v>
      </c>
      <c r="E651" s="92" t="s">
        <v>4108</v>
      </c>
      <c r="F651" s="91" t="s">
        <v>139</v>
      </c>
      <c r="G651" s="91" t="s">
        <v>594</v>
      </c>
      <c r="H651" s="93" t="s">
        <v>6</v>
      </c>
      <c r="I651" s="92" t="s">
        <v>4109</v>
      </c>
      <c r="J651" s="67"/>
      <c r="K651" s="67"/>
      <c r="L651" s="67"/>
      <c r="M651" s="67"/>
      <c r="N651" s="67"/>
      <c r="O651" s="67"/>
    </row>
    <row r="652" spans="1:15" ht="30">
      <c r="A652" s="91" t="s">
        <v>10</v>
      </c>
      <c r="B652" s="92" t="s">
        <v>10</v>
      </c>
      <c r="C652" s="92" t="str">
        <f ca="1">IFERROR(__xludf.DUMMYFUNCTION("filter('Back End'!C:C,'Back End'!A:A=A652,'Back End'!B:B=B652,'Back End'!D:D=D652)"),"Madhavapuram")</f>
        <v>Madhavapuram</v>
      </c>
      <c r="D652" s="91" t="s">
        <v>515</v>
      </c>
      <c r="E652" s="92" t="s">
        <v>4110</v>
      </c>
      <c r="F652" s="91" t="s">
        <v>139</v>
      </c>
      <c r="G652" s="91" t="s">
        <v>594</v>
      </c>
      <c r="H652" s="93" t="s">
        <v>6</v>
      </c>
      <c r="I652" s="92" t="s">
        <v>4109</v>
      </c>
      <c r="J652" s="67"/>
      <c r="K652" s="67"/>
      <c r="L652" s="67"/>
      <c r="M652" s="67"/>
      <c r="N652" s="67"/>
      <c r="O652" s="67"/>
    </row>
    <row r="653" spans="1:15" ht="30">
      <c r="A653" s="91" t="s">
        <v>10</v>
      </c>
      <c r="B653" s="92" t="s">
        <v>10</v>
      </c>
      <c r="C653" s="92" t="str">
        <f ca="1">IFERROR(__xludf.DUMMYFUNCTION("filter('Back End'!C:C,'Back End'!A:A=A653,'Back End'!B:B=B653,'Back End'!D:D=D653)"),"Virawada")</f>
        <v>Virawada</v>
      </c>
      <c r="D653" s="91" t="s">
        <v>540</v>
      </c>
      <c r="E653" s="92" t="s">
        <v>4111</v>
      </c>
      <c r="F653" s="91" t="s">
        <v>114</v>
      </c>
      <c r="G653" s="91" t="s">
        <v>85</v>
      </c>
      <c r="H653" s="93" t="s">
        <v>5</v>
      </c>
      <c r="I653" s="92" t="s">
        <v>3115</v>
      </c>
      <c r="J653" s="92">
        <v>9948821464</v>
      </c>
      <c r="K653" s="92" t="s">
        <v>1613</v>
      </c>
      <c r="L653" s="67"/>
      <c r="M653" s="67"/>
      <c r="N653" s="67"/>
      <c r="O653" s="67"/>
    </row>
    <row r="654" spans="1:15" ht="30">
      <c r="A654" s="91" t="s">
        <v>10</v>
      </c>
      <c r="B654" s="92" t="s">
        <v>10</v>
      </c>
      <c r="C654" s="92" t="str">
        <f ca="1">IFERROR(__xludf.DUMMYFUNCTION("filter('Back End'!C:C,'Back End'!A:A=A654,'Back End'!B:B=B654,'Back End'!D:D=D654)"),"Virawada")</f>
        <v>Virawada</v>
      </c>
      <c r="D654" s="91" t="s">
        <v>540</v>
      </c>
      <c r="E654" s="92" t="s">
        <v>4112</v>
      </c>
      <c r="F654" s="91" t="s">
        <v>139</v>
      </c>
      <c r="G654" s="91" t="s">
        <v>594</v>
      </c>
      <c r="H654" s="93" t="s">
        <v>5</v>
      </c>
      <c r="I654" s="92" t="s">
        <v>3743</v>
      </c>
      <c r="J654" s="92">
        <v>9014403337</v>
      </c>
      <c r="K654" s="92" t="s">
        <v>1613</v>
      </c>
      <c r="L654" s="67"/>
      <c r="M654" s="67"/>
      <c r="N654" s="67"/>
      <c r="O654" s="67"/>
    </row>
    <row r="655" spans="1:15" ht="30">
      <c r="A655" s="91" t="s">
        <v>10</v>
      </c>
      <c r="B655" s="92" t="s">
        <v>10</v>
      </c>
      <c r="C655" s="92" t="str">
        <f ca="1">IFERROR(__xludf.DUMMYFUNCTION("filter('Back End'!C:C,'Back End'!A:A=A655,'Back End'!B:B=B655,'Back End'!D:D=D655)"),"Virawada")</f>
        <v>Virawada</v>
      </c>
      <c r="D655" s="91" t="s">
        <v>540</v>
      </c>
      <c r="E655" s="92" t="s">
        <v>4113</v>
      </c>
      <c r="F655" s="91" t="s">
        <v>139</v>
      </c>
      <c r="G655" s="91" t="s">
        <v>594</v>
      </c>
      <c r="H655" s="93" t="s">
        <v>5</v>
      </c>
      <c r="I655" s="92" t="s">
        <v>4114</v>
      </c>
      <c r="J655" s="92">
        <v>8466907444</v>
      </c>
      <c r="K655" s="92" t="s">
        <v>1598</v>
      </c>
      <c r="L655" s="67"/>
      <c r="M655" s="67"/>
      <c r="N655" s="67"/>
      <c r="O655" s="67"/>
    </row>
    <row r="656" spans="1:15" ht="30">
      <c r="A656" s="91" t="s">
        <v>10</v>
      </c>
      <c r="B656" s="92" t="s">
        <v>10</v>
      </c>
      <c r="C656" s="92" t="str">
        <f ca="1">IFERROR(__xludf.DUMMYFUNCTION("filter('Back End'!C:C,'Back End'!A:A=A656,'Back End'!B:B=B656,'Back End'!D:D=D656)"),"Virawada")</f>
        <v>Virawada</v>
      </c>
      <c r="D656" s="91" t="s">
        <v>540</v>
      </c>
      <c r="E656" s="92" t="s">
        <v>4115</v>
      </c>
      <c r="F656" s="91" t="s">
        <v>139</v>
      </c>
      <c r="G656" s="91" t="s">
        <v>594</v>
      </c>
      <c r="H656" s="93" t="s">
        <v>5</v>
      </c>
      <c r="I656" s="92" t="s">
        <v>4088</v>
      </c>
      <c r="J656" s="92">
        <v>9014403337</v>
      </c>
      <c r="K656" s="92" t="s">
        <v>1603</v>
      </c>
      <c r="L656" s="67"/>
      <c r="M656" s="67"/>
      <c r="N656" s="67"/>
      <c r="O656" s="67"/>
    </row>
    <row r="657" spans="1:15" ht="30">
      <c r="A657" s="91" t="s">
        <v>10</v>
      </c>
      <c r="B657" s="92" t="s">
        <v>10</v>
      </c>
      <c r="C657" s="92" t="str">
        <f ca="1">IFERROR(__xludf.DUMMYFUNCTION("filter('Back End'!C:C,'Back End'!A:A=A657,'Back End'!B:B=B657,'Back End'!D:D=D657)"),"Virawada")</f>
        <v>Virawada</v>
      </c>
      <c r="D657" s="91" t="s">
        <v>540</v>
      </c>
      <c r="E657" s="92" t="s">
        <v>3690</v>
      </c>
      <c r="F657" s="91" t="s">
        <v>139</v>
      </c>
      <c r="G657" s="91" t="s">
        <v>594</v>
      </c>
      <c r="H657" s="93" t="s">
        <v>4</v>
      </c>
      <c r="I657" s="92" t="s">
        <v>3393</v>
      </c>
      <c r="J657" s="92">
        <v>9848307032</v>
      </c>
      <c r="K657" s="92" t="s">
        <v>1613</v>
      </c>
      <c r="L657" s="92" t="s">
        <v>4116</v>
      </c>
      <c r="M657" s="67"/>
      <c r="N657" s="67"/>
      <c r="O657" s="67"/>
    </row>
    <row r="658" spans="1:15" ht="30">
      <c r="A658" s="91" t="s">
        <v>19</v>
      </c>
      <c r="B658" s="92" t="s">
        <v>430</v>
      </c>
      <c r="C658" s="92" t="str">
        <f ca="1">IFERROR(__xludf.DUMMYFUNCTION("filter('Back End'!C:C,'Back End'!A:A=A658,'Back End'!B:B=B658,'Back End'!D:D=D658)"),"#N/A")</f>
        <v>#N/A</v>
      </c>
      <c r="D658" s="91" t="s">
        <v>441</v>
      </c>
      <c r="E658" s="92" t="s">
        <v>4117</v>
      </c>
      <c r="F658" s="91" t="s">
        <v>139</v>
      </c>
      <c r="G658" s="91" t="s">
        <v>594</v>
      </c>
      <c r="H658" s="93" t="s">
        <v>6</v>
      </c>
      <c r="I658" s="92" t="s">
        <v>4102</v>
      </c>
      <c r="J658" s="92">
        <v>7207705559</v>
      </c>
      <c r="K658" s="67"/>
      <c r="L658" s="67"/>
      <c r="M658" s="67"/>
      <c r="N658" s="67"/>
      <c r="O658" s="67"/>
    </row>
    <row r="659" spans="1:15" ht="30">
      <c r="A659" s="91" t="s">
        <v>19</v>
      </c>
      <c r="B659" s="92" t="s">
        <v>430</v>
      </c>
      <c r="C659" s="92" t="str">
        <f ca="1">IFERROR(__xludf.DUMMYFUNCTION("filter('Back End'!C:C,'Back End'!A:A=A659,'Back End'!B:B=B659,'Back End'!D:D=D659)"),"#N/A")</f>
        <v>#N/A</v>
      </c>
      <c r="D659" s="91" t="s">
        <v>441</v>
      </c>
      <c r="E659" s="92" t="s">
        <v>4118</v>
      </c>
      <c r="F659" s="91" t="s">
        <v>1684</v>
      </c>
      <c r="G659" s="91" t="s">
        <v>594</v>
      </c>
      <c r="H659" s="93" t="s">
        <v>6</v>
      </c>
      <c r="I659" s="92" t="s">
        <v>3863</v>
      </c>
      <c r="J659" s="92">
        <v>9533737384</v>
      </c>
      <c r="K659" s="67"/>
      <c r="L659" s="67"/>
      <c r="M659" s="67"/>
      <c r="N659" s="67"/>
      <c r="O659" s="67"/>
    </row>
    <row r="660" spans="1:15" ht="30">
      <c r="A660" s="91" t="s">
        <v>19</v>
      </c>
      <c r="B660" s="92" t="s">
        <v>430</v>
      </c>
      <c r="C660" s="92" t="str">
        <f ca="1">IFERROR(__xludf.DUMMYFUNCTION("filter('Back End'!C:C,'Back End'!A:A=A660,'Back End'!B:B=B660,'Back End'!D:D=D660)"),"#N/A")</f>
        <v>#N/A</v>
      </c>
      <c r="D660" s="91" t="s">
        <v>441</v>
      </c>
      <c r="E660" s="92" t="s">
        <v>4119</v>
      </c>
      <c r="F660" s="91" t="s">
        <v>139</v>
      </c>
      <c r="G660" s="91" t="s">
        <v>594</v>
      </c>
      <c r="H660" s="93" t="s">
        <v>5</v>
      </c>
      <c r="I660" s="92" t="s">
        <v>4120</v>
      </c>
      <c r="J660" s="92">
        <v>9706347127</v>
      </c>
      <c r="K660" s="67"/>
      <c r="L660" s="67"/>
      <c r="M660" s="67"/>
      <c r="N660" s="67"/>
      <c r="O660" s="67"/>
    </row>
    <row r="661" spans="1:15" ht="45">
      <c r="A661" s="91" t="s">
        <v>19</v>
      </c>
      <c r="B661" s="92" t="s">
        <v>430</v>
      </c>
      <c r="C661" s="92" t="str">
        <f ca="1">IFERROR(__xludf.DUMMYFUNCTION("filter('Back End'!C:C,'Back End'!A:A=A661,'Back End'!B:B=B661,'Back End'!D:D=D661)"),"#N/A")</f>
        <v>#N/A</v>
      </c>
      <c r="D661" s="91" t="s">
        <v>441</v>
      </c>
      <c r="E661" s="92" t="s">
        <v>4121</v>
      </c>
      <c r="F661" s="91" t="s">
        <v>139</v>
      </c>
      <c r="G661" s="91" t="s">
        <v>594</v>
      </c>
      <c r="H661" s="93" t="s">
        <v>5</v>
      </c>
      <c r="I661" s="92" t="s">
        <v>4098</v>
      </c>
      <c r="J661" s="92">
        <v>9949048799</v>
      </c>
      <c r="K661" s="67"/>
      <c r="L661" s="67"/>
      <c r="M661" s="67"/>
      <c r="N661" s="67"/>
      <c r="O661" s="67"/>
    </row>
    <row r="662" spans="1:15" ht="45">
      <c r="A662" s="91" t="s">
        <v>19</v>
      </c>
      <c r="B662" s="92" t="s">
        <v>430</v>
      </c>
      <c r="C662" s="92" t="str">
        <f ca="1">IFERROR(__xludf.DUMMYFUNCTION("filter('Back End'!C:C,'Back End'!A:A=A662,'Back End'!B:B=B662,'Back End'!D:D=D662)"),"#N/A")</f>
        <v>#N/A</v>
      </c>
      <c r="D662" s="91" t="s">
        <v>441</v>
      </c>
      <c r="E662" s="92" t="s">
        <v>4122</v>
      </c>
      <c r="F662" s="91" t="s">
        <v>139</v>
      </c>
      <c r="G662" s="91" t="s">
        <v>594</v>
      </c>
      <c r="H662" s="93" t="s">
        <v>4</v>
      </c>
      <c r="I662" s="92" t="s">
        <v>4042</v>
      </c>
      <c r="J662" s="92">
        <v>9866039186</v>
      </c>
      <c r="K662" s="67"/>
      <c r="L662" s="67"/>
      <c r="M662" s="67"/>
      <c r="N662" s="67"/>
      <c r="O662" s="67"/>
    </row>
    <row r="663" spans="1:15" ht="15">
      <c r="A663" s="91" t="s">
        <v>19</v>
      </c>
      <c r="B663" s="92" t="s">
        <v>430</v>
      </c>
      <c r="C663" s="92" t="str">
        <f ca="1">IFERROR(__xludf.DUMMYFUNCTION("filter('Back End'!C:C,'Back End'!A:A=A663,'Back End'!B:B=B663,'Back End'!D:D=D663)"),"#N/A")</f>
        <v>#N/A</v>
      </c>
      <c r="D663" s="91" t="s">
        <v>441</v>
      </c>
      <c r="E663" s="92" t="s">
        <v>4019</v>
      </c>
      <c r="F663" s="91" t="s">
        <v>165</v>
      </c>
      <c r="G663" s="91" t="s">
        <v>615</v>
      </c>
      <c r="H663" s="93" t="s">
        <v>4</v>
      </c>
      <c r="I663" s="92" t="s">
        <v>4123</v>
      </c>
      <c r="J663" s="92">
        <v>7396222966</v>
      </c>
      <c r="K663" s="67"/>
      <c r="L663" s="67"/>
      <c r="M663" s="67"/>
      <c r="N663" s="67"/>
      <c r="O663" s="67"/>
    </row>
    <row r="664" spans="1:15" ht="15">
      <c r="A664" s="91" t="s">
        <v>7</v>
      </c>
      <c r="B664" s="92" t="s">
        <v>7</v>
      </c>
      <c r="C664" s="92" t="str">
        <f ca="1">IFERROR(__xludf.DUMMYFUNCTION("filter('Back End'!C:C,'Back End'!A:A=A664,'Back End'!B:B=B664,'Back End'!D:D=D664)"),"K.O.Mallavaram")</f>
        <v>K.O.Mallavaram</v>
      </c>
      <c r="D664" s="91" t="s">
        <v>763</v>
      </c>
      <c r="E664" s="91" t="s">
        <v>4124</v>
      </c>
      <c r="F664" s="91" t="s">
        <v>586</v>
      </c>
      <c r="G664" s="91" t="s">
        <v>615</v>
      </c>
      <c r="H664" s="93" t="s">
        <v>5</v>
      </c>
      <c r="I664" s="92" t="s">
        <v>3112</v>
      </c>
      <c r="J664" s="92">
        <v>9346308767</v>
      </c>
      <c r="K664" s="67"/>
      <c r="L664" s="67"/>
      <c r="M664" s="67"/>
      <c r="N664" s="67"/>
      <c r="O664" s="67"/>
    </row>
    <row r="665" spans="1:15" ht="30">
      <c r="A665" s="91" t="s">
        <v>7</v>
      </c>
      <c r="B665" s="92" t="s">
        <v>7</v>
      </c>
      <c r="C665" s="92" t="str">
        <f ca="1">IFERROR(__xludf.DUMMYFUNCTION("filter('Back End'!C:C,'Back End'!A:A=A665,'Back End'!B:B=B665,'Back End'!D:D=D665)"),"K.O.Mallavaram")</f>
        <v>K.O.Mallavaram</v>
      </c>
      <c r="D665" s="91" t="s">
        <v>763</v>
      </c>
      <c r="E665" s="91" t="s">
        <v>4125</v>
      </c>
      <c r="F665" s="91" t="s">
        <v>586</v>
      </c>
      <c r="G665" s="91" t="s">
        <v>615</v>
      </c>
      <c r="H665" s="93" t="s">
        <v>5</v>
      </c>
      <c r="I665" s="92" t="s">
        <v>3463</v>
      </c>
      <c r="J665" s="92">
        <v>9848590312</v>
      </c>
      <c r="K665" s="67"/>
      <c r="L665" s="67"/>
      <c r="M665" s="67"/>
      <c r="N665" s="67"/>
      <c r="O665" s="67"/>
    </row>
    <row r="666" spans="1:15" ht="30">
      <c r="A666" s="91" t="s">
        <v>7</v>
      </c>
      <c r="B666" s="92" t="s">
        <v>7</v>
      </c>
      <c r="C666" s="92" t="str">
        <f ca="1">IFERROR(__xludf.DUMMYFUNCTION("filter('Back End'!C:C,'Back End'!A:A=A666,'Back End'!B:B=B666,'Back End'!D:D=D666)"),"K.O.Mallavaram")</f>
        <v>K.O.Mallavaram</v>
      </c>
      <c r="D666" s="91" t="s">
        <v>763</v>
      </c>
      <c r="E666" s="91" t="s">
        <v>4126</v>
      </c>
      <c r="F666" s="91" t="s">
        <v>586</v>
      </c>
      <c r="G666" s="91" t="s">
        <v>615</v>
      </c>
      <c r="H666" s="93" t="s">
        <v>5</v>
      </c>
      <c r="I666" s="92" t="s">
        <v>3570</v>
      </c>
      <c r="J666" s="92">
        <v>9985868058</v>
      </c>
      <c r="K666" s="67"/>
      <c r="L666" s="67"/>
      <c r="M666" s="67"/>
      <c r="N666" s="67"/>
      <c r="O666" s="67"/>
    </row>
    <row r="667" spans="1:15" ht="15">
      <c r="A667" s="91" t="s">
        <v>7</v>
      </c>
      <c r="B667" s="92" t="s">
        <v>7</v>
      </c>
      <c r="C667" s="92" t="str">
        <f ca="1">IFERROR(__xludf.DUMMYFUNCTION("filter('Back End'!C:C,'Back End'!A:A=A667,'Back End'!B:B=B667,'Back End'!D:D=D667)"),"K.O.Mallavaram")</f>
        <v>K.O.Mallavaram</v>
      </c>
      <c r="D667" s="91" t="s">
        <v>763</v>
      </c>
      <c r="E667" s="91" t="s">
        <v>4127</v>
      </c>
      <c r="F667" s="91" t="s">
        <v>586</v>
      </c>
      <c r="G667" s="91" t="s">
        <v>615</v>
      </c>
      <c r="H667" s="93" t="s">
        <v>5</v>
      </c>
      <c r="I667" s="92" t="s">
        <v>4128</v>
      </c>
      <c r="J667" s="92">
        <v>9491426965</v>
      </c>
      <c r="K667" s="67"/>
      <c r="L667" s="67"/>
      <c r="M667" s="67"/>
      <c r="N667" s="67"/>
      <c r="O667" s="67"/>
    </row>
    <row r="668" spans="1:15" ht="30">
      <c r="A668" s="91" t="s">
        <v>7</v>
      </c>
      <c r="B668" s="92" t="s">
        <v>7</v>
      </c>
      <c r="C668" s="92" t="str">
        <f ca="1">IFERROR(__xludf.DUMMYFUNCTION("filter('Back End'!C:C,'Back End'!A:A=A668,'Back End'!B:B=B668,'Back End'!D:D=D668)"),"K.O.Mallavaram")</f>
        <v>K.O.Mallavaram</v>
      </c>
      <c r="D668" s="91" t="s">
        <v>763</v>
      </c>
      <c r="E668" s="91" t="s">
        <v>4129</v>
      </c>
      <c r="F668" s="91" t="s">
        <v>586</v>
      </c>
      <c r="G668" s="91" t="s">
        <v>615</v>
      </c>
      <c r="H668" s="93" t="s">
        <v>5</v>
      </c>
      <c r="I668" s="92" t="s">
        <v>3863</v>
      </c>
      <c r="J668" s="92">
        <v>9553672143</v>
      </c>
      <c r="K668" s="67"/>
      <c r="L668" s="67"/>
      <c r="M668" s="67"/>
      <c r="N668" s="67"/>
      <c r="O668" s="67"/>
    </row>
    <row r="669" spans="1:15" ht="30">
      <c r="A669" s="91" t="s">
        <v>7</v>
      </c>
      <c r="B669" s="92" t="s">
        <v>7</v>
      </c>
      <c r="C669" s="92" t="str">
        <f ca="1">IFERROR(__xludf.DUMMYFUNCTION("filter('Back End'!C:C,'Back End'!A:A=A669,'Back End'!B:B=B669,'Back End'!D:D=D669)"),"K.O.Mallavaram")</f>
        <v>K.O.Mallavaram</v>
      </c>
      <c r="D669" s="91" t="s">
        <v>763</v>
      </c>
      <c r="E669" s="91" t="s">
        <v>4130</v>
      </c>
      <c r="F669" s="91" t="s">
        <v>586</v>
      </c>
      <c r="G669" s="91" t="s">
        <v>615</v>
      </c>
      <c r="H669" s="93" t="s">
        <v>5</v>
      </c>
      <c r="I669" s="92" t="s">
        <v>3463</v>
      </c>
      <c r="J669" s="92">
        <v>8106603671</v>
      </c>
      <c r="K669" s="67"/>
      <c r="L669" s="67"/>
      <c r="M669" s="67"/>
      <c r="N669" s="67"/>
      <c r="O669" s="67"/>
    </row>
    <row r="670" spans="1:15" ht="45">
      <c r="A670" s="91" t="s">
        <v>7</v>
      </c>
      <c r="B670" s="92" t="s">
        <v>7</v>
      </c>
      <c r="C670" s="92" t="str">
        <f ca="1">IFERROR(__xludf.DUMMYFUNCTION("filter('Back End'!C:C,'Back End'!A:A=A670,'Back End'!B:B=B670,'Back End'!D:D=D670)"),"K.O.Mallavaram")</f>
        <v>K.O.Mallavaram</v>
      </c>
      <c r="D670" s="91" t="s">
        <v>763</v>
      </c>
      <c r="E670" s="92" t="s">
        <v>4131</v>
      </c>
      <c r="F670" s="91" t="s">
        <v>586</v>
      </c>
      <c r="G670" s="91" t="s">
        <v>615</v>
      </c>
      <c r="H670" s="93" t="s">
        <v>5</v>
      </c>
      <c r="I670" s="92" t="s">
        <v>3115</v>
      </c>
      <c r="J670" s="92">
        <v>9966713840</v>
      </c>
      <c r="K670" s="92" t="s">
        <v>1613</v>
      </c>
      <c r="L670" s="67"/>
      <c r="M670" s="67"/>
      <c r="N670" s="67"/>
      <c r="O670" s="67"/>
    </row>
    <row r="671" spans="1:15" ht="45">
      <c r="A671" s="91" t="s">
        <v>7</v>
      </c>
      <c r="B671" s="92" t="s">
        <v>7</v>
      </c>
      <c r="C671" s="92" t="str">
        <f ca="1">IFERROR(__xludf.DUMMYFUNCTION("filter('Back End'!C:C,'Back End'!A:A=A671,'Back End'!B:B=B671,'Back End'!D:D=D671)"),"K.O.Mallavaram")</f>
        <v>K.O.Mallavaram</v>
      </c>
      <c r="D671" s="91" t="s">
        <v>763</v>
      </c>
      <c r="E671" s="92" t="s">
        <v>4132</v>
      </c>
      <c r="F671" s="91" t="s">
        <v>586</v>
      </c>
      <c r="G671" s="91" t="s">
        <v>615</v>
      </c>
      <c r="H671" s="93" t="s">
        <v>5</v>
      </c>
      <c r="I671" s="92" t="s">
        <v>4133</v>
      </c>
      <c r="J671" s="92">
        <v>7993684707</v>
      </c>
      <c r="K671" s="92" t="s">
        <v>1603</v>
      </c>
      <c r="L671" s="67"/>
      <c r="M671" s="67"/>
      <c r="N671" s="67"/>
      <c r="O671" s="67"/>
    </row>
    <row r="672" spans="1:15" ht="30">
      <c r="A672" s="91" t="s">
        <v>7</v>
      </c>
      <c r="B672" s="92" t="s">
        <v>7</v>
      </c>
      <c r="C672" s="92" t="str">
        <f ca="1">IFERROR(__xludf.DUMMYFUNCTION("filter('Back End'!C:C,'Back End'!A:A=A672,'Back End'!B:B=B672,'Back End'!D:D=D672)"),"K.O.Mallavaram")</f>
        <v>K.O.Mallavaram</v>
      </c>
      <c r="D672" s="91" t="s">
        <v>763</v>
      </c>
      <c r="E672" s="92" t="s">
        <v>4134</v>
      </c>
      <c r="F672" s="91" t="s">
        <v>586</v>
      </c>
      <c r="G672" s="91" t="s">
        <v>615</v>
      </c>
      <c r="H672" s="93" t="s">
        <v>5</v>
      </c>
      <c r="I672" s="92" t="s">
        <v>3185</v>
      </c>
      <c r="J672" s="92">
        <v>8374744742</v>
      </c>
      <c r="K672" s="92" t="s">
        <v>1608</v>
      </c>
      <c r="L672" s="67"/>
      <c r="M672" s="67"/>
      <c r="N672" s="67"/>
      <c r="O672" s="67"/>
    </row>
    <row r="673" spans="1:15" ht="60">
      <c r="A673" s="91" t="s">
        <v>7</v>
      </c>
      <c r="B673" s="92" t="s">
        <v>7</v>
      </c>
      <c r="C673" s="92" t="str">
        <f ca="1">IFERROR(__xludf.DUMMYFUNCTION("filter('Back End'!C:C,'Back End'!A:A=A673,'Back End'!B:B=B673,'Back End'!D:D=D673)"),"K.O.Mallavaram")</f>
        <v>K.O.Mallavaram</v>
      </c>
      <c r="D673" s="91" t="s">
        <v>763</v>
      </c>
      <c r="E673" s="92" t="s">
        <v>4135</v>
      </c>
      <c r="F673" s="91" t="s">
        <v>586</v>
      </c>
      <c r="G673" s="91" t="s">
        <v>615</v>
      </c>
      <c r="H673" s="93" t="s">
        <v>4</v>
      </c>
      <c r="I673" s="92" t="s">
        <v>4136</v>
      </c>
      <c r="J673" s="92">
        <v>9848523392</v>
      </c>
      <c r="K673" s="92" t="s">
        <v>1608</v>
      </c>
      <c r="L673" s="92" t="s">
        <v>4137</v>
      </c>
      <c r="M673" s="67"/>
      <c r="N673" s="67"/>
      <c r="O673" s="67"/>
    </row>
    <row r="674" spans="1:15" ht="45">
      <c r="A674" s="91" t="s">
        <v>7</v>
      </c>
      <c r="B674" s="92" t="s">
        <v>7</v>
      </c>
      <c r="C674" s="92" t="str">
        <f ca="1">IFERROR(__xludf.DUMMYFUNCTION("filter('Back End'!C:C,'Back End'!A:A=A674,'Back End'!B:B=B674,'Back End'!D:D=D674)"),"K.O.Mallavaram")</f>
        <v>K.O.Mallavaram</v>
      </c>
      <c r="D674" s="91" t="s">
        <v>763</v>
      </c>
      <c r="E674" s="92" t="s">
        <v>4138</v>
      </c>
      <c r="F674" s="91" t="s">
        <v>586</v>
      </c>
      <c r="G674" s="91" t="s">
        <v>615</v>
      </c>
      <c r="H674" s="93" t="s">
        <v>4</v>
      </c>
      <c r="I674" s="92" t="s">
        <v>4139</v>
      </c>
      <c r="J674" s="92">
        <v>9951671172</v>
      </c>
      <c r="K674" s="92" t="s">
        <v>1593</v>
      </c>
      <c r="L674" s="67"/>
      <c r="M674" s="67"/>
      <c r="N674" s="67"/>
      <c r="O674" s="67"/>
    </row>
    <row r="675" spans="1:15" ht="90">
      <c r="A675" s="91" t="s">
        <v>7</v>
      </c>
      <c r="B675" s="92" t="s">
        <v>7</v>
      </c>
      <c r="C675" s="92" t="str">
        <f ca="1">IFERROR(__xludf.DUMMYFUNCTION("filter('Back End'!C:C,'Back End'!A:A=A675,'Back End'!B:B=B675,'Back End'!D:D=D675)"),"K.O.Mallavaram")</f>
        <v>K.O.Mallavaram</v>
      </c>
      <c r="D675" s="91" t="s">
        <v>763</v>
      </c>
      <c r="E675" s="92" t="s">
        <v>4140</v>
      </c>
      <c r="F675" s="91" t="s">
        <v>586</v>
      </c>
      <c r="G675" s="91" t="s">
        <v>615</v>
      </c>
      <c r="H675" s="93" t="s">
        <v>4</v>
      </c>
      <c r="I675" s="92" t="s">
        <v>4141</v>
      </c>
      <c r="J675" s="92">
        <v>8374744742</v>
      </c>
      <c r="K675" s="92" t="s">
        <v>1608</v>
      </c>
      <c r="L675" s="67"/>
      <c r="M675" s="67"/>
      <c r="N675" s="67"/>
      <c r="O675" s="67"/>
    </row>
    <row r="676" spans="1:15" ht="30">
      <c r="A676" s="91" t="s">
        <v>7</v>
      </c>
      <c r="B676" s="92" t="s">
        <v>7</v>
      </c>
      <c r="C676" s="92" t="str">
        <f ca="1">IFERROR(__xludf.DUMMYFUNCTION("filter('Back End'!C:C,'Back End'!A:A=A676,'Back End'!B:B=B676,'Back End'!D:D=D676)"),"K.O.Mallavaram")</f>
        <v>K.O.Mallavaram</v>
      </c>
      <c r="D676" s="91" t="s">
        <v>763</v>
      </c>
      <c r="E676" s="92" t="s">
        <v>4142</v>
      </c>
      <c r="F676" s="91" t="s">
        <v>586</v>
      </c>
      <c r="G676" s="91" t="s">
        <v>615</v>
      </c>
      <c r="H676" s="93" t="s">
        <v>4</v>
      </c>
      <c r="I676" s="92" t="s">
        <v>4143</v>
      </c>
      <c r="J676" s="67"/>
      <c r="K676" s="67"/>
      <c r="L676" s="67"/>
      <c r="M676" s="67"/>
      <c r="N676" s="67"/>
      <c r="O676" s="67"/>
    </row>
    <row r="677" spans="1:15" ht="30">
      <c r="A677" s="91" t="s">
        <v>7</v>
      </c>
      <c r="B677" s="92" t="s">
        <v>7</v>
      </c>
      <c r="C677" s="92" t="str">
        <f ca="1">IFERROR(__xludf.DUMMYFUNCTION("filter('Back End'!C:C,'Back End'!A:A=A677,'Back End'!B:B=B677,'Back End'!D:D=D677)"),"K.O.Mallavaram")</f>
        <v>K.O.Mallavaram</v>
      </c>
      <c r="D677" s="91" t="s">
        <v>763</v>
      </c>
      <c r="E677" s="92" t="s">
        <v>4144</v>
      </c>
      <c r="F677" s="91" t="s">
        <v>586</v>
      </c>
      <c r="G677" s="91" t="s">
        <v>615</v>
      </c>
      <c r="H677" s="93" t="s">
        <v>4</v>
      </c>
      <c r="I677" s="92" t="s">
        <v>4128</v>
      </c>
      <c r="J677" s="92">
        <v>9390577707</v>
      </c>
      <c r="K677" s="92" t="s">
        <v>1608</v>
      </c>
      <c r="L677" s="67"/>
      <c r="M677" s="67"/>
      <c r="N677" s="67"/>
      <c r="O677" s="67"/>
    </row>
    <row r="678" spans="1:15" ht="30">
      <c r="A678" s="91" t="s">
        <v>7</v>
      </c>
      <c r="B678" s="92" t="s">
        <v>7</v>
      </c>
      <c r="C678" s="92" t="str">
        <f ca="1">IFERROR(__xludf.DUMMYFUNCTION("filter('Back End'!C:C,'Back End'!A:A=A678,'Back End'!B:B=B678,'Back End'!D:D=D678)"),"K.O.Mallavaram")</f>
        <v>K.O.Mallavaram</v>
      </c>
      <c r="D678" s="91" t="s">
        <v>763</v>
      </c>
      <c r="E678" s="91" t="s">
        <v>4145</v>
      </c>
      <c r="F678" s="91" t="s">
        <v>586</v>
      </c>
      <c r="G678" s="91" t="s">
        <v>615</v>
      </c>
      <c r="H678" s="93" t="s">
        <v>4</v>
      </c>
      <c r="I678" s="92" t="s">
        <v>3463</v>
      </c>
      <c r="J678" s="92">
        <v>9550318589</v>
      </c>
      <c r="K678" s="67"/>
      <c r="L678" s="67"/>
      <c r="M678" s="67"/>
      <c r="N678" s="67"/>
      <c r="O678" s="67"/>
    </row>
    <row r="679" spans="1:15" ht="30">
      <c r="A679" s="91" t="s">
        <v>7</v>
      </c>
      <c r="B679" s="92" t="s">
        <v>7</v>
      </c>
      <c r="C679" s="92" t="str">
        <f ca="1">IFERROR(__xludf.DUMMYFUNCTION("filter('Back End'!C:C,'Back End'!A:A=A679,'Back End'!B:B=B679,'Back End'!D:D=D679)"),"K.O.Mallavaram")</f>
        <v>K.O.Mallavaram</v>
      </c>
      <c r="D679" s="91" t="s">
        <v>763</v>
      </c>
      <c r="E679" s="91" t="s">
        <v>4146</v>
      </c>
      <c r="F679" s="91" t="s">
        <v>586</v>
      </c>
      <c r="G679" s="91" t="s">
        <v>615</v>
      </c>
      <c r="H679" s="93" t="s">
        <v>4</v>
      </c>
      <c r="I679" s="92" t="s">
        <v>3863</v>
      </c>
      <c r="J679" s="92">
        <v>9703739334</v>
      </c>
      <c r="K679" s="67"/>
      <c r="L679" s="67"/>
      <c r="M679" s="67"/>
      <c r="N679" s="67"/>
      <c r="O679" s="67"/>
    </row>
    <row r="680" spans="1:15" ht="30">
      <c r="A680" s="91" t="s">
        <v>7</v>
      </c>
      <c r="B680" s="92" t="s">
        <v>7</v>
      </c>
      <c r="C680" s="92" t="str">
        <f ca="1">IFERROR(__xludf.DUMMYFUNCTION("filter('Back End'!C:C,'Back End'!A:A=A680,'Back End'!B:B=B680,'Back End'!D:D=D680)"),"K.O.Mallavaram")</f>
        <v>K.O.Mallavaram</v>
      </c>
      <c r="D680" s="91" t="s">
        <v>763</v>
      </c>
      <c r="E680" s="91" t="s">
        <v>4147</v>
      </c>
      <c r="F680" s="91" t="s">
        <v>586</v>
      </c>
      <c r="G680" s="91" t="s">
        <v>615</v>
      </c>
      <c r="H680" s="93" t="s">
        <v>4</v>
      </c>
      <c r="I680" s="92" t="s">
        <v>3863</v>
      </c>
      <c r="J680" s="92">
        <v>9052778564</v>
      </c>
      <c r="K680" s="67"/>
      <c r="L680" s="67"/>
      <c r="M680" s="67"/>
      <c r="N680" s="67"/>
      <c r="O680" s="67"/>
    </row>
    <row r="681" spans="1:15" ht="30">
      <c r="A681" s="91" t="s">
        <v>7</v>
      </c>
      <c r="B681" s="92" t="s">
        <v>7</v>
      </c>
      <c r="C681" s="92" t="str">
        <f ca="1">IFERROR(__xludf.DUMMYFUNCTION("filter('Back End'!C:C,'Back End'!A:A=A681,'Back End'!B:B=B681,'Back End'!D:D=D681)"),"K.O.Mallavaram")</f>
        <v>K.O.Mallavaram</v>
      </c>
      <c r="D681" s="91" t="s">
        <v>763</v>
      </c>
      <c r="E681" s="91" t="s">
        <v>4148</v>
      </c>
      <c r="F681" s="91" t="s">
        <v>586</v>
      </c>
      <c r="G681" s="91" t="s">
        <v>615</v>
      </c>
      <c r="H681" s="93" t="s">
        <v>4</v>
      </c>
      <c r="I681" s="92" t="s">
        <v>3863</v>
      </c>
      <c r="J681" s="92">
        <v>9603194652</v>
      </c>
      <c r="K681" s="67"/>
      <c r="L681" s="67"/>
      <c r="M681" s="67"/>
      <c r="N681" s="67"/>
      <c r="O681" s="67"/>
    </row>
    <row r="682" spans="1:15" ht="30">
      <c r="A682" s="91" t="s">
        <v>7</v>
      </c>
      <c r="B682" s="92" t="s">
        <v>7</v>
      </c>
      <c r="C682" s="92" t="str">
        <f ca="1">IFERROR(__xludf.DUMMYFUNCTION("filter('Back End'!C:C,'Back End'!A:A=A682,'Back End'!B:B=B682,'Back End'!D:D=D682)"),"K.O.Mallavaram")</f>
        <v>K.O.Mallavaram</v>
      </c>
      <c r="D682" s="91" t="s">
        <v>763</v>
      </c>
      <c r="E682" s="92" t="s">
        <v>4149</v>
      </c>
      <c r="F682" s="91" t="s">
        <v>1669</v>
      </c>
      <c r="G682" s="91" t="s">
        <v>615</v>
      </c>
      <c r="H682" s="93" t="s">
        <v>4</v>
      </c>
      <c r="I682" s="92" t="s">
        <v>4150</v>
      </c>
      <c r="J682" s="92">
        <v>8374744748</v>
      </c>
      <c r="K682" s="67"/>
      <c r="L682" s="67"/>
      <c r="M682" s="67"/>
      <c r="N682" s="67"/>
      <c r="O682" s="67"/>
    </row>
    <row r="683" spans="1:15" ht="15">
      <c r="A683" s="91" t="s">
        <v>10</v>
      </c>
      <c r="B683" s="91" t="s">
        <v>430</v>
      </c>
      <c r="C683" s="92" t="str">
        <f ca="1">IFERROR(__xludf.DUMMYFUNCTION("filter('Back End'!C:C,'Back End'!A:A=A683,'Back End'!B:B=B683,'Back End'!D:D=D683)"),"Durgada")</f>
        <v>Durgada</v>
      </c>
      <c r="D683" s="91" t="s">
        <v>447</v>
      </c>
      <c r="E683" s="91" t="s">
        <v>4151</v>
      </c>
      <c r="F683" s="91" t="s">
        <v>114</v>
      </c>
      <c r="G683" s="91" t="s">
        <v>85</v>
      </c>
      <c r="H683" s="93" t="s">
        <v>5</v>
      </c>
      <c r="I683" s="67"/>
      <c r="J683" s="67"/>
      <c r="K683" s="67"/>
      <c r="L683" s="67"/>
      <c r="M683" s="67"/>
      <c r="N683" s="67"/>
      <c r="O683" s="67"/>
    </row>
    <row r="684" spans="1:15" ht="15">
      <c r="A684" s="91" t="s">
        <v>10</v>
      </c>
      <c r="B684" s="91" t="s">
        <v>430</v>
      </c>
      <c r="C684" s="92" t="str">
        <f ca="1">IFERROR(__xludf.DUMMYFUNCTION("filter('Back End'!C:C,'Back End'!A:A=A684,'Back End'!B:B=B684,'Back End'!D:D=D684)"),"Durgada")</f>
        <v>Durgada</v>
      </c>
      <c r="D684" s="91" t="s">
        <v>447</v>
      </c>
      <c r="E684" s="91" t="s">
        <v>4152</v>
      </c>
      <c r="F684" s="91" t="s">
        <v>139</v>
      </c>
      <c r="G684" s="91" t="s">
        <v>594</v>
      </c>
      <c r="H684" s="93" t="s">
        <v>5</v>
      </c>
      <c r="I684" s="67"/>
      <c r="J684" s="67"/>
      <c r="K684" s="67"/>
      <c r="L684" s="67"/>
      <c r="M684" s="67"/>
      <c r="N684" s="67"/>
      <c r="O684" s="67"/>
    </row>
    <row r="685" spans="1:15" ht="15">
      <c r="A685" s="91" t="s">
        <v>10</v>
      </c>
      <c r="B685" s="91" t="s">
        <v>430</v>
      </c>
      <c r="C685" s="92" t="str">
        <f ca="1">IFERROR(__xludf.DUMMYFUNCTION("filter('Back End'!C:C,'Back End'!A:A=A685,'Back End'!B:B=B685,'Back End'!D:D=D685)"),"Durgada")</f>
        <v>Durgada</v>
      </c>
      <c r="D685" s="91" t="s">
        <v>447</v>
      </c>
      <c r="E685" s="91" t="s">
        <v>4153</v>
      </c>
      <c r="F685" s="67" t="s">
        <v>3138</v>
      </c>
      <c r="G685" s="67"/>
      <c r="H685" s="93" t="s">
        <v>5</v>
      </c>
      <c r="I685" s="67"/>
      <c r="J685" s="67"/>
      <c r="K685" s="67"/>
      <c r="L685" s="67"/>
      <c r="M685" s="67"/>
      <c r="N685" s="67"/>
      <c r="O685" s="67"/>
    </row>
    <row r="686" spans="1:15" ht="15">
      <c r="A686" s="91" t="s">
        <v>10</v>
      </c>
      <c r="B686" s="91" t="s">
        <v>430</v>
      </c>
      <c r="C686" s="92" t="str">
        <f ca="1">IFERROR(__xludf.DUMMYFUNCTION("filter('Back End'!C:C,'Back End'!A:A=A686,'Back End'!B:B=B686,'Back End'!D:D=D686)"),"Durgada")</f>
        <v>Durgada</v>
      </c>
      <c r="D686" s="91" t="s">
        <v>447</v>
      </c>
      <c r="E686" s="91" t="s">
        <v>4154</v>
      </c>
      <c r="F686" s="91" t="s">
        <v>139</v>
      </c>
      <c r="G686" s="91" t="s">
        <v>594</v>
      </c>
      <c r="H686" s="93" t="s">
        <v>5</v>
      </c>
      <c r="I686" s="67"/>
      <c r="J686" s="67"/>
      <c r="K686" s="67"/>
      <c r="L686" s="67"/>
      <c r="M686" s="67"/>
      <c r="N686" s="67"/>
      <c r="O686" s="67"/>
    </row>
    <row r="687" spans="1:15" ht="15">
      <c r="A687" s="91" t="s">
        <v>10</v>
      </c>
      <c r="B687" s="91" t="s">
        <v>430</v>
      </c>
      <c r="C687" s="92" t="str">
        <f ca="1">IFERROR(__xludf.DUMMYFUNCTION("filter('Back End'!C:C,'Back End'!A:A=A687,'Back End'!B:B=B687,'Back End'!D:D=D687)"),"Durgada")</f>
        <v>Durgada</v>
      </c>
      <c r="D687" s="91" t="s">
        <v>447</v>
      </c>
      <c r="E687" s="91" t="s">
        <v>4155</v>
      </c>
      <c r="F687" s="67" t="s">
        <v>3138</v>
      </c>
      <c r="G687" s="67"/>
      <c r="H687" s="93" t="s">
        <v>5</v>
      </c>
      <c r="I687" s="67"/>
      <c r="J687" s="67"/>
      <c r="K687" s="67"/>
      <c r="L687" s="67"/>
      <c r="M687" s="67"/>
      <c r="N687" s="67"/>
      <c r="O687" s="67"/>
    </row>
    <row r="688" spans="1:15" ht="15">
      <c r="A688" s="91" t="s">
        <v>10</v>
      </c>
      <c r="B688" s="91" t="s">
        <v>430</v>
      </c>
      <c r="C688" s="92" t="str">
        <f ca="1">IFERROR(__xludf.DUMMYFUNCTION("filter('Back End'!C:C,'Back End'!A:A=A688,'Back End'!B:B=B688,'Back End'!D:D=D688)"),"Durgada")</f>
        <v>Durgada</v>
      </c>
      <c r="D688" s="91" t="s">
        <v>447</v>
      </c>
      <c r="E688" s="91" t="s">
        <v>4156</v>
      </c>
      <c r="F688" s="91" t="s">
        <v>139</v>
      </c>
      <c r="G688" s="91" t="s">
        <v>594</v>
      </c>
      <c r="H688" s="93" t="s">
        <v>5</v>
      </c>
      <c r="I688" s="67"/>
      <c r="J688" s="67"/>
      <c r="K688" s="67"/>
      <c r="L688" s="67"/>
      <c r="M688" s="67"/>
      <c r="N688" s="67"/>
      <c r="O688" s="67"/>
    </row>
    <row r="689" spans="1:15" ht="15">
      <c r="A689" s="91" t="s">
        <v>10</v>
      </c>
      <c r="B689" s="91" t="s">
        <v>430</v>
      </c>
      <c r="C689" s="92" t="str">
        <f ca="1">IFERROR(__xludf.DUMMYFUNCTION("filter('Back End'!C:C,'Back End'!A:A=A689,'Back End'!B:B=B689,'Back End'!D:D=D689)"),"Durgada")</f>
        <v>Durgada</v>
      </c>
      <c r="D689" s="91" t="s">
        <v>447</v>
      </c>
      <c r="E689" s="91" t="s">
        <v>4157</v>
      </c>
      <c r="F689" s="91" t="s">
        <v>139</v>
      </c>
      <c r="G689" s="91" t="s">
        <v>594</v>
      </c>
      <c r="H689" s="93" t="s">
        <v>5</v>
      </c>
      <c r="I689" s="67"/>
      <c r="J689" s="67"/>
      <c r="K689" s="67"/>
      <c r="L689" s="67"/>
      <c r="M689" s="67"/>
      <c r="N689" s="67"/>
      <c r="O689" s="67"/>
    </row>
    <row r="690" spans="1:15" ht="15">
      <c r="A690" s="91" t="s">
        <v>10</v>
      </c>
      <c r="B690" s="91" t="s">
        <v>430</v>
      </c>
      <c r="C690" s="92" t="str">
        <f ca="1">IFERROR(__xludf.DUMMYFUNCTION("filter('Back End'!C:C,'Back End'!A:A=A690,'Back End'!B:B=B690,'Back End'!D:D=D690)"),"Durgada")</f>
        <v>Durgada</v>
      </c>
      <c r="D690" s="91" t="s">
        <v>447</v>
      </c>
      <c r="E690" s="91" t="s">
        <v>4158</v>
      </c>
      <c r="F690" s="91" t="s">
        <v>136</v>
      </c>
      <c r="G690" s="91" t="s">
        <v>615</v>
      </c>
      <c r="H690" s="93" t="s">
        <v>5</v>
      </c>
      <c r="I690" s="67"/>
      <c r="J690" s="67"/>
      <c r="K690" s="67"/>
      <c r="L690" s="67"/>
      <c r="M690" s="67"/>
      <c r="N690" s="67"/>
      <c r="O690" s="67"/>
    </row>
    <row r="691" spans="1:15" ht="15">
      <c r="A691" s="91" t="s">
        <v>10</v>
      </c>
      <c r="B691" s="91" t="s">
        <v>430</v>
      </c>
      <c r="C691" s="92" t="str">
        <f ca="1">IFERROR(__xludf.DUMMYFUNCTION("filter('Back End'!C:C,'Back End'!A:A=A691,'Back End'!B:B=B691,'Back End'!D:D=D691)"),"Durgada")</f>
        <v>Durgada</v>
      </c>
      <c r="D691" s="91" t="s">
        <v>447</v>
      </c>
      <c r="E691" s="91" t="s">
        <v>4159</v>
      </c>
      <c r="F691" s="67" t="s">
        <v>3138</v>
      </c>
      <c r="G691" s="67"/>
      <c r="H691" s="93" t="s">
        <v>4</v>
      </c>
      <c r="I691" s="67"/>
      <c r="J691" s="67"/>
      <c r="K691" s="67"/>
      <c r="L691" s="67"/>
      <c r="M691" s="67"/>
      <c r="N691" s="67"/>
      <c r="O691" s="67"/>
    </row>
    <row r="692" spans="1:15" ht="15">
      <c r="A692" s="91" t="s">
        <v>10</v>
      </c>
      <c r="B692" s="91" t="s">
        <v>430</v>
      </c>
      <c r="C692" s="92" t="str">
        <f ca="1">IFERROR(__xludf.DUMMYFUNCTION("filter('Back End'!C:C,'Back End'!A:A=A692,'Back End'!B:B=B692,'Back End'!D:D=D692)"),"Durgada")</f>
        <v>Durgada</v>
      </c>
      <c r="D692" s="91" t="s">
        <v>447</v>
      </c>
      <c r="E692" s="91" t="s">
        <v>4160</v>
      </c>
      <c r="F692" s="67" t="s">
        <v>3138</v>
      </c>
      <c r="G692" s="67"/>
      <c r="H692" s="93" t="s">
        <v>4</v>
      </c>
      <c r="I692" s="67"/>
      <c r="J692" s="67"/>
      <c r="K692" s="67"/>
      <c r="L692" s="67"/>
      <c r="M692" s="67"/>
      <c r="N692" s="67"/>
      <c r="O692" s="67"/>
    </row>
    <row r="693" spans="1:15" ht="15">
      <c r="A693" s="91" t="s">
        <v>10</v>
      </c>
      <c r="B693" s="91" t="s">
        <v>430</v>
      </c>
      <c r="C693" s="92" t="str">
        <f ca="1">IFERROR(__xludf.DUMMYFUNCTION("filter('Back End'!C:C,'Back End'!A:A=A693,'Back End'!B:B=B693,'Back End'!D:D=D693)"),"Durgada")</f>
        <v>Durgada</v>
      </c>
      <c r="D693" s="91" t="s">
        <v>447</v>
      </c>
      <c r="E693" s="91" t="s">
        <v>4161</v>
      </c>
      <c r="F693" s="67" t="s">
        <v>3138</v>
      </c>
      <c r="G693" s="67"/>
      <c r="H693" s="93" t="s">
        <v>4</v>
      </c>
      <c r="I693" s="67"/>
      <c r="J693" s="67"/>
      <c r="K693" s="67"/>
      <c r="L693" s="67"/>
      <c r="M693" s="67"/>
      <c r="N693" s="67"/>
      <c r="O693" s="67"/>
    </row>
    <row r="694" spans="1:15" ht="15">
      <c r="A694" s="91" t="s">
        <v>10</v>
      </c>
      <c r="B694" s="91" t="s">
        <v>430</v>
      </c>
      <c r="C694" s="92" t="str">
        <f ca="1">IFERROR(__xludf.DUMMYFUNCTION("filter('Back End'!C:C,'Back End'!A:A=A694,'Back End'!B:B=B694,'Back End'!D:D=D694)"),"Durgada")</f>
        <v>Durgada</v>
      </c>
      <c r="D694" s="91" t="s">
        <v>447</v>
      </c>
      <c r="E694" s="91" t="s">
        <v>4162</v>
      </c>
      <c r="F694" s="67" t="s">
        <v>3138</v>
      </c>
      <c r="G694" s="67"/>
      <c r="H694" s="93" t="s">
        <v>4</v>
      </c>
      <c r="I694" s="67"/>
      <c r="J694" s="67"/>
      <c r="K694" s="67"/>
      <c r="L694" s="67"/>
      <c r="M694" s="67"/>
      <c r="N694" s="67"/>
      <c r="O694" s="67"/>
    </row>
    <row r="695" spans="1:15" ht="15">
      <c r="A695" s="91" t="s">
        <v>10</v>
      </c>
      <c r="B695" s="91" t="s">
        <v>430</v>
      </c>
      <c r="C695" s="92" t="str">
        <f ca="1">IFERROR(__xludf.DUMMYFUNCTION("filter('Back End'!C:C,'Back End'!A:A=A695,'Back End'!B:B=B695,'Back End'!D:D=D695)"),"Durgada")</f>
        <v>Durgada</v>
      </c>
      <c r="D695" s="91" t="s">
        <v>447</v>
      </c>
      <c r="E695" s="91" t="s">
        <v>4163</v>
      </c>
      <c r="F695" s="67" t="s">
        <v>3138</v>
      </c>
      <c r="G695" s="67"/>
      <c r="H695" s="93" t="s">
        <v>4</v>
      </c>
      <c r="I695" s="67"/>
      <c r="J695" s="67"/>
      <c r="K695" s="67"/>
      <c r="L695" s="67"/>
      <c r="M695" s="67"/>
      <c r="N695" s="67"/>
      <c r="O695" s="67"/>
    </row>
    <row r="696" spans="1:15" ht="15">
      <c r="A696" s="91" t="s">
        <v>10</v>
      </c>
      <c r="B696" s="91" t="s">
        <v>430</v>
      </c>
      <c r="C696" s="92" t="str">
        <f ca="1">IFERROR(__xludf.DUMMYFUNCTION("filter('Back End'!C:C,'Back End'!A:A=A696,'Back End'!B:B=B696,'Back End'!D:D=D696)"),"Durgada")</f>
        <v>Durgada</v>
      </c>
      <c r="D696" s="91" t="s">
        <v>447</v>
      </c>
      <c r="E696" s="91" t="s">
        <v>4164</v>
      </c>
      <c r="F696" s="67" t="s">
        <v>3138</v>
      </c>
      <c r="G696" s="67"/>
      <c r="H696" s="93" t="s">
        <v>4</v>
      </c>
      <c r="I696" s="67"/>
      <c r="J696" s="67"/>
      <c r="K696" s="67"/>
      <c r="L696" s="67"/>
      <c r="M696" s="67"/>
      <c r="N696" s="67"/>
      <c r="O696" s="67"/>
    </row>
    <row r="697" spans="1:15" ht="15">
      <c r="A697" s="91" t="s">
        <v>10</v>
      </c>
      <c r="B697" s="91" t="s">
        <v>430</v>
      </c>
      <c r="C697" s="92" t="str">
        <f ca="1">IFERROR(__xludf.DUMMYFUNCTION("filter('Back End'!C:C,'Back End'!A:A=A697,'Back End'!B:B=B697,'Back End'!D:D=D697)"),"Durgada")</f>
        <v>Durgada</v>
      </c>
      <c r="D697" s="91" t="s">
        <v>447</v>
      </c>
      <c r="E697" s="91" t="s">
        <v>4165</v>
      </c>
      <c r="F697" s="67" t="s">
        <v>3138</v>
      </c>
      <c r="G697" s="67"/>
      <c r="H697" s="93" t="s">
        <v>4</v>
      </c>
      <c r="I697" s="67"/>
      <c r="J697" s="67"/>
      <c r="K697" s="67"/>
      <c r="L697" s="67"/>
      <c r="M697" s="67"/>
      <c r="N697" s="67"/>
      <c r="O697" s="67"/>
    </row>
    <row r="698" spans="1:15" ht="75">
      <c r="A698" s="91" t="s">
        <v>19</v>
      </c>
      <c r="B698" s="92" t="s">
        <v>430</v>
      </c>
      <c r="C698" s="92" t="str">
        <f ca="1">IFERROR(__xludf.DUMMYFUNCTION("filter('Back End'!C:C,'Back End'!A:A=A698,'Back End'!B:B=B698,'Back End'!D:D=D698)"),"#N/A")</f>
        <v>#N/A</v>
      </c>
      <c r="D698" s="91" t="s">
        <v>447</v>
      </c>
      <c r="E698" s="92" t="s">
        <v>4166</v>
      </c>
      <c r="F698" s="91" t="s">
        <v>139</v>
      </c>
      <c r="G698" s="91" t="s">
        <v>594</v>
      </c>
      <c r="H698" s="93" t="s">
        <v>5</v>
      </c>
      <c r="I698" s="92" t="s">
        <v>4167</v>
      </c>
      <c r="J698" s="92">
        <v>9949048940</v>
      </c>
      <c r="K698" s="67"/>
      <c r="L698" s="67"/>
      <c r="M698" s="67"/>
      <c r="N698" s="67"/>
      <c r="O698" s="67"/>
    </row>
    <row r="699" spans="1:15" ht="30">
      <c r="A699" s="91" t="s">
        <v>19</v>
      </c>
      <c r="B699" s="92" t="s">
        <v>430</v>
      </c>
      <c r="C699" s="92" t="str">
        <f ca="1">IFERROR(__xludf.DUMMYFUNCTION("filter('Back End'!C:C,'Back End'!A:A=A699,'Back End'!B:B=B699,'Back End'!D:D=D699)"),"#N/A")</f>
        <v>#N/A</v>
      </c>
      <c r="D699" s="91" t="s">
        <v>447</v>
      </c>
      <c r="E699" s="92" t="s">
        <v>4168</v>
      </c>
      <c r="F699" s="91" t="s">
        <v>139</v>
      </c>
      <c r="G699" s="91" t="s">
        <v>594</v>
      </c>
      <c r="H699" s="93" t="s">
        <v>5</v>
      </c>
      <c r="I699" s="92" t="s">
        <v>4169</v>
      </c>
      <c r="J699" s="92">
        <v>9848751138</v>
      </c>
      <c r="K699" s="67"/>
      <c r="L699" s="67"/>
      <c r="M699" s="67"/>
      <c r="N699" s="67"/>
      <c r="O699" s="67"/>
    </row>
    <row r="700" spans="1:15" ht="45">
      <c r="A700" s="91" t="s">
        <v>10</v>
      </c>
      <c r="B700" s="92" t="s">
        <v>10</v>
      </c>
      <c r="C700" s="92" t="str">
        <f ca="1">IFERROR(__xludf.DUMMYFUNCTION("filter('Back End'!C:C,'Back End'!A:A=A700,'Back End'!B:B=B700,'Back End'!D:D=D700)"),"P Rayavaram")</f>
        <v>P Rayavaram</v>
      </c>
      <c r="D700" s="91" t="s">
        <v>530</v>
      </c>
      <c r="E700" s="92" t="s">
        <v>4170</v>
      </c>
      <c r="F700" s="91" t="s">
        <v>139</v>
      </c>
      <c r="G700" s="91" t="s">
        <v>594</v>
      </c>
      <c r="H700" s="93" t="s">
        <v>4</v>
      </c>
      <c r="I700" s="92" t="s">
        <v>4171</v>
      </c>
      <c r="J700" s="92">
        <v>9959941498</v>
      </c>
      <c r="K700" s="92" t="s">
        <v>1608</v>
      </c>
      <c r="L700" s="67"/>
      <c r="M700" s="67"/>
      <c r="N700" s="67"/>
      <c r="O700" s="67"/>
    </row>
    <row r="701" spans="1:15" ht="30">
      <c r="A701" s="91" t="s">
        <v>10</v>
      </c>
      <c r="B701" s="92" t="s">
        <v>10</v>
      </c>
      <c r="C701" s="92" t="str">
        <f ca="1">IFERROR(__xludf.DUMMYFUNCTION("filter('Back End'!C:C,'Back End'!A:A=A701,'Back End'!B:B=B701,'Back End'!D:D=D701)"),"P Rayavaram")</f>
        <v>P Rayavaram</v>
      </c>
      <c r="D701" s="91" t="s">
        <v>530</v>
      </c>
      <c r="E701" s="92" t="s">
        <v>4172</v>
      </c>
      <c r="F701" s="91" t="s">
        <v>139</v>
      </c>
      <c r="G701" s="91" t="s">
        <v>594</v>
      </c>
      <c r="H701" s="93" t="s">
        <v>5</v>
      </c>
      <c r="I701" s="92" t="s">
        <v>3115</v>
      </c>
      <c r="J701" s="92">
        <v>9849375601</v>
      </c>
      <c r="K701" s="92" t="s">
        <v>1598</v>
      </c>
      <c r="L701" s="67"/>
      <c r="M701" s="67"/>
      <c r="N701" s="67"/>
      <c r="O701" s="67"/>
    </row>
    <row r="702" spans="1:15" ht="60">
      <c r="A702" s="91" t="s">
        <v>10</v>
      </c>
      <c r="B702" s="92" t="s">
        <v>10</v>
      </c>
      <c r="C702" s="92" t="str">
        <f ca="1">IFERROR(__xludf.DUMMYFUNCTION("filter('Back End'!C:C,'Back End'!A:A=A702,'Back End'!B:B=B702,'Back End'!D:D=D702)"),"P Rayavaram")</f>
        <v>P Rayavaram</v>
      </c>
      <c r="D702" s="91" t="s">
        <v>530</v>
      </c>
      <c r="E702" s="92" t="s">
        <v>4173</v>
      </c>
      <c r="F702" s="91" t="s">
        <v>139</v>
      </c>
      <c r="G702" s="91" t="s">
        <v>594</v>
      </c>
      <c r="H702" s="93" t="s">
        <v>5</v>
      </c>
      <c r="I702" s="92" t="s">
        <v>4174</v>
      </c>
      <c r="J702" s="92">
        <v>9908854376</v>
      </c>
      <c r="K702" s="92" t="s">
        <v>1603</v>
      </c>
      <c r="L702" s="67"/>
      <c r="M702" s="67"/>
      <c r="N702" s="67"/>
      <c r="O702" s="67"/>
    </row>
    <row r="703" spans="1:15" ht="30">
      <c r="A703" s="91" t="s">
        <v>10</v>
      </c>
      <c r="B703" s="92" t="s">
        <v>10</v>
      </c>
      <c r="C703" s="92" t="s">
        <v>530</v>
      </c>
      <c r="D703" s="91" t="s">
        <v>530</v>
      </c>
      <c r="E703" s="92" t="s">
        <v>4175</v>
      </c>
      <c r="F703" s="91" t="s">
        <v>139</v>
      </c>
      <c r="G703" s="91" t="s">
        <v>594</v>
      </c>
      <c r="H703" s="93" t="s">
        <v>6</v>
      </c>
      <c r="I703" s="92" t="s">
        <v>3212</v>
      </c>
      <c r="J703" s="92">
        <v>9121721138</v>
      </c>
      <c r="K703" s="67"/>
      <c r="L703" s="67"/>
      <c r="M703" s="67"/>
      <c r="N703" s="67"/>
      <c r="O703" s="67"/>
    </row>
    <row r="704" spans="1:15" ht="45">
      <c r="A704" s="91" t="s">
        <v>10</v>
      </c>
      <c r="B704" s="92" t="s">
        <v>10</v>
      </c>
      <c r="C704" s="92" t="s">
        <v>530</v>
      </c>
      <c r="D704" s="91" t="s">
        <v>530</v>
      </c>
      <c r="E704" s="92" t="s">
        <v>4176</v>
      </c>
      <c r="F704" s="91" t="s">
        <v>139</v>
      </c>
      <c r="G704" s="91" t="s">
        <v>594</v>
      </c>
      <c r="H704" s="93" t="s">
        <v>4</v>
      </c>
      <c r="I704" s="92" t="s">
        <v>4177</v>
      </c>
      <c r="J704" s="92">
        <v>9908078079</v>
      </c>
      <c r="K704" s="67"/>
      <c r="L704" s="67"/>
      <c r="M704" s="67"/>
      <c r="N704" s="67"/>
      <c r="O704" s="67"/>
    </row>
    <row r="705" spans="1:15" ht="30">
      <c r="A705" s="91" t="s">
        <v>10</v>
      </c>
      <c r="B705" s="92" t="s">
        <v>10</v>
      </c>
      <c r="C705" s="92" t="str">
        <f ca="1">IFERROR(__xludf.DUMMYFUNCTION("filter('Back End'!C:C,'Back End'!A:A=A705,'Back End'!B:B=B705,'Back End'!D:D=D705)"),"P Rayavaram")</f>
        <v>P Rayavaram</v>
      </c>
      <c r="D705" s="91" t="s">
        <v>530</v>
      </c>
      <c r="E705" s="92" t="s">
        <v>4178</v>
      </c>
      <c r="F705" s="91" t="s">
        <v>139</v>
      </c>
      <c r="G705" s="91" t="s">
        <v>594</v>
      </c>
      <c r="H705" s="93" t="s">
        <v>6</v>
      </c>
      <c r="I705" s="92" t="s">
        <v>4179</v>
      </c>
      <c r="J705" s="92" t="s">
        <v>2631</v>
      </c>
      <c r="K705" s="92" t="s">
        <v>1608</v>
      </c>
      <c r="L705" s="67"/>
      <c r="M705" s="67"/>
      <c r="N705" s="67"/>
      <c r="O705" s="67"/>
    </row>
    <row r="706" spans="1:15" ht="60">
      <c r="A706" s="91" t="s">
        <v>19</v>
      </c>
      <c r="B706" s="92" t="s">
        <v>147</v>
      </c>
      <c r="C706" s="92" t="str">
        <f ca="1">IFERROR(__xludf.DUMMYFUNCTION("filter('Back End'!C:C,'Back End'!A:A=A706,'Back End'!B:B=B706,'Back End'!D:D=D706)"),"Thanti Konda")</f>
        <v>Thanti Konda</v>
      </c>
      <c r="D706" s="91" t="s">
        <v>175</v>
      </c>
      <c r="E706" s="92" t="s">
        <v>4180</v>
      </c>
      <c r="F706" s="91" t="s">
        <v>139</v>
      </c>
      <c r="G706" s="91" t="s">
        <v>594</v>
      </c>
      <c r="H706" s="93" t="s">
        <v>5</v>
      </c>
      <c r="I706" s="92" t="s">
        <v>4181</v>
      </c>
      <c r="J706" s="92">
        <v>949133433</v>
      </c>
      <c r="K706" s="67"/>
      <c r="L706" s="67"/>
      <c r="M706" s="67"/>
      <c r="N706" s="67"/>
      <c r="O706" s="67"/>
    </row>
    <row r="707" spans="1:15" ht="90">
      <c r="A707" s="91" t="s">
        <v>19</v>
      </c>
      <c r="B707" s="92" t="s">
        <v>147</v>
      </c>
      <c r="C707" s="92" t="str">
        <f ca="1">IFERROR(__xludf.DUMMYFUNCTION("filter('Back End'!C:C,'Back End'!A:A=A707,'Back End'!B:B=B707,'Back End'!D:D=D707)"),"Thanti Konda")</f>
        <v>Thanti Konda</v>
      </c>
      <c r="D707" s="91" t="s">
        <v>175</v>
      </c>
      <c r="E707" s="92" t="s">
        <v>4182</v>
      </c>
      <c r="F707" s="91" t="s">
        <v>139</v>
      </c>
      <c r="G707" s="91" t="s">
        <v>594</v>
      </c>
      <c r="H707" s="93" t="s">
        <v>5</v>
      </c>
      <c r="I707" s="92" t="s">
        <v>4183</v>
      </c>
      <c r="J707" s="92">
        <v>9866539050</v>
      </c>
      <c r="K707" s="67"/>
      <c r="L707" s="67"/>
      <c r="M707" s="67"/>
      <c r="N707" s="67"/>
      <c r="O707" s="67"/>
    </row>
    <row r="708" spans="1:15" ht="30">
      <c r="A708" s="91" t="s">
        <v>19</v>
      </c>
      <c r="B708" s="92" t="s">
        <v>147</v>
      </c>
      <c r="C708" s="92" t="str">
        <f ca="1">IFERROR(__xludf.DUMMYFUNCTION("filter('Back End'!C:C,'Back End'!A:A=A708,'Back End'!B:B=B708,'Back End'!D:D=D708)"),"Thanti Konda")</f>
        <v>Thanti Konda</v>
      </c>
      <c r="D708" s="91" t="s">
        <v>175</v>
      </c>
      <c r="E708" s="92" t="s">
        <v>4184</v>
      </c>
      <c r="F708" s="91" t="s">
        <v>114</v>
      </c>
      <c r="G708" s="91" t="s">
        <v>85</v>
      </c>
      <c r="H708" s="93" t="s">
        <v>5</v>
      </c>
      <c r="I708" s="92" t="s">
        <v>4071</v>
      </c>
      <c r="J708" s="92">
        <v>9441071905</v>
      </c>
      <c r="K708" s="67"/>
      <c r="L708" s="67"/>
      <c r="M708" s="67"/>
      <c r="N708" s="67"/>
      <c r="O708" s="67"/>
    </row>
    <row r="709" spans="1:15" ht="60">
      <c r="A709" s="91" t="s">
        <v>19</v>
      </c>
      <c r="B709" s="92" t="s">
        <v>147</v>
      </c>
      <c r="C709" s="92" t="str">
        <f ca="1">IFERROR(__xludf.DUMMYFUNCTION("filter('Back End'!C:C,'Back End'!A:A=A709,'Back End'!B:B=B709,'Back End'!D:D=D709)"),"Thanti Konda")</f>
        <v>Thanti Konda</v>
      </c>
      <c r="D709" s="91" t="s">
        <v>175</v>
      </c>
      <c r="E709" s="92" t="s">
        <v>4185</v>
      </c>
      <c r="F709" s="91" t="s">
        <v>139</v>
      </c>
      <c r="G709" s="91" t="s">
        <v>594</v>
      </c>
      <c r="H709" s="93" t="s">
        <v>5</v>
      </c>
      <c r="I709" s="92" t="s">
        <v>3115</v>
      </c>
      <c r="J709" s="92">
        <v>9848106951</v>
      </c>
      <c r="K709" s="67"/>
      <c r="L709" s="67"/>
      <c r="M709" s="67"/>
      <c r="N709" s="67"/>
      <c r="O709" s="67"/>
    </row>
    <row r="710" spans="1:15" ht="75">
      <c r="A710" s="91" t="s">
        <v>19</v>
      </c>
      <c r="B710" s="92" t="s">
        <v>147</v>
      </c>
      <c r="C710" s="92" t="str">
        <f ca="1">IFERROR(__xludf.DUMMYFUNCTION("filter('Back End'!C:C,'Back End'!A:A=A710,'Back End'!B:B=B710,'Back End'!D:D=D710)"),"Thanti Konda")</f>
        <v>Thanti Konda</v>
      </c>
      <c r="D710" s="91" t="s">
        <v>175</v>
      </c>
      <c r="E710" s="92" t="s">
        <v>4186</v>
      </c>
      <c r="F710" s="91" t="s">
        <v>139</v>
      </c>
      <c r="G710" s="91" t="s">
        <v>594</v>
      </c>
      <c r="H710" s="93" t="s">
        <v>4</v>
      </c>
      <c r="I710" s="92" t="s">
        <v>4187</v>
      </c>
      <c r="J710" s="92">
        <v>9866594360</v>
      </c>
      <c r="K710" s="67"/>
      <c r="L710" s="67"/>
      <c r="M710" s="67"/>
      <c r="N710" s="67"/>
      <c r="O710" s="67"/>
    </row>
    <row r="711" spans="1:15" ht="105">
      <c r="A711" s="91" t="s">
        <v>19</v>
      </c>
      <c r="B711" s="92" t="s">
        <v>147</v>
      </c>
      <c r="C711" s="92" t="str">
        <f ca="1">IFERROR(__xludf.DUMMYFUNCTION("filter('Back End'!C:C,'Back End'!A:A=A711,'Back End'!B:B=B711,'Back End'!D:D=D711)"),"Thanti Konda")</f>
        <v>Thanti Konda</v>
      </c>
      <c r="D711" s="91" t="s">
        <v>175</v>
      </c>
      <c r="E711" s="92" t="s">
        <v>4188</v>
      </c>
      <c r="F711" s="91" t="s">
        <v>139</v>
      </c>
      <c r="G711" s="91" t="s">
        <v>594</v>
      </c>
      <c r="H711" s="93" t="s">
        <v>4</v>
      </c>
      <c r="I711" s="92" t="s">
        <v>4189</v>
      </c>
      <c r="J711" s="92">
        <v>9866737525</v>
      </c>
      <c r="K711" s="67"/>
      <c r="L711" s="67"/>
      <c r="M711" s="67"/>
      <c r="N711" s="67"/>
      <c r="O711" s="67"/>
    </row>
    <row r="712" spans="1:15" ht="45">
      <c r="A712" s="91" t="s">
        <v>19</v>
      </c>
      <c r="B712" s="92" t="s">
        <v>147</v>
      </c>
      <c r="C712" s="92" t="str">
        <f ca="1">IFERROR(__xludf.DUMMYFUNCTION("filter('Back End'!C:C,'Back End'!A:A=A712,'Back End'!B:B=B712,'Back End'!D:D=D712)"),"Thanti Konda")</f>
        <v>Thanti Konda</v>
      </c>
      <c r="D712" s="91" t="s">
        <v>175</v>
      </c>
      <c r="E712" s="92" t="s">
        <v>4190</v>
      </c>
      <c r="F712" s="91" t="s">
        <v>139</v>
      </c>
      <c r="G712" s="91" t="s">
        <v>594</v>
      </c>
      <c r="H712" s="93" t="s">
        <v>4</v>
      </c>
      <c r="I712" s="92" t="s">
        <v>4191</v>
      </c>
      <c r="J712" s="92">
        <v>9959868988</v>
      </c>
      <c r="K712" s="67"/>
      <c r="L712" s="67"/>
      <c r="M712" s="67"/>
      <c r="N712" s="67"/>
      <c r="O712" s="67"/>
    </row>
    <row r="713" spans="1:15" ht="105">
      <c r="A713" s="91" t="s">
        <v>19</v>
      </c>
      <c r="B713" s="92" t="s">
        <v>147</v>
      </c>
      <c r="C713" s="92" t="str">
        <f ca="1">IFERROR(__xludf.DUMMYFUNCTION("filter('Back End'!C:C,'Back End'!A:A=A713,'Back End'!B:B=B713,'Back End'!D:D=D713)"),"Thanti Konda")</f>
        <v>Thanti Konda</v>
      </c>
      <c r="D713" s="91" t="s">
        <v>175</v>
      </c>
      <c r="E713" s="92" t="s">
        <v>4192</v>
      </c>
      <c r="F713" s="91" t="s">
        <v>139</v>
      </c>
      <c r="G713" s="91" t="s">
        <v>594</v>
      </c>
      <c r="H713" s="93" t="s">
        <v>4</v>
      </c>
      <c r="I713" s="92" t="s">
        <v>4193</v>
      </c>
      <c r="J713" s="92">
        <v>9866085978</v>
      </c>
      <c r="K713" s="67"/>
      <c r="L713" s="67"/>
      <c r="M713" s="67"/>
      <c r="N713" s="67"/>
      <c r="O713" s="67"/>
    </row>
    <row r="714" spans="1:15" ht="45">
      <c r="A714" s="91" t="s">
        <v>19</v>
      </c>
      <c r="B714" s="92" t="s">
        <v>147</v>
      </c>
      <c r="C714" s="92" t="str">
        <f ca="1">IFERROR(__xludf.DUMMYFUNCTION("filter('Back End'!C:C,'Back End'!A:A=A714,'Back End'!B:B=B714,'Back End'!D:D=D714)"),"Thanti Konda")</f>
        <v>Thanti Konda</v>
      </c>
      <c r="D714" s="91" t="s">
        <v>175</v>
      </c>
      <c r="E714" s="92" t="s">
        <v>4194</v>
      </c>
      <c r="F714" s="91" t="s">
        <v>139</v>
      </c>
      <c r="G714" s="91" t="s">
        <v>594</v>
      </c>
      <c r="H714" s="93" t="s">
        <v>6</v>
      </c>
      <c r="I714" s="92" t="s">
        <v>4195</v>
      </c>
      <c r="J714" s="92">
        <v>9652994183</v>
      </c>
      <c r="K714" s="67"/>
      <c r="L714" s="67"/>
      <c r="M714" s="67"/>
      <c r="N714" s="67"/>
      <c r="O714" s="67"/>
    </row>
    <row r="715" spans="1:15" ht="45">
      <c r="A715" s="91" t="s">
        <v>19</v>
      </c>
      <c r="B715" s="92" t="s">
        <v>147</v>
      </c>
      <c r="C715" s="92" t="str">
        <f ca="1">IFERROR(__xludf.DUMMYFUNCTION("filter('Back End'!C:C,'Back End'!A:A=A715,'Back End'!B:B=B715,'Back End'!D:D=D715)"),"Thanti Konda")</f>
        <v>Thanti Konda</v>
      </c>
      <c r="D715" s="91" t="s">
        <v>175</v>
      </c>
      <c r="E715" s="92" t="s">
        <v>4196</v>
      </c>
      <c r="F715" s="91" t="s">
        <v>139</v>
      </c>
      <c r="G715" s="91" t="s">
        <v>594</v>
      </c>
      <c r="H715" s="93" t="s">
        <v>6</v>
      </c>
      <c r="I715" s="92" t="s">
        <v>3577</v>
      </c>
      <c r="J715" s="92" t="s">
        <v>2631</v>
      </c>
      <c r="K715" s="67"/>
      <c r="L715" s="67"/>
      <c r="M715" s="67"/>
      <c r="N715" s="67"/>
      <c r="O715" s="67"/>
    </row>
    <row r="716" spans="1:15" ht="15">
      <c r="A716" s="91" t="s">
        <v>7</v>
      </c>
      <c r="B716" s="92" t="s">
        <v>7</v>
      </c>
      <c r="C716" s="92" t="str">
        <f ca="1">IFERROR(__xludf.DUMMYFUNCTION("filter('Back End'!C:C,'Back End'!A:A=A716,'Back End'!B:B=B716,'Back End'!D:D=D716)"),"Kolimeru")</f>
        <v>Kolimeru</v>
      </c>
      <c r="D716" s="91" t="s">
        <v>765</v>
      </c>
      <c r="E716" s="92" t="s">
        <v>4197</v>
      </c>
      <c r="F716" s="91" t="s">
        <v>131</v>
      </c>
      <c r="G716" s="91" t="s">
        <v>594</v>
      </c>
      <c r="H716" s="93" t="s">
        <v>5</v>
      </c>
      <c r="I716" s="92" t="s">
        <v>4198</v>
      </c>
      <c r="J716" s="67"/>
      <c r="K716" s="67"/>
      <c r="L716" s="67"/>
      <c r="M716" s="67"/>
      <c r="N716" s="67"/>
      <c r="O716" s="67"/>
    </row>
    <row r="717" spans="1:15" ht="30">
      <c r="A717" s="91" t="s">
        <v>7</v>
      </c>
      <c r="B717" s="92" t="s">
        <v>7</v>
      </c>
      <c r="C717" s="92" t="str">
        <f ca="1">IFERROR(__xludf.DUMMYFUNCTION("filter('Back End'!C:C,'Back End'!A:A=A717,'Back End'!B:B=B717,'Back End'!D:D=D717)"),"Kolimeru")</f>
        <v>Kolimeru</v>
      </c>
      <c r="D717" s="91" t="s">
        <v>765</v>
      </c>
      <c r="E717" s="92" t="s">
        <v>4199</v>
      </c>
      <c r="F717" s="91" t="s">
        <v>114</v>
      </c>
      <c r="G717" s="91" t="s">
        <v>85</v>
      </c>
      <c r="H717" s="93" t="s">
        <v>5</v>
      </c>
      <c r="I717" s="92" t="s">
        <v>3944</v>
      </c>
      <c r="J717" s="67"/>
      <c r="K717" s="67"/>
      <c r="L717" s="67"/>
      <c r="M717" s="67"/>
      <c r="N717" s="67"/>
      <c r="O717" s="67"/>
    </row>
    <row r="718" spans="1:15" ht="30">
      <c r="A718" s="91" t="s">
        <v>7</v>
      </c>
      <c r="B718" s="92" t="s">
        <v>7</v>
      </c>
      <c r="C718" s="92" t="str">
        <f ca="1">IFERROR(__xludf.DUMMYFUNCTION("filter('Back End'!C:C,'Back End'!A:A=A718,'Back End'!B:B=B718,'Back End'!D:D=D718)"),"Kolimeru")</f>
        <v>Kolimeru</v>
      </c>
      <c r="D718" s="91" t="s">
        <v>765</v>
      </c>
      <c r="E718" s="92" t="s">
        <v>4200</v>
      </c>
      <c r="F718" s="91" t="s">
        <v>139</v>
      </c>
      <c r="G718" s="91" t="s">
        <v>594</v>
      </c>
      <c r="H718" s="93" t="s">
        <v>5</v>
      </c>
      <c r="I718" s="92" t="s">
        <v>4069</v>
      </c>
      <c r="J718" s="92">
        <v>9441225719</v>
      </c>
      <c r="K718" s="92" t="s">
        <v>1613</v>
      </c>
      <c r="L718" s="67"/>
      <c r="M718" s="67"/>
      <c r="N718" s="67"/>
      <c r="O718" s="67"/>
    </row>
    <row r="719" spans="1:15" ht="30">
      <c r="A719" s="91" t="s">
        <v>7</v>
      </c>
      <c r="B719" s="92" t="s">
        <v>7</v>
      </c>
      <c r="C719" s="92" t="str">
        <f ca="1">IFERROR(__xludf.DUMMYFUNCTION("filter('Back End'!C:C,'Back End'!A:A=A719,'Back End'!B:B=B719,'Back End'!D:D=D719)"),"Kolimeru")</f>
        <v>Kolimeru</v>
      </c>
      <c r="D719" s="91" t="s">
        <v>765</v>
      </c>
      <c r="E719" s="92" t="s">
        <v>4201</v>
      </c>
      <c r="F719" s="91" t="s">
        <v>139</v>
      </c>
      <c r="G719" s="91" t="s">
        <v>594</v>
      </c>
      <c r="H719" s="93" t="s">
        <v>5</v>
      </c>
      <c r="I719" s="92" t="s">
        <v>4202</v>
      </c>
      <c r="J719" s="92">
        <v>9666648587</v>
      </c>
      <c r="K719" s="92" t="s">
        <v>1608</v>
      </c>
      <c r="L719" s="67"/>
      <c r="M719" s="67"/>
      <c r="N719" s="67"/>
      <c r="O719" s="67"/>
    </row>
    <row r="720" spans="1:15" ht="30">
      <c r="A720" s="91" t="s">
        <v>7</v>
      </c>
      <c r="B720" s="92" t="s">
        <v>7</v>
      </c>
      <c r="C720" s="92" t="str">
        <f ca="1">IFERROR(__xludf.DUMMYFUNCTION("filter('Back End'!C:C,'Back End'!A:A=A720,'Back End'!B:B=B720,'Back End'!D:D=D720)"),"Kolimeru")</f>
        <v>Kolimeru</v>
      </c>
      <c r="D720" s="91" t="s">
        <v>765</v>
      </c>
      <c r="E720" s="92" t="s">
        <v>4203</v>
      </c>
      <c r="F720" s="91" t="s">
        <v>139</v>
      </c>
      <c r="G720" s="91" t="s">
        <v>594</v>
      </c>
      <c r="H720" s="93" t="s">
        <v>5</v>
      </c>
      <c r="I720" s="92" t="s">
        <v>4193</v>
      </c>
      <c r="J720" s="67"/>
      <c r="K720" s="67"/>
      <c r="L720" s="67"/>
      <c r="M720" s="67"/>
      <c r="N720" s="67"/>
      <c r="O720" s="67"/>
    </row>
    <row r="721" spans="1:15" ht="15">
      <c r="A721" s="91" t="s">
        <v>7</v>
      </c>
      <c r="B721" s="91" t="s">
        <v>7</v>
      </c>
      <c r="C721" s="92" t="str">
        <f ca="1">IFERROR(__xludf.DUMMYFUNCTION("filter('Back End'!C:C,'Back End'!A:A=A721,'Back End'!B:B=B721,'Back End'!D:D=D721)"),"Kolimeru")</f>
        <v>Kolimeru</v>
      </c>
      <c r="D721" s="91" t="s">
        <v>765</v>
      </c>
      <c r="E721" s="91" t="s">
        <v>4204</v>
      </c>
      <c r="F721" s="91" t="s">
        <v>1669</v>
      </c>
      <c r="G721" s="91" t="s">
        <v>615</v>
      </c>
      <c r="H721" s="93" t="s">
        <v>5</v>
      </c>
      <c r="I721" s="92" t="s">
        <v>4082</v>
      </c>
      <c r="J721" s="92">
        <v>9059077149</v>
      </c>
      <c r="K721" s="67"/>
      <c r="L721" s="67"/>
      <c r="M721" s="67"/>
      <c r="N721" s="67"/>
      <c r="O721" s="67"/>
    </row>
    <row r="722" spans="1:15" ht="30">
      <c r="A722" s="91" t="s">
        <v>7</v>
      </c>
      <c r="B722" s="91" t="s">
        <v>7</v>
      </c>
      <c r="C722" s="92" t="str">
        <f ca="1">IFERROR(__xludf.DUMMYFUNCTION("filter('Back End'!C:C,'Back End'!A:A=A722,'Back End'!B:B=B722,'Back End'!D:D=D722)"),"Kolimeru")</f>
        <v>Kolimeru</v>
      </c>
      <c r="D722" s="91" t="s">
        <v>765</v>
      </c>
      <c r="E722" s="91" t="s">
        <v>4205</v>
      </c>
      <c r="F722" s="91" t="s">
        <v>1665</v>
      </c>
      <c r="G722" s="91" t="s">
        <v>615</v>
      </c>
      <c r="H722" s="93" t="s">
        <v>4</v>
      </c>
      <c r="I722" s="92" t="s">
        <v>3463</v>
      </c>
      <c r="J722" s="92">
        <v>8688852559</v>
      </c>
      <c r="K722" s="67"/>
      <c r="L722" s="67"/>
      <c r="M722" s="67"/>
      <c r="N722" s="67"/>
      <c r="O722" s="67"/>
    </row>
    <row r="723" spans="1:15" ht="30">
      <c r="A723" s="91" t="s">
        <v>7</v>
      </c>
      <c r="B723" s="91" t="s">
        <v>7</v>
      </c>
      <c r="C723" s="92" t="str">
        <f ca="1">IFERROR(__xludf.DUMMYFUNCTION("filter('Back End'!C:C,'Back End'!A:A=A723,'Back End'!B:B=B723,'Back End'!D:D=D723)"),"Kolimeru")</f>
        <v>Kolimeru</v>
      </c>
      <c r="D723" s="91" t="s">
        <v>765</v>
      </c>
      <c r="E723" s="91" t="s">
        <v>4206</v>
      </c>
      <c r="F723" s="91" t="s">
        <v>139</v>
      </c>
      <c r="G723" s="91" t="s">
        <v>594</v>
      </c>
      <c r="H723" s="93" t="s">
        <v>4</v>
      </c>
      <c r="I723" s="92" t="s">
        <v>3463</v>
      </c>
      <c r="J723" s="92">
        <v>6303312470</v>
      </c>
      <c r="K723" s="67"/>
      <c r="L723" s="67"/>
      <c r="M723" s="67"/>
      <c r="N723" s="67"/>
      <c r="O723" s="67"/>
    </row>
    <row r="724" spans="1:15" ht="15">
      <c r="A724" s="91" t="s">
        <v>7</v>
      </c>
      <c r="B724" s="109" t="s">
        <v>7</v>
      </c>
      <c r="C724" s="92" t="str">
        <f ca="1">IFERROR(__xludf.DUMMYFUNCTION("filter('Back End'!C:C,'Back End'!A:A=A724,'Back End'!B:B=B724,'Back End'!D:D=D724)"),"Kolimeru")</f>
        <v>Kolimeru</v>
      </c>
      <c r="D724" s="91" t="s">
        <v>765</v>
      </c>
      <c r="E724" s="91" t="s">
        <v>4207</v>
      </c>
      <c r="F724" s="91" t="s">
        <v>139</v>
      </c>
      <c r="G724" s="91" t="s">
        <v>594</v>
      </c>
      <c r="H724" s="93" t="s">
        <v>4</v>
      </c>
      <c r="I724" s="92" t="s">
        <v>3125</v>
      </c>
      <c r="J724" s="92">
        <v>9989112419</v>
      </c>
      <c r="K724" s="67"/>
      <c r="L724" s="67"/>
      <c r="M724" s="67"/>
      <c r="N724" s="67"/>
      <c r="O724" s="67"/>
    </row>
    <row r="725" spans="1:15" ht="15">
      <c r="A725" s="91" t="s">
        <v>7</v>
      </c>
      <c r="B725" s="91" t="s">
        <v>7</v>
      </c>
      <c r="C725" s="92" t="str">
        <f ca="1">IFERROR(__xludf.DUMMYFUNCTION("filter('Back End'!C:C,'Back End'!A:A=A725,'Back End'!B:B=B725,'Back End'!D:D=D725)"),"Kolimeru")</f>
        <v>Kolimeru</v>
      </c>
      <c r="D725" s="91" t="s">
        <v>765</v>
      </c>
      <c r="E725" s="91" t="s">
        <v>4208</v>
      </c>
      <c r="F725" s="91" t="s">
        <v>139</v>
      </c>
      <c r="G725" s="91" t="s">
        <v>594</v>
      </c>
      <c r="H725" s="93" t="s">
        <v>4</v>
      </c>
      <c r="I725" s="92" t="s">
        <v>3767</v>
      </c>
      <c r="J725" s="92">
        <v>9177743211</v>
      </c>
      <c r="K725" s="67"/>
      <c r="L725" s="67"/>
      <c r="M725" s="67"/>
      <c r="N725" s="67"/>
      <c r="O725" s="67"/>
    </row>
    <row r="726" spans="1:15" ht="30">
      <c r="A726" s="91" t="s">
        <v>19</v>
      </c>
      <c r="B726" s="92" t="s">
        <v>430</v>
      </c>
      <c r="C726" s="92" t="str">
        <f ca="1">IFERROR(__xludf.DUMMYFUNCTION("filter('Back End'!C:C,'Back End'!A:A=A726,'Back End'!B:B=B726,'Back End'!D:D=D726)"),"#N/A")</f>
        <v>#N/A</v>
      </c>
      <c r="D726" s="91" t="s">
        <v>453</v>
      </c>
      <c r="E726" s="92" t="s">
        <v>4209</v>
      </c>
      <c r="F726" s="91" t="s">
        <v>139</v>
      </c>
      <c r="G726" s="91" t="s">
        <v>594</v>
      </c>
      <c r="H726" s="93" t="s">
        <v>4</v>
      </c>
      <c r="I726" s="92" t="s">
        <v>4210</v>
      </c>
      <c r="J726" s="92">
        <v>9959354587</v>
      </c>
      <c r="K726" s="67"/>
      <c r="L726" s="67"/>
      <c r="M726" s="67"/>
      <c r="N726" s="67"/>
      <c r="O726" s="67"/>
    </row>
    <row r="727" spans="1:15" ht="15">
      <c r="A727" s="91" t="s">
        <v>19</v>
      </c>
      <c r="B727" s="92" t="s">
        <v>430</v>
      </c>
      <c r="C727" s="92" t="str">
        <f ca="1">IFERROR(__xludf.DUMMYFUNCTION("filter('Back End'!C:C,'Back End'!A:A=A727,'Back End'!B:B=B727,'Back End'!D:D=D727)"),"#N/A")</f>
        <v>#N/A</v>
      </c>
      <c r="D727" s="91" t="s">
        <v>453</v>
      </c>
      <c r="E727" s="92" t="s">
        <v>4211</v>
      </c>
      <c r="F727" s="91" t="s">
        <v>139</v>
      </c>
      <c r="G727" s="91" t="s">
        <v>594</v>
      </c>
      <c r="H727" s="93" t="s">
        <v>5</v>
      </c>
      <c r="I727" s="92" t="s">
        <v>3185</v>
      </c>
      <c r="J727" s="92">
        <v>9247708360</v>
      </c>
      <c r="K727" s="67"/>
      <c r="L727" s="67"/>
      <c r="M727" s="67"/>
      <c r="N727" s="67"/>
      <c r="O727" s="67"/>
    </row>
    <row r="728" spans="1:15" ht="30">
      <c r="A728" s="91" t="s">
        <v>19</v>
      </c>
      <c r="B728" s="92" t="s">
        <v>430</v>
      </c>
      <c r="C728" s="92" t="str">
        <f ca="1">IFERROR(__xludf.DUMMYFUNCTION("filter('Back End'!C:C,'Back End'!A:A=A728,'Back End'!B:B=B728,'Back End'!D:D=D728)"),"#N/A")</f>
        <v>#N/A</v>
      </c>
      <c r="D728" s="91" t="s">
        <v>453</v>
      </c>
      <c r="E728" s="92" t="s">
        <v>4212</v>
      </c>
      <c r="F728" s="91" t="s">
        <v>139</v>
      </c>
      <c r="G728" s="91" t="s">
        <v>594</v>
      </c>
      <c r="H728" s="93" t="s">
        <v>6</v>
      </c>
      <c r="I728" s="92" t="s">
        <v>3120</v>
      </c>
      <c r="J728" s="92">
        <v>9959354587</v>
      </c>
      <c r="K728" s="67"/>
      <c r="L728" s="67"/>
      <c r="M728" s="67"/>
      <c r="N728" s="67"/>
      <c r="O728" s="67"/>
    </row>
    <row r="729" spans="1:15" ht="75">
      <c r="A729" s="91" t="s">
        <v>19</v>
      </c>
      <c r="B729" s="92" t="s">
        <v>430</v>
      </c>
      <c r="C729" s="92" t="str">
        <f ca="1">IFERROR(__xludf.DUMMYFUNCTION("filter('Back End'!C:C,'Back End'!A:A=A729,'Back End'!B:B=B729,'Back End'!D:D=D729)"),"#N/A")</f>
        <v>#N/A</v>
      </c>
      <c r="D729" s="91" t="s">
        <v>453</v>
      </c>
      <c r="E729" s="92" t="s">
        <v>4213</v>
      </c>
      <c r="F729" s="91" t="s">
        <v>139</v>
      </c>
      <c r="G729" s="91" t="s">
        <v>594</v>
      </c>
      <c r="H729" s="93" t="s">
        <v>6</v>
      </c>
      <c r="I729" s="92" t="s">
        <v>4214</v>
      </c>
      <c r="J729" s="92">
        <v>9959354587</v>
      </c>
      <c r="K729" s="67"/>
      <c r="L729" s="67"/>
      <c r="M729" s="67"/>
      <c r="N729" s="67"/>
      <c r="O729" s="67"/>
    </row>
    <row r="730" spans="1:15" ht="45">
      <c r="A730" s="91" t="s">
        <v>19</v>
      </c>
      <c r="B730" s="92" t="s">
        <v>430</v>
      </c>
      <c r="C730" s="92" t="str">
        <f ca="1">IFERROR(__xludf.DUMMYFUNCTION("filter('Back End'!C:C,'Back End'!A:A=A730,'Back End'!B:B=B730,'Back End'!D:D=D730)"),"#N/A")</f>
        <v>#N/A</v>
      </c>
      <c r="D730" s="91" t="s">
        <v>453</v>
      </c>
      <c r="E730" s="92" t="s">
        <v>4215</v>
      </c>
      <c r="F730" s="91" t="s">
        <v>139</v>
      </c>
      <c r="G730" s="91" t="s">
        <v>594</v>
      </c>
      <c r="H730" s="93" t="s">
        <v>5</v>
      </c>
      <c r="I730" s="92" t="s">
        <v>3645</v>
      </c>
      <c r="J730" s="92">
        <v>9441856547</v>
      </c>
      <c r="K730" s="67"/>
      <c r="L730" s="67"/>
      <c r="M730" s="67"/>
      <c r="N730" s="67"/>
      <c r="O730" s="67"/>
    </row>
    <row r="731" spans="1:15" ht="15">
      <c r="A731" s="91" t="s">
        <v>10</v>
      </c>
      <c r="B731" s="91" t="s">
        <v>430</v>
      </c>
      <c r="C731" s="92" t="str">
        <f ca="1">IFERROR(__xludf.DUMMYFUNCTION("filter('Back End'!C:C,'Back End'!A:A=A731,'Back End'!B:B=B731,'Back End'!D:D=D731)"),"Vannepudi")</f>
        <v>Vannepudi</v>
      </c>
      <c r="D731" s="91" t="s">
        <v>453</v>
      </c>
      <c r="E731" s="91" t="s">
        <v>4216</v>
      </c>
      <c r="F731" s="67" t="s">
        <v>3138</v>
      </c>
      <c r="G731" s="67"/>
      <c r="H731" s="93" t="s">
        <v>4</v>
      </c>
      <c r="I731" s="67"/>
      <c r="J731" s="92">
        <v>8555061617</v>
      </c>
      <c r="K731" s="67"/>
      <c r="L731" s="67"/>
      <c r="M731" s="67"/>
      <c r="N731" s="67"/>
      <c r="O731" s="67"/>
    </row>
    <row r="732" spans="1:15" ht="15">
      <c r="A732" s="91" t="s">
        <v>10</v>
      </c>
      <c r="B732" s="91" t="s">
        <v>430</v>
      </c>
      <c r="C732" s="92" t="str">
        <f ca="1">IFERROR(__xludf.DUMMYFUNCTION("filter('Back End'!C:C,'Back End'!A:A=A732,'Back End'!B:B=B732,'Back End'!D:D=D732)"),"Vannepudi")</f>
        <v>Vannepudi</v>
      </c>
      <c r="D732" s="91" t="s">
        <v>453</v>
      </c>
      <c r="E732" s="91" t="s">
        <v>4217</v>
      </c>
      <c r="F732" s="67" t="s">
        <v>3138</v>
      </c>
      <c r="G732" s="67"/>
      <c r="H732" s="93" t="s">
        <v>4</v>
      </c>
      <c r="I732" s="67"/>
      <c r="J732" s="92">
        <v>8142044804</v>
      </c>
      <c r="K732" s="67"/>
      <c r="L732" s="67"/>
      <c r="M732" s="67"/>
      <c r="N732" s="67"/>
      <c r="O732" s="67"/>
    </row>
    <row r="733" spans="1:15" ht="15">
      <c r="A733" s="91" t="s">
        <v>10</v>
      </c>
      <c r="B733" s="91" t="s">
        <v>430</v>
      </c>
      <c r="C733" s="92" t="str">
        <f ca="1">IFERROR(__xludf.DUMMYFUNCTION("filter('Back End'!C:C,'Back End'!A:A=A733,'Back End'!B:B=B733,'Back End'!D:D=D733)"),"Vannepudi")</f>
        <v>Vannepudi</v>
      </c>
      <c r="D733" s="91" t="s">
        <v>453</v>
      </c>
      <c r="E733" s="91" t="s">
        <v>4218</v>
      </c>
      <c r="F733" s="67" t="s">
        <v>3138</v>
      </c>
      <c r="G733" s="67"/>
      <c r="H733" s="93" t="s">
        <v>4</v>
      </c>
      <c r="I733" s="67"/>
      <c r="J733" s="92">
        <v>9966311110</v>
      </c>
      <c r="K733" s="67"/>
      <c r="L733" s="67"/>
      <c r="M733" s="67"/>
      <c r="N733" s="67"/>
      <c r="O733" s="67"/>
    </row>
    <row r="734" spans="1:15" ht="15">
      <c r="A734" s="91" t="s">
        <v>10</v>
      </c>
      <c r="B734" s="91" t="s">
        <v>430</v>
      </c>
      <c r="C734" s="92" t="str">
        <f ca="1">IFERROR(__xludf.DUMMYFUNCTION("filter('Back End'!C:C,'Back End'!A:A=A734,'Back End'!B:B=B734,'Back End'!D:D=D734)"),"Vannepudi")</f>
        <v>Vannepudi</v>
      </c>
      <c r="D734" s="91" t="s">
        <v>453</v>
      </c>
      <c r="E734" s="91" t="s">
        <v>4219</v>
      </c>
      <c r="F734" s="67" t="s">
        <v>3138</v>
      </c>
      <c r="G734" s="67"/>
      <c r="H734" s="93" t="s">
        <v>4</v>
      </c>
      <c r="I734" s="92" t="s">
        <v>3125</v>
      </c>
      <c r="J734" s="92">
        <v>8121467443</v>
      </c>
      <c r="K734" s="67"/>
      <c r="L734" s="67"/>
      <c r="M734" s="67"/>
      <c r="N734" s="67"/>
      <c r="O734" s="67"/>
    </row>
    <row r="735" spans="1:15" ht="15">
      <c r="A735" s="91" t="s">
        <v>10</v>
      </c>
      <c r="B735" s="91" t="s">
        <v>430</v>
      </c>
      <c r="C735" s="92" t="str">
        <f ca="1">IFERROR(__xludf.DUMMYFUNCTION("filter('Back End'!C:C,'Back End'!A:A=A735,'Back End'!B:B=B735,'Back End'!D:D=D735)"),"Vannepudi")</f>
        <v>Vannepudi</v>
      </c>
      <c r="D735" s="91" t="s">
        <v>453</v>
      </c>
      <c r="E735" s="91" t="s">
        <v>4220</v>
      </c>
      <c r="F735" s="91" t="s">
        <v>451</v>
      </c>
      <c r="G735" s="91" t="s">
        <v>615</v>
      </c>
      <c r="H735" s="93" t="s">
        <v>5</v>
      </c>
      <c r="I735" s="67"/>
      <c r="J735" s="92">
        <v>9963589799</v>
      </c>
      <c r="K735" s="67"/>
      <c r="L735" s="67"/>
      <c r="M735" s="67"/>
      <c r="N735" s="67"/>
      <c r="O735" s="67"/>
    </row>
    <row r="736" spans="1:15" ht="15">
      <c r="A736" s="91" t="s">
        <v>10</v>
      </c>
      <c r="B736" s="91" t="s">
        <v>430</v>
      </c>
      <c r="C736" s="92" t="str">
        <f ca="1">IFERROR(__xludf.DUMMYFUNCTION("filter('Back End'!C:C,'Back End'!A:A=A736,'Back End'!B:B=B736,'Back End'!D:D=D736)"),"Vannepudi")</f>
        <v>Vannepudi</v>
      </c>
      <c r="D736" s="91" t="s">
        <v>453</v>
      </c>
      <c r="E736" s="91" t="s">
        <v>4221</v>
      </c>
      <c r="F736" s="91" t="s">
        <v>139</v>
      </c>
      <c r="G736" s="91" t="s">
        <v>594</v>
      </c>
      <c r="H736" s="93" t="s">
        <v>5</v>
      </c>
      <c r="I736" s="67"/>
      <c r="J736" s="92">
        <v>9441252231</v>
      </c>
      <c r="K736" s="67"/>
      <c r="L736" s="67"/>
      <c r="M736" s="67"/>
      <c r="N736" s="67"/>
      <c r="O736" s="67"/>
    </row>
    <row r="737" spans="1:15" ht="15">
      <c r="A737" s="91" t="s">
        <v>10</v>
      </c>
      <c r="B737" s="91" t="s">
        <v>430</v>
      </c>
      <c r="C737" s="92" t="str">
        <f ca="1">IFERROR(__xludf.DUMMYFUNCTION("filter('Back End'!C:C,'Back End'!A:A=A737,'Back End'!B:B=B737,'Back End'!D:D=D737)"),"Vannepudi")</f>
        <v>Vannepudi</v>
      </c>
      <c r="D737" s="91" t="s">
        <v>453</v>
      </c>
      <c r="E737" s="91" t="s">
        <v>4222</v>
      </c>
      <c r="F737" s="67" t="s">
        <v>3138</v>
      </c>
      <c r="G737" s="67"/>
      <c r="H737" s="93" t="s">
        <v>5</v>
      </c>
      <c r="I737" s="67"/>
      <c r="J737" s="92">
        <v>9866868698</v>
      </c>
      <c r="K737" s="67"/>
      <c r="L737" s="67"/>
      <c r="M737" s="67"/>
      <c r="N737" s="67"/>
      <c r="O737" s="67"/>
    </row>
    <row r="738" spans="1:15" ht="30.4">
      <c r="A738" s="91" t="s">
        <v>19</v>
      </c>
      <c r="B738" s="92" t="s">
        <v>88</v>
      </c>
      <c r="C738" s="111" t="s">
        <v>89</v>
      </c>
      <c r="D738" s="91" t="s">
        <v>89</v>
      </c>
      <c r="E738" s="92" t="s">
        <v>91</v>
      </c>
      <c r="F738" s="91" t="s">
        <v>94</v>
      </c>
      <c r="G738" s="91" t="s">
        <v>615</v>
      </c>
      <c r="H738" s="93" t="s">
        <v>5</v>
      </c>
      <c r="I738" s="92" t="s">
        <v>3115</v>
      </c>
      <c r="J738" s="92">
        <v>9705171931</v>
      </c>
      <c r="K738" s="67"/>
      <c r="L738" s="67"/>
      <c r="M738" s="67"/>
      <c r="N738" s="67"/>
      <c r="O738" s="67"/>
    </row>
    <row r="739" spans="1:15" ht="30.4">
      <c r="A739" s="91" t="s">
        <v>19</v>
      </c>
      <c r="B739" s="92" t="s">
        <v>88</v>
      </c>
      <c r="C739" s="111" t="s">
        <v>89</v>
      </c>
      <c r="D739" s="91" t="s">
        <v>89</v>
      </c>
      <c r="E739" s="92" t="s">
        <v>4223</v>
      </c>
      <c r="F739" s="91" t="s">
        <v>94</v>
      </c>
      <c r="G739" s="91" t="s">
        <v>615</v>
      </c>
      <c r="H739" s="93" t="s">
        <v>4</v>
      </c>
      <c r="I739" s="92" t="s">
        <v>4224</v>
      </c>
      <c r="J739" s="92">
        <v>9948744969</v>
      </c>
      <c r="K739" s="67"/>
      <c r="L739" s="67"/>
      <c r="M739" s="67"/>
      <c r="N739" s="67"/>
      <c r="O739" s="67"/>
    </row>
    <row r="740" spans="1:15" ht="30.4">
      <c r="A740" s="91" t="s">
        <v>19</v>
      </c>
      <c r="B740" s="91" t="s">
        <v>88</v>
      </c>
      <c r="C740" s="111" t="s">
        <v>89</v>
      </c>
      <c r="D740" s="91" t="s">
        <v>89</v>
      </c>
      <c r="E740" s="91" t="s">
        <v>4225</v>
      </c>
      <c r="F740" s="91" t="s">
        <v>94</v>
      </c>
      <c r="G740" s="91" t="s">
        <v>615</v>
      </c>
      <c r="H740" s="93" t="s">
        <v>5</v>
      </c>
      <c r="I740" s="92" t="s">
        <v>4226</v>
      </c>
      <c r="J740" s="92">
        <v>9912256835</v>
      </c>
      <c r="K740" s="67"/>
      <c r="L740" s="67"/>
      <c r="M740" s="67"/>
      <c r="N740" s="67"/>
      <c r="O740" s="67"/>
    </row>
    <row r="741" spans="1:15" ht="16.5">
      <c r="A741" s="91" t="s">
        <v>19</v>
      </c>
      <c r="B741" s="91" t="s">
        <v>88</v>
      </c>
      <c r="C741" s="111" t="s">
        <v>89</v>
      </c>
      <c r="D741" s="91" t="s">
        <v>89</v>
      </c>
      <c r="E741" s="91" t="s">
        <v>91</v>
      </c>
      <c r="F741" s="91" t="s">
        <v>94</v>
      </c>
      <c r="G741" s="91" t="s">
        <v>615</v>
      </c>
      <c r="H741" s="93" t="s">
        <v>5</v>
      </c>
      <c r="I741" s="92" t="s">
        <v>3115</v>
      </c>
      <c r="J741" s="92">
        <v>9705171931</v>
      </c>
      <c r="K741" s="67"/>
      <c r="L741" s="67"/>
      <c r="M741" s="67"/>
      <c r="N741" s="67"/>
      <c r="O741" s="67"/>
    </row>
    <row r="742" spans="1:15" ht="15">
      <c r="A742" s="91" t="s">
        <v>19</v>
      </c>
      <c r="B742" s="91" t="s">
        <v>88</v>
      </c>
      <c r="C742" s="92" t="str">
        <f ca="1">IFERROR(__xludf.DUMMYFUNCTION("filter('Back End'!C:C,'Back End'!A:A=A742,'Back End'!B:B=B742,'Back End'!D:D=D742)"),"Borrampalem")</f>
        <v>Borrampalem</v>
      </c>
      <c r="D742" s="91" t="s">
        <v>89</v>
      </c>
      <c r="E742" s="91" t="s">
        <v>4227</v>
      </c>
      <c r="F742" s="91" t="s">
        <v>94</v>
      </c>
      <c r="G742" s="91" t="s">
        <v>615</v>
      </c>
      <c r="H742" s="93" t="s">
        <v>4</v>
      </c>
      <c r="I742" s="92" t="s">
        <v>3164</v>
      </c>
      <c r="J742" s="92">
        <v>8712949447</v>
      </c>
      <c r="K742" s="67"/>
      <c r="L742" s="67"/>
      <c r="M742" s="67"/>
      <c r="N742" s="67"/>
      <c r="O742" s="67"/>
    </row>
    <row r="743" spans="1:15" ht="15">
      <c r="A743" s="91" t="s">
        <v>19</v>
      </c>
      <c r="B743" s="91" t="s">
        <v>88</v>
      </c>
      <c r="C743" s="92" t="str">
        <f ca="1">IFERROR(__xludf.DUMMYFUNCTION("filter('Back End'!C:C,'Back End'!A:A=A743,'Back End'!B:B=B743,'Back End'!D:D=D743)"),"Borrampalem")</f>
        <v>Borrampalem</v>
      </c>
      <c r="D743" s="91" t="s">
        <v>89</v>
      </c>
      <c r="E743" s="91" t="s">
        <v>4228</v>
      </c>
      <c r="F743" s="91" t="s">
        <v>94</v>
      </c>
      <c r="G743" s="91" t="s">
        <v>615</v>
      </c>
      <c r="H743" s="93" t="s">
        <v>4</v>
      </c>
      <c r="I743" s="92" t="s">
        <v>3125</v>
      </c>
      <c r="J743" s="92">
        <v>9573937265</v>
      </c>
      <c r="K743" s="67"/>
      <c r="L743" s="67"/>
      <c r="M743" s="67"/>
      <c r="N743" s="67"/>
      <c r="O743" s="67"/>
    </row>
    <row r="744" spans="1:15" ht="30">
      <c r="A744" s="91" t="s">
        <v>19</v>
      </c>
      <c r="B744" s="92" t="s">
        <v>88</v>
      </c>
      <c r="C744" s="92" t="str">
        <f ca="1">IFERROR(__xludf.DUMMYFUNCTION("filter('Back End'!C:C,'Back End'!A:A=A744,'Back End'!B:B=B744,'Back End'!D:D=D744)"),"N.T.Rajapuram")</f>
        <v>N.T.Rajapuram</v>
      </c>
      <c r="D744" s="91" t="s">
        <v>115</v>
      </c>
      <c r="E744" s="92" t="s">
        <v>116</v>
      </c>
      <c r="F744" s="67" t="s">
        <v>3138</v>
      </c>
      <c r="G744" s="67"/>
      <c r="H744" s="93" t="s">
        <v>5</v>
      </c>
      <c r="I744" s="92" t="s">
        <v>4229</v>
      </c>
      <c r="J744" s="92">
        <v>8309596673</v>
      </c>
      <c r="K744" s="67"/>
      <c r="L744" s="67"/>
      <c r="M744" s="67"/>
      <c r="N744" s="67"/>
      <c r="O744" s="67"/>
    </row>
    <row r="745" spans="1:15" ht="45">
      <c r="A745" s="91" t="s">
        <v>10</v>
      </c>
      <c r="B745" s="92" t="s">
        <v>261</v>
      </c>
      <c r="C745" s="92" t="str">
        <f ca="1">IFERROR(__xludf.DUMMYFUNCTION("filter('Back End'!C:C,'Back End'!A:A=A745,'Back End'!B:B=B745,'Back End'!D:D=D745)"),"#N/A")</f>
        <v>#N/A</v>
      </c>
      <c r="D745" s="91" t="s">
        <v>271</v>
      </c>
      <c r="E745" s="92" t="s">
        <v>272</v>
      </c>
      <c r="F745" s="91" t="s">
        <v>1684</v>
      </c>
      <c r="G745" s="91" t="s">
        <v>594</v>
      </c>
      <c r="H745" s="93" t="s">
        <v>5</v>
      </c>
      <c r="I745" s="92" t="s">
        <v>4069</v>
      </c>
      <c r="J745" s="92">
        <v>9705389099</v>
      </c>
      <c r="K745" s="67"/>
      <c r="L745" s="67"/>
      <c r="M745" s="67"/>
      <c r="N745" s="67"/>
      <c r="O745" s="67"/>
    </row>
    <row r="746" spans="1:15" ht="30">
      <c r="A746" s="91" t="s">
        <v>10</v>
      </c>
      <c r="B746" s="92" t="s">
        <v>261</v>
      </c>
      <c r="C746" s="92" t="str">
        <f ca="1">IFERROR(__xludf.DUMMYFUNCTION("filter('Back End'!C:C,'Back End'!A:A=A746,'Back End'!B:B=B746,'Back End'!D:D=D746)"),"#N/A")</f>
        <v>#N/A</v>
      </c>
      <c r="D746" s="91" t="s">
        <v>271</v>
      </c>
      <c r="E746" s="92" t="s">
        <v>4230</v>
      </c>
      <c r="F746" s="91" t="s">
        <v>139</v>
      </c>
      <c r="G746" s="91" t="s">
        <v>594</v>
      </c>
      <c r="H746" s="93" t="s">
        <v>5</v>
      </c>
      <c r="I746" s="92" t="s">
        <v>4231</v>
      </c>
      <c r="J746" s="92">
        <v>9492834413</v>
      </c>
      <c r="K746" s="67"/>
      <c r="L746" s="67"/>
      <c r="M746" s="67"/>
      <c r="N746" s="67"/>
      <c r="O746" s="67"/>
    </row>
    <row r="747" spans="1:15" ht="45">
      <c r="A747" s="91" t="s">
        <v>10</v>
      </c>
      <c r="B747" s="92" t="s">
        <v>261</v>
      </c>
      <c r="C747" s="92" t="str">
        <f ca="1">IFERROR(__xludf.DUMMYFUNCTION("filter('Back End'!C:C,'Back End'!A:A=A747,'Back End'!B:B=B747,'Back End'!D:D=D747)"),"#N/A")</f>
        <v>#N/A</v>
      </c>
      <c r="D747" s="91" t="s">
        <v>271</v>
      </c>
      <c r="E747" s="92" t="s">
        <v>4232</v>
      </c>
      <c r="F747" s="91" t="s">
        <v>595</v>
      </c>
      <c r="G747" s="91" t="s">
        <v>594</v>
      </c>
      <c r="H747" s="93" t="s">
        <v>5</v>
      </c>
      <c r="I747" s="92" t="s">
        <v>3115</v>
      </c>
      <c r="J747" s="92">
        <v>9705389099</v>
      </c>
      <c r="K747" s="67"/>
      <c r="L747" s="67"/>
      <c r="M747" s="67"/>
      <c r="N747" s="67"/>
      <c r="O747" s="67"/>
    </row>
    <row r="748" spans="1:15" ht="45">
      <c r="A748" s="91" t="s">
        <v>10</v>
      </c>
      <c r="B748" s="92" t="s">
        <v>261</v>
      </c>
      <c r="C748" s="92" t="str">
        <f ca="1">IFERROR(__xludf.DUMMYFUNCTION("filter('Back End'!C:C,'Back End'!A:A=A748,'Back End'!B:B=B748,'Back End'!D:D=D748)"),"#N/A")</f>
        <v>#N/A</v>
      </c>
      <c r="D748" s="91" t="s">
        <v>271</v>
      </c>
      <c r="E748" s="92" t="s">
        <v>4233</v>
      </c>
      <c r="F748" s="91" t="s">
        <v>139</v>
      </c>
      <c r="G748" s="91" t="s">
        <v>594</v>
      </c>
      <c r="H748" s="93" t="s">
        <v>4</v>
      </c>
      <c r="I748" s="92" t="s">
        <v>4234</v>
      </c>
      <c r="J748" s="67"/>
      <c r="K748" s="67"/>
      <c r="L748" s="67"/>
      <c r="M748" s="67"/>
      <c r="N748" s="67"/>
      <c r="O748" s="67"/>
    </row>
    <row r="749" spans="1:15" ht="30">
      <c r="A749" s="91" t="s">
        <v>7</v>
      </c>
      <c r="B749" s="92" t="s">
        <v>88</v>
      </c>
      <c r="C749" s="92" t="str">
        <f ca="1">IFERROR(__xludf.DUMMYFUNCTION("filter('Back End'!C:C,'Back End'!A:A=A749,'Back End'!B:B=B749,'Back End'!D:D=D749)"),"#N/A")</f>
        <v>#N/A</v>
      </c>
      <c r="D749" s="91" t="s">
        <v>127</v>
      </c>
      <c r="E749" s="92" t="s">
        <v>4235</v>
      </c>
      <c r="F749" s="91" t="s">
        <v>213</v>
      </c>
      <c r="G749" s="91" t="s">
        <v>615</v>
      </c>
      <c r="H749" s="93" t="s">
        <v>5</v>
      </c>
      <c r="I749" s="92" t="s">
        <v>4236</v>
      </c>
      <c r="J749" s="67"/>
      <c r="K749" s="67"/>
      <c r="L749" s="67"/>
      <c r="M749" s="67"/>
      <c r="N749" s="67"/>
      <c r="O749" s="67"/>
    </row>
    <row r="750" spans="1:15" ht="30">
      <c r="A750" s="91" t="s">
        <v>7</v>
      </c>
      <c r="B750" s="92" t="s">
        <v>88</v>
      </c>
      <c r="C750" s="92" t="str">
        <f ca="1">IFERROR(__xludf.DUMMYFUNCTION("filter('Back End'!C:C,'Back End'!A:A=A750,'Back End'!B:B=B750,'Back End'!D:D=D750)"),"#N/A")</f>
        <v>#N/A</v>
      </c>
      <c r="D750" s="91" t="s">
        <v>127</v>
      </c>
      <c r="E750" s="92" t="s">
        <v>4237</v>
      </c>
      <c r="F750" s="91" t="s">
        <v>213</v>
      </c>
      <c r="G750" s="91" t="s">
        <v>615</v>
      </c>
      <c r="H750" s="93" t="s">
        <v>5</v>
      </c>
      <c r="I750" s="92" t="s">
        <v>2631</v>
      </c>
      <c r="J750" s="92">
        <v>9848703651</v>
      </c>
      <c r="K750" s="67"/>
      <c r="L750" s="67"/>
      <c r="M750" s="67"/>
      <c r="N750" s="67"/>
      <c r="O750" s="67"/>
    </row>
    <row r="751" spans="1:15" ht="30">
      <c r="A751" s="91" t="s">
        <v>7</v>
      </c>
      <c r="B751" s="92" t="s">
        <v>88</v>
      </c>
      <c r="C751" s="92" t="str">
        <f ca="1">IFERROR(__xludf.DUMMYFUNCTION("filter('Back End'!C:C,'Back End'!A:A=A751,'Back End'!B:B=B751,'Back End'!D:D=D751)"),"#N/A")</f>
        <v>#N/A</v>
      </c>
      <c r="D751" s="91" t="s">
        <v>127</v>
      </c>
      <c r="E751" s="92" t="s">
        <v>4238</v>
      </c>
      <c r="F751" s="91" t="s">
        <v>213</v>
      </c>
      <c r="G751" s="91" t="s">
        <v>615</v>
      </c>
      <c r="H751" s="93" t="s">
        <v>5</v>
      </c>
      <c r="I751" s="92" t="s">
        <v>2631</v>
      </c>
      <c r="J751" s="92" t="s">
        <v>2631</v>
      </c>
      <c r="K751" s="67"/>
      <c r="L751" s="67"/>
      <c r="M751" s="67"/>
      <c r="N751" s="67"/>
      <c r="O751" s="67"/>
    </row>
    <row r="752" spans="1:15" ht="45">
      <c r="A752" s="91" t="s">
        <v>7</v>
      </c>
      <c r="B752" s="92" t="s">
        <v>88</v>
      </c>
      <c r="C752" s="92" t="str">
        <f ca="1">IFERROR(__xludf.DUMMYFUNCTION("filter('Back End'!C:C,'Back End'!A:A=A752,'Back End'!B:B=B752,'Back End'!D:D=D752)"),"#N/A")</f>
        <v>#N/A</v>
      </c>
      <c r="D752" s="91" t="s">
        <v>132</v>
      </c>
      <c r="E752" s="92" t="s">
        <v>4239</v>
      </c>
      <c r="F752" s="91" t="s">
        <v>213</v>
      </c>
      <c r="G752" s="91" t="s">
        <v>615</v>
      </c>
      <c r="H752" s="93" t="s">
        <v>5</v>
      </c>
      <c r="I752" s="92" t="s">
        <v>4240</v>
      </c>
      <c r="J752" s="92" t="s">
        <v>2631</v>
      </c>
      <c r="K752" s="67"/>
      <c r="L752" s="67"/>
      <c r="M752" s="67"/>
      <c r="N752" s="67"/>
      <c r="O752" s="67"/>
    </row>
    <row r="753" spans="1:15" ht="30">
      <c r="A753" s="91" t="s">
        <v>7</v>
      </c>
      <c r="B753" s="92" t="s">
        <v>88</v>
      </c>
      <c r="C753" s="92" t="str">
        <f ca="1">IFERROR(__xludf.DUMMYFUNCTION("filter('Back End'!C:C,'Back End'!A:A=A753,'Back End'!B:B=B753,'Back End'!D:D=D753)"),"#N/A")</f>
        <v>#N/A</v>
      </c>
      <c r="D753" s="91" t="s">
        <v>132</v>
      </c>
      <c r="E753" s="92" t="s">
        <v>133</v>
      </c>
      <c r="F753" s="91" t="s">
        <v>213</v>
      </c>
      <c r="G753" s="91" t="s">
        <v>615</v>
      </c>
      <c r="H753" s="93" t="s">
        <v>5</v>
      </c>
      <c r="I753" s="92" t="s">
        <v>3115</v>
      </c>
      <c r="J753" s="92">
        <v>9492885777</v>
      </c>
      <c r="K753" s="67"/>
      <c r="L753" s="67"/>
      <c r="M753" s="67"/>
      <c r="N753" s="67"/>
      <c r="O753" s="67"/>
    </row>
    <row r="754" spans="1:15" ht="15">
      <c r="A754" s="91" t="s">
        <v>7</v>
      </c>
      <c r="B754" s="92" t="s">
        <v>88</v>
      </c>
      <c r="C754" s="92" t="str">
        <f ca="1">IFERROR(__xludf.DUMMYFUNCTION("filter('Back End'!C:C,'Back End'!A:A=A754,'Back End'!B:B=B754,'Back End'!D:D=D754)"),"#N/A")</f>
        <v>#N/A</v>
      </c>
      <c r="D754" s="91" t="s">
        <v>132</v>
      </c>
      <c r="E754" s="92" t="s">
        <v>4241</v>
      </c>
      <c r="F754" s="91" t="s">
        <v>213</v>
      </c>
      <c r="G754" s="91" t="s">
        <v>615</v>
      </c>
      <c r="H754" s="93" t="s">
        <v>4</v>
      </c>
      <c r="I754" s="92" t="s">
        <v>2631</v>
      </c>
      <c r="J754" s="92" t="s">
        <v>2631</v>
      </c>
      <c r="K754" s="67"/>
      <c r="L754" s="67"/>
      <c r="M754" s="67"/>
      <c r="N754" s="67"/>
      <c r="O754" s="67"/>
    </row>
    <row r="755" spans="1:15" ht="30">
      <c r="A755" s="91" t="s">
        <v>7</v>
      </c>
      <c r="B755" s="92" t="s">
        <v>88</v>
      </c>
      <c r="C755" s="92" t="str">
        <f ca="1">IFERROR(__xludf.DUMMYFUNCTION("filter('Back End'!C:C,'Back End'!A:A=A755,'Back End'!B:B=B755,'Back End'!D:D=D755)"),"#N/A")</f>
        <v>#N/A</v>
      </c>
      <c r="D755" s="91" t="s">
        <v>132</v>
      </c>
      <c r="E755" s="92" t="s">
        <v>4242</v>
      </c>
      <c r="F755" s="91" t="s">
        <v>213</v>
      </c>
      <c r="G755" s="91" t="s">
        <v>615</v>
      </c>
      <c r="H755" s="93" t="s">
        <v>4</v>
      </c>
      <c r="I755" s="92" t="s">
        <v>2631</v>
      </c>
      <c r="J755" s="92" t="s">
        <v>2631</v>
      </c>
      <c r="K755" s="67"/>
      <c r="L755" s="67"/>
      <c r="M755" s="67"/>
      <c r="N755" s="67"/>
      <c r="O755" s="67"/>
    </row>
    <row r="756" spans="1:15" ht="45">
      <c r="A756" s="91" t="s">
        <v>7</v>
      </c>
      <c r="B756" s="92" t="s">
        <v>88</v>
      </c>
      <c r="C756" s="92" t="str">
        <f ca="1">IFERROR(__xludf.DUMMYFUNCTION("filter('Back End'!C:C,'Back End'!A:A=A756,'Back End'!B:B=B756,'Back End'!D:D=D756)"),"#N/A")</f>
        <v>#N/A</v>
      </c>
      <c r="D756" s="91" t="s">
        <v>137</v>
      </c>
      <c r="E756" s="92" t="s">
        <v>4243</v>
      </c>
      <c r="F756" s="91" t="s">
        <v>139</v>
      </c>
      <c r="G756" s="91" t="s">
        <v>594</v>
      </c>
      <c r="H756" s="93" t="s">
        <v>5</v>
      </c>
      <c r="I756" s="92" t="s">
        <v>3115</v>
      </c>
      <c r="J756" s="92">
        <v>9951557676</v>
      </c>
      <c r="K756" s="67"/>
      <c r="L756" s="67"/>
      <c r="M756" s="67"/>
      <c r="N756" s="67"/>
      <c r="O756" s="67"/>
    </row>
    <row r="757" spans="1:15" ht="30">
      <c r="A757" s="91" t="s">
        <v>7</v>
      </c>
      <c r="B757" s="92" t="s">
        <v>88</v>
      </c>
      <c r="C757" s="92" t="str">
        <f ca="1">IFERROR(__xludf.DUMMYFUNCTION("filter('Back End'!C:C,'Back End'!A:A=A757,'Back End'!B:B=B757,'Back End'!D:D=D757)"),"#N/A")</f>
        <v>#N/A</v>
      </c>
      <c r="D757" s="91" t="s">
        <v>137</v>
      </c>
      <c r="E757" s="92" t="s">
        <v>4244</v>
      </c>
      <c r="F757" s="91" t="s">
        <v>139</v>
      </c>
      <c r="G757" s="91" t="s">
        <v>594</v>
      </c>
      <c r="H757" s="93" t="s">
        <v>4</v>
      </c>
      <c r="I757" s="92" t="s">
        <v>4245</v>
      </c>
      <c r="J757" s="92" t="s">
        <v>2631</v>
      </c>
      <c r="K757" s="67"/>
      <c r="L757" s="67"/>
      <c r="M757" s="67"/>
      <c r="N757" s="67"/>
      <c r="O757" s="67"/>
    </row>
    <row r="758" spans="1:15" ht="30">
      <c r="A758" s="91" t="s">
        <v>7</v>
      </c>
      <c r="B758" s="92" t="s">
        <v>88</v>
      </c>
      <c r="C758" s="92" t="str">
        <f ca="1">IFERROR(__xludf.DUMMYFUNCTION("filter('Back End'!C:C,'Back End'!A:A=A758,'Back End'!B:B=B758,'Back End'!D:D=D758)"),"#N/A")</f>
        <v>#N/A</v>
      </c>
      <c r="D758" s="91" t="s">
        <v>121</v>
      </c>
      <c r="E758" s="92" t="s">
        <v>4246</v>
      </c>
      <c r="F758" s="91" t="s">
        <v>103</v>
      </c>
      <c r="G758" s="91" t="s">
        <v>594</v>
      </c>
      <c r="H758" s="93" t="s">
        <v>5</v>
      </c>
      <c r="I758" s="92" t="s">
        <v>4247</v>
      </c>
      <c r="J758" s="92" t="s">
        <v>2631</v>
      </c>
      <c r="K758" s="67"/>
      <c r="L758" s="67"/>
      <c r="M758" s="67"/>
      <c r="N758" s="67"/>
      <c r="O758" s="67"/>
    </row>
    <row r="759" spans="1:15" ht="30">
      <c r="A759" s="91" t="s">
        <v>7</v>
      </c>
      <c r="B759" s="92" t="s">
        <v>88</v>
      </c>
      <c r="C759" s="92" t="str">
        <f ca="1">IFERROR(__xludf.DUMMYFUNCTION("filter('Back End'!C:C,'Back End'!A:A=A759,'Back End'!B:B=B759,'Back End'!D:D=D759)"),"#N/A")</f>
        <v>#N/A</v>
      </c>
      <c r="D759" s="91" t="s">
        <v>121</v>
      </c>
      <c r="E759" s="92" t="s">
        <v>4248</v>
      </c>
      <c r="F759" s="91" t="s">
        <v>467</v>
      </c>
      <c r="G759" s="91" t="s">
        <v>85</v>
      </c>
      <c r="H759" s="93" t="s">
        <v>5</v>
      </c>
      <c r="I759" s="67"/>
      <c r="J759" s="92">
        <v>9382434934</v>
      </c>
      <c r="K759" s="67"/>
      <c r="L759" s="67"/>
      <c r="M759" s="67"/>
      <c r="N759" s="67"/>
      <c r="O759" s="67"/>
    </row>
    <row r="760" spans="1:15" ht="45">
      <c r="A760" s="91" t="s">
        <v>7</v>
      </c>
      <c r="B760" s="92" t="s">
        <v>88</v>
      </c>
      <c r="C760" s="92" t="str">
        <f ca="1">IFERROR(__xludf.DUMMYFUNCTION("filter('Back End'!C:C,'Back End'!A:A=A760,'Back End'!B:B=B760,'Back End'!D:D=D760)"),"#N/A")</f>
        <v>#N/A</v>
      </c>
      <c r="D760" s="91" t="s">
        <v>121</v>
      </c>
      <c r="E760" s="92" t="s">
        <v>4249</v>
      </c>
      <c r="F760" s="91" t="s">
        <v>103</v>
      </c>
      <c r="G760" s="91" t="s">
        <v>594</v>
      </c>
      <c r="H760" s="93" t="s">
        <v>5</v>
      </c>
      <c r="I760" s="92" t="s">
        <v>4250</v>
      </c>
      <c r="J760" s="67"/>
      <c r="K760" s="67"/>
      <c r="L760" s="67"/>
      <c r="M760" s="67"/>
      <c r="N760" s="67"/>
      <c r="O760" s="67"/>
    </row>
    <row r="761" spans="1:15" ht="45">
      <c r="A761" s="91" t="s">
        <v>7</v>
      </c>
      <c r="B761" s="92" t="s">
        <v>88</v>
      </c>
      <c r="C761" s="92" t="str">
        <f ca="1">IFERROR(__xludf.DUMMYFUNCTION("filter('Back End'!C:C,'Back End'!A:A=A761,'Back End'!B:B=B761,'Back End'!D:D=D761)"),"#N/A")</f>
        <v>#N/A</v>
      </c>
      <c r="D761" s="91" t="s">
        <v>121</v>
      </c>
      <c r="E761" s="92" t="s">
        <v>4251</v>
      </c>
      <c r="F761" s="91" t="s">
        <v>103</v>
      </c>
      <c r="G761" s="91" t="s">
        <v>594</v>
      </c>
      <c r="H761" s="93" t="s">
        <v>4</v>
      </c>
      <c r="I761" s="92" t="s">
        <v>3560</v>
      </c>
      <c r="J761" s="67"/>
      <c r="K761" s="67"/>
      <c r="L761" s="67"/>
      <c r="M761" s="67"/>
      <c r="N761" s="67"/>
      <c r="O761" s="67"/>
    </row>
    <row r="762" spans="1:15" ht="30">
      <c r="A762" s="91" t="s">
        <v>7</v>
      </c>
      <c r="B762" s="92" t="s">
        <v>88</v>
      </c>
      <c r="C762" s="92" t="str">
        <f ca="1">IFERROR(__xludf.DUMMYFUNCTION("filter('Back End'!C:C,'Back End'!A:A=A762,'Back End'!B:B=B762,'Back End'!D:D=D762)"),"#N/A")</f>
        <v>#N/A</v>
      </c>
      <c r="D762" s="91" t="s">
        <v>121</v>
      </c>
      <c r="E762" s="92" t="s">
        <v>4252</v>
      </c>
      <c r="F762" s="91" t="s">
        <v>103</v>
      </c>
      <c r="G762" s="91" t="s">
        <v>594</v>
      </c>
      <c r="H762" s="93" t="s">
        <v>4</v>
      </c>
      <c r="I762" s="92" t="s">
        <v>4253</v>
      </c>
      <c r="J762" s="67"/>
      <c r="K762" s="67"/>
      <c r="L762" s="67"/>
      <c r="M762" s="67"/>
      <c r="N762" s="67"/>
      <c r="O762" s="67"/>
    </row>
    <row r="763" spans="1:15" ht="30">
      <c r="A763" s="91" t="s">
        <v>10</v>
      </c>
      <c r="B763" s="92" t="s">
        <v>261</v>
      </c>
      <c r="C763" s="92" t="str">
        <f ca="1">IFERROR(__xludf.DUMMYFUNCTION("filter('Back End'!C:C,'Back End'!A:A=A763,'Back End'!B:B=B763,'Back End'!D:D=D763)"),"#N/A")</f>
        <v>#N/A</v>
      </c>
      <c r="D763" s="91" t="s">
        <v>273</v>
      </c>
      <c r="E763" s="92" t="s">
        <v>4254</v>
      </c>
      <c r="F763" s="91" t="s">
        <v>1669</v>
      </c>
      <c r="G763" s="91" t="s">
        <v>615</v>
      </c>
      <c r="H763" s="93" t="s">
        <v>5</v>
      </c>
      <c r="I763" s="92" t="s">
        <v>4255</v>
      </c>
      <c r="J763" s="92">
        <v>8985770715</v>
      </c>
      <c r="K763" s="92" t="s">
        <v>4256</v>
      </c>
      <c r="L763" s="67"/>
      <c r="M763" s="67"/>
      <c r="N763" s="67"/>
      <c r="O763" s="67"/>
    </row>
    <row r="764" spans="1:15" ht="30">
      <c r="A764" s="91" t="s">
        <v>10</v>
      </c>
      <c r="B764" s="92" t="s">
        <v>261</v>
      </c>
      <c r="C764" s="92" t="str">
        <f ca="1">IFERROR(__xludf.DUMMYFUNCTION("filter('Back End'!C:C,'Back End'!A:A=A764,'Back End'!B:B=B764,'Back End'!D:D=D764)"),"#N/A")</f>
        <v>#N/A</v>
      </c>
      <c r="D764" s="91" t="s">
        <v>273</v>
      </c>
      <c r="E764" s="92" t="s">
        <v>4257</v>
      </c>
      <c r="F764" s="91" t="s">
        <v>1669</v>
      </c>
      <c r="G764" s="91" t="s">
        <v>615</v>
      </c>
      <c r="H764" s="93" t="s">
        <v>5</v>
      </c>
      <c r="I764" s="92" t="s">
        <v>4258</v>
      </c>
      <c r="J764" s="67"/>
      <c r="K764" s="92" t="s">
        <v>4259</v>
      </c>
      <c r="L764" s="67"/>
      <c r="M764" s="67"/>
      <c r="N764" s="67"/>
      <c r="O764" s="67"/>
    </row>
    <row r="765" spans="1:15" ht="60">
      <c r="A765" s="91" t="s">
        <v>10</v>
      </c>
      <c r="B765" s="92" t="s">
        <v>261</v>
      </c>
      <c r="C765" s="92" t="str">
        <f ca="1">IFERROR(__xludf.DUMMYFUNCTION("filter('Back End'!C:C,'Back End'!A:A=A765,'Back End'!B:B=B765,'Back End'!D:D=D765)"),"#N/A")</f>
        <v>#N/A</v>
      </c>
      <c r="D765" s="91" t="s">
        <v>273</v>
      </c>
      <c r="E765" s="92" t="s">
        <v>4260</v>
      </c>
      <c r="F765" s="91" t="s">
        <v>1669</v>
      </c>
      <c r="G765" s="91" t="s">
        <v>615</v>
      </c>
      <c r="H765" s="93" t="s">
        <v>5</v>
      </c>
      <c r="I765" s="92" t="s">
        <v>3140</v>
      </c>
      <c r="J765" s="92">
        <v>9908453578</v>
      </c>
      <c r="K765" s="92" t="s">
        <v>4261</v>
      </c>
      <c r="L765" s="67"/>
      <c r="M765" s="67"/>
      <c r="N765" s="67"/>
      <c r="O765" s="67"/>
    </row>
    <row r="766" spans="1:15" ht="45">
      <c r="A766" s="91" t="s">
        <v>10</v>
      </c>
      <c r="B766" s="92" t="s">
        <v>261</v>
      </c>
      <c r="C766" s="92" t="str">
        <f ca="1">IFERROR(__xludf.DUMMYFUNCTION("filter('Back End'!C:C,'Back End'!A:A=A766,'Back End'!B:B=B766,'Back End'!D:D=D766)"),"#N/A")</f>
        <v>#N/A</v>
      </c>
      <c r="D766" s="91" t="s">
        <v>290</v>
      </c>
      <c r="E766" s="92" t="s">
        <v>291</v>
      </c>
      <c r="F766" s="91" t="s">
        <v>139</v>
      </c>
      <c r="G766" s="91" t="s">
        <v>594</v>
      </c>
      <c r="H766" s="93" t="s">
        <v>5</v>
      </c>
      <c r="I766" s="92" t="s">
        <v>3115</v>
      </c>
      <c r="J766" s="92">
        <v>9849998334</v>
      </c>
      <c r="K766" s="92" t="s">
        <v>3600</v>
      </c>
      <c r="L766" s="67"/>
      <c r="M766" s="67"/>
      <c r="N766" s="67"/>
      <c r="O766" s="67"/>
    </row>
    <row r="767" spans="1:15" ht="45">
      <c r="A767" s="91" t="s">
        <v>10</v>
      </c>
      <c r="B767" s="92" t="s">
        <v>261</v>
      </c>
      <c r="C767" s="92" t="str">
        <f ca="1">IFERROR(__xludf.DUMMYFUNCTION("filter('Back End'!C:C,'Back End'!A:A=A767,'Back End'!B:B=B767,'Back End'!D:D=D767)"),"#N/A")</f>
        <v>#N/A</v>
      </c>
      <c r="D767" s="91" t="s">
        <v>290</v>
      </c>
      <c r="E767" s="92" t="s">
        <v>4262</v>
      </c>
      <c r="F767" s="91" t="s">
        <v>139</v>
      </c>
      <c r="G767" s="91" t="s">
        <v>594</v>
      </c>
      <c r="H767" s="93" t="s">
        <v>5</v>
      </c>
      <c r="I767" s="92" t="s">
        <v>4263</v>
      </c>
      <c r="J767" s="67"/>
      <c r="K767" s="92" t="s">
        <v>3458</v>
      </c>
      <c r="L767" s="67"/>
      <c r="M767" s="67"/>
      <c r="N767" s="67"/>
      <c r="O767" s="67"/>
    </row>
    <row r="768" spans="1:15" ht="45">
      <c r="A768" s="91" t="s">
        <v>10</v>
      </c>
      <c r="B768" s="92" t="s">
        <v>261</v>
      </c>
      <c r="C768" s="92" t="str">
        <f ca="1">IFERROR(__xludf.DUMMYFUNCTION("filter('Back End'!C:C,'Back End'!A:A=A768,'Back End'!B:B=B768,'Back End'!D:D=D768)"),"#N/A")</f>
        <v>#N/A</v>
      </c>
      <c r="D768" s="91" t="s">
        <v>292</v>
      </c>
      <c r="E768" s="92" t="s">
        <v>4264</v>
      </c>
      <c r="F768" s="91" t="s">
        <v>139</v>
      </c>
      <c r="G768" s="91" t="s">
        <v>594</v>
      </c>
      <c r="H768" s="93" t="s">
        <v>5</v>
      </c>
      <c r="I768" s="92" t="s">
        <v>3115</v>
      </c>
      <c r="J768" s="92">
        <v>9618036666</v>
      </c>
      <c r="K768" s="92" t="s">
        <v>4265</v>
      </c>
      <c r="L768" s="67"/>
      <c r="M768" s="67"/>
      <c r="N768" s="67"/>
      <c r="O768" s="67"/>
    </row>
    <row r="769" spans="1:15" ht="30">
      <c r="A769" s="91" t="s">
        <v>10</v>
      </c>
      <c r="B769" s="92" t="s">
        <v>261</v>
      </c>
      <c r="C769" s="92" t="str">
        <f ca="1">IFERROR(__xludf.DUMMYFUNCTION("filter('Back End'!C:C,'Back End'!A:A=A769,'Back End'!B:B=B769,'Back End'!D:D=D769)"),"#N/A")</f>
        <v>#N/A</v>
      </c>
      <c r="D769" s="91" t="s">
        <v>292</v>
      </c>
      <c r="E769" s="92" t="s">
        <v>4038</v>
      </c>
      <c r="F769" s="91" t="s">
        <v>586</v>
      </c>
      <c r="G769" s="91" t="s">
        <v>615</v>
      </c>
      <c r="H769" s="93" t="s">
        <v>4</v>
      </c>
      <c r="I769" s="92" t="s">
        <v>4266</v>
      </c>
      <c r="J769" s="92">
        <v>9490923252</v>
      </c>
      <c r="K769" s="92" t="s">
        <v>4267</v>
      </c>
      <c r="L769" s="67"/>
      <c r="M769" s="67"/>
      <c r="N769" s="67"/>
      <c r="O769" s="67"/>
    </row>
    <row r="770" spans="1:15" ht="30">
      <c r="A770" s="91" t="s">
        <v>4268</v>
      </c>
      <c r="B770" s="92" t="s">
        <v>297</v>
      </c>
      <c r="C770" s="92" t="str">
        <f ca="1">IFERROR(__xludf.DUMMYFUNCTION("filter('Back End'!C:C,'Back End'!A:A=A770,'Back End'!B:B=B770,'Back End'!D:D=D770)"),"#N/A")</f>
        <v>#N/A</v>
      </c>
      <c r="D770" s="91" t="s">
        <v>298</v>
      </c>
      <c r="E770" s="92" t="s">
        <v>299</v>
      </c>
      <c r="F770" s="91" t="s">
        <v>1669</v>
      </c>
      <c r="G770" s="91" t="s">
        <v>615</v>
      </c>
      <c r="H770" s="93" t="s">
        <v>5</v>
      </c>
      <c r="I770" s="92" t="s">
        <v>3115</v>
      </c>
      <c r="J770" s="92">
        <v>7993605566</v>
      </c>
      <c r="K770" s="67"/>
      <c r="L770" s="67"/>
      <c r="M770" s="67"/>
      <c r="N770" s="67"/>
      <c r="O770" s="67"/>
    </row>
    <row r="771" spans="1:15" ht="30">
      <c r="A771" s="91" t="s">
        <v>4268</v>
      </c>
      <c r="B771" s="92" t="s">
        <v>297</v>
      </c>
      <c r="C771" s="92" t="str">
        <f ca="1">IFERROR(__xludf.DUMMYFUNCTION("filter('Back End'!C:C,'Back End'!A:A=A771,'Back End'!B:B=B771,'Back End'!D:D=D771)"),"#N/A")</f>
        <v>#N/A</v>
      </c>
      <c r="D771" s="91" t="s">
        <v>298</v>
      </c>
      <c r="E771" s="92" t="s">
        <v>4269</v>
      </c>
      <c r="F771" s="91" t="s">
        <v>1669</v>
      </c>
      <c r="G771" s="91" t="s">
        <v>615</v>
      </c>
      <c r="H771" s="93" t="s">
        <v>5</v>
      </c>
      <c r="I771" s="92" t="s">
        <v>4270</v>
      </c>
      <c r="J771" s="92">
        <v>9491688188</v>
      </c>
      <c r="K771" s="67"/>
      <c r="L771" s="67"/>
      <c r="M771" s="67"/>
      <c r="N771" s="67"/>
      <c r="O771" s="67"/>
    </row>
    <row r="772" spans="1:15" ht="30">
      <c r="A772" s="91" t="s">
        <v>4268</v>
      </c>
      <c r="B772" s="92" t="s">
        <v>297</v>
      </c>
      <c r="C772" s="92" t="str">
        <f ca="1">IFERROR(__xludf.DUMMYFUNCTION("filter('Back End'!C:C,'Back End'!A:A=A772,'Back End'!B:B=B772,'Back End'!D:D=D772)"),"#N/A")</f>
        <v>#N/A</v>
      </c>
      <c r="D772" s="91" t="s">
        <v>298</v>
      </c>
      <c r="E772" s="92" t="s">
        <v>4271</v>
      </c>
      <c r="F772" s="91" t="s">
        <v>1669</v>
      </c>
      <c r="G772" s="91" t="s">
        <v>615</v>
      </c>
      <c r="H772" s="93" t="s">
        <v>5</v>
      </c>
      <c r="I772" s="92" t="s">
        <v>4270</v>
      </c>
      <c r="J772" s="92">
        <v>848935501</v>
      </c>
      <c r="K772" s="67"/>
      <c r="L772" s="67"/>
      <c r="M772" s="67"/>
      <c r="N772" s="67"/>
      <c r="O772" s="67"/>
    </row>
    <row r="773" spans="1:15" ht="30">
      <c r="A773" s="91" t="s">
        <v>4268</v>
      </c>
      <c r="B773" s="92" t="s">
        <v>297</v>
      </c>
      <c r="C773" s="92" t="str">
        <f ca="1">IFERROR(__xludf.DUMMYFUNCTION("filter('Back End'!C:C,'Back End'!A:A=A773,'Back End'!B:B=B773,'Back End'!D:D=D773)"),"#N/A")</f>
        <v>#N/A</v>
      </c>
      <c r="D773" s="91" t="s">
        <v>298</v>
      </c>
      <c r="E773" s="92" t="s">
        <v>4272</v>
      </c>
      <c r="F773" s="91" t="s">
        <v>139</v>
      </c>
      <c r="G773" s="91" t="s">
        <v>594</v>
      </c>
      <c r="H773" s="93" t="s">
        <v>5</v>
      </c>
      <c r="I773" s="92" t="s">
        <v>4270</v>
      </c>
      <c r="J773" s="92">
        <v>9704459449</v>
      </c>
      <c r="K773" s="67"/>
      <c r="L773" s="67"/>
      <c r="M773" s="67"/>
      <c r="N773" s="67"/>
      <c r="O773" s="67"/>
    </row>
    <row r="774" spans="1:15" ht="30">
      <c r="A774" s="91" t="s">
        <v>4268</v>
      </c>
      <c r="B774" s="92" t="s">
        <v>297</v>
      </c>
      <c r="C774" s="92" t="str">
        <f ca="1">IFERROR(__xludf.DUMMYFUNCTION("filter('Back End'!C:C,'Back End'!A:A=A774,'Back End'!B:B=B774,'Back End'!D:D=D774)"),"#N/A")</f>
        <v>#N/A</v>
      </c>
      <c r="D774" s="91" t="s">
        <v>298</v>
      </c>
      <c r="E774" s="92" t="s">
        <v>4273</v>
      </c>
      <c r="F774" s="91" t="s">
        <v>139</v>
      </c>
      <c r="G774" s="91" t="s">
        <v>594</v>
      </c>
      <c r="H774" s="93" t="s">
        <v>5</v>
      </c>
      <c r="I774" s="92" t="s">
        <v>4270</v>
      </c>
      <c r="J774" s="92">
        <v>7569597762</v>
      </c>
      <c r="K774" s="67"/>
      <c r="L774" s="67"/>
      <c r="M774" s="67"/>
      <c r="N774" s="67"/>
      <c r="O774" s="67"/>
    </row>
    <row r="775" spans="1:15" ht="30">
      <c r="A775" s="91" t="s">
        <v>4268</v>
      </c>
      <c r="B775" s="92" t="s">
        <v>297</v>
      </c>
      <c r="C775" s="92" t="str">
        <f ca="1">IFERROR(__xludf.DUMMYFUNCTION("filter('Back End'!C:C,'Back End'!A:A=A775,'Back End'!B:B=B775,'Back End'!D:D=D775)"),"#N/A")</f>
        <v>#N/A</v>
      </c>
      <c r="D775" s="91" t="s">
        <v>298</v>
      </c>
      <c r="E775" s="92" t="s">
        <v>4274</v>
      </c>
      <c r="F775" s="91" t="s">
        <v>1669</v>
      </c>
      <c r="G775" s="91" t="s">
        <v>615</v>
      </c>
      <c r="H775" s="93" t="s">
        <v>5</v>
      </c>
      <c r="I775" s="92" t="s">
        <v>4270</v>
      </c>
      <c r="J775" s="92">
        <v>9959040547</v>
      </c>
      <c r="K775" s="67"/>
      <c r="L775" s="67"/>
      <c r="M775" s="67"/>
      <c r="N775" s="67"/>
      <c r="O775" s="67"/>
    </row>
    <row r="776" spans="1:15" ht="30">
      <c r="A776" s="91" t="s">
        <v>4268</v>
      </c>
      <c r="B776" s="92" t="s">
        <v>297</v>
      </c>
      <c r="C776" s="92" t="str">
        <f ca="1">IFERROR(__xludf.DUMMYFUNCTION("filter('Back End'!C:C,'Back End'!A:A=A776,'Back End'!B:B=B776,'Back End'!D:D=D776)"),"#N/A")</f>
        <v>#N/A</v>
      </c>
      <c r="D776" s="91" t="s">
        <v>298</v>
      </c>
      <c r="E776" s="92" t="s">
        <v>4275</v>
      </c>
      <c r="F776" s="91" t="s">
        <v>1669</v>
      </c>
      <c r="G776" s="91" t="s">
        <v>615</v>
      </c>
      <c r="H776" s="93" t="s">
        <v>5</v>
      </c>
      <c r="I776" s="92" t="s">
        <v>4270</v>
      </c>
      <c r="J776" s="92">
        <v>9848540165</v>
      </c>
      <c r="K776" s="67"/>
      <c r="L776" s="67"/>
      <c r="M776" s="67"/>
      <c r="N776" s="67"/>
      <c r="O776" s="67"/>
    </row>
    <row r="777" spans="1:15" ht="30">
      <c r="A777" s="91" t="s">
        <v>4268</v>
      </c>
      <c r="B777" s="92" t="s">
        <v>297</v>
      </c>
      <c r="C777" s="92" t="str">
        <f ca="1">IFERROR(__xludf.DUMMYFUNCTION("filter('Back End'!C:C,'Back End'!A:A=A777,'Back End'!B:B=B777,'Back End'!D:D=D777)"),"#N/A")</f>
        <v>#N/A</v>
      </c>
      <c r="D777" s="91" t="s">
        <v>298</v>
      </c>
      <c r="E777" s="92" t="s">
        <v>4276</v>
      </c>
      <c r="F777" s="91" t="s">
        <v>1669</v>
      </c>
      <c r="G777" s="91" t="s">
        <v>615</v>
      </c>
      <c r="H777" s="93" t="s">
        <v>5</v>
      </c>
      <c r="I777" s="92" t="s">
        <v>4270</v>
      </c>
      <c r="J777" s="92">
        <v>8985163627</v>
      </c>
      <c r="K777" s="67"/>
      <c r="L777" s="67"/>
      <c r="M777" s="67"/>
      <c r="N777" s="67"/>
      <c r="O777" s="67"/>
    </row>
    <row r="778" spans="1:15" ht="45">
      <c r="A778" s="91" t="s">
        <v>4268</v>
      </c>
      <c r="B778" s="92" t="s">
        <v>297</v>
      </c>
      <c r="C778" s="92" t="str">
        <f ca="1">IFERROR(__xludf.DUMMYFUNCTION("filter('Back End'!C:C,'Back End'!A:A=A778,'Back End'!B:B=B778,'Back End'!D:D=D778)"),"#N/A")</f>
        <v>#N/A</v>
      </c>
      <c r="D778" s="91" t="s">
        <v>298</v>
      </c>
      <c r="E778" s="92" t="s">
        <v>4277</v>
      </c>
      <c r="F778" s="91" t="s">
        <v>103</v>
      </c>
      <c r="G778" s="91" t="s">
        <v>594</v>
      </c>
      <c r="H778" s="93" t="s">
        <v>4</v>
      </c>
      <c r="I778" s="92" t="s">
        <v>4278</v>
      </c>
      <c r="J778" s="67"/>
      <c r="K778" s="67"/>
      <c r="L778" s="67"/>
      <c r="M778" s="67"/>
      <c r="N778" s="67"/>
      <c r="O778" s="67"/>
    </row>
    <row r="779" spans="1:15" ht="30">
      <c r="A779" s="91" t="s">
        <v>4268</v>
      </c>
      <c r="B779" s="92" t="s">
        <v>297</v>
      </c>
      <c r="C779" s="92" t="str">
        <f ca="1">IFERROR(__xludf.DUMMYFUNCTION("filter('Back End'!C:C,'Back End'!A:A=A779,'Back End'!B:B=B779,'Back End'!D:D=D779)"),"#N/A")</f>
        <v>#N/A</v>
      </c>
      <c r="D779" s="91" t="s">
        <v>327</v>
      </c>
      <c r="E779" s="92" t="s">
        <v>328</v>
      </c>
      <c r="F779" s="91" t="s">
        <v>1604</v>
      </c>
      <c r="G779" s="91" t="s">
        <v>615</v>
      </c>
      <c r="H779" s="93" t="s">
        <v>5</v>
      </c>
      <c r="I779" s="92" t="s">
        <v>3115</v>
      </c>
      <c r="J779" s="92">
        <v>6305247836</v>
      </c>
      <c r="K779" s="92" t="s">
        <v>4279</v>
      </c>
      <c r="L779" s="67"/>
      <c r="M779" s="67"/>
      <c r="N779" s="67"/>
      <c r="O779" s="67"/>
    </row>
    <row r="780" spans="1:15" ht="30">
      <c r="A780" s="91" t="s">
        <v>19</v>
      </c>
      <c r="B780" s="92" t="s">
        <v>88</v>
      </c>
      <c r="C780" s="92" t="str">
        <f ca="1">IFERROR(__xludf.DUMMYFUNCTION("filter('Back End'!C:C,'Back End'!A:A=A780,'Back End'!B:B=B780,'Back End'!D:D=D780)"),"Z.Ragampeta")</f>
        <v>Z.Ragampeta</v>
      </c>
      <c r="D780" s="91" t="s">
        <v>145</v>
      </c>
      <c r="E780" s="92" t="s">
        <v>4280</v>
      </c>
      <c r="F780" s="91" t="s">
        <v>103</v>
      </c>
      <c r="G780" s="91" t="s">
        <v>594</v>
      </c>
      <c r="H780" s="93" t="s">
        <v>5</v>
      </c>
      <c r="I780" s="92" t="s">
        <v>3115</v>
      </c>
      <c r="J780" s="92">
        <v>9618721999</v>
      </c>
      <c r="K780" s="67"/>
      <c r="L780" s="67"/>
      <c r="M780" s="67"/>
      <c r="N780" s="67"/>
      <c r="O780" s="67"/>
    </row>
    <row r="781" spans="1:15" ht="30">
      <c r="A781" s="91" t="s">
        <v>19</v>
      </c>
      <c r="B781" s="92" t="s">
        <v>88</v>
      </c>
      <c r="C781" s="92" t="str">
        <f ca="1">IFERROR(__xludf.DUMMYFUNCTION("filter('Back End'!C:C,'Back End'!A:A=A781,'Back End'!B:B=B781,'Back End'!D:D=D781)"),"Z.Ragampeta")</f>
        <v>Z.Ragampeta</v>
      </c>
      <c r="D781" s="91" t="s">
        <v>145</v>
      </c>
      <c r="E781" s="92" t="s">
        <v>4281</v>
      </c>
      <c r="F781" s="91" t="s">
        <v>103</v>
      </c>
      <c r="G781" s="91" t="s">
        <v>594</v>
      </c>
      <c r="H781" s="93" t="s">
        <v>4</v>
      </c>
      <c r="I781" s="92" t="s">
        <v>3886</v>
      </c>
      <c r="J781" s="67"/>
      <c r="K781" s="67"/>
      <c r="L781" s="67"/>
      <c r="M781" s="67"/>
      <c r="N781" s="67"/>
      <c r="O781" s="67"/>
    </row>
    <row r="782" spans="1:15" ht="45">
      <c r="A782" s="91" t="s">
        <v>15</v>
      </c>
      <c r="B782" s="92" t="s">
        <v>389</v>
      </c>
      <c r="C782" s="92" t="str">
        <f ca="1">IFERROR(__xludf.DUMMYFUNCTION("filter('Back End'!C:C,'Back End'!A:A=A782,'Back End'!B:B=B782,'Back End'!D:D=D782)"),"Atcham  Peta")</f>
        <v>Atcham  Peta</v>
      </c>
      <c r="D782" s="91" t="s">
        <v>390</v>
      </c>
      <c r="E782" s="92" t="s">
        <v>4282</v>
      </c>
      <c r="F782" s="91" t="s">
        <v>139</v>
      </c>
      <c r="G782" s="91" t="s">
        <v>594</v>
      </c>
      <c r="H782" s="93" t="s">
        <v>5</v>
      </c>
      <c r="I782" s="92" t="s">
        <v>4283</v>
      </c>
      <c r="J782" s="92">
        <v>9059414999</v>
      </c>
      <c r="K782" s="92" t="s">
        <v>3190</v>
      </c>
      <c r="L782" s="67"/>
      <c r="M782" s="67"/>
      <c r="N782" s="67"/>
      <c r="O782" s="67"/>
    </row>
    <row r="783" spans="1:15" ht="15">
      <c r="A783" s="91" t="s">
        <v>15</v>
      </c>
      <c r="B783" s="91" t="s">
        <v>389</v>
      </c>
      <c r="C783" s="92" t="str">
        <f ca="1">IFERROR(__xludf.DUMMYFUNCTION("filter('Back End'!C:C,'Back End'!A:A=A783,'Back End'!B:B=B783,'Back End'!D:D=D783)"),"Atcham  Peta")</f>
        <v>Atcham  Peta</v>
      </c>
      <c r="D783" s="91" t="s">
        <v>390</v>
      </c>
      <c r="E783" s="91" t="s">
        <v>4284</v>
      </c>
      <c r="F783" s="67" t="s">
        <v>3138</v>
      </c>
      <c r="G783" s="67"/>
      <c r="H783" s="93" t="s">
        <v>4</v>
      </c>
      <c r="I783" s="67"/>
      <c r="J783" s="67"/>
      <c r="K783" s="67"/>
      <c r="L783" s="67"/>
      <c r="M783" s="67"/>
      <c r="N783" s="67"/>
      <c r="O783" s="67"/>
    </row>
    <row r="784" spans="1:15" ht="15">
      <c r="A784" s="91" t="s">
        <v>15</v>
      </c>
      <c r="B784" s="91" t="s">
        <v>389</v>
      </c>
      <c r="C784" s="92" t="str">
        <f ca="1">IFERROR(__xludf.DUMMYFUNCTION("filter('Back End'!C:C,'Back End'!A:A=A784,'Back End'!B:B=B784,'Back End'!D:D=D784)"),"Atcham  Peta")</f>
        <v>Atcham  Peta</v>
      </c>
      <c r="D784" s="91" t="s">
        <v>390</v>
      </c>
      <c r="E784" s="91" t="s">
        <v>4285</v>
      </c>
      <c r="F784" s="67" t="s">
        <v>3138</v>
      </c>
      <c r="G784" s="67"/>
      <c r="H784" s="93" t="s">
        <v>4</v>
      </c>
      <c r="I784" s="67"/>
      <c r="J784" s="67"/>
      <c r="K784" s="67"/>
      <c r="L784" s="67"/>
      <c r="M784" s="67"/>
      <c r="N784" s="67"/>
      <c r="O784" s="67"/>
    </row>
    <row r="785" spans="1:15" ht="15">
      <c r="A785" s="91" t="s">
        <v>15</v>
      </c>
      <c r="B785" s="91" t="s">
        <v>389</v>
      </c>
      <c r="C785" s="92" t="str">
        <f ca="1">IFERROR(__xludf.DUMMYFUNCTION("filter('Back End'!C:C,'Back End'!A:A=A785,'Back End'!B:B=B785,'Back End'!D:D=D785)"),"Atcham  Peta")</f>
        <v>Atcham  Peta</v>
      </c>
      <c r="D785" s="91" t="s">
        <v>390</v>
      </c>
      <c r="E785" s="91" t="s">
        <v>4286</v>
      </c>
      <c r="F785" s="67" t="s">
        <v>3138</v>
      </c>
      <c r="G785" s="67"/>
      <c r="H785" s="93" t="s">
        <v>4</v>
      </c>
      <c r="I785" s="67"/>
      <c r="J785" s="67"/>
      <c r="K785" s="67"/>
      <c r="L785" s="67"/>
      <c r="M785" s="67"/>
      <c r="N785" s="67"/>
      <c r="O785" s="67"/>
    </row>
    <row r="786" spans="1:15" ht="15">
      <c r="A786" s="91" t="s">
        <v>15</v>
      </c>
      <c r="B786" s="91" t="s">
        <v>389</v>
      </c>
      <c r="C786" s="92" t="str">
        <f ca="1">IFERROR(__xludf.DUMMYFUNCTION("filter('Back End'!C:C,'Back End'!A:A=A786,'Back End'!B:B=B786,'Back End'!D:D=D786)"),"Atcham  Peta")</f>
        <v>Atcham  Peta</v>
      </c>
      <c r="D786" s="91" t="s">
        <v>390</v>
      </c>
      <c r="E786" s="91" t="s">
        <v>4287</v>
      </c>
      <c r="F786" s="67" t="s">
        <v>3138</v>
      </c>
      <c r="G786" s="67"/>
      <c r="H786" s="93" t="s">
        <v>4</v>
      </c>
      <c r="I786" s="67"/>
      <c r="J786" s="67"/>
      <c r="K786" s="67"/>
      <c r="L786" s="67"/>
      <c r="M786" s="67"/>
      <c r="N786" s="67"/>
      <c r="O786" s="67"/>
    </row>
    <row r="787" spans="1:15" ht="30">
      <c r="A787" s="91" t="s">
        <v>15</v>
      </c>
      <c r="B787" s="91" t="s">
        <v>389</v>
      </c>
      <c r="C787" s="92" t="str">
        <f ca="1">IFERROR(__xludf.DUMMYFUNCTION("filter('Back End'!C:C,'Back End'!A:A=A787,'Back End'!B:B=B787,'Back End'!D:D=D787)"),"Atcham  Peta")</f>
        <v>Atcham  Peta</v>
      </c>
      <c r="D787" s="91" t="s">
        <v>390</v>
      </c>
      <c r="E787" s="92" t="s">
        <v>4288</v>
      </c>
      <c r="F787" s="91" t="s">
        <v>139</v>
      </c>
      <c r="G787" s="91" t="s">
        <v>594</v>
      </c>
      <c r="H787" s="93" t="s">
        <v>6</v>
      </c>
      <c r="I787" s="92" t="s">
        <v>3743</v>
      </c>
      <c r="J787" s="67"/>
      <c r="K787" s="67"/>
      <c r="L787" s="67"/>
      <c r="M787" s="67"/>
      <c r="N787" s="67"/>
      <c r="O787" s="67"/>
    </row>
    <row r="788" spans="1:15" ht="30">
      <c r="A788" s="91" t="s">
        <v>15</v>
      </c>
      <c r="B788" s="91" t="s">
        <v>389</v>
      </c>
      <c r="C788" s="92" t="str">
        <f ca="1">IFERROR(__xludf.DUMMYFUNCTION("filter('Back End'!C:C,'Back End'!A:A=A788,'Back End'!B:B=B788,'Back End'!D:D=D788)"),"Atcham  Peta")</f>
        <v>Atcham  Peta</v>
      </c>
      <c r="D788" s="91" t="s">
        <v>390</v>
      </c>
      <c r="E788" s="92" t="s">
        <v>4289</v>
      </c>
      <c r="F788" s="91" t="s">
        <v>139</v>
      </c>
      <c r="G788" s="91" t="s">
        <v>594</v>
      </c>
      <c r="H788" s="93" t="s">
        <v>5</v>
      </c>
      <c r="I788" s="92" t="s">
        <v>3743</v>
      </c>
      <c r="J788" s="67"/>
      <c r="K788" s="67"/>
      <c r="L788" s="67"/>
      <c r="M788" s="67"/>
      <c r="N788" s="67"/>
      <c r="O788" s="67"/>
    </row>
    <row r="789" spans="1:15" ht="45">
      <c r="A789" s="91" t="s">
        <v>15</v>
      </c>
      <c r="B789" s="91" t="s">
        <v>389</v>
      </c>
      <c r="C789" s="92" t="str">
        <f ca="1">IFERROR(__xludf.DUMMYFUNCTION("filter('Back End'!C:C,'Back End'!A:A=A789,'Back End'!B:B=B789,'Back End'!D:D=D789)"),"Atcham  Peta")</f>
        <v>Atcham  Peta</v>
      </c>
      <c r="D789" s="91" t="s">
        <v>390</v>
      </c>
      <c r="E789" s="92" t="s">
        <v>4290</v>
      </c>
      <c r="F789" s="91" t="s">
        <v>139</v>
      </c>
      <c r="G789" s="91" t="s">
        <v>594</v>
      </c>
      <c r="H789" s="93" t="s">
        <v>4</v>
      </c>
      <c r="I789" s="92" t="s">
        <v>4291</v>
      </c>
      <c r="J789" s="67"/>
      <c r="K789" s="67"/>
      <c r="L789" s="67"/>
      <c r="M789" s="67"/>
      <c r="N789" s="67"/>
      <c r="O789" s="67"/>
    </row>
    <row r="790" spans="1:15" ht="30">
      <c r="A790" s="91" t="s">
        <v>15</v>
      </c>
      <c r="B790" s="92" t="s">
        <v>389</v>
      </c>
      <c r="C790" s="92" t="str">
        <f ca="1">IFERROR(__xludf.DUMMYFUNCTION("filter('Back End'!C:C,'Back End'!A:A=A790,'Back End'!B:B=B790,'Back End'!D:D=D790)"),"Atcham  Peta")</f>
        <v>Atcham  Peta</v>
      </c>
      <c r="D790" s="91" t="s">
        <v>390</v>
      </c>
      <c r="E790" s="92" t="s">
        <v>4292</v>
      </c>
      <c r="F790" s="91" t="s">
        <v>139</v>
      </c>
      <c r="G790" s="91" t="s">
        <v>594</v>
      </c>
      <c r="H790" s="93" t="s">
        <v>5</v>
      </c>
      <c r="I790" s="92" t="s">
        <v>4283</v>
      </c>
      <c r="J790" s="92">
        <v>9703566699</v>
      </c>
      <c r="K790" s="92" t="s">
        <v>3953</v>
      </c>
      <c r="L790" s="67"/>
      <c r="M790" s="67"/>
      <c r="N790" s="67"/>
      <c r="O790" s="67"/>
    </row>
    <row r="791" spans="1:15" ht="45">
      <c r="A791" s="91" t="s">
        <v>19</v>
      </c>
      <c r="B791" s="92" t="s">
        <v>147</v>
      </c>
      <c r="C791" s="92" t="str">
        <f ca="1">IFERROR(__xludf.DUMMYFUNCTION("filter('Back End'!C:C,'Back End'!A:A=A791,'Back End'!B:B=B791,'Back End'!D:D=D791)"),"Krishnuni Palem")</f>
        <v>Krishnuni Palem</v>
      </c>
      <c r="D791" s="91" t="s">
        <v>168</v>
      </c>
      <c r="E791" s="92" t="s">
        <v>4293</v>
      </c>
      <c r="F791" s="91" t="s">
        <v>139</v>
      </c>
      <c r="G791" s="91" t="s">
        <v>594</v>
      </c>
      <c r="H791" s="93" t="s">
        <v>5</v>
      </c>
      <c r="I791" s="92" t="s">
        <v>3115</v>
      </c>
      <c r="J791" s="92">
        <v>9359889999</v>
      </c>
      <c r="K791" s="67"/>
      <c r="L791" s="67"/>
      <c r="M791" s="67"/>
      <c r="N791" s="67"/>
      <c r="O791" s="67"/>
    </row>
    <row r="792" spans="1:15" ht="45">
      <c r="A792" s="91" t="s">
        <v>19</v>
      </c>
      <c r="B792" s="92" t="s">
        <v>147</v>
      </c>
      <c r="C792" s="92" t="str">
        <f ca="1">IFERROR(__xludf.DUMMYFUNCTION("filter('Back End'!C:C,'Back End'!A:A=A792,'Back End'!B:B=B792,'Back End'!D:D=D792)"),"Krishnuni Palem")</f>
        <v>Krishnuni Palem</v>
      </c>
      <c r="D792" s="91" t="s">
        <v>168</v>
      </c>
      <c r="E792" s="92" t="s">
        <v>4294</v>
      </c>
      <c r="F792" s="91" t="s">
        <v>467</v>
      </c>
      <c r="G792" s="91" t="s">
        <v>86</v>
      </c>
      <c r="H792" s="93" t="s">
        <v>5</v>
      </c>
      <c r="I792" s="92" t="s">
        <v>4295</v>
      </c>
      <c r="J792" s="92">
        <v>9390575538</v>
      </c>
      <c r="K792" s="67"/>
      <c r="L792" s="67"/>
      <c r="M792" s="67"/>
      <c r="N792" s="67"/>
      <c r="O792" s="67"/>
    </row>
    <row r="793" spans="1:15" ht="15">
      <c r="A793" s="91" t="s">
        <v>19</v>
      </c>
      <c r="B793" s="92" t="s">
        <v>147</v>
      </c>
      <c r="C793" s="92" t="str">
        <f ca="1">IFERROR(__xludf.DUMMYFUNCTION("filter('Back End'!C:C,'Back End'!A:A=A793,'Back End'!B:B=B793,'Back End'!D:D=D793)"),"Krishnuni Palem")</f>
        <v>Krishnuni Palem</v>
      </c>
      <c r="D793" s="91" t="s">
        <v>168</v>
      </c>
      <c r="E793" s="92" t="s">
        <v>4296</v>
      </c>
      <c r="F793" s="91" t="s">
        <v>139</v>
      </c>
      <c r="G793" s="91" t="s">
        <v>594</v>
      </c>
      <c r="H793" s="93" t="s">
        <v>5</v>
      </c>
      <c r="I793" s="92" t="s">
        <v>2631</v>
      </c>
      <c r="J793" s="92">
        <v>6304902559</v>
      </c>
      <c r="K793" s="67"/>
      <c r="L793" s="67"/>
      <c r="M793" s="67"/>
      <c r="N793" s="67"/>
      <c r="O793" s="67"/>
    </row>
    <row r="794" spans="1:15" ht="30">
      <c r="A794" s="91" t="s">
        <v>19</v>
      </c>
      <c r="B794" s="92" t="s">
        <v>147</v>
      </c>
      <c r="C794" s="92" t="str">
        <f ca="1">IFERROR(__xludf.DUMMYFUNCTION("filter('Back End'!C:C,'Back End'!A:A=A794,'Back End'!B:B=B794,'Back End'!D:D=D794)"),"Krishnuni Palem")</f>
        <v>Krishnuni Palem</v>
      </c>
      <c r="D794" s="91" t="s">
        <v>168</v>
      </c>
      <c r="E794" s="92" t="s">
        <v>4297</v>
      </c>
      <c r="F794" s="91" t="s">
        <v>114</v>
      </c>
      <c r="G794" s="91" t="s">
        <v>85</v>
      </c>
      <c r="H794" s="93" t="s">
        <v>5</v>
      </c>
      <c r="I794" s="92" t="s">
        <v>2631</v>
      </c>
      <c r="J794" s="92">
        <v>7075124565</v>
      </c>
      <c r="K794" s="67"/>
      <c r="L794" s="67"/>
      <c r="M794" s="67"/>
      <c r="N794" s="67"/>
      <c r="O794" s="67"/>
    </row>
    <row r="795" spans="1:15" ht="30">
      <c r="A795" s="91" t="s">
        <v>19</v>
      </c>
      <c r="B795" s="92" t="s">
        <v>147</v>
      </c>
      <c r="C795" s="92" t="str">
        <f ca="1">IFERROR(__xludf.DUMMYFUNCTION("filter('Back End'!C:C,'Back End'!A:A=A795,'Back End'!B:B=B795,'Back End'!D:D=D795)"),"Krishnuni Palem")</f>
        <v>Krishnuni Palem</v>
      </c>
      <c r="D795" s="91" t="s">
        <v>168</v>
      </c>
      <c r="E795" s="92" t="s">
        <v>4298</v>
      </c>
      <c r="F795" s="91" t="s">
        <v>1635</v>
      </c>
      <c r="G795" s="91" t="s">
        <v>615</v>
      </c>
      <c r="H795" s="93" t="s">
        <v>4</v>
      </c>
      <c r="I795" s="92" t="s">
        <v>4299</v>
      </c>
      <c r="J795" s="92">
        <v>9959489885</v>
      </c>
      <c r="K795" s="67"/>
      <c r="L795" s="67"/>
      <c r="M795" s="67"/>
      <c r="N795" s="67"/>
      <c r="O795" s="67"/>
    </row>
    <row r="796" spans="1:15" ht="45">
      <c r="A796" s="91" t="s">
        <v>19</v>
      </c>
      <c r="B796" s="92" t="s">
        <v>147</v>
      </c>
      <c r="C796" s="92" t="str">
        <f ca="1">IFERROR(__xludf.DUMMYFUNCTION("filter('Back End'!C:C,'Back End'!A:A=A796,'Back End'!B:B=B796,'Back End'!D:D=D796)"),"Krishnuni Palem")</f>
        <v>Krishnuni Palem</v>
      </c>
      <c r="D796" s="91" t="s">
        <v>168</v>
      </c>
      <c r="E796" s="92" t="s">
        <v>4300</v>
      </c>
      <c r="F796" s="91" t="s">
        <v>139</v>
      </c>
      <c r="G796" s="91" t="s">
        <v>594</v>
      </c>
      <c r="H796" s="93" t="s">
        <v>4</v>
      </c>
      <c r="I796" s="92" t="s">
        <v>4195</v>
      </c>
      <c r="J796" s="92">
        <v>9396112999</v>
      </c>
      <c r="K796" s="67"/>
      <c r="L796" s="67"/>
      <c r="M796" s="67"/>
      <c r="N796" s="67"/>
      <c r="O796" s="67"/>
    </row>
    <row r="797" spans="1:15" ht="30">
      <c r="A797" s="91" t="s">
        <v>19</v>
      </c>
      <c r="B797" s="92" t="s">
        <v>147</v>
      </c>
      <c r="C797" s="92" t="str">
        <f ca="1">IFERROR(__xludf.DUMMYFUNCTION("filter('Back End'!C:C,'Back End'!A:A=A797,'Back End'!B:B=B797,'Back End'!D:D=D797)"),"Krishnuni Palem")</f>
        <v>Krishnuni Palem</v>
      </c>
      <c r="D797" s="91" t="s">
        <v>168</v>
      </c>
      <c r="E797" s="92" t="s">
        <v>4301</v>
      </c>
      <c r="F797" s="91" t="s">
        <v>114</v>
      </c>
      <c r="G797" s="91" t="s">
        <v>85</v>
      </c>
      <c r="H797" s="93" t="s">
        <v>4</v>
      </c>
      <c r="I797" s="92" t="s">
        <v>4302</v>
      </c>
      <c r="J797" s="92">
        <v>9490740705</v>
      </c>
      <c r="K797" s="67"/>
      <c r="L797" s="67"/>
      <c r="M797" s="67"/>
      <c r="N797" s="67"/>
      <c r="O797" s="67"/>
    </row>
    <row r="798" spans="1:15" ht="30">
      <c r="A798" s="91" t="s">
        <v>19</v>
      </c>
      <c r="B798" s="92" t="s">
        <v>147</v>
      </c>
      <c r="C798" s="92" t="str">
        <f ca="1">IFERROR(__xludf.DUMMYFUNCTION("filter('Back End'!C:C,'Back End'!A:A=A798,'Back End'!B:B=B798,'Back End'!D:D=D798)"),"Krishnuni Palem")</f>
        <v>Krishnuni Palem</v>
      </c>
      <c r="D798" s="91" t="s">
        <v>168</v>
      </c>
      <c r="E798" s="92" t="s">
        <v>4303</v>
      </c>
      <c r="F798" s="91" t="s">
        <v>139</v>
      </c>
      <c r="G798" s="91" t="s">
        <v>594</v>
      </c>
      <c r="H798" s="93" t="s">
        <v>4</v>
      </c>
      <c r="I798" s="92" t="s">
        <v>4304</v>
      </c>
      <c r="J798" s="92">
        <v>9849891239</v>
      </c>
      <c r="K798" s="67"/>
      <c r="L798" s="67"/>
      <c r="M798" s="67"/>
      <c r="N798" s="67"/>
      <c r="O798" s="67"/>
    </row>
    <row r="799" spans="1:15" ht="30">
      <c r="A799" s="91" t="s">
        <v>19</v>
      </c>
      <c r="B799" s="92" t="s">
        <v>147</v>
      </c>
      <c r="C799" s="92" t="str">
        <f ca="1">IFERROR(__xludf.DUMMYFUNCTION("filter('Back End'!C:C,'Back End'!A:A=A799,'Back End'!B:B=B799,'Back End'!D:D=D799)"),"Krishnuni Palem")</f>
        <v>Krishnuni Palem</v>
      </c>
      <c r="D799" s="91" t="s">
        <v>168</v>
      </c>
      <c r="E799" s="92" t="s">
        <v>4305</v>
      </c>
      <c r="F799" s="91" t="s">
        <v>467</v>
      </c>
      <c r="G799" s="91" t="s">
        <v>86</v>
      </c>
      <c r="H799" s="93" t="s">
        <v>4</v>
      </c>
      <c r="I799" s="92" t="s">
        <v>4306</v>
      </c>
      <c r="J799" s="92" t="s">
        <v>4307</v>
      </c>
      <c r="K799" s="67"/>
      <c r="L799" s="67"/>
      <c r="M799" s="67"/>
      <c r="N799" s="67"/>
      <c r="O799" s="67"/>
    </row>
    <row r="800" spans="1:15" ht="45">
      <c r="A800" s="91" t="s">
        <v>19</v>
      </c>
      <c r="B800" s="92" t="s">
        <v>147</v>
      </c>
      <c r="C800" s="92" t="str">
        <f ca="1">IFERROR(__xludf.DUMMYFUNCTION("filter('Back End'!C:C,'Back End'!A:A=A800,'Back End'!B:B=B800,'Back End'!D:D=D800)"),"Krishnuni Palem")</f>
        <v>Krishnuni Palem</v>
      </c>
      <c r="D800" s="91" t="s">
        <v>168</v>
      </c>
      <c r="E800" s="92" t="s">
        <v>4308</v>
      </c>
      <c r="F800" s="91" t="s">
        <v>139</v>
      </c>
      <c r="G800" s="91" t="s">
        <v>594</v>
      </c>
      <c r="H800" s="93" t="s">
        <v>6</v>
      </c>
      <c r="I800" s="92" t="s">
        <v>4309</v>
      </c>
      <c r="J800" s="92">
        <v>6305791912</v>
      </c>
      <c r="K800" s="67"/>
      <c r="L800" s="67"/>
      <c r="M800" s="67"/>
      <c r="N800" s="67"/>
      <c r="O800" s="67"/>
    </row>
    <row r="801" spans="1:15" ht="45">
      <c r="A801" s="91" t="s">
        <v>19</v>
      </c>
      <c r="B801" s="92" t="s">
        <v>147</v>
      </c>
      <c r="C801" s="92" t="str">
        <f ca="1">IFERROR(__xludf.DUMMYFUNCTION("filter('Back End'!C:C,'Back End'!A:A=A801,'Back End'!B:B=B801,'Back End'!D:D=D801)"),"Krishnuni Palem")</f>
        <v>Krishnuni Palem</v>
      </c>
      <c r="D801" s="91" t="s">
        <v>168</v>
      </c>
      <c r="E801" s="92" t="s">
        <v>4310</v>
      </c>
      <c r="F801" s="91" t="s">
        <v>1674</v>
      </c>
      <c r="G801" s="91" t="s">
        <v>615</v>
      </c>
      <c r="H801" s="93" t="s">
        <v>6</v>
      </c>
      <c r="I801" s="92" t="s">
        <v>4311</v>
      </c>
      <c r="J801" s="92">
        <v>8074958894</v>
      </c>
      <c r="K801" s="67"/>
      <c r="L801" s="67"/>
      <c r="M801" s="67"/>
      <c r="N801" s="67"/>
      <c r="O801" s="67"/>
    </row>
    <row r="802" spans="1:15" ht="30">
      <c r="A802" s="91" t="s">
        <v>19</v>
      </c>
      <c r="B802" s="92" t="s">
        <v>147</v>
      </c>
      <c r="C802" s="92" t="str">
        <f ca="1">IFERROR(__xludf.DUMMYFUNCTION("filter('Back End'!C:C,'Back End'!A:A=A802,'Back End'!B:B=B802,'Back End'!D:D=D802)"),"Krishnuni Palem")</f>
        <v>Krishnuni Palem</v>
      </c>
      <c r="D802" s="91" t="s">
        <v>168</v>
      </c>
      <c r="E802" s="92" t="s">
        <v>4312</v>
      </c>
      <c r="F802" s="91" t="s">
        <v>114</v>
      </c>
      <c r="G802" s="91" t="s">
        <v>85</v>
      </c>
      <c r="H802" s="93" t="s">
        <v>6</v>
      </c>
      <c r="I802" s="92" t="s">
        <v>3490</v>
      </c>
      <c r="J802" s="92">
        <v>6301575458</v>
      </c>
      <c r="K802" s="67"/>
      <c r="L802" s="67"/>
      <c r="M802" s="67"/>
      <c r="N802" s="67"/>
      <c r="O802" s="67"/>
    </row>
    <row r="803" spans="1:15" ht="30">
      <c r="A803" s="91" t="s">
        <v>7</v>
      </c>
      <c r="B803" s="92" t="s">
        <v>7</v>
      </c>
      <c r="C803" s="92" t="str">
        <f ca="1">IFERROR(__xludf.DUMMYFUNCTION("filter('Back End'!C:C,'Back End'!A:A=A803,'Back End'!B:B=B803,'Back End'!D:D=D803)"),"#N/A")</f>
        <v>#N/A</v>
      </c>
      <c r="D803" s="91" t="s">
        <v>4313</v>
      </c>
      <c r="E803" s="92" t="s">
        <v>4314</v>
      </c>
      <c r="F803" s="67" t="s">
        <v>3138</v>
      </c>
      <c r="G803" s="67"/>
      <c r="H803" s="93" t="s">
        <v>5</v>
      </c>
      <c r="I803" s="92" t="s">
        <v>3115</v>
      </c>
      <c r="J803" s="92">
        <v>9121569932</v>
      </c>
      <c r="K803" s="67"/>
      <c r="L803" s="67"/>
      <c r="M803" s="67"/>
      <c r="N803" s="67"/>
      <c r="O803" s="67"/>
    </row>
    <row r="804" spans="1:15" ht="45">
      <c r="A804" s="91" t="s">
        <v>7</v>
      </c>
      <c r="B804" s="92" t="s">
        <v>7</v>
      </c>
      <c r="C804" s="92" t="str">
        <f ca="1">IFERROR(__xludf.DUMMYFUNCTION("filter('Back End'!C:C,'Back End'!A:A=A804,'Back End'!B:B=B804,'Back End'!D:D=D804)"),"#N/A")</f>
        <v>#N/A</v>
      </c>
      <c r="D804" s="91" t="s">
        <v>4313</v>
      </c>
      <c r="E804" s="92" t="s">
        <v>4315</v>
      </c>
      <c r="F804" s="91" t="s">
        <v>165</v>
      </c>
      <c r="G804" s="91" t="s">
        <v>615</v>
      </c>
      <c r="H804" s="93" t="s">
        <v>5</v>
      </c>
      <c r="I804" s="92" t="s">
        <v>4316</v>
      </c>
      <c r="J804" s="92">
        <v>6300353483</v>
      </c>
      <c r="K804" s="67"/>
      <c r="L804" s="67"/>
      <c r="M804" s="67"/>
      <c r="N804" s="67"/>
      <c r="O804" s="67"/>
    </row>
    <row r="805" spans="1:15" ht="45">
      <c r="A805" s="91" t="s">
        <v>7</v>
      </c>
      <c r="B805" s="92" t="s">
        <v>7</v>
      </c>
      <c r="C805" s="92" t="str">
        <f ca="1">IFERROR(__xludf.DUMMYFUNCTION("filter('Back End'!C:C,'Back End'!A:A=A805,'Back End'!B:B=B805,'Back End'!D:D=D805)"),"#N/A")</f>
        <v>#N/A</v>
      </c>
      <c r="D805" s="91" t="s">
        <v>4313</v>
      </c>
      <c r="E805" s="92" t="s">
        <v>4317</v>
      </c>
      <c r="F805" s="91" t="s">
        <v>139</v>
      </c>
      <c r="G805" s="91" t="s">
        <v>594</v>
      </c>
      <c r="H805" s="93" t="s">
        <v>5</v>
      </c>
      <c r="I805" s="92" t="s">
        <v>4306</v>
      </c>
      <c r="J805" s="92">
        <v>9505542386</v>
      </c>
      <c r="K805" s="67"/>
      <c r="L805" s="67"/>
      <c r="M805" s="67"/>
      <c r="N805" s="67"/>
      <c r="O805" s="67"/>
    </row>
    <row r="806" spans="1:15" ht="45">
      <c r="A806" s="91" t="s">
        <v>7</v>
      </c>
      <c r="B806" s="92" t="s">
        <v>7</v>
      </c>
      <c r="C806" s="92" t="str">
        <f ca="1">IFERROR(__xludf.DUMMYFUNCTION("filter('Back End'!C:C,'Back End'!A:A=A806,'Back End'!B:B=B806,'Back End'!D:D=D806)"),"#N/A")</f>
        <v>#N/A</v>
      </c>
      <c r="D806" s="91" t="s">
        <v>4313</v>
      </c>
      <c r="E806" s="92" t="s">
        <v>4318</v>
      </c>
      <c r="F806" s="91" t="s">
        <v>165</v>
      </c>
      <c r="G806" s="91" t="s">
        <v>615</v>
      </c>
      <c r="H806" s="93" t="s">
        <v>4</v>
      </c>
      <c r="I806" s="92" t="s">
        <v>4319</v>
      </c>
      <c r="J806" s="92">
        <v>9492831837</v>
      </c>
      <c r="K806" s="67"/>
      <c r="L806" s="67"/>
      <c r="M806" s="67"/>
      <c r="N806" s="67"/>
      <c r="O806" s="67"/>
    </row>
    <row r="807" spans="1:15" ht="45">
      <c r="A807" s="91" t="s">
        <v>7</v>
      </c>
      <c r="B807" s="92" t="s">
        <v>7</v>
      </c>
      <c r="C807" s="92" t="str">
        <f ca="1">IFERROR(__xludf.DUMMYFUNCTION("filter('Back End'!C:C,'Back End'!A:A=A807,'Back End'!B:B=B807,'Back End'!D:D=D807)"),"#N/A")</f>
        <v>#N/A</v>
      </c>
      <c r="D807" s="91" t="s">
        <v>4313</v>
      </c>
      <c r="E807" s="92" t="s">
        <v>4318</v>
      </c>
      <c r="F807" s="91" t="s">
        <v>165</v>
      </c>
      <c r="G807" s="91" t="s">
        <v>615</v>
      </c>
      <c r="H807" s="93" t="s">
        <v>4</v>
      </c>
      <c r="I807" s="92" t="s">
        <v>3192</v>
      </c>
      <c r="J807" s="92">
        <v>9951394077</v>
      </c>
      <c r="K807" s="67"/>
      <c r="L807" s="67"/>
      <c r="M807" s="67"/>
      <c r="N807" s="67"/>
      <c r="O807" s="67"/>
    </row>
    <row r="808" spans="1:15" ht="30">
      <c r="A808" s="91" t="s">
        <v>7</v>
      </c>
      <c r="B808" s="92" t="s">
        <v>7</v>
      </c>
      <c r="C808" s="92" t="str">
        <f ca="1">IFERROR(__xludf.DUMMYFUNCTION("filter('Back End'!C:C,'Back End'!A:A=A808,'Back End'!B:B=B808,'Back End'!D:D=D808)"),"#N/A")</f>
        <v>#N/A</v>
      </c>
      <c r="D808" s="91" t="s">
        <v>4313</v>
      </c>
      <c r="E808" s="92" t="s">
        <v>4320</v>
      </c>
      <c r="F808" s="91" t="s">
        <v>165</v>
      </c>
      <c r="G808" s="91" t="s">
        <v>615</v>
      </c>
      <c r="H808" s="93" t="s">
        <v>4</v>
      </c>
      <c r="I808" s="92" t="s">
        <v>2631</v>
      </c>
      <c r="J808" s="92">
        <v>9550070128</v>
      </c>
      <c r="K808" s="67"/>
      <c r="L808" s="67"/>
      <c r="M808" s="67"/>
      <c r="N808" s="67"/>
      <c r="O808" s="67"/>
    </row>
    <row r="809" spans="1:15" ht="30">
      <c r="A809" s="91" t="s">
        <v>10</v>
      </c>
      <c r="B809" s="92" t="s">
        <v>261</v>
      </c>
      <c r="C809" s="92" t="str">
        <f ca="1">IFERROR(__xludf.DUMMYFUNCTION("filter('Back End'!C:C,'Back End'!A:A=A809,'Back End'!B:B=B809,'Back End'!D:D=D809)"),"#N/A")</f>
        <v>#N/A</v>
      </c>
      <c r="D809" s="91" t="s">
        <v>602</v>
      </c>
      <c r="E809" s="92" t="s">
        <v>4321</v>
      </c>
      <c r="F809" s="91" t="s">
        <v>114</v>
      </c>
      <c r="G809" s="91" t="s">
        <v>85</v>
      </c>
      <c r="H809" s="93" t="s">
        <v>4</v>
      </c>
      <c r="I809" s="92" t="s">
        <v>2631</v>
      </c>
      <c r="J809" s="92">
        <v>9951057198</v>
      </c>
      <c r="K809" s="67"/>
      <c r="L809" s="67"/>
      <c r="M809" s="67"/>
      <c r="N809" s="67"/>
      <c r="O809" s="67"/>
    </row>
    <row r="810" spans="1:15" ht="30">
      <c r="A810" s="91" t="s">
        <v>10</v>
      </c>
      <c r="B810" s="92" t="s">
        <v>261</v>
      </c>
      <c r="C810" s="92" t="str">
        <f ca="1">IFERROR(__xludf.DUMMYFUNCTION("filter('Back End'!C:C,'Back End'!A:A=A810,'Back End'!B:B=B810,'Back End'!D:D=D810)"),"#N/A")</f>
        <v>#N/A</v>
      </c>
      <c r="D810" s="91" t="s">
        <v>602</v>
      </c>
      <c r="E810" s="92" t="s">
        <v>4322</v>
      </c>
      <c r="F810" s="91" t="s">
        <v>114</v>
      </c>
      <c r="G810" s="91" t="s">
        <v>85</v>
      </c>
      <c r="H810" s="93" t="s">
        <v>5</v>
      </c>
      <c r="I810" s="92" t="s">
        <v>2631</v>
      </c>
      <c r="J810" s="92">
        <v>9381988154</v>
      </c>
      <c r="K810" s="67"/>
      <c r="L810" s="67"/>
      <c r="M810" s="67"/>
      <c r="N810" s="67"/>
      <c r="O810" s="67"/>
    </row>
    <row r="811" spans="1:15" ht="30">
      <c r="A811" s="91" t="s">
        <v>10</v>
      </c>
      <c r="B811" s="92" t="s">
        <v>261</v>
      </c>
      <c r="C811" s="92" t="str">
        <f ca="1">IFERROR(__xludf.DUMMYFUNCTION("filter('Back End'!C:C,'Back End'!A:A=A811,'Back End'!B:B=B811,'Back End'!D:D=D811)"),"#N/A")</f>
        <v>#N/A</v>
      </c>
      <c r="D811" s="91" t="s">
        <v>602</v>
      </c>
      <c r="E811" s="92" t="s">
        <v>4323</v>
      </c>
      <c r="F811" s="91" t="s">
        <v>139</v>
      </c>
      <c r="G811" s="91" t="s">
        <v>594</v>
      </c>
      <c r="H811" s="93" t="s">
        <v>4</v>
      </c>
      <c r="I811" s="67"/>
      <c r="J811" s="92">
        <v>9849041809</v>
      </c>
      <c r="K811" s="67"/>
      <c r="L811" s="67"/>
      <c r="M811" s="67"/>
      <c r="N811" s="67"/>
      <c r="O811" s="67"/>
    </row>
    <row r="812" spans="1:15" ht="45">
      <c r="A812" s="91" t="s">
        <v>10</v>
      </c>
      <c r="B812" s="92" t="s">
        <v>261</v>
      </c>
      <c r="C812" s="92" t="str">
        <f ca="1">IFERROR(__xludf.DUMMYFUNCTION("filter('Back End'!C:C,'Back End'!A:A=A812,'Back End'!B:B=B812,'Back End'!D:D=D812)"),"#N/A")</f>
        <v>#N/A</v>
      </c>
      <c r="D812" s="91" t="s">
        <v>602</v>
      </c>
      <c r="E812" s="92" t="s">
        <v>4324</v>
      </c>
      <c r="F812" s="67" t="s">
        <v>3138</v>
      </c>
      <c r="G812" s="67"/>
      <c r="H812" s="93" t="s">
        <v>4</v>
      </c>
      <c r="I812" s="92" t="s">
        <v>3185</v>
      </c>
      <c r="J812" s="92">
        <v>99129898834</v>
      </c>
      <c r="K812" s="67"/>
      <c r="L812" s="67"/>
      <c r="M812" s="67"/>
      <c r="N812" s="67"/>
      <c r="O812" s="67"/>
    </row>
    <row r="813" spans="1:15" ht="60">
      <c r="A813" s="91" t="s">
        <v>10</v>
      </c>
      <c r="B813" s="92" t="s">
        <v>261</v>
      </c>
      <c r="C813" s="92" t="str">
        <f ca="1">IFERROR(__xludf.DUMMYFUNCTION("filter('Back End'!C:C,'Back End'!A:A=A813,'Back End'!B:B=B813,'Back End'!D:D=D813)"),"#N/A")</f>
        <v>#N/A</v>
      </c>
      <c r="D813" s="91" t="s">
        <v>602</v>
      </c>
      <c r="E813" s="92" t="s">
        <v>4325</v>
      </c>
      <c r="F813" s="67" t="s">
        <v>3138</v>
      </c>
      <c r="G813" s="67"/>
      <c r="H813" s="93" t="s">
        <v>5</v>
      </c>
      <c r="I813" s="92" t="s">
        <v>3185</v>
      </c>
      <c r="J813" s="67"/>
      <c r="K813" s="67"/>
      <c r="L813" s="67"/>
      <c r="M813" s="67"/>
      <c r="N813" s="67"/>
      <c r="O813" s="67"/>
    </row>
    <row r="814" spans="1:15" ht="60">
      <c r="A814" s="91" t="s">
        <v>8</v>
      </c>
      <c r="B814" s="92" t="s">
        <v>633</v>
      </c>
      <c r="C814" s="92" t="str">
        <f ca="1">IFERROR(__xludf.DUMMYFUNCTION("filter('Back End'!C:C,'Back End'!A:A=A814,'Back End'!B:B=B814,'Back End'!D:D=D814)"),"G. Kothapalli")</f>
        <v>G. Kothapalli</v>
      </c>
      <c r="D814" s="91" t="s">
        <v>637</v>
      </c>
      <c r="E814" s="92" t="s">
        <v>4326</v>
      </c>
      <c r="F814" s="91" t="s">
        <v>165</v>
      </c>
      <c r="G814" s="91" t="s">
        <v>615</v>
      </c>
      <c r="H814" s="93" t="s">
        <v>5</v>
      </c>
      <c r="I814" s="92" t="s">
        <v>3115</v>
      </c>
      <c r="J814" s="92">
        <v>9652438990</v>
      </c>
      <c r="K814" s="67"/>
      <c r="L814" s="67"/>
      <c r="M814" s="67"/>
      <c r="N814" s="67"/>
      <c r="O814" s="67"/>
    </row>
    <row r="815" spans="1:15" ht="60">
      <c r="A815" s="91" t="s">
        <v>8</v>
      </c>
      <c r="B815" s="92" t="s">
        <v>633</v>
      </c>
      <c r="C815" s="92" t="str">
        <f ca="1">IFERROR(__xludf.DUMMYFUNCTION("filter('Back End'!C:C,'Back End'!A:A=A815,'Back End'!B:B=B815,'Back End'!D:D=D815)"),"G. Kothapalli")</f>
        <v>G. Kothapalli</v>
      </c>
      <c r="D815" s="91" t="s">
        <v>637</v>
      </c>
      <c r="E815" s="92" t="s">
        <v>4327</v>
      </c>
      <c r="F815" s="91" t="s">
        <v>165</v>
      </c>
      <c r="G815" s="91" t="s">
        <v>615</v>
      </c>
      <c r="H815" s="93" t="s">
        <v>5</v>
      </c>
      <c r="I815" s="92" t="s">
        <v>3185</v>
      </c>
      <c r="J815" s="92">
        <v>9959676312</v>
      </c>
      <c r="K815" s="67"/>
      <c r="L815" s="67"/>
      <c r="M815" s="67"/>
      <c r="N815" s="67"/>
      <c r="O815" s="67"/>
    </row>
    <row r="816" spans="1:15" ht="30">
      <c r="A816" s="91" t="s">
        <v>8</v>
      </c>
      <c r="B816" s="92" t="s">
        <v>633</v>
      </c>
      <c r="C816" s="92" t="str">
        <f ca="1">IFERROR(__xludf.DUMMYFUNCTION("filter('Back End'!C:C,'Back End'!A:A=A816,'Back End'!B:B=B816,'Back End'!D:D=D816)"),"G. Kothapalli")</f>
        <v>G. Kothapalli</v>
      </c>
      <c r="D816" s="91" t="s">
        <v>637</v>
      </c>
      <c r="E816" s="92" t="s">
        <v>4328</v>
      </c>
      <c r="F816" s="91" t="s">
        <v>467</v>
      </c>
      <c r="G816" s="91" t="s">
        <v>615</v>
      </c>
      <c r="H816" s="93" t="s">
        <v>5</v>
      </c>
      <c r="I816" s="92" t="s">
        <v>3205</v>
      </c>
      <c r="J816" s="92">
        <v>9676633193</v>
      </c>
      <c r="K816" s="67"/>
      <c r="L816" s="67"/>
      <c r="M816" s="67"/>
      <c r="N816" s="67"/>
      <c r="O816" s="67"/>
    </row>
    <row r="817" spans="1:15" ht="16.5">
      <c r="A817" s="91" t="s">
        <v>8</v>
      </c>
      <c r="B817" s="100" t="s">
        <v>633</v>
      </c>
      <c r="C817" s="97" t="s">
        <v>637</v>
      </c>
      <c r="D817" s="100" t="s">
        <v>637</v>
      </c>
      <c r="E817" s="100" t="s">
        <v>4329</v>
      </c>
      <c r="F817" s="91" t="s">
        <v>165</v>
      </c>
      <c r="G817" s="98" t="s">
        <v>615</v>
      </c>
      <c r="H817" s="100" t="s">
        <v>4</v>
      </c>
      <c r="I817" s="105" t="s">
        <v>3634</v>
      </c>
      <c r="J817" s="97">
        <v>9618807920</v>
      </c>
      <c r="K817" s="99"/>
      <c r="L817" s="99"/>
      <c r="M817" s="99"/>
      <c r="N817" s="67"/>
      <c r="O817" s="67"/>
    </row>
    <row r="818" spans="1:15" ht="16.5">
      <c r="A818" s="101" t="s">
        <v>8</v>
      </c>
      <c r="B818" s="93" t="s">
        <v>633</v>
      </c>
      <c r="C818" s="102" t="s">
        <v>637</v>
      </c>
      <c r="D818" s="93" t="s">
        <v>637</v>
      </c>
      <c r="E818" s="93" t="s">
        <v>4330</v>
      </c>
      <c r="F818" s="91" t="s">
        <v>165</v>
      </c>
      <c r="G818" s="105" t="s">
        <v>615</v>
      </c>
      <c r="H818" s="93" t="s">
        <v>4</v>
      </c>
      <c r="I818" s="105" t="s">
        <v>3634</v>
      </c>
      <c r="J818" s="102">
        <v>9618104980</v>
      </c>
      <c r="K818" s="95"/>
      <c r="L818" s="95"/>
      <c r="M818" s="95"/>
      <c r="N818" s="67"/>
      <c r="O818" s="67"/>
    </row>
    <row r="819" spans="1:15" ht="16.5">
      <c r="A819" s="101" t="s">
        <v>8</v>
      </c>
      <c r="B819" s="93" t="s">
        <v>633</v>
      </c>
      <c r="C819" s="102" t="s">
        <v>637</v>
      </c>
      <c r="D819" s="93" t="s">
        <v>637</v>
      </c>
      <c r="E819" s="93" t="s">
        <v>4331</v>
      </c>
      <c r="F819" s="91" t="s">
        <v>165</v>
      </c>
      <c r="G819" s="105" t="s">
        <v>615</v>
      </c>
      <c r="H819" s="93" t="s">
        <v>4</v>
      </c>
      <c r="I819" s="105" t="s">
        <v>3634</v>
      </c>
      <c r="J819" s="102">
        <v>9701655145</v>
      </c>
      <c r="K819" s="95"/>
      <c r="L819" s="95"/>
      <c r="M819" s="95"/>
      <c r="N819" s="67"/>
      <c r="O819" s="67"/>
    </row>
    <row r="820" spans="1:15" ht="30.4">
      <c r="A820" s="101" t="s">
        <v>8</v>
      </c>
      <c r="B820" s="93" t="s">
        <v>633</v>
      </c>
      <c r="C820" s="102" t="s">
        <v>637</v>
      </c>
      <c r="D820" s="93" t="s">
        <v>637</v>
      </c>
      <c r="E820" s="116" t="s">
        <v>4332</v>
      </c>
      <c r="F820" s="100" t="s">
        <v>165</v>
      </c>
      <c r="G820" s="93" t="s">
        <v>615</v>
      </c>
      <c r="H820" s="93" t="s">
        <v>4</v>
      </c>
      <c r="I820" s="102" t="s">
        <v>4333</v>
      </c>
      <c r="J820" s="102">
        <v>9866186838</v>
      </c>
      <c r="K820" s="95"/>
      <c r="L820" s="95"/>
      <c r="M820" s="95"/>
      <c r="N820" s="99"/>
      <c r="O820" s="67"/>
    </row>
    <row r="821" spans="1:15" ht="30.4">
      <c r="A821" s="91" t="s">
        <v>8</v>
      </c>
      <c r="B821" s="100" t="s">
        <v>633</v>
      </c>
      <c r="C821" s="97" t="s">
        <v>637</v>
      </c>
      <c r="D821" s="93" t="s">
        <v>637</v>
      </c>
      <c r="E821" s="117" t="s">
        <v>4334</v>
      </c>
      <c r="F821" s="100" t="s">
        <v>165</v>
      </c>
      <c r="G821" s="100" t="s">
        <v>615</v>
      </c>
      <c r="H821" s="93" t="s">
        <v>5</v>
      </c>
      <c r="I821" s="92" t="s">
        <v>4056</v>
      </c>
      <c r="J821" s="97">
        <v>7793939999</v>
      </c>
      <c r="K821" s="99"/>
      <c r="L821" s="99"/>
      <c r="M821" s="99"/>
      <c r="N821" s="99"/>
      <c r="O821" s="67"/>
    </row>
    <row r="822" spans="1:15" ht="30.4">
      <c r="A822" s="101" t="s">
        <v>8</v>
      </c>
      <c r="B822" s="93" t="s">
        <v>633</v>
      </c>
      <c r="C822" s="102" t="s">
        <v>637</v>
      </c>
      <c r="D822" s="93" t="s">
        <v>637</v>
      </c>
      <c r="E822" s="117" t="s">
        <v>4335</v>
      </c>
      <c r="F822" s="93" t="s">
        <v>165</v>
      </c>
      <c r="G822" s="93" t="s">
        <v>615</v>
      </c>
      <c r="H822" s="93" t="s">
        <v>5</v>
      </c>
      <c r="I822" s="92" t="s">
        <v>4056</v>
      </c>
      <c r="J822" s="102">
        <v>9652438990</v>
      </c>
      <c r="K822" s="95"/>
      <c r="L822" s="95"/>
      <c r="M822" s="95"/>
      <c r="N822" s="95"/>
      <c r="O822" s="67"/>
    </row>
    <row r="823" spans="1:15" ht="30.4">
      <c r="A823" s="101" t="s">
        <v>8</v>
      </c>
      <c r="B823" s="93" t="s">
        <v>633</v>
      </c>
      <c r="C823" s="102" t="s">
        <v>637</v>
      </c>
      <c r="D823" s="93" t="s">
        <v>637</v>
      </c>
      <c r="E823" s="117" t="s">
        <v>4336</v>
      </c>
      <c r="F823" s="93" t="s">
        <v>114</v>
      </c>
      <c r="G823" s="93" t="s">
        <v>85</v>
      </c>
      <c r="H823" s="93" t="s">
        <v>5</v>
      </c>
      <c r="I823" s="92" t="s">
        <v>4056</v>
      </c>
      <c r="J823" s="102">
        <v>9908162544</v>
      </c>
      <c r="K823" s="95"/>
      <c r="L823" s="95"/>
      <c r="M823" s="95"/>
      <c r="N823" s="95"/>
      <c r="O823" s="67"/>
    </row>
    <row r="824" spans="1:15" ht="60">
      <c r="A824" s="91" t="s">
        <v>8</v>
      </c>
      <c r="B824" s="92" t="s">
        <v>633</v>
      </c>
      <c r="C824" s="92" t="str">
        <f ca="1">IFERROR(__xludf.DUMMYFUNCTION("filter('Back End'!C:C,'Back End'!A:A=A824,'Back End'!B:B=B824,'Back End'!D:D=D824)"),"Peda.Mallapuram")</f>
        <v>Peda.Mallapuram</v>
      </c>
      <c r="D824" s="91" t="s">
        <v>651</v>
      </c>
      <c r="E824" s="92" t="s">
        <v>4337</v>
      </c>
      <c r="F824" s="91" t="s">
        <v>165</v>
      </c>
      <c r="G824" s="91" t="s">
        <v>615</v>
      </c>
      <c r="H824" s="93" t="s">
        <v>5</v>
      </c>
      <c r="I824" s="92" t="s">
        <v>3570</v>
      </c>
      <c r="J824" s="92">
        <v>8466809999</v>
      </c>
      <c r="K824" s="92">
        <v>500</v>
      </c>
      <c r="L824" s="67"/>
      <c r="M824" s="67"/>
      <c r="N824" s="67"/>
      <c r="O824" s="67"/>
    </row>
    <row r="825" spans="1:15" ht="45">
      <c r="A825" s="91" t="s">
        <v>8</v>
      </c>
      <c r="B825" s="92" t="s">
        <v>633</v>
      </c>
      <c r="C825" s="92" t="str">
        <f ca="1">IFERROR(__xludf.DUMMYFUNCTION("filter('Back End'!C:C,'Back End'!A:A=A825,'Back End'!B:B=B825,'Back End'!D:D=D825)"),"Peda.Mallapuram")</f>
        <v>Peda.Mallapuram</v>
      </c>
      <c r="D825" s="91" t="s">
        <v>651</v>
      </c>
      <c r="E825" s="92" t="s">
        <v>4338</v>
      </c>
      <c r="F825" s="91" t="s">
        <v>165</v>
      </c>
      <c r="G825" s="91" t="s">
        <v>615</v>
      </c>
      <c r="H825" s="93" t="s">
        <v>5</v>
      </c>
      <c r="I825" s="92" t="s">
        <v>4128</v>
      </c>
      <c r="J825" s="67"/>
      <c r="K825" s="92">
        <v>600</v>
      </c>
      <c r="L825" s="67"/>
      <c r="M825" s="67"/>
      <c r="N825" s="67"/>
      <c r="O825" s="67"/>
    </row>
    <row r="826" spans="1:15" ht="30">
      <c r="A826" s="91" t="s">
        <v>8</v>
      </c>
      <c r="B826" s="92" t="s">
        <v>633</v>
      </c>
      <c r="C826" s="92" t="str">
        <f ca="1">IFERROR(__xludf.DUMMYFUNCTION("filter('Back End'!C:C,'Back End'!A:A=A826,'Back End'!B:B=B826,'Back End'!D:D=D826)"),"Peda.Mallapuram")</f>
        <v>Peda.Mallapuram</v>
      </c>
      <c r="D826" s="91" t="s">
        <v>651</v>
      </c>
      <c r="E826" s="92" t="s">
        <v>4339</v>
      </c>
      <c r="F826" s="91" t="s">
        <v>467</v>
      </c>
      <c r="G826" s="91" t="s">
        <v>86</v>
      </c>
      <c r="H826" s="93" t="s">
        <v>5</v>
      </c>
      <c r="I826" s="92" t="s">
        <v>4340</v>
      </c>
      <c r="J826" s="67"/>
      <c r="K826" s="92">
        <v>200</v>
      </c>
      <c r="L826" s="67"/>
      <c r="M826" s="67"/>
      <c r="N826" s="67"/>
      <c r="O826" s="67"/>
    </row>
    <row r="827" spans="1:15" ht="45">
      <c r="A827" s="91" t="s">
        <v>8</v>
      </c>
      <c r="B827" s="92" t="s">
        <v>633</v>
      </c>
      <c r="C827" s="92" t="str">
        <f ca="1">IFERROR(__xludf.DUMMYFUNCTION("filter('Back End'!C:C,'Back End'!A:A=A827,'Back End'!B:B=B827,'Back End'!D:D=D827)"),"Peda.Mallapuram")</f>
        <v>Peda.Mallapuram</v>
      </c>
      <c r="D827" s="91" t="s">
        <v>651</v>
      </c>
      <c r="E827" s="92" t="s">
        <v>4341</v>
      </c>
      <c r="F827" s="91" t="s">
        <v>1646</v>
      </c>
      <c r="G827" s="91" t="s">
        <v>86</v>
      </c>
      <c r="H827" s="93" t="s">
        <v>5</v>
      </c>
      <c r="I827" s="92" t="s">
        <v>3115</v>
      </c>
      <c r="J827" s="92">
        <v>9908629052</v>
      </c>
      <c r="K827" s="92">
        <v>200</v>
      </c>
      <c r="L827" s="67"/>
      <c r="M827" s="67"/>
      <c r="N827" s="67"/>
      <c r="O827" s="67"/>
    </row>
    <row r="828" spans="1:15" ht="30">
      <c r="A828" s="91" t="s">
        <v>8</v>
      </c>
      <c r="B828" s="100" t="s">
        <v>633</v>
      </c>
      <c r="C828" s="97" t="s">
        <v>651</v>
      </c>
      <c r="D828" s="100" t="s">
        <v>651</v>
      </c>
      <c r="E828" s="100" t="s">
        <v>4342</v>
      </c>
      <c r="F828" s="99" t="s">
        <v>3138</v>
      </c>
      <c r="G828" s="99"/>
      <c r="H828" s="100" t="s">
        <v>5</v>
      </c>
      <c r="I828" s="99"/>
      <c r="J828" s="97">
        <v>9603684512</v>
      </c>
      <c r="K828" s="99"/>
      <c r="L828" s="99"/>
      <c r="M828" s="67"/>
      <c r="N828" s="67"/>
      <c r="O828" s="67"/>
    </row>
    <row r="829" spans="1:15" ht="30">
      <c r="A829" s="91" t="s">
        <v>3361</v>
      </c>
      <c r="B829" s="100" t="s">
        <v>633</v>
      </c>
      <c r="C829" s="97" t="s">
        <v>651</v>
      </c>
      <c r="D829" s="100" t="s">
        <v>651</v>
      </c>
      <c r="E829" s="100" t="s">
        <v>4343</v>
      </c>
      <c r="F829" s="99" t="s">
        <v>3138</v>
      </c>
      <c r="G829" s="99"/>
      <c r="H829" s="100" t="s">
        <v>4</v>
      </c>
      <c r="I829" s="99"/>
      <c r="J829" s="97">
        <v>9666740156</v>
      </c>
      <c r="K829" s="99"/>
      <c r="L829" s="99"/>
      <c r="M829" s="67"/>
      <c r="N829" s="67"/>
      <c r="O829" s="67"/>
    </row>
    <row r="830" spans="1:15" ht="30.4">
      <c r="A830" s="101" t="s">
        <v>3361</v>
      </c>
      <c r="B830" s="93" t="s">
        <v>633</v>
      </c>
      <c r="C830" s="102" t="s">
        <v>651</v>
      </c>
      <c r="D830" s="93" t="s">
        <v>651</v>
      </c>
      <c r="E830" s="93" t="s">
        <v>4344</v>
      </c>
      <c r="F830" s="105" t="s">
        <v>1653</v>
      </c>
      <c r="G830" s="105" t="s">
        <v>86</v>
      </c>
      <c r="H830" s="93" t="s">
        <v>4</v>
      </c>
      <c r="I830" s="95"/>
      <c r="J830" s="102">
        <v>9949900877</v>
      </c>
      <c r="K830" s="95"/>
      <c r="L830" s="99"/>
      <c r="M830" s="67"/>
      <c r="N830" s="67"/>
      <c r="O830" s="67"/>
    </row>
    <row r="831" spans="1:15" ht="30">
      <c r="A831" s="101" t="s">
        <v>3361</v>
      </c>
      <c r="B831" s="93" t="s">
        <v>633</v>
      </c>
      <c r="C831" s="102" t="s">
        <v>651</v>
      </c>
      <c r="D831" s="93" t="s">
        <v>651</v>
      </c>
      <c r="E831" s="93" t="s">
        <v>4345</v>
      </c>
      <c r="F831" s="95" t="s">
        <v>3138</v>
      </c>
      <c r="G831" s="95"/>
      <c r="H831" s="93" t="s">
        <v>4</v>
      </c>
      <c r="I831" s="102" t="s">
        <v>3125</v>
      </c>
      <c r="J831" s="102">
        <v>8331803912</v>
      </c>
      <c r="K831" s="95"/>
      <c r="L831" s="99"/>
      <c r="M831" s="67"/>
      <c r="N831" s="67"/>
      <c r="O831" s="67"/>
    </row>
    <row r="832" spans="1:15" ht="60">
      <c r="A832" s="91" t="s">
        <v>19</v>
      </c>
      <c r="B832" s="92" t="s">
        <v>220</v>
      </c>
      <c r="C832" s="92" t="str">
        <f ca="1">IFERROR(__xludf.DUMMYFUNCTION("filter('Back End'!C:C,'Back End'!A:A=A832,'Back End'!B:B=B832,'Back End'!D:D=D832)"),"Mukkollu")</f>
        <v>Mukkollu</v>
      </c>
      <c r="D832" s="91" t="s">
        <v>235</v>
      </c>
      <c r="E832" s="92" t="s">
        <v>4346</v>
      </c>
      <c r="F832" s="91" t="s">
        <v>139</v>
      </c>
      <c r="G832" s="91" t="s">
        <v>594</v>
      </c>
      <c r="H832" s="93" t="s">
        <v>4</v>
      </c>
      <c r="I832" s="92" t="s">
        <v>4347</v>
      </c>
      <c r="J832" s="92">
        <v>9493379999</v>
      </c>
      <c r="K832" s="67"/>
      <c r="L832" s="67"/>
      <c r="M832" s="67"/>
      <c r="N832" s="67"/>
      <c r="O832" s="67"/>
    </row>
    <row r="833" spans="1:15" ht="30">
      <c r="A833" s="91" t="s">
        <v>19</v>
      </c>
      <c r="B833" s="92" t="s">
        <v>220</v>
      </c>
      <c r="C833" s="92" t="str">
        <f ca="1">IFERROR(__xludf.DUMMYFUNCTION("filter('Back End'!C:C,'Back End'!A:A=A833,'Back End'!B:B=B833,'Back End'!D:D=D833)"),"Mukkollu")</f>
        <v>Mukkollu</v>
      </c>
      <c r="D833" s="91" t="s">
        <v>235</v>
      </c>
      <c r="E833" s="92" t="s">
        <v>236</v>
      </c>
      <c r="F833" s="91" t="s">
        <v>139</v>
      </c>
      <c r="G833" s="91" t="s">
        <v>594</v>
      </c>
      <c r="H833" s="93" t="s">
        <v>4</v>
      </c>
      <c r="I833" s="92" t="s">
        <v>4348</v>
      </c>
      <c r="J833" s="92">
        <v>8886766667</v>
      </c>
      <c r="K833" s="67"/>
      <c r="L833" s="67"/>
      <c r="M833" s="67"/>
      <c r="N833" s="67"/>
      <c r="O833" s="67"/>
    </row>
    <row r="834" spans="1:15" ht="75">
      <c r="A834" s="91" t="s">
        <v>19</v>
      </c>
      <c r="B834" s="92" t="s">
        <v>220</v>
      </c>
      <c r="C834" s="92" t="str">
        <f ca="1">IFERROR(__xludf.DUMMYFUNCTION("filter('Back End'!C:C,'Back End'!A:A=A834,'Back End'!B:B=B834,'Back End'!D:D=D834)"),"Mukkollu")</f>
        <v>Mukkollu</v>
      </c>
      <c r="D834" s="91" t="s">
        <v>235</v>
      </c>
      <c r="E834" s="92" t="s">
        <v>4349</v>
      </c>
      <c r="F834" s="91" t="s">
        <v>1680</v>
      </c>
      <c r="G834" s="91" t="s">
        <v>615</v>
      </c>
      <c r="H834" s="93" t="s">
        <v>4</v>
      </c>
      <c r="I834" s="92" t="s">
        <v>4350</v>
      </c>
      <c r="J834" s="92">
        <v>9441744166</v>
      </c>
      <c r="K834" s="67"/>
      <c r="L834" s="67"/>
      <c r="M834" s="67"/>
      <c r="N834" s="67"/>
      <c r="O834" s="67"/>
    </row>
    <row r="835" spans="1:15" ht="45">
      <c r="A835" s="91" t="s">
        <v>19</v>
      </c>
      <c r="B835" s="92" t="s">
        <v>220</v>
      </c>
      <c r="C835" s="92" t="str">
        <f ca="1">IFERROR(__xludf.DUMMYFUNCTION("filter('Back End'!C:C,'Back End'!A:A=A835,'Back End'!B:B=B835,'Back End'!D:D=D835)"),"Mukkollu")</f>
        <v>Mukkollu</v>
      </c>
      <c r="D835" s="91" t="s">
        <v>235</v>
      </c>
      <c r="E835" s="92" t="s">
        <v>4351</v>
      </c>
      <c r="F835" s="91" t="s">
        <v>139</v>
      </c>
      <c r="G835" s="91" t="s">
        <v>594</v>
      </c>
      <c r="H835" s="93" t="s">
        <v>5</v>
      </c>
      <c r="I835" s="92" t="s">
        <v>3384</v>
      </c>
      <c r="J835" s="92">
        <v>9010606030</v>
      </c>
      <c r="K835" s="67"/>
      <c r="L835" s="67"/>
      <c r="M835" s="67"/>
      <c r="N835" s="67"/>
      <c r="O835" s="67"/>
    </row>
    <row r="836" spans="1:15" ht="30">
      <c r="A836" s="91" t="s">
        <v>19</v>
      </c>
      <c r="B836" s="100" t="s">
        <v>220</v>
      </c>
      <c r="C836" s="97" t="s">
        <v>235</v>
      </c>
      <c r="D836" s="100" t="s">
        <v>235</v>
      </c>
      <c r="E836" s="100" t="s">
        <v>4352</v>
      </c>
      <c r="F836" s="100" t="s">
        <v>139</v>
      </c>
      <c r="G836" s="100" t="s">
        <v>594</v>
      </c>
      <c r="H836" s="100" t="s">
        <v>5</v>
      </c>
      <c r="I836" s="97" t="s">
        <v>4056</v>
      </c>
      <c r="J836" s="97">
        <v>9652533206</v>
      </c>
      <c r="K836" s="99"/>
      <c r="L836" s="99"/>
      <c r="M836" s="67"/>
      <c r="N836" s="67"/>
      <c r="O836" s="67"/>
    </row>
    <row r="837" spans="1:15" ht="30">
      <c r="A837" s="91" t="s">
        <v>11</v>
      </c>
      <c r="B837" s="92" t="s">
        <v>297</v>
      </c>
      <c r="C837" s="92" t="str">
        <f ca="1">IFERROR(__xludf.DUMMYFUNCTION("filter('Back End'!C:C,'Back End'!A:A=A837,'Back End'!B:B=B837,'Back End'!D:D=D837)"),"G. Bhavaram")</f>
        <v>G. Bhavaram</v>
      </c>
      <c r="D837" s="91" t="s">
        <v>300</v>
      </c>
      <c r="E837" s="92" t="s">
        <v>4353</v>
      </c>
      <c r="F837" s="91" t="s">
        <v>114</v>
      </c>
      <c r="G837" s="91" t="s">
        <v>85</v>
      </c>
      <c r="H837" s="93" t="s">
        <v>5</v>
      </c>
      <c r="I837" s="92" t="s">
        <v>3115</v>
      </c>
      <c r="J837" s="92">
        <v>9502319888</v>
      </c>
      <c r="K837" s="92" t="s">
        <v>4354</v>
      </c>
      <c r="L837" s="67"/>
      <c r="M837" s="67"/>
      <c r="N837" s="67"/>
      <c r="O837" s="67"/>
    </row>
    <row r="838" spans="1:15" ht="30">
      <c r="A838" s="91" t="s">
        <v>11</v>
      </c>
      <c r="B838" s="92" t="s">
        <v>297</v>
      </c>
      <c r="C838" s="92" t="str">
        <f ca="1">IFERROR(__xludf.DUMMYFUNCTION("filter('Back End'!C:C,'Back End'!A:A=A838,'Back End'!B:B=B838,'Back End'!D:D=D838)"),"G. Bhavaram")</f>
        <v>G. Bhavaram</v>
      </c>
      <c r="D838" s="91" t="s">
        <v>300</v>
      </c>
      <c r="E838" s="92" t="s">
        <v>4355</v>
      </c>
      <c r="F838" s="91" t="s">
        <v>114</v>
      </c>
      <c r="G838" s="91" t="s">
        <v>85</v>
      </c>
      <c r="H838" s="93" t="s">
        <v>5</v>
      </c>
      <c r="I838" s="92" t="s">
        <v>3255</v>
      </c>
      <c r="J838" s="92">
        <v>7702027856</v>
      </c>
      <c r="K838" s="67"/>
      <c r="L838" s="67"/>
      <c r="M838" s="67"/>
      <c r="N838" s="67"/>
      <c r="O838" s="67"/>
    </row>
    <row r="839" spans="1:15" ht="45">
      <c r="A839" s="91" t="s">
        <v>8</v>
      </c>
      <c r="B839" s="92" t="s">
        <v>633</v>
      </c>
      <c r="C839" s="92" t="str">
        <f ca="1">IFERROR(__xludf.DUMMYFUNCTION("filter('Back End'!C:C,'Back End'!A:A=A839,'Back End'!B:B=B839,'Back End'!D:D=D839)"),"Velangi")</f>
        <v>Velangi</v>
      </c>
      <c r="D839" s="91" t="s">
        <v>333</v>
      </c>
      <c r="E839" s="92" t="s">
        <v>4356</v>
      </c>
      <c r="F839" s="91" t="s">
        <v>1653</v>
      </c>
      <c r="G839" s="91" t="s">
        <v>86</v>
      </c>
      <c r="H839" s="93" t="s">
        <v>5</v>
      </c>
      <c r="I839" s="92" t="s">
        <v>3115</v>
      </c>
      <c r="J839" s="92">
        <v>8465068899</v>
      </c>
      <c r="K839" s="92" t="s">
        <v>4357</v>
      </c>
      <c r="L839" s="67"/>
      <c r="M839" s="67"/>
      <c r="N839" s="67"/>
      <c r="O839" s="67"/>
    </row>
    <row r="840" spans="1:15" ht="30">
      <c r="A840" s="67"/>
      <c r="B840" s="67"/>
      <c r="C840" s="67"/>
      <c r="D840" s="67"/>
      <c r="E840" s="92" t="s">
        <v>4358</v>
      </c>
      <c r="F840" s="91" t="s">
        <v>1653</v>
      </c>
      <c r="G840" s="91" t="s">
        <v>86</v>
      </c>
      <c r="H840" s="93" t="s">
        <v>5</v>
      </c>
      <c r="I840" s="92" t="s">
        <v>3185</v>
      </c>
      <c r="J840" s="92">
        <v>9392255910</v>
      </c>
      <c r="K840" s="67"/>
      <c r="L840" s="67"/>
      <c r="M840" s="67"/>
      <c r="N840" s="67"/>
      <c r="O840" s="67"/>
    </row>
    <row r="841" spans="1:15" ht="30">
      <c r="A841" s="67"/>
      <c r="B841" s="67"/>
      <c r="C841" s="67"/>
      <c r="D841" s="67"/>
      <c r="E841" s="92" t="s">
        <v>4359</v>
      </c>
      <c r="F841" s="91" t="s">
        <v>1653</v>
      </c>
      <c r="G841" s="91" t="s">
        <v>86</v>
      </c>
      <c r="H841" s="93" t="s">
        <v>5</v>
      </c>
      <c r="I841" s="92" t="s">
        <v>3495</v>
      </c>
      <c r="J841" s="92">
        <v>8978634995</v>
      </c>
      <c r="K841" s="67"/>
      <c r="L841" s="67"/>
      <c r="M841" s="67"/>
      <c r="N841" s="67"/>
      <c r="O841" s="67"/>
    </row>
    <row r="842" spans="1:15" ht="45">
      <c r="A842" s="91" t="s">
        <v>8</v>
      </c>
      <c r="B842" s="92" t="s">
        <v>658</v>
      </c>
      <c r="C842" s="92" t="str">
        <f ca="1">IFERROR(__xludf.DUMMYFUNCTION("filter('Back End'!C:C,'Back End'!A:A=A842,'Back End'!B:B=B842,'Back End'!D:D=D842)"),"C. Rayavaram")</f>
        <v>C. Rayavaram</v>
      </c>
      <c r="D842" s="91" t="s">
        <v>660</v>
      </c>
      <c r="E842" s="92" t="s">
        <v>4360</v>
      </c>
      <c r="F842" s="91" t="s">
        <v>139</v>
      </c>
      <c r="G842" s="91" t="s">
        <v>594</v>
      </c>
      <c r="H842" s="93" t="s">
        <v>5</v>
      </c>
      <c r="I842" s="92" t="s">
        <v>4361</v>
      </c>
      <c r="J842" s="67"/>
      <c r="K842" s="92">
        <v>100</v>
      </c>
      <c r="L842" s="67"/>
      <c r="M842" s="67"/>
      <c r="N842" s="67"/>
      <c r="O842" s="67"/>
    </row>
    <row r="843" spans="1:15" ht="45">
      <c r="A843" s="91" t="s">
        <v>8</v>
      </c>
      <c r="B843" s="92" t="s">
        <v>658</v>
      </c>
      <c r="C843" s="92" t="str">
        <f ca="1">IFERROR(__xludf.DUMMYFUNCTION("filter('Back End'!C:C,'Back End'!A:A=A843,'Back End'!B:B=B843,'Back End'!D:D=D843)"),"C. Rayavaram")</f>
        <v>C. Rayavaram</v>
      </c>
      <c r="D843" s="91" t="s">
        <v>660</v>
      </c>
      <c r="E843" s="92" t="s">
        <v>4362</v>
      </c>
      <c r="F843" s="91" t="s">
        <v>139</v>
      </c>
      <c r="G843" s="91" t="s">
        <v>594</v>
      </c>
      <c r="H843" s="93" t="s">
        <v>5</v>
      </c>
      <c r="I843" s="92" t="s">
        <v>3115</v>
      </c>
      <c r="J843" s="92">
        <v>6301515169</v>
      </c>
      <c r="K843" s="92">
        <v>450</v>
      </c>
      <c r="L843" s="67"/>
      <c r="M843" s="67"/>
      <c r="N843" s="67"/>
      <c r="O843" s="67"/>
    </row>
    <row r="844" spans="1:15" ht="45">
      <c r="A844" s="91" t="s">
        <v>8</v>
      </c>
      <c r="B844" s="92" t="s">
        <v>658</v>
      </c>
      <c r="C844" s="92" t="str">
        <f ca="1">IFERROR(__xludf.DUMMYFUNCTION("filter('Back End'!C:C,'Back End'!A:A=A844,'Back End'!B:B=B844,'Back End'!D:D=D844)"),"C. Rayavaram")</f>
        <v>C. Rayavaram</v>
      </c>
      <c r="D844" s="91" t="s">
        <v>660</v>
      </c>
      <c r="E844" s="92" t="s">
        <v>4363</v>
      </c>
      <c r="F844" s="91" t="s">
        <v>139</v>
      </c>
      <c r="G844" s="91" t="s">
        <v>594</v>
      </c>
      <c r="H844" s="93" t="s">
        <v>5</v>
      </c>
      <c r="I844" s="92" t="s">
        <v>4202</v>
      </c>
      <c r="J844" s="67"/>
      <c r="K844" s="67"/>
      <c r="L844" s="67"/>
      <c r="M844" s="67"/>
      <c r="N844" s="67"/>
      <c r="O844" s="67"/>
    </row>
    <row r="845" spans="1:15" ht="30">
      <c r="A845" s="91" t="s">
        <v>8</v>
      </c>
      <c r="B845" s="92" t="s">
        <v>658</v>
      </c>
      <c r="C845" s="92" t="str">
        <f ca="1">IFERROR(__xludf.DUMMYFUNCTION("filter('Back End'!C:C,'Back End'!A:A=A845,'Back End'!B:B=B845,'Back End'!D:D=D845)"),"C. Rayavaram")</f>
        <v>C. Rayavaram</v>
      </c>
      <c r="D845" s="91" t="s">
        <v>660</v>
      </c>
      <c r="E845" s="92" t="s">
        <v>4364</v>
      </c>
      <c r="F845" s="91" t="s">
        <v>165</v>
      </c>
      <c r="G845" s="91" t="s">
        <v>615</v>
      </c>
      <c r="H845" s="93" t="s">
        <v>5</v>
      </c>
      <c r="I845" s="92" t="s">
        <v>4365</v>
      </c>
      <c r="J845" s="67"/>
      <c r="K845" s="67"/>
      <c r="L845" s="67"/>
      <c r="M845" s="67"/>
      <c r="N845" s="67"/>
      <c r="O845" s="67"/>
    </row>
    <row r="846" spans="1:15" ht="45">
      <c r="A846" s="91" t="s">
        <v>8</v>
      </c>
      <c r="B846" s="92" t="s">
        <v>658</v>
      </c>
      <c r="C846" s="92" t="str">
        <f ca="1">IFERROR(__xludf.DUMMYFUNCTION("filter('Back End'!C:C,'Back End'!A:A=A846,'Back End'!B:B=B846,'Back End'!D:D=D846)"),"C. Rayavaram")</f>
        <v>C. Rayavaram</v>
      </c>
      <c r="D846" s="91" t="s">
        <v>660</v>
      </c>
      <c r="E846" s="92" t="s">
        <v>4366</v>
      </c>
      <c r="F846" s="91" t="s">
        <v>139</v>
      </c>
      <c r="G846" s="91" t="s">
        <v>594</v>
      </c>
      <c r="H846" s="93" t="s">
        <v>5</v>
      </c>
      <c r="I846" s="92" t="s">
        <v>4202</v>
      </c>
      <c r="J846" s="67"/>
      <c r="K846" s="67"/>
      <c r="L846" s="67"/>
      <c r="M846" s="67"/>
      <c r="N846" s="67"/>
      <c r="O846" s="67"/>
    </row>
    <row r="847" spans="1:15" ht="45">
      <c r="A847" s="91" t="s">
        <v>4367</v>
      </c>
      <c r="B847" s="92" t="s">
        <v>297</v>
      </c>
      <c r="C847" s="92" t="str">
        <f ca="1">IFERROR(__xludf.DUMMYFUNCTION("filter('Back End'!C:C,'Back End'!A:A=A847,'Back End'!B:B=B847,'Back End'!D:D=D847)"),"#N/A")</f>
        <v>#N/A</v>
      </c>
      <c r="D847" s="91" t="s">
        <v>308</v>
      </c>
      <c r="E847" s="92" t="s">
        <v>309</v>
      </c>
      <c r="F847" s="91" t="s">
        <v>139</v>
      </c>
      <c r="G847" s="91" t="s">
        <v>594</v>
      </c>
      <c r="H847" s="93" t="s">
        <v>5</v>
      </c>
      <c r="I847" s="92" t="s">
        <v>3115</v>
      </c>
      <c r="J847" s="92">
        <v>9494106999</v>
      </c>
      <c r="K847" s="92">
        <v>500</v>
      </c>
      <c r="L847" s="67"/>
      <c r="M847" s="67"/>
      <c r="N847" s="67"/>
      <c r="O847" s="67"/>
    </row>
    <row r="848" spans="1:15" ht="45">
      <c r="A848" s="91" t="s">
        <v>15</v>
      </c>
      <c r="B848" s="92" t="s">
        <v>389</v>
      </c>
      <c r="C848" s="92" t="str">
        <f ca="1">IFERROR(__xludf.DUMMYFUNCTION("filter('Back End'!C:C,'Back End'!A:A=A848,'Back End'!B:B=B848,'Back End'!D:D=D848)"),"Navara")</f>
        <v>Navara</v>
      </c>
      <c r="D848" s="91" t="s">
        <v>411</v>
      </c>
      <c r="E848" s="92" t="s">
        <v>412</v>
      </c>
      <c r="F848" s="91" t="s">
        <v>139</v>
      </c>
      <c r="G848" s="91" t="s">
        <v>594</v>
      </c>
      <c r="H848" s="93" t="s">
        <v>4</v>
      </c>
      <c r="I848" s="92" t="s">
        <v>3115</v>
      </c>
      <c r="J848" s="92">
        <v>9848392555</v>
      </c>
      <c r="K848" s="67"/>
      <c r="L848" s="67"/>
      <c r="M848" s="67"/>
      <c r="N848" s="67"/>
      <c r="O848" s="67"/>
    </row>
    <row r="849" spans="1:15" ht="30">
      <c r="A849" s="91" t="s">
        <v>15</v>
      </c>
      <c r="B849" s="92" t="s">
        <v>389</v>
      </c>
      <c r="C849" s="92" t="str">
        <f ca="1">IFERROR(__xludf.DUMMYFUNCTION("filter('Back End'!C:C,'Back End'!A:A=A849,'Back End'!B:B=B849,'Back End'!D:D=D849)"),"Panasapadu")</f>
        <v>Panasapadu</v>
      </c>
      <c r="D849" s="91" t="s">
        <v>415</v>
      </c>
      <c r="E849" s="92" t="s">
        <v>416</v>
      </c>
      <c r="F849" s="91" t="s">
        <v>1669</v>
      </c>
      <c r="G849" s="91" t="s">
        <v>615</v>
      </c>
      <c r="H849" s="93" t="s">
        <v>5</v>
      </c>
      <c r="I849" s="92" t="s">
        <v>3115</v>
      </c>
      <c r="J849" s="92">
        <v>9951288078</v>
      </c>
      <c r="K849" s="67"/>
      <c r="L849" s="67"/>
      <c r="M849" s="67"/>
      <c r="N849" s="67"/>
      <c r="O849" s="67"/>
    </row>
    <row r="850" spans="1:15" ht="45">
      <c r="A850" s="91" t="s">
        <v>15</v>
      </c>
      <c r="B850" s="92" t="s">
        <v>389</v>
      </c>
      <c r="C850" s="92" t="str">
        <f ca="1">IFERROR(__xludf.DUMMYFUNCTION("filter('Back End'!C:C,'Back End'!A:A=A850,'Back End'!B:B=B850,'Back End'!D:D=D850)"),"Panasapadu")</f>
        <v>Panasapadu</v>
      </c>
      <c r="D850" s="91" t="s">
        <v>415</v>
      </c>
      <c r="E850" s="92" t="s">
        <v>4368</v>
      </c>
      <c r="F850" s="91" t="s">
        <v>1684</v>
      </c>
      <c r="G850" s="91" t="s">
        <v>594</v>
      </c>
      <c r="H850" s="93" t="s">
        <v>4</v>
      </c>
      <c r="I850" s="92" t="s">
        <v>3395</v>
      </c>
      <c r="J850" s="92">
        <v>9666797712</v>
      </c>
      <c r="K850" s="67"/>
      <c r="L850" s="67"/>
      <c r="M850" s="67"/>
      <c r="N850" s="67"/>
      <c r="O850" s="67"/>
    </row>
    <row r="851" spans="1:15" ht="45">
      <c r="A851" s="91" t="s">
        <v>15</v>
      </c>
      <c r="B851" s="92" t="s">
        <v>389</v>
      </c>
      <c r="C851" s="92" t="str">
        <f ca="1">IFERROR(__xludf.DUMMYFUNCTION("filter('Back End'!C:C,'Back End'!A:A=A851,'Back End'!B:B=B851,'Back End'!D:D=D851)"),"Panasapadu")</f>
        <v>Panasapadu</v>
      </c>
      <c r="D851" s="91" t="s">
        <v>415</v>
      </c>
      <c r="E851" s="92" t="s">
        <v>4369</v>
      </c>
      <c r="F851" s="91" t="s">
        <v>120</v>
      </c>
      <c r="G851" s="91" t="s">
        <v>615</v>
      </c>
      <c r="H851" s="93" t="s">
        <v>4</v>
      </c>
      <c r="I851" s="92" t="s">
        <v>4370</v>
      </c>
      <c r="J851" s="92">
        <v>9494205657</v>
      </c>
      <c r="K851" s="67"/>
      <c r="L851" s="67"/>
      <c r="M851" s="67"/>
      <c r="N851" s="67"/>
      <c r="O851" s="67"/>
    </row>
    <row r="852" spans="1:15" ht="30">
      <c r="A852" s="91" t="s">
        <v>15</v>
      </c>
      <c r="B852" s="92" t="s">
        <v>389</v>
      </c>
      <c r="C852" s="92" t="str">
        <f ca="1">IFERROR(__xludf.DUMMYFUNCTION("filter('Back End'!C:C,'Back End'!A:A=A852,'Back End'!B:B=B852,'Back End'!D:D=D852)"),"Panasapadu")</f>
        <v>Panasapadu</v>
      </c>
      <c r="D852" s="91" t="s">
        <v>415</v>
      </c>
      <c r="E852" s="92" t="s">
        <v>4371</v>
      </c>
      <c r="F852" s="91" t="s">
        <v>1669</v>
      </c>
      <c r="G852" s="91" t="s">
        <v>615</v>
      </c>
      <c r="H852" s="93" t="s">
        <v>4</v>
      </c>
      <c r="I852" s="92" t="s">
        <v>3395</v>
      </c>
      <c r="J852" s="92">
        <v>9963157925</v>
      </c>
      <c r="K852" s="67"/>
      <c r="L852" s="67"/>
      <c r="M852" s="67"/>
      <c r="N852" s="67"/>
      <c r="O852" s="67"/>
    </row>
    <row r="853" spans="1:15" ht="15">
      <c r="A853" s="91" t="s">
        <v>15</v>
      </c>
      <c r="B853" s="92" t="s">
        <v>389</v>
      </c>
      <c r="C853" s="92" t="str">
        <f ca="1">IFERROR(__xludf.DUMMYFUNCTION("filter('Back End'!C:C,'Back End'!A:A=A853,'Back End'!B:B=B853,'Back End'!D:D=D853)"),"Pandravada")</f>
        <v>Pandravada</v>
      </c>
      <c r="D853" s="91" t="s">
        <v>417</v>
      </c>
      <c r="E853" s="92" t="s">
        <v>418</v>
      </c>
      <c r="F853" s="91" t="s">
        <v>1669</v>
      </c>
      <c r="G853" s="91" t="s">
        <v>615</v>
      </c>
      <c r="H853" s="93" t="s">
        <v>5</v>
      </c>
      <c r="I853" s="92" t="s">
        <v>3115</v>
      </c>
      <c r="J853" s="92">
        <v>9704566267</v>
      </c>
      <c r="K853" s="67"/>
      <c r="L853" s="67"/>
      <c r="M853" s="67"/>
      <c r="N853" s="67"/>
      <c r="O853" s="67"/>
    </row>
    <row r="854" spans="1:15" ht="30">
      <c r="A854" s="91" t="s">
        <v>15</v>
      </c>
      <c r="B854" s="92" t="s">
        <v>389</v>
      </c>
      <c r="C854" s="92" t="str">
        <f ca="1">IFERROR(__xludf.DUMMYFUNCTION("filter('Back End'!C:C,'Back End'!A:A=A854,'Back End'!B:B=B854,'Back End'!D:D=D854)"),"Pandravada")</f>
        <v>Pandravada</v>
      </c>
      <c r="D854" s="91" t="s">
        <v>417</v>
      </c>
      <c r="E854" s="92" t="s">
        <v>4372</v>
      </c>
      <c r="F854" s="91" t="s">
        <v>1669</v>
      </c>
      <c r="G854" s="91" t="s">
        <v>615</v>
      </c>
      <c r="H854" s="93" t="s">
        <v>5</v>
      </c>
      <c r="I854" s="67"/>
      <c r="J854" s="92">
        <v>9515698647</v>
      </c>
      <c r="K854" s="67"/>
      <c r="L854" s="67"/>
      <c r="M854" s="67"/>
      <c r="N854" s="67"/>
      <c r="O854" s="67"/>
    </row>
    <row r="855" spans="1:15" ht="45">
      <c r="A855" s="91" t="s">
        <v>15</v>
      </c>
      <c r="B855" s="92" t="s">
        <v>389</v>
      </c>
      <c r="C855" s="92" t="str">
        <f ca="1">IFERROR(__xludf.DUMMYFUNCTION("filter('Back End'!C:C,'Back End'!A:A=A855,'Back End'!B:B=B855,'Back End'!D:D=D855)"),"Pandravada")</f>
        <v>Pandravada</v>
      </c>
      <c r="D855" s="91" t="s">
        <v>417</v>
      </c>
      <c r="E855" s="92" t="s">
        <v>4373</v>
      </c>
      <c r="F855" s="91" t="s">
        <v>1669</v>
      </c>
      <c r="G855" s="91" t="s">
        <v>615</v>
      </c>
      <c r="H855" s="93" t="s">
        <v>5</v>
      </c>
      <c r="I855" s="92" t="s">
        <v>4374</v>
      </c>
      <c r="J855" s="92">
        <v>9866725530</v>
      </c>
      <c r="K855" s="67"/>
      <c r="L855" s="67"/>
      <c r="M855" s="67"/>
      <c r="N855" s="67"/>
      <c r="O855" s="67"/>
    </row>
    <row r="856" spans="1:15" ht="30">
      <c r="A856" s="91" t="s">
        <v>15</v>
      </c>
      <c r="B856" s="92" t="s">
        <v>389</v>
      </c>
      <c r="C856" s="92" t="str">
        <f ca="1">IFERROR(__xludf.DUMMYFUNCTION("filter('Back End'!C:C,'Back End'!A:A=A856,'Back End'!B:B=B856,'Back End'!D:D=D856)"),"Pandravada")</f>
        <v>Pandravada</v>
      </c>
      <c r="D856" s="91" t="s">
        <v>417</v>
      </c>
      <c r="E856" s="92" t="s">
        <v>4375</v>
      </c>
      <c r="F856" s="91" t="s">
        <v>1669</v>
      </c>
      <c r="G856" s="91" t="s">
        <v>615</v>
      </c>
      <c r="H856" s="93" t="s">
        <v>5</v>
      </c>
      <c r="I856" s="92" t="s">
        <v>4202</v>
      </c>
      <c r="J856" s="92">
        <v>9515698647</v>
      </c>
      <c r="K856" s="67"/>
      <c r="L856" s="67"/>
      <c r="M856" s="67"/>
      <c r="N856" s="67"/>
      <c r="O856" s="67"/>
    </row>
    <row r="857" spans="1:15" ht="45">
      <c r="A857" s="91" t="s">
        <v>15</v>
      </c>
      <c r="B857" s="92" t="s">
        <v>389</v>
      </c>
      <c r="C857" s="92" t="str">
        <f ca="1">IFERROR(__xludf.DUMMYFUNCTION("filter('Back End'!C:C,'Back End'!A:A=A857,'Back End'!B:B=B857,'Back End'!D:D=D857)"),"Pandravada")</f>
        <v>Pandravada</v>
      </c>
      <c r="D857" s="91" t="s">
        <v>417</v>
      </c>
      <c r="E857" s="92" t="s">
        <v>4376</v>
      </c>
      <c r="F857" s="91" t="s">
        <v>1669</v>
      </c>
      <c r="G857" s="91" t="s">
        <v>615</v>
      </c>
      <c r="H857" s="93" t="s">
        <v>5</v>
      </c>
      <c r="I857" s="92" t="s">
        <v>4202</v>
      </c>
      <c r="J857" s="92">
        <v>8466876777</v>
      </c>
      <c r="K857" s="67"/>
      <c r="L857" s="67"/>
      <c r="M857" s="67"/>
      <c r="N857" s="67"/>
      <c r="O857" s="67"/>
    </row>
    <row r="858" spans="1:15" ht="45">
      <c r="A858" s="91" t="s">
        <v>15</v>
      </c>
      <c r="B858" s="92" t="s">
        <v>389</v>
      </c>
      <c r="C858" s="92" t="str">
        <f ca="1">IFERROR(__xludf.DUMMYFUNCTION("filter('Back End'!C:C,'Back End'!A:A=A858,'Back End'!B:B=B858,'Back End'!D:D=D858)"),"Pandravada")</f>
        <v>Pandravada</v>
      </c>
      <c r="D858" s="91" t="s">
        <v>417</v>
      </c>
      <c r="E858" s="92" t="s">
        <v>4377</v>
      </c>
      <c r="F858" s="91" t="s">
        <v>1669</v>
      </c>
      <c r="G858" s="91" t="s">
        <v>615</v>
      </c>
      <c r="H858" s="93" t="s">
        <v>4</v>
      </c>
      <c r="I858" s="92" t="s">
        <v>4378</v>
      </c>
      <c r="J858" s="67"/>
      <c r="K858" s="67"/>
      <c r="L858" s="67"/>
      <c r="M858" s="67"/>
      <c r="N858" s="67"/>
      <c r="O858" s="67"/>
    </row>
    <row r="859" spans="1:15" ht="30">
      <c r="A859" s="91" t="s">
        <v>15</v>
      </c>
      <c r="B859" s="92" t="s">
        <v>389</v>
      </c>
      <c r="C859" s="92" t="str">
        <f ca="1">IFERROR(__xludf.DUMMYFUNCTION("filter('Back End'!C:C,'Back End'!A:A=A859,'Back End'!B:B=B859,'Back End'!D:D=D859)"),"Pandravada")</f>
        <v>Pandravada</v>
      </c>
      <c r="D859" s="91" t="s">
        <v>417</v>
      </c>
      <c r="E859" s="92" t="s">
        <v>4379</v>
      </c>
      <c r="F859" s="91" t="s">
        <v>1669</v>
      </c>
      <c r="G859" s="91" t="s">
        <v>615</v>
      </c>
      <c r="H859" s="93" t="s">
        <v>4</v>
      </c>
      <c r="I859" s="92" t="s">
        <v>3881</v>
      </c>
      <c r="J859" s="67"/>
      <c r="K859" s="67"/>
      <c r="L859" s="67"/>
      <c r="M859" s="67"/>
      <c r="N859" s="67"/>
      <c r="O859" s="67"/>
    </row>
    <row r="860" spans="1:15" ht="30">
      <c r="A860" s="91" t="s">
        <v>11</v>
      </c>
      <c r="B860" s="92" t="s">
        <v>297</v>
      </c>
      <c r="C860" s="92" t="str">
        <f ca="1">IFERROR(__xludf.DUMMYFUNCTION("filter('Back End'!C:C,'Back End'!A:A=A860,'Back End'!B:B=B860,'Back End'!D:D=D860)"),"Kurada")</f>
        <v>Kurada</v>
      </c>
      <c r="D860" s="91" t="s">
        <v>312</v>
      </c>
      <c r="E860" s="92" t="s">
        <v>4380</v>
      </c>
      <c r="F860" s="91" t="s">
        <v>139</v>
      </c>
      <c r="G860" s="91" t="s">
        <v>594</v>
      </c>
      <c r="H860" s="93" t="s">
        <v>5</v>
      </c>
      <c r="I860" s="92" t="s">
        <v>3112</v>
      </c>
      <c r="J860" s="92" t="s">
        <v>2631</v>
      </c>
      <c r="K860" s="92" t="s">
        <v>4381</v>
      </c>
      <c r="L860" s="67"/>
      <c r="M860" s="67"/>
      <c r="N860" s="67"/>
      <c r="O860" s="67"/>
    </row>
    <row r="861" spans="1:15" ht="60">
      <c r="A861" s="91" t="s">
        <v>11</v>
      </c>
      <c r="B861" s="92" t="s">
        <v>297</v>
      </c>
      <c r="C861" s="92" t="str">
        <f ca="1">IFERROR(__xludf.DUMMYFUNCTION("filter('Back End'!C:C,'Back End'!A:A=A861,'Back End'!B:B=B861,'Back End'!D:D=D861)"),"Kurada")</f>
        <v>Kurada</v>
      </c>
      <c r="D861" s="91" t="s">
        <v>312</v>
      </c>
      <c r="E861" s="92" t="s">
        <v>4382</v>
      </c>
      <c r="F861" s="91" t="s">
        <v>139</v>
      </c>
      <c r="G861" s="91" t="s">
        <v>594</v>
      </c>
      <c r="H861" s="93" t="s">
        <v>4</v>
      </c>
      <c r="I861" s="92" t="s">
        <v>4383</v>
      </c>
      <c r="J861" s="92" t="s">
        <v>2631</v>
      </c>
      <c r="K861" s="67"/>
      <c r="L861" s="67"/>
      <c r="M861" s="67"/>
      <c r="N861" s="67"/>
      <c r="O861" s="67"/>
    </row>
    <row r="862" spans="1:15" ht="45">
      <c r="A862" s="91" t="s">
        <v>11</v>
      </c>
      <c r="B862" s="92" t="s">
        <v>297</v>
      </c>
      <c r="C862" s="92" t="str">
        <f ca="1">IFERROR(__xludf.DUMMYFUNCTION("filter('Back End'!C:C,'Back End'!A:A=A862,'Back End'!B:B=B862,'Back End'!D:D=D862)"),"Kurada")</f>
        <v>Kurada</v>
      </c>
      <c r="D862" s="91" t="s">
        <v>312</v>
      </c>
      <c r="E862" s="92" t="s">
        <v>4384</v>
      </c>
      <c r="F862" s="91" t="s">
        <v>1669</v>
      </c>
      <c r="G862" s="91" t="s">
        <v>615</v>
      </c>
      <c r="H862" s="93" t="s">
        <v>4</v>
      </c>
      <c r="I862" s="92" t="s">
        <v>3112</v>
      </c>
      <c r="J862" s="92" t="s">
        <v>2631</v>
      </c>
      <c r="K862" s="67"/>
      <c r="L862" s="67"/>
      <c r="M862" s="67"/>
      <c r="N862" s="67"/>
      <c r="O862" s="67"/>
    </row>
    <row r="863" spans="1:15" ht="15">
      <c r="A863" s="91" t="s">
        <v>11</v>
      </c>
      <c r="B863" s="91" t="s">
        <v>297</v>
      </c>
      <c r="C863" s="92" t="str">
        <f ca="1">IFERROR(__xludf.DUMMYFUNCTION("filter('Back End'!C:C,'Back End'!A:A=A863,'Back End'!B:B=B863,'Back End'!D:D=D863)"),"Kurada")</f>
        <v>Kurada</v>
      </c>
      <c r="D863" s="91" t="s">
        <v>312</v>
      </c>
      <c r="E863" s="91" t="s">
        <v>4385</v>
      </c>
      <c r="F863" s="91" t="s">
        <v>114</v>
      </c>
      <c r="G863" s="91" t="s">
        <v>85</v>
      </c>
      <c r="H863" s="93" t="s">
        <v>5</v>
      </c>
      <c r="I863" s="67"/>
      <c r="J863" s="92">
        <v>8179344369</v>
      </c>
      <c r="K863" s="67"/>
      <c r="L863" s="67"/>
      <c r="M863" s="67"/>
      <c r="N863" s="67"/>
      <c r="O863" s="67"/>
    </row>
    <row r="864" spans="1:15" ht="15">
      <c r="A864" s="91" t="s">
        <v>11</v>
      </c>
      <c r="B864" s="91" t="s">
        <v>297</v>
      </c>
      <c r="C864" s="92" t="str">
        <f ca="1">IFERROR(__xludf.DUMMYFUNCTION("filter('Back End'!C:C,'Back End'!A:A=A864,'Back End'!B:B=B864,'Back End'!D:D=D864)"),"Kurada")</f>
        <v>Kurada</v>
      </c>
      <c r="D864" s="91" t="s">
        <v>312</v>
      </c>
      <c r="E864" s="91" t="s">
        <v>4386</v>
      </c>
      <c r="F864" s="91" t="s">
        <v>139</v>
      </c>
      <c r="G864" s="91" t="s">
        <v>594</v>
      </c>
      <c r="H864" s="93" t="s">
        <v>5</v>
      </c>
      <c r="I864" s="67"/>
      <c r="J864" s="92">
        <v>9705866281</v>
      </c>
      <c r="K864" s="67"/>
      <c r="L864" s="67"/>
      <c r="M864" s="67"/>
      <c r="N864" s="67"/>
      <c r="O864" s="67"/>
    </row>
    <row r="865" spans="1:15" ht="15">
      <c r="A865" s="91" t="s">
        <v>11</v>
      </c>
      <c r="B865" s="91" t="s">
        <v>297</v>
      </c>
      <c r="C865" s="92" t="str">
        <f ca="1">IFERROR(__xludf.DUMMYFUNCTION("filter('Back End'!C:C,'Back End'!A:A=A865,'Back End'!B:B=B865,'Back End'!D:D=D865)"),"Kurada")</f>
        <v>Kurada</v>
      </c>
      <c r="D865" s="91" t="s">
        <v>312</v>
      </c>
      <c r="E865" s="91" t="s">
        <v>4387</v>
      </c>
      <c r="F865" s="91" t="s">
        <v>139</v>
      </c>
      <c r="G865" s="91" t="s">
        <v>594</v>
      </c>
      <c r="H865" s="93" t="s">
        <v>5</v>
      </c>
      <c r="I865" s="67"/>
      <c r="J865" s="92">
        <v>9676851515</v>
      </c>
      <c r="K865" s="67"/>
      <c r="L865" s="67"/>
      <c r="M865" s="67"/>
      <c r="N865" s="67"/>
      <c r="O865" s="67"/>
    </row>
    <row r="866" spans="1:15" ht="15">
      <c r="A866" s="91" t="s">
        <v>11</v>
      </c>
      <c r="B866" s="91" t="s">
        <v>297</v>
      </c>
      <c r="C866" s="92" t="str">
        <f ca="1">IFERROR(__xludf.DUMMYFUNCTION("filter('Back End'!C:C,'Back End'!A:A=A866,'Back End'!B:B=B866,'Back End'!D:D=D866)"),"Kurada")</f>
        <v>Kurada</v>
      </c>
      <c r="D866" s="91" t="s">
        <v>312</v>
      </c>
      <c r="E866" s="91" t="s">
        <v>4388</v>
      </c>
      <c r="F866" s="91" t="s">
        <v>139</v>
      </c>
      <c r="G866" s="91" t="s">
        <v>594</v>
      </c>
      <c r="H866" s="93" t="s">
        <v>4</v>
      </c>
      <c r="I866" s="92" t="s">
        <v>3125</v>
      </c>
      <c r="J866" s="92">
        <v>9676700225</v>
      </c>
      <c r="K866" s="67"/>
      <c r="L866" s="67"/>
      <c r="M866" s="67"/>
      <c r="N866" s="67"/>
      <c r="O866" s="67"/>
    </row>
    <row r="867" spans="1:15" ht="45">
      <c r="A867" s="91" t="s">
        <v>11</v>
      </c>
      <c r="B867" s="92" t="s">
        <v>297</v>
      </c>
      <c r="C867" s="92" t="str">
        <f ca="1">IFERROR(__xludf.DUMMYFUNCTION("filter('Back End'!C:C,'Back End'!A:A=A867,'Back End'!B:B=B867,'Back End'!D:D=D867)"),"Kurada")</f>
        <v>Kurada</v>
      </c>
      <c r="D867" s="91" t="s">
        <v>312</v>
      </c>
      <c r="E867" s="92" t="s">
        <v>314</v>
      </c>
      <c r="F867" s="91" t="s">
        <v>1669</v>
      </c>
      <c r="G867" s="91" t="s">
        <v>615</v>
      </c>
      <c r="H867" s="93" t="s">
        <v>5</v>
      </c>
      <c r="I867" s="92" t="s">
        <v>3115</v>
      </c>
      <c r="J867" s="92">
        <v>9849698654</v>
      </c>
      <c r="K867" s="92" t="s">
        <v>4389</v>
      </c>
      <c r="L867" s="67"/>
      <c r="M867" s="67"/>
      <c r="N867" s="67"/>
      <c r="O867" s="67"/>
    </row>
    <row r="868" spans="1:15" ht="45">
      <c r="A868" s="91" t="s">
        <v>11</v>
      </c>
      <c r="B868" s="92" t="s">
        <v>297</v>
      </c>
      <c r="C868" s="92" t="str">
        <f ca="1">IFERROR(__xludf.DUMMYFUNCTION("filter('Back End'!C:C,'Back End'!A:A=A868,'Back End'!B:B=B868,'Back End'!D:D=D868)"),"Nadakuduru")</f>
        <v>Nadakuduru</v>
      </c>
      <c r="D868" s="91" t="s">
        <v>315</v>
      </c>
      <c r="E868" s="92" t="s">
        <v>316</v>
      </c>
      <c r="F868" s="91" t="s">
        <v>114</v>
      </c>
      <c r="G868" s="91" t="s">
        <v>85</v>
      </c>
      <c r="H868" s="93" t="s">
        <v>5</v>
      </c>
      <c r="I868" s="92" t="s">
        <v>3115</v>
      </c>
      <c r="J868" s="92">
        <v>9666566235</v>
      </c>
      <c r="K868" s="92">
        <v>1000</v>
      </c>
      <c r="L868" s="67"/>
      <c r="M868" s="67"/>
      <c r="N868" s="67"/>
      <c r="O868" s="67"/>
    </row>
    <row r="869" spans="1:15" ht="30">
      <c r="A869" s="91" t="s">
        <v>11</v>
      </c>
      <c r="B869" s="92" t="s">
        <v>297</v>
      </c>
      <c r="C869" s="92" t="str">
        <f ca="1">IFERROR(__xludf.DUMMYFUNCTION("filter('Back End'!C:C,'Back End'!A:A=A869,'Back End'!B:B=B869,'Back End'!D:D=D869)"),"Nadakuduru")</f>
        <v>Nadakuduru</v>
      </c>
      <c r="D869" s="91" t="s">
        <v>315</v>
      </c>
      <c r="E869" s="92" t="s">
        <v>4390</v>
      </c>
      <c r="F869" s="91" t="s">
        <v>586</v>
      </c>
      <c r="G869" s="91" t="s">
        <v>615</v>
      </c>
      <c r="H869" s="93" t="s">
        <v>5</v>
      </c>
      <c r="I869" s="92" t="s">
        <v>3881</v>
      </c>
      <c r="J869" s="92">
        <v>9769727777</v>
      </c>
      <c r="K869" s="67"/>
      <c r="L869" s="67"/>
      <c r="M869" s="67"/>
      <c r="N869" s="67"/>
      <c r="O869" s="67"/>
    </row>
    <row r="870" spans="1:15" ht="15">
      <c r="A870" s="91" t="s">
        <v>11</v>
      </c>
      <c r="B870" s="92" t="s">
        <v>297</v>
      </c>
      <c r="C870" s="92" t="str">
        <f ca="1">IFERROR(__xludf.DUMMYFUNCTION("filter('Back End'!C:C,'Back End'!A:A=A870,'Back End'!B:B=B870,'Back End'!D:D=D870)"),"Nadakuduru")</f>
        <v>Nadakuduru</v>
      </c>
      <c r="D870" s="91" t="s">
        <v>315</v>
      </c>
      <c r="E870" s="92" t="s">
        <v>4391</v>
      </c>
      <c r="F870" s="91" t="s">
        <v>586</v>
      </c>
      <c r="G870" s="91" t="s">
        <v>615</v>
      </c>
      <c r="H870" s="93" t="s">
        <v>5</v>
      </c>
      <c r="I870" s="92" t="s">
        <v>4392</v>
      </c>
      <c r="J870" s="92">
        <v>9701830237</v>
      </c>
      <c r="K870" s="92">
        <v>2000</v>
      </c>
      <c r="L870" s="67"/>
      <c r="M870" s="67"/>
      <c r="N870" s="67"/>
      <c r="O870" s="67"/>
    </row>
    <row r="871" spans="1:15" ht="30">
      <c r="A871" s="91" t="s">
        <v>11</v>
      </c>
      <c r="B871" s="92" t="s">
        <v>297</v>
      </c>
      <c r="C871" s="92" t="str">
        <f ca="1">IFERROR(__xludf.DUMMYFUNCTION("filter('Back End'!C:C,'Back End'!A:A=A871,'Back End'!B:B=B871,'Back End'!D:D=D871)"),"Nadakuduru")</f>
        <v>Nadakuduru</v>
      </c>
      <c r="D871" s="91" t="s">
        <v>315</v>
      </c>
      <c r="E871" s="92" t="s">
        <v>4393</v>
      </c>
      <c r="F871" s="91" t="s">
        <v>586</v>
      </c>
      <c r="G871" s="91" t="s">
        <v>615</v>
      </c>
      <c r="H871" s="93" t="s">
        <v>5</v>
      </c>
      <c r="I871" s="92" t="s">
        <v>3162</v>
      </c>
      <c r="J871" s="92">
        <v>9576607748</v>
      </c>
      <c r="K871" s="67"/>
      <c r="L871" s="67"/>
      <c r="M871" s="67"/>
      <c r="N871" s="67"/>
      <c r="O871" s="67"/>
    </row>
    <row r="872" spans="1:15" ht="45">
      <c r="A872" s="91" t="s">
        <v>19</v>
      </c>
      <c r="B872" s="92" t="s">
        <v>220</v>
      </c>
      <c r="C872" s="92" t="str">
        <f ca="1">IFERROR(__xludf.DUMMYFUNCTION("filter('Back End'!C:C,'Back End'!A:A=A872,'Back End'!B:B=B872,'Back End'!D:D=D872)"),"Palem")</f>
        <v>Palem</v>
      </c>
      <c r="D872" s="91" t="s">
        <v>237</v>
      </c>
      <c r="E872" s="92" t="s">
        <v>4394</v>
      </c>
      <c r="F872" s="91" t="s">
        <v>139</v>
      </c>
      <c r="G872" s="91" t="s">
        <v>594</v>
      </c>
      <c r="H872" s="93" t="s">
        <v>5</v>
      </c>
      <c r="I872" s="92" t="s">
        <v>4395</v>
      </c>
      <c r="J872" s="92">
        <v>8639927455</v>
      </c>
      <c r="K872" s="67"/>
      <c r="L872" s="67"/>
      <c r="M872" s="67"/>
      <c r="N872" s="67"/>
      <c r="O872" s="67"/>
    </row>
    <row r="873" spans="1:15" ht="30">
      <c r="A873" s="91" t="s">
        <v>19</v>
      </c>
      <c r="B873" s="92" t="s">
        <v>220</v>
      </c>
      <c r="C873" s="92" t="str">
        <f ca="1">IFERROR(__xludf.DUMMYFUNCTION("filter('Back End'!C:C,'Back End'!A:A=A873,'Back End'!B:B=B873,'Back End'!D:D=D873)"),"Palem")</f>
        <v>Palem</v>
      </c>
      <c r="D873" s="91" t="s">
        <v>237</v>
      </c>
      <c r="E873" s="92" t="s">
        <v>4396</v>
      </c>
      <c r="F873" s="91" t="s">
        <v>139</v>
      </c>
      <c r="G873" s="91" t="s">
        <v>594</v>
      </c>
      <c r="H873" s="93" t="s">
        <v>5</v>
      </c>
      <c r="I873" s="92" t="s">
        <v>4397</v>
      </c>
      <c r="J873" s="92">
        <v>8985844188</v>
      </c>
      <c r="K873" s="67"/>
      <c r="L873" s="67"/>
      <c r="M873" s="67"/>
      <c r="N873" s="67"/>
      <c r="O873" s="67"/>
    </row>
    <row r="874" spans="1:15" ht="45">
      <c r="A874" s="91" t="s">
        <v>19</v>
      </c>
      <c r="B874" s="92" t="s">
        <v>220</v>
      </c>
      <c r="C874" s="92" t="str">
        <f ca="1">IFERROR(__xludf.DUMMYFUNCTION("filter('Back End'!C:C,'Back End'!A:A=A874,'Back End'!B:B=B874,'Back End'!D:D=D874)"),"Palem")</f>
        <v>Palem</v>
      </c>
      <c r="D874" s="91" t="s">
        <v>237</v>
      </c>
      <c r="E874" s="92" t="s">
        <v>4398</v>
      </c>
      <c r="F874" s="91" t="s">
        <v>139</v>
      </c>
      <c r="G874" s="91" t="s">
        <v>594</v>
      </c>
      <c r="H874" s="93" t="s">
        <v>4</v>
      </c>
      <c r="I874" s="92" t="s">
        <v>3602</v>
      </c>
      <c r="J874" s="92" t="s">
        <v>2631</v>
      </c>
      <c r="K874" s="67"/>
      <c r="L874" s="67"/>
      <c r="M874" s="67"/>
      <c r="N874" s="67"/>
      <c r="O874" s="67"/>
    </row>
    <row r="875" spans="1:15" ht="45">
      <c r="A875" s="91" t="s">
        <v>19</v>
      </c>
      <c r="B875" s="92" t="s">
        <v>220</v>
      </c>
      <c r="C875" s="92" t="str">
        <f ca="1">IFERROR(__xludf.DUMMYFUNCTION("filter('Back End'!C:C,'Back End'!A:A=A875,'Back End'!B:B=B875,'Back End'!D:D=D875)"),"Palem")</f>
        <v>Palem</v>
      </c>
      <c r="D875" s="91" t="s">
        <v>237</v>
      </c>
      <c r="E875" s="92" t="s">
        <v>4399</v>
      </c>
      <c r="F875" s="91" t="s">
        <v>139</v>
      </c>
      <c r="G875" s="91" t="s">
        <v>594</v>
      </c>
      <c r="H875" s="93" t="s">
        <v>4</v>
      </c>
      <c r="I875" s="92" t="s">
        <v>4400</v>
      </c>
      <c r="J875" s="92" t="s">
        <v>2631</v>
      </c>
      <c r="K875" s="67"/>
      <c r="L875" s="67"/>
      <c r="M875" s="67"/>
      <c r="N875" s="67"/>
      <c r="O875" s="67"/>
    </row>
    <row r="876" spans="1:15" ht="75">
      <c r="A876" s="91" t="s">
        <v>19</v>
      </c>
      <c r="B876" s="92" t="s">
        <v>220</v>
      </c>
      <c r="C876" s="92" t="str">
        <f ca="1">IFERROR(__xludf.DUMMYFUNCTION("filter('Back End'!C:C,'Back End'!A:A=A876,'Back End'!B:B=B876,'Back End'!D:D=D876)"),"Palem")</f>
        <v>Palem</v>
      </c>
      <c r="D876" s="91" t="s">
        <v>237</v>
      </c>
      <c r="E876" s="92" t="s">
        <v>4401</v>
      </c>
      <c r="F876" s="91" t="s">
        <v>139</v>
      </c>
      <c r="G876" s="91" t="s">
        <v>594</v>
      </c>
      <c r="H876" s="93" t="s">
        <v>5</v>
      </c>
      <c r="I876" s="92" t="s">
        <v>4402</v>
      </c>
      <c r="J876" s="92">
        <v>9666686625</v>
      </c>
      <c r="K876" s="67"/>
      <c r="L876" s="67"/>
      <c r="M876" s="67"/>
      <c r="N876" s="67"/>
      <c r="O876" s="67"/>
    </row>
    <row r="877" spans="1:15" ht="30">
      <c r="A877" s="91" t="s">
        <v>15</v>
      </c>
      <c r="B877" s="92" t="s">
        <v>389</v>
      </c>
      <c r="C877" s="92" t="str">
        <f ca="1">IFERROR(__xludf.DUMMYFUNCTION("filter('Back End'!C:C,'Back End'!A:A=A877,'Back End'!B:B=B877,'Back End'!D:D=D877)"),"Unduru")</f>
        <v>Unduru</v>
      </c>
      <c r="D877" s="91" t="s">
        <v>423</v>
      </c>
      <c r="E877" s="92" t="s">
        <v>424</v>
      </c>
      <c r="F877" s="91" t="s">
        <v>114</v>
      </c>
      <c r="G877" s="91" t="s">
        <v>85</v>
      </c>
      <c r="H877" s="93" t="s">
        <v>5</v>
      </c>
      <c r="I877" s="92" t="s">
        <v>3115</v>
      </c>
      <c r="J877" s="92">
        <v>9393111949</v>
      </c>
      <c r="K877" s="67"/>
      <c r="L877" s="67"/>
      <c r="M877" s="67"/>
      <c r="N877" s="67"/>
      <c r="O877" s="67"/>
    </row>
    <row r="878" spans="1:15" ht="30">
      <c r="A878" s="91" t="s">
        <v>15</v>
      </c>
      <c r="B878" s="92" t="s">
        <v>389</v>
      </c>
      <c r="C878" s="92" t="str">
        <f ca="1">IFERROR(__xludf.DUMMYFUNCTION("filter('Back End'!C:C,'Back End'!A:A=A878,'Back End'!B:B=B878,'Back End'!D:D=D878)"),"Unduru")</f>
        <v>Unduru</v>
      </c>
      <c r="D878" s="91" t="s">
        <v>423</v>
      </c>
      <c r="E878" s="92" t="s">
        <v>4403</v>
      </c>
      <c r="F878" s="91" t="s">
        <v>139</v>
      </c>
      <c r="G878" s="91" t="s">
        <v>594</v>
      </c>
      <c r="H878" s="95"/>
      <c r="I878" s="92" t="s">
        <v>4404</v>
      </c>
      <c r="J878" s="67"/>
      <c r="K878" s="67"/>
      <c r="L878" s="67"/>
      <c r="M878" s="67"/>
      <c r="N878" s="67"/>
      <c r="O878" s="67"/>
    </row>
    <row r="879" spans="1:15" ht="30">
      <c r="A879" s="91" t="s">
        <v>15</v>
      </c>
      <c r="B879" s="92" t="s">
        <v>389</v>
      </c>
      <c r="C879" s="92" t="str">
        <f ca="1">IFERROR(__xludf.DUMMYFUNCTION("filter('Back End'!C:C,'Back End'!A:A=A879,'Back End'!B:B=B879,'Back End'!D:D=D879)"),"Unduru")</f>
        <v>Unduru</v>
      </c>
      <c r="D879" s="91" t="s">
        <v>423</v>
      </c>
      <c r="E879" s="92" t="s">
        <v>4405</v>
      </c>
      <c r="F879" s="91" t="s">
        <v>139</v>
      </c>
      <c r="G879" s="91" t="s">
        <v>594</v>
      </c>
      <c r="H879" s="93" t="s">
        <v>5</v>
      </c>
      <c r="I879" s="92" t="s">
        <v>3645</v>
      </c>
      <c r="J879" s="67"/>
      <c r="K879" s="67"/>
      <c r="L879" s="67"/>
      <c r="M879" s="67"/>
      <c r="N879" s="67"/>
      <c r="O879" s="67"/>
    </row>
    <row r="880" spans="1:15" ht="30">
      <c r="A880" s="91" t="s">
        <v>15</v>
      </c>
      <c r="B880" s="92" t="s">
        <v>389</v>
      </c>
      <c r="C880" s="92" t="str">
        <f ca="1">IFERROR(__xludf.DUMMYFUNCTION("filter('Back End'!C:C,'Back End'!A:A=A880,'Back End'!B:B=B880,'Back End'!D:D=D880)"),"Unduru")</f>
        <v>Unduru</v>
      </c>
      <c r="D880" s="91" t="s">
        <v>423</v>
      </c>
      <c r="E880" s="92" t="s">
        <v>4406</v>
      </c>
      <c r="F880" s="91" t="s">
        <v>139</v>
      </c>
      <c r="G880" s="91" t="s">
        <v>594</v>
      </c>
      <c r="H880" s="93" t="s">
        <v>4</v>
      </c>
      <c r="I880" s="92" t="s">
        <v>3560</v>
      </c>
      <c r="J880" s="67"/>
      <c r="K880" s="67"/>
      <c r="L880" s="67"/>
      <c r="M880" s="67"/>
      <c r="N880" s="67"/>
      <c r="O880" s="67"/>
    </row>
    <row r="881" spans="1:15" ht="30">
      <c r="A881" s="91" t="s">
        <v>15</v>
      </c>
      <c r="B881" s="92" t="s">
        <v>389</v>
      </c>
      <c r="C881" s="92" t="str">
        <f ca="1">IFERROR(__xludf.DUMMYFUNCTION("filter('Back End'!C:C,'Back End'!A:A=A881,'Back End'!B:B=B881,'Back End'!D:D=D881)"),"Unduru")</f>
        <v>Unduru</v>
      </c>
      <c r="D881" s="91" t="s">
        <v>423</v>
      </c>
      <c r="E881" s="92" t="s">
        <v>4407</v>
      </c>
      <c r="F881" s="91" t="s">
        <v>139</v>
      </c>
      <c r="G881" s="91" t="s">
        <v>594</v>
      </c>
      <c r="H881" s="93" t="s">
        <v>4</v>
      </c>
      <c r="I881" s="92" t="s">
        <v>3881</v>
      </c>
      <c r="J881" s="67"/>
      <c r="K881" s="67"/>
      <c r="L881" s="67"/>
      <c r="M881" s="67"/>
      <c r="N881" s="67"/>
      <c r="O881" s="67"/>
    </row>
    <row r="882" spans="1:15" ht="45">
      <c r="A882" s="91" t="s">
        <v>15</v>
      </c>
      <c r="B882" s="92" t="s">
        <v>389</v>
      </c>
      <c r="C882" s="92" t="str">
        <f ca="1">IFERROR(__xludf.DUMMYFUNCTION("filter('Back End'!C:C,'Back End'!A:A=A882,'Back End'!B:B=B882,'Back End'!D:D=D882)"),"Unduru")</f>
        <v>Unduru</v>
      </c>
      <c r="D882" s="91" t="s">
        <v>423</v>
      </c>
      <c r="E882" s="92" t="s">
        <v>4408</v>
      </c>
      <c r="F882" s="91" t="s">
        <v>139</v>
      </c>
      <c r="G882" s="91" t="s">
        <v>594</v>
      </c>
      <c r="H882" s="93" t="s">
        <v>5</v>
      </c>
      <c r="I882" s="92" t="s">
        <v>3891</v>
      </c>
      <c r="J882" s="67"/>
      <c r="K882" s="67"/>
      <c r="L882" s="67"/>
      <c r="M882" s="67"/>
      <c r="N882" s="67"/>
      <c r="O882" s="67"/>
    </row>
    <row r="883" spans="1:15" ht="30">
      <c r="A883" s="91" t="s">
        <v>15</v>
      </c>
      <c r="B883" s="92" t="s">
        <v>389</v>
      </c>
      <c r="C883" s="92" t="str">
        <f ca="1">IFERROR(__xludf.DUMMYFUNCTION("filter('Back End'!C:C,'Back End'!A:A=A883,'Back End'!B:B=B883,'Back End'!D:D=D883)"),"Unduru")</f>
        <v>Unduru</v>
      </c>
      <c r="D883" s="91" t="s">
        <v>423</v>
      </c>
      <c r="E883" s="92" t="s">
        <v>4409</v>
      </c>
      <c r="F883" s="91" t="s">
        <v>139</v>
      </c>
      <c r="G883" s="91" t="s">
        <v>594</v>
      </c>
      <c r="H883" s="93" t="s">
        <v>6</v>
      </c>
      <c r="I883" s="92" t="s">
        <v>3379</v>
      </c>
      <c r="J883" s="67"/>
      <c r="K883" s="67"/>
      <c r="L883" s="67"/>
      <c r="M883" s="67"/>
      <c r="N883" s="67"/>
      <c r="O883" s="67"/>
    </row>
    <row r="884" spans="1:15" ht="30">
      <c r="A884" s="91" t="s">
        <v>11</v>
      </c>
      <c r="B884" s="92" t="s">
        <v>297</v>
      </c>
      <c r="C884" s="92" t="str">
        <f ca="1">IFERROR(__xludf.DUMMYFUNCTION("filter('Back End'!C:C,'Back End'!A:A=A884,'Back End'!B:B=B884,'Back End'!D:D=D884)"),"Penuguduru")</f>
        <v>Penuguduru</v>
      </c>
      <c r="D884" s="91" t="s">
        <v>323</v>
      </c>
      <c r="E884" s="92" t="s">
        <v>4410</v>
      </c>
      <c r="F884" s="91" t="s">
        <v>139</v>
      </c>
      <c r="G884" s="91" t="s">
        <v>594</v>
      </c>
      <c r="H884" s="93" t="s">
        <v>5</v>
      </c>
      <c r="I884" s="92" t="s">
        <v>4039</v>
      </c>
      <c r="J884" s="67"/>
      <c r="K884" s="67"/>
      <c r="L884" s="67"/>
      <c r="M884" s="67"/>
      <c r="N884" s="67"/>
      <c r="O884" s="67"/>
    </row>
    <row r="885" spans="1:15" ht="30">
      <c r="A885" s="91" t="s">
        <v>11</v>
      </c>
      <c r="B885" s="92" t="s">
        <v>297</v>
      </c>
      <c r="C885" s="92" t="str">
        <f ca="1">IFERROR(__xludf.DUMMYFUNCTION("filter('Back End'!C:C,'Back End'!A:A=A885,'Back End'!B:B=B885,'Back End'!D:D=D885)"),"Penuguduru")</f>
        <v>Penuguduru</v>
      </c>
      <c r="D885" s="91" t="s">
        <v>323</v>
      </c>
      <c r="E885" s="92" t="s">
        <v>4411</v>
      </c>
      <c r="F885" s="91" t="s">
        <v>1669</v>
      </c>
      <c r="G885" s="91" t="s">
        <v>615</v>
      </c>
      <c r="H885" s="93" t="s">
        <v>5</v>
      </c>
      <c r="I885" s="92" t="s">
        <v>3185</v>
      </c>
      <c r="J885" s="67"/>
      <c r="K885" s="67"/>
      <c r="L885" s="67"/>
      <c r="M885" s="67"/>
      <c r="N885" s="67"/>
      <c r="O885" s="67"/>
    </row>
    <row r="886" spans="1:15" ht="30">
      <c r="A886" s="91" t="s">
        <v>11</v>
      </c>
      <c r="B886" s="92" t="s">
        <v>297</v>
      </c>
      <c r="C886" s="92" t="str">
        <f ca="1">IFERROR(__xludf.DUMMYFUNCTION("filter('Back End'!C:C,'Back End'!A:A=A886,'Back End'!B:B=B886,'Back End'!D:D=D886)"),"Penuguduru")</f>
        <v>Penuguduru</v>
      </c>
      <c r="D886" s="91" t="s">
        <v>323</v>
      </c>
      <c r="E886" s="92" t="s">
        <v>4412</v>
      </c>
      <c r="F886" s="91" t="s">
        <v>114</v>
      </c>
      <c r="G886" s="91" t="s">
        <v>85</v>
      </c>
      <c r="H886" s="93" t="s">
        <v>4</v>
      </c>
      <c r="I886" s="92" t="s">
        <v>3395</v>
      </c>
      <c r="J886" s="67"/>
      <c r="K886" s="67"/>
      <c r="L886" s="67"/>
      <c r="M886" s="67"/>
      <c r="N886" s="67"/>
      <c r="O886" s="67"/>
    </row>
    <row r="887" spans="1:15" ht="75">
      <c r="A887" s="91" t="s">
        <v>11</v>
      </c>
      <c r="B887" s="92" t="s">
        <v>297</v>
      </c>
      <c r="C887" s="92" t="str">
        <f ca="1">IFERROR(__xludf.DUMMYFUNCTION("filter('Back End'!C:C,'Back End'!A:A=A887,'Back End'!B:B=B887,'Back End'!D:D=D887)"),"Penuguduru")</f>
        <v>Penuguduru</v>
      </c>
      <c r="D887" s="91" t="s">
        <v>323</v>
      </c>
      <c r="E887" s="92" t="s">
        <v>4413</v>
      </c>
      <c r="F887" s="91" t="s">
        <v>139</v>
      </c>
      <c r="G887" s="91" t="s">
        <v>594</v>
      </c>
      <c r="H887" s="93" t="s">
        <v>5</v>
      </c>
      <c r="I887" s="92" t="s">
        <v>4414</v>
      </c>
      <c r="J887" s="92">
        <v>8096088999</v>
      </c>
      <c r="K887" s="67"/>
      <c r="L887" s="67"/>
      <c r="M887" s="67"/>
      <c r="N887" s="67"/>
      <c r="O887" s="67"/>
    </row>
    <row r="888" spans="1:15" ht="45">
      <c r="A888" s="91" t="s">
        <v>11</v>
      </c>
      <c r="B888" s="92" t="s">
        <v>297</v>
      </c>
      <c r="C888" s="92" t="str">
        <f ca="1">IFERROR(__xludf.DUMMYFUNCTION("filter('Back End'!C:C,'Back End'!A:A=A888,'Back End'!B:B=B888,'Back End'!D:D=D888)"),"Penuguduru")</f>
        <v>Penuguduru</v>
      </c>
      <c r="D888" s="91" t="s">
        <v>323</v>
      </c>
      <c r="E888" s="92" t="s">
        <v>324</v>
      </c>
      <c r="F888" s="91" t="s">
        <v>139</v>
      </c>
      <c r="G888" s="91" t="s">
        <v>594</v>
      </c>
      <c r="H888" s="93" t="s">
        <v>5</v>
      </c>
      <c r="I888" s="92" t="s">
        <v>3115</v>
      </c>
      <c r="J888" s="92">
        <v>8498033555</v>
      </c>
      <c r="K888" s="67"/>
      <c r="L888" s="67"/>
      <c r="M888" s="67"/>
      <c r="N888" s="67"/>
      <c r="O888" s="67"/>
    </row>
    <row r="889" spans="1:15" ht="30">
      <c r="A889" s="91" t="s">
        <v>8</v>
      </c>
      <c r="B889" s="92" t="s">
        <v>658</v>
      </c>
      <c r="C889" s="92" t="str">
        <f ca="1">IFERROR(__xludf.DUMMYFUNCTION("filter('Back End'!C:C,'Back End'!A:A=A889,'Back End'!B:B=B889,'Back End'!D:D=D889)"),"Yerravaram")</f>
        <v>Yerravaram</v>
      </c>
      <c r="D889" s="91" t="s">
        <v>670</v>
      </c>
      <c r="E889" s="92" t="s">
        <v>4415</v>
      </c>
      <c r="F889" s="91" t="s">
        <v>154</v>
      </c>
      <c r="G889" s="91" t="s">
        <v>615</v>
      </c>
      <c r="H889" s="93" t="s">
        <v>5</v>
      </c>
      <c r="I889" s="92" t="s">
        <v>3115</v>
      </c>
      <c r="J889" s="92">
        <v>7396443757</v>
      </c>
      <c r="K889" s="67"/>
      <c r="L889" s="67"/>
      <c r="M889" s="67"/>
      <c r="N889" s="67"/>
      <c r="O889" s="67"/>
    </row>
    <row r="890" spans="1:15" ht="90">
      <c r="A890" s="91" t="s">
        <v>8</v>
      </c>
      <c r="B890" s="92" t="s">
        <v>658</v>
      </c>
      <c r="C890" s="92" t="str">
        <f ca="1">IFERROR(__xludf.DUMMYFUNCTION("filter('Back End'!C:C,'Back End'!A:A=A890,'Back End'!B:B=B890,'Back End'!D:D=D890)"),"Yerravaram")</f>
        <v>Yerravaram</v>
      </c>
      <c r="D890" s="91" t="s">
        <v>670</v>
      </c>
      <c r="E890" s="92" t="s">
        <v>4416</v>
      </c>
      <c r="F890" s="91" t="s">
        <v>139</v>
      </c>
      <c r="G890" s="91" t="s">
        <v>594</v>
      </c>
      <c r="H890" s="93" t="s">
        <v>5</v>
      </c>
      <c r="I890" s="92" t="s">
        <v>4039</v>
      </c>
      <c r="J890" s="92">
        <v>9491392030</v>
      </c>
      <c r="K890" s="67"/>
      <c r="L890" s="67"/>
      <c r="M890" s="67"/>
      <c r="N890" s="67"/>
      <c r="O890" s="67"/>
    </row>
    <row r="891" spans="1:15" ht="45">
      <c r="A891" s="91" t="s">
        <v>8</v>
      </c>
      <c r="B891" s="92" t="s">
        <v>658</v>
      </c>
      <c r="C891" s="92" t="str">
        <f ca="1">IFERROR(__xludf.DUMMYFUNCTION("filter('Back End'!C:C,'Back End'!A:A=A891,'Back End'!B:B=B891,'Back End'!D:D=D891)"),"Yerravaram")</f>
        <v>Yerravaram</v>
      </c>
      <c r="D891" s="91" t="s">
        <v>670</v>
      </c>
      <c r="E891" s="92" t="s">
        <v>4417</v>
      </c>
      <c r="F891" s="91" t="s">
        <v>139</v>
      </c>
      <c r="G891" s="91" t="s">
        <v>594</v>
      </c>
      <c r="H891" s="93" t="s">
        <v>4</v>
      </c>
      <c r="I891" s="92" t="s">
        <v>3107</v>
      </c>
      <c r="J891" s="92">
        <v>9848141497</v>
      </c>
      <c r="K891" s="67"/>
      <c r="L891" s="67"/>
      <c r="M891" s="67"/>
      <c r="N891" s="67"/>
      <c r="O891" s="67"/>
    </row>
    <row r="892" spans="1:15" ht="30">
      <c r="A892" s="91" t="s">
        <v>8</v>
      </c>
      <c r="B892" s="92" t="s">
        <v>658</v>
      </c>
      <c r="C892" s="92" t="str">
        <f ca="1">IFERROR(__xludf.DUMMYFUNCTION("filter('Back End'!C:C,'Back End'!A:A=A892,'Back End'!B:B=B892,'Back End'!D:D=D892)"),"Yerravaram")</f>
        <v>Yerravaram</v>
      </c>
      <c r="D892" s="91" t="s">
        <v>670</v>
      </c>
      <c r="E892" s="92" t="s">
        <v>4418</v>
      </c>
      <c r="F892" s="91" t="s">
        <v>139</v>
      </c>
      <c r="G892" s="91" t="s">
        <v>594</v>
      </c>
      <c r="H892" s="93" t="s">
        <v>4</v>
      </c>
      <c r="I892" s="92" t="s">
        <v>3560</v>
      </c>
      <c r="J892" s="92">
        <v>9494975522</v>
      </c>
      <c r="K892" s="67"/>
      <c r="L892" s="67"/>
      <c r="M892" s="67"/>
      <c r="N892" s="67"/>
      <c r="O892" s="67"/>
    </row>
    <row r="893" spans="1:15" ht="45">
      <c r="A893" s="91" t="s">
        <v>8</v>
      </c>
      <c r="B893" s="92" t="s">
        <v>658</v>
      </c>
      <c r="C893" s="92" t="str">
        <f ca="1">IFERROR(__xludf.DUMMYFUNCTION("filter('Back End'!C:C,'Back End'!A:A=A893,'Back End'!B:B=B893,'Back End'!D:D=D893)"),"Yerravaram")</f>
        <v>Yerravaram</v>
      </c>
      <c r="D893" s="91" t="s">
        <v>670</v>
      </c>
      <c r="E893" s="92" t="s">
        <v>4419</v>
      </c>
      <c r="F893" s="91" t="s">
        <v>139</v>
      </c>
      <c r="G893" s="91" t="s">
        <v>594</v>
      </c>
      <c r="H893" s="93" t="s">
        <v>5</v>
      </c>
      <c r="I893" s="92" t="s">
        <v>3185</v>
      </c>
      <c r="J893" s="92" t="s">
        <v>2631</v>
      </c>
      <c r="K893" s="67"/>
      <c r="L893" s="67"/>
      <c r="M893" s="67"/>
      <c r="N893" s="67"/>
      <c r="O893" s="67"/>
    </row>
    <row r="894" spans="1:15" ht="30">
      <c r="A894" s="91" t="s">
        <v>8</v>
      </c>
      <c r="B894" s="92" t="s">
        <v>658</v>
      </c>
      <c r="C894" s="92" t="str">
        <f ca="1">IFERROR(__xludf.DUMMYFUNCTION("filter('Back End'!C:C,'Back End'!A:A=A894,'Back End'!B:B=B894,'Back End'!D:D=D894)"),"Yerravaram")</f>
        <v>Yerravaram</v>
      </c>
      <c r="D894" s="91" t="s">
        <v>670</v>
      </c>
      <c r="E894" s="92" t="s">
        <v>4420</v>
      </c>
      <c r="F894" s="91" t="s">
        <v>139</v>
      </c>
      <c r="G894" s="91" t="s">
        <v>594</v>
      </c>
      <c r="H894" s="93" t="s">
        <v>5</v>
      </c>
      <c r="I894" s="92" t="s">
        <v>3212</v>
      </c>
      <c r="J894" s="92">
        <v>7386520039</v>
      </c>
      <c r="K894" s="67"/>
      <c r="L894" s="67"/>
      <c r="M894" s="67"/>
      <c r="N894" s="67"/>
      <c r="O894" s="67"/>
    </row>
    <row r="895" spans="1:15" ht="45">
      <c r="A895" s="91" t="s">
        <v>19</v>
      </c>
      <c r="B895" s="92" t="s">
        <v>147</v>
      </c>
      <c r="C895" s="92" t="str">
        <f ca="1">IFERROR(__xludf.DUMMYFUNCTION("filter('Back End'!C:C,'Back End'!A:A=A895,'Back End'!B:B=B895,'Back End'!D:D=D895)"),"#N/A")</f>
        <v>#N/A</v>
      </c>
      <c r="D895" s="91" t="s">
        <v>637</v>
      </c>
      <c r="E895" s="92" t="s">
        <v>4421</v>
      </c>
      <c r="F895" s="91" t="s">
        <v>114</v>
      </c>
      <c r="G895" s="91" t="s">
        <v>85</v>
      </c>
      <c r="H895" s="93" t="s">
        <v>5</v>
      </c>
      <c r="I895" s="92" t="s">
        <v>3115</v>
      </c>
      <c r="J895" s="92">
        <v>9652219718</v>
      </c>
      <c r="K895" s="67"/>
      <c r="L895" s="67"/>
      <c r="M895" s="67"/>
      <c r="N895" s="67"/>
      <c r="O895" s="67"/>
    </row>
    <row r="896" spans="1:15" ht="30">
      <c r="A896" s="91" t="s">
        <v>19</v>
      </c>
      <c r="B896" s="92" t="s">
        <v>147</v>
      </c>
      <c r="C896" s="92" t="str">
        <f ca="1">IFERROR(__xludf.DUMMYFUNCTION("filter('Back End'!C:C,'Back End'!A:A=A896,'Back End'!B:B=B896,'Back End'!D:D=D896)"),"#N/A")</f>
        <v>#N/A</v>
      </c>
      <c r="D896" s="91" t="s">
        <v>637</v>
      </c>
      <c r="E896" s="92" t="s">
        <v>4422</v>
      </c>
      <c r="F896" s="91" t="s">
        <v>114</v>
      </c>
      <c r="G896" s="91" t="s">
        <v>85</v>
      </c>
      <c r="H896" s="95"/>
      <c r="I896" s="92" t="s">
        <v>3185</v>
      </c>
      <c r="J896" s="92" t="s">
        <v>2631</v>
      </c>
      <c r="K896" s="67"/>
      <c r="L896" s="67"/>
      <c r="M896" s="67"/>
      <c r="N896" s="67"/>
      <c r="O896" s="67"/>
    </row>
    <row r="897" spans="1:15" ht="45">
      <c r="A897" s="91" t="s">
        <v>19</v>
      </c>
      <c r="B897" s="92" t="s">
        <v>147</v>
      </c>
      <c r="C897" s="92" t="str">
        <f ca="1">IFERROR(__xludf.DUMMYFUNCTION("filter('Back End'!C:C,'Back End'!A:A=A897,'Back End'!B:B=B897,'Back End'!D:D=D897)"),"#N/A")</f>
        <v>#N/A</v>
      </c>
      <c r="D897" s="91" t="s">
        <v>637</v>
      </c>
      <c r="E897" s="92" t="s">
        <v>4423</v>
      </c>
      <c r="F897" s="91" t="s">
        <v>139</v>
      </c>
      <c r="G897" s="91" t="s">
        <v>594</v>
      </c>
      <c r="H897" s="93" t="s">
        <v>5</v>
      </c>
      <c r="I897" s="92" t="s">
        <v>4424</v>
      </c>
      <c r="J897" s="67"/>
      <c r="K897" s="67"/>
      <c r="L897" s="67"/>
      <c r="M897" s="67"/>
      <c r="N897" s="67"/>
      <c r="O897" s="67"/>
    </row>
    <row r="898" spans="1:15" ht="30">
      <c r="A898" s="91" t="s">
        <v>19</v>
      </c>
      <c r="B898" s="92" t="s">
        <v>147</v>
      </c>
      <c r="C898" s="92" t="str">
        <f ca="1">IFERROR(__xludf.DUMMYFUNCTION("filter('Back End'!C:C,'Back End'!A:A=A898,'Back End'!B:B=B898,'Back End'!D:D=D898)"),"#N/A")</f>
        <v>#N/A</v>
      </c>
      <c r="D898" s="91" t="s">
        <v>637</v>
      </c>
      <c r="E898" s="92" t="s">
        <v>4425</v>
      </c>
      <c r="F898" s="91" t="s">
        <v>213</v>
      </c>
      <c r="G898" s="91" t="s">
        <v>594</v>
      </c>
      <c r="H898" s="93" t="s">
        <v>4</v>
      </c>
      <c r="I898" s="92" t="s">
        <v>4426</v>
      </c>
      <c r="J898" s="67"/>
      <c r="K898" s="67"/>
      <c r="L898" s="67"/>
      <c r="M898" s="67"/>
      <c r="N898" s="67"/>
      <c r="O898" s="67"/>
    </row>
    <row r="899" spans="1:15" ht="45">
      <c r="A899" s="91" t="s">
        <v>19</v>
      </c>
      <c r="B899" s="92" t="s">
        <v>147</v>
      </c>
      <c r="C899" s="92" t="str">
        <f ca="1">IFERROR(__xludf.DUMMYFUNCTION("filter('Back End'!C:C,'Back End'!A:A=A899,'Back End'!B:B=B899,'Back End'!D:D=D899)"),"#N/A")</f>
        <v>#N/A</v>
      </c>
      <c r="D899" s="91" t="s">
        <v>637</v>
      </c>
      <c r="E899" s="92" t="s">
        <v>4427</v>
      </c>
      <c r="F899" s="91" t="s">
        <v>1678</v>
      </c>
      <c r="G899" s="91" t="s">
        <v>594</v>
      </c>
      <c r="H899" s="95"/>
      <c r="I899" s="92" t="s">
        <v>3185</v>
      </c>
      <c r="J899" s="92" t="s">
        <v>2631</v>
      </c>
      <c r="K899" s="67"/>
      <c r="L899" s="67"/>
      <c r="M899" s="67"/>
      <c r="N899" s="67"/>
      <c r="O899" s="67"/>
    </row>
    <row r="900" spans="1:15" ht="30">
      <c r="A900" s="91" t="s">
        <v>15</v>
      </c>
      <c r="B900" s="92" t="s">
        <v>389</v>
      </c>
      <c r="C900" s="92" t="str">
        <f ca="1">IFERROR(__xludf.DUMMYFUNCTION("filter('Back End'!C:C,'Back End'!A:A=A900,'Back End'!B:B=B900,'Back End'!D:D=D900)"),"Vetlapalem")</f>
        <v>Vetlapalem</v>
      </c>
      <c r="D900" s="91" t="s">
        <v>428</v>
      </c>
      <c r="E900" s="92" t="s">
        <v>4428</v>
      </c>
      <c r="F900" s="91" t="s">
        <v>139</v>
      </c>
      <c r="G900" s="91" t="s">
        <v>594</v>
      </c>
      <c r="H900" s="93" t="s">
        <v>5</v>
      </c>
      <c r="I900" s="92" t="s">
        <v>4429</v>
      </c>
      <c r="J900" s="92">
        <v>9441791453</v>
      </c>
      <c r="K900" s="67"/>
      <c r="L900" s="67"/>
      <c r="M900" s="67"/>
      <c r="N900" s="67"/>
      <c r="O900" s="67"/>
    </row>
    <row r="901" spans="1:15" ht="15">
      <c r="A901" s="91" t="s">
        <v>11</v>
      </c>
      <c r="B901" s="91" t="s">
        <v>297</v>
      </c>
      <c r="C901" s="92" t="str">
        <f ca="1">IFERROR(__xludf.DUMMYFUNCTION("filter('Back End'!C:C,'Back End'!A:A=A901,'Back End'!B:B=B901,'Back End'!D:D=D901)"),"Vakada")</f>
        <v>Vakada</v>
      </c>
      <c r="D901" s="91" t="s">
        <v>329</v>
      </c>
      <c r="E901" s="91" t="s">
        <v>330</v>
      </c>
      <c r="F901" s="91" t="s">
        <v>114</v>
      </c>
      <c r="G901" s="91" t="s">
        <v>85</v>
      </c>
      <c r="H901" s="93" t="s">
        <v>5</v>
      </c>
      <c r="I901" s="92" t="s">
        <v>3115</v>
      </c>
      <c r="J901" s="92">
        <v>9951975888</v>
      </c>
      <c r="K901" s="91" t="s">
        <v>4430</v>
      </c>
      <c r="L901" s="67"/>
      <c r="M901" s="67"/>
      <c r="N901" s="67"/>
      <c r="O901" s="67"/>
    </row>
    <row r="902" spans="1:15" ht="15">
      <c r="A902" s="91" t="s">
        <v>11</v>
      </c>
      <c r="B902" s="91" t="s">
        <v>587</v>
      </c>
      <c r="C902" s="92" t="str">
        <f ca="1">IFERROR(__xludf.DUMMYFUNCTION("filter('Back End'!C:C,'Back End'!A:A=A902,'Back End'!B:B=B902,'Back End'!D:D=D902)"),"#N/A")</f>
        <v>#N/A</v>
      </c>
      <c r="D902" s="91" t="s">
        <v>170</v>
      </c>
      <c r="E902" s="91" t="s">
        <v>4431</v>
      </c>
      <c r="F902" s="91" t="s">
        <v>165</v>
      </c>
      <c r="G902" s="91" t="s">
        <v>615</v>
      </c>
      <c r="H902" s="93" t="s">
        <v>5</v>
      </c>
      <c r="I902" s="92" t="s">
        <v>2631</v>
      </c>
      <c r="J902" s="92">
        <v>8977264099</v>
      </c>
      <c r="K902" s="67"/>
      <c r="L902" s="67"/>
      <c r="M902" s="67"/>
      <c r="N902" s="67"/>
      <c r="O902" s="67"/>
    </row>
    <row r="903" spans="1:15" ht="15">
      <c r="A903" s="91" t="s">
        <v>11</v>
      </c>
      <c r="B903" s="91" t="s">
        <v>587</v>
      </c>
      <c r="C903" s="92" t="str">
        <f ca="1">IFERROR(__xludf.DUMMYFUNCTION("filter('Back End'!C:C,'Back End'!A:A=A903,'Back End'!B:B=B903,'Back End'!D:D=D903)"),"#N/A")</f>
        <v>#N/A</v>
      </c>
      <c r="D903" s="91" t="s">
        <v>170</v>
      </c>
      <c r="E903" s="91" t="s">
        <v>4432</v>
      </c>
      <c r="F903" s="91" t="s">
        <v>165</v>
      </c>
      <c r="G903" s="91" t="s">
        <v>615</v>
      </c>
      <c r="H903" s="93" t="s">
        <v>4</v>
      </c>
      <c r="I903" s="92" t="s">
        <v>4102</v>
      </c>
      <c r="J903" s="92">
        <v>7330732493</v>
      </c>
      <c r="K903" s="67"/>
      <c r="L903" s="67"/>
      <c r="M903" s="67"/>
      <c r="N903" s="67"/>
      <c r="O903" s="67"/>
    </row>
    <row r="904" spans="1:15" ht="15">
      <c r="A904" s="91" t="s">
        <v>11</v>
      </c>
      <c r="B904" s="91" t="s">
        <v>587</v>
      </c>
      <c r="C904" s="92" t="str">
        <f ca="1">IFERROR(__xludf.DUMMYFUNCTION("filter('Back End'!C:C,'Back End'!A:A=A904,'Back End'!B:B=B904,'Back End'!D:D=D904)"),"#N/A")</f>
        <v>#N/A</v>
      </c>
      <c r="D904" s="91" t="s">
        <v>170</v>
      </c>
      <c r="E904" s="91" t="s">
        <v>4433</v>
      </c>
      <c r="F904" s="67" t="s">
        <v>3138</v>
      </c>
      <c r="G904" s="67"/>
      <c r="H904" s="93" t="s">
        <v>4</v>
      </c>
      <c r="I904" s="92" t="s">
        <v>2631</v>
      </c>
      <c r="J904" s="92" t="s">
        <v>2631</v>
      </c>
      <c r="K904" s="91" t="s">
        <v>3953</v>
      </c>
      <c r="L904" s="67"/>
      <c r="M904" s="67"/>
      <c r="N904" s="67"/>
      <c r="O904" s="67"/>
    </row>
    <row r="905" spans="1:15" ht="15">
      <c r="A905" s="91" t="s">
        <v>11</v>
      </c>
      <c r="B905" s="91" t="s">
        <v>587</v>
      </c>
      <c r="C905" s="92" t="str">
        <f ca="1">IFERROR(__xludf.DUMMYFUNCTION("filter('Back End'!C:C,'Back End'!A:A=A905,'Back End'!B:B=B905,'Back End'!D:D=D905)"),"#N/A")</f>
        <v>#N/A</v>
      </c>
      <c r="D905" s="91" t="s">
        <v>170</v>
      </c>
      <c r="E905" s="91" t="s">
        <v>589</v>
      </c>
      <c r="F905" s="67" t="s">
        <v>3138</v>
      </c>
      <c r="G905" s="67"/>
      <c r="H905" s="93" t="s">
        <v>5</v>
      </c>
      <c r="I905" s="92" t="s">
        <v>3185</v>
      </c>
      <c r="J905" s="92">
        <v>7569949907</v>
      </c>
      <c r="K905" s="91" t="s">
        <v>4434</v>
      </c>
      <c r="L905" s="67"/>
      <c r="M905" s="67"/>
      <c r="N905" s="67"/>
      <c r="O905" s="67"/>
    </row>
    <row r="906" spans="1:15" ht="15">
      <c r="A906" s="91" t="s">
        <v>11</v>
      </c>
      <c r="B906" s="91" t="s">
        <v>297</v>
      </c>
      <c r="C906" s="92" t="str">
        <f ca="1">IFERROR(__xludf.DUMMYFUNCTION("filter('Back End'!C:C,'Back End'!A:A=A906,'Back End'!B:B=B906,'Back End'!D:D=D906)"),"Vemulavada")</f>
        <v>Vemulavada</v>
      </c>
      <c r="D906" s="91" t="s">
        <v>335</v>
      </c>
      <c r="E906" s="91" t="s">
        <v>4435</v>
      </c>
      <c r="F906" s="91" t="s">
        <v>1665</v>
      </c>
      <c r="G906" s="91" t="s">
        <v>615</v>
      </c>
      <c r="H906" s="93" t="s">
        <v>5</v>
      </c>
      <c r="I906" s="67"/>
      <c r="J906" s="67"/>
      <c r="K906" s="67"/>
      <c r="L906" s="67"/>
      <c r="M906" s="67"/>
      <c r="N906" s="67"/>
      <c r="O906" s="67"/>
    </row>
    <row r="907" spans="1:15" ht="30">
      <c r="A907" s="109" t="s">
        <v>15</v>
      </c>
      <c r="B907" s="109" t="s">
        <v>15</v>
      </c>
      <c r="C907" s="92" t="str">
        <f ca="1">IFERROR(__xludf.DUMMYFUNCTION("filter('Back End'!C:C,'Back End'!A:A=A907,'Back End'!B:B=B907,'Back End'!D:D=D907)"),"Divlli")</f>
        <v>Divlli</v>
      </c>
      <c r="D907" s="91" t="s">
        <v>352</v>
      </c>
      <c r="E907" s="91" t="s">
        <v>4436</v>
      </c>
      <c r="F907" s="91" t="s">
        <v>139</v>
      </c>
      <c r="G907" s="91" t="s">
        <v>594</v>
      </c>
      <c r="H907" s="93" t="s">
        <v>6</v>
      </c>
      <c r="I907" s="92" t="s">
        <v>3112</v>
      </c>
      <c r="J907" s="67"/>
      <c r="K907" s="67"/>
      <c r="L907" s="67"/>
      <c r="M907" s="67"/>
      <c r="N907" s="67"/>
      <c r="O907" s="67"/>
    </row>
    <row r="908" spans="1:15" ht="30">
      <c r="A908" s="109" t="s">
        <v>15</v>
      </c>
      <c r="B908" s="109" t="s">
        <v>15</v>
      </c>
      <c r="C908" s="92" t="str">
        <f ca="1">IFERROR(__xludf.DUMMYFUNCTION("filter('Back End'!C:C,'Back End'!A:A=A908,'Back End'!B:B=B908,'Back End'!D:D=D908)"),"Divlli")</f>
        <v>Divlli</v>
      </c>
      <c r="D908" s="91" t="s">
        <v>352</v>
      </c>
      <c r="E908" s="91" t="s">
        <v>4437</v>
      </c>
      <c r="F908" s="91" t="s">
        <v>139</v>
      </c>
      <c r="G908" s="91" t="s">
        <v>594</v>
      </c>
      <c r="H908" s="93" t="s">
        <v>5</v>
      </c>
      <c r="I908" s="92" t="s">
        <v>3112</v>
      </c>
      <c r="J908" s="67"/>
      <c r="K908" s="67"/>
      <c r="L908" s="67"/>
      <c r="M908" s="67"/>
      <c r="N908" s="67"/>
      <c r="O908" s="67"/>
    </row>
    <row r="909" spans="1:15" ht="15">
      <c r="A909" s="91" t="s">
        <v>15</v>
      </c>
      <c r="B909" s="91" t="s">
        <v>389</v>
      </c>
      <c r="C909" s="92" t="str">
        <f ca="1">IFERROR(__xludf.DUMMYFUNCTION("filter('Back End'!C:C,'Back End'!A:A=A909,'Back End'!B:B=B909,'Back End'!D:D=D909)"),"#N/A")</f>
        <v>#N/A</v>
      </c>
      <c r="D909" s="91" t="s">
        <v>352</v>
      </c>
      <c r="E909" s="91" t="s">
        <v>353</v>
      </c>
      <c r="F909" s="91" t="s">
        <v>165</v>
      </c>
      <c r="G909" s="91" t="s">
        <v>615</v>
      </c>
      <c r="H909" s="93" t="s">
        <v>5</v>
      </c>
      <c r="I909" s="92" t="s">
        <v>3115</v>
      </c>
      <c r="J909" s="92">
        <v>6301809691</v>
      </c>
      <c r="K909" s="91">
        <v>600</v>
      </c>
      <c r="L909" s="67"/>
      <c r="M909" s="67"/>
      <c r="N909" s="67"/>
      <c r="O909" s="67"/>
    </row>
    <row r="910" spans="1:15" ht="15">
      <c r="A910" s="91" t="s">
        <v>15</v>
      </c>
      <c r="B910" s="91" t="s">
        <v>389</v>
      </c>
      <c r="C910" s="92" t="str">
        <f ca="1">IFERROR(__xludf.DUMMYFUNCTION("filter('Back End'!C:C,'Back End'!A:A=A910,'Back End'!B:B=B910,'Back End'!D:D=D910)"),"#N/A")</f>
        <v>#N/A</v>
      </c>
      <c r="D910" s="91" t="s">
        <v>352</v>
      </c>
      <c r="E910" s="91" t="s">
        <v>4438</v>
      </c>
      <c r="F910" s="91" t="s">
        <v>139</v>
      </c>
      <c r="G910" s="91" t="s">
        <v>594</v>
      </c>
      <c r="H910" s="93" t="s">
        <v>4</v>
      </c>
      <c r="I910" s="92" t="s">
        <v>4439</v>
      </c>
      <c r="J910" s="92" t="s">
        <v>2631</v>
      </c>
      <c r="K910" s="91">
        <v>1200</v>
      </c>
      <c r="L910" s="67"/>
      <c r="M910" s="67"/>
      <c r="N910" s="67"/>
      <c r="O910" s="67"/>
    </row>
    <row r="911" spans="1:15" ht="30">
      <c r="A911" s="91" t="s">
        <v>11</v>
      </c>
      <c r="B911" s="91" t="s">
        <v>297</v>
      </c>
      <c r="C911" s="92" t="str">
        <f ca="1">IFERROR(__xludf.DUMMYFUNCTION("filter('Back End'!C:C,'Back End'!A:A=A911,'Back End'!B:B=B911,'Back End'!D:D=D911)"),"Vijayarayudu Palem")</f>
        <v>Vijayarayudu Palem</v>
      </c>
      <c r="D911" s="91" t="s">
        <v>337</v>
      </c>
      <c r="E911" s="91" t="s">
        <v>338</v>
      </c>
      <c r="F911" s="91" t="s">
        <v>139</v>
      </c>
      <c r="G911" s="91" t="s">
        <v>594</v>
      </c>
      <c r="H911" s="93" t="s">
        <v>5</v>
      </c>
      <c r="I911" s="92" t="s">
        <v>3115</v>
      </c>
      <c r="J911" s="92">
        <v>9182824192</v>
      </c>
      <c r="K911" s="91">
        <v>500</v>
      </c>
      <c r="L911" s="67"/>
      <c r="M911" s="67"/>
      <c r="N911" s="67"/>
      <c r="O911" s="67"/>
    </row>
    <row r="912" spans="1:15" ht="15">
      <c r="A912" s="91" t="s">
        <v>11</v>
      </c>
      <c r="B912" s="91" t="s">
        <v>297</v>
      </c>
      <c r="C912" s="92" t="str">
        <f ca="1">IFERROR(__xludf.DUMMYFUNCTION("filter('Back End'!C:C,'Back End'!A:A=A912,'Back End'!B:B=B912,'Back End'!D:D=D912)"),"Gorripudi")</f>
        <v>Gorripudi</v>
      </c>
      <c r="D912" s="91" t="s">
        <v>303</v>
      </c>
      <c r="E912" s="91" t="s">
        <v>4440</v>
      </c>
      <c r="F912" s="91" t="s">
        <v>139</v>
      </c>
      <c r="G912" s="91" t="s">
        <v>594</v>
      </c>
      <c r="H912" s="93" t="s">
        <v>5</v>
      </c>
      <c r="I912" s="92" t="s">
        <v>3112</v>
      </c>
      <c r="J912" s="92">
        <v>9394389999</v>
      </c>
      <c r="K912" s="91" t="s">
        <v>4441</v>
      </c>
      <c r="L912" s="67"/>
      <c r="M912" s="67"/>
      <c r="N912" s="67"/>
      <c r="O912" s="67"/>
    </row>
    <row r="913" spans="1:15" ht="15">
      <c r="A913" s="91" t="s">
        <v>11</v>
      </c>
      <c r="B913" s="91" t="s">
        <v>297</v>
      </c>
      <c r="C913" s="92" t="str">
        <f ca="1">IFERROR(__xludf.DUMMYFUNCTION("filter('Back End'!C:C,'Back End'!A:A=A913,'Back End'!B:B=B913,'Back End'!D:D=D913)"),"Gorripudi")</f>
        <v>Gorripudi</v>
      </c>
      <c r="D913" s="91" t="s">
        <v>303</v>
      </c>
      <c r="E913" s="91" t="s">
        <v>4442</v>
      </c>
      <c r="F913" s="91" t="s">
        <v>139</v>
      </c>
      <c r="G913" s="91" t="s">
        <v>594</v>
      </c>
      <c r="H913" s="93" t="s">
        <v>6</v>
      </c>
      <c r="I913" s="92" t="s">
        <v>4443</v>
      </c>
      <c r="J913" s="67"/>
      <c r="K913" s="67"/>
      <c r="L913" s="67"/>
      <c r="M913" s="67"/>
      <c r="N913" s="67"/>
      <c r="O913" s="67"/>
    </row>
    <row r="914" spans="1:15" ht="15">
      <c r="A914" s="91" t="s">
        <v>11</v>
      </c>
      <c r="B914" s="91" t="s">
        <v>297</v>
      </c>
      <c r="C914" s="92" t="str">
        <f ca="1">IFERROR(__xludf.DUMMYFUNCTION("filter('Back End'!C:C,'Back End'!A:A=A914,'Back End'!B:B=B914,'Back End'!D:D=D914)"),"Gorripudi")</f>
        <v>Gorripudi</v>
      </c>
      <c r="D914" s="91" t="s">
        <v>303</v>
      </c>
      <c r="E914" s="91" t="s">
        <v>4444</v>
      </c>
      <c r="F914" s="91" t="s">
        <v>1669</v>
      </c>
      <c r="G914" s="91" t="s">
        <v>615</v>
      </c>
      <c r="H914" s="93" t="s">
        <v>4</v>
      </c>
      <c r="I914" s="92" t="s">
        <v>3112</v>
      </c>
      <c r="J914" s="92" t="s">
        <v>2631</v>
      </c>
      <c r="K914" s="67"/>
      <c r="L914" s="67"/>
      <c r="M914" s="67"/>
      <c r="N914" s="67"/>
      <c r="O914" s="67"/>
    </row>
    <row r="915" spans="1:15" ht="15">
      <c r="A915" s="91" t="s">
        <v>11</v>
      </c>
      <c r="B915" s="91" t="s">
        <v>297</v>
      </c>
      <c r="C915" s="92" t="str">
        <f ca="1">IFERROR(__xludf.DUMMYFUNCTION("filter('Back End'!C:C,'Back End'!A:A=A915,'Back End'!B:B=B915,'Back End'!D:D=D915)"),"Gorripudi")</f>
        <v>Gorripudi</v>
      </c>
      <c r="D915" s="91" t="s">
        <v>303</v>
      </c>
      <c r="E915" s="91" t="s">
        <v>304</v>
      </c>
      <c r="F915" s="91" t="s">
        <v>1669</v>
      </c>
      <c r="G915" s="91" t="s">
        <v>615</v>
      </c>
      <c r="H915" s="93" t="s">
        <v>5</v>
      </c>
      <c r="I915" s="92" t="s">
        <v>3115</v>
      </c>
      <c r="J915" s="92">
        <v>6301293869</v>
      </c>
      <c r="K915" s="91" t="s">
        <v>4445</v>
      </c>
      <c r="L915" s="67"/>
      <c r="M915" s="67"/>
      <c r="N915" s="67"/>
      <c r="O915" s="67"/>
    </row>
    <row r="916" spans="1:15" ht="45">
      <c r="A916" s="91" t="s">
        <v>19</v>
      </c>
      <c r="B916" s="91" t="s">
        <v>147</v>
      </c>
      <c r="C916" s="92" t="str">
        <f ca="1">IFERROR(__xludf.DUMMYFUNCTION("filter('Back End'!C:C,'Back End'!A:A=A916,'Back End'!B:B=B916,'Back End'!D:D=D916)"),"Rampa Yerrampalem")</f>
        <v>Rampa Yerrampalem</v>
      </c>
      <c r="D916" s="91" t="s">
        <v>173</v>
      </c>
      <c r="E916" s="91" t="s">
        <v>4446</v>
      </c>
      <c r="F916" s="91" t="s">
        <v>139</v>
      </c>
      <c r="G916" s="91" t="s">
        <v>594</v>
      </c>
      <c r="H916" s="93" t="s">
        <v>4</v>
      </c>
      <c r="I916" s="92" t="s">
        <v>4447</v>
      </c>
      <c r="J916" s="92">
        <v>944212333</v>
      </c>
      <c r="K916" s="67"/>
      <c r="L916" s="67"/>
      <c r="M916" s="67"/>
      <c r="N916" s="67"/>
      <c r="O916" s="67"/>
    </row>
    <row r="917" spans="1:15" ht="30">
      <c r="A917" s="91" t="s">
        <v>19</v>
      </c>
      <c r="B917" s="91" t="s">
        <v>147</v>
      </c>
      <c r="C917" s="92" t="str">
        <f ca="1">IFERROR(__xludf.DUMMYFUNCTION("filter('Back End'!C:C,'Back End'!A:A=A917,'Back End'!B:B=B917,'Back End'!D:D=D917)"),"Rampa Yerrampalem")</f>
        <v>Rampa Yerrampalem</v>
      </c>
      <c r="D917" s="91" t="s">
        <v>173</v>
      </c>
      <c r="E917" s="91" t="s">
        <v>4448</v>
      </c>
      <c r="F917" s="91" t="s">
        <v>114</v>
      </c>
      <c r="G917" s="91" t="s">
        <v>85</v>
      </c>
      <c r="H917" s="93" t="s">
        <v>4</v>
      </c>
      <c r="I917" s="92" t="s">
        <v>3115</v>
      </c>
      <c r="J917" s="92">
        <v>9441596400</v>
      </c>
      <c r="K917" s="67"/>
      <c r="L917" s="67"/>
      <c r="M917" s="67"/>
      <c r="N917" s="67"/>
      <c r="O917" s="67"/>
    </row>
    <row r="918" spans="1:15" ht="30">
      <c r="A918" s="91" t="s">
        <v>19</v>
      </c>
      <c r="B918" s="91" t="s">
        <v>147</v>
      </c>
      <c r="C918" s="92" t="str">
        <f ca="1">IFERROR(__xludf.DUMMYFUNCTION("filter('Back End'!C:C,'Back End'!A:A=A918,'Back End'!B:B=B918,'Back End'!D:D=D918)"),"Rampa Yerrampalem")</f>
        <v>Rampa Yerrampalem</v>
      </c>
      <c r="D918" s="91" t="s">
        <v>173</v>
      </c>
      <c r="E918" s="91" t="s">
        <v>4449</v>
      </c>
      <c r="F918" s="91" t="s">
        <v>139</v>
      </c>
      <c r="G918" s="91" t="s">
        <v>594</v>
      </c>
      <c r="H918" s="93" t="s">
        <v>5</v>
      </c>
      <c r="I918" s="92" t="s">
        <v>2631</v>
      </c>
      <c r="J918" s="92">
        <v>9505333356</v>
      </c>
      <c r="K918" s="67"/>
      <c r="L918" s="67"/>
      <c r="M918" s="67"/>
      <c r="N918" s="67"/>
      <c r="O918" s="67"/>
    </row>
    <row r="919" spans="1:15" ht="15">
      <c r="A919" s="91" t="s">
        <v>19</v>
      </c>
      <c r="B919" s="91" t="s">
        <v>147</v>
      </c>
      <c r="C919" s="92" t="str">
        <f ca="1">IFERROR(__xludf.DUMMYFUNCTION("filter('Back End'!C:C,'Back End'!A:A=A919,'Back End'!B:B=B919,'Back End'!D:D=D919)"),"Vedurupaka")</f>
        <v>Vedurupaka</v>
      </c>
      <c r="D919" s="91" t="s">
        <v>179</v>
      </c>
      <c r="E919" s="91" t="s">
        <v>4450</v>
      </c>
      <c r="F919" s="91" t="s">
        <v>213</v>
      </c>
      <c r="G919" s="91" t="s">
        <v>615</v>
      </c>
      <c r="H919" s="93" t="s">
        <v>5</v>
      </c>
      <c r="I919" s="92" t="s">
        <v>3490</v>
      </c>
      <c r="J919" s="92">
        <v>96183288505</v>
      </c>
      <c r="K919" s="67"/>
      <c r="L919" s="67"/>
      <c r="M919" s="67"/>
      <c r="N919" s="67"/>
      <c r="O919" s="67"/>
    </row>
    <row r="920" spans="1:15" ht="15">
      <c r="A920" s="91" t="s">
        <v>19</v>
      </c>
      <c r="B920" s="91" t="s">
        <v>147</v>
      </c>
      <c r="C920" s="92" t="str">
        <f ca="1">IFERROR(__xludf.DUMMYFUNCTION("filter('Back End'!C:C,'Back End'!A:A=A920,'Back End'!B:B=B920,'Back End'!D:D=D920)"),"Vedurupaka")</f>
        <v>Vedurupaka</v>
      </c>
      <c r="D920" s="91" t="s">
        <v>179</v>
      </c>
      <c r="E920" s="91" t="s">
        <v>4451</v>
      </c>
      <c r="F920" s="91" t="s">
        <v>139</v>
      </c>
      <c r="G920" s="91" t="s">
        <v>594</v>
      </c>
      <c r="H920" s="93" t="s">
        <v>5</v>
      </c>
      <c r="I920" s="67"/>
      <c r="J920" s="92">
        <v>9989277759</v>
      </c>
      <c r="K920" s="67"/>
      <c r="L920" s="67"/>
      <c r="M920" s="67"/>
      <c r="N920" s="67"/>
      <c r="O920" s="67"/>
    </row>
    <row r="921" spans="1:15" ht="15">
      <c r="A921" s="91" t="s">
        <v>19</v>
      </c>
      <c r="B921" s="91" t="s">
        <v>147</v>
      </c>
      <c r="C921" s="92" t="str">
        <f ca="1">IFERROR(__xludf.DUMMYFUNCTION("filter('Back End'!C:C,'Back End'!A:A=A921,'Back End'!B:B=B921,'Back End'!D:D=D921)"),"Vedurupaka")</f>
        <v>Vedurupaka</v>
      </c>
      <c r="D921" s="91" t="s">
        <v>179</v>
      </c>
      <c r="E921" s="91" t="s">
        <v>4452</v>
      </c>
      <c r="F921" s="67" t="s">
        <v>3138</v>
      </c>
      <c r="G921" s="67"/>
      <c r="H921" s="93" t="s">
        <v>4</v>
      </c>
      <c r="I921" s="67"/>
      <c r="J921" s="92">
        <v>7702448859</v>
      </c>
      <c r="K921" s="67"/>
      <c r="L921" s="67"/>
      <c r="M921" s="67"/>
      <c r="N921" s="67"/>
      <c r="O921" s="67"/>
    </row>
    <row r="922" spans="1:15" ht="15">
      <c r="A922" s="91" t="s">
        <v>19</v>
      </c>
      <c r="B922" s="91" t="s">
        <v>147</v>
      </c>
      <c r="C922" s="92" t="str">
        <f ca="1">IFERROR(__xludf.DUMMYFUNCTION("filter('Back End'!C:C,'Back End'!A:A=A922,'Back End'!B:B=B922,'Back End'!D:D=D922)"),"Vedurupaka")</f>
        <v>Vedurupaka</v>
      </c>
      <c r="D922" s="91" t="s">
        <v>179</v>
      </c>
      <c r="E922" s="91" t="s">
        <v>4453</v>
      </c>
      <c r="F922" s="91" t="s">
        <v>139</v>
      </c>
      <c r="G922" s="91" t="s">
        <v>594</v>
      </c>
      <c r="H922" s="93" t="s">
        <v>5</v>
      </c>
      <c r="I922" s="92" t="s">
        <v>4443</v>
      </c>
      <c r="J922" s="67"/>
      <c r="K922" s="67"/>
      <c r="L922" s="67"/>
      <c r="M922" s="67"/>
      <c r="N922" s="67"/>
      <c r="O922" s="67"/>
    </row>
    <row r="923" spans="1:15" ht="15">
      <c r="A923" s="91" t="s">
        <v>19</v>
      </c>
      <c r="B923" s="91" t="s">
        <v>147</v>
      </c>
      <c r="C923" s="92" t="str">
        <f ca="1">IFERROR(__xludf.DUMMYFUNCTION("filter('Back End'!C:C,'Back End'!A:A=A923,'Back End'!B:B=B923,'Back End'!D:D=D923)"),"Vedurupaka")</f>
        <v>Vedurupaka</v>
      </c>
      <c r="D923" s="91" t="s">
        <v>179</v>
      </c>
      <c r="E923" s="91" t="s">
        <v>4454</v>
      </c>
      <c r="F923" s="67" t="s">
        <v>3138</v>
      </c>
      <c r="G923" s="67"/>
      <c r="H923" s="93" t="s">
        <v>4</v>
      </c>
      <c r="I923" s="67"/>
      <c r="J923" s="92">
        <v>9553198688</v>
      </c>
      <c r="K923" s="67"/>
      <c r="L923" s="67"/>
      <c r="M923" s="67"/>
      <c r="N923" s="67"/>
      <c r="O923" s="67"/>
    </row>
    <row r="924" spans="1:15" ht="15">
      <c r="A924" s="91" t="s">
        <v>19</v>
      </c>
      <c r="B924" s="91" t="s">
        <v>147</v>
      </c>
      <c r="C924" s="92" t="str">
        <f ca="1">IFERROR(__xludf.DUMMYFUNCTION("filter('Back End'!C:C,'Back End'!A:A=A924,'Back End'!B:B=B924,'Back End'!D:D=D924)"),"Vedurupaka")</f>
        <v>Vedurupaka</v>
      </c>
      <c r="D924" s="91" t="s">
        <v>179</v>
      </c>
      <c r="E924" s="91" t="s">
        <v>4455</v>
      </c>
      <c r="F924" s="67" t="s">
        <v>3138</v>
      </c>
      <c r="G924" s="67"/>
      <c r="H924" s="93" t="s">
        <v>4</v>
      </c>
      <c r="I924" s="92" t="s">
        <v>3125</v>
      </c>
      <c r="J924" s="92">
        <v>9949401831</v>
      </c>
      <c r="K924" s="67"/>
      <c r="L924" s="67"/>
      <c r="M924" s="67"/>
      <c r="N924" s="67"/>
      <c r="O924" s="67"/>
    </row>
    <row r="925" spans="1:15" ht="15">
      <c r="A925" s="91" t="s">
        <v>19</v>
      </c>
      <c r="B925" s="91" t="s">
        <v>147</v>
      </c>
      <c r="C925" s="92" t="str">
        <f ca="1">IFERROR(__xludf.DUMMYFUNCTION("filter('Back End'!C:C,'Back End'!A:A=A925,'Back End'!B:B=B925,'Back End'!D:D=D925)"),"Vedurupaka")</f>
        <v>Vedurupaka</v>
      </c>
      <c r="D925" s="91" t="s">
        <v>179</v>
      </c>
      <c r="E925" s="91" t="s">
        <v>4456</v>
      </c>
      <c r="F925" s="91" t="s">
        <v>213</v>
      </c>
      <c r="G925" s="91" t="s">
        <v>615</v>
      </c>
      <c r="H925" s="93" t="s">
        <v>5</v>
      </c>
      <c r="I925" s="92" t="s">
        <v>2631</v>
      </c>
      <c r="J925" s="92">
        <v>8897798454</v>
      </c>
      <c r="K925" s="67"/>
      <c r="L925" s="67"/>
      <c r="M925" s="67"/>
      <c r="N925" s="67"/>
      <c r="O925" s="67"/>
    </row>
    <row r="926" spans="1:15" ht="15">
      <c r="A926" s="91" t="s">
        <v>15</v>
      </c>
      <c r="B926" s="91" t="s">
        <v>389</v>
      </c>
      <c r="C926" s="92" t="str">
        <f ca="1">IFERROR(__xludf.DUMMYFUNCTION("filter('Back End'!C:C,'Back End'!A:A=A926,'Back End'!B:B=B926,'Back End'!D:D=D926)"),"#N/A")</f>
        <v>#N/A</v>
      </c>
      <c r="D926" s="91" t="s">
        <v>376</v>
      </c>
      <c r="E926" s="91" t="s">
        <v>377</v>
      </c>
      <c r="F926" s="91" t="s">
        <v>139</v>
      </c>
      <c r="G926" s="91" t="s">
        <v>594</v>
      </c>
      <c r="H926" s="93" t="s">
        <v>5</v>
      </c>
      <c r="I926" s="92" t="s">
        <v>3115</v>
      </c>
      <c r="J926" s="92">
        <v>9666986444</v>
      </c>
      <c r="K926" s="91">
        <v>600</v>
      </c>
      <c r="L926" s="67"/>
      <c r="M926" s="67"/>
      <c r="N926" s="67"/>
      <c r="O926" s="67"/>
    </row>
    <row r="927" spans="1:15" ht="15">
      <c r="A927" s="91" t="s">
        <v>19</v>
      </c>
      <c r="B927" s="91" t="s">
        <v>19</v>
      </c>
      <c r="C927" s="92" t="str">
        <f ca="1">IFERROR(__xludf.DUMMYFUNCTION("filter('Back End'!C:C,'Back End'!A:A=A927,'Back End'!B:B=B927,'Back End'!D:D=D927)"),"Gollalagunta")</f>
        <v>Gollalagunta</v>
      </c>
      <c r="D927" s="91" t="s">
        <v>182</v>
      </c>
      <c r="E927" s="91" t="s">
        <v>3733</v>
      </c>
      <c r="F927" s="91" t="s">
        <v>1669</v>
      </c>
      <c r="G927" s="91" t="s">
        <v>615</v>
      </c>
      <c r="H927" s="93" t="s">
        <v>5</v>
      </c>
      <c r="I927" s="92" t="s">
        <v>4240</v>
      </c>
      <c r="J927" s="92">
        <v>9704620966</v>
      </c>
      <c r="K927" s="67"/>
      <c r="L927" s="67"/>
      <c r="M927" s="67"/>
      <c r="N927" s="67"/>
      <c r="O927" s="67"/>
    </row>
    <row r="928" spans="1:15" ht="15">
      <c r="A928" s="91" t="s">
        <v>19</v>
      </c>
      <c r="B928" s="91" t="s">
        <v>19</v>
      </c>
      <c r="C928" s="92" t="str">
        <f ca="1">IFERROR(__xludf.DUMMYFUNCTION("filter('Back End'!C:C,'Back End'!A:A=A928,'Back End'!B:B=B928,'Back End'!D:D=D928)"),"Gollalagunta")</f>
        <v>Gollalagunta</v>
      </c>
      <c r="D928" s="91" t="s">
        <v>182</v>
      </c>
      <c r="E928" s="91" t="s">
        <v>4457</v>
      </c>
      <c r="F928" s="91" t="s">
        <v>131</v>
      </c>
      <c r="G928" s="91" t="s">
        <v>594</v>
      </c>
      <c r="H928" s="93" t="s">
        <v>5</v>
      </c>
      <c r="I928" s="92" t="s">
        <v>3115</v>
      </c>
      <c r="J928" s="92">
        <v>9505415559</v>
      </c>
      <c r="K928" s="67"/>
      <c r="L928" s="67"/>
      <c r="M928" s="67"/>
      <c r="N928" s="67"/>
      <c r="O928" s="67"/>
    </row>
    <row r="929" spans="1:15" ht="15">
      <c r="A929" s="91" t="s">
        <v>19</v>
      </c>
      <c r="B929" s="91" t="s">
        <v>19</v>
      </c>
      <c r="C929" s="92" t="str">
        <f ca="1">IFERROR(__xludf.DUMMYFUNCTION("filter('Back End'!C:C,'Back End'!A:A=A929,'Back End'!B:B=B929,'Back End'!D:D=D929)"),"Gollalagunta")</f>
        <v>Gollalagunta</v>
      </c>
      <c r="D929" s="91" t="s">
        <v>182</v>
      </c>
      <c r="E929" s="91" t="s">
        <v>4458</v>
      </c>
      <c r="F929" s="91" t="s">
        <v>1669</v>
      </c>
      <c r="G929" s="91" t="s">
        <v>615</v>
      </c>
      <c r="H929" s="93" t="s">
        <v>4</v>
      </c>
      <c r="I929" s="92" t="s">
        <v>3376</v>
      </c>
      <c r="J929" s="92" t="s">
        <v>2631</v>
      </c>
      <c r="K929" s="67"/>
      <c r="L929" s="67"/>
      <c r="M929" s="67"/>
      <c r="N929" s="67"/>
      <c r="O929" s="67"/>
    </row>
    <row r="930" spans="1:15" ht="30">
      <c r="A930" s="91" t="s">
        <v>19</v>
      </c>
      <c r="B930" s="91" t="s">
        <v>19</v>
      </c>
      <c r="C930" s="92" t="str">
        <f ca="1">IFERROR(__xludf.DUMMYFUNCTION("filter('Back End'!C:C,'Back End'!A:A=A930,'Back End'!B:B=B930,'Back End'!D:D=D930)"),"Govindapuram")</f>
        <v>Govindapuram</v>
      </c>
      <c r="D930" s="91" t="s">
        <v>184</v>
      </c>
      <c r="E930" s="91" t="s">
        <v>4459</v>
      </c>
      <c r="F930" s="91" t="s">
        <v>165</v>
      </c>
      <c r="G930" s="91" t="s">
        <v>615</v>
      </c>
      <c r="H930" s="93" t="s">
        <v>4</v>
      </c>
      <c r="I930" s="92" t="s">
        <v>4460</v>
      </c>
      <c r="J930" s="92">
        <v>9848245244</v>
      </c>
      <c r="K930" s="67"/>
      <c r="L930" s="67"/>
      <c r="M930" s="67"/>
      <c r="N930" s="67"/>
      <c r="O930" s="67"/>
    </row>
    <row r="931" spans="1:15" ht="45">
      <c r="A931" s="91" t="s">
        <v>19</v>
      </c>
      <c r="B931" s="91" t="s">
        <v>19</v>
      </c>
      <c r="C931" s="92" t="str">
        <f ca="1">IFERROR(__xludf.DUMMYFUNCTION("filter('Back End'!C:C,'Back End'!A:A=A931,'Back End'!B:B=B931,'Back End'!D:D=D931)"),"Govindapuram")</f>
        <v>Govindapuram</v>
      </c>
      <c r="D931" s="91" t="s">
        <v>184</v>
      </c>
      <c r="E931" s="91" t="s">
        <v>4461</v>
      </c>
      <c r="F931" s="91" t="s">
        <v>139</v>
      </c>
      <c r="G931" s="91" t="s">
        <v>594</v>
      </c>
      <c r="H931" s="93" t="s">
        <v>4</v>
      </c>
      <c r="I931" s="92" t="s">
        <v>4462</v>
      </c>
      <c r="J931" s="92">
        <v>9505040343</v>
      </c>
      <c r="K931" s="67"/>
      <c r="L931" s="67"/>
      <c r="M931" s="67"/>
      <c r="N931" s="67"/>
      <c r="O931" s="67"/>
    </row>
    <row r="932" spans="1:15" ht="60">
      <c r="A932" s="91" t="s">
        <v>19</v>
      </c>
      <c r="B932" s="91" t="s">
        <v>19</v>
      </c>
      <c r="C932" s="92" t="str">
        <f ca="1">IFERROR(__xludf.DUMMYFUNCTION("filter('Back End'!C:C,'Back End'!A:A=A932,'Back End'!B:B=B932,'Back End'!D:D=D932)"),"Govindapuram")</f>
        <v>Govindapuram</v>
      </c>
      <c r="D932" s="91" t="s">
        <v>184</v>
      </c>
      <c r="E932" s="91" t="s">
        <v>4463</v>
      </c>
      <c r="F932" s="91" t="s">
        <v>139</v>
      </c>
      <c r="G932" s="91" t="s">
        <v>594</v>
      </c>
      <c r="H932" s="93" t="s">
        <v>4</v>
      </c>
      <c r="I932" s="92" t="s">
        <v>4464</v>
      </c>
      <c r="J932" s="92">
        <v>9959432912</v>
      </c>
      <c r="K932" s="67"/>
      <c r="L932" s="67"/>
      <c r="M932" s="67"/>
      <c r="N932" s="67"/>
      <c r="O932" s="67"/>
    </row>
    <row r="933" spans="1:15" ht="15">
      <c r="A933" s="91" t="s">
        <v>19</v>
      </c>
      <c r="B933" s="91" t="s">
        <v>19</v>
      </c>
      <c r="C933" s="92" t="str">
        <f ca="1">IFERROR(__xludf.DUMMYFUNCTION("filter('Back End'!C:C,'Back End'!A:A=A933,'Back End'!B:B=B933,'Back End'!D:D=D933)"),"Govindapuram")</f>
        <v>Govindapuram</v>
      </c>
      <c r="D933" s="91" t="s">
        <v>184</v>
      </c>
      <c r="E933" s="91" t="s">
        <v>4465</v>
      </c>
      <c r="F933" s="91" t="s">
        <v>139</v>
      </c>
      <c r="G933" s="91" t="s">
        <v>594</v>
      </c>
      <c r="H933" s="93" t="s">
        <v>5</v>
      </c>
      <c r="I933" s="92" t="s">
        <v>4466</v>
      </c>
      <c r="J933" s="92">
        <v>9951741431</v>
      </c>
      <c r="K933" s="67"/>
      <c r="L933" s="67"/>
      <c r="M933" s="67"/>
      <c r="N933" s="67"/>
      <c r="O933" s="67"/>
    </row>
    <row r="934" spans="1:15" ht="15">
      <c r="A934" s="91" t="s">
        <v>19</v>
      </c>
      <c r="B934" s="91" t="s">
        <v>19</v>
      </c>
      <c r="C934" s="92" t="str">
        <f ca="1">IFERROR(__xludf.DUMMYFUNCTION("filter('Back End'!C:C,'Back End'!A:A=A934,'Back End'!B:B=B934,'Back End'!D:D=D934)"),"Govindapuram")</f>
        <v>Govindapuram</v>
      </c>
      <c r="D934" s="91" t="s">
        <v>184</v>
      </c>
      <c r="E934" s="91" t="s">
        <v>4467</v>
      </c>
      <c r="F934" s="91" t="s">
        <v>139</v>
      </c>
      <c r="G934" s="91" t="s">
        <v>594</v>
      </c>
      <c r="H934" s="93" t="s">
        <v>5</v>
      </c>
      <c r="I934" s="92" t="s">
        <v>2631</v>
      </c>
      <c r="J934" s="92">
        <v>9989526950</v>
      </c>
      <c r="K934" s="67"/>
      <c r="L934" s="67"/>
      <c r="M934" s="67"/>
      <c r="N934" s="67"/>
      <c r="O934" s="67"/>
    </row>
    <row r="935" spans="1:15" ht="30">
      <c r="A935" s="91" t="s">
        <v>19</v>
      </c>
      <c r="B935" s="91" t="s">
        <v>19</v>
      </c>
      <c r="C935" s="92" t="str">
        <f ca="1">IFERROR(__xludf.DUMMYFUNCTION("filter('Back End'!C:C,'Back End'!A:A=A935,'Back End'!B:B=B935,'Back End'!D:D=D935)"),"Govindapuram")</f>
        <v>Govindapuram</v>
      </c>
      <c r="D935" s="91" t="s">
        <v>184</v>
      </c>
      <c r="E935" s="91" t="s">
        <v>4468</v>
      </c>
      <c r="F935" s="91" t="s">
        <v>545</v>
      </c>
      <c r="G935" s="91" t="s">
        <v>86</v>
      </c>
      <c r="H935" s="93" t="s">
        <v>4</v>
      </c>
      <c r="I935" s="92" t="s">
        <v>3605</v>
      </c>
      <c r="J935" s="92">
        <v>9553086101</v>
      </c>
      <c r="K935" s="67"/>
      <c r="L935" s="67"/>
      <c r="M935" s="67"/>
      <c r="N935" s="67"/>
      <c r="O935" s="67"/>
    </row>
    <row r="936" spans="1:15" ht="15">
      <c r="A936" s="91" t="s">
        <v>19</v>
      </c>
      <c r="B936" s="91" t="s">
        <v>19</v>
      </c>
      <c r="C936" s="92" t="str">
        <f ca="1">IFERROR(__xludf.DUMMYFUNCTION("filter('Back End'!C:C,'Back End'!A:A=A936,'Back End'!B:B=B936,'Back End'!D:D=D936)"),"Irripaka")</f>
        <v>Irripaka</v>
      </c>
      <c r="D936" s="91" t="s">
        <v>189</v>
      </c>
      <c r="E936" s="91" t="s">
        <v>4469</v>
      </c>
      <c r="F936" s="91" t="s">
        <v>139</v>
      </c>
      <c r="G936" s="91" t="s">
        <v>594</v>
      </c>
      <c r="H936" s="93" t="s">
        <v>5</v>
      </c>
      <c r="I936" s="92" t="s">
        <v>2631</v>
      </c>
      <c r="J936" s="92">
        <v>9441335550</v>
      </c>
      <c r="K936" s="67"/>
      <c r="L936" s="67"/>
      <c r="M936" s="67"/>
      <c r="N936" s="67"/>
      <c r="O936" s="67"/>
    </row>
    <row r="937" spans="1:15" ht="30">
      <c r="A937" s="91" t="s">
        <v>19</v>
      </c>
      <c r="B937" s="91" t="s">
        <v>19</v>
      </c>
      <c r="C937" s="92" t="str">
        <f ca="1">IFERROR(__xludf.DUMMYFUNCTION("filter('Back End'!C:C,'Back End'!A:A=A937,'Back End'!B:B=B937,'Back End'!D:D=D937)"),"Irripaka")</f>
        <v>Irripaka</v>
      </c>
      <c r="D937" s="91" t="s">
        <v>189</v>
      </c>
      <c r="E937" s="91" t="s">
        <v>4470</v>
      </c>
      <c r="F937" s="91" t="s">
        <v>586</v>
      </c>
      <c r="G937" s="91" t="s">
        <v>615</v>
      </c>
      <c r="H937" s="93" t="s">
        <v>5</v>
      </c>
      <c r="I937" s="92" t="s">
        <v>4471</v>
      </c>
      <c r="J937" s="92">
        <v>9010261061</v>
      </c>
      <c r="K937" s="67"/>
      <c r="L937" s="67"/>
      <c r="M937" s="67"/>
      <c r="N937" s="67"/>
      <c r="O937" s="67"/>
    </row>
    <row r="938" spans="1:15" ht="15">
      <c r="A938" s="91" t="s">
        <v>19</v>
      </c>
      <c r="B938" s="91" t="s">
        <v>19</v>
      </c>
      <c r="C938" s="92" t="str">
        <f ca="1">IFERROR(__xludf.DUMMYFUNCTION("filter('Back End'!C:C,'Back End'!A:A=A938,'Back End'!B:B=B938,'Back End'!D:D=D938)"),"Irripaka")</f>
        <v>Irripaka</v>
      </c>
      <c r="D938" s="91" t="s">
        <v>189</v>
      </c>
      <c r="E938" s="91" t="s">
        <v>4472</v>
      </c>
      <c r="F938" s="91" t="s">
        <v>213</v>
      </c>
      <c r="G938" s="91" t="s">
        <v>615</v>
      </c>
      <c r="H938" s="93" t="s">
        <v>5</v>
      </c>
      <c r="I938" s="92" t="s">
        <v>4443</v>
      </c>
      <c r="J938" s="92">
        <v>8125103909</v>
      </c>
      <c r="K938" s="67"/>
      <c r="L938" s="67"/>
      <c r="M938" s="67"/>
      <c r="N938" s="67"/>
      <c r="O938" s="67"/>
    </row>
    <row r="939" spans="1:15" ht="15">
      <c r="A939" s="91" t="s">
        <v>19</v>
      </c>
      <c r="B939" s="91" t="s">
        <v>19</v>
      </c>
      <c r="C939" s="92" t="str">
        <f ca="1">IFERROR(__xludf.DUMMYFUNCTION("filter('Back End'!C:C,'Back End'!A:A=A939,'Back End'!B:B=B939,'Back End'!D:D=D939)"),"Irripaka")</f>
        <v>Irripaka</v>
      </c>
      <c r="D939" s="91" t="s">
        <v>189</v>
      </c>
      <c r="E939" s="91" t="s">
        <v>4473</v>
      </c>
      <c r="F939" s="91" t="s">
        <v>213</v>
      </c>
      <c r="G939" s="91" t="s">
        <v>615</v>
      </c>
      <c r="H939" s="93" t="s">
        <v>5</v>
      </c>
      <c r="I939" s="92" t="s">
        <v>3115</v>
      </c>
      <c r="J939" s="92">
        <v>9885898499</v>
      </c>
      <c r="K939" s="67"/>
      <c r="L939" s="67"/>
      <c r="M939" s="67"/>
      <c r="N939" s="67"/>
      <c r="O939" s="67"/>
    </row>
    <row r="940" spans="1:15" ht="15">
      <c r="A940" s="67" t="s">
        <v>3138</v>
      </c>
      <c r="B940" s="91" t="s">
        <v>147</v>
      </c>
      <c r="C940" s="92" t="str">
        <f ca="1">IFERROR(__xludf.DUMMYFUNCTION("filter('Back End'!C:C,'Back End'!A:A=A940,'Back End'!B:B=B940,'Back End'!D:D=D940)"),"#N/A")</f>
        <v>#N/A</v>
      </c>
      <c r="D940" s="91" t="s">
        <v>161</v>
      </c>
      <c r="E940" s="91" t="s">
        <v>162</v>
      </c>
      <c r="F940" s="91" t="s">
        <v>1669</v>
      </c>
      <c r="G940" s="91" t="s">
        <v>615</v>
      </c>
      <c r="H940" s="93" t="s">
        <v>4</v>
      </c>
      <c r="I940" s="92" t="s">
        <v>2631</v>
      </c>
      <c r="J940" s="92">
        <v>9849668073</v>
      </c>
      <c r="K940" s="67"/>
      <c r="L940" s="67"/>
      <c r="M940" s="67"/>
      <c r="N940" s="67"/>
      <c r="O940" s="67"/>
    </row>
    <row r="941" spans="1:15" ht="30">
      <c r="A941" s="67" t="s">
        <v>3138</v>
      </c>
      <c r="B941" s="91" t="s">
        <v>147</v>
      </c>
      <c r="C941" s="92" t="str">
        <f ca="1">IFERROR(__xludf.DUMMYFUNCTION("filter('Back End'!C:C,'Back End'!A:A=A941,'Back End'!B:B=B941,'Back End'!D:D=D941)"),"#N/A")</f>
        <v>#N/A</v>
      </c>
      <c r="D941" s="91" t="s">
        <v>161</v>
      </c>
      <c r="E941" s="91" t="s">
        <v>4474</v>
      </c>
      <c r="F941" s="91" t="s">
        <v>139</v>
      </c>
      <c r="G941" s="91" t="s">
        <v>594</v>
      </c>
      <c r="H941" s="93" t="s">
        <v>4</v>
      </c>
      <c r="I941" s="92" t="s">
        <v>4475</v>
      </c>
      <c r="J941" s="92" t="s">
        <v>2631</v>
      </c>
      <c r="K941" s="67"/>
      <c r="L941" s="67"/>
      <c r="M941" s="67"/>
      <c r="N941" s="67"/>
      <c r="O941" s="67"/>
    </row>
    <row r="942" spans="1:15" ht="15">
      <c r="A942" s="91" t="s">
        <v>7</v>
      </c>
      <c r="B942" s="91" t="s">
        <v>88</v>
      </c>
      <c r="C942" s="92" t="str">
        <f ca="1">IFERROR(__xludf.DUMMYFUNCTION("filter('Back End'!C:C,'Back End'!A:A=A942,'Back End'!B:B=B942,'Back End'!D:D=D942)"),"#N/A")</f>
        <v>#N/A</v>
      </c>
      <c r="D942" s="91" t="s">
        <v>104</v>
      </c>
      <c r="E942" s="91" t="s">
        <v>4476</v>
      </c>
      <c r="F942" s="67" t="s">
        <v>3138</v>
      </c>
      <c r="G942" s="67"/>
      <c r="H942" s="93" t="s">
        <v>4</v>
      </c>
      <c r="I942" s="67"/>
      <c r="J942" s="67"/>
      <c r="K942" s="67"/>
      <c r="L942" s="67"/>
      <c r="M942" s="67"/>
      <c r="N942" s="67"/>
      <c r="O942" s="67"/>
    </row>
    <row r="943" spans="1:15" ht="15">
      <c r="A943" s="91" t="s">
        <v>10</v>
      </c>
      <c r="B943" s="91" t="s">
        <v>261</v>
      </c>
      <c r="C943" s="92" t="str">
        <f ca="1">IFERROR(__xludf.DUMMYFUNCTION("filter('Back End'!C:C,'Back End'!A:A=A943,'Back End'!B:B=B943,'Back End'!D:D=D943)"),"#N/A")</f>
        <v>#N/A</v>
      </c>
      <c r="D943" s="91" t="s">
        <v>275</v>
      </c>
      <c r="E943" s="91" t="s">
        <v>4477</v>
      </c>
      <c r="F943" s="91" t="s">
        <v>139</v>
      </c>
      <c r="G943" s="91" t="s">
        <v>594</v>
      </c>
      <c r="H943" s="93" t="s">
        <v>4</v>
      </c>
      <c r="I943" s="67"/>
      <c r="J943" s="67"/>
      <c r="K943" s="67"/>
      <c r="L943" s="67"/>
      <c r="M943" s="67"/>
      <c r="N943" s="67"/>
      <c r="O943" s="67"/>
    </row>
    <row r="944" spans="1:15" ht="15">
      <c r="A944" s="91" t="s">
        <v>10</v>
      </c>
      <c r="B944" s="91" t="s">
        <v>261</v>
      </c>
      <c r="C944" s="92" t="str">
        <f ca="1">IFERROR(__xludf.DUMMYFUNCTION("filter('Back End'!C:C,'Back End'!A:A=A944,'Back End'!B:B=B944,'Back End'!D:D=D944)"),"#N/A")</f>
        <v>#N/A</v>
      </c>
      <c r="D944" s="91" t="s">
        <v>275</v>
      </c>
      <c r="E944" s="91" t="s">
        <v>4478</v>
      </c>
      <c r="F944" s="91" t="s">
        <v>139</v>
      </c>
      <c r="G944" s="91" t="s">
        <v>594</v>
      </c>
      <c r="H944" s="93" t="s">
        <v>4</v>
      </c>
      <c r="I944" s="67"/>
      <c r="J944" s="67"/>
      <c r="K944" s="67"/>
      <c r="L944" s="67"/>
      <c r="M944" s="67"/>
      <c r="N944" s="67"/>
      <c r="O944" s="67"/>
    </row>
    <row r="945" spans="1:15" ht="30">
      <c r="A945" s="91" t="s">
        <v>10</v>
      </c>
      <c r="B945" s="92" t="s">
        <v>10</v>
      </c>
      <c r="C945" s="92" t="str">
        <f ca="1">IFERROR(__xludf.DUMMYFUNCTION("filter('Back End'!C:C,'Back End'!A:A=A945,'Back End'!B:B=B945,'Back End'!D:D=D945)"),"Raparthi")</f>
        <v>Raparthi</v>
      </c>
      <c r="D945" s="91" t="s">
        <v>534</v>
      </c>
      <c r="E945" s="92" t="s">
        <v>4479</v>
      </c>
      <c r="F945" s="91" t="s">
        <v>139</v>
      </c>
      <c r="G945" s="91" t="s">
        <v>594</v>
      </c>
      <c r="H945" s="93" t="s">
        <v>5</v>
      </c>
      <c r="I945" s="92" t="s">
        <v>4480</v>
      </c>
      <c r="J945" s="67"/>
      <c r="K945" s="67"/>
      <c r="L945" s="67"/>
      <c r="M945" s="67"/>
      <c r="N945" s="67"/>
      <c r="O945" s="67"/>
    </row>
    <row r="946" spans="1:15" ht="45">
      <c r="A946" s="91" t="s">
        <v>10</v>
      </c>
      <c r="B946" s="92" t="s">
        <v>10</v>
      </c>
      <c r="C946" s="92" t="str">
        <f ca="1">IFERROR(__xludf.DUMMYFUNCTION("filter('Back End'!C:C,'Back End'!A:A=A946,'Back End'!B:B=B946,'Back End'!D:D=D946)"),"Raparthi")</f>
        <v>Raparthi</v>
      </c>
      <c r="D946" s="91" t="s">
        <v>534</v>
      </c>
      <c r="E946" s="92" t="s">
        <v>4481</v>
      </c>
      <c r="F946" s="91" t="s">
        <v>437</v>
      </c>
      <c r="G946" s="91" t="s">
        <v>594</v>
      </c>
      <c r="H946" s="95"/>
      <c r="I946" s="92" t="s">
        <v>4482</v>
      </c>
      <c r="J946" s="67"/>
      <c r="K946" s="67"/>
      <c r="L946" s="67"/>
      <c r="M946" s="67"/>
      <c r="N946" s="67"/>
      <c r="O946" s="67"/>
    </row>
    <row r="947" spans="1:15" ht="15">
      <c r="A947" s="91" t="s">
        <v>10</v>
      </c>
      <c r="B947" s="91" t="s">
        <v>10</v>
      </c>
      <c r="C947" s="92" t="str">
        <f ca="1">IFERROR(__xludf.DUMMYFUNCTION("filter('Back End'!C:C,'Back End'!A:A=A947,'Back End'!B:B=B947,'Back End'!D:D=D947)"),"Raparthi")</f>
        <v>Raparthi</v>
      </c>
      <c r="D947" s="91" t="s">
        <v>534</v>
      </c>
      <c r="E947" s="91" t="s">
        <v>4483</v>
      </c>
      <c r="F947" s="91" t="s">
        <v>139</v>
      </c>
      <c r="G947" s="91" t="s">
        <v>594</v>
      </c>
      <c r="H947" s="93" t="s">
        <v>4</v>
      </c>
      <c r="I947" s="92" t="s">
        <v>3115</v>
      </c>
      <c r="J947" s="92">
        <v>6300261226</v>
      </c>
      <c r="K947" s="67"/>
      <c r="L947" s="67"/>
      <c r="M947" s="67"/>
      <c r="N947" s="67"/>
      <c r="O947" s="67"/>
    </row>
    <row r="948" spans="1:15" ht="30">
      <c r="A948" s="91" t="s">
        <v>10</v>
      </c>
      <c r="B948" s="91" t="s">
        <v>10</v>
      </c>
      <c r="C948" s="92" t="str">
        <f ca="1">IFERROR(__xludf.DUMMYFUNCTION("filter('Back End'!C:C,'Back End'!A:A=A948,'Back End'!B:B=B948,'Back End'!D:D=D948)"),"Raparthi")</f>
        <v>Raparthi</v>
      </c>
      <c r="D948" s="91" t="s">
        <v>534</v>
      </c>
      <c r="E948" s="91" t="s">
        <v>4484</v>
      </c>
      <c r="F948" s="91" t="s">
        <v>139</v>
      </c>
      <c r="G948" s="91" t="s">
        <v>594</v>
      </c>
      <c r="H948" s="93" t="s">
        <v>4</v>
      </c>
      <c r="I948" s="92" t="s">
        <v>4485</v>
      </c>
      <c r="J948" s="92">
        <v>9966747174</v>
      </c>
      <c r="K948" s="67"/>
      <c r="L948" s="67"/>
      <c r="M948" s="67"/>
      <c r="N948" s="67"/>
      <c r="O948" s="67"/>
    </row>
    <row r="949" spans="1:15" ht="30">
      <c r="A949" s="91" t="s">
        <v>10</v>
      </c>
      <c r="B949" s="91" t="s">
        <v>10</v>
      </c>
      <c r="C949" s="92" t="str">
        <f ca="1">IFERROR(__xludf.DUMMYFUNCTION("filter('Back End'!C:C,'Back End'!A:A=A949,'Back End'!B:B=B949,'Back End'!D:D=D949)"),"Raparthi")</f>
        <v>Raparthi</v>
      </c>
      <c r="D949" s="91" t="s">
        <v>534</v>
      </c>
      <c r="E949" s="91" t="s">
        <v>4486</v>
      </c>
      <c r="F949" s="91" t="s">
        <v>139</v>
      </c>
      <c r="G949" s="91" t="s">
        <v>594</v>
      </c>
      <c r="H949" s="93" t="s">
        <v>4</v>
      </c>
      <c r="I949" s="92" t="s">
        <v>3508</v>
      </c>
      <c r="J949" s="92">
        <v>6300781733</v>
      </c>
      <c r="K949" s="67"/>
      <c r="L949" s="67"/>
      <c r="M949" s="67"/>
      <c r="N949" s="67"/>
      <c r="O949" s="67"/>
    </row>
    <row r="950" spans="1:15" ht="15">
      <c r="A950" s="91" t="s">
        <v>10</v>
      </c>
      <c r="B950" s="91" t="s">
        <v>10</v>
      </c>
      <c r="C950" s="92" t="str">
        <f ca="1">IFERROR(__xludf.DUMMYFUNCTION("filter('Back End'!C:C,'Back End'!A:A=A950,'Back End'!B:B=B950,'Back End'!D:D=D950)"),"Raparthi")</f>
        <v>Raparthi</v>
      </c>
      <c r="D950" s="91" t="s">
        <v>534</v>
      </c>
      <c r="E950" s="91" t="s">
        <v>4487</v>
      </c>
      <c r="F950" s="91" t="s">
        <v>437</v>
      </c>
      <c r="G950" s="91" t="s">
        <v>594</v>
      </c>
      <c r="H950" s="93" t="s">
        <v>5</v>
      </c>
      <c r="I950" s="67"/>
      <c r="J950" s="92">
        <v>9603320254</v>
      </c>
      <c r="K950" s="67"/>
      <c r="L950" s="67"/>
      <c r="M950" s="67"/>
      <c r="N950" s="67"/>
      <c r="O950" s="67"/>
    </row>
    <row r="951" spans="1:15" ht="15">
      <c r="A951" s="91" t="s">
        <v>10</v>
      </c>
      <c r="B951" s="91" t="s">
        <v>10</v>
      </c>
      <c r="C951" s="92" t="str">
        <f ca="1">IFERROR(__xludf.DUMMYFUNCTION("filter('Back End'!C:C,'Back End'!A:A=A951,'Back End'!B:B=B951,'Back End'!D:D=D951)"),"Raparthi")</f>
        <v>Raparthi</v>
      </c>
      <c r="D951" s="91" t="s">
        <v>534</v>
      </c>
      <c r="E951" s="91" t="s">
        <v>4488</v>
      </c>
      <c r="F951" s="67" t="s">
        <v>3138</v>
      </c>
      <c r="G951" s="67"/>
      <c r="H951" s="93" t="s">
        <v>4</v>
      </c>
      <c r="I951" s="67"/>
      <c r="J951" s="92">
        <v>9951290964</v>
      </c>
      <c r="K951" s="67"/>
      <c r="L951" s="67"/>
      <c r="M951" s="67"/>
      <c r="N951" s="67"/>
      <c r="O951" s="67"/>
    </row>
    <row r="952" spans="1:15" ht="15">
      <c r="A952" s="91" t="s">
        <v>10</v>
      </c>
      <c r="B952" s="91" t="s">
        <v>10</v>
      </c>
      <c r="C952" s="92" t="str">
        <f ca="1">IFERROR(__xludf.DUMMYFUNCTION("filter('Back End'!C:C,'Back End'!A:A=A952,'Back End'!B:B=B952,'Back End'!D:D=D952)"),"Raparthi")</f>
        <v>Raparthi</v>
      </c>
      <c r="D952" s="91" t="s">
        <v>534</v>
      </c>
      <c r="E952" s="91" t="s">
        <v>4489</v>
      </c>
      <c r="F952" s="67" t="s">
        <v>3138</v>
      </c>
      <c r="G952" s="67"/>
      <c r="H952" s="93" t="s">
        <v>4</v>
      </c>
      <c r="I952" s="67"/>
      <c r="J952" s="92">
        <v>6300781733</v>
      </c>
      <c r="K952" s="67"/>
      <c r="L952" s="67"/>
      <c r="M952" s="67"/>
      <c r="N952" s="67"/>
      <c r="O952" s="67"/>
    </row>
    <row r="953" spans="1:15" ht="15">
      <c r="A953" s="91" t="s">
        <v>10</v>
      </c>
      <c r="B953" s="91" t="s">
        <v>10</v>
      </c>
      <c r="C953" s="92" t="str">
        <f ca="1">IFERROR(__xludf.DUMMYFUNCTION("filter('Back End'!C:C,'Back End'!A:A=A953,'Back End'!B:B=B953,'Back End'!D:D=D953)"),"Raparthi")</f>
        <v>Raparthi</v>
      </c>
      <c r="D953" s="91" t="s">
        <v>534</v>
      </c>
      <c r="E953" s="91" t="s">
        <v>4490</v>
      </c>
      <c r="F953" s="67" t="s">
        <v>3138</v>
      </c>
      <c r="G953" s="67"/>
      <c r="H953" s="93" t="s">
        <v>4</v>
      </c>
      <c r="I953" s="67"/>
      <c r="J953" s="92">
        <v>9989221705</v>
      </c>
      <c r="K953" s="67"/>
      <c r="L953" s="67"/>
      <c r="M953" s="67"/>
      <c r="N953" s="67"/>
      <c r="O953" s="67"/>
    </row>
    <row r="954" spans="1:15" ht="15">
      <c r="A954" s="91" t="s">
        <v>10</v>
      </c>
      <c r="B954" s="91" t="s">
        <v>10</v>
      </c>
      <c r="C954" s="92" t="str">
        <f ca="1">IFERROR(__xludf.DUMMYFUNCTION("filter('Back End'!C:C,'Back End'!A:A=A954,'Back End'!B:B=B954,'Back End'!D:D=D954)"),"Raparthi")</f>
        <v>Raparthi</v>
      </c>
      <c r="D954" s="91" t="s">
        <v>534</v>
      </c>
      <c r="E954" s="91" t="s">
        <v>4491</v>
      </c>
      <c r="F954" s="67" t="s">
        <v>3138</v>
      </c>
      <c r="G954" s="67"/>
      <c r="H954" s="93" t="s">
        <v>4</v>
      </c>
      <c r="I954" s="92" t="s">
        <v>3125</v>
      </c>
      <c r="J954" s="92">
        <v>9849756162</v>
      </c>
      <c r="K954" s="67"/>
      <c r="L954" s="67"/>
      <c r="M954" s="67"/>
      <c r="N954" s="67"/>
      <c r="O954" s="67"/>
    </row>
    <row r="955" spans="1:15" ht="15">
      <c r="A955" s="91" t="s">
        <v>10</v>
      </c>
      <c r="B955" s="91" t="s">
        <v>10</v>
      </c>
      <c r="C955" s="92" t="str">
        <f ca="1">IFERROR(__xludf.DUMMYFUNCTION("filter('Back End'!C:C,'Back End'!A:A=A955,'Back End'!B:B=B955,'Back End'!D:D=D955)"),"Raparthi")</f>
        <v>Raparthi</v>
      </c>
      <c r="D955" s="91" t="s">
        <v>534</v>
      </c>
      <c r="E955" s="91" t="s">
        <v>4492</v>
      </c>
      <c r="F955" s="91" t="s">
        <v>139</v>
      </c>
      <c r="G955" s="91" t="s">
        <v>594</v>
      </c>
      <c r="H955" s="93" t="s">
        <v>5</v>
      </c>
      <c r="I955" s="92" t="s">
        <v>3185</v>
      </c>
      <c r="J955" s="92">
        <v>9247878232</v>
      </c>
      <c r="K955" s="67"/>
      <c r="L955" s="67"/>
      <c r="M955" s="67"/>
      <c r="N955" s="67"/>
      <c r="O955" s="67"/>
    </row>
    <row r="956" spans="1:15" ht="15">
      <c r="A956" s="67" t="s">
        <v>3138</v>
      </c>
      <c r="B956" s="67" t="s">
        <v>3138</v>
      </c>
      <c r="C956" s="92" t="str">
        <f ca="1">IFERROR(__xludf.DUMMYFUNCTION("filter('Back End'!C:C,'Back End'!A:A=A956,'Back End'!B:B=B956,'Back End'!D:D=D956)"),"#N/A")</f>
        <v>#N/A</v>
      </c>
      <c r="D956" s="91" t="s">
        <v>4493</v>
      </c>
      <c r="E956" s="91" t="s">
        <v>4494</v>
      </c>
      <c r="F956" s="91" t="s">
        <v>1660</v>
      </c>
      <c r="G956" s="91" t="s">
        <v>615</v>
      </c>
      <c r="H956" s="93" t="s">
        <v>4</v>
      </c>
      <c r="I956" s="67"/>
      <c r="J956" s="92">
        <v>9592157329</v>
      </c>
      <c r="K956" s="67"/>
      <c r="L956" s="67"/>
      <c r="M956" s="67"/>
      <c r="N956" s="67"/>
      <c r="O956" s="67"/>
    </row>
    <row r="957" spans="1:15" ht="15">
      <c r="A957" s="67" t="s">
        <v>3138</v>
      </c>
      <c r="B957" s="67" t="s">
        <v>3138</v>
      </c>
      <c r="C957" s="92" t="str">
        <f ca="1">IFERROR(__xludf.DUMMYFUNCTION("filter('Back End'!C:C,'Back End'!A:A=A957,'Back End'!B:B=B957,'Back End'!D:D=D957)"),"#N/A")</f>
        <v>#N/A</v>
      </c>
      <c r="D957" s="91" t="s">
        <v>4493</v>
      </c>
      <c r="E957" s="91" t="s">
        <v>4495</v>
      </c>
      <c r="F957" s="67" t="s">
        <v>3138</v>
      </c>
      <c r="G957" s="67"/>
      <c r="H957" s="93" t="s">
        <v>5</v>
      </c>
      <c r="I957" s="67"/>
      <c r="J957" s="92">
        <v>8978535625</v>
      </c>
      <c r="K957" s="67"/>
      <c r="L957" s="67"/>
      <c r="M957" s="67"/>
      <c r="N957" s="67"/>
      <c r="O957" s="67"/>
    </row>
    <row r="958" spans="1:15" ht="30">
      <c r="A958" s="67" t="s">
        <v>3138</v>
      </c>
      <c r="B958" s="91" t="s">
        <v>389</v>
      </c>
      <c r="C958" s="92" t="str">
        <f ca="1">IFERROR(__xludf.DUMMYFUNCTION("filter('Back End'!C:C,'Back End'!A:A=A958,'Back End'!B:B=B958,'Back End'!D:D=D958)"),"#N/A")</f>
        <v>#N/A</v>
      </c>
      <c r="D958" s="91" t="s">
        <v>402</v>
      </c>
      <c r="E958" s="91" t="s">
        <v>4496</v>
      </c>
      <c r="F958" s="91" t="s">
        <v>139</v>
      </c>
      <c r="G958" s="91" t="s">
        <v>594</v>
      </c>
      <c r="H958" s="93" t="s">
        <v>4</v>
      </c>
      <c r="I958" s="92" t="s">
        <v>3120</v>
      </c>
      <c r="J958" s="67"/>
      <c r="K958" s="67"/>
      <c r="L958" s="67"/>
      <c r="M958" s="67"/>
      <c r="N958" s="67"/>
      <c r="O958" s="67"/>
    </row>
    <row r="959" spans="1:15" ht="15">
      <c r="A959" s="91" t="s">
        <v>10</v>
      </c>
      <c r="B959" s="91" t="s">
        <v>10</v>
      </c>
      <c r="C959" s="92" t="str">
        <f ca="1">IFERROR(__xludf.DUMMYFUNCTION("filter('Back End'!C:C,'Back End'!A:A=A959,'Back End'!B:B=B959,'Back End'!D:D=D959)"),"B. Kothuru")</f>
        <v>B. Kothuru</v>
      </c>
      <c r="D959" s="91" t="s">
        <v>491</v>
      </c>
      <c r="E959" s="91" t="s">
        <v>4497</v>
      </c>
      <c r="F959" s="67" t="s">
        <v>3138</v>
      </c>
      <c r="G959" s="67"/>
      <c r="H959" s="93" t="s">
        <v>6</v>
      </c>
      <c r="I959" s="67"/>
      <c r="J959" s="67"/>
      <c r="K959" s="67"/>
      <c r="L959" s="67"/>
      <c r="M959" s="67"/>
      <c r="N959" s="67"/>
      <c r="O959" s="67"/>
    </row>
    <row r="960" spans="1:15" ht="15">
      <c r="A960" s="91" t="s">
        <v>10</v>
      </c>
      <c r="B960" s="91" t="s">
        <v>10</v>
      </c>
      <c r="C960" s="92" t="str">
        <f ca="1">IFERROR(__xludf.DUMMYFUNCTION("filter('Back End'!C:C,'Back End'!A:A=A960,'Back End'!B:B=B960,'Back End'!D:D=D960)"),"B. Kothuru")</f>
        <v>B. Kothuru</v>
      </c>
      <c r="D960" s="91" t="s">
        <v>491</v>
      </c>
      <c r="E960" s="91" t="s">
        <v>4498</v>
      </c>
      <c r="F960" s="67" t="s">
        <v>3138</v>
      </c>
      <c r="G960" s="67"/>
      <c r="H960" s="93" t="s">
        <v>4</v>
      </c>
      <c r="I960" s="67"/>
      <c r="J960" s="67"/>
      <c r="K960" s="67"/>
      <c r="L960" s="67"/>
      <c r="M960" s="67"/>
      <c r="N960" s="67"/>
      <c r="O960" s="67"/>
    </row>
    <row r="961" spans="1:15" ht="30">
      <c r="A961" s="91" t="s">
        <v>15</v>
      </c>
      <c r="B961" s="91" t="s">
        <v>389</v>
      </c>
      <c r="C961" s="92" t="str">
        <f ca="1">IFERROR(__xludf.DUMMYFUNCTION("filter('Back End'!C:C,'Back End'!A:A=A961,'Back End'!B:B=B961,'Back End'!D:D=D961)"),"Kapavaram")</f>
        <v>Kapavaram</v>
      </c>
      <c r="D961" s="91" t="s">
        <v>407</v>
      </c>
      <c r="E961" s="91" t="s">
        <v>4499</v>
      </c>
      <c r="F961" s="91" t="s">
        <v>139</v>
      </c>
      <c r="G961" s="91" t="s">
        <v>594</v>
      </c>
      <c r="H961" s="93" t="s">
        <v>4</v>
      </c>
      <c r="I961" s="92" t="s">
        <v>4500</v>
      </c>
      <c r="J961" s="67"/>
      <c r="K961" s="67"/>
      <c r="L961" s="67"/>
      <c r="M961" s="67"/>
      <c r="N961" s="67"/>
      <c r="O961" s="67"/>
    </row>
    <row r="962" spans="1:15" ht="15">
      <c r="A962" s="91" t="s">
        <v>15</v>
      </c>
      <c r="B962" s="91" t="s">
        <v>389</v>
      </c>
      <c r="C962" s="92" t="str">
        <f ca="1">IFERROR(__xludf.DUMMYFUNCTION("filter('Back End'!C:C,'Back End'!A:A=A962,'Back End'!B:B=B962,'Back End'!D:D=D962)"),"Kapavaram")</f>
        <v>Kapavaram</v>
      </c>
      <c r="D962" s="91" t="s">
        <v>407</v>
      </c>
      <c r="E962" s="91" t="s">
        <v>4501</v>
      </c>
      <c r="F962" s="91" t="s">
        <v>139</v>
      </c>
      <c r="G962" s="91" t="s">
        <v>594</v>
      </c>
      <c r="H962" s="93" t="s">
        <v>5</v>
      </c>
      <c r="I962" s="92" t="s">
        <v>3115</v>
      </c>
      <c r="J962" s="92">
        <v>9502226438</v>
      </c>
      <c r="K962" s="67"/>
      <c r="L962" s="67"/>
      <c r="M962" s="67"/>
      <c r="N962" s="67"/>
      <c r="O962" s="67"/>
    </row>
    <row r="963" spans="1:15" ht="30">
      <c r="A963" s="91" t="s">
        <v>15</v>
      </c>
      <c r="B963" s="92" t="s">
        <v>389</v>
      </c>
      <c r="C963" s="92" t="str">
        <f ca="1">IFERROR(__xludf.DUMMYFUNCTION("filter('Back End'!C:C,'Back End'!A:A=A963,'Back End'!B:B=B963,'Back End'!D:D=D963)"),"Kapavaram")</f>
        <v>Kapavaram</v>
      </c>
      <c r="D963" s="91" t="s">
        <v>407</v>
      </c>
      <c r="E963" s="92" t="s">
        <v>408</v>
      </c>
      <c r="F963" s="91" t="s">
        <v>139</v>
      </c>
      <c r="G963" s="91" t="s">
        <v>594</v>
      </c>
      <c r="H963" s="93" t="s">
        <v>5</v>
      </c>
      <c r="I963" s="92" t="s">
        <v>4283</v>
      </c>
      <c r="J963" s="92">
        <v>9502226438</v>
      </c>
      <c r="K963" s="67"/>
      <c r="L963" s="67"/>
      <c r="M963" s="67"/>
      <c r="N963" s="67"/>
      <c r="O963" s="67"/>
    </row>
    <row r="964" spans="1:15" ht="60">
      <c r="A964" s="91" t="s">
        <v>15</v>
      </c>
      <c r="B964" s="92" t="s">
        <v>389</v>
      </c>
      <c r="C964" s="92" t="str">
        <f ca="1">IFERROR(__xludf.DUMMYFUNCTION("filter('Back End'!C:C,'Back End'!A:A=A964,'Back End'!B:B=B964,'Back End'!D:D=D964)"),"Kapavaram")</f>
        <v>Kapavaram</v>
      </c>
      <c r="D964" s="91" t="s">
        <v>407</v>
      </c>
      <c r="E964" s="92" t="s">
        <v>4502</v>
      </c>
      <c r="F964" s="91" t="s">
        <v>114</v>
      </c>
      <c r="G964" s="91" t="s">
        <v>85</v>
      </c>
      <c r="H964" s="93" t="s">
        <v>5</v>
      </c>
      <c r="I964" s="92" t="s">
        <v>3617</v>
      </c>
      <c r="J964" s="92">
        <v>9177548077</v>
      </c>
      <c r="K964" s="92" t="s">
        <v>3190</v>
      </c>
      <c r="L964" s="67"/>
      <c r="M964" s="67"/>
      <c r="N964" s="67"/>
      <c r="O964" s="67"/>
    </row>
    <row r="965" spans="1:15" ht="15">
      <c r="A965" s="91" t="s">
        <v>15</v>
      </c>
      <c r="B965" s="91" t="s">
        <v>389</v>
      </c>
      <c r="C965" s="92" t="str">
        <f ca="1">IFERROR(__xludf.DUMMYFUNCTION("filter('Back End'!C:C,'Back End'!A:A=A965,'Back End'!B:B=B965,'Back End'!D:D=D965)"),"Kapavaram")</f>
        <v>Kapavaram</v>
      </c>
      <c r="D965" s="91" t="s">
        <v>407</v>
      </c>
      <c r="E965" s="91" t="s">
        <v>4503</v>
      </c>
      <c r="F965" s="67" t="s">
        <v>3138</v>
      </c>
      <c r="G965" s="67"/>
      <c r="H965" s="93" t="s">
        <v>4</v>
      </c>
      <c r="I965" s="67"/>
      <c r="J965" s="92">
        <v>7780164734</v>
      </c>
      <c r="K965" s="67"/>
      <c r="L965" s="67"/>
      <c r="M965" s="67"/>
      <c r="N965" s="67"/>
      <c r="O965" s="67"/>
    </row>
    <row r="966" spans="1:15" ht="15">
      <c r="A966" s="91" t="s">
        <v>15</v>
      </c>
      <c r="B966" s="91" t="s">
        <v>389</v>
      </c>
      <c r="C966" s="92" t="str">
        <f ca="1">IFERROR(__xludf.DUMMYFUNCTION("filter('Back End'!C:C,'Back End'!A:A=A966,'Back End'!B:B=B966,'Back End'!D:D=D966)"),"Kapavaram")</f>
        <v>Kapavaram</v>
      </c>
      <c r="D966" s="91" t="s">
        <v>407</v>
      </c>
      <c r="E966" s="91" t="s">
        <v>4504</v>
      </c>
      <c r="F966" s="67" t="s">
        <v>3138</v>
      </c>
      <c r="G966" s="67"/>
      <c r="H966" s="93" t="s">
        <v>4</v>
      </c>
      <c r="I966" s="92" t="s">
        <v>3125</v>
      </c>
      <c r="J966" s="92">
        <v>9440330391</v>
      </c>
      <c r="K966" s="67"/>
      <c r="L966" s="67"/>
      <c r="M966" s="67"/>
      <c r="N966" s="67"/>
      <c r="O966" s="67"/>
    </row>
    <row r="967" spans="1:15" ht="15">
      <c r="A967" s="91" t="s">
        <v>15</v>
      </c>
      <c r="B967" s="91" t="s">
        <v>389</v>
      </c>
      <c r="C967" s="92" t="str">
        <f ca="1">IFERROR(__xludf.DUMMYFUNCTION("filter('Back End'!C:C,'Back End'!A:A=A967,'Back End'!B:B=B967,'Back End'!D:D=D967)"),"Navara")</f>
        <v>Navara</v>
      </c>
      <c r="D967" s="91" t="s">
        <v>411</v>
      </c>
      <c r="E967" s="91" t="s">
        <v>4505</v>
      </c>
      <c r="F967" s="91" t="s">
        <v>139</v>
      </c>
      <c r="G967" s="91" t="s">
        <v>594</v>
      </c>
      <c r="H967" s="93" t="s">
        <v>5</v>
      </c>
      <c r="I967" s="67"/>
      <c r="J967" s="67"/>
      <c r="K967" s="67"/>
      <c r="L967" s="67"/>
      <c r="M967" s="67"/>
      <c r="N967" s="67"/>
      <c r="O967" s="67"/>
    </row>
    <row r="968" spans="1:15" ht="15">
      <c r="A968" s="91" t="s">
        <v>15</v>
      </c>
      <c r="B968" s="91" t="s">
        <v>389</v>
      </c>
      <c r="C968" s="92" t="str">
        <f ca="1">IFERROR(__xludf.DUMMYFUNCTION("filter('Back End'!C:C,'Back End'!A:A=A968,'Back End'!B:B=B968,'Back End'!D:D=D968)"),"Navara")</f>
        <v>Navara</v>
      </c>
      <c r="D968" s="91" t="s">
        <v>411</v>
      </c>
      <c r="E968" s="91" t="s">
        <v>4506</v>
      </c>
      <c r="F968" s="91" t="s">
        <v>114</v>
      </c>
      <c r="G968" s="91" t="s">
        <v>85</v>
      </c>
      <c r="H968" s="93" t="s">
        <v>5</v>
      </c>
      <c r="I968" s="67"/>
      <c r="J968" s="67"/>
      <c r="K968" s="67"/>
      <c r="L968" s="67"/>
      <c r="M968" s="67"/>
      <c r="N968" s="67"/>
      <c r="O968" s="67"/>
    </row>
    <row r="969" spans="1:15" ht="75">
      <c r="A969" s="91" t="s">
        <v>15</v>
      </c>
      <c r="B969" s="91" t="s">
        <v>389</v>
      </c>
      <c r="C969" s="92" t="str">
        <f ca="1">IFERROR(__xludf.DUMMYFUNCTION("filter('Back End'!C:C,'Back End'!A:A=A969,'Back End'!B:B=B969,'Back End'!D:D=D969)"),"Navara")</f>
        <v>Navara</v>
      </c>
      <c r="D969" s="91" t="s">
        <v>411</v>
      </c>
      <c r="E969" s="91" t="s">
        <v>4507</v>
      </c>
      <c r="F969" s="91" t="s">
        <v>139</v>
      </c>
      <c r="G969" s="91" t="s">
        <v>594</v>
      </c>
      <c r="H969" s="93" t="s">
        <v>5</v>
      </c>
      <c r="I969" s="92" t="s">
        <v>4508</v>
      </c>
      <c r="J969" s="67"/>
      <c r="K969" s="67"/>
      <c r="L969" s="67"/>
      <c r="M969" s="67"/>
      <c r="N969" s="67"/>
      <c r="O969" s="67"/>
    </row>
    <row r="970" spans="1:15" ht="75">
      <c r="A970" s="91" t="s">
        <v>15</v>
      </c>
      <c r="B970" s="91" t="s">
        <v>389</v>
      </c>
      <c r="C970" s="92" t="str">
        <f ca="1">IFERROR(__xludf.DUMMYFUNCTION("filter('Back End'!C:C,'Back End'!A:A=A970,'Back End'!B:B=B970,'Back End'!D:D=D970)"),"Navara")</f>
        <v>Navara</v>
      </c>
      <c r="D970" s="91" t="s">
        <v>411</v>
      </c>
      <c r="E970" s="91" t="s">
        <v>4509</v>
      </c>
      <c r="F970" s="91" t="s">
        <v>139</v>
      </c>
      <c r="G970" s="91" t="s">
        <v>594</v>
      </c>
      <c r="H970" s="93" t="s">
        <v>5</v>
      </c>
      <c r="I970" s="92" t="s">
        <v>4510</v>
      </c>
      <c r="J970" s="92">
        <v>9848392555</v>
      </c>
      <c r="K970" s="67"/>
      <c r="L970" s="67"/>
      <c r="M970" s="67"/>
      <c r="N970" s="67"/>
      <c r="O970" s="67"/>
    </row>
    <row r="971" spans="1:15" ht="15">
      <c r="A971" s="91" t="s">
        <v>10</v>
      </c>
      <c r="B971" s="91" t="s">
        <v>10</v>
      </c>
      <c r="C971" s="92" t="str">
        <f ca="1">IFERROR(__xludf.DUMMYFUNCTION("filter('Back End'!C:C,'Back End'!A:A=A971,'Back End'!B:B=B971,'Back End'!D:D=D971)"),"#N/A")</f>
        <v>#N/A</v>
      </c>
      <c r="D971" s="91" t="s">
        <v>292</v>
      </c>
      <c r="E971" s="91" t="s">
        <v>4511</v>
      </c>
      <c r="F971" s="91" t="s">
        <v>586</v>
      </c>
      <c r="G971" s="91" t="s">
        <v>615</v>
      </c>
      <c r="H971" s="93" t="s">
        <v>5</v>
      </c>
      <c r="I971" s="92" t="s">
        <v>4069</v>
      </c>
      <c r="J971" s="92">
        <v>9618036666</v>
      </c>
      <c r="K971" s="67"/>
      <c r="L971" s="67"/>
      <c r="M971" s="67"/>
      <c r="N971" s="67"/>
      <c r="O971" s="67"/>
    </row>
    <row r="972" spans="1:15" ht="15">
      <c r="A972" s="91" t="s">
        <v>19</v>
      </c>
      <c r="B972" s="91" t="s">
        <v>88</v>
      </c>
      <c r="C972" s="92" t="str">
        <f ca="1">IFERROR(__xludf.DUMMYFUNCTION("filter('Back End'!C:C,'Back End'!A:A=A972,'Back End'!B:B=B972,'Back End'!D:D=D972)"),"K.Gopalapuram")</f>
        <v>K.Gopalapuram</v>
      </c>
      <c r="D972" s="91" t="s">
        <v>104</v>
      </c>
      <c r="E972" s="91" t="s">
        <v>4512</v>
      </c>
      <c r="F972" s="91" t="s">
        <v>213</v>
      </c>
      <c r="G972" s="91" t="s">
        <v>594</v>
      </c>
      <c r="H972" s="93" t="s">
        <v>5</v>
      </c>
      <c r="I972" s="67"/>
      <c r="J972" s="92">
        <v>9849421601</v>
      </c>
      <c r="K972" s="67"/>
      <c r="L972" s="67"/>
      <c r="M972" s="67"/>
      <c r="N972" s="67"/>
      <c r="O972" s="67"/>
    </row>
    <row r="973" spans="1:15" ht="15">
      <c r="A973" s="91" t="s">
        <v>19</v>
      </c>
      <c r="B973" s="91" t="s">
        <v>88</v>
      </c>
      <c r="C973" s="92" t="str">
        <f ca="1">IFERROR(__xludf.DUMMYFUNCTION("filter('Back End'!C:C,'Back End'!A:A=A973,'Back End'!B:B=B973,'Back End'!D:D=D973)"),"K. Nayakampalle")</f>
        <v>K. Nayakampalle</v>
      </c>
      <c r="D973" s="91" t="s">
        <v>99</v>
      </c>
      <c r="E973" s="91" t="s">
        <v>4513</v>
      </c>
      <c r="F973" s="67" t="s">
        <v>3138</v>
      </c>
      <c r="G973" s="67"/>
      <c r="H973" s="93" t="s">
        <v>4</v>
      </c>
      <c r="I973" s="67"/>
      <c r="J973" s="92">
        <v>8328600024</v>
      </c>
      <c r="K973" s="67"/>
      <c r="L973" s="67"/>
      <c r="M973" s="67"/>
      <c r="N973" s="67"/>
      <c r="O973" s="67"/>
    </row>
    <row r="974" spans="1:15" ht="15">
      <c r="A974" s="91" t="s">
        <v>19</v>
      </c>
      <c r="B974" s="91" t="s">
        <v>88</v>
      </c>
      <c r="C974" s="92" t="str">
        <f ca="1">IFERROR(__xludf.DUMMYFUNCTION("filter('Back End'!C:C,'Back End'!A:A=A974,'Back End'!B:B=B974,'Back End'!D:D=D974)"),"K. Nayakampalle")</f>
        <v>K. Nayakampalle</v>
      </c>
      <c r="D974" s="91" t="s">
        <v>99</v>
      </c>
      <c r="E974" s="91" t="s">
        <v>4514</v>
      </c>
      <c r="F974" s="67" t="s">
        <v>3138</v>
      </c>
      <c r="G974" s="67"/>
      <c r="H974" s="93" t="s">
        <v>4</v>
      </c>
      <c r="I974" s="92" t="s">
        <v>3125</v>
      </c>
      <c r="J974" s="92">
        <v>9494627878</v>
      </c>
      <c r="K974" s="67"/>
      <c r="L974" s="67"/>
      <c r="M974" s="67"/>
      <c r="N974" s="67"/>
      <c r="O974" s="67"/>
    </row>
    <row r="975" spans="1:15" ht="15">
      <c r="A975" s="91" t="s">
        <v>19</v>
      </c>
      <c r="B975" s="91" t="s">
        <v>88</v>
      </c>
      <c r="C975" s="92" t="str">
        <f ca="1">IFERROR(__xludf.DUMMYFUNCTION("filter('Back End'!C:C,'Back End'!A:A=A975,'Back End'!B:B=B975,'Back End'!D:D=D975)"),"K. Nayakampalle")</f>
        <v>K. Nayakampalle</v>
      </c>
      <c r="D975" s="91" t="s">
        <v>99</v>
      </c>
      <c r="E975" s="91" t="s">
        <v>4515</v>
      </c>
      <c r="F975" s="67" t="s">
        <v>3138</v>
      </c>
      <c r="G975" s="67"/>
      <c r="H975" s="93" t="s">
        <v>4</v>
      </c>
      <c r="I975" s="67"/>
      <c r="J975" s="92">
        <v>9948521610</v>
      </c>
      <c r="K975" s="67"/>
      <c r="L975" s="67"/>
      <c r="M975" s="67"/>
      <c r="N975" s="67"/>
      <c r="O975" s="67"/>
    </row>
    <row r="976" spans="1:15" ht="15">
      <c r="A976" s="91" t="s">
        <v>19</v>
      </c>
      <c r="B976" s="91" t="s">
        <v>88</v>
      </c>
      <c r="C976" s="92" t="str">
        <f ca="1">IFERROR(__xludf.DUMMYFUNCTION("filter('Back End'!C:C,'Back End'!A:A=A976,'Back End'!B:B=B976,'Back End'!D:D=D976)"),"K.Gopalapuram")</f>
        <v>K.Gopalapuram</v>
      </c>
      <c r="D976" s="91" t="s">
        <v>104</v>
      </c>
      <c r="E976" s="91" t="s">
        <v>4516</v>
      </c>
      <c r="F976" s="67" t="s">
        <v>3138</v>
      </c>
      <c r="G976" s="67"/>
      <c r="H976" s="93" t="s">
        <v>4</v>
      </c>
      <c r="I976" s="67"/>
      <c r="J976" s="92">
        <v>9550581774</v>
      </c>
      <c r="K976" s="67"/>
      <c r="L976" s="67"/>
      <c r="M976" s="67"/>
      <c r="N976" s="67"/>
      <c r="O976" s="67"/>
    </row>
    <row r="977" spans="1:15" ht="15">
      <c r="A977" s="91" t="s">
        <v>19</v>
      </c>
      <c r="B977" s="91" t="s">
        <v>88</v>
      </c>
      <c r="C977" s="92" t="str">
        <f ca="1">IFERROR(__xludf.DUMMYFUNCTION("filter('Back End'!C:C,'Back End'!A:A=A977,'Back End'!B:B=B977,'Back End'!D:D=D977)"),"K.Gopalapuram")</f>
        <v>K.Gopalapuram</v>
      </c>
      <c r="D977" s="91" t="s">
        <v>104</v>
      </c>
      <c r="E977" s="91" t="s">
        <v>4517</v>
      </c>
      <c r="F977" s="67" t="s">
        <v>3138</v>
      </c>
      <c r="G977" s="67"/>
      <c r="H977" s="93" t="s">
        <v>4</v>
      </c>
      <c r="I977" s="92" t="s">
        <v>3125</v>
      </c>
      <c r="J977" s="92">
        <v>6301888733</v>
      </c>
      <c r="K977" s="67"/>
      <c r="L977" s="67"/>
      <c r="M977" s="67"/>
      <c r="N977" s="67"/>
      <c r="O977" s="67"/>
    </row>
    <row r="978" spans="1:15" ht="15">
      <c r="A978" s="91" t="s">
        <v>19</v>
      </c>
      <c r="B978" s="91" t="s">
        <v>88</v>
      </c>
      <c r="C978" s="92" t="str">
        <f ca="1">IFERROR(__xludf.DUMMYFUNCTION("filter('Back End'!C:C,'Back End'!A:A=A978,'Back End'!B:B=B978,'Back End'!D:D=D978)"),"K.Gopalapuram")</f>
        <v>K.Gopalapuram</v>
      </c>
      <c r="D978" s="91" t="s">
        <v>104</v>
      </c>
      <c r="E978" s="91" t="s">
        <v>4518</v>
      </c>
      <c r="F978" s="67" t="s">
        <v>3138</v>
      </c>
      <c r="G978" s="67"/>
      <c r="H978" s="93" t="s">
        <v>4</v>
      </c>
      <c r="I978" s="67"/>
      <c r="J978" s="92">
        <v>9666796499</v>
      </c>
      <c r="K978" s="67"/>
      <c r="L978" s="67"/>
      <c r="M978" s="67"/>
      <c r="N978" s="67"/>
      <c r="O978" s="67"/>
    </row>
    <row r="979" spans="1:15" ht="15">
      <c r="A979" s="91" t="s">
        <v>19</v>
      </c>
      <c r="B979" s="91" t="s">
        <v>88</v>
      </c>
      <c r="C979" s="92" t="str">
        <f ca="1">IFERROR(__xludf.DUMMYFUNCTION("filter('Back End'!C:C,'Back End'!A:A=A979,'Back End'!B:B=B979,'Back End'!D:D=D979)"),"K.Gopalapuram")</f>
        <v>K.Gopalapuram</v>
      </c>
      <c r="D979" s="91" t="s">
        <v>104</v>
      </c>
      <c r="E979" s="91" t="s">
        <v>4519</v>
      </c>
      <c r="F979" s="67" t="s">
        <v>3138</v>
      </c>
      <c r="G979" s="67"/>
      <c r="H979" s="93" t="s">
        <v>4</v>
      </c>
      <c r="I979" s="67"/>
      <c r="J979" s="92">
        <v>8885510070</v>
      </c>
      <c r="K979" s="67"/>
      <c r="L979" s="67"/>
      <c r="M979" s="67"/>
      <c r="N979" s="67"/>
      <c r="O979" s="67"/>
    </row>
    <row r="980" spans="1:15" ht="15">
      <c r="A980" s="91" t="s">
        <v>19</v>
      </c>
      <c r="B980" s="91" t="s">
        <v>88</v>
      </c>
      <c r="C980" s="92" t="str">
        <f ca="1">IFERROR(__xludf.DUMMYFUNCTION("filter('Back End'!C:C,'Back End'!A:A=A980,'Back End'!B:B=B980,'Back End'!D:D=D980)"),"K.Gopalapuram")</f>
        <v>K.Gopalapuram</v>
      </c>
      <c r="D980" s="91" t="s">
        <v>104</v>
      </c>
      <c r="E980" s="91" t="s">
        <v>4520</v>
      </c>
      <c r="F980" s="67" t="s">
        <v>3138</v>
      </c>
      <c r="G980" s="67"/>
      <c r="H980" s="93" t="s">
        <v>4</v>
      </c>
      <c r="I980" s="67"/>
      <c r="J980" s="92">
        <v>9666086758</v>
      </c>
      <c r="K980" s="67"/>
      <c r="L980" s="67"/>
      <c r="M980" s="67"/>
      <c r="N980" s="67"/>
      <c r="O980" s="67"/>
    </row>
    <row r="981" spans="1:15" ht="45">
      <c r="A981" s="91" t="s">
        <v>19</v>
      </c>
      <c r="B981" s="92" t="s">
        <v>88</v>
      </c>
      <c r="C981" s="92" t="str">
        <f ca="1">IFERROR(__xludf.DUMMYFUNCTION("filter('Back End'!C:C,'Back End'!A:A=A981,'Back End'!B:B=B981,'Back End'!D:D=D981)"),"Mallepalli")</f>
        <v>Mallepalli</v>
      </c>
      <c r="D981" s="91" t="s">
        <v>108</v>
      </c>
      <c r="E981" s="92" t="s">
        <v>4521</v>
      </c>
      <c r="F981" s="91" t="s">
        <v>103</v>
      </c>
      <c r="G981" s="91" t="s">
        <v>4522</v>
      </c>
      <c r="H981" s="93" t="s">
        <v>4</v>
      </c>
      <c r="I981" s="92" t="s">
        <v>3602</v>
      </c>
      <c r="J981" s="92" t="s">
        <v>2631</v>
      </c>
      <c r="K981" s="67"/>
      <c r="L981" s="67"/>
      <c r="M981" s="67"/>
      <c r="N981" s="67"/>
      <c r="O981" s="67"/>
    </row>
    <row r="982" spans="1:15" ht="30">
      <c r="A982" s="91" t="s">
        <v>19</v>
      </c>
      <c r="B982" s="92" t="s">
        <v>88</v>
      </c>
      <c r="C982" s="92" t="str">
        <f ca="1">IFERROR(__xludf.DUMMYFUNCTION("filter('Back End'!C:C,'Back End'!A:A=A982,'Back End'!B:B=B982,'Back End'!D:D=D982)"),"Mallepalli")</f>
        <v>Mallepalli</v>
      </c>
      <c r="D982" s="91" t="s">
        <v>108</v>
      </c>
      <c r="E982" s="92" t="s">
        <v>4523</v>
      </c>
      <c r="F982" s="91" t="s">
        <v>139</v>
      </c>
      <c r="G982" s="91" t="s">
        <v>594</v>
      </c>
      <c r="H982" s="93" t="s">
        <v>5</v>
      </c>
      <c r="I982" s="92" t="s">
        <v>4524</v>
      </c>
      <c r="J982" s="92">
        <v>9989526796</v>
      </c>
      <c r="K982" s="67"/>
      <c r="L982" s="67"/>
      <c r="M982" s="67"/>
      <c r="N982" s="67"/>
      <c r="O982" s="67"/>
    </row>
    <row r="983" spans="1:15" ht="30">
      <c r="A983" s="91" t="s">
        <v>19</v>
      </c>
      <c r="B983" s="92" t="s">
        <v>88</v>
      </c>
      <c r="C983" s="92" t="str">
        <f ca="1">IFERROR(__xludf.DUMMYFUNCTION("filter('Back End'!C:C,'Back End'!A:A=A983,'Back End'!B:B=B983,'Back End'!D:D=D983)"),"Mallepalli")</f>
        <v>Mallepalli</v>
      </c>
      <c r="D983" s="91" t="s">
        <v>108</v>
      </c>
      <c r="E983" s="92" t="s">
        <v>4525</v>
      </c>
      <c r="F983" s="91" t="s">
        <v>94</v>
      </c>
      <c r="G983" s="91" t="s">
        <v>615</v>
      </c>
      <c r="H983" s="93" t="s">
        <v>5</v>
      </c>
      <c r="I983" s="92" t="s">
        <v>4526</v>
      </c>
      <c r="J983" s="92">
        <v>9030095772</v>
      </c>
      <c r="K983" s="67"/>
      <c r="L983" s="67"/>
      <c r="M983" s="67"/>
      <c r="N983" s="67"/>
      <c r="O983" s="67"/>
    </row>
    <row r="984" spans="1:15" ht="60">
      <c r="A984" s="91" t="s">
        <v>19</v>
      </c>
      <c r="B984" s="92" t="s">
        <v>88</v>
      </c>
      <c r="C984" s="92" t="str">
        <f ca="1">IFERROR(__xludf.DUMMYFUNCTION("filter('Back End'!C:C,'Back End'!A:A=A984,'Back End'!B:B=B984,'Back End'!D:D=D984)"),"Mallepalli")</f>
        <v>Mallepalli</v>
      </c>
      <c r="D984" s="91" t="s">
        <v>108</v>
      </c>
      <c r="E984" s="92" t="s">
        <v>4527</v>
      </c>
      <c r="F984" s="91" t="s">
        <v>1669</v>
      </c>
      <c r="G984" s="91" t="s">
        <v>615</v>
      </c>
      <c r="H984" s="93" t="s">
        <v>4</v>
      </c>
      <c r="I984" s="92" t="s">
        <v>4528</v>
      </c>
      <c r="J984" s="92">
        <v>9849341986</v>
      </c>
      <c r="K984" s="67"/>
      <c r="L984" s="67"/>
      <c r="M984" s="67"/>
      <c r="N984" s="67"/>
      <c r="O984" s="67"/>
    </row>
    <row r="985" spans="1:15" ht="30">
      <c r="A985" s="91" t="s">
        <v>19</v>
      </c>
      <c r="B985" s="92" t="s">
        <v>88</v>
      </c>
      <c r="C985" s="92" t="str">
        <f ca="1">IFERROR(__xludf.DUMMYFUNCTION("filter('Back End'!C:C,'Back End'!A:A=A985,'Back End'!B:B=B985,'Back End'!D:D=D985)"),"Mallepalli")</f>
        <v>Mallepalli</v>
      </c>
      <c r="D985" s="91" t="s">
        <v>108</v>
      </c>
      <c r="E985" s="92" t="s">
        <v>4529</v>
      </c>
      <c r="F985" s="91" t="s">
        <v>139</v>
      </c>
      <c r="G985" s="91" t="s">
        <v>594</v>
      </c>
      <c r="H985" s="93" t="s">
        <v>5</v>
      </c>
      <c r="I985" s="92" t="s">
        <v>3112</v>
      </c>
      <c r="J985" s="92">
        <v>9949758666</v>
      </c>
      <c r="K985" s="67"/>
      <c r="L985" s="67"/>
      <c r="M985" s="67"/>
      <c r="N985" s="67"/>
      <c r="O985" s="67"/>
    </row>
    <row r="986" spans="1:15" ht="30">
      <c r="A986" s="91" t="s">
        <v>19</v>
      </c>
      <c r="B986" s="91" t="s">
        <v>88</v>
      </c>
      <c r="C986" s="92" t="str">
        <f ca="1">IFERROR(__xludf.DUMMYFUNCTION("filter('Back End'!C:C,'Back End'!A:A=A986,'Back End'!B:B=B986,'Back End'!D:D=D986)"),"Mallepalli")</f>
        <v>Mallepalli</v>
      </c>
      <c r="D986" s="91" t="s">
        <v>108</v>
      </c>
      <c r="E986" s="91" t="s">
        <v>4530</v>
      </c>
      <c r="F986" s="91" t="s">
        <v>213</v>
      </c>
      <c r="G986" s="91" t="s">
        <v>615</v>
      </c>
      <c r="H986" s="93" t="s">
        <v>5</v>
      </c>
      <c r="I986" s="92" t="s">
        <v>4531</v>
      </c>
      <c r="J986" s="92">
        <v>9492383625</v>
      </c>
      <c r="K986" s="67"/>
      <c r="L986" s="67"/>
      <c r="M986" s="67"/>
      <c r="N986" s="67"/>
      <c r="O986" s="67"/>
    </row>
    <row r="987" spans="1:15" ht="30">
      <c r="A987" s="91" t="s">
        <v>19</v>
      </c>
      <c r="B987" s="91" t="s">
        <v>88</v>
      </c>
      <c r="C987" s="92" t="str">
        <f ca="1">IFERROR(__xludf.DUMMYFUNCTION("filter('Back End'!C:C,'Back End'!A:A=A987,'Back End'!B:B=B987,'Back End'!D:D=D987)"),"Mallepalli")</f>
        <v>Mallepalli</v>
      </c>
      <c r="D987" s="91" t="s">
        <v>108</v>
      </c>
      <c r="E987" s="91" t="s">
        <v>4532</v>
      </c>
      <c r="F987" s="91" t="s">
        <v>139</v>
      </c>
      <c r="G987" s="91" t="s">
        <v>594</v>
      </c>
      <c r="H987" s="93" t="s">
        <v>4</v>
      </c>
      <c r="I987" s="92" t="s">
        <v>3591</v>
      </c>
      <c r="J987" s="92">
        <v>9515987451</v>
      </c>
      <c r="K987" s="67"/>
      <c r="L987" s="67"/>
      <c r="M987" s="67"/>
      <c r="N987" s="67"/>
      <c r="O987" s="67"/>
    </row>
    <row r="988" spans="1:15" ht="30">
      <c r="A988" s="91" t="s">
        <v>19</v>
      </c>
      <c r="B988" s="91" t="s">
        <v>88</v>
      </c>
      <c r="C988" s="92" t="str">
        <f ca="1">IFERROR(__xludf.DUMMYFUNCTION("filter('Back End'!C:C,'Back End'!A:A=A988,'Back End'!B:B=B988,'Back End'!D:D=D988)"),"Mallepalli")</f>
        <v>Mallepalli</v>
      </c>
      <c r="D988" s="91" t="s">
        <v>108</v>
      </c>
      <c r="E988" s="91" t="s">
        <v>4533</v>
      </c>
      <c r="F988" s="91" t="s">
        <v>139</v>
      </c>
      <c r="G988" s="91" t="s">
        <v>594</v>
      </c>
      <c r="H988" s="93" t="s">
        <v>5</v>
      </c>
      <c r="I988" s="92" t="s">
        <v>3863</v>
      </c>
      <c r="J988" s="92">
        <v>9505759311</v>
      </c>
      <c r="K988" s="67"/>
      <c r="L988" s="67"/>
      <c r="M988" s="67"/>
      <c r="N988" s="67"/>
      <c r="O988" s="67"/>
    </row>
    <row r="989" spans="1:15" ht="30">
      <c r="A989" s="91" t="s">
        <v>19</v>
      </c>
      <c r="B989" s="91" t="s">
        <v>88</v>
      </c>
      <c r="C989" s="92" t="str">
        <f ca="1">IFERROR(__xludf.DUMMYFUNCTION("filter('Back End'!C:C,'Back End'!A:A=A989,'Back End'!B:B=B989,'Back End'!D:D=D989)"),"Mallepalli")</f>
        <v>Mallepalli</v>
      </c>
      <c r="D989" s="91" t="s">
        <v>108</v>
      </c>
      <c r="E989" s="91" t="s">
        <v>4534</v>
      </c>
      <c r="F989" s="91" t="s">
        <v>103</v>
      </c>
      <c r="G989" s="91" t="s">
        <v>594</v>
      </c>
      <c r="H989" s="93" t="s">
        <v>4</v>
      </c>
      <c r="I989" s="92" t="s">
        <v>3463</v>
      </c>
      <c r="J989" s="92">
        <v>9399917646</v>
      </c>
      <c r="K989" s="67"/>
      <c r="L989" s="67"/>
      <c r="M989" s="67"/>
      <c r="N989" s="67"/>
      <c r="O989" s="67"/>
    </row>
    <row r="990" spans="1:15" ht="30">
      <c r="A990" s="91" t="s">
        <v>19</v>
      </c>
      <c r="B990" s="91" t="s">
        <v>88</v>
      </c>
      <c r="C990" s="92" t="str">
        <f ca="1">IFERROR(__xludf.DUMMYFUNCTION("filter('Back End'!C:C,'Back End'!A:A=A990,'Back End'!B:B=B990,'Back End'!D:D=D990)"),"Mallepalli")</f>
        <v>Mallepalli</v>
      </c>
      <c r="D990" s="91" t="s">
        <v>108</v>
      </c>
      <c r="E990" s="91" t="s">
        <v>4535</v>
      </c>
      <c r="F990" s="91" t="s">
        <v>139</v>
      </c>
      <c r="G990" s="91" t="s">
        <v>594</v>
      </c>
      <c r="H990" s="93" t="s">
        <v>5</v>
      </c>
      <c r="I990" s="92" t="s">
        <v>3463</v>
      </c>
      <c r="J990" s="92">
        <v>9505113445</v>
      </c>
      <c r="K990" s="67"/>
      <c r="L990" s="67"/>
      <c r="M990" s="67"/>
      <c r="N990" s="67"/>
      <c r="O990" s="67"/>
    </row>
    <row r="991" spans="1:15" ht="30">
      <c r="A991" s="91" t="s">
        <v>19</v>
      </c>
      <c r="B991" s="91" t="s">
        <v>88</v>
      </c>
      <c r="C991" s="92" t="str">
        <f ca="1">IFERROR(__xludf.DUMMYFUNCTION("filter('Back End'!C:C,'Back End'!A:A=A991,'Back End'!B:B=B991,'Back End'!D:D=D991)"),"Mallepalli")</f>
        <v>Mallepalli</v>
      </c>
      <c r="D991" s="91" t="s">
        <v>108</v>
      </c>
      <c r="E991" s="91" t="s">
        <v>4536</v>
      </c>
      <c r="F991" s="91" t="s">
        <v>94</v>
      </c>
      <c r="G991" s="91" t="s">
        <v>615</v>
      </c>
      <c r="H991" s="93" t="s">
        <v>4</v>
      </c>
      <c r="I991" s="92" t="s">
        <v>3463</v>
      </c>
      <c r="J991" s="92">
        <v>7022011455</v>
      </c>
      <c r="K991" s="67"/>
      <c r="L991" s="67"/>
      <c r="M991" s="67"/>
      <c r="N991" s="67"/>
      <c r="O991" s="67"/>
    </row>
    <row r="992" spans="1:15" ht="30">
      <c r="A992" s="91" t="s">
        <v>19</v>
      </c>
      <c r="B992" s="91" t="s">
        <v>88</v>
      </c>
      <c r="C992" s="92" t="str">
        <f ca="1">IFERROR(__xludf.DUMMYFUNCTION("filter('Back End'!C:C,'Back End'!A:A=A992,'Back End'!B:B=B992,'Back End'!D:D=D992)"),"Mallepalli")</f>
        <v>Mallepalli</v>
      </c>
      <c r="D992" s="91" t="s">
        <v>108</v>
      </c>
      <c r="E992" s="91" t="s">
        <v>4537</v>
      </c>
      <c r="F992" s="91" t="s">
        <v>139</v>
      </c>
      <c r="G992" s="91" t="s">
        <v>594</v>
      </c>
      <c r="H992" s="93" t="s">
        <v>4</v>
      </c>
      <c r="I992" s="92" t="s">
        <v>4538</v>
      </c>
      <c r="J992" s="92">
        <v>9133797379</v>
      </c>
      <c r="K992" s="67"/>
      <c r="L992" s="67"/>
      <c r="M992" s="67"/>
      <c r="N992" s="67"/>
      <c r="O992" s="67"/>
    </row>
    <row r="993" spans="1:15" ht="30">
      <c r="A993" s="91" t="s">
        <v>19</v>
      </c>
      <c r="B993" s="91" t="s">
        <v>88</v>
      </c>
      <c r="C993" s="92" t="str">
        <f ca="1">IFERROR(__xludf.DUMMYFUNCTION("filter('Back End'!C:C,'Back End'!A:A=A993,'Back End'!B:B=B993,'Back End'!D:D=D993)"),"Mallepalli")</f>
        <v>Mallepalli</v>
      </c>
      <c r="D993" s="91" t="s">
        <v>108</v>
      </c>
      <c r="E993" s="91" t="s">
        <v>4539</v>
      </c>
      <c r="F993" s="91" t="s">
        <v>1669</v>
      </c>
      <c r="G993" s="91" t="s">
        <v>615</v>
      </c>
      <c r="H993" s="93" t="s">
        <v>4</v>
      </c>
      <c r="I993" s="92" t="s">
        <v>4540</v>
      </c>
      <c r="J993" s="92">
        <v>8367672029</v>
      </c>
      <c r="K993" s="67"/>
      <c r="L993" s="67"/>
      <c r="M993" s="67"/>
      <c r="N993" s="67"/>
      <c r="O993" s="67"/>
    </row>
    <row r="994" spans="1:15" ht="30">
      <c r="A994" s="91" t="s">
        <v>19</v>
      </c>
      <c r="B994" s="91" t="s">
        <v>88</v>
      </c>
      <c r="C994" s="92" t="str">
        <f ca="1">IFERROR(__xludf.DUMMYFUNCTION("filter('Back End'!C:C,'Back End'!A:A=A994,'Back End'!B:B=B994,'Back End'!D:D=D994)"),"Mallepalli")</f>
        <v>Mallepalli</v>
      </c>
      <c r="D994" s="91" t="s">
        <v>108</v>
      </c>
      <c r="E994" s="91" t="s">
        <v>4541</v>
      </c>
      <c r="F994" s="91" t="s">
        <v>213</v>
      </c>
      <c r="G994" s="91" t="s">
        <v>615</v>
      </c>
      <c r="H994" s="93" t="s">
        <v>4</v>
      </c>
      <c r="I994" s="92" t="s">
        <v>4538</v>
      </c>
      <c r="J994" s="92">
        <v>7660023252</v>
      </c>
      <c r="K994" s="67"/>
      <c r="L994" s="67"/>
      <c r="M994" s="67"/>
      <c r="N994" s="67"/>
      <c r="O994" s="67"/>
    </row>
    <row r="995" spans="1:15" ht="30">
      <c r="A995" s="91" t="s">
        <v>19</v>
      </c>
      <c r="B995" s="91" t="s">
        <v>88</v>
      </c>
      <c r="C995" s="92" t="str">
        <f ca="1">IFERROR(__xludf.DUMMYFUNCTION("filter('Back End'!C:C,'Back End'!A:A=A995,'Back End'!B:B=B995,'Back End'!D:D=D995)"),"Mallepalli")</f>
        <v>Mallepalli</v>
      </c>
      <c r="D995" s="91" t="s">
        <v>108</v>
      </c>
      <c r="E995" s="91" t="s">
        <v>4542</v>
      </c>
      <c r="F995" s="91" t="s">
        <v>213</v>
      </c>
      <c r="G995" s="91" t="s">
        <v>615</v>
      </c>
      <c r="H995" s="93" t="s">
        <v>4</v>
      </c>
      <c r="I995" s="92" t="s">
        <v>3591</v>
      </c>
      <c r="J995" s="92">
        <v>8897009691</v>
      </c>
      <c r="K995" s="67"/>
      <c r="L995" s="67"/>
      <c r="M995" s="67"/>
      <c r="N995" s="67"/>
      <c r="O995" s="67"/>
    </row>
    <row r="996" spans="1:15" ht="30">
      <c r="A996" s="91" t="s">
        <v>19</v>
      </c>
      <c r="B996" s="91" t="s">
        <v>88</v>
      </c>
      <c r="C996" s="92" t="str">
        <f ca="1">IFERROR(__xludf.DUMMYFUNCTION("filter('Back End'!C:C,'Back End'!A:A=A996,'Back End'!B:B=B996,'Back End'!D:D=D996)"),"Mallepalli")</f>
        <v>Mallepalli</v>
      </c>
      <c r="D996" s="91" t="s">
        <v>108</v>
      </c>
      <c r="E996" s="91" t="s">
        <v>4543</v>
      </c>
      <c r="F996" s="91" t="s">
        <v>213</v>
      </c>
      <c r="G996" s="91" t="s">
        <v>615</v>
      </c>
      <c r="H996" s="93" t="s">
        <v>4</v>
      </c>
      <c r="I996" s="92" t="s">
        <v>3463</v>
      </c>
      <c r="J996" s="92">
        <v>9948443465</v>
      </c>
      <c r="K996" s="67"/>
      <c r="L996" s="67"/>
      <c r="M996" s="67"/>
      <c r="N996" s="67"/>
      <c r="O996" s="67"/>
    </row>
    <row r="997" spans="1:15" ht="30">
      <c r="A997" s="91" t="s">
        <v>19</v>
      </c>
      <c r="B997" s="91" t="s">
        <v>88</v>
      </c>
      <c r="C997" s="92" t="str">
        <f ca="1">IFERROR(__xludf.DUMMYFUNCTION("filter('Back End'!C:C,'Back End'!A:A=A997,'Back End'!B:B=B997,'Back End'!D:D=D997)"),"Mallepalli")</f>
        <v>Mallepalli</v>
      </c>
      <c r="D997" s="91" t="s">
        <v>108</v>
      </c>
      <c r="E997" s="91" t="s">
        <v>4544</v>
      </c>
      <c r="F997" s="91" t="s">
        <v>139</v>
      </c>
      <c r="G997" s="91" t="s">
        <v>594</v>
      </c>
      <c r="H997" s="93" t="s">
        <v>4</v>
      </c>
      <c r="I997" s="92" t="s">
        <v>3863</v>
      </c>
      <c r="J997" s="92">
        <v>9705340757</v>
      </c>
      <c r="K997" s="67"/>
      <c r="L997" s="67"/>
      <c r="M997" s="67"/>
      <c r="N997" s="67"/>
      <c r="O997" s="67"/>
    </row>
    <row r="998" spans="1:15" ht="15">
      <c r="A998" s="91" t="s">
        <v>19</v>
      </c>
      <c r="B998" s="91" t="s">
        <v>88</v>
      </c>
      <c r="C998" s="92" t="str">
        <f ca="1">IFERROR(__xludf.DUMMYFUNCTION("filter('Back End'!C:C,'Back End'!A:A=A998,'Back End'!B:B=B998,'Back End'!D:D=D998)"),"Murari")</f>
        <v>Murari</v>
      </c>
      <c r="D998" s="91" t="s">
        <v>111</v>
      </c>
      <c r="E998" s="91" t="s">
        <v>4545</v>
      </c>
      <c r="F998" s="91" t="s">
        <v>103</v>
      </c>
      <c r="G998" s="91" t="s">
        <v>594</v>
      </c>
      <c r="H998" s="93" t="s">
        <v>5</v>
      </c>
      <c r="I998" s="67"/>
      <c r="J998" s="92">
        <v>9052135213</v>
      </c>
      <c r="K998" s="67"/>
      <c r="L998" s="67"/>
      <c r="M998" s="67"/>
      <c r="N998" s="67"/>
      <c r="O998" s="67"/>
    </row>
    <row r="999" spans="1:15" ht="15">
      <c r="A999" s="91" t="s">
        <v>19</v>
      </c>
      <c r="B999" s="91" t="s">
        <v>88</v>
      </c>
      <c r="C999" s="92" t="str">
        <f ca="1">IFERROR(__xludf.DUMMYFUNCTION("filter('Back End'!C:C,'Back End'!A:A=A999,'Back End'!B:B=B999,'Back End'!D:D=D999)"),"Murari")</f>
        <v>Murari</v>
      </c>
      <c r="D999" s="91" t="s">
        <v>111</v>
      </c>
      <c r="E999" s="91" t="s">
        <v>4546</v>
      </c>
      <c r="F999" s="67" t="s">
        <v>3138</v>
      </c>
      <c r="G999" s="67"/>
      <c r="H999" s="93" t="s">
        <v>4</v>
      </c>
      <c r="I999" s="67"/>
      <c r="J999" s="92">
        <v>9494551048</v>
      </c>
      <c r="K999" s="67"/>
      <c r="L999" s="67"/>
      <c r="M999" s="67"/>
      <c r="N999" s="67"/>
      <c r="O999" s="67"/>
    </row>
    <row r="1000" spans="1:15" ht="15">
      <c r="A1000" s="91" t="s">
        <v>19</v>
      </c>
      <c r="B1000" s="91" t="s">
        <v>88</v>
      </c>
      <c r="C1000" s="92" t="str">
        <f ca="1">IFERROR(__xludf.DUMMYFUNCTION("filter('Back End'!C:C,'Back End'!A:A=A1000,'Back End'!B:B=B1000,'Back End'!D:D=D1000)"),"Murari")</f>
        <v>Murari</v>
      </c>
      <c r="D1000" s="91" t="s">
        <v>111</v>
      </c>
      <c r="E1000" s="91" t="s">
        <v>4547</v>
      </c>
      <c r="F1000" s="91" t="s">
        <v>467</v>
      </c>
      <c r="G1000" s="91" t="s">
        <v>85</v>
      </c>
      <c r="H1000" s="93" t="s">
        <v>5</v>
      </c>
      <c r="I1000" s="67"/>
      <c r="J1000" s="92">
        <v>8187032486</v>
      </c>
      <c r="K1000" s="67"/>
      <c r="L1000" s="67"/>
      <c r="M1000" s="67"/>
      <c r="N1000" s="67"/>
      <c r="O1000" s="67"/>
    </row>
    <row r="1001" spans="1:15" ht="15">
      <c r="A1001" s="91" t="s">
        <v>19</v>
      </c>
      <c r="B1001" s="91" t="s">
        <v>88</v>
      </c>
      <c r="C1001" s="92" t="str">
        <f ca="1">IFERROR(__xludf.DUMMYFUNCTION("filter('Back End'!C:C,'Back End'!A:A=A1001,'Back End'!B:B=B1001,'Back End'!D:D=D1001)"),"Murari")</f>
        <v>Murari</v>
      </c>
      <c r="D1001" s="91" t="s">
        <v>111</v>
      </c>
      <c r="E1001" s="91" t="s">
        <v>4548</v>
      </c>
      <c r="F1001" s="67" t="s">
        <v>3138</v>
      </c>
      <c r="G1001" s="67"/>
      <c r="H1001" s="93" t="s">
        <v>4</v>
      </c>
      <c r="I1001" s="67"/>
      <c r="J1001" s="92">
        <v>9866383724</v>
      </c>
      <c r="K1001" s="67"/>
      <c r="L1001" s="67"/>
      <c r="M1001" s="67"/>
      <c r="N1001" s="67"/>
      <c r="O1001" s="67"/>
    </row>
    <row r="1002" spans="1:15" ht="15">
      <c r="A1002" s="91" t="s">
        <v>19</v>
      </c>
      <c r="B1002" s="91" t="s">
        <v>88</v>
      </c>
      <c r="C1002" s="92" t="str">
        <f ca="1">IFERROR(__xludf.DUMMYFUNCTION("filter('Back End'!C:C,'Back End'!A:A=A1002,'Back End'!B:B=B1002,'Back End'!D:D=D1002)"),"Murari")</f>
        <v>Murari</v>
      </c>
      <c r="D1002" s="91" t="s">
        <v>111</v>
      </c>
      <c r="E1002" s="91" t="s">
        <v>4549</v>
      </c>
      <c r="F1002" s="67" t="s">
        <v>3138</v>
      </c>
      <c r="G1002" s="67"/>
      <c r="H1002" s="93" t="s">
        <v>4</v>
      </c>
      <c r="I1002" s="67"/>
      <c r="J1002" s="92">
        <v>9959629579</v>
      </c>
      <c r="K1002" s="67"/>
      <c r="L1002" s="67"/>
      <c r="M1002" s="67"/>
      <c r="N1002" s="67"/>
      <c r="O1002" s="67"/>
    </row>
    <row r="1003" spans="1:15" ht="15">
      <c r="A1003" s="91" t="s">
        <v>19</v>
      </c>
      <c r="B1003" s="91" t="s">
        <v>88</v>
      </c>
      <c r="C1003" s="92" t="str">
        <f ca="1">IFERROR(__xludf.DUMMYFUNCTION("filter('Back End'!C:C,'Back End'!A:A=A1003,'Back End'!B:B=B1003,'Back End'!D:D=D1003)"),"Murari")</f>
        <v>Murari</v>
      </c>
      <c r="D1003" s="91" t="s">
        <v>111</v>
      </c>
      <c r="E1003" s="91" t="s">
        <v>4550</v>
      </c>
      <c r="F1003" s="91" t="s">
        <v>165</v>
      </c>
      <c r="G1003" s="91" t="s">
        <v>615</v>
      </c>
      <c r="H1003" s="93" t="s">
        <v>5</v>
      </c>
      <c r="I1003" s="67"/>
      <c r="J1003" s="92">
        <v>9676842258</v>
      </c>
      <c r="K1003" s="67"/>
      <c r="L1003" s="67"/>
      <c r="M1003" s="67"/>
      <c r="N1003" s="67"/>
      <c r="O1003" s="67"/>
    </row>
    <row r="1004" spans="1:15" ht="15">
      <c r="A1004" s="91" t="s">
        <v>19</v>
      </c>
      <c r="B1004" s="91" t="s">
        <v>88</v>
      </c>
      <c r="C1004" s="92" t="str">
        <f ca="1">IFERROR(__xludf.DUMMYFUNCTION("filter('Back End'!C:C,'Back End'!A:A=A1004,'Back End'!B:B=B1004,'Back End'!D:D=D1004)"),"Murari")</f>
        <v>Murari</v>
      </c>
      <c r="D1004" s="91" t="s">
        <v>111</v>
      </c>
      <c r="E1004" s="91" t="s">
        <v>4551</v>
      </c>
      <c r="F1004" s="67" t="s">
        <v>3138</v>
      </c>
      <c r="G1004" s="67"/>
      <c r="H1004" s="93" t="s">
        <v>4</v>
      </c>
      <c r="I1004" s="92" t="s">
        <v>3125</v>
      </c>
      <c r="J1004" s="92">
        <v>9348113339</v>
      </c>
      <c r="K1004" s="67"/>
      <c r="L1004" s="67"/>
      <c r="M1004" s="67"/>
      <c r="N1004" s="67"/>
      <c r="O1004" s="67"/>
    </row>
    <row r="1005" spans="1:15" ht="15">
      <c r="A1005" s="91" t="s">
        <v>19</v>
      </c>
      <c r="B1005" s="91" t="s">
        <v>88</v>
      </c>
      <c r="C1005" s="92" t="str">
        <f ca="1">IFERROR(__xludf.DUMMYFUNCTION("filter('Back End'!C:C,'Back End'!A:A=A1005,'Back End'!B:B=B1005,'Back End'!D:D=D1005)"),"Murari")</f>
        <v>Murari</v>
      </c>
      <c r="D1005" s="91" t="s">
        <v>111</v>
      </c>
      <c r="E1005" s="91" t="s">
        <v>4552</v>
      </c>
      <c r="F1005" s="91" t="s">
        <v>114</v>
      </c>
      <c r="G1005" s="91" t="s">
        <v>85</v>
      </c>
      <c r="H1005" s="93" t="s">
        <v>5</v>
      </c>
      <c r="I1005" s="67"/>
      <c r="J1005" s="92">
        <v>7095155536</v>
      </c>
      <c r="K1005" s="67"/>
      <c r="L1005" s="67"/>
      <c r="M1005" s="67"/>
      <c r="N1005" s="67"/>
      <c r="O1005" s="67"/>
    </row>
    <row r="1006" spans="1:15" ht="30">
      <c r="A1006" s="91" t="s">
        <v>19</v>
      </c>
      <c r="B1006" s="91" t="s">
        <v>88</v>
      </c>
      <c r="C1006" s="92" t="str">
        <f ca="1">IFERROR(__xludf.DUMMYFUNCTION("filter('Back End'!C:C,'Back End'!A:A=A1006,'Back End'!B:B=B1006,'Back End'!D:D=D1006)"),"Murari")</f>
        <v>Murari</v>
      </c>
      <c r="D1006" s="91" t="s">
        <v>111</v>
      </c>
      <c r="E1006" s="91" t="s">
        <v>4553</v>
      </c>
      <c r="F1006" s="91" t="s">
        <v>368</v>
      </c>
      <c r="G1006" s="91" t="s">
        <v>594</v>
      </c>
      <c r="H1006" s="93" t="s">
        <v>5</v>
      </c>
      <c r="I1006" s="92" t="s">
        <v>3205</v>
      </c>
      <c r="J1006" s="92">
        <v>9951614444</v>
      </c>
      <c r="K1006" s="67"/>
      <c r="L1006" s="67"/>
      <c r="M1006" s="67"/>
      <c r="N1006" s="67"/>
      <c r="O1006" s="67"/>
    </row>
    <row r="1007" spans="1:15" ht="15">
      <c r="A1007" s="91" t="s">
        <v>19</v>
      </c>
      <c r="B1007" s="91" t="s">
        <v>88</v>
      </c>
      <c r="C1007" s="92" t="str">
        <f ca="1">IFERROR(__xludf.DUMMYFUNCTION("filter('Back End'!C:C,'Back End'!A:A=A1007,'Back End'!B:B=B1007,'Back End'!D:D=D1007)"),"Murari")</f>
        <v>Murari</v>
      </c>
      <c r="D1007" s="91" t="s">
        <v>111</v>
      </c>
      <c r="E1007" s="91" t="s">
        <v>4554</v>
      </c>
      <c r="F1007" s="91" t="s">
        <v>368</v>
      </c>
      <c r="G1007" s="91" t="s">
        <v>594</v>
      </c>
      <c r="H1007" s="93" t="s">
        <v>5</v>
      </c>
      <c r="I1007" s="92" t="s">
        <v>3515</v>
      </c>
      <c r="J1007" s="92">
        <v>9849371723</v>
      </c>
      <c r="K1007" s="67"/>
      <c r="L1007" s="67"/>
      <c r="M1007" s="67"/>
      <c r="N1007" s="67"/>
      <c r="O1007" s="67"/>
    </row>
    <row r="1008" spans="1:15" ht="30">
      <c r="A1008" s="91" t="s">
        <v>19</v>
      </c>
      <c r="B1008" s="91" t="s">
        <v>88</v>
      </c>
      <c r="C1008" s="92" t="str">
        <f ca="1">IFERROR(__xludf.DUMMYFUNCTION("filter('Back End'!C:C,'Back End'!A:A=A1008,'Back End'!B:B=B1008,'Back End'!D:D=D1008)"),"Murari")</f>
        <v>Murari</v>
      </c>
      <c r="D1008" s="91" t="s">
        <v>111</v>
      </c>
      <c r="E1008" s="91" t="s">
        <v>4555</v>
      </c>
      <c r="F1008" s="91" t="s">
        <v>368</v>
      </c>
      <c r="G1008" s="91" t="s">
        <v>594</v>
      </c>
      <c r="H1008" s="93" t="s">
        <v>4</v>
      </c>
      <c r="I1008" s="92" t="s">
        <v>3162</v>
      </c>
      <c r="J1008" s="92">
        <v>9348113339</v>
      </c>
      <c r="K1008" s="67"/>
      <c r="L1008" s="67"/>
      <c r="M1008" s="67"/>
      <c r="N1008" s="67"/>
      <c r="O1008" s="67"/>
    </row>
    <row r="1009" spans="1:15" ht="15">
      <c r="A1009" s="91" t="s">
        <v>19</v>
      </c>
      <c r="B1009" s="91" t="s">
        <v>88</v>
      </c>
      <c r="C1009" s="92" t="str">
        <f ca="1">IFERROR(__xludf.DUMMYFUNCTION("filter('Back End'!C:C,'Back End'!A:A=A1009,'Back End'!B:B=B1009,'Back End'!D:D=D1009)"),"N.T.Rajapuram")</f>
        <v>N.T.Rajapuram</v>
      </c>
      <c r="D1009" s="91" t="s">
        <v>115</v>
      </c>
      <c r="E1009" s="91" t="s">
        <v>4556</v>
      </c>
      <c r="F1009" s="67" t="s">
        <v>3138</v>
      </c>
      <c r="G1009" s="67"/>
      <c r="H1009" s="93" t="s">
        <v>4</v>
      </c>
      <c r="I1009" s="67"/>
      <c r="J1009" s="92">
        <v>9676345845</v>
      </c>
      <c r="K1009" s="67"/>
      <c r="L1009" s="67"/>
      <c r="M1009" s="67"/>
      <c r="N1009" s="67"/>
      <c r="O1009" s="67"/>
    </row>
    <row r="1010" spans="1:15" ht="15">
      <c r="A1010" s="91" t="s">
        <v>19</v>
      </c>
      <c r="B1010" s="91" t="s">
        <v>88</v>
      </c>
      <c r="C1010" s="92" t="str">
        <f ca="1">IFERROR(__xludf.DUMMYFUNCTION("filter('Back End'!C:C,'Back End'!A:A=A1010,'Back End'!B:B=B1010,'Back End'!D:D=D1010)"),"N.T.Rajapuram")</f>
        <v>N.T.Rajapuram</v>
      </c>
      <c r="D1010" s="91" t="s">
        <v>115</v>
      </c>
      <c r="E1010" s="91" t="s">
        <v>4557</v>
      </c>
      <c r="F1010" s="91" t="s">
        <v>103</v>
      </c>
      <c r="G1010" s="91" t="s">
        <v>594</v>
      </c>
      <c r="H1010" s="93" t="s">
        <v>5</v>
      </c>
      <c r="I1010" s="67"/>
      <c r="J1010" s="92">
        <v>9618098937</v>
      </c>
      <c r="K1010" s="67"/>
      <c r="L1010" s="67"/>
      <c r="M1010" s="67"/>
      <c r="N1010" s="67"/>
      <c r="O1010" s="67"/>
    </row>
    <row r="1011" spans="1:15" ht="15">
      <c r="A1011" s="91" t="s">
        <v>19</v>
      </c>
      <c r="B1011" s="91" t="s">
        <v>88</v>
      </c>
      <c r="C1011" s="92" t="str">
        <f ca="1">IFERROR(__xludf.DUMMYFUNCTION("filter('Back End'!C:C,'Back End'!A:A=A1011,'Back End'!B:B=B1011,'Back End'!D:D=D1011)"),"N.T.Rajapuram")</f>
        <v>N.T.Rajapuram</v>
      </c>
      <c r="D1011" s="91" t="s">
        <v>115</v>
      </c>
      <c r="E1011" s="91" t="s">
        <v>4558</v>
      </c>
      <c r="F1011" s="67" t="s">
        <v>3138</v>
      </c>
      <c r="G1011" s="67"/>
      <c r="H1011" s="93" t="s">
        <v>4</v>
      </c>
      <c r="I1011" s="92" t="s">
        <v>3125</v>
      </c>
      <c r="J1011" s="92">
        <v>6305095165</v>
      </c>
      <c r="K1011" s="67"/>
      <c r="L1011" s="67"/>
      <c r="M1011" s="67"/>
      <c r="N1011" s="67"/>
      <c r="O1011" s="67"/>
    </row>
    <row r="1012" spans="1:15" ht="15">
      <c r="A1012" s="91" t="s">
        <v>19</v>
      </c>
      <c r="B1012" s="91" t="s">
        <v>88</v>
      </c>
      <c r="C1012" s="92" t="str">
        <f ca="1">IFERROR(__xludf.DUMMYFUNCTION("filter('Back End'!C:C,'Back End'!A:A=A1012,'Back End'!B:B=B1012,'Back End'!D:D=D1012)"),"N.T.Rajapuram")</f>
        <v>N.T.Rajapuram</v>
      </c>
      <c r="D1012" s="91" t="s">
        <v>115</v>
      </c>
      <c r="E1012" s="91" t="s">
        <v>4559</v>
      </c>
      <c r="F1012" s="91" t="s">
        <v>1669</v>
      </c>
      <c r="G1012" s="91" t="s">
        <v>615</v>
      </c>
      <c r="H1012" s="93" t="s">
        <v>5</v>
      </c>
      <c r="I1012" s="67"/>
      <c r="J1012" s="92">
        <v>6300490392</v>
      </c>
      <c r="K1012" s="67"/>
      <c r="L1012" s="67"/>
      <c r="M1012" s="67"/>
      <c r="N1012" s="67"/>
      <c r="O1012" s="67"/>
    </row>
    <row r="1013" spans="1:15" ht="15">
      <c r="A1013" s="91" t="s">
        <v>19</v>
      </c>
      <c r="B1013" s="91" t="s">
        <v>88</v>
      </c>
      <c r="C1013" s="92" t="str">
        <f ca="1">IFERROR(__xludf.DUMMYFUNCTION("filter('Back End'!C:C,'Back End'!A:A=A1013,'Back End'!B:B=B1013,'Back End'!D:D=D1013)"),"N.T.Rajapuram")</f>
        <v>N.T.Rajapuram</v>
      </c>
      <c r="D1013" s="91" t="s">
        <v>115</v>
      </c>
      <c r="E1013" s="91" t="s">
        <v>4560</v>
      </c>
      <c r="F1013" s="67" t="s">
        <v>3138</v>
      </c>
      <c r="G1013" s="67"/>
      <c r="H1013" s="93" t="s">
        <v>4</v>
      </c>
      <c r="I1013" s="67"/>
      <c r="J1013" s="92">
        <v>9666436271</v>
      </c>
      <c r="K1013" s="67"/>
      <c r="L1013" s="67"/>
      <c r="M1013" s="67"/>
      <c r="N1013" s="67"/>
      <c r="O1013" s="67"/>
    </row>
    <row r="1014" spans="1:15" ht="15">
      <c r="A1014" s="91" t="s">
        <v>19</v>
      </c>
      <c r="B1014" s="91" t="s">
        <v>88</v>
      </c>
      <c r="C1014" s="92" t="str">
        <f ca="1">IFERROR(__xludf.DUMMYFUNCTION("filter('Back End'!C:C,'Back End'!A:A=A1014,'Back End'!B:B=B1014,'Back End'!D:D=D1014)"),"Neeladriraopeta")</f>
        <v>Neeladriraopeta</v>
      </c>
      <c r="D1014" s="91" t="s">
        <v>117</v>
      </c>
      <c r="E1014" s="91" t="s">
        <v>4561</v>
      </c>
      <c r="F1014" s="67" t="s">
        <v>3138</v>
      </c>
      <c r="G1014" s="67"/>
      <c r="H1014" s="93" t="s">
        <v>4</v>
      </c>
      <c r="I1014" s="67"/>
      <c r="J1014" s="92">
        <v>9912691367</v>
      </c>
      <c r="K1014" s="67"/>
      <c r="L1014" s="67"/>
      <c r="M1014" s="67"/>
      <c r="N1014" s="67"/>
      <c r="O1014" s="67"/>
    </row>
    <row r="1015" spans="1:15" ht="15">
      <c r="A1015" s="91" t="s">
        <v>19</v>
      </c>
      <c r="B1015" s="91" t="s">
        <v>88</v>
      </c>
      <c r="C1015" s="92" t="str">
        <f ca="1">IFERROR(__xludf.DUMMYFUNCTION("filter('Back End'!C:C,'Back End'!A:A=A1015,'Back End'!B:B=B1015,'Back End'!D:D=D1015)"),"Neeladriraopeta")</f>
        <v>Neeladriraopeta</v>
      </c>
      <c r="D1015" s="91" t="s">
        <v>117</v>
      </c>
      <c r="E1015" s="91" t="s">
        <v>4562</v>
      </c>
      <c r="F1015" s="67" t="s">
        <v>3138</v>
      </c>
      <c r="G1015" s="67"/>
      <c r="H1015" s="93" t="s">
        <v>4</v>
      </c>
      <c r="I1015" s="67"/>
      <c r="J1015" s="92">
        <v>9912464464</v>
      </c>
      <c r="K1015" s="67"/>
      <c r="L1015" s="67"/>
      <c r="M1015" s="67"/>
      <c r="N1015" s="67"/>
      <c r="O1015" s="67"/>
    </row>
    <row r="1016" spans="1:15" ht="15">
      <c r="A1016" s="91" t="s">
        <v>19</v>
      </c>
      <c r="B1016" s="91" t="s">
        <v>88</v>
      </c>
      <c r="C1016" s="92" t="str">
        <f ca="1">IFERROR(__xludf.DUMMYFUNCTION("filter('Back End'!C:C,'Back End'!A:A=A1016,'Back End'!B:B=B1016,'Back End'!D:D=D1016)"),"Neeladriraopeta")</f>
        <v>Neeladriraopeta</v>
      </c>
      <c r="D1016" s="91" t="s">
        <v>117</v>
      </c>
      <c r="E1016" s="91" t="s">
        <v>4563</v>
      </c>
      <c r="F1016" s="67" t="s">
        <v>3138</v>
      </c>
      <c r="G1016" s="67"/>
      <c r="H1016" s="93" t="s">
        <v>4</v>
      </c>
      <c r="I1016" s="67"/>
      <c r="J1016" s="92">
        <v>8886510599</v>
      </c>
      <c r="K1016" s="67"/>
      <c r="L1016" s="67"/>
      <c r="M1016" s="67"/>
      <c r="N1016" s="67"/>
      <c r="O1016" s="67"/>
    </row>
    <row r="1017" spans="1:15" ht="15">
      <c r="A1017" s="91" t="s">
        <v>19</v>
      </c>
      <c r="B1017" s="91" t="s">
        <v>88</v>
      </c>
      <c r="C1017" s="92" t="str">
        <f ca="1">IFERROR(__xludf.DUMMYFUNCTION("filter('Back End'!C:C,'Back End'!A:A=A1017,'Back End'!B:B=B1017,'Back End'!D:D=D1017)"),"Neeladriraopeta")</f>
        <v>Neeladriraopeta</v>
      </c>
      <c r="D1017" s="91" t="s">
        <v>117</v>
      </c>
      <c r="E1017" s="91" t="s">
        <v>4564</v>
      </c>
      <c r="F1017" s="67" t="s">
        <v>3138</v>
      </c>
      <c r="G1017" s="67"/>
      <c r="H1017" s="93" t="s">
        <v>4</v>
      </c>
      <c r="I1017" s="67"/>
      <c r="J1017" s="92">
        <v>9492626262</v>
      </c>
      <c r="K1017" s="67"/>
      <c r="L1017" s="67"/>
      <c r="M1017" s="67"/>
      <c r="N1017" s="67"/>
      <c r="O1017" s="67"/>
    </row>
    <row r="1018" spans="1:15" ht="15">
      <c r="A1018" s="91" t="s">
        <v>19</v>
      </c>
      <c r="B1018" s="91" t="s">
        <v>88</v>
      </c>
      <c r="C1018" s="92" t="str">
        <f ca="1">IFERROR(__xludf.DUMMYFUNCTION("filter('Back End'!C:C,'Back End'!A:A=A1018,'Back End'!B:B=B1018,'Back End'!D:D=D1018)"),"Neeladriraopeta")</f>
        <v>Neeladriraopeta</v>
      </c>
      <c r="D1018" s="91" t="s">
        <v>117</v>
      </c>
      <c r="E1018" s="91" t="s">
        <v>4565</v>
      </c>
      <c r="F1018" s="67" t="s">
        <v>3138</v>
      </c>
      <c r="G1018" s="67"/>
      <c r="H1018" s="93" t="s">
        <v>4</v>
      </c>
      <c r="I1018" s="92" t="s">
        <v>3125</v>
      </c>
      <c r="J1018" s="92">
        <v>9948030120</v>
      </c>
      <c r="K1018" s="67"/>
      <c r="L1018" s="67"/>
      <c r="M1018" s="67"/>
      <c r="N1018" s="67"/>
      <c r="O1018" s="67"/>
    </row>
    <row r="1019" spans="1:15" ht="15">
      <c r="A1019" s="91" t="s">
        <v>19</v>
      </c>
      <c r="B1019" s="91" t="s">
        <v>88</v>
      </c>
      <c r="C1019" s="92" t="str">
        <f ca="1">IFERROR(__xludf.DUMMYFUNCTION("filter('Back End'!C:C,'Back End'!A:A=A1019,'Back End'!B:B=B1019,'Back End'!D:D=D1019)"),"Neeladriraopeta")</f>
        <v>Neeladriraopeta</v>
      </c>
      <c r="D1019" s="91" t="s">
        <v>117</v>
      </c>
      <c r="E1019" s="91" t="s">
        <v>4566</v>
      </c>
      <c r="F1019" s="91" t="s">
        <v>165</v>
      </c>
      <c r="G1019" s="91" t="s">
        <v>615</v>
      </c>
      <c r="H1019" s="93" t="s">
        <v>5</v>
      </c>
      <c r="I1019" s="67"/>
      <c r="J1019" s="92">
        <v>9642749484</v>
      </c>
      <c r="K1019" s="67"/>
      <c r="L1019" s="67"/>
      <c r="M1019" s="67"/>
      <c r="N1019" s="67"/>
      <c r="O1019" s="67"/>
    </row>
    <row r="1020" spans="1:15" ht="15">
      <c r="A1020" s="91" t="s">
        <v>19</v>
      </c>
      <c r="B1020" s="91" t="s">
        <v>88</v>
      </c>
      <c r="C1020" s="92" t="str">
        <f ca="1">IFERROR(__xludf.DUMMYFUNCTION("filter('Back End'!C:C,'Back End'!A:A=A1020,'Back End'!B:B=B1020,'Back End'!D:D=D1020)"),"Neeladriraopeta")</f>
        <v>Neeladriraopeta</v>
      </c>
      <c r="D1020" s="91" t="s">
        <v>117</v>
      </c>
      <c r="E1020" s="91" t="s">
        <v>4567</v>
      </c>
      <c r="F1020" s="91" t="s">
        <v>120</v>
      </c>
      <c r="G1020" s="91" t="s">
        <v>615</v>
      </c>
      <c r="H1020" s="93" t="s">
        <v>5</v>
      </c>
      <c r="I1020" s="67"/>
      <c r="J1020" s="92">
        <v>9949223762</v>
      </c>
      <c r="K1020" s="67"/>
      <c r="L1020" s="67"/>
      <c r="M1020" s="67"/>
      <c r="N1020" s="67"/>
      <c r="O1020" s="67"/>
    </row>
    <row r="1021" spans="1:15" ht="15">
      <c r="A1021" s="91" t="s">
        <v>19</v>
      </c>
      <c r="B1021" s="91" t="s">
        <v>88</v>
      </c>
      <c r="C1021" s="92" t="str">
        <f ca="1">IFERROR(__xludf.DUMMYFUNCTION("filter('Back End'!C:C,'Back End'!A:A=A1021,'Back End'!B:B=B1021,'Back End'!D:D=D1021)"),"P. Nayakampalle")</f>
        <v>P. Nayakampalle</v>
      </c>
      <c r="D1021" s="91" t="s">
        <v>121</v>
      </c>
      <c r="E1021" s="91" t="s">
        <v>4568</v>
      </c>
      <c r="F1021" s="67" t="s">
        <v>3138</v>
      </c>
      <c r="G1021" s="67"/>
      <c r="H1021" s="93" t="s">
        <v>4</v>
      </c>
      <c r="I1021" s="92" t="s">
        <v>3125</v>
      </c>
      <c r="J1021" s="92">
        <v>9542204488</v>
      </c>
      <c r="K1021" s="67"/>
      <c r="L1021" s="67"/>
      <c r="M1021" s="67"/>
      <c r="N1021" s="67"/>
      <c r="O1021" s="67"/>
    </row>
    <row r="1022" spans="1:15" ht="15">
      <c r="A1022" s="91" t="s">
        <v>19</v>
      </c>
      <c r="B1022" s="91" t="s">
        <v>88</v>
      </c>
      <c r="C1022" s="92" t="str">
        <f ca="1">IFERROR(__xludf.DUMMYFUNCTION("filter('Back End'!C:C,'Back End'!A:A=A1022,'Back End'!B:B=B1022,'Back End'!D:D=D1022)"),"P. Nayakampalle")</f>
        <v>P. Nayakampalle</v>
      </c>
      <c r="D1022" s="91" t="s">
        <v>121</v>
      </c>
      <c r="E1022" s="91" t="s">
        <v>4569</v>
      </c>
      <c r="F1022" s="91" t="s">
        <v>467</v>
      </c>
      <c r="G1022" s="91" t="s">
        <v>85</v>
      </c>
      <c r="H1022" s="93" t="s">
        <v>5</v>
      </c>
      <c r="I1022" s="67"/>
      <c r="J1022" s="92">
        <v>7382434934</v>
      </c>
      <c r="K1022" s="67"/>
      <c r="L1022" s="67"/>
      <c r="M1022" s="67"/>
      <c r="N1022" s="67"/>
      <c r="O1022" s="67"/>
    </row>
    <row r="1023" spans="1:15" ht="15">
      <c r="A1023" s="91" t="s">
        <v>19</v>
      </c>
      <c r="B1023" s="91" t="s">
        <v>88</v>
      </c>
      <c r="C1023" s="92" t="str">
        <f ca="1">IFERROR(__xludf.DUMMYFUNCTION("filter('Back End'!C:C,'Back End'!A:A=A1023,'Back End'!B:B=B1023,'Back End'!D:D=D1023)"),"Ramayyapalem")</f>
        <v>Ramayyapalem</v>
      </c>
      <c r="D1023" s="91" t="s">
        <v>127</v>
      </c>
      <c r="E1023" s="91" t="s">
        <v>4570</v>
      </c>
      <c r="F1023" s="67" t="s">
        <v>3138</v>
      </c>
      <c r="G1023" s="67"/>
      <c r="H1023" s="93" t="s">
        <v>4</v>
      </c>
      <c r="I1023" s="92" t="s">
        <v>3125</v>
      </c>
      <c r="J1023" s="92">
        <v>8897862556</v>
      </c>
      <c r="K1023" s="67"/>
      <c r="L1023" s="67"/>
      <c r="M1023" s="67"/>
      <c r="N1023" s="67"/>
      <c r="O1023" s="67"/>
    </row>
    <row r="1024" spans="1:15" ht="15">
      <c r="A1024" s="91" t="s">
        <v>19</v>
      </c>
      <c r="B1024" s="91" t="s">
        <v>88</v>
      </c>
      <c r="C1024" s="92" t="str">
        <f ca="1">IFERROR(__xludf.DUMMYFUNCTION("filter('Back End'!C:C,'Back End'!A:A=A1024,'Back End'!B:B=B1024,'Back End'!D:D=D1024)"),"Singarampalem")</f>
        <v>Singarampalem</v>
      </c>
      <c r="D1024" s="91" t="s">
        <v>129</v>
      </c>
      <c r="E1024" s="91" t="s">
        <v>4571</v>
      </c>
      <c r="F1024" s="91" t="s">
        <v>114</v>
      </c>
      <c r="G1024" s="91" t="s">
        <v>85</v>
      </c>
      <c r="H1024" s="93" t="s">
        <v>4</v>
      </c>
      <c r="I1024" s="92" t="s">
        <v>3125</v>
      </c>
      <c r="J1024" s="92">
        <v>9492077292</v>
      </c>
      <c r="K1024" s="67"/>
      <c r="L1024" s="67"/>
      <c r="M1024" s="67"/>
      <c r="N1024" s="67"/>
      <c r="O1024" s="67"/>
    </row>
    <row r="1025" spans="1:15" ht="15">
      <c r="A1025" s="91" t="s">
        <v>19</v>
      </c>
      <c r="B1025" s="91" t="s">
        <v>88</v>
      </c>
      <c r="C1025" s="92" t="str">
        <f ca="1">IFERROR(__xludf.DUMMYFUNCTION("filter('Back End'!C:C,'Back End'!A:A=A1025,'Back End'!B:B=B1025,'Back End'!D:D=D1025)"),"Singarampalem")</f>
        <v>Singarampalem</v>
      </c>
      <c r="D1025" s="91" t="s">
        <v>129</v>
      </c>
      <c r="E1025" s="91" t="s">
        <v>4572</v>
      </c>
      <c r="F1025" s="91" t="s">
        <v>586</v>
      </c>
      <c r="G1025" s="91" t="s">
        <v>615</v>
      </c>
      <c r="H1025" s="93" t="s">
        <v>4</v>
      </c>
      <c r="I1025" s="92" t="s">
        <v>3767</v>
      </c>
      <c r="J1025" s="92">
        <v>9603512232</v>
      </c>
      <c r="K1025" s="67"/>
      <c r="L1025" s="67"/>
      <c r="M1025" s="67"/>
      <c r="N1025" s="67"/>
      <c r="O1025" s="67"/>
    </row>
    <row r="1026" spans="1:15" ht="15">
      <c r="A1026" s="91" t="s">
        <v>19</v>
      </c>
      <c r="B1026" s="91" t="s">
        <v>88</v>
      </c>
      <c r="C1026" s="92" t="str">
        <f ca="1">IFERROR(__xludf.DUMMYFUNCTION("filter('Back End'!C:C,'Back End'!A:A=A1026,'Back End'!B:B=B1026,'Back End'!D:D=D1026)"),"Singarampalem")</f>
        <v>Singarampalem</v>
      </c>
      <c r="D1026" s="91" t="s">
        <v>129</v>
      </c>
      <c r="E1026" s="91" t="s">
        <v>4573</v>
      </c>
      <c r="F1026" s="91" t="s">
        <v>139</v>
      </c>
      <c r="G1026" s="91" t="s">
        <v>594</v>
      </c>
      <c r="H1026" s="93" t="s">
        <v>4</v>
      </c>
      <c r="I1026" s="92" t="s">
        <v>3767</v>
      </c>
      <c r="J1026" s="92">
        <v>9573585658</v>
      </c>
      <c r="K1026" s="67"/>
      <c r="L1026" s="67"/>
      <c r="M1026" s="67"/>
      <c r="N1026" s="67"/>
      <c r="O1026" s="67"/>
    </row>
    <row r="1027" spans="1:15" ht="15">
      <c r="A1027" s="91" t="s">
        <v>19</v>
      </c>
      <c r="B1027" s="91" t="s">
        <v>88</v>
      </c>
      <c r="C1027" s="92" t="str">
        <f ca="1">IFERROR(__xludf.DUMMYFUNCTION("filter('Back End'!C:C,'Back End'!A:A=A1027,'Back End'!B:B=B1027,'Back End'!D:D=D1027)"),"Singarampalem")</f>
        <v>Singarampalem</v>
      </c>
      <c r="D1027" s="91" t="s">
        <v>129</v>
      </c>
      <c r="E1027" s="91" t="s">
        <v>4574</v>
      </c>
      <c r="F1027" s="67" t="s">
        <v>3138</v>
      </c>
      <c r="G1027" s="67"/>
      <c r="H1027" s="93" t="s">
        <v>4</v>
      </c>
      <c r="I1027" s="67"/>
      <c r="J1027" s="92">
        <v>9885829211</v>
      </c>
      <c r="K1027" s="67"/>
      <c r="L1027" s="67"/>
      <c r="M1027" s="67"/>
      <c r="N1027" s="67"/>
      <c r="O1027" s="67"/>
    </row>
    <row r="1028" spans="1:15" ht="30">
      <c r="A1028" s="91" t="s">
        <v>19</v>
      </c>
      <c r="B1028" s="91" t="s">
        <v>88</v>
      </c>
      <c r="C1028" s="92" t="str">
        <f ca="1">IFERROR(__xludf.DUMMYFUNCTION("filter('Back End'!C:C,'Back End'!A:A=A1028,'Back End'!B:B=B1028,'Back End'!D:D=D1028)"),"Singarampalem")</f>
        <v>Singarampalem</v>
      </c>
      <c r="D1028" s="91" t="s">
        <v>129</v>
      </c>
      <c r="E1028" s="91" t="s">
        <v>4575</v>
      </c>
      <c r="F1028" s="91" t="s">
        <v>165</v>
      </c>
      <c r="G1028" s="91" t="s">
        <v>615</v>
      </c>
      <c r="H1028" s="93" t="s">
        <v>4</v>
      </c>
      <c r="I1028" s="92" t="s">
        <v>3634</v>
      </c>
      <c r="J1028" s="92">
        <v>8341333689</v>
      </c>
      <c r="K1028" s="67"/>
      <c r="L1028" s="67"/>
      <c r="M1028" s="67"/>
      <c r="N1028" s="67"/>
      <c r="O1028" s="67"/>
    </row>
    <row r="1029" spans="1:15" ht="15">
      <c r="A1029" s="91" t="s">
        <v>19</v>
      </c>
      <c r="B1029" s="91" t="s">
        <v>88</v>
      </c>
      <c r="C1029" s="92" t="str">
        <f ca="1">IFERROR(__xludf.DUMMYFUNCTION("filter('Back End'!C:C,'Back End'!A:A=A1029,'Back End'!B:B=B1029,'Back End'!D:D=D1029)"),"Singarampalem")</f>
        <v>Singarampalem</v>
      </c>
      <c r="D1029" s="91" t="s">
        <v>129</v>
      </c>
      <c r="E1029" s="91" t="s">
        <v>4576</v>
      </c>
      <c r="F1029" s="91" t="s">
        <v>114</v>
      </c>
      <c r="G1029" s="91" t="s">
        <v>85</v>
      </c>
      <c r="H1029" s="93" t="s">
        <v>4</v>
      </c>
      <c r="I1029" s="92" t="s">
        <v>3767</v>
      </c>
      <c r="J1029" s="92">
        <v>9652067561</v>
      </c>
      <c r="K1029" s="67"/>
      <c r="L1029" s="67"/>
      <c r="M1029" s="67"/>
      <c r="N1029" s="67"/>
      <c r="O1029" s="67"/>
    </row>
    <row r="1030" spans="1:15" ht="15">
      <c r="A1030" s="91" t="s">
        <v>19</v>
      </c>
      <c r="B1030" s="91" t="s">
        <v>88</v>
      </c>
      <c r="C1030" s="92" t="str">
        <f ca="1">IFERROR(__xludf.DUMMYFUNCTION("filter('Back End'!C:C,'Back End'!A:A=A1030,'Back End'!B:B=B1030,'Back End'!D:D=D1030)"),"Singarampalem")</f>
        <v>Singarampalem</v>
      </c>
      <c r="D1030" s="91" t="s">
        <v>129</v>
      </c>
      <c r="E1030" s="91" t="s">
        <v>4577</v>
      </c>
      <c r="F1030" s="91" t="s">
        <v>103</v>
      </c>
      <c r="G1030" s="91" t="s">
        <v>594</v>
      </c>
      <c r="H1030" s="93" t="s">
        <v>4</v>
      </c>
      <c r="I1030" s="92" t="s">
        <v>3767</v>
      </c>
      <c r="J1030" s="92">
        <v>9390284848</v>
      </c>
      <c r="K1030" s="67"/>
      <c r="L1030" s="67"/>
      <c r="M1030" s="67"/>
      <c r="N1030" s="67"/>
      <c r="O1030" s="67"/>
    </row>
    <row r="1031" spans="1:15" ht="15">
      <c r="A1031" s="91" t="s">
        <v>19</v>
      </c>
      <c r="B1031" s="91" t="s">
        <v>88</v>
      </c>
      <c r="C1031" s="92" t="s">
        <v>129</v>
      </c>
      <c r="D1031" s="91" t="s">
        <v>129</v>
      </c>
      <c r="E1031" s="91" t="s">
        <v>4578</v>
      </c>
      <c r="F1031" s="91" t="s">
        <v>131</v>
      </c>
      <c r="G1031" s="91" t="s">
        <v>594</v>
      </c>
      <c r="H1031" s="93" t="s">
        <v>5</v>
      </c>
      <c r="I1031" s="92" t="s">
        <v>3115</v>
      </c>
      <c r="J1031" s="92">
        <v>9882298866</v>
      </c>
      <c r="K1031" s="67"/>
      <c r="L1031" s="67"/>
      <c r="M1031" s="67"/>
      <c r="N1031" s="67"/>
      <c r="O1031" s="67"/>
    </row>
    <row r="1032" spans="1:15" ht="30">
      <c r="A1032" s="91" t="s">
        <v>19</v>
      </c>
      <c r="B1032" s="91" t="s">
        <v>88</v>
      </c>
      <c r="C1032" s="92" t="s">
        <v>129</v>
      </c>
      <c r="D1032" s="91" t="s">
        <v>129</v>
      </c>
      <c r="E1032" s="91" t="s">
        <v>4579</v>
      </c>
      <c r="F1032" s="91" t="s">
        <v>586</v>
      </c>
      <c r="G1032" s="91" t="s">
        <v>615</v>
      </c>
      <c r="H1032" s="93" t="s">
        <v>5</v>
      </c>
      <c r="I1032" s="92" t="s">
        <v>4056</v>
      </c>
      <c r="J1032" s="92">
        <v>6304993779</v>
      </c>
      <c r="K1032" s="67"/>
      <c r="L1032" s="67"/>
      <c r="M1032" s="67"/>
      <c r="N1032" s="67"/>
      <c r="O1032" s="67"/>
    </row>
    <row r="1033" spans="1:15" ht="15">
      <c r="A1033" s="91" t="s">
        <v>19</v>
      </c>
      <c r="B1033" s="91" t="s">
        <v>88</v>
      </c>
      <c r="C1033" s="92" t="s">
        <v>129</v>
      </c>
      <c r="D1033" s="91" t="s">
        <v>129</v>
      </c>
      <c r="E1033" s="91" t="s">
        <v>4580</v>
      </c>
      <c r="F1033" s="91" t="s">
        <v>114</v>
      </c>
      <c r="G1033" s="91" t="s">
        <v>85</v>
      </c>
      <c r="H1033" s="93" t="s">
        <v>5</v>
      </c>
      <c r="I1033" s="92" t="s">
        <v>3112</v>
      </c>
      <c r="J1033" s="92">
        <v>8884273318</v>
      </c>
      <c r="K1033" s="67"/>
      <c r="L1033" s="67"/>
      <c r="M1033" s="67"/>
      <c r="N1033" s="67"/>
      <c r="O1033" s="67"/>
    </row>
    <row r="1034" spans="1:15" ht="30">
      <c r="A1034" s="91" t="s">
        <v>19</v>
      </c>
      <c r="B1034" s="91" t="s">
        <v>88</v>
      </c>
      <c r="C1034" s="92" t="str">
        <f ca="1">IFERROR(__xludf.DUMMYFUNCTION("filter('Back End'!C:C,'Back End'!A:A=A1034,'Back End'!B:B=B1034,'Back End'!D:D=D1034)"),"Subbayamma Peta")</f>
        <v>Subbayamma Peta</v>
      </c>
      <c r="D1034" s="91" t="s">
        <v>132</v>
      </c>
      <c r="E1034" s="91" t="s">
        <v>4581</v>
      </c>
      <c r="F1034" s="67" t="s">
        <v>3138</v>
      </c>
      <c r="G1034" s="67"/>
      <c r="H1034" s="93" t="s">
        <v>4</v>
      </c>
      <c r="I1034" s="92" t="s">
        <v>3125</v>
      </c>
      <c r="J1034" s="92">
        <v>9912316575</v>
      </c>
      <c r="K1034" s="67"/>
      <c r="L1034" s="67"/>
      <c r="M1034" s="67"/>
      <c r="N1034" s="67"/>
      <c r="O1034" s="67"/>
    </row>
    <row r="1035" spans="1:15" ht="30">
      <c r="A1035" s="91" t="s">
        <v>19</v>
      </c>
      <c r="B1035" s="91" t="s">
        <v>88</v>
      </c>
      <c r="C1035" s="92" t="str">
        <f ca="1">IFERROR(__xludf.DUMMYFUNCTION("filter('Back End'!C:C,'Back End'!A:A=A1035,'Back End'!B:B=B1035,'Back End'!D:D=D1035)"),"Subbayamma Peta")</f>
        <v>Subbayamma Peta</v>
      </c>
      <c r="D1035" s="91" t="s">
        <v>132</v>
      </c>
      <c r="E1035" s="91" t="s">
        <v>4582</v>
      </c>
      <c r="F1035" s="67" t="s">
        <v>3138</v>
      </c>
      <c r="G1035" s="67"/>
      <c r="H1035" s="93" t="s">
        <v>4</v>
      </c>
      <c r="I1035" s="67"/>
      <c r="J1035" s="92">
        <v>9346862117</v>
      </c>
      <c r="K1035" s="67"/>
      <c r="L1035" s="67"/>
      <c r="M1035" s="67"/>
      <c r="N1035" s="67"/>
      <c r="O1035" s="67"/>
    </row>
    <row r="1036" spans="1:15" ht="30">
      <c r="A1036" s="91" t="s">
        <v>19</v>
      </c>
      <c r="B1036" s="91" t="s">
        <v>88</v>
      </c>
      <c r="C1036" s="92" t="str">
        <f ca="1">IFERROR(__xludf.DUMMYFUNCTION("filter('Back End'!C:C,'Back End'!A:A=A1036,'Back End'!B:B=B1036,'Back End'!D:D=D1036)"),"Subbayamma Peta")</f>
        <v>Subbayamma Peta</v>
      </c>
      <c r="D1036" s="91" t="s">
        <v>132</v>
      </c>
      <c r="E1036" s="91" t="s">
        <v>4583</v>
      </c>
      <c r="F1036" s="91" t="s">
        <v>213</v>
      </c>
      <c r="G1036" s="91" t="s">
        <v>615</v>
      </c>
      <c r="H1036" s="93" t="s">
        <v>5</v>
      </c>
      <c r="I1036" s="67"/>
      <c r="J1036" s="92">
        <v>9441906742</v>
      </c>
      <c r="K1036" s="67"/>
      <c r="L1036" s="67"/>
      <c r="M1036" s="67"/>
      <c r="N1036" s="67"/>
      <c r="O1036" s="67"/>
    </row>
    <row r="1037" spans="1:15" ht="45">
      <c r="A1037" s="91" t="s">
        <v>19</v>
      </c>
      <c r="B1037" s="97" t="s">
        <v>88</v>
      </c>
      <c r="C1037" s="97" t="s">
        <v>123</v>
      </c>
      <c r="D1037" s="100" t="s">
        <v>123</v>
      </c>
      <c r="E1037" s="100" t="s">
        <v>4584</v>
      </c>
      <c r="F1037" s="100" t="s">
        <v>139</v>
      </c>
      <c r="G1037" s="100" t="s">
        <v>594</v>
      </c>
      <c r="H1037" s="93" t="s">
        <v>5</v>
      </c>
      <c r="I1037" s="97" t="s">
        <v>4585</v>
      </c>
      <c r="J1037" s="97">
        <v>8897945154</v>
      </c>
      <c r="K1037" s="99"/>
      <c r="L1037" s="99"/>
      <c r="M1037" s="99"/>
      <c r="N1037" s="99"/>
      <c r="O1037" s="99"/>
    </row>
    <row r="1038" spans="1:15" ht="15">
      <c r="A1038" s="91" t="s">
        <v>19</v>
      </c>
      <c r="B1038" s="97" t="s">
        <v>88</v>
      </c>
      <c r="C1038" s="97" t="s">
        <v>123</v>
      </c>
      <c r="D1038" s="100" t="s">
        <v>123</v>
      </c>
      <c r="E1038" s="100" t="s">
        <v>4586</v>
      </c>
      <c r="F1038" s="100" t="s">
        <v>139</v>
      </c>
      <c r="G1038" s="100" t="s">
        <v>594</v>
      </c>
      <c r="H1038" s="93" t="s">
        <v>5</v>
      </c>
      <c r="I1038" s="97" t="s">
        <v>4587</v>
      </c>
      <c r="J1038" s="97">
        <v>9912817177</v>
      </c>
      <c r="K1038" s="99"/>
      <c r="L1038" s="99"/>
      <c r="M1038" s="99"/>
      <c r="N1038" s="99"/>
      <c r="O1038" s="99"/>
    </row>
    <row r="1039" spans="1:15" ht="15">
      <c r="A1039" s="91" t="s">
        <v>19</v>
      </c>
      <c r="B1039" s="97" t="s">
        <v>88</v>
      </c>
      <c r="C1039" s="97" t="s">
        <v>123</v>
      </c>
      <c r="D1039" s="100" t="s">
        <v>123</v>
      </c>
      <c r="E1039" s="100" t="s">
        <v>4588</v>
      </c>
      <c r="F1039" s="100" t="s">
        <v>139</v>
      </c>
      <c r="G1039" s="100" t="s">
        <v>594</v>
      </c>
      <c r="H1039" s="93" t="s">
        <v>4</v>
      </c>
      <c r="I1039" s="97" t="s">
        <v>3112</v>
      </c>
      <c r="J1039" s="97">
        <v>9491583333</v>
      </c>
      <c r="K1039" s="99"/>
      <c r="L1039" s="99"/>
      <c r="M1039" s="99"/>
      <c r="N1039" s="99"/>
      <c r="O1039" s="99"/>
    </row>
    <row r="1040" spans="1:15" ht="15">
      <c r="A1040" s="91" t="s">
        <v>19</v>
      </c>
      <c r="B1040" s="97" t="s">
        <v>88</v>
      </c>
      <c r="C1040" s="97" t="s">
        <v>123</v>
      </c>
      <c r="D1040" s="100" t="s">
        <v>123</v>
      </c>
      <c r="E1040" s="100" t="s">
        <v>4589</v>
      </c>
      <c r="F1040" s="100" t="s">
        <v>1669</v>
      </c>
      <c r="G1040" s="100" t="s">
        <v>615</v>
      </c>
      <c r="H1040" s="93" t="s">
        <v>6</v>
      </c>
      <c r="I1040" s="97" t="s">
        <v>3112</v>
      </c>
      <c r="J1040" s="99"/>
      <c r="K1040" s="99"/>
      <c r="L1040" s="99"/>
      <c r="M1040" s="99"/>
      <c r="N1040" s="99"/>
      <c r="O1040" s="99"/>
    </row>
    <row r="1041" spans="1:15" ht="30">
      <c r="A1041" s="91" t="s">
        <v>19</v>
      </c>
      <c r="B1041" s="97" t="s">
        <v>88</v>
      </c>
      <c r="C1041" s="97" t="s">
        <v>123</v>
      </c>
      <c r="D1041" s="100" t="s">
        <v>123</v>
      </c>
      <c r="E1041" s="97" t="s">
        <v>4590</v>
      </c>
      <c r="F1041" s="100" t="s">
        <v>139</v>
      </c>
      <c r="G1041" s="100" t="s">
        <v>594</v>
      </c>
      <c r="H1041" s="100" t="s">
        <v>4</v>
      </c>
      <c r="I1041" s="97" t="s">
        <v>4071</v>
      </c>
      <c r="J1041" s="97">
        <v>9848225511</v>
      </c>
      <c r="K1041" s="99"/>
      <c r="L1041" s="99"/>
      <c r="M1041" s="99"/>
      <c r="N1041" s="99"/>
      <c r="O1041" s="99"/>
    </row>
    <row r="1042" spans="1:15" ht="45">
      <c r="A1042" s="91" t="s">
        <v>19</v>
      </c>
      <c r="B1042" s="102" t="s">
        <v>88</v>
      </c>
      <c r="C1042" s="102" t="s">
        <v>123</v>
      </c>
      <c r="D1042" s="93" t="s">
        <v>123</v>
      </c>
      <c r="E1042" s="102" t="s">
        <v>3334</v>
      </c>
      <c r="F1042" s="93" t="s">
        <v>139</v>
      </c>
      <c r="G1042" s="93" t="s">
        <v>594</v>
      </c>
      <c r="H1042" s="93" t="s">
        <v>5</v>
      </c>
      <c r="I1042" s="102" t="s">
        <v>4591</v>
      </c>
      <c r="J1042" s="102">
        <v>8897945154</v>
      </c>
      <c r="K1042" s="95"/>
      <c r="L1042" s="95"/>
      <c r="M1042" s="95"/>
      <c r="N1042" s="95"/>
      <c r="O1042" s="95"/>
    </row>
    <row r="1043" spans="1:15" ht="15">
      <c r="A1043" s="91" t="s">
        <v>19</v>
      </c>
      <c r="B1043" s="91" t="s">
        <v>88</v>
      </c>
      <c r="C1043" s="92" t="str">
        <f ca="1">IFERROR(__xludf.DUMMYFUNCTION("filter('Back End'!C:C,'Back End'!A:A=A1043,'Back End'!B:B=B1043,'Back End'!D:D=D1043)"),"P.Surampalem")</f>
        <v>P.Surampalem</v>
      </c>
      <c r="D1043" s="91" t="s">
        <v>123</v>
      </c>
      <c r="E1043" s="91" t="s">
        <v>4592</v>
      </c>
      <c r="F1043" s="91" t="s">
        <v>139</v>
      </c>
      <c r="G1043" s="91" t="s">
        <v>594</v>
      </c>
      <c r="H1043" s="93" t="s">
        <v>5</v>
      </c>
      <c r="I1043" s="67"/>
      <c r="J1043" s="92">
        <v>9951711918</v>
      </c>
      <c r="K1043" s="67"/>
      <c r="L1043" s="67"/>
      <c r="M1043" s="67"/>
      <c r="N1043" s="67"/>
      <c r="O1043" s="67"/>
    </row>
    <row r="1044" spans="1:15" ht="15">
      <c r="A1044" s="91" t="s">
        <v>19</v>
      </c>
      <c r="B1044" s="100" t="s">
        <v>88</v>
      </c>
      <c r="C1044" s="97" t="str">
        <f ca="1">IFERROR(__xludf.DUMMYFUNCTION("filter('Back End'!C:C,'Back End'!A:A=A1044,'Back End'!B:B=B1044,'Back End'!D:D=D1044)"),"P.Surampalem")</f>
        <v>P.Surampalem</v>
      </c>
      <c r="D1044" s="100" t="s">
        <v>123</v>
      </c>
      <c r="E1044" s="100" t="s">
        <v>4593</v>
      </c>
      <c r="F1044" s="99" t="s">
        <v>3138</v>
      </c>
      <c r="G1044" s="99"/>
      <c r="H1044" s="100" t="s">
        <v>4</v>
      </c>
      <c r="I1044" s="97" t="s">
        <v>3125</v>
      </c>
      <c r="J1044" s="97">
        <v>9063102999</v>
      </c>
      <c r="K1044" s="99"/>
      <c r="L1044" s="99"/>
      <c r="M1044" s="99"/>
      <c r="N1044" s="99"/>
      <c r="O1044" s="99"/>
    </row>
    <row r="1045" spans="1:15" ht="15">
      <c r="A1045" s="101" t="s">
        <v>19</v>
      </c>
      <c r="B1045" s="93" t="s">
        <v>88</v>
      </c>
      <c r="C1045" s="102" t="str">
        <f ca="1">IFERROR(__xludf.DUMMYFUNCTION("filter('Back End'!C:C,'Back End'!A:A=A1045,'Back End'!B:B=B1045,'Back End'!D:D=D1045)"),"P.Surampalem")</f>
        <v>P.Surampalem</v>
      </c>
      <c r="D1045" s="93" t="s">
        <v>123</v>
      </c>
      <c r="E1045" s="93" t="s">
        <v>4594</v>
      </c>
      <c r="F1045" s="95" t="s">
        <v>3138</v>
      </c>
      <c r="G1045" s="95"/>
      <c r="H1045" s="93" t="s">
        <v>4</v>
      </c>
      <c r="I1045" s="95"/>
      <c r="J1045" s="102">
        <v>8801460639</v>
      </c>
      <c r="K1045" s="95"/>
      <c r="L1045" s="95"/>
      <c r="M1045" s="95"/>
      <c r="N1045" s="95"/>
      <c r="O1045" s="95"/>
    </row>
    <row r="1046" spans="1:15" ht="15">
      <c r="A1046" s="101" t="s">
        <v>19</v>
      </c>
      <c r="B1046" s="93" t="s">
        <v>88</v>
      </c>
      <c r="C1046" s="102" t="str">
        <f ca="1">IFERROR(__xludf.DUMMYFUNCTION("filter('Back End'!C:C,'Back End'!A:A=A1046,'Back End'!B:B=B1046,'Back End'!D:D=D1046)"),"P.Surampalem")</f>
        <v>P.Surampalem</v>
      </c>
      <c r="D1046" s="93" t="s">
        <v>123</v>
      </c>
      <c r="E1046" s="93" t="s">
        <v>4595</v>
      </c>
      <c r="F1046" s="95" t="s">
        <v>3138</v>
      </c>
      <c r="G1046" s="95"/>
      <c r="H1046" s="93" t="s">
        <v>4</v>
      </c>
      <c r="I1046" s="95"/>
      <c r="J1046" s="102">
        <v>9553311516</v>
      </c>
      <c r="K1046" s="95"/>
      <c r="L1046" s="95"/>
      <c r="M1046" s="95"/>
      <c r="N1046" s="95"/>
      <c r="O1046" s="95"/>
    </row>
    <row r="1047" spans="1:15" ht="15">
      <c r="A1047" s="91" t="s">
        <v>19</v>
      </c>
      <c r="B1047" s="91" t="s">
        <v>88</v>
      </c>
      <c r="C1047" s="92" t="str">
        <f ca="1">IFERROR(__xludf.DUMMYFUNCTION("filter('Back End'!C:C,'Back End'!A:A=A1047,'Back End'!B:B=B1047,'Back End'!D:D=D1047)"),"P.Surampalem")</f>
        <v>P.Surampalem</v>
      </c>
      <c r="D1047" s="91" t="s">
        <v>123</v>
      </c>
      <c r="E1047" s="91" t="s">
        <v>4596</v>
      </c>
      <c r="F1047" s="91" t="s">
        <v>165</v>
      </c>
      <c r="G1047" s="91" t="s">
        <v>615</v>
      </c>
      <c r="H1047" s="93" t="s">
        <v>5</v>
      </c>
      <c r="I1047" s="67"/>
      <c r="J1047" s="92">
        <v>9989033485</v>
      </c>
      <c r="K1047" s="67"/>
      <c r="L1047" s="67"/>
      <c r="M1047" s="67"/>
      <c r="N1047" s="67"/>
      <c r="O1047" s="67"/>
    </row>
    <row r="1048" spans="1:15" ht="15">
      <c r="A1048" s="91" t="s">
        <v>19</v>
      </c>
      <c r="B1048" s="91" t="s">
        <v>88</v>
      </c>
      <c r="C1048" s="92" t="str">
        <f ca="1">IFERROR(__xludf.DUMMYFUNCTION("filter('Back End'!C:C,'Back End'!A:A=A1048,'Back End'!B:B=B1048,'Back End'!D:D=D1048)"),"P.Surampalem")</f>
        <v>P.Surampalem</v>
      </c>
      <c r="D1048" s="91" t="s">
        <v>123</v>
      </c>
      <c r="E1048" s="91" t="s">
        <v>4597</v>
      </c>
      <c r="F1048" s="91" t="s">
        <v>139</v>
      </c>
      <c r="G1048" s="91" t="s">
        <v>594</v>
      </c>
      <c r="H1048" s="93" t="s">
        <v>5</v>
      </c>
      <c r="I1048" s="67"/>
      <c r="J1048" s="92">
        <v>9652067515</v>
      </c>
      <c r="K1048" s="67"/>
      <c r="L1048" s="67"/>
      <c r="M1048" s="67"/>
      <c r="N1048" s="67"/>
      <c r="O1048" s="67"/>
    </row>
    <row r="1049" spans="1:15" ht="15">
      <c r="A1049" s="91" t="s">
        <v>19</v>
      </c>
      <c r="B1049" s="91" t="s">
        <v>88</v>
      </c>
      <c r="C1049" s="92" t="str">
        <f ca="1">IFERROR(__xludf.DUMMYFUNCTION("filter('Back End'!C:C,'Back End'!A:A=A1049,'Back End'!B:B=B1049,'Back End'!D:D=D1049)"),"Uppalapadu")</f>
        <v>Uppalapadu</v>
      </c>
      <c r="D1049" s="91" t="s">
        <v>137</v>
      </c>
      <c r="E1049" s="91" t="s">
        <v>4598</v>
      </c>
      <c r="F1049" s="91" t="s">
        <v>139</v>
      </c>
      <c r="G1049" s="91" t="s">
        <v>594</v>
      </c>
      <c r="H1049" s="93" t="s">
        <v>5</v>
      </c>
      <c r="I1049" s="67"/>
      <c r="J1049" s="92">
        <v>9705350460</v>
      </c>
      <c r="K1049" s="67"/>
      <c r="L1049" s="67"/>
      <c r="M1049" s="67"/>
      <c r="N1049" s="67"/>
      <c r="O1049" s="67"/>
    </row>
    <row r="1050" spans="1:15" ht="15">
      <c r="A1050" s="91" t="s">
        <v>19</v>
      </c>
      <c r="B1050" s="91" t="s">
        <v>88</v>
      </c>
      <c r="C1050" s="92" t="str">
        <f ca="1">IFERROR(__xludf.DUMMYFUNCTION("filter('Back End'!C:C,'Back End'!A:A=A1050,'Back End'!B:B=B1050,'Back End'!D:D=D1050)"),"Uppalapadu")</f>
        <v>Uppalapadu</v>
      </c>
      <c r="D1050" s="91" t="s">
        <v>137</v>
      </c>
      <c r="E1050" s="91" t="s">
        <v>4599</v>
      </c>
      <c r="F1050" s="67" t="s">
        <v>3138</v>
      </c>
      <c r="G1050" s="67"/>
      <c r="H1050" s="93" t="s">
        <v>4</v>
      </c>
      <c r="I1050" s="67"/>
      <c r="J1050" s="92">
        <v>8074445457</v>
      </c>
      <c r="K1050" s="67"/>
      <c r="L1050" s="67"/>
      <c r="M1050" s="67"/>
      <c r="N1050" s="67"/>
      <c r="O1050" s="67"/>
    </row>
    <row r="1051" spans="1:15" ht="15">
      <c r="A1051" s="91" t="s">
        <v>19</v>
      </c>
      <c r="B1051" s="91" t="s">
        <v>88</v>
      </c>
      <c r="C1051" s="92" t="str">
        <f ca="1">IFERROR(__xludf.DUMMYFUNCTION("filter('Back End'!C:C,'Back End'!A:A=A1051,'Back End'!B:B=B1051,'Back End'!D:D=D1051)"),"Uppalapadu")</f>
        <v>Uppalapadu</v>
      </c>
      <c r="D1051" s="91" t="s">
        <v>137</v>
      </c>
      <c r="E1051" s="91" t="s">
        <v>4600</v>
      </c>
      <c r="F1051" s="67" t="s">
        <v>3138</v>
      </c>
      <c r="G1051" s="67"/>
      <c r="H1051" s="93" t="s">
        <v>4</v>
      </c>
      <c r="I1051" s="67"/>
      <c r="J1051" s="92">
        <v>9542512222</v>
      </c>
      <c r="K1051" s="67"/>
      <c r="L1051" s="67"/>
      <c r="M1051" s="67"/>
      <c r="N1051" s="67"/>
      <c r="O1051" s="67"/>
    </row>
    <row r="1052" spans="1:15" ht="15">
      <c r="A1052" s="91" t="s">
        <v>19</v>
      </c>
      <c r="B1052" s="91" t="s">
        <v>88</v>
      </c>
      <c r="C1052" s="92" t="str">
        <f ca="1">IFERROR(__xludf.DUMMYFUNCTION("filter('Back End'!C:C,'Back End'!A:A=A1052,'Back End'!B:B=B1052,'Back End'!D:D=D1052)"),"Uppalapadu")</f>
        <v>Uppalapadu</v>
      </c>
      <c r="D1052" s="91" t="s">
        <v>137</v>
      </c>
      <c r="E1052" s="91" t="s">
        <v>4601</v>
      </c>
      <c r="F1052" s="67" t="s">
        <v>3138</v>
      </c>
      <c r="G1052" s="67"/>
      <c r="H1052" s="93" t="s">
        <v>4</v>
      </c>
      <c r="I1052" s="92" t="s">
        <v>3125</v>
      </c>
      <c r="J1052" s="92">
        <v>9951107035</v>
      </c>
      <c r="K1052" s="67"/>
      <c r="L1052" s="67"/>
      <c r="M1052" s="67"/>
      <c r="N1052" s="67"/>
      <c r="O1052" s="67"/>
    </row>
    <row r="1053" spans="1:15" ht="15">
      <c r="A1053" s="91" t="s">
        <v>19</v>
      </c>
      <c r="B1053" s="91" t="s">
        <v>88</v>
      </c>
      <c r="C1053" s="92" t="str">
        <f ca="1">IFERROR(__xludf.DUMMYFUNCTION("filter('Back End'!C:C,'Back End'!A:A=A1053,'Back End'!B:B=B1053,'Back End'!D:D=D1053)"),"Uppalapadu")</f>
        <v>Uppalapadu</v>
      </c>
      <c r="D1053" s="91" t="s">
        <v>137</v>
      </c>
      <c r="E1053" s="91" t="s">
        <v>4602</v>
      </c>
      <c r="F1053" s="67" t="s">
        <v>3138</v>
      </c>
      <c r="G1053" s="67"/>
      <c r="H1053" s="93" t="s">
        <v>4</v>
      </c>
      <c r="I1053" s="67"/>
      <c r="J1053" s="92">
        <v>9912554242</v>
      </c>
      <c r="K1053" s="67"/>
      <c r="L1053" s="67"/>
      <c r="M1053" s="67"/>
      <c r="N1053" s="67"/>
      <c r="O1053" s="67"/>
    </row>
    <row r="1054" spans="1:15" ht="15">
      <c r="A1054" s="91" t="s">
        <v>19</v>
      </c>
      <c r="B1054" s="91" t="s">
        <v>88</v>
      </c>
      <c r="C1054" s="92" t="str">
        <f ca="1">IFERROR(__xludf.DUMMYFUNCTION("filter('Back End'!C:C,'Back End'!A:A=A1054,'Back End'!B:B=B1054,'Back End'!D:D=D1054)"),"Uppalapadu")</f>
        <v>Uppalapadu</v>
      </c>
      <c r="D1054" s="91" t="s">
        <v>137</v>
      </c>
      <c r="E1054" s="91" t="s">
        <v>4603</v>
      </c>
      <c r="F1054" s="91" t="s">
        <v>139</v>
      </c>
      <c r="G1054" s="91" t="s">
        <v>594</v>
      </c>
      <c r="H1054" s="93" t="s">
        <v>5</v>
      </c>
      <c r="I1054" s="67"/>
      <c r="J1054" s="92">
        <v>9553074722</v>
      </c>
      <c r="K1054" s="67"/>
      <c r="L1054" s="67"/>
      <c r="M1054" s="67"/>
      <c r="N1054" s="67"/>
      <c r="O1054" s="67"/>
    </row>
    <row r="1055" spans="1:15" ht="15">
      <c r="A1055" s="91" t="s">
        <v>19</v>
      </c>
      <c r="B1055" s="91" t="s">
        <v>88</v>
      </c>
      <c r="C1055" s="92" t="str">
        <f ca="1">IFERROR(__xludf.DUMMYFUNCTION("filter('Back End'!C:C,'Back End'!A:A=A1055,'Back End'!B:B=B1055,'Back End'!D:D=D1055)"),"Yerrampalem")</f>
        <v>Yerrampalem</v>
      </c>
      <c r="D1055" s="91" t="s">
        <v>143</v>
      </c>
      <c r="E1055" s="91" t="s">
        <v>4604</v>
      </c>
      <c r="F1055" s="91" t="s">
        <v>114</v>
      </c>
      <c r="G1055" s="91" t="s">
        <v>85</v>
      </c>
      <c r="H1055" s="93" t="s">
        <v>5</v>
      </c>
      <c r="I1055" s="67"/>
      <c r="J1055" s="92">
        <v>9908989031</v>
      </c>
      <c r="K1055" s="67"/>
      <c r="L1055" s="67"/>
      <c r="M1055" s="67"/>
      <c r="N1055" s="67"/>
      <c r="O1055" s="67"/>
    </row>
    <row r="1056" spans="1:15" ht="15">
      <c r="A1056" s="91" t="s">
        <v>19</v>
      </c>
      <c r="B1056" s="91" t="s">
        <v>88</v>
      </c>
      <c r="C1056" s="92" t="str">
        <f ca="1">IFERROR(__xludf.DUMMYFUNCTION("filter('Back End'!C:C,'Back End'!A:A=A1056,'Back End'!B:B=B1056,'Back End'!D:D=D1056)"),"Yellamilli")</f>
        <v>Yellamilli</v>
      </c>
      <c r="D1056" s="91" t="s">
        <v>140</v>
      </c>
      <c r="E1056" s="91" t="s">
        <v>4605</v>
      </c>
      <c r="F1056" s="91" t="s">
        <v>114</v>
      </c>
      <c r="G1056" s="91" t="s">
        <v>85</v>
      </c>
      <c r="H1056" s="93" t="s">
        <v>5</v>
      </c>
      <c r="I1056" s="67"/>
      <c r="J1056" s="92">
        <v>6281571075</v>
      </c>
      <c r="K1056" s="67"/>
      <c r="L1056" s="67"/>
      <c r="M1056" s="67"/>
      <c r="N1056" s="67"/>
      <c r="O1056" s="67"/>
    </row>
    <row r="1057" spans="1:15" ht="15">
      <c r="A1057" s="91" t="s">
        <v>19</v>
      </c>
      <c r="B1057" s="91" t="s">
        <v>88</v>
      </c>
      <c r="C1057" s="92" t="str">
        <f ca="1">IFERROR(__xludf.DUMMYFUNCTION("filter('Back End'!C:C,'Back End'!A:A=A1057,'Back End'!B:B=B1057,'Back End'!D:D=D1057)"),"Yellamilli")</f>
        <v>Yellamilli</v>
      </c>
      <c r="D1057" s="91" t="s">
        <v>140</v>
      </c>
      <c r="E1057" s="91" t="s">
        <v>4606</v>
      </c>
      <c r="F1057" s="91" t="s">
        <v>103</v>
      </c>
      <c r="G1057" s="91" t="s">
        <v>594</v>
      </c>
      <c r="H1057" s="93" t="s">
        <v>5</v>
      </c>
      <c r="I1057" s="67"/>
      <c r="J1057" s="92">
        <v>9912817311</v>
      </c>
      <c r="K1057" s="67"/>
      <c r="L1057" s="67"/>
      <c r="M1057" s="67"/>
      <c r="N1057" s="67"/>
      <c r="O1057" s="67"/>
    </row>
    <row r="1058" spans="1:15" ht="15">
      <c r="A1058" s="91" t="s">
        <v>19</v>
      </c>
      <c r="B1058" s="91" t="s">
        <v>88</v>
      </c>
      <c r="C1058" s="92" t="str">
        <f ca="1">IFERROR(__xludf.DUMMYFUNCTION("filter('Back End'!C:C,'Back End'!A:A=A1058,'Back End'!B:B=B1058,'Back End'!D:D=D1058)"),"Yellamilli")</f>
        <v>Yellamilli</v>
      </c>
      <c r="D1058" s="91" t="s">
        <v>140</v>
      </c>
      <c r="E1058" s="91" t="s">
        <v>4607</v>
      </c>
      <c r="F1058" s="91" t="s">
        <v>1665</v>
      </c>
      <c r="G1058" s="91" t="s">
        <v>615</v>
      </c>
      <c r="H1058" s="93" t="s">
        <v>5</v>
      </c>
      <c r="I1058" s="67"/>
      <c r="J1058" s="92">
        <v>9948554233</v>
      </c>
      <c r="K1058" s="67"/>
      <c r="L1058" s="67"/>
      <c r="M1058" s="67"/>
      <c r="N1058" s="67"/>
      <c r="O1058" s="67"/>
    </row>
    <row r="1059" spans="1:15" ht="15">
      <c r="A1059" s="91" t="s">
        <v>19</v>
      </c>
      <c r="B1059" s="91" t="s">
        <v>88</v>
      </c>
      <c r="C1059" s="92" t="str">
        <f ca="1">IFERROR(__xludf.DUMMYFUNCTION("filter('Back End'!C:C,'Back End'!A:A=A1059,'Back End'!B:B=B1059,'Back End'!D:D=D1059)"),"Yellamilli")</f>
        <v>Yellamilli</v>
      </c>
      <c r="D1059" s="91" t="s">
        <v>140</v>
      </c>
      <c r="E1059" s="91" t="s">
        <v>4608</v>
      </c>
      <c r="F1059" s="67" t="s">
        <v>3138</v>
      </c>
      <c r="G1059" s="67"/>
      <c r="H1059" s="93" t="s">
        <v>4</v>
      </c>
      <c r="I1059" s="92" t="s">
        <v>3125</v>
      </c>
      <c r="J1059" s="92">
        <v>9912554239</v>
      </c>
      <c r="K1059" s="67"/>
      <c r="L1059" s="67"/>
      <c r="M1059" s="67"/>
      <c r="N1059" s="67"/>
      <c r="O1059" s="67"/>
    </row>
    <row r="1060" spans="1:15" ht="15">
      <c r="A1060" s="91" t="s">
        <v>19</v>
      </c>
      <c r="B1060" s="91" t="s">
        <v>88</v>
      </c>
      <c r="C1060" s="92" t="str">
        <f ca="1">IFERROR(__xludf.DUMMYFUNCTION("filter('Back End'!C:C,'Back End'!A:A=A1060,'Back End'!B:B=B1060,'Back End'!D:D=D1060)"),"Yerrampalem")</f>
        <v>Yerrampalem</v>
      </c>
      <c r="D1060" s="91" t="s">
        <v>143</v>
      </c>
      <c r="E1060" s="91" t="s">
        <v>4609</v>
      </c>
      <c r="F1060" s="67" t="s">
        <v>3138</v>
      </c>
      <c r="G1060" s="67"/>
      <c r="H1060" s="93" t="s">
        <v>4</v>
      </c>
      <c r="I1060" s="92" t="s">
        <v>3125</v>
      </c>
      <c r="J1060" s="92">
        <v>9912168684</v>
      </c>
      <c r="K1060" s="67"/>
      <c r="L1060" s="67"/>
      <c r="M1060" s="67"/>
      <c r="N1060" s="67"/>
      <c r="O1060" s="67"/>
    </row>
    <row r="1061" spans="1:15" ht="15">
      <c r="A1061" s="91" t="s">
        <v>19</v>
      </c>
      <c r="B1061" s="91" t="s">
        <v>88</v>
      </c>
      <c r="C1061" s="92" t="str">
        <f ca="1">IFERROR(__xludf.DUMMYFUNCTION("filter('Back End'!C:C,'Back End'!A:A=A1061,'Back End'!B:B=B1061,'Back End'!D:D=D1061)"),"Z.Ragampeta")</f>
        <v>Z.Ragampeta</v>
      </c>
      <c r="D1061" s="91" t="s">
        <v>145</v>
      </c>
      <c r="E1061" s="91" t="s">
        <v>4610</v>
      </c>
      <c r="F1061" s="91" t="s">
        <v>1614</v>
      </c>
      <c r="G1061" s="91" t="s">
        <v>615</v>
      </c>
      <c r="H1061" s="93" t="s">
        <v>5</v>
      </c>
      <c r="I1061" s="67"/>
      <c r="J1061" s="92">
        <v>7386133076</v>
      </c>
      <c r="K1061" s="67"/>
      <c r="L1061" s="67"/>
      <c r="M1061" s="67"/>
      <c r="N1061" s="67"/>
      <c r="O1061" s="67"/>
    </row>
    <row r="1062" spans="1:15" ht="15">
      <c r="A1062" s="91" t="s">
        <v>19</v>
      </c>
      <c r="B1062" s="91" t="s">
        <v>88</v>
      </c>
      <c r="C1062" s="92" t="str">
        <f ca="1">IFERROR(__xludf.DUMMYFUNCTION("filter('Back End'!C:C,'Back End'!A:A=A1062,'Back End'!B:B=B1062,'Back End'!D:D=D1062)"),"Z.Ragampeta")</f>
        <v>Z.Ragampeta</v>
      </c>
      <c r="D1062" s="91" t="s">
        <v>145</v>
      </c>
      <c r="E1062" s="91" t="s">
        <v>4611</v>
      </c>
      <c r="F1062" s="67" t="s">
        <v>3138</v>
      </c>
      <c r="G1062" s="67"/>
      <c r="H1062" s="93" t="s">
        <v>4</v>
      </c>
      <c r="I1062" s="67"/>
      <c r="J1062" s="92">
        <v>9666188252</v>
      </c>
      <c r="K1062" s="67"/>
      <c r="L1062" s="67"/>
      <c r="M1062" s="67"/>
      <c r="N1062" s="67"/>
      <c r="O1062" s="67"/>
    </row>
    <row r="1063" spans="1:15" ht="15">
      <c r="A1063" s="91" t="s">
        <v>19</v>
      </c>
      <c r="B1063" s="91" t="s">
        <v>88</v>
      </c>
      <c r="C1063" s="92" t="str">
        <f ca="1">IFERROR(__xludf.DUMMYFUNCTION("filter('Back End'!C:C,'Back End'!A:A=A1063,'Back End'!B:B=B1063,'Back End'!D:D=D1063)"),"Z.Ragampeta")</f>
        <v>Z.Ragampeta</v>
      </c>
      <c r="D1063" s="91" t="s">
        <v>145</v>
      </c>
      <c r="E1063" s="91" t="s">
        <v>4612</v>
      </c>
      <c r="F1063" s="67" t="s">
        <v>3138</v>
      </c>
      <c r="G1063" s="67"/>
      <c r="H1063" s="93" t="s">
        <v>4</v>
      </c>
      <c r="I1063" s="67"/>
      <c r="J1063" s="92">
        <v>7893064478</v>
      </c>
      <c r="K1063" s="67"/>
      <c r="L1063" s="67"/>
      <c r="M1063" s="67"/>
      <c r="N1063" s="67"/>
      <c r="O1063" s="67"/>
    </row>
    <row r="1064" spans="1:15" ht="15">
      <c r="A1064" s="91" t="s">
        <v>19</v>
      </c>
      <c r="B1064" s="91" t="s">
        <v>88</v>
      </c>
      <c r="C1064" s="92" t="str">
        <f ca="1">IFERROR(__xludf.DUMMYFUNCTION("filter('Back End'!C:C,'Back End'!A:A=A1064,'Back End'!B:B=B1064,'Back End'!D:D=D1064)"),"Z.Ragampeta")</f>
        <v>Z.Ragampeta</v>
      </c>
      <c r="D1064" s="91" t="s">
        <v>145</v>
      </c>
      <c r="E1064" s="91" t="s">
        <v>4613</v>
      </c>
      <c r="F1064" s="67" t="s">
        <v>3138</v>
      </c>
      <c r="G1064" s="67"/>
      <c r="H1064" s="93" t="s">
        <v>4</v>
      </c>
      <c r="I1064" s="67"/>
      <c r="J1064" s="92">
        <v>9494778383</v>
      </c>
      <c r="K1064" s="67"/>
      <c r="L1064" s="67"/>
      <c r="M1064" s="67"/>
      <c r="N1064" s="67"/>
      <c r="O1064" s="67"/>
    </row>
    <row r="1065" spans="1:15" ht="15">
      <c r="A1065" s="91" t="s">
        <v>19</v>
      </c>
      <c r="B1065" s="91" t="s">
        <v>88</v>
      </c>
      <c r="C1065" s="92" t="str">
        <f ca="1">IFERROR(__xludf.DUMMYFUNCTION("filter('Back End'!C:C,'Back End'!A:A=A1065,'Back End'!B:B=B1065,'Back End'!D:D=D1065)"),"Z.Ragampeta")</f>
        <v>Z.Ragampeta</v>
      </c>
      <c r="D1065" s="91" t="s">
        <v>145</v>
      </c>
      <c r="E1065" s="91" t="s">
        <v>4614</v>
      </c>
      <c r="F1065" s="67" t="s">
        <v>3138</v>
      </c>
      <c r="G1065" s="67"/>
      <c r="H1065" s="93" t="s">
        <v>4</v>
      </c>
      <c r="I1065" s="92" t="s">
        <v>3125</v>
      </c>
      <c r="J1065" s="92">
        <v>9951283566</v>
      </c>
      <c r="K1065" s="67"/>
      <c r="L1065" s="67"/>
      <c r="M1065" s="67"/>
      <c r="N1065" s="67"/>
      <c r="O1065" s="67"/>
    </row>
    <row r="1066" spans="1:15" ht="15">
      <c r="A1066" s="91" t="s">
        <v>19</v>
      </c>
      <c r="B1066" s="91" t="s">
        <v>88</v>
      </c>
      <c r="C1066" s="92" t="str">
        <f ca="1">IFERROR(__xludf.DUMMYFUNCTION("filter('Back End'!C:C,'Back End'!A:A=A1066,'Back End'!B:B=B1066,'Back End'!D:D=D1066)"),"Z.Ragampeta")</f>
        <v>Z.Ragampeta</v>
      </c>
      <c r="D1066" s="91" t="s">
        <v>145</v>
      </c>
      <c r="E1066" s="91" t="s">
        <v>4615</v>
      </c>
      <c r="F1066" s="91" t="s">
        <v>467</v>
      </c>
      <c r="G1066" s="91" t="s">
        <v>85</v>
      </c>
      <c r="H1066" s="93" t="s">
        <v>5</v>
      </c>
      <c r="I1066" s="67"/>
      <c r="J1066" s="92">
        <v>9640294082</v>
      </c>
      <c r="K1066" s="67"/>
      <c r="L1066" s="67"/>
      <c r="M1066" s="67"/>
      <c r="N1066" s="67"/>
      <c r="O1066" s="67"/>
    </row>
    <row r="1067" spans="1:15" ht="15">
      <c r="A1067" s="91" t="s">
        <v>19</v>
      </c>
      <c r="B1067" s="91" t="s">
        <v>147</v>
      </c>
      <c r="C1067" s="92" t="str">
        <f ca="1">IFERROR(__xludf.DUMMYFUNCTION("filter('Back End'!C:C,'Back End'!A:A=A1067,'Back End'!B:B=B1067,'Back End'!D:D=D1067)"),"Atchutapuram")</f>
        <v>Atchutapuram</v>
      </c>
      <c r="D1067" s="91" t="s">
        <v>148</v>
      </c>
      <c r="E1067" s="91" t="s">
        <v>4616</v>
      </c>
      <c r="F1067" s="91" t="s">
        <v>114</v>
      </c>
      <c r="G1067" s="91" t="s">
        <v>85</v>
      </c>
      <c r="H1067" s="93" t="s">
        <v>5</v>
      </c>
      <c r="I1067" s="67"/>
      <c r="J1067" s="92">
        <v>9989413444</v>
      </c>
      <c r="K1067" s="67"/>
      <c r="L1067" s="67"/>
      <c r="M1067" s="67"/>
      <c r="N1067" s="67"/>
      <c r="O1067" s="67"/>
    </row>
    <row r="1068" spans="1:15" ht="15">
      <c r="A1068" s="91" t="s">
        <v>19</v>
      </c>
      <c r="B1068" s="91" t="s">
        <v>147</v>
      </c>
      <c r="C1068" s="92" t="str">
        <f ca="1">IFERROR(__xludf.DUMMYFUNCTION("filter('Back End'!C:C,'Back End'!A:A=A1068,'Back End'!B:B=B1068,'Back End'!D:D=D1068)"),"Atchutapuram")</f>
        <v>Atchutapuram</v>
      </c>
      <c r="D1068" s="91" t="s">
        <v>148</v>
      </c>
      <c r="E1068" s="91" t="s">
        <v>4617</v>
      </c>
      <c r="F1068" s="91" t="s">
        <v>139</v>
      </c>
      <c r="G1068" s="91" t="s">
        <v>594</v>
      </c>
      <c r="H1068" s="93" t="s">
        <v>5</v>
      </c>
      <c r="I1068" s="67"/>
      <c r="J1068" s="92">
        <v>9963534855</v>
      </c>
      <c r="K1068" s="67"/>
      <c r="L1068" s="67"/>
      <c r="M1068" s="67"/>
      <c r="N1068" s="67"/>
      <c r="O1068" s="67"/>
    </row>
    <row r="1069" spans="1:15" ht="15">
      <c r="A1069" s="91" t="s">
        <v>19</v>
      </c>
      <c r="B1069" s="91" t="s">
        <v>147</v>
      </c>
      <c r="C1069" s="92" t="str">
        <f ca="1">IFERROR(__xludf.DUMMYFUNCTION("filter('Back End'!C:C,'Back End'!A:A=A1069,'Back End'!B:B=B1069,'Back End'!D:D=D1069)"),"Atchutapuram")</f>
        <v>Atchutapuram</v>
      </c>
      <c r="D1069" s="91" t="s">
        <v>148</v>
      </c>
      <c r="E1069" s="91" t="s">
        <v>4618</v>
      </c>
      <c r="F1069" s="67" t="s">
        <v>3138</v>
      </c>
      <c r="G1069" s="67"/>
      <c r="H1069" s="93" t="s">
        <v>4</v>
      </c>
      <c r="I1069" s="67"/>
      <c r="J1069" s="92">
        <v>7702306150</v>
      </c>
      <c r="K1069" s="67"/>
      <c r="L1069" s="67"/>
      <c r="M1069" s="67"/>
      <c r="N1069" s="67"/>
      <c r="O1069" s="67"/>
    </row>
    <row r="1070" spans="1:15" ht="15">
      <c r="A1070" s="91" t="s">
        <v>19</v>
      </c>
      <c r="B1070" s="91" t="s">
        <v>147</v>
      </c>
      <c r="C1070" s="92" t="str">
        <f ca="1">IFERROR(__xludf.DUMMYFUNCTION("filter('Back End'!C:C,'Back End'!A:A=A1070,'Back End'!B:B=B1070,'Back End'!D:D=D1070)"),"Atchutapuram")</f>
        <v>Atchutapuram</v>
      </c>
      <c r="D1070" s="91" t="s">
        <v>148</v>
      </c>
      <c r="E1070" s="91" t="s">
        <v>4619</v>
      </c>
      <c r="F1070" s="67" t="s">
        <v>3138</v>
      </c>
      <c r="G1070" s="67"/>
      <c r="H1070" s="93" t="s">
        <v>4</v>
      </c>
      <c r="I1070" s="67"/>
      <c r="J1070" s="92">
        <v>9704488228</v>
      </c>
      <c r="K1070" s="67"/>
      <c r="L1070" s="67"/>
      <c r="M1070" s="67"/>
      <c r="N1070" s="67"/>
      <c r="O1070" s="67"/>
    </row>
    <row r="1071" spans="1:15" ht="15">
      <c r="A1071" s="91" t="s">
        <v>19</v>
      </c>
      <c r="B1071" s="91" t="s">
        <v>147</v>
      </c>
      <c r="C1071" s="92" t="str">
        <f ca="1">IFERROR(__xludf.DUMMYFUNCTION("filter('Back End'!C:C,'Back End'!A:A=A1071,'Back End'!B:B=B1071,'Back End'!D:D=D1071)"),"Atchutapuram")</f>
        <v>Atchutapuram</v>
      </c>
      <c r="D1071" s="91" t="s">
        <v>148</v>
      </c>
      <c r="E1071" s="91" t="s">
        <v>4620</v>
      </c>
      <c r="F1071" s="67" t="s">
        <v>3138</v>
      </c>
      <c r="G1071" s="67"/>
      <c r="H1071" s="93" t="s">
        <v>4</v>
      </c>
      <c r="I1071" s="92" t="s">
        <v>3125</v>
      </c>
      <c r="J1071" s="92">
        <v>9989768402</v>
      </c>
      <c r="K1071" s="67"/>
      <c r="L1071" s="67"/>
      <c r="M1071" s="67"/>
      <c r="N1071" s="67"/>
      <c r="O1071" s="67"/>
    </row>
    <row r="1072" spans="1:15" ht="15">
      <c r="A1072" s="91" t="s">
        <v>19</v>
      </c>
      <c r="B1072" s="91" t="s">
        <v>147</v>
      </c>
      <c r="C1072" s="92" t="str">
        <f ca="1">IFERROR(__xludf.DUMMYFUNCTION("filter('Back End'!C:C,'Back End'!A:A=A1072,'Back End'!B:B=B1072,'Back End'!D:D=D1072)"),"Kothapalle")</f>
        <v>Kothapalle</v>
      </c>
      <c r="D1072" s="91" t="s">
        <v>166</v>
      </c>
      <c r="E1072" s="91" t="s">
        <v>4621</v>
      </c>
      <c r="F1072" s="91" t="s">
        <v>114</v>
      </c>
      <c r="G1072" s="91" t="s">
        <v>85</v>
      </c>
      <c r="H1072" s="93" t="s">
        <v>5</v>
      </c>
      <c r="I1072" s="67"/>
      <c r="J1072" s="92">
        <v>8978975579</v>
      </c>
      <c r="K1072" s="67"/>
      <c r="L1072" s="67"/>
      <c r="M1072" s="67"/>
      <c r="N1072" s="67"/>
      <c r="O1072" s="67"/>
    </row>
    <row r="1073" spans="1:15" ht="15">
      <c r="A1073" s="91" t="s">
        <v>19</v>
      </c>
      <c r="B1073" s="91" t="s">
        <v>147</v>
      </c>
      <c r="C1073" s="92" t="str">
        <f ca="1">IFERROR(__xludf.DUMMYFUNCTION("filter('Back End'!C:C,'Back End'!A:A=A1073,'Back End'!B:B=B1073,'Back End'!D:D=D1073)"),"Gadelapalem")</f>
        <v>Gadelapalem</v>
      </c>
      <c r="D1073" s="91" t="s">
        <v>150</v>
      </c>
      <c r="E1073" s="91" t="s">
        <v>4622</v>
      </c>
      <c r="F1073" s="67" t="s">
        <v>3138</v>
      </c>
      <c r="G1073" s="67"/>
      <c r="H1073" s="93" t="s">
        <v>4</v>
      </c>
      <c r="I1073" s="92" t="s">
        <v>3125</v>
      </c>
      <c r="J1073" s="92">
        <v>8897733157</v>
      </c>
      <c r="K1073" s="67"/>
      <c r="L1073" s="67"/>
      <c r="M1073" s="67"/>
      <c r="N1073" s="67"/>
      <c r="O1073" s="67"/>
    </row>
    <row r="1074" spans="1:15" ht="15">
      <c r="A1074" s="91" t="s">
        <v>19</v>
      </c>
      <c r="B1074" s="91" t="s">
        <v>147</v>
      </c>
      <c r="C1074" s="92" t="str">
        <f ca="1">IFERROR(__xludf.DUMMYFUNCTION("filter('Back End'!C:C,'Back End'!A:A=A1074,'Back End'!B:B=B1074,'Back End'!D:D=D1074)"),"Gadelapalem")</f>
        <v>Gadelapalem</v>
      </c>
      <c r="D1074" s="91" t="s">
        <v>150</v>
      </c>
      <c r="E1074" s="91" t="s">
        <v>4623</v>
      </c>
      <c r="F1074" s="67" t="s">
        <v>3138</v>
      </c>
      <c r="G1074" s="67"/>
      <c r="H1074" s="93" t="s">
        <v>4</v>
      </c>
      <c r="I1074" s="67"/>
      <c r="J1074" s="92">
        <v>9963346587</v>
      </c>
      <c r="K1074" s="67"/>
      <c r="L1074" s="67"/>
      <c r="M1074" s="67"/>
      <c r="N1074" s="67"/>
      <c r="O1074" s="67"/>
    </row>
    <row r="1075" spans="1:15" ht="15">
      <c r="A1075" s="91" t="s">
        <v>19</v>
      </c>
      <c r="B1075" s="91" t="s">
        <v>147</v>
      </c>
      <c r="C1075" s="92" t="str">
        <f ca="1">IFERROR(__xludf.DUMMYFUNCTION("filter('Back End'!C:C,'Back End'!A:A=A1075,'Back End'!B:B=B1075,'Back End'!D:D=D1075)"),"Gadelapalem")</f>
        <v>Gadelapalem</v>
      </c>
      <c r="D1075" s="91" t="s">
        <v>150</v>
      </c>
      <c r="E1075" s="91" t="s">
        <v>4624</v>
      </c>
      <c r="F1075" s="67" t="s">
        <v>3138</v>
      </c>
      <c r="G1075" s="67"/>
      <c r="H1075" s="93" t="s">
        <v>4</v>
      </c>
      <c r="I1075" s="67"/>
      <c r="J1075" s="92">
        <v>9704556230</v>
      </c>
      <c r="K1075" s="67"/>
      <c r="L1075" s="67"/>
      <c r="M1075" s="67"/>
      <c r="N1075" s="67"/>
      <c r="O1075" s="67"/>
    </row>
    <row r="1076" spans="1:15" ht="15">
      <c r="A1076" s="91" t="s">
        <v>19</v>
      </c>
      <c r="B1076" s="91" t="s">
        <v>147</v>
      </c>
      <c r="C1076" s="92" t="str">
        <f ca="1">IFERROR(__xludf.DUMMYFUNCTION("filter('Back End'!C:C,'Back End'!A:A=A1076,'Back End'!B:B=B1076,'Back End'!D:D=D1076)"),"Gadelapalem")</f>
        <v>Gadelapalem</v>
      </c>
      <c r="D1076" s="91" t="s">
        <v>150</v>
      </c>
      <c r="E1076" s="91" t="s">
        <v>4625</v>
      </c>
      <c r="F1076" s="91" t="s">
        <v>139</v>
      </c>
      <c r="G1076" s="91" t="s">
        <v>594</v>
      </c>
      <c r="H1076" s="93" t="s">
        <v>5</v>
      </c>
      <c r="I1076" s="67"/>
      <c r="J1076" s="92">
        <v>9866765139</v>
      </c>
      <c r="K1076" s="67"/>
      <c r="L1076" s="67"/>
      <c r="M1076" s="67"/>
      <c r="N1076" s="67"/>
      <c r="O1076" s="67"/>
    </row>
    <row r="1077" spans="1:15" ht="15">
      <c r="A1077" s="91" t="s">
        <v>19</v>
      </c>
      <c r="B1077" s="91" t="s">
        <v>147</v>
      </c>
      <c r="C1077" s="92" t="str">
        <f ca="1">IFERROR(__xludf.DUMMYFUNCTION("filter('Back End'!C:C,'Back End'!A:A=A1077,'Back End'!B:B=B1077,'Back End'!D:D=D1077)"),"Gangam Palem")</f>
        <v>Gangam Palem</v>
      </c>
      <c r="D1077" s="91" t="s">
        <v>152</v>
      </c>
      <c r="E1077" s="91" t="s">
        <v>4626</v>
      </c>
      <c r="F1077" s="67" t="s">
        <v>3138</v>
      </c>
      <c r="G1077" s="67"/>
      <c r="H1077" s="93" t="s">
        <v>4</v>
      </c>
      <c r="I1077" s="67"/>
      <c r="J1077" s="92">
        <v>9949549228</v>
      </c>
      <c r="K1077" s="67"/>
      <c r="L1077" s="67"/>
      <c r="M1077" s="67"/>
      <c r="N1077" s="67"/>
      <c r="O1077" s="67"/>
    </row>
    <row r="1078" spans="1:15" ht="15">
      <c r="A1078" s="91" t="s">
        <v>19</v>
      </c>
      <c r="B1078" s="91" t="s">
        <v>147</v>
      </c>
      <c r="C1078" s="92" t="str">
        <f ca="1">IFERROR(__xludf.DUMMYFUNCTION("filter('Back End'!C:C,'Back End'!A:A=A1078,'Back End'!B:B=B1078,'Back End'!D:D=D1078)"),"Gangam Palem")</f>
        <v>Gangam Palem</v>
      </c>
      <c r="D1078" s="91" t="s">
        <v>152</v>
      </c>
      <c r="E1078" s="91" t="s">
        <v>4627</v>
      </c>
      <c r="F1078" s="67" t="s">
        <v>3138</v>
      </c>
      <c r="G1078" s="67"/>
      <c r="H1078" s="93" t="s">
        <v>4</v>
      </c>
      <c r="I1078" s="92" t="s">
        <v>3125</v>
      </c>
      <c r="J1078" s="92">
        <v>8106675368</v>
      </c>
      <c r="K1078" s="67"/>
      <c r="L1078" s="67"/>
      <c r="M1078" s="67"/>
      <c r="N1078" s="67"/>
      <c r="O1078" s="67"/>
    </row>
    <row r="1079" spans="1:15" ht="15">
      <c r="A1079" s="91" t="s">
        <v>19</v>
      </c>
      <c r="B1079" s="91" t="s">
        <v>147</v>
      </c>
      <c r="C1079" s="92" t="str">
        <f ca="1">IFERROR(__xludf.DUMMYFUNCTION("filter('Back End'!C:C,'Back End'!A:A=A1079,'Back End'!B:B=B1079,'Back End'!D:D=D1079)"),"Gangam Palem")</f>
        <v>Gangam Palem</v>
      </c>
      <c r="D1079" s="91" t="s">
        <v>152</v>
      </c>
      <c r="E1079" s="91" t="s">
        <v>4628</v>
      </c>
      <c r="F1079" s="91" t="s">
        <v>154</v>
      </c>
      <c r="G1079" s="91" t="s">
        <v>615</v>
      </c>
      <c r="H1079" s="93" t="s">
        <v>5</v>
      </c>
      <c r="I1079" s="67"/>
      <c r="J1079" s="92">
        <v>9704221464</v>
      </c>
      <c r="K1079" s="67"/>
      <c r="L1079" s="67"/>
      <c r="M1079" s="67"/>
      <c r="N1079" s="67"/>
      <c r="O1079" s="67"/>
    </row>
    <row r="1080" spans="1:15" ht="45">
      <c r="A1080" s="91" t="s">
        <v>19</v>
      </c>
      <c r="B1080" s="92" t="s">
        <v>147</v>
      </c>
      <c r="C1080" s="92" t="str">
        <f ca="1">IFERROR(__xludf.DUMMYFUNCTION("filter('Back End'!C:C,'Back End'!A:A=A1080,'Back End'!B:B=B1080,'Back End'!D:D=D1080)"),"Gokavaram")</f>
        <v>Gokavaram</v>
      </c>
      <c r="D1080" s="91" t="s">
        <v>147</v>
      </c>
      <c r="E1080" s="92" t="s">
        <v>4629</v>
      </c>
      <c r="F1080" s="91" t="s">
        <v>139</v>
      </c>
      <c r="G1080" s="91" t="s">
        <v>594</v>
      </c>
      <c r="H1080" s="93" t="s">
        <v>4</v>
      </c>
      <c r="I1080" s="92" t="s">
        <v>3916</v>
      </c>
      <c r="J1080" s="92">
        <v>9866630799</v>
      </c>
      <c r="K1080" s="67"/>
      <c r="L1080" s="67"/>
      <c r="M1080" s="67"/>
      <c r="N1080" s="67"/>
      <c r="O1080" s="67"/>
    </row>
    <row r="1081" spans="1:15" ht="75">
      <c r="A1081" s="91" t="s">
        <v>19</v>
      </c>
      <c r="B1081" s="92" t="s">
        <v>147</v>
      </c>
      <c r="C1081" s="92" t="str">
        <f ca="1">IFERROR(__xludf.DUMMYFUNCTION("filter('Back End'!C:C,'Back End'!A:A=A1081,'Back End'!B:B=B1081,'Back End'!D:D=D1081)"),"Gokavaram")</f>
        <v>Gokavaram</v>
      </c>
      <c r="D1081" s="91" t="s">
        <v>147</v>
      </c>
      <c r="E1081" s="92" t="s">
        <v>4630</v>
      </c>
      <c r="F1081" s="91" t="s">
        <v>139</v>
      </c>
      <c r="G1081" s="91" t="s">
        <v>594</v>
      </c>
      <c r="H1081" s="93" t="s">
        <v>4</v>
      </c>
      <c r="I1081" s="92" t="s">
        <v>4631</v>
      </c>
      <c r="J1081" s="92">
        <v>9866737300</v>
      </c>
      <c r="K1081" s="67"/>
      <c r="L1081" s="67"/>
      <c r="M1081" s="67"/>
      <c r="N1081" s="67"/>
      <c r="O1081" s="67"/>
    </row>
    <row r="1082" spans="1:15" ht="45">
      <c r="A1082" s="118" t="s">
        <v>19</v>
      </c>
      <c r="B1082" s="119" t="s">
        <v>147</v>
      </c>
      <c r="C1082" s="119" t="str">
        <f ca="1">IFERROR(__xludf.DUMMYFUNCTION("filter('Back End'!C:C,'Back End'!A:A=A1082,'Back End'!B:B=B1082,'Back End'!D:D=D1082)"),"Gokavaram")</f>
        <v>Gokavaram</v>
      </c>
      <c r="D1082" s="118" t="s">
        <v>147</v>
      </c>
      <c r="E1082" s="119" t="s">
        <v>4632</v>
      </c>
      <c r="F1082" s="118" t="s">
        <v>114</v>
      </c>
      <c r="G1082" s="118" t="s">
        <v>85</v>
      </c>
      <c r="H1082" s="120" t="s">
        <v>4</v>
      </c>
      <c r="I1082" s="119" t="s">
        <v>4633</v>
      </c>
      <c r="J1082" s="119">
        <v>9866851462</v>
      </c>
      <c r="K1082" s="121"/>
      <c r="L1082" s="121"/>
      <c r="M1082" s="67"/>
      <c r="N1082" s="67"/>
      <c r="O1082" s="67"/>
    </row>
    <row r="1083" spans="1:15" ht="30">
      <c r="A1083" s="91" t="s">
        <v>19</v>
      </c>
      <c r="B1083" s="92" t="s">
        <v>147</v>
      </c>
      <c r="C1083" s="92" t="str">
        <f ca="1">IFERROR(__xludf.DUMMYFUNCTION("filter('Back End'!C:C,'Back End'!A:A=A1083,'Back End'!B:B=B1083,'Back End'!D:D=D1083)"),"Gokavaram")</f>
        <v>Gokavaram</v>
      </c>
      <c r="D1083" s="91" t="s">
        <v>147</v>
      </c>
      <c r="E1083" s="92" t="s">
        <v>4634</v>
      </c>
      <c r="F1083" s="91" t="s">
        <v>139</v>
      </c>
      <c r="G1083" s="91" t="s">
        <v>594</v>
      </c>
      <c r="H1083" s="93" t="s">
        <v>5</v>
      </c>
      <c r="I1083" s="92" t="s">
        <v>4039</v>
      </c>
      <c r="J1083" s="92">
        <v>9494213124</v>
      </c>
      <c r="K1083" s="67"/>
      <c r="L1083" s="67"/>
      <c r="M1083" s="67"/>
      <c r="N1083" s="67"/>
      <c r="O1083" s="67"/>
    </row>
    <row r="1084" spans="1:15" ht="15">
      <c r="A1084" s="91" t="s">
        <v>19</v>
      </c>
      <c r="B1084" s="91" t="s">
        <v>147</v>
      </c>
      <c r="C1084" s="92" t="str">
        <f ca="1">IFERROR(__xludf.DUMMYFUNCTION("filter('Back End'!C:C,'Back End'!A:A=A1084,'Back End'!B:B=B1084,'Back End'!D:D=D1084)"),"Gokavaram")</f>
        <v>Gokavaram</v>
      </c>
      <c r="D1084" s="91" t="s">
        <v>147</v>
      </c>
      <c r="E1084" s="91" t="s">
        <v>4635</v>
      </c>
      <c r="F1084" s="91" t="s">
        <v>139</v>
      </c>
      <c r="G1084" s="91" t="s">
        <v>594</v>
      </c>
      <c r="H1084" s="93" t="s">
        <v>5</v>
      </c>
      <c r="I1084" s="92" t="s">
        <v>3112</v>
      </c>
      <c r="J1084" s="92">
        <v>9951154532</v>
      </c>
      <c r="K1084" s="67"/>
      <c r="L1084" s="67"/>
      <c r="M1084" s="67"/>
      <c r="N1084" s="67"/>
      <c r="O1084" s="67"/>
    </row>
    <row r="1085" spans="1:15" ht="15">
      <c r="A1085" s="91" t="s">
        <v>19</v>
      </c>
      <c r="B1085" s="91" t="s">
        <v>147</v>
      </c>
      <c r="C1085" s="92" t="str">
        <f ca="1">IFERROR(__xludf.DUMMYFUNCTION("filter('Back End'!C:C,'Back End'!A:A=A1085,'Back End'!B:B=B1085,'Back End'!D:D=D1085)"),"Gokavaram")</f>
        <v>Gokavaram</v>
      </c>
      <c r="D1085" s="91" t="s">
        <v>147</v>
      </c>
      <c r="E1085" s="91" t="s">
        <v>4636</v>
      </c>
      <c r="F1085" s="91" t="s">
        <v>368</v>
      </c>
      <c r="G1085" s="91" t="s">
        <v>594</v>
      </c>
      <c r="H1085" s="93" t="s">
        <v>5</v>
      </c>
      <c r="I1085" s="92" t="s">
        <v>3112</v>
      </c>
      <c r="J1085" s="92">
        <v>9866822161</v>
      </c>
      <c r="K1085" s="67"/>
      <c r="L1085" s="67"/>
      <c r="M1085" s="67"/>
      <c r="N1085" s="67"/>
      <c r="O1085" s="67"/>
    </row>
    <row r="1086" spans="1:15" ht="15">
      <c r="A1086" s="118" t="s">
        <v>19</v>
      </c>
      <c r="B1086" s="118" t="s">
        <v>147</v>
      </c>
      <c r="C1086" s="119" t="str">
        <f ca="1">IFERROR(__xludf.DUMMYFUNCTION("filter('Back End'!C:C,'Back End'!A:A=A1086,'Back End'!B:B=B1086,'Back End'!D:D=D1086)"),"Gokavaram")</f>
        <v>Gokavaram</v>
      </c>
      <c r="D1086" s="118" t="s">
        <v>147</v>
      </c>
      <c r="E1086" s="118" t="s">
        <v>4637</v>
      </c>
      <c r="F1086" s="121" t="s">
        <v>3138</v>
      </c>
      <c r="G1086" s="121"/>
      <c r="H1086" s="120" t="s">
        <v>4</v>
      </c>
      <c r="I1086" s="121"/>
      <c r="J1086" s="119">
        <v>9640715026</v>
      </c>
      <c r="K1086" s="121"/>
      <c r="L1086" s="121"/>
      <c r="M1086" s="67"/>
      <c r="N1086" s="67"/>
      <c r="O1086" s="67"/>
    </row>
    <row r="1087" spans="1:15" ht="15">
      <c r="A1087" s="91" t="s">
        <v>19</v>
      </c>
      <c r="B1087" s="91" t="s">
        <v>147</v>
      </c>
      <c r="C1087" s="92" t="str">
        <f ca="1">IFERROR(__xludf.DUMMYFUNCTION("filter('Back End'!C:C,'Back End'!A:A=A1087,'Back End'!B:B=B1087,'Back End'!D:D=D1087)"),"Gokavaram")</f>
        <v>Gokavaram</v>
      </c>
      <c r="D1087" s="91" t="s">
        <v>147</v>
      </c>
      <c r="E1087" s="91" t="s">
        <v>4638</v>
      </c>
      <c r="F1087" s="91" t="s">
        <v>213</v>
      </c>
      <c r="G1087" s="91" t="s">
        <v>615</v>
      </c>
      <c r="H1087" s="93" t="s">
        <v>5</v>
      </c>
      <c r="I1087" s="92" t="s">
        <v>3112</v>
      </c>
      <c r="J1087" s="92">
        <v>7382104745</v>
      </c>
      <c r="K1087" s="67"/>
      <c r="L1087" s="67"/>
      <c r="M1087" s="67"/>
      <c r="N1087" s="67"/>
      <c r="O1087" s="67"/>
    </row>
    <row r="1088" spans="1:15" ht="15">
      <c r="A1088" s="91" t="s">
        <v>19</v>
      </c>
      <c r="B1088" s="91" t="s">
        <v>147</v>
      </c>
      <c r="C1088" s="92" t="str">
        <f ca="1">IFERROR(__xludf.DUMMYFUNCTION("filter('Back End'!C:C,'Back End'!A:A=A1088,'Back End'!B:B=B1088,'Back End'!D:D=D1088)"),"Gokavaram")</f>
        <v>Gokavaram</v>
      </c>
      <c r="D1088" s="91" t="s">
        <v>147</v>
      </c>
      <c r="E1088" s="91" t="s">
        <v>4639</v>
      </c>
      <c r="F1088" s="91" t="s">
        <v>1665</v>
      </c>
      <c r="G1088" s="91" t="s">
        <v>615</v>
      </c>
      <c r="H1088" s="93" t="s">
        <v>5</v>
      </c>
      <c r="I1088" s="92" t="s">
        <v>3112</v>
      </c>
      <c r="J1088" s="92">
        <v>7396331863</v>
      </c>
      <c r="K1088" s="67"/>
      <c r="L1088" s="67"/>
      <c r="M1088" s="67"/>
      <c r="N1088" s="67"/>
      <c r="O1088" s="67"/>
    </row>
    <row r="1089" spans="1:15" ht="15">
      <c r="A1089" s="91" t="s">
        <v>19</v>
      </c>
      <c r="B1089" s="91" t="s">
        <v>147</v>
      </c>
      <c r="C1089" s="92" t="str">
        <f ca="1">IFERROR(__xludf.DUMMYFUNCTION("filter('Back End'!C:C,'Back End'!A:A=A1089,'Back End'!B:B=B1089,'Back End'!D:D=D1089)"),"Gokavaram")</f>
        <v>Gokavaram</v>
      </c>
      <c r="D1089" s="91" t="s">
        <v>147</v>
      </c>
      <c r="E1089" s="91" t="s">
        <v>4640</v>
      </c>
      <c r="F1089" s="91" t="s">
        <v>1660</v>
      </c>
      <c r="G1089" s="91" t="s">
        <v>615</v>
      </c>
      <c r="H1089" s="93" t="s">
        <v>5</v>
      </c>
      <c r="I1089" s="92" t="s">
        <v>3112</v>
      </c>
      <c r="J1089" s="92">
        <v>9866439022</v>
      </c>
      <c r="K1089" s="67"/>
      <c r="L1089" s="67"/>
      <c r="M1089" s="67"/>
      <c r="N1089" s="67"/>
      <c r="O1089" s="67"/>
    </row>
    <row r="1090" spans="1:15" ht="15">
      <c r="A1090" s="91" t="s">
        <v>19</v>
      </c>
      <c r="B1090" s="91" t="s">
        <v>147</v>
      </c>
      <c r="C1090" s="92" t="str">
        <f ca="1">IFERROR(__xludf.DUMMYFUNCTION("filter('Back End'!C:C,'Back End'!A:A=A1090,'Back End'!B:B=B1090,'Back End'!D:D=D1090)"),"Gokavaram")</f>
        <v>Gokavaram</v>
      </c>
      <c r="D1090" s="91" t="s">
        <v>147</v>
      </c>
      <c r="E1090" s="91" t="s">
        <v>4641</v>
      </c>
      <c r="F1090" s="91" t="s">
        <v>139</v>
      </c>
      <c r="G1090" s="91" t="s">
        <v>594</v>
      </c>
      <c r="H1090" s="93" t="s">
        <v>5</v>
      </c>
      <c r="I1090" s="67"/>
      <c r="J1090" s="92">
        <v>9949135586</v>
      </c>
      <c r="K1090" s="67"/>
      <c r="L1090" s="67"/>
      <c r="M1090" s="67"/>
      <c r="N1090" s="67"/>
      <c r="O1090" s="67"/>
    </row>
    <row r="1091" spans="1:15" ht="15">
      <c r="A1091" s="91" t="s">
        <v>19</v>
      </c>
      <c r="B1091" s="91" t="s">
        <v>147</v>
      </c>
      <c r="C1091" s="92" t="str">
        <f ca="1">IFERROR(__xludf.DUMMYFUNCTION("filter('Back End'!C:C,'Back End'!A:A=A1091,'Back End'!B:B=B1091,'Back End'!D:D=D1091)"),"Gokavaram")</f>
        <v>Gokavaram</v>
      </c>
      <c r="D1091" s="91" t="s">
        <v>147</v>
      </c>
      <c r="E1091" s="91" t="s">
        <v>4642</v>
      </c>
      <c r="F1091" s="91" t="s">
        <v>114</v>
      </c>
      <c r="G1091" s="91" t="s">
        <v>85</v>
      </c>
      <c r="H1091" s="93" t="s">
        <v>5</v>
      </c>
      <c r="I1091" s="67"/>
      <c r="J1091" s="92">
        <v>9000147809</v>
      </c>
      <c r="K1091" s="67"/>
      <c r="L1091" s="67"/>
      <c r="M1091" s="67"/>
      <c r="N1091" s="67"/>
      <c r="O1091" s="67"/>
    </row>
    <row r="1092" spans="1:15" ht="15">
      <c r="A1092" s="91" t="s">
        <v>19</v>
      </c>
      <c r="B1092" s="91" t="s">
        <v>147</v>
      </c>
      <c r="C1092" s="92" t="str">
        <f ca="1">IFERROR(__xludf.DUMMYFUNCTION("filter('Back End'!C:C,'Back End'!A:A=A1092,'Back End'!B:B=B1092,'Back End'!D:D=D1092)"),"Gokavaram")</f>
        <v>Gokavaram</v>
      </c>
      <c r="D1092" s="91" t="s">
        <v>147</v>
      </c>
      <c r="E1092" s="91" t="s">
        <v>4643</v>
      </c>
      <c r="F1092" s="67" t="s">
        <v>3138</v>
      </c>
      <c r="G1092" s="67"/>
      <c r="H1092" s="93" t="s">
        <v>4</v>
      </c>
      <c r="I1092" s="67"/>
      <c r="J1092" s="92">
        <v>9014369434</v>
      </c>
      <c r="K1092" s="67"/>
      <c r="L1092" s="67"/>
      <c r="M1092" s="67"/>
      <c r="N1092" s="67"/>
      <c r="O1092" s="67"/>
    </row>
    <row r="1093" spans="1:15" ht="15">
      <c r="A1093" s="91" t="s">
        <v>19</v>
      </c>
      <c r="B1093" s="91" t="s">
        <v>147</v>
      </c>
      <c r="C1093" s="92" t="str">
        <f ca="1">IFERROR(__xludf.DUMMYFUNCTION("filter('Back End'!C:C,'Back End'!A:A=A1093,'Back End'!B:B=B1093,'Back End'!D:D=D1093)"),"Gokavaram")</f>
        <v>Gokavaram</v>
      </c>
      <c r="D1093" s="91" t="s">
        <v>147</v>
      </c>
      <c r="E1093" s="91" t="s">
        <v>4644</v>
      </c>
      <c r="F1093" s="91" t="s">
        <v>139</v>
      </c>
      <c r="G1093" s="91" t="s">
        <v>594</v>
      </c>
      <c r="H1093" s="93" t="s">
        <v>5</v>
      </c>
      <c r="I1093" s="67"/>
      <c r="J1093" s="92">
        <v>9949262616</v>
      </c>
      <c r="K1093" s="67"/>
      <c r="L1093" s="67"/>
      <c r="M1093" s="67"/>
      <c r="N1093" s="67"/>
      <c r="O1093" s="67"/>
    </row>
    <row r="1094" spans="1:15" ht="15">
      <c r="A1094" s="91" t="s">
        <v>19</v>
      </c>
      <c r="B1094" s="91" t="s">
        <v>147</v>
      </c>
      <c r="C1094" s="92" t="str">
        <f ca="1">IFERROR(__xludf.DUMMYFUNCTION("filter('Back End'!C:C,'Back End'!A:A=A1094,'Back End'!B:B=B1094,'Back End'!D:D=D1094)"),"Gokavaram")</f>
        <v>Gokavaram</v>
      </c>
      <c r="D1094" s="91" t="s">
        <v>147</v>
      </c>
      <c r="E1094" s="91" t="s">
        <v>4645</v>
      </c>
      <c r="F1094" s="67" t="s">
        <v>3138</v>
      </c>
      <c r="G1094" s="67"/>
      <c r="H1094" s="93" t="s">
        <v>4</v>
      </c>
      <c r="I1094" s="67"/>
      <c r="J1094" s="92">
        <v>8500314369</v>
      </c>
      <c r="K1094" s="67"/>
      <c r="L1094" s="67"/>
      <c r="M1094" s="67"/>
      <c r="N1094" s="67"/>
      <c r="O1094" s="67"/>
    </row>
    <row r="1095" spans="1:15" ht="15">
      <c r="A1095" s="91" t="s">
        <v>19</v>
      </c>
      <c r="B1095" s="91" t="s">
        <v>147</v>
      </c>
      <c r="C1095" s="92" t="str">
        <f ca="1">IFERROR(__xludf.DUMMYFUNCTION("filter('Back End'!C:C,'Back End'!A:A=A1095,'Back End'!B:B=B1095,'Back End'!D:D=D1095)"),"Gokavaram")</f>
        <v>Gokavaram</v>
      </c>
      <c r="D1095" s="91" t="s">
        <v>147</v>
      </c>
      <c r="E1095" s="91" t="s">
        <v>4646</v>
      </c>
      <c r="F1095" s="67" t="s">
        <v>3138</v>
      </c>
      <c r="G1095" s="67"/>
      <c r="H1095" s="93" t="s">
        <v>4</v>
      </c>
      <c r="I1095" s="67"/>
      <c r="J1095" s="92">
        <v>9848724335</v>
      </c>
      <c r="K1095" s="67"/>
      <c r="L1095" s="67"/>
      <c r="M1095" s="67"/>
      <c r="N1095" s="67"/>
      <c r="O1095" s="67"/>
    </row>
    <row r="1096" spans="1:15" ht="15">
      <c r="A1096" s="91" t="s">
        <v>19</v>
      </c>
      <c r="B1096" s="91" t="s">
        <v>147</v>
      </c>
      <c r="C1096" s="92" t="str">
        <f ca="1">IFERROR(__xludf.DUMMYFUNCTION("filter('Back End'!C:C,'Back End'!A:A=A1096,'Back End'!B:B=B1096,'Back End'!D:D=D1096)"),"Gokavaram")</f>
        <v>Gokavaram</v>
      </c>
      <c r="D1096" s="91" t="s">
        <v>147</v>
      </c>
      <c r="E1096" s="91" t="s">
        <v>4647</v>
      </c>
      <c r="F1096" s="91" t="s">
        <v>139</v>
      </c>
      <c r="G1096" s="91" t="s">
        <v>594</v>
      </c>
      <c r="H1096" s="93" t="s">
        <v>4</v>
      </c>
      <c r="I1096" s="92" t="s">
        <v>3112</v>
      </c>
      <c r="J1096" s="92">
        <v>9704411395</v>
      </c>
      <c r="K1096" s="67"/>
      <c r="L1096" s="67"/>
      <c r="M1096" s="67"/>
      <c r="N1096" s="67"/>
      <c r="O1096" s="67"/>
    </row>
    <row r="1097" spans="1:15" ht="15">
      <c r="A1097" s="91" t="s">
        <v>19</v>
      </c>
      <c r="B1097" s="91" t="s">
        <v>147</v>
      </c>
      <c r="C1097" s="92" t="str">
        <f ca="1">IFERROR(__xludf.DUMMYFUNCTION("filter('Back End'!C:C,'Back End'!A:A=A1097,'Back End'!B:B=B1097,'Back End'!D:D=D1097)"),"Gokavaram")</f>
        <v>Gokavaram</v>
      </c>
      <c r="D1097" s="91" t="s">
        <v>147</v>
      </c>
      <c r="E1097" s="91" t="s">
        <v>4648</v>
      </c>
      <c r="F1097" s="91" t="s">
        <v>139</v>
      </c>
      <c r="G1097" s="91" t="s">
        <v>594</v>
      </c>
      <c r="H1097" s="93" t="s">
        <v>4</v>
      </c>
      <c r="I1097" s="92" t="s">
        <v>3112</v>
      </c>
      <c r="J1097" s="92">
        <v>9705732123</v>
      </c>
      <c r="K1097" s="67"/>
      <c r="L1097" s="67"/>
      <c r="M1097" s="67"/>
      <c r="N1097" s="67"/>
      <c r="O1097" s="67"/>
    </row>
    <row r="1098" spans="1:15" ht="30">
      <c r="A1098" s="91" t="s">
        <v>19</v>
      </c>
      <c r="B1098" s="91" t="s">
        <v>147</v>
      </c>
      <c r="C1098" s="92" t="str">
        <f ca="1">IFERROR(__xludf.DUMMYFUNCTION("filter('Back End'!C:C,'Back End'!A:A=A1098,'Back End'!B:B=B1098,'Back End'!D:D=D1098)"),"Gokavaram")</f>
        <v>Gokavaram</v>
      </c>
      <c r="D1098" s="91" t="s">
        <v>147</v>
      </c>
      <c r="E1098" s="91" t="s">
        <v>4649</v>
      </c>
      <c r="F1098" s="91" t="s">
        <v>1669</v>
      </c>
      <c r="G1098" s="91" t="s">
        <v>615</v>
      </c>
      <c r="H1098" s="93" t="s">
        <v>4</v>
      </c>
      <c r="I1098" s="92" t="s">
        <v>3634</v>
      </c>
      <c r="J1098" s="92">
        <v>9704438288</v>
      </c>
      <c r="K1098" s="67"/>
      <c r="L1098" s="67"/>
      <c r="M1098" s="67"/>
      <c r="N1098" s="67"/>
      <c r="O1098" s="67"/>
    </row>
    <row r="1099" spans="1:15" ht="15">
      <c r="A1099" s="91" t="s">
        <v>19</v>
      </c>
      <c r="B1099" s="91" t="s">
        <v>147</v>
      </c>
      <c r="C1099" s="92" t="str">
        <f ca="1">IFERROR(__xludf.DUMMYFUNCTION("filter('Back End'!C:C,'Back End'!A:A=A1099,'Back End'!B:B=B1099,'Back End'!D:D=D1099)"),"Gokavaram")</f>
        <v>Gokavaram</v>
      </c>
      <c r="D1099" s="91" t="s">
        <v>147</v>
      </c>
      <c r="E1099" s="91" t="s">
        <v>4650</v>
      </c>
      <c r="F1099" s="67" t="s">
        <v>3138</v>
      </c>
      <c r="G1099" s="67"/>
      <c r="H1099" s="93" t="s">
        <v>4</v>
      </c>
      <c r="I1099" s="67"/>
      <c r="J1099" s="92">
        <v>7997254866</v>
      </c>
      <c r="K1099" s="67"/>
      <c r="L1099" s="67"/>
      <c r="M1099" s="67"/>
      <c r="N1099" s="67"/>
      <c r="O1099" s="67"/>
    </row>
    <row r="1100" spans="1:15" ht="30">
      <c r="A1100" s="91" t="s">
        <v>19</v>
      </c>
      <c r="B1100" s="91" t="s">
        <v>147</v>
      </c>
      <c r="C1100" s="92" t="s">
        <v>147</v>
      </c>
      <c r="D1100" s="91" t="s">
        <v>147</v>
      </c>
      <c r="E1100" s="91" t="s">
        <v>4651</v>
      </c>
      <c r="F1100" s="91" t="s">
        <v>139</v>
      </c>
      <c r="G1100" s="91" t="s">
        <v>594</v>
      </c>
      <c r="H1100" s="93" t="s">
        <v>4</v>
      </c>
      <c r="I1100" s="92" t="s">
        <v>3634</v>
      </c>
      <c r="J1100" s="92">
        <v>9000260239</v>
      </c>
      <c r="K1100" s="67"/>
      <c r="L1100" s="67"/>
      <c r="M1100" s="67"/>
      <c r="N1100" s="67"/>
      <c r="O1100" s="67"/>
    </row>
    <row r="1101" spans="1:15" ht="30">
      <c r="A1101" s="91" t="s">
        <v>19</v>
      </c>
      <c r="B1101" s="91" t="s">
        <v>147</v>
      </c>
      <c r="C1101" s="92" t="str">
        <f ca="1">IFERROR(__xludf.DUMMYFUNCTION("filter('Back End'!C:C,'Back End'!A:A=A1101,'Back End'!B:B=B1101,'Back End'!D:D=D1101)"),"Gokavaram")</f>
        <v>Gokavaram</v>
      </c>
      <c r="D1101" s="91" t="s">
        <v>147</v>
      </c>
      <c r="E1101" s="91" t="s">
        <v>4652</v>
      </c>
      <c r="F1101" s="91" t="s">
        <v>139</v>
      </c>
      <c r="G1101" s="91" t="s">
        <v>594</v>
      </c>
      <c r="H1101" s="93" t="s">
        <v>4</v>
      </c>
      <c r="I1101" s="92" t="s">
        <v>4653</v>
      </c>
      <c r="J1101" s="92">
        <v>8688158812</v>
      </c>
      <c r="K1101" s="67"/>
      <c r="L1101" s="67"/>
      <c r="M1101" s="67"/>
      <c r="N1101" s="67"/>
      <c r="O1101" s="67"/>
    </row>
    <row r="1102" spans="1:15" ht="15">
      <c r="A1102" s="91" t="s">
        <v>19</v>
      </c>
      <c r="B1102" s="91" t="s">
        <v>147</v>
      </c>
      <c r="C1102" s="92" t="str">
        <f ca="1">IFERROR(__xludf.DUMMYFUNCTION("filter('Back End'!C:C,'Back End'!A:A=A1102,'Back End'!B:B=B1102,'Back End'!D:D=D1102)"),"Gokavaram")</f>
        <v>Gokavaram</v>
      </c>
      <c r="D1102" s="91" t="s">
        <v>147</v>
      </c>
      <c r="E1102" s="91" t="s">
        <v>4654</v>
      </c>
      <c r="F1102" s="91" t="s">
        <v>213</v>
      </c>
      <c r="G1102" s="91" t="s">
        <v>615</v>
      </c>
      <c r="H1102" s="93" t="s">
        <v>4</v>
      </c>
      <c r="I1102" s="92" t="s">
        <v>3490</v>
      </c>
      <c r="J1102" s="92">
        <v>9440486396</v>
      </c>
      <c r="K1102" s="67"/>
      <c r="L1102" s="67"/>
      <c r="M1102" s="67"/>
      <c r="N1102" s="67"/>
      <c r="O1102" s="67"/>
    </row>
    <row r="1103" spans="1:15" ht="30">
      <c r="A1103" s="91" t="s">
        <v>19</v>
      </c>
      <c r="B1103" s="91" t="s">
        <v>147</v>
      </c>
      <c r="C1103" s="92" t="str">
        <f ca="1">IFERROR(__xludf.DUMMYFUNCTION("filter('Back End'!C:C,'Back End'!A:A=A1103,'Back End'!B:B=B1103,'Back End'!D:D=D1103)"),"Gokavaram")</f>
        <v>Gokavaram</v>
      </c>
      <c r="D1103" s="91" t="s">
        <v>147</v>
      </c>
      <c r="E1103" s="91" t="s">
        <v>4655</v>
      </c>
      <c r="F1103" s="91" t="s">
        <v>1669</v>
      </c>
      <c r="G1103" s="91" t="s">
        <v>615</v>
      </c>
      <c r="H1103" s="93" t="s">
        <v>4</v>
      </c>
      <c r="I1103" s="92" t="s">
        <v>3634</v>
      </c>
      <c r="J1103" s="92">
        <v>8374639577</v>
      </c>
      <c r="K1103" s="67"/>
      <c r="L1103" s="67"/>
      <c r="M1103" s="67"/>
      <c r="N1103" s="67"/>
      <c r="O1103" s="67"/>
    </row>
    <row r="1104" spans="1:15" ht="15">
      <c r="A1104" s="91" t="s">
        <v>19</v>
      </c>
      <c r="B1104" s="91" t="s">
        <v>147</v>
      </c>
      <c r="C1104" s="92" t="str">
        <f ca="1">IFERROR(__xludf.DUMMYFUNCTION("filter('Back End'!C:C,'Back End'!A:A=A1104,'Back End'!B:B=B1104,'Back End'!D:D=D1104)"),"Gokavaram")</f>
        <v>Gokavaram</v>
      </c>
      <c r="D1104" s="91" t="s">
        <v>147</v>
      </c>
      <c r="E1104" s="91" t="s">
        <v>4656</v>
      </c>
      <c r="F1104" s="67" t="s">
        <v>3138</v>
      </c>
      <c r="G1104" s="67"/>
      <c r="H1104" s="93" t="s">
        <v>4</v>
      </c>
      <c r="I1104" s="67"/>
      <c r="J1104" s="92">
        <v>9701439929</v>
      </c>
      <c r="K1104" s="67"/>
      <c r="L1104" s="67"/>
      <c r="M1104" s="67"/>
      <c r="N1104" s="67"/>
      <c r="O1104" s="67"/>
    </row>
    <row r="1105" spans="1:15" ht="30.4">
      <c r="A1105" s="91" t="s">
        <v>19</v>
      </c>
      <c r="B1105" s="100" t="s">
        <v>147</v>
      </c>
      <c r="C1105" s="97" t="s">
        <v>161</v>
      </c>
      <c r="D1105" s="122" t="s">
        <v>161</v>
      </c>
      <c r="E1105" s="100" t="s">
        <v>4657</v>
      </c>
      <c r="F1105" s="100" t="s">
        <v>1669</v>
      </c>
      <c r="G1105" s="100" t="s">
        <v>615</v>
      </c>
      <c r="H1105" s="100" t="s">
        <v>5</v>
      </c>
      <c r="I1105" s="97" t="s">
        <v>4658</v>
      </c>
      <c r="J1105" s="97">
        <v>9951245498</v>
      </c>
      <c r="K1105" s="99"/>
      <c r="L1105" s="99"/>
      <c r="M1105" s="67"/>
      <c r="N1105" s="67"/>
      <c r="O1105" s="67"/>
    </row>
    <row r="1106" spans="1:15" ht="15">
      <c r="A1106" s="91" t="s">
        <v>19</v>
      </c>
      <c r="B1106" s="91" t="s">
        <v>147</v>
      </c>
      <c r="C1106" s="92" t="str">
        <f ca="1">IFERROR(__xludf.DUMMYFUNCTION("filter('Back End'!C:C,'Back End'!A:A=A1106,'Back End'!B:B=B1106,'Back End'!D:D=D1106)"),"Itikayala Palle")</f>
        <v>Itikayala Palle</v>
      </c>
      <c r="D1106" s="91" t="s">
        <v>161</v>
      </c>
      <c r="E1106" s="91" t="s">
        <v>4659</v>
      </c>
      <c r="F1106" s="67" t="s">
        <v>3138</v>
      </c>
      <c r="G1106" s="67"/>
      <c r="H1106" s="93" t="s">
        <v>4</v>
      </c>
      <c r="I1106" s="67"/>
      <c r="J1106" s="92">
        <v>9949664290</v>
      </c>
      <c r="K1106" s="67"/>
      <c r="L1106" s="67"/>
      <c r="M1106" s="67"/>
      <c r="N1106" s="67"/>
      <c r="O1106" s="67"/>
    </row>
    <row r="1107" spans="1:15" ht="15">
      <c r="A1107" s="91" t="s">
        <v>19</v>
      </c>
      <c r="B1107" s="91" t="s">
        <v>147</v>
      </c>
      <c r="C1107" s="92" t="str">
        <f ca="1">IFERROR(__xludf.DUMMYFUNCTION("filter('Back End'!C:C,'Back End'!A:A=A1107,'Back End'!B:B=B1107,'Back End'!D:D=D1107)"),"Itikayala Palle")</f>
        <v>Itikayala Palle</v>
      </c>
      <c r="D1107" s="91" t="s">
        <v>161</v>
      </c>
      <c r="E1107" s="91" t="s">
        <v>4660</v>
      </c>
      <c r="F1107" s="67" t="s">
        <v>3138</v>
      </c>
      <c r="G1107" s="67"/>
      <c r="H1107" s="93" t="s">
        <v>4</v>
      </c>
      <c r="I1107" s="92" t="s">
        <v>3125</v>
      </c>
      <c r="J1107" s="92">
        <v>8106534824</v>
      </c>
      <c r="K1107" s="67"/>
      <c r="L1107" s="67"/>
      <c r="M1107" s="67"/>
      <c r="N1107" s="67"/>
      <c r="O1107" s="67"/>
    </row>
    <row r="1108" spans="1:15" ht="15">
      <c r="A1108" s="91" t="s">
        <v>19</v>
      </c>
      <c r="B1108" s="91" t="s">
        <v>147</v>
      </c>
      <c r="C1108" s="92" t="str">
        <f ca="1">IFERROR(__xludf.DUMMYFUNCTION("filter('Back End'!C:C,'Back End'!A:A=A1108,'Back End'!B:B=B1108,'Back End'!D:D=D1108)"),"Kamaraju Peta")</f>
        <v>Kamaraju Peta</v>
      </c>
      <c r="D1108" s="91" t="s">
        <v>163</v>
      </c>
      <c r="E1108" s="91" t="s">
        <v>4661</v>
      </c>
      <c r="F1108" s="67" t="s">
        <v>3138</v>
      </c>
      <c r="G1108" s="67"/>
      <c r="H1108" s="93" t="s">
        <v>4</v>
      </c>
      <c r="I1108" s="67"/>
      <c r="J1108" s="92">
        <v>8500354816</v>
      </c>
      <c r="K1108" s="67"/>
      <c r="L1108" s="67"/>
      <c r="M1108" s="67"/>
      <c r="N1108" s="67"/>
      <c r="O1108" s="67"/>
    </row>
    <row r="1109" spans="1:15" ht="15">
      <c r="A1109" s="91" t="s">
        <v>19</v>
      </c>
      <c r="B1109" s="91" t="s">
        <v>147</v>
      </c>
      <c r="C1109" s="92" t="str">
        <f ca="1">IFERROR(__xludf.DUMMYFUNCTION("filter('Back End'!C:C,'Back End'!A:A=A1109,'Back End'!B:B=B1109,'Back End'!D:D=D1109)"),"Kamaraju Peta")</f>
        <v>Kamaraju Peta</v>
      </c>
      <c r="D1109" s="91" t="s">
        <v>163</v>
      </c>
      <c r="E1109" s="91" t="s">
        <v>4662</v>
      </c>
      <c r="F1109" s="67" t="s">
        <v>3138</v>
      </c>
      <c r="G1109" s="67"/>
      <c r="H1109" s="93" t="s">
        <v>4</v>
      </c>
      <c r="I1109" s="92" t="s">
        <v>3125</v>
      </c>
      <c r="J1109" s="92">
        <v>8500444873</v>
      </c>
      <c r="K1109" s="67"/>
      <c r="L1109" s="67"/>
      <c r="M1109" s="67"/>
      <c r="N1109" s="67"/>
      <c r="O1109" s="67"/>
    </row>
    <row r="1110" spans="1:15" ht="15">
      <c r="A1110" s="91" t="s">
        <v>19</v>
      </c>
      <c r="B1110" s="91" t="s">
        <v>147</v>
      </c>
      <c r="C1110" s="92" t="str">
        <f ca="1">IFERROR(__xludf.DUMMYFUNCTION("filter('Back End'!C:C,'Back End'!A:A=A1110,'Back End'!B:B=B1110,'Back End'!D:D=D1110)"),"Kamaraju Peta")</f>
        <v>Kamaraju Peta</v>
      </c>
      <c r="D1110" s="91" t="s">
        <v>163</v>
      </c>
      <c r="E1110" s="91" t="s">
        <v>4663</v>
      </c>
      <c r="F1110" s="67" t="s">
        <v>3138</v>
      </c>
      <c r="G1110" s="67"/>
      <c r="H1110" s="93" t="s">
        <v>4</v>
      </c>
      <c r="I1110" s="67"/>
      <c r="J1110" s="92">
        <v>9848361027</v>
      </c>
      <c r="K1110" s="67"/>
      <c r="L1110" s="67"/>
      <c r="M1110" s="67"/>
      <c r="N1110" s="67"/>
      <c r="O1110" s="67"/>
    </row>
    <row r="1111" spans="1:15" ht="15">
      <c r="A1111" s="91" t="s">
        <v>19</v>
      </c>
      <c r="B1111" s="91" t="s">
        <v>147</v>
      </c>
      <c r="C1111" s="92" t="str">
        <f ca="1">IFERROR(__xludf.DUMMYFUNCTION("filter('Back End'!C:C,'Back End'!A:A=A1111,'Back End'!B:B=B1111,'Back End'!D:D=D1111)"),"Kamaraju Peta")</f>
        <v>Kamaraju Peta</v>
      </c>
      <c r="D1111" s="91" t="s">
        <v>163</v>
      </c>
      <c r="E1111" s="91" t="s">
        <v>4664</v>
      </c>
      <c r="F1111" s="67" t="s">
        <v>3138</v>
      </c>
      <c r="G1111" s="67"/>
      <c r="H1111" s="93" t="s">
        <v>4</v>
      </c>
      <c r="I1111" s="67"/>
      <c r="J1111" s="92">
        <v>9866964294</v>
      </c>
      <c r="K1111" s="67"/>
      <c r="L1111" s="67"/>
      <c r="M1111" s="67"/>
      <c r="N1111" s="67"/>
      <c r="O1111" s="67"/>
    </row>
    <row r="1112" spans="1:15" ht="15">
      <c r="A1112" s="91" t="s">
        <v>19</v>
      </c>
      <c r="B1112" s="91" t="s">
        <v>147</v>
      </c>
      <c r="C1112" s="92" t="str">
        <f ca="1">IFERROR(__xludf.DUMMYFUNCTION("filter('Back End'!C:C,'Back End'!A:A=A1112,'Back End'!B:B=B1112,'Back End'!D:D=D1112)"),"Kamaraju Peta")</f>
        <v>Kamaraju Peta</v>
      </c>
      <c r="D1112" s="91" t="s">
        <v>163</v>
      </c>
      <c r="E1112" s="91" t="s">
        <v>4665</v>
      </c>
      <c r="F1112" s="67" t="s">
        <v>3138</v>
      </c>
      <c r="G1112" s="67"/>
      <c r="H1112" s="93" t="s">
        <v>4</v>
      </c>
      <c r="I1112" s="67"/>
      <c r="J1112" s="92">
        <v>9849638670</v>
      </c>
      <c r="K1112" s="67"/>
      <c r="L1112" s="67"/>
      <c r="M1112" s="67"/>
      <c r="N1112" s="67"/>
      <c r="O1112" s="67"/>
    </row>
    <row r="1113" spans="1:15" ht="15">
      <c r="A1113" s="91" t="s">
        <v>19</v>
      </c>
      <c r="B1113" s="91" t="s">
        <v>147</v>
      </c>
      <c r="C1113" s="92" t="str">
        <f ca="1">IFERROR(__xludf.DUMMYFUNCTION("filter('Back End'!C:C,'Back End'!A:A=A1113,'Back End'!B:B=B1113,'Back End'!D:D=D1113)"),"Kamaraju Peta")</f>
        <v>Kamaraju Peta</v>
      </c>
      <c r="D1113" s="91" t="s">
        <v>163</v>
      </c>
      <c r="E1113" s="91" t="s">
        <v>4666</v>
      </c>
      <c r="F1113" s="91" t="s">
        <v>213</v>
      </c>
      <c r="G1113" s="91" t="s">
        <v>615</v>
      </c>
      <c r="H1113" s="93" t="s">
        <v>5</v>
      </c>
      <c r="I1113" s="67"/>
      <c r="J1113" s="92">
        <v>8500788018</v>
      </c>
      <c r="K1113" s="67"/>
      <c r="L1113" s="67"/>
      <c r="M1113" s="67"/>
      <c r="N1113" s="67"/>
      <c r="O1113" s="67"/>
    </row>
    <row r="1114" spans="1:15" ht="15">
      <c r="A1114" s="91" t="s">
        <v>19</v>
      </c>
      <c r="B1114" s="91" t="s">
        <v>147</v>
      </c>
      <c r="C1114" s="92" t="str">
        <f ca="1">IFERROR(__xludf.DUMMYFUNCTION("filter('Back End'!C:C,'Back End'!A:A=A1114,'Back End'!B:B=B1114,'Back End'!D:D=D1114)"),"Kamaraju Peta")</f>
        <v>Kamaraju Peta</v>
      </c>
      <c r="D1114" s="91" t="s">
        <v>163</v>
      </c>
      <c r="E1114" s="91" t="s">
        <v>4667</v>
      </c>
      <c r="F1114" s="91" t="s">
        <v>213</v>
      </c>
      <c r="G1114" s="91" t="s">
        <v>615</v>
      </c>
      <c r="H1114" s="93" t="s">
        <v>5</v>
      </c>
      <c r="I1114" s="67"/>
      <c r="J1114" s="92">
        <v>9492221223</v>
      </c>
      <c r="K1114" s="67"/>
      <c r="L1114" s="67"/>
      <c r="M1114" s="67"/>
      <c r="N1114" s="67"/>
      <c r="O1114" s="67"/>
    </row>
    <row r="1115" spans="1:15" ht="15">
      <c r="A1115" s="91" t="s">
        <v>19</v>
      </c>
      <c r="B1115" s="91" t="s">
        <v>147</v>
      </c>
      <c r="C1115" s="92" t="str">
        <f ca="1">IFERROR(__xludf.DUMMYFUNCTION("filter('Back End'!C:C,'Back End'!A:A=A1115,'Back End'!B:B=B1115,'Back End'!D:D=D1115)"),"Kamaraju Peta")</f>
        <v>Kamaraju Peta</v>
      </c>
      <c r="D1115" s="91" t="s">
        <v>163</v>
      </c>
      <c r="E1115" s="91" t="s">
        <v>4668</v>
      </c>
      <c r="F1115" s="91" t="s">
        <v>213</v>
      </c>
      <c r="G1115" s="91" t="s">
        <v>615</v>
      </c>
      <c r="H1115" s="93" t="s">
        <v>5</v>
      </c>
      <c r="I1115" s="67"/>
      <c r="J1115" s="92">
        <v>9912252616</v>
      </c>
      <c r="K1115" s="67"/>
      <c r="L1115" s="67"/>
      <c r="M1115" s="67"/>
      <c r="N1115" s="67"/>
      <c r="O1115" s="67"/>
    </row>
    <row r="1116" spans="1:15" ht="15">
      <c r="A1116" s="91" t="s">
        <v>19</v>
      </c>
      <c r="B1116" s="91" t="s">
        <v>147</v>
      </c>
      <c r="C1116" s="92" t="str">
        <f ca="1">IFERROR(__xludf.DUMMYFUNCTION("filter('Back End'!C:C,'Back End'!A:A=A1116,'Back End'!B:B=B1116,'Back End'!D:D=D1116)"),"Kothapalle")</f>
        <v>Kothapalle</v>
      </c>
      <c r="D1116" s="91" t="s">
        <v>166</v>
      </c>
      <c r="E1116" s="91" t="s">
        <v>4669</v>
      </c>
      <c r="F1116" s="67" t="s">
        <v>3138</v>
      </c>
      <c r="G1116" s="67"/>
      <c r="H1116" s="93" t="s">
        <v>4</v>
      </c>
      <c r="I1116" s="67"/>
      <c r="J1116" s="92">
        <v>8500800625</v>
      </c>
      <c r="K1116" s="67"/>
      <c r="L1116" s="67"/>
      <c r="M1116" s="67"/>
      <c r="N1116" s="67"/>
      <c r="O1116" s="67"/>
    </row>
    <row r="1117" spans="1:15" ht="15">
      <c r="A1117" s="91" t="s">
        <v>19</v>
      </c>
      <c r="B1117" s="91" t="s">
        <v>147</v>
      </c>
      <c r="C1117" s="92" t="str">
        <f ca="1">IFERROR(__xludf.DUMMYFUNCTION("filter('Back End'!C:C,'Back End'!A:A=A1117,'Back End'!B:B=B1117,'Back End'!D:D=D1117)"),"Kothapalle")</f>
        <v>Kothapalle</v>
      </c>
      <c r="D1117" s="91" t="s">
        <v>166</v>
      </c>
      <c r="E1117" s="91" t="s">
        <v>4670</v>
      </c>
      <c r="F1117" s="67" t="s">
        <v>3138</v>
      </c>
      <c r="G1117" s="67"/>
      <c r="H1117" s="93" t="s">
        <v>4</v>
      </c>
      <c r="I1117" s="67"/>
      <c r="J1117" s="92">
        <v>7993198504</v>
      </c>
      <c r="K1117" s="67"/>
      <c r="L1117" s="67"/>
      <c r="M1117" s="67"/>
      <c r="N1117" s="67"/>
      <c r="O1117" s="67"/>
    </row>
    <row r="1118" spans="1:15" ht="15">
      <c r="A1118" s="91" t="s">
        <v>19</v>
      </c>
      <c r="B1118" s="91" t="s">
        <v>147</v>
      </c>
      <c r="C1118" s="92" t="str">
        <f ca="1">IFERROR(__xludf.DUMMYFUNCTION("filter('Back End'!C:C,'Back End'!A:A=A1118,'Back End'!B:B=B1118,'Back End'!D:D=D1118)"),"Kothapalle")</f>
        <v>Kothapalle</v>
      </c>
      <c r="D1118" s="91" t="s">
        <v>166</v>
      </c>
      <c r="E1118" s="91" t="s">
        <v>4671</v>
      </c>
      <c r="F1118" s="67" t="s">
        <v>3138</v>
      </c>
      <c r="G1118" s="67"/>
      <c r="H1118" s="93" t="s">
        <v>4</v>
      </c>
      <c r="I1118" s="67"/>
      <c r="J1118" s="92">
        <v>7702454575</v>
      </c>
      <c r="K1118" s="67"/>
      <c r="L1118" s="67"/>
      <c r="M1118" s="67"/>
      <c r="N1118" s="67"/>
      <c r="O1118" s="67"/>
    </row>
    <row r="1119" spans="1:15" ht="15">
      <c r="A1119" s="91" t="s">
        <v>19</v>
      </c>
      <c r="B1119" s="91" t="s">
        <v>147</v>
      </c>
      <c r="C1119" s="92" t="str">
        <f ca="1">IFERROR(__xludf.DUMMYFUNCTION("filter('Back End'!C:C,'Back End'!A:A=A1119,'Back End'!B:B=B1119,'Back End'!D:D=D1119)"),"Kothapalle")</f>
        <v>Kothapalle</v>
      </c>
      <c r="D1119" s="91" t="s">
        <v>166</v>
      </c>
      <c r="E1119" s="91" t="s">
        <v>4672</v>
      </c>
      <c r="F1119" s="67" t="s">
        <v>3138</v>
      </c>
      <c r="G1119" s="67"/>
      <c r="H1119" s="93" t="s">
        <v>4</v>
      </c>
      <c r="I1119" s="92" t="s">
        <v>3125</v>
      </c>
      <c r="J1119" s="92">
        <v>9959499607</v>
      </c>
      <c r="K1119" s="67"/>
      <c r="L1119" s="67"/>
      <c r="M1119" s="67"/>
      <c r="N1119" s="67"/>
      <c r="O1119" s="67"/>
    </row>
    <row r="1120" spans="1:15" ht="15">
      <c r="A1120" s="91" t="s">
        <v>19</v>
      </c>
      <c r="B1120" s="91" t="s">
        <v>147</v>
      </c>
      <c r="C1120" s="92" t="str">
        <f ca="1">IFERROR(__xludf.DUMMYFUNCTION("filter('Back End'!C:C,'Back End'!A:A=A1120,'Back End'!B:B=B1120,'Back End'!D:D=D1120)"),"Kothapalle")</f>
        <v>Kothapalle</v>
      </c>
      <c r="D1120" s="91" t="s">
        <v>166</v>
      </c>
      <c r="E1120" s="91" t="s">
        <v>4673</v>
      </c>
      <c r="F1120" s="67" t="s">
        <v>3138</v>
      </c>
      <c r="G1120" s="67"/>
      <c r="H1120" s="93" t="s">
        <v>4</v>
      </c>
      <c r="I1120" s="67"/>
      <c r="J1120" s="92">
        <v>7032455755</v>
      </c>
      <c r="K1120" s="67"/>
      <c r="L1120" s="67"/>
      <c r="M1120" s="67"/>
      <c r="N1120" s="67"/>
      <c r="O1120" s="67"/>
    </row>
    <row r="1121" spans="1:15" ht="15">
      <c r="A1121" s="91" t="s">
        <v>19</v>
      </c>
      <c r="B1121" s="91" t="s">
        <v>147</v>
      </c>
      <c r="C1121" s="92" t="str">
        <f ca="1">IFERROR(__xludf.DUMMYFUNCTION("filter('Back End'!C:C,'Back End'!A:A=A1121,'Back End'!B:B=B1121,'Back End'!D:D=D1121)"),"Kothapalle")</f>
        <v>Kothapalle</v>
      </c>
      <c r="D1121" s="91" t="s">
        <v>166</v>
      </c>
      <c r="E1121" s="91" t="s">
        <v>4674</v>
      </c>
      <c r="F1121" s="67" t="s">
        <v>3138</v>
      </c>
      <c r="G1121" s="67"/>
      <c r="H1121" s="93" t="s">
        <v>4</v>
      </c>
      <c r="I1121" s="67"/>
      <c r="J1121" s="92">
        <v>9505545566</v>
      </c>
      <c r="K1121" s="67"/>
      <c r="L1121" s="67"/>
      <c r="M1121" s="67"/>
      <c r="N1121" s="67"/>
      <c r="O1121" s="67"/>
    </row>
    <row r="1122" spans="1:15" ht="15">
      <c r="A1122" s="91" t="s">
        <v>19</v>
      </c>
      <c r="B1122" s="91" t="s">
        <v>147</v>
      </c>
      <c r="C1122" s="92" t="str">
        <f ca="1">IFERROR(__xludf.DUMMYFUNCTION("filter('Back End'!C:C,'Back End'!A:A=A1122,'Back End'!B:B=B1122,'Back End'!D:D=D1122)"),"Kothapalle")</f>
        <v>Kothapalle</v>
      </c>
      <c r="D1122" s="91" t="s">
        <v>166</v>
      </c>
      <c r="E1122" s="91" t="s">
        <v>4675</v>
      </c>
      <c r="F1122" s="67" t="s">
        <v>3138</v>
      </c>
      <c r="G1122" s="67"/>
      <c r="H1122" s="93" t="s">
        <v>4</v>
      </c>
      <c r="I1122" s="67"/>
      <c r="J1122" s="92">
        <v>9441800998</v>
      </c>
      <c r="K1122" s="67"/>
      <c r="L1122" s="67"/>
      <c r="M1122" s="67"/>
      <c r="N1122" s="67"/>
      <c r="O1122" s="67"/>
    </row>
    <row r="1123" spans="1:15" ht="15">
      <c r="A1123" s="91" t="s">
        <v>19</v>
      </c>
      <c r="B1123" s="91" t="s">
        <v>147</v>
      </c>
      <c r="C1123" s="92" t="str">
        <f ca="1">IFERROR(__xludf.DUMMYFUNCTION("filter('Back End'!C:C,'Back End'!A:A=A1123,'Back End'!B:B=B1123,'Back End'!D:D=D1123)"),"Kothapalle")</f>
        <v>Kothapalle</v>
      </c>
      <c r="D1123" s="91" t="s">
        <v>166</v>
      </c>
      <c r="E1123" s="91" t="s">
        <v>4676</v>
      </c>
      <c r="F1123" s="67" t="s">
        <v>3138</v>
      </c>
      <c r="G1123" s="67"/>
      <c r="H1123" s="93" t="s">
        <v>4</v>
      </c>
      <c r="I1123" s="67"/>
      <c r="J1123" s="92">
        <v>7993954722</v>
      </c>
      <c r="K1123" s="67"/>
      <c r="L1123" s="67"/>
      <c r="M1123" s="67"/>
      <c r="N1123" s="67"/>
      <c r="O1123" s="67"/>
    </row>
    <row r="1124" spans="1:15" ht="15">
      <c r="A1124" s="91" t="s">
        <v>19</v>
      </c>
      <c r="B1124" s="91" t="s">
        <v>147</v>
      </c>
      <c r="C1124" s="92" t="str">
        <f ca="1">IFERROR(__xludf.DUMMYFUNCTION("filter('Back End'!C:C,'Back End'!A:A=A1124,'Back End'!B:B=B1124,'Back End'!D:D=D1124)"),"Kothapalle")</f>
        <v>Kothapalle</v>
      </c>
      <c r="D1124" s="91" t="s">
        <v>166</v>
      </c>
      <c r="E1124" s="91" t="s">
        <v>4677</v>
      </c>
      <c r="F1124" s="67" t="s">
        <v>3138</v>
      </c>
      <c r="G1124" s="67"/>
      <c r="H1124" s="93" t="s">
        <v>4</v>
      </c>
      <c r="I1124" s="67"/>
      <c r="J1124" s="92">
        <v>9492951765</v>
      </c>
      <c r="K1124" s="67"/>
      <c r="L1124" s="67"/>
      <c r="M1124" s="67"/>
      <c r="N1124" s="67"/>
      <c r="O1124" s="67"/>
    </row>
    <row r="1125" spans="1:15" ht="15">
      <c r="A1125" s="91" t="s">
        <v>19</v>
      </c>
      <c r="B1125" s="91" t="s">
        <v>147</v>
      </c>
      <c r="C1125" s="92" t="str">
        <f ca="1">IFERROR(__xludf.DUMMYFUNCTION("filter('Back End'!C:C,'Back End'!A:A=A1125,'Back End'!B:B=B1125,'Back End'!D:D=D1125)"),"Kothapalle")</f>
        <v>Kothapalle</v>
      </c>
      <c r="D1125" s="91" t="s">
        <v>166</v>
      </c>
      <c r="E1125" s="91" t="s">
        <v>4678</v>
      </c>
      <c r="F1125" s="67" t="s">
        <v>3138</v>
      </c>
      <c r="G1125" s="67"/>
      <c r="H1125" s="93" t="s">
        <v>4</v>
      </c>
      <c r="I1125" s="67"/>
      <c r="J1125" s="92">
        <v>9492777514</v>
      </c>
      <c r="K1125" s="67"/>
      <c r="L1125" s="67"/>
      <c r="M1125" s="67"/>
      <c r="N1125" s="67"/>
      <c r="O1125" s="67"/>
    </row>
    <row r="1126" spans="1:15" ht="15">
      <c r="A1126" s="91" t="s">
        <v>19</v>
      </c>
      <c r="B1126" s="91" t="s">
        <v>147</v>
      </c>
      <c r="C1126" s="92" t="str">
        <f ca="1">IFERROR(__xludf.DUMMYFUNCTION("filter('Back End'!C:C,'Back End'!A:A=A1126,'Back End'!B:B=B1126,'Back End'!D:D=D1126)"),"Kothapalle")</f>
        <v>Kothapalle</v>
      </c>
      <c r="D1126" s="91" t="s">
        <v>166</v>
      </c>
      <c r="E1126" s="91" t="s">
        <v>4679</v>
      </c>
      <c r="F1126" s="91" t="s">
        <v>451</v>
      </c>
      <c r="G1126" s="91" t="s">
        <v>594</v>
      </c>
      <c r="H1126" s="93" t="s">
        <v>5</v>
      </c>
      <c r="I1126" s="67"/>
      <c r="J1126" s="92">
        <v>9491073419</v>
      </c>
      <c r="K1126" s="67"/>
      <c r="L1126" s="67"/>
      <c r="M1126" s="67"/>
      <c r="N1126" s="67"/>
      <c r="O1126" s="67"/>
    </row>
    <row r="1127" spans="1:15" ht="15">
      <c r="A1127" s="91" t="s">
        <v>19</v>
      </c>
      <c r="B1127" s="91" t="s">
        <v>147</v>
      </c>
      <c r="C1127" s="92" t="str">
        <f ca="1">IFERROR(__xludf.DUMMYFUNCTION("filter('Back End'!C:C,'Back End'!A:A=A1127,'Back End'!B:B=B1127,'Back End'!D:D=D1127)"),"Krishnuni Palem")</f>
        <v>Krishnuni Palem</v>
      </c>
      <c r="D1127" s="91" t="s">
        <v>168</v>
      </c>
      <c r="E1127" s="91" t="s">
        <v>4680</v>
      </c>
      <c r="F1127" s="67" t="s">
        <v>3138</v>
      </c>
      <c r="G1127" s="67"/>
      <c r="H1127" s="93" t="s">
        <v>4</v>
      </c>
      <c r="I1127" s="67"/>
      <c r="J1127" s="92">
        <v>9848740859</v>
      </c>
      <c r="K1127" s="67"/>
      <c r="L1127" s="67"/>
      <c r="M1127" s="67"/>
      <c r="N1127" s="67"/>
      <c r="O1127" s="67"/>
    </row>
    <row r="1128" spans="1:15" ht="15">
      <c r="A1128" s="91" t="s">
        <v>19</v>
      </c>
      <c r="B1128" s="91" t="s">
        <v>147</v>
      </c>
      <c r="C1128" s="92" t="str">
        <f ca="1">IFERROR(__xludf.DUMMYFUNCTION("filter('Back End'!C:C,'Back End'!A:A=A1128,'Back End'!B:B=B1128,'Back End'!D:D=D1128)"),"Krishnuni Palem")</f>
        <v>Krishnuni Palem</v>
      </c>
      <c r="D1128" s="91" t="s">
        <v>168</v>
      </c>
      <c r="E1128" s="91" t="s">
        <v>4681</v>
      </c>
      <c r="F1128" s="67" t="s">
        <v>3138</v>
      </c>
      <c r="G1128" s="67"/>
      <c r="H1128" s="93" t="s">
        <v>4</v>
      </c>
      <c r="I1128" s="67"/>
      <c r="J1128" s="92">
        <v>7569199454</v>
      </c>
      <c r="K1128" s="67"/>
      <c r="L1128" s="67"/>
      <c r="M1128" s="67"/>
      <c r="N1128" s="67"/>
      <c r="O1128" s="67"/>
    </row>
    <row r="1129" spans="1:15" ht="15">
      <c r="A1129" s="91" t="s">
        <v>19</v>
      </c>
      <c r="B1129" s="91" t="s">
        <v>147</v>
      </c>
      <c r="C1129" s="92" t="str">
        <f ca="1">IFERROR(__xludf.DUMMYFUNCTION("filter('Back End'!C:C,'Back End'!A:A=A1129,'Back End'!B:B=B1129,'Back End'!D:D=D1129)"),"Krishnuni Palem")</f>
        <v>Krishnuni Palem</v>
      </c>
      <c r="D1129" s="91" t="s">
        <v>168</v>
      </c>
      <c r="E1129" s="91" t="s">
        <v>4682</v>
      </c>
      <c r="F1129" s="67" t="s">
        <v>3138</v>
      </c>
      <c r="G1129" s="67"/>
      <c r="H1129" s="93" t="s">
        <v>4</v>
      </c>
      <c r="I1129" s="67"/>
      <c r="J1129" s="92">
        <v>9505294966</v>
      </c>
      <c r="K1129" s="67"/>
      <c r="L1129" s="67"/>
      <c r="M1129" s="67"/>
      <c r="N1129" s="67"/>
      <c r="O1129" s="67"/>
    </row>
    <row r="1130" spans="1:15" ht="15">
      <c r="A1130" s="91" t="s">
        <v>19</v>
      </c>
      <c r="B1130" s="91" t="s">
        <v>147</v>
      </c>
      <c r="C1130" s="92" t="str">
        <f ca="1">IFERROR(__xludf.DUMMYFUNCTION("filter('Back End'!C:C,'Back End'!A:A=A1130,'Back End'!B:B=B1130,'Back End'!D:D=D1130)"),"Krishnuni Palem")</f>
        <v>Krishnuni Palem</v>
      </c>
      <c r="D1130" s="91" t="s">
        <v>168</v>
      </c>
      <c r="E1130" s="91" t="s">
        <v>4683</v>
      </c>
      <c r="F1130" s="67" t="s">
        <v>3138</v>
      </c>
      <c r="G1130" s="67"/>
      <c r="H1130" s="93" t="s">
        <v>4</v>
      </c>
      <c r="I1130" s="92" t="s">
        <v>3125</v>
      </c>
      <c r="J1130" s="92">
        <v>9490740705</v>
      </c>
      <c r="K1130" s="67"/>
      <c r="L1130" s="67"/>
      <c r="M1130" s="67"/>
      <c r="N1130" s="67"/>
      <c r="O1130" s="67"/>
    </row>
    <row r="1131" spans="1:15" ht="15">
      <c r="A1131" s="91" t="s">
        <v>19</v>
      </c>
      <c r="B1131" s="91" t="s">
        <v>147</v>
      </c>
      <c r="C1131" s="92" t="str">
        <f ca="1">IFERROR(__xludf.DUMMYFUNCTION("filter('Back End'!C:C,'Back End'!A:A=A1131,'Back End'!B:B=B1131,'Back End'!D:D=D1131)"),"Krishnuni Palem")</f>
        <v>Krishnuni Palem</v>
      </c>
      <c r="D1131" s="91" t="s">
        <v>168</v>
      </c>
      <c r="E1131" s="91" t="s">
        <v>4684</v>
      </c>
      <c r="F1131" s="67" t="s">
        <v>3138</v>
      </c>
      <c r="G1131" s="67"/>
      <c r="H1131" s="93" t="s">
        <v>4</v>
      </c>
      <c r="I1131" s="67"/>
      <c r="J1131" s="92">
        <v>9390685651</v>
      </c>
      <c r="K1131" s="67"/>
      <c r="L1131" s="67"/>
      <c r="M1131" s="67"/>
      <c r="N1131" s="67"/>
      <c r="O1131" s="67"/>
    </row>
    <row r="1132" spans="1:15" ht="15">
      <c r="A1132" s="91" t="s">
        <v>19</v>
      </c>
      <c r="B1132" s="91" t="s">
        <v>147</v>
      </c>
      <c r="C1132" s="92" t="str">
        <f ca="1">IFERROR(__xludf.DUMMYFUNCTION("filter('Back End'!C:C,'Back End'!A:A=A1132,'Back End'!B:B=B1132,'Back End'!D:D=D1132)"),"Mallavaram")</f>
        <v>Mallavaram</v>
      </c>
      <c r="D1132" s="91" t="s">
        <v>170</v>
      </c>
      <c r="E1132" s="91" t="s">
        <v>4685</v>
      </c>
      <c r="F1132" s="91" t="s">
        <v>213</v>
      </c>
      <c r="G1132" s="91" t="s">
        <v>615</v>
      </c>
      <c r="H1132" s="93" t="s">
        <v>4</v>
      </c>
      <c r="I1132" s="92" t="s">
        <v>3181</v>
      </c>
      <c r="J1132" s="92">
        <v>9441469659</v>
      </c>
      <c r="K1132" s="67"/>
      <c r="L1132" s="67"/>
      <c r="M1132" s="67"/>
      <c r="N1132" s="67"/>
      <c r="O1132" s="67"/>
    </row>
    <row r="1133" spans="1:15" ht="30">
      <c r="A1133" s="91" t="s">
        <v>19</v>
      </c>
      <c r="B1133" s="91" t="s">
        <v>147</v>
      </c>
      <c r="C1133" s="92" t="str">
        <f ca="1">IFERROR(__xludf.DUMMYFUNCTION("filter('Back End'!C:C,'Back End'!A:A=A1133,'Back End'!B:B=B1133,'Back End'!D:D=D1133)"),"Mallavaram")</f>
        <v>Mallavaram</v>
      </c>
      <c r="D1133" s="91" t="s">
        <v>170</v>
      </c>
      <c r="E1133" s="91" t="s">
        <v>4686</v>
      </c>
      <c r="F1133" s="91" t="s">
        <v>213</v>
      </c>
      <c r="G1133" s="91" t="s">
        <v>615</v>
      </c>
      <c r="H1133" s="93" t="s">
        <v>4</v>
      </c>
      <c r="I1133" s="92" t="s">
        <v>4687</v>
      </c>
      <c r="J1133" s="92">
        <v>8500802659</v>
      </c>
      <c r="K1133" s="67"/>
      <c r="L1133" s="67"/>
      <c r="M1133" s="67"/>
      <c r="N1133" s="67"/>
      <c r="O1133" s="67"/>
    </row>
    <row r="1134" spans="1:15" ht="30">
      <c r="A1134" s="91" t="s">
        <v>19</v>
      </c>
      <c r="B1134" s="91" t="s">
        <v>147</v>
      </c>
      <c r="C1134" s="92" t="str">
        <f ca="1">IFERROR(__xludf.DUMMYFUNCTION("filter('Back End'!C:C,'Back End'!A:A=A1134,'Back End'!B:B=B1134,'Back End'!D:D=D1134)"),"Mallavaram")</f>
        <v>Mallavaram</v>
      </c>
      <c r="D1134" s="91" t="s">
        <v>170</v>
      </c>
      <c r="E1134" s="91" t="s">
        <v>4688</v>
      </c>
      <c r="F1134" s="91" t="s">
        <v>213</v>
      </c>
      <c r="G1134" s="91" t="s">
        <v>615</v>
      </c>
      <c r="H1134" s="93" t="s">
        <v>4</v>
      </c>
      <c r="I1134" s="92" t="s">
        <v>3634</v>
      </c>
      <c r="J1134" s="92">
        <v>9491422144</v>
      </c>
      <c r="K1134" s="67"/>
      <c r="L1134" s="67"/>
      <c r="M1134" s="67"/>
      <c r="N1134" s="67"/>
      <c r="O1134" s="67"/>
    </row>
    <row r="1135" spans="1:15" ht="30">
      <c r="A1135" s="91" t="s">
        <v>19</v>
      </c>
      <c r="B1135" s="91" t="s">
        <v>147</v>
      </c>
      <c r="C1135" s="92" t="str">
        <f ca="1">IFERROR(__xludf.DUMMYFUNCTION("filter('Back End'!C:C,'Back End'!A:A=A1135,'Back End'!B:B=B1135,'Back End'!D:D=D1135)"),"Mallavaram")</f>
        <v>Mallavaram</v>
      </c>
      <c r="D1135" s="91" t="s">
        <v>170</v>
      </c>
      <c r="E1135" s="91" t="s">
        <v>4689</v>
      </c>
      <c r="F1135" s="91" t="s">
        <v>213</v>
      </c>
      <c r="G1135" s="91" t="s">
        <v>615</v>
      </c>
      <c r="H1135" s="93" t="s">
        <v>4</v>
      </c>
      <c r="I1135" s="92" t="s">
        <v>3634</v>
      </c>
      <c r="J1135" s="92">
        <v>6303226941</v>
      </c>
      <c r="K1135" s="67"/>
      <c r="L1135" s="67"/>
      <c r="M1135" s="67"/>
      <c r="N1135" s="67"/>
      <c r="O1135" s="67"/>
    </row>
    <row r="1136" spans="1:15" ht="30">
      <c r="A1136" s="91" t="s">
        <v>19</v>
      </c>
      <c r="B1136" s="91" t="s">
        <v>147</v>
      </c>
      <c r="C1136" s="92" t="str">
        <f ca="1">IFERROR(__xludf.DUMMYFUNCTION("filter('Back End'!C:C,'Back End'!A:A=A1136,'Back End'!B:B=B1136,'Back End'!D:D=D1136)"),"Mallavaram")</f>
        <v>Mallavaram</v>
      </c>
      <c r="D1136" s="91" t="s">
        <v>170</v>
      </c>
      <c r="E1136" s="91" t="s">
        <v>4690</v>
      </c>
      <c r="F1136" s="91" t="s">
        <v>213</v>
      </c>
      <c r="G1136" s="91" t="s">
        <v>615</v>
      </c>
      <c r="H1136" s="93" t="s">
        <v>4</v>
      </c>
      <c r="I1136" s="92" t="s">
        <v>3634</v>
      </c>
      <c r="J1136" s="92">
        <v>9494549860</v>
      </c>
      <c r="K1136" s="67"/>
      <c r="L1136" s="67"/>
      <c r="M1136" s="67"/>
      <c r="N1136" s="67"/>
      <c r="O1136" s="67"/>
    </row>
    <row r="1137" spans="1:15" ht="30">
      <c r="A1137" s="91" t="s">
        <v>19</v>
      </c>
      <c r="B1137" s="91" t="s">
        <v>147</v>
      </c>
      <c r="C1137" s="92" t="str">
        <f ca="1">IFERROR(__xludf.DUMMYFUNCTION("filter('Back End'!C:C,'Back End'!A:A=A1137,'Back End'!B:B=B1137,'Back End'!D:D=D1137)"),"Mallavaram")</f>
        <v>Mallavaram</v>
      </c>
      <c r="D1137" s="91" t="s">
        <v>170</v>
      </c>
      <c r="E1137" s="91" t="s">
        <v>4691</v>
      </c>
      <c r="F1137" s="91" t="s">
        <v>114</v>
      </c>
      <c r="G1137" s="91" t="s">
        <v>615</v>
      </c>
      <c r="H1137" s="93" t="s">
        <v>4</v>
      </c>
      <c r="I1137" s="92" t="s">
        <v>3634</v>
      </c>
      <c r="J1137" s="92">
        <v>9490804430</v>
      </c>
      <c r="K1137" s="67"/>
      <c r="L1137" s="67"/>
      <c r="M1137" s="67"/>
      <c r="N1137" s="67"/>
      <c r="O1137" s="67"/>
    </row>
    <row r="1138" spans="1:15" ht="30">
      <c r="A1138" s="91" t="s">
        <v>19</v>
      </c>
      <c r="B1138" s="91" t="s">
        <v>147</v>
      </c>
      <c r="C1138" s="92" t="str">
        <f ca="1">IFERROR(__xludf.DUMMYFUNCTION("filter('Back End'!C:C,'Back End'!A:A=A1138,'Back End'!B:B=B1138,'Back End'!D:D=D1138)"),"Mallavaram")</f>
        <v>Mallavaram</v>
      </c>
      <c r="D1138" s="91" t="s">
        <v>170</v>
      </c>
      <c r="E1138" s="91" t="s">
        <v>4692</v>
      </c>
      <c r="F1138" s="91" t="s">
        <v>213</v>
      </c>
      <c r="G1138" s="91" t="s">
        <v>615</v>
      </c>
      <c r="H1138" s="93" t="s">
        <v>4</v>
      </c>
      <c r="I1138" s="92" t="s">
        <v>3591</v>
      </c>
      <c r="J1138" s="92">
        <v>6303681479</v>
      </c>
      <c r="K1138" s="67"/>
      <c r="L1138" s="67"/>
      <c r="M1138" s="67"/>
      <c r="N1138" s="67"/>
      <c r="O1138" s="67"/>
    </row>
    <row r="1139" spans="1:15" ht="15">
      <c r="A1139" s="91" t="s">
        <v>19</v>
      </c>
      <c r="B1139" s="91" t="s">
        <v>147</v>
      </c>
      <c r="C1139" s="92" t="str">
        <f ca="1">IFERROR(__xludf.DUMMYFUNCTION("filter('Back End'!C:C,'Back End'!A:A=A1139,'Back End'!B:B=B1139,'Back End'!D:D=D1139)"),"Mallavaram")</f>
        <v>Mallavaram</v>
      </c>
      <c r="D1139" s="91" t="s">
        <v>170</v>
      </c>
      <c r="E1139" s="91" t="s">
        <v>4693</v>
      </c>
      <c r="F1139" s="91" t="s">
        <v>165</v>
      </c>
      <c r="G1139" s="91" t="s">
        <v>615</v>
      </c>
      <c r="H1139" s="93" t="s">
        <v>5</v>
      </c>
      <c r="I1139" s="92" t="s">
        <v>4283</v>
      </c>
      <c r="J1139" s="92">
        <v>8500624309</v>
      </c>
      <c r="K1139" s="67"/>
      <c r="L1139" s="67"/>
      <c r="M1139" s="67"/>
      <c r="N1139" s="67"/>
      <c r="O1139" s="67"/>
    </row>
    <row r="1140" spans="1:15" ht="15">
      <c r="A1140" s="91" t="s">
        <v>19</v>
      </c>
      <c r="B1140" s="91" t="s">
        <v>147</v>
      </c>
      <c r="C1140" s="92" t="str">
        <f ca="1">IFERROR(__xludf.DUMMYFUNCTION("filter('Back End'!C:C,'Back End'!A:A=A1140,'Back End'!B:B=B1140,'Back End'!D:D=D1140)"),"Mallavaram")</f>
        <v>Mallavaram</v>
      </c>
      <c r="D1140" s="91" t="s">
        <v>170</v>
      </c>
      <c r="E1140" s="91" t="s">
        <v>4694</v>
      </c>
      <c r="F1140" s="91" t="s">
        <v>114</v>
      </c>
      <c r="G1140" s="91" t="s">
        <v>85</v>
      </c>
      <c r="H1140" s="93" t="s">
        <v>5</v>
      </c>
      <c r="I1140" s="92" t="s">
        <v>3384</v>
      </c>
      <c r="J1140" s="92">
        <v>9441752920</v>
      </c>
      <c r="K1140" s="67"/>
      <c r="L1140" s="67"/>
      <c r="M1140" s="67"/>
      <c r="N1140" s="67"/>
      <c r="O1140" s="67"/>
    </row>
    <row r="1141" spans="1:15" ht="30">
      <c r="A1141" s="91" t="s">
        <v>19</v>
      </c>
      <c r="B1141" s="91" t="s">
        <v>147</v>
      </c>
      <c r="C1141" s="92" t="str">
        <f ca="1">IFERROR(__xludf.DUMMYFUNCTION("filter('Back End'!C:C,'Back End'!A:A=A1141,'Back End'!B:B=B1141,'Back End'!D:D=D1141)"),"Mallavaram")</f>
        <v>Mallavaram</v>
      </c>
      <c r="D1141" s="91" t="s">
        <v>170</v>
      </c>
      <c r="E1141" s="91" t="s">
        <v>4695</v>
      </c>
      <c r="F1141" s="91" t="s">
        <v>139</v>
      </c>
      <c r="G1141" s="91" t="s">
        <v>594</v>
      </c>
      <c r="H1141" s="93" t="s">
        <v>5</v>
      </c>
      <c r="I1141" s="92" t="s">
        <v>3709</v>
      </c>
      <c r="J1141" s="92">
        <v>9494550049</v>
      </c>
      <c r="K1141" s="67"/>
      <c r="L1141" s="67"/>
      <c r="M1141" s="67"/>
      <c r="N1141" s="67"/>
      <c r="O1141" s="67"/>
    </row>
    <row r="1142" spans="1:15" ht="30">
      <c r="A1142" s="91" t="s">
        <v>19</v>
      </c>
      <c r="B1142" s="91" t="s">
        <v>147</v>
      </c>
      <c r="C1142" s="92" t="str">
        <f ca="1">IFERROR(__xludf.DUMMYFUNCTION("filter('Back End'!C:C,'Back End'!A:A=A1142,'Back End'!B:B=B1142,'Back End'!D:D=D1142)"),"Mallavaram")</f>
        <v>Mallavaram</v>
      </c>
      <c r="D1142" s="91" t="s">
        <v>170</v>
      </c>
      <c r="E1142" s="91" t="s">
        <v>4696</v>
      </c>
      <c r="F1142" s="91" t="s">
        <v>213</v>
      </c>
      <c r="G1142" s="91" t="s">
        <v>615</v>
      </c>
      <c r="H1142" s="93" t="s">
        <v>5</v>
      </c>
      <c r="I1142" s="92" t="s">
        <v>4056</v>
      </c>
      <c r="J1142" s="92">
        <v>9494550043</v>
      </c>
      <c r="K1142" s="67"/>
      <c r="L1142" s="67"/>
      <c r="M1142" s="67"/>
      <c r="N1142" s="67"/>
      <c r="O1142" s="67"/>
    </row>
    <row r="1143" spans="1:15" ht="30">
      <c r="A1143" s="91" t="s">
        <v>19</v>
      </c>
      <c r="B1143" s="91" t="s">
        <v>147</v>
      </c>
      <c r="C1143" s="92" t="str">
        <f ca="1">IFERROR(__xludf.DUMMYFUNCTION("filter('Back End'!C:C,'Back End'!A:A=A1143,'Back End'!B:B=B1143,'Back End'!D:D=D1143)"),"Rampa Yerrampalem")</f>
        <v>Rampa Yerrampalem</v>
      </c>
      <c r="D1143" s="91" t="s">
        <v>173</v>
      </c>
      <c r="E1143" s="91" t="s">
        <v>4697</v>
      </c>
      <c r="F1143" s="91" t="s">
        <v>139</v>
      </c>
      <c r="G1143" s="91" t="s">
        <v>594</v>
      </c>
      <c r="H1143" s="93" t="s">
        <v>5</v>
      </c>
      <c r="I1143" s="67"/>
      <c r="J1143" s="92">
        <v>9866737345</v>
      </c>
      <c r="K1143" s="67"/>
      <c r="L1143" s="67"/>
      <c r="M1143" s="67"/>
      <c r="N1143" s="67"/>
      <c r="O1143" s="67"/>
    </row>
    <row r="1144" spans="1:15" ht="30">
      <c r="A1144" s="91" t="s">
        <v>19</v>
      </c>
      <c r="B1144" s="91" t="s">
        <v>147</v>
      </c>
      <c r="C1144" s="92" t="str">
        <f ca="1">IFERROR(__xludf.DUMMYFUNCTION("filter('Back End'!C:C,'Back End'!A:A=A1144,'Back End'!B:B=B1144,'Back End'!D:D=D1144)"),"Rampa Yerrampalem")</f>
        <v>Rampa Yerrampalem</v>
      </c>
      <c r="D1144" s="91" t="s">
        <v>173</v>
      </c>
      <c r="E1144" s="91" t="s">
        <v>4698</v>
      </c>
      <c r="F1144" s="67" t="s">
        <v>3138</v>
      </c>
      <c r="G1144" s="67"/>
      <c r="H1144" s="93" t="s">
        <v>4</v>
      </c>
      <c r="I1144" s="67"/>
      <c r="J1144" s="92">
        <v>9704768192</v>
      </c>
      <c r="K1144" s="67"/>
      <c r="L1144" s="67"/>
      <c r="M1144" s="67"/>
      <c r="N1144" s="67"/>
      <c r="O1144" s="67"/>
    </row>
    <row r="1145" spans="1:15" ht="30">
      <c r="A1145" s="91" t="s">
        <v>19</v>
      </c>
      <c r="B1145" s="91" t="s">
        <v>147</v>
      </c>
      <c r="C1145" s="92" t="str">
        <f ca="1">IFERROR(__xludf.DUMMYFUNCTION("filter('Back End'!C:C,'Back End'!A:A=A1145,'Back End'!B:B=B1145,'Back End'!D:D=D1145)"),"Rampa Yerrampalem")</f>
        <v>Rampa Yerrampalem</v>
      </c>
      <c r="D1145" s="91" t="s">
        <v>173</v>
      </c>
      <c r="E1145" s="91" t="s">
        <v>4699</v>
      </c>
      <c r="F1145" s="67" t="s">
        <v>3138</v>
      </c>
      <c r="G1145" s="67"/>
      <c r="H1145" s="93" t="s">
        <v>4</v>
      </c>
      <c r="I1145" s="67"/>
      <c r="J1145" s="92">
        <v>9949549305</v>
      </c>
      <c r="K1145" s="67"/>
      <c r="L1145" s="67"/>
      <c r="M1145" s="67"/>
      <c r="N1145" s="67"/>
      <c r="O1145" s="67"/>
    </row>
    <row r="1146" spans="1:15" ht="30">
      <c r="A1146" s="91" t="s">
        <v>19</v>
      </c>
      <c r="B1146" s="91" t="s">
        <v>147</v>
      </c>
      <c r="C1146" s="92" t="str">
        <f ca="1">IFERROR(__xludf.DUMMYFUNCTION("filter('Back End'!C:C,'Back End'!A:A=A1146,'Back End'!B:B=B1146,'Back End'!D:D=D1146)"),"Rampa Yerrampalem")</f>
        <v>Rampa Yerrampalem</v>
      </c>
      <c r="D1146" s="91" t="s">
        <v>173</v>
      </c>
      <c r="E1146" s="91" t="s">
        <v>4700</v>
      </c>
      <c r="F1146" s="67" t="s">
        <v>3138</v>
      </c>
      <c r="G1146" s="67"/>
      <c r="H1146" s="93" t="s">
        <v>4</v>
      </c>
      <c r="I1146" s="67"/>
      <c r="J1146" s="92">
        <v>9866779470</v>
      </c>
      <c r="K1146" s="67"/>
      <c r="L1146" s="67"/>
      <c r="M1146" s="67"/>
      <c r="N1146" s="67"/>
      <c r="O1146" s="67"/>
    </row>
    <row r="1147" spans="1:15" ht="30">
      <c r="A1147" s="91" t="s">
        <v>19</v>
      </c>
      <c r="B1147" s="91" t="s">
        <v>147</v>
      </c>
      <c r="C1147" s="92" t="str">
        <f ca="1">IFERROR(__xludf.DUMMYFUNCTION("filter('Back End'!C:C,'Back End'!A:A=A1147,'Back End'!B:B=B1147,'Back End'!D:D=D1147)"),"Rampa Yerrampalem")</f>
        <v>Rampa Yerrampalem</v>
      </c>
      <c r="D1147" s="91" t="s">
        <v>173</v>
      </c>
      <c r="E1147" s="91" t="s">
        <v>4701</v>
      </c>
      <c r="F1147" s="67" t="s">
        <v>3138</v>
      </c>
      <c r="G1147" s="67"/>
      <c r="H1147" s="93" t="s">
        <v>4</v>
      </c>
      <c r="I1147" s="67"/>
      <c r="J1147" s="92">
        <v>9492146534</v>
      </c>
      <c r="K1147" s="67"/>
      <c r="L1147" s="67"/>
      <c r="M1147" s="67"/>
      <c r="N1147" s="67"/>
      <c r="O1147" s="67"/>
    </row>
    <row r="1148" spans="1:15" ht="30">
      <c r="A1148" s="91" t="s">
        <v>19</v>
      </c>
      <c r="B1148" s="91" t="s">
        <v>147</v>
      </c>
      <c r="C1148" s="92" t="str">
        <f ca="1">IFERROR(__xludf.DUMMYFUNCTION("filter('Back End'!C:C,'Back End'!A:A=A1148,'Back End'!B:B=B1148,'Back End'!D:D=D1148)"),"Rampa Yerrampalem")</f>
        <v>Rampa Yerrampalem</v>
      </c>
      <c r="D1148" s="91" t="s">
        <v>173</v>
      </c>
      <c r="E1148" s="91" t="s">
        <v>4702</v>
      </c>
      <c r="F1148" s="67" t="s">
        <v>3138</v>
      </c>
      <c r="G1148" s="67"/>
      <c r="H1148" s="93" t="s">
        <v>4</v>
      </c>
      <c r="I1148" s="67"/>
      <c r="J1148" s="92">
        <v>9849733609</v>
      </c>
      <c r="K1148" s="67"/>
      <c r="L1148" s="67"/>
      <c r="M1148" s="67"/>
      <c r="N1148" s="67"/>
      <c r="O1148" s="67"/>
    </row>
    <row r="1149" spans="1:15" ht="30">
      <c r="A1149" s="91" t="s">
        <v>19</v>
      </c>
      <c r="B1149" s="91" t="s">
        <v>147</v>
      </c>
      <c r="C1149" s="92" t="str">
        <f ca="1">IFERROR(__xludf.DUMMYFUNCTION("filter('Back End'!C:C,'Back End'!A:A=A1149,'Back End'!B:B=B1149,'Back End'!D:D=D1149)"),"Rampa Yerrampalem")</f>
        <v>Rampa Yerrampalem</v>
      </c>
      <c r="D1149" s="91" t="s">
        <v>173</v>
      </c>
      <c r="E1149" s="91" t="s">
        <v>4703</v>
      </c>
      <c r="F1149" s="67" t="s">
        <v>3138</v>
      </c>
      <c r="G1149" s="67"/>
      <c r="H1149" s="93" t="s">
        <v>4</v>
      </c>
      <c r="I1149" s="67"/>
      <c r="J1149" s="92">
        <v>9866533051</v>
      </c>
      <c r="K1149" s="67"/>
      <c r="L1149" s="67"/>
      <c r="M1149" s="67"/>
      <c r="N1149" s="67"/>
      <c r="O1149" s="67"/>
    </row>
    <row r="1150" spans="1:15" ht="30">
      <c r="A1150" s="91" t="s">
        <v>19</v>
      </c>
      <c r="B1150" s="91" t="s">
        <v>147</v>
      </c>
      <c r="C1150" s="92" t="str">
        <f ca="1">IFERROR(__xludf.DUMMYFUNCTION("filter('Back End'!C:C,'Back End'!A:A=A1150,'Back End'!B:B=B1150,'Back End'!D:D=D1150)"),"Rampa Yerrampalem")</f>
        <v>Rampa Yerrampalem</v>
      </c>
      <c r="D1150" s="91" t="s">
        <v>173</v>
      </c>
      <c r="E1150" s="91" t="s">
        <v>4704</v>
      </c>
      <c r="F1150" s="67" t="s">
        <v>3138</v>
      </c>
      <c r="G1150" s="67"/>
      <c r="H1150" s="93" t="s">
        <v>4</v>
      </c>
      <c r="I1150" s="67"/>
      <c r="J1150" s="92">
        <v>9949779495</v>
      </c>
      <c r="K1150" s="67"/>
      <c r="L1150" s="67"/>
      <c r="M1150" s="67"/>
      <c r="N1150" s="67"/>
      <c r="O1150" s="67"/>
    </row>
    <row r="1151" spans="1:15" ht="30">
      <c r="A1151" s="91" t="s">
        <v>19</v>
      </c>
      <c r="B1151" s="91" t="s">
        <v>147</v>
      </c>
      <c r="C1151" s="92" t="str">
        <f ca="1">IFERROR(__xludf.DUMMYFUNCTION("filter('Back End'!C:C,'Back End'!A:A=A1151,'Back End'!B:B=B1151,'Back End'!D:D=D1151)"),"Rampa Yerrampalem")</f>
        <v>Rampa Yerrampalem</v>
      </c>
      <c r="D1151" s="91" t="s">
        <v>173</v>
      </c>
      <c r="E1151" s="91" t="s">
        <v>4705</v>
      </c>
      <c r="F1151" s="67" t="s">
        <v>3138</v>
      </c>
      <c r="G1151" s="67"/>
      <c r="H1151" s="93" t="s">
        <v>4</v>
      </c>
      <c r="I1151" s="92" t="s">
        <v>3125</v>
      </c>
      <c r="J1151" s="92">
        <v>9866622810</v>
      </c>
      <c r="K1151" s="67"/>
      <c r="L1151" s="67"/>
      <c r="M1151" s="67"/>
      <c r="N1151" s="67"/>
      <c r="O1151" s="67"/>
    </row>
    <row r="1152" spans="1:15" ht="30">
      <c r="A1152" s="91" t="s">
        <v>19</v>
      </c>
      <c r="B1152" s="91" t="s">
        <v>147</v>
      </c>
      <c r="C1152" s="92" t="str">
        <f ca="1">IFERROR(__xludf.DUMMYFUNCTION("filter('Back End'!C:C,'Back End'!A:A=A1152,'Back End'!B:B=B1152,'Back End'!D:D=D1152)"),"Rampa Yerrampalem")</f>
        <v>Rampa Yerrampalem</v>
      </c>
      <c r="D1152" s="91" t="s">
        <v>173</v>
      </c>
      <c r="E1152" s="91" t="s">
        <v>4706</v>
      </c>
      <c r="F1152" s="91" t="s">
        <v>139</v>
      </c>
      <c r="G1152" s="91" t="s">
        <v>594</v>
      </c>
      <c r="H1152" s="93" t="s">
        <v>5</v>
      </c>
      <c r="I1152" s="67"/>
      <c r="J1152" s="92">
        <v>9908012144</v>
      </c>
      <c r="K1152" s="67"/>
      <c r="L1152" s="67"/>
      <c r="M1152" s="67"/>
      <c r="N1152" s="67"/>
      <c r="O1152" s="67"/>
    </row>
    <row r="1153" spans="1:15" ht="30">
      <c r="A1153" s="91" t="s">
        <v>19</v>
      </c>
      <c r="B1153" s="91" t="s">
        <v>147</v>
      </c>
      <c r="C1153" s="92" t="str">
        <f ca="1">IFERROR(__xludf.DUMMYFUNCTION("filter('Back End'!C:C,'Back End'!A:A=A1153,'Back End'!B:B=B1153,'Back End'!D:D=D1153)"),"Rampa Yerrampalem")</f>
        <v>Rampa Yerrampalem</v>
      </c>
      <c r="D1153" s="91" t="s">
        <v>173</v>
      </c>
      <c r="E1153" s="91" t="s">
        <v>4707</v>
      </c>
      <c r="F1153" s="91" t="s">
        <v>1669</v>
      </c>
      <c r="G1153" s="91" t="s">
        <v>615</v>
      </c>
      <c r="H1153" s="93" t="s">
        <v>5</v>
      </c>
      <c r="I1153" s="67"/>
      <c r="J1153" s="92">
        <v>9505029062</v>
      </c>
      <c r="K1153" s="67"/>
      <c r="L1153" s="67"/>
      <c r="M1153" s="67"/>
      <c r="N1153" s="67"/>
      <c r="O1153" s="67"/>
    </row>
    <row r="1154" spans="1:15" ht="30">
      <c r="A1154" s="91" t="s">
        <v>19</v>
      </c>
      <c r="B1154" s="91" t="s">
        <v>147</v>
      </c>
      <c r="C1154" s="92" t="str">
        <f ca="1">IFERROR(__xludf.DUMMYFUNCTION("filter('Back End'!C:C,'Back End'!A:A=A1154,'Back End'!B:B=B1154,'Back End'!D:D=D1154)"),"Rampa Yerrampalem")</f>
        <v>Rampa Yerrampalem</v>
      </c>
      <c r="D1154" s="91" t="s">
        <v>173</v>
      </c>
      <c r="E1154" s="91" t="s">
        <v>4708</v>
      </c>
      <c r="F1154" s="91" t="s">
        <v>139</v>
      </c>
      <c r="G1154" s="91" t="s">
        <v>594</v>
      </c>
      <c r="H1154" s="93" t="s">
        <v>5</v>
      </c>
      <c r="I1154" s="67"/>
      <c r="J1154" s="92">
        <v>9642345281</v>
      </c>
      <c r="K1154" s="67"/>
      <c r="L1154" s="67"/>
      <c r="M1154" s="67"/>
      <c r="N1154" s="67"/>
      <c r="O1154" s="67"/>
    </row>
    <row r="1155" spans="1:15" ht="15">
      <c r="A1155" s="91" t="s">
        <v>19</v>
      </c>
      <c r="B1155" s="91" t="s">
        <v>147</v>
      </c>
      <c r="C1155" s="92" t="str">
        <f ca="1">IFERROR(__xludf.DUMMYFUNCTION("filter('Back End'!C:C,'Back End'!A:A=A1155,'Back End'!B:B=B1155,'Back End'!D:D=D1155)"),"Gokavaram")</f>
        <v>Gokavaram</v>
      </c>
      <c r="D1155" s="91" t="s">
        <v>147</v>
      </c>
      <c r="E1155" s="91" t="s">
        <v>4709</v>
      </c>
      <c r="F1155" s="91" t="s">
        <v>1642</v>
      </c>
      <c r="G1155" s="91" t="s">
        <v>615</v>
      </c>
      <c r="H1155" s="93" t="s">
        <v>5</v>
      </c>
      <c r="I1155" s="67"/>
      <c r="J1155" s="92">
        <v>9492159727</v>
      </c>
      <c r="K1155" s="67"/>
      <c r="L1155" s="67"/>
      <c r="M1155" s="67"/>
      <c r="N1155" s="67"/>
      <c r="O1155" s="67"/>
    </row>
    <row r="1156" spans="1:15" ht="15">
      <c r="A1156" s="91" t="s">
        <v>19</v>
      </c>
      <c r="B1156" s="91" t="s">
        <v>147</v>
      </c>
      <c r="C1156" s="92" t="str">
        <f ca="1">IFERROR(__xludf.DUMMYFUNCTION("filter('Back End'!C:C,'Back End'!A:A=A1156,'Back End'!B:B=B1156,'Back End'!D:D=D1156)"),"Thanti Konda")</f>
        <v>Thanti Konda</v>
      </c>
      <c r="D1156" s="91" t="s">
        <v>175</v>
      </c>
      <c r="E1156" s="91" t="s">
        <v>4710</v>
      </c>
      <c r="F1156" s="67" t="s">
        <v>3138</v>
      </c>
      <c r="G1156" s="67"/>
      <c r="H1156" s="93" t="s">
        <v>4</v>
      </c>
      <c r="I1156" s="67"/>
      <c r="J1156" s="92">
        <v>9704293301</v>
      </c>
      <c r="K1156" s="67"/>
      <c r="L1156" s="67"/>
      <c r="M1156" s="67"/>
      <c r="N1156" s="67"/>
      <c r="O1156" s="67"/>
    </row>
    <row r="1157" spans="1:15" ht="15">
      <c r="A1157" s="91" t="s">
        <v>19</v>
      </c>
      <c r="B1157" s="91" t="s">
        <v>147</v>
      </c>
      <c r="C1157" s="92" t="str">
        <f ca="1">IFERROR(__xludf.DUMMYFUNCTION("filter('Back End'!C:C,'Back End'!A:A=A1157,'Back End'!B:B=B1157,'Back End'!D:D=D1157)"),"Thanti Konda")</f>
        <v>Thanti Konda</v>
      </c>
      <c r="D1157" s="91" t="s">
        <v>175</v>
      </c>
      <c r="E1157" s="91" t="s">
        <v>4711</v>
      </c>
      <c r="F1157" s="67" t="s">
        <v>3138</v>
      </c>
      <c r="G1157" s="67"/>
      <c r="H1157" s="93" t="s">
        <v>4</v>
      </c>
      <c r="I1157" s="67"/>
      <c r="J1157" s="92">
        <v>9502911292</v>
      </c>
      <c r="K1157" s="67"/>
      <c r="L1157" s="67"/>
      <c r="M1157" s="67"/>
      <c r="N1157" s="67"/>
      <c r="O1157" s="67"/>
    </row>
    <row r="1158" spans="1:15" ht="15">
      <c r="A1158" s="91" t="s">
        <v>19</v>
      </c>
      <c r="B1158" s="91" t="s">
        <v>147</v>
      </c>
      <c r="C1158" s="92" t="str">
        <f ca="1">IFERROR(__xludf.DUMMYFUNCTION("filter('Back End'!C:C,'Back End'!A:A=A1158,'Back End'!B:B=B1158,'Back End'!D:D=D1158)"),"Thanti Konda")</f>
        <v>Thanti Konda</v>
      </c>
      <c r="D1158" s="91" t="s">
        <v>175</v>
      </c>
      <c r="E1158" s="91" t="s">
        <v>4712</v>
      </c>
      <c r="F1158" s="67" t="s">
        <v>3138</v>
      </c>
      <c r="G1158" s="67"/>
      <c r="H1158" s="93" t="s">
        <v>4</v>
      </c>
      <c r="I1158" s="67"/>
      <c r="J1158" s="92">
        <v>9949600234</v>
      </c>
      <c r="K1158" s="67"/>
      <c r="L1158" s="67"/>
      <c r="M1158" s="67"/>
      <c r="N1158" s="67"/>
      <c r="O1158" s="67"/>
    </row>
    <row r="1159" spans="1:15" ht="15">
      <c r="A1159" s="91" t="s">
        <v>19</v>
      </c>
      <c r="B1159" s="91" t="s">
        <v>147</v>
      </c>
      <c r="C1159" s="92" t="str">
        <f ca="1">IFERROR(__xludf.DUMMYFUNCTION("filter('Back End'!C:C,'Back End'!A:A=A1159,'Back End'!B:B=B1159,'Back End'!D:D=D1159)"),"Thanti Konda")</f>
        <v>Thanti Konda</v>
      </c>
      <c r="D1159" s="91" t="s">
        <v>175</v>
      </c>
      <c r="E1159" s="91" t="s">
        <v>4713</v>
      </c>
      <c r="F1159" s="67" t="s">
        <v>3138</v>
      </c>
      <c r="G1159" s="67"/>
      <c r="H1159" s="93" t="s">
        <v>4</v>
      </c>
      <c r="I1159" s="67"/>
      <c r="J1159" s="92">
        <v>8099424643</v>
      </c>
      <c r="K1159" s="67"/>
      <c r="L1159" s="67"/>
      <c r="M1159" s="67"/>
      <c r="N1159" s="67"/>
      <c r="O1159" s="67"/>
    </row>
    <row r="1160" spans="1:15" ht="15">
      <c r="A1160" s="91" t="s">
        <v>19</v>
      </c>
      <c r="B1160" s="91" t="s">
        <v>147</v>
      </c>
      <c r="C1160" s="92" t="str">
        <f ca="1">IFERROR(__xludf.DUMMYFUNCTION("filter('Back End'!C:C,'Back End'!A:A=A1160,'Back End'!B:B=B1160,'Back End'!D:D=D1160)"),"Thanti Konda")</f>
        <v>Thanti Konda</v>
      </c>
      <c r="D1160" s="91" t="s">
        <v>175</v>
      </c>
      <c r="E1160" s="91" t="s">
        <v>4714</v>
      </c>
      <c r="F1160" s="67" t="s">
        <v>3138</v>
      </c>
      <c r="G1160" s="67"/>
      <c r="H1160" s="93" t="s">
        <v>4</v>
      </c>
      <c r="I1160" s="92" t="s">
        <v>3125</v>
      </c>
      <c r="J1160" s="92">
        <v>9959868988</v>
      </c>
      <c r="K1160" s="67"/>
      <c r="L1160" s="67"/>
      <c r="M1160" s="67"/>
      <c r="N1160" s="67"/>
      <c r="O1160" s="67"/>
    </row>
    <row r="1161" spans="1:15" ht="15">
      <c r="A1161" s="91" t="s">
        <v>19</v>
      </c>
      <c r="B1161" s="91" t="s">
        <v>147</v>
      </c>
      <c r="C1161" s="92" t="str">
        <f ca="1">IFERROR(__xludf.DUMMYFUNCTION("filter('Back End'!C:C,'Back End'!A:A=A1161,'Back End'!B:B=B1161,'Back End'!D:D=D1161)"),"Thanti Konda")</f>
        <v>Thanti Konda</v>
      </c>
      <c r="D1161" s="91" t="s">
        <v>175</v>
      </c>
      <c r="E1161" s="91" t="s">
        <v>4715</v>
      </c>
      <c r="F1161" s="91" t="s">
        <v>139</v>
      </c>
      <c r="G1161" s="91" t="s">
        <v>594</v>
      </c>
      <c r="H1161" s="93" t="s">
        <v>5</v>
      </c>
      <c r="I1161" s="67"/>
      <c r="J1161" s="92">
        <v>9652832456</v>
      </c>
      <c r="K1161" s="67"/>
      <c r="L1161" s="67"/>
      <c r="M1161" s="67"/>
      <c r="N1161" s="67"/>
      <c r="O1161" s="67"/>
    </row>
    <row r="1162" spans="1:15" ht="15">
      <c r="A1162" s="91" t="s">
        <v>19</v>
      </c>
      <c r="B1162" s="91" t="s">
        <v>147</v>
      </c>
      <c r="C1162" s="92" t="str">
        <f ca="1">IFERROR(__xludf.DUMMYFUNCTION("filter('Back End'!C:C,'Back End'!A:A=A1162,'Back End'!B:B=B1162,'Back End'!D:D=D1162)"),"Thanti Konda")</f>
        <v>Thanti Konda</v>
      </c>
      <c r="D1162" s="91" t="s">
        <v>175</v>
      </c>
      <c r="E1162" s="91" t="s">
        <v>4716</v>
      </c>
      <c r="F1162" s="91" t="s">
        <v>139</v>
      </c>
      <c r="G1162" s="91" t="s">
        <v>594</v>
      </c>
      <c r="H1162" s="93" t="s">
        <v>5</v>
      </c>
      <c r="I1162" s="67"/>
      <c r="J1162" s="92">
        <v>7801044409</v>
      </c>
      <c r="K1162" s="67"/>
      <c r="L1162" s="67"/>
      <c r="M1162" s="67"/>
      <c r="N1162" s="67"/>
      <c r="O1162" s="67"/>
    </row>
    <row r="1163" spans="1:15" ht="15">
      <c r="A1163" s="91" t="s">
        <v>19</v>
      </c>
      <c r="B1163" s="91" t="s">
        <v>147</v>
      </c>
      <c r="C1163" s="92" t="str">
        <f ca="1">IFERROR(__xludf.DUMMYFUNCTION("filter('Back End'!C:C,'Back End'!A:A=A1163,'Back End'!B:B=B1163,'Back End'!D:D=D1163)"),"Tirumalayapalem")</f>
        <v>Tirumalayapalem</v>
      </c>
      <c r="D1163" s="91" t="s">
        <v>177</v>
      </c>
      <c r="E1163" s="91" t="s">
        <v>4717</v>
      </c>
      <c r="F1163" s="91" t="s">
        <v>139</v>
      </c>
      <c r="G1163" s="91" t="s">
        <v>594</v>
      </c>
      <c r="H1163" s="93" t="s">
        <v>5</v>
      </c>
      <c r="I1163" s="67"/>
      <c r="J1163" s="92">
        <v>8008287381</v>
      </c>
      <c r="K1163" s="67"/>
      <c r="L1163" s="67"/>
      <c r="M1163" s="67"/>
      <c r="N1163" s="67"/>
      <c r="O1163" s="67"/>
    </row>
    <row r="1164" spans="1:15" ht="15">
      <c r="A1164" s="91" t="s">
        <v>19</v>
      </c>
      <c r="B1164" s="91" t="s">
        <v>147</v>
      </c>
      <c r="C1164" s="92" t="str">
        <f ca="1">IFERROR(__xludf.DUMMYFUNCTION("filter('Back End'!C:C,'Back End'!A:A=A1164,'Back End'!B:B=B1164,'Back End'!D:D=D1164)"),"Tirumalayapalem")</f>
        <v>Tirumalayapalem</v>
      </c>
      <c r="D1164" s="91" t="s">
        <v>177</v>
      </c>
      <c r="E1164" s="91" t="s">
        <v>4718</v>
      </c>
      <c r="F1164" s="67" t="s">
        <v>3138</v>
      </c>
      <c r="G1164" s="67"/>
      <c r="H1164" s="93" t="s">
        <v>4</v>
      </c>
      <c r="I1164" s="67"/>
      <c r="J1164" s="92">
        <v>9182975216</v>
      </c>
      <c r="K1164" s="67"/>
      <c r="L1164" s="67"/>
      <c r="M1164" s="67"/>
      <c r="N1164" s="67"/>
      <c r="O1164" s="67"/>
    </row>
    <row r="1165" spans="1:15" ht="15">
      <c r="A1165" s="91" t="s">
        <v>19</v>
      </c>
      <c r="B1165" s="91" t="s">
        <v>147</v>
      </c>
      <c r="C1165" s="92" t="str">
        <f ca="1">IFERROR(__xludf.DUMMYFUNCTION("filter('Back End'!C:C,'Back End'!A:A=A1165,'Back End'!B:B=B1165,'Back End'!D:D=D1165)"),"Tirumalayapalem")</f>
        <v>Tirumalayapalem</v>
      </c>
      <c r="D1165" s="91" t="s">
        <v>177</v>
      </c>
      <c r="E1165" s="91" t="s">
        <v>4719</v>
      </c>
      <c r="F1165" s="67" t="s">
        <v>3138</v>
      </c>
      <c r="G1165" s="67"/>
      <c r="H1165" s="93" t="s">
        <v>4</v>
      </c>
      <c r="I1165" s="92" t="s">
        <v>3125</v>
      </c>
      <c r="J1165" s="92">
        <v>8464832999</v>
      </c>
      <c r="K1165" s="67"/>
      <c r="L1165" s="67"/>
      <c r="M1165" s="67"/>
      <c r="N1165" s="67"/>
      <c r="O1165" s="67"/>
    </row>
    <row r="1166" spans="1:15" ht="15">
      <c r="A1166" s="91" t="s">
        <v>19</v>
      </c>
      <c r="B1166" s="91" t="s">
        <v>147</v>
      </c>
      <c r="C1166" s="92" t="str">
        <f ca="1">IFERROR(__xludf.DUMMYFUNCTION("filter('Back End'!C:C,'Back End'!A:A=A1166,'Back End'!B:B=B1166,'Back End'!D:D=D1166)"),"Tirumalayapalem")</f>
        <v>Tirumalayapalem</v>
      </c>
      <c r="D1166" s="91" t="s">
        <v>177</v>
      </c>
      <c r="E1166" s="91" t="s">
        <v>4720</v>
      </c>
      <c r="F1166" s="67" t="s">
        <v>3138</v>
      </c>
      <c r="G1166" s="67"/>
      <c r="H1166" s="93" t="s">
        <v>4</v>
      </c>
      <c r="I1166" s="67"/>
      <c r="J1166" s="92">
        <v>9866283870</v>
      </c>
      <c r="K1166" s="67"/>
      <c r="L1166" s="67"/>
      <c r="M1166" s="67"/>
      <c r="N1166" s="67"/>
      <c r="O1166" s="67"/>
    </row>
    <row r="1167" spans="1:15" ht="15">
      <c r="A1167" s="91" t="s">
        <v>19</v>
      </c>
      <c r="B1167" s="91" t="s">
        <v>147</v>
      </c>
      <c r="C1167" s="92" t="str">
        <f ca="1">IFERROR(__xludf.DUMMYFUNCTION("filter('Back End'!C:C,'Back End'!A:A=A1167,'Back End'!B:B=B1167,'Back End'!D:D=D1167)"),"Tirumalayapalem")</f>
        <v>Tirumalayapalem</v>
      </c>
      <c r="D1167" s="91" t="s">
        <v>177</v>
      </c>
      <c r="E1167" s="91" t="s">
        <v>4721</v>
      </c>
      <c r="F1167" s="67" t="s">
        <v>3138</v>
      </c>
      <c r="G1167" s="67"/>
      <c r="H1167" s="93" t="s">
        <v>4</v>
      </c>
      <c r="I1167" s="67"/>
      <c r="J1167" s="92">
        <v>9390275710</v>
      </c>
      <c r="K1167" s="67"/>
      <c r="L1167" s="67"/>
      <c r="M1167" s="67"/>
      <c r="N1167" s="67"/>
      <c r="O1167" s="67"/>
    </row>
    <row r="1168" spans="1:15" ht="15">
      <c r="A1168" s="91" t="s">
        <v>19</v>
      </c>
      <c r="B1168" s="91" t="s">
        <v>147</v>
      </c>
      <c r="C1168" s="92" t="str">
        <f ca="1">IFERROR(__xludf.DUMMYFUNCTION("filter('Back End'!C:C,'Back End'!A:A=A1168,'Back End'!B:B=B1168,'Back End'!D:D=D1168)"),"Tirumalayapalem")</f>
        <v>Tirumalayapalem</v>
      </c>
      <c r="D1168" s="91" t="s">
        <v>177</v>
      </c>
      <c r="E1168" s="91" t="s">
        <v>4722</v>
      </c>
      <c r="F1168" s="67" t="s">
        <v>3138</v>
      </c>
      <c r="G1168" s="67"/>
      <c r="H1168" s="93" t="s">
        <v>4</v>
      </c>
      <c r="I1168" s="67"/>
      <c r="J1168" s="92">
        <v>9652410525</v>
      </c>
      <c r="K1168" s="67"/>
      <c r="L1168" s="67"/>
      <c r="M1168" s="67"/>
      <c r="N1168" s="67"/>
      <c r="O1168" s="67"/>
    </row>
    <row r="1169" spans="1:15" ht="15">
      <c r="A1169" s="91" t="s">
        <v>19</v>
      </c>
      <c r="B1169" s="91" t="s">
        <v>19</v>
      </c>
      <c r="C1169" s="92" t="str">
        <f ca="1">IFERROR(__xludf.DUMMYFUNCTION("filter('Back End'!C:C,'Back End'!A:A=A1169,'Back End'!B:B=B1169,'Back End'!D:D=D1169)"),"Gollalagunta")</f>
        <v>Gollalagunta</v>
      </c>
      <c r="D1169" s="91" t="s">
        <v>182</v>
      </c>
      <c r="E1169" s="91" t="s">
        <v>4723</v>
      </c>
      <c r="F1169" s="91" t="s">
        <v>1669</v>
      </c>
      <c r="G1169" s="91" t="s">
        <v>615</v>
      </c>
      <c r="H1169" s="93" t="s">
        <v>5</v>
      </c>
      <c r="I1169" s="67"/>
      <c r="J1169" s="92">
        <v>9849957498</v>
      </c>
      <c r="K1169" s="67"/>
      <c r="L1169" s="67"/>
      <c r="M1169" s="67"/>
      <c r="N1169" s="67"/>
      <c r="O1169" s="67"/>
    </row>
    <row r="1170" spans="1:15" ht="15">
      <c r="A1170" s="91" t="s">
        <v>19</v>
      </c>
      <c r="B1170" s="91" t="s">
        <v>19</v>
      </c>
      <c r="C1170" s="92" t="str">
        <f ca="1">IFERROR(__xludf.DUMMYFUNCTION("filter('Back End'!C:C,'Back End'!A:A=A1170,'Back End'!B:B=B1170,'Back End'!D:D=D1170)"),"Gollalagunta")</f>
        <v>Gollalagunta</v>
      </c>
      <c r="D1170" s="91" t="s">
        <v>182</v>
      </c>
      <c r="E1170" s="91" t="s">
        <v>4724</v>
      </c>
      <c r="F1170" s="67" t="s">
        <v>3138</v>
      </c>
      <c r="G1170" s="67"/>
      <c r="H1170" s="93" t="s">
        <v>4</v>
      </c>
      <c r="I1170" s="92" t="s">
        <v>3125</v>
      </c>
      <c r="J1170" s="92">
        <v>9398252742</v>
      </c>
      <c r="K1170" s="67"/>
      <c r="L1170" s="67"/>
      <c r="M1170" s="67"/>
      <c r="N1170" s="67"/>
      <c r="O1170" s="67"/>
    </row>
    <row r="1171" spans="1:15" ht="15">
      <c r="A1171" s="91" t="s">
        <v>19</v>
      </c>
      <c r="B1171" s="91" t="s">
        <v>19</v>
      </c>
      <c r="C1171" s="92" t="str">
        <f ca="1">IFERROR(__xludf.DUMMYFUNCTION("filter('Back End'!C:C,'Back End'!A:A=A1171,'Back End'!B:B=B1171,'Back End'!D:D=D1171)"),"Gollalagunta")</f>
        <v>Gollalagunta</v>
      </c>
      <c r="D1171" s="91" t="s">
        <v>182</v>
      </c>
      <c r="E1171" s="91" t="s">
        <v>4725</v>
      </c>
      <c r="F1171" s="67" t="s">
        <v>3138</v>
      </c>
      <c r="G1171" s="67"/>
      <c r="H1171" s="93" t="s">
        <v>4</v>
      </c>
      <c r="I1171" s="67"/>
      <c r="J1171" s="92">
        <v>9949223756</v>
      </c>
      <c r="K1171" s="67"/>
      <c r="L1171" s="67"/>
      <c r="M1171" s="67"/>
      <c r="N1171" s="67"/>
      <c r="O1171" s="67"/>
    </row>
    <row r="1172" spans="1:15" ht="15">
      <c r="A1172" s="91" t="s">
        <v>19</v>
      </c>
      <c r="B1172" s="91" t="s">
        <v>19</v>
      </c>
      <c r="C1172" s="92" t="str">
        <f ca="1">IFERROR(__xludf.DUMMYFUNCTION("filter('Back End'!C:C,'Back End'!A:A=A1172,'Back End'!B:B=B1172,'Back End'!D:D=D1172)"),"Gollalagunta")</f>
        <v>Gollalagunta</v>
      </c>
      <c r="D1172" s="91" t="s">
        <v>182</v>
      </c>
      <c r="E1172" s="91" t="s">
        <v>4726</v>
      </c>
      <c r="F1172" s="67" t="s">
        <v>3138</v>
      </c>
      <c r="G1172" s="67"/>
      <c r="H1172" s="93" t="s">
        <v>4</v>
      </c>
      <c r="I1172" s="67"/>
      <c r="J1172" s="92">
        <v>9652430357</v>
      </c>
      <c r="K1172" s="67"/>
      <c r="L1172" s="67"/>
      <c r="M1172" s="67"/>
      <c r="N1172" s="67"/>
      <c r="O1172" s="67"/>
    </row>
    <row r="1173" spans="1:15" ht="15">
      <c r="A1173" s="91" t="s">
        <v>19</v>
      </c>
      <c r="B1173" s="91" t="s">
        <v>19</v>
      </c>
      <c r="C1173" s="92" t="str">
        <f ca="1">IFERROR(__xludf.DUMMYFUNCTION("filter('Back End'!C:C,'Back End'!A:A=A1173,'Back End'!B:B=B1173,'Back End'!D:D=D1173)"),"Govindapuram")</f>
        <v>Govindapuram</v>
      </c>
      <c r="D1173" s="91" t="s">
        <v>184</v>
      </c>
      <c r="E1173" s="91" t="s">
        <v>4727</v>
      </c>
      <c r="F1173" s="67" t="s">
        <v>3138</v>
      </c>
      <c r="G1173" s="67"/>
      <c r="H1173" s="93" t="s">
        <v>4</v>
      </c>
      <c r="I1173" s="67"/>
      <c r="J1173" s="92">
        <v>9505040343</v>
      </c>
      <c r="K1173" s="67"/>
      <c r="L1173" s="67"/>
      <c r="M1173" s="67"/>
      <c r="N1173" s="67"/>
      <c r="O1173" s="67"/>
    </row>
    <row r="1174" spans="1:15" ht="15">
      <c r="A1174" s="91" t="s">
        <v>19</v>
      </c>
      <c r="B1174" s="91" t="s">
        <v>19</v>
      </c>
      <c r="C1174" s="92" t="str">
        <f ca="1">IFERROR(__xludf.DUMMYFUNCTION("filter('Back End'!C:C,'Back End'!A:A=A1174,'Back End'!B:B=B1174,'Back End'!D:D=D1174)"),"Govindapuram")</f>
        <v>Govindapuram</v>
      </c>
      <c r="D1174" s="91" t="s">
        <v>184</v>
      </c>
      <c r="E1174" s="91" t="s">
        <v>4728</v>
      </c>
      <c r="F1174" s="67" t="s">
        <v>3138</v>
      </c>
      <c r="G1174" s="67"/>
      <c r="H1174" s="93" t="s">
        <v>4</v>
      </c>
      <c r="I1174" s="67"/>
      <c r="J1174" s="92">
        <v>9959432912</v>
      </c>
      <c r="K1174" s="67"/>
      <c r="L1174" s="67"/>
      <c r="M1174" s="67"/>
      <c r="N1174" s="67"/>
      <c r="O1174" s="67"/>
    </row>
    <row r="1175" spans="1:15" ht="15">
      <c r="A1175" s="91" t="s">
        <v>19</v>
      </c>
      <c r="B1175" s="91" t="s">
        <v>19</v>
      </c>
      <c r="C1175" s="92" t="str">
        <f ca="1">IFERROR(__xludf.DUMMYFUNCTION("filter('Back End'!C:C,'Back End'!A:A=A1175,'Back End'!B:B=B1175,'Back End'!D:D=D1175)"),"Govindapuram")</f>
        <v>Govindapuram</v>
      </c>
      <c r="D1175" s="91" t="s">
        <v>184</v>
      </c>
      <c r="E1175" s="91" t="s">
        <v>4729</v>
      </c>
      <c r="F1175" s="67" t="s">
        <v>3138</v>
      </c>
      <c r="G1175" s="67"/>
      <c r="H1175" s="93" t="s">
        <v>4</v>
      </c>
      <c r="I1175" s="92" t="s">
        <v>3125</v>
      </c>
      <c r="J1175" s="92">
        <v>9010636590</v>
      </c>
      <c r="K1175" s="67"/>
      <c r="L1175" s="67"/>
      <c r="M1175" s="67"/>
      <c r="N1175" s="67"/>
      <c r="O1175" s="67"/>
    </row>
    <row r="1176" spans="1:15" ht="15">
      <c r="A1176" s="91" t="s">
        <v>19</v>
      </c>
      <c r="B1176" s="91" t="s">
        <v>19</v>
      </c>
      <c r="C1176" s="92" t="str">
        <f ca="1">IFERROR(__xludf.DUMMYFUNCTION("filter('Back End'!C:C,'Back End'!A:A=A1176,'Back End'!B:B=B1176,'Back End'!D:D=D1176)"),"Govindapuram")</f>
        <v>Govindapuram</v>
      </c>
      <c r="D1176" s="91" t="s">
        <v>184</v>
      </c>
      <c r="E1176" s="91" t="s">
        <v>4730</v>
      </c>
      <c r="F1176" s="91" t="s">
        <v>139</v>
      </c>
      <c r="G1176" s="91" t="s">
        <v>594</v>
      </c>
      <c r="H1176" s="93" t="s">
        <v>5</v>
      </c>
      <c r="I1176" s="67"/>
      <c r="J1176" s="92">
        <v>7799440037</v>
      </c>
      <c r="K1176" s="67"/>
      <c r="L1176" s="67"/>
      <c r="M1176" s="67"/>
      <c r="N1176" s="67"/>
      <c r="O1176" s="67"/>
    </row>
    <row r="1177" spans="1:15" ht="15">
      <c r="A1177" s="91" t="s">
        <v>19</v>
      </c>
      <c r="B1177" s="91" t="s">
        <v>19</v>
      </c>
      <c r="C1177" s="92" t="str">
        <f ca="1">IFERROR(__xludf.DUMMYFUNCTION("filter('Back End'!C:C,'Back End'!A:A=A1177,'Back End'!B:B=B1177,'Back End'!D:D=D1177)"),"Gurra Palem")</f>
        <v>Gurra Palem</v>
      </c>
      <c r="D1177" s="91" t="s">
        <v>186</v>
      </c>
      <c r="E1177" s="91" t="s">
        <v>4731</v>
      </c>
      <c r="F1177" s="67" t="s">
        <v>3138</v>
      </c>
      <c r="G1177" s="67"/>
      <c r="H1177" s="93" t="s">
        <v>4</v>
      </c>
      <c r="I1177" s="67"/>
      <c r="J1177" s="92">
        <v>9553774863</v>
      </c>
      <c r="K1177" s="67"/>
      <c r="L1177" s="67"/>
      <c r="M1177" s="67"/>
      <c r="N1177" s="67"/>
      <c r="O1177" s="67"/>
    </row>
    <row r="1178" spans="1:15" ht="15">
      <c r="A1178" s="91" t="s">
        <v>19</v>
      </c>
      <c r="B1178" s="91" t="s">
        <v>19</v>
      </c>
      <c r="C1178" s="92" t="str">
        <f ca="1">IFERROR(__xludf.DUMMYFUNCTION("filter('Back End'!C:C,'Back End'!A:A=A1178,'Back End'!B:B=B1178,'Back End'!D:D=D1178)"),"Gurra Palem")</f>
        <v>Gurra Palem</v>
      </c>
      <c r="D1178" s="91" t="s">
        <v>186</v>
      </c>
      <c r="E1178" s="91" t="s">
        <v>4732</v>
      </c>
      <c r="F1178" s="67" t="s">
        <v>3138</v>
      </c>
      <c r="G1178" s="67"/>
      <c r="H1178" s="93" t="s">
        <v>4</v>
      </c>
      <c r="I1178" s="92" t="s">
        <v>3125</v>
      </c>
      <c r="J1178" s="92">
        <v>9849679171</v>
      </c>
      <c r="K1178" s="67"/>
      <c r="L1178" s="67"/>
      <c r="M1178" s="67"/>
      <c r="N1178" s="67"/>
      <c r="O1178" s="67"/>
    </row>
    <row r="1179" spans="1:15" ht="15">
      <c r="A1179" s="91" t="s">
        <v>19</v>
      </c>
      <c r="B1179" s="91" t="s">
        <v>19</v>
      </c>
      <c r="C1179" s="92" t="str">
        <f ca="1">IFERROR(__xludf.DUMMYFUNCTION("filter('Back End'!C:C,'Back End'!A:A=A1179,'Back End'!B:B=B1179,'Back End'!D:D=D1179)"),"Gurra Palem")</f>
        <v>Gurra Palem</v>
      </c>
      <c r="D1179" s="91" t="s">
        <v>186</v>
      </c>
      <c r="E1179" s="91" t="s">
        <v>4733</v>
      </c>
      <c r="F1179" s="67" t="s">
        <v>3138</v>
      </c>
      <c r="G1179" s="67"/>
      <c r="H1179" s="93" t="s">
        <v>4</v>
      </c>
      <c r="I1179" s="67"/>
      <c r="J1179" s="92">
        <v>7981251558</v>
      </c>
      <c r="K1179" s="67"/>
      <c r="L1179" s="67"/>
      <c r="M1179" s="67"/>
      <c r="N1179" s="67"/>
      <c r="O1179" s="67"/>
    </row>
    <row r="1180" spans="1:15" ht="15">
      <c r="A1180" s="91" t="s">
        <v>19</v>
      </c>
      <c r="B1180" s="91" t="s">
        <v>19</v>
      </c>
      <c r="C1180" s="92" t="str">
        <f ca="1">IFERROR(__xludf.DUMMYFUNCTION("filter('Back End'!C:C,'Back End'!A:A=A1180,'Back End'!B:B=B1180,'Back End'!D:D=D1180)"),"Gurra Palem")</f>
        <v>Gurra Palem</v>
      </c>
      <c r="D1180" s="91" t="s">
        <v>186</v>
      </c>
      <c r="E1180" s="91" t="s">
        <v>4734</v>
      </c>
      <c r="F1180" s="67" t="s">
        <v>3138</v>
      </c>
      <c r="G1180" s="67"/>
      <c r="H1180" s="93" t="s">
        <v>4</v>
      </c>
      <c r="I1180" s="67"/>
      <c r="J1180" s="92">
        <v>9908834959</v>
      </c>
      <c r="K1180" s="67"/>
      <c r="L1180" s="67"/>
      <c r="M1180" s="67"/>
      <c r="N1180" s="67"/>
      <c r="O1180" s="67"/>
    </row>
    <row r="1181" spans="1:15" ht="15">
      <c r="A1181" s="91" t="s">
        <v>19</v>
      </c>
      <c r="B1181" s="91" t="s">
        <v>19</v>
      </c>
      <c r="C1181" s="92" t="str">
        <f ca="1">IFERROR(__xludf.DUMMYFUNCTION("filter('Back End'!C:C,'Back End'!A:A=A1181,'Back End'!B:B=B1181,'Back End'!D:D=D1181)"),"Gurra Palem")</f>
        <v>Gurra Palem</v>
      </c>
      <c r="D1181" s="91" t="s">
        <v>186</v>
      </c>
      <c r="E1181" s="91" t="s">
        <v>4735</v>
      </c>
      <c r="F1181" s="67" t="s">
        <v>3138</v>
      </c>
      <c r="G1181" s="67"/>
      <c r="H1181" s="93" t="s">
        <v>4</v>
      </c>
      <c r="I1181" s="67"/>
      <c r="J1181" s="92">
        <v>9553319558</v>
      </c>
      <c r="K1181" s="67"/>
      <c r="L1181" s="67"/>
      <c r="M1181" s="67"/>
      <c r="N1181" s="67"/>
      <c r="O1181" s="67"/>
    </row>
    <row r="1182" spans="1:15" ht="30">
      <c r="A1182" s="91" t="s">
        <v>19</v>
      </c>
      <c r="B1182" s="100" t="s">
        <v>19</v>
      </c>
      <c r="C1182" s="97" t="s">
        <v>186</v>
      </c>
      <c r="D1182" s="100" t="s">
        <v>186</v>
      </c>
      <c r="E1182" s="100" t="s">
        <v>519</v>
      </c>
      <c r="F1182" s="100" t="s">
        <v>131</v>
      </c>
      <c r="G1182" s="100" t="s">
        <v>594</v>
      </c>
      <c r="H1182" s="100" t="s">
        <v>4</v>
      </c>
      <c r="I1182" s="97" t="s">
        <v>4736</v>
      </c>
      <c r="J1182" s="97" t="s">
        <v>2631</v>
      </c>
      <c r="K1182" s="99"/>
      <c r="L1182" s="99"/>
      <c r="M1182" s="99"/>
      <c r="N1182" s="67"/>
      <c r="O1182" s="67"/>
    </row>
    <row r="1183" spans="1:15" ht="30">
      <c r="A1183" s="101" t="s">
        <v>19</v>
      </c>
      <c r="B1183" s="93" t="s">
        <v>19</v>
      </c>
      <c r="C1183" s="102" t="s">
        <v>186</v>
      </c>
      <c r="D1183" s="93" t="s">
        <v>186</v>
      </c>
      <c r="E1183" s="93" t="s">
        <v>4737</v>
      </c>
      <c r="F1183" s="93" t="s">
        <v>139</v>
      </c>
      <c r="G1183" s="93" t="s">
        <v>594</v>
      </c>
      <c r="H1183" s="93" t="s">
        <v>4</v>
      </c>
      <c r="I1183" s="102" t="s">
        <v>4738</v>
      </c>
      <c r="J1183" s="102" t="s">
        <v>2631</v>
      </c>
      <c r="K1183" s="95"/>
      <c r="L1183" s="95"/>
      <c r="M1183" s="95"/>
      <c r="N1183" s="67"/>
      <c r="O1183" s="67"/>
    </row>
    <row r="1184" spans="1:15" ht="30">
      <c r="A1184" s="101" t="s">
        <v>19</v>
      </c>
      <c r="B1184" s="93" t="s">
        <v>19</v>
      </c>
      <c r="C1184" s="102" t="s">
        <v>186</v>
      </c>
      <c r="D1184" s="93" t="s">
        <v>186</v>
      </c>
      <c r="E1184" s="93" t="s">
        <v>4739</v>
      </c>
      <c r="F1184" s="93" t="s">
        <v>139</v>
      </c>
      <c r="G1184" s="93" t="s">
        <v>594</v>
      </c>
      <c r="H1184" s="93" t="s">
        <v>4</v>
      </c>
      <c r="I1184" s="102" t="s">
        <v>4333</v>
      </c>
      <c r="J1184" s="102">
        <v>9908834959</v>
      </c>
      <c r="K1184" s="95"/>
      <c r="L1184" s="95"/>
      <c r="M1184" s="95"/>
      <c r="N1184" s="67"/>
      <c r="O1184" s="67"/>
    </row>
    <row r="1185" spans="1:15" ht="30">
      <c r="A1185" s="101" t="s">
        <v>19</v>
      </c>
      <c r="B1185" s="93" t="s">
        <v>19</v>
      </c>
      <c r="C1185" s="102" t="s">
        <v>186</v>
      </c>
      <c r="D1185" s="93" t="s">
        <v>186</v>
      </c>
      <c r="E1185" s="93" t="s">
        <v>4740</v>
      </c>
      <c r="F1185" s="93" t="s">
        <v>139</v>
      </c>
      <c r="G1185" s="93" t="s">
        <v>594</v>
      </c>
      <c r="H1185" s="93" t="s">
        <v>4</v>
      </c>
      <c r="I1185" s="102" t="s">
        <v>3765</v>
      </c>
      <c r="J1185" s="102">
        <v>9494551041</v>
      </c>
      <c r="K1185" s="95"/>
      <c r="L1185" s="95"/>
      <c r="M1185" s="95"/>
      <c r="N1185" s="67"/>
      <c r="O1185" s="67"/>
    </row>
    <row r="1186" spans="1:15" ht="30">
      <c r="A1186" s="101" t="s">
        <v>19</v>
      </c>
      <c r="B1186" s="93" t="s">
        <v>19</v>
      </c>
      <c r="C1186" s="102" t="s">
        <v>186</v>
      </c>
      <c r="D1186" s="93" t="s">
        <v>186</v>
      </c>
      <c r="E1186" s="93" t="s">
        <v>4741</v>
      </c>
      <c r="F1186" s="93" t="s">
        <v>1674</v>
      </c>
      <c r="G1186" s="93" t="s">
        <v>615</v>
      </c>
      <c r="H1186" s="93" t="s">
        <v>4</v>
      </c>
      <c r="I1186" s="102" t="s">
        <v>3765</v>
      </c>
      <c r="J1186" s="102">
        <v>9666365848</v>
      </c>
      <c r="K1186" s="95"/>
      <c r="L1186" s="95"/>
      <c r="M1186" s="95"/>
      <c r="N1186" s="67"/>
      <c r="O1186" s="67"/>
    </row>
    <row r="1187" spans="1:15" ht="15">
      <c r="A1187" s="91" t="s">
        <v>8</v>
      </c>
      <c r="B1187" s="100" t="s">
        <v>19</v>
      </c>
      <c r="C1187" s="97" t="s">
        <v>186</v>
      </c>
      <c r="D1187" s="100" t="s">
        <v>186</v>
      </c>
      <c r="E1187" s="100" t="s">
        <v>4742</v>
      </c>
      <c r="F1187" s="100" t="s">
        <v>586</v>
      </c>
      <c r="G1187" s="100" t="s">
        <v>615</v>
      </c>
      <c r="H1187" s="100" t="s">
        <v>5</v>
      </c>
      <c r="I1187" s="97" t="s">
        <v>3115</v>
      </c>
      <c r="J1187" s="97">
        <v>9010126289</v>
      </c>
      <c r="K1187" s="99"/>
      <c r="L1187" s="99"/>
      <c r="M1187" s="99"/>
      <c r="N1187" s="67"/>
      <c r="O1187" s="67"/>
    </row>
    <row r="1188" spans="1:15" ht="30">
      <c r="A1188" s="101" t="s">
        <v>8</v>
      </c>
      <c r="B1188" s="93" t="s">
        <v>19</v>
      </c>
      <c r="C1188" s="102" t="s">
        <v>186</v>
      </c>
      <c r="D1188" s="93" t="s">
        <v>186</v>
      </c>
      <c r="E1188" s="93" t="s">
        <v>4743</v>
      </c>
      <c r="F1188" s="93" t="s">
        <v>139</v>
      </c>
      <c r="G1188" s="93" t="s">
        <v>594</v>
      </c>
      <c r="H1188" s="93" t="s">
        <v>5</v>
      </c>
      <c r="I1188" s="102" t="s">
        <v>3793</v>
      </c>
      <c r="J1188" s="102">
        <v>9553082413</v>
      </c>
      <c r="K1188" s="95"/>
      <c r="L1188" s="95"/>
      <c r="M1188" s="95"/>
      <c r="N1188" s="67"/>
      <c r="O1188" s="67"/>
    </row>
    <row r="1189" spans="1:15" ht="15">
      <c r="A1189" s="91" t="s">
        <v>19</v>
      </c>
      <c r="B1189" s="91" t="s">
        <v>19</v>
      </c>
      <c r="C1189" s="92" t="str">
        <f ca="1">IFERROR(__xludf.DUMMYFUNCTION("filter('Back End'!C:C,'Back End'!A:A=A1189,'Back End'!B:B=B1189,'Back End'!D:D=D1189)"),"Gurra Palem")</f>
        <v>Gurra Palem</v>
      </c>
      <c r="D1189" s="91" t="s">
        <v>186</v>
      </c>
      <c r="E1189" s="91" t="s">
        <v>4744</v>
      </c>
      <c r="F1189" s="91" t="s">
        <v>205</v>
      </c>
      <c r="G1189" s="91" t="s">
        <v>615</v>
      </c>
      <c r="H1189" s="93" t="s">
        <v>5</v>
      </c>
      <c r="I1189" s="67"/>
      <c r="J1189" s="92">
        <v>9959488968</v>
      </c>
      <c r="K1189" s="67"/>
      <c r="L1189" s="67"/>
      <c r="M1189" s="67"/>
      <c r="N1189" s="67"/>
      <c r="O1189" s="67"/>
    </row>
    <row r="1190" spans="1:15" ht="15">
      <c r="A1190" s="91" t="s">
        <v>19</v>
      </c>
      <c r="B1190" s="91" t="s">
        <v>19</v>
      </c>
      <c r="C1190" s="92" t="str">
        <f ca="1">IFERROR(__xludf.DUMMYFUNCTION("filter('Back End'!C:C,'Back End'!A:A=A1190,'Back End'!B:B=B1190,'Back End'!D:D=D1190)"),"Gurra Palem")</f>
        <v>Gurra Palem</v>
      </c>
      <c r="D1190" s="91" t="s">
        <v>186</v>
      </c>
      <c r="E1190" s="91" t="s">
        <v>4745</v>
      </c>
      <c r="F1190" s="91" t="s">
        <v>139</v>
      </c>
      <c r="G1190" s="91" t="s">
        <v>594</v>
      </c>
      <c r="H1190" s="93" t="s">
        <v>5</v>
      </c>
      <c r="I1190" s="67"/>
      <c r="J1190" s="92">
        <v>9247275872</v>
      </c>
      <c r="K1190" s="67"/>
      <c r="L1190" s="67"/>
      <c r="M1190" s="67"/>
      <c r="N1190" s="67"/>
      <c r="O1190" s="67"/>
    </row>
    <row r="1191" spans="1:15" ht="30">
      <c r="A1191" s="91" t="s">
        <v>19</v>
      </c>
      <c r="B1191" s="91" t="s">
        <v>19</v>
      </c>
      <c r="C1191" s="92" t="str">
        <f ca="1">IFERROR(__xludf.DUMMYFUNCTION("filter('Back End'!C:C,'Back End'!A:A=A1191,'Back End'!B:B=B1191,'Back End'!D:D=D1191)"),"Gurra Palem")</f>
        <v>Gurra Palem</v>
      </c>
      <c r="D1191" s="91" t="s">
        <v>186</v>
      </c>
      <c r="E1191" s="91" t="s">
        <v>4746</v>
      </c>
      <c r="F1191" s="91" t="s">
        <v>586</v>
      </c>
      <c r="G1191" s="91" t="s">
        <v>615</v>
      </c>
      <c r="H1191" s="93" t="s">
        <v>5</v>
      </c>
      <c r="I1191" s="92" t="s">
        <v>3495</v>
      </c>
      <c r="J1191" s="92">
        <v>9010126289</v>
      </c>
      <c r="K1191" s="67"/>
      <c r="L1191" s="67"/>
      <c r="M1191" s="67"/>
      <c r="N1191" s="67"/>
      <c r="O1191" s="67"/>
    </row>
    <row r="1192" spans="1:15" ht="15">
      <c r="A1192" s="91" t="s">
        <v>19</v>
      </c>
      <c r="B1192" s="91" t="s">
        <v>19</v>
      </c>
      <c r="C1192" s="92" t="str">
        <f ca="1">IFERROR(__xludf.DUMMYFUNCTION("filter('Back End'!C:C,'Back End'!A:A=A1192,'Back End'!B:B=B1192,'Back End'!D:D=D1192)"),"Gurra Palem")</f>
        <v>Gurra Palem</v>
      </c>
      <c r="D1192" s="91" t="s">
        <v>186</v>
      </c>
      <c r="E1192" s="91" t="s">
        <v>4747</v>
      </c>
      <c r="F1192" s="91" t="s">
        <v>1674</v>
      </c>
      <c r="G1192" s="91" t="s">
        <v>615</v>
      </c>
      <c r="H1192" s="93" t="s">
        <v>5</v>
      </c>
      <c r="I1192" s="92" t="s">
        <v>3185</v>
      </c>
      <c r="J1192" s="92">
        <v>9949134043</v>
      </c>
      <c r="K1192" s="67"/>
      <c r="L1192" s="67"/>
      <c r="M1192" s="67"/>
      <c r="N1192" s="67"/>
      <c r="O1192" s="67"/>
    </row>
    <row r="1193" spans="1:15" ht="30">
      <c r="A1193" s="91" t="s">
        <v>19</v>
      </c>
      <c r="B1193" s="91" t="s">
        <v>19</v>
      </c>
      <c r="C1193" s="92" t="str">
        <f ca="1">IFERROR(__xludf.DUMMYFUNCTION("filter('Back End'!C:C,'Back End'!A:A=A1193,'Back End'!B:B=B1193,'Back End'!D:D=D1193)"),"Gurra Palem")</f>
        <v>Gurra Palem</v>
      </c>
      <c r="D1193" s="91" t="s">
        <v>186</v>
      </c>
      <c r="E1193" s="91" t="s">
        <v>4748</v>
      </c>
      <c r="F1193" s="91" t="s">
        <v>213</v>
      </c>
      <c r="G1193" s="91" t="s">
        <v>615</v>
      </c>
      <c r="H1193" s="93" t="s">
        <v>5</v>
      </c>
      <c r="I1193" s="92" t="s">
        <v>3194</v>
      </c>
      <c r="J1193" s="92">
        <v>9494506545</v>
      </c>
      <c r="K1193" s="67"/>
      <c r="L1193" s="67"/>
      <c r="M1193" s="67"/>
      <c r="N1193" s="67"/>
      <c r="O1193" s="67"/>
    </row>
    <row r="1194" spans="1:15" ht="15">
      <c r="A1194" s="91" t="s">
        <v>19</v>
      </c>
      <c r="B1194" s="91" t="s">
        <v>19</v>
      </c>
      <c r="C1194" s="92" t="str">
        <f ca="1">IFERROR(__xludf.DUMMYFUNCTION("filter('Back End'!C:C,'Back End'!A:A=A1194,'Back End'!B:B=B1194,'Back End'!D:D=D1194)"),"Irripaka")</f>
        <v>Irripaka</v>
      </c>
      <c r="D1194" s="91" t="s">
        <v>189</v>
      </c>
      <c r="E1194" s="91" t="s">
        <v>4749</v>
      </c>
      <c r="F1194" s="67" t="s">
        <v>3138</v>
      </c>
      <c r="G1194" s="67"/>
      <c r="H1194" s="93" t="s">
        <v>4</v>
      </c>
      <c r="I1194" s="67"/>
      <c r="J1194" s="92">
        <v>9704193266</v>
      </c>
      <c r="K1194" s="67"/>
      <c r="L1194" s="67"/>
      <c r="M1194" s="67"/>
      <c r="N1194" s="67"/>
      <c r="O1194" s="67"/>
    </row>
    <row r="1195" spans="1:15" ht="15">
      <c r="A1195" s="91" t="s">
        <v>19</v>
      </c>
      <c r="B1195" s="91" t="s">
        <v>19</v>
      </c>
      <c r="C1195" s="92" t="str">
        <f ca="1">IFERROR(__xludf.DUMMYFUNCTION("filter('Back End'!C:C,'Back End'!A:A=A1195,'Back End'!B:B=B1195,'Back End'!D:D=D1195)"),"Irripaka")</f>
        <v>Irripaka</v>
      </c>
      <c r="D1195" s="91" t="s">
        <v>189</v>
      </c>
      <c r="E1195" s="91" t="s">
        <v>4750</v>
      </c>
      <c r="F1195" s="67" t="s">
        <v>3138</v>
      </c>
      <c r="G1195" s="67"/>
      <c r="H1195" s="93" t="s">
        <v>4</v>
      </c>
      <c r="I1195" s="67"/>
      <c r="J1195" s="92">
        <v>9247779441</v>
      </c>
      <c r="K1195" s="67"/>
      <c r="L1195" s="67"/>
      <c r="M1195" s="67"/>
      <c r="N1195" s="67"/>
      <c r="O1195" s="67"/>
    </row>
    <row r="1196" spans="1:15" ht="15">
      <c r="A1196" s="91" t="s">
        <v>19</v>
      </c>
      <c r="B1196" s="91" t="s">
        <v>19</v>
      </c>
      <c r="C1196" s="92" t="str">
        <f ca="1">IFERROR(__xludf.DUMMYFUNCTION("filter('Back End'!C:C,'Back End'!A:A=A1196,'Back End'!B:B=B1196,'Back End'!D:D=D1196)"),"Irripaka")</f>
        <v>Irripaka</v>
      </c>
      <c r="D1196" s="91" t="s">
        <v>189</v>
      </c>
      <c r="E1196" s="91" t="s">
        <v>4751</v>
      </c>
      <c r="F1196" s="67" t="s">
        <v>3138</v>
      </c>
      <c r="G1196" s="67"/>
      <c r="H1196" s="93" t="s">
        <v>4</v>
      </c>
      <c r="I1196" s="92" t="s">
        <v>3125</v>
      </c>
      <c r="J1196" s="92">
        <v>8106071748</v>
      </c>
      <c r="K1196" s="67"/>
      <c r="L1196" s="67"/>
      <c r="M1196" s="67"/>
      <c r="N1196" s="67"/>
      <c r="O1196" s="67"/>
    </row>
    <row r="1197" spans="1:15" ht="15">
      <c r="A1197" s="91" t="s">
        <v>19</v>
      </c>
      <c r="B1197" s="91" t="s">
        <v>19</v>
      </c>
      <c r="C1197" s="92" t="str">
        <f ca="1">IFERROR(__xludf.DUMMYFUNCTION("filter('Back End'!C:C,'Back End'!A:A=A1197,'Back End'!B:B=B1197,'Back End'!D:D=D1197)"),"Irripaka")</f>
        <v>Irripaka</v>
      </c>
      <c r="D1197" s="91" t="s">
        <v>189</v>
      </c>
      <c r="E1197" s="91" t="s">
        <v>4752</v>
      </c>
      <c r="F1197" s="67" t="s">
        <v>3138</v>
      </c>
      <c r="G1197" s="67"/>
      <c r="H1197" s="93" t="s">
        <v>4</v>
      </c>
      <c r="I1197" s="67"/>
      <c r="J1197" s="92">
        <v>9030420888</v>
      </c>
      <c r="K1197" s="67"/>
      <c r="L1197" s="67"/>
      <c r="M1197" s="67"/>
      <c r="N1197" s="67"/>
      <c r="O1197" s="67"/>
    </row>
    <row r="1198" spans="1:15" ht="15">
      <c r="A1198" s="91" t="s">
        <v>19</v>
      </c>
      <c r="B1198" s="91" t="s">
        <v>19</v>
      </c>
      <c r="C1198" s="92" t="str">
        <f ca="1">IFERROR(__xludf.DUMMYFUNCTION("filter('Back End'!C:C,'Back End'!A:A=A1198,'Back End'!B:B=B1198,'Back End'!D:D=D1198)"),"Irripaka")</f>
        <v>Irripaka</v>
      </c>
      <c r="D1198" s="91" t="s">
        <v>189</v>
      </c>
      <c r="E1198" s="91" t="s">
        <v>4753</v>
      </c>
      <c r="F1198" s="67" t="s">
        <v>3138</v>
      </c>
      <c r="G1198" s="67"/>
      <c r="H1198" s="93" t="s">
        <v>4</v>
      </c>
      <c r="I1198" s="67"/>
      <c r="J1198" s="92">
        <v>7661909096</v>
      </c>
      <c r="K1198" s="67"/>
      <c r="L1198" s="67"/>
      <c r="M1198" s="67"/>
      <c r="N1198" s="67"/>
      <c r="O1198" s="67"/>
    </row>
    <row r="1199" spans="1:15" ht="15">
      <c r="A1199" s="91" t="s">
        <v>19</v>
      </c>
      <c r="B1199" s="91" t="s">
        <v>19</v>
      </c>
      <c r="C1199" s="92" t="str">
        <f ca="1">IFERROR(__xludf.DUMMYFUNCTION("filter('Back End'!C:C,'Back End'!A:A=A1199,'Back End'!B:B=B1199,'Back End'!D:D=D1199)"),"J.Kothuru")</f>
        <v>J.Kothuru</v>
      </c>
      <c r="D1199" s="91" t="s">
        <v>191</v>
      </c>
      <c r="E1199" s="91" t="s">
        <v>4754</v>
      </c>
      <c r="F1199" s="91" t="s">
        <v>139</v>
      </c>
      <c r="G1199" s="91" t="s">
        <v>594</v>
      </c>
      <c r="H1199" s="93" t="s">
        <v>5</v>
      </c>
      <c r="I1199" s="67"/>
      <c r="J1199" s="92">
        <v>9912881969</v>
      </c>
      <c r="K1199" s="67"/>
      <c r="L1199" s="67"/>
      <c r="M1199" s="67"/>
      <c r="N1199" s="67"/>
      <c r="O1199" s="67"/>
    </row>
    <row r="1200" spans="1:15" ht="15">
      <c r="A1200" s="91" t="s">
        <v>19</v>
      </c>
      <c r="B1200" s="91" t="s">
        <v>19</v>
      </c>
      <c r="C1200" s="92" t="str">
        <f ca="1">IFERROR(__xludf.DUMMYFUNCTION("filter('Back End'!C:C,'Back End'!A:A=A1200,'Back End'!B:B=B1200,'Back End'!D:D=D1200)"),"J.Kothuru")</f>
        <v>J.Kothuru</v>
      </c>
      <c r="D1200" s="91" t="s">
        <v>191</v>
      </c>
      <c r="E1200" s="91" t="s">
        <v>4755</v>
      </c>
      <c r="F1200" s="91" t="s">
        <v>139</v>
      </c>
      <c r="G1200" s="91" t="s">
        <v>594</v>
      </c>
      <c r="H1200" s="93" t="s">
        <v>5</v>
      </c>
      <c r="I1200" s="67"/>
      <c r="J1200" s="92">
        <v>9951113099</v>
      </c>
      <c r="K1200" s="67"/>
      <c r="L1200" s="67"/>
      <c r="M1200" s="67"/>
      <c r="N1200" s="67"/>
      <c r="O1200" s="67"/>
    </row>
    <row r="1201" spans="1:15" ht="15">
      <c r="A1201" s="91" t="s">
        <v>19</v>
      </c>
      <c r="B1201" s="91" t="s">
        <v>19</v>
      </c>
      <c r="C1201" s="92" t="str">
        <f ca="1">IFERROR(__xludf.DUMMYFUNCTION("filter('Back End'!C:C,'Back End'!A:A=A1201,'Back End'!B:B=B1201,'Back End'!D:D=D1201)"),"J.Kothuru")</f>
        <v>J.Kothuru</v>
      </c>
      <c r="D1201" s="91" t="s">
        <v>191</v>
      </c>
      <c r="E1201" s="91" t="s">
        <v>4756</v>
      </c>
      <c r="F1201" s="67" t="s">
        <v>3138</v>
      </c>
      <c r="G1201" s="67"/>
      <c r="H1201" s="93" t="s">
        <v>4</v>
      </c>
      <c r="I1201" s="92" t="s">
        <v>3125</v>
      </c>
      <c r="J1201" s="92">
        <v>9951107673</v>
      </c>
      <c r="K1201" s="67"/>
      <c r="L1201" s="67"/>
      <c r="M1201" s="67"/>
      <c r="N1201" s="67"/>
      <c r="O1201" s="67"/>
    </row>
    <row r="1202" spans="1:15" ht="15">
      <c r="A1202" s="91" t="s">
        <v>19</v>
      </c>
      <c r="B1202" s="91" t="s">
        <v>19</v>
      </c>
      <c r="C1202" s="92" t="str">
        <f ca="1">IFERROR(__xludf.DUMMYFUNCTION("filter('Back End'!C:C,'Back End'!A:A=A1202,'Back End'!B:B=B1202,'Back End'!D:D=D1202)"),"J.Kothuru")</f>
        <v>J.Kothuru</v>
      </c>
      <c r="D1202" s="91" t="s">
        <v>191</v>
      </c>
      <c r="E1202" s="91" t="s">
        <v>4757</v>
      </c>
      <c r="F1202" s="67" t="s">
        <v>3138</v>
      </c>
      <c r="G1202" s="67"/>
      <c r="H1202" s="93" t="s">
        <v>4</v>
      </c>
      <c r="I1202" s="67"/>
      <c r="J1202" s="92">
        <v>8985886605</v>
      </c>
      <c r="K1202" s="67"/>
      <c r="L1202" s="67"/>
      <c r="M1202" s="67"/>
      <c r="N1202" s="67"/>
      <c r="O1202" s="67"/>
    </row>
    <row r="1203" spans="1:15" ht="15">
      <c r="A1203" s="91" t="s">
        <v>19</v>
      </c>
      <c r="B1203" s="91" t="s">
        <v>19</v>
      </c>
      <c r="C1203" s="92" t="str">
        <f ca="1">IFERROR(__xludf.DUMMYFUNCTION("filter('Back End'!C:C,'Back End'!A:A=A1203,'Back End'!B:B=B1203,'Back End'!D:D=D1203)"),"J.Kothuru")</f>
        <v>J.Kothuru</v>
      </c>
      <c r="D1203" s="91" t="s">
        <v>191</v>
      </c>
      <c r="E1203" s="91" t="s">
        <v>4758</v>
      </c>
      <c r="F1203" s="67" t="s">
        <v>3138</v>
      </c>
      <c r="G1203" s="67"/>
      <c r="H1203" s="93" t="s">
        <v>4</v>
      </c>
      <c r="I1203" s="67"/>
      <c r="J1203" s="92">
        <v>7569519596</v>
      </c>
      <c r="K1203" s="67"/>
      <c r="L1203" s="67"/>
      <c r="M1203" s="67"/>
      <c r="N1203" s="67"/>
      <c r="O1203" s="67"/>
    </row>
    <row r="1204" spans="1:15" ht="15">
      <c r="A1204" s="91" t="s">
        <v>19</v>
      </c>
      <c r="B1204" s="91" t="s">
        <v>19</v>
      </c>
      <c r="C1204" s="92" t="str">
        <f ca="1">IFERROR(__xludf.DUMMYFUNCTION("filter('Back End'!C:C,'Back End'!A:A=A1204,'Back End'!B:B=B1204,'Back End'!D:D=D1204)"),"J.Kothuru")</f>
        <v>J.Kothuru</v>
      </c>
      <c r="D1204" s="91" t="s">
        <v>191</v>
      </c>
      <c r="E1204" s="91" t="s">
        <v>4759</v>
      </c>
      <c r="F1204" s="67" t="s">
        <v>3138</v>
      </c>
      <c r="G1204" s="67"/>
      <c r="H1204" s="93" t="s">
        <v>4</v>
      </c>
      <c r="I1204" s="67"/>
      <c r="J1204" s="92">
        <v>9493356564</v>
      </c>
      <c r="K1204" s="67"/>
      <c r="L1204" s="67"/>
      <c r="M1204" s="67"/>
      <c r="N1204" s="67"/>
      <c r="O1204" s="67"/>
    </row>
    <row r="1205" spans="1:15" ht="15">
      <c r="A1205" s="91" t="s">
        <v>19</v>
      </c>
      <c r="B1205" s="91" t="s">
        <v>19</v>
      </c>
      <c r="C1205" s="92" t="str">
        <f ca="1">IFERROR(__xludf.DUMMYFUNCTION("filter('Back End'!C:C,'Back End'!A:A=A1205,'Back End'!B:B=B1205,'Back End'!D:D=D1205)"),"Jaggampeta")</f>
        <v>Jaggampeta</v>
      </c>
      <c r="D1205" s="91" t="s">
        <v>19</v>
      </c>
      <c r="E1205" s="91" t="s">
        <v>4760</v>
      </c>
      <c r="F1205" s="67" t="s">
        <v>3138</v>
      </c>
      <c r="G1205" s="67"/>
      <c r="H1205" s="93" t="s">
        <v>4</v>
      </c>
      <c r="I1205" s="67"/>
      <c r="J1205" s="92">
        <v>9948187768</v>
      </c>
      <c r="K1205" s="67"/>
      <c r="L1205" s="67"/>
      <c r="M1205" s="67"/>
      <c r="N1205" s="67"/>
      <c r="O1205" s="67"/>
    </row>
    <row r="1206" spans="1:15" ht="15">
      <c r="A1206" s="91" t="s">
        <v>19</v>
      </c>
      <c r="B1206" s="91" t="s">
        <v>19</v>
      </c>
      <c r="C1206" s="92" t="str">
        <f ca="1">IFERROR(__xludf.DUMMYFUNCTION("filter('Back End'!C:C,'Back End'!A:A=A1206,'Back End'!B:B=B1206,'Back End'!D:D=D1206)"),"Jaggampeta")</f>
        <v>Jaggampeta</v>
      </c>
      <c r="D1206" s="91" t="s">
        <v>19</v>
      </c>
      <c r="E1206" s="91" t="s">
        <v>4761</v>
      </c>
      <c r="F1206" s="67" t="s">
        <v>3138</v>
      </c>
      <c r="G1206" s="67"/>
      <c r="H1206" s="93" t="s">
        <v>4</v>
      </c>
      <c r="I1206" s="67"/>
      <c r="J1206" s="92">
        <v>9581090190</v>
      </c>
      <c r="K1206" s="67"/>
      <c r="L1206" s="67"/>
      <c r="M1206" s="67"/>
      <c r="N1206" s="67"/>
      <c r="O1206" s="67"/>
    </row>
    <row r="1207" spans="1:15" ht="15">
      <c r="A1207" s="91" t="s">
        <v>19</v>
      </c>
      <c r="B1207" s="91" t="s">
        <v>19</v>
      </c>
      <c r="C1207" s="92" t="str">
        <f ca="1">IFERROR(__xludf.DUMMYFUNCTION("filter('Back End'!C:C,'Back End'!A:A=A1207,'Back End'!B:B=B1207,'Back End'!D:D=D1207)"),"Jaggampeta")</f>
        <v>Jaggampeta</v>
      </c>
      <c r="D1207" s="91" t="s">
        <v>19</v>
      </c>
      <c r="E1207" s="91" t="s">
        <v>4762</v>
      </c>
      <c r="F1207" s="91" t="s">
        <v>213</v>
      </c>
      <c r="G1207" s="91" t="s">
        <v>615</v>
      </c>
      <c r="H1207" s="93" t="s">
        <v>5</v>
      </c>
      <c r="I1207" s="67"/>
      <c r="J1207" s="92">
        <v>9704193248</v>
      </c>
      <c r="K1207" s="67"/>
      <c r="L1207" s="67"/>
      <c r="M1207" s="67"/>
      <c r="N1207" s="67"/>
      <c r="O1207" s="67"/>
    </row>
    <row r="1208" spans="1:15" ht="15">
      <c r="A1208" s="91" t="s">
        <v>19</v>
      </c>
      <c r="B1208" s="91" t="s">
        <v>19</v>
      </c>
      <c r="C1208" s="92" t="str">
        <f ca="1">IFERROR(__xludf.DUMMYFUNCTION("filter('Back End'!C:C,'Back End'!A:A=A1208,'Back End'!B:B=B1208,'Back End'!D:D=D1208)"),"Jaggampeta")</f>
        <v>Jaggampeta</v>
      </c>
      <c r="D1208" s="91" t="s">
        <v>19</v>
      </c>
      <c r="E1208" s="91" t="s">
        <v>4763</v>
      </c>
      <c r="F1208" s="67" t="s">
        <v>3138</v>
      </c>
      <c r="G1208" s="67"/>
      <c r="H1208" s="93" t="s">
        <v>4</v>
      </c>
      <c r="I1208" s="67"/>
      <c r="J1208" s="92">
        <v>9848719871</v>
      </c>
      <c r="K1208" s="67"/>
      <c r="L1208" s="67"/>
      <c r="M1208" s="67"/>
      <c r="N1208" s="67"/>
      <c r="O1208" s="67"/>
    </row>
    <row r="1209" spans="1:15" ht="15">
      <c r="A1209" s="91" t="s">
        <v>19</v>
      </c>
      <c r="B1209" s="91" t="s">
        <v>19</v>
      </c>
      <c r="C1209" s="92" t="str">
        <f ca="1">IFERROR(__xludf.DUMMYFUNCTION("filter('Back End'!C:C,'Back End'!A:A=A1209,'Back End'!B:B=B1209,'Back End'!D:D=D1209)"),"Jaggampeta")</f>
        <v>Jaggampeta</v>
      </c>
      <c r="D1209" s="91" t="s">
        <v>19</v>
      </c>
      <c r="E1209" s="91" t="s">
        <v>4764</v>
      </c>
      <c r="F1209" s="91" t="s">
        <v>1669</v>
      </c>
      <c r="G1209" s="91" t="s">
        <v>615</v>
      </c>
      <c r="H1209" s="93" t="s">
        <v>5</v>
      </c>
      <c r="I1209" s="67"/>
      <c r="J1209" s="92">
        <v>9989231391</v>
      </c>
      <c r="K1209" s="67"/>
      <c r="L1209" s="67"/>
      <c r="M1209" s="67"/>
      <c r="N1209" s="67"/>
      <c r="O1209" s="67"/>
    </row>
    <row r="1210" spans="1:15" ht="15">
      <c r="A1210" s="91" t="s">
        <v>19</v>
      </c>
      <c r="B1210" s="91" t="s">
        <v>19</v>
      </c>
      <c r="C1210" s="92" t="str">
        <f ca="1">IFERROR(__xludf.DUMMYFUNCTION("filter('Back End'!C:C,'Back End'!A:A=A1210,'Back End'!B:B=B1210,'Back End'!D:D=D1210)"),"Jaggampeta")</f>
        <v>Jaggampeta</v>
      </c>
      <c r="D1210" s="91" t="s">
        <v>19</v>
      </c>
      <c r="E1210" s="91" t="s">
        <v>4765</v>
      </c>
      <c r="F1210" s="67" t="s">
        <v>3138</v>
      </c>
      <c r="G1210" s="67"/>
      <c r="H1210" s="93" t="s">
        <v>4</v>
      </c>
      <c r="I1210" s="67"/>
      <c r="J1210" s="92">
        <v>9959872688</v>
      </c>
      <c r="K1210" s="67"/>
      <c r="L1210" s="67"/>
      <c r="M1210" s="67"/>
      <c r="N1210" s="67"/>
      <c r="O1210" s="67"/>
    </row>
    <row r="1211" spans="1:15" ht="15">
      <c r="A1211" s="91" t="s">
        <v>19</v>
      </c>
      <c r="B1211" s="91" t="s">
        <v>19</v>
      </c>
      <c r="C1211" s="92" t="str">
        <f ca="1">IFERROR(__xludf.DUMMYFUNCTION("filter('Back End'!C:C,'Back End'!A:A=A1211,'Back End'!B:B=B1211,'Back End'!D:D=D1211)"),"Jaggampeta")</f>
        <v>Jaggampeta</v>
      </c>
      <c r="D1211" s="91" t="s">
        <v>19</v>
      </c>
      <c r="E1211" s="91" t="s">
        <v>4766</v>
      </c>
      <c r="F1211" s="67" t="s">
        <v>3138</v>
      </c>
      <c r="G1211" s="67"/>
      <c r="H1211" s="93" t="s">
        <v>4</v>
      </c>
      <c r="I1211" s="67"/>
      <c r="J1211" s="92">
        <v>8985489698</v>
      </c>
      <c r="K1211" s="67"/>
      <c r="L1211" s="67"/>
      <c r="M1211" s="67"/>
      <c r="N1211" s="67"/>
      <c r="O1211" s="67"/>
    </row>
    <row r="1212" spans="1:15" ht="15">
      <c r="A1212" s="91" t="s">
        <v>19</v>
      </c>
      <c r="B1212" s="91" t="s">
        <v>19</v>
      </c>
      <c r="C1212" s="92" t="str">
        <f ca="1">IFERROR(__xludf.DUMMYFUNCTION("filter('Back End'!C:C,'Back End'!A:A=A1212,'Back End'!B:B=B1212,'Back End'!D:D=D1212)"),"Jaggampeta")</f>
        <v>Jaggampeta</v>
      </c>
      <c r="D1212" s="91" t="s">
        <v>19</v>
      </c>
      <c r="E1212" s="91" t="s">
        <v>4767</v>
      </c>
      <c r="F1212" s="91" t="s">
        <v>139</v>
      </c>
      <c r="G1212" s="91" t="s">
        <v>594</v>
      </c>
      <c r="H1212" s="93" t="s">
        <v>5</v>
      </c>
      <c r="I1212" s="67"/>
      <c r="J1212" s="92">
        <v>9704577273</v>
      </c>
      <c r="K1212" s="67"/>
      <c r="L1212" s="67"/>
      <c r="M1212" s="67"/>
      <c r="N1212" s="67"/>
      <c r="O1212" s="67"/>
    </row>
    <row r="1213" spans="1:15" ht="15">
      <c r="A1213" s="91" t="s">
        <v>19</v>
      </c>
      <c r="B1213" s="91" t="s">
        <v>19</v>
      </c>
      <c r="C1213" s="92" t="str">
        <f ca="1">IFERROR(__xludf.DUMMYFUNCTION("filter('Back End'!C:C,'Back End'!A:A=A1213,'Back End'!B:B=B1213,'Back End'!D:D=D1213)"),"Jaggampeta")</f>
        <v>Jaggampeta</v>
      </c>
      <c r="D1213" s="91" t="s">
        <v>19</v>
      </c>
      <c r="E1213" s="91" t="s">
        <v>4768</v>
      </c>
      <c r="F1213" s="67" t="s">
        <v>3138</v>
      </c>
      <c r="G1213" s="67"/>
      <c r="H1213" s="93" t="s">
        <v>4</v>
      </c>
      <c r="I1213" s="67"/>
      <c r="J1213" s="92">
        <v>9492262659</v>
      </c>
      <c r="K1213" s="67"/>
      <c r="L1213" s="67"/>
      <c r="M1213" s="67"/>
      <c r="N1213" s="67"/>
      <c r="O1213" s="67"/>
    </row>
    <row r="1214" spans="1:15" ht="15">
      <c r="A1214" s="91" t="s">
        <v>19</v>
      </c>
      <c r="B1214" s="91" t="s">
        <v>19</v>
      </c>
      <c r="C1214" s="92" t="str">
        <f ca="1">IFERROR(__xludf.DUMMYFUNCTION("filter('Back End'!C:C,'Back End'!A:A=A1214,'Back End'!B:B=B1214,'Back End'!D:D=D1214)"),"Jaggampeta")</f>
        <v>Jaggampeta</v>
      </c>
      <c r="D1214" s="91" t="s">
        <v>19</v>
      </c>
      <c r="E1214" s="91" t="s">
        <v>4769</v>
      </c>
      <c r="F1214" s="67" t="s">
        <v>3138</v>
      </c>
      <c r="G1214" s="67"/>
      <c r="H1214" s="93" t="s">
        <v>4</v>
      </c>
      <c r="I1214" s="67"/>
      <c r="J1214" s="92">
        <v>9963343188</v>
      </c>
      <c r="K1214" s="67"/>
      <c r="L1214" s="67"/>
      <c r="M1214" s="67"/>
      <c r="N1214" s="67"/>
      <c r="O1214" s="67"/>
    </row>
    <row r="1215" spans="1:15" ht="15">
      <c r="A1215" s="91" t="s">
        <v>19</v>
      </c>
      <c r="B1215" s="91" t="s">
        <v>19</v>
      </c>
      <c r="C1215" s="92" t="str">
        <f ca="1">IFERROR(__xludf.DUMMYFUNCTION("filter('Back End'!C:C,'Back End'!A:A=A1215,'Back End'!B:B=B1215,'Back End'!D:D=D1215)"),"Jaggampeta")</f>
        <v>Jaggampeta</v>
      </c>
      <c r="D1215" s="91" t="s">
        <v>19</v>
      </c>
      <c r="E1215" s="91" t="s">
        <v>4770</v>
      </c>
      <c r="F1215" s="91" t="s">
        <v>139</v>
      </c>
      <c r="G1215" s="91" t="s">
        <v>594</v>
      </c>
      <c r="H1215" s="93" t="s">
        <v>5</v>
      </c>
      <c r="I1215" s="67"/>
      <c r="J1215" s="92">
        <v>8523885551</v>
      </c>
      <c r="K1215" s="67"/>
      <c r="L1215" s="67"/>
      <c r="M1215" s="67"/>
      <c r="N1215" s="67"/>
      <c r="O1215" s="67"/>
    </row>
    <row r="1216" spans="1:15" ht="15">
      <c r="A1216" s="91" t="s">
        <v>19</v>
      </c>
      <c r="B1216" s="91" t="s">
        <v>19</v>
      </c>
      <c r="C1216" s="92" t="str">
        <f ca="1">IFERROR(__xludf.DUMMYFUNCTION("filter('Back End'!C:C,'Back End'!A:A=A1216,'Back End'!B:B=B1216,'Back End'!D:D=D1216)"),"Jaggampeta")</f>
        <v>Jaggampeta</v>
      </c>
      <c r="D1216" s="91" t="s">
        <v>19</v>
      </c>
      <c r="E1216" s="91" t="s">
        <v>4771</v>
      </c>
      <c r="F1216" s="67" t="s">
        <v>3138</v>
      </c>
      <c r="G1216" s="67"/>
      <c r="H1216" s="93" t="s">
        <v>4</v>
      </c>
      <c r="I1216" s="67"/>
      <c r="J1216" s="92">
        <v>9866605012</v>
      </c>
      <c r="K1216" s="67"/>
      <c r="L1216" s="67"/>
      <c r="M1216" s="67"/>
      <c r="N1216" s="67"/>
      <c r="O1216" s="67"/>
    </row>
    <row r="1217" spans="1:15" ht="15">
      <c r="A1217" s="91" t="s">
        <v>19</v>
      </c>
      <c r="B1217" s="91" t="s">
        <v>19</v>
      </c>
      <c r="C1217" s="92" t="str">
        <f ca="1">IFERROR(__xludf.DUMMYFUNCTION("filter('Back End'!C:C,'Back End'!A:A=A1217,'Back End'!B:B=B1217,'Back End'!D:D=D1217)"),"Jaggampeta")</f>
        <v>Jaggampeta</v>
      </c>
      <c r="D1217" s="91" t="s">
        <v>19</v>
      </c>
      <c r="E1217" s="91" t="s">
        <v>4772</v>
      </c>
      <c r="F1217" s="91" t="s">
        <v>213</v>
      </c>
      <c r="G1217" s="91" t="s">
        <v>615</v>
      </c>
      <c r="H1217" s="93" t="s">
        <v>5</v>
      </c>
      <c r="I1217" s="67"/>
      <c r="J1217" s="92">
        <v>9248751656</v>
      </c>
      <c r="K1217" s="67"/>
      <c r="L1217" s="67"/>
      <c r="M1217" s="67"/>
      <c r="N1217" s="67"/>
      <c r="O1217" s="67"/>
    </row>
    <row r="1218" spans="1:15" ht="15">
      <c r="A1218" s="91" t="s">
        <v>19</v>
      </c>
      <c r="B1218" s="91" t="s">
        <v>19</v>
      </c>
      <c r="C1218" s="92" t="str">
        <f ca="1">IFERROR(__xludf.DUMMYFUNCTION("filter('Back End'!C:C,'Back End'!A:A=A1218,'Back End'!B:B=B1218,'Back End'!D:D=D1218)"),"Jaggampeta")</f>
        <v>Jaggampeta</v>
      </c>
      <c r="D1218" s="91" t="s">
        <v>19</v>
      </c>
      <c r="E1218" s="91" t="s">
        <v>4773</v>
      </c>
      <c r="F1218" s="91" t="s">
        <v>103</v>
      </c>
      <c r="G1218" s="91" t="s">
        <v>594</v>
      </c>
      <c r="H1218" s="93" t="s">
        <v>5</v>
      </c>
      <c r="I1218" s="67"/>
      <c r="J1218" s="92">
        <v>9640158585</v>
      </c>
      <c r="K1218" s="67"/>
      <c r="L1218" s="67"/>
      <c r="M1218" s="67"/>
      <c r="N1218" s="67"/>
      <c r="O1218" s="67"/>
    </row>
    <row r="1219" spans="1:15" ht="15">
      <c r="A1219" s="91" t="s">
        <v>19</v>
      </c>
      <c r="B1219" s="91" t="s">
        <v>19</v>
      </c>
      <c r="C1219" s="92" t="str">
        <f ca="1">IFERROR(__xludf.DUMMYFUNCTION("filter('Back End'!C:C,'Back End'!A:A=A1219,'Back End'!B:B=B1219,'Back End'!D:D=D1219)"),"Jaggampeta")</f>
        <v>Jaggampeta</v>
      </c>
      <c r="D1219" s="91" t="s">
        <v>19</v>
      </c>
      <c r="E1219" s="91" t="s">
        <v>4774</v>
      </c>
      <c r="F1219" s="67" t="s">
        <v>3138</v>
      </c>
      <c r="G1219" s="67"/>
      <c r="H1219" s="93" t="s">
        <v>4</v>
      </c>
      <c r="I1219" s="67"/>
      <c r="J1219" s="92">
        <v>9848490124</v>
      </c>
      <c r="K1219" s="67"/>
      <c r="L1219" s="67"/>
      <c r="M1219" s="67"/>
      <c r="N1219" s="67"/>
      <c r="O1219" s="67"/>
    </row>
    <row r="1220" spans="1:15" ht="15">
      <c r="A1220" s="91" t="s">
        <v>19</v>
      </c>
      <c r="B1220" s="91" t="s">
        <v>19</v>
      </c>
      <c r="C1220" s="92" t="str">
        <f ca="1">IFERROR(__xludf.DUMMYFUNCTION("filter('Back End'!C:C,'Back End'!A:A=A1220,'Back End'!B:B=B1220,'Back End'!D:D=D1220)"),"Jaggampeta")</f>
        <v>Jaggampeta</v>
      </c>
      <c r="D1220" s="91" t="s">
        <v>19</v>
      </c>
      <c r="E1220" s="91" t="s">
        <v>4775</v>
      </c>
      <c r="F1220" s="91" t="s">
        <v>213</v>
      </c>
      <c r="G1220" s="91" t="s">
        <v>615</v>
      </c>
      <c r="H1220" s="93" t="s">
        <v>5</v>
      </c>
      <c r="I1220" s="67"/>
      <c r="J1220" s="92">
        <v>9704275588</v>
      </c>
      <c r="K1220" s="67"/>
      <c r="L1220" s="67"/>
      <c r="M1220" s="67"/>
      <c r="N1220" s="67"/>
      <c r="O1220" s="67"/>
    </row>
    <row r="1221" spans="1:15" ht="15">
      <c r="A1221" s="91" t="s">
        <v>19</v>
      </c>
      <c r="B1221" s="91" t="s">
        <v>19</v>
      </c>
      <c r="C1221" s="92" t="str">
        <f ca="1">IFERROR(__xludf.DUMMYFUNCTION("filter('Back End'!C:C,'Back End'!A:A=A1221,'Back End'!B:B=B1221,'Back End'!D:D=D1221)"),"Jaggampeta")</f>
        <v>Jaggampeta</v>
      </c>
      <c r="D1221" s="91" t="s">
        <v>19</v>
      </c>
      <c r="E1221" s="91" t="s">
        <v>4776</v>
      </c>
      <c r="F1221" s="91" t="s">
        <v>114</v>
      </c>
      <c r="G1221" s="91" t="s">
        <v>85</v>
      </c>
      <c r="H1221" s="93" t="s">
        <v>5</v>
      </c>
      <c r="I1221" s="67"/>
      <c r="J1221" s="92">
        <v>9640849098</v>
      </c>
      <c r="K1221" s="67"/>
      <c r="L1221" s="67"/>
      <c r="M1221" s="67"/>
      <c r="N1221" s="67"/>
      <c r="O1221" s="67"/>
    </row>
    <row r="1222" spans="1:15" ht="15">
      <c r="A1222" s="91" t="s">
        <v>19</v>
      </c>
      <c r="B1222" s="91" t="s">
        <v>19</v>
      </c>
      <c r="C1222" s="92" t="str">
        <f ca="1">IFERROR(__xludf.DUMMYFUNCTION("filter('Back End'!C:C,'Back End'!A:A=A1222,'Back End'!B:B=B1222,'Back End'!D:D=D1222)"),"Jaggampeta")</f>
        <v>Jaggampeta</v>
      </c>
      <c r="D1222" s="91" t="s">
        <v>19</v>
      </c>
      <c r="E1222" s="91" t="s">
        <v>4777</v>
      </c>
      <c r="F1222" s="67" t="s">
        <v>3138</v>
      </c>
      <c r="G1222" s="67"/>
      <c r="H1222" s="93" t="s">
        <v>4</v>
      </c>
      <c r="I1222" s="67"/>
      <c r="J1222" s="92">
        <v>9948237669</v>
      </c>
      <c r="K1222" s="67"/>
      <c r="L1222" s="67"/>
      <c r="M1222" s="67"/>
      <c r="N1222" s="67"/>
      <c r="O1222" s="67"/>
    </row>
    <row r="1223" spans="1:15" ht="15">
      <c r="A1223" s="91" t="s">
        <v>19</v>
      </c>
      <c r="B1223" s="91" t="s">
        <v>19</v>
      </c>
      <c r="C1223" s="92" t="str">
        <f ca="1">IFERROR(__xludf.DUMMYFUNCTION("filter('Back End'!C:C,'Back End'!A:A=A1223,'Back End'!B:B=B1223,'Back End'!D:D=D1223)"),"Jaggampeta")</f>
        <v>Jaggampeta</v>
      </c>
      <c r="D1223" s="91" t="s">
        <v>19</v>
      </c>
      <c r="E1223" s="91" t="s">
        <v>4778</v>
      </c>
      <c r="F1223" s="91" t="s">
        <v>139</v>
      </c>
      <c r="G1223" s="91" t="s">
        <v>594</v>
      </c>
      <c r="H1223" s="93" t="s">
        <v>5</v>
      </c>
      <c r="I1223" s="67"/>
      <c r="J1223" s="92">
        <v>7396928444</v>
      </c>
      <c r="K1223" s="67"/>
      <c r="L1223" s="67"/>
      <c r="M1223" s="67"/>
      <c r="N1223" s="67"/>
      <c r="O1223" s="67"/>
    </row>
    <row r="1224" spans="1:15" ht="15">
      <c r="A1224" s="91" t="s">
        <v>19</v>
      </c>
      <c r="B1224" s="91" t="s">
        <v>19</v>
      </c>
      <c r="C1224" s="92" t="str">
        <f ca="1">IFERROR(__xludf.DUMMYFUNCTION("filter('Back End'!C:C,'Back End'!A:A=A1224,'Back End'!B:B=B1224,'Back End'!D:D=D1224)"),"Jaggampeta")</f>
        <v>Jaggampeta</v>
      </c>
      <c r="D1224" s="91" t="s">
        <v>19</v>
      </c>
      <c r="E1224" s="91" t="s">
        <v>4779</v>
      </c>
      <c r="F1224" s="91" t="s">
        <v>139</v>
      </c>
      <c r="G1224" s="91" t="s">
        <v>594</v>
      </c>
      <c r="H1224" s="93" t="s">
        <v>5</v>
      </c>
      <c r="I1224" s="67"/>
      <c r="J1224" s="92">
        <v>9493390667</v>
      </c>
      <c r="K1224" s="67"/>
      <c r="L1224" s="67"/>
      <c r="M1224" s="67"/>
      <c r="N1224" s="67"/>
      <c r="O1224" s="67"/>
    </row>
    <row r="1225" spans="1:15" ht="15">
      <c r="A1225" s="91" t="s">
        <v>19</v>
      </c>
      <c r="B1225" s="91" t="s">
        <v>19</v>
      </c>
      <c r="C1225" s="92" t="str">
        <f ca="1">IFERROR(__xludf.DUMMYFUNCTION("filter('Back End'!C:C,'Back End'!A:A=A1225,'Back End'!B:B=B1225,'Back End'!D:D=D1225)"),"Jaggampeta")</f>
        <v>Jaggampeta</v>
      </c>
      <c r="D1225" s="91" t="s">
        <v>19</v>
      </c>
      <c r="E1225" s="91" t="s">
        <v>4780</v>
      </c>
      <c r="F1225" s="67" t="s">
        <v>3138</v>
      </c>
      <c r="G1225" s="67"/>
      <c r="H1225" s="93" t="s">
        <v>4</v>
      </c>
      <c r="I1225" s="67"/>
      <c r="J1225" s="92">
        <v>9666833801</v>
      </c>
      <c r="K1225" s="67"/>
      <c r="L1225" s="67"/>
      <c r="M1225" s="67"/>
      <c r="N1225" s="67"/>
      <c r="O1225" s="67"/>
    </row>
    <row r="1226" spans="1:15" ht="15">
      <c r="A1226" s="91" t="s">
        <v>19</v>
      </c>
      <c r="B1226" s="91" t="s">
        <v>19</v>
      </c>
      <c r="C1226" s="92" t="str">
        <f ca="1">IFERROR(__xludf.DUMMYFUNCTION("filter('Back End'!C:C,'Back End'!A:A=A1226,'Back End'!B:B=B1226,'Back End'!D:D=D1226)"),"Jaggampeta")</f>
        <v>Jaggampeta</v>
      </c>
      <c r="D1226" s="91" t="s">
        <v>19</v>
      </c>
      <c r="E1226" s="91" t="s">
        <v>4781</v>
      </c>
      <c r="F1226" s="67" t="s">
        <v>3138</v>
      </c>
      <c r="G1226" s="67"/>
      <c r="H1226" s="93" t="s">
        <v>4</v>
      </c>
      <c r="I1226" s="92" t="s">
        <v>3125</v>
      </c>
      <c r="J1226" s="92">
        <v>9848337697</v>
      </c>
      <c r="K1226" s="67"/>
      <c r="L1226" s="67"/>
      <c r="M1226" s="67"/>
      <c r="N1226" s="67"/>
      <c r="O1226" s="67"/>
    </row>
    <row r="1227" spans="1:15" ht="15">
      <c r="A1227" s="91" t="s">
        <v>19</v>
      </c>
      <c r="B1227" s="91" t="s">
        <v>19</v>
      </c>
      <c r="C1227" s="92" t="str">
        <f ca="1">IFERROR(__xludf.DUMMYFUNCTION("filter('Back End'!C:C,'Back End'!A:A=A1227,'Back End'!B:B=B1227,'Back End'!D:D=D1227)"),"Jaggampeta")</f>
        <v>Jaggampeta</v>
      </c>
      <c r="D1227" s="91" t="s">
        <v>19</v>
      </c>
      <c r="E1227" s="91" t="s">
        <v>4782</v>
      </c>
      <c r="F1227" s="67" t="s">
        <v>3138</v>
      </c>
      <c r="G1227" s="67"/>
      <c r="H1227" s="93" t="s">
        <v>4</v>
      </c>
      <c r="I1227" s="67"/>
      <c r="J1227" s="92">
        <v>9963415780</v>
      </c>
      <c r="K1227" s="67"/>
      <c r="L1227" s="67"/>
      <c r="M1227" s="67"/>
      <c r="N1227" s="67"/>
      <c r="O1227" s="67"/>
    </row>
    <row r="1228" spans="1:15" ht="15">
      <c r="A1228" s="91" t="s">
        <v>19</v>
      </c>
      <c r="B1228" s="91" t="s">
        <v>19</v>
      </c>
      <c r="C1228" s="92" t="str">
        <f ca="1">IFERROR(__xludf.DUMMYFUNCTION("filter('Back End'!C:C,'Back End'!A:A=A1228,'Back End'!B:B=B1228,'Back End'!D:D=D1228)"),"Jaggampeta")</f>
        <v>Jaggampeta</v>
      </c>
      <c r="D1228" s="91" t="s">
        <v>19</v>
      </c>
      <c r="E1228" s="91" t="s">
        <v>4783</v>
      </c>
      <c r="F1228" s="67" t="s">
        <v>3138</v>
      </c>
      <c r="G1228" s="67"/>
      <c r="H1228" s="93" t="s">
        <v>4</v>
      </c>
      <c r="I1228" s="67"/>
      <c r="J1228" s="92">
        <v>9963187457</v>
      </c>
      <c r="K1228" s="67"/>
      <c r="L1228" s="67"/>
      <c r="M1228" s="67"/>
      <c r="N1228" s="67"/>
      <c r="O1228" s="67"/>
    </row>
    <row r="1229" spans="1:15" ht="15">
      <c r="A1229" s="91" t="s">
        <v>19</v>
      </c>
      <c r="B1229" s="91" t="s">
        <v>19</v>
      </c>
      <c r="C1229" s="92" t="str">
        <f ca="1">IFERROR(__xludf.DUMMYFUNCTION("filter('Back End'!C:C,'Back End'!A:A=A1229,'Back End'!B:B=B1229,'Back End'!D:D=D1229)"),"Jaggampeta")</f>
        <v>Jaggampeta</v>
      </c>
      <c r="D1229" s="91" t="s">
        <v>19</v>
      </c>
      <c r="E1229" s="91" t="s">
        <v>4784</v>
      </c>
      <c r="F1229" s="67" t="s">
        <v>3138</v>
      </c>
      <c r="G1229" s="67"/>
      <c r="H1229" s="93" t="s">
        <v>4</v>
      </c>
      <c r="I1229" s="67"/>
      <c r="J1229" s="92">
        <v>9701291032</v>
      </c>
      <c r="K1229" s="67"/>
      <c r="L1229" s="67"/>
      <c r="M1229" s="67"/>
      <c r="N1229" s="67"/>
      <c r="O1229" s="67"/>
    </row>
    <row r="1230" spans="1:15" ht="15">
      <c r="A1230" s="91" t="s">
        <v>19</v>
      </c>
      <c r="B1230" s="91" t="s">
        <v>19</v>
      </c>
      <c r="C1230" s="92" t="str">
        <f ca="1">IFERROR(__xludf.DUMMYFUNCTION("filter('Back End'!C:C,'Back End'!A:A=A1230,'Back End'!B:B=B1230,'Back End'!D:D=D1230)"),"Jaggampeta")</f>
        <v>Jaggampeta</v>
      </c>
      <c r="D1230" s="91" t="s">
        <v>19</v>
      </c>
      <c r="E1230" s="91" t="s">
        <v>4785</v>
      </c>
      <c r="F1230" s="67" t="s">
        <v>3138</v>
      </c>
      <c r="G1230" s="67"/>
      <c r="H1230" s="93" t="s">
        <v>4</v>
      </c>
      <c r="I1230" s="67"/>
      <c r="J1230" s="92">
        <v>9848865626</v>
      </c>
      <c r="K1230" s="67"/>
      <c r="L1230" s="67"/>
      <c r="M1230" s="67"/>
      <c r="N1230" s="67"/>
      <c r="O1230" s="67"/>
    </row>
    <row r="1231" spans="1:15" ht="15">
      <c r="A1231" s="91" t="s">
        <v>19</v>
      </c>
      <c r="B1231" s="91" t="s">
        <v>19</v>
      </c>
      <c r="C1231" s="92" t="str">
        <f ca="1">IFERROR(__xludf.DUMMYFUNCTION("filter('Back End'!C:C,'Back End'!A:A=A1231,'Back End'!B:B=B1231,'Back End'!D:D=D1231)"),"Jaggampeta")</f>
        <v>Jaggampeta</v>
      </c>
      <c r="D1231" s="91" t="s">
        <v>19</v>
      </c>
      <c r="E1231" s="91" t="s">
        <v>4786</v>
      </c>
      <c r="F1231" s="91" t="s">
        <v>165</v>
      </c>
      <c r="G1231" s="91" t="s">
        <v>615</v>
      </c>
      <c r="H1231" s="93" t="s">
        <v>5</v>
      </c>
      <c r="I1231" s="67"/>
      <c r="J1231" s="92">
        <v>9866342642</v>
      </c>
      <c r="K1231" s="67"/>
      <c r="L1231" s="67"/>
      <c r="M1231" s="67"/>
      <c r="N1231" s="67"/>
      <c r="O1231" s="67"/>
    </row>
    <row r="1232" spans="1:15" ht="15">
      <c r="A1232" s="91" t="s">
        <v>19</v>
      </c>
      <c r="B1232" s="91" t="s">
        <v>19</v>
      </c>
      <c r="C1232" s="92" t="str">
        <f ca="1">IFERROR(__xludf.DUMMYFUNCTION("filter('Back End'!C:C,'Back End'!A:A=A1232,'Back End'!B:B=B1232,'Back End'!D:D=D1232)"),"Jaggampeta")</f>
        <v>Jaggampeta</v>
      </c>
      <c r="D1232" s="91" t="s">
        <v>19</v>
      </c>
      <c r="E1232" s="91" t="s">
        <v>4787</v>
      </c>
      <c r="F1232" s="91" t="s">
        <v>139</v>
      </c>
      <c r="G1232" s="91" t="s">
        <v>594</v>
      </c>
      <c r="H1232" s="93" t="s">
        <v>5</v>
      </c>
      <c r="I1232" s="67"/>
      <c r="J1232" s="92">
        <v>9110711689</v>
      </c>
      <c r="K1232" s="67"/>
      <c r="L1232" s="67"/>
      <c r="M1232" s="67"/>
      <c r="N1232" s="67"/>
      <c r="O1232" s="67"/>
    </row>
    <row r="1233" spans="1:15" ht="15">
      <c r="A1233" s="91" t="s">
        <v>19</v>
      </c>
      <c r="B1233" s="91" t="s">
        <v>19</v>
      </c>
      <c r="C1233" s="92" t="str">
        <f ca="1">IFERROR(__xludf.DUMMYFUNCTION("filter('Back End'!C:C,'Back End'!A:A=A1233,'Back End'!B:B=B1233,'Back End'!D:D=D1233)"),"Jaggampeta")</f>
        <v>Jaggampeta</v>
      </c>
      <c r="D1233" s="91" t="s">
        <v>19</v>
      </c>
      <c r="E1233" s="91" t="s">
        <v>4788</v>
      </c>
      <c r="F1233" s="67" t="s">
        <v>3138</v>
      </c>
      <c r="G1233" s="67"/>
      <c r="H1233" s="93" t="s">
        <v>4</v>
      </c>
      <c r="I1233" s="67"/>
      <c r="J1233" s="92">
        <v>9848497227</v>
      </c>
      <c r="K1233" s="67"/>
      <c r="L1233" s="67"/>
      <c r="M1233" s="67"/>
      <c r="N1233" s="67"/>
      <c r="O1233" s="67"/>
    </row>
    <row r="1234" spans="1:15" ht="15">
      <c r="A1234" s="91" t="s">
        <v>19</v>
      </c>
      <c r="B1234" s="91" t="s">
        <v>19</v>
      </c>
      <c r="C1234" s="92" t="str">
        <f ca="1">IFERROR(__xludf.DUMMYFUNCTION("filter('Back End'!C:C,'Back End'!A:A=A1234,'Back End'!B:B=B1234,'Back End'!D:D=D1234)"),"Jaggampeta")</f>
        <v>Jaggampeta</v>
      </c>
      <c r="D1234" s="91" t="s">
        <v>19</v>
      </c>
      <c r="E1234" s="91" t="s">
        <v>4789</v>
      </c>
      <c r="F1234" s="67" t="s">
        <v>3138</v>
      </c>
      <c r="G1234" s="67"/>
      <c r="H1234" s="93" t="s">
        <v>4</v>
      </c>
      <c r="I1234" s="67"/>
      <c r="J1234" s="92">
        <v>9951730654</v>
      </c>
      <c r="K1234" s="67"/>
      <c r="L1234" s="67"/>
      <c r="M1234" s="67"/>
      <c r="N1234" s="67"/>
      <c r="O1234" s="67"/>
    </row>
    <row r="1235" spans="1:15" ht="15">
      <c r="A1235" s="91" t="s">
        <v>19</v>
      </c>
      <c r="B1235" s="91" t="s">
        <v>19</v>
      </c>
      <c r="C1235" s="92" t="str">
        <f ca="1">IFERROR(__xludf.DUMMYFUNCTION("filter('Back End'!C:C,'Back End'!A:A=A1235,'Back End'!B:B=B1235,'Back End'!D:D=D1235)"),"Jaggampeta")</f>
        <v>Jaggampeta</v>
      </c>
      <c r="D1235" s="91" t="s">
        <v>19</v>
      </c>
      <c r="E1235" s="91" t="s">
        <v>4790</v>
      </c>
      <c r="F1235" s="67" t="s">
        <v>3138</v>
      </c>
      <c r="G1235" s="67"/>
      <c r="H1235" s="93" t="s">
        <v>4</v>
      </c>
      <c r="I1235" s="67"/>
      <c r="J1235" s="92">
        <v>8328676372</v>
      </c>
      <c r="K1235" s="67"/>
      <c r="L1235" s="67"/>
      <c r="M1235" s="67"/>
      <c r="N1235" s="67"/>
      <c r="O1235" s="67"/>
    </row>
    <row r="1236" spans="1:15" ht="15">
      <c r="A1236" s="91" t="s">
        <v>19</v>
      </c>
      <c r="B1236" s="91" t="s">
        <v>19</v>
      </c>
      <c r="C1236" s="92" t="str">
        <f ca="1">IFERROR(__xludf.DUMMYFUNCTION("filter('Back End'!C:C,'Back End'!A:A=A1236,'Back End'!B:B=B1236,'Back End'!D:D=D1236)"),"Kandregula")</f>
        <v>Kandregula</v>
      </c>
      <c r="D1236" s="91" t="s">
        <v>195</v>
      </c>
      <c r="E1236" s="91" t="s">
        <v>4791</v>
      </c>
      <c r="F1236" s="91" t="s">
        <v>139</v>
      </c>
      <c r="G1236" s="91" t="s">
        <v>594</v>
      </c>
      <c r="H1236" s="93" t="s">
        <v>5</v>
      </c>
      <c r="I1236" s="67"/>
      <c r="J1236" s="92">
        <v>8008147738</v>
      </c>
      <c r="K1236" s="67"/>
      <c r="L1236" s="67"/>
      <c r="M1236" s="67"/>
      <c r="N1236" s="67"/>
      <c r="O1236" s="67"/>
    </row>
    <row r="1237" spans="1:15" ht="15">
      <c r="A1237" s="91" t="s">
        <v>19</v>
      </c>
      <c r="B1237" s="91" t="s">
        <v>19</v>
      </c>
      <c r="C1237" s="92" t="str">
        <f ca="1">IFERROR(__xludf.DUMMYFUNCTION("filter('Back End'!C:C,'Back End'!A:A=A1237,'Back End'!B:B=B1237,'Back End'!D:D=D1237)"),"Kandregula")</f>
        <v>Kandregula</v>
      </c>
      <c r="D1237" s="91" t="s">
        <v>195</v>
      </c>
      <c r="E1237" s="91" t="s">
        <v>4792</v>
      </c>
      <c r="F1237" s="67" t="s">
        <v>3138</v>
      </c>
      <c r="G1237" s="67"/>
      <c r="H1237" s="93" t="s">
        <v>4</v>
      </c>
      <c r="I1237" s="67"/>
      <c r="J1237" s="92">
        <v>9502383117</v>
      </c>
      <c r="K1237" s="67"/>
      <c r="L1237" s="67"/>
      <c r="M1237" s="67"/>
      <c r="N1237" s="67"/>
      <c r="O1237" s="67"/>
    </row>
    <row r="1238" spans="1:15" ht="15">
      <c r="A1238" s="91" t="s">
        <v>8</v>
      </c>
      <c r="B1238" s="100" t="s">
        <v>19</v>
      </c>
      <c r="C1238" s="97" t="s">
        <v>195</v>
      </c>
      <c r="D1238" s="100" t="s">
        <v>195</v>
      </c>
      <c r="E1238" s="100" t="s">
        <v>4793</v>
      </c>
      <c r="F1238" s="100" t="s">
        <v>139</v>
      </c>
      <c r="G1238" s="100" t="s">
        <v>594</v>
      </c>
      <c r="H1238" s="100" t="s">
        <v>4</v>
      </c>
      <c r="I1238" s="99"/>
      <c r="J1238" s="99"/>
      <c r="K1238" s="99"/>
      <c r="L1238" s="99"/>
      <c r="M1238" s="99"/>
      <c r="N1238" s="99"/>
      <c r="O1238" s="99"/>
    </row>
    <row r="1239" spans="1:15" ht="15">
      <c r="A1239" s="91" t="s">
        <v>19</v>
      </c>
      <c r="B1239" s="91" t="s">
        <v>19</v>
      </c>
      <c r="C1239" s="92" t="str">
        <f ca="1">IFERROR(__xludf.DUMMYFUNCTION("filter('Back End'!C:C,'Back End'!A:A=A1239,'Back End'!B:B=B1239,'Back End'!D:D=D1239)"),"Kandregula")</f>
        <v>Kandregula</v>
      </c>
      <c r="D1239" s="91" t="s">
        <v>195</v>
      </c>
      <c r="E1239" s="91" t="s">
        <v>4794</v>
      </c>
      <c r="F1239" s="67" t="s">
        <v>3138</v>
      </c>
      <c r="G1239" s="67"/>
      <c r="H1239" s="93" t="s">
        <v>4</v>
      </c>
      <c r="I1239" s="67"/>
      <c r="J1239" s="92">
        <v>9000606570</v>
      </c>
      <c r="K1239" s="67"/>
      <c r="L1239" s="67"/>
      <c r="M1239" s="67"/>
      <c r="N1239" s="67"/>
      <c r="O1239" s="67"/>
    </row>
    <row r="1240" spans="1:15" ht="15">
      <c r="A1240" s="91" t="s">
        <v>19</v>
      </c>
      <c r="B1240" s="91" t="s">
        <v>19</v>
      </c>
      <c r="C1240" s="92" t="str">
        <f ca="1">IFERROR(__xludf.DUMMYFUNCTION("filter('Back End'!C:C,'Back End'!A:A=A1240,'Back End'!B:B=B1240,'Back End'!D:D=D1240)"),"Katravulapalle")</f>
        <v>Katravulapalle</v>
      </c>
      <c r="D1240" s="91" t="s">
        <v>197</v>
      </c>
      <c r="E1240" s="91" t="s">
        <v>4795</v>
      </c>
      <c r="F1240" s="91" t="s">
        <v>1626</v>
      </c>
      <c r="G1240" s="91" t="s">
        <v>615</v>
      </c>
      <c r="H1240" s="93" t="s">
        <v>5</v>
      </c>
      <c r="I1240" s="67"/>
      <c r="J1240" s="92">
        <v>9494663102</v>
      </c>
      <c r="K1240" s="67"/>
      <c r="L1240" s="67"/>
      <c r="M1240" s="67"/>
      <c r="N1240" s="67"/>
      <c r="O1240" s="67"/>
    </row>
    <row r="1241" spans="1:15" ht="15">
      <c r="A1241" s="91" t="s">
        <v>19</v>
      </c>
      <c r="B1241" s="91" t="s">
        <v>19</v>
      </c>
      <c r="C1241" s="92" t="str">
        <f ca="1">IFERROR(__xludf.DUMMYFUNCTION("filter('Back End'!C:C,'Back End'!A:A=A1241,'Back End'!B:B=B1241,'Back End'!D:D=D1241)"),"Katravulapalle")</f>
        <v>Katravulapalle</v>
      </c>
      <c r="D1241" s="91" t="s">
        <v>197</v>
      </c>
      <c r="E1241" s="91" t="s">
        <v>4796</v>
      </c>
      <c r="F1241" s="91" t="s">
        <v>467</v>
      </c>
      <c r="G1241" s="91" t="s">
        <v>85</v>
      </c>
      <c r="H1241" s="93" t="s">
        <v>5</v>
      </c>
      <c r="I1241" s="67"/>
      <c r="J1241" s="92">
        <v>9703838502</v>
      </c>
      <c r="K1241" s="67"/>
      <c r="L1241" s="67"/>
      <c r="M1241" s="67"/>
      <c r="N1241" s="67"/>
      <c r="O1241" s="67"/>
    </row>
    <row r="1242" spans="1:15" ht="15">
      <c r="A1242" s="91" t="s">
        <v>19</v>
      </c>
      <c r="B1242" s="91" t="s">
        <v>19</v>
      </c>
      <c r="C1242" s="92" t="str">
        <f ca="1">IFERROR(__xludf.DUMMYFUNCTION("filter('Back End'!C:C,'Back End'!A:A=A1242,'Back End'!B:B=B1242,'Back End'!D:D=D1242)"),"Katravulapalle")</f>
        <v>Katravulapalle</v>
      </c>
      <c r="D1242" s="91" t="s">
        <v>197</v>
      </c>
      <c r="E1242" s="91" t="s">
        <v>4797</v>
      </c>
      <c r="F1242" s="91" t="s">
        <v>139</v>
      </c>
      <c r="G1242" s="91" t="s">
        <v>594</v>
      </c>
      <c r="H1242" s="93" t="s">
        <v>5</v>
      </c>
      <c r="I1242" s="67"/>
      <c r="J1242" s="92">
        <v>9989135374</v>
      </c>
      <c r="K1242" s="67"/>
      <c r="L1242" s="67"/>
      <c r="M1242" s="67"/>
      <c r="N1242" s="67"/>
      <c r="O1242" s="67"/>
    </row>
    <row r="1243" spans="1:15" ht="15">
      <c r="A1243" s="91" t="s">
        <v>19</v>
      </c>
      <c r="B1243" s="91" t="s">
        <v>19</v>
      </c>
      <c r="C1243" s="92" t="str">
        <f ca="1">IFERROR(__xludf.DUMMYFUNCTION("filter('Back End'!C:C,'Back End'!A:A=A1243,'Back End'!B:B=B1243,'Back End'!D:D=D1243)"),"Katravulapalle")</f>
        <v>Katravulapalle</v>
      </c>
      <c r="D1243" s="91" t="s">
        <v>197</v>
      </c>
      <c r="E1243" s="91" t="s">
        <v>4798</v>
      </c>
      <c r="F1243" s="91" t="s">
        <v>139</v>
      </c>
      <c r="G1243" s="91" t="s">
        <v>594</v>
      </c>
      <c r="H1243" s="93" t="s">
        <v>5</v>
      </c>
      <c r="I1243" s="67"/>
      <c r="J1243" s="92">
        <v>9581833223</v>
      </c>
      <c r="K1243" s="67"/>
      <c r="L1243" s="67"/>
      <c r="M1243" s="67"/>
      <c r="N1243" s="67"/>
      <c r="O1243" s="67"/>
    </row>
    <row r="1244" spans="1:15" ht="15">
      <c r="A1244" s="91" t="s">
        <v>19</v>
      </c>
      <c r="B1244" s="91" t="s">
        <v>19</v>
      </c>
      <c r="C1244" s="92" t="str">
        <f ca="1">IFERROR(__xludf.DUMMYFUNCTION("filter('Back End'!C:C,'Back End'!A:A=A1244,'Back End'!B:B=B1244,'Back End'!D:D=D1244)"),"Katravulapalle")</f>
        <v>Katravulapalle</v>
      </c>
      <c r="D1244" s="91" t="s">
        <v>197</v>
      </c>
      <c r="E1244" s="91" t="s">
        <v>4799</v>
      </c>
      <c r="F1244" s="91" t="s">
        <v>139</v>
      </c>
      <c r="G1244" s="91" t="s">
        <v>594</v>
      </c>
      <c r="H1244" s="93" t="s">
        <v>5</v>
      </c>
      <c r="I1244" s="67"/>
      <c r="J1244" s="92">
        <v>9848757678</v>
      </c>
      <c r="K1244" s="67"/>
      <c r="L1244" s="67"/>
      <c r="M1244" s="67"/>
      <c r="N1244" s="67"/>
      <c r="O1244" s="67"/>
    </row>
    <row r="1245" spans="1:15" ht="15">
      <c r="A1245" s="91" t="s">
        <v>19</v>
      </c>
      <c r="B1245" s="91" t="s">
        <v>19</v>
      </c>
      <c r="C1245" s="92" t="str">
        <f ca="1">IFERROR(__xludf.DUMMYFUNCTION("filter('Back End'!C:C,'Back End'!A:A=A1245,'Back End'!B:B=B1245,'Back End'!D:D=D1245)"),"Katravulapalle")</f>
        <v>Katravulapalle</v>
      </c>
      <c r="D1245" s="91" t="s">
        <v>197</v>
      </c>
      <c r="E1245" s="91" t="s">
        <v>4800</v>
      </c>
      <c r="F1245" s="91" t="s">
        <v>139</v>
      </c>
      <c r="G1245" s="91" t="s">
        <v>594</v>
      </c>
      <c r="H1245" s="93" t="s">
        <v>5</v>
      </c>
      <c r="I1245" s="67"/>
      <c r="J1245" s="92">
        <v>9393068536</v>
      </c>
      <c r="K1245" s="67"/>
      <c r="L1245" s="67"/>
      <c r="M1245" s="67"/>
      <c r="N1245" s="67"/>
      <c r="O1245" s="67"/>
    </row>
    <row r="1246" spans="1:15" ht="15">
      <c r="A1246" s="91" t="s">
        <v>19</v>
      </c>
      <c r="B1246" s="91" t="s">
        <v>19</v>
      </c>
      <c r="C1246" s="92" t="str">
        <f ca="1">IFERROR(__xludf.DUMMYFUNCTION("filter('Back End'!C:C,'Back End'!A:A=A1246,'Back End'!B:B=B1246,'Back End'!D:D=D1246)"),"Katravulapalle")</f>
        <v>Katravulapalle</v>
      </c>
      <c r="D1246" s="91" t="s">
        <v>197</v>
      </c>
      <c r="E1246" s="91" t="s">
        <v>4801</v>
      </c>
      <c r="F1246" s="91" t="s">
        <v>139</v>
      </c>
      <c r="G1246" s="91" t="s">
        <v>594</v>
      </c>
      <c r="H1246" s="93" t="s">
        <v>5</v>
      </c>
      <c r="I1246" s="67"/>
      <c r="J1246" s="92">
        <v>9676038777</v>
      </c>
      <c r="K1246" s="67"/>
      <c r="L1246" s="67"/>
      <c r="M1246" s="67"/>
      <c r="N1246" s="67"/>
      <c r="O1246" s="67"/>
    </row>
    <row r="1247" spans="1:15" ht="15">
      <c r="A1247" s="91" t="s">
        <v>19</v>
      </c>
      <c r="B1247" s="91" t="s">
        <v>19</v>
      </c>
      <c r="C1247" s="92" t="str">
        <f ca="1">IFERROR(__xludf.DUMMYFUNCTION("filter('Back End'!C:C,'Back End'!A:A=A1247,'Back End'!B:B=B1247,'Back End'!D:D=D1247)"),"Katravulapalle")</f>
        <v>Katravulapalle</v>
      </c>
      <c r="D1247" s="91" t="s">
        <v>197</v>
      </c>
      <c r="E1247" s="91" t="s">
        <v>4802</v>
      </c>
      <c r="F1247" s="91" t="s">
        <v>139</v>
      </c>
      <c r="G1247" s="91" t="s">
        <v>594</v>
      </c>
      <c r="H1247" s="93" t="s">
        <v>5</v>
      </c>
      <c r="I1247" s="67"/>
      <c r="J1247" s="92">
        <v>8367352209</v>
      </c>
      <c r="K1247" s="67"/>
      <c r="L1247" s="67"/>
      <c r="M1247" s="67"/>
      <c r="N1247" s="67"/>
      <c r="O1247" s="67"/>
    </row>
    <row r="1248" spans="1:15" ht="15">
      <c r="A1248" s="91" t="s">
        <v>19</v>
      </c>
      <c r="B1248" s="91" t="s">
        <v>19</v>
      </c>
      <c r="C1248" s="92" t="str">
        <f ca="1">IFERROR(__xludf.DUMMYFUNCTION("filter('Back End'!C:C,'Back End'!A:A=A1248,'Back End'!B:B=B1248,'Back End'!D:D=D1248)"),"Katravulapalle")</f>
        <v>Katravulapalle</v>
      </c>
      <c r="D1248" s="91" t="s">
        <v>197</v>
      </c>
      <c r="E1248" s="91" t="s">
        <v>4803</v>
      </c>
      <c r="F1248" s="91" t="s">
        <v>139</v>
      </c>
      <c r="G1248" s="91" t="s">
        <v>594</v>
      </c>
      <c r="H1248" s="93" t="s">
        <v>5</v>
      </c>
      <c r="I1248" s="67"/>
      <c r="J1248" s="92">
        <v>7893567298</v>
      </c>
      <c r="K1248" s="67"/>
      <c r="L1248" s="67"/>
      <c r="M1248" s="67"/>
      <c r="N1248" s="67"/>
      <c r="O1248" s="67"/>
    </row>
    <row r="1249" spans="1:15" ht="15">
      <c r="A1249" s="91" t="s">
        <v>19</v>
      </c>
      <c r="B1249" s="91" t="s">
        <v>19</v>
      </c>
      <c r="C1249" s="92" t="str">
        <f ca="1">IFERROR(__xludf.DUMMYFUNCTION("filter('Back End'!C:C,'Back End'!A:A=A1249,'Back End'!B:B=B1249,'Back End'!D:D=D1249)"),"Katravulapalle")</f>
        <v>Katravulapalle</v>
      </c>
      <c r="D1249" s="91" t="s">
        <v>197</v>
      </c>
      <c r="E1249" s="91" t="s">
        <v>4804</v>
      </c>
      <c r="F1249" s="67" t="s">
        <v>3138</v>
      </c>
      <c r="G1249" s="67"/>
      <c r="H1249" s="93" t="s">
        <v>4</v>
      </c>
      <c r="I1249" s="67"/>
      <c r="J1249" s="92">
        <v>9849015146</v>
      </c>
      <c r="K1249" s="67"/>
      <c r="L1249" s="67"/>
      <c r="M1249" s="67"/>
      <c r="N1249" s="67"/>
      <c r="O1249" s="67"/>
    </row>
    <row r="1250" spans="1:15" ht="15">
      <c r="A1250" s="91" t="s">
        <v>19</v>
      </c>
      <c r="B1250" s="91" t="s">
        <v>19</v>
      </c>
      <c r="C1250" s="92" t="str">
        <f ca="1">IFERROR(__xludf.DUMMYFUNCTION("filter('Back End'!C:C,'Back End'!A:A=A1250,'Back End'!B:B=B1250,'Back End'!D:D=D1250)"),"Katravulapalle")</f>
        <v>Katravulapalle</v>
      </c>
      <c r="D1250" s="91" t="s">
        <v>197</v>
      </c>
      <c r="E1250" s="91" t="s">
        <v>4805</v>
      </c>
      <c r="F1250" s="67" t="s">
        <v>3138</v>
      </c>
      <c r="G1250" s="67"/>
      <c r="H1250" s="93" t="s">
        <v>4</v>
      </c>
      <c r="I1250" s="92" t="s">
        <v>3125</v>
      </c>
      <c r="J1250" s="92">
        <v>9848567258</v>
      </c>
      <c r="K1250" s="67"/>
      <c r="L1250" s="67"/>
      <c r="M1250" s="67"/>
      <c r="N1250" s="67"/>
      <c r="O1250" s="67"/>
    </row>
    <row r="1251" spans="1:15" ht="15">
      <c r="A1251" s="91" t="s">
        <v>19</v>
      </c>
      <c r="B1251" s="91" t="s">
        <v>19</v>
      </c>
      <c r="C1251" s="92" t="str">
        <f ca="1">IFERROR(__xludf.DUMMYFUNCTION("filter('Back End'!C:C,'Back End'!A:A=A1251,'Back End'!B:B=B1251,'Back End'!D:D=D1251)"),"Katravulapalle")</f>
        <v>Katravulapalle</v>
      </c>
      <c r="D1251" s="91" t="s">
        <v>197</v>
      </c>
      <c r="E1251" s="91" t="s">
        <v>4806</v>
      </c>
      <c r="F1251" s="67" t="s">
        <v>3138</v>
      </c>
      <c r="G1251" s="67"/>
      <c r="H1251" s="93" t="s">
        <v>4</v>
      </c>
      <c r="I1251" s="67"/>
      <c r="J1251" s="92">
        <v>9392176429</v>
      </c>
      <c r="K1251" s="67"/>
      <c r="L1251" s="67"/>
      <c r="M1251" s="67"/>
      <c r="N1251" s="67"/>
      <c r="O1251" s="67"/>
    </row>
    <row r="1252" spans="1:15" ht="15">
      <c r="A1252" s="91" t="s">
        <v>19</v>
      </c>
      <c r="B1252" s="91" t="s">
        <v>19</v>
      </c>
      <c r="C1252" s="92" t="str">
        <f ca="1">IFERROR(__xludf.DUMMYFUNCTION("filter('Back End'!C:C,'Back End'!A:A=A1252,'Back End'!B:B=B1252,'Back End'!D:D=D1252)"),"Katravulapalle")</f>
        <v>Katravulapalle</v>
      </c>
      <c r="D1252" s="91" t="s">
        <v>197</v>
      </c>
      <c r="E1252" s="91" t="s">
        <v>4807</v>
      </c>
      <c r="F1252" s="67" t="s">
        <v>3138</v>
      </c>
      <c r="G1252" s="67"/>
      <c r="H1252" s="93" t="s">
        <v>4</v>
      </c>
      <c r="I1252" s="67"/>
      <c r="J1252" s="92">
        <v>7396012630</v>
      </c>
      <c r="K1252" s="67"/>
      <c r="L1252" s="67"/>
      <c r="M1252" s="67"/>
      <c r="N1252" s="67"/>
      <c r="O1252" s="67"/>
    </row>
    <row r="1253" spans="1:15" ht="15">
      <c r="A1253" s="91" t="s">
        <v>19</v>
      </c>
      <c r="B1253" s="91" t="s">
        <v>19</v>
      </c>
      <c r="C1253" s="92" t="str">
        <f ca="1">IFERROR(__xludf.DUMMYFUNCTION("filter('Back End'!C:C,'Back End'!A:A=A1253,'Back End'!B:B=B1253,'Back End'!D:D=D1253)"),"Katravulapalle")</f>
        <v>Katravulapalle</v>
      </c>
      <c r="D1253" s="91" t="s">
        <v>197</v>
      </c>
      <c r="E1253" s="91" t="s">
        <v>4808</v>
      </c>
      <c r="F1253" s="67" t="s">
        <v>3138</v>
      </c>
      <c r="G1253" s="67"/>
      <c r="H1253" s="93" t="s">
        <v>4</v>
      </c>
      <c r="I1253" s="67"/>
      <c r="J1253" s="92">
        <v>9550434668</v>
      </c>
      <c r="K1253" s="67"/>
      <c r="L1253" s="67"/>
      <c r="M1253" s="67"/>
      <c r="N1253" s="67"/>
      <c r="O1253" s="67"/>
    </row>
    <row r="1254" spans="1:15" ht="15">
      <c r="A1254" s="91" t="s">
        <v>19</v>
      </c>
      <c r="B1254" s="91" t="s">
        <v>19</v>
      </c>
      <c r="C1254" s="92" t="str">
        <f ca="1">IFERROR(__xludf.DUMMYFUNCTION("filter('Back End'!C:C,'Back End'!A:A=A1254,'Back End'!B:B=B1254,'Back End'!D:D=D1254)"),"Katravulapalle")</f>
        <v>Katravulapalle</v>
      </c>
      <c r="D1254" s="91" t="s">
        <v>197</v>
      </c>
      <c r="E1254" s="91" t="s">
        <v>4809</v>
      </c>
      <c r="F1254" s="67" t="s">
        <v>3138</v>
      </c>
      <c r="G1254" s="67"/>
      <c r="H1254" s="93" t="s">
        <v>4</v>
      </c>
      <c r="I1254" s="67"/>
      <c r="J1254" s="92">
        <v>9059859757</v>
      </c>
      <c r="K1254" s="67"/>
      <c r="L1254" s="67"/>
      <c r="M1254" s="67"/>
      <c r="N1254" s="67"/>
      <c r="O1254" s="67"/>
    </row>
    <row r="1255" spans="1:15" ht="15">
      <c r="A1255" s="91" t="s">
        <v>19</v>
      </c>
      <c r="B1255" s="91" t="s">
        <v>19</v>
      </c>
      <c r="C1255" s="92" t="str">
        <f ca="1">IFERROR(__xludf.DUMMYFUNCTION("filter('Back End'!C:C,'Back End'!A:A=A1255,'Back End'!B:B=B1255,'Back End'!D:D=D1255)"),"Katravulapalle")</f>
        <v>Katravulapalle</v>
      </c>
      <c r="D1255" s="91" t="s">
        <v>197</v>
      </c>
      <c r="E1255" s="91" t="s">
        <v>4810</v>
      </c>
      <c r="F1255" s="67" t="s">
        <v>3138</v>
      </c>
      <c r="G1255" s="67"/>
      <c r="H1255" s="93" t="s">
        <v>4</v>
      </c>
      <c r="I1255" s="67"/>
      <c r="J1255" s="92">
        <v>9701051083</v>
      </c>
      <c r="K1255" s="67"/>
      <c r="L1255" s="67"/>
      <c r="M1255" s="67"/>
      <c r="N1255" s="67"/>
      <c r="O1255" s="67"/>
    </row>
    <row r="1256" spans="1:15" ht="15">
      <c r="A1256" s="91" t="s">
        <v>19</v>
      </c>
      <c r="B1256" s="91" t="s">
        <v>19</v>
      </c>
      <c r="C1256" s="92" t="str">
        <f ca="1">IFERROR(__xludf.DUMMYFUNCTION("filter('Back End'!C:C,'Back End'!A:A=A1256,'Back End'!B:B=B1256,'Back End'!D:D=D1256)"),"Katravulapalle")</f>
        <v>Katravulapalle</v>
      </c>
      <c r="D1256" s="91" t="s">
        <v>197</v>
      </c>
      <c r="E1256" s="91" t="s">
        <v>4811</v>
      </c>
      <c r="F1256" s="67" t="s">
        <v>3138</v>
      </c>
      <c r="G1256" s="67"/>
      <c r="H1256" s="93" t="s">
        <v>4</v>
      </c>
      <c r="I1256" s="67"/>
      <c r="J1256" s="92">
        <v>6309659663</v>
      </c>
      <c r="K1256" s="67"/>
      <c r="L1256" s="67"/>
      <c r="M1256" s="67"/>
      <c r="N1256" s="67"/>
      <c r="O1256" s="67"/>
    </row>
    <row r="1257" spans="1:15" ht="15">
      <c r="A1257" s="91" t="s">
        <v>19</v>
      </c>
      <c r="B1257" s="91" t="s">
        <v>19</v>
      </c>
      <c r="C1257" s="92" t="str">
        <f ca="1">IFERROR(__xludf.DUMMYFUNCTION("filter('Back End'!C:C,'Back End'!A:A=A1257,'Back End'!B:B=B1257,'Back End'!D:D=D1257)"),"Katravulapalle")</f>
        <v>Katravulapalle</v>
      </c>
      <c r="D1257" s="91" t="s">
        <v>197</v>
      </c>
      <c r="E1257" s="91" t="s">
        <v>4812</v>
      </c>
      <c r="F1257" s="67" t="s">
        <v>3138</v>
      </c>
      <c r="G1257" s="67"/>
      <c r="H1257" s="93" t="s">
        <v>4</v>
      </c>
      <c r="I1257" s="67"/>
      <c r="J1257" s="92">
        <v>9542175333</v>
      </c>
      <c r="K1257" s="67"/>
      <c r="L1257" s="67"/>
      <c r="M1257" s="67"/>
      <c r="N1257" s="67"/>
      <c r="O1257" s="67"/>
    </row>
    <row r="1258" spans="1:15" ht="15">
      <c r="A1258" s="91" t="s">
        <v>19</v>
      </c>
      <c r="B1258" s="91" t="s">
        <v>19</v>
      </c>
      <c r="C1258" s="92" t="str">
        <f ca="1">IFERROR(__xludf.DUMMYFUNCTION("filter('Back End'!C:C,'Back End'!A:A=A1258,'Back End'!B:B=B1258,'Back End'!D:D=D1258)"),"Katravulapalle")</f>
        <v>Katravulapalle</v>
      </c>
      <c r="D1258" s="91" t="s">
        <v>197</v>
      </c>
      <c r="E1258" s="91" t="s">
        <v>4813</v>
      </c>
      <c r="F1258" s="67" t="s">
        <v>3138</v>
      </c>
      <c r="G1258" s="67"/>
      <c r="H1258" s="93" t="s">
        <v>4</v>
      </c>
      <c r="I1258" s="67"/>
      <c r="J1258" s="92">
        <v>9491433029</v>
      </c>
      <c r="K1258" s="67"/>
      <c r="L1258" s="67"/>
      <c r="M1258" s="67"/>
      <c r="N1258" s="67"/>
      <c r="O1258" s="67"/>
    </row>
    <row r="1259" spans="1:15" ht="15">
      <c r="A1259" s="91" t="s">
        <v>19</v>
      </c>
      <c r="B1259" s="91" t="s">
        <v>19</v>
      </c>
      <c r="C1259" s="92" t="str">
        <f ca="1">IFERROR(__xludf.DUMMYFUNCTION("filter('Back End'!C:C,'Back End'!A:A=A1259,'Back End'!B:B=B1259,'Back End'!D:D=D1259)"),"Mallisala")</f>
        <v>Mallisala</v>
      </c>
      <c r="D1259" s="91" t="s">
        <v>199</v>
      </c>
      <c r="E1259" s="91" t="s">
        <v>4814</v>
      </c>
      <c r="F1259" s="91" t="s">
        <v>103</v>
      </c>
      <c r="G1259" s="91" t="s">
        <v>594</v>
      </c>
      <c r="H1259" s="93" t="s">
        <v>5</v>
      </c>
      <c r="I1259" s="67"/>
      <c r="J1259" s="92">
        <v>9440103835</v>
      </c>
      <c r="K1259" s="67"/>
      <c r="L1259" s="67"/>
      <c r="M1259" s="67"/>
      <c r="N1259" s="67"/>
      <c r="O1259" s="67"/>
    </row>
    <row r="1260" spans="1:15" ht="15">
      <c r="A1260" s="91" t="s">
        <v>19</v>
      </c>
      <c r="B1260" s="91" t="s">
        <v>19</v>
      </c>
      <c r="C1260" s="92" t="str">
        <f ca="1">IFERROR(__xludf.DUMMYFUNCTION("filter('Back End'!C:C,'Back End'!A:A=A1260,'Back End'!B:B=B1260,'Back End'!D:D=D1260)"),"Mallisala")</f>
        <v>Mallisala</v>
      </c>
      <c r="D1260" s="91" t="s">
        <v>199</v>
      </c>
      <c r="E1260" s="91" t="s">
        <v>4815</v>
      </c>
      <c r="F1260" s="67" t="s">
        <v>3138</v>
      </c>
      <c r="G1260" s="67"/>
      <c r="H1260" s="93" t="s">
        <v>4</v>
      </c>
      <c r="I1260" s="67"/>
      <c r="J1260" s="92">
        <v>9491696647</v>
      </c>
      <c r="K1260" s="67"/>
      <c r="L1260" s="67"/>
      <c r="M1260" s="67"/>
      <c r="N1260" s="67"/>
      <c r="O1260" s="67"/>
    </row>
    <row r="1261" spans="1:15" ht="15">
      <c r="A1261" s="91" t="s">
        <v>19</v>
      </c>
      <c r="B1261" s="91" t="s">
        <v>19</v>
      </c>
      <c r="C1261" s="92" t="str">
        <f ca="1">IFERROR(__xludf.DUMMYFUNCTION("filter('Back End'!C:C,'Back End'!A:A=A1261,'Back End'!B:B=B1261,'Back End'!D:D=D1261)"),"Mallisala")</f>
        <v>Mallisala</v>
      </c>
      <c r="D1261" s="91" t="s">
        <v>199</v>
      </c>
      <c r="E1261" s="91" t="s">
        <v>4816</v>
      </c>
      <c r="F1261" s="67" t="s">
        <v>3138</v>
      </c>
      <c r="G1261" s="67"/>
      <c r="H1261" s="93" t="s">
        <v>4</v>
      </c>
      <c r="I1261" s="67"/>
      <c r="J1261" s="92">
        <v>6305225829</v>
      </c>
      <c r="K1261" s="67"/>
      <c r="L1261" s="67"/>
      <c r="M1261" s="67"/>
      <c r="N1261" s="67"/>
      <c r="O1261" s="67"/>
    </row>
    <row r="1262" spans="1:15" ht="15">
      <c r="A1262" s="91" t="s">
        <v>19</v>
      </c>
      <c r="B1262" s="91" t="s">
        <v>19</v>
      </c>
      <c r="C1262" s="92" t="str">
        <f ca="1">IFERROR(__xludf.DUMMYFUNCTION("filter('Back End'!C:C,'Back End'!A:A=A1262,'Back End'!B:B=B1262,'Back End'!D:D=D1262)"),"Mallisala")</f>
        <v>Mallisala</v>
      </c>
      <c r="D1262" s="91" t="s">
        <v>199</v>
      </c>
      <c r="E1262" s="91" t="s">
        <v>4817</v>
      </c>
      <c r="F1262" s="67" t="s">
        <v>3138</v>
      </c>
      <c r="G1262" s="67"/>
      <c r="H1262" s="93" t="s">
        <v>4</v>
      </c>
      <c r="I1262" s="67"/>
      <c r="J1262" s="92">
        <v>9493788517</v>
      </c>
      <c r="K1262" s="67"/>
      <c r="L1262" s="67"/>
      <c r="M1262" s="67"/>
      <c r="N1262" s="67"/>
      <c r="O1262" s="67"/>
    </row>
    <row r="1263" spans="1:15" ht="15">
      <c r="A1263" s="91" t="s">
        <v>19</v>
      </c>
      <c r="B1263" s="91" t="s">
        <v>19</v>
      </c>
      <c r="C1263" s="92" t="str">
        <f ca="1">IFERROR(__xludf.DUMMYFUNCTION("filter('Back End'!C:C,'Back End'!A:A=A1263,'Back End'!B:B=B1263,'Back End'!D:D=D1263)"),"Mallisala")</f>
        <v>Mallisala</v>
      </c>
      <c r="D1263" s="91" t="s">
        <v>199</v>
      </c>
      <c r="E1263" s="91" t="s">
        <v>4818</v>
      </c>
      <c r="F1263" s="67" t="s">
        <v>3138</v>
      </c>
      <c r="G1263" s="67"/>
      <c r="H1263" s="93" t="s">
        <v>4</v>
      </c>
      <c r="I1263" s="67"/>
      <c r="J1263" s="92">
        <v>9985711887</v>
      </c>
      <c r="K1263" s="67"/>
      <c r="L1263" s="67"/>
      <c r="M1263" s="67"/>
      <c r="N1263" s="67"/>
      <c r="O1263" s="67"/>
    </row>
    <row r="1264" spans="1:15" ht="15">
      <c r="A1264" s="91" t="s">
        <v>19</v>
      </c>
      <c r="B1264" s="91" t="s">
        <v>19</v>
      </c>
      <c r="C1264" s="92" t="str">
        <f ca="1">IFERROR(__xludf.DUMMYFUNCTION("filter('Back End'!C:C,'Back End'!A:A=A1264,'Back End'!B:B=B1264,'Back End'!D:D=D1264)"),"Mallisala")</f>
        <v>Mallisala</v>
      </c>
      <c r="D1264" s="91" t="s">
        <v>199</v>
      </c>
      <c r="E1264" s="91" t="s">
        <v>4819</v>
      </c>
      <c r="F1264" s="67" t="s">
        <v>3138</v>
      </c>
      <c r="G1264" s="67"/>
      <c r="H1264" s="93" t="s">
        <v>4</v>
      </c>
      <c r="I1264" s="92" t="s">
        <v>3125</v>
      </c>
      <c r="J1264" s="92">
        <v>9948147017</v>
      </c>
      <c r="K1264" s="67"/>
      <c r="L1264" s="67"/>
      <c r="M1264" s="67"/>
      <c r="N1264" s="67"/>
      <c r="O1264" s="67"/>
    </row>
    <row r="1265" spans="1:15" ht="15">
      <c r="A1265" s="91" t="s">
        <v>19</v>
      </c>
      <c r="B1265" s="91" t="s">
        <v>19</v>
      </c>
      <c r="C1265" s="92" t="str">
        <f ca="1">IFERROR(__xludf.DUMMYFUNCTION("filter('Back End'!C:C,'Back End'!A:A=A1265,'Back End'!B:B=B1265,'Back End'!D:D=D1265)"),"Mamidada")</f>
        <v>Mamidada</v>
      </c>
      <c r="D1265" s="91" t="s">
        <v>201</v>
      </c>
      <c r="E1265" s="91" t="s">
        <v>4820</v>
      </c>
      <c r="F1265" s="67" t="s">
        <v>3138</v>
      </c>
      <c r="G1265" s="67"/>
      <c r="H1265" s="93" t="s">
        <v>4</v>
      </c>
      <c r="I1265" s="67"/>
      <c r="J1265" s="92">
        <v>9949559404</v>
      </c>
      <c r="K1265" s="67"/>
      <c r="L1265" s="67"/>
      <c r="M1265" s="67"/>
      <c r="N1265" s="67"/>
      <c r="O1265" s="67"/>
    </row>
    <row r="1266" spans="1:15" ht="15">
      <c r="A1266" s="91" t="s">
        <v>19</v>
      </c>
      <c r="B1266" s="91" t="s">
        <v>19</v>
      </c>
      <c r="C1266" s="92" t="str">
        <f ca="1">IFERROR(__xludf.DUMMYFUNCTION("filter('Back End'!C:C,'Back End'!A:A=A1266,'Back End'!B:B=B1266,'Back End'!D:D=D1266)"),"Mamidada")</f>
        <v>Mamidada</v>
      </c>
      <c r="D1266" s="91" t="s">
        <v>201</v>
      </c>
      <c r="E1266" s="91" t="s">
        <v>4821</v>
      </c>
      <c r="F1266" s="67" t="s">
        <v>3138</v>
      </c>
      <c r="G1266" s="67"/>
      <c r="H1266" s="93" t="s">
        <v>4</v>
      </c>
      <c r="I1266" s="92" t="s">
        <v>3125</v>
      </c>
      <c r="J1266" s="92">
        <v>8106663639</v>
      </c>
      <c r="K1266" s="67"/>
      <c r="L1266" s="67"/>
      <c r="M1266" s="67"/>
      <c r="N1266" s="67"/>
      <c r="O1266" s="67"/>
    </row>
    <row r="1267" spans="1:15" ht="15">
      <c r="A1267" s="91" t="s">
        <v>19</v>
      </c>
      <c r="B1267" s="91" t="s">
        <v>19</v>
      </c>
      <c r="C1267" s="92" t="str">
        <f ca="1">IFERROR(__xludf.DUMMYFUNCTION("filter('Back End'!C:C,'Back End'!A:A=A1267,'Back End'!B:B=B1267,'Back End'!D:D=D1267)"),"Mamidada")</f>
        <v>Mamidada</v>
      </c>
      <c r="D1267" s="91" t="s">
        <v>201</v>
      </c>
      <c r="E1267" s="91" t="s">
        <v>4822</v>
      </c>
      <c r="F1267" s="67" t="s">
        <v>3138</v>
      </c>
      <c r="G1267" s="67"/>
      <c r="H1267" s="93" t="s">
        <v>4</v>
      </c>
      <c r="I1267" s="67"/>
      <c r="J1267" s="92">
        <v>9133322245</v>
      </c>
      <c r="K1267" s="67"/>
      <c r="L1267" s="67"/>
      <c r="M1267" s="67"/>
      <c r="N1267" s="67"/>
      <c r="O1267" s="67"/>
    </row>
    <row r="1268" spans="1:15" ht="15">
      <c r="A1268" s="91" t="s">
        <v>19</v>
      </c>
      <c r="B1268" s="91" t="s">
        <v>19</v>
      </c>
      <c r="C1268" s="92" t="str">
        <f ca="1">IFERROR(__xludf.DUMMYFUNCTION("filter('Back End'!C:C,'Back End'!A:A=A1268,'Back End'!B:B=B1268,'Back End'!D:D=D1268)"),"Mamidada")</f>
        <v>Mamidada</v>
      </c>
      <c r="D1268" s="91" t="s">
        <v>201</v>
      </c>
      <c r="E1268" s="91" t="s">
        <v>4823</v>
      </c>
      <c r="F1268" s="67" t="s">
        <v>3138</v>
      </c>
      <c r="G1268" s="67"/>
      <c r="H1268" s="93" t="s">
        <v>4</v>
      </c>
      <c r="I1268" s="67"/>
      <c r="J1268" s="92">
        <v>9908665367</v>
      </c>
      <c r="K1268" s="67"/>
      <c r="L1268" s="67"/>
      <c r="M1268" s="67"/>
      <c r="N1268" s="67"/>
      <c r="O1268" s="67"/>
    </row>
    <row r="1269" spans="1:15" ht="15">
      <c r="A1269" s="91" t="s">
        <v>19</v>
      </c>
      <c r="B1269" s="91" t="s">
        <v>19</v>
      </c>
      <c r="C1269" s="92" t="str">
        <f ca="1">IFERROR(__xludf.DUMMYFUNCTION("filter('Back End'!C:C,'Back End'!A:A=A1269,'Back End'!B:B=B1269,'Back End'!D:D=D1269)"),"Mamidada")</f>
        <v>Mamidada</v>
      </c>
      <c r="D1269" s="91" t="s">
        <v>201</v>
      </c>
      <c r="E1269" s="91" t="s">
        <v>4824</v>
      </c>
      <c r="F1269" s="91" t="s">
        <v>154</v>
      </c>
      <c r="G1269" s="91" t="s">
        <v>615</v>
      </c>
      <c r="H1269" s="93" t="s">
        <v>5</v>
      </c>
      <c r="I1269" s="67"/>
      <c r="J1269" s="92">
        <v>9701509325</v>
      </c>
      <c r="K1269" s="67"/>
      <c r="L1269" s="67"/>
      <c r="M1269" s="67"/>
      <c r="N1269" s="67"/>
      <c r="O1269" s="67"/>
    </row>
    <row r="1270" spans="1:15" ht="15">
      <c r="A1270" s="91" t="s">
        <v>19</v>
      </c>
      <c r="B1270" s="91" t="s">
        <v>19</v>
      </c>
      <c r="C1270" s="92" t="str">
        <f ca="1">IFERROR(__xludf.DUMMYFUNCTION("filter('Back End'!C:C,'Back End'!A:A=A1270,'Back End'!B:B=B1270,'Back End'!D:D=D1270)"),"Mamidada")</f>
        <v>Mamidada</v>
      </c>
      <c r="D1270" s="91" t="s">
        <v>201</v>
      </c>
      <c r="E1270" s="91" t="s">
        <v>4825</v>
      </c>
      <c r="F1270" s="67" t="s">
        <v>3138</v>
      </c>
      <c r="G1270" s="67"/>
      <c r="H1270" s="93" t="s">
        <v>5</v>
      </c>
      <c r="I1270" s="67"/>
      <c r="J1270" s="92">
        <v>9963330913</v>
      </c>
      <c r="K1270" s="67"/>
      <c r="L1270" s="67"/>
      <c r="M1270" s="67"/>
      <c r="N1270" s="67"/>
      <c r="O1270" s="67"/>
    </row>
    <row r="1271" spans="1:15" ht="30">
      <c r="A1271" s="91" t="s">
        <v>19</v>
      </c>
      <c r="B1271" s="91" t="s">
        <v>19</v>
      </c>
      <c r="C1271" s="92" t="str">
        <f ca="1">IFERROR(__xludf.DUMMYFUNCTION("filter('Back End'!C:C,'Back End'!A:A=A1271,'Back End'!B:B=B1271,'Back End'!D:D=D1271)"),"Manyanvari Palem")</f>
        <v>Manyanvari Palem</v>
      </c>
      <c r="D1271" s="91" t="s">
        <v>203</v>
      </c>
      <c r="E1271" s="91" t="s">
        <v>4826</v>
      </c>
      <c r="F1271" s="67" t="s">
        <v>3138</v>
      </c>
      <c r="G1271" s="67"/>
      <c r="H1271" s="93" t="s">
        <v>4</v>
      </c>
      <c r="I1271" s="67"/>
      <c r="J1271" s="92">
        <v>9949333092</v>
      </c>
      <c r="K1271" s="67"/>
      <c r="L1271" s="67"/>
      <c r="M1271" s="67"/>
      <c r="N1271" s="67"/>
      <c r="O1271" s="67"/>
    </row>
    <row r="1272" spans="1:15" ht="30">
      <c r="A1272" s="91" t="s">
        <v>19</v>
      </c>
      <c r="B1272" s="91" t="s">
        <v>19</v>
      </c>
      <c r="C1272" s="92" t="str">
        <f ca="1">IFERROR(__xludf.DUMMYFUNCTION("filter('Back End'!C:C,'Back End'!A:A=A1272,'Back End'!B:B=B1272,'Back End'!D:D=D1272)"),"Manyanvari Palem")</f>
        <v>Manyanvari Palem</v>
      </c>
      <c r="D1272" s="91" t="s">
        <v>203</v>
      </c>
      <c r="E1272" s="91" t="s">
        <v>4827</v>
      </c>
      <c r="F1272" s="67" t="s">
        <v>3138</v>
      </c>
      <c r="G1272" s="67"/>
      <c r="H1272" s="93" t="s">
        <v>4</v>
      </c>
      <c r="I1272" s="92" t="s">
        <v>3125</v>
      </c>
      <c r="J1272" s="92">
        <v>9912652411</v>
      </c>
      <c r="K1272" s="67"/>
      <c r="L1272" s="67"/>
      <c r="M1272" s="67"/>
      <c r="N1272" s="67"/>
      <c r="O1272" s="67"/>
    </row>
    <row r="1273" spans="1:15" ht="30">
      <c r="A1273" s="91" t="s">
        <v>19</v>
      </c>
      <c r="B1273" s="91" t="s">
        <v>19</v>
      </c>
      <c r="C1273" s="92" t="str">
        <f ca="1">IFERROR(__xludf.DUMMYFUNCTION("filter('Back End'!C:C,'Back End'!A:A=A1273,'Back End'!B:B=B1273,'Back End'!D:D=D1273)"),"Manyanvari Palem")</f>
        <v>Manyanvari Palem</v>
      </c>
      <c r="D1273" s="91" t="s">
        <v>203</v>
      </c>
      <c r="E1273" s="91" t="s">
        <v>4828</v>
      </c>
      <c r="F1273" s="67" t="s">
        <v>3138</v>
      </c>
      <c r="G1273" s="67"/>
      <c r="H1273" s="93" t="s">
        <v>4</v>
      </c>
      <c r="I1273" s="67"/>
      <c r="J1273" s="92">
        <v>9640992765</v>
      </c>
      <c r="K1273" s="67"/>
      <c r="L1273" s="67"/>
      <c r="M1273" s="67"/>
      <c r="N1273" s="67"/>
      <c r="O1273" s="67"/>
    </row>
    <row r="1274" spans="1:15" ht="30">
      <c r="A1274" s="91" t="s">
        <v>19</v>
      </c>
      <c r="B1274" s="91" t="s">
        <v>19</v>
      </c>
      <c r="C1274" s="92" t="str">
        <f ca="1">IFERROR(__xludf.DUMMYFUNCTION("filter('Back End'!C:C,'Back End'!A:A=A1274,'Back End'!B:B=B1274,'Back End'!D:D=D1274)"),"Marripaka")</f>
        <v>Marripaka</v>
      </c>
      <c r="D1274" s="91" t="s">
        <v>206</v>
      </c>
      <c r="E1274" s="91" t="s">
        <v>4829</v>
      </c>
      <c r="F1274" s="91" t="s">
        <v>1660</v>
      </c>
      <c r="G1274" s="91" t="s">
        <v>615</v>
      </c>
      <c r="H1274" s="93" t="s">
        <v>4</v>
      </c>
      <c r="I1274" s="92" t="s">
        <v>3634</v>
      </c>
      <c r="J1274" s="92">
        <v>9666373696</v>
      </c>
      <c r="K1274" s="67"/>
      <c r="L1274" s="67"/>
      <c r="M1274" s="67"/>
      <c r="N1274" s="67"/>
      <c r="O1274" s="67"/>
    </row>
    <row r="1275" spans="1:15" ht="30">
      <c r="A1275" s="91" t="s">
        <v>19</v>
      </c>
      <c r="B1275" s="91" t="s">
        <v>19</v>
      </c>
      <c r="C1275" s="92" t="str">
        <f ca="1">IFERROR(__xludf.DUMMYFUNCTION("filter('Back End'!C:C,'Back End'!A:A=A1275,'Back End'!B:B=B1275,'Back End'!D:D=D1275)"),"Marripaka")</f>
        <v>Marripaka</v>
      </c>
      <c r="D1275" s="91" t="s">
        <v>206</v>
      </c>
      <c r="E1275" s="91" t="s">
        <v>4830</v>
      </c>
      <c r="F1275" s="91" t="s">
        <v>139</v>
      </c>
      <c r="G1275" s="91" t="s">
        <v>594</v>
      </c>
      <c r="H1275" s="93" t="s">
        <v>4</v>
      </c>
      <c r="I1275" s="92" t="s">
        <v>3634</v>
      </c>
      <c r="J1275" s="92">
        <v>7995918975</v>
      </c>
      <c r="K1275" s="67"/>
      <c r="L1275" s="67"/>
      <c r="M1275" s="67"/>
      <c r="N1275" s="67"/>
      <c r="O1275" s="67"/>
    </row>
    <row r="1276" spans="1:15" ht="15">
      <c r="A1276" s="91" t="s">
        <v>19</v>
      </c>
      <c r="B1276" s="100" t="s">
        <v>19</v>
      </c>
      <c r="C1276" s="97" t="s">
        <v>206</v>
      </c>
      <c r="D1276" s="100" t="s">
        <v>206</v>
      </c>
      <c r="E1276" s="100" t="s">
        <v>4831</v>
      </c>
      <c r="F1276" s="100" t="s">
        <v>139</v>
      </c>
      <c r="G1276" s="100" t="s">
        <v>594</v>
      </c>
      <c r="H1276" s="100" t="s">
        <v>4</v>
      </c>
      <c r="I1276" s="99"/>
      <c r="J1276" s="99"/>
      <c r="K1276" s="99"/>
      <c r="L1276" s="67"/>
      <c r="M1276" s="67"/>
      <c r="N1276" s="67"/>
      <c r="O1276" s="67"/>
    </row>
    <row r="1277" spans="1:15" ht="30">
      <c r="A1277" s="91" t="s">
        <v>19</v>
      </c>
      <c r="B1277" s="91" t="s">
        <v>19</v>
      </c>
      <c r="C1277" s="92" t="str">
        <f ca="1">IFERROR(__xludf.DUMMYFUNCTION("filter('Back End'!C:C,'Back End'!A:A=A1277,'Back End'!B:B=B1277,'Back End'!D:D=D1277)"),"Marripaka")</f>
        <v>Marripaka</v>
      </c>
      <c r="D1277" s="91" t="s">
        <v>206</v>
      </c>
      <c r="E1277" s="91" t="s">
        <v>4832</v>
      </c>
      <c r="F1277" s="91" t="s">
        <v>139</v>
      </c>
      <c r="G1277" s="91" t="s">
        <v>594</v>
      </c>
      <c r="H1277" s="93" t="s">
        <v>4</v>
      </c>
      <c r="I1277" s="92" t="s">
        <v>4687</v>
      </c>
      <c r="J1277" s="92">
        <v>8106507318</v>
      </c>
      <c r="K1277" s="67"/>
      <c r="L1277" s="67"/>
      <c r="M1277" s="67"/>
      <c r="N1277" s="67"/>
      <c r="O1277" s="67"/>
    </row>
    <row r="1278" spans="1:15" ht="15">
      <c r="A1278" s="91" t="s">
        <v>19</v>
      </c>
      <c r="B1278" s="100" t="s">
        <v>19</v>
      </c>
      <c r="C1278" s="97" t="s">
        <v>206</v>
      </c>
      <c r="D1278" s="100" t="s">
        <v>206</v>
      </c>
      <c r="E1278" s="100" t="s">
        <v>4833</v>
      </c>
      <c r="F1278" s="100" t="s">
        <v>139</v>
      </c>
      <c r="G1278" s="100" t="s">
        <v>594</v>
      </c>
      <c r="H1278" s="100" t="s">
        <v>4</v>
      </c>
      <c r="I1278" s="99"/>
      <c r="J1278" s="97">
        <v>9494004779</v>
      </c>
      <c r="K1278" s="99"/>
      <c r="L1278" s="67"/>
      <c r="M1278" s="67"/>
      <c r="N1278" s="67"/>
      <c r="O1278" s="67"/>
    </row>
    <row r="1279" spans="1:15" ht="30">
      <c r="A1279" s="91" t="s">
        <v>19</v>
      </c>
      <c r="B1279" s="91" t="s">
        <v>19</v>
      </c>
      <c r="C1279" s="92" t="s">
        <v>206</v>
      </c>
      <c r="D1279" s="91" t="s">
        <v>206</v>
      </c>
      <c r="E1279" s="91" t="s">
        <v>4834</v>
      </c>
      <c r="F1279" s="91" t="s">
        <v>586</v>
      </c>
      <c r="G1279" s="91" t="s">
        <v>615</v>
      </c>
      <c r="H1279" s="93" t="s">
        <v>5</v>
      </c>
      <c r="I1279" s="92" t="s">
        <v>4835</v>
      </c>
      <c r="J1279" s="92">
        <v>9912236506</v>
      </c>
      <c r="K1279" s="67"/>
      <c r="L1279" s="67"/>
      <c r="M1279" s="67"/>
      <c r="N1279" s="67"/>
      <c r="O1279" s="67"/>
    </row>
    <row r="1280" spans="1:15" ht="15">
      <c r="A1280" s="91" t="s">
        <v>19</v>
      </c>
      <c r="B1280" s="91" t="s">
        <v>19</v>
      </c>
      <c r="C1280" s="92" t="s">
        <v>206</v>
      </c>
      <c r="D1280" s="91" t="s">
        <v>206</v>
      </c>
      <c r="E1280" s="91" t="s">
        <v>4836</v>
      </c>
      <c r="F1280" s="91" t="s">
        <v>139</v>
      </c>
      <c r="G1280" s="91" t="s">
        <v>594</v>
      </c>
      <c r="H1280" s="93" t="s">
        <v>5</v>
      </c>
      <c r="I1280" s="92" t="s">
        <v>3376</v>
      </c>
      <c r="J1280" s="67"/>
      <c r="K1280" s="67"/>
      <c r="L1280" s="67"/>
      <c r="M1280" s="67"/>
      <c r="N1280" s="67"/>
      <c r="O1280" s="67"/>
    </row>
    <row r="1281" spans="1:15" ht="30">
      <c r="A1281" s="91" t="s">
        <v>19</v>
      </c>
      <c r="B1281" s="91" t="s">
        <v>19</v>
      </c>
      <c r="C1281" s="92" t="s">
        <v>206</v>
      </c>
      <c r="D1281" s="91" t="s">
        <v>206</v>
      </c>
      <c r="E1281" s="91" t="s">
        <v>4837</v>
      </c>
      <c r="F1281" s="91" t="s">
        <v>139</v>
      </c>
      <c r="G1281" s="91" t="s">
        <v>594</v>
      </c>
      <c r="H1281" s="93" t="s">
        <v>5</v>
      </c>
      <c r="I1281" s="92" t="s">
        <v>3205</v>
      </c>
      <c r="J1281" s="67"/>
      <c r="K1281" s="67"/>
      <c r="L1281" s="67"/>
      <c r="M1281" s="67"/>
      <c r="N1281" s="67"/>
      <c r="O1281" s="67"/>
    </row>
    <row r="1282" spans="1:15" ht="15">
      <c r="A1282" s="91" t="s">
        <v>19</v>
      </c>
      <c r="B1282" s="91" t="s">
        <v>19</v>
      </c>
      <c r="C1282" s="92" t="s">
        <v>206</v>
      </c>
      <c r="D1282" s="91" t="s">
        <v>206</v>
      </c>
      <c r="E1282" s="91" t="s">
        <v>4838</v>
      </c>
      <c r="F1282" s="91" t="s">
        <v>139</v>
      </c>
      <c r="G1282" s="91" t="s">
        <v>594</v>
      </c>
      <c r="H1282" s="93" t="s">
        <v>5</v>
      </c>
      <c r="I1282" s="92" t="s">
        <v>3115</v>
      </c>
      <c r="J1282" s="92">
        <v>9177420734</v>
      </c>
      <c r="K1282" s="67"/>
      <c r="L1282" s="67"/>
      <c r="M1282" s="67"/>
      <c r="N1282" s="67"/>
      <c r="O1282" s="67"/>
    </row>
    <row r="1283" spans="1:15" ht="15">
      <c r="A1283" s="91" t="s">
        <v>19</v>
      </c>
      <c r="B1283" s="91" t="s">
        <v>19</v>
      </c>
      <c r="C1283" s="92" t="s">
        <v>206</v>
      </c>
      <c r="D1283" s="91" t="s">
        <v>206</v>
      </c>
      <c r="E1283" s="91" t="s">
        <v>4839</v>
      </c>
      <c r="F1283" s="91" t="s">
        <v>139</v>
      </c>
      <c r="G1283" s="91" t="s">
        <v>594</v>
      </c>
      <c r="H1283" s="93" t="s">
        <v>5</v>
      </c>
      <c r="I1283" s="92" t="s">
        <v>3112</v>
      </c>
      <c r="J1283" s="67"/>
      <c r="K1283" s="67"/>
      <c r="L1283" s="67"/>
      <c r="M1283" s="67"/>
      <c r="N1283" s="67"/>
      <c r="O1283" s="67"/>
    </row>
    <row r="1284" spans="1:15" ht="15">
      <c r="A1284" s="91" t="s">
        <v>19</v>
      </c>
      <c r="B1284" s="91" t="s">
        <v>19</v>
      </c>
      <c r="C1284" s="92" t="str">
        <f ca="1">IFERROR(__xludf.DUMMYFUNCTION("filter('Back End'!C:C,'Back End'!A:A=A1284,'Back End'!B:B=B1284,'Back End'!D:D=D1284)"),"Narendrapatnam")</f>
        <v>Narendrapatnam</v>
      </c>
      <c r="D1284" s="91" t="s">
        <v>208</v>
      </c>
      <c r="E1284" s="91" t="s">
        <v>4840</v>
      </c>
      <c r="F1284" s="91" t="s">
        <v>139</v>
      </c>
      <c r="G1284" s="91" t="s">
        <v>594</v>
      </c>
      <c r="H1284" s="93" t="s">
        <v>5</v>
      </c>
      <c r="I1284" s="67"/>
      <c r="J1284" s="92">
        <v>9505577222</v>
      </c>
      <c r="K1284" s="67"/>
      <c r="L1284" s="67"/>
      <c r="M1284" s="67"/>
      <c r="N1284" s="67"/>
      <c r="O1284" s="67"/>
    </row>
    <row r="1285" spans="1:15" ht="15">
      <c r="A1285" s="91" t="s">
        <v>19</v>
      </c>
      <c r="B1285" s="91" t="s">
        <v>19</v>
      </c>
      <c r="C1285" s="92" t="str">
        <f ca="1">IFERROR(__xludf.DUMMYFUNCTION("filter('Back End'!C:C,'Back End'!A:A=A1285,'Back End'!B:B=B1285,'Back End'!D:D=D1285)"),"Narendrapatnam")</f>
        <v>Narendrapatnam</v>
      </c>
      <c r="D1285" s="91" t="s">
        <v>208</v>
      </c>
      <c r="E1285" s="91" t="s">
        <v>4841</v>
      </c>
      <c r="F1285" s="67" t="s">
        <v>3138</v>
      </c>
      <c r="G1285" s="67"/>
      <c r="H1285" s="93" t="s">
        <v>4</v>
      </c>
      <c r="I1285" s="67"/>
      <c r="J1285" s="92">
        <v>9493842639</v>
      </c>
      <c r="K1285" s="67"/>
      <c r="L1285" s="67"/>
      <c r="M1285" s="67"/>
      <c r="N1285" s="67"/>
      <c r="O1285" s="67"/>
    </row>
    <row r="1286" spans="1:15" ht="15">
      <c r="A1286" s="91" t="s">
        <v>19</v>
      </c>
      <c r="B1286" s="91" t="s">
        <v>19</v>
      </c>
      <c r="C1286" s="92" t="str">
        <f ca="1">IFERROR(__xludf.DUMMYFUNCTION("filter('Back End'!C:C,'Back End'!A:A=A1286,'Back End'!B:B=B1286,'Back End'!D:D=D1286)"),"Narendrapatnam")</f>
        <v>Narendrapatnam</v>
      </c>
      <c r="D1286" s="91" t="s">
        <v>208</v>
      </c>
      <c r="E1286" s="91" t="s">
        <v>4842</v>
      </c>
      <c r="F1286" s="67" t="s">
        <v>3138</v>
      </c>
      <c r="G1286" s="67"/>
      <c r="H1286" s="93" t="s">
        <v>4</v>
      </c>
      <c r="I1286" s="67"/>
      <c r="J1286" s="92">
        <v>9492507683</v>
      </c>
      <c r="K1286" s="67"/>
      <c r="L1286" s="67"/>
      <c r="M1286" s="67"/>
      <c r="N1286" s="67"/>
      <c r="O1286" s="67"/>
    </row>
    <row r="1287" spans="1:15" ht="15">
      <c r="A1287" s="91" t="s">
        <v>19</v>
      </c>
      <c r="B1287" s="91" t="s">
        <v>19</v>
      </c>
      <c r="C1287" s="92" t="str">
        <f ca="1">IFERROR(__xludf.DUMMYFUNCTION("filter('Back End'!C:C,'Back End'!A:A=A1287,'Back End'!B:B=B1287,'Back End'!D:D=D1287)"),"Narendrapatnam")</f>
        <v>Narendrapatnam</v>
      </c>
      <c r="D1287" s="91" t="s">
        <v>208</v>
      </c>
      <c r="E1287" s="91" t="s">
        <v>4843</v>
      </c>
      <c r="F1287" s="67" t="s">
        <v>3138</v>
      </c>
      <c r="G1287" s="67"/>
      <c r="H1287" s="93" t="s">
        <v>4</v>
      </c>
      <c r="I1287" s="67"/>
      <c r="J1287" s="92">
        <v>9666984107</v>
      </c>
      <c r="K1287" s="67"/>
      <c r="L1287" s="67"/>
      <c r="M1287" s="67"/>
      <c r="N1287" s="67"/>
      <c r="O1287" s="67"/>
    </row>
    <row r="1288" spans="1:15" ht="15">
      <c r="A1288" s="91" t="s">
        <v>19</v>
      </c>
      <c r="B1288" s="91" t="s">
        <v>19</v>
      </c>
      <c r="C1288" s="92" t="str">
        <f ca="1">IFERROR(__xludf.DUMMYFUNCTION("filter('Back End'!C:C,'Back End'!A:A=A1288,'Back End'!B:B=B1288,'Back End'!D:D=D1288)"),"Narendrapatnam")</f>
        <v>Narendrapatnam</v>
      </c>
      <c r="D1288" s="91" t="s">
        <v>208</v>
      </c>
      <c r="E1288" s="91" t="s">
        <v>4844</v>
      </c>
      <c r="F1288" s="67" t="s">
        <v>3138</v>
      </c>
      <c r="G1288" s="67"/>
      <c r="H1288" s="93" t="s">
        <v>4</v>
      </c>
      <c r="I1288" s="92" t="s">
        <v>3125</v>
      </c>
      <c r="J1288" s="92">
        <v>9398298502</v>
      </c>
      <c r="K1288" s="67"/>
      <c r="L1288" s="67"/>
      <c r="M1288" s="67"/>
      <c r="N1288" s="67"/>
      <c r="O1288" s="67"/>
    </row>
    <row r="1289" spans="1:15" ht="15">
      <c r="A1289" s="91" t="s">
        <v>19</v>
      </c>
      <c r="B1289" s="91" t="s">
        <v>19</v>
      </c>
      <c r="C1289" s="92" t="str">
        <f ca="1">IFERROR(__xludf.DUMMYFUNCTION("filter('Back End'!C:C,'Back End'!A:A=A1289,'Back End'!B:B=B1289,'Back End'!D:D=D1289)"),"Rajapudi")</f>
        <v>Rajapudi</v>
      </c>
      <c r="D1289" s="91" t="s">
        <v>211</v>
      </c>
      <c r="E1289" s="91" t="s">
        <v>4845</v>
      </c>
      <c r="F1289" s="91" t="s">
        <v>114</v>
      </c>
      <c r="G1289" s="91" t="s">
        <v>85</v>
      </c>
      <c r="H1289" s="93" t="s">
        <v>5</v>
      </c>
      <c r="I1289" s="67"/>
      <c r="J1289" s="92">
        <v>9553251636</v>
      </c>
      <c r="K1289" s="67"/>
      <c r="L1289" s="67"/>
      <c r="M1289" s="67"/>
      <c r="N1289" s="67"/>
      <c r="O1289" s="67"/>
    </row>
    <row r="1290" spans="1:15" ht="15">
      <c r="A1290" s="91" t="s">
        <v>19</v>
      </c>
      <c r="B1290" s="91" t="s">
        <v>19</v>
      </c>
      <c r="C1290" s="92" t="str">
        <f ca="1">IFERROR(__xludf.DUMMYFUNCTION("filter('Back End'!C:C,'Back End'!A:A=A1290,'Back End'!B:B=B1290,'Back End'!D:D=D1290)"),"Rajapudi")</f>
        <v>Rajapudi</v>
      </c>
      <c r="D1290" s="91" t="s">
        <v>211</v>
      </c>
      <c r="E1290" s="91" t="s">
        <v>4846</v>
      </c>
      <c r="F1290" s="91" t="s">
        <v>165</v>
      </c>
      <c r="G1290" s="91" t="s">
        <v>615</v>
      </c>
      <c r="H1290" s="93" t="s">
        <v>5</v>
      </c>
      <c r="I1290" s="67"/>
      <c r="J1290" s="92">
        <v>9849670925</v>
      </c>
      <c r="K1290" s="67"/>
      <c r="L1290" s="67"/>
      <c r="M1290" s="67"/>
      <c r="N1290" s="67"/>
      <c r="O1290" s="67"/>
    </row>
    <row r="1291" spans="1:15" ht="15">
      <c r="A1291" s="91" t="s">
        <v>19</v>
      </c>
      <c r="B1291" s="91" t="s">
        <v>19</v>
      </c>
      <c r="C1291" s="92" t="str">
        <f ca="1">IFERROR(__xludf.DUMMYFUNCTION("filter('Back End'!C:C,'Back End'!A:A=A1291,'Back End'!B:B=B1291,'Back End'!D:D=D1291)"),"Rajapudi")</f>
        <v>Rajapudi</v>
      </c>
      <c r="D1291" s="91" t="s">
        <v>211</v>
      </c>
      <c r="E1291" s="91" t="s">
        <v>4847</v>
      </c>
      <c r="F1291" s="67" t="s">
        <v>3138</v>
      </c>
      <c r="G1291" s="67"/>
      <c r="H1291" s="93" t="s">
        <v>4</v>
      </c>
      <c r="I1291" s="67"/>
      <c r="J1291" s="92">
        <v>9391283588</v>
      </c>
      <c r="K1291" s="67"/>
      <c r="L1291" s="67"/>
      <c r="M1291" s="67"/>
      <c r="N1291" s="67"/>
      <c r="O1291" s="67"/>
    </row>
    <row r="1292" spans="1:15" ht="15">
      <c r="A1292" s="91" t="s">
        <v>19</v>
      </c>
      <c r="B1292" s="91" t="s">
        <v>19</v>
      </c>
      <c r="C1292" s="92" t="str">
        <f ca="1">IFERROR(__xludf.DUMMYFUNCTION("filter('Back End'!C:C,'Back End'!A:A=A1292,'Back End'!B:B=B1292,'Back End'!D:D=D1292)"),"Rajapudi")</f>
        <v>Rajapudi</v>
      </c>
      <c r="D1292" s="91" t="s">
        <v>211</v>
      </c>
      <c r="E1292" s="91" t="s">
        <v>4848</v>
      </c>
      <c r="F1292" s="67" t="s">
        <v>3138</v>
      </c>
      <c r="G1292" s="67"/>
      <c r="H1292" s="93" t="s">
        <v>4</v>
      </c>
      <c r="I1292" s="67"/>
      <c r="J1292" s="92">
        <v>9177693853</v>
      </c>
      <c r="K1292" s="67"/>
      <c r="L1292" s="67"/>
      <c r="M1292" s="67"/>
      <c r="N1292" s="67"/>
      <c r="O1292" s="67"/>
    </row>
    <row r="1293" spans="1:15" ht="15">
      <c r="A1293" s="91" t="s">
        <v>19</v>
      </c>
      <c r="B1293" s="91" t="s">
        <v>19</v>
      </c>
      <c r="C1293" s="92" t="str">
        <f ca="1">IFERROR(__xludf.DUMMYFUNCTION("filter('Back End'!C:C,'Back End'!A:A=A1293,'Back End'!B:B=B1293,'Back End'!D:D=D1293)"),"Rajapudi")</f>
        <v>Rajapudi</v>
      </c>
      <c r="D1293" s="91" t="s">
        <v>211</v>
      </c>
      <c r="E1293" s="91" t="s">
        <v>4849</v>
      </c>
      <c r="F1293" s="91" t="s">
        <v>213</v>
      </c>
      <c r="G1293" s="91" t="s">
        <v>615</v>
      </c>
      <c r="H1293" s="93" t="s">
        <v>5</v>
      </c>
      <c r="I1293" s="67"/>
      <c r="J1293" s="92">
        <v>9849517824</v>
      </c>
      <c r="K1293" s="67"/>
      <c r="L1293" s="67"/>
      <c r="M1293" s="67"/>
      <c r="N1293" s="67"/>
      <c r="O1293" s="67"/>
    </row>
    <row r="1294" spans="1:15" ht="15">
      <c r="A1294" s="91" t="s">
        <v>19</v>
      </c>
      <c r="B1294" s="91" t="s">
        <v>19</v>
      </c>
      <c r="C1294" s="92" t="str">
        <f ca="1">IFERROR(__xludf.DUMMYFUNCTION("filter('Back End'!C:C,'Back End'!A:A=A1294,'Back End'!B:B=B1294,'Back End'!D:D=D1294)"),"Rajapudi")</f>
        <v>Rajapudi</v>
      </c>
      <c r="D1294" s="91" t="s">
        <v>211</v>
      </c>
      <c r="E1294" s="91" t="s">
        <v>4850</v>
      </c>
      <c r="F1294" s="91" t="s">
        <v>213</v>
      </c>
      <c r="G1294" s="91" t="s">
        <v>615</v>
      </c>
      <c r="H1294" s="93" t="s">
        <v>5</v>
      </c>
      <c r="I1294" s="67"/>
      <c r="J1294" s="92">
        <v>9912322514</v>
      </c>
      <c r="K1294" s="67"/>
      <c r="L1294" s="67"/>
      <c r="M1294" s="67"/>
      <c r="N1294" s="67"/>
      <c r="O1294" s="67"/>
    </row>
    <row r="1295" spans="1:15" ht="15">
      <c r="A1295" s="91" t="s">
        <v>19</v>
      </c>
      <c r="B1295" s="91" t="s">
        <v>19</v>
      </c>
      <c r="C1295" s="92" t="str">
        <f ca="1">IFERROR(__xludf.DUMMYFUNCTION("filter('Back End'!C:C,'Back End'!A:A=A1295,'Back End'!B:B=B1295,'Back End'!D:D=D1295)"),"Rajapudi")</f>
        <v>Rajapudi</v>
      </c>
      <c r="D1295" s="91" t="s">
        <v>211</v>
      </c>
      <c r="E1295" s="91" t="s">
        <v>4851</v>
      </c>
      <c r="F1295" s="91" t="s">
        <v>205</v>
      </c>
      <c r="G1295" s="91" t="s">
        <v>615</v>
      </c>
      <c r="H1295" s="93" t="s">
        <v>5</v>
      </c>
      <c r="I1295" s="67"/>
      <c r="J1295" s="92">
        <v>9866118087</v>
      </c>
      <c r="K1295" s="67"/>
      <c r="L1295" s="67"/>
      <c r="M1295" s="67"/>
      <c r="N1295" s="67"/>
      <c r="O1295" s="67"/>
    </row>
    <row r="1296" spans="1:15" ht="15">
      <c r="A1296" s="91" t="s">
        <v>19</v>
      </c>
      <c r="B1296" s="91" t="s">
        <v>19</v>
      </c>
      <c r="C1296" s="92" t="str">
        <f ca="1">IFERROR(__xludf.DUMMYFUNCTION("filter('Back End'!C:C,'Back End'!A:A=A1296,'Back End'!B:B=B1296,'Back End'!D:D=D1296)"),"Rajapudi")</f>
        <v>Rajapudi</v>
      </c>
      <c r="D1296" s="91" t="s">
        <v>211</v>
      </c>
      <c r="E1296" s="91" t="s">
        <v>4852</v>
      </c>
      <c r="F1296" s="67" t="s">
        <v>3138</v>
      </c>
      <c r="G1296" s="67"/>
      <c r="H1296" s="93" t="s">
        <v>4</v>
      </c>
      <c r="I1296" s="92" t="s">
        <v>3125</v>
      </c>
      <c r="J1296" s="92">
        <v>9346819996</v>
      </c>
      <c r="K1296" s="67"/>
      <c r="L1296" s="67"/>
      <c r="M1296" s="67"/>
      <c r="N1296" s="67"/>
      <c r="O1296" s="67"/>
    </row>
    <row r="1297" spans="1:15" ht="15">
      <c r="A1297" s="91" t="s">
        <v>19</v>
      </c>
      <c r="B1297" s="91" t="s">
        <v>19</v>
      </c>
      <c r="C1297" s="92" t="str">
        <f ca="1">IFERROR(__xludf.DUMMYFUNCTION("filter('Back End'!C:C,'Back End'!A:A=A1297,'Back End'!B:B=B1297,'Back End'!D:D=D1297)"),"Rajapudi")</f>
        <v>Rajapudi</v>
      </c>
      <c r="D1297" s="91" t="s">
        <v>211</v>
      </c>
      <c r="E1297" s="91" t="s">
        <v>4853</v>
      </c>
      <c r="F1297" s="67" t="s">
        <v>3138</v>
      </c>
      <c r="G1297" s="67"/>
      <c r="H1297" s="93" t="s">
        <v>4</v>
      </c>
      <c r="I1297" s="67"/>
      <c r="J1297" s="92">
        <v>7993273329</v>
      </c>
      <c r="K1297" s="67"/>
      <c r="L1297" s="67"/>
      <c r="M1297" s="67"/>
      <c r="N1297" s="67"/>
      <c r="O1297" s="67"/>
    </row>
    <row r="1298" spans="1:15" ht="15">
      <c r="A1298" s="91" t="s">
        <v>19</v>
      </c>
      <c r="B1298" s="91" t="s">
        <v>19</v>
      </c>
      <c r="C1298" s="92" t="str">
        <f ca="1">IFERROR(__xludf.DUMMYFUNCTION("filter('Back End'!C:C,'Back End'!A:A=A1298,'Back End'!B:B=B1298,'Back End'!D:D=D1298)"),"Rajapudi")</f>
        <v>Rajapudi</v>
      </c>
      <c r="D1298" s="91" t="s">
        <v>211</v>
      </c>
      <c r="E1298" s="91" t="s">
        <v>4854</v>
      </c>
      <c r="F1298" s="67" t="s">
        <v>3138</v>
      </c>
      <c r="G1298" s="67"/>
      <c r="H1298" s="93" t="s">
        <v>4</v>
      </c>
      <c r="I1298" s="67"/>
      <c r="J1298" s="92">
        <v>9494138444</v>
      </c>
      <c r="K1298" s="67"/>
      <c r="L1298" s="67"/>
      <c r="M1298" s="67"/>
      <c r="N1298" s="67"/>
      <c r="O1298" s="67"/>
    </row>
    <row r="1299" spans="1:15" ht="15">
      <c r="A1299" s="91" t="s">
        <v>19</v>
      </c>
      <c r="B1299" s="91" t="s">
        <v>19</v>
      </c>
      <c r="C1299" s="92" t="str">
        <f ca="1">IFERROR(__xludf.DUMMYFUNCTION("filter('Back End'!C:C,'Back End'!A:A=A1299,'Back End'!B:B=B1299,'Back End'!D:D=D1299)"),"Rajapudi")</f>
        <v>Rajapudi</v>
      </c>
      <c r="D1299" s="91" t="s">
        <v>211</v>
      </c>
      <c r="E1299" s="91" t="s">
        <v>4855</v>
      </c>
      <c r="F1299" s="67" t="s">
        <v>3138</v>
      </c>
      <c r="G1299" s="67"/>
      <c r="H1299" s="93" t="s">
        <v>4</v>
      </c>
      <c r="I1299" s="67"/>
      <c r="J1299" s="92">
        <v>9959354570</v>
      </c>
      <c r="K1299" s="67"/>
      <c r="L1299" s="67"/>
      <c r="M1299" s="67"/>
      <c r="N1299" s="67"/>
      <c r="O1299" s="67"/>
    </row>
    <row r="1300" spans="1:15" ht="15">
      <c r="A1300" s="91" t="s">
        <v>19</v>
      </c>
      <c r="B1300" s="91" t="s">
        <v>19</v>
      </c>
      <c r="C1300" s="92" t="str">
        <f ca="1">IFERROR(__xludf.DUMMYFUNCTION("filter('Back End'!C:C,'Back End'!A:A=A1300,'Back End'!B:B=B1300,'Back End'!D:D=D1300)"),"Ramavaram")</f>
        <v>Ramavaram</v>
      </c>
      <c r="D1300" s="91" t="s">
        <v>216</v>
      </c>
      <c r="E1300" s="91" t="s">
        <v>4856</v>
      </c>
      <c r="F1300" s="91" t="s">
        <v>139</v>
      </c>
      <c r="G1300" s="91" t="s">
        <v>594</v>
      </c>
      <c r="H1300" s="93" t="s">
        <v>5</v>
      </c>
      <c r="I1300" s="67"/>
      <c r="J1300" s="92">
        <v>8331903999</v>
      </c>
      <c r="K1300" s="67"/>
      <c r="L1300" s="67"/>
      <c r="M1300" s="67"/>
      <c r="N1300" s="67"/>
      <c r="O1300" s="67"/>
    </row>
    <row r="1301" spans="1:15" ht="15">
      <c r="A1301" s="91" t="s">
        <v>19</v>
      </c>
      <c r="B1301" s="91" t="s">
        <v>19</v>
      </c>
      <c r="C1301" s="92" t="str">
        <f ca="1">IFERROR(__xludf.DUMMYFUNCTION("filter('Back End'!C:C,'Back End'!A:A=A1301,'Back End'!B:B=B1301,'Back End'!D:D=D1301)"),"Ramavaram")</f>
        <v>Ramavaram</v>
      </c>
      <c r="D1301" s="91" t="s">
        <v>216</v>
      </c>
      <c r="E1301" s="91" t="s">
        <v>4857</v>
      </c>
      <c r="F1301" s="91" t="s">
        <v>139</v>
      </c>
      <c r="G1301" s="91" t="s">
        <v>594</v>
      </c>
      <c r="H1301" s="93" t="s">
        <v>5</v>
      </c>
      <c r="I1301" s="67"/>
      <c r="J1301" s="92">
        <v>9948521667</v>
      </c>
      <c r="K1301" s="67"/>
      <c r="L1301" s="67"/>
      <c r="M1301" s="67"/>
      <c r="N1301" s="67"/>
      <c r="O1301" s="67"/>
    </row>
    <row r="1302" spans="1:15" ht="15">
      <c r="A1302" s="91" t="s">
        <v>19</v>
      </c>
      <c r="B1302" s="91" t="s">
        <v>19</v>
      </c>
      <c r="C1302" s="92" t="str">
        <f ca="1">IFERROR(__xludf.DUMMYFUNCTION("filter('Back End'!C:C,'Back End'!A:A=A1302,'Back End'!B:B=B1302,'Back End'!D:D=D1302)"),"Ramavaram")</f>
        <v>Ramavaram</v>
      </c>
      <c r="D1302" s="91" t="s">
        <v>216</v>
      </c>
      <c r="E1302" s="91" t="s">
        <v>4858</v>
      </c>
      <c r="F1302" s="91" t="s">
        <v>139</v>
      </c>
      <c r="G1302" s="91" t="s">
        <v>594</v>
      </c>
      <c r="H1302" s="93" t="s">
        <v>5</v>
      </c>
      <c r="I1302" s="67"/>
      <c r="J1302" s="92">
        <v>9059543999</v>
      </c>
      <c r="K1302" s="67"/>
      <c r="L1302" s="67"/>
      <c r="M1302" s="67"/>
      <c r="N1302" s="67"/>
      <c r="O1302" s="67"/>
    </row>
    <row r="1303" spans="1:15" ht="15">
      <c r="A1303" s="91" t="s">
        <v>19</v>
      </c>
      <c r="B1303" s="91" t="s">
        <v>19</v>
      </c>
      <c r="C1303" s="92" t="str">
        <f ca="1">IFERROR(__xludf.DUMMYFUNCTION("filter('Back End'!C:C,'Back End'!A:A=A1303,'Back End'!B:B=B1303,'Back End'!D:D=D1303)"),"Ramavaram")</f>
        <v>Ramavaram</v>
      </c>
      <c r="D1303" s="91" t="s">
        <v>216</v>
      </c>
      <c r="E1303" s="91" t="s">
        <v>4859</v>
      </c>
      <c r="F1303" s="67" t="s">
        <v>3138</v>
      </c>
      <c r="G1303" s="67"/>
      <c r="H1303" s="93" t="s">
        <v>4</v>
      </c>
      <c r="I1303" s="67"/>
      <c r="J1303" s="92">
        <v>9701129026</v>
      </c>
      <c r="K1303" s="67"/>
      <c r="L1303" s="67"/>
      <c r="M1303" s="67"/>
      <c r="N1303" s="67"/>
      <c r="O1303" s="67"/>
    </row>
    <row r="1304" spans="1:15" ht="15">
      <c r="A1304" s="91" t="s">
        <v>19</v>
      </c>
      <c r="B1304" s="91" t="s">
        <v>19</v>
      </c>
      <c r="C1304" s="92" t="str">
        <f ca="1">IFERROR(__xludf.DUMMYFUNCTION("filter('Back End'!C:C,'Back End'!A:A=A1304,'Back End'!B:B=B1304,'Back End'!D:D=D1304)"),"Ramavaram")</f>
        <v>Ramavaram</v>
      </c>
      <c r="D1304" s="91" t="s">
        <v>216</v>
      </c>
      <c r="E1304" s="91" t="s">
        <v>4860</v>
      </c>
      <c r="F1304" s="67" t="s">
        <v>3138</v>
      </c>
      <c r="G1304" s="67"/>
      <c r="H1304" s="93" t="s">
        <v>4</v>
      </c>
      <c r="I1304" s="67"/>
      <c r="J1304" s="92">
        <v>9676731898</v>
      </c>
      <c r="K1304" s="67"/>
      <c r="L1304" s="67"/>
      <c r="M1304" s="67"/>
      <c r="N1304" s="67"/>
      <c r="O1304" s="67"/>
    </row>
    <row r="1305" spans="1:15" ht="15">
      <c r="A1305" s="91" t="s">
        <v>19</v>
      </c>
      <c r="B1305" s="91" t="s">
        <v>19</v>
      </c>
      <c r="C1305" s="92" t="str">
        <f ca="1">IFERROR(__xludf.DUMMYFUNCTION("filter('Back End'!C:C,'Back End'!A:A=A1305,'Back End'!B:B=B1305,'Back End'!D:D=D1305)"),"Ramavaram")</f>
        <v>Ramavaram</v>
      </c>
      <c r="D1305" s="91" t="s">
        <v>216</v>
      </c>
      <c r="E1305" s="91" t="s">
        <v>4861</v>
      </c>
      <c r="F1305" s="67" t="s">
        <v>3138</v>
      </c>
      <c r="G1305" s="67"/>
      <c r="H1305" s="93" t="s">
        <v>4</v>
      </c>
      <c r="I1305" s="67"/>
      <c r="J1305" s="92">
        <v>9948856113</v>
      </c>
      <c r="K1305" s="67"/>
      <c r="L1305" s="67"/>
      <c r="M1305" s="67"/>
      <c r="N1305" s="67"/>
      <c r="O1305" s="67"/>
    </row>
    <row r="1306" spans="1:15" ht="15">
      <c r="A1306" s="91" t="s">
        <v>19</v>
      </c>
      <c r="B1306" s="91" t="s">
        <v>19</v>
      </c>
      <c r="C1306" s="92" t="str">
        <f ca="1">IFERROR(__xludf.DUMMYFUNCTION("filter('Back End'!C:C,'Back End'!A:A=A1306,'Back End'!B:B=B1306,'Back End'!D:D=D1306)"),"Ramavaram")</f>
        <v>Ramavaram</v>
      </c>
      <c r="D1306" s="91" t="s">
        <v>216</v>
      </c>
      <c r="E1306" s="91" t="s">
        <v>4862</v>
      </c>
      <c r="F1306" s="67" t="s">
        <v>3138</v>
      </c>
      <c r="G1306" s="67"/>
      <c r="H1306" s="93" t="s">
        <v>4</v>
      </c>
      <c r="I1306" s="92" t="s">
        <v>3125</v>
      </c>
      <c r="J1306" s="92">
        <v>9121064843</v>
      </c>
      <c r="K1306" s="67"/>
      <c r="L1306" s="67"/>
      <c r="M1306" s="67"/>
      <c r="N1306" s="67"/>
      <c r="O1306" s="67"/>
    </row>
    <row r="1307" spans="1:15" ht="15">
      <c r="A1307" s="91" t="s">
        <v>19</v>
      </c>
      <c r="B1307" s="91" t="s">
        <v>19</v>
      </c>
      <c r="C1307" s="92" t="str">
        <f ca="1">IFERROR(__xludf.DUMMYFUNCTION("filter('Back End'!C:C,'Back End'!A:A=A1307,'Back End'!B:B=B1307,'Back End'!D:D=D1307)"),"Ramavaram")</f>
        <v>Ramavaram</v>
      </c>
      <c r="D1307" s="91" t="s">
        <v>216</v>
      </c>
      <c r="E1307" s="91" t="s">
        <v>4863</v>
      </c>
      <c r="F1307" s="67" t="s">
        <v>3138</v>
      </c>
      <c r="G1307" s="67"/>
      <c r="H1307" s="93" t="s">
        <v>4</v>
      </c>
      <c r="I1307" s="67"/>
      <c r="J1307" s="92">
        <v>9948319998</v>
      </c>
      <c r="K1307" s="67"/>
      <c r="L1307" s="67"/>
      <c r="M1307" s="67"/>
      <c r="N1307" s="67"/>
      <c r="O1307" s="67"/>
    </row>
    <row r="1308" spans="1:15" ht="15">
      <c r="A1308" s="91" t="s">
        <v>19</v>
      </c>
      <c r="B1308" s="91" t="s">
        <v>19</v>
      </c>
      <c r="C1308" s="92" t="str">
        <f ca="1">IFERROR(__xludf.DUMMYFUNCTION("filter('Back End'!C:C,'Back End'!A:A=A1308,'Back End'!B:B=B1308,'Back End'!D:D=D1308)"),"Ramavaram")</f>
        <v>Ramavaram</v>
      </c>
      <c r="D1308" s="91" t="s">
        <v>216</v>
      </c>
      <c r="E1308" s="91" t="s">
        <v>4864</v>
      </c>
      <c r="F1308" s="91" t="s">
        <v>205</v>
      </c>
      <c r="G1308" s="91" t="s">
        <v>615</v>
      </c>
      <c r="H1308" s="93" t="s">
        <v>5</v>
      </c>
      <c r="I1308" s="67"/>
      <c r="J1308" s="92">
        <v>8790726969</v>
      </c>
      <c r="K1308" s="67"/>
      <c r="L1308" s="67"/>
      <c r="M1308" s="67"/>
      <c r="N1308" s="67"/>
      <c r="O1308" s="67"/>
    </row>
    <row r="1309" spans="1:15" ht="30">
      <c r="A1309" s="91" t="s">
        <v>19</v>
      </c>
      <c r="B1309" s="91" t="s">
        <v>19</v>
      </c>
      <c r="C1309" s="92" t="str">
        <f ca="1">IFERROR(__xludf.DUMMYFUNCTION("filter('Back End'!C:C,'Back End'!A:A=A1309,'Back End'!B:B=B1309,'Back End'!D:D=D1309)"),"Vengayamma Puram")</f>
        <v>Vengayamma Puram</v>
      </c>
      <c r="D1309" s="91" t="s">
        <v>218</v>
      </c>
      <c r="E1309" s="91" t="s">
        <v>4865</v>
      </c>
      <c r="F1309" s="67" t="s">
        <v>3138</v>
      </c>
      <c r="G1309" s="67"/>
      <c r="H1309" s="93" t="s">
        <v>4</v>
      </c>
      <c r="I1309" s="67"/>
      <c r="J1309" s="92">
        <v>6305472757</v>
      </c>
      <c r="K1309" s="67"/>
      <c r="L1309" s="67"/>
      <c r="M1309" s="67"/>
      <c r="N1309" s="67"/>
      <c r="O1309" s="67"/>
    </row>
    <row r="1310" spans="1:15" ht="30">
      <c r="A1310" s="91" t="s">
        <v>19</v>
      </c>
      <c r="B1310" s="91" t="s">
        <v>19</v>
      </c>
      <c r="C1310" s="92" t="str">
        <f ca="1">IFERROR(__xludf.DUMMYFUNCTION("filter('Back End'!C:C,'Back End'!A:A=A1310,'Back End'!B:B=B1310,'Back End'!D:D=D1310)"),"Vengayamma Puram")</f>
        <v>Vengayamma Puram</v>
      </c>
      <c r="D1310" s="91" t="s">
        <v>218</v>
      </c>
      <c r="E1310" s="91" t="s">
        <v>4866</v>
      </c>
      <c r="F1310" s="67" t="s">
        <v>3138</v>
      </c>
      <c r="G1310" s="67"/>
      <c r="H1310" s="93" t="s">
        <v>4</v>
      </c>
      <c r="I1310" s="92" t="s">
        <v>3125</v>
      </c>
      <c r="J1310" s="92">
        <v>9492828557</v>
      </c>
      <c r="K1310" s="67"/>
      <c r="L1310" s="67"/>
      <c r="M1310" s="67"/>
      <c r="N1310" s="67"/>
      <c r="O1310" s="67"/>
    </row>
    <row r="1311" spans="1:15" ht="15">
      <c r="A1311" s="91" t="s">
        <v>19</v>
      </c>
      <c r="B1311" s="91" t="s">
        <v>220</v>
      </c>
      <c r="C1311" s="92" t="str">
        <f ca="1">IFERROR(__xludf.DUMMYFUNCTION("filter('Back End'!C:C,'Back End'!A:A=A1311,'Back End'!B:B=B1311,'Back End'!D:D=D1311)"),"Palem")</f>
        <v>Palem</v>
      </c>
      <c r="D1311" s="91" t="s">
        <v>237</v>
      </c>
      <c r="E1311" s="91" t="s">
        <v>4867</v>
      </c>
      <c r="F1311" s="91" t="s">
        <v>139</v>
      </c>
      <c r="G1311" s="91" t="s">
        <v>594</v>
      </c>
      <c r="H1311" s="93" t="s">
        <v>5</v>
      </c>
      <c r="I1311" s="67"/>
      <c r="J1311" s="92">
        <v>9010030939</v>
      </c>
      <c r="K1311" s="67"/>
      <c r="L1311" s="67"/>
      <c r="M1311" s="67"/>
      <c r="N1311" s="67"/>
      <c r="O1311" s="67"/>
    </row>
    <row r="1312" spans="1:15" ht="15">
      <c r="A1312" s="91" t="s">
        <v>19</v>
      </c>
      <c r="B1312" s="91" t="s">
        <v>220</v>
      </c>
      <c r="C1312" s="92" t="str">
        <f ca="1">IFERROR(__xludf.DUMMYFUNCTION("filter('Back End'!C:C,'Back End'!A:A=A1312,'Back End'!B:B=B1312,'Back End'!D:D=D1312)"),"Palem")</f>
        <v>Palem</v>
      </c>
      <c r="D1312" s="91" t="s">
        <v>237</v>
      </c>
      <c r="E1312" s="91" t="s">
        <v>4868</v>
      </c>
      <c r="F1312" s="91" t="s">
        <v>139</v>
      </c>
      <c r="G1312" s="91" t="s">
        <v>594</v>
      </c>
      <c r="H1312" s="93" t="s">
        <v>5</v>
      </c>
      <c r="I1312" s="67"/>
      <c r="J1312" s="92">
        <v>8985844188</v>
      </c>
      <c r="K1312" s="67"/>
      <c r="L1312" s="67"/>
      <c r="M1312" s="67"/>
      <c r="N1312" s="67"/>
      <c r="O1312" s="67"/>
    </row>
    <row r="1313" spans="1:15" ht="75">
      <c r="A1313" s="91" t="s">
        <v>19</v>
      </c>
      <c r="B1313" s="91" t="s">
        <v>220</v>
      </c>
      <c r="C1313" s="92" t="str">
        <f ca="1">IFERROR(__xludf.DUMMYFUNCTION("filter('Back End'!C:C,'Back End'!A:A=A1313,'Back End'!B:B=B1313,'Back End'!D:D=D1313)"),"Bhupalapantam")</f>
        <v>Bhupalapantam</v>
      </c>
      <c r="D1313" s="91" t="s">
        <v>221</v>
      </c>
      <c r="E1313" s="92" t="s">
        <v>4869</v>
      </c>
      <c r="F1313" s="91" t="s">
        <v>139</v>
      </c>
      <c r="G1313" s="91" t="s">
        <v>594</v>
      </c>
      <c r="H1313" s="93" t="s">
        <v>4</v>
      </c>
      <c r="I1313" s="92" t="s">
        <v>3115</v>
      </c>
      <c r="J1313" s="92">
        <v>9132631999</v>
      </c>
      <c r="K1313" s="67"/>
      <c r="L1313" s="67"/>
      <c r="M1313" s="67"/>
      <c r="N1313" s="67"/>
      <c r="O1313" s="67"/>
    </row>
    <row r="1314" spans="1:15" ht="30">
      <c r="A1314" s="91" t="s">
        <v>19</v>
      </c>
      <c r="B1314" s="91" t="s">
        <v>220</v>
      </c>
      <c r="C1314" s="92" t="str">
        <f ca="1">IFERROR(__xludf.DUMMYFUNCTION("filter('Back End'!C:C,'Back End'!A:A=A1314,'Back End'!B:B=B1314,'Back End'!D:D=D1314)"),"Bhupalapantam")</f>
        <v>Bhupalapantam</v>
      </c>
      <c r="D1314" s="91" t="s">
        <v>221</v>
      </c>
      <c r="E1314" s="91" t="s">
        <v>4870</v>
      </c>
      <c r="F1314" s="91" t="s">
        <v>139</v>
      </c>
      <c r="G1314" s="91" t="s">
        <v>594</v>
      </c>
      <c r="H1314" s="93" t="s">
        <v>4</v>
      </c>
      <c r="I1314" s="92" t="s">
        <v>3162</v>
      </c>
      <c r="J1314" s="92">
        <v>9705694161</v>
      </c>
      <c r="K1314" s="67"/>
      <c r="L1314" s="67"/>
      <c r="M1314" s="67"/>
      <c r="N1314" s="67"/>
      <c r="O1314" s="67"/>
    </row>
    <row r="1315" spans="1:15" ht="30">
      <c r="A1315" s="91" t="s">
        <v>19</v>
      </c>
      <c r="B1315" s="91" t="s">
        <v>220</v>
      </c>
      <c r="C1315" s="92" t="str">
        <f ca="1">IFERROR(__xludf.DUMMYFUNCTION("filter('Back End'!C:C,'Back End'!A:A=A1315,'Back End'!B:B=B1315,'Back End'!D:D=D1315)"),"Bhupalapantam")</f>
        <v>Bhupalapantam</v>
      </c>
      <c r="D1315" s="91" t="s">
        <v>221</v>
      </c>
      <c r="E1315" s="91" t="s">
        <v>4871</v>
      </c>
      <c r="F1315" s="91" t="s">
        <v>139</v>
      </c>
      <c r="G1315" s="91" t="s">
        <v>594</v>
      </c>
      <c r="H1315" s="93" t="s">
        <v>4</v>
      </c>
      <c r="I1315" s="92" t="s">
        <v>3591</v>
      </c>
      <c r="J1315" s="92">
        <v>9642254312</v>
      </c>
      <c r="K1315" s="67"/>
      <c r="L1315" s="67"/>
      <c r="M1315" s="67"/>
      <c r="N1315" s="67"/>
      <c r="O1315" s="67"/>
    </row>
    <row r="1316" spans="1:15" ht="15">
      <c r="A1316" s="91" t="s">
        <v>19</v>
      </c>
      <c r="B1316" s="91" t="s">
        <v>220</v>
      </c>
      <c r="C1316" s="92" t="str">
        <f ca="1">IFERROR(__xludf.DUMMYFUNCTION("filter('Back End'!C:C,'Back End'!A:A=A1316,'Back End'!B:B=B1316,'Back End'!D:D=D1316)"),"Burugupudi")</f>
        <v>Burugupudi</v>
      </c>
      <c r="D1316" s="91" t="s">
        <v>223</v>
      </c>
      <c r="E1316" s="91" t="s">
        <v>4872</v>
      </c>
      <c r="F1316" s="91" t="s">
        <v>139</v>
      </c>
      <c r="G1316" s="91" t="s">
        <v>594</v>
      </c>
      <c r="H1316" s="93" t="s">
        <v>5</v>
      </c>
      <c r="I1316" s="67"/>
      <c r="J1316" s="92">
        <v>9059518119</v>
      </c>
      <c r="K1316" s="67"/>
      <c r="L1316" s="67"/>
      <c r="M1316" s="67"/>
      <c r="N1316" s="67"/>
      <c r="O1316" s="67"/>
    </row>
    <row r="1317" spans="1:15" ht="15">
      <c r="A1317" s="91" t="s">
        <v>19</v>
      </c>
      <c r="B1317" s="91" t="s">
        <v>220</v>
      </c>
      <c r="C1317" s="92" t="str">
        <f ca="1">IFERROR(__xludf.DUMMYFUNCTION("filter('Back End'!C:C,'Back End'!A:A=A1317,'Back End'!B:B=B1317,'Back End'!D:D=D1317)"),"Burugupudi")</f>
        <v>Burugupudi</v>
      </c>
      <c r="D1317" s="91" t="s">
        <v>223</v>
      </c>
      <c r="E1317" s="91" t="s">
        <v>4873</v>
      </c>
      <c r="F1317" s="91" t="s">
        <v>139</v>
      </c>
      <c r="G1317" s="91" t="s">
        <v>594</v>
      </c>
      <c r="H1317" s="93" t="s">
        <v>5</v>
      </c>
      <c r="I1317" s="67"/>
      <c r="J1317" s="92">
        <v>9951954339</v>
      </c>
      <c r="K1317" s="67"/>
      <c r="L1317" s="67"/>
      <c r="M1317" s="67"/>
      <c r="N1317" s="67"/>
      <c r="O1317" s="67"/>
    </row>
    <row r="1318" spans="1:15" ht="15">
      <c r="A1318" s="91" t="s">
        <v>19</v>
      </c>
      <c r="B1318" s="91" t="s">
        <v>220</v>
      </c>
      <c r="C1318" s="92" t="str">
        <f ca="1">IFERROR(__xludf.DUMMYFUNCTION("filter('Back End'!C:C,'Back End'!A:A=A1318,'Back End'!B:B=B1318,'Back End'!D:D=D1318)"),"Burugupudi")</f>
        <v>Burugupudi</v>
      </c>
      <c r="D1318" s="91" t="s">
        <v>223</v>
      </c>
      <c r="E1318" s="91" t="s">
        <v>4874</v>
      </c>
      <c r="F1318" s="91" t="s">
        <v>139</v>
      </c>
      <c r="G1318" s="91" t="s">
        <v>594</v>
      </c>
      <c r="H1318" s="93" t="s">
        <v>5</v>
      </c>
      <c r="I1318" s="67"/>
      <c r="J1318" s="92">
        <v>9492793449</v>
      </c>
      <c r="K1318" s="67"/>
      <c r="L1318" s="67"/>
      <c r="M1318" s="67"/>
      <c r="N1318" s="67"/>
      <c r="O1318" s="67"/>
    </row>
    <row r="1319" spans="1:15" ht="15">
      <c r="A1319" s="91" t="s">
        <v>19</v>
      </c>
      <c r="B1319" s="91" t="s">
        <v>220</v>
      </c>
      <c r="C1319" s="92" t="str">
        <f ca="1">IFERROR(__xludf.DUMMYFUNCTION("filter('Back End'!C:C,'Back End'!A:A=A1319,'Back End'!B:B=B1319,'Back End'!D:D=D1319)"),"Burugupudi")</f>
        <v>Burugupudi</v>
      </c>
      <c r="D1319" s="91" t="s">
        <v>223</v>
      </c>
      <c r="E1319" s="91" t="s">
        <v>4875</v>
      </c>
      <c r="F1319" s="91" t="s">
        <v>213</v>
      </c>
      <c r="G1319" s="91" t="s">
        <v>615</v>
      </c>
      <c r="H1319" s="93" t="s">
        <v>5</v>
      </c>
      <c r="I1319" s="67"/>
      <c r="J1319" s="92">
        <v>9000498449</v>
      </c>
      <c r="K1319" s="67"/>
      <c r="L1319" s="67"/>
      <c r="M1319" s="67"/>
      <c r="N1319" s="67"/>
      <c r="O1319" s="67"/>
    </row>
    <row r="1320" spans="1:15" ht="15">
      <c r="A1320" s="91" t="s">
        <v>19</v>
      </c>
      <c r="B1320" s="91" t="s">
        <v>220</v>
      </c>
      <c r="C1320" s="92" t="str">
        <f ca="1">IFERROR(__xludf.DUMMYFUNCTION("filter('Back End'!C:C,'Back End'!A:A=A1320,'Back End'!B:B=B1320,'Back End'!D:D=D1320)"),"Burugupudi")</f>
        <v>Burugupudi</v>
      </c>
      <c r="D1320" s="91" t="s">
        <v>223</v>
      </c>
      <c r="E1320" s="91" t="s">
        <v>4876</v>
      </c>
      <c r="F1320" s="91" t="s">
        <v>139</v>
      </c>
      <c r="G1320" s="91" t="s">
        <v>594</v>
      </c>
      <c r="H1320" s="93" t="s">
        <v>5</v>
      </c>
      <c r="I1320" s="67"/>
      <c r="J1320" s="92">
        <v>9393244777</v>
      </c>
      <c r="K1320" s="67"/>
      <c r="L1320" s="67"/>
      <c r="M1320" s="67"/>
      <c r="N1320" s="67"/>
      <c r="O1320" s="67"/>
    </row>
    <row r="1321" spans="1:15" ht="15">
      <c r="A1321" s="91" t="s">
        <v>19</v>
      </c>
      <c r="B1321" s="91" t="s">
        <v>220</v>
      </c>
      <c r="C1321" s="92" t="str">
        <f ca="1">IFERROR(__xludf.DUMMYFUNCTION("filter('Back End'!C:C,'Back End'!A:A=A1321,'Back End'!B:B=B1321,'Back End'!D:D=D1321)"),"Burugupudi")</f>
        <v>Burugupudi</v>
      </c>
      <c r="D1321" s="91" t="s">
        <v>223</v>
      </c>
      <c r="E1321" s="91" t="s">
        <v>4877</v>
      </c>
      <c r="F1321" s="91" t="s">
        <v>139</v>
      </c>
      <c r="G1321" s="91" t="s">
        <v>594</v>
      </c>
      <c r="H1321" s="93" t="s">
        <v>5</v>
      </c>
      <c r="I1321" s="67"/>
      <c r="J1321" s="92">
        <v>9059003921</v>
      </c>
      <c r="K1321" s="67"/>
      <c r="L1321" s="67"/>
      <c r="M1321" s="67"/>
      <c r="N1321" s="67"/>
      <c r="O1321" s="67"/>
    </row>
    <row r="1322" spans="1:15" ht="15">
      <c r="A1322" s="91" t="s">
        <v>19</v>
      </c>
      <c r="B1322" s="91" t="s">
        <v>220</v>
      </c>
      <c r="C1322" s="92" t="str">
        <f ca="1">IFERROR(__xludf.DUMMYFUNCTION("filter('Back End'!C:C,'Back End'!A:A=A1322,'Back End'!B:B=B1322,'Back End'!D:D=D1322)"),"Burugupudi")</f>
        <v>Burugupudi</v>
      </c>
      <c r="D1322" s="91" t="s">
        <v>223</v>
      </c>
      <c r="E1322" s="91" t="s">
        <v>4878</v>
      </c>
      <c r="F1322" s="67" t="s">
        <v>3138</v>
      </c>
      <c r="G1322" s="67"/>
      <c r="H1322" s="93" t="s">
        <v>4</v>
      </c>
      <c r="I1322" s="67"/>
      <c r="J1322" s="92">
        <v>9912716535</v>
      </c>
      <c r="K1322" s="67"/>
      <c r="L1322" s="67"/>
      <c r="M1322" s="67"/>
      <c r="N1322" s="67"/>
      <c r="O1322" s="67"/>
    </row>
    <row r="1323" spans="1:15" ht="15">
      <c r="A1323" s="91" t="s">
        <v>19</v>
      </c>
      <c r="B1323" s="91" t="s">
        <v>220</v>
      </c>
      <c r="C1323" s="92" t="str">
        <f ca="1">IFERROR(__xludf.DUMMYFUNCTION("filter('Back End'!C:C,'Back End'!A:A=A1323,'Back End'!B:B=B1323,'Back End'!D:D=D1323)"),"Burugupudi")</f>
        <v>Burugupudi</v>
      </c>
      <c r="D1323" s="91" t="s">
        <v>223</v>
      </c>
      <c r="E1323" s="91" t="s">
        <v>4879</v>
      </c>
      <c r="F1323" s="67" t="s">
        <v>3138</v>
      </c>
      <c r="G1323" s="67"/>
      <c r="H1323" s="93" t="s">
        <v>4</v>
      </c>
      <c r="I1323" s="67"/>
      <c r="J1323" s="92">
        <v>9676961480</v>
      </c>
      <c r="K1323" s="67"/>
      <c r="L1323" s="67"/>
      <c r="M1323" s="67"/>
      <c r="N1323" s="67"/>
      <c r="O1323" s="67"/>
    </row>
    <row r="1324" spans="1:15" ht="15">
      <c r="A1324" s="91" t="s">
        <v>19</v>
      </c>
      <c r="B1324" s="91" t="s">
        <v>220</v>
      </c>
      <c r="C1324" s="92" t="str">
        <f ca="1">IFERROR(__xludf.DUMMYFUNCTION("filter('Back End'!C:C,'Back End'!A:A=A1324,'Back End'!B:B=B1324,'Back End'!D:D=D1324)"),"Burugupudi")</f>
        <v>Burugupudi</v>
      </c>
      <c r="D1324" s="91" t="s">
        <v>223</v>
      </c>
      <c r="E1324" s="91" t="s">
        <v>4880</v>
      </c>
      <c r="F1324" s="67" t="s">
        <v>3138</v>
      </c>
      <c r="G1324" s="67"/>
      <c r="H1324" s="93" t="s">
        <v>4</v>
      </c>
      <c r="I1324" s="67"/>
      <c r="J1324" s="92">
        <v>9951283585</v>
      </c>
      <c r="K1324" s="67"/>
      <c r="L1324" s="67"/>
      <c r="M1324" s="67"/>
      <c r="N1324" s="67"/>
      <c r="O1324" s="67"/>
    </row>
    <row r="1325" spans="1:15" ht="15">
      <c r="A1325" s="91" t="s">
        <v>19</v>
      </c>
      <c r="B1325" s="91" t="s">
        <v>220</v>
      </c>
      <c r="C1325" s="92" t="str">
        <f ca="1">IFERROR(__xludf.DUMMYFUNCTION("filter('Back End'!C:C,'Back End'!A:A=A1325,'Back End'!B:B=B1325,'Back End'!D:D=D1325)"),"Burugupudi")</f>
        <v>Burugupudi</v>
      </c>
      <c r="D1325" s="91" t="s">
        <v>223</v>
      </c>
      <c r="E1325" s="91" t="s">
        <v>4881</v>
      </c>
      <c r="F1325" s="67" t="s">
        <v>3138</v>
      </c>
      <c r="G1325" s="67"/>
      <c r="H1325" s="93" t="s">
        <v>4</v>
      </c>
      <c r="I1325" s="92" t="s">
        <v>3125</v>
      </c>
      <c r="J1325" s="92">
        <v>8523008679</v>
      </c>
      <c r="K1325" s="67"/>
      <c r="L1325" s="67"/>
      <c r="M1325" s="67"/>
      <c r="N1325" s="67"/>
      <c r="O1325" s="67"/>
    </row>
    <row r="1326" spans="1:15" ht="15">
      <c r="A1326" s="91" t="s">
        <v>19</v>
      </c>
      <c r="B1326" s="91" t="s">
        <v>220</v>
      </c>
      <c r="C1326" s="92" t="str">
        <f ca="1">IFERROR(__xludf.DUMMYFUNCTION("filter('Back End'!C:C,'Back End'!A:A=A1326,'Back End'!B:B=B1326,'Back End'!D:D=D1326)"),"Burugupudi")</f>
        <v>Burugupudi</v>
      </c>
      <c r="D1326" s="91" t="s">
        <v>223</v>
      </c>
      <c r="E1326" s="91" t="s">
        <v>4882</v>
      </c>
      <c r="F1326" s="67" t="s">
        <v>3138</v>
      </c>
      <c r="G1326" s="67"/>
      <c r="H1326" s="93" t="s">
        <v>4</v>
      </c>
      <c r="I1326" s="67"/>
      <c r="J1326" s="92">
        <v>8341711101</v>
      </c>
      <c r="K1326" s="67"/>
      <c r="L1326" s="67"/>
      <c r="M1326" s="67"/>
      <c r="N1326" s="67"/>
      <c r="O1326" s="67"/>
    </row>
    <row r="1327" spans="1:15" ht="15">
      <c r="A1327" s="91" t="s">
        <v>19</v>
      </c>
      <c r="B1327" s="91" t="s">
        <v>220</v>
      </c>
      <c r="C1327" s="92" t="str">
        <f ca="1">IFERROR(__xludf.DUMMYFUNCTION("filter('Back End'!C:C,'Back End'!A:A=A1327,'Back End'!B:B=B1327,'Back End'!D:D=D1327)"),"Burugupudi")</f>
        <v>Burugupudi</v>
      </c>
      <c r="D1327" s="91" t="s">
        <v>223</v>
      </c>
      <c r="E1327" s="91" t="s">
        <v>4883</v>
      </c>
      <c r="F1327" s="67" t="s">
        <v>3138</v>
      </c>
      <c r="G1327" s="67"/>
      <c r="H1327" s="93" t="s">
        <v>4</v>
      </c>
      <c r="I1327" s="67"/>
      <c r="J1327" s="92">
        <v>9502644482</v>
      </c>
      <c r="K1327" s="67"/>
      <c r="L1327" s="67"/>
      <c r="M1327" s="67"/>
      <c r="N1327" s="67"/>
      <c r="O1327" s="67"/>
    </row>
    <row r="1328" spans="1:15" ht="15">
      <c r="A1328" s="91" t="s">
        <v>19</v>
      </c>
      <c r="B1328" s="91" t="s">
        <v>220</v>
      </c>
      <c r="C1328" s="92" t="str">
        <f ca="1">IFERROR(__xludf.DUMMYFUNCTION("filter('Back End'!C:C,'Back End'!A:A=A1328,'Back End'!B:B=B1328,'Back End'!D:D=D1328)"),"Geddanapalle")</f>
        <v>Geddanapalle</v>
      </c>
      <c r="D1328" s="91" t="s">
        <v>226</v>
      </c>
      <c r="E1328" s="91" t="s">
        <v>4884</v>
      </c>
      <c r="F1328" s="91" t="s">
        <v>139</v>
      </c>
      <c r="G1328" s="91" t="s">
        <v>594</v>
      </c>
      <c r="H1328" s="93" t="s">
        <v>5</v>
      </c>
      <c r="I1328" s="67"/>
      <c r="J1328" s="92">
        <v>9618019638</v>
      </c>
      <c r="K1328" s="67"/>
      <c r="L1328" s="67"/>
      <c r="M1328" s="67"/>
      <c r="N1328" s="67"/>
      <c r="O1328" s="67"/>
    </row>
    <row r="1329" spans="1:15" ht="15">
      <c r="A1329" s="91" t="s">
        <v>19</v>
      </c>
      <c r="B1329" s="91" t="s">
        <v>220</v>
      </c>
      <c r="C1329" s="92" t="str">
        <f ca="1">IFERROR(__xludf.DUMMYFUNCTION("filter('Back End'!C:C,'Back End'!A:A=A1329,'Back End'!B:B=B1329,'Back End'!D:D=D1329)"),"Geddanapalle")</f>
        <v>Geddanapalle</v>
      </c>
      <c r="D1329" s="91" t="s">
        <v>226</v>
      </c>
      <c r="E1329" s="91" t="s">
        <v>4885</v>
      </c>
      <c r="F1329" s="91" t="s">
        <v>120</v>
      </c>
      <c r="G1329" s="91" t="s">
        <v>615</v>
      </c>
      <c r="H1329" s="93" t="s">
        <v>5</v>
      </c>
      <c r="I1329" s="67"/>
      <c r="J1329" s="92">
        <v>9703655403</v>
      </c>
      <c r="K1329" s="67"/>
      <c r="L1329" s="67"/>
      <c r="M1329" s="67"/>
      <c r="N1329" s="67"/>
      <c r="O1329" s="67"/>
    </row>
    <row r="1330" spans="1:15" ht="15">
      <c r="A1330" s="91" t="s">
        <v>19</v>
      </c>
      <c r="B1330" s="91" t="s">
        <v>220</v>
      </c>
      <c r="C1330" s="92" t="str">
        <f ca="1">IFERROR(__xludf.DUMMYFUNCTION("filter('Back End'!C:C,'Back End'!A:A=A1330,'Back End'!B:B=B1330,'Back End'!D:D=D1330)"),"Geddanapalle")</f>
        <v>Geddanapalle</v>
      </c>
      <c r="D1330" s="91" t="s">
        <v>226</v>
      </c>
      <c r="E1330" s="91" t="s">
        <v>4886</v>
      </c>
      <c r="F1330" s="91" t="s">
        <v>114</v>
      </c>
      <c r="G1330" s="91" t="s">
        <v>85</v>
      </c>
      <c r="H1330" s="93" t="s">
        <v>5</v>
      </c>
      <c r="I1330" s="67"/>
      <c r="J1330" s="92">
        <v>9492990520</v>
      </c>
      <c r="K1330" s="67"/>
      <c r="L1330" s="67"/>
      <c r="M1330" s="67"/>
      <c r="N1330" s="67"/>
      <c r="O1330" s="67"/>
    </row>
    <row r="1331" spans="1:15" ht="15">
      <c r="A1331" s="91" t="s">
        <v>19</v>
      </c>
      <c r="B1331" s="91" t="s">
        <v>220</v>
      </c>
      <c r="C1331" s="92" t="str">
        <f ca="1">IFERROR(__xludf.DUMMYFUNCTION("filter('Back End'!C:C,'Back End'!A:A=A1331,'Back End'!B:B=B1331,'Back End'!D:D=D1331)"),"Geddanapalle")</f>
        <v>Geddanapalle</v>
      </c>
      <c r="D1331" s="91" t="s">
        <v>226</v>
      </c>
      <c r="E1331" s="91" t="s">
        <v>4887</v>
      </c>
      <c r="F1331" s="91" t="s">
        <v>139</v>
      </c>
      <c r="G1331" s="91" t="s">
        <v>594</v>
      </c>
      <c r="H1331" s="93" t="s">
        <v>5</v>
      </c>
      <c r="I1331" s="67"/>
      <c r="J1331" s="92">
        <v>9848407122</v>
      </c>
      <c r="K1331" s="67"/>
      <c r="L1331" s="67"/>
      <c r="M1331" s="67"/>
      <c r="N1331" s="67"/>
      <c r="O1331" s="67"/>
    </row>
    <row r="1332" spans="1:15" ht="30">
      <c r="A1332" s="91" t="s">
        <v>19</v>
      </c>
      <c r="B1332" s="91" t="s">
        <v>220</v>
      </c>
      <c r="C1332" s="92" t="str">
        <f ca="1">IFERROR(__xludf.DUMMYFUNCTION("filter('Back End'!C:C,'Back End'!A:A=A1332,'Back End'!B:B=B1332,'Back End'!D:D=D1332)"),"Geddanapalle")</f>
        <v>Geddanapalle</v>
      </c>
      <c r="D1332" s="91" t="s">
        <v>226</v>
      </c>
      <c r="E1332" s="91" t="s">
        <v>4888</v>
      </c>
      <c r="F1332" s="91" t="s">
        <v>114</v>
      </c>
      <c r="G1332" s="91" t="s">
        <v>85</v>
      </c>
      <c r="H1332" s="93" t="s">
        <v>4</v>
      </c>
      <c r="I1332" s="92" t="s">
        <v>3591</v>
      </c>
      <c r="J1332" s="92">
        <v>9346667811</v>
      </c>
      <c r="K1332" s="67"/>
      <c r="L1332" s="67"/>
      <c r="M1332" s="67"/>
      <c r="N1332" s="67"/>
      <c r="O1332" s="67"/>
    </row>
    <row r="1333" spans="1:15" ht="30">
      <c r="A1333" s="91" t="s">
        <v>19</v>
      </c>
      <c r="B1333" s="91" t="s">
        <v>220</v>
      </c>
      <c r="C1333" s="92" t="str">
        <f ca="1">IFERROR(__xludf.DUMMYFUNCTION("filter('Back End'!C:C,'Back End'!A:A=A1333,'Back End'!B:B=B1333,'Back End'!D:D=D1333)"),"Geddanapalle")</f>
        <v>Geddanapalle</v>
      </c>
      <c r="D1333" s="91" t="s">
        <v>226</v>
      </c>
      <c r="E1333" s="91" t="s">
        <v>4889</v>
      </c>
      <c r="F1333" s="91" t="s">
        <v>154</v>
      </c>
      <c r="G1333" s="91" t="s">
        <v>615</v>
      </c>
      <c r="H1333" s="93" t="s">
        <v>4</v>
      </c>
      <c r="I1333" s="92" t="s">
        <v>3591</v>
      </c>
      <c r="J1333" s="92">
        <v>9542283679</v>
      </c>
      <c r="K1333" s="67"/>
      <c r="L1333" s="67"/>
      <c r="M1333" s="67"/>
      <c r="N1333" s="67"/>
      <c r="O1333" s="67"/>
    </row>
    <row r="1334" spans="1:15" ht="15">
      <c r="A1334" s="91" t="s">
        <v>19</v>
      </c>
      <c r="B1334" s="91" t="s">
        <v>220</v>
      </c>
      <c r="C1334" s="92" t="str">
        <f ca="1">IFERROR(__xludf.DUMMYFUNCTION("filter('Back End'!C:C,'Back End'!A:A=A1334,'Back End'!B:B=B1334,'Back End'!D:D=D1334)"),"Geddanapalle")</f>
        <v>Geddanapalle</v>
      </c>
      <c r="D1334" s="91" t="s">
        <v>226</v>
      </c>
      <c r="E1334" s="91" t="s">
        <v>4890</v>
      </c>
      <c r="F1334" s="67" t="s">
        <v>3138</v>
      </c>
      <c r="G1334" s="67"/>
      <c r="H1334" s="93" t="s">
        <v>4</v>
      </c>
      <c r="I1334" s="67"/>
      <c r="J1334" s="92">
        <v>9032428666</v>
      </c>
      <c r="K1334" s="67"/>
      <c r="L1334" s="67"/>
      <c r="M1334" s="67"/>
      <c r="N1334" s="67"/>
      <c r="O1334" s="67"/>
    </row>
    <row r="1335" spans="1:15" ht="30">
      <c r="A1335" s="91" t="s">
        <v>19</v>
      </c>
      <c r="B1335" s="91" t="s">
        <v>220</v>
      </c>
      <c r="C1335" s="92" t="str">
        <f ca="1">IFERROR(__xludf.DUMMYFUNCTION("filter('Back End'!C:C,'Back End'!A:A=A1335,'Back End'!B:B=B1335,'Back End'!D:D=D1335)"),"Geddanapalle")</f>
        <v>Geddanapalle</v>
      </c>
      <c r="D1335" s="91" t="s">
        <v>226</v>
      </c>
      <c r="E1335" s="91" t="s">
        <v>4891</v>
      </c>
      <c r="F1335" s="91" t="s">
        <v>154</v>
      </c>
      <c r="G1335" s="91" t="s">
        <v>615</v>
      </c>
      <c r="H1335" s="93" t="s">
        <v>4</v>
      </c>
      <c r="I1335" s="92" t="s">
        <v>3591</v>
      </c>
      <c r="J1335" s="92">
        <v>9381473356</v>
      </c>
      <c r="K1335" s="67"/>
      <c r="L1335" s="67"/>
      <c r="M1335" s="67"/>
      <c r="N1335" s="67"/>
      <c r="O1335" s="67"/>
    </row>
    <row r="1336" spans="1:15" ht="30">
      <c r="A1336" s="91" t="s">
        <v>19</v>
      </c>
      <c r="B1336" s="91" t="s">
        <v>220</v>
      </c>
      <c r="C1336" s="92" t="str">
        <f ca="1">IFERROR(__xludf.DUMMYFUNCTION("filter('Back End'!C:C,'Back End'!A:A=A1336,'Back End'!B:B=B1336,'Back End'!D:D=D1336)"),"Geddanapalle")</f>
        <v>Geddanapalle</v>
      </c>
      <c r="D1336" s="91" t="s">
        <v>226</v>
      </c>
      <c r="E1336" s="91" t="s">
        <v>4892</v>
      </c>
      <c r="F1336" s="91" t="s">
        <v>154</v>
      </c>
      <c r="G1336" s="91" t="s">
        <v>615</v>
      </c>
      <c r="H1336" s="93" t="s">
        <v>4</v>
      </c>
      <c r="I1336" s="92" t="s">
        <v>3591</v>
      </c>
      <c r="J1336" s="92">
        <v>8179553555</v>
      </c>
      <c r="K1336" s="67"/>
      <c r="L1336" s="67"/>
      <c r="M1336" s="67"/>
      <c r="N1336" s="67"/>
      <c r="O1336" s="67"/>
    </row>
    <row r="1337" spans="1:15" ht="15">
      <c r="A1337" s="91" t="s">
        <v>19</v>
      </c>
      <c r="B1337" s="91" t="s">
        <v>220</v>
      </c>
      <c r="C1337" s="92" t="str">
        <f ca="1">IFERROR(__xludf.DUMMYFUNCTION("filter('Back End'!C:C,'Back End'!A:A=A1337,'Back End'!B:B=B1337,'Back End'!D:D=D1337)"),"Goneda")</f>
        <v>Goneda</v>
      </c>
      <c r="D1337" s="91" t="s">
        <v>228</v>
      </c>
      <c r="E1337" s="91" t="s">
        <v>4893</v>
      </c>
      <c r="F1337" s="91" t="s">
        <v>139</v>
      </c>
      <c r="G1337" s="91" t="s">
        <v>594</v>
      </c>
      <c r="H1337" s="93" t="s">
        <v>5</v>
      </c>
      <c r="I1337" s="67"/>
      <c r="J1337" s="92">
        <v>9666181333</v>
      </c>
      <c r="K1337" s="67"/>
      <c r="L1337" s="67"/>
      <c r="M1337" s="67"/>
      <c r="N1337" s="67"/>
      <c r="O1337" s="67"/>
    </row>
    <row r="1338" spans="1:15" ht="15">
      <c r="A1338" s="91" t="s">
        <v>19</v>
      </c>
      <c r="B1338" s="91" t="s">
        <v>220</v>
      </c>
      <c r="C1338" s="92" t="str">
        <f ca="1">IFERROR(__xludf.DUMMYFUNCTION("filter('Back End'!C:C,'Back End'!A:A=A1338,'Back End'!B:B=B1338,'Back End'!D:D=D1338)"),"Goneda")</f>
        <v>Goneda</v>
      </c>
      <c r="D1338" s="91" t="s">
        <v>228</v>
      </c>
      <c r="E1338" s="91" t="s">
        <v>4894</v>
      </c>
      <c r="F1338" s="67" t="s">
        <v>3138</v>
      </c>
      <c r="G1338" s="67"/>
      <c r="H1338" s="93" t="s">
        <v>4</v>
      </c>
      <c r="I1338" s="67"/>
      <c r="J1338" s="92">
        <v>9553137702</v>
      </c>
      <c r="K1338" s="67"/>
      <c r="L1338" s="67"/>
      <c r="M1338" s="67"/>
      <c r="N1338" s="67"/>
      <c r="O1338" s="67"/>
    </row>
    <row r="1339" spans="1:15" ht="15">
      <c r="A1339" s="91" t="s">
        <v>19</v>
      </c>
      <c r="B1339" s="91" t="s">
        <v>220</v>
      </c>
      <c r="C1339" s="92" t="str">
        <f ca="1">IFERROR(__xludf.DUMMYFUNCTION("filter('Back End'!C:C,'Back End'!A:A=A1339,'Back End'!B:B=B1339,'Back End'!D:D=D1339)"),"Goneda")</f>
        <v>Goneda</v>
      </c>
      <c r="D1339" s="91" t="s">
        <v>228</v>
      </c>
      <c r="E1339" s="91" t="s">
        <v>4895</v>
      </c>
      <c r="F1339" s="67" t="s">
        <v>3138</v>
      </c>
      <c r="G1339" s="67"/>
      <c r="H1339" s="93" t="s">
        <v>4</v>
      </c>
      <c r="I1339" s="67"/>
      <c r="J1339" s="92">
        <v>9951912334</v>
      </c>
      <c r="K1339" s="67"/>
      <c r="L1339" s="67"/>
      <c r="M1339" s="67"/>
      <c r="N1339" s="67"/>
      <c r="O1339" s="67"/>
    </row>
    <row r="1340" spans="1:15" ht="15">
      <c r="A1340" s="91" t="s">
        <v>19</v>
      </c>
      <c r="B1340" s="91" t="s">
        <v>220</v>
      </c>
      <c r="C1340" s="92" t="str">
        <f ca="1">IFERROR(__xludf.DUMMYFUNCTION("filter('Back End'!C:C,'Back End'!A:A=A1340,'Back End'!B:B=B1340,'Back End'!D:D=D1340)"),"Goneda")</f>
        <v>Goneda</v>
      </c>
      <c r="D1340" s="91" t="s">
        <v>228</v>
      </c>
      <c r="E1340" s="91" t="s">
        <v>4896</v>
      </c>
      <c r="F1340" s="67" t="s">
        <v>3138</v>
      </c>
      <c r="G1340" s="67"/>
      <c r="H1340" s="93" t="s">
        <v>4</v>
      </c>
      <c r="I1340" s="92" t="s">
        <v>3125</v>
      </c>
      <c r="J1340" s="92">
        <v>9390174455</v>
      </c>
      <c r="K1340" s="67"/>
      <c r="L1340" s="67"/>
      <c r="M1340" s="67"/>
      <c r="N1340" s="67"/>
      <c r="O1340" s="67"/>
    </row>
    <row r="1341" spans="1:15" ht="15">
      <c r="A1341" s="91" t="s">
        <v>19</v>
      </c>
      <c r="B1341" s="91" t="s">
        <v>220</v>
      </c>
      <c r="C1341" s="92" t="str">
        <f ca="1">IFERROR(__xludf.DUMMYFUNCTION("filter('Back End'!C:C,'Back End'!A:A=A1341,'Back End'!B:B=B1341,'Back End'!D:D=D1341)"),"Goneda")</f>
        <v>Goneda</v>
      </c>
      <c r="D1341" s="91" t="s">
        <v>228</v>
      </c>
      <c r="E1341" s="91" t="s">
        <v>4897</v>
      </c>
      <c r="F1341" s="67" t="s">
        <v>3138</v>
      </c>
      <c r="G1341" s="67"/>
      <c r="H1341" s="93" t="s">
        <v>4</v>
      </c>
      <c r="I1341" s="67"/>
      <c r="J1341" s="92">
        <v>9912914276</v>
      </c>
      <c r="K1341" s="67"/>
      <c r="L1341" s="67"/>
      <c r="M1341" s="67"/>
      <c r="N1341" s="67"/>
      <c r="O1341" s="67"/>
    </row>
    <row r="1342" spans="1:15" ht="30">
      <c r="A1342" s="91" t="s">
        <v>19</v>
      </c>
      <c r="B1342" s="91" t="s">
        <v>220</v>
      </c>
      <c r="C1342" s="92" t="str">
        <f ca="1">IFERROR(__xludf.DUMMYFUNCTION("filter('Back End'!C:C,'Back End'!A:A=A1342,'Back End'!B:B=B1342,'Back End'!D:D=D1342)"),"Jagapathinagaram")</f>
        <v>Jagapathinagaram</v>
      </c>
      <c r="D1342" s="91" t="s">
        <v>230</v>
      </c>
      <c r="E1342" s="91" t="s">
        <v>4898</v>
      </c>
      <c r="F1342" s="91" t="s">
        <v>154</v>
      </c>
      <c r="G1342" s="91" t="s">
        <v>615</v>
      </c>
      <c r="H1342" s="93" t="s">
        <v>5</v>
      </c>
      <c r="I1342" s="67"/>
      <c r="J1342" s="92">
        <v>9550724588</v>
      </c>
      <c r="K1342" s="67"/>
      <c r="L1342" s="67"/>
      <c r="M1342" s="67"/>
      <c r="N1342" s="67"/>
      <c r="O1342" s="67"/>
    </row>
    <row r="1343" spans="1:15" ht="30">
      <c r="A1343" s="91" t="s">
        <v>19</v>
      </c>
      <c r="B1343" s="91" t="s">
        <v>220</v>
      </c>
      <c r="C1343" s="92" t="str">
        <f ca="1">IFERROR(__xludf.DUMMYFUNCTION("filter('Back End'!C:C,'Back End'!A:A=A1343,'Back End'!B:B=B1343,'Back End'!D:D=D1343)"),"Jagapathinagaram")</f>
        <v>Jagapathinagaram</v>
      </c>
      <c r="D1343" s="91" t="s">
        <v>230</v>
      </c>
      <c r="E1343" s="91" t="s">
        <v>4899</v>
      </c>
      <c r="F1343" s="67" t="s">
        <v>3138</v>
      </c>
      <c r="G1343" s="67"/>
      <c r="H1343" s="93" t="s">
        <v>4</v>
      </c>
      <c r="I1343" s="67"/>
      <c r="J1343" s="92">
        <v>9701653164</v>
      </c>
      <c r="K1343" s="67"/>
      <c r="L1343" s="67"/>
      <c r="M1343" s="67"/>
      <c r="N1343" s="67"/>
      <c r="O1343" s="67"/>
    </row>
    <row r="1344" spans="1:15" ht="30">
      <c r="A1344" s="91" t="s">
        <v>19</v>
      </c>
      <c r="B1344" s="91" t="s">
        <v>220</v>
      </c>
      <c r="C1344" s="92" t="str">
        <f ca="1">IFERROR(__xludf.DUMMYFUNCTION("filter('Back End'!C:C,'Back End'!A:A=A1344,'Back End'!B:B=B1344,'Back End'!D:D=D1344)"),"Jagapathinagaram")</f>
        <v>Jagapathinagaram</v>
      </c>
      <c r="D1344" s="91" t="s">
        <v>230</v>
      </c>
      <c r="E1344" s="91" t="s">
        <v>4900</v>
      </c>
      <c r="F1344" s="67" t="s">
        <v>3138</v>
      </c>
      <c r="G1344" s="67"/>
      <c r="H1344" s="93" t="s">
        <v>4</v>
      </c>
      <c r="I1344" s="67"/>
      <c r="J1344" s="92">
        <v>8985576972</v>
      </c>
      <c r="K1344" s="67"/>
      <c r="L1344" s="67"/>
      <c r="M1344" s="67"/>
      <c r="N1344" s="67"/>
      <c r="O1344" s="67"/>
    </row>
    <row r="1345" spans="1:15" ht="30">
      <c r="A1345" s="91" t="s">
        <v>19</v>
      </c>
      <c r="B1345" s="91" t="s">
        <v>220</v>
      </c>
      <c r="C1345" s="92" t="str">
        <f ca="1">IFERROR(__xludf.DUMMYFUNCTION("filter('Back End'!C:C,'Back End'!A:A=A1345,'Back End'!B:B=B1345,'Back End'!D:D=D1345)"),"Jagapathinagaram")</f>
        <v>Jagapathinagaram</v>
      </c>
      <c r="D1345" s="91" t="s">
        <v>230</v>
      </c>
      <c r="E1345" s="91" t="s">
        <v>4901</v>
      </c>
      <c r="F1345" s="67" t="s">
        <v>3138</v>
      </c>
      <c r="G1345" s="67"/>
      <c r="H1345" s="93" t="s">
        <v>4</v>
      </c>
      <c r="I1345" s="67"/>
      <c r="J1345" s="92">
        <v>8019271471</v>
      </c>
      <c r="K1345" s="67"/>
      <c r="L1345" s="67"/>
      <c r="M1345" s="67"/>
      <c r="N1345" s="67"/>
      <c r="O1345" s="67"/>
    </row>
    <row r="1346" spans="1:15" ht="30">
      <c r="A1346" s="91" t="s">
        <v>19</v>
      </c>
      <c r="B1346" s="91" t="s">
        <v>220</v>
      </c>
      <c r="C1346" s="92" t="str">
        <f ca="1">IFERROR(__xludf.DUMMYFUNCTION("filter('Back End'!C:C,'Back End'!A:A=A1346,'Back End'!B:B=B1346,'Back End'!D:D=D1346)"),"Jagapathinagaram")</f>
        <v>Jagapathinagaram</v>
      </c>
      <c r="D1346" s="91" t="s">
        <v>230</v>
      </c>
      <c r="E1346" s="91" t="s">
        <v>4902</v>
      </c>
      <c r="F1346" s="67" t="s">
        <v>3138</v>
      </c>
      <c r="G1346" s="67"/>
      <c r="H1346" s="93" t="s">
        <v>4</v>
      </c>
      <c r="I1346" s="67"/>
      <c r="J1346" s="92">
        <v>9393433499</v>
      </c>
      <c r="K1346" s="67"/>
      <c r="L1346" s="67"/>
      <c r="M1346" s="67"/>
      <c r="N1346" s="67"/>
      <c r="O1346" s="67"/>
    </row>
    <row r="1347" spans="1:15" ht="30">
      <c r="A1347" s="91" t="s">
        <v>19</v>
      </c>
      <c r="B1347" s="91" t="s">
        <v>220</v>
      </c>
      <c r="C1347" s="92" t="str">
        <f ca="1">IFERROR(__xludf.DUMMYFUNCTION("filter('Back End'!C:C,'Back End'!A:A=A1347,'Back End'!B:B=B1347,'Back End'!D:D=D1347)"),"Jagapathinagaram")</f>
        <v>Jagapathinagaram</v>
      </c>
      <c r="D1347" s="91" t="s">
        <v>230</v>
      </c>
      <c r="E1347" s="91" t="s">
        <v>4903</v>
      </c>
      <c r="F1347" s="67" t="s">
        <v>3138</v>
      </c>
      <c r="G1347" s="67"/>
      <c r="H1347" s="93" t="s">
        <v>4</v>
      </c>
      <c r="I1347" s="92" t="s">
        <v>3125</v>
      </c>
      <c r="J1347" s="92">
        <v>7013797888</v>
      </c>
      <c r="K1347" s="67"/>
      <c r="L1347" s="67"/>
      <c r="M1347" s="67"/>
      <c r="N1347" s="67"/>
      <c r="O1347" s="67"/>
    </row>
    <row r="1348" spans="1:15" ht="30">
      <c r="A1348" s="91" t="s">
        <v>19</v>
      </c>
      <c r="B1348" s="91" t="s">
        <v>220</v>
      </c>
      <c r="C1348" s="92" t="str">
        <f ca="1">IFERROR(__xludf.DUMMYFUNCTION("filter('Back End'!C:C,'Back End'!A:A=A1348,'Back End'!B:B=B1348,'Back End'!D:D=D1348)"),"Jagapathinagaram")</f>
        <v>Jagapathinagaram</v>
      </c>
      <c r="D1348" s="91" t="s">
        <v>230</v>
      </c>
      <c r="E1348" s="91" t="s">
        <v>4904</v>
      </c>
      <c r="F1348" s="67" t="s">
        <v>3138</v>
      </c>
      <c r="G1348" s="67"/>
      <c r="H1348" s="93" t="s">
        <v>4</v>
      </c>
      <c r="I1348" s="67"/>
      <c r="J1348" s="92">
        <v>9652000053</v>
      </c>
      <c r="K1348" s="67"/>
      <c r="L1348" s="67"/>
      <c r="M1348" s="67"/>
      <c r="N1348" s="67"/>
      <c r="O1348" s="67"/>
    </row>
    <row r="1349" spans="1:15" ht="30">
      <c r="A1349" s="91" t="s">
        <v>19</v>
      </c>
      <c r="B1349" s="91" t="s">
        <v>220</v>
      </c>
      <c r="C1349" s="92" t="str">
        <f ca="1">IFERROR(__xludf.DUMMYFUNCTION("filter('Back End'!C:C,'Back End'!A:A=A1349,'Back End'!B:B=B1349,'Back End'!D:D=D1349)"),"Jagapathinagaram")</f>
        <v>Jagapathinagaram</v>
      </c>
      <c r="D1349" s="91" t="s">
        <v>230</v>
      </c>
      <c r="E1349" s="91" t="s">
        <v>4905</v>
      </c>
      <c r="F1349" s="67" t="s">
        <v>3138</v>
      </c>
      <c r="G1349" s="67"/>
      <c r="H1349" s="93" t="s">
        <v>4</v>
      </c>
      <c r="I1349" s="67"/>
      <c r="J1349" s="92">
        <v>8885066694</v>
      </c>
      <c r="K1349" s="67"/>
      <c r="L1349" s="67"/>
      <c r="M1349" s="67"/>
      <c r="N1349" s="67"/>
      <c r="O1349" s="67"/>
    </row>
    <row r="1350" spans="1:15" ht="30">
      <c r="A1350" s="91" t="s">
        <v>19</v>
      </c>
      <c r="B1350" s="91" t="s">
        <v>220</v>
      </c>
      <c r="C1350" s="92" t="str">
        <f ca="1">IFERROR(__xludf.DUMMYFUNCTION("filter('Back End'!C:C,'Back End'!A:A=A1350,'Back End'!B:B=B1350,'Back End'!D:D=D1350)"),"Jagapathinagaram")</f>
        <v>Jagapathinagaram</v>
      </c>
      <c r="D1350" s="91" t="s">
        <v>230</v>
      </c>
      <c r="E1350" s="91" t="s">
        <v>4906</v>
      </c>
      <c r="F1350" s="67" t="s">
        <v>3138</v>
      </c>
      <c r="G1350" s="67"/>
      <c r="H1350" s="93" t="s">
        <v>4</v>
      </c>
      <c r="I1350" s="67"/>
      <c r="J1350" s="92">
        <v>8897059690</v>
      </c>
      <c r="K1350" s="67"/>
      <c r="L1350" s="67"/>
      <c r="M1350" s="67"/>
      <c r="N1350" s="67"/>
      <c r="O1350" s="67"/>
    </row>
    <row r="1351" spans="1:15" ht="30">
      <c r="A1351" s="91" t="s">
        <v>19</v>
      </c>
      <c r="B1351" s="91" t="s">
        <v>220</v>
      </c>
      <c r="C1351" s="92" t="str">
        <f ca="1">IFERROR(__xludf.DUMMYFUNCTION("filter('Back End'!C:C,'Back End'!A:A=A1351,'Back End'!B:B=B1351,'Back End'!D:D=D1351)"),"Jagapathinagaram")</f>
        <v>Jagapathinagaram</v>
      </c>
      <c r="D1351" s="91" t="s">
        <v>230</v>
      </c>
      <c r="E1351" s="91" t="s">
        <v>4907</v>
      </c>
      <c r="F1351" s="67" t="s">
        <v>3138</v>
      </c>
      <c r="G1351" s="67"/>
      <c r="H1351" s="93" t="s">
        <v>4</v>
      </c>
      <c r="I1351" s="67"/>
      <c r="J1351" s="92">
        <v>9133181312</v>
      </c>
      <c r="K1351" s="67"/>
      <c r="L1351" s="67"/>
      <c r="M1351" s="67"/>
      <c r="N1351" s="67"/>
      <c r="O1351" s="67"/>
    </row>
    <row r="1352" spans="1:15" ht="30">
      <c r="A1352" s="91" t="s">
        <v>19</v>
      </c>
      <c r="B1352" s="91" t="s">
        <v>220</v>
      </c>
      <c r="C1352" s="92" t="str">
        <f ca="1">IFERROR(__xludf.DUMMYFUNCTION("filter('Back End'!C:C,'Back End'!A:A=A1352,'Back End'!B:B=B1352,'Back End'!D:D=D1352)"),"Jagapathinagaram")</f>
        <v>Jagapathinagaram</v>
      </c>
      <c r="D1352" s="91" t="s">
        <v>230</v>
      </c>
      <c r="E1352" s="91" t="s">
        <v>4908</v>
      </c>
      <c r="F1352" s="67" t="s">
        <v>3138</v>
      </c>
      <c r="G1352" s="67"/>
      <c r="H1352" s="93" t="s">
        <v>4</v>
      </c>
      <c r="I1352" s="67"/>
      <c r="J1352" s="92">
        <v>8639171376</v>
      </c>
      <c r="K1352" s="67"/>
      <c r="L1352" s="67"/>
      <c r="M1352" s="67"/>
      <c r="N1352" s="67"/>
      <c r="O1352" s="67"/>
    </row>
    <row r="1353" spans="1:15" ht="30">
      <c r="A1353" s="91" t="s">
        <v>19</v>
      </c>
      <c r="B1353" s="91" t="s">
        <v>220</v>
      </c>
      <c r="C1353" s="92" t="str">
        <f ca="1">IFERROR(__xludf.DUMMYFUNCTION("filter('Back End'!C:C,'Back End'!A:A=A1353,'Back End'!B:B=B1353,'Back End'!D:D=D1353)"),"Jagapathinagaram")</f>
        <v>Jagapathinagaram</v>
      </c>
      <c r="D1353" s="91" t="s">
        <v>230</v>
      </c>
      <c r="E1353" s="91" t="s">
        <v>4909</v>
      </c>
      <c r="F1353" s="67" t="s">
        <v>3138</v>
      </c>
      <c r="G1353" s="67"/>
      <c r="H1353" s="93" t="s">
        <v>4</v>
      </c>
      <c r="I1353" s="67"/>
      <c r="J1353" s="92">
        <v>9949422482</v>
      </c>
      <c r="K1353" s="67"/>
      <c r="L1353" s="67"/>
      <c r="M1353" s="67"/>
      <c r="N1353" s="67"/>
      <c r="O1353" s="67"/>
    </row>
    <row r="1354" spans="1:15" ht="30">
      <c r="A1354" s="91" t="s">
        <v>19</v>
      </c>
      <c r="B1354" s="91" t="s">
        <v>220</v>
      </c>
      <c r="C1354" s="92" t="str">
        <f ca="1">IFERROR(__xludf.DUMMYFUNCTION("filter('Back End'!C:C,'Back End'!A:A=A1354,'Back End'!B:B=B1354,'Back End'!D:D=D1354)"),"Jagapathinagaram")</f>
        <v>Jagapathinagaram</v>
      </c>
      <c r="D1354" s="91" t="s">
        <v>230</v>
      </c>
      <c r="E1354" s="91" t="s">
        <v>4910</v>
      </c>
      <c r="F1354" s="67" t="s">
        <v>3138</v>
      </c>
      <c r="G1354" s="67"/>
      <c r="H1354" s="93" t="s">
        <v>4</v>
      </c>
      <c r="I1354" s="67"/>
      <c r="J1354" s="92">
        <v>9030179727</v>
      </c>
      <c r="K1354" s="67"/>
      <c r="L1354" s="67"/>
      <c r="M1354" s="67"/>
      <c r="N1354" s="67"/>
      <c r="O1354" s="67"/>
    </row>
    <row r="1355" spans="1:15" ht="30">
      <c r="A1355" s="91" t="s">
        <v>19</v>
      </c>
      <c r="B1355" s="91" t="s">
        <v>220</v>
      </c>
      <c r="C1355" s="92" t="str">
        <f ca="1">IFERROR(__xludf.DUMMYFUNCTION("filter('Back End'!C:C,'Back End'!A:A=A1355,'Back End'!B:B=B1355,'Back End'!D:D=D1355)"),"Jagapathinagaram")</f>
        <v>Jagapathinagaram</v>
      </c>
      <c r="D1355" s="91" t="s">
        <v>230</v>
      </c>
      <c r="E1355" s="91" t="s">
        <v>4911</v>
      </c>
      <c r="F1355" s="67" t="s">
        <v>3138</v>
      </c>
      <c r="G1355" s="67"/>
      <c r="H1355" s="93" t="s">
        <v>4</v>
      </c>
      <c r="I1355" s="67"/>
      <c r="J1355" s="92">
        <v>9390352406</v>
      </c>
      <c r="K1355" s="67"/>
      <c r="L1355" s="67"/>
      <c r="M1355" s="67"/>
      <c r="N1355" s="67"/>
      <c r="O1355" s="67"/>
    </row>
    <row r="1356" spans="1:15" ht="30">
      <c r="A1356" s="91" t="s">
        <v>19</v>
      </c>
      <c r="B1356" s="91" t="s">
        <v>220</v>
      </c>
      <c r="C1356" s="92" t="str">
        <f ca="1">IFERROR(__xludf.DUMMYFUNCTION("filter('Back End'!C:C,'Back End'!A:A=A1356,'Back End'!B:B=B1356,'Back End'!D:D=D1356)"),"Jagapathinagaram")</f>
        <v>Jagapathinagaram</v>
      </c>
      <c r="D1356" s="91" t="s">
        <v>230</v>
      </c>
      <c r="E1356" s="91" t="s">
        <v>4912</v>
      </c>
      <c r="F1356" s="67" t="s">
        <v>3138</v>
      </c>
      <c r="G1356" s="67"/>
      <c r="H1356" s="93" t="s">
        <v>4</v>
      </c>
      <c r="I1356" s="67"/>
      <c r="J1356" s="92">
        <v>9490713514</v>
      </c>
      <c r="K1356" s="67"/>
      <c r="L1356" s="67"/>
      <c r="M1356" s="67"/>
      <c r="N1356" s="67"/>
      <c r="O1356" s="67"/>
    </row>
    <row r="1357" spans="1:15" ht="30">
      <c r="A1357" s="91" t="s">
        <v>19</v>
      </c>
      <c r="B1357" s="91" t="s">
        <v>220</v>
      </c>
      <c r="C1357" s="92" t="str">
        <f ca="1">IFERROR(__xludf.DUMMYFUNCTION("filter('Back End'!C:C,'Back End'!A:A=A1357,'Back End'!B:B=B1357,'Back End'!D:D=D1357)"),"Jagapathinagaram")</f>
        <v>Jagapathinagaram</v>
      </c>
      <c r="D1357" s="91" t="s">
        <v>230</v>
      </c>
      <c r="E1357" s="91" t="s">
        <v>4913</v>
      </c>
      <c r="F1357" s="91" t="s">
        <v>1673</v>
      </c>
      <c r="G1357" s="91" t="s">
        <v>615</v>
      </c>
      <c r="H1357" s="93" t="s">
        <v>5</v>
      </c>
      <c r="I1357" s="67"/>
      <c r="J1357" s="92">
        <v>8885188878</v>
      </c>
      <c r="K1357" s="67"/>
      <c r="L1357" s="67"/>
      <c r="M1357" s="67"/>
      <c r="N1357" s="67"/>
      <c r="O1357" s="67"/>
    </row>
    <row r="1358" spans="1:15" ht="15">
      <c r="A1358" s="91" t="s">
        <v>19</v>
      </c>
      <c r="B1358" s="91" t="s">
        <v>220</v>
      </c>
      <c r="C1358" s="92" t="str">
        <f ca="1">IFERROR(__xludf.DUMMYFUNCTION("filter('Back End'!C:C,'Back End'!A:A=A1358,'Back End'!B:B=B1358,'Back End'!D:D=D1358)"),"Krishnavaram")</f>
        <v>Krishnavaram</v>
      </c>
      <c r="D1358" s="91" t="s">
        <v>233</v>
      </c>
      <c r="E1358" s="91" t="s">
        <v>4914</v>
      </c>
      <c r="F1358" s="67" t="s">
        <v>3138</v>
      </c>
      <c r="G1358" s="67"/>
      <c r="H1358" s="93" t="s">
        <v>4</v>
      </c>
      <c r="I1358" s="67"/>
      <c r="J1358" s="92">
        <v>9014198356</v>
      </c>
      <c r="K1358" s="67"/>
      <c r="L1358" s="67"/>
      <c r="M1358" s="67"/>
      <c r="N1358" s="67"/>
      <c r="O1358" s="67"/>
    </row>
    <row r="1359" spans="1:15" ht="15">
      <c r="A1359" s="91" t="s">
        <v>19</v>
      </c>
      <c r="B1359" s="91" t="s">
        <v>220</v>
      </c>
      <c r="C1359" s="92" t="str">
        <f ca="1">IFERROR(__xludf.DUMMYFUNCTION("filter('Back End'!C:C,'Back End'!A:A=A1359,'Back End'!B:B=B1359,'Back End'!D:D=D1359)"),"Krishnavaram")</f>
        <v>Krishnavaram</v>
      </c>
      <c r="D1359" s="91" t="s">
        <v>233</v>
      </c>
      <c r="E1359" s="91" t="s">
        <v>4915</v>
      </c>
      <c r="F1359" s="67" t="s">
        <v>3138</v>
      </c>
      <c r="G1359" s="67"/>
      <c r="H1359" s="93" t="s">
        <v>4</v>
      </c>
      <c r="I1359" s="92" t="s">
        <v>3125</v>
      </c>
      <c r="J1359" s="92">
        <v>9705786755</v>
      </c>
      <c r="K1359" s="67"/>
      <c r="L1359" s="67"/>
      <c r="M1359" s="67"/>
      <c r="N1359" s="67"/>
      <c r="O1359" s="67"/>
    </row>
    <row r="1360" spans="1:15" ht="15">
      <c r="A1360" s="91" t="s">
        <v>19</v>
      </c>
      <c r="B1360" s="91" t="s">
        <v>220</v>
      </c>
      <c r="C1360" s="92" t="str">
        <f ca="1">IFERROR(__xludf.DUMMYFUNCTION("filter('Back End'!C:C,'Back End'!A:A=A1360,'Back End'!B:B=B1360,'Back End'!D:D=D1360)"),"Krishnavaram")</f>
        <v>Krishnavaram</v>
      </c>
      <c r="D1360" s="91" t="s">
        <v>233</v>
      </c>
      <c r="E1360" s="91" t="s">
        <v>4916</v>
      </c>
      <c r="F1360" s="67" t="s">
        <v>3138</v>
      </c>
      <c r="G1360" s="67"/>
      <c r="H1360" s="93" t="s">
        <v>4</v>
      </c>
      <c r="I1360" s="67"/>
      <c r="J1360" s="92">
        <v>9553738283</v>
      </c>
      <c r="K1360" s="67"/>
      <c r="L1360" s="67"/>
      <c r="M1360" s="67"/>
      <c r="N1360" s="67"/>
      <c r="O1360" s="67"/>
    </row>
    <row r="1361" spans="1:15" ht="15">
      <c r="A1361" s="91" t="s">
        <v>19</v>
      </c>
      <c r="B1361" s="91" t="s">
        <v>220</v>
      </c>
      <c r="C1361" s="92" t="str">
        <f ca="1">IFERROR(__xludf.DUMMYFUNCTION("filter('Back End'!C:C,'Back End'!A:A=A1361,'Back End'!B:B=B1361,'Back End'!D:D=D1361)"),"Krishnavaram")</f>
        <v>Krishnavaram</v>
      </c>
      <c r="D1361" s="91" t="s">
        <v>233</v>
      </c>
      <c r="E1361" s="91" t="s">
        <v>4917</v>
      </c>
      <c r="F1361" s="91" t="s">
        <v>139</v>
      </c>
      <c r="G1361" s="91" t="s">
        <v>594</v>
      </c>
      <c r="H1361" s="93" t="s">
        <v>5</v>
      </c>
      <c r="I1361" s="67"/>
      <c r="J1361" s="92">
        <v>9948252738</v>
      </c>
      <c r="K1361" s="67"/>
      <c r="L1361" s="67"/>
      <c r="M1361" s="67"/>
      <c r="N1361" s="67"/>
      <c r="O1361" s="67"/>
    </row>
    <row r="1362" spans="1:15" ht="15">
      <c r="A1362" s="91" t="s">
        <v>19</v>
      </c>
      <c r="B1362" s="91" t="s">
        <v>220</v>
      </c>
      <c r="C1362" s="92" t="str">
        <f ca="1">IFERROR(__xludf.DUMMYFUNCTION("filter('Back End'!C:C,'Back End'!A:A=A1362,'Back End'!B:B=B1362,'Back End'!D:D=D1362)"),"Palem")</f>
        <v>Palem</v>
      </c>
      <c r="D1362" s="91" t="s">
        <v>237</v>
      </c>
      <c r="E1362" s="91" t="s">
        <v>4918</v>
      </c>
      <c r="F1362" s="67" t="s">
        <v>3138</v>
      </c>
      <c r="G1362" s="67"/>
      <c r="H1362" s="93" t="s">
        <v>4</v>
      </c>
      <c r="I1362" s="67"/>
      <c r="J1362" s="92">
        <v>9912768605</v>
      </c>
      <c r="K1362" s="67"/>
      <c r="L1362" s="67"/>
      <c r="M1362" s="67"/>
      <c r="N1362" s="67"/>
      <c r="O1362" s="67"/>
    </row>
    <row r="1363" spans="1:15" ht="15">
      <c r="A1363" s="91" t="s">
        <v>19</v>
      </c>
      <c r="B1363" s="91" t="s">
        <v>220</v>
      </c>
      <c r="C1363" s="92" t="str">
        <f ca="1">IFERROR(__xludf.DUMMYFUNCTION("filter('Back End'!C:C,'Back End'!A:A=A1363,'Back End'!B:B=B1363,'Back End'!D:D=D1363)"),"Palem")</f>
        <v>Palem</v>
      </c>
      <c r="D1363" s="91" t="s">
        <v>237</v>
      </c>
      <c r="E1363" s="91" t="s">
        <v>4919</v>
      </c>
      <c r="F1363" s="67" t="s">
        <v>3138</v>
      </c>
      <c r="G1363" s="67"/>
      <c r="H1363" s="93" t="s">
        <v>4</v>
      </c>
      <c r="I1363" s="92" t="s">
        <v>3125</v>
      </c>
      <c r="J1363" s="92">
        <v>9542738888</v>
      </c>
      <c r="K1363" s="67"/>
      <c r="L1363" s="67"/>
      <c r="M1363" s="67"/>
      <c r="N1363" s="67"/>
      <c r="O1363" s="67"/>
    </row>
    <row r="1364" spans="1:15" ht="15">
      <c r="A1364" s="91" t="s">
        <v>19</v>
      </c>
      <c r="B1364" s="91" t="s">
        <v>220</v>
      </c>
      <c r="C1364" s="92" t="str">
        <f ca="1">IFERROR(__xludf.DUMMYFUNCTION("filter('Back End'!C:C,'Back End'!A:A=A1364,'Back End'!B:B=B1364,'Back End'!D:D=D1364)"),"Palem")</f>
        <v>Palem</v>
      </c>
      <c r="D1364" s="91" t="s">
        <v>237</v>
      </c>
      <c r="E1364" s="91" t="s">
        <v>4920</v>
      </c>
      <c r="F1364" s="67" t="s">
        <v>3138</v>
      </c>
      <c r="G1364" s="67"/>
      <c r="H1364" s="93" t="s">
        <v>4</v>
      </c>
      <c r="I1364" s="67"/>
      <c r="J1364" s="92">
        <v>9010889539</v>
      </c>
      <c r="K1364" s="67"/>
      <c r="L1364" s="67"/>
      <c r="M1364" s="67"/>
      <c r="N1364" s="67"/>
      <c r="O1364" s="67"/>
    </row>
    <row r="1365" spans="1:15" ht="30">
      <c r="A1365" s="91" t="s">
        <v>19</v>
      </c>
      <c r="B1365" s="92" t="s">
        <v>220</v>
      </c>
      <c r="C1365" s="92" t="str">
        <f ca="1">IFERROR(__xludf.DUMMYFUNCTION("filter('Back End'!C:C,'Back End'!A:A=A1365,'Back End'!B:B=B1365,'Back End'!D:D=D1365)"),"Rajupalem")</f>
        <v>Rajupalem</v>
      </c>
      <c r="D1365" s="91" t="s">
        <v>239</v>
      </c>
      <c r="E1365" s="92" t="s">
        <v>240</v>
      </c>
      <c r="F1365" s="91" t="s">
        <v>94</v>
      </c>
      <c r="G1365" s="91" t="s">
        <v>615</v>
      </c>
      <c r="H1365" s="93" t="s">
        <v>5</v>
      </c>
      <c r="I1365" s="92" t="s">
        <v>4348</v>
      </c>
      <c r="J1365" s="92">
        <v>8790885023</v>
      </c>
      <c r="K1365" s="67"/>
      <c r="L1365" s="67"/>
      <c r="M1365" s="67"/>
      <c r="N1365" s="67"/>
      <c r="O1365" s="67"/>
    </row>
    <row r="1366" spans="1:15" ht="45">
      <c r="A1366" s="91" t="s">
        <v>19</v>
      </c>
      <c r="B1366" s="92" t="s">
        <v>220</v>
      </c>
      <c r="C1366" s="92" t="str">
        <f ca="1">IFERROR(__xludf.DUMMYFUNCTION("filter('Back End'!C:C,'Back End'!A:A=A1366,'Back End'!B:B=B1366,'Back End'!D:D=D1366)"),"Rajupalem")</f>
        <v>Rajupalem</v>
      </c>
      <c r="D1366" s="91" t="s">
        <v>239</v>
      </c>
      <c r="E1366" s="92" t="s">
        <v>4921</v>
      </c>
      <c r="F1366" s="91" t="s">
        <v>94</v>
      </c>
      <c r="G1366" s="91" t="s">
        <v>615</v>
      </c>
      <c r="H1366" s="93" t="s">
        <v>5</v>
      </c>
      <c r="I1366" s="92" t="s">
        <v>4922</v>
      </c>
      <c r="J1366" s="92">
        <v>8790885023</v>
      </c>
      <c r="K1366" s="67"/>
      <c r="L1366" s="67"/>
      <c r="M1366" s="67"/>
      <c r="N1366" s="67"/>
      <c r="O1366" s="67"/>
    </row>
    <row r="1367" spans="1:15" ht="45">
      <c r="A1367" s="91" t="s">
        <v>19</v>
      </c>
      <c r="B1367" s="92" t="s">
        <v>220</v>
      </c>
      <c r="C1367" s="92" t="str">
        <f ca="1">IFERROR(__xludf.DUMMYFUNCTION("filter('Back End'!C:C,'Back End'!A:A=A1367,'Back End'!B:B=B1367,'Back End'!D:D=D1367)"),"Rajupalem")</f>
        <v>Rajupalem</v>
      </c>
      <c r="D1367" s="91" t="s">
        <v>239</v>
      </c>
      <c r="E1367" s="92" t="s">
        <v>4923</v>
      </c>
      <c r="F1367" s="91" t="s">
        <v>139</v>
      </c>
      <c r="G1367" s="91" t="s">
        <v>594</v>
      </c>
      <c r="H1367" s="93" t="s">
        <v>5</v>
      </c>
      <c r="I1367" s="92" t="s">
        <v>4348</v>
      </c>
      <c r="J1367" s="92" t="s">
        <v>2631</v>
      </c>
      <c r="K1367" s="67"/>
      <c r="L1367" s="67"/>
      <c r="M1367" s="67"/>
      <c r="N1367" s="67"/>
      <c r="O1367" s="67"/>
    </row>
    <row r="1368" spans="1:15" ht="30">
      <c r="A1368" s="91" t="s">
        <v>19</v>
      </c>
      <c r="B1368" s="92" t="s">
        <v>220</v>
      </c>
      <c r="C1368" s="92" t="str">
        <f ca="1">IFERROR(__xludf.DUMMYFUNCTION("filter('Back End'!C:C,'Back End'!A:A=A1368,'Back End'!B:B=B1368,'Back End'!D:D=D1368)"),"Rajupalem")</f>
        <v>Rajupalem</v>
      </c>
      <c r="D1368" s="91" t="s">
        <v>239</v>
      </c>
      <c r="E1368" s="92" t="s">
        <v>4924</v>
      </c>
      <c r="F1368" s="91" t="s">
        <v>114</v>
      </c>
      <c r="G1368" s="91" t="s">
        <v>85</v>
      </c>
      <c r="H1368" s="93" t="s">
        <v>5</v>
      </c>
      <c r="I1368" s="92" t="s">
        <v>3929</v>
      </c>
      <c r="J1368" s="92">
        <v>7569396061</v>
      </c>
      <c r="K1368" s="67"/>
      <c r="L1368" s="67"/>
      <c r="M1368" s="67"/>
      <c r="N1368" s="67"/>
      <c r="O1368" s="67"/>
    </row>
    <row r="1369" spans="1:15" ht="15">
      <c r="A1369" s="91" t="s">
        <v>19</v>
      </c>
      <c r="B1369" s="92" t="s">
        <v>220</v>
      </c>
      <c r="C1369" s="92" t="str">
        <f ca="1">IFERROR(__xludf.DUMMYFUNCTION("filter('Back End'!C:C,'Back End'!A:A=A1369,'Back End'!B:B=B1369,'Back End'!D:D=D1369)"),"Rajupalem")</f>
        <v>Rajupalem</v>
      </c>
      <c r="D1369" s="91" t="s">
        <v>239</v>
      </c>
      <c r="E1369" s="92" t="s">
        <v>4925</v>
      </c>
      <c r="F1369" s="91" t="s">
        <v>139</v>
      </c>
      <c r="G1369" s="91" t="s">
        <v>594</v>
      </c>
      <c r="H1369" s="93" t="s">
        <v>5</v>
      </c>
      <c r="I1369" s="92" t="s">
        <v>3185</v>
      </c>
      <c r="J1369" s="67"/>
      <c r="K1369" s="67"/>
      <c r="L1369" s="67"/>
      <c r="M1369" s="67"/>
      <c r="N1369" s="67"/>
      <c r="O1369" s="67"/>
    </row>
    <row r="1370" spans="1:15" ht="15">
      <c r="A1370" s="91" t="s">
        <v>19</v>
      </c>
      <c r="B1370" s="91" t="s">
        <v>220</v>
      </c>
      <c r="C1370" s="92" t="str">
        <f ca="1">IFERROR(__xludf.DUMMYFUNCTION("filter('Back End'!C:C,'Back End'!A:A=A1370,'Back End'!B:B=B1370,'Back End'!D:D=D1370)"),"Rajupalem")</f>
        <v>Rajupalem</v>
      </c>
      <c r="D1370" s="91" t="s">
        <v>239</v>
      </c>
      <c r="E1370" s="91" t="s">
        <v>4926</v>
      </c>
      <c r="F1370" s="91" t="s">
        <v>467</v>
      </c>
      <c r="G1370" s="91" t="s">
        <v>85</v>
      </c>
      <c r="H1370" s="93" t="s">
        <v>5</v>
      </c>
      <c r="I1370" s="92" t="s">
        <v>2631</v>
      </c>
      <c r="J1370" s="92">
        <v>9441181121</v>
      </c>
      <c r="K1370" s="67"/>
      <c r="L1370" s="67"/>
      <c r="M1370" s="67"/>
      <c r="N1370" s="67"/>
      <c r="O1370" s="67"/>
    </row>
    <row r="1371" spans="1:15" ht="30">
      <c r="A1371" s="91" t="s">
        <v>19</v>
      </c>
      <c r="B1371" s="91" t="s">
        <v>220</v>
      </c>
      <c r="C1371" s="92" t="str">
        <f ca="1">IFERROR(__xludf.DUMMYFUNCTION("filter('Back End'!C:C,'Back End'!A:A=A1371,'Back End'!B:B=B1371,'Back End'!D:D=D1371)"),"Rajupalem")</f>
        <v>Rajupalem</v>
      </c>
      <c r="D1371" s="91" t="s">
        <v>239</v>
      </c>
      <c r="E1371" s="91" t="s">
        <v>4927</v>
      </c>
      <c r="F1371" s="91" t="s">
        <v>94</v>
      </c>
      <c r="G1371" s="91" t="s">
        <v>615</v>
      </c>
      <c r="H1371" s="93" t="s">
        <v>4</v>
      </c>
      <c r="I1371" s="92" t="s">
        <v>4835</v>
      </c>
      <c r="J1371" s="92">
        <v>9290077424</v>
      </c>
      <c r="K1371" s="67"/>
      <c r="L1371" s="67"/>
      <c r="M1371" s="67"/>
      <c r="N1371" s="67"/>
      <c r="O1371" s="67"/>
    </row>
    <row r="1372" spans="1:15" ht="30">
      <c r="A1372" s="91" t="s">
        <v>19</v>
      </c>
      <c r="B1372" s="91" t="s">
        <v>220</v>
      </c>
      <c r="C1372" s="92" t="str">
        <f ca="1">IFERROR(__xludf.DUMMYFUNCTION("filter('Back End'!C:C,'Back End'!A:A=A1372,'Back End'!B:B=B1372,'Back End'!D:D=D1372)"),"Rajupalem")</f>
        <v>Rajupalem</v>
      </c>
      <c r="D1372" s="91" t="s">
        <v>239</v>
      </c>
      <c r="E1372" s="91" t="s">
        <v>4928</v>
      </c>
      <c r="F1372" s="91" t="s">
        <v>467</v>
      </c>
      <c r="G1372" s="91" t="s">
        <v>85</v>
      </c>
      <c r="H1372" s="93" t="s">
        <v>4</v>
      </c>
      <c r="I1372" s="92" t="s">
        <v>4929</v>
      </c>
      <c r="J1372" s="92">
        <v>9491917246</v>
      </c>
      <c r="K1372" s="67"/>
      <c r="L1372" s="67"/>
      <c r="M1372" s="67"/>
      <c r="N1372" s="67"/>
      <c r="O1372" s="67"/>
    </row>
    <row r="1373" spans="1:15" ht="30">
      <c r="A1373" s="91" t="s">
        <v>19</v>
      </c>
      <c r="B1373" s="91" t="s">
        <v>220</v>
      </c>
      <c r="C1373" s="92" t="str">
        <f ca="1">IFERROR(__xludf.DUMMYFUNCTION("filter('Back End'!C:C,'Back End'!A:A=A1373,'Back End'!B:B=B1373,'Back End'!D:D=D1373)"),"Rajupalem")</f>
        <v>Rajupalem</v>
      </c>
      <c r="D1373" s="91" t="s">
        <v>239</v>
      </c>
      <c r="E1373" s="91" t="s">
        <v>4930</v>
      </c>
      <c r="F1373" s="91" t="s">
        <v>94</v>
      </c>
      <c r="G1373" s="91" t="s">
        <v>615</v>
      </c>
      <c r="H1373" s="93" t="s">
        <v>4</v>
      </c>
      <c r="I1373" s="92" t="s">
        <v>4929</v>
      </c>
      <c r="J1373" s="92">
        <v>9848050550</v>
      </c>
      <c r="K1373" s="67"/>
      <c r="L1373" s="67"/>
      <c r="M1373" s="67"/>
      <c r="N1373" s="67"/>
      <c r="O1373" s="67"/>
    </row>
    <row r="1374" spans="1:15" ht="30">
      <c r="A1374" s="91" t="s">
        <v>19</v>
      </c>
      <c r="B1374" s="91" t="s">
        <v>220</v>
      </c>
      <c r="C1374" s="92" t="str">
        <f ca="1">IFERROR(__xludf.DUMMYFUNCTION("filter('Back End'!C:C,'Back End'!A:A=A1374,'Back End'!B:B=B1374,'Back End'!D:D=D1374)"),"Ramachandra Puram")</f>
        <v>Ramachandra Puram</v>
      </c>
      <c r="D1374" s="91" t="s">
        <v>241</v>
      </c>
      <c r="E1374" s="91" t="s">
        <v>4931</v>
      </c>
      <c r="F1374" s="67" t="s">
        <v>3138</v>
      </c>
      <c r="G1374" s="67"/>
      <c r="H1374" s="93" t="s">
        <v>4</v>
      </c>
      <c r="I1374" s="92" t="s">
        <v>3125</v>
      </c>
      <c r="J1374" s="92">
        <v>7731016848</v>
      </c>
      <c r="K1374" s="67"/>
      <c r="L1374" s="67"/>
      <c r="M1374" s="67"/>
      <c r="N1374" s="67"/>
      <c r="O1374" s="67"/>
    </row>
    <row r="1375" spans="1:15" ht="30">
      <c r="A1375" s="91" t="s">
        <v>19</v>
      </c>
      <c r="B1375" s="91" t="s">
        <v>220</v>
      </c>
      <c r="C1375" s="92" t="str">
        <f ca="1">IFERROR(__xludf.DUMMYFUNCTION("filter('Back End'!C:C,'Back End'!A:A=A1375,'Back End'!B:B=B1375,'Back End'!D:D=D1375)"),"Ramachandra Puram")</f>
        <v>Ramachandra Puram</v>
      </c>
      <c r="D1375" s="91" t="s">
        <v>241</v>
      </c>
      <c r="E1375" s="91" t="s">
        <v>4932</v>
      </c>
      <c r="F1375" s="67" t="s">
        <v>3138</v>
      </c>
      <c r="G1375" s="67"/>
      <c r="H1375" s="93" t="s">
        <v>4</v>
      </c>
      <c r="I1375" s="67"/>
      <c r="J1375" s="92">
        <v>9573498444</v>
      </c>
      <c r="K1375" s="67"/>
      <c r="L1375" s="67"/>
      <c r="M1375" s="67"/>
      <c r="N1375" s="67"/>
      <c r="O1375" s="67"/>
    </row>
    <row r="1376" spans="1:15" ht="30">
      <c r="A1376" s="91" t="s">
        <v>19</v>
      </c>
      <c r="B1376" s="91" t="s">
        <v>220</v>
      </c>
      <c r="C1376" s="92" t="str">
        <f ca="1">IFERROR(__xludf.DUMMYFUNCTION("filter('Back End'!C:C,'Back End'!A:A=A1376,'Back End'!B:B=B1376,'Back End'!D:D=D1376)"),"Ramakrishnapuram")</f>
        <v>Ramakrishnapuram</v>
      </c>
      <c r="D1376" s="91" t="s">
        <v>243</v>
      </c>
      <c r="E1376" s="91" t="s">
        <v>4933</v>
      </c>
      <c r="F1376" s="67" t="s">
        <v>3138</v>
      </c>
      <c r="G1376" s="67"/>
      <c r="H1376" s="93" t="s">
        <v>4</v>
      </c>
      <c r="I1376" s="67"/>
      <c r="J1376" s="92">
        <v>9966328719</v>
      </c>
      <c r="K1376" s="67"/>
      <c r="L1376" s="67"/>
      <c r="M1376" s="67"/>
      <c r="N1376" s="67"/>
      <c r="O1376" s="67"/>
    </row>
    <row r="1377" spans="1:15" ht="30">
      <c r="A1377" s="91" t="s">
        <v>19</v>
      </c>
      <c r="B1377" s="91" t="s">
        <v>220</v>
      </c>
      <c r="C1377" s="92" t="str">
        <f ca="1">IFERROR(__xludf.DUMMYFUNCTION("filter('Back End'!C:C,'Back End'!A:A=A1377,'Back End'!B:B=B1377,'Back End'!D:D=D1377)"),"Ramakrishnapuram")</f>
        <v>Ramakrishnapuram</v>
      </c>
      <c r="D1377" s="91" t="s">
        <v>243</v>
      </c>
      <c r="E1377" s="91" t="s">
        <v>4934</v>
      </c>
      <c r="F1377" s="67" t="s">
        <v>3138</v>
      </c>
      <c r="G1377" s="67"/>
      <c r="H1377" s="93" t="s">
        <v>4</v>
      </c>
      <c r="I1377" s="92" t="s">
        <v>3125</v>
      </c>
      <c r="J1377" s="92">
        <v>9493882666</v>
      </c>
      <c r="K1377" s="67"/>
      <c r="L1377" s="67"/>
      <c r="M1377" s="67"/>
      <c r="N1377" s="67"/>
      <c r="O1377" s="67"/>
    </row>
    <row r="1378" spans="1:15" ht="30">
      <c r="A1378" s="91" t="s">
        <v>19</v>
      </c>
      <c r="B1378" s="91" t="s">
        <v>220</v>
      </c>
      <c r="C1378" s="92" t="str">
        <f ca="1">IFERROR(__xludf.DUMMYFUNCTION("filter('Back End'!C:C,'Back End'!A:A=A1378,'Back End'!B:B=B1378,'Back End'!D:D=D1378)"),"Ramakrishnapuram")</f>
        <v>Ramakrishnapuram</v>
      </c>
      <c r="D1378" s="91" t="s">
        <v>243</v>
      </c>
      <c r="E1378" s="91" t="s">
        <v>4935</v>
      </c>
      <c r="F1378" s="67" t="s">
        <v>3138</v>
      </c>
      <c r="G1378" s="67"/>
      <c r="H1378" s="93" t="s">
        <v>4</v>
      </c>
      <c r="I1378" s="67"/>
      <c r="J1378" s="92">
        <v>9640328296</v>
      </c>
      <c r="K1378" s="67"/>
      <c r="L1378" s="67"/>
      <c r="M1378" s="67"/>
      <c r="N1378" s="67"/>
      <c r="O1378" s="67"/>
    </row>
    <row r="1379" spans="1:15" ht="30">
      <c r="A1379" s="91" t="s">
        <v>19</v>
      </c>
      <c r="B1379" s="91" t="s">
        <v>220</v>
      </c>
      <c r="C1379" s="92" t="str">
        <f ca="1">IFERROR(__xludf.DUMMYFUNCTION("filter('Back End'!C:C,'Back End'!A:A=A1379,'Back End'!B:B=B1379,'Back End'!D:D=D1379)"),"Ramakrishnapuram")</f>
        <v>Ramakrishnapuram</v>
      </c>
      <c r="D1379" s="91" t="s">
        <v>243</v>
      </c>
      <c r="E1379" s="91" t="s">
        <v>4936</v>
      </c>
      <c r="F1379" s="91" t="s">
        <v>114</v>
      </c>
      <c r="G1379" s="91" t="s">
        <v>85</v>
      </c>
      <c r="H1379" s="93" t="s">
        <v>4</v>
      </c>
      <c r="I1379" s="92" t="s">
        <v>3112</v>
      </c>
      <c r="J1379" s="92">
        <v>9493882666</v>
      </c>
      <c r="K1379" s="67"/>
      <c r="L1379" s="67"/>
      <c r="M1379" s="67"/>
      <c r="N1379" s="67"/>
      <c r="O1379" s="67"/>
    </row>
    <row r="1380" spans="1:15" ht="30">
      <c r="A1380" s="91" t="s">
        <v>19</v>
      </c>
      <c r="B1380" s="91" t="s">
        <v>220</v>
      </c>
      <c r="C1380" s="92" t="str">
        <f ca="1">IFERROR(__xludf.DUMMYFUNCTION("filter('Back End'!C:C,'Back End'!A:A=A1380,'Back End'!B:B=B1380,'Back End'!D:D=D1380)"),"Ramakrishnapuram")</f>
        <v>Ramakrishnapuram</v>
      </c>
      <c r="D1380" s="91" t="s">
        <v>243</v>
      </c>
      <c r="E1380" s="91" t="s">
        <v>4937</v>
      </c>
      <c r="F1380" s="91" t="s">
        <v>94</v>
      </c>
      <c r="G1380" s="91" t="s">
        <v>615</v>
      </c>
      <c r="H1380" s="93" t="s">
        <v>4</v>
      </c>
      <c r="I1380" s="92" t="s">
        <v>3112</v>
      </c>
      <c r="J1380" s="92">
        <v>9848588897</v>
      </c>
      <c r="K1380" s="67"/>
      <c r="L1380" s="67"/>
      <c r="M1380" s="67"/>
      <c r="N1380" s="67"/>
      <c r="O1380" s="67"/>
    </row>
    <row r="1381" spans="1:15" ht="30">
      <c r="A1381" s="91" t="s">
        <v>19</v>
      </c>
      <c r="B1381" s="91" t="s">
        <v>220</v>
      </c>
      <c r="C1381" s="92" t="str">
        <f ca="1">IFERROR(__xludf.DUMMYFUNCTION("filter('Back End'!C:C,'Back End'!A:A=A1381,'Back End'!B:B=B1381,'Back End'!D:D=D1381)"),"Ramakrishnapuram")</f>
        <v>Ramakrishnapuram</v>
      </c>
      <c r="D1381" s="91" t="s">
        <v>243</v>
      </c>
      <c r="E1381" s="91" t="s">
        <v>4938</v>
      </c>
      <c r="F1381" s="91" t="s">
        <v>114</v>
      </c>
      <c r="G1381" s="91" t="s">
        <v>85</v>
      </c>
      <c r="H1381" s="93" t="s">
        <v>5</v>
      </c>
      <c r="I1381" s="92" t="s">
        <v>3115</v>
      </c>
      <c r="J1381" s="92">
        <v>9502576288</v>
      </c>
      <c r="K1381" s="67"/>
      <c r="L1381" s="67"/>
      <c r="M1381" s="67"/>
      <c r="N1381" s="67"/>
      <c r="O1381" s="67"/>
    </row>
    <row r="1382" spans="1:15" ht="30">
      <c r="A1382" s="91" t="s">
        <v>19</v>
      </c>
      <c r="B1382" s="91" t="s">
        <v>220</v>
      </c>
      <c r="C1382" s="92" t="str">
        <f ca="1">IFERROR(__xludf.DUMMYFUNCTION("filter('Back End'!C:C,'Back End'!A:A=A1382,'Back End'!B:B=B1382,'Back End'!D:D=D1382)"),"Sungarayunipalem")</f>
        <v>Sungarayunipalem</v>
      </c>
      <c r="D1382" s="91" t="s">
        <v>253</v>
      </c>
      <c r="E1382" s="91" t="s">
        <v>4939</v>
      </c>
      <c r="F1382" s="91" t="s">
        <v>139</v>
      </c>
      <c r="G1382" s="91" t="s">
        <v>594</v>
      </c>
      <c r="H1382" s="93" t="s">
        <v>5</v>
      </c>
      <c r="I1382" s="67"/>
      <c r="J1382" s="92">
        <v>9000150727</v>
      </c>
      <c r="K1382" s="67"/>
      <c r="L1382" s="67"/>
      <c r="M1382" s="67"/>
      <c r="N1382" s="67"/>
      <c r="O1382" s="67"/>
    </row>
    <row r="1383" spans="1:15" ht="15">
      <c r="A1383" s="91" t="s">
        <v>19</v>
      </c>
      <c r="B1383" s="91" t="s">
        <v>220</v>
      </c>
      <c r="C1383" s="92" t="str">
        <f ca="1">IFERROR(__xludf.DUMMYFUNCTION("filter('Back End'!C:C,'Back End'!A:A=A1383,'Back End'!B:B=B1383,'Back End'!D:D=D1383)"),"S.Thimmapuram")</f>
        <v>S.Thimmapuram</v>
      </c>
      <c r="D1383" s="91" t="s">
        <v>245</v>
      </c>
      <c r="E1383" s="91" t="s">
        <v>4940</v>
      </c>
      <c r="F1383" s="91" t="s">
        <v>114</v>
      </c>
      <c r="G1383" s="91" t="s">
        <v>85</v>
      </c>
      <c r="H1383" s="93" t="s">
        <v>5</v>
      </c>
      <c r="I1383" s="67"/>
      <c r="J1383" s="92">
        <v>9912702844</v>
      </c>
      <c r="K1383" s="67"/>
      <c r="L1383" s="67"/>
      <c r="M1383" s="67"/>
      <c r="N1383" s="67"/>
      <c r="O1383" s="67"/>
    </row>
    <row r="1384" spans="1:15" ht="15">
      <c r="A1384" s="91" t="s">
        <v>19</v>
      </c>
      <c r="B1384" s="91" t="s">
        <v>220</v>
      </c>
      <c r="C1384" s="92" t="str">
        <f ca="1">IFERROR(__xludf.DUMMYFUNCTION("filter('Back End'!C:C,'Back End'!A:A=A1384,'Back End'!B:B=B1384,'Back End'!D:D=D1384)"),"S.Thimmapuram")</f>
        <v>S.Thimmapuram</v>
      </c>
      <c r="D1384" s="91" t="s">
        <v>245</v>
      </c>
      <c r="E1384" s="91" t="s">
        <v>4941</v>
      </c>
      <c r="F1384" s="91" t="s">
        <v>94</v>
      </c>
      <c r="G1384" s="91" t="s">
        <v>615</v>
      </c>
      <c r="H1384" s="93" t="s">
        <v>5</v>
      </c>
      <c r="I1384" s="92" t="s">
        <v>3112</v>
      </c>
      <c r="J1384" s="92">
        <v>9951258847</v>
      </c>
      <c r="K1384" s="67"/>
      <c r="L1384" s="67"/>
      <c r="M1384" s="67"/>
      <c r="N1384" s="67"/>
      <c r="O1384" s="67"/>
    </row>
    <row r="1385" spans="1:15" ht="15">
      <c r="A1385" s="91" t="s">
        <v>19</v>
      </c>
      <c r="B1385" s="91" t="s">
        <v>220</v>
      </c>
      <c r="C1385" s="92" t="str">
        <f ca="1">IFERROR(__xludf.DUMMYFUNCTION("filter('Back End'!C:C,'Back End'!A:A=A1385,'Back End'!B:B=B1385,'Back End'!D:D=D1385)"),"S.Thimmapuram")</f>
        <v>S.Thimmapuram</v>
      </c>
      <c r="D1385" s="91" t="s">
        <v>245</v>
      </c>
      <c r="E1385" s="91" t="s">
        <v>4942</v>
      </c>
      <c r="F1385" s="91" t="s">
        <v>114</v>
      </c>
      <c r="G1385" s="91" t="s">
        <v>85</v>
      </c>
      <c r="H1385" s="93" t="s">
        <v>5</v>
      </c>
      <c r="I1385" s="92" t="s">
        <v>3112</v>
      </c>
      <c r="J1385" s="92">
        <v>9553836242</v>
      </c>
      <c r="K1385" s="67"/>
      <c r="L1385" s="67"/>
      <c r="M1385" s="67"/>
      <c r="N1385" s="67"/>
      <c r="O1385" s="67"/>
    </row>
    <row r="1386" spans="1:15" ht="15">
      <c r="A1386" s="91" t="s">
        <v>19</v>
      </c>
      <c r="B1386" s="91" t="s">
        <v>220</v>
      </c>
      <c r="C1386" s="92" t="str">
        <f ca="1">IFERROR(__xludf.DUMMYFUNCTION("filter('Back End'!C:C,'Back End'!A:A=A1386,'Back End'!B:B=B1386,'Back End'!D:D=D1386)"),"S.Thimmapuram")</f>
        <v>S.Thimmapuram</v>
      </c>
      <c r="D1386" s="91" t="s">
        <v>245</v>
      </c>
      <c r="E1386" s="91" t="s">
        <v>4943</v>
      </c>
      <c r="F1386" s="91" t="s">
        <v>1680</v>
      </c>
      <c r="G1386" s="91" t="s">
        <v>615</v>
      </c>
      <c r="H1386" s="93" t="s">
        <v>4</v>
      </c>
      <c r="I1386" s="92" t="s">
        <v>3112</v>
      </c>
      <c r="J1386" s="92">
        <v>9292401946</v>
      </c>
      <c r="K1386" s="67"/>
      <c r="L1386" s="67"/>
      <c r="M1386" s="67"/>
      <c r="N1386" s="67"/>
      <c r="O1386" s="67"/>
    </row>
    <row r="1387" spans="1:15" ht="15">
      <c r="A1387" s="91" t="s">
        <v>19</v>
      </c>
      <c r="B1387" s="91" t="s">
        <v>220</v>
      </c>
      <c r="C1387" s="92" t="str">
        <f ca="1">IFERROR(__xludf.DUMMYFUNCTION("filter('Back End'!C:C,'Back End'!A:A=A1387,'Back End'!B:B=B1387,'Back End'!D:D=D1387)"),"S.Thimmapuram")</f>
        <v>S.Thimmapuram</v>
      </c>
      <c r="D1387" s="91" t="s">
        <v>245</v>
      </c>
      <c r="E1387" s="91" t="s">
        <v>4944</v>
      </c>
      <c r="F1387" s="91" t="s">
        <v>139</v>
      </c>
      <c r="G1387" s="91" t="s">
        <v>594</v>
      </c>
      <c r="H1387" s="93" t="s">
        <v>4</v>
      </c>
      <c r="I1387" s="92" t="s">
        <v>3112</v>
      </c>
      <c r="J1387" s="92">
        <v>9848269867</v>
      </c>
      <c r="K1387" s="67"/>
      <c r="L1387" s="67"/>
      <c r="M1387" s="67"/>
      <c r="N1387" s="67"/>
      <c r="O1387" s="67"/>
    </row>
    <row r="1388" spans="1:15" ht="30">
      <c r="A1388" s="91" t="s">
        <v>19</v>
      </c>
      <c r="B1388" s="91" t="s">
        <v>220</v>
      </c>
      <c r="C1388" s="92" t="str">
        <f ca="1">IFERROR(__xludf.DUMMYFUNCTION("filter('Back End'!C:C,'Back End'!A:A=A1388,'Back End'!B:B=B1388,'Back End'!D:D=D1388)"),"S.Thimmapuram")</f>
        <v>S.Thimmapuram</v>
      </c>
      <c r="D1388" s="91" t="s">
        <v>245</v>
      </c>
      <c r="E1388" s="91" t="s">
        <v>4945</v>
      </c>
      <c r="F1388" s="91" t="s">
        <v>205</v>
      </c>
      <c r="G1388" s="91" t="s">
        <v>615</v>
      </c>
      <c r="H1388" s="93" t="s">
        <v>4</v>
      </c>
      <c r="I1388" s="92" t="s">
        <v>3162</v>
      </c>
      <c r="J1388" s="92">
        <v>9010837466</v>
      </c>
      <c r="K1388" s="67"/>
      <c r="L1388" s="67"/>
      <c r="M1388" s="67"/>
      <c r="N1388" s="67"/>
      <c r="O1388" s="67"/>
    </row>
    <row r="1389" spans="1:15" ht="15">
      <c r="A1389" s="91" t="s">
        <v>19</v>
      </c>
      <c r="B1389" s="91" t="s">
        <v>220</v>
      </c>
      <c r="C1389" s="92" t="str">
        <f ca="1">IFERROR(__xludf.DUMMYFUNCTION("filter('Back End'!C:C,'Back End'!A:A=A1389,'Back End'!B:B=B1389,'Back End'!D:D=D1389)"),"S.Thimmapuram")</f>
        <v>S.Thimmapuram</v>
      </c>
      <c r="D1389" s="91" t="s">
        <v>245</v>
      </c>
      <c r="E1389" s="91" t="s">
        <v>4946</v>
      </c>
      <c r="F1389" s="91" t="s">
        <v>94</v>
      </c>
      <c r="G1389" s="91" t="s">
        <v>615</v>
      </c>
      <c r="H1389" s="93" t="s">
        <v>4</v>
      </c>
      <c r="I1389" s="92" t="s">
        <v>3112</v>
      </c>
      <c r="J1389" s="92">
        <v>9948708338</v>
      </c>
      <c r="K1389" s="67"/>
      <c r="L1389" s="67"/>
      <c r="M1389" s="67"/>
      <c r="N1389" s="67"/>
      <c r="O1389" s="67"/>
    </row>
    <row r="1390" spans="1:15" ht="15">
      <c r="A1390" s="91" t="s">
        <v>19</v>
      </c>
      <c r="B1390" s="91" t="s">
        <v>220</v>
      </c>
      <c r="C1390" s="92" t="str">
        <f ca="1">IFERROR(__xludf.DUMMYFUNCTION("filter('Back End'!C:C,'Back End'!A:A=A1390,'Back End'!B:B=B1390,'Back End'!D:D=D1390)"),"Simhadri Puram")</f>
        <v>Simhadri Puram</v>
      </c>
      <c r="D1390" s="91" t="s">
        <v>247</v>
      </c>
      <c r="E1390" s="91" t="s">
        <v>4947</v>
      </c>
      <c r="F1390" s="67" t="s">
        <v>3138</v>
      </c>
      <c r="G1390" s="67"/>
      <c r="H1390" s="93" t="s">
        <v>5</v>
      </c>
      <c r="I1390" s="67"/>
      <c r="J1390" s="92">
        <v>9959730424</v>
      </c>
      <c r="K1390" s="67"/>
      <c r="L1390" s="67"/>
      <c r="M1390" s="67"/>
      <c r="N1390" s="67"/>
      <c r="O1390" s="67"/>
    </row>
    <row r="1391" spans="1:15" ht="15">
      <c r="A1391" s="91" t="s">
        <v>19</v>
      </c>
      <c r="B1391" s="91" t="s">
        <v>220</v>
      </c>
      <c r="C1391" s="92" t="str">
        <f ca="1">IFERROR(__xludf.DUMMYFUNCTION("filter('Back End'!C:C,'Back End'!A:A=A1391,'Back End'!B:B=B1391,'Back End'!D:D=D1391)"),"Simhadri Puram")</f>
        <v>Simhadri Puram</v>
      </c>
      <c r="D1391" s="91" t="s">
        <v>247</v>
      </c>
      <c r="E1391" s="91" t="s">
        <v>4948</v>
      </c>
      <c r="F1391" s="91" t="s">
        <v>114</v>
      </c>
      <c r="G1391" s="91" t="s">
        <v>85</v>
      </c>
      <c r="H1391" s="93" t="s">
        <v>5</v>
      </c>
      <c r="I1391" s="67"/>
      <c r="J1391" s="92">
        <v>9550370795</v>
      </c>
      <c r="K1391" s="67"/>
      <c r="L1391" s="67"/>
      <c r="M1391" s="67"/>
      <c r="N1391" s="67"/>
      <c r="O1391" s="67"/>
    </row>
    <row r="1392" spans="1:15" ht="15">
      <c r="A1392" s="91" t="s">
        <v>19</v>
      </c>
      <c r="B1392" s="91" t="s">
        <v>220</v>
      </c>
      <c r="C1392" s="92" t="str">
        <f ca="1">IFERROR(__xludf.DUMMYFUNCTION("filter('Back End'!C:C,'Back End'!A:A=A1392,'Back End'!B:B=B1392,'Back End'!D:D=D1392)"),"Simhadri Puram")</f>
        <v>Simhadri Puram</v>
      </c>
      <c r="D1392" s="91" t="s">
        <v>247</v>
      </c>
      <c r="E1392" s="91" t="s">
        <v>4949</v>
      </c>
      <c r="F1392" s="91" t="s">
        <v>139</v>
      </c>
      <c r="G1392" s="91" t="s">
        <v>594</v>
      </c>
      <c r="H1392" s="93" t="s">
        <v>5</v>
      </c>
      <c r="I1392" s="67"/>
      <c r="J1392" s="92">
        <v>9290174102</v>
      </c>
      <c r="K1392" s="67"/>
      <c r="L1392" s="67"/>
      <c r="M1392" s="67"/>
      <c r="N1392" s="67"/>
      <c r="O1392" s="67"/>
    </row>
    <row r="1393" spans="1:15" ht="15">
      <c r="A1393" s="91" t="s">
        <v>19</v>
      </c>
      <c r="B1393" s="91" t="s">
        <v>220</v>
      </c>
      <c r="C1393" s="92" t="str">
        <f ca="1">IFERROR(__xludf.DUMMYFUNCTION("filter('Back End'!C:C,'Back End'!A:A=A1393,'Back End'!B:B=B1393,'Back End'!D:D=D1393)"),"Simhadri Puram")</f>
        <v>Simhadri Puram</v>
      </c>
      <c r="D1393" s="91" t="s">
        <v>247</v>
      </c>
      <c r="E1393" s="91" t="s">
        <v>4950</v>
      </c>
      <c r="F1393" s="67" t="s">
        <v>3138</v>
      </c>
      <c r="G1393" s="67"/>
      <c r="H1393" s="93" t="s">
        <v>5</v>
      </c>
      <c r="I1393" s="67"/>
      <c r="J1393" s="92">
        <v>8187817934</v>
      </c>
      <c r="K1393" s="67"/>
      <c r="L1393" s="67"/>
      <c r="M1393" s="67"/>
      <c r="N1393" s="67"/>
      <c r="O1393" s="67"/>
    </row>
    <row r="1394" spans="1:15" ht="15">
      <c r="A1394" s="91" t="s">
        <v>19</v>
      </c>
      <c r="B1394" s="91" t="s">
        <v>220</v>
      </c>
      <c r="C1394" s="92" t="str">
        <f ca="1">IFERROR(__xludf.DUMMYFUNCTION("filter('Back End'!C:C,'Back End'!A:A=A1394,'Back End'!B:B=B1394,'Back End'!D:D=D1394)"),"Simhadri Puram")</f>
        <v>Simhadri Puram</v>
      </c>
      <c r="D1394" s="91" t="s">
        <v>247</v>
      </c>
      <c r="E1394" s="91" t="s">
        <v>4951</v>
      </c>
      <c r="F1394" s="67" t="s">
        <v>3138</v>
      </c>
      <c r="G1394" s="67"/>
      <c r="H1394" s="93" t="s">
        <v>5</v>
      </c>
      <c r="I1394" s="67"/>
      <c r="J1394" s="92">
        <v>9551533776</v>
      </c>
      <c r="K1394" s="67"/>
      <c r="L1394" s="67"/>
      <c r="M1394" s="67"/>
      <c r="N1394" s="67"/>
      <c r="O1394" s="67"/>
    </row>
    <row r="1395" spans="1:15" ht="15">
      <c r="A1395" s="91" t="s">
        <v>19</v>
      </c>
      <c r="B1395" s="91" t="s">
        <v>220</v>
      </c>
      <c r="C1395" s="92" t="str">
        <f ca="1">IFERROR(__xludf.DUMMYFUNCTION("filter('Back End'!C:C,'Back End'!A:A=A1395,'Back End'!B:B=B1395,'Back End'!D:D=D1395)"),"Simhadri Puram")</f>
        <v>Simhadri Puram</v>
      </c>
      <c r="D1395" s="91" t="s">
        <v>247</v>
      </c>
      <c r="E1395" s="91" t="s">
        <v>4952</v>
      </c>
      <c r="F1395" s="67" t="s">
        <v>3138</v>
      </c>
      <c r="G1395" s="67"/>
      <c r="H1395" s="93" t="s">
        <v>5</v>
      </c>
      <c r="I1395" s="67"/>
      <c r="J1395" s="92">
        <v>9441807628</v>
      </c>
      <c r="K1395" s="67"/>
      <c r="L1395" s="67"/>
      <c r="M1395" s="67"/>
      <c r="N1395" s="67"/>
      <c r="O1395" s="67"/>
    </row>
    <row r="1396" spans="1:15" ht="15">
      <c r="A1396" s="91" t="s">
        <v>19</v>
      </c>
      <c r="B1396" s="91" t="s">
        <v>220</v>
      </c>
      <c r="C1396" s="92" t="str">
        <f ca="1">IFERROR(__xludf.DUMMYFUNCTION("filter('Back End'!C:C,'Back End'!A:A=A1396,'Back End'!B:B=B1396,'Back End'!D:D=D1396)"),"Simhadri Puram")</f>
        <v>Simhadri Puram</v>
      </c>
      <c r="D1396" s="91" t="s">
        <v>247</v>
      </c>
      <c r="E1396" s="91" t="s">
        <v>4953</v>
      </c>
      <c r="F1396" s="67" t="s">
        <v>3138</v>
      </c>
      <c r="G1396" s="67"/>
      <c r="H1396" s="93" t="s">
        <v>5</v>
      </c>
      <c r="I1396" s="67"/>
      <c r="J1396" s="92">
        <v>9494174329</v>
      </c>
      <c r="K1396" s="67"/>
      <c r="L1396" s="67"/>
      <c r="M1396" s="67"/>
      <c r="N1396" s="67"/>
      <c r="O1396" s="67"/>
    </row>
    <row r="1397" spans="1:15" ht="15">
      <c r="A1397" s="91" t="s">
        <v>19</v>
      </c>
      <c r="B1397" s="91" t="s">
        <v>220</v>
      </c>
      <c r="C1397" s="92" t="str">
        <f ca="1">IFERROR(__xludf.DUMMYFUNCTION("filter('Back End'!C:C,'Back End'!A:A=A1397,'Back End'!B:B=B1397,'Back End'!D:D=D1397)"),"Simhadri Puram")</f>
        <v>Simhadri Puram</v>
      </c>
      <c r="D1397" s="91" t="s">
        <v>247</v>
      </c>
      <c r="E1397" s="91" t="s">
        <v>4954</v>
      </c>
      <c r="F1397" s="91" t="s">
        <v>139</v>
      </c>
      <c r="G1397" s="91" t="s">
        <v>594</v>
      </c>
      <c r="H1397" s="93" t="s">
        <v>5</v>
      </c>
      <c r="I1397" s="67"/>
      <c r="J1397" s="92">
        <v>9491685093</v>
      </c>
      <c r="K1397" s="67"/>
      <c r="L1397" s="67"/>
      <c r="M1397" s="67"/>
      <c r="N1397" s="67"/>
      <c r="O1397" s="67"/>
    </row>
    <row r="1398" spans="1:15" ht="15">
      <c r="A1398" s="91" t="s">
        <v>19</v>
      </c>
      <c r="B1398" s="91" t="s">
        <v>220</v>
      </c>
      <c r="C1398" s="92" t="str">
        <f ca="1">IFERROR(__xludf.DUMMYFUNCTION("filter('Back End'!C:C,'Back End'!A:A=A1398,'Back End'!B:B=B1398,'Back End'!D:D=D1398)"),"Simhadri Puram")</f>
        <v>Simhadri Puram</v>
      </c>
      <c r="D1398" s="91" t="s">
        <v>247</v>
      </c>
      <c r="E1398" s="91" t="s">
        <v>4955</v>
      </c>
      <c r="F1398" s="67" t="s">
        <v>3138</v>
      </c>
      <c r="G1398" s="67"/>
      <c r="H1398" s="93" t="s">
        <v>5</v>
      </c>
      <c r="I1398" s="67"/>
      <c r="J1398" s="92">
        <v>9441740836</v>
      </c>
      <c r="K1398" s="67"/>
      <c r="L1398" s="67"/>
      <c r="M1398" s="67"/>
      <c r="N1398" s="67"/>
      <c r="O1398" s="67"/>
    </row>
    <row r="1399" spans="1:15" ht="15">
      <c r="A1399" s="91" t="s">
        <v>19</v>
      </c>
      <c r="B1399" s="91" t="s">
        <v>220</v>
      </c>
      <c r="C1399" s="92" t="str">
        <f ca="1">IFERROR(__xludf.DUMMYFUNCTION("filter('Back End'!C:C,'Back End'!A:A=A1399,'Back End'!B:B=B1399,'Back End'!D:D=D1399)"),"Simhadri Puram")</f>
        <v>Simhadri Puram</v>
      </c>
      <c r="D1399" s="91" t="s">
        <v>247</v>
      </c>
      <c r="E1399" s="91" t="s">
        <v>4956</v>
      </c>
      <c r="F1399" s="91" t="s">
        <v>139</v>
      </c>
      <c r="G1399" s="91" t="s">
        <v>594</v>
      </c>
      <c r="H1399" s="93" t="s">
        <v>5</v>
      </c>
      <c r="I1399" s="67"/>
      <c r="J1399" s="92">
        <v>9936551050</v>
      </c>
      <c r="K1399" s="67"/>
      <c r="L1399" s="67"/>
      <c r="M1399" s="67"/>
      <c r="N1399" s="67"/>
      <c r="O1399" s="67"/>
    </row>
    <row r="1400" spans="1:15" ht="15">
      <c r="A1400" s="91" t="s">
        <v>19</v>
      </c>
      <c r="B1400" s="91" t="s">
        <v>220</v>
      </c>
      <c r="C1400" s="92" t="str">
        <f ca="1">IFERROR(__xludf.DUMMYFUNCTION("filter('Back End'!C:C,'Back End'!A:A=A1400,'Back End'!B:B=B1400,'Back End'!D:D=D1400)"),"Simhadri Puram")</f>
        <v>Simhadri Puram</v>
      </c>
      <c r="D1400" s="91" t="s">
        <v>247</v>
      </c>
      <c r="E1400" s="91" t="s">
        <v>4957</v>
      </c>
      <c r="F1400" s="67" t="s">
        <v>3138</v>
      </c>
      <c r="G1400" s="67"/>
      <c r="H1400" s="93" t="s">
        <v>5</v>
      </c>
      <c r="I1400" s="67"/>
      <c r="J1400" s="92">
        <v>9959040676</v>
      </c>
      <c r="K1400" s="67"/>
      <c r="L1400" s="67"/>
      <c r="M1400" s="67"/>
      <c r="N1400" s="67"/>
      <c r="O1400" s="67"/>
    </row>
    <row r="1401" spans="1:15" ht="15">
      <c r="A1401" s="91" t="s">
        <v>19</v>
      </c>
      <c r="B1401" s="91" t="s">
        <v>220</v>
      </c>
      <c r="C1401" s="92" t="str">
        <f ca="1">IFERROR(__xludf.DUMMYFUNCTION("filter('Back End'!C:C,'Back End'!A:A=A1401,'Back End'!B:B=B1401,'Back End'!D:D=D1401)"),"Simhadri Puram")</f>
        <v>Simhadri Puram</v>
      </c>
      <c r="D1401" s="91" t="s">
        <v>247</v>
      </c>
      <c r="E1401" s="91" t="s">
        <v>4958</v>
      </c>
      <c r="F1401" s="67" t="s">
        <v>3138</v>
      </c>
      <c r="G1401" s="67"/>
      <c r="H1401" s="93" t="s">
        <v>5</v>
      </c>
      <c r="I1401" s="67"/>
      <c r="J1401" s="92">
        <v>9966269866</v>
      </c>
      <c r="K1401" s="67"/>
      <c r="L1401" s="67"/>
      <c r="M1401" s="67"/>
      <c r="N1401" s="67"/>
      <c r="O1401" s="67"/>
    </row>
    <row r="1402" spans="1:15" ht="15">
      <c r="A1402" s="91" t="s">
        <v>19</v>
      </c>
      <c r="B1402" s="91" t="s">
        <v>220</v>
      </c>
      <c r="C1402" s="92" t="str">
        <f ca="1">IFERROR(__xludf.DUMMYFUNCTION("filter('Back End'!C:C,'Back End'!A:A=A1402,'Back End'!B:B=B1402,'Back End'!D:D=D1402)"),"Simhadri Puram")</f>
        <v>Simhadri Puram</v>
      </c>
      <c r="D1402" s="91" t="s">
        <v>247</v>
      </c>
      <c r="E1402" s="91" t="s">
        <v>4959</v>
      </c>
      <c r="F1402" s="67" t="s">
        <v>3138</v>
      </c>
      <c r="G1402" s="67"/>
      <c r="H1402" s="93" t="s">
        <v>5</v>
      </c>
      <c r="I1402" s="67"/>
      <c r="J1402" s="92">
        <v>7032642514</v>
      </c>
      <c r="K1402" s="67"/>
      <c r="L1402" s="67"/>
      <c r="M1402" s="67"/>
      <c r="N1402" s="67"/>
      <c r="O1402" s="67"/>
    </row>
    <row r="1403" spans="1:15" ht="15">
      <c r="A1403" s="91" t="s">
        <v>19</v>
      </c>
      <c r="B1403" s="91" t="s">
        <v>220</v>
      </c>
      <c r="C1403" s="92" t="str">
        <f ca="1">IFERROR(__xludf.DUMMYFUNCTION("filter('Back End'!C:C,'Back End'!A:A=A1403,'Back End'!B:B=B1403,'Back End'!D:D=D1403)"),"Simhadri Puram")</f>
        <v>Simhadri Puram</v>
      </c>
      <c r="D1403" s="91" t="s">
        <v>247</v>
      </c>
      <c r="E1403" s="91" t="s">
        <v>4960</v>
      </c>
      <c r="F1403" s="91" t="s">
        <v>136</v>
      </c>
      <c r="G1403" s="91" t="s">
        <v>615</v>
      </c>
      <c r="H1403" s="93" t="s">
        <v>5</v>
      </c>
      <c r="I1403" s="67"/>
      <c r="J1403" s="92">
        <v>9848145536</v>
      </c>
      <c r="K1403" s="67"/>
      <c r="L1403" s="67"/>
      <c r="M1403" s="67"/>
      <c r="N1403" s="67"/>
      <c r="O1403" s="67"/>
    </row>
    <row r="1404" spans="1:15" ht="15">
      <c r="A1404" s="91" t="s">
        <v>19</v>
      </c>
      <c r="B1404" s="91" t="s">
        <v>220</v>
      </c>
      <c r="C1404" s="92" t="str">
        <f ca="1">IFERROR(__xludf.DUMMYFUNCTION("filter('Back End'!C:C,'Back End'!A:A=A1404,'Back End'!B:B=B1404,'Back End'!D:D=D1404)"),"Simhadri Puram")</f>
        <v>Simhadri Puram</v>
      </c>
      <c r="D1404" s="91" t="s">
        <v>247</v>
      </c>
      <c r="E1404" s="91" t="s">
        <v>4961</v>
      </c>
      <c r="F1404" s="67" t="s">
        <v>3138</v>
      </c>
      <c r="G1404" s="67"/>
      <c r="H1404" s="93" t="s">
        <v>5</v>
      </c>
      <c r="I1404" s="67"/>
      <c r="J1404" s="92">
        <v>9542724742</v>
      </c>
      <c r="K1404" s="67"/>
      <c r="L1404" s="67"/>
      <c r="M1404" s="67"/>
      <c r="N1404" s="67"/>
      <c r="O1404" s="67"/>
    </row>
    <row r="1405" spans="1:15" ht="15">
      <c r="A1405" s="91" t="s">
        <v>19</v>
      </c>
      <c r="B1405" s="91" t="s">
        <v>220</v>
      </c>
      <c r="C1405" s="92" t="str">
        <f ca="1">IFERROR(__xludf.DUMMYFUNCTION("filter('Back End'!C:C,'Back End'!A:A=A1405,'Back End'!B:B=B1405,'Back End'!D:D=D1405)"),"Simhadri Puram")</f>
        <v>Simhadri Puram</v>
      </c>
      <c r="D1405" s="91" t="s">
        <v>247</v>
      </c>
      <c r="E1405" s="91" t="s">
        <v>4962</v>
      </c>
      <c r="F1405" s="91" t="s">
        <v>139</v>
      </c>
      <c r="G1405" s="91" t="s">
        <v>594</v>
      </c>
      <c r="H1405" s="93" t="s">
        <v>5</v>
      </c>
      <c r="I1405" s="67"/>
      <c r="J1405" s="92">
        <v>9533313938</v>
      </c>
      <c r="K1405" s="67"/>
      <c r="L1405" s="67"/>
      <c r="M1405" s="67"/>
      <c r="N1405" s="67"/>
      <c r="O1405" s="67"/>
    </row>
    <row r="1406" spans="1:15" ht="15">
      <c r="A1406" s="91" t="s">
        <v>19</v>
      </c>
      <c r="B1406" s="91" t="s">
        <v>220</v>
      </c>
      <c r="C1406" s="92" t="str">
        <f ca="1">IFERROR(__xludf.DUMMYFUNCTION("filter('Back End'!C:C,'Back End'!A:A=A1406,'Back End'!B:B=B1406,'Back End'!D:D=D1406)"),"Simhadri Puram")</f>
        <v>Simhadri Puram</v>
      </c>
      <c r="D1406" s="91" t="s">
        <v>247</v>
      </c>
      <c r="E1406" s="91" t="s">
        <v>4963</v>
      </c>
      <c r="F1406" s="67" t="s">
        <v>3138</v>
      </c>
      <c r="G1406" s="67"/>
      <c r="H1406" s="93" t="s">
        <v>5</v>
      </c>
      <c r="I1406" s="67"/>
      <c r="J1406" s="92">
        <v>9949831954</v>
      </c>
      <c r="K1406" s="67"/>
      <c r="L1406" s="67"/>
      <c r="M1406" s="67"/>
      <c r="N1406" s="67"/>
      <c r="O1406" s="67"/>
    </row>
    <row r="1407" spans="1:15" ht="15">
      <c r="A1407" s="91" t="s">
        <v>19</v>
      </c>
      <c r="B1407" s="91" t="s">
        <v>220</v>
      </c>
      <c r="C1407" s="92" t="str">
        <f ca="1">IFERROR(__xludf.DUMMYFUNCTION("filter('Back End'!C:C,'Back End'!A:A=A1407,'Back End'!B:B=B1407,'Back End'!D:D=D1407)"),"Simhadri Puram")</f>
        <v>Simhadri Puram</v>
      </c>
      <c r="D1407" s="91" t="s">
        <v>247</v>
      </c>
      <c r="E1407" s="91" t="s">
        <v>4964</v>
      </c>
      <c r="F1407" s="67" t="s">
        <v>3138</v>
      </c>
      <c r="G1407" s="67"/>
      <c r="H1407" s="93" t="s">
        <v>5</v>
      </c>
      <c r="I1407" s="67"/>
      <c r="J1407" s="92">
        <v>9985288969</v>
      </c>
      <c r="K1407" s="67"/>
      <c r="L1407" s="67"/>
      <c r="M1407" s="67"/>
      <c r="N1407" s="67"/>
      <c r="O1407" s="67"/>
    </row>
    <row r="1408" spans="1:15" ht="15">
      <c r="A1408" s="91" t="s">
        <v>19</v>
      </c>
      <c r="B1408" s="91" t="s">
        <v>220</v>
      </c>
      <c r="C1408" s="92" t="str">
        <f ca="1">IFERROR(__xludf.DUMMYFUNCTION("filter('Back End'!C:C,'Back End'!A:A=A1408,'Back End'!B:B=B1408,'Back End'!D:D=D1408)"),"Simhadri Puram")</f>
        <v>Simhadri Puram</v>
      </c>
      <c r="D1408" s="91" t="s">
        <v>247</v>
      </c>
      <c r="E1408" s="91" t="s">
        <v>4965</v>
      </c>
      <c r="F1408" s="91" t="s">
        <v>114</v>
      </c>
      <c r="G1408" s="91" t="s">
        <v>85</v>
      </c>
      <c r="H1408" s="93" t="s">
        <v>5</v>
      </c>
      <c r="I1408" s="67"/>
      <c r="J1408" s="92">
        <v>8179641448</v>
      </c>
      <c r="K1408" s="67"/>
      <c r="L1408" s="67"/>
      <c r="M1408" s="67"/>
      <c r="N1408" s="67"/>
      <c r="O1408" s="67"/>
    </row>
    <row r="1409" spans="1:15" ht="15">
      <c r="A1409" s="91" t="s">
        <v>19</v>
      </c>
      <c r="B1409" s="91" t="s">
        <v>220</v>
      </c>
      <c r="C1409" s="92" t="str">
        <f ca="1">IFERROR(__xludf.DUMMYFUNCTION("filter('Back End'!C:C,'Back End'!A:A=A1409,'Back End'!B:B=B1409,'Back End'!D:D=D1409)"),"Simhadri Puram")</f>
        <v>Simhadri Puram</v>
      </c>
      <c r="D1409" s="91" t="s">
        <v>247</v>
      </c>
      <c r="E1409" s="91" t="s">
        <v>4966</v>
      </c>
      <c r="F1409" s="91" t="s">
        <v>94</v>
      </c>
      <c r="G1409" s="91" t="s">
        <v>615</v>
      </c>
      <c r="H1409" s="93" t="s">
        <v>5</v>
      </c>
      <c r="I1409" s="67"/>
      <c r="J1409" s="92">
        <v>9502606318</v>
      </c>
      <c r="K1409" s="67"/>
      <c r="L1409" s="67"/>
      <c r="M1409" s="67"/>
      <c r="N1409" s="67"/>
      <c r="O1409" s="67"/>
    </row>
    <row r="1410" spans="1:15" ht="15">
      <c r="A1410" s="91" t="s">
        <v>19</v>
      </c>
      <c r="B1410" s="91" t="s">
        <v>220</v>
      </c>
      <c r="C1410" s="92" t="str">
        <f ca="1">IFERROR(__xludf.DUMMYFUNCTION("filter('Back End'!C:C,'Back End'!A:A=A1410,'Back End'!B:B=B1410,'Back End'!D:D=D1410)"),"Simhadri Puram")</f>
        <v>Simhadri Puram</v>
      </c>
      <c r="D1410" s="91" t="s">
        <v>247</v>
      </c>
      <c r="E1410" s="91" t="s">
        <v>4967</v>
      </c>
      <c r="F1410" s="91" t="s">
        <v>139</v>
      </c>
      <c r="G1410" s="91" t="s">
        <v>594</v>
      </c>
      <c r="H1410" s="93" t="s">
        <v>5</v>
      </c>
      <c r="I1410" s="67"/>
      <c r="J1410" s="92">
        <v>9700212999</v>
      </c>
      <c r="K1410" s="67"/>
      <c r="L1410" s="67"/>
      <c r="M1410" s="67"/>
      <c r="N1410" s="67"/>
      <c r="O1410" s="67"/>
    </row>
    <row r="1411" spans="1:15" ht="15">
      <c r="A1411" s="91" t="s">
        <v>19</v>
      </c>
      <c r="B1411" s="91" t="s">
        <v>220</v>
      </c>
      <c r="C1411" s="92" t="str">
        <f ca="1">IFERROR(__xludf.DUMMYFUNCTION("filter('Back End'!C:C,'Back End'!A:A=A1411,'Back End'!B:B=B1411,'Back End'!D:D=D1411)"),"Simhadri Puram")</f>
        <v>Simhadri Puram</v>
      </c>
      <c r="D1411" s="91" t="s">
        <v>247</v>
      </c>
      <c r="E1411" s="91" t="s">
        <v>4968</v>
      </c>
      <c r="F1411" s="91" t="s">
        <v>154</v>
      </c>
      <c r="G1411" s="91" t="s">
        <v>615</v>
      </c>
      <c r="H1411" s="93" t="s">
        <v>5</v>
      </c>
      <c r="I1411" s="67"/>
      <c r="J1411" s="92">
        <v>8501909609</v>
      </c>
      <c r="K1411" s="67"/>
      <c r="L1411" s="67"/>
      <c r="M1411" s="67"/>
      <c r="N1411" s="67"/>
      <c r="O1411" s="67"/>
    </row>
    <row r="1412" spans="1:15" ht="15">
      <c r="A1412" s="91" t="s">
        <v>19</v>
      </c>
      <c r="B1412" s="91" t="s">
        <v>220</v>
      </c>
      <c r="C1412" s="92" t="str">
        <f ca="1">IFERROR(__xludf.DUMMYFUNCTION("filter('Back End'!C:C,'Back End'!A:A=A1412,'Back End'!B:B=B1412,'Back End'!D:D=D1412)"),"Simhadri Puram")</f>
        <v>Simhadri Puram</v>
      </c>
      <c r="D1412" s="91" t="s">
        <v>247</v>
      </c>
      <c r="E1412" s="91" t="s">
        <v>4969</v>
      </c>
      <c r="F1412" s="91" t="s">
        <v>139</v>
      </c>
      <c r="G1412" s="91" t="s">
        <v>594</v>
      </c>
      <c r="H1412" s="93" t="s">
        <v>5</v>
      </c>
      <c r="I1412" s="67"/>
      <c r="J1412" s="92">
        <v>8886006774</v>
      </c>
      <c r="K1412" s="67"/>
      <c r="L1412" s="67"/>
      <c r="M1412" s="67"/>
      <c r="N1412" s="67"/>
      <c r="O1412" s="67"/>
    </row>
    <row r="1413" spans="1:15" ht="15">
      <c r="A1413" s="91" t="s">
        <v>19</v>
      </c>
      <c r="B1413" s="91" t="s">
        <v>220</v>
      </c>
      <c r="C1413" s="92" t="str">
        <f ca="1">IFERROR(__xludf.DUMMYFUNCTION("filter('Back End'!C:C,'Back End'!A:A=A1413,'Back End'!B:B=B1413,'Back End'!D:D=D1413)"),"Simhadri Puram")</f>
        <v>Simhadri Puram</v>
      </c>
      <c r="D1413" s="91" t="s">
        <v>247</v>
      </c>
      <c r="E1413" s="91" t="s">
        <v>4970</v>
      </c>
      <c r="F1413" s="67" t="s">
        <v>3138</v>
      </c>
      <c r="G1413" s="67"/>
      <c r="H1413" s="93" t="s">
        <v>5</v>
      </c>
      <c r="I1413" s="67"/>
      <c r="J1413" s="92">
        <v>9849020901</v>
      </c>
      <c r="K1413" s="67"/>
      <c r="L1413" s="67"/>
      <c r="M1413" s="67"/>
      <c r="N1413" s="67"/>
      <c r="O1413" s="67"/>
    </row>
    <row r="1414" spans="1:15" ht="15">
      <c r="A1414" s="91" t="s">
        <v>19</v>
      </c>
      <c r="B1414" s="91" t="s">
        <v>220</v>
      </c>
      <c r="C1414" s="92" t="str">
        <f ca="1">IFERROR(__xludf.DUMMYFUNCTION("filter('Back End'!C:C,'Back End'!A:A=A1414,'Back End'!B:B=B1414,'Back End'!D:D=D1414)"),"Simhadri Puram")</f>
        <v>Simhadri Puram</v>
      </c>
      <c r="D1414" s="91" t="s">
        <v>247</v>
      </c>
      <c r="E1414" s="91" t="s">
        <v>4971</v>
      </c>
      <c r="F1414" s="91" t="s">
        <v>139</v>
      </c>
      <c r="G1414" s="91" t="s">
        <v>594</v>
      </c>
      <c r="H1414" s="93" t="s">
        <v>5</v>
      </c>
      <c r="I1414" s="67"/>
      <c r="J1414" s="92">
        <v>9848148927</v>
      </c>
      <c r="K1414" s="67"/>
      <c r="L1414" s="67"/>
      <c r="M1414" s="67"/>
      <c r="N1414" s="67"/>
      <c r="O1414" s="67"/>
    </row>
    <row r="1415" spans="1:15" ht="15">
      <c r="A1415" s="91" t="s">
        <v>19</v>
      </c>
      <c r="B1415" s="91" t="s">
        <v>220</v>
      </c>
      <c r="C1415" s="92" t="str">
        <f ca="1">IFERROR(__xludf.DUMMYFUNCTION("filter('Back End'!C:C,'Back End'!A:A=A1415,'Back End'!B:B=B1415,'Back End'!D:D=D1415)"),"Simhadri Puram")</f>
        <v>Simhadri Puram</v>
      </c>
      <c r="D1415" s="91" t="s">
        <v>247</v>
      </c>
      <c r="E1415" s="91" t="s">
        <v>4972</v>
      </c>
      <c r="F1415" s="91" t="s">
        <v>139</v>
      </c>
      <c r="G1415" s="91" t="s">
        <v>594</v>
      </c>
      <c r="H1415" s="93" t="s">
        <v>5</v>
      </c>
      <c r="I1415" s="67"/>
      <c r="J1415" s="92">
        <v>8096114298</v>
      </c>
      <c r="K1415" s="67"/>
      <c r="L1415" s="67"/>
      <c r="M1415" s="67"/>
      <c r="N1415" s="67"/>
      <c r="O1415" s="67"/>
    </row>
    <row r="1416" spans="1:15" ht="15">
      <c r="A1416" s="91" t="s">
        <v>19</v>
      </c>
      <c r="B1416" s="91" t="s">
        <v>220</v>
      </c>
      <c r="C1416" s="92" t="str">
        <f ca="1">IFERROR(__xludf.DUMMYFUNCTION("filter('Back End'!C:C,'Back End'!A:A=A1416,'Back End'!B:B=B1416,'Back End'!D:D=D1416)"),"Simhadri Puram")</f>
        <v>Simhadri Puram</v>
      </c>
      <c r="D1416" s="91" t="s">
        <v>247</v>
      </c>
      <c r="E1416" s="91" t="s">
        <v>4973</v>
      </c>
      <c r="F1416" s="91" t="s">
        <v>139</v>
      </c>
      <c r="G1416" s="91" t="s">
        <v>594</v>
      </c>
      <c r="H1416" s="93" t="s">
        <v>5</v>
      </c>
      <c r="I1416" s="67"/>
      <c r="J1416" s="92">
        <v>7997883511</v>
      </c>
      <c r="K1416" s="67"/>
      <c r="L1416" s="67"/>
      <c r="M1416" s="67"/>
      <c r="N1416" s="67"/>
      <c r="O1416" s="67"/>
    </row>
    <row r="1417" spans="1:15" ht="15">
      <c r="A1417" s="91" t="s">
        <v>19</v>
      </c>
      <c r="B1417" s="91" t="s">
        <v>220</v>
      </c>
      <c r="C1417" s="92" t="str">
        <f ca="1">IFERROR(__xludf.DUMMYFUNCTION("filter('Back End'!C:C,'Back End'!A:A=A1417,'Back End'!B:B=B1417,'Back End'!D:D=D1417)"),"Simhadri Puram")</f>
        <v>Simhadri Puram</v>
      </c>
      <c r="D1417" s="91" t="s">
        <v>247</v>
      </c>
      <c r="E1417" s="91" t="s">
        <v>4974</v>
      </c>
      <c r="F1417" s="91" t="s">
        <v>139</v>
      </c>
      <c r="G1417" s="91" t="s">
        <v>594</v>
      </c>
      <c r="H1417" s="93" t="s">
        <v>5</v>
      </c>
      <c r="I1417" s="92" t="s">
        <v>3112</v>
      </c>
      <c r="J1417" s="92">
        <v>9951313272</v>
      </c>
      <c r="K1417" s="67"/>
      <c r="L1417" s="67"/>
      <c r="M1417" s="67"/>
      <c r="N1417" s="67"/>
      <c r="O1417" s="67"/>
    </row>
    <row r="1418" spans="1:15" ht="15">
      <c r="A1418" s="91" t="s">
        <v>19</v>
      </c>
      <c r="B1418" s="91" t="s">
        <v>220</v>
      </c>
      <c r="C1418" s="92" t="str">
        <f ca="1">IFERROR(__xludf.DUMMYFUNCTION("filter('Back End'!C:C,'Back End'!A:A=A1418,'Back End'!B:B=B1418,'Back End'!D:D=D1418)"),"Simhadri Puram")</f>
        <v>Simhadri Puram</v>
      </c>
      <c r="D1418" s="91" t="s">
        <v>247</v>
      </c>
      <c r="E1418" s="91" t="s">
        <v>4975</v>
      </c>
      <c r="F1418" s="91" t="s">
        <v>139</v>
      </c>
      <c r="G1418" s="91" t="s">
        <v>594</v>
      </c>
      <c r="H1418" s="93" t="s">
        <v>5</v>
      </c>
      <c r="I1418" s="67"/>
      <c r="J1418" s="92">
        <v>9651322715</v>
      </c>
      <c r="K1418" s="67"/>
      <c r="L1418" s="67"/>
      <c r="M1418" s="67"/>
      <c r="N1418" s="67"/>
      <c r="O1418" s="67"/>
    </row>
    <row r="1419" spans="1:15" ht="15">
      <c r="A1419" s="91" t="s">
        <v>19</v>
      </c>
      <c r="B1419" s="91" t="s">
        <v>220</v>
      </c>
      <c r="C1419" s="92" t="str">
        <f ca="1">IFERROR(__xludf.DUMMYFUNCTION("filter('Back End'!C:C,'Back End'!A:A=A1419,'Back End'!B:B=B1419,'Back End'!D:D=D1419)"),"Simhadri Puram")</f>
        <v>Simhadri Puram</v>
      </c>
      <c r="D1419" s="91" t="s">
        <v>247</v>
      </c>
      <c r="E1419" s="91" t="s">
        <v>4976</v>
      </c>
      <c r="F1419" s="91" t="s">
        <v>139</v>
      </c>
      <c r="G1419" s="91" t="s">
        <v>594</v>
      </c>
      <c r="H1419" s="93" t="s">
        <v>5</v>
      </c>
      <c r="I1419" s="67"/>
      <c r="J1419" s="92">
        <v>9949844832</v>
      </c>
      <c r="K1419" s="67"/>
      <c r="L1419" s="67"/>
      <c r="M1419" s="67"/>
      <c r="N1419" s="67"/>
      <c r="O1419" s="67"/>
    </row>
    <row r="1420" spans="1:15" ht="15">
      <c r="A1420" s="91" t="s">
        <v>19</v>
      </c>
      <c r="B1420" s="91" t="s">
        <v>220</v>
      </c>
      <c r="C1420" s="92" t="str">
        <f ca="1">IFERROR(__xludf.DUMMYFUNCTION("filter('Back End'!C:C,'Back End'!A:A=A1420,'Back End'!B:B=B1420,'Back End'!D:D=D1420)"),"Simhadri Puram")</f>
        <v>Simhadri Puram</v>
      </c>
      <c r="D1420" s="91" t="s">
        <v>247</v>
      </c>
      <c r="E1420" s="91" t="s">
        <v>4977</v>
      </c>
      <c r="F1420" s="67" t="s">
        <v>3138</v>
      </c>
      <c r="G1420" s="67"/>
      <c r="H1420" s="93" t="s">
        <v>5</v>
      </c>
      <c r="I1420" s="67"/>
      <c r="J1420" s="92">
        <v>9502097363</v>
      </c>
      <c r="K1420" s="67"/>
      <c r="L1420" s="67"/>
      <c r="M1420" s="67"/>
      <c r="N1420" s="67"/>
      <c r="O1420" s="67"/>
    </row>
    <row r="1421" spans="1:15" ht="15">
      <c r="A1421" s="91" t="s">
        <v>19</v>
      </c>
      <c r="B1421" s="91" t="s">
        <v>220</v>
      </c>
      <c r="C1421" s="92" t="str">
        <f ca="1">IFERROR(__xludf.DUMMYFUNCTION("filter('Back End'!C:C,'Back End'!A:A=A1421,'Back End'!B:B=B1421,'Back End'!D:D=D1421)"),"Simhadri Puram")</f>
        <v>Simhadri Puram</v>
      </c>
      <c r="D1421" s="91" t="s">
        <v>247</v>
      </c>
      <c r="E1421" s="91" t="s">
        <v>4978</v>
      </c>
      <c r="F1421" s="67" t="s">
        <v>3138</v>
      </c>
      <c r="G1421" s="67"/>
      <c r="H1421" s="93" t="s">
        <v>5</v>
      </c>
      <c r="I1421" s="67"/>
      <c r="J1421" s="92">
        <v>9948442769</v>
      </c>
      <c r="K1421" s="67"/>
      <c r="L1421" s="67"/>
      <c r="M1421" s="67"/>
      <c r="N1421" s="67"/>
      <c r="O1421" s="67"/>
    </row>
    <row r="1422" spans="1:15" ht="15">
      <c r="A1422" s="91" t="s">
        <v>19</v>
      </c>
      <c r="B1422" s="91" t="s">
        <v>220</v>
      </c>
      <c r="C1422" s="92" t="s">
        <v>247</v>
      </c>
      <c r="D1422" s="91" t="s">
        <v>247</v>
      </c>
      <c r="E1422" s="91" t="s">
        <v>4979</v>
      </c>
      <c r="F1422" s="91" t="s">
        <v>139</v>
      </c>
      <c r="G1422" s="91" t="s">
        <v>594</v>
      </c>
      <c r="H1422" s="93" t="s">
        <v>5</v>
      </c>
      <c r="I1422" s="92" t="s">
        <v>3185</v>
      </c>
      <c r="J1422" s="92">
        <v>9133566197</v>
      </c>
      <c r="K1422" s="67"/>
      <c r="L1422" s="67"/>
      <c r="M1422" s="67"/>
      <c r="N1422" s="67"/>
      <c r="O1422" s="67"/>
    </row>
    <row r="1423" spans="1:15" ht="15">
      <c r="A1423" s="91" t="s">
        <v>19</v>
      </c>
      <c r="B1423" s="91" t="s">
        <v>220</v>
      </c>
      <c r="C1423" s="92" t="str">
        <f ca="1">IFERROR(__xludf.DUMMYFUNCTION("filter('Back End'!C:C,'Back End'!A:A=A1423,'Back End'!B:B=B1423,'Back End'!D:D=D1423)"),"Simhadri Puram")</f>
        <v>Simhadri Puram</v>
      </c>
      <c r="D1423" s="91" t="s">
        <v>247</v>
      </c>
      <c r="E1423" s="91" t="s">
        <v>4980</v>
      </c>
      <c r="F1423" s="91" t="s">
        <v>114</v>
      </c>
      <c r="G1423" s="91" t="s">
        <v>85</v>
      </c>
      <c r="H1423" s="93" t="s">
        <v>5</v>
      </c>
      <c r="I1423" s="67"/>
      <c r="J1423" s="92">
        <v>9603764458</v>
      </c>
      <c r="K1423" s="67"/>
      <c r="L1423" s="67"/>
      <c r="M1423" s="67"/>
      <c r="N1423" s="67"/>
      <c r="O1423" s="67"/>
    </row>
    <row r="1424" spans="1:15" ht="15">
      <c r="A1424" s="91" t="s">
        <v>19</v>
      </c>
      <c r="B1424" s="91" t="s">
        <v>220</v>
      </c>
      <c r="C1424" s="92" t="str">
        <f ca="1">IFERROR(__xludf.DUMMYFUNCTION("filter('Back End'!C:C,'Back End'!A:A=A1424,'Back End'!B:B=B1424,'Back End'!D:D=D1424)"),"Simhadri Puram")</f>
        <v>Simhadri Puram</v>
      </c>
      <c r="D1424" s="91" t="s">
        <v>247</v>
      </c>
      <c r="E1424" s="91" t="s">
        <v>4981</v>
      </c>
      <c r="F1424" s="91" t="s">
        <v>139</v>
      </c>
      <c r="G1424" s="91" t="s">
        <v>594</v>
      </c>
      <c r="H1424" s="93" t="s">
        <v>5</v>
      </c>
      <c r="I1424" s="67"/>
      <c r="J1424" s="92">
        <v>7731804829</v>
      </c>
      <c r="K1424" s="67"/>
      <c r="L1424" s="67"/>
      <c r="M1424" s="67"/>
      <c r="N1424" s="67"/>
      <c r="O1424" s="67"/>
    </row>
    <row r="1425" spans="1:15" ht="15">
      <c r="A1425" s="91" t="s">
        <v>19</v>
      </c>
      <c r="B1425" s="91" t="s">
        <v>220</v>
      </c>
      <c r="C1425" s="92" t="str">
        <f ca="1">IFERROR(__xludf.DUMMYFUNCTION("filter('Back End'!C:C,'Back End'!A:A=A1425,'Back End'!B:B=B1425,'Back End'!D:D=D1425)"),"Simhadri Puram")</f>
        <v>Simhadri Puram</v>
      </c>
      <c r="D1425" s="91" t="s">
        <v>247</v>
      </c>
      <c r="E1425" s="91" t="s">
        <v>4982</v>
      </c>
      <c r="F1425" s="91" t="s">
        <v>139</v>
      </c>
      <c r="G1425" s="91" t="s">
        <v>594</v>
      </c>
      <c r="H1425" s="93" t="s">
        <v>5</v>
      </c>
      <c r="I1425" s="67"/>
      <c r="J1425" s="92">
        <v>8341254784</v>
      </c>
      <c r="K1425" s="67"/>
      <c r="L1425" s="67"/>
      <c r="M1425" s="67"/>
      <c r="N1425" s="67"/>
      <c r="O1425" s="67"/>
    </row>
    <row r="1426" spans="1:15" ht="15">
      <c r="A1426" s="91" t="s">
        <v>19</v>
      </c>
      <c r="B1426" s="91" t="s">
        <v>220</v>
      </c>
      <c r="C1426" s="92" t="str">
        <f ca="1">IFERROR(__xludf.DUMMYFUNCTION("filter('Back End'!C:C,'Back End'!A:A=A1426,'Back End'!B:B=B1426,'Back End'!D:D=D1426)"),"Simhadri Puram")</f>
        <v>Simhadri Puram</v>
      </c>
      <c r="D1426" s="91" t="s">
        <v>247</v>
      </c>
      <c r="E1426" s="91" t="s">
        <v>4983</v>
      </c>
      <c r="F1426" s="91" t="s">
        <v>139</v>
      </c>
      <c r="G1426" s="91" t="s">
        <v>594</v>
      </c>
      <c r="H1426" s="93" t="s">
        <v>5</v>
      </c>
      <c r="I1426" s="67"/>
      <c r="J1426" s="92">
        <v>9542568882</v>
      </c>
      <c r="K1426" s="67"/>
      <c r="L1426" s="67"/>
      <c r="M1426" s="67"/>
      <c r="N1426" s="67"/>
      <c r="O1426" s="67"/>
    </row>
    <row r="1427" spans="1:15" ht="15">
      <c r="A1427" s="91" t="s">
        <v>19</v>
      </c>
      <c r="B1427" s="91" t="s">
        <v>220</v>
      </c>
      <c r="C1427" s="92" t="str">
        <f ca="1">IFERROR(__xludf.DUMMYFUNCTION("filter('Back End'!C:C,'Back End'!A:A=A1427,'Back End'!B:B=B1427,'Back End'!D:D=D1427)"),"Simhadri Puram")</f>
        <v>Simhadri Puram</v>
      </c>
      <c r="D1427" s="91" t="s">
        <v>247</v>
      </c>
      <c r="E1427" s="91" t="s">
        <v>4984</v>
      </c>
      <c r="F1427" s="91" t="s">
        <v>467</v>
      </c>
      <c r="G1427" s="91" t="s">
        <v>85</v>
      </c>
      <c r="H1427" s="93" t="s">
        <v>5</v>
      </c>
      <c r="I1427" s="67"/>
      <c r="J1427" s="92">
        <v>9494543872</v>
      </c>
      <c r="K1427" s="67"/>
      <c r="L1427" s="67"/>
      <c r="M1427" s="67"/>
      <c r="N1427" s="67"/>
      <c r="O1427" s="67"/>
    </row>
    <row r="1428" spans="1:15" ht="16.5">
      <c r="A1428" s="91" t="s">
        <v>19</v>
      </c>
      <c r="B1428" s="91" t="s">
        <v>220</v>
      </c>
      <c r="C1428" s="92" t="s">
        <v>199</v>
      </c>
      <c r="D1428" s="111" t="s">
        <v>199</v>
      </c>
      <c r="E1428" s="91" t="s">
        <v>4985</v>
      </c>
      <c r="F1428" s="91" t="s">
        <v>139</v>
      </c>
      <c r="G1428" s="91" t="s">
        <v>594</v>
      </c>
      <c r="H1428" s="93" t="s">
        <v>5</v>
      </c>
      <c r="I1428" s="92" t="s">
        <v>3112</v>
      </c>
      <c r="J1428" s="92">
        <v>9441489467</v>
      </c>
      <c r="K1428" s="67"/>
      <c r="L1428" s="67"/>
      <c r="M1428" s="67"/>
      <c r="N1428" s="67"/>
      <c r="O1428" s="67"/>
    </row>
    <row r="1429" spans="1:15" ht="30.4">
      <c r="A1429" s="91" t="s">
        <v>19</v>
      </c>
      <c r="B1429" s="91" t="s">
        <v>220</v>
      </c>
      <c r="C1429" s="92" t="s">
        <v>89</v>
      </c>
      <c r="D1429" s="111" t="s">
        <v>89</v>
      </c>
      <c r="E1429" s="91" t="s">
        <v>4986</v>
      </c>
      <c r="F1429" s="91" t="s">
        <v>1646</v>
      </c>
      <c r="G1429" s="91" t="s">
        <v>615</v>
      </c>
      <c r="H1429" s="93" t="s">
        <v>5</v>
      </c>
      <c r="I1429" s="92" t="s">
        <v>3634</v>
      </c>
      <c r="J1429" s="92">
        <v>9640444640</v>
      </c>
      <c r="K1429" s="67"/>
      <c r="L1429" s="67"/>
      <c r="M1429" s="67"/>
      <c r="N1429" s="67"/>
      <c r="O1429" s="67"/>
    </row>
    <row r="1430" spans="1:15" ht="15">
      <c r="A1430" s="91" t="s">
        <v>19</v>
      </c>
      <c r="B1430" s="91" t="s">
        <v>220</v>
      </c>
      <c r="C1430" s="92" t="str">
        <f ca="1">IFERROR(__xludf.DUMMYFUNCTION("filter('Back End'!C:C,'Back End'!A:A=A1430,'Back End'!B:B=B1430,'Back End'!D:D=D1430)"),"Simhadri Puram")</f>
        <v>Simhadri Puram</v>
      </c>
      <c r="D1430" s="91" t="s">
        <v>247</v>
      </c>
      <c r="E1430" s="91" t="s">
        <v>4987</v>
      </c>
      <c r="F1430" s="67" t="s">
        <v>3138</v>
      </c>
      <c r="G1430" s="67"/>
      <c r="H1430" s="93" t="s">
        <v>5</v>
      </c>
      <c r="I1430" s="67"/>
      <c r="J1430" s="92">
        <v>8328281209</v>
      </c>
      <c r="K1430" s="67"/>
      <c r="L1430" s="67"/>
      <c r="M1430" s="67"/>
      <c r="N1430" s="67"/>
      <c r="O1430" s="67"/>
    </row>
    <row r="1431" spans="1:15" ht="15">
      <c r="A1431" s="91" t="s">
        <v>19</v>
      </c>
      <c r="B1431" s="91" t="s">
        <v>220</v>
      </c>
      <c r="C1431" s="92" t="str">
        <f ca="1">IFERROR(__xludf.DUMMYFUNCTION("filter('Back End'!C:C,'Back End'!A:A=A1431,'Back End'!B:B=B1431,'Back End'!D:D=D1431)"),"Simhadri Puram")</f>
        <v>Simhadri Puram</v>
      </c>
      <c r="D1431" s="91" t="s">
        <v>247</v>
      </c>
      <c r="E1431" s="91" t="s">
        <v>4988</v>
      </c>
      <c r="F1431" s="67" t="s">
        <v>3138</v>
      </c>
      <c r="G1431" s="67"/>
      <c r="H1431" s="93" t="s">
        <v>5</v>
      </c>
      <c r="I1431" s="67"/>
      <c r="J1431" s="92">
        <v>9502001241</v>
      </c>
      <c r="K1431" s="67"/>
      <c r="L1431" s="67"/>
      <c r="M1431" s="67"/>
      <c r="N1431" s="67"/>
      <c r="O1431" s="67"/>
    </row>
    <row r="1432" spans="1:15" ht="15">
      <c r="A1432" s="91" t="s">
        <v>19</v>
      </c>
      <c r="B1432" s="91" t="s">
        <v>220</v>
      </c>
      <c r="C1432" s="92" t="str">
        <f ca="1">IFERROR(__xludf.DUMMYFUNCTION("filter('Back End'!C:C,'Back End'!A:A=A1432,'Back End'!B:B=B1432,'Back End'!D:D=D1432)"),"Simhadri Puram")</f>
        <v>Simhadri Puram</v>
      </c>
      <c r="D1432" s="91" t="s">
        <v>247</v>
      </c>
      <c r="E1432" s="91" t="s">
        <v>4989</v>
      </c>
      <c r="F1432" s="67" t="s">
        <v>3138</v>
      </c>
      <c r="G1432" s="67"/>
      <c r="H1432" s="93" t="s">
        <v>5</v>
      </c>
      <c r="I1432" s="67"/>
      <c r="J1432" s="92">
        <v>9502503950</v>
      </c>
      <c r="K1432" s="67"/>
      <c r="L1432" s="67"/>
      <c r="M1432" s="67"/>
      <c r="N1432" s="67"/>
      <c r="O1432" s="67"/>
    </row>
    <row r="1433" spans="1:15" ht="15">
      <c r="A1433" s="91" t="s">
        <v>19</v>
      </c>
      <c r="B1433" s="91" t="s">
        <v>220</v>
      </c>
      <c r="C1433" s="92" t="str">
        <f ca="1">IFERROR(__xludf.DUMMYFUNCTION("filter('Back End'!C:C,'Back End'!A:A=A1433,'Back End'!B:B=B1433,'Back End'!D:D=D1433)"),"Simhadri Puram")</f>
        <v>Simhadri Puram</v>
      </c>
      <c r="D1433" s="91" t="s">
        <v>247</v>
      </c>
      <c r="E1433" s="91" t="s">
        <v>4990</v>
      </c>
      <c r="F1433" s="91" t="s">
        <v>114</v>
      </c>
      <c r="G1433" s="91" t="s">
        <v>85</v>
      </c>
      <c r="H1433" s="93" t="s">
        <v>5</v>
      </c>
      <c r="I1433" s="92" t="s">
        <v>3112</v>
      </c>
      <c r="J1433" s="92">
        <v>9346153477</v>
      </c>
      <c r="K1433" s="67"/>
      <c r="L1433" s="67"/>
      <c r="M1433" s="67"/>
      <c r="N1433" s="67"/>
      <c r="O1433" s="67"/>
    </row>
    <row r="1434" spans="1:15" ht="15">
      <c r="A1434" s="91" t="s">
        <v>19</v>
      </c>
      <c r="B1434" s="91" t="s">
        <v>220</v>
      </c>
      <c r="C1434" s="92" t="str">
        <f ca="1">IFERROR(__xludf.DUMMYFUNCTION("filter('Back End'!C:C,'Back End'!A:A=A1434,'Back End'!B:B=B1434,'Back End'!D:D=D1434)"),"Simhadri Puram")</f>
        <v>Simhadri Puram</v>
      </c>
      <c r="D1434" s="91" t="s">
        <v>247</v>
      </c>
      <c r="E1434" s="91" t="s">
        <v>4991</v>
      </c>
      <c r="F1434" s="91" t="s">
        <v>139</v>
      </c>
      <c r="G1434" s="91" t="s">
        <v>594</v>
      </c>
      <c r="H1434" s="93" t="s">
        <v>5</v>
      </c>
      <c r="I1434" s="67"/>
      <c r="J1434" s="92">
        <v>7989931548</v>
      </c>
      <c r="K1434" s="67"/>
      <c r="L1434" s="67"/>
      <c r="M1434" s="67"/>
      <c r="N1434" s="67"/>
      <c r="O1434" s="67"/>
    </row>
    <row r="1435" spans="1:15" ht="15">
      <c r="A1435" s="91" t="s">
        <v>19</v>
      </c>
      <c r="B1435" s="91" t="s">
        <v>220</v>
      </c>
      <c r="C1435" s="92" t="str">
        <f ca="1">IFERROR(__xludf.DUMMYFUNCTION("filter('Back End'!C:C,'Back End'!A:A=A1435,'Back End'!B:B=B1435,'Back End'!D:D=D1435)"),"Simhadri Puram")</f>
        <v>Simhadri Puram</v>
      </c>
      <c r="D1435" s="91" t="s">
        <v>247</v>
      </c>
      <c r="E1435" s="91" t="s">
        <v>4992</v>
      </c>
      <c r="F1435" s="91" t="s">
        <v>139</v>
      </c>
      <c r="G1435" s="91" t="s">
        <v>594</v>
      </c>
      <c r="H1435" s="93" t="s">
        <v>5</v>
      </c>
      <c r="I1435" s="67"/>
      <c r="J1435" s="92">
        <v>9705245888</v>
      </c>
      <c r="K1435" s="67"/>
      <c r="L1435" s="67"/>
      <c r="M1435" s="67"/>
      <c r="N1435" s="67"/>
      <c r="O1435" s="67"/>
    </row>
    <row r="1436" spans="1:15" ht="15">
      <c r="A1436" s="91" t="s">
        <v>19</v>
      </c>
      <c r="B1436" s="91" t="s">
        <v>220</v>
      </c>
      <c r="C1436" s="92" t="str">
        <f ca="1">IFERROR(__xludf.DUMMYFUNCTION("filter('Back End'!C:C,'Back End'!A:A=A1436,'Back End'!B:B=B1436,'Back End'!D:D=D1436)"),"Simhadri Puram")</f>
        <v>Simhadri Puram</v>
      </c>
      <c r="D1436" s="91" t="s">
        <v>247</v>
      </c>
      <c r="E1436" s="91" t="s">
        <v>4993</v>
      </c>
      <c r="F1436" s="67" t="s">
        <v>3138</v>
      </c>
      <c r="G1436" s="67"/>
      <c r="H1436" s="93" t="s">
        <v>5</v>
      </c>
      <c r="I1436" s="67"/>
      <c r="J1436" s="92">
        <v>9676122236</v>
      </c>
      <c r="K1436" s="67"/>
      <c r="L1436" s="67"/>
      <c r="M1436" s="67"/>
      <c r="N1436" s="67"/>
      <c r="O1436" s="67"/>
    </row>
    <row r="1437" spans="1:15" ht="15">
      <c r="A1437" s="91" t="s">
        <v>19</v>
      </c>
      <c r="B1437" s="91" t="s">
        <v>220</v>
      </c>
      <c r="C1437" s="92" t="str">
        <f ca="1">IFERROR(__xludf.DUMMYFUNCTION("filter('Back End'!C:C,'Back End'!A:A=A1437,'Back End'!B:B=B1437,'Back End'!D:D=D1437)"),"Simhadri Puram")</f>
        <v>Simhadri Puram</v>
      </c>
      <c r="D1437" s="91" t="s">
        <v>247</v>
      </c>
      <c r="E1437" s="91" t="s">
        <v>4994</v>
      </c>
      <c r="F1437" s="91" t="s">
        <v>154</v>
      </c>
      <c r="G1437" s="91" t="s">
        <v>615</v>
      </c>
      <c r="H1437" s="93" t="s">
        <v>5</v>
      </c>
      <c r="I1437" s="67"/>
      <c r="J1437" s="92">
        <v>9000520819</v>
      </c>
      <c r="K1437" s="67"/>
      <c r="L1437" s="67"/>
      <c r="M1437" s="67"/>
      <c r="N1437" s="67"/>
      <c r="O1437" s="67"/>
    </row>
    <row r="1438" spans="1:15" ht="15">
      <c r="A1438" s="91" t="s">
        <v>19</v>
      </c>
      <c r="B1438" s="91" t="s">
        <v>220</v>
      </c>
      <c r="C1438" s="92" t="str">
        <f ca="1">IFERROR(__xludf.DUMMYFUNCTION("filter('Back End'!C:C,'Back End'!A:A=A1438,'Back End'!B:B=B1438,'Back End'!D:D=D1438)"),"Simhadri Puram")</f>
        <v>Simhadri Puram</v>
      </c>
      <c r="D1438" s="91" t="s">
        <v>247</v>
      </c>
      <c r="E1438" s="91" t="s">
        <v>4995</v>
      </c>
      <c r="F1438" s="91" t="s">
        <v>139</v>
      </c>
      <c r="G1438" s="91" t="s">
        <v>594</v>
      </c>
      <c r="H1438" s="93" t="s">
        <v>5</v>
      </c>
      <c r="I1438" s="67"/>
      <c r="J1438" s="92">
        <v>9966826300</v>
      </c>
      <c r="K1438" s="67"/>
      <c r="L1438" s="67"/>
      <c r="M1438" s="67"/>
      <c r="N1438" s="67"/>
      <c r="O1438" s="67"/>
    </row>
    <row r="1439" spans="1:15" ht="15">
      <c r="A1439" s="91" t="s">
        <v>19</v>
      </c>
      <c r="B1439" s="91" t="s">
        <v>220</v>
      </c>
      <c r="C1439" s="92" t="str">
        <f ca="1">IFERROR(__xludf.DUMMYFUNCTION("filter('Back End'!C:C,'Back End'!A:A=A1439,'Back End'!B:B=B1439,'Back End'!D:D=D1439)"),"Simhadri Puram")</f>
        <v>Simhadri Puram</v>
      </c>
      <c r="D1439" s="91" t="s">
        <v>247</v>
      </c>
      <c r="E1439" s="91" t="s">
        <v>4996</v>
      </c>
      <c r="F1439" s="67" t="s">
        <v>3138</v>
      </c>
      <c r="G1439" s="67"/>
      <c r="H1439" s="93" t="s">
        <v>5</v>
      </c>
      <c r="I1439" s="67"/>
      <c r="J1439" s="92">
        <v>9705531405</v>
      </c>
      <c r="K1439" s="67"/>
      <c r="L1439" s="67"/>
      <c r="M1439" s="67"/>
      <c r="N1439" s="67"/>
      <c r="O1439" s="67"/>
    </row>
    <row r="1440" spans="1:15" ht="15">
      <c r="A1440" s="91" t="s">
        <v>19</v>
      </c>
      <c r="B1440" s="91" t="s">
        <v>220</v>
      </c>
      <c r="C1440" s="92" t="str">
        <f ca="1">IFERROR(__xludf.DUMMYFUNCTION("filter('Back End'!C:C,'Back End'!A:A=A1440,'Back End'!B:B=B1440,'Back End'!D:D=D1440)"),"Simhadri Puram")</f>
        <v>Simhadri Puram</v>
      </c>
      <c r="D1440" s="91" t="s">
        <v>247</v>
      </c>
      <c r="E1440" s="91" t="s">
        <v>4997</v>
      </c>
      <c r="F1440" s="91" t="s">
        <v>139</v>
      </c>
      <c r="G1440" s="91" t="s">
        <v>594</v>
      </c>
      <c r="H1440" s="93" t="s">
        <v>5</v>
      </c>
      <c r="I1440" s="67"/>
      <c r="J1440" s="92">
        <v>9666855611</v>
      </c>
      <c r="K1440" s="67"/>
      <c r="L1440" s="67"/>
      <c r="M1440" s="67"/>
      <c r="N1440" s="67"/>
      <c r="O1440" s="67"/>
    </row>
    <row r="1441" spans="1:15" ht="15">
      <c r="A1441" s="91" t="s">
        <v>19</v>
      </c>
      <c r="B1441" s="91" t="s">
        <v>220</v>
      </c>
      <c r="C1441" s="92" t="str">
        <f ca="1">IFERROR(__xludf.DUMMYFUNCTION("filter('Back End'!C:C,'Back End'!A:A=A1441,'Back End'!B:B=B1441,'Back End'!D:D=D1441)"),"Simhadri Puram")</f>
        <v>Simhadri Puram</v>
      </c>
      <c r="D1441" s="91" t="s">
        <v>247</v>
      </c>
      <c r="E1441" s="91" t="s">
        <v>4998</v>
      </c>
      <c r="F1441" s="67" t="s">
        <v>3138</v>
      </c>
      <c r="G1441" s="67"/>
      <c r="H1441" s="93" t="s">
        <v>5</v>
      </c>
      <c r="I1441" s="67"/>
      <c r="J1441" s="92">
        <v>8885299159</v>
      </c>
      <c r="K1441" s="67"/>
      <c r="L1441" s="67"/>
      <c r="M1441" s="67"/>
      <c r="N1441" s="67"/>
      <c r="O1441" s="67"/>
    </row>
    <row r="1442" spans="1:15" ht="15">
      <c r="A1442" s="91" t="s">
        <v>19</v>
      </c>
      <c r="B1442" s="91" t="s">
        <v>220</v>
      </c>
      <c r="C1442" s="92" t="str">
        <f ca="1">IFERROR(__xludf.DUMMYFUNCTION("filter('Back End'!C:C,'Back End'!A:A=A1442,'Back End'!B:B=B1442,'Back End'!D:D=D1442)"),"Simhadri Puram")</f>
        <v>Simhadri Puram</v>
      </c>
      <c r="D1442" s="91" t="s">
        <v>247</v>
      </c>
      <c r="E1442" s="91" t="s">
        <v>4999</v>
      </c>
      <c r="F1442" s="67" t="s">
        <v>3138</v>
      </c>
      <c r="G1442" s="67"/>
      <c r="H1442" s="93" t="s">
        <v>5</v>
      </c>
      <c r="I1442" s="67"/>
      <c r="J1442" s="92">
        <v>9912661019</v>
      </c>
      <c r="K1442" s="67"/>
      <c r="L1442" s="67"/>
      <c r="M1442" s="67"/>
      <c r="N1442" s="67"/>
      <c r="O1442" s="67"/>
    </row>
    <row r="1443" spans="1:15" ht="15">
      <c r="A1443" s="91" t="s">
        <v>19</v>
      </c>
      <c r="B1443" s="91" t="s">
        <v>220</v>
      </c>
      <c r="C1443" s="92" t="str">
        <f ca="1">IFERROR(__xludf.DUMMYFUNCTION("filter('Back End'!C:C,'Back End'!A:A=A1443,'Back End'!B:B=B1443,'Back End'!D:D=D1443)"),"Simhadri Puram")</f>
        <v>Simhadri Puram</v>
      </c>
      <c r="D1443" s="91" t="s">
        <v>247</v>
      </c>
      <c r="E1443" s="91" t="s">
        <v>5000</v>
      </c>
      <c r="F1443" s="67" t="s">
        <v>3138</v>
      </c>
      <c r="G1443" s="67"/>
      <c r="H1443" s="93" t="s">
        <v>5</v>
      </c>
      <c r="I1443" s="67"/>
      <c r="J1443" s="92">
        <v>8500500454</v>
      </c>
      <c r="K1443" s="67"/>
      <c r="L1443" s="67"/>
      <c r="M1443" s="67"/>
      <c r="N1443" s="67"/>
      <c r="O1443" s="67"/>
    </row>
    <row r="1444" spans="1:15" ht="15">
      <c r="A1444" s="91" t="s">
        <v>19</v>
      </c>
      <c r="B1444" s="91" t="s">
        <v>220</v>
      </c>
      <c r="C1444" s="92" t="str">
        <f ca="1">IFERROR(__xludf.DUMMYFUNCTION("filter('Back End'!C:C,'Back End'!A:A=A1444,'Back End'!B:B=B1444,'Back End'!D:D=D1444)"),"Simhadri Puram")</f>
        <v>Simhadri Puram</v>
      </c>
      <c r="D1444" s="91" t="s">
        <v>247</v>
      </c>
      <c r="E1444" s="91" t="s">
        <v>5001</v>
      </c>
      <c r="F1444" s="91" t="s">
        <v>1669</v>
      </c>
      <c r="G1444" s="91" t="s">
        <v>615</v>
      </c>
      <c r="H1444" s="93" t="s">
        <v>5</v>
      </c>
      <c r="I1444" s="67"/>
      <c r="J1444" s="92">
        <v>9951738474</v>
      </c>
      <c r="K1444" s="67"/>
      <c r="L1444" s="67"/>
      <c r="M1444" s="67"/>
      <c r="N1444" s="67"/>
      <c r="O1444" s="67"/>
    </row>
    <row r="1445" spans="1:15" ht="15">
      <c r="A1445" s="91" t="s">
        <v>19</v>
      </c>
      <c r="B1445" s="91" t="s">
        <v>220</v>
      </c>
      <c r="C1445" s="92" t="str">
        <f ca="1">IFERROR(__xludf.DUMMYFUNCTION("filter('Back End'!C:C,'Back End'!A:A=A1445,'Back End'!B:B=B1445,'Back End'!D:D=D1445)"),"Simhadri Puram")</f>
        <v>Simhadri Puram</v>
      </c>
      <c r="D1445" s="91" t="s">
        <v>247</v>
      </c>
      <c r="E1445" s="91" t="s">
        <v>5002</v>
      </c>
      <c r="F1445" s="91" t="s">
        <v>1669</v>
      </c>
      <c r="G1445" s="91" t="s">
        <v>615</v>
      </c>
      <c r="H1445" s="93" t="s">
        <v>5</v>
      </c>
      <c r="I1445" s="67"/>
      <c r="J1445" s="92">
        <v>9951791990</v>
      </c>
      <c r="K1445" s="67"/>
      <c r="L1445" s="67"/>
      <c r="M1445" s="67"/>
      <c r="N1445" s="67"/>
      <c r="O1445" s="67"/>
    </row>
    <row r="1446" spans="1:15" ht="15">
      <c r="A1446" s="91" t="s">
        <v>19</v>
      </c>
      <c r="B1446" s="91" t="s">
        <v>220</v>
      </c>
      <c r="C1446" s="92" t="str">
        <f ca="1">IFERROR(__xludf.DUMMYFUNCTION("filter('Back End'!C:C,'Back End'!A:A=A1446,'Back End'!B:B=B1446,'Back End'!D:D=D1446)"),"Simhadri Puram")</f>
        <v>Simhadri Puram</v>
      </c>
      <c r="D1446" s="91" t="s">
        <v>247</v>
      </c>
      <c r="E1446" s="91" t="s">
        <v>5003</v>
      </c>
      <c r="F1446" s="91" t="s">
        <v>437</v>
      </c>
      <c r="G1446" s="91" t="s">
        <v>594</v>
      </c>
      <c r="H1446" s="93" t="s">
        <v>5</v>
      </c>
      <c r="I1446" s="67"/>
      <c r="J1446" s="92">
        <v>9848192182</v>
      </c>
      <c r="K1446" s="67"/>
      <c r="L1446" s="67"/>
      <c r="M1446" s="67"/>
      <c r="N1446" s="67"/>
      <c r="O1446" s="67"/>
    </row>
    <row r="1447" spans="1:15" ht="15">
      <c r="A1447" s="91" t="s">
        <v>19</v>
      </c>
      <c r="B1447" s="91" t="s">
        <v>220</v>
      </c>
      <c r="C1447" s="92" t="str">
        <f ca="1">IFERROR(__xludf.DUMMYFUNCTION("filter('Back End'!C:C,'Back End'!A:A=A1447,'Back End'!B:B=B1447,'Back End'!D:D=D1447)"),"Simhadri Puram")</f>
        <v>Simhadri Puram</v>
      </c>
      <c r="D1447" s="91" t="s">
        <v>247</v>
      </c>
      <c r="E1447" s="91" t="s">
        <v>5004</v>
      </c>
      <c r="F1447" s="91" t="s">
        <v>139</v>
      </c>
      <c r="G1447" s="91" t="s">
        <v>594</v>
      </c>
      <c r="H1447" s="93" t="s">
        <v>5</v>
      </c>
      <c r="I1447" s="67"/>
      <c r="J1447" s="92">
        <v>9160781234</v>
      </c>
      <c r="K1447" s="67"/>
      <c r="L1447" s="67"/>
      <c r="M1447" s="67"/>
      <c r="N1447" s="67"/>
      <c r="O1447" s="67"/>
    </row>
    <row r="1448" spans="1:15" ht="15">
      <c r="A1448" s="91" t="s">
        <v>19</v>
      </c>
      <c r="B1448" s="91" t="s">
        <v>220</v>
      </c>
      <c r="C1448" s="92" t="str">
        <f ca="1">IFERROR(__xludf.DUMMYFUNCTION("filter('Back End'!C:C,'Back End'!A:A=A1448,'Back End'!B:B=B1448,'Back End'!D:D=D1448)"),"Simhadri Puram")</f>
        <v>Simhadri Puram</v>
      </c>
      <c r="D1448" s="91" t="s">
        <v>247</v>
      </c>
      <c r="E1448" s="91" t="s">
        <v>5005</v>
      </c>
      <c r="F1448" s="91" t="s">
        <v>139</v>
      </c>
      <c r="G1448" s="91" t="s">
        <v>594</v>
      </c>
      <c r="H1448" s="93" t="s">
        <v>5</v>
      </c>
      <c r="I1448" s="67"/>
      <c r="J1448" s="92">
        <v>9931687154</v>
      </c>
      <c r="K1448" s="67"/>
      <c r="L1448" s="67"/>
      <c r="M1448" s="67"/>
      <c r="N1448" s="67"/>
      <c r="O1448" s="67"/>
    </row>
    <row r="1449" spans="1:15" ht="15">
      <c r="A1449" s="91" t="s">
        <v>19</v>
      </c>
      <c r="B1449" s="91" t="s">
        <v>220</v>
      </c>
      <c r="C1449" s="92" t="str">
        <f ca="1">IFERROR(__xludf.DUMMYFUNCTION("filter('Back End'!C:C,'Back End'!A:A=A1449,'Back End'!B:B=B1449,'Back End'!D:D=D1449)"),"Simhadri Puram")</f>
        <v>Simhadri Puram</v>
      </c>
      <c r="D1449" s="91" t="s">
        <v>247</v>
      </c>
      <c r="E1449" s="91" t="s">
        <v>5006</v>
      </c>
      <c r="F1449" s="67" t="s">
        <v>3138</v>
      </c>
      <c r="G1449" s="67"/>
      <c r="H1449" s="93" t="s">
        <v>5</v>
      </c>
      <c r="I1449" s="67"/>
      <c r="J1449" s="92">
        <v>9493842677</v>
      </c>
      <c r="K1449" s="67"/>
      <c r="L1449" s="67"/>
      <c r="M1449" s="67"/>
      <c r="N1449" s="67"/>
      <c r="O1449" s="67"/>
    </row>
    <row r="1450" spans="1:15" ht="15">
      <c r="A1450" s="91" t="s">
        <v>19</v>
      </c>
      <c r="B1450" s="91" t="s">
        <v>220</v>
      </c>
      <c r="C1450" s="92" t="str">
        <f ca="1">IFERROR(__xludf.DUMMYFUNCTION("filter('Back End'!C:C,'Back End'!A:A=A1450,'Back End'!B:B=B1450,'Back End'!D:D=D1450)"),"Simhadri Puram")</f>
        <v>Simhadri Puram</v>
      </c>
      <c r="D1450" s="91" t="s">
        <v>247</v>
      </c>
      <c r="E1450" s="91" t="s">
        <v>5007</v>
      </c>
      <c r="F1450" s="67" t="s">
        <v>3138</v>
      </c>
      <c r="G1450" s="67"/>
      <c r="H1450" s="93" t="s">
        <v>5</v>
      </c>
      <c r="I1450" s="67"/>
      <c r="J1450" s="92">
        <v>9505415559</v>
      </c>
      <c r="K1450" s="67"/>
      <c r="L1450" s="67"/>
      <c r="M1450" s="67"/>
      <c r="N1450" s="67"/>
      <c r="O1450" s="67"/>
    </row>
    <row r="1451" spans="1:15" ht="15">
      <c r="A1451" s="91" t="s">
        <v>19</v>
      </c>
      <c r="B1451" s="91" t="s">
        <v>220</v>
      </c>
      <c r="C1451" s="92" t="str">
        <f ca="1">IFERROR(__xludf.DUMMYFUNCTION("filter('Back End'!C:C,'Back End'!A:A=A1451,'Back End'!B:B=B1451,'Back End'!D:D=D1451)"),"Simhadri Puram")</f>
        <v>Simhadri Puram</v>
      </c>
      <c r="D1451" s="91" t="s">
        <v>247</v>
      </c>
      <c r="E1451" s="91" t="s">
        <v>5008</v>
      </c>
      <c r="F1451" s="67" t="s">
        <v>3138</v>
      </c>
      <c r="G1451" s="67"/>
      <c r="H1451" s="93" t="s">
        <v>5</v>
      </c>
      <c r="I1451" s="67"/>
      <c r="J1451" s="92">
        <v>9848036506</v>
      </c>
      <c r="K1451" s="67"/>
      <c r="L1451" s="67"/>
      <c r="M1451" s="67"/>
      <c r="N1451" s="67"/>
      <c r="O1451" s="67"/>
    </row>
    <row r="1452" spans="1:15" ht="15">
      <c r="A1452" s="91" t="s">
        <v>19</v>
      </c>
      <c r="B1452" s="91" t="s">
        <v>220</v>
      </c>
      <c r="C1452" s="92" t="str">
        <f ca="1">IFERROR(__xludf.DUMMYFUNCTION("filter('Back End'!C:C,'Back End'!A:A=A1452,'Back End'!B:B=B1452,'Back End'!D:D=D1452)"),"Simhadri Puram")</f>
        <v>Simhadri Puram</v>
      </c>
      <c r="D1452" s="91" t="s">
        <v>247</v>
      </c>
      <c r="E1452" s="91" t="s">
        <v>5009</v>
      </c>
      <c r="F1452" s="67" t="s">
        <v>3138</v>
      </c>
      <c r="G1452" s="67"/>
      <c r="H1452" s="93" t="s">
        <v>5</v>
      </c>
      <c r="I1452" s="67"/>
      <c r="J1452" s="92">
        <v>9848138165</v>
      </c>
      <c r="K1452" s="67"/>
      <c r="L1452" s="67"/>
      <c r="M1452" s="67"/>
      <c r="N1452" s="67"/>
      <c r="O1452" s="67"/>
    </row>
    <row r="1453" spans="1:15" ht="15">
      <c r="A1453" s="91" t="s">
        <v>19</v>
      </c>
      <c r="B1453" s="91" t="s">
        <v>220</v>
      </c>
      <c r="C1453" s="92" t="str">
        <f ca="1">IFERROR(__xludf.DUMMYFUNCTION("filter('Back End'!C:C,'Back End'!A:A=A1453,'Back End'!B:B=B1453,'Back End'!D:D=D1453)"),"Simhadri Puram")</f>
        <v>Simhadri Puram</v>
      </c>
      <c r="D1453" s="91" t="s">
        <v>247</v>
      </c>
      <c r="E1453" s="91" t="s">
        <v>5010</v>
      </c>
      <c r="F1453" s="91" t="s">
        <v>114</v>
      </c>
      <c r="G1453" s="91" t="s">
        <v>85</v>
      </c>
      <c r="H1453" s="93" t="s">
        <v>5</v>
      </c>
      <c r="I1453" s="67"/>
      <c r="J1453" s="92">
        <v>8985097814</v>
      </c>
      <c r="K1453" s="67"/>
      <c r="L1453" s="67"/>
      <c r="M1453" s="67"/>
      <c r="N1453" s="67"/>
      <c r="O1453" s="67"/>
    </row>
    <row r="1454" spans="1:15" ht="15">
      <c r="A1454" s="91" t="s">
        <v>19</v>
      </c>
      <c r="B1454" s="91" t="s">
        <v>220</v>
      </c>
      <c r="C1454" s="92" t="str">
        <f ca="1">IFERROR(__xludf.DUMMYFUNCTION("filter('Back End'!C:C,'Back End'!A:A=A1454,'Back End'!B:B=B1454,'Back End'!D:D=D1454)"),"Simhadri Puram")</f>
        <v>Simhadri Puram</v>
      </c>
      <c r="D1454" s="91" t="s">
        <v>247</v>
      </c>
      <c r="E1454" s="91" t="s">
        <v>5011</v>
      </c>
      <c r="F1454" s="67" t="s">
        <v>3138</v>
      </c>
      <c r="G1454" s="67"/>
      <c r="H1454" s="93" t="s">
        <v>5</v>
      </c>
      <c r="I1454" s="67"/>
      <c r="J1454" s="92">
        <v>8464993333</v>
      </c>
      <c r="K1454" s="67"/>
      <c r="L1454" s="67"/>
      <c r="M1454" s="67"/>
      <c r="N1454" s="67"/>
      <c r="O1454" s="67"/>
    </row>
    <row r="1455" spans="1:15" ht="15">
      <c r="A1455" s="91" t="s">
        <v>19</v>
      </c>
      <c r="B1455" s="91" t="s">
        <v>220</v>
      </c>
      <c r="C1455" s="92" t="str">
        <f ca="1">IFERROR(__xludf.DUMMYFUNCTION("filter('Back End'!C:C,'Back End'!A:A=A1455,'Back End'!B:B=B1455,'Back End'!D:D=D1455)"),"Simhadri Puram")</f>
        <v>Simhadri Puram</v>
      </c>
      <c r="D1455" s="91" t="s">
        <v>247</v>
      </c>
      <c r="E1455" s="91" t="s">
        <v>5012</v>
      </c>
      <c r="F1455" s="91" t="s">
        <v>139</v>
      </c>
      <c r="G1455" s="91" t="s">
        <v>594</v>
      </c>
      <c r="H1455" s="93" t="s">
        <v>5</v>
      </c>
      <c r="I1455" s="67"/>
      <c r="J1455" s="92">
        <v>8886521293</v>
      </c>
      <c r="K1455" s="67"/>
      <c r="L1455" s="67"/>
      <c r="M1455" s="67"/>
      <c r="N1455" s="67"/>
      <c r="O1455" s="67"/>
    </row>
    <row r="1456" spans="1:15" ht="15">
      <c r="A1456" s="91" t="s">
        <v>19</v>
      </c>
      <c r="B1456" s="91" t="s">
        <v>220</v>
      </c>
      <c r="C1456" s="92" t="s">
        <v>247</v>
      </c>
      <c r="D1456" s="91" t="s">
        <v>247</v>
      </c>
      <c r="E1456" s="91" t="s">
        <v>5013</v>
      </c>
      <c r="F1456" s="91" t="s">
        <v>139</v>
      </c>
      <c r="G1456" s="91" t="s">
        <v>594</v>
      </c>
      <c r="H1456" s="93" t="s">
        <v>5</v>
      </c>
      <c r="I1456" s="92" t="s">
        <v>3112</v>
      </c>
      <c r="J1456" s="92">
        <v>96409993402</v>
      </c>
      <c r="K1456" s="67"/>
      <c r="L1456" s="67"/>
      <c r="M1456" s="67"/>
      <c r="N1456" s="67"/>
      <c r="O1456" s="67"/>
    </row>
    <row r="1457" spans="1:15" ht="15">
      <c r="A1457" s="91" t="s">
        <v>19</v>
      </c>
      <c r="B1457" s="91" t="s">
        <v>220</v>
      </c>
      <c r="C1457" s="92" t="str">
        <f ca="1">IFERROR(__xludf.DUMMYFUNCTION("filter('Back End'!C:C,'Back End'!A:A=A1457,'Back End'!B:B=B1457,'Back End'!D:D=D1457)"),"Simhadri Puram")</f>
        <v>Simhadri Puram</v>
      </c>
      <c r="D1457" s="91" t="s">
        <v>247</v>
      </c>
      <c r="E1457" s="91" t="s">
        <v>5014</v>
      </c>
      <c r="F1457" s="67" t="s">
        <v>3138</v>
      </c>
      <c r="G1457" s="67"/>
      <c r="H1457" s="93" t="s">
        <v>4</v>
      </c>
      <c r="I1457" s="92" t="s">
        <v>3125</v>
      </c>
      <c r="J1457" s="92">
        <v>9177766886</v>
      </c>
      <c r="K1457" s="67"/>
      <c r="L1457" s="67"/>
      <c r="M1457" s="67"/>
      <c r="N1457" s="67"/>
      <c r="O1457" s="67"/>
    </row>
    <row r="1458" spans="1:15" ht="15">
      <c r="A1458" s="91" t="s">
        <v>19</v>
      </c>
      <c r="B1458" s="91" t="s">
        <v>220</v>
      </c>
      <c r="C1458" s="92" t="str">
        <f ca="1">IFERROR(__xludf.DUMMYFUNCTION("filter('Back End'!C:C,'Back End'!A:A=A1458,'Back End'!B:B=B1458,'Back End'!D:D=D1458)"),"Simhadri Puram")</f>
        <v>Simhadri Puram</v>
      </c>
      <c r="D1458" s="91" t="s">
        <v>247</v>
      </c>
      <c r="E1458" s="91" t="s">
        <v>5015</v>
      </c>
      <c r="F1458" s="67" t="s">
        <v>3138</v>
      </c>
      <c r="G1458" s="67"/>
      <c r="H1458" s="93" t="s">
        <v>4</v>
      </c>
      <c r="I1458" s="67"/>
      <c r="J1458" s="92">
        <v>9951452167</v>
      </c>
      <c r="K1458" s="67"/>
      <c r="L1458" s="67"/>
      <c r="M1458" s="67"/>
      <c r="N1458" s="67"/>
      <c r="O1458" s="67"/>
    </row>
    <row r="1459" spans="1:15" ht="15">
      <c r="A1459" s="91" t="s">
        <v>19</v>
      </c>
      <c r="B1459" s="91" t="s">
        <v>220</v>
      </c>
      <c r="C1459" s="92" t="str">
        <f ca="1">IFERROR(__xludf.DUMMYFUNCTION("filter('Back End'!C:C,'Back End'!A:A=A1459,'Back End'!B:B=B1459,'Back End'!D:D=D1459)"),"Simhadri Puram")</f>
        <v>Simhadri Puram</v>
      </c>
      <c r="D1459" s="91" t="s">
        <v>247</v>
      </c>
      <c r="E1459" s="91" t="s">
        <v>5016</v>
      </c>
      <c r="F1459" s="67" t="s">
        <v>3138</v>
      </c>
      <c r="G1459" s="67"/>
      <c r="H1459" s="93" t="s">
        <v>4</v>
      </c>
      <c r="I1459" s="67"/>
      <c r="J1459" s="92">
        <v>9391668887</v>
      </c>
      <c r="K1459" s="67"/>
      <c r="L1459" s="67"/>
      <c r="M1459" s="67"/>
      <c r="N1459" s="67"/>
      <c r="O1459" s="67"/>
    </row>
    <row r="1460" spans="1:15" ht="30">
      <c r="A1460" s="101" t="s">
        <v>19</v>
      </c>
      <c r="B1460" s="102" t="s">
        <v>220</v>
      </c>
      <c r="C1460" s="102" t="str">
        <f ca="1">IFERROR(__xludf.DUMMYFUNCTION("filter('Back End'!C:C,'Back End'!A:A=A1460,'Back End'!B:B=B1460,'Back End'!D:D=D1460)"),"Simhadri Puram")</f>
        <v>Simhadri Puram</v>
      </c>
      <c r="D1460" s="93" t="s">
        <v>247</v>
      </c>
      <c r="E1460" s="102" t="s">
        <v>5017</v>
      </c>
      <c r="F1460" s="93" t="s">
        <v>139</v>
      </c>
      <c r="G1460" s="93" t="s">
        <v>594</v>
      </c>
      <c r="H1460" s="93" t="s">
        <v>5</v>
      </c>
      <c r="I1460" s="102" t="s">
        <v>5018</v>
      </c>
      <c r="J1460" s="102">
        <v>9849392222</v>
      </c>
      <c r="K1460" s="95"/>
      <c r="L1460" s="95"/>
      <c r="M1460" s="95"/>
      <c r="N1460" s="67"/>
      <c r="O1460" s="67"/>
    </row>
    <row r="1461" spans="1:15" ht="30">
      <c r="A1461" s="91" t="s">
        <v>19</v>
      </c>
      <c r="B1461" s="91" t="s">
        <v>220</v>
      </c>
      <c r="C1461" s="92" t="str">
        <f ca="1">IFERROR(__xludf.DUMMYFUNCTION("filter('Back End'!C:C,'Back End'!A:A=A1461,'Back End'!B:B=B1461,'Back End'!D:D=D1461)"),"Somanarayani Peta")</f>
        <v>Somanarayani Peta</v>
      </c>
      <c r="D1461" s="91" t="s">
        <v>249</v>
      </c>
      <c r="E1461" s="91" t="s">
        <v>5019</v>
      </c>
      <c r="F1461" s="67" t="s">
        <v>3138</v>
      </c>
      <c r="G1461" s="67"/>
      <c r="H1461" s="93" t="s">
        <v>4</v>
      </c>
      <c r="I1461" s="92" t="s">
        <v>3125</v>
      </c>
      <c r="J1461" s="92">
        <v>7569111680</v>
      </c>
      <c r="K1461" s="67"/>
      <c r="L1461" s="67"/>
      <c r="M1461" s="67"/>
      <c r="N1461" s="67"/>
      <c r="O1461" s="67"/>
    </row>
    <row r="1462" spans="1:15" ht="30">
      <c r="A1462" s="91" t="s">
        <v>19</v>
      </c>
      <c r="B1462" s="91" t="s">
        <v>220</v>
      </c>
      <c r="C1462" s="92" t="str">
        <f ca="1">IFERROR(__xludf.DUMMYFUNCTION("filter('Back End'!C:C,'Back End'!A:A=A1462,'Back End'!B:B=B1462,'Back End'!D:D=D1462)"),"Somanarayani Peta")</f>
        <v>Somanarayani Peta</v>
      </c>
      <c r="D1462" s="91" t="s">
        <v>249</v>
      </c>
      <c r="E1462" s="91" t="s">
        <v>5020</v>
      </c>
      <c r="F1462" s="67" t="s">
        <v>3138</v>
      </c>
      <c r="G1462" s="67"/>
      <c r="H1462" s="93" t="s">
        <v>4</v>
      </c>
      <c r="I1462" s="67"/>
      <c r="J1462" s="92">
        <v>7729883736</v>
      </c>
      <c r="K1462" s="67"/>
      <c r="L1462" s="67"/>
      <c r="M1462" s="67"/>
      <c r="N1462" s="67"/>
      <c r="O1462" s="67"/>
    </row>
    <row r="1463" spans="1:15" ht="30">
      <c r="A1463" s="91" t="s">
        <v>19</v>
      </c>
      <c r="B1463" s="91" t="s">
        <v>220</v>
      </c>
      <c r="C1463" s="92" t="str">
        <f ca="1">IFERROR(__xludf.DUMMYFUNCTION("filter('Back End'!C:C,'Back End'!A:A=A1463,'Back End'!B:B=B1463,'Back End'!D:D=D1463)"),"Somanarayani Peta")</f>
        <v>Somanarayani Peta</v>
      </c>
      <c r="D1463" s="91" t="s">
        <v>249</v>
      </c>
      <c r="E1463" s="91" t="s">
        <v>5021</v>
      </c>
      <c r="F1463" s="67" t="s">
        <v>3138</v>
      </c>
      <c r="G1463" s="67"/>
      <c r="H1463" s="93" t="s">
        <v>4</v>
      </c>
      <c r="I1463" s="67"/>
      <c r="J1463" s="92">
        <v>9346506860</v>
      </c>
      <c r="K1463" s="67"/>
      <c r="L1463" s="67"/>
      <c r="M1463" s="67"/>
      <c r="N1463" s="67"/>
      <c r="O1463" s="67"/>
    </row>
    <row r="1464" spans="1:15" ht="15">
      <c r="A1464" s="91" t="s">
        <v>19</v>
      </c>
      <c r="B1464" s="91" t="s">
        <v>220</v>
      </c>
      <c r="C1464" s="92" t="str">
        <f ca="1">IFERROR(__xludf.DUMMYFUNCTION("filter('Back End'!C:C,'Back End'!A:A=A1464,'Back End'!B:B=B1464,'Back End'!D:D=D1464)"),"Somavaram")</f>
        <v>Somavaram</v>
      </c>
      <c r="D1464" s="91" t="s">
        <v>251</v>
      </c>
      <c r="E1464" s="91" t="s">
        <v>5022</v>
      </c>
      <c r="F1464" s="67" t="s">
        <v>3138</v>
      </c>
      <c r="G1464" s="67"/>
      <c r="H1464" s="93" t="s">
        <v>4</v>
      </c>
      <c r="I1464" s="67"/>
      <c r="J1464" s="92">
        <v>6304892239</v>
      </c>
      <c r="K1464" s="67"/>
      <c r="L1464" s="67"/>
      <c r="M1464" s="67"/>
      <c r="N1464" s="67"/>
      <c r="O1464" s="67"/>
    </row>
    <row r="1465" spans="1:15" ht="15">
      <c r="A1465" s="91" t="s">
        <v>19</v>
      </c>
      <c r="B1465" s="91" t="s">
        <v>220</v>
      </c>
      <c r="C1465" s="92" t="str">
        <f ca="1">IFERROR(__xludf.DUMMYFUNCTION("filter('Back End'!C:C,'Back End'!A:A=A1465,'Back End'!B:B=B1465,'Back End'!D:D=D1465)"),"Somavaram")</f>
        <v>Somavaram</v>
      </c>
      <c r="D1465" s="91" t="s">
        <v>251</v>
      </c>
      <c r="E1465" s="91" t="s">
        <v>5023</v>
      </c>
      <c r="F1465" s="67" t="s">
        <v>3138</v>
      </c>
      <c r="G1465" s="67"/>
      <c r="H1465" s="93" t="s">
        <v>4</v>
      </c>
      <c r="I1465" s="67"/>
      <c r="J1465" s="92">
        <v>7396443231</v>
      </c>
      <c r="K1465" s="67"/>
      <c r="L1465" s="67"/>
      <c r="M1465" s="67"/>
      <c r="N1465" s="67"/>
      <c r="O1465" s="67"/>
    </row>
    <row r="1466" spans="1:15" ht="15">
      <c r="A1466" s="91" t="s">
        <v>19</v>
      </c>
      <c r="B1466" s="91" t="s">
        <v>220</v>
      </c>
      <c r="C1466" s="92" t="str">
        <f ca="1">IFERROR(__xludf.DUMMYFUNCTION("filter('Back End'!C:C,'Back End'!A:A=A1466,'Back End'!B:B=B1466,'Back End'!D:D=D1466)"),"Somavaram")</f>
        <v>Somavaram</v>
      </c>
      <c r="D1466" s="91" t="s">
        <v>251</v>
      </c>
      <c r="E1466" s="91" t="s">
        <v>5024</v>
      </c>
      <c r="F1466" s="67" t="s">
        <v>3138</v>
      </c>
      <c r="G1466" s="67"/>
      <c r="H1466" s="93" t="s">
        <v>4</v>
      </c>
      <c r="I1466" s="67"/>
      <c r="J1466" s="92">
        <v>9948821291</v>
      </c>
      <c r="K1466" s="67"/>
      <c r="L1466" s="67"/>
      <c r="M1466" s="67"/>
      <c r="N1466" s="67"/>
      <c r="O1466" s="67"/>
    </row>
    <row r="1467" spans="1:15" ht="15">
      <c r="A1467" s="91" t="s">
        <v>19</v>
      </c>
      <c r="B1467" s="91" t="s">
        <v>220</v>
      </c>
      <c r="C1467" s="92" t="str">
        <f ca="1">IFERROR(__xludf.DUMMYFUNCTION("filter('Back End'!C:C,'Back End'!A:A=A1467,'Back End'!B:B=B1467,'Back End'!D:D=D1467)"),"Somavaram")</f>
        <v>Somavaram</v>
      </c>
      <c r="D1467" s="91" t="s">
        <v>251</v>
      </c>
      <c r="E1467" s="91" t="s">
        <v>5025</v>
      </c>
      <c r="F1467" s="67" t="s">
        <v>3138</v>
      </c>
      <c r="G1467" s="67"/>
      <c r="H1467" s="93" t="s">
        <v>4</v>
      </c>
      <c r="I1467" s="92" t="s">
        <v>3125</v>
      </c>
      <c r="J1467" s="92">
        <v>9704849121</v>
      </c>
      <c r="K1467" s="67"/>
      <c r="L1467" s="67"/>
      <c r="M1467" s="67"/>
      <c r="N1467" s="67"/>
      <c r="O1467" s="67"/>
    </row>
    <row r="1468" spans="1:15" ht="45">
      <c r="A1468" s="91" t="s">
        <v>19</v>
      </c>
      <c r="B1468" s="91" t="s">
        <v>220</v>
      </c>
      <c r="C1468" s="92" t="str">
        <f ca="1">IFERROR(__xludf.DUMMYFUNCTION("filter('Back End'!C:C,'Back End'!A:A=A1468,'Back End'!B:B=B1468,'Back End'!D:D=D1468)"),"Somavaram")</f>
        <v>Somavaram</v>
      </c>
      <c r="D1468" s="91" t="s">
        <v>251</v>
      </c>
      <c r="E1468" s="91" t="s">
        <v>5026</v>
      </c>
      <c r="F1468" s="91" t="s">
        <v>139</v>
      </c>
      <c r="G1468" s="91" t="s">
        <v>594</v>
      </c>
      <c r="H1468" s="93" t="s">
        <v>92</v>
      </c>
      <c r="I1468" s="92" t="s">
        <v>5027</v>
      </c>
      <c r="J1468" s="92">
        <v>9849052133</v>
      </c>
      <c r="K1468" s="67"/>
      <c r="L1468" s="67"/>
      <c r="M1468" s="67"/>
      <c r="N1468" s="67"/>
      <c r="O1468" s="67"/>
    </row>
    <row r="1469" spans="1:15" ht="15">
      <c r="A1469" s="91" t="s">
        <v>19</v>
      </c>
      <c r="B1469" s="91" t="s">
        <v>220</v>
      </c>
      <c r="C1469" s="92" t="str">
        <f ca="1">IFERROR(__xludf.DUMMYFUNCTION("filter('Back End'!C:C,'Back End'!A:A=A1469,'Back End'!B:B=B1469,'Back End'!D:D=D1469)"),"Somavaram")</f>
        <v>Somavaram</v>
      </c>
      <c r="D1469" s="91" t="s">
        <v>251</v>
      </c>
      <c r="E1469" s="91" t="s">
        <v>5028</v>
      </c>
      <c r="F1469" s="91" t="s">
        <v>154</v>
      </c>
      <c r="G1469" s="91" t="s">
        <v>615</v>
      </c>
      <c r="H1469" s="93" t="s">
        <v>92</v>
      </c>
      <c r="I1469" s="67"/>
      <c r="J1469" s="92">
        <v>9963963132</v>
      </c>
      <c r="K1469" s="67"/>
      <c r="L1469" s="67"/>
      <c r="M1469" s="67"/>
      <c r="N1469" s="67"/>
      <c r="O1469" s="67"/>
    </row>
    <row r="1470" spans="1:15" ht="15">
      <c r="A1470" s="91" t="s">
        <v>19</v>
      </c>
      <c r="B1470" s="91" t="s">
        <v>220</v>
      </c>
      <c r="C1470" s="92" t="str">
        <f ca="1">IFERROR(__xludf.DUMMYFUNCTION("filter('Back End'!C:C,'Back End'!A:A=A1470,'Back End'!B:B=B1470,'Back End'!D:D=D1470)"),"Somavaram")</f>
        <v>Somavaram</v>
      </c>
      <c r="D1470" s="91" t="s">
        <v>251</v>
      </c>
      <c r="E1470" s="91" t="s">
        <v>5029</v>
      </c>
      <c r="F1470" s="91" t="s">
        <v>165</v>
      </c>
      <c r="G1470" s="91" t="s">
        <v>615</v>
      </c>
      <c r="H1470" s="93" t="s">
        <v>92</v>
      </c>
      <c r="I1470" s="67"/>
      <c r="J1470" s="92">
        <v>9550368168</v>
      </c>
      <c r="K1470" s="67"/>
      <c r="L1470" s="67"/>
      <c r="M1470" s="67"/>
      <c r="N1470" s="67"/>
      <c r="O1470" s="67"/>
    </row>
    <row r="1471" spans="1:15" ht="15">
      <c r="A1471" s="91" t="s">
        <v>19</v>
      </c>
      <c r="B1471" s="91" t="s">
        <v>220</v>
      </c>
      <c r="C1471" s="92" t="str">
        <f ca="1">IFERROR(__xludf.DUMMYFUNCTION("filter('Back End'!C:C,'Back End'!A:A=A1471,'Back End'!B:B=B1471,'Back End'!D:D=D1471)"),"Somavaram")</f>
        <v>Somavaram</v>
      </c>
      <c r="D1471" s="91" t="s">
        <v>251</v>
      </c>
      <c r="E1471" s="91" t="s">
        <v>5030</v>
      </c>
      <c r="F1471" s="91" t="s">
        <v>139</v>
      </c>
      <c r="G1471" s="91" t="s">
        <v>594</v>
      </c>
      <c r="H1471" s="93" t="s">
        <v>5</v>
      </c>
      <c r="I1471" s="67"/>
      <c r="J1471" s="92">
        <v>9550724380</v>
      </c>
      <c r="K1471" s="67"/>
      <c r="L1471" s="67"/>
      <c r="M1471" s="67"/>
      <c r="N1471" s="67"/>
      <c r="O1471" s="67"/>
    </row>
    <row r="1472" spans="1:15" ht="15">
      <c r="A1472" s="91" t="s">
        <v>19</v>
      </c>
      <c r="B1472" s="91" t="s">
        <v>220</v>
      </c>
      <c r="C1472" s="92" t="str">
        <f ca="1">IFERROR(__xludf.DUMMYFUNCTION("filter('Back End'!C:C,'Back End'!A:A=A1472,'Back End'!B:B=B1472,'Back End'!D:D=D1472)"),"Somavaram")</f>
        <v>Somavaram</v>
      </c>
      <c r="D1472" s="91" t="s">
        <v>251</v>
      </c>
      <c r="E1472" s="91" t="s">
        <v>5031</v>
      </c>
      <c r="F1472" s="91" t="s">
        <v>139</v>
      </c>
      <c r="G1472" s="91" t="s">
        <v>594</v>
      </c>
      <c r="H1472" s="93" t="s">
        <v>5</v>
      </c>
      <c r="I1472" s="67"/>
      <c r="J1472" s="92">
        <v>9948227478</v>
      </c>
      <c r="K1472" s="67"/>
      <c r="L1472" s="67"/>
      <c r="M1472" s="67"/>
      <c r="N1472" s="67"/>
      <c r="O1472" s="67"/>
    </row>
    <row r="1473" spans="1:15" ht="30">
      <c r="A1473" s="91" t="s">
        <v>19</v>
      </c>
      <c r="B1473" s="91" t="s">
        <v>220</v>
      </c>
      <c r="C1473" s="92" t="str">
        <f ca="1">IFERROR(__xludf.DUMMYFUNCTION("filter('Back End'!C:C,'Back End'!A:A=A1473,'Back End'!B:B=B1473,'Back End'!D:D=D1473)"),"Sungarayunipalem")</f>
        <v>Sungarayunipalem</v>
      </c>
      <c r="D1473" s="91" t="s">
        <v>253</v>
      </c>
      <c r="E1473" s="91" t="s">
        <v>5032</v>
      </c>
      <c r="F1473" s="91" t="s">
        <v>139</v>
      </c>
      <c r="G1473" s="91" t="s">
        <v>594</v>
      </c>
      <c r="H1473" s="93" t="s">
        <v>5</v>
      </c>
      <c r="I1473" s="67"/>
      <c r="J1473" s="92">
        <v>9666435117</v>
      </c>
      <c r="K1473" s="67"/>
      <c r="L1473" s="67"/>
      <c r="M1473" s="67"/>
      <c r="N1473" s="67"/>
      <c r="O1473" s="67"/>
    </row>
    <row r="1474" spans="1:15" ht="30">
      <c r="A1474" s="91" t="s">
        <v>19</v>
      </c>
      <c r="B1474" s="91" t="s">
        <v>220</v>
      </c>
      <c r="C1474" s="92" t="str">
        <f ca="1">IFERROR(__xludf.DUMMYFUNCTION("filter('Back End'!C:C,'Back End'!A:A=A1474,'Back End'!B:B=B1474,'Back End'!D:D=D1474)"),"Sungarayunipalem")</f>
        <v>Sungarayunipalem</v>
      </c>
      <c r="D1474" s="91" t="s">
        <v>253</v>
      </c>
      <c r="E1474" s="91" t="s">
        <v>5033</v>
      </c>
      <c r="F1474" s="67" t="s">
        <v>3138</v>
      </c>
      <c r="G1474" s="67"/>
      <c r="H1474" s="93" t="s">
        <v>4</v>
      </c>
      <c r="I1474" s="67"/>
      <c r="J1474" s="92">
        <v>9573629191</v>
      </c>
      <c r="K1474" s="67"/>
      <c r="L1474" s="67"/>
      <c r="M1474" s="67"/>
      <c r="N1474" s="67"/>
      <c r="O1474" s="67"/>
    </row>
    <row r="1475" spans="1:15" ht="30">
      <c r="A1475" s="91" t="s">
        <v>19</v>
      </c>
      <c r="B1475" s="91" t="s">
        <v>220</v>
      </c>
      <c r="C1475" s="92" t="str">
        <f ca="1">IFERROR(__xludf.DUMMYFUNCTION("filter('Back End'!C:C,'Back End'!A:A=A1475,'Back End'!B:B=B1475,'Back End'!D:D=D1475)"),"Sungarayunipalem")</f>
        <v>Sungarayunipalem</v>
      </c>
      <c r="D1475" s="91" t="s">
        <v>253</v>
      </c>
      <c r="E1475" s="91" t="s">
        <v>5034</v>
      </c>
      <c r="F1475" s="67" t="s">
        <v>3138</v>
      </c>
      <c r="G1475" s="67"/>
      <c r="H1475" s="93" t="s">
        <v>4</v>
      </c>
      <c r="I1475" s="67"/>
      <c r="J1475" s="92">
        <v>8500453791</v>
      </c>
      <c r="K1475" s="67"/>
      <c r="L1475" s="67"/>
      <c r="M1475" s="67"/>
      <c r="N1475" s="67"/>
      <c r="O1475" s="67"/>
    </row>
    <row r="1476" spans="1:15" ht="30">
      <c r="A1476" s="91" t="s">
        <v>19</v>
      </c>
      <c r="B1476" s="91" t="s">
        <v>220</v>
      </c>
      <c r="C1476" s="92" t="str">
        <f ca="1">IFERROR(__xludf.DUMMYFUNCTION("filter('Back End'!C:C,'Back End'!A:A=A1476,'Back End'!B:B=B1476,'Back End'!D:D=D1476)"),"Sungarayunipalem")</f>
        <v>Sungarayunipalem</v>
      </c>
      <c r="D1476" s="91" t="s">
        <v>253</v>
      </c>
      <c r="E1476" s="91" t="s">
        <v>5035</v>
      </c>
      <c r="F1476" s="67" t="s">
        <v>3138</v>
      </c>
      <c r="G1476" s="67"/>
      <c r="H1476" s="93" t="s">
        <v>4</v>
      </c>
      <c r="I1476" s="92" t="s">
        <v>3125</v>
      </c>
      <c r="J1476" s="92">
        <v>7993323764</v>
      </c>
      <c r="K1476" s="67"/>
      <c r="L1476" s="67"/>
      <c r="M1476" s="67"/>
      <c r="N1476" s="67"/>
      <c r="O1476" s="67"/>
    </row>
    <row r="1477" spans="1:15" ht="15">
      <c r="A1477" s="91" t="s">
        <v>19</v>
      </c>
      <c r="B1477" s="91" t="s">
        <v>220</v>
      </c>
      <c r="C1477" s="92" t="str">
        <f ca="1">IFERROR(__xludf.DUMMYFUNCTION("filter('Back End'!C:C,'Back End'!A:A=A1477,'Back End'!B:B=B1477,'Back End'!D:D=D1477)"),"Thamarada")</f>
        <v>Thamarada</v>
      </c>
      <c r="D1477" s="91" t="s">
        <v>255</v>
      </c>
      <c r="E1477" s="91" t="s">
        <v>5036</v>
      </c>
      <c r="F1477" s="91" t="s">
        <v>139</v>
      </c>
      <c r="G1477" s="91" t="s">
        <v>594</v>
      </c>
      <c r="H1477" s="93" t="s">
        <v>5</v>
      </c>
      <c r="I1477" s="67"/>
      <c r="J1477" s="92">
        <v>9948121859</v>
      </c>
      <c r="K1477" s="67"/>
      <c r="L1477" s="67"/>
      <c r="M1477" s="67"/>
      <c r="N1477" s="67"/>
      <c r="O1477" s="67"/>
    </row>
    <row r="1478" spans="1:15" ht="15">
      <c r="A1478" s="91" t="s">
        <v>19</v>
      </c>
      <c r="B1478" s="91" t="s">
        <v>220</v>
      </c>
      <c r="C1478" s="92" t="str">
        <f ca="1">IFERROR(__xludf.DUMMYFUNCTION("filter('Back End'!C:C,'Back End'!A:A=A1478,'Back End'!B:B=B1478,'Back End'!D:D=D1478)"),"Thamarada")</f>
        <v>Thamarada</v>
      </c>
      <c r="D1478" s="91" t="s">
        <v>255</v>
      </c>
      <c r="E1478" s="91" t="s">
        <v>5037</v>
      </c>
      <c r="F1478" s="91" t="s">
        <v>139</v>
      </c>
      <c r="G1478" s="91" t="s">
        <v>594</v>
      </c>
      <c r="H1478" s="93" t="s">
        <v>5</v>
      </c>
      <c r="I1478" s="67"/>
      <c r="J1478" s="92">
        <v>7730920960</v>
      </c>
      <c r="K1478" s="67"/>
      <c r="L1478" s="67"/>
      <c r="M1478" s="67"/>
      <c r="N1478" s="67"/>
      <c r="O1478" s="67"/>
    </row>
    <row r="1479" spans="1:15" ht="15">
      <c r="A1479" s="91" t="s">
        <v>19</v>
      </c>
      <c r="B1479" s="91" t="s">
        <v>220</v>
      </c>
      <c r="C1479" s="92" t="str">
        <f ca="1">IFERROR(__xludf.DUMMYFUNCTION("filter('Back End'!C:C,'Back End'!A:A=A1479,'Back End'!B:B=B1479,'Back End'!D:D=D1479)"),"Thamarada")</f>
        <v>Thamarada</v>
      </c>
      <c r="D1479" s="91" t="s">
        <v>255</v>
      </c>
      <c r="E1479" s="91" t="s">
        <v>5038</v>
      </c>
      <c r="F1479" s="91" t="s">
        <v>139</v>
      </c>
      <c r="G1479" s="91" t="s">
        <v>594</v>
      </c>
      <c r="H1479" s="93" t="s">
        <v>5</v>
      </c>
      <c r="I1479" s="67"/>
      <c r="J1479" s="92">
        <v>8919048547</v>
      </c>
      <c r="K1479" s="67"/>
      <c r="L1479" s="67"/>
      <c r="M1479" s="67"/>
      <c r="N1479" s="67"/>
      <c r="O1479" s="67"/>
    </row>
    <row r="1480" spans="1:15" ht="15">
      <c r="A1480" s="91" t="s">
        <v>19</v>
      </c>
      <c r="B1480" s="91" t="s">
        <v>220</v>
      </c>
      <c r="C1480" s="92" t="str">
        <f ca="1">IFERROR(__xludf.DUMMYFUNCTION("filter('Back End'!C:C,'Back End'!A:A=A1480,'Back End'!B:B=B1480,'Back End'!D:D=D1480)"),"Thamarada")</f>
        <v>Thamarada</v>
      </c>
      <c r="D1480" s="91" t="s">
        <v>255</v>
      </c>
      <c r="E1480" s="91" t="s">
        <v>5039</v>
      </c>
      <c r="F1480" s="67" t="s">
        <v>3138</v>
      </c>
      <c r="G1480" s="67"/>
      <c r="H1480" s="93" t="s">
        <v>4</v>
      </c>
      <c r="I1480" s="67"/>
      <c r="J1480" s="92">
        <v>9490131036</v>
      </c>
      <c r="K1480" s="67"/>
      <c r="L1480" s="67"/>
      <c r="M1480" s="67"/>
      <c r="N1480" s="67"/>
      <c r="O1480" s="67"/>
    </row>
    <row r="1481" spans="1:15" ht="15">
      <c r="A1481" s="91" t="s">
        <v>19</v>
      </c>
      <c r="B1481" s="91" t="s">
        <v>220</v>
      </c>
      <c r="C1481" s="92" t="str">
        <f ca="1">IFERROR(__xludf.DUMMYFUNCTION("filter('Back End'!C:C,'Back End'!A:A=A1481,'Back End'!B:B=B1481,'Back End'!D:D=D1481)"),"Thamarada")</f>
        <v>Thamarada</v>
      </c>
      <c r="D1481" s="91" t="s">
        <v>255</v>
      </c>
      <c r="E1481" s="91" t="s">
        <v>5040</v>
      </c>
      <c r="F1481" s="67" t="s">
        <v>3138</v>
      </c>
      <c r="G1481" s="67"/>
      <c r="H1481" s="93" t="s">
        <v>4</v>
      </c>
      <c r="I1481" s="67"/>
      <c r="J1481" s="92">
        <v>9963254625</v>
      </c>
      <c r="K1481" s="67"/>
      <c r="L1481" s="67"/>
      <c r="M1481" s="67"/>
      <c r="N1481" s="67"/>
      <c r="O1481" s="67"/>
    </row>
    <row r="1482" spans="1:15" ht="15">
      <c r="A1482" s="91" t="s">
        <v>19</v>
      </c>
      <c r="B1482" s="91" t="s">
        <v>220</v>
      </c>
      <c r="C1482" s="92" t="str">
        <f ca="1">IFERROR(__xludf.DUMMYFUNCTION("filter('Back End'!C:C,'Back End'!A:A=A1482,'Back End'!B:B=B1482,'Back End'!D:D=D1482)"),"Thamarada")</f>
        <v>Thamarada</v>
      </c>
      <c r="D1482" s="91" t="s">
        <v>255</v>
      </c>
      <c r="E1482" s="91" t="s">
        <v>5041</v>
      </c>
      <c r="F1482" s="67" t="s">
        <v>3138</v>
      </c>
      <c r="G1482" s="67"/>
      <c r="H1482" s="93" t="s">
        <v>4</v>
      </c>
      <c r="I1482" s="67"/>
      <c r="J1482" s="92">
        <v>9346419449</v>
      </c>
      <c r="K1482" s="67"/>
      <c r="L1482" s="67"/>
      <c r="M1482" s="67"/>
      <c r="N1482" s="67"/>
      <c r="O1482" s="67"/>
    </row>
    <row r="1483" spans="1:15" ht="15">
      <c r="A1483" s="91" t="s">
        <v>19</v>
      </c>
      <c r="B1483" s="91" t="s">
        <v>220</v>
      </c>
      <c r="C1483" s="92" t="str">
        <f ca="1">IFERROR(__xludf.DUMMYFUNCTION("filter('Back End'!C:C,'Back End'!A:A=A1483,'Back End'!B:B=B1483,'Back End'!D:D=D1483)"),"Thamarada")</f>
        <v>Thamarada</v>
      </c>
      <c r="D1483" s="91" t="s">
        <v>255</v>
      </c>
      <c r="E1483" s="91" t="s">
        <v>5042</v>
      </c>
      <c r="F1483" s="67" t="s">
        <v>3138</v>
      </c>
      <c r="G1483" s="67"/>
      <c r="H1483" s="93" t="s">
        <v>4</v>
      </c>
      <c r="I1483" s="92" t="s">
        <v>3125</v>
      </c>
      <c r="J1483" s="92">
        <v>9493628851</v>
      </c>
      <c r="K1483" s="67"/>
      <c r="L1483" s="67"/>
      <c r="M1483" s="67"/>
      <c r="N1483" s="67"/>
      <c r="O1483" s="67"/>
    </row>
    <row r="1484" spans="1:15" ht="15">
      <c r="A1484" s="91" t="s">
        <v>19</v>
      </c>
      <c r="B1484" s="91" t="s">
        <v>220</v>
      </c>
      <c r="C1484" s="92" t="str">
        <f ca="1">IFERROR(__xludf.DUMMYFUNCTION("filter('Back End'!C:C,'Back End'!A:A=A1484,'Back End'!B:B=B1484,'Back End'!D:D=D1484)"),"Veeravaram")</f>
        <v>Veeravaram</v>
      </c>
      <c r="D1484" s="91" t="s">
        <v>257</v>
      </c>
      <c r="E1484" s="91" t="s">
        <v>5043</v>
      </c>
      <c r="F1484" s="91" t="s">
        <v>139</v>
      </c>
      <c r="G1484" s="91" t="s">
        <v>594</v>
      </c>
      <c r="H1484" s="93" t="s">
        <v>5</v>
      </c>
      <c r="I1484" s="67"/>
      <c r="J1484" s="92">
        <v>8184867484</v>
      </c>
      <c r="K1484" s="67"/>
      <c r="L1484" s="67"/>
      <c r="M1484" s="67"/>
      <c r="N1484" s="67"/>
      <c r="O1484" s="67"/>
    </row>
    <row r="1485" spans="1:15" ht="30">
      <c r="A1485" s="91" t="s">
        <v>19</v>
      </c>
      <c r="B1485" s="91" t="s">
        <v>220</v>
      </c>
      <c r="C1485" s="92" t="str">
        <f ca="1">IFERROR(__xludf.DUMMYFUNCTION("filter('Back End'!C:C,'Back End'!A:A=A1485,'Back End'!B:B=B1485,'Back End'!D:D=D1485)"),"Veeravaram")</f>
        <v>Veeravaram</v>
      </c>
      <c r="D1485" s="91" t="s">
        <v>257</v>
      </c>
      <c r="E1485" s="91" t="s">
        <v>5044</v>
      </c>
      <c r="F1485" s="91" t="s">
        <v>139</v>
      </c>
      <c r="G1485" s="91" t="s">
        <v>594</v>
      </c>
      <c r="H1485" s="93" t="s">
        <v>4</v>
      </c>
      <c r="I1485" s="92" t="s">
        <v>3591</v>
      </c>
      <c r="J1485" s="92">
        <v>8367751878</v>
      </c>
      <c r="K1485" s="67"/>
      <c r="L1485" s="67"/>
      <c r="M1485" s="67"/>
      <c r="N1485" s="67"/>
      <c r="O1485" s="67"/>
    </row>
    <row r="1486" spans="1:15" ht="30">
      <c r="A1486" s="91" t="s">
        <v>19</v>
      </c>
      <c r="B1486" s="91" t="s">
        <v>220</v>
      </c>
      <c r="C1486" s="92" t="str">
        <f ca="1">IFERROR(__xludf.DUMMYFUNCTION("filter('Back End'!C:C,'Back End'!A:A=A1486,'Back End'!B:B=B1486,'Back End'!D:D=D1486)"),"Veeravaram")</f>
        <v>Veeravaram</v>
      </c>
      <c r="D1486" s="91" t="s">
        <v>257</v>
      </c>
      <c r="E1486" s="91" t="s">
        <v>5045</v>
      </c>
      <c r="F1486" s="91" t="s">
        <v>1680</v>
      </c>
      <c r="G1486" s="91" t="s">
        <v>615</v>
      </c>
      <c r="H1486" s="93" t="s">
        <v>4</v>
      </c>
      <c r="I1486" s="92" t="s">
        <v>3591</v>
      </c>
      <c r="J1486" s="92">
        <v>8500985998</v>
      </c>
      <c r="K1486" s="67"/>
      <c r="L1486" s="67"/>
      <c r="M1486" s="67"/>
      <c r="N1486" s="67"/>
      <c r="O1486" s="67"/>
    </row>
    <row r="1487" spans="1:15" ht="30">
      <c r="A1487" s="91" t="s">
        <v>19</v>
      </c>
      <c r="B1487" s="91" t="s">
        <v>220</v>
      </c>
      <c r="C1487" s="92" t="str">
        <f ca="1">IFERROR(__xludf.DUMMYFUNCTION("filter('Back End'!C:C,'Back End'!A:A=A1487,'Back End'!B:B=B1487,'Back End'!D:D=D1487)"),"Veeravaram")</f>
        <v>Veeravaram</v>
      </c>
      <c r="D1487" s="91" t="s">
        <v>257</v>
      </c>
      <c r="E1487" s="91" t="s">
        <v>5046</v>
      </c>
      <c r="F1487" s="91" t="s">
        <v>114</v>
      </c>
      <c r="G1487" s="91" t="s">
        <v>85</v>
      </c>
      <c r="H1487" s="93" t="s">
        <v>4</v>
      </c>
      <c r="I1487" s="92" t="s">
        <v>3591</v>
      </c>
      <c r="J1487" s="92">
        <v>8096847247</v>
      </c>
      <c r="K1487" s="67"/>
      <c r="L1487" s="67"/>
      <c r="M1487" s="67"/>
      <c r="N1487" s="67"/>
      <c r="O1487" s="67"/>
    </row>
    <row r="1488" spans="1:15" ht="15">
      <c r="A1488" s="91" t="s">
        <v>19</v>
      </c>
      <c r="B1488" s="91" t="s">
        <v>220</v>
      </c>
      <c r="C1488" s="92" t="str">
        <f ca="1">IFERROR(__xludf.DUMMYFUNCTION("filter('Back End'!C:C,'Back End'!A:A=A1488,'Back End'!B:B=B1488,'Back End'!D:D=D1488)"),"Veeravaram")</f>
        <v>Veeravaram</v>
      </c>
      <c r="D1488" s="91" t="s">
        <v>257</v>
      </c>
      <c r="E1488" s="91" t="s">
        <v>5047</v>
      </c>
      <c r="F1488" s="67" t="s">
        <v>3138</v>
      </c>
      <c r="G1488" s="67"/>
      <c r="H1488" s="93" t="s">
        <v>4</v>
      </c>
      <c r="I1488" s="67"/>
      <c r="J1488" s="92">
        <v>7382492157</v>
      </c>
      <c r="K1488" s="67"/>
      <c r="L1488" s="67"/>
      <c r="M1488" s="67"/>
      <c r="N1488" s="67"/>
      <c r="O1488" s="67"/>
    </row>
    <row r="1489" spans="1:15" ht="30">
      <c r="A1489" s="91" t="s">
        <v>19</v>
      </c>
      <c r="B1489" s="91" t="s">
        <v>220</v>
      </c>
      <c r="C1489" s="92" t="s">
        <v>257</v>
      </c>
      <c r="D1489" s="91" t="s">
        <v>257</v>
      </c>
      <c r="E1489" s="91" t="s">
        <v>5048</v>
      </c>
      <c r="F1489" s="91" t="s">
        <v>139</v>
      </c>
      <c r="G1489" s="91" t="s">
        <v>594</v>
      </c>
      <c r="H1489" s="93" t="s">
        <v>4</v>
      </c>
      <c r="I1489" s="92" t="s">
        <v>3591</v>
      </c>
      <c r="J1489" s="92">
        <v>9398570056</v>
      </c>
      <c r="K1489" s="67"/>
      <c r="L1489" s="67"/>
      <c r="M1489" s="67"/>
      <c r="N1489" s="67"/>
      <c r="O1489" s="67"/>
    </row>
    <row r="1490" spans="1:15" ht="30">
      <c r="A1490" s="91" t="s">
        <v>19</v>
      </c>
      <c r="B1490" s="91" t="s">
        <v>220</v>
      </c>
      <c r="C1490" s="92" t="str">
        <f ca="1">IFERROR(__xludf.DUMMYFUNCTION("filter('Back End'!C:C,'Back End'!A:A=A1490,'Back End'!B:B=B1490,'Back End'!D:D=D1490)"),"Veeravaram")</f>
        <v>Veeravaram</v>
      </c>
      <c r="D1490" s="91" t="s">
        <v>257</v>
      </c>
      <c r="E1490" s="91" t="s">
        <v>5049</v>
      </c>
      <c r="F1490" s="91" t="s">
        <v>139</v>
      </c>
      <c r="G1490" s="91" t="s">
        <v>594</v>
      </c>
      <c r="H1490" s="93" t="s">
        <v>4</v>
      </c>
      <c r="I1490" s="92" t="s">
        <v>3591</v>
      </c>
      <c r="J1490" s="92">
        <v>9666835968</v>
      </c>
      <c r="K1490" s="67"/>
      <c r="L1490" s="67"/>
      <c r="M1490" s="67"/>
      <c r="N1490" s="67"/>
      <c r="O1490" s="67"/>
    </row>
    <row r="1491" spans="1:15" ht="30">
      <c r="A1491" s="91" t="s">
        <v>19</v>
      </c>
      <c r="B1491" s="91" t="s">
        <v>220</v>
      </c>
      <c r="C1491" s="92" t="str">
        <f ca="1">IFERROR(__xludf.DUMMYFUNCTION("filter('Back End'!C:C,'Back End'!A:A=A1491,'Back End'!B:B=B1491,'Back End'!D:D=D1491)"),"Veeravaram")</f>
        <v>Veeravaram</v>
      </c>
      <c r="D1491" s="91" t="s">
        <v>257</v>
      </c>
      <c r="E1491" s="91" t="s">
        <v>5050</v>
      </c>
      <c r="F1491" s="91" t="s">
        <v>139</v>
      </c>
      <c r="G1491" s="91" t="s">
        <v>594</v>
      </c>
      <c r="H1491" s="93" t="s">
        <v>4</v>
      </c>
      <c r="I1491" s="92" t="s">
        <v>4404</v>
      </c>
      <c r="J1491" s="92">
        <v>9652431018</v>
      </c>
      <c r="K1491" s="67"/>
      <c r="L1491" s="67"/>
      <c r="M1491" s="67"/>
      <c r="N1491" s="67"/>
      <c r="O1491" s="67"/>
    </row>
    <row r="1492" spans="1:15" ht="15">
      <c r="A1492" s="91" t="s">
        <v>19</v>
      </c>
      <c r="B1492" s="91" t="s">
        <v>220</v>
      </c>
      <c r="C1492" s="92" t="str">
        <f ca="1">IFERROR(__xludf.DUMMYFUNCTION("filter('Back End'!C:C,'Back End'!A:A=A1492,'Back End'!B:B=B1492,'Back End'!D:D=D1492)"),"Velanka")</f>
        <v>Velanka</v>
      </c>
      <c r="D1492" s="91" t="s">
        <v>259</v>
      </c>
      <c r="E1492" s="91" t="s">
        <v>5051</v>
      </c>
      <c r="F1492" s="67" t="s">
        <v>3138</v>
      </c>
      <c r="G1492" s="67"/>
      <c r="H1492" s="93" t="s">
        <v>4</v>
      </c>
      <c r="I1492" s="67"/>
      <c r="J1492" s="92">
        <v>8106892858</v>
      </c>
      <c r="K1492" s="67"/>
      <c r="L1492" s="67"/>
      <c r="M1492" s="67"/>
      <c r="N1492" s="67"/>
      <c r="O1492" s="67"/>
    </row>
    <row r="1493" spans="1:15" ht="15">
      <c r="A1493" s="91" t="s">
        <v>19</v>
      </c>
      <c r="B1493" s="91" t="s">
        <v>220</v>
      </c>
      <c r="C1493" s="92" t="str">
        <f ca="1">IFERROR(__xludf.DUMMYFUNCTION("filter('Back End'!C:C,'Back End'!A:A=A1493,'Back End'!B:B=B1493,'Back End'!D:D=D1493)"),"Velanka")</f>
        <v>Velanka</v>
      </c>
      <c r="D1493" s="91" t="s">
        <v>259</v>
      </c>
      <c r="E1493" s="91" t="s">
        <v>5052</v>
      </c>
      <c r="F1493" s="91" t="s">
        <v>139</v>
      </c>
      <c r="G1493" s="91" t="s">
        <v>594</v>
      </c>
      <c r="H1493" s="93" t="s">
        <v>5</v>
      </c>
      <c r="I1493" s="67"/>
      <c r="J1493" s="92">
        <v>9963764535</v>
      </c>
      <c r="K1493" s="67"/>
      <c r="L1493" s="67"/>
      <c r="M1493" s="67"/>
      <c r="N1493" s="67"/>
      <c r="O1493" s="67"/>
    </row>
    <row r="1494" spans="1:15" ht="15">
      <c r="A1494" s="91" t="s">
        <v>19</v>
      </c>
      <c r="B1494" s="91" t="s">
        <v>220</v>
      </c>
      <c r="C1494" s="92" t="str">
        <f ca="1">IFERROR(__xludf.DUMMYFUNCTION("filter('Back End'!C:C,'Back End'!A:A=A1494,'Back End'!B:B=B1494,'Back End'!D:D=D1494)"),"Velanka")</f>
        <v>Velanka</v>
      </c>
      <c r="D1494" s="91" t="s">
        <v>259</v>
      </c>
      <c r="E1494" s="91" t="s">
        <v>5053</v>
      </c>
      <c r="F1494" s="67" t="s">
        <v>3138</v>
      </c>
      <c r="G1494" s="67"/>
      <c r="H1494" s="93" t="s">
        <v>4</v>
      </c>
      <c r="I1494" s="67"/>
      <c r="J1494" s="92">
        <v>9032987842</v>
      </c>
      <c r="K1494" s="67"/>
      <c r="L1494" s="67"/>
      <c r="M1494" s="67"/>
      <c r="N1494" s="67"/>
      <c r="O1494" s="67"/>
    </row>
    <row r="1495" spans="1:15" ht="15">
      <c r="A1495" s="91" t="s">
        <v>19</v>
      </c>
      <c r="B1495" s="91" t="s">
        <v>220</v>
      </c>
      <c r="C1495" s="92" t="str">
        <f ca="1">IFERROR(__xludf.DUMMYFUNCTION("filter('Back End'!C:C,'Back End'!A:A=A1495,'Back End'!B:B=B1495,'Back End'!D:D=D1495)"),"Velanka")</f>
        <v>Velanka</v>
      </c>
      <c r="D1495" s="91" t="s">
        <v>259</v>
      </c>
      <c r="E1495" s="91" t="s">
        <v>5054</v>
      </c>
      <c r="F1495" s="67" t="s">
        <v>3138</v>
      </c>
      <c r="G1495" s="67"/>
      <c r="H1495" s="93" t="s">
        <v>4</v>
      </c>
      <c r="I1495" s="67"/>
      <c r="J1495" s="92">
        <v>9247855118</v>
      </c>
      <c r="K1495" s="67"/>
      <c r="L1495" s="67"/>
      <c r="M1495" s="67"/>
      <c r="N1495" s="67"/>
      <c r="O1495" s="67"/>
    </row>
    <row r="1496" spans="1:15" ht="15">
      <c r="A1496" s="91" t="s">
        <v>19</v>
      </c>
      <c r="B1496" s="91" t="s">
        <v>220</v>
      </c>
      <c r="C1496" s="92" t="str">
        <f ca="1">IFERROR(__xludf.DUMMYFUNCTION("filter('Back End'!C:C,'Back End'!A:A=A1496,'Back End'!B:B=B1496,'Back End'!D:D=D1496)"),"Velanka")</f>
        <v>Velanka</v>
      </c>
      <c r="D1496" s="91" t="s">
        <v>259</v>
      </c>
      <c r="E1496" s="91" t="s">
        <v>5055</v>
      </c>
      <c r="F1496" s="67" t="s">
        <v>3138</v>
      </c>
      <c r="G1496" s="67"/>
      <c r="H1496" s="93" t="s">
        <v>4</v>
      </c>
      <c r="I1496" s="67"/>
      <c r="J1496" s="92">
        <v>9951976314</v>
      </c>
      <c r="K1496" s="67"/>
      <c r="L1496" s="67"/>
      <c r="M1496" s="67"/>
      <c r="N1496" s="67"/>
      <c r="O1496" s="67"/>
    </row>
    <row r="1497" spans="1:15" ht="15">
      <c r="A1497" s="91" t="s">
        <v>19</v>
      </c>
      <c r="B1497" s="91" t="s">
        <v>220</v>
      </c>
      <c r="C1497" s="92" t="str">
        <f ca="1">IFERROR(__xludf.DUMMYFUNCTION("filter('Back End'!C:C,'Back End'!A:A=A1497,'Back End'!B:B=B1497,'Back End'!D:D=D1497)"),"Velanka")</f>
        <v>Velanka</v>
      </c>
      <c r="D1497" s="91" t="s">
        <v>259</v>
      </c>
      <c r="E1497" s="91" t="s">
        <v>5056</v>
      </c>
      <c r="F1497" s="67" t="s">
        <v>3138</v>
      </c>
      <c r="G1497" s="67"/>
      <c r="H1497" s="93" t="s">
        <v>4</v>
      </c>
      <c r="I1497" s="92" t="s">
        <v>3125</v>
      </c>
      <c r="J1497" s="92">
        <v>8341867353</v>
      </c>
      <c r="K1497" s="67"/>
      <c r="L1497" s="67"/>
      <c r="M1497" s="67"/>
      <c r="N1497" s="67"/>
      <c r="O1497" s="67"/>
    </row>
    <row r="1498" spans="1:15" ht="15">
      <c r="A1498" s="91" t="s">
        <v>11</v>
      </c>
      <c r="B1498" s="91" t="s">
        <v>261</v>
      </c>
      <c r="C1498" s="92" t="str">
        <f ca="1">IFERROR(__xludf.DUMMYFUNCTION("filter('Back End'!C:C,'Back End'!A:A=A1498,'Back End'!B:B=B1498,'Back End'!D:D=D1498)"),"Penumarthi")</f>
        <v>Penumarthi</v>
      </c>
      <c r="D1498" s="91" t="s">
        <v>277</v>
      </c>
      <c r="E1498" s="91" t="s">
        <v>5057</v>
      </c>
      <c r="F1498" s="91" t="s">
        <v>114</v>
      </c>
      <c r="G1498" s="91" t="s">
        <v>85</v>
      </c>
      <c r="H1498" s="93" t="s">
        <v>5</v>
      </c>
      <c r="I1498" s="67"/>
      <c r="J1498" s="92">
        <v>7013754507</v>
      </c>
      <c r="K1498" s="67"/>
      <c r="L1498" s="67"/>
      <c r="M1498" s="67"/>
      <c r="N1498" s="67"/>
      <c r="O1498" s="67"/>
    </row>
    <row r="1499" spans="1:15" ht="30">
      <c r="A1499" s="91" t="s">
        <v>11</v>
      </c>
      <c r="B1499" s="91" t="s">
        <v>297</v>
      </c>
      <c r="C1499" s="92" t="str">
        <f ca="1">IFERROR(__xludf.DUMMYFUNCTION("filter('Back End'!C:C,'Back End'!A:A=A1499,'Back End'!B:B=B1499,'Back End'!D:D=D1499)"),"Aratlakatta")</f>
        <v>Aratlakatta</v>
      </c>
      <c r="D1499" s="91" t="s">
        <v>298</v>
      </c>
      <c r="E1499" s="91" t="s">
        <v>5058</v>
      </c>
      <c r="F1499" s="91" t="s">
        <v>139</v>
      </c>
      <c r="G1499" s="91" t="s">
        <v>594</v>
      </c>
      <c r="H1499" s="93" t="s">
        <v>5</v>
      </c>
      <c r="I1499" s="92" t="s">
        <v>3634</v>
      </c>
      <c r="J1499" s="92">
        <v>9550316813</v>
      </c>
      <c r="K1499" s="67"/>
      <c r="L1499" s="67"/>
      <c r="M1499" s="67"/>
      <c r="N1499" s="67"/>
      <c r="O1499" s="67"/>
    </row>
    <row r="1500" spans="1:15" ht="15">
      <c r="A1500" s="91" t="s">
        <v>11</v>
      </c>
      <c r="B1500" s="91" t="s">
        <v>297</v>
      </c>
      <c r="C1500" s="92" t="str">
        <f ca="1">IFERROR(__xludf.DUMMYFUNCTION("filter('Back End'!C:C,'Back End'!A:A=A1500,'Back End'!B:B=B1500,'Back End'!D:D=D1500)"),"Aratlakatta")</f>
        <v>Aratlakatta</v>
      </c>
      <c r="D1500" s="91" t="s">
        <v>298</v>
      </c>
      <c r="E1500" s="91" t="s">
        <v>5059</v>
      </c>
      <c r="F1500" s="91" t="s">
        <v>1669</v>
      </c>
      <c r="G1500" s="91" t="s">
        <v>615</v>
      </c>
      <c r="H1500" s="93" t="s">
        <v>5</v>
      </c>
      <c r="I1500" s="92" t="s">
        <v>3140</v>
      </c>
      <c r="J1500" s="92">
        <v>7702270967</v>
      </c>
      <c r="K1500" s="67"/>
      <c r="L1500" s="67"/>
      <c r="M1500" s="67"/>
      <c r="N1500" s="67"/>
      <c r="O1500" s="67"/>
    </row>
    <row r="1501" spans="1:15" ht="15">
      <c r="A1501" s="91" t="s">
        <v>11</v>
      </c>
      <c r="B1501" s="91" t="s">
        <v>261</v>
      </c>
      <c r="C1501" s="92" t="str">
        <f ca="1">IFERROR(__xludf.DUMMYFUNCTION("filter('Back End'!C:C,'Back End'!A:A=A1501,'Back End'!B:B=B1501,'Back End'!D:D=D1501)"),"Chidiga")</f>
        <v>Chidiga</v>
      </c>
      <c r="D1501" s="91" t="s">
        <v>262</v>
      </c>
      <c r="E1501" s="91" t="s">
        <v>5060</v>
      </c>
      <c r="F1501" s="67"/>
      <c r="G1501" s="91" t="s">
        <v>615</v>
      </c>
      <c r="H1501" s="93" t="s">
        <v>5</v>
      </c>
      <c r="I1501" s="67"/>
      <c r="J1501" s="92">
        <v>8497942432</v>
      </c>
      <c r="K1501" s="67"/>
      <c r="L1501" s="67"/>
      <c r="M1501" s="67"/>
      <c r="N1501" s="67"/>
      <c r="O1501" s="67"/>
    </row>
    <row r="1502" spans="1:15" ht="15">
      <c r="A1502" s="91" t="s">
        <v>11</v>
      </c>
      <c r="B1502" s="91" t="s">
        <v>261</v>
      </c>
      <c r="C1502" s="92" t="str">
        <f ca="1">IFERROR(__xludf.DUMMYFUNCTION("filter('Back End'!C:C,'Back End'!A:A=A1502,'Back End'!B:B=B1502,'Back End'!D:D=D1502)"),"Chidiga")</f>
        <v>Chidiga</v>
      </c>
      <c r="D1502" s="91" t="s">
        <v>262</v>
      </c>
      <c r="E1502" s="91" t="s">
        <v>5061</v>
      </c>
      <c r="F1502" s="67"/>
      <c r="G1502" s="91" t="s">
        <v>615</v>
      </c>
      <c r="H1502" s="93" t="s">
        <v>5</v>
      </c>
      <c r="I1502" s="67"/>
      <c r="J1502" s="92">
        <v>8885333398</v>
      </c>
      <c r="K1502" s="67"/>
      <c r="L1502" s="67"/>
      <c r="M1502" s="67"/>
      <c r="N1502" s="67"/>
      <c r="O1502" s="67"/>
    </row>
    <row r="1503" spans="1:15" ht="15">
      <c r="A1503" s="91" t="s">
        <v>11</v>
      </c>
      <c r="B1503" s="91" t="s">
        <v>261</v>
      </c>
      <c r="C1503" s="92" t="str">
        <f ca="1">IFERROR(__xludf.DUMMYFUNCTION("filter('Back End'!C:C,'Back End'!A:A=A1503,'Back End'!B:B=B1503,'Back End'!D:D=D1503)"),"Chidiga")</f>
        <v>Chidiga</v>
      </c>
      <c r="D1503" s="91" t="s">
        <v>262</v>
      </c>
      <c r="E1503" s="91" t="s">
        <v>5062</v>
      </c>
      <c r="F1503" s="67"/>
      <c r="G1503" s="91" t="s">
        <v>615</v>
      </c>
      <c r="H1503" s="93" t="s">
        <v>5</v>
      </c>
      <c r="I1503" s="67"/>
      <c r="J1503" s="92">
        <v>9848770063</v>
      </c>
      <c r="K1503" s="67"/>
      <c r="L1503" s="67"/>
      <c r="M1503" s="67"/>
      <c r="N1503" s="67"/>
      <c r="O1503" s="67"/>
    </row>
    <row r="1504" spans="1:15" ht="15">
      <c r="A1504" s="91" t="s">
        <v>11</v>
      </c>
      <c r="B1504" s="91" t="s">
        <v>261</v>
      </c>
      <c r="C1504" s="92" t="str">
        <f ca="1">IFERROR(__xludf.DUMMYFUNCTION("filter('Back End'!C:C,'Back End'!A:A=A1504,'Back End'!B:B=B1504,'Back End'!D:D=D1504)"),"Chidiga")</f>
        <v>Chidiga</v>
      </c>
      <c r="D1504" s="91" t="s">
        <v>262</v>
      </c>
      <c r="E1504" s="91" t="s">
        <v>5063</v>
      </c>
      <c r="F1504" s="67"/>
      <c r="G1504" s="91" t="s">
        <v>615</v>
      </c>
      <c r="H1504" s="93" t="s">
        <v>5</v>
      </c>
      <c r="I1504" s="67"/>
      <c r="J1504" s="92">
        <v>7386532426</v>
      </c>
      <c r="K1504" s="67"/>
      <c r="L1504" s="67"/>
      <c r="M1504" s="67"/>
      <c r="N1504" s="67"/>
      <c r="O1504" s="67"/>
    </row>
    <row r="1505" spans="1:15" ht="15">
      <c r="A1505" s="91" t="s">
        <v>11</v>
      </c>
      <c r="B1505" s="91" t="s">
        <v>261</v>
      </c>
      <c r="C1505" s="92" t="str">
        <f ca="1">IFERROR(__xludf.DUMMYFUNCTION("filter('Back End'!C:C,'Back End'!A:A=A1505,'Back End'!B:B=B1505,'Back End'!D:D=D1505)"),"Chidiga")</f>
        <v>Chidiga</v>
      </c>
      <c r="D1505" s="91" t="s">
        <v>262</v>
      </c>
      <c r="E1505" s="91" t="s">
        <v>5064</v>
      </c>
      <c r="F1505" s="67"/>
      <c r="G1505" s="91" t="s">
        <v>615</v>
      </c>
      <c r="H1505" s="93" t="s">
        <v>5</v>
      </c>
      <c r="I1505" s="67"/>
      <c r="J1505" s="92">
        <v>9000648524</v>
      </c>
      <c r="K1505" s="67"/>
      <c r="L1505" s="67"/>
      <c r="M1505" s="67"/>
      <c r="N1505" s="67"/>
      <c r="O1505" s="67"/>
    </row>
    <row r="1506" spans="1:15" ht="15">
      <c r="A1506" s="91" t="s">
        <v>11</v>
      </c>
      <c r="B1506" s="91" t="s">
        <v>261</v>
      </c>
      <c r="C1506" s="92" t="str">
        <f ca="1">IFERROR(__xludf.DUMMYFUNCTION("filter('Back End'!C:C,'Back End'!A:A=A1506,'Back End'!B:B=B1506,'Back End'!D:D=D1506)"),"Chidiga")</f>
        <v>Chidiga</v>
      </c>
      <c r="D1506" s="91" t="s">
        <v>262</v>
      </c>
      <c r="E1506" s="91" t="s">
        <v>5065</v>
      </c>
      <c r="F1506" s="67"/>
      <c r="G1506" s="91" t="s">
        <v>615</v>
      </c>
      <c r="H1506" s="93" t="s">
        <v>5</v>
      </c>
      <c r="I1506" s="67"/>
      <c r="J1506" s="92">
        <v>9515470020</v>
      </c>
      <c r="K1506" s="67"/>
      <c r="L1506" s="67"/>
      <c r="M1506" s="67"/>
      <c r="N1506" s="67"/>
      <c r="O1506" s="67"/>
    </row>
    <row r="1507" spans="1:15" ht="15">
      <c r="A1507" s="91" t="s">
        <v>11</v>
      </c>
      <c r="B1507" s="91" t="s">
        <v>297</v>
      </c>
      <c r="C1507" s="92" t="s">
        <v>341</v>
      </c>
      <c r="D1507" s="91" t="s">
        <v>5066</v>
      </c>
      <c r="E1507" s="91" t="s">
        <v>5067</v>
      </c>
      <c r="F1507" s="91" t="s">
        <v>114</v>
      </c>
      <c r="G1507" s="91" t="s">
        <v>85</v>
      </c>
      <c r="H1507" s="93" t="s">
        <v>5</v>
      </c>
      <c r="I1507" s="67"/>
      <c r="J1507" s="92">
        <v>9502319888</v>
      </c>
      <c r="K1507" s="67"/>
      <c r="L1507" s="67"/>
      <c r="M1507" s="67"/>
      <c r="N1507" s="67"/>
      <c r="O1507" s="67"/>
    </row>
    <row r="1508" spans="1:15" ht="15">
      <c r="A1508" s="91" t="s">
        <v>11</v>
      </c>
      <c r="B1508" s="91" t="s">
        <v>297</v>
      </c>
      <c r="C1508" s="92" t="s">
        <v>341</v>
      </c>
      <c r="D1508" s="91" t="s">
        <v>5066</v>
      </c>
      <c r="E1508" s="91" t="s">
        <v>5068</v>
      </c>
      <c r="F1508" s="91" t="s">
        <v>1669</v>
      </c>
      <c r="G1508" s="91" t="s">
        <v>615</v>
      </c>
      <c r="H1508" s="93" t="s">
        <v>5</v>
      </c>
      <c r="I1508" s="92" t="s">
        <v>3115</v>
      </c>
      <c r="J1508" s="92">
        <v>9014074678</v>
      </c>
      <c r="K1508" s="67"/>
      <c r="L1508" s="67"/>
      <c r="M1508" s="67"/>
      <c r="N1508" s="67"/>
      <c r="O1508" s="67"/>
    </row>
    <row r="1509" spans="1:15" ht="30">
      <c r="A1509" s="91" t="s">
        <v>11</v>
      </c>
      <c r="B1509" s="91" t="s">
        <v>297</v>
      </c>
      <c r="C1509" s="92" t="s">
        <v>341</v>
      </c>
      <c r="D1509" s="91" t="s">
        <v>5066</v>
      </c>
      <c r="E1509" s="91" t="s">
        <v>5069</v>
      </c>
      <c r="F1509" s="91" t="s">
        <v>139</v>
      </c>
      <c r="G1509" s="91" t="s">
        <v>594</v>
      </c>
      <c r="H1509" s="93" t="s">
        <v>5</v>
      </c>
      <c r="I1509" s="92" t="s">
        <v>3205</v>
      </c>
      <c r="J1509" s="92">
        <v>9848914135</v>
      </c>
      <c r="K1509" s="67"/>
      <c r="L1509" s="67"/>
      <c r="M1509" s="67"/>
      <c r="N1509" s="67"/>
      <c r="O1509" s="67"/>
    </row>
    <row r="1510" spans="1:15" ht="15">
      <c r="A1510" s="91" t="s">
        <v>11</v>
      </c>
      <c r="B1510" s="91" t="s">
        <v>261</v>
      </c>
      <c r="C1510" s="92" t="str">
        <f ca="1">IFERROR(__xludf.DUMMYFUNCTION("filter('Back End'!C:C,'Back End'!A:A=A1510,'Back End'!B:B=B1510,'Back End'!D:D=D1510)"),"Indra Palem")</f>
        <v>Indra Palem</v>
      </c>
      <c r="D1510" s="91" t="s">
        <v>266</v>
      </c>
      <c r="E1510" s="91" t="s">
        <v>5070</v>
      </c>
      <c r="F1510" s="67"/>
      <c r="G1510" s="91" t="s">
        <v>85</v>
      </c>
      <c r="H1510" s="93" t="s">
        <v>5</v>
      </c>
      <c r="I1510" s="67"/>
      <c r="J1510" s="92">
        <v>9963568889</v>
      </c>
      <c r="K1510" s="67"/>
      <c r="L1510" s="67"/>
      <c r="M1510" s="67"/>
      <c r="N1510" s="67"/>
      <c r="O1510" s="67"/>
    </row>
    <row r="1511" spans="1:15" ht="15">
      <c r="A1511" s="91" t="s">
        <v>11</v>
      </c>
      <c r="B1511" s="91" t="s">
        <v>261</v>
      </c>
      <c r="C1511" s="92" t="str">
        <f ca="1">IFERROR(__xludf.DUMMYFUNCTION("filter('Back End'!C:C,'Back End'!A:A=A1511,'Back End'!B:B=B1511,'Back End'!D:D=D1511)"),"Indra Palem")</f>
        <v>Indra Palem</v>
      </c>
      <c r="D1511" s="91" t="s">
        <v>266</v>
      </c>
      <c r="E1511" s="91" t="s">
        <v>5071</v>
      </c>
      <c r="F1511" s="67"/>
      <c r="G1511" s="91" t="s">
        <v>615</v>
      </c>
      <c r="H1511" s="93" t="s">
        <v>5</v>
      </c>
      <c r="I1511" s="67"/>
      <c r="J1511" s="92">
        <v>8341094466</v>
      </c>
      <c r="K1511" s="67"/>
      <c r="L1511" s="67"/>
      <c r="M1511" s="67"/>
      <c r="N1511" s="67"/>
      <c r="O1511" s="67"/>
    </row>
    <row r="1512" spans="1:15" ht="15">
      <c r="A1512" s="91" t="s">
        <v>11</v>
      </c>
      <c r="B1512" s="91" t="s">
        <v>261</v>
      </c>
      <c r="C1512" s="92" t="str">
        <f ca="1">IFERROR(__xludf.DUMMYFUNCTION("filter('Back End'!C:C,'Back End'!A:A=A1512,'Back End'!B:B=B1512,'Back End'!D:D=D1512)"),"Indra Palem")</f>
        <v>Indra Palem</v>
      </c>
      <c r="D1512" s="91" t="s">
        <v>266</v>
      </c>
      <c r="E1512" s="91" t="s">
        <v>5072</v>
      </c>
      <c r="F1512" s="67"/>
      <c r="G1512" s="91" t="s">
        <v>615</v>
      </c>
      <c r="H1512" s="93" t="s">
        <v>5</v>
      </c>
      <c r="I1512" s="67"/>
      <c r="J1512" s="92">
        <v>9948445464</v>
      </c>
      <c r="K1512" s="67"/>
      <c r="L1512" s="67"/>
      <c r="M1512" s="67"/>
      <c r="N1512" s="67"/>
      <c r="O1512" s="67"/>
    </row>
    <row r="1513" spans="1:15" ht="15">
      <c r="A1513" s="91" t="s">
        <v>11</v>
      </c>
      <c r="B1513" s="91" t="s">
        <v>261</v>
      </c>
      <c r="C1513" s="92" t="str">
        <f ca="1">IFERROR(__xludf.DUMMYFUNCTION("filter('Back End'!C:C,'Back End'!A:A=A1513,'Back End'!B:B=B1513,'Back End'!D:D=D1513)"),"Indra Palem")</f>
        <v>Indra Palem</v>
      </c>
      <c r="D1513" s="91" t="s">
        <v>266</v>
      </c>
      <c r="E1513" s="91" t="s">
        <v>5073</v>
      </c>
      <c r="F1513" s="67"/>
      <c r="G1513" s="91" t="s">
        <v>615</v>
      </c>
      <c r="H1513" s="93" t="s">
        <v>5</v>
      </c>
      <c r="I1513" s="67"/>
      <c r="J1513" s="92">
        <v>9848451003</v>
      </c>
      <c r="K1513" s="67"/>
      <c r="L1513" s="67"/>
      <c r="M1513" s="67"/>
      <c r="N1513" s="67"/>
      <c r="O1513" s="67"/>
    </row>
    <row r="1514" spans="1:15" ht="15">
      <c r="A1514" s="91" t="s">
        <v>11</v>
      </c>
      <c r="B1514" s="91" t="s">
        <v>261</v>
      </c>
      <c r="C1514" s="92" t="str">
        <f ca="1">IFERROR(__xludf.DUMMYFUNCTION("filter('Back End'!C:C,'Back End'!A:A=A1514,'Back End'!B:B=B1514,'Back End'!D:D=D1514)"),"Indra Palem")</f>
        <v>Indra Palem</v>
      </c>
      <c r="D1514" s="91" t="s">
        <v>266</v>
      </c>
      <c r="E1514" s="91" t="s">
        <v>5074</v>
      </c>
      <c r="F1514" s="67"/>
      <c r="G1514" s="91" t="s">
        <v>615</v>
      </c>
      <c r="H1514" s="93" t="s">
        <v>5</v>
      </c>
      <c r="I1514" s="67"/>
      <c r="J1514" s="92">
        <v>9908338160</v>
      </c>
      <c r="K1514" s="67"/>
      <c r="L1514" s="67"/>
      <c r="M1514" s="67"/>
      <c r="N1514" s="67"/>
      <c r="O1514" s="67"/>
    </row>
    <row r="1515" spans="1:15" ht="15">
      <c r="A1515" s="91" t="s">
        <v>11</v>
      </c>
      <c r="B1515" s="91" t="s">
        <v>261</v>
      </c>
      <c r="C1515" s="92" t="str">
        <f ca="1">IFERROR(__xludf.DUMMYFUNCTION("filter('Back End'!C:C,'Back End'!A:A=A1515,'Back End'!B:B=B1515,'Back End'!D:D=D1515)"),"Indra Palem")</f>
        <v>Indra Palem</v>
      </c>
      <c r="D1515" s="91" t="s">
        <v>266</v>
      </c>
      <c r="E1515" s="91" t="s">
        <v>5075</v>
      </c>
      <c r="F1515" s="67"/>
      <c r="G1515" s="91" t="s">
        <v>615</v>
      </c>
      <c r="H1515" s="93" t="s">
        <v>5</v>
      </c>
      <c r="I1515" s="67"/>
      <c r="J1515" s="92">
        <v>7730030089</v>
      </c>
      <c r="K1515" s="67"/>
      <c r="L1515" s="67"/>
      <c r="M1515" s="67"/>
      <c r="N1515" s="67"/>
      <c r="O1515" s="67"/>
    </row>
    <row r="1516" spans="1:15" ht="15">
      <c r="A1516" s="91" t="s">
        <v>11</v>
      </c>
      <c r="B1516" s="91" t="s">
        <v>261</v>
      </c>
      <c r="C1516" s="92" t="str">
        <f ca="1">IFERROR(__xludf.DUMMYFUNCTION("filter('Back End'!C:C,'Back End'!A:A=A1516,'Back End'!B:B=B1516,'Back End'!D:D=D1516)"),"Indra Palem")</f>
        <v>Indra Palem</v>
      </c>
      <c r="D1516" s="91" t="s">
        <v>266</v>
      </c>
      <c r="E1516" s="91" t="s">
        <v>5076</v>
      </c>
      <c r="F1516" s="67"/>
      <c r="G1516" s="91" t="s">
        <v>594</v>
      </c>
      <c r="H1516" s="93" t="s">
        <v>5</v>
      </c>
      <c r="I1516" s="67"/>
      <c r="J1516" s="92">
        <v>9701416903</v>
      </c>
      <c r="K1516" s="67"/>
      <c r="L1516" s="67"/>
      <c r="M1516" s="67"/>
      <c r="N1516" s="67"/>
      <c r="O1516" s="67"/>
    </row>
    <row r="1517" spans="1:15" ht="15">
      <c r="A1517" s="91" t="s">
        <v>11</v>
      </c>
      <c r="B1517" s="91" t="s">
        <v>261</v>
      </c>
      <c r="C1517" s="92" t="str">
        <f ca="1">IFERROR(__xludf.DUMMYFUNCTION("filter('Back End'!C:C,'Back End'!A:A=A1517,'Back End'!B:B=B1517,'Back End'!D:D=D1517)"),"Indra Palem")</f>
        <v>Indra Palem</v>
      </c>
      <c r="D1517" s="91" t="s">
        <v>266</v>
      </c>
      <c r="E1517" s="91" t="s">
        <v>5077</v>
      </c>
      <c r="F1517" s="67"/>
      <c r="G1517" s="91" t="s">
        <v>615</v>
      </c>
      <c r="H1517" s="93" t="s">
        <v>5</v>
      </c>
      <c r="I1517" s="67"/>
      <c r="J1517" s="92">
        <v>9948403989</v>
      </c>
      <c r="K1517" s="67"/>
      <c r="L1517" s="67"/>
      <c r="M1517" s="67"/>
      <c r="N1517" s="67"/>
      <c r="O1517" s="67"/>
    </row>
    <row r="1518" spans="1:15" ht="15">
      <c r="A1518" s="91" t="s">
        <v>11</v>
      </c>
      <c r="B1518" s="91" t="s">
        <v>297</v>
      </c>
      <c r="C1518" s="92" t="str">
        <f ca="1">IFERROR(__xludf.DUMMYFUNCTION("filter('Back End'!C:C,'Back End'!A:A=A1518,'Back End'!B:B=B1518,'Back End'!D:D=D1518)"),"Karapa")</f>
        <v>Karapa</v>
      </c>
      <c r="D1518" s="91" t="s">
        <v>297</v>
      </c>
      <c r="E1518" s="91" t="s">
        <v>5078</v>
      </c>
      <c r="F1518" s="91" t="s">
        <v>139</v>
      </c>
      <c r="G1518" s="91" t="s">
        <v>594</v>
      </c>
      <c r="H1518" s="93" t="s">
        <v>5</v>
      </c>
      <c r="I1518" s="67"/>
      <c r="J1518" s="92">
        <v>9177632229</v>
      </c>
      <c r="K1518" s="67"/>
      <c r="L1518" s="67"/>
      <c r="M1518" s="67"/>
      <c r="N1518" s="67"/>
      <c r="O1518" s="67"/>
    </row>
    <row r="1519" spans="1:15" ht="15">
      <c r="A1519" s="91" t="s">
        <v>11</v>
      </c>
      <c r="B1519" s="91" t="s">
        <v>297</v>
      </c>
      <c r="C1519" s="92" t="str">
        <f ca="1">IFERROR(__xludf.DUMMYFUNCTION("filter('Back End'!C:C,'Back End'!A:A=A1519,'Back End'!B:B=B1519,'Back End'!D:D=D1519)"),"Karapa")</f>
        <v>Karapa</v>
      </c>
      <c r="D1519" s="91" t="s">
        <v>297</v>
      </c>
      <c r="E1519" s="91" t="s">
        <v>5079</v>
      </c>
      <c r="F1519" s="91" t="s">
        <v>139</v>
      </c>
      <c r="G1519" s="91" t="s">
        <v>594</v>
      </c>
      <c r="H1519" s="93" t="s">
        <v>5</v>
      </c>
      <c r="I1519" s="67"/>
      <c r="J1519" s="92">
        <v>7658956664</v>
      </c>
      <c r="K1519" s="67"/>
      <c r="L1519" s="67"/>
      <c r="M1519" s="67"/>
      <c r="N1519" s="67"/>
      <c r="O1519" s="67"/>
    </row>
    <row r="1520" spans="1:15" ht="15">
      <c r="A1520" s="91" t="s">
        <v>11</v>
      </c>
      <c r="B1520" s="91" t="s">
        <v>297</v>
      </c>
      <c r="C1520" s="92" t="str">
        <f ca="1">IFERROR(__xludf.DUMMYFUNCTION("filter('Back End'!C:C,'Back End'!A:A=A1520,'Back End'!B:B=B1520,'Back End'!D:D=D1520)"),"Karapa")</f>
        <v>Karapa</v>
      </c>
      <c r="D1520" s="91" t="s">
        <v>297</v>
      </c>
      <c r="E1520" s="91" t="s">
        <v>5080</v>
      </c>
      <c r="F1520" s="91" t="s">
        <v>139</v>
      </c>
      <c r="G1520" s="91" t="s">
        <v>594</v>
      </c>
      <c r="H1520" s="93" t="s">
        <v>5</v>
      </c>
      <c r="I1520" s="67"/>
      <c r="J1520" s="92">
        <v>8790332656</v>
      </c>
      <c r="K1520" s="67"/>
      <c r="L1520" s="67"/>
      <c r="M1520" s="67"/>
      <c r="N1520" s="67"/>
      <c r="O1520" s="67"/>
    </row>
    <row r="1521" spans="1:15" ht="15">
      <c r="A1521" s="91" t="s">
        <v>11</v>
      </c>
      <c r="B1521" s="91" t="s">
        <v>297</v>
      </c>
      <c r="C1521" s="92" t="str">
        <f ca="1">IFERROR(__xludf.DUMMYFUNCTION("filter('Back End'!C:C,'Back End'!A:A=A1521,'Back End'!B:B=B1521,'Back End'!D:D=D1521)"),"Karapa")</f>
        <v>Karapa</v>
      </c>
      <c r="D1521" s="91" t="s">
        <v>297</v>
      </c>
      <c r="E1521" s="91" t="s">
        <v>5081</v>
      </c>
      <c r="F1521" s="91" t="s">
        <v>114</v>
      </c>
      <c r="G1521" s="91" t="s">
        <v>85</v>
      </c>
      <c r="H1521" s="93" t="s">
        <v>5</v>
      </c>
      <c r="I1521" s="67"/>
      <c r="J1521" s="92">
        <v>9492949780</v>
      </c>
      <c r="K1521" s="67"/>
      <c r="L1521" s="67"/>
      <c r="M1521" s="67"/>
      <c r="N1521" s="67"/>
      <c r="O1521" s="67"/>
    </row>
    <row r="1522" spans="1:15" ht="15">
      <c r="A1522" s="91" t="s">
        <v>11</v>
      </c>
      <c r="B1522" s="91" t="s">
        <v>297</v>
      </c>
      <c r="C1522" s="92" t="str">
        <f ca="1">IFERROR(__xludf.DUMMYFUNCTION("filter('Back End'!C:C,'Back End'!A:A=A1522,'Back End'!B:B=B1522,'Back End'!D:D=D1522)"),"Karapa")</f>
        <v>Karapa</v>
      </c>
      <c r="D1522" s="91" t="s">
        <v>297</v>
      </c>
      <c r="E1522" s="91" t="s">
        <v>5082</v>
      </c>
      <c r="F1522" s="67"/>
      <c r="G1522" s="67"/>
      <c r="H1522" s="93" t="s">
        <v>5</v>
      </c>
      <c r="I1522" s="92" t="s">
        <v>3185</v>
      </c>
      <c r="J1522" s="92">
        <v>8790332656</v>
      </c>
      <c r="K1522" s="67"/>
      <c r="L1522" s="67"/>
      <c r="M1522" s="67"/>
      <c r="N1522" s="67"/>
      <c r="O1522" s="67"/>
    </row>
    <row r="1523" spans="1:15" ht="15">
      <c r="A1523" s="91" t="s">
        <v>11</v>
      </c>
      <c r="B1523" s="91" t="s">
        <v>297</v>
      </c>
      <c r="C1523" s="92" t="str">
        <f ca="1">IFERROR(__xludf.DUMMYFUNCTION("filter('Back End'!C:C,'Back End'!A:A=A1523,'Back End'!B:B=B1523,'Back End'!D:D=D1523)"),"Karapa")</f>
        <v>Karapa</v>
      </c>
      <c r="D1523" s="91" t="s">
        <v>297</v>
      </c>
      <c r="E1523" s="91" t="s">
        <v>5083</v>
      </c>
      <c r="F1523" s="67"/>
      <c r="G1523" s="67"/>
      <c r="H1523" s="93" t="s">
        <v>6</v>
      </c>
      <c r="I1523" s="92" t="s">
        <v>4039</v>
      </c>
      <c r="J1523" s="92">
        <v>9318811117</v>
      </c>
      <c r="K1523" s="67"/>
      <c r="L1523" s="67"/>
      <c r="M1523" s="67"/>
      <c r="N1523" s="67"/>
      <c r="O1523" s="67"/>
    </row>
    <row r="1524" spans="1:15" ht="15">
      <c r="A1524" s="91" t="s">
        <v>11</v>
      </c>
      <c r="B1524" s="91" t="s">
        <v>297</v>
      </c>
      <c r="C1524" s="92" t="str">
        <f ca="1">IFERROR(__xludf.DUMMYFUNCTION("filter('Back End'!C:C,'Back End'!A:A=A1524,'Back End'!B:B=B1524,'Back End'!D:D=D1524)"),"Peda Kothuru")</f>
        <v>Peda Kothuru</v>
      </c>
      <c r="D1524" s="91" t="s">
        <v>319</v>
      </c>
      <c r="E1524" s="91" t="s">
        <v>5084</v>
      </c>
      <c r="F1524" s="67"/>
      <c r="G1524" s="91" t="s">
        <v>615</v>
      </c>
      <c r="H1524" s="93" t="s">
        <v>5</v>
      </c>
      <c r="I1524" s="67"/>
      <c r="J1524" s="92">
        <v>9949729948</v>
      </c>
      <c r="K1524" s="67"/>
      <c r="L1524" s="67"/>
      <c r="M1524" s="67"/>
      <c r="N1524" s="67"/>
      <c r="O1524" s="67"/>
    </row>
    <row r="1525" spans="1:15" ht="15">
      <c r="A1525" s="91" t="s">
        <v>11</v>
      </c>
      <c r="B1525" s="91" t="s">
        <v>297</v>
      </c>
      <c r="C1525" s="92" t="str">
        <f ca="1">IFERROR(__xludf.DUMMYFUNCTION("filter('Back End'!C:C,'Back End'!A:A=A1525,'Back End'!B:B=B1525,'Back End'!D:D=D1525)"),"Peda Kothuru")</f>
        <v>Peda Kothuru</v>
      </c>
      <c r="D1525" s="91" t="s">
        <v>319</v>
      </c>
      <c r="E1525" s="91" t="s">
        <v>5085</v>
      </c>
      <c r="F1525" s="91" t="s">
        <v>139</v>
      </c>
      <c r="G1525" s="91" t="s">
        <v>594</v>
      </c>
      <c r="H1525" s="93" t="s">
        <v>5</v>
      </c>
      <c r="I1525" s="67"/>
      <c r="J1525" s="92">
        <v>9848295290</v>
      </c>
      <c r="K1525" s="67"/>
      <c r="L1525" s="67"/>
      <c r="M1525" s="67"/>
      <c r="N1525" s="67"/>
      <c r="O1525" s="67"/>
    </row>
    <row r="1526" spans="1:15" ht="30">
      <c r="A1526" s="91" t="s">
        <v>11</v>
      </c>
      <c r="B1526" s="91" t="s">
        <v>297</v>
      </c>
      <c r="C1526" s="92" t="str">
        <f ca="1">IFERROR(__xludf.DUMMYFUNCTION("filter('Back End'!C:C,'Back End'!A:A=A1526,'Back End'!B:B=B1526,'Back End'!D:D=D1526)"),"Peda Kothuru")</f>
        <v>Peda Kothuru</v>
      </c>
      <c r="D1526" s="91" t="s">
        <v>319</v>
      </c>
      <c r="E1526" s="91" t="s">
        <v>5086</v>
      </c>
      <c r="F1526" s="91" t="s">
        <v>139</v>
      </c>
      <c r="G1526" s="91" t="s">
        <v>594</v>
      </c>
      <c r="H1526" s="93" t="s">
        <v>5</v>
      </c>
      <c r="I1526" s="92" t="s">
        <v>5087</v>
      </c>
      <c r="J1526" s="92">
        <v>9949483349</v>
      </c>
      <c r="K1526" s="67"/>
      <c r="L1526" s="67"/>
      <c r="M1526" s="67"/>
      <c r="N1526" s="67"/>
      <c r="O1526" s="67"/>
    </row>
    <row r="1527" spans="1:15" ht="30">
      <c r="A1527" s="91" t="s">
        <v>11</v>
      </c>
      <c r="B1527" s="91" t="s">
        <v>297</v>
      </c>
      <c r="C1527" s="92" t="str">
        <f ca="1">IFERROR(__xludf.DUMMYFUNCTION("filter('Back End'!C:C,'Back End'!A:A=A1527,'Back End'!B:B=B1527,'Back End'!D:D=D1527)"),"Peda Kothuru")</f>
        <v>Peda Kothuru</v>
      </c>
      <c r="D1527" s="91" t="s">
        <v>319</v>
      </c>
      <c r="E1527" s="91" t="s">
        <v>5088</v>
      </c>
      <c r="F1527" s="91" t="s">
        <v>139</v>
      </c>
      <c r="G1527" s="91" t="s">
        <v>594</v>
      </c>
      <c r="H1527" s="93" t="s">
        <v>5</v>
      </c>
      <c r="I1527" s="92" t="s">
        <v>3162</v>
      </c>
      <c r="J1527" s="92">
        <v>9848295290</v>
      </c>
      <c r="K1527" s="67"/>
      <c r="L1527" s="67"/>
      <c r="M1527" s="67"/>
      <c r="N1527" s="67"/>
      <c r="O1527" s="67"/>
    </row>
    <row r="1528" spans="1:15" ht="15">
      <c r="A1528" s="91" t="s">
        <v>11</v>
      </c>
      <c r="B1528" s="91" t="s">
        <v>297</v>
      </c>
      <c r="C1528" s="92" t="str">
        <f ca="1">IFERROR(__xludf.DUMMYFUNCTION("filter('Back End'!C:C,'Back End'!A:A=A1528,'Back End'!B:B=B1528,'Back End'!D:D=D1528)"),"Peda Kothuru")</f>
        <v>Peda Kothuru</v>
      </c>
      <c r="D1528" s="91" t="s">
        <v>319</v>
      </c>
      <c r="E1528" s="91" t="s">
        <v>5089</v>
      </c>
      <c r="F1528" s="67" t="s">
        <v>3138</v>
      </c>
      <c r="G1528" s="67"/>
      <c r="H1528" s="93" t="s">
        <v>4</v>
      </c>
      <c r="I1528" s="92" t="s">
        <v>3125</v>
      </c>
      <c r="J1528" s="92">
        <v>9949549187</v>
      </c>
      <c r="K1528" s="67"/>
      <c r="L1528" s="67"/>
      <c r="M1528" s="67"/>
      <c r="N1528" s="67"/>
      <c r="O1528" s="67"/>
    </row>
    <row r="1529" spans="1:15" ht="30">
      <c r="A1529" s="91" t="s">
        <v>11</v>
      </c>
      <c r="B1529" s="91" t="s">
        <v>297</v>
      </c>
      <c r="C1529" s="92" t="str">
        <f ca="1">IFERROR(__xludf.DUMMYFUNCTION("filter('Back End'!C:C,'Back End'!A:A=A1529,'Back End'!B:B=B1529,'Back End'!D:D=D1529)"),"Peda Kothuru")</f>
        <v>Peda Kothuru</v>
      </c>
      <c r="D1529" s="91" t="s">
        <v>319</v>
      </c>
      <c r="E1529" s="91" t="s">
        <v>5090</v>
      </c>
      <c r="F1529" s="91" t="s">
        <v>114</v>
      </c>
      <c r="G1529" s="91" t="s">
        <v>85</v>
      </c>
      <c r="H1529" s="93" t="s">
        <v>5</v>
      </c>
      <c r="I1529" s="92" t="s">
        <v>3495</v>
      </c>
      <c r="J1529" s="92">
        <v>9885734455</v>
      </c>
      <c r="K1529" s="67"/>
      <c r="L1529" s="67"/>
      <c r="M1529" s="67"/>
      <c r="N1529" s="67"/>
      <c r="O1529" s="67"/>
    </row>
    <row r="1530" spans="1:15" ht="15">
      <c r="A1530" s="91" t="s">
        <v>11</v>
      </c>
      <c r="B1530" s="91" t="s">
        <v>261</v>
      </c>
      <c r="C1530" s="92" t="str">
        <f ca="1">IFERROR(__xludf.DUMMYFUNCTION("filter('Back End'!C:C,'Back End'!A:A=A1530,'Back End'!B:B=B1530,'Back End'!D:D=D1530)"),"Kovvada")</f>
        <v>Kovvada</v>
      </c>
      <c r="D1530" s="91" t="s">
        <v>267</v>
      </c>
      <c r="E1530" s="91" t="s">
        <v>5091</v>
      </c>
      <c r="F1530" s="67"/>
      <c r="G1530" s="91" t="s">
        <v>594</v>
      </c>
      <c r="H1530" s="93" t="s">
        <v>5</v>
      </c>
      <c r="I1530" s="67"/>
      <c r="J1530" s="92">
        <v>9959040969</v>
      </c>
      <c r="K1530" s="67"/>
      <c r="L1530" s="67"/>
      <c r="M1530" s="67"/>
      <c r="N1530" s="67"/>
      <c r="O1530" s="67"/>
    </row>
    <row r="1531" spans="1:15" ht="15">
      <c r="A1531" s="91" t="s">
        <v>11</v>
      </c>
      <c r="B1531" s="91" t="s">
        <v>261</v>
      </c>
      <c r="C1531" s="92" t="str">
        <f ca="1">IFERROR(__xludf.DUMMYFUNCTION("filter('Back End'!C:C,'Back End'!A:A=A1531,'Back End'!B:B=B1531,'Back End'!D:D=D1531)"),"Kovvada")</f>
        <v>Kovvada</v>
      </c>
      <c r="D1531" s="91" t="s">
        <v>267</v>
      </c>
      <c r="E1531" s="91" t="s">
        <v>5092</v>
      </c>
      <c r="F1531" s="67"/>
      <c r="G1531" s="91" t="s">
        <v>615</v>
      </c>
      <c r="H1531" s="93" t="s">
        <v>5</v>
      </c>
      <c r="I1531" s="67"/>
      <c r="J1531" s="92">
        <v>9866088279</v>
      </c>
      <c r="K1531" s="67"/>
      <c r="L1531" s="67"/>
      <c r="M1531" s="67"/>
      <c r="N1531" s="67"/>
      <c r="O1531" s="67"/>
    </row>
    <row r="1532" spans="1:15" ht="15">
      <c r="A1532" s="91" t="s">
        <v>11</v>
      </c>
      <c r="B1532" s="91" t="s">
        <v>261</v>
      </c>
      <c r="C1532" s="92" t="str">
        <f ca="1">IFERROR(__xludf.DUMMYFUNCTION("filter('Back End'!C:C,'Back End'!A:A=A1532,'Back End'!B:B=B1532,'Back End'!D:D=D1532)"),"Kovvada")</f>
        <v>Kovvada</v>
      </c>
      <c r="D1532" s="91" t="s">
        <v>267</v>
      </c>
      <c r="E1532" s="91" t="s">
        <v>5093</v>
      </c>
      <c r="F1532" s="67"/>
      <c r="G1532" s="91" t="s">
        <v>85</v>
      </c>
      <c r="H1532" s="93" t="s">
        <v>5</v>
      </c>
      <c r="I1532" s="67"/>
      <c r="J1532" s="92">
        <v>9553334496</v>
      </c>
      <c r="K1532" s="67"/>
      <c r="L1532" s="67"/>
      <c r="M1532" s="67"/>
      <c r="N1532" s="67"/>
      <c r="O1532" s="67"/>
    </row>
    <row r="1533" spans="1:15" ht="15">
      <c r="A1533" s="91" t="s">
        <v>11</v>
      </c>
      <c r="B1533" s="91" t="s">
        <v>261</v>
      </c>
      <c r="C1533" s="92" t="str">
        <f ca="1">IFERROR(__xludf.DUMMYFUNCTION("filter('Back End'!C:C,'Back End'!A:A=A1533,'Back End'!B:B=B1533,'Back End'!D:D=D1533)"),"Kovvada")</f>
        <v>Kovvada</v>
      </c>
      <c r="D1533" s="91" t="s">
        <v>267</v>
      </c>
      <c r="E1533" s="91" t="s">
        <v>5094</v>
      </c>
      <c r="F1533" s="67"/>
      <c r="G1533" s="91" t="s">
        <v>594</v>
      </c>
      <c r="H1533" s="93" t="s">
        <v>5</v>
      </c>
      <c r="I1533" s="67"/>
      <c r="J1533" s="92">
        <v>9848152781</v>
      </c>
      <c r="K1533" s="67"/>
      <c r="L1533" s="67"/>
      <c r="M1533" s="67"/>
      <c r="N1533" s="67"/>
      <c r="O1533" s="67"/>
    </row>
    <row r="1534" spans="1:15" ht="45">
      <c r="A1534" s="91" t="s">
        <v>10</v>
      </c>
      <c r="B1534" s="92" t="s">
        <v>261</v>
      </c>
      <c r="C1534" s="92" t="str">
        <f ca="1">IFERROR(__xludf.DUMMYFUNCTION("filter('Back End'!C:C,'Back End'!A:A=A1534,'Back End'!B:B=B1534,'Back End'!D:D=D1534)"),"#N/A")</f>
        <v>#N/A</v>
      </c>
      <c r="D1534" s="91" t="s">
        <v>267</v>
      </c>
      <c r="E1534" s="92" t="s">
        <v>5095</v>
      </c>
      <c r="F1534" s="91" t="s">
        <v>1638</v>
      </c>
      <c r="G1534" s="91" t="s">
        <v>594</v>
      </c>
      <c r="H1534" s="93" t="s">
        <v>4</v>
      </c>
      <c r="I1534" s="92" t="s">
        <v>5096</v>
      </c>
      <c r="J1534" s="92" t="s">
        <v>2631</v>
      </c>
      <c r="K1534" s="92" t="s">
        <v>3218</v>
      </c>
      <c r="L1534" s="67"/>
      <c r="M1534" s="67"/>
      <c r="N1534" s="67"/>
      <c r="O1534" s="67"/>
    </row>
    <row r="1535" spans="1:15" ht="60">
      <c r="A1535" s="91" t="s">
        <v>10</v>
      </c>
      <c r="B1535" s="92" t="s">
        <v>261</v>
      </c>
      <c r="C1535" s="92" t="str">
        <f ca="1">IFERROR(__xludf.DUMMYFUNCTION("filter('Back End'!C:C,'Back End'!A:A=A1535,'Back End'!B:B=B1535,'Back End'!D:D=D1535)"),"#N/A")</f>
        <v>#N/A</v>
      </c>
      <c r="D1535" s="91" t="s">
        <v>267</v>
      </c>
      <c r="E1535" s="92" t="s">
        <v>5097</v>
      </c>
      <c r="F1535" s="91" t="s">
        <v>139</v>
      </c>
      <c r="G1535" s="91" t="s">
        <v>594</v>
      </c>
      <c r="H1535" s="93" t="s">
        <v>6</v>
      </c>
      <c r="I1535" s="92" t="s">
        <v>5098</v>
      </c>
      <c r="J1535" s="92">
        <v>9966097546</v>
      </c>
      <c r="K1535" s="92" t="s">
        <v>4116</v>
      </c>
      <c r="L1535" s="67"/>
      <c r="M1535" s="67"/>
      <c r="N1535" s="67"/>
      <c r="O1535" s="67"/>
    </row>
    <row r="1536" spans="1:15" ht="30">
      <c r="A1536" s="91" t="s">
        <v>10</v>
      </c>
      <c r="B1536" s="92" t="s">
        <v>261</v>
      </c>
      <c r="C1536" s="92" t="str">
        <f ca="1">IFERROR(__xludf.DUMMYFUNCTION("filter('Back End'!C:C,'Back End'!A:A=A1536,'Back End'!B:B=B1536,'Back End'!D:D=D1536)"),"#N/A")</f>
        <v>#N/A</v>
      </c>
      <c r="D1536" s="91" t="s">
        <v>267</v>
      </c>
      <c r="E1536" s="92" t="s">
        <v>268</v>
      </c>
      <c r="F1536" s="91" t="s">
        <v>139</v>
      </c>
      <c r="G1536" s="91" t="s">
        <v>594</v>
      </c>
      <c r="H1536" s="93" t="s">
        <v>5</v>
      </c>
      <c r="I1536" s="92" t="s">
        <v>3115</v>
      </c>
      <c r="J1536" s="92">
        <v>9966097546</v>
      </c>
      <c r="K1536" s="92" t="s">
        <v>4116</v>
      </c>
      <c r="L1536" s="67"/>
      <c r="M1536" s="67"/>
      <c r="N1536" s="67"/>
      <c r="O1536" s="67"/>
    </row>
    <row r="1537" spans="1:15" ht="15">
      <c r="A1537" s="91" t="s">
        <v>11</v>
      </c>
      <c r="B1537" s="91" t="s">
        <v>261</v>
      </c>
      <c r="C1537" s="92" t="str">
        <f ca="1">IFERROR(__xludf.DUMMYFUNCTION("filter('Back End'!C:C,'Back End'!A:A=A1537,'Back End'!B:B=B1537,'Back End'!D:D=D1537)"),"Kovvada")</f>
        <v>Kovvada</v>
      </c>
      <c r="D1537" s="91" t="s">
        <v>267</v>
      </c>
      <c r="E1537" s="91" t="s">
        <v>5099</v>
      </c>
      <c r="F1537" s="67" t="s">
        <v>3138</v>
      </c>
      <c r="G1537" s="67"/>
      <c r="H1537" s="93" t="s">
        <v>4</v>
      </c>
      <c r="I1537" s="92" t="s">
        <v>3125</v>
      </c>
      <c r="J1537" s="92">
        <v>9848933118</v>
      </c>
      <c r="K1537" s="67"/>
      <c r="L1537" s="67"/>
      <c r="M1537" s="67"/>
      <c r="N1537" s="67"/>
      <c r="O1537" s="67"/>
    </row>
    <row r="1538" spans="1:15" ht="15">
      <c r="A1538" s="91" t="s">
        <v>11</v>
      </c>
      <c r="B1538" s="91" t="s">
        <v>261</v>
      </c>
      <c r="C1538" s="92" t="str">
        <f ca="1">IFERROR(__xludf.DUMMYFUNCTION("filter('Back End'!C:C,'Back End'!A:A=A1538,'Back End'!B:B=B1538,'Back End'!D:D=D1538)"),"Panduru")</f>
        <v>Panduru</v>
      </c>
      <c r="D1538" s="91" t="s">
        <v>275</v>
      </c>
      <c r="E1538" s="91" t="s">
        <v>5100</v>
      </c>
      <c r="F1538" s="91" t="s">
        <v>139</v>
      </c>
      <c r="G1538" s="91" t="s">
        <v>594</v>
      </c>
      <c r="H1538" s="93" t="s">
        <v>5</v>
      </c>
      <c r="I1538" s="67"/>
      <c r="J1538" s="92">
        <v>9704768771</v>
      </c>
      <c r="K1538" s="67"/>
      <c r="L1538" s="67"/>
      <c r="M1538" s="67"/>
      <c r="N1538" s="67"/>
      <c r="O1538" s="67"/>
    </row>
    <row r="1539" spans="1:15" ht="15">
      <c r="A1539" s="91" t="s">
        <v>11</v>
      </c>
      <c r="B1539" s="91" t="s">
        <v>261</v>
      </c>
      <c r="C1539" s="92" t="str">
        <f ca="1">IFERROR(__xludf.DUMMYFUNCTION("filter('Back End'!C:C,'Back End'!A:A=A1539,'Back End'!B:B=B1539,'Back End'!D:D=D1539)"),"Panduru")</f>
        <v>Panduru</v>
      </c>
      <c r="D1539" s="91" t="s">
        <v>275</v>
      </c>
      <c r="E1539" s="91" t="s">
        <v>5101</v>
      </c>
      <c r="F1539" s="91" t="s">
        <v>139</v>
      </c>
      <c r="G1539" s="91" t="s">
        <v>594</v>
      </c>
      <c r="H1539" s="93" t="s">
        <v>5</v>
      </c>
      <c r="I1539" s="67"/>
      <c r="J1539" s="92">
        <v>9093451245</v>
      </c>
      <c r="K1539" s="67"/>
      <c r="L1539" s="67"/>
      <c r="M1539" s="67"/>
      <c r="N1539" s="67"/>
      <c r="O1539" s="67"/>
    </row>
    <row r="1540" spans="1:15" ht="15">
      <c r="A1540" s="91" t="s">
        <v>11</v>
      </c>
      <c r="B1540" s="91" t="s">
        <v>261</v>
      </c>
      <c r="C1540" s="92" t="str">
        <f ca="1">IFERROR(__xludf.DUMMYFUNCTION("filter('Back End'!C:C,'Back End'!A:A=A1540,'Back End'!B:B=B1540,'Back End'!D:D=D1540)"),"Panduru")</f>
        <v>Panduru</v>
      </c>
      <c r="D1540" s="91" t="s">
        <v>275</v>
      </c>
      <c r="E1540" s="91" t="s">
        <v>5102</v>
      </c>
      <c r="F1540" s="91" t="s">
        <v>467</v>
      </c>
      <c r="G1540" s="91" t="s">
        <v>85</v>
      </c>
      <c r="H1540" s="93" t="s">
        <v>5</v>
      </c>
      <c r="I1540" s="67"/>
      <c r="J1540" s="92">
        <v>9948470923</v>
      </c>
      <c r="K1540" s="67"/>
      <c r="L1540" s="67"/>
      <c r="M1540" s="67"/>
      <c r="N1540" s="67"/>
      <c r="O1540" s="67"/>
    </row>
    <row r="1541" spans="1:15" ht="15">
      <c r="A1541" s="91" t="s">
        <v>11</v>
      </c>
      <c r="B1541" s="91" t="s">
        <v>261</v>
      </c>
      <c r="C1541" s="92" t="str">
        <f ca="1">IFERROR(__xludf.DUMMYFUNCTION("filter('Back End'!C:C,'Back End'!A:A=A1541,'Back End'!B:B=B1541,'Back End'!D:D=D1541)"),"Panduru")</f>
        <v>Panduru</v>
      </c>
      <c r="D1541" s="91" t="s">
        <v>275</v>
      </c>
      <c r="E1541" s="91" t="s">
        <v>5103</v>
      </c>
      <c r="F1541" s="91" t="s">
        <v>139</v>
      </c>
      <c r="G1541" s="91" t="s">
        <v>594</v>
      </c>
      <c r="H1541" s="93" t="s">
        <v>5</v>
      </c>
      <c r="I1541" s="67"/>
      <c r="J1541" s="92">
        <v>9493748949</v>
      </c>
      <c r="K1541" s="67"/>
      <c r="L1541" s="67"/>
      <c r="M1541" s="67"/>
      <c r="N1541" s="67"/>
      <c r="O1541" s="67"/>
    </row>
    <row r="1542" spans="1:15" ht="15">
      <c r="A1542" s="91" t="s">
        <v>11</v>
      </c>
      <c r="B1542" s="91" t="s">
        <v>297</v>
      </c>
      <c r="C1542" s="92" t="str">
        <f ca="1">IFERROR(__xludf.DUMMYFUNCTION("filter('Back End'!C:C,'Back End'!A:A=A1542,'Back End'!B:B=B1542,'Back End'!D:D=D1542)"),"Penuguduru")</f>
        <v>Penuguduru</v>
      </c>
      <c r="D1542" s="91" t="s">
        <v>323</v>
      </c>
      <c r="E1542" s="91" t="s">
        <v>5104</v>
      </c>
      <c r="F1542" s="67"/>
      <c r="G1542" s="91" t="s">
        <v>85</v>
      </c>
      <c r="H1542" s="93" t="s">
        <v>5</v>
      </c>
      <c r="I1542" s="67"/>
      <c r="J1542" s="92">
        <v>9866071189</v>
      </c>
      <c r="K1542" s="67"/>
      <c r="L1542" s="67"/>
      <c r="M1542" s="67"/>
      <c r="N1542" s="67"/>
      <c r="O1542" s="67"/>
    </row>
    <row r="1543" spans="1:15" ht="15">
      <c r="A1543" s="91" t="s">
        <v>11</v>
      </c>
      <c r="B1543" s="91" t="s">
        <v>261</v>
      </c>
      <c r="C1543" s="92" t="str">
        <f ca="1">IFERROR(__xludf.DUMMYFUNCTION("filter('Back End'!C:C,'Back End'!A:A=A1543,'Back End'!B:B=B1543,'Back End'!D:D=D1543)"),"Ramanayyapeta")</f>
        <v>Ramanayyapeta</v>
      </c>
      <c r="D1543" s="91" t="s">
        <v>280</v>
      </c>
      <c r="E1543" s="91" t="s">
        <v>5105</v>
      </c>
      <c r="F1543" s="67"/>
      <c r="G1543" s="91" t="s">
        <v>594</v>
      </c>
      <c r="H1543" s="93" t="s">
        <v>5</v>
      </c>
      <c r="I1543" s="67"/>
      <c r="J1543" s="92">
        <v>9493077485</v>
      </c>
      <c r="K1543" s="67"/>
      <c r="L1543" s="67"/>
      <c r="M1543" s="67"/>
      <c r="N1543" s="67"/>
      <c r="O1543" s="67"/>
    </row>
    <row r="1544" spans="1:15" ht="15">
      <c r="A1544" s="91" t="s">
        <v>11</v>
      </c>
      <c r="B1544" s="91" t="s">
        <v>261</v>
      </c>
      <c r="C1544" s="92" t="str">
        <f ca="1">IFERROR(__xludf.DUMMYFUNCTION("filter('Back End'!C:C,'Back End'!A:A=A1544,'Back End'!B:B=B1544,'Back End'!D:D=D1544)"),"Ramanayyapeta")</f>
        <v>Ramanayyapeta</v>
      </c>
      <c r="D1544" s="91" t="s">
        <v>280</v>
      </c>
      <c r="E1544" s="91" t="s">
        <v>5106</v>
      </c>
      <c r="F1544" s="67"/>
      <c r="G1544" s="91" t="s">
        <v>594</v>
      </c>
      <c r="H1544" s="93" t="s">
        <v>5</v>
      </c>
      <c r="I1544" s="67"/>
      <c r="J1544" s="92">
        <v>8985299744</v>
      </c>
      <c r="K1544" s="67"/>
      <c r="L1544" s="67"/>
      <c r="M1544" s="67"/>
      <c r="N1544" s="67"/>
      <c r="O1544" s="67"/>
    </row>
    <row r="1545" spans="1:15" ht="15">
      <c r="A1545" s="91" t="s">
        <v>11</v>
      </c>
      <c r="B1545" s="91" t="s">
        <v>261</v>
      </c>
      <c r="C1545" s="92" t="str">
        <f ca="1">IFERROR(__xludf.DUMMYFUNCTION("filter('Back End'!C:C,'Back End'!A:A=A1545,'Back End'!B:B=B1545,'Back End'!D:D=D1545)"),"Ramanayyapeta")</f>
        <v>Ramanayyapeta</v>
      </c>
      <c r="D1545" s="91" t="s">
        <v>280</v>
      </c>
      <c r="E1545" s="91" t="s">
        <v>5107</v>
      </c>
      <c r="F1545" s="67" t="s">
        <v>3138</v>
      </c>
      <c r="G1545" s="67"/>
      <c r="H1545" s="93" t="s">
        <v>5</v>
      </c>
      <c r="I1545" s="67"/>
      <c r="J1545" s="92">
        <v>9505855808</v>
      </c>
      <c r="K1545" s="67"/>
      <c r="L1545" s="67"/>
      <c r="M1545" s="67"/>
      <c r="N1545" s="67"/>
      <c r="O1545" s="67"/>
    </row>
    <row r="1546" spans="1:15" ht="15">
      <c r="A1546" s="91" t="s">
        <v>11</v>
      </c>
      <c r="B1546" s="91" t="s">
        <v>261</v>
      </c>
      <c r="C1546" s="92" t="str">
        <f ca="1">IFERROR(__xludf.DUMMYFUNCTION("filter('Back End'!C:C,'Back End'!A:A=A1546,'Back End'!B:B=B1546,'Back End'!D:D=D1546)"),"Ramanayyapeta")</f>
        <v>Ramanayyapeta</v>
      </c>
      <c r="D1546" s="91" t="s">
        <v>280</v>
      </c>
      <c r="E1546" s="91" t="s">
        <v>5108</v>
      </c>
      <c r="F1546" s="67" t="s">
        <v>3138</v>
      </c>
      <c r="G1546" s="67"/>
      <c r="H1546" s="93" t="s">
        <v>5</v>
      </c>
      <c r="I1546" s="67"/>
      <c r="J1546" s="92">
        <v>9898154457</v>
      </c>
      <c r="K1546" s="67"/>
      <c r="L1546" s="67"/>
      <c r="M1546" s="67"/>
      <c r="N1546" s="67"/>
      <c r="O1546" s="67"/>
    </row>
    <row r="1547" spans="1:15" ht="15">
      <c r="A1547" s="91" t="s">
        <v>11</v>
      </c>
      <c r="B1547" s="91" t="s">
        <v>261</v>
      </c>
      <c r="C1547" s="92" t="str">
        <f ca="1">IFERROR(__xludf.DUMMYFUNCTION("filter('Back End'!C:C,'Back End'!A:A=A1547,'Back End'!B:B=B1547,'Back End'!D:D=D1547)"),"Ramanayyapeta")</f>
        <v>Ramanayyapeta</v>
      </c>
      <c r="D1547" s="91" t="s">
        <v>280</v>
      </c>
      <c r="E1547" s="91" t="s">
        <v>5109</v>
      </c>
      <c r="F1547" s="67" t="s">
        <v>3138</v>
      </c>
      <c r="G1547" s="67"/>
      <c r="H1547" s="93" t="s">
        <v>5</v>
      </c>
      <c r="I1547" s="67"/>
      <c r="J1547" s="92">
        <v>8522881253</v>
      </c>
      <c r="K1547" s="67"/>
      <c r="L1547" s="67"/>
      <c r="M1547" s="67"/>
      <c r="N1547" s="67"/>
      <c r="O1547" s="67"/>
    </row>
    <row r="1548" spans="1:15" ht="15">
      <c r="A1548" s="91" t="s">
        <v>11</v>
      </c>
      <c r="B1548" s="91" t="s">
        <v>261</v>
      </c>
      <c r="C1548" s="92" t="str">
        <f ca="1">IFERROR(__xludf.DUMMYFUNCTION("filter('Back End'!C:C,'Back End'!A:A=A1548,'Back End'!B:B=B1548,'Back End'!D:D=D1548)"),"Ramanayyapeta")</f>
        <v>Ramanayyapeta</v>
      </c>
      <c r="D1548" s="91" t="s">
        <v>280</v>
      </c>
      <c r="E1548" s="91" t="s">
        <v>5110</v>
      </c>
      <c r="F1548" s="67" t="s">
        <v>3138</v>
      </c>
      <c r="G1548" s="67"/>
      <c r="H1548" s="93" t="s">
        <v>5</v>
      </c>
      <c r="I1548" s="67"/>
      <c r="J1548" s="92">
        <v>9848810106</v>
      </c>
      <c r="K1548" s="67"/>
      <c r="L1548" s="67"/>
      <c r="M1548" s="67"/>
      <c r="N1548" s="67"/>
      <c r="O1548" s="67"/>
    </row>
    <row r="1549" spans="1:15" ht="15">
      <c r="A1549" s="91" t="s">
        <v>11</v>
      </c>
      <c r="B1549" s="91" t="s">
        <v>261</v>
      </c>
      <c r="C1549" s="92" t="str">
        <f ca="1">IFERROR(__xludf.DUMMYFUNCTION("filter('Back End'!C:C,'Back End'!A:A=A1549,'Back End'!B:B=B1549,'Back End'!D:D=D1549)"),"Ramanayyapeta")</f>
        <v>Ramanayyapeta</v>
      </c>
      <c r="D1549" s="91" t="s">
        <v>280</v>
      </c>
      <c r="E1549" s="91" t="s">
        <v>5111</v>
      </c>
      <c r="F1549" s="67" t="s">
        <v>3138</v>
      </c>
      <c r="G1549" s="67"/>
      <c r="H1549" s="93" t="s">
        <v>5</v>
      </c>
      <c r="I1549" s="67"/>
      <c r="J1549" s="92">
        <v>8125949631</v>
      </c>
      <c r="K1549" s="67"/>
      <c r="L1549" s="67"/>
      <c r="M1549" s="67"/>
      <c r="N1549" s="67"/>
      <c r="O1549" s="67"/>
    </row>
    <row r="1550" spans="1:15" ht="15">
      <c r="A1550" s="91" t="s">
        <v>11</v>
      </c>
      <c r="B1550" s="91" t="s">
        <v>261</v>
      </c>
      <c r="C1550" s="92" t="str">
        <f ca="1">IFERROR(__xludf.DUMMYFUNCTION("filter('Back End'!C:C,'Back End'!A:A=A1550,'Back End'!B:B=B1550,'Back End'!D:D=D1550)"),"Ramanayyapeta")</f>
        <v>Ramanayyapeta</v>
      </c>
      <c r="D1550" s="91" t="s">
        <v>280</v>
      </c>
      <c r="E1550" s="91" t="s">
        <v>5112</v>
      </c>
      <c r="F1550" s="67" t="s">
        <v>3138</v>
      </c>
      <c r="G1550" s="67"/>
      <c r="H1550" s="93" t="s">
        <v>5</v>
      </c>
      <c r="I1550" s="67"/>
      <c r="J1550" s="92">
        <v>9395368788</v>
      </c>
      <c r="K1550" s="67"/>
      <c r="L1550" s="67"/>
      <c r="M1550" s="67"/>
      <c r="N1550" s="67"/>
      <c r="O1550" s="67"/>
    </row>
    <row r="1551" spans="1:15" ht="15">
      <c r="A1551" s="91" t="s">
        <v>11</v>
      </c>
      <c r="B1551" s="91" t="s">
        <v>261</v>
      </c>
      <c r="C1551" s="92" t="str">
        <f ca="1">IFERROR(__xludf.DUMMYFUNCTION("filter('Back End'!C:C,'Back End'!A:A=A1551,'Back End'!B:B=B1551,'Back End'!D:D=D1551)"),"Ramanayyapeta")</f>
        <v>Ramanayyapeta</v>
      </c>
      <c r="D1551" s="91" t="s">
        <v>280</v>
      </c>
      <c r="E1551" s="91" t="s">
        <v>5113</v>
      </c>
      <c r="F1551" s="67" t="s">
        <v>3138</v>
      </c>
      <c r="G1551" s="67"/>
      <c r="H1551" s="93" t="s">
        <v>5</v>
      </c>
      <c r="I1551" s="67"/>
      <c r="J1551" s="92">
        <v>9866381111</v>
      </c>
      <c r="K1551" s="67"/>
      <c r="L1551" s="67"/>
      <c r="M1551" s="67"/>
      <c r="N1551" s="67"/>
      <c r="O1551" s="67"/>
    </row>
    <row r="1552" spans="1:15" ht="15">
      <c r="A1552" s="91" t="s">
        <v>11</v>
      </c>
      <c r="B1552" s="91" t="s">
        <v>261</v>
      </c>
      <c r="C1552" s="92" t="str">
        <f ca="1">IFERROR(__xludf.DUMMYFUNCTION("filter('Back End'!C:C,'Back End'!A:A=A1552,'Back End'!B:B=B1552,'Back End'!D:D=D1552)"),"Ramanayyapeta")</f>
        <v>Ramanayyapeta</v>
      </c>
      <c r="D1552" s="91" t="s">
        <v>280</v>
      </c>
      <c r="E1552" s="91" t="s">
        <v>5114</v>
      </c>
      <c r="F1552" s="67"/>
      <c r="G1552" s="91" t="s">
        <v>615</v>
      </c>
      <c r="H1552" s="93" t="s">
        <v>5</v>
      </c>
      <c r="I1552" s="67"/>
      <c r="J1552" s="92">
        <v>9652857222</v>
      </c>
      <c r="K1552" s="67"/>
      <c r="L1552" s="67"/>
      <c r="M1552" s="67"/>
      <c r="N1552" s="67"/>
      <c r="O1552" s="67"/>
    </row>
    <row r="1553" spans="1:15" ht="15">
      <c r="A1553" s="91" t="s">
        <v>11</v>
      </c>
      <c r="B1553" s="91" t="s">
        <v>261</v>
      </c>
      <c r="C1553" s="92" t="str">
        <f ca="1">IFERROR(__xludf.DUMMYFUNCTION("filter('Back End'!C:C,'Back End'!A:A=A1553,'Back End'!B:B=B1553,'Back End'!D:D=D1553)"),"Ramanayyapeta")</f>
        <v>Ramanayyapeta</v>
      </c>
      <c r="D1553" s="91" t="s">
        <v>280</v>
      </c>
      <c r="E1553" s="91" t="s">
        <v>5115</v>
      </c>
      <c r="F1553" s="67"/>
      <c r="G1553" s="91" t="s">
        <v>85</v>
      </c>
      <c r="H1553" s="93" t="s">
        <v>5</v>
      </c>
      <c r="I1553" s="67"/>
      <c r="J1553" s="92">
        <v>9951814445</v>
      </c>
      <c r="K1553" s="67"/>
      <c r="L1553" s="67"/>
      <c r="M1553" s="67"/>
      <c r="N1553" s="67"/>
      <c r="O1553" s="67"/>
    </row>
    <row r="1554" spans="1:15" ht="15">
      <c r="A1554" s="91" t="s">
        <v>11</v>
      </c>
      <c r="B1554" s="91" t="s">
        <v>261</v>
      </c>
      <c r="C1554" s="92" t="str">
        <f ca="1">IFERROR(__xludf.DUMMYFUNCTION("filter('Back End'!C:C,'Back End'!A:A=A1554,'Back End'!B:B=B1554,'Back End'!D:D=D1554)"),"Ramanayyapeta")</f>
        <v>Ramanayyapeta</v>
      </c>
      <c r="D1554" s="91" t="s">
        <v>280</v>
      </c>
      <c r="E1554" s="91" t="s">
        <v>5116</v>
      </c>
      <c r="F1554" s="67"/>
      <c r="G1554" s="91" t="s">
        <v>85</v>
      </c>
      <c r="H1554" s="93" t="s">
        <v>5</v>
      </c>
      <c r="I1554" s="67"/>
      <c r="J1554" s="92">
        <v>9542971082</v>
      </c>
      <c r="K1554" s="67"/>
      <c r="L1554" s="67"/>
      <c r="M1554" s="67"/>
      <c r="N1554" s="67"/>
      <c r="O1554" s="67"/>
    </row>
    <row r="1555" spans="1:15" ht="15">
      <c r="A1555" s="91" t="s">
        <v>11</v>
      </c>
      <c r="B1555" s="91" t="s">
        <v>261</v>
      </c>
      <c r="C1555" s="92" t="str">
        <f ca="1">IFERROR(__xludf.DUMMYFUNCTION("filter('Back End'!C:C,'Back End'!A:A=A1555,'Back End'!B:B=B1555,'Back End'!D:D=D1555)"),"Ramanayyapeta")</f>
        <v>Ramanayyapeta</v>
      </c>
      <c r="D1555" s="91" t="s">
        <v>280</v>
      </c>
      <c r="E1555" s="91" t="s">
        <v>5117</v>
      </c>
      <c r="F1555" s="67"/>
      <c r="G1555" s="91" t="s">
        <v>615</v>
      </c>
      <c r="H1555" s="93" t="s">
        <v>5</v>
      </c>
      <c r="I1555" s="67"/>
      <c r="J1555" s="92">
        <v>9666470543</v>
      </c>
      <c r="K1555" s="67"/>
      <c r="L1555" s="67"/>
      <c r="M1555" s="67"/>
      <c r="N1555" s="67"/>
      <c r="O1555" s="67"/>
    </row>
    <row r="1556" spans="1:15" ht="30">
      <c r="A1556" s="67"/>
      <c r="B1556" s="67"/>
      <c r="C1556" s="67"/>
      <c r="D1556" s="67"/>
      <c r="E1556" s="91" t="s">
        <v>5118</v>
      </c>
      <c r="F1556" s="91" t="s">
        <v>437</v>
      </c>
      <c r="G1556" s="91" t="s">
        <v>594</v>
      </c>
      <c r="H1556" s="93" t="s">
        <v>5</v>
      </c>
      <c r="I1556" s="92" t="s">
        <v>5119</v>
      </c>
      <c r="J1556" s="92">
        <v>9493782499</v>
      </c>
      <c r="K1556" s="67"/>
      <c r="L1556" s="67"/>
      <c r="M1556" s="67"/>
      <c r="N1556" s="67"/>
      <c r="O1556" s="67"/>
    </row>
    <row r="1557" spans="1:15" ht="15">
      <c r="A1557" s="67"/>
      <c r="B1557" s="67"/>
      <c r="C1557" s="67"/>
      <c r="D1557" s="67"/>
      <c r="E1557" s="91" t="s">
        <v>5120</v>
      </c>
      <c r="F1557" s="91" t="s">
        <v>1669</v>
      </c>
      <c r="G1557" s="91" t="s">
        <v>615</v>
      </c>
      <c r="H1557" s="93" t="s">
        <v>5</v>
      </c>
      <c r="I1557" s="92" t="s">
        <v>4039</v>
      </c>
      <c r="J1557" s="92">
        <v>9966437999</v>
      </c>
      <c r="K1557" s="67"/>
      <c r="L1557" s="67"/>
      <c r="M1557" s="67"/>
      <c r="N1557" s="67"/>
      <c r="O1557" s="67"/>
    </row>
    <row r="1558" spans="1:15" ht="30">
      <c r="A1558" s="91" t="s">
        <v>11</v>
      </c>
      <c r="B1558" s="91" t="s">
        <v>261</v>
      </c>
      <c r="C1558" s="92" t="str">
        <f ca="1">IFERROR(__xludf.DUMMYFUNCTION("filter('Back End'!C:C,'Back End'!A:A=A1558,'Back End'!B:B=B1558,'Back End'!D:D=D1558)"),"S. Atchuthapuram")</f>
        <v>S. Atchuthapuram</v>
      </c>
      <c r="D1558" s="91" t="s">
        <v>283</v>
      </c>
      <c r="E1558" s="91" t="s">
        <v>5121</v>
      </c>
      <c r="F1558" s="67"/>
      <c r="G1558" s="91" t="s">
        <v>85</v>
      </c>
      <c r="H1558" s="93" t="s">
        <v>5</v>
      </c>
      <c r="I1558" s="67"/>
      <c r="J1558" s="92">
        <v>9948821126</v>
      </c>
      <c r="K1558" s="67"/>
      <c r="L1558" s="67"/>
      <c r="M1558" s="67"/>
      <c r="N1558" s="67"/>
      <c r="O1558" s="67"/>
    </row>
    <row r="1559" spans="1:15" ht="30">
      <c r="A1559" s="91" t="s">
        <v>11</v>
      </c>
      <c r="B1559" s="91" t="s">
        <v>261</v>
      </c>
      <c r="C1559" s="92" t="str">
        <f ca="1">IFERROR(__xludf.DUMMYFUNCTION("filter('Back End'!C:C,'Back End'!A:A=A1559,'Back End'!B:B=B1559,'Back End'!D:D=D1559)"),"S. Atchuthapuram")</f>
        <v>S. Atchuthapuram</v>
      </c>
      <c r="D1559" s="91" t="s">
        <v>283</v>
      </c>
      <c r="E1559" s="91" t="s">
        <v>5122</v>
      </c>
      <c r="F1559" s="67"/>
      <c r="G1559" s="91" t="s">
        <v>615</v>
      </c>
      <c r="H1559" s="93" t="s">
        <v>5</v>
      </c>
      <c r="I1559" s="67"/>
      <c r="J1559" s="92">
        <v>9676292256</v>
      </c>
      <c r="K1559" s="67"/>
      <c r="L1559" s="67"/>
      <c r="M1559" s="67"/>
      <c r="N1559" s="67"/>
      <c r="O1559" s="67"/>
    </row>
    <row r="1560" spans="1:15" ht="30">
      <c r="A1560" s="91" t="s">
        <v>11</v>
      </c>
      <c r="B1560" s="91" t="s">
        <v>261</v>
      </c>
      <c r="C1560" s="92" t="str">
        <f ca="1">IFERROR(__xludf.DUMMYFUNCTION("filter('Back End'!C:C,'Back End'!A:A=A1560,'Back End'!B:B=B1560,'Back End'!D:D=D1560)"),"S. Atchuthapuram")</f>
        <v>S. Atchuthapuram</v>
      </c>
      <c r="D1560" s="91" t="s">
        <v>283</v>
      </c>
      <c r="E1560" s="91" t="s">
        <v>5123</v>
      </c>
      <c r="F1560" s="67" t="s">
        <v>3138</v>
      </c>
      <c r="G1560" s="67"/>
      <c r="H1560" s="93" t="s">
        <v>5</v>
      </c>
      <c r="I1560" s="67"/>
      <c r="J1560" s="92">
        <v>9666224247</v>
      </c>
      <c r="K1560" s="67"/>
      <c r="L1560" s="67"/>
      <c r="M1560" s="67"/>
      <c r="N1560" s="67"/>
      <c r="O1560" s="67"/>
    </row>
    <row r="1561" spans="1:15" ht="30">
      <c r="A1561" s="91" t="s">
        <v>11</v>
      </c>
      <c r="B1561" s="91" t="s">
        <v>261</v>
      </c>
      <c r="C1561" s="92" t="str">
        <f ca="1">IFERROR(__xludf.DUMMYFUNCTION("filter('Back End'!C:C,'Back End'!A:A=A1561,'Back End'!B:B=B1561,'Back End'!D:D=D1561)"),"S. Atchuthapuram")</f>
        <v>S. Atchuthapuram</v>
      </c>
      <c r="D1561" s="91" t="s">
        <v>283</v>
      </c>
      <c r="E1561" s="91" t="s">
        <v>5124</v>
      </c>
      <c r="F1561" s="67"/>
      <c r="G1561" s="91" t="s">
        <v>594</v>
      </c>
      <c r="H1561" s="93" t="s">
        <v>5</v>
      </c>
      <c r="I1561" s="67"/>
      <c r="J1561" s="92">
        <v>9032448601</v>
      </c>
      <c r="K1561" s="67"/>
      <c r="L1561" s="67"/>
      <c r="M1561" s="67"/>
      <c r="N1561" s="67"/>
      <c r="O1561" s="67"/>
    </row>
    <row r="1562" spans="1:15" ht="30">
      <c r="A1562" s="91" t="s">
        <v>11</v>
      </c>
      <c r="B1562" s="91" t="s">
        <v>261</v>
      </c>
      <c r="C1562" s="92" t="str">
        <f ca="1">IFERROR(__xludf.DUMMYFUNCTION("filter('Back End'!C:C,'Back End'!A:A=A1562,'Back End'!B:B=B1562,'Back End'!D:D=D1562)"),"S. Atchuthapuram")</f>
        <v>S. Atchuthapuram</v>
      </c>
      <c r="D1562" s="91" t="s">
        <v>283</v>
      </c>
      <c r="E1562" s="91" t="s">
        <v>5125</v>
      </c>
      <c r="F1562" s="67"/>
      <c r="G1562" s="91" t="s">
        <v>615</v>
      </c>
      <c r="H1562" s="93" t="s">
        <v>5</v>
      </c>
      <c r="I1562" s="67"/>
      <c r="J1562" s="92">
        <v>9848181598</v>
      </c>
      <c r="K1562" s="67"/>
      <c r="L1562" s="67"/>
      <c r="M1562" s="67"/>
      <c r="N1562" s="67"/>
      <c r="O1562" s="67"/>
    </row>
    <row r="1563" spans="1:15" ht="15">
      <c r="A1563" s="91" t="s">
        <v>11</v>
      </c>
      <c r="B1563" s="91" t="s">
        <v>261</v>
      </c>
      <c r="C1563" s="92" t="str">
        <f ca="1">IFERROR(__xludf.DUMMYFUNCTION("filter('Back End'!C:C,'Back End'!A:A=A1563,'Back End'!B:B=B1563,'Back End'!D:D=D1563)"),"Sarpavaram")</f>
        <v>Sarpavaram</v>
      </c>
      <c r="D1563" s="91" t="s">
        <v>284</v>
      </c>
      <c r="E1563" s="91" t="s">
        <v>5126</v>
      </c>
      <c r="F1563" s="67"/>
      <c r="G1563" s="91" t="s">
        <v>85</v>
      </c>
      <c r="H1563" s="93" t="s">
        <v>5</v>
      </c>
      <c r="I1563" s="67"/>
      <c r="J1563" s="92">
        <v>9951534448</v>
      </c>
      <c r="K1563" s="67"/>
      <c r="L1563" s="67"/>
      <c r="M1563" s="67"/>
      <c r="N1563" s="67"/>
      <c r="O1563" s="67"/>
    </row>
    <row r="1564" spans="1:15" ht="15">
      <c r="A1564" s="91" t="s">
        <v>11</v>
      </c>
      <c r="B1564" s="91" t="s">
        <v>261</v>
      </c>
      <c r="C1564" s="92" t="str">
        <f ca="1">IFERROR(__xludf.DUMMYFUNCTION("filter('Back End'!C:C,'Back End'!A:A=A1564,'Back End'!B:B=B1564,'Back End'!D:D=D1564)"),"Sarpavaram")</f>
        <v>Sarpavaram</v>
      </c>
      <c r="D1564" s="91" t="s">
        <v>284</v>
      </c>
      <c r="E1564" s="91" t="s">
        <v>5127</v>
      </c>
      <c r="F1564" s="67"/>
      <c r="G1564" s="91" t="s">
        <v>85</v>
      </c>
      <c r="H1564" s="93" t="s">
        <v>5</v>
      </c>
      <c r="I1564" s="67"/>
      <c r="J1564" s="92">
        <v>8179050887</v>
      </c>
      <c r="K1564" s="67"/>
      <c r="L1564" s="67"/>
      <c r="M1564" s="67"/>
      <c r="N1564" s="67"/>
      <c r="O1564" s="67"/>
    </row>
    <row r="1565" spans="1:15" ht="15">
      <c r="A1565" s="91" t="s">
        <v>11</v>
      </c>
      <c r="B1565" s="91" t="s">
        <v>261</v>
      </c>
      <c r="C1565" s="92" t="str">
        <f ca="1">IFERROR(__xludf.DUMMYFUNCTION("filter('Back End'!C:C,'Back End'!A:A=A1565,'Back End'!B:B=B1565,'Back End'!D:D=D1565)"),"Sarpavaram")</f>
        <v>Sarpavaram</v>
      </c>
      <c r="D1565" s="91" t="s">
        <v>284</v>
      </c>
      <c r="E1565" s="91" t="s">
        <v>5128</v>
      </c>
      <c r="F1565" s="67"/>
      <c r="G1565" s="91" t="s">
        <v>594</v>
      </c>
      <c r="H1565" s="93" t="s">
        <v>5</v>
      </c>
      <c r="I1565" s="67"/>
      <c r="J1565" s="92">
        <v>92999956699</v>
      </c>
      <c r="K1565" s="67"/>
      <c r="L1565" s="67"/>
      <c r="M1565" s="67"/>
      <c r="N1565" s="67"/>
      <c r="O1565" s="67"/>
    </row>
    <row r="1566" spans="1:15" ht="15">
      <c r="A1566" s="91" t="s">
        <v>11</v>
      </c>
      <c r="B1566" s="91" t="s">
        <v>261</v>
      </c>
      <c r="C1566" s="92" t="str">
        <f ca="1">IFERROR(__xludf.DUMMYFUNCTION("filter('Back End'!C:C,'Back End'!A:A=A1566,'Back End'!B:B=B1566,'Back End'!D:D=D1566)"),"Sarpavaram")</f>
        <v>Sarpavaram</v>
      </c>
      <c r="D1566" s="91" t="s">
        <v>284</v>
      </c>
      <c r="E1566" s="91" t="s">
        <v>5129</v>
      </c>
      <c r="F1566" s="67"/>
      <c r="G1566" s="91" t="s">
        <v>594</v>
      </c>
      <c r="H1566" s="93" t="s">
        <v>5</v>
      </c>
      <c r="I1566" s="67"/>
      <c r="J1566" s="92">
        <v>9059281444</v>
      </c>
      <c r="K1566" s="67"/>
      <c r="L1566" s="67"/>
      <c r="M1566" s="67"/>
      <c r="N1566" s="67"/>
      <c r="O1566" s="67"/>
    </row>
    <row r="1567" spans="1:15" ht="15">
      <c r="A1567" s="91" t="s">
        <v>11</v>
      </c>
      <c r="B1567" s="91" t="s">
        <v>261</v>
      </c>
      <c r="C1567" s="92" t="str">
        <f ca="1">IFERROR(__xludf.DUMMYFUNCTION("filter('Back End'!C:C,'Back End'!A:A=A1567,'Back End'!B:B=B1567,'Back End'!D:D=D1567)"),"Sarpavaram")</f>
        <v>Sarpavaram</v>
      </c>
      <c r="D1567" s="91" t="s">
        <v>284</v>
      </c>
      <c r="E1567" s="91" t="s">
        <v>5130</v>
      </c>
      <c r="F1567" s="67"/>
      <c r="G1567" s="91" t="s">
        <v>615</v>
      </c>
      <c r="H1567" s="93" t="s">
        <v>5</v>
      </c>
      <c r="I1567" s="67"/>
      <c r="J1567" s="92">
        <v>9476286090</v>
      </c>
      <c r="K1567" s="67"/>
      <c r="L1567" s="67"/>
      <c r="M1567" s="67"/>
      <c r="N1567" s="67"/>
      <c r="O1567" s="67"/>
    </row>
    <row r="1568" spans="1:15" ht="15">
      <c r="A1568" s="91" t="s">
        <v>11</v>
      </c>
      <c r="B1568" s="91" t="s">
        <v>261</v>
      </c>
      <c r="C1568" s="92" t="str">
        <f ca="1">IFERROR(__xludf.DUMMYFUNCTION("filter('Back End'!C:C,'Back End'!A:A=A1568,'Back End'!B:B=B1568,'Back End'!D:D=D1568)"),"Sarpavaram")</f>
        <v>Sarpavaram</v>
      </c>
      <c r="D1568" s="91" t="s">
        <v>284</v>
      </c>
      <c r="E1568" s="91" t="s">
        <v>5131</v>
      </c>
      <c r="F1568" s="67"/>
      <c r="G1568" s="91" t="s">
        <v>594</v>
      </c>
      <c r="H1568" s="93" t="s">
        <v>5</v>
      </c>
      <c r="I1568" s="67"/>
      <c r="J1568" s="92">
        <v>8185847456</v>
      </c>
      <c r="K1568" s="67"/>
      <c r="L1568" s="67"/>
      <c r="M1568" s="67"/>
      <c r="N1568" s="67"/>
      <c r="O1568" s="67"/>
    </row>
    <row r="1569" spans="1:15" ht="15">
      <c r="A1569" s="91" t="s">
        <v>11</v>
      </c>
      <c r="B1569" s="91" t="s">
        <v>261</v>
      </c>
      <c r="C1569" s="92" t="str">
        <f ca="1">IFERROR(__xludf.DUMMYFUNCTION("filter('Back End'!C:C,'Back End'!A:A=A1569,'Back End'!B:B=B1569,'Back End'!D:D=D1569)"),"Sarpavaram")</f>
        <v>Sarpavaram</v>
      </c>
      <c r="D1569" s="91" t="s">
        <v>284</v>
      </c>
      <c r="E1569" s="91" t="s">
        <v>5132</v>
      </c>
      <c r="F1569" s="67"/>
      <c r="G1569" s="91" t="s">
        <v>615</v>
      </c>
      <c r="H1569" s="93" t="s">
        <v>5</v>
      </c>
      <c r="I1569" s="67"/>
      <c r="J1569" s="92">
        <v>9949788751</v>
      </c>
      <c r="K1569" s="67"/>
      <c r="L1569" s="67"/>
      <c r="M1569" s="67"/>
      <c r="N1569" s="67"/>
      <c r="O1569" s="67"/>
    </row>
    <row r="1570" spans="1:15" ht="15">
      <c r="A1570" s="91" t="s">
        <v>11</v>
      </c>
      <c r="B1570" s="91" t="s">
        <v>261</v>
      </c>
      <c r="C1570" s="92" t="str">
        <f ca="1">IFERROR(__xludf.DUMMYFUNCTION("filter('Back End'!C:C,'Back End'!A:A=A1570,'Back End'!B:B=B1570,'Back End'!D:D=D1570)"),"Sarpavaram")</f>
        <v>Sarpavaram</v>
      </c>
      <c r="D1570" s="91" t="s">
        <v>284</v>
      </c>
      <c r="E1570" s="91" t="s">
        <v>5133</v>
      </c>
      <c r="F1570" s="67"/>
      <c r="G1570" s="91" t="s">
        <v>594</v>
      </c>
      <c r="H1570" s="93" t="s">
        <v>5</v>
      </c>
      <c r="I1570" s="67"/>
      <c r="J1570" s="92">
        <v>9848046661</v>
      </c>
      <c r="K1570" s="67"/>
      <c r="L1570" s="67"/>
      <c r="M1570" s="67"/>
      <c r="N1570" s="67"/>
      <c r="O1570" s="67"/>
    </row>
    <row r="1571" spans="1:15" ht="15">
      <c r="A1571" s="91" t="s">
        <v>11</v>
      </c>
      <c r="B1571" s="91" t="s">
        <v>261</v>
      </c>
      <c r="C1571" s="92" t="str">
        <f ca="1">IFERROR(__xludf.DUMMYFUNCTION("filter('Back End'!C:C,'Back End'!A:A=A1571,'Back End'!B:B=B1571,'Back End'!D:D=D1571)"),"Sarpavaram")</f>
        <v>Sarpavaram</v>
      </c>
      <c r="D1571" s="91" t="s">
        <v>284</v>
      </c>
      <c r="E1571" s="91" t="s">
        <v>5134</v>
      </c>
      <c r="F1571" s="67"/>
      <c r="G1571" s="91" t="s">
        <v>594</v>
      </c>
      <c r="H1571" s="93" t="s">
        <v>5</v>
      </c>
      <c r="I1571" s="67"/>
      <c r="J1571" s="92">
        <v>9705251044</v>
      </c>
      <c r="K1571" s="67"/>
      <c r="L1571" s="67"/>
      <c r="M1571" s="67"/>
      <c r="N1571" s="67"/>
      <c r="O1571" s="67"/>
    </row>
    <row r="1572" spans="1:15" ht="15">
      <c r="A1572" s="91" t="s">
        <v>11</v>
      </c>
      <c r="B1572" s="91" t="s">
        <v>261</v>
      </c>
      <c r="C1572" s="92" t="str">
        <f ca="1">IFERROR(__xludf.DUMMYFUNCTION("filter('Back End'!C:C,'Back End'!A:A=A1572,'Back End'!B:B=B1572,'Back End'!D:D=D1572)"),"Sarpavaram")</f>
        <v>Sarpavaram</v>
      </c>
      <c r="D1572" s="91" t="s">
        <v>284</v>
      </c>
      <c r="E1572" s="91" t="s">
        <v>5135</v>
      </c>
      <c r="F1572" s="67"/>
      <c r="G1572" s="91" t="s">
        <v>85</v>
      </c>
      <c r="H1572" s="93" t="s">
        <v>5</v>
      </c>
      <c r="I1572" s="67"/>
      <c r="J1572" s="92">
        <v>9705377892</v>
      </c>
      <c r="K1572" s="67"/>
      <c r="L1572" s="67"/>
      <c r="M1572" s="67"/>
      <c r="N1572" s="67"/>
      <c r="O1572" s="67"/>
    </row>
    <row r="1573" spans="1:15" ht="15">
      <c r="A1573" s="91" t="s">
        <v>11</v>
      </c>
      <c r="B1573" s="91" t="s">
        <v>261</v>
      </c>
      <c r="C1573" s="92" t="str">
        <f ca="1">IFERROR(__xludf.DUMMYFUNCTION("filter('Back End'!C:C,'Back End'!A:A=A1573,'Back End'!B:B=B1573,'Back End'!D:D=D1573)"),"Suryarao Peta")</f>
        <v>Suryarao Peta</v>
      </c>
      <c r="D1573" s="91" t="s">
        <v>286</v>
      </c>
      <c r="E1573" s="91" t="s">
        <v>5136</v>
      </c>
      <c r="F1573" s="91" t="s">
        <v>288</v>
      </c>
      <c r="G1573" s="91" t="s">
        <v>615</v>
      </c>
      <c r="H1573" s="93" t="s">
        <v>5</v>
      </c>
      <c r="I1573" s="67"/>
      <c r="J1573" s="92">
        <v>9849943963</v>
      </c>
      <c r="K1573" s="67"/>
      <c r="L1573" s="67"/>
      <c r="M1573" s="67"/>
      <c r="N1573" s="67"/>
      <c r="O1573" s="67"/>
    </row>
    <row r="1574" spans="1:15" ht="15">
      <c r="A1574" s="91" t="s">
        <v>11</v>
      </c>
      <c r="B1574" s="91" t="s">
        <v>261</v>
      </c>
      <c r="C1574" s="92" t="str">
        <f ca="1">IFERROR(__xludf.DUMMYFUNCTION("filter('Back End'!C:C,'Back End'!A:A=A1574,'Back End'!B:B=B1574,'Back End'!D:D=D1574)"),"Suryarao Peta")</f>
        <v>Suryarao Peta</v>
      </c>
      <c r="D1574" s="91" t="s">
        <v>286</v>
      </c>
      <c r="E1574" s="91" t="s">
        <v>5137</v>
      </c>
      <c r="F1574" s="91" t="s">
        <v>288</v>
      </c>
      <c r="G1574" s="91" t="s">
        <v>615</v>
      </c>
      <c r="H1574" s="93" t="s">
        <v>5</v>
      </c>
      <c r="I1574" s="67"/>
      <c r="J1574" s="92">
        <v>7386186106</v>
      </c>
      <c r="K1574" s="67"/>
      <c r="L1574" s="67"/>
      <c r="M1574" s="67"/>
      <c r="N1574" s="67"/>
      <c r="O1574" s="67"/>
    </row>
    <row r="1575" spans="1:15" ht="15">
      <c r="A1575" s="91" t="s">
        <v>11</v>
      </c>
      <c r="B1575" s="91" t="s">
        <v>261</v>
      </c>
      <c r="C1575" s="92" t="str">
        <f ca="1">IFERROR(__xludf.DUMMYFUNCTION("filter('Back End'!C:C,'Back End'!A:A=A1575,'Back End'!B:B=B1575,'Back End'!D:D=D1575)"),"Thimmapuram")</f>
        <v>Thimmapuram</v>
      </c>
      <c r="D1575" s="91" t="s">
        <v>292</v>
      </c>
      <c r="E1575" s="91" t="s">
        <v>5138</v>
      </c>
      <c r="F1575" s="91" t="s">
        <v>114</v>
      </c>
      <c r="G1575" s="91" t="s">
        <v>85</v>
      </c>
      <c r="H1575" s="93" t="s">
        <v>5</v>
      </c>
      <c r="I1575" s="67"/>
      <c r="J1575" s="92">
        <v>8897714834</v>
      </c>
      <c r="K1575" s="67"/>
      <c r="L1575" s="67"/>
      <c r="M1575" s="67"/>
      <c r="N1575" s="67"/>
      <c r="O1575" s="67"/>
    </row>
    <row r="1576" spans="1:15" ht="15">
      <c r="A1576" s="91" t="s">
        <v>11</v>
      </c>
      <c r="B1576" s="91" t="s">
        <v>261</v>
      </c>
      <c r="C1576" s="92" t="str">
        <f ca="1">IFERROR(__xludf.DUMMYFUNCTION("filter('Back End'!C:C,'Back End'!A:A=A1576,'Back End'!B:B=B1576,'Back End'!D:D=D1576)"),"Thimmapuram")</f>
        <v>Thimmapuram</v>
      </c>
      <c r="D1576" s="91" t="s">
        <v>292</v>
      </c>
      <c r="E1576" s="91" t="s">
        <v>5139</v>
      </c>
      <c r="F1576" s="67" t="s">
        <v>3138</v>
      </c>
      <c r="G1576" s="67"/>
      <c r="H1576" s="93" t="s">
        <v>5</v>
      </c>
      <c r="I1576" s="67"/>
      <c r="J1576" s="92">
        <v>9652028520</v>
      </c>
      <c r="K1576" s="67"/>
      <c r="L1576" s="67"/>
      <c r="M1576" s="67"/>
      <c r="N1576" s="67"/>
      <c r="O1576" s="67"/>
    </row>
    <row r="1577" spans="1:15" ht="15">
      <c r="A1577" s="91" t="s">
        <v>11</v>
      </c>
      <c r="B1577" s="91" t="s">
        <v>261</v>
      </c>
      <c r="C1577" s="92" t="str">
        <f ca="1">IFERROR(__xludf.DUMMYFUNCTION("filter('Back End'!C:C,'Back End'!A:A=A1577,'Back End'!B:B=B1577,'Back End'!D:D=D1577)"),"Thimmapuram")</f>
        <v>Thimmapuram</v>
      </c>
      <c r="D1577" s="91" t="s">
        <v>292</v>
      </c>
      <c r="E1577" s="91" t="s">
        <v>5140</v>
      </c>
      <c r="F1577" s="91" t="s">
        <v>139</v>
      </c>
      <c r="G1577" s="91" t="s">
        <v>594</v>
      </c>
      <c r="H1577" s="93" t="s">
        <v>5</v>
      </c>
      <c r="I1577" s="67"/>
      <c r="J1577" s="92">
        <v>9177355449</v>
      </c>
      <c r="K1577" s="67"/>
      <c r="L1577" s="67"/>
      <c r="M1577" s="67"/>
      <c r="N1577" s="67"/>
      <c r="O1577" s="67"/>
    </row>
    <row r="1578" spans="1:15" ht="15">
      <c r="A1578" s="91" t="s">
        <v>11</v>
      </c>
      <c r="B1578" s="91" t="s">
        <v>261</v>
      </c>
      <c r="C1578" s="92" t="str">
        <f ca="1">IFERROR(__xludf.DUMMYFUNCTION("filter('Back End'!C:C,'Back End'!A:A=A1578,'Back End'!B:B=B1578,'Back End'!D:D=D1578)"),"Thimmapuram")</f>
        <v>Thimmapuram</v>
      </c>
      <c r="D1578" s="91" t="s">
        <v>292</v>
      </c>
      <c r="E1578" s="91" t="s">
        <v>5141</v>
      </c>
      <c r="F1578" s="91" t="s">
        <v>139</v>
      </c>
      <c r="G1578" s="91" t="s">
        <v>594</v>
      </c>
      <c r="H1578" s="93" t="s">
        <v>5</v>
      </c>
      <c r="I1578" s="67"/>
      <c r="J1578" s="92">
        <v>9542088187</v>
      </c>
      <c r="K1578" s="67"/>
      <c r="L1578" s="67"/>
      <c r="M1578" s="67"/>
      <c r="N1578" s="67"/>
      <c r="O1578" s="67"/>
    </row>
    <row r="1579" spans="1:15" ht="15">
      <c r="A1579" s="91" t="s">
        <v>11</v>
      </c>
      <c r="B1579" s="91" t="s">
        <v>261</v>
      </c>
      <c r="C1579" s="92" t="str">
        <f ca="1">IFERROR(__xludf.DUMMYFUNCTION("filter('Back End'!C:C,'Back End'!A:A=A1579,'Back End'!B:B=B1579,'Back End'!D:D=D1579)"),"Thimmapuram")</f>
        <v>Thimmapuram</v>
      </c>
      <c r="D1579" s="91" t="s">
        <v>292</v>
      </c>
      <c r="E1579" s="91" t="s">
        <v>5142</v>
      </c>
      <c r="F1579" s="91" t="s">
        <v>139</v>
      </c>
      <c r="G1579" s="91" t="s">
        <v>594</v>
      </c>
      <c r="H1579" s="93" t="s">
        <v>5</v>
      </c>
      <c r="I1579" s="67"/>
      <c r="J1579" s="92">
        <v>9493786516</v>
      </c>
      <c r="K1579" s="67"/>
      <c r="L1579" s="67"/>
      <c r="M1579" s="67"/>
      <c r="N1579" s="67"/>
      <c r="O1579" s="67"/>
    </row>
    <row r="1580" spans="1:15" ht="15">
      <c r="A1580" s="91" t="s">
        <v>11</v>
      </c>
      <c r="B1580" s="91" t="s">
        <v>261</v>
      </c>
      <c r="C1580" s="92" t="str">
        <f ca="1">IFERROR(__xludf.DUMMYFUNCTION("filter('Back End'!C:C,'Back End'!A:A=A1580,'Back End'!B:B=B1580,'Back End'!D:D=D1580)"),"Thimmapuram")</f>
        <v>Thimmapuram</v>
      </c>
      <c r="D1580" s="91" t="s">
        <v>292</v>
      </c>
      <c r="E1580" s="91" t="s">
        <v>5143</v>
      </c>
      <c r="F1580" s="91" t="s">
        <v>139</v>
      </c>
      <c r="G1580" s="91" t="s">
        <v>594</v>
      </c>
      <c r="H1580" s="93" t="s">
        <v>5</v>
      </c>
      <c r="I1580" s="67"/>
      <c r="J1580" s="92">
        <v>9908499765</v>
      </c>
      <c r="K1580" s="67"/>
      <c r="L1580" s="67"/>
      <c r="M1580" s="67"/>
      <c r="N1580" s="67"/>
      <c r="O1580" s="67"/>
    </row>
    <row r="1581" spans="1:15" ht="15">
      <c r="A1581" s="91" t="s">
        <v>11</v>
      </c>
      <c r="B1581" s="91" t="s">
        <v>297</v>
      </c>
      <c r="C1581" s="92" t="str">
        <f ca="1">IFERROR(__xludf.DUMMYFUNCTION("filter('Back End'!C:C,'Back End'!A:A=A1581,'Back End'!B:B=B1581,'Back End'!D:D=D1581)"),"Vakada")</f>
        <v>Vakada</v>
      </c>
      <c r="D1581" s="91" t="s">
        <v>329</v>
      </c>
      <c r="E1581" s="91" t="s">
        <v>5144</v>
      </c>
      <c r="F1581" s="91" t="s">
        <v>114</v>
      </c>
      <c r="G1581" s="91" t="s">
        <v>85</v>
      </c>
      <c r="H1581" s="93" t="s">
        <v>5</v>
      </c>
      <c r="I1581" s="67"/>
      <c r="J1581" s="92">
        <v>9618659847</v>
      </c>
      <c r="K1581" s="67"/>
      <c r="L1581" s="67"/>
      <c r="M1581" s="67"/>
      <c r="N1581" s="67"/>
      <c r="O1581" s="67"/>
    </row>
    <row r="1582" spans="1:15" ht="15">
      <c r="A1582" s="91" t="s">
        <v>11</v>
      </c>
      <c r="B1582" s="91" t="s">
        <v>261</v>
      </c>
      <c r="C1582" s="92" t="str">
        <f ca="1">IFERROR(__xludf.DUMMYFUNCTION("filter('Back End'!C:C,'Back End'!A:A=A1582,'Back End'!B:B=B1582,'Back End'!D:D=D1582)"),"Vakalapudi")</f>
        <v>Vakalapudi</v>
      </c>
      <c r="D1582" s="91" t="s">
        <v>295</v>
      </c>
      <c r="E1582" s="91" t="s">
        <v>5145</v>
      </c>
      <c r="F1582" s="67"/>
      <c r="G1582" s="91" t="s">
        <v>85</v>
      </c>
      <c r="H1582" s="93" t="s">
        <v>5</v>
      </c>
      <c r="I1582" s="67"/>
      <c r="J1582" s="92">
        <v>9951312060</v>
      </c>
      <c r="K1582" s="67"/>
      <c r="L1582" s="67"/>
      <c r="M1582" s="67"/>
      <c r="N1582" s="67"/>
      <c r="O1582" s="67"/>
    </row>
    <row r="1583" spans="1:15" ht="15">
      <c r="A1583" s="91" t="s">
        <v>11</v>
      </c>
      <c r="B1583" s="91" t="s">
        <v>261</v>
      </c>
      <c r="C1583" s="92" t="str">
        <f ca="1">IFERROR(__xludf.DUMMYFUNCTION("filter('Back End'!C:C,'Back End'!A:A=A1583,'Back End'!B:B=B1583,'Back End'!D:D=D1583)"),"Vakalapudi")</f>
        <v>Vakalapudi</v>
      </c>
      <c r="D1583" s="91" t="s">
        <v>295</v>
      </c>
      <c r="E1583" s="91" t="s">
        <v>5146</v>
      </c>
      <c r="F1583" s="67"/>
      <c r="G1583" s="91" t="s">
        <v>615</v>
      </c>
      <c r="H1583" s="93" t="s">
        <v>5</v>
      </c>
      <c r="I1583" s="67"/>
      <c r="J1583" s="92">
        <v>9849781119</v>
      </c>
      <c r="K1583" s="67"/>
      <c r="L1583" s="67"/>
      <c r="M1583" s="67"/>
      <c r="N1583" s="67"/>
      <c r="O1583" s="67"/>
    </row>
    <row r="1584" spans="1:15" ht="15">
      <c r="A1584" s="91" t="s">
        <v>11</v>
      </c>
      <c r="B1584" s="91" t="s">
        <v>261</v>
      </c>
      <c r="C1584" s="92" t="str">
        <f ca="1">IFERROR(__xludf.DUMMYFUNCTION("filter('Back End'!C:C,'Back End'!A:A=A1584,'Back End'!B:B=B1584,'Back End'!D:D=D1584)"),"Vakalapudi")</f>
        <v>Vakalapudi</v>
      </c>
      <c r="D1584" s="91" t="s">
        <v>295</v>
      </c>
      <c r="E1584" s="91" t="s">
        <v>5147</v>
      </c>
      <c r="F1584" s="67"/>
      <c r="G1584" s="91" t="s">
        <v>594</v>
      </c>
      <c r="H1584" s="93" t="s">
        <v>5</v>
      </c>
      <c r="I1584" s="67"/>
      <c r="J1584" s="92">
        <v>9885208433</v>
      </c>
      <c r="K1584" s="67"/>
      <c r="L1584" s="67"/>
      <c r="M1584" s="67"/>
      <c r="N1584" s="67"/>
      <c r="O1584" s="67"/>
    </row>
    <row r="1585" spans="1:15" ht="15">
      <c r="A1585" s="91" t="s">
        <v>11</v>
      </c>
      <c r="B1585" s="91" t="s">
        <v>261</v>
      </c>
      <c r="C1585" s="92" t="str">
        <f ca="1">IFERROR(__xludf.DUMMYFUNCTION("filter('Back End'!C:C,'Back End'!A:A=A1585,'Back End'!B:B=B1585,'Back End'!D:D=D1585)"),"Vakalapudi")</f>
        <v>Vakalapudi</v>
      </c>
      <c r="D1585" s="91" t="s">
        <v>295</v>
      </c>
      <c r="E1585" s="91" t="s">
        <v>5148</v>
      </c>
      <c r="F1585" s="67"/>
      <c r="G1585" s="91" t="s">
        <v>594</v>
      </c>
      <c r="H1585" s="93" t="s">
        <v>5</v>
      </c>
      <c r="I1585" s="67"/>
      <c r="J1585" s="92">
        <v>9491838867</v>
      </c>
      <c r="K1585" s="67"/>
      <c r="L1585" s="67"/>
      <c r="M1585" s="67"/>
      <c r="N1585" s="67"/>
      <c r="O1585" s="67"/>
    </row>
    <row r="1586" spans="1:15" ht="15">
      <c r="A1586" s="91" t="s">
        <v>11</v>
      </c>
      <c r="B1586" s="91" t="s">
        <v>261</v>
      </c>
      <c r="C1586" s="92" t="str">
        <f ca="1">IFERROR(__xludf.DUMMYFUNCTION("filter('Back End'!C:C,'Back End'!A:A=A1586,'Back End'!B:B=B1586,'Back End'!D:D=D1586)"),"Vakalapudi")</f>
        <v>Vakalapudi</v>
      </c>
      <c r="D1586" s="91" t="s">
        <v>295</v>
      </c>
      <c r="E1586" s="91" t="s">
        <v>5149</v>
      </c>
      <c r="F1586" s="67"/>
      <c r="G1586" s="91" t="s">
        <v>594</v>
      </c>
      <c r="H1586" s="93" t="s">
        <v>5</v>
      </c>
      <c r="I1586" s="67"/>
      <c r="J1586" s="92">
        <v>9885165151</v>
      </c>
      <c r="K1586" s="67"/>
      <c r="L1586" s="67"/>
      <c r="M1586" s="67"/>
      <c r="N1586" s="67"/>
      <c r="O1586" s="67"/>
    </row>
    <row r="1587" spans="1:15" ht="15">
      <c r="A1587" s="91" t="s">
        <v>11</v>
      </c>
      <c r="B1587" s="91" t="s">
        <v>261</v>
      </c>
      <c r="C1587" s="92" t="str">
        <f ca="1">IFERROR(__xludf.DUMMYFUNCTION("filter('Back End'!C:C,'Back End'!A:A=A1587,'Back End'!B:B=B1587,'Back End'!D:D=D1587)"),"Vakalapudi")</f>
        <v>Vakalapudi</v>
      </c>
      <c r="D1587" s="91" t="s">
        <v>295</v>
      </c>
      <c r="E1587" s="91" t="s">
        <v>5150</v>
      </c>
      <c r="F1587" s="67"/>
      <c r="G1587" s="91" t="s">
        <v>615</v>
      </c>
      <c r="H1587" s="93" t="s">
        <v>5</v>
      </c>
      <c r="I1587" s="67"/>
      <c r="J1587" s="92">
        <v>9959401279</v>
      </c>
      <c r="K1587" s="67"/>
      <c r="L1587" s="67"/>
      <c r="M1587" s="67"/>
      <c r="N1587" s="67"/>
      <c r="O1587" s="67"/>
    </row>
    <row r="1588" spans="1:15" ht="15">
      <c r="A1588" s="91" t="s">
        <v>11</v>
      </c>
      <c r="B1588" s="91" t="s">
        <v>261</v>
      </c>
      <c r="C1588" s="92" t="str">
        <f ca="1">IFERROR(__xludf.DUMMYFUNCTION("filter('Back End'!C:C,'Back End'!A:A=A1588,'Back End'!B:B=B1588,'Back End'!D:D=D1588)"),"Vakalapudi")</f>
        <v>Vakalapudi</v>
      </c>
      <c r="D1588" s="91" t="s">
        <v>295</v>
      </c>
      <c r="E1588" s="91" t="s">
        <v>5151</v>
      </c>
      <c r="F1588" s="67"/>
      <c r="G1588" s="91" t="s">
        <v>85</v>
      </c>
      <c r="H1588" s="93" t="s">
        <v>5</v>
      </c>
      <c r="I1588" s="67"/>
      <c r="J1588" s="92">
        <v>9032043444</v>
      </c>
      <c r="K1588" s="67"/>
      <c r="L1588" s="67"/>
      <c r="M1588" s="67"/>
      <c r="N1588" s="67"/>
      <c r="O1588" s="67"/>
    </row>
    <row r="1589" spans="1:15" ht="15">
      <c r="A1589" s="91" t="s">
        <v>11</v>
      </c>
      <c r="B1589" s="91" t="s">
        <v>261</v>
      </c>
      <c r="C1589" s="92" t="str">
        <f ca="1">IFERROR(__xludf.DUMMYFUNCTION("filter('Back End'!C:C,'Back End'!A:A=A1589,'Back End'!B:B=B1589,'Back End'!D:D=D1589)"),"Vakalapudi")</f>
        <v>Vakalapudi</v>
      </c>
      <c r="D1589" s="91" t="s">
        <v>295</v>
      </c>
      <c r="E1589" s="91" t="s">
        <v>5120</v>
      </c>
      <c r="F1589" s="91" t="s">
        <v>1669</v>
      </c>
      <c r="G1589" s="91" t="s">
        <v>615</v>
      </c>
      <c r="H1589" s="93" t="s">
        <v>5</v>
      </c>
      <c r="I1589" s="92" t="s">
        <v>4039</v>
      </c>
      <c r="J1589" s="92">
        <v>9966437999</v>
      </c>
      <c r="K1589" s="67"/>
      <c r="L1589" s="67"/>
      <c r="M1589" s="67"/>
      <c r="N1589" s="67"/>
      <c r="O1589" s="67"/>
    </row>
    <row r="1590" spans="1:15" ht="15">
      <c r="A1590" s="91" t="s">
        <v>11</v>
      </c>
      <c r="B1590" s="91" t="s">
        <v>261</v>
      </c>
      <c r="C1590" s="92" t="str">
        <f ca="1">IFERROR(__xludf.DUMMYFUNCTION("filter('Back End'!C:C,'Back End'!A:A=A1590,'Back End'!B:B=B1590,'Back End'!D:D=D1590)"),"Vakalapudi")</f>
        <v>Vakalapudi</v>
      </c>
      <c r="D1590" s="91" t="s">
        <v>295</v>
      </c>
      <c r="E1590" s="91" t="s">
        <v>5152</v>
      </c>
      <c r="F1590" s="67"/>
      <c r="G1590" s="91" t="s">
        <v>594</v>
      </c>
      <c r="H1590" s="93" t="s">
        <v>5</v>
      </c>
      <c r="I1590" s="67"/>
      <c r="J1590" s="92">
        <v>9440337567</v>
      </c>
      <c r="K1590" s="67"/>
      <c r="L1590" s="67"/>
      <c r="M1590" s="67"/>
      <c r="N1590" s="67"/>
      <c r="O1590" s="67"/>
    </row>
    <row r="1591" spans="1:15" ht="15">
      <c r="A1591" s="91" t="s">
        <v>11</v>
      </c>
      <c r="B1591" s="100" t="s">
        <v>261</v>
      </c>
      <c r="C1591" s="97" t="str">
        <f ca="1">IFERROR(__xludf.DUMMYFUNCTION("filter('Back End'!C:C,'Back End'!A:A=A1591,'Back End'!B:B=B1591,'Back End'!D:D=D1591)"),"Vakalapudi")</f>
        <v>Vakalapudi</v>
      </c>
      <c r="D1591" s="100" t="s">
        <v>295</v>
      </c>
      <c r="E1591" s="100" t="s">
        <v>5153</v>
      </c>
      <c r="F1591" s="99" t="s">
        <v>3138</v>
      </c>
      <c r="G1591" s="99"/>
      <c r="H1591" s="100" t="s">
        <v>4</v>
      </c>
      <c r="I1591" s="97" t="s">
        <v>3125</v>
      </c>
      <c r="J1591" s="97">
        <v>8297722401</v>
      </c>
      <c r="K1591" s="99"/>
      <c r="L1591" s="99"/>
      <c r="M1591" s="67"/>
      <c r="N1591" s="67"/>
      <c r="O1591" s="67"/>
    </row>
    <row r="1592" spans="1:15" ht="15">
      <c r="A1592" s="91" t="s">
        <v>11</v>
      </c>
      <c r="B1592" s="91" t="s">
        <v>261</v>
      </c>
      <c r="C1592" s="92" t="str">
        <f ca="1">IFERROR(__xludf.DUMMYFUNCTION("filter('Back End'!C:C,'Back End'!A:A=A1592,'Back End'!B:B=B1592,'Back End'!D:D=D1592)"),"Valasapakalu")</f>
        <v>Valasapakalu</v>
      </c>
      <c r="D1592" s="91" t="s">
        <v>296</v>
      </c>
      <c r="E1592" s="91" t="s">
        <v>5154</v>
      </c>
      <c r="F1592" s="67"/>
      <c r="G1592" s="91" t="s">
        <v>594</v>
      </c>
      <c r="H1592" s="93" t="s">
        <v>5</v>
      </c>
      <c r="I1592" s="67"/>
      <c r="J1592" s="92">
        <v>8341447666</v>
      </c>
      <c r="K1592" s="67"/>
      <c r="L1592" s="67"/>
      <c r="M1592" s="67"/>
      <c r="N1592" s="67"/>
      <c r="O1592" s="67"/>
    </row>
    <row r="1593" spans="1:15" ht="15">
      <c r="A1593" s="91" t="s">
        <v>11</v>
      </c>
      <c r="B1593" s="91" t="s">
        <v>261</v>
      </c>
      <c r="C1593" s="92" t="str">
        <f ca="1">IFERROR(__xludf.DUMMYFUNCTION("filter('Back End'!C:C,'Back End'!A:A=A1593,'Back End'!B:B=B1593,'Back End'!D:D=D1593)"),"Valasapakalu")</f>
        <v>Valasapakalu</v>
      </c>
      <c r="D1593" s="91" t="s">
        <v>296</v>
      </c>
      <c r="E1593" s="91" t="s">
        <v>5155</v>
      </c>
      <c r="F1593" s="67"/>
      <c r="G1593" s="91" t="s">
        <v>615</v>
      </c>
      <c r="H1593" s="93" t="s">
        <v>5</v>
      </c>
      <c r="I1593" s="67"/>
      <c r="J1593" s="92">
        <v>9300574337</v>
      </c>
      <c r="K1593" s="67"/>
      <c r="L1593" s="67"/>
      <c r="M1593" s="67"/>
      <c r="N1593" s="67"/>
      <c r="O1593" s="67"/>
    </row>
    <row r="1594" spans="1:15" ht="15">
      <c r="A1594" s="91" t="s">
        <v>11</v>
      </c>
      <c r="B1594" s="91" t="s">
        <v>261</v>
      </c>
      <c r="C1594" s="92" t="str">
        <f ca="1">IFERROR(__xludf.DUMMYFUNCTION("filter('Back End'!C:C,'Back End'!A:A=A1594,'Back End'!B:B=B1594,'Back End'!D:D=D1594)"),"Valasapakalu")</f>
        <v>Valasapakalu</v>
      </c>
      <c r="D1594" s="91" t="s">
        <v>296</v>
      </c>
      <c r="E1594" s="91" t="s">
        <v>5156</v>
      </c>
      <c r="F1594" s="67"/>
      <c r="G1594" s="91" t="s">
        <v>85</v>
      </c>
      <c r="H1594" s="93" t="s">
        <v>5</v>
      </c>
      <c r="I1594" s="67"/>
      <c r="J1594" s="92">
        <v>9866068092</v>
      </c>
      <c r="K1594" s="67"/>
      <c r="L1594" s="67"/>
      <c r="M1594" s="67"/>
      <c r="N1594" s="67"/>
      <c r="O1594" s="67"/>
    </row>
    <row r="1595" spans="1:15" ht="15">
      <c r="A1595" s="91" t="s">
        <v>11</v>
      </c>
      <c r="B1595" s="91" t="s">
        <v>261</v>
      </c>
      <c r="C1595" s="92" t="str">
        <f ca="1">IFERROR(__xludf.DUMMYFUNCTION("filter('Back End'!C:C,'Back End'!A:A=A1595,'Back End'!B:B=B1595,'Back End'!D:D=D1595)"),"Valasapakalu")</f>
        <v>Valasapakalu</v>
      </c>
      <c r="D1595" s="91" t="s">
        <v>296</v>
      </c>
      <c r="E1595" s="91" t="s">
        <v>5157</v>
      </c>
      <c r="F1595" s="67"/>
      <c r="G1595" s="91" t="s">
        <v>615</v>
      </c>
      <c r="H1595" s="93" t="s">
        <v>5</v>
      </c>
      <c r="I1595" s="67"/>
      <c r="J1595" s="92">
        <v>9553339930</v>
      </c>
      <c r="K1595" s="67"/>
      <c r="L1595" s="67"/>
      <c r="M1595" s="67"/>
      <c r="N1595" s="67"/>
      <c r="O1595" s="67"/>
    </row>
    <row r="1596" spans="1:15" ht="15">
      <c r="A1596" s="91" t="s">
        <v>11</v>
      </c>
      <c r="B1596" s="91" t="s">
        <v>261</v>
      </c>
      <c r="C1596" s="92" t="str">
        <f ca="1">IFERROR(__xludf.DUMMYFUNCTION("filter('Back End'!C:C,'Back End'!A:A=A1596,'Back End'!B:B=B1596,'Back End'!D:D=D1596)"),"Valasapakalu")</f>
        <v>Valasapakalu</v>
      </c>
      <c r="D1596" s="91" t="s">
        <v>296</v>
      </c>
      <c r="E1596" s="91" t="s">
        <v>5158</v>
      </c>
      <c r="F1596" s="67"/>
      <c r="G1596" s="91" t="s">
        <v>594</v>
      </c>
      <c r="H1596" s="93" t="s">
        <v>5</v>
      </c>
      <c r="I1596" s="67"/>
      <c r="J1596" s="92">
        <v>7702533199</v>
      </c>
      <c r="K1596" s="67"/>
      <c r="L1596" s="67"/>
      <c r="M1596" s="67"/>
      <c r="N1596" s="67"/>
      <c r="O1596" s="67"/>
    </row>
    <row r="1597" spans="1:15" ht="15">
      <c r="A1597" s="91" t="s">
        <v>11</v>
      </c>
      <c r="B1597" s="91" t="s">
        <v>261</v>
      </c>
      <c r="C1597" s="92" t="str">
        <f ca="1">IFERROR(__xludf.DUMMYFUNCTION("filter('Back End'!C:C,'Back End'!A:A=A1597,'Back End'!B:B=B1597,'Back End'!D:D=D1597)"),"Valasapakalu")</f>
        <v>Valasapakalu</v>
      </c>
      <c r="D1597" s="91" t="s">
        <v>296</v>
      </c>
      <c r="E1597" s="91" t="s">
        <v>5159</v>
      </c>
      <c r="F1597" s="67"/>
      <c r="G1597" s="91" t="s">
        <v>615</v>
      </c>
      <c r="H1597" s="93" t="s">
        <v>5</v>
      </c>
      <c r="I1597" s="67"/>
      <c r="J1597" s="92">
        <v>7396761518</v>
      </c>
      <c r="K1597" s="67"/>
      <c r="L1597" s="67"/>
      <c r="M1597" s="67"/>
      <c r="N1597" s="67"/>
      <c r="O1597" s="67"/>
    </row>
    <row r="1598" spans="1:15" ht="15">
      <c r="A1598" s="91" t="s">
        <v>11</v>
      </c>
      <c r="B1598" s="91" t="s">
        <v>261</v>
      </c>
      <c r="C1598" s="92" t="str">
        <f ca="1">IFERROR(__xludf.DUMMYFUNCTION("filter('Back End'!C:C,'Back End'!A:A=A1598,'Back End'!B:B=B1598,'Back End'!D:D=D1598)"),"Valasapakalu")</f>
        <v>Valasapakalu</v>
      </c>
      <c r="D1598" s="91" t="s">
        <v>296</v>
      </c>
      <c r="E1598" s="91" t="s">
        <v>5160</v>
      </c>
      <c r="F1598" s="91" t="s">
        <v>1669</v>
      </c>
      <c r="G1598" s="91" t="s">
        <v>615</v>
      </c>
      <c r="H1598" s="93" t="s">
        <v>5</v>
      </c>
      <c r="I1598" s="67"/>
      <c r="J1598" s="92">
        <v>9963743768</v>
      </c>
      <c r="K1598" s="67"/>
      <c r="L1598" s="67"/>
      <c r="M1598" s="67"/>
      <c r="N1598" s="67"/>
      <c r="O1598" s="67"/>
    </row>
    <row r="1599" spans="1:15" ht="15">
      <c r="A1599" s="91" t="s">
        <v>11</v>
      </c>
      <c r="B1599" s="91" t="s">
        <v>261</v>
      </c>
      <c r="C1599" s="92" t="str">
        <f ca="1">IFERROR(__xludf.DUMMYFUNCTION("filter('Back End'!C:C,'Back End'!A:A=A1599,'Back End'!B:B=B1599,'Back End'!D:D=D1599)"),"Valasapakalu")</f>
        <v>Valasapakalu</v>
      </c>
      <c r="D1599" s="91" t="s">
        <v>296</v>
      </c>
      <c r="E1599" s="91" t="s">
        <v>5161</v>
      </c>
      <c r="F1599" s="91" t="s">
        <v>139</v>
      </c>
      <c r="G1599" s="91" t="s">
        <v>594</v>
      </c>
      <c r="H1599" s="93" t="s">
        <v>5</v>
      </c>
      <c r="I1599" s="67"/>
      <c r="J1599" s="92">
        <v>9553955037</v>
      </c>
      <c r="K1599" s="67"/>
      <c r="L1599" s="67"/>
      <c r="M1599" s="67"/>
      <c r="N1599" s="67"/>
      <c r="O1599" s="67"/>
    </row>
    <row r="1600" spans="1:15" ht="16.5">
      <c r="A1600" s="91" t="s">
        <v>11</v>
      </c>
      <c r="B1600" s="91" t="s">
        <v>261</v>
      </c>
      <c r="C1600" s="92" t="str">
        <f ca="1">IFERROR(__xludf.DUMMYFUNCTION("filter('Back End'!C:C,'Back End'!A:A=A1600,'Back End'!B:B=B1600,'Back End'!D:D=D1600)"),"Valasapakalu")</f>
        <v>Valasapakalu</v>
      </c>
      <c r="D1600" s="91" t="s">
        <v>296</v>
      </c>
      <c r="E1600" s="100" t="s">
        <v>5162</v>
      </c>
      <c r="F1600" s="98" t="s">
        <v>1669</v>
      </c>
      <c r="G1600" s="98" t="s">
        <v>615</v>
      </c>
      <c r="H1600" s="93" t="s">
        <v>5</v>
      </c>
      <c r="I1600" s="97" t="s">
        <v>4039</v>
      </c>
      <c r="J1600" s="97">
        <v>9966437999</v>
      </c>
      <c r="K1600" s="99"/>
      <c r="L1600" s="99"/>
      <c r="M1600" s="99"/>
      <c r="N1600" s="67"/>
      <c r="O1600" s="67"/>
    </row>
    <row r="1601" spans="1:15" ht="16.5">
      <c r="A1601" s="91" t="s">
        <v>11</v>
      </c>
      <c r="B1601" s="91" t="s">
        <v>261</v>
      </c>
      <c r="C1601" s="92" t="str">
        <f ca="1">IFERROR(__xludf.DUMMYFUNCTION("filter('Back End'!C:C,'Back End'!A:A=A1601,'Back End'!B:B=B1601,'Back End'!D:D=D1601)"),"Valasapakalu")</f>
        <v>Valasapakalu</v>
      </c>
      <c r="D1601" s="91" t="s">
        <v>296</v>
      </c>
      <c r="E1601" s="100" t="s">
        <v>5163</v>
      </c>
      <c r="F1601" s="98" t="s">
        <v>1669</v>
      </c>
      <c r="G1601" s="98" t="s">
        <v>615</v>
      </c>
      <c r="H1601" s="93" t="s">
        <v>5</v>
      </c>
      <c r="I1601" s="97" t="s">
        <v>3115</v>
      </c>
      <c r="J1601" s="97">
        <v>9866471406</v>
      </c>
      <c r="K1601" s="99"/>
      <c r="L1601" s="99"/>
      <c r="M1601" s="99"/>
      <c r="N1601" s="67"/>
      <c r="O1601" s="67"/>
    </row>
    <row r="1602" spans="1:15" ht="30.4">
      <c r="A1602" s="91" t="s">
        <v>11</v>
      </c>
      <c r="B1602" s="91" t="s">
        <v>261</v>
      </c>
      <c r="C1602" s="92" t="str">
        <f ca="1">IFERROR(__xludf.DUMMYFUNCTION("filter('Back End'!C:C,'Back End'!A:A=A1602,'Back End'!B:B=B1602,'Back End'!D:D=D1602)"),"Valasapakalu")</f>
        <v>Valasapakalu</v>
      </c>
      <c r="D1602" s="91" t="s">
        <v>296</v>
      </c>
      <c r="E1602" s="100" t="s">
        <v>5164</v>
      </c>
      <c r="F1602" s="98" t="s">
        <v>1669</v>
      </c>
      <c r="G1602" s="98" t="s">
        <v>615</v>
      </c>
      <c r="H1602" s="93" t="s">
        <v>4</v>
      </c>
      <c r="I1602" s="97" t="s">
        <v>4835</v>
      </c>
      <c r="J1602" s="97">
        <v>9848894739</v>
      </c>
      <c r="K1602" s="99"/>
      <c r="L1602" s="99"/>
      <c r="M1602" s="99"/>
      <c r="N1602" s="67"/>
      <c r="O1602" s="67"/>
    </row>
    <row r="1603" spans="1:15" ht="15">
      <c r="A1603" s="91" t="s">
        <v>11</v>
      </c>
      <c r="B1603" s="100" t="s">
        <v>261</v>
      </c>
      <c r="C1603" s="97" t="str">
        <f ca="1">IFERROR(__xludf.DUMMYFUNCTION("filter('Back End'!C:C,'Back End'!A:A=A1603,'Back End'!B:B=B1603,'Back End'!D:D=D1603)"),"Valasapakalu")</f>
        <v>Valasapakalu</v>
      </c>
      <c r="D1603" s="100" t="s">
        <v>296</v>
      </c>
      <c r="E1603" s="100" t="s">
        <v>5165</v>
      </c>
      <c r="F1603" s="99" t="s">
        <v>3138</v>
      </c>
      <c r="G1603" s="99"/>
      <c r="H1603" s="100" t="s">
        <v>4</v>
      </c>
      <c r="I1603" s="99"/>
      <c r="J1603" s="97">
        <v>9394746229</v>
      </c>
      <c r="K1603" s="99"/>
      <c r="L1603" s="99"/>
      <c r="M1603" s="99"/>
      <c r="N1603" s="67"/>
      <c r="O1603" s="67"/>
    </row>
    <row r="1604" spans="1:15" ht="15">
      <c r="A1604" s="91" t="s">
        <v>11</v>
      </c>
      <c r="B1604" s="100" t="s">
        <v>297</v>
      </c>
      <c r="C1604" s="97" t="str">
        <f ca="1">IFERROR(__xludf.DUMMYFUNCTION("filter('Back End'!C:C,'Back End'!A:A=A1604,'Back End'!B:B=B1604,'Back End'!D:D=D1604)"),"Valasapakulu")</f>
        <v>Valasapakulu</v>
      </c>
      <c r="D1604" s="100" t="s">
        <v>331</v>
      </c>
      <c r="E1604" s="100" t="s">
        <v>5166</v>
      </c>
      <c r="F1604" s="99" t="s">
        <v>3138</v>
      </c>
      <c r="G1604" s="99"/>
      <c r="H1604" s="100" t="s">
        <v>4</v>
      </c>
      <c r="I1604" s="99"/>
      <c r="J1604" s="97">
        <v>9493631555</v>
      </c>
      <c r="K1604" s="99"/>
      <c r="L1604" s="99"/>
      <c r="M1604" s="99"/>
      <c r="N1604" s="67"/>
      <c r="O1604" s="67"/>
    </row>
    <row r="1605" spans="1:15" ht="15">
      <c r="A1605" s="91" t="s">
        <v>11</v>
      </c>
      <c r="B1605" s="91" t="s">
        <v>297</v>
      </c>
      <c r="C1605" s="92" t="str">
        <f ca="1">IFERROR(__xludf.DUMMYFUNCTION("filter('Back End'!C:C,'Back End'!A:A=A1605,'Back End'!B:B=B1605,'Back End'!D:D=D1605)"),"Velangi")</f>
        <v>Velangi</v>
      </c>
      <c r="D1605" s="91" t="s">
        <v>333</v>
      </c>
      <c r="E1605" s="91" t="s">
        <v>5167</v>
      </c>
      <c r="F1605" s="91" t="s">
        <v>368</v>
      </c>
      <c r="G1605" s="91" t="s">
        <v>594</v>
      </c>
      <c r="H1605" s="93" t="s">
        <v>5</v>
      </c>
      <c r="I1605" s="67"/>
      <c r="J1605" s="92">
        <v>9299907893</v>
      </c>
      <c r="K1605" s="67"/>
      <c r="L1605" s="67"/>
      <c r="M1605" s="67"/>
      <c r="N1605" s="67"/>
      <c r="O1605" s="67"/>
    </row>
    <row r="1606" spans="1:15" ht="15">
      <c r="A1606" s="91" t="s">
        <v>11</v>
      </c>
      <c r="B1606" s="91" t="s">
        <v>297</v>
      </c>
      <c r="C1606" s="92" t="str">
        <f ca="1">IFERROR(__xludf.DUMMYFUNCTION("filter('Back End'!C:C,'Back End'!A:A=A1606,'Back End'!B:B=B1606,'Back End'!D:D=D1606)"),"Vemulavada")</f>
        <v>Vemulavada</v>
      </c>
      <c r="D1606" s="91" t="s">
        <v>335</v>
      </c>
      <c r="E1606" s="91" t="s">
        <v>5168</v>
      </c>
      <c r="F1606" s="91" t="s">
        <v>139</v>
      </c>
      <c r="G1606" s="91" t="s">
        <v>594</v>
      </c>
      <c r="H1606" s="93" t="s">
        <v>5</v>
      </c>
      <c r="I1606" s="67"/>
      <c r="J1606" s="92">
        <v>9573985606</v>
      </c>
      <c r="K1606" s="67"/>
      <c r="L1606" s="67"/>
      <c r="M1606" s="67"/>
      <c r="N1606" s="67"/>
      <c r="O1606" s="67"/>
    </row>
    <row r="1607" spans="1:15" ht="15">
      <c r="A1607" s="91" t="s">
        <v>11</v>
      </c>
      <c r="B1607" s="91" t="s">
        <v>297</v>
      </c>
      <c r="C1607" s="92" t="str">
        <f ca="1">IFERROR(__xludf.DUMMYFUNCTION("filter('Back End'!C:C,'Back End'!A:A=A1607,'Back End'!B:B=B1607,'Back End'!D:D=D1607)"),"Vemulavada")</f>
        <v>Vemulavada</v>
      </c>
      <c r="D1607" s="91" t="s">
        <v>335</v>
      </c>
      <c r="E1607" s="91" t="s">
        <v>3191</v>
      </c>
      <c r="F1607" s="91" t="s">
        <v>139</v>
      </c>
      <c r="G1607" s="91" t="s">
        <v>594</v>
      </c>
      <c r="H1607" s="93" t="s">
        <v>4</v>
      </c>
      <c r="I1607" s="92" t="s">
        <v>3125</v>
      </c>
      <c r="J1607" s="92">
        <v>9000317143</v>
      </c>
      <c r="K1607" s="67"/>
      <c r="L1607" s="67"/>
      <c r="M1607" s="67"/>
      <c r="N1607" s="67"/>
      <c r="O1607" s="67"/>
    </row>
    <row r="1608" spans="1:15" ht="15">
      <c r="A1608" s="91" t="s">
        <v>11</v>
      </c>
      <c r="B1608" s="91" t="s">
        <v>297</v>
      </c>
      <c r="C1608" s="92" t="str">
        <f ca="1">IFERROR(__xludf.DUMMYFUNCTION("filter('Back End'!C:C,'Back End'!A:A=A1608,'Back End'!B:B=B1608,'Back End'!D:D=D1608)"),"Vemulavada")</f>
        <v>Vemulavada</v>
      </c>
      <c r="D1608" s="91" t="s">
        <v>335</v>
      </c>
      <c r="E1608" s="91" t="s">
        <v>5169</v>
      </c>
      <c r="F1608" s="91" t="s">
        <v>139</v>
      </c>
      <c r="G1608" s="91" t="s">
        <v>594</v>
      </c>
      <c r="H1608" s="93" t="s">
        <v>4</v>
      </c>
      <c r="I1608" s="67"/>
      <c r="J1608" s="67"/>
      <c r="K1608" s="67"/>
      <c r="L1608" s="67"/>
      <c r="M1608" s="67"/>
      <c r="N1608" s="67"/>
      <c r="O1608" s="67"/>
    </row>
    <row r="1609" spans="1:15" ht="15">
      <c r="A1609" s="91" t="s">
        <v>11</v>
      </c>
      <c r="B1609" s="91" t="s">
        <v>297</v>
      </c>
      <c r="C1609" s="92" t="str">
        <f ca="1">IFERROR(__xludf.DUMMYFUNCTION("filter('Back End'!C:C,'Back End'!A:A=A1609,'Back End'!B:B=B1609,'Back End'!D:D=D1609)"),"Vemulavada")</f>
        <v>Vemulavada</v>
      </c>
      <c r="D1609" s="91" t="s">
        <v>335</v>
      </c>
      <c r="E1609" s="91" t="s">
        <v>336</v>
      </c>
      <c r="F1609" s="91" t="s">
        <v>288</v>
      </c>
      <c r="G1609" s="91" t="s">
        <v>615</v>
      </c>
      <c r="H1609" s="93" t="s">
        <v>5</v>
      </c>
      <c r="I1609" s="92" t="s">
        <v>3115</v>
      </c>
      <c r="J1609" s="92">
        <v>9959570866</v>
      </c>
      <c r="K1609" s="91">
        <v>500</v>
      </c>
      <c r="L1609" s="67"/>
      <c r="M1609" s="67"/>
      <c r="N1609" s="67"/>
      <c r="O1609" s="67"/>
    </row>
    <row r="1610" spans="1:15" ht="15">
      <c r="A1610" s="91" t="s">
        <v>11</v>
      </c>
      <c r="B1610" s="91" t="s">
        <v>297</v>
      </c>
      <c r="C1610" s="92" t="str">
        <f ca="1">IFERROR(__xludf.DUMMYFUNCTION("filter('Back End'!C:C,'Back End'!A:A=A1610,'Back End'!B:B=B1610,'Back End'!D:D=D1610)"),"Vemulavada")</f>
        <v>Vemulavada</v>
      </c>
      <c r="D1610" s="91" t="s">
        <v>335</v>
      </c>
      <c r="E1610" s="91" t="s">
        <v>5170</v>
      </c>
      <c r="F1610" s="67" t="s">
        <v>3138</v>
      </c>
      <c r="G1610" s="67"/>
      <c r="H1610" s="93" t="s">
        <v>5</v>
      </c>
      <c r="I1610" s="67"/>
      <c r="J1610" s="92">
        <v>9989799205</v>
      </c>
      <c r="K1610" s="67"/>
      <c r="L1610" s="67"/>
      <c r="M1610" s="67"/>
      <c r="N1610" s="67"/>
      <c r="O1610" s="67"/>
    </row>
    <row r="1611" spans="1:15" ht="15">
      <c r="A1611" s="91" t="s">
        <v>11</v>
      </c>
      <c r="B1611" s="91" t="s">
        <v>261</v>
      </c>
      <c r="C1611" s="92" t="str">
        <f ca="1">IFERROR(__xludf.DUMMYFUNCTION("filter('Back End'!C:C,'Back End'!A:A=A1611,'Back End'!B:B=B1611,'Back End'!D:D=D1611)"),"P.Venkatapuram")</f>
        <v>P.Venkatapuram</v>
      </c>
      <c r="D1611" s="91" t="s">
        <v>273</v>
      </c>
      <c r="E1611" s="91" t="s">
        <v>5171</v>
      </c>
      <c r="F1611" s="91" t="s">
        <v>1669</v>
      </c>
      <c r="G1611" s="91" t="s">
        <v>615</v>
      </c>
      <c r="H1611" s="93" t="s">
        <v>5</v>
      </c>
      <c r="I1611" s="67"/>
      <c r="J1611" s="92">
        <v>9505302419</v>
      </c>
      <c r="K1611" s="67"/>
      <c r="L1611" s="67"/>
      <c r="M1611" s="67"/>
      <c r="N1611" s="67"/>
      <c r="O1611" s="67"/>
    </row>
    <row r="1612" spans="1:15" ht="15">
      <c r="A1612" s="91" t="s">
        <v>11</v>
      </c>
      <c r="B1612" s="91" t="s">
        <v>297</v>
      </c>
      <c r="C1612" s="92" t="str">
        <f ca="1">IFERROR(__xludf.DUMMYFUNCTION("filter('Back End'!C:C,'Back End'!A:A=A1612,'Back End'!B:B=B1612,'Back End'!D:D=D1612)"),"Yandamuru")</f>
        <v>Yandamuru</v>
      </c>
      <c r="D1612" s="91" t="s">
        <v>339</v>
      </c>
      <c r="E1612" s="91" t="s">
        <v>5172</v>
      </c>
      <c r="F1612" s="67" t="s">
        <v>3138</v>
      </c>
      <c r="G1612" s="67"/>
      <c r="H1612" s="93" t="s">
        <v>5</v>
      </c>
      <c r="I1612" s="67"/>
      <c r="J1612" s="92">
        <v>9849222865</v>
      </c>
      <c r="K1612" s="67"/>
      <c r="L1612" s="67"/>
      <c r="M1612" s="67"/>
      <c r="N1612" s="67"/>
      <c r="O1612" s="67"/>
    </row>
    <row r="1613" spans="1:15" ht="15">
      <c r="A1613" s="91" t="s">
        <v>11</v>
      </c>
      <c r="B1613" s="91" t="s">
        <v>297</v>
      </c>
      <c r="C1613" s="92" t="str">
        <f ca="1">IFERROR(__xludf.DUMMYFUNCTION("filter('Back End'!C:C,'Back End'!A:A=A1613,'Back End'!B:B=B1613,'Back End'!D:D=D1613)"),"Yandamuru")</f>
        <v>Yandamuru</v>
      </c>
      <c r="D1613" s="91" t="s">
        <v>339</v>
      </c>
      <c r="E1613" s="91" t="s">
        <v>5173</v>
      </c>
      <c r="F1613" s="91" t="s">
        <v>114</v>
      </c>
      <c r="G1613" s="91" t="s">
        <v>615</v>
      </c>
      <c r="H1613" s="93" t="s">
        <v>5</v>
      </c>
      <c r="I1613" s="67"/>
      <c r="J1613" s="92">
        <v>9701936973</v>
      </c>
      <c r="K1613" s="67"/>
      <c r="L1613" s="67"/>
      <c r="M1613" s="67"/>
      <c r="N1613" s="67"/>
      <c r="O1613" s="67"/>
    </row>
    <row r="1614" spans="1:15" ht="15">
      <c r="A1614" s="91" t="s">
        <v>4367</v>
      </c>
      <c r="B1614" s="91" t="s">
        <v>297</v>
      </c>
      <c r="C1614" s="92" t="str">
        <f ca="1">IFERROR(__xludf.DUMMYFUNCTION("filter('Back End'!C:C,'Back End'!A:A=A1614,'Back End'!B:B=B1614,'Back End'!D:D=D1614)"),"#N/A")</f>
        <v>#N/A</v>
      </c>
      <c r="D1614" s="91" t="s">
        <v>298</v>
      </c>
      <c r="E1614" s="91" t="s">
        <v>5174</v>
      </c>
      <c r="F1614" s="67" t="s">
        <v>3138</v>
      </c>
      <c r="G1614" s="91" t="s">
        <v>615</v>
      </c>
      <c r="H1614" s="93" t="s">
        <v>5</v>
      </c>
      <c r="I1614" s="67"/>
      <c r="J1614" s="92">
        <v>8121567888</v>
      </c>
      <c r="K1614" s="67"/>
      <c r="L1614" s="67"/>
      <c r="M1614" s="67"/>
      <c r="N1614" s="67"/>
      <c r="O1614" s="67"/>
    </row>
    <row r="1615" spans="1:15" ht="15">
      <c r="A1615" s="91" t="s">
        <v>11</v>
      </c>
      <c r="B1615" s="91" t="s">
        <v>297</v>
      </c>
      <c r="C1615" s="92" t="str">
        <f ca="1">IFERROR(__xludf.DUMMYFUNCTION("filter('Back End'!C:C,'Back End'!A:A=A1615,'Back End'!B:B=B1615,'Back End'!D:D=D1615)"),"Gorripudi")</f>
        <v>Gorripudi</v>
      </c>
      <c r="D1615" s="91" t="s">
        <v>303</v>
      </c>
      <c r="E1615" s="91" t="s">
        <v>5175</v>
      </c>
      <c r="F1615" s="91" t="s">
        <v>139</v>
      </c>
      <c r="G1615" s="91" t="s">
        <v>594</v>
      </c>
      <c r="H1615" s="93" t="s">
        <v>5</v>
      </c>
      <c r="I1615" s="67"/>
      <c r="J1615" s="92">
        <v>9948162843</v>
      </c>
      <c r="K1615" s="67"/>
      <c r="L1615" s="67"/>
      <c r="M1615" s="67"/>
      <c r="N1615" s="67"/>
      <c r="O1615" s="67"/>
    </row>
    <row r="1616" spans="1:15" ht="15">
      <c r="A1616" s="91" t="s">
        <v>11</v>
      </c>
      <c r="B1616" s="91" t="s">
        <v>297</v>
      </c>
      <c r="C1616" s="92" t="str">
        <f ca="1">IFERROR(__xludf.DUMMYFUNCTION("filter('Back End'!C:C,'Back End'!A:A=A1616,'Back End'!B:B=B1616,'Back End'!D:D=D1616)"),"Gorripudi")</f>
        <v>Gorripudi</v>
      </c>
      <c r="D1616" s="91" t="s">
        <v>303</v>
      </c>
      <c r="E1616" s="91" t="s">
        <v>5176</v>
      </c>
      <c r="F1616" s="91" t="s">
        <v>139</v>
      </c>
      <c r="G1616" s="91" t="s">
        <v>594</v>
      </c>
      <c r="H1616" s="93" t="s">
        <v>5</v>
      </c>
      <c r="I1616" s="67"/>
      <c r="J1616" s="92">
        <v>9676269768</v>
      </c>
      <c r="K1616" s="67"/>
      <c r="L1616" s="67"/>
      <c r="M1616" s="67"/>
      <c r="N1616" s="67"/>
      <c r="O1616" s="67"/>
    </row>
    <row r="1617" spans="1:15" ht="15">
      <c r="A1617" s="91" t="s">
        <v>4367</v>
      </c>
      <c r="B1617" s="91" t="s">
        <v>297</v>
      </c>
      <c r="C1617" s="92" t="str">
        <f ca="1">IFERROR(__xludf.DUMMYFUNCTION("filter('Back End'!C:C,'Back End'!A:A=A1617,'Back End'!B:B=B1617,'Back End'!D:D=D1617)"),"#N/A")</f>
        <v>#N/A</v>
      </c>
      <c r="D1617" s="91" t="s">
        <v>303</v>
      </c>
      <c r="E1617" s="91" t="s">
        <v>4440</v>
      </c>
      <c r="F1617" s="91" t="s">
        <v>139</v>
      </c>
      <c r="G1617" s="91" t="s">
        <v>594</v>
      </c>
      <c r="H1617" s="93" t="s">
        <v>5</v>
      </c>
      <c r="I1617" s="67"/>
      <c r="J1617" s="92">
        <v>9394389999</v>
      </c>
      <c r="K1617" s="67"/>
      <c r="L1617" s="67"/>
      <c r="M1617" s="67"/>
      <c r="N1617" s="67"/>
      <c r="O1617" s="67"/>
    </row>
    <row r="1618" spans="1:15" ht="15">
      <c r="A1618" s="91" t="s">
        <v>11</v>
      </c>
      <c r="B1618" s="91" t="s">
        <v>297</v>
      </c>
      <c r="C1618" s="92" t="str">
        <f ca="1">IFERROR(__xludf.DUMMYFUNCTION("filter('Back End'!C:C,'Back End'!A:A=A1618,'Back End'!B:B=B1618,'Back End'!D:D=D1618)"),"Gurajanapalle")</f>
        <v>Gurajanapalle</v>
      </c>
      <c r="D1618" s="91" t="s">
        <v>305</v>
      </c>
      <c r="E1618" s="91" t="s">
        <v>5177</v>
      </c>
      <c r="F1618" s="67" t="s">
        <v>3138</v>
      </c>
      <c r="G1618" s="91" t="s">
        <v>594</v>
      </c>
      <c r="H1618" s="93" t="s">
        <v>5</v>
      </c>
      <c r="I1618" s="67"/>
      <c r="J1618" s="92">
        <v>8978577743</v>
      </c>
      <c r="K1618" s="67"/>
      <c r="L1618" s="67"/>
      <c r="M1618" s="67"/>
      <c r="N1618" s="67"/>
      <c r="O1618" s="67"/>
    </row>
    <row r="1619" spans="1:15" ht="15">
      <c r="A1619" s="91" t="s">
        <v>11</v>
      </c>
      <c r="B1619" s="91" t="s">
        <v>297</v>
      </c>
      <c r="C1619" s="92" t="str">
        <f ca="1">IFERROR(__xludf.DUMMYFUNCTION("filter('Back End'!C:C,'Back End'!A:A=A1619,'Back End'!B:B=B1619,'Back End'!D:D=D1619)"),"Gurajanapalle")</f>
        <v>Gurajanapalle</v>
      </c>
      <c r="D1619" s="91" t="s">
        <v>305</v>
      </c>
      <c r="E1619" s="91" t="s">
        <v>5178</v>
      </c>
      <c r="F1619" s="91" t="s">
        <v>139</v>
      </c>
      <c r="G1619" s="91" t="s">
        <v>594</v>
      </c>
      <c r="H1619" s="93" t="s">
        <v>5</v>
      </c>
      <c r="I1619" s="67"/>
      <c r="J1619" s="92">
        <v>9052881199</v>
      </c>
      <c r="K1619" s="67"/>
      <c r="L1619" s="67"/>
      <c r="M1619" s="67"/>
      <c r="N1619" s="67"/>
      <c r="O1619" s="67"/>
    </row>
    <row r="1620" spans="1:15" ht="15">
      <c r="A1620" s="91" t="s">
        <v>11</v>
      </c>
      <c r="B1620" s="91" t="s">
        <v>297</v>
      </c>
      <c r="C1620" s="92" t="str">
        <f ca="1">IFERROR(__xludf.DUMMYFUNCTION("filter('Back End'!C:C,'Back End'!A:A=A1620,'Back End'!B:B=B1620,'Back End'!D:D=D1620)"),"Gurajanapalle")</f>
        <v>Gurajanapalle</v>
      </c>
      <c r="D1620" s="91" t="s">
        <v>305</v>
      </c>
      <c r="E1620" s="91" t="s">
        <v>5179</v>
      </c>
      <c r="F1620" s="67" t="s">
        <v>3138</v>
      </c>
      <c r="G1620" s="67"/>
      <c r="H1620" s="93" t="s">
        <v>5</v>
      </c>
      <c r="I1620" s="67"/>
      <c r="J1620" s="92">
        <v>8106223501</v>
      </c>
      <c r="K1620" s="67"/>
      <c r="L1620" s="67"/>
      <c r="M1620" s="67"/>
      <c r="N1620" s="67"/>
      <c r="O1620" s="67"/>
    </row>
    <row r="1621" spans="1:15" ht="15">
      <c r="A1621" s="91" t="s">
        <v>11</v>
      </c>
      <c r="B1621" s="91" t="s">
        <v>297</v>
      </c>
      <c r="C1621" s="92" t="str">
        <f ca="1">IFERROR(__xludf.DUMMYFUNCTION("filter('Back End'!C:C,'Back End'!A:A=A1621,'Back End'!B:B=B1621,'Back End'!D:D=D1621)"),"Gurajanapalle")</f>
        <v>Gurajanapalle</v>
      </c>
      <c r="D1621" s="91" t="s">
        <v>305</v>
      </c>
      <c r="E1621" s="91" t="s">
        <v>5180</v>
      </c>
      <c r="F1621" s="91" t="s">
        <v>139</v>
      </c>
      <c r="G1621" s="91" t="s">
        <v>594</v>
      </c>
      <c r="H1621" s="93" t="s">
        <v>5</v>
      </c>
      <c r="I1621" s="67"/>
      <c r="J1621" s="92">
        <v>9640448886</v>
      </c>
      <c r="K1621" s="67"/>
      <c r="L1621" s="67"/>
      <c r="M1621" s="67"/>
      <c r="N1621" s="67"/>
      <c r="O1621" s="67"/>
    </row>
    <row r="1622" spans="1:15" ht="15">
      <c r="A1622" s="91" t="s">
        <v>11</v>
      </c>
      <c r="B1622" s="91" t="s">
        <v>297</v>
      </c>
      <c r="C1622" s="92" t="str">
        <f ca="1">IFERROR(__xludf.DUMMYFUNCTION("filter('Back End'!C:C,'Back End'!A:A=A1622,'Back End'!B:B=B1622,'Back End'!D:D=D1622)"),"Kongodu")</f>
        <v>Kongodu</v>
      </c>
      <c r="D1622" s="91" t="s">
        <v>308</v>
      </c>
      <c r="E1622" s="91" t="s">
        <v>5181</v>
      </c>
      <c r="F1622" s="91" t="s">
        <v>139</v>
      </c>
      <c r="G1622" s="91" t="s">
        <v>594</v>
      </c>
      <c r="H1622" s="93" t="s">
        <v>5</v>
      </c>
      <c r="I1622" s="67"/>
      <c r="J1622" s="92">
        <v>9494106999</v>
      </c>
      <c r="K1622" s="67"/>
      <c r="L1622" s="67"/>
      <c r="M1622" s="67"/>
      <c r="N1622" s="67"/>
      <c r="O1622" s="67"/>
    </row>
    <row r="1623" spans="1:15" ht="15">
      <c r="A1623" s="91" t="s">
        <v>4367</v>
      </c>
      <c r="B1623" s="91" t="s">
        <v>297</v>
      </c>
      <c r="C1623" s="92" t="str">
        <f ca="1">IFERROR(__xludf.DUMMYFUNCTION("filter('Back End'!C:C,'Back End'!A:A=A1623,'Back End'!B:B=B1623,'Back End'!D:D=D1623)"),"#N/A")</f>
        <v>#N/A</v>
      </c>
      <c r="D1623" s="91" t="s">
        <v>297</v>
      </c>
      <c r="E1623" s="91" t="s">
        <v>5182</v>
      </c>
      <c r="F1623" s="91" t="s">
        <v>1669</v>
      </c>
      <c r="G1623" s="91" t="s">
        <v>615</v>
      </c>
      <c r="H1623" s="93" t="s">
        <v>5</v>
      </c>
      <c r="I1623" s="67"/>
      <c r="J1623" s="92">
        <v>9908024123</v>
      </c>
      <c r="K1623" s="67"/>
      <c r="L1623" s="67"/>
      <c r="M1623" s="67"/>
      <c r="N1623" s="67"/>
      <c r="O1623" s="67"/>
    </row>
    <row r="1624" spans="1:15" ht="15">
      <c r="A1624" s="91" t="s">
        <v>4367</v>
      </c>
      <c r="B1624" s="91" t="s">
        <v>297</v>
      </c>
      <c r="C1624" s="92" t="str">
        <f ca="1">IFERROR(__xludf.DUMMYFUNCTION("filter('Back End'!C:C,'Back End'!A:A=A1624,'Back End'!B:B=B1624,'Back End'!D:D=D1624)"),"#N/A")</f>
        <v>#N/A</v>
      </c>
      <c r="D1624" s="91" t="s">
        <v>297</v>
      </c>
      <c r="E1624" s="91" t="s">
        <v>5183</v>
      </c>
      <c r="F1624" s="91" t="s">
        <v>139</v>
      </c>
      <c r="G1624" s="91" t="s">
        <v>594</v>
      </c>
      <c r="H1624" s="93" t="s">
        <v>5</v>
      </c>
      <c r="I1624" s="67"/>
      <c r="J1624" s="92">
        <v>8885186662</v>
      </c>
      <c r="K1624" s="67"/>
      <c r="L1624" s="67"/>
      <c r="M1624" s="67"/>
      <c r="N1624" s="67"/>
      <c r="O1624" s="67"/>
    </row>
    <row r="1625" spans="1:15" ht="15">
      <c r="A1625" s="91" t="s">
        <v>11</v>
      </c>
      <c r="B1625" s="91" t="s">
        <v>297</v>
      </c>
      <c r="C1625" s="92" t="str">
        <f ca="1">IFERROR(__xludf.DUMMYFUNCTION("filter('Back End'!C:C,'Back End'!A:A=A1625,'Back End'!B:B=B1625,'Back End'!D:D=D1625)"),"Koripalle")</f>
        <v>Koripalle</v>
      </c>
      <c r="D1625" s="91" t="s">
        <v>310</v>
      </c>
      <c r="E1625" s="91" t="s">
        <v>5184</v>
      </c>
      <c r="F1625" s="91" t="s">
        <v>139</v>
      </c>
      <c r="G1625" s="91" t="s">
        <v>594</v>
      </c>
      <c r="H1625" s="93" t="s">
        <v>5</v>
      </c>
      <c r="I1625" s="67"/>
      <c r="J1625" s="92">
        <v>9848851338</v>
      </c>
      <c r="K1625" s="67"/>
      <c r="L1625" s="67"/>
      <c r="M1625" s="67"/>
      <c r="N1625" s="67"/>
      <c r="O1625" s="67"/>
    </row>
    <row r="1626" spans="1:15" ht="15">
      <c r="A1626" s="91" t="s">
        <v>4367</v>
      </c>
      <c r="B1626" s="91" t="s">
        <v>297</v>
      </c>
      <c r="C1626" s="92" t="str">
        <f ca="1">IFERROR(__xludf.DUMMYFUNCTION("filter('Back End'!C:C,'Back End'!A:A=A1626,'Back End'!B:B=B1626,'Back End'!D:D=D1626)"),"#N/A")</f>
        <v>#N/A</v>
      </c>
      <c r="D1626" s="91" t="s">
        <v>315</v>
      </c>
      <c r="E1626" s="91" t="s">
        <v>5185</v>
      </c>
      <c r="F1626" s="67" t="s">
        <v>3138</v>
      </c>
      <c r="G1626" s="91" t="s">
        <v>85</v>
      </c>
      <c r="H1626" s="93" t="s">
        <v>5</v>
      </c>
      <c r="I1626" s="67"/>
      <c r="J1626" s="92">
        <v>9949483778</v>
      </c>
      <c r="K1626" s="67"/>
      <c r="L1626" s="67"/>
      <c r="M1626" s="67"/>
      <c r="N1626" s="67"/>
      <c r="O1626" s="67"/>
    </row>
    <row r="1627" spans="1:15" ht="15">
      <c r="A1627" s="91" t="s">
        <v>4367</v>
      </c>
      <c r="B1627" s="91" t="s">
        <v>297</v>
      </c>
      <c r="C1627" s="92" t="str">
        <f ca="1">IFERROR(__xludf.DUMMYFUNCTION("filter('Back End'!C:C,'Back End'!A:A=A1627,'Back End'!B:B=B1627,'Back End'!D:D=D1627)"),"#N/A")</f>
        <v>#N/A</v>
      </c>
      <c r="D1627" s="91" t="s">
        <v>315</v>
      </c>
      <c r="E1627" s="91" t="s">
        <v>5186</v>
      </c>
      <c r="F1627" s="67" t="s">
        <v>3138</v>
      </c>
      <c r="G1627" s="91" t="s">
        <v>85</v>
      </c>
      <c r="H1627" s="93" t="s">
        <v>5</v>
      </c>
      <c r="I1627" s="67"/>
      <c r="J1627" s="92">
        <v>9701412347</v>
      </c>
      <c r="K1627" s="67"/>
      <c r="L1627" s="67"/>
      <c r="M1627" s="67"/>
      <c r="N1627" s="67"/>
      <c r="O1627" s="67"/>
    </row>
    <row r="1628" spans="1:15" ht="15">
      <c r="A1628" s="91" t="s">
        <v>4367</v>
      </c>
      <c r="B1628" s="91" t="s">
        <v>297</v>
      </c>
      <c r="C1628" s="92" t="str">
        <f ca="1">IFERROR(__xludf.DUMMYFUNCTION("filter('Back End'!C:C,'Back End'!A:A=A1628,'Back End'!B:B=B1628,'Back End'!D:D=D1628)"),"#N/A")</f>
        <v>#N/A</v>
      </c>
      <c r="D1628" s="91" t="s">
        <v>315</v>
      </c>
      <c r="E1628" s="91" t="s">
        <v>5187</v>
      </c>
      <c r="F1628" s="67" t="s">
        <v>3138</v>
      </c>
      <c r="G1628" s="91" t="s">
        <v>615</v>
      </c>
      <c r="H1628" s="93" t="s">
        <v>5</v>
      </c>
      <c r="I1628" s="67"/>
      <c r="J1628" s="92">
        <v>9912900671</v>
      </c>
      <c r="K1628" s="67"/>
      <c r="L1628" s="67"/>
      <c r="M1628" s="67"/>
      <c r="N1628" s="67"/>
      <c r="O1628" s="67"/>
    </row>
    <row r="1629" spans="1:15" ht="15">
      <c r="A1629" s="91" t="s">
        <v>11</v>
      </c>
      <c r="B1629" s="91" t="s">
        <v>297</v>
      </c>
      <c r="C1629" s="92" t="str">
        <f ca="1">IFERROR(__xludf.DUMMYFUNCTION("filter('Back End'!C:C,'Back End'!A:A=A1629,'Back End'!B:B=B1629,'Back End'!D:D=D1629)"),"Patharlagadda")</f>
        <v>Patharlagadda</v>
      </c>
      <c r="D1629" s="91" t="s">
        <v>317</v>
      </c>
      <c r="E1629" s="91" t="s">
        <v>5188</v>
      </c>
      <c r="F1629" s="91" t="s">
        <v>139</v>
      </c>
      <c r="G1629" s="91" t="s">
        <v>594</v>
      </c>
      <c r="H1629" s="93" t="s">
        <v>5</v>
      </c>
      <c r="I1629" s="67"/>
      <c r="J1629" s="92">
        <v>9866396253</v>
      </c>
      <c r="K1629" s="67"/>
      <c r="L1629" s="67"/>
      <c r="M1629" s="67"/>
      <c r="N1629" s="67"/>
      <c r="O1629" s="67"/>
    </row>
    <row r="1630" spans="1:15" ht="15">
      <c r="A1630" s="91" t="s">
        <v>11</v>
      </c>
      <c r="B1630" s="91" t="s">
        <v>297</v>
      </c>
      <c r="C1630" s="92" t="str">
        <f ca="1">IFERROR(__xludf.DUMMYFUNCTION("filter('Back End'!C:C,'Back End'!A:A=A1630,'Back End'!B:B=B1630,'Back End'!D:D=D1630)"),"Peddapurappadu")</f>
        <v>Peddapurappadu</v>
      </c>
      <c r="D1630" s="91" t="s">
        <v>321</v>
      </c>
      <c r="E1630" s="91" t="s">
        <v>5189</v>
      </c>
      <c r="F1630" s="91" t="s">
        <v>139</v>
      </c>
      <c r="G1630" s="91" t="s">
        <v>594</v>
      </c>
      <c r="H1630" s="93" t="s">
        <v>5</v>
      </c>
      <c r="I1630" s="67"/>
      <c r="J1630" s="92">
        <v>9704177177</v>
      </c>
      <c r="K1630" s="67"/>
      <c r="L1630" s="67"/>
      <c r="M1630" s="67"/>
      <c r="N1630" s="67"/>
      <c r="O1630" s="67"/>
    </row>
    <row r="1631" spans="1:15" ht="15">
      <c r="A1631" s="91" t="s">
        <v>11</v>
      </c>
      <c r="B1631" s="91" t="s">
        <v>297</v>
      </c>
      <c r="C1631" s="92" t="str">
        <f ca="1">IFERROR(__xludf.DUMMYFUNCTION("filter('Back End'!C:C,'Back End'!A:A=A1631,'Back End'!B:B=B1631,'Back End'!D:D=D1631)"),"Peddapurappadu")</f>
        <v>Peddapurappadu</v>
      </c>
      <c r="D1631" s="91" t="s">
        <v>321</v>
      </c>
      <c r="E1631" s="91" t="s">
        <v>5190</v>
      </c>
      <c r="F1631" s="67" t="s">
        <v>3138</v>
      </c>
      <c r="G1631" s="67"/>
      <c r="H1631" s="93" t="s">
        <v>5</v>
      </c>
      <c r="I1631" s="67"/>
      <c r="J1631" s="92">
        <v>8885252192</v>
      </c>
      <c r="K1631" s="67"/>
      <c r="L1631" s="67"/>
      <c r="M1631" s="67"/>
      <c r="N1631" s="67"/>
      <c r="O1631" s="67"/>
    </row>
    <row r="1632" spans="1:15" ht="15">
      <c r="A1632" s="91" t="s">
        <v>11</v>
      </c>
      <c r="B1632" s="91" t="s">
        <v>297</v>
      </c>
      <c r="C1632" s="92" t="s">
        <v>323</v>
      </c>
      <c r="D1632" s="91" t="s">
        <v>323</v>
      </c>
      <c r="E1632" s="91" t="s">
        <v>5191</v>
      </c>
      <c r="F1632" s="67" t="s">
        <v>3138</v>
      </c>
      <c r="G1632" s="91" t="s">
        <v>594</v>
      </c>
      <c r="H1632" s="93" t="s">
        <v>5</v>
      </c>
      <c r="I1632" s="67"/>
      <c r="J1632" s="92">
        <v>9908421119</v>
      </c>
      <c r="K1632" s="67"/>
      <c r="L1632" s="67"/>
      <c r="M1632" s="67"/>
      <c r="N1632" s="67"/>
      <c r="O1632" s="67"/>
    </row>
    <row r="1633" spans="1:15" ht="15">
      <c r="A1633" s="91" t="s">
        <v>4367</v>
      </c>
      <c r="B1633" s="91" t="s">
        <v>297</v>
      </c>
      <c r="C1633" s="92" t="s">
        <v>323</v>
      </c>
      <c r="D1633" s="91" t="s">
        <v>323</v>
      </c>
      <c r="E1633" s="91" t="s">
        <v>5192</v>
      </c>
      <c r="F1633" s="67" t="s">
        <v>3138</v>
      </c>
      <c r="G1633" s="91" t="s">
        <v>594</v>
      </c>
      <c r="H1633" s="93" t="s">
        <v>5</v>
      </c>
      <c r="I1633" s="67"/>
      <c r="J1633" s="92">
        <v>9553181181</v>
      </c>
      <c r="K1633" s="67"/>
      <c r="L1633" s="67"/>
      <c r="M1633" s="67"/>
      <c r="N1633" s="67"/>
      <c r="O1633" s="67"/>
    </row>
    <row r="1634" spans="1:15" ht="15">
      <c r="A1634" s="91" t="s">
        <v>4367</v>
      </c>
      <c r="B1634" s="91" t="s">
        <v>297</v>
      </c>
      <c r="C1634" s="92" t="s">
        <v>327</v>
      </c>
      <c r="D1634" s="91" t="s">
        <v>327</v>
      </c>
      <c r="E1634" s="91" t="s">
        <v>5193</v>
      </c>
      <c r="F1634" s="91" t="s">
        <v>1604</v>
      </c>
      <c r="G1634" s="91" t="s">
        <v>615</v>
      </c>
      <c r="H1634" s="93" t="s">
        <v>4</v>
      </c>
      <c r="I1634" s="67"/>
      <c r="J1634" s="67"/>
      <c r="K1634" s="67"/>
      <c r="L1634" s="67"/>
      <c r="M1634" s="67"/>
      <c r="N1634" s="67"/>
      <c r="O1634" s="67"/>
    </row>
    <row r="1635" spans="1:15" ht="45">
      <c r="A1635" s="91" t="s">
        <v>4367</v>
      </c>
      <c r="B1635" s="91" t="s">
        <v>297</v>
      </c>
      <c r="C1635" s="92" t="str">
        <f ca="1">IFERROR(__xludf.DUMMYFUNCTION("filter('Back End'!C:C,'Back End'!A:A=A1635,'Back End'!B:B=B1635,'Back End'!D:D=D1635)"),"#N/A")</f>
        <v>#N/A</v>
      </c>
      <c r="D1635" s="91" t="s">
        <v>327</v>
      </c>
      <c r="E1635" s="91" t="s">
        <v>5194</v>
      </c>
      <c r="F1635" s="91" t="s">
        <v>1604</v>
      </c>
      <c r="G1635" s="91" t="s">
        <v>615</v>
      </c>
      <c r="H1635" s="93" t="s">
        <v>4</v>
      </c>
      <c r="I1635" s="92" t="s">
        <v>5195</v>
      </c>
      <c r="J1635" s="67"/>
      <c r="K1635" s="67"/>
      <c r="L1635" s="67"/>
      <c r="M1635" s="67"/>
      <c r="N1635" s="67"/>
      <c r="O1635" s="67"/>
    </row>
    <row r="1636" spans="1:15" ht="15">
      <c r="A1636" s="91" t="s">
        <v>4367</v>
      </c>
      <c r="B1636" s="91" t="s">
        <v>297</v>
      </c>
      <c r="C1636" s="92" t="str">
        <f ca="1">IFERROR(__xludf.DUMMYFUNCTION("filter('Back End'!C:C,'Back End'!A:A=A1636,'Back End'!B:B=B1636,'Back End'!D:D=D1636)"),"#N/A")</f>
        <v>#N/A</v>
      </c>
      <c r="D1636" s="91" t="s">
        <v>327</v>
      </c>
      <c r="E1636" s="91" t="s">
        <v>5196</v>
      </c>
      <c r="F1636" s="67" t="s">
        <v>3138</v>
      </c>
      <c r="G1636" s="91" t="s">
        <v>615</v>
      </c>
      <c r="H1636" s="93" t="s">
        <v>5</v>
      </c>
      <c r="I1636" s="67"/>
      <c r="J1636" s="92">
        <v>9848174261</v>
      </c>
      <c r="K1636" s="67"/>
      <c r="L1636" s="67"/>
      <c r="M1636" s="67"/>
      <c r="N1636" s="67"/>
      <c r="O1636" s="67"/>
    </row>
    <row r="1637" spans="1:15" ht="15">
      <c r="A1637" s="91" t="s">
        <v>4367</v>
      </c>
      <c r="B1637" s="91" t="s">
        <v>297</v>
      </c>
      <c r="C1637" s="92" t="str">
        <f ca="1">IFERROR(__xludf.DUMMYFUNCTION("filter('Back End'!C:C,'Back End'!A:A=A1637,'Back End'!B:B=B1637,'Back End'!D:D=D1637)"),"#N/A")</f>
        <v>#N/A</v>
      </c>
      <c r="D1637" s="91" t="s">
        <v>327</v>
      </c>
      <c r="E1637" s="91" t="s">
        <v>5197</v>
      </c>
      <c r="F1637" s="67" t="s">
        <v>3138</v>
      </c>
      <c r="G1637" s="67"/>
      <c r="H1637" s="93" t="s">
        <v>5</v>
      </c>
      <c r="I1637" s="67"/>
      <c r="J1637" s="92">
        <v>9912557105</v>
      </c>
      <c r="K1637" s="67"/>
      <c r="L1637" s="67"/>
      <c r="M1637" s="67"/>
      <c r="N1637" s="67"/>
      <c r="O1637" s="67"/>
    </row>
    <row r="1638" spans="1:15" ht="15">
      <c r="A1638" s="91" t="s">
        <v>4367</v>
      </c>
      <c r="B1638" s="91" t="s">
        <v>297</v>
      </c>
      <c r="C1638" s="92" t="str">
        <f ca="1">IFERROR(__xludf.DUMMYFUNCTION("filter('Back End'!C:C,'Back End'!A:A=A1638,'Back End'!B:B=B1638,'Back End'!D:D=D1638)"),"#N/A")</f>
        <v>#N/A</v>
      </c>
      <c r="D1638" s="91" t="s">
        <v>329</v>
      </c>
      <c r="E1638" s="91" t="s">
        <v>5198</v>
      </c>
      <c r="F1638" s="91" t="s">
        <v>139</v>
      </c>
      <c r="G1638" s="91" t="s">
        <v>594</v>
      </c>
      <c r="H1638" s="93" t="s">
        <v>5</v>
      </c>
      <c r="I1638" s="67"/>
      <c r="J1638" s="92">
        <v>9490128158</v>
      </c>
      <c r="K1638" s="67"/>
      <c r="L1638" s="67"/>
      <c r="M1638" s="67"/>
      <c r="N1638" s="67"/>
      <c r="O1638" s="67"/>
    </row>
    <row r="1639" spans="1:15" ht="15">
      <c r="A1639" s="91" t="s">
        <v>4367</v>
      </c>
      <c r="B1639" s="91" t="s">
        <v>297</v>
      </c>
      <c r="C1639" s="92" t="str">
        <f ca="1">IFERROR(__xludf.DUMMYFUNCTION("filter('Back End'!C:C,'Back End'!A:A=A1639,'Back End'!B:B=B1639,'Back End'!D:D=D1639)"),"#N/A")</f>
        <v>#N/A</v>
      </c>
      <c r="D1639" s="91" t="s">
        <v>333</v>
      </c>
      <c r="E1639" s="91" t="s">
        <v>5199</v>
      </c>
      <c r="F1639" s="91" t="s">
        <v>139</v>
      </c>
      <c r="G1639" s="91" t="s">
        <v>594</v>
      </c>
      <c r="H1639" s="93" t="s">
        <v>5</v>
      </c>
      <c r="I1639" s="67"/>
      <c r="J1639" s="92">
        <v>9014189994</v>
      </c>
      <c r="K1639" s="67"/>
      <c r="L1639" s="67"/>
      <c r="M1639" s="67"/>
      <c r="N1639" s="67"/>
      <c r="O1639" s="67"/>
    </row>
    <row r="1640" spans="1:15" ht="15">
      <c r="A1640" s="91" t="s">
        <v>4367</v>
      </c>
      <c r="B1640" s="91" t="s">
        <v>297</v>
      </c>
      <c r="C1640" s="92" t="str">
        <f ca="1">IFERROR(__xludf.DUMMYFUNCTION("filter('Back End'!C:C,'Back End'!A:A=A1640,'Back End'!B:B=B1640,'Back End'!D:D=D1640)"),"#N/A")</f>
        <v>#N/A</v>
      </c>
      <c r="D1640" s="91" t="s">
        <v>333</v>
      </c>
      <c r="E1640" s="91" t="s">
        <v>5200</v>
      </c>
      <c r="F1640" s="67" t="s">
        <v>3138</v>
      </c>
      <c r="G1640" s="67"/>
      <c r="H1640" s="93" t="s">
        <v>5</v>
      </c>
      <c r="I1640" s="67"/>
      <c r="J1640" s="92">
        <v>9502369668</v>
      </c>
      <c r="K1640" s="67"/>
      <c r="L1640" s="67"/>
      <c r="M1640" s="67"/>
      <c r="N1640" s="67"/>
      <c r="O1640" s="67"/>
    </row>
    <row r="1641" spans="1:15" ht="15">
      <c r="A1641" s="91" t="s">
        <v>4367</v>
      </c>
      <c r="B1641" s="91" t="s">
        <v>297</v>
      </c>
      <c r="C1641" s="92" t="str">
        <f ca="1">IFERROR(__xludf.DUMMYFUNCTION("filter('Back End'!C:C,'Back End'!A:A=A1641,'Back End'!B:B=B1641,'Back End'!D:D=D1641)"),"#N/A")</f>
        <v>#N/A</v>
      </c>
      <c r="D1641" s="91" t="s">
        <v>333</v>
      </c>
      <c r="E1641" s="91" t="s">
        <v>5201</v>
      </c>
      <c r="F1641" s="91" t="s">
        <v>139</v>
      </c>
      <c r="G1641" s="91" t="s">
        <v>594</v>
      </c>
      <c r="H1641" s="93" t="s">
        <v>5</v>
      </c>
      <c r="I1641" s="67"/>
      <c r="J1641" s="92">
        <v>9848751919</v>
      </c>
      <c r="K1641" s="67"/>
      <c r="L1641" s="67"/>
      <c r="M1641" s="67"/>
      <c r="N1641" s="67"/>
      <c r="O1641" s="67"/>
    </row>
    <row r="1642" spans="1:15" ht="15">
      <c r="A1642" s="91" t="s">
        <v>4367</v>
      </c>
      <c r="B1642" s="91" t="s">
        <v>297</v>
      </c>
      <c r="C1642" s="92" t="str">
        <f ca="1">IFERROR(__xludf.DUMMYFUNCTION("filter('Back End'!C:C,'Back End'!A:A=A1642,'Back End'!B:B=B1642,'Back End'!D:D=D1642)"),"#N/A")</f>
        <v>#N/A</v>
      </c>
      <c r="D1642" s="91" t="s">
        <v>333</v>
      </c>
      <c r="E1642" s="91" t="s">
        <v>5202</v>
      </c>
      <c r="F1642" s="91" t="s">
        <v>139</v>
      </c>
      <c r="G1642" s="91" t="s">
        <v>594</v>
      </c>
      <c r="H1642" s="93" t="s">
        <v>5</v>
      </c>
      <c r="I1642" s="67"/>
      <c r="J1642" s="92">
        <v>8639285893</v>
      </c>
      <c r="K1642" s="67"/>
      <c r="L1642" s="67"/>
      <c r="M1642" s="67"/>
      <c r="N1642" s="67"/>
      <c r="O1642" s="67"/>
    </row>
    <row r="1643" spans="1:15" ht="15">
      <c r="A1643" s="91" t="s">
        <v>4367</v>
      </c>
      <c r="B1643" s="91" t="s">
        <v>297</v>
      </c>
      <c r="C1643" s="92" t="str">
        <f ca="1">IFERROR(__xludf.DUMMYFUNCTION("filter('Back End'!C:C,'Back End'!A:A=A1643,'Back End'!B:B=B1643,'Back End'!D:D=D1643)"),"#N/A")</f>
        <v>#N/A</v>
      </c>
      <c r="D1643" s="91" t="s">
        <v>341</v>
      </c>
      <c r="E1643" s="91" t="s">
        <v>5203</v>
      </c>
      <c r="F1643" s="91" t="s">
        <v>139</v>
      </c>
      <c r="G1643" s="91" t="s">
        <v>594</v>
      </c>
      <c r="H1643" s="93" t="s">
        <v>5</v>
      </c>
      <c r="I1643" s="67"/>
      <c r="J1643" s="92">
        <v>9494657567</v>
      </c>
      <c r="K1643" s="67"/>
      <c r="L1643" s="67"/>
      <c r="M1643" s="67"/>
      <c r="N1643" s="67"/>
      <c r="O1643" s="67"/>
    </row>
    <row r="1644" spans="1:15" ht="15">
      <c r="A1644" s="91" t="s">
        <v>4367</v>
      </c>
      <c r="B1644" s="91" t="s">
        <v>297</v>
      </c>
      <c r="C1644" s="92" t="str">
        <f ca="1">IFERROR(__xludf.DUMMYFUNCTION("filter('Back End'!C:C,'Back End'!A:A=A1644,'Back End'!B:B=B1644,'Back End'!D:D=D1644)"),"#N/A")</f>
        <v>#N/A</v>
      </c>
      <c r="D1644" s="91" t="s">
        <v>341</v>
      </c>
      <c r="E1644" s="91" t="s">
        <v>5204</v>
      </c>
      <c r="F1644" s="91" t="s">
        <v>139</v>
      </c>
      <c r="G1644" s="91" t="s">
        <v>594</v>
      </c>
      <c r="H1644" s="93" t="s">
        <v>5</v>
      </c>
      <c r="I1644" s="67"/>
      <c r="J1644" s="92">
        <v>9550596999</v>
      </c>
      <c r="K1644" s="67"/>
      <c r="L1644" s="67"/>
      <c r="M1644" s="67"/>
      <c r="N1644" s="67"/>
      <c r="O1644" s="67"/>
    </row>
    <row r="1645" spans="1:15" ht="15">
      <c r="A1645" s="91" t="s">
        <v>11</v>
      </c>
      <c r="B1645" s="91" t="s">
        <v>297</v>
      </c>
      <c r="C1645" s="92" t="str">
        <f ca="1">IFERROR(__xludf.DUMMYFUNCTION("filter('Back End'!C:C,'Back End'!A:A=A1645,'Back End'!B:B=B1645,'Back End'!D:D=D1645)"),"Z. Bhavaram")</f>
        <v>Z. Bhavaram</v>
      </c>
      <c r="D1645" s="91" t="s">
        <v>341</v>
      </c>
      <c r="E1645" s="91" t="s">
        <v>5205</v>
      </c>
      <c r="F1645" s="67" t="s">
        <v>3138</v>
      </c>
      <c r="G1645" s="67"/>
      <c r="H1645" s="93" t="s">
        <v>4</v>
      </c>
      <c r="I1645" s="92" t="s">
        <v>3125</v>
      </c>
      <c r="J1645" s="92">
        <v>9866630160</v>
      </c>
      <c r="K1645" s="67"/>
      <c r="L1645" s="67"/>
      <c r="M1645" s="67"/>
      <c r="N1645" s="67"/>
      <c r="O1645" s="67"/>
    </row>
    <row r="1646" spans="1:15" ht="15">
      <c r="A1646" s="91" t="s">
        <v>11</v>
      </c>
      <c r="B1646" s="91" t="s">
        <v>297</v>
      </c>
      <c r="C1646" s="92" t="str">
        <f ca="1">IFERROR(__xludf.DUMMYFUNCTION("filter('Back End'!C:C,'Back End'!A:A=A1646,'Back End'!B:B=B1646,'Back End'!D:D=D1646)"),"Z. Bhavaram")</f>
        <v>Z. Bhavaram</v>
      </c>
      <c r="D1646" s="91" t="s">
        <v>341</v>
      </c>
      <c r="E1646" s="91" t="s">
        <v>5206</v>
      </c>
      <c r="F1646" s="67" t="s">
        <v>3138</v>
      </c>
      <c r="G1646" s="91" t="s">
        <v>594</v>
      </c>
      <c r="H1646" s="93" t="s">
        <v>5</v>
      </c>
      <c r="I1646" s="67"/>
      <c r="J1646" s="92">
        <v>9989766779</v>
      </c>
      <c r="K1646" s="67"/>
      <c r="L1646" s="67"/>
      <c r="M1646" s="67"/>
      <c r="N1646" s="67"/>
      <c r="O1646" s="67"/>
    </row>
    <row r="1647" spans="1:15" ht="15">
      <c r="A1647" s="91" t="s">
        <v>11</v>
      </c>
      <c r="B1647" s="91" t="s">
        <v>261</v>
      </c>
      <c r="C1647" s="92" t="str">
        <f ca="1">IFERROR(__xludf.DUMMYFUNCTION("filter('Back End'!C:C,'Back End'!A:A=A1647,'Back End'!B:B=B1647,'Back End'!D:D=D1647)"),"Chidiga")</f>
        <v>Chidiga</v>
      </c>
      <c r="D1647" s="91" t="s">
        <v>262</v>
      </c>
      <c r="E1647" s="91" t="s">
        <v>5207</v>
      </c>
      <c r="F1647" s="67" t="s">
        <v>3138</v>
      </c>
      <c r="G1647" s="67"/>
      <c r="H1647" s="93" t="s">
        <v>4</v>
      </c>
      <c r="I1647" s="92" t="s">
        <v>3125</v>
      </c>
      <c r="J1647" s="92">
        <v>9866629959</v>
      </c>
      <c r="K1647" s="67"/>
      <c r="L1647" s="67"/>
      <c r="M1647" s="67"/>
      <c r="N1647" s="67"/>
      <c r="O1647" s="67"/>
    </row>
    <row r="1648" spans="1:15" ht="15">
      <c r="A1648" s="91" t="s">
        <v>11</v>
      </c>
      <c r="B1648" s="91" t="s">
        <v>261</v>
      </c>
      <c r="C1648" s="92" t="str">
        <f ca="1">IFERROR(__xludf.DUMMYFUNCTION("filter('Back End'!C:C,'Back End'!A:A=A1648,'Back End'!B:B=B1648,'Back End'!D:D=D1648)"),"Indra Palem")</f>
        <v>Indra Palem</v>
      </c>
      <c r="D1648" s="91" t="s">
        <v>266</v>
      </c>
      <c r="E1648" s="91" t="s">
        <v>5208</v>
      </c>
      <c r="F1648" s="67" t="s">
        <v>3138</v>
      </c>
      <c r="G1648" s="67"/>
      <c r="H1648" s="93" t="s">
        <v>4</v>
      </c>
      <c r="I1648" s="92" t="s">
        <v>3125</v>
      </c>
      <c r="J1648" s="92">
        <v>9848540283</v>
      </c>
      <c r="K1648" s="67"/>
      <c r="L1648" s="67"/>
      <c r="M1648" s="67"/>
      <c r="N1648" s="67"/>
      <c r="O1648" s="67"/>
    </row>
    <row r="1649" spans="1:15" ht="15">
      <c r="A1649" s="91" t="s">
        <v>11</v>
      </c>
      <c r="B1649" s="91" t="s">
        <v>261</v>
      </c>
      <c r="C1649" s="92" t="str">
        <f ca="1">IFERROR(__xludf.DUMMYFUNCTION("filter('Back End'!C:C,'Back End'!A:A=A1649,'Back End'!B:B=B1649,'Back End'!D:D=D1649)"),"Nemam")</f>
        <v>Nemam</v>
      </c>
      <c r="D1649" s="91" t="s">
        <v>271</v>
      </c>
      <c r="E1649" s="91" t="s">
        <v>5209</v>
      </c>
      <c r="F1649" s="67" t="s">
        <v>3138</v>
      </c>
      <c r="G1649" s="67"/>
      <c r="H1649" s="93" t="s">
        <v>4</v>
      </c>
      <c r="I1649" s="92" t="s">
        <v>3125</v>
      </c>
      <c r="J1649" s="92">
        <v>9676755444</v>
      </c>
      <c r="K1649" s="67"/>
      <c r="L1649" s="67"/>
      <c r="M1649" s="67"/>
      <c r="N1649" s="67"/>
      <c r="O1649" s="67"/>
    </row>
    <row r="1650" spans="1:15" ht="15">
      <c r="A1650" s="91" t="s">
        <v>11</v>
      </c>
      <c r="B1650" s="91" t="s">
        <v>261</v>
      </c>
      <c r="C1650" s="92" t="str">
        <f ca="1">IFERROR(__xludf.DUMMYFUNCTION("filter('Back End'!C:C,'Back End'!A:A=A1650,'Back End'!B:B=B1650,'Back End'!D:D=D1650)"),"P.Venkatapuram")</f>
        <v>P.Venkatapuram</v>
      </c>
      <c r="D1650" s="91" t="s">
        <v>273</v>
      </c>
      <c r="E1650" s="91" t="s">
        <v>5210</v>
      </c>
      <c r="F1650" s="67" t="s">
        <v>3138</v>
      </c>
      <c r="G1650" s="67"/>
      <c r="H1650" s="93" t="s">
        <v>4</v>
      </c>
      <c r="I1650" s="92" t="s">
        <v>3125</v>
      </c>
      <c r="J1650" s="92">
        <v>9989853692</v>
      </c>
      <c r="K1650" s="67"/>
      <c r="L1650" s="67"/>
      <c r="M1650" s="67"/>
      <c r="N1650" s="67"/>
      <c r="O1650" s="67"/>
    </row>
    <row r="1651" spans="1:15" ht="15">
      <c r="A1651" s="91" t="s">
        <v>11</v>
      </c>
      <c r="B1651" s="91" t="s">
        <v>261</v>
      </c>
      <c r="C1651" s="92" t="str">
        <f ca="1">IFERROR(__xludf.DUMMYFUNCTION("filter('Back End'!C:C,'Back End'!A:A=A1651,'Back End'!B:B=B1651,'Back End'!D:D=D1651)"),"Penumarthi")</f>
        <v>Penumarthi</v>
      </c>
      <c r="D1651" s="91" t="s">
        <v>277</v>
      </c>
      <c r="E1651" s="91" t="s">
        <v>5211</v>
      </c>
      <c r="F1651" s="67" t="s">
        <v>3138</v>
      </c>
      <c r="G1651" s="67"/>
      <c r="H1651" s="93" t="s">
        <v>4</v>
      </c>
      <c r="I1651" s="92" t="s">
        <v>3125</v>
      </c>
      <c r="J1651" s="92">
        <v>9908261293</v>
      </c>
      <c r="K1651" s="67"/>
      <c r="L1651" s="67"/>
      <c r="M1651" s="67"/>
      <c r="N1651" s="67"/>
      <c r="O1651" s="67"/>
    </row>
    <row r="1652" spans="1:15" ht="15">
      <c r="A1652" s="91" t="s">
        <v>11</v>
      </c>
      <c r="B1652" s="91" t="s">
        <v>261</v>
      </c>
      <c r="C1652" s="92" t="str">
        <f ca="1">IFERROR(__xludf.DUMMYFUNCTION("filter('Back End'!C:C,'Back End'!A:A=A1652,'Back End'!B:B=B1652,'Back End'!D:D=D1652)"),"Sarpavaram")</f>
        <v>Sarpavaram</v>
      </c>
      <c r="D1652" s="91" t="s">
        <v>284</v>
      </c>
      <c r="E1652" s="91" t="s">
        <v>5212</v>
      </c>
      <c r="F1652" s="67" t="s">
        <v>3138</v>
      </c>
      <c r="G1652" s="67"/>
      <c r="H1652" s="93" t="s">
        <v>4</v>
      </c>
      <c r="I1652" s="92" t="s">
        <v>3125</v>
      </c>
      <c r="J1652" s="92">
        <v>9948832849</v>
      </c>
      <c r="K1652" s="67"/>
      <c r="L1652" s="67"/>
      <c r="M1652" s="67"/>
      <c r="N1652" s="67"/>
      <c r="O1652" s="67"/>
    </row>
    <row r="1653" spans="1:15" ht="15">
      <c r="A1653" s="91" t="s">
        <v>11</v>
      </c>
      <c r="B1653" s="91" t="s">
        <v>261</v>
      </c>
      <c r="C1653" s="92" t="str">
        <f ca="1">IFERROR(__xludf.DUMMYFUNCTION("filter('Back End'!C:C,'Back End'!A:A=A1653,'Back End'!B:B=B1653,'Back End'!D:D=D1653)"),"Suryarao Peta")</f>
        <v>Suryarao Peta</v>
      </c>
      <c r="D1653" s="91" t="s">
        <v>286</v>
      </c>
      <c r="E1653" s="91" t="s">
        <v>5213</v>
      </c>
      <c r="F1653" s="67" t="s">
        <v>3138</v>
      </c>
      <c r="G1653" s="67"/>
      <c r="H1653" s="93" t="s">
        <v>4</v>
      </c>
      <c r="I1653" s="92" t="s">
        <v>3125</v>
      </c>
      <c r="J1653" s="92">
        <v>9848953841</v>
      </c>
      <c r="K1653" s="67"/>
      <c r="L1653" s="67"/>
      <c r="M1653" s="67"/>
      <c r="N1653" s="67"/>
      <c r="O1653" s="67"/>
    </row>
    <row r="1654" spans="1:15" ht="15">
      <c r="A1654" s="91" t="s">
        <v>11</v>
      </c>
      <c r="B1654" s="91" t="s">
        <v>261</v>
      </c>
      <c r="C1654" s="92" t="str">
        <f ca="1">IFERROR(__xludf.DUMMYFUNCTION("filter('Back End'!C:C,'Back End'!A:A=A1654,'Back End'!B:B=B1654,'Back End'!D:D=D1654)"),"Thammavaram")</f>
        <v>Thammavaram</v>
      </c>
      <c r="D1654" s="91" t="s">
        <v>290</v>
      </c>
      <c r="E1654" s="91" t="s">
        <v>5214</v>
      </c>
      <c r="F1654" s="67" t="s">
        <v>3138</v>
      </c>
      <c r="G1654" s="67"/>
      <c r="H1654" s="93" t="s">
        <v>4</v>
      </c>
      <c r="I1654" s="92" t="s">
        <v>3125</v>
      </c>
      <c r="J1654" s="92">
        <v>9440178869</v>
      </c>
      <c r="K1654" s="67"/>
      <c r="L1654" s="67"/>
      <c r="M1654" s="67"/>
      <c r="N1654" s="67"/>
      <c r="O1654" s="67"/>
    </row>
    <row r="1655" spans="1:15" ht="15">
      <c r="A1655" s="91" t="s">
        <v>11</v>
      </c>
      <c r="B1655" s="91" t="s">
        <v>261</v>
      </c>
      <c r="C1655" s="92" t="str">
        <f ca="1">IFERROR(__xludf.DUMMYFUNCTION("filter('Back End'!C:C,'Back End'!A:A=A1655,'Back End'!B:B=B1655,'Back End'!D:D=D1655)"),"Thimmapuram")</f>
        <v>Thimmapuram</v>
      </c>
      <c r="D1655" s="91" t="s">
        <v>292</v>
      </c>
      <c r="E1655" s="91" t="s">
        <v>5215</v>
      </c>
      <c r="F1655" s="67" t="s">
        <v>3138</v>
      </c>
      <c r="G1655" s="67"/>
      <c r="H1655" s="93" t="s">
        <v>4</v>
      </c>
      <c r="I1655" s="92" t="s">
        <v>3125</v>
      </c>
      <c r="J1655" s="92">
        <v>9866039616</v>
      </c>
      <c r="K1655" s="67"/>
      <c r="L1655" s="67"/>
      <c r="M1655" s="67"/>
      <c r="N1655" s="67"/>
      <c r="O1655" s="67"/>
    </row>
    <row r="1656" spans="1:15" ht="15">
      <c r="A1656" s="91" t="s">
        <v>11</v>
      </c>
      <c r="B1656" s="91" t="s">
        <v>261</v>
      </c>
      <c r="C1656" s="92" t="str">
        <f ca="1">IFERROR(__xludf.DUMMYFUNCTION("filter('Back End'!C:C,'Back End'!A:A=A1656,'Back End'!B:B=B1656,'Back End'!D:D=D1656)"),"Toorangi")</f>
        <v>Toorangi</v>
      </c>
      <c r="D1656" s="91" t="s">
        <v>294</v>
      </c>
      <c r="E1656" s="91" t="s">
        <v>5216</v>
      </c>
      <c r="F1656" s="67" t="s">
        <v>3138</v>
      </c>
      <c r="G1656" s="67"/>
      <c r="H1656" s="93" t="s">
        <v>4</v>
      </c>
      <c r="I1656" s="92" t="s">
        <v>3125</v>
      </c>
      <c r="J1656" s="92">
        <v>9951959706</v>
      </c>
      <c r="K1656" s="67"/>
      <c r="L1656" s="67"/>
      <c r="M1656" s="67"/>
      <c r="N1656" s="67"/>
      <c r="O1656" s="67"/>
    </row>
    <row r="1657" spans="1:15" ht="15">
      <c r="A1657" s="91" t="s">
        <v>11</v>
      </c>
      <c r="B1657" s="91" t="s">
        <v>297</v>
      </c>
      <c r="C1657" s="92" t="str">
        <f ca="1">IFERROR(__xludf.DUMMYFUNCTION("filter('Back End'!C:C,'Back End'!A:A=A1657,'Back End'!B:B=B1657,'Back End'!D:D=D1657)"),"Aratlakatta")</f>
        <v>Aratlakatta</v>
      </c>
      <c r="D1657" s="91" t="s">
        <v>298</v>
      </c>
      <c r="E1657" s="91" t="s">
        <v>5217</v>
      </c>
      <c r="F1657" s="67" t="s">
        <v>3138</v>
      </c>
      <c r="G1657" s="67"/>
      <c r="H1657" s="93" t="s">
        <v>4</v>
      </c>
      <c r="I1657" s="92" t="s">
        <v>3125</v>
      </c>
      <c r="J1657" s="92">
        <v>9989774129</v>
      </c>
      <c r="K1657" s="67"/>
      <c r="L1657" s="67"/>
      <c r="M1657" s="67"/>
      <c r="N1657" s="67"/>
      <c r="O1657" s="67"/>
    </row>
    <row r="1658" spans="1:15" ht="15">
      <c r="A1658" s="91" t="s">
        <v>11</v>
      </c>
      <c r="B1658" s="91" t="s">
        <v>297</v>
      </c>
      <c r="C1658" s="92" t="str">
        <f ca="1">IFERROR(__xludf.DUMMYFUNCTION("filter('Back End'!C:C,'Back End'!A:A=A1658,'Back End'!B:B=B1658,'Back End'!D:D=D1658)"),"Gurajanapalle")</f>
        <v>Gurajanapalle</v>
      </c>
      <c r="D1658" s="91" t="s">
        <v>305</v>
      </c>
      <c r="E1658" s="91" t="s">
        <v>5218</v>
      </c>
      <c r="F1658" s="67" t="s">
        <v>3138</v>
      </c>
      <c r="G1658" s="67"/>
      <c r="H1658" s="93" t="s">
        <v>4</v>
      </c>
      <c r="I1658" s="92" t="s">
        <v>3125</v>
      </c>
      <c r="J1658" s="92">
        <v>9849228106</v>
      </c>
      <c r="K1658" s="67"/>
      <c r="L1658" s="67"/>
      <c r="M1658" s="67"/>
      <c r="N1658" s="67"/>
      <c r="O1658" s="67"/>
    </row>
    <row r="1659" spans="1:15" ht="15">
      <c r="A1659" s="91" t="s">
        <v>11</v>
      </c>
      <c r="B1659" s="91" t="s">
        <v>297</v>
      </c>
      <c r="C1659" s="92" t="str">
        <f ca="1">IFERROR(__xludf.DUMMYFUNCTION("filter('Back End'!C:C,'Back End'!A:A=A1659,'Back End'!B:B=B1659,'Back End'!D:D=D1659)"),"Karapa")</f>
        <v>Karapa</v>
      </c>
      <c r="D1659" s="91" t="s">
        <v>297</v>
      </c>
      <c r="E1659" s="91" t="s">
        <v>5219</v>
      </c>
      <c r="F1659" s="67" t="s">
        <v>3138</v>
      </c>
      <c r="G1659" s="67"/>
      <c r="H1659" s="93" t="s">
        <v>4</v>
      </c>
      <c r="I1659" s="92" t="s">
        <v>3125</v>
      </c>
      <c r="J1659" s="92">
        <v>9951678755</v>
      </c>
      <c r="K1659" s="67"/>
      <c r="L1659" s="67"/>
      <c r="M1659" s="67"/>
      <c r="N1659" s="67"/>
      <c r="O1659" s="67"/>
    </row>
    <row r="1660" spans="1:15" ht="15">
      <c r="A1660" s="91" t="s">
        <v>11</v>
      </c>
      <c r="B1660" s="91" t="s">
        <v>297</v>
      </c>
      <c r="C1660" s="92" t="str">
        <f ca="1">IFERROR(__xludf.DUMMYFUNCTION("filter('Back End'!C:C,'Back End'!A:A=A1660,'Back End'!B:B=B1660,'Back End'!D:D=D1660)"),"Kongodu")</f>
        <v>Kongodu</v>
      </c>
      <c r="D1660" s="91" t="s">
        <v>308</v>
      </c>
      <c r="E1660" s="91" t="s">
        <v>5220</v>
      </c>
      <c r="F1660" s="67" t="s">
        <v>3138</v>
      </c>
      <c r="G1660" s="67"/>
      <c r="H1660" s="93" t="s">
        <v>4</v>
      </c>
      <c r="I1660" s="92" t="s">
        <v>3125</v>
      </c>
      <c r="J1660" s="92">
        <v>9908478208</v>
      </c>
      <c r="K1660" s="67"/>
      <c r="L1660" s="67"/>
      <c r="M1660" s="67"/>
      <c r="N1660" s="67"/>
      <c r="O1660" s="67"/>
    </row>
    <row r="1661" spans="1:15" ht="15">
      <c r="A1661" s="91" t="s">
        <v>11</v>
      </c>
      <c r="B1661" s="91" t="s">
        <v>297</v>
      </c>
      <c r="C1661" s="92" t="str">
        <f ca="1">IFERROR(__xludf.DUMMYFUNCTION("filter('Back End'!C:C,'Back End'!A:A=A1661,'Back End'!B:B=B1661,'Back End'!D:D=D1661)"),"Koripalle")</f>
        <v>Koripalle</v>
      </c>
      <c r="D1661" s="91" t="s">
        <v>310</v>
      </c>
      <c r="E1661" s="91" t="s">
        <v>5221</v>
      </c>
      <c r="F1661" s="67" t="s">
        <v>3138</v>
      </c>
      <c r="G1661" s="67"/>
      <c r="H1661" s="93" t="s">
        <v>4</v>
      </c>
      <c r="I1661" s="92" t="s">
        <v>3125</v>
      </c>
      <c r="J1661" s="92">
        <v>9848276698</v>
      </c>
      <c r="K1661" s="67"/>
      <c r="L1661" s="67"/>
      <c r="M1661" s="67"/>
      <c r="N1661" s="67"/>
      <c r="O1661" s="67"/>
    </row>
    <row r="1662" spans="1:15" ht="15">
      <c r="A1662" s="91" t="s">
        <v>11</v>
      </c>
      <c r="B1662" s="91" t="s">
        <v>297</v>
      </c>
      <c r="C1662" s="92" t="str">
        <f ca="1">IFERROR(__xludf.DUMMYFUNCTION("filter('Back End'!C:C,'Back End'!A:A=A1662,'Back End'!B:B=B1662,'Back End'!D:D=D1662)"),"Nadakuduru")</f>
        <v>Nadakuduru</v>
      </c>
      <c r="D1662" s="91" t="s">
        <v>315</v>
      </c>
      <c r="E1662" s="91" t="s">
        <v>5222</v>
      </c>
      <c r="F1662" s="67" t="s">
        <v>3138</v>
      </c>
      <c r="G1662" s="67"/>
      <c r="H1662" s="93" t="s">
        <v>4</v>
      </c>
      <c r="I1662" s="92" t="s">
        <v>3125</v>
      </c>
      <c r="J1662" s="92">
        <v>9032984729</v>
      </c>
      <c r="K1662" s="67"/>
      <c r="L1662" s="67"/>
      <c r="M1662" s="67"/>
      <c r="N1662" s="67"/>
      <c r="O1662" s="67"/>
    </row>
    <row r="1663" spans="1:15" ht="15">
      <c r="A1663" s="91" t="s">
        <v>11</v>
      </c>
      <c r="B1663" s="91" t="s">
        <v>297</v>
      </c>
      <c r="C1663" s="92" t="str">
        <f ca="1">IFERROR(__xludf.DUMMYFUNCTION("filter('Back End'!C:C,'Back End'!A:A=A1663,'Back End'!B:B=B1663,'Back End'!D:D=D1663)"),"Patharlagadda")</f>
        <v>Patharlagadda</v>
      </c>
      <c r="D1663" s="91" t="s">
        <v>317</v>
      </c>
      <c r="E1663" s="91" t="s">
        <v>5223</v>
      </c>
      <c r="F1663" s="67" t="s">
        <v>3138</v>
      </c>
      <c r="G1663" s="67"/>
      <c r="H1663" s="93" t="s">
        <v>4</v>
      </c>
      <c r="I1663" s="92" t="s">
        <v>3125</v>
      </c>
      <c r="J1663" s="92">
        <v>9705555749</v>
      </c>
      <c r="K1663" s="67"/>
      <c r="L1663" s="67"/>
      <c r="M1663" s="67"/>
      <c r="N1663" s="67"/>
      <c r="O1663" s="67"/>
    </row>
    <row r="1664" spans="1:15" ht="15">
      <c r="A1664" s="91" t="s">
        <v>11</v>
      </c>
      <c r="B1664" s="91" t="s">
        <v>297</v>
      </c>
      <c r="C1664" s="92" t="str">
        <f ca="1">IFERROR(__xludf.DUMMYFUNCTION("filter('Back End'!C:C,'Back End'!A:A=A1664,'Back End'!B:B=B1664,'Back End'!D:D=D1664)"),"Peddapurappadu")</f>
        <v>Peddapurappadu</v>
      </c>
      <c r="D1664" s="91" t="s">
        <v>321</v>
      </c>
      <c r="E1664" s="91" t="s">
        <v>5224</v>
      </c>
      <c r="F1664" s="67" t="s">
        <v>3138</v>
      </c>
      <c r="G1664" s="67"/>
      <c r="H1664" s="93" t="s">
        <v>4</v>
      </c>
      <c r="I1664" s="92" t="s">
        <v>3125</v>
      </c>
      <c r="J1664" s="92">
        <v>9866732827</v>
      </c>
      <c r="K1664" s="67"/>
      <c r="L1664" s="67"/>
      <c r="M1664" s="67"/>
      <c r="N1664" s="67"/>
      <c r="O1664" s="67"/>
    </row>
    <row r="1665" spans="1:15" ht="15">
      <c r="A1665" s="91" t="s">
        <v>11</v>
      </c>
      <c r="B1665" s="91" t="s">
        <v>297</v>
      </c>
      <c r="C1665" s="92" t="str">
        <f ca="1">IFERROR(__xludf.DUMMYFUNCTION("filter('Back End'!C:C,'Back End'!A:A=A1665,'Back End'!B:B=B1665,'Back End'!D:D=D1665)"),"Penuguduru")</f>
        <v>Penuguduru</v>
      </c>
      <c r="D1665" s="91" t="s">
        <v>323</v>
      </c>
      <c r="E1665" s="91" t="s">
        <v>5225</v>
      </c>
      <c r="F1665" s="67" t="s">
        <v>3138</v>
      </c>
      <c r="G1665" s="67"/>
      <c r="H1665" s="93" t="s">
        <v>4</v>
      </c>
      <c r="I1665" s="92" t="s">
        <v>3125</v>
      </c>
      <c r="J1665" s="92">
        <v>9010062839</v>
      </c>
      <c r="K1665" s="67"/>
      <c r="L1665" s="67"/>
      <c r="M1665" s="67"/>
      <c r="N1665" s="67"/>
      <c r="O1665" s="67"/>
    </row>
    <row r="1666" spans="1:15" ht="15">
      <c r="A1666" s="91" t="s">
        <v>11</v>
      </c>
      <c r="B1666" s="91" t="s">
        <v>297</v>
      </c>
      <c r="C1666" s="92" t="str">
        <f ca="1">IFERROR(__xludf.DUMMYFUNCTION("filter('Back End'!C:C,'Back End'!A:A=A1666,'Back End'!B:B=B1666,'Back End'!D:D=D1666)"),"Uppalanka")</f>
        <v>Uppalanka</v>
      </c>
      <c r="D1666" s="91" t="s">
        <v>327</v>
      </c>
      <c r="E1666" s="91" t="s">
        <v>5226</v>
      </c>
      <c r="F1666" s="67" t="s">
        <v>3138</v>
      </c>
      <c r="G1666" s="67"/>
      <c r="H1666" s="93" t="s">
        <v>4</v>
      </c>
      <c r="I1666" s="92" t="s">
        <v>3125</v>
      </c>
      <c r="J1666" s="92">
        <v>9293755926</v>
      </c>
      <c r="K1666" s="67"/>
      <c r="L1666" s="67"/>
      <c r="M1666" s="67"/>
      <c r="N1666" s="67"/>
      <c r="O1666" s="67"/>
    </row>
    <row r="1667" spans="1:15" ht="15">
      <c r="A1667" s="91" t="s">
        <v>11</v>
      </c>
      <c r="B1667" s="91" t="s">
        <v>297</v>
      </c>
      <c r="C1667" s="92" t="str">
        <f ca="1">IFERROR(__xludf.DUMMYFUNCTION("filter('Back End'!C:C,'Back End'!A:A=A1667,'Back End'!B:B=B1667,'Back End'!D:D=D1667)"),"Vakada")</f>
        <v>Vakada</v>
      </c>
      <c r="D1667" s="91" t="s">
        <v>329</v>
      </c>
      <c r="E1667" s="91" t="s">
        <v>5227</v>
      </c>
      <c r="F1667" s="67" t="s">
        <v>3138</v>
      </c>
      <c r="G1667" s="67"/>
      <c r="H1667" s="93" t="s">
        <v>4</v>
      </c>
      <c r="I1667" s="92" t="s">
        <v>3125</v>
      </c>
      <c r="J1667" s="92">
        <v>9154977706</v>
      </c>
      <c r="K1667" s="67"/>
      <c r="L1667" s="67"/>
      <c r="M1667" s="67"/>
      <c r="N1667" s="67"/>
      <c r="O1667" s="67"/>
    </row>
    <row r="1668" spans="1:15" ht="15">
      <c r="A1668" s="91" t="s">
        <v>11</v>
      </c>
      <c r="B1668" s="91" t="s">
        <v>297</v>
      </c>
      <c r="C1668" s="92" t="str">
        <f ca="1">IFERROR(__xludf.DUMMYFUNCTION("filter('Back End'!C:C,'Back End'!A:A=A1668,'Back End'!B:B=B1668,'Back End'!D:D=D1668)"),"Velangi")</f>
        <v>Velangi</v>
      </c>
      <c r="D1668" s="91" t="s">
        <v>333</v>
      </c>
      <c r="E1668" s="91" t="s">
        <v>5228</v>
      </c>
      <c r="F1668" s="67" t="s">
        <v>3138</v>
      </c>
      <c r="G1668" s="67"/>
      <c r="H1668" s="93" t="s">
        <v>4</v>
      </c>
      <c r="I1668" s="92" t="s">
        <v>3125</v>
      </c>
      <c r="J1668" s="92">
        <v>7730893156</v>
      </c>
      <c r="K1668" s="67"/>
      <c r="L1668" s="67"/>
      <c r="M1668" s="67"/>
      <c r="N1668" s="67"/>
      <c r="O1668" s="67"/>
    </row>
    <row r="1669" spans="1:15" ht="45">
      <c r="A1669" s="91" t="s">
        <v>11</v>
      </c>
      <c r="B1669" s="91" t="s">
        <v>297</v>
      </c>
      <c r="C1669" s="92" t="str">
        <f ca="1">IFERROR(__xludf.DUMMYFUNCTION("filter('Back End'!C:C,'Back End'!A:A=A1669,'Back End'!B:B=B1669,'Back End'!D:D=D1669)"),"Vijayarayudu Palem")</f>
        <v>Vijayarayudu Palem</v>
      </c>
      <c r="D1669" s="91" t="s">
        <v>337</v>
      </c>
      <c r="E1669" s="91" t="s">
        <v>5229</v>
      </c>
      <c r="F1669" s="91" t="s">
        <v>1669</v>
      </c>
      <c r="G1669" s="91" t="s">
        <v>615</v>
      </c>
      <c r="H1669" s="93" t="s">
        <v>5</v>
      </c>
      <c r="I1669" s="92" t="s">
        <v>5230</v>
      </c>
      <c r="J1669" s="67"/>
      <c r="K1669" s="67"/>
      <c r="L1669" s="67"/>
      <c r="M1669" s="67"/>
      <c r="N1669" s="67"/>
      <c r="O1669" s="67"/>
    </row>
    <row r="1670" spans="1:15" ht="30">
      <c r="A1670" s="91" t="s">
        <v>11</v>
      </c>
      <c r="B1670" s="91" t="s">
        <v>297</v>
      </c>
      <c r="C1670" s="92" t="str">
        <f ca="1">IFERROR(__xludf.DUMMYFUNCTION("filter('Back End'!C:C,'Back End'!A:A=A1670,'Back End'!B:B=B1670,'Back End'!D:D=D1670)"),"Vijayarayudu Palem")</f>
        <v>Vijayarayudu Palem</v>
      </c>
      <c r="D1670" s="91" t="s">
        <v>337</v>
      </c>
      <c r="E1670" s="91" t="s">
        <v>5231</v>
      </c>
      <c r="F1670" s="91" t="s">
        <v>114</v>
      </c>
      <c r="G1670" s="91" t="s">
        <v>85</v>
      </c>
      <c r="H1670" s="93" t="s">
        <v>5</v>
      </c>
      <c r="I1670" s="92" t="s">
        <v>3162</v>
      </c>
      <c r="J1670" s="67"/>
      <c r="K1670" s="67"/>
      <c r="L1670" s="67"/>
      <c r="M1670" s="67"/>
      <c r="N1670" s="67"/>
      <c r="O1670" s="67"/>
    </row>
    <row r="1671" spans="1:15" ht="30">
      <c r="A1671" s="91" t="s">
        <v>11</v>
      </c>
      <c r="B1671" s="91" t="s">
        <v>297</v>
      </c>
      <c r="C1671" s="92" t="str">
        <f ca="1">IFERROR(__xludf.DUMMYFUNCTION("filter('Back End'!C:C,'Back End'!A:A=A1671,'Back End'!B:B=B1671,'Back End'!D:D=D1671)"),"Vijayarayudu Palem")</f>
        <v>Vijayarayudu Palem</v>
      </c>
      <c r="D1671" s="91" t="s">
        <v>337</v>
      </c>
      <c r="E1671" s="91" t="s">
        <v>5232</v>
      </c>
      <c r="F1671" s="91" t="s">
        <v>139</v>
      </c>
      <c r="G1671" s="91" t="s">
        <v>594</v>
      </c>
      <c r="H1671" s="93" t="s">
        <v>5</v>
      </c>
      <c r="I1671" s="92" t="s">
        <v>5233</v>
      </c>
      <c r="J1671" s="67"/>
      <c r="K1671" s="67"/>
      <c r="L1671" s="67"/>
      <c r="M1671" s="67"/>
      <c r="N1671" s="67"/>
      <c r="O1671" s="67"/>
    </row>
    <row r="1672" spans="1:15" ht="30">
      <c r="A1672" s="91" t="s">
        <v>11</v>
      </c>
      <c r="B1672" s="91" t="s">
        <v>297</v>
      </c>
      <c r="C1672" s="92" t="str">
        <f ca="1">IFERROR(__xludf.DUMMYFUNCTION("filter('Back End'!C:C,'Back End'!A:A=A1672,'Back End'!B:B=B1672,'Back End'!D:D=D1672)"),"Vijayarayudu Palem")</f>
        <v>Vijayarayudu Palem</v>
      </c>
      <c r="D1672" s="91" t="s">
        <v>337</v>
      </c>
      <c r="E1672" s="91" t="s">
        <v>5234</v>
      </c>
      <c r="F1672" s="91" t="s">
        <v>139</v>
      </c>
      <c r="G1672" s="91" t="s">
        <v>594</v>
      </c>
      <c r="H1672" s="93" t="s">
        <v>4</v>
      </c>
      <c r="I1672" s="92" t="s">
        <v>3125</v>
      </c>
      <c r="J1672" s="92">
        <v>9393018596</v>
      </c>
      <c r="K1672" s="67"/>
      <c r="L1672" s="67"/>
      <c r="M1672" s="67"/>
      <c r="N1672" s="67"/>
      <c r="O1672" s="67"/>
    </row>
    <row r="1673" spans="1:15" ht="15">
      <c r="A1673" s="91" t="s">
        <v>11</v>
      </c>
      <c r="B1673" s="91" t="s">
        <v>297</v>
      </c>
      <c r="C1673" s="92" t="str">
        <f ca="1">IFERROR(__xludf.DUMMYFUNCTION("filter('Back End'!C:C,'Back End'!A:A=A1673,'Back End'!B:B=B1673,'Back End'!D:D=D1673)"),"Yandamuru")</f>
        <v>Yandamuru</v>
      </c>
      <c r="D1673" s="91" t="s">
        <v>339</v>
      </c>
      <c r="E1673" s="91" t="s">
        <v>5235</v>
      </c>
      <c r="F1673" s="67" t="s">
        <v>3138</v>
      </c>
      <c r="G1673" s="67"/>
      <c r="H1673" s="93" t="s">
        <v>4</v>
      </c>
      <c r="I1673" s="92" t="s">
        <v>3125</v>
      </c>
      <c r="J1673" s="92">
        <v>9676534937</v>
      </c>
      <c r="K1673" s="67"/>
      <c r="L1673" s="67"/>
      <c r="M1673" s="67"/>
      <c r="N1673" s="67"/>
      <c r="O1673" s="67"/>
    </row>
    <row r="1674" spans="1:15" ht="15">
      <c r="A1674" s="91" t="s">
        <v>11</v>
      </c>
      <c r="B1674" s="91" t="s">
        <v>297</v>
      </c>
      <c r="C1674" s="92" t="str">
        <f ca="1">IFERROR(__xludf.DUMMYFUNCTION("filter('Back End'!C:C,'Back End'!A:A=A1674,'Back End'!B:B=B1674,'Back End'!D:D=D1674)"),"Yandamuru")</f>
        <v>Yandamuru</v>
      </c>
      <c r="D1674" s="91" t="s">
        <v>339</v>
      </c>
      <c r="E1674" s="91" t="s">
        <v>5236</v>
      </c>
      <c r="F1674" s="91" t="s">
        <v>1669</v>
      </c>
      <c r="G1674" s="91" t="s">
        <v>615</v>
      </c>
      <c r="H1674" s="93" t="s">
        <v>4</v>
      </c>
      <c r="I1674" s="92" t="s">
        <v>3115</v>
      </c>
      <c r="J1674" s="67"/>
      <c r="K1674" s="67"/>
      <c r="L1674" s="67"/>
      <c r="M1674" s="67"/>
      <c r="N1674" s="67"/>
      <c r="O1674" s="67"/>
    </row>
    <row r="1675" spans="1:15" ht="30">
      <c r="A1675" s="91" t="s">
        <v>11</v>
      </c>
      <c r="B1675" s="91" t="s">
        <v>297</v>
      </c>
      <c r="C1675" s="92" t="str">
        <f ca="1">IFERROR(__xludf.DUMMYFUNCTION("filter('Back End'!C:C,'Back End'!A:A=A1675,'Back End'!B:B=B1675,'Back End'!D:D=D1675)"),"Yandamuru")</f>
        <v>Yandamuru</v>
      </c>
      <c r="D1675" s="91" t="s">
        <v>339</v>
      </c>
      <c r="E1675" s="91" t="s">
        <v>5237</v>
      </c>
      <c r="F1675" s="91" t="s">
        <v>114</v>
      </c>
      <c r="G1675" s="91" t="s">
        <v>85</v>
      </c>
      <c r="H1675" s="93" t="s">
        <v>4</v>
      </c>
      <c r="I1675" s="92" t="s">
        <v>3863</v>
      </c>
      <c r="J1675" s="67"/>
      <c r="K1675" s="67"/>
      <c r="L1675" s="67"/>
      <c r="M1675" s="67"/>
      <c r="N1675" s="67"/>
      <c r="O1675" s="67"/>
    </row>
    <row r="1676" spans="1:15" ht="15">
      <c r="A1676" s="91" t="s">
        <v>11</v>
      </c>
      <c r="B1676" s="91" t="s">
        <v>297</v>
      </c>
      <c r="C1676" s="92" t="str">
        <f ca="1">IFERROR(__xludf.DUMMYFUNCTION("filter('Back End'!C:C,'Back End'!A:A=A1676,'Back End'!B:B=B1676,'Back End'!D:D=D1676)"),"Z. Bhavaram")</f>
        <v>Z. Bhavaram</v>
      </c>
      <c r="D1676" s="91" t="s">
        <v>341</v>
      </c>
      <c r="E1676" s="91" t="s">
        <v>5238</v>
      </c>
      <c r="F1676" s="67" t="s">
        <v>3138</v>
      </c>
      <c r="G1676" s="67"/>
      <c r="H1676" s="93" t="s">
        <v>4</v>
      </c>
      <c r="I1676" s="92" t="s">
        <v>3125</v>
      </c>
      <c r="J1676" s="92">
        <v>9493232770</v>
      </c>
      <c r="K1676" s="67"/>
      <c r="L1676" s="67"/>
      <c r="M1676" s="67"/>
      <c r="N1676" s="67"/>
      <c r="O1676" s="67"/>
    </row>
    <row r="1677" spans="1:15" ht="15">
      <c r="A1677" s="91" t="s">
        <v>15</v>
      </c>
      <c r="B1677" s="91" t="s">
        <v>15</v>
      </c>
      <c r="C1677" s="92" t="str">
        <f ca="1">IFERROR(__xludf.DUMMYFUNCTION("filter('Back End'!C:C,'Back End'!A:A=A1677,'Back End'!B:B=B1677,'Back End'!D:D=D1677)"),"Anuru")</f>
        <v>Anuru</v>
      </c>
      <c r="D1677" s="91" t="s">
        <v>343</v>
      </c>
      <c r="E1677" s="91" t="s">
        <v>5239</v>
      </c>
      <c r="F1677" s="67" t="s">
        <v>3138</v>
      </c>
      <c r="G1677" s="67"/>
      <c r="H1677" s="93" t="s">
        <v>4</v>
      </c>
      <c r="I1677" s="92" t="s">
        <v>3125</v>
      </c>
      <c r="J1677" s="92">
        <v>9542171244</v>
      </c>
      <c r="K1677" s="67"/>
      <c r="L1677" s="67"/>
      <c r="M1677" s="67"/>
      <c r="N1677" s="67"/>
      <c r="O1677" s="67"/>
    </row>
    <row r="1678" spans="1:15" ht="15">
      <c r="A1678" s="91" t="s">
        <v>15</v>
      </c>
      <c r="B1678" s="91" t="s">
        <v>15</v>
      </c>
      <c r="C1678" s="92" t="str">
        <f ca="1">IFERROR(__xludf.DUMMYFUNCTION("filter('Back End'!C:C,'Back End'!A:A=A1678,'Back End'!B:B=B1678,'Back End'!D:D=D1678)"),"Anuru")</f>
        <v>Anuru</v>
      </c>
      <c r="D1678" s="91" t="s">
        <v>343</v>
      </c>
      <c r="E1678" s="91" t="s">
        <v>5240</v>
      </c>
      <c r="F1678" s="67" t="s">
        <v>3138</v>
      </c>
      <c r="G1678" s="67"/>
      <c r="H1678" s="93" t="s">
        <v>4</v>
      </c>
      <c r="I1678" s="67"/>
      <c r="J1678" s="92">
        <v>9515795546</v>
      </c>
      <c r="K1678" s="67"/>
      <c r="L1678" s="67"/>
      <c r="M1678" s="67"/>
      <c r="N1678" s="67"/>
      <c r="O1678" s="67"/>
    </row>
    <row r="1679" spans="1:15" ht="15">
      <c r="A1679" s="91" t="s">
        <v>15</v>
      </c>
      <c r="B1679" s="91" t="s">
        <v>15</v>
      </c>
      <c r="C1679" s="92" t="str">
        <f ca="1">IFERROR(__xludf.DUMMYFUNCTION("filter('Back End'!C:C,'Back End'!A:A=A1679,'Back End'!B:B=B1679,'Back End'!D:D=D1679)"),"Anuru")</f>
        <v>Anuru</v>
      </c>
      <c r="D1679" s="91" t="s">
        <v>343</v>
      </c>
      <c r="E1679" s="91" t="s">
        <v>5241</v>
      </c>
      <c r="F1679" s="67" t="s">
        <v>3138</v>
      </c>
      <c r="G1679" s="67"/>
      <c r="H1679" s="93" t="s">
        <v>4</v>
      </c>
      <c r="I1679" s="67"/>
      <c r="J1679" s="92">
        <v>9542646937</v>
      </c>
      <c r="K1679" s="67"/>
      <c r="L1679" s="67"/>
      <c r="M1679" s="67"/>
      <c r="N1679" s="67"/>
      <c r="O1679" s="67"/>
    </row>
    <row r="1680" spans="1:15" ht="15">
      <c r="A1680" s="91" t="s">
        <v>15</v>
      </c>
      <c r="B1680" s="91" t="s">
        <v>15</v>
      </c>
      <c r="C1680" s="92" t="str">
        <f ca="1">IFERROR(__xludf.DUMMYFUNCTION("filter('Back End'!C:C,'Back End'!A:A=A1680,'Back End'!B:B=B1680,'Back End'!D:D=D1680)"),"Anuru")</f>
        <v>Anuru</v>
      </c>
      <c r="D1680" s="91" t="s">
        <v>343</v>
      </c>
      <c r="E1680" s="91" t="s">
        <v>5242</v>
      </c>
      <c r="F1680" s="67" t="s">
        <v>3138</v>
      </c>
      <c r="G1680" s="67"/>
      <c r="H1680" s="93" t="s">
        <v>4</v>
      </c>
      <c r="I1680" s="67"/>
      <c r="J1680" s="92">
        <v>9949224169</v>
      </c>
      <c r="K1680" s="67"/>
      <c r="L1680" s="67"/>
      <c r="M1680" s="67"/>
      <c r="N1680" s="67"/>
      <c r="O1680" s="67"/>
    </row>
    <row r="1681" spans="1:15" ht="15">
      <c r="A1681" s="91" t="s">
        <v>15</v>
      </c>
      <c r="B1681" s="91" t="s">
        <v>15</v>
      </c>
      <c r="C1681" s="92" t="str">
        <f ca="1">IFERROR(__xludf.DUMMYFUNCTION("filter('Back End'!C:C,'Back End'!A:A=A1681,'Back End'!B:B=B1681,'Back End'!D:D=D1681)"),"Chadalada")</f>
        <v>Chadalada</v>
      </c>
      <c r="D1681" s="91" t="s">
        <v>346</v>
      </c>
      <c r="E1681" s="91" t="s">
        <v>5243</v>
      </c>
      <c r="F1681" s="67" t="s">
        <v>3138</v>
      </c>
      <c r="G1681" s="67"/>
      <c r="H1681" s="93" t="s">
        <v>4</v>
      </c>
      <c r="I1681" s="67"/>
      <c r="J1681" s="92">
        <v>9392950915</v>
      </c>
      <c r="K1681" s="67"/>
      <c r="L1681" s="67"/>
      <c r="M1681" s="67"/>
      <c r="N1681" s="67"/>
      <c r="O1681" s="67"/>
    </row>
    <row r="1682" spans="1:15" ht="15">
      <c r="A1682" s="91" t="s">
        <v>15</v>
      </c>
      <c r="B1682" s="91" t="s">
        <v>15</v>
      </c>
      <c r="C1682" s="92" t="str">
        <f ca="1">IFERROR(__xludf.DUMMYFUNCTION("filter('Back End'!C:C,'Back End'!A:A=A1682,'Back End'!B:B=B1682,'Back End'!D:D=D1682)"),"Chadalada")</f>
        <v>Chadalada</v>
      </c>
      <c r="D1682" s="91" t="s">
        <v>346</v>
      </c>
      <c r="E1682" s="91" t="s">
        <v>5244</v>
      </c>
      <c r="F1682" s="67" t="s">
        <v>3138</v>
      </c>
      <c r="G1682" s="67"/>
      <c r="H1682" s="93" t="s">
        <v>4</v>
      </c>
      <c r="I1682" s="67"/>
      <c r="J1682" s="92">
        <v>9052878715</v>
      </c>
      <c r="K1682" s="67"/>
      <c r="L1682" s="67"/>
      <c r="M1682" s="67"/>
      <c r="N1682" s="67"/>
      <c r="O1682" s="67"/>
    </row>
    <row r="1683" spans="1:15" ht="15">
      <c r="A1683" s="91" t="s">
        <v>15</v>
      </c>
      <c r="B1683" s="91" t="s">
        <v>15</v>
      </c>
      <c r="C1683" s="92" t="str">
        <f ca="1">IFERROR(__xludf.DUMMYFUNCTION("filter('Back End'!C:C,'Back End'!A:A=A1683,'Back End'!B:B=B1683,'Back End'!D:D=D1683)"),"Chadalada")</f>
        <v>Chadalada</v>
      </c>
      <c r="D1683" s="91" t="s">
        <v>346</v>
      </c>
      <c r="E1683" s="91" t="s">
        <v>5245</v>
      </c>
      <c r="F1683" s="67" t="s">
        <v>3138</v>
      </c>
      <c r="G1683" s="67"/>
      <c r="H1683" s="93" t="s">
        <v>4</v>
      </c>
      <c r="I1683" s="92" t="s">
        <v>3125</v>
      </c>
      <c r="J1683" s="92">
        <v>9866319986</v>
      </c>
      <c r="K1683" s="67"/>
      <c r="L1683" s="67"/>
      <c r="M1683" s="67"/>
      <c r="N1683" s="67"/>
      <c r="O1683" s="67"/>
    </row>
    <row r="1684" spans="1:15" ht="30">
      <c r="A1684" s="91" t="s">
        <v>15</v>
      </c>
      <c r="B1684" s="91" t="s">
        <v>15</v>
      </c>
      <c r="C1684" s="92" t="str">
        <f ca="1">IFERROR(__xludf.DUMMYFUNCTION("filter('Back End'!C:C,'Back End'!A:A=A1684,'Back End'!B:B=B1684,'Back End'!D:D=D1684)"),"Chandramampalle")</f>
        <v>Chandramampalle</v>
      </c>
      <c r="D1684" s="91" t="s">
        <v>348</v>
      </c>
      <c r="E1684" s="91" t="s">
        <v>5246</v>
      </c>
      <c r="F1684" s="67" t="s">
        <v>3138</v>
      </c>
      <c r="G1684" s="67"/>
      <c r="H1684" s="93" t="s">
        <v>4</v>
      </c>
      <c r="I1684" s="92" t="s">
        <v>3125</v>
      </c>
      <c r="J1684" s="92">
        <v>9989367090</v>
      </c>
      <c r="K1684" s="67"/>
      <c r="L1684" s="67"/>
      <c r="M1684" s="67"/>
      <c r="N1684" s="67"/>
      <c r="O1684" s="67"/>
    </row>
    <row r="1685" spans="1:15" ht="30">
      <c r="A1685" s="91" t="s">
        <v>15</v>
      </c>
      <c r="B1685" s="91" t="s">
        <v>15</v>
      </c>
      <c r="C1685" s="92" t="str">
        <f ca="1">IFERROR(__xludf.DUMMYFUNCTION("filter('Back End'!C:C,'Back End'!A:A=A1685,'Back End'!B:B=B1685,'Back End'!D:D=D1685)"),"Chandramampalle")</f>
        <v>Chandramampalle</v>
      </c>
      <c r="D1685" s="91" t="s">
        <v>348</v>
      </c>
      <c r="E1685" s="91" t="s">
        <v>5247</v>
      </c>
      <c r="F1685" s="67" t="s">
        <v>3138</v>
      </c>
      <c r="G1685" s="67"/>
      <c r="H1685" s="93" t="s">
        <v>4</v>
      </c>
      <c r="I1685" s="67"/>
      <c r="J1685" s="92">
        <v>9912691324</v>
      </c>
      <c r="K1685" s="67"/>
      <c r="L1685" s="67"/>
      <c r="M1685" s="67"/>
      <c r="N1685" s="67"/>
      <c r="O1685" s="67"/>
    </row>
    <row r="1686" spans="1:15" ht="30">
      <c r="A1686" s="91" t="s">
        <v>15</v>
      </c>
      <c r="B1686" s="91" t="s">
        <v>15</v>
      </c>
      <c r="C1686" s="92" t="str">
        <f ca="1">IFERROR(__xludf.DUMMYFUNCTION("filter('Back End'!C:C,'Back End'!A:A=A1686,'Back End'!B:B=B1686,'Back End'!D:D=D1686)"),"Chandramampalle")</f>
        <v>Chandramampalle</v>
      </c>
      <c r="D1686" s="91" t="s">
        <v>348</v>
      </c>
      <c r="E1686" s="91" t="s">
        <v>5248</v>
      </c>
      <c r="F1686" s="67" t="s">
        <v>3138</v>
      </c>
      <c r="G1686" s="67"/>
      <c r="H1686" s="93" t="s">
        <v>4</v>
      </c>
      <c r="I1686" s="67"/>
      <c r="J1686" s="92">
        <v>9848381856</v>
      </c>
      <c r="K1686" s="67"/>
      <c r="L1686" s="67"/>
      <c r="M1686" s="67"/>
      <c r="N1686" s="67"/>
      <c r="O1686" s="67"/>
    </row>
    <row r="1687" spans="1:15" ht="30">
      <c r="A1687" s="91" t="s">
        <v>15</v>
      </c>
      <c r="B1687" s="91" t="s">
        <v>15</v>
      </c>
      <c r="C1687" s="92" t="str">
        <f ca="1">IFERROR(__xludf.DUMMYFUNCTION("filter('Back End'!C:C,'Back End'!A:A=A1687,'Back End'!B:B=B1687,'Back End'!D:D=D1687)"),"Chandramampalle")</f>
        <v>Chandramampalle</v>
      </c>
      <c r="D1687" s="91" t="s">
        <v>348</v>
      </c>
      <c r="E1687" s="91" t="s">
        <v>5249</v>
      </c>
      <c r="F1687" s="67" t="s">
        <v>3138</v>
      </c>
      <c r="G1687" s="67"/>
      <c r="H1687" s="93" t="s">
        <v>5</v>
      </c>
      <c r="I1687" s="67"/>
      <c r="J1687" s="92">
        <v>9908423113</v>
      </c>
      <c r="K1687" s="67"/>
      <c r="L1687" s="67"/>
      <c r="M1687" s="67"/>
      <c r="N1687" s="67"/>
      <c r="O1687" s="67"/>
    </row>
    <row r="1688" spans="1:15" ht="30">
      <c r="A1688" s="91" t="s">
        <v>15</v>
      </c>
      <c r="B1688" s="91" t="s">
        <v>15</v>
      </c>
      <c r="C1688" s="92" t="str">
        <f ca="1">IFERROR(__xludf.DUMMYFUNCTION("filter('Back End'!C:C,'Back End'!A:A=A1688,'Back End'!B:B=B1688,'Back End'!D:D=D1688)"),"Chandramampalle")</f>
        <v>Chandramampalle</v>
      </c>
      <c r="D1688" s="91" t="s">
        <v>348</v>
      </c>
      <c r="E1688" s="91" t="s">
        <v>5250</v>
      </c>
      <c r="F1688" s="67" t="s">
        <v>3138</v>
      </c>
      <c r="G1688" s="67"/>
      <c r="H1688" s="93" t="s">
        <v>5</v>
      </c>
      <c r="I1688" s="67"/>
      <c r="J1688" s="92">
        <v>9948169561</v>
      </c>
      <c r="K1688" s="67"/>
      <c r="L1688" s="67"/>
      <c r="M1688" s="67"/>
      <c r="N1688" s="67"/>
      <c r="O1688" s="67"/>
    </row>
    <row r="1689" spans="1:15" ht="30">
      <c r="A1689" s="91" t="s">
        <v>15</v>
      </c>
      <c r="B1689" s="91" t="s">
        <v>15</v>
      </c>
      <c r="C1689" s="92" t="str">
        <f ca="1">IFERROR(__xludf.DUMMYFUNCTION("filter('Back End'!C:C,'Back End'!A:A=A1689,'Back End'!B:B=B1689,'Back End'!D:D=D1689)"),"Chinabrahmadevam")</f>
        <v>Chinabrahmadevam</v>
      </c>
      <c r="D1689" s="91" t="s">
        <v>350</v>
      </c>
      <c r="E1689" s="91" t="s">
        <v>5251</v>
      </c>
      <c r="F1689" s="67" t="s">
        <v>3138</v>
      </c>
      <c r="G1689" s="67"/>
      <c r="H1689" s="93" t="s">
        <v>4</v>
      </c>
      <c r="I1689" s="67"/>
      <c r="J1689" s="92">
        <v>9177927392</v>
      </c>
      <c r="K1689" s="67"/>
      <c r="L1689" s="67"/>
      <c r="M1689" s="67"/>
      <c r="N1689" s="67"/>
      <c r="O1689" s="67"/>
    </row>
    <row r="1690" spans="1:15" ht="30">
      <c r="A1690" s="91" t="s">
        <v>15</v>
      </c>
      <c r="B1690" s="91" t="s">
        <v>15</v>
      </c>
      <c r="C1690" s="92" t="str">
        <f ca="1">IFERROR(__xludf.DUMMYFUNCTION("filter('Back End'!C:C,'Back End'!A:A=A1690,'Back End'!B:B=B1690,'Back End'!D:D=D1690)"),"Chinabrahmadevam")</f>
        <v>Chinabrahmadevam</v>
      </c>
      <c r="D1690" s="91" t="s">
        <v>350</v>
      </c>
      <c r="E1690" s="91" t="s">
        <v>5252</v>
      </c>
      <c r="F1690" s="67" t="s">
        <v>3138</v>
      </c>
      <c r="G1690" s="67"/>
      <c r="H1690" s="93" t="s">
        <v>4</v>
      </c>
      <c r="I1690" s="92" t="s">
        <v>3125</v>
      </c>
      <c r="J1690" s="92">
        <v>8247033611</v>
      </c>
      <c r="K1690" s="67"/>
      <c r="L1690" s="67"/>
      <c r="M1690" s="67"/>
      <c r="N1690" s="67"/>
      <c r="O1690" s="67"/>
    </row>
    <row r="1691" spans="1:15" ht="30">
      <c r="A1691" s="91" t="s">
        <v>15</v>
      </c>
      <c r="B1691" s="91" t="s">
        <v>15</v>
      </c>
      <c r="C1691" s="92" t="str">
        <f ca="1">IFERROR(__xludf.DUMMYFUNCTION("filter('Back End'!C:C,'Back End'!A:A=A1691,'Back End'!B:B=B1691,'Back End'!D:D=D1691)"),"Chinabrahmadevam")</f>
        <v>Chinabrahmadevam</v>
      </c>
      <c r="D1691" s="91" t="s">
        <v>350</v>
      </c>
      <c r="E1691" s="91" t="s">
        <v>5253</v>
      </c>
      <c r="F1691" s="67" t="s">
        <v>3138</v>
      </c>
      <c r="G1691" s="67"/>
      <c r="H1691" s="93" t="s">
        <v>4</v>
      </c>
      <c r="I1691" s="67"/>
      <c r="J1691" s="92">
        <v>7286844888</v>
      </c>
      <c r="K1691" s="67"/>
      <c r="L1691" s="67"/>
      <c r="M1691" s="67"/>
      <c r="N1691" s="67"/>
      <c r="O1691" s="67"/>
    </row>
    <row r="1692" spans="1:15" ht="15">
      <c r="A1692" s="91" t="s">
        <v>15</v>
      </c>
      <c r="B1692" s="100" t="s">
        <v>15</v>
      </c>
      <c r="C1692" s="91" t="s">
        <v>350</v>
      </c>
      <c r="D1692" s="100" t="s">
        <v>350</v>
      </c>
      <c r="E1692" s="100" t="s">
        <v>5254</v>
      </c>
      <c r="F1692" s="100" t="s">
        <v>139</v>
      </c>
      <c r="G1692" s="100" t="s">
        <v>594</v>
      </c>
      <c r="H1692" s="100" t="s">
        <v>5</v>
      </c>
      <c r="I1692" s="97" t="s">
        <v>2631</v>
      </c>
      <c r="J1692" s="99"/>
      <c r="K1692" s="100" t="s">
        <v>2631</v>
      </c>
      <c r="L1692" s="99"/>
      <c r="M1692" s="99"/>
      <c r="N1692" s="67"/>
      <c r="O1692" s="67"/>
    </row>
    <row r="1693" spans="1:15" ht="15">
      <c r="A1693" s="101" t="s">
        <v>15</v>
      </c>
      <c r="B1693" s="93" t="s">
        <v>15</v>
      </c>
      <c r="C1693" s="91" t="s">
        <v>350</v>
      </c>
      <c r="D1693" s="93" t="s">
        <v>350</v>
      </c>
      <c r="E1693" s="93" t="s">
        <v>351</v>
      </c>
      <c r="F1693" s="93" t="s">
        <v>139</v>
      </c>
      <c r="G1693" s="93" t="s">
        <v>594</v>
      </c>
      <c r="H1693" s="95"/>
      <c r="I1693" s="102" t="s">
        <v>3115</v>
      </c>
      <c r="J1693" s="102">
        <v>9959353623</v>
      </c>
      <c r="K1693" s="93">
        <v>320</v>
      </c>
      <c r="L1693" s="95"/>
      <c r="M1693" s="95"/>
      <c r="N1693" s="67"/>
      <c r="O1693" s="67"/>
    </row>
    <row r="1694" spans="1:15" ht="30">
      <c r="A1694" s="91" t="s">
        <v>15</v>
      </c>
      <c r="B1694" s="91" t="s">
        <v>15</v>
      </c>
      <c r="C1694" s="92" t="str">
        <f ca="1">IFERROR(__xludf.DUMMYFUNCTION("filter('Back End'!C:C,'Back End'!A:A=A1694,'Back End'!B:B=B1694,'Back End'!D:D=D1694)"),"Chinabrahmadevam")</f>
        <v>Chinabrahmadevam</v>
      </c>
      <c r="D1694" s="91" t="s">
        <v>350</v>
      </c>
      <c r="E1694" s="91" t="s">
        <v>5255</v>
      </c>
      <c r="F1694" s="67" t="s">
        <v>3138</v>
      </c>
      <c r="G1694" s="67"/>
      <c r="H1694" s="93" t="s">
        <v>5</v>
      </c>
      <c r="I1694" s="67"/>
      <c r="J1694" s="92">
        <v>9493417098</v>
      </c>
      <c r="K1694" s="67"/>
      <c r="L1694" s="67"/>
      <c r="M1694" s="67"/>
      <c r="N1694" s="67"/>
      <c r="O1694" s="67"/>
    </row>
    <row r="1695" spans="1:15" ht="30">
      <c r="A1695" s="91" t="s">
        <v>15</v>
      </c>
      <c r="B1695" s="91" t="s">
        <v>15</v>
      </c>
      <c r="C1695" s="92" t="str">
        <f ca="1">IFERROR(__xludf.DUMMYFUNCTION("filter('Back End'!C:C,'Back End'!A:A=A1695,'Back End'!B:B=B1695,'Back End'!D:D=D1695)"),"Chinabrahmadevam")</f>
        <v>Chinabrahmadevam</v>
      </c>
      <c r="D1695" s="91" t="s">
        <v>350</v>
      </c>
      <c r="E1695" s="91" t="s">
        <v>5256</v>
      </c>
      <c r="F1695" s="67" t="s">
        <v>3138</v>
      </c>
      <c r="G1695" s="67"/>
      <c r="H1695" s="93" t="s">
        <v>5</v>
      </c>
      <c r="I1695" s="67"/>
      <c r="J1695" s="92">
        <v>953035435</v>
      </c>
      <c r="K1695" s="67"/>
      <c r="L1695" s="67"/>
      <c r="M1695" s="67"/>
      <c r="N1695" s="67"/>
      <c r="O1695" s="67"/>
    </row>
    <row r="1696" spans="1:15" ht="16.5">
      <c r="A1696" s="103" t="s">
        <v>15</v>
      </c>
      <c r="B1696" s="98" t="s">
        <v>15</v>
      </c>
      <c r="C1696" s="98" t="s">
        <v>350</v>
      </c>
      <c r="D1696" s="91" t="s">
        <v>350</v>
      </c>
      <c r="E1696" s="98" t="s">
        <v>5257</v>
      </c>
      <c r="F1696" s="100" t="s">
        <v>114</v>
      </c>
      <c r="G1696" s="100" t="s">
        <v>85</v>
      </c>
      <c r="H1696" s="100" t="s">
        <v>5</v>
      </c>
      <c r="I1696" s="97" t="s">
        <v>3185</v>
      </c>
      <c r="J1696" s="99"/>
      <c r="K1696" s="99"/>
      <c r="L1696" s="99"/>
      <c r="M1696" s="99"/>
      <c r="N1696" s="67"/>
      <c r="O1696" s="67"/>
    </row>
    <row r="1697" spans="1:15" ht="30.4">
      <c r="A1697" s="107" t="s">
        <v>15</v>
      </c>
      <c r="B1697" s="105" t="s">
        <v>15</v>
      </c>
      <c r="C1697" s="105" t="s">
        <v>350</v>
      </c>
      <c r="D1697" s="91" t="s">
        <v>350</v>
      </c>
      <c r="E1697" s="105" t="s">
        <v>5258</v>
      </c>
      <c r="F1697" s="93" t="s">
        <v>139</v>
      </c>
      <c r="G1697" s="93" t="s">
        <v>594</v>
      </c>
      <c r="H1697" s="93" t="s">
        <v>5</v>
      </c>
      <c r="I1697" s="102" t="s">
        <v>3212</v>
      </c>
      <c r="J1697" s="95"/>
      <c r="K1697" s="95"/>
      <c r="L1697" s="95"/>
      <c r="M1697" s="95"/>
      <c r="N1697" s="67"/>
      <c r="O1697" s="67"/>
    </row>
    <row r="1698" spans="1:15" ht="30.4">
      <c r="A1698" s="107" t="s">
        <v>15</v>
      </c>
      <c r="B1698" s="105" t="s">
        <v>15</v>
      </c>
      <c r="C1698" s="105" t="s">
        <v>350</v>
      </c>
      <c r="D1698" s="91" t="s">
        <v>350</v>
      </c>
      <c r="E1698" s="105" t="s">
        <v>351</v>
      </c>
      <c r="F1698" s="93" t="s">
        <v>139</v>
      </c>
      <c r="G1698" s="93" t="s">
        <v>594</v>
      </c>
      <c r="H1698" s="93" t="s">
        <v>5</v>
      </c>
      <c r="I1698" s="102" t="s">
        <v>3162</v>
      </c>
      <c r="J1698" s="106">
        <v>9959353623</v>
      </c>
      <c r="K1698" s="95"/>
      <c r="L1698" s="95"/>
      <c r="M1698" s="95"/>
      <c r="N1698" s="67"/>
      <c r="O1698" s="67"/>
    </row>
    <row r="1699" spans="1:15" ht="30.4">
      <c r="A1699" s="107" t="s">
        <v>15</v>
      </c>
      <c r="B1699" s="105" t="s">
        <v>15</v>
      </c>
      <c r="C1699" s="105" t="s">
        <v>350</v>
      </c>
      <c r="D1699" s="91" t="s">
        <v>350</v>
      </c>
      <c r="E1699" s="105" t="s">
        <v>5259</v>
      </c>
      <c r="F1699" s="93" t="s">
        <v>139</v>
      </c>
      <c r="G1699" s="93" t="s">
        <v>594</v>
      </c>
      <c r="H1699" s="93" t="s">
        <v>5</v>
      </c>
      <c r="I1699" s="102" t="s">
        <v>3212</v>
      </c>
      <c r="J1699" s="106">
        <v>9494403348</v>
      </c>
      <c r="K1699" s="95"/>
      <c r="L1699" s="95"/>
      <c r="M1699" s="95"/>
      <c r="N1699" s="67"/>
      <c r="O1699" s="67"/>
    </row>
    <row r="1700" spans="1:15" ht="30.4">
      <c r="A1700" s="107" t="s">
        <v>15</v>
      </c>
      <c r="B1700" s="105" t="s">
        <v>15</v>
      </c>
      <c r="C1700" s="105" t="s">
        <v>350</v>
      </c>
      <c r="D1700" s="91" t="s">
        <v>350</v>
      </c>
      <c r="E1700" s="105" t="s">
        <v>5260</v>
      </c>
      <c r="F1700" s="93" t="s">
        <v>139</v>
      </c>
      <c r="G1700" s="93" t="s">
        <v>594</v>
      </c>
      <c r="H1700" s="93" t="s">
        <v>6</v>
      </c>
      <c r="I1700" s="102" t="s">
        <v>3508</v>
      </c>
      <c r="J1700" s="106">
        <v>9989681178</v>
      </c>
      <c r="K1700" s="95"/>
      <c r="L1700" s="95"/>
      <c r="M1700" s="95"/>
      <c r="N1700" s="67"/>
      <c r="O1700" s="67"/>
    </row>
    <row r="1701" spans="1:15" ht="30.4">
      <c r="A1701" s="107" t="s">
        <v>15</v>
      </c>
      <c r="B1701" s="105" t="s">
        <v>15</v>
      </c>
      <c r="C1701" s="105" t="s">
        <v>350</v>
      </c>
      <c r="D1701" s="91" t="s">
        <v>350</v>
      </c>
      <c r="E1701" s="105" t="s">
        <v>5261</v>
      </c>
      <c r="F1701" s="93" t="s">
        <v>139</v>
      </c>
      <c r="G1701" s="93" t="s">
        <v>594</v>
      </c>
      <c r="H1701" s="93" t="s">
        <v>6</v>
      </c>
      <c r="I1701" s="102" t="s">
        <v>3162</v>
      </c>
      <c r="J1701" s="106">
        <v>9177616183</v>
      </c>
      <c r="K1701" s="95"/>
      <c r="L1701" s="95"/>
      <c r="M1701" s="95"/>
      <c r="N1701" s="67"/>
      <c r="O1701" s="67"/>
    </row>
    <row r="1702" spans="1:15" ht="30.4">
      <c r="A1702" s="107" t="s">
        <v>15</v>
      </c>
      <c r="B1702" s="105" t="s">
        <v>15</v>
      </c>
      <c r="C1702" s="105" t="s">
        <v>350</v>
      </c>
      <c r="D1702" s="91" t="s">
        <v>350</v>
      </c>
      <c r="E1702" s="105" t="s">
        <v>5262</v>
      </c>
      <c r="F1702" s="93" t="s">
        <v>139</v>
      </c>
      <c r="G1702" s="93" t="s">
        <v>594</v>
      </c>
      <c r="H1702" s="93" t="s">
        <v>6</v>
      </c>
      <c r="I1702" s="102" t="s">
        <v>3605</v>
      </c>
      <c r="J1702" s="106">
        <v>9573989844</v>
      </c>
      <c r="K1702" s="95"/>
      <c r="L1702" s="95"/>
      <c r="M1702" s="95"/>
      <c r="N1702" s="67"/>
      <c r="O1702" s="67"/>
    </row>
    <row r="1703" spans="1:15" ht="30.4">
      <c r="A1703" s="107" t="s">
        <v>15</v>
      </c>
      <c r="B1703" s="105" t="s">
        <v>15</v>
      </c>
      <c r="C1703" s="105" t="s">
        <v>350</v>
      </c>
      <c r="D1703" s="91" t="s">
        <v>350</v>
      </c>
      <c r="E1703" s="105" t="s">
        <v>5263</v>
      </c>
      <c r="F1703" s="93" t="s">
        <v>139</v>
      </c>
      <c r="G1703" s="93" t="s">
        <v>594</v>
      </c>
      <c r="H1703" s="93" t="s">
        <v>4</v>
      </c>
      <c r="I1703" s="102" t="s">
        <v>4687</v>
      </c>
      <c r="J1703" s="106">
        <v>9441747767</v>
      </c>
      <c r="K1703" s="95"/>
      <c r="L1703" s="95"/>
      <c r="M1703" s="95"/>
      <c r="N1703" s="67"/>
      <c r="O1703" s="67"/>
    </row>
    <row r="1704" spans="1:15" ht="15">
      <c r="A1704" s="91" t="s">
        <v>15</v>
      </c>
      <c r="B1704" s="91" t="s">
        <v>15</v>
      </c>
      <c r="C1704" s="92" t="str">
        <f ca="1">IFERROR(__xludf.DUMMYFUNCTION("filter('Back End'!C:C,'Back End'!A:A=A1704,'Back End'!B:B=B1704,'Back End'!D:D=D1704)"),"Divlli")</f>
        <v>Divlli</v>
      </c>
      <c r="D1704" s="91" t="s">
        <v>352</v>
      </c>
      <c r="E1704" s="91" t="s">
        <v>5264</v>
      </c>
      <c r="F1704" s="67" t="s">
        <v>3138</v>
      </c>
      <c r="G1704" s="67"/>
      <c r="H1704" s="93" t="s">
        <v>4</v>
      </c>
      <c r="I1704" s="67"/>
      <c r="J1704" s="92">
        <v>9493153555</v>
      </c>
      <c r="K1704" s="67"/>
      <c r="L1704" s="67"/>
      <c r="M1704" s="67"/>
      <c r="N1704" s="67"/>
      <c r="O1704" s="67"/>
    </row>
    <row r="1705" spans="1:15" ht="15">
      <c r="A1705" s="91" t="s">
        <v>15</v>
      </c>
      <c r="B1705" s="91" t="s">
        <v>15</v>
      </c>
      <c r="C1705" s="92" t="str">
        <f ca="1">IFERROR(__xludf.DUMMYFUNCTION("filter('Back End'!C:C,'Back End'!A:A=A1705,'Back End'!B:B=B1705,'Back End'!D:D=D1705)"),"Divlli")</f>
        <v>Divlli</v>
      </c>
      <c r="D1705" s="91" t="s">
        <v>352</v>
      </c>
      <c r="E1705" s="91" t="s">
        <v>5265</v>
      </c>
      <c r="F1705" s="67" t="s">
        <v>3138</v>
      </c>
      <c r="G1705" s="67"/>
      <c r="H1705" s="93" t="s">
        <v>4</v>
      </c>
      <c r="I1705" s="92" t="s">
        <v>3125</v>
      </c>
      <c r="J1705" s="92">
        <v>9848487738</v>
      </c>
      <c r="K1705" s="67"/>
      <c r="L1705" s="67"/>
      <c r="M1705" s="67"/>
      <c r="N1705" s="67"/>
      <c r="O1705" s="67"/>
    </row>
    <row r="1706" spans="1:15" ht="15">
      <c r="A1706" s="91" t="s">
        <v>15</v>
      </c>
      <c r="B1706" s="91" t="s">
        <v>15</v>
      </c>
      <c r="C1706" s="92" t="str">
        <f ca="1">IFERROR(__xludf.DUMMYFUNCTION("filter('Back End'!C:C,'Back End'!A:A=A1706,'Back End'!B:B=B1706,'Back End'!D:D=D1706)"),"Divlli")</f>
        <v>Divlli</v>
      </c>
      <c r="D1706" s="91" t="s">
        <v>352</v>
      </c>
      <c r="E1706" s="91" t="s">
        <v>5266</v>
      </c>
      <c r="F1706" s="67" t="s">
        <v>3138</v>
      </c>
      <c r="G1706" s="67"/>
      <c r="H1706" s="93" t="s">
        <v>4</v>
      </c>
      <c r="I1706" s="67"/>
      <c r="J1706" s="92">
        <v>9949422687</v>
      </c>
      <c r="K1706" s="67"/>
      <c r="L1706" s="67"/>
      <c r="M1706" s="67"/>
      <c r="N1706" s="67"/>
      <c r="O1706" s="67"/>
    </row>
    <row r="1707" spans="1:15" ht="15">
      <c r="A1707" s="91" t="s">
        <v>15</v>
      </c>
      <c r="B1707" s="91" t="s">
        <v>15</v>
      </c>
      <c r="C1707" s="92" t="str">
        <f ca="1">IFERROR(__xludf.DUMMYFUNCTION("filter('Back End'!C:C,'Back End'!A:A=A1707,'Back End'!B:B=B1707,'Back End'!D:D=D1707)"),"G. Ragampeta")</f>
        <v>G. Ragampeta</v>
      </c>
      <c r="D1707" s="91" t="s">
        <v>354</v>
      </c>
      <c r="E1707" s="91" t="s">
        <v>5267</v>
      </c>
      <c r="F1707" s="67" t="s">
        <v>3138</v>
      </c>
      <c r="G1707" s="67"/>
      <c r="H1707" s="93" t="s">
        <v>4</v>
      </c>
      <c r="I1707" s="67"/>
      <c r="J1707" s="92">
        <v>7569587835</v>
      </c>
      <c r="K1707" s="67"/>
      <c r="L1707" s="67"/>
      <c r="M1707" s="67"/>
      <c r="N1707" s="67"/>
      <c r="O1707" s="67"/>
    </row>
    <row r="1708" spans="1:15" ht="15">
      <c r="A1708" s="91" t="s">
        <v>15</v>
      </c>
      <c r="B1708" s="91" t="s">
        <v>15</v>
      </c>
      <c r="C1708" s="92" t="str">
        <f ca="1">IFERROR(__xludf.DUMMYFUNCTION("filter('Back End'!C:C,'Back End'!A:A=A1708,'Back End'!B:B=B1708,'Back End'!D:D=D1708)"),"G. Ragampeta")</f>
        <v>G. Ragampeta</v>
      </c>
      <c r="D1708" s="91" t="s">
        <v>354</v>
      </c>
      <c r="E1708" s="91" t="s">
        <v>5268</v>
      </c>
      <c r="F1708" s="67" t="s">
        <v>3138</v>
      </c>
      <c r="G1708" s="67"/>
      <c r="H1708" s="93" t="s">
        <v>4</v>
      </c>
      <c r="I1708" s="67"/>
      <c r="J1708" s="92">
        <v>9154888839</v>
      </c>
      <c r="K1708" s="67"/>
      <c r="L1708" s="67"/>
      <c r="M1708" s="67"/>
      <c r="N1708" s="67"/>
      <c r="O1708" s="67"/>
    </row>
    <row r="1709" spans="1:15" ht="15">
      <c r="A1709" s="91" t="s">
        <v>15</v>
      </c>
      <c r="B1709" s="91" t="s">
        <v>15</v>
      </c>
      <c r="C1709" s="92" t="str">
        <f ca="1">IFERROR(__xludf.DUMMYFUNCTION("filter('Back End'!C:C,'Back End'!A:A=A1709,'Back End'!B:B=B1709,'Back End'!D:D=D1709)"),"Gorinta")</f>
        <v>Gorinta</v>
      </c>
      <c r="D1709" s="91" t="s">
        <v>356</v>
      </c>
      <c r="E1709" s="91" t="s">
        <v>5269</v>
      </c>
      <c r="F1709" s="67" t="s">
        <v>3138</v>
      </c>
      <c r="G1709" s="67"/>
      <c r="H1709" s="93" t="s">
        <v>5</v>
      </c>
      <c r="I1709" s="67"/>
      <c r="J1709" s="92">
        <v>703232177</v>
      </c>
      <c r="K1709" s="67"/>
      <c r="L1709" s="67"/>
      <c r="M1709" s="67"/>
      <c r="N1709" s="67"/>
      <c r="O1709" s="67"/>
    </row>
    <row r="1710" spans="1:15" ht="15">
      <c r="A1710" s="91" t="s">
        <v>15</v>
      </c>
      <c r="B1710" s="91" t="s">
        <v>15</v>
      </c>
      <c r="C1710" s="92" t="str">
        <f ca="1">IFERROR(__xludf.DUMMYFUNCTION("filter('Back End'!C:C,'Back End'!A:A=A1710,'Back End'!B:B=B1710,'Back End'!D:D=D1710)"),"Gorinta")</f>
        <v>Gorinta</v>
      </c>
      <c r="D1710" s="91" t="s">
        <v>356</v>
      </c>
      <c r="E1710" s="91" t="s">
        <v>5270</v>
      </c>
      <c r="F1710" s="67" t="s">
        <v>3138</v>
      </c>
      <c r="G1710" s="67"/>
      <c r="H1710" s="93" t="s">
        <v>5</v>
      </c>
      <c r="I1710" s="67"/>
      <c r="J1710" s="92">
        <v>99125225228</v>
      </c>
      <c r="K1710" s="67"/>
      <c r="L1710" s="67"/>
      <c r="M1710" s="67"/>
      <c r="N1710" s="67"/>
      <c r="O1710" s="67"/>
    </row>
    <row r="1711" spans="1:15" ht="15">
      <c r="A1711" s="91" t="s">
        <v>15</v>
      </c>
      <c r="B1711" s="91" t="s">
        <v>15</v>
      </c>
      <c r="C1711" s="92" t="str">
        <f ca="1">IFERROR(__xludf.DUMMYFUNCTION("filter('Back End'!C:C,'Back End'!A:A=A1711,'Back End'!B:B=B1711,'Back End'!D:D=D1711)"),"Gorinta")</f>
        <v>Gorinta</v>
      </c>
      <c r="D1711" s="91" t="s">
        <v>356</v>
      </c>
      <c r="E1711" s="91" t="s">
        <v>5271</v>
      </c>
      <c r="F1711" s="67" t="s">
        <v>3138</v>
      </c>
      <c r="G1711" s="67"/>
      <c r="H1711" s="93" t="s">
        <v>5</v>
      </c>
      <c r="I1711" s="67"/>
      <c r="J1711" s="92">
        <v>910025755</v>
      </c>
      <c r="K1711" s="67"/>
      <c r="L1711" s="67"/>
      <c r="M1711" s="67"/>
      <c r="N1711" s="67"/>
      <c r="O1711" s="67"/>
    </row>
    <row r="1712" spans="1:15" ht="15">
      <c r="A1712" s="91" t="s">
        <v>15</v>
      </c>
      <c r="B1712" s="91" t="s">
        <v>15</v>
      </c>
      <c r="C1712" s="92" t="str">
        <f ca="1">IFERROR(__xludf.DUMMYFUNCTION("filter('Back End'!C:C,'Back End'!A:A=A1712,'Back End'!B:B=B1712,'Back End'!D:D=D1712)"),"Gorinta")</f>
        <v>Gorinta</v>
      </c>
      <c r="D1712" s="91" t="s">
        <v>356</v>
      </c>
      <c r="E1712" s="91" t="s">
        <v>5272</v>
      </c>
      <c r="F1712" s="67" t="s">
        <v>3138</v>
      </c>
      <c r="G1712" s="67"/>
      <c r="H1712" s="93" t="s">
        <v>4</v>
      </c>
      <c r="I1712" s="67"/>
      <c r="J1712" s="92">
        <v>9331223333</v>
      </c>
      <c r="K1712" s="67"/>
      <c r="L1712" s="67"/>
      <c r="M1712" s="67"/>
      <c r="N1712" s="67"/>
      <c r="O1712" s="67"/>
    </row>
    <row r="1713" spans="1:15" ht="15">
      <c r="A1713" s="91" t="s">
        <v>15</v>
      </c>
      <c r="B1713" s="91" t="s">
        <v>15</v>
      </c>
      <c r="C1713" s="92" t="str">
        <f ca="1">IFERROR(__xludf.DUMMYFUNCTION("filter('Back End'!C:C,'Back End'!A:A=A1713,'Back End'!B:B=B1713,'Back End'!D:D=D1713)"),"Gorinta")</f>
        <v>Gorinta</v>
      </c>
      <c r="D1713" s="91" t="s">
        <v>356</v>
      </c>
      <c r="E1713" s="91" t="s">
        <v>5273</v>
      </c>
      <c r="F1713" s="67" t="s">
        <v>3138</v>
      </c>
      <c r="G1713" s="67"/>
      <c r="H1713" s="93" t="s">
        <v>4</v>
      </c>
      <c r="I1713" s="67"/>
      <c r="J1713" s="92">
        <v>9618369446</v>
      </c>
      <c r="K1713" s="67"/>
      <c r="L1713" s="67"/>
      <c r="M1713" s="67"/>
      <c r="N1713" s="67"/>
      <c r="O1713" s="67"/>
    </row>
    <row r="1714" spans="1:15" ht="15">
      <c r="A1714" s="91" t="s">
        <v>15</v>
      </c>
      <c r="B1714" s="91" t="s">
        <v>15</v>
      </c>
      <c r="C1714" s="92" t="str">
        <f ca="1">IFERROR(__xludf.DUMMYFUNCTION("filter('Back End'!C:C,'Back End'!A:A=A1714,'Back End'!B:B=B1714,'Back End'!D:D=D1714)"),"Gorinta")</f>
        <v>Gorinta</v>
      </c>
      <c r="D1714" s="91" t="s">
        <v>356</v>
      </c>
      <c r="E1714" s="91" t="s">
        <v>5274</v>
      </c>
      <c r="F1714" s="67" t="s">
        <v>3138</v>
      </c>
      <c r="G1714" s="67"/>
      <c r="H1714" s="93" t="s">
        <v>4</v>
      </c>
      <c r="I1714" s="67"/>
      <c r="J1714" s="92">
        <v>9110517569</v>
      </c>
      <c r="K1714" s="67"/>
      <c r="L1714" s="67"/>
      <c r="M1714" s="67"/>
      <c r="N1714" s="67"/>
      <c r="O1714" s="67"/>
    </row>
    <row r="1715" spans="1:15" ht="15">
      <c r="A1715" s="91" t="s">
        <v>15</v>
      </c>
      <c r="B1715" s="91" t="s">
        <v>15</v>
      </c>
      <c r="C1715" s="92" t="str">
        <f ca="1">IFERROR(__xludf.DUMMYFUNCTION("filter('Back End'!C:C,'Back End'!A:A=A1715,'Back End'!B:B=B1715,'Back End'!D:D=D1715)"),"Gorinta")</f>
        <v>Gorinta</v>
      </c>
      <c r="D1715" s="91" t="s">
        <v>356</v>
      </c>
      <c r="E1715" s="91" t="s">
        <v>5275</v>
      </c>
      <c r="F1715" s="67" t="s">
        <v>3138</v>
      </c>
      <c r="G1715" s="67"/>
      <c r="H1715" s="93" t="s">
        <v>4</v>
      </c>
      <c r="I1715" s="92" t="s">
        <v>3125</v>
      </c>
      <c r="J1715" s="92">
        <v>9848277574</v>
      </c>
      <c r="K1715" s="67"/>
      <c r="L1715" s="67"/>
      <c r="M1715" s="67"/>
      <c r="N1715" s="67"/>
      <c r="O1715" s="67"/>
    </row>
    <row r="1716" spans="1:15" ht="15">
      <c r="A1716" s="91" t="s">
        <v>15</v>
      </c>
      <c r="B1716" s="91" t="s">
        <v>15</v>
      </c>
      <c r="C1716" s="92" t="s">
        <v>356</v>
      </c>
      <c r="D1716" s="91" t="s">
        <v>356</v>
      </c>
      <c r="E1716" s="91" t="s">
        <v>5276</v>
      </c>
      <c r="F1716" s="91" t="s">
        <v>139</v>
      </c>
      <c r="G1716" s="91" t="s">
        <v>594</v>
      </c>
      <c r="H1716" s="93" t="s">
        <v>4</v>
      </c>
      <c r="I1716" s="92" t="s">
        <v>3185</v>
      </c>
      <c r="J1716" s="92">
        <v>9963655660</v>
      </c>
      <c r="K1716" s="67"/>
      <c r="L1716" s="67"/>
      <c r="M1716" s="67"/>
      <c r="N1716" s="67"/>
      <c r="O1716" s="67"/>
    </row>
    <row r="1717" spans="1:15" ht="15">
      <c r="A1717" s="91" t="s">
        <v>15</v>
      </c>
      <c r="B1717" s="91" t="s">
        <v>389</v>
      </c>
      <c r="C1717" s="92" t="str">
        <f ca="1">IFERROR(__xludf.DUMMYFUNCTION("filter('Back End'!C:C,'Back End'!A:A=A1717,'Back End'!B:B=B1717,'Back End'!D:D=D1717)"),"#N/A")</f>
        <v>#N/A</v>
      </c>
      <c r="D1717" s="91" t="s">
        <v>358</v>
      </c>
      <c r="E1717" s="91" t="s">
        <v>377</v>
      </c>
      <c r="F1717" s="91" t="s">
        <v>139</v>
      </c>
      <c r="G1717" s="91" t="s">
        <v>594</v>
      </c>
      <c r="H1717" s="93" t="s">
        <v>5</v>
      </c>
      <c r="I1717" s="92" t="s">
        <v>4348</v>
      </c>
      <c r="J1717" s="92">
        <v>9949136194</v>
      </c>
      <c r="K1717" s="67"/>
      <c r="L1717" s="67"/>
      <c r="M1717" s="67"/>
      <c r="N1717" s="67"/>
      <c r="O1717" s="67"/>
    </row>
    <row r="1718" spans="1:15" ht="15">
      <c r="A1718" s="91" t="s">
        <v>15</v>
      </c>
      <c r="B1718" s="91" t="s">
        <v>389</v>
      </c>
      <c r="C1718" s="92" t="str">
        <f ca="1">IFERROR(__xludf.DUMMYFUNCTION("filter('Back End'!C:C,'Back End'!A:A=A1718,'Back End'!B:B=B1718,'Back End'!D:D=D1718)"),"#N/A")</f>
        <v>#N/A</v>
      </c>
      <c r="D1718" s="91" t="s">
        <v>358</v>
      </c>
      <c r="E1718" s="91" t="s">
        <v>5277</v>
      </c>
      <c r="F1718" s="67" t="s">
        <v>3138</v>
      </c>
      <c r="G1718" s="67"/>
      <c r="H1718" s="93" t="s">
        <v>4</v>
      </c>
      <c r="I1718" s="67"/>
      <c r="J1718" s="92">
        <v>9849301664</v>
      </c>
      <c r="K1718" s="67"/>
      <c r="L1718" s="67"/>
      <c r="M1718" s="67"/>
      <c r="N1718" s="67"/>
      <c r="O1718" s="67"/>
    </row>
    <row r="1719" spans="1:15" ht="15">
      <c r="A1719" s="91" t="s">
        <v>15</v>
      </c>
      <c r="B1719" s="91" t="s">
        <v>389</v>
      </c>
      <c r="C1719" s="92" t="str">
        <f ca="1">IFERROR(__xludf.DUMMYFUNCTION("filter('Back End'!C:C,'Back End'!A:A=A1719,'Back End'!B:B=B1719,'Back End'!D:D=D1719)"),"#N/A")</f>
        <v>#N/A</v>
      </c>
      <c r="D1719" s="91" t="s">
        <v>358</v>
      </c>
      <c r="E1719" s="91" t="s">
        <v>5278</v>
      </c>
      <c r="F1719" s="67" t="s">
        <v>3138</v>
      </c>
      <c r="G1719" s="67"/>
      <c r="H1719" s="93" t="s">
        <v>4</v>
      </c>
      <c r="I1719" s="92" t="s">
        <v>3125</v>
      </c>
      <c r="J1719" s="92">
        <v>9963343195</v>
      </c>
      <c r="K1719" s="67"/>
      <c r="L1719" s="67"/>
      <c r="M1719" s="67"/>
      <c r="N1719" s="67"/>
      <c r="O1719" s="67"/>
    </row>
    <row r="1720" spans="1:15" ht="30">
      <c r="A1720" s="91" t="s">
        <v>15</v>
      </c>
      <c r="B1720" s="91" t="s">
        <v>389</v>
      </c>
      <c r="C1720" s="92" t="str">
        <f ca="1">IFERROR(__xludf.DUMMYFUNCTION("filter('Back End'!C:C,'Back End'!A:A=A1720,'Back End'!B:B=B1720,'Back End'!D:D=D1720)"),"#N/A")</f>
        <v>#N/A</v>
      </c>
      <c r="D1720" s="91" t="s">
        <v>358</v>
      </c>
      <c r="E1720" s="91" t="s">
        <v>5279</v>
      </c>
      <c r="F1720" s="91" t="s">
        <v>139</v>
      </c>
      <c r="G1720" s="91" t="s">
        <v>594</v>
      </c>
      <c r="H1720" s="93" t="s">
        <v>5</v>
      </c>
      <c r="I1720" s="92" t="s">
        <v>5280</v>
      </c>
      <c r="J1720" s="67"/>
      <c r="K1720" s="67"/>
      <c r="L1720" s="67"/>
      <c r="M1720" s="67"/>
      <c r="N1720" s="67"/>
      <c r="O1720" s="67"/>
    </row>
    <row r="1721" spans="1:15" ht="15">
      <c r="A1721" s="91" t="s">
        <v>15</v>
      </c>
      <c r="B1721" s="91" t="s">
        <v>389</v>
      </c>
      <c r="C1721" s="92" t="str">
        <f ca="1">IFERROR(__xludf.DUMMYFUNCTION("filter('Back End'!C:C,'Back End'!A:A=A1721,'Back End'!B:B=B1721,'Back End'!D:D=D1721)"),"#N/A")</f>
        <v>#N/A</v>
      </c>
      <c r="D1721" s="91" t="s">
        <v>358</v>
      </c>
      <c r="E1721" s="91" t="s">
        <v>5281</v>
      </c>
      <c r="F1721" s="91" t="s">
        <v>139</v>
      </c>
      <c r="G1721" s="91" t="s">
        <v>594</v>
      </c>
      <c r="H1721" s="93" t="s">
        <v>5</v>
      </c>
      <c r="I1721" s="92" t="s">
        <v>3112</v>
      </c>
      <c r="J1721" s="67"/>
      <c r="K1721" s="67"/>
      <c r="L1721" s="67"/>
      <c r="M1721" s="67"/>
      <c r="N1721" s="67"/>
      <c r="O1721" s="67"/>
    </row>
    <row r="1722" spans="1:15" ht="30">
      <c r="A1722" s="91" t="s">
        <v>15</v>
      </c>
      <c r="B1722" s="91" t="s">
        <v>389</v>
      </c>
      <c r="C1722" s="92" t="str">
        <f ca="1">IFERROR(__xludf.DUMMYFUNCTION("filter('Back End'!C:C,'Back End'!A:A=A1722,'Back End'!B:B=B1722,'Back End'!D:D=D1722)"),"#N/A")</f>
        <v>#N/A</v>
      </c>
      <c r="D1722" s="91" t="s">
        <v>358</v>
      </c>
      <c r="E1722" s="91" t="s">
        <v>5282</v>
      </c>
      <c r="F1722" s="91" t="s">
        <v>139</v>
      </c>
      <c r="G1722" s="91" t="s">
        <v>594</v>
      </c>
      <c r="H1722" s="93" t="s">
        <v>4</v>
      </c>
      <c r="I1722" s="92" t="s">
        <v>3210</v>
      </c>
      <c r="J1722" s="67"/>
      <c r="K1722" s="67"/>
      <c r="L1722" s="67"/>
      <c r="M1722" s="67"/>
      <c r="N1722" s="67"/>
      <c r="O1722" s="67"/>
    </row>
    <row r="1723" spans="1:15" ht="15">
      <c r="A1723" s="91" t="s">
        <v>15</v>
      </c>
      <c r="B1723" s="91" t="s">
        <v>389</v>
      </c>
      <c r="C1723" s="92" t="str">
        <f ca="1">IFERROR(__xludf.DUMMYFUNCTION("filter('Back End'!C:C,'Back End'!A:A=A1723,'Back End'!B:B=B1723,'Back End'!D:D=D1723)"),"#N/A")</f>
        <v>#N/A</v>
      </c>
      <c r="D1723" s="91" t="s">
        <v>358</v>
      </c>
      <c r="E1723" s="91" t="s">
        <v>5283</v>
      </c>
      <c r="F1723" s="67" t="s">
        <v>3138</v>
      </c>
      <c r="G1723" s="67"/>
      <c r="H1723" s="93" t="s">
        <v>4</v>
      </c>
      <c r="I1723" s="67"/>
      <c r="J1723" s="92">
        <v>7799129421</v>
      </c>
      <c r="K1723" s="67"/>
      <c r="L1723" s="67"/>
      <c r="M1723" s="67"/>
      <c r="N1723" s="67"/>
      <c r="O1723" s="67"/>
    </row>
    <row r="1724" spans="1:15" ht="15">
      <c r="A1724" s="91" t="s">
        <v>15</v>
      </c>
      <c r="B1724" s="91" t="s">
        <v>389</v>
      </c>
      <c r="C1724" s="92" t="str">
        <f ca="1">IFERROR(__xludf.DUMMYFUNCTION("filter('Back End'!C:C,'Back End'!A:A=A1724,'Back End'!B:B=B1724,'Back End'!D:D=D1724)"),"#N/A")</f>
        <v>#N/A</v>
      </c>
      <c r="D1724" s="91" t="s">
        <v>358</v>
      </c>
      <c r="E1724" s="91" t="s">
        <v>5284</v>
      </c>
      <c r="F1724" s="67" t="s">
        <v>3138</v>
      </c>
      <c r="G1724" s="67"/>
      <c r="H1724" s="93" t="s">
        <v>5</v>
      </c>
      <c r="I1724" s="67"/>
      <c r="J1724" s="92">
        <v>9848017795</v>
      </c>
      <c r="K1724" s="67"/>
      <c r="L1724" s="67"/>
      <c r="M1724" s="67"/>
      <c r="N1724" s="67"/>
      <c r="O1724" s="67"/>
    </row>
    <row r="1725" spans="1:15" ht="15">
      <c r="A1725" s="91" t="s">
        <v>15</v>
      </c>
      <c r="B1725" s="91" t="s">
        <v>389</v>
      </c>
      <c r="C1725" s="92" t="str">
        <f ca="1">IFERROR(__xludf.DUMMYFUNCTION("filter('Back End'!C:C,'Back End'!A:A=A1725,'Back End'!B:B=B1725,'Back End'!D:D=D1725)"),"#N/A")</f>
        <v>#N/A</v>
      </c>
      <c r="D1725" s="91" t="s">
        <v>358</v>
      </c>
      <c r="E1725" s="91" t="s">
        <v>5285</v>
      </c>
      <c r="F1725" s="67" t="s">
        <v>3138</v>
      </c>
      <c r="G1725" s="67"/>
      <c r="H1725" s="93" t="s">
        <v>5</v>
      </c>
      <c r="I1725" s="67"/>
      <c r="J1725" s="92">
        <v>9951676189</v>
      </c>
      <c r="K1725" s="67"/>
      <c r="L1725" s="67"/>
      <c r="M1725" s="67"/>
      <c r="N1725" s="67"/>
      <c r="O1725" s="67"/>
    </row>
    <row r="1726" spans="1:15" ht="15">
      <c r="A1726" s="91" t="s">
        <v>15</v>
      </c>
      <c r="B1726" s="91" t="s">
        <v>15</v>
      </c>
      <c r="C1726" s="92" t="str">
        <f ca="1">IFERROR(__xludf.DUMMYFUNCTION("filter('Back End'!C:C,'Back End'!A:A=A1726,'Back End'!B:B=B1726,'Back End'!D:D=D1726)"),"J. Thimmapuram")</f>
        <v>J. Thimmapuram</v>
      </c>
      <c r="D1726" s="91" t="s">
        <v>360</v>
      </c>
      <c r="E1726" s="91" t="s">
        <v>5286</v>
      </c>
      <c r="F1726" s="67" t="s">
        <v>3138</v>
      </c>
      <c r="G1726" s="67"/>
      <c r="H1726" s="93" t="s">
        <v>4</v>
      </c>
      <c r="I1726" s="67"/>
      <c r="J1726" s="92">
        <v>9494001417</v>
      </c>
      <c r="K1726" s="67"/>
      <c r="L1726" s="67"/>
      <c r="M1726" s="67"/>
      <c r="N1726" s="67"/>
      <c r="O1726" s="67"/>
    </row>
    <row r="1727" spans="1:15" ht="15">
      <c r="A1727" s="91" t="s">
        <v>15</v>
      </c>
      <c r="B1727" s="91" t="s">
        <v>15</v>
      </c>
      <c r="C1727" s="92" t="str">
        <f ca="1">IFERROR(__xludf.DUMMYFUNCTION("filter('Back End'!C:C,'Back End'!A:A=A1727,'Back End'!B:B=B1727,'Back End'!D:D=D1727)"),"J. Thimmapuram")</f>
        <v>J. Thimmapuram</v>
      </c>
      <c r="D1727" s="91" t="s">
        <v>360</v>
      </c>
      <c r="E1727" s="91" t="s">
        <v>5287</v>
      </c>
      <c r="F1727" s="67" t="s">
        <v>3138</v>
      </c>
      <c r="G1727" s="67"/>
      <c r="H1727" s="93" t="s">
        <v>4</v>
      </c>
      <c r="I1727" s="67"/>
      <c r="J1727" s="92">
        <v>9885220664</v>
      </c>
      <c r="K1727" s="67"/>
      <c r="L1727" s="67"/>
      <c r="M1727" s="67"/>
      <c r="N1727" s="67"/>
      <c r="O1727" s="67"/>
    </row>
    <row r="1728" spans="1:15" ht="15">
      <c r="A1728" s="91" t="s">
        <v>15</v>
      </c>
      <c r="B1728" s="91" t="s">
        <v>15</v>
      </c>
      <c r="C1728" s="92" t="str">
        <f ca="1">IFERROR(__xludf.DUMMYFUNCTION("filter('Back End'!C:C,'Back End'!A:A=A1728,'Back End'!B:B=B1728,'Back End'!D:D=D1728)"),"J. Thimmapuram")</f>
        <v>J. Thimmapuram</v>
      </c>
      <c r="D1728" s="91" t="s">
        <v>360</v>
      </c>
      <c r="E1728" s="91" t="s">
        <v>5288</v>
      </c>
      <c r="F1728" s="67" t="s">
        <v>3138</v>
      </c>
      <c r="G1728" s="67"/>
      <c r="H1728" s="93" t="s">
        <v>4</v>
      </c>
      <c r="I1728" s="92" t="s">
        <v>3125</v>
      </c>
      <c r="J1728" s="92">
        <v>7569249280</v>
      </c>
      <c r="K1728" s="67"/>
      <c r="L1728" s="67"/>
      <c r="M1728" s="67"/>
      <c r="N1728" s="67"/>
      <c r="O1728" s="67"/>
    </row>
    <row r="1729" spans="1:15" ht="15">
      <c r="A1729" s="91" t="s">
        <v>15</v>
      </c>
      <c r="B1729" s="91" t="s">
        <v>15</v>
      </c>
      <c r="C1729" s="92" t="str">
        <f ca="1">IFERROR(__xludf.DUMMYFUNCTION("filter('Back End'!C:C,'Back End'!A:A=A1729,'Back End'!B:B=B1729,'Back End'!D:D=D1729)"),"J. Thimmapuram")</f>
        <v>J. Thimmapuram</v>
      </c>
      <c r="D1729" s="91" t="s">
        <v>360</v>
      </c>
      <c r="E1729" s="91" t="s">
        <v>5289</v>
      </c>
      <c r="F1729" s="67" t="s">
        <v>3138</v>
      </c>
      <c r="G1729" s="67"/>
      <c r="H1729" s="93" t="s">
        <v>4</v>
      </c>
      <c r="I1729" s="67"/>
      <c r="J1729" s="92">
        <v>9912164575</v>
      </c>
      <c r="K1729" s="67"/>
      <c r="L1729" s="67"/>
      <c r="M1729" s="67"/>
      <c r="N1729" s="67"/>
      <c r="O1729" s="67"/>
    </row>
    <row r="1730" spans="1:15" ht="15">
      <c r="A1730" s="91" t="s">
        <v>15</v>
      </c>
      <c r="B1730" s="91" t="s">
        <v>15</v>
      </c>
      <c r="C1730" s="92" t="str">
        <f ca="1">IFERROR(__xludf.DUMMYFUNCTION("filter('Back End'!C:C,'Back End'!A:A=A1730,'Back End'!B:B=B1730,'Back End'!D:D=D1730)"),"Kandrakota")</f>
        <v>Kandrakota</v>
      </c>
      <c r="D1730" s="91" t="s">
        <v>362</v>
      </c>
      <c r="E1730" s="91" t="s">
        <v>5290</v>
      </c>
      <c r="F1730" s="67" t="s">
        <v>3138</v>
      </c>
      <c r="G1730" s="67"/>
      <c r="H1730" s="93" t="s">
        <v>4</v>
      </c>
      <c r="I1730" s="67"/>
      <c r="J1730" s="92">
        <v>9542645064</v>
      </c>
      <c r="K1730" s="67"/>
      <c r="L1730" s="67"/>
      <c r="M1730" s="67"/>
      <c r="N1730" s="67"/>
      <c r="O1730" s="67"/>
    </row>
    <row r="1731" spans="1:15" ht="15">
      <c r="A1731" s="91" t="s">
        <v>15</v>
      </c>
      <c r="B1731" s="91" t="s">
        <v>15</v>
      </c>
      <c r="C1731" s="92" t="str">
        <f ca="1">IFERROR(__xludf.DUMMYFUNCTION("filter('Back End'!C:C,'Back End'!A:A=A1731,'Back End'!B:B=B1731,'Back End'!D:D=D1731)"),"Kandrakota")</f>
        <v>Kandrakota</v>
      </c>
      <c r="D1731" s="91" t="s">
        <v>362</v>
      </c>
      <c r="E1731" s="91" t="s">
        <v>5291</v>
      </c>
      <c r="F1731" s="67" t="s">
        <v>3138</v>
      </c>
      <c r="G1731" s="67"/>
      <c r="H1731" s="93" t="s">
        <v>4</v>
      </c>
      <c r="I1731" s="67"/>
      <c r="J1731" s="92">
        <v>9640443272</v>
      </c>
      <c r="K1731" s="67"/>
      <c r="L1731" s="67"/>
      <c r="M1731" s="67"/>
      <c r="N1731" s="67"/>
      <c r="O1731" s="67"/>
    </row>
    <row r="1732" spans="1:15" ht="15">
      <c r="A1732" s="91" t="s">
        <v>15</v>
      </c>
      <c r="B1732" s="91" t="s">
        <v>15</v>
      </c>
      <c r="C1732" s="92" t="str">
        <f ca="1">IFERROR(__xludf.DUMMYFUNCTION("filter('Back End'!C:C,'Back End'!A:A=A1732,'Back End'!B:B=B1732,'Back End'!D:D=D1732)"),"Kandrakota")</f>
        <v>Kandrakota</v>
      </c>
      <c r="D1732" s="91" t="s">
        <v>362</v>
      </c>
      <c r="E1732" s="91" t="s">
        <v>5292</v>
      </c>
      <c r="F1732" s="67" t="s">
        <v>3138</v>
      </c>
      <c r="G1732" s="67"/>
      <c r="H1732" s="93" t="s">
        <v>5</v>
      </c>
      <c r="I1732" s="67"/>
      <c r="J1732" s="92">
        <v>8297441284</v>
      </c>
      <c r="K1732" s="67"/>
      <c r="L1732" s="67"/>
      <c r="M1732" s="67"/>
      <c r="N1732" s="67"/>
      <c r="O1732" s="67"/>
    </row>
    <row r="1733" spans="1:15" ht="15">
      <c r="A1733" s="91" t="s">
        <v>15</v>
      </c>
      <c r="B1733" s="91" t="s">
        <v>15</v>
      </c>
      <c r="C1733" s="92" t="str">
        <f ca="1">IFERROR(__xludf.DUMMYFUNCTION("filter('Back End'!C:C,'Back End'!A:A=A1733,'Back End'!B:B=B1733,'Back End'!D:D=D1733)"),"Kandrakota")</f>
        <v>Kandrakota</v>
      </c>
      <c r="D1733" s="91" t="s">
        <v>362</v>
      </c>
      <c r="E1733" s="91" t="s">
        <v>5293</v>
      </c>
      <c r="F1733" s="67" t="s">
        <v>3138</v>
      </c>
      <c r="G1733" s="67"/>
      <c r="H1733" s="93" t="s">
        <v>4</v>
      </c>
      <c r="I1733" s="67"/>
      <c r="J1733" s="92">
        <v>9666445793</v>
      </c>
      <c r="K1733" s="67"/>
      <c r="L1733" s="67"/>
      <c r="M1733" s="67"/>
      <c r="N1733" s="67"/>
      <c r="O1733" s="67"/>
    </row>
    <row r="1734" spans="1:15" ht="15">
      <c r="A1734" s="91" t="s">
        <v>15</v>
      </c>
      <c r="B1734" s="91" t="s">
        <v>15</v>
      </c>
      <c r="C1734" s="92" t="str">
        <f ca="1">IFERROR(__xludf.DUMMYFUNCTION("filter('Back End'!C:C,'Back End'!A:A=A1734,'Back End'!B:B=B1734,'Back End'!D:D=D1734)"),"Kandrakota")</f>
        <v>Kandrakota</v>
      </c>
      <c r="D1734" s="91" t="s">
        <v>362</v>
      </c>
      <c r="E1734" s="91" t="s">
        <v>5294</v>
      </c>
      <c r="F1734" s="67" t="s">
        <v>3138</v>
      </c>
      <c r="G1734" s="67"/>
      <c r="H1734" s="93" t="s">
        <v>5</v>
      </c>
      <c r="I1734" s="67"/>
      <c r="J1734" s="92">
        <v>9533124555</v>
      </c>
      <c r="K1734" s="67"/>
      <c r="L1734" s="67"/>
      <c r="M1734" s="67"/>
      <c r="N1734" s="67"/>
      <c r="O1734" s="67"/>
    </row>
    <row r="1735" spans="1:15" ht="15">
      <c r="A1735" s="91" t="s">
        <v>15</v>
      </c>
      <c r="B1735" s="91" t="s">
        <v>15</v>
      </c>
      <c r="C1735" s="92" t="str">
        <f ca="1">IFERROR(__xludf.DUMMYFUNCTION("filter('Back End'!C:C,'Back End'!A:A=A1735,'Back End'!B:B=B1735,'Back End'!D:D=D1735)"),"Kandrakota")</f>
        <v>Kandrakota</v>
      </c>
      <c r="D1735" s="91" t="s">
        <v>362</v>
      </c>
      <c r="E1735" s="91" t="s">
        <v>5295</v>
      </c>
      <c r="F1735" s="67" t="s">
        <v>3138</v>
      </c>
      <c r="G1735" s="67"/>
      <c r="H1735" s="93" t="s">
        <v>5</v>
      </c>
      <c r="I1735" s="67"/>
      <c r="J1735" s="92">
        <v>9010392555</v>
      </c>
      <c r="K1735" s="67"/>
      <c r="L1735" s="67"/>
      <c r="M1735" s="67"/>
      <c r="N1735" s="67"/>
      <c r="O1735" s="67"/>
    </row>
    <row r="1736" spans="1:15" ht="15">
      <c r="A1736" s="91" t="s">
        <v>15</v>
      </c>
      <c r="B1736" s="91" t="s">
        <v>15</v>
      </c>
      <c r="C1736" s="92" t="str">
        <f ca="1">IFERROR(__xludf.DUMMYFUNCTION("filter('Back End'!C:C,'Back End'!A:A=A1736,'Back End'!B:B=B1736,'Back End'!D:D=D1736)"),"Kandrakota")</f>
        <v>Kandrakota</v>
      </c>
      <c r="D1736" s="91" t="s">
        <v>362</v>
      </c>
      <c r="E1736" s="91" t="s">
        <v>5296</v>
      </c>
      <c r="F1736" s="67" t="s">
        <v>3138</v>
      </c>
      <c r="G1736" s="67"/>
      <c r="H1736" s="93" t="s">
        <v>4</v>
      </c>
      <c r="I1736" s="92" t="s">
        <v>3125</v>
      </c>
      <c r="J1736" s="92">
        <v>9866913718</v>
      </c>
      <c r="K1736" s="67"/>
      <c r="L1736" s="67"/>
      <c r="M1736" s="67"/>
      <c r="N1736" s="67"/>
      <c r="O1736" s="67"/>
    </row>
    <row r="1737" spans="1:15" ht="15">
      <c r="A1737" s="91" t="s">
        <v>15</v>
      </c>
      <c r="B1737" s="91" t="s">
        <v>15</v>
      </c>
      <c r="C1737" s="92" t="str">
        <f ca="1">IFERROR(__xludf.DUMMYFUNCTION("filter('Back End'!C:C,'Back End'!A:A=A1737,'Back End'!B:B=B1737,'Back End'!D:D=D1737)"),"Kandrakota")</f>
        <v>Kandrakota</v>
      </c>
      <c r="D1737" s="91" t="s">
        <v>362</v>
      </c>
      <c r="E1737" s="91" t="s">
        <v>5297</v>
      </c>
      <c r="F1737" s="67" t="s">
        <v>3138</v>
      </c>
      <c r="G1737" s="67"/>
      <c r="H1737" s="93" t="s">
        <v>5</v>
      </c>
      <c r="I1737" s="67"/>
      <c r="J1737" s="92">
        <v>9849179664</v>
      </c>
      <c r="K1737" s="67"/>
      <c r="L1737" s="67"/>
      <c r="M1737" s="67"/>
      <c r="N1737" s="67"/>
      <c r="O1737" s="67"/>
    </row>
    <row r="1738" spans="1:15" ht="15">
      <c r="A1738" s="91" t="s">
        <v>15</v>
      </c>
      <c r="B1738" s="91" t="s">
        <v>15</v>
      </c>
      <c r="C1738" s="92" t="str">
        <f ca="1">IFERROR(__xludf.DUMMYFUNCTION("filter('Back End'!C:C,'Back End'!A:A=A1738,'Back End'!B:B=B1738,'Back End'!D:D=D1738)"),"Kandrakota")</f>
        <v>Kandrakota</v>
      </c>
      <c r="D1738" s="91" t="s">
        <v>362</v>
      </c>
      <c r="E1738" s="91" t="s">
        <v>5298</v>
      </c>
      <c r="F1738" s="67" t="s">
        <v>3138</v>
      </c>
      <c r="G1738" s="67"/>
      <c r="H1738" s="93" t="s">
        <v>4</v>
      </c>
      <c r="I1738" s="67"/>
      <c r="J1738" s="92">
        <v>8096713281</v>
      </c>
      <c r="K1738" s="67"/>
      <c r="L1738" s="67"/>
      <c r="M1738" s="67"/>
      <c r="N1738" s="67"/>
      <c r="O1738" s="67"/>
    </row>
    <row r="1739" spans="1:15" ht="15">
      <c r="A1739" s="91" t="s">
        <v>15</v>
      </c>
      <c r="B1739" s="91" t="s">
        <v>15</v>
      </c>
      <c r="C1739" s="92" t="str">
        <f ca="1">IFERROR(__xludf.DUMMYFUNCTION("filter('Back End'!C:C,'Back End'!A:A=A1739,'Back End'!B:B=B1739,'Back End'!D:D=D1739)"),"Kandrakota")</f>
        <v>Kandrakota</v>
      </c>
      <c r="D1739" s="91" t="s">
        <v>362</v>
      </c>
      <c r="E1739" s="91" t="s">
        <v>5299</v>
      </c>
      <c r="F1739" s="67" t="s">
        <v>3138</v>
      </c>
      <c r="G1739" s="67"/>
      <c r="H1739" s="93" t="s">
        <v>4</v>
      </c>
      <c r="I1739" s="67"/>
      <c r="J1739" s="92">
        <v>9912976195</v>
      </c>
      <c r="K1739" s="67"/>
      <c r="L1739" s="67"/>
      <c r="M1739" s="67"/>
      <c r="N1739" s="67"/>
      <c r="O1739" s="67"/>
    </row>
    <row r="1740" spans="1:15" ht="15">
      <c r="A1740" s="91" t="s">
        <v>15</v>
      </c>
      <c r="B1740" s="91" t="s">
        <v>15</v>
      </c>
      <c r="C1740" s="92" t="str">
        <f ca="1">IFERROR(__xludf.DUMMYFUNCTION("filter('Back End'!C:C,'Back End'!A:A=A1740,'Back End'!B:B=B1740,'Back End'!D:D=D1740)"),"Kandrakota")</f>
        <v>Kandrakota</v>
      </c>
      <c r="D1740" s="91" t="s">
        <v>362</v>
      </c>
      <c r="E1740" s="91" t="s">
        <v>5300</v>
      </c>
      <c r="F1740" s="67" t="s">
        <v>3138</v>
      </c>
      <c r="G1740" s="67"/>
      <c r="H1740" s="93" t="s">
        <v>5</v>
      </c>
      <c r="I1740" s="67"/>
      <c r="J1740" s="92">
        <v>839995450</v>
      </c>
      <c r="K1740" s="67"/>
      <c r="L1740" s="67"/>
      <c r="M1740" s="67"/>
      <c r="N1740" s="67"/>
      <c r="O1740" s="67"/>
    </row>
    <row r="1741" spans="1:15" ht="15">
      <c r="A1741" s="91" t="s">
        <v>15</v>
      </c>
      <c r="B1741" s="91" t="s">
        <v>15</v>
      </c>
      <c r="C1741" s="92" t="str">
        <f ca="1">IFERROR(__xludf.DUMMYFUNCTION("filter('Back End'!C:C,'Back End'!A:A=A1741,'Back End'!B:B=B1741,'Back End'!D:D=D1741)"),"Kattamuru")</f>
        <v>Kattamuru</v>
      </c>
      <c r="D1741" s="91" t="s">
        <v>364</v>
      </c>
      <c r="E1741" s="91" t="s">
        <v>5301</v>
      </c>
      <c r="F1741" s="91" t="s">
        <v>139</v>
      </c>
      <c r="G1741" s="91" t="s">
        <v>594</v>
      </c>
      <c r="H1741" s="93" t="s">
        <v>4</v>
      </c>
      <c r="I1741" s="92" t="s">
        <v>3384</v>
      </c>
      <c r="J1741" s="92">
        <v>9502266541</v>
      </c>
      <c r="K1741" s="67"/>
      <c r="L1741" s="67"/>
      <c r="M1741" s="67"/>
      <c r="N1741" s="67"/>
      <c r="O1741" s="67"/>
    </row>
    <row r="1742" spans="1:15" ht="15">
      <c r="A1742" s="91" t="s">
        <v>15</v>
      </c>
      <c r="B1742" s="91" t="s">
        <v>15</v>
      </c>
      <c r="C1742" s="92" t="str">
        <f ca="1">IFERROR(__xludf.DUMMYFUNCTION("filter('Back End'!C:C,'Back End'!A:A=A1742,'Back End'!B:B=B1742,'Back End'!D:D=D1742)"),"Kattamuru")</f>
        <v>Kattamuru</v>
      </c>
      <c r="D1742" s="91" t="s">
        <v>364</v>
      </c>
      <c r="E1742" s="91" t="s">
        <v>5302</v>
      </c>
      <c r="F1742" s="67" t="s">
        <v>3138</v>
      </c>
      <c r="G1742" s="67"/>
      <c r="H1742" s="93" t="s">
        <v>4</v>
      </c>
      <c r="I1742" s="67"/>
      <c r="J1742" s="92">
        <v>6302157911</v>
      </c>
      <c r="K1742" s="67"/>
      <c r="L1742" s="67"/>
      <c r="M1742" s="67"/>
      <c r="N1742" s="67"/>
      <c r="O1742" s="67"/>
    </row>
    <row r="1743" spans="1:15" ht="30">
      <c r="A1743" s="91" t="s">
        <v>15</v>
      </c>
      <c r="B1743" s="91" t="s">
        <v>15</v>
      </c>
      <c r="C1743" s="92" t="str">
        <f ca="1">IFERROR(__xludf.DUMMYFUNCTION("filter('Back End'!C:C,'Back End'!A:A=A1743,'Back End'!B:B=B1743,'Back End'!D:D=D1743)"),"Kattamuru")</f>
        <v>Kattamuru</v>
      </c>
      <c r="D1743" s="91" t="s">
        <v>364</v>
      </c>
      <c r="E1743" s="91" t="s">
        <v>5303</v>
      </c>
      <c r="F1743" s="91" t="s">
        <v>103</v>
      </c>
      <c r="G1743" s="91" t="s">
        <v>594</v>
      </c>
      <c r="H1743" s="93" t="s">
        <v>4</v>
      </c>
      <c r="I1743" s="92" t="s">
        <v>3863</v>
      </c>
      <c r="J1743" s="92">
        <v>7569133467</v>
      </c>
      <c r="K1743" s="67"/>
      <c r="L1743" s="67"/>
      <c r="M1743" s="67"/>
      <c r="N1743" s="67"/>
      <c r="O1743" s="67"/>
    </row>
    <row r="1744" spans="1:15" ht="30">
      <c r="A1744" s="91" t="s">
        <v>15</v>
      </c>
      <c r="B1744" s="91" t="s">
        <v>15</v>
      </c>
      <c r="C1744" s="92" t="str">
        <f ca="1">IFERROR(__xludf.DUMMYFUNCTION("filter('Back End'!C:C,'Back End'!A:A=A1744,'Back End'!B:B=B1744,'Back End'!D:D=D1744)"),"Kattamuru")</f>
        <v>Kattamuru</v>
      </c>
      <c r="D1744" s="91" t="s">
        <v>364</v>
      </c>
      <c r="E1744" s="91" t="s">
        <v>5304</v>
      </c>
      <c r="F1744" s="91" t="s">
        <v>139</v>
      </c>
      <c r="G1744" s="91" t="s">
        <v>594</v>
      </c>
      <c r="H1744" s="93" t="s">
        <v>4</v>
      </c>
      <c r="I1744" s="92" t="s">
        <v>3863</v>
      </c>
      <c r="J1744" s="92">
        <v>9908911865</v>
      </c>
      <c r="K1744" s="67"/>
      <c r="L1744" s="67"/>
      <c r="M1744" s="67"/>
      <c r="N1744" s="67"/>
      <c r="O1744" s="67"/>
    </row>
    <row r="1745" spans="1:15" ht="30">
      <c r="A1745" s="91" t="s">
        <v>15</v>
      </c>
      <c r="B1745" s="91" t="s">
        <v>15</v>
      </c>
      <c r="C1745" s="92" t="str">
        <f ca="1">IFERROR(__xludf.DUMMYFUNCTION("filter('Back End'!C:C,'Back End'!A:A=A1745,'Back End'!B:B=B1745,'Back End'!D:D=D1745)"),"Kattamuru")</f>
        <v>Kattamuru</v>
      </c>
      <c r="D1745" s="91" t="s">
        <v>364</v>
      </c>
      <c r="E1745" s="91" t="s">
        <v>5305</v>
      </c>
      <c r="F1745" s="91" t="s">
        <v>103</v>
      </c>
      <c r="G1745" s="91" t="s">
        <v>594</v>
      </c>
      <c r="H1745" s="93" t="s">
        <v>4</v>
      </c>
      <c r="I1745" s="92" t="s">
        <v>3863</v>
      </c>
      <c r="J1745" s="92">
        <v>8897246487</v>
      </c>
      <c r="K1745" s="67"/>
      <c r="L1745" s="67"/>
      <c r="M1745" s="67"/>
      <c r="N1745" s="67"/>
      <c r="O1745" s="67"/>
    </row>
    <row r="1746" spans="1:15" ht="30">
      <c r="A1746" s="91" t="s">
        <v>15</v>
      </c>
      <c r="B1746" s="91" t="s">
        <v>15</v>
      </c>
      <c r="C1746" s="92" t="str">
        <f ca="1">IFERROR(__xludf.DUMMYFUNCTION("filter('Back End'!C:C,'Back End'!A:A=A1746,'Back End'!B:B=B1746,'Back End'!D:D=D1746)"),"Kattamuru")</f>
        <v>Kattamuru</v>
      </c>
      <c r="D1746" s="91" t="s">
        <v>364</v>
      </c>
      <c r="E1746" s="91" t="s">
        <v>5306</v>
      </c>
      <c r="F1746" s="91" t="s">
        <v>139</v>
      </c>
      <c r="G1746" s="91" t="s">
        <v>594</v>
      </c>
      <c r="H1746" s="93" t="s">
        <v>4</v>
      </c>
      <c r="I1746" s="92" t="s">
        <v>4687</v>
      </c>
      <c r="J1746" s="92">
        <v>9949726448</v>
      </c>
      <c r="K1746" s="67"/>
      <c r="L1746" s="67"/>
      <c r="M1746" s="67"/>
      <c r="N1746" s="67"/>
      <c r="O1746" s="67"/>
    </row>
    <row r="1747" spans="1:15" ht="30">
      <c r="A1747" s="91" t="s">
        <v>15</v>
      </c>
      <c r="B1747" s="91" t="s">
        <v>15</v>
      </c>
      <c r="C1747" s="92" t="str">
        <f ca="1">IFERROR(__xludf.DUMMYFUNCTION("filter('Back End'!C:C,'Back End'!A:A=A1747,'Back End'!B:B=B1747,'Back End'!D:D=D1747)"),"Kattamuru")</f>
        <v>Kattamuru</v>
      </c>
      <c r="D1747" s="91" t="s">
        <v>364</v>
      </c>
      <c r="E1747" s="91" t="s">
        <v>5307</v>
      </c>
      <c r="F1747" s="91" t="s">
        <v>139</v>
      </c>
      <c r="G1747" s="91" t="s">
        <v>594</v>
      </c>
      <c r="H1747" s="93" t="s">
        <v>4</v>
      </c>
      <c r="I1747" s="92" t="s">
        <v>3863</v>
      </c>
      <c r="J1747" s="92">
        <v>9014060159</v>
      </c>
      <c r="K1747" s="67"/>
      <c r="L1747" s="67"/>
      <c r="M1747" s="67"/>
      <c r="N1747" s="67"/>
      <c r="O1747" s="67"/>
    </row>
    <row r="1748" spans="1:15" ht="30">
      <c r="A1748" s="91" t="s">
        <v>15</v>
      </c>
      <c r="B1748" s="91" t="s">
        <v>15</v>
      </c>
      <c r="C1748" s="92" t="str">
        <f ca="1">IFERROR(__xludf.DUMMYFUNCTION("filter('Back End'!C:C,'Back End'!A:A=A1748,'Back End'!B:B=B1748,'Back End'!D:D=D1748)"),"Kattamuru")</f>
        <v>Kattamuru</v>
      </c>
      <c r="D1748" s="91" t="s">
        <v>364</v>
      </c>
      <c r="E1748" s="91" t="s">
        <v>5308</v>
      </c>
      <c r="F1748" s="91" t="s">
        <v>103</v>
      </c>
      <c r="G1748" s="91" t="s">
        <v>594</v>
      </c>
      <c r="H1748" s="93" t="s">
        <v>4</v>
      </c>
      <c r="I1748" s="92" t="s">
        <v>3212</v>
      </c>
      <c r="J1748" s="92">
        <v>9985911222</v>
      </c>
      <c r="K1748" s="67"/>
      <c r="L1748" s="67"/>
      <c r="M1748" s="67"/>
      <c r="N1748" s="67"/>
      <c r="O1748" s="67"/>
    </row>
    <row r="1749" spans="1:15" ht="30">
      <c r="A1749" s="91" t="s">
        <v>15</v>
      </c>
      <c r="B1749" s="91" t="s">
        <v>15</v>
      </c>
      <c r="C1749" s="92" t="str">
        <f ca="1">IFERROR(__xludf.DUMMYFUNCTION("filter('Back End'!C:C,'Back End'!A:A=A1749,'Back End'!B:B=B1749,'Back End'!D:D=D1749)"),"Kattamuru")</f>
        <v>Kattamuru</v>
      </c>
      <c r="D1749" s="91" t="s">
        <v>364</v>
      </c>
      <c r="E1749" s="91" t="s">
        <v>5309</v>
      </c>
      <c r="F1749" s="91" t="s">
        <v>139</v>
      </c>
      <c r="G1749" s="91" t="s">
        <v>594</v>
      </c>
      <c r="H1749" s="93" t="s">
        <v>4</v>
      </c>
      <c r="I1749" s="92" t="s">
        <v>3863</v>
      </c>
      <c r="J1749" s="92">
        <v>9701768930</v>
      </c>
      <c r="K1749" s="67"/>
      <c r="L1749" s="67"/>
      <c r="M1749" s="67"/>
      <c r="N1749" s="67"/>
      <c r="O1749" s="67"/>
    </row>
    <row r="1750" spans="1:15" ht="30">
      <c r="A1750" s="91" t="s">
        <v>15</v>
      </c>
      <c r="B1750" s="91" t="s">
        <v>15</v>
      </c>
      <c r="C1750" s="92" t="str">
        <f ca="1">IFERROR(__xludf.DUMMYFUNCTION("filter('Back End'!C:C,'Back End'!A:A=A1750,'Back End'!B:B=B1750,'Back End'!D:D=D1750)"),"Kattamuru")</f>
        <v>Kattamuru</v>
      </c>
      <c r="D1750" s="91" t="s">
        <v>364</v>
      </c>
      <c r="E1750" s="91" t="s">
        <v>5310</v>
      </c>
      <c r="F1750" s="91" t="s">
        <v>595</v>
      </c>
      <c r="G1750" s="91" t="s">
        <v>594</v>
      </c>
      <c r="H1750" s="93" t="s">
        <v>5</v>
      </c>
      <c r="I1750" s="92" t="s">
        <v>3508</v>
      </c>
      <c r="J1750" s="92">
        <v>9381847885</v>
      </c>
      <c r="K1750" s="67"/>
      <c r="L1750" s="67"/>
      <c r="M1750" s="67"/>
      <c r="N1750" s="67"/>
      <c r="O1750" s="67"/>
    </row>
    <row r="1751" spans="1:15" ht="45">
      <c r="A1751" s="91" t="s">
        <v>15</v>
      </c>
      <c r="B1751" s="91" t="s">
        <v>15</v>
      </c>
      <c r="C1751" s="92" t="str">
        <f ca="1">IFERROR(__xludf.DUMMYFUNCTION("filter('Back End'!C:C,'Back End'!A:A=A1751,'Back End'!B:B=B1751,'Back End'!D:D=D1751)"),"Kattamuru")</f>
        <v>Kattamuru</v>
      </c>
      <c r="D1751" s="91" t="s">
        <v>364</v>
      </c>
      <c r="E1751" s="91" t="s">
        <v>5311</v>
      </c>
      <c r="F1751" s="91" t="s">
        <v>1626</v>
      </c>
      <c r="G1751" s="91" t="s">
        <v>594</v>
      </c>
      <c r="H1751" s="93" t="s">
        <v>5</v>
      </c>
      <c r="I1751" s="92" t="s">
        <v>5312</v>
      </c>
      <c r="J1751" s="92">
        <v>9908026589</v>
      </c>
      <c r="K1751" s="67"/>
      <c r="L1751" s="67"/>
      <c r="M1751" s="67"/>
      <c r="N1751" s="67"/>
      <c r="O1751" s="67"/>
    </row>
    <row r="1752" spans="1:15" ht="45">
      <c r="A1752" s="91" t="s">
        <v>15</v>
      </c>
      <c r="B1752" s="91" t="s">
        <v>15</v>
      </c>
      <c r="C1752" s="92" t="str">
        <f ca="1">IFERROR(__xludf.DUMMYFUNCTION("filter('Back End'!C:C,'Back End'!A:A=A1752,'Back End'!B:B=B1752,'Back End'!D:D=D1752)"),"Kattamuru")</f>
        <v>Kattamuru</v>
      </c>
      <c r="D1752" s="91" t="s">
        <v>364</v>
      </c>
      <c r="E1752" s="91" t="s">
        <v>5313</v>
      </c>
      <c r="F1752" s="91" t="s">
        <v>139</v>
      </c>
      <c r="G1752" s="91" t="s">
        <v>594</v>
      </c>
      <c r="H1752" s="93" t="s">
        <v>5</v>
      </c>
      <c r="I1752" s="92" t="s">
        <v>5314</v>
      </c>
      <c r="J1752" s="92">
        <v>9949091713</v>
      </c>
      <c r="K1752" s="67"/>
      <c r="L1752" s="67"/>
      <c r="M1752" s="67"/>
      <c r="N1752" s="67"/>
      <c r="O1752" s="67"/>
    </row>
    <row r="1753" spans="1:15" ht="30">
      <c r="A1753" s="91" t="s">
        <v>15</v>
      </c>
      <c r="B1753" s="91" t="s">
        <v>15</v>
      </c>
      <c r="C1753" s="92" t="str">
        <f ca="1">IFERROR(__xludf.DUMMYFUNCTION("filter('Back End'!C:C,'Back End'!A:A=A1753,'Back End'!B:B=B1753,'Back End'!D:D=D1753)"),"Kattamuru")</f>
        <v>Kattamuru</v>
      </c>
      <c r="D1753" s="91" t="s">
        <v>364</v>
      </c>
      <c r="E1753" s="91" t="s">
        <v>5315</v>
      </c>
      <c r="F1753" s="91" t="s">
        <v>139</v>
      </c>
      <c r="G1753" s="91" t="s">
        <v>594</v>
      </c>
      <c r="H1753" s="93" t="s">
        <v>5</v>
      </c>
      <c r="I1753" s="92" t="s">
        <v>5316</v>
      </c>
      <c r="J1753" s="92">
        <v>9849845552</v>
      </c>
      <c r="K1753" s="67"/>
      <c r="L1753" s="67"/>
      <c r="M1753" s="67"/>
      <c r="N1753" s="67"/>
      <c r="O1753" s="67"/>
    </row>
    <row r="1754" spans="1:15" ht="30">
      <c r="A1754" s="91" t="s">
        <v>15</v>
      </c>
      <c r="B1754" s="91" t="s">
        <v>15</v>
      </c>
      <c r="C1754" s="92" t="str">
        <f ca="1">IFERROR(__xludf.DUMMYFUNCTION("filter('Back End'!C:C,'Back End'!A:A=A1754,'Back End'!B:B=B1754,'Back End'!D:D=D1754)"),"Kattamuru")</f>
        <v>Kattamuru</v>
      </c>
      <c r="D1754" s="91" t="s">
        <v>364</v>
      </c>
      <c r="E1754" s="91" t="s">
        <v>5317</v>
      </c>
      <c r="F1754" s="91" t="s">
        <v>139</v>
      </c>
      <c r="G1754" s="91" t="s">
        <v>594</v>
      </c>
      <c r="H1754" s="93" t="s">
        <v>5</v>
      </c>
      <c r="I1754" s="92" t="s">
        <v>3863</v>
      </c>
      <c r="J1754" s="92">
        <v>9603525889</v>
      </c>
      <c r="K1754" s="67"/>
      <c r="L1754" s="67"/>
      <c r="M1754" s="67"/>
      <c r="N1754" s="67"/>
      <c r="O1754" s="67"/>
    </row>
    <row r="1755" spans="1:15" ht="15">
      <c r="A1755" s="91" t="s">
        <v>15</v>
      </c>
      <c r="B1755" s="91" t="s">
        <v>15</v>
      </c>
      <c r="C1755" s="92" t="str">
        <f ca="1">IFERROR(__xludf.DUMMYFUNCTION("filter('Back End'!C:C,'Back End'!A:A=A1755,'Back End'!B:B=B1755,'Back End'!D:D=D1755)"),"Kondapalle")</f>
        <v>Kondapalle</v>
      </c>
      <c r="D1755" s="91" t="s">
        <v>366</v>
      </c>
      <c r="E1755" s="91" t="s">
        <v>5318</v>
      </c>
      <c r="F1755" s="67" t="s">
        <v>3138</v>
      </c>
      <c r="G1755" s="67"/>
      <c r="H1755" s="93" t="s">
        <v>5</v>
      </c>
      <c r="I1755" s="67"/>
      <c r="J1755" s="92">
        <v>995967488</v>
      </c>
      <c r="K1755" s="67"/>
      <c r="L1755" s="67"/>
      <c r="M1755" s="67"/>
      <c r="N1755" s="67"/>
      <c r="O1755" s="67"/>
    </row>
    <row r="1756" spans="1:15" ht="15">
      <c r="A1756" s="91" t="s">
        <v>15</v>
      </c>
      <c r="B1756" s="91" t="s">
        <v>15</v>
      </c>
      <c r="C1756" s="92" t="str">
        <f ca="1">IFERROR(__xludf.DUMMYFUNCTION("filter('Back End'!C:C,'Back End'!A:A=A1756,'Back End'!B:B=B1756,'Back End'!D:D=D1756)"),"Marlava")</f>
        <v>Marlava</v>
      </c>
      <c r="D1756" s="91" t="s">
        <v>369</v>
      </c>
      <c r="E1756" s="91" t="s">
        <v>5319</v>
      </c>
      <c r="F1756" s="91" t="s">
        <v>139</v>
      </c>
      <c r="G1756" s="91" t="s">
        <v>594</v>
      </c>
      <c r="H1756" s="93" t="s">
        <v>4</v>
      </c>
      <c r="I1756" s="92" t="s">
        <v>3125</v>
      </c>
      <c r="J1756" s="92">
        <v>9848591308</v>
      </c>
      <c r="K1756" s="67"/>
      <c r="L1756" s="67"/>
      <c r="M1756" s="67"/>
      <c r="N1756" s="67"/>
      <c r="O1756" s="67"/>
    </row>
    <row r="1757" spans="1:15" ht="15">
      <c r="A1757" s="91" t="s">
        <v>15</v>
      </c>
      <c r="B1757" s="91" t="s">
        <v>15</v>
      </c>
      <c r="C1757" s="92" t="str">
        <f ca="1">IFERROR(__xludf.DUMMYFUNCTION("filter('Back End'!C:C,'Back End'!A:A=A1757,'Back End'!B:B=B1757,'Back End'!D:D=D1757)"),"Marlava")</f>
        <v>Marlava</v>
      </c>
      <c r="D1757" s="91" t="s">
        <v>369</v>
      </c>
      <c r="E1757" s="91" t="s">
        <v>5320</v>
      </c>
      <c r="F1757" s="91" t="s">
        <v>139</v>
      </c>
      <c r="G1757" s="91" t="s">
        <v>594</v>
      </c>
      <c r="H1757" s="93" t="s">
        <v>4</v>
      </c>
      <c r="I1757" s="92" t="s">
        <v>3112</v>
      </c>
      <c r="J1757" s="92">
        <v>9393295553</v>
      </c>
      <c r="K1757" s="67"/>
      <c r="L1757" s="67"/>
      <c r="M1757" s="67"/>
      <c r="N1757" s="67"/>
      <c r="O1757" s="67"/>
    </row>
    <row r="1758" spans="1:15" ht="15">
      <c r="A1758" s="91" t="s">
        <v>15</v>
      </c>
      <c r="B1758" s="91" t="s">
        <v>15</v>
      </c>
      <c r="C1758" s="92" t="str">
        <f ca="1">IFERROR(__xludf.DUMMYFUNCTION("filter('Back End'!C:C,'Back End'!A:A=A1758,'Back End'!B:B=B1758,'Back End'!D:D=D1758)"),"Marlava")</f>
        <v>Marlava</v>
      </c>
      <c r="D1758" s="91" t="s">
        <v>369</v>
      </c>
      <c r="E1758" s="91" t="s">
        <v>5321</v>
      </c>
      <c r="F1758" s="91" t="s">
        <v>139</v>
      </c>
      <c r="G1758" s="91" t="s">
        <v>594</v>
      </c>
      <c r="H1758" s="93" t="s">
        <v>4</v>
      </c>
      <c r="I1758" s="92" t="s">
        <v>3112</v>
      </c>
      <c r="J1758" s="92">
        <v>9848141946</v>
      </c>
      <c r="K1758" s="67"/>
      <c r="L1758" s="67"/>
      <c r="M1758" s="67"/>
      <c r="N1758" s="67"/>
      <c r="O1758" s="67"/>
    </row>
    <row r="1759" spans="1:15" ht="30">
      <c r="A1759" s="91" t="s">
        <v>15</v>
      </c>
      <c r="B1759" s="91" t="s">
        <v>15</v>
      </c>
      <c r="C1759" s="92" t="str">
        <f ca="1">IFERROR(__xludf.DUMMYFUNCTION("filter('Back End'!C:C,'Back End'!A:A=A1759,'Back End'!B:B=B1759,'Back End'!D:D=D1759)"),"Marlava")</f>
        <v>Marlava</v>
      </c>
      <c r="D1759" s="91" t="s">
        <v>369</v>
      </c>
      <c r="E1759" s="91" t="s">
        <v>5322</v>
      </c>
      <c r="F1759" s="91" t="s">
        <v>139</v>
      </c>
      <c r="G1759" s="91" t="s">
        <v>594</v>
      </c>
      <c r="H1759" s="93" t="s">
        <v>4</v>
      </c>
      <c r="I1759" s="92" t="s">
        <v>3205</v>
      </c>
      <c r="J1759" s="92">
        <v>9553467487</v>
      </c>
      <c r="K1759" s="67"/>
      <c r="L1759" s="67"/>
      <c r="M1759" s="67"/>
      <c r="N1759" s="67"/>
      <c r="O1759" s="67"/>
    </row>
    <row r="1760" spans="1:15" ht="30">
      <c r="A1760" s="91" t="s">
        <v>15</v>
      </c>
      <c r="B1760" s="91" t="s">
        <v>15</v>
      </c>
      <c r="C1760" s="92" t="str">
        <f ca="1">IFERROR(__xludf.DUMMYFUNCTION("filter('Back End'!C:C,'Back End'!A:A=A1760,'Back End'!B:B=B1760,'Back End'!D:D=D1760)"),"Marlava")</f>
        <v>Marlava</v>
      </c>
      <c r="D1760" s="91" t="s">
        <v>369</v>
      </c>
      <c r="E1760" s="91" t="s">
        <v>5323</v>
      </c>
      <c r="F1760" s="91" t="s">
        <v>139</v>
      </c>
      <c r="G1760" s="91" t="s">
        <v>594</v>
      </c>
      <c r="H1760" s="93" t="s">
        <v>4</v>
      </c>
      <c r="I1760" s="92" t="s">
        <v>4687</v>
      </c>
      <c r="J1760" s="92">
        <v>9494500319</v>
      </c>
      <c r="K1760" s="67"/>
      <c r="L1760" s="67"/>
      <c r="M1760" s="67"/>
      <c r="N1760" s="67"/>
      <c r="O1760" s="67"/>
    </row>
    <row r="1761" spans="1:15" ht="15">
      <c r="A1761" s="91" t="s">
        <v>15</v>
      </c>
      <c r="B1761" s="91" t="s">
        <v>15</v>
      </c>
      <c r="C1761" s="92" t="str">
        <f ca="1">IFERROR(__xludf.DUMMYFUNCTION("filter('Back End'!C:C,'Back End'!A:A=A1761,'Back End'!B:B=B1761,'Back End'!D:D=D1761)"),"Marlava")</f>
        <v>Marlava</v>
      </c>
      <c r="D1761" s="91" t="s">
        <v>369</v>
      </c>
      <c r="E1761" s="91" t="s">
        <v>370</v>
      </c>
      <c r="F1761" s="91" t="s">
        <v>139</v>
      </c>
      <c r="G1761" s="91" t="s">
        <v>594</v>
      </c>
      <c r="H1761" s="93" t="s">
        <v>4</v>
      </c>
      <c r="I1761" s="92" t="s">
        <v>4069</v>
      </c>
      <c r="J1761" s="92">
        <v>9063698888</v>
      </c>
      <c r="K1761" s="67"/>
      <c r="L1761" s="67"/>
      <c r="M1761" s="67"/>
      <c r="N1761" s="67"/>
      <c r="O1761" s="67"/>
    </row>
    <row r="1762" spans="1:15" ht="15">
      <c r="A1762" s="91" t="s">
        <v>15</v>
      </c>
      <c r="B1762" s="91" t="s">
        <v>15</v>
      </c>
      <c r="C1762" s="92" t="str">
        <f ca="1">IFERROR(__xludf.DUMMYFUNCTION("filter('Back End'!C:C,'Back End'!A:A=A1762,'Back End'!B:B=B1762,'Back End'!D:D=D1762)"),"Pulimeru")</f>
        <v>Pulimeru</v>
      </c>
      <c r="D1762" s="91" t="s">
        <v>371</v>
      </c>
      <c r="E1762" s="91" t="s">
        <v>5324</v>
      </c>
      <c r="F1762" s="91" t="s">
        <v>139</v>
      </c>
      <c r="G1762" s="91" t="s">
        <v>594</v>
      </c>
      <c r="H1762" s="93" t="s">
        <v>4</v>
      </c>
      <c r="I1762" s="92" t="s">
        <v>3112</v>
      </c>
      <c r="J1762" s="92">
        <v>8125262025</v>
      </c>
      <c r="K1762" s="67"/>
      <c r="L1762" s="67"/>
      <c r="M1762" s="67"/>
      <c r="N1762" s="67"/>
      <c r="O1762" s="67"/>
    </row>
    <row r="1763" spans="1:15" ht="30">
      <c r="A1763" s="91" t="s">
        <v>15</v>
      </c>
      <c r="B1763" s="91" t="s">
        <v>15</v>
      </c>
      <c r="C1763" s="92" t="str">
        <f ca="1">IFERROR(__xludf.DUMMYFUNCTION("filter('Back End'!C:C,'Back End'!A:A=A1763,'Back End'!B:B=B1763,'Back End'!D:D=D1763)"),"Pulimeru")</f>
        <v>Pulimeru</v>
      </c>
      <c r="D1763" s="91" t="s">
        <v>371</v>
      </c>
      <c r="E1763" s="91" t="s">
        <v>5325</v>
      </c>
      <c r="F1763" s="91" t="s">
        <v>139</v>
      </c>
      <c r="G1763" s="91" t="s">
        <v>594</v>
      </c>
      <c r="H1763" s="93" t="s">
        <v>4</v>
      </c>
      <c r="I1763" s="92" t="s">
        <v>4687</v>
      </c>
      <c r="J1763" s="92">
        <v>9948128807</v>
      </c>
      <c r="K1763" s="67"/>
      <c r="L1763" s="67"/>
      <c r="M1763" s="67"/>
      <c r="N1763" s="67"/>
      <c r="O1763" s="67"/>
    </row>
    <row r="1764" spans="1:15" ht="15">
      <c r="A1764" s="91" t="s">
        <v>15</v>
      </c>
      <c r="B1764" s="91" t="s">
        <v>15</v>
      </c>
      <c r="C1764" s="92" t="str">
        <f ca="1">IFERROR(__xludf.DUMMYFUNCTION("filter('Back End'!C:C,'Back End'!A:A=A1764,'Back End'!B:B=B1764,'Back End'!D:D=D1764)"),"Pulimeru")</f>
        <v>Pulimeru</v>
      </c>
      <c r="D1764" s="91" t="s">
        <v>371</v>
      </c>
      <c r="E1764" s="91" t="s">
        <v>5326</v>
      </c>
      <c r="F1764" s="91" t="s">
        <v>114</v>
      </c>
      <c r="G1764" s="91" t="s">
        <v>85</v>
      </c>
      <c r="H1764" s="93" t="s">
        <v>4</v>
      </c>
      <c r="I1764" s="92" t="s">
        <v>2631</v>
      </c>
      <c r="J1764" s="92">
        <v>9866986631</v>
      </c>
      <c r="K1764" s="67"/>
      <c r="L1764" s="67"/>
      <c r="M1764" s="67"/>
      <c r="N1764" s="67"/>
      <c r="O1764" s="67"/>
    </row>
    <row r="1765" spans="1:15" ht="16.5">
      <c r="A1765" s="91" t="s">
        <v>15</v>
      </c>
      <c r="B1765" s="100" t="s">
        <v>15</v>
      </c>
      <c r="C1765" s="97" t="str">
        <f ca="1">IFERROR(__xludf.DUMMYFUNCTION("filter('Back End'!C:C,'Back End'!A:A=A1765,'Back End'!B:B=B1765,'Back End'!D:D=D1765)"),"Pulimeru")</f>
        <v>Pulimeru</v>
      </c>
      <c r="D1765" s="100" t="s">
        <v>371</v>
      </c>
      <c r="E1765" s="100" t="s">
        <v>5327</v>
      </c>
      <c r="F1765" s="98" t="s">
        <v>139</v>
      </c>
      <c r="G1765" s="98" t="s">
        <v>594</v>
      </c>
      <c r="H1765" s="100" t="s">
        <v>4</v>
      </c>
      <c r="I1765" s="98" t="s">
        <v>5328</v>
      </c>
      <c r="J1765" s="97">
        <v>9000156516</v>
      </c>
      <c r="K1765" s="99"/>
      <c r="L1765" s="67"/>
      <c r="M1765" s="67"/>
      <c r="N1765" s="67"/>
      <c r="O1765" s="67"/>
    </row>
    <row r="1766" spans="1:15" ht="90">
      <c r="A1766" s="91" t="s">
        <v>15</v>
      </c>
      <c r="B1766" s="100" t="s">
        <v>15</v>
      </c>
      <c r="C1766" s="97" t="str">
        <f ca="1">IFERROR(__xludf.DUMMYFUNCTION("filter('Back End'!C:C,'Back End'!A:A=A1766,'Back End'!B:B=B1766,'Back End'!D:D=D1766)"),"Pulimeru")</f>
        <v>Pulimeru</v>
      </c>
      <c r="D1766" s="100" t="s">
        <v>371</v>
      </c>
      <c r="E1766" s="97" t="s">
        <v>5329</v>
      </c>
      <c r="F1766" s="100" t="s">
        <v>139</v>
      </c>
      <c r="G1766" s="100" t="s">
        <v>594</v>
      </c>
      <c r="H1766" s="93" t="s">
        <v>4</v>
      </c>
      <c r="I1766" s="97" t="s">
        <v>5330</v>
      </c>
      <c r="J1766" s="97">
        <v>9866122809</v>
      </c>
      <c r="K1766" s="99"/>
      <c r="L1766" s="67"/>
      <c r="M1766" s="67"/>
      <c r="N1766" s="67"/>
      <c r="O1766" s="67"/>
    </row>
    <row r="1767" spans="1:15" ht="30">
      <c r="A1767" s="91" t="s">
        <v>15</v>
      </c>
      <c r="B1767" s="100" t="s">
        <v>15</v>
      </c>
      <c r="C1767" s="97" t="str">
        <f ca="1">IFERROR(__xludf.DUMMYFUNCTION("filter('Back End'!C:C,'Back End'!A:A=A1767,'Back End'!B:B=B1767,'Back End'!D:D=D1767)"),"Pulimeru")</f>
        <v>Pulimeru</v>
      </c>
      <c r="D1767" s="100" t="s">
        <v>371</v>
      </c>
      <c r="E1767" s="100" t="s">
        <v>5331</v>
      </c>
      <c r="F1767" s="100" t="s">
        <v>114</v>
      </c>
      <c r="G1767" s="100" t="s">
        <v>85</v>
      </c>
      <c r="H1767" s="93" t="s">
        <v>4</v>
      </c>
      <c r="I1767" s="97" t="s">
        <v>5332</v>
      </c>
      <c r="J1767" s="97" t="s">
        <v>2631</v>
      </c>
      <c r="K1767" s="99"/>
      <c r="L1767" s="67"/>
      <c r="M1767" s="67"/>
      <c r="N1767" s="67"/>
      <c r="O1767" s="67"/>
    </row>
    <row r="1768" spans="1:15" ht="15">
      <c r="A1768" s="91" t="s">
        <v>15</v>
      </c>
      <c r="B1768" s="100" t="s">
        <v>15</v>
      </c>
      <c r="C1768" s="97" t="str">
        <f ca="1">IFERROR(__xludf.DUMMYFUNCTION("filter('Back End'!C:C,'Back End'!A:A=A1768,'Back End'!B:B=B1768,'Back End'!D:D=D1768)"),"Pulimeru")</f>
        <v>Pulimeru</v>
      </c>
      <c r="D1768" s="100" t="s">
        <v>371</v>
      </c>
      <c r="E1768" s="91" t="s">
        <v>5333</v>
      </c>
      <c r="F1768" s="67" t="s">
        <v>3138</v>
      </c>
      <c r="G1768" s="67"/>
      <c r="H1768" s="93" t="s">
        <v>5</v>
      </c>
      <c r="I1768" s="67"/>
      <c r="J1768" s="92">
        <v>9573619192</v>
      </c>
      <c r="K1768" s="67"/>
      <c r="L1768" s="67"/>
      <c r="M1768" s="67"/>
      <c r="N1768" s="67"/>
      <c r="O1768" s="67"/>
    </row>
    <row r="1769" spans="1:15" ht="15">
      <c r="A1769" s="91" t="s">
        <v>15</v>
      </c>
      <c r="B1769" s="91" t="s">
        <v>15</v>
      </c>
      <c r="C1769" s="92" t="str">
        <f ca="1">IFERROR(__xludf.DUMMYFUNCTION("filter('Back End'!C:C,'Back End'!A:A=A1769,'Back End'!B:B=B1769,'Back End'!D:D=D1769)"),"Pulimeru")</f>
        <v>Pulimeru</v>
      </c>
      <c r="D1769" s="91" t="s">
        <v>371</v>
      </c>
      <c r="E1769" s="91" t="s">
        <v>5334</v>
      </c>
      <c r="F1769" s="91" t="s">
        <v>139</v>
      </c>
      <c r="G1769" s="91" t="s">
        <v>594</v>
      </c>
      <c r="H1769" s="93" t="s">
        <v>5</v>
      </c>
      <c r="I1769" s="92" t="s">
        <v>3112</v>
      </c>
      <c r="J1769" s="92">
        <v>9704348909</v>
      </c>
      <c r="K1769" s="67"/>
      <c r="L1769" s="67"/>
      <c r="M1769" s="67"/>
      <c r="N1769" s="67"/>
      <c r="O1769" s="67"/>
    </row>
    <row r="1770" spans="1:15" ht="15">
      <c r="A1770" s="91" t="s">
        <v>15</v>
      </c>
      <c r="B1770" s="91" t="s">
        <v>15</v>
      </c>
      <c r="C1770" s="92" t="str">
        <f ca="1">IFERROR(__xludf.DUMMYFUNCTION("filter('Back End'!C:C,'Back End'!A:A=A1770,'Back End'!B:B=B1770,'Back End'!D:D=D1770)"),"R.B. Kothuru")</f>
        <v>R.B. Kothuru</v>
      </c>
      <c r="D1770" s="91" t="s">
        <v>373</v>
      </c>
      <c r="E1770" s="91" t="s">
        <v>5335</v>
      </c>
      <c r="F1770" s="67" t="s">
        <v>3138</v>
      </c>
      <c r="G1770" s="67"/>
      <c r="H1770" s="93" t="s">
        <v>4</v>
      </c>
      <c r="I1770" s="67"/>
      <c r="J1770" s="92">
        <v>9703031334</v>
      </c>
      <c r="K1770" s="67"/>
      <c r="L1770" s="67"/>
      <c r="M1770" s="67"/>
      <c r="N1770" s="67"/>
      <c r="O1770" s="67"/>
    </row>
    <row r="1771" spans="1:15" ht="15">
      <c r="A1771" s="91" t="s">
        <v>15</v>
      </c>
      <c r="B1771" s="91" t="s">
        <v>15</v>
      </c>
      <c r="C1771" s="92" t="str">
        <f ca="1">IFERROR(__xludf.DUMMYFUNCTION("filter('Back End'!C:C,'Back End'!A:A=A1771,'Back End'!B:B=B1771,'Back End'!D:D=D1771)"),"R.B. Kothuru")</f>
        <v>R.B. Kothuru</v>
      </c>
      <c r="D1771" s="91" t="s">
        <v>373</v>
      </c>
      <c r="E1771" s="91" t="s">
        <v>5336</v>
      </c>
      <c r="F1771" s="67" t="s">
        <v>3138</v>
      </c>
      <c r="G1771" s="67"/>
      <c r="H1771" s="93" t="s">
        <v>4</v>
      </c>
      <c r="I1771" s="67"/>
      <c r="J1771" s="92">
        <v>9989961169</v>
      </c>
      <c r="K1771" s="67"/>
      <c r="L1771" s="67"/>
      <c r="M1771" s="67"/>
      <c r="N1771" s="67"/>
      <c r="O1771" s="67"/>
    </row>
    <row r="1772" spans="1:15" ht="15">
      <c r="A1772" s="91" t="s">
        <v>15</v>
      </c>
      <c r="B1772" s="91" t="s">
        <v>15</v>
      </c>
      <c r="C1772" s="92" t="str">
        <f ca="1">IFERROR(__xludf.DUMMYFUNCTION("filter('Back End'!C:C,'Back End'!A:A=A1772,'Back End'!B:B=B1772,'Back End'!D:D=D1772)"),"R.B. Kothuru")</f>
        <v>R.B. Kothuru</v>
      </c>
      <c r="D1772" s="91" t="s">
        <v>373</v>
      </c>
      <c r="E1772" s="91" t="s">
        <v>5337</v>
      </c>
      <c r="F1772" s="67" t="s">
        <v>3138</v>
      </c>
      <c r="G1772" s="67"/>
      <c r="H1772" s="93" t="s">
        <v>4</v>
      </c>
      <c r="I1772" s="67"/>
      <c r="J1772" s="92">
        <v>9866394132</v>
      </c>
      <c r="K1772" s="67"/>
      <c r="L1772" s="67"/>
      <c r="M1772" s="67"/>
      <c r="N1772" s="67"/>
      <c r="O1772" s="67"/>
    </row>
    <row r="1773" spans="1:15" ht="15">
      <c r="A1773" s="91" t="s">
        <v>15</v>
      </c>
      <c r="B1773" s="91" t="s">
        <v>15</v>
      </c>
      <c r="C1773" s="92" t="str">
        <f ca="1">IFERROR(__xludf.DUMMYFUNCTION("filter('Back End'!C:C,'Back End'!A:A=A1773,'Back End'!B:B=B1773,'Back End'!D:D=D1773)"),"R.B. Kothuru")</f>
        <v>R.B. Kothuru</v>
      </c>
      <c r="D1773" s="91" t="s">
        <v>373</v>
      </c>
      <c r="E1773" s="91" t="s">
        <v>5338</v>
      </c>
      <c r="F1773" s="67" t="s">
        <v>3138</v>
      </c>
      <c r="G1773" s="67"/>
      <c r="H1773" s="93" t="s">
        <v>4</v>
      </c>
      <c r="I1773" s="92" t="s">
        <v>3125</v>
      </c>
      <c r="J1773" s="92">
        <v>9863288789</v>
      </c>
      <c r="K1773" s="67"/>
      <c r="L1773" s="67"/>
      <c r="M1773" s="67"/>
      <c r="N1773" s="67"/>
      <c r="O1773" s="67"/>
    </row>
    <row r="1774" spans="1:15" ht="15">
      <c r="A1774" s="91" t="s">
        <v>15</v>
      </c>
      <c r="B1774" s="91" t="s">
        <v>15</v>
      </c>
      <c r="C1774" s="92" t="str">
        <f ca="1">IFERROR(__xludf.DUMMYFUNCTION("filter('Back End'!C:C,'Back End'!A:A=A1774,'Back End'!B:B=B1774,'Back End'!D:D=D1774)"),"Sirivada")</f>
        <v>Sirivada</v>
      </c>
      <c r="D1774" s="91" t="s">
        <v>376</v>
      </c>
      <c r="E1774" s="91" t="s">
        <v>5339</v>
      </c>
      <c r="F1774" s="67" t="s">
        <v>3138</v>
      </c>
      <c r="G1774" s="67"/>
      <c r="H1774" s="93" t="s">
        <v>4</v>
      </c>
      <c r="I1774" s="67"/>
      <c r="J1774" s="92">
        <v>9848768882</v>
      </c>
      <c r="K1774" s="67"/>
      <c r="L1774" s="67"/>
      <c r="M1774" s="67"/>
      <c r="N1774" s="67"/>
      <c r="O1774" s="67"/>
    </row>
    <row r="1775" spans="1:15" ht="15">
      <c r="A1775" s="91" t="s">
        <v>15</v>
      </c>
      <c r="B1775" s="91" t="s">
        <v>15</v>
      </c>
      <c r="C1775" s="92" t="str">
        <f ca="1">IFERROR(__xludf.DUMMYFUNCTION("filter('Back End'!C:C,'Back End'!A:A=A1775,'Back End'!B:B=B1775,'Back End'!D:D=D1775)"),"Sirivada")</f>
        <v>Sirivada</v>
      </c>
      <c r="D1775" s="91" t="s">
        <v>376</v>
      </c>
      <c r="E1775" s="91" t="s">
        <v>5340</v>
      </c>
      <c r="F1775" s="67" t="s">
        <v>3138</v>
      </c>
      <c r="G1775" s="67"/>
      <c r="H1775" s="93" t="s">
        <v>4</v>
      </c>
      <c r="I1775" s="92" t="s">
        <v>3125</v>
      </c>
      <c r="J1775" s="92">
        <v>9951754299</v>
      </c>
      <c r="K1775" s="67"/>
      <c r="L1775" s="67"/>
      <c r="M1775" s="67"/>
      <c r="N1775" s="67"/>
      <c r="O1775" s="67"/>
    </row>
    <row r="1776" spans="1:15" ht="30">
      <c r="A1776" s="91" t="s">
        <v>15</v>
      </c>
      <c r="B1776" s="91" t="s">
        <v>15</v>
      </c>
      <c r="C1776" s="92" t="str">
        <f ca="1">IFERROR(__xludf.DUMMYFUNCTION("filter('Back End'!C:C,'Back End'!A:A=A1776,'Back End'!B:B=B1776,'Back End'!D:D=D1776)"),"Tirupati")</f>
        <v>Tirupati</v>
      </c>
      <c r="D1776" s="91" t="s">
        <v>379</v>
      </c>
      <c r="E1776" s="91" t="s">
        <v>5341</v>
      </c>
      <c r="F1776" s="91" t="s">
        <v>114</v>
      </c>
      <c r="G1776" s="91" t="s">
        <v>85</v>
      </c>
      <c r="H1776" s="93" t="s">
        <v>5</v>
      </c>
      <c r="I1776" s="92" t="s">
        <v>5342</v>
      </c>
      <c r="J1776" s="67"/>
      <c r="K1776" s="67"/>
      <c r="L1776" s="67"/>
      <c r="M1776" s="67"/>
      <c r="N1776" s="67"/>
      <c r="O1776" s="67"/>
    </row>
    <row r="1777" spans="1:15" ht="45">
      <c r="A1777" s="91" t="s">
        <v>15</v>
      </c>
      <c r="B1777" s="91" t="s">
        <v>15</v>
      </c>
      <c r="C1777" s="92" t="str">
        <f ca="1">IFERROR(__xludf.DUMMYFUNCTION("filter('Back End'!C:C,'Back End'!A:A=A1777,'Back End'!B:B=B1777,'Back End'!D:D=D1777)"),"Tirupati")</f>
        <v>Tirupati</v>
      </c>
      <c r="D1777" s="91" t="s">
        <v>379</v>
      </c>
      <c r="E1777" s="91" t="s">
        <v>5343</v>
      </c>
      <c r="F1777" s="91" t="s">
        <v>139</v>
      </c>
      <c r="G1777" s="91" t="s">
        <v>594</v>
      </c>
      <c r="H1777" s="93" t="s">
        <v>5</v>
      </c>
      <c r="I1777" s="92" t="s">
        <v>5344</v>
      </c>
      <c r="J1777" s="67"/>
      <c r="K1777" s="67"/>
      <c r="L1777" s="67"/>
      <c r="M1777" s="67"/>
      <c r="N1777" s="67"/>
      <c r="O1777" s="67"/>
    </row>
    <row r="1778" spans="1:15" ht="15">
      <c r="A1778" s="91" t="s">
        <v>15</v>
      </c>
      <c r="B1778" s="91" t="s">
        <v>15</v>
      </c>
      <c r="C1778" s="92" t="str">
        <f ca="1">IFERROR(__xludf.DUMMYFUNCTION("filter('Back End'!C:C,'Back End'!A:A=A1778,'Back End'!B:B=B1778,'Back End'!D:D=D1778)"),"Tirupati")</f>
        <v>Tirupati</v>
      </c>
      <c r="D1778" s="91" t="s">
        <v>379</v>
      </c>
      <c r="E1778" s="91" t="s">
        <v>5345</v>
      </c>
      <c r="F1778" s="91" t="s">
        <v>139</v>
      </c>
      <c r="G1778" s="91" t="s">
        <v>594</v>
      </c>
      <c r="H1778" s="93" t="s">
        <v>5</v>
      </c>
      <c r="I1778" s="92" t="s">
        <v>3185</v>
      </c>
      <c r="J1778" s="92" t="s">
        <v>2631</v>
      </c>
      <c r="K1778" s="67"/>
      <c r="L1778" s="67"/>
      <c r="M1778" s="67"/>
      <c r="N1778" s="67"/>
      <c r="O1778" s="67"/>
    </row>
    <row r="1779" spans="1:15" ht="15">
      <c r="A1779" s="91" t="s">
        <v>15</v>
      </c>
      <c r="B1779" s="91" t="s">
        <v>15</v>
      </c>
      <c r="C1779" s="92" t="str">
        <f ca="1">IFERROR(__xludf.DUMMYFUNCTION("filter('Back End'!C:C,'Back End'!A:A=A1779,'Back End'!B:B=B1779,'Back End'!D:D=D1779)"),"Tirupati")</f>
        <v>Tirupati</v>
      </c>
      <c r="D1779" s="91" t="s">
        <v>379</v>
      </c>
      <c r="E1779" s="91" t="s">
        <v>5346</v>
      </c>
      <c r="F1779" s="67" t="s">
        <v>3138</v>
      </c>
      <c r="G1779" s="67"/>
      <c r="H1779" s="93" t="s">
        <v>5</v>
      </c>
      <c r="I1779" s="67"/>
      <c r="J1779" s="92">
        <v>9951702024</v>
      </c>
      <c r="K1779" s="67"/>
      <c r="L1779" s="67"/>
      <c r="M1779" s="67"/>
      <c r="N1779" s="67"/>
      <c r="O1779" s="67"/>
    </row>
    <row r="1780" spans="1:15" ht="15">
      <c r="A1780" s="91" t="s">
        <v>15</v>
      </c>
      <c r="B1780" s="91" t="s">
        <v>15</v>
      </c>
      <c r="C1780" s="92" t="str">
        <f ca="1">IFERROR(__xludf.DUMMYFUNCTION("filter('Back End'!C:C,'Back End'!A:A=A1780,'Back End'!B:B=B1780,'Back End'!D:D=D1780)"),"Tirupati")</f>
        <v>Tirupati</v>
      </c>
      <c r="D1780" s="91" t="s">
        <v>379</v>
      </c>
      <c r="E1780" s="91" t="s">
        <v>5347</v>
      </c>
      <c r="F1780" s="67" t="s">
        <v>3138</v>
      </c>
      <c r="G1780" s="67"/>
      <c r="H1780" s="93" t="s">
        <v>5</v>
      </c>
      <c r="I1780" s="67"/>
      <c r="J1780" s="92">
        <v>8099718084</v>
      </c>
      <c r="K1780" s="67"/>
      <c r="L1780" s="67"/>
      <c r="M1780" s="67"/>
      <c r="N1780" s="67"/>
      <c r="O1780" s="67"/>
    </row>
    <row r="1781" spans="1:15" ht="16.5">
      <c r="A1781" s="91" t="s">
        <v>15</v>
      </c>
      <c r="B1781" s="91" t="s">
        <v>15</v>
      </c>
      <c r="C1781" s="92" t="str">
        <f ca="1">IFERROR(__xludf.DUMMYFUNCTION("filter('Back End'!C:C,'Back End'!A:A=A1781,'Back End'!B:B=B1781,'Back End'!D:D=D1781)"),"Tirupati")</f>
        <v>Tirupati</v>
      </c>
      <c r="D1781" s="91" t="s">
        <v>379</v>
      </c>
      <c r="E1781" s="100" t="s">
        <v>5348</v>
      </c>
      <c r="F1781" s="98" t="s">
        <v>139</v>
      </c>
      <c r="G1781" s="98" t="s">
        <v>594</v>
      </c>
      <c r="H1781" s="93" t="s">
        <v>5</v>
      </c>
      <c r="I1781" s="98" t="s">
        <v>5349</v>
      </c>
      <c r="J1781" s="99"/>
      <c r="K1781" s="99"/>
      <c r="L1781" s="99"/>
      <c r="M1781" s="67"/>
      <c r="N1781" s="67"/>
      <c r="O1781" s="67"/>
    </row>
    <row r="1782" spans="1:15" ht="15">
      <c r="A1782" s="91" t="s">
        <v>15</v>
      </c>
      <c r="B1782" s="100" t="s">
        <v>15</v>
      </c>
      <c r="C1782" s="97" t="str">
        <f ca="1">IFERROR(__xludf.DUMMYFUNCTION("filter('Back End'!C:C,'Back End'!A:A=A1782,'Back End'!B:B=B1782,'Back End'!D:D=D1782)"),"Tirupati")</f>
        <v>Tirupati</v>
      </c>
      <c r="D1782" s="100" t="s">
        <v>379</v>
      </c>
      <c r="E1782" s="100" t="s">
        <v>5350</v>
      </c>
      <c r="F1782" s="99" t="s">
        <v>3138</v>
      </c>
      <c r="G1782" s="99"/>
      <c r="H1782" s="100" t="s">
        <v>4</v>
      </c>
      <c r="I1782" s="99"/>
      <c r="J1782" s="97">
        <v>9553533691</v>
      </c>
      <c r="K1782" s="99"/>
      <c r="L1782" s="99"/>
      <c r="M1782" s="67"/>
      <c r="N1782" s="67"/>
      <c r="O1782" s="67"/>
    </row>
    <row r="1783" spans="1:15" ht="15">
      <c r="A1783" s="91" t="s">
        <v>15</v>
      </c>
      <c r="B1783" s="91" t="s">
        <v>15</v>
      </c>
      <c r="C1783" s="92" t="str">
        <f ca="1">IFERROR(__xludf.DUMMYFUNCTION("filter('Back End'!C:C,'Back End'!A:A=A1783,'Back End'!B:B=B1783,'Back End'!D:D=D1783)"),"Tirupati")</f>
        <v>Tirupati</v>
      </c>
      <c r="D1783" s="91" t="s">
        <v>379</v>
      </c>
      <c r="E1783" s="91" t="s">
        <v>5351</v>
      </c>
      <c r="F1783" s="91" t="s">
        <v>139</v>
      </c>
      <c r="G1783" s="91" t="s">
        <v>594</v>
      </c>
      <c r="H1783" s="93" t="s">
        <v>4</v>
      </c>
      <c r="I1783" s="92" t="s">
        <v>3115</v>
      </c>
      <c r="J1783" s="92">
        <v>9494551119</v>
      </c>
      <c r="K1783" s="67"/>
      <c r="L1783" s="67"/>
      <c r="M1783" s="67"/>
      <c r="N1783" s="67"/>
      <c r="O1783" s="67"/>
    </row>
    <row r="1784" spans="1:15" ht="30">
      <c r="A1784" s="91" t="s">
        <v>15</v>
      </c>
      <c r="B1784" s="91" t="s">
        <v>15</v>
      </c>
      <c r="C1784" s="92" t="str">
        <f ca="1">IFERROR(__xludf.DUMMYFUNCTION("filter('Back End'!C:C,'Back End'!A:A=A1784,'Back End'!B:B=B1784,'Back End'!D:D=D1784)"),"Tirupati")</f>
        <v>Tirupati</v>
      </c>
      <c r="D1784" s="91" t="s">
        <v>379</v>
      </c>
      <c r="E1784" s="91" t="s">
        <v>5352</v>
      </c>
      <c r="F1784" s="91" t="s">
        <v>139</v>
      </c>
      <c r="G1784" s="91" t="s">
        <v>594</v>
      </c>
      <c r="H1784" s="93" t="s">
        <v>4</v>
      </c>
      <c r="I1784" s="92" t="s">
        <v>3591</v>
      </c>
      <c r="J1784" s="92">
        <v>9848096849</v>
      </c>
      <c r="K1784" s="67"/>
      <c r="L1784" s="67"/>
      <c r="M1784" s="67"/>
      <c r="N1784" s="67"/>
      <c r="O1784" s="67"/>
    </row>
    <row r="1785" spans="1:15" ht="15">
      <c r="A1785" s="91" t="s">
        <v>15</v>
      </c>
      <c r="B1785" s="91" t="s">
        <v>15</v>
      </c>
      <c r="C1785" s="92" t="str">
        <f ca="1">IFERROR(__xludf.DUMMYFUNCTION("filter('Back End'!C:C,'Back End'!A:A=A1785,'Back End'!B:B=B1785,'Back End'!D:D=D1785)"),"Tirupati")</f>
        <v>Tirupati</v>
      </c>
      <c r="D1785" s="91" t="s">
        <v>379</v>
      </c>
      <c r="E1785" s="91" t="s">
        <v>5353</v>
      </c>
      <c r="F1785" s="91" t="s">
        <v>139</v>
      </c>
      <c r="G1785" s="91" t="s">
        <v>594</v>
      </c>
      <c r="H1785" s="93" t="s">
        <v>4</v>
      </c>
      <c r="I1785" s="92" t="s">
        <v>3112</v>
      </c>
      <c r="J1785" s="92">
        <v>7013557555</v>
      </c>
      <c r="K1785" s="67"/>
      <c r="L1785" s="67"/>
      <c r="M1785" s="67"/>
      <c r="N1785" s="67"/>
      <c r="O1785" s="67"/>
    </row>
    <row r="1786" spans="1:15" ht="30">
      <c r="A1786" s="91" t="s">
        <v>15</v>
      </c>
      <c r="B1786" s="91" t="s">
        <v>15</v>
      </c>
      <c r="C1786" s="92" t="str">
        <f ca="1">IFERROR(__xludf.DUMMYFUNCTION("filter('Back End'!C:C,'Back End'!A:A=A1786,'Back End'!B:B=B1786,'Back End'!D:D=D1786)"),"Tirupati")</f>
        <v>Tirupati</v>
      </c>
      <c r="D1786" s="91" t="s">
        <v>379</v>
      </c>
      <c r="E1786" s="91" t="s">
        <v>5354</v>
      </c>
      <c r="F1786" s="91" t="s">
        <v>139</v>
      </c>
      <c r="G1786" s="91" t="s">
        <v>594</v>
      </c>
      <c r="H1786" s="93" t="s">
        <v>6</v>
      </c>
      <c r="I1786" s="92" t="s">
        <v>3162</v>
      </c>
      <c r="J1786" s="92">
        <v>9666031669</v>
      </c>
      <c r="K1786" s="67"/>
      <c r="L1786" s="67"/>
      <c r="M1786" s="67"/>
      <c r="N1786" s="67"/>
      <c r="O1786" s="67"/>
    </row>
    <row r="1787" spans="1:15" ht="15">
      <c r="A1787" s="91" t="s">
        <v>15</v>
      </c>
      <c r="B1787" s="91" t="s">
        <v>15</v>
      </c>
      <c r="C1787" s="92" t="str">
        <f ca="1">IFERROR(__xludf.DUMMYFUNCTION("filter('Back End'!C:C,'Back End'!A:A=A1787,'Back End'!B:B=B1787,'Back End'!D:D=D1787)"),"Turupu Pakalu")</f>
        <v>Turupu Pakalu</v>
      </c>
      <c r="D1787" s="91" t="s">
        <v>381</v>
      </c>
      <c r="E1787" s="91" t="s">
        <v>5355</v>
      </c>
      <c r="F1787" s="67" t="s">
        <v>3138</v>
      </c>
      <c r="G1787" s="67"/>
      <c r="H1787" s="93" t="s">
        <v>4</v>
      </c>
      <c r="I1787" s="92" t="s">
        <v>3125</v>
      </c>
      <c r="J1787" s="92">
        <v>9912127447</v>
      </c>
      <c r="K1787" s="67"/>
      <c r="L1787" s="67"/>
      <c r="M1787" s="67"/>
      <c r="N1787" s="67"/>
      <c r="O1787" s="67"/>
    </row>
    <row r="1788" spans="1:15" ht="15">
      <c r="A1788" s="91" t="s">
        <v>15</v>
      </c>
      <c r="B1788" s="91" t="s">
        <v>15</v>
      </c>
      <c r="C1788" s="92" t="str">
        <f ca="1">IFERROR(__xludf.DUMMYFUNCTION("filter('Back End'!C:C,'Back End'!A:A=A1788,'Back End'!B:B=B1788,'Back End'!D:D=D1788)"),"Turupu Pakalu")</f>
        <v>Turupu Pakalu</v>
      </c>
      <c r="D1788" s="91" t="s">
        <v>381</v>
      </c>
      <c r="E1788" s="91" t="s">
        <v>5356</v>
      </c>
      <c r="F1788" s="67" t="s">
        <v>3138</v>
      </c>
      <c r="G1788" s="67"/>
      <c r="H1788" s="93" t="s">
        <v>4</v>
      </c>
      <c r="I1788" s="67"/>
      <c r="J1788" s="92">
        <v>9848824781</v>
      </c>
      <c r="K1788" s="67"/>
      <c r="L1788" s="67"/>
      <c r="M1788" s="67"/>
      <c r="N1788" s="67"/>
      <c r="O1788" s="67"/>
    </row>
    <row r="1789" spans="1:15" ht="30">
      <c r="A1789" s="91" t="s">
        <v>15</v>
      </c>
      <c r="B1789" s="91" t="s">
        <v>15</v>
      </c>
      <c r="C1789" s="92" t="s">
        <v>381</v>
      </c>
      <c r="D1789" s="91" t="s">
        <v>381</v>
      </c>
      <c r="E1789" s="91" t="s">
        <v>5357</v>
      </c>
      <c r="F1789" s="91" t="s">
        <v>139</v>
      </c>
      <c r="G1789" s="91" t="s">
        <v>594</v>
      </c>
      <c r="H1789" s="93" t="s">
        <v>5</v>
      </c>
      <c r="I1789" s="92" t="s">
        <v>3765</v>
      </c>
      <c r="J1789" s="92" t="s">
        <v>2631</v>
      </c>
      <c r="K1789" s="67"/>
      <c r="L1789" s="67"/>
      <c r="M1789" s="67"/>
      <c r="N1789" s="67"/>
      <c r="O1789" s="67"/>
    </row>
    <row r="1790" spans="1:15" ht="30">
      <c r="A1790" s="91" t="s">
        <v>15</v>
      </c>
      <c r="B1790" s="91" t="s">
        <v>15</v>
      </c>
      <c r="C1790" s="92" t="s">
        <v>381</v>
      </c>
      <c r="D1790" s="91" t="s">
        <v>381</v>
      </c>
      <c r="E1790" s="91" t="s">
        <v>5358</v>
      </c>
      <c r="F1790" s="91" t="s">
        <v>139</v>
      </c>
      <c r="G1790" s="91" t="s">
        <v>594</v>
      </c>
      <c r="H1790" s="93" t="s">
        <v>5</v>
      </c>
      <c r="I1790" s="92" t="s">
        <v>3765</v>
      </c>
      <c r="J1790" s="92">
        <v>9912485752</v>
      </c>
      <c r="K1790" s="67"/>
      <c r="L1790" s="67"/>
      <c r="M1790" s="67"/>
      <c r="N1790" s="67"/>
      <c r="O1790" s="67"/>
    </row>
    <row r="1791" spans="1:15" ht="15">
      <c r="A1791" s="91" t="s">
        <v>15</v>
      </c>
      <c r="B1791" s="91" t="s">
        <v>15</v>
      </c>
      <c r="C1791" s="92" t="s">
        <v>381</v>
      </c>
      <c r="D1791" s="91" t="s">
        <v>381</v>
      </c>
      <c r="E1791" s="91" t="s">
        <v>5359</v>
      </c>
      <c r="F1791" s="91" t="s">
        <v>139</v>
      </c>
      <c r="G1791" s="91" t="s">
        <v>594</v>
      </c>
      <c r="H1791" s="93" t="s">
        <v>5</v>
      </c>
      <c r="I1791" s="92" t="s">
        <v>3115</v>
      </c>
      <c r="J1791" s="92">
        <v>9010071677</v>
      </c>
      <c r="K1791" s="67"/>
      <c r="L1791" s="67"/>
      <c r="M1791" s="67"/>
      <c r="N1791" s="67"/>
      <c r="O1791" s="67"/>
    </row>
    <row r="1792" spans="1:15" ht="30">
      <c r="A1792" s="91" t="s">
        <v>15</v>
      </c>
      <c r="B1792" s="91" t="s">
        <v>15</v>
      </c>
      <c r="C1792" s="92" t="s">
        <v>381</v>
      </c>
      <c r="D1792" s="91" t="s">
        <v>381</v>
      </c>
      <c r="E1792" s="91" t="s">
        <v>5360</v>
      </c>
      <c r="F1792" s="91" t="s">
        <v>139</v>
      </c>
      <c r="G1792" s="91" t="s">
        <v>594</v>
      </c>
      <c r="H1792" s="93" t="s">
        <v>4</v>
      </c>
      <c r="I1792" s="92" t="s">
        <v>3765</v>
      </c>
      <c r="J1792" s="92" t="s">
        <v>2631</v>
      </c>
      <c r="K1792" s="67"/>
      <c r="L1792" s="67"/>
      <c r="M1792" s="67"/>
      <c r="N1792" s="67"/>
      <c r="O1792" s="67"/>
    </row>
    <row r="1793" spans="1:15" ht="15">
      <c r="A1793" s="91" t="s">
        <v>15</v>
      </c>
      <c r="B1793" s="91" t="s">
        <v>15</v>
      </c>
      <c r="C1793" s="92" t="str">
        <f ca="1">IFERROR(__xludf.DUMMYFUNCTION("filter('Back End'!C:C,'Back End'!A:A=A1793,'Back End'!B:B=B1793,'Back End'!D:D=D1793)"),"Ulimeswaram")</f>
        <v>Ulimeswaram</v>
      </c>
      <c r="D1793" s="91" t="s">
        <v>383</v>
      </c>
      <c r="E1793" s="91" t="s">
        <v>5361</v>
      </c>
      <c r="F1793" s="67" t="s">
        <v>3138</v>
      </c>
      <c r="G1793" s="67"/>
      <c r="H1793" s="93" t="s">
        <v>4</v>
      </c>
      <c r="I1793" s="92" t="s">
        <v>3125</v>
      </c>
      <c r="J1793" s="92">
        <v>7569502078</v>
      </c>
      <c r="K1793" s="67"/>
      <c r="L1793" s="67"/>
      <c r="M1793" s="67"/>
      <c r="N1793" s="67"/>
      <c r="O1793" s="67"/>
    </row>
    <row r="1794" spans="1:15" ht="15">
      <c r="A1794" s="91" t="s">
        <v>15</v>
      </c>
      <c r="B1794" s="91" t="s">
        <v>15</v>
      </c>
      <c r="C1794" s="92" t="str">
        <f ca="1">IFERROR(__xludf.DUMMYFUNCTION("filter('Back End'!C:C,'Back End'!A:A=A1794,'Back End'!B:B=B1794,'Back End'!D:D=D1794)"),"Ulimeswaram")</f>
        <v>Ulimeswaram</v>
      </c>
      <c r="D1794" s="91" t="s">
        <v>383</v>
      </c>
      <c r="E1794" s="91" t="s">
        <v>5362</v>
      </c>
      <c r="F1794" s="67" t="s">
        <v>3138</v>
      </c>
      <c r="G1794" s="67"/>
      <c r="H1794" s="93" t="s">
        <v>4</v>
      </c>
      <c r="I1794" s="67"/>
      <c r="J1794" s="92">
        <v>9010057885</v>
      </c>
      <c r="K1794" s="67"/>
      <c r="L1794" s="67"/>
      <c r="M1794" s="67"/>
      <c r="N1794" s="67"/>
      <c r="O1794" s="67"/>
    </row>
    <row r="1795" spans="1:15" ht="15">
      <c r="A1795" s="91" t="s">
        <v>15</v>
      </c>
      <c r="B1795" s="91" t="s">
        <v>15</v>
      </c>
      <c r="C1795" s="92" t="str">
        <f ca="1">IFERROR(__xludf.DUMMYFUNCTION("filter('Back End'!C:C,'Back End'!A:A=A1795,'Back End'!B:B=B1795,'Back End'!D:D=D1795)"),"Vadlamuru")</f>
        <v>Vadlamuru</v>
      </c>
      <c r="D1795" s="91" t="s">
        <v>385</v>
      </c>
      <c r="E1795" s="91" t="s">
        <v>5363</v>
      </c>
      <c r="F1795" s="91" t="s">
        <v>103</v>
      </c>
      <c r="G1795" s="91" t="s">
        <v>594</v>
      </c>
      <c r="H1795" s="93" t="s">
        <v>4</v>
      </c>
      <c r="I1795" s="92" t="s">
        <v>3125</v>
      </c>
      <c r="J1795" s="92">
        <v>9949633347</v>
      </c>
      <c r="K1795" s="67"/>
      <c r="L1795" s="67"/>
      <c r="M1795" s="67"/>
      <c r="N1795" s="67"/>
      <c r="O1795" s="67"/>
    </row>
    <row r="1796" spans="1:15" ht="15">
      <c r="A1796" s="91" t="s">
        <v>15</v>
      </c>
      <c r="B1796" s="91" t="s">
        <v>15</v>
      </c>
      <c r="C1796" s="92" t="str">
        <f ca="1">IFERROR(__xludf.DUMMYFUNCTION("filter('Back End'!C:C,'Back End'!A:A=A1796,'Back End'!B:B=B1796,'Back End'!D:D=D1796)"),"Vadlamuru")</f>
        <v>Vadlamuru</v>
      </c>
      <c r="D1796" s="91" t="s">
        <v>385</v>
      </c>
      <c r="E1796" s="91" t="s">
        <v>5364</v>
      </c>
      <c r="F1796" s="67" t="s">
        <v>3138</v>
      </c>
      <c r="G1796" s="67"/>
      <c r="H1796" s="93" t="s">
        <v>4</v>
      </c>
      <c r="I1796" s="67"/>
      <c r="J1796" s="92">
        <v>9908777408</v>
      </c>
      <c r="K1796" s="67"/>
      <c r="L1796" s="67"/>
      <c r="M1796" s="67"/>
      <c r="N1796" s="67"/>
      <c r="O1796" s="67"/>
    </row>
    <row r="1797" spans="1:15" ht="15">
      <c r="A1797" s="91" t="s">
        <v>15</v>
      </c>
      <c r="B1797" s="91" t="s">
        <v>15</v>
      </c>
      <c r="C1797" s="92" t="str">
        <f ca="1">IFERROR(__xludf.DUMMYFUNCTION("filter('Back End'!C:C,'Back End'!A:A=A1797,'Back End'!B:B=B1797,'Back End'!D:D=D1797)"),"Vadlamuru")</f>
        <v>Vadlamuru</v>
      </c>
      <c r="D1797" s="91" t="s">
        <v>385</v>
      </c>
      <c r="E1797" s="91" t="s">
        <v>5365</v>
      </c>
      <c r="F1797" s="67" t="s">
        <v>3138</v>
      </c>
      <c r="G1797" s="67"/>
      <c r="H1797" s="93" t="s">
        <v>4</v>
      </c>
      <c r="I1797" s="67"/>
      <c r="J1797" s="92">
        <v>9550563256</v>
      </c>
      <c r="K1797" s="67"/>
      <c r="L1797" s="67"/>
      <c r="M1797" s="67"/>
      <c r="N1797" s="67"/>
      <c r="O1797" s="67"/>
    </row>
    <row r="1798" spans="1:15" ht="15">
      <c r="A1798" s="91" t="s">
        <v>15</v>
      </c>
      <c r="B1798" s="91" t="s">
        <v>15</v>
      </c>
      <c r="C1798" s="92" t="s">
        <v>385</v>
      </c>
      <c r="D1798" s="91" t="s">
        <v>385</v>
      </c>
      <c r="E1798" s="91" t="s">
        <v>5366</v>
      </c>
      <c r="F1798" s="91" t="s">
        <v>103</v>
      </c>
      <c r="G1798" s="91" t="s">
        <v>594</v>
      </c>
      <c r="H1798" s="93" t="s">
        <v>4</v>
      </c>
      <c r="I1798" s="92" t="s">
        <v>3112</v>
      </c>
      <c r="J1798" s="92">
        <v>8096788888</v>
      </c>
      <c r="K1798" s="67"/>
      <c r="L1798" s="67"/>
      <c r="M1798" s="67"/>
      <c r="N1798" s="67"/>
      <c r="O1798" s="67"/>
    </row>
    <row r="1799" spans="1:15" ht="15">
      <c r="A1799" s="91" t="s">
        <v>15</v>
      </c>
      <c r="B1799" s="91" t="s">
        <v>15</v>
      </c>
      <c r="C1799" s="92" t="s">
        <v>385</v>
      </c>
      <c r="D1799" s="91" t="s">
        <v>385</v>
      </c>
      <c r="E1799" s="91" t="s">
        <v>5367</v>
      </c>
      <c r="F1799" s="91" t="s">
        <v>103</v>
      </c>
      <c r="G1799" s="91" t="s">
        <v>594</v>
      </c>
      <c r="H1799" s="93" t="s">
        <v>4</v>
      </c>
      <c r="I1799" s="92" t="s">
        <v>3112</v>
      </c>
      <c r="J1799" s="92">
        <v>9849208555</v>
      </c>
      <c r="K1799" s="67"/>
      <c r="L1799" s="67"/>
      <c r="M1799" s="67"/>
      <c r="N1799" s="67"/>
      <c r="O1799" s="67"/>
    </row>
    <row r="1800" spans="1:15" ht="15">
      <c r="A1800" s="91" t="s">
        <v>15</v>
      </c>
      <c r="B1800" s="91" t="s">
        <v>15</v>
      </c>
      <c r="C1800" s="92" t="s">
        <v>385</v>
      </c>
      <c r="D1800" s="91" t="s">
        <v>385</v>
      </c>
      <c r="E1800" s="91" t="s">
        <v>5368</v>
      </c>
      <c r="F1800" s="91" t="s">
        <v>114</v>
      </c>
      <c r="G1800" s="91" t="s">
        <v>85</v>
      </c>
      <c r="H1800" s="93" t="s">
        <v>6</v>
      </c>
      <c r="I1800" s="92" t="s">
        <v>3112</v>
      </c>
      <c r="J1800" s="92">
        <v>9948165227</v>
      </c>
      <c r="K1800" s="67"/>
      <c r="L1800" s="67"/>
      <c r="M1800" s="67"/>
      <c r="N1800" s="67"/>
      <c r="O1800" s="67"/>
    </row>
    <row r="1801" spans="1:15" ht="15">
      <c r="A1801" s="91" t="s">
        <v>15</v>
      </c>
      <c r="B1801" s="91" t="s">
        <v>15</v>
      </c>
      <c r="C1801" s="92" t="s">
        <v>385</v>
      </c>
      <c r="D1801" s="91" t="s">
        <v>385</v>
      </c>
      <c r="E1801" s="91" t="s">
        <v>5369</v>
      </c>
      <c r="F1801" s="91" t="s">
        <v>139</v>
      </c>
      <c r="G1801" s="91" t="s">
        <v>594</v>
      </c>
      <c r="H1801" s="93" t="s">
        <v>6</v>
      </c>
      <c r="I1801" s="92" t="s">
        <v>3112</v>
      </c>
      <c r="J1801" s="92">
        <v>8790813435</v>
      </c>
      <c r="K1801" s="67"/>
      <c r="L1801" s="67"/>
      <c r="M1801" s="67"/>
      <c r="N1801" s="67"/>
      <c r="O1801" s="67"/>
    </row>
    <row r="1802" spans="1:15" ht="15">
      <c r="A1802" s="91" t="s">
        <v>15</v>
      </c>
      <c r="B1802" s="91" t="s">
        <v>15</v>
      </c>
      <c r="C1802" s="92" t="s">
        <v>385</v>
      </c>
      <c r="D1802" s="91" t="s">
        <v>385</v>
      </c>
      <c r="E1802" s="91" t="s">
        <v>5370</v>
      </c>
      <c r="F1802" s="91" t="s">
        <v>139</v>
      </c>
      <c r="G1802" s="91" t="s">
        <v>594</v>
      </c>
      <c r="H1802" s="93" t="s">
        <v>6</v>
      </c>
      <c r="I1802" s="92" t="s">
        <v>3112</v>
      </c>
      <c r="J1802" s="92" t="s">
        <v>2631</v>
      </c>
      <c r="K1802" s="67"/>
      <c r="L1802" s="67"/>
      <c r="M1802" s="67"/>
      <c r="N1802" s="67"/>
      <c r="O1802" s="67"/>
    </row>
    <row r="1803" spans="1:15" ht="15">
      <c r="A1803" s="91" t="s">
        <v>15</v>
      </c>
      <c r="B1803" s="91" t="s">
        <v>15</v>
      </c>
      <c r="C1803" s="92" t="s">
        <v>385</v>
      </c>
      <c r="D1803" s="91" t="s">
        <v>385</v>
      </c>
      <c r="E1803" s="91" t="s">
        <v>5371</v>
      </c>
      <c r="F1803" s="91" t="s">
        <v>139</v>
      </c>
      <c r="G1803" s="91" t="s">
        <v>594</v>
      </c>
      <c r="H1803" s="93" t="s">
        <v>5</v>
      </c>
      <c r="I1803" s="92" t="s">
        <v>3112</v>
      </c>
      <c r="J1803" s="92">
        <v>9848253688</v>
      </c>
      <c r="K1803" s="67"/>
      <c r="L1803" s="67"/>
      <c r="M1803" s="67"/>
      <c r="N1803" s="67"/>
      <c r="O1803" s="67"/>
    </row>
    <row r="1804" spans="1:15" ht="15">
      <c r="A1804" s="91" t="s">
        <v>15</v>
      </c>
      <c r="B1804" s="91" t="s">
        <v>15</v>
      </c>
      <c r="C1804" s="92" t="s">
        <v>385</v>
      </c>
      <c r="D1804" s="91" t="s">
        <v>385</v>
      </c>
      <c r="E1804" s="91" t="s">
        <v>5372</v>
      </c>
      <c r="F1804" s="91" t="s">
        <v>139</v>
      </c>
      <c r="G1804" s="91" t="s">
        <v>594</v>
      </c>
      <c r="H1804" s="93" t="s">
        <v>5</v>
      </c>
      <c r="I1804" s="92" t="s">
        <v>3112</v>
      </c>
      <c r="J1804" s="92">
        <v>9505493869</v>
      </c>
      <c r="K1804" s="67"/>
      <c r="L1804" s="67"/>
      <c r="M1804" s="67"/>
      <c r="N1804" s="67"/>
      <c r="O1804" s="67"/>
    </row>
    <row r="1805" spans="1:15" ht="15">
      <c r="A1805" s="91" t="s">
        <v>15</v>
      </c>
      <c r="B1805" s="91" t="s">
        <v>15</v>
      </c>
      <c r="C1805" s="92" t="s">
        <v>385</v>
      </c>
      <c r="D1805" s="91" t="s">
        <v>385</v>
      </c>
      <c r="E1805" s="91" t="s">
        <v>5373</v>
      </c>
      <c r="F1805" s="91" t="s">
        <v>103</v>
      </c>
      <c r="G1805" s="91" t="s">
        <v>594</v>
      </c>
      <c r="H1805" s="93" t="s">
        <v>5</v>
      </c>
      <c r="I1805" s="92" t="s">
        <v>3112</v>
      </c>
      <c r="J1805" s="92">
        <v>9490762211</v>
      </c>
      <c r="K1805" s="67"/>
      <c r="L1805" s="67"/>
      <c r="M1805" s="67"/>
      <c r="N1805" s="67"/>
      <c r="O1805" s="67"/>
    </row>
    <row r="1806" spans="1:15" ht="15">
      <c r="A1806" s="91" t="s">
        <v>15</v>
      </c>
      <c r="B1806" s="91" t="s">
        <v>15</v>
      </c>
      <c r="C1806" s="92" t="str">
        <f ca="1">IFERROR(__xludf.DUMMYFUNCTION("filter('Back End'!C:C,'Back End'!A:A=A1806,'Back End'!B:B=B1806,'Back End'!D:D=D1806)"),"Vadlamuru")</f>
        <v>Vadlamuru</v>
      </c>
      <c r="D1806" s="91" t="s">
        <v>385</v>
      </c>
      <c r="E1806" s="91" t="s">
        <v>5374</v>
      </c>
      <c r="F1806" s="67" t="s">
        <v>3138</v>
      </c>
      <c r="G1806" s="67"/>
      <c r="H1806" s="93" t="s">
        <v>5</v>
      </c>
      <c r="I1806" s="67"/>
      <c r="J1806" s="92">
        <v>9985135260</v>
      </c>
      <c r="K1806" s="67"/>
      <c r="L1806" s="67"/>
      <c r="M1806" s="67"/>
      <c r="N1806" s="67"/>
      <c r="O1806" s="67"/>
    </row>
    <row r="1807" spans="1:15" ht="15">
      <c r="A1807" s="91" t="s">
        <v>15</v>
      </c>
      <c r="B1807" s="91" t="s">
        <v>15</v>
      </c>
      <c r="C1807" s="92" t="str">
        <f ca="1">IFERROR(__xludf.DUMMYFUNCTION("filter('Back End'!C:C,'Back End'!A:A=A1807,'Back End'!B:B=B1807,'Back End'!D:D=D1807)"),"Vadlamuru")</f>
        <v>Vadlamuru</v>
      </c>
      <c r="D1807" s="91" t="s">
        <v>385</v>
      </c>
      <c r="E1807" s="91" t="s">
        <v>5375</v>
      </c>
      <c r="F1807" s="67" t="s">
        <v>3138</v>
      </c>
      <c r="G1807" s="67"/>
      <c r="H1807" s="93" t="s">
        <v>5</v>
      </c>
      <c r="I1807" s="67"/>
      <c r="J1807" s="92">
        <v>9703252345</v>
      </c>
      <c r="K1807" s="67"/>
      <c r="L1807" s="67"/>
      <c r="M1807" s="67"/>
      <c r="N1807" s="67"/>
      <c r="O1807" s="67"/>
    </row>
    <row r="1808" spans="1:15" ht="30">
      <c r="A1808" s="91" t="s">
        <v>15</v>
      </c>
      <c r="B1808" s="91" t="s">
        <v>15</v>
      </c>
      <c r="C1808" s="92" t="str">
        <f ca="1">IFERROR(__xludf.DUMMYFUNCTION("filter('Back End'!C:C,'Back End'!A:A=A1808,'Back End'!B:B=B1808,'Back End'!D:D=D1808)"),"Valuthimmapuram")</f>
        <v>Valuthimmapuram</v>
      </c>
      <c r="D1808" s="91" t="s">
        <v>387</v>
      </c>
      <c r="E1808" s="91" t="s">
        <v>5376</v>
      </c>
      <c r="F1808" s="91" t="s">
        <v>114</v>
      </c>
      <c r="G1808" s="91" t="s">
        <v>85</v>
      </c>
      <c r="H1808" s="93" t="s">
        <v>4</v>
      </c>
      <c r="I1808" s="92" t="s">
        <v>3634</v>
      </c>
      <c r="J1808" s="92">
        <v>9393933668</v>
      </c>
      <c r="K1808" s="67"/>
      <c r="L1808" s="67"/>
      <c r="M1808" s="67"/>
      <c r="N1808" s="67"/>
      <c r="O1808" s="67"/>
    </row>
    <row r="1809" spans="1:15" ht="30">
      <c r="A1809" s="91" t="s">
        <v>15</v>
      </c>
      <c r="B1809" s="91" t="s">
        <v>15</v>
      </c>
      <c r="C1809" s="92" t="str">
        <f ca="1">IFERROR(__xludf.DUMMYFUNCTION("filter('Back End'!C:C,'Back End'!A:A=A1809,'Back End'!B:B=B1809,'Back End'!D:D=D1809)"),"Valuthimmapuram")</f>
        <v>Valuthimmapuram</v>
      </c>
      <c r="D1809" s="91" t="s">
        <v>387</v>
      </c>
      <c r="E1809" s="91" t="s">
        <v>5377</v>
      </c>
      <c r="F1809" s="91" t="s">
        <v>1669</v>
      </c>
      <c r="G1809" s="91" t="s">
        <v>615</v>
      </c>
      <c r="H1809" s="93" t="s">
        <v>4</v>
      </c>
      <c r="I1809" s="92" t="s">
        <v>3112</v>
      </c>
      <c r="J1809" s="92">
        <v>9493190605</v>
      </c>
      <c r="K1809" s="67"/>
      <c r="L1809" s="67"/>
      <c r="M1809" s="67"/>
      <c r="N1809" s="67"/>
      <c r="O1809" s="67"/>
    </row>
    <row r="1810" spans="1:15" ht="30">
      <c r="A1810" s="91" t="s">
        <v>15</v>
      </c>
      <c r="B1810" s="91" t="s">
        <v>15</v>
      </c>
      <c r="C1810" s="92" t="s">
        <v>387</v>
      </c>
      <c r="D1810" s="91" t="s">
        <v>387</v>
      </c>
      <c r="E1810" s="91" t="s">
        <v>5378</v>
      </c>
      <c r="F1810" s="91" t="s">
        <v>114</v>
      </c>
      <c r="G1810" s="91" t="s">
        <v>85</v>
      </c>
      <c r="H1810" s="93" t="s">
        <v>4</v>
      </c>
      <c r="I1810" s="92" t="s">
        <v>3112</v>
      </c>
      <c r="J1810" s="92">
        <v>9492724395</v>
      </c>
      <c r="K1810" s="67"/>
      <c r="L1810" s="67"/>
      <c r="M1810" s="67"/>
      <c r="N1810" s="67"/>
      <c r="O1810" s="67"/>
    </row>
    <row r="1811" spans="1:15" ht="30">
      <c r="A1811" s="91" t="s">
        <v>15</v>
      </c>
      <c r="B1811" s="91" t="s">
        <v>15</v>
      </c>
      <c r="C1811" s="92" t="s">
        <v>387</v>
      </c>
      <c r="D1811" s="91" t="s">
        <v>387</v>
      </c>
      <c r="E1811" s="91" t="s">
        <v>5379</v>
      </c>
      <c r="F1811" s="91" t="s">
        <v>114</v>
      </c>
      <c r="G1811" s="91" t="s">
        <v>85</v>
      </c>
      <c r="H1811" s="93" t="s">
        <v>4</v>
      </c>
      <c r="I1811" s="92" t="s">
        <v>3115</v>
      </c>
      <c r="J1811" s="92">
        <v>9494154536</v>
      </c>
      <c r="K1811" s="67"/>
      <c r="L1811" s="67"/>
      <c r="M1811" s="67"/>
      <c r="N1811" s="67"/>
      <c r="O1811" s="67"/>
    </row>
    <row r="1812" spans="1:15" ht="30">
      <c r="A1812" s="91" t="s">
        <v>15</v>
      </c>
      <c r="B1812" s="91" t="s">
        <v>15</v>
      </c>
      <c r="C1812" s="92" t="s">
        <v>387</v>
      </c>
      <c r="D1812" s="91" t="s">
        <v>387</v>
      </c>
      <c r="E1812" s="91" t="s">
        <v>5380</v>
      </c>
      <c r="F1812" s="91" t="s">
        <v>114</v>
      </c>
      <c r="G1812" s="91" t="s">
        <v>85</v>
      </c>
      <c r="H1812" s="93" t="s">
        <v>5</v>
      </c>
      <c r="I1812" s="92" t="s">
        <v>3112</v>
      </c>
      <c r="J1812" s="92" t="s">
        <v>2631</v>
      </c>
      <c r="K1812" s="67"/>
      <c r="L1812" s="67"/>
      <c r="M1812" s="67"/>
      <c r="N1812" s="67"/>
      <c r="O1812" s="67"/>
    </row>
    <row r="1813" spans="1:15" ht="30">
      <c r="A1813" s="91" t="s">
        <v>15</v>
      </c>
      <c r="B1813" s="91" t="s">
        <v>15</v>
      </c>
      <c r="C1813" s="92" t="s">
        <v>387</v>
      </c>
      <c r="D1813" s="91" t="s">
        <v>387</v>
      </c>
      <c r="E1813" s="91" t="s">
        <v>5381</v>
      </c>
      <c r="F1813" s="91" t="s">
        <v>114</v>
      </c>
      <c r="G1813" s="91" t="s">
        <v>85</v>
      </c>
      <c r="H1813" s="93" t="s">
        <v>5</v>
      </c>
      <c r="I1813" s="92" t="s">
        <v>3112</v>
      </c>
      <c r="J1813" s="92" t="s">
        <v>2631</v>
      </c>
      <c r="K1813" s="67"/>
      <c r="L1813" s="67"/>
      <c r="M1813" s="67"/>
      <c r="N1813" s="67"/>
      <c r="O1813" s="67"/>
    </row>
    <row r="1814" spans="1:15" ht="30">
      <c r="A1814" s="91" t="s">
        <v>15</v>
      </c>
      <c r="B1814" s="91" t="s">
        <v>15</v>
      </c>
      <c r="C1814" s="92" t="s">
        <v>387</v>
      </c>
      <c r="D1814" s="91" t="s">
        <v>387</v>
      </c>
      <c r="E1814" s="91" t="s">
        <v>5382</v>
      </c>
      <c r="F1814" s="91" t="s">
        <v>114</v>
      </c>
      <c r="G1814" s="91" t="s">
        <v>85</v>
      </c>
      <c r="H1814" s="93" t="s">
        <v>5</v>
      </c>
      <c r="I1814" s="92" t="s">
        <v>3112</v>
      </c>
      <c r="J1814" s="92" t="s">
        <v>2631</v>
      </c>
      <c r="K1814" s="67"/>
      <c r="L1814" s="67"/>
      <c r="M1814" s="67"/>
      <c r="N1814" s="67"/>
      <c r="O1814" s="67"/>
    </row>
    <row r="1815" spans="1:15" ht="15">
      <c r="A1815" s="91" t="s">
        <v>15</v>
      </c>
      <c r="B1815" s="91" t="s">
        <v>8</v>
      </c>
      <c r="C1815" s="92" t="str">
        <f ca="1">IFERROR(__xludf.DUMMYFUNCTION("filter('Back End'!C:C,'Back End'!A:A=A1815,'Back End'!B:B=B1815,'Back End'!D:D=D1815)"),"#N/A")</f>
        <v>#N/A</v>
      </c>
      <c r="D1815" s="91" t="s">
        <v>550</v>
      </c>
      <c r="E1815" s="91" t="s">
        <v>5383</v>
      </c>
      <c r="F1815" s="67" t="s">
        <v>3138</v>
      </c>
      <c r="G1815" s="67"/>
      <c r="H1815" s="93" t="s">
        <v>4</v>
      </c>
      <c r="I1815" s="92" t="s">
        <v>3125</v>
      </c>
      <c r="J1815" s="92">
        <v>9398577077</v>
      </c>
      <c r="K1815" s="67"/>
      <c r="L1815" s="67"/>
      <c r="M1815" s="67"/>
      <c r="N1815" s="67"/>
      <c r="O1815" s="67"/>
    </row>
    <row r="1816" spans="1:15" ht="30">
      <c r="A1816" s="91" t="s">
        <v>15</v>
      </c>
      <c r="B1816" s="91" t="s">
        <v>389</v>
      </c>
      <c r="C1816" s="92" t="str">
        <f ca="1">IFERROR(__xludf.DUMMYFUNCTION("filter('Back End'!C:C,'Back End'!A:A=A1816,'Back End'!B:B=B1816,'Back End'!D:D=D1816)"),"Chandram Palem")</f>
        <v>Chandram Palem</v>
      </c>
      <c r="D1816" s="91" t="s">
        <v>395</v>
      </c>
      <c r="E1816" s="91" t="s">
        <v>5384</v>
      </c>
      <c r="F1816" s="67" t="s">
        <v>3138</v>
      </c>
      <c r="G1816" s="67"/>
      <c r="H1816" s="93" t="s">
        <v>5</v>
      </c>
      <c r="I1816" s="67"/>
      <c r="J1816" s="92">
        <v>91777844758</v>
      </c>
      <c r="K1816" s="67"/>
      <c r="L1816" s="67"/>
      <c r="M1816" s="67"/>
      <c r="N1816" s="67"/>
      <c r="O1816" s="67"/>
    </row>
    <row r="1817" spans="1:15" ht="30">
      <c r="A1817" s="91" t="s">
        <v>15</v>
      </c>
      <c r="B1817" s="91" t="s">
        <v>389</v>
      </c>
      <c r="C1817" s="92" t="str">
        <f ca="1">IFERROR(__xludf.DUMMYFUNCTION("filter('Back End'!C:C,'Back End'!A:A=A1817,'Back End'!B:B=B1817,'Back End'!D:D=D1817)"),"Chandram Palem")</f>
        <v>Chandram Palem</v>
      </c>
      <c r="D1817" s="91" t="s">
        <v>395</v>
      </c>
      <c r="E1817" s="91" t="s">
        <v>3273</v>
      </c>
      <c r="F1817" s="67" t="s">
        <v>3138</v>
      </c>
      <c r="G1817" s="67"/>
      <c r="H1817" s="93" t="s">
        <v>5</v>
      </c>
      <c r="I1817" s="67"/>
      <c r="J1817" s="92">
        <v>9000157291</v>
      </c>
      <c r="K1817" s="67"/>
      <c r="L1817" s="67"/>
      <c r="M1817" s="67"/>
      <c r="N1817" s="67"/>
      <c r="O1817" s="67"/>
    </row>
    <row r="1818" spans="1:15" ht="15">
      <c r="A1818" s="91" t="s">
        <v>15</v>
      </c>
      <c r="B1818" s="91" t="s">
        <v>389</v>
      </c>
      <c r="C1818" s="92" t="str">
        <f ca="1">IFERROR(__xludf.DUMMYFUNCTION("filter('Back End'!C:C,'Back End'!A:A=A1818,'Back End'!B:B=B1818,'Back End'!D:D=D1818)"),"Hussianpuram")</f>
        <v>Hussianpuram</v>
      </c>
      <c r="D1818" s="91" t="s">
        <v>404</v>
      </c>
      <c r="E1818" s="91" t="s">
        <v>5385</v>
      </c>
      <c r="F1818" s="67" t="s">
        <v>3138</v>
      </c>
      <c r="G1818" s="67"/>
      <c r="H1818" s="93" t="s">
        <v>5</v>
      </c>
      <c r="I1818" s="67"/>
      <c r="J1818" s="92">
        <v>9849211631</v>
      </c>
      <c r="K1818" s="67"/>
      <c r="L1818" s="67"/>
      <c r="M1818" s="67"/>
      <c r="N1818" s="67"/>
      <c r="O1818" s="67"/>
    </row>
    <row r="1819" spans="1:15" ht="15">
      <c r="A1819" s="91" t="s">
        <v>15</v>
      </c>
      <c r="B1819" s="91" t="s">
        <v>389</v>
      </c>
      <c r="C1819" s="92" t="str">
        <f ca="1">IFERROR(__xludf.DUMMYFUNCTION("filter('Back End'!C:C,'Back End'!A:A=A1819,'Back End'!B:B=B1819,'Back End'!D:D=D1819)"),"Hussianpuram")</f>
        <v>Hussianpuram</v>
      </c>
      <c r="D1819" s="91" t="s">
        <v>404</v>
      </c>
      <c r="E1819" s="91" t="s">
        <v>5386</v>
      </c>
      <c r="F1819" s="67" t="s">
        <v>3138</v>
      </c>
      <c r="G1819" s="67"/>
      <c r="H1819" s="93" t="s">
        <v>5</v>
      </c>
      <c r="I1819" s="67"/>
      <c r="J1819" s="92">
        <v>7661011631</v>
      </c>
      <c r="K1819" s="67"/>
      <c r="L1819" s="67"/>
      <c r="M1819" s="67"/>
      <c r="N1819" s="67"/>
      <c r="O1819" s="67"/>
    </row>
    <row r="1820" spans="1:15" ht="15">
      <c r="A1820" s="91" t="s">
        <v>15</v>
      </c>
      <c r="B1820" s="91" t="s">
        <v>389</v>
      </c>
      <c r="C1820" s="92" t="str">
        <f ca="1">IFERROR(__xludf.DUMMYFUNCTION("filter('Back End'!C:C,'Back End'!A:A=A1820,'Back End'!B:B=B1820,'Back End'!D:D=D1820)"),"Navara")</f>
        <v>Navara</v>
      </c>
      <c r="D1820" s="91" t="s">
        <v>411</v>
      </c>
      <c r="E1820" s="91" t="s">
        <v>5387</v>
      </c>
      <c r="F1820" s="67" t="s">
        <v>3138</v>
      </c>
      <c r="G1820" s="67"/>
      <c r="H1820" s="93" t="s">
        <v>5</v>
      </c>
      <c r="I1820" s="67"/>
      <c r="J1820" s="92">
        <v>9676757999</v>
      </c>
      <c r="K1820" s="67"/>
      <c r="L1820" s="67"/>
      <c r="M1820" s="67"/>
      <c r="N1820" s="67"/>
      <c r="O1820" s="67"/>
    </row>
    <row r="1821" spans="1:15" ht="15">
      <c r="A1821" s="91" t="s">
        <v>15</v>
      </c>
      <c r="B1821" s="91" t="s">
        <v>389</v>
      </c>
      <c r="C1821" s="92" t="str">
        <f ca="1">IFERROR(__xludf.DUMMYFUNCTION("filter('Back End'!C:C,'Back End'!A:A=A1821,'Back End'!B:B=B1821,'Back End'!D:D=D1821)"),"Navara")</f>
        <v>Navara</v>
      </c>
      <c r="D1821" s="91" t="s">
        <v>411</v>
      </c>
      <c r="E1821" s="91" t="s">
        <v>5388</v>
      </c>
      <c r="F1821" s="67" t="s">
        <v>3138</v>
      </c>
      <c r="G1821" s="67"/>
      <c r="H1821" s="93" t="s">
        <v>5</v>
      </c>
      <c r="I1821" s="67"/>
      <c r="J1821" s="92">
        <v>9949839978</v>
      </c>
      <c r="K1821" s="67"/>
      <c r="L1821" s="67"/>
      <c r="M1821" s="67"/>
      <c r="N1821" s="67"/>
      <c r="O1821" s="67"/>
    </row>
    <row r="1822" spans="1:15" ht="15">
      <c r="A1822" s="91" t="s">
        <v>15</v>
      </c>
      <c r="B1822" s="91" t="s">
        <v>389</v>
      </c>
      <c r="C1822" s="92" t="str">
        <f ca="1">IFERROR(__xludf.DUMMYFUNCTION("filter('Back End'!C:C,'Back End'!A:A=A1822,'Back End'!B:B=B1822,'Back End'!D:D=D1822)"),"Navara")</f>
        <v>Navara</v>
      </c>
      <c r="D1822" s="91" t="s">
        <v>411</v>
      </c>
      <c r="E1822" s="91" t="s">
        <v>5389</v>
      </c>
      <c r="F1822" s="67" t="s">
        <v>3138</v>
      </c>
      <c r="G1822" s="67"/>
      <c r="H1822" s="93" t="s">
        <v>5</v>
      </c>
      <c r="I1822" s="67"/>
      <c r="J1822" s="92">
        <v>9676604657</v>
      </c>
      <c r="K1822" s="67"/>
      <c r="L1822" s="67"/>
      <c r="M1822" s="67"/>
      <c r="N1822" s="67"/>
      <c r="O1822" s="67"/>
    </row>
    <row r="1823" spans="1:15" ht="30">
      <c r="A1823" s="91" t="s">
        <v>15</v>
      </c>
      <c r="B1823" s="91" t="s">
        <v>389</v>
      </c>
      <c r="C1823" s="92" t="str">
        <f ca="1">IFERROR(__xludf.DUMMYFUNCTION("filter('Back End'!C:C,'Back End'!A:A=A1823,'Back End'!B:B=B1823,'Back End'!D:D=D1823)"),"Pedabrahmadevam")</f>
        <v>Pedabrahmadevam</v>
      </c>
      <c r="D1823" s="91" t="s">
        <v>421</v>
      </c>
      <c r="E1823" s="91" t="s">
        <v>5390</v>
      </c>
      <c r="F1823" s="67" t="s">
        <v>3138</v>
      </c>
      <c r="G1823" s="67"/>
      <c r="H1823" s="93" t="s">
        <v>5</v>
      </c>
      <c r="I1823" s="67"/>
      <c r="J1823" s="92">
        <v>9848432822</v>
      </c>
      <c r="K1823" s="67"/>
      <c r="L1823" s="67"/>
      <c r="M1823" s="67"/>
      <c r="N1823" s="67"/>
      <c r="O1823" s="67"/>
    </row>
    <row r="1824" spans="1:15" ht="30">
      <c r="A1824" s="91" t="s">
        <v>15</v>
      </c>
      <c r="B1824" s="91" t="s">
        <v>389</v>
      </c>
      <c r="C1824" s="92" t="str">
        <f ca="1">IFERROR(__xludf.DUMMYFUNCTION("filter('Back End'!C:C,'Back End'!A:A=A1824,'Back End'!B:B=B1824,'Back End'!D:D=D1824)"),"Pedabrahmadevam")</f>
        <v>Pedabrahmadevam</v>
      </c>
      <c r="D1824" s="91" t="s">
        <v>421</v>
      </c>
      <c r="E1824" s="91" t="s">
        <v>5391</v>
      </c>
      <c r="F1824" s="67" t="s">
        <v>3138</v>
      </c>
      <c r="G1824" s="67"/>
      <c r="H1824" s="93" t="s">
        <v>5</v>
      </c>
      <c r="I1824" s="67"/>
      <c r="J1824" s="92">
        <v>966620834</v>
      </c>
      <c r="K1824" s="67"/>
      <c r="L1824" s="67"/>
      <c r="M1824" s="67"/>
      <c r="N1824" s="67"/>
      <c r="O1824" s="67"/>
    </row>
    <row r="1825" spans="1:15" ht="30">
      <c r="A1825" s="91" t="s">
        <v>15</v>
      </c>
      <c r="B1825" s="91" t="s">
        <v>389</v>
      </c>
      <c r="C1825" s="92" t="str">
        <f ca="1">IFERROR(__xludf.DUMMYFUNCTION("filter('Back End'!C:C,'Back End'!A:A=A1825,'Back End'!B:B=B1825,'Back End'!D:D=D1825)"),"Pedabrahmadevam")</f>
        <v>Pedabrahmadevam</v>
      </c>
      <c r="D1825" s="91" t="s">
        <v>421</v>
      </c>
      <c r="E1825" s="91" t="s">
        <v>5392</v>
      </c>
      <c r="F1825" s="67" t="s">
        <v>3138</v>
      </c>
      <c r="G1825" s="67"/>
      <c r="H1825" s="93" t="s">
        <v>5</v>
      </c>
      <c r="I1825" s="67"/>
      <c r="J1825" s="92">
        <v>8790868858</v>
      </c>
      <c r="K1825" s="67"/>
      <c r="L1825" s="67"/>
      <c r="M1825" s="67"/>
      <c r="N1825" s="67"/>
      <c r="O1825" s="67"/>
    </row>
    <row r="1826" spans="1:15" ht="30">
      <c r="A1826" s="91" t="s">
        <v>15</v>
      </c>
      <c r="B1826" s="91" t="s">
        <v>389</v>
      </c>
      <c r="C1826" s="92" t="str">
        <f ca="1">IFERROR(__xludf.DUMMYFUNCTION("filter('Back End'!C:C,'Back End'!A:A=A1826,'Back End'!B:B=B1826,'Back End'!D:D=D1826)"),"Pedabrahmadevam")</f>
        <v>Pedabrahmadevam</v>
      </c>
      <c r="D1826" s="91" t="s">
        <v>421</v>
      </c>
      <c r="E1826" s="91" t="s">
        <v>5393</v>
      </c>
      <c r="F1826" s="67" t="s">
        <v>3138</v>
      </c>
      <c r="G1826" s="67"/>
      <c r="H1826" s="93" t="s">
        <v>5</v>
      </c>
      <c r="I1826" s="67"/>
      <c r="J1826" s="92">
        <v>9966325541</v>
      </c>
      <c r="K1826" s="67"/>
      <c r="L1826" s="67"/>
      <c r="M1826" s="67"/>
      <c r="N1826" s="67"/>
      <c r="O1826" s="67"/>
    </row>
    <row r="1827" spans="1:15" ht="15">
      <c r="A1827" s="91" t="s">
        <v>15</v>
      </c>
      <c r="B1827" s="91" t="s">
        <v>389</v>
      </c>
      <c r="C1827" s="92" t="str">
        <f ca="1">IFERROR(__xludf.DUMMYFUNCTION("filter('Back End'!C:C,'Back End'!A:A=A1827,'Back End'!B:B=B1827,'Back End'!D:D=D1827)"),"Unduru")</f>
        <v>Unduru</v>
      </c>
      <c r="D1827" s="91" t="s">
        <v>423</v>
      </c>
      <c r="E1827" s="91" t="s">
        <v>5394</v>
      </c>
      <c r="F1827" s="67" t="s">
        <v>3138</v>
      </c>
      <c r="G1827" s="67"/>
      <c r="H1827" s="93" t="s">
        <v>5</v>
      </c>
      <c r="I1827" s="67"/>
      <c r="J1827" s="92">
        <v>7799676527</v>
      </c>
      <c r="K1827" s="67"/>
      <c r="L1827" s="67"/>
      <c r="M1827" s="67"/>
      <c r="N1827" s="67"/>
      <c r="O1827" s="67"/>
    </row>
    <row r="1828" spans="1:15" ht="15">
      <c r="A1828" s="91" t="s">
        <v>15</v>
      </c>
      <c r="B1828" s="91" t="s">
        <v>389</v>
      </c>
      <c r="C1828" s="92" t="str">
        <f ca="1">IFERROR(__xludf.DUMMYFUNCTION("filter('Back End'!C:C,'Back End'!A:A=A1828,'Back End'!B:B=B1828,'Back End'!D:D=D1828)"),"Unduru")</f>
        <v>Unduru</v>
      </c>
      <c r="D1828" s="91" t="s">
        <v>423</v>
      </c>
      <c r="E1828" s="91" t="s">
        <v>5395</v>
      </c>
      <c r="F1828" s="67" t="s">
        <v>3138</v>
      </c>
      <c r="G1828" s="67"/>
      <c r="H1828" s="93" t="s">
        <v>5</v>
      </c>
      <c r="I1828" s="67"/>
      <c r="J1828" s="92">
        <v>8106737352</v>
      </c>
      <c r="K1828" s="67"/>
      <c r="L1828" s="67"/>
      <c r="M1828" s="67"/>
      <c r="N1828" s="67"/>
      <c r="O1828" s="67"/>
    </row>
    <row r="1829" spans="1:15" ht="15">
      <c r="A1829" s="91" t="s">
        <v>15</v>
      </c>
      <c r="B1829" s="91" t="s">
        <v>389</v>
      </c>
      <c r="C1829" s="92" t="str">
        <f ca="1">IFERROR(__xludf.DUMMYFUNCTION("filter('Back End'!C:C,'Back End'!A:A=A1829,'Back End'!B:B=B1829,'Back End'!D:D=D1829)"),"Boyanapudi")</f>
        <v>Boyanapudi</v>
      </c>
      <c r="D1829" s="91" t="s">
        <v>393</v>
      </c>
      <c r="E1829" s="91" t="s">
        <v>5396</v>
      </c>
      <c r="F1829" s="67" t="s">
        <v>3138</v>
      </c>
      <c r="G1829" s="67"/>
      <c r="H1829" s="93" t="s">
        <v>4</v>
      </c>
      <c r="I1829" s="67"/>
      <c r="J1829" s="92">
        <v>9948251989</v>
      </c>
      <c r="K1829" s="67"/>
      <c r="L1829" s="67"/>
      <c r="M1829" s="67"/>
      <c r="N1829" s="67"/>
      <c r="O1829" s="67"/>
    </row>
    <row r="1830" spans="1:15" ht="15">
      <c r="A1830" s="91" t="s">
        <v>15</v>
      </c>
      <c r="B1830" s="91" t="s">
        <v>389</v>
      </c>
      <c r="C1830" s="92" t="str">
        <f ca="1">IFERROR(__xludf.DUMMYFUNCTION("filter('Back End'!C:C,'Back End'!A:A=A1830,'Back End'!B:B=B1830,'Back End'!D:D=D1830)"),"Boyanapudi")</f>
        <v>Boyanapudi</v>
      </c>
      <c r="D1830" s="91" t="s">
        <v>393</v>
      </c>
      <c r="E1830" s="91" t="s">
        <v>5397</v>
      </c>
      <c r="F1830" s="67" t="s">
        <v>3138</v>
      </c>
      <c r="G1830" s="67"/>
      <c r="H1830" s="93" t="s">
        <v>4</v>
      </c>
      <c r="I1830" s="92" t="s">
        <v>3125</v>
      </c>
      <c r="J1830" s="92">
        <v>9849942865</v>
      </c>
      <c r="K1830" s="67"/>
      <c r="L1830" s="67"/>
      <c r="M1830" s="67"/>
      <c r="N1830" s="67"/>
      <c r="O1830" s="67"/>
    </row>
    <row r="1831" spans="1:15" ht="30">
      <c r="A1831" s="91" t="s">
        <v>15</v>
      </c>
      <c r="B1831" s="91" t="s">
        <v>389</v>
      </c>
      <c r="C1831" s="92" t="str">
        <f ca="1">IFERROR(__xludf.DUMMYFUNCTION("filter('Back End'!C:C,'Back End'!A:A=A1831,'Back End'!B:B=B1831,'Back End'!D:D=D1831)"),"Chandram Palem")</f>
        <v>Chandram Palem</v>
      </c>
      <c r="D1831" s="91" t="s">
        <v>395</v>
      </c>
      <c r="E1831" s="91" t="s">
        <v>5398</v>
      </c>
      <c r="F1831" s="67" t="s">
        <v>3138</v>
      </c>
      <c r="G1831" s="67"/>
      <c r="H1831" s="93" t="s">
        <v>4</v>
      </c>
      <c r="I1831" s="92" t="s">
        <v>3125</v>
      </c>
      <c r="J1831" s="92">
        <v>9866123912</v>
      </c>
      <c r="K1831" s="67"/>
      <c r="L1831" s="67"/>
      <c r="M1831" s="67"/>
      <c r="N1831" s="67"/>
      <c r="O1831" s="67"/>
    </row>
    <row r="1832" spans="1:15" ht="30">
      <c r="A1832" s="91" t="s">
        <v>15</v>
      </c>
      <c r="B1832" s="91" t="s">
        <v>389</v>
      </c>
      <c r="C1832" s="92" t="str">
        <f ca="1">IFERROR(__xludf.DUMMYFUNCTION("filter('Back End'!C:C,'Back End'!A:A=A1832,'Back End'!B:B=B1832,'Back End'!D:D=D1832)"),"Chandram Palem")</f>
        <v>Chandram Palem</v>
      </c>
      <c r="D1832" s="91" t="s">
        <v>395</v>
      </c>
      <c r="E1832" s="91" t="s">
        <v>5399</v>
      </c>
      <c r="F1832" s="67" t="s">
        <v>3138</v>
      </c>
      <c r="G1832" s="67"/>
      <c r="H1832" s="93" t="s">
        <v>4</v>
      </c>
      <c r="I1832" s="67"/>
      <c r="J1832" s="92">
        <v>8790241752</v>
      </c>
      <c r="K1832" s="67"/>
      <c r="L1832" s="67"/>
      <c r="M1832" s="67"/>
      <c r="N1832" s="67"/>
      <c r="O1832" s="67"/>
    </row>
    <row r="1833" spans="1:15" ht="30">
      <c r="A1833" s="91" t="s">
        <v>15</v>
      </c>
      <c r="B1833" s="91" t="s">
        <v>389</v>
      </c>
      <c r="C1833" s="92" t="str">
        <f ca="1">IFERROR(__xludf.DUMMYFUNCTION("filter('Back End'!C:C,'Back End'!A:A=A1833,'Back End'!B:B=B1833,'Back End'!D:D=D1833)"),"Chandram Palem")</f>
        <v>Chandram Palem</v>
      </c>
      <c r="D1833" s="91" t="s">
        <v>395</v>
      </c>
      <c r="E1833" s="91" t="s">
        <v>5400</v>
      </c>
      <c r="F1833" s="67" t="s">
        <v>3138</v>
      </c>
      <c r="G1833" s="67"/>
      <c r="H1833" s="93" t="s">
        <v>4</v>
      </c>
      <c r="I1833" s="67"/>
      <c r="J1833" s="92">
        <v>9492175096</v>
      </c>
      <c r="K1833" s="67"/>
      <c r="L1833" s="67"/>
      <c r="M1833" s="67"/>
      <c r="N1833" s="67"/>
      <c r="O1833" s="67"/>
    </row>
    <row r="1834" spans="1:15" ht="15">
      <c r="A1834" s="91" t="s">
        <v>15</v>
      </c>
      <c r="B1834" s="91" t="s">
        <v>389</v>
      </c>
      <c r="C1834" s="92" t="str">
        <f ca="1">IFERROR(__xludf.DUMMYFUNCTION("filter('Back End'!C:C,'Back End'!A:A=A1834,'Back End'!B:B=B1834,'Back End'!D:D=D1834)"),"G. Kothuru")</f>
        <v>G. Kothuru</v>
      </c>
      <c r="D1834" s="91" t="s">
        <v>397</v>
      </c>
      <c r="E1834" s="91" t="s">
        <v>5401</v>
      </c>
      <c r="F1834" s="67" t="s">
        <v>3138</v>
      </c>
      <c r="G1834" s="67"/>
      <c r="H1834" s="93" t="s">
        <v>4</v>
      </c>
      <c r="I1834" s="67"/>
      <c r="J1834" s="92">
        <v>8500813109</v>
      </c>
      <c r="K1834" s="67"/>
      <c r="L1834" s="67"/>
      <c r="M1834" s="67"/>
      <c r="N1834" s="67"/>
      <c r="O1834" s="67"/>
    </row>
    <row r="1835" spans="1:15" ht="15">
      <c r="A1835" s="91" t="s">
        <v>15</v>
      </c>
      <c r="B1835" s="91" t="s">
        <v>389</v>
      </c>
      <c r="C1835" s="92" t="str">
        <f ca="1">IFERROR(__xludf.DUMMYFUNCTION("filter('Back End'!C:C,'Back End'!A:A=A1835,'Back End'!B:B=B1835,'Back End'!D:D=D1835)"),"G. Kothuru")</f>
        <v>G. Kothuru</v>
      </c>
      <c r="D1835" s="91" t="s">
        <v>397</v>
      </c>
      <c r="E1835" s="91" t="s">
        <v>5402</v>
      </c>
      <c r="F1835" s="67" t="s">
        <v>3138</v>
      </c>
      <c r="G1835" s="67"/>
      <c r="H1835" s="93" t="s">
        <v>4</v>
      </c>
      <c r="I1835" s="92" t="s">
        <v>3125</v>
      </c>
      <c r="J1835" s="92">
        <v>9492664989</v>
      </c>
      <c r="K1835" s="67"/>
      <c r="L1835" s="67"/>
      <c r="M1835" s="67"/>
      <c r="N1835" s="67"/>
      <c r="O1835" s="67"/>
    </row>
    <row r="1836" spans="1:15" ht="15">
      <c r="A1836" s="91" t="s">
        <v>15</v>
      </c>
      <c r="B1836" s="91" t="s">
        <v>389</v>
      </c>
      <c r="C1836" s="92" t="str">
        <f ca="1">IFERROR(__xludf.DUMMYFUNCTION("filter('Back End'!C:C,'Back End'!A:A=A1836,'Back End'!B:B=B1836,'Back End'!D:D=D1836)"),"G. Medapadu")</f>
        <v>G. Medapadu</v>
      </c>
      <c r="D1836" s="91" t="s">
        <v>399</v>
      </c>
      <c r="E1836" s="91" t="s">
        <v>5403</v>
      </c>
      <c r="F1836" s="67" t="s">
        <v>3138</v>
      </c>
      <c r="G1836" s="67"/>
      <c r="H1836" s="93" t="s">
        <v>4</v>
      </c>
      <c r="I1836" s="67"/>
      <c r="J1836" s="92">
        <v>9154014699</v>
      </c>
      <c r="K1836" s="67"/>
      <c r="L1836" s="67"/>
      <c r="M1836" s="67"/>
      <c r="N1836" s="67"/>
      <c r="O1836" s="67"/>
    </row>
    <row r="1837" spans="1:15" ht="30">
      <c r="A1837" s="91" t="s">
        <v>15</v>
      </c>
      <c r="B1837" s="91" t="s">
        <v>389</v>
      </c>
      <c r="C1837" s="92" t="str">
        <f ca="1">IFERROR(__xludf.DUMMYFUNCTION("filter('Back End'!C:C,'Back End'!A:A=A1837,'Back End'!B:B=B1837,'Back End'!D:D=D1837)"),"G. Medapadu")</f>
        <v>G. Medapadu</v>
      </c>
      <c r="D1837" s="91" t="s">
        <v>399</v>
      </c>
      <c r="E1837" s="91" t="s">
        <v>5404</v>
      </c>
      <c r="F1837" s="91" t="s">
        <v>131</v>
      </c>
      <c r="G1837" s="91" t="s">
        <v>594</v>
      </c>
      <c r="H1837" s="93" t="s">
        <v>4</v>
      </c>
      <c r="I1837" s="92" t="s">
        <v>3591</v>
      </c>
      <c r="J1837" s="92">
        <v>9948794549</v>
      </c>
      <c r="K1837" s="67"/>
      <c r="L1837" s="67"/>
      <c r="M1837" s="67"/>
      <c r="N1837" s="67"/>
      <c r="O1837" s="67"/>
    </row>
    <row r="1838" spans="1:15" ht="15">
      <c r="A1838" s="91" t="s">
        <v>15</v>
      </c>
      <c r="B1838" s="91" t="s">
        <v>389</v>
      </c>
      <c r="C1838" s="92" t="str">
        <f ca="1">IFERROR(__xludf.DUMMYFUNCTION("filter('Back End'!C:C,'Back End'!A:A=A1838,'Back End'!B:B=B1838,'Back End'!D:D=D1838)"),"G. Medapadu")</f>
        <v>G. Medapadu</v>
      </c>
      <c r="D1838" s="91" t="s">
        <v>399</v>
      </c>
      <c r="E1838" s="91" t="s">
        <v>5405</v>
      </c>
      <c r="F1838" s="67" t="s">
        <v>3138</v>
      </c>
      <c r="G1838" s="67"/>
      <c r="H1838" s="93" t="s">
        <v>4</v>
      </c>
      <c r="I1838" s="67"/>
      <c r="J1838" s="92">
        <v>9866385892</v>
      </c>
      <c r="K1838" s="67"/>
      <c r="L1838" s="67"/>
      <c r="M1838" s="67"/>
      <c r="N1838" s="67"/>
      <c r="O1838" s="67"/>
    </row>
    <row r="1839" spans="1:15" ht="30">
      <c r="A1839" s="91" t="s">
        <v>15</v>
      </c>
      <c r="B1839" s="91" t="s">
        <v>389</v>
      </c>
      <c r="C1839" s="92" t="str">
        <f ca="1">IFERROR(__xludf.DUMMYFUNCTION("filter('Back End'!C:C,'Back End'!A:A=A1839,'Back End'!B:B=B1839,'Back End'!D:D=D1839)"),"G. Medapadu")</f>
        <v>G. Medapadu</v>
      </c>
      <c r="D1839" s="91" t="s">
        <v>399</v>
      </c>
      <c r="E1839" s="91" t="s">
        <v>5406</v>
      </c>
      <c r="F1839" s="91" t="s">
        <v>131</v>
      </c>
      <c r="G1839" s="91" t="s">
        <v>594</v>
      </c>
      <c r="H1839" s="93" t="s">
        <v>4</v>
      </c>
      <c r="I1839" s="92" t="s">
        <v>3591</v>
      </c>
      <c r="J1839" s="92">
        <v>9182878879</v>
      </c>
      <c r="K1839" s="67"/>
      <c r="L1839" s="67"/>
      <c r="M1839" s="67"/>
      <c r="N1839" s="67"/>
      <c r="O1839" s="67"/>
    </row>
    <row r="1840" spans="1:15" ht="15">
      <c r="A1840" s="91" t="s">
        <v>15</v>
      </c>
      <c r="B1840" s="91" t="s">
        <v>389</v>
      </c>
      <c r="C1840" s="92" t="str">
        <f ca="1">IFERROR(__xludf.DUMMYFUNCTION("filter('Back End'!C:C,'Back End'!A:A=A1840,'Back End'!B:B=B1840,'Back End'!D:D=D1840)"),"G. Medapadu")</f>
        <v>G. Medapadu</v>
      </c>
      <c r="D1840" s="91" t="s">
        <v>399</v>
      </c>
      <c r="E1840" s="91" t="s">
        <v>5407</v>
      </c>
      <c r="F1840" s="67" t="s">
        <v>3138</v>
      </c>
      <c r="G1840" s="67"/>
      <c r="H1840" s="93" t="s">
        <v>4</v>
      </c>
      <c r="I1840" s="67"/>
      <c r="J1840" s="92">
        <v>9490341245</v>
      </c>
      <c r="K1840" s="67"/>
      <c r="L1840" s="67"/>
      <c r="M1840" s="67"/>
      <c r="N1840" s="67"/>
      <c r="O1840" s="67"/>
    </row>
    <row r="1841" spans="1:15" ht="15">
      <c r="A1841" s="91" t="s">
        <v>15</v>
      </c>
      <c r="B1841" s="91" t="s">
        <v>389</v>
      </c>
      <c r="C1841" s="92" t="str">
        <f ca="1">IFERROR(__xludf.DUMMYFUNCTION("filter('Back End'!C:C,'Back End'!A:A=A1841,'Back End'!B:B=B1841,'Back End'!D:D=D1841)"),"G. Medapadu")</f>
        <v>G. Medapadu</v>
      </c>
      <c r="D1841" s="91" t="s">
        <v>399</v>
      </c>
      <c r="E1841" s="91" t="s">
        <v>5408</v>
      </c>
      <c r="F1841" s="67" t="s">
        <v>3138</v>
      </c>
      <c r="G1841" s="67"/>
      <c r="H1841" s="93" t="s">
        <v>4</v>
      </c>
      <c r="I1841" s="67"/>
      <c r="J1841" s="92">
        <v>8985486932</v>
      </c>
      <c r="K1841" s="67"/>
      <c r="L1841" s="67"/>
      <c r="M1841" s="67"/>
      <c r="N1841" s="67"/>
      <c r="O1841" s="67"/>
    </row>
    <row r="1842" spans="1:15" ht="15">
      <c r="A1842" s="91" t="s">
        <v>15</v>
      </c>
      <c r="B1842" s="91" t="s">
        <v>389</v>
      </c>
      <c r="C1842" s="92" t="str">
        <f ca="1">IFERROR(__xludf.DUMMYFUNCTION("filter('Back End'!C:C,'Back End'!A:A=A1842,'Back End'!B:B=B1842,'Back End'!D:D=D1842)"),"G. Medapadu")</f>
        <v>G. Medapadu</v>
      </c>
      <c r="D1842" s="91" t="s">
        <v>399</v>
      </c>
      <c r="E1842" s="91" t="s">
        <v>5409</v>
      </c>
      <c r="F1842" s="67" t="s">
        <v>3138</v>
      </c>
      <c r="G1842" s="67"/>
      <c r="H1842" s="93" t="s">
        <v>4</v>
      </c>
      <c r="I1842" s="67"/>
      <c r="J1842" s="92">
        <v>9493557449</v>
      </c>
      <c r="K1842" s="67"/>
      <c r="L1842" s="67"/>
      <c r="M1842" s="67"/>
      <c r="N1842" s="67"/>
      <c r="O1842" s="67"/>
    </row>
    <row r="1843" spans="1:15" ht="15">
      <c r="A1843" s="91" t="s">
        <v>15</v>
      </c>
      <c r="B1843" s="91" t="s">
        <v>389</v>
      </c>
      <c r="C1843" s="92" t="str">
        <f ca="1">IFERROR(__xludf.DUMMYFUNCTION("filter('Back End'!C:C,'Back End'!A:A=A1843,'Back End'!B:B=B1843,'Back End'!D:D=D1843)"),"G. Medapadu")</f>
        <v>G. Medapadu</v>
      </c>
      <c r="D1843" s="91" t="s">
        <v>399</v>
      </c>
      <c r="E1843" s="91" t="s">
        <v>5410</v>
      </c>
      <c r="F1843" s="67" t="s">
        <v>3138</v>
      </c>
      <c r="G1843" s="67"/>
      <c r="H1843" s="93" t="s">
        <v>4</v>
      </c>
      <c r="I1843" s="67"/>
      <c r="J1843" s="92">
        <v>9666792677</v>
      </c>
      <c r="K1843" s="67"/>
      <c r="L1843" s="67"/>
      <c r="M1843" s="67"/>
      <c r="N1843" s="67"/>
      <c r="O1843" s="67"/>
    </row>
    <row r="1844" spans="1:15" ht="15">
      <c r="A1844" s="91" t="s">
        <v>15</v>
      </c>
      <c r="B1844" s="91" t="s">
        <v>389</v>
      </c>
      <c r="C1844" s="92" t="str">
        <f ca="1">IFERROR(__xludf.DUMMYFUNCTION("filter('Back End'!C:C,'Back End'!A:A=A1844,'Back End'!B:B=B1844,'Back End'!D:D=D1844)"),"G. Medapadu")</f>
        <v>G. Medapadu</v>
      </c>
      <c r="D1844" s="91" t="s">
        <v>399</v>
      </c>
      <c r="E1844" s="91" t="s">
        <v>5411</v>
      </c>
      <c r="F1844" s="67" t="s">
        <v>3138</v>
      </c>
      <c r="G1844" s="67"/>
      <c r="H1844" s="93" t="s">
        <v>4</v>
      </c>
      <c r="I1844" s="92" t="s">
        <v>3125</v>
      </c>
      <c r="J1844" s="92">
        <v>9951372299</v>
      </c>
      <c r="K1844" s="67"/>
      <c r="L1844" s="67"/>
      <c r="M1844" s="67"/>
      <c r="N1844" s="67"/>
      <c r="O1844" s="67"/>
    </row>
    <row r="1845" spans="1:15" ht="16.5">
      <c r="A1845" s="91" t="s">
        <v>15</v>
      </c>
      <c r="B1845" s="91" t="s">
        <v>389</v>
      </c>
      <c r="C1845" s="92" t="str">
        <f ca="1">IFERROR(__xludf.DUMMYFUNCTION("filter('Back End'!C:C,'Back End'!A:A=A1845,'Back End'!B:B=B1845,'Back End'!D:D=D1845)"),"G. Medapadu")</f>
        <v>G. Medapadu</v>
      </c>
      <c r="D1845" s="91" t="s">
        <v>399</v>
      </c>
      <c r="E1845" s="100" t="s">
        <v>5412</v>
      </c>
      <c r="F1845" s="98" t="s">
        <v>131</v>
      </c>
      <c r="G1845" s="98" t="s">
        <v>594</v>
      </c>
      <c r="H1845" s="93" t="s">
        <v>4</v>
      </c>
      <c r="I1845" s="98" t="s">
        <v>5413</v>
      </c>
      <c r="J1845" s="99"/>
      <c r="K1845" s="99"/>
      <c r="L1845" s="99"/>
      <c r="M1845" s="67"/>
      <c r="N1845" s="67"/>
      <c r="O1845" s="67"/>
    </row>
    <row r="1846" spans="1:15" ht="15">
      <c r="A1846" s="91" t="s">
        <v>15</v>
      </c>
      <c r="B1846" s="100" t="s">
        <v>389</v>
      </c>
      <c r="C1846" s="97" t="str">
        <f ca="1">IFERROR(__xludf.DUMMYFUNCTION("filter('Back End'!C:C,'Back End'!A:A=A1846,'Back End'!B:B=B1846,'Back End'!D:D=D1846)"),"G. Medapadu")</f>
        <v>G. Medapadu</v>
      </c>
      <c r="D1846" s="100" t="s">
        <v>399</v>
      </c>
      <c r="E1846" s="100" t="s">
        <v>5414</v>
      </c>
      <c r="F1846" s="99" t="s">
        <v>3138</v>
      </c>
      <c r="G1846" s="99"/>
      <c r="H1846" s="100" t="s">
        <v>5</v>
      </c>
      <c r="I1846" s="99"/>
      <c r="J1846" s="97">
        <v>9652790755</v>
      </c>
      <c r="K1846" s="99"/>
      <c r="L1846" s="99"/>
      <c r="M1846" s="67"/>
      <c r="N1846" s="67"/>
      <c r="O1846" s="67"/>
    </row>
    <row r="1847" spans="1:15" ht="15">
      <c r="A1847" s="101" t="s">
        <v>15</v>
      </c>
      <c r="B1847" s="93" t="s">
        <v>389</v>
      </c>
      <c r="C1847" s="102" t="str">
        <f ca="1">IFERROR(__xludf.DUMMYFUNCTION("filter('Back End'!C:C,'Back End'!A:A=A1847,'Back End'!B:B=B1847,'Back End'!D:D=D1847)"),"G. Medapadu")</f>
        <v>G. Medapadu</v>
      </c>
      <c r="D1847" s="93" t="s">
        <v>399</v>
      </c>
      <c r="E1847" s="93" t="s">
        <v>5415</v>
      </c>
      <c r="F1847" s="95" t="s">
        <v>3138</v>
      </c>
      <c r="G1847" s="95"/>
      <c r="H1847" s="93" t="s">
        <v>5</v>
      </c>
      <c r="I1847" s="95"/>
      <c r="J1847" s="102">
        <v>9542545744</v>
      </c>
      <c r="K1847" s="95"/>
      <c r="L1847" s="95"/>
      <c r="M1847" s="67"/>
      <c r="N1847" s="67"/>
      <c r="O1847" s="67"/>
    </row>
    <row r="1848" spans="1:15" ht="15">
      <c r="A1848" s="101" t="s">
        <v>15</v>
      </c>
      <c r="B1848" s="93" t="s">
        <v>389</v>
      </c>
      <c r="C1848" s="102" t="str">
        <f ca="1">IFERROR(__xludf.DUMMYFUNCTION("filter('Back End'!C:C,'Back End'!A:A=A1848,'Back End'!B:B=B1848,'Back End'!D:D=D1848)"),"G. Medapadu")</f>
        <v>G. Medapadu</v>
      </c>
      <c r="D1848" s="93" t="s">
        <v>399</v>
      </c>
      <c r="E1848" s="93" t="s">
        <v>5416</v>
      </c>
      <c r="F1848" s="95" t="s">
        <v>3138</v>
      </c>
      <c r="G1848" s="95"/>
      <c r="H1848" s="93" t="s">
        <v>5</v>
      </c>
      <c r="I1848" s="95"/>
      <c r="J1848" s="102">
        <v>8106898406</v>
      </c>
      <c r="K1848" s="95"/>
      <c r="L1848" s="95"/>
      <c r="M1848" s="67"/>
      <c r="N1848" s="67"/>
      <c r="O1848" s="67"/>
    </row>
    <row r="1849" spans="1:15" ht="15">
      <c r="A1849" s="101" t="s">
        <v>15</v>
      </c>
      <c r="B1849" s="93" t="s">
        <v>389</v>
      </c>
      <c r="C1849" s="102" t="str">
        <f ca="1">IFERROR(__xludf.DUMMYFUNCTION("filter('Back End'!C:C,'Back End'!A:A=A1849,'Back End'!B:B=B1849,'Back End'!D:D=D1849)"),"G. Medapadu")</f>
        <v>G. Medapadu</v>
      </c>
      <c r="D1849" s="93" t="s">
        <v>399</v>
      </c>
      <c r="E1849" s="93" t="s">
        <v>5417</v>
      </c>
      <c r="F1849" s="95" t="s">
        <v>3138</v>
      </c>
      <c r="G1849" s="95"/>
      <c r="H1849" s="93" t="s">
        <v>5</v>
      </c>
      <c r="I1849" s="95"/>
      <c r="J1849" s="102">
        <v>7675029623</v>
      </c>
      <c r="K1849" s="95"/>
      <c r="L1849" s="95"/>
      <c r="M1849" s="67"/>
      <c r="N1849" s="67"/>
      <c r="O1849" s="67"/>
    </row>
    <row r="1850" spans="1:15" ht="15">
      <c r="A1850" s="91" t="s">
        <v>15</v>
      </c>
      <c r="B1850" s="91" t="s">
        <v>389</v>
      </c>
      <c r="C1850" s="92" t="str">
        <f ca="1">IFERROR(__xludf.DUMMYFUNCTION("filter('Back End'!C:C,'Back End'!A:A=A1850,'Back End'!B:B=B1850,'Back End'!D:D=D1850)"),"Gonchala")</f>
        <v>Gonchala</v>
      </c>
      <c r="D1850" s="91" t="s">
        <v>402</v>
      </c>
      <c r="E1850" s="91" t="s">
        <v>5418</v>
      </c>
      <c r="F1850" s="67" t="s">
        <v>3138</v>
      </c>
      <c r="G1850" s="67"/>
      <c r="H1850" s="93" t="s">
        <v>4</v>
      </c>
      <c r="I1850" s="67"/>
      <c r="J1850" s="92">
        <v>9542191189</v>
      </c>
      <c r="K1850" s="67"/>
      <c r="L1850" s="67"/>
      <c r="M1850" s="67"/>
      <c r="N1850" s="67"/>
      <c r="O1850" s="67"/>
    </row>
    <row r="1851" spans="1:15" ht="15">
      <c r="A1851" s="91" t="s">
        <v>15</v>
      </c>
      <c r="B1851" s="91" t="s">
        <v>389</v>
      </c>
      <c r="C1851" s="92" t="str">
        <f ca="1">IFERROR(__xludf.DUMMYFUNCTION("filter('Back End'!C:C,'Back End'!A:A=A1851,'Back End'!B:B=B1851,'Back End'!D:D=D1851)"),"Gonchala")</f>
        <v>Gonchala</v>
      </c>
      <c r="D1851" s="91" t="s">
        <v>402</v>
      </c>
      <c r="E1851" s="91" t="s">
        <v>5419</v>
      </c>
      <c r="F1851" s="67" t="s">
        <v>3138</v>
      </c>
      <c r="G1851" s="67"/>
      <c r="H1851" s="93" t="s">
        <v>4</v>
      </c>
      <c r="I1851" s="92" t="s">
        <v>3125</v>
      </c>
      <c r="J1851" s="92">
        <v>9912919566</v>
      </c>
      <c r="K1851" s="67"/>
      <c r="L1851" s="67"/>
      <c r="M1851" s="67"/>
      <c r="N1851" s="67"/>
      <c r="O1851" s="67"/>
    </row>
    <row r="1852" spans="1:15" ht="15">
      <c r="A1852" s="91" t="s">
        <v>15</v>
      </c>
      <c r="B1852" s="91" t="s">
        <v>389</v>
      </c>
      <c r="C1852" s="92" t="str">
        <f ca="1">IFERROR(__xludf.DUMMYFUNCTION("filter('Back End'!C:C,'Back End'!A:A=A1852,'Back End'!B:B=B1852,'Back End'!D:D=D1852)"),"Gonchala")</f>
        <v>Gonchala</v>
      </c>
      <c r="D1852" s="91" t="s">
        <v>402</v>
      </c>
      <c r="E1852" s="91" t="s">
        <v>5420</v>
      </c>
      <c r="F1852" s="67" t="s">
        <v>3138</v>
      </c>
      <c r="G1852" s="67"/>
      <c r="H1852" s="93" t="s">
        <v>4</v>
      </c>
      <c r="I1852" s="67"/>
      <c r="J1852" s="92">
        <v>9055226666</v>
      </c>
      <c r="K1852" s="67"/>
      <c r="L1852" s="67"/>
      <c r="M1852" s="67"/>
      <c r="N1852" s="67"/>
      <c r="O1852" s="67"/>
    </row>
    <row r="1853" spans="1:15" ht="15">
      <c r="A1853" s="91" t="s">
        <v>15</v>
      </c>
      <c r="B1853" s="91" t="s">
        <v>389</v>
      </c>
      <c r="C1853" s="92" t="str">
        <f ca="1">IFERROR(__xludf.DUMMYFUNCTION("filter('Back End'!C:C,'Back End'!A:A=A1853,'Back End'!B:B=B1853,'Back End'!D:D=D1853)"),"Hussianpuram")</f>
        <v>Hussianpuram</v>
      </c>
      <c r="D1853" s="91" t="s">
        <v>404</v>
      </c>
      <c r="E1853" s="91" t="s">
        <v>5421</v>
      </c>
      <c r="F1853" s="67" t="s">
        <v>3138</v>
      </c>
      <c r="G1853" s="67"/>
      <c r="H1853" s="93" t="s">
        <v>4</v>
      </c>
      <c r="I1853" s="67"/>
      <c r="J1853" s="92">
        <v>9177995640</v>
      </c>
      <c r="K1853" s="67"/>
      <c r="L1853" s="67"/>
      <c r="M1853" s="67"/>
      <c r="N1853" s="67"/>
      <c r="O1853" s="67"/>
    </row>
    <row r="1854" spans="1:15" ht="15">
      <c r="A1854" s="91" t="s">
        <v>15</v>
      </c>
      <c r="B1854" s="91" t="s">
        <v>389</v>
      </c>
      <c r="C1854" s="92" t="str">
        <f ca="1">IFERROR(__xludf.DUMMYFUNCTION("filter('Back End'!C:C,'Back End'!A:A=A1854,'Back End'!B:B=B1854,'Back End'!D:D=D1854)"),"Hussianpuram")</f>
        <v>Hussianpuram</v>
      </c>
      <c r="D1854" s="91" t="s">
        <v>404</v>
      </c>
      <c r="E1854" s="91" t="s">
        <v>5422</v>
      </c>
      <c r="F1854" s="67" t="s">
        <v>3138</v>
      </c>
      <c r="G1854" s="67"/>
      <c r="H1854" s="93" t="s">
        <v>4</v>
      </c>
      <c r="I1854" s="92" t="s">
        <v>3125</v>
      </c>
      <c r="J1854" s="92">
        <v>9959850145</v>
      </c>
      <c r="K1854" s="67"/>
      <c r="L1854" s="67"/>
      <c r="M1854" s="67"/>
      <c r="N1854" s="67"/>
      <c r="O1854" s="67"/>
    </row>
    <row r="1855" spans="1:15" ht="15">
      <c r="A1855" s="91" t="s">
        <v>15</v>
      </c>
      <c r="B1855" s="91" t="s">
        <v>389</v>
      </c>
      <c r="C1855" s="92" t="str">
        <f ca="1">IFERROR(__xludf.DUMMYFUNCTION("filter('Back End'!C:C,'Back End'!A:A=A1855,'Back End'!B:B=B1855,'Back End'!D:D=D1855)"),"Hussianpuram")</f>
        <v>Hussianpuram</v>
      </c>
      <c r="D1855" s="91" t="s">
        <v>404</v>
      </c>
      <c r="E1855" s="91" t="s">
        <v>5423</v>
      </c>
      <c r="F1855" s="67" t="s">
        <v>3138</v>
      </c>
      <c r="G1855" s="67"/>
      <c r="H1855" s="93" t="s">
        <v>4</v>
      </c>
      <c r="I1855" s="67"/>
      <c r="J1855" s="92">
        <v>9550275561</v>
      </c>
      <c r="K1855" s="67"/>
      <c r="L1855" s="67"/>
      <c r="M1855" s="67"/>
      <c r="N1855" s="67"/>
      <c r="O1855" s="67"/>
    </row>
    <row r="1856" spans="1:15" ht="15">
      <c r="A1856" s="91" t="s">
        <v>15</v>
      </c>
      <c r="B1856" s="91" t="s">
        <v>389</v>
      </c>
      <c r="C1856" s="92" t="str">
        <f ca="1">IFERROR(__xludf.DUMMYFUNCTION("filter('Back End'!C:C,'Back End'!A:A=A1856,'Back End'!B:B=B1856,'Back End'!D:D=D1856)"),"Navara")</f>
        <v>Navara</v>
      </c>
      <c r="D1856" s="91" t="s">
        <v>411</v>
      </c>
      <c r="E1856" s="91" t="s">
        <v>5424</v>
      </c>
      <c r="F1856" s="67" t="s">
        <v>3138</v>
      </c>
      <c r="G1856" s="67"/>
      <c r="H1856" s="93" t="s">
        <v>4</v>
      </c>
      <c r="I1856" s="67"/>
      <c r="J1856" s="92">
        <v>9000456242</v>
      </c>
      <c r="K1856" s="67"/>
      <c r="L1856" s="67"/>
      <c r="M1856" s="67"/>
      <c r="N1856" s="67"/>
      <c r="O1856" s="67"/>
    </row>
    <row r="1857" spans="1:15" ht="15">
      <c r="A1857" s="91" t="s">
        <v>15</v>
      </c>
      <c r="B1857" s="91" t="s">
        <v>389</v>
      </c>
      <c r="C1857" s="92" t="str">
        <f ca="1">IFERROR(__xludf.DUMMYFUNCTION("filter('Back End'!C:C,'Back End'!A:A=A1857,'Back End'!B:B=B1857,'Back End'!D:D=D1857)"),"Navara")</f>
        <v>Navara</v>
      </c>
      <c r="D1857" s="91" t="s">
        <v>411</v>
      </c>
      <c r="E1857" s="91" t="s">
        <v>5425</v>
      </c>
      <c r="F1857" s="67" t="s">
        <v>3138</v>
      </c>
      <c r="G1857" s="67"/>
      <c r="H1857" s="93" t="s">
        <v>4</v>
      </c>
      <c r="I1857" s="92" t="s">
        <v>3125</v>
      </c>
      <c r="J1857" s="92">
        <v>9949473019</v>
      </c>
      <c r="K1857" s="67"/>
      <c r="L1857" s="67"/>
      <c r="M1857" s="67"/>
      <c r="N1857" s="67"/>
      <c r="O1857" s="67"/>
    </row>
    <row r="1858" spans="1:15" ht="15">
      <c r="A1858" s="91" t="s">
        <v>15</v>
      </c>
      <c r="B1858" s="91" t="s">
        <v>389</v>
      </c>
      <c r="C1858" s="92" t="str">
        <f ca="1">IFERROR(__xludf.DUMMYFUNCTION("filter('Back End'!C:C,'Back End'!A:A=A1858,'Back End'!B:B=B1858,'Back End'!D:D=D1858)"),"Navara")</f>
        <v>Navara</v>
      </c>
      <c r="D1858" s="91" t="s">
        <v>411</v>
      </c>
      <c r="E1858" s="91" t="s">
        <v>5426</v>
      </c>
      <c r="F1858" s="67" t="s">
        <v>3138</v>
      </c>
      <c r="G1858" s="67"/>
      <c r="H1858" s="93" t="s">
        <v>4</v>
      </c>
      <c r="I1858" s="67"/>
      <c r="J1858" s="92">
        <v>9100203561</v>
      </c>
      <c r="K1858" s="67"/>
      <c r="L1858" s="67"/>
      <c r="M1858" s="67"/>
      <c r="N1858" s="67"/>
      <c r="O1858" s="67"/>
    </row>
    <row r="1859" spans="1:15" ht="15">
      <c r="A1859" s="91" t="s">
        <v>15</v>
      </c>
      <c r="B1859" s="91" t="s">
        <v>389</v>
      </c>
      <c r="C1859" s="92" t="str">
        <f ca="1">IFERROR(__xludf.DUMMYFUNCTION("filter('Back End'!C:C,'Back End'!A:A=A1859,'Back End'!B:B=B1859,'Back End'!D:D=D1859)"),"Panasapadu")</f>
        <v>Panasapadu</v>
      </c>
      <c r="D1859" s="91" t="s">
        <v>415</v>
      </c>
      <c r="E1859" s="91" t="s">
        <v>5427</v>
      </c>
      <c r="F1859" s="67" t="s">
        <v>3138</v>
      </c>
      <c r="G1859" s="67"/>
      <c r="H1859" s="93" t="s">
        <v>4</v>
      </c>
      <c r="I1859" s="92" t="s">
        <v>3125</v>
      </c>
      <c r="J1859" s="92">
        <v>9963871541</v>
      </c>
      <c r="K1859" s="67"/>
      <c r="L1859" s="67"/>
      <c r="M1859" s="67"/>
      <c r="N1859" s="67"/>
      <c r="O1859" s="67"/>
    </row>
    <row r="1860" spans="1:15" ht="15">
      <c r="A1860" s="91" t="s">
        <v>15</v>
      </c>
      <c r="B1860" s="91" t="s">
        <v>389</v>
      </c>
      <c r="C1860" s="92" t="str">
        <f ca="1">IFERROR(__xludf.DUMMYFUNCTION("filter('Back End'!C:C,'Back End'!A:A=A1860,'Back End'!B:B=B1860,'Back End'!D:D=D1860)"),"Panasapadu")</f>
        <v>Panasapadu</v>
      </c>
      <c r="D1860" s="91" t="s">
        <v>415</v>
      </c>
      <c r="E1860" s="91" t="s">
        <v>5428</v>
      </c>
      <c r="F1860" s="67" t="s">
        <v>3138</v>
      </c>
      <c r="G1860" s="67"/>
      <c r="H1860" s="93" t="s">
        <v>4</v>
      </c>
      <c r="I1860" s="67"/>
      <c r="J1860" s="92">
        <v>9494205657</v>
      </c>
      <c r="K1860" s="67"/>
      <c r="L1860" s="67"/>
      <c r="M1860" s="67"/>
      <c r="N1860" s="67"/>
      <c r="O1860" s="67"/>
    </row>
    <row r="1861" spans="1:15" ht="15">
      <c r="A1861" s="91" t="s">
        <v>15</v>
      </c>
      <c r="B1861" s="91" t="s">
        <v>389</v>
      </c>
      <c r="C1861" s="92" t="str">
        <f ca="1">IFERROR(__xludf.DUMMYFUNCTION("filter('Back End'!C:C,'Back End'!A:A=A1861,'Back End'!B:B=B1861,'Back End'!D:D=D1861)"),"Panasapadu")</f>
        <v>Panasapadu</v>
      </c>
      <c r="D1861" s="91" t="s">
        <v>415</v>
      </c>
      <c r="E1861" s="91" t="s">
        <v>5211</v>
      </c>
      <c r="F1861" s="67" t="s">
        <v>3138</v>
      </c>
      <c r="G1861" s="67"/>
      <c r="H1861" s="93" t="s">
        <v>4</v>
      </c>
      <c r="I1861" s="67"/>
      <c r="J1861" s="92">
        <v>9000824900</v>
      </c>
      <c r="K1861" s="67"/>
      <c r="L1861" s="67"/>
      <c r="M1861" s="67"/>
      <c r="N1861" s="67"/>
      <c r="O1861" s="67"/>
    </row>
    <row r="1862" spans="1:15" ht="15">
      <c r="A1862" s="91" t="s">
        <v>15</v>
      </c>
      <c r="B1862" s="91" t="s">
        <v>389</v>
      </c>
      <c r="C1862" s="92" t="str">
        <f ca="1">IFERROR(__xludf.DUMMYFUNCTION("filter('Back End'!C:C,'Back End'!A:A=A1862,'Back End'!B:B=B1862,'Back End'!D:D=D1862)"),"Panasapadu")</f>
        <v>Panasapadu</v>
      </c>
      <c r="D1862" s="91" t="s">
        <v>415</v>
      </c>
      <c r="E1862" s="91" t="s">
        <v>5429</v>
      </c>
      <c r="F1862" s="67" t="s">
        <v>3138</v>
      </c>
      <c r="G1862" s="67"/>
      <c r="H1862" s="93" t="s">
        <v>4</v>
      </c>
      <c r="I1862" s="67"/>
      <c r="J1862" s="92">
        <v>9848592328</v>
      </c>
      <c r="K1862" s="67"/>
      <c r="L1862" s="67"/>
      <c r="M1862" s="67"/>
      <c r="N1862" s="67"/>
      <c r="O1862" s="67"/>
    </row>
    <row r="1863" spans="1:15" ht="15">
      <c r="A1863" s="91" t="s">
        <v>15</v>
      </c>
      <c r="B1863" s="91" t="s">
        <v>389</v>
      </c>
      <c r="C1863" s="92" t="str">
        <f ca="1">IFERROR(__xludf.DUMMYFUNCTION("filter('Back End'!C:C,'Back End'!A:A=A1863,'Back End'!B:B=B1863,'Back End'!D:D=D1863)"),"Pandravada")</f>
        <v>Pandravada</v>
      </c>
      <c r="D1863" s="91" t="s">
        <v>417</v>
      </c>
      <c r="E1863" s="91" t="s">
        <v>5430</v>
      </c>
      <c r="F1863" s="67" t="s">
        <v>3138</v>
      </c>
      <c r="G1863" s="67"/>
      <c r="H1863" s="93" t="s">
        <v>4</v>
      </c>
      <c r="I1863" s="67"/>
      <c r="J1863" s="92">
        <v>9121590403</v>
      </c>
      <c r="K1863" s="67"/>
      <c r="L1863" s="67"/>
      <c r="M1863" s="67"/>
      <c r="N1863" s="67"/>
      <c r="O1863" s="67"/>
    </row>
    <row r="1864" spans="1:15" ht="15">
      <c r="A1864" s="91" t="s">
        <v>15</v>
      </c>
      <c r="B1864" s="91" t="s">
        <v>389</v>
      </c>
      <c r="C1864" s="92" t="str">
        <f ca="1">IFERROR(__xludf.DUMMYFUNCTION("filter('Back End'!C:C,'Back End'!A:A=A1864,'Back End'!B:B=B1864,'Back End'!D:D=D1864)"),"Pandravada")</f>
        <v>Pandravada</v>
      </c>
      <c r="D1864" s="91" t="s">
        <v>417</v>
      </c>
      <c r="E1864" s="91" t="s">
        <v>5431</v>
      </c>
      <c r="F1864" s="67" t="s">
        <v>3138</v>
      </c>
      <c r="G1864" s="67"/>
      <c r="H1864" s="93" t="s">
        <v>4</v>
      </c>
      <c r="I1864" s="92" t="s">
        <v>3125</v>
      </c>
      <c r="J1864" s="92">
        <v>9542632413</v>
      </c>
      <c r="K1864" s="67"/>
      <c r="L1864" s="67"/>
      <c r="M1864" s="67"/>
      <c r="N1864" s="67"/>
      <c r="O1864" s="67"/>
    </row>
    <row r="1865" spans="1:15" ht="30">
      <c r="A1865" s="91" t="s">
        <v>15</v>
      </c>
      <c r="B1865" s="91" t="s">
        <v>389</v>
      </c>
      <c r="C1865" s="92" t="str">
        <f ca="1">IFERROR(__xludf.DUMMYFUNCTION("filter('Back End'!C:C,'Back End'!A:A=A1865,'Back End'!B:B=B1865,'Back End'!D:D=D1865)"),"Pedabrahmadevam")</f>
        <v>Pedabrahmadevam</v>
      </c>
      <c r="D1865" s="91" t="s">
        <v>421</v>
      </c>
      <c r="E1865" s="91" t="s">
        <v>5432</v>
      </c>
      <c r="F1865" s="67" t="s">
        <v>3138</v>
      </c>
      <c r="G1865" s="67"/>
      <c r="H1865" s="93" t="s">
        <v>4</v>
      </c>
      <c r="I1865" s="67"/>
      <c r="J1865" s="92">
        <v>9618483586</v>
      </c>
      <c r="K1865" s="67"/>
      <c r="L1865" s="67"/>
      <c r="M1865" s="67"/>
      <c r="N1865" s="67"/>
      <c r="O1865" s="67"/>
    </row>
    <row r="1866" spans="1:15" ht="30">
      <c r="A1866" s="91" t="s">
        <v>15</v>
      </c>
      <c r="B1866" s="91" t="s">
        <v>389</v>
      </c>
      <c r="C1866" s="92" t="str">
        <f ca="1">IFERROR(__xludf.DUMMYFUNCTION("filter('Back End'!C:C,'Back End'!A:A=A1866,'Back End'!B:B=B1866,'Back End'!D:D=D1866)"),"Pedabrahmadevam")</f>
        <v>Pedabrahmadevam</v>
      </c>
      <c r="D1866" s="91" t="s">
        <v>421</v>
      </c>
      <c r="E1866" s="91" t="s">
        <v>5433</v>
      </c>
      <c r="F1866" s="67" t="s">
        <v>3138</v>
      </c>
      <c r="G1866" s="67"/>
      <c r="H1866" s="93" t="s">
        <v>4</v>
      </c>
      <c r="I1866" s="67"/>
      <c r="J1866" s="92">
        <v>9951665466</v>
      </c>
      <c r="K1866" s="67"/>
      <c r="L1866" s="67"/>
      <c r="M1866" s="67"/>
      <c r="N1866" s="67"/>
      <c r="O1866" s="67"/>
    </row>
    <row r="1867" spans="1:15" ht="30">
      <c r="A1867" s="91" t="s">
        <v>15</v>
      </c>
      <c r="B1867" s="91" t="s">
        <v>389</v>
      </c>
      <c r="C1867" s="92" t="str">
        <f ca="1">IFERROR(__xludf.DUMMYFUNCTION("filter('Back End'!C:C,'Back End'!A:A=A1867,'Back End'!B:B=B1867,'Back End'!D:D=D1867)"),"Pedabrahmadevam")</f>
        <v>Pedabrahmadevam</v>
      </c>
      <c r="D1867" s="91" t="s">
        <v>421</v>
      </c>
      <c r="E1867" s="91" t="s">
        <v>5434</v>
      </c>
      <c r="F1867" s="67" t="s">
        <v>3138</v>
      </c>
      <c r="G1867" s="67"/>
      <c r="H1867" s="93" t="s">
        <v>4</v>
      </c>
      <c r="I1867" s="67"/>
      <c r="J1867" s="92">
        <v>7306636496</v>
      </c>
      <c r="K1867" s="67"/>
      <c r="L1867" s="67"/>
      <c r="M1867" s="67"/>
      <c r="N1867" s="67"/>
      <c r="O1867" s="67"/>
    </row>
    <row r="1868" spans="1:15" ht="30">
      <c r="A1868" s="91" t="s">
        <v>15</v>
      </c>
      <c r="B1868" s="91" t="s">
        <v>389</v>
      </c>
      <c r="C1868" s="92" t="str">
        <f ca="1">IFERROR(__xludf.DUMMYFUNCTION("filter('Back End'!C:C,'Back End'!A:A=A1868,'Back End'!B:B=B1868,'Back End'!D:D=D1868)"),"Pedabrahmadevam")</f>
        <v>Pedabrahmadevam</v>
      </c>
      <c r="D1868" s="91" t="s">
        <v>421</v>
      </c>
      <c r="E1868" s="91" t="s">
        <v>5435</v>
      </c>
      <c r="F1868" s="67" t="s">
        <v>3138</v>
      </c>
      <c r="G1868" s="67"/>
      <c r="H1868" s="93" t="s">
        <v>4</v>
      </c>
      <c r="I1868" s="67"/>
      <c r="J1868" s="92">
        <v>9989755936</v>
      </c>
      <c r="K1868" s="67"/>
      <c r="L1868" s="67"/>
      <c r="M1868" s="67"/>
      <c r="N1868" s="67"/>
      <c r="O1868" s="67"/>
    </row>
    <row r="1869" spans="1:15" ht="30">
      <c r="A1869" s="91" t="s">
        <v>15</v>
      </c>
      <c r="B1869" s="91" t="s">
        <v>389</v>
      </c>
      <c r="C1869" s="92" t="str">
        <f ca="1">IFERROR(__xludf.DUMMYFUNCTION("filter('Back End'!C:C,'Back End'!A:A=A1869,'Back End'!B:B=B1869,'Back End'!D:D=D1869)"),"Pedabrahmadevam")</f>
        <v>Pedabrahmadevam</v>
      </c>
      <c r="D1869" s="91" t="s">
        <v>421</v>
      </c>
      <c r="E1869" s="91" t="s">
        <v>5436</v>
      </c>
      <c r="F1869" s="67" t="s">
        <v>3138</v>
      </c>
      <c r="G1869" s="67"/>
      <c r="H1869" s="93" t="s">
        <v>4</v>
      </c>
      <c r="I1869" s="67"/>
      <c r="J1869" s="92">
        <v>9492554999</v>
      </c>
      <c r="K1869" s="67"/>
      <c r="L1869" s="67"/>
      <c r="M1869" s="67"/>
      <c r="N1869" s="67"/>
      <c r="O1869" s="67"/>
    </row>
    <row r="1870" spans="1:15" ht="30">
      <c r="A1870" s="91" t="s">
        <v>15</v>
      </c>
      <c r="B1870" s="91" t="s">
        <v>389</v>
      </c>
      <c r="C1870" s="92" t="str">
        <f ca="1">IFERROR(__xludf.DUMMYFUNCTION("filter('Back End'!C:C,'Back End'!A:A=A1870,'Back End'!B:B=B1870,'Back End'!D:D=D1870)"),"Pedabrahmadevam")</f>
        <v>Pedabrahmadevam</v>
      </c>
      <c r="D1870" s="91" t="s">
        <v>421</v>
      </c>
      <c r="E1870" s="91" t="s">
        <v>5437</v>
      </c>
      <c r="F1870" s="67" t="s">
        <v>3138</v>
      </c>
      <c r="G1870" s="67"/>
      <c r="H1870" s="93" t="s">
        <v>4</v>
      </c>
      <c r="I1870" s="67"/>
      <c r="J1870" s="92">
        <v>9963122557</v>
      </c>
      <c r="K1870" s="67"/>
      <c r="L1870" s="67"/>
      <c r="M1870" s="67"/>
      <c r="N1870" s="67"/>
      <c r="O1870" s="67"/>
    </row>
    <row r="1871" spans="1:15" ht="30">
      <c r="A1871" s="91" t="s">
        <v>15</v>
      </c>
      <c r="B1871" s="91" t="s">
        <v>389</v>
      </c>
      <c r="C1871" s="92" t="str">
        <f ca="1">IFERROR(__xludf.DUMMYFUNCTION("filter('Back End'!C:C,'Back End'!A:A=A1871,'Back End'!B:B=B1871,'Back End'!D:D=D1871)"),"Pedabrahmadevam")</f>
        <v>Pedabrahmadevam</v>
      </c>
      <c r="D1871" s="91" t="s">
        <v>421</v>
      </c>
      <c r="E1871" s="91" t="s">
        <v>5438</v>
      </c>
      <c r="F1871" s="67" t="s">
        <v>3138</v>
      </c>
      <c r="G1871" s="67"/>
      <c r="H1871" s="93" t="s">
        <v>4</v>
      </c>
      <c r="I1871" s="67"/>
      <c r="J1871" s="92">
        <v>9346953999</v>
      </c>
      <c r="K1871" s="67"/>
      <c r="L1871" s="67"/>
      <c r="M1871" s="67"/>
      <c r="N1871" s="67"/>
      <c r="O1871" s="67"/>
    </row>
    <row r="1872" spans="1:15" ht="30">
      <c r="A1872" s="91" t="s">
        <v>15</v>
      </c>
      <c r="B1872" s="91" t="s">
        <v>389</v>
      </c>
      <c r="C1872" s="92" t="str">
        <f ca="1">IFERROR(__xludf.DUMMYFUNCTION("filter('Back End'!C:C,'Back End'!A:A=A1872,'Back End'!B:B=B1872,'Back End'!D:D=D1872)"),"Pedabrahmadevam")</f>
        <v>Pedabrahmadevam</v>
      </c>
      <c r="D1872" s="91" t="s">
        <v>421</v>
      </c>
      <c r="E1872" s="91" t="s">
        <v>5439</v>
      </c>
      <c r="F1872" s="67" t="s">
        <v>3138</v>
      </c>
      <c r="G1872" s="67"/>
      <c r="H1872" s="93" t="s">
        <v>4</v>
      </c>
      <c r="I1872" s="92" t="s">
        <v>3125</v>
      </c>
      <c r="J1872" s="92">
        <v>7386545555</v>
      </c>
      <c r="K1872" s="67"/>
      <c r="L1872" s="67"/>
      <c r="M1872" s="67"/>
      <c r="N1872" s="67"/>
      <c r="O1872" s="67"/>
    </row>
    <row r="1873" spans="1:15" ht="30">
      <c r="A1873" s="91" t="s">
        <v>15</v>
      </c>
      <c r="B1873" s="91" t="s">
        <v>389</v>
      </c>
      <c r="C1873" s="92" t="str">
        <f ca="1">IFERROR(__xludf.DUMMYFUNCTION("filter('Back End'!C:C,'Back End'!A:A=A1873,'Back End'!B:B=B1873,'Back End'!D:D=D1873)"),"Pedabrahmadevam")</f>
        <v>Pedabrahmadevam</v>
      </c>
      <c r="D1873" s="91" t="s">
        <v>421</v>
      </c>
      <c r="E1873" s="91" t="s">
        <v>5440</v>
      </c>
      <c r="F1873" s="67" t="s">
        <v>3138</v>
      </c>
      <c r="G1873" s="67"/>
      <c r="H1873" s="93" t="s">
        <v>4</v>
      </c>
      <c r="I1873" s="67"/>
      <c r="J1873" s="92">
        <v>9959677818</v>
      </c>
      <c r="K1873" s="67"/>
      <c r="L1873" s="67"/>
      <c r="M1873" s="67"/>
      <c r="N1873" s="67"/>
      <c r="O1873" s="67"/>
    </row>
    <row r="1874" spans="1:15" ht="15">
      <c r="A1874" s="91" t="s">
        <v>15</v>
      </c>
      <c r="B1874" s="91" t="s">
        <v>389</v>
      </c>
      <c r="C1874" s="92" t="str">
        <f ca="1">IFERROR(__xludf.DUMMYFUNCTION("filter('Back End'!C:C,'Back End'!A:A=A1874,'Back End'!B:B=B1874,'Back End'!D:D=D1874)"),"Unduru")</f>
        <v>Unduru</v>
      </c>
      <c r="D1874" s="91" t="s">
        <v>423</v>
      </c>
      <c r="E1874" s="91" t="s">
        <v>5441</v>
      </c>
      <c r="F1874" s="67" t="s">
        <v>3138</v>
      </c>
      <c r="G1874" s="67"/>
      <c r="H1874" s="93" t="s">
        <v>4</v>
      </c>
      <c r="I1874" s="67"/>
      <c r="J1874" s="92">
        <v>9177824901</v>
      </c>
      <c r="K1874" s="67"/>
      <c r="L1874" s="67"/>
      <c r="M1874" s="67"/>
      <c r="N1874" s="67"/>
      <c r="O1874" s="67"/>
    </row>
    <row r="1875" spans="1:15" ht="15">
      <c r="A1875" s="91" t="s">
        <v>15</v>
      </c>
      <c r="B1875" s="91" t="s">
        <v>389</v>
      </c>
      <c r="C1875" s="92" t="str">
        <f ca="1">IFERROR(__xludf.DUMMYFUNCTION("filter('Back End'!C:C,'Back End'!A:A=A1875,'Back End'!B:B=B1875,'Back End'!D:D=D1875)"),"Unduru")</f>
        <v>Unduru</v>
      </c>
      <c r="D1875" s="91" t="s">
        <v>423</v>
      </c>
      <c r="E1875" s="91" t="s">
        <v>5442</v>
      </c>
      <c r="F1875" s="67" t="s">
        <v>3138</v>
      </c>
      <c r="G1875" s="67"/>
      <c r="H1875" s="93" t="s">
        <v>4</v>
      </c>
      <c r="I1875" s="92" t="s">
        <v>3125</v>
      </c>
      <c r="J1875" s="92">
        <v>8790239808</v>
      </c>
      <c r="K1875" s="67"/>
      <c r="L1875" s="67"/>
      <c r="M1875" s="67"/>
      <c r="N1875" s="67"/>
      <c r="O1875" s="67"/>
    </row>
    <row r="1876" spans="1:15" ht="30">
      <c r="A1876" s="91" t="s">
        <v>15</v>
      </c>
      <c r="B1876" s="91" t="s">
        <v>389</v>
      </c>
      <c r="C1876" s="92" t="str">
        <f ca="1">IFERROR(__xludf.DUMMYFUNCTION("filter('Back End'!C:C,'Back End'!A:A=A1876,'Back End'!B:B=B1876,'Back End'!D:D=D1876)"),"Venkatakrishnarayapuram")</f>
        <v>Venkatakrishnarayapuram</v>
      </c>
      <c r="D1876" s="91" t="s">
        <v>426</v>
      </c>
      <c r="E1876" s="91" t="s">
        <v>5443</v>
      </c>
      <c r="F1876" s="67" t="s">
        <v>3138</v>
      </c>
      <c r="G1876" s="67"/>
      <c r="H1876" s="93" t="s">
        <v>4</v>
      </c>
      <c r="I1876" s="67"/>
      <c r="J1876" s="92">
        <v>9347420287</v>
      </c>
      <c r="K1876" s="67"/>
      <c r="L1876" s="67"/>
      <c r="M1876" s="67"/>
      <c r="N1876" s="67"/>
      <c r="O1876" s="67"/>
    </row>
    <row r="1877" spans="1:15" ht="30">
      <c r="A1877" s="91" t="s">
        <v>15</v>
      </c>
      <c r="B1877" s="91" t="s">
        <v>389</v>
      </c>
      <c r="C1877" s="92" t="str">
        <f ca="1">IFERROR(__xludf.DUMMYFUNCTION("filter('Back End'!C:C,'Back End'!A:A=A1877,'Back End'!B:B=B1877,'Back End'!D:D=D1877)"),"Venkatakrishnarayapuram")</f>
        <v>Venkatakrishnarayapuram</v>
      </c>
      <c r="D1877" s="91" t="s">
        <v>426</v>
      </c>
      <c r="E1877" s="91" t="s">
        <v>5444</v>
      </c>
      <c r="F1877" s="67" t="s">
        <v>3138</v>
      </c>
      <c r="G1877" s="67"/>
      <c r="H1877" s="93" t="s">
        <v>4</v>
      </c>
      <c r="I1877" s="67"/>
      <c r="J1877" s="92">
        <v>9533722999</v>
      </c>
      <c r="K1877" s="67"/>
      <c r="L1877" s="67"/>
      <c r="M1877" s="67"/>
      <c r="N1877" s="67"/>
      <c r="O1877" s="67"/>
    </row>
    <row r="1878" spans="1:15" ht="30">
      <c r="A1878" s="91" t="s">
        <v>15</v>
      </c>
      <c r="B1878" s="91" t="s">
        <v>389</v>
      </c>
      <c r="C1878" s="92" t="str">
        <f ca="1">IFERROR(__xludf.DUMMYFUNCTION("filter('Back End'!C:C,'Back End'!A:A=A1878,'Back End'!B:B=B1878,'Back End'!D:D=D1878)"),"Venkatakrishnarayapuram")</f>
        <v>Venkatakrishnarayapuram</v>
      </c>
      <c r="D1878" s="91" t="s">
        <v>426</v>
      </c>
      <c r="E1878" s="91" t="s">
        <v>5445</v>
      </c>
      <c r="F1878" s="67" t="s">
        <v>3138</v>
      </c>
      <c r="G1878" s="67"/>
      <c r="H1878" s="93" t="s">
        <v>4</v>
      </c>
      <c r="I1878" s="92" t="s">
        <v>3125</v>
      </c>
      <c r="J1878" s="92">
        <v>9666733666</v>
      </c>
      <c r="K1878" s="67"/>
      <c r="L1878" s="67"/>
      <c r="M1878" s="67"/>
      <c r="N1878" s="67"/>
      <c r="O1878" s="67"/>
    </row>
    <row r="1879" spans="1:15" ht="30">
      <c r="A1879" s="91" t="s">
        <v>15</v>
      </c>
      <c r="B1879" s="91" t="s">
        <v>389</v>
      </c>
      <c r="C1879" s="92" t="str">
        <f ca="1">IFERROR(__xludf.DUMMYFUNCTION("filter('Back End'!C:C,'Back End'!A:A=A1879,'Back End'!B:B=B1879,'Back End'!D:D=D1879)"),"Venkatakrishnarayapuram")</f>
        <v>Venkatakrishnarayapuram</v>
      </c>
      <c r="D1879" s="91" t="s">
        <v>426</v>
      </c>
      <c r="E1879" s="91" t="s">
        <v>5446</v>
      </c>
      <c r="F1879" s="67" t="s">
        <v>3138</v>
      </c>
      <c r="G1879" s="67"/>
      <c r="H1879" s="93" t="s">
        <v>4</v>
      </c>
      <c r="I1879" s="67"/>
      <c r="J1879" s="92">
        <v>7288912996</v>
      </c>
      <c r="K1879" s="67"/>
      <c r="L1879" s="67"/>
      <c r="M1879" s="67"/>
      <c r="N1879" s="67"/>
      <c r="O1879" s="67"/>
    </row>
    <row r="1880" spans="1:15" ht="30">
      <c r="A1880" s="91" t="s">
        <v>15</v>
      </c>
      <c r="B1880" s="91" t="s">
        <v>389</v>
      </c>
      <c r="C1880" s="92" t="str">
        <f ca="1">IFERROR(__xludf.DUMMYFUNCTION("filter('Back End'!C:C,'Back End'!A:A=A1880,'Back End'!B:B=B1880,'Back End'!D:D=D1880)"),"Venkatakrishnarayapuram")</f>
        <v>Venkatakrishnarayapuram</v>
      </c>
      <c r="D1880" s="91" t="s">
        <v>426</v>
      </c>
      <c r="E1880" s="91" t="s">
        <v>5447</v>
      </c>
      <c r="F1880" s="67" t="s">
        <v>3138</v>
      </c>
      <c r="G1880" s="67"/>
      <c r="H1880" s="93" t="s">
        <v>4</v>
      </c>
      <c r="I1880" s="67"/>
      <c r="J1880" s="92">
        <v>9705228111</v>
      </c>
      <c r="K1880" s="67"/>
      <c r="L1880" s="67"/>
      <c r="M1880" s="67"/>
      <c r="N1880" s="67"/>
      <c r="O1880" s="67"/>
    </row>
    <row r="1881" spans="1:15" ht="30">
      <c r="A1881" s="91" t="s">
        <v>15</v>
      </c>
      <c r="B1881" s="91" t="s">
        <v>389</v>
      </c>
      <c r="C1881" s="92" t="str">
        <f ca="1">IFERROR(__xludf.DUMMYFUNCTION("filter('Back End'!C:C,'Back End'!A:A=A1881,'Back End'!B:B=B1881,'Back End'!D:D=D1881)"),"Venkatakrishnarayapuram")</f>
        <v>Venkatakrishnarayapuram</v>
      </c>
      <c r="D1881" s="91" t="s">
        <v>426</v>
      </c>
      <c r="E1881" s="91" t="s">
        <v>5448</v>
      </c>
      <c r="F1881" s="67" t="s">
        <v>3138</v>
      </c>
      <c r="G1881" s="67"/>
      <c r="H1881" s="93" t="s">
        <v>4</v>
      </c>
      <c r="I1881" s="67"/>
      <c r="J1881" s="92">
        <v>9492928222</v>
      </c>
      <c r="K1881" s="67"/>
      <c r="L1881" s="67"/>
      <c r="M1881" s="67"/>
      <c r="N1881" s="67"/>
      <c r="O1881" s="67"/>
    </row>
    <row r="1882" spans="1:15" ht="15">
      <c r="A1882" s="91" t="s">
        <v>15</v>
      </c>
      <c r="B1882" s="91" t="s">
        <v>389</v>
      </c>
      <c r="C1882" s="92" t="str">
        <f ca="1">IFERROR(__xludf.DUMMYFUNCTION("filter('Back End'!C:C,'Back End'!A:A=A1882,'Back End'!B:B=B1882,'Back End'!D:D=D1882)"),"Vetlapalem")</f>
        <v>Vetlapalem</v>
      </c>
      <c r="D1882" s="91" t="s">
        <v>428</v>
      </c>
      <c r="E1882" s="91" t="s">
        <v>5449</v>
      </c>
      <c r="F1882" s="67" t="s">
        <v>3138</v>
      </c>
      <c r="G1882" s="67"/>
      <c r="H1882" s="93" t="s">
        <v>4</v>
      </c>
      <c r="I1882" s="67"/>
      <c r="J1882" s="92">
        <v>9505432549</v>
      </c>
      <c r="K1882" s="67"/>
      <c r="L1882" s="67"/>
      <c r="M1882" s="67"/>
      <c r="N1882" s="67"/>
      <c r="O1882" s="67"/>
    </row>
    <row r="1883" spans="1:15" ht="15">
      <c r="A1883" s="91" t="s">
        <v>15</v>
      </c>
      <c r="B1883" s="91" t="s">
        <v>389</v>
      </c>
      <c r="C1883" s="92" t="str">
        <f ca="1">IFERROR(__xludf.DUMMYFUNCTION("filter('Back End'!C:C,'Back End'!A:A=A1883,'Back End'!B:B=B1883,'Back End'!D:D=D1883)"),"Vetlapalem")</f>
        <v>Vetlapalem</v>
      </c>
      <c r="D1883" s="91" t="s">
        <v>428</v>
      </c>
      <c r="E1883" s="91" t="s">
        <v>5450</v>
      </c>
      <c r="F1883" s="67" t="s">
        <v>3138</v>
      </c>
      <c r="G1883" s="67"/>
      <c r="H1883" s="93" t="s">
        <v>4</v>
      </c>
      <c r="I1883" s="67"/>
      <c r="J1883" s="92">
        <v>8519806178</v>
      </c>
      <c r="K1883" s="67"/>
      <c r="L1883" s="67"/>
      <c r="M1883" s="67"/>
      <c r="N1883" s="67"/>
      <c r="O1883" s="67"/>
    </row>
    <row r="1884" spans="1:15" ht="15">
      <c r="A1884" s="91" t="s">
        <v>15</v>
      </c>
      <c r="B1884" s="91" t="s">
        <v>389</v>
      </c>
      <c r="C1884" s="92" t="str">
        <f ca="1">IFERROR(__xludf.DUMMYFUNCTION("filter('Back End'!C:C,'Back End'!A:A=A1884,'Back End'!B:B=B1884,'Back End'!D:D=D1884)"),"Vetlapalem")</f>
        <v>Vetlapalem</v>
      </c>
      <c r="D1884" s="91" t="s">
        <v>428</v>
      </c>
      <c r="E1884" s="91" t="s">
        <v>5451</v>
      </c>
      <c r="F1884" s="67" t="s">
        <v>3138</v>
      </c>
      <c r="G1884" s="67"/>
      <c r="H1884" s="93" t="s">
        <v>4</v>
      </c>
      <c r="I1884" s="92" t="s">
        <v>3125</v>
      </c>
      <c r="J1884" s="92">
        <v>9848171456</v>
      </c>
      <c r="K1884" s="67"/>
      <c r="L1884" s="67"/>
      <c r="M1884" s="67"/>
      <c r="N1884" s="67"/>
      <c r="O1884" s="67"/>
    </row>
    <row r="1885" spans="1:15" ht="15">
      <c r="A1885" s="91" t="s">
        <v>15</v>
      </c>
      <c r="B1885" s="91" t="s">
        <v>389</v>
      </c>
      <c r="C1885" s="92" t="str">
        <f ca="1">IFERROR(__xludf.DUMMYFUNCTION("filter('Back End'!C:C,'Back End'!A:A=A1885,'Back End'!B:B=B1885,'Back End'!D:D=D1885)"),"Vetlapalem")</f>
        <v>Vetlapalem</v>
      </c>
      <c r="D1885" s="91" t="s">
        <v>428</v>
      </c>
      <c r="E1885" s="91" t="s">
        <v>5452</v>
      </c>
      <c r="F1885" s="67" t="s">
        <v>3138</v>
      </c>
      <c r="G1885" s="67"/>
      <c r="H1885" s="93" t="s">
        <v>4</v>
      </c>
      <c r="I1885" s="67"/>
      <c r="J1885" s="92">
        <v>9951790077</v>
      </c>
      <c r="K1885" s="67"/>
      <c r="L1885" s="67"/>
      <c r="M1885" s="67"/>
      <c r="N1885" s="67"/>
      <c r="O1885" s="67"/>
    </row>
    <row r="1886" spans="1:15" ht="15">
      <c r="A1886" s="91" t="s">
        <v>15</v>
      </c>
      <c r="B1886" s="91" t="s">
        <v>389</v>
      </c>
      <c r="C1886" s="92" t="str">
        <f ca="1">IFERROR(__xludf.DUMMYFUNCTION("filter('Back End'!C:C,'Back End'!A:A=A1886,'Back End'!B:B=B1886,'Back End'!D:D=D1886)"),"Vetlapalem")</f>
        <v>Vetlapalem</v>
      </c>
      <c r="D1886" s="91" t="s">
        <v>428</v>
      </c>
      <c r="E1886" s="91" t="s">
        <v>5453</v>
      </c>
      <c r="F1886" s="67" t="s">
        <v>3138</v>
      </c>
      <c r="G1886" s="67"/>
      <c r="H1886" s="93" t="s">
        <v>4</v>
      </c>
      <c r="I1886" s="67"/>
      <c r="J1886" s="92">
        <v>8341202778</v>
      </c>
      <c r="K1886" s="67"/>
      <c r="L1886" s="67"/>
      <c r="M1886" s="67"/>
      <c r="N1886" s="67"/>
      <c r="O1886" s="67"/>
    </row>
    <row r="1887" spans="1:15" ht="15">
      <c r="A1887" s="91" t="s">
        <v>15</v>
      </c>
      <c r="B1887" s="91" t="s">
        <v>389</v>
      </c>
      <c r="C1887" s="92" t="str">
        <f ca="1">IFERROR(__xludf.DUMMYFUNCTION("filter('Back End'!C:C,'Back End'!A:A=A1887,'Back End'!B:B=B1887,'Back End'!D:D=D1887)"),"Vetlapalem")</f>
        <v>Vetlapalem</v>
      </c>
      <c r="D1887" s="91" t="s">
        <v>428</v>
      </c>
      <c r="E1887" s="91" t="s">
        <v>5454</v>
      </c>
      <c r="F1887" s="67" t="s">
        <v>3138</v>
      </c>
      <c r="G1887" s="67"/>
      <c r="H1887" s="93" t="s">
        <v>4</v>
      </c>
      <c r="I1887" s="67"/>
      <c r="J1887" s="92">
        <v>9866388376</v>
      </c>
      <c r="K1887" s="67"/>
      <c r="L1887" s="67"/>
      <c r="M1887" s="67"/>
      <c r="N1887" s="67"/>
      <c r="O1887" s="67"/>
    </row>
    <row r="1888" spans="1:15" ht="15">
      <c r="A1888" s="91" t="s">
        <v>15</v>
      </c>
      <c r="B1888" s="91" t="s">
        <v>389</v>
      </c>
      <c r="C1888" s="92" t="str">
        <f ca="1">IFERROR(__xludf.DUMMYFUNCTION("filter('Back End'!C:C,'Back End'!A:A=A1888,'Back End'!B:B=B1888,'Back End'!D:D=D1888)"),"Vetlapalem")</f>
        <v>Vetlapalem</v>
      </c>
      <c r="D1888" s="91" t="s">
        <v>428</v>
      </c>
      <c r="E1888" s="91" t="s">
        <v>5455</v>
      </c>
      <c r="F1888" s="67" t="s">
        <v>3138</v>
      </c>
      <c r="G1888" s="67"/>
      <c r="H1888" s="93" t="s">
        <v>4</v>
      </c>
      <c r="I1888" s="67"/>
      <c r="J1888" s="92">
        <v>6304703947</v>
      </c>
      <c r="K1888" s="67"/>
      <c r="L1888" s="67"/>
      <c r="M1888" s="67"/>
      <c r="N1888" s="67"/>
      <c r="O1888" s="67"/>
    </row>
    <row r="1889" spans="1:15" ht="15">
      <c r="A1889" s="91" t="s">
        <v>15</v>
      </c>
      <c r="B1889" s="91" t="s">
        <v>389</v>
      </c>
      <c r="C1889" s="92" t="str">
        <f ca="1">IFERROR(__xludf.DUMMYFUNCTION("filter('Back End'!C:C,'Back End'!A:A=A1889,'Back End'!B:B=B1889,'Back End'!D:D=D1889)"),"Vetlapalem")</f>
        <v>Vetlapalem</v>
      </c>
      <c r="D1889" s="91" t="s">
        <v>428</v>
      </c>
      <c r="E1889" s="91" t="s">
        <v>5456</v>
      </c>
      <c r="F1889" s="67" t="s">
        <v>3138</v>
      </c>
      <c r="G1889" s="67"/>
      <c r="H1889" s="93" t="s">
        <v>4</v>
      </c>
      <c r="I1889" s="67"/>
      <c r="J1889" s="92">
        <v>8790035960</v>
      </c>
      <c r="K1889" s="67"/>
      <c r="L1889" s="67"/>
      <c r="M1889" s="67"/>
      <c r="N1889" s="67"/>
      <c r="O1889" s="67"/>
    </row>
    <row r="1890" spans="1:15" ht="15">
      <c r="A1890" s="91" t="s">
        <v>15</v>
      </c>
      <c r="B1890" s="91" t="s">
        <v>389</v>
      </c>
      <c r="C1890" s="92" t="str">
        <f ca="1">IFERROR(__xludf.DUMMYFUNCTION("filter('Back End'!C:C,'Back End'!A:A=A1890,'Back End'!B:B=B1890,'Back End'!D:D=D1890)"),"Vetlapalem")</f>
        <v>Vetlapalem</v>
      </c>
      <c r="D1890" s="91" t="s">
        <v>428</v>
      </c>
      <c r="E1890" s="91" t="s">
        <v>5457</v>
      </c>
      <c r="F1890" s="67" t="s">
        <v>3138</v>
      </c>
      <c r="G1890" s="67"/>
      <c r="H1890" s="93" t="s">
        <v>4</v>
      </c>
      <c r="I1890" s="67"/>
      <c r="J1890" s="92">
        <v>9177849222</v>
      </c>
      <c r="K1890" s="67"/>
      <c r="L1890" s="67"/>
      <c r="M1890" s="67"/>
      <c r="N1890" s="67"/>
      <c r="O1890" s="67"/>
    </row>
    <row r="1891" spans="1:15" ht="15">
      <c r="A1891" s="91" t="s">
        <v>15</v>
      </c>
      <c r="B1891" s="91" t="s">
        <v>389</v>
      </c>
      <c r="C1891" s="92" t="str">
        <f ca="1">IFERROR(__xludf.DUMMYFUNCTION("filter('Back End'!C:C,'Back End'!A:A=A1891,'Back End'!B:B=B1891,'Back End'!D:D=D1891)"),"Vetlapalem")</f>
        <v>Vetlapalem</v>
      </c>
      <c r="D1891" s="91" t="s">
        <v>428</v>
      </c>
      <c r="E1891" s="91" t="s">
        <v>5458</v>
      </c>
      <c r="F1891" s="67" t="s">
        <v>3138</v>
      </c>
      <c r="G1891" s="67"/>
      <c r="H1891" s="93" t="s">
        <v>4</v>
      </c>
      <c r="I1891" s="67"/>
      <c r="J1891" s="92">
        <v>7893179149</v>
      </c>
      <c r="K1891" s="67"/>
      <c r="L1891" s="67"/>
      <c r="M1891" s="67"/>
      <c r="N1891" s="67"/>
      <c r="O1891" s="67"/>
    </row>
    <row r="1892" spans="1:15" ht="15">
      <c r="A1892" s="91" t="s">
        <v>15</v>
      </c>
      <c r="B1892" s="91" t="s">
        <v>389</v>
      </c>
      <c r="C1892" s="92" t="str">
        <f ca="1">IFERROR(__xludf.DUMMYFUNCTION("filter('Back End'!C:C,'Back End'!A:A=A1892,'Back End'!B:B=B1892,'Back End'!D:D=D1892)"),"Vetlapalem")</f>
        <v>Vetlapalem</v>
      </c>
      <c r="D1892" s="91" t="s">
        <v>428</v>
      </c>
      <c r="E1892" s="91" t="s">
        <v>5459</v>
      </c>
      <c r="F1892" s="67" t="s">
        <v>3138</v>
      </c>
      <c r="G1892" s="67"/>
      <c r="H1892" s="93" t="s">
        <v>4</v>
      </c>
      <c r="I1892" s="67"/>
      <c r="J1892" s="92">
        <v>8341071999</v>
      </c>
      <c r="K1892" s="67"/>
      <c r="L1892" s="67"/>
      <c r="M1892" s="67"/>
      <c r="N1892" s="67"/>
      <c r="O1892" s="67"/>
    </row>
    <row r="1893" spans="1:15" ht="15">
      <c r="A1893" s="91" t="s">
        <v>15</v>
      </c>
      <c r="B1893" s="91" t="s">
        <v>389</v>
      </c>
      <c r="C1893" s="92" t="str">
        <f ca="1">IFERROR(__xludf.DUMMYFUNCTION("filter('Back End'!C:C,'Back End'!A:A=A1893,'Back End'!B:B=B1893,'Back End'!D:D=D1893)"),"Vetlapalem")</f>
        <v>Vetlapalem</v>
      </c>
      <c r="D1893" s="91" t="s">
        <v>428</v>
      </c>
      <c r="E1893" s="91" t="s">
        <v>5460</v>
      </c>
      <c r="F1893" s="67" t="s">
        <v>3138</v>
      </c>
      <c r="G1893" s="67"/>
      <c r="H1893" s="93" t="s">
        <v>4</v>
      </c>
      <c r="I1893" s="67"/>
      <c r="J1893" s="92">
        <v>9652135174</v>
      </c>
      <c r="K1893" s="67"/>
      <c r="L1893" s="67"/>
      <c r="M1893" s="67"/>
      <c r="N1893" s="67"/>
      <c r="O1893" s="67"/>
    </row>
    <row r="1894" spans="1:15" ht="15">
      <c r="A1894" s="91" t="s">
        <v>15</v>
      </c>
      <c r="B1894" s="91" t="s">
        <v>389</v>
      </c>
      <c r="C1894" s="92" t="str">
        <f ca="1">IFERROR(__xludf.DUMMYFUNCTION("filter('Back End'!C:C,'Back End'!A:A=A1894,'Back End'!B:B=B1894,'Back End'!D:D=D1894)"),"Vetlapalem")</f>
        <v>Vetlapalem</v>
      </c>
      <c r="D1894" s="91" t="s">
        <v>428</v>
      </c>
      <c r="E1894" s="91" t="s">
        <v>5461</v>
      </c>
      <c r="F1894" s="67" t="s">
        <v>3138</v>
      </c>
      <c r="G1894" s="67"/>
      <c r="H1894" s="93" t="s">
        <v>4</v>
      </c>
      <c r="I1894" s="67"/>
      <c r="J1894" s="92">
        <v>9502870569</v>
      </c>
      <c r="K1894" s="67"/>
      <c r="L1894" s="67"/>
      <c r="M1894" s="67"/>
      <c r="N1894" s="67"/>
      <c r="O1894" s="67"/>
    </row>
    <row r="1895" spans="1:15" ht="15">
      <c r="A1895" s="91" t="s">
        <v>15</v>
      </c>
      <c r="B1895" s="91" t="s">
        <v>389</v>
      </c>
      <c r="C1895" s="92" t="str">
        <f ca="1">IFERROR(__xludf.DUMMYFUNCTION("filter('Back End'!C:C,'Back End'!A:A=A1895,'Back End'!B:B=B1895,'Back End'!D:D=D1895)"),"Vetlapalem")</f>
        <v>Vetlapalem</v>
      </c>
      <c r="D1895" s="91" t="s">
        <v>428</v>
      </c>
      <c r="E1895" s="91" t="s">
        <v>5462</v>
      </c>
      <c r="F1895" s="67" t="s">
        <v>3138</v>
      </c>
      <c r="G1895" s="67"/>
      <c r="H1895" s="93" t="s">
        <v>4</v>
      </c>
      <c r="I1895" s="67"/>
      <c r="J1895" s="92">
        <v>9949768397</v>
      </c>
      <c r="K1895" s="67"/>
      <c r="L1895" s="67"/>
      <c r="M1895" s="67"/>
      <c r="N1895" s="67"/>
      <c r="O1895" s="67"/>
    </row>
    <row r="1896" spans="1:15" ht="15">
      <c r="A1896" s="91" t="s">
        <v>15</v>
      </c>
      <c r="B1896" s="91" t="s">
        <v>389</v>
      </c>
      <c r="C1896" s="92" t="str">
        <f ca="1">IFERROR(__xludf.DUMMYFUNCTION("filter('Back End'!C:C,'Back End'!A:A=A1896,'Back End'!B:B=B1896,'Back End'!D:D=D1896)"),"Vetlapalem")</f>
        <v>Vetlapalem</v>
      </c>
      <c r="D1896" s="91" t="s">
        <v>428</v>
      </c>
      <c r="E1896" s="91" t="s">
        <v>5463</v>
      </c>
      <c r="F1896" s="67" t="s">
        <v>3138</v>
      </c>
      <c r="G1896" s="67"/>
      <c r="H1896" s="93" t="s">
        <v>4</v>
      </c>
      <c r="I1896" s="67"/>
      <c r="J1896" s="92">
        <v>8897977666</v>
      </c>
      <c r="K1896" s="67"/>
      <c r="L1896" s="67"/>
      <c r="M1896" s="67"/>
      <c r="N1896" s="67"/>
      <c r="O1896" s="67"/>
    </row>
    <row r="1897" spans="1:15" ht="15">
      <c r="A1897" s="91" t="s">
        <v>15</v>
      </c>
      <c r="B1897" s="91" t="s">
        <v>389</v>
      </c>
      <c r="C1897" s="92" t="str">
        <f ca="1">IFERROR(__xludf.DUMMYFUNCTION("filter('Back End'!C:C,'Back End'!A:A=A1897,'Back End'!B:B=B1897,'Back End'!D:D=D1897)"),"Vetlapalem")</f>
        <v>Vetlapalem</v>
      </c>
      <c r="D1897" s="91" t="s">
        <v>428</v>
      </c>
      <c r="E1897" s="91" t="s">
        <v>5464</v>
      </c>
      <c r="F1897" s="67" t="s">
        <v>3138</v>
      </c>
      <c r="G1897" s="67"/>
      <c r="H1897" s="93" t="s">
        <v>4</v>
      </c>
      <c r="I1897" s="67"/>
      <c r="J1897" s="92">
        <v>9912556266</v>
      </c>
      <c r="K1897" s="67"/>
      <c r="L1897" s="67"/>
      <c r="M1897" s="67"/>
      <c r="N1897" s="67"/>
      <c r="O1897" s="67"/>
    </row>
    <row r="1898" spans="1:15" ht="15">
      <c r="A1898" s="91" t="s">
        <v>10</v>
      </c>
      <c r="B1898" s="91" t="s">
        <v>166</v>
      </c>
      <c r="C1898" s="92" t="str">
        <f ca="1">IFERROR(__xludf.DUMMYFUNCTION("filter('Back End'!C:C,'Back End'!A:A=A1898,'Back End'!B:B=B1898,'Back End'!D:D=D1898)"),"Kothapalle")</f>
        <v>Kothapalle</v>
      </c>
      <c r="D1898" s="91" t="s">
        <v>166</v>
      </c>
      <c r="E1898" s="91" t="s">
        <v>5465</v>
      </c>
      <c r="F1898" s="91" t="s">
        <v>139</v>
      </c>
      <c r="G1898" s="91" t="s">
        <v>594</v>
      </c>
      <c r="H1898" s="93" t="s">
        <v>5</v>
      </c>
      <c r="I1898" s="92" t="s">
        <v>5466</v>
      </c>
      <c r="J1898" s="92">
        <v>9828422030</v>
      </c>
      <c r="K1898" s="67"/>
      <c r="L1898" s="67"/>
      <c r="M1898" s="67"/>
      <c r="N1898" s="67"/>
      <c r="O1898" s="67"/>
    </row>
    <row r="1899" spans="1:15" ht="15">
      <c r="A1899" s="91" t="s">
        <v>10</v>
      </c>
      <c r="B1899" s="91" t="s">
        <v>166</v>
      </c>
      <c r="C1899" s="92" t="str">
        <f ca="1">IFERROR(__xludf.DUMMYFUNCTION("filter('Back End'!C:C,'Back End'!A:A=A1899,'Back End'!B:B=B1899,'Back End'!D:D=D1899)"),"Amaravilli")</f>
        <v>Amaravilli</v>
      </c>
      <c r="D1899" s="91" t="s">
        <v>455</v>
      </c>
      <c r="E1899" s="91" t="s">
        <v>5467</v>
      </c>
      <c r="F1899" s="91" t="s">
        <v>437</v>
      </c>
      <c r="G1899" s="91" t="s">
        <v>594</v>
      </c>
      <c r="H1899" s="93" t="s">
        <v>5</v>
      </c>
      <c r="I1899" s="67"/>
      <c r="J1899" s="92">
        <v>9494601177</v>
      </c>
      <c r="K1899" s="67"/>
      <c r="L1899" s="67"/>
      <c r="M1899" s="67"/>
      <c r="N1899" s="67"/>
      <c r="O1899" s="67"/>
    </row>
    <row r="1900" spans="1:15" ht="15">
      <c r="A1900" s="91" t="s">
        <v>10</v>
      </c>
      <c r="B1900" s="91" t="s">
        <v>166</v>
      </c>
      <c r="C1900" s="92" t="str">
        <f ca="1">IFERROR(__xludf.DUMMYFUNCTION("filter('Back End'!C:C,'Back End'!A:A=A1900,'Back End'!B:B=B1900,'Back End'!D:D=D1900)"),"Komaragiri")</f>
        <v>Komaragiri</v>
      </c>
      <c r="D1900" s="91" t="s">
        <v>463</v>
      </c>
      <c r="E1900" s="91" t="s">
        <v>5468</v>
      </c>
      <c r="F1900" s="91" t="s">
        <v>139</v>
      </c>
      <c r="G1900" s="91" t="s">
        <v>594</v>
      </c>
      <c r="H1900" s="93" t="s">
        <v>5</v>
      </c>
      <c r="I1900" s="67"/>
      <c r="J1900" s="92">
        <v>9912502046</v>
      </c>
      <c r="K1900" s="67"/>
      <c r="L1900" s="67"/>
      <c r="M1900" s="67"/>
      <c r="N1900" s="67"/>
      <c r="O1900" s="67"/>
    </row>
    <row r="1901" spans="1:15" ht="15">
      <c r="A1901" s="91" t="s">
        <v>10</v>
      </c>
      <c r="B1901" s="91" t="s">
        <v>166</v>
      </c>
      <c r="C1901" s="92" t="str">
        <f ca="1">IFERROR(__xludf.DUMMYFUNCTION("filter('Back End'!C:C,'Back End'!A:A=A1901,'Back End'!B:B=B1901,'Back End'!D:D=D1901)"),"Kothapalle")</f>
        <v>Kothapalle</v>
      </c>
      <c r="D1901" s="91" t="s">
        <v>166</v>
      </c>
      <c r="E1901" s="91" t="s">
        <v>5469</v>
      </c>
      <c r="F1901" s="91" t="s">
        <v>136</v>
      </c>
      <c r="G1901" s="91" t="s">
        <v>615</v>
      </c>
      <c r="H1901" s="93" t="s">
        <v>5</v>
      </c>
      <c r="I1901" s="67"/>
      <c r="J1901" s="92">
        <v>9490370559</v>
      </c>
      <c r="K1901" s="67"/>
      <c r="L1901" s="67"/>
      <c r="M1901" s="67"/>
      <c r="N1901" s="67"/>
      <c r="O1901" s="67"/>
    </row>
    <row r="1902" spans="1:15" ht="30">
      <c r="A1902" s="91" t="s">
        <v>10</v>
      </c>
      <c r="B1902" s="91" t="s">
        <v>166</v>
      </c>
      <c r="C1902" s="92" t="str">
        <f ca="1">IFERROR(__xludf.DUMMYFUNCTION("filter('Back End'!C:C,'Back End'!A:A=A1902,'Back End'!B:B=B1902,'Back End'!D:D=D1902)"),"Kothapalle")</f>
        <v>Kothapalle</v>
      </c>
      <c r="D1902" s="91" t="s">
        <v>166</v>
      </c>
      <c r="E1902" s="91" t="s">
        <v>5470</v>
      </c>
      <c r="F1902" s="91" t="s">
        <v>139</v>
      </c>
      <c r="G1902" s="91" t="s">
        <v>594</v>
      </c>
      <c r="H1902" s="93" t="s">
        <v>5</v>
      </c>
      <c r="I1902" s="92" t="s">
        <v>4025</v>
      </c>
      <c r="J1902" s="92">
        <v>9959676955</v>
      </c>
      <c r="K1902" s="67"/>
      <c r="L1902" s="67"/>
      <c r="M1902" s="67"/>
      <c r="N1902" s="67"/>
      <c r="O1902" s="67"/>
    </row>
    <row r="1903" spans="1:15" ht="15">
      <c r="A1903" s="91" t="s">
        <v>10</v>
      </c>
      <c r="B1903" s="91" t="s">
        <v>166</v>
      </c>
      <c r="C1903" s="92" t="str">
        <f ca="1">IFERROR(__xludf.DUMMYFUNCTION("filter('Back End'!C:C,'Back End'!A:A=A1903,'Back End'!B:B=B1903,'Back End'!D:D=D1903)"),"Kothapalle")</f>
        <v>Kothapalle</v>
      </c>
      <c r="D1903" s="91" t="s">
        <v>166</v>
      </c>
      <c r="E1903" s="91" t="s">
        <v>5471</v>
      </c>
      <c r="F1903" s="91" t="s">
        <v>139</v>
      </c>
      <c r="G1903" s="91" t="s">
        <v>594</v>
      </c>
      <c r="H1903" s="93" t="s">
        <v>5</v>
      </c>
      <c r="I1903" s="92" t="s">
        <v>3185</v>
      </c>
      <c r="J1903" s="92">
        <v>9828422030</v>
      </c>
      <c r="K1903" s="67"/>
      <c r="L1903" s="67"/>
      <c r="M1903" s="67"/>
      <c r="N1903" s="67"/>
      <c r="O1903" s="67"/>
    </row>
    <row r="1904" spans="1:15" ht="30">
      <c r="A1904" s="91" t="s">
        <v>10</v>
      </c>
      <c r="B1904" s="91" t="s">
        <v>166</v>
      </c>
      <c r="C1904" s="92" t="str">
        <f ca="1">IFERROR(__xludf.DUMMYFUNCTION("filter('Back End'!C:C,'Back End'!A:A=A1904,'Back End'!B:B=B1904,'Back End'!D:D=D1904)"),"Kothapalle")</f>
        <v>Kothapalle</v>
      </c>
      <c r="D1904" s="91" t="s">
        <v>166</v>
      </c>
      <c r="E1904" s="91" t="s">
        <v>5472</v>
      </c>
      <c r="F1904" s="91" t="s">
        <v>139</v>
      </c>
      <c r="G1904" s="91" t="s">
        <v>594</v>
      </c>
      <c r="H1904" s="93" t="s">
        <v>6</v>
      </c>
      <c r="I1904" s="92" t="s">
        <v>3212</v>
      </c>
      <c r="J1904" s="92">
        <v>9291187777</v>
      </c>
      <c r="K1904" s="67"/>
      <c r="L1904" s="67"/>
      <c r="M1904" s="67"/>
      <c r="N1904" s="67"/>
      <c r="O1904" s="67"/>
    </row>
    <row r="1905" spans="1:15" ht="30">
      <c r="A1905" s="91" t="s">
        <v>10</v>
      </c>
      <c r="B1905" s="91" t="s">
        <v>166</v>
      </c>
      <c r="C1905" s="92" t="str">
        <f ca="1">IFERROR(__xludf.DUMMYFUNCTION("filter('Back End'!C:C,'Back End'!A:A=A1905,'Back End'!B:B=B1905,'Back End'!D:D=D1905)"),"Kothapalle")</f>
        <v>Kothapalle</v>
      </c>
      <c r="D1905" s="91" t="s">
        <v>166</v>
      </c>
      <c r="E1905" s="91" t="s">
        <v>5473</v>
      </c>
      <c r="F1905" s="91" t="s">
        <v>139</v>
      </c>
      <c r="G1905" s="91" t="s">
        <v>594</v>
      </c>
      <c r="H1905" s="93" t="s">
        <v>4</v>
      </c>
      <c r="I1905" s="92" t="s">
        <v>4025</v>
      </c>
      <c r="J1905" s="92">
        <v>6300061226</v>
      </c>
      <c r="K1905" s="67"/>
      <c r="L1905" s="67"/>
      <c r="M1905" s="67"/>
      <c r="N1905" s="67"/>
      <c r="O1905" s="67"/>
    </row>
    <row r="1906" spans="1:15" ht="30">
      <c r="A1906" s="91" t="s">
        <v>10</v>
      </c>
      <c r="B1906" s="91" t="s">
        <v>166</v>
      </c>
      <c r="C1906" s="92" t="str">
        <f ca="1">IFERROR(__xludf.DUMMYFUNCTION("filter('Back End'!C:C,'Back End'!A:A=A1906,'Back End'!B:B=B1906,'Back End'!D:D=D1906)"),"Kothapalle")</f>
        <v>Kothapalle</v>
      </c>
      <c r="D1906" s="91" t="s">
        <v>166</v>
      </c>
      <c r="E1906" s="91" t="s">
        <v>5474</v>
      </c>
      <c r="F1906" s="91" t="s">
        <v>114</v>
      </c>
      <c r="G1906" s="91" t="s">
        <v>85</v>
      </c>
      <c r="H1906" s="93" t="s">
        <v>4</v>
      </c>
      <c r="I1906" s="92" t="s">
        <v>3765</v>
      </c>
      <c r="J1906" s="92">
        <v>9889781792</v>
      </c>
      <c r="K1906" s="67"/>
      <c r="L1906" s="67"/>
      <c r="M1906" s="67"/>
      <c r="N1906" s="67"/>
      <c r="O1906" s="67"/>
    </row>
    <row r="1907" spans="1:15" ht="15">
      <c r="A1907" s="91" t="s">
        <v>10</v>
      </c>
      <c r="B1907" s="91" t="s">
        <v>166</v>
      </c>
      <c r="C1907" s="92" t="str">
        <f ca="1">IFERROR(__xludf.DUMMYFUNCTION("filter('Back End'!C:C,'Back End'!A:A=A1907,'Back End'!B:B=B1907,'Back End'!D:D=D1907)"),"Mulapeta")</f>
        <v>Mulapeta</v>
      </c>
      <c r="D1907" s="91" t="s">
        <v>473</v>
      </c>
      <c r="E1907" s="91" t="s">
        <v>5475</v>
      </c>
      <c r="F1907" s="91" t="s">
        <v>467</v>
      </c>
      <c r="G1907" s="91" t="s">
        <v>85</v>
      </c>
      <c r="H1907" s="93" t="s">
        <v>5</v>
      </c>
      <c r="I1907" s="67"/>
      <c r="J1907" s="92">
        <v>8106457311</v>
      </c>
      <c r="K1907" s="67"/>
      <c r="L1907" s="67"/>
      <c r="M1907" s="67"/>
      <c r="N1907" s="67"/>
      <c r="O1907" s="67"/>
    </row>
    <row r="1908" spans="1:15" ht="15">
      <c r="A1908" s="91" t="s">
        <v>10</v>
      </c>
      <c r="B1908" s="91" t="s">
        <v>166</v>
      </c>
      <c r="C1908" s="92" t="str">
        <f ca="1">IFERROR(__xludf.DUMMYFUNCTION("filter('Back End'!C:C,'Back End'!A:A=A1908,'Back End'!B:B=B1908,'Back End'!D:D=D1908)"),"Mulapeta")</f>
        <v>Mulapeta</v>
      </c>
      <c r="D1908" s="91" t="s">
        <v>473</v>
      </c>
      <c r="E1908" s="91" t="s">
        <v>5476</v>
      </c>
      <c r="F1908" s="91" t="s">
        <v>1664</v>
      </c>
      <c r="G1908" s="91" t="s">
        <v>615</v>
      </c>
      <c r="H1908" s="93" t="s">
        <v>5</v>
      </c>
      <c r="I1908" s="67"/>
      <c r="J1908" s="92">
        <v>9989244269</v>
      </c>
      <c r="K1908" s="67"/>
      <c r="L1908" s="67"/>
      <c r="M1908" s="67"/>
      <c r="N1908" s="67"/>
      <c r="O1908" s="67"/>
    </row>
    <row r="1909" spans="1:15" ht="15">
      <c r="A1909" s="91" t="s">
        <v>10</v>
      </c>
      <c r="B1909" s="91" t="s">
        <v>166</v>
      </c>
      <c r="C1909" s="92" t="str">
        <f ca="1">IFERROR(__xludf.DUMMYFUNCTION("filter('Back End'!C:C,'Back End'!A:A=A1909,'Back End'!B:B=B1909,'Back End'!D:D=D1909)"),"Ponnada")</f>
        <v>Ponnada</v>
      </c>
      <c r="D1909" s="91" t="s">
        <v>477</v>
      </c>
      <c r="E1909" s="91" t="s">
        <v>5477</v>
      </c>
      <c r="F1909" s="91" t="s">
        <v>114</v>
      </c>
      <c r="G1909" s="91" t="s">
        <v>85</v>
      </c>
      <c r="H1909" s="93" t="s">
        <v>5</v>
      </c>
      <c r="I1909" s="67"/>
      <c r="J1909" s="92">
        <v>7893521882</v>
      </c>
      <c r="K1909" s="67"/>
      <c r="L1909" s="67"/>
      <c r="M1909" s="67"/>
      <c r="N1909" s="67"/>
      <c r="O1909" s="67"/>
    </row>
    <row r="1910" spans="1:15" ht="15">
      <c r="A1910" s="91" t="s">
        <v>10</v>
      </c>
      <c r="B1910" s="91" t="s">
        <v>166</v>
      </c>
      <c r="C1910" s="92" t="str">
        <f ca="1">IFERROR(__xludf.DUMMYFUNCTION("filter('Back End'!C:C,'Back End'!A:A=A1910,'Back End'!B:B=B1910,'Back End'!D:D=D1910)"),"Ramanakkapeta")</f>
        <v>Ramanakkapeta</v>
      </c>
      <c r="D1910" s="91" t="s">
        <v>479</v>
      </c>
      <c r="E1910" s="91" t="s">
        <v>5478</v>
      </c>
      <c r="F1910" s="91" t="s">
        <v>437</v>
      </c>
      <c r="G1910" s="91" t="s">
        <v>594</v>
      </c>
      <c r="H1910" s="93" t="s">
        <v>5</v>
      </c>
      <c r="I1910" s="67"/>
      <c r="J1910" s="92">
        <v>9959940010</v>
      </c>
      <c r="K1910" s="67"/>
      <c r="L1910" s="67"/>
      <c r="M1910" s="67"/>
      <c r="N1910" s="67"/>
      <c r="O1910" s="67"/>
    </row>
    <row r="1911" spans="1:15" ht="15">
      <c r="A1911" s="91" t="s">
        <v>10</v>
      </c>
      <c r="B1911" s="91" t="s">
        <v>166</v>
      </c>
      <c r="C1911" s="92" t="str">
        <f ca="1">IFERROR(__xludf.DUMMYFUNCTION("filter('Back End'!C:C,'Back End'!A:A=A1911,'Back End'!B:B=B1911,'Back End'!D:D=D1911)"),"#N/A")</f>
        <v>#N/A</v>
      </c>
      <c r="D1911" s="91" t="s">
        <v>5479</v>
      </c>
      <c r="E1911" s="91" t="s">
        <v>5480</v>
      </c>
      <c r="F1911" s="91" t="s">
        <v>139</v>
      </c>
      <c r="G1911" s="91" t="s">
        <v>594</v>
      </c>
      <c r="H1911" s="93" t="s">
        <v>5</v>
      </c>
      <c r="I1911" s="67"/>
      <c r="J1911" s="92">
        <v>9493161168</v>
      </c>
      <c r="K1911" s="67"/>
      <c r="L1911" s="67"/>
      <c r="M1911" s="67"/>
      <c r="N1911" s="67"/>
      <c r="O1911" s="67"/>
    </row>
    <row r="1912" spans="1:15" ht="15">
      <c r="A1912" s="91" t="s">
        <v>10</v>
      </c>
      <c r="B1912" s="91" t="s">
        <v>166</v>
      </c>
      <c r="C1912" s="92" t="str">
        <f ca="1">IFERROR(__xludf.DUMMYFUNCTION("filter('Back End'!C:C,'Back End'!A:A=A1912,'Back End'!B:B=B1912,'Back End'!D:D=D1912)"),"Isukapalli")</f>
        <v>Isukapalli</v>
      </c>
      <c r="D1912" s="91" t="s">
        <v>462</v>
      </c>
      <c r="E1912" s="91" t="s">
        <v>5481</v>
      </c>
      <c r="F1912" s="91" t="s">
        <v>165</v>
      </c>
      <c r="G1912" s="91" t="s">
        <v>615</v>
      </c>
      <c r="H1912" s="93" t="s">
        <v>5</v>
      </c>
      <c r="I1912" s="67"/>
      <c r="J1912" s="92">
        <v>9989280947</v>
      </c>
      <c r="K1912" s="67"/>
      <c r="L1912" s="67"/>
      <c r="M1912" s="67"/>
      <c r="N1912" s="67"/>
      <c r="O1912" s="67"/>
    </row>
    <row r="1913" spans="1:15" ht="15">
      <c r="A1913" s="91" t="s">
        <v>10</v>
      </c>
      <c r="B1913" s="91" t="s">
        <v>166</v>
      </c>
      <c r="C1913" s="92" t="str">
        <f ca="1">IFERROR(__xludf.DUMMYFUNCTION("filter('Back End'!C:C,'Back End'!A:A=A1913,'Back End'!B:B=B1913,'Back End'!D:D=D1913)"),"Yendapalle")</f>
        <v>Yendapalle</v>
      </c>
      <c r="D1913" s="91" t="s">
        <v>487</v>
      </c>
      <c r="E1913" s="91" t="s">
        <v>5482</v>
      </c>
      <c r="F1913" s="91" t="s">
        <v>139</v>
      </c>
      <c r="G1913" s="91" t="s">
        <v>594</v>
      </c>
      <c r="H1913" s="93" t="s">
        <v>5</v>
      </c>
      <c r="I1913" s="67"/>
      <c r="J1913" s="92">
        <v>9963286965</v>
      </c>
      <c r="K1913" s="67"/>
      <c r="L1913" s="67"/>
      <c r="M1913" s="67"/>
      <c r="N1913" s="67"/>
      <c r="O1913" s="67"/>
    </row>
    <row r="1914" spans="1:15" ht="30">
      <c r="A1914" s="110" t="s">
        <v>8</v>
      </c>
      <c r="B1914" s="110" t="s">
        <v>430</v>
      </c>
      <c r="C1914" s="92" t="str">
        <f ca="1">IFERROR(__xludf.DUMMYFUNCTION("filter('Back End'!C:C,'Back End'!A:A=A1914,'Back End'!B:B=B1914,'Back End'!D:D=D1914)"),"#N/A")</f>
        <v>#N/A</v>
      </c>
      <c r="D1914" s="91" t="s">
        <v>438</v>
      </c>
      <c r="E1914" s="91" t="s">
        <v>5483</v>
      </c>
      <c r="F1914" s="91" t="s">
        <v>131</v>
      </c>
      <c r="G1914" s="91" t="s">
        <v>594</v>
      </c>
      <c r="H1914" s="93" t="s">
        <v>5</v>
      </c>
      <c r="I1914" s="92" t="s">
        <v>4025</v>
      </c>
      <c r="J1914" s="92">
        <v>8801143436</v>
      </c>
      <c r="K1914" s="67"/>
      <c r="L1914" s="67"/>
      <c r="M1914" s="67"/>
      <c r="N1914" s="67"/>
      <c r="O1914" s="67"/>
    </row>
    <row r="1915" spans="1:15" ht="15">
      <c r="A1915" s="91" t="s">
        <v>10</v>
      </c>
      <c r="B1915" s="91" t="s">
        <v>430</v>
      </c>
      <c r="C1915" s="92" t="str">
        <f ca="1">IFERROR(__xludf.DUMMYFUNCTION("filter('Back End'!C:C,'Back End'!A:A=A1915,'Back End'!B:B=B1915,'Back End'!D:D=D1915)"),"A.Vijayanagaram")</f>
        <v>A.Vijayanagaram</v>
      </c>
      <c r="D1915" s="91" t="s">
        <v>438</v>
      </c>
      <c r="E1915" s="91" t="s">
        <v>5484</v>
      </c>
      <c r="F1915" s="91" t="s">
        <v>131</v>
      </c>
      <c r="G1915" s="91" t="s">
        <v>594</v>
      </c>
      <c r="H1915" s="93" t="s">
        <v>5</v>
      </c>
      <c r="I1915" s="92" t="s">
        <v>3115</v>
      </c>
      <c r="J1915" s="92">
        <v>9618222288</v>
      </c>
      <c r="K1915" s="67"/>
      <c r="L1915" s="67"/>
      <c r="M1915" s="67"/>
      <c r="N1915" s="67"/>
      <c r="O1915" s="67"/>
    </row>
    <row r="1916" spans="1:15" ht="15">
      <c r="A1916" s="91" t="s">
        <v>10</v>
      </c>
      <c r="B1916" s="91" t="s">
        <v>430</v>
      </c>
      <c r="C1916" s="92" t="str">
        <f ca="1">IFERROR(__xludf.DUMMYFUNCTION("filter('Back End'!C:C,'Back End'!A:A=A1916,'Back End'!B:B=B1916,'Back End'!D:D=D1916)"),"Chebrolu")</f>
        <v>Chebrolu</v>
      </c>
      <c r="D1916" s="91" t="s">
        <v>441</v>
      </c>
      <c r="E1916" s="91" t="s">
        <v>5485</v>
      </c>
      <c r="F1916" s="67" t="s">
        <v>3138</v>
      </c>
      <c r="G1916" s="67"/>
      <c r="H1916" s="93" t="s">
        <v>5</v>
      </c>
      <c r="I1916" s="67"/>
      <c r="J1916" s="92">
        <v>7396744888</v>
      </c>
      <c r="K1916" s="67"/>
      <c r="L1916" s="67"/>
      <c r="M1916" s="67"/>
      <c r="N1916" s="67"/>
      <c r="O1916" s="67"/>
    </row>
    <row r="1917" spans="1:15" ht="15">
      <c r="A1917" s="91" t="s">
        <v>10</v>
      </c>
      <c r="B1917" s="91" t="s">
        <v>430</v>
      </c>
      <c r="C1917" s="92" t="str">
        <f ca="1">IFERROR(__xludf.DUMMYFUNCTION("filter('Back End'!C:C,'Back End'!A:A=A1917,'Back End'!B:B=B1917,'Back End'!D:D=D1917)"),"Chebrolu")</f>
        <v>Chebrolu</v>
      </c>
      <c r="D1917" s="91" t="s">
        <v>441</v>
      </c>
      <c r="E1917" s="91" t="s">
        <v>5486</v>
      </c>
      <c r="F1917" s="91" t="s">
        <v>139</v>
      </c>
      <c r="G1917" s="91" t="s">
        <v>594</v>
      </c>
      <c r="H1917" s="93" t="s">
        <v>5</v>
      </c>
      <c r="I1917" s="67"/>
      <c r="J1917" s="92">
        <v>7386079305</v>
      </c>
      <c r="K1917" s="67"/>
      <c r="L1917" s="67"/>
      <c r="M1917" s="67"/>
      <c r="N1917" s="67"/>
      <c r="O1917" s="67"/>
    </row>
    <row r="1918" spans="1:15" ht="15">
      <c r="A1918" s="91" t="s">
        <v>10</v>
      </c>
      <c r="B1918" s="91" t="s">
        <v>430</v>
      </c>
      <c r="C1918" s="92" t="str">
        <f ca="1">IFERROR(__xludf.DUMMYFUNCTION("filter('Back End'!C:C,'Back End'!A:A=A1918,'Back End'!B:B=B1918,'Back End'!D:D=D1918)"),"Chebrolu")</f>
        <v>Chebrolu</v>
      </c>
      <c r="D1918" s="91" t="s">
        <v>441</v>
      </c>
      <c r="E1918" s="91" t="s">
        <v>5487</v>
      </c>
      <c r="F1918" s="91" t="s">
        <v>114</v>
      </c>
      <c r="G1918" s="91" t="s">
        <v>85</v>
      </c>
      <c r="H1918" s="93" t="s">
        <v>5</v>
      </c>
      <c r="I1918" s="67"/>
      <c r="J1918" s="92">
        <v>8341568641</v>
      </c>
      <c r="K1918" s="67"/>
      <c r="L1918" s="67"/>
      <c r="M1918" s="67"/>
      <c r="N1918" s="67"/>
      <c r="O1918" s="67"/>
    </row>
    <row r="1919" spans="1:15" ht="15">
      <c r="A1919" s="91" t="s">
        <v>10</v>
      </c>
      <c r="B1919" s="91" t="s">
        <v>430</v>
      </c>
      <c r="C1919" s="92" t="str">
        <f ca="1">IFERROR(__xludf.DUMMYFUNCTION("filter('Back End'!C:C,'Back End'!A:A=A1919,'Back End'!B:B=B1919,'Back End'!D:D=D1919)"),"Chebrolu")</f>
        <v>Chebrolu</v>
      </c>
      <c r="D1919" s="91" t="s">
        <v>441</v>
      </c>
      <c r="E1919" s="91" t="s">
        <v>5488</v>
      </c>
      <c r="F1919" s="91" t="s">
        <v>139</v>
      </c>
      <c r="G1919" s="91" t="s">
        <v>594</v>
      </c>
      <c r="H1919" s="93" t="s">
        <v>5</v>
      </c>
      <c r="I1919" s="67"/>
      <c r="J1919" s="92">
        <v>9866063603</v>
      </c>
      <c r="K1919" s="67"/>
      <c r="L1919" s="67"/>
      <c r="M1919" s="67"/>
      <c r="N1919" s="67"/>
      <c r="O1919" s="67"/>
    </row>
    <row r="1920" spans="1:15" ht="15">
      <c r="A1920" s="91" t="s">
        <v>10</v>
      </c>
      <c r="B1920" s="91" t="s">
        <v>430</v>
      </c>
      <c r="C1920" s="92" t="str">
        <f ca="1">IFERROR(__xludf.DUMMYFUNCTION("filter('Back End'!C:C,'Back End'!A:A=A1920,'Back End'!B:B=B1920,'Back End'!D:D=D1920)"),"Chebrolu")</f>
        <v>Chebrolu</v>
      </c>
      <c r="D1920" s="91" t="s">
        <v>441</v>
      </c>
      <c r="E1920" s="91" t="s">
        <v>5489</v>
      </c>
      <c r="F1920" s="91" t="s">
        <v>165</v>
      </c>
      <c r="G1920" s="91" t="s">
        <v>615</v>
      </c>
      <c r="H1920" s="93" t="s">
        <v>5</v>
      </c>
      <c r="I1920" s="67"/>
      <c r="J1920" s="92">
        <v>7893564917</v>
      </c>
      <c r="K1920" s="67"/>
      <c r="L1920" s="67"/>
      <c r="M1920" s="67"/>
      <c r="N1920" s="67"/>
      <c r="O1920" s="67"/>
    </row>
    <row r="1921" spans="1:15" ht="15">
      <c r="A1921" s="91" t="s">
        <v>10</v>
      </c>
      <c r="B1921" s="91" t="s">
        <v>430</v>
      </c>
      <c r="C1921" s="92" t="str">
        <f ca="1">IFERROR(__xludf.DUMMYFUNCTION("filter('Back End'!C:C,'Back End'!A:A=A1921,'Back End'!B:B=B1921,'Back End'!D:D=D1921)"),"Chebrolu")</f>
        <v>Chebrolu</v>
      </c>
      <c r="D1921" s="91" t="s">
        <v>441</v>
      </c>
      <c r="E1921" s="91" t="s">
        <v>5490</v>
      </c>
      <c r="F1921" s="91" t="s">
        <v>139</v>
      </c>
      <c r="G1921" s="91" t="s">
        <v>594</v>
      </c>
      <c r="H1921" s="93" t="s">
        <v>5</v>
      </c>
      <c r="I1921" s="67"/>
      <c r="J1921" s="92">
        <v>9989802937</v>
      </c>
      <c r="K1921" s="67"/>
      <c r="L1921" s="67"/>
      <c r="M1921" s="67"/>
      <c r="N1921" s="67"/>
      <c r="O1921" s="67"/>
    </row>
    <row r="1922" spans="1:15" ht="15">
      <c r="A1922" s="91" t="s">
        <v>10</v>
      </c>
      <c r="B1922" s="91" t="s">
        <v>430</v>
      </c>
      <c r="C1922" s="92" t="str">
        <f ca="1">IFERROR(__xludf.DUMMYFUNCTION("filter('Back End'!C:C,'Back End'!A:A=A1922,'Back End'!B:B=B1922,'Back End'!D:D=D1922)"),"Chebrolu")</f>
        <v>Chebrolu</v>
      </c>
      <c r="D1922" s="91" t="s">
        <v>441</v>
      </c>
      <c r="E1922" s="91" t="s">
        <v>5491</v>
      </c>
      <c r="F1922" s="91" t="s">
        <v>139</v>
      </c>
      <c r="G1922" s="91" t="s">
        <v>594</v>
      </c>
      <c r="H1922" s="93" t="s">
        <v>5</v>
      </c>
      <c r="I1922" s="67"/>
      <c r="J1922" s="92">
        <v>7396460166</v>
      </c>
      <c r="K1922" s="67"/>
      <c r="L1922" s="67"/>
      <c r="M1922" s="67"/>
      <c r="N1922" s="67"/>
      <c r="O1922" s="67"/>
    </row>
    <row r="1923" spans="1:15" ht="15">
      <c r="A1923" s="91" t="s">
        <v>10</v>
      </c>
      <c r="B1923" s="91" t="s">
        <v>430</v>
      </c>
      <c r="C1923" s="92" t="str">
        <f ca="1">IFERROR(__xludf.DUMMYFUNCTION("filter('Back End'!C:C,'Back End'!A:A=A1923,'Back End'!B:B=B1923,'Back End'!D:D=D1923)"),"Chebrolu")</f>
        <v>Chebrolu</v>
      </c>
      <c r="D1923" s="91" t="s">
        <v>441</v>
      </c>
      <c r="E1923" s="91" t="s">
        <v>5492</v>
      </c>
      <c r="F1923" s="91" t="s">
        <v>139</v>
      </c>
      <c r="G1923" s="91" t="s">
        <v>594</v>
      </c>
      <c r="H1923" s="93" t="s">
        <v>5</v>
      </c>
      <c r="I1923" s="67"/>
      <c r="J1923" s="92">
        <v>9652322928</v>
      </c>
      <c r="K1923" s="67"/>
      <c r="L1923" s="67"/>
      <c r="M1923" s="67"/>
      <c r="N1923" s="67"/>
      <c r="O1923" s="67"/>
    </row>
    <row r="1924" spans="1:15" ht="45">
      <c r="A1924" s="91" t="s">
        <v>19</v>
      </c>
      <c r="B1924" s="92" t="s">
        <v>430</v>
      </c>
      <c r="C1924" s="92" t="str">
        <f ca="1">IFERROR(__xludf.DUMMYFUNCTION("filter('Back End'!C:C,'Back End'!A:A=A1924,'Back End'!B:B=B1924,'Back End'!D:D=D1924)"),"#N/A")</f>
        <v>#N/A</v>
      </c>
      <c r="D1924" s="91" t="s">
        <v>443</v>
      </c>
      <c r="E1924" s="92" t="s">
        <v>5493</v>
      </c>
      <c r="F1924" s="67" t="s">
        <v>3138</v>
      </c>
      <c r="G1924" s="67"/>
      <c r="H1924" s="93" t="s">
        <v>4</v>
      </c>
      <c r="I1924" s="67"/>
      <c r="J1924" s="92">
        <v>9949367455</v>
      </c>
      <c r="K1924" s="67"/>
      <c r="L1924" s="67"/>
      <c r="M1924" s="67"/>
      <c r="N1924" s="67"/>
      <c r="O1924" s="67"/>
    </row>
    <row r="1925" spans="1:15" ht="15">
      <c r="A1925" s="91" t="s">
        <v>19</v>
      </c>
      <c r="B1925" s="92" t="s">
        <v>430</v>
      </c>
      <c r="C1925" s="92" t="str">
        <f ca="1">IFERROR(__xludf.DUMMYFUNCTION("filter('Back End'!C:C,'Back End'!A:A=A1925,'Back End'!B:B=B1925,'Back End'!D:D=D1925)"),"#N/A")</f>
        <v>#N/A</v>
      </c>
      <c r="D1925" s="91" t="s">
        <v>443</v>
      </c>
      <c r="E1925" s="92" t="s">
        <v>5494</v>
      </c>
      <c r="F1925" s="67" t="s">
        <v>3138</v>
      </c>
      <c r="G1925" s="67"/>
      <c r="H1925" s="93" t="s">
        <v>6</v>
      </c>
      <c r="I1925" s="67"/>
      <c r="J1925" s="92">
        <v>9701843481</v>
      </c>
      <c r="K1925" s="67"/>
      <c r="L1925" s="67"/>
      <c r="M1925" s="67"/>
      <c r="N1925" s="67"/>
      <c r="O1925" s="67"/>
    </row>
    <row r="1926" spans="1:15" ht="60">
      <c r="A1926" s="91" t="s">
        <v>19</v>
      </c>
      <c r="B1926" s="92" t="s">
        <v>430</v>
      </c>
      <c r="C1926" s="92" t="str">
        <f ca="1">IFERROR(__xludf.DUMMYFUNCTION("filter('Back End'!C:C,'Back End'!A:A=A1926,'Back End'!B:B=B1926,'Back End'!D:D=D1926)"),"#N/A")</f>
        <v>#N/A</v>
      </c>
      <c r="D1926" s="91" t="s">
        <v>443</v>
      </c>
      <c r="E1926" s="92" t="s">
        <v>5495</v>
      </c>
      <c r="F1926" s="67" t="s">
        <v>3138</v>
      </c>
      <c r="G1926" s="67"/>
      <c r="H1926" s="93" t="s">
        <v>5</v>
      </c>
      <c r="I1926" s="67"/>
      <c r="J1926" s="67"/>
      <c r="K1926" s="67"/>
      <c r="L1926" s="92" t="s">
        <v>5496</v>
      </c>
      <c r="M1926" s="67"/>
      <c r="N1926" s="67"/>
      <c r="O1926" s="67"/>
    </row>
    <row r="1927" spans="1:15" ht="30">
      <c r="A1927" s="91" t="s">
        <v>19</v>
      </c>
      <c r="B1927" s="92" t="s">
        <v>430</v>
      </c>
      <c r="C1927" s="92" t="str">
        <f ca="1">IFERROR(__xludf.DUMMYFUNCTION("filter('Back End'!C:C,'Back End'!A:A=A1927,'Back End'!B:B=B1927,'Back End'!D:D=D1927)"),"#N/A")</f>
        <v>#N/A</v>
      </c>
      <c r="D1927" s="91" t="s">
        <v>443</v>
      </c>
      <c r="E1927" s="92" t="s">
        <v>5497</v>
      </c>
      <c r="F1927" s="91" t="s">
        <v>114</v>
      </c>
      <c r="G1927" s="91" t="s">
        <v>85</v>
      </c>
      <c r="H1927" s="95"/>
      <c r="I1927" s="67"/>
      <c r="J1927" s="92">
        <v>6301336227</v>
      </c>
      <c r="K1927" s="92" t="s">
        <v>1613</v>
      </c>
      <c r="L1927" s="67"/>
      <c r="M1927" s="67"/>
      <c r="N1927" s="67"/>
      <c r="O1927" s="67"/>
    </row>
    <row r="1928" spans="1:15" ht="15">
      <c r="A1928" s="91" t="s">
        <v>10</v>
      </c>
      <c r="B1928" s="91" t="s">
        <v>430</v>
      </c>
      <c r="C1928" s="92" t="str">
        <f ca="1">IFERROR(__xludf.DUMMYFUNCTION("filter('Back End'!C:C,'Back End'!A:A=A1928,'Back End'!B:B=B1928,'Back End'!D:D=D1928)"),"Chendurthi")</f>
        <v>Chendurthi</v>
      </c>
      <c r="D1928" s="91" t="s">
        <v>443</v>
      </c>
      <c r="E1928" s="91" t="s">
        <v>5498</v>
      </c>
      <c r="F1928" s="91" t="s">
        <v>114</v>
      </c>
      <c r="G1928" s="91" t="s">
        <v>85</v>
      </c>
      <c r="H1928" s="93" t="s">
        <v>5</v>
      </c>
      <c r="I1928" s="67"/>
      <c r="J1928" s="92">
        <v>9989343684</v>
      </c>
      <c r="K1928" s="67"/>
      <c r="L1928" s="67"/>
      <c r="M1928" s="67"/>
      <c r="N1928" s="67"/>
      <c r="O1928" s="67"/>
    </row>
    <row r="1929" spans="1:15" ht="15">
      <c r="A1929" s="91" t="s">
        <v>10</v>
      </c>
      <c r="B1929" s="91" t="s">
        <v>430</v>
      </c>
      <c r="C1929" s="92" t="str">
        <f ca="1">IFERROR(__xludf.DUMMYFUNCTION("filter('Back End'!C:C,'Back End'!A:A=A1929,'Back End'!B:B=B1929,'Back End'!D:D=D1929)"),"Chendurthi")</f>
        <v>Chendurthi</v>
      </c>
      <c r="D1929" s="91" t="s">
        <v>443</v>
      </c>
      <c r="E1929" s="91" t="s">
        <v>5499</v>
      </c>
      <c r="F1929" s="67" t="s">
        <v>3138</v>
      </c>
      <c r="G1929" s="67"/>
      <c r="H1929" s="93" t="s">
        <v>5</v>
      </c>
      <c r="I1929" s="67"/>
      <c r="J1929" s="92">
        <v>9954571699</v>
      </c>
      <c r="K1929" s="67"/>
      <c r="L1929" s="67"/>
      <c r="M1929" s="67"/>
      <c r="N1929" s="67"/>
      <c r="O1929" s="67"/>
    </row>
    <row r="1930" spans="1:15" ht="15">
      <c r="A1930" s="91" t="s">
        <v>10</v>
      </c>
      <c r="B1930" s="91" t="s">
        <v>430</v>
      </c>
      <c r="C1930" s="92" t="str">
        <f ca="1">IFERROR(__xludf.DUMMYFUNCTION("filter('Back End'!C:C,'Back End'!A:A=A1930,'Back End'!B:B=B1930,'Back End'!D:D=D1930)"),"Chendurthi")</f>
        <v>Chendurthi</v>
      </c>
      <c r="D1930" s="91" t="s">
        <v>443</v>
      </c>
      <c r="E1930" s="91" t="s">
        <v>5500</v>
      </c>
      <c r="F1930" s="91" t="s">
        <v>136</v>
      </c>
      <c r="G1930" s="91" t="s">
        <v>85</v>
      </c>
      <c r="H1930" s="93" t="s">
        <v>5</v>
      </c>
      <c r="I1930" s="67"/>
      <c r="J1930" s="92">
        <v>9849963980</v>
      </c>
      <c r="K1930" s="67"/>
      <c r="L1930" s="67"/>
      <c r="M1930" s="67"/>
      <c r="N1930" s="67"/>
      <c r="O1930" s="67"/>
    </row>
    <row r="1931" spans="1:15" ht="15">
      <c r="A1931" s="91" t="s">
        <v>10</v>
      </c>
      <c r="B1931" s="91" t="s">
        <v>430</v>
      </c>
      <c r="C1931" s="92" t="str">
        <f ca="1">IFERROR(__xludf.DUMMYFUNCTION("filter('Back End'!C:C,'Back End'!A:A=A1931,'Back End'!B:B=B1931,'Back End'!D:D=D1931)"),"Chendurthi")</f>
        <v>Chendurthi</v>
      </c>
      <c r="D1931" s="91" t="s">
        <v>443</v>
      </c>
      <c r="E1931" s="91" t="s">
        <v>5501</v>
      </c>
      <c r="F1931" s="67" t="s">
        <v>3138</v>
      </c>
      <c r="G1931" s="67"/>
      <c r="H1931" s="93" t="s">
        <v>4</v>
      </c>
      <c r="I1931" s="67"/>
      <c r="J1931" s="92">
        <v>9100327254</v>
      </c>
      <c r="K1931" s="67"/>
      <c r="L1931" s="67"/>
      <c r="M1931" s="67"/>
      <c r="N1931" s="67"/>
      <c r="O1931" s="67"/>
    </row>
    <row r="1932" spans="1:15" ht="15">
      <c r="A1932" s="91" t="s">
        <v>10</v>
      </c>
      <c r="B1932" s="91" t="s">
        <v>430</v>
      </c>
      <c r="C1932" s="92" t="str">
        <f ca="1">IFERROR(__xludf.DUMMYFUNCTION("filter('Back End'!C:C,'Back End'!A:A=A1932,'Back End'!B:B=B1932,'Back End'!D:D=D1932)"),"Chendurthi")</f>
        <v>Chendurthi</v>
      </c>
      <c r="D1932" s="91" t="s">
        <v>443</v>
      </c>
      <c r="E1932" s="91" t="s">
        <v>5502</v>
      </c>
      <c r="F1932" s="67" t="s">
        <v>3138</v>
      </c>
      <c r="G1932" s="67"/>
      <c r="H1932" s="93" t="s">
        <v>4</v>
      </c>
      <c r="I1932" s="67"/>
      <c r="J1932" s="92">
        <v>8886463195</v>
      </c>
      <c r="K1932" s="67"/>
      <c r="L1932" s="67"/>
      <c r="M1932" s="67"/>
      <c r="N1932" s="67"/>
      <c r="O1932" s="67"/>
    </row>
    <row r="1933" spans="1:15" ht="15">
      <c r="A1933" s="91" t="s">
        <v>10</v>
      </c>
      <c r="B1933" s="91" t="s">
        <v>430</v>
      </c>
      <c r="C1933" s="92" t="str">
        <f ca="1">IFERROR(__xludf.DUMMYFUNCTION("filter('Back End'!C:C,'Back End'!A:A=A1933,'Back End'!B:B=B1933,'Back End'!D:D=D1933)"),"Chendurthi")</f>
        <v>Chendurthi</v>
      </c>
      <c r="D1933" s="91" t="s">
        <v>443</v>
      </c>
      <c r="E1933" s="91" t="s">
        <v>5503</v>
      </c>
      <c r="F1933" s="67" t="s">
        <v>3138</v>
      </c>
      <c r="G1933" s="67"/>
      <c r="H1933" s="93" t="s">
        <v>4</v>
      </c>
      <c r="I1933" s="67"/>
      <c r="J1933" s="92">
        <v>7981555531</v>
      </c>
      <c r="K1933" s="67"/>
      <c r="L1933" s="67"/>
      <c r="M1933" s="67"/>
      <c r="N1933" s="67"/>
      <c r="O1933" s="67"/>
    </row>
    <row r="1934" spans="1:15" ht="15">
      <c r="A1934" s="91" t="s">
        <v>10</v>
      </c>
      <c r="B1934" s="91" t="s">
        <v>430</v>
      </c>
      <c r="C1934" s="92" t="str">
        <f ca="1">IFERROR(__xludf.DUMMYFUNCTION("filter('Back End'!C:C,'Back End'!A:A=A1934,'Back End'!B:B=B1934,'Back End'!D:D=D1934)"),"Chendurthi")</f>
        <v>Chendurthi</v>
      </c>
      <c r="D1934" s="91" t="s">
        <v>443</v>
      </c>
      <c r="E1934" s="91" t="s">
        <v>5504</v>
      </c>
      <c r="F1934" s="67" t="s">
        <v>3138</v>
      </c>
      <c r="G1934" s="67"/>
      <c r="H1934" s="93" t="s">
        <v>4</v>
      </c>
      <c r="I1934" s="92" t="s">
        <v>3125</v>
      </c>
      <c r="J1934" s="92">
        <v>9010019301</v>
      </c>
      <c r="K1934" s="67"/>
      <c r="L1934" s="67"/>
      <c r="M1934" s="67"/>
      <c r="N1934" s="67"/>
      <c r="O1934" s="67"/>
    </row>
    <row r="1935" spans="1:15" ht="15">
      <c r="A1935" s="91" t="s">
        <v>10</v>
      </c>
      <c r="B1935" s="91" t="s">
        <v>430</v>
      </c>
      <c r="C1935" s="92" t="str">
        <f ca="1">IFERROR(__xludf.DUMMYFUNCTION("filter('Back End'!C:C,'Back End'!A:A=A1935,'Back End'!B:B=B1935,'Back End'!D:D=D1935)"),"Chendurthi")</f>
        <v>Chendurthi</v>
      </c>
      <c r="D1935" s="91" t="s">
        <v>443</v>
      </c>
      <c r="E1935" s="91" t="s">
        <v>5505</v>
      </c>
      <c r="F1935" s="67" t="s">
        <v>3138</v>
      </c>
      <c r="G1935" s="67"/>
      <c r="H1935" s="93" t="s">
        <v>4</v>
      </c>
      <c r="I1935" s="67"/>
      <c r="J1935" s="92">
        <v>9640004041</v>
      </c>
      <c r="K1935" s="67"/>
      <c r="L1935" s="67"/>
      <c r="M1935" s="67"/>
      <c r="N1935" s="67"/>
      <c r="O1935" s="67"/>
    </row>
    <row r="1936" spans="1:15" ht="15">
      <c r="A1936" s="91" t="s">
        <v>10</v>
      </c>
      <c r="B1936" s="91" t="s">
        <v>430</v>
      </c>
      <c r="C1936" s="92" t="str">
        <f ca="1">IFERROR(__xludf.DUMMYFUNCTION("filter('Back End'!C:C,'Back End'!A:A=A1936,'Back End'!B:B=B1936,'Back End'!D:D=D1936)"),"Chendurthi")</f>
        <v>Chendurthi</v>
      </c>
      <c r="D1936" s="91" t="s">
        <v>443</v>
      </c>
      <c r="E1936" s="91" t="s">
        <v>5506</v>
      </c>
      <c r="F1936" s="67" t="s">
        <v>3138</v>
      </c>
      <c r="G1936" s="67"/>
      <c r="H1936" s="93" t="s">
        <v>4</v>
      </c>
      <c r="I1936" s="67"/>
      <c r="J1936" s="92">
        <v>9701879633</v>
      </c>
      <c r="K1936" s="67"/>
      <c r="L1936" s="67"/>
      <c r="M1936" s="67"/>
      <c r="N1936" s="67"/>
      <c r="O1936" s="67"/>
    </row>
    <row r="1937" spans="1:15" ht="15">
      <c r="A1937" s="91" t="s">
        <v>10</v>
      </c>
      <c r="B1937" s="91" t="s">
        <v>430</v>
      </c>
      <c r="C1937" s="92" t="str">
        <f ca="1">IFERROR(__xludf.DUMMYFUNCTION("filter('Back End'!C:C,'Back End'!A:A=A1937,'Back End'!B:B=B1937,'Back End'!D:D=D1937)"),"Chendurthi")</f>
        <v>Chendurthi</v>
      </c>
      <c r="D1937" s="91" t="s">
        <v>443</v>
      </c>
      <c r="E1937" s="91" t="s">
        <v>5507</v>
      </c>
      <c r="F1937" s="91" t="s">
        <v>114</v>
      </c>
      <c r="G1937" s="91" t="s">
        <v>85</v>
      </c>
      <c r="H1937" s="93" t="s">
        <v>5</v>
      </c>
      <c r="I1937" s="67"/>
      <c r="J1937" s="92">
        <v>9652930494</v>
      </c>
      <c r="K1937" s="67"/>
      <c r="L1937" s="67"/>
      <c r="M1937" s="67"/>
      <c r="N1937" s="67"/>
      <c r="O1937" s="67"/>
    </row>
    <row r="1938" spans="1:15" ht="15">
      <c r="A1938" s="91" t="s">
        <v>10</v>
      </c>
      <c r="B1938" s="91" t="s">
        <v>430</v>
      </c>
      <c r="C1938" s="92" t="str">
        <f ca="1">IFERROR(__xludf.DUMMYFUNCTION("filter('Back End'!C:C,'Back End'!A:A=A1938,'Back End'!B:B=B1938,'Back End'!D:D=D1938)"),"Tatiparthi")</f>
        <v>Tatiparthi</v>
      </c>
      <c r="D1938" s="91" t="s">
        <v>378</v>
      </c>
      <c r="E1938" s="91" t="s">
        <v>5508</v>
      </c>
      <c r="F1938" s="91" t="s">
        <v>139</v>
      </c>
      <c r="G1938" s="91" t="s">
        <v>594</v>
      </c>
      <c r="H1938" s="93" t="s">
        <v>5</v>
      </c>
      <c r="I1938" s="67"/>
      <c r="J1938" s="92">
        <v>9014023235</v>
      </c>
      <c r="K1938" s="67"/>
      <c r="L1938" s="67"/>
      <c r="M1938" s="67"/>
      <c r="N1938" s="67"/>
      <c r="O1938" s="67"/>
    </row>
    <row r="1939" spans="1:15" ht="15">
      <c r="A1939" s="91" t="s">
        <v>10</v>
      </c>
      <c r="B1939" s="91" t="s">
        <v>430</v>
      </c>
      <c r="C1939" s="92" t="str">
        <f ca="1">IFERROR(__xludf.DUMMYFUNCTION("filter('Back End'!C:C,'Back End'!A:A=A1939,'Back End'!B:B=B1939,'Back End'!D:D=D1939)"),"Tatiparthi")</f>
        <v>Tatiparthi</v>
      </c>
      <c r="D1939" s="91" t="s">
        <v>378</v>
      </c>
      <c r="E1939" s="91" t="s">
        <v>5509</v>
      </c>
      <c r="F1939" s="91" t="s">
        <v>139</v>
      </c>
      <c r="G1939" s="91" t="s">
        <v>594</v>
      </c>
      <c r="H1939" s="93" t="s">
        <v>5</v>
      </c>
      <c r="I1939" s="67"/>
      <c r="J1939" s="92">
        <v>9542665137</v>
      </c>
      <c r="K1939" s="67"/>
      <c r="L1939" s="67"/>
      <c r="M1939" s="67"/>
      <c r="N1939" s="67"/>
      <c r="O1939" s="67"/>
    </row>
    <row r="1940" spans="1:15" ht="15">
      <c r="A1940" s="91" t="s">
        <v>10</v>
      </c>
      <c r="B1940" s="91" t="s">
        <v>430</v>
      </c>
      <c r="C1940" s="92" t="str">
        <f ca="1">IFERROR(__xludf.DUMMYFUNCTION("filter('Back End'!C:C,'Back End'!A:A=A1940,'Back End'!B:B=B1940,'Back End'!D:D=D1940)"),"Tatiparthi")</f>
        <v>Tatiparthi</v>
      </c>
      <c r="D1940" s="91" t="s">
        <v>378</v>
      </c>
      <c r="E1940" s="91" t="s">
        <v>5510</v>
      </c>
      <c r="F1940" s="91" t="s">
        <v>139</v>
      </c>
      <c r="G1940" s="91" t="s">
        <v>594</v>
      </c>
      <c r="H1940" s="93" t="s">
        <v>5</v>
      </c>
      <c r="I1940" s="67"/>
      <c r="J1940" s="92">
        <v>9502229228</v>
      </c>
      <c r="K1940" s="67"/>
      <c r="L1940" s="67"/>
      <c r="M1940" s="67"/>
      <c r="N1940" s="67"/>
      <c r="O1940" s="67"/>
    </row>
    <row r="1941" spans="1:15" ht="15">
      <c r="A1941" s="91" t="s">
        <v>10</v>
      </c>
      <c r="B1941" s="91" t="s">
        <v>430</v>
      </c>
      <c r="C1941" s="92" t="str">
        <f ca="1">IFERROR(__xludf.DUMMYFUNCTION("filter('Back End'!C:C,'Back End'!A:A=A1941,'Back End'!B:B=B1941,'Back End'!D:D=D1941)"),"Tatiparthi")</f>
        <v>Tatiparthi</v>
      </c>
      <c r="D1941" s="91" t="s">
        <v>378</v>
      </c>
      <c r="E1941" s="91" t="s">
        <v>5511</v>
      </c>
      <c r="F1941" s="67" t="s">
        <v>3138</v>
      </c>
      <c r="G1941" s="67"/>
      <c r="H1941" s="93" t="s">
        <v>5</v>
      </c>
      <c r="I1941" s="67"/>
      <c r="J1941" s="92">
        <v>9848134412</v>
      </c>
      <c r="K1941" s="67"/>
      <c r="L1941" s="67"/>
      <c r="M1941" s="67"/>
      <c r="N1941" s="67"/>
      <c r="O1941" s="67"/>
    </row>
    <row r="1942" spans="1:15" ht="15">
      <c r="A1942" s="91" t="s">
        <v>10</v>
      </c>
      <c r="B1942" s="91" t="s">
        <v>430</v>
      </c>
      <c r="C1942" s="92" t="str">
        <f ca="1">IFERROR(__xludf.DUMMYFUNCTION("filter('Back End'!C:C,'Back End'!A:A=A1942,'Back End'!B:B=B1942,'Back End'!D:D=D1942)"),"Tatiparthi")</f>
        <v>Tatiparthi</v>
      </c>
      <c r="D1942" s="91" t="s">
        <v>378</v>
      </c>
      <c r="E1942" s="91" t="s">
        <v>5512</v>
      </c>
      <c r="F1942" s="67" t="s">
        <v>3138</v>
      </c>
      <c r="G1942" s="67"/>
      <c r="H1942" s="93" t="s">
        <v>5</v>
      </c>
      <c r="I1942" s="67"/>
      <c r="J1942" s="92">
        <v>9989697907</v>
      </c>
      <c r="K1942" s="67"/>
      <c r="L1942" s="67"/>
      <c r="M1942" s="67"/>
      <c r="N1942" s="67"/>
      <c r="O1942" s="67"/>
    </row>
    <row r="1943" spans="1:15" ht="15">
      <c r="A1943" s="91" t="s">
        <v>10</v>
      </c>
      <c r="B1943" s="91" t="s">
        <v>430</v>
      </c>
      <c r="C1943" s="92" t="str">
        <f ca="1">IFERROR(__xludf.DUMMYFUNCTION("filter('Back End'!C:C,'Back End'!A:A=A1943,'Back End'!B:B=B1943,'Back End'!D:D=D1943)"),"Tatiparthi")</f>
        <v>Tatiparthi</v>
      </c>
      <c r="D1943" s="91" t="s">
        <v>378</v>
      </c>
      <c r="E1943" s="91" t="s">
        <v>5513</v>
      </c>
      <c r="F1943" s="67" t="s">
        <v>3138</v>
      </c>
      <c r="G1943" s="67"/>
      <c r="H1943" s="93" t="s">
        <v>5</v>
      </c>
      <c r="I1943" s="67"/>
      <c r="J1943" s="92">
        <v>9010468911</v>
      </c>
      <c r="K1943" s="67"/>
      <c r="L1943" s="67"/>
      <c r="M1943" s="67"/>
      <c r="N1943" s="67"/>
      <c r="O1943" s="67"/>
    </row>
    <row r="1944" spans="1:15" ht="15">
      <c r="A1944" s="91" t="s">
        <v>10</v>
      </c>
      <c r="B1944" s="91" t="s">
        <v>430</v>
      </c>
      <c r="C1944" s="92" t="str">
        <f ca="1">IFERROR(__xludf.DUMMYFUNCTION("filter('Back End'!C:C,'Back End'!A:A=A1944,'Back End'!B:B=B1944,'Back End'!D:D=D1944)"),"Tatiparthi")</f>
        <v>Tatiparthi</v>
      </c>
      <c r="D1944" s="91" t="s">
        <v>378</v>
      </c>
      <c r="E1944" s="91" t="s">
        <v>5514</v>
      </c>
      <c r="F1944" s="91" t="s">
        <v>139</v>
      </c>
      <c r="G1944" s="91" t="s">
        <v>594</v>
      </c>
      <c r="H1944" s="93" t="s">
        <v>5</v>
      </c>
      <c r="I1944" s="67"/>
      <c r="J1944" s="92">
        <v>7396836777</v>
      </c>
      <c r="K1944" s="67"/>
      <c r="L1944" s="67"/>
      <c r="M1944" s="67"/>
      <c r="N1944" s="67"/>
      <c r="O1944" s="67"/>
    </row>
    <row r="1945" spans="1:15" ht="15">
      <c r="A1945" s="91" t="s">
        <v>10</v>
      </c>
      <c r="B1945" s="91" t="s">
        <v>430</v>
      </c>
      <c r="C1945" s="92" t="str">
        <f ca="1">IFERROR(__xludf.DUMMYFUNCTION("filter('Back End'!C:C,'Back End'!A:A=A1945,'Back End'!B:B=B1945,'Back End'!D:D=D1945)"),"Tatiparthi")</f>
        <v>Tatiparthi</v>
      </c>
      <c r="D1945" s="91" t="s">
        <v>378</v>
      </c>
      <c r="E1945" s="91" t="s">
        <v>5515</v>
      </c>
      <c r="F1945" s="67" t="s">
        <v>3138</v>
      </c>
      <c r="G1945" s="67"/>
      <c r="H1945" s="93" t="s">
        <v>5</v>
      </c>
      <c r="I1945" s="67"/>
      <c r="J1945" s="92">
        <v>9701128138</v>
      </c>
      <c r="K1945" s="67"/>
      <c r="L1945" s="67"/>
      <c r="M1945" s="67"/>
      <c r="N1945" s="67"/>
      <c r="O1945" s="67"/>
    </row>
    <row r="1946" spans="1:15" ht="45">
      <c r="A1946" s="91" t="s">
        <v>10</v>
      </c>
      <c r="B1946" s="91" t="s">
        <v>430</v>
      </c>
      <c r="C1946" s="92" t="str">
        <f ca="1">IFERROR(__xludf.DUMMYFUNCTION("filter('Back End'!C:C,'Back End'!A:A=A1946,'Back End'!B:B=B1946,'Back End'!D:D=D1946)"),"Tatiparthi")</f>
        <v>Tatiparthi</v>
      </c>
      <c r="D1946" s="91" t="s">
        <v>378</v>
      </c>
      <c r="E1946" s="91" t="s">
        <v>5516</v>
      </c>
      <c r="F1946" s="91" t="s">
        <v>139</v>
      </c>
      <c r="G1946" s="91" t="s">
        <v>594</v>
      </c>
      <c r="H1946" s="93" t="s">
        <v>6</v>
      </c>
      <c r="I1946" s="92" t="s">
        <v>5517</v>
      </c>
      <c r="J1946" s="92">
        <v>9533737384</v>
      </c>
      <c r="K1946" s="67"/>
      <c r="L1946" s="67"/>
      <c r="M1946" s="67"/>
      <c r="N1946" s="67"/>
      <c r="O1946" s="67"/>
    </row>
    <row r="1947" spans="1:15" ht="30">
      <c r="A1947" s="91" t="s">
        <v>10</v>
      </c>
      <c r="B1947" s="91" t="s">
        <v>430</v>
      </c>
      <c r="C1947" s="92" t="str">
        <f ca="1">IFERROR(__xludf.DUMMYFUNCTION("filter('Back End'!C:C,'Back End'!A:A=A1947,'Back End'!B:B=B1947,'Back End'!D:D=D1947)"),"Tatiparthi")</f>
        <v>Tatiparthi</v>
      </c>
      <c r="D1947" s="91" t="s">
        <v>378</v>
      </c>
      <c r="E1947" s="91" t="s">
        <v>5518</v>
      </c>
      <c r="F1947" s="91" t="s">
        <v>139</v>
      </c>
      <c r="G1947" s="91" t="s">
        <v>594</v>
      </c>
      <c r="H1947" s="93" t="s">
        <v>5</v>
      </c>
      <c r="I1947" s="92" t="s">
        <v>3645</v>
      </c>
      <c r="J1947" s="92">
        <v>9618521615</v>
      </c>
      <c r="K1947" s="67"/>
      <c r="L1947" s="67"/>
      <c r="M1947" s="67"/>
      <c r="N1947" s="67"/>
      <c r="O1947" s="67"/>
    </row>
    <row r="1948" spans="1:15" ht="15">
      <c r="A1948" s="91" t="s">
        <v>10</v>
      </c>
      <c r="B1948" s="91" t="s">
        <v>430</v>
      </c>
      <c r="C1948" s="92" t="str">
        <f ca="1">IFERROR(__xludf.DUMMYFUNCTION("filter('Back End'!C:C,'Back End'!A:A=A1948,'Back End'!B:B=B1948,'Back End'!D:D=D1948)"),"Tatiparthi")</f>
        <v>Tatiparthi</v>
      </c>
      <c r="D1948" s="91" t="s">
        <v>378</v>
      </c>
      <c r="E1948" s="91" t="s">
        <v>5519</v>
      </c>
      <c r="F1948" s="91" t="s">
        <v>114</v>
      </c>
      <c r="G1948" s="91" t="s">
        <v>85</v>
      </c>
      <c r="H1948" s="93" t="s">
        <v>4</v>
      </c>
      <c r="I1948" s="92" t="s">
        <v>5520</v>
      </c>
      <c r="J1948" s="92">
        <v>9989843700</v>
      </c>
      <c r="K1948" s="67"/>
      <c r="L1948" s="67"/>
      <c r="M1948" s="67"/>
      <c r="N1948" s="67"/>
      <c r="O1948" s="67"/>
    </row>
    <row r="1949" spans="1:15" ht="15">
      <c r="A1949" s="91" t="s">
        <v>10</v>
      </c>
      <c r="B1949" s="91" t="s">
        <v>430</v>
      </c>
      <c r="C1949" s="92" t="str">
        <f ca="1">IFERROR(__xludf.DUMMYFUNCTION("filter('Back End'!C:C,'Back End'!A:A=A1949,'Back End'!B:B=B1949,'Back End'!D:D=D1949)"),"Tatiparthi")</f>
        <v>Tatiparthi</v>
      </c>
      <c r="D1949" s="91" t="s">
        <v>378</v>
      </c>
      <c r="E1949" s="91" t="s">
        <v>5521</v>
      </c>
      <c r="F1949" s="67" t="s">
        <v>3138</v>
      </c>
      <c r="G1949" s="67"/>
      <c r="H1949" s="93" t="s">
        <v>4</v>
      </c>
      <c r="I1949" s="67"/>
      <c r="J1949" s="92">
        <v>9948893627</v>
      </c>
      <c r="K1949" s="67"/>
      <c r="L1949" s="67"/>
      <c r="M1949" s="67"/>
      <c r="N1949" s="67"/>
      <c r="O1949" s="67"/>
    </row>
    <row r="1950" spans="1:15" ht="15">
      <c r="A1950" s="91" t="s">
        <v>10</v>
      </c>
      <c r="B1950" s="91" t="s">
        <v>430</v>
      </c>
      <c r="C1950" s="92" t="str">
        <f ca="1">IFERROR(__xludf.DUMMYFUNCTION("filter('Back End'!C:C,'Back End'!A:A=A1950,'Back End'!B:B=B1950,'Back End'!D:D=D1950)"),"Tatiparthi")</f>
        <v>Tatiparthi</v>
      </c>
      <c r="D1950" s="91" t="s">
        <v>378</v>
      </c>
      <c r="E1950" s="91" t="s">
        <v>5522</v>
      </c>
      <c r="F1950" s="67" t="s">
        <v>3138</v>
      </c>
      <c r="G1950" s="67"/>
      <c r="H1950" s="93" t="s">
        <v>4</v>
      </c>
      <c r="I1950" s="67"/>
      <c r="J1950" s="92">
        <v>6303980530</v>
      </c>
      <c r="K1950" s="67"/>
      <c r="L1950" s="67"/>
      <c r="M1950" s="67"/>
      <c r="N1950" s="67"/>
      <c r="O1950" s="67"/>
    </row>
    <row r="1951" spans="1:15" ht="15">
      <c r="A1951" s="91" t="s">
        <v>10</v>
      </c>
      <c r="B1951" s="91" t="s">
        <v>430</v>
      </c>
      <c r="C1951" s="92" t="str">
        <f ca="1">IFERROR(__xludf.DUMMYFUNCTION("filter('Back End'!C:C,'Back End'!A:A=A1951,'Back End'!B:B=B1951,'Back End'!D:D=D1951)"),"Tatiparthi")</f>
        <v>Tatiparthi</v>
      </c>
      <c r="D1951" s="91" t="s">
        <v>378</v>
      </c>
      <c r="E1951" s="91" t="s">
        <v>5523</v>
      </c>
      <c r="F1951" s="67" t="s">
        <v>3138</v>
      </c>
      <c r="G1951" s="67"/>
      <c r="H1951" s="93" t="s">
        <v>4</v>
      </c>
      <c r="I1951" s="67"/>
      <c r="J1951" s="92">
        <v>8317549092</v>
      </c>
      <c r="K1951" s="67"/>
      <c r="L1951" s="67"/>
      <c r="M1951" s="67"/>
      <c r="N1951" s="67"/>
      <c r="O1951" s="67"/>
    </row>
    <row r="1952" spans="1:15" ht="15">
      <c r="A1952" s="91" t="s">
        <v>10</v>
      </c>
      <c r="B1952" s="91" t="s">
        <v>430</v>
      </c>
      <c r="C1952" s="92" t="str">
        <f ca="1">IFERROR(__xludf.DUMMYFUNCTION("filter('Back End'!C:C,'Back End'!A:A=A1952,'Back End'!B:B=B1952,'Back End'!D:D=D1952)"),"Tatiparthi")</f>
        <v>Tatiparthi</v>
      </c>
      <c r="D1952" s="91" t="s">
        <v>378</v>
      </c>
      <c r="E1952" s="91" t="s">
        <v>5524</v>
      </c>
      <c r="F1952" s="67" t="s">
        <v>3138</v>
      </c>
      <c r="G1952" s="67"/>
      <c r="H1952" s="93" t="s">
        <v>4</v>
      </c>
      <c r="I1952" s="67"/>
      <c r="J1952" s="92">
        <v>7085870176</v>
      </c>
      <c r="K1952" s="67"/>
      <c r="L1952" s="67"/>
      <c r="M1952" s="67"/>
      <c r="N1952" s="67"/>
      <c r="O1952" s="67"/>
    </row>
    <row r="1953" spans="1:15" ht="15">
      <c r="A1953" s="91" t="s">
        <v>10</v>
      </c>
      <c r="B1953" s="91" t="s">
        <v>430</v>
      </c>
      <c r="C1953" s="92" t="str">
        <f ca="1">IFERROR(__xludf.DUMMYFUNCTION("filter('Back End'!C:C,'Back End'!A:A=A1953,'Back End'!B:B=B1953,'Back End'!D:D=D1953)"),"Tatiparthi")</f>
        <v>Tatiparthi</v>
      </c>
      <c r="D1953" s="91" t="s">
        <v>378</v>
      </c>
      <c r="E1953" s="91" t="s">
        <v>5525</v>
      </c>
      <c r="F1953" s="67" t="s">
        <v>3138</v>
      </c>
      <c r="G1953" s="67"/>
      <c r="H1953" s="93" t="s">
        <v>4</v>
      </c>
      <c r="I1953" s="67"/>
      <c r="J1953" s="92">
        <v>9908062771</v>
      </c>
      <c r="K1953" s="67"/>
      <c r="L1953" s="67"/>
      <c r="M1953" s="67"/>
      <c r="N1953" s="67"/>
      <c r="O1953" s="67"/>
    </row>
    <row r="1954" spans="1:15" ht="15">
      <c r="A1954" s="91" t="s">
        <v>10</v>
      </c>
      <c r="B1954" s="91" t="s">
        <v>430</v>
      </c>
      <c r="C1954" s="92" t="str">
        <f ca="1">IFERROR(__xludf.DUMMYFUNCTION("filter('Back End'!C:C,'Back End'!A:A=A1954,'Back End'!B:B=B1954,'Back End'!D:D=D1954)"),"Tatiparthi")</f>
        <v>Tatiparthi</v>
      </c>
      <c r="D1954" s="91" t="s">
        <v>378</v>
      </c>
      <c r="E1954" s="91" t="s">
        <v>5526</v>
      </c>
      <c r="F1954" s="67" t="s">
        <v>3138</v>
      </c>
      <c r="G1954" s="67"/>
      <c r="H1954" s="93" t="s">
        <v>4</v>
      </c>
      <c r="I1954" s="67"/>
      <c r="J1954" s="92">
        <v>9866241547</v>
      </c>
      <c r="K1954" s="67"/>
      <c r="L1954" s="67"/>
      <c r="M1954" s="67"/>
      <c r="N1954" s="67"/>
      <c r="O1954" s="67"/>
    </row>
    <row r="1955" spans="1:15" ht="15">
      <c r="A1955" s="91" t="s">
        <v>10</v>
      </c>
      <c r="B1955" s="91" t="s">
        <v>430</v>
      </c>
      <c r="C1955" s="92" t="str">
        <f ca="1">IFERROR(__xludf.DUMMYFUNCTION("filter('Back End'!C:C,'Back End'!A:A=A1955,'Back End'!B:B=B1955,'Back End'!D:D=D1955)"),"Tatiparthi")</f>
        <v>Tatiparthi</v>
      </c>
      <c r="D1955" s="91" t="s">
        <v>378</v>
      </c>
      <c r="E1955" s="91" t="s">
        <v>5527</v>
      </c>
      <c r="F1955" s="67" t="s">
        <v>3138</v>
      </c>
      <c r="G1955" s="67"/>
      <c r="H1955" s="93" t="s">
        <v>4</v>
      </c>
      <c r="I1955" s="67"/>
      <c r="J1955" s="92">
        <v>7095492937</v>
      </c>
      <c r="K1955" s="67"/>
      <c r="L1955" s="67"/>
      <c r="M1955" s="67"/>
      <c r="N1955" s="67"/>
      <c r="O1955" s="67"/>
    </row>
    <row r="1956" spans="1:15" ht="15">
      <c r="A1956" s="91" t="s">
        <v>10</v>
      </c>
      <c r="B1956" s="91" t="s">
        <v>430</v>
      </c>
      <c r="C1956" s="92" t="str">
        <f ca="1">IFERROR(__xludf.DUMMYFUNCTION("filter('Back End'!C:C,'Back End'!A:A=A1956,'Back End'!B:B=B1956,'Back End'!D:D=D1956)"),"Tatiparthi")</f>
        <v>Tatiparthi</v>
      </c>
      <c r="D1956" s="91" t="s">
        <v>378</v>
      </c>
      <c r="E1956" s="91" t="s">
        <v>5528</v>
      </c>
      <c r="F1956" s="67" t="s">
        <v>3138</v>
      </c>
      <c r="G1956" s="67"/>
      <c r="H1956" s="93" t="s">
        <v>4</v>
      </c>
      <c r="I1956" s="92" t="s">
        <v>3125</v>
      </c>
      <c r="J1956" s="92">
        <v>9705735880</v>
      </c>
      <c r="K1956" s="67"/>
      <c r="L1956" s="67"/>
      <c r="M1956" s="67"/>
      <c r="N1956" s="67"/>
      <c r="O1956" s="67"/>
    </row>
    <row r="1957" spans="1:15" ht="30">
      <c r="A1957" s="91" t="s">
        <v>19</v>
      </c>
      <c r="B1957" s="92" t="s">
        <v>430</v>
      </c>
      <c r="C1957" s="92" t="str">
        <f ca="1">IFERROR(__xludf.DUMMYFUNCTION("filter('Back End'!C:C,'Back End'!A:A=A1957,'Back End'!B:B=B1957,'Back End'!D:D=D1957)"),"#N/A")</f>
        <v>#N/A</v>
      </c>
      <c r="D1957" s="91" t="s">
        <v>378</v>
      </c>
      <c r="E1957" s="92" t="s">
        <v>5529</v>
      </c>
      <c r="F1957" s="91" t="s">
        <v>139</v>
      </c>
      <c r="G1957" s="91" t="s">
        <v>594</v>
      </c>
      <c r="H1957" s="93" t="s">
        <v>6</v>
      </c>
      <c r="I1957" s="92" t="s">
        <v>5530</v>
      </c>
      <c r="J1957" s="92">
        <v>9949722111</v>
      </c>
      <c r="K1957" s="67"/>
      <c r="L1957" s="67"/>
      <c r="M1957" s="67"/>
      <c r="N1957" s="67"/>
      <c r="O1957" s="67"/>
    </row>
    <row r="1958" spans="1:15" ht="30">
      <c r="A1958" s="91" t="s">
        <v>19</v>
      </c>
      <c r="B1958" s="92" t="s">
        <v>430</v>
      </c>
      <c r="C1958" s="92" t="str">
        <f ca="1">IFERROR(__xludf.DUMMYFUNCTION("filter('Back End'!C:C,'Back End'!A:A=A1958,'Back End'!B:B=B1958,'Back End'!D:D=D1958)"),"#N/A")</f>
        <v>#N/A</v>
      </c>
      <c r="D1958" s="91" t="s">
        <v>378</v>
      </c>
      <c r="E1958" s="92" t="s">
        <v>5531</v>
      </c>
      <c r="F1958" s="91" t="s">
        <v>467</v>
      </c>
      <c r="G1958" s="91" t="s">
        <v>86</v>
      </c>
      <c r="H1958" s="93" t="s">
        <v>4</v>
      </c>
      <c r="I1958" s="92" t="s">
        <v>5532</v>
      </c>
      <c r="J1958" s="92">
        <v>9989843700</v>
      </c>
      <c r="K1958" s="67"/>
      <c r="L1958" s="67"/>
      <c r="M1958" s="67"/>
      <c r="N1958" s="67"/>
      <c r="O1958" s="67"/>
    </row>
    <row r="1959" spans="1:15" ht="15">
      <c r="A1959" s="91" t="s">
        <v>15</v>
      </c>
      <c r="B1959" s="91" t="s">
        <v>15</v>
      </c>
      <c r="C1959" s="92" t="str">
        <f ca="1">IFERROR(__xludf.DUMMYFUNCTION("filter('Back End'!C:C,'Back End'!A:A=A1959,'Back End'!B:B=B1959,'Back End'!D:D=D1959)"),"Tatiparthi")</f>
        <v>Tatiparthi</v>
      </c>
      <c r="D1959" s="91" t="s">
        <v>378</v>
      </c>
      <c r="E1959" s="91" t="s">
        <v>5533</v>
      </c>
      <c r="F1959" s="91" t="s">
        <v>139</v>
      </c>
      <c r="G1959" s="91" t="s">
        <v>594</v>
      </c>
      <c r="H1959" s="93" t="s">
        <v>5</v>
      </c>
      <c r="I1959" s="92" t="s">
        <v>3115</v>
      </c>
      <c r="J1959" s="92">
        <v>9849515309</v>
      </c>
      <c r="K1959" s="67"/>
      <c r="L1959" s="67"/>
      <c r="M1959" s="67"/>
      <c r="N1959" s="67"/>
      <c r="O1959" s="67"/>
    </row>
    <row r="1960" spans="1:15" ht="30">
      <c r="A1960" s="91" t="s">
        <v>15</v>
      </c>
      <c r="B1960" s="91" t="s">
        <v>15</v>
      </c>
      <c r="C1960" s="92" t="str">
        <f ca="1">IFERROR(__xludf.DUMMYFUNCTION("filter('Back End'!C:C,'Back End'!A:A=A1960,'Back End'!B:B=B1960,'Back End'!D:D=D1960)"),"Tatiparthi")</f>
        <v>Tatiparthi</v>
      </c>
      <c r="D1960" s="91" t="s">
        <v>378</v>
      </c>
      <c r="E1960" s="91" t="s">
        <v>5534</v>
      </c>
      <c r="F1960" s="91" t="s">
        <v>139</v>
      </c>
      <c r="G1960" s="91" t="s">
        <v>594</v>
      </c>
      <c r="H1960" s="93" t="s">
        <v>5</v>
      </c>
      <c r="I1960" s="92" t="s">
        <v>5535</v>
      </c>
      <c r="J1960" s="92">
        <v>9849515309</v>
      </c>
      <c r="K1960" s="67"/>
      <c r="L1960" s="67"/>
      <c r="M1960" s="67"/>
      <c r="N1960" s="67"/>
      <c r="O1960" s="67"/>
    </row>
    <row r="1961" spans="1:15" ht="15">
      <c r="A1961" s="91" t="s">
        <v>10</v>
      </c>
      <c r="B1961" s="91" t="s">
        <v>430</v>
      </c>
      <c r="C1961" s="92" t="str">
        <f ca="1">IFERROR(__xludf.DUMMYFUNCTION("filter('Back End'!C:C,'Back End'!A:A=A1961,'Back End'!B:B=B1961,'Back End'!D:D=D1961)"),"A.Vijayanagaram")</f>
        <v>A.Vijayanagaram</v>
      </c>
      <c r="D1961" s="91" t="s">
        <v>438</v>
      </c>
      <c r="E1961" s="91" t="s">
        <v>5536</v>
      </c>
      <c r="F1961" s="67" t="s">
        <v>3138</v>
      </c>
      <c r="G1961" s="67"/>
      <c r="H1961" s="93" t="s">
        <v>4</v>
      </c>
      <c r="I1961" s="67"/>
      <c r="J1961" s="92">
        <v>7036000869</v>
      </c>
      <c r="K1961" s="67"/>
      <c r="L1961" s="67"/>
      <c r="M1961" s="67"/>
      <c r="N1961" s="67"/>
      <c r="O1961" s="67"/>
    </row>
    <row r="1962" spans="1:15" ht="15">
      <c r="A1962" s="91" t="s">
        <v>10</v>
      </c>
      <c r="B1962" s="91" t="s">
        <v>430</v>
      </c>
      <c r="C1962" s="92" t="str">
        <f ca="1">IFERROR(__xludf.DUMMYFUNCTION("filter('Back End'!C:C,'Back End'!A:A=A1962,'Back End'!B:B=B1962,'Back End'!D:D=D1962)"),"A.Vijayanagaram")</f>
        <v>A.Vijayanagaram</v>
      </c>
      <c r="D1962" s="91" t="s">
        <v>438</v>
      </c>
      <c r="E1962" s="91" t="s">
        <v>5537</v>
      </c>
      <c r="F1962" s="67" t="s">
        <v>3138</v>
      </c>
      <c r="G1962" s="67"/>
      <c r="H1962" s="93" t="s">
        <v>4</v>
      </c>
      <c r="I1962" s="92" t="s">
        <v>3125</v>
      </c>
      <c r="J1962" s="92">
        <v>8106687676</v>
      </c>
      <c r="K1962" s="67"/>
      <c r="L1962" s="67"/>
      <c r="M1962" s="67"/>
      <c r="N1962" s="67"/>
      <c r="O1962" s="67"/>
    </row>
    <row r="1963" spans="1:15" ht="15">
      <c r="A1963" s="91" t="s">
        <v>10</v>
      </c>
      <c r="B1963" s="91" t="s">
        <v>430</v>
      </c>
      <c r="C1963" s="92" t="str">
        <f ca="1">IFERROR(__xludf.DUMMYFUNCTION("filter('Back End'!C:C,'Back End'!A:A=A1963,'Back End'!B:B=B1963,'Back End'!D:D=D1963)"),"Chebrolu")</f>
        <v>Chebrolu</v>
      </c>
      <c r="D1963" s="91" t="s">
        <v>441</v>
      </c>
      <c r="E1963" s="91" t="s">
        <v>5538</v>
      </c>
      <c r="F1963" s="67" t="s">
        <v>3138</v>
      </c>
      <c r="G1963" s="67"/>
      <c r="H1963" s="93" t="s">
        <v>4</v>
      </c>
      <c r="I1963" s="67"/>
      <c r="J1963" s="92">
        <v>8247563685</v>
      </c>
      <c r="K1963" s="67"/>
      <c r="L1963" s="67"/>
      <c r="M1963" s="67"/>
      <c r="N1963" s="67"/>
      <c r="O1963" s="67"/>
    </row>
    <row r="1964" spans="1:15" ht="15">
      <c r="A1964" s="91" t="s">
        <v>10</v>
      </c>
      <c r="B1964" s="91" t="s">
        <v>430</v>
      </c>
      <c r="C1964" s="92" t="str">
        <f ca="1">IFERROR(__xludf.DUMMYFUNCTION("filter('Back End'!C:C,'Back End'!A:A=A1964,'Back End'!B:B=B1964,'Back End'!D:D=D1964)"),"Chebrolu")</f>
        <v>Chebrolu</v>
      </c>
      <c r="D1964" s="91" t="s">
        <v>441</v>
      </c>
      <c r="E1964" s="91" t="s">
        <v>5539</v>
      </c>
      <c r="F1964" s="67" t="s">
        <v>3138</v>
      </c>
      <c r="G1964" s="67"/>
      <c r="H1964" s="93" t="s">
        <v>4</v>
      </c>
      <c r="I1964" s="67"/>
      <c r="J1964" s="92">
        <v>9963777856</v>
      </c>
      <c r="K1964" s="67"/>
      <c r="L1964" s="67"/>
      <c r="M1964" s="67"/>
      <c r="N1964" s="67"/>
      <c r="O1964" s="67"/>
    </row>
    <row r="1965" spans="1:15" ht="15">
      <c r="A1965" s="91" t="s">
        <v>10</v>
      </c>
      <c r="B1965" s="91" t="s">
        <v>430</v>
      </c>
      <c r="C1965" s="92" t="str">
        <f ca="1">IFERROR(__xludf.DUMMYFUNCTION("filter('Back End'!C:C,'Back End'!A:A=A1965,'Back End'!B:B=B1965,'Back End'!D:D=D1965)"),"Chebrolu")</f>
        <v>Chebrolu</v>
      </c>
      <c r="D1965" s="91" t="s">
        <v>441</v>
      </c>
      <c r="E1965" s="91" t="s">
        <v>5540</v>
      </c>
      <c r="F1965" s="67" t="s">
        <v>3138</v>
      </c>
      <c r="G1965" s="67"/>
      <c r="H1965" s="93" t="s">
        <v>4</v>
      </c>
      <c r="I1965" s="67"/>
      <c r="J1965" s="92">
        <v>6281361929</v>
      </c>
      <c r="K1965" s="67"/>
      <c r="L1965" s="67"/>
      <c r="M1965" s="67"/>
      <c r="N1965" s="67"/>
      <c r="O1965" s="67"/>
    </row>
    <row r="1966" spans="1:15" ht="15">
      <c r="A1966" s="91" t="s">
        <v>10</v>
      </c>
      <c r="B1966" s="91" t="s">
        <v>430</v>
      </c>
      <c r="C1966" s="92" t="str">
        <f ca="1">IFERROR(__xludf.DUMMYFUNCTION("filter('Back End'!C:C,'Back End'!A:A=A1966,'Back End'!B:B=B1966,'Back End'!D:D=D1966)"),"Chebrolu")</f>
        <v>Chebrolu</v>
      </c>
      <c r="D1966" s="91" t="s">
        <v>441</v>
      </c>
      <c r="E1966" s="91" t="s">
        <v>5541</v>
      </c>
      <c r="F1966" s="67" t="s">
        <v>3138</v>
      </c>
      <c r="G1966" s="67"/>
      <c r="H1966" s="93" t="s">
        <v>4</v>
      </c>
      <c r="I1966" s="67"/>
      <c r="J1966" s="92">
        <v>9059767601</v>
      </c>
      <c r="K1966" s="67"/>
      <c r="L1966" s="67"/>
      <c r="M1966" s="67"/>
      <c r="N1966" s="67"/>
      <c r="O1966" s="67"/>
    </row>
    <row r="1967" spans="1:15" ht="15">
      <c r="A1967" s="91" t="s">
        <v>10</v>
      </c>
      <c r="B1967" s="91" t="s">
        <v>430</v>
      </c>
      <c r="C1967" s="92" t="str">
        <f ca="1">IFERROR(__xludf.DUMMYFUNCTION("filter('Back End'!C:C,'Back End'!A:A=A1967,'Back End'!B:B=B1967,'Back End'!D:D=D1967)"),"Chebrolu")</f>
        <v>Chebrolu</v>
      </c>
      <c r="D1967" s="91" t="s">
        <v>441</v>
      </c>
      <c r="E1967" s="91" t="s">
        <v>5542</v>
      </c>
      <c r="F1967" s="67" t="s">
        <v>3138</v>
      </c>
      <c r="G1967" s="67"/>
      <c r="H1967" s="93" t="s">
        <v>4</v>
      </c>
      <c r="I1967" s="67"/>
      <c r="J1967" s="92">
        <v>9704779005</v>
      </c>
      <c r="K1967" s="67"/>
      <c r="L1967" s="67"/>
      <c r="M1967" s="67"/>
      <c r="N1967" s="67"/>
      <c r="O1967" s="67"/>
    </row>
    <row r="1968" spans="1:15" ht="15">
      <c r="A1968" s="91" t="s">
        <v>10</v>
      </c>
      <c r="B1968" s="91" t="s">
        <v>430</v>
      </c>
      <c r="C1968" s="92" t="str">
        <f ca="1">IFERROR(__xludf.DUMMYFUNCTION("filter('Back End'!C:C,'Back End'!A:A=A1968,'Back End'!B:B=B1968,'Back End'!D:D=D1968)"),"Chebrolu")</f>
        <v>Chebrolu</v>
      </c>
      <c r="D1968" s="91" t="s">
        <v>441</v>
      </c>
      <c r="E1968" s="91" t="s">
        <v>5543</v>
      </c>
      <c r="F1968" s="67" t="s">
        <v>3138</v>
      </c>
      <c r="G1968" s="67"/>
      <c r="H1968" s="93" t="s">
        <v>4</v>
      </c>
      <c r="I1968" s="67"/>
      <c r="J1968" s="92">
        <v>8121459919</v>
      </c>
      <c r="K1968" s="67"/>
      <c r="L1968" s="67"/>
      <c r="M1968" s="67"/>
      <c r="N1968" s="67"/>
      <c r="O1968" s="67"/>
    </row>
    <row r="1969" spans="1:15" ht="15">
      <c r="A1969" s="91" t="s">
        <v>10</v>
      </c>
      <c r="B1969" s="91" t="s">
        <v>430</v>
      </c>
      <c r="C1969" s="92" t="str">
        <f ca="1">IFERROR(__xludf.DUMMYFUNCTION("filter('Back End'!C:C,'Back End'!A:A=A1969,'Back End'!B:B=B1969,'Back End'!D:D=D1969)"),"Chebrolu")</f>
        <v>Chebrolu</v>
      </c>
      <c r="D1969" s="91" t="s">
        <v>441</v>
      </c>
      <c r="E1969" s="91" t="s">
        <v>5544</v>
      </c>
      <c r="F1969" s="67" t="s">
        <v>3138</v>
      </c>
      <c r="G1969" s="67"/>
      <c r="H1969" s="93" t="s">
        <v>4</v>
      </c>
      <c r="I1969" s="67"/>
      <c r="J1969" s="92">
        <v>7396521017</v>
      </c>
      <c r="K1969" s="67"/>
      <c r="L1969" s="67"/>
      <c r="M1969" s="67"/>
      <c r="N1969" s="67"/>
      <c r="O1969" s="67"/>
    </row>
    <row r="1970" spans="1:15" ht="15">
      <c r="A1970" s="91" t="s">
        <v>10</v>
      </c>
      <c r="B1970" s="91" t="s">
        <v>430</v>
      </c>
      <c r="C1970" s="92" t="str">
        <f ca="1">IFERROR(__xludf.DUMMYFUNCTION("filter('Back End'!C:C,'Back End'!A:A=A1970,'Back End'!B:B=B1970,'Back End'!D:D=D1970)"),"Chebrolu")</f>
        <v>Chebrolu</v>
      </c>
      <c r="D1970" s="91" t="s">
        <v>441</v>
      </c>
      <c r="E1970" s="91" t="s">
        <v>5545</v>
      </c>
      <c r="F1970" s="67" t="s">
        <v>3138</v>
      </c>
      <c r="G1970" s="67"/>
      <c r="H1970" s="93" t="s">
        <v>4</v>
      </c>
      <c r="I1970" s="67"/>
      <c r="J1970" s="92">
        <v>9059459916</v>
      </c>
      <c r="K1970" s="67"/>
      <c r="L1970" s="67"/>
      <c r="M1970" s="67"/>
      <c r="N1970" s="67"/>
      <c r="O1970" s="67"/>
    </row>
    <row r="1971" spans="1:15" ht="15">
      <c r="A1971" s="91" t="s">
        <v>10</v>
      </c>
      <c r="B1971" s="91" t="s">
        <v>430</v>
      </c>
      <c r="C1971" s="92" t="str">
        <f ca="1">IFERROR(__xludf.DUMMYFUNCTION("filter('Back End'!C:C,'Back End'!A:A=A1971,'Back End'!B:B=B1971,'Back End'!D:D=D1971)"),"Chebrolu")</f>
        <v>Chebrolu</v>
      </c>
      <c r="D1971" s="91" t="s">
        <v>441</v>
      </c>
      <c r="E1971" s="91" t="s">
        <v>5546</v>
      </c>
      <c r="F1971" s="67" t="s">
        <v>3138</v>
      </c>
      <c r="G1971" s="67"/>
      <c r="H1971" s="93" t="s">
        <v>4</v>
      </c>
      <c r="I1971" s="67"/>
      <c r="J1971" s="92">
        <v>9059596716</v>
      </c>
      <c r="K1971" s="67"/>
      <c r="L1971" s="67"/>
      <c r="M1971" s="67"/>
      <c r="N1971" s="67"/>
      <c r="O1971" s="67"/>
    </row>
    <row r="1972" spans="1:15" ht="15">
      <c r="A1972" s="91" t="s">
        <v>10</v>
      </c>
      <c r="B1972" s="91" t="s">
        <v>430</v>
      </c>
      <c r="C1972" s="92" t="str">
        <f ca="1">IFERROR(__xludf.DUMMYFUNCTION("filter('Back End'!C:C,'Back End'!A:A=A1972,'Back End'!B:B=B1972,'Back End'!D:D=D1972)"),"Chebrolu")</f>
        <v>Chebrolu</v>
      </c>
      <c r="D1972" s="91" t="s">
        <v>441</v>
      </c>
      <c r="E1972" s="91" t="s">
        <v>5547</v>
      </c>
      <c r="F1972" s="67" t="s">
        <v>3138</v>
      </c>
      <c r="G1972" s="67"/>
      <c r="H1972" s="93" t="s">
        <v>4</v>
      </c>
      <c r="I1972" s="67"/>
      <c r="J1972" s="92">
        <v>7075777707</v>
      </c>
      <c r="K1972" s="67"/>
      <c r="L1972" s="67"/>
      <c r="M1972" s="67"/>
      <c r="N1972" s="67"/>
      <c r="O1972" s="67"/>
    </row>
    <row r="1973" spans="1:15" ht="15">
      <c r="A1973" s="91" t="s">
        <v>10</v>
      </c>
      <c r="B1973" s="91" t="s">
        <v>430</v>
      </c>
      <c r="C1973" s="92" t="str">
        <f ca="1">IFERROR(__xludf.DUMMYFUNCTION("filter('Back End'!C:C,'Back End'!A:A=A1973,'Back End'!B:B=B1973,'Back End'!D:D=D1973)"),"Chebrolu")</f>
        <v>Chebrolu</v>
      </c>
      <c r="D1973" s="91" t="s">
        <v>441</v>
      </c>
      <c r="E1973" s="91" t="s">
        <v>5548</v>
      </c>
      <c r="F1973" s="67" t="s">
        <v>3138</v>
      </c>
      <c r="G1973" s="67"/>
      <c r="H1973" s="93" t="s">
        <v>4</v>
      </c>
      <c r="I1973" s="67"/>
      <c r="J1973" s="92">
        <v>9676121218</v>
      </c>
      <c r="K1973" s="67"/>
      <c r="L1973" s="67"/>
      <c r="M1973" s="67"/>
      <c r="N1973" s="67"/>
      <c r="O1973" s="67"/>
    </row>
    <row r="1974" spans="1:15" ht="15">
      <c r="A1974" s="91" t="s">
        <v>10</v>
      </c>
      <c r="B1974" s="91" t="s">
        <v>430</v>
      </c>
      <c r="C1974" s="92" t="str">
        <f ca="1">IFERROR(__xludf.DUMMYFUNCTION("filter('Back End'!C:C,'Back End'!A:A=A1974,'Back End'!B:B=B1974,'Back End'!D:D=D1974)"),"Chebrolu")</f>
        <v>Chebrolu</v>
      </c>
      <c r="D1974" s="91" t="s">
        <v>441</v>
      </c>
      <c r="E1974" s="91" t="s">
        <v>5549</v>
      </c>
      <c r="F1974" s="67" t="s">
        <v>3138</v>
      </c>
      <c r="G1974" s="67"/>
      <c r="H1974" s="93" t="s">
        <v>4</v>
      </c>
      <c r="I1974" s="67"/>
      <c r="J1974" s="92">
        <v>6301371279</v>
      </c>
      <c r="K1974" s="67"/>
      <c r="L1974" s="67"/>
      <c r="M1974" s="67"/>
      <c r="N1974" s="67"/>
      <c r="O1974" s="67"/>
    </row>
    <row r="1975" spans="1:15" ht="15">
      <c r="A1975" s="91" t="s">
        <v>10</v>
      </c>
      <c r="B1975" s="91" t="s">
        <v>430</v>
      </c>
      <c r="C1975" s="92" t="str">
        <f ca="1">IFERROR(__xludf.DUMMYFUNCTION("filter('Back End'!C:C,'Back End'!A:A=A1975,'Back End'!B:B=B1975,'Back End'!D:D=D1975)"),"Chebrolu")</f>
        <v>Chebrolu</v>
      </c>
      <c r="D1975" s="91" t="s">
        <v>441</v>
      </c>
      <c r="E1975" s="91" t="s">
        <v>5550</v>
      </c>
      <c r="F1975" s="67" t="s">
        <v>3138</v>
      </c>
      <c r="G1975" s="67"/>
      <c r="H1975" s="93" t="s">
        <v>4</v>
      </c>
      <c r="I1975" s="67"/>
      <c r="J1975" s="92">
        <v>9949733729</v>
      </c>
      <c r="K1975" s="67"/>
      <c r="L1975" s="67"/>
      <c r="M1975" s="67"/>
      <c r="N1975" s="67"/>
      <c r="O1975" s="67"/>
    </row>
    <row r="1976" spans="1:15" ht="15">
      <c r="A1976" s="91" t="s">
        <v>10</v>
      </c>
      <c r="B1976" s="91" t="s">
        <v>430</v>
      </c>
      <c r="C1976" s="92" t="str">
        <f ca="1">IFERROR(__xludf.DUMMYFUNCTION("filter('Back End'!C:C,'Back End'!A:A=A1976,'Back End'!B:B=B1976,'Back End'!D:D=D1976)"),"Chebrolu")</f>
        <v>Chebrolu</v>
      </c>
      <c r="D1976" s="91" t="s">
        <v>441</v>
      </c>
      <c r="E1976" s="91" t="s">
        <v>5551</v>
      </c>
      <c r="F1976" s="67" t="s">
        <v>3138</v>
      </c>
      <c r="G1976" s="67"/>
      <c r="H1976" s="93" t="s">
        <v>4</v>
      </c>
      <c r="I1976" s="92" t="s">
        <v>3125</v>
      </c>
      <c r="J1976" s="92">
        <v>9866633348</v>
      </c>
      <c r="K1976" s="67"/>
      <c r="L1976" s="67"/>
      <c r="M1976" s="67"/>
      <c r="N1976" s="67"/>
      <c r="O1976" s="67"/>
    </row>
    <row r="1977" spans="1:15" ht="30">
      <c r="A1977" s="91" t="s">
        <v>10</v>
      </c>
      <c r="B1977" s="91" t="s">
        <v>430</v>
      </c>
      <c r="C1977" s="92" t="str">
        <f ca="1">IFERROR(__xludf.DUMMYFUNCTION("filter('Back End'!C:C,'Back End'!A:A=A1977,'Back End'!B:B=B1977,'Back End'!D:D=D1977)"),"China Jaggampeta")</f>
        <v>China Jaggampeta</v>
      </c>
      <c r="D1977" s="91" t="s">
        <v>445</v>
      </c>
      <c r="E1977" s="91" t="s">
        <v>5552</v>
      </c>
      <c r="F1977" s="67" t="s">
        <v>3138</v>
      </c>
      <c r="G1977" s="67"/>
      <c r="H1977" s="93" t="s">
        <v>4</v>
      </c>
      <c r="I1977" s="67"/>
      <c r="J1977" s="92">
        <v>9866220715</v>
      </c>
      <c r="K1977" s="67"/>
      <c r="L1977" s="67"/>
      <c r="M1977" s="67"/>
      <c r="N1977" s="67"/>
      <c r="O1977" s="67"/>
    </row>
    <row r="1978" spans="1:15" ht="30">
      <c r="A1978" s="91" t="s">
        <v>10</v>
      </c>
      <c r="B1978" s="91" t="s">
        <v>430</v>
      </c>
      <c r="C1978" s="92" t="str">
        <f ca="1">IFERROR(__xludf.DUMMYFUNCTION("filter('Back End'!C:C,'Back End'!A:A=A1978,'Back End'!B:B=B1978,'Back End'!D:D=D1978)"),"China Jaggampeta")</f>
        <v>China Jaggampeta</v>
      </c>
      <c r="D1978" s="91" t="s">
        <v>445</v>
      </c>
      <c r="E1978" s="91" t="s">
        <v>5553</v>
      </c>
      <c r="F1978" s="67" t="s">
        <v>3138</v>
      </c>
      <c r="G1978" s="67"/>
      <c r="H1978" s="93" t="s">
        <v>4</v>
      </c>
      <c r="I1978" s="92" t="s">
        <v>3125</v>
      </c>
      <c r="J1978" s="92">
        <v>8639934152</v>
      </c>
      <c r="K1978" s="67"/>
      <c r="L1978" s="67"/>
      <c r="M1978" s="67"/>
      <c r="N1978" s="67"/>
      <c r="O1978" s="67"/>
    </row>
    <row r="1979" spans="1:15" ht="30">
      <c r="A1979" s="91" t="s">
        <v>10</v>
      </c>
      <c r="B1979" s="91" t="s">
        <v>430</v>
      </c>
      <c r="C1979" s="92" t="str">
        <f ca="1">IFERROR(__xludf.DUMMYFUNCTION("filter('Back End'!C:C,'Back End'!A:A=A1979,'Back End'!B:B=B1979,'Back End'!D:D=D1979)"),"China Jaggampeta")</f>
        <v>China Jaggampeta</v>
      </c>
      <c r="D1979" s="91" t="s">
        <v>445</v>
      </c>
      <c r="E1979" s="91" t="s">
        <v>5553</v>
      </c>
      <c r="F1979" s="67" t="s">
        <v>3138</v>
      </c>
      <c r="G1979" s="67"/>
      <c r="H1979" s="93" t="s">
        <v>4</v>
      </c>
      <c r="I1979" s="67"/>
      <c r="J1979" s="92">
        <v>9652267375</v>
      </c>
      <c r="K1979" s="67"/>
      <c r="L1979" s="67"/>
      <c r="M1979" s="67"/>
      <c r="N1979" s="67"/>
      <c r="O1979" s="67"/>
    </row>
    <row r="1980" spans="1:15" ht="30">
      <c r="A1980" s="91" t="s">
        <v>10</v>
      </c>
      <c r="B1980" s="91" t="s">
        <v>430</v>
      </c>
      <c r="C1980" s="92" t="str">
        <f ca="1">IFERROR(__xludf.DUMMYFUNCTION("filter('Back End'!C:C,'Back End'!A:A=A1980,'Back End'!B:B=B1980,'Back End'!D:D=D1980)"),"China Jaggampeta")</f>
        <v>China Jaggampeta</v>
      </c>
      <c r="D1980" s="91" t="s">
        <v>445</v>
      </c>
      <c r="E1980" s="91" t="s">
        <v>5554</v>
      </c>
      <c r="F1980" s="91" t="s">
        <v>165</v>
      </c>
      <c r="G1980" s="91" t="s">
        <v>615</v>
      </c>
      <c r="H1980" s="93" t="s">
        <v>5</v>
      </c>
      <c r="I1980" s="67"/>
      <c r="J1980" s="92">
        <v>9182047081</v>
      </c>
      <c r="K1980" s="67"/>
      <c r="L1980" s="67"/>
      <c r="M1980" s="67"/>
      <c r="N1980" s="67"/>
      <c r="O1980" s="67"/>
    </row>
    <row r="1981" spans="1:15" ht="30">
      <c r="A1981" s="91" t="s">
        <v>10</v>
      </c>
      <c r="B1981" s="91" t="s">
        <v>430</v>
      </c>
      <c r="C1981" s="92" t="str">
        <f ca="1">IFERROR(__xludf.DUMMYFUNCTION("filter('Back End'!C:C,'Back End'!A:A=A1981,'Back End'!B:B=B1981,'Back End'!D:D=D1981)"),"China Jaggampeta")</f>
        <v>China Jaggampeta</v>
      </c>
      <c r="D1981" s="91" t="s">
        <v>445</v>
      </c>
      <c r="E1981" s="91" t="s">
        <v>5555</v>
      </c>
      <c r="F1981" s="91" t="s">
        <v>165</v>
      </c>
      <c r="G1981" s="91" t="s">
        <v>615</v>
      </c>
      <c r="H1981" s="93" t="s">
        <v>5</v>
      </c>
      <c r="I1981" s="67"/>
      <c r="J1981" s="92">
        <v>9959354489</v>
      </c>
      <c r="K1981" s="67"/>
      <c r="L1981" s="67"/>
      <c r="M1981" s="67"/>
      <c r="N1981" s="67"/>
      <c r="O1981" s="67"/>
    </row>
    <row r="1982" spans="1:15" ht="30">
      <c r="A1982" s="91" t="s">
        <v>19</v>
      </c>
      <c r="B1982" s="92" t="s">
        <v>430</v>
      </c>
      <c r="C1982" s="92" t="str">
        <f ca="1">IFERROR(__xludf.DUMMYFUNCTION("filter('Back End'!C:C,'Back End'!A:A=A1982,'Back End'!B:B=B1982,'Back End'!D:D=D1982)"),"#N/A")</f>
        <v>#N/A</v>
      </c>
      <c r="D1982" s="91" t="s">
        <v>445</v>
      </c>
      <c r="E1982" s="92" t="s">
        <v>5556</v>
      </c>
      <c r="F1982" s="91" t="s">
        <v>165</v>
      </c>
      <c r="G1982" s="91" t="s">
        <v>615</v>
      </c>
      <c r="H1982" s="93" t="s">
        <v>4</v>
      </c>
      <c r="I1982" s="92" t="s">
        <v>5557</v>
      </c>
      <c r="J1982" s="92">
        <v>9652267375</v>
      </c>
      <c r="K1982" s="67"/>
      <c r="L1982" s="67"/>
      <c r="M1982" s="67"/>
      <c r="N1982" s="67"/>
      <c r="O1982" s="67"/>
    </row>
    <row r="1983" spans="1:15" ht="30">
      <c r="A1983" s="91" t="s">
        <v>19</v>
      </c>
      <c r="B1983" s="92" t="s">
        <v>430</v>
      </c>
      <c r="C1983" s="92" t="str">
        <f ca="1">IFERROR(__xludf.DUMMYFUNCTION("filter('Back End'!C:C,'Back End'!A:A=A1983,'Back End'!B:B=B1983,'Back End'!D:D=D1983)"),"#N/A")</f>
        <v>#N/A</v>
      </c>
      <c r="D1983" s="91" t="s">
        <v>445</v>
      </c>
      <c r="E1983" s="92" t="s">
        <v>5558</v>
      </c>
      <c r="F1983" s="91" t="s">
        <v>165</v>
      </c>
      <c r="G1983" s="91" t="s">
        <v>615</v>
      </c>
      <c r="H1983" s="93" t="s">
        <v>4</v>
      </c>
      <c r="I1983" s="92" t="s">
        <v>5559</v>
      </c>
      <c r="J1983" s="92">
        <v>9866220715</v>
      </c>
      <c r="K1983" s="67"/>
      <c r="L1983" s="67"/>
      <c r="M1983" s="67"/>
      <c r="N1983" s="67"/>
      <c r="O1983" s="67"/>
    </row>
    <row r="1984" spans="1:15" ht="30">
      <c r="A1984" s="91" t="s">
        <v>19</v>
      </c>
      <c r="B1984" s="92" t="s">
        <v>430</v>
      </c>
      <c r="C1984" s="92" t="str">
        <f ca="1">IFERROR(__xludf.DUMMYFUNCTION("filter('Back End'!C:C,'Back End'!A:A=A1984,'Back End'!B:B=B1984,'Back End'!D:D=D1984)"),"#N/A")</f>
        <v>#N/A</v>
      </c>
      <c r="D1984" s="91" t="s">
        <v>445</v>
      </c>
      <c r="E1984" s="92" t="s">
        <v>5560</v>
      </c>
      <c r="F1984" s="91" t="s">
        <v>165</v>
      </c>
      <c r="G1984" s="91" t="s">
        <v>615</v>
      </c>
      <c r="H1984" s="93" t="s">
        <v>5</v>
      </c>
      <c r="I1984" s="92" t="s">
        <v>5561</v>
      </c>
      <c r="J1984" s="92">
        <v>7569288639</v>
      </c>
      <c r="K1984" s="67"/>
      <c r="L1984" s="67"/>
      <c r="M1984" s="67"/>
      <c r="N1984" s="67"/>
      <c r="O1984" s="67"/>
    </row>
    <row r="1985" spans="1:15" ht="15">
      <c r="A1985" s="91" t="s">
        <v>10</v>
      </c>
      <c r="B1985" s="91" t="s">
        <v>166</v>
      </c>
      <c r="C1985" s="92" t="str">
        <f ca="1">IFERROR(__xludf.DUMMYFUNCTION("filter('Back End'!C:C,'Back End'!A:A=A1985,'Back End'!B:B=B1985,'Back End'!D:D=D1985)"),"Amaravilli")</f>
        <v>Amaravilli</v>
      </c>
      <c r="D1985" s="91" t="s">
        <v>455</v>
      </c>
      <c r="E1985" s="91" t="s">
        <v>5562</v>
      </c>
      <c r="F1985" s="67" t="s">
        <v>3138</v>
      </c>
      <c r="G1985" s="67"/>
      <c r="H1985" s="93" t="s">
        <v>4</v>
      </c>
      <c r="I1985" s="92" t="s">
        <v>3125</v>
      </c>
      <c r="J1985" s="92">
        <v>9963068194</v>
      </c>
      <c r="K1985" s="67"/>
      <c r="L1985" s="67"/>
      <c r="M1985" s="67"/>
      <c r="N1985" s="67"/>
      <c r="O1985" s="67"/>
    </row>
    <row r="1986" spans="1:15" ht="15">
      <c r="A1986" s="91" t="s">
        <v>10</v>
      </c>
      <c r="B1986" s="91" t="s">
        <v>166</v>
      </c>
      <c r="C1986" s="92" t="str">
        <f ca="1">IFERROR(__xludf.DUMMYFUNCTION("filter('Back End'!C:C,'Back End'!A:A=A1986,'Back End'!B:B=B1986,'Back End'!D:D=D1986)"),"Amaravilli")</f>
        <v>Amaravilli</v>
      </c>
      <c r="D1986" s="91" t="s">
        <v>455</v>
      </c>
      <c r="E1986" s="91" t="s">
        <v>5563</v>
      </c>
      <c r="F1986" s="67" t="s">
        <v>3138</v>
      </c>
      <c r="G1986" s="67"/>
      <c r="H1986" s="93" t="s">
        <v>4</v>
      </c>
      <c r="I1986" s="67"/>
      <c r="J1986" s="92">
        <v>9390480890</v>
      </c>
      <c r="K1986" s="67"/>
      <c r="L1986" s="67"/>
      <c r="M1986" s="67"/>
      <c r="N1986" s="67"/>
      <c r="O1986" s="67"/>
    </row>
    <row r="1987" spans="1:15" ht="30">
      <c r="A1987" s="91" t="s">
        <v>10</v>
      </c>
      <c r="B1987" s="91" t="s">
        <v>166</v>
      </c>
      <c r="C1987" s="92" t="str">
        <f ca="1">IFERROR(__xludf.DUMMYFUNCTION("filter('Back End'!C:C,'Back End'!A:A=A1987,'Back End'!B:B=B1987,'Back End'!D:D=D1987)"),"Aminabada")</f>
        <v>Aminabada</v>
      </c>
      <c r="D1987" s="91" t="s">
        <v>457</v>
      </c>
      <c r="E1987" s="91" t="s">
        <v>5564</v>
      </c>
      <c r="F1987" s="91" t="s">
        <v>114</v>
      </c>
      <c r="G1987" s="91" t="s">
        <v>85</v>
      </c>
      <c r="H1987" s="93" t="s">
        <v>4</v>
      </c>
      <c r="I1987" s="92" t="s">
        <v>5565</v>
      </c>
      <c r="J1987" s="92">
        <v>9908912312</v>
      </c>
      <c r="K1987" s="67"/>
      <c r="L1987" s="67"/>
      <c r="M1987" s="67"/>
      <c r="N1987" s="67"/>
      <c r="O1987" s="67"/>
    </row>
    <row r="1988" spans="1:15" ht="45">
      <c r="A1988" s="91" t="s">
        <v>10</v>
      </c>
      <c r="B1988" s="91" t="s">
        <v>166</v>
      </c>
      <c r="C1988" s="92" t="str">
        <f ca="1">IFERROR(__xludf.DUMMYFUNCTION("filter('Back End'!C:C,'Back End'!A:A=A1988,'Back End'!B:B=B1988,'Back End'!D:D=D1988)"),"Aminabada")</f>
        <v>Aminabada</v>
      </c>
      <c r="D1988" s="91" t="s">
        <v>457</v>
      </c>
      <c r="E1988" s="91" t="s">
        <v>5566</v>
      </c>
      <c r="F1988" s="91" t="s">
        <v>1668</v>
      </c>
      <c r="G1988" s="91" t="s">
        <v>615</v>
      </c>
      <c r="H1988" s="93" t="s">
        <v>4</v>
      </c>
      <c r="I1988" s="92" t="s">
        <v>5567</v>
      </c>
      <c r="J1988" s="92">
        <v>7386925710</v>
      </c>
      <c r="K1988" s="67"/>
      <c r="L1988" s="67"/>
      <c r="M1988" s="67"/>
      <c r="N1988" s="67"/>
      <c r="O1988" s="67"/>
    </row>
    <row r="1989" spans="1:15" ht="15">
      <c r="A1989" s="91" t="s">
        <v>10</v>
      </c>
      <c r="B1989" s="91" t="s">
        <v>166</v>
      </c>
      <c r="C1989" s="92" t="str">
        <f ca="1">IFERROR(__xludf.DUMMYFUNCTION("filter('Back End'!C:C,'Back End'!A:A=A1989,'Back End'!B:B=B1989,'Back End'!D:D=D1989)"),"Aminabada")</f>
        <v>Aminabada</v>
      </c>
      <c r="D1989" s="91" t="s">
        <v>457</v>
      </c>
      <c r="E1989" s="91" t="s">
        <v>5568</v>
      </c>
      <c r="F1989" s="91" t="s">
        <v>288</v>
      </c>
      <c r="G1989" s="91" t="s">
        <v>615</v>
      </c>
      <c r="H1989" s="93" t="s">
        <v>4</v>
      </c>
      <c r="I1989" s="92" t="s">
        <v>3112</v>
      </c>
      <c r="J1989" s="67"/>
      <c r="K1989" s="67"/>
      <c r="L1989" s="67"/>
      <c r="M1989" s="67"/>
      <c r="N1989" s="67"/>
      <c r="O1989" s="67"/>
    </row>
    <row r="1990" spans="1:15" ht="15">
      <c r="A1990" s="91" t="s">
        <v>10</v>
      </c>
      <c r="B1990" s="91" t="s">
        <v>166</v>
      </c>
      <c r="C1990" s="92" t="str">
        <f ca="1">IFERROR(__xludf.DUMMYFUNCTION("filter('Back End'!C:C,'Back End'!A:A=A1990,'Back End'!B:B=B1990,'Back End'!D:D=D1990)"),"Aminabada")</f>
        <v>Aminabada</v>
      </c>
      <c r="D1990" s="91" t="s">
        <v>457</v>
      </c>
      <c r="E1990" s="91" t="s">
        <v>5569</v>
      </c>
      <c r="F1990" s="91" t="s">
        <v>288</v>
      </c>
      <c r="G1990" s="91" t="s">
        <v>615</v>
      </c>
      <c r="H1990" s="93" t="s">
        <v>4</v>
      </c>
      <c r="I1990" s="92" t="s">
        <v>3384</v>
      </c>
      <c r="J1990" s="92">
        <v>9701479821</v>
      </c>
      <c r="K1990" s="67"/>
      <c r="L1990" s="67"/>
      <c r="M1990" s="67"/>
      <c r="N1990" s="67"/>
      <c r="O1990" s="67"/>
    </row>
    <row r="1991" spans="1:15" ht="15">
      <c r="A1991" s="91" t="s">
        <v>10</v>
      </c>
      <c r="B1991" s="91" t="s">
        <v>166</v>
      </c>
      <c r="C1991" s="92" t="str">
        <f ca="1">IFERROR(__xludf.DUMMYFUNCTION("filter('Back End'!C:C,'Back End'!A:A=A1991,'Back End'!B:B=B1991,'Back End'!D:D=D1991)"),"Aminabada")</f>
        <v>Aminabada</v>
      </c>
      <c r="D1991" s="91" t="s">
        <v>457</v>
      </c>
      <c r="E1991" s="91" t="s">
        <v>5570</v>
      </c>
      <c r="F1991" s="91" t="s">
        <v>288</v>
      </c>
      <c r="G1991" s="91" t="s">
        <v>615</v>
      </c>
      <c r="H1991" s="93" t="s">
        <v>4</v>
      </c>
      <c r="I1991" s="92" t="s">
        <v>3112</v>
      </c>
      <c r="J1991" s="92">
        <v>9704979197</v>
      </c>
      <c r="K1991" s="67"/>
      <c r="L1991" s="67"/>
      <c r="M1991" s="67"/>
      <c r="N1991" s="67"/>
      <c r="O1991" s="67"/>
    </row>
    <row r="1992" spans="1:15" ht="16.5">
      <c r="A1992" s="91" t="s">
        <v>10</v>
      </c>
      <c r="B1992" s="91" t="s">
        <v>166</v>
      </c>
      <c r="C1992" s="92" t="str">
        <f ca="1">IFERROR(__xludf.DUMMYFUNCTION("filter('Back End'!C:C,'Back End'!A:A=A1992,'Back End'!B:B=B1992,'Back End'!D:D=D1992)"),"Aminabada")</f>
        <v>Aminabada</v>
      </c>
      <c r="D1992" s="91" t="s">
        <v>457</v>
      </c>
      <c r="E1992" s="100" t="s">
        <v>5571</v>
      </c>
      <c r="F1992" s="100" t="s">
        <v>288</v>
      </c>
      <c r="G1992" s="100" t="s">
        <v>615</v>
      </c>
      <c r="H1992" s="100" t="s">
        <v>5</v>
      </c>
      <c r="I1992" s="98" t="s">
        <v>3112</v>
      </c>
      <c r="J1992" s="97">
        <v>8522895143</v>
      </c>
      <c r="K1992" s="99"/>
      <c r="L1992" s="99"/>
      <c r="M1992" s="99"/>
      <c r="N1992" s="67"/>
      <c r="O1992" s="67"/>
    </row>
    <row r="1993" spans="1:15" ht="16.5">
      <c r="A1993" s="91" t="s">
        <v>10</v>
      </c>
      <c r="B1993" s="91" t="s">
        <v>166</v>
      </c>
      <c r="C1993" s="92" t="str">
        <f ca="1">IFERROR(__xludf.DUMMYFUNCTION("filter('Back End'!C:C,'Back End'!A:A=A1993,'Back End'!B:B=B1993,'Back End'!D:D=D1993)"),"Aminabada")</f>
        <v>Aminabada</v>
      </c>
      <c r="D1993" s="91" t="s">
        <v>457</v>
      </c>
      <c r="E1993" s="93" t="s">
        <v>5572</v>
      </c>
      <c r="F1993" s="93" t="s">
        <v>467</v>
      </c>
      <c r="G1993" s="93" t="s">
        <v>85</v>
      </c>
      <c r="H1993" s="93" t="s">
        <v>5</v>
      </c>
      <c r="I1993" s="98" t="s">
        <v>3112</v>
      </c>
      <c r="J1993" s="102">
        <v>9908265887</v>
      </c>
      <c r="K1993" s="95"/>
      <c r="L1993" s="95"/>
      <c r="M1993" s="95"/>
      <c r="N1993" s="67"/>
      <c r="O1993" s="67"/>
    </row>
    <row r="1994" spans="1:15" ht="15">
      <c r="A1994" s="91" t="s">
        <v>10</v>
      </c>
      <c r="B1994" s="91" t="s">
        <v>166</v>
      </c>
      <c r="C1994" s="92" t="str">
        <f ca="1">IFERROR(__xludf.DUMMYFUNCTION("filter('Back End'!C:C,'Back End'!A:A=A1994,'Back End'!B:B=B1994,'Back End'!D:D=D1994)"),"Aminabada")</f>
        <v>Aminabada</v>
      </c>
      <c r="D1994" s="91" t="s">
        <v>457</v>
      </c>
      <c r="E1994" s="93" t="s">
        <v>5573</v>
      </c>
      <c r="F1994" s="93" t="s">
        <v>288</v>
      </c>
      <c r="G1994" s="93" t="s">
        <v>615</v>
      </c>
      <c r="H1994" s="93" t="s">
        <v>5</v>
      </c>
      <c r="I1994" s="102" t="s">
        <v>3115</v>
      </c>
      <c r="J1994" s="95"/>
      <c r="K1994" s="95"/>
      <c r="L1994" s="95"/>
      <c r="M1994" s="95"/>
      <c r="N1994" s="67"/>
      <c r="O1994" s="67"/>
    </row>
    <row r="1995" spans="1:15" ht="30">
      <c r="A1995" s="91" t="s">
        <v>10</v>
      </c>
      <c r="B1995" s="91" t="s">
        <v>166</v>
      </c>
      <c r="C1995" s="92" t="str">
        <f ca="1">IFERROR(__xludf.DUMMYFUNCTION("filter('Back End'!C:C,'Back End'!A:A=A1995,'Back End'!B:B=B1995,'Back End'!D:D=D1995)"),"Aminabada")</f>
        <v>Aminabada</v>
      </c>
      <c r="D1995" s="91" t="s">
        <v>457</v>
      </c>
      <c r="E1995" s="93" t="s">
        <v>5574</v>
      </c>
      <c r="F1995" s="93" t="s">
        <v>136</v>
      </c>
      <c r="G1995" s="93" t="s">
        <v>615</v>
      </c>
      <c r="H1995" s="93" t="s">
        <v>5</v>
      </c>
      <c r="I1995" s="102" t="s">
        <v>3495</v>
      </c>
      <c r="J1995" s="95"/>
      <c r="K1995" s="95"/>
      <c r="L1995" s="95"/>
      <c r="M1995" s="95"/>
      <c r="N1995" s="67"/>
      <c r="O1995" s="67"/>
    </row>
    <row r="1996" spans="1:15" ht="30">
      <c r="A1996" s="91" t="s">
        <v>10</v>
      </c>
      <c r="B1996" s="91" t="s">
        <v>166</v>
      </c>
      <c r="C1996" s="92" t="str">
        <f ca="1">IFERROR(__xludf.DUMMYFUNCTION("filter('Back End'!C:C,'Back End'!A:A=A1996,'Back End'!B:B=B1996,'Back End'!D:D=D1996)"),"Aminabada")</f>
        <v>Aminabada</v>
      </c>
      <c r="D1996" s="91" t="s">
        <v>457</v>
      </c>
      <c r="E1996" s="93" t="s">
        <v>5575</v>
      </c>
      <c r="F1996" s="93" t="s">
        <v>467</v>
      </c>
      <c r="G1996" s="93" t="s">
        <v>85</v>
      </c>
      <c r="H1996" s="93" t="s">
        <v>5</v>
      </c>
      <c r="I1996" s="102" t="s">
        <v>3495</v>
      </c>
      <c r="J1996" s="95"/>
      <c r="K1996" s="95"/>
      <c r="L1996" s="95"/>
      <c r="M1996" s="95"/>
      <c r="N1996" s="67"/>
      <c r="O1996" s="67"/>
    </row>
    <row r="1997" spans="1:15" ht="15">
      <c r="A1997" s="91" t="s">
        <v>10</v>
      </c>
      <c r="B1997" s="91" t="s">
        <v>166</v>
      </c>
      <c r="C1997" s="92" t="str">
        <f ca="1">IFERROR(__xludf.DUMMYFUNCTION("filter('Back End'!C:C,'Back End'!A:A=A1997,'Back End'!B:B=B1997,'Back End'!D:D=D1997)"),"Aminabada")</f>
        <v>Aminabada</v>
      </c>
      <c r="D1997" s="91" t="s">
        <v>457</v>
      </c>
      <c r="E1997" s="93" t="s">
        <v>5576</v>
      </c>
      <c r="F1997" s="93" t="s">
        <v>1669</v>
      </c>
      <c r="G1997" s="93" t="s">
        <v>615</v>
      </c>
      <c r="H1997" s="93" t="s">
        <v>5</v>
      </c>
      <c r="I1997" s="102" t="s">
        <v>4039</v>
      </c>
      <c r="J1997" s="95"/>
      <c r="K1997" s="95"/>
      <c r="L1997" s="95"/>
      <c r="M1997" s="95"/>
      <c r="N1997" s="67"/>
      <c r="O1997" s="67"/>
    </row>
    <row r="1998" spans="1:15" ht="15">
      <c r="A1998" s="91" t="s">
        <v>10</v>
      </c>
      <c r="B1998" s="91" t="s">
        <v>166</v>
      </c>
      <c r="C1998" s="92" t="s">
        <v>461</v>
      </c>
      <c r="D1998" s="91" t="s">
        <v>462</v>
      </c>
      <c r="E1998" s="91" t="s">
        <v>5577</v>
      </c>
      <c r="F1998" s="67" t="s">
        <v>3138</v>
      </c>
      <c r="G1998" s="67"/>
      <c r="H1998" s="93" t="s">
        <v>4</v>
      </c>
      <c r="I1998" s="67"/>
      <c r="J1998" s="92">
        <v>6302455098</v>
      </c>
      <c r="K1998" s="67"/>
      <c r="L1998" s="67"/>
      <c r="M1998" s="67"/>
      <c r="N1998" s="67"/>
      <c r="O1998" s="67"/>
    </row>
    <row r="1999" spans="1:15" ht="15">
      <c r="A1999" s="91" t="s">
        <v>10</v>
      </c>
      <c r="B1999" s="91" t="s">
        <v>166</v>
      </c>
      <c r="C1999" s="92" t="s">
        <v>461</v>
      </c>
      <c r="D1999" s="91" t="s">
        <v>462</v>
      </c>
      <c r="E1999" s="91" t="s">
        <v>5578</v>
      </c>
      <c r="F1999" s="67" t="s">
        <v>3138</v>
      </c>
      <c r="G1999" s="67"/>
      <c r="H1999" s="93" t="s">
        <v>4</v>
      </c>
      <c r="I1999" s="67"/>
      <c r="J1999" s="92">
        <v>8328384602</v>
      </c>
      <c r="K1999" s="67"/>
      <c r="L1999" s="67"/>
      <c r="M1999" s="67"/>
      <c r="N1999" s="67"/>
      <c r="O1999" s="67"/>
    </row>
    <row r="2000" spans="1:15" ht="15">
      <c r="A2000" s="91" t="s">
        <v>10</v>
      </c>
      <c r="B2000" s="91" t="s">
        <v>166</v>
      </c>
      <c r="C2000" s="92" t="s">
        <v>461</v>
      </c>
      <c r="D2000" s="91" t="s">
        <v>462</v>
      </c>
      <c r="E2000" s="91" t="s">
        <v>5579</v>
      </c>
      <c r="F2000" s="67" t="s">
        <v>3138</v>
      </c>
      <c r="G2000" s="67"/>
      <c r="H2000" s="93" t="s">
        <v>4</v>
      </c>
      <c r="I2000" s="67"/>
      <c r="J2000" s="92">
        <v>9848885338</v>
      </c>
      <c r="K2000" s="67"/>
      <c r="L2000" s="67"/>
      <c r="M2000" s="67"/>
      <c r="N2000" s="67"/>
      <c r="O2000" s="67"/>
    </row>
    <row r="2001" spans="1:15" ht="15">
      <c r="A2001" s="91" t="s">
        <v>10</v>
      </c>
      <c r="B2001" s="91" t="s">
        <v>166</v>
      </c>
      <c r="C2001" s="92" t="s">
        <v>461</v>
      </c>
      <c r="D2001" s="91" t="s">
        <v>462</v>
      </c>
      <c r="E2001" s="91" t="s">
        <v>5580</v>
      </c>
      <c r="F2001" s="67" t="s">
        <v>3138</v>
      </c>
      <c r="G2001" s="67"/>
      <c r="H2001" s="93" t="s">
        <v>4</v>
      </c>
      <c r="I2001" s="67"/>
      <c r="J2001" s="92">
        <v>9059586112</v>
      </c>
      <c r="K2001" s="67"/>
      <c r="L2001" s="67"/>
      <c r="M2001" s="67"/>
      <c r="N2001" s="67"/>
      <c r="O2001" s="67"/>
    </row>
    <row r="2002" spans="1:15" ht="15">
      <c r="A2002" s="91" t="s">
        <v>10</v>
      </c>
      <c r="B2002" s="91" t="s">
        <v>166</v>
      </c>
      <c r="C2002" s="92" t="str">
        <f ca="1">IFERROR(__xludf.DUMMYFUNCTION("filter('Back End'!C:C,'Back End'!A:A=A2002,'Back End'!B:B=B2002,'Back End'!D:D=D2002)"),"Komaragiri")</f>
        <v>Komaragiri</v>
      </c>
      <c r="D2002" s="91" t="s">
        <v>463</v>
      </c>
      <c r="E2002" s="91" t="s">
        <v>5581</v>
      </c>
      <c r="F2002" s="67" t="s">
        <v>3138</v>
      </c>
      <c r="G2002" s="67"/>
      <c r="H2002" s="93" t="s">
        <v>4</v>
      </c>
      <c r="I2002" s="67"/>
      <c r="J2002" s="92">
        <v>9182226174</v>
      </c>
      <c r="K2002" s="67"/>
      <c r="L2002" s="67"/>
      <c r="M2002" s="67"/>
      <c r="N2002" s="67"/>
      <c r="O2002" s="67"/>
    </row>
    <row r="2003" spans="1:15" ht="15">
      <c r="A2003" s="91" t="s">
        <v>10</v>
      </c>
      <c r="B2003" s="91" t="s">
        <v>166</v>
      </c>
      <c r="C2003" s="92" t="str">
        <f ca="1">IFERROR(__xludf.DUMMYFUNCTION("filter('Back End'!C:C,'Back End'!A:A=A2003,'Back End'!B:B=B2003,'Back End'!D:D=D2003)"),"Komaragiri")</f>
        <v>Komaragiri</v>
      </c>
      <c r="D2003" s="91" t="s">
        <v>463</v>
      </c>
      <c r="E2003" s="91" t="s">
        <v>5582</v>
      </c>
      <c r="F2003" s="67" t="s">
        <v>3138</v>
      </c>
      <c r="G2003" s="67"/>
      <c r="H2003" s="93" t="s">
        <v>4</v>
      </c>
      <c r="I2003" s="67"/>
      <c r="J2003" s="92">
        <v>7396688666</v>
      </c>
      <c r="K2003" s="67"/>
      <c r="L2003" s="67"/>
      <c r="M2003" s="67"/>
      <c r="N2003" s="67"/>
      <c r="O2003" s="67"/>
    </row>
    <row r="2004" spans="1:15" ht="15">
      <c r="A2004" s="91" t="s">
        <v>10</v>
      </c>
      <c r="B2004" s="91" t="s">
        <v>166</v>
      </c>
      <c r="C2004" s="92" t="str">
        <f ca="1">IFERROR(__xludf.DUMMYFUNCTION("filter('Back End'!C:C,'Back End'!A:A=A2004,'Back End'!B:B=B2004,'Back End'!D:D=D2004)"),"Komaragiri")</f>
        <v>Komaragiri</v>
      </c>
      <c r="D2004" s="91" t="s">
        <v>463</v>
      </c>
      <c r="E2004" s="91" t="s">
        <v>5583</v>
      </c>
      <c r="F2004" s="67" t="s">
        <v>3138</v>
      </c>
      <c r="G2004" s="67"/>
      <c r="H2004" s="93" t="s">
        <v>4</v>
      </c>
      <c r="I2004" s="67"/>
      <c r="J2004" s="92">
        <v>9000506133</v>
      </c>
      <c r="K2004" s="67"/>
      <c r="L2004" s="67"/>
      <c r="M2004" s="67"/>
      <c r="N2004" s="67"/>
      <c r="O2004" s="67"/>
    </row>
    <row r="2005" spans="1:15" ht="15">
      <c r="A2005" s="91" t="s">
        <v>10</v>
      </c>
      <c r="B2005" s="91" t="s">
        <v>166</v>
      </c>
      <c r="C2005" s="92" t="str">
        <f ca="1">IFERROR(__xludf.DUMMYFUNCTION("filter('Back End'!C:C,'Back End'!A:A=A2005,'Back End'!B:B=B2005,'Back End'!D:D=D2005)"),"Komaragiri")</f>
        <v>Komaragiri</v>
      </c>
      <c r="D2005" s="91" t="s">
        <v>463</v>
      </c>
      <c r="E2005" s="91" t="s">
        <v>5584</v>
      </c>
      <c r="F2005" s="67" t="s">
        <v>3138</v>
      </c>
      <c r="G2005" s="67"/>
      <c r="H2005" s="93" t="s">
        <v>4</v>
      </c>
      <c r="I2005" s="67"/>
      <c r="J2005" s="92">
        <v>7702488411</v>
      </c>
      <c r="K2005" s="67"/>
      <c r="L2005" s="67"/>
      <c r="M2005" s="67"/>
      <c r="N2005" s="67"/>
      <c r="O2005" s="67"/>
    </row>
    <row r="2006" spans="1:15" ht="15">
      <c r="A2006" s="91" t="s">
        <v>10</v>
      </c>
      <c r="B2006" s="91" t="s">
        <v>166</v>
      </c>
      <c r="C2006" s="92" t="str">
        <f ca="1">IFERROR(__xludf.DUMMYFUNCTION("filter('Back End'!C:C,'Back End'!A:A=A2006,'Back End'!B:B=B2006,'Back End'!D:D=D2006)"),"Kondevaram")</f>
        <v>Kondevaram</v>
      </c>
      <c r="D2006" s="91" t="s">
        <v>465</v>
      </c>
      <c r="E2006" s="91" t="s">
        <v>5585</v>
      </c>
      <c r="F2006" s="67" t="s">
        <v>3138</v>
      </c>
      <c r="G2006" s="67"/>
      <c r="H2006" s="93" t="s">
        <v>4</v>
      </c>
      <c r="I2006" s="67"/>
      <c r="J2006" s="92">
        <v>9704756235</v>
      </c>
      <c r="K2006" s="67"/>
      <c r="L2006" s="67"/>
      <c r="M2006" s="67"/>
      <c r="N2006" s="67"/>
      <c r="O2006" s="67"/>
    </row>
    <row r="2007" spans="1:15" ht="15">
      <c r="A2007" s="91" t="s">
        <v>10</v>
      </c>
      <c r="B2007" s="91" t="s">
        <v>166</v>
      </c>
      <c r="C2007" s="92" t="str">
        <f ca="1">IFERROR(__xludf.DUMMYFUNCTION("filter('Back End'!C:C,'Back End'!A:A=A2007,'Back End'!B:B=B2007,'Back End'!D:D=D2007)"),"Kondevaram")</f>
        <v>Kondevaram</v>
      </c>
      <c r="D2007" s="91" t="s">
        <v>465</v>
      </c>
      <c r="E2007" s="91" t="s">
        <v>5586</v>
      </c>
      <c r="F2007" s="67" t="s">
        <v>3138</v>
      </c>
      <c r="G2007" s="67"/>
      <c r="H2007" s="93" t="s">
        <v>4</v>
      </c>
      <c r="I2007" s="67"/>
      <c r="J2007" s="92">
        <v>9440824419</v>
      </c>
      <c r="K2007" s="67"/>
      <c r="L2007" s="67"/>
      <c r="M2007" s="67"/>
      <c r="N2007" s="67"/>
      <c r="O2007" s="67"/>
    </row>
    <row r="2008" spans="1:15" ht="15">
      <c r="A2008" s="91" t="s">
        <v>10</v>
      </c>
      <c r="B2008" s="91" t="s">
        <v>166</v>
      </c>
      <c r="C2008" s="92" t="str">
        <f ca="1">IFERROR(__xludf.DUMMYFUNCTION("filter('Back End'!C:C,'Back End'!A:A=A2008,'Back End'!B:B=B2008,'Back End'!D:D=D2008)"),"Kondevaram")</f>
        <v>Kondevaram</v>
      </c>
      <c r="D2008" s="91" t="s">
        <v>465</v>
      </c>
      <c r="E2008" s="91" t="s">
        <v>5587</v>
      </c>
      <c r="F2008" s="67" t="s">
        <v>3138</v>
      </c>
      <c r="G2008" s="67"/>
      <c r="H2008" s="93" t="s">
        <v>4</v>
      </c>
      <c r="I2008" s="92" t="s">
        <v>3125</v>
      </c>
      <c r="J2008" s="92">
        <v>9704286047</v>
      </c>
      <c r="K2008" s="67"/>
      <c r="L2008" s="67"/>
      <c r="M2008" s="67"/>
      <c r="N2008" s="67"/>
      <c r="O2008" s="67"/>
    </row>
    <row r="2009" spans="1:15" ht="15">
      <c r="A2009" s="91" t="s">
        <v>10</v>
      </c>
      <c r="B2009" s="91" t="s">
        <v>166</v>
      </c>
      <c r="C2009" s="92" t="str">
        <f ca="1">IFERROR(__xludf.DUMMYFUNCTION("filter('Back End'!C:C,'Back End'!A:A=A2009,'Back End'!B:B=B2009,'Back End'!D:D=D2009)"),"Kondevaram")</f>
        <v>Kondevaram</v>
      </c>
      <c r="D2009" s="91" t="s">
        <v>465</v>
      </c>
      <c r="E2009" s="91" t="s">
        <v>5587</v>
      </c>
      <c r="F2009" s="67" t="s">
        <v>3138</v>
      </c>
      <c r="G2009" s="67"/>
      <c r="H2009" s="93" t="s">
        <v>4</v>
      </c>
      <c r="I2009" s="67"/>
      <c r="J2009" s="92">
        <v>9573379449</v>
      </c>
      <c r="K2009" s="67"/>
      <c r="L2009" s="67"/>
      <c r="M2009" s="67"/>
      <c r="N2009" s="67"/>
      <c r="O2009" s="67"/>
    </row>
    <row r="2010" spans="1:15" ht="15">
      <c r="A2010" s="91" t="s">
        <v>10</v>
      </c>
      <c r="B2010" s="91" t="s">
        <v>166</v>
      </c>
      <c r="C2010" s="92" t="str">
        <f ca="1">IFERROR(__xludf.DUMMYFUNCTION("filter('Back End'!C:C,'Back End'!A:A=A2010,'Back End'!B:B=B2010,'Back End'!D:D=D2010)"),"Kondevaram")</f>
        <v>Kondevaram</v>
      </c>
      <c r="D2010" s="91" t="s">
        <v>465</v>
      </c>
      <c r="E2010" s="91" t="s">
        <v>5588</v>
      </c>
      <c r="F2010" s="67" t="s">
        <v>3138</v>
      </c>
      <c r="G2010" s="67"/>
      <c r="H2010" s="93" t="s">
        <v>4</v>
      </c>
      <c r="I2010" s="67"/>
      <c r="J2010" s="92">
        <v>9618119029</v>
      </c>
      <c r="K2010" s="67"/>
      <c r="L2010" s="67"/>
      <c r="M2010" s="67"/>
      <c r="N2010" s="67"/>
      <c r="O2010" s="67"/>
    </row>
    <row r="2011" spans="1:15" ht="15">
      <c r="A2011" s="91" t="s">
        <v>10</v>
      </c>
      <c r="B2011" s="91" t="s">
        <v>166</v>
      </c>
      <c r="C2011" s="92" t="str">
        <f ca="1">IFERROR(__xludf.DUMMYFUNCTION("filter('Back End'!C:C,'Back End'!A:A=A2011,'Back End'!B:B=B2011,'Back End'!D:D=D2011)"),"Kondevaram")</f>
        <v>Kondevaram</v>
      </c>
      <c r="D2011" s="91" t="s">
        <v>465</v>
      </c>
      <c r="E2011" s="91" t="s">
        <v>5589</v>
      </c>
      <c r="F2011" s="67" t="s">
        <v>3138</v>
      </c>
      <c r="G2011" s="67"/>
      <c r="H2011" s="93" t="s">
        <v>4</v>
      </c>
      <c r="I2011" s="67"/>
      <c r="J2011" s="92">
        <v>6304997328</v>
      </c>
      <c r="K2011" s="67"/>
      <c r="L2011" s="67"/>
      <c r="M2011" s="67"/>
      <c r="N2011" s="67"/>
      <c r="O2011" s="67"/>
    </row>
    <row r="2012" spans="1:15" ht="15">
      <c r="A2012" s="91" t="s">
        <v>10</v>
      </c>
      <c r="B2012" s="91" t="s">
        <v>166</v>
      </c>
      <c r="C2012" s="92" t="str">
        <f ca="1">IFERROR(__xludf.DUMMYFUNCTION("filter('Back End'!C:C,'Back End'!A:A=A2012,'Back End'!B:B=B2012,'Back End'!D:D=D2012)"),"Kondevaram")</f>
        <v>Kondevaram</v>
      </c>
      <c r="D2012" s="91" t="s">
        <v>465</v>
      </c>
      <c r="E2012" s="91" t="s">
        <v>5590</v>
      </c>
      <c r="F2012" s="67" t="s">
        <v>3138</v>
      </c>
      <c r="G2012" s="67"/>
      <c r="H2012" s="93" t="s">
        <v>4</v>
      </c>
      <c r="I2012" s="67"/>
      <c r="J2012" s="92">
        <v>9491179404</v>
      </c>
      <c r="K2012" s="67"/>
      <c r="L2012" s="67"/>
      <c r="M2012" s="67"/>
      <c r="N2012" s="67"/>
      <c r="O2012" s="67"/>
    </row>
    <row r="2013" spans="1:15" ht="15">
      <c r="A2013" s="91" t="s">
        <v>10</v>
      </c>
      <c r="B2013" s="91" t="s">
        <v>166</v>
      </c>
      <c r="C2013" s="92" t="str">
        <f ca="1">IFERROR(__xludf.DUMMYFUNCTION("filter('Back End'!C:C,'Back End'!A:A=A2013,'Back End'!B:B=B2013,'Back End'!D:D=D2013)"),"Mulapeta")</f>
        <v>Mulapeta</v>
      </c>
      <c r="D2013" s="91" t="s">
        <v>473</v>
      </c>
      <c r="E2013" s="91" t="s">
        <v>5591</v>
      </c>
      <c r="F2013" s="67" t="s">
        <v>3138</v>
      </c>
      <c r="G2013" s="67"/>
      <c r="H2013" s="93" t="s">
        <v>4</v>
      </c>
      <c r="I2013" s="92" t="s">
        <v>3125</v>
      </c>
      <c r="J2013" s="92">
        <v>9908344853</v>
      </c>
      <c r="K2013" s="67"/>
      <c r="L2013" s="67"/>
      <c r="M2013" s="67"/>
      <c r="N2013" s="67"/>
      <c r="O2013" s="67"/>
    </row>
    <row r="2014" spans="1:15" ht="15">
      <c r="A2014" s="91" t="s">
        <v>10</v>
      </c>
      <c r="B2014" s="91" t="s">
        <v>166</v>
      </c>
      <c r="C2014" s="92" t="str">
        <f ca="1">IFERROR(__xludf.DUMMYFUNCTION("filter('Back End'!C:C,'Back End'!A:A=A2014,'Back End'!B:B=B2014,'Back End'!D:D=D2014)"),"Kothapalle")</f>
        <v>Kothapalle</v>
      </c>
      <c r="D2014" s="91" t="s">
        <v>166</v>
      </c>
      <c r="E2014" s="91" t="s">
        <v>5592</v>
      </c>
      <c r="F2014" s="67" t="s">
        <v>3138</v>
      </c>
      <c r="G2014" s="67"/>
      <c r="H2014" s="93" t="s">
        <v>4</v>
      </c>
      <c r="I2014" s="67"/>
      <c r="J2014" s="92">
        <v>9959676916</v>
      </c>
      <c r="K2014" s="67"/>
      <c r="L2014" s="67"/>
      <c r="M2014" s="67"/>
      <c r="N2014" s="67"/>
      <c r="O2014" s="67"/>
    </row>
    <row r="2015" spans="1:15" ht="15">
      <c r="A2015" s="91" t="s">
        <v>10</v>
      </c>
      <c r="B2015" s="91" t="s">
        <v>166</v>
      </c>
      <c r="C2015" s="92" t="str">
        <f ca="1">IFERROR(__xludf.DUMMYFUNCTION("filter('Back End'!C:C,'Back End'!A:A=A2015,'Back End'!B:B=B2015,'Back End'!D:D=D2015)"),"Kothapalle")</f>
        <v>Kothapalle</v>
      </c>
      <c r="D2015" s="91" t="s">
        <v>166</v>
      </c>
      <c r="E2015" s="91" t="s">
        <v>5593</v>
      </c>
      <c r="F2015" s="67" t="s">
        <v>3138</v>
      </c>
      <c r="G2015" s="67"/>
      <c r="H2015" s="93" t="s">
        <v>4</v>
      </c>
      <c r="I2015" s="92" t="s">
        <v>3125</v>
      </c>
      <c r="J2015" s="92">
        <v>9618657875</v>
      </c>
      <c r="K2015" s="67"/>
      <c r="L2015" s="67"/>
      <c r="M2015" s="67"/>
      <c r="N2015" s="67"/>
      <c r="O2015" s="67"/>
    </row>
    <row r="2016" spans="1:15" ht="15">
      <c r="A2016" s="91" t="s">
        <v>10</v>
      </c>
      <c r="B2016" s="91" t="s">
        <v>166</v>
      </c>
      <c r="C2016" s="92" t="str">
        <f ca="1">IFERROR(__xludf.DUMMYFUNCTION("filter('Back End'!C:C,'Back End'!A:A=A2016,'Back End'!B:B=B2016,'Back End'!D:D=D2016)"),"Kothapalle")</f>
        <v>Kothapalle</v>
      </c>
      <c r="D2016" s="91" t="s">
        <v>166</v>
      </c>
      <c r="E2016" s="91" t="s">
        <v>5594</v>
      </c>
      <c r="F2016" s="67" t="s">
        <v>3138</v>
      </c>
      <c r="G2016" s="67"/>
      <c r="H2016" s="93" t="s">
        <v>4</v>
      </c>
      <c r="I2016" s="67"/>
      <c r="J2016" s="92">
        <v>9550736069</v>
      </c>
      <c r="K2016" s="67"/>
      <c r="L2016" s="67"/>
      <c r="M2016" s="67"/>
      <c r="N2016" s="67"/>
      <c r="O2016" s="67"/>
    </row>
    <row r="2017" spans="1:15" ht="15">
      <c r="A2017" s="91" t="s">
        <v>10</v>
      </c>
      <c r="B2017" s="91" t="s">
        <v>166</v>
      </c>
      <c r="C2017" s="92" t="str">
        <f ca="1">IFERROR(__xludf.DUMMYFUNCTION("filter('Back End'!C:C,'Back End'!A:A=A2017,'Back End'!B:B=B2017,'Back End'!D:D=D2017)"),"Kutukudumilli")</f>
        <v>Kutukudumilli</v>
      </c>
      <c r="D2017" s="91" t="s">
        <v>471</v>
      </c>
      <c r="E2017" s="91" t="s">
        <v>5595</v>
      </c>
      <c r="F2017" s="67" t="s">
        <v>3138</v>
      </c>
      <c r="G2017" s="67"/>
      <c r="H2017" s="93" t="s">
        <v>4</v>
      </c>
      <c r="I2017" s="67"/>
      <c r="J2017" s="92">
        <v>9398113157</v>
      </c>
      <c r="K2017" s="67"/>
      <c r="L2017" s="67"/>
      <c r="M2017" s="67"/>
      <c r="N2017" s="67"/>
      <c r="O2017" s="67"/>
    </row>
    <row r="2018" spans="1:15" ht="15">
      <c r="A2018" s="91" t="s">
        <v>10</v>
      </c>
      <c r="B2018" s="91" t="s">
        <v>166</v>
      </c>
      <c r="C2018" s="92" t="str">
        <f ca="1">IFERROR(__xludf.DUMMYFUNCTION("filter('Back End'!C:C,'Back End'!A:A=A2018,'Back End'!B:B=B2018,'Back End'!D:D=D2018)"),"Kutukudumilli")</f>
        <v>Kutukudumilli</v>
      </c>
      <c r="D2018" s="91" t="s">
        <v>471</v>
      </c>
      <c r="E2018" s="91" t="s">
        <v>5596</v>
      </c>
      <c r="F2018" s="67" t="s">
        <v>3138</v>
      </c>
      <c r="G2018" s="67"/>
      <c r="H2018" s="93" t="s">
        <v>4</v>
      </c>
      <c r="I2018" s="92" t="s">
        <v>3125</v>
      </c>
      <c r="J2018" s="92">
        <v>9866454725</v>
      </c>
      <c r="K2018" s="67"/>
      <c r="L2018" s="67"/>
      <c r="M2018" s="67"/>
      <c r="N2018" s="67"/>
      <c r="O2018" s="67"/>
    </row>
    <row r="2019" spans="1:15" ht="15">
      <c r="A2019" s="91" t="s">
        <v>10</v>
      </c>
      <c r="B2019" s="91" t="s">
        <v>166</v>
      </c>
      <c r="C2019" s="92" t="str">
        <f ca="1">IFERROR(__xludf.DUMMYFUNCTION("filter('Back End'!C:C,'Back End'!A:A=A2019,'Back End'!B:B=B2019,'Back End'!D:D=D2019)"),"Kutukudumilli")</f>
        <v>Kutukudumilli</v>
      </c>
      <c r="D2019" s="91" t="s">
        <v>471</v>
      </c>
      <c r="E2019" s="91" t="s">
        <v>5597</v>
      </c>
      <c r="F2019" s="67" t="s">
        <v>3138</v>
      </c>
      <c r="G2019" s="67"/>
      <c r="H2019" s="93" t="s">
        <v>4</v>
      </c>
      <c r="I2019" s="67"/>
      <c r="J2019" s="92">
        <v>9490876741</v>
      </c>
      <c r="K2019" s="67"/>
      <c r="L2019" s="67"/>
      <c r="M2019" s="67"/>
      <c r="N2019" s="67"/>
      <c r="O2019" s="67"/>
    </row>
    <row r="2020" spans="1:15" ht="30">
      <c r="A2020" s="91" t="s">
        <v>10</v>
      </c>
      <c r="B2020" s="91" t="s">
        <v>166</v>
      </c>
      <c r="C2020" s="112" t="s">
        <v>471</v>
      </c>
      <c r="D2020" s="91" t="s">
        <v>471</v>
      </c>
      <c r="E2020" s="97" t="s">
        <v>5598</v>
      </c>
      <c r="F2020" s="97" t="s">
        <v>1669</v>
      </c>
      <c r="G2020" s="97" t="s">
        <v>615</v>
      </c>
      <c r="H2020" s="97" t="s">
        <v>92</v>
      </c>
      <c r="I2020" s="97" t="s">
        <v>3115</v>
      </c>
      <c r="J2020" s="97">
        <v>9398372678</v>
      </c>
      <c r="K2020" s="67"/>
      <c r="L2020" s="67"/>
      <c r="M2020" s="67"/>
      <c r="N2020" s="67"/>
      <c r="O2020" s="67"/>
    </row>
    <row r="2021" spans="1:15" ht="30">
      <c r="A2021" s="91" t="s">
        <v>10</v>
      </c>
      <c r="B2021" s="91" t="s">
        <v>166</v>
      </c>
      <c r="C2021" s="123" t="s">
        <v>471</v>
      </c>
      <c r="D2021" s="91" t="s">
        <v>471</v>
      </c>
      <c r="E2021" s="102" t="s">
        <v>5599</v>
      </c>
      <c r="F2021" s="102" t="s">
        <v>1659</v>
      </c>
      <c r="G2021" s="102" t="s">
        <v>615</v>
      </c>
      <c r="H2021" s="102" t="s">
        <v>92</v>
      </c>
      <c r="I2021" s="102" t="s">
        <v>3205</v>
      </c>
      <c r="J2021" s="102">
        <v>9949972155</v>
      </c>
      <c r="K2021" s="67"/>
      <c r="L2021" s="67"/>
      <c r="M2021" s="67"/>
      <c r="N2021" s="67"/>
      <c r="O2021" s="67"/>
    </row>
    <row r="2022" spans="1:15" ht="45">
      <c r="A2022" s="91" t="s">
        <v>10</v>
      </c>
      <c r="B2022" s="91" t="s">
        <v>166</v>
      </c>
      <c r="C2022" s="123" t="s">
        <v>471</v>
      </c>
      <c r="D2022" s="91" t="s">
        <v>471</v>
      </c>
      <c r="E2022" s="102" t="s">
        <v>5600</v>
      </c>
      <c r="F2022" s="102" t="s">
        <v>1669</v>
      </c>
      <c r="G2022" s="102" t="s">
        <v>615</v>
      </c>
      <c r="H2022" s="102" t="s">
        <v>92</v>
      </c>
      <c r="I2022" s="102" t="s">
        <v>3185</v>
      </c>
      <c r="J2022" s="102">
        <v>9866273422</v>
      </c>
      <c r="K2022" s="67"/>
      <c r="L2022" s="67"/>
      <c r="M2022" s="67"/>
      <c r="N2022" s="67"/>
      <c r="O2022" s="67"/>
    </row>
    <row r="2023" spans="1:15" ht="30">
      <c r="A2023" s="91" t="s">
        <v>10</v>
      </c>
      <c r="B2023" s="91" t="s">
        <v>166</v>
      </c>
      <c r="C2023" s="123" t="s">
        <v>471</v>
      </c>
      <c r="D2023" s="91" t="s">
        <v>471</v>
      </c>
      <c r="E2023" s="102" t="s">
        <v>5601</v>
      </c>
      <c r="F2023" s="102" t="s">
        <v>1659</v>
      </c>
      <c r="G2023" s="102" t="s">
        <v>615</v>
      </c>
      <c r="H2023" s="102" t="s">
        <v>4</v>
      </c>
      <c r="I2023" s="102" t="s">
        <v>5602</v>
      </c>
      <c r="J2023" s="102">
        <v>9642802032</v>
      </c>
      <c r="K2023" s="67"/>
      <c r="L2023" s="67"/>
      <c r="M2023" s="67"/>
      <c r="N2023" s="67"/>
      <c r="O2023" s="67"/>
    </row>
    <row r="2024" spans="1:15" ht="30">
      <c r="A2024" s="91" t="s">
        <v>10</v>
      </c>
      <c r="B2024" s="91" t="s">
        <v>166</v>
      </c>
      <c r="C2024" s="123" t="s">
        <v>471</v>
      </c>
      <c r="D2024" s="91" t="s">
        <v>471</v>
      </c>
      <c r="E2024" s="102" t="s">
        <v>5603</v>
      </c>
      <c r="F2024" s="102" t="s">
        <v>1669</v>
      </c>
      <c r="G2024" s="102" t="s">
        <v>615</v>
      </c>
      <c r="H2024" s="102" t="s">
        <v>6</v>
      </c>
      <c r="I2024" s="102" t="s">
        <v>3765</v>
      </c>
      <c r="J2024" s="102">
        <v>9702233291</v>
      </c>
      <c r="K2024" s="67"/>
      <c r="L2024" s="67"/>
      <c r="M2024" s="67"/>
      <c r="N2024" s="67"/>
      <c r="O2024" s="67"/>
    </row>
    <row r="2025" spans="1:15" ht="15">
      <c r="A2025" s="91" t="s">
        <v>10</v>
      </c>
      <c r="B2025" s="91" t="s">
        <v>166</v>
      </c>
      <c r="C2025" s="92" t="str">
        <f ca="1">IFERROR(__xludf.DUMMYFUNCTION("filter('Back End'!C:C,'Back End'!A:A=A2025,'Back End'!B:B=B2025,'Back End'!D:D=D2025)"),"Mulapeta")</f>
        <v>Mulapeta</v>
      </c>
      <c r="D2025" s="91" t="s">
        <v>473</v>
      </c>
      <c r="E2025" s="91" t="s">
        <v>5604</v>
      </c>
      <c r="F2025" s="67" t="s">
        <v>3138</v>
      </c>
      <c r="G2025" s="67"/>
      <c r="H2025" s="93" t="s">
        <v>4</v>
      </c>
      <c r="I2025" s="67"/>
      <c r="J2025" s="92">
        <v>9652266149</v>
      </c>
      <c r="K2025" s="67"/>
      <c r="L2025" s="67"/>
      <c r="M2025" s="67"/>
      <c r="N2025" s="67"/>
      <c r="O2025" s="67"/>
    </row>
    <row r="2026" spans="1:15" ht="15">
      <c r="A2026" s="91" t="s">
        <v>10</v>
      </c>
      <c r="B2026" s="91" t="s">
        <v>166</v>
      </c>
      <c r="C2026" s="92" t="str">
        <f ca="1">IFERROR(__xludf.DUMMYFUNCTION("filter('Back End'!C:C,'Back End'!A:A=A2026,'Back End'!B:B=B2026,'Back End'!D:D=D2026)"),"Mulapeta")</f>
        <v>Mulapeta</v>
      </c>
      <c r="D2026" s="91" t="s">
        <v>473</v>
      </c>
      <c r="E2026" s="91" t="s">
        <v>5605</v>
      </c>
      <c r="F2026" s="67" t="s">
        <v>3138</v>
      </c>
      <c r="G2026" s="67"/>
      <c r="H2026" s="93" t="s">
        <v>4</v>
      </c>
      <c r="I2026" s="67"/>
      <c r="J2026" s="92">
        <v>9505347398</v>
      </c>
      <c r="K2026" s="67"/>
      <c r="L2026" s="67"/>
      <c r="M2026" s="67"/>
      <c r="N2026" s="67"/>
      <c r="O2026" s="67"/>
    </row>
    <row r="2027" spans="1:15" ht="15">
      <c r="A2027" s="91" t="s">
        <v>10</v>
      </c>
      <c r="B2027" s="91" t="s">
        <v>166</v>
      </c>
      <c r="C2027" s="92" t="str">
        <f ca="1">IFERROR(__xludf.DUMMYFUNCTION("filter('Back End'!C:C,'Back End'!A:A=A2027,'Back End'!B:B=B2027,'Back End'!D:D=D2027)"),"Mulapeta")</f>
        <v>Mulapeta</v>
      </c>
      <c r="D2027" s="91" t="s">
        <v>473</v>
      </c>
      <c r="E2027" s="91" t="s">
        <v>5606</v>
      </c>
      <c r="F2027" s="67" t="s">
        <v>3138</v>
      </c>
      <c r="G2027" s="67"/>
      <c r="H2027" s="93" t="s">
        <v>4</v>
      </c>
      <c r="I2027" s="67"/>
      <c r="J2027" s="92">
        <v>7702934823</v>
      </c>
      <c r="K2027" s="67"/>
      <c r="L2027" s="67"/>
      <c r="M2027" s="67"/>
      <c r="N2027" s="67"/>
      <c r="O2027" s="67"/>
    </row>
    <row r="2028" spans="1:15" ht="15">
      <c r="A2028" s="91" t="s">
        <v>10</v>
      </c>
      <c r="B2028" s="91" t="s">
        <v>166</v>
      </c>
      <c r="C2028" s="92" t="str">
        <f ca="1">IFERROR(__xludf.DUMMYFUNCTION("filter('Back End'!C:C,'Back End'!A:A=A2028,'Back End'!B:B=B2028,'Back End'!D:D=D2028)"),"Mulapeta")</f>
        <v>Mulapeta</v>
      </c>
      <c r="D2028" s="91" t="s">
        <v>473</v>
      </c>
      <c r="E2028" s="91" t="s">
        <v>5607</v>
      </c>
      <c r="F2028" s="67" t="s">
        <v>3138</v>
      </c>
      <c r="G2028" s="67"/>
      <c r="H2028" s="93" t="s">
        <v>4</v>
      </c>
      <c r="I2028" s="67"/>
      <c r="J2028" s="92">
        <v>9963287359</v>
      </c>
      <c r="K2028" s="67"/>
      <c r="L2028" s="67"/>
      <c r="M2028" s="67"/>
      <c r="N2028" s="67"/>
      <c r="O2028" s="67"/>
    </row>
    <row r="2029" spans="1:15" ht="15">
      <c r="A2029" s="91" t="s">
        <v>10</v>
      </c>
      <c r="B2029" s="91" t="s">
        <v>166</v>
      </c>
      <c r="C2029" s="92" t="str">
        <f ca="1">IFERROR(__xludf.DUMMYFUNCTION("filter('Back End'!C:C,'Back End'!A:A=A2029,'Back End'!B:B=B2029,'Back End'!D:D=D2029)"),"Mulapeta")</f>
        <v>Mulapeta</v>
      </c>
      <c r="D2029" s="91" t="s">
        <v>473</v>
      </c>
      <c r="E2029" s="91" t="s">
        <v>5608</v>
      </c>
      <c r="F2029" s="67" t="s">
        <v>3138</v>
      </c>
      <c r="G2029" s="67"/>
      <c r="H2029" s="93" t="s">
        <v>4</v>
      </c>
      <c r="I2029" s="67"/>
      <c r="J2029" s="92">
        <v>9666129466</v>
      </c>
      <c r="K2029" s="67"/>
      <c r="L2029" s="67"/>
      <c r="M2029" s="67"/>
      <c r="N2029" s="67"/>
      <c r="O2029" s="67"/>
    </row>
    <row r="2030" spans="1:15" ht="15">
      <c r="A2030" s="91" t="s">
        <v>10</v>
      </c>
      <c r="B2030" s="91" t="s">
        <v>166</v>
      </c>
      <c r="C2030" s="92" t="str">
        <f ca="1">IFERROR(__xludf.DUMMYFUNCTION("filter('Back End'!C:C,'Back End'!A:A=A2030,'Back End'!B:B=B2030,'Back End'!D:D=D2030)"),"Mulapeta")</f>
        <v>Mulapeta</v>
      </c>
      <c r="D2030" s="91" t="s">
        <v>473</v>
      </c>
      <c r="E2030" s="91" t="s">
        <v>5609</v>
      </c>
      <c r="F2030" s="67" t="s">
        <v>3138</v>
      </c>
      <c r="G2030" s="67"/>
      <c r="H2030" s="93" t="s">
        <v>4</v>
      </c>
      <c r="I2030" s="92" t="s">
        <v>3125</v>
      </c>
      <c r="J2030" s="92">
        <v>9989800752</v>
      </c>
      <c r="K2030" s="67"/>
      <c r="L2030" s="67"/>
      <c r="M2030" s="67"/>
      <c r="N2030" s="67"/>
      <c r="O2030" s="67"/>
    </row>
    <row r="2031" spans="1:15" ht="15">
      <c r="A2031" s="91" t="s">
        <v>10</v>
      </c>
      <c r="B2031" s="91" t="s">
        <v>166</v>
      </c>
      <c r="C2031" s="92" t="str">
        <f ca="1">IFERROR(__xludf.DUMMYFUNCTION("filter('Back End'!C:C,'Back End'!A:A=A2031,'Back End'!B:B=B2031,'Back End'!D:D=D2031)"),"Mulapeta")</f>
        <v>Mulapeta</v>
      </c>
      <c r="D2031" s="91" t="s">
        <v>473</v>
      </c>
      <c r="E2031" s="91" t="s">
        <v>5610</v>
      </c>
      <c r="F2031" s="67" t="s">
        <v>3138</v>
      </c>
      <c r="G2031" s="67"/>
      <c r="H2031" s="93" t="s">
        <v>4</v>
      </c>
      <c r="I2031" s="67"/>
      <c r="J2031" s="92">
        <v>7013666873</v>
      </c>
      <c r="K2031" s="67"/>
      <c r="L2031" s="67"/>
      <c r="M2031" s="67"/>
      <c r="N2031" s="67"/>
      <c r="O2031" s="67"/>
    </row>
    <row r="2032" spans="1:15" ht="15">
      <c r="A2032" s="91" t="s">
        <v>10</v>
      </c>
      <c r="B2032" s="91" t="s">
        <v>166</v>
      </c>
      <c r="C2032" s="92" t="str">
        <f ca="1">IFERROR(__xludf.DUMMYFUNCTION("filter('Back End'!C:C,'Back End'!A:A=A2032,'Back End'!B:B=B2032,'Back End'!D:D=D2032)"),"Nagulapalle")</f>
        <v>Nagulapalle</v>
      </c>
      <c r="D2032" s="91" t="s">
        <v>475</v>
      </c>
      <c r="E2032" s="91" t="s">
        <v>5611</v>
      </c>
      <c r="F2032" s="67" t="s">
        <v>3138</v>
      </c>
      <c r="G2032" s="67"/>
      <c r="H2032" s="93" t="s">
        <v>4</v>
      </c>
      <c r="I2032" s="67"/>
      <c r="J2032" s="92">
        <v>9908516113</v>
      </c>
      <c r="K2032" s="67"/>
      <c r="L2032" s="67"/>
      <c r="M2032" s="67"/>
      <c r="N2032" s="67"/>
      <c r="O2032" s="67"/>
    </row>
    <row r="2033" spans="1:15" ht="15">
      <c r="A2033" s="91" t="s">
        <v>10</v>
      </c>
      <c r="B2033" s="91" t="s">
        <v>166</v>
      </c>
      <c r="C2033" s="92" t="str">
        <f ca="1">IFERROR(__xludf.DUMMYFUNCTION("filter('Back End'!C:C,'Back End'!A:A=A2033,'Back End'!B:B=B2033,'Back End'!D:D=D2033)"),"Nagulapalle")</f>
        <v>Nagulapalle</v>
      </c>
      <c r="D2033" s="91" t="s">
        <v>475</v>
      </c>
      <c r="E2033" s="91" t="s">
        <v>5612</v>
      </c>
      <c r="F2033" s="67" t="s">
        <v>3138</v>
      </c>
      <c r="G2033" s="67"/>
      <c r="H2033" s="93" t="s">
        <v>4</v>
      </c>
      <c r="I2033" s="67"/>
      <c r="J2033" s="92">
        <v>8179257354</v>
      </c>
      <c r="K2033" s="67"/>
      <c r="L2033" s="67"/>
      <c r="M2033" s="67"/>
      <c r="N2033" s="67"/>
      <c r="O2033" s="67"/>
    </row>
    <row r="2034" spans="1:15" ht="15">
      <c r="A2034" s="91" t="s">
        <v>10</v>
      </c>
      <c r="B2034" s="91" t="s">
        <v>166</v>
      </c>
      <c r="C2034" s="92" t="str">
        <f ca="1">IFERROR(__xludf.DUMMYFUNCTION("filter('Back End'!C:C,'Back End'!A:A=A2034,'Back End'!B:B=B2034,'Back End'!D:D=D2034)"),"Nagulapalle")</f>
        <v>Nagulapalle</v>
      </c>
      <c r="D2034" s="91" t="s">
        <v>475</v>
      </c>
      <c r="E2034" s="91" t="s">
        <v>5613</v>
      </c>
      <c r="F2034" s="67" t="s">
        <v>3138</v>
      </c>
      <c r="G2034" s="67"/>
      <c r="H2034" s="93" t="s">
        <v>4</v>
      </c>
      <c r="I2034" s="92" t="s">
        <v>3125</v>
      </c>
      <c r="J2034" s="92">
        <v>9642120441</v>
      </c>
      <c r="K2034" s="67"/>
      <c r="L2034" s="67"/>
      <c r="M2034" s="67"/>
      <c r="N2034" s="67"/>
      <c r="O2034" s="67"/>
    </row>
    <row r="2035" spans="1:15" ht="15">
      <c r="A2035" s="91" t="s">
        <v>10</v>
      </c>
      <c r="B2035" s="91" t="s">
        <v>166</v>
      </c>
      <c r="C2035" s="92" t="str">
        <f ca="1">IFERROR(__xludf.DUMMYFUNCTION("filter('Back End'!C:C,'Back End'!A:A=A2035,'Back End'!B:B=B2035,'Back End'!D:D=D2035)"),"Nagulapalle")</f>
        <v>Nagulapalle</v>
      </c>
      <c r="D2035" s="91" t="s">
        <v>475</v>
      </c>
      <c r="E2035" s="91" t="s">
        <v>5614</v>
      </c>
      <c r="F2035" s="67" t="s">
        <v>3138</v>
      </c>
      <c r="G2035" s="67"/>
      <c r="H2035" s="93" t="s">
        <v>4</v>
      </c>
      <c r="I2035" s="67"/>
      <c r="J2035" s="92">
        <v>7416852686</v>
      </c>
      <c r="K2035" s="67"/>
      <c r="L2035" s="67"/>
      <c r="M2035" s="67"/>
      <c r="N2035" s="67"/>
      <c r="O2035" s="67"/>
    </row>
    <row r="2036" spans="1:15" ht="15">
      <c r="A2036" s="91" t="s">
        <v>10</v>
      </c>
      <c r="B2036" s="91" t="s">
        <v>166</v>
      </c>
      <c r="C2036" s="92" t="str">
        <f ca="1">IFERROR(__xludf.DUMMYFUNCTION("filter('Back End'!C:C,'Back End'!A:A=A2036,'Back End'!B:B=B2036,'Back End'!D:D=D2036)"),"Nagulapalle")</f>
        <v>Nagulapalle</v>
      </c>
      <c r="D2036" s="91" t="s">
        <v>475</v>
      </c>
      <c r="E2036" s="91" t="s">
        <v>5615</v>
      </c>
      <c r="F2036" s="67" t="s">
        <v>3138</v>
      </c>
      <c r="G2036" s="67"/>
      <c r="H2036" s="93" t="s">
        <v>4</v>
      </c>
      <c r="I2036" s="67"/>
      <c r="J2036" s="92">
        <v>9701179196</v>
      </c>
      <c r="K2036" s="67"/>
      <c r="L2036" s="67"/>
      <c r="M2036" s="67"/>
      <c r="N2036" s="67"/>
      <c r="O2036" s="67"/>
    </row>
    <row r="2037" spans="1:15" ht="15">
      <c r="A2037" s="91" t="s">
        <v>10</v>
      </c>
      <c r="B2037" s="91" t="s">
        <v>166</v>
      </c>
      <c r="C2037" s="92" t="str">
        <f ca="1">IFERROR(__xludf.DUMMYFUNCTION("filter('Back End'!C:C,'Back End'!A:A=A2037,'Back End'!B:B=B2037,'Back End'!D:D=D2037)"),"Nagulapalle")</f>
        <v>Nagulapalle</v>
      </c>
      <c r="D2037" s="91" t="s">
        <v>475</v>
      </c>
      <c r="E2037" s="91" t="s">
        <v>5616</v>
      </c>
      <c r="F2037" s="67" t="s">
        <v>3138</v>
      </c>
      <c r="G2037" s="67"/>
      <c r="H2037" s="93" t="s">
        <v>4</v>
      </c>
      <c r="I2037" s="67"/>
      <c r="J2037" s="92">
        <v>9908018967</v>
      </c>
      <c r="K2037" s="67"/>
      <c r="L2037" s="67"/>
      <c r="M2037" s="67"/>
      <c r="N2037" s="67"/>
      <c r="O2037" s="67"/>
    </row>
    <row r="2038" spans="1:15" ht="15">
      <c r="A2038" s="91" t="s">
        <v>10</v>
      </c>
      <c r="B2038" s="91" t="s">
        <v>166</v>
      </c>
      <c r="C2038" s="92" t="str">
        <f ca="1">IFERROR(__xludf.DUMMYFUNCTION("filter('Back End'!C:C,'Back End'!A:A=A2038,'Back End'!B:B=B2038,'Back End'!D:D=D2038)"),"Nagulapalle")</f>
        <v>Nagulapalle</v>
      </c>
      <c r="D2038" s="91" t="s">
        <v>475</v>
      </c>
      <c r="E2038" s="91" t="s">
        <v>5617</v>
      </c>
      <c r="F2038" s="67" t="s">
        <v>3138</v>
      </c>
      <c r="G2038" s="67"/>
      <c r="H2038" s="93" t="s">
        <v>4</v>
      </c>
      <c r="I2038" s="67"/>
      <c r="J2038" s="92">
        <v>9949228371</v>
      </c>
      <c r="K2038" s="67"/>
      <c r="L2038" s="67"/>
      <c r="M2038" s="67"/>
      <c r="N2038" s="67"/>
      <c r="O2038" s="67"/>
    </row>
    <row r="2039" spans="1:15" ht="15">
      <c r="A2039" s="91" t="s">
        <v>10</v>
      </c>
      <c r="B2039" s="91" t="s">
        <v>166</v>
      </c>
      <c r="C2039" s="92" t="str">
        <f ca="1">IFERROR(__xludf.DUMMYFUNCTION("filter('Back End'!C:C,'Back End'!A:A=A2039,'Back End'!B:B=B2039,'Back End'!D:D=D2039)"),"Nagulapalle")</f>
        <v>Nagulapalle</v>
      </c>
      <c r="D2039" s="91" t="s">
        <v>475</v>
      </c>
      <c r="E2039" s="91" t="s">
        <v>5618</v>
      </c>
      <c r="F2039" s="67" t="s">
        <v>3138</v>
      </c>
      <c r="G2039" s="67"/>
      <c r="H2039" s="93" t="s">
        <v>4</v>
      </c>
      <c r="I2039" s="67"/>
      <c r="J2039" s="92">
        <v>9550735660</v>
      </c>
      <c r="K2039" s="67"/>
      <c r="L2039" s="67"/>
      <c r="M2039" s="67"/>
      <c r="N2039" s="67"/>
      <c r="O2039" s="67"/>
    </row>
    <row r="2040" spans="1:15" ht="15">
      <c r="A2040" s="91" t="s">
        <v>10</v>
      </c>
      <c r="B2040" s="91" t="s">
        <v>166</v>
      </c>
      <c r="C2040" s="92" t="str">
        <f ca="1">IFERROR(__xludf.DUMMYFUNCTION("filter('Back End'!C:C,'Back End'!A:A=A2040,'Back End'!B:B=B2040,'Back End'!D:D=D2040)"),"Ponnada")</f>
        <v>Ponnada</v>
      </c>
      <c r="D2040" s="91" t="s">
        <v>477</v>
      </c>
      <c r="E2040" s="91" t="s">
        <v>5619</v>
      </c>
      <c r="F2040" s="67" t="s">
        <v>3138</v>
      </c>
      <c r="G2040" s="67"/>
      <c r="H2040" s="93" t="s">
        <v>4</v>
      </c>
      <c r="I2040" s="67"/>
      <c r="J2040" s="92">
        <v>9492363457</v>
      </c>
      <c r="K2040" s="67"/>
      <c r="L2040" s="67"/>
      <c r="M2040" s="67"/>
      <c r="N2040" s="67"/>
      <c r="O2040" s="67"/>
    </row>
    <row r="2041" spans="1:15" ht="15">
      <c r="A2041" s="91" t="s">
        <v>10</v>
      </c>
      <c r="B2041" s="91" t="s">
        <v>166</v>
      </c>
      <c r="C2041" s="92" t="str">
        <f ca="1">IFERROR(__xludf.DUMMYFUNCTION("filter('Back End'!C:C,'Back End'!A:A=A2041,'Back End'!B:B=B2041,'Back End'!D:D=D2041)"),"Ponnada")</f>
        <v>Ponnada</v>
      </c>
      <c r="D2041" s="91" t="s">
        <v>477</v>
      </c>
      <c r="E2041" s="91" t="s">
        <v>5620</v>
      </c>
      <c r="F2041" s="91" t="s">
        <v>114</v>
      </c>
      <c r="G2041" s="91" t="s">
        <v>85</v>
      </c>
      <c r="H2041" s="93" t="s">
        <v>4</v>
      </c>
      <c r="I2041" s="67"/>
      <c r="J2041" s="92">
        <v>9849160257</v>
      </c>
      <c r="K2041" s="67"/>
      <c r="L2041" s="67"/>
      <c r="M2041" s="67"/>
      <c r="N2041" s="67"/>
      <c r="O2041" s="67"/>
    </row>
    <row r="2042" spans="1:15" ht="15">
      <c r="A2042" s="91" t="s">
        <v>10</v>
      </c>
      <c r="B2042" s="91" t="s">
        <v>166</v>
      </c>
      <c r="C2042" s="92" t="str">
        <f ca="1">IFERROR(__xludf.DUMMYFUNCTION("filter('Back End'!C:C,'Back End'!A:A=A2042,'Back End'!B:B=B2042,'Back End'!D:D=D2042)"),"Ponnada")</f>
        <v>Ponnada</v>
      </c>
      <c r="D2042" s="91" t="s">
        <v>477</v>
      </c>
      <c r="E2042" s="91" t="s">
        <v>5621</v>
      </c>
      <c r="F2042" s="91" t="s">
        <v>114</v>
      </c>
      <c r="G2042" s="91" t="s">
        <v>85</v>
      </c>
      <c r="H2042" s="93" t="s">
        <v>4</v>
      </c>
      <c r="I2042" s="67"/>
      <c r="J2042" s="92">
        <v>7382607543</v>
      </c>
      <c r="K2042" s="67"/>
      <c r="L2042" s="67"/>
      <c r="M2042" s="67"/>
      <c r="N2042" s="67"/>
      <c r="O2042" s="67"/>
    </row>
    <row r="2043" spans="1:15" ht="15">
      <c r="A2043" s="91" t="s">
        <v>10</v>
      </c>
      <c r="B2043" s="91" t="s">
        <v>166</v>
      </c>
      <c r="C2043" s="92" t="str">
        <f ca="1">IFERROR(__xludf.DUMMYFUNCTION("filter('Back End'!C:C,'Back End'!A:A=A2043,'Back End'!B:B=B2043,'Back End'!D:D=D2043)"),"Ponnada")</f>
        <v>Ponnada</v>
      </c>
      <c r="D2043" s="91" t="s">
        <v>477</v>
      </c>
      <c r="E2043" s="91" t="s">
        <v>5622</v>
      </c>
      <c r="F2043" s="67" t="s">
        <v>3138</v>
      </c>
      <c r="G2043" s="67"/>
      <c r="H2043" s="93" t="s">
        <v>4</v>
      </c>
      <c r="I2043" s="67"/>
      <c r="J2043" s="92">
        <v>9866172168</v>
      </c>
      <c r="K2043" s="67"/>
      <c r="L2043" s="67"/>
      <c r="M2043" s="67"/>
      <c r="N2043" s="67"/>
      <c r="O2043" s="67"/>
    </row>
    <row r="2044" spans="1:15" ht="15">
      <c r="A2044" s="91" t="s">
        <v>10</v>
      </c>
      <c r="B2044" s="91" t="s">
        <v>166</v>
      </c>
      <c r="C2044" s="92" t="str">
        <f ca="1">IFERROR(__xludf.DUMMYFUNCTION("filter('Back End'!C:C,'Back End'!A:A=A2044,'Back End'!B:B=B2044,'Back End'!D:D=D2044)"),"Ponnada")</f>
        <v>Ponnada</v>
      </c>
      <c r="D2044" s="91" t="s">
        <v>477</v>
      </c>
      <c r="E2044" s="91" t="s">
        <v>5623</v>
      </c>
      <c r="F2044" s="67" t="s">
        <v>3138</v>
      </c>
      <c r="G2044" s="67"/>
      <c r="H2044" s="93" t="s">
        <v>4</v>
      </c>
      <c r="I2044" s="67"/>
      <c r="J2044" s="92">
        <v>9441351371</v>
      </c>
      <c r="K2044" s="67"/>
      <c r="L2044" s="67"/>
      <c r="M2044" s="67"/>
      <c r="N2044" s="67"/>
      <c r="O2044" s="67"/>
    </row>
    <row r="2045" spans="1:15" ht="15">
      <c r="A2045" s="91" t="s">
        <v>10</v>
      </c>
      <c r="B2045" s="91" t="s">
        <v>166</v>
      </c>
      <c r="C2045" s="92" t="str">
        <f ca="1">IFERROR(__xludf.DUMMYFUNCTION("filter('Back End'!C:C,'Back End'!A:A=A2045,'Back End'!B:B=B2045,'Back End'!D:D=D2045)"),"Ponnada")</f>
        <v>Ponnada</v>
      </c>
      <c r="D2045" s="91" t="s">
        <v>477</v>
      </c>
      <c r="E2045" s="91" t="s">
        <v>5624</v>
      </c>
      <c r="F2045" s="67" t="s">
        <v>3138</v>
      </c>
      <c r="G2045" s="67"/>
      <c r="H2045" s="93" t="s">
        <v>4</v>
      </c>
      <c r="I2045" s="92" t="s">
        <v>3125</v>
      </c>
      <c r="J2045" s="92">
        <v>8985070138</v>
      </c>
      <c r="K2045" s="67"/>
      <c r="L2045" s="67"/>
      <c r="M2045" s="67"/>
      <c r="N2045" s="67"/>
      <c r="O2045" s="67"/>
    </row>
    <row r="2046" spans="1:15" ht="15">
      <c r="A2046" s="91" t="s">
        <v>10</v>
      </c>
      <c r="B2046" s="91" t="s">
        <v>166</v>
      </c>
      <c r="C2046" s="92" t="str">
        <f ca="1">IFERROR(__xludf.DUMMYFUNCTION("filter('Back End'!C:C,'Back End'!A:A=A2046,'Back End'!B:B=B2046,'Back End'!D:D=D2046)"),"Ramanakkapeta")</f>
        <v>Ramanakkapeta</v>
      </c>
      <c r="D2046" s="91" t="s">
        <v>479</v>
      </c>
      <c r="E2046" s="91" t="s">
        <v>5625</v>
      </c>
      <c r="F2046" s="67" t="s">
        <v>3138</v>
      </c>
      <c r="G2046" s="67"/>
      <c r="H2046" s="93" t="s">
        <v>4</v>
      </c>
      <c r="I2046" s="67"/>
      <c r="J2046" s="92">
        <v>8019515223</v>
      </c>
      <c r="K2046" s="67"/>
      <c r="L2046" s="67"/>
      <c r="M2046" s="67"/>
      <c r="N2046" s="67"/>
      <c r="O2046" s="67"/>
    </row>
    <row r="2047" spans="1:15" ht="15">
      <c r="A2047" s="91" t="s">
        <v>10</v>
      </c>
      <c r="B2047" s="91" t="s">
        <v>166</v>
      </c>
      <c r="C2047" s="92" t="str">
        <f ca="1">IFERROR(__xludf.DUMMYFUNCTION("filter('Back End'!C:C,'Back End'!A:A=A2047,'Back End'!B:B=B2047,'Back End'!D:D=D2047)"),"Ramanakkapeta")</f>
        <v>Ramanakkapeta</v>
      </c>
      <c r="D2047" s="91" t="s">
        <v>479</v>
      </c>
      <c r="E2047" s="91" t="s">
        <v>5626</v>
      </c>
      <c r="F2047" s="67" t="s">
        <v>3138</v>
      </c>
      <c r="G2047" s="67"/>
      <c r="H2047" s="93" t="s">
        <v>4</v>
      </c>
      <c r="I2047" s="92" t="s">
        <v>3125</v>
      </c>
      <c r="J2047" s="92">
        <v>8106492459</v>
      </c>
      <c r="K2047" s="67"/>
      <c r="L2047" s="67"/>
      <c r="M2047" s="67"/>
      <c r="N2047" s="67"/>
      <c r="O2047" s="67"/>
    </row>
    <row r="2048" spans="1:15" ht="15">
      <c r="A2048" s="91" t="s">
        <v>10</v>
      </c>
      <c r="B2048" s="91" t="s">
        <v>166</v>
      </c>
      <c r="C2048" s="92" t="str">
        <f ca="1">IFERROR(__xludf.DUMMYFUNCTION("filter('Back End'!C:C,'Back End'!A:A=A2048,'Back End'!B:B=B2048,'Back End'!D:D=D2048)"),"Ramanakkapeta")</f>
        <v>Ramanakkapeta</v>
      </c>
      <c r="D2048" s="91" t="s">
        <v>479</v>
      </c>
      <c r="E2048" s="91" t="s">
        <v>5627</v>
      </c>
      <c r="F2048" s="67" t="s">
        <v>3138</v>
      </c>
      <c r="G2048" s="67"/>
      <c r="H2048" s="93" t="s">
        <v>4</v>
      </c>
      <c r="I2048" s="67"/>
      <c r="J2048" s="92">
        <v>9010577501</v>
      </c>
      <c r="K2048" s="67"/>
      <c r="L2048" s="67"/>
      <c r="M2048" s="67"/>
      <c r="N2048" s="67"/>
      <c r="O2048" s="67"/>
    </row>
    <row r="2049" spans="1:15" ht="15">
      <c r="A2049" s="91" t="s">
        <v>10</v>
      </c>
      <c r="B2049" s="91" t="s">
        <v>166</v>
      </c>
      <c r="C2049" s="92" t="str">
        <f ca="1">IFERROR(__xludf.DUMMYFUNCTION("filter('Back End'!C:C,'Back End'!A:A=A2049,'Back End'!B:B=B2049,'Back End'!D:D=D2049)"),"Ramanakkapeta")</f>
        <v>Ramanakkapeta</v>
      </c>
      <c r="D2049" s="91" t="s">
        <v>479</v>
      </c>
      <c r="E2049" s="91" t="s">
        <v>5628</v>
      </c>
      <c r="F2049" s="67" t="s">
        <v>3138</v>
      </c>
      <c r="G2049" s="67"/>
      <c r="H2049" s="93" t="s">
        <v>4</v>
      </c>
      <c r="I2049" s="67"/>
      <c r="J2049" s="92">
        <v>9550523152</v>
      </c>
      <c r="K2049" s="67"/>
      <c r="L2049" s="67"/>
      <c r="M2049" s="67"/>
      <c r="N2049" s="67"/>
      <c r="O2049" s="67"/>
    </row>
    <row r="2050" spans="1:15" ht="15">
      <c r="A2050" s="91" t="s">
        <v>10</v>
      </c>
      <c r="B2050" s="91" t="s">
        <v>166</v>
      </c>
      <c r="C2050" s="92" t="str">
        <f ca="1">IFERROR(__xludf.DUMMYFUNCTION("filter('Back End'!C:C,'Back End'!A:A=A2050,'Back End'!B:B=B2050,'Back End'!D:D=D2050)"),"Ramanakkapeta")</f>
        <v>Ramanakkapeta</v>
      </c>
      <c r="D2050" s="91" t="s">
        <v>479</v>
      </c>
      <c r="E2050" s="91" t="s">
        <v>5629</v>
      </c>
      <c r="F2050" s="67" t="s">
        <v>3138</v>
      </c>
      <c r="G2050" s="67"/>
      <c r="H2050" s="93" t="s">
        <v>4</v>
      </c>
      <c r="I2050" s="92" t="s">
        <v>3125</v>
      </c>
      <c r="J2050" s="92">
        <v>9440744445</v>
      </c>
      <c r="K2050" s="67"/>
      <c r="L2050" s="67"/>
      <c r="M2050" s="67"/>
      <c r="N2050" s="67"/>
      <c r="O2050" s="67"/>
    </row>
    <row r="2051" spans="1:15" ht="15">
      <c r="A2051" s="91" t="s">
        <v>10</v>
      </c>
      <c r="B2051" s="91" t="s">
        <v>166</v>
      </c>
      <c r="C2051" s="92" t="str">
        <f ca="1">IFERROR(__xludf.DUMMYFUNCTION("filter('Back End'!C:C,'Back End'!A:A=A2051,'Back End'!B:B=B2051,'Back End'!D:D=D2051)"),"Ramanakkapeta")</f>
        <v>Ramanakkapeta</v>
      </c>
      <c r="D2051" s="91" t="s">
        <v>479</v>
      </c>
      <c r="E2051" s="91" t="s">
        <v>5630</v>
      </c>
      <c r="F2051" s="67" t="s">
        <v>3138</v>
      </c>
      <c r="G2051" s="67"/>
      <c r="H2051" s="93" t="s">
        <v>4</v>
      </c>
      <c r="I2051" s="67"/>
      <c r="J2051" s="92">
        <v>9505520139</v>
      </c>
      <c r="K2051" s="67"/>
      <c r="L2051" s="67"/>
      <c r="M2051" s="67"/>
      <c r="N2051" s="67"/>
      <c r="O2051" s="67"/>
    </row>
    <row r="2052" spans="1:15" ht="15">
      <c r="A2052" s="91" t="s">
        <v>10</v>
      </c>
      <c r="B2052" s="91" t="s">
        <v>166</v>
      </c>
      <c r="C2052" s="92" t="str">
        <f ca="1">IFERROR(__xludf.DUMMYFUNCTION("filter('Back End'!C:C,'Back End'!A:A=A2052,'Back End'!B:B=B2052,'Back End'!D:D=D2052)"),"Ramanakkapeta")</f>
        <v>Ramanakkapeta</v>
      </c>
      <c r="D2052" s="91" t="s">
        <v>479</v>
      </c>
      <c r="E2052" s="91" t="s">
        <v>5631</v>
      </c>
      <c r="F2052" s="67" t="s">
        <v>3138</v>
      </c>
      <c r="G2052" s="67"/>
      <c r="H2052" s="93" t="s">
        <v>4</v>
      </c>
      <c r="I2052" s="67"/>
      <c r="J2052" s="92">
        <v>9492222541</v>
      </c>
      <c r="K2052" s="67"/>
      <c r="L2052" s="67"/>
      <c r="M2052" s="67"/>
      <c r="N2052" s="67"/>
      <c r="O2052" s="67"/>
    </row>
    <row r="2053" spans="1:15" ht="15">
      <c r="A2053" s="91" t="s">
        <v>10</v>
      </c>
      <c r="B2053" s="91" t="s">
        <v>166</v>
      </c>
      <c r="C2053" s="92" t="str">
        <f ca="1">IFERROR(__xludf.DUMMYFUNCTION("filter('Back End'!C:C,'Back End'!A:A=A2053,'Back End'!B:B=B2053,'Back End'!D:D=D2053)"),"Uppada")</f>
        <v>Uppada</v>
      </c>
      <c r="D2053" s="91" t="s">
        <v>482</v>
      </c>
      <c r="E2053" s="91" t="s">
        <v>5632</v>
      </c>
      <c r="F2053" s="67" t="s">
        <v>3138</v>
      </c>
      <c r="G2053" s="67"/>
      <c r="H2053" s="93" t="s">
        <v>4</v>
      </c>
      <c r="I2053" s="67"/>
      <c r="J2053" s="92">
        <v>9000150997</v>
      </c>
      <c r="K2053" s="67"/>
      <c r="L2053" s="67"/>
      <c r="M2053" s="67"/>
      <c r="N2053" s="67"/>
      <c r="O2053" s="67"/>
    </row>
    <row r="2054" spans="1:15" ht="15">
      <c r="A2054" s="91" t="s">
        <v>10</v>
      </c>
      <c r="B2054" s="91" t="s">
        <v>166</v>
      </c>
      <c r="C2054" s="92" t="str">
        <f ca="1">IFERROR(__xludf.DUMMYFUNCTION("filter('Back End'!C:C,'Back End'!A:A=A2054,'Back End'!B:B=B2054,'Back End'!D:D=D2054)"),"Uppada")</f>
        <v>Uppada</v>
      </c>
      <c r="D2054" s="91" t="s">
        <v>482</v>
      </c>
      <c r="E2054" s="91" t="s">
        <v>5633</v>
      </c>
      <c r="F2054" s="67" t="s">
        <v>3138</v>
      </c>
      <c r="G2054" s="67"/>
      <c r="H2054" s="93" t="s">
        <v>4</v>
      </c>
      <c r="I2054" s="67"/>
      <c r="J2054" s="92">
        <v>9949009889</v>
      </c>
      <c r="K2054" s="67"/>
      <c r="L2054" s="67"/>
      <c r="M2054" s="67"/>
      <c r="N2054" s="67"/>
      <c r="O2054" s="67"/>
    </row>
    <row r="2055" spans="1:15" ht="15">
      <c r="A2055" s="91" t="s">
        <v>10</v>
      </c>
      <c r="B2055" s="91" t="s">
        <v>166</v>
      </c>
      <c r="C2055" s="92" t="str">
        <f ca="1">IFERROR(__xludf.DUMMYFUNCTION("filter('Back End'!C:C,'Back End'!A:A=A2055,'Back End'!B:B=B2055,'Back End'!D:D=D2055)"),"Uppada")</f>
        <v>Uppada</v>
      </c>
      <c r="D2055" s="91" t="s">
        <v>482</v>
      </c>
      <c r="E2055" s="91" t="s">
        <v>5634</v>
      </c>
      <c r="F2055" s="67" t="s">
        <v>3138</v>
      </c>
      <c r="G2055" s="67"/>
      <c r="H2055" s="93" t="s">
        <v>4</v>
      </c>
      <c r="I2055" s="67"/>
      <c r="J2055" s="92">
        <v>9963085565</v>
      </c>
      <c r="K2055" s="67"/>
      <c r="L2055" s="67"/>
      <c r="M2055" s="67"/>
      <c r="N2055" s="67"/>
      <c r="O2055" s="67"/>
    </row>
    <row r="2056" spans="1:15" ht="15">
      <c r="A2056" s="91" t="s">
        <v>10</v>
      </c>
      <c r="B2056" s="91" t="s">
        <v>166</v>
      </c>
      <c r="C2056" s="92" t="str">
        <f ca="1">IFERROR(__xludf.DUMMYFUNCTION("filter('Back End'!C:C,'Back End'!A:A=A2056,'Back End'!B:B=B2056,'Back End'!D:D=D2056)"),"Uppada")</f>
        <v>Uppada</v>
      </c>
      <c r="D2056" s="91" t="s">
        <v>482</v>
      </c>
      <c r="E2056" s="91" t="s">
        <v>5635</v>
      </c>
      <c r="F2056" s="67" t="s">
        <v>3138</v>
      </c>
      <c r="G2056" s="67"/>
      <c r="H2056" s="93" t="s">
        <v>4</v>
      </c>
      <c r="I2056" s="67"/>
      <c r="J2056" s="92">
        <v>9848271036</v>
      </c>
      <c r="K2056" s="67"/>
      <c r="L2056" s="67"/>
      <c r="M2056" s="67"/>
      <c r="N2056" s="67"/>
      <c r="O2056" s="67"/>
    </row>
    <row r="2057" spans="1:15" ht="15">
      <c r="A2057" s="91" t="s">
        <v>10</v>
      </c>
      <c r="B2057" s="91" t="s">
        <v>166</v>
      </c>
      <c r="C2057" s="92" t="str">
        <f ca="1">IFERROR(__xludf.DUMMYFUNCTION("filter('Back End'!C:C,'Back End'!A:A=A2057,'Back End'!B:B=B2057,'Back End'!D:D=D2057)"),"Uppada")</f>
        <v>Uppada</v>
      </c>
      <c r="D2057" s="91" t="s">
        <v>482</v>
      </c>
      <c r="E2057" s="91" t="s">
        <v>5636</v>
      </c>
      <c r="F2057" s="67" t="s">
        <v>3138</v>
      </c>
      <c r="G2057" s="67"/>
      <c r="H2057" s="93" t="s">
        <v>4</v>
      </c>
      <c r="I2057" s="67"/>
      <c r="J2057" s="92">
        <v>9000151011</v>
      </c>
      <c r="K2057" s="67"/>
      <c r="L2057" s="67"/>
      <c r="M2057" s="67"/>
      <c r="N2057" s="67"/>
      <c r="O2057" s="67"/>
    </row>
    <row r="2058" spans="1:15" ht="15">
      <c r="A2058" s="91" t="s">
        <v>10</v>
      </c>
      <c r="B2058" s="91" t="s">
        <v>166</v>
      </c>
      <c r="C2058" s="92" t="str">
        <f ca="1">IFERROR(__xludf.DUMMYFUNCTION("filter('Back End'!C:C,'Back End'!A:A=A2058,'Back End'!B:B=B2058,'Back End'!D:D=D2058)"),"Uppada")</f>
        <v>Uppada</v>
      </c>
      <c r="D2058" s="91" t="s">
        <v>482</v>
      </c>
      <c r="E2058" s="91" t="s">
        <v>5637</v>
      </c>
      <c r="F2058" s="67" t="s">
        <v>3138</v>
      </c>
      <c r="G2058" s="67"/>
      <c r="H2058" s="93" t="s">
        <v>4</v>
      </c>
      <c r="I2058" s="67"/>
      <c r="J2058" s="92">
        <v>6304083884</v>
      </c>
      <c r="K2058" s="67"/>
      <c r="L2058" s="67"/>
      <c r="M2058" s="67"/>
      <c r="N2058" s="67"/>
      <c r="O2058" s="67"/>
    </row>
    <row r="2059" spans="1:15" ht="15">
      <c r="A2059" s="91" t="s">
        <v>10</v>
      </c>
      <c r="B2059" s="91" t="s">
        <v>166</v>
      </c>
      <c r="C2059" s="92" t="str">
        <f ca="1">IFERROR(__xludf.DUMMYFUNCTION("filter('Back End'!C:C,'Back End'!A:A=A2059,'Back End'!B:B=B2059,'Back End'!D:D=D2059)"),"Uppada")</f>
        <v>Uppada</v>
      </c>
      <c r="D2059" s="91" t="s">
        <v>482</v>
      </c>
      <c r="E2059" s="91" t="s">
        <v>5638</v>
      </c>
      <c r="F2059" s="67" t="s">
        <v>3138</v>
      </c>
      <c r="G2059" s="67"/>
      <c r="H2059" s="93" t="s">
        <v>4</v>
      </c>
      <c r="I2059" s="67"/>
      <c r="J2059" s="92">
        <v>9908454558</v>
      </c>
      <c r="K2059" s="67"/>
      <c r="L2059" s="67"/>
      <c r="M2059" s="67"/>
      <c r="N2059" s="67"/>
      <c r="O2059" s="67"/>
    </row>
    <row r="2060" spans="1:15" ht="15">
      <c r="A2060" s="91" t="s">
        <v>10</v>
      </c>
      <c r="B2060" s="91" t="s">
        <v>166</v>
      </c>
      <c r="C2060" s="92" t="str">
        <f ca="1">IFERROR(__xludf.DUMMYFUNCTION("filter('Back End'!C:C,'Back End'!A:A=A2060,'Back End'!B:B=B2060,'Back End'!D:D=D2060)"),"Uppada")</f>
        <v>Uppada</v>
      </c>
      <c r="D2060" s="91" t="s">
        <v>482</v>
      </c>
      <c r="E2060" s="91" t="s">
        <v>5639</v>
      </c>
      <c r="F2060" s="67" t="s">
        <v>3138</v>
      </c>
      <c r="G2060" s="67"/>
      <c r="H2060" s="93" t="s">
        <v>4</v>
      </c>
      <c r="I2060" s="67"/>
      <c r="J2060" s="92">
        <v>9948103842</v>
      </c>
      <c r="K2060" s="67"/>
      <c r="L2060" s="67"/>
      <c r="M2060" s="67"/>
      <c r="N2060" s="67"/>
      <c r="O2060" s="67"/>
    </row>
    <row r="2061" spans="1:15" ht="15">
      <c r="A2061" s="91" t="s">
        <v>10</v>
      </c>
      <c r="B2061" s="91" t="s">
        <v>166</v>
      </c>
      <c r="C2061" s="92" t="str">
        <f ca="1">IFERROR(__xludf.DUMMYFUNCTION("filter('Back End'!C:C,'Back End'!A:A=A2061,'Back End'!B:B=B2061,'Back End'!D:D=D2061)"),"Uppada")</f>
        <v>Uppada</v>
      </c>
      <c r="D2061" s="91" t="s">
        <v>482</v>
      </c>
      <c r="E2061" s="91" t="s">
        <v>5640</v>
      </c>
      <c r="F2061" s="67" t="s">
        <v>3138</v>
      </c>
      <c r="G2061" s="67"/>
      <c r="H2061" s="93" t="s">
        <v>4</v>
      </c>
      <c r="I2061" s="67"/>
      <c r="J2061" s="92">
        <v>9059593539</v>
      </c>
      <c r="K2061" s="67"/>
      <c r="L2061" s="67"/>
      <c r="M2061" s="67"/>
      <c r="N2061" s="67"/>
      <c r="O2061" s="67"/>
    </row>
    <row r="2062" spans="1:15" ht="15">
      <c r="A2062" s="91" t="s">
        <v>10</v>
      </c>
      <c r="B2062" s="91" t="s">
        <v>166</v>
      </c>
      <c r="C2062" s="92" t="str">
        <f ca="1">IFERROR(__xludf.DUMMYFUNCTION("filter('Back End'!C:C,'Back End'!A:A=A2062,'Back End'!B:B=B2062,'Back End'!D:D=D2062)"),"Uppada")</f>
        <v>Uppada</v>
      </c>
      <c r="D2062" s="91" t="s">
        <v>482</v>
      </c>
      <c r="E2062" s="91" t="s">
        <v>5641</v>
      </c>
      <c r="F2062" s="67" t="s">
        <v>3138</v>
      </c>
      <c r="G2062" s="67"/>
      <c r="H2062" s="93" t="s">
        <v>4</v>
      </c>
      <c r="I2062" s="67"/>
      <c r="J2062" s="92">
        <v>7569607709</v>
      </c>
      <c r="K2062" s="67"/>
      <c r="L2062" s="67"/>
      <c r="M2062" s="67"/>
      <c r="N2062" s="67"/>
      <c r="O2062" s="67"/>
    </row>
    <row r="2063" spans="1:15" ht="15">
      <c r="A2063" s="91" t="s">
        <v>10</v>
      </c>
      <c r="B2063" s="91" t="s">
        <v>166</v>
      </c>
      <c r="C2063" s="92" t="str">
        <f ca="1">IFERROR(__xludf.DUMMYFUNCTION("filter('Back End'!C:C,'Back End'!A:A=A2063,'Back End'!B:B=B2063,'Back End'!D:D=D2063)"),"Uppada")</f>
        <v>Uppada</v>
      </c>
      <c r="D2063" s="91" t="s">
        <v>482</v>
      </c>
      <c r="E2063" s="91" t="s">
        <v>5642</v>
      </c>
      <c r="F2063" s="67" t="s">
        <v>3138</v>
      </c>
      <c r="G2063" s="67"/>
      <c r="H2063" s="93" t="s">
        <v>4</v>
      </c>
      <c r="I2063" s="92" t="s">
        <v>3125</v>
      </c>
      <c r="J2063" s="92">
        <v>9515670344</v>
      </c>
      <c r="K2063" s="67"/>
      <c r="L2063" s="67"/>
      <c r="M2063" s="67"/>
      <c r="N2063" s="67"/>
      <c r="O2063" s="67"/>
    </row>
    <row r="2064" spans="1:15" ht="15">
      <c r="A2064" s="91" t="s">
        <v>10</v>
      </c>
      <c r="B2064" s="91" t="s">
        <v>166</v>
      </c>
      <c r="C2064" s="92" t="str">
        <f ca="1">IFERROR(__xludf.DUMMYFUNCTION("filter('Back End'!C:C,'Back End'!A:A=A2064,'Back End'!B:B=B2064,'Back End'!D:D=D2064)"),"Uppada")</f>
        <v>Uppada</v>
      </c>
      <c r="D2064" s="91" t="s">
        <v>482</v>
      </c>
      <c r="E2064" s="91" t="s">
        <v>5643</v>
      </c>
      <c r="F2064" s="67" t="s">
        <v>3138</v>
      </c>
      <c r="G2064" s="67"/>
      <c r="H2064" s="93" t="s">
        <v>4</v>
      </c>
      <c r="I2064" s="67"/>
      <c r="J2064" s="92">
        <v>9912213531</v>
      </c>
      <c r="K2064" s="67"/>
      <c r="L2064" s="67"/>
      <c r="M2064" s="67"/>
      <c r="N2064" s="67"/>
      <c r="O2064" s="67"/>
    </row>
    <row r="2065" spans="1:15" ht="15">
      <c r="A2065" s="91" t="s">
        <v>10</v>
      </c>
      <c r="B2065" s="100" t="s">
        <v>166</v>
      </c>
      <c r="C2065" s="97" t="str">
        <f ca="1">IFERROR(__xludf.DUMMYFUNCTION("filter('Back End'!C:C,'Back End'!A:A=A2065,'Back End'!B:B=B2065,'Back End'!D:D=D2065)"),"Uppada")</f>
        <v>Uppada</v>
      </c>
      <c r="D2065" s="100" t="s">
        <v>482</v>
      </c>
      <c r="E2065" s="100" t="s">
        <v>5644</v>
      </c>
      <c r="F2065" s="99" t="s">
        <v>3138</v>
      </c>
      <c r="G2065" s="99"/>
      <c r="H2065" s="100" t="s">
        <v>5</v>
      </c>
      <c r="I2065" s="99"/>
      <c r="J2065" s="97">
        <v>7675000773</v>
      </c>
      <c r="K2065" s="99"/>
      <c r="L2065" s="99"/>
      <c r="M2065" s="99"/>
      <c r="N2065" s="99"/>
      <c r="O2065" s="99"/>
    </row>
    <row r="2066" spans="1:15" ht="15">
      <c r="A2066" s="101" t="s">
        <v>10</v>
      </c>
      <c r="B2066" s="93" t="s">
        <v>166</v>
      </c>
      <c r="C2066" s="102" t="str">
        <f ca="1">IFERROR(__xludf.DUMMYFUNCTION("filter('Back End'!C:C,'Back End'!A:A=A2066,'Back End'!B:B=B2066,'Back End'!D:D=D2066)"),"Uppada")</f>
        <v>Uppada</v>
      </c>
      <c r="D2066" s="93" t="s">
        <v>482</v>
      </c>
      <c r="E2066" s="93" t="s">
        <v>5645</v>
      </c>
      <c r="F2066" s="95" t="s">
        <v>3138</v>
      </c>
      <c r="G2066" s="95"/>
      <c r="H2066" s="93" t="s">
        <v>5</v>
      </c>
      <c r="I2066" s="95"/>
      <c r="J2066" s="102">
        <v>7660967969</v>
      </c>
      <c r="K2066" s="95"/>
      <c r="L2066" s="95"/>
      <c r="M2066" s="95"/>
      <c r="N2066" s="95"/>
      <c r="O2066" s="95"/>
    </row>
    <row r="2067" spans="1:15" ht="15">
      <c r="A2067" s="101" t="s">
        <v>10</v>
      </c>
      <c r="B2067" s="93" t="s">
        <v>166</v>
      </c>
      <c r="C2067" s="102" t="str">
        <f ca="1">IFERROR(__xludf.DUMMYFUNCTION("filter('Back End'!C:C,'Back End'!A:A=A2067,'Back End'!B:B=B2067,'Back End'!D:D=D2067)"),"Uppada")</f>
        <v>Uppada</v>
      </c>
      <c r="D2067" s="93" t="s">
        <v>482</v>
      </c>
      <c r="E2067" s="93" t="s">
        <v>5646</v>
      </c>
      <c r="F2067" s="95" t="s">
        <v>3138</v>
      </c>
      <c r="G2067" s="95"/>
      <c r="H2067" s="93" t="s">
        <v>5</v>
      </c>
      <c r="I2067" s="95"/>
      <c r="J2067" s="102">
        <v>9618088445</v>
      </c>
      <c r="K2067" s="95"/>
      <c r="L2067" s="95"/>
      <c r="M2067" s="95"/>
      <c r="N2067" s="95"/>
      <c r="O2067" s="95"/>
    </row>
    <row r="2068" spans="1:15" ht="15">
      <c r="A2068" s="91" t="s">
        <v>10</v>
      </c>
      <c r="B2068" s="100" t="s">
        <v>166</v>
      </c>
      <c r="C2068" s="97" t="str">
        <f ca="1">IFERROR(__xludf.DUMMYFUNCTION("filter('Back End'!C:C,'Back End'!A:A=A2068,'Back End'!B:B=B2068,'Back End'!D:D=D2068)"),"Uppada")</f>
        <v>Uppada</v>
      </c>
      <c r="D2068" s="100" t="s">
        <v>482</v>
      </c>
      <c r="E2068" s="100" t="s">
        <v>5647</v>
      </c>
      <c r="F2068" s="100" t="s">
        <v>225</v>
      </c>
      <c r="G2068" s="100" t="s">
        <v>615</v>
      </c>
      <c r="H2068" s="100" t="s">
        <v>5</v>
      </c>
      <c r="I2068" s="99"/>
      <c r="J2068" s="97">
        <v>9951789499</v>
      </c>
      <c r="K2068" s="99"/>
      <c r="L2068" s="99"/>
      <c r="M2068" s="99"/>
      <c r="N2068" s="99"/>
      <c r="O2068" s="99"/>
    </row>
    <row r="2069" spans="1:15" ht="15">
      <c r="A2069" s="101" t="s">
        <v>10</v>
      </c>
      <c r="B2069" s="93" t="s">
        <v>166</v>
      </c>
      <c r="C2069" s="102" t="str">
        <f ca="1">IFERROR(__xludf.DUMMYFUNCTION("filter('Back End'!C:C,'Back End'!A:A=A2069,'Back End'!B:B=B2069,'Back End'!D:D=D2069)"),"Uppada")</f>
        <v>Uppada</v>
      </c>
      <c r="D2069" s="93" t="s">
        <v>482</v>
      </c>
      <c r="E2069" s="93" t="s">
        <v>5648</v>
      </c>
      <c r="F2069" s="93" t="s">
        <v>288</v>
      </c>
      <c r="G2069" s="93" t="s">
        <v>615</v>
      </c>
      <c r="H2069" s="93" t="s">
        <v>5</v>
      </c>
      <c r="I2069" s="95"/>
      <c r="J2069" s="102">
        <v>7036073273</v>
      </c>
      <c r="K2069" s="95"/>
      <c r="L2069" s="95"/>
      <c r="M2069" s="95"/>
      <c r="N2069" s="95"/>
      <c r="O2069" s="95"/>
    </row>
    <row r="2070" spans="1:15" ht="15">
      <c r="A2070" s="101" t="s">
        <v>10</v>
      </c>
      <c r="B2070" s="93" t="s">
        <v>166</v>
      </c>
      <c r="C2070" s="102" t="str">
        <f ca="1">IFERROR(__xludf.DUMMYFUNCTION("filter('Back End'!C:C,'Back End'!A:A=A2070,'Back End'!B:B=B2070,'Back End'!D:D=D2070)"),"Uppada")</f>
        <v>Uppada</v>
      </c>
      <c r="D2070" s="93" t="s">
        <v>482</v>
      </c>
      <c r="E2070" s="93" t="s">
        <v>5649</v>
      </c>
      <c r="F2070" s="93" t="s">
        <v>288</v>
      </c>
      <c r="G2070" s="93" t="s">
        <v>615</v>
      </c>
      <c r="H2070" s="93" t="s">
        <v>5</v>
      </c>
      <c r="I2070" s="95"/>
      <c r="J2070" s="102">
        <v>9989961681</v>
      </c>
      <c r="K2070" s="95"/>
      <c r="L2070" s="95"/>
      <c r="M2070" s="95"/>
      <c r="N2070" s="95"/>
      <c r="O2070" s="95"/>
    </row>
    <row r="2071" spans="1:15" ht="15">
      <c r="A2071" s="101" t="s">
        <v>10</v>
      </c>
      <c r="B2071" s="93" t="s">
        <v>166</v>
      </c>
      <c r="C2071" s="102" t="str">
        <f ca="1">IFERROR(__xludf.DUMMYFUNCTION("filter('Back End'!C:C,'Back End'!A:A=A2071,'Back End'!B:B=B2071,'Back End'!D:D=D2071)"),"Uppada")</f>
        <v>Uppada</v>
      </c>
      <c r="D2071" s="93" t="s">
        <v>482</v>
      </c>
      <c r="E2071" s="93" t="s">
        <v>5650</v>
      </c>
      <c r="F2071" s="93" t="s">
        <v>225</v>
      </c>
      <c r="G2071" s="93" t="s">
        <v>615</v>
      </c>
      <c r="H2071" s="93" t="s">
        <v>5</v>
      </c>
      <c r="I2071" s="95"/>
      <c r="J2071" s="102">
        <v>9848120348</v>
      </c>
      <c r="K2071" s="95"/>
      <c r="L2071" s="95"/>
      <c r="M2071" s="95"/>
      <c r="N2071" s="95"/>
      <c r="O2071" s="95"/>
    </row>
    <row r="2072" spans="1:15" ht="15">
      <c r="A2072" s="101" t="s">
        <v>10</v>
      </c>
      <c r="B2072" s="93" t="s">
        <v>166</v>
      </c>
      <c r="C2072" s="102" t="str">
        <f ca="1">IFERROR(__xludf.DUMMYFUNCTION("filter('Back End'!C:C,'Back End'!A:A=A2072,'Back End'!B:B=B2072,'Back End'!D:D=D2072)"),"Uppada")</f>
        <v>Uppada</v>
      </c>
      <c r="D2072" s="93" t="s">
        <v>482</v>
      </c>
      <c r="E2072" s="93" t="s">
        <v>5651</v>
      </c>
      <c r="F2072" s="95" t="s">
        <v>3138</v>
      </c>
      <c r="G2072" s="95"/>
      <c r="H2072" s="93" t="s">
        <v>5</v>
      </c>
      <c r="I2072" s="95"/>
      <c r="J2072" s="102">
        <v>9247371752</v>
      </c>
      <c r="K2072" s="95"/>
      <c r="L2072" s="95"/>
      <c r="M2072" s="95"/>
      <c r="N2072" s="95"/>
      <c r="O2072" s="95"/>
    </row>
    <row r="2073" spans="1:15" ht="15">
      <c r="A2073" s="101" t="s">
        <v>10</v>
      </c>
      <c r="B2073" s="93" t="s">
        <v>166</v>
      </c>
      <c r="C2073" s="102" t="str">
        <f ca="1">IFERROR(__xludf.DUMMYFUNCTION("filter('Back End'!C:C,'Back End'!A:A=A2073,'Back End'!B:B=B2073,'Back End'!D:D=D2073)"),"Uppada")</f>
        <v>Uppada</v>
      </c>
      <c r="D2073" s="93" t="s">
        <v>482</v>
      </c>
      <c r="E2073" s="93" t="s">
        <v>5652</v>
      </c>
      <c r="F2073" s="93" t="s">
        <v>288</v>
      </c>
      <c r="G2073" s="93" t="s">
        <v>615</v>
      </c>
      <c r="H2073" s="93" t="s">
        <v>5</v>
      </c>
      <c r="I2073" s="95"/>
      <c r="J2073" s="102">
        <v>7075124033</v>
      </c>
      <c r="K2073" s="95"/>
      <c r="L2073" s="95"/>
      <c r="M2073" s="95"/>
      <c r="N2073" s="95"/>
      <c r="O2073" s="95"/>
    </row>
    <row r="2074" spans="1:15" ht="15">
      <c r="A2074" s="101" t="s">
        <v>10</v>
      </c>
      <c r="B2074" s="93" t="s">
        <v>166</v>
      </c>
      <c r="C2074" s="102" t="str">
        <f ca="1">IFERROR(__xludf.DUMMYFUNCTION("filter('Back End'!C:C,'Back End'!A:A=A2074,'Back End'!B:B=B2074,'Back End'!D:D=D2074)"),"Uppada")</f>
        <v>Uppada</v>
      </c>
      <c r="D2074" s="93" t="s">
        <v>482</v>
      </c>
      <c r="E2074" s="93" t="s">
        <v>5653</v>
      </c>
      <c r="F2074" s="93" t="s">
        <v>288</v>
      </c>
      <c r="G2074" s="93" t="s">
        <v>615</v>
      </c>
      <c r="H2074" s="93" t="s">
        <v>5</v>
      </c>
      <c r="I2074" s="95"/>
      <c r="J2074" s="102">
        <v>7075559874</v>
      </c>
      <c r="K2074" s="95"/>
      <c r="L2074" s="95"/>
      <c r="M2074" s="95"/>
      <c r="N2074" s="95"/>
      <c r="O2074" s="95"/>
    </row>
    <row r="2075" spans="1:15" ht="15">
      <c r="A2075" s="101" t="s">
        <v>10</v>
      </c>
      <c r="B2075" s="93" t="s">
        <v>166</v>
      </c>
      <c r="C2075" s="102" t="str">
        <f ca="1">IFERROR(__xludf.DUMMYFUNCTION("filter('Back End'!C:C,'Back End'!A:A=A2075,'Back End'!B:B=B2075,'Back End'!D:D=D2075)"),"Uppada")</f>
        <v>Uppada</v>
      </c>
      <c r="D2075" s="93" t="s">
        <v>482</v>
      </c>
      <c r="E2075" s="93" t="s">
        <v>5654</v>
      </c>
      <c r="F2075" s="93" t="s">
        <v>288</v>
      </c>
      <c r="G2075" s="93" t="s">
        <v>615</v>
      </c>
      <c r="H2075" s="93" t="s">
        <v>5</v>
      </c>
      <c r="I2075" s="95"/>
      <c r="J2075" s="102">
        <v>7075252457</v>
      </c>
      <c r="K2075" s="95"/>
      <c r="L2075" s="95"/>
      <c r="M2075" s="95"/>
      <c r="N2075" s="95"/>
      <c r="O2075" s="95"/>
    </row>
    <row r="2076" spans="1:15" ht="15">
      <c r="A2076" s="101" t="s">
        <v>10</v>
      </c>
      <c r="B2076" s="93" t="s">
        <v>166</v>
      </c>
      <c r="C2076" s="102" t="str">
        <f ca="1">IFERROR(__xludf.DUMMYFUNCTION("filter('Back End'!C:C,'Back End'!A:A=A2076,'Back End'!B:B=B2076,'Back End'!D:D=D2076)"),"Uppada")</f>
        <v>Uppada</v>
      </c>
      <c r="D2076" s="93" t="s">
        <v>482</v>
      </c>
      <c r="E2076" s="93" t="s">
        <v>5655</v>
      </c>
      <c r="F2076" s="95" t="s">
        <v>3138</v>
      </c>
      <c r="G2076" s="95"/>
      <c r="H2076" s="93" t="s">
        <v>5</v>
      </c>
      <c r="I2076" s="95"/>
      <c r="J2076" s="102">
        <v>9908913062</v>
      </c>
      <c r="K2076" s="95"/>
      <c r="L2076" s="95"/>
      <c r="M2076" s="95"/>
      <c r="N2076" s="95"/>
      <c r="O2076" s="95"/>
    </row>
    <row r="2077" spans="1:15" ht="15">
      <c r="A2077" s="101" t="s">
        <v>10</v>
      </c>
      <c r="B2077" s="93" t="s">
        <v>166</v>
      </c>
      <c r="C2077" s="102" t="str">
        <f ca="1">IFERROR(__xludf.DUMMYFUNCTION("filter('Back End'!C:C,'Back End'!A:A=A2077,'Back End'!B:B=B2077,'Back End'!D:D=D2077)"),"Uppada")</f>
        <v>Uppada</v>
      </c>
      <c r="D2077" s="93" t="s">
        <v>482</v>
      </c>
      <c r="E2077" s="93" t="s">
        <v>5656</v>
      </c>
      <c r="F2077" s="93" t="s">
        <v>288</v>
      </c>
      <c r="G2077" s="93" t="s">
        <v>615</v>
      </c>
      <c r="H2077" s="93" t="s">
        <v>5</v>
      </c>
      <c r="I2077" s="95"/>
      <c r="J2077" s="102">
        <v>9912203379</v>
      </c>
      <c r="K2077" s="95"/>
      <c r="L2077" s="95"/>
      <c r="M2077" s="95"/>
      <c r="N2077" s="95"/>
      <c r="O2077" s="95"/>
    </row>
    <row r="2078" spans="1:15" ht="15">
      <c r="A2078" s="101" t="s">
        <v>10</v>
      </c>
      <c r="B2078" s="93" t="s">
        <v>166</v>
      </c>
      <c r="C2078" s="102" t="str">
        <f ca="1">IFERROR(__xludf.DUMMYFUNCTION("filter('Back End'!C:C,'Back End'!A:A=A2078,'Back End'!B:B=B2078,'Back End'!D:D=D2078)"),"Uppada")</f>
        <v>Uppada</v>
      </c>
      <c r="D2078" s="93" t="s">
        <v>482</v>
      </c>
      <c r="E2078" s="93" t="s">
        <v>5657</v>
      </c>
      <c r="F2078" s="93" t="s">
        <v>368</v>
      </c>
      <c r="G2078" s="93" t="s">
        <v>594</v>
      </c>
      <c r="H2078" s="93" t="s">
        <v>5</v>
      </c>
      <c r="I2078" s="95"/>
      <c r="J2078" s="102">
        <v>9573926934</v>
      </c>
      <c r="K2078" s="95"/>
      <c r="L2078" s="95"/>
      <c r="M2078" s="95"/>
      <c r="N2078" s="95"/>
      <c r="O2078" s="95"/>
    </row>
    <row r="2079" spans="1:15" ht="15">
      <c r="A2079" s="101" t="s">
        <v>10</v>
      </c>
      <c r="B2079" s="93" t="s">
        <v>166</v>
      </c>
      <c r="C2079" s="102" t="str">
        <f ca="1">IFERROR(__xludf.DUMMYFUNCTION("filter('Back End'!C:C,'Back End'!A:A=A2079,'Back End'!B:B=B2079,'Back End'!D:D=D2079)"),"Uppada")</f>
        <v>Uppada</v>
      </c>
      <c r="D2079" s="93" t="s">
        <v>482</v>
      </c>
      <c r="E2079" s="93" t="s">
        <v>5658</v>
      </c>
      <c r="F2079" s="93" t="s">
        <v>288</v>
      </c>
      <c r="G2079" s="93" t="s">
        <v>615</v>
      </c>
      <c r="H2079" s="93" t="s">
        <v>5</v>
      </c>
      <c r="I2079" s="95"/>
      <c r="J2079" s="95"/>
      <c r="K2079" s="95"/>
      <c r="L2079" s="95"/>
      <c r="M2079" s="95"/>
      <c r="N2079" s="95"/>
      <c r="O2079" s="95"/>
    </row>
    <row r="2080" spans="1:15" ht="15">
      <c r="A2080" s="101" t="s">
        <v>10</v>
      </c>
      <c r="B2080" s="93" t="s">
        <v>166</v>
      </c>
      <c r="C2080" s="102" t="str">
        <f ca="1">IFERROR(__xludf.DUMMYFUNCTION("filter('Back End'!C:C,'Back End'!A:A=A2080,'Back End'!B:B=B2080,'Back End'!D:D=D2080)"),"Uppada")</f>
        <v>Uppada</v>
      </c>
      <c r="D2080" s="93" t="s">
        <v>482</v>
      </c>
      <c r="E2080" s="93" t="s">
        <v>5659</v>
      </c>
      <c r="F2080" s="93" t="s">
        <v>288</v>
      </c>
      <c r="G2080" s="93" t="s">
        <v>615</v>
      </c>
      <c r="H2080" s="93" t="s">
        <v>5</v>
      </c>
      <c r="I2080" s="95"/>
      <c r="J2080" s="95"/>
      <c r="K2080" s="95"/>
      <c r="L2080" s="95"/>
      <c r="M2080" s="95"/>
      <c r="N2080" s="95"/>
      <c r="O2080" s="95"/>
    </row>
    <row r="2081" spans="1:15" ht="15">
      <c r="A2081" s="101" t="s">
        <v>10</v>
      </c>
      <c r="B2081" s="93" t="s">
        <v>166</v>
      </c>
      <c r="C2081" s="102" t="str">
        <f ca="1">IFERROR(__xludf.DUMMYFUNCTION("filter('Back End'!C:C,'Back End'!A:A=A2081,'Back End'!B:B=B2081,'Back End'!D:D=D2081)"),"Uppada")</f>
        <v>Uppada</v>
      </c>
      <c r="D2081" s="93" t="s">
        <v>482</v>
      </c>
      <c r="E2081" s="93" t="s">
        <v>5660</v>
      </c>
      <c r="F2081" s="93" t="s">
        <v>288</v>
      </c>
      <c r="G2081" s="93" t="s">
        <v>615</v>
      </c>
      <c r="H2081" s="93" t="s">
        <v>5</v>
      </c>
      <c r="I2081" s="95"/>
      <c r="J2081" s="95"/>
      <c r="K2081" s="95"/>
      <c r="L2081" s="95"/>
      <c r="M2081" s="95"/>
      <c r="N2081" s="95"/>
      <c r="O2081" s="95"/>
    </row>
    <row r="2082" spans="1:15" ht="15">
      <c r="A2082" s="101" t="s">
        <v>10</v>
      </c>
      <c r="B2082" s="93" t="s">
        <v>166</v>
      </c>
      <c r="C2082" s="102" t="str">
        <f ca="1">IFERROR(__xludf.DUMMYFUNCTION("filter('Back End'!C:C,'Back End'!A:A=A2082,'Back End'!B:B=B2082,'Back End'!D:D=D2082)"),"Uppada")</f>
        <v>Uppada</v>
      </c>
      <c r="D2082" s="93" t="s">
        <v>482</v>
      </c>
      <c r="E2082" s="93" t="s">
        <v>5661</v>
      </c>
      <c r="F2082" s="93" t="s">
        <v>288</v>
      </c>
      <c r="G2082" s="93" t="s">
        <v>615</v>
      </c>
      <c r="H2082" s="93" t="s">
        <v>4</v>
      </c>
      <c r="I2082" s="95"/>
      <c r="J2082" s="95"/>
      <c r="K2082" s="95"/>
      <c r="L2082" s="95"/>
      <c r="M2082" s="95"/>
      <c r="N2082" s="95"/>
      <c r="O2082" s="95"/>
    </row>
    <row r="2083" spans="1:15" ht="15">
      <c r="A2083" s="101" t="s">
        <v>10</v>
      </c>
      <c r="B2083" s="93" t="s">
        <v>166</v>
      </c>
      <c r="C2083" s="102" t="str">
        <f ca="1">IFERROR(__xludf.DUMMYFUNCTION("filter('Back End'!C:C,'Back End'!A:A=A2083,'Back End'!B:B=B2083,'Back End'!D:D=D2083)"),"Uppada")</f>
        <v>Uppada</v>
      </c>
      <c r="D2083" s="93" t="s">
        <v>482</v>
      </c>
      <c r="E2083" s="93" t="s">
        <v>5662</v>
      </c>
      <c r="F2083" s="93" t="s">
        <v>288</v>
      </c>
      <c r="G2083" s="93" t="s">
        <v>615</v>
      </c>
      <c r="H2083" s="93" t="s">
        <v>4</v>
      </c>
      <c r="I2083" s="95"/>
      <c r="J2083" s="95"/>
      <c r="K2083" s="95"/>
      <c r="L2083" s="95"/>
      <c r="M2083" s="95"/>
      <c r="N2083" s="95"/>
      <c r="O2083" s="95"/>
    </row>
    <row r="2084" spans="1:15" ht="15">
      <c r="A2084" s="101" t="s">
        <v>10</v>
      </c>
      <c r="B2084" s="93" t="s">
        <v>166</v>
      </c>
      <c r="C2084" s="102" t="str">
        <f ca="1">IFERROR(__xludf.DUMMYFUNCTION("filter('Back End'!C:C,'Back End'!A:A=A2084,'Back End'!B:B=B2084,'Back End'!D:D=D2084)"),"Uppada")</f>
        <v>Uppada</v>
      </c>
      <c r="D2084" s="93" t="s">
        <v>482</v>
      </c>
      <c r="E2084" s="93" t="s">
        <v>5663</v>
      </c>
      <c r="F2084" s="93" t="s">
        <v>288</v>
      </c>
      <c r="G2084" s="93" t="s">
        <v>615</v>
      </c>
      <c r="H2084" s="93" t="s">
        <v>4</v>
      </c>
      <c r="I2084" s="95"/>
      <c r="J2084" s="95"/>
      <c r="K2084" s="95"/>
      <c r="L2084" s="95"/>
      <c r="M2084" s="95"/>
      <c r="N2084" s="95"/>
      <c r="O2084" s="95"/>
    </row>
    <row r="2085" spans="1:15" ht="15">
      <c r="A2085" s="101" t="s">
        <v>10</v>
      </c>
      <c r="B2085" s="93" t="s">
        <v>166</v>
      </c>
      <c r="C2085" s="102" t="str">
        <f ca="1">IFERROR(__xludf.DUMMYFUNCTION("filter('Back End'!C:C,'Back End'!A:A=A2085,'Back End'!B:B=B2085,'Back End'!D:D=D2085)"),"Uppada")</f>
        <v>Uppada</v>
      </c>
      <c r="D2085" s="93" t="s">
        <v>482</v>
      </c>
      <c r="E2085" s="93" t="s">
        <v>5664</v>
      </c>
      <c r="F2085" s="93" t="s">
        <v>288</v>
      </c>
      <c r="G2085" s="93" t="s">
        <v>615</v>
      </c>
      <c r="H2085" s="93" t="s">
        <v>6</v>
      </c>
      <c r="I2085" s="95"/>
      <c r="J2085" s="95"/>
      <c r="K2085" s="95"/>
      <c r="L2085" s="95"/>
      <c r="M2085" s="95"/>
      <c r="N2085" s="95"/>
      <c r="O2085" s="95"/>
    </row>
    <row r="2086" spans="1:15" ht="15">
      <c r="A2086" s="101" t="s">
        <v>10</v>
      </c>
      <c r="B2086" s="93" t="s">
        <v>166</v>
      </c>
      <c r="C2086" s="102" t="str">
        <f ca="1">IFERROR(__xludf.DUMMYFUNCTION("filter('Back End'!C:C,'Back End'!A:A=A2086,'Back End'!B:B=B2086,'Back End'!D:D=D2086)"),"Uppada")</f>
        <v>Uppada</v>
      </c>
      <c r="D2086" s="93" t="s">
        <v>482</v>
      </c>
      <c r="E2086" s="93" t="s">
        <v>3269</v>
      </c>
      <c r="F2086" s="93" t="s">
        <v>288</v>
      </c>
      <c r="G2086" s="93" t="s">
        <v>615</v>
      </c>
      <c r="H2086" s="93" t="s">
        <v>4</v>
      </c>
      <c r="I2086" s="95" t="s">
        <v>3495</v>
      </c>
      <c r="J2086" s="95"/>
      <c r="K2086" s="95"/>
      <c r="L2086" s="95"/>
      <c r="M2086" s="95"/>
      <c r="N2086" s="95"/>
      <c r="O2086" s="95"/>
    </row>
    <row r="2087" spans="1:15" ht="15">
      <c r="A2087" s="101" t="s">
        <v>10</v>
      </c>
      <c r="B2087" s="93" t="s">
        <v>166</v>
      </c>
      <c r="C2087" s="102" t="str">
        <f ca="1">IFERROR(__xludf.DUMMYFUNCTION("filter('Back End'!C:C,'Back End'!A:A=A2087,'Back End'!B:B=B2087,'Back End'!D:D=D2087)"),"Uppada")</f>
        <v>Uppada</v>
      </c>
      <c r="D2087" s="93" t="s">
        <v>482</v>
      </c>
      <c r="E2087" s="93" t="s">
        <v>5665</v>
      </c>
      <c r="F2087" s="93" t="s">
        <v>288</v>
      </c>
      <c r="G2087" s="93" t="s">
        <v>615</v>
      </c>
      <c r="H2087" s="93" t="s">
        <v>4</v>
      </c>
      <c r="I2087" s="95" t="s">
        <v>3495</v>
      </c>
      <c r="J2087" s="95"/>
      <c r="K2087" s="95"/>
      <c r="L2087" s="95"/>
      <c r="M2087" s="95"/>
      <c r="N2087" s="95"/>
      <c r="O2087" s="95"/>
    </row>
    <row r="2088" spans="1:15" ht="15">
      <c r="A2088" s="101" t="s">
        <v>10</v>
      </c>
      <c r="B2088" s="93" t="s">
        <v>166</v>
      </c>
      <c r="C2088" s="102" t="str">
        <f ca="1">IFERROR(__xludf.DUMMYFUNCTION("filter('Back End'!C:C,'Back End'!A:A=A2088,'Back End'!B:B=B2088,'Back End'!D:D=D2088)"),"Uppada")</f>
        <v>Uppada</v>
      </c>
      <c r="D2088" s="93" t="s">
        <v>482</v>
      </c>
      <c r="E2088" s="93" t="s">
        <v>5666</v>
      </c>
      <c r="F2088" s="93" t="s">
        <v>288</v>
      </c>
      <c r="G2088" s="93" t="s">
        <v>615</v>
      </c>
      <c r="H2088" s="93" t="s">
        <v>4</v>
      </c>
      <c r="I2088" s="95" t="s">
        <v>3495</v>
      </c>
      <c r="J2088" s="95"/>
      <c r="K2088" s="95"/>
      <c r="L2088" s="95"/>
      <c r="M2088" s="95"/>
      <c r="N2088" s="95"/>
      <c r="O2088" s="95"/>
    </row>
    <row r="2089" spans="1:15" ht="15">
      <c r="A2089" s="101" t="s">
        <v>10</v>
      </c>
      <c r="B2089" s="93" t="s">
        <v>166</v>
      </c>
      <c r="C2089" s="102" t="str">
        <f ca="1">IFERROR(__xludf.DUMMYFUNCTION("filter('Back End'!C:C,'Back End'!A:A=A2089,'Back End'!B:B=B2089,'Back End'!D:D=D2089)"),"Uppada")</f>
        <v>Uppada</v>
      </c>
      <c r="D2089" s="93" t="s">
        <v>482</v>
      </c>
      <c r="E2089" s="93" t="s">
        <v>5667</v>
      </c>
      <c r="F2089" s="93" t="s">
        <v>288</v>
      </c>
      <c r="G2089" s="93" t="s">
        <v>615</v>
      </c>
      <c r="H2089" s="93" t="s">
        <v>4</v>
      </c>
      <c r="I2089" s="95" t="s">
        <v>3495</v>
      </c>
      <c r="J2089" s="95"/>
      <c r="K2089" s="95"/>
      <c r="L2089" s="95"/>
      <c r="M2089" s="95"/>
      <c r="N2089" s="95"/>
      <c r="O2089" s="95"/>
    </row>
    <row r="2090" spans="1:15" ht="15">
      <c r="A2090" s="101" t="s">
        <v>10</v>
      </c>
      <c r="B2090" s="93" t="s">
        <v>166</v>
      </c>
      <c r="C2090" s="102" t="str">
        <f ca="1">IFERROR(__xludf.DUMMYFUNCTION("filter('Back End'!C:C,'Back End'!A:A=A2090,'Back End'!B:B=B2090,'Back End'!D:D=D2090)"),"Uppada")</f>
        <v>Uppada</v>
      </c>
      <c r="D2090" s="93" t="s">
        <v>482</v>
      </c>
      <c r="E2090" s="93" t="s">
        <v>5668</v>
      </c>
      <c r="F2090" s="93" t="s">
        <v>288</v>
      </c>
      <c r="G2090" s="93" t="s">
        <v>615</v>
      </c>
      <c r="H2090" s="93" t="s">
        <v>5</v>
      </c>
      <c r="I2090" s="95" t="s">
        <v>3495</v>
      </c>
      <c r="J2090" s="95"/>
      <c r="K2090" s="95"/>
      <c r="L2090" s="95"/>
      <c r="M2090" s="95"/>
      <c r="N2090" s="95"/>
      <c r="O2090" s="95"/>
    </row>
    <row r="2091" spans="1:15" ht="15">
      <c r="A2091" s="101" t="s">
        <v>10</v>
      </c>
      <c r="B2091" s="93" t="s">
        <v>166</v>
      </c>
      <c r="C2091" s="102" t="str">
        <f ca="1">IFERROR(__xludf.DUMMYFUNCTION("filter('Back End'!C:C,'Back End'!A:A=A2091,'Back End'!B:B=B2091,'Back End'!D:D=D2091)"),"Uppada")</f>
        <v>Uppada</v>
      </c>
      <c r="D2091" s="93" t="s">
        <v>482</v>
      </c>
      <c r="E2091" s="93" t="s">
        <v>5669</v>
      </c>
      <c r="F2091" s="93" t="s">
        <v>288</v>
      </c>
      <c r="G2091" s="93" t="s">
        <v>615</v>
      </c>
      <c r="H2091" s="93" t="s">
        <v>5</v>
      </c>
      <c r="I2091" s="95" t="s">
        <v>3185</v>
      </c>
      <c r="J2091" s="95"/>
      <c r="K2091" s="95"/>
      <c r="L2091" s="95"/>
      <c r="M2091" s="95"/>
      <c r="N2091" s="95"/>
      <c r="O2091" s="95"/>
    </row>
    <row r="2092" spans="1:15" ht="15">
      <c r="A2092" s="101" t="s">
        <v>10</v>
      </c>
      <c r="B2092" s="93" t="s">
        <v>166</v>
      </c>
      <c r="C2092" s="102" t="str">
        <f ca="1">IFERROR(__xludf.DUMMYFUNCTION("filter('Back End'!C:C,'Back End'!A:A=A2092,'Back End'!B:B=B2092,'Back End'!D:D=D2092)"),"Uppada")</f>
        <v>Uppada</v>
      </c>
      <c r="D2092" s="93" t="s">
        <v>482</v>
      </c>
      <c r="E2092" s="93" t="s">
        <v>5670</v>
      </c>
      <c r="F2092" s="93" t="s">
        <v>288</v>
      </c>
      <c r="G2092" s="93" t="s">
        <v>615</v>
      </c>
      <c r="H2092" s="93" t="s">
        <v>5</v>
      </c>
      <c r="I2092" s="95" t="s">
        <v>3495</v>
      </c>
      <c r="J2092" s="95"/>
      <c r="K2092" s="95"/>
      <c r="L2092" s="95"/>
      <c r="M2092" s="95"/>
      <c r="N2092" s="95"/>
      <c r="O2092" s="95"/>
    </row>
    <row r="2093" spans="1:15" ht="15">
      <c r="A2093" s="91" t="s">
        <v>10</v>
      </c>
      <c r="B2093" s="91" t="s">
        <v>166</v>
      </c>
      <c r="C2093" s="92" t="str">
        <f ca="1">IFERROR(__xludf.DUMMYFUNCTION("filter('Back End'!C:C,'Back End'!A:A=A2093,'Back End'!B:B=B2093,'Back End'!D:D=D2093)"),"Yendapalle")</f>
        <v>Yendapalle</v>
      </c>
      <c r="D2093" s="91" t="s">
        <v>487</v>
      </c>
      <c r="E2093" s="91" t="s">
        <v>5671</v>
      </c>
      <c r="F2093" s="67" t="s">
        <v>3138</v>
      </c>
      <c r="G2093" s="67"/>
      <c r="H2093" s="93" t="s">
        <v>4</v>
      </c>
      <c r="I2093" s="67"/>
      <c r="J2093" s="92">
        <v>8341880336</v>
      </c>
      <c r="K2093" s="67"/>
      <c r="L2093" s="67"/>
      <c r="M2093" s="67"/>
      <c r="N2093" s="67"/>
      <c r="O2093" s="67"/>
    </row>
    <row r="2094" spans="1:15" ht="15">
      <c r="A2094" s="91" t="s">
        <v>10</v>
      </c>
      <c r="B2094" s="91" t="s">
        <v>166</v>
      </c>
      <c r="C2094" s="92" t="str">
        <f ca="1">IFERROR(__xludf.DUMMYFUNCTION("filter('Back End'!C:C,'Back End'!A:A=A2094,'Back End'!B:B=B2094,'Back End'!D:D=D2094)"),"Yendapalle")</f>
        <v>Yendapalle</v>
      </c>
      <c r="D2094" s="91" t="s">
        <v>487</v>
      </c>
      <c r="E2094" s="91" t="s">
        <v>5672</v>
      </c>
      <c r="F2094" s="67" t="s">
        <v>3138</v>
      </c>
      <c r="G2094" s="67"/>
      <c r="H2094" s="93" t="s">
        <v>4</v>
      </c>
      <c r="I2094" s="67"/>
      <c r="J2094" s="92">
        <v>9966786069</v>
      </c>
      <c r="K2094" s="67"/>
      <c r="L2094" s="67"/>
      <c r="M2094" s="67"/>
      <c r="N2094" s="67"/>
      <c r="O2094" s="67"/>
    </row>
    <row r="2095" spans="1:15" ht="15">
      <c r="A2095" s="91" t="s">
        <v>10</v>
      </c>
      <c r="B2095" s="91" t="s">
        <v>166</v>
      </c>
      <c r="C2095" s="92" t="str">
        <f ca="1">IFERROR(__xludf.DUMMYFUNCTION("filter('Back End'!C:C,'Back End'!A:A=A2095,'Back End'!B:B=B2095,'Back End'!D:D=D2095)"),"Yendapalle")</f>
        <v>Yendapalle</v>
      </c>
      <c r="D2095" s="91" t="s">
        <v>487</v>
      </c>
      <c r="E2095" s="91" t="s">
        <v>5673</v>
      </c>
      <c r="F2095" s="67" t="s">
        <v>3138</v>
      </c>
      <c r="G2095" s="67"/>
      <c r="H2095" s="93" t="s">
        <v>4</v>
      </c>
      <c r="I2095" s="67"/>
      <c r="J2095" s="92">
        <v>7989189468</v>
      </c>
      <c r="K2095" s="67"/>
      <c r="L2095" s="67"/>
      <c r="M2095" s="67"/>
      <c r="N2095" s="67"/>
      <c r="O2095" s="67"/>
    </row>
    <row r="2096" spans="1:15" ht="15">
      <c r="A2096" s="91" t="s">
        <v>10</v>
      </c>
      <c r="B2096" s="91" t="s">
        <v>166</v>
      </c>
      <c r="C2096" s="92" t="str">
        <f ca="1">IFERROR(__xludf.DUMMYFUNCTION("filter('Back End'!C:C,'Back End'!A:A=A2096,'Back End'!B:B=B2096,'Back End'!D:D=D2096)"),"Yendapalle")</f>
        <v>Yendapalle</v>
      </c>
      <c r="D2096" s="91" t="s">
        <v>487</v>
      </c>
      <c r="E2096" s="91" t="s">
        <v>5674</v>
      </c>
      <c r="F2096" s="67" t="s">
        <v>3138</v>
      </c>
      <c r="G2096" s="67"/>
      <c r="H2096" s="93" t="s">
        <v>4</v>
      </c>
      <c r="I2096" s="67"/>
      <c r="J2096" s="92">
        <v>8341434817</v>
      </c>
      <c r="K2096" s="67"/>
      <c r="L2096" s="67"/>
      <c r="M2096" s="67"/>
      <c r="N2096" s="67"/>
      <c r="O2096" s="67"/>
    </row>
    <row r="2097" spans="1:15" ht="15">
      <c r="A2097" s="91" t="s">
        <v>10</v>
      </c>
      <c r="B2097" s="91" t="s">
        <v>166</v>
      </c>
      <c r="C2097" s="92" t="str">
        <f ca="1">IFERROR(__xludf.DUMMYFUNCTION("filter('Back End'!C:C,'Back End'!A:A=A2097,'Back End'!B:B=B2097,'Back End'!D:D=D2097)"),"Yendapalle")</f>
        <v>Yendapalle</v>
      </c>
      <c r="D2097" s="91" t="s">
        <v>487</v>
      </c>
      <c r="E2097" s="91" t="s">
        <v>5675</v>
      </c>
      <c r="F2097" s="67" t="s">
        <v>3138</v>
      </c>
      <c r="G2097" s="67"/>
      <c r="H2097" s="93" t="s">
        <v>4</v>
      </c>
      <c r="I2097" s="92" t="s">
        <v>3125</v>
      </c>
      <c r="J2097" s="92">
        <v>9704424806</v>
      </c>
      <c r="K2097" s="67"/>
      <c r="L2097" s="67"/>
      <c r="M2097" s="67"/>
      <c r="N2097" s="67"/>
      <c r="O2097" s="67"/>
    </row>
    <row r="2098" spans="1:15" ht="15">
      <c r="A2098" s="91" t="s">
        <v>10</v>
      </c>
      <c r="B2098" s="91" t="s">
        <v>10</v>
      </c>
      <c r="C2098" s="92" t="str">
        <f ca="1">IFERROR(__xludf.DUMMYFUNCTION("filter('Back End'!C:C,'Back End'!A:A=A2098,'Back End'!B:B=B2098,'Back End'!D:D=D2098)"),"P Thimmapuram")</f>
        <v>P Thimmapuram</v>
      </c>
      <c r="D2098" s="91" t="s">
        <v>532</v>
      </c>
      <c r="E2098" s="91" t="s">
        <v>5676</v>
      </c>
      <c r="F2098" s="91" t="s">
        <v>586</v>
      </c>
      <c r="G2098" s="91" t="s">
        <v>615</v>
      </c>
      <c r="H2098" s="93" t="s">
        <v>5</v>
      </c>
      <c r="I2098" s="67"/>
      <c r="J2098" s="92">
        <v>9849667670</v>
      </c>
      <c r="K2098" s="67"/>
      <c r="L2098" s="67"/>
      <c r="M2098" s="67"/>
      <c r="N2098" s="67"/>
      <c r="O2098" s="67"/>
    </row>
    <row r="2099" spans="1:15" ht="15">
      <c r="A2099" s="91" t="s">
        <v>10</v>
      </c>
      <c r="B2099" s="91" t="s">
        <v>10</v>
      </c>
      <c r="C2099" s="92" t="str">
        <f ca="1">IFERROR(__xludf.DUMMYFUNCTION("filter('Back End'!C:C,'Back End'!A:A=A2099,'Back End'!B:B=B2099,'Back End'!D:D=D2099)"),"B. Kothuru")</f>
        <v>B. Kothuru</v>
      </c>
      <c r="D2099" s="91" t="s">
        <v>491</v>
      </c>
      <c r="E2099" s="91" t="s">
        <v>5677</v>
      </c>
      <c r="F2099" s="67" t="s">
        <v>3138</v>
      </c>
      <c r="G2099" s="67"/>
      <c r="H2099" s="93" t="s">
        <v>4</v>
      </c>
      <c r="I2099" s="67"/>
      <c r="J2099" s="92">
        <v>7780279327</v>
      </c>
      <c r="K2099" s="67"/>
      <c r="L2099" s="67"/>
      <c r="M2099" s="67"/>
      <c r="N2099" s="67"/>
      <c r="O2099" s="67"/>
    </row>
    <row r="2100" spans="1:15" ht="15">
      <c r="A2100" s="91" t="s">
        <v>10</v>
      </c>
      <c r="B2100" s="91" t="s">
        <v>10</v>
      </c>
      <c r="C2100" s="92" t="str">
        <f ca="1">IFERROR(__xludf.DUMMYFUNCTION("filter('Back End'!C:C,'Back End'!A:A=A2100,'Back End'!B:B=B2100,'Back End'!D:D=D2100)"),"B. Kothuru")</f>
        <v>B. Kothuru</v>
      </c>
      <c r="D2100" s="91" t="s">
        <v>491</v>
      </c>
      <c r="E2100" s="91" t="s">
        <v>5678</v>
      </c>
      <c r="F2100" s="67" t="s">
        <v>3138</v>
      </c>
      <c r="G2100" s="67"/>
      <c r="H2100" s="93" t="s">
        <v>4</v>
      </c>
      <c r="I2100" s="67"/>
      <c r="J2100" s="92">
        <v>9502099314</v>
      </c>
      <c r="K2100" s="67"/>
      <c r="L2100" s="67"/>
      <c r="M2100" s="67"/>
      <c r="N2100" s="67"/>
      <c r="O2100" s="67"/>
    </row>
    <row r="2101" spans="1:15" ht="15">
      <c r="A2101" s="91" t="s">
        <v>10</v>
      </c>
      <c r="B2101" s="91" t="s">
        <v>10</v>
      </c>
      <c r="C2101" s="92" t="str">
        <f ca="1">IFERROR(__xludf.DUMMYFUNCTION("filter('Back End'!C:C,'Back End'!A:A=A2101,'Back End'!B:B=B2101,'Back End'!D:D=D2101)"),"B. Kothuru")</f>
        <v>B. Kothuru</v>
      </c>
      <c r="D2101" s="91" t="s">
        <v>491</v>
      </c>
      <c r="E2101" s="91" t="s">
        <v>5679</v>
      </c>
      <c r="F2101" s="67" t="s">
        <v>3138</v>
      </c>
      <c r="G2101" s="67"/>
      <c r="H2101" s="93" t="s">
        <v>4</v>
      </c>
      <c r="I2101" s="92" t="s">
        <v>3125</v>
      </c>
      <c r="J2101" s="92">
        <v>8885400112</v>
      </c>
      <c r="K2101" s="67"/>
      <c r="L2101" s="67"/>
      <c r="M2101" s="67"/>
      <c r="N2101" s="67"/>
      <c r="O2101" s="67"/>
    </row>
    <row r="2102" spans="1:15" ht="15">
      <c r="A2102" s="91" t="s">
        <v>10</v>
      </c>
      <c r="B2102" s="91" t="s">
        <v>10</v>
      </c>
      <c r="C2102" s="92" t="str">
        <f ca="1">IFERROR(__xludf.DUMMYFUNCTION("filter('Back End'!C:C,'Back End'!A:A=A2102,'Back End'!B:B=B2102,'Back End'!D:D=D2102)"),"Bhogapuram")</f>
        <v>Bhogapuram</v>
      </c>
      <c r="D2102" s="91" t="s">
        <v>493</v>
      </c>
      <c r="E2102" s="91" t="s">
        <v>5680</v>
      </c>
      <c r="F2102" s="67" t="s">
        <v>3138</v>
      </c>
      <c r="G2102" s="67"/>
      <c r="H2102" s="93" t="s">
        <v>4</v>
      </c>
      <c r="I2102" s="67"/>
      <c r="J2102" s="92">
        <v>9866623108</v>
      </c>
      <c r="K2102" s="67"/>
      <c r="L2102" s="67"/>
      <c r="M2102" s="67"/>
      <c r="N2102" s="67"/>
      <c r="O2102" s="67"/>
    </row>
    <row r="2103" spans="1:15" ht="15">
      <c r="A2103" s="91" t="s">
        <v>10</v>
      </c>
      <c r="B2103" s="91" t="s">
        <v>10</v>
      </c>
      <c r="C2103" s="92" t="str">
        <f ca="1">IFERROR(__xludf.DUMMYFUNCTION("filter('Back End'!C:C,'Back End'!A:A=A2103,'Back End'!B:B=B2103,'Back End'!D:D=D2103)"),"Bhogapuram")</f>
        <v>Bhogapuram</v>
      </c>
      <c r="D2103" s="91" t="s">
        <v>493</v>
      </c>
      <c r="E2103" s="91" t="s">
        <v>5681</v>
      </c>
      <c r="F2103" s="67" t="s">
        <v>3138</v>
      </c>
      <c r="G2103" s="67"/>
      <c r="H2103" s="93" t="s">
        <v>4</v>
      </c>
      <c r="I2103" s="92" t="s">
        <v>3125</v>
      </c>
      <c r="J2103" s="92">
        <v>9701072341</v>
      </c>
      <c r="K2103" s="67"/>
      <c r="L2103" s="67"/>
      <c r="M2103" s="67"/>
      <c r="N2103" s="67"/>
      <c r="O2103" s="67"/>
    </row>
    <row r="2104" spans="1:15" ht="15">
      <c r="A2104" s="91" t="s">
        <v>10</v>
      </c>
      <c r="B2104" s="91" t="s">
        <v>10</v>
      </c>
      <c r="C2104" s="92" t="str">
        <f ca="1">IFERROR(__xludf.DUMMYFUNCTION("filter('Back End'!C:C,'Back End'!A:A=A2104,'Back End'!B:B=B2104,'Back End'!D:D=D2104)"),"Bhogapuram")</f>
        <v>Bhogapuram</v>
      </c>
      <c r="D2104" s="91" t="s">
        <v>493</v>
      </c>
      <c r="E2104" s="91" t="s">
        <v>5682</v>
      </c>
      <c r="F2104" s="67" t="s">
        <v>3138</v>
      </c>
      <c r="G2104" s="67"/>
      <c r="H2104" s="93" t="s">
        <v>4</v>
      </c>
      <c r="I2104" s="67"/>
      <c r="J2104" s="92">
        <v>9542956697</v>
      </c>
      <c r="K2104" s="67"/>
      <c r="L2104" s="67"/>
      <c r="M2104" s="67"/>
      <c r="N2104" s="67"/>
      <c r="O2104" s="67"/>
    </row>
    <row r="2105" spans="1:15" ht="15">
      <c r="A2105" s="91" t="s">
        <v>10</v>
      </c>
      <c r="B2105" s="91" t="s">
        <v>10</v>
      </c>
      <c r="C2105" s="92" t="str">
        <f ca="1">IFERROR(__xludf.DUMMYFUNCTION("filter('Back End'!C:C,'Back End'!A:A=A2105,'Back End'!B:B=B2105,'Back End'!D:D=D2105)"),"Bhogapuram")</f>
        <v>Bhogapuram</v>
      </c>
      <c r="D2105" s="91" t="s">
        <v>493</v>
      </c>
      <c r="E2105" s="91" t="s">
        <v>5683</v>
      </c>
      <c r="F2105" s="67" t="s">
        <v>3138</v>
      </c>
      <c r="G2105" s="67"/>
      <c r="H2105" s="93" t="s">
        <v>4</v>
      </c>
      <c r="I2105" s="67"/>
      <c r="J2105" s="92">
        <v>9849641853</v>
      </c>
      <c r="K2105" s="67"/>
      <c r="L2105" s="67"/>
      <c r="M2105" s="67"/>
      <c r="N2105" s="67"/>
      <c r="O2105" s="67"/>
    </row>
    <row r="2106" spans="1:15" ht="30">
      <c r="A2106" s="91" t="s">
        <v>10</v>
      </c>
      <c r="B2106" s="91" t="s">
        <v>10</v>
      </c>
      <c r="C2106" s="92" t="s">
        <v>493</v>
      </c>
      <c r="D2106" s="91" t="s">
        <v>493</v>
      </c>
      <c r="E2106" s="91" t="s">
        <v>5684</v>
      </c>
      <c r="F2106" s="91" t="s">
        <v>114</v>
      </c>
      <c r="G2106" s="91" t="s">
        <v>85</v>
      </c>
      <c r="H2106" s="93" t="s">
        <v>4</v>
      </c>
      <c r="I2106" s="92" t="s">
        <v>3162</v>
      </c>
      <c r="J2106" s="67"/>
      <c r="K2106" s="67"/>
      <c r="L2106" s="67"/>
      <c r="M2106" s="67"/>
      <c r="N2106" s="67"/>
      <c r="O2106" s="67"/>
    </row>
    <row r="2107" spans="1:15" ht="30">
      <c r="A2107" s="91" t="s">
        <v>10</v>
      </c>
      <c r="B2107" s="91" t="s">
        <v>10</v>
      </c>
      <c r="C2107" s="92" t="s">
        <v>493</v>
      </c>
      <c r="D2107" s="91" t="s">
        <v>493</v>
      </c>
      <c r="E2107" s="91" t="s">
        <v>5685</v>
      </c>
      <c r="F2107" s="91" t="s">
        <v>114</v>
      </c>
      <c r="G2107" s="91" t="s">
        <v>85</v>
      </c>
      <c r="H2107" s="93" t="s">
        <v>6</v>
      </c>
      <c r="I2107" s="92" t="s">
        <v>4333</v>
      </c>
      <c r="J2107" s="92">
        <v>9030274728</v>
      </c>
      <c r="K2107" s="67"/>
      <c r="L2107" s="67"/>
      <c r="M2107" s="67"/>
      <c r="N2107" s="67"/>
      <c r="O2107" s="67"/>
    </row>
    <row r="2108" spans="1:15" ht="15">
      <c r="A2108" s="91" t="s">
        <v>10</v>
      </c>
      <c r="B2108" s="91" t="s">
        <v>10</v>
      </c>
      <c r="C2108" s="92" t="s">
        <v>493</v>
      </c>
      <c r="D2108" s="91" t="s">
        <v>493</v>
      </c>
      <c r="E2108" s="91" t="s">
        <v>5686</v>
      </c>
      <c r="F2108" s="91" t="s">
        <v>114</v>
      </c>
      <c r="G2108" s="91" t="s">
        <v>85</v>
      </c>
      <c r="H2108" s="93" t="s">
        <v>5</v>
      </c>
      <c r="I2108" s="92" t="s">
        <v>3115</v>
      </c>
      <c r="J2108" s="92">
        <v>9177038857</v>
      </c>
      <c r="K2108" s="67"/>
      <c r="L2108" s="67"/>
      <c r="M2108" s="67"/>
      <c r="N2108" s="67"/>
      <c r="O2108" s="67"/>
    </row>
    <row r="2109" spans="1:15" ht="30">
      <c r="A2109" s="91" t="s">
        <v>10</v>
      </c>
      <c r="B2109" s="91" t="s">
        <v>10</v>
      </c>
      <c r="C2109" s="92" t="s">
        <v>493</v>
      </c>
      <c r="D2109" s="91" t="s">
        <v>493</v>
      </c>
      <c r="E2109" s="91" t="s">
        <v>5687</v>
      </c>
      <c r="F2109" s="91" t="s">
        <v>139</v>
      </c>
      <c r="G2109" s="91" t="s">
        <v>594</v>
      </c>
      <c r="H2109" s="93" t="s">
        <v>5</v>
      </c>
      <c r="I2109" s="92" t="s">
        <v>3495</v>
      </c>
      <c r="J2109" s="92">
        <v>8790648849</v>
      </c>
      <c r="K2109" s="67"/>
      <c r="L2109" s="67"/>
      <c r="M2109" s="67"/>
      <c r="N2109" s="67"/>
      <c r="O2109" s="67"/>
    </row>
    <row r="2110" spans="1:15" ht="15">
      <c r="A2110" s="91" t="s">
        <v>10</v>
      </c>
      <c r="B2110" s="91" t="s">
        <v>10</v>
      </c>
      <c r="C2110" s="92" t="s">
        <v>493</v>
      </c>
      <c r="D2110" s="91" t="s">
        <v>493</v>
      </c>
      <c r="E2110" s="91" t="s">
        <v>5688</v>
      </c>
      <c r="F2110" s="91" t="s">
        <v>139</v>
      </c>
      <c r="G2110" s="91" t="s">
        <v>594</v>
      </c>
      <c r="H2110" s="93" t="s">
        <v>5</v>
      </c>
      <c r="I2110" s="92" t="s">
        <v>3185</v>
      </c>
      <c r="J2110" s="92">
        <v>8106667997</v>
      </c>
      <c r="K2110" s="67"/>
      <c r="L2110" s="67"/>
      <c r="M2110" s="67"/>
      <c r="N2110" s="67"/>
      <c r="O2110" s="67"/>
    </row>
    <row r="2111" spans="1:15" ht="15">
      <c r="A2111" s="91" t="s">
        <v>10</v>
      </c>
      <c r="B2111" s="91" t="s">
        <v>10</v>
      </c>
      <c r="C2111" s="92" t="str">
        <f ca="1">IFERROR(__xludf.DUMMYFUNCTION("filter('Back End'!C:C,'Back End'!A:A=A2111,'Back End'!B:B=B2111,'Back End'!D:D=D2111)"),"Bhogapuram")</f>
        <v>Bhogapuram</v>
      </c>
      <c r="D2111" s="91" t="s">
        <v>493</v>
      </c>
      <c r="E2111" s="91" t="s">
        <v>5689</v>
      </c>
      <c r="F2111" s="91" t="s">
        <v>139</v>
      </c>
      <c r="G2111" s="91" t="s">
        <v>594</v>
      </c>
      <c r="H2111" s="93" t="s">
        <v>5</v>
      </c>
      <c r="I2111" s="92" t="s">
        <v>3535</v>
      </c>
      <c r="J2111" s="92">
        <v>9133470337</v>
      </c>
      <c r="K2111" s="67"/>
      <c r="L2111" s="67"/>
      <c r="M2111" s="67"/>
      <c r="N2111" s="67"/>
      <c r="O2111" s="67"/>
    </row>
    <row r="2112" spans="1:15" ht="30">
      <c r="A2112" s="91" t="s">
        <v>10</v>
      </c>
      <c r="B2112" s="91" t="s">
        <v>10</v>
      </c>
      <c r="C2112" s="92" t="str">
        <f ca="1">IFERROR(__xludf.DUMMYFUNCTION("filter('Back End'!C:C,'Back End'!A:A=A2112,'Back End'!B:B=B2112,'Back End'!D:D=D2112)"),"Bhogapuram")</f>
        <v>Bhogapuram</v>
      </c>
      <c r="D2112" s="91" t="s">
        <v>493</v>
      </c>
      <c r="E2112" s="91" t="s">
        <v>5690</v>
      </c>
      <c r="F2112" s="91" t="s">
        <v>139</v>
      </c>
      <c r="G2112" s="91" t="s">
        <v>594</v>
      </c>
      <c r="H2112" s="93" t="s">
        <v>5</v>
      </c>
      <c r="I2112" s="92" t="s">
        <v>3495</v>
      </c>
      <c r="J2112" s="92">
        <v>7702571367</v>
      </c>
      <c r="K2112" s="67"/>
      <c r="L2112" s="67"/>
      <c r="M2112" s="67"/>
      <c r="N2112" s="67"/>
      <c r="O2112" s="67"/>
    </row>
    <row r="2113" spans="1:15" ht="15">
      <c r="A2113" s="91" t="s">
        <v>10</v>
      </c>
      <c r="B2113" s="91" t="s">
        <v>10</v>
      </c>
      <c r="C2113" s="92" t="str">
        <f ca="1">IFERROR(__xludf.DUMMYFUNCTION("filter('Back End'!C:C,'Back End'!A:A=A2113,'Back End'!B:B=B2113,'Back End'!D:D=D2113)"),"Chitrada")</f>
        <v>Chitrada</v>
      </c>
      <c r="D2113" s="91" t="s">
        <v>495</v>
      </c>
      <c r="E2113" s="91" t="s">
        <v>5691</v>
      </c>
      <c r="F2113" s="91" t="s">
        <v>139</v>
      </c>
      <c r="G2113" s="91" t="s">
        <v>594</v>
      </c>
      <c r="H2113" s="93" t="s">
        <v>5</v>
      </c>
      <c r="I2113" s="67"/>
      <c r="J2113" s="92">
        <v>9949652996</v>
      </c>
      <c r="K2113" s="67"/>
      <c r="L2113" s="67"/>
      <c r="M2113" s="67"/>
      <c r="N2113" s="67"/>
      <c r="O2113" s="67"/>
    </row>
    <row r="2114" spans="1:15" ht="15">
      <c r="A2114" s="91" t="s">
        <v>10</v>
      </c>
      <c r="B2114" s="91" t="s">
        <v>10</v>
      </c>
      <c r="C2114" s="92" t="str">
        <f ca="1">IFERROR(__xludf.DUMMYFUNCTION("filter('Back End'!C:C,'Back End'!A:A=A2114,'Back End'!B:B=B2114,'Back End'!D:D=D2114)"),"Chitrada")</f>
        <v>Chitrada</v>
      </c>
      <c r="D2114" s="91" t="s">
        <v>495</v>
      </c>
      <c r="E2114" s="91" t="s">
        <v>5692</v>
      </c>
      <c r="F2114" s="91" t="s">
        <v>139</v>
      </c>
      <c r="G2114" s="91" t="s">
        <v>594</v>
      </c>
      <c r="H2114" s="93" t="s">
        <v>5</v>
      </c>
      <c r="I2114" s="67"/>
      <c r="J2114" s="92">
        <v>7075249997</v>
      </c>
      <c r="K2114" s="67"/>
      <c r="L2114" s="67"/>
      <c r="M2114" s="67"/>
      <c r="N2114" s="67"/>
      <c r="O2114" s="67"/>
    </row>
    <row r="2115" spans="1:15" ht="15">
      <c r="A2115" s="91" t="s">
        <v>10</v>
      </c>
      <c r="B2115" s="91" t="s">
        <v>10</v>
      </c>
      <c r="C2115" s="92" t="str">
        <f ca="1">IFERROR(__xludf.DUMMYFUNCTION("filter('Back End'!C:C,'Back End'!A:A=A2115,'Back End'!B:B=B2115,'Back End'!D:D=D2115)"),"Chitrada")</f>
        <v>Chitrada</v>
      </c>
      <c r="D2115" s="91" t="s">
        <v>495</v>
      </c>
      <c r="E2115" s="91" t="s">
        <v>5693</v>
      </c>
      <c r="F2115" s="91" t="s">
        <v>114</v>
      </c>
      <c r="G2115" s="91" t="s">
        <v>85</v>
      </c>
      <c r="H2115" s="93" t="s">
        <v>5</v>
      </c>
      <c r="I2115" s="67"/>
      <c r="J2115" s="92">
        <v>8309137776</v>
      </c>
      <c r="K2115" s="67"/>
      <c r="L2115" s="67"/>
      <c r="M2115" s="67"/>
      <c r="N2115" s="67"/>
      <c r="O2115" s="67"/>
    </row>
    <row r="2116" spans="1:15" ht="15">
      <c r="A2116" s="91" t="s">
        <v>10</v>
      </c>
      <c r="B2116" s="100" t="s">
        <v>10</v>
      </c>
      <c r="C2116" s="97" t="str">
        <f ca="1">IFERROR(__xludf.DUMMYFUNCTION("filter('Back End'!C:C,'Back End'!A:A=A2116,'Back End'!B:B=B2116,'Back End'!D:D=D2116)"),"Chitrada")</f>
        <v>Chitrada</v>
      </c>
      <c r="D2116" s="100" t="s">
        <v>495</v>
      </c>
      <c r="E2116" s="100" t="s">
        <v>5694</v>
      </c>
      <c r="F2116" s="100" t="s">
        <v>139</v>
      </c>
      <c r="G2116" s="100" t="s">
        <v>594</v>
      </c>
      <c r="H2116" s="100" t="s">
        <v>5</v>
      </c>
      <c r="I2116" s="99"/>
      <c r="J2116" s="97">
        <v>9948443045</v>
      </c>
      <c r="K2116" s="99"/>
      <c r="L2116" s="99"/>
      <c r="M2116" s="99"/>
      <c r="N2116" s="67"/>
      <c r="O2116" s="67"/>
    </row>
    <row r="2117" spans="1:15" ht="15">
      <c r="A2117" s="91" t="s">
        <v>10</v>
      </c>
      <c r="B2117" s="91" t="s">
        <v>10</v>
      </c>
      <c r="C2117" s="92" t="str">
        <f ca="1">IFERROR(__xludf.DUMMYFUNCTION("filter('Back End'!C:C,'Back End'!A:A=A2117,'Back End'!B:B=B2117,'Back End'!D:D=D2117)"),"Chitrada")</f>
        <v>Chitrada</v>
      </c>
      <c r="D2117" s="91" t="s">
        <v>495</v>
      </c>
      <c r="E2117" s="91" t="s">
        <v>5695</v>
      </c>
      <c r="F2117" s="67" t="s">
        <v>3138</v>
      </c>
      <c r="G2117" s="67"/>
      <c r="H2117" s="93" t="s">
        <v>4</v>
      </c>
      <c r="I2117" s="92" t="s">
        <v>3125</v>
      </c>
      <c r="J2117" s="92">
        <v>9502229030</v>
      </c>
      <c r="K2117" s="67"/>
      <c r="L2117" s="67"/>
      <c r="M2117" s="67"/>
      <c r="N2117" s="67"/>
      <c r="O2117" s="67"/>
    </row>
    <row r="2118" spans="1:15" ht="15">
      <c r="A2118" s="91" t="s">
        <v>10</v>
      </c>
      <c r="B2118" s="91" t="s">
        <v>10</v>
      </c>
      <c r="C2118" s="92" t="str">
        <f ca="1">IFERROR(__xludf.DUMMYFUNCTION("filter('Back End'!C:C,'Back End'!A:A=A2118,'Back End'!B:B=B2118,'Back End'!D:D=D2118)"),"Chitrada")</f>
        <v>Chitrada</v>
      </c>
      <c r="D2118" s="91" t="s">
        <v>495</v>
      </c>
      <c r="E2118" s="91" t="s">
        <v>5696</v>
      </c>
      <c r="F2118" s="67" t="s">
        <v>3138</v>
      </c>
      <c r="G2118" s="67"/>
      <c r="H2118" s="93" t="s">
        <v>4</v>
      </c>
      <c r="I2118" s="67"/>
      <c r="J2118" s="92">
        <v>9908451293</v>
      </c>
      <c r="K2118" s="67"/>
      <c r="L2118" s="67"/>
      <c r="M2118" s="67"/>
      <c r="N2118" s="67"/>
      <c r="O2118" s="67"/>
    </row>
    <row r="2119" spans="1:15" ht="15">
      <c r="A2119" s="91" t="s">
        <v>10</v>
      </c>
      <c r="B2119" s="91" t="s">
        <v>10</v>
      </c>
      <c r="C2119" s="92" t="str">
        <f ca="1">IFERROR(__xludf.DUMMYFUNCTION("filter('Back End'!C:C,'Back End'!A:A=A2119,'Back End'!B:B=B2119,'Back End'!D:D=D2119)"),"Chitrada")</f>
        <v>Chitrada</v>
      </c>
      <c r="D2119" s="91" t="s">
        <v>495</v>
      </c>
      <c r="E2119" s="91" t="s">
        <v>5697</v>
      </c>
      <c r="F2119" s="67" t="s">
        <v>3138</v>
      </c>
      <c r="G2119" s="67"/>
      <c r="H2119" s="93" t="s">
        <v>4</v>
      </c>
      <c r="I2119" s="67"/>
      <c r="J2119" s="92">
        <v>9247147283</v>
      </c>
      <c r="K2119" s="67"/>
      <c r="L2119" s="67"/>
      <c r="M2119" s="67"/>
      <c r="N2119" s="67"/>
      <c r="O2119" s="67"/>
    </row>
    <row r="2120" spans="1:15" ht="15">
      <c r="A2120" s="91" t="s">
        <v>10</v>
      </c>
      <c r="B2120" s="91" t="s">
        <v>10</v>
      </c>
      <c r="C2120" s="92" t="str">
        <f ca="1">IFERROR(__xludf.DUMMYFUNCTION("filter('Back End'!C:C,'Back End'!A:A=A2120,'Back End'!B:B=B2120,'Back End'!D:D=D2120)"),"Chitrada")</f>
        <v>Chitrada</v>
      </c>
      <c r="D2120" s="91" t="s">
        <v>495</v>
      </c>
      <c r="E2120" s="91" t="s">
        <v>5698</v>
      </c>
      <c r="F2120" s="67" t="s">
        <v>3138</v>
      </c>
      <c r="G2120" s="67"/>
      <c r="H2120" s="93" t="s">
        <v>5</v>
      </c>
      <c r="I2120" s="67"/>
      <c r="J2120" s="92">
        <v>8179815157</v>
      </c>
      <c r="K2120" s="67"/>
      <c r="L2120" s="67"/>
      <c r="M2120" s="67"/>
      <c r="N2120" s="67"/>
      <c r="O2120" s="67"/>
    </row>
    <row r="2121" spans="1:15" ht="15">
      <c r="A2121" s="91" t="s">
        <v>10</v>
      </c>
      <c r="B2121" s="91" t="s">
        <v>10</v>
      </c>
      <c r="C2121" s="92" t="str">
        <f ca="1">IFERROR(__xludf.DUMMYFUNCTION("filter('Back End'!C:C,'Back End'!A:A=A2121,'Back End'!B:B=B2121,'Back End'!D:D=D2121)"),"Chitrada")</f>
        <v>Chitrada</v>
      </c>
      <c r="D2121" s="91" t="s">
        <v>495</v>
      </c>
      <c r="E2121" s="91" t="s">
        <v>5699</v>
      </c>
      <c r="F2121" s="67" t="s">
        <v>3138</v>
      </c>
      <c r="G2121" s="67"/>
      <c r="H2121" s="93" t="s">
        <v>4</v>
      </c>
      <c r="I2121" s="67"/>
      <c r="J2121" s="92">
        <v>9912410866</v>
      </c>
      <c r="K2121" s="67"/>
      <c r="L2121" s="67"/>
      <c r="M2121" s="67"/>
      <c r="N2121" s="67"/>
      <c r="O2121" s="67"/>
    </row>
    <row r="2122" spans="1:15" ht="15">
      <c r="A2122" s="91" t="s">
        <v>10</v>
      </c>
      <c r="B2122" s="91" t="s">
        <v>10</v>
      </c>
      <c r="C2122" s="92" t="str">
        <f ca="1">IFERROR(__xludf.DUMMYFUNCTION("filter('Back End'!C:C,'Back End'!A:A=A2122,'Back End'!B:B=B2122,'Back End'!D:D=D2122)"),"Chitrada")</f>
        <v>Chitrada</v>
      </c>
      <c r="D2122" s="91" t="s">
        <v>495</v>
      </c>
      <c r="E2122" s="91" t="s">
        <v>5700</v>
      </c>
      <c r="F2122" s="67" t="s">
        <v>3138</v>
      </c>
      <c r="G2122" s="67"/>
      <c r="H2122" s="93" t="s">
        <v>5</v>
      </c>
      <c r="I2122" s="67"/>
      <c r="J2122" s="92">
        <v>9550294818</v>
      </c>
      <c r="K2122" s="67"/>
      <c r="L2122" s="67"/>
      <c r="M2122" s="67"/>
      <c r="N2122" s="67"/>
      <c r="O2122" s="67"/>
    </row>
    <row r="2123" spans="1:15" ht="15">
      <c r="A2123" s="91" t="s">
        <v>10</v>
      </c>
      <c r="B2123" s="91" t="s">
        <v>10</v>
      </c>
      <c r="C2123" s="92" t="str">
        <f ca="1">IFERROR(__xludf.DUMMYFUNCTION("filter('Back End'!C:C,'Back End'!A:A=A2123,'Back End'!B:B=B2123,'Back End'!D:D=D2123)"),"Chitrada")</f>
        <v>Chitrada</v>
      </c>
      <c r="D2123" s="91" t="s">
        <v>495</v>
      </c>
      <c r="E2123" s="91" t="s">
        <v>5701</v>
      </c>
      <c r="F2123" s="67" t="s">
        <v>3138</v>
      </c>
      <c r="G2123" s="67"/>
      <c r="H2123" s="93" t="s">
        <v>4</v>
      </c>
      <c r="I2123" s="67"/>
      <c r="J2123" s="92">
        <v>8309234222</v>
      </c>
      <c r="K2123" s="67"/>
      <c r="L2123" s="67"/>
      <c r="M2123" s="67"/>
      <c r="N2123" s="67"/>
      <c r="O2123" s="67"/>
    </row>
    <row r="2124" spans="1:15" ht="15">
      <c r="A2124" s="91" t="s">
        <v>10</v>
      </c>
      <c r="B2124" s="91" t="s">
        <v>10</v>
      </c>
      <c r="C2124" s="92" t="str">
        <f ca="1">IFERROR(__xludf.DUMMYFUNCTION("filter('Back End'!C:C,'Back End'!A:A=A2124,'Back End'!B:B=B2124,'Back End'!D:D=D2124)"),"Chitrada")</f>
        <v>Chitrada</v>
      </c>
      <c r="D2124" s="91" t="s">
        <v>495</v>
      </c>
      <c r="E2124" s="91" t="s">
        <v>5702</v>
      </c>
      <c r="F2124" s="67" t="s">
        <v>3138</v>
      </c>
      <c r="G2124" s="67"/>
      <c r="H2124" s="93" t="s">
        <v>4</v>
      </c>
      <c r="I2124" s="67"/>
      <c r="J2124" s="92">
        <v>8309531868</v>
      </c>
      <c r="K2124" s="67"/>
      <c r="L2124" s="67"/>
      <c r="M2124" s="67"/>
      <c r="N2124" s="67"/>
      <c r="O2124" s="67"/>
    </row>
    <row r="2125" spans="1:15" ht="15">
      <c r="A2125" s="91" t="s">
        <v>10</v>
      </c>
      <c r="B2125" s="91" t="s">
        <v>10</v>
      </c>
      <c r="C2125" s="92" t="str">
        <f ca="1">IFERROR(__xludf.DUMMYFUNCTION("filter('Back End'!C:C,'Back End'!A:A=A2125,'Back End'!B:B=B2125,'Back End'!D:D=D2125)"),"Chitrada")</f>
        <v>Chitrada</v>
      </c>
      <c r="D2125" s="91" t="s">
        <v>495</v>
      </c>
      <c r="E2125" s="91" t="s">
        <v>5703</v>
      </c>
      <c r="F2125" s="67" t="s">
        <v>3138</v>
      </c>
      <c r="G2125" s="67"/>
      <c r="H2125" s="93" t="s">
        <v>4</v>
      </c>
      <c r="I2125" s="67"/>
      <c r="J2125" s="92">
        <v>9848354717</v>
      </c>
      <c r="K2125" s="67"/>
      <c r="L2125" s="67"/>
      <c r="M2125" s="67"/>
      <c r="N2125" s="67"/>
      <c r="O2125" s="67"/>
    </row>
    <row r="2126" spans="1:15" ht="15">
      <c r="A2126" s="91" t="s">
        <v>10</v>
      </c>
      <c r="B2126" s="91" t="s">
        <v>166</v>
      </c>
      <c r="C2126" s="92" t="str">
        <f ca="1">IFERROR(__xludf.DUMMYFUNCTION("filter('Back End'!C:C,'Back End'!A:A=A2126,'Back End'!B:B=B2126,'Back End'!D:D=D2126)"),"Isukapalli")</f>
        <v>Isukapalli</v>
      </c>
      <c r="D2126" s="91" t="s">
        <v>462</v>
      </c>
      <c r="E2126" s="91" t="s">
        <v>5704</v>
      </c>
      <c r="F2126" s="91" t="s">
        <v>139</v>
      </c>
      <c r="G2126" s="91" t="s">
        <v>594</v>
      </c>
      <c r="H2126" s="93" t="s">
        <v>5</v>
      </c>
      <c r="I2126" s="67"/>
      <c r="J2126" s="92">
        <v>9989336033</v>
      </c>
      <c r="K2126" s="67"/>
      <c r="L2126" s="67"/>
      <c r="M2126" s="67"/>
      <c r="N2126" s="67"/>
      <c r="O2126" s="67"/>
    </row>
    <row r="2127" spans="1:15" ht="15">
      <c r="A2127" s="91" t="s">
        <v>10</v>
      </c>
      <c r="B2127" s="91" t="s">
        <v>10</v>
      </c>
      <c r="C2127" s="92" t="str">
        <f ca="1">IFERROR(__xludf.DUMMYFUNCTION("filter('Back End'!C:C,'Back End'!A:A=A2127,'Back End'!B:B=B2127,'Back End'!D:D=D2127)"),"Gokivada")</f>
        <v>Gokivada</v>
      </c>
      <c r="D2127" s="91" t="s">
        <v>499</v>
      </c>
      <c r="E2127" s="91" t="s">
        <v>5705</v>
      </c>
      <c r="F2127" s="67" t="s">
        <v>3138</v>
      </c>
      <c r="G2127" s="67"/>
      <c r="H2127" s="93" t="s">
        <v>4</v>
      </c>
      <c r="I2127" s="67"/>
      <c r="J2127" s="92">
        <v>9392641887</v>
      </c>
      <c r="K2127" s="67"/>
      <c r="L2127" s="67"/>
      <c r="M2127" s="67"/>
      <c r="N2127" s="67"/>
      <c r="O2127" s="67"/>
    </row>
    <row r="2128" spans="1:15" ht="15">
      <c r="A2128" s="91" t="s">
        <v>10</v>
      </c>
      <c r="B2128" s="91" t="s">
        <v>10</v>
      </c>
      <c r="C2128" s="92" t="str">
        <f ca="1">IFERROR(__xludf.DUMMYFUNCTION("filter('Back End'!C:C,'Back End'!A:A=A2128,'Back End'!B:B=B2128,'Back End'!D:D=D2128)"),"Gokivada")</f>
        <v>Gokivada</v>
      </c>
      <c r="D2128" s="91" t="s">
        <v>499</v>
      </c>
      <c r="E2128" s="91" t="s">
        <v>5706</v>
      </c>
      <c r="F2128" s="67" t="s">
        <v>3138</v>
      </c>
      <c r="G2128" s="67"/>
      <c r="H2128" s="93" t="s">
        <v>4</v>
      </c>
      <c r="I2128" s="92" t="s">
        <v>3125</v>
      </c>
      <c r="J2128" s="92">
        <v>9573771362</v>
      </c>
      <c r="K2128" s="67"/>
      <c r="L2128" s="67"/>
      <c r="M2128" s="67"/>
      <c r="N2128" s="67"/>
      <c r="O2128" s="67"/>
    </row>
    <row r="2129" spans="1:15" ht="15">
      <c r="A2129" s="91" t="s">
        <v>10</v>
      </c>
      <c r="B2129" s="91" t="s">
        <v>10</v>
      </c>
      <c r="C2129" s="92" t="str">
        <f ca="1">IFERROR(__xludf.DUMMYFUNCTION("filter('Back End'!C:C,'Back End'!A:A=A2129,'Back End'!B:B=B2129,'Back End'!D:D=D2129)"),"Gokivada")</f>
        <v>Gokivada</v>
      </c>
      <c r="D2129" s="91" t="s">
        <v>499</v>
      </c>
      <c r="E2129" s="91" t="s">
        <v>5707</v>
      </c>
      <c r="F2129" s="91" t="s">
        <v>139</v>
      </c>
      <c r="G2129" s="91" t="s">
        <v>594</v>
      </c>
      <c r="H2129" s="101" t="s">
        <v>5</v>
      </c>
      <c r="I2129" s="92" t="s">
        <v>3115</v>
      </c>
      <c r="J2129" s="92">
        <v>9866068979</v>
      </c>
      <c r="K2129" s="67"/>
      <c r="L2129" s="67"/>
      <c r="M2129" s="67"/>
      <c r="N2129" s="67"/>
      <c r="O2129" s="67"/>
    </row>
    <row r="2130" spans="1:15" ht="30">
      <c r="A2130" s="91" t="s">
        <v>10</v>
      </c>
      <c r="B2130" s="91" t="s">
        <v>10</v>
      </c>
      <c r="C2130" s="92" t="str">
        <f ca="1">IFERROR(__xludf.DUMMYFUNCTION("filter('Back End'!C:C,'Back End'!A:A=A2130,'Back End'!B:B=B2130,'Back End'!D:D=D2130)"),"Gokivada")</f>
        <v>Gokivada</v>
      </c>
      <c r="D2130" s="91" t="s">
        <v>499</v>
      </c>
      <c r="E2130" s="91" t="s">
        <v>5708</v>
      </c>
      <c r="F2130" s="91" t="s">
        <v>139</v>
      </c>
      <c r="G2130" s="91" t="s">
        <v>594</v>
      </c>
      <c r="H2130" s="101" t="s">
        <v>5</v>
      </c>
      <c r="I2130" s="92" t="s">
        <v>3205</v>
      </c>
      <c r="J2130" s="92">
        <v>9849632160</v>
      </c>
      <c r="K2130" s="67"/>
      <c r="L2130" s="67"/>
      <c r="M2130" s="67"/>
      <c r="N2130" s="67"/>
      <c r="O2130" s="67"/>
    </row>
    <row r="2131" spans="1:15" ht="15">
      <c r="A2131" s="91" t="s">
        <v>10</v>
      </c>
      <c r="B2131" s="91" t="s">
        <v>10</v>
      </c>
      <c r="C2131" s="92" t="str">
        <f ca="1">IFERROR(__xludf.DUMMYFUNCTION("filter('Back End'!C:C,'Back End'!A:A=A2131,'Back End'!B:B=B2131,'Back End'!D:D=D2131)"),"Gokivada")</f>
        <v>Gokivada</v>
      </c>
      <c r="D2131" s="91" t="s">
        <v>499</v>
      </c>
      <c r="E2131" s="91" t="s">
        <v>5709</v>
      </c>
      <c r="F2131" s="91" t="s">
        <v>114</v>
      </c>
      <c r="G2131" s="91" t="s">
        <v>85</v>
      </c>
      <c r="H2131" s="101" t="s">
        <v>5</v>
      </c>
      <c r="I2131" s="92" t="s">
        <v>3112</v>
      </c>
      <c r="J2131" s="92">
        <v>7386784444</v>
      </c>
      <c r="K2131" s="67"/>
      <c r="L2131" s="67"/>
      <c r="M2131" s="67"/>
      <c r="N2131" s="67"/>
      <c r="O2131" s="67"/>
    </row>
    <row r="2132" spans="1:15" ht="15">
      <c r="A2132" s="91" t="s">
        <v>10</v>
      </c>
      <c r="B2132" s="91" t="s">
        <v>10</v>
      </c>
      <c r="C2132" s="92" t="str">
        <f ca="1">IFERROR(__xludf.DUMMYFUNCTION("filter('Back End'!C:C,'Back End'!A:A=A2132,'Back End'!B:B=B2132,'Back End'!D:D=D2132)"),"Gokivada")</f>
        <v>Gokivada</v>
      </c>
      <c r="D2132" s="91" t="s">
        <v>499</v>
      </c>
      <c r="E2132" s="91" t="s">
        <v>5710</v>
      </c>
      <c r="F2132" s="91" t="s">
        <v>139</v>
      </c>
      <c r="G2132" s="91" t="s">
        <v>594</v>
      </c>
      <c r="H2132" s="93" t="s">
        <v>4</v>
      </c>
      <c r="I2132" s="92" t="s">
        <v>3112</v>
      </c>
      <c r="J2132" s="92">
        <v>9959936593</v>
      </c>
      <c r="K2132" s="67"/>
      <c r="L2132" s="67"/>
      <c r="M2132" s="67"/>
      <c r="N2132" s="67"/>
      <c r="O2132" s="67"/>
    </row>
    <row r="2133" spans="1:15" ht="15">
      <c r="A2133" s="91" t="s">
        <v>10</v>
      </c>
      <c r="B2133" s="91" t="s">
        <v>10</v>
      </c>
      <c r="C2133" s="92" t="str">
        <f ca="1">IFERROR(__xludf.DUMMYFUNCTION("filter('Back End'!C:C,'Back End'!A:A=A2133,'Back End'!B:B=B2133,'Back End'!D:D=D2133)"),"Gokivada")</f>
        <v>Gokivada</v>
      </c>
      <c r="D2133" s="91" t="s">
        <v>499</v>
      </c>
      <c r="E2133" s="91" t="s">
        <v>5711</v>
      </c>
      <c r="F2133" s="91" t="s">
        <v>139</v>
      </c>
      <c r="G2133" s="91" t="s">
        <v>594</v>
      </c>
      <c r="H2133" s="93" t="s">
        <v>4</v>
      </c>
      <c r="I2133" s="92" t="s">
        <v>3112</v>
      </c>
      <c r="J2133" s="92">
        <v>9951677679</v>
      </c>
      <c r="K2133" s="67"/>
      <c r="L2133" s="67"/>
      <c r="M2133" s="67"/>
      <c r="N2133" s="67"/>
      <c r="O2133" s="67"/>
    </row>
    <row r="2134" spans="1:15" ht="15">
      <c r="A2134" s="91" t="s">
        <v>10</v>
      </c>
      <c r="B2134" s="91" t="s">
        <v>10</v>
      </c>
      <c r="C2134" s="92" t="str">
        <f ca="1">IFERROR(__xludf.DUMMYFUNCTION("filter('Back End'!C:C,'Back End'!A:A=A2134,'Back End'!B:B=B2134,'Back End'!D:D=D2134)"),"Gokivada")</f>
        <v>Gokivada</v>
      </c>
      <c r="D2134" s="91" t="s">
        <v>499</v>
      </c>
      <c r="E2134" s="91" t="s">
        <v>5712</v>
      </c>
      <c r="F2134" s="91" t="s">
        <v>139</v>
      </c>
      <c r="G2134" s="91" t="s">
        <v>594</v>
      </c>
      <c r="H2134" s="93" t="s">
        <v>5</v>
      </c>
      <c r="I2134" s="67"/>
      <c r="J2134" s="92">
        <v>9550777756</v>
      </c>
      <c r="K2134" s="67"/>
      <c r="L2134" s="67"/>
      <c r="M2134" s="67"/>
      <c r="N2134" s="67"/>
      <c r="O2134" s="67"/>
    </row>
    <row r="2135" spans="1:15" ht="15">
      <c r="A2135" s="91" t="s">
        <v>10</v>
      </c>
      <c r="B2135" s="91" t="s">
        <v>10</v>
      </c>
      <c r="C2135" s="92" t="str">
        <f ca="1">IFERROR(__xludf.DUMMYFUNCTION("filter('Back End'!C:C,'Back End'!A:A=A2135,'Back End'!B:B=B2135,'Back End'!D:D=D2135)"),"Jamulapalli")</f>
        <v>Jamulapalli</v>
      </c>
      <c r="D2135" s="91" t="s">
        <v>505</v>
      </c>
      <c r="E2135" s="91" t="s">
        <v>5713</v>
      </c>
      <c r="F2135" s="67" t="s">
        <v>3138</v>
      </c>
      <c r="G2135" s="67"/>
      <c r="H2135" s="93" t="s">
        <v>4</v>
      </c>
      <c r="I2135" s="92" t="s">
        <v>3125</v>
      </c>
      <c r="J2135" s="92">
        <v>9676857174</v>
      </c>
      <c r="K2135" s="67"/>
      <c r="L2135" s="67"/>
      <c r="M2135" s="67"/>
      <c r="N2135" s="67"/>
      <c r="O2135" s="67"/>
    </row>
    <row r="2136" spans="1:15" ht="15">
      <c r="A2136" s="91" t="s">
        <v>10</v>
      </c>
      <c r="B2136" s="91" t="s">
        <v>10</v>
      </c>
      <c r="C2136" s="92" t="str">
        <f ca="1">IFERROR(__xludf.DUMMYFUNCTION("filter('Back End'!C:C,'Back End'!A:A=A2136,'Back End'!B:B=B2136,'Back End'!D:D=D2136)"),"Jamulapalli")</f>
        <v>Jamulapalli</v>
      </c>
      <c r="D2136" s="91" t="s">
        <v>505</v>
      </c>
      <c r="E2136" s="91" t="s">
        <v>5714</v>
      </c>
      <c r="F2136" s="67" t="s">
        <v>3138</v>
      </c>
      <c r="G2136" s="67"/>
      <c r="H2136" s="93" t="s">
        <v>4</v>
      </c>
      <c r="I2136" s="67"/>
      <c r="J2136" s="92">
        <v>9951553599</v>
      </c>
      <c r="K2136" s="67"/>
      <c r="L2136" s="67"/>
      <c r="M2136" s="67"/>
      <c r="N2136" s="67"/>
      <c r="O2136" s="67"/>
    </row>
    <row r="2137" spans="1:15" ht="15">
      <c r="A2137" s="91" t="s">
        <v>10</v>
      </c>
      <c r="B2137" s="91" t="s">
        <v>10</v>
      </c>
      <c r="C2137" s="92" t="str">
        <f ca="1">IFERROR(__xludf.DUMMYFUNCTION("filter('Back End'!C:C,'Back End'!A:A=A2137,'Back End'!B:B=B2137,'Back End'!D:D=D2137)"),"Jamulapalli")</f>
        <v>Jamulapalli</v>
      </c>
      <c r="D2137" s="91" t="s">
        <v>505</v>
      </c>
      <c r="E2137" s="91" t="s">
        <v>5715</v>
      </c>
      <c r="F2137" s="67" t="s">
        <v>3138</v>
      </c>
      <c r="G2137" s="67"/>
      <c r="H2137" s="93" t="s">
        <v>4</v>
      </c>
      <c r="I2137" s="67"/>
      <c r="J2137" s="92">
        <v>6281769084</v>
      </c>
      <c r="K2137" s="67"/>
      <c r="L2137" s="67"/>
      <c r="M2137" s="67"/>
      <c r="N2137" s="67"/>
      <c r="O2137" s="67"/>
    </row>
    <row r="2138" spans="1:15" ht="15">
      <c r="A2138" s="91" t="s">
        <v>10</v>
      </c>
      <c r="B2138" s="91" t="s">
        <v>10</v>
      </c>
      <c r="C2138" s="92" t="str">
        <f ca="1">IFERROR(__xludf.DUMMYFUNCTION("filter('Back End'!C:C,'Back End'!A:A=A2138,'Back End'!B:B=B2138,'Back End'!D:D=D2138)"),"Jamulapalli")</f>
        <v>Jamulapalli</v>
      </c>
      <c r="D2138" s="91" t="s">
        <v>505</v>
      </c>
      <c r="E2138" s="91" t="s">
        <v>5716</v>
      </c>
      <c r="F2138" s="91" t="s">
        <v>139</v>
      </c>
      <c r="G2138" s="91" t="s">
        <v>594</v>
      </c>
      <c r="H2138" s="93" t="s">
        <v>5</v>
      </c>
      <c r="I2138" s="92" t="s">
        <v>3112</v>
      </c>
      <c r="J2138" s="92">
        <v>8985572731</v>
      </c>
      <c r="K2138" s="67"/>
      <c r="L2138" s="67"/>
      <c r="M2138" s="67"/>
      <c r="N2138" s="67"/>
      <c r="O2138" s="67"/>
    </row>
    <row r="2139" spans="1:15" ht="30">
      <c r="A2139" s="91" t="s">
        <v>10</v>
      </c>
      <c r="B2139" s="91" t="s">
        <v>10</v>
      </c>
      <c r="C2139" s="92" t="str">
        <f ca="1">IFERROR(__xludf.DUMMYFUNCTION("filter('Back End'!C:C,'Back End'!A:A=A2139,'Back End'!B:B=B2139,'Back End'!D:D=D2139)"),"Jamulapalli")</f>
        <v>Jamulapalli</v>
      </c>
      <c r="D2139" s="91" t="s">
        <v>505</v>
      </c>
      <c r="E2139" s="91" t="s">
        <v>5717</v>
      </c>
      <c r="F2139" s="91" t="s">
        <v>114</v>
      </c>
      <c r="G2139" s="91" t="s">
        <v>85</v>
      </c>
      <c r="H2139" s="93" t="s">
        <v>5</v>
      </c>
      <c r="I2139" s="92" t="s">
        <v>3205</v>
      </c>
      <c r="J2139" s="92">
        <v>9949367516</v>
      </c>
      <c r="K2139" s="67"/>
      <c r="L2139" s="67"/>
      <c r="M2139" s="67"/>
      <c r="N2139" s="67"/>
      <c r="O2139" s="67"/>
    </row>
    <row r="2140" spans="1:15" ht="15">
      <c r="A2140" s="91" t="s">
        <v>10</v>
      </c>
      <c r="B2140" s="91" t="s">
        <v>10</v>
      </c>
      <c r="C2140" s="92" t="str">
        <f ca="1">IFERROR(__xludf.DUMMYFUNCTION("filter('Back End'!C:C,'Back End'!A:A=A2140,'Back End'!B:B=B2140,'Back End'!D:D=D2140)"),"Jamulapalli")</f>
        <v>Jamulapalli</v>
      </c>
      <c r="D2140" s="91" t="s">
        <v>505</v>
      </c>
      <c r="E2140" s="91" t="s">
        <v>5718</v>
      </c>
      <c r="F2140" s="91" t="s">
        <v>114</v>
      </c>
      <c r="G2140" s="91" t="s">
        <v>85</v>
      </c>
      <c r="H2140" s="93" t="s">
        <v>4</v>
      </c>
      <c r="I2140" s="92" t="s">
        <v>3185</v>
      </c>
      <c r="J2140" s="92">
        <v>9502951117</v>
      </c>
      <c r="K2140" s="67"/>
      <c r="L2140" s="67"/>
      <c r="M2140" s="67"/>
      <c r="N2140" s="67"/>
      <c r="O2140" s="67"/>
    </row>
    <row r="2141" spans="1:15" ht="15">
      <c r="A2141" s="91" t="s">
        <v>10</v>
      </c>
      <c r="B2141" s="91" t="s">
        <v>10</v>
      </c>
      <c r="C2141" s="92" t="str">
        <f ca="1">IFERROR(__xludf.DUMMYFUNCTION("filter('Back End'!C:C,'Back End'!A:A=A2141,'Back End'!B:B=B2141,'Back End'!D:D=D2141)"),"Jamulapalli")</f>
        <v>Jamulapalli</v>
      </c>
      <c r="D2141" s="91" t="s">
        <v>505</v>
      </c>
      <c r="E2141" s="91" t="s">
        <v>5719</v>
      </c>
      <c r="F2141" s="91" t="s">
        <v>114</v>
      </c>
      <c r="G2141" s="91" t="s">
        <v>85</v>
      </c>
      <c r="H2141" s="93" t="s">
        <v>4</v>
      </c>
      <c r="I2141" s="92" t="s">
        <v>3112</v>
      </c>
      <c r="J2141" s="92">
        <v>8309395940</v>
      </c>
      <c r="K2141" s="67"/>
      <c r="L2141" s="67"/>
      <c r="M2141" s="67"/>
      <c r="N2141" s="67"/>
      <c r="O2141" s="67"/>
    </row>
    <row r="2142" spans="1:15" ht="15">
      <c r="A2142" s="91" t="s">
        <v>10</v>
      </c>
      <c r="B2142" s="91" t="s">
        <v>10</v>
      </c>
      <c r="C2142" s="92" t="str">
        <f ca="1">IFERROR(__xludf.DUMMYFUNCTION("filter('Back End'!C:C,'Back End'!A:A=A2142,'Back End'!B:B=B2142,'Back End'!D:D=D2142)"),"Jamulapalli")</f>
        <v>Jamulapalli</v>
      </c>
      <c r="D2142" s="91" t="s">
        <v>505</v>
      </c>
      <c r="E2142" s="91" t="s">
        <v>5720</v>
      </c>
      <c r="F2142" s="67" t="s">
        <v>3138</v>
      </c>
      <c r="G2142" s="67"/>
      <c r="H2142" s="93" t="s">
        <v>5</v>
      </c>
      <c r="I2142" s="67"/>
      <c r="J2142" s="92">
        <v>9393551717</v>
      </c>
      <c r="K2142" s="67"/>
      <c r="L2142" s="67"/>
      <c r="M2142" s="67"/>
      <c r="N2142" s="67"/>
      <c r="O2142" s="67"/>
    </row>
    <row r="2143" spans="1:15" ht="15">
      <c r="A2143" s="91" t="s">
        <v>10</v>
      </c>
      <c r="B2143" s="91" t="s">
        <v>10</v>
      </c>
      <c r="C2143" s="92" t="str">
        <f ca="1">IFERROR(__xludf.DUMMYFUNCTION("filter('Back End'!C:C,'Back End'!A:A=A2143,'Back End'!B:B=B2143,'Back End'!D:D=D2143)"),"Jamulapalli")</f>
        <v>Jamulapalli</v>
      </c>
      <c r="D2143" s="91" t="s">
        <v>505</v>
      </c>
      <c r="E2143" s="91" t="s">
        <v>5721</v>
      </c>
      <c r="F2143" s="91" t="s">
        <v>437</v>
      </c>
      <c r="G2143" s="91" t="s">
        <v>594</v>
      </c>
      <c r="H2143" s="93" t="s">
        <v>5</v>
      </c>
      <c r="I2143" s="67"/>
      <c r="J2143" s="92">
        <v>8523087237</v>
      </c>
      <c r="K2143" s="67"/>
      <c r="L2143" s="67"/>
      <c r="M2143" s="67"/>
      <c r="N2143" s="67"/>
      <c r="O2143" s="67"/>
    </row>
    <row r="2144" spans="1:15" ht="15">
      <c r="A2144" s="91" t="s">
        <v>10</v>
      </c>
      <c r="B2144" s="91" t="s">
        <v>166</v>
      </c>
      <c r="C2144" s="92" t="str">
        <f ca="1">IFERROR(__xludf.DUMMYFUNCTION("filter('Back End'!C:C,'Back End'!A:A=A2144,'Back End'!B:B=B2144,'Back End'!D:D=D2144)"),"Komaragiri")</f>
        <v>Komaragiri</v>
      </c>
      <c r="D2144" s="91" t="s">
        <v>463</v>
      </c>
      <c r="E2144" s="91" t="s">
        <v>5722</v>
      </c>
      <c r="F2144" s="67" t="s">
        <v>3138</v>
      </c>
      <c r="G2144" s="67"/>
      <c r="H2144" s="93" t="s">
        <v>5</v>
      </c>
      <c r="I2144" s="67"/>
      <c r="J2144" s="92">
        <v>9010105614</v>
      </c>
      <c r="K2144" s="67"/>
      <c r="L2144" s="67"/>
      <c r="M2144" s="67"/>
      <c r="N2144" s="67"/>
      <c r="O2144" s="67"/>
    </row>
    <row r="2145" spans="1:15" ht="15">
      <c r="A2145" s="91" t="s">
        <v>10</v>
      </c>
      <c r="B2145" s="91" t="s">
        <v>166</v>
      </c>
      <c r="C2145" s="92" t="str">
        <f ca="1">IFERROR(__xludf.DUMMYFUNCTION("filter('Back End'!C:C,'Back End'!A:A=A2145,'Back End'!B:B=B2145,'Back End'!D:D=D2145)"),"Komaragiri")</f>
        <v>Komaragiri</v>
      </c>
      <c r="D2145" s="91" t="s">
        <v>463</v>
      </c>
      <c r="E2145" s="91" t="s">
        <v>5723</v>
      </c>
      <c r="F2145" s="67" t="s">
        <v>3138</v>
      </c>
      <c r="G2145" s="67"/>
      <c r="H2145" s="93" t="s">
        <v>5</v>
      </c>
      <c r="I2145" s="67"/>
      <c r="J2145" s="92">
        <v>9030204448</v>
      </c>
      <c r="K2145" s="67"/>
      <c r="L2145" s="67"/>
      <c r="M2145" s="67"/>
      <c r="N2145" s="67"/>
      <c r="O2145" s="67"/>
    </row>
    <row r="2146" spans="1:15" ht="15">
      <c r="A2146" s="91" t="s">
        <v>10</v>
      </c>
      <c r="B2146" s="91" t="s">
        <v>166</v>
      </c>
      <c r="C2146" s="92" t="str">
        <f ca="1">IFERROR(__xludf.DUMMYFUNCTION("filter('Back End'!C:C,'Back End'!A:A=A2146,'Back End'!B:B=B2146,'Back End'!D:D=D2146)"),"Kondevaram")</f>
        <v>Kondevaram</v>
      </c>
      <c r="D2146" s="91" t="s">
        <v>465</v>
      </c>
      <c r="E2146" s="91" t="s">
        <v>5724</v>
      </c>
      <c r="F2146" s="67" t="s">
        <v>3138</v>
      </c>
      <c r="G2146" s="67"/>
      <c r="H2146" s="93" t="s">
        <v>5</v>
      </c>
      <c r="I2146" s="67"/>
      <c r="J2146" s="92">
        <v>8297954114</v>
      </c>
      <c r="K2146" s="67"/>
      <c r="L2146" s="67"/>
      <c r="M2146" s="67"/>
      <c r="N2146" s="67"/>
      <c r="O2146" s="67"/>
    </row>
    <row r="2147" spans="1:15" ht="15">
      <c r="A2147" s="91" t="s">
        <v>10</v>
      </c>
      <c r="B2147" s="91" t="s">
        <v>166</v>
      </c>
      <c r="C2147" s="92" t="str">
        <f ca="1">IFERROR(__xludf.DUMMYFUNCTION("filter('Back End'!C:C,'Back End'!A:A=A2147,'Back End'!B:B=B2147,'Back End'!D:D=D2147)"),"Kondevaram")</f>
        <v>Kondevaram</v>
      </c>
      <c r="D2147" s="91" t="s">
        <v>465</v>
      </c>
      <c r="E2147" s="91" t="s">
        <v>5725</v>
      </c>
      <c r="F2147" s="67" t="s">
        <v>3138</v>
      </c>
      <c r="G2147" s="67"/>
      <c r="H2147" s="93" t="s">
        <v>5</v>
      </c>
      <c r="I2147" s="67"/>
      <c r="J2147" s="92">
        <v>8919694660</v>
      </c>
      <c r="K2147" s="67"/>
      <c r="L2147" s="67"/>
      <c r="M2147" s="67"/>
      <c r="N2147" s="67"/>
      <c r="O2147" s="67"/>
    </row>
    <row r="2148" spans="1:15" ht="15">
      <c r="A2148" s="91" t="s">
        <v>10</v>
      </c>
      <c r="B2148" s="91" t="s">
        <v>166</v>
      </c>
      <c r="C2148" s="92" t="str">
        <f ca="1">IFERROR(__xludf.DUMMYFUNCTION("filter('Back End'!C:C,'Back End'!A:A=A2148,'Back End'!B:B=B2148,'Back End'!D:D=D2148)"),"Kondevaram")</f>
        <v>Kondevaram</v>
      </c>
      <c r="D2148" s="91" t="s">
        <v>465</v>
      </c>
      <c r="E2148" s="91" t="s">
        <v>5726</v>
      </c>
      <c r="F2148" s="91" t="s">
        <v>139</v>
      </c>
      <c r="G2148" s="91" t="s">
        <v>594</v>
      </c>
      <c r="H2148" s="93" t="s">
        <v>5</v>
      </c>
      <c r="I2148" s="67"/>
      <c r="J2148" s="92">
        <v>9000755998</v>
      </c>
      <c r="K2148" s="67"/>
      <c r="L2148" s="67"/>
      <c r="M2148" s="67"/>
      <c r="N2148" s="67"/>
      <c r="O2148" s="67"/>
    </row>
    <row r="2149" spans="1:15" ht="15">
      <c r="A2149" s="91" t="s">
        <v>10</v>
      </c>
      <c r="B2149" s="91" t="s">
        <v>10</v>
      </c>
      <c r="C2149" s="92" t="str">
        <f ca="1">IFERROR(__xludf.DUMMYFUNCTION("filter('Back End'!C:C,'Back End'!A:A=A2149,'Back End'!B:B=B2149,'Back End'!D:D=D2149)"),"Madhavapuram")</f>
        <v>Madhavapuram</v>
      </c>
      <c r="D2149" s="91" t="s">
        <v>515</v>
      </c>
      <c r="E2149" s="91" t="s">
        <v>5727</v>
      </c>
      <c r="F2149" s="67" t="s">
        <v>3138</v>
      </c>
      <c r="G2149" s="67"/>
      <c r="H2149" s="93" t="s">
        <v>4</v>
      </c>
      <c r="I2149" s="67"/>
      <c r="J2149" s="92">
        <v>7569698143</v>
      </c>
      <c r="K2149" s="67"/>
      <c r="L2149" s="67"/>
      <c r="M2149" s="67"/>
      <c r="N2149" s="67"/>
      <c r="O2149" s="67"/>
    </row>
    <row r="2150" spans="1:15" ht="15">
      <c r="A2150" s="91" t="s">
        <v>10</v>
      </c>
      <c r="B2150" s="91" t="s">
        <v>10</v>
      </c>
      <c r="C2150" s="92" t="str">
        <f ca="1">IFERROR(__xludf.DUMMYFUNCTION("filter('Back End'!C:C,'Back End'!A:A=A2150,'Back End'!B:B=B2150,'Back End'!D:D=D2150)"),"Madhavapuram")</f>
        <v>Madhavapuram</v>
      </c>
      <c r="D2150" s="91" t="s">
        <v>515</v>
      </c>
      <c r="E2150" s="91" t="s">
        <v>5728</v>
      </c>
      <c r="F2150" s="91" t="s">
        <v>139</v>
      </c>
      <c r="G2150" s="91" t="s">
        <v>594</v>
      </c>
      <c r="H2150" s="93" t="s">
        <v>5</v>
      </c>
      <c r="I2150" s="67"/>
      <c r="J2150" s="92">
        <v>9030677254</v>
      </c>
      <c r="K2150" s="67"/>
      <c r="L2150" s="67"/>
      <c r="M2150" s="67"/>
      <c r="N2150" s="67"/>
      <c r="O2150" s="67"/>
    </row>
    <row r="2151" spans="1:15" ht="15">
      <c r="A2151" s="91" t="s">
        <v>10</v>
      </c>
      <c r="B2151" s="91" t="s">
        <v>10</v>
      </c>
      <c r="C2151" s="92" t="str">
        <f ca="1">IFERROR(__xludf.DUMMYFUNCTION("filter('Back End'!C:C,'Back End'!A:A=A2151,'Back End'!B:B=B2151,'Back End'!D:D=D2151)"),"Madhavapuram")</f>
        <v>Madhavapuram</v>
      </c>
      <c r="D2151" s="91" t="s">
        <v>515</v>
      </c>
      <c r="E2151" s="91" t="s">
        <v>5729</v>
      </c>
      <c r="F2151" s="67" t="s">
        <v>3138</v>
      </c>
      <c r="G2151" s="67"/>
      <c r="H2151" s="93" t="s">
        <v>4</v>
      </c>
      <c r="I2151" s="67"/>
      <c r="J2151" s="92">
        <v>9492512708</v>
      </c>
      <c r="K2151" s="67"/>
      <c r="L2151" s="67"/>
      <c r="M2151" s="67"/>
      <c r="N2151" s="67"/>
      <c r="O2151" s="67"/>
    </row>
    <row r="2152" spans="1:15" ht="15">
      <c r="A2152" s="91" t="s">
        <v>10</v>
      </c>
      <c r="B2152" s="91" t="s">
        <v>10</v>
      </c>
      <c r="C2152" s="92" t="str">
        <f ca="1">IFERROR(__xludf.DUMMYFUNCTION("filter('Back End'!C:C,'Back End'!A:A=A2152,'Back End'!B:B=B2152,'Back End'!D:D=D2152)"),"Madhavapuram")</f>
        <v>Madhavapuram</v>
      </c>
      <c r="D2152" s="91" t="s">
        <v>515</v>
      </c>
      <c r="E2152" s="91" t="s">
        <v>5730</v>
      </c>
      <c r="F2152" s="67" t="s">
        <v>3138</v>
      </c>
      <c r="G2152" s="67"/>
      <c r="H2152" s="93" t="s">
        <v>5</v>
      </c>
      <c r="I2152" s="67"/>
      <c r="J2152" s="92">
        <v>9490753515</v>
      </c>
      <c r="K2152" s="67"/>
      <c r="L2152" s="67"/>
      <c r="M2152" s="67"/>
      <c r="N2152" s="67"/>
      <c r="O2152" s="67"/>
    </row>
    <row r="2153" spans="1:15" ht="15">
      <c r="A2153" s="91" t="s">
        <v>10</v>
      </c>
      <c r="B2153" s="91" t="s">
        <v>10</v>
      </c>
      <c r="C2153" s="92" t="str">
        <f ca="1">IFERROR(__xludf.DUMMYFUNCTION("filter('Back End'!C:C,'Back End'!A:A=A2153,'Back End'!B:B=B2153,'Back End'!D:D=D2153)"),"Madhavapuram")</f>
        <v>Madhavapuram</v>
      </c>
      <c r="D2153" s="91" t="s">
        <v>515</v>
      </c>
      <c r="E2153" s="91" t="s">
        <v>5731</v>
      </c>
      <c r="F2153" s="67" t="s">
        <v>3138</v>
      </c>
      <c r="G2153" s="67"/>
      <c r="H2153" s="93" t="s">
        <v>4</v>
      </c>
      <c r="I2153" s="92" t="s">
        <v>3125</v>
      </c>
      <c r="J2153" s="92">
        <v>9493127979</v>
      </c>
      <c r="K2153" s="67"/>
      <c r="L2153" s="67"/>
      <c r="M2153" s="67"/>
      <c r="N2153" s="67"/>
      <c r="O2153" s="67"/>
    </row>
    <row r="2154" spans="1:15" ht="15">
      <c r="A2154" s="91" t="s">
        <v>10</v>
      </c>
      <c r="B2154" s="91" t="s">
        <v>166</v>
      </c>
      <c r="C2154" s="92" t="str">
        <f ca="1">IFERROR(__xludf.DUMMYFUNCTION("filter('Back End'!C:C,'Back End'!A:A=A2154,'Back End'!B:B=B2154,'Back End'!D:D=D2154)"),"Nagulapalle")</f>
        <v>Nagulapalle</v>
      </c>
      <c r="D2154" s="91" t="s">
        <v>475</v>
      </c>
      <c r="E2154" s="91" t="s">
        <v>5732</v>
      </c>
      <c r="F2154" s="67" t="s">
        <v>3138</v>
      </c>
      <c r="G2154" s="67"/>
      <c r="H2154" s="93" t="s">
        <v>5</v>
      </c>
      <c r="I2154" s="67"/>
      <c r="J2154" s="92">
        <v>9603339278</v>
      </c>
      <c r="K2154" s="67"/>
      <c r="L2154" s="67"/>
      <c r="M2154" s="67"/>
      <c r="N2154" s="67"/>
      <c r="O2154" s="67"/>
    </row>
    <row r="2155" spans="1:15" ht="15">
      <c r="A2155" s="91" t="s">
        <v>10</v>
      </c>
      <c r="B2155" s="91" t="s">
        <v>166</v>
      </c>
      <c r="C2155" s="92" t="str">
        <f ca="1">IFERROR(__xludf.DUMMYFUNCTION("filter('Back End'!C:C,'Back End'!A:A=A2155,'Back End'!B:B=B2155,'Back End'!D:D=D2155)"),"Nagulapalle")</f>
        <v>Nagulapalle</v>
      </c>
      <c r="D2155" s="91" t="s">
        <v>475</v>
      </c>
      <c r="E2155" s="91" t="s">
        <v>5733</v>
      </c>
      <c r="F2155" s="67" t="s">
        <v>3138</v>
      </c>
      <c r="G2155" s="67"/>
      <c r="H2155" s="93" t="s">
        <v>5</v>
      </c>
      <c r="I2155" s="67"/>
      <c r="J2155" s="92">
        <v>9550774056</v>
      </c>
      <c r="K2155" s="67"/>
      <c r="L2155" s="67"/>
      <c r="M2155" s="67"/>
      <c r="N2155" s="67"/>
      <c r="O2155" s="67"/>
    </row>
    <row r="2156" spans="1:15" ht="15">
      <c r="A2156" s="91" t="s">
        <v>10</v>
      </c>
      <c r="B2156" s="91" t="s">
        <v>166</v>
      </c>
      <c r="C2156" s="92" t="str">
        <f ca="1">IFERROR(__xludf.DUMMYFUNCTION("filter('Back End'!C:C,'Back End'!A:A=A2156,'Back End'!B:B=B2156,'Back End'!D:D=D2156)"),"Nagulapalle")</f>
        <v>Nagulapalle</v>
      </c>
      <c r="D2156" s="91" t="s">
        <v>475</v>
      </c>
      <c r="E2156" s="91" t="s">
        <v>5734</v>
      </c>
      <c r="F2156" s="67" t="s">
        <v>3138</v>
      </c>
      <c r="G2156" s="67"/>
      <c r="H2156" s="93" t="s">
        <v>5</v>
      </c>
      <c r="I2156" s="67"/>
      <c r="J2156" s="92">
        <v>7306829017</v>
      </c>
      <c r="K2156" s="67"/>
      <c r="L2156" s="67"/>
      <c r="M2156" s="67"/>
      <c r="N2156" s="67"/>
      <c r="O2156" s="67"/>
    </row>
    <row r="2157" spans="1:15" ht="15">
      <c r="A2157" s="91" t="s">
        <v>10</v>
      </c>
      <c r="B2157" s="91" t="s">
        <v>166</v>
      </c>
      <c r="C2157" s="92" t="str">
        <f ca="1">IFERROR(__xludf.DUMMYFUNCTION("filter('Back End'!C:C,'Back End'!A:A=A2157,'Back End'!B:B=B2157,'Back End'!D:D=D2157)"),"Nagulapalle")</f>
        <v>Nagulapalle</v>
      </c>
      <c r="D2157" s="91" t="s">
        <v>475</v>
      </c>
      <c r="E2157" s="91" t="s">
        <v>5735</v>
      </c>
      <c r="F2157" s="91" t="s">
        <v>437</v>
      </c>
      <c r="G2157" s="91" t="s">
        <v>594</v>
      </c>
      <c r="H2157" s="93" t="s">
        <v>5</v>
      </c>
      <c r="I2157" s="67"/>
      <c r="J2157" s="92">
        <v>7729078242</v>
      </c>
      <c r="K2157" s="67"/>
      <c r="L2157" s="67"/>
      <c r="M2157" s="67"/>
      <c r="N2157" s="67"/>
      <c r="O2157" s="67"/>
    </row>
    <row r="2158" spans="1:15" ht="15">
      <c r="A2158" s="91" t="s">
        <v>10</v>
      </c>
      <c r="B2158" s="91" t="s">
        <v>166</v>
      </c>
      <c r="C2158" s="92" t="str">
        <f ca="1">IFERROR(__xludf.DUMMYFUNCTION("filter('Back End'!C:C,'Back End'!A:A=A2158,'Back End'!B:B=B2158,'Back End'!D:D=D2158)"),"Nagulapalle")</f>
        <v>Nagulapalle</v>
      </c>
      <c r="D2158" s="91" t="s">
        <v>475</v>
      </c>
      <c r="E2158" s="91" t="s">
        <v>5736</v>
      </c>
      <c r="F2158" s="67" t="s">
        <v>3138</v>
      </c>
      <c r="G2158" s="67"/>
      <c r="H2158" s="93" t="s">
        <v>5</v>
      </c>
      <c r="I2158" s="67"/>
      <c r="J2158" s="92">
        <v>7093314884</v>
      </c>
      <c r="K2158" s="67"/>
      <c r="L2158" s="67"/>
      <c r="M2158" s="67"/>
      <c r="N2158" s="67"/>
      <c r="O2158" s="67"/>
    </row>
    <row r="2159" spans="1:15" ht="15">
      <c r="A2159" s="91" t="s">
        <v>10</v>
      </c>
      <c r="B2159" s="91" t="s">
        <v>10</v>
      </c>
      <c r="C2159" s="92" t="str">
        <f ca="1">IFERROR(__xludf.DUMMYFUNCTION("filter('Back End'!C:C,'Back End'!A:A=A2159,'Back End'!B:B=B2159,'Back End'!D:D=D2159)"),"Navakandravada")</f>
        <v>Navakandravada</v>
      </c>
      <c r="D2159" s="91" t="s">
        <v>526</v>
      </c>
      <c r="E2159" s="91" t="s">
        <v>5737</v>
      </c>
      <c r="F2159" s="67" t="s">
        <v>3138</v>
      </c>
      <c r="G2159" s="67"/>
      <c r="H2159" s="93" t="s">
        <v>4</v>
      </c>
      <c r="I2159" s="92" t="s">
        <v>3125</v>
      </c>
      <c r="J2159" s="92">
        <v>9959689489</v>
      </c>
      <c r="K2159" s="67"/>
      <c r="L2159" s="67"/>
      <c r="M2159" s="67"/>
      <c r="N2159" s="67"/>
      <c r="O2159" s="67"/>
    </row>
    <row r="2160" spans="1:15" ht="15">
      <c r="A2160" s="91" t="s">
        <v>10</v>
      </c>
      <c r="B2160" s="91" t="s">
        <v>10</v>
      </c>
      <c r="C2160" s="92" t="str">
        <f ca="1">IFERROR(__xludf.DUMMYFUNCTION("filter('Back End'!C:C,'Back End'!A:A=A2160,'Back End'!B:B=B2160,'Back End'!D:D=D2160)"),"Navakandravada")</f>
        <v>Navakandravada</v>
      </c>
      <c r="D2160" s="91" t="s">
        <v>526</v>
      </c>
      <c r="E2160" s="91" t="s">
        <v>5738</v>
      </c>
      <c r="F2160" s="67" t="s">
        <v>3138</v>
      </c>
      <c r="G2160" s="67"/>
      <c r="H2160" s="93" t="s">
        <v>4</v>
      </c>
      <c r="I2160" s="67"/>
      <c r="J2160" s="92">
        <v>9494903552</v>
      </c>
      <c r="K2160" s="67"/>
      <c r="L2160" s="67"/>
      <c r="M2160" s="67"/>
      <c r="N2160" s="67"/>
      <c r="O2160" s="67"/>
    </row>
    <row r="2161" spans="1:15" ht="15">
      <c r="A2161" s="91" t="s">
        <v>10</v>
      </c>
      <c r="B2161" s="91" t="s">
        <v>10</v>
      </c>
      <c r="C2161" s="92" t="str">
        <f ca="1">IFERROR(__xludf.DUMMYFUNCTION("filter('Back End'!C:C,'Back End'!A:A=A2161,'Back End'!B:B=B2161,'Back End'!D:D=D2161)"),"P Rayavaram")</f>
        <v>P Rayavaram</v>
      </c>
      <c r="D2161" s="91" t="s">
        <v>530</v>
      </c>
      <c r="E2161" s="91" t="s">
        <v>5739</v>
      </c>
      <c r="F2161" s="67" t="s">
        <v>3138</v>
      </c>
      <c r="G2161" s="67"/>
      <c r="H2161" s="93" t="s">
        <v>4</v>
      </c>
      <c r="I2161" s="67"/>
      <c r="J2161" s="92">
        <v>9959218956</v>
      </c>
      <c r="K2161" s="67"/>
      <c r="L2161" s="67"/>
      <c r="M2161" s="67"/>
      <c r="N2161" s="67"/>
      <c r="O2161" s="67"/>
    </row>
    <row r="2162" spans="1:15" ht="15">
      <c r="A2162" s="91" t="s">
        <v>10</v>
      </c>
      <c r="B2162" s="91" t="s">
        <v>10</v>
      </c>
      <c r="C2162" s="92" t="str">
        <f ca="1">IFERROR(__xludf.DUMMYFUNCTION("filter('Back End'!C:C,'Back End'!A:A=A2162,'Back End'!B:B=B2162,'Back End'!D:D=D2162)"),"P Rayavaram")</f>
        <v>P Rayavaram</v>
      </c>
      <c r="D2162" s="91" t="s">
        <v>530</v>
      </c>
      <c r="E2162" s="91" t="s">
        <v>5740</v>
      </c>
      <c r="F2162" s="91" t="s">
        <v>139</v>
      </c>
      <c r="G2162" s="91" t="s">
        <v>594</v>
      </c>
      <c r="H2162" s="93" t="s">
        <v>5</v>
      </c>
      <c r="I2162" s="67"/>
      <c r="J2162" s="92">
        <v>9704371447</v>
      </c>
      <c r="K2162" s="67"/>
      <c r="L2162" s="67"/>
      <c r="M2162" s="67"/>
      <c r="N2162" s="67"/>
      <c r="O2162" s="67"/>
    </row>
    <row r="2163" spans="1:15" ht="15">
      <c r="A2163" s="91" t="s">
        <v>10</v>
      </c>
      <c r="B2163" s="91" t="s">
        <v>10</v>
      </c>
      <c r="C2163" s="92" t="str">
        <f ca="1">IFERROR(__xludf.DUMMYFUNCTION("filter('Back End'!C:C,'Back End'!A:A=A2163,'Back End'!B:B=B2163,'Back End'!D:D=D2163)"),"P Rayavaram")</f>
        <v>P Rayavaram</v>
      </c>
      <c r="D2163" s="91" t="s">
        <v>530</v>
      </c>
      <c r="E2163" s="91" t="s">
        <v>5741</v>
      </c>
      <c r="F2163" s="67" t="s">
        <v>3138</v>
      </c>
      <c r="G2163" s="67"/>
      <c r="H2163" s="93" t="s">
        <v>4</v>
      </c>
      <c r="I2163" s="67"/>
      <c r="J2163" s="92">
        <v>9908078079</v>
      </c>
      <c r="K2163" s="67"/>
      <c r="L2163" s="67"/>
      <c r="M2163" s="67"/>
      <c r="N2163" s="67"/>
      <c r="O2163" s="67"/>
    </row>
    <row r="2164" spans="1:15" ht="15">
      <c r="A2164" s="91" t="s">
        <v>10</v>
      </c>
      <c r="B2164" s="91" t="s">
        <v>10</v>
      </c>
      <c r="C2164" s="92" t="str">
        <f ca="1">IFERROR(__xludf.DUMMYFUNCTION("filter('Back End'!C:C,'Back End'!A:A=A2164,'Back End'!B:B=B2164,'Back End'!D:D=D2164)"),"P Thimmapuram")</f>
        <v>P Thimmapuram</v>
      </c>
      <c r="D2164" s="91" t="s">
        <v>532</v>
      </c>
      <c r="E2164" s="91" t="s">
        <v>5742</v>
      </c>
      <c r="F2164" s="67" t="s">
        <v>3138</v>
      </c>
      <c r="G2164" s="67"/>
      <c r="H2164" s="93" t="s">
        <v>4</v>
      </c>
      <c r="I2164" s="67"/>
      <c r="J2164" s="92">
        <v>9963632456</v>
      </c>
      <c r="K2164" s="67"/>
      <c r="L2164" s="67"/>
      <c r="M2164" s="67"/>
      <c r="N2164" s="67"/>
      <c r="O2164" s="67"/>
    </row>
    <row r="2165" spans="1:15" ht="15">
      <c r="A2165" s="91" t="s">
        <v>10</v>
      </c>
      <c r="B2165" s="91" t="s">
        <v>10</v>
      </c>
      <c r="C2165" s="92" t="str">
        <f ca="1">IFERROR(__xludf.DUMMYFUNCTION("filter('Back End'!C:C,'Back End'!A:A=A2165,'Back End'!B:B=B2165,'Back End'!D:D=D2165)"),"P Thimmapuram")</f>
        <v>P Thimmapuram</v>
      </c>
      <c r="D2165" s="91" t="s">
        <v>532</v>
      </c>
      <c r="E2165" s="91" t="s">
        <v>5743</v>
      </c>
      <c r="F2165" s="67" t="s">
        <v>3138</v>
      </c>
      <c r="G2165" s="67"/>
      <c r="H2165" s="93" t="s">
        <v>4</v>
      </c>
      <c r="I2165" s="92" t="s">
        <v>3125</v>
      </c>
      <c r="J2165" s="92">
        <v>9502396896</v>
      </c>
      <c r="K2165" s="67"/>
      <c r="L2165" s="67"/>
      <c r="M2165" s="67"/>
      <c r="N2165" s="67"/>
      <c r="O2165" s="67"/>
    </row>
    <row r="2166" spans="1:15" ht="15">
      <c r="A2166" s="91" t="s">
        <v>10</v>
      </c>
      <c r="B2166" s="91" t="s">
        <v>10</v>
      </c>
      <c r="C2166" s="92" t="str">
        <f ca="1">IFERROR(__xludf.DUMMYFUNCTION("filter('Back End'!C:C,'Back End'!A:A=A2166,'Back End'!B:B=B2166,'Back End'!D:D=D2166)"),"P Thimmapuram")</f>
        <v>P Thimmapuram</v>
      </c>
      <c r="D2166" s="91" t="s">
        <v>532</v>
      </c>
      <c r="E2166" s="91" t="s">
        <v>5744</v>
      </c>
      <c r="F2166" s="67" t="s">
        <v>3138</v>
      </c>
      <c r="G2166" s="67"/>
      <c r="H2166" s="93" t="s">
        <v>4</v>
      </c>
      <c r="I2166" s="67"/>
      <c r="J2166" s="92">
        <v>9581882536</v>
      </c>
      <c r="K2166" s="67"/>
      <c r="L2166" s="67"/>
      <c r="M2166" s="67"/>
      <c r="N2166" s="67"/>
      <c r="O2166" s="67"/>
    </row>
    <row r="2167" spans="1:15" ht="15">
      <c r="A2167" s="91" t="s">
        <v>10</v>
      </c>
      <c r="B2167" s="91" t="s">
        <v>10</v>
      </c>
      <c r="C2167" s="92" t="str">
        <f ca="1">IFERROR(__xludf.DUMMYFUNCTION("filter('Back End'!C:C,'Back End'!A:A=A2167,'Back End'!B:B=B2167,'Back End'!D:D=D2167)"),"P Rayavaram")</f>
        <v>P Rayavaram</v>
      </c>
      <c r="D2167" s="91" t="s">
        <v>530</v>
      </c>
      <c r="E2167" s="91" t="s">
        <v>5745</v>
      </c>
      <c r="F2167" s="91" t="s">
        <v>139</v>
      </c>
      <c r="G2167" s="91" t="s">
        <v>594</v>
      </c>
      <c r="H2167" s="93" t="s">
        <v>5</v>
      </c>
      <c r="I2167" s="67"/>
      <c r="J2167" s="92">
        <v>8106484931</v>
      </c>
      <c r="K2167" s="67"/>
      <c r="L2167" s="67"/>
      <c r="M2167" s="67"/>
      <c r="N2167" s="67"/>
      <c r="O2167" s="67"/>
    </row>
    <row r="2168" spans="1:15" ht="15">
      <c r="A2168" s="91" t="s">
        <v>10</v>
      </c>
      <c r="B2168" s="91" t="s">
        <v>166</v>
      </c>
      <c r="C2168" s="92" t="str">
        <f ca="1">IFERROR(__xludf.DUMMYFUNCTION("filter('Back End'!C:C,'Back End'!A:A=A2168,'Back End'!B:B=B2168,'Back End'!D:D=D2168)"),"Ramanakkapeta")</f>
        <v>Ramanakkapeta</v>
      </c>
      <c r="D2168" s="91" t="s">
        <v>479</v>
      </c>
      <c r="E2168" s="91" t="s">
        <v>5746</v>
      </c>
      <c r="F2168" s="67" t="s">
        <v>3138</v>
      </c>
      <c r="G2168" s="67"/>
      <c r="H2168" s="93" t="s">
        <v>5</v>
      </c>
      <c r="I2168" s="67"/>
      <c r="J2168" s="92">
        <v>9989801545</v>
      </c>
      <c r="K2168" s="67"/>
      <c r="L2168" s="67"/>
      <c r="M2168" s="67"/>
      <c r="N2168" s="67"/>
      <c r="O2168" s="67"/>
    </row>
    <row r="2169" spans="1:15" ht="15">
      <c r="A2169" s="91" t="s">
        <v>10</v>
      </c>
      <c r="B2169" s="91" t="s">
        <v>166</v>
      </c>
      <c r="C2169" s="92" t="str">
        <f ca="1">IFERROR(__xludf.DUMMYFUNCTION("filter('Back End'!C:C,'Back End'!A:A=A2169,'Back End'!B:B=B2169,'Back End'!D:D=D2169)"),"Isukapalli")</f>
        <v>Isukapalli</v>
      </c>
      <c r="D2169" s="91" t="s">
        <v>462</v>
      </c>
      <c r="E2169" s="91" t="s">
        <v>5747</v>
      </c>
      <c r="F2169" s="67" t="s">
        <v>3138</v>
      </c>
      <c r="G2169" s="67"/>
      <c r="H2169" s="93" t="s">
        <v>5</v>
      </c>
      <c r="I2169" s="67"/>
      <c r="J2169" s="92">
        <v>9666744861</v>
      </c>
      <c r="K2169" s="67"/>
      <c r="L2169" s="67"/>
      <c r="M2169" s="67"/>
      <c r="N2169" s="67"/>
      <c r="O2169" s="67"/>
    </row>
    <row r="2170" spans="1:15" ht="15">
      <c r="A2170" s="91" t="s">
        <v>10</v>
      </c>
      <c r="B2170" s="91" t="s">
        <v>10</v>
      </c>
      <c r="C2170" s="92" t="str">
        <f ca="1">IFERROR(__xludf.DUMMYFUNCTION("filter('Back End'!C:C,'Back End'!A:A=A2170,'Back End'!B:B=B2170,'Back End'!D:D=D2170)"),"P Thimmapuram")</f>
        <v>P Thimmapuram</v>
      </c>
      <c r="D2170" s="91" t="s">
        <v>532</v>
      </c>
      <c r="E2170" s="91" t="s">
        <v>5748</v>
      </c>
      <c r="F2170" s="91" t="s">
        <v>586</v>
      </c>
      <c r="G2170" s="91" t="s">
        <v>615</v>
      </c>
      <c r="H2170" s="93" t="s">
        <v>5</v>
      </c>
      <c r="I2170" s="67"/>
      <c r="J2170" s="92">
        <v>8106845466</v>
      </c>
      <c r="K2170" s="67"/>
      <c r="L2170" s="67"/>
      <c r="M2170" s="67"/>
      <c r="N2170" s="67"/>
      <c r="O2170" s="67"/>
    </row>
    <row r="2171" spans="1:15" ht="15">
      <c r="A2171" s="91" t="s">
        <v>10</v>
      </c>
      <c r="B2171" s="91" t="s">
        <v>10</v>
      </c>
      <c r="C2171" s="92" t="str">
        <f ca="1">IFERROR(__xludf.DUMMYFUNCTION("filter('Back End'!C:C,'Back End'!A:A=A2171,'Back End'!B:B=B2171,'Back End'!D:D=D2171)"),"P Thimmapuram")</f>
        <v>P Thimmapuram</v>
      </c>
      <c r="D2171" s="91" t="s">
        <v>532</v>
      </c>
      <c r="E2171" s="91" t="s">
        <v>5749</v>
      </c>
      <c r="F2171" s="67" t="s">
        <v>3138</v>
      </c>
      <c r="G2171" s="67"/>
      <c r="H2171" s="93" t="s">
        <v>5</v>
      </c>
      <c r="I2171" s="67"/>
      <c r="J2171" s="92">
        <v>9502702547</v>
      </c>
      <c r="K2171" s="67"/>
      <c r="L2171" s="67"/>
      <c r="M2171" s="67"/>
      <c r="N2171" s="67"/>
      <c r="O2171" s="67"/>
    </row>
    <row r="2172" spans="1:15" ht="15">
      <c r="A2172" s="91" t="s">
        <v>10</v>
      </c>
      <c r="B2172" s="91" t="s">
        <v>166</v>
      </c>
      <c r="C2172" s="92" t="str">
        <f ca="1">IFERROR(__xludf.DUMMYFUNCTION("filter('Back End'!C:C,'Back End'!A:A=A2172,'Back End'!B:B=B2172,'Back End'!D:D=D2172)"),"Vakatippa")</f>
        <v>Vakatippa</v>
      </c>
      <c r="D2172" s="91" t="s">
        <v>485</v>
      </c>
      <c r="E2172" s="91" t="s">
        <v>5750</v>
      </c>
      <c r="F2172" s="91" t="s">
        <v>139</v>
      </c>
      <c r="G2172" s="91" t="s">
        <v>594</v>
      </c>
      <c r="H2172" s="93" t="s">
        <v>5</v>
      </c>
      <c r="I2172" s="67"/>
      <c r="J2172" s="92">
        <v>9177549199</v>
      </c>
      <c r="K2172" s="67"/>
      <c r="L2172" s="67"/>
      <c r="M2172" s="67"/>
      <c r="N2172" s="67"/>
      <c r="O2172" s="67"/>
    </row>
    <row r="2173" spans="1:15" ht="15">
      <c r="A2173" s="91" t="s">
        <v>10</v>
      </c>
      <c r="B2173" s="91" t="s">
        <v>166</v>
      </c>
      <c r="C2173" s="92" t="str">
        <f ca="1">IFERROR(__xludf.DUMMYFUNCTION("filter('Back End'!C:C,'Back End'!A:A=A2173,'Back End'!B:B=B2173,'Back End'!D:D=D2173)"),"Vakatippa")</f>
        <v>Vakatippa</v>
      </c>
      <c r="D2173" s="91" t="s">
        <v>485</v>
      </c>
      <c r="E2173" s="91" t="s">
        <v>5751</v>
      </c>
      <c r="F2173" s="67" t="s">
        <v>3138</v>
      </c>
      <c r="G2173" s="67"/>
      <c r="H2173" s="93" t="s">
        <v>5</v>
      </c>
      <c r="I2173" s="67"/>
      <c r="J2173" s="92">
        <v>7893366719</v>
      </c>
      <c r="K2173" s="67"/>
      <c r="L2173" s="67"/>
      <c r="M2173" s="67"/>
      <c r="N2173" s="67"/>
      <c r="O2173" s="67"/>
    </row>
    <row r="2174" spans="1:15" ht="15">
      <c r="A2174" s="91" t="s">
        <v>10</v>
      </c>
      <c r="B2174" s="91" t="s">
        <v>166</v>
      </c>
      <c r="C2174" s="92" t="str">
        <f ca="1">IFERROR(__xludf.DUMMYFUNCTION("filter('Back End'!C:C,'Back End'!A:A=A2174,'Back End'!B:B=B2174,'Back End'!D:D=D2174)"),"Vakatippa")</f>
        <v>Vakatippa</v>
      </c>
      <c r="D2174" s="91" t="s">
        <v>485</v>
      </c>
      <c r="E2174" s="91" t="s">
        <v>5752</v>
      </c>
      <c r="F2174" s="67" t="s">
        <v>3138</v>
      </c>
      <c r="G2174" s="67"/>
      <c r="H2174" s="93" t="s">
        <v>5</v>
      </c>
      <c r="I2174" s="67"/>
      <c r="J2174" s="92">
        <v>8519900195</v>
      </c>
      <c r="K2174" s="67"/>
      <c r="L2174" s="67"/>
      <c r="M2174" s="67"/>
      <c r="N2174" s="67"/>
      <c r="O2174" s="67"/>
    </row>
    <row r="2175" spans="1:15" ht="15">
      <c r="A2175" s="91" t="s">
        <v>10</v>
      </c>
      <c r="B2175" s="91" t="s">
        <v>166</v>
      </c>
      <c r="C2175" s="92" t="str">
        <f ca="1">IFERROR(__xludf.DUMMYFUNCTION("filter('Back End'!C:C,'Back End'!A:A=A2175,'Back End'!B:B=B2175,'Back End'!D:D=D2175)"),"Vakatippa")</f>
        <v>Vakatippa</v>
      </c>
      <c r="D2175" s="91" t="s">
        <v>485</v>
      </c>
      <c r="E2175" s="91" t="s">
        <v>5753</v>
      </c>
      <c r="F2175" s="67" t="s">
        <v>3138</v>
      </c>
      <c r="G2175" s="67"/>
      <c r="H2175" s="93" t="s">
        <v>5</v>
      </c>
      <c r="I2175" s="67"/>
      <c r="J2175" s="92">
        <v>7675000748</v>
      </c>
      <c r="K2175" s="67"/>
      <c r="L2175" s="67"/>
      <c r="M2175" s="67"/>
      <c r="N2175" s="67"/>
      <c r="O2175" s="67"/>
    </row>
    <row r="2176" spans="1:15" ht="15">
      <c r="A2176" s="91" t="s">
        <v>10</v>
      </c>
      <c r="B2176" s="91" t="s">
        <v>166</v>
      </c>
      <c r="C2176" s="92" t="str">
        <f ca="1">IFERROR(__xludf.DUMMYFUNCTION("filter('Back End'!C:C,'Back End'!A:A=A2176,'Back End'!B:B=B2176,'Back End'!D:D=D2176)"),"Vakatippa")</f>
        <v>Vakatippa</v>
      </c>
      <c r="D2176" s="91" t="s">
        <v>485</v>
      </c>
      <c r="E2176" s="91" t="s">
        <v>5754</v>
      </c>
      <c r="F2176" s="67" t="s">
        <v>3138</v>
      </c>
      <c r="G2176" s="67"/>
      <c r="H2176" s="93" t="s">
        <v>5</v>
      </c>
      <c r="I2176" s="67"/>
      <c r="J2176" s="92">
        <v>8332821102</v>
      </c>
      <c r="K2176" s="67"/>
      <c r="L2176" s="67"/>
      <c r="M2176" s="67"/>
      <c r="N2176" s="67"/>
      <c r="O2176" s="67"/>
    </row>
    <row r="2177" spans="1:15" ht="15">
      <c r="A2177" s="91" t="s">
        <v>10</v>
      </c>
      <c r="B2177" s="91" t="s">
        <v>166</v>
      </c>
      <c r="C2177" s="92" t="str">
        <f ca="1">IFERROR(__xludf.DUMMYFUNCTION("filter('Back End'!C:C,'Back End'!A:A=A2177,'Back End'!B:B=B2177,'Back End'!D:D=D2177)"),"Vakatippa")</f>
        <v>Vakatippa</v>
      </c>
      <c r="D2177" s="91" t="s">
        <v>485</v>
      </c>
      <c r="E2177" s="91" t="s">
        <v>5755</v>
      </c>
      <c r="F2177" s="91" t="s">
        <v>1687</v>
      </c>
      <c r="G2177" s="91" t="s">
        <v>615</v>
      </c>
      <c r="H2177" s="93" t="s">
        <v>5</v>
      </c>
      <c r="I2177" s="92" t="s">
        <v>3115</v>
      </c>
      <c r="J2177" s="92">
        <v>9908912305</v>
      </c>
      <c r="K2177" s="67"/>
      <c r="L2177" s="67"/>
      <c r="M2177" s="67"/>
      <c r="N2177" s="67"/>
      <c r="O2177" s="67"/>
    </row>
    <row r="2178" spans="1:15" ht="15">
      <c r="A2178" s="91" t="s">
        <v>10</v>
      </c>
      <c r="B2178" s="91" t="s">
        <v>166</v>
      </c>
      <c r="C2178" s="92" t="str">
        <f ca="1">IFERROR(__xludf.DUMMYFUNCTION("filter('Back End'!C:C,'Back End'!A:A=A2178,'Back End'!B:B=B2178,'Back End'!D:D=D2178)"),"Vakatippa")</f>
        <v>Vakatippa</v>
      </c>
      <c r="D2178" s="91" t="s">
        <v>485</v>
      </c>
      <c r="E2178" s="100" t="s">
        <v>5756</v>
      </c>
      <c r="F2178" s="124" t="s">
        <v>114</v>
      </c>
      <c r="G2178" s="124" t="s">
        <v>85</v>
      </c>
      <c r="H2178" s="93" t="s">
        <v>5</v>
      </c>
      <c r="I2178" s="124" t="s">
        <v>3185</v>
      </c>
      <c r="J2178" s="99"/>
      <c r="K2178" s="99"/>
      <c r="L2178" s="99"/>
      <c r="M2178" s="99"/>
      <c r="N2178" s="67"/>
      <c r="O2178" s="67"/>
    </row>
    <row r="2179" spans="1:15" ht="15">
      <c r="A2179" s="91" t="s">
        <v>10</v>
      </c>
      <c r="B2179" s="100" t="s">
        <v>166</v>
      </c>
      <c r="C2179" s="97" t="str">
        <f ca="1">IFERROR(__xludf.DUMMYFUNCTION("filter('Back End'!C:C,'Back End'!A:A=A2179,'Back End'!B:B=B2179,'Back End'!D:D=D2179)"),"Vakatippa")</f>
        <v>Vakatippa</v>
      </c>
      <c r="D2179" s="100" t="s">
        <v>485</v>
      </c>
      <c r="E2179" s="100" t="s">
        <v>5757</v>
      </c>
      <c r="F2179" s="124" t="s">
        <v>139</v>
      </c>
      <c r="G2179" s="124" t="s">
        <v>594</v>
      </c>
      <c r="H2179" s="100" t="s">
        <v>4</v>
      </c>
      <c r="I2179" s="124" t="s">
        <v>3634</v>
      </c>
      <c r="J2179" s="97">
        <v>7989828333</v>
      </c>
      <c r="K2179" s="99"/>
      <c r="L2179" s="99"/>
      <c r="M2179" s="99"/>
      <c r="N2179" s="67"/>
      <c r="O2179" s="67"/>
    </row>
    <row r="2180" spans="1:15" ht="15">
      <c r="A2180" s="101" t="s">
        <v>10</v>
      </c>
      <c r="B2180" s="93" t="s">
        <v>166</v>
      </c>
      <c r="C2180" s="102" t="str">
        <f ca="1">IFERROR(__xludf.DUMMYFUNCTION("filter('Back End'!C:C,'Back End'!A:A=A2180,'Back End'!B:B=B2180,'Back End'!D:D=D2180)"),"Vakatippa")</f>
        <v>Vakatippa</v>
      </c>
      <c r="D2180" s="93" t="s">
        <v>485</v>
      </c>
      <c r="E2180" s="93" t="s">
        <v>5758</v>
      </c>
      <c r="F2180" s="95" t="s">
        <v>3138</v>
      </c>
      <c r="G2180" s="95"/>
      <c r="H2180" s="93" t="s">
        <v>4</v>
      </c>
      <c r="I2180" s="95"/>
      <c r="J2180" s="102">
        <v>7569709916</v>
      </c>
      <c r="K2180" s="95"/>
      <c r="L2180" s="95"/>
      <c r="M2180" s="95"/>
      <c r="N2180" s="67"/>
      <c r="O2180" s="67"/>
    </row>
    <row r="2181" spans="1:15" ht="15">
      <c r="A2181" s="101" t="s">
        <v>10</v>
      </c>
      <c r="B2181" s="93" t="s">
        <v>166</v>
      </c>
      <c r="C2181" s="102" t="str">
        <f ca="1">IFERROR(__xludf.DUMMYFUNCTION("filter('Back End'!C:C,'Back End'!A:A=A2181,'Back End'!B:B=B2181,'Back End'!D:D=D2181)"),"Vakatippa")</f>
        <v>Vakatippa</v>
      </c>
      <c r="D2181" s="93" t="s">
        <v>485</v>
      </c>
      <c r="E2181" s="93" t="s">
        <v>5759</v>
      </c>
      <c r="F2181" s="95" t="s">
        <v>3138</v>
      </c>
      <c r="G2181" s="95"/>
      <c r="H2181" s="93" t="s">
        <v>4</v>
      </c>
      <c r="I2181" s="95"/>
      <c r="J2181" s="102">
        <v>9849874394</v>
      </c>
      <c r="K2181" s="95"/>
      <c r="L2181" s="95"/>
      <c r="M2181" s="95"/>
      <c r="N2181" s="67"/>
      <c r="O2181" s="67"/>
    </row>
    <row r="2182" spans="1:15" ht="15">
      <c r="A2182" s="91" t="s">
        <v>10</v>
      </c>
      <c r="B2182" s="91" t="s">
        <v>10</v>
      </c>
      <c r="C2182" s="92" t="str">
        <f ca="1">IFERROR(__xludf.DUMMYFUNCTION("filter('Back End'!C:C,'Back End'!A:A=A2182,'Back End'!B:B=B2182,'Back End'!D:D=D2182)"),"Virawada")</f>
        <v>Virawada</v>
      </c>
      <c r="D2182" s="91" t="s">
        <v>540</v>
      </c>
      <c r="E2182" s="91" t="s">
        <v>5760</v>
      </c>
      <c r="F2182" s="91" t="s">
        <v>139</v>
      </c>
      <c r="G2182" s="91" t="s">
        <v>594</v>
      </c>
      <c r="H2182" s="93" t="s">
        <v>5</v>
      </c>
      <c r="I2182" s="67"/>
      <c r="J2182" s="92">
        <v>7793930587</v>
      </c>
      <c r="K2182" s="67"/>
      <c r="L2182" s="67"/>
      <c r="M2182" s="67"/>
      <c r="N2182" s="67"/>
      <c r="O2182" s="67"/>
    </row>
    <row r="2183" spans="1:15" ht="15">
      <c r="A2183" s="91" t="s">
        <v>10</v>
      </c>
      <c r="B2183" s="91" t="s">
        <v>10</v>
      </c>
      <c r="C2183" s="92" t="str">
        <f ca="1">IFERROR(__xludf.DUMMYFUNCTION("filter('Back End'!C:C,'Back End'!A:A=A2183,'Back End'!B:B=B2183,'Back End'!D:D=D2183)"),"Virawada")</f>
        <v>Virawada</v>
      </c>
      <c r="D2183" s="91" t="s">
        <v>540</v>
      </c>
      <c r="E2183" s="91" t="s">
        <v>5761</v>
      </c>
      <c r="F2183" s="67" t="s">
        <v>3138</v>
      </c>
      <c r="G2183" s="67"/>
      <c r="H2183" s="93" t="s">
        <v>4</v>
      </c>
      <c r="I2183" s="92" t="s">
        <v>3125</v>
      </c>
      <c r="J2183" s="92">
        <v>8341447244</v>
      </c>
      <c r="K2183" s="67"/>
      <c r="L2183" s="67"/>
      <c r="M2183" s="67"/>
      <c r="N2183" s="67"/>
      <c r="O2183" s="67"/>
    </row>
    <row r="2184" spans="1:15" ht="15">
      <c r="A2184" s="91" t="s">
        <v>10</v>
      </c>
      <c r="B2184" s="91" t="s">
        <v>10</v>
      </c>
      <c r="C2184" s="92" t="str">
        <f ca="1">IFERROR(__xludf.DUMMYFUNCTION("filter('Back End'!C:C,'Back End'!A:A=A2184,'Back End'!B:B=B2184,'Back End'!D:D=D2184)"),"Virawada")</f>
        <v>Virawada</v>
      </c>
      <c r="D2184" s="91" t="s">
        <v>540</v>
      </c>
      <c r="E2184" s="91" t="s">
        <v>5762</v>
      </c>
      <c r="F2184" s="67" t="s">
        <v>3138</v>
      </c>
      <c r="G2184" s="67"/>
      <c r="H2184" s="93" t="s">
        <v>4</v>
      </c>
      <c r="I2184" s="67"/>
      <c r="J2184" s="92">
        <v>9705553492</v>
      </c>
      <c r="K2184" s="67"/>
      <c r="L2184" s="67"/>
      <c r="M2184" s="67"/>
      <c r="N2184" s="67"/>
      <c r="O2184" s="67"/>
    </row>
    <row r="2185" spans="1:15" ht="15">
      <c r="A2185" s="91" t="s">
        <v>10</v>
      </c>
      <c r="B2185" s="91" t="s">
        <v>10</v>
      </c>
      <c r="C2185" s="92" t="str">
        <f ca="1">IFERROR(__xludf.DUMMYFUNCTION("filter('Back End'!C:C,'Back End'!A:A=A2185,'Back End'!B:B=B2185,'Back End'!D:D=D2185)"),"Virawada")</f>
        <v>Virawada</v>
      </c>
      <c r="D2185" s="91" t="s">
        <v>540</v>
      </c>
      <c r="E2185" s="91" t="s">
        <v>5763</v>
      </c>
      <c r="F2185" s="67" t="s">
        <v>3138</v>
      </c>
      <c r="G2185" s="67"/>
      <c r="H2185" s="93" t="s">
        <v>4</v>
      </c>
      <c r="I2185" s="67"/>
      <c r="J2185" s="92">
        <v>7396653433</v>
      </c>
      <c r="K2185" s="67"/>
      <c r="L2185" s="67"/>
      <c r="M2185" s="67"/>
      <c r="N2185" s="67"/>
      <c r="O2185" s="67"/>
    </row>
    <row r="2186" spans="1:15" ht="15">
      <c r="A2186" s="91" t="s">
        <v>10</v>
      </c>
      <c r="B2186" s="91" t="s">
        <v>10</v>
      </c>
      <c r="C2186" s="92" t="str">
        <f ca="1">IFERROR(__xludf.DUMMYFUNCTION("filter('Back End'!C:C,'Back End'!A:A=A2186,'Back End'!B:B=B2186,'Back End'!D:D=D2186)"),"Virawada")</f>
        <v>Virawada</v>
      </c>
      <c r="D2186" s="91" t="s">
        <v>540</v>
      </c>
      <c r="E2186" s="91" t="s">
        <v>5764</v>
      </c>
      <c r="F2186" s="67" t="s">
        <v>3138</v>
      </c>
      <c r="G2186" s="67"/>
      <c r="H2186" s="93" t="s">
        <v>4</v>
      </c>
      <c r="I2186" s="67"/>
      <c r="J2186" s="92">
        <v>7396112756</v>
      </c>
      <c r="K2186" s="67"/>
      <c r="L2186" s="67"/>
      <c r="M2186" s="67"/>
      <c r="N2186" s="67"/>
      <c r="O2186" s="67"/>
    </row>
    <row r="2187" spans="1:15" ht="15">
      <c r="A2187" s="91" t="s">
        <v>10</v>
      </c>
      <c r="B2187" s="91" t="s">
        <v>10</v>
      </c>
      <c r="C2187" s="92" t="str">
        <f ca="1">IFERROR(__xludf.DUMMYFUNCTION("filter('Back End'!C:C,'Back End'!A:A=A2187,'Back End'!B:B=B2187,'Back End'!D:D=D2187)"),"Virawada")</f>
        <v>Virawada</v>
      </c>
      <c r="D2187" s="91" t="s">
        <v>540</v>
      </c>
      <c r="E2187" s="91" t="s">
        <v>5765</v>
      </c>
      <c r="F2187" s="67" t="s">
        <v>3138</v>
      </c>
      <c r="G2187" s="67"/>
      <c r="H2187" s="93" t="s">
        <v>4</v>
      </c>
      <c r="I2187" s="67"/>
      <c r="J2187" s="92">
        <v>8341233983</v>
      </c>
      <c r="K2187" s="67"/>
      <c r="L2187" s="67"/>
      <c r="M2187" s="67"/>
      <c r="N2187" s="67"/>
      <c r="O2187" s="67"/>
    </row>
    <row r="2188" spans="1:15" ht="15">
      <c r="A2188" s="91" t="s">
        <v>10</v>
      </c>
      <c r="B2188" s="91" t="s">
        <v>166</v>
      </c>
      <c r="C2188" s="92" t="str">
        <f ca="1">IFERROR(__xludf.DUMMYFUNCTION("filter('Back End'!C:C,'Back End'!A:A=A2188,'Back End'!B:B=B2188,'Back End'!D:D=D2188)"),"Mulapeta")</f>
        <v>Mulapeta</v>
      </c>
      <c r="D2188" s="91" t="s">
        <v>473</v>
      </c>
      <c r="E2188" s="91" t="s">
        <v>5766</v>
      </c>
      <c r="F2188" s="91" t="s">
        <v>288</v>
      </c>
      <c r="G2188" s="91" t="s">
        <v>615</v>
      </c>
      <c r="H2188" s="93" t="s">
        <v>5</v>
      </c>
      <c r="I2188" s="67"/>
      <c r="J2188" s="92">
        <v>9642642611</v>
      </c>
      <c r="K2188" s="67"/>
      <c r="L2188" s="67"/>
      <c r="M2188" s="67"/>
      <c r="N2188" s="67"/>
      <c r="O2188" s="67"/>
    </row>
    <row r="2189" spans="1:15" ht="15">
      <c r="A2189" s="91" t="s">
        <v>10</v>
      </c>
      <c r="B2189" s="91" t="s">
        <v>166</v>
      </c>
      <c r="C2189" s="92" t="str">
        <f ca="1">IFERROR(__xludf.DUMMYFUNCTION("filter('Back End'!C:C,'Back End'!A:A=A2189,'Back End'!B:B=B2189,'Back End'!D:D=D2189)"),"Mulapeta")</f>
        <v>Mulapeta</v>
      </c>
      <c r="D2189" s="91" t="s">
        <v>473</v>
      </c>
      <c r="E2189" s="91" t="s">
        <v>5767</v>
      </c>
      <c r="F2189" s="67" t="s">
        <v>3138</v>
      </c>
      <c r="G2189" s="67"/>
      <c r="H2189" s="93" t="s">
        <v>5</v>
      </c>
      <c r="I2189" s="67"/>
      <c r="J2189" s="92">
        <v>7661860134</v>
      </c>
      <c r="K2189" s="67"/>
      <c r="L2189" s="67"/>
      <c r="M2189" s="67"/>
      <c r="N2189" s="67"/>
      <c r="O2189" s="67"/>
    </row>
    <row r="2190" spans="1:15" ht="15">
      <c r="A2190" s="91" t="s">
        <v>10</v>
      </c>
      <c r="B2190" s="91" t="s">
        <v>166</v>
      </c>
      <c r="C2190" s="92" t="str">
        <f ca="1">IFERROR(__xludf.DUMMYFUNCTION("filter('Back End'!C:C,'Back End'!A:A=A2190,'Back End'!B:B=B2190,'Back End'!D:D=D2190)"),"Ponnada")</f>
        <v>Ponnada</v>
      </c>
      <c r="D2190" s="91" t="s">
        <v>477</v>
      </c>
      <c r="E2190" s="91" t="s">
        <v>5768</v>
      </c>
      <c r="F2190" s="91" t="s">
        <v>288</v>
      </c>
      <c r="G2190" s="91" t="s">
        <v>615</v>
      </c>
      <c r="H2190" s="93" t="s">
        <v>5</v>
      </c>
      <c r="I2190" s="67"/>
      <c r="J2190" s="92">
        <v>9494759555</v>
      </c>
      <c r="K2190" s="67"/>
      <c r="L2190" s="67"/>
      <c r="M2190" s="67"/>
      <c r="N2190" s="67"/>
      <c r="O2190" s="67"/>
    </row>
    <row r="2191" spans="1:15" ht="15">
      <c r="A2191" s="91" t="s">
        <v>10</v>
      </c>
      <c r="B2191" s="91" t="s">
        <v>166</v>
      </c>
      <c r="C2191" s="92" t="str">
        <f ca="1">IFERROR(__xludf.DUMMYFUNCTION("filter('Back End'!C:C,'Back End'!A:A=A2191,'Back End'!B:B=B2191,'Back End'!D:D=D2191)"),"Ponnada")</f>
        <v>Ponnada</v>
      </c>
      <c r="D2191" s="91" t="s">
        <v>477</v>
      </c>
      <c r="E2191" s="91" t="s">
        <v>5769</v>
      </c>
      <c r="F2191" s="91" t="s">
        <v>288</v>
      </c>
      <c r="G2191" s="91" t="s">
        <v>615</v>
      </c>
      <c r="H2191" s="93" t="s">
        <v>5</v>
      </c>
      <c r="I2191" s="67"/>
      <c r="J2191" s="92">
        <v>9492181099</v>
      </c>
      <c r="K2191" s="67"/>
      <c r="L2191" s="67"/>
      <c r="M2191" s="67"/>
      <c r="N2191" s="67"/>
      <c r="O2191" s="67"/>
    </row>
    <row r="2192" spans="1:15" ht="15">
      <c r="A2192" s="91" t="s">
        <v>10</v>
      </c>
      <c r="B2192" s="91" t="s">
        <v>166</v>
      </c>
      <c r="C2192" s="92" t="str">
        <f ca="1">IFERROR(__xludf.DUMMYFUNCTION("filter('Back End'!C:C,'Back End'!A:A=A2192,'Back End'!B:B=B2192,'Back End'!D:D=D2192)"),"Ramanakkapeta")</f>
        <v>Ramanakkapeta</v>
      </c>
      <c r="D2192" s="91" t="s">
        <v>479</v>
      </c>
      <c r="E2192" s="91" t="s">
        <v>5770</v>
      </c>
      <c r="F2192" s="91" t="s">
        <v>437</v>
      </c>
      <c r="G2192" s="91" t="s">
        <v>594</v>
      </c>
      <c r="H2192" s="93" t="s">
        <v>5</v>
      </c>
      <c r="I2192" s="67"/>
      <c r="J2192" s="92">
        <v>9052165999</v>
      </c>
      <c r="K2192" s="67"/>
      <c r="L2192" s="67"/>
      <c r="M2192" s="67"/>
      <c r="N2192" s="67"/>
      <c r="O2192" s="67"/>
    </row>
    <row r="2193" spans="1:15" ht="15">
      <c r="A2193" s="91" t="s">
        <v>10</v>
      </c>
      <c r="B2193" s="91" t="s">
        <v>166</v>
      </c>
      <c r="C2193" s="92" t="str">
        <f ca="1">IFERROR(__xludf.DUMMYFUNCTION("filter('Back End'!C:C,'Back End'!A:A=A2193,'Back End'!B:B=B2193,'Back End'!D:D=D2193)"),"Ponnada")</f>
        <v>Ponnada</v>
      </c>
      <c r="D2193" s="91" t="s">
        <v>477</v>
      </c>
      <c r="E2193" s="91" t="s">
        <v>5771</v>
      </c>
      <c r="F2193" s="91" t="s">
        <v>114</v>
      </c>
      <c r="G2193" s="91" t="s">
        <v>85</v>
      </c>
      <c r="H2193" s="93" t="s">
        <v>5</v>
      </c>
      <c r="I2193" s="67"/>
      <c r="J2193" s="92">
        <v>9493650193</v>
      </c>
      <c r="K2193" s="67"/>
      <c r="L2193" s="67"/>
      <c r="M2193" s="67"/>
      <c r="N2193" s="67"/>
      <c r="O2193" s="67"/>
    </row>
    <row r="2194" spans="1:15" ht="15">
      <c r="A2194" s="91" t="s">
        <v>3361</v>
      </c>
      <c r="B2194" s="91" t="s">
        <v>15</v>
      </c>
      <c r="C2194" s="92" t="str">
        <f ca="1">IFERROR(__xludf.DUMMYFUNCTION("filter('Back End'!C:C,'Back End'!A:A=A2194,'Back End'!B:B=B2194,'Back End'!D:D=D2194)"),"#N/A")</f>
        <v>#N/A</v>
      </c>
      <c r="D2194" s="91" t="s">
        <v>366</v>
      </c>
      <c r="E2194" s="91" t="s">
        <v>5772</v>
      </c>
      <c r="F2194" s="67" t="s">
        <v>3138</v>
      </c>
      <c r="G2194" s="67"/>
      <c r="H2194" s="93" t="s">
        <v>4</v>
      </c>
      <c r="I2194" s="67"/>
      <c r="J2194" s="92">
        <v>8885636349</v>
      </c>
      <c r="K2194" s="67"/>
      <c r="L2194" s="67"/>
      <c r="M2194" s="67"/>
      <c r="N2194" s="67"/>
      <c r="O2194" s="67"/>
    </row>
    <row r="2195" spans="1:15" ht="15">
      <c r="A2195" s="91" t="s">
        <v>8</v>
      </c>
      <c r="B2195" s="91" t="s">
        <v>8</v>
      </c>
      <c r="C2195" s="92" t="str">
        <f ca="1">IFERROR(__xludf.DUMMYFUNCTION("filter('Back End'!C:C,'Back End'!A:A=A2195,'Back End'!B:B=B2195,'Back End'!D:D=D2195)"),"Bavuruvaka")</f>
        <v>Bavuruvaka</v>
      </c>
      <c r="D2195" s="91" t="s">
        <v>542</v>
      </c>
      <c r="E2195" s="91" t="s">
        <v>5773</v>
      </c>
      <c r="F2195" s="67" t="s">
        <v>3138</v>
      </c>
      <c r="G2195" s="67"/>
      <c r="H2195" s="93" t="s">
        <v>4</v>
      </c>
      <c r="I2195" s="92" t="s">
        <v>3125</v>
      </c>
      <c r="J2195" s="92">
        <v>9666953542</v>
      </c>
      <c r="K2195" s="67"/>
      <c r="L2195" s="67"/>
      <c r="M2195" s="67"/>
      <c r="N2195" s="67"/>
      <c r="O2195" s="67"/>
    </row>
    <row r="2196" spans="1:15" ht="30">
      <c r="A2196" s="91" t="s">
        <v>8</v>
      </c>
      <c r="B2196" s="91" t="s">
        <v>8</v>
      </c>
      <c r="C2196" s="92" t="str">
        <f ca="1">IFERROR(__xludf.DUMMYFUNCTION("filter('Back End'!C:C,'Back End'!A:A=A2196,'Back End'!B:B=B2196,'Back End'!D:D=D2196)"),"Bavuruvaka")</f>
        <v>Bavuruvaka</v>
      </c>
      <c r="D2196" s="91" t="s">
        <v>542</v>
      </c>
      <c r="E2196" s="91" t="s">
        <v>5774</v>
      </c>
      <c r="F2196" s="91" t="s">
        <v>1661</v>
      </c>
      <c r="G2196" s="91" t="s">
        <v>615</v>
      </c>
      <c r="H2196" s="93" t="s">
        <v>92</v>
      </c>
      <c r="I2196" s="92" t="s">
        <v>3205</v>
      </c>
      <c r="J2196" s="92">
        <v>9110354320</v>
      </c>
      <c r="K2196" s="67"/>
      <c r="L2196" s="67"/>
      <c r="M2196" s="67"/>
      <c r="N2196" s="67"/>
      <c r="O2196" s="67"/>
    </row>
    <row r="2197" spans="1:15" ht="15">
      <c r="A2197" s="91" t="s">
        <v>8</v>
      </c>
      <c r="B2197" s="91" t="s">
        <v>8</v>
      </c>
      <c r="C2197" s="92" t="str">
        <f ca="1">IFERROR(__xludf.DUMMYFUNCTION("filter('Back End'!C:C,'Back End'!A:A=A2197,'Back End'!B:B=B2197,'Back End'!D:D=D2197)"),"Bavuruvaka")</f>
        <v>Bavuruvaka</v>
      </c>
      <c r="D2197" s="91" t="s">
        <v>542</v>
      </c>
      <c r="E2197" s="91" t="s">
        <v>5775</v>
      </c>
      <c r="F2197" s="67" t="s">
        <v>3138</v>
      </c>
      <c r="G2197" s="67"/>
      <c r="H2197" s="93" t="s">
        <v>4</v>
      </c>
      <c r="I2197" s="67"/>
      <c r="J2197" s="92">
        <v>9063946478</v>
      </c>
      <c r="K2197" s="67"/>
      <c r="L2197" s="67"/>
      <c r="M2197" s="67"/>
      <c r="N2197" s="67"/>
      <c r="O2197" s="67"/>
    </row>
    <row r="2198" spans="1:15" ht="15">
      <c r="A2198" s="91" t="s">
        <v>8</v>
      </c>
      <c r="B2198" s="91" t="s">
        <v>8</v>
      </c>
      <c r="C2198" s="92" t="str">
        <f ca="1">IFERROR(__xludf.DUMMYFUNCTION("filter('Back End'!C:C,'Back End'!A:A=A2198,'Back End'!B:B=B2198,'Back End'!D:D=D2198)"),"Buradakota")</f>
        <v>Buradakota</v>
      </c>
      <c r="D2198" s="91" t="s">
        <v>9</v>
      </c>
      <c r="E2198" s="91" t="s">
        <v>5776</v>
      </c>
      <c r="F2198" s="67" t="s">
        <v>3138</v>
      </c>
      <c r="G2198" s="67"/>
      <c r="H2198" s="93" t="s">
        <v>4</v>
      </c>
      <c r="I2198" s="92" t="s">
        <v>3125</v>
      </c>
      <c r="J2198" s="92">
        <v>9441243284</v>
      </c>
      <c r="K2198" s="67"/>
      <c r="L2198" s="67"/>
      <c r="M2198" s="67"/>
      <c r="N2198" s="67"/>
      <c r="O2198" s="67"/>
    </row>
    <row r="2199" spans="1:15" ht="15">
      <c r="A2199" s="91" t="s">
        <v>3361</v>
      </c>
      <c r="B2199" s="91" t="s">
        <v>8</v>
      </c>
      <c r="C2199" s="92" t="s">
        <v>550</v>
      </c>
      <c r="D2199" s="91" t="s">
        <v>550</v>
      </c>
      <c r="E2199" s="91" t="s">
        <v>5777</v>
      </c>
      <c r="F2199" s="67" t="s">
        <v>3138</v>
      </c>
      <c r="G2199" s="67"/>
      <c r="H2199" s="93" t="s">
        <v>4</v>
      </c>
      <c r="I2199" s="67"/>
      <c r="J2199" s="92">
        <v>9948272728</v>
      </c>
      <c r="K2199" s="67"/>
      <c r="L2199" s="67"/>
      <c r="M2199" s="67"/>
      <c r="N2199" s="67"/>
      <c r="O2199" s="67"/>
    </row>
    <row r="2200" spans="1:15" ht="15">
      <c r="A2200" s="91" t="s">
        <v>3361</v>
      </c>
      <c r="B2200" s="91" t="s">
        <v>8</v>
      </c>
      <c r="C2200" s="92" t="s">
        <v>550</v>
      </c>
      <c r="D2200" s="91" t="s">
        <v>550</v>
      </c>
      <c r="E2200" s="91" t="s">
        <v>5778</v>
      </c>
      <c r="F2200" s="67" t="s">
        <v>3138</v>
      </c>
      <c r="G2200" s="67"/>
      <c r="H2200" s="93" t="s">
        <v>4</v>
      </c>
      <c r="I2200" s="67"/>
      <c r="J2200" s="92">
        <v>8519809793</v>
      </c>
      <c r="K2200" s="67"/>
      <c r="L2200" s="67"/>
      <c r="M2200" s="67"/>
      <c r="N2200" s="67"/>
      <c r="O2200" s="67"/>
    </row>
    <row r="2201" spans="1:15" ht="30">
      <c r="A2201" s="91" t="s">
        <v>8</v>
      </c>
      <c r="B2201" s="91" t="s">
        <v>8</v>
      </c>
      <c r="C2201" s="92" t="s">
        <v>550</v>
      </c>
      <c r="D2201" s="91" t="s">
        <v>550</v>
      </c>
      <c r="E2201" s="91" t="s">
        <v>5779</v>
      </c>
      <c r="F2201" s="91" t="s">
        <v>139</v>
      </c>
      <c r="G2201" s="91" t="s">
        <v>594</v>
      </c>
      <c r="H2201" s="93" t="s">
        <v>4</v>
      </c>
      <c r="I2201" s="92" t="s">
        <v>3162</v>
      </c>
      <c r="J2201" s="92">
        <v>9700385943</v>
      </c>
      <c r="K2201" s="67"/>
      <c r="L2201" s="67"/>
      <c r="M2201" s="67"/>
      <c r="N2201" s="67"/>
      <c r="O2201" s="67"/>
    </row>
    <row r="2202" spans="1:15" ht="15">
      <c r="A2202" s="91" t="s">
        <v>8</v>
      </c>
      <c r="B2202" s="91" t="s">
        <v>8</v>
      </c>
      <c r="C2202" s="92" t="s">
        <v>550</v>
      </c>
      <c r="D2202" s="91" t="s">
        <v>550</v>
      </c>
      <c r="E2202" s="91" t="s">
        <v>5780</v>
      </c>
      <c r="F2202" s="67" t="s">
        <v>3138</v>
      </c>
      <c r="G2202" s="67"/>
      <c r="H2202" s="93" t="s">
        <v>4</v>
      </c>
      <c r="I2202" s="67"/>
      <c r="J2202" s="92">
        <v>9963824559</v>
      </c>
      <c r="K2202" s="67"/>
      <c r="L2202" s="67"/>
      <c r="M2202" s="67"/>
      <c r="N2202" s="67"/>
      <c r="O2202" s="67"/>
    </row>
    <row r="2203" spans="1:15" ht="15">
      <c r="A2203" s="91" t="s">
        <v>8</v>
      </c>
      <c r="B2203" s="91" t="s">
        <v>8</v>
      </c>
      <c r="C2203" s="92" t="s">
        <v>550</v>
      </c>
      <c r="D2203" s="91" t="s">
        <v>550</v>
      </c>
      <c r="E2203" s="91" t="s">
        <v>5781</v>
      </c>
      <c r="F2203" s="67" t="s">
        <v>3138</v>
      </c>
      <c r="G2203" s="67"/>
      <c r="H2203" s="93" t="s">
        <v>4</v>
      </c>
      <c r="I2203" s="67"/>
      <c r="J2203" s="92">
        <v>7036987601</v>
      </c>
      <c r="K2203" s="67"/>
      <c r="L2203" s="67"/>
      <c r="M2203" s="67"/>
      <c r="N2203" s="67"/>
      <c r="O2203" s="67"/>
    </row>
    <row r="2204" spans="1:15" ht="15">
      <c r="A2204" s="91" t="s">
        <v>8</v>
      </c>
      <c r="B2204" s="91" t="s">
        <v>8</v>
      </c>
      <c r="C2204" s="92" t="s">
        <v>550</v>
      </c>
      <c r="D2204" s="91" t="s">
        <v>550</v>
      </c>
      <c r="E2204" s="91" t="s">
        <v>5782</v>
      </c>
      <c r="F2204" s="67" t="s">
        <v>3138</v>
      </c>
      <c r="G2204" s="67"/>
      <c r="H2204" s="93" t="s">
        <v>4</v>
      </c>
      <c r="I2204" s="67"/>
      <c r="J2204" s="92">
        <v>8688345123</v>
      </c>
      <c r="K2204" s="67"/>
      <c r="L2204" s="67"/>
      <c r="M2204" s="67"/>
      <c r="N2204" s="67"/>
      <c r="O2204" s="67"/>
    </row>
    <row r="2205" spans="1:15" ht="15">
      <c r="A2205" s="91" t="s">
        <v>8</v>
      </c>
      <c r="B2205" s="91" t="s">
        <v>8</v>
      </c>
      <c r="C2205" s="92" t="s">
        <v>550</v>
      </c>
      <c r="D2205" s="91" t="s">
        <v>550</v>
      </c>
      <c r="E2205" s="91" t="s">
        <v>5783</v>
      </c>
      <c r="F2205" s="67" t="s">
        <v>3138</v>
      </c>
      <c r="G2205" s="67"/>
      <c r="H2205" s="93" t="s">
        <v>4</v>
      </c>
      <c r="I2205" s="67"/>
      <c r="J2205" s="92">
        <v>9492254048</v>
      </c>
      <c r="K2205" s="67"/>
      <c r="L2205" s="67"/>
      <c r="M2205" s="67"/>
      <c r="N2205" s="67"/>
      <c r="O2205" s="67"/>
    </row>
    <row r="2206" spans="1:15" ht="15">
      <c r="A2206" s="91" t="s">
        <v>8</v>
      </c>
      <c r="B2206" s="91" t="s">
        <v>8</v>
      </c>
      <c r="C2206" s="92" t="s">
        <v>550</v>
      </c>
      <c r="D2206" s="91" t="s">
        <v>550</v>
      </c>
      <c r="E2206" s="91" t="s">
        <v>5784</v>
      </c>
      <c r="F2206" s="67" t="s">
        <v>3138</v>
      </c>
      <c r="G2206" s="67"/>
      <c r="H2206" s="93" t="s">
        <v>4</v>
      </c>
      <c r="I2206" s="67"/>
      <c r="J2206" s="92">
        <v>8341108107</v>
      </c>
      <c r="K2206" s="67"/>
      <c r="L2206" s="67"/>
      <c r="M2206" s="67"/>
      <c r="N2206" s="67"/>
      <c r="O2206" s="67"/>
    </row>
    <row r="2207" spans="1:15" ht="15">
      <c r="A2207" s="91" t="s">
        <v>8</v>
      </c>
      <c r="B2207" s="91" t="s">
        <v>8</v>
      </c>
      <c r="C2207" s="92" t="s">
        <v>550</v>
      </c>
      <c r="D2207" s="91" t="s">
        <v>550</v>
      </c>
      <c r="E2207" s="91" t="s">
        <v>5785</v>
      </c>
      <c r="F2207" s="67" t="s">
        <v>3138</v>
      </c>
      <c r="G2207" s="67"/>
      <c r="H2207" s="93" t="s">
        <v>4</v>
      </c>
      <c r="I2207" s="67"/>
      <c r="J2207" s="92">
        <v>9505253536</v>
      </c>
      <c r="K2207" s="67"/>
      <c r="L2207" s="67"/>
      <c r="M2207" s="67"/>
      <c r="N2207" s="67"/>
      <c r="O2207" s="67"/>
    </row>
    <row r="2208" spans="1:15" ht="15">
      <c r="A2208" s="91" t="s">
        <v>8</v>
      </c>
      <c r="B2208" s="100" t="s">
        <v>8</v>
      </c>
      <c r="C2208" s="97" t="str">
        <f ca="1">IFERROR(__xludf.DUMMYFUNCTION("filter('Back End'!C:C,'Back End'!A:A=A2208,'Back End'!B:B=B2208,'Back End'!D:D=D2208)"),"Dharmavaram")</f>
        <v>Dharmavaram</v>
      </c>
      <c r="D2208" s="100" t="s">
        <v>550</v>
      </c>
      <c r="E2208" s="100" t="s">
        <v>5786</v>
      </c>
      <c r="F2208" s="100" t="s">
        <v>114</v>
      </c>
      <c r="G2208" s="100" t="s">
        <v>85</v>
      </c>
      <c r="H2208" s="100" t="s">
        <v>5</v>
      </c>
      <c r="I2208" s="99"/>
      <c r="J2208" s="97">
        <v>7075556766</v>
      </c>
      <c r="K2208" s="99"/>
      <c r="L2208" s="99"/>
      <c r="M2208" s="67"/>
      <c r="N2208" s="67"/>
      <c r="O2208" s="67"/>
    </row>
    <row r="2209" spans="1:15" ht="15">
      <c r="A2209" s="101" t="s">
        <v>8</v>
      </c>
      <c r="B2209" s="93" t="s">
        <v>8</v>
      </c>
      <c r="C2209" s="102" t="str">
        <f ca="1">IFERROR(__xludf.DUMMYFUNCTION("filter('Back End'!C:C,'Back End'!A:A=A2209,'Back End'!B:B=B2209,'Back End'!D:D=D2209)"),"Dharmavaram")</f>
        <v>Dharmavaram</v>
      </c>
      <c r="D2209" s="93" t="s">
        <v>550</v>
      </c>
      <c r="E2209" s="93" t="s">
        <v>5787</v>
      </c>
      <c r="F2209" s="95" t="s">
        <v>3138</v>
      </c>
      <c r="G2209" s="95"/>
      <c r="H2209" s="93" t="s">
        <v>5</v>
      </c>
      <c r="I2209" s="95"/>
      <c r="J2209" s="102">
        <v>9985366055</v>
      </c>
      <c r="K2209" s="95"/>
      <c r="L2209" s="95"/>
      <c r="M2209" s="67"/>
      <c r="N2209" s="67"/>
      <c r="O2209" s="67"/>
    </row>
    <row r="2210" spans="1:15" ht="15">
      <c r="A2210" s="101" t="s">
        <v>8</v>
      </c>
      <c r="B2210" s="93" t="s">
        <v>8</v>
      </c>
      <c r="C2210" s="102" t="str">
        <f ca="1">IFERROR(__xludf.DUMMYFUNCTION("filter('Back End'!C:C,'Back End'!A:A=A2210,'Back End'!B:B=B2210,'Back End'!D:D=D2210)"),"Dharmavaram")</f>
        <v>Dharmavaram</v>
      </c>
      <c r="D2210" s="93" t="s">
        <v>550</v>
      </c>
      <c r="E2210" s="93" t="s">
        <v>5788</v>
      </c>
      <c r="F2210" s="93" t="s">
        <v>139</v>
      </c>
      <c r="G2210" s="93" t="s">
        <v>594</v>
      </c>
      <c r="H2210" s="93" t="s">
        <v>5</v>
      </c>
      <c r="I2210" s="95"/>
      <c r="J2210" s="102">
        <v>9959161455</v>
      </c>
      <c r="K2210" s="95"/>
      <c r="L2210" s="95"/>
      <c r="M2210" s="67"/>
      <c r="N2210" s="67"/>
      <c r="O2210" s="67"/>
    </row>
    <row r="2211" spans="1:15" ht="15">
      <c r="A2211" s="101" t="s">
        <v>8</v>
      </c>
      <c r="B2211" s="93" t="s">
        <v>8</v>
      </c>
      <c r="C2211" s="102" t="str">
        <f ca="1">IFERROR(__xludf.DUMMYFUNCTION("filter('Back End'!C:C,'Back End'!A:A=A2211,'Back End'!B:B=B2211,'Back End'!D:D=D2211)"),"Dharmavaram")</f>
        <v>Dharmavaram</v>
      </c>
      <c r="D2211" s="93" t="s">
        <v>550</v>
      </c>
      <c r="E2211" s="93" t="s">
        <v>5789</v>
      </c>
      <c r="F2211" s="93" t="s">
        <v>5790</v>
      </c>
      <c r="G2211" s="95"/>
      <c r="H2211" s="93" t="s">
        <v>5</v>
      </c>
      <c r="I2211" s="95"/>
      <c r="J2211" s="102">
        <v>9666017488</v>
      </c>
      <c r="K2211" s="95"/>
      <c r="L2211" s="95"/>
      <c r="M2211" s="67"/>
      <c r="N2211" s="67"/>
      <c r="O2211" s="67"/>
    </row>
    <row r="2212" spans="1:15" ht="15">
      <c r="A2212" s="101" t="s">
        <v>8</v>
      </c>
      <c r="B2212" s="93" t="s">
        <v>8</v>
      </c>
      <c r="C2212" s="102" t="str">
        <f ca="1">IFERROR(__xludf.DUMMYFUNCTION("filter('Back End'!C:C,'Back End'!A:A=A2212,'Back End'!B:B=B2212,'Back End'!D:D=D2212)"),"Dharmavaram")</f>
        <v>Dharmavaram</v>
      </c>
      <c r="D2212" s="93" t="s">
        <v>550</v>
      </c>
      <c r="E2212" s="93" t="s">
        <v>5791</v>
      </c>
      <c r="F2212" s="95" t="s">
        <v>3138</v>
      </c>
      <c r="G2212" s="95"/>
      <c r="H2212" s="93" t="s">
        <v>5</v>
      </c>
      <c r="I2212" s="95"/>
      <c r="J2212" s="102">
        <v>7036967356</v>
      </c>
      <c r="K2212" s="95"/>
      <c r="L2212" s="95"/>
      <c r="M2212" s="67"/>
      <c r="N2212" s="67"/>
      <c r="O2212" s="67"/>
    </row>
    <row r="2213" spans="1:15" ht="15">
      <c r="A2213" s="101" t="s">
        <v>8</v>
      </c>
      <c r="B2213" s="93" t="s">
        <v>8</v>
      </c>
      <c r="C2213" s="102" t="str">
        <f ca="1">IFERROR(__xludf.DUMMYFUNCTION("filter('Back End'!C:C,'Back End'!A:A=A2213,'Back End'!B:B=B2213,'Back End'!D:D=D2213)"),"Dharmavaram")</f>
        <v>Dharmavaram</v>
      </c>
      <c r="D2213" s="93" t="s">
        <v>550</v>
      </c>
      <c r="E2213" s="93" t="s">
        <v>5792</v>
      </c>
      <c r="F2213" s="93" t="s">
        <v>139</v>
      </c>
      <c r="G2213" s="93" t="s">
        <v>594</v>
      </c>
      <c r="H2213" s="93" t="s">
        <v>5</v>
      </c>
      <c r="I2213" s="95"/>
      <c r="J2213" s="102">
        <v>9951552908</v>
      </c>
      <c r="K2213" s="95"/>
      <c r="L2213" s="95"/>
      <c r="M2213" s="67"/>
      <c r="N2213" s="67"/>
      <c r="O2213" s="67"/>
    </row>
    <row r="2214" spans="1:15" ht="15">
      <c r="A2214" s="101" t="s">
        <v>8</v>
      </c>
      <c r="B2214" s="93" t="s">
        <v>8</v>
      </c>
      <c r="C2214" s="102" t="str">
        <f ca="1">IFERROR(__xludf.DUMMYFUNCTION("filter('Back End'!C:C,'Back End'!A:A=A2214,'Back End'!B:B=B2214,'Back End'!D:D=D2214)"),"Dharmavaram")</f>
        <v>Dharmavaram</v>
      </c>
      <c r="D2214" s="93" t="s">
        <v>550</v>
      </c>
      <c r="E2214" s="93" t="s">
        <v>5793</v>
      </c>
      <c r="F2214" s="93" t="s">
        <v>139</v>
      </c>
      <c r="G2214" s="93" t="s">
        <v>594</v>
      </c>
      <c r="H2214" s="93" t="s">
        <v>5</v>
      </c>
      <c r="I2214" s="95"/>
      <c r="J2214" s="102">
        <v>9398262489</v>
      </c>
      <c r="K2214" s="95"/>
      <c r="L2214" s="95"/>
      <c r="M2214" s="67"/>
      <c r="N2214" s="67"/>
      <c r="O2214" s="67"/>
    </row>
    <row r="2215" spans="1:15" ht="15">
      <c r="A2215" s="101" t="s">
        <v>8</v>
      </c>
      <c r="B2215" s="93" t="s">
        <v>8</v>
      </c>
      <c r="C2215" s="102" t="str">
        <f ca="1">IFERROR(__xludf.DUMMYFUNCTION("filter('Back End'!C:C,'Back End'!A:A=A2215,'Back End'!B:B=B2215,'Back End'!D:D=D2215)"),"Dharmavaram")</f>
        <v>Dharmavaram</v>
      </c>
      <c r="D2215" s="93" t="s">
        <v>550</v>
      </c>
      <c r="E2215" s="93" t="s">
        <v>5794</v>
      </c>
      <c r="F2215" s="95" t="s">
        <v>3138</v>
      </c>
      <c r="G2215" s="95"/>
      <c r="H2215" s="93" t="s">
        <v>5</v>
      </c>
      <c r="I2215" s="95"/>
      <c r="J2215" s="102">
        <v>8790602006</v>
      </c>
      <c r="K2215" s="95"/>
      <c r="L2215" s="95"/>
      <c r="M2215" s="67"/>
      <c r="N2215" s="67"/>
      <c r="O2215" s="67"/>
    </row>
    <row r="2216" spans="1:15" ht="15">
      <c r="A2216" s="101" t="s">
        <v>8</v>
      </c>
      <c r="B2216" s="93" t="s">
        <v>8</v>
      </c>
      <c r="C2216" s="102" t="str">
        <f ca="1">IFERROR(__xludf.DUMMYFUNCTION("filter('Back End'!C:C,'Back End'!A:A=A2216,'Back End'!B:B=B2216,'Back End'!D:D=D2216)"),"Dharmavaram")</f>
        <v>Dharmavaram</v>
      </c>
      <c r="D2216" s="93" t="s">
        <v>550</v>
      </c>
      <c r="E2216" s="93" t="s">
        <v>5795</v>
      </c>
      <c r="F2216" s="93" t="s">
        <v>139</v>
      </c>
      <c r="G2216" s="93" t="s">
        <v>594</v>
      </c>
      <c r="H2216" s="93" t="s">
        <v>5</v>
      </c>
      <c r="I2216" s="95"/>
      <c r="J2216" s="102">
        <v>9912232300</v>
      </c>
      <c r="K2216" s="95"/>
      <c r="L2216" s="95"/>
      <c r="M2216" s="67"/>
      <c r="N2216" s="67"/>
      <c r="O2216" s="67"/>
    </row>
    <row r="2217" spans="1:15" ht="15">
      <c r="A2217" s="101" t="s">
        <v>8</v>
      </c>
      <c r="B2217" s="93" t="s">
        <v>8</v>
      </c>
      <c r="C2217" s="102" t="str">
        <f ca="1">IFERROR(__xludf.DUMMYFUNCTION("filter('Back End'!C:C,'Back End'!A:A=A2217,'Back End'!B:B=B2217,'Back End'!D:D=D2217)"),"Dharmavaram")</f>
        <v>Dharmavaram</v>
      </c>
      <c r="D2217" s="93" t="s">
        <v>550</v>
      </c>
      <c r="E2217" s="93" t="s">
        <v>5796</v>
      </c>
      <c r="F2217" s="93" t="s">
        <v>136</v>
      </c>
      <c r="G2217" s="93" t="s">
        <v>615</v>
      </c>
      <c r="H2217" s="93" t="s">
        <v>5</v>
      </c>
      <c r="I2217" s="95"/>
      <c r="J2217" s="102">
        <v>9652666648</v>
      </c>
      <c r="K2217" s="95"/>
      <c r="L2217" s="95"/>
      <c r="M2217" s="67"/>
      <c r="N2217" s="67"/>
      <c r="O2217" s="67"/>
    </row>
    <row r="2218" spans="1:15" ht="15">
      <c r="A2218" s="101" t="s">
        <v>8</v>
      </c>
      <c r="B2218" s="93" t="s">
        <v>8</v>
      </c>
      <c r="C2218" s="102" t="str">
        <f ca="1">IFERROR(__xludf.DUMMYFUNCTION("filter('Back End'!C:C,'Back End'!A:A=A2218,'Back End'!B:B=B2218,'Back End'!D:D=D2218)"),"Dharmavaram")</f>
        <v>Dharmavaram</v>
      </c>
      <c r="D2218" s="93" t="s">
        <v>550</v>
      </c>
      <c r="E2218" s="93" t="s">
        <v>5797</v>
      </c>
      <c r="F2218" s="93" t="s">
        <v>139</v>
      </c>
      <c r="G2218" s="93" t="s">
        <v>615</v>
      </c>
      <c r="H2218" s="93" t="s">
        <v>5</v>
      </c>
      <c r="I2218" s="102" t="s">
        <v>3535</v>
      </c>
      <c r="J2218" s="102">
        <v>9705065745</v>
      </c>
      <c r="K2218" s="95"/>
      <c r="L2218" s="95"/>
      <c r="M2218" s="67"/>
      <c r="N2218" s="67"/>
      <c r="O2218" s="67"/>
    </row>
    <row r="2219" spans="1:15" ht="15">
      <c r="A2219" s="101" t="s">
        <v>8</v>
      </c>
      <c r="B2219" s="93" t="s">
        <v>8</v>
      </c>
      <c r="C2219" s="102" t="str">
        <f ca="1">IFERROR(__xludf.DUMMYFUNCTION("filter('Back End'!C:C,'Back End'!A:A=A2219,'Back End'!B:B=B2219,'Back End'!D:D=D2219)"),"Dharmavaram")</f>
        <v>Dharmavaram</v>
      </c>
      <c r="D2219" s="93" t="s">
        <v>550</v>
      </c>
      <c r="E2219" s="93" t="s">
        <v>5798</v>
      </c>
      <c r="F2219" s="93" t="s">
        <v>139</v>
      </c>
      <c r="G2219" s="95"/>
      <c r="H2219" s="93" t="s">
        <v>5</v>
      </c>
      <c r="I2219" s="102" t="s">
        <v>3185</v>
      </c>
      <c r="J2219" s="102">
        <v>9059047518</v>
      </c>
      <c r="K2219" s="95"/>
      <c r="L2219" s="95"/>
      <c r="M2219" s="67"/>
      <c r="N2219" s="67"/>
      <c r="O2219" s="67"/>
    </row>
    <row r="2220" spans="1:15" ht="15">
      <c r="A2220" s="101" t="s">
        <v>8</v>
      </c>
      <c r="B2220" s="93" t="s">
        <v>8</v>
      </c>
      <c r="C2220" s="102" t="str">
        <f ca="1">IFERROR(__xludf.DUMMYFUNCTION("filter('Back End'!C:C,'Back End'!A:A=A2220,'Back End'!B:B=B2220,'Back End'!D:D=D2220)"),"Dharmavaram")</f>
        <v>Dharmavaram</v>
      </c>
      <c r="D2220" s="93" t="s">
        <v>550</v>
      </c>
      <c r="E2220" s="93" t="s">
        <v>5799</v>
      </c>
      <c r="F2220" s="93" t="s">
        <v>139</v>
      </c>
      <c r="G2220" s="95"/>
      <c r="H2220" s="93" t="s">
        <v>6</v>
      </c>
      <c r="I2220" s="102" t="s">
        <v>3112</v>
      </c>
      <c r="J2220" s="95"/>
      <c r="K2220" s="95"/>
      <c r="L2220" s="95"/>
      <c r="M2220" s="67"/>
      <c r="N2220" s="67"/>
      <c r="O2220" s="67"/>
    </row>
    <row r="2221" spans="1:15" ht="15">
      <c r="A2221" s="101" t="s">
        <v>8</v>
      </c>
      <c r="B2221" s="93" t="s">
        <v>8</v>
      </c>
      <c r="C2221" s="102" t="str">
        <f ca="1">IFERROR(__xludf.DUMMYFUNCTION("filter('Back End'!C:C,'Back End'!A:A=A2221,'Back End'!B:B=B2221,'Back End'!D:D=D2221)"),"Dharmavaram")</f>
        <v>Dharmavaram</v>
      </c>
      <c r="D2221" s="93" t="s">
        <v>550</v>
      </c>
      <c r="E2221" s="93" t="s">
        <v>5800</v>
      </c>
      <c r="F2221" s="93" t="s">
        <v>139</v>
      </c>
      <c r="G2221" s="95"/>
      <c r="H2221" s="93" t="s">
        <v>6</v>
      </c>
      <c r="I2221" s="102" t="s">
        <v>3112</v>
      </c>
      <c r="J2221" s="95"/>
      <c r="K2221" s="95"/>
      <c r="L2221" s="95"/>
      <c r="M2221" s="67"/>
      <c r="N2221" s="67"/>
      <c r="O2221" s="67"/>
    </row>
    <row r="2222" spans="1:15" ht="15">
      <c r="A2222" s="101" t="s">
        <v>8</v>
      </c>
      <c r="B2222" s="93" t="s">
        <v>8</v>
      </c>
      <c r="C2222" s="102" t="str">
        <f ca="1">IFERROR(__xludf.DUMMYFUNCTION("filter('Back End'!C:C,'Back End'!A:A=A2222,'Back End'!B:B=B2222,'Back End'!D:D=D2222)"),"Dharmavaram")</f>
        <v>Dharmavaram</v>
      </c>
      <c r="D2222" s="93" t="s">
        <v>550</v>
      </c>
      <c r="E2222" s="93" t="s">
        <v>5801</v>
      </c>
      <c r="F2222" s="93" t="s">
        <v>139</v>
      </c>
      <c r="G2222" s="95"/>
      <c r="H2222" s="93" t="s">
        <v>6</v>
      </c>
      <c r="I2222" s="102" t="s">
        <v>3112</v>
      </c>
      <c r="J2222" s="102">
        <v>9989536327</v>
      </c>
      <c r="K2222" s="95"/>
      <c r="L2222" s="95"/>
      <c r="M2222" s="67"/>
      <c r="N2222" s="67"/>
      <c r="O2222" s="67"/>
    </row>
    <row r="2223" spans="1:15" ht="30">
      <c r="A2223" s="101" t="s">
        <v>8</v>
      </c>
      <c r="B2223" s="93" t="s">
        <v>8</v>
      </c>
      <c r="C2223" s="102" t="str">
        <f ca="1">IFERROR(__xludf.DUMMYFUNCTION("filter('Back End'!C:C,'Back End'!A:A=A2223,'Back End'!B:B=B2223,'Back End'!D:D=D2223)"),"Dharmavaram")</f>
        <v>Dharmavaram</v>
      </c>
      <c r="D2223" s="93" t="s">
        <v>550</v>
      </c>
      <c r="E2223" s="93" t="s">
        <v>5802</v>
      </c>
      <c r="F2223" s="93" t="s">
        <v>139</v>
      </c>
      <c r="G2223" s="95"/>
      <c r="H2223" s="91" t="s">
        <v>4</v>
      </c>
      <c r="I2223" s="102" t="s">
        <v>3634</v>
      </c>
      <c r="J2223" s="102">
        <v>9700869117</v>
      </c>
      <c r="K2223" s="95"/>
      <c r="L2223" s="95"/>
      <c r="M2223" s="67"/>
      <c r="N2223" s="67"/>
      <c r="O2223" s="67"/>
    </row>
    <row r="2224" spans="1:15" ht="30">
      <c r="A2224" s="101" t="s">
        <v>8</v>
      </c>
      <c r="B2224" s="93" t="s">
        <v>8</v>
      </c>
      <c r="C2224" s="102" t="str">
        <f ca="1">IFERROR(__xludf.DUMMYFUNCTION("filter('Back End'!C:C,'Back End'!A:A=A2224,'Back End'!B:B=B2224,'Back End'!D:D=D2224)"),"Dharmavaram")</f>
        <v>Dharmavaram</v>
      </c>
      <c r="D2224" s="93" t="s">
        <v>550</v>
      </c>
      <c r="E2224" s="93" t="s">
        <v>5803</v>
      </c>
      <c r="F2224" s="93" t="s">
        <v>139</v>
      </c>
      <c r="G2224" s="95"/>
      <c r="H2224" s="101" t="s">
        <v>4</v>
      </c>
      <c r="I2224" s="102" t="s">
        <v>3162</v>
      </c>
      <c r="J2224" s="102">
        <v>9398577077</v>
      </c>
      <c r="K2224" s="95"/>
      <c r="L2224" s="95"/>
      <c r="M2224" s="67"/>
      <c r="N2224" s="67"/>
      <c r="O2224" s="67"/>
    </row>
    <row r="2225" spans="1:15" ht="30">
      <c r="A2225" s="91" t="s">
        <v>3361</v>
      </c>
      <c r="B2225" s="91" t="s">
        <v>8</v>
      </c>
      <c r="C2225" s="92" t="s">
        <v>552</v>
      </c>
      <c r="D2225" s="91" t="s">
        <v>552</v>
      </c>
      <c r="E2225" s="91" t="s">
        <v>5804</v>
      </c>
      <c r="F2225" s="91" t="s">
        <v>165</v>
      </c>
      <c r="G2225" s="91" t="s">
        <v>615</v>
      </c>
      <c r="H2225" s="93" t="s">
        <v>4</v>
      </c>
      <c r="I2225" s="92" t="s">
        <v>3495</v>
      </c>
      <c r="J2225" s="92">
        <v>9494154812</v>
      </c>
      <c r="K2225" s="67"/>
      <c r="L2225" s="67"/>
      <c r="M2225" s="67"/>
      <c r="N2225" s="67"/>
      <c r="O2225" s="67"/>
    </row>
    <row r="2226" spans="1:15" ht="15">
      <c r="A2226" s="91" t="s">
        <v>3361</v>
      </c>
      <c r="B2226" s="91" t="s">
        <v>8</v>
      </c>
      <c r="C2226" s="92" t="s">
        <v>552</v>
      </c>
      <c r="D2226" s="91" t="s">
        <v>552</v>
      </c>
      <c r="E2226" s="91" t="s">
        <v>5805</v>
      </c>
      <c r="F2226" s="67" t="s">
        <v>3138</v>
      </c>
      <c r="G2226" s="67"/>
      <c r="H2226" s="93" t="s">
        <v>4</v>
      </c>
      <c r="I2226" s="67"/>
      <c r="J2226" s="92">
        <v>9491911178</v>
      </c>
      <c r="K2226" s="67"/>
      <c r="L2226" s="67"/>
      <c r="M2226" s="67"/>
      <c r="N2226" s="67"/>
      <c r="O2226" s="67"/>
    </row>
    <row r="2227" spans="1:15" ht="15">
      <c r="A2227" s="91" t="s">
        <v>3361</v>
      </c>
      <c r="B2227" s="91" t="s">
        <v>8</v>
      </c>
      <c r="C2227" s="92" t="s">
        <v>552</v>
      </c>
      <c r="D2227" s="91" t="s">
        <v>552</v>
      </c>
      <c r="E2227" s="91" t="s">
        <v>5806</v>
      </c>
      <c r="F2227" s="67" t="s">
        <v>3138</v>
      </c>
      <c r="G2227" s="67"/>
      <c r="H2227" s="93" t="s">
        <v>4</v>
      </c>
      <c r="I2227" s="92" t="s">
        <v>3125</v>
      </c>
      <c r="J2227" s="92">
        <v>9493276610</v>
      </c>
      <c r="K2227" s="67"/>
      <c r="L2227" s="67"/>
      <c r="M2227" s="67"/>
      <c r="N2227" s="67"/>
      <c r="O2227" s="67"/>
    </row>
    <row r="2228" spans="1:15" ht="30">
      <c r="A2228" s="91" t="s">
        <v>3361</v>
      </c>
      <c r="B2228" s="91" t="s">
        <v>8</v>
      </c>
      <c r="C2228" s="92" t="s">
        <v>552</v>
      </c>
      <c r="D2228" s="91" t="s">
        <v>552</v>
      </c>
      <c r="E2228" s="91" t="s">
        <v>5807</v>
      </c>
      <c r="F2228" s="91" t="s">
        <v>114</v>
      </c>
      <c r="G2228" s="91" t="s">
        <v>85</v>
      </c>
      <c r="H2228" s="93" t="s">
        <v>4</v>
      </c>
      <c r="I2228" s="92" t="s">
        <v>3210</v>
      </c>
      <c r="J2228" s="92">
        <v>9000831005</v>
      </c>
      <c r="K2228" s="67"/>
      <c r="L2228" s="67"/>
      <c r="M2228" s="67"/>
      <c r="N2228" s="67"/>
      <c r="O2228" s="67"/>
    </row>
    <row r="2229" spans="1:15" ht="15">
      <c r="A2229" s="91" t="s">
        <v>3361</v>
      </c>
      <c r="B2229" s="91" t="s">
        <v>8</v>
      </c>
      <c r="C2229" s="92" t="str">
        <f ca="1">IFERROR(__xludf.DUMMYFUNCTION("filter('Back End'!C:C,'Back End'!A:A=A2229,'Back End'!B:B=B2229,'Back End'!D:D=D2229)"),"#N/A")</f>
        <v>#N/A</v>
      </c>
      <c r="D2229" s="91" t="s">
        <v>147</v>
      </c>
      <c r="E2229" s="91" t="s">
        <v>5808</v>
      </c>
      <c r="F2229" s="67" t="s">
        <v>3138</v>
      </c>
      <c r="G2229" s="67"/>
      <c r="H2229" s="93" t="s">
        <v>4</v>
      </c>
      <c r="I2229" s="92" t="s">
        <v>3125</v>
      </c>
      <c r="J2229" s="92">
        <v>9502092791</v>
      </c>
      <c r="K2229" s="67"/>
      <c r="L2229" s="67"/>
      <c r="M2229" s="67"/>
      <c r="N2229" s="67"/>
      <c r="O2229" s="67"/>
    </row>
    <row r="2230" spans="1:15" ht="15">
      <c r="A2230" s="91" t="s">
        <v>8</v>
      </c>
      <c r="B2230" s="91" t="s">
        <v>8</v>
      </c>
      <c r="C2230" s="92" t="str">
        <f ca="1">IFERROR(__xludf.DUMMYFUNCTION("filter('Back End'!C:C,'Back End'!A:A=A2230,'Back End'!B:B=B2230,'Back End'!D:D=D2230)"),"Gokavaram")</f>
        <v>Gokavaram</v>
      </c>
      <c r="D2230" s="91" t="s">
        <v>147</v>
      </c>
      <c r="E2230" s="91" t="s">
        <v>5809</v>
      </c>
      <c r="F2230" s="67" t="s">
        <v>3138</v>
      </c>
      <c r="G2230" s="67"/>
      <c r="H2230" s="93" t="s">
        <v>5</v>
      </c>
      <c r="I2230" s="67"/>
      <c r="J2230" s="67"/>
      <c r="K2230" s="67"/>
      <c r="L2230" s="67"/>
      <c r="M2230" s="67"/>
      <c r="N2230" s="67"/>
      <c r="O2230" s="67"/>
    </row>
    <row r="2231" spans="1:15" ht="15">
      <c r="A2231" s="91" t="s">
        <v>3361</v>
      </c>
      <c r="B2231" s="91" t="s">
        <v>8</v>
      </c>
      <c r="C2231" s="92" t="str">
        <f ca="1">IFERROR(__xludf.DUMMYFUNCTION("filter('Back End'!C:C,'Back End'!A:A=A2231,'Back End'!B:B=B2231,'Back End'!D:D=D2231)"),"#N/A")</f>
        <v>#N/A</v>
      </c>
      <c r="D2231" s="91" t="s">
        <v>147</v>
      </c>
      <c r="E2231" s="91" t="s">
        <v>5810</v>
      </c>
      <c r="F2231" s="67" t="s">
        <v>3138</v>
      </c>
      <c r="G2231" s="67"/>
      <c r="H2231" s="93" t="s">
        <v>4</v>
      </c>
      <c r="I2231" s="67"/>
      <c r="J2231" s="92">
        <v>8639270033</v>
      </c>
      <c r="K2231" s="67"/>
      <c r="L2231" s="67"/>
      <c r="M2231" s="67"/>
      <c r="N2231" s="67"/>
      <c r="O2231" s="67"/>
    </row>
    <row r="2232" spans="1:15" ht="15">
      <c r="A2232" s="91" t="s">
        <v>3361</v>
      </c>
      <c r="B2232" s="91" t="s">
        <v>8</v>
      </c>
      <c r="C2232" s="92" t="str">
        <f ca="1">IFERROR(__xludf.DUMMYFUNCTION("filter('Back End'!C:C,'Back End'!A:A=A2232,'Back End'!B:B=B2232,'Back End'!D:D=D2232)"),"#N/A")</f>
        <v>#N/A</v>
      </c>
      <c r="D2232" s="91" t="s">
        <v>557</v>
      </c>
      <c r="E2232" s="91" t="s">
        <v>5811</v>
      </c>
      <c r="F2232" s="67" t="s">
        <v>3138</v>
      </c>
      <c r="G2232" s="67"/>
      <c r="H2232" s="93" t="s">
        <v>4</v>
      </c>
      <c r="I2232" s="67"/>
      <c r="J2232" s="92">
        <v>9000813712</v>
      </c>
      <c r="K2232" s="67"/>
      <c r="L2232" s="67"/>
      <c r="M2232" s="67"/>
      <c r="N2232" s="67"/>
      <c r="O2232" s="67"/>
    </row>
    <row r="2233" spans="1:15" ht="15">
      <c r="A2233" s="91" t="s">
        <v>3361</v>
      </c>
      <c r="B2233" s="91" t="s">
        <v>8</v>
      </c>
      <c r="C2233" s="92" t="str">
        <f ca="1">IFERROR(__xludf.DUMMYFUNCTION("filter('Back End'!C:C,'Back End'!A:A=A2233,'Back End'!B:B=B2233,'Back End'!D:D=D2233)"),"#N/A")</f>
        <v>#N/A</v>
      </c>
      <c r="D2233" s="91" t="s">
        <v>557</v>
      </c>
      <c r="E2233" s="91" t="s">
        <v>5812</v>
      </c>
      <c r="F2233" s="67" t="s">
        <v>3138</v>
      </c>
      <c r="G2233" s="67"/>
      <c r="H2233" s="93" t="s">
        <v>4</v>
      </c>
      <c r="I2233" s="92" t="s">
        <v>3125</v>
      </c>
      <c r="J2233" s="92">
        <v>9989541776</v>
      </c>
      <c r="K2233" s="67"/>
      <c r="L2233" s="67"/>
      <c r="M2233" s="67"/>
      <c r="N2233" s="67"/>
      <c r="O2233" s="67"/>
    </row>
    <row r="2234" spans="1:15" ht="15">
      <c r="A2234" s="91" t="s">
        <v>3361</v>
      </c>
      <c r="B2234" s="91" t="s">
        <v>8</v>
      </c>
      <c r="C2234" s="92" t="str">
        <f ca="1">IFERROR(__xludf.DUMMYFUNCTION("filter('Back End'!C:C,'Back End'!A:A=A2234,'Back End'!B:B=B2234,'Back End'!D:D=D2234)"),"#N/A")</f>
        <v>#N/A</v>
      </c>
      <c r="D2234" s="91" t="s">
        <v>557</v>
      </c>
      <c r="E2234" s="91" t="s">
        <v>5813</v>
      </c>
      <c r="F2234" s="67" t="s">
        <v>3138</v>
      </c>
      <c r="G2234" s="67"/>
      <c r="H2234" s="93" t="s">
        <v>4</v>
      </c>
      <c r="I2234" s="67"/>
      <c r="J2234" s="92">
        <v>8919485888</v>
      </c>
      <c r="K2234" s="67"/>
      <c r="L2234" s="67"/>
      <c r="M2234" s="67"/>
      <c r="N2234" s="67"/>
      <c r="O2234" s="67"/>
    </row>
    <row r="2235" spans="1:15" ht="15">
      <c r="A2235" s="91" t="s">
        <v>3361</v>
      </c>
      <c r="B2235" s="91" t="s">
        <v>8</v>
      </c>
      <c r="C2235" s="92" t="str">
        <f ca="1">IFERROR(__xludf.DUMMYFUNCTION("filter('Back End'!C:C,'Back End'!A:A=A2235,'Back End'!B:B=B2235,'Back End'!D:D=D2235)"),"#N/A")</f>
        <v>#N/A</v>
      </c>
      <c r="D2235" s="91" t="s">
        <v>564</v>
      </c>
      <c r="E2235" s="91" t="s">
        <v>5814</v>
      </c>
      <c r="F2235" s="67" t="s">
        <v>3138</v>
      </c>
      <c r="G2235" s="67"/>
      <c r="H2235" s="93" t="s">
        <v>4</v>
      </c>
      <c r="I2235" s="67"/>
      <c r="J2235" s="92">
        <v>9492947848</v>
      </c>
      <c r="K2235" s="67"/>
      <c r="L2235" s="67"/>
      <c r="M2235" s="67"/>
      <c r="N2235" s="67"/>
      <c r="O2235" s="67"/>
    </row>
    <row r="2236" spans="1:15" ht="15">
      <c r="A2236" s="91" t="s">
        <v>3361</v>
      </c>
      <c r="B2236" s="91" t="s">
        <v>8</v>
      </c>
      <c r="C2236" s="92" t="str">
        <f ca="1">IFERROR(__xludf.DUMMYFUNCTION("filter('Back End'!C:C,'Back End'!A:A=A2236,'Back End'!B:B=B2236,'Back End'!D:D=D2236)"),"#N/A")</f>
        <v>#N/A</v>
      </c>
      <c r="D2236" s="91" t="s">
        <v>564</v>
      </c>
      <c r="E2236" s="91" t="s">
        <v>5815</v>
      </c>
      <c r="F2236" s="67" t="s">
        <v>3138</v>
      </c>
      <c r="G2236" s="67"/>
      <c r="H2236" s="93" t="s">
        <v>4</v>
      </c>
      <c r="I2236" s="67"/>
      <c r="J2236" s="92">
        <v>8247023929</v>
      </c>
      <c r="K2236" s="67"/>
      <c r="L2236" s="67"/>
      <c r="M2236" s="67"/>
      <c r="N2236" s="67"/>
      <c r="O2236" s="67"/>
    </row>
    <row r="2237" spans="1:15" ht="15">
      <c r="A2237" s="91" t="s">
        <v>3361</v>
      </c>
      <c r="B2237" s="91" t="s">
        <v>8</v>
      </c>
      <c r="C2237" s="92" t="str">
        <f ca="1">IFERROR(__xludf.DUMMYFUNCTION("filter('Back End'!C:C,'Back End'!A:A=A2237,'Back End'!B:B=B2237,'Back End'!D:D=D2237)"),"#N/A")</f>
        <v>#N/A</v>
      </c>
      <c r="D2237" s="91" t="s">
        <v>564</v>
      </c>
      <c r="E2237" s="91" t="s">
        <v>5816</v>
      </c>
      <c r="F2237" s="67" t="s">
        <v>3138</v>
      </c>
      <c r="G2237" s="67"/>
      <c r="H2237" s="93" t="s">
        <v>4</v>
      </c>
      <c r="I2237" s="67"/>
      <c r="J2237" s="92">
        <v>9494287115</v>
      </c>
      <c r="K2237" s="67"/>
      <c r="L2237" s="67"/>
      <c r="M2237" s="67"/>
      <c r="N2237" s="67"/>
      <c r="O2237" s="67"/>
    </row>
    <row r="2238" spans="1:15" ht="15">
      <c r="A2238" s="91" t="s">
        <v>3361</v>
      </c>
      <c r="B2238" s="91" t="s">
        <v>8</v>
      </c>
      <c r="C2238" s="92" t="str">
        <f ca="1">IFERROR(__xludf.DUMMYFUNCTION("filter('Back End'!C:C,'Back End'!A:A=A2238,'Back End'!B:B=B2238,'Back End'!D:D=D2238)"),"#N/A")</f>
        <v>#N/A</v>
      </c>
      <c r="D2238" s="91" t="s">
        <v>8</v>
      </c>
      <c r="E2238" s="91" t="s">
        <v>5817</v>
      </c>
      <c r="F2238" s="67" t="s">
        <v>3138</v>
      </c>
      <c r="G2238" s="67"/>
      <c r="H2238" s="93" t="s">
        <v>4</v>
      </c>
      <c r="I2238" s="67"/>
      <c r="J2238" s="92">
        <v>7793932947</v>
      </c>
      <c r="K2238" s="67"/>
      <c r="L2238" s="67"/>
      <c r="M2238" s="67"/>
      <c r="N2238" s="67"/>
      <c r="O2238" s="67"/>
    </row>
    <row r="2239" spans="1:15" ht="15">
      <c r="A2239" s="91" t="s">
        <v>3361</v>
      </c>
      <c r="B2239" s="91" t="s">
        <v>8</v>
      </c>
      <c r="C2239" s="92" t="str">
        <f ca="1">IFERROR(__xludf.DUMMYFUNCTION("filter('Back End'!C:C,'Back End'!A:A=A2239,'Back End'!B:B=B2239,'Back End'!D:D=D2239)"),"#N/A")</f>
        <v>#N/A</v>
      </c>
      <c r="D2239" s="91" t="s">
        <v>8</v>
      </c>
      <c r="E2239" s="91" t="s">
        <v>5818</v>
      </c>
      <c r="F2239" s="67" t="s">
        <v>3138</v>
      </c>
      <c r="G2239" s="67"/>
      <c r="H2239" s="93" t="s">
        <v>4</v>
      </c>
      <c r="I2239" s="67"/>
      <c r="J2239" s="92">
        <v>9494440048</v>
      </c>
      <c r="K2239" s="67"/>
      <c r="L2239" s="67"/>
      <c r="M2239" s="67"/>
      <c r="N2239" s="67"/>
      <c r="O2239" s="67"/>
    </row>
    <row r="2240" spans="1:15" ht="15">
      <c r="A2240" s="91" t="s">
        <v>3361</v>
      </c>
      <c r="B2240" s="91" t="s">
        <v>8</v>
      </c>
      <c r="C2240" s="92" t="str">
        <f ca="1">IFERROR(__xludf.DUMMYFUNCTION("filter('Back End'!C:C,'Back End'!A:A=A2240,'Back End'!B:B=B2240,'Back End'!D:D=D2240)"),"#N/A")</f>
        <v>#N/A</v>
      </c>
      <c r="D2240" s="91" t="s">
        <v>8</v>
      </c>
      <c r="E2240" s="91" t="s">
        <v>5819</v>
      </c>
      <c r="F2240" s="67" t="s">
        <v>3138</v>
      </c>
      <c r="G2240" s="67"/>
      <c r="H2240" s="93" t="s">
        <v>4</v>
      </c>
      <c r="I2240" s="67"/>
      <c r="J2240" s="92">
        <v>8121405249</v>
      </c>
      <c r="K2240" s="67"/>
      <c r="L2240" s="67"/>
      <c r="M2240" s="67"/>
      <c r="N2240" s="67"/>
      <c r="O2240" s="67"/>
    </row>
    <row r="2241" spans="1:15" ht="15">
      <c r="A2241" s="91" t="s">
        <v>3361</v>
      </c>
      <c r="B2241" s="91" t="s">
        <v>8</v>
      </c>
      <c r="C2241" s="92" t="str">
        <f ca="1">IFERROR(__xludf.DUMMYFUNCTION("filter('Back End'!C:C,'Back End'!A:A=A2241,'Back End'!B:B=B2241,'Back End'!D:D=D2241)"),"#N/A")</f>
        <v>#N/A</v>
      </c>
      <c r="D2241" s="91" t="s">
        <v>8</v>
      </c>
      <c r="E2241" s="91" t="s">
        <v>5820</v>
      </c>
      <c r="F2241" s="67" t="s">
        <v>3138</v>
      </c>
      <c r="G2241" s="67"/>
      <c r="H2241" s="93" t="s">
        <v>4</v>
      </c>
      <c r="I2241" s="67"/>
      <c r="J2241" s="92">
        <v>6281522509</v>
      </c>
      <c r="K2241" s="67"/>
      <c r="L2241" s="67"/>
      <c r="M2241" s="67"/>
      <c r="N2241" s="67"/>
      <c r="O2241" s="67"/>
    </row>
    <row r="2242" spans="1:15" ht="15">
      <c r="A2242" s="91" t="s">
        <v>3361</v>
      </c>
      <c r="B2242" s="91" t="s">
        <v>8</v>
      </c>
      <c r="C2242" s="92" t="str">
        <f ca="1">IFERROR(__xludf.DUMMYFUNCTION("filter('Back End'!C:C,'Back End'!A:A=A2242,'Back End'!B:B=B2242,'Back End'!D:D=D2242)"),"#N/A")</f>
        <v>#N/A</v>
      </c>
      <c r="D2242" s="91" t="s">
        <v>8</v>
      </c>
      <c r="E2242" s="91" t="s">
        <v>5821</v>
      </c>
      <c r="F2242" s="67" t="s">
        <v>3138</v>
      </c>
      <c r="G2242" s="67"/>
      <c r="H2242" s="93" t="s">
        <v>4</v>
      </c>
      <c r="I2242" s="67"/>
      <c r="J2242" s="92">
        <v>8522081999</v>
      </c>
      <c r="K2242" s="67"/>
      <c r="L2242" s="67"/>
      <c r="M2242" s="67"/>
      <c r="N2242" s="67"/>
      <c r="O2242" s="67"/>
    </row>
    <row r="2243" spans="1:15" ht="15">
      <c r="A2243" s="91" t="s">
        <v>3361</v>
      </c>
      <c r="B2243" s="91" t="s">
        <v>8</v>
      </c>
      <c r="C2243" s="92" t="str">
        <f ca="1">IFERROR(__xludf.DUMMYFUNCTION("filter('Back End'!C:C,'Back End'!A:A=A2243,'Back End'!B:B=B2243,'Back End'!D:D=D2243)"),"#N/A")</f>
        <v>#N/A</v>
      </c>
      <c r="D2243" s="91" t="s">
        <v>8</v>
      </c>
      <c r="E2243" s="91" t="s">
        <v>5822</v>
      </c>
      <c r="F2243" s="67" t="s">
        <v>3138</v>
      </c>
      <c r="G2243" s="67"/>
      <c r="H2243" s="93" t="s">
        <v>4</v>
      </c>
      <c r="I2243" s="67"/>
      <c r="J2243" s="92">
        <v>9533259888</v>
      </c>
      <c r="K2243" s="67"/>
      <c r="L2243" s="67"/>
      <c r="M2243" s="67"/>
      <c r="N2243" s="67"/>
      <c r="O2243" s="67"/>
    </row>
    <row r="2244" spans="1:15" ht="15">
      <c r="A2244" s="91" t="s">
        <v>3361</v>
      </c>
      <c r="B2244" s="91" t="s">
        <v>8</v>
      </c>
      <c r="C2244" s="92" t="str">
        <f ca="1">IFERROR(__xludf.DUMMYFUNCTION("filter('Back End'!C:C,'Back End'!A:A=A2244,'Back End'!B:B=B2244,'Back End'!D:D=D2244)"),"#N/A")</f>
        <v>#N/A</v>
      </c>
      <c r="D2244" s="91" t="s">
        <v>8</v>
      </c>
      <c r="E2244" s="91" t="s">
        <v>5823</v>
      </c>
      <c r="F2244" s="67" t="s">
        <v>3138</v>
      </c>
      <c r="G2244" s="67"/>
      <c r="H2244" s="93" t="s">
        <v>4</v>
      </c>
      <c r="I2244" s="67"/>
      <c r="J2244" s="92">
        <v>9493452137</v>
      </c>
      <c r="K2244" s="67"/>
      <c r="L2244" s="67"/>
      <c r="M2244" s="67"/>
      <c r="N2244" s="67"/>
      <c r="O2244" s="67"/>
    </row>
    <row r="2245" spans="1:15" ht="15">
      <c r="A2245" s="91" t="s">
        <v>3361</v>
      </c>
      <c r="B2245" s="91" t="s">
        <v>8</v>
      </c>
      <c r="C2245" s="92" t="str">
        <f ca="1">IFERROR(__xludf.DUMMYFUNCTION("filter('Back End'!C:C,'Back End'!A:A=A2245,'Back End'!B:B=B2245,'Back End'!D:D=D2245)"),"#N/A")</f>
        <v>#N/A</v>
      </c>
      <c r="D2245" s="91" t="s">
        <v>8</v>
      </c>
      <c r="E2245" s="91" t="s">
        <v>5824</v>
      </c>
      <c r="F2245" s="67" t="s">
        <v>3138</v>
      </c>
      <c r="G2245" s="67"/>
      <c r="H2245" s="93" t="s">
        <v>4</v>
      </c>
      <c r="I2245" s="67"/>
      <c r="J2245" s="92">
        <v>7416470096</v>
      </c>
      <c r="K2245" s="67"/>
      <c r="L2245" s="67"/>
      <c r="M2245" s="67"/>
      <c r="N2245" s="67"/>
      <c r="O2245" s="67"/>
    </row>
    <row r="2246" spans="1:15" ht="15">
      <c r="A2246" s="91" t="s">
        <v>3361</v>
      </c>
      <c r="B2246" s="91" t="s">
        <v>8</v>
      </c>
      <c r="C2246" s="92" t="str">
        <f ca="1">IFERROR(__xludf.DUMMYFUNCTION("filter('Back End'!C:C,'Back End'!A:A=A2246,'Back End'!B:B=B2246,'Back End'!D:D=D2246)"),"#N/A")</f>
        <v>#N/A</v>
      </c>
      <c r="D2246" s="91" t="s">
        <v>8</v>
      </c>
      <c r="E2246" s="91" t="s">
        <v>5825</v>
      </c>
      <c r="F2246" s="67" t="s">
        <v>3138</v>
      </c>
      <c r="G2246" s="67"/>
      <c r="H2246" s="93" t="s">
        <v>4</v>
      </c>
      <c r="I2246" s="67"/>
      <c r="J2246" s="92">
        <v>8247748055</v>
      </c>
      <c r="K2246" s="67"/>
      <c r="L2246" s="67"/>
      <c r="M2246" s="67"/>
      <c r="N2246" s="67"/>
      <c r="O2246" s="67"/>
    </row>
    <row r="2247" spans="1:15" ht="15">
      <c r="A2247" s="91" t="s">
        <v>3361</v>
      </c>
      <c r="B2247" s="91" t="s">
        <v>8</v>
      </c>
      <c r="C2247" s="92" t="str">
        <f ca="1">IFERROR(__xludf.DUMMYFUNCTION("filter('Back End'!C:C,'Back End'!A:A=A2247,'Back End'!B:B=B2247,'Back End'!D:D=D2247)"),"#N/A")</f>
        <v>#N/A</v>
      </c>
      <c r="D2247" s="91" t="s">
        <v>8</v>
      </c>
      <c r="E2247" s="91" t="s">
        <v>5826</v>
      </c>
      <c r="F2247" s="67" t="s">
        <v>3138</v>
      </c>
      <c r="G2247" s="67"/>
      <c r="H2247" s="93" t="s">
        <v>4</v>
      </c>
      <c r="I2247" s="67"/>
      <c r="J2247" s="92">
        <v>9542295183</v>
      </c>
      <c r="K2247" s="67"/>
      <c r="L2247" s="67"/>
      <c r="M2247" s="67"/>
      <c r="N2247" s="67"/>
      <c r="O2247" s="67"/>
    </row>
    <row r="2248" spans="1:15" ht="15">
      <c r="A2248" s="91" t="s">
        <v>3361</v>
      </c>
      <c r="B2248" s="91" t="s">
        <v>8</v>
      </c>
      <c r="C2248" s="92" t="str">
        <f ca="1">IFERROR(__xludf.DUMMYFUNCTION("filter('Back End'!C:C,'Back End'!A:A=A2248,'Back End'!B:B=B2248,'Back End'!D:D=D2248)"),"#N/A")</f>
        <v>#N/A</v>
      </c>
      <c r="D2248" s="91" t="s">
        <v>567</v>
      </c>
      <c r="E2248" s="91" t="s">
        <v>5827</v>
      </c>
      <c r="F2248" s="67" t="s">
        <v>3138</v>
      </c>
      <c r="G2248" s="67"/>
      <c r="H2248" s="93" t="s">
        <v>4</v>
      </c>
      <c r="I2248" s="67"/>
      <c r="J2248" s="92">
        <v>9666086734</v>
      </c>
      <c r="K2248" s="67"/>
      <c r="L2248" s="67"/>
      <c r="M2248" s="67"/>
      <c r="N2248" s="67"/>
      <c r="O2248" s="67"/>
    </row>
    <row r="2249" spans="1:15" ht="15">
      <c r="A2249" s="91" t="s">
        <v>3361</v>
      </c>
      <c r="B2249" s="91" t="s">
        <v>8</v>
      </c>
      <c r="C2249" s="92" t="str">
        <f ca="1">IFERROR(__xludf.DUMMYFUNCTION("filter('Back End'!C:C,'Back End'!A:A=A2249,'Back End'!B:B=B2249,'Back End'!D:D=D2249)"),"#N/A")</f>
        <v>#N/A</v>
      </c>
      <c r="D2249" s="91" t="s">
        <v>567</v>
      </c>
      <c r="E2249" s="91" t="s">
        <v>5828</v>
      </c>
      <c r="F2249" s="67" t="s">
        <v>3138</v>
      </c>
      <c r="G2249" s="67"/>
      <c r="H2249" s="93" t="s">
        <v>4</v>
      </c>
      <c r="I2249" s="67"/>
      <c r="J2249" s="92">
        <v>9247405555</v>
      </c>
      <c r="K2249" s="67"/>
      <c r="L2249" s="67"/>
      <c r="M2249" s="67"/>
      <c r="N2249" s="67"/>
      <c r="O2249" s="67"/>
    </row>
    <row r="2250" spans="1:15" ht="15">
      <c r="A2250" s="91" t="s">
        <v>3361</v>
      </c>
      <c r="B2250" s="91" t="s">
        <v>8</v>
      </c>
      <c r="C2250" s="92" t="str">
        <f ca="1">IFERROR(__xludf.DUMMYFUNCTION("filter('Back End'!C:C,'Back End'!A:A=A2250,'Back End'!B:B=B2250,'Back End'!D:D=D2250)"),"#N/A")</f>
        <v>#N/A</v>
      </c>
      <c r="D2250" s="91" t="s">
        <v>567</v>
      </c>
      <c r="E2250" s="91" t="s">
        <v>5829</v>
      </c>
      <c r="F2250" s="67" t="s">
        <v>3138</v>
      </c>
      <c r="G2250" s="67"/>
      <c r="H2250" s="93" t="s">
        <v>4</v>
      </c>
      <c r="I2250" s="67"/>
      <c r="J2250" s="92">
        <v>9948881121</v>
      </c>
      <c r="K2250" s="67"/>
      <c r="L2250" s="67"/>
      <c r="M2250" s="67"/>
      <c r="N2250" s="67"/>
      <c r="O2250" s="67"/>
    </row>
    <row r="2251" spans="1:15" ht="15">
      <c r="A2251" s="91" t="s">
        <v>8</v>
      </c>
      <c r="B2251" s="91" t="s">
        <v>8</v>
      </c>
      <c r="C2251" s="92" t="str">
        <f ca="1">IFERROR(__xludf.DUMMYFUNCTION("filter('Back End'!C:C,'Back End'!A:A=A2251,'Back End'!B:B=B2251,'Back End'!D:D=D2251)"),"Rachapalle")</f>
        <v>Rachapalle</v>
      </c>
      <c r="D2251" s="91" t="s">
        <v>567</v>
      </c>
      <c r="E2251" s="91" t="s">
        <v>5830</v>
      </c>
      <c r="F2251" s="67" t="s">
        <v>3138</v>
      </c>
      <c r="G2251" s="67"/>
      <c r="H2251" s="93" t="s">
        <v>4</v>
      </c>
      <c r="I2251" s="92" t="s">
        <v>3125</v>
      </c>
      <c r="J2251" s="92">
        <v>9908004809</v>
      </c>
      <c r="K2251" s="67"/>
      <c r="L2251" s="67"/>
      <c r="M2251" s="67"/>
      <c r="N2251" s="67"/>
      <c r="O2251" s="67"/>
    </row>
    <row r="2252" spans="1:15" ht="15">
      <c r="A2252" s="91" t="s">
        <v>8</v>
      </c>
      <c r="B2252" s="91" t="s">
        <v>8</v>
      </c>
      <c r="C2252" s="92" t="str">
        <f ca="1">IFERROR(__xludf.DUMMYFUNCTION("filter('Back End'!C:C,'Back End'!A:A=A2252,'Back End'!B:B=B2252,'Back End'!D:D=D2252)"),"Rachapalle")</f>
        <v>Rachapalle</v>
      </c>
      <c r="D2252" s="91" t="s">
        <v>567</v>
      </c>
      <c r="E2252" s="91" t="s">
        <v>5831</v>
      </c>
      <c r="F2252" s="67" t="s">
        <v>3138</v>
      </c>
      <c r="G2252" s="67"/>
      <c r="H2252" s="93" t="s">
        <v>4</v>
      </c>
      <c r="I2252" s="67"/>
      <c r="J2252" s="92">
        <v>9705555118</v>
      </c>
      <c r="K2252" s="67"/>
      <c r="L2252" s="67"/>
      <c r="M2252" s="67"/>
      <c r="N2252" s="67"/>
      <c r="O2252" s="67"/>
    </row>
    <row r="2253" spans="1:15" ht="15">
      <c r="A2253" s="91" t="s">
        <v>8</v>
      </c>
      <c r="B2253" s="91" t="s">
        <v>8</v>
      </c>
      <c r="C2253" s="92" t="str">
        <f ca="1">IFERROR(__xludf.DUMMYFUNCTION("filter('Back End'!C:C,'Back End'!A:A=A2253,'Back End'!B:B=B2253,'Back End'!D:D=D2253)"),"Rachapalle")</f>
        <v>Rachapalle</v>
      </c>
      <c r="D2253" s="91" t="s">
        <v>567</v>
      </c>
      <c r="E2253" s="91" t="s">
        <v>5832</v>
      </c>
      <c r="F2253" s="91" t="s">
        <v>1668</v>
      </c>
      <c r="G2253" s="91" t="s">
        <v>615</v>
      </c>
      <c r="H2253" s="93" t="s">
        <v>5</v>
      </c>
      <c r="I2253" s="92" t="s">
        <v>3112</v>
      </c>
      <c r="J2253" s="92">
        <v>9550318386</v>
      </c>
      <c r="K2253" s="67"/>
      <c r="L2253" s="67"/>
      <c r="M2253" s="67"/>
      <c r="N2253" s="67"/>
      <c r="O2253" s="67"/>
    </row>
    <row r="2254" spans="1:15" ht="15">
      <c r="A2254" s="91" t="s">
        <v>8</v>
      </c>
      <c r="B2254" s="91" t="s">
        <v>8</v>
      </c>
      <c r="C2254" s="92" t="str">
        <f ca="1">IFERROR(__xludf.DUMMYFUNCTION("filter('Back End'!C:C,'Back End'!A:A=A2254,'Back End'!B:B=B2254,'Back End'!D:D=D2254)"),"Rachapalle")</f>
        <v>Rachapalle</v>
      </c>
      <c r="D2254" s="91" t="s">
        <v>567</v>
      </c>
      <c r="E2254" s="91" t="s">
        <v>3972</v>
      </c>
      <c r="F2254" s="91" t="s">
        <v>165</v>
      </c>
      <c r="G2254" s="91" t="s">
        <v>615</v>
      </c>
      <c r="H2254" s="93" t="s">
        <v>5</v>
      </c>
      <c r="I2254" s="92" t="s">
        <v>3112</v>
      </c>
      <c r="J2254" s="92">
        <v>9505234510</v>
      </c>
      <c r="K2254" s="67"/>
      <c r="L2254" s="67"/>
      <c r="M2254" s="67"/>
      <c r="N2254" s="67"/>
      <c r="O2254" s="67"/>
    </row>
    <row r="2255" spans="1:15" ht="15">
      <c r="A2255" s="91" t="s">
        <v>8</v>
      </c>
      <c r="B2255" s="91" t="s">
        <v>8</v>
      </c>
      <c r="C2255" s="92" t="str">
        <f ca="1">IFERROR(__xludf.DUMMYFUNCTION("filter('Back End'!C:C,'Back End'!A:A=A2255,'Back End'!B:B=B2255,'Back End'!D:D=D2255)"),"Rachapalle")</f>
        <v>Rachapalle</v>
      </c>
      <c r="D2255" s="91" t="s">
        <v>567</v>
      </c>
      <c r="E2255" s="91" t="s">
        <v>5833</v>
      </c>
      <c r="F2255" s="91" t="s">
        <v>139</v>
      </c>
      <c r="G2255" s="91" t="s">
        <v>594</v>
      </c>
      <c r="H2255" s="93" t="s">
        <v>5</v>
      </c>
      <c r="I2255" s="92" t="s">
        <v>3711</v>
      </c>
      <c r="J2255" s="92">
        <v>9666675566</v>
      </c>
      <c r="K2255" s="67"/>
      <c r="L2255" s="67"/>
      <c r="M2255" s="67"/>
      <c r="N2255" s="67"/>
      <c r="O2255" s="67"/>
    </row>
    <row r="2256" spans="1:15" ht="15">
      <c r="A2256" s="91" t="s">
        <v>8</v>
      </c>
      <c r="B2256" s="91" t="s">
        <v>8</v>
      </c>
      <c r="C2256" s="92" t="str">
        <f ca="1">IFERROR(__xludf.DUMMYFUNCTION("filter('Back End'!C:C,'Back End'!A:A=A2256,'Back End'!B:B=B2256,'Back End'!D:D=D2256)"),"Rachapalle")</f>
        <v>Rachapalle</v>
      </c>
      <c r="D2256" s="91" t="s">
        <v>567</v>
      </c>
      <c r="E2256" s="91" t="s">
        <v>5834</v>
      </c>
      <c r="F2256" s="91" t="s">
        <v>114</v>
      </c>
      <c r="G2256" s="91" t="s">
        <v>85</v>
      </c>
      <c r="H2256" s="93" t="s">
        <v>5</v>
      </c>
      <c r="I2256" s="92" t="s">
        <v>3112</v>
      </c>
      <c r="J2256" s="92">
        <v>9542576111</v>
      </c>
      <c r="K2256" s="67"/>
      <c r="L2256" s="67"/>
      <c r="M2256" s="67"/>
      <c r="N2256" s="67"/>
      <c r="O2256" s="67"/>
    </row>
    <row r="2257" spans="1:15" ht="15">
      <c r="A2257" s="91" t="s">
        <v>8</v>
      </c>
      <c r="B2257" s="91" t="s">
        <v>8</v>
      </c>
      <c r="C2257" s="92" t="str">
        <f ca="1">IFERROR(__xludf.DUMMYFUNCTION("filter('Back End'!C:C,'Back End'!A:A=A2257,'Back End'!B:B=B2257,'Back End'!D:D=D2257)"),"Rachapalle")</f>
        <v>Rachapalle</v>
      </c>
      <c r="D2257" s="91" t="s">
        <v>567</v>
      </c>
      <c r="E2257" s="91" t="s">
        <v>5835</v>
      </c>
      <c r="F2257" s="91" t="s">
        <v>467</v>
      </c>
      <c r="G2257" s="91" t="s">
        <v>85</v>
      </c>
      <c r="H2257" s="93" t="s">
        <v>5</v>
      </c>
      <c r="I2257" s="92" t="s">
        <v>3112</v>
      </c>
      <c r="J2257" s="92">
        <v>8166211628</v>
      </c>
      <c r="K2257" s="67"/>
      <c r="L2257" s="67"/>
      <c r="M2257" s="67"/>
      <c r="N2257" s="67"/>
      <c r="O2257" s="67"/>
    </row>
    <row r="2258" spans="1:15" ht="30">
      <c r="A2258" s="91" t="s">
        <v>8</v>
      </c>
      <c r="B2258" s="91" t="s">
        <v>8</v>
      </c>
      <c r="C2258" s="92" t="str">
        <f ca="1">IFERROR(__xludf.DUMMYFUNCTION("filter('Back End'!C:C,'Back End'!A:A=A2258,'Back End'!B:B=B2258,'Back End'!D:D=D2258)"),"Rachapalle")</f>
        <v>Rachapalle</v>
      </c>
      <c r="D2258" s="91" t="s">
        <v>567</v>
      </c>
      <c r="E2258" s="91" t="s">
        <v>5836</v>
      </c>
      <c r="F2258" s="91" t="s">
        <v>165</v>
      </c>
      <c r="G2258" s="91" t="s">
        <v>615</v>
      </c>
      <c r="H2258" s="93" t="s">
        <v>4</v>
      </c>
      <c r="I2258" s="92" t="s">
        <v>3107</v>
      </c>
      <c r="J2258" s="92">
        <v>9951370477</v>
      </c>
      <c r="K2258" s="67"/>
      <c r="L2258" s="67"/>
      <c r="M2258" s="67"/>
      <c r="N2258" s="67"/>
      <c r="O2258" s="67"/>
    </row>
    <row r="2259" spans="1:15" ht="15">
      <c r="A2259" s="91" t="s">
        <v>8</v>
      </c>
      <c r="B2259" s="91" t="s">
        <v>8</v>
      </c>
      <c r="C2259" s="92" t="str">
        <f ca="1">IFERROR(__xludf.DUMMYFUNCTION("filter('Back End'!C:C,'Back End'!A:A=A2259,'Back End'!B:B=B2259,'Back End'!D:D=D2259)"),"Rachapalle")</f>
        <v>Rachapalle</v>
      </c>
      <c r="D2259" s="91" t="s">
        <v>567</v>
      </c>
      <c r="E2259" s="91" t="s">
        <v>5837</v>
      </c>
      <c r="F2259" s="91" t="s">
        <v>165</v>
      </c>
      <c r="G2259" s="91" t="s">
        <v>615</v>
      </c>
      <c r="H2259" s="93" t="s">
        <v>4</v>
      </c>
      <c r="I2259" s="92" t="s">
        <v>4114</v>
      </c>
      <c r="J2259" s="92">
        <v>8688530448</v>
      </c>
      <c r="K2259" s="67"/>
      <c r="L2259" s="67"/>
      <c r="M2259" s="67"/>
      <c r="N2259" s="67"/>
      <c r="O2259" s="67"/>
    </row>
    <row r="2260" spans="1:15" ht="15">
      <c r="A2260" s="91" t="s">
        <v>3361</v>
      </c>
      <c r="B2260" s="91" t="s">
        <v>8</v>
      </c>
      <c r="C2260" s="92" t="str">
        <f ca="1">IFERROR(__xludf.DUMMYFUNCTION("filter('Back End'!C:C,'Back End'!A:A=A2260,'Back End'!B:B=B2260,'Back End'!D:D=D2260)"),"#N/A")</f>
        <v>#N/A</v>
      </c>
      <c r="D2260" s="91" t="s">
        <v>570</v>
      </c>
      <c r="E2260" s="91" t="s">
        <v>5838</v>
      </c>
      <c r="F2260" s="67" t="s">
        <v>3138</v>
      </c>
      <c r="G2260" s="67"/>
      <c r="H2260" s="93" t="s">
        <v>4</v>
      </c>
      <c r="I2260" s="67"/>
      <c r="J2260" s="92">
        <v>9676972649</v>
      </c>
      <c r="K2260" s="67"/>
      <c r="L2260" s="67"/>
      <c r="M2260" s="67"/>
      <c r="N2260" s="67"/>
      <c r="O2260" s="67"/>
    </row>
    <row r="2261" spans="1:15" ht="15">
      <c r="A2261" s="91" t="s">
        <v>3361</v>
      </c>
      <c r="B2261" s="91" t="s">
        <v>8</v>
      </c>
      <c r="C2261" s="92" t="str">
        <f ca="1">IFERROR(__xludf.DUMMYFUNCTION("filter('Back End'!C:C,'Back End'!A:A=A2261,'Back End'!B:B=B2261,'Back End'!D:D=D2261)"),"#N/A")</f>
        <v>#N/A</v>
      </c>
      <c r="D2261" s="91" t="s">
        <v>570</v>
      </c>
      <c r="E2261" s="91" t="s">
        <v>5839</v>
      </c>
      <c r="F2261" s="67" t="s">
        <v>3138</v>
      </c>
      <c r="G2261" s="67"/>
      <c r="H2261" s="93" t="s">
        <v>4</v>
      </c>
      <c r="I2261" s="92" t="s">
        <v>3125</v>
      </c>
      <c r="J2261" s="92">
        <v>9701879620</v>
      </c>
      <c r="K2261" s="67"/>
      <c r="L2261" s="67"/>
      <c r="M2261" s="67"/>
      <c r="N2261" s="67"/>
      <c r="O2261" s="67"/>
    </row>
    <row r="2262" spans="1:15" ht="15">
      <c r="A2262" s="91" t="s">
        <v>3361</v>
      </c>
      <c r="B2262" s="91" t="s">
        <v>8</v>
      </c>
      <c r="C2262" s="92" t="str">
        <f ca="1">IFERROR(__xludf.DUMMYFUNCTION("filter('Back End'!C:C,'Back End'!A:A=A2262,'Back End'!B:B=B2262,'Back End'!D:D=D2262)"),"#N/A")</f>
        <v>#N/A</v>
      </c>
      <c r="D2262" s="91" t="s">
        <v>570</v>
      </c>
      <c r="E2262" s="91" t="s">
        <v>5840</v>
      </c>
      <c r="F2262" s="67" t="s">
        <v>3138</v>
      </c>
      <c r="G2262" s="67"/>
      <c r="H2262" s="93" t="s">
        <v>4</v>
      </c>
      <c r="I2262" s="67"/>
      <c r="J2262" s="92">
        <v>9553206052</v>
      </c>
      <c r="K2262" s="67"/>
      <c r="L2262" s="67"/>
      <c r="M2262" s="67"/>
      <c r="N2262" s="67"/>
      <c r="O2262" s="67"/>
    </row>
    <row r="2263" spans="1:15" ht="15">
      <c r="A2263" s="91" t="s">
        <v>3361</v>
      </c>
      <c r="B2263" s="91" t="s">
        <v>8</v>
      </c>
      <c r="C2263" s="92" t="str">
        <f ca="1">IFERROR(__xludf.DUMMYFUNCTION("filter('Back End'!C:C,'Back End'!A:A=A2263,'Back End'!B:B=B2263,'Back End'!D:D=D2263)"),"#N/A")</f>
        <v>#N/A</v>
      </c>
      <c r="D2263" s="91" t="s">
        <v>579</v>
      </c>
      <c r="E2263" s="91" t="s">
        <v>5841</v>
      </c>
      <c r="F2263" s="67" t="s">
        <v>3138</v>
      </c>
      <c r="G2263" s="67"/>
      <c r="H2263" s="93" t="s">
        <v>4</v>
      </c>
      <c r="I2263" s="92" t="s">
        <v>3125</v>
      </c>
      <c r="J2263" s="92">
        <v>9849556645</v>
      </c>
      <c r="K2263" s="67"/>
      <c r="L2263" s="67"/>
      <c r="M2263" s="67"/>
      <c r="N2263" s="67"/>
      <c r="O2263" s="67"/>
    </row>
    <row r="2264" spans="1:15" ht="15">
      <c r="A2264" s="91" t="s">
        <v>3361</v>
      </c>
      <c r="B2264" s="91" t="s">
        <v>8</v>
      </c>
      <c r="C2264" s="92" t="str">
        <f ca="1">IFERROR(__xludf.DUMMYFUNCTION("filter('Back End'!C:C,'Back End'!A:A=A2264,'Back End'!B:B=B2264,'Back End'!D:D=D2264)"),"#N/A")</f>
        <v>#N/A</v>
      </c>
      <c r="D2264" s="91" t="s">
        <v>581</v>
      </c>
      <c r="E2264" s="91" t="s">
        <v>5842</v>
      </c>
      <c r="F2264" s="67" t="s">
        <v>3138</v>
      </c>
      <c r="G2264" s="67"/>
      <c r="H2264" s="93" t="s">
        <v>4</v>
      </c>
      <c r="I2264" s="67"/>
      <c r="J2264" s="92">
        <v>9989863555</v>
      </c>
      <c r="K2264" s="67"/>
      <c r="L2264" s="67"/>
      <c r="M2264" s="67"/>
      <c r="N2264" s="67"/>
      <c r="O2264" s="67"/>
    </row>
    <row r="2265" spans="1:15" ht="15">
      <c r="A2265" s="91" t="s">
        <v>3361</v>
      </c>
      <c r="B2265" s="91" t="s">
        <v>8</v>
      </c>
      <c r="C2265" s="92" t="str">
        <f ca="1">IFERROR(__xludf.DUMMYFUNCTION("filter('Back End'!C:C,'Back End'!A:A=A2265,'Back End'!B:B=B2265,'Back End'!D:D=D2265)"),"#N/A")</f>
        <v>#N/A</v>
      </c>
      <c r="D2265" s="91" t="s">
        <v>581</v>
      </c>
      <c r="E2265" s="91" t="s">
        <v>5843</v>
      </c>
      <c r="F2265" s="67" t="s">
        <v>3138</v>
      </c>
      <c r="G2265" s="67"/>
      <c r="H2265" s="93" t="s">
        <v>4</v>
      </c>
      <c r="I2265" s="67"/>
      <c r="J2265" s="92">
        <v>9949424805</v>
      </c>
      <c r="K2265" s="67"/>
      <c r="L2265" s="67"/>
      <c r="M2265" s="67"/>
      <c r="N2265" s="67"/>
      <c r="O2265" s="67"/>
    </row>
    <row r="2266" spans="1:15" ht="15">
      <c r="A2266" s="91" t="s">
        <v>3361</v>
      </c>
      <c r="B2266" s="91" t="s">
        <v>8</v>
      </c>
      <c r="C2266" s="92" t="str">
        <f ca="1">IFERROR(__xludf.DUMMYFUNCTION("filter('Back End'!C:C,'Back End'!A:A=A2266,'Back End'!B:B=B2266,'Back End'!D:D=D2266)"),"#N/A")</f>
        <v>#N/A</v>
      </c>
      <c r="D2266" s="91" t="s">
        <v>581</v>
      </c>
      <c r="E2266" s="91" t="s">
        <v>5844</v>
      </c>
      <c r="F2266" s="67" t="s">
        <v>3138</v>
      </c>
      <c r="G2266" s="67"/>
      <c r="H2266" s="93" t="s">
        <v>4</v>
      </c>
      <c r="I2266" s="67"/>
      <c r="J2266" s="92">
        <v>9963826391</v>
      </c>
      <c r="K2266" s="67"/>
      <c r="L2266" s="67"/>
      <c r="M2266" s="67"/>
      <c r="N2266" s="67"/>
      <c r="O2266" s="67"/>
    </row>
    <row r="2267" spans="1:15" ht="15">
      <c r="A2267" s="91" t="s">
        <v>3361</v>
      </c>
      <c r="B2267" s="91" t="s">
        <v>8</v>
      </c>
      <c r="C2267" s="92" t="str">
        <f ca="1">IFERROR(__xludf.DUMMYFUNCTION("filter('Back End'!C:C,'Back End'!A:A=A2267,'Back End'!B:B=B2267,'Back End'!D:D=D2267)"),"#N/A")</f>
        <v>#N/A</v>
      </c>
      <c r="D2267" s="91" t="s">
        <v>581</v>
      </c>
      <c r="E2267" s="91" t="s">
        <v>5845</v>
      </c>
      <c r="F2267" s="67" t="s">
        <v>3138</v>
      </c>
      <c r="G2267" s="67"/>
      <c r="H2267" s="93" t="s">
        <v>4</v>
      </c>
      <c r="I2267" s="67"/>
      <c r="J2267" s="92">
        <v>8341897456</v>
      </c>
      <c r="K2267" s="67"/>
      <c r="L2267" s="67"/>
      <c r="M2267" s="67"/>
      <c r="N2267" s="67"/>
      <c r="O2267" s="67"/>
    </row>
    <row r="2268" spans="1:15" ht="15">
      <c r="A2268" s="91" t="s">
        <v>3361</v>
      </c>
      <c r="B2268" s="91" t="s">
        <v>8</v>
      </c>
      <c r="C2268" s="92" t="str">
        <f ca="1">IFERROR(__xludf.DUMMYFUNCTION("filter('Back End'!C:C,'Back End'!A:A=A2268,'Back End'!B:B=B2268,'Back End'!D:D=D2268)"),"#N/A")</f>
        <v>#N/A</v>
      </c>
      <c r="D2268" s="91" t="s">
        <v>581</v>
      </c>
      <c r="E2268" s="91" t="s">
        <v>5846</v>
      </c>
      <c r="F2268" s="67" t="s">
        <v>3138</v>
      </c>
      <c r="G2268" s="67"/>
      <c r="H2268" s="93" t="s">
        <v>4</v>
      </c>
      <c r="I2268" s="67"/>
      <c r="J2268" s="92">
        <v>9666600711</v>
      </c>
      <c r="K2268" s="67"/>
      <c r="L2268" s="67"/>
      <c r="M2268" s="67"/>
      <c r="N2268" s="67"/>
      <c r="O2268" s="67"/>
    </row>
    <row r="2269" spans="1:15" ht="15">
      <c r="A2269" s="91" t="s">
        <v>3361</v>
      </c>
      <c r="B2269" s="91" t="s">
        <v>8</v>
      </c>
      <c r="C2269" s="92" t="str">
        <f ca="1">IFERROR(__xludf.DUMMYFUNCTION("filter('Back End'!C:C,'Back End'!A:A=A2269,'Back End'!B:B=B2269,'Back End'!D:D=D2269)"),"#N/A")</f>
        <v>#N/A</v>
      </c>
      <c r="D2269" s="91" t="s">
        <v>581</v>
      </c>
      <c r="E2269" s="91" t="s">
        <v>5847</v>
      </c>
      <c r="F2269" s="67" t="s">
        <v>3138</v>
      </c>
      <c r="G2269" s="67"/>
      <c r="H2269" s="93" t="s">
        <v>4</v>
      </c>
      <c r="I2269" s="92" t="s">
        <v>3125</v>
      </c>
      <c r="J2269" s="92">
        <v>9949574999</v>
      </c>
      <c r="K2269" s="67"/>
      <c r="L2269" s="67"/>
      <c r="M2269" s="67"/>
      <c r="N2269" s="67"/>
      <c r="O2269" s="67"/>
    </row>
    <row r="2270" spans="1:15" ht="15">
      <c r="A2270" s="91" t="s">
        <v>3361</v>
      </c>
      <c r="B2270" s="91" t="s">
        <v>8</v>
      </c>
      <c r="C2270" s="92" t="str">
        <f ca="1">IFERROR(__xludf.DUMMYFUNCTION("filter('Back End'!C:C,'Back End'!A:A=A2270,'Back End'!B:B=B2270,'Back End'!D:D=D2270)"),"#N/A")</f>
        <v>#N/A</v>
      </c>
      <c r="D2270" s="91" t="s">
        <v>581</v>
      </c>
      <c r="E2270" s="91" t="s">
        <v>5848</v>
      </c>
      <c r="F2270" s="67" t="s">
        <v>3138</v>
      </c>
      <c r="G2270" s="67"/>
      <c r="H2270" s="93" t="s">
        <v>4</v>
      </c>
      <c r="I2270" s="67"/>
      <c r="J2270" s="92">
        <v>9948798467</v>
      </c>
      <c r="K2270" s="67"/>
      <c r="L2270" s="67"/>
      <c r="M2270" s="67"/>
      <c r="N2270" s="67"/>
      <c r="O2270" s="67"/>
    </row>
    <row r="2271" spans="1:15" ht="15">
      <c r="A2271" s="91" t="s">
        <v>3361</v>
      </c>
      <c r="B2271" s="91" t="s">
        <v>8</v>
      </c>
      <c r="C2271" s="92" t="str">
        <f ca="1">IFERROR(__xludf.DUMMYFUNCTION("filter('Back End'!C:C,'Back End'!A:A=A2271,'Back End'!B:B=B2271,'Back End'!D:D=D2271)"),"#N/A")</f>
        <v>#N/A</v>
      </c>
      <c r="D2271" s="91" t="s">
        <v>583</v>
      </c>
      <c r="E2271" s="91" t="s">
        <v>5849</v>
      </c>
      <c r="F2271" s="67" t="s">
        <v>3138</v>
      </c>
      <c r="G2271" s="67"/>
      <c r="H2271" s="93" t="s">
        <v>4</v>
      </c>
      <c r="I2271" s="67"/>
      <c r="J2271" s="92">
        <v>9505503494</v>
      </c>
      <c r="K2271" s="67"/>
      <c r="L2271" s="67"/>
      <c r="M2271" s="67"/>
      <c r="N2271" s="67"/>
      <c r="O2271" s="67"/>
    </row>
    <row r="2272" spans="1:15" ht="15">
      <c r="A2272" s="91" t="s">
        <v>3361</v>
      </c>
      <c r="B2272" s="91" t="s">
        <v>8</v>
      </c>
      <c r="C2272" s="92" t="str">
        <f ca="1">IFERROR(__xludf.DUMMYFUNCTION("filter('Back End'!C:C,'Back End'!A:A=A2272,'Back End'!B:B=B2272,'Back End'!D:D=D2272)"),"#N/A")</f>
        <v>#N/A</v>
      </c>
      <c r="D2272" s="91" t="s">
        <v>583</v>
      </c>
      <c r="E2272" s="91" t="s">
        <v>5850</v>
      </c>
      <c r="F2272" s="67" t="s">
        <v>3138</v>
      </c>
      <c r="G2272" s="67"/>
      <c r="H2272" s="93" t="s">
        <v>4</v>
      </c>
      <c r="I2272" s="67"/>
      <c r="J2272" s="92">
        <v>9908983143</v>
      </c>
      <c r="K2272" s="67"/>
      <c r="L2272" s="67"/>
      <c r="M2272" s="67"/>
      <c r="N2272" s="67"/>
      <c r="O2272" s="67"/>
    </row>
    <row r="2273" spans="1:15" ht="15">
      <c r="A2273" s="91" t="s">
        <v>3361</v>
      </c>
      <c r="B2273" s="91" t="s">
        <v>8</v>
      </c>
      <c r="C2273" s="92" t="str">
        <f ca="1">IFERROR(__xludf.DUMMYFUNCTION("filter('Back End'!C:C,'Back End'!A:A=A2273,'Back End'!B:B=B2273,'Back End'!D:D=D2273)"),"#N/A")</f>
        <v>#N/A</v>
      </c>
      <c r="D2273" s="91" t="s">
        <v>583</v>
      </c>
      <c r="E2273" s="91" t="s">
        <v>5851</v>
      </c>
      <c r="F2273" s="67" t="s">
        <v>3138</v>
      </c>
      <c r="G2273" s="67"/>
      <c r="H2273" s="93" t="s">
        <v>4</v>
      </c>
      <c r="I2273" s="67"/>
      <c r="J2273" s="92">
        <v>9848231305</v>
      </c>
      <c r="K2273" s="67"/>
      <c r="L2273" s="67"/>
      <c r="M2273" s="67"/>
      <c r="N2273" s="67"/>
      <c r="O2273" s="67"/>
    </row>
    <row r="2274" spans="1:15" ht="15">
      <c r="A2274" s="91" t="s">
        <v>3361</v>
      </c>
      <c r="B2274" s="91" t="s">
        <v>8</v>
      </c>
      <c r="C2274" s="92" t="str">
        <f ca="1">IFERROR(__xludf.DUMMYFUNCTION("filter('Back End'!C:C,'Back End'!A:A=A2274,'Back End'!B:B=B2274,'Back End'!D:D=D2274)"),"#N/A")</f>
        <v>#N/A</v>
      </c>
      <c r="D2274" s="91" t="s">
        <v>583</v>
      </c>
      <c r="E2274" s="91" t="s">
        <v>5852</v>
      </c>
      <c r="F2274" s="67" t="s">
        <v>3138</v>
      </c>
      <c r="G2274" s="67"/>
      <c r="H2274" s="93" t="s">
        <v>4</v>
      </c>
      <c r="I2274" s="67"/>
      <c r="J2274" s="92">
        <v>9951178796</v>
      </c>
      <c r="K2274" s="67"/>
      <c r="L2274" s="67"/>
      <c r="M2274" s="67"/>
      <c r="N2274" s="67"/>
      <c r="O2274" s="67"/>
    </row>
    <row r="2275" spans="1:15" ht="15">
      <c r="A2275" s="91" t="s">
        <v>3361</v>
      </c>
      <c r="B2275" s="91" t="s">
        <v>8</v>
      </c>
      <c r="C2275" s="92" t="str">
        <f ca="1">IFERROR(__xludf.DUMMYFUNCTION("filter('Back End'!C:C,'Back End'!A:A=A2275,'Back End'!B:B=B2275,'Back End'!D:D=D2275)"),"#N/A")</f>
        <v>#N/A</v>
      </c>
      <c r="D2275" s="91" t="s">
        <v>583</v>
      </c>
      <c r="E2275" s="91" t="s">
        <v>5853</v>
      </c>
      <c r="F2275" s="67" t="s">
        <v>3138</v>
      </c>
      <c r="G2275" s="67"/>
      <c r="H2275" s="93" t="s">
        <v>4</v>
      </c>
      <c r="I2275" s="67"/>
      <c r="J2275" s="92">
        <v>9989278859</v>
      </c>
      <c r="K2275" s="67"/>
      <c r="L2275" s="67"/>
      <c r="M2275" s="67"/>
      <c r="N2275" s="67"/>
      <c r="O2275" s="67"/>
    </row>
    <row r="2276" spans="1:15" ht="15">
      <c r="A2276" s="91" t="s">
        <v>3361</v>
      </c>
      <c r="B2276" s="91" t="s">
        <v>587</v>
      </c>
      <c r="C2276" s="92" t="str">
        <f ca="1">IFERROR(__xludf.DUMMYFUNCTION("filter('Back End'!C:C,'Back End'!A:A=A2276,'Back End'!B:B=B2276,'Back End'!D:D=D2276)"),"#N/A")</f>
        <v>#N/A</v>
      </c>
      <c r="D2276" s="91" t="s">
        <v>588</v>
      </c>
      <c r="E2276" s="91" t="s">
        <v>5854</v>
      </c>
      <c r="F2276" s="67" t="s">
        <v>3138</v>
      </c>
      <c r="G2276" s="67"/>
      <c r="H2276" s="93" t="s">
        <v>4</v>
      </c>
      <c r="I2276" s="92" t="s">
        <v>3125</v>
      </c>
      <c r="J2276" s="92">
        <v>9652493077</v>
      </c>
      <c r="K2276" s="67"/>
      <c r="L2276" s="67"/>
      <c r="M2276" s="67"/>
      <c r="N2276" s="67"/>
      <c r="O2276" s="67"/>
    </row>
    <row r="2277" spans="1:15" ht="15">
      <c r="A2277" s="91" t="s">
        <v>3361</v>
      </c>
      <c r="B2277" s="91" t="s">
        <v>587</v>
      </c>
      <c r="C2277" s="92" t="str">
        <f ca="1">IFERROR(__xludf.DUMMYFUNCTION("filter('Back End'!C:C,'Back End'!A:A=A2277,'Back End'!B:B=B2277,'Back End'!D:D=D2277)"),"#N/A")</f>
        <v>#N/A</v>
      </c>
      <c r="D2277" s="91" t="s">
        <v>588</v>
      </c>
      <c r="E2277" s="91" t="s">
        <v>5855</v>
      </c>
      <c r="F2277" s="67" t="s">
        <v>3138</v>
      </c>
      <c r="G2277" s="67"/>
      <c r="H2277" s="93" t="s">
        <v>4</v>
      </c>
      <c r="I2277" s="67"/>
      <c r="J2277" s="92">
        <v>9949430675</v>
      </c>
      <c r="K2277" s="67"/>
      <c r="L2277" s="67"/>
      <c r="M2277" s="67"/>
      <c r="N2277" s="67"/>
      <c r="O2277" s="67"/>
    </row>
    <row r="2278" spans="1:15" ht="15">
      <c r="A2278" s="91" t="s">
        <v>3361</v>
      </c>
      <c r="B2278" s="91" t="s">
        <v>587</v>
      </c>
      <c r="C2278" s="92" t="str">
        <f ca="1">IFERROR(__xludf.DUMMYFUNCTION("filter('Back End'!C:C,'Back End'!A:A=A2278,'Back End'!B:B=B2278,'Back End'!D:D=D2278)"),"#N/A")</f>
        <v>#N/A</v>
      </c>
      <c r="D2278" s="91" t="s">
        <v>598</v>
      </c>
      <c r="E2278" s="91" t="s">
        <v>5856</v>
      </c>
      <c r="F2278" s="67" t="s">
        <v>3138</v>
      </c>
      <c r="G2278" s="67"/>
      <c r="H2278" s="93" t="s">
        <v>4</v>
      </c>
      <c r="I2278" s="67"/>
      <c r="J2278" s="92">
        <v>8374536357</v>
      </c>
      <c r="K2278" s="67"/>
      <c r="L2278" s="67"/>
      <c r="M2278" s="67"/>
      <c r="N2278" s="67"/>
      <c r="O2278" s="67"/>
    </row>
    <row r="2279" spans="1:15" ht="15">
      <c r="A2279" s="91" t="s">
        <v>8</v>
      </c>
      <c r="B2279" s="91" t="s">
        <v>587</v>
      </c>
      <c r="C2279" s="92" t="str">
        <f ca="1">IFERROR(__xludf.DUMMYFUNCTION("filter('Back End'!C:C,'Back End'!A:A=A2279,'Back End'!B:B=B2279,'Back End'!D:D=D2279)"),"Jaldam")</f>
        <v>Jaldam</v>
      </c>
      <c r="D2279" s="91" t="s">
        <v>605</v>
      </c>
      <c r="E2279" s="91" t="s">
        <v>5857</v>
      </c>
      <c r="F2279" s="67" t="s">
        <v>3138</v>
      </c>
      <c r="G2279" s="67"/>
      <c r="H2279" s="93" t="s">
        <v>4</v>
      </c>
      <c r="I2279" s="67"/>
      <c r="J2279" s="92">
        <v>8688739335</v>
      </c>
      <c r="K2279" s="67"/>
      <c r="L2279" s="67"/>
      <c r="M2279" s="67"/>
      <c r="N2279" s="67"/>
      <c r="O2279" s="67"/>
    </row>
    <row r="2280" spans="1:15" ht="15">
      <c r="A2280" s="91" t="s">
        <v>8</v>
      </c>
      <c r="B2280" s="91" t="s">
        <v>587</v>
      </c>
      <c r="C2280" s="92" t="str">
        <f ca="1">IFERROR(__xludf.DUMMYFUNCTION("filter('Back End'!C:C,'Back End'!A:A=A2280,'Back End'!B:B=B2280,'Back End'!D:D=D2280)"),"Jaldam")</f>
        <v>Jaldam</v>
      </c>
      <c r="D2280" s="91" t="s">
        <v>605</v>
      </c>
      <c r="E2280" s="91" t="s">
        <v>5858</v>
      </c>
      <c r="F2280" s="67" t="s">
        <v>3138</v>
      </c>
      <c r="G2280" s="67"/>
      <c r="H2280" s="93" t="s">
        <v>4</v>
      </c>
      <c r="I2280" s="92" t="s">
        <v>3125</v>
      </c>
      <c r="J2280" s="92">
        <v>9676632226</v>
      </c>
      <c r="K2280" s="67"/>
      <c r="L2280" s="67"/>
      <c r="M2280" s="67"/>
      <c r="N2280" s="67"/>
      <c r="O2280" s="67"/>
    </row>
    <row r="2281" spans="1:15" ht="15">
      <c r="A2281" s="91" t="s">
        <v>8</v>
      </c>
      <c r="B2281" s="91" t="s">
        <v>587</v>
      </c>
      <c r="C2281" s="92" t="str">
        <f ca="1">IFERROR(__xludf.DUMMYFUNCTION("filter('Back End'!C:C,'Back End'!A:A=A2281,'Back End'!B:B=B2281,'Back End'!D:D=D2281)"),"#N/A")</f>
        <v>#N/A</v>
      </c>
      <c r="D2281" s="91" t="s">
        <v>554</v>
      </c>
      <c r="E2281" s="91" t="s">
        <v>5859</v>
      </c>
      <c r="F2281" s="67" t="s">
        <v>3138</v>
      </c>
      <c r="G2281" s="67"/>
      <c r="H2281" s="93" t="s">
        <v>4</v>
      </c>
      <c r="I2281" s="67"/>
      <c r="J2281" s="92">
        <v>8309058892</v>
      </c>
      <c r="K2281" s="67"/>
      <c r="L2281" s="67"/>
      <c r="M2281" s="67"/>
      <c r="N2281" s="67"/>
      <c r="O2281" s="67"/>
    </row>
    <row r="2282" spans="1:15" ht="15">
      <c r="A2282" s="91" t="s">
        <v>8</v>
      </c>
      <c r="B2282" s="91" t="s">
        <v>587</v>
      </c>
      <c r="C2282" s="92" t="str">
        <f ca="1">IFERROR(__xludf.DUMMYFUNCTION("filter('Back End'!C:C,'Back End'!A:A=A2282,'Back End'!B:B=B2282,'Back End'!D:D=D2282)"),"#N/A")</f>
        <v>#N/A</v>
      </c>
      <c r="D2282" s="91" t="s">
        <v>554</v>
      </c>
      <c r="E2282" s="91" t="s">
        <v>5860</v>
      </c>
      <c r="F2282" s="67" t="s">
        <v>3138</v>
      </c>
      <c r="G2282" s="67"/>
      <c r="H2282" s="93" t="s">
        <v>4</v>
      </c>
      <c r="I2282" s="92" t="s">
        <v>3125</v>
      </c>
      <c r="J2282" s="92">
        <v>7997889857</v>
      </c>
      <c r="K2282" s="67"/>
      <c r="L2282" s="67"/>
      <c r="M2282" s="67"/>
      <c r="N2282" s="67"/>
      <c r="O2282" s="67"/>
    </row>
    <row r="2283" spans="1:15" ht="15">
      <c r="A2283" s="91" t="s">
        <v>8</v>
      </c>
      <c r="B2283" s="91" t="s">
        <v>587</v>
      </c>
      <c r="C2283" s="97" t="s">
        <v>613</v>
      </c>
      <c r="D2283" s="91" t="s">
        <v>613</v>
      </c>
      <c r="E2283" s="91" t="s">
        <v>5861</v>
      </c>
      <c r="F2283" s="67" t="s">
        <v>3138</v>
      </c>
      <c r="G2283" s="67"/>
      <c r="H2283" s="93" t="s">
        <v>4</v>
      </c>
      <c r="I2283" s="67"/>
      <c r="J2283" s="92">
        <v>8688923987</v>
      </c>
      <c r="K2283" s="67"/>
      <c r="L2283" s="67"/>
      <c r="M2283" s="67"/>
      <c r="N2283" s="67"/>
      <c r="O2283" s="67"/>
    </row>
    <row r="2284" spans="1:15" ht="15">
      <c r="A2284" s="91" t="s">
        <v>8</v>
      </c>
      <c r="B2284" s="91" t="s">
        <v>587</v>
      </c>
      <c r="C2284" s="97" t="s">
        <v>613</v>
      </c>
      <c r="D2284" s="91" t="s">
        <v>613</v>
      </c>
      <c r="E2284" s="91" t="s">
        <v>5862</v>
      </c>
      <c r="F2284" s="67" t="s">
        <v>3138</v>
      </c>
      <c r="G2284" s="67"/>
      <c r="H2284" s="93" t="s">
        <v>4</v>
      </c>
      <c r="I2284" s="92" t="s">
        <v>3125</v>
      </c>
      <c r="J2284" s="92">
        <v>9505050560</v>
      </c>
      <c r="K2284" s="67"/>
      <c r="L2284" s="67"/>
      <c r="M2284" s="67"/>
      <c r="N2284" s="67"/>
      <c r="O2284" s="67"/>
    </row>
    <row r="2285" spans="1:15" ht="15">
      <c r="A2285" s="91" t="s">
        <v>8</v>
      </c>
      <c r="B2285" s="91" t="s">
        <v>587</v>
      </c>
      <c r="C2285" s="97" t="s">
        <v>613</v>
      </c>
      <c r="D2285" s="91" t="s">
        <v>613</v>
      </c>
      <c r="E2285" s="91" t="s">
        <v>5863</v>
      </c>
      <c r="F2285" s="67" t="s">
        <v>3138</v>
      </c>
      <c r="G2285" s="67"/>
      <c r="H2285" s="93" t="s">
        <v>4</v>
      </c>
      <c r="I2285" s="67"/>
      <c r="J2285" s="92">
        <v>9515297149</v>
      </c>
      <c r="K2285" s="67"/>
      <c r="L2285" s="67"/>
      <c r="M2285" s="67"/>
      <c r="N2285" s="67"/>
      <c r="O2285" s="67"/>
    </row>
    <row r="2286" spans="1:15" ht="15">
      <c r="A2286" s="91" t="s">
        <v>8</v>
      </c>
      <c r="B2286" s="91" t="s">
        <v>587</v>
      </c>
      <c r="C2286" s="97" t="s">
        <v>613</v>
      </c>
      <c r="D2286" s="91" t="s">
        <v>613</v>
      </c>
      <c r="E2286" s="91" t="s">
        <v>5864</v>
      </c>
      <c r="F2286" s="67" t="s">
        <v>3138</v>
      </c>
      <c r="G2286" s="67"/>
      <c r="H2286" s="93" t="s">
        <v>4</v>
      </c>
      <c r="I2286" s="67"/>
      <c r="J2286" s="92">
        <v>8790846909</v>
      </c>
      <c r="K2286" s="67"/>
      <c r="L2286" s="67"/>
      <c r="M2286" s="67"/>
      <c r="N2286" s="67"/>
      <c r="O2286" s="67"/>
    </row>
    <row r="2287" spans="1:15" ht="30">
      <c r="A2287" s="91" t="s">
        <v>8</v>
      </c>
      <c r="B2287" s="91" t="s">
        <v>587</v>
      </c>
      <c r="C2287" s="97" t="s">
        <v>613</v>
      </c>
      <c r="D2287" s="91" t="s">
        <v>613</v>
      </c>
      <c r="E2287" s="100" t="s">
        <v>5865</v>
      </c>
      <c r="F2287" s="91" t="s">
        <v>1669</v>
      </c>
      <c r="G2287" s="91" t="s">
        <v>615</v>
      </c>
      <c r="H2287" s="93" t="s">
        <v>5</v>
      </c>
      <c r="I2287" s="92" t="s">
        <v>3194</v>
      </c>
      <c r="J2287" s="97">
        <v>7382003231</v>
      </c>
      <c r="K2287" s="99"/>
      <c r="L2287" s="99"/>
      <c r="M2287" s="67"/>
      <c r="N2287" s="67"/>
      <c r="O2287" s="67"/>
    </row>
    <row r="2288" spans="1:15" ht="30">
      <c r="A2288" s="91" t="s">
        <v>8</v>
      </c>
      <c r="B2288" s="91" t="s">
        <v>587</v>
      </c>
      <c r="C2288" s="97" t="s">
        <v>613</v>
      </c>
      <c r="D2288" s="91" t="s">
        <v>613</v>
      </c>
      <c r="E2288" s="100" t="s">
        <v>5866</v>
      </c>
      <c r="F2288" s="91" t="s">
        <v>165</v>
      </c>
      <c r="G2288" s="91" t="s">
        <v>615</v>
      </c>
      <c r="H2288" s="93" t="s">
        <v>5</v>
      </c>
      <c r="I2288" s="92" t="s">
        <v>3508</v>
      </c>
      <c r="J2288" s="97">
        <v>9849055696</v>
      </c>
      <c r="K2288" s="99"/>
      <c r="L2288" s="99"/>
      <c r="M2288" s="67"/>
      <c r="N2288" s="67"/>
      <c r="O2288" s="67"/>
    </row>
    <row r="2289" spans="1:15" ht="15">
      <c r="A2289" s="91" t="s">
        <v>8</v>
      </c>
      <c r="B2289" s="100" t="s">
        <v>587</v>
      </c>
      <c r="C2289" s="97" t="str">
        <f ca="1">IFERROR(__xludf.DUMMYFUNCTION("filter('Back End'!C:C,'Back End'!A:A=A2289,'Back End'!B:B=B2289,'Back End'!D:D=D2289)"),"N.N.Patnam")</f>
        <v>N.N.Patnam</v>
      </c>
      <c r="D2289" s="91" t="s">
        <v>613</v>
      </c>
      <c r="E2289" s="100" t="s">
        <v>5867</v>
      </c>
      <c r="F2289" s="67" t="s">
        <v>3138</v>
      </c>
      <c r="G2289" s="67"/>
      <c r="H2289" s="93" t="s">
        <v>5</v>
      </c>
      <c r="I2289" s="67"/>
      <c r="J2289" s="97">
        <v>9948922733</v>
      </c>
      <c r="K2289" s="99"/>
      <c r="L2289" s="99"/>
      <c r="M2289" s="67"/>
      <c r="N2289" s="67"/>
      <c r="O2289" s="67"/>
    </row>
    <row r="2290" spans="1:15" ht="15">
      <c r="A2290" s="91" t="s">
        <v>8</v>
      </c>
      <c r="B2290" s="100" t="s">
        <v>587</v>
      </c>
      <c r="C2290" s="97" t="str">
        <f ca="1">IFERROR(__xludf.DUMMYFUNCTION("filter('Back End'!C:C,'Back End'!A:A=A2290,'Back End'!B:B=B2290,'Back End'!D:D=D2290)"),"N.N.Patnam")</f>
        <v>N.N.Patnam</v>
      </c>
      <c r="D2290" s="91" t="s">
        <v>613</v>
      </c>
      <c r="E2290" s="100" t="s">
        <v>5868</v>
      </c>
      <c r="F2290" s="67" t="s">
        <v>3138</v>
      </c>
      <c r="G2290" s="67"/>
      <c r="H2290" s="93" t="s">
        <v>5</v>
      </c>
      <c r="I2290" s="67"/>
      <c r="J2290" s="97">
        <v>9640352179</v>
      </c>
      <c r="K2290" s="99"/>
      <c r="L2290" s="99"/>
      <c r="M2290" s="99"/>
      <c r="N2290" s="99"/>
      <c r="O2290" s="67"/>
    </row>
    <row r="2291" spans="1:15" ht="15">
      <c r="A2291" s="91" t="s">
        <v>8</v>
      </c>
      <c r="B2291" s="91" t="s">
        <v>587</v>
      </c>
      <c r="C2291" s="92" t="str">
        <f ca="1">IFERROR(__xludf.DUMMYFUNCTION("filter('Back End'!C:C,'Back End'!A:A=A2291,'Back End'!B:B=B2291,'Back End'!D:D=D2291)"),"P.Chamavaram")</f>
        <v>P.Chamavaram</v>
      </c>
      <c r="D2291" s="91" t="s">
        <v>617</v>
      </c>
      <c r="E2291" s="91" t="s">
        <v>5869</v>
      </c>
      <c r="F2291" s="67" t="s">
        <v>3138</v>
      </c>
      <c r="G2291" s="67"/>
      <c r="H2291" s="93" t="s">
        <v>4</v>
      </c>
      <c r="I2291" s="67"/>
      <c r="J2291" s="92">
        <v>9550725690</v>
      </c>
      <c r="K2291" s="67"/>
      <c r="L2291" s="67"/>
      <c r="M2291" s="67"/>
      <c r="N2291" s="67"/>
      <c r="O2291" s="67"/>
    </row>
    <row r="2292" spans="1:15" ht="15">
      <c r="A2292" s="91" t="s">
        <v>8</v>
      </c>
      <c r="B2292" s="91" t="s">
        <v>587</v>
      </c>
      <c r="C2292" s="92" t="str">
        <f ca="1">IFERROR(__xludf.DUMMYFUNCTION("filter('Back End'!C:C,'Back End'!A:A=A2292,'Back End'!B:B=B2292,'Back End'!D:D=D2292)"),"P.Chamavaram")</f>
        <v>P.Chamavaram</v>
      </c>
      <c r="D2292" s="91" t="s">
        <v>617</v>
      </c>
      <c r="E2292" s="91" t="s">
        <v>5870</v>
      </c>
      <c r="F2292" s="67" t="s">
        <v>3138</v>
      </c>
      <c r="G2292" s="67"/>
      <c r="H2292" s="93" t="s">
        <v>4</v>
      </c>
      <c r="I2292" s="67"/>
      <c r="J2292" s="92">
        <v>9989509054</v>
      </c>
      <c r="K2292" s="67"/>
      <c r="L2292" s="67"/>
      <c r="M2292" s="67"/>
      <c r="N2292" s="67"/>
      <c r="O2292" s="67"/>
    </row>
    <row r="2293" spans="1:15" ht="15">
      <c r="A2293" s="91" t="s">
        <v>3361</v>
      </c>
      <c r="B2293" s="91" t="s">
        <v>587</v>
      </c>
      <c r="C2293" s="92" t="str">
        <f ca="1">IFERROR(__xludf.DUMMYFUNCTION("filter('Back End'!C:C,'Back End'!A:A=A2293,'Back End'!B:B=B2293,'Back End'!D:D=D2293)"),"#N/A")</f>
        <v>#N/A</v>
      </c>
      <c r="D2293" s="91" t="s">
        <v>617</v>
      </c>
      <c r="E2293" s="91" t="s">
        <v>5871</v>
      </c>
      <c r="F2293" s="67" t="s">
        <v>3138</v>
      </c>
      <c r="G2293" s="67"/>
      <c r="H2293" s="93" t="s">
        <v>4</v>
      </c>
      <c r="I2293" s="92" t="s">
        <v>3125</v>
      </c>
      <c r="J2293" s="92">
        <v>9959506648</v>
      </c>
      <c r="K2293" s="67"/>
      <c r="L2293" s="67"/>
      <c r="M2293" s="67"/>
      <c r="N2293" s="67"/>
      <c r="O2293" s="67"/>
    </row>
    <row r="2294" spans="1:15" ht="15">
      <c r="A2294" s="91" t="s">
        <v>3361</v>
      </c>
      <c r="B2294" s="91" t="s">
        <v>587</v>
      </c>
      <c r="C2294" s="92" t="str">
        <f ca="1">IFERROR(__xludf.DUMMYFUNCTION("filter('Back End'!C:C,'Back End'!A:A=A2294,'Back End'!B:B=B2294,'Back End'!D:D=D2294)"),"#N/A")</f>
        <v>#N/A</v>
      </c>
      <c r="D2294" s="91" t="s">
        <v>621</v>
      </c>
      <c r="E2294" s="91" t="s">
        <v>5872</v>
      </c>
      <c r="F2294" s="67" t="s">
        <v>3138</v>
      </c>
      <c r="G2294" s="67"/>
      <c r="H2294" s="93" t="s">
        <v>4</v>
      </c>
      <c r="I2294" s="67"/>
      <c r="J2294" s="92">
        <v>9676228881</v>
      </c>
      <c r="K2294" s="67"/>
      <c r="L2294" s="67"/>
      <c r="M2294" s="67"/>
      <c r="N2294" s="67"/>
      <c r="O2294" s="67"/>
    </row>
    <row r="2295" spans="1:15" ht="15">
      <c r="A2295" s="91" t="s">
        <v>3361</v>
      </c>
      <c r="B2295" s="91" t="s">
        <v>587</v>
      </c>
      <c r="C2295" s="92" t="str">
        <f ca="1">IFERROR(__xludf.DUMMYFUNCTION("filter('Back End'!C:C,'Back End'!A:A=A2295,'Back End'!B:B=B2295,'Back End'!D:D=D2295)"),"#N/A")</f>
        <v>#N/A</v>
      </c>
      <c r="D2295" s="91" t="s">
        <v>587</v>
      </c>
      <c r="E2295" s="91" t="s">
        <v>5873</v>
      </c>
      <c r="F2295" s="67" t="s">
        <v>3138</v>
      </c>
      <c r="G2295" s="67"/>
      <c r="H2295" s="93" t="s">
        <v>4</v>
      </c>
      <c r="I2295" s="67"/>
      <c r="J2295" s="92">
        <v>9989796263</v>
      </c>
      <c r="K2295" s="67"/>
      <c r="L2295" s="67"/>
      <c r="M2295" s="67"/>
      <c r="N2295" s="67"/>
      <c r="O2295" s="67"/>
    </row>
    <row r="2296" spans="1:15" ht="15">
      <c r="A2296" s="91" t="s">
        <v>3361</v>
      </c>
      <c r="B2296" s="91" t="s">
        <v>587</v>
      </c>
      <c r="C2296" s="92" t="str">
        <f ca="1">IFERROR(__xludf.DUMMYFUNCTION("filter('Back End'!C:C,'Back End'!A:A=A2296,'Back End'!B:B=B2296,'Back End'!D:D=D2296)"),"#N/A")</f>
        <v>#N/A</v>
      </c>
      <c r="D2296" s="91" t="s">
        <v>587</v>
      </c>
      <c r="E2296" s="91" t="s">
        <v>5874</v>
      </c>
      <c r="F2296" s="67" t="s">
        <v>3138</v>
      </c>
      <c r="G2296" s="67"/>
      <c r="H2296" s="93" t="s">
        <v>4</v>
      </c>
      <c r="I2296" s="67"/>
      <c r="J2296" s="92">
        <v>7702826797</v>
      </c>
      <c r="K2296" s="67"/>
      <c r="L2296" s="67"/>
      <c r="M2296" s="67"/>
      <c r="N2296" s="67"/>
      <c r="O2296" s="67"/>
    </row>
    <row r="2297" spans="1:15" ht="15">
      <c r="A2297" s="91" t="s">
        <v>3361</v>
      </c>
      <c r="B2297" s="91" t="s">
        <v>587</v>
      </c>
      <c r="C2297" s="92" t="str">
        <f ca="1">IFERROR(__xludf.DUMMYFUNCTION("filter('Back End'!C:C,'Back End'!A:A=A2297,'Back End'!B:B=B2297,'Back End'!D:D=D2297)"),"#N/A")</f>
        <v>#N/A</v>
      </c>
      <c r="D2297" s="91" t="s">
        <v>587</v>
      </c>
      <c r="E2297" s="91" t="s">
        <v>5875</v>
      </c>
      <c r="F2297" s="67" t="s">
        <v>3138</v>
      </c>
      <c r="G2297" s="67"/>
      <c r="H2297" s="93" t="s">
        <v>4</v>
      </c>
      <c r="I2297" s="67"/>
      <c r="J2297" s="92">
        <v>7997278484</v>
      </c>
      <c r="K2297" s="67"/>
      <c r="L2297" s="67"/>
      <c r="M2297" s="67"/>
      <c r="N2297" s="67"/>
      <c r="O2297" s="67"/>
    </row>
    <row r="2298" spans="1:15" ht="15">
      <c r="A2298" s="91" t="s">
        <v>3361</v>
      </c>
      <c r="B2298" s="91" t="s">
        <v>587</v>
      </c>
      <c r="C2298" s="92" t="str">
        <f ca="1">IFERROR(__xludf.DUMMYFUNCTION("filter('Back End'!C:C,'Back End'!A:A=A2298,'Back End'!B:B=B2298,'Back End'!D:D=D2298)"),"#N/A")</f>
        <v>#N/A</v>
      </c>
      <c r="D2298" s="91" t="s">
        <v>587</v>
      </c>
      <c r="E2298" s="91" t="s">
        <v>5876</v>
      </c>
      <c r="F2298" s="67" t="s">
        <v>3138</v>
      </c>
      <c r="G2298" s="67"/>
      <c r="H2298" s="93" t="s">
        <v>4</v>
      </c>
      <c r="I2298" s="67"/>
      <c r="J2298" s="92">
        <v>9141441111</v>
      </c>
      <c r="K2298" s="67"/>
      <c r="L2298" s="67"/>
      <c r="M2298" s="67"/>
      <c r="N2298" s="67"/>
      <c r="O2298" s="67"/>
    </row>
    <row r="2299" spans="1:15" ht="15">
      <c r="A2299" s="91" t="s">
        <v>3361</v>
      </c>
      <c r="B2299" s="91" t="s">
        <v>587</v>
      </c>
      <c r="C2299" s="92" t="str">
        <f ca="1">IFERROR(__xludf.DUMMYFUNCTION("filter('Back End'!C:C,'Back End'!A:A=A2299,'Back End'!B:B=B2299,'Back End'!D:D=D2299)"),"#N/A")</f>
        <v>#N/A</v>
      </c>
      <c r="D2299" s="91" t="s">
        <v>587</v>
      </c>
      <c r="E2299" s="91" t="s">
        <v>5877</v>
      </c>
      <c r="F2299" s="67" t="s">
        <v>3138</v>
      </c>
      <c r="G2299" s="67"/>
      <c r="H2299" s="93" t="s">
        <v>4</v>
      </c>
      <c r="I2299" s="67"/>
      <c r="J2299" s="92">
        <v>9704979834</v>
      </c>
      <c r="K2299" s="67"/>
      <c r="L2299" s="67"/>
      <c r="M2299" s="67"/>
      <c r="N2299" s="67"/>
      <c r="O2299" s="67"/>
    </row>
    <row r="2300" spans="1:15" ht="15">
      <c r="A2300" s="91" t="s">
        <v>3361</v>
      </c>
      <c r="B2300" s="91" t="s">
        <v>587</v>
      </c>
      <c r="C2300" s="92" t="str">
        <f ca="1">IFERROR(__xludf.DUMMYFUNCTION("filter('Back End'!C:C,'Back End'!A:A=A2300,'Back End'!B:B=B2300,'Back End'!D:D=D2300)"),"#N/A")</f>
        <v>#N/A</v>
      </c>
      <c r="D2300" s="91" t="s">
        <v>587</v>
      </c>
      <c r="E2300" s="91" t="s">
        <v>5878</v>
      </c>
      <c r="F2300" s="67" t="s">
        <v>3138</v>
      </c>
      <c r="G2300" s="67"/>
      <c r="H2300" s="93" t="s">
        <v>4</v>
      </c>
      <c r="I2300" s="67"/>
      <c r="J2300" s="92">
        <v>8978612179</v>
      </c>
      <c r="K2300" s="67"/>
      <c r="L2300" s="67"/>
      <c r="M2300" s="67"/>
      <c r="N2300" s="67"/>
      <c r="O2300" s="67"/>
    </row>
    <row r="2301" spans="1:15" ht="15">
      <c r="A2301" s="91" t="s">
        <v>3361</v>
      </c>
      <c r="B2301" s="91" t="s">
        <v>587</v>
      </c>
      <c r="C2301" s="92" t="str">
        <f ca="1">IFERROR(__xludf.DUMMYFUNCTION("filter('Back End'!C:C,'Back End'!A:A=A2301,'Back End'!B:B=B2301,'Back End'!D:D=D2301)"),"#N/A")</f>
        <v>#N/A</v>
      </c>
      <c r="D2301" s="91" t="s">
        <v>587</v>
      </c>
      <c r="E2301" s="91" t="s">
        <v>5879</v>
      </c>
      <c r="F2301" s="67" t="s">
        <v>3138</v>
      </c>
      <c r="G2301" s="67"/>
      <c r="H2301" s="93" t="s">
        <v>4</v>
      </c>
      <c r="I2301" s="67"/>
      <c r="J2301" s="92">
        <v>9652188323</v>
      </c>
      <c r="K2301" s="67"/>
      <c r="L2301" s="67"/>
      <c r="M2301" s="67"/>
      <c r="N2301" s="67"/>
      <c r="O2301" s="67"/>
    </row>
    <row r="2302" spans="1:15" ht="15">
      <c r="A2302" s="91" t="s">
        <v>3361</v>
      </c>
      <c r="B2302" s="91" t="s">
        <v>587</v>
      </c>
      <c r="C2302" s="92" t="str">
        <f ca="1">IFERROR(__xludf.DUMMYFUNCTION("filter('Back End'!C:C,'Back End'!A:A=A2302,'Back End'!B:B=B2302,'Back End'!D:D=D2302)"),"#N/A")</f>
        <v>#N/A</v>
      </c>
      <c r="D2302" s="91" t="s">
        <v>587</v>
      </c>
      <c r="E2302" s="91" t="s">
        <v>5880</v>
      </c>
      <c r="F2302" s="67" t="s">
        <v>3138</v>
      </c>
      <c r="G2302" s="67"/>
      <c r="H2302" s="93" t="s">
        <v>4</v>
      </c>
      <c r="I2302" s="67"/>
      <c r="J2302" s="92">
        <v>9666997616</v>
      </c>
      <c r="K2302" s="67"/>
      <c r="L2302" s="67"/>
      <c r="M2302" s="67"/>
      <c r="N2302" s="67"/>
      <c r="O2302" s="67"/>
    </row>
    <row r="2303" spans="1:15" ht="15">
      <c r="A2303" s="91" t="s">
        <v>3361</v>
      </c>
      <c r="B2303" s="91" t="s">
        <v>587</v>
      </c>
      <c r="C2303" s="92" t="str">
        <f ca="1">IFERROR(__xludf.DUMMYFUNCTION("filter('Back End'!C:C,'Back End'!A:A=A2303,'Back End'!B:B=B2303,'Back End'!D:D=D2303)"),"#N/A")</f>
        <v>#N/A</v>
      </c>
      <c r="D2303" s="91" t="s">
        <v>587</v>
      </c>
      <c r="E2303" s="91" t="s">
        <v>5881</v>
      </c>
      <c r="F2303" s="67" t="s">
        <v>3138</v>
      </c>
      <c r="G2303" s="67"/>
      <c r="H2303" s="93" t="s">
        <v>4</v>
      </c>
      <c r="I2303" s="67"/>
      <c r="J2303" s="92">
        <v>9000251761</v>
      </c>
      <c r="K2303" s="67"/>
      <c r="L2303" s="67"/>
      <c r="M2303" s="67"/>
      <c r="N2303" s="67"/>
      <c r="O2303" s="67"/>
    </row>
    <row r="2304" spans="1:15" ht="15">
      <c r="A2304" s="91" t="s">
        <v>3361</v>
      </c>
      <c r="B2304" s="91" t="s">
        <v>587</v>
      </c>
      <c r="C2304" s="92" t="str">
        <f ca="1">IFERROR(__xludf.DUMMYFUNCTION("filter('Back End'!C:C,'Back End'!A:A=A2304,'Back End'!B:B=B2304,'Back End'!D:D=D2304)"),"#N/A")</f>
        <v>#N/A</v>
      </c>
      <c r="D2304" s="91" t="s">
        <v>587</v>
      </c>
      <c r="E2304" s="91" t="s">
        <v>5882</v>
      </c>
      <c r="F2304" s="67" t="s">
        <v>3138</v>
      </c>
      <c r="G2304" s="67"/>
      <c r="H2304" s="93" t="s">
        <v>4</v>
      </c>
      <c r="I2304" s="92" t="s">
        <v>3125</v>
      </c>
      <c r="J2304" s="92">
        <v>9989156225</v>
      </c>
      <c r="K2304" s="67"/>
      <c r="L2304" s="67"/>
      <c r="M2304" s="67"/>
      <c r="N2304" s="67"/>
      <c r="O2304" s="67"/>
    </row>
    <row r="2305" spans="1:15" ht="15">
      <c r="A2305" s="91" t="s">
        <v>3361</v>
      </c>
      <c r="B2305" s="91" t="s">
        <v>587</v>
      </c>
      <c r="C2305" s="92" t="str">
        <f ca="1">IFERROR(__xludf.DUMMYFUNCTION("filter('Back End'!C:C,'Back End'!A:A=A2305,'Back End'!B:B=B2305,'Back End'!D:D=D2305)"),"#N/A")</f>
        <v>#N/A</v>
      </c>
      <c r="D2305" s="91" t="s">
        <v>629</v>
      </c>
      <c r="E2305" s="91" t="s">
        <v>5883</v>
      </c>
      <c r="F2305" s="67" t="s">
        <v>3138</v>
      </c>
      <c r="G2305" s="67"/>
      <c r="H2305" s="93" t="s">
        <v>4</v>
      </c>
      <c r="I2305" s="67"/>
      <c r="J2305" s="92">
        <v>9581356136</v>
      </c>
      <c r="K2305" s="67"/>
      <c r="L2305" s="67"/>
      <c r="M2305" s="67"/>
      <c r="N2305" s="67"/>
      <c r="O2305" s="67"/>
    </row>
    <row r="2306" spans="1:15" ht="15">
      <c r="A2306" s="91" t="s">
        <v>3361</v>
      </c>
      <c r="B2306" s="91" t="s">
        <v>587</v>
      </c>
      <c r="C2306" s="92" t="str">
        <f ca="1">IFERROR(__xludf.DUMMYFUNCTION("filter('Back End'!C:C,'Back End'!A:A=A2306,'Back End'!B:B=B2306,'Back End'!D:D=D2306)"),"#N/A")</f>
        <v>#N/A</v>
      </c>
      <c r="D2306" s="91" t="s">
        <v>629</v>
      </c>
      <c r="E2306" s="91" t="s">
        <v>5884</v>
      </c>
      <c r="F2306" s="67" t="s">
        <v>3138</v>
      </c>
      <c r="G2306" s="67"/>
      <c r="H2306" s="93" t="s">
        <v>4</v>
      </c>
      <c r="I2306" s="92" t="s">
        <v>3125</v>
      </c>
      <c r="J2306" s="92">
        <v>9963779435</v>
      </c>
      <c r="K2306" s="67"/>
      <c r="L2306" s="67"/>
      <c r="M2306" s="67"/>
      <c r="N2306" s="67"/>
      <c r="O2306" s="67"/>
    </row>
    <row r="2307" spans="1:15" ht="15">
      <c r="A2307" s="91" t="s">
        <v>3361</v>
      </c>
      <c r="B2307" s="91" t="s">
        <v>587</v>
      </c>
      <c r="C2307" s="92" t="str">
        <f ca="1">IFERROR(__xludf.DUMMYFUNCTION("filter('Back End'!C:C,'Back End'!A:A=A2307,'Back End'!B:B=B2307,'Back End'!D:D=D2307)"),"#N/A")</f>
        <v>#N/A</v>
      </c>
      <c r="D2307" s="91" t="s">
        <v>629</v>
      </c>
      <c r="E2307" s="91" t="s">
        <v>5885</v>
      </c>
      <c r="F2307" s="67" t="s">
        <v>3138</v>
      </c>
      <c r="G2307" s="67"/>
      <c r="H2307" s="93" t="s">
        <v>4</v>
      </c>
      <c r="I2307" s="67"/>
      <c r="J2307" s="92">
        <v>7680937614</v>
      </c>
      <c r="K2307" s="67"/>
      <c r="L2307" s="67"/>
      <c r="M2307" s="67"/>
      <c r="N2307" s="67"/>
      <c r="O2307" s="67"/>
    </row>
    <row r="2308" spans="1:15" ht="15">
      <c r="A2308" s="91" t="s">
        <v>3361</v>
      </c>
      <c r="B2308" s="91" t="s">
        <v>633</v>
      </c>
      <c r="C2308" s="92" t="str">
        <f ca="1">IFERROR(__xludf.DUMMYFUNCTION("filter('Back End'!C:C,'Back End'!A:A=A2308,'Back End'!B:B=B2308,'Back End'!D:D=D2308)"),"#N/A")</f>
        <v>#N/A</v>
      </c>
      <c r="D2308" s="91" t="s">
        <v>635</v>
      </c>
      <c r="E2308" s="91" t="s">
        <v>5886</v>
      </c>
      <c r="F2308" s="67" t="s">
        <v>3138</v>
      </c>
      <c r="G2308" s="67"/>
      <c r="H2308" s="93" t="s">
        <v>4</v>
      </c>
      <c r="I2308" s="67"/>
      <c r="J2308" s="92">
        <v>9618807589</v>
      </c>
      <c r="K2308" s="67"/>
      <c r="L2308" s="67"/>
      <c r="M2308" s="67"/>
      <c r="N2308" s="67"/>
      <c r="O2308" s="67"/>
    </row>
    <row r="2309" spans="1:15" ht="15">
      <c r="A2309" s="91" t="s">
        <v>3361</v>
      </c>
      <c r="B2309" s="91" t="s">
        <v>633</v>
      </c>
      <c r="C2309" s="92" t="str">
        <f ca="1">IFERROR(__xludf.DUMMYFUNCTION("filter('Back End'!C:C,'Back End'!A:A=A2309,'Back End'!B:B=B2309,'Back End'!D:D=D2309)"),"#N/A")</f>
        <v>#N/A</v>
      </c>
      <c r="D2309" s="91" t="s">
        <v>635</v>
      </c>
      <c r="E2309" s="91" t="s">
        <v>5887</v>
      </c>
      <c r="F2309" s="67" t="s">
        <v>3138</v>
      </c>
      <c r="G2309" s="67"/>
      <c r="H2309" s="93" t="s">
        <v>4</v>
      </c>
      <c r="I2309" s="67"/>
      <c r="J2309" s="92">
        <v>8008266003</v>
      </c>
      <c r="K2309" s="67"/>
      <c r="L2309" s="67"/>
      <c r="M2309" s="67"/>
      <c r="N2309" s="67"/>
      <c r="O2309" s="67"/>
    </row>
    <row r="2310" spans="1:15" ht="15">
      <c r="A2310" s="91" t="s">
        <v>3361</v>
      </c>
      <c r="B2310" s="91" t="s">
        <v>633</v>
      </c>
      <c r="C2310" s="92" t="str">
        <f ca="1">IFERROR(__xludf.DUMMYFUNCTION("filter('Back End'!C:C,'Back End'!A:A=A2310,'Back End'!B:B=B2310,'Back End'!D:D=D2310)"),"#N/A")</f>
        <v>#N/A</v>
      </c>
      <c r="D2310" s="91" t="s">
        <v>635</v>
      </c>
      <c r="E2310" s="91" t="s">
        <v>5888</v>
      </c>
      <c r="F2310" s="67" t="s">
        <v>3138</v>
      </c>
      <c r="G2310" s="67"/>
      <c r="H2310" s="93" t="s">
        <v>4</v>
      </c>
      <c r="I2310" s="67"/>
      <c r="J2310" s="92">
        <v>9505997725</v>
      </c>
      <c r="K2310" s="67"/>
      <c r="L2310" s="67"/>
      <c r="M2310" s="67"/>
      <c r="N2310" s="67"/>
      <c r="O2310" s="67"/>
    </row>
    <row r="2311" spans="1:15" ht="15">
      <c r="A2311" s="91" t="s">
        <v>3361</v>
      </c>
      <c r="B2311" s="91" t="s">
        <v>633</v>
      </c>
      <c r="C2311" s="92" t="str">
        <f ca="1">IFERROR(__xludf.DUMMYFUNCTION("filter('Back End'!C:C,'Back End'!A:A=A2311,'Back End'!B:B=B2311,'Back End'!D:D=D2311)"),"#N/A")</f>
        <v>#N/A</v>
      </c>
      <c r="D2311" s="91" t="s">
        <v>635</v>
      </c>
      <c r="E2311" s="91" t="s">
        <v>5889</v>
      </c>
      <c r="F2311" s="67" t="s">
        <v>3138</v>
      </c>
      <c r="G2311" s="67"/>
      <c r="H2311" s="93" t="s">
        <v>4</v>
      </c>
      <c r="I2311" s="67"/>
      <c r="J2311" s="92">
        <v>8919023580</v>
      </c>
      <c r="K2311" s="67"/>
      <c r="L2311" s="67"/>
      <c r="M2311" s="67"/>
      <c r="N2311" s="67"/>
      <c r="O2311" s="67"/>
    </row>
    <row r="2312" spans="1:15" ht="15">
      <c r="A2312" s="91" t="s">
        <v>3361</v>
      </c>
      <c r="B2312" s="91" t="s">
        <v>633</v>
      </c>
      <c r="C2312" s="92" t="str">
        <f ca="1">IFERROR(__xludf.DUMMYFUNCTION("filter('Back End'!C:C,'Back End'!A:A=A2312,'Back End'!B:B=B2312,'Back End'!D:D=D2312)"),"#N/A")</f>
        <v>#N/A</v>
      </c>
      <c r="D2312" s="91" t="s">
        <v>635</v>
      </c>
      <c r="E2312" s="91" t="s">
        <v>5890</v>
      </c>
      <c r="F2312" s="67" t="s">
        <v>3138</v>
      </c>
      <c r="G2312" s="67"/>
      <c r="H2312" s="93" t="s">
        <v>4</v>
      </c>
      <c r="I2312" s="67"/>
      <c r="J2312" s="92">
        <v>8919208628</v>
      </c>
      <c r="K2312" s="67"/>
      <c r="L2312" s="67"/>
      <c r="M2312" s="67"/>
      <c r="N2312" s="67"/>
      <c r="O2312" s="67"/>
    </row>
    <row r="2313" spans="1:15" ht="15">
      <c r="A2313" s="91" t="s">
        <v>3361</v>
      </c>
      <c r="B2313" s="91" t="s">
        <v>633</v>
      </c>
      <c r="C2313" s="92" t="str">
        <f ca="1">IFERROR(__xludf.DUMMYFUNCTION("filter('Back End'!C:C,'Back End'!A:A=A2313,'Back End'!B:B=B2313,'Back End'!D:D=D2313)"),"#N/A")</f>
        <v>#N/A</v>
      </c>
      <c r="D2313" s="91" t="s">
        <v>635</v>
      </c>
      <c r="E2313" s="91" t="s">
        <v>5225</v>
      </c>
      <c r="F2313" s="67" t="s">
        <v>3138</v>
      </c>
      <c r="G2313" s="67"/>
      <c r="H2313" s="93" t="s">
        <v>4</v>
      </c>
      <c r="I2313" s="92" t="s">
        <v>3125</v>
      </c>
      <c r="J2313" s="92">
        <v>9652857778</v>
      </c>
      <c r="K2313" s="67"/>
      <c r="L2313" s="67"/>
      <c r="M2313" s="67"/>
      <c r="N2313" s="67"/>
      <c r="O2313" s="67"/>
    </row>
    <row r="2314" spans="1:15" ht="15">
      <c r="A2314" s="91" t="s">
        <v>3361</v>
      </c>
      <c r="B2314" s="91" t="s">
        <v>633</v>
      </c>
      <c r="C2314" s="92" t="str">
        <f ca="1">IFERROR(__xludf.DUMMYFUNCTION("filter('Back End'!C:C,'Back End'!A:A=A2314,'Back End'!B:B=B2314,'Back End'!D:D=D2314)"),"#N/A")</f>
        <v>#N/A</v>
      </c>
      <c r="D2314" s="91" t="s">
        <v>635</v>
      </c>
      <c r="E2314" s="91" t="s">
        <v>5891</v>
      </c>
      <c r="F2314" s="67" t="s">
        <v>3138</v>
      </c>
      <c r="G2314" s="67"/>
      <c r="H2314" s="93" t="s">
        <v>4</v>
      </c>
      <c r="I2314" s="67"/>
      <c r="J2314" s="92">
        <v>8309885670</v>
      </c>
      <c r="K2314" s="67"/>
      <c r="L2314" s="67"/>
      <c r="M2314" s="67"/>
      <c r="N2314" s="67"/>
      <c r="O2314" s="67"/>
    </row>
    <row r="2315" spans="1:15" ht="15">
      <c r="A2315" s="91" t="s">
        <v>3361</v>
      </c>
      <c r="B2315" s="91" t="s">
        <v>633</v>
      </c>
      <c r="C2315" s="92" t="str">
        <f ca="1">IFERROR(__xludf.DUMMYFUNCTION("filter('Back End'!C:C,'Back End'!A:A=A2315,'Back End'!B:B=B2315,'Back End'!D:D=D2315)"),"#N/A")</f>
        <v>#N/A</v>
      </c>
      <c r="D2315" s="91" t="s">
        <v>635</v>
      </c>
      <c r="E2315" s="91" t="s">
        <v>5892</v>
      </c>
      <c r="F2315" s="67" t="s">
        <v>3138</v>
      </c>
      <c r="G2315" s="67"/>
      <c r="H2315" s="93" t="s">
        <v>4</v>
      </c>
      <c r="I2315" s="67"/>
      <c r="J2315" s="92">
        <v>8639058886</v>
      </c>
      <c r="K2315" s="67"/>
      <c r="L2315" s="67"/>
      <c r="M2315" s="67"/>
      <c r="N2315" s="67"/>
      <c r="O2315" s="67"/>
    </row>
    <row r="2316" spans="1:15" ht="15">
      <c r="A2316" s="91" t="s">
        <v>3361</v>
      </c>
      <c r="B2316" s="91" t="s">
        <v>633</v>
      </c>
      <c r="C2316" s="92" t="str">
        <f ca="1">IFERROR(__xludf.DUMMYFUNCTION("filter('Back End'!C:C,'Back End'!A:A=A2316,'Back End'!B:B=B2316,'Back End'!D:D=D2316)"),"#N/A")</f>
        <v>#N/A</v>
      </c>
      <c r="D2316" s="91" t="s">
        <v>635</v>
      </c>
      <c r="E2316" s="91" t="s">
        <v>5893</v>
      </c>
      <c r="F2316" s="67" t="s">
        <v>3138</v>
      </c>
      <c r="G2316" s="67"/>
      <c r="H2316" s="93" t="s">
        <v>4</v>
      </c>
      <c r="I2316" s="67"/>
      <c r="J2316" s="92">
        <v>8074868650</v>
      </c>
      <c r="K2316" s="67"/>
      <c r="L2316" s="67"/>
      <c r="M2316" s="67"/>
      <c r="N2316" s="67"/>
      <c r="O2316" s="67"/>
    </row>
    <row r="2317" spans="1:15" ht="15">
      <c r="A2317" s="91" t="s">
        <v>3361</v>
      </c>
      <c r="B2317" s="91" t="s">
        <v>633</v>
      </c>
      <c r="C2317" s="92" t="str">
        <f ca="1">IFERROR(__xludf.DUMMYFUNCTION("filter('Back End'!C:C,'Back End'!A:A=A2317,'Back End'!B:B=B2317,'Back End'!D:D=D2317)"),"#N/A")</f>
        <v>#N/A</v>
      </c>
      <c r="D2317" s="91" t="s">
        <v>635</v>
      </c>
      <c r="E2317" s="91" t="s">
        <v>5894</v>
      </c>
      <c r="F2317" s="67" t="s">
        <v>3138</v>
      </c>
      <c r="G2317" s="67"/>
      <c r="H2317" s="93" t="s">
        <v>4</v>
      </c>
      <c r="I2317" s="67"/>
      <c r="J2317" s="92">
        <v>9949733915</v>
      </c>
      <c r="K2317" s="67"/>
      <c r="L2317" s="67"/>
      <c r="M2317" s="67"/>
      <c r="N2317" s="67"/>
      <c r="O2317" s="67"/>
    </row>
    <row r="2318" spans="1:15" ht="15">
      <c r="A2318" s="91" t="s">
        <v>3361</v>
      </c>
      <c r="B2318" s="91" t="s">
        <v>633</v>
      </c>
      <c r="C2318" s="92" t="str">
        <f ca="1">IFERROR(__xludf.DUMMYFUNCTION("filter('Back End'!C:C,'Back End'!A:A=A2318,'Back End'!B:B=B2318,'Back End'!D:D=D2318)"),"#N/A")</f>
        <v>#N/A</v>
      </c>
      <c r="D2318" s="91" t="s">
        <v>635</v>
      </c>
      <c r="E2318" s="91" t="s">
        <v>5895</v>
      </c>
      <c r="F2318" s="67" t="s">
        <v>3138</v>
      </c>
      <c r="G2318" s="67"/>
      <c r="H2318" s="93" t="s">
        <v>4</v>
      </c>
      <c r="I2318" s="67"/>
      <c r="J2318" s="92">
        <v>9550227100</v>
      </c>
      <c r="K2318" s="67"/>
      <c r="L2318" s="67"/>
      <c r="M2318" s="67"/>
      <c r="N2318" s="67"/>
      <c r="O2318" s="67"/>
    </row>
    <row r="2319" spans="1:15" ht="15">
      <c r="A2319" s="91" t="s">
        <v>3361</v>
      </c>
      <c r="B2319" s="91" t="s">
        <v>633</v>
      </c>
      <c r="C2319" s="92" t="str">
        <f ca="1">IFERROR(__xludf.DUMMYFUNCTION("filter('Back End'!C:C,'Back End'!A:A=A2319,'Back End'!B:B=B2319,'Back End'!D:D=D2319)"),"#N/A")</f>
        <v>#N/A</v>
      </c>
      <c r="D2319" s="91" t="s">
        <v>635</v>
      </c>
      <c r="E2319" s="91" t="s">
        <v>5896</v>
      </c>
      <c r="F2319" s="67" t="s">
        <v>3138</v>
      </c>
      <c r="G2319" s="67"/>
      <c r="H2319" s="93" t="s">
        <v>4</v>
      </c>
      <c r="I2319" s="67"/>
      <c r="J2319" s="92">
        <v>9491987963</v>
      </c>
      <c r="K2319" s="67"/>
      <c r="L2319" s="67"/>
      <c r="M2319" s="67"/>
      <c r="N2319" s="67"/>
      <c r="O2319" s="67"/>
    </row>
    <row r="2320" spans="1:15" ht="15">
      <c r="A2320" s="91" t="s">
        <v>3361</v>
      </c>
      <c r="B2320" s="91" t="s">
        <v>633</v>
      </c>
      <c r="C2320" s="92" t="str">
        <f ca="1">IFERROR(__xludf.DUMMYFUNCTION("filter('Back End'!C:C,'Back End'!A:A=A2320,'Back End'!B:B=B2320,'Back End'!D:D=D2320)"),"#N/A")</f>
        <v>#N/A</v>
      </c>
      <c r="D2320" s="91" t="s">
        <v>19</v>
      </c>
      <c r="E2320" s="91" t="s">
        <v>5897</v>
      </c>
      <c r="F2320" s="67" t="s">
        <v>3138</v>
      </c>
      <c r="G2320" s="67"/>
      <c r="H2320" s="93" t="s">
        <v>4</v>
      </c>
      <c r="I2320" s="92" t="s">
        <v>3125</v>
      </c>
      <c r="J2320" s="92">
        <v>9959676266</v>
      </c>
      <c r="K2320" s="67"/>
      <c r="L2320" s="67"/>
      <c r="M2320" s="67"/>
      <c r="N2320" s="67"/>
      <c r="O2320" s="67"/>
    </row>
    <row r="2321" spans="1:15" ht="15">
      <c r="A2321" s="91" t="s">
        <v>3361</v>
      </c>
      <c r="B2321" s="91" t="s">
        <v>633</v>
      </c>
      <c r="C2321" s="92" t="str">
        <f ca="1">IFERROR(__xludf.DUMMYFUNCTION("filter('Back End'!C:C,'Back End'!A:A=A2321,'Back End'!B:B=B2321,'Back End'!D:D=D2321)"),"#N/A")</f>
        <v>#N/A</v>
      </c>
      <c r="D2321" s="91" t="s">
        <v>633</v>
      </c>
      <c r="E2321" s="91" t="s">
        <v>5898</v>
      </c>
      <c r="F2321" s="67" t="s">
        <v>3138</v>
      </c>
      <c r="G2321" s="67"/>
      <c r="H2321" s="93" t="s">
        <v>4</v>
      </c>
      <c r="I2321" s="67"/>
      <c r="J2321" s="92">
        <v>9133668147</v>
      </c>
      <c r="K2321" s="67"/>
      <c r="L2321" s="67"/>
      <c r="M2321" s="67"/>
      <c r="N2321" s="67"/>
      <c r="O2321" s="67"/>
    </row>
    <row r="2322" spans="1:15" ht="15">
      <c r="A2322" s="91" t="s">
        <v>3361</v>
      </c>
      <c r="B2322" s="91" t="s">
        <v>633</v>
      </c>
      <c r="C2322" s="92" t="str">
        <f ca="1">IFERROR(__xludf.DUMMYFUNCTION("filter('Back End'!C:C,'Back End'!A:A=A2322,'Back End'!B:B=B2322,'Back End'!D:D=D2322)"),"#N/A")</f>
        <v>#N/A</v>
      </c>
      <c r="D2322" s="91" t="s">
        <v>633</v>
      </c>
      <c r="E2322" s="91" t="s">
        <v>5899</v>
      </c>
      <c r="F2322" s="67" t="s">
        <v>3138</v>
      </c>
      <c r="G2322" s="67"/>
      <c r="H2322" s="93" t="s">
        <v>4</v>
      </c>
      <c r="I2322" s="67"/>
      <c r="J2322" s="92">
        <v>6301386332</v>
      </c>
      <c r="K2322" s="67"/>
      <c r="L2322" s="67"/>
      <c r="M2322" s="67"/>
      <c r="N2322" s="67"/>
      <c r="O2322" s="67"/>
    </row>
    <row r="2323" spans="1:15" ht="15">
      <c r="A2323" s="91" t="s">
        <v>3361</v>
      </c>
      <c r="B2323" s="91" t="s">
        <v>633</v>
      </c>
      <c r="C2323" s="92" t="str">
        <f ca="1">IFERROR(__xludf.DUMMYFUNCTION("filter('Back End'!C:C,'Back End'!A:A=A2323,'Back End'!B:B=B2323,'Back End'!D:D=D2323)"),"#N/A")</f>
        <v>#N/A</v>
      </c>
      <c r="D2323" s="91" t="s">
        <v>633</v>
      </c>
      <c r="E2323" s="91" t="s">
        <v>5900</v>
      </c>
      <c r="F2323" s="67" t="s">
        <v>3138</v>
      </c>
      <c r="G2323" s="67"/>
      <c r="H2323" s="93" t="s">
        <v>4</v>
      </c>
      <c r="I2323" s="67"/>
      <c r="J2323" s="92">
        <v>8688930688</v>
      </c>
      <c r="K2323" s="67"/>
      <c r="L2323" s="67"/>
      <c r="M2323" s="67"/>
      <c r="N2323" s="67"/>
      <c r="O2323" s="67"/>
    </row>
    <row r="2324" spans="1:15" ht="15">
      <c r="A2324" s="91" t="s">
        <v>3361</v>
      </c>
      <c r="B2324" s="91" t="s">
        <v>633</v>
      </c>
      <c r="C2324" s="92" t="str">
        <f ca="1">IFERROR(__xludf.DUMMYFUNCTION("filter('Back End'!C:C,'Back End'!A:A=A2324,'Back End'!B:B=B2324,'Back End'!D:D=D2324)"),"#N/A")</f>
        <v>#N/A</v>
      </c>
      <c r="D2324" s="91" t="s">
        <v>633</v>
      </c>
      <c r="E2324" s="91" t="s">
        <v>5901</v>
      </c>
      <c r="F2324" s="67" t="s">
        <v>3138</v>
      </c>
      <c r="G2324" s="67"/>
      <c r="H2324" s="93" t="s">
        <v>4</v>
      </c>
      <c r="I2324" s="92" t="s">
        <v>3125</v>
      </c>
      <c r="J2324" s="92">
        <v>8142393552</v>
      </c>
      <c r="K2324" s="67"/>
      <c r="L2324" s="67"/>
      <c r="M2324" s="67"/>
      <c r="N2324" s="67"/>
      <c r="O2324" s="67"/>
    </row>
    <row r="2325" spans="1:15" ht="15">
      <c r="A2325" s="91" t="s">
        <v>3361</v>
      </c>
      <c r="B2325" s="91" t="s">
        <v>633</v>
      </c>
      <c r="C2325" s="92" t="str">
        <f ca="1">IFERROR(__xludf.DUMMYFUNCTION("filter('Back End'!C:C,'Back End'!A:A=A2325,'Back End'!B:B=B2325,'Back End'!D:D=D2325)"),"#N/A")</f>
        <v>#N/A</v>
      </c>
      <c r="D2325" s="91" t="s">
        <v>633</v>
      </c>
      <c r="E2325" s="91" t="s">
        <v>5902</v>
      </c>
      <c r="F2325" s="67" t="s">
        <v>3138</v>
      </c>
      <c r="G2325" s="67"/>
      <c r="H2325" s="93" t="s">
        <v>4</v>
      </c>
      <c r="I2325" s="67"/>
      <c r="J2325" s="92">
        <v>9949150303</v>
      </c>
      <c r="K2325" s="67"/>
      <c r="L2325" s="67"/>
      <c r="M2325" s="67"/>
      <c r="N2325" s="67"/>
      <c r="O2325" s="67"/>
    </row>
    <row r="2326" spans="1:15" ht="15">
      <c r="A2326" s="91" t="s">
        <v>3361</v>
      </c>
      <c r="B2326" s="91" t="s">
        <v>633</v>
      </c>
      <c r="C2326" s="92" t="str">
        <f ca="1">IFERROR(__xludf.DUMMYFUNCTION("filter('Back End'!C:C,'Back End'!A:A=A2326,'Back End'!B:B=B2326,'Back End'!D:D=D2326)"),"#N/A")</f>
        <v>#N/A</v>
      </c>
      <c r="D2326" s="91" t="s">
        <v>633</v>
      </c>
      <c r="E2326" s="91" t="s">
        <v>5903</v>
      </c>
      <c r="F2326" s="67" t="s">
        <v>3138</v>
      </c>
      <c r="G2326" s="67"/>
      <c r="H2326" s="93" t="s">
        <v>4</v>
      </c>
      <c r="I2326" s="67"/>
      <c r="J2326" s="92">
        <v>9949562751</v>
      </c>
      <c r="K2326" s="67"/>
      <c r="L2326" s="67"/>
      <c r="M2326" s="67"/>
      <c r="N2326" s="67"/>
      <c r="O2326" s="67"/>
    </row>
    <row r="2327" spans="1:15" ht="15">
      <c r="A2327" s="91" t="s">
        <v>3361</v>
      </c>
      <c r="B2327" s="91" t="s">
        <v>633</v>
      </c>
      <c r="C2327" s="92" t="str">
        <f ca="1">IFERROR(__xludf.DUMMYFUNCTION("filter('Back End'!C:C,'Back End'!A:A=A2327,'Back End'!B:B=B2327,'Back End'!D:D=D2327)"),"#N/A")</f>
        <v>#N/A</v>
      </c>
      <c r="D2327" s="91" t="s">
        <v>633</v>
      </c>
      <c r="E2327" s="91" t="s">
        <v>5904</v>
      </c>
      <c r="F2327" s="67" t="s">
        <v>3138</v>
      </c>
      <c r="G2327" s="67"/>
      <c r="H2327" s="93" t="s">
        <v>4</v>
      </c>
      <c r="I2327" s="67"/>
      <c r="J2327" s="92">
        <v>9292008879</v>
      </c>
      <c r="K2327" s="67"/>
      <c r="L2327" s="67"/>
      <c r="M2327" s="67"/>
      <c r="N2327" s="67"/>
      <c r="O2327" s="67"/>
    </row>
    <row r="2328" spans="1:15" ht="15">
      <c r="A2328" s="91" t="s">
        <v>3361</v>
      </c>
      <c r="B2328" s="91" t="s">
        <v>633</v>
      </c>
      <c r="C2328" s="92" t="str">
        <f ca="1">IFERROR(__xludf.DUMMYFUNCTION("filter('Back End'!C:C,'Back End'!A:A=A2328,'Back End'!B:B=B2328,'Back End'!D:D=D2328)"),"#N/A")</f>
        <v>#N/A</v>
      </c>
      <c r="D2328" s="91" t="s">
        <v>633</v>
      </c>
      <c r="E2328" s="91" t="s">
        <v>5905</v>
      </c>
      <c r="F2328" s="67" t="s">
        <v>3138</v>
      </c>
      <c r="G2328" s="67"/>
      <c r="H2328" s="93" t="s">
        <v>4</v>
      </c>
      <c r="I2328" s="67"/>
      <c r="J2328" s="92">
        <v>6302284673</v>
      </c>
      <c r="K2328" s="67"/>
      <c r="L2328" s="67"/>
      <c r="M2328" s="67"/>
      <c r="N2328" s="67"/>
      <c r="O2328" s="67"/>
    </row>
    <row r="2329" spans="1:15" ht="15">
      <c r="A2329" s="91" t="s">
        <v>3361</v>
      </c>
      <c r="B2329" s="91" t="s">
        <v>633</v>
      </c>
      <c r="C2329" s="92" t="str">
        <f ca="1">IFERROR(__xludf.DUMMYFUNCTION("filter('Back End'!C:C,'Back End'!A:A=A2329,'Back End'!B:B=B2329,'Back End'!D:D=D2329)"),"#N/A")</f>
        <v>#N/A</v>
      </c>
      <c r="D2329" s="91" t="s">
        <v>633</v>
      </c>
      <c r="E2329" s="91" t="s">
        <v>5906</v>
      </c>
      <c r="F2329" s="67" t="s">
        <v>3138</v>
      </c>
      <c r="G2329" s="67"/>
      <c r="H2329" s="93" t="s">
        <v>4</v>
      </c>
      <c r="I2329" s="67"/>
      <c r="J2329" s="92">
        <v>9010492277</v>
      </c>
      <c r="K2329" s="67"/>
      <c r="L2329" s="67"/>
      <c r="M2329" s="67"/>
      <c r="N2329" s="67"/>
      <c r="O2329" s="67"/>
    </row>
    <row r="2330" spans="1:15" ht="15">
      <c r="A2330" s="91" t="s">
        <v>3361</v>
      </c>
      <c r="B2330" s="91" t="s">
        <v>633</v>
      </c>
      <c r="C2330" s="92" t="str">
        <f ca="1">IFERROR(__xludf.DUMMYFUNCTION("filter('Back End'!C:C,'Back End'!A:A=A2330,'Back End'!B:B=B2330,'Back End'!D:D=D2330)"),"#N/A")</f>
        <v>#N/A</v>
      </c>
      <c r="D2330" s="91" t="s">
        <v>655</v>
      </c>
      <c r="E2330" s="91" t="s">
        <v>5907</v>
      </c>
      <c r="F2330" s="67" t="s">
        <v>3138</v>
      </c>
      <c r="G2330" s="67"/>
      <c r="H2330" s="93" t="s">
        <v>4</v>
      </c>
      <c r="I2330" s="67"/>
      <c r="J2330" s="92">
        <v>9948066957</v>
      </c>
      <c r="K2330" s="67"/>
      <c r="L2330" s="67"/>
      <c r="M2330" s="67"/>
      <c r="N2330" s="67"/>
      <c r="O2330" s="67"/>
    </row>
    <row r="2331" spans="1:15" ht="15">
      <c r="A2331" s="91" t="s">
        <v>3361</v>
      </c>
      <c r="B2331" s="91" t="s">
        <v>633</v>
      </c>
      <c r="C2331" s="92" t="str">
        <f ca="1">IFERROR(__xludf.DUMMYFUNCTION("filter('Back End'!C:C,'Back End'!A:A=A2331,'Back End'!B:B=B2331,'Back End'!D:D=D2331)"),"#N/A")</f>
        <v>#N/A</v>
      </c>
      <c r="D2331" s="91" t="s">
        <v>333</v>
      </c>
      <c r="E2331" s="91" t="s">
        <v>5908</v>
      </c>
      <c r="F2331" s="67" t="s">
        <v>3138</v>
      </c>
      <c r="G2331" s="67"/>
      <c r="H2331" s="93" t="s">
        <v>4</v>
      </c>
      <c r="I2331" s="67"/>
      <c r="J2331" s="92">
        <v>8125717509</v>
      </c>
      <c r="K2331" s="67"/>
      <c r="L2331" s="67"/>
      <c r="M2331" s="67"/>
      <c r="N2331" s="67"/>
      <c r="O2331" s="67"/>
    </row>
    <row r="2332" spans="1:15" ht="15">
      <c r="A2332" s="91" t="s">
        <v>3361</v>
      </c>
      <c r="B2332" s="91" t="s">
        <v>633</v>
      </c>
      <c r="C2332" s="92" t="str">
        <f ca="1">IFERROR(__xludf.DUMMYFUNCTION("filter('Back End'!C:C,'Back End'!A:A=A2332,'Back End'!B:B=B2332,'Back End'!D:D=D2332)"),"#N/A")</f>
        <v>#N/A</v>
      </c>
      <c r="D2332" s="91" t="s">
        <v>333</v>
      </c>
      <c r="E2332" s="91" t="s">
        <v>5909</v>
      </c>
      <c r="F2332" s="67" t="s">
        <v>3138</v>
      </c>
      <c r="G2332" s="67"/>
      <c r="H2332" s="93" t="s">
        <v>4</v>
      </c>
      <c r="I2332" s="67"/>
      <c r="J2332" s="92">
        <v>9666386133</v>
      </c>
      <c r="K2332" s="67"/>
      <c r="L2332" s="67"/>
      <c r="M2332" s="67"/>
      <c r="N2332" s="67"/>
      <c r="O2332" s="67"/>
    </row>
    <row r="2333" spans="1:15" ht="15">
      <c r="A2333" s="91" t="s">
        <v>3361</v>
      </c>
      <c r="B2333" s="91" t="s">
        <v>633</v>
      </c>
      <c r="C2333" s="92" t="str">
        <f ca="1">IFERROR(__xludf.DUMMYFUNCTION("filter('Back End'!C:C,'Back End'!A:A=A2333,'Back End'!B:B=B2333,'Back End'!D:D=D2333)"),"#N/A")</f>
        <v>#N/A</v>
      </c>
      <c r="D2333" s="91" t="s">
        <v>333</v>
      </c>
      <c r="E2333" s="91" t="s">
        <v>5910</v>
      </c>
      <c r="F2333" s="67" t="s">
        <v>3138</v>
      </c>
      <c r="G2333" s="67"/>
      <c r="H2333" s="93" t="s">
        <v>4</v>
      </c>
      <c r="I2333" s="92" t="s">
        <v>3125</v>
      </c>
      <c r="J2333" s="92">
        <v>8466809999</v>
      </c>
      <c r="K2333" s="67"/>
      <c r="L2333" s="67"/>
      <c r="M2333" s="67"/>
      <c r="N2333" s="67"/>
      <c r="O2333" s="67"/>
    </row>
    <row r="2334" spans="1:15" ht="15">
      <c r="A2334" s="91" t="s">
        <v>8</v>
      </c>
      <c r="B2334" s="91" t="s">
        <v>658</v>
      </c>
      <c r="C2334" s="92" t="str">
        <f ca="1">IFERROR(__xludf.DUMMYFUNCTION("filter('Back End'!C:C,'Back End'!A:A=A2334,'Back End'!B:B=B2334,'Back End'!D:D=D2334)"),"C. Rayavaram")</f>
        <v>C. Rayavaram</v>
      </c>
      <c r="D2334" s="91" t="s">
        <v>660</v>
      </c>
      <c r="E2334" s="91" t="s">
        <v>5911</v>
      </c>
      <c r="F2334" s="67" t="s">
        <v>3138</v>
      </c>
      <c r="G2334" s="67"/>
      <c r="H2334" s="93" t="s">
        <v>4</v>
      </c>
      <c r="I2334" s="67"/>
      <c r="J2334" s="92">
        <v>6302966643</v>
      </c>
      <c r="K2334" s="67"/>
      <c r="L2334" s="67"/>
      <c r="M2334" s="67"/>
      <c r="N2334" s="67"/>
      <c r="O2334" s="67"/>
    </row>
    <row r="2335" spans="1:15" ht="15">
      <c r="A2335" s="91" t="s">
        <v>8</v>
      </c>
      <c r="B2335" s="91" t="s">
        <v>658</v>
      </c>
      <c r="C2335" s="92" t="str">
        <f ca="1">IFERROR(__xludf.DUMMYFUNCTION("filter('Back End'!C:C,'Back End'!A:A=A2335,'Back End'!B:B=B2335,'Back End'!D:D=D2335)"),"C. Rayavaram")</f>
        <v>C. Rayavaram</v>
      </c>
      <c r="D2335" s="91" t="s">
        <v>660</v>
      </c>
      <c r="E2335" s="91" t="s">
        <v>5912</v>
      </c>
      <c r="F2335" s="67" t="s">
        <v>3138</v>
      </c>
      <c r="G2335" s="67"/>
      <c r="H2335" s="93" t="s">
        <v>4</v>
      </c>
      <c r="I2335" s="92" t="s">
        <v>3125</v>
      </c>
      <c r="J2335" s="92">
        <v>7207786389</v>
      </c>
      <c r="K2335" s="67"/>
      <c r="L2335" s="67"/>
      <c r="M2335" s="67"/>
      <c r="N2335" s="67"/>
      <c r="O2335" s="67"/>
    </row>
    <row r="2336" spans="1:15" ht="30">
      <c r="A2336" s="91" t="s">
        <v>8</v>
      </c>
      <c r="B2336" s="91" t="s">
        <v>658</v>
      </c>
      <c r="C2336" s="92" t="str">
        <f ca="1">IFERROR(__xludf.DUMMYFUNCTION("filter('Back End'!C:C,'Back End'!A:A=A2336,'Back End'!B:B=B2336,'Back End'!D:D=D2336)"),"East Lakshmipuram")</f>
        <v>East Lakshmipuram</v>
      </c>
      <c r="D2336" s="91" t="s">
        <v>661</v>
      </c>
      <c r="E2336" s="91" t="s">
        <v>5913</v>
      </c>
      <c r="F2336" s="67" t="s">
        <v>3138</v>
      </c>
      <c r="G2336" s="67"/>
      <c r="H2336" s="93" t="s">
        <v>4</v>
      </c>
      <c r="I2336" s="67"/>
      <c r="J2336" s="92">
        <v>8309434829</v>
      </c>
      <c r="K2336" s="67"/>
      <c r="L2336" s="67"/>
      <c r="M2336" s="67"/>
      <c r="N2336" s="67"/>
      <c r="O2336" s="67"/>
    </row>
    <row r="2337" spans="1:15" ht="30">
      <c r="A2337" s="91" t="s">
        <v>8</v>
      </c>
      <c r="B2337" s="91" t="s">
        <v>658</v>
      </c>
      <c r="C2337" s="92" t="str">
        <f ca="1">IFERROR(__xludf.DUMMYFUNCTION("filter('Back End'!C:C,'Back End'!A:A=A2337,'Back End'!B:B=B2337,'Back End'!D:D=D2337)"),"East Lakshmipuram")</f>
        <v>East Lakshmipuram</v>
      </c>
      <c r="D2337" s="91" t="s">
        <v>661</v>
      </c>
      <c r="E2337" s="91" t="s">
        <v>5914</v>
      </c>
      <c r="F2337" s="67" t="s">
        <v>3138</v>
      </c>
      <c r="G2337" s="67"/>
      <c r="H2337" s="93" t="s">
        <v>4</v>
      </c>
      <c r="I2337" s="67"/>
      <c r="J2337" s="92">
        <v>9491837549</v>
      </c>
      <c r="K2337" s="67"/>
      <c r="L2337" s="67"/>
      <c r="M2337" s="67"/>
      <c r="N2337" s="67"/>
      <c r="O2337" s="67"/>
    </row>
    <row r="2338" spans="1:15" ht="30">
      <c r="A2338" s="91" t="s">
        <v>8</v>
      </c>
      <c r="B2338" s="91" t="s">
        <v>658</v>
      </c>
      <c r="C2338" s="92" t="str">
        <f ca="1">IFERROR(__xludf.DUMMYFUNCTION("filter('Back End'!C:C,'Back End'!A:A=A2338,'Back End'!B:B=B2338,'Back End'!D:D=D2338)"),"East Lakshmipuram")</f>
        <v>East Lakshmipuram</v>
      </c>
      <c r="D2338" s="91" t="s">
        <v>661</v>
      </c>
      <c r="E2338" s="91" t="s">
        <v>5915</v>
      </c>
      <c r="F2338" s="67" t="s">
        <v>3138</v>
      </c>
      <c r="G2338" s="67"/>
      <c r="H2338" s="93" t="s">
        <v>4</v>
      </c>
      <c r="I2338" s="92" t="s">
        <v>3125</v>
      </c>
      <c r="J2338" s="92">
        <v>9492123144</v>
      </c>
      <c r="K2338" s="67"/>
      <c r="L2338" s="67"/>
      <c r="M2338" s="67"/>
      <c r="N2338" s="67"/>
      <c r="O2338" s="67"/>
    </row>
    <row r="2339" spans="1:15" ht="15">
      <c r="A2339" s="91" t="s">
        <v>8</v>
      </c>
      <c r="B2339" s="91" t="s">
        <v>658</v>
      </c>
      <c r="C2339" s="92" t="str">
        <f ca="1">IFERROR(__xludf.DUMMYFUNCTION("filter('Back End'!C:C,'Back End'!A:A=A2339,'Back End'!B:B=B2339,'Back End'!D:D=D2339)"),"Peddanapalle")</f>
        <v>Peddanapalle</v>
      </c>
      <c r="D2339" s="91" t="s">
        <v>666</v>
      </c>
      <c r="E2339" s="91" t="s">
        <v>5916</v>
      </c>
      <c r="F2339" s="91" t="s">
        <v>154</v>
      </c>
      <c r="G2339" s="91" t="s">
        <v>615</v>
      </c>
      <c r="H2339" s="93" t="s">
        <v>4</v>
      </c>
      <c r="I2339" s="67"/>
      <c r="J2339" s="92">
        <v>9652180047</v>
      </c>
      <c r="K2339" s="67"/>
      <c r="L2339" s="67"/>
      <c r="M2339" s="67"/>
      <c r="N2339" s="67"/>
      <c r="O2339" s="67"/>
    </row>
    <row r="2340" spans="1:15" ht="15">
      <c r="A2340" s="91" t="s">
        <v>8</v>
      </c>
      <c r="B2340" s="91" t="s">
        <v>658</v>
      </c>
      <c r="C2340" s="92" t="str">
        <f ca="1">IFERROR(__xludf.DUMMYFUNCTION("filter('Back End'!C:C,'Back End'!A:A=A2340,'Back End'!B:B=B2340,'Back End'!D:D=D2340)"),"Peddanapalle")</f>
        <v>Peddanapalle</v>
      </c>
      <c r="D2340" s="91" t="s">
        <v>666</v>
      </c>
      <c r="E2340" s="91" t="s">
        <v>5917</v>
      </c>
      <c r="F2340" s="91" t="s">
        <v>139</v>
      </c>
      <c r="G2340" s="91" t="s">
        <v>594</v>
      </c>
      <c r="H2340" s="93" t="s">
        <v>4</v>
      </c>
      <c r="I2340" s="67"/>
      <c r="J2340" s="92">
        <v>9618506188</v>
      </c>
      <c r="K2340" s="67"/>
      <c r="L2340" s="67"/>
      <c r="M2340" s="67"/>
      <c r="N2340" s="67"/>
      <c r="O2340" s="67"/>
    </row>
    <row r="2341" spans="1:15" ht="15">
      <c r="A2341" s="91" t="s">
        <v>8</v>
      </c>
      <c r="B2341" s="91" t="s">
        <v>658</v>
      </c>
      <c r="C2341" s="92" t="str">
        <f ca="1">IFERROR(__xludf.DUMMYFUNCTION("filter('Back End'!C:C,'Back End'!A:A=A2341,'Back End'!B:B=B2341,'Back End'!D:D=D2341)"),"Peddanapalle")</f>
        <v>Peddanapalle</v>
      </c>
      <c r="D2341" s="91" t="s">
        <v>666</v>
      </c>
      <c r="E2341" s="91" t="s">
        <v>5918</v>
      </c>
      <c r="F2341" s="91" t="s">
        <v>154</v>
      </c>
      <c r="G2341" s="91" t="s">
        <v>615</v>
      </c>
      <c r="H2341" s="93" t="s">
        <v>4</v>
      </c>
      <c r="I2341" s="67"/>
      <c r="J2341" s="92">
        <v>9989974309</v>
      </c>
      <c r="K2341" s="67"/>
      <c r="L2341" s="67"/>
      <c r="M2341" s="67"/>
      <c r="N2341" s="67"/>
      <c r="O2341" s="67"/>
    </row>
    <row r="2342" spans="1:15" ht="15">
      <c r="A2342" s="91" t="s">
        <v>8</v>
      </c>
      <c r="B2342" s="91" t="s">
        <v>658</v>
      </c>
      <c r="C2342" s="92" t="str">
        <f ca="1">IFERROR(__xludf.DUMMYFUNCTION("filter('Back End'!C:C,'Back End'!A:A=A2342,'Back End'!B:B=B2342,'Back End'!D:D=D2342)"),"Peddanapalle")</f>
        <v>Peddanapalle</v>
      </c>
      <c r="D2342" s="91" t="s">
        <v>666</v>
      </c>
      <c r="E2342" s="91" t="s">
        <v>5919</v>
      </c>
      <c r="F2342" s="91" t="s">
        <v>154</v>
      </c>
      <c r="G2342" s="91" t="s">
        <v>615</v>
      </c>
      <c r="H2342" s="93" t="s">
        <v>4</v>
      </c>
      <c r="I2342" s="67"/>
      <c r="J2342" s="92">
        <v>9908189266</v>
      </c>
      <c r="K2342" s="67"/>
      <c r="L2342" s="67"/>
      <c r="M2342" s="67"/>
      <c r="N2342" s="67"/>
      <c r="O2342" s="67"/>
    </row>
    <row r="2343" spans="1:15" ht="15">
      <c r="A2343" s="91" t="s">
        <v>8</v>
      </c>
      <c r="B2343" s="91" t="s">
        <v>658</v>
      </c>
      <c r="C2343" s="92" t="str">
        <f ca="1">IFERROR(__xludf.DUMMYFUNCTION("filter('Back End'!C:C,'Back End'!A:A=A2343,'Back End'!B:B=B2343,'Back End'!D:D=D2343)"),"Peddanapalle")</f>
        <v>Peddanapalle</v>
      </c>
      <c r="D2343" s="91" t="s">
        <v>666</v>
      </c>
      <c r="E2343" s="91" t="s">
        <v>5920</v>
      </c>
      <c r="F2343" s="91" t="s">
        <v>154</v>
      </c>
      <c r="G2343" s="91" t="s">
        <v>615</v>
      </c>
      <c r="H2343" s="93" t="s">
        <v>4</v>
      </c>
      <c r="I2343" s="67"/>
      <c r="J2343" s="92">
        <v>9381493567</v>
      </c>
      <c r="K2343" s="67"/>
      <c r="L2343" s="67"/>
      <c r="M2343" s="67"/>
      <c r="N2343" s="67"/>
      <c r="O2343" s="67"/>
    </row>
    <row r="2344" spans="1:15" ht="30">
      <c r="A2344" s="91" t="s">
        <v>8</v>
      </c>
      <c r="B2344" s="91" t="s">
        <v>658</v>
      </c>
      <c r="C2344" s="92" t="str">
        <f ca="1">IFERROR(__xludf.DUMMYFUNCTION("filter('Back End'!C:C,'Back End'!A:A=A2344,'Back End'!B:B=B2344,'Back End'!D:D=D2344)"),"Peddanapalle")</f>
        <v>Peddanapalle</v>
      </c>
      <c r="D2344" s="91" t="s">
        <v>666</v>
      </c>
      <c r="E2344" s="91" t="s">
        <v>5921</v>
      </c>
      <c r="F2344" s="91" t="s">
        <v>154</v>
      </c>
      <c r="G2344" s="91" t="s">
        <v>615</v>
      </c>
      <c r="H2344" s="93" t="s">
        <v>4</v>
      </c>
      <c r="I2344" s="92" t="s">
        <v>3495</v>
      </c>
      <c r="J2344" s="92">
        <v>8008301248</v>
      </c>
      <c r="K2344" s="67"/>
      <c r="L2344" s="67"/>
      <c r="M2344" s="67"/>
      <c r="N2344" s="67"/>
      <c r="O2344" s="67"/>
    </row>
    <row r="2345" spans="1:15" ht="30">
      <c r="A2345" s="91" t="s">
        <v>8</v>
      </c>
      <c r="B2345" s="91" t="s">
        <v>658</v>
      </c>
      <c r="C2345" s="92" t="str">
        <f ca="1">IFERROR(__xludf.DUMMYFUNCTION("filter('Back End'!C:C,'Back End'!A:A=A2345,'Back End'!B:B=B2345,'Back End'!D:D=D2345)"),"Peddanapalle")</f>
        <v>Peddanapalle</v>
      </c>
      <c r="D2345" s="91" t="s">
        <v>666</v>
      </c>
      <c r="E2345" s="91" t="s">
        <v>5922</v>
      </c>
      <c r="F2345" s="91" t="s">
        <v>154</v>
      </c>
      <c r="G2345" s="91" t="s">
        <v>615</v>
      </c>
      <c r="H2345" s="93" t="s">
        <v>5</v>
      </c>
      <c r="I2345" s="92" t="s">
        <v>3495</v>
      </c>
      <c r="J2345" s="92">
        <v>7893762555</v>
      </c>
      <c r="K2345" s="67"/>
      <c r="L2345" s="67"/>
      <c r="M2345" s="67"/>
      <c r="N2345" s="67"/>
      <c r="O2345" s="67"/>
    </row>
    <row r="2346" spans="1:15" ht="45">
      <c r="A2346" s="91" t="s">
        <v>8</v>
      </c>
      <c r="B2346" s="91" t="s">
        <v>658</v>
      </c>
      <c r="C2346" s="92" t="str">
        <f ca="1">IFERROR(__xludf.DUMMYFUNCTION("filter('Back End'!C:C,'Back End'!A:A=A2346,'Back End'!B:B=B2346,'Back End'!D:D=D2346)"),"Peddanapalle")</f>
        <v>Peddanapalle</v>
      </c>
      <c r="D2346" s="91" t="s">
        <v>666</v>
      </c>
      <c r="E2346" s="91" t="s">
        <v>5923</v>
      </c>
      <c r="F2346" s="91" t="s">
        <v>154</v>
      </c>
      <c r="G2346" s="91" t="s">
        <v>615</v>
      </c>
      <c r="H2346" s="93" t="s">
        <v>5</v>
      </c>
      <c r="I2346" s="92" t="s">
        <v>5924</v>
      </c>
      <c r="J2346" s="92">
        <v>9866115739</v>
      </c>
      <c r="K2346" s="67"/>
      <c r="L2346" s="67"/>
      <c r="M2346" s="67"/>
      <c r="N2346" s="67"/>
      <c r="O2346" s="67"/>
    </row>
    <row r="2347" spans="1:15" ht="15">
      <c r="A2347" s="91" t="s">
        <v>8</v>
      </c>
      <c r="B2347" s="91" t="s">
        <v>658</v>
      </c>
      <c r="C2347" s="92" t="str">
        <f ca="1">IFERROR(__xludf.DUMMYFUNCTION("filter('Back End'!C:C,'Back End'!A:A=A2347,'Back End'!B:B=B2347,'Back End'!D:D=D2347)"),"Peddanapalle")</f>
        <v>Peddanapalle</v>
      </c>
      <c r="D2347" s="91" t="s">
        <v>666</v>
      </c>
      <c r="E2347" s="91" t="s">
        <v>5925</v>
      </c>
      <c r="F2347" s="91" t="s">
        <v>154</v>
      </c>
      <c r="G2347" s="91" t="s">
        <v>615</v>
      </c>
      <c r="H2347" s="93" t="s">
        <v>5</v>
      </c>
      <c r="I2347" s="92" t="s">
        <v>3115</v>
      </c>
      <c r="J2347" s="67"/>
      <c r="K2347" s="67"/>
      <c r="L2347" s="67"/>
      <c r="M2347" s="67"/>
      <c r="N2347" s="67"/>
      <c r="O2347" s="67"/>
    </row>
    <row r="2348" spans="1:15" ht="15">
      <c r="A2348" s="91" t="s">
        <v>8</v>
      </c>
      <c r="B2348" s="91" t="s">
        <v>658</v>
      </c>
      <c r="C2348" s="92" t="str">
        <f ca="1">IFERROR(__xludf.DUMMYFUNCTION("filter('Back End'!C:C,'Back End'!A:A=A2348,'Back End'!B:B=B2348,'Back End'!D:D=D2348)"),"Peddanapalle")</f>
        <v>Peddanapalle</v>
      </c>
      <c r="D2348" s="91" t="s">
        <v>666</v>
      </c>
      <c r="E2348" s="91" t="s">
        <v>5926</v>
      </c>
      <c r="F2348" s="91" t="s">
        <v>154</v>
      </c>
      <c r="G2348" s="91" t="s">
        <v>615</v>
      </c>
      <c r="H2348" s="93" t="s">
        <v>5</v>
      </c>
      <c r="I2348" s="92" t="s">
        <v>3185</v>
      </c>
      <c r="J2348" s="67"/>
      <c r="K2348" s="67"/>
      <c r="L2348" s="67"/>
      <c r="M2348" s="67"/>
      <c r="N2348" s="67"/>
      <c r="O2348" s="67"/>
    </row>
    <row r="2349" spans="1:15" ht="15">
      <c r="A2349" s="91" t="s">
        <v>8</v>
      </c>
      <c r="B2349" s="91" t="s">
        <v>658</v>
      </c>
      <c r="C2349" s="92" t="str">
        <f ca="1">IFERROR(__xludf.DUMMYFUNCTION("filter('Back End'!C:C,'Back End'!A:A=A2349,'Back End'!B:B=B2349,'Back End'!D:D=D2349)"),"Ramanayya Peta")</f>
        <v>Ramanayya Peta</v>
      </c>
      <c r="D2349" s="91" t="s">
        <v>668</v>
      </c>
      <c r="E2349" s="91" t="s">
        <v>5927</v>
      </c>
      <c r="F2349" s="67" t="s">
        <v>3138</v>
      </c>
      <c r="G2349" s="67"/>
      <c r="H2349" s="93" t="s">
        <v>4</v>
      </c>
      <c r="I2349" s="92" t="s">
        <v>3125</v>
      </c>
      <c r="J2349" s="92">
        <v>9676262116</v>
      </c>
      <c r="K2349" s="67"/>
      <c r="L2349" s="67"/>
      <c r="M2349" s="67"/>
      <c r="N2349" s="67"/>
      <c r="O2349" s="67"/>
    </row>
    <row r="2350" spans="1:15" ht="15">
      <c r="A2350" s="91" t="s">
        <v>8</v>
      </c>
      <c r="B2350" s="91" t="s">
        <v>658</v>
      </c>
      <c r="C2350" s="92" t="str">
        <f ca="1">IFERROR(__xludf.DUMMYFUNCTION("filter('Back End'!C:C,'Back End'!A:A=A2350,'Back End'!B:B=B2350,'Back End'!D:D=D2350)"),"Ramanayya Peta")</f>
        <v>Ramanayya Peta</v>
      </c>
      <c r="D2350" s="91" t="s">
        <v>668</v>
      </c>
      <c r="E2350" s="91" t="s">
        <v>5928</v>
      </c>
      <c r="F2350" s="67" t="s">
        <v>3138</v>
      </c>
      <c r="G2350" s="67"/>
      <c r="H2350" s="93" t="s">
        <v>4</v>
      </c>
      <c r="I2350" s="67"/>
      <c r="J2350" s="92">
        <v>8977409766</v>
      </c>
      <c r="K2350" s="67"/>
      <c r="L2350" s="67"/>
      <c r="M2350" s="67"/>
      <c r="N2350" s="67"/>
      <c r="O2350" s="67"/>
    </row>
    <row r="2351" spans="1:15" ht="16.5">
      <c r="A2351" s="91" t="s">
        <v>8</v>
      </c>
      <c r="B2351" s="98" t="s">
        <v>8</v>
      </c>
      <c r="C2351" s="92" t="s">
        <v>548</v>
      </c>
      <c r="D2351" s="91" t="s">
        <v>548</v>
      </c>
      <c r="E2351" s="91" t="s">
        <v>5929</v>
      </c>
      <c r="F2351" s="91" t="s">
        <v>139</v>
      </c>
      <c r="G2351" s="91" t="s">
        <v>594</v>
      </c>
      <c r="H2351" s="93" t="s">
        <v>5</v>
      </c>
      <c r="I2351" s="67"/>
      <c r="J2351" s="92">
        <v>9494009293</v>
      </c>
      <c r="K2351" s="67"/>
      <c r="L2351" s="67"/>
      <c r="M2351" s="67"/>
      <c r="N2351" s="67"/>
      <c r="O2351" s="67"/>
    </row>
    <row r="2352" spans="1:15" ht="16.5">
      <c r="A2352" s="91" t="s">
        <v>8</v>
      </c>
      <c r="B2352" s="98" t="s">
        <v>8</v>
      </c>
      <c r="C2352" s="92" t="s">
        <v>548</v>
      </c>
      <c r="D2352" s="91" t="s">
        <v>548</v>
      </c>
      <c r="E2352" s="91" t="s">
        <v>5930</v>
      </c>
      <c r="F2352" s="67" t="s">
        <v>3138</v>
      </c>
      <c r="G2352" s="67"/>
      <c r="H2352" s="93" t="s">
        <v>5</v>
      </c>
      <c r="I2352" s="67"/>
      <c r="J2352" s="92">
        <v>9666943057</v>
      </c>
      <c r="K2352" s="67"/>
      <c r="L2352" s="67"/>
      <c r="M2352" s="67"/>
      <c r="N2352" s="67"/>
      <c r="O2352" s="67"/>
    </row>
    <row r="2353" spans="1:15" ht="17.25">
      <c r="A2353" s="91" t="s">
        <v>8</v>
      </c>
      <c r="B2353" s="98" t="s">
        <v>8</v>
      </c>
      <c r="C2353" s="92" t="s">
        <v>548</v>
      </c>
      <c r="D2353" s="91" t="s">
        <v>548</v>
      </c>
      <c r="E2353" s="100" t="s">
        <v>5931</v>
      </c>
      <c r="F2353" s="125" t="s">
        <v>139</v>
      </c>
      <c r="G2353" s="125" t="s">
        <v>594</v>
      </c>
      <c r="H2353" s="93" t="s">
        <v>5</v>
      </c>
      <c r="I2353" s="98" t="s">
        <v>3112</v>
      </c>
      <c r="J2353" s="97">
        <v>9177389900</v>
      </c>
      <c r="K2353" s="99"/>
      <c r="L2353" s="67"/>
      <c r="M2353" s="67"/>
      <c r="N2353" s="67"/>
      <c r="O2353" s="67"/>
    </row>
    <row r="2354" spans="1:15" ht="17.25">
      <c r="A2354" s="91" t="s">
        <v>8</v>
      </c>
      <c r="B2354" s="98" t="s">
        <v>8</v>
      </c>
      <c r="C2354" s="92" t="s">
        <v>548</v>
      </c>
      <c r="D2354" s="91" t="s">
        <v>548</v>
      </c>
      <c r="E2354" s="100" t="s">
        <v>5932</v>
      </c>
      <c r="F2354" s="125" t="s">
        <v>139</v>
      </c>
      <c r="G2354" s="125" t="s">
        <v>594</v>
      </c>
      <c r="H2354" s="95"/>
      <c r="I2354" s="98" t="s">
        <v>3112</v>
      </c>
      <c r="J2354" s="97">
        <v>9182425145</v>
      </c>
      <c r="K2354" s="99"/>
      <c r="L2354" s="67"/>
      <c r="M2354" s="67"/>
      <c r="N2354" s="67"/>
      <c r="O2354" s="67"/>
    </row>
    <row r="2355" spans="1:15" ht="17.25">
      <c r="A2355" s="91" t="s">
        <v>8</v>
      </c>
      <c r="B2355" s="98" t="s">
        <v>8</v>
      </c>
      <c r="C2355" s="92" t="s">
        <v>548</v>
      </c>
      <c r="D2355" s="91" t="s">
        <v>548</v>
      </c>
      <c r="E2355" s="100" t="s">
        <v>5933</v>
      </c>
      <c r="F2355" s="125" t="s">
        <v>165</v>
      </c>
      <c r="G2355" s="125" t="s">
        <v>615</v>
      </c>
      <c r="H2355" s="95"/>
      <c r="I2355" s="98" t="s">
        <v>3112</v>
      </c>
      <c r="J2355" s="97">
        <v>8332878584</v>
      </c>
      <c r="K2355" s="99"/>
      <c r="L2355" s="67"/>
      <c r="M2355" s="67"/>
      <c r="N2355" s="67"/>
      <c r="O2355" s="67"/>
    </row>
    <row r="2356" spans="1:15" ht="16.5">
      <c r="A2356" s="91" t="s">
        <v>8</v>
      </c>
      <c r="B2356" s="98" t="s">
        <v>8</v>
      </c>
      <c r="C2356" s="97" t="s">
        <v>548</v>
      </c>
      <c r="D2356" s="100" t="s">
        <v>548</v>
      </c>
      <c r="E2356" s="100" t="s">
        <v>5934</v>
      </c>
      <c r="F2356" s="99" t="s">
        <v>3138</v>
      </c>
      <c r="G2356" s="99"/>
      <c r="H2356" s="100" t="s">
        <v>4</v>
      </c>
      <c r="I2356" s="99"/>
      <c r="J2356" s="97">
        <v>9493261476</v>
      </c>
      <c r="K2356" s="99"/>
      <c r="L2356" s="67"/>
      <c r="M2356" s="67"/>
      <c r="N2356" s="67"/>
      <c r="O2356" s="67"/>
    </row>
    <row r="2357" spans="1:15" ht="16.5">
      <c r="A2357" s="101" t="s">
        <v>8</v>
      </c>
      <c r="B2357" s="98" t="s">
        <v>8</v>
      </c>
      <c r="C2357" s="102" t="s">
        <v>548</v>
      </c>
      <c r="D2357" s="93" t="s">
        <v>548</v>
      </c>
      <c r="E2357" s="93" t="s">
        <v>5935</v>
      </c>
      <c r="F2357" s="95" t="s">
        <v>3138</v>
      </c>
      <c r="G2357" s="95"/>
      <c r="H2357" s="93" t="s">
        <v>4</v>
      </c>
      <c r="I2357" s="95"/>
      <c r="J2357" s="102">
        <v>9291123999</v>
      </c>
      <c r="K2357" s="95"/>
      <c r="L2357" s="67"/>
      <c r="M2357" s="67"/>
      <c r="N2357" s="67"/>
      <c r="O2357" s="67"/>
    </row>
    <row r="2358" spans="1:15" ht="30.4">
      <c r="A2358" s="103" t="s">
        <v>8</v>
      </c>
      <c r="B2358" s="98" t="s">
        <v>8</v>
      </c>
      <c r="C2358" s="98" t="s">
        <v>548</v>
      </c>
      <c r="D2358" s="100" t="s">
        <v>548</v>
      </c>
      <c r="E2358" s="98" t="s">
        <v>5936</v>
      </c>
      <c r="F2358" s="100" t="s">
        <v>139</v>
      </c>
      <c r="G2358" s="100" t="s">
        <v>594</v>
      </c>
      <c r="H2358" s="100" t="s">
        <v>4</v>
      </c>
      <c r="I2358" s="97" t="s">
        <v>3120</v>
      </c>
      <c r="J2358" s="104">
        <v>9177076218</v>
      </c>
      <c r="K2358" s="99"/>
      <c r="L2358" s="67"/>
      <c r="M2358" s="67"/>
      <c r="N2358" s="67"/>
      <c r="O2358" s="67"/>
    </row>
    <row r="2359" spans="1:15" ht="15">
      <c r="A2359" s="91" t="s">
        <v>8</v>
      </c>
      <c r="B2359" s="91" t="s">
        <v>8</v>
      </c>
      <c r="C2359" s="92" t="str">
        <f ca="1">IFERROR(__xludf.DUMMYFUNCTION("filter('Back End'!C:C,'Back End'!A:A=A2359,'Back End'!B:B=B2359,'Back End'!D:D=D2359)"),"Yeluru")</f>
        <v>Yeluru</v>
      </c>
      <c r="D2359" s="91" t="s">
        <v>583</v>
      </c>
      <c r="E2359" s="91" t="s">
        <v>5937</v>
      </c>
      <c r="F2359" s="91" t="s">
        <v>139</v>
      </c>
      <c r="G2359" s="91" t="s">
        <v>594</v>
      </c>
      <c r="H2359" s="93" t="s">
        <v>5</v>
      </c>
      <c r="I2359" s="67"/>
      <c r="J2359" s="92">
        <v>9553676412</v>
      </c>
      <c r="K2359" s="67"/>
      <c r="L2359" s="67"/>
      <c r="M2359" s="67"/>
      <c r="N2359" s="67"/>
      <c r="O2359" s="67"/>
    </row>
    <row r="2360" spans="1:15" ht="15">
      <c r="A2360" s="91" t="s">
        <v>8</v>
      </c>
      <c r="B2360" s="91" t="s">
        <v>8</v>
      </c>
      <c r="C2360" s="92" t="str">
        <f ca="1">IFERROR(__xludf.DUMMYFUNCTION("filter('Back End'!C:C,'Back End'!A:A=A2360,'Back End'!B:B=B2360,'Back End'!D:D=D2360)"),"Yeluru")</f>
        <v>Yeluru</v>
      </c>
      <c r="D2360" s="91" t="s">
        <v>583</v>
      </c>
      <c r="E2360" s="91" t="s">
        <v>5938</v>
      </c>
      <c r="F2360" s="67" t="s">
        <v>3138</v>
      </c>
      <c r="G2360" s="67"/>
      <c r="H2360" s="93" t="s">
        <v>5</v>
      </c>
      <c r="I2360" s="67"/>
      <c r="J2360" s="92">
        <v>9705957156</v>
      </c>
      <c r="K2360" s="67"/>
      <c r="L2360" s="67"/>
      <c r="M2360" s="67"/>
      <c r="N2360" s="67"/>
      <c r="O2360" s="67"/>
    </row>
    <row r="2361" spans="1:15" ht="15">
      <c r="A2361" s="91" t="s">
        <v>8</v>
      </c>
      <c r="B2361" s="91" t="s">
        <v>8</v>
      </c>
      <c r="C2361" s="92" t="str">
        <f ca="1">IFERROR(__xludf.DUMMYFUNCTION("filter('Back End'!C:C,'Back End'!A:A=A2361,'Back End'!B:B=B2361,'Back End'!D:D=D2361)"),"Yeluru")</f>
        <v>Yeluru</v>
      </c>
      <c r="D2361" s="91" t="s">
        <v>583</v>
      </c>
      <c r="E2361" s="91" t="s">
        <v>5939</v>
      </c>
      <c r="F2361" s="91" t="s">
        <v>595</v>
      </c>
      <c r="G2361" s="91" t="s">
        <v>594</v>
      </c>
      <c r="H2361" s="93" t="s">
        <v>5</v>
      </c>
      <c r="I2361" s="67"/>
      <c r="J2361" s="92">
        <v>9951009939</v>
      </c>
      <c r="K2361" s="67"/>
      <c r="L2361" s="67"/>
      <c r="M2361" s="67"/>
      <c r="N2361" s="67"/>
      <c r="O2361" s="67"/>
    </row>
    <row r="2362" spans="1:15" ht="60">
      <c r="A2362" s="91" t="s">
        <v>8</v>
      </c>
      <c r="B2362" s="91" t="s">
        <v>8</v>
      </c>
      <c r="C2362" s="92" t="str">
        <f ca="1">IFERROR(__xludf.DUMMYFUNCTION("filter('Back End'!C:C,'Back End'!A:A=A2362,'Back End'!B:B=B2362,'Back End'!D:D=D2362)"),"Gajjanapudi")</f>
        <v>Gajjanapudi</v>
      </c>
      <c r="D2362" s="91" t="s">
        <v>552</v>
      </c>
      <c r="E2362" s="91" t="s">
        <v>5940</v>
      </c>
      <c r="F2362" s="91" t="s">
        <v>120</v>
      </c>
      <c r="G2362" s="91" t="s">
        <v>615</v>
      </c>
      <c r="H2362" s="93" t="s">
        <v>5</v>
      </c>
      <c r="I2362" s="92" t="s">
        <v>5941</v>
      </c>
      <c r="J2362" s="92">
        <v>9618388347</v>
      </c>
      <c r="K2362" s="67"/>
      <c r="L2362" s="67"/>
      <c r="M2362" s="67"/>
      <c r="N2362" s="67"/>
      <c r="O2362" s="67"/>
    </row>
    <row r="2363" spans="1:15" ht="15">
      <c r="A2363" s="91" t="s">
        <v>8</v>
      </c>
      <c r="B2363" s="91" t="s">
        <v>8</v>
      </c>
      <c r="C2363" s="92" t="str">
        <f ca="1">IFERROR(__xludf.DUMMYFUNCTION("filter('Back End'!C:C,'Back End'!A:A=A2363,'Back End'!B:B=B2363,'Back End'!D:D=D2363)"),"Gajjanapudi")</f>
        <v>Gajjanapudi</v>
      </c>
      <c r="D2363" s="91" t="s">
        <v>552</v>
      </c>
      <c r="E2363" s="91" t="s">
        <v>5942</v>
      </c>
      <c r="F2363" s="91" t="s">
        <v>165</v>
      </c>
      <c r="G2363" s="91" t="s">
        <v>615</v>
      </c>
      <c r="H2363" s="93" t="s">
        <v>5</v>
      </c>
      <c r="I2363" s="67"/>
      <c r="J2363" s="92">
        <v>9985746372</v>
      </c>
      <c r="K2363" s="67"/>
      <c r="L2363" s="67"/>
      <c r="M2363" s="67"/>
      <c r="N2363" s="67"/>
      <c r="O2363" s="67"/>
    </row>
    <row r="2364" spans="1:15" ht="15">
      <c r="A2364" s="91" t="s">
        <v>8</v>
      </c>
      <c r="B2364" s="91" t="s">
        <v>8</v>
      </c>
      <c r="C2364" s="92" t="str">
        <f ca="1">IFERROR(__xludf.DUMMYFUNCTION("filter('Back End'!C:C,'Back End'!A:A=A2364,'Back End'!B:B=B2364,'Back End'!D:D=D2364)"),"Gajjanapudi")</f>
        <v>Gajjanapudi</v>
      </c>
      <c r="D2364" s="91" t="s">
        <v>552</v>
      </c>
      <c r="E2364" s="91" t="s">
        <v>5943</v>
      </c>
      <c r="F2364" s="91" t="s">
        <v>165</v>
      </c>
      <c r="G2364" s="91" t="s">
        <v>615</v>
      </c>
      <c r="H2364" s="93" t="s">
        <v>5</v>
      </c>
      <c r="I2364" s="92" t="s">
        <v>3115</v>
      </c>
      <c r="J2364" s="92">
        <v>9014143289</v>
      </c>
      <c r="K2364" s="67"/>
      <c r="L2364" s="67"/>
      <c r="M2364" s="67"/>
      <c r="N2364" s="67"/>
      <c r="O2364" s="67"/>
    </row>
    <row r="2365" spans="1:15" ht="30">
      <c r="A2365" s="91" t="s">
        <v>8</v>
      </c>
      <c r="B2365" s="91" t="s">
        <v>8</v>
      </c>
      <c r="C2365" s="92" t="str">
        <f ca="1">IFERROR(__xludf.DUMMYFUNCTION("filter('Back End'!C:C,'Back End'!A:A=A2365,'Back End'!B:B=B2365,'Back End'!D:D=D2365)"),"Gajjanapudi")</f>
        <v>Gajjanapudi</v>
      </c>
      <c r="D2365" s="91" t="s">
        <v>552</v>
      </c>
      <c r="E2365" s="91" t="s">
        <v>5944</v>
      </c>
      <c r="F2365" s="91" t="s">
        <v>165</v>
      </c>
      <c r="G2365" s="91" t="s">
        <v>615</v>
      </c>
      <c r="H2365" s="93" t="s">
        <v>5</v>
      </c>
      <c r="I2365" s="92" t="s">
        <v>3194</v>
      </c>
      <c r="J2365" s="92">
        <v>9392043988</v>
      </c>
      <c r="K2365" s="67"/>
      <c r="L2365" s="67"/>
      <c r="M2365" s="67"/>
      <c r="N2365" s="67"/>
      <c r="O2365" s="67"/>
    </row>
    <row r="2366" spans="1:15" ht="30">
      <c r="A2366" s="91" t="s">
        <v>8</v>
      </c>
      <c r="B2366" s="91" t="s">
        <v>8</v>
      </c>
      <c r="C2366" s="92" t="str">
        <f ca="1">IFERROR(__xludf.DUMMYFUNCTION("filter('Back End'!C:C,'Back End'!A:A=A2366,'Back End'!B:B=B2366,'Back End'!D:D=D2366)"),"Gajjanapudi")</f>
        <v>Gajjanapudi</v>
      </c>
      <c r="D2366" s="91" t="s">
        <v>552</v>
      </c>
      <c r="E2366" s="91" t="s">
        <v>5945</v>
      </c>
      <c r="F2366" s="91" t="s">
        <v>165</v>
      </c>
      <c r="G2366" s="91" t="s">
        <v>615</v>
      </c>
      <c r="H2366" s="93" t="s">
        <v>5</v>
      </c>
      <c r="I2366" s="92" t="s">
        <v>3194</v>
      </c>
      <c r="J2366" s="92">
        <v>7386796579</v>
      </c>
      <c r="K2366" s="67"/>
      <c r="L2366" s="67"/>
      <c r="M2366" s="67"/>
      <c r="N2366" s="67"/>
      <c r="O2366" s="67"/>
    </row>
    <row r="2367" spans="1:15" ht="30">
      <c r="A2367" s="91" t="s">
        <v>8</v>
      </c>
      <c r="B2367" s="91" t="s">
        <v>8</v>
      </c>
      <c r="C2367" s="92" t="str">
        <f ca="1">IFERROR(__xludf.DUMMYFUNCTION("filter('Back End'!C:C,'Back End'!A:A=A2367,'Back End'!B:B=B2367,'Back End'!D:D=D2367)"),"Gajjanapudi")</f>
        <v>Gajjanapudi</v>
      </c>
      <c r="D2367" s="91" t="s">
        <v>552</v>
      </c>
      <c r="E2367" s="91" t="s">
        <v>5946</v>
      </c>
      <c r="F2367" s="91" t="s">
        <v>165</v>
      </c>
      <c r="G2367" s="91" t="s">
        <v>615</v>
      </c>
      <c r="H2367" s="93" t="s">
        <v>5</v>
      </c>
      <c r="I2367" s="92" t="s">
        <v>3194</v>
      </c>
      <c r="J2367" s="92">
        <v>7036289498</v>
      </c>
      <c r="K2367" s="67"/>
      <c r="L2367" s="67"/>
      <c r="M2367" s="67"/>
      <c r="N2367" s="67"/>
      <c r="O2367" s="67"/>
    </row>
    <row r="2368" spans="1:15" ht="30">
      <c r="A2368" s="91" t="s">
        <v>8</v>
      </c>
      <c r="B2368" s="91" t="s">
        <v>8</v>
      </c>
      <c r="C2368" s="92" t="str">
        <f ca="1">IFERROR(__xludf.DUMMYFUNCTION("filter('Back End'!C:C,'Back End'!A:A=A2368,'Back End'!B:B=B2368,'Back End'!D:D=D2368)"),"Gajjanapudi")</f>
        <v>Gajjanapudi</v>
      </c>
      <c r="D2368" s="91" t="s">
        <v>552</v>
      </c>
      <c r="E2368" s="91" t="s">
        <v>5947</v>
      </c>
      <c r="F2368" s="91" t="s">
        <v>467</v>
      </c>
      <c r="G2368" s="91" t="s">
        <v>85</v>
      </c>
      <c r="H2368" s="93" t="s">
        <v>5</v>
      </c>
      <c r="I2368" s="92" t="s">
        <v>3194</v>
      </c>
      <c r="J2368" s="92">
        <v>8985594473</v>
      </c>
      <c r="K2368" s="67"/>
      <c r="L2368" s="67"/>
      <c r="M2368" s="67"/>
      <c r="N2368" s="67"/>
      <c r="O2368" s="67"/>
    </row>
    <row r="2369" spans="1:15" ht="30">
      <c r="A2369" s="91" t="s">
        <v>8</v>
      </c>
      <c r="B2369" s="91" t="s">
        <v>8</v>
      </c>
      <c r="C2369" s="92" t="str">
        <f ca="1">IFERROR(__xludf.DUMMYFUNCTION("filter('Back End'!C:C,'Back End'!A:A=A2369,'Back End'!B:B=B2369,'Back End'!D:D=D2369)"),"Gajjanapudi")</f>
        <v>Gajjanapudi</v>
      </c>
      <c r="D2369" s="91" t="s">
        <v>552</v>
      </c>
      <c r="E2369" s="91" t="s">
        <v>5948</v>
      </c>
      <c r="F2369" s="91" t="s">
        <v>114</v>
      </c>
      <c r="G2369" s="91" t="s">
        <v>85</v>
      </c>
      <c r="H2369" s="93" t="s">
        <v>5</v>
      </c>
      <c r="I2369" s="92" t="s">
        <v>3194</v>
      </c>
      <c r="J2369" s="92">
        <v>9493647364</v>
      </c>
      <c r="K2369" s="67"/>
      <c r="L2369" s="67"/>
      <c r="M2369" s="67"/>
      <c r="N2369" s="67"/>
      <c r="O2369" s="67"/>
    </row>
    <row r="2370" spans="1:15" ht="30">
      <c r="A2370" s="91" t="s">
        <v>8</v>
      </c>
      <c r="B2370" s="91" t="s">
        <v>8</v>
      </c>
      <c r="C2370" s="92" t="str">
        <f ca="1">IFERROR(__xludf.DUMMYFUNCTION("filter('Back End'!C:C,'Back End'!A:A=A2370,'Back End'!B:B=B2370,'Back End'!D:D=D2370)"),"Gajjanapudi")</f>
        <v>Gajjanapudi</v>
      </c>
      <c r="D2370" s="91" t="s">
        <v>552</v>
      </c>
      <c r="E2370" s="91" t="s">
        <v>5949</v>
      </c>
      <c r="F2370" s="91" t="s">
        <v>165</v>
      </c>
      <c r="G2370" s="91" t="s">
        <v>615</v>
      </c>
      <c r="H2370" s="93" t="s">
        <v>5</v>
      </c>
      <c r="I2370" s="92" t="s">
        <v>3194</v>
      </c>
      <c r="J2370" s="92">
        <v>9652321401</v>
      </c>
      <c r="K2370" s="67"/>
      <c r="L2370" s="67"/>
      <c r="M2370" s="67"/>
      <c r="N2370" s="67"/>
      <c r="O2370" s="67"/>
    </row>
    <row r="2371" spans="1:15" ht="30">
      <c r="A2371" s="91" t="s">
        <v>8</v>
      </c>
      <c r="B2371" s="91" t="s">
        <v>8</v>
      </c>
      <c r="C2371" s="92" t="str">
        <f ca="1">IFERROR(__xludf.DUMMYFUNCTION("filter('Back End'!C:C,'Back End'!A:A=A2371,'Back End'!B:B=B2371,'Back End'!D:D=D2371)"),"Gajjanapudi")</f>
        <v>Gajjanapudi</v>
      </c>
      <c r="D2371" s="91" t="s">
        <v>552</v>
      </c>
      <c r="E2371" s="91" t="s">
        <v>5950</v>
      </c>
      <c r="F2371" s="91" t="s">
        <v>114</v>
      </c>
      <c r="G2371" s="91" t="s">
        <v>85</v>
      </c>
      <c r="H2371" s="93" t="s">
        <v>5</v>
      </c>
      <c r="I2371" s="92" t="s">
        <v>3194</v>
      </c>
      <c r="J2371" s="92">
        <v>8331901338</v>
      </c>
      <c r="K2371" s="67"/>
      <c r="L2371" s="67"/>
      <c r="M2371" s="67"/>
      <c r="N2371" s="67"/>
      <c r="O2371" s="67"/>
    </row>
    <row r="2372" spans="1:15" ht="30">
      <c r="A2372" s="91" t="s">
        <v>8</v>
      </c>
      <c r="B2372" s="91" t="s">
        <v>8</v>
      </c>
      <c r="C2372" s="92" t="str">
        <f ca="1">IFERROR(__xludf.DUMMYFUNCTION("filter('Back End'!C:C,'Back End'!A:A=A2372,'Back End'!B:B=B2372,'Back End'!D:D=D2372)"),"Gajjanapudi")</f>
        <v>Gajjanapudi</v>
      </c>
      <c r="D2372" s="91" t="s">
        <v>552</v>
      </c>
      <c r="E2372" s="91" t="s">
        <v>5951</v>
      </c>
      <c r="F2372" s="91" t="s">
        <v>114</v>
      </c>
      <c r="G2372" s="91" t="s">
        <v>85</v>
      </c>
      <c r="H2372" s="93" t="s">
        <v>5</v>
      </c>
      <c r="I2372" s="92" t="s">
        <v>3194</v>
      </c>
      <c r="J2372" s="92">
        <v>7337047899</v>
      </c>
      <c r="K2372" s="67"/>
      <c r="L2372" s="67"/>
      <c r="M2372" s="67"/>
      <c r="N2372" s="67"/>
      <c r="O2372" s="67"/>
    </row>
    <row r="2373" spans="1:15" ht="30">
      <c r="A2373" s="91" t="s">
        <v>8</v>
      </c>
      <c r="B2373" s="91" t="s">
        <v>8</v>
      </c>
      <c r="C2373" s="92" t="str">
        <f ca="1">IFERROR(__xludf.DUMMYFUNCTION("filter('Back End'!C:C,'Back End'!A:A=A2373,'Back End'!B:B=B2373,'Back End'!D:D=D2373)"),"Gajjanapudi")</f>
        <v>Gajjanapudi</v>
      </c>
      <c r="D2373" s="91" t="s">
        <v>552</v>
      </c>
      <c r="E2373" s="91" t="s">
        <v>5952</v>
      </c>
      <c r="F2373" s="91" t="s">
        <v>165</v>
      </c>
      <c r="G2373" s="91" t="s">
        <v>615</v>
      </c>
      <c r="H2373" s="93" t="s">
        <v>5</v>
      </c>
      <c r="I2373" s="92" t="s">
        <v>3194</v>
      </c>
      <c r="J2373" s="92">
        <v>8187018060</v>
      </c>
      <c r="K2373" s="67"/>
      <c r="L2373" s="67"/>
      <c r="M2373" s="67"/>
      <c r="N2373" s="67"/>
      <c r="O2373" s="67"/>
    </row>
    <row r="2374" spans="1:15" ht="30">
      <c r="A2374" s="91" t="s">
        <v>8</v>
      </c>
      <c r="B2374" s="91" t="s">
        <v>8</v>
      </c>
      <c r="C2374" s="92" t="str">
        <f ca="1">IFERROR(__xludf.DUMMYFUNCTION("filter('Back End'!C:C,'Back End'!A:A=A2374,'Back End'!B:B=B2374,'Back End'!D:D=D2374)"),"Gajjanapudi")</f>
        <v>Gajjanapudi</v>
      </c>
      <c r="D2374" s="91" t="s">
        <v>552</v>
      </c>
      <c r="E2374" s="91" t="s">
        <v>5953</v>
      </c>
      <c r="F2374" s="91" t="s">
        <v>1642</v>
      </c>
      <c r="G2374" s="91" t="s">
        <v>615</v>
      </c>
      <c r="H2374" s="93" t="s">
        <v>5</v>
      </c>
      <c r="I2374" s="92" t="s">
        <v>3194</v>
      </c>
      <c r="J2374" s="92">
        <v>9550222005</v>
      </c>
      <c r="K2374" s="67"/>
      <c r="L2374" s="67"/>
      <c r="M2374" s="67"/>
      <c r="N2374" s="67"/>
      <c r="O2374" s="67"/>
    </row>
    <row r="2375" spans="1:15" ht="30">
      <c r="A2375" s="91" t="s">
        <v>8</v>
      </c>
      <c r="B2375" s="91" t="s">
        <v>8</v>
      </c>
      <c r="C2375" s="92" t="str">
        <f ca="1">IFERROR(__xludf.DUMMYFUNCTION("filter('Back End'!C:C,'Back End'!A:A=A2375,'Back End'!B:B=B2375,'Back End'!D:D=D2375)"),"Gajjanapudi")</f>
        <v>Gajjanapudi</v>
      </c>
      <c r="D2375" s="91" t="s">
        <v>552</v>
      </c>
      <c r="E2375" s="91" t="s">
        <v>5954</v>
      </c>
      <c r="F2375" s="91" t="s">
        <v>1668</v>
      </c>
      <c r="G2375" s="91" t="s">
        <v>615</v>
      </c>
      <c r="H2375" s="93" t="s">
        <v>5</v>
      </c>
      <c r="I2375" s="92" t="s">
        <v>3194</v>
      </c>
      <c r="J2375" s="92">
        <v>9948344169</v>
      </c>
      <c r="K2375" s="67"/>
      <c r="L2375" s="67"/>
      <c r="M2375" s="67"/>
      <c r="N2375" s="67"/>
      <c r="O2375" s="67"/>
    </row>
    <row r="2376" spans="1:15" ht="30">
      <c r="A2376" s="91" t="s">
        <v>8</v>
      </c>
      <c r="B2376" s="91" t="s">
        <v>8</v>
      </c>
      <c r="C2376" s="92" t="str">
        <f ca="1">IFERROR(__xludf.DUMMYFUNCTION("filter('Back End'!C:C,'Back End'!A:A=A2376,'Back End'!B:B=B2376,'Back End'!D:D=D2376)"),"Gajjanapudi")</f>
        <v>Gajjanapudi</v>
      </c>
      <c r="D2376" s="91" t="s">
        <v>552</v>
      </c>
      <c r="E2376" s="91" t="s">
        <v>5955</v>
      </c>
      <c r="F2376" s="91" t="s">
        <v>139</v>
      </c>
      <c r="G2376" s="91" t="s">
        <v>594</v>
      </c>
      <c r="H2376" s="93" t="s">
        <v>5</v>
      </c>
      <c r="I2376" s="92" t="s">
        <v>3194</v>
      </c>
      <c r="J2376" s="92">
        <v>9966716507</v>
      </c>
      <c r="K2376" s="67"/>
      <c r="L2376" s="67"/>
      <c r="M2376" s="67"/>
      <c r="N2376" s="67"/>
      <c r="O2376" s="67"/>
    </row>
    <row r="2377" spans="1:15" ht="30">
      <c r="A2377" s="91" t="s">
        <v>8</v>
      </c>
      <c r="B2377" s="91" t="s">
        <v>8</v>
      </c>
      <c r="C2377" s="92" t="str">
        <f ca="1">IFERROR(__xludf.DUMMYFUNCTION("filter('Back End'!C:C,'Back End'!A:A=A2377,'Back End'!B:B=B2377,'Back End'!D:D=D2377)"),"Gajjanapudi")</f>
        <v>Gajjanapudi</v>
      </c>
      <c r="D2377" s="91" t="s">
        <v>552</v>
      </c>
      <c r="E2377" s="91" t="s">
        <v>5956</v>
      </c>
      <c r="F2377" s="91" t="s">
        <v>165</v>
      </c>
      <c r="G2377" s="91" t="s">
        <v>615</v>
      </c>
      <c r="H2377" s="93" t="s">
        <v>5</v>
      </c>
      <c r="I2377" s="92" t="s">
        <v>5957</v>
      </c>
      <c r="J2377" s="92">
        <v>9553587335</v>
      </c>
      <c r="K2377" s="67"/>
      <c r="L2377" s="67"/>
      <c r="M2377" s="67"/>
      <c r="N2377" s="67"/>
      <c r="O2377" s="67"/>
    </row>
    <row r="2378" spans="1:15" ht="30">
      <c r="A2378" s="91" t="s">
        <v>8</v>
      </c>
      <c r="B2378" s="91" t="s">
        <v>8</v>
      </c>
      <c r="C2378" s="92" t="str">
        <f ca="1">IFERROR(__xludf.DUMMYFUNCTION("filter('Back End'!C:C,'Back End'!A:A=A2378,'Back End'!B:B=B2378,'Back End'!D:D=D2378)"),"Gajjanapudi")</f>
        <v>Gajjanapudi</v>
      </c>
      <c r="D2378" s="91" t="s">
        <v>552</v>
      </c>
      <c r="E2378" s="91" t="s">
        <v>5958</v>
      </c>
      <c r="F2378" s="91" t="s">
        <v>114</v>
      </c>
      <c r="G2378" s="91" t="s">
        <v>85</v>
      </c>
      <c r="H2378" s="93" t="s">
        <v>5</v>
      </c>
      <c r="I2378" s="92" t="s">
        <v>3463</v>
      </c>
      <c r="J2378" s="92">
        <v>6303537552</v>
      </c>
      <c r="K2378" s="67"/>
      <c r="L2378" s="67"/>
      <c r="M2378" s="67"/>
      <c r="N2378" s="67"/>
      <c r="O2378" s="67"/>
    </row>
    <row r="2379" spans="1:15" ht="30">
      <c r="A2379" s="91" t="s">
        <v>8</v>
      </c>
      <c r="B2379" s="91" t="s">
        <v>8</v>
      </c>
      <c r="C2379" s="92" t="str">
        <f ca="1">IFERROR(__xludf.DUMMYFUNCTION("filter('Back End'!C:C,'Back End'!A:A=A2379,'Back End'!B:B=B2379,'Back End'!D:D=D2379)"),"Gajjanapudi")</f>
        <v>Gajjanapudi</v>
      </c>
      <c r="D2379" s="91" t="s">
        <v>552</v>
      </c>
      <c r="E2379" s="91" t="s">
        <v>5959</v>
      </c>
      <c r="F2379" s="91" t="s">
        <v>114</v>
      </c>
      <c r="G2379" s="91" t="s">
        <v>85</v>
      </c>
      <c r="H2379" s="93" t="s">
        <v>5</v>
      </c>
      <c r="I2379" s="92" t="s">
        <v>3495</v>
      </c>
      <c r="J2379" s="92">
        <v>8331901338</v>
      </c>
      <c r="K2379" s="67"/>
      <c r="L2379" s="67"/>
      <c r="M2379" s="67"/>
      <c r="N2379" s="67"/>
      <c r="O2379" s="67"/>
    </row>
    <row r="2380" spans="1:15" ht="30">
      <c r="A2380" s="91" t="s">
        <v>8</v>
      </c>
      <c r="B2380" s="91" t="s">
        <v>8</v>
      </c>
      <c r="C2380" s="92" t="str">
        <f ca="1">IFERROR(__xludf.DUMMYFUNCTION("filter('Back End'!C:C,'Back End'!A:A=A2380,'Back End'!B:B=B2380,'Back End'!D:D=D2380)"),"Gajjanapudi")</f>
        <v>Gajjanapudi</v>
      </c>
      <c r="D2380" s="91" t="s">
        <v>552</v>
      </c>
      <c r="E2380" s="91" t="s">
        <v>5960</v>
      </c>
      <c r="F2380" s="91" t="s">
        <v>165</v>
      </c>
      <c r="G2380" s="91" t="s">
        <v>615</v>
      </c>
      <c r="H2380" s="93" t="s">
        <v>5</v>
      </c>
      <c r="I2380" s="92" t="s">
        <v>3495</v>
      </c>
      <c r="J2380" s="92">
        <v>6303744845</v>
      </c>
      <c r="K2380" s="67"/>
      <c r="L2380" s="67"/>
      <c r="M2380" s="67"/>
      <c r="N2380" s="67"/>
      <c r="O2380" s="67"/>
    </row>
    <row r="2381" spans="1:15" ht="30">
      <c r="A2381" s="91" t="s">
        <v>8</v>
      </c>
      <c r="B2381" s="91" t="s">
        <v>8</v>
      </c>
      <c r="C2381" s="92" t="str">
        <f ca="1">IFERROR(__xludf.DUMMYFUNCTION("filter('Back End'!C:C,'Back End'!A:A=A2381,'Back End'!B:B=B2381,'Back End'!D:D=D2381)"),"Gajjanapudi")</f>
        <v>Gajjanapudi</v>
      </c>
      <c r="D2381" s="91" t="s">
        <v>552</v>
      </c>
      <c r="E2381" s="91" t="s">
        <v>5961</v>
      </c>
      <c r="F2381" s="91" t="s">
        <v>165</v>
      </c>
      <c r="G2381" s="91" t="s">
        <v>615</v>
      </c>
      <c r="H2381" s="93" t="s">
        <v>5</v>
      </c>
      <c r="I2381" s="92" t="s">
        <v>3495</v>
      </c>
      <c r="J2381" s="92">
        <v>9642971278</v>
      </c>
      <c r="K2381" s="67"/>
      <c r="L2381" s="67"/>
      <c r="M2381" s="67"/>
      <c r="N2381" s="67"/>
      <c r="O2381" s="67"/>
    </row>
    <row r="2382" spans="1:15" ht="30">
      <c r="A2382" s="91" t="s">
        <v>8</v>
      </c>
      <c r="B2382" s="91" t="s">
        <v>8</v>
      </c>
      <c r="C2382" s="92" t="str">
        <f ca="1">IFERROR(__xludf.DUMMYFUNCTION("filter('Back End'!C:C,'Back End'!A:A=A2382,'Back End'!B:B=B2382,'Back End'!D:D=D2382)"),"Gajjanapudi")</f>
        <v>Gajjanapudi</v>
      </c>
      <c r="D2382" s="91" t="s">
        <v>552</v>
      </c>
      <c r="E2382" s="91" t="s">
        <v>5962</v>
      </c>
      <c r="F2382" s="91" t="s">
        <v>165</v>
      </c>
      <c r="G2382" s="91" t="s">
        <v>615</v>
      </c>
      <c r="H2382" s="93" t="s">
        <v>4</v>
      </c>
      <c r="I2382" s="92" t="s">
        <v>3495</v>
      </c>
      <c r="J2382" s="92">
        <v>9492156240</v>
      </c>
      <c r="K2382" s="67"/>
      <c r="L2382" s="67"/>
      <c r="M2382" s="67"/>
      <c r="N2382" s="67"/>
      <c r="O2382" s="67"/>
    </row>
    <row r="2383" spans="1:15" ht="30">
      <c r="A2383" s="91" t="s">
        <v>8</v>
      </c>
      <c r="B2383" s="91" t="s">
        <v>8</v>
      </c>
      <c r="C2383" s="92" t="str">
        <f ca="1">IFERROR(__xludf.DUMMYFUNCTION("filter('Back End'!C:C,'Back End'!A:A=A2383,'Back End'!B:B=B2383,'Back End'!D:D=D2383)"),"Gajjanapudi")</f>
        <v>Gajjanapudi</v>
      </c>
      <c r="D2383" s="91" t="s">
        <v>552</v>
      </c>
      <c r="E2383" s="91" t="s">
        <v>5963</v>
      </c>
      <c r="F2383" s="91" t="s">
        <v>165</v>
      </c>
      <c r="G2383" s="91" t="s">
        <v>615</v>
      </c>
      <c r="H2383" s="93" t="s">
        <v>4</v>
      </c>
      <c r="I2383" s="92" t="s">
        <v>3495</v>
      </c>
      <c r="J2383" s="92">
        <v>8096762981</v>
      </c>
      <c r="K2383" s="67"/>
      <c r="L2383" s="67"/>
      <c r="M2383" s="67"/>
      <c r="N2383" s="67"/>
      <c r="O2383" s="67"/>
    </row>
    <row r="2384" spans="1:15" ht="30">
      <c r="A2384" s="91" t="s">
        <v>8</v>
      </c>
      <c r="B2384" s="91" t="s">
        <v>8</v>
      </c>
      <c r="C2384" s="92" t="str">
        <f ca="1">IFERROR(__xludf.DUMMYFUNCTION("filter('Back End'!C:C,'Back End'!A:A=A2384,'Back End'!B:B=B2384,'Back End'!D:D=D2384)"),"Gajjanapudi")</f>
        <v>Gajjanapudi</v>
      </c>
      <c r="D2384" s="91" t="s">
        <v>552</v>
      </c>
      <c r="E2384" s="91" t="s">
        <v>5964</v>
      </c>
      <c r="F2384" s="91" t="s">
        <v>114</v>
      </c>
      <c r="G2384" s="91" t="s">
        <v>85</v>
      </c>
      <c r="H2384" s="93" t="s">
        <v>4</v>
      </c>
      <c r="I2384" s="92" t="s">
        <v>3495</v>
      </c>
      <c r="J2384" s="92">
        <v>9553404768</v>
      </c>
      <c r="K2384" s="67"/>
      <c r="L2384" s="67"/>
      <c r="M2384" s="67"/>
      <c r="N2384" s="67"/>
      <c r="O2384" s="67"/>
    </row>
    <row r="2385" spans="1:15" ht="30">
      <c r="A2385" s="91" t="s">
        <v>8</v>
      </c>
      <c r="B2385" s="91" t="s">
        <v>8</v>
      </c>
      <c r="C2385" s="92" t="str">
        <f ca="1">IFERROR(__xludf.DUMMYFUNCTION("filter('Back End'!C:C,'Back End'!A:A=A2385,'Back End'!B:B=B2385,'Back End'!D:D=D2385)"),"Gajjanapudi")</f>
        <v>Gajjanapudi</v>
      </c>
      <c r="D2385" s="91" t="s">
        <v>552</v>
      </c>
      <c r="E2385" s="91" t="s">
        <v>5965</v>
      </c>
      <c r="F2385" s="91" t="s">
        <v>94</v>
      </c>
      <c r="G2385" s="91" t="s">
        <v>615</v>
      </c>
      <c r="H2385" s="93" t="s">
        <v>4</v>
      </c>
      <c r="I2385" s="92" t="s">
        <v>3495</v>
      </c>
      <c r="J2385" s="92">
        <v>9133523680</v>
      </c>
      <c r="K2385" s="91" t="s">
        <v>5966</v>
      </c>
      <c r="L2385" s="67"/>
      <c r="M2385" s="67"/>
      <c r="N2385" s="67"/>
      <c r="O2385" s="67"/>
    </row>
    <row r="2386" spans="1:15" ht="30">
      <c r="A2386" s="91" t="s">
        <v>8</v>
      </c>
      <c r="B2386" s="91" t="s">
        <v>8</v>
      </c>
      <c r="C2386" s="92" t="str">
        <f ca="1">IFERROR(__xludf.DUMMYFUNCTION("filter('Back End'!C:C,'Back End'!A:A=A2386,'Back End'!B:B=B2386,'Back End'!D:D=D2386)"),"Gajjanapudi")</f>
        <v>Gajjanapudi</v>
      </c>
      <c r="D2386" s="91" t="s">
        <v>552</v>
      </c>
      <c r="E2386" s="91" t="s">
        <v>5967</v>
      </c>
      <c r="F2386" s="91" t="s">
        <v>165</v>
      </c>
      <c r="G2386" s="91" t="s">
        <v>615</v>
      </c>
      <c r="H2386" s="93" t="s">
        <v>92</v>
      </c>
      <c r="I2386" s="92" t="s">
        <v>3495</v>
      </c>
      <c r="J2386" s="92">
        <v>8121214306</v>
      </c>
      <c r="K2386" s="91" t="s">
        <v>5968</v>
      </c>
      <c r="L2386" s="67"/>
      <c r="M2386" s="67"/>
      <c r="N2386" s="67"/>
      <c r="O2386" s="67"/>
    </row>
    <row r="2387" spans="1:15" ht="30">
      <c r="A2387" s="91" t="s">
        <v>8</v>
      </c>
      <c r="B2387" s="91" t="s">
        <v>8</v>
      </c>
      <c r="C2387" s="92" t="str">
        <f ca="1">IFERROR(__xludf.DUMMYFUNCTION("filter('Back End'!C:C,'Back End'!A:A=A2387,'Back End'!B:B=B2387,'Back End'!D:D=D2387)"),"Gajjanapudi")</f>
        <v>Gajjanapudi</v>
      </c>
      <c r="D2387" s="91" t="s">
        <v>552</v>
      </c>
      <c r="E2387" s="91" t="s">
        <v>5969</v>
      </c>
      <c r="F2387" s="91" t="s">
        <v>165</v>
      </c>
      <c r="G2387" s="91" t="s">
        <v>615</v>
      </c>
      <c r="H2387" s="93" t="s">
        <v>92</v>
      </c>
      <c r="I2387" s="92" t="s">
        <v>3495</v>
      </c>
      <c r="J2387" s="92">
        <v>9494045512</v>
      </c>
      <c r="K2387" s="91" t="s">
        <v>5968</v>
      </c>
      <c r="L2387" s="67"/>
      <c r="M2387" s="67"/>
      <c r="N2387" s="67"/>
      <c r="O2387" s="67"/>
    </row>
    <row r="2388" spans="1:15" ht="30">
      <c r="A2388" s="91" t="s">
        <v>8</v>
      </c>
      <c r="B2388" s="91" t="s">
        <v>8</v>
      </c>
      <c r="C2388" s="92" t="str">
        <f ca="1">IFERROR(__xludf.DUMMYFUNCTION("filter('Back End'!C:C,'Back End'!A:A=A2388,'Back End'!B:B=B2388,'Back End'!D:D=D2388)"),"Gajjanapudi")</f>
        <v>Gajjanapudi</v>
      </c>
      <c r="D2388" s="91" t="s">
        <v>552</v>
      </c>
      <c r="E2388" s="91" t="s">
        <v>5970</v>
      </c>
      <c r="F2388" s="91" t="s">
        <v>94</v>
      </c>
      <c r="G2388" s="91" t="s">
        <v>615</v>
      </c>
      <c r="H2388" s="93" t="s">
        <v>92</v>
      </c>
      <c r="I2388" s="92" t="s">
        <v>3495</v>
      </c>
      <c r="J2388" s="92">
        <v>9550518122</v>
      </c>
      <c r="K2388" s="91" t="s">
        <v>5968</v>
      </c>
      <c r="L2388" s="67"/>
      <c r="M2388" s="67"/>
      <c r="N2388" s="67"/>
      <c r="O2388" s="67"/>
    </row>
    <row r="2389" spans="1:15" ht="15">
      <c r="A2389" s="91" t="s">
        <v>8</v>
      </c>
      <c r="B2389" s="91" t="s">
        <v>8</v>
      </c>
      <c r="C2389" s="92" t="str">
        <f ca="1">IFERROR(__xludf.DUMMYFUNCTION("filter('Back End'!C:C,'Back End'!A:A=A2389,'Back End'!B:B=B2389,'Back End'!D:D=D2389)"),"Lampakalova")</f>
        <v>Lampakalova</v>
      </c>
      <c r="D2389" s="91" t="s">
        <v>557</v>
      </c>
      <c r="E2389" s="91" t="s">
        <v>5971</v>
      </c>
      <c r="F2389" s="67" t="s">
        <v>3138</v>
      </c>
      <c r="G2389" s="67"/>
      <c r="H2389" s="93" t="s">
        <v>5</v>
      </c>
      <c r="I2389" s="67"/>
      <c r="J2389" s="92">
        <v>9701209833</v>
      </c>
      <c r="K2389" s="67"/>
      <c r="L2389" s="67"/>
      <c r="M2389" s="67"/>
      <c r="N2389" s="67"/>
      <c r="O2389" s="67"/>
    </row>
    <row r="2390" spans="1:15" ht="15">
      <c r="A2390" s="91" t="s">
        <v>8</v>
      </c>
      <c r="B2390" s="91" t="s">
        <v>8</v>
      </c>
      <c r="C2390" s="92" t="str">
        <f ca="1">IFERROR(__xludf.DUMMYFUNCTION("filter('Back End'!C:C,'Back End'!A:A=A2390,'Back End'!B:B=B2390,'Back End'!D:D=D2390)"),"Lampakalova")</f>
        <v>Lampakalova</v>
      </c>
      <c r="D2390" s="91" t="s">
        <v>557</v>
      </c>
      <c r="E2390" s="91" t="s">
        <v>5972</v>
      </c>
      <c r="F2390" s="67" t="s">
        <v>3138</v>
      </c>
      <c r="G2390" s="67"/>
      <c r="H2390" s="93" t="s">
        <v>5</v>
      </c>
      <c r="I2390" s="67"/>
      <c r="J2390" s="92">
        <v>8106994555</v>
      </c>
      <c r="K2390" s="67"/>
      <c r="L2390" s="67"/>
      <c r="M2390" s="67"/>
      <c r="N2390" s="67"/>
      <c r="O2390" s="67"/>
    </row>
    <row r="2391" spans="1:15" ht="15">
      <c r="A2391" s="91" t="s">
        <v>8</v>
      </c>
      <c r="B2391" s="91" t="s">
        <v>8</v>
      </c>
      <c r="C2391" s="92" t="str">
        <f ca="1">IFERROR(__xludf.DUMMYFUNCTION("filter('Back End'!C:C,'Back End'!A:A=A2391,'Back End'!B:B=B2391,'Back End'!D:D=D2391)"),"Lampakalova")</f>
        <v>Lampakalova</v>
      </c>
      <c r="D2391" s="91" t="s">
        <v>557</v>
      </c>
      <c r="E2391" s="91" t="s">
        <v>5973</v>
      </c>
      <c r="F2391" s="67" t="s">
        <v>3138</v>
      </c>
      <c r="G2391" s="67"/>
      <c r="H2391" s="93" t="s">
        <v>5</v>
      </c>
      <c r="I2391" s="67"/>
      <c r="J2391" s="92">
        <v>8347038933</v>
      </c>
      <c r="K2391" s="67"/>
      <c r="L2391" s="67"/>
      <c r="M2391" s="67"/>
      <c r="N2391" s="67"/>
      <c r="O2391" s="67"/>
    </row>
    <row r="2392" spans="1:15" ht="15">
      <c r="A2392" s="91" t="s">
        <v>8</v>
      </c>
      <c r="B2392" s="91" t="s">
        <v>8</v>
      </c>
      <c r="C2392" s="92" t="str">
        <f ca="1">IFERROR(__xludf.DUMMYFUNCTION("filter('Back End'!C:C,'Back End'!A:A=A2392,'Back End'!B:B=B2392,'Back End'!D:D=D2392)"),"Vommangi")</f>
        <v>Vommangi</v>
      </c>
      <c r="D2392" s="91" t="s">
        <v>581</v>
      </c>
      <c r="E2392" s="91" t="s">
        <v>5974</v>
      </c>
      <c r="F2392" s="91" t="s">
        <v>114</v>
      </c>
      <c r="G2392" s="91" t="s">
        <v>85</v>
      </c>
      <c r="H2392" s="93" t="s">
        <v>5</v>
      </c>
      <c r="I2392" s="67"/>
      <c r="J2392" s="92">
        <v>9849119326</v>
      </c>
      <c r="K2392" s="67"/>
      <c r="L2392" s="67"/>
      <c r="M2392" s="67"/>
      <c r="N2392" s="67"/>
      <c r="O2392" s="67"/>
    </row>
    <row r="2393" spans="1:15" ht="15">
      <c r="A2393" s="91" t="s">
        <v>8</v>
      </c>
      <c r="B2393" s="91" t="s">
        <v>8</v>
      </c>
      <c r="C2393" s="92" t="str">
        <f ca="1">IFERROR(__xludf.DUMMYFUNCTION("filter('Back End'!C:C,'Back End'!A:A=A2393,'Back End'!B:B=B2393,'Back End'!D:D=D2393)"),"Vommangi")</f>
        <v>Vommangi</v>
      </c>
      <c r="D2393" s="91" t="s">
        <v>581</v>
      </c>
      <c r="E2393" s="91" t="s">
        <v>5975</v>
      </c>
      <c r="F2393" s="91" t="s">
        <v>139</v>
      </c>
      <c r="G2393" s="91" t="s">
        <v>594</v>
      </c>
      <c r="H2393" s="93" t="s">
        <v>5</v>
      </c>
      <c r="I2393" s="67"/>
      <c r="J2393" s="92">
        <v>9502105688</v>
      </c>
      <c r="K2393" s="67"/>
      <c r="L2393" s="67"/>
      <c r="M2393" s="67"/>
      <c r="N2393" s="67"/>
      <c r="O2393" s="67"/>
    </row>
    <row r="2394" spans="1:15" ht="15">
      <c r="A2394" s="91" t="s">
        <v>8</v>
      </c>
      <c r="B2394" s="91" t="s">
        <v>8</v>
      </c>
      <c r="C2394" s="92" t="str">
        <f ca="1">IFERROR(__xludf.DUMMYFUNCTION("filter('Back End'!C:C,'Back End'!A:A=A2394,'Back End'!B:B=B2394,'Back End'!D:D=D2394)"),"Vommangi")</f>
        <v>Vommangi</v>
      </c>
      <c r="D2394" s="91" t="s">
        <v>581</v>
      </c>
      <c r="E2394" s="91" t="s">
        <v>5976</v>
      </c>
      <c r="F2394" s="91" t="s">
        <v>139</v>
      </c>
      <c r="G2394" s="91" t="s">
        <v>594</v>
      </c>
      <c r="H2394" s="93" t="s">
        <v>5</v>
      </c>
      <c r="I2394" s="67"/>
      <c r="J2394" s="92">
        <v>9573342797</v>
      </c>
      <c r="K2394" s="67"/>
      <c r="L2394" s="67"/>
      <c r="M2394" s="67"/>
      <c r="N2394" s="67"/>
      <c r="O2394" s="67"/>
    </row>
    <row r="2395" spans="1:15" ht="15">
      <c r="A2395" s="91" t="s">
        <v>8</v>
      </c>
      <c r="B2395" s="91" t="s">
        <v>8</v>
      </c>
      <c r="C2395" s="92" t="str">
        <f ca="1">IFERROR(__xludf.DUMMYFUNCTION("filter('Back End'!C:C,'Back End'!A:A=A2395,'Back End'!B:B=B2395,'Back End'!D:D=D2395)"),"Vommangi")</f>
        <v>Vommangi</v>
      </c>
      <c r="D2395" s="91" t="s">
        <v>581</v>
      </c>
      <c r="E2395" s="91" t="s">
        <v>5977</v>
      </c>
      <c r="F2395" s="67" t="s">
        <v>3138</v>
      </c>
      <c r="G2395" s="67"/>
      <c r="H2395" s="93" t="s">
        <v>5</v>
      </c>
      <c r="I2395" s="67"/>
      <c r="J2395" s="92">
        <v>9493859079</v>
      </c>
      <c r="K2395" s="67"/>
      <c r="L2395" s="67"/>
      <c r="M2395" s="67"/>
      <c r="N2395" s="67"/>
      <c r="O2395" s="67"/>
    </row>
    <row r="2396" spans="1:15" ht="15">
      <c r="A2396" s="91" t="s">
        <v>8</v>
      </c>
      <c r="B2396" s="91" t="s">
        <v>8</v>
      </c>
      <c r="C2396" s="92" t="str">
        <f ca="1">IFERROR(__xludf.DUMMYFUNCTION("filter('Back End'!C:C,'Back End'!A:A=A2396,'Back End'!B:B=B2396,'Back End'!D:D=D2396)"),"Vommangi")</f>
        <v>Vommangi</v>
      </c>
      <c r="D2396" s="91" t="s">
        <v>581</v>
      </c>
      <c r="E2396" s="91" t="s">
        <v>5978</v>
      </c>
      <c r="F2396" s="67" t="s">
        <v>3138</v>
      </c>
      <c r="G2396" s="67"/>
      <c r="H2396" s="93" t="s">
        <v>5</v>
      </c>
      <c r="I2396" s="67"/>
      <c r="J2396" s="92">
        <v>9963627456</v>
      </c>
      <c r="K2396" s="67"/>
      <c r="L2396" s="67"/>
      <c r="M2396" s="67"/>
      <c r="N2396" s="67"/>
      <c r="O2396" s="67"/>
    </row>
    <row r="2397" spans="1:15" ht="15">
      <c r="A2397" s="91" t="s">
        <v>8</v>
      </c>
      <c r="B2397" s="91" t="s">
        <v>8</v>
      </c>
      <c r="C2397" s="92" t="str">
        <f ca="1">IFERROR(__xludf.DUMMYFUNCTION("filter('Back End'!C:C,'Back End'!A:A=A2397,'Back End'!B:B=B2397,'Back End'!D:D=D2397)"),"Vommangi")</f>
        <v>Vommangi</v>
      </c>
      <c r="D2397" s="91" t="s">
        <v>581</v>
      </c>
      <c r="E2397" s="91" t="s">
        <v>5979</v>
      </c>
      <c r="F2397" s="67" t="s">
        <v>3138</v>
      </c>
      <c r="G2397" s="67"/>
      <c r="H2397" s="93" t="s">
        <v>5</v>
      </c>
      <c r="I2397" s="67"/>
      <c r="J2397" s="92">
        <v>9603997381</v>
      </c>
      <c r="K2397" s="67"/>
      <c r="L2397" s="67"/>
      <c r="M2397" s="67"/>
      <c r="N2397" s="67"/>
      <c r="O2397" s="67"/>
    </row>
    <row r="2398" spans="1:15" ht="15">
      <c r="A2398" s="91" t="s">
        <v>8</v>
      </c>
      <c r="B2398" s="91" t="s">
        <v>8</v>
      </c>
      <c r="C2398" s="92" t="str">
        <f ca="1">IFERROR(__xludf.DUMMYFUNCTION("filter('Back End'!C:C,'Back End'!A:A=A2398,'Back End'!B:B=B2398,'Back End'!D:D=D2398)"),"Vommangi")</f>
        <v>Vommangi</v>
      </c>
      <c r="D2398" s="91" t="s">
        <v>581</v>
      </c>
      <c r="E2398" s="91" t="s">
        <v>5980</v>
      </c>
      <c r="F2398" s="91" t="s">
        <v>139</v>
      </c>
      <c r="G2398" s="91" t="s">
        <v>594</v>
      </c>
      <c r="H2398" s="93" t="s">
        <v>5</v>
      </c>
      <c r="I2398" s="67"/>
      <c r="J2398" s="92">
        <v>9849922201</v>
      </c>
      <c r="K2398" s="67"/>
      <c r="L2398" s="67"/>
      <c r="M2398" s="67"/>
      <c r="N2398" s="67"/>
      <c r="O2398" s="67"/>
    </row>
    <row r="2399" spans="1:15" ht="15">
      <c r="A2399" s="91" t="s">
        <v>8</v>
      </c>
      <c r="B2399" s="91" t="s">
        <v>8</v>
      </c>
      <c r="C2399" s="92" t="str">
        <f ca="1">IFERROR(__xludf.DUMMYFUNCTION("filter('Back End'!C:C,'Back End'!A:A=A2399,'Back End'!B:B=B2399,'Back End'!D:D=D2399)"),"Pothuluru")</f>
        <v>Pothuluru</v>
      </c>
      <c r="D2399" s="91" t="s">
        <v>564</v>
      </c>
      <c r="E2399" s="91" t="s">
        <v>5981</v>
      </c>
      <c r="F2399" s="91" t="s">
        <v>139</v>
      </c>
      <c r="G2399" s="91" t="s">
        <v>594</v>
      </c>
      <c r="H2399" s="93" t="s">
        <v>5</v>
      </c>
      <c r="I2399" s="67"/>
      <c r="J2399" s="92">
        <v>7382044535</v>
      </c>
      <c r="K2399" s="67"/>
      <c r="L2399" s="67"/>
      <c r="M2399" s="67"/>
      <c r="N2399" s="67"/>
      <c r="O2399" s="67"/>
    </row>
    <row r="2400" spans="1:15" ht="30">
      <c r="A2400" s="91" t="s">
        <v>8</v>
      </c>
      <c r="B2400" s="91" t="s">
        <v>8</v>
      </c>
      <c r="C2400" s="92" t="str">
        <f ca="1">IFERROR(__xludf.DUMMYFUNCTION("filter('Back End'!C:C,'Back End'!A:A=A2400,'Back End'!B:B=B2400,'Back End'!D:D=D2400)"),"Pothuluru")</f>
        <v>Pothuluru</v>
      </c>
      <c r="D2400" s="91" t="s">
        <v>564</v>
      </c>
      <c r="E2400" s="91" t="s">
        <v>5982</v>
      </c>
      <c r="F2400" s="91" t="s">
        <v>139</v>
      </c>
      <c r="G2400" s="91" t="s">
        <v>594</v>
      </c>
      <c r="H2400" s="93" t="s">
        <v>5</v>
      </c>
      <c r="I2400" s="92" t="s">
        <v>3634</v>
      </c>
      <c r="J2400" s="92">
        <v>9949354840</v>
      </c>
      <c r="K2400" s="67"/>
      <c r="L2400" s="67"/>
      <c r="M2400" s="67"/>
      <c r="N2400" s="67"/>
      <c r="O2400" s="67"/>
    </row>
    <row r="2401" spans="1:15" ht="15">
      <c r="A2401" s="91" t="s">
        <v>8</v>
      </c>
      <c r="B2401" s="91" t="s">
        <v>8</v>
      </c>
      <c r="C2401" s="92" t="str">
        <f ca="1">IFERROR(__xludf.DUMMYFUNCTION("filter('Back End'!C:C,'Back End'!A:A=A2401,'Back End'!B:B=B2401,'Back End'!D:D=D2401)"),"Prathipadu")</f>
        <v>Prathipadu</v>
      </c>
      <c r="D2401" s="91" t="s">
        <v>8</v>
      </c>
      <c r="E2401" s="91" t="s">
        <v>5983</v>
      </c>
      <c r="F2401" s="67" t="s">
        <v>3138</v>
      </c>
      <c r="G2401" s="67"/>
      <c r="H2401" s="93" t="s">
        <v>5</v>
      </c>
      <c r="I2401" s="67"/>
      <c r="J2401" s="92">
        <v>9441755442</v>
      </c>
      <c r="K2401" s="67"/>
      <c r="L2401" s="67"/>
      <c r="M2401" s="67"/>
      <c r="N2401" s="67"/>
      <c r="O2401" s="67"/>
    </row>
    <row r="2402" spans="1:15" ht="15">
      <c r="A2402" s="91" t="s">
        <v>8</v>
      </c>
      <c r="B2402" s="91" t="s">
        <v>8</v>
      </c>
      <c r="C2402" s="92" t="str">
        <f ca="1">IFERROR(__xludf.DUMMYFUNCTION("filter('Back End'!C:C,'Back End'!A:A=A2402,'Back End'!B:B=B2402,'Back End'!D:D=D2402)"),"Prathipadu")</f>
        <v>Prathipadu</v>
      </c>
      <c r="D2402" s="91" t="s">
        <v>8</v>
      </c>
      <c r="E2402" s="91" t="s">
        <v>5984</v>
      </c>
      <c r="F2402" s="67" t="s">
        <v>3138</v>
      </c>
      <c r="G2402" s="67"/>
      <c r="H2402" s="93" t="s">
        <v>5</v>
      </c>
      <c r="I2402" s="67"/>
      <c r="J2402" s="92">
        <v>9951135643</v>
      </c>
      <c r="K2402" s="67"/>
      <c r="L2402" s="67"/>
      <c r="M2402" s="67"/>
      <c r="N2402" s="67"/>
      <c r="O2402" s="67"/>
    </row>
    <row r="2403" spans="1:15" ht="15">
      <c r="A2403" s="91" t="s">
        <v>8</v>
      </c>
      <c r="B2403" s="91" t="s">
        <v>8</v>
      </c>
      <c r="C2403" s="92" t="str">
        <f ca="1">IFERROR(__xludf.DUMMYFUNCTION("filter('Back End'!C:C,'Back End'!A:A=A2403,'Back End'!B:B=B2403,'Back End'!D:D=D2403)"),"Prathipadu")</f>
        <v>Prathipadu</v>
      </c>
      <c r="D2403" s="91" t="s">
        <v>8</v>
      </c>
      <c r="E2403" s="91" t="s">
        <v>5985</v>
      </c>
      <c r="F2403" s="67" t="s">
        <v>3138</v>
      </c>
      <c r="G2403" s="67"/>
      <c r="H2403" s="93" t="s">
        <v>5</v>
      </c>
      <c r="I2403" s="67"/>
      <c r="J2403" s="92">
        <v>9533919926</v>
      </c>
      <c r="K2403" s="67"/>
      <c r="L2403" s="67"/>
      <c r="M2403" s="67"/>
      <c r="N2403" s="67"/>
      <c r="O2403" s="67"/>
    </row>
    <row r="2404" spans="1:15" ht="15">
      <c r="A2404" s="91" t="s">
        <v>8</v>
      </c>
      <c r="B2404" s="91" t="s">
        <v>8</v>
      </c>
      <c r="C2404" s="92" t="str">
        <f ca="1">IFERROR(__xludf.DUMMYFUNCTION("filter('Back End'!C:C,'Back End'!A:A=A2404,'Back End'!B:B=B2404,'Back End'!D:D=D2404)"),"Prathipadu")</f>
        <v>Prathipadu</v>
      </c>
      <c r="D2404" s="91" t="s">
        <v>8</v>
      </c>
      <c r="E2404" s="91" t="s">
        <v>5986</v>
      </c>
      <c r="F2404" s="91" t="s">
        <v>114</v>
      </c>
      <c r="G2404" s="91" t="s">
        <v>85</v>
      </c>
      <c r="H2404" s="93" t="s">
        <v>5</v>
      </c>
      <c r="I2404" s="67"/>
      <c r="J2404" s="92">
        <v>7386639106</v>
      </c>
      <c r="K2404" s="67"/>
      <c r="L2404" s="67"/>
      <c r="M2404" s="67"/>
      <c r="N2404" s="67"/>
      <c r="O2404" s="67"/>
    </row>
    <row r="2405" spans="1:15" ht="15">
      <c r="A2405" s="91" t="s">
        <v>8</v>
      </c>
      <c r="B2405" s="91" t="s">
        <v>8</v>
      </c>
      <c r="C2405" s="92" t="str">
        <f ca="1">IFERROR(__xludf.DUMMYFUNCTION("filter('Back End'!C:C,'Back End'!A:A=A2405,'Back End'!B:B=B2405,'Back End'!D:D=D2405)"),"Prathipadu")</f>
        <v>Prathipadu</v>
      </c>
      <c r="D2405" s="91" t="s">
        <v>8</v>
      </c>
      <c r="E2405" s="91" t="s">
        <v>5987</v>
      </c>
      <c r="F2405" s="67" t="s">
        <v>3138</v>
      </c>
      <c r="G2405" s="67"/>
      <c r="H2405" s="93" t="s">
        <v>5</v>
      </c>
      <c r="I2405" s="67"/>
      <c r="J2405" s="92">
        <v>9010087671</v>
      </c>
      <c r="K2405" s="67"/>
      <c r="L2405" s="67"/>
      <c r="M2405" s="67"/>
      <c r="N2405" s="67"/>
      <c r="O2405" s="67"/>
    </row>
    <row r="2406" spans="1:15" ht="15">
      <c r="A2406" s="91" t="s">
        <v>8</v>
      </c>
      <c r="B2406" s="91" t="s">
        <v>8</v>
      </c>
      <c r="C2406" s="92" t="str">
        <f ca="1">IFERROR(__xludf.DUMMYFUNCTION("filter('Back End'!C:C,'Back End'!A:A=A2406,'Back End'!B:B=B2406,'Back End'!D:D=D2406)"),"Prathipadu")</f>
        <v>Prathipadu</v>
      </c>
      <c r="D2406" s="91" t="s">
        <v>8</v>
      </c>
      <c r="E2406" s="91" t="s">
        <v>5988</v>
      </c>
      <c r="F2406" s="91" t="s">
        <v>94</v>
      </c>
      <c r="G2406" s="91" t="s">
        <v>615</v>
      </c>
      <c r="H2406" s="93" t="s">
        <v>5</v>
      </c>
      <c r="I2406" s="67"/>
      <c r="J2406" s="92">
        <v>9989979419</v>
      </c>
      <c r="K2406" s="67"/>
      <c r="L2406" s="67"/>
      <c r="M2406" s="67"/>
      <c r="N2406" s="67"/>
      <c r="O2406" s="67"/>
    </row>
    <row r="2407" spans="1:15" ht="15">
      <c r="A2407" s="91" t="s">
        <v>8</v>
      </c>
      <c r="B2407" s="91" t="s">
        <v>8</v>
      </c>
      <c r="C2407" s="92" t="str">
        <f ca="1">IFERROR(__xludf.DUMMYFUNCTION("filter('Back End'!C:C,'Back End'!A:A=A2407,'Back End'!B:B=B2407,'Back End'!D:D=D2407)"),"Prathipadu")</f>
        <v>Prathipadu</v>
      </c>
      <c r="D2407" s="91" t="s">
        <v>8</v>
      </c>
      <c r="E2407" s="91" t="s">
        <v>5989</v>
      </c>
      <c r="F2407" s="91" t="s">
        <v>139</v>
      </c>
      <c r="G2407" s="91" t="s">
        <v>594</v>
      </c>
      <c r="H2407" s="93" t="s">
        <v>5</v>
      </c>
      <c r="I2407" s="67"/>
      <c r="J2407" s="92">
        <v>9848210079</v>
      </c>
      <c r="K2407" s="67"/>
      <c r="L2407" s="67"/>
      <c r="M2407" s="67"/>
      <c r="N2407" s="67"/>
      <c r="O2407" s="67"/>
    </row>
    <row r="2408" spans="1:15" ht="15">
      <c r="A2408" s="91" t="s">
        <v>8</v>
      </c>
      <c r="B2408" s="91" t="s">
        <v>8</v>
      </c>
      <c r="C2408" s="92" t="str">
        <f ca="1">IFERROR(__xludf.DUMMYFUNCTION("filter('Back End'!C:C,'Back End'!A:A=A2408,'Back End'!B:B=B2408,'Back End'!D:D=D2408)"),"Prathipadu")</f>
        <v>Prathipadu</v>
      </c>
      <c r="D2408" s="91" t="s">
        <v>8</v>
      </c>
      <c r="E2408" s="91" t="s">
        <v>5990</v>
      </c>
      <c r="F2408" s="91" t="s">
        <v>139</v>
      </c>
      <c r="G2408" s="91" t="s">
        <v>594</v>
      </c>
      <c r="H2408" s="93" t="s">
        <v>5</v>
      </c>
      <c r="I2408" s="67"/>
      <c r="J2408" s="92">
        <v>8121414189</v>
      </c>
      <c r="K2408" s="67"/>
      <c r="L2408" s="67"/>
      <c r="M2408" s="67"/>
      <c r="N2408" s="67"/>
      <c r="O2408" s="67"/>
    </row>
    <row r="2409" spans="1:15" ht="15">
      <c r="A2409" s="91" t="s">
        <v>8</v>
      </c>
      <c r="B2409" s="91" t="s">
        <v>8</v>
      </c>
      <c r="C2409" s="92" t="str">
        <f ca="1">IFERROR(__xludf.DUMMYFUNCTION("filter('Back End'!C:C,'Back End'!A:A=A2409,'Back End'!B:B=B2409,'Back End'!D:D=D2409)"),"Prathipadu")</f>
        <v>Prathipadu</v>
      </c>
      <c r="D2409" s="91" t="s">
        <v>8</v>
      </c>
      <c r="E2409" s="91" t="s">
        <v>5991</v>
      </c>
      <c r="F2409" s="91" t="s">
        <v>139</v>
      </c>
      <c r="G2409" s="91" t="s">
        <v>594</v>
      </c>
      <c r="H2409" s="93" t="s">
        <v>5</v>
      </c>
      <c r="I2409" s="67"/>
      <c r="J2409" s="92">
        <v>9494176882</v>
      </c>
      <c r="K2409" s="67"/>
      <c r="L2409" s="67"/>
      <c r="M2409" s="67"/>
      <c r="N2409" s="67"/>
      <c r="O2409" s="67"/>
    </row>
    <row r="2410" spans="1:15" ht="45">
      <c r="A2410" s="91" t="s">
        <v>8</v>
      </c>
      <c r="B2410" s="91" t="s">
        <v>8</v>
      </c>
      <c r="C2410" s="92" t="str">
        <f ca="1">IFERROR(__xludf.DUMMYFUNCTION("filter('Back End'!C:C,'Back End'!A:A=A2410,'Back End'!B:B=B2410,'Back End'!D:D=D2410)"),"Prathipadu")</f>
        <v>Prathipadu</v>
      </c>
      <c r="D2410" s="91" t="s">
        <v>8</v>
      </c>
      <c r="E2410" s="91" t="s">
        <v>5992</v>
      </c>
      <c r="F2410" s="91" t="s">
        <v>139</v>
      </c>
      <c r="G2410" s="91" t="s">
        <v>594</v>
      </c>
      <c r="H2410" s="93" t="s">
        <v>4</v>
      </c>
      <c r="I2410" s="92" t="s">
        <v>5993</v>
      </c>
      <c r="J2410" s="92">
        <v>9059959918</v>
      </c>
      <c r="K2410" s="67"/>
      <c r="L2410" s="67"/>
      <c r="M2410" s="67"/>
      <c r="N2410" s="67"/>
      <c r="O2410" s="67"/>
    </row>
    <row r="2411" spans="1:15" ht="30">
      <c r="A2411" s="91" t="s">
        <v>8</v>
      </c>
      <c r="B2411" s="91" t="s">
        <v>8</v>
      </c>
      <c r="C2411" s="92" t="str">
        <f ca="1">IFERROR(__xludf.DUMMYFUNCTION("filter('Back End'!C:C,'Back End'!A:A=A2411,'Back End'!B:B=B2411,'Back End'!D:D=D2411)"),"Prathipadu")</f>
        <v>Prathipadu</v>
      </c>
      <c r="D2411" s="91" t="s">
        <v>8</v>
      </c>
      <c r="E2411" s="91" t="s">
        <v>5994</v>
      </c>
      <c r="F2411" s="91" t="s">
        <v>139</v>
      </c>
      <c r="G2411" s="91" t="s">
        <v>594</v>
      </c>
      <c r="H2411" s="93" t="s">
        <v>4</v>
      </c>
      <c r="I2411" s="92" t="s">
        <v>3495</v>
      </c>
      <c r="J2411" s="92">
        <v>9381555589</v>
      </c>
      <c r="K2411" s="67"/>
      <c r="L2411" s="67"/>
      <c r="M2411" s="67"/>
      <c r="N2411" s="67"/>
      <c r="O2411" s="67"/>
    </row>
    <row r="2412" spans="1:15" ht="30">
      <c r="A2412" s="91" t="s">
        <v>8</v>
      </c>
      <c r="B2412" s="91" t="s">
        <v>8</v>
      </c>
      <c r="C2412" s="92" t="str">
        <f ca="1">IFERROR(__xludf.DUMMYFUNCTION("filter('Back End'!C:C,'Back End'!A:A=A2412,'Back End'!B:B=B2412,'Back End'!D:D=D2412)"),"Prathipadu")</f>
        <v>Prathipadu</v>
      </c>
      <c r="D2412" s="91" t="s">
        <v>8</v>
      </c>
      <c r="E2412" s="91" t="s">
        <v>5995</v>
      </c>
      <c r="F2412" s="91" t="s">
        <v>139</v>
      </c>
      <c r="G2412" s="91" t="s">
        <v>594</v>
      </c>
      <c r="H2412" s="93" t="s">
        <v>4</v>
      </c>
      <c r="I2412" s="92" t="s">
        <v>5996</v>
      </c>
      <c r="J2412" s="92">
        <v>9908777712</v>
      </c>
      <c r="K2412" s="67"/>
      <c r="L2412" s="67"/>
      <c r="M2412" s="67"/>
      <c r="N2412" s="67"/>
      <c r="O2412" s="67"/>
    </row>
    <row r="2413" spans="1:15" ht="30">
      <c r="A2413" s="91" t="s">
        <v>8</v>
      </c>
      <c r="B2413" s="91" t="s">
        <v>8</v>
      </c>
      <c r="C2413" s="92" t="str">
        <f ca="1">IFERROR(__xludf.DUMMYFUNCTION("filter('Back End'!C:C,'Back End'!A:A=A2413,'Back End'!B:B=B2413,'Back End'!D:D=D2413)"),"Prathipadu")</f>
        <v>Prathipadu</v>
      </c>
      <c r="D2413" s="91" t="s">
        <v>8</v>
      </c>
      <c r="E2413" s="91" t="s">
        <v>5997</v>
      </c>
      <c r="F2413" s="91" t="s">
        <v>94</v>
      </c>
      <c r="G2413" s="91" t="s">
        <v>615</v>
      </c>
      <c r="H2413" s="93" t="s">
        <v>4</v>
      </c>
      <c r="I2413" s="92" t="s">
        <v>3495</v>
      </c>
      <c r="J2413" s="92">
        <v>9291622131</v>
      </c>
      <c r="K2413" s="67"/>
      <c r="L2413" s="67"/>
      <c r="M2413" s="67"/>
      <c r="N2413" s="67"/>
      <c r="O2413" s="67"/>
    </row>
    <row r="2414" spans="1:15" ht="45">
      <c r="A2414" s="91" t="s">
        <v>8</v>
      </c>
      <c r="B2414" s="91" t="s">
        <v>8</v>
      </c>
      <c r="C2414" s="92" t="str">
        <f ca="1">IFERROR(__xludf.DUMMYFUNCTION("filter('Back End'!C:C,'Back End'!A:A=A2414,'Back End'!B:B=B2414,'Back End'!D:D=D2414)"),"Prathipadu")</f>
        <v>Prathipadu</v>
      </c>
      <c r="D2414" s="91" t="s">
        <v>8</v>
      </c>
      <c r="E2414" s="91" t="s">
        <v>5998</v>
      </c>
      <c r="F2414" s="91" t="s">
        <v>114</v>
      </c>
      <c r="G2414" s="91" t="s">
        <v>85</v>
      </c>
      <c r="H2414" s="93" t="s">
        <v>4</v>
      </c>
      <c r="I2414" s="92" t="s">
        <v>5999</v>
      </c>
      <c r="J2414" s="92">
        <v>9032212289</v>
      </c>
      <c r="K2414" s="67"/>
      <c r="L2414" s="67"/>
      <c r="M2414" s="67"/>
      <c r="N2414" s="67"/>
      <c r="O2414" s="67"/>
    </row>
    <row r="2415" spans="1:15" ht="30">
      <c r="A2415" s="91" t="s">
        <v>8</v>
      </c>
      <c r="B2415" s="91" t="s">
        <v>8</v>
      </c>
      <c r="C2415" s="92" t="str">
        <f ca="1">IFERROR(__xludf.DUMMYFUNCTION("filter('Back End'!C:C,'Back End'!A:A=A2415,'Back End'!B:B=B2415,'Back End'!D:D=D2415)"),"Prathipadu")</f>
        <v>Prathipadu</v>
      </c>
      <c r="D2415" s="91" t="s">
        <v>8</v>
      </c>
      <c r="E2415" s="91" t="s">
        <v>6000</v>
      </c>
      <c r="F2415" s="91" t="s">
        <v>467</v>
      </c>
      <c r="G2415" s="91" t="s">
        <v>85</v>
      </c>
      <c r="H2415" s="93" t="s">
        <v>4</v>
      </c>
      <c r="I2415" s="92" t="s">
        <v>3495</v>
      </c>
      <c r="J2415" s="92">
        <v>6305956491</v>
      </c>
      <c r="K2415" s="67"/>
      <c r="L2415" s="67"/>
      <c r="M2415" s="67"/>
      <c r="N2415" s="67"/>
      <c r="O2415" s="67"/>
    </row>
    <row r="2416" spans="1:15" ht="30">
      <c r="A2416" s="91" t="s">
        <v>8</v>
      </c>
      <c r="B2416" s="91" t="s">
        <v>8</v>
      </c>
      <c r="C2416" s="92" t="str">
        <f ca="1">IFERROR(__xludf.DUMMYFUNCTION("filter('Back End'!C:C,'Back End'!A:A=A2416,'Back End'!B:B=B2416,'Back End'!D:D=D2416)"),"Prathipadu")</f>
        <v>Prathipadu</v>
      </c>
      <c r="D2416" s="91" t="s">
        <v>8</v>
      </c>
      <c r="E2416" s="91" t="s">
        <v>6001</v>
      </c>
      <c r="F2416" s="91" t="s">
        <v>94</v>
      </c>
      <c r="G2416" s="91" t="s">
        <v>615</v>
      </c>
      <c r="H2416" s="93" t="s">
        <v>4</v>
      </c>
      <c r="I2416" s="92" t="s">
        <v>3495</v>
      </c>
      <c r="J2416" s="92">
        <v>9542295183</v>
      </c>
      <c r="K2416" s="67"/>
      <c r="L2416" s="67"/>
      <c r="M2416" s="67"/>
      <c r="N2416" s="67"/>
      <c r="O2416" s="67"/>
    </row>
    <row r="2417" spans="1:15" ht="30">
      <c r="A2417" s="91" t="s">
        <v>8</v>
      </c>
      <c r="B2417" s="91" t="s">
        <v>8</v>
      </c>
      <c r="C2417" s="92" t="str">
        <f ca="1">IFERROR(__xludf.DUMMYFUNCTION("filter('Back End'!C:C,'Back End'!A:A=A2417,'Back End'!B:B=B2417,'Back End'!D:D=D2417)"),"Prathipadu")</f>
        <v>Prathipadu</v>
      </c>
      <c r="D2417" s="91" t="s">
        <v>8</v>
      </c>
      <c r="E2417" s="91" t="s">
        <v>6002</v>
      </c>
      <c r="F2417" s="91" t="s">
        <v>139</v>
      </c>
      <c r="G2417" s="91" t="s">
        <v>594</v>
      </c>
      <c r="H2417" s="93" t="s">
        <v>4</v>
      </c>
      <c r="I2417" s="92" t="s">
        <v>3495</v>
      </c>
      <c r="J2417" s="92">
        <v>9888339999</v>
      </c>
      <c r="K2417" s="67"/>
      <c r="L2417" s="67"/>
      <c r="M2417" s="67"/>
      <c r="N2417" s="67"/>
      <c r="O2417" s="67"/>
    </row>
    <row r="2418" spans="1:15" ht="30">
      <c r="A2418" s="91" t="s">
        <v>8</v>
      </c>
      <c r="B2418" s="91" t="s">
        <v>8</v>
      </c>
      <c r="C2418" s="92" t="str">
        <f ca="1">IFERROR(__xludf.DUMMYFUNCTION("filter('Back End'!C:C,'Back End'!A:A=A2418,'Back End'!B:B=B2418,'Back End'!D:D=D2418)"),"Prathipadu")</f>
        <v>Prathipadu</v>
      </c>
      <c r="D2418" s="91" t="s">
        <v>8</v>
      </c>
      <c r="E2418" s="91" t="s">
        <v>6003</v>
      </c>
      <c r="F2418" s="91" t="s">
        <v>114</v>
      </c>
      <c r="G2418" s="91" t="s">
        <v>85</v>
      </c>
      <c r="H2418" s="93" t="s">
        <v>4</v>
      </c>
      <c r="I2418" s="92" t="s">
        <v>3495</v>
      </c>
      <c r="J2418" s="92">
        <v>9000921976</v>
      </c>
      <c r="K2418" s="67"/>
      <c r="L2418" s="67"/>
      <c r="M2418" s="67"/>
      <c r="N2418" s="67"/>
      <c r="O2418" s="67"/>
    </row>
    <row r="2419" spans="1:15" ht="30">
      <c r="A2419" s="91" t="s">
        <v>8</v>
      </c>
      <c r="B2419" s="91" t="s">
        <v>8</v>
      </c>
      <c r="C2419" s="92" t="str">
        <f ca="1">IFERROR(__xludf.DUMMYFUNCTION("filter('Back End'!C:C,'Back End'!A:A=A2419,'Back End'!B:B=B2419,'Back End'!D:D=D2419)"),"Prathipadu")</f>
        <v>Prathipadu</v>
      </c>
      <c r="D2419" s="91" t="s">
        <v>8</v>
      </c>
      <c r="E2419" s="91" t="s">
        <v>6004</v>
      </c>
      <c r="F2419" s="91" t="s">
        <v>6005</v>
      </c>
      <c r="G2419" s="91" t="s">
        <v>615</v>
      </c>
      <c r="H2419" s="93" t="s">
        <v>4</v>
      </c>
      <c r="I2419" s="92" t="s">
        <v>3495</v>
      </c>
      <c r="J2419" s="92">
        <v>8074472828</v>
      </c>
      <c r="K2419" s="91" t="s">
        <v>6006</v>
      </c>
      <c r="L2419" s="67"/>
      <c r="M2419" s="67"/>
      <c r="N2419" s="67"/>
      <c r="O2419" s="67"/>
    </row>
    <row r="2420" spans="1:15" ht="15">
      <c r="A2420" s="91" t="s">
        <v>8</v>
      </c>
      <c r="B2420" s="91" t="s">
        <v>8</v>
      </c>
      <c r="C2420" s="92" t="str">
        <f ca="1">IFERROR(__xludf.DUMMYFUNCTION("filter('Back End'!C:C,'Back End'!A:A=A2420,'Back End'!B:B=B2420,'Back End'!D:D=D2420)"),"Prathipadu")</f>
        <v>Prathipadu</v>
      </c>
      <c r="D2420" s="91" t="s">
        <v>8</v>
      </c>
      <c r="E2420" s="91" t="s">
        <v>6007</v>
      </c>
      <c r="F2420" s="91" t="s">
        <v>139</v>
      </c>
      <c r="G2420" s="91" t="s">
        <v>594</v>
      </c>
      <c r="H2420" s="93" t="s">
        <v>5</v>
      </c>
      <c r="I2420" s="92" t="s">
        <v>4039</v>
      </c>
      <c r="J2420" s="92">
        <v>7981390457</v>
      </c>
      <c r="K2420" s="67"/>
      <c r="L2420" s="67"/>
      <c r="M2420" s="67"/>
      <c r="N2420" s="67"/>
      <c r="O2420" s="67"/>
    </row>
    <row r="2421" spans="1:15" ht="30">
      <c r="A2421" s="91" t="s">
        <v>8</v>
      </c>
      <c r="B2421" s="91" t="s">
        <v>8</v>
      </c>
      <c r="C2421" s="92" t="str">
        <f ca="1">IFERROR(__xludf.DUMMYFUNCTION("filter('Back End'!C:C,'Back End'!A:A=A2421,'Back End'!B:B=B2421,'Back End'!D:D=D2421)"),"Prathipadu")</f>
        <v>Prathipadu</v>
      </c>
      <c r="D2421" s="91" t="s">
        <v>8</v>
      </c>
      <c r="E2421" s="91" t="s">
        <v>6008</v>
      </c>
      <c r="F2421" s="91" t="s">
        <v>139</v>
      </c>
      <c r="G2421" s="91" t="s">
        <v>594</v>
      </c>
      <c r="H2421" s="93" t="s">
        <v>5</v>
      </c>
      <c r="I2421" s="92" t="s">
        <v>6009</v>
      </c>
      <c r="J2421" s="92">
        <v>9866005629</v>
      </c>
      <c r="K2421" s="67"/>
      <c r="L2421" s="67"/>
      <c r="M2421" s="67"/>
      <c r="N2421" s="67"/>
      <c r="O2421" s="67"/>
    </row>
    <row r="2422" spans="1:15" ht="45">
      <c r="A2422" s="91" t="s">
        <v>8</v>
      </c>
      <c r="B2422" s="91" t="s">
        <v>8</v>
      </c>
      <c r="C2422" s="92" t="str">
        <f ca="1">IFERROR(__xludf.DUMMYFUNCTION("filter('Back End'!C:C,'Back End'!A:A=A2422,'Back End'!B:B=B2422,'Back End'!D:D=D2422)"),"Prathipadu")</f>
        <v>Prathipadu</v>
      </c>
      <c r="D2422" s="91" t="s">
        <v>8</v>
      </c>
      <c r="E2422" s="91" t="s">
        <v>6010</v>
      </c>
      <c r="F2422" s="91" t="s">
        <v>139</v>
      </c>
      <c r="G2422" s="91" t="s">
        <v>594</v>
      </c>
      <c r="H2422" s="93" t="s">
        <v>5</v>
      </c>
      <c r="I2422" s="92" t="s">
        <v>6011</v>
      </c>
      <c r="J2422" s="92">
        <v>9441755442</v>
      </c>
      <c r="K2422" s="67"/>
      <c r="L2422" s="67"/>
      <c r="M2422" s="67"/>
      <c r="N2422" s="67"/>
      <c r="O2422" s="67"/>
    </row>
    <row r="2423" spans="1:15" ht="15">
      <c r="A2423" s="91" t="s">
        <v>8</v>
      </c>
      <c r="B2423" s="91" t="s">
        <v>8</v>
      </c>
      <c r="C2423" s="92" t="str">
        <f ca="1">IFERROR(__xludf.DUMMYFUNCTION("filter('Back End'!C:C,'Back End'!A:A=A2423,'Back End'!B:B=B2423,'Back End'!D:D=D2423)"),"Prathipadu")</f>
        <v>Prathipadu</v>
      </c>
      <c r="D2423" s="91" t="s">
        <v>8</v>
      </c>
      <c r="E2423" s="91" t="s">
        <v>6012</v>
      </c>
      <c r="F2423" s="91" t="s">
        <v>114</v>
      </c>
      <c r="G2423" s="91" t="s">
        <v>85</v>
      </c>
      <c r="H2423" s="93" t="s">
        <v>5</v>
      </c>
      <c r="I2423" s="92" t="s">
        <v>3115</v>
      </c>
      <c r="J2423" s="92">
        <v>9849752539</v>
      </c>
      <c r="K2423" s="67"/>
      <c r="L2423" s="67"/>
      <c r="M2423" s="67"/>
      <c r="N2423" s="67"/>
      <c r="O2423" s="67"/>
    </row>
    <row r="2424" spans="1:15" ht="30">
      <c r="A2424" s="91" t="s">
        <v>8</v>
      </c>
      <c r="B2424" s="91" t="s">
        <v>8</v>
      </c>
      <c r="C2424" s="92" t="str">
        <f ca="1">IFERROR(__xludf.DUMMYFUNCTION("filter('Back End'!C:C,'Back End'!A:A=A2424,'Back End'!B:B=B2424,'Back End'!D:D=D2424)"),"Prathipadu")</f>
        <v>Prathipadu</v>
      </c>
      <c r="D2424" s="91" t="s">
        <v>8</v>
      </c>
      <c r="E2424" s="91" t="s">
        <v>6013</v>
      </c>
      <c r="F2424" s="91" t="s">
        <v>139</v>
      </c>
      <c r="G2424" s="91" t="s">
        <v>594</v>
      </c>
      <c r="H2424" s="93" t="s">
        <v>5</v>
      </c>
      <c r="I2424" s="92" t="s">
        <v>3495</v>
      </c>
      <c r="J2424" s="92">
        <v>8121595161</v>
      </c>
      <c r="K2424" s="67"/>
      <c r="L2424" s="67"/>
      <c r="M2424" s="67"/>
      <c r="N2424" s="67"/>
      <c r="O2424" s="67"/>
    </row>
    <row r="2425" spans="1:15" ht="15">
      <c r="A2425" s="91" t="s">
        <v>8</v>
      </c>
      <c r="B2425" s="91" t="s">
        <v>8</v>
      </c>
      <c r="C2425" s="92" t="str">
        <f ca="1">IFERROR(__xludf.DUMMYFUNCTION("filter('Back End'!C:C,'Back End'!A:A=A2425,'Back End'!B:B=B2425,'Back End'!D:D=D2425)"),"Prathipadu")</f>
        <v>Prathipadu</v>
      </c>
      <c r="D2425" s="91" t="s">
        <v>8</v>
      </c>
      <c r="E2425" s="91" t="s">
        <v>6014</v>
      </c>
      <c r="F2425" s="91" t="s">
        <v>1669</v>
      </c>
      <c r="G2425" s="91" t="s">
        <v>615</v>
      </c>
      <c r="H2425" s="93" t="s">
        <v>5</v>
      </c>
      <c r="I2425" s="92" t="s">
        <v>3185</v>
      </c>
      <c r="J2425" s="92">
        <v>9951530077</v>
      </c>
      <c r="K2425" s="67"/>
      <c r="L2425" s="67"/>
      <c r="M2425" s="67"/>
      <c r="N2425" s="67"/>
      <c r="O2425" s="67"/>
    </row>
    <row r="2426" spans="1:15" ht="15">
      <c r="A2426" s="91" t="s">
        <v>8</v>
      </c>
      <c r="B2426" s="91" t="s">
        <v>8</v>
      </c>
      <c r="C2426" s="92" t="str">
        <f ca="1">IFERROR(__xludf.DUMMYFUNCTION("filter('Back End'!C:C,'Back End'!A:A=A2426,'Back End'!B:B=B2426,'Back End'!D:D=D2426)"),"Prathipadu")</f>
        <v>Prathipadu</v>
      </c>
      <c r="D2426" s="91" t="s">
        <v>8</v>
      </c>
      <c r="E2426" s="91" t="s">
        <v>6015</v>
      </c>
      <c r="F2426" s="91" t="s">
        <v>139</v>
      </c>
      <c r="G2426" s="91" t="s">
        <v>594</v>
      </c>
      <c r="H2426" s="93" t="s">
        <v>5</v>
      </c>
      <c r="I2426" s="92" t="s">
        <v>3185</v>
      </c>
      <c r="J2426" s="92">
        <v>7075645303</v>
      </c>
      <c r="K2426" s="67"/>
      <c r="L2426" s="67"/>
      <c r="M2426" s="67"/>
      <c r="N2426" s="67"/>
      <c r="O2426" s="67"/>
    </row>
    <row r="2427" spans="1:15" ht="15">
      <c r="A2427" s="91" t="s">
        <v>8</v>
      </c>
      <c r="B2427" s="91" t="s">
        <v>8</v>
      </c>
      <c r="C2427" s="92" t="str">
        <f ca="1">IFERROR(__xludf.DUMMYFUNCTION("filter('Back End'!C:C,'Back End'!A:A=A2427,'Back End'!B:B=B2427,'Back End'!D:D=D2427)"),"Rachapalle")</f>
        <v>Rachapalle</v>
      </c>
      <c r="D2427" s="91" t="s">
        <v>567</v>
      </c>
      <c r="E2427" s="91" t="s">
        <v>6016</v>
      </c>
      <c r="F2427" s="67" t="s">
        <v>3138</v>
      </c>
      <c r="G2427" s="67"/>
      <c r="H2427" s="93" t="s">
        <v>5</v>
      </c>
      <c r="I2427" s="67"/>
      <c r="J2427" s="92">
        <v>9502224811</v>
      </c>
      <c r="K2427" s="67"/>
      <c r="L2427" s="67"/>
      <c r="M2427" s="67"/>
      <c r="N2427" s="67"/>
      <c r="O2427" s="67"/>
    </row>
    <row r="2428" spans="1:15" ht="15">
      <c r="A2428" s="91" t="s">
        <v>8</v>
      </c>
      <c r="B2428" s="91" t="s">
        <v>8</v>
      </c>
      <c r="C2428" s="92" t="str">
        <f ca="1">IFERROR(__xludf.DUMMYFUNCTION("filter('Back End'!C:C,'Back End'!A:A=A2428,'Back End'!B:B=B2428,'Back End'!D:D=D2428)"),"Rachapalle")</f>
        <v>Rachapalle</v>
      </c>
      <c r="D2428" s="91" t="s">
        <v>567</v>
      </c>
      <c r="E2428" s="91" t="s">
        <v>5834</v>
      </c>
      <c r="F2428" s="91" t="s">
        <v>114</v>
      </c>
      <c r="G2428" s="91" t="s">
        <v>85</v>
      </c>
      <c r="H2428" s="93" t="s">
        <v>5</v>
      </c>
      <c r="I2428" s="67"/>
      <c r="J2428" s="92">
        <v>9542876111</v>
      </c>
      <c r="K2428" s="67"/>
      <c r="L2428" s="67"/>
      <c r="M2428" s="67"/>
      <c r="N2428" s="67"/>
      <c r="O2428" s="67"/>
    </row>
    <row r="2429" spans="1:15" ht="15">
      <c r="A2429" s="91" t="s">
        <v>8</v>
      </c>
      <c r="B2429" s="91" t="s">
        <v>8</v>
      </c>
      <c r="C2429" s="92" t="str">
        <f ca="1">IFERROR(__xludf.DUMMYFUNCTION("filter('Back End'!C:C,'Back End'!A:A=A2429,'Back End'!B:B=B2429,'Back End'!D:D=D2429)"),"Rachapalle")</f>
        <v>Rachapalle</v>
      </c>
      <c r="D2429" s="91" t="s">
        <v>567</v>
      </c>
      <c r="E2429" s="91" t="s">
        <v>6017</v>
      </c>
      <c r="F2429" s="91" t="s">
        <v>165</v>
      </c>
      <c r="G2429" s="91" t="s">
        <v>615</v>
      </c>
      <c r="H2429" s="93" t="s">
        <v>5</v>
      </c>
      <c r="I2429" s="67"/>
      <c r="J2429" s="92">
        <v>9441748021</v>
      </c>
      <c r="K2429" s="67"/>
      <c r="L2429" s="67"/>
      <c r="M2429" s="67"/>
      <c r="N2429" s="67"/>
      <c r="O2429" s="67"/>
    </row>
    <row r="2430" spans="1:15" ht="15">
      <c r="A2430" s="91" t="s">
        <v>8</v>
      </c>
      <c r="B2430" s="91" t="s">
        <v>8</v>
      </c>
      <c r="C2430" s="92" t="str">
        <f ca="1">IFERROR(__xludf.DUMMYFUNCTION("filter('Back End'!C:C,'Back End'!A:A=A2430,'Back End'!B:B=B2430,'Back End'!D:D=D2430)"),"Rachapalle")</f>
        <v>Rachapalle</v>
      </c>
      <c r="D2430" s="91" t="s">
        <v>567</v>
      </c>
      <c r="E2430" s="91" t="s">
        <v>6018</v>
      </c>
      <c r="F2430" s="67" t="s">
        <v>3138</v>
      </c>
      <c r="G2430" s="67"/>
      <c r="H2430" s="93" t="s">
        <v>5</v>
      </c>
      <c r="I2430" s="67"/>
      <c r="J2430" s="92">
        <v>7801053339</v>
      </c>
      <c r="K2430" s="67"/>
      <c r="L2430" s="67"/>
      <c r="M2430" s="67"/>
      <c r="N2430" s="67"/>
      <c r="O2430" s="67"/>
    </row>
    <row r="2431" spans="1:15" ht="15">
      <c r="A2431" s="91" t="s">
        <v>8</v>
      </c>
      <c r="B2431" s="91" t="s">
        <v>8</v>
      </c>
      <c r="C2431" s="92" t="str">
        <f ca="1">IFERROR(__xludf.DUMMYFUNCTION("filter('Back End'!C:C,'Back End'!A:A=A2431,'Back End'!B:B=B2431,'Back End'!D:D=D2431)"),"Sarabhavaram")</f>
        <v>Sarabhavaram</v>
      </c>
      <c r="D2431" s="91" t="s">
        <v>570</v>
      </c>
      <c r="E2431" s="91" t="s">
        <v>6019</v>
      </c>
      <c r="F2431" s="67" t="s">
        <v>3138</v>
      </c>
      <c r="G2431" s="67"/>
      <c r="H2431" s="93" t="s">
        <v>5</v>
      </c>
      <c r="I2431" s="67"/>
      <c r="J2431" s="92">
        <v>7013827020</v>
      </c>
      <c r="K2431" s="67"/>
      <c r="L2431" s="67"/>
      <c r="M2431" s="67"/>
      <c r="N2431" s="67"/>
      <c r="O2431" s="67"/>
    </row>
    <row r="2432" spans="1:15" ht="15">
      <c r="A2432" s="91" t="s">
        <v>8</v>
      </c>
      <c r="B2432" s="91" t="s">
        <v>8</v>
      </c>
      <c r="C2432" s="92" t="str">
        <f ca="1">IFERROR(__xludf.DUMMYFUNCTION("filter('Back End'!C:C,'Back End'!A:A=A2432,'Back End'!B:B=B2432,'Back End'!D:D=D2432)"),"Sarabhavaram")</f>
        <v>Sarabhavaram</v>
      </c>
      <c r="D2432" s="91" t="s">
        <v>570</v>
      </c>
      <c r="E2432" s="91" t="s">
        <v>6020</v>
      </c>
      <c r="F2432" s="67" t="s">
        <v>3138</v>
      </c>
      <c r="G2432" s="67"/>
      <c r="H2432" s="93" t="s">
        <v>5</v>
      </c>
      <c r="I2432" s="67"/>
      <c r="J2432" s="92">
        <v>9492158304</v>
      </c>
      <c r="K2432" s="67"/>
      <c r="L2432" s="67"/>
      <c r="M2432" s="67"/>
      <c r="N2432" s="67"/>
      <c r="O2432" s="67"/>
    </row>
    <row r="2433" spans="1:15" ht="15">
      <c r="A2433" s="91" t="s">
        <v>8</v>
      </c>
      <c r="B2433" s="91" t="s">
        <v>8</v>
      </c>
      <c r="C2433" s="92" t="str">
        <f ca="1">IFERROR(__xludf.DUMMYFUNCTION("filter('Back End'!C:C,'Back End'!A:A=A2433,'Back End'!B:B=B2433,'Back End'!D:D=D2433)"),"Sarabhavaram")</f>
        <v>Sarabhavaram</v>
      </c>
      <c r="D2433" s="91" t="s">
        <v>570</v>
      </c>
      <c r="E2433" s="91" t="s">
        <v>6021</v>
      </c>
      <c r="F2433" s="91" t="s">
        <v>139</v>
      </c>
      <c r="G2433" s="91" t="s">
        <v>594</v>
      </c>
      <c r="H2433" s="93" t="s">
        <v>5</v>
      </c>
      <c r="I2433" s="67"/>
      <c r="J2433" s="92">
        <v>9676338876</v>
      </c>
      <c r="K2433" s="67"/>
      <c r="L2433" s="67"/>
      <c r="M2433" s="67"/>
      <c r="N2433" s="67"/>
      <c r="O2433" s="67"/>
    </row>
    <row r="2434" spans="1:15" ht="15">
      <c r="A2434" s="91" t="s">
        <v>8</v>
      </c>
      <c r="B2434" s="91" t="s">
        <v>8</v>
      </c>
      <c r="C2434" s="92" t="str">
        <f ca="1">IFERROR(__xludf.DUMMYFUNCTION("filter('Back End'!C:C,'Back End'!A:A=A2434,'Back End'!B:B=B2434,'Back End'!D:D=D2434)"),"Venkatanagaram")</f>
        <v>Venkatanagaram</v>
      </c>
      <c r="D2434" s="91" t="s">
        <v>579</v>
      </c>
      <c r="E2434" s="91" t="s">
        <v>6022</v>
      </c>
      <c r="F2434" s="67" t="s">
        <v>3138</v>
      </c>
      <c r="G2434" s="67"/>
      <c r="H2434" s="93" t="s">
        <v>5</v>
      </c>
      <c r="I2434" s="67"/>
      <c r="J2434" s="92">
        <v>9603332288</v>
      </c>
      <c r="K2434" s="67"/>
      <c r="L2434" s="67"/>
      <c r="M2434" s="67"/>
      <c r="N2434" s="67"/>
      <c r="O2434" s="67"/>
    </row>
    <row r="2435" spans="1:15" ht="60">
      <c r="A2435" s="91" t="s">
        <v>8</v>
      </c>
      <c r="B2435" s="91" t="s">
        <v>8</v>
      </c>
      <c r="C2435" s="92" t="str">
        <f ca="1">IFERROR(__xludf.DUMMYFUNCTION("filter('Back End'!C:C,'Back End'!A:A=A2435,'Back End'!B:B=B2435,'Back End'!D:D=D2435)"),"Venkatanagaram")</f>
        <v>Venkatanagaram</v>
      </c>
      <c r="D2435" s="91" t="s">
        <v>579</v>
      </c>
      <c r="E2435" s="91" t="s">
        <v>6023</v>
      </c>
      <c r="F2435" s="91" t="s">
        <v>114</v>
      </c>
      <c r="G2435" s="91" t="s">
        <v>85</v>
      </c>
      <c r="H2435" s="93" t="s">
        <v>5</v>
      </c>
      <c r="I2435" s="67"/>
      <c r="J2435" s="92" t="s">
        <v>6024</v>
      </c>
      <c r="K2435" s="67"/>
      <c r="L2435" s="67"/>
      <c r="M2435" s="67"/>
      <c r="N2435" s="67"/>
      <c r="O2435" s="67"/>
    </row>
    <row r="2436" spans="1:15" ht="15">
      <c r="A2436" s="91" t="s">
        <v>8</v>
      </c>
      <c r="B2436" s="91" t="s">
        <v>587</v>
      </c>
      <c r="C2436" s="92" t="str">
        <f ca="1">IFERROR(__xludf.DUMMYFUNCTION("filter('Back End'!C:C,'Back End'!A:A=A2436,'Back End'!B:B=B2436,'Back End'!D:D=D2436)"),"A.Mallavaram")</f>
        <v>A.Mallavaram</v>
      </c>
      <c r="D2436" s="91" t="s">
        <v>588</v>
      </c>
      <c r="E2436" s="91" t="s">
        <v>6025</v>
      </c>
      <c r="F2436" s="91" t="s">
        <v>586</v>
      </c>
      <c r="G2436" s="91" t="s">
        <v>615</v>
      </c>
      <c r="H2436" s="93" t="s">
        <v>5</v>
      </c>
      <c r="I2436" s="67"/>
      <c r="J2436" s="92">
        <v>9032732522</v>
      </c>
      <c r="K2436" s="67"/>
      <c r="L2436" s="67"/>
      <c r="M2436" s="67"/>
      <c r="N2436" s="67"/>
      <c r="O2436" s="67"/>
    </row>
    <row r="2437" spans="1:15" ht="15">
      <c r="A2437" s="91" t="s">
        <v>8</v>
      </c>
      <c r="B2437" s="91" t="s">
        <v>587</v>
      </c>
      <c r="C2437" s="92" t="str">
        <f ca="1">IFERROR(__xludf.DUMMYFUNCTION("filter('Back End'!C:C,'Back End'!A:A=A2437,'Back End'!B:B=B2437,'Back End'!D:D=D2437)"),"A.Mallavaram")</f>
        <v>A.Mallavaram</v>
      </c>
      <c r="D2437" s="91" t="s">
        <v>588</v>
      </c>
      <c r="E2437" s="91" t="s">
        <v>6026</v>
      </c>
      <c r="F2437" s="67" t="s">
        <v>3138</v>
      </c>
      <c r="G2437" s="67"/>
      <c r="H2437" s="93" t="s">
        <v>5</v>
      </c>
      <c r="I2437" s="67"/>
      <c r="J2437" s="92">
        <v>7893566356</v>
      </c>
      <c r="K2437" s="67"/>
      <c r="L2437" s="67"/>
      <c r="M2437" s="67"/>
      <c r="N2437" s="67"/>
      <c r="O2437" s="67"/>
    </row>
    <row r="2438" spans="1:15" ht="15">
      <c r="A2438" s="91" t="s">
        <v>8</v>
      </c>
      <c r="B2438" s="91" t="s">
        <v>587</v>
      </c>
      <c r="C2438" s="92" t="str">
        <f ca="1">IFERROR(__xludf.DUMMYFUNCTION("filter('Back End'!C:C,'Back End'!A:A=A2438,'Back End'!B:B=B2438,'Back End'!D:D=D2438)"),"P.Chamavaram")</f>
        <v>P.Chamavaram</v>
      </c>
      <c r="D2438" s="91" t="s">
        <v>617</v>
      </c>
      <c r="E2438" s="91" t="s">
        <v>6027</v>
      </c>
      <c r="F2438" s="67" t="s">
        <v>3138</v>
      </c>
      <c r="G2438" s="67"/>
      <c r="H2438" s="93" t="s">
        <v>5</v>
      </c>
      <c r="I2438" s="67"/>
      <c r="J2438" s="92">
        <v>9885860420</v>
      </c>
      <c r="K2438" s="67"/>
      <c r="L2438" s="67"/>
      <c r="M2438" s="67"/>
      <c r="N2438" s="67"/>
      <c r="O2438" s="67"/>
    </row>
    <row r="2439" spans="1:15" ht="15">
      <c r="A2439" s="91" t="s">
        <v>8</v>
      </c>
      <c r="B2439" s="91" t="s">
        <v>587</v>
      </c>
      <c r="C2439" s="92" t="str">
        <f ca="1">IFERROR(__xludf.DUMMYFUNCTION("filter('Back End'!C:C,'Back End'!A:A=A2439,'Back End'!B:B=B2439,'Back End'!D:D=D2439)"),"Parupaka")</f>
        <v>Parupaka</v>
      </c>
      <c r="D2439" s="91" t="s">
        <v>618</v>
      </c>
      <c r="E2439" s="91" t="s">
        <v>6028</v>
      </c>
      <c r="F2439" s="91" t="s">
        <v>139</v>
      </c>
      <c r="G2439" s="91" t="s">
        <v>594</v>
      </c>
      <c r="H2439" s="93" t="s">
        <v>5</v>
      </c>
      <c r="I2439" s="67"/>
      <c r="J2439" s="92">
        <v>9177549189</v>
      </c>
      <c r="K2439" s="67"/>
      <c r="L2439" s="67"/>
      <c r="M2439" s="67"/>
      <c r="N2439" s="67"/>
      <c r="O2439" s="67"/>
    </row>
    <row r="2440" spans="1:15" ht="15">
      <c r="A2440" s="91" t="s">
        <v>8</v>
      </c>
      <c r="B2440" s="91" t="s">
        <v>587</v>
      </c>
      <c r="C2440" s="92" t="str">
        <f ca="1">IFERROR(__xludf.DUMMYFUNCTION("filter('Back End'!C:C,'Back End'!A:A=A2440,'Back End'!B:B=B2440,'Back End'!D:D=D2440)"),"Parupaka")</f>
        <v>Parupaka</v>
      </c>
      <c r="D2440" s="91" t="s">
        <v>618</v>
      </c>
      <c r="E2440" s="91" t="s">
        <v>6029</v>
      </c>
      <c r="F2440" s="91" t="s">
        <v>165</v>
      </c>
      <c r="G2440" s="91" t="s">
        <v>615</v>
      </c>
      <c r="H2440" s="93" t="s">
        <v>5</v>
      </c>
      <c r="I2440" s="67"/>
      <c r="J2440" s="92">
        <v>9849644241</v>
      </c>
      <c r="K2440" s="67"/>
      <c r="L2440" s="67"/>
      <c r="M2440" s="67"/>
      <c r="N2440" s="67"/>
      <c r="O2440" s="67"/>
    </row>
    <row r="2441" spans="1:15" ht="15">
      <c r="A2441" s="91" t="s">
        <v>8</v>
      </c>
      <c r="B2441" s="100" t="s">
        <v>587</v>
      </c>
      <c r="C2441" s="97" t="s">
        <v>618</v>
      </c>
      <c r="D2441" s="100" t="s">
        <v>618</v>
      </c>
      <c r="E2441" s="100" t="s">
        <v>642</v>
      </c>
      <c r="F2441" s="100" t="s">
        <v>139</v>
      </c>
      <c r="G2441" s="100" t="s">
        <v>594</v>
      </c>
      <c r="H2441" s="100" t="s">
        <v>5</v>
      </c>
      <c r="I2441" s="99"/>
      <c r="J2441" s="97">
        <v>8498884501</v>
      </c>
      <c r="K2441" s="99"/>
      <c r="L2441" s="99"/>
      <c r="M2441" s="67"/>
      <c r="N2441" s="67"/>
      <c r="O2441" s="67"/>
    </row>
    <row r="2442" spans="1:15" ht="16.5">
      <c r="A2442" s="91" t="s">
        <v>10</v>
      </c>
      <c r="B2442" s="100" t="s">
        <v>587</v>
      </c>
      <c r="C2442" s="98" t="s">
        <v>618</v>
      </c>
      <c r="D2442" s="100" t="s">
        <v>618</v>
      </c>
      <c r="E2442" s="100" t="s">
        <v>6030</v>
      </c>
      <c r="F2442" s="100" t="s">
        <v>165</v>
      </c>
      <c r="G2442" s="100" t="s">
        <v>615</v>
      </c>
      <c r="H2442" s="100" t="s">
        <v>5</v>
      </c>
      <c r="I2442" s="97" t="s">
        <v>3115</v>
      </c>
      <c r="J2442" s="97">
        <v>9849644241</v>
      </c>
      <c r="K2442" s="99"/>
      <c r="L2442" s="99"/>
      <c r="M2442" s="99"/>
      <c r="N2442" s="67"/>
      <c r="O2442" s="67"/>
    </row>
    <row r="2443" spans="1:15" ht="16.5">
      <c r="A2443" s="91" t="s">
        <v>10</v>
      </c>
      <c r="B2443" s="100" t="s">
        <v>587</v>
      </c>
      <c r="C2443" s="98" t="s">
        <v>618</v>
      </c>
      <c r="D2443" s="100" t="s">
        <v>618</v>
      </c>
      <c r="E2443" s="100" t="s">
        <v>6031</v>
      </c>
      <c r="F2443" s="98" t="s">
        <v>165</v>
      </c>
      <c r="G2443" s="98" t="s">
        <v>615</v>
      </c>
      <c r="H2443" s="100" t="s">
        <v>5</v>
      </c>
      <c r="I2443" s="98" t="s">
        <v>3162</v>
      </c>
      <c r="J2443" s="97">
        <v>9390961389</v>
      </c>
      <c r="K2443" s="99"/>
      <c r="L2443" s="99"/>
      <c r="M2443" s="99"/>
      <c r="N2443" s="67"/>
      <c r="O2443" s="67"/>
    </row>
    <row r="2444" spans="1:15" ht="16.5">
      <c r="A2444" s="91" t="s">
        <v>10</v>
      </c>
      <c r="B2444" s="100" t="s">
        <v>587</v>
      </c>
      <c r="C2444" s="98" t="s">
        <v>618</v>
      </c>
      <c r="D2444" s="100" t="s">
        <v>618</v>
      </c>
      <c r="E2444" s="100" t="s">
        <v>6032</v>
      </c>
      <c r="F2444" s="98" t="s">
        <v>165</v>
      </c>
      <c r="G2444" s="98" t="s">
        <v>615</v>
      </c>
      <c r="H2444" s="100" t="s">
        <v>5</v>
      </c>
      <c r="I2444" s="98" t="s">
        <v>3112</v>
      </c>
      <c r="J2444" s="97">
        <v>9381955855</v>
      </c>
      <c r="K2444" s="99"/>
      <c r="L2444" s="99"/>
      <c r="M2444" s="99"/>
      <c r="N2444" s="67"/>
      <c r="O2444" s="67"/>
    </row>
    <row r="2445" spans="1:15" ht="16.5">
      <c r="A2445" s="91" t="s">
        <v>10</v>
      </c>
      <c r="B2445" s="100" t="s">
        <v>587</v>
      </c>
      <c r="C2445" s="98" t="s">
        <v>618</v>
      </c>
      <c r="D2445" s="100" t="s">
        <v>618</v>
      </c>
      <c r="E2445" s="100" t="s">
        <v>6033</v>
      </c>
      <c r="F2445" s="98" t="s">
        <v>139</v>
      </c>
      <c r="G2445" s="98" t="s">
        <v>594</v>
      </c>
      <c r="H2445" s="100" t="s">
        <v>5</v>
      </c>
      <c r="I2445" s="98" t="s">
        <v>3185</v>
      </c>
      <c r="J2445" s="97">
        <v>8985038699</v>
      </c>
      <c r="K2445" s="99"/>
      <c r="L2445" s="99"/>
      <c r="M2445" s="99"/>
      <c r="N2445" s="67"/>
      <c r="O2445" s="67"/>
    </row>
    <row r="2446" spans="1:15" ht="16.5">
      <c r="A2446" s="91" t="s">
        <v>10</v>
      </c>
      <c r="B2446" s="100" t="s">
        <v>587</v>
      </c>
      <c r="C2446" s="98" t="s">
        <v>618</v>
      </c>
      <c r="D2446" s="100" t="s">
        <v>618</v>
      </c>
      <c r="E2446" s="100" t="s">
        <v>6034</v>
      </c>
      <c r="F2446" s="98" t="s">
        <v>165</v>
      </c>
      <c r="G2446" s="98" t="s">
        <v>615</v>
      </c>
      <c r="H2446" s="100" t="s">
        <v>5</v>
      </c>
      <c r="I2446" s="98" t="s">
        <v>3822</v>
      </c>
      <c r="J2446" s="97">
        <v>8074455618</v>
      </c>
      <c r="K2446" s="99"/>
      <c r="L2446" s="99"/>
      <c r="M2446" s="99"/>
      <c r="N2446" s="67"/>
      <c r="O2446" s="67"/>
    </row>
    <row r="2447" spans="1:15" ht="16.5">
      <c r="A2447" s="91" t="s">
        <v>10</v>
      </c>
      <c r="B2447" s="100" t="s">
        <v>587</v>
      </c>
      <c r="C2447" s="98" t="s">
        <v>618</v>
      </c>
      <c r="D2447" s="100" t="s">
        <v>618</v>
      </c>
      <c r="E2447" s="100" t="s">
        <v>6035</v>
      </c>
      <c r="F2447" s="98" t="s">
        <v>595</v>
      </c>
      <c r="G2447" s="98" t="s">
        <v>594</v>
      </c>
      <c r="H2447" s="100" t="s">
        <v>4</v>
      </c>
      <c r="I2447" s="98" t="s">
        <v>3212</v>
      </c>
      <c r="J2447" s="97">
        <v>8074339913</v>
      </c>
      <c r="K2447" s="99"/>
      <c r="L2447" s="99"/>
      <c r="M2447" s="99"/>
      <c r="N2447" s="67"/>
      <c r="O2447" s="67"/>
    </row>
    <row r="2448" spans="1:15" ht="16.5">
      <c r="A2448" s="91" t="s">
        <v>10</v>
      </c>
      <c r="B2448" s="100" t="s">
        <v>587</v>
      </c>
      <c r="C2448" s="98" t="s">
        <v>618</v>
      </c>
      <c r="D2448" s="100" t="s">
        <v>618</v>
      </c>
      <c r="E2448" s="100" t="s">
        <v>6036</v>
      </c>
      <c r="F2448" s="98" t="s">
        <v>114</v>
      </c>
      <c r="G2448" s="98" t="s">
        <v>85</v>
      </c>
      <c r="H2448" s="100" t="s">
        <v>4</v>
      </c>
      <c r="I2448" s="98" t="s">
        <v>3112</v>
      </c>
      <c r="J2448" s="97">
        <v>9913816323</v>
      </c>
      <c r="K2448" s="99"/>
      <c r="L2448" s="99"/>
      <c r="M2448" s="99"/>
      <c r="N2448" s="67"/>
      <c r="O2448" s="67"/>
    </row>
    <row r="2449" spans="1:15" ht="15">
      <c r="A2449" s="91" t="s">
        <v>10</v>
      </c>
      <c r="B2449" s="100" t="s">
        <v>587</v>
      </c>
      <c r="C2449" s="97" t="s">
        <v>618</v>
      </c>
      <c r="D2449" s="100" t="s">
        <v>618</v>
      </c>
      <c r="E2449" s="100" t="s">
        <v>6037</v>
      </c>
      <c r="F2449" s="99" t="s">
        <v>3138</v>
      </c>
      <c r="G2449" s="99"/>
      <c r="H2449" s="100" t="s">
        <v>4</v>
      </c>
      <c r="I2449" s="99"/>
      <c r="J2449" s="97">
        <v>9866439099</v>
      </c>
      <c r="K2449" s="99"/>
      <c r="L2449" s="99"/>
      <c r="M2449" s="67"/>
      <c r="N2449" s="67"/>
      <c r="O2449" s="67"/>
    </row>
    <row r="2450" spans="1:15" ht="15">
      <c r="A2450" s="101" t="s">
        <v>10</v>
      </c>
      <c r="B2450" s="93" t="s">
        <v>587</v>
      </c>
      <c r="C2450" s="102" t="s">
        <v>618</v>
      </c>
      <c r="D2450" s="93" t="s">
        <v>618</v>
      </c>
      <c r="E2450" s="93" t="s">
        <v>6038</v>
      </c>
      <c r="F2450" s="93" t="s">
        <v>165</v>
      </c>
      <c r="G2450" s="93" t="s">
        <v>615</v>
      </c>
      <c r="H2450" s="93" t="s">
        <v>4</v>
      </c>
      <c r="I2450" s="102" t="s">
        <v>3185</v>
      </c>
      <c r="J2450" s="102">
        <v>6300973727</v>
      </c>
      <c r="K2450" s="95"/>
      <c r="L2450" s="95"/>
      <c r="M2450" s="67"/>
      <c r="N2450" s="67"/>
      <c r="O2450" s="67"/>
    </row>
    <row r="2451" spans="1:15" ht="15">
      <c r="A2451" s="101" t="s">
        <v>10</v>
      </c>
      <c r="B2451" s="93" t="s">
        <v>587</v>
      </c>
      <c r="C2451" s="102" t="s">
        <v>618</v>
      </c>
      <c r="D2451" s="93" t="s">
        <v>618</v>
      </c>
      <c r="E2451" s="93" t="s">
        <v>6039</v>
      </c>
      <c r="F2451" s="93" t="s">
        <v>165</v>
      </c>
      <c r="G2451" s="93" t="s">
        <v>615</v>
      </c>
      <c r="H2451" s="95"/>
      <c r="I2451" s="102" t="s">
        <v>3185</v>
      </c>
      <c r="J2451" s="95"/>
      <c r="K2451" s="95"/>
      <c r="L2451" s="95"/>
      <c r="M2451" s="67"/>
      <c r="N2451" s="67"/>
      <c r="O2451" s="67"/>
    </row>
    <row r="2452" spans="1:15" ht="45">
      <c r="A2452" s="101" t="s">
        <v>10</v>
      </c>
      <c r="B2452" s="93" t="s">
        <v>587</v>
      </c>
      <c r="C2452" s="102" t="s">
        <v>618</v>
      </c>
      <c r="D2452" s="93" t="s">
        <v>618</v>
      </c>
      <c r="E2452" s="93" t="s">
        <v>6040</v>
      </c>
      <c r="F2452" s="93" t="s">
        <v>165</v>
      </c>
      <c r="G2452" s="93" t="s">
        <v>615</v>
      </c>
      <c r="H2452" s="93" t="s">
        <v>4</v>
      </c>
      <c r="I2452" s="102" t="s">
        <v>6041</v>
      </c>
      <c r="J2452" s="102">
        <v>9603964118</v>
      </c>
      <c r="K2452" s="95"/>
      <c r="L2452" s="95"/>
      <c r="M2452" s="67"/>
      <c r="N2452" s="67"/>
      <c r="O2452" s="67"/>
    </row>
    <row r="2453" spans="1:15" ht="15">
      <c r="A2453" s="91" t="s">
        <v>3361</v>
      </c>
      <c r="B2453" s="100" t="s">
        <v>587</v>
      </c>
      <c r="C2453" s="97" t="s">
        <v>618</v>
      </c>
      <c r="D2453" s="100" t="s">
        <v>618</v>
      </c>
      <c r="E2453" s="100" t="s">
        <v>6042</v>
      </c>
      <c r="F2453" s="99" t="s">
        <v>3138</v>
      </c>
      <c r="G2453" s="99"/>
      <c r="H2453" s="100" t="s">
        <v>4</v>
      </c>
      <c r="I2453" s="99"/>
      <c r="J2453" s="97">
        <v>9676874228</v>
      </c>
      <c r="K2453" s="99"/>
      <c r="L2453" s="99"/>
      <c r="M2453" s="67"/>
      <c r="N2453" s="67"/>
      <c r="O2453" s="67"/>
    </row>
    <row r="2454" spans="1:15" ht="15">
      <c r="A2454" s="101" t="s">
        <v>3361</v>
      </c>
      <c r="B2454" s="93" t="s">
        <v>587</v>
      </c>
      <c r="C2454" s="102" t="s">
        <v>618</v>
      </c>
      <c r="D2454" s="93" t="s">
        <v>618</v>
      </c>
      <c r="E2454" s="93" t="s">
        <v>6043</v>
      </c>
      <c r="F2454" s="95" t="s">
        <v>3138</v>
      </c>
      <c r="G2454" s="95"/>
      <c r="H2454" s="93" t="s">
        <v>4</v>
      </c>
      <c r="I2454" s="102" t="s">
        <v>3125</v>
      </c>
      <c r="J2454" s="102">
        <v>8179109125</v>
      </c>
      <c r="K2454" s="95"/>
      <c r="L2454" s="95"/>
      <c r="M2454" s="67"/>
      <c r="N2454" s="67"/>
      <c r="O2454" s="67"/>
    </row>
    <row r="2455" spans="1:15" ht="15">
      <c r="A2455" s="101" t="s">
        <v>3361</v>
      </c>
      <c r="B2455" s="93" t="s">
        <v>587</v>
      </c>
      <c r="C2455" s="102" t="s">
        <v>618</v>
      </c>
      <c r="D2455" s="93" t="s">
        <v>618</v>
      </c>
      <c r="E2455" s="93" t="s">
        <v>6044</v>
      </c>
      <c r="F2455" s="95" t="s">
        <v>3138</v>
      </c>
      <c r="G2455" s="95"/>
      <c r="H2455" s="93" t="s">
        <v>4</v>
      </c>
      <c r="I2455" s="95"/>
      <c r="J2455" s="102">
        <v>6301525499</v>
      </c>
      <c r="K2455" s="95"/>
      <c r="L2455" s="95"/>
      <c r="M2455" s="67"/>
      <c r="N2455" s="67"/>
      <c r="O2455" s="67"/>
    </row>
    <row r="2456" spans="1:15" ht="15">
      <c r="A2456" s="91" t="s">
        <v>8</v>
      </c>
      <c r="B2456" s="91" t="s">
        <v>587</v>
      </c>
      <c r="C2456" s="92" t="str">
        <f ca="1">IFERROR(__xludf.DUMMYFUNCTION("filter('Back End'!C:C,'Back End'!A:A=A2456,'Back End'!B:B=B2456,'Back End'!D:D=D2456)"),"Raghavapatnam")</f>
        <v>Raghavapatnam</v>
      </c>
      <c r="D2456" s="91" t="s">
        <v>621</v>
      </c>
      <c r="E2456" s="91" t="s">
        <v>6045</v>
      </c>
      <c r="F2456" s="67" t="s">
        <v>3138</v>
      </c>
      <c r="G2456" s="67"/>
      <c r="H2456" s="93" t="s">
        <v>5</v>
      </c>
      <c r="I2456" s="67"/>
      <c r="J2456" s="92">
        <v>9912237716</v>
      </c>
      <c r="K2456" s="67"/>
      <c r="L2456" s="67"/>
      <c r="M2456" s="67"/>
      <c r="N2456" s="67"/>
      <c r="O2456" s="67"/>
    </row>
    <row r="2457" spans="1:15" ht="15">
      <c r="A2457" s="91" t="s">
        <v>8</v>
      </c>
      <c r="B2457" s="91" t="s">
        <v>587</v>
      </c>
      <c r="C2457" s="92" t="str">
        <f ca="1">IFERROR(__xludf.DUMMYFUNCTION("filter('Back End'!C:C,'Back End'!A:A=A2457,'Back End'!B:B=B2457,'Back End'!D:D=D2457)"),"Rowthulapudi")</f>
        <v>Rowthulapudi</v>
      </c>
      <c r="D2457" s="91" t="s">
        <v>587</v>
      </c>
      <c r="E2457" s="91" t="s">
        <v>6046</v>
      </c>
      <c r="F2457" s="67" t="s">
        <v>3138</v>
      </c>
      <c r="G2457" s="67"/>
      <c r="H2457" s="93" t="s">
        <v>5</v>
      </c>
      <c r="I2457" s="67"/>
      <c r="J2457" s="92">
        <v>8142956403</v>
      </c>
      <c r="K2457" s="67"/>
      <c r="L2457" s="67"/>
      <c r="M2457" s="67"/>
      <c r="N2457" s="67"/>
      <c r="O2457" s="67"/>
    </row>
    <row r="2458" spans="1:15" ht="15">
      <c r="A2458" s="91" t="s">
        <v>8</v>
      </c>
      <c r="B2458" s="91" t="s">
        <v>587</v>
      </c>
      <c r="C2458" s="92" t="str">
        <f ca="1">IFERROR(__xludf.DUMMYFUNCTION("filter('Back End'!C:C,'Back End'!A:A=A2458,'Back End'!B:B=B2458,'Back End'!D:D=D2458)"),"Rowthulapudi")</f>
        <v>Rowthulapudi</v>
      </c>
      <c r="D2458" s="91" t="s">
        <v>587</v>
      </c>
      <c r="E2458" s="91" t="s">
        <v>6047</v>
      </c>
      <c r="F2458" s="67" t="s">
        <v>3138</v>
      </c>
      <c r="G2458" s="67"/>
      <c r="H2458" s="93" t="s">
        <v>5</v>
      </c>
      <c r="I2458" s="67"/>
      <c r="J2458" s="92">
        <v>8143777403</v>
      </c>
      <c r="K2458" s="67"/>
      <c r="L2458" s="67"/>
      <c r="M2458" s="67"/>
      <c r="N2458" s="67"/>
      <c r="O2458" s="67"/>
    </row>
    <row r="2459" spans="1:15" ht="15">
      <c r="A2459" s="91" t="s">
        <v>8</v>
      </c>
      <c r="B2459" s="91" t="s">
        <v>587</v>
      </c>
      <c r="C2459" s="92" t="str">
        <f ca="1">IFERROR(__xludf.DUMMYFUNCTION("filter('Back End'!C:C,'Back End'!A:A=A2459,'Back End'!B:B=B2459,'Back End'!D:D=D2459)"),"Rowthulapudi")</f>
        <v>Rowthulapudi</v>
      </c>
      <c r="D2459" s="91" t="s">
        <v>587</v>
      </c>
      <c r="E2459" s="91" t="s">
        <v>6048</v>
      </c>
      <c r="F2459" s="91" t="s">
        <v>586</v>
      </c>
      <c r="G2459" s="91" t="s">
        <v>615</v>
      </c>
      <c r="H2459" s="93" t="s">
        <v>5</v>
      </c>
      <c r="I2459" s="67"/>
      <c r="J2459" s="92">
        <v>9059294444</v>
      </c>
      <c r="K2459" s="67"/>
      <c r="L2459" s="67"/>
      <c r="M2459" s="67"/>
      <c r="N2459" s="67"/>
      <c r="O2459" s="67"/>
    </row>
    <row r="2460" spans="1:15" ht="15">
      <c r="A2460" s="91" t="s">
        <v>8</v>
      </c>
      <c r="B2460" s="91" t="s">
        <v>587</v>
      </c>
      <c r="C2460" s="92" t="str">
        <f ca="1">IFERROR(__xludf.DUMMYFUNCTION("filter('Back End'!C:C,'Back End'!A:A=A2460,'Back End'!B:B=B2460,'Back End'!D:D=D2460)"),"Rowthulapudi")</f>
        <v>Rowthulapudi</v>
      </c>
      <c r="D2460" s="91" t="s">
        <v>587</v>
      </c>
      <c r="E2460" s="91" t="s">
        <v>6049</v>
      </c>
      <c r="F2460" s="67" t="s">
        <v>3138</v>
      </c>
      <c r="G2460" s="67"/>
      <c r="H2460" s="93" t="s">
        <v>5</v>
      </c>
      <c r="I2460" s="67"/>
      <c r="J2460" s="92">
        <v>9505714203</v>
      </c>
      <c r="K2460" s="67"/>
      <c r="L2460" s="67"/>
      <c r="M2460" s="67"/>
      <c r="N2460" s="67"/>
      <c r="O2460" s="67"/>
    </row>
    <row r="2461" spans="1:15" ht="15">
      <c r="A2461" s="91" t="s">
        <v>8</v>
      </c>
      <c r="B2461" s="91" t="s">
        <v>587</v>
      </c>
      <c r="C2461" s="92" t="str">
        <f ca="1">IFERROR(__xludf.DUMMYFUNCTION("filter('Back End'!C:C,'Back End'!A:A=A2461,'Back End'!B:B=B2461,'Back End'!D:D=D2461)"),"Rowthulapudi")</f>
        <v>Rowthulapudi</v>
      </c>
      <c r="D2461" s="91" t="s">
        <v>587</v>
      </c>
      <c r="E2461" s="91" t="s">
        <v>5417</v>
      </c>
      <c r="F2461" s="67" t="s">
        <v>3138</v>
      </c>
      <c r="G2461" s="67"/>
      <c r="H2461" s="93" t="s">
        <v>5</v>
      </c>
      <c r="I2461" s="67"/>
      <c r="J2461" s="92">
        <v>9959841826</v>
      </c>
      <c r="K2461" s="67"/>
      <c r="L2461" s="67"/>
      <c r="M2461" s="67"/>
      <c r="N2461" s="67"/>
      <c r="O2461" s="67"/>
    </row>
    <row r="2462" spans="1:15" ht="15">
      <c r="A2462" s="91" t="s">
        <v>8</v>
      </c>
      <c r="B2462" s="91" t="s">
        <v>587</v>
      </c>
      <c r="C2462" s="92" t="str">
        <f ca="1">IFERROR(__xludf.DUMMYFUNCTION("filter('Back End'!C:C,'Back End'!A:A=A2462,'Back End'!B:B=B2462,'Back End'!D:D=D2462)"),"Rowthulapudi")</f>
        <v>Rowthulapudi</v>
      </c>
      <c r="D2462" s="91" t="s">
        <v>587</v>
      </c>
      <c r="E2462" s="91" t="s">
        <v>6050</v>
      </c>
      <c r="F2462" s="67" t="s">
        <v>3138</v>
      </c>
      <c r="G2462" s="67"/>
      <c r="H2462" s="93" t="s">
        <v>5</v>
      </c>
      <c r="I2462" s="67"/>
      <c r="J2462" s="92">
        <v>9849441548</v>
      </c>
      <c r="K2462" s="67"/>
      <c r="L2462" s="67"/>
      <c r="M2462" s="67"/>
      <c r="N2462" s="67"/>
      <c r="O2462" s="67"/>
    </row>
    <row r="2463" spans="1:15" ht="15">
      <c r="A2463" s="91" t="s">
        <v>8</v>
      </c>
      <c r="B2463" s="91" t="s">
        <v>587</v>
      </c>
      <c r="C2463" s="92" t="str">
        <f ca="1">IFERROR(__xludf.DUMMYFUNCTION("filter('Back End'!C:C,'Back End'!A:A=A2463,'Back End'!B:B=B2463,'Back End'!D:D=D2463)"),"Rowthulapudi")</f>
        <v>Rowthulapudi</v>
      </c>
      <c r="D2463" s="91" t="s">
        <v>587</v>
      </c>
      <c r="E2463" s="91" t="s">
        <v>6051</v>
      </c>
      <c r="F2463" s="91" t="s">
        <v>586</v>
      </c>
      <c r="G2463" s="91" t="s">
        <v>615</v>
      </c>
      <c r="H2463" s="93" t="s">
        <v>5</v>
      </c>
      <c r="I2463" s="67"/>
      <c r="J2463" s="92">
        <v>9533264688</v>
      </c>
      <c r="K2463" s="67"/>
      <c r="L2463" s="67"/>
      <c r="M2463" s="67"/>
      <c r="N2463" s="67"/>
      <c r="O2463" s="67"/>
    </row>
    <row r="2464" spans="1:15" ht="15">
      <c r="A2464" s="91" t="s">
        <v>8</v>
      </c>
      <c r="B2464" s="91" t="s">
        <v>587</v>
      </c>
      <c r="C2464" s="92" t="str">
        <f ca="1">IFERROR(__xludf.DUMMYFUNCTION("filter('Back End'!C:C,'Back End'!A:A=A2464,'Back End'!B:B=B2464,'Back End'!D:D=D2464)"),"S.Pydipala")</f>
        <v>S.Pydipala</v>
      </c>
      <c r="D2464" s="91" t="s">
        <v>629</v>
      </c>
      <c r="E2464" s="91" t="s">
        <v>5139</v>
      </c>
      <c r="F2464" s="67" t="s">
        <v>3138</v>
      </c>
      <c r="G2464" s="67"/>
      <c r="H2464" s="93" t="s">
        <v>5</v>
      </c>
      <c r="I2464" s="67"/>
      <c r="J2464" s="92">
        <v>7036356186</v>
      </c>
      <c r="K2464" s="67"/>
      <c r="L2464" s="67"/>
      <c r="M2464" s="67"/>
      <c r="N2464" s="67"/>
      <c r="O2464" s="67"/>
    </row>
    <row r="2465" spans="1:15" ht="15">
      <c r="A2465" s="91" t="s">
        <v>8</v>
      </c>
      <c r="B2465" s="91" t="s">
        <v>587</v>
      </c>
      <c r="C2465" s="92" t="str">
        <f ca="1">IFERROR(__xludf.DUMMYFUNCTION("filter('Back End'!C:C,'Back End'!A:A=A2465,'Back End'!B:B=B2465,'Back End'!D:D=D2465)"),"S.Pydipala")</f>
        <v>S.Pydipala</v>
      </c>
      <c r="D2465" s="91" t="s">
        <v>629</v>
      </c>
      <c r="E2465" s="91" t="s">
        <v>6052</v>
      </c>
      <c r="F2465" s="91" t="s">
        <v>595</v>
      </c>
      <c r="G2465" s="91" t="s">
        <v>594</v>
      </c>
      <c r="H2465" s="93" t="s">
        <v>5</v>
      </c>
      <c r="I2465" s="67"/>
      <c r="J2465" s="92">
        <v>9640435373</v>
      </c>
      <c r="K2465" s="67"/>
      <c r="L2465" s="67"/>
      <c r="M2465" s="67"/>
      <c r="N2465" s="67"/>
      <c r="O2465" s="67"/>
    </row>
    <row r="2466" spans="1:15" ht="45">
      <c r="A2466" s="91" t="s">
        <v>8</v>
      </c>
      <c r="B2466" s="91" t="s">
        <v>587</v>
      </c>
      <c r="C2466" s="92" t="str">
        <f ca="1">IFERROR(__xludf.DUMMYFUNCTION("filter('Back End'!C:C,'Back End'!A:A=A2466,'Back End'!B:B=B2466,'Back End'!D:D=D2466)"),"Srungavaram")</f>
        <v>Srungavaram</v>
      </c>
      <c r="D2466" s="91" t="s">
        <v>631</v>
      </c>
      <c r="E2466" s="91" t="s">
        <v>6053</v>
      </c>
      <c r="F2466" s="91" t="s">
        <v>1668</v>
      </c>
      <c r="G2466" s="91" t="s">
        <v>615</v>
      </c>
      <c r="H2466" s="93" t="s">
        <v>5</v>
      </c>
      <c r="I2466" s="92" t="s">
        <v>6054</v>
      </c>
      <c r="J2466" s="92">
        <v>9849207108</v>
      </c>
      <c r="K2466" s="67"/>
      <c r="L2466" s="67"/>
      <c r="M2466" s="67"/>
      <c r="N2466" s="67"/>
      <c r="O2466" s="67"/>
    </row>
    <row r="2467" spans="1:15" ht="30">
      <c r="A2467" s="91" t="s">
        <v>8</v>
      </c>
      <c r="B2467" s="91" t="s">
        <v>587</v>
      </c>
      <c r="C2467" s="92" t="str">
        <f ca="1">IFERROR(__xludf.DUMMYFUNCTION("filter('Back End'!C:C,'Back End'!A:A=A2467,'Back End'!B:B=B2467,'Back End'!D:D=D2467)"),"Srungavaram")</f>
        <v>Srungavaram</v>
      </c>
      <c r="D2467" s="91" t="s">
        <v>631</v>
      </c>
      <c r="E2467" s="91" t="s">
        <v>6055</v>
      </c>
      <c r="F2467" s="91" t="s">
        <v>139</v>
      </c>
      <c r="G2467" s="91" t="s">
        <v>594</v>
      </c>
      <c r="H2467" s="93" t="s">
        <v>5</v>
      </c>
      <c r="I2467" s="92" t="s">
        <v>6056</v>
      </c>
      <c r="J2467" s="92">
        <v>9573343333</v>
      </c>
      <c r="K2467" s="67"/>
      <c r="L2467" s="67"/>
      <c r="M2467" s="67"/>
      <c r="N2467" s="67"/>
      <c r="O2467" s="67"/>
    </row>
    <row r="2468" spans="1:15" ht="30">
      <c r="A2468" s="91" t="s">
        <v>8</v>
      </c>
      <c r="B2468" s="91" t="s">
        <v>587</v>
      </c>
      <c r="C2468" s="92" t="str">
        <f ca="1">IFERROR(__xludf.DUMMYFUNCTION("filter('Back End'!C:C,'Back End'!A:A=A2468,'Back End'!B:B=B2468,'Back End'!D:D=D2468)"),"Srungavaram")</f>
        <v>Srungavaram</v>
      </c>
      <c r="D2468" s="91" t="s">
        <v>631</v>
      </c>
      <c r="E2468" s="91" t="s">
        <v>6057</v>
      </c>
      <c r="F2468" s="91" t="s">
        <v>114</v>
      </c>
      <c r="G2468" s="91" t="s">
        <v>85</v>
      </c>
      <c r="H2468" s="93" t="s">
        <v>4</v>
      </c>
      <c r="I2468" s="92" t="s">
        <v>4333</v>
      </c>
      <c r="J2468" s="92">
        <v>8185823581</v>
      </c>
      <c r="K2468" s="67"/>
      <c r="L2468" s="67"/>
      <c r="M2468" s="67"/>
      <c r="N2468" s="67"/>
      <c r="O2468" s="67"/>
    </row>
    <row r="2469" spans="1:15" ht="45">
      <c r="A2469" s="91" t="s">
        <v>8</v>
      </c>
      <c r="B2469" s="100" t="s">
        <v>587</v>
      </c>
      <c r="C2469" s="92" t="s">
        <v>631</v>
      </c>
      <c r="D2469" s="91" t="s">
        <v>631</v>
      </c>
      <c r="E2469" s="100" t="s">
        <v>6058</v>
      </c>
      <c r="F2469" s="91" t="s">
        <v>139</v>
      </c>
      <c r="G2469" s="91" t="s">
        <v>594</v>
      </c>
      <c r="H2469" s="93" t="s">
        <v>4</v>
      </c>
      <c r="I2469" s="92" t="s">
        <v>6059</v>
      </c>
      <c r="J2469" s="97">
        <v>9160929954</v>
      </c>
      <c r="K2469" s="99"/>
      <c r="L2469" s="99"/>
      <c r="M2469" s="67"/>
      <c r="N2469" s="67"/>
      <c r="O2469" s="67"/>
    </row>
    <row r="2470" spans="1:15" ht="30">
      <c r="A2470" s="91" t="s">
        <v>8</v>
      </c>
      <c r="B2470" s="93" t="s">
        <v>587</v>
      </c>
      <c r="C2470" s="92" t="s">
        <v>631</v>
      </c>
      <c r="D2470" s="91" t="s">
        <v>631</v>
      </c>
      <c r="E2470" s="93" t="s">
        <v>6060</v>
      </c>
      <c r="F2470" s="91" t="s">
        <v>114</v>
      </c>
      <c r="G2470" s="91" t="s">
        <v>85</v>
      </c>
      <c r="H2470" s="93" t="s">
        <v>4</v>
      </c>
      <c r="I2470" s="92" t="s">
        <v>3463</v>
      </c>
      <c r="J2470" s="102">
        <v>9490285197</v>
      </c>
      <c r="K2470" s="95"/>
      <c r="L2470" s="95"/>
      <c r="M2470" s="67"/>
      <c r="N2470" s="67"/>
      <c r="O2470" s="67"/>
    </row>
    <row r="2471" spans="1:15" ht="15">
      <c r="A2471" s="91" t="s">
        <v>8</v>
      </c>
      <c r="B2471" s="93" t="s">
        <v>587</v>
      </c>
      <c r="C2471" s="92" t="s">
        <v>631</v>
      </c>
      <c r="D2471" s="91" t="s">
        <v>631</v>
      </c>
      <c r="E2471" s="93" t="s">
        <v>6061</v>
      </c>
      <c r="F2471" s="91" t="s">
        <v>139</v>
      </c>
      <c r="G2471" s="91" t="s">
        <v>594</v>
      </c>
      <c r="H2471" s="93" t="s">
        <v>4</v>
      </c>
      <c r="I2471" s="92" t="s">
        <v>3125</v>
      </c>
      <c r="J2471" s="102">
        <v>8500810981</v>
      </c>
      <c r="K2471" s="95"/>
      <c r="L2471" s="95"/>
      <c r="M2471" s="67"/>
      <c r="N2471" s="67"/>
      <c r="O2471" s="67"/>
    </row>
    <row r="2472" spans="1:15" ht="30">
      <c r="A2472" s="91" t="s">
        <v>8</v>
      </c>
      <c r="B2472" s="93" t="s">
        <v>587</v>
      </c>
      <c r="C2472" s="92" t="s">
        <v>631</v>
      </c>
      <c r="D2472" s="91" t="s">
        <v>631</v>
      </c>
      <c r="E2472" s="93" t="s">
        <v>6062</v>
      </c>
      <c r="F2472" s="91" t="s">
        <v>1661</v>
      </c>
      <c r="G2472" s="91" t="s">
        <v>615</v>
      </c>
      <c r="H2472" s="93" t="s">
        <v>4</v>
      </c>
      <c r="I2472" s="92" t="s">
        <v>6063</v>
      </c>
      <c r="J2472" s="102">
        <v>9966745495</v>
      </c>
      <c r="K2472" s="95"/>
      <c r="L2472" s="95"/>
      <c r="M2472" s="67"/>
      <c r="N2472" s="67"/>
      <c r="O2472" s="67"/>
    </row>
    <row r="2473" spans="1:15" ht="30">
      <c r="A2473" s="91" t="s">
        <v>8</v>
      </c>
      <c r="B2473" s="93" t="s">
        <v>587</v>
      </c>
      <c r="C2473" s="92" t="s">
        <v>631</v>
      </c>
      <c r="D2473" s="91" t="s">
        <v>631</v>
      </c>
      <c r="E2473" s="93" t="s">
        <v>6064</v>
      </c>
      <c r="F2473" s="91" t="s">
        <v>139</v>
      </c>
      <c r="G2473" s="91" t="s">
        <v>594</v>
      </c>
      <c r="H2473" s="93" t="s">
        <v>5</v>
      </c>
      <c r="I2473" s="92" t="s">
        <v>3205</v>
      </c>
      <c r="J2473" s="102">
        <v>9866440655</v>
      </c>
      <c r="K2473" s="95"/>
      <c r="L2473" s="95"/>
      <c r="M2473" s="67"/>
      <c r="N2473" s="67"/>
      <c r="O2473" s="67"/>
    </row>
    <row r="2474" spans="1:15" ht="30">
      <c r="A2474" s="91" t="s">
        <v>8</v>
      </c>
      <c r="B2474" s="93" t="s">
        <v>587</v>
      </c>
      <c r="C2474" s="92" t="s">
        <v>631</v>
      </c>
      <c r="D2474" s="91" t="s">
        <v>631</v>
      </c>
      <c r="E2474" s="93" t="s">
        <v>6065</v>
      </c>
      <c r="F2474" s="91" t="s">
        <v>165</v>
      </c>
      <c r="G2474" s="91" t="s">
        <v>615</v>
      </c>
      <c r="H2474" s="93" t="s">
        <v>4</v>
      </c>
      <c r="I2474" s="92" t="s">
        <v>6066</v>
      </c>
      <c r="J2474" s="102">
        <v>9553521482</v>
      </c>
      <c r="K2474" s="95"/>
      <c r="L2474" s="95"/>
      <c r="M2474" s="67"/>
      <c r="N2474" s="67"/>
      <c r="O2474" s="67"/>
    </row>
    <row r="2475" spans="1:15" ht="15">
      <c r="A2475" s="91" t="s">
        <v>8</v>
      </c>
      <c r="B2475" s="93" t="s">
        <v>587</v>
      </c>
      <c r="C2475" s="92" t="s">
        <v>631</v>
      </c>
      <c r="D2475" s="91" t="s">
        <v>631</v>
      </c>
      <c r="E2475" s="93" t="s">
        <v>6067</v>
      </c>
      <c r="F2475" s="91" t="s">
        <v>139</v>
      </c>
      <c r="G2475" s="91" t="s">
        <v>594</v>
      </c>
      <c r="H2475" s="93" t="s">
        <v>5</v>
      </c>
      <c r="I2475" s="92" t="s">
        <v>3112</v>
      </c>
      <c r="J2475" s="95"/>
      <c r="K2475" s="95"/>
      <c r="L2475" s="95"/>
      <c r="M2475" s="67"/>
      <c r="N2475" s="67"/>
      <c r="O2475" s="67"/>
    </row>
    <row r="2476" spans="1:15" ht="30">
      <c r="A2476" s="101" t="s">
        <v>8</v>
      </c>
      <c r="B2476" s="93" t="s">
        <v>587</v>
      </c>
      <c r="C2476" s="92" t="s">
        <v>631</v>
      </c>
      <c r="D2476" s="91" t="s">
        <v>631</v>
      </c>
      <c r="E2476" s="93" t="s">
        <v>6068</v>
      </c>
      <c r="F2476" s="91" t="s">
        <v>165</v>
      </c>
      <c r="G2476" s="91" t="s">
        <v>615</v>
      </c>
      <c r="H2476" s="93" t="s">
        <v>4</v>
      </c>
      <c r="I2476" s="92" t="s">
        <v>3463</v>
      </c>
      <c r="J2476" s="102">
        <v>6305904450</v>
      </c>
      <c r="K2476" s="95"/>
      <c r="L2476" s="95"/>
      <c r="M2476" s="67"/>
      <c r="N2476" s="67"/>
      <c r="O2476" s="67"/>
    </row>
    <row r="2477" spans="1:15" ht="15">
      <c r="A2477" s="91" t="s">
        <v>8</v>
      </c>
      <c r="B2477" s="91" t="s">
        <v>633</v>
      </c>
      <c r="C2477" s="92" t="str">
        <f ca="1">IFERROR(__xludf.DUMMYFUNCTION("filter('Back End'!C:C,'Back End'!A:A=A2477,'Back End'!B:B=B2477,'Back End'!D:D=D2477)"),"Sankhavaram")</f>
        <v>Sankhavaram</v>
      </c>
      <c r="D2477" s="91" t="s">
        <v>633</v>
      </c>
      <c r="E2477" s="91" t="s">
        <v>6069</v>
      </c>
      <c r="F2477" s="91" t="s">
        <v>114</v>
      </c>
      <c r="G2477" s="91" t="s">
        <v>85</v>
      </c>
      <c r="H2477" s="93" t="s">
        <v>5</v>
      </c>
      <c r="I2477" s="67"/>
      <c r="J2477" s="92">
        <v>8008284669</v>
      </c>
      <c r="K2477" s="67"/>
      <c r="L2477" s="67"/>
      <c r="M2477" s="67"/>
      <c r="N2477" s="67"/>
      <c r="O2477" s="67"/>
    </row>
    <row r="2478" spans="1:15" ht="15">
      <c r="A2478" s="91" t="s">
        <v>8</v>
      </c>
      <c r="B2478" s="91" t="s">
        <v>633</v>
      </c>
      <c r="C2478" s="92" t="str">
        <f ca="1">IFERROR(__xludf.DUMMYFUNCTION("filter('Back End'!C:C,'Back End'!A:A=A2478,'Back End'!B:B=B2478,'Back End'!D:D=D2478)"),"Annavaram")</f>
        <v>Annavaram</v>
      </c>
      <c r="D2478" s="91" t="s">
        <v>635</v>
      </c>
      <c r="E2478" s="91" t="s">
        <v>6070</v>
      </c>
      <c r="F2478" s="67" t="s">
        <v>3138</v>
      </c>
      <c r="G2478" s="67"/>
      <c r="H2478" s="93" t="s">
        <v>5</v>
      </c>
      <c r="I2478" s="67"/>
      <c r="J2478" s="92">
        <v>9848321378</v>
      </c>
      <c r="K2478" s="67"/>
      <c r="L2478" s="67"/>
      <c r="M2478" s="67"/>
      <c r="N2478" s="67"/>
      <c r="O2478" s="67"/>
    </row>
    <row r="2479" spans="1:15" ht="15">
      <c r="A2479" s="91" t="s">
        <v>8</v>
      </c>
      <c r="B2479" s="91" t="s">
        <v>633</v>
      </c>
      <c r="C2479" s="92" t="str">
        <f ca="1">IFERROR(__xludf.DUMMYFUNCTION("filter('Back End'!C:C,'Back End'!A:A=A2479,'Back End'!B:B=B2479,'Back End'!D:D=D2479)"),"Annavaram")</f>
        <v>Annavaram</v>
      </c>
      <c r="D2479" s="91" t="s">
        <v>635</v>
      </c>
      <c r="E2479" s="91" t="s">
        <v>6071</v>
      </c>
      <c r="F2479" s="67" t="s">
        <v>3138</v>
      </c>
      <c r="G2479" s="67"/>
      <c r="H2479" s="93" t="s">
        <v>5</v>
      </c>
      <c r="I2479" s="67"/>
      <c r="J2479" s="92">
        <v>9248457244</v>
      </c>
      <c r="K2479" s="67"/>
      <c r="L2479" s="67"/>
      <c r="M2479" s="67"/>
      <c r="N2479" s="67"/>
      <c r="O2479" s="67"/>
    </row>
    <row r="2480" spans="1:15" ht="15">
      <c r="A2480" s="91" t="s">
        <v>8</v>
      </c>
      <c r="B2480" s="91" t="s">
        <v>633</v>
      </c>
      <c r="C2480" s="92" t="str">
        <f ca="1">IFERROR(__xludf.DUMMYFUNCTION("filter('Back End'!C:C,'Back End'!A:A=A2480,'Back End'!B:B=B2480,'Back End'!D:D=D2480)"),"Annavaram")</f>
        <v>Annavaram</v>
      </c>
      <c r="D2480" s="91" t="s">
        <v>635</v>
      </c>
      <c r="E2480" s="91" t="s">
        <v>6072</v>
      </c>
      <c r="F2480" s="67" t="s">
        <v>3138</v>
      </c>
      <c r="G2480" s="67"/>
      <c r="H2480" s="93" t="s">
        <v>5</v>
      </c>
      <c r="I2480" s="67"/>
      <c r="J2480" s="92">
        <v>9848521650</v>
      </c>
      <c r="K2480" s="67"/>
      <c r="L2480" s="67"/>
      <c r="M2480" s="67"/>
      <c r="N2480" s="67"/>
      <c r="O2480" s="67"/>
    </row>
    <row r="2481" spans="1:15" ht="15">
      <c r="A2481" s="91" t="s">
        <v>8</v>
      </c>
      <c r="B2481" s="91" t="s">
        <v>633</v>
      </c>
      <c r="C2481" s="92" t="str">
        <f ca="1">IFERROR(__xludf.DUMMYFUNCTION("filter('Back End'!C:C,'Back End'!A:A=A2481,'Back End'!B:B=B2481,'Back End'!D:D=D2481)"),"Annavaram")</f>
        <v>Annavaram</v>
      </c>
      <c r="D2481" s="91" t="s">
        <v>635</v>
      </c>
      <c r="E2481" s="91" t="s">
        <v>6073</v>
      </c>
      <c r="F2481" s="91" t="s">
        <v>114</v>
      </c>
      <c r="G2481" s="91" t="s">
        <v>85</v>
      </c>
      <c r="H2481" s="93" t="s">
        <v>5</v>
      </c>
      <c r="I2481" s="67"/>
      <c r="J2481" s="92">
        <v>9494945118</v>
      </c>
      <c r="K2481" s="67"/>
      <c r="L2481" s="67"/>
      <c r="M2481" s="67"/>
      <c r="N2481" s="67"/>
      <c r="O2481" s="67"/>
    </row>
    <row r="2482" spans="1:15" ht="15">
      <c r="A2482" s="91" t="s">
        <v>8</v>
      </c>
      <c r="B2482" s="91" t="s">
        <v>633</v>
      </c>
      <c r="C2482" s="92" t="str">
        <f ca="1">IFERROR(__xludf.DUMMYFUNCTION("filter('Back End'!C:C,'Back End'!A:A=A2482,'Back End'!B:B=B2482,'Back End'!D:D=D2482)"),"Annavaram")</f>
        <v>Annavaram</v>
      </c>
      <c r="D2482" s="91" t="s">
        <v>635</v>
      </c>
      <c r="E2482" s="91" t="s">
        <v>3269</v>
      </c>
      <c r="F2482" s="67" t="s">
        <v>3138</v>
      </c>
      <c r="G2482" s="67"/>
      <c r="H2482" s="93" t="s">
        <v>5</v>
      </c>
      <c r="I2482" s="67"/>
      <c r="J2482" s="92">
        <v>9848084612</v>
      </c>
      <c r="K2482" s="67"/>
      <c r="L2482" s="67"/>
      <c r="M2482" s="67"/>
      <c r="N2482" s="67"/>
      <c r="O2482" s="67"/>
    </row>
    <row r="2483" spans="1:15" ht="15">
      <c r="A2483" s="91" t="s">
        <v>8</v>
      </c>
      <c r="B2483" s="91" t="s">
        <v>633</v>
      </c>
      <c r="C2483" s="92" t="str">
        <f ca="1">IFERROR(__xludf.DUMMYFUNCTION("filter('Back End'!C:C,'Back End'!A:A=A2483,'Back End'!B:B=B2483,'Back End'!D:D=D2483)"),"Annavaram")</f>
        <v>Annavaram</v>
      </c>
      <c r="D2483" s="91" t="s">
        <v>635</v>
      </c>
      <c r="E2483" s="91" t="s">
        <v>6074</v>
      </c>
      <c r="F2483" s="67" t="s">
        <v>3138</v>
      </c>
      <c r="G2483" s="67"/>
      <c r="H2483" s="93" t="s">
        <v>5</v>
      </c>
      <c r="I2483" s="67"/>
      <c r="J2483" s="92">
        <v>8341222500</v>
      </c>
      <c r="K2483" s="67"/>
      <c r="L2483" s="67"/>
      <c r="M2483" s="67"/>
      <c r="N2483" s="67"/>
      <c r="O2483" s="67"/>
    </row>
    <row r="2484" spans="1:15" ht="15">
      <c r="A2484" s="91" t="s">
        <v>8</v>
      </c>
      <c r="B2484" s="91" t="s">
        <v>633</v>
      </c>
      <c r="C2484" s="92" t="str">
        <f ca="1">IFERROR(__xludf.DUMMYFUNCTION("filter('Back End'!C:C,'Back End'!A:A=A2484,'Back End'!B:B=B2484,'Back End'!D:D=D2484)"),"Annavaram")</f>
        <v>Annavaram</v>
      </c>
      <c r="D2484" s="91" t="s">
        <v>635</v>
      </c>
      <c r="E2484" s="91" t="s">
        <v>6075</v>
      </c>
      <c r="F2484" s="91" t="s">
        <v>586</v>
      </c>
      <c r="G2484" s="91" t="s">
        <v>615</v>
      </c>
      <c r="H2484" s="93" t="s">
        <v>5</v>
      </c>
      <c r="I2484" s="67"/>
      <c r="J2484" s="92">
        <v>9908791248</v>
      </c>
      <c r="K2484" s="67"/>
      <c r="L2484" s="67"/>
      <c r="M2484" s="67"/>
      <c r="N2484" s="67"/>
      <c r="O2484" s="67"/>
    </row>
    <row r="2485" spans="1:15" ht="15">
      <c r="A2485" s="91" t="s">
        <v>8</v>
      </c>
      <c r="B2485" s="91" t="s">
        <v>633</v>
      </c>
      <c r="C2485" s="92" t="str">
        <f ca="1">IFERROR(__xludf.DUMMYFUNCTION("filter('Back End'!C:C,'Back End'!A:A=A2485,'Back End'!B:B=B2485,'Back End'!D:D=D2485)"),"Annavaram")</f>
        <v>Annavaram</v>
      </c>
      <c r="D2485" s="91" t="s">
        <v>635</v>
      </c>
      <c r="E2485" s="91" t="s">
        <v>6076</v>
      </c>
      <c r="F2485" s="67" t="s">
        <v>3138</v>
      </c>
      <c r="G2485" s="67"/>
      <c r="H2485" s="93" t="s">
        <v>5</v>
      </c>
      <c r="I2485" s="67"/>
      <c r="J2485" s="92">
        <v>7997119985</v>
      </c>
      <c r="K2485" s="67"/>
      <c r="L2485" s="67"/>
      <c r="M2485" s="67"/>
      <c r="N2485" s="67"/>
      <c r="O2485" s="67"/>
    </row>
    <row r="2486" spans="1:15" ht="15">
      <c r="A2486" s="91" t="s">
        <v>8</v>
      </c>
      <c r="B2486" s="91" t="s">
        <v>633</v>
      </c>
      <c r="C2486" s="92" t="str">
        <f ca="1">IFERROR(__xludf.DUMMYFUNCTION("filter('Back End'!C:C,'Back End'!A:A=A2486,'Back End'!B:B=B2486,'Back End'!D:D=D2486)"),"Annavaram")</f>
        <v>Annavaram</v>
      </c>
      <c r="D2486" s="91" t="s">
        <v>635</v>
      </c>
      <c r="E2486" s="91" t="s">
        <v>6077</v>
      </c>
      <c r="F2486" s="67" t="s">
        <v>3138</v>
      </c>
      <c r="G2486" s="67"/>
      <c r="H2486" s="93" t="s">
        <v>5</v>
      </c>
      <c r="I2486" s="67"/>
      <c r="J2486" s="92">
        <v>8193143182</v>
      </c>
      <c r="K2486" s="67"/>
      <c r="L2486" s="67"/>
      <c r="M2486" s="67"/>
      <c r="N2486" s="67"/>
      <c r="O2486" s="67"/>
    </row>
    <row r="2487" spans="1:15" ht="15">
      <c r="A2487" s="91" t="s">
        <v>8</v>
      </c>
      <c r="B2487" s="91" t="s">
        <v>633</v>
      </c>
      <c r="C2487" s="92" t="str">
        <f ca="1">IFERROR(__xludf.DUMMYFUNCTION("filter('Back End'!C:C,'Back End'!A:A=A2487,'Back End'!B:B=B2487,'Back End'!D:D=D2487)"),"Annavaram")</f>
        <v>Annavaram</v>
      </c>
      <c r="D2487" s="91" t="s">
        <v>635</v>
      </c>
      <c r="E2487" s="91" t="s">
        <v>6078</v>
      </c>
      <c r="F2487" s="67" t="s">
        <v>3138</v>
      </c>
      <c r="G2487" s="67"/>
      <c r="H2487" s="93" t="s">
        <v>5</v>
      </c>
      <c r="I2487" s="67"/>
      <c r="J2487" s="92">
        <v>8317572347</v>
      </c>
      <c r="K2487" s="67"/>
      <c r="L2487" s="67"/>
      <c r="M2487" s="67"/>
      <c r="N2487" s="67"/>
      <c r="O2487" s="67"/>
    </row>
    <row r="2488" spans="1:15" ht="15">
      <c r="A2488" s="91" t="s">
        <v>3361</v>
      </c>
      <c r="B2488" s="91" t="s">
        <v>633</v>
      </c>
      <c r="C2488" s="92" t="str">
        <f ca="1">IFERROR(__xludf.DUMMYFUNCTION("filter('Back End'!C:C,'Back End'!A:A=A2488,'Back End'!B:B=B2488,'Back End'!D:D=D2488)"),"#N/A")</f>
        <v>#N/A</v>
      </c>
      <c r="D2488" s="91" t="s">
        <v>643</v>
      </c>
      <c r="E2488" s="91" t="s">
        <v>6079</v>
      </c>
      <c r="F2488" s="91" t="s">
        <v>165</v>
      </c>
      <c r="G2488" s="91" t="s">
        <v>615</v>
      </c>
      <c r="H2488" s="93" t="s">
        <v>4</v>
      </c>
      <c r="I2488" s="67"/>
      <c r="J2488" s="92">
        <v>9989534966</v>
      </c>
      <c r="K2488" s="67"/>
      <c r="L2488" s="67"/>
      <c r="M2488" s="67"/>
      <c r="N2488" s="67"/>
      <c r="O2488" s="67"/>
    </row>
    <row r="2489" spans="1:15" ht="15">
      <c r="A2489" s="91" t="s">
        <v>3361</v>
      </c>
      <c r="B2489" s="91" t="s">
        <v>633</v>
      </c>
      <c r="C2489" s="92" t="str">
        <f ca="1">IFERROR(__xludf.DUMMYFUNCTION("filter('Back End'!C:C,'Back End'!A:A=A2489,'Back End'!B:B=B2489,'Back End'!D:D=D2489)"),"#N/A")</f>
        <v>#N/A</v>
      </c>
      <c r="D2489" s="91" t="s">
        <v>643</v>
      </c>
      <c r="E2489" s="91" t="s">
        <v>6080</v>
      </c>
      <c r="F2489" s="91" t="s">
        <v>165</v>
      </c>
      <c r="G2489" s="91" t="s">
        <v>615</v>
      </c>
      <c r="H2489" s="93" t="s">
        <v>4</v>
      </c>
      <c r="I2489" s="67"/>
      <c r="J2489" s="92">
        <v>9515355289</v>
      </c>
      <c r="K2489" s="67"/>
      <c r="L2489" s="67"/>
      <c r="M2489" s="67"/>
      <c r="N2489" s="67"/>
      <c r="O2489" s="67"/>
    </row>
    <row r="2490" spans="1:15" ht="15">
      <c r="A2490" s="91" t="s">
        <v>3361</v>
      </c>
      <c r="B2490" s="91" t="s">
        <v>633</v>
      </c>
      <c r="C2490" s="92" t="str">
        <f ca="1">IFERROR(__xludf.DUMMYFUNCTION("filter('Back End'!C:C,'Back End'!A:A=A2490,'Back End'!B:B=B2490,'Back End'!D:D=D2490)"),"#N/A")</f>
        <v>#N/A</v>
      </c>
      <c r="D2490" s="91" t="s">
        <v>643</v>
      </c>
      <c r="E2490" s="91" t="s">
        <v>6081</v>
      </c>
      <c r="F2490" s="91" t="s">
        <v>165</v>
      </c>
      <c r="G2490" s="91" t="s">
        <v>615</v>
      </c>
      <c r="H2490" s="93" t="s">
        <v>4</v>
      </c>
      <c r="I2490" s="67"/>
      <c r="J2490" s="92">
        <v>9030407619</v>
      </c>
      <c r="K2490" s="67"/>
      <c r="L2490" s="67"/>
      <c r="M2490" s="67"/>
      <c r="N2490" s="67"/>
      <c r="O2490" s="67"/>
    </row>
    <row r="2491" spans="1:15" ht="15">
      <c r="A2491" s="91" t="s">
        <v>3361</v>
      </c>
      <c r="B2491" s="91" t="s">
        <v>633</v>
      </c>
      <c r="C2491" s="92" t="str">
        <f ca="1">IFERROR(__xludf.DUMMYFUNCTION("filter('Back End'!C:C,'Back End'!A:A=A2491,'Back End'!B:B=B2491,'Back End'!D:D=D2491)"),"#N/A")</f>
        <v>#N/A</v>
      </c>
      <c r="D2491" s="91" t="s">
        <v>643</v>
      </c>
      <c r="E2491" s="91" t="s">
        <v>6082</v>
      </c>
      <c r="F2491" s="91" t="s">
        <v>165</v>
      </c>
      <c r="G2491" s="91" t="s">
        <v>615</v>
      </c>
      <c r="H2491" s="93" t="s">
        <v>4</v>
      </c>
      <c r="I2491" s="67"/>
      <c r="J2491" s="92">
        <v>9701008111</v>
      </c>
      <c r="K2491" s="67"/>
      <c r="L2491" s="67"/>
      <c r="M2491" s="67"/>
      <c r="N2491" s="67"/>
      <c r="O2491" s="67"/>
    </row>
    <row r="2492" spans="1:15" ht="15">
      <c r="A2492" s="91" t="s">
        <v>3361</v>
      </c>
      <c r="B2492" s="91" t="s">
        <v>633</v>
      </c>
      <c r="C2492" s="92" t="str">
        <f ca="1">IFERROR(__xludf.DUMMYFUNCTION("filter('Back End'!C:C,'Back End'!A:A=A2492,'Back End'!B:B=B2492,'Back End'!D:D=D2492)"),"#N/A")</f>
        <v>#N/A</v>
      </c>
      <c r="D2492" s="91" t="s">
        <v>643</v>
      </c>
      <c r="E2492" s="91" t="s">
        <v>6083</v>
      </c>
      <c r="F2492" s="91" t="s">
        <v>165</v>
      </c>
      <c r="G2492" s="91" t="s">
        <v>615</v>
      </c>
      <c r="H2492" s="93" t="s">
        <v>4</v>
      </c>
      <c r="I2492" s="67"/>
      <c r="J2492" s="92">
        <v>7386766654</v>
      </c>
      <c r="K2492" s="67"/>
      <c r="L2492" s="67"/>
      <c r="M2492" s="67"/>
      <c r="N2492" s="67"/>
      <c r="O2492" s="67"/>
    </row>
    <row r="2493" spans="1:15" ht="15">
      <c r="A2493" s="91" t="s">
        <v>3361</v>
      </c>
      <c r="B2493" s="91" t="s">
        <v>633</v>
      </c>
      <c r="C2493" s="92" t="str">
        <f ca="1">IFERROR(__xludf.DUMMYFUNCTION("filter('Back End'!C:C,'Back End'!A:A=A2493,'Back End'!B:B=B2493,'Back End'!D:D=D2493)"),"#N/A")</f>
        <v>#N/A</v>
      </c>
      <c r="D2493" s="91" t="s">
        <v>643</v>
      </c>
      <c r="E2493" s="91" t="s">
        <v>6084</v>
      </c>
      <c r="F2493" s="91" t="s">
        <v>165</v>
      </c>
      <c r="G2493" s="91" t="s">
        <v>615</v>
      </c>
      <c r="H2493" s="93" t="s">
        <v>4</v>
      </c>
      <c r="I2493" s="67"/>
      <c r="J2493" s="92">
        <v>8247508844</v>
      </c>
      <c r="K2493" s="67"/>
      <c r="L2493" s="67"/>
      <c r="M2493" s="67"/>
      <c r="N2493" s="67"/>
      <c r="O2493" s="67"/>
    </row>
    <row r="2494" spans="1:15" ht="15">
      <c r="A2494" s="91" t="s">
        <v>3361</v>
      </c>
      <c r="B2494" s="91" t="s">
        <v>633</v>
      </c>
      <c r="C2494" s="92" t="str">
        <f ca="1">IFERROR(__xludf.DUMMYFUNCTION("filter('Back End'!C:C,'Back End'!A:A=A2494,'Back End'!B:B=B2494,'Back End'!D:D=D2494)"),"#N/A")</f>
        <v>#N/A</v>
      </c>
      <c r="D2494" s="91" t="s">
        <v>643</v>
      </c>
      <c r="E2494" s="91" t="s">
        <v>6085</v>
      </c>
      <c r="F2494" s="91" t="s">
        <v>165</v>
      </c>
      <c r="G2494" s="91" t="s">
        <v>615</v>
      </c>
      <c r="H2494" s="93" t="s">
        <v>4</v>
      </c>
      <c r="I2494" s="67"/>
      <c r="J2494" s="92">
        <v>9603147978</v>
      </c>
      <c r="K2494" s="67"/>
      <c r="L2494" s="67"/>
      <c r="M2494" s="67"/>
      <c r="N2494" s="67"/>
      <c r="O2494" s="67"/>
    </row>
    <row r="2495" spans="1:15" ht="15">
      <c r="A2495" s="91" t="s">
        <v>3361</v>
      </c>
      <c r="B2495" s="91" t="s">
        <v>633</v>
      </c>
      <c r="C2495" s="92" t="str">
        <f ca="1">IFERROR(__xludf.DUMMYFUNCTION("filter('Back End'!C:C,'Back End'!A:A=A2495,'Back End'!B:B=B2495,'Back End'!D:D=D2495)"),"#N/A")</f>
        <v>#N/A</v>
      </c>
      <c r="D2495" s="91" t="s">
        <v>643</v>
      </c>
      <c r="E2495" s="91" t="s">
        <v>6086</v>
      </c>
      <c r="F2495" s="91" t="s">
        <v>165</v>
      </c>
      <c r="G2495" s="91" t="s">
        <v>615</v>
      </c>
      <c r="H2495" s="93" t="s">
        <v>4</v>
      </c>
      <c r="I2495" s="67"/>
      <c r="J2495" s="92">
        <v>9346311929</v>
      </c>
      <c r="K2495" s="67"/>
      <c r="L2495" s="67"/>
      <c r="M2495" s="67"/>
      <c r="N2495" s="67"/>
      <c r="O2495" s="67"/>
    </row>
    <row r="2496" spans="1:15" ht="15">
      <c r="A2496" s="91" t="s">
        <v>3361</v>
      </c>
      <c r="B2496" s="91" t="s">
        <v>633</v>
      </c>
      <c r="C2496" s="92" t="str">
        <f ca="1">IFERROR(__xludf.DUMMYFUNCTION("filter('Back End'!C:C,'Back End'!A:A=A2496,'Back End'!B:B=B2496,'Back End'!D:D=D2496)"),"#N/A")</f>
        <v>#N/A</v>
      </c>
      <c r="D2496" s="91" t="s">
        <v>643</v>
      </c>
      <c r="E2496" s="91" t="s">
        <v>6087</v>
      </c>
      <c r="F2496" s="91" t="s">
        <v>165</v>
      </c>
      <c r="G2496" s="91" t="s">
        <v>615</v>
      </c>
      <c r="H2496" s="93" t="s">
        <v>4</v>
      </c>
      <c r="I2496" s="67"/>
      <c r="J2496" s="92">
        <v>9030209777</v>
      </c>
      <c r="K2496" s="67"/>
      <c r="L2496" s="67"/>
      <c r="M2496" s="67"/>
      <c r="N2496" s="67"/>
      <c r="O2496" s="67"/>
    </row>
    <row r="2497" spans="1:15" ht="15">
      <c r="A2497" s="91" t="s">
        <v>3361</v>
      </c>
      <c r="B2497" s="91" t="s">
        <v>633</v>
      </c>
      <c r="C2497" s="92" t="str">
        <f ca="1">IFERROR(__xludf.DUMMYFUNCTION("filter('Back End'!C:C,'Back End'!A:A=A2497,'Back End'!B:B=B2497,'Back End'!D:D=D2497)"),"#N/A")</f>
        <v>#N/A</v>
      </c>
      <c r="D2497" s="91" t="s">
        <v>643</v>
      </c>
      <c r="E2497" s="91" t="s">
        <v>6088</v>
      </c>
      <c r="F2497" s="91" t="s">
        <v>165</v>
      </c>
      <c r="G2497" s="91" t="s">
        <v>615</v>
      </c>
      <c r="H2497" s="93" t="s">
        <v>4</v>
      </c>
      <c r="I2497" s="67"/>
      <c r="J2497" s="92">
        <v>9989843726</v>
      </c>
      <c r="K2497" s="67"/>
      <c r="L2497" s="67"/>
      <c r="M2497" s="67"/>
      <c r="N2497" s="67"/>
      <c r="O2497" s="67"/>
    </row>
    <row r="2498" spans="1:15" ht="15">
      <c r="A2498" s="91" t="s">
        <v>3361</v>
      </c>
      <c r="B2498" s="91" t="s">
        <v>633</v>
      </c>
      <c r="C2498" s="92" t="str">
        <f ca="1">IFERROR(__xludf.DUMMYFUNCTION("filter('Back End'!C:C,'Back End'!A:A=A2498,'Back End'!B:B=B2498,'Back End'!D:D=D2498)"),"#N/A")</f>
        <v>#N/A</v>
      </c>
      <c r="D2498" s="91" t="s">
        <v>643</v>
      </c>
      <c r="E2498" s="91" t="s">
        <v>6089</v>
      </c>
      <c r="F2498" s="91" t="s">
        <v>165</v>
      </c>
      <c r="G2498" s="91" t="s">
        <v>615</v>
      </c>
      <c r="H2498" s="93" t="s">
        <v>4</v>
      </c>
      <c r="I2498" s="67"/>
      <c r="J2498" s="92">
        <v>9866146618</v>
      </c>
      <c r="K2498" s="67"/>
      <c r="L2498" s="67"/>
      <c r="M2498" s="67"/>
      <c r="N2498" s="67"/>
      <c r="O2498" s="67"/>
    </row>
    <row r="2499" spans="1:15" ht="30">
      <c r="A2499" s="91" t="s">
        <v>8</v>
      </c>
      <c r="B2499" s="92" t="s">
        <v>633</v>
      </c>
      <c r="C2499" s="92" t="str">
        <f ca="1">IFERROR(__xludf.DUMMYFUNCTION("filter('Back End'!C:C,'Back End'!A:A=A2499,'Back End'!B:B=B2499,'Back End'!D:D=D2499)"),"Kathipudi")</f>
        <v>Kathipudi</v>
      </c>
      <c r="D2499" s="91" t="s">
        <v>643</v>
      </c>
      <c r="E2499" s="92" t="s">
        <v>6090</v>
      </c>
      <c r="F2499" s="91" t="s">
        <v>139</v>
      </c>
      <c r="G2499" s="91" t="s">
        <v>594</v>
      </c>
      <c r="H2499" s="93" t="s">
        <v>5</v>
      </c>
      <c r="I2499" s="92" t="s">
        <v>4480</v>
      </c>
      <c r="J2499" s="92">
        <v>739678777</v>
      </c>
      <c r="K2499" s="67"/>
      <c r="L2499" s="67"/>
      <c r="M2499" s="67"/>
      <c r="N2499" s="67"/>
      <c r="O2499" s="67"/>
    </row>
    <row r="2500" spans="1:15" ht="15">
      <c r="A2500" s="91" t="s">
        <v>8</v>
      </c>
      <c r="B2500" s="92" t="s">
        <v>633</v>
      </c>
      <c r="C2500" s="92" t="str">
        <f ca="1">IFERROR(__xludf.DUMMYFUNCTION("filter('Back End'!C:C,'Back End'!A:A=A2500,'Back End'!B:B=B2500,'Back End'!D:D=D2500)"),"Kathipudi")</f>
        <v>Kathipudi</v>
      </c>
      <c r="D2500" s="91" t="s">
        <v>643</v>
      </c>
      <c r="E2500" s="92" t="s">
        <v>3442</v>
      </c>
      <c r="F2500" s="91" t="s">
        <v>139</v>
      </c>
      <c r="G2500" s="91" t="s">
        <v>594</v>
      </c>
      <c r="H2500" s="93" t="s">
        <v>5</v>
      </c>
      <c r="I2500" s="92" t="s">
        <v>4480</v>
      </c>
      <c r="J2500" s="92">
        <v>7396513666</v>
      </c>
      <c r="K2500" s="67"/>
      <c r="L2500" s="67"/>
      <c r="M2500" s="67"/>
      <c r="N2500" s="67"/>
      <c r="O2500" s="67"/>
    </row>
    <row r="2501" spans="1:15" ht="15">
      <c r="A2501" s="91" t="s">
        <v>8</v>
      </c>
      <c r="B2501" s="92" t="s">
        <v>633</v>
      </c>
      <c r="C2501" s="92" t="str">
        <f ca="1">IFERROR(__xludf.DUMMYFUNCTION("filter('Back End'!C:C,'Back End'!A:A=A2501,'Back End'!B:B=B2501,'Back End'!D:D=D2501)"),"Kathipudi")</f>
        <v>Kathipudi</v>
      </c>
      <c r="D2501" s="91" t="s">
        <v>643</v>
      </c>
      <c r="E2501" s="92" t="s">
        <v>6091</v>
      </c>
      <c r="F2501" s="91" t="s">
        <v>139</v>
      </c>
      <c r="G2501" s="91" t="s">
        <v>594</v>
      </c>
      <c r="H2501" s="93" t="s">
        <v>5</v>
      </c>
      <c r="I2501" s="92" t="s">
        <v>4480</v>
      </c>
      <c r="J2501" s="67"/>
      <c r="K2501" s="67"/>
      <c r="L2501" s="67"/>
      <c r="M2501" s="67"/>
      <c r="N2501" s="67"/>
      <c r="O2501" s="67"/>
    </row>
    <row r="2502" spans="1:15" ht="75">
      <c r="A2502" s="91" t="s">
        <v>8</v>
      </c>
      <c r="B2502" s="92" t="s">
        <v>633</v>
      </c>
      <c r="C2502" s="92" t="str">
        <f ca="1">IFERROR(__xludf.DUMMYFUNCTION("filter('Back End'!C:C,'Back End'!A:A=A2502,'Back End'!B:B=B2502,'Back End'!D:D=D2502)"),"Kathipudi")</f>
        <v>Kathipudi</v>
      </c>
      <c r="D2502" s="91" t="s">
        <v>643</v>
      </c>
      <c r="E2502" s="92" t="s">
        <v>6092</v>
      </c>
      <c r="F2502" s="91" t="s">
        <v>139</v>
      </c>
      <c r="G2502" s="91" t="s">
        <v>594</v>
      </c>
      <c r="H2502" s="93" t="s">
        <v>4</v>
      </c>
      <c r="I2502" s="92" t="s">
        <v>4480</v>
      </c>
      <c r="J2502" s="92">
        <v>9866334443</v>
      </c>
      <c r="K2502" s="67"/>
      <c r="L2502" s="92" t="s">
        <v>6093</v>
      </c>
      <c r="M2502" s="67"/>
      <c r="N2502" s="67"/>
      <c r="O2502" s="67"/>
    </row>
    <row r="2503" spans="1:15" ht="30">
      <c r="A2503" s="91" t="s">
        <v>8</v>
      </c>
      <c r="B2503" s="92" t="s">
        <v>633</v>
      </c>
      <c r="C2503" s="92" t="str">
        <f ca="1">IFERROR(__xludf.DUMMYFUNCTION("filter('Back End'!C:C,'Back End'!A:A=A2503,'Back End'!B:B=B2503,'Back End'!D:D=D2503)"),"Kathipudi")</f>
        <v>Kathipudi</v>
      </c>
      <c r="D2503" s="91" t="s">
        <v>643</v>
      </c>
      <c r="E2503" s="92" t="s">
        <v>6094</v>
      </c>
      <c r="F2503" s="91" t="s">
        <v>139</v>
      </c>
      <c r="G2503" s="91" t="s">
        <v>594</v>
      </c>
      <c r="H2503" s="93" t="s">
        <v>4</v>
      </c>
      <c r="I2503" s="92" t="s">
        <v>4480</v>
      </c>
      <c r="J2503" s="67"/>
      <c r="K2503" s="67"/>
      <c r="L2503" s="67"/>
      <c r="M2503" s="67"/>
      <c r="N2503" s="67"/>
      <c r="O2503" s="67"/>
    </row>
    <row r="2504" spans="1:15" ht="30">
      <c r="A2504" s="91" t="s">
        <v>8</v>
      </c>
      <c r="B2504" s="92" t="s">
        <v>633</v>
      </c>
      <c r="C2504" s="92" t="str">
        <f ca="1">IFERROR(__xludf.DUMMYFUNCTION("filter('Back End'!C:C,'Back End'!A:A=A2504,'Back End'!B:B=B2504,'Back End'!D:D=D2504)"),"Kathipudi")</f>
        <v>Kathipudi</v>
      </c>
      <c r="D2504" s="91" t="s">
        <v>643</v>
      </c>
      <c r="E2504" s="92" t="s">
        <v>6095</v>
      </c>
      <c r="F2504" s="91" t="s">
        <v>139</v>
      </c>
      <c r="G2504" s="91" t="s">
        <v>594</v>
      </c>
      <c r="H2504" s="93" t="s">
        <v>4</v>
      </c>
      <c r="I2504" s="92" t="s">
        <v>4480</v>
      </c>
      <c r="J2504" s="67"/>
      <c r="K2504" s="67"/>
      <c r="L2504" s="67"/>
      <c r="M2504" s="67"/>
      <c r="N2504" s="67"/>
      <c r="O2504" s="67"/>
    </row>
    <row r="2505" spans="1:15" ht="60">
      <c r="A2505" s="91" t="s">
        <v>8</v>
      </c>
      <c r="B2505" s="92" t="s">
        <v>633</v>
      </c>
      <c r="C2505" s="92" t="str">
        <f ca="1">IFERROR(__xludf.DUMMYFUNCTION("filter('Back End'!C:C,'Back End'!A:A=A2505,'Back End'!B:B=B2505,'Back End'!D:D=D2505)"),"Kathipudi")</f>
        <v>Kathipudi</v>
      </c>
      <c r="D2505" s="91" t="s">
        <v>643</v>
      </c>
      <c r="E2505" s="92" t="s">
        <v>6096</v>
      </c>
      <c r="F2505" s="91" t="s">
        <v>139</v>
      </c>
      <c r="G2505" s="91" t="s">
        <v>594</v>
      </c>
      <c r="H2505" s="93" t="s">
        <v>6</v>
      </c>
      <c r="I2505" s="92" t="s">
        <v>4480</v>
      </c>
      <c r="J2505" s="92">
        <v>9866324848</v>
      </c>
      <c r="K2505" s="67"/>
      <c r="L2505" s="92" t="s">
        <v>3694</v>
      </c>
      <c r="M2505" s="67"/>
      <c r="N2505" s="67"/>
      <c r="O2505" s="67"/>
    </row>
    <row r="2506" spans="1:15" ht="15">
      <c r="A2506" s="91" t="s">
        <v>8</v>
      </c>
      <c r="B2506" s="92" t="s">
        <v>633</v>
      </c>
      <c r="C2506" s="92" t="str">
        <f ca="1">IFERROR(__xludf.DUMMYFUNCTION("filter('Back End'!C:C,'Back End'!A:A=A2506,'Back End'!B:B=B2506,'Back End'!D:D=D2506)"),"Kathipudi")</f>
        <v>Kathipudi</v>
      </c>
      <c r="D2506" s="91" t="s">
        <v>643</v>
      </c>
      <c r="E2506" s="92" t="s">
        <v>6097</v>
      </c>
      <c r="F2506" s="67" t="s">
        <v>3138</v>
      </c>
      <c r="G2506" s="67"/>
      <c r="H2506" s="93" t="s">
        <v>6</v>
      </c>
      <c r="I2506" s="92" t="s">
        <v>4480</v>
      </c>
      <c r="J2506" s="92">
        <v>9666555705</v>
      </c>
      <c r="K2506" s="67"/>
      <c r="L2506" s="67"/>
      <c r="M2506" s="67"/>
      <c r="N2506" s="67"/>
      <c r="O2506" s="67"/>
    </row>
    <row r="2507" spans="1:15" ht="15">
      <c r="A2507" s="91" t="s">
        <v>8</v>
      </c>
      <c r="B2507" s="91" t="s">
        <v>633</v>
      </c>
      <c r="C2507" s="92" t="str">
        <f ca="1">IFERROR(__xludf.DUMMYFUNCTION("filter('Back End'!C:C,'Back End'!A:A=A2507,'Back End'!B:B=B2507,'Back End'!D:D=D2507)"),"Kathipudi")</f>
        <v>Kathipudi</v>
      </c>
      <c r="D2507" s="91" t="s">
        <v>643</v>
      </c>
      <c r="E2507" s="91" t="s">
        <v>6098</v>
      </c>
      <c r="F2507" s="91" t="s">
        <v>139</v>
      </c>
      <c r="G2507" s="91" t="s">
        <v>594</v>
      </c>
      <c r="H2507" s="93" t="s">
        <v>5</v>
      </c>
      <c r="I2507" s="67"/>
      <c r="J2507" s="92">
        <v>9502922666</v>
      </c>
      <c r="K2507" s="67"/>
      <c r="L2507" s="67"/>
      <c r="M2507" s="67"/>
      <c r="N2507" s="67"/>
      <c r="O2507" s="67"/>
    </row>
    <row r="2508" spans="1:15" ht="15">
      <c r="A2508" s="91" t="s">
        <v>8</v>
      </c>
      <c r="B2508" s="91" t="s">
        <v>633</v>
      </c>
      <c r="C2508" s="92" t="str">
        <f ca="1">IFERROR(__xludf.DUMMYFUNCTION("filter('Back End'!C:C,'Back End'!A:A=A2508,'Back End'!B:B=B2508,'Back End'!D:D=D2508)"),"Kathipudi")</f>
        <v>Kathipudi</v>
      </c>
      <c r="D2508" s="91" t="s">
        <v>643</v>
      </c>
      <c r="E2508" s="91" t="s">
        <v>6099</v>
      </c>
      <c r="F2508" s="91" t="s">
        <v>139</v>
      </c>
      <c r="G2508" s="91" t="s">
        <v>594</v>
      </c>
      <c r="H2508" s="93" t="s">
        <v>5</v>
      </c>
      <c r="I2508" s="67"/>
      <c r="J2508" s="92">
        <v>9989534846</v>
      </c>
      <c r="K2508" s="67"/>
      <c r="L2508" s="67"/>
      <c r="M2508" s="67"/>
      <c r="N2508" s="67"/>
      <c r="O2508" s="67"/>
    </row>
    <row r="2509" spans="1:15" ht="15">
      <c r="A2509" s="91" t="s">
        <v>8</v>
      </c>
      <c r="B2509" s="91" t="s">
        <v>633</v>
      </c>
      <c r="C2509" s="92" t="str">
        <f ca="1">IFERROR(__xludf.DUMMYFUNCTION("filter('Back End'!C:C,'Back End'!A:A=A2509,'Back End'!B:B=B2509,'Back End'!D:D=D2509)"),"Kathipudi")</f>
        <v>Kathipudi</v>
      </c>
      <c r="D2509" s="91" t="s">
        <v>643</v>
      </c>
      <c r="E2509" s="91" t="s">
        <v>6100</v>
      </c>
      <c r="F2509" s="91" t="s">
        <v>139</v>
      </c>
      <c r="G2509" s="91" t="s">
        <v>594</v>
      </c>
      <c r="H2509" s="93" t="s">
        <v>5</v>
      </c>
      <c r="I2509" s="67"/>
      <c r="J2509" s="92">
        <v>9908193377</v>
      </c>
      <c r="K2509" s="67"/>
      <c r="L2509" s="67"/>
      <c r="M2509" s="67"/>
      <c r="N2509" s="67"/>
      <c r="O2509" s="67"/>
    </row>
    <row r="2510" spans="1:15" ht="15">
      <c r="A2510" s="91" t="s">
        <v>8</v>
      </c>
      <c r="B2510" s="91" t="s">
        <v>633</v>
      </c>
      <c r="C2510" s="92" t="str">
        <f ca="1">IFERROR(__xludf.DUMMYFUNCTION("filter('Back End'!C:C,'Back End'!A:A=A2510,'Back End'!B:B=B2510,'Back End'!D:D=D2510)"),"Kathipudi")</f>
        <v>Kathipudi</v>
      </c>
      <c r="D2510" s="91" t="s">
        <v>643</v>
      </c>
      <c r="E2510" s="91" t="s">
        <v>6101</v>
      </c>
      <c r="F2510" s="91" t="s">
        <v>139</v>
      </c>
      <c r="G2510" s="91" t="s">
        <v>594</v>
      </c>
      <c r="H2510" s="93" t="s">
        <v>5</v>
      </c>
      <c r="I2510" s="67"/>
      <c r="J2510" s="92">
        <v>7794011799</v>
      </c>
      <c r="K2510" s="67"/>
      <c r="L2510" s="67"/>
      <c r="M2510" s="67"/>
      <c r="N2510" s="67"/>
      <c r="O2510" s="67"/>
    </row>
    <row r="2511" spans="1:15" ht="15">
      <c r="A2511" s="91" t="s">
        <v>8</v>
      </c>
      <c r="B2511" s="91" t="s">
        <v>633</v>
      </c>
      <c r="C2511" s="92" t="str">
        <f ca="1">IFERROR(__xludf.DUMMYFUNCTION("filter('Back End'!C:C,'Back End'!A:A=A2511,'Back End'!B:B=B2511,'Back End'!D:D=D2511)"),"Kathipudi")</f>
        <v>Kathipudi</v>
      </c>
      <c r="D2511" s="91" t="s">
        <v>643</v>
      </c>
      <c r="E2511" s="91" t="s">
        <v>644</v>
      </c>
      <c r="F2511" s="91" t="s">
        <v>165</v>
      </c>
      <c r="G2511" s="91" t="s">
        <v>615</v>
      </c>
      <c r="H2511" s="93" t="s">
        <v>5</v>
      </c>
      <c r="I2511" s="67"/>
      <c r="J2511" s="92">
        <v>7396787777</v>
      </c>
      <c r="K2511" s="67"/>
      <c r="L2511" s="67"/>
      <c r="M2511" s="67"/>
      <c r="N2511" s="67"/>
      <c r="O2511" s="67"/>
    </row>
    <row r="2512" spans="1:15" ht="15">
      <c r="A2512" s="91" t="s">
        <v>8</v>
      </c>
      <c r="B2512" s="91" t="s">
        <v>633</v>
      </c>
      <c r="C2512" s="92" t="str">
        <f ca="1">IFERROR(__xludf.DUMMYFUNCTION("filter('Back End'!C:C,'Back End'!A:A=A2512,'Back End'!B:B=B2512,'Back End'!D:D=D2512)"),"Kathipudi")</f>
        <v>Kathipudi</v>
      </c>
      <c r="D2512" s="91" t="s">
        <v>643</v>
      </c>
      <c r="E2512" s="91" t="s">
        <v>6102</v>
      </c>
      <c r="F2512" s="91" t="s">
        <v>139</v>
      </c>
      <c r="G2512" s="91" t="s">
        <v>594</v>
      </c>
      <c r="H2512" s="93" t="s">
        <v>5</v>
      </c>
      <c r="I2512" s="67"/>
      <c r="J2512" s="92">
        <v>9701291129</v>
      </c>
      <c r="K2512" s="67"/>
      <c r="L2512" s="67"/>
      <c r="M2512" s="67"/>
      <c r="N2512" s="67"/>
      <c r="O2512" s="67"/>
    </row>
    <row r="2513" spans="1:15" ht="15">
      <c r="A2513" s="91" t="s">
        <v>8</v>
      </c>
      <c r="B2513" s="91" t="s">
        <v>633</v>
      </c>
      <c r="C2513" s="92" t="str">
        <f ca="1">IFERROR(__xludf.DUMMYFUNCTION("filter('Back End'!C:C,'Back End'!A:A=A2513,'Back End'!B:B=B2513,'Back End'!D:D=D2513)"),"Kathipudi")</f>
        <v>Kathipudi</v>
      </c>
      <c r="D2513" s="91" t="s">
        <v>643</v>
      </c>
      <c r="E2513" s="91" t="s">
        <v>6103</v>
      </c>
      <c r="F2513" s="91" t="s">
        <v>139</v>
      </c>
      <c r="G2513" s="91" t="s">
        <v>594</v>
      </c>
      <c r="H2513" s="93" t="s">
        <v>5</v>
      </c>
      <c r="I2513" s="67"/>
      <c r="J2513" s="92">
        <v>9652128819</v>
      </c>
      <c r="K2513" s="67"/>
      <c r="L2513" s="67"/>
      <c r="M2513" s="67"/>
      <c r="N2513" s="67"/>
      <c r="O2513" s="67"/>
    </row>
    <row r="2514" spans="1:15" ht="15">
      <c r="A2514" s="91" t="s">
        <v>8</v>
      </c>
      <c r="B2514" s="91" t="s">
        <v>633</v>
      </c>
      <c r="C2514" s="92" t="str">
        <f ca="1">IFERROR(__xludf.DUMMYFUNCTION("filter('Back End'!C:C,'Back End'!A:A=A2514,'Back End'!B:B=B2514,'Back End'!D:D=D2514)"),"Kathipudi")</f>
        <v>Kathipudi</v>
      </c>
      <c r="D2514" s="91" t="s">
        <v>643</v>
      </c>
      <c r="E2514" s="91" t="s">
        <v>6104</v>
      </c>
      <c r="F2514" s="67" t="s">
        <v>3138</v>
      </c>
      <c r="G2514" s="67"/>
      <c r="H2514" s="93" t="s">
        <v>5</v>
      </c>
      <c r="I2514" s="67"/>
      <c r="J2514" s="92">
        <v>9985587888</v>
      </c>
      <c r="K2514" s="67"/>
      <c r="L2514" s="67"/>
      <c r="M2514" s="67"/>
      <c r="N2514" s="67"/>
      <c r="O2514" s="67"/>
    </row>
    <row r="2515" spans="1:15" ht="15">
      <c r="A2515" s="91" t="s">
        <v>8</v>
      </c>
      <c r="B2515" s="91" t="s">
        <v>633</v>
      </c>
      <c r="C2515" s="92" t="str">
        <f ca="1">IFERROR(__xludf.DUMMYFUNCTION("filter('Back End'!C:C,'Back End'!A:A=A2515,'Back End'!B:B=B2515,'Back End'!D:D=D2515)"),"Kathipudi")</f>
        <v>Kathipudi</v>
      </c>
      <c r="D2515" s="91" t="s">
        <v>643</v>
      </c>
      <c r="E2515" s="91" t="s">
        <v>6105</v>
      </c>
      <c r="F2515" s="91" t="s">
        <v>114</v>
      </c>
      <c r="G2515" s="91" t="s">
        <v>85</v>
      </c>
      <c r="H2515" s="93" t="s">
        <v>5</v>
      </c>
      <c r="I2515" s="67"/>
      <c r="J2515" s="92">
        <v>8143143182</v>
      </c>
      <c r="K2515" s="67"/>
      <c r="L2515" s="67"/>
      <c r="M2515" s="67"/>
      <c r="N2515" s="67"/>
      <c r="O2515" s="67"/>
    </row>
    <row r="2516" spans="1:15" ht="15">
      <c r="A2516" s="91" t="s">
        <v>8</v>
      </c>
      <c r="B2516" s="91" t="s">
        <v>633</v>
      </c>
      <c r="C2516" s="92" t="str">
        <f ca="1">IFERROR(__xludf.DUMMYFUNCTION("filter('Back End'!C:C,'Back End'!A:A=A2516,'Back End'!B:B=B2516,'Back End'!D:D=D2516)"),"Konthangi")</f>
        <v>Konthangi</v>
      </c>
      <c r="D2516" s="91" t="s">
        <v>645</v>
      </c>
      <c r="E2516" s="91" t="s">
        <v>6106</v>
      </c>
      <c r="F2516" s="91" t="s">
        <v>165</v>
      </c>
      <c r="G2516" s="91" t="s">
        <v>615</v>
      </c>
      <c r="H2516" s="93" t="s">
        <v>5</v>
      </c>
      <c r="I2516" s="92" t="s">
        <v>6107</v>
      </c>
      <c r="J2516" s="92">
        <v>9502255359</v>
      </c>
      <c r="K2516" s="67"/>
      <c r="L2516" s="67"/>
      <c r="M2516" s="67"/>
      <c r="N2516" s="67"/>
      <c r="O2516" s="67"/>
    </row>
    <row r="2517" spans="1:15" ht="45">
      <c r="A2517" s="91" t="s">
        <v>8</v>
      </c>
      <c r="B2517" s="91" t="s">
        <v>633</v>
      </c>
      <c r="C2517" s="92" t="str">
        <f ca="1">IFERROR(__xludf.DUMMYFUNCTION("filter('Back End'!C:C,'Back End'!A:A=A2517,'Back End'!B:B=B2517,'Back End'!D:D=D2517)"),"Konthangi")</f>
        <v>Konthangi</v>
      </c>
      <c r="D2517" s="91" t="s">
        <v>645</v>
      </c>
      <c r="E2517" s="91" t="s">
        <v>6108</v>
      </c>
      <c r="F2517" s="91" t="s">
        <v>139</v>
      </c>
      <c r="G2517" s="91" t="s">
        <v>594</v>
      </c>
      <c r="H2517" s="93" t="s">
        <v>5</v>
      </c>
      <c r="I2517" s="92" t="s">
        <v>6109</v>
      </c>
      <c r="J2517" s="92">
        <v>9989254258</v>
      </c>
      <c r="K2517" s="67"/>
      <c r="L2517" s="67"/>
      <c r="M2517" s="67"/>
      <c r="N2517" s="67"/>
      <c r="O2517" s="67"/>
    </row>
    <row r="2518" spans="1:15" ht="135">
      <c r="A2518" s="91" t="s">
        <v>8</v>
      </c>
      <c r="B2518" s="91" t="s">
        <v>633</v>
      </c>
      <c r="C2518" s="92" t="str">
        <f ca="1">IFERROR(__xludf.DUMMYFUNCTION("filter('Back End'!C:C,'Back End'!A:A=A2518,'Back End'!B:B=B2518,'Back End'!D:D=D2518)"),"Konthangi")</f>
        <v>Konthangi</v>
      </c>
      <c r="D2518" s="91" t="s">
        <v>645</v>
      </c>
      <c r="E2518" s="91" t="s">
        <v>6110</v>
      </c>
      <c r="F2518" s="91" t="s">
        <v>139</v>
      </c>
      <c r="G2518" s="91" t="s">
        <v>594</v>
      </c>
      <c r="H2518" s="93" t="s">
        <v>5</v>
      </c>
      <c r="I2518" s="92" t="s">
        <v>6111</v>
      </c>
      <c r="J2518" s="92">
        <v>9849275535</v>
      </c>
      <c r="K2518" s="67"/>
      <c r="L2518" s="67"/>
      <c r="M2518" s="67"/>
      <c r="N2518" s="67"/>
      <c r="O2518" s="67"/>
    </row>
    <row r="2519" spans="1:15" ht="16.5">
      <c r="A2519" s="91" t="s">
        <v>8</v>
      </c>
      <c r="B2519" s="91" t="s">
        <v>633</v>
      </c>
      <c r="C2519" s="92" t="str">
        <f ca="1">IFERROR(__xludf.DUMMYFUNCTION("filter('Back End'!C:C,'Back End'!A:A=A2519,'Back End'!B:B=B2519,'Back End'!D:D=D2519)"),"Konthangi")</f>
        <v>Konthangi</v>
      </c>
      <c r="D2519" s="91" t="s">
        <v>645</v>
      </c>
      <c r="E2519" s="100" t="s">
        <v>6112</v>
      </c>
      <c r="F2519" s="98" t="s">
        <v>165</v>
      </c>
      <c r="G2519" s="91" t="s">
        <v>615</v>
      </c>
      <c r="H2519" s="93" t="s">
        <v>5</v>
      </c>
      <c r="I2519" s="97" t="s">
        <v>3115</v>
      </c>
      <c r="J2519" s="97">
        <v>9652762333</v>
      </c>
      <c r="K2519" s="99"/>
      <c r="L2519" s="67"/>
      <c r="M2519" s="67"/>
      <c r="N2519" s="67"/>
      <c r="O2519" s="67"/>
    </row>
    <row r="2520" spans="1:15" ht="30.4">
      <c r="A2520" s="91" t="s">
        <v>8</v>
      </c>
      <c r="B2520" s="91" t="s">
        <v>633</v>
      </c>
      <c r="C2520" s="92" t="str">
        <f ca="1">IFERROR(__xludf.DUMMYFUNCTION("filter('Back End'!C:C,'Back End'!A:A=A2520,'Back End'!B:B=B2520,'Back End'!D:D=D2520)"),"Konthangi")</f>
        <v>Konthangi</v>
      </c>
      <c r="D2520" s="91" t="s">
        <v>645</v>
      </c>
      <c r="E2520" s="100" t="s">
        <v>6113</v>
      </c>
      <c r="F2520" s="98" t="s">
        <v>165</v>
      </c>
      <c r="G2520" s="91" t="s">
        <v>615</v>
      </c>
      <c r="H2520" s="93" t="s">
        <v>5</v>
      </c>
      <c r="I2520" s="97" t="s">
        <v>6114</v>
      </c>
      <c r="J2520" s="97">
        <v>9652762333</v>
      </c>
      <c r="K2520" s="99"/>
      <c r="L2520" s="67"/>
      <c r="M2520" s="67"/>
      <c r="N2520" s="67"/>
      <c r="O2520" s="67"/>
    </row>
    <row r="2521" spans="1:15" ht="30.4">
      <c r="A2521" s="91" t="s">
        <v>8</v>
      </c>
      <c r="B2521" s="91" t="s">
        <v>633</v>
      </c>
      <c r="C2521" s="92" t="str">
        <f ca="1">IFERROR(__xludf.DUMMYFUNCTION("filter('Back End'!C:C,'Back End'!A:A=A2521,'Back End'!B:B=B2521,'Back End'!D:D=D2521)"),"Konthangi")</f>
        <v>Konthangi</v>
      </c>
      <c r="D2521" s="91" t="s">
        <v>645</v>
      </c>
      <c r="E2521" s="100" t="s">
        <v>6115</v>
      </c>
      <c r="F2521" s="98" t="s">
        <v>139</v>
      </c>
      <c r="G2521" s="98" t="s">
        <v>594</v>
      </c>
      <c r="H2521" s="93" t="s">
        <v>5</v>
      </c>
      <c r="I2521" s="97" t="s">
        <v>4056</v>
      </c>
      <c r="J2521" s="97">
        <v>9381676863</v>
      </c>
      <c r="K2521" s="99"/>
      <c r="L2521" s="67"/>
      <c r="M2521" s="67"/>
      <c r="N2521" s="67"/>
      <c r="O2521" s="67"/>
    </row>
    <row r="2522" spans="1:15" ht="30.4">
      <c r="A2522" s="91" t="s">
        <v>8</v>
      </c>
      <c r="B2522" s="91" t="s">
        <v>633</v>
      </c>
      <c r="C2522" s="92" t="str">
        <f ca="1">IFERROR(__xludf.DUMMYFUNCTION("filter('Back End'!C:C,'Back End'!A:A=A2522,'Back End'!B:B=B2522,'Back End'!D:D=D2522)"),"Konthangi")</f>
        <v>Konthangi</v>
      </c>
      <c r="D2522" s="91" t="s">
        <v>645</v>
      </c>
      <c r="E2522" s="100" t="s">
        <v>6116</v>
      </c>
      <c r="F2522" s="98" t="s">
        <v>165</v>
      </c>
      <c r="G2522" s="91" t="s">
        <v>615</v>
      </c>
      <c r="H2522" s="100" t="s">
        <v>4</v>
      </c>
      <c r="I2522" s="97" t="s">
        <v>4333</v>
      </c>
      <c r="J2522" s="97" t="s">
        <v>2631</v>
      </c>
      <c r="K2522" s="99"/>
      <c r="L2522" s="67"/>
      <c r="M2522" s="67"/>
      <c r="N2522" s="67"/>
      <c r="O2522" s="67"/>
    </row>
    <row r="2523" spans="1:15" ht="75.400000000000006">
      <c r="A2523" s="91" t="s">
        <v>3361</v>
      </c>
      <c r="B2523" s="100" t="s">
        <v>633</v>
      </c>
      <c r="C2523" s="97" t="s">
        <v>645</v>
      </c>
      <c r="D2523" s="100" t="s">
        <v>645</v>
      </c>
      <c r="E2523" s="100" t="s">
        <v>6117</v>
      </c>
      <c r="F2523" s="98" t="s">
        <v>165</v>
      </c>
      <c r="G2523" s="91" t="s">
        <v>615</v>
      </c>
      <c r="H2523" s="100" t="s">
        <v>4</v>
      </c>
      <c r="I2523" s="97" t="s">
        <v>6118</v>
      </c>
      <c r="J2523" s="97">
        <v>9866360286</v>
      </c>
      <c r="K2523" s="99"/>
      <c r="L2523" s="67"/>
      <c r="M2523" s="67"/>
      <c r="N2523" s="67"/>
      <c r="O2523" s="67"/>
    </row>
    <row r="2524" spans="1:15" ht="16.5">
      <c r="A2524" s="101" t="s">
        <v>3361</v>
      </c>
      <c r="B2524" s="93" t="s">
        <v>633</v>
      </c>
      <c r="C2524" s="102" t="s">
        <v>645</v>
      </c>
      <c r="D2524" s="93" t="s">
        <v>645</v>
      </c>
      <c r="E2524" s="93" t="s">
        <v>6119</v>
      </c>
      <c r="F2524" s="105" t="s">
        <v>139</v>
      </c>
      <c r="G2524" s="105" t="s">
        <v>594</v>
      </c>
      <c r="H2524" s="93" t="s">
        <v>4</v>
      </c>
      <c r="I2524" s="105" t="s">
        <v>3634</v>
      </c>
      <c r="J2524" s="102">
        <v>9550523233</v>
      </c>
      <c r="K2524" s="95"/>
      <c r="L2524" s="67"/>
      <c r="M2524" s="67"/>
      <c r="N2524" s="67"/>
      <c r="O2524" s="67"/>
    </row>
    <row r="2525" spans="1:15" ht="15">
      <c r="A2525" s="91" t="s">
        <v>8</v>
      </c>
      <c r="B2525" s="91" t="s">
        <v>633</v>
      </c>
      <c r="C2525" s="92" t="str">
        <f ca="1">IFERROR(__xludf.DUMMYFUNCTION("filter('Back End'!C:C,'Back End'!A:A=A2525,'Back End'!B:B=B2525,'Back End'!D:D=D2525)"),"Nellipudi")</f>
        <v>Nellipudi</v>
      </c>
      <c r="D2525" s="91" t="s">
        <v>649</v>
      </c>
      <c r="E2525" s="91" t="s">
        <v>6120</v>
      </c>
      <c r="F2525" s="91" t="s">
        <v>114</v>
      </c>
      <c r="G2525" s="91" t="s">
        <v>85</v>
      </c>
      <c r="H2525" s="93" t="s">
        <v>5</v>
      </c>
      <c r="I2525" s="67"/>
      <c r="J2525" s="92">
        <v>9989537177</v>
      </c>
      <c r="K2525" s="67"/>
      <c r="L2525" s="67"/>
      <c r="M2525" s="67"/>
      <c r="N2525" s="67"/>
      <c r="O2525" s="67"/>
    </row>
    <row r="2526" spans="1:15" ht="15">
      <c r="A2526" s="91" t="s">
        <v>8</v>
      </c>
      <c r="B2526" s="91" t="s">
        <v>633</v>
      </c>
      <c r="C2526" s="92" t="str">
        <f ca="1">IFERROR(__xludf.DUMMYFUNCTION("filter('Back End'!C:C,'Back End'!A:A=A2526,'Back End'!B:B=B2526,'Back End'!D:D=D2526)"),"Nellipudi")</f>
        <v>Nellipudi</v>
      </c>
      <c r="D2526" s="91" t="s">
        <v>649</v>
      </c>
      <c r="E2526" s="91" t="s">
        <v>6121</v>
      </c>
      <c r="F2526" s="91" t="s">
        <v>165</v>
      </c>
      <c r="G2526" s="91" t="s">
        <v>615</v>
      </c>
      <c r="H2526" s="93" t="s">
        <v>5</v>
      </c>
      <c r="I2526" s="92" t="s">
        <v>3112</v>
      </c>
      <c r="J2526" s="92">
        <v>9290552555</v>
      </c>
      <c r="K2526" s="67"/>
      <c r="L2526" s="67"/>
      <c r="M2526" s="67"/>
      <c r="N2526" s="67"/>
      <c r="O2526" s="67"/>
    </row>
    <row r="2527" spans="1:15" ht="15">
      <c r="A2527" s="91" t="s">
        <v>8</v>
      </c>
      <c r="B2527" s="91" t="s">
        <v>633</v>
      </c>
      <c r="C2527" s="92" t="str">
        <f ca="1">IFERROR(__xludf.DUMMYFUNCTION("filter('Back End'!C:C,'Back End'!A:A=A2527,'Back End'!B:B=B2527,'Back End'!D:D=D2527)"),"Nellipudi")</f>
        <v>Nellipudi</v>
      </c>
      <c r="D2527" s="91" t="s">
        <v>649</v>
      </c>
      <c r="E2527" s="91" t="s">
        <v>6122</v>
      </c>
      <c r="F2527" s="91" t="s">
        <v>595</v>
      </c>
      <c r="G2527" s="91" t="s">
        <v>594</v>
      </c>
      <c r="H2527" s="93" t="s">
        <v>5</v>
      </c>
      <c r="I2527" s="67"/>
      <c r="J2527" s="92">
        <v>9959169199</v>
      </c>
      <c r="K2527" s="67"/>
      <c r="L2527" s="67"/>
      <c r="M2527" s="67"/>
      <c r="N2527" s="67"/>
      <c r="O2527" s="67"/>
    </row>
    <row r="2528" spans="1:15" ht="16.5">
      <c r="A2528" s="91" t="s">
        <v>8</v>
      </c>
      <c r="B2528" s="91" t="s">
        <v>633</v>
      </c>
      <c r="C2528" s="92" t="str">
        <f ca="1">IFERROR(__xludf.DUMMYFUNCTION("filter('Back End'!C:C,'Back End'!A:A=A2528,'Back End'!B:B=B2528,'Back End'!D:D=D2528)"),"Nellipudi")</f>
        <v>Nellipudi</v>
      </c>
      <c r="D2528" s="91" t="s">
        <v>649</v>
      </c>
      <c r="E2528" s="100" t="s">
        <v>6123</v>
      </c>
      <c r="F2528" s="98" t="s">
        <v>165</v>
      </c>
      <c r="G2528" s="98" t="s">
        <v>615</v>
      </c>
      <c r="H2528" s="93" t="s">
        <v>5</v>
      </c>
      <c r="I2528" s="98" t="s">
        <v>6124</v>
      </c>
      <c r="J2528" s="97">
        <v>8341111555</v>
      </c>
      <c r="K2528" s="99"/>
      <c r="L2528" s="99"/>
      <c r="M2528" s="67"/>
      <c r="N2528" s="67"/>
      <c r="O2528" s="67"/>
    </row>
    <row r="2529" spans="1:15" ht="16.5">
      <c r="A2529" s="91" t="s">
        <v>8</v>
      </c>
      <c r="B2529" s="91" t="s">
        <v>633</v>
      </c>
      <c r="C2529" s="92" t="str">
        <f ca="1">IFERROR(__xludf.DUMMYFUNCTION("filter('Back End'!C:C,'Back End'!A:A=A2529,'Back End'!B:B=B2529,'Back End'!D:D=D2529)"),"Nellipudi")</f>
        <v>Nellipudi</v>
      </c>
      <c r="D2529" s="91" t="s">
        <v>649</v>
      </c>
      <c r="E2529" s="100" t="s">
        <v>6125</v>
      </c>
      <c r="F2529" s="98" t="s">
        <v>165</v>
      </c>
      <c r="G2529" s="98" t="s">
        <v>615</v>
      </c>
      <c r="H2529" s="93" t="s">
        <v>4</v>
      </c>
      <c r="I2529" s="98" t="s">
        <v>3916</v>
      </c>
      <c r="J2529" s="99"/>
      <c r="K2529" s="99"/>
      <c r="L2529" s="99"/>
      <c r="M2529" s="67"/>
      <c r="N2529" s="67"/>
      <c r="O2529" s="67"/>
    </row>
    <row r="2530" spans="1:15" ht="15">
      <c r="A2530" s="91" t="s">
        <v>8</v>
      </c>
      <c r="B2530" s="100" t="s">
        <v>633</v>
      </c>
      <c r="C2530" s="97" t="s">
        <v>649</v>
      </c>
      <c r="D2530" s="100" t="s">
        <v>649</v>
      </c>
      <c r="E2530" s="100" t="s">
        <v>6126</v>
      </c>
      <c r="F2530" s="99" t="s">
        <v>3138</v>
      </c>
      <c r="G2530" s="99"/>
      <c r="H2530" s="100" t="s">
        <v>4</v>
      </c>
      <c r="I2530" s="99"/>
      <c r="J2530" s="97">
        <v>9849481635</v>
      </c>
      <c r="K2530" s="99"/>
      <c r="L2530" s="99"/>
      <c r="M2530" s="67"/>
      <c r="N2530" s="67"/>
      <c r="O2530" s="67"/>
    </row>
    <row r="2531" spans="1:15" ht="15">
      <c r="A2531" s="91" t="s">
        <v>8</v>
      </c>
      <c r="B2531" s="93" t="s">
        <v>633</v>
      </c>
      <c r="C2531" s="102" t="s">
        <v>649</v>
      </c>
      <c r="D2531" s="93" t="s">
        <v>649</v>
      </c>
      <c r="E2531" s="93" t="s">
        <v>6127</v>
      </c>
      <c r="F2531" s="95" t="s">
        <v>3138</v>
      </c>
      <c r="G2531" s="95"/>
      <c r="H2531" s="93" t="s">
        <v>4</v>
      </c>
      <c r="I2531" s="102" t="s">
        <v>3125</v>
      </c>
      <c r="J2531" s="102">
        <v>9951262017</v>
      </c>
      <c r="K2531" s="95"/>
      <c r="L2531" s="95"/>
      <c r="M2531" s="67"/>
      <c r="N2531" s="67"/>
      <c r="O2531" s="67"/>
    </row>
    <row r="2532" spans="1:15" ht="15">
      <c r="A2532" s="91" t="s">
        <v>8</v>
      </c>
      <c r="B2532" s="93" t="s">
        <v>633</v>
      </c>
      <c r="C2532" s="102" t="s">
        <v>649</v>
      </c>
      <c r="D2532" s="93" t="s">
        <v>649</v>
      </c>
      <c r="E2532" s="93" t="s">
        <v>6128</v>
      </c>
      <c r="F2532" s="95" t="s">
        <v>3138</v>
      </c>
      <c r="G2532" s="95"/>
      <c r="H2532" s="93" t="s">
        <v>4</v>
      </c>
      <c r="I2532" s="95"/>
      <c r="J2532" s="102">
        <v>9398953372</v>
      </c>
      <c r="K2532" s="95"/>
      <c r="L2532" s="95"/>
      <c r="M2532" s="67"/>
      <c r="N2532" s="67"/>
      <c r="O2532" s="67"/>
    </row>
    <row r="2533" spans="1:15" ht="15">
      <c r="A2533" s="91" t="s">
        <v>8</v>
      </c>
      <c r="B2533" s="93" t="s">
        <v>633</v>
      </c>
      <c r="C2533" s="102" t="s">
        <v>649</v>
      </c>
      <c r="D2533" s="93" t="s">
        <v>649</v>
      </c>
      <c r="E2533" s="93" t="s">
        <v>6129</v>
      </c>
      <c r="F2533" s="95" t="s">
        <v>3138</v>
      </c>
      <c r="G2533" s="95"/>
      <c r="H2533" s="93" t="s">
        <v>4</v>
      </c>
      <c r="I2533" s="95"/>
      <c r="J2533" s="102">
        <v>9948476383</v>
      </c>
      <c r="K2533" s="95"/>
      <c r="L2533" s="95"/>
      <c r="M2533" s="67"/>
      <c r="N2533" s="67"/>
      <c r="O2533" s="67"/>
    </row>
    <row r="2534" spans="1:15" ht="15">
      <c r="A2534" s="91" t="s">
        <v>8</v>
      </c>
      <c r="B2534" s="91" t="s">
        <v>633</v>
      </c>
      <c r="C2534" s="92" t="str">
        <f ca="1">IFERROR(__xludf.DUMMYFUNCTION("filter('Back End'!C:C,'Back End'!A:A=A2534,'Back End'!B:B=B2534,'Back End'!D:D=D2534)"),"Sankhavaram")</f>
        <v>Sankhavaram</v>
      </c>
      <c r="D2534" s="91" t="s">
        <v>633</v>
      </c>
      <c r="E2534" s="91" t="s">
        <v>6130</v>
      </c>
      <c r="F2534" s="91" t="s">
        <v>139</v>
      </c>
      <c r="G2534" s="91" t="s">
        <v>594</v>
      </c>
      <c r="H2534" s="93" t="s">
        <v>5</v>
      </c>
      <c r="I2534" s="67"/>
      <c r="J2534" s="92">
        <v>8639955726</v>
      </c>
      <c r="K2534" s="67"/>
      <c r="L2534" s="67"/>
      <c r="M2534" s="67"/>
      <c r="N2534" s="67"/>
      <c r="O2534" s="67"/>
    </row>
    <row r="2535" spans="1:15" ht="15">
      <c r="A2535" s="91" t="s">
        <v>8</v>
      </c>
      <c r="B2535" s="91" t="s">
        <v>633</v>
      </c>
      <c r="C2535" s="92" t="str">
        <f ca="1">IFERROR(__xludf.DUMMYFUNCTION("filter('Back End'!C:C,'Back End'!A:A=A2535,'Back End'!B:B=B2535,'Back End'!D:D=D2535)"),"Sankhavaram")</f>
        <v>Sankhavaram</v>
      </c>
      <c r="D2535" s="91" t="s">
        <v>633</v>
      </c>
      <c r="E2535" s="91" t="s">
        <v>6131</v>
      </c>
      <c r="F2535" s="91" t="s">
        <v>114</v>
      </c>
      <c r="G2535" s="91" t="s">
        <v>85</v>
      </c>
      <c r="H2535" s="93" t="s">
        <v>5</v>
      </c>
      <c r="I2535" s="67"/>
      <c r="J2535" s="92">
        <v>9550638260</v>
      </c>
      <c r="K2535" s="67"/>
      <c r="L2535" s="67"/>
      <c r="M2535" s="67"/>
      <c r="N2535" s="67"/>
      <c r="O2535" s="67"/>
    </row>
    <row r="2536" spans="1:15" ht="15">
      <c r="A2536" s="91" t="s">
        <v>8</v>
      </c>
      <c r="B2536" s="91" t="s">
        <v>633</v>
      </c>
      <c r="C2536" s="92" t="str">
        <f ca="1">IFERROR(__xludf.DUMMYFUNCTION("filter('Back End'!C:C,'Back End'!A:A=A2536,'Back End'!B:B=B2536,'Back End'!D:D=D2536)"),"Sankhavaram")</f>
        <v>Sankhavaram</v>
      </c>
      <c r="D2536" s="91" t="s">
        <v>633</v>
      </c>
      <c r="E2536" s="91" t="s">
        <v>6132</v>
      </c>
      <c r="F2536" s="91" t="s">
        <v>139</v>
      </c>
      <c r="G2536" s="91" t="s">
        <v>594</v>
      </c>
      <c r="H2536" s="93" t="s">
        <v>5</v>
      </c>
      <c r="I2536" s="67"/>
      <c r="J2536" s="92">
        <v>9533966333</v>
      </c>
      <c r="K2536" s="67"/>
      <c r="L2536" s="67"/>
      <c r="M2536" s="67"/>
      <c r="N2536" s="67"/>
      <c r="O2536" s="67"/>
    </row>
    <row r="2537" spans="1:15" ht="15">
      <c r="A2537" s="91" t="s">
        <v>8</v>
      </c>
      <c r="B2537" s="91" t="s">
        <v>633</v>
      </c>
      <c r="C2537" s="92" t="str">
        <f ca="1">IFERROR(__xludf.DUMMYFUNCTION("filter('Back End'!C:C,'Back End'!A:A=A2537,'Back End'!B:B=B2537,'Back End'!D:D=D2537)"),"Sankhavaram")</f>
        <v>Sankhavaram</v>
      </c>
      <c r="D2537" s="91" t="s">
        <v>633</v>
      </c>
      <c r="E2537" s="91" t="s">
        <v>6133</v>
      </c>
      <c r="F2537" s="91" t="s">
        <v>139</v>
      </c>
      <c r="G2537" s="91" t="s">
        <v>594</v>
      </c>
      <c r="H2537" s="93" t="s">
        <v>5</v>
      </c>
      <c r="I2537" s="67"/>
      <c r="J2537" s="92">
        <v>9866201144</v>
      </c>
      <c r="K2537" s="67"/>
      <c r="L2537" s="67"/>
      <c r="M2537" s="67"/>
      <c r="N2537" s="67"/>
      <c r="O2537" s="67"/>
    </row>
    <row r="2538" spans="1:15" ht="15">
      <c r="A2538" s="91" t="s">
        <v>8</v>
      </c>
      <c r="B2538" s="91" t="s">
        <v>633</v>
      </c>
      <c r="C2538" s="92" t="str">
        <f ca="1">IFERROR(__xludf.DUMMYFUNCTION("filter('Back End'!C:C,'Back End'!A:A=A2538,'Back End'!B:B=B2538,'Back End'!D:D=D2538)"),"Sankhavaram")</f>
        <v>Sankhavaram</v>
      </c>
      <c r="D2538" s="91" t="s">
        <v>633</v>
      </c>
      <c r="E2538" s="91" t="s">
        <v>6134</v>
      </c>
      <c r="F2538" s="67" t="s">
        <v>3138</v>
      </c>
      <c r="G2538" s="67"/>
      <c r="H2538" s="93" t="s">
        <v>5</v>
      </c>
      <c r="I2538" s="67"/>
      <c r="J2538" s="92">
        <v>9182518323</v>
      </c>
      <c r="K2538" s="67"/>
      <c r="L2538" s="67"/>
      <c r="M2538" s="67"/>
      <c r="N2538" s="67"/>
      <c r="O2538" s="67"/>
    </row>
    <row r="2539" spans="1:15" ht="15">
      <c r="A2539" s="91" t="s">
        <v>8</v>
      </c>
      <c r="B2539" s="91" t="s">
        <v>633</v>
      </c>
      <c r="C2539" s="92" t="str">
        <f ca="1">IFERROR(__xludf.DUMMYFUNCTION("filter('Back End'!C:C,'Back End'!A:A=A2539,'Back End'!B:B=B2539,'Back End'!D:D=D2539)"),"Sankhavaram")</f>
        <v>Sankhavaram</v>
      </c>
      <c r="D2539" s="91" t="s">
        <v>633</v>
      </c>
      <c r="E2539" s="91" t="s">
        <v>6135</v>
      </c>
      <c r="F2539" s="67" t="s">
        <v>3138</v>
      </c>
      <c r="G2539" s="67"/>
      <c r="H2539" s="93" t="s">
        <v>5</v>
      </c>
      <c r="I2539" s="67"/>
      <c r="J2539" s="92">
        <v>9866859730</v>
      </c>
      <c r="K2539" s="67"/>
      <c r="L2539" s="67"/>
      <c r="M2539" s="67"/>
      <c r="N2539" s="67"/>
      <c r="O2539" s="67"/>
    </row>
    <row r="2540" spans="1:15" ht="15">
      <c r="A2540" s="91" t="s">
        <v>8</v>
      </c>
      <c r="B2540" s="91" t="s">
        <v>633</v>
      </c>
      <c r="C2540" s="92" t="str">
        <f ca="1">IFERROR(__xludf.DUMMYFUNCTION("filter('Back End'!C:C,'Back End'!A:A=A2540,'Back End'!B:B=B2540,'Back End'!D:D=D2540)"),"Sankhavaram")</f>
        <v>Sankhavaram</v>
      </c>
      <c r="D2540" s="91" t="s">
        <v>633</v>
      </c>
      <c r="E2540" s="91" t="s">
        <v>6136</v>
      </c>
      <c r="F2540" s="91" t="s">
        <v>139</v>
      </c>
      <c r="G2540" s="91" t="s">
        <v>594</v>
      </c>
      <c r="H2540" s="93" t="s">
        <v>5</v>
      </c>
      <c r="I2540" s="67"/>
      <c r="J2540" s="92">
        <v>9553236826</v>
      </c>
      <c r="K2540" s="67"/>
      <c r="L2540" s="67"/>
      <c r="M2540" s="67"/>
      <c r="N2540" s="67"/>
      <c r="O2540" s="67"/>
    </row>
    <row r="2541" spans="1:15" ht="15">
      <c r="A2541" s="91" t="s">
        <v>8</v>
      </c>
      <c r="B2541" s="91" t="s">
        <v>633</v>
      </c>
      <c r="C2541" s="92" t="str">
        <f ca="1">IFERROR(__xludf.DUMMYFUNCTION("filter('Back End'!C:C,'Back End'!A:A=A2541,'Back End'!B:B=B2541,'Back End'!D:D=D2541)"),"Sankhavaram")</f>
        <v>Sankhavaram</v>
      </c>
      <c r="D2541" s="91" t="s">
        <v>633</v>
      </c>
      <c r="E2541" s="91" t="s">
        <v>6137</v>
      </c>
      <c r="F2541" s="91" t="s">
        <v>114</v>
      </c>
      <c r="G2541" s="91" t="s">
        <v>85</v>
      </c>
      <c r="H2541" s="93" t="s">
        <v>5</v>
      </c>
      <c r="I2541" s="67"/>
      <c r="J2541" s="92">
        <v>8008986722</v>
      </c>
      <c r="K2541" s="67"/>
      <c r="L2541" s="67"/>
      <c r="M2541" s="67"/>
      <c r="N2541" s="67"/>
      <c r="O2541" s="67"/>
    </row>
    <row r="2542" spans="1:15" ht="15">
      <c r="A2542" s="91" t="s">
        <v>8</v>
      </c>
      <c r="B2542" s="91" t="s">
        <v>633</v>
      </c>
      <c r="C2542" s="92" t="str">
        <f ca="1">IFERROR(__xludf.DUMMYFUNCTION("filter('Back End'!C:C,'Back End'!A:A=A2542,'Back End'!B:B=B2542,'Back End'!D:D=D2542)"),"Sankhavaram")</f>
        <v>Sankhavaram</v>
      </c>
      <c r="D2542" s="91" t="s">
        <v>633</v>
      </c>
      <c r="E2542" s="91" t="s">
        <v>6138</v>
      </c>
      <c r="F2542" s="91" t="s">
        <v>139</v>
      </c>
      <c r="G2542" s="91" t="s">
        <v>594</v>
      </c>
      <c r="H2542" s="93" t="s">
        <v>5</v>
      </c>
      <c r="I2542" s="67"/>
      <c r="J2542" s="92">
        <v>6281922932</v>
      </c>
      <c r="K2542" s="67"/>
      <c r="L2542" s="67"/>
      <c r="M2542" s="67"/>
      <c r="N2542" s="67"/>
      <c r="O2542" s="67"/>
    </row>
    <row r="2543" spans="1:15" ht="15">
      <c r="A2543" s="91" t="s">
        <v>8</v>
      </c>
      <c r="B2543" s="91" t="s">
        <v>633</v>
      </c>
      <c r="C2543" s="92" t="str">
        <f ca="1">IFERROR(__xludf.DUMMYFUNCTION("filter('Back End'!C:C,'Back End'!A:A=A2543,'Back End'!B:B=B2543,'Back End'!D:D=D2543)"),"Sankhavaram")</f>
        <v>Sankhavaram</v>
      </c>
      <c r="D2543" s="91" t="s">
        <v>633</v>
      </c>
      <c r="E2543" s="91" t="s">
        <v>6139</v>
      </c>
      <c r="F2543" s="91" t="s">
        <v>1676</v>
      </c>
      <c r="G2543" s="91" t="s">
        <v>615</v>
      </c>
      <c r="H2543" s="93" t="s">
        <v>5</v>
      </c>
      <c r="I2543" s="67"/>
      <c r="J2543" s="92">
        <v>7680849498</v>
      </c>
      <c r="K2543" s="67"/>
      <c r="L2543" s="67"/>
      <c r="M2543" s="67"/>
      <c r="N2543" s="67"/>
      <c r="O2543" s="67"/>
    </row>
    <row r="2544" spans="1:15" ht="15">
      <c r="A2544" s="91" t="s">
        <v>8</v>
      </c>
      <c r="B2544" s="91" t="s">
        <v>633</v>
      </c>
      <c r="C2544" s="92" t="str">
        <f ca="1">IFERROR(__xludf.DUMMYFUNCTION("filter('Back End'!C:C,'Back End'!A:A=A2544,'Back End'!B:B=B2544,'Back End'!D:D=D2544)"),"Vazrakutam")</f>
        <v>Vazrakutam</v>
      </c>
      <c r="D2544" s="91" t="s">
        <v>655</v>
      </c>
      <c r="E2544" s="91" t="s">
        <v>6140</v>
      </c>
      <c r="F2544" s="67" t="s">
        <v>3138</v>
      </c>
      <c r="G2544" s="67"/>
      <c r="H2544" s="93" t="s">
        <v>5</v>
      </c>
      <c r="I2544" s="67"/>
      <c r="J2544" s="92">
        <v>9000056765</v>
      </c>
      <c r="K2544" s="67"/>
      <c r="L2544" s="67"/>
      <c r="M2544" s="67"/>
      <c r="N2544" s="67"/>
      <c r="O2544" s="67"/>
    </row>
    <row r="2545" spans="1:15" ht="15">
      <c r="A2545" s="91" t="s">
        <v>8</v>
      </c>
      <c r="B2545" s="91" t="s">
        <v>633</v>
      </c>
      <c r="C2545" s="92" t="str">
        <f ca="1">IFERROR(__xludf.DUMMYFUNCTION("filter('Back End'!C:C,'Back End'!A:A=A2545,'Back End'!B:B=B2545,'Back End'!D:D=D2545)"),"Sankhavaram")</f>
        <v>Sankhavaram</v>
      </c>
      <c r="D2545" s="91" t="s">
        <v>633</v>
      </c>
      <c r="E2545" s="91" t="s">
        <v>6141</v>
      </c>
      <c r="F2545" s="91" t="s">
        <v>586</v>
      </c>
      <c r="G2545" s="91" t="s">
        <v>615</v>
      </c>
      <c r="H2545" s="93" t="s">
        <v>5</v>
      </c>
      <c r="I2545" s="67"/>
      <c r="J2545" s="92">
        <v>9492830641</v>
      </c>
      <c r="K2545" s="67"/>
      <c r="L2545" s="67"/>
      <c r="M2545" s="67"/>
      <c r="N2545" s="67"/>
      <c r="O2545" s="67"/>
    </row>
    <row r="2546" spans="1:15" ht="15">
      <c r="A2546" s="91" t="s">
        <v>8</v>
      </c>
      <c r="B2546" s="91" t="s">
        <v>633</v>
      </c>
      <c r="C2546" s="92" t="str">
        <f ca="1">IFERROR(__xludf.DUMMYFUNCTION("filter('Back End'!C:C,'Back End'!A:A=A2546,'Back End'!B:B=B2546,'Back End'!D:D=D2546)"),"Sankhavaram")</f>
        <v>Sankhavaram</v>
      </c>
      <c r="D2546" s="91" t="s">
        <v>633</v>
      </c>
      <c r="E2546" s="91" t="s">
        <v>6142</v>
      </c>
      <c r="F2546" s="67" t="s">
        <v>3138</v>
      </c>
      <c r="G2546" s="67"/>
      <c r="H2546" s="93" t="s">
        <v>5</v>
      </c>
      <c r="I2546" s="67"/>
      <c r="J2546" s="92">
        <v>9032212789</v>
      </c>
      <c r="K2546" s="67"/>
      <c r="L2546" s="67"/>
      <c r="M2546" s="67"/>
      <c r="N2546" s="67"/>
      <c r="O2546" s="67"/>
    </row>
    <row r="2547" spans="1:15" ht="15">
      <c r="A2547" s="91" t="s">
        <v>8</v>
      </c>
      <c r="B2547" s="91" t="s">
        <v>633</v>
      </c>
      <c r="C2547" s="92" t="str">
        <f ca="1">IFERROR(__xludf.DUMMYFUNCTION("filter('Back End'!C:C,'Back End'!A:A=A2547,'Back End'!B:B=B2547,'Back End'!D:D=D2547)"),"Velangi")</f>
        <v>Velangi</v>
      </c>
      <c r="D2547" s="91" t="s">
        <v>333</v>
      </c>
      <c r="E2547" s="91" t="s">
        <v>6143</v>
      </c>
      <c r="F2547" s="67" t="s">
        <v>3138</v>
      </c>
      <c r="G2547" s="67"/>
      <c r="H2547" s="93" t="s">
        <v>5</v>
      </c>
      <c r="I2547" s="67"/>
      <c r="J2547" s="92">
        <v>8465068899</v>
      </c>
      <c r="K2547" s="67"/>
      <c r="L2547" s="67"/>
      <c r="M2547" s="67"/>
      <c r="N2547" s="67"/>
      <c r="O2547" s="67"/>
    </row>
    <row r="2548" spans="1:15" ht="15">
      <c r="A2548" s="91" t="s">
        <v>8</v>
      </c>
      <c r="B2548" s="91" t="s">
        <v>658</v>
      </c>
      <c r="C2548" s="92" t="str">
        <f ca="1">IFERROR(__xludf.DUMMYFUNCTION("filter('Back End'!C:C,'Back End'!A:A=A2548,'Back End'!B:B=B2548,'Back End'!D:D=D2548)"),"C. Rayavaram")</f>
        <v>C. Rayavaram</v>
      </c>
      <c r="D2548" s="91" t="s">
        <v>660</v>
      </c>
      <c r="E2548" s="91" t="s">
        <v>6144</v>
      </c>
      <c r="F2548" s="91" t="s">
        <v>139</v>
      </c>
      <c r="G2548" s="91" t="s">
        <v>594</v>
      </c>
      <c r="H2548" s="93" t="s">
        <v>5</v>
      </c>
      <c r="I2548" s="67"/>
      <c r="J2548" s="92">
        <v>9441232374</v>
      </c>
      <c r="K2548" s="67"/>
      <c r="L2548" s="67"/>
      <c r="M2548" s="67"/>
      <c r="N2548" s="67"/>
      <c r="O2548" s="67"/>
    </row>
    <row r="2549" spans="1:15" ht="15">
      <c r="A2549" s="91" t="s">
        <v>8</v>
      </c>
      <c r="B2549" s="91" t="s">
        <v>658</v>
      </c>
      <c r="C2549" s="92" t="str">
        <f ca="1">IFERROR(__xludf.DUMMYFUNCTION("filter('Back End'!C:C,'Back End'!A:A=A2549,'Back End'!B:B=B2549,'Back End'!D:D=D2549)"),"Ramanayya Peta")</f>
        <v>Ramanayya Peta</v>
      </c>
      <c r="D2549" s="91" t="s">
        <v>668</v>
      </c>
      <c r="E2549" s="91" t="s">
        <v>6145</v>
      </c>
      <c r="F2549" s="67" t="s">
        <v>3138</v>
      </c>
      <c r="G2549" s="67"/>
      <c r="H2549" s="93" t="s">
        <v>5</v>
      </c>
      <c r="I2549" s="67"/>
      <c r="J2549" s="92">
        <v>8019313308</v>
      </c>
      <c r="K2549" s="67"/>
      <c r="L2549" s="67"/>
      <c r="M2549" s="67"/>
      <c r="N2549" s="67"/>
      <c r="O2549" s="67"/>
    </row>
    <row r="2550" spans="1:15" ht="30">
      <c r="A2550" s="91" t="s">
        <v>8</v>
      </c>
      <c r="B2550" s="91" t="s">
        <v>658</v>
      </c>
      <c r="C2550" s="92" t="str">
        <f ca="1">IFERROR(__xludf.DUMMYFUNCTION("filter('Back End'!C:C,'Back End'!A:A=A2550,'Back End'!B:B=B2550,'Back End'!D:D=D2550)"),"East Lakshmipuram")</f>
        <v>East Lakshmipuram</v>
      </c>
      <c r="D2550" s="91" t="s">
        <v>661</v>
      </c>
      <c r="E2550" s="91" t="s">
        <v>6146</v>
      </c>
      <c r="F2550" s="67" t="s">
        <v>3138</v>
      </c>
      <c r="G2550" s="67"/>
      <c r="H2550" s="93" t="s">
        <v>5</v>
      </c>
      <c r="I2550" s="67"/>
      <c r="J2550" s="92">
        <v>9494185519</v>
      </c>
      <c r="K2550" s="67"/>
      <c r="L2550" s="67"/>
      <c r="M2550" s="67"/>
      <c r="N2550" s="67"/>
      <c r="O2550" s="67"/>
    </row>
    <row r="2551" spans="1:15" ht="30">
      <c r="A2551" s="91" t="s">
        <v>8</v>
      </c>
      <c r="B2551" s="91" t="s">
        <v>658</v>
      </c>
      <c r="C2551" s="92" t="str">
        <f ca="1">IFERROR(__xludf.DUMMYFUNCTION("filter('Back End'!C:C,'Back End'!A:A=A2551,'Back End'!B:B=B2551,'Back End'!D:D=D2551)"),"East Lakshmipuram")</f>
        <v>East Lakshmipuram</v>
      </c>
      <c r="D2551" s="91" t="s">
        <v>661</v>
      </c>
      <c r="E2551" s="91" t="s">
        <v>6147</v>
      </c>
      <c r="F2551" s="91" t="s">
        <v>114</v>
      </c>
      <c r="G2551" s="91" t="s">
        <v>85</v>
      </c>
      <c r="H2551" s="93" t="s">
        <v>5</v>
      </c>
      <c r="I2551" s="67"/>
      <c r="J2551" s="92">
        <v>9666528551</v>
      </c>
      <c r="K2551" s="67"/>
      <c r="L2551" s="67"/>
      <c r="M2551" s="67"/>
      <c r="N2551" s="67"/>
      <c r="O2551" s="67"/>
    </row>
    <row r="2552" spans="1:15" ht="15">
      <c r="A2552" s="91" t="s">
        <v>7</v>
      </c>
      <c r="B2552" s="91" t="s">
        <v>671</v>
      </c>
      <c r="C2552" s="92" t="str">
        <f ca="1">IFERROR(__xludf.DUMMYFUNCTION("filter('Back End'!C:C,'Back End'!A:A=A2552,'Back End'!B:B=B2552,'Back End'!D:D=D2552)"),"Kotananduru")</f>
        <v>Kotananduru</v>
      </c>
      <c r="D2552" s="91" t="s">
        <v>671</v>
      </c>
      <c r="E2552" s="91" t="s">
        <v>6148</v>
      </c>
      <c r="F2552" s="91" t="s">
        <v>1680</v>
      </c>
      <c r="G2552" s="91" t="s">
        <v>615</v>
      </c>
      <c r="H2552" s="93" t="s">
        <v>5</v>
      </c>
      <c r="I2552" s="67"/>
      <c r="J2552" s="92">
        <v>9966273363</v>
      </c>
      <c r="K2552" s="67"/>
      <c r="L2552" s="67"/>
      <c r="M2552" s="67"/>
      <c r="N2552" s="67"/>
      <c r="O2552" s="67"/>
    </row>
    <row r="2553" spans="1:15" ht="15">
      <c r="A2553" s="91" t="s">
        <v>7</v>
      </c>
      <c r="B2553" s="91" t="s">
        <v>671</v>
      </c>
      <c r="C2553" s="92" t="str">
        <f ca="1">IFERROR(__xludf.DUMMYFUNCTION("filter('Back End'!C:C,'Back End'!A:A=A2553,'Back End'!B:B=B2553,'Back End'!D:D=D2553)"),"Kotananduru")</f>
        <v>Kotananduru</v>
      </c>
      <c r="D2553" s="91" t="s">
        <v>671</v>
      </c>
      <c r="E2553" s="91" t="s">
        <v>6149</v>
      </c>
      <c r="F2553" s="91" t="s">
        <v>368</v>
      </c>
      <c r="G2553" s="91" t="s">
        <v>594</v>
      </c>
      <c r="H2553" s="93" t="s">
        <v>5</v>
      </c>
      <c r="I2553" s="67"/>
      <c r="J2553" s="92">
        <v>9908445555</v>
      </c>
      <c r="K2553" s="67"/>
      <c r="L2553" s="67"/>
      <c r="M2553" s="67"/>
      <c r="N2553" s="67"/>
      <c r="O2553" s="67"/>
    </row>
    <row r="2554" spans="1:15" ht="45">
      <c r="A2554" s="91" t="s">
        <v>7</v>
      </c>
      <c r="B2554" s="91" t="s">
        <v>671</v>
      </c>
      <c r="C2554" s="92" t="str">
        <f ca="1">IFERROR(__xludf.DUMMYFUNCTION("filter('Back End'!C:C,'Back End'!A:A=A2554,'Back End'!B:B=B2554,'Back End'!D:D=D2554)"),"Kotananduru")</f>
        <v>Kotananduru</v>
      </c>
      <c r="D2554" s="91" t="s">
        <v>671</v>
      </c>
      <c r="E2554" s="91" t="s">
        <v>6150</v>
      </c>
      <c r="F2554" s="91" t="s">
        <v>114</v>
      </c>
      <c r="G2554" s="91" t="s">
        <v>85</v>
      </c>
      <c r="H2554" s="93" t="s">
        <v>5</v>
      </c>
      <c r="I2554" s="92" t="s">
        <v>6151</v>
      </c>
      <c r="J2554" s="92">
        <v>9849489987</v>
      </c>
      <c r="K2554" s="67"/>
      <c r="L2554" s="67"/>
      <c r="M2554" s="67"/>
      <c r="N2554" s="67"/>
      <c r="O2554" s="67"/>
    </row>
    <row r="2555" spans="1:15" ht="15">
      <c r="A2555" s="91" t="s">
        <v>7</v>
      </c>
      <c r="B2555" s="91" t="s">
        <v>671</v>
      </c>
      <c r="C2555" s="92" t="str">
        <f ca="1">IFERROR(__xludf.DUMMYFUNCTION("filter('Back End'!C:C,'Back End'!A:A=A2555,'Back End'!B:B=B2555,'Back End'!D:D=D2555)"),"Kotananduru")</f>
        <v>Kotananduru</v>
      </c>
      <c r="D2555" s="91" t="s">
        <v>671</v>
      </c>
      <c r="E2555" s="91" t="s">
        <v>6152</v>
      </c>
      <c r="F2555" s="91" t="s">
        <v>139</v>
      </c>
      <c r="G2555" s="91" t="s">
        <v>594</v>
      </c>
      <c r="H2555" s="93" t="s">
        <v>5</v>
      </c>
      <c r="I2555" s="67"/>
      <c r="J2555" s="92">
        <v>9542000166</v>
      </c>
      <c r="K2555" s="67"/>
      <c r="L2555" s="67"/>
      <c r="M2555" s="67"/>
      <c r="N2555" s="67"/>
      <c r="O2555" s="67"/>
    </row>
    <row r="2556" spans="1:15" ht="15">
      <c r="A2556" s="91" t="s">
        <v>7</v>
      </c>
      <c r="B2556" s="91" t="s">
        <v>671</v>
      </c>
      <c r="C2556" s="92" t="str">
        <f ca="1">IFERROR(__xludf.DUMMYFUNCTION("filter('Back End'!C:C,'Back End'!A:A=A2556,'Back End'!B:B=B2556,'Back End'!D:D=D2556)"),"Kotananduru")</f>
        <v>Kotananduru</v>
      </c>
      <c r="D2556" s="91" t="s">
        <v>671</v>
      </c>
      <c r="E2556" s="91" t="s">
        <v>6153</v>
      </c>
      <c r="F2556" s="91" t="s">
        <v>139</v>
      </c>
      <c r="G2556" s="91" t="s">
        <v>594</v>
      </c>
      <c r="H2556" s="93" t="s">
        <v>5</v>
      </c>
      <c r="I2556" s="67"/>
      <c r="J2556" s="92">
        <v>9505050202</v>
      </c>
      <c r="K2556" s="67"/>
      <c r="L2556" s="67"/>
      <c r="M2556" s="67"/>
      <c r="N2556" s="67"/>
      <c r="O2556" s="67"/>
    </row>
    <row r="2557" spans="1:15" ht="15">
      <c r="A2557" s="91" t="s">
        <v>7</v>
      </c>
      <c r="B2557" s="91" t="s">
        <v>671</v>
      </c>
      <c r="C2557" s="92" t="str">
        <f ca="1">IFERROR(__xludf.DUMMYFUNCTION("filter('Back End'!C:C,'Back End'!A:A=A2557,'Back End'!B:B=B2557,'Back End'!D:D=D2557)"),"Kotananduru")</f>
        <v>Kotananduru</v>
      </c>
      <c r="D2557" s="91" t="s">
        <v>671</v>
      </c>
      <c r="E2557" s="91" t="s">
        <v>6154</v>
      </c>
      <c r="F2557" s="91" t="s">
        <v>139</v>
      </c>
      <c r="G2557" s="91" t="s">
        <v>594</v>
      </c>
      <c r="H2557" s="93" t="s">
        <v>5</v>
      </c>
      <c r="I2557" s="67"/>
      <c r="J2557" s="92">
        <v>7013884641</v>
      </c>
      <c r="K2557" s="67"/>
      <c r="L2557" s="67"/>
      <c r="M2557" s="67"/>
      <c r="N2557" s="67"/>
      <c r="O2557" s="67"/>
    </row>
    <row r="2558" spans="1:15" ht="15">
      <c r="A2558" s="91" t="s">
        <v>7</v>
      </c>
      <c r="B2558" s="91" t="s">
        <v>671</v>
      </c>
      <c r="C2558" s="92" t="str">
        <f ca="1">IFERROR(__xludf.DUMMYFUNCTION("filter('Back End'!C:C,'Back End'!A:A=A2558,'Back End'!B:B=B2558,'Back End'!D:D=D2558)"),"Kotananduru")</f>
        <v>Kotananduru</v>
      </c>
      <c r="D2558" s="91" t="s">
        <v>671</v>
      </c>
      <c r="E2558" s="91" t="s">
        <v>6155</v>
      </c>
      <c r="F2558" s="91" t="s">
        <v>213</v>
      </c>
      <c r="G2558" s="91" t="s">
        <v>615</v>
      </c>
      <c r="H2558" s="93" t="s">
        <v>5</v>
      </c>
      <c r="I2558" s="67"/>
      <c r="J2558" s="92">
        <v>9000990716</v>
      </c>
      <c r="K2558" s="67"/>
      <c r="L2558" s="67"/>
      <c r="M2558" s="67"/>
      <c r="N2558" s="67"/>
      <c r="O2558" s="67"/>
    </row>
    <row r="2559" spans="1:15" ht="15">
      <c r="A2559" s="91" t="s">
        <v>7</v>
      </c>
      <c r="B2559" s="91" t="s">
        <v>671</v>
      </c>
      <c r="C2559" s="92" t="str">
        <f ca="1">IFERROR(__xludf.DUMMYFUNCTION("filter('Back End'!C:C,'Back End'!A:A=A2559,'Back End'!B:B=B2559,'Back End'!D:D=D2559)"),"Boddavaram")</f>
        <v>Boddavaram</v>
      </c>
      <c r="D2559" s="91" t="s">
        <v>679</v>
      </c>
      <c r="E2559" s="91" t="s">
        <v>6156</v>
      </c>
      <c r="F2559" s="67" t="s">
        <v>3138</v>
      </c>
      <c r="G2559" s="67"/>
      <c r="H2559" s="93" t="s">
        <v>4</v>
      </c>
      <c r="I2559" s="92" t="s">
        <v>3125</v>
      </c>
      <c r="J2559" s="92">
        <v>9440585643</v>
      </c>
      <c r="K2559" s="67"/>
      <c r="L2559" s="67"/>
      <c r="M2559" s="67"/>
      <c r="N2559" s="67"/>
      <c r="O2559" s="67"/>
    </row>
    <row r="2560" spans="1:15" ht="15">
      <c r="A2560" s="91" t="s">
        <v>7</v>
      </c>
      <c r="B2560" s="91" t="s">
        <v>671</v>
      </c>
      <c r="C2560" s="92" t="str">
        <f ca="1">IFERROR(__xludf.DUMMYFUNCTION("filter('Back End'!C:C,'Back End'!A:A=A2560,'Back End'!B:B=B2560,'Back End'!D:D=D2560)"),"Boddavaram")</f>
        <v>Boddavaram</v>
      </c>
      <c r="D2560" s="91" t="s">
        <v>679</v>
      </c>
      <c r="E2560" s="91" t="s">
        <v>6157</v>
      </c>
      <c r="F2560" s="67" t="s">
        <v>3138</v>
      </c>
      <c r="G2560" s="67"/>
      <c r="H2560" s="93" t="s">
        <v>4</v>
      </c>
      <c r="I2560" s="67"/>
      <c r="J2560" s="92">
        <v>9000662451</v>
      </c>
      <c r="K2560" s="67"/>
      <c r="L2560" s="67"/>
      <c r="M2560" s="67"/>
      <c r="N2560" s="67"/>
      <c r="O2560" s="67"/>
    </row>
    <row r="2561" spans="1:15" ht="15">
      <c r="A2561" s="91" t="s">
        <v>7</v>
      </c>
      <c r="B2561" s="91" t="s">
        <v>671</v>
      </c>
      <c r="C2561" s="92" t="str">
        <f ca="1">IFERROR(__xludf.DUMMYFUNCTION("filter('Back End'!C:C,'Back End'!A:A=A2561,'Back End'!B:B=B2561,'Back End'!D:D=D2561)"),"Boddavaram")</f>
        <v>Boddavaram</v>
      </c>
      <c r="D2561" s="91" t="s">
        <v>679</v>
      </c>
      <c r="E2561" s="91" t="s">
        <v>6158</v>
      </c>
      <c r="F2561" s="67" t="s">
        <v>3138</v>
      </c>
      <c r="G2561" s="67"/>
      <c r="H2561" s="93" t="s">
        <v>4</v>
      </c>
      <c r="I2561" s="67"/>
      <c r="J2561" s="92">
        <v>9989240760</v>
      </c>
      <c r="K2561" s="67"/>
      <c r="L2561" s="67"/>
      <c r="M2561" s="67"/>
      <c r="N2561" s="67"/>
      <c r="O2561" s="67"/>
    </row>
    <row r="2562" spans="1:15" ht="15">
      <c r="A2562" s="91" t="s">
        <v>7</v>
      </c>
      <c r="B2562" s="91" t="s">
        <v>671</v>
      </c>
      <c r="C2562" s="92" t="str">
        <f ca="1">IFERROR(__xludf.DUMMYFUNCTION("filter('Back End'!C:C,'Back End'!A:A=A2562,'Back End'!B:B=B2562,'Back End'!D:D=D2562)"),"Boddavaram")</f>
        <v>Boddavaram</v>
      </c>
      <c r="D2562" s="91" t="s">
        <v>679</v>
      </c>
      <c r="E2562" s="91" t="s">
        <v>6159</v>
      </c>
      <c r="F2562" s="67" t="s">
        <v>3138</v>
      </c>
      <c r="G2562" s="67"/>
      <c r="H2562" s="93" t="s">
        <v>4</v>
      </c>
      <c r="I2562" s="67"/>
      <c r="J2562" s="92">
        <v>9676490669</v>
      </c>
      <c r="K2562" s="67"/>
      <c r="L2562" s="67"/>
      <c r="M2562" s="67"/>
      <c r="N2562" s="67"/>
      <c r="O2562" s="67"/>
    </row>
    <row r="2563" spans="1:15" ht="15">
      <c r="A2563" s="91" t="s">
        <v>7</v>
      </c>
      <c r="B2563" s="91" t="s">
        <v>671</v>
      </c>
      <c r="C2563" s="92" t="str">
        <f ca="1">IFERROR(__xludf.DUMMYFUNCTION("filter('Back End'!C:C,'Back End'!A:A=A2563,'Back End'!B:B=B2563,'Back End'!D:D=D2563)"),"K.A.Mallavaram")</f>
        <v>K.A.Mallavaram</v>
      </c>
      <c r="D2563" s="91" t="s">
        <v>685</v>
      </c>
      <c r="E2563" s="91" t="s">
        <v>6160</v>
      </c>
      <c r="F2563" s="91" t="s">
        <v>1660</v>
      </c>
      <c r="G2563" s="91" t="s">
        <v>615</v>
      </c>
      <c r="H2563" s="93" t="s">
        <v>5</v>
      </c>
      <c r="I2563" s="67"/>
      <c r="J2563" s="92">
        <v>8374146765</v>
      </c>
      <c r="K2563" s="67"/>
      <c r="L2563" s="67"/>
      <c r="M2563" s="67"/>
      <c r="N2563" s="67"/>
      <c r="O2563" s="67"/>
    </row>
    <row r="2564" spans="1:15" ht="60">
      <c r="A2564" s="91" t="s">
        <v>7</v>
      </c>
      <c r="B2564" s="91" t="s">
        <v>671</v>
      </c>
      <c r="C2564" s="92" t="str">
        <f ca="1">IFERROR(__xludf.DUMMYFUNCTION("filter('Back End'!C:C,'Back End'!A:A=A2564,'Back End'!B:B=B2564,'Back End'!D:D=D2564)"),"K.A.Mallavaram")</f>
        <v>K.A.Mallavaram</v>
      </c>
      <c r="D2564" s="91" t="s">
        <v>685</v>
      </c>
      <c r="E2564" s="91" t="s">
        <v>6161</v>
      </c>
      <c r="F2564" s="91" t="s">
        <v>1660</v>
      </c>
      <c r="G2564" s="91" t="s">
        <v>615</v>
      </c>
      <c r="H2564" s="93" t="s">
        <v>5</v>
      </c>
      <c r="I2564" s="67"/>
      <c r="J2564" s="92" t="s">
        <v>6162</v>
      </c>
      <c r="K2564" s="67"/>
      <c r="L2564" s="67"/>
      <c r="M2564" s="67"/>
      <c r="N2564" s="67"/>
      <c r="O2564" s="67"/>
    </row>
    <row r="2565" spans="1:15" ht="15">
      <c r="A2565" s="91" t="s">
        <v>7</v>
      </c>
      <c r="B2565" s="91" t="s">
        <v>671</v>
      </c>
      <c r="C2565" s="92" t="str">
        <f ca="1">IFERROR(__xludf.DUMMYFUNCTION("filter('Back End'!C:C,'Back End'!A:A=A2565,'Back End'!B:B=B2565,'Back End'!D:D=D2565)"),"K.A.Mallavaram")</f>
        <v>K.A.Mallavaram</v>
      </c>
      <c r="D2565" s="91" t="s">
        <v>685</v>
      </c>
      <c r="E2565" s="91" t="s">
        <v>6163</v>
      </c>
      <c r="F2565" s="67"/>
      <c r="G2565" s="67"/>
      <c r="H2565" s="93" t="s">
        <v>4</v>
      </c>
      <c r="I2565" s="92" t="s">
        <v>3125</v>
      </c>
      <c r="J2565" s="92">
        <v>9032616256</v>
      </c>
      <c r="K2565" s="67"/>
      <c r="L2565" s="67"/>
      <c r="M2565" s="67"/>
      <c r="N2565" s="67"/>
      <c r="O2565" s="67"/>
    </row>
    <row r="2566" spans="1:15" ht="15">
      <c r="A2566" s="91" t="s">
        <v>7</v>
      </c>
      <c r="B2566" s="91" t="s">
        <v>671</v>
      </c>
      <c r="C2566" s="92" t="str">
        <f ca="1">IFERROR(__xludf.DUMMYFUNCTION("filter('Back End'!C:C,'Back End'!A:A=A2566,'Back End'!B:B=B2566,'Back End'!D:D=D2566)"),"K.A.Mallavaram")</f>
        <v>K.A.Mallavaram</v>
      </c>
      <c r="D2566" s="91" t="s">
        <v>685</v>
      </c>
      <c r="E2566" s="91" t="s">
        <v>6164</v>
      </c>
      <c r="F2566" s="67"/>
      <c r="G2566" s="67"/>
      <c r="H2566" s="93" t="s">
        <v>4</v>
      </c>
      <c r="I2566" s="67"/>
      <c r="J2566" s="92">
        <v>9492042479</v>
      </c>
      <c r="K2566" s="67"/>
      <c r="L2566" s="67"/>
      <c r="M2566" s="67"/>
      <c r="N2566" s="67"/>
      <c r="O2566" s="67"/>
    </row>
    <row r="2567" spans="1:15" ht="15">
      <c r="A2567" s="91" t="s">
        <v>7</v>
      </c>
      <c r="B2567" s="91" t="s">
        <v>671</v>
      </c>
      <c r="C2567" s="92" t="str">
        <f ca="1">IFERROR(__xludf.DUMMYFUNCTION("filter('Back End'!C:C,'Back End'!A:A=A2567,'Back End'!B:B=B2567,'Back End'!D:D=D2567)"),"K.A.Mallavaram")</f>
        <v>K.A.Mallavaram</v>
      </c>
      <c r="D2567" s="91" t="s">
        <v>685</v>
      </c>
      <c r="E2567" s="91" t="s">
        <v>6165</v>
      </c>
      <c r="F2567" s="67"/>
      <c r="G2567" s="67"/>
      <c r="H2567" s="93" t="s">
        <v>4</v>
      </c>
      <c r="I2567" s="67"/>
      <c r="J2567" s="92">
        <v>9441326687</v>
      </c>
      <c r="K2567" s="67"/>
      <c r="L2567" s="67"/>
      <c r="M2567" s="67"/>
      <c r="N2567" s="67"/>
      <c r="O2567" s="67"/>
    </row>
    <row r="2568" spans="1:15" ht="30">
      <c r="A2568" s="91" t="s">
        <v>7</v>
      </c>
      <c r="B2568" s="91" t="s">
        <v>671</v>
      </c>
      <c r="C2568" s="92" t="str">
        <f ca="1">IFERROR(__xludf.DUMMYFUNCTION("filter('Back End'!C:C,'Back End'!A:A=A2568,'Back End'!B:B=B2568,'Back End'!D:D=D2568)"),"K.E.Chinnayyapalem")</f>
        <v>K.E.Chinnayyapalem</v>
      </c>
      <c r="D2568" s="91" t="s">
        <v>688</v>
      </c>
      <c r="E2568" s="91" t="s">
        <v>6166</v>
      </c>
      <c r="F2568" s="67"/>
      <c r="G2568" s="67"/>
      <c r="H2568" s="93" t="s">
        <v>5</v>
      </c>
      <c r="I2568" s="67"/>
      <c r="J2568" s="92">
        <v>96661000614</v>
      </c>
      <c r="K2568" s="67"/>
      <c r="L2568" s="67"/>
      <c r="M2568" s="67"/>
      <c r="N2568" s="67"/>
      <c r="O2568" s="67"/>
    </row>
    <row r="2569" spans="1:15" ht="30">
      <c r="A2569" s="91" t="s">
        <v>7</v>
      </c>
      <c r="B2569" s="91" t="s">
        <v>671</v>
      </c>
      <c r="C2569" s="92" t="str">
        <f ca="1">IFERROR(__xludf.DUMMYFUNCTION("filter('Back End'!C:C,'Back End'!A:A=A2569,'Back End'!B:B=B2569,'Back End'!D:D=D2569)"),"K.E.Chinnayyapalem")</f>
        <v>K.E.Chinnayyapalem</v>
      </c>
      <c r="D2569" s="91" t="s">
        <v>688</v>
      </c>
      <c r="E2569" s="91" t="s">
        <v>6167</v>
      </c>
      <c r="F2569" s="91" t="s">
        <v>586</v>
      </c>
      <c r="G2569" s="91" t="s">
        <v>615</v>
      </c>
      <c r="H2569" s="93" t="s">
        <v>5</v>
      </c>
      <c r="I2569" s="67"/>
      <c r="J2569" s="92">
        <v>9490302328</v>
      </c>
      <c r="K2569" s="67"/>
      <c r="L2569" s="67"/>
      <c r="M2569" s="67"/>
      <c r="N2569" s="67"/>
      <c r="O2569" s="67"/>
    </row>
    <row r="2570" spans="1:15" ht="30">
      <c r="A2570" s="91" t="s">
        <v>7</v>
      </c>
      <c r="B2570" s="91" t="s">
        <v>671</v>
      </c>
      <c r="C2570" s="92" t="str">
        <f ca="1">IFERROR(__xludf.DUMMYFUNCTION("filter('Back End'!C:C,'Back End'!A:A=A2570,'Back End'!B:B=B2570,'Back End'!D:D=D2570)"),"K.E.Chinnayyapalem")</f>
        <v>K.E.Chinnayyapalem</v>
      </c>
      <c r="D2570" s="91" t="s">
        <v>688</v>
      </c>
      <c r="E2570" s="91" t="s">
        <v>6168</v>
      </c>
      <c r="F2570" s="91" t="s">
        <v>1660</v>
      </c>
      <c r="G2570" s="91" t="s">
        <v>615</v>
      </c>
      <c r="H2570" s="93" t="s">
        <v>5</v>
      </c>
      <c r="I2570" s="67"/>
      <c r="J2570" s="92">
        <v>8985154156</v>
      </c>
      <c r="K2570" s="67"/>
      <c r="L2570" s="67"/>
      <c r="M2570" s="67"/>
      <c r="N2570" s="67"/>
      <c r="O2570" s="67"/>
    </row>
    <row r="2571" spans="1:15" ht="30">
      <c r="A2571" s="91" t="s">
        <v>7</v>
      </c>
      <c r="B2571" s="91" t="s">
        <v>671</v>
      </c>
      <c r="C2571" s="92" t="str">
        <f ca="1">IFERROR(__xludf.DUMMYFUNCTION("filter('Back End'!C:C,'Back End'!A:A=A2571,'Back End'!B:B=B2571,'Back End'!D:D=D2571)"),"K.E.Chinnayyapalem")</f>
        <v>K.E.Chinnayyapalem</v>
      </c>
      <c r="D2571" s="91" t="s">
        <v>688</v>
      </c>
      <c r="E2571" s="91" t="s">
        <v>6169</v>
      </c>
      <c r="F2571" s="67"/>
      <c r="G2571" s="67"/>
      <c r="H2571" s="93" t="s">
        <v>4</v>
      </c>
      <c r="I2571" s="67"/>
      <c r="J2571" s="92">
        <v>9603921937</v>
      </c>
      <c r="K2571" s="67"/>
      <c r="L2571" s="67"/>
      <c r="M2571" s="67"/>
      <c r="N2571" s="67"/>
      <c r="O2571" s="67"/>
    </row>
    <row r="2572" spans="1:15" ht="30">
      <c r="A2572" s="91" t="s">
        <v>7</v>
      </c>
      <c r="B2572" s="91" t="s">
        <v>671</v>
      </c>
      <c r="C2572" s="92" t="str">
        <f ca="1">IFERROR(__xludf.DUMMYFUNCTION("filter('Back End'!C:C,'Back End'!A:A=A2572,'Back End'!B:B=B2572,'Back End'!D:D=D2572)"),"K.E.Chinnayyapalem")</f>
        <v>K.E.Chinnayyapalem</v>
      </c>
      <c r="D2572" s="91" t="s">
        <v>688</v>
      </c>
      <c r="E2572" s="91" t="s">
        <v>6170</v>
      </c>
      <c r="F2572" s="67"/>
      <c r="G2572" s="67"/>
      <c r="H2572" s="93" t="s">
        <v>4</v>
      </c>
      <c r="I2572" s="67"/>
      <c r="J2572" s="92">
        <v>9603893623</v>
      </c>
      <c r="K2572" s="67"/>
      <c r="L2572" s="67"/>
      <c r="M2572" s="67"/>
      <c r="N2572" s="67"/>
      <c r="O2572" s="67"/>
    </row>
    <row r="2573" spans="1:15" ht="30">
      <c r="A2573" s="91" t="s">
        <v>7</v>
      </c>
      <c r="B2573" s="91" t="s">
        <v>671</v>
      </c>
      <c r="C2573" s="92" t="str">
        <f ca="1">IFERROR(__xludf.DUMMYFUNCTION("filter('Back End'!C:C,'Back End'!A:A=A2573,'Back End'!B:B=B2573,'Back End'!D:D=D2573)"),"K.E.Chinnayyapalem")</f>
        <v>K.E.Chinnayyapalem</v>
      </c>
      <c r="D2573" s="91" t="s">
        <v>688</v>
      </c>
      <c r="E2573" s="91" t="s">
        <v>6171</v>
      </c>
      <c r="F2573" s="67"/>
      <c r="G2573" s="67"/>
      <c r="H2573" s="93" t="s">
        <v>4</v>
      </c>
      <c r="I2573" s="67"/>
      <c r="J2573" s="92">
        <v>9492140566</v>
      </c>
      <c r="K2573" s="67"/>
      <c r="L2573" s="67"/>
      <c r="M2573" s="67"/>
      <c r="N2573" s="67"/>
      <c r="O2573" s="67"/>
    </row>
    <row r="2574" spans="1:15" ht="30">
      <c r="A2574" s="91" t="s">
        <v>7</v>
      </c>
      <c r="B2574" s="91" t="s">
        <v>671</v>
      </c>
      <c r="C2574" s="92" t="str">
        <f ca="1">IFERROR(__xludf.DUMMYFUNCTION("filter('Back End'!C:C,'Back End'!A:A=A2574,'Back End'!B:B=B2574,'Back End'!D:D=D2574)"),"K.E.Chinnayyapalem")</f>
        <v>K.E.Chinnayyapalem</v>
      </c>
      <c r="D2574" s="91" t="s">
        <v>688</v>
      </c>
      <c r="E2574" s="91" t="s">
        <v>6172</v>
      </c>
      <c r="F2574" s="67"/>
      <c r="G2574" s="67"/>
      <c r="H2574" s="93" t="s">
        <v>4</v>
      </c>
      <c r="I2574" s="92" t="s">
        <v>3125</v>
      </c>
      <c r="J2574" s="92">
        <v>8367314418</v>
      </c>
      <c r="K2574" s="67"/>
      <c r="L2574" s="67"/>
      <c r="M2574" s="67"/>
      <c r="N2574" s="67"/>
      <c r="O2574" s="67"/>
    </row>
    <row r="2575" spans="1:15" ht="30">
      <c r="A2575" s="91" t="s">
        <v>7</v>
      </c>
      <c r="B2575" s="91" t="s">
        <v>671</v>
      </c>
      <c r="C2575" s="92" t="str">
        <f ca="1">IFERROR(__xludf.DUMMYFUNCTION("filter('Back End'!C:C,'Back End'!A:A=A2575,'Back End'!B:B=B2575,'Back End'!D:D=D2575)"),"K.E.Chinnayyapalem")</f>
        <v>K.E.Chinnayyapalem</v>
      </c>
      <c r="D2575" s="91" t="s">
        <v>688</v>
      </c>
      <c r="E2575" s="91" t="s">
        <v>6173</v>
      </c>
      <c r="F2575" s="67"/>
      <c r="G2575" s="67"/>
      <c r="H2575" s="93" t="s">
        <v>4</v>
      </c>
      <c r="I2575" s="67"/>
      <c r="J2575" s="92">
        <v>8500811031</v>
      </c>
      <c r="K2575" s="67"/>
      <c r="L2575" s="67"/>
      <c r="M2575" s="67"/>
      <c r="N2575" s="67"/>
      <c r="O2575" s="67"/>
    </row>
    <row r="2576" spans="1:15" ht="15">
      <c r="A2576" s="91" t="s">
        <v>7</v>
      </c>
      <c r="B2576" s="91" t="s">
        <v>671</v>
      </c>
      <c r="C2576" s="92" t="str">
        <f ca="1">IFERROR(__xludf.DUMMYFUNCTION("filter('Back End'!C:C,'Back End'!A:A=A2576,'Back End'!B:B=B2576,'Back End'!D:D=D2576)"),"Kakarapalle")</f>
        <v>Kakarapalle</v>
      </c>
      <c r="D2576" s="91" t="s">
        <v>695</v>
      </c>
      <c r="E2576" s="91" t="s">
        <v>6174</v>
      </c>
      <c r="F2576" s="67"/>
      <c r="G2576" s="67"/>
      <c r="H2576" s="93" t="s">
        <v>4</v>
      </c>
      <c r="I2576" s="67"/>
      <c r="J2576" s="92">
        <v>9491433986</v>
      </c>
      <c r="K2576" s="67"/>
      <c r="L2576" s="67"/>
      <c r="M2576" s="67"/>
      <c r="N2576" s="67"/>
      <c r="O2576" s="67"/>
    </row>
    <row r="2577" spans="1:15" ht="15">
      <c r="A2577" s="91" t="s">
        <v>7</v>
      </c>
      <c r="B2577" s="91" t="s">
        <v>671</v>
      </c>
      <c r="C2577" s="92" t="str">
        <f ca="1">IFERROR(__xludf.DUMMYFUNCTION("filter('Back End'!C:C,'Back End'!A:A=A2577,'Back End'!B:B=B2577,'Back End'!D:D=D2577)"),"Kakarapalle")</f>
        <v>Kakarapalle</v>
      </c>
      <c r="D2577" s="91" t="s">
        <v>695</v>
      </c>
      <c r="E2577" s="91" t="s">
        <v>6175</v>
      </c>
      <c r="F2577" s="91" t="s">
        <v>139</v>
      </c>
      <c r="G2577" s="91" t="s">
        <v>594</v>
      </c>
      <c r="H2577" s="93" t="s">
        <v>5</v>
      </c>
      <c r="I2577" s="67"/>
      <c r="J2577" s="92">
        <v>8147201184</v>
      </c>
      <c r="K2577" s="67"/>
      <c r="L2577" s="67"/>
      <c r="M2577" s="67"/>
      <c r="N2577" s="67"/>
      <c r="O2577" s="67"/>
    </row>
    <row r="2578" spans="1:15" ht="15">
      <c r="A2578" s="91" t="s">
        <v>7</v>
      </c>
      <c r="B2578" s="91" t="s">
        <v>671</v>
      </c>
      <c r="C2578" s="92" t="str">
        <f ca="1">IFERROR(__xludf.DUMMYFUNCTION("filter('Back End'!C:C,'Back End'!A:A=A2578,'Back End'!B:B=B2578,'Back End'!D:D=D2578)"),"Kakarapalle")</f>
        <v>Kakarapalle</v>
      </c>
      <c r="D2578" s="91" t="s">
        <v>695</v>
      </c>
      <c r="E2578" s="91" t="s">
        <v>6176</v>
      </c>
      <c r="F2578" s="67"/>
      <c r="G2578" s="67"/>
      <c r="H2578" s="93" t="s">
        <v>4</v>
      </c>
      <c r="I2578" s="67"/>
      <c r="J2578" s="92">
        <v>9441327683</v>
      </c>
      <c r="K2578" s="67"/>
      <c r="L2578" s="67"/>
      <c r="M2578" s="67"/>
      <c r="N2578" s="67"/>
      <c r="O2578" s="67"/>
    </row>
    <row r="2579" spans="1:15" ht="15">
      <c r="A2579" s="91" t="s">
        <v>7</v>
      </c>
      <c r="B2579" s="91" t="s">
        <v>671</v>
      </c>
      <c r="C2579" s="92" t="str">
        <f ca="1">IFERROR(__xludf.DUMMYFUNCTION("filter('Back End'!C:C,'Back End'!A:A=A2579,'Back End'!B:B=B2579,'Back End'!D:D=D2579)"),"Kakarapalle")</f>
        <v>Kakarapalle</v>
      </c>
      <c r="D2579" s="91" t="s">
        <v>695</v>
      </c>
      <c r="E2579" s="91" t="s">
        <v>6177</v>
      </c>
      <c r="F2579" s="91" t="s">
        <v>139</v>
      </c>
      <c r="G2579" s="91" t="s">
        <v>594</v>
      </c>
      <c r="H2579" s="93" t="s">
        <v>5</v>
      </c>
      <c r="I2579" s="67"/>
      <c r="J2579" s="92">
        <v>9032473979</v>
      </c>
      <c r="K2579" s="67"/>
      <c r="L2579" s="67"/>
      <c r="M2579" s="67"/>
      <c r="N2579" s="67"/>
      <c r="O2579" s="67"/>
    </row>
    <row r="2580" spans="1:15" ht="15">
      <c r="A2580" s="91" t="s">
        <v>7</v>
      </c>
      <c r="B2580" s="91" t="s">
        <v>671</v>
      </c>
      <c r="C2580" s="92" t="str">
        <f ca="1">IFERROR(__xludf.DUMMYFUNCTION("filter('Back End'!C:C,'Back End'!A:A=A2580,'Back End'!B:B=B2580,'Back End'!D:D=D2580)"),"Kakarapalle")</f>
        <v>Kakarapalle</v>
      </c>
      <c r="D2580" s="91" t="s">
        <v>695</v>
      </c>
      <c r="E2580" s="91" t="s">
        <v>6178</v>
      </c>
      <c r="F2580" s="67"/>
      <c r="G2580" s="67"/>
      <c r="H2580" s="93" t="s">
        <v>4</v>
      </c>
      <c r="I2580" s="92" t="s">
        <v>3125</v>
      </c>
      <c r="J2580" s="92">
        <v>9441517710</v>
      </c>
      <c r="K2580" s="67"/>
      <c r="L2580" s="67"/>
      <c r="M2580" s="67"/>
      <c r="N2580" s="67"/>
      <c r="O2580" s="67"/>
    </row>
    <row r="2581" spans="1:15" ht="15">
      <c r="A2581" s="91" t="s">
        <v>7</v>
      </c>
      <c r="B2581" s="91" t="s">
        <v>671</v>
      </c>
      <c r="C2581" s="92" t="str">
        <f ca="1">IFERROR(__xludf.DUMMYFUNCTION("filter('Back End'!C:C,'Back End'!A:A=A2581,'Back End'!B:B=B2581,'Back End'!D:D=D2581)"),"Kotananduru")</f>
        <v>Kotananduru</v>
      </c>
      <c r="D2581" s="91" t="s">
        <v>671</v>
      </c>
      <c r="E2581" s="91" t="s">
        <v>6179</v>
      </c>
      <c r="F2581" s="67"/>
      <c r="G2581" s="67"/>
      <c r="H2581" s="93" t="s">
        <v>4</v>
      </c>
      <c r="I2581" s="67"/>
      <c r="J2581" s="92">
        <v>7893405952</v>
      </c>
      <c r="K2581" s="67"/>
      <c r="L2581" s="67"/>
      <c r="M2581" s="67"/>
      <c r="N2581" s="67"/>
      <c r="O2581" s="67"/>
    </row>
    <row r="2582" spans="1:15" ht="15">
      <c r="A2582" s="91" t="s">
        <v>7</v>
      </c>
      <c r="B2582" s="91" t="s">
        <v>671</v>
      </c>
      <c r="C2582" s="92" t="str">
        <f ca="1">IFERROR(__xludf.DUMMYFUNCTION("filter('Back End'!C:C,'Back End'!A:A=A2582,'Back End'!B:B=B2582,'Back End'!D:D=D2582)"),"Kotananduru")</f>
        <v>Kotananduru</v>
      </c>
      <c r="D2582" s="91" t="s">
        <v>671</v>
      </c>
      <c r="E2582" s="91" t="s">
        <v>6180</v>
      </c>
      <c r="F2582" s="67"/>
      <c r="G2582" s="67"/>
      <c r="H2582" s="93" t="s">
        <v>4</v>
      </c>
      <c r="I2582" s="67"/>
      <c r="J2582" s="92">
        <v>9550260597</v>
      </c>
      <c r="K2582" s="67"/>
      <c r="L2582" s="67"/>
      <c r="M2582" s="67"/>
      <c r="N2582" s="67"/>
      <c r="O2582" s="67"/>
    </row>
    <row r="2583" spans="1:15" ht="15">
      <c r="A2583" s="91" t="s">
        <v>7</v>
      </c>
      <c r="B2583" s="91" t="s">
        <v>671</v>
      </c>
      <c r="C2583" s="92" t="str">
        <f ca="1">IFERROR(__xludf.DUMMYFUNCTION("filter('Back End'!C:C,'Back End'!A:A=A2583,'Back End'!B:B=B2583,'Back End'!D:D=D2583)"),"Kotananduru")</f>
        <v>Kotananduru</v>
      </c>
      <c r="D2583" s="91" t="s">
        <v>671</v>
      </c>
      <c r="E2583" s="91" t="s">
        <v>6181</v>
      </c>
      <c r="F2583" s="91" t="s">
        <v>1660</v>
      </c>
      <c r="G2583" s="91" t="s">
        <v>615</v>
      </c>
      <c r="H2583" s="93" t="s">
        <v>5</v>
      </c>
      <c r="I2583" s="67"/>
      <c r="J2583" s="92">
        <v>8019208898</v>
      </c>
      <c r="K2583" s="67"/>
      <c r="L2583" s="67"/>
      <c r="M2583" s="67"/>
      <c r="N2583" s="67"/>
      <c r="O2583" s="67"/>
    </row>
    <row r="2584" spans="1:15" ht="15">
      <c r="A2584" s="91" t="s">
        <v>7</v>
      </c>
      <c r="B2584" s="91" t="s">
        <v>671</v>
      </c>
      <c r="C2584" s="92" t="str">
        <f ca="1">IFERROR(__xludf.DUMMYFUNCTION("filter('Back End'!C:C,'Back End'!A:A=A2584,'Back End'!B:B=B2584,'Back End'!D:D=D2584)"),"Kotananduru")</f>
        <v>Kotananduru</v>
      </c>
      <c r="D2584" s="91" t="s">
        <v>671</v>
      </c>
      <c r="E2584" s="91" t="s">
        <v>6182</v>
      </c>
      <c r="F2584" s="91" t="s">
        <v>165</v>
      </c>
      <c r="G2584" s="91" t="s">
        <v>615</v>
      </c>
      <c r="H2584" s="93" t="s">
        <v>5</v>
      </c>
      <c r="I2584" s="67"/>
      <c r="J2584" s="92">
        <v>8096176578</v>
      </c>
      <c r="K2584" s="67"/>
      <c r="L2584" s="67"/>
      <c r="M2584" s="67"/>
      <c r="N2584" s="67"/>
      <c r="O2584" s="67"/>
    </row>
    <row r="2585" spans="1:15" ht="15">
      <c r="A2585" s="91" t="s">
        <v>7</v>
      </c>
      <c r="B2585" s="91" t="s">
        <v>671</v>
      </c>
      <c r="C2585" s="92" t="str">
        <f ca="1">IFERROR(__xludf.DUMMYFUNCTION("filter('Back End'!C:C,'Back End'!A:A=A2585,'Back End'!B:B=B2585,'Back End'!D:D=D2585)"),"Kotananduru")</f>
        <v>Kotananduru</v>
      </c>
      <c r="D2585" s="91" t="s">
        <v>671</v>
      </c>
      <c r="E2585" s="91" t="s">
        <v>6183</v>
      </c>
      <c r="F2585" s="91" t="s">
        <v>114</v>
      </c>
      <c r="G2585" s="91" t="s">
        <v>85</v>
      </c>
      <c r="H2585" s="93" t="s">
        <v>5</v>
      </c>
      <c r="I2585" s="92" t="s">
        <v>3112</v>
      </c>
      <c r="J2585" s="92">
        <v>9440411887</v>
      </c>
      <c r="K2585" s="67"/>
      <c r="L2585" s="67"/>
      <c r="M2585" s="67"/>
      <c r="N2585" s="67"/>
      <c r="O2585" s="67"/>
    </row>
    <row r="2586" spans="1:15" ht="45">
      <c r="A2586" s="91" t="s">
        <v>7</v>
      </c>
      <c r="B2586" s="91" t="s">
        <v>671</v>
      </c>
      <c r="C2586" s="92" t="str">
        <f ca="1">IFERROR(__xludf.DUMMYFUNCTION("filter('Back End'!C:C,'Back End'!A:A=A2586,'Back End'!B:B=B2586,'Back End'!D:D=D2586)"),"Kotananduru")</f>
        <v>Kotananduru</v>
      </c>
      <c r="D2586" s="91" t="s">
        <v>671</v>
      </c>
      <c r="E2586" s="91" t="s">
        <v>6184</v>
      </c>
      <c r="F2586" s="91" t="s">
        <v>114</v>
      </c>
      <c r="G2586" s="91" t="s">
        <v>85</v>
      </c>
      <c r="H2586" s="93" t="s">
        <v>5</v>
      </c>
      <c r="I2586" s="92" t="s">
        <v>6185</v>
      </c>
      <c r="J2586" s="92">
        <v>9440912540</v>
      </c>
      <c r="K2586" s="67"/>
      <c r="L2586" s="67"/>
      <c r="M2586" s="67"/>
      <c r="N2586" s="67"/>
      <c r="O2586" s="67"/>
    </row>
    <row r="2587" spans="1:15" ht="15">
      <c r="A2587" s="91" t="s">
        <v>7</v>
      </c>
      <c r="B2587" s="91" t="s">
        <v>671</v>
      </c>
      <c r="C2587" s="92" t="str">
        <f ca="1">IFERROR(__xludf.DUMMYFUNCTION("filter('Back End'!C:C,'Back End'!A:A=A2587,'Back End'!B:B=B2587,'Back End'!D:D=D2587)"),"Kotananduru")</f>
        <v>Kotananduru</v>
      </c>
      <c r="D2587" s="91" t="s">
        <v>671</v>
      </c>
      <c r="E2587" s="91" t="s">
        <v>6186</v>
      </c>
      <c r="F2587" s="67"/>
      <c r="G2587" s="67"/>
      <c r="H2587" s="93" t="s">
        <v>4</v>
      </c>
      <c r="I2587" s="67"/>
      <c r="J2587" s="92">
        <v>9533283339</v>
      </c>
      <c r="K2587" s="67"/>
      <c r="L2587" s="67"/>
      <c r="M2587" s="67"/>
      <c r="N2587" s="67"/>
      <c r="O2587" s="67"/>
    </row>
    <row r="2588" spans="1:15" ht="15">
      <c r="A2588" s="91" t="s">
        <v>7</v>
      </c>
      <c r="B2588" s="91" t="s">
        <v>671</v>
      </c>
      <c r="C2588" s="92" t="str">
        <f ca="1">IFERROR(__xludf.DUMMYFUNCTION("filter('Back End'!C:C,'Back End'!A:A=A2588,'Back End'!B:B=B2588,'Back End'!D:D=D2588)"),"Kotananduru")</f>
        <v>Kotananduru</v>
      </c>
      <c r="D2588" s="91" t="s">
        <v>671</v>
      </c>
      <c r="E2588" s="91" t="s">
        <v>6187</v>
      </c>
      <c r="F2588" s="67"/>
      <c r="G2588" s="67"/>
      <c r="H2588" s="93" t="s">
        <v>4</v>
      </c>
      <c r="I2588" s="67"/>
      <c r="J2588" s="92">
        <v>9573244316</v>
      </c>
      <c r="K2588" s="67"/>
      <c r="L2588" s="67"/>
      <c r="M2588" s="67"/>
      <c r="N2588" s="67"/>
      <c r="O2588" s="67"/>
    </row>
    <row r="2589" spans="1:15" ht="15">
      <c r="A2589" s="91" t="s">
        <v>7</v>
      </c>
      <c r="B2589" s="91" t="s">
        <v>671</v>
      </c>
      <c r="C2589" s="92" t="str">
        <f ca="1">IFERROR(__xludf.DUMMYFUNCTION("filter('Back End'!C:C,'Back End'!A:A=A2589,'Back End'!B:B=B2589,'Back End'!D:D=D2589)"),"Kotananduru")</f>
        <v>Kotananduru</v>
      </c>
      <c r="D2589" s="91" t="s">
        <v>671</v>
      </c>
      <c r="E2589" s="91" t="s">
        <v>6188</v>
      </c>
      <c r="F2589" s="67"/>
      <c r="G2589" s="67"/>
      <c r="H2589" s="93" t="s">
        <v>4</v>
      </c>
      <c r="I2589" s="67"/>
      <c r="J2589" s="92">
        <v>8019235037</v>
      </c>
      <c r="K2589" s="67"/>
      <c r="L2589" s="67"/>
      <c r="M2589" s="67"/>
      <c r="N2589" s="67"/>
      <c r="O2589" s="67"/>
    </row>
    <row r="2590" spans="1:15" ht="15">
      <c r="A2590" s="91" t="s">
        <v>7</v>
      </c>
      <c r="B2590" s="91" t="s">
        <v>671</v>
      </c>
      <c r="C2590" s="92" t="str">
        <f ca="1">IFERROR(__xludf.DUMMYFUNCTION("filter('Back End'!C:C,'Back End'!A:A=A2590,'Back End'!B:B=B2590,'Back End'!D:D=D2590)"),"Kotananduru")</f>
        <v>Kotananduru</v>
      </c>
      <c r="D2590" s="91" t="s">
        <v>671</v>
      </c>
      <c r="E2590" s="91" t="s">
        <v>6189</v>
      </c>
      <c r="F2590" s="67"/>
      <c r="G2590" s="67"/>
      <c r="H2590" s="93" t="s">
        <v>4</v>
      </c>
      <c r="I2590" s="92" t="s">
        <v>3125</v>
      </c>
      <c r="J2590" s="92">
        <v>9493567282</v>
      </c>
      <c r="K2590" s="67"/>
      <c r="L2590" s="67"/>
      <c r="M2590" s="67"/>
      <c r="N2590" s="67"/>
      <c r="O2590" s="67"/>
    </row>
    <row r="2591" spans="1:15" ht="15">
      <c r="A2591" s="91" t="s">
        <v>7</v>
      </c>
      <c r="B2591" s="91" t="s">
        <v>671</v>
      </c>
      <c r="C2591" s="92" t="str">
        <f ca="1">IFERROR(__xludf.DUMMYFUNCTION("filter('Back End'!C:C,'Back End'!A:A=A2591,'Back End'!B:B=B2591,'Back End'!D:D=D2591)"),"P.Kottam")</f>
        <v>P.Kottam</v>
      </c>
      <c r="D2591" s="91" t="s">
        <v>700</v>
      </c>
      <c r="E2591" s="91" t="s">
        <v>6190</v>
      </c>
      <c r="F2591" s="91" t="s">
        <v>114</v>
      </c>
      <c r="G2591" s="91" t="s">
        <v>85</v>
      </c>
      <c r="H2591" s="93" t="s">
        <v>5</v>
      </c>
      <c r="I2591" s="67"/>
      <c r="J2591" s="92">
        <v>9640393352</v>
      </c>
      <c r="K2591" s="67"/>
      <c r="L2591" s="67"/>
      <c r="M2591" s="67"/>
      <c r="N2591" s="67"/>
      <c r="O2591" s="67"/>
    </row>
    <row r="2592" spans="1:15" ht="15">
      <c r="A2592" s="91" t="s">
        <v>7</v>
      </c>
      <c r="B2592" s="91" t="s">
        <v>671</v>
      </c>
      <c r="C2592" s="92" t="str">
        <f ca="1">IFERROR(__xludf.DUMMYFUNCTION("filter('Back End'!C:C,'Back End'!A:A=A2592,'Back End'!B:B=B2592,'Back End'!D:D=D2592)"),"P.Kottam")</f>
        <v>P.Kottam</v>
      </c>
      <c r="D2592" s="91" t="s">
        <v>700</v>
      </c>
      <c r="E2592" s="91" t="s">
        <v>6191</v>
      </c>
      <c r="F2592" s="67"/>
      <c r="G2592" s="67"/>
      <c r="H2592" s="93" t="s">
        <v>4</v>
      </c>
      <c r="I2592" s="67"/>
      <c r="J2592" s="92">
        <v>9390181897</v>
      </c>
      <c r="K2592" s="67"/>
      <c r="L2592" s="67"/>
      <c r="M2592" s="67"/>
      <c r="N2592" s="67"/>
      <c r="O2592" s="67"/>
    </row>
    <row r="2593" spans="1:15" ht="15">
      <c r="A2593" s="91" t="s">
        <v>7</v>
      </c>
      <c r="B2593" s="91" t="s">
        <v>671</v>
      </c>
      <c r="C2593" s="92" t="str">
        <f ca="1">IFERROR(__xludf.DUMMYFUNCTION("filter('Back End'!C:C,'Back End'!A:A=A2593,'Back End'!B:B=B2593,'Back End'!D:D=D2593)"),"P.Kottam")</f>
        <v>P.Kottam</v>
      </c>
      <c r="D2593" s="91" t="s">
        <v>700</v>
      </c>
      <c r="E2593" s="91" t="s">
        <v>6192</v>
      </c>
      <c r="F2593" s="67"/>
      <c r="G2593" s="67"/>
      <c r="H2593" s="93" t="s">
        <v>4</v>
      </c>
      <c r="I2593" s="92" t="s">
        <v>3125</v>
      </c>
      <c r="J2593" s="92">
        <v>9848754634</v>
      </c>
      <c r="K2593" s="67"/>
      <c r="L2593" s="67"/>
      <c r="M2593" s="67"/>
      <c r="N2593" s="67"/>
      <c r="O2593" s="67"/>
    </row>
    <row r="2594" spans="1:15" ht="15">
      <c r="A2594" s="91" t="s">
        <v>7</v>
      </c>
      <c r="B2594" s="91" t="s">
        <v>671</v>
      </c>
      <c r="C2594" s="92" t="str">
        <f ca="1">IFERROR(__xludf.DUMMYFUNCTION("filter('Back End'!C:C,'Back End'!A:A=A2594,'Back End'!B:B=B2594,'Back End'!D:D=D2594)"),"P.Kottam")</f>
        <v>P.Kottam</v>
      </c>
      <c r="D2594" s="91" t="s">
        <v>700</v>
      </c>
      <c r="E2594" s="91" t="s">
        <v>6193</v>
      </c>
      <c r="F2594" s="67"/>
      <c r="G2594" s="67"/>
      <c r="H2594" s="93" t="s">
        <v>4</v>
      </c>
      <c r="I2594" s="67"/>
      <c r="J2594" s="92">
        <v>6302200269</v>
      </c>
      <c r="K2594" s="67"/>
      <c r="L2594" s="67"/>
      <c r="M2594" s="67"/>
      <c r="N2594" s="67"/>
      <c r="O2594" s="67"/>
    </row>
    <row r="2595" spans="1:15" ht="15">
      <c r="A2595" s="91" t="s">
        <v>7</v>
      </c>
      <c r="B2595" s="91" t="s">
        <v>671</v>
      </c>
      <c r="C2595" s="92" t="str">
        <f ca="1">IFERROR(__xludf.DUMMYFUNCTION("filter('Back End'!C:C,'Back End'!A:A=A2595,'Back End'!B:B=B2595,'Back End'!D:D=D2595)"),"P.Kottam")</f>
        <v>P.Kottam</v>
      </c>
      <c r="D2595" s="91" t="s">
        <v>700</v>
      </c>
      <c r="E2595" s="91" t="s">
        <v>6194</v>
      </c>
      <c r="F2595" s="91" t="s">
        <v>1661</v>
      </c>
      <c r="G2595" s="91" t="s">
        <v>615</v>
      </c>
      <c r="H2595" s="93" t="s">
        <v>5</v>
      </c>
      <c r="I2595" s="67"/>
      <c r="J2595" s="92">
        <v>8096099370</v>
      </c>
      <c r="K2595" s="67"/>
      <c r="L2595" s="67"/>
      <c r="M2595" s="67"/>
      <c r="N2595" s="67"/>
      <c r="O2595" s="67"/>
    </row>
    <row r="2596" spans="1:15" ht="15">
      <c r="A2596" s="91" t="s">
        <v>7</v>
      </c>
      <c r="B2596" s="91" t="s">
        <v>671</v>
      </c>
      <c r="C2596" s="92" t="str">
        <f ca="1">IFERROR(__xludf.DUMMYFUNCTION("filter('Back End'!C:C,'Back End'!A:A=A2596,'Back End'!B:B=B2596,'Back End'!D:D=D2596)"),"P.Kottam")</f>
        <v>P.Kottam</v>
      </c>
      <c r="D2596" s="91" t="s">
        <v>700</v>
      </c>
      <c r="E2596" s="91" t="s">
        <v>6195</v>
      </c>
      <c r="F2596" s="91" t="s">
        <v>1660</v>
      </c>
      <c r="G2596" s="91" t="s">
        <v>615</v>
      </c>
      <c r="H2596" s="93" t="s">
        <v>5</v>
      </c>
      <c r="I2596" s="67"/>
      <c r="J2596" s="92">
        <v>9490352465</v>
      </c>
      <c r="K2596" s="67"/>
      <c r="L2596" s="67"/>
      <c r="M2596" s="67"/>
      <c r="N2596" s="67"/>
      <c r="O2596" s="67"/>
    </row>
    <row r="2597" spans="1:15" ht="15">
      <c r="A2597" s="91" t="s">
        <v>7</v>
      </c>
      <c r="B2597" s="91" t="s">
        <v>671</v>
      </c>
      <c r="C2597" s="92" t="str">
        <f ca="1">IFERROR(__xludf.DUMMYFUNCTION("filter('Back End'!C:C,'Back End'!A:A=A2597,'Back End'!B:B=B2597,'Back End'!D:D=D2597)"),"P.Kottam")</f>
        <v>P.Kottam</v>
      </c>
      <c r="D2597" s="91" t="s">
        <v>700</v>
      </c>
      <c r="E2597" s="91" t="s">
        <v>6196</v>
      </c>
      <c r="F2597" s="91" t="s">
        <v>114</v>
      </c>
      <c r="G2597" s="91" t="s">
        <v>85</v>
      </c>
      <c r="H2597" s="93" t="s">
        <v>5</v>
      </c>
      <c r="I2597" s="67"/>
      <c r="J2597" s="92">
        <v>9550730388</v>
      </c>
      <c r="K2597" s="67"/>
      <c r="L2597" s="67"/>
      <c r="M2597" s="67"/>
      <c r="N2597" s="67"/>
      <c r="O2597" s="67"/>
    </row>
    <row r="2598" spans="1:15" ht="15">
      <c r="A2598" s="91" t="s">
        <v>7</v>
      </c>
      <c r="B2598" s="91" t="s">
        <v>671</v>
      </c>
      <c r="C2598" s="92" t="str">
        <f ca="1">IFERROR(__xludf.DUMMYFUNCTION("filter('Back End'!C:C,'Back End'!A:A=A2598,'Back End'!B:B=B2598,'Back End'!D:D=D2598)"),"Surapurajupeta")</f>
        <v>Surapurajupeta</v>
      </c>
      <c r="D2598" s="91" t="s">
        <v>702</v>
      </c>
      <c r="E2598" s="91" t="s">
        <v>6197</v>
      </c>
      <c r="F2598" s="91" t="s">
        <v>1660</v>
      </c>
      <c r="G2598" s="91" t="s">
        <v>615</v>
      </c>
      <c r="H2598" s="93" t="s">
        <v>5</v>
      </c>
      <c r="I2598" s="67"/>
      <c r="J2598" s="92">
        <v>9573252519</v>
      </c>
      <c r="K2598" s="67"/>
      <c r="L2598" s="67"/>
      <c r="M2598" s="67"/>
      <c r="N2598" s="67"/>
      <c r="O2598" s="67"/>
    </row>
    <row r="2599" spans="1:15" ht="15">
      <c r="A2599" s="91" t="s">
        <v>7</v>
      </c>
      <c r="B2599" s="91" t="s">
        <v>671</v>
      </c>
      <c r="C2599" s="92" t="str">
        <f ca="1">IFERROR(__xludf.DUMMYFUNCTION("filter('Back End'!C:C,'Back End'!A:A=A2599,'Back End'!B:B=B2599,'Back End'!D:D=D2599)"),"Surapurajupeta")</f>
        <v>Surapurajupeta</v>
      </c>
      <c r="D2599" s="91" t="s">
        <v>702</v>
      </c>
      <c r="E2599" s="91" t="s">
        <v>6198</v>
      </c>
      <c r="F2599" s="67"/>
      <c r="G2599" s="67"/>
      <c r="H2599" s="93" t="s">
        <v>4</v>
      </c>
      <c r="I2599" s="92" t="s">
        <v>3125</v>
      </c>
      <c r="J2599" s="92">
        <v>9701511707</v>
      </c>
      <c r="K2599" s="67"/>
      <c r="L2599" s="67"/>
      <c r="M2599" s="67"/>
      <c r="N2599" s="67"/>
      <c r="O2599" s="67"/>
    </row>
    <row r="2600" spans="1:15" ht="15">
      <c r="A2600" s="91" t="s">
        <v>7</v>
      </c>
      <c r="B2600" s="91" t="s">
        <v>671</v>
      </c>
      <c r="C2600" s="92" t="str">
        <f ca="1">IFERROR(__xludf.DUMMYFUNCTION("filter('Back End'!C:C,'Back End'!A:A=A2600,'Back End'!B:B=B2600,'Back End'!D:D=D2600)"),"Surapurajupeta")</f>
        <v>Surapurajupeta</v>
      </c>
      <c r="D2600" s="91" t="s">
        <v>702</v>
      </c>
      <c r="E2600" s="91" t="s">
        <v>6199</v>
      </c>
      <c r="F2600" s="67"/>
      <c r="G2600" s="67"/>
      <c r="H2600" s="93" t="s">
        <v>4</v>
      </c>
      <c r="I2600" s="67"/>
      <c r="J2600" s="92">
        <v>9381884765</v>
      </c>
      <c r="K2600" s="67"/>
      <c r="L2600" s="67"/>
      <c r="M2600" s="67"/>
      <c r="N2600" s="67"/>
      <c r="O2600" s="67"/>
    </row>
    <row r="2601" spans="1:15" ht="15">
      <c r="A2601" s="91" t="s">
        <v>7</v>
      </c>
      <c r="B2601" s="91" t="s">
        <v>671</v>
      </c>
      <c r="C2601" s="92" t="str">
        <f ca="1">IFERROR(__xludf.DUMMYFUNCTION("filter('Back End'!C:C,'Back End'!A:A=A2601,'Back End'!B:B=B2601,'Back End'!D:D=D2601)"),"Surapurajupeta")</f>
        <v>Surapurajupeta</v>
      </c>
      <c r="D2601" s="91" t="s">
        <v>702</v>
      </c>
      <c r="E2601" s="91" t="s">
        <v>6200</v>
      </c>
      <c r="F2601" s="91" t="s">
        <v>1660</v>
      </c>
      <c r="G2601" s="91" t="s">
        <v>615</v>
      </c>
      <c r="H2601" s="93" t="s">
        <v>5</v>
      </c>
      <c r="I2601" s="67"/>
      <c r="J2601" s="92">
        <v>9573933445</v>
      </c>
      <c r="K2601" s="67"/>
      <c r="L2601" s="67"/>
      <c r="M2601" s="67"/>
      <c r="N2601" s="67"/>
      <c r="O2601" s="67"/>
    </row>
    <row r="2602" spans="1:15" ht="15">
      <c r="A2602" s="91" t="s">
        <v>7</v>
      </c>
      <c r="B2602" s="91" t="s">
        <v>671</v>
      </c>
      <c r="C2602" s="92" t="str">
        <f ca="1">IFERROR(__xludf.DUMMYFUNCTION("filter('Back End'!C:C,'Back End'!A:A=A2602,'Back End'!B:B=B2602,'Back End'!D:D=D2602)"),"Surapurajupeta")</f>
        <v>Surapurajupeta</v>
      </c>
      <c r="D2602" s="91" t="s">
        <v>702</v>
      </c>
      <c r="E2602" s="91" t="s">
        <v>6201</v>
      </c>
      <c r="F2602" s="67"/>
      <c r="G2602" s="67"/>
      <c r="H2602" s="93" t="s">
        <v>4</v>
      </c>
      <c r="I2602" s="67"/>
      <c r="J2602" s="92">
        <v>9949534038</v>
      </c>
      <c r="K2602" s="67"/>
      <c r="L2602" s="67"/>
      <c r="M2602" s="67"/>
      <c r="N2602" s="67"/>
      <c r="O2602" s="67"/>
    </row>
    <row r="2603" spans="1:15" ht="15">
      <c r="A2603" s="91" t="s">
        <v>7</v>
      </c>
      <c r="B2603" s="91" t="s">
        <v>671</v>
      </c>
      <c r="C2603" s="92" t="str">
        <f ca="1">IFERROR(__xludf.DUMMYFUNCTION("filter('Back End'!C:C,'Back End'!A:A=A2603,'Back End'!B:B=B2603,'Back End'!D:D=D2603)"),"Surapurajupeta")</f>
        <v>Surapurajupeta</v>
      </c>
      <c r="D2603" s="91" t="s">
        <v>702</v>
      </c>
      <c r="E2603" s="91" t="s">
        <v>6202</v>
      </c>
      <c r="F2603" s="91" t="s">
        <v>1660</v>
      </c>
      <c r="G2603" s="91" t="s">
        <v>615</v>
      </c>
      <c r="H2603" s="93" t="s">
        <v>5</v>
      </c>
      <c r="I2603" s="67"/>
      <c r="J2603" s="92">
        <v>9966342342</v>
      </c>
      <c r="K2603" s="67"/>
      <c r="L2603" s="67"/>
      <c r="M2603" s="67"/>
      <c r="N2603" s="67"/>
      <c r="O2603" s="67"/>
    </row>
    <row r="2604" spans="1:15" ht="15">
      <c r="A2604" s="91" t="s">
        <v>7</v>
      </c>
      <c r="B2604" s="91" t="s">
        <v>671</v>
      </c>
      <c r="C2604" s="92" t="str">
        <f ca="1">IFERROR(__xludf.DUMMYFUNCTION("filter('Back End'!C:C,'Back End'!A:A=A2604,'Back End'!B:B=B2604,'Back End'!D:D=D2604)"),"Surapurajupeta")</f>
        <v>Surapurajupeta</v>
      </c>
      <c r="D2604" s="91" t="s">
        <v>702</v>
      </c>
      <c r="E2604" s="91" t="s">
        <v>6203</v>
      </c>
      <c r="F2604" s="67"/>
      <c r="G2604" s="67"/>
      <c r="H2604" s="93" t="s">
        <v>4</v>
      </c>
      <c r="I2604" s="67"/>
      <c r="J2604" s="92">
        <v>9951840678</v>
      </c>
      <c r="K2604" s="67"/>
      <c r="L2604" s="67"/>
      <c r="M2604" s="67"/>
      <c r="N2604" s="67"/>
      <c r="O2604" s="67"/>
    </row>
    <row r="2605" spans="1:15" ht="15">
      <c r="A2605" s="91" t="s">
        <v>7</v>
      </c>
      <c r="B2605" s="91" t="s">
        <v>671</v>
      </c>
      <c r="C2605" s="92" t="str">
        <f ca="1">IFERROR(__xludf.DUMMYFUNCTION("filter('Back End'!C:C,'Back End'!A:A=A2605,'Back End'!B:B=B2605,'Back End'!D:D=D2605)"),"T.J.Nagaram")</f>
        <v>T.J.Nagaram</v>
      </c>
      <c r="D2605" s="91" t="s">
        <v>704</v>
      </c>
      <c r="E2605" s="91" t="s">
        <v>705</v>
      </c>
      <c r="F2605" s="91" t="s">
        <v>1660</v>
      </c>
      <c r="G2605" s="91" t="s">
        <v>615</v>
      </c>
      <c r="H2605" s="93" t="s">
        <v>5</v>
      </c>
      <c r="I2605" s="67"/>
      <c r="J2605" s="92">
        <v>9989151796</v>
      </c>
      <c r="K2605" s="67"/>
      <c r="L2605" s="67"/>
      <c r="M2605" s="67"/>
      <c r="N2605" s="67"/>
      <c r="O2605" s="67"/>
    </row>
    <row r="2606" spans="1:15" ht="15">
      <c r="A2606" s="91" t="s">
        <v>7</v>
      </c>
      <c r="B2606" s="91" t="s">
        <v>671</v>
      </c>
      <c r="C2606" s="92" t="str">
        <f ca="1">IFERROR(__xludf.DUMMYFUNCTION("filter('Back End'!C:C,'Back End'!A:A=A2606,'Back End'!B:B=B2606,'Back End'!D:D=D2606)"),"T.J.Nagaram")</f>
        <v>T.J.Nagaram</v>
      </c>
      <c r="D2606" s="91" t="s">
        <v>704</v>
      </c>
      <c r="E2606" s="91" t="s">
        <v>6204</v>
      </c>
      <c r="F2606" s="67"/>
      <c r="G2606" s="67"/>
      <c r="H2606" s="93" t="s">
        <v>4</v>
      </c>
      <c r="I2606" s="92" t="s">
        <v>3125</v>
      </c>
      <c r="J2606" s="92">
        <v>9676414151</v>
      </c>
      <c r="K2606" s="67"/>
      <c r="L2606" s="67"/>
      <c r="M2606" s="67"/>
      <c r="N2606" s="67"/>
      <c r="O2606" s="67"/>
    </row>
    <row r="2607" spans="1:15" ht="15">
      <c r="A2607" s="91" t="s">
        <v>7</v>
      </c>
      <c r="B2607" s="91" t="s">
        <v>671</v>
      </c>
      <c r="C2607" s="92" t="str">
        <f ca="1">IFERROR(__xludf.DUMMYFUNCTION("filter('Back End'!C:C,'Back End'!A:A=A2607,'Back End'!B:B=B2607,'Back End'!D:D=D2607)"),"T.J.Nagaram")</f>
        <v>T.J.Nagaram</v>
      </c>
      <c r="D2607" s="91" t="s">
        <v>704</v>
      </c>
      <c r="E2607" s="91" t="s">
        <v>6205</v>
      </c>
      <c r="F2607" s="67"/>
      <c r="G2607" s="67"/>
      <c r="H2607" s="93" t="s">
        <v>4</v>
      </c>
      <c r="I2607" s="67"/>
      <c r="J2607" s="92">
        <v>9701290052</v>
      </c>
      <c r="K2607" s="67"/>
      <c r="L2607" s="67"/>
      <c r="M2607" s="67"/>
      <c r="N2607" s="67"/>
      <c r="O2607" s="67"/>
    </row>
    <row r="2608" spans="1:15" ht="15">
      <c r="A2608" s="91" t="s">
        <v>7</v>
      </c>
      <c r="B2608" s="91" t="s">
        <v>706</v>
      </c>
      <c r="C2608" s="92" t="str">
        <f ca="1">IFERROR(__xludf.DUMMYFUNCTION("filter('Back End'!C:C,'Back End'!A:A=A2608,'Back End'!B:B=B2608,'Back End'!D:D=D2608)"),"A.V.Nagaram")</f>
        <v>A.V.Nagaram</v>
      </c>
      <c r="D2608" s="91" t="s">
        <v>709</v>
      </c>
      <c r="E2608" s="91" t="s">
        <v>6206</v>
      </c>
      <c r="F2608" s="67"/>
      <c r="G2608" s="67"/>
      <c r="H2608" s="93" t="s">
        <v>4</v>
      </c>
      <c r="I2608" s="67"/>
      <c r="J2608" s="92">
        <v>9494573867</v>
      </c>
      <c r="K2608" s="67"/>
      <c r="L2608" s="67"/>
      <c r="M2608" s="67"/>
      <c r="N2608" s="67"/>
      <c r="O2608" s="67"/>
    </row>
    <row r="2609" spans="1:15" ht="15">
      <c r="A2609" s="91" t="s">
        <v>7</v>
      </c>
      <c r="B2609" s="91" t="s">
        <v>706</v>
      </c>
      <c r="C2609" s="92" t="str">
        <f ca="1">IFERROR(__xludf.DUMMYFUNCTION("filter('Back End'!C:C,'Back End'!A:A=A2609,'Back End'!B:B=B2609,'Back End'!D:D=D2609)"),"A.V.Nagaram")</f>
        <v>A.V.Nagaram</v>
      </c>
      <c r="D2609" s="91" t="s">
        <v>709</v>
      </c>
      <c r="E2609" s="91" t="s">
        <v>6207</v>
      </c>
      <c r="F2609" s="67"/>
      <c r="G2609" s="67"/>
      <c r="H2609" s="93" t="s">
        <v>4</v>
      </c>
      <c r="I2609" s="67"/>
      <c r="J2609" s="92">
        <v>7382655143</v>
      </c>
      <c r="K2609" s="67"/>
      <c r="L2609" s="67"/>
      <c r="M2609" s="67"/>
      <c r="N2609" s="67"/>
      <c r="O2609" s="67"/>
    </row>
    <row r="2610" spans="1:15" ht="16.5">
      <c r="A2610" s="91" t="s">
        <v>7</v>
      </c>
      <c r="B2610" s="91" t="s">
        <v>706</v>
      </c>
      <c r="C2610" s="92" t="str">
        <f ca="1">IFERROR(__xludf.DUMMYFUNCTION("filter('Back End'!C:C,'Back End'!A:A=A2610,'Back End'!B:B=B2610,'Back End'!D:D=D2610)"),"A.V.Nagaram")</f>
        <v>A.V.Nagaram</v>
      </c>
      <c r="D2610" s="111" t="s">
        <v>709</v>
      </c>
      <c r="E2610" s="91" t="s">
        <v>6208</v>
      </c>
      <c r="F2610" s="67"/>
      <c r="G2610" s="67"/>
      <c r="H2610" s="93" t="s">
        <v>4</v>
      </c>
      <c r="I2610" s="67"/>
      <c r="J2610" s="92">
        <v>9948038115</v>
      </c>
      <c r="K2610" s="67"/>
      <c r="L2610" s="67"/>
      <c r="M2610" s="67"/>
      <c r="N2610" s="67"/>
      <c r="O2610" s="67"/>
    </row>
    <row r="2611" spans="1:15" ht="15">
      <c r="A2611" s="91" t="s">
        <v>7</v>
      </c>
      <c r="B2611" s="91" t="s">
        <v>706</v>
      </c>
      <c r="C2611" s="92" t="str">
        <f ca="1">IFERROR(__xludf.DUMMYFUNCTION("filter('Back End'!C:C,'Back End'!A:A=A2611,'Back End'!B:B=B2611,'Back End'!D:D=D2611)"),"A.V.Nagaram")</f>
        <v>A.V.Nagaram</v>
      </c>
      <c r="D2611" s="91" t="s">
        <v>709</v>
      </c>
      <c r="E2611" s="91" t="s">
        <v>6209</v>
      </c>
      <c r="F2611" s="67"/>
      <c r="G2611" s="67"/>
      <c r="H2611" s="93" t="s">
        <v>4</v>
      </c>
      <c r="I2611" s="67"/>
      <c r="J2611" s="92">
        <v>9640084775</v>
      </c>
      <c r="K2611" s="67"/>
      <c r="L2611" s="67"/>
      <c r="M2611" s="67"/>
      <c r="N2611" s="67"/>
      <c r="O2611" s="67"/>
    </row>
    <row r="2612" spans="1:15" ht="16.5">
      <c r="A2612" s="91" t="s">
        <v>7</v>
      </c>
      <c r="B2612" s="91" t="s">
        <v>706</v>
      </c>
      <c r="C2612" s="92" t="str">
        <f ca="1">IFERROR(__xludf.DUMMYFUNCTION("filter('Back End'!C:C,'Back End'!A:A=A2612,'Back End'!B:B=B2612,'Back End'!D:D=D2612)"),"A.V.Nagaram")</f>
        <v>A.V.Nagaram</v>
      </c>
      <c r="D2612" s="111" t="s">
        <v>709</v>
      </c>
      <c r="E2612" s="91" t="s">
        <v>6210</v>
      </c>
      <c r="F2612" s="67"/>
      <c r="G2612" s="67"/>
      <c r="H2612" s="93" t="s">
        <v>4</v>
      </c>
      <c r="I2612" s="67"/>
      <c r="J2612" s="92">
        <v>9848107524</v>
      </c>
      <c r="K2612" s="67"/>
      <c r="L2612" s="67"/>
      <c r="M2612" s="67"/>
      <c r="N2612" s="67"/>
      <c r="O2612" s="67"/>
    </row>
    <row r="2613" spans="1:15" ht="16.5">
      <c r="A2613" s="91" t="s">
        <v>7</v>
      </c>
      <c r="B2613" s="91" t="s">
        <v>706</v>
      </c>
      <c r="C2613" s="92" t="str">
        <f ca="1">IFERROR(__xludf.DUMMYFUNCTION("filter('Back End'!C:C,'Back End'!A:A=A2613,'Back End'!B:B=B2613,'Back End'!D:D=D2613)"),"A.V.Nagaram")</f>
        <v>A.V.Nagaram</v>
      </c>
      <c r="D2613" s="111" t="s">
        <v>709</v>
      </c>
      <c r="E2613" s="91" t="s">
        <v>6211</v>
      </c>
      <c r="F2613" s="91" t="s">
        <v>114</v>
      </c>
      <c r="G2613" s="91" t="s">
        <v>85</v>
      </c>
      <c r="H2613" s="93" t="s">
        <v>4</v>
      </c>
      <c r="I2613" s="98" t="s">
        <v>3112</v>
      </c>
      <c r="J2613" s="92">
        <v>9948321098</v>
      </c>
      <c r="K2613" s="67"/>
      <c r="L2613" s="67"/>
      <c r="M2613" s="67"/>
      <c r="N2613" s="67"/>
      <c r="O2613" s="67"/>
    </row>
    <row r="2614" spans="1:15" ht="30.4">
      <c r="A2614" s="91" t="s">
        <v>7</v>
      </c>
      <c r="B2614" s="91" t="s">
        <v>706</v>
      </c>
      <c r="C2614" s="92" t="str">
        <f ca="1">IFERROR(__xludf.DUMMYFUNCTION("filter('Back End'!C:C,'Back End'!A:A=A2614,'Back End'!B:B=B2614,'Back End'!D:D=D2614)"),"A.V.Nagaram")</f>
        <v>A.V.Nagaram</v>
      </c>
      <c r="D2614" s="111" t="s">
        <v>709</v>
      </c>
      <c r="E2614" s="91" t="s">
        <v>6212</v>
      </c>
      <c r="F2614" s="91" t="s">
        <v>165</v>
      </c>
      <c r="G2614" s="91" t="s">
        <v>615</v>
      </c>
      <c r="H2614" s="93" t="s">
        <v>4</v>
      </c>
      <c r="I2614" s="92" t="s">
        <v>4687</v>
      </c>
      <c r="J2614" s="92">
        <v>9989527801</v>
      </c>
      <c r="K2614" s="67"/>
      <c r="L2614" s="67"/>
      <c r="M2614" s="67"/>
      <c r="N2614" s="67"/>
      <c r="O2614" s="67"/>
    </row>
    <row r="2615" spans="1:15" ht="16.5">
      <c r="A2615" s="91" t="s">
        <v>7</v>
      </c>
      <c r="B2615" s="91" t="s">
        <v>706</v>
      </c>
      <c r="C2615" s="92" t="str">
        <f ca="1">IFERROR(__xludf.DUMMYFUNCTION("filter('Back End'!C:C,'Back End'!A:A=A2615,'Back End'!B:B=B2615,'Back End'!D:D=D2615)"),"A.V.Nagaram")</f>
        <v>A.V.Nagaram</v>
      </c>
      <c r="D2615" s="91" t="s">
        <v>709</v>
      </c>
      <c r="E2615" s="100" t="s">
        <v>6213</v>
      </c>
      <c r="F2615" s="100" t="s">
        <v>165</v>
      </c>
      <c r="G2615" s="100" t="s">
        <v>615</v>
      </c>
      <c r="H2615" s="93" t="s">
        <v>4</v>
      </c>
      <c r="I2615" s="98" t="s">
        <v>3112</v>
      </c>
      <c r="J2615" s="97">
        <v>9848146089</v>
      </c>
      <c r="K2615" s="99"/>
      <c r="L2615" s="99"/>
      <c r="M2615" s="99"/>
      <c r="N2615" s="67"/>
      <c r="O2615" s="67"/>
    </row>
    <row r="2616" spans="1:15" ht="16.5">
      <c r="A2616" s="91" t="s">
        <v>7</v>
      </c>
      <c r="B2616" s="91" t="s">
        <v>706</v>
      </c>
      <c r="C2616" s="92" t="str">
        <f ca="1">IFERROR(__xludf.DUMMYFUNCTION("filter('Back End'!C:C,'Back End'!A:A=A2616,'Back End'!B:B=B2616,'Back End'!D:D=D2616)"),"A.V.Nagaram")</f>
        <v>A.V.Nagaram</v>
      </c>
      <c r="D2616" s="91" t="s">
        <v>709</v>
      </c>
      <c r="E2616" s="100" t="s">
        <v>6214</v>
      </c>
      <c r="F2616" s="100" t="s">
        <v>165</v>
      </c>
      <c r="G2616" s="100" t="s">
        <v>615</v>
      </c>
      <c r="H2616" s="93" t="s">
        <v>4</v>
      </c>
      <c r="I2616" s="98" t="s">
        <v>3112</v>
      </c>
      <c r="J2616" s="97">
        <v>9848133101</v>
      </c>
      <c r="K2616" s="99"/>
      <c r="L2616" s="99"/>
      <c r="M2616" s="99"/>
      <c r="N2616" s="67"/>
      <c r="O2616" s="67"/>
    </row>
    <row r="2617" spans="1:15" ht="16.5">
      <c r="A2617" s="91" t="s">
        <v>7</v>
      </c>
      <c r="B2617" s="91" t="s">
        <v>706</v>
      </c>
      <c r="C2617" s="92" t="str">
        <f ca="1">IFERROR(__xludf.DUMMYFUNCTION("filter('Back End'!C:C,'Back End'!A:A=A2617,'Back End'!B:B=B2617,'Back End'!D:D=D2617)"),"A.V.Nagaram")</f>
        <v>A.V.Nagaram</v>
      </c>
      <c r="D2617" s="91" t="s">
        <v>709</v>
      </c>
      <c r="E2617" s="100" t="s">
        <v>6215</v>
      </c>
      <c r="F2617" s="100" t="s">
        <v>165</v>
      </c>
      <c r="G2617" s="100" t="s">
        <v>615</v>
      </c>
      <c r="H2617" s="93" t="s">
        <v>4</v>
      </c>
      <c r="I2617" s="98" t="s">
        <v>3381</v>
      </c>
      <c r="J2617" s="97">
        <v>9494169977</v>
      </c>
      <c r="K2617" s="99"/>
      <c r="L2617" s="99"/>
      <c r="M2617" s="99"/>
      <c r="N2617" s="67"/>
      <c r="O2617" s="67"/>
    </row>
    <row r="2618" spans="1:15" ht="16.5">
      <c r="A2618" s="91" t="s">
        <v>7</v>
      </c>
      <c r="B2618" s="91" t="s">
        <v>706</v>
      </c>
      <c r="C2618" s="92" t="str">
        <f ca="1">IFERROR(__xludf.DUMMYFUNCTION("filter('Back End'!C:C,'Back End'!A:A=A2618,'Back End'!B:B=B2618,'Back End'!D:D=D2618)"),"A.V.Nagaram")</f>
        <v>A.V.Nagaram</v>
      </c>
      <c r="D2618" s="91" t="s">
        <v>709</v>
      </c>
      <c r="E2618" s="100" t="s">
        <v>6216</v>
      </c>
      <c r="F2618" s="100" t="s">
        <v>467</v>
      </c>
      <c r="G2618" s="100" t="s">
        <v>85</v>
      </c>
      <c r="H2618" s="93" t="s">
        <v>4</v>
      </c>
      <c r="I2618" s="98" t="s">
        <v>3112</v>
      </c>
      <c r="J2618" s="97">
        <v>9502189441</v>
      </c>
      <c r="K2618" s="99"/>
      <c r="L2618" s="99"/>
      <c r="M2618" s="99"/>
      <c r="N2618" s="67"/>
      <c r="O2618" s="67"/>
    </row>
    <row r="2619" spans="1:15" ht="16.5">
      <c r="A2619" s="91" t="s">
        <v>7</v>
      </c>
      <c r="B2619" s="91" t="s">
        <v>706</v>
      </c>
      <c r="C2619" s="92" t="str">
        <f ca="1">IFERROR(__xludf.DUMMYFUNCTION("filter('Back End'!C:C,'Back End'!A:A=A2619,'Back End'!B:B=B2619,'Back End'!D:D=D2619)"),"A.V.Nagaram")</f>
        <v>A.V.Nagaram</v>
      </c>
      <c r="D2619" s="91" t="s">
        <v>709</v>
      </c>
      <c r="E2619" s="100" t="s">
        <v>6217</v>
      </c>
      <c r="F2619" s="100" t="s">
        <v>1669</v>
      </c>
      <c r="G2619" s="100" t="s">
        <v>615</v>
      </c>
      <c r="H2619" s="93" t="s">
        <v>4</v>
      </c>
      <c r="I2619" s="98" t="s">
        <v>3112</v>
      </c>
      <c r="J2619" s="97">
        <v>9666769139</v>
      </c>
      <c r="K2619" s="99"/>
      <c r="L2619" s="99"/>
      <c r="M2619" s="99"/>
      <c r="N2619" s="67"/>
      <c r="O2619" s="67"/>
    </row>
    <row r="2620" spans="1:15" ht="16.5">
      <c r="A2620" s="91" t="s">
        <v>7</v>
      </c>
      <c r="B2620" s="91" t="s">
        <v>706</v>
      </c>
      <c r="C2620" s="92" t="str">
        <f ca="1">IFERROR(__xludf.DUMMYFUNCTION("filter('Back End'!C:C,'Back End'!A:A=A2620,'Back End'!B:B=B2620,'Back End'!D:D=D2620)"),"A.V.Nagaram")</f>
        <v>A.V.Nagaram</v>
      </c>
      <c r="D2620" s="91" t="s">
        <v>709</v>
      </c>
      <c r="E2620" s="100" t="s">
        <v>6218</v>
      </c>
      <c r="F2620" s="100" t="s">
        <v>165</v>
      </c>
      <c r="G2620" s="100" t="s">
        <v>615</v>
      </c>
      <c r="H2620" s="93" t="s">
        <v>5</v>
      </c>
      <c r="I2620" s="98" t="s">
        <v>3115</v>
      </c>
      <c r="J2620" s="97">
        <v>9848076227</v>
      </c>
      <c r="K2620" s="99"/>
      <c r="L2620" s="99"/>
      <c r="M2620" s="99"/>
      <c r="N2620" s="67"/>
      <c r="O2620" s="67"/>
    </row>
    <row r="2621" spans="1:15" ht="16.5">
      <c r="A2621" s="91" t="s">
        <v>7</v>
      </c>
      <c r="B2621" s="91" t="s">
        <v>706</v>
      </c>
      <c r="C2621" s="92" t="str">
        <f ca="1">IFERROR(__xludf.DUMMYFUNCTION("filter('Back End'!C:C,'Back End'!A:A=A2621,'Back End'!B:B=B2621,'Back End'!D:D=D2621)"),"A.V.Nagaram")</f>
        <v>A.V.Nagaram</v>
      </c>
      <c r="D2621" s="91" t="s">
        <v>709</v>
      </c>
      <c r="E2621" s="100" t="s">
        <v>6219</v>
      </c>
      <c r="F2621" s="100" t="s">
        <v>114</v>
      </c>
      <c r="G2621" s="100" t="s">
        <v>85</v>
      </c>
      <c r="H2621" s="93" t="s">
        <v>5</v>
      </c>
      <c r="I2621" s="98" t="s">
        <v>3205</v>
      </c>
      <c r="J2621" s="97">
        <v>7799100665</v>
      </c>
      <c r="K2621" s="99"/>
      <c r="L2621" s="99"/>
      <c r="M2621" s="99"/>
      <c r="N2621" s="67"/>
      <c r="O2621" s="67"/>
    </row>
    <row r="2622" spans="1:15" ht="16.5">
      <c r="A2622" s="91" t="s">
        <v>7</v>
      </c>
      <c r="B2622" s="91" t="s">
        <v>706</v>
      </c>
      <c r="C2622" s="92" t="str">
        <f ca="1">IFERROR(__xludf.DUMMYFUNCTION("filter('Back End'!C:C,'Back End'!A:A=A2622,'Back End'!B:B=B2622,'Back End'!D:D=D2622)"),"A.V.Nagaram")</f>
        <v>A.V.Nagaram</v>
      </c>
      <c r="D2622" s="91" t="s">
        <v>709</v>
      </c>
      <c r="E2622" s="100" t="s">
        <v>6220</v>
      </c>
      <c r="F2622" s="100" t="s">
        <v>165</v>
      </c>
      <c r="G2622" s="100" t="s">
        <v>615</v>
      </c>
      <c r="H2622" s="93" t="s">
        <v>5</v>
      </c>
      <c r="I2622" s="98" t="s">
        <v>3185</v>
      </c>
      <c r="J2622" s="97">
        <v>8464876777</v>
      </c>
      <c r="K2622" s="99"/>
      <c r="L2622" s="99"/>
      <c r="M2622" s="99"/>
      <c r="N2622" s="67"/>
      <c r="O2622" s="67"/>
    </row>
    <row r="2623" spans="1:15" ht="15">
      <c r="A2623" s="91" t="s">
        <v>7</v>
      </c>
      <c r="B2623" s="100" t="s">
        <v>706</v>
      </c>
      <c r="C2623" s="97" t="str">
        <f ca="1">IFERROR(__xludf.DUMMYFUNCTION("filter('Back End'!C:C,'Back End'!A:A=A2623,'Back End'!B:B=B2623,'Back End'!D:D=D2623)"),"A.V.Nagaram")</f>
        <v>A.V.Nagaram</v>
      </c>
      <c r="D2623" s="100" t="s">
        <v>709</v>
      </c>
      <c r="E2623" s="100" t="s">
        <v>6221</v>
      </c>
      <c r="F2623" s="100" t="s">
        <v>165</v>
      </c>
      <c r="G2623" s="100" t="s">
        <v>615</v>
      </c>
      <c r="H2623" s="100" t="s">
        <v>5</v>
      </c>
      <c r="I2623" s="99"/>
      <c r="J2623" s="97">
        <v>9666653539</v>
      </c>
      <c r="K2623" s="99"/>
      <c r="L2623" s="99"/>
      <c r="M2623" s="99"/>
      <c r="N2623" s="67"/>
      <c r="O2623" s="67"/>
    </row>
    <row r="2624" spans="1:15" ht="15">
      <c r="A2624" s="101" t="s">
        <v>7</v>
      </c>
      <c r="B2624" s="93" t="s">
        <v>706</v>
      </c>
      <c r="C2624" s="102" t="str">
        <f ca="1">IFERROR(__xludf.DUMMYFUNCTION("filter('Back End'!C:C,'Back End'!A:A=A2624,'Back End'!B:B=B2624,'Back End'!D:D=D2624)"),"A.V.Nagaram")</f>
        <v>A.V.Nagaram</v>
      </c>
      <c r="D2624" s="93" t="s">
        <v>709</v>
      </c>
      <c r="E2624" s="93" t="s">
        <v>6222</v>
      </c>
      <c r="F2624" s="93" t="s">
        <v>114</v>
      </c>
      <c r="G2624" s="93" t="s">
        <v>85</v>
      </c>
      <c r="H2624" s="93" t="s">
        <v>5</v>
      </c>
      <c r="I2624" s="95"/>
      <c r="J2624" s="102">
        <v>7730972003</v>
      </c>
      <c r="K2624" s="95"/>
      <c r="L2624" s="95"/>
      <c r="M2624" s="95"/>
      <c r="N2624" s="67"/>
      <c r="O2624" s="67"/>
    </row>
    <row r="2625" spans="1:15" ht="15">
      <c r="A2625" s="101" t="s">
        <v>7</v>
      </c>
      <c r="B2625" s="93" t="s">
        <v>706</v>
      </c>
      <c r="C2625" s="102" t="str">
        <f ca="1">IFERROR(__xludf.DUMMYFUNCTION("filter('Back End'!C:C,'Back End'!A:A=A2625,'Back End'!B:B=B2625,'Back End'!D:D=D2625)"),"A.V.Nagaram")</f>
        <v>A.V.Nagaram</v>
      </c>
      <c r="D2625" s="93" t="s">
        <v>709</v>
      </c>
      <c r="E2625" s="93" t="s">
        <v>6223</v>
      </c>
      <c r="F2625" s="93" t="s">
        <v>165</v>
      </c>
      <c r="G2625" s="93" t="s">
        <v>615</v>
      </c>
      <c r="H2625" s="93" t="s">
        <v>5</v>
      </c>
      <c r="I2625" s="95"/>
      <c r="J2625" s="102">
        <v>9948558514</v>
      </c>
      <c r="K2625" s="95"/>
      <c r="L2625" s="95"/>
      <c r="M2625" s="95"/>
      <c r="N2625" s="67"/>
      <c r="O2625" s="67"/>
    </row>
    <row r="2626" spans="1:15" ht="15">
      <c r="A2626" s="91" t="s">
        <v>15</v>
      </c>
      <c r="B2626" s="91" t="s">
        <v>15</v>
      </c>
      <c r="C2626" s="92" t="str">
        <f ca="1">IFERROR(__xludf.DUMMYFUNCTION("filter('Back End'!C:C,'Back End'!A:A=A2626,'Back End'!B:B=B2626,'Back End'!D:D=D2626)"),"Anuru")</f>
        <v>Anuru</v>
      </c>
      <c r="D2626" s="91" t="s">
        <v>343</v>
      </c>
      <c r="E2626" s="91" t="s">
        <v>6224</v>
      </c>
      <c r="F2626" s="91" t="s">
        <v>139</v>
      </c>
      <c r="G2626" s="91" t="s">
        <v>594</v>
      </c>
      <c r="H2626" s="93" t="s">
        <v>5</v>
      </c>
      <c r="I2626" s="67"/>
      <c r="J2626" s="92">
        <v>9959926452</v>
      </c>
      <c r="K2626" s="67"/>
      <c r="L2626" s="67"/>
      <c r="M2626" s="67"/>
      <c r="N2626" s="67"/>
      <c r="O2626" s="67"/>
    </row>
    <row r="2627" spans="1:15" ht="15">
      <c r="A2627" s="91" t="s">
        <v>7</v>
      </c>
      <c r="B2627" s="91" t="s">
        <v>706</v>
      </c>
      <c r="C2627" s="92" t="str">
        <f ca="1">IFERROR(__xludf.DUMMYFUNCTION("filter('Back End'!C:C,'Back End'!A:A=A2627,'Back End'!B:B=B2627,'Back End'!D:D=D2627)"),"Bendapudi")</f>
        <v>Bendapudi</v>
      </c>
      <c r="D2627" s="91" t="s">
        <v>712</v>
      </c>
      <c r="E2627" s="91" t="s">
        <v>6225</v>
      </c>
      <c r="F2627" s="91" t="s">
        <v>114</v>
      </c>
      <c r="G2627" s="91" t="s">
        <v>85</v>
      </c>
      <c r="H2627" s="93" t="s">
        <v>5</v>
      </c>
      <c r="I2627" s="67"/>
      <c r="J2627" s="92">
        <v>9491438005</v>
      </c>
      <c r="K2627" s="67"/>
      <c r="L2627" s="67"/>
      <c r="M2627" s="67"/>
      <c r="N2627" s="67"/>
      <c r="O2627" s="67"/>
    </row>
    <row r="2628" spans="1:15" ht="15">
      <c r="A2628" s="91" t="s">
        <v>7</v>
      </c>
      <c r="B2628" s="91" t="s">
        <v>706</v>
      </c>
      <c r="C2628" s="92" t="str">
        <f ca="1">IFERROR(__xludf.DUMMYFUNCTION("filter('Back End'!C:C,'Back End'!A:A=A2628,'Back End'!B:B=B2628,'Back End'!D:D=D2628)"),"Bendapudi")</f>
        <v>Bendapudi</v>
      </c>
      <c r="D2628" s="91" t="s">
        <v>712</v>
      </c>
      <c r="E2628" s="91" t="s">
        <v>6226</v>
      </c>
      <c r="F2628" s="67"/>
      <c r="G2628" s="67"/>
      <c r="H2628" s="93" t="s">
        <v>4</v>
      </c>
      <c r="I2628" s="67"/>
      <c r="J2628" s="92">
        <v>9010456024</v>
      </c>
      <c r="K2628" s="67"/>
      <c r="L2628" s="67"/>
      <c r="M2628" s="67"/>
      <c r="N2628" s="67"/>
      <c r="O2628" s="67"/>
    </row>
    <row r="2629" spans="1:15" ht="15">
      <c r="A2629" s="91" t="s">
        <v>7</v>
      </c>
      <c r="B2629" s="91" t="s">
        <v>706</v>
      </c>
      <c r="C2629" s="92" t="str">
        <f ca="1">IFERROR(__xludf.DUMMYFUNCTION("filter('Back End'!C:C,'Back End'!A:A=A2629,'Back End'!B:B=B2629,'Back End'!D:D=D2629)"),"Bendapudi")</f>
        <v>Bendapudi</v>
      </c>
      <c r="D2629" s="91" t="s">
        <v>712</v>
      </c>
      <c r="E2629" s="91" t="s">
        <v>6227</v>
      </c>
      <c r="F2629" s="91" t="s">
        <v>213</v>
      </c>
      <c r="G2629" s="91" t="s">
        <v>615</v>
      </c>
      <c r="H2629" s="93" t="s">
        <v>5</v>
      </c>
      <c r="I2629" s="67"/>
      <c r="J2629" s="92">
        <v>9390449111</v>
      </c>
      <c r="K2629" s="67"/>
      <c r="L2629" s="67"/>
      <c r="M2629" s="67"/>
      <c r="N2629" s="67"/>
      <c r="O2629" s="67"/>
    </row>
    <row r="2630" spans="1:15" ht="15">
      <c r="A2630" s="91" t="s">
        <v>7</v>
      </c>
      <c r="B2630" s="91" t="s">
        <v>706</v>
      </c>
      <c r="C2630" s="92" t="str">
        <f ca="1">IFERROR(__xludf.DUMMYFUNCTION("filter('Back End'!C:C,'Back End'!A:A=A2630,'Back End'!B:B=B2630,'Back End'!D:D=D2630)"),"Bendapudi")</f>
        <v>Bendapudi</v>
      </c>
      <c r="D2630" s="91" t="s">
        <v>712</v>
      </c>
      <c r="E2630" s="91" t="s">
        <v>6228</v>
      </c>
      <c r="F2630" s="67"/>
      <c r="G2630" s="67"/>
      <c r="H2630" s="93" t="s">
        <v>4</v>
      </c>
      <c r="I2630" s="67"/>
      <c r="J2630" s="92">
        <v>7416658905</v>
      </c>
      <c r="K2630" s="67"/>
      <c r="L2630" s="67"/>
      <c r="M2630" s="67"/>
      <c r="N2630" s="67"/>
      <c r="O2630" s="67"/>
    </row>
    <row r="2631" spans="1:15" ht="15">
      <c r="A2631" s="91" t="s">
        <v>7</v>
      </c>
      <c r="B2631" s="91" t="s">
        <v>706</v>
      </c>
      <c r="C2631" s="92" t="str">
        <f ca="1">IFERROR(__xludf.DUMMYFUNCTION("filter('Back End'!C:C,'Back End'!A:A=A2631,'Back End'!B:B=B2631,'Back End'!D:D=D2631)"),"Bendapudi")</f>
        <v>Bendapudi</v>
      </c>
      <c r="D2631" s="91" t="s">
        <v>712</v>
      </c>
      <c r="E2631" s="91" t="s">
        <v>6229</v>
      </c>
      <c r="F2631" s="67"/>
      <c r="G2631" s="67"/>
      <c r="H2631" s="93" t="s">
        <v>4</v>
      </c>
      <c r="I2631" s="92" t="s">
        <v>3125</v>
      </c>
      <c r="J2631" s="92">
        <v>9849899899</v>
      </c>
      <c r="K2631" s="67"/>
      <c r="L2631" s="67"/>
      <c r="M2631" s="67"/>
      <c r="N2631" s="67"/>
      <c r="O2631" s="67"/>
    </row>
    <row r="2632" spans="1:15" ht="15">
      <c r="A2632" s="91" t="s">
        <v>7</v>
      </c>
      <c r="B2632" s="91" t="s">
        <v>706</v>
      </c>
      <c r="C2632" s="92" t="str">
        <f ca="1">IFERROR(__xludf.DUMMYFUNCTION("filter('Back End'!C:C,'Back End'!A:A=A2632,'Back End'!B:B=B2632,'Back End'!D:D=D2632)"),"Bendapudi")</f>
        <v>Bendapudi</v>
      </c>
      <c r="D2632" s="91" t="s">
        <v>712</v>
      </c>
      <c r="E2632" s="91" t="s">
        <v>6230</v>
      </c>
      <c r="F2632" s="91" t="s">
        <v>1669</v>
      </c>
      <c r="G2632" s="91" t="s">
        <v>615</v>
      </c>
      <c r="H2632" s="93" t="s">
        <v>5</v>
      </c>
      <c r="I2632" s="67"/>
      <c r="J2632" s="92">
        <v>8790447555</v>
      </c>
      <c r="K2632" s="67"/>
      <c r="L2632" s="67"/>
      <c r="M2632" s="67"/>
      <c r="N2632" s="67"/>
      <c r="O2632" s="67"/>
    </row>
    <row r="2633" spans="1:15" ht="15">
      <c r="A2633" s="91" t="s">
        <v>7</v>
      </c>
      <c r="B2633" s="91" t="s">
        <v>706</v>
      </c>
      <c r="C2633" s="92" t="str">
        <f ca="1">IFERROR(__xludf.DUMMYFUNCTION("filter('Back End'!C:C,'Back End'!A:A=A2633,'Back End'!B:B=B2633,'Back End'!D:D=D2633)"),"Bendapudi")</f>
        <v>Bendapudi</v>
      </c>
      <c r="D2633" s="91" t="s">
        <v>712</v>
      </c>
      <c r="E2633" s="91" t="s">
        <v>6231</v>
      </c>
      <c r="F2633" s="91" t="s">
        <v>139</v>
      </c>
      <c r="G2633" s="91" t="s">
        <v>594</v>
      </c>
      <c r="H2633" s="93" t="s">
        <v>5</v>
      </c>
      <c r="I2633" s="67"/>
      <c r="J2633" s="92">
        <v>9247725444</v>
      </c>
      <c r="K2633" s="67"/>
      <c r="L2633" s="67"/>
      <c r="M2633" s="67"/>
      <c r="N2633" s="67"/>
      <c r="O2633" s="67"/>
    </row>
    <row r="2634" spans="1:15" ht="15">
      <c r="A2634" s="91" t="s">
        <v>7</v>
      </c>
      <c r="B2634" s="91" t="s">
        <v>706</v>
      </c>
      <c r="C2634" s="92" t="str">
        <f ca="1">IFERROR(__xludf.DUMMYFUNCTION("filter('Back End'!C:C,'Back End'!A:A=A2634,'Back End'!B:B=B2634,'Back End'!D:D=D2634)"),"Bendapudi")</f>
        <v>Bendapudi</v>
      </c>
      <c r="D2634" s="91" t="s">
        <v>712</v>
      </c>
      <c r="E2634" s="91" t="s">
        <v>6232</v>
      </c>
      <c r="F2634" s="67"/>
      <c r="G2634" s="67"/>
      <c r="H2634" s="93" t="s">
        <v>4</v>
      </c>
      <c r="I2634" s="67"/>
      <c r="J2634" s="92">
        <v>8897996332</v>
      </c>
      <c r="K2634" s="67"/>
      <c r="L2634" s="67"/>
      <c r="M2634" s="67"/>
      <c r="N2634" s="67"/>
      <c r="O2634" s="67"/>
    </row>
    <row r="2635" spans="1:15" ht="15">
      <c r="A2635" s="91" t="s">
        <v>7</v>
      </c>
      <c r="B2635" s="91" t="s">
        <v>706</v>
      </c>
      <c r="C2635" s="92" t="str">
        <f ca="1">IFERROR(__xludf.DUMMYFUNCTION("filter('Back End'!C:C,'Back End'!A:A=A2635,'Back End'!B:B=B2635,'Back End'!D:D=D2635)"),"Bendapudi")</f>
        <v>Bendapudi</v>
      </c>
      <c r="D2635" s="91" t="s">
        <v>712</v>
      </c>
      <c r="E2635" s="91" t="s">
        <v>6233</v>
      </c>
      <c r="F2635" s="67"/>
      <c r="G2635" s="67"/>
      <c r="H2635" s="93" t="s">
        <v>4</v>
      </c>
      <c r="I2635" s="67"/>
      <c r="J2635" s="92">
        <v>9000055938</v>
      </c>
      <c r="K2635" s="67"/>
      <c r="L2635" s="67"/>
      <c r="M2635" s="67"/>
      <c r="N2635" s="67"/>
      <c r="O2635" s="67"/>
    </row>
    <row r="2636" spans="1:15" ht="15">
      <c r="A2636" s="91" t="s">
        <v>7</v>
      </c>
      <c r="B2636" s="91" t="s">
        <v>706</v>
      </c>
      <c r="C2636" s="92" t="str">
        <f ca="1">IFERROR(__xludf.DUMMYFUNCTION("filter('Back End'!C:C,'Back End'!A:A=A2636,'Back End'!B:B=B2636,'Back End'!D:D=D2636)"),"Bendapudi")</f>
        <v>Bendapudi</v>
      </c>
      <c r="D2636" s="91" t="s">
        <v>712</v>
      </c>
      <c r="E2636" s="91" t="s">
        <v>6234</v>
      </c>
      <c r="F2636" s="67"/>
      <c r="G2636" s="67"/>
      <c r="H2636" s="93" t="s">
        <v>4</v>
      </c>
      <c r="I2636" s="67"/>
      <c r="J2636" s="92">
        <v>8790319234</v>
      </c>
      <c r="K2636" s="67"/>
      <c r="L2636" s="67"/>
      <c r="M2636" s="67"/>
      <c r="N2636" s="67"/>
      <c r="O2636" s="67"/>
    </row>
    <row r="2637" spans="1:15" ht="15">
      <c r="A2637" s="91" t="s">
        <v>7</v>
      </c>
      <c r="B2637" s="91" t="s">
        <v>706</v>
      </c>
      <c r="C2637" s="92" t="str">
        <f ca="1">IFERROR(__xludf.DUMMYFUNCTION("filter('Back End'!C:C,'Back End'!A:A=A2637,'Back End'!B:B=B2637,'Back End'!D:D=D2637)"),"Bendapudi")</f>
        <v>Bendapudi</v>
      </c>
      <c r="D2637" s="91" t="s">
        <v>712</v>
      </c>
      <c r="E2637" s="91" t="s">
        <v>6235</v>
      </c>
      <c r="F2637" s="67"/>
      <c r="G2637" s="67"/>
      <c r="H2637" s="93" t="s">
        <v>4</v>
      </c>
      <c r="I2637" s="67"/>
      <c r="J2637" s="92">
        <v>9000607769</v>
      </c>
      <c r="K2637" s="67"/>
      <c r="L2637" s="67"/>
      <c r="M2637" s="67"/>
      <c r="N2637" s="67"/>
      <c r="O2637" s="67"/>
    </row>
    <row r="2638" spans="1:15" ht="15">
      <c r="A2638" s="91" t="s">
        <v>7</v>
      </c>
      <c r="B2638" s="91" t="s">
        <v>706</v>
      </c>
      <c r="C2638" s="92" t="str">
        <f ca="1">IFERROR(__xludf.DUMMYFUNCTION("filter('Back End'!C:C,'Back End'!A:A=A2638,'Back End'!B:B=B2638,'Back End'!D:D=D2638)"),"Bendapudi")</f>
        <v>Bendapudi</v>
      </c>
      <c r="D2638" s="91" t="s">
        <v>712</v>
      </c>
      <c r="E2638" s="91" t="s">
        <v>6236</v>
      </c>
      <c r="F2638" s="91" t="s">
        <v>114</v>
      </c>
      <c r="G2638" s="91" t="s">
        <v>85</v>
      </c>
      <c r="H2638" s="93" t="s">
        <v>5</v>
      </c>
      <c r="I2638" s="92" t="s">
        <v>3115</v>
      </c>
      <c r="J2638" s="92">
        <v>9949430772</v>
      </c>
      <c r="K2638" s="67"/>
      <c r="L2638" s="67"/>
      <c r="M2638" s="67"/>
      <c r="N2638" s="67"/>
      <c r="O2638" s="67"/>
    </row>
    <row r="2639" spans="1:15" ht="15">
      <c r="A2639" s="91" t="s">
        <v>7</v>
      </c>
      <c r="B2639" s="91" t="s">
        <v>706</v>
      </c>
      <c r="C2639" s="92" t="str">
        <f ca="1">IFERROR(__xludf.DUMMYFUNCTION("filter('Back End'!C:C,'Back End'!A:A=A2639,'Back End'!B:B=B2639,'Back End'!D:D=D2639)"),"Bendapudi")</f>
        <v>Bendapudi</v>
      </c>
      <c r="D2639" s="91" t="s">
        <v>712</v>
      </c>
      <c r="E2639" s="91" t="s">
        <v>6237</v>
      </c>
      <c r="F2639" s="91" t="s">
        <v>1669</v>
      </c>
      <c r="G2639" s="91" t="s">
        <v>615</v>
      </c>
      <c r="H2639" s="93" t="s">
        <v>5</v>
      </c>
      <c r="I2639" s="67"/>
      <c r="J2639" s="92">
        <v>9908407589</v>
      </c>
      <c r="K2639" s="67"/>
      <c r="L2639" s="67"/>
      <c r="M2639" s="67"/>
      <c r="N2639" s="67"/>
      <c r="O2639" s="67"/>
    </row>
    <row r="2640" spans="1:15" ht="15">
      <c r="A2640" s="91" t="s">
        <v>7</v>
      </c>
      <c r="B2640" s="91" t="s">
        <v>706</v>
      </c>
      <c r="C2640" s="92" t="str">
        <f ca="1">IFERROR(__xludf.DUMMYFUNCTION("filter('Back End'!C:C,'Back End'!A:A=A2640,'Back End'!B:B=B2640,'Back End'!D:D=D2640)"),"Danavaipeta")</f>
        <v>Danavaipeta</v>
      </c>
      <c r="D2640" s="91" t="s">
        <v>714</v>
      </c>
      <c r="E2640" s="91" t="s">
        <v>6238</v>
      </c>
      <c r="F2640" s="67"/>
      <c r="G2640" s="67"/>
      <c r="H2640" s="93" t="s">
        <v>4</v>
      </c>
      <c r="I2640" s="67"/>
      <c r="J2640" s="92">
        <v>7569765644</v>
      </c>
      <c r="K2640" s="67"/>
      <c r="L2640" s="67"/>
      <c r="M2640" s="67"/>
      <c r="N2640" s="67"/>
      <c r="O2640" s="67"/>
    </row>
    <row r="2641" spans="1:15" ht="15">
      <c r="A2641" s="91" t="s">
        <v>7</v>
      </c>
      <c r="B2641" s="91" t="s">
        <v>706</v>
      </c>
      <c r="C2641" s="92" t="str">
        <f ca="1">IFERROR(__xludf.DUMMYFUNCTION("filter('Back End'!C:C,'Back End'!A:A=A2641,'Back End'!B:B=B2641,'Back End'!D:D=D2641)"),"Danavaipeta")</f>
        <v>Danavaipeta</v>
      </c>
      <c r="D2641" s="91" t="s">
        <v>714</v>
      </c>
      <c r="E2641" s="91" t="s">
        <v>6239</v>
      </c>
      <c r="F2641" s="67"/>
      <c r="G2641" s="67"/>
      <c r="H2641" s="93" t="s">
        <v>4</v>
      </c>
      <c r="I2641" s="67"/>
      <c r="J2641" s="92">
        <v>6303387197</v>
      </c>
      <c r="K2641" s="67"/>
      <c r="L2641" s="67"/>
      <c r="M2641" s="67"/>
      <c r="N2641" s="67"/>
      <c r="O2641" s="67"/>
    </row>
    <row r="2642" spans="1:15" ht="15">
      <c r="A2642" s="91" t="s">
        <v>7</v>
      </c>
      <c r="B2642" s="91" t="s">
        <v>706</v>
      </c>
      <c r="C2642" s="92" t="str">
        <f ca="1">IFERROR(__xludf.DUMMYFUNCTION("filter('Back End'!C:C,'Back End'!A:A=A2642,'Back End'!B:B=B2642,'Back End'!D:D=D2642)"),"Danavaipeta")</f>
        <v>Danavaipeta</v>
      </c>
      <c r="D2642" s="91" t="s">
        <v>714</v>
      </c>
      <c r="E2642" s="91" t="s">
        <v>6240</v>
      </c>
      <c r="F2642" s="91" t="s">
        <v>288</v>
      </c>
      <c r="G2642" s="91" t="s">
        <v>615</v>
      </c>
      <c r="H2642" s="93" t="s">
        <v>4</v>
      </c>
      <c r="I2642" s="92" t="s">
        <v>3125</v>
      </c>
      <c r="J2642" s="92">
        <v>9704432967</v>
      </c>
      <c r="K2642" s="67"/>
      <c r="L2642" s="67"/>
      <c r="M2642" s="67"/>
      <c r="N2642" s="67"/>
      <c r="O2642" s="67"/>
    </row>
    <row r="2643" spans="1:15" ht="30">
      <c r="A2643" s="91" t="s">
        <v>7</v>
      </c>
      <c r="B2643" s="91" t="s">
        <v>706</v>
      </c>
      <c r="C2643" s="92" t="str">
        <f ca="1">IFERROR(__xludf.DUMMYFUNCTION("filter('Back End'!C:C,'Back End'!A:A=A2643,'Back End'!B:B=B2643,'Back End'!D:D=D2643)"),"Danavaipeta")</f>
        <v>Danavaipeta</v>
      </c>
      <c r="D2643" s="91" t="s">
        <v>714</v>
      </c>
      <c r="E2643" s="91" t="s">
        <v>6241</v>
      </c>
      <c r="F2643" s="91" t="s">
        <v>288</v>
      </c>
      <c r="G2643" s="91" t="s">
        <v>615</v>
      </c>
      <c r="H2643" s="93" t="s">
        <v>4</v>
      </c>
      <c r="I2643" s="92" t="s">
        <v>6242</v>
      </c>
      <c r="J2643" s="92">
        <v>9160700913</v>
      </c>
      <c r="K2643" s="67"/>
      <c r="L2643" s="67"/>
      <c r="M2643" s="67"/>
      <c r="N2643" s="67"/>
      <c r="O2643" s="67"/>
    </row>
    <row r="2644" spans="1:15" ht="15">
      <c r="A2644" s="91" t="s">
        <v>7</v>
      </c>
      <c r="B2644" s="91" t="s">
        <v>706</v>
      </c>
      <c r="C2644" s="92" t="str">
        <f ca="1">IFERROR(__xludf.DUMMYFUNCTION("filter('Back End'!C:C,'Back End'!A:A=A2644,'Back End'!B:B=B2644,'Back End'!D:D=D2644)"),"Danavaipeta")</f>
        <v>Danavaipeta</v>
      </c>
      <c r="D2644" s="91" t="s">
        <v>714</v>
      </c>
      <c r="E2644" s="91" t="s">
        <v>6243</v>
      </c>
      <c r="F2644" s="91" t="s">
        <v>288</v>
      </c>
      <c r="G2644" s="91" t="s">
        <v>615</v>
      </c>
      <c r="H2644" s="93" t="s">
        <v>4</v>
      </c>
      <c r="I2644" s="92" t="s">
        <v>3112</v>
      </c>
      <c r="J2644" s="92">
        <v>9989599875</v>
      </c>
      <c r="K2644" s="67"/>
      <c r="L2644" s="67"/>
      <c r="M2644" s="67"/>
      <c r="N2644" s="67"/>
      <c r="O2644" s="67"/>
    </row>
    <row r="2645" spans="1:15" ht="30">
      <c r="A2645" s="91" t="s">
        <v>7</v>
      </c>
      <c r="B2645" s="91" t="s">
        <v>706</v>
      </c>
      <c r="C2645" s="92" t="str">
        <f ca="1">IFERROR(__xludf.DUMMYFUNCTION("filter('Back End'!C:C,'Back End'!A:A=A2645,'Back End'!B:B=B2645,'Back End'!D:D=D2645)"),"Kodada")</f>
        <v>Kodada</v>
      </c>
      <c r="D2645" s="91" t="s">
        <v>720</v>
      </c>
      <c r="E2645" s="91" t="s">
        <v>6244</v>
      </c>
      <c r="F2645" s="67"/>
      <c r="G2645" s="67"/>
      <c r="H2645" s="93" t="s">
        <v>4</v>
      </c>
      <c r="I2645" s="92" t="s">
        <v>3634</v>
      </c>
      <c r="J2645" s="92">
        <v>9603818753</v>
      </c>
      <c r="K2645" s="67"/>
      <c r="L2645" s="67"/>
      <c r="M2645" s="67"/>
      <c r="N2645" s="67"/>
      <c r="O2645" s="67"/>
    </row>
    <row r="2646" spans="1:15" ht="30">
      <c r="A2646" s="91" t="s">
        <v>7</v>
      </c>
      <c r="B2646" s="91" t="s">
        <v>706</v>
      </c>
      <c r="C2646" s="92" t="str">
        <f ca="1">IFERROR(__xludf.DUMMYFUNCTION("filter('Back End'!C:C,'Back End'!A:A=A2646,'Back End'!B:B=B2646,'Back End'!D:D=D2646)"),"Kodada")</f>
        <v>Kodada</v>
      </c>
      <c r="D2646" s="91" t="s">
        <v>720</v>
      </c>
      <c r="E2646" s="91" t="s">
        <v>6245</v>
      </c>
      <c r="F2646" s="91" t="s">
        <v>114</v>
      </c>
      <c r="G2646" s="91" t="s">
        <v>85</v>
      </c>
      <c r="H2646" s="93" t="s">
        <v>4</v>
      </c>
      <c r="I2646" s="92" t="s">
        <v>3107</v>
      </c>
      <c r="J2646" s="92">
        <v>9848232931</v>
      </c>
      <c r="K2646" s="67"/>
      <c r="L2646" s="67"/>
      <c r="M2646" s="67"/>
      <c r="N2646" s="67"/>
      <c r="O2646" s="67"/>
    </row>
    <row r="2647" spans="1:15" ht="15">
      <c r="A2647" s="91" t="s">
        <v>7</v>
      </c>
      <c r="B2647" s="91" t="s">
        <v>706</v>
      </c>
      <c r="C2647" s="92" t="str">
        <f ca="1">IFERROR(__xludf.DUMMYFUNCTION("filter('Back End'!C:C,'Back End'!A:A=A2647,'Back End'!B:B=B2647,'Back End'!D:D=D2647)"),"Kodada")</f>
        <v>Kodada</v>
      </c>
      <c r="D2647" s="91" t="s">
        <v>720</v>
      </c>
      <c r="E2647" s="91" t="s">
        <v>6246</v>
      </c>
      <c r="F2647" s="91" t="s">
        <v>165</v>
      </c>
      <c r="G2647" s="91" t="s">
        <v>615</v>
      </c>
      <c r="H2647" s="93" t="s">
        <v>4</v>
      </c>
      <c r="I2647" s="92" t="s">
        <v>3112</v>
      </c>
      <c r="J2647" s="92">
        <v>9948473248</v>
      </c>
      <c r="K2647" s="67"/>
      <c r="L2647" s="67"/>
      <c r="M2647" s="67"/>
      <c r="N2647" s="67"/>
      <c r="O2647" s="67"/>
    </row>
    <row r="2648" spans="1:15" ht="30">
      <c r="A2648" s="91" t="s">
        <v>7</v>
      </c>
      <c r="B2648" s="91" t="s">
        <v>706</v>
      </c>
      <c r="C2648" s="92" t="str">
        <f ca="1">IFERROR(__xludf.DUMMYFUNCTION("filter('Back End'!C:C,'Back End'!A:A=A2648,'Back End'!B:B=B2648,'Back End'!D:D=D2648)"),"Kodada")</f>
        <v>Kodada</v>
      </c>
      <c r="D2648" s="91" t="s">
        <v>720</v>
      </c>
      <c r="E2648" s="91" t="s">
        <v>6247</v>
      </c>
      <c r="F2648" s="91" t="s">
        <v>114</v>
      </c>
      <c r="G2648" s="91" t="s">
        <v>85</v>
      </c>
      <c r="H2648" s="93" t="s">
        <v>4</v>
      </c>
      <c r="I2648" s="92" t="s">
        <v>6248</v>
      </c>
      <c r="J2648" s="92">
        <v>9553184806</v>
      </c>
      <c r="K2648" s="67"/>
      <c r="L2648" s="67"/>
      <c r="M2648" s="67"/>
      <c r="N2648" s="67"/>
      <c r="O2648" s="67"/>
    </row>
    <row r="2649" spans="1:15" ht="15">
      <c r="A2649" s="91" t="s">
        <v>7</v>
      </c>
      <c r="B2649" s="91" t="s">
        <v>706</v>
      </c>
      <c r="C2649" s="92" t="str">
        <f ca="1">IFERROR(__xludf.DUMMYFUNCTION("filter('Back End'!C:C,'Back End'!A:A=A2649,'Back End'!B:B=B2649,'Back End'!D:D=D2649)"),"Kodada")</f>
        <v>Kodada</v>
      </c>
      <c r="D2649" s="91" t="s">
        <v>720</v>
      </c>
      <c r="E2649" s="91" t="s">
        <v>6249</v>
      </c>
      <c r="F2649" s="91" t="s">
        <v>114</v>
      </c>
      <c r="G2649" s="91" t="s">
        <v>85</v>
      </c>
      <c r="H2649" s="93" t="s">
        <v>4</v>
      </c>
      <c r="I2649" s="92" t="s">
        <v>3112</v>
      </c>
      <c r="J2649" s="92">
        <v>9014845905</v>
      </c>
      <c r="K2649" s="67"/>
      <c r="L2649" s="67"/>
      <c r="M2649" s="67"/>
      <c r="N2649" s="67"/>
      <c r="O2649" s="67"/>
    </row>
    <row r="2650" spans="1:15" ht="15">
      <c r="A2650" s="91" t="s">
        <v>7</v>
      </c>
      <c r="B2650" s="91" t="s">
        <v>706</v>
      </c>
      <c r="C2650" s="92" t="str">
        <f ca="1">IFERROR(__xludf.DUMMYFUNCTION("filter('Back End'!C:C,'Back End'!A:A=A2650,'Back End'!B:B=B2650,'Back End'!D:D=D2650)"),"Kodada")</f>
        <v>Kodada</v>
      </c>
      <c r="D2650" s="91" t="s">
        <v>720</v>
      </c>
      <c r="E2650" s="91" t="s">
        <v>6250</v>
      </c>
      <c r="F2650" s="91" t="s">
        <v>114</v>
      </c>
      <c r="G2650" s="91" t="s">
        <v>85</v>
      </c>
      <c r="H2650" s="93" t="s">
        <v>4</v>
      </c>
      <c r="I2650" s="92" t="s">
        <v>3112</v>
      </c>
      <c r="J2650" s="92">
        <v>95542576247</v>
      </c>
      <c r="K2650" s="67"/>
      <c r="L2650" s="67"/>
      <c r="M2650" s="67"/>
      <c r="N2650" s="67"/>
      <c r="O2650" s="67"/>
    </row>
    <row r="2651" spans="1:15" ht="15">
      <c r="A2651" s="91" t="s">
        <v>7</v>
      </c>
      <c r="B2651" s="91" t="s">
        <v>706</v>
      </c>
      <c r="C2651" s="92" t="str">
        <f ca="1">IFERROR(__xludf.DUMMYFUNCTION("filter('Back End'!C:C,'Back End'!A:A=A2651,'Back End'!B:B=B2651,'Back End'!D:D=D2651)"),"Kodada")</f>
        <v>Kodada</v>
      </c>
      <c r="D2651" s="91" t="s">
        <v>720</v>
      </c>
      <c r="E2651" s="91" t="s">
        <v>6251</v>
      </c>
      <c r="F2651" s="91" t="s">
        <v>114</v>
      </c>
      <c r="G2651" s="91" t="s">
        <v>85</v>
      </c>
      <c r="H2651" s="93" t="s">
        <v>4</v>
      </c>
      <c r="I2651" s="92" t="s">
        <v>3112</v>
      </c>
      <c r="J2651" s="92">
        <v>9948683891</v>
      </c>
      <c r="K2651" s="67"/>
      <c r="L2651" s="67"/>
      <c r="M2651" s="67"/>
      <c r="N2651" s="67"/>
      <c r="O2651" s="67"/>
    </row>
    <row r="2652" spans="1:15" ht="15">
      <c r="A2652" s="91" t="s">
        <v>7</v>
      </c>
      <c r="B2652" s="91" t="s">
        <v>706</v>
      </c>
      <c r="C2652" s="92" t="str">
        <f ca="1">IFERROR(__xludf.DUMMYFUNCTION("filter('Back End'!C:C,'Back End'!A:A=A2652,'Back End'!B:B=B2652,'Back End'!D:D=D2652)"),"Kodada")</f>
        <v>Kodada</v>
      </c>
      <c r="D2652" s="91" t="s">
        <v>720</v>
      </c>
      <c r="E2652" s="91" t="s">
        <v>6252</v>
      </c>
      <c r="F2652" s="91" t="s">
        <v>114</v>
      </c>
      <c r="G2652" s="91" t="s">
        <v>85</v>
      </c>
      <c r="H2652" s="93" t="s">
        <v>4</v>
      </c>
      <c r="I2652" s="92" t="s">
        <v>3112</v>
      </c>
      <c r="J2652" s="92">
        <v>9493294319</v>
      </c>
      <c r="K2652" s="67"/>
      <c r="L2652" s="67"/>
      <c r="M2652" s="67"/>
      <c r="N2652" s="67"/>
      <c r="O2652" s="67"/>
    </row>
    <row r="2653" spans="1:15" ht="15">
      <c r="A2653" s="91" t="s">
        <v>7</v>
      </c>
      <c r="B2653" s="91" t="s">
        <v>706</v>
      </c>
      <c r="C2653" s="92" t="str">
        <f ca="1">IFERROR(__xludf.DUMMYFUNCTION("filter('Back End'!C:C,'Back End'!A:A=A2653,'Back End'!B:B=B2653,'Back End'!D:D=D2653)"),"Kodada")</f>
        <v>Kodada</v>
      </c>
      <c r="D2653" s="91" t="s">
        <v>720</v>
      </c>
      <c r="E2653" s="91" t="s">
        <v>6253</v>
      </c>
      <c r="F2653" s="91" t="s">
        <v>114</v>
      </c>
      <c r="G2653" s="91" t="s">
        <v>85</v>
      </c>
      <c r="H2653" s="93" t="s">
        <v>4</v>
      </c>
      <c r="I2653" s="92" t="s">
        <v>3112</v>
      </c>
      <c r="J2653" s="92">
        <v>9704408377</v>
      </c>
      <c r="K2653" s="67"/>
      <c r="L2653" s="67"/>
      <c r="M2653" s="67"/>
      <c r="N2653" s="67"/>
      <c r="O2653" s="67"/>
    </row>
    <row r="2654" spans="1:15" ht="60">
      <c r="A2654" s="91" t="s">
        <v>7</v>
      </c>
      <c r="B2654" s="91" t="s">
        <v>706</v>
      </c>
      <c r="C2654" s="92" t="str">
        <f ca="1">IFERROR(__xludf.DUMMYFUNCTION("filter('Back End'!C:C,'Back End'!A:A=A2654,'Back End'!B:B=B2654,'Back End'!D:D=D2654)"),"Kodada")</f>
        <v>Kodada</v>
      </c>
      <c r="D2654" s="91" t="s">
        <v>720</v>
      </c>
      <c r="E2654" s="91" t="s">
        <v>6254</v>
      </c>
      <c r="F2654" s="91" t="s">
        <v>165</v>
      </c>
      <c r="G2654" s="91" t="s">
        <v>615</v>
      </c>
      <c r="H2654" s="93" t="s">
        <v>4</v>
      </c>
      <c r="I2654" s="92" t="s">
        <v>3634</v>
      </c>
      <c r="J2654" s="92" t="s">
        <v>6255</v>
      </c>
      <c r="K2654" s="67"/>
      <c r="L2654" s="67"/>
      <c r="M2654" s="67"/>
      <c r="N2654" s="67"/>
      <c r="O2654" s="67"/>
    </row>
    <row r="2655" spans="1:15" ht="30">
      <c r="A2655" s="91" t="s">
        <v>7</v>
      </c>
      <c r="B2655" s="91" t="s">
        <v>706</v>
      </c>
      <c r="C2655" s="92" t="str">
        <f ca="1">IFERROR(__xludf.DUMMYFUNCTION("filter('Back End'!C:C,'Back End'!A:A=A2655,'Back End'!B:B=B2655,'Back End'!D:D=D2655)"),"Kodada")</f>
        <v>Kodada</v>
      </c>
      <c r="D2655" s="91" t="s">
        <v>720</v>
      </c>
      <c r="E2655" s="91" t="s">
        <v>6256</v>
      </c>
      <c r="F2655" s="91" t="s">
        <v>165</v>
      </c>
      <c r="G2655" s="91" t="s">
        <v>615</v>
      </c>
      <c r="H2655" s="93" t="s">
        <v>4</v>
      </c>
      <c r="I2655" s="92" t="s">
        <v>3634</v>
      </c>
      <c r="J2655" s="92">
        <v>9491863777</v>
      </c>
      <c r="K2655" s="67"/>
      <c r="L2655" s="67"/>
      <c r="M2655" s="67"/>
      <c r="N2655" s="67"/>
      <c r="O2655" s="67"/>
    </row>
    <row r="2656" spans="1:15" ht="15">
      <c r="A2656" s="91" t="s">
        <v>7</v>
      </c>
      <c r="B2656" s="91" t="s">
        <v>706</v>
      </c>
      <c r="C2656" s="92" t="str">
        <f ca="1">IFERROR(__xludf.DUMMYFUNCTION("filter('Back End'!C:C,'Back End'!A:A=A2656,'Back End'!B:B=B2656,'Back End'!D:D=D2656)"),"Kodada")</f>
        <v>Kodada</v>
      </c>
      <c r="D2656" s="91" t="s">
        <v>720</v>
      </c>
      <c r="E2656" s="91" t="s">
        <v>6257</v>
      </c>
      <c r="F2656" s="91" t="s">
        <v>165</v>
      </c>
      <c r="G2656" s="91" t="s">
        <v>615</v>
      </c>
      <c r="H2656" s="93" t="s">
        <v>4</v>
      </c>
      <c r="I2656" s="92" t="s">
        <v>3112</v>
      </c>
      <c r="J2656" s="92">
        <v>7661821601</v>
      </c>
      <c r="K2656" s="67"/>
      <c r="L2656" s="67"/>
      <c r="M2656" s="67"/>
      <c r="N2656" s="67"/>
      <c r="O2656" s="67"/>
    </row>
    <row r="2657" spans="1:15" ht="15">
      <c r="A2657" s="91" t="s">
        <v>7</v>
      </c>
      <c r="B2657" s="91" t="s">
        <v>706</v>
      </c>
      <c r="C2657" s="92" t="str">
        <f ca="1">IFERROR(__xludf.DUMMYFUNCTION("filter('Back End'!C:C,'Back End'!A:A=A2657,'Back End'!B:B=B2657,'Back End'!D:D=D2657)"),"Kodada")</f>
        <v>Kodada</v>
      </c>
      <c r="D2657" s="91" t="s">
        <v>720</v>
      </c>
      <c r="E2657" s="91" t="s">
        <v>6258</v>
      </c>
      <c r="F2657" s="91" t="s">
        <v>165</v>
      </c>
      <c r="G2657" s="91" t="s">
        <v>615</v>
      </c>
      <c r="H2657" s="93" t="s">
        <v>4</v>
      </c>
      <c r="I2657" s="92" t="s">
        <v>3112</v>
      </c>
      <c r="J2657" s="92">
        <v>9492966111</v>
      </c>
      <c r="K2657" s="67"/>
      <c r="L2657" s="67"/>
      <c r="M2657" s="67"/>
      <c r="N2657" s="67"/>
      <c r="O2657" s="67"/>
    </row>
    <row r="2658" spans="1:15" ht="15">
      <c r="A2658" s="91" t="s">
        <v>7</v>
      </c>
      <c r="B2658" s="91" t="s">
        <v>706</v>
      </c>
      <c r="C2658" s="92" t="str">
        <f ca="1">IFERROR(__xludf.DUMMYFUNCTION("filter('Back End'!C:C,'Back End'!A:A=A2658,'Back End'!B:B=B2658,'Back End'!D:D=D2658)"),"Kodada")</f>
        <v>Kodada</v>
      </c>
      <c r="D2658" s="91" t="s">
        <v>720</v>
      </c>
      <c r="E2658" s="91" t="s">
        <v>6259</v>
      </c>
      <c r="F2658" s="91" t="s">
        <v>114</v>
      </c>
      <c r="G2658" s="91" t="s">
        <v>85</v>
      </c>
      <c r="H2658" s="93" t="s">
        <v>5</v>
      </c>
      <c r="I2658" s="92" t="s">
        <v>3115</v>
      </c>
      <c r="J2658" s="92">
        <v>7730047772</v>
      </c>
      <c r="K2658" s="67"/>
      <c r="L2658" s="67"/>
      <c r="M2658" s="67"/>
      <c r="N2658" s="67"/>
      <c r="O2658" s="67"/>
    </row>
    <row r="2659" spans="1:15" ht="30">
      <c r="A2659" s="91" t="s">
        <v>7</v>
      </c>
      <c r="B2659" s="91" t="s">
        <v>706</v>
      </c>
      <c r="C2659" s="92" t="str">
        <f ca="1">IFERROR(__xludf.DUMMYFUNCTION("filter('Back End'!C:C,'Back End'!A:A=A2659,'Back End'!B:B=B2659,'Back End'!D:D=D2659)"),"Kodada")</f>
        <v>Kodada</v>
      </c>
      <c r="D2659" s="91" t="s">
        <v>720</v>
      </c>
      <c r="E2659" s="91" t="s">
        <v>6260</v>
      </c>
      <c r="F2659" s="91" t="s">
        <v>165</v>
      </c>
      <c r="G2659" s="91" t="s">
        <v>615</v>
      </c>
      <c r="H2659" s="93" t="s">
        <v>5</v>
      </c>
      <c r="I2659" s="92" t="s">
        <v>3205</v>
      </c>
      <c r="J2659" s="92">
        <v>9492248333</v>
      </c>
      <c r="K2659" s="67"/>
      <c r="L2659" s="67"/>
      <c r="M2659" s="67"/>
      <c r="N2659" s="67"/>
      <c r="O2659" s="67"/>
    </row>
    <row r="2660" spans="1:15" ht="15">
      <c r="A2660" s="91" t="s">
        <v>7</v>
      </c>
      <c r="B2660" s="91" t="s">
        <v>706</v>
      </c>
      <c r="C2660" s="92" t="str">
        <f ca="1">IFERROR(__xludf.DUMMYFUNCTION("filter('Back End'!C:C,'Back End'!A:A=A2660,'Back End'!B:B=B2660,'Back End'!D:D=D2660)"),"Kodada")</f>
        <v>Kodada</v>
      </c>
      <c r="D2660" s="91" t="s">
        <v>720</v>
      </c>
      <c r="E2660" s="91" t="s">
        <v>6261</v>
      </c>
      <c r="F2660" s="91" t="s">
        <v>114</v>
      </c>
      <c r="G2660" s="91" t="s">
        <v>85</v>
      </c>
      <c r="H2660" s="93" t="s">
        <v>5</v>
      </c>
      <c r="I2660" s="92" t="s">
        <v>3185</v>
      </c>
      <c r="J2660" s="92">
        <v>9542478481</v>
      </c>
      <c r="K2660" s="67"/>
      <c r="L2660" s="67"/>
      <c r="M2660" s="67"/>
      <c r="N2660" s="67"/>
      <c r="O2660" s="67"/>
    </row>
    <row r="2661" spans="1:15" ht="30">
      <c r="A2661" s="91" t="s">
        <v>7</v>
      </c>
      <c r="B2661" s="91" t="s">
        <v>706</v>
      </c>
      <c r="C2661" s="92" t="str">
        <f ca="1">IFERROR(__xludf.DUMMYFUNCTION("filter('Back End'!C:C,'Back End'!A:A=A2661,'Back End'!B:B=B2661,'Back End'!D:D=D2661)"),"Kothaperumalapuram")</f>
        <v>Kothaperumalapuram</v>
      </c>
      <c r="D2661" s="91" t="s">
        <v>724</v>
      </c>
      <c r="E2661" s="91" t="s">
        <v>6262</v>
      </c>
      <c r="F2661" s="67"/>
      <c r="G2661" s="67"/>
      <c r="H2661" s="93" t="s">
        <v>4</v>
      </c>
      <c r="I2661" s="67"/>
      <c r="J2661" s="92">
        <v>7674047349</v>
      </c>
      <c r="K2661" s="67"/>
      <c r="L2661" s="67"/>
      <c r="M2661" s="67"/>
      <c r="N2661" s="67"/>
      <c r="O2661" s="67"/>
    </row>
    <row r="2662" spans="1:15" ht="30">
      <c r="A2662" s="91" t="s">
        <v>7</v>
      </c>
      <c r="B2662" s="91" t="s">
        <v>706</v>
      </c>
      <c r="C2662" s="92" t="str">
        <f ca="1">IFERROR(__xludf.DUMMYFUNCTION("filter('Back End'!C:C,'Back End'!A:A=A2662,'Back End'!B:B=B2662,'Back End'!D:D=D2662)"),"Kothaperumalapuram")</f>
        <v>Kothaperumalapuram</v>
      </c>
      <c r="D2662" s="91" t="s">
        <v>724</v>
      </c>
      <c r="E2662" s="91" t="s">
        <v>6263</v>
      </c>
      <c r="F2662" s="91" t="s">
        <v>165</v>
      </c>
      <c r="G2662" s="91" t="s">
        <v>615</v>
      </c>
      <c r="H2662" s="93" t="s">
        <v>4</v>
      </c>
      <c r="I2662" s="92" t="s">
        <v>3634</v>
      </c>
      <c r="J2662" s="92">
        <v>9493986381</v>
      </c>
      <c r="K2662" s="67"/>
      <c r="L2662" s="67"/>
      <c r="M2662" s="67"/>
      <c r="N2662" s="67"/>
      <c r="O2662" s="67"/>
    </row>
    <row r="2663" spans="1:15" ht="30">
      <c r="A2663" s="91" t="s">
        <v>7</v>
      </c>
      <c r="B2663" s="91" t="s">
        <v>706</v>
      </c>
      <c r="C2663" s="92" t="str">
        <f ca="1">IFERROR(__xludf.DUMMYFUNCTION("filter('Back End'!C:C,'Back End'!A:A=A2663,'Back End'!B:B=B2663,'Back End'!D:D=D2663)"),"Kothaperumalapuram")</f>
        <v>Kothaperumalapuram</v>
      </c>
      <c r="D2663" s="91" t="s">
        <v>724</v>
      </c>
      <c r="E2663" s="91" t="s">
        <v>6264</v>
      </c>
      <c r="F2663" s="91" t="s">
        <v>165</v>
      </c>
      <c r="G2663" s="91" t="s">
        <v>615</v>
      </c>
      <c r="H2663" s="93" t="s">
        <v>4</v>
      </c>
      <c r="I2663" s="92" t="s">
        <v>3634</v>
      </c>
      <c r="J2663" s="92">
        <v>9704553896</v>
      </c>
      <c r="K2663" s="67"/>
      <c r="L2663" s="67"/>
      <c r="M2663" s="67"/>
      <c r="N2663" s="67"/>
      <c r="O2663" s="67"/>
    </row>
    <row r="2664" spans="1:15" ht="30">
      <c r="A2664" s="91" t="s">
        <v>7</v>
      </c>
      <c r="B2664" s="91" t="s">
        <v>706</v>
      </c>
      <c r="C2664" s="92" t="str">
        <f ca="1">IFERROR(__xludf.DUMMYFUNCTION("filter('Back End'!C:C,'Back End'!A:A=A2664,'Back End'!B:B=B2664,'Back End'!D:D=D2664)"),"Kothaperumalapuram")</f>
        <v>Kothaperumalapuram</v>
      </c>
      <c r="D2664" s="91" t="s">
        <v>724</v>
      </c>
      <c r="E2664" s="91" t="s">
        <v>6265</v>
      </c>
      <c r="F2664" s="91" t="s">
        <v>165</v>
      </c>
      <c r="G2664" s="91" t="s">
        <v>615</v>
      </c>
      <c r="H2664" s="93" t="s">
        <v>4</v>
      </c>
      <c r="I2664" s="92" t="s">
        <v>3634</v>
      </c>
      <c r="J2664" s="92">
        <v>7893613413</v>
      </c>
      <c r="K2664" s="67"/>
      <c r="L2664" s="67"/>
      <c r="M2664" s="67"/>
      <c r="N2664" s="67"/>
      <c r="O2664" s="67"/>
    </row>
    <row r="2665" spans="1:15" ht="30">
      <c r="A2665" s="91" t="s">
        <v>7</v>
      </c>
      <c r="B2665" s="91" t="s">
        <v>706</v>
      </c>
      <c r="C2665" s="92" t="str">
        <f ca="1">IFERROR(__xludf.DUMMYFUNCTION("filter('Back End'!C:C,'Back End'!A:A=A2665,'Back End'!B:B=B2665,'Back End'!D:D=D2665)"),"Kothaperumalapuram")</f>
        <v>Kothaperumalapuram</v>
      </c>
      <c r="D2665" s="91" t="s">
        <v>724</v>
      </c>
      <c r="E2665" s="91" t="s">
        <v>6266</v>
      </c>
      <c r="F2665" s="91" t="s">
        <v>165</v>
      </c>
      <c r="G2665" s="91" t="s">
        <v>615</v>
      </c>
      <c r="H2665" s="93" t="s">
        <v>4</v>
      </c>
      <c r="I2665" s="92" t="s">
        <v>3125</v>
      </c>
      <c r="J2665" s="92">
        <v>9493369417</v>
      </c>
      <c r="K2665" s="67"/>
      <c r="L2665" s="67"/>
      <c r="M2665" s="67"/>
      <c r="N2665" s="67"/>
      <c r="O2665" s="67"/>
    </row>
    <row r="2666" spans="1:15" ht="30">
      <c r="A2666" s="91" t="s">
        <v>7</v>
      </c>
      <c r="B2666" s="91" t="s">
        <v>706</v>
      </c>
      <c r="C2666" s="92" t="str">
        <f ca="1">IFERROR(__xludf.DUMMYFUNCTION("filter('Back End'!C:C,'Back End'!A:A=A2666,'Back End'!B:B=B2666,'Back End'!D:D=D2666)"),"Kothaperumalapuram")</f>
        <v>Kothaperumalapuram</v>
      </c>
      <c r="D2666" s="91" t="s">
        <v>724</v>
      </c>
      <c r="E2666" s="91" t="s">
        <v>6267</v>
      </c>
      <c r="F2666" s="91" t="s">
        <v>165</v>
      </c>
      <c r="G2666" s="91" t="s">
        <v>615</v>
      </c>
      <c r="H2666" s="93" t="s">
        <v>4</v>
      </c>
      <c r="I2666" s="92" t="s">
        <v>3634</v>
      </c>
      <c r="J2666" s="92">
        <v>9948811624</v>
      </c>
      <c r="K2666" s="67"/>
      <c r="L2666" s="67"/>
      <c r="M2666" s="67"/>
      <c r="N2666" s="67"/>
      <c r="O2666" s="67"/>
    </row>
    <row r="2667" spans="1:15" ht="30">
      <c r="A2667" s="91" t="s">
        <v>7</v>
      </c>
      <c r="B2667" s="91" t="s">
        <v>706</v>
      </c>
      <c r="C2667" s="92" t="str">
        <f ca="1">IFERROR(__xludf.DUMMYFUNCTION("filter('Back End'!C:C,'Back End'!A:A=A2667,'Back End'!B:B=B2667,'Back End'!D:D=D2667)"),"Kothaperumalapuram")</f>
        <v>Kothaperumalapuram</v>
      </c>
      <c r="D2667" s="91" t="s">
        <v>724</v>
      </c>
      <c r="E2667" s="91" t="s">
        <v>6268</v>
      </c>
      <c r="F2667" s="91" t="s">
        <v>165</v>
      </c>
      <c r="G2667" s="91" t="s">
        <v>615</v>
      </c>
      <c r="H2667" s="93" t="s">
        <v>4</v>
      </c>
      <c r="I2667" s="92" t="s">
        <v>3634</v>
      </c>
      <c r="J2667" s="92">
        <v>9491863777</v>
      </c>
      <c r="K2667" s="67"/>
      <c r="L2667" s="67"/>
      <c r="M2667" s="67"/>
      <c r="N2667" s="67"/>
      <c r="O2667" s="67"/>
    </row>
    <row r="2668" spans="1:15" ht="30">
      <c r="A2668" s="91" t="s">
        <v>7</v>
      </c>
      <c r="B2668" s="91" t="s">
        <v>706</v>
      </c>
      <c r="C2668" s="92" t="str">
        <f ca="1">IFERROR(__xludf.DUMMYFUNCTION("filter('Back End'!C:C,'Back End'!A:A=A2668,'Back End'!B:B=B2668,'Back End'!D:D=D2668)"),"Kothaperumalapuram")</f>
        <v>Kothaperumalapuram</v>
      </c>
      <c r="D2668" s="91" t="s">
        <v>724</v>
      </c>
      <c r="E2668" s="91" t="s">
        <v>6269</v>
      </c>
      <c r="F2668" s="91" t="s">
        <v>165</v>
      </c>
      <c r="G2668" s="91" t="s">
        <v>615</v>
      </c>
      <c r="H2668" s="93" t="s">
        <v>4</v>
      </c>
      <c r="I2668" s="92" t="s">
        <v>3634</v>
      </c>
      <c r="J2668" s="92">
        <v>9848147668</v>
      </c>
      <c r="K2668" s="67"/>
      <c r="L2668" s="67"/>
      <c r="M2668" s="67"/>
      <c r="N2668" s="67"/>
      <c r="O2668" s="67"/>
    </row>
    <row r="2669" spans="1:15" ht="15">
      <c r="A2669" s="91" t="s">
        <v>7</v>
      </c>
      <c r="B2669" s="91" t="s">
        <v>706</v>
      </c>
      <c r="C2669" s="92" t="str">
        <f ca="1">IFERROR(__xludf.DUMMYFUNCTION("filter('Back End'!C:C,'Back End'!A:A=A2669,'Back End'!B:B=B2669,'Back End'!D:D=D2669)"),"P.Agraharam")</f>
        <v>P.Agraharam</v>
      </c>
      <c r="D2669" s="91" t="s">
        <v>729</v>
      </c>
      <c r="E2669" s="91" t="s">
        <v>6270</v>
      </c>
      <c r="F2669" s="91" t="s">
        <v>94</v>
      </c>
      <c r="G2669" s="91" t="s">
        <v>615</v>
      </c>
      <c r="H2669" s="93" t="s">
        <v>5</v>
      </c>
      <c r="I2669" s="92" t="s">
        <v>2631</v>
      </c>
      <c r="J2669" s="92">
        <v>9912571825</v>
      </c>
      <c r="K2669" s="67"/>
      <c r="L2669" s="67"/>
      <c r="M2669" s="67"/>
      <c r="N2669" s="67"/>
      <c r="O2669" s="67"/>
    </row>
    <row r="2670" spans="1:15" ht="30">
      <c r="A2670" s="91" t="s">
        <v>7</v>
      </c>
      <c r="B2670" s="91" t="s">
        <v>706</v>
      </c>
      <c r="C2670" s="92" t="str">
        <f ca="1">IFERROR(__xludf.DUMMYFUNCTION("filter('Back End'!C:C,'Back End'!A:A=A2670,'Back End'!B:B=B2670,'Back End'!D:D=D2670)"),"P.Agraharam")</f>
        <v>P.Agraharam</v>
      </c>
      <c r="D2670" s="91" t="s">
        <v>729</v>
      </c>
      <c r="E2670" s="91" t="s">
        <v>6271</v>
      </c>
      <c r="F2670" s="91" t="s">
        <v>131</v>
      </c>
      <c r="G2670" s="91" t="s">
        <v>615</v>
      </c>
      <c r="H2670" s="93" t="s">
        <v>4</v>
      </c>
      <c r="I2670" s="92" t="s">
        <v>3634</v>
      </c>
      <c r="J2670" s="92">
        <v>8309384328</v>
      </c>
      <c r="K2670" s="67"/>
      <c r="L2670" s="67"/>
      <c r="M2670" s="67"/>
      <c r="N2670" s="67"/>
      <c r="O2670" s="67"/>
    </row>
    <row r="2671" spans="1:15" ht="15">
      <c r="A2671" s="91" t="s">
        <v>7</v>
      </c>
      <c r="B2671" s="91" t="s">
        <v>706</v>
      </c>
      <c r="C2671" s="92" t="str">
        <f ca="1">IFERROR(__xludf.DUMMYFUNCTION("filter('Back End'!C:C,'Back End'!A:A=A2671,'Back End'!B:B=B2671,'Back End'!D:D=D2671)"),"P.Agraharam")</f>
        <v>P.Agraharam</v>
      </c>
      <c r="D2671" s="91" t="s">
        <v>729</v>
      </c>
      <c r="E2671" s="91" t="s">
        <v>6272</v>
      </c>
      <c r="F2671" s="91" t="s">
        <v>94</v>
      </c>
      <c r="G2671" s="91" t="s">
        <v>615</v>
      </c>
      <c r="H2671" s="93" t="s">
        <v>4</v>
      </c>
      <c r="I2671" s="92" t="s">
        <v>3125</v>
      </c>
      <c r="J2671" s="92">
        <v>9177549659</v>
      </c>
      <c r="K2671" s="67"/>
      <c r="L2671" s="67"/>
      <c r="M2671" s="67"/>
      <c r="N2671" s="67"/>
      <c r="O2671" s="67"/>
    </row>
    <row r="2672" spans="1:15" ht="30">
      <c r="A2672" s="91" t="s">
        <v>7</v>
      </c>
      <c r="B2672" s="91" t="s">
        <v>706</v>
      </c>
      <c r="C2672" s="92" t="str">
        <f ca="1">IFERROR(__xludf.DUMMYFUNCTION("filter('Back End'!C:C,'Back End'!A:A=A2672,'Back End'!B:B=B2672,'Back End'!D:D=D2672)"),"P.Agraharam")</f>
        <v>P.Agraharam</v>
      </c>
      <c r="D2672" s="91" t="s">
        <v>729</v>
      </c>
      <c r="E2672" s="91" t="s">
        <v>6273</v>
      </c>
      <c r="F2672" s="91" t="s">
        <v>94</v>
      </c>
      <c r="G2672" s="91" t="s">
        <v>615</v>
      </c>
      <c r="H2672" s="93" t="s">
        <v>4</v>
      </c>
      <c r="I2672" s="92" t="s">
        <v>3634</v>
      </c>
      <c r="J2672" s="92">
        <v>7569158478</v>
      </c>
      <c r="K2672" s="67"/>
      <c r="L2672" s="67"/>
      <c r="M2672" s="67"/>
      <c r="N2672" s="67"/>
      <c r="O2672" s="67"/>
    </row>
    <row r="2673" spans="1:15" ht="30">
      <c r="A2673" s="91" t="s">
        <v>7</v>
      </c>
      <c r="B2673" s="91" t="s">
        <v>706</v>
      </c>
      <c r="C2673" s="92" t="str">
        <f ca="1">IFERROR(__xludf.DUMMYFUNCTION("filter('Back End'!C:C,'Back End'!A:A=A2673,'Back End'!B:B=B2673,'Back End'!D:D=D2673)"),"P.Agraharam")</f>
        <v>P.Agraharam</v>
      </c>
      <c r="D2673" s="91" t="s">
        <v>729</v>
      </c>
      <c r="E2673" s="91" t="s">
        <v>6274</v>
      </c>
      <c r="F2673" s="91" t="s">
        <v>94</v>
      </c>
      <c r="G2673" s="91" t="s">
        <v>615</v>
      </c>
      <c r="H2673" s="93" t="s">
        <v>4</v>
      </c>
      <c r="I2673" s="92" t="s">
        <v>3495</v>
      </c>
      <c r="J2673" s="92">
        <v>9494035506</v>
      </c>
      <c r="K2673" s="67"/>
      <c r="L2673" s="67"/>
      <c r="M2673" s="67"/>
      <c r="N2673" s="67"/>
      <c r="O2673" s="67"/>
    </row>
    <row r="2674" spans="1:15" ht="30">
      <c r="A2674" s="91" t="s">
        <v>7</v>
      </c>
      <c r="B2674" s="91" t="s">
        <v>706</v>
      </c>
      <c r="C2674" s="92" t="str">
        <f ca="1">IFERROR(__xludf.DUMMYFUNCTION("filter('Back End'!C:C,'Back End'!A:A=A2674,'Back End'!B:B=B2674,'Back End'!D:D=D2674)"),"P.Agraharam")</f>
        <v>P.Agraharam</v>
      </c>
      <c r="D2674" s="91" t="s">
        <v>729</v>
      </c>
      <c r="E2674" s="91" t="s">
        <v>6275</v>
      </c>
      <c r="F2674" s="91" t="s">
        <v>94</v>
      </c>
      <c r="G2674" s="91" t="s">
        <v>615</v>
      </c>
      <c r="H2674" s="93" t="s">
        <v>4</v>
      </c>
      <c r="I2674" s="92" t="s">
        <v>3495</v>
      </c>
      <c r="J2674" s="92">
        <v>9505765250</v>
      </c>
      <c r="K2674" s="67"/>
      <c r="L2674" s="67"/>
      <c r="M2674" s="67"/>
      <c r="N2674" s="67"/>
      <c r="O2674" s="67"/>
    </row>
    <row r="2675" spans="1:15" ht="30">
      <c r="A2675" s="91" t="s">
        <v>7</v>
      </c>
      <c r="B2675" s="91" t="s">
        <v>706</v>
      </c>
      <c r="C2675" s="92" t="str">
        <f ca="1">IFERROR(__xludf.DUMMYFUNCTION("filter('Back End'!C:C,'Back End'!A:A=A2675,'Back End'!B:B=B2675,'Back End'!D:D=D2675)"),"P.Agraharam")</f>
        <v>P.Agraharam</v>
      </c>
      <c r="D2675" s="91" t="s">
        <v>729</v>
      </c>
      <c r="E2675" s="91" t="s">
        <v>6276</v>
      </c>
      <c r="F2675" s="91" t="s">
        <v>94</v>
      </c>
      <c r="G2675" s="91" t="s">
        <v>615</v>
      </c>
      <c r="H2675" s="93" t="s">
        <v>4</v>
      </c>
      <c r="I2675" s="92" t="s">
        <v>3495</v>
      </c>
      <c r="J2675" s="92">
        <v>7036782499</v>
      </c>
      <c r="K2675" s="67"/>
      <c r="L2675" s="67"/>
      <c r="M2675" s="67"/>
      <c r="N2675" s="67"/>
      <c r="O2675" s="67"/>
    </row>
    <row r="2676" spans="1:15" ht="30">
      <c r="A2676" s="91" t="s">
        <v>7</v>
      </c>
      <c r="B2676" s="91" t="s">
        <v>706</v>
      </c>
      <c r="C2676" s="92" t="str">
        <f ca="1">IFERROR(__xludf.DUMMYFUNCTION("filter('Back End'!C:C,'Back End'!A:A=A2676,'Back End'!B:B=B2676,'Back End'!D:D=D2676)"),"P.Agraharam")</f>
        <v>P.Agraharam</v>
      </c>
      <c r="D2676" s="91" t="s">
        <v>729</v>
      </c>
      <c r="E2676" s="91" t="s">
        <v>6277</v>
      </c>
      <c r="F2676" s="91" t="s">
        <v>94</v>
      </c>
      <c r="G2676" s="91" t="s">
        <v>615</v>
      </c>
      <c r="H2676" s="93" t="s">
        <v>4</v>
      </c>
      <c r="I2676" s="92" t="s">
        <v>3194</v>
      </c>
      <c r="J2676" s="92">
        <v>9951031326</v>
      </c>
      <c r="K2676" s="67"/>
      <c r="L2676" s="67"/>
      <c r="M2676" s="67"/>
      <c r="N2676" s="67"/>
      <c r="O2676" s="67"/>
    </row>
    <row r="2677" spans="1:15" ht="30">
      <c r="A2677" s="91" t="s">
        <v>7</v>
      </c>
      <c r="B2677" s="91" t="s">
        <v>706</v>
      </c>
      <c r="C2677" s="92" t="str">
        <f ca="1">IFERROR(__xludf.DUMMYFUNCTION("filter('Back End'!C:C,'Back End'!A:A=A2677,'Back End'!B:B=B2677,'Back End'!D:D=D2677)"),"P.Agraharam")</f>
        <v>P.Agraharam</v>
      </c>
      <c r="D2677" s="91" t="s">
        <v>729</v>
      </c>
      <c r="E2677" s="91" t="s">
        <v>6278</v>
      </c>
      <c r="F2677" s="91" t="s">
        <v>467</v>
      </c>
      <c r="G2677" s="91" t="s">
        <v>85</v>
      </c>
      <c r="H2677" s="93" t="s">
        <v>4</v>
      </c>
      <c r="I2677" s="92" t="s">
        <v>3495</v>
      </c>
      <c r="J2677" s="92">
        <v>996328606</v>
      </c>
      <c r="K2677" s="67"/>
      <c r="L2677" s="67"/>
      <c r="M2677" s="67"/>
      <c r="N2677" s="67"/>
      <c r="O2677" s="67"/>
    </row>
    <row r="2678" spans="1:15" ht="30">
      <c r="A2678" s="91" t="s">
        <v>7</v>
      </c>
      <c r="B2678" s="91" t="s">
        <v>706</v>
      </c>
      <c r="C2678" s="92" t="str">
        <f ca="1">IFERROR(__xludf.DUMMYFUNCTION("filter('Back End'!C:C,'Back End'!A:A=A2678,'Back End'!B:B=B2678,'Back End'!D:D=D2678)"),"P.Agraharam")</f>
        <v>P.Agraharam</v>
      </c>
      <c r="D2678" s="91" t="s">
        <v>729</v>
      </c>
      <c r="E2678" s="91" t="s">
        <v>6279</v>
      </c>
      <c r="F2678" s="91" t="s">
        <v>467</v>
      </c>
      <c r="G2678" s="91" t="s">
        <v>85</v>
      </c>
      <c r="H2678" s="93" t="s">
        <v>4</v>
      </c>
      <c r="I2678" s="92" t="s">
        <v>3495</v>
      </c>
      <c r="J2678" s="92">
        <v>9963158853</v>
      </c>
      <c r="K2678" s="67"/>
      <c r="L2678" s="67"/>
      <c r="M2678" s="67"/>
      <c r="N2678" s="67"/>
      <c r="O2678" s="67"/>
    </row>
    <row r="2679" spans="1:15" ht="30">
      <c r="A2679" s="91" t="s">
        <v>7</v>
      </c>
      <c r="B2679" s="91" t="s">
        <v>706</v>
      </c>
      <c r="C2679" s="92" t="str">
        <f ca="1">IFERROR(__xludf.DUMMYFUNCTION("filter('Back End'!C:C,'Back End'!A:A=A2679,'Back End'!B:B=B2679,'Back End'!D:D=D2679)"),"P.Agraharam")</f>
        <v>P.Agraharam</v>
      </c>
      <c r="D2679" s="91" t="s">
        <v>729</v>
      </c>
      <c r="E2679" s="91" t="s">
        <v>6280</v>
      </c>
      <c r="F2679" s="91" t="s">
        <v>94</v>
      </c>
      <c r="G2679" s="91" t="s">
        <v>615</v>
      </c>
      <c r="H2679" s="93" t="s">
        <v>4</v>
      </c>
      <c r="I2679" s="92" t="s">
        <v>3495</v>
      </c>
      <c r="J2679" s="92">
        <v>8179746135</v>
      </c>
      <c r="K2679" s="67"/>
      <c r="L2679" s="67"/>
      <c r="M2679" s="67"/>
      <c r="N2679" s="67"/>
      <c r="O2679" s="67"/>
    </row>
    <row r="2680" spans="1:15" ht="30">
      <c r="A2680" s="91" t="s">
        <v>7</v>
      </c>
      <c r="B2680" s="91" t="s">
        <v>706</v>
      </c>
      <c r="C2680" s="92" t="str">
        <f ca="1">IFERROR(__xludf.DUMMYFUNCTION("filter('Back End'!C:C,'Back End'!A:A=A2680,'Back End'!B:B=B2680,'Back End'!D:D=D2680)"),"P.Agraharam")</f>
        <v>P.Agraharam</v>
      </c>
      <c r="D2680" s="91" t="s">
        <v>729</v>
      </c>
      <c r="E2680" s="91" t="s">
        <v>6281</v>
      </c>
      <c r="F2680" s="91" t="s">
        <v>94</v>
      </c>
      <c r="G2680" s="91" t="s">
        <v>615</v>
      </c>
      <c r="H2680" s="93" t="s">
        <v>4</v>
      </c>
      <c r="I2680" s="92" t="s">
        <v>3495</v>
      </c>
      <c r="J2680" s="92">
        <v>9603523216</v>
      </c>
      <c r="K2680" s="67"/>
      <c r="L2680" s="67"/>
      <c r="M2680" s="67"/>
      <c r="N2680" s="67"/>
      <c r="O2680" s="67"/>
    </row>
    <row r="2681" spans="1:15" ht="15">
      <c r="A2681" s="91" t="s">
        <v>7</v>
      </c>
      <c r="B2681" s="91" t="s">
        <v>706</v>
      </c>
      <c r="C2681" s="92" t="str">
        <f ca="1">IFERROR(__xludf.DUMMYFUNCTION("filter('Back End'!C:C,'Back End'!A:A=A2681,'Back End'!B:B=B2681,'Back End'!D:D=D2681)"),"P.Agraharam")</f>
        <v>P.Agraharam</v>
      </c>
      <c r="D2681" s="91" t="s">
        <v>729</v>
      </c>
      <c r="E2681" s="91" t="s">
        <v>6282</v>
      </c>
      <c r="F2681" s="91" t="s">
        <v>94</v>
      </c>
      <c r="G2681" s="91" t="s">
        <v>615</v>
      </c>
      <c r="H2681" s="93" t="s">
        <v>5</v>
      </c>
      <c r="I2681" s="92" t="s">
        <v>4069</v>
      </c>
      <c r="J2681" s="92">
        <v>9492251988</v>
      </c>
      <c r="K2681" s="67"/>
      <c r="L2681" s="67"/>
      <c r="M2681" s="67"/>
      <c r="N2681" s="67"/>
      <c r="O2681" s="67"/>
    </row>
    <row r="2682" spans="1:15" ht="30">
      <c r="A2682" s="91" t="s">
        <v>7</v>
      </c>
      <c r="B2682" s="91" t="s">
        <v>706</v>
      </c>
      <c r="C2682" s="92" t="str">
        <f ca="1">IFERROR(__xludf.DUMMYFUNCTION("filter('Back End'!C:C,'Back End'!A:A=A2682,'Back End'!B:B=B2682,'Back End'!D:D=D2682)"),"P.Agraharam")</f>
        <v>P.Agraharam</v>
      </c>
      <c r="D2682" s="91" t="s">
        <v>729</v>
      </c>
      <c r="E2682" s="91" t="s">
        <v>6283</v>
      </c>
      <c r="F2682" s="91" t="s">
        <v>94</v>
      </c>
      <c r="G2682" s="91" t="s">
        <v>615</v>
      </c>
      <c r="H2682" s="93" t="s">
        <v>5</v>
      </c>
      <c r="I2682" s="92" t="s">
        <v>6284</v>
      </c>
      <c r="J2682" s="92">
        <v>9652169858</v>
      </c>
      <c r="K2682" s="67"/>
      <c r="L2682" s="67"/>
      <c r="M2682" s="67"/>
      <c r="N2682" s="67"/>
      <c r="O2682" s="67"/>
    </row>
    <row r="2683" spans="1:15" ht="30">
      <c r="A2683" s="91" t="s">
        <v>7</v>
      </c>
      <c r="B2683" s="91" t="s">
        <v>706</v>
      </c>
      <c r="C2683" s="92" t="str">
        <f ca="1">IFERROR(__xludf.DUMMYFUNCTION("filter('Back End'!C:C,'Back End'!A:A=A2683,'Back End'!B:B=B2683,'Back End'!D:D=D2683)"),"P.E.Chinnayapalem")</f>
        <v>P.E.Chinnayapalem</v>
      </c>
      <c r="D2683" s="91" t="s">
        <v>731</v>
      </c>
      <c r="E2683" s="91" t="s">
        <v>6285</v>
      </c>
      <c r="F2683" s="91" t="s">
        <v>114</v>
      </c>
      <c r="G2683" s="91" t="s">
        <v>85</v>
      </c>
      <c r="H2683" s="93" t="s">
        <v>5</v>
      </c>
      <c r="I2683" s="92" t="s">
        <v>3634</v>
      </c>
      <c r="J2683" s="92">
        <v>9676974591</v>
      </c>
      <c r="K2683" s="67"/>
      <c r="L2683" s="67"/>
      <c r="M2683" s="67"/>
      <c r="N2683" s="67"/>
      <c r="O2683" s="67"/>
    </row>
    <row r="2684" spans="1:15" ht="30">
      <c r="A2684" s="91" t="s">
        <v>7</v>
      </c>
      <c r="B2684" s="91" t="s">
        <v>706</v>
      </c>
      <c r="C2684" s="92" t="str">
        <f ca="1">IFERROR(__xludf.DUMMYFUNCTION("filter('Back End'!C:C,'Back End'!A:A=A2684,'Back End'!B:B=B2684,'Back End'!D:D=D2684)"),"P.E.Chinnayapalem")</f>
        <v>P.E.Chinnayapalem</v>
      </c>
      <c r="D2684" s="91" t="s">
        <v>731</v>
      </c>
      <c r="E2684" s="91" t="s">
        <v>6286</v>
      </c>
      <c r="F2684" s="91" t="s">
        <v>1674</v>
      </c>
      <c r="G2684" s="91" t="s">
        <v>615</v>
      </c>
      <c r="H2684" s="93" t="s">
        <v>5</v>
      </c>
      <c r="I2684" s="92" t="s">
        <v>3634</v>
      </c>
      <c r="J2684" s="92">
        <v>9866927635</v>
      </c>
      <c r="K2684" s="67"/>
      <c r="L2684" s="67"/>
      <c r="M2684" s="67"/>
      <c r="N2684" s="67"/>
      <c r="O2684" s="67"/>
    </row>
    <row r="2685" spans="1:15" ht="30">
      <c r="A2685" s="91" t="s">
        <v>7</v>
      </c>
      <c r="B2685" s="91" t="s">
        <v>706</v>
      </c>
      <c r="C2685" s="92" t="str">
        <f ca="1">IFERROR(__xludf.DUMMYFUNCTION("filter('Back End'!C:C,'Back End'!A:A=A2685,'Back End'!B:B=B2685,'Back End'!D:D=D2685)"),"P.E.Chinnayapalem")</f>
        <v>P.E.Chinnayapalem</v>
      </c>
      <c r="D2685" s="91" t="s">
        <v>731</v>
      </c>
      <c r="E2685" s="91" t="s">
        <v>6287</v>
      </c>
      <c r="F2685" s="91" t="s">
        <v>139</v>
      </c>
      <c r="G2685" s="91" t="s">
        <v>594</v>
      </c>
      <c r="H2685" s="93" t="s">
        <v>5</v>
      </c>
      <c r="I2685" s="92" t="s">
        <v>3634</v>
      </c>
      <c r="J2685" s="92">
        <v>9666656608</v>
      </c>
      <c r="K2685" s="67"/>
      <c r="L2685" s="67"/>
      <c r="M2685" s="67"/>
      <c r="N2685" s="67"/>
      <c r="O2685" s="67"/>
    </row>
    <row r="2686" spans="1:15" ht="30">
      <c r="A2686" s="91" t="s">
        <v>7</v>
      </c>
      <c r="B2686" s="91" t="s">
        <v>706</v>
      </c>
      <c r="C2686" s="92" t="str">
        <f ca="1">IFERROR(__xludf.DUMMYFUNCTION("filter('Back End'!C:C,'Back End'!A:A=A2686,'Back End'!B:B=B2686,'Back End'!D:D=D2686)"),"P.E.Chinnayapalem")</f>
        <v>P.E.Chinnayapalem</v>
      </c>
      <c r="D2686" s="91" t="s">
        <v>731</v>
      </c>
      <c r="E2686" s="91" t="s">
        <v>6288</v>
      </c>
      <c r="F2686" s="91" t="s">
        <v>139</v>
      </c>
      <c r="G2686" s="91" t="s">
        <v>594</v>
      </c>
      <c r="H2686" s="93" t="s">
        <v>4</v>
      </c>
      <c r="I2686" s="92" t="s">
        <v>3125</v>
      </c>
      <c r="J2686" s="92">
        <v>9848742563</v>
      </c>
      <c r="K2686" s="67"/>
      <c r="L2686" s="67"/>
      <c r="M2686" s="67"/>
      <c r="N2686" s="67"/>
      <c r="O2686" s="67"/>
    </row>
    <row r="2687" spans="1:15" ht="30">
      <c r="A2687" s="91" t="s">
        <v>7</v>
      </c>
      <c r="B2687" s="91" t="s">
        <v>706</v>
      </c>
      <c r="C2687" s="92" t="str">
        <f ca="1">IFERROR(__xludf.DUMMYFUNCTION("filter('Back End'!C:C,'Back End'!A:A=A2687,'Back End'!B:B=B2687,'Back End'!D:D=D2687)"),"P.E.Chinnayapalem")</f>
        <v>P.E.Chinnayapalem</v>
      </c>
      <c r="D2687" s="91" t="s">
        <v>731</v>
      </c>
      <c r="E2687" s="91" t="s">
        <v>6289</v>
      </c>
      <c r="F2687" s="91" t="s">
        <v>139</v>
      </c>
      <c r="G2687" s="91" t="s">
        <v>594</v>
      </c>
      <c r="H2687" s="93" t="s">
        <v>4</v>
      </c>
      <c r="I2687" s="92" t="s">
        <v>3634</v>
      </c>
      <c r="J2687" s="92">
        <v>9705707234</v>
      </c>
      <c r="K2687" s="67"/>
      <c r="L2687" s="67"/>
      <c r="M2687" s="67"/>
      <c r="N2687" s="67"/>
      <c r="O2687" s="67"/>
    </row>
    <row r="2688" spans="1:15" ht="30">
      <c r="A2688" s="92" t="s">
        <v>7</v>
      </c>
      <c r="B2688" s="91" t="s">
        <v>706</v>
      </c>
      <c r="C2688" s="92" t="s">
        <v>731</v>
      </c>
      <c r="D2688" s="91" t="s">
        <v>731</v>
      </c>
      <c r="E2688" s="91" t="s">
        <v>6290</v>
      </c>
      <c r="F2688" s="91" t="s">
        <v>139</v>
      </c>
      <c r="G2688" s="91" t="s">
        <v>594</v>
      </c>
      <c r="H2688" s="93" t="s">
        <v>5</v>
      </c>
      <c r="I2688" s="92" t="s">
        <v>3212</v>
      </c>
      <c r="J2688" s="92">
        <v>7842330769</v>
      </c>
      <c r="K2688" s="67"/>
      <c r="L2688" s="67"/>
      <c r="M2688" s="67"/>
      <c r="N2688" s="67"/>
      <c r="O2688" s="67"/>
    </row>
    <row r="2689" spans="1:15" ht="30">
      <c r="A2689" s="92" t="s">
        <v>7</v>
      </c>
      <c r="B2689" s="91" t="s">
        <v>706</v>
      </c>
      <c r="C2689" s="92" t="s">
        <v>731</v>
      </c>
      <c r="D2689" s="91" t="s">
        <v>731</v>
      </c>
      <c r="E2689" s="91" t="s">
        <v>120</v>
      </c>
      <c r="F2689" s="91" t="s">
        <v>139</v>
      </c>
      <c r="G2689" s="91" t="s">
        <v>594</v>
      </c>
      <c r="H2689" s="93" t="s">
        <v>5</v>
      </c>
      <c r="I2689" s="92" t="s">
        <v>3212</v>
      </c>
      <c r="J2689" s="92">
        <v>7075404366</v>
      </c>
      <c r="K2689" s="67"/>
      <c r="L2689" s="67"/>
      <c r="M2689" s="67"/>
      <c r="N2689" s="67"/>
      <c r="O2689" s="67"/>
    </row>
    <row r="2690" spans="1:15" ht="30">
      <c r="A2690" s="92" t="s">
        <v>7</v>
      </c>
      <c r="B2690" s="91" t="s">
        <v>706</v>
      </c>
      <c r="C2690" s="92" t="s">
        <v>731</v>
      </c>
      <c r="D2690" s="91" t="s">
        <v>731</v>
      </c>
      <c r="E2690" s="91" t="s">
        <v>6291</v>
      </c>
      <c r="F2690" s="91" t="s">
        <v>205</v>
      </c>
      <c r="G2690" s="91" t="s">
        <v>615</v>
      </c>
      <c r="H2690" s="93" t="s">
        <v>4</v>
      </c>
      <c r="I2690" s="92" t="s">
        <v>3212</v>
      </c>
      <c r="J2690" s="92">
        <v>9848765848</v>
      </c>
      <c r="K2690" s="67"/>
      <c r="L2690" s="67"/>
      <c r="M2690" s="67"/>
      <c r="N2690" s="67"/>
      <c r="O2690" s="67"/>
    </row>
    <row r="2691" spans="1:15" ht="30">
      <c r="A2691" s="92" t="s">
        <v>7</v>
      </c>
      <c r="B2691" s="91" t="s">
        <v>706</v>
      </c>
      <c r="C2691" s="92" t="s">
        <v>731</v>
      </c>
      <c r="D2691" s="91" t="s">
        <v>731</v>
      </c>
      <c r="E2691" s="91" t="s">
        <v>4925</v>
      </c>
      <c r="F2691" s="91" t="s">
        <v>205</v>
      </c>
      <c r="G2691" s="91" t="s">
        <v>615</v>
      </c>
      <c r="H2691" s="93" t="s">
        <v>4</v>
      </c>
      <c r="I2691" s="92" t="s">
        <v>3212</v>
      </c>
      <c r="J2691" s="92">
        <v>9948513197</v>
      </c>
      <c r="K2691" s="67"/>
      <c r="L2691" s="67"/>
      <c r="M2691" s="67"/>
      <c r="N2691" s="67"/>
      <c r="O2691" s="67"/>
    </row>
    <row r="2692" spans="1:15" ht="30">
      <c r="A2692" s="92" t="s">
        <v>7</v>
      </c>
      <c r="B2692" s="91" t="s">
        <v>706</v>
      </c>
      <c r="C2692" s="92" t="s">
        <v>731</v>
      </c>
      <c r="D2692" s="91" t="s">
        <v>731</v>
      </c>
      <c r="E2692" s="91" t="s">
        <v>6292</v>
      </c>
      <c r="F2692" s="91" t="s">
        <v>139</v>
      </c>
      <c r="G2692" s="91" t="s">
        <v>594</v>
      </c>
      <c r="H2692" s="93" t="s">
        <v>4</v>
      </c>
      <c r="I2692" s="92" t="s">
        <v>3212</v>
      </c>
      <c r="J2692" s="92">
        <v>9848284566</v>
      </c>
      <c r="K2692" s="67"/>
      <c r="L2692" s="67"/>
      <c r="M2692" s="67"/>
      <c r="N2692" s="67"/>
      <c r="O2692" s="67"/>
    </row>
    <row r="2693" spans="1:15" ht="30">
      <c r="A2693" s="91" t="s">
        <v>7</v>
      </c>
      <c r="B2693" s="91" t="s">
        <v>706</v>
      </c>
      <c r="C2693" s="92" t="str">
        <f ca="1">IFERROR(__xludf.DUMMYFUNCTION("filter('Back End'!C:C,'Back End'!A:A=A2693,'Back End'!B:B=B2693,'Back End'!D:D=D2693)"),"P.E.Chinnayapalem")</f>
        <v>P.E.Chinnayapalem</v>
      </c>
      <c r="D2693" s="91" t="s">
        <v>731</v>
      </c>
      <c r="E2693" s="91" t="s">
        <v>6293</v>
      </c>
      <c r="F2693" s="91" t="s">
        <v>1674</v>
      </c>
      <c r="G2693" s="91" t="s">
        <v>615</v>
      </c>
      <c r="H2693" s="93" t="s">
        <v>4</v>
      </c>
      <c r="I2693" s="92" t="s">
        <v>3634</v>
      </c>
      <c r="J2693" s="92">
        <v>9848765848</v>
      </c>
      <c r="K2693" s="67"/>
      <c r="L2693" s="67"/>
      <c r="M2693" s="67"/>
      <c r="N2693" s="67"/>
      <c r="O2693" s="67"/>
    </row>
    <row r="2694" spans="1:15" ht="60">
      <c r="A2694" s="91" t="s">
        <v>7</v>
      </c>
      <c r="B2694" s="91" t="s">
        <v>706</v>
      </c>
      <c r="C2694" s="92" t="str">
        <f ca="1">IFERROR(__xludf.DUMMYFUNCTION("filter('Back End'!C:C,'Back End'!A:A=A2694,'Back End'!B:B=B2694,'Back End'!D:D=D2694)"),"Srungavruksham")</f>
        <v>Srungavruksham</v>
      </c>
      <c r="D2694" s="91" t="s">
        <v>739</v>
      </c>
      <c r="E2694" s="91" t="s">
        <v>6294</v>
      </c>
      <c r="F2694" s="91" t="s">
        <v>114</v>
      </c>
      <c r="G2694" s="91" t="s">
        <v>85</v>
      </c>
      <c r="H2694" s="93" t="s">
        <v>5</v>
      </c>
      <c r="I2694" s="92" t="s">
        <v>6295</v>
      </c>
      <c r="J2694" s="92">
        <v>9581840993</v>
      </c>
      <c r="K2694" s="67"/>
      <c r="L2694" s="67"/>
      <c r="M2694" s="67"/>
      <c r="N2694" s="67"/>
      <c r="O2694" s="67"/>
    </row>
    <row r="2695" spans="1:15" ht="30">
      <c r="A2695" s="91" t="s">
        <v>7</v>
      </c>
      <c r="B2695" s="91" t="s">
        <v>706</v>
      </c>
      <c r="C2695" s="92" t="str">
        <f ca="1">IFERROR(__xludf.DUMMYFUNCTION("filter('Back End'!C:C,'Back End'!A:A=A2695,'Back End'!B:B=B2695,'Back End'!D:D=D2695)"),"Srungavruksham")</f>
        <v>Srungavruksham</v>
      </c>
      <c r="D2695" s="91" t="s">
        <v>739</v>
      </c>
      <c r="E2695" s="91" t="s">
        <v>6296</v>
      </c>
      <c r="F2695" s="91" t="s">
        <v>139</v>
      </c>
      <c r="G2695" s="91" t="s">
        <v>594</v>
      </c>
      <c r="H2695" s="93" t="s">
        <v>5</v>
      </c>
      <c r="I2695" s="92" t="s">
        <v>3634</v>
      </c>
      <c r="J2695" s="92">
        <v>8886564112</v>
      </c>
      <c r="K2695" s="67"/>
      <c r="L2695" s="67"/>
      <c r="M2695" s="67"/>
      <c r="N2695" s="67"/>
      <c r="O2695" s="67"/>
    </row>
    <row r="2696" spans="1:15" ht="30">
      <c r="A2696" s="91" t="s">
        <v>7</v>
      </c>
      <c r="B2696" s="91" t="s">
        <v>706</v>
      </c>
      <c r="C2696" s="92" t="str">
        <f ca="1">IFERROR(__xludf.DUMMYFUNCTION("filter('Back End'!C:C,'Back End'!A:A=A2696,'Back End'!B:B=B2696,'Back End'!D:D=D2696)"),"Srungavruksham")</f>
        <v>Srungavruksham</v>
      </c>
      <c r="D2696" s="91" t="s">
        <v>739</v>
      </c>
      <c r="E2696" s="91" t="s">
        <v>6297</v>
      </c>
      <c r="F2696" s="91" t="s">
        <v>94</v>
      </c>
      <c r="G2696" s="91" t="s">
        <v>615</v>
      </c>
      <c r="H2696" s="93" t="s">
        <v>5</v>
      </c>
      <c r="I2696" s="92" t="s">
        <v>3634</v>
      </c>
      <c r="J2696" s="92">
        <v>9010858630</v>
      </c>
      <c r="K2696" s="67"/>
      <c r="L2696" s="67"/>
      <c r="M2696" s="67"/>
      <c r="N2696" s="67"/>
      <c r="O2696" s="67"/>
    </row>
    <row r="2697" spans="1:15" ht="15">
      <c r="A2697" s="91" t="s">
        <v>7</v>
      </c>
      <c r="B2697" s="91" t="s">
        <v>706</v>
      </c>
      <c r="C2697" s="92" t="str">
        <f ca="1">IFERROR(__xludf.DUMMYFUNCTION("filter('Back End'!C:C,'Back End'!A:A=A2697,'Back End'!B:B=B2697,'Back End'!D:D=D2697)"),"Srungavruksham")</f>
        <v>Srungavruksham</v>
      </c>
      <c r="D2697" s="91" t="s">
        <v>739</v>
      </c>
      <c r="E2697" s="91" t="s">
        <v>6298</v>
      </c>
      <c r="F2697" s="91" t="s">
        <v>1669</v>
      </c>
      <c r="G2697" s="91" t="s">
        <v>615</v>
      </c>
      <c r="H2697" s="93" t="s">
        <v>5</v>
      </c>
      <c r="I2697" s="92" t="s">
        <v>3115</v>
      </c>
      <c r="J2697" s="92">
        <v>6309163301</v>
      </c>
      <c r="K2697" s="67"/>
      <c r="L2697" s="67"/>
      <c r="M2697" s="67"/>
      <c r="N2697" s="67"/>
      <c r="O2697" s="67"/>
    </row>
    <row r="2698" spans="1:15" ht="30">
      <c r="A2698" s="91" t="s">
        <v>7</v>
      </c>
      <c r="B2698" s="91" t="s">
        <v>706</v>
      </c>
      <c r="C2698" s="92" t="str">
        <f ca="1">IFERROR(__xludf.DUMMYFUNCTION("filter('Back End'!C:C,'Back End'!A:A=A2698,'Back End'!B:B=B2698,'Back End'!D:D=D2698)"),"Srungavruksham")</f>
        <v>Srungavruksham</v>
      </c>
      <c r="D2698" s="91" t="s">
        <v>739</v>
      </c>
      <c r="E2698" s="91" t="s">
        <v>6299</v>
      </c>
      <c r="F2698" s="91" t="s">
        <v>139</v>
      </c>
      <c r="G2698" s="91" t="s">
        <v>594</v>
      </c>
      <c r="H2698" s="93" t="s">
        <v>5</v>
      </c>
      <c r="I2698" s="92" t="s">
        <v>3205</v>
      </c>
      <c r="J2698" s="92">
        <v>8688881848</v>
      </c>
      <c r="K2698" s="67"/>
      <c r="L2698" s="67"/>
      <c r="M2698" s="67"/>
      <c r="N2698" s="67"/>
      <c r="O2698" s="67"/>
    </row>
    <row r="2699" spans="1:15" ht="15">
      <c r="A2699" s="91" t="s">
        <v>7</v>
      </c>
      <c r="B2699" s="91" t="s">
        <v>706</v>
      </c>
      <c r="C2699" s="92" t="str">
        <f ca="1">IFERROR(__xludf.DUMMYFUNCTION("filter('Back End'!C:C,'Back End'!A:A=A2699,'Back End'!B:B=B2699,'Back End'!D:D=D2699)"),"Srungavruksham")</f>
        <v>Srungavruksham</v>
      </c>
      <c r="D2699" s="91" t="s">
        <v>739</v>
      </c>
      <c r="E2699" s="91" t="s">
        <v>6300</v>
      </c>
      <c r="F2699" s="91" t="s">
        <v>139</v>
      </c>
      <c r="G2699" s="91" t="s">
        <v>594</v>
      </c>
      <c r="H2699" s="93" t="s">
        <v>4</v>
      </c>
      <c r="I2699" s="92" t="s">
        <v>3112</v>
      </c>
      <c r="J2699" s="92">
        <v>9505187109</v>
      </c>
      <c r="K2699" s="67"/>
      <c r="L2699" s="67"/>
      <c r="M2699" s="67"/>
      <c r="N2699" s="67"/>
      <c r="O2699" s="67"/>
    </row>
    <row r="2700" spans="1:15" ht="15">
      <c r="A2700" s="91" t="s">
        <v>7</v>
      </c>
      <c r="B2700" s="91" t="s">
        <v>706</v>
      </c>
      <c r="C2700" s="92" t="str">
        <f ca="1">IFERROR(__xludf.DUMMYFUNCTION("filter('Back End'!C:C,'Back End'!A:A=A2700,'Back End'!B:B=B2700,'Back End'!D:D=D2700)"),"Srungavruksham")</f>
        <v>Srungavruksham</v>
      </c>
      <c r="D2700" s="91" t="s">
        <v>739</v>
      </c>
      <c r="E2700" s="91" t="s">
        <v>6301</v>
      </c>
      <c r="F2700" s="91" t="s">
        <v>165</v>
      </c>
      <c r="G2700" s="91" t="s">
        <v>615</v>
      </c>
      <c r="H2700" s="93" t="s">
        <v>4</v>
      </c>
      <c r="I2700" s="92" t="s">
        <v>3112</v>
      </c>
      <c r="J2700" s="92">
        <v>9160700913</v>
      </c>
      <c r="K2700" s="67"/>
      <c r="L2700" s="67"/>
      <c r="M2700" s="67"/>
      <c r="N2700" s="67"/>
      <c r="O2700" s="67"/>
    </row>
    <row r="2701" spans="1:15" ht="15">
      <c r="A2701" s="91" t="s">
        <v>7</v>
      </c>
      <c r="B2701" s="91" t="s">
        <v>706</v>
      </c>
      <c r="C2701" s="92" t="str">
        <f ca="1">IFERROR(__xludf.DUMMYFUNCTION("filter('Back End'!C:C,'Back End'!A:A=A2701,'Back End'!B:B=B2701,'Back End'!D:D=D2701)"),"Srungavruksham")</f>
        <v>Srungavruksham</v>
      </c>
      <c r="D2701" s="91" t="s">
        <v>739</v>
      </c>
      <c r="E2701" s="91" t="s">
        <v>6302</v>
      </c>
      <c r="F2701" s="91" t="s">
        <v>165</v>
      </c>
      <c r="G2701" s="91" t="s">
        <v>615</v>
      </c>
      <c r="H2701" s="93" t="s">
        <v>4</v>
      </c>
      <c r="I2701" s="92" t="s">
        <v>3112</v>
      </c>
      <c r="J2701" s="92">
        <v>9989945121</v>
      </c>
      <c r="K2701" s="67"/>
      <c r="L2701" s="67"/>
      <c r="M2701" s="67"/>
      <c r="N2701" s="67"/>
      <c r="O2701" s="67"/>
    </row>
    <row r="2702" spans="1:15" ht="30">
      <c r="A2702" s="91" t="s">
        <v>7</v>
      </c>
      <c r="B2702" s="91" t="s">
        <v>706</v>
      </c>
      <c r="C2702" s="92" t="str">
        <f ca="1">IFERROR(__xludf.DUMMYFUNCTION("filter('Back End'!C:C,'Back End'!A:A=A2702,'Back End'!B:B=B2702,'Back End'!D:D=D2702)"),"Srungavruksham")</f>
        <v>Srungavruksham</v>
      </c>
      <c r="D2702" s="91" t="s">
        <v>739</v>
      </c>
      <c r="E2702" s="91" t="s">
        <v>6303</v>
      </c>
      <c r="F2702" s="91" t="s">
        <v>165</v>
      </c>
      <c r="G2702" s="91" t="s">
        <v>615</v>
      </c>
      <c r="H2702" s="93" t="s">
        <v>4</v>
      </c>
      <c r="I2702" s="92" t="s">
        <v>4333</v>
      </c>
      <c r="J2702" s="92">
        <v>9177123375</v>
      </c>
      <c r="K2702" s="67"/>
      <c r="L2702" s="67"/>
      <c r="M2702" s="67"/>
      <c r="N2702" s="67"/>
      <c r="O2702" s="67"/>
    </row>
    <row r="2703" spans="1:15" ht="15">
      <c r="A2703" s="91" t="s">
        <v>7</v>
      </c>
      <c r="B2703" s="91" t="s">
        <v>706</v>
      </c>
      <c r="C2703" s="92" t="str">
        <f ca="1">IFERROR(__xludf.DUMMYFUNCTION("filter('Back End'!C:C,'Back End'!A:A=A2703,'Back End'!B:B=B2703,'Back End'!D:D=D2703)"),"Srungavruksham")</f>
        <v>Srungavruksham</v>
      </c>
      <c r="D2703" s="91" t="s">
        <v>739</v>
      </c>
      <c r="E2703" s="91" t="s">
        <v>6304</v>
      </c>
      <c r="F2703" s="91" t="s">
        <v>165</v>
      </c>
      <c r="G2703" s="91" t="s">
        <v>615</v>
      </c>
      <c r="H2703" s="93" t="s">
        <v>4</v>
      </c>
      <c r="I2703" s="92" t="s">
        <v>3112</v>
      </c>
      <c r="J2703" s="92">
        <v>9490931629</v>
      </c>
      <c r="K2703" s="67"/>
      <c r="L2703" s="67"/>
      <c r="M2703" s="67"/>
      <c r="N2703" s="67"/>
      <c r="O2703" s="67"/>
    </row>
    <row r="2704" spans="1:15" ht="30">
      <c r="A2704" s="91" t="s">
        <v>7</v>
      </c>
      <c r="B2704" s="91" t="s">
        <v>706</v>
      </c>
      <c r="C2704" s="92" t="str">
        <f ca="1">IFERROR(__xludf.DUMMYFUNCTION("filter('Back End'!C:C,'Back End'!A:A=A2704,'Back End'!B:B=B2704,'Back End'!D:D=D2704)"),"Srungavruksham")</f>
        <v>Srungavruksham</v>
      </c>
      <c r="D2704" s="91" t="s">
        <v>739</v>
      </c>
      <c r="E2704" s="91" t="s">
        <v>6305</v>
      </c>
      <c r="F2704" s="91" t="s">
        <v>467</v>
      </c>
      <c r="G2704" s="91" t="s">
        <v>85</v>
      </c>
      <c r="H2704" s="93" t="s">
        <v>4</v>
      </c>
      <c r="I2704" s="92" t="s">
        <v>3634</v>
      </c>
      <c r="J2704" s="92">
        <v>9949684528</v>
      </c>
      <c r="K2704" s="67"/>
      <c r="L2704" s="67"/>
      <c r="M2704" s="67"/>
      <c r="N2704" s="67"/>
      <c r="O2704" s="67"/>
    </row>
    <row r="2705" spans="1:15" ht="30">
      <c r="A2705" s="91" t="s">
        <v>7</v>
      </c>
      <c r="B2705" s="91" t="s">
        <v>706</v>
      </c>
      <c r="C2705" s="92" t="str">
        <f ca="1">IFERROR(__xludf.DUMMYFUNCTION("filter('Back End'!C:C,'Back End'!A:A=A2705,'Back End'!B:B=B2705,'Back End'!D:D=D2705)"),"Srungavruksham")</f>
        <v>Srungavruksham</v>
      </c>
      <c r="D2705" s="91" t="s">
        <v>739</v>
      </c>
      <c r="E2705" s="91" t="s">
        <v>6306</v>
      </c>
      <c r="F2705" s="91" t="s">
        <v>139</v>
      </c>
      <c r="G2705" s="91" t="s">
        <v>594</v>
      </c>
      <c r="H2705" s="93" t="s">
        <v>4</v>
      </c>
      <c r="I2705" s="92" t="s">
        <v>3634</v>
      </c>
      <c r="J2705" s="92">
        <v>9948779447</v>
      </c>
      <c r="K2705" s="67"/>
      <c r="L2705" s="67"/>
      <c r="M2705" s="67"/>
      <c r="N2705" s="67"/>
      <c r="O2705" s="67"/>
    </row>
    <row r="2706" spans="1:15" ht="30">
      <c r="A2706" s="91" t="s">
        <v>7</v>
      </c>
      <c r="B2706" s="91" t="s">
        <v>706</v>
      </c>
      <c r="C2706" s="92" t="str">
        <f ca="1">IFERROR(__xludf.DUMMYFUNCTION("filter('Back End'!C:C,'Back End'!A:A=A2706,'Back End'!B:B=B2706,'Back End'!D:D=D2706)"),"Srungavruksham")</f>
        <v>Srungavruksham</v>
      </c>
      <c r="D2706" s="91" t="s">
        <v>739</v>
      </c>
      <c r="E2706" s="91" t="s">
        <v>6307</v>
      </c>
      <c r="F2706" s="91" t="s">
        <v>165</v>
      </c>
      <c r="G2706" s="91" t="s">
        <v>615</v>
      </c>
      <c r="H2706" s="93" t="s">
        <v>4</v>
      </c>
      <c r="I2706" s="92" t="s">
        <v>3634</v>
      </c>
      <c r="J2706" s="92">
        <v>9912899290</v>
      </c>
      <c r="K2706" s="67"/>
      <c r="L2706" s="67"/>
      <c r="M2706" s="67"/>
      <c r="N2706" s="67"/>
      <c r="O2706" s="67"/>
    </row>
    <row r="2707" spans="1:15" ht="30">
      <c r="A2707" s="91" t="s">
        <v>7</v>
      </c>
      <c r="B2707" s="91" t="s">
        <v>706</v>
      </c>
      <c r="C2707" s="92" t="str">
        <f ca="1">IFERROR(__xludf.DUMMYFUNCTION("filter('Back End'!C:C,'Back End'!A:A=A2707,'Back End'!B:B=B2707,'Back End'!D:D=D2707)"),"Srungavruksham")</f>
        <v>Srungavruksham</v>
      </c>
      <c r="D2707" s="91" t="s">
        <v>739</v>
      </c>
      <c r="E2707" s="91" t="s">
        <v>6308</v>
      </c>
      <c r="F2707" s="91" t="s">
        <v>139</v>
      </c>
      <c r="G2707" s="91" t="s">
        <v>594</v>
      </c>
      <c r="H2707" s="93" t="s">
        <v>4</v>
      </c>
      <c r="I2707" s="92" t="s">
        <v>3634</v>
      </c>
      <c r="J2707" s="92">
        <v>9701608247</v>
      </c>
      <c r="K2707" s="67"/>
      <c r="L2707" s="67"/>
      <c r="M2707" s="67"/>
      <c r="N2707" s="67"/>
      <c r="O2707" s="67"/>
    </row>
    <row r="2708" spans="1:15" ht="15">
      <c r="A2708" s="91" t="s">
        <v>7</v>
      </c>
      <c r="B2708" s="91" t="s">
        <v>706</v>
      </c>
      <c r="C2708" s="92" t="str">
        <f ca="1">IFERROR(__xludf.DUMMYFUNCTION("filter('Back End'!C:C,'Back End'!A:A=A2708,'Back End'!B:B=B2708,'Back End'!D:D=D2708)"),"Srungavruksham")</f>
        <v>Srungavruksham</v>
      </c>
      <c r="D2708" s="91" t="s">
        <v>739</v>
      </c>
      <c r="E2708" s="91" t="s">
        <v>6309</v>
      </c>
      <c r="F2708" s="91" t="s">
        <v>139</v>
      </c>
      <c r="G2708" s="91" t="s">
        <v>594</v>
      </c>
      <c r="H2708" s="93" t="s">
        <v>4</v>
      </c>
      <c r="I2708" s="92" t="s">
        <v>3125</v>
      </c>
      <c r="J2708" s="92">
        <v>9989874584</v>
      </c>
      <c r="K2708" s="67"/>
      <c r="L2708" s="67"/>
      <c r="M2708" s="67"/>
      <c r="N2708" s="67"/>
      <c r="O2708" s="67"/>
    </row>
    <row r="2709" spans="1:15" ht="75">
      <c r="A2709" s="91" t="s">
        <v>7</v>
      </c>
      <c r="B2709" s="91" t="s">
        <v>706</v>
      </c>
      <c r="C2709" s="92" t="str">
        <f ca="1">IFERROR(__xludf.DUMMYFUNCTION("filter('Back End'!C:C,'Back End'!A:A=A2709,'Back End'!B:B=B2709,'Back End'!D:D=D2709)"),"Srungavruksham")</f>
        <v>Srungavruksham</v>
      </c>
      <c r="D2709" s="91" t="s">
        <v>739</v>
      </c>
      <c r="E2709" s="110" t="s">
        <v>6310</v>
      </c>
      <c r="F2709" s="91" t="s">
        <v>139</v>
      </c>
      <c r="G2709" s="91" t="s">
        <v>594</v>
      </c>
      <c r="H2709" s="93" t="s">
        <v>6</v>
      </c>
      <c r="I2709" s="92" t="s">
        <v>6311</v>
      </c>
      <c r="J2709" s="109">
        <v>7032031506</v>
      </c>
      <c r="K2709" s="75"/>
      <c r="L2709" s="75"/>
      <c r="M2709" s="67"/>
      <c r="N2709" s="67"/>
      <c r="O2709" s="67"/>
    </row>
    <row r="2710" spans="1:15" ht="15">
      <c r="A2710" s="91" t="s">
        <v>7</v>
      </c>
      <c r="B2710" s="91" t="s">
        <v>706</v>
      </c>
      <c r="C2710" s="92" t="str">
        <f ca="1">IFERROR(__xludf.DUMMYFUNCTION("filter('Back End'!C:C,'Back End'!A:A=A2710,'Back End'!B:B=B2710,'Back End'!D:D=D2710)"),"Srungavruksham")</f>
        <v>Srungavruksham</v>
      </c>
      <c r="D2710" s="91" t="s">
        <v>739</v>
      </c>
      <c r="E2710" s="110" t="s">
        <v>6312</v>
      </c>
      <c r="F2710" s="91" t="s">
        <v>139</v>
      </c>
      <c r="G2710" s="91" t="s">
        <v>594</v>
      </c>
      <c r="H2710" s="93" t="s">
        <v>6</v>
      </c>
      <c r="I2710" s="92" t="s">
        <v>3112</v>
      </c>
      <c r="J2710" s="109">
        <v>8712320813</v>
      </c>
      <c r="K2710" s="75"/>
      <c r="L2710" s="75"/>
      <c r="M2710" s="67"/>
      <c r="N2710" s="67"/>
      <c r="O2710" s="67"/>
    </row>
    <row r="2711" spans="1:15" ht="15">
      <c r="A2711" s="118" t="s">
        <v>7</v>
      </c>
      <c r="B2711" s="118" t="s">
        <v>706</v>
      </c>
      <c r="C2711" s="119" t="str">
        <f ca="1">IFERROR(__xludf.DUMMYFUNCTION("filter('Back End'!C:C,'Back End'!A:A=A2711,'Back End'!B:B=B2711,'Back End'!D:D=D2711)"),"Thondangi")</f>
        <v>Thondangi</v>
      </c>
      <c r="D2711" s="118" t="s">
        <v>706</v>
      </c>
      <c r="E2711" s="118" t="s">
        <v>6313</v>
      </c>
      <c r="F2711" s="118" t="s">
        <v>139</v>
      </c>
      <c r="G2711" s="118" t="s">
        <v>594</v>
      </c>
      <c r="H2711" s="120" t="s">
        <v>5</v>
      </c>
      <c r="I2711" s="121"/>
      <c r="J2711" s="119">
        <v>9949513636</v>
      </c>
      <c r="K2711" s="121"/>
      <c r="L2711" s="67"/>
      <c r="M2711" s="67"/>
      <c r="N2711" s="67"/>
      <c r="O2711" s="67"/>
    </row>
    <row r="2712" spans="1:15" ht="30">
      <c r="A2712" s="91" t="s">
        <v>7</v>
      </c>
      <c r="B2712" s="91" t="s">
        <v>706</v>
      </c>
      <c r="C2712" s="92" t="str">
        <f ca="1">IFERROR(__xludf.DUMMYFUNCTION("filter('Back End'!C:C,'Back End'!A:A=A2712,'Back End'!B:B=B2712,'Back End'!D:D=D2712)"),"Thondangi")</f>
        <v>Thondangi</v>
      </c>
      <c r="D2712" s="91" t="s">
        <v>706</v>
      </c>
      <c r="E2712" s="91" t="s">
        <v>6314</v>
      </c>
      <c r="F2712" s="91" t="s">
        <v>139</v>
      </c>
      <c r="G2712" s="91" t="s">
        <v>594</v>
      </c>
      <c r="H2712" s="93" t="s">
        <v>5</v>
      </c>
      <c r="I2712" s="92" t="s">
        <v>4056</v>
      </c>
      <c r="J2712" s="92">
        <v>9640939642</v>
      </c>
      <c r="K2712" s="67"/>
      <c r="L2712" s="67"/>
      <c r="M2712" s="67"/>
      <c r="N2712" s="67"/>
      <c r="O2712" s="67"/>
    </row>
    <row r="2713" spans="1:15" ht="30">
      <c r="A2713" s="91" t="s">
        <v>7</v>
      </c>
      <c r="B2713" s="91" t="s">
        <v>706</v>
      </c>
      <c r="C2713" s="92" t="str">
        <f ca="1">IFERROR(__xludf.DUMMYFUNCTION("filter('Back End'!C:C,'Back End'!A:A=A2713,'Back End'!B:B=B2713,'Back End'!D:D=D2713)"),"Thondangi")</f>
        <v>Thondangi</v>
      </c>
      <c r="D2713" s="91" t="s">
        <v>706</v>
      </c>
      <c r="E2713" s="91" t="s">
        <v>6315</v>
      </c>
      <c r="F2713" s="91" t="s">
        <v>451</v>
      </c>
      <c r="G2713" s="91" t="s">
        <v>615</v>
      </c>
      <c r="H2713" s="93" t="s">
        <v>5</v>
      </c>
      <c r="I2713" s="92" t="s">
        <v>4056</v>
      </c>
      <c r="J2713" s="92">
        <v>9951762544</v>
      </c>
      <c r="K2713" s="67"/>
      <c r="L2713" s="67"/>
      <c r="M2713" s="67"/>
      <c r="N2713" s="67"/>
      <c r="O2713" s="67"/>
    </row>
    <row r="2714" spans="1:15" ht="15">
      <c r="A2714" s="91" t="s">
        <v>7</v>
      </c>
      <c r="B2714" s="91" t="s">
        <v>706</v>
      </c>
      <c r="C2714" s="92" t="str">
        <f ca="1">IFERROR(__xludf.DUMMYFUNCTION("filter('Back End'!C:C,'Back End'!A:A=A2714,'Back End'!B:B=B2714,'Back End'!D:D=D2714)"),"Thondangi")</f>
        <v>Thondangi</v>
      </c>
      <c r="D2714" s="91" t="s">
        <v>706</v>
      </c>
      <c r="E2714" s="91" t="s">
        <v>6316</v>
      </c>
      <c r="F2714" s="91" t="s">
        <v>114</v>
      </c>
      <c r="G2714" s="91" t="s">
        <v>85</v>
      </c>
      <c r="H2714" s="93" t="s">
        <v>5</v>
      </c>
      <c r="I2714" s="92" t="s">
        <v>3185</v>
      </c>
      <c r="J2714" s="92">
        <v>8985242950</v>
      </c>
      <c r="K2714" s="67"/>
      <c r="L2714" s="67"/>
      <c r="M2714" s="67"/>
      <c r="N2714" s="67"/>
      <c r="O2714" s="67"/>
    </row>
    <row r="2715" spans="1:15" ht="30">
      <c r="A2715" s="91" t="s">
        <v>7</v>
      </c>
      <c r="B2715" s="91" t="s">
        <v>706</v>
      </c>
      <c r="C2715" s="92" t="str">
        <f ca="1">IFERROR(__xludf.DUMMYFUNCTION("filter('Back End'!C:C,'Back End'!A:A=A2715,'Back End'!B:B=B2715,'Back End'!D:D=D2715)"),"Thondangi")</f>
        <v>Thondangi</v>
      </c>
      <c r="D2715" s="91" t="s">
        <v>706</v>
      </c>
      <c r="E2715" s="91" t="s">
        <v>6317</v>
      </c>
      <c r="F2715" s="91" t="s">
        <v>165</v>
      </c>
      <c r="G2715" s="91" t="s">
        <v>615</v>
      </c>
      <c r="H2715" s="93" t="s">
        <v>4</v>
      </c>
      <c r="I2715" s="92" t="s">
        <v>3709</v>
      </c>
      <c r="J2715" s="92">
        <v>9246822777</v>
      </c>
      <c r="K2715" s="67"/>
      <c r="L2715" s="67"/>
      <c r="M2715" s="67"/>
      <c r="N2715" s="67"/>
      <c r="O2715" s="67"/>
    </row>
    <row r="2716" spans="1:15" ht="30">
      <c r="A2716" s="91" t="s">
        <v>7</v>
      </c>
      <c r="B2716" s="91" t="s">
        <v>706</v>
      </c>
      <c r="C2716" s="92" t="str">
        <f ca="1">IFERROR(__xludf.DUMMYFUNCTION("filter('Back End'!C:C,'Back End'!A:A=A2716,'Back End'!B:B=B2716,'Back End'!D:D=D2716)"),"Thondangi")</f>
        <v>Thondangi</v>
      </c>
      <c r="D2716" s="91" t="s">
        <v>706</v>
      </c>
      <c r="E2716" s="91" t="s">
        <v>6318</v>
      </c>
      <c r="F2716" s="91" t="s">
        <v>139</v>
      </c>
      <c r="G2716" s="91" t="s">
        <v>594</v>
      </c>
      <c r="H2716" s="93" t="s">
        <v>4</v>
      </c>
      <c r="I2716" s="92" t="s">
        <v>6319</v>
      </c>
      <c r="J2716" s="92">
        <v>9989419223</v>
      </c>
      <c r="K2716" s="67"/>
      <c r="L2716" s="67"/>
      <c r="M2716" s="67"/>
      <c r="N2716" s="67"/>
      <c r="O2716" s="67"/>
    </row>
    <row r="2717" spans="1:15" ht="15">
      <c r="A2717" s="91" t="s">
        <v>7</v>
      </c>
      <c r="B2717" s="91" t="s">
        <v>706</v>
      </c>
      <c r="C2717" s="92" t="str">
        <f ca="1">IFERROR(__xludf.DUMMYFUNCTION("filter('Back End'!C:C,'Back End'!A:A=A2717,'Back End'!B:B=B2717,'Back End'!D:D=D2717)"),"Thondangi")</f>
        <v>Thondangi</v>
      </c>
      <c r="D2717" s="91" t="s">
        <v>706</v>
      </c>
      <c r="E2717" s="91" t="s">
        <v>6320</v>
      </c>
      <c r="F2717" s="91" t="s">
        <v>165</v>
      </c>
      <c r="G2717" s="91" t="s">
        <v>615</v>
      </c>
      <c r="H2717" s="93" t="s">
        <v>4</v>
      </c>
      <c r="I2717" s="92" t="s">
        <v>3112</v>
      </c>
      <c r="J2717" s="92">
        <v>9989602366</v>
      </c>
      <c r="K2717" s="67"/>
      <c r="L2717" s="67"/>
      <c r="M2717" s="67"/>
      <c r="N2717" s="67"/>
      <c r="O2717" s="67"/>
    </row>
    <row r="2718" spans="1:15" ht="60">
      <c r="A2718" s="91" t="s">
        <v>7</v>
      </c>
      <c r="B2718" s="91" t="s">
        <v>706</v>
      </c>
      <c r="C2718" s="92" t="str">
        <f ca="1">IFERROR(__xludf.DUMMYFUNCTION("filter('Back End'!C:C,'Back End'!A:A=A2718,'Back End'!B:B=B2718,'Back End'!D:D=D2718)"),"Thondangi")</f>
        <v>Thondangi</v>
      </c>
      <c r="D2718" s="91" t="s">
        <v>706</v>
      </c>
      <c r="E2718" s="92" t="s">
        <v>6321</v>
      </c>
      <c r="F2718" s="91" t="s">
        <v>139</v>
      </c>
      <c r="G2718" s="91" t="s">
        <v>594</v>
      </c>
      <c r="H2718" s="93" t="s">
        <v>4</v>
      </c>
      <c r="I2718" s="92" t="s">
        <v>3185</v>
      </c>
      <c r="J2718" s="92">
        <v>9989112327</v>
      </c>
      <c r="K2718" s="67"/>
      <c r="L2718" s="67"/>
      <c r="M2718" s="67"/>
      <c r="N2718" s="67"/>
      <c r="O2718" s="67"/>
    </row>
    <row r="2719" spans="1:15" ht="15">
      <c r="A2719" s="91" t="s">
        <v>7</v>
      </c>
      <c r="B2719" s="91" t="s">
        <v>706</v>
      </c>
      <c r="C2719" s="92" t="str">
        <f ca="1">IFERROR(__xludf.DUMMYFUNCTION("filter('Back End'!C:C,'Back End'!A:A=A2719,'Back End'!B:B=B2719,'Back End'!D:D=D2719)"),"Yerrayyapeta")</f>
        <v>Yerrayyapeta</v>
      </c>
      <c r="D2719" s="91" t="s">
        <v>746</v>
      </c>
      <c r="E2719" s="91" t="s">
        <v>6322</v>
      </c>
      <c r="F2719" s="91" t="s">
        <v>288</v>
      </c>
      <c r="G2719" s="91" t="s">
        <v>615</v>
      </c>
      <c r="H2719" s="93" t="s">
        <v>5</v>
      </c>
      <c r="I2719" s="67"/>
      <c r="J2719" s="92">
        <v>7729073663</v>
      </c>
      <c r="K2719" s="67"/>
      <c r="L2719" s="92" t="s">
        <v>6323</v>
      </c>
      <c r="M2719" s="67"/>
      <c r="N2719" s="67"/>
      <c r="O2719" s="67"/>
    </row>
    <row r="2720" spans="1:15" ht="30">
      <c r="A2720" s="91" t="s">
        <v>7</v>
      </c>
      <c r="B2720" s="91" t="s">
        <v>706</v>
      </c>
      <c r="C2720" s="92" t="str">
        <f ca="1">IFERROR(__xludf.DUMMYFUNCTION("filter('Back End'!C:C,'Back End'!A:A=A2720,'Back End'!B:B=B2720,'Back End'!D:D=D2720)"),"Yerrayyapeta")</f>
        <v>Yerrayyapeta</v>
      </c>
      <c r="D2720" s="91" t="s">
        <v>746</v>
      </c>
      <c r="E2720" s="91" t="s">
        <v>6324</v>
      </c>
      <c r="F2720" s="91" t="s">
        <v>467</v>
      </c>
      <c r="G2720" s="91" t="s">
        <v>85</v>
      </c>
      <c r="H2720" s="93" t="s">
        <v>4</v>
      </c>
      <c r="I2720" s="92" t="s">
        <v>3634</v>
      </c>
      <c r="J2720" s="92">
        <v>9177491583</v>
      </c>
      <c r="K2720" s="67"/>
      <c r="L2720" s="67"/>
      <c r="M2720" s="67"/>
      <c r="N2720" s="67"/>
      <c r="O2720" s="67"/>
    </row>
    <row r="2721" spans="1:15" ht="30">
      <c r="A2721" s="91" t="s">
        <v>7</v>
      </c>
      <c r="B2721" s="91" t="s">
        <v>706</v>
      </c>
      <c r="C2721" s="92" t="str">
        <f ca="1">IFERROR(__xludf.DUMMYFUNCTION("filter('Back End'!C:C,'Back End'!A:A=A2721,'Back End'!B:B=B2721,'Back End'!D:D=D2721)"),"Yerrayyapeta")</f>
        <v>Yerrayyapeta</v>
      </c>
      <c r="D2721" s="91" t="s">
        <v>746</v>
      </c>
      <c r="E2721" s="91" t="s">
        <v>6325</v>
      </c>
      <c r="F2721" s="91" t="s">
        <v>288</v>
      </c>
      <c r="G2721" s="91" t="s">
        <v>615</v>
      </c>
      <c r="H2721" s="93" t="s">
        <v>4</v>
      </c>
      <c r="I2721" s="92" t="s">
        <v>3634</v>
      </c>
      <c r="J2721" s="92">
        <v>9492987444</v>
      </c>
      <c r="K2721" s="67"/>
      <c r="L2721" s="67"/>
      <c r="M2721" s="67"/>
      <c r="N2721" s="67"/>
      <c r="O2721" s="67"/>
    </row>
    <row r="2722" spans="1:15" ht="30">
      <c r="A2722" s="91" t="s">
        <v>7</v>
      </c>
      <c r="B2722" s="91" t="s">
        <v>706</v>
      </c>
      <c r="C2722" s="92" t="str">
        <f ca="1">IFERROR(__xludf.DUMMYFUNCTION("filter('Back End'!C:C,'Back End'!A:A=A2722,'Back End'!B:B=B2722,'Back End'!D:D=D2722)"),"Yerrayyapeta")</f>
        <v>Yerrayyapeta</v>
      </c>
      <c r="D2722" s="91" t="s">
        <v>746</v>
      </c>
      <c r="E2722" s="91" t="s">
        <v>6326</v>
      </c>
      <c r="F2722" s="91" t="s">
        <v>288</v>
      </c>
      <c r="G2722" s="91" t="s">
        <v>615</v>
      </c>
      <c r="H2722" s="93" t="s">
        <v>4</v>
      </c>
      <c r="I2722" s="92" t="s">
        <v>3107</v>
      </c>
      <c r="J2722" s="92">
        <v>9177443489</v>
      </c>
      <c r="K2722" s="67"/>
      <c r="L2722" s="67"/>
      <c r="M2722" s="67"/>
      <c r="N2722" s="67"/>
      <c r="O2722" s="67"/>
    </row>
    <row r="2723" spans="1:15" ht="30">
      <c r="A2723" s="91" t="s">
        <v>7</v>
      </c>
      <c r="B2723" s="91" t="s">
        <v>706</v>
      </c>
      <c r="C2723" s="92" t="str">
        <f ca="1">IFERROR(__xludf.DUMMYFUNCTION("filter('Back End'!C:C,'Back End'!A:A=A2723,'Back End'!B:B=B2723,'Back End'!D:D=D2723)"),"Yerrayyapeta")</f>
        <v>Yerrayyapeta</v>
      </c>
      <c r="D2723" s="91" t="s">
        <v>746</v>
      </c>
      <c r="E2723" s="91" t="s">
        <v>6327</v>
      </c>
      <c r="F2723" s="91" t="s">
        <v>288</v>
      </c>
      <c r="G2723" s="91" t="s">
        <v>615</v>
      </c>
      <c r="H2723" s="93" t="s">
        <v>4</v>
      </c>
      <c r="I2723" s="92" t="s">
        <v>3634</v>
      </c>
      <c r="J2723" s="92">
        <v>8919199943</v>
      </c>
      <c r="K2723" s="67"/>
      <c r="L2723" s="67"/>
      <c r="M2723" s="67"/>
      <c r="N2723" s="67"/>
      <c r="O2723" s="67"/>
    </row>
    <row r="2724" spans="1:15" ht="30">
      <c r="A2724" s="91" t="s">
        <v>7</v>
      </c>
      <c r="B2724" s="92" t="s">
        <v>7</v>
      </c>
      <c r="C2724" s="92" t="str">
        <f ca="1">IFERROR(__xludf.DUMMYFUNCTION("filter('Back End'!C:C,'Back End'!A:A=A2724,'Back End'!B:B=B2724,'Back End'!D:D=D2724)"),"Chamavaram")</f>
        <v>Chamavaram</v>
      </c>
      <c r="D2724" s="91" t="s">
        <v>751</v>
      </c>
      <c r="E2724" s="92" t="s">
        <v>6328</v>
      </c>
      <c r="F2724" s="91" t="s">
        <v>139</v>
      </c>
      <c r="G2724" s="91" t="s">
        <v>594</v>
      </c>
      <c r="H2724" s="93" t="s">
        <v>5</v>
      </c>
      <c r="I2724" s="92" t="s">
        <v>3115</v>
      </c>
      <c r="J2724" s="92">
        <v>9736663333</v>
      </c>
      <c r="K2724" s="67"/>
      <c r="L2724" s="67"/>
      <c r="M2724" s="67"/>
      <c r="N2724" s="67"/>
      <c r="O2724" s="67"/>
    </row>
    <row r="2725" spans="1:15" ht="30">
      <c r="A2725" s="91" t="s">
        <v>7</v>
      </c>
      <c r="B2725" s="92" t="s">
        <v>7</v>
      </c>
      <c r="C2725" s="92" t="str">
        <f ca="1">IFERROR(__xludf.DUMMYFUNCTION("filter('Back End'!C:C,'Back End'!A:A=A2725,'Back End'!B:B=B2725,'Back End'!D:D=D2725)"),"Chamavaram")</f>
        <v>Chamavaram</v>
      </c>
      <c r="D2725" s="91" t="s">
        <v>751</v>
      </c>
      <c r="E2725" s="92" t="s">
        <v>6329</v>
      </c>
      <c r="F2725" s="91" t="s">
        <v>139</v>
      </c>
      <c r="G2725" s="91" t="s">
        <v>594</v>
      </c>
      <c r="H2725" s="93" t="s">
        <v>5</v>
      </c>
      <c r="I2725" s="92" t="s">
        <v>6330</v>
      </c>
      <c r="J2725" s="92">
        <v>9951225687</v>
      </c>
      <c r="K2725" s="92" t="s">
        <v>1608</v>
      </c>
      <c r="L2725" s="67"/>
      <c r="M2725" s="67"/>
      <c r="N2725" s="67"/>
      <c r="O2725" s="67"/>
    </row>
    <row r="2726" spans="1:15" ht="60">
      <c r="A2726" s="91" t="s">
        <v>7</v>
      </c>
      <c r="B2726" s="92" t="s">
        <v>7</v>
      </c>
      <c r="C2726" s="92" t="str">
        <f ca="1">IFERROR(__xludf.DUMMYFUNCTION("filter('Back End'!C:C,'Back End'!A:A=A2726,'Back End'!B:B=B2726,'Back End'!D:D=D2726)"),"Chamavaram")</f>
        <v>Chamavaram</v>
      </c>
      <c r="D2726" s="91" t="s">
        <v>751</v>
      </c>
      <c r="E2726" s="92" t="s">
        <v>6331</v>
      </c>
      <c r="F2726" s="91" t="s">
        <v>139</v>
      </c>
      <c r="G2726" s="91" t="s">
        <v>594</v>
      </c>
      <c r="H2726" s="93" t="s">
        <v>5</v>
      </c>
      <c r="I2726" s="92" t="s">
        <v>6332</v>
      </c>
      <c r="J2726" s="92">
        <v>9989205813</v>
      </c>
      <c r="K2726" s="92" t="s">
        <v>1598</v>
      </c>
      <c r="L2726" s="92" t="s">
        <v>3694</v>
      </c>
      <c r="M2726" s="67"/>
      <c r="N2726" s="67"/>
      <c r="O2726" s="67"/>
    </row>
    <row r="2727" spans="1:15" ht="30">
      <c r="A2727" s="91" t="s">
        <v>7</v>
      </c>
      <c r="B2727" s="91" t="s">
        <v>7</v>
      </c>
      <c r="C2727" s="92" t="str">
        <f ca="1">IFERROR(__xludf.DUMMYFUNCTION("filter('Back End'!C:C,'Back End'!A:A=A2727,'Back End'!B:B=B2727,'Back End'!D:D=D2727)"),"Chamavaram")</f>
        <v>Chamavaram</v>
      </c>
      <c r="D2727" s="91" t="s">
        <v>751</v>
      </c>
      <c r="E2727" s="91" t="s">
        <v>6333</v>
      </c>
      <c r="F2727" s="91" t="s">
        <v>139</v>
      </c>
      <c r="G2727" s="91" t="s">
        <v>594</v>
      </c>
      <c r="H2727" s="93" t="s">
        <v>4</v>
      </c>
      <c r="I2727" s="92" t="s">
        <v>6334</v>
      </c>
      <c r="J2727" s="92">
        <v>9676734989</v>
      </c>
      <c r="K2727" s="67"/>
      <c r="L2727" s="67"/>
      <c r="M2727" s="67"/>
      <c r="N2727" s="67"/>
      <c r="O2727" s="67"/>
    </row>
    <row r="2728" spans="1:15" ht="15">
      <c r="A2728" s="91" t="s">
        <v>7</v>
      </c>
      <c r="B2728" s="91" t="s">
        <v>7</v>
      </c>
      <c r="C2728" s="92" t="str">
        <f ca="1">IFERROR(__xludf.DUMMYFUNCTION("filter('Back End'!C:C,'Back End'!A:A=A2728,'Back End'!B:B=B2728,'Back End'!D:D=D2728)"),"Chamavaram")</f>
        <v>Chamavaram</v>
      </c>
      <c r="D2728" s="91" t="s">
        <v>751</v>
      </c>
      <c r="E2728" s="91" t="s">
        <v>6335</v>
      </c>
      <c r="F2728" s="91" t="s">
        <v>139</v>
      </c>
      <c r="G2728" s="91" t="s">
        <v>594</v>
      </c>
      <c r="H2728" s="93" t="s">
        <v>4</v>
      </c>
      <c r="I2728" s="92" t="s">
        <v>3112</v>
      </c>
      <c r="J2728" s="92">
        <v>9949707966</v>
      </c>
      <c r="K2728" s="67"/>
      <c r="L2728" s="67"/>
      <c r="M2728" s="67"/>
      <c r="N2728" s="67"/>
      <c r="O2728" s="67"/>
    </row>
    <row r="2729" spans="1:15" ht="15">
      <c r="A2729" s="91" t="s">
        <v>7</v>
      </c>
      <c r="B2729" s="91" t="s">
        <v>7</v>
      </c>
      <c r="C2729" s="92" t="str">
        <f ca="1">IFERROR(__xludf.DUMMYFUNCTION("filter('Back End'!C:C,'Back End'!A:A=A2729,'Back End'!B:B=B2729,'Back End'!D:D=D2729)"),"Chamavaram")</f>
        <v>Chamavaram</v>
      </c>
      <c r="D2729" s="91" t="s">
        <v>751</v>
      </c>
      <c r="E2729" s="91" t="s">
        <v>6336</v>
      </c>
      <c r="F2729" s="91" t="s">
        <v>139</v>
      </c>
      <c r="G2729" s="91" t="s">
        <v>594</v>
      </c>
      <c r="H2729" s="93" t="s">
        <v>4</v>
      </c>
      <c r="I2729" s="92" t="s">
        <v>3767</v>
      </c>
      <c r="J2729" s="92">
        <v>8341040954</v>
      </c>
      <c r="K2729" s="67"/>
      <c r="L2729" s="67"/>
      <c r="M2729" s="67"/>
      <c r="N2729" s="67"/>
      <c r="O2729" s="67"/>
    </row>
    <row r="2730" spans="1:15" ht="30">
      <c r="A2730" s="91" t="s">
        <v>7</v>
      </c>
      <c r="B2730" s="92" t="s">
        <v>7</v>
      </c>
      <c r="C2730" s="92" t="str">
        <f ca="1">IFERROR(__xludf.DUMMYFUNCTION("filter('Back End'!C:C,'Back End'!A:A=A2730,'Back End'!B:B=B2730,'Back End'!D:D=D2730)"),"Chamavaram")</f>
        <v>Chamavaram</v>
      </c>
      <c r="D2730" s="91" t="s">
        <v>751</v>
      </c>
      <c r="E2730" s="92" t="s">
        <v>6337</v>
      </c>
      <c r="F2730" s="91" t="s">
        <v>139</v>
      </c>
      <c r="G2730" s="91" t="s">
        <v>594</v>
      </c>
      <c r="H2730" s="93" t="s">
        <v>6</v>
      </c>
      <c r="I2730" s="92" t="s">
        <v>6338</v>
      </c>
      <c r="J2730" s="92">
        <v>9346734938</v>
      </c>
      <c r="K2730" s="92" t="s">
        <v>1603</v>
      </c>
      <c r="L2730" s="67"/>
      <c r="M2730" s="67"/>
      <c r="N2730" s="67"/>
      <c r="O2730" s="67"/>
    </row>
    <row r="2731" spans="1:15" ht="30">
      <c r="A2731" s="91" t="s">
        <v>7</v>
      </c>
      <c r="B2731" s="91" t="s">
        <v>7</v>
      </c>
      <c r="C2731" s="92" t="str">
        <f ca="1">IFERROR(__xludf.DUMMYFUNCTION("filter('Back End'!C:C,'Back End'!A:A=A2731,'Back End'!B:B=B2731,'Back End'!D:D=D2731)"),"Dondavaka")</f>
        <v>Dondavaka</v>
      </c>
      <c r="D2731" s="91" t="s">
        <v>757</v>
      </c>
      <c r="E2731" s="92" t="s">
        <v>6339</v>
      </c>
      <c r="F2731" s="91" t="s">
        <v>139</v>
      </c>
      <c r="G2731" s="91" t="s">
        <v>594</v>
      </c>
      <c r="H2731" s="93" t="s">
        <v>5</v>
      </c>
      <c r="I2731" s="92" t="s">
        <v>3115</v>
      </c>
      <c r="J2731" s="92">
        <v>9618291278</v>
      </c>
      <c r="K2731" s="92" t="s">
        <v>1613</v>
      </c>
      <c r="L2731" s="67"/>
      <c r="M2731" s="67"/>
      <c r="N2731" s="67"/>
      <c r="O2731" s="67"/>
    </row>
    <row r="2732" spans="1:15" ht="30">
      <c r="A2732" s="91" t="s">
        <v>7</v>
      </c>
      <c r="B2732" s="91" t="s">
        <v>7</v>
      </c>
      <c r="C2732" s="92" t="str">
        <f ca="1">IFERROR(__xludf.DUMMYFUNCTION("filter('Back End'!C:C,'Back End'!A:A=A2732,'Back End'!B:B=B2732,'Back End'!D:D=D2732)"),"Dondavaka")</f>
        <v>Dondavaka</v>
      </c>
      <c r="D2732" s="91" t="s">
        <v>757</v>
      </c>
      <c r="E2732" s="92" t="s">
        <v>6340</v>
      </c>
      <c r="F2732" s="91" t="s">
        <v>139</v>
      </c>
      <c r="G2732" s="91" t="s">
        <v>594</v>
      </c>
      <c r="H2732" s="93" t="s">
        <v>5</v>
      </c>
      <c r="I2732" s="92" t="s">
        <v>3508</v>
      </c>
      <c r="J2732" s="92" t="s">
        <v>2631</v>
      </c>
      <c r="K2732" s="92" t="s">
        <v>1603</v>
      </c>
      <c r="L2732" s="67"/>
      <c r="M2732" s="67"/>
      <c r="N2732" s="67"/>
      <c r="O2732" s="67"/>
    </row>
    <row r="2733" spans="1:15" ht="60">
      <c r="A2733" s="91" t="s">
        <v>7</v>
      </c>
      <c r="B2733" s="91" t="s">
        <v>7</v>
      </c>
      <c r="C2733" s="92" t="str">
        <f ca="1">IFERROR(__xludf.DUMMYFUNCTION("filter('Back End'!C:C,'Back End'!A:A=A2733,'Back End'!B:B=B2733,'Back End'!D:D=D2733)"),"Dondavaka")</f>
        <v>Dondavaka</v>
      </c>
      <c r="D2733" s="91" t="s">
        <v>757</v>
      </c>
      <c r="E2733" s="92" t="s">
        <v>6341</v>
      </c>
      <c r="F2733" s="91" t="s">
        <v>139</v>
      </c>
      <c r="G2733" s="91" t="s">
        <v>594</v>
      </c>
      <c r="H2733" s="93" t="s">
        <v>5</v>
      </c>
      <c r="I2733" s="92" t="s">
        <v>3185</v>
      </c>
      <c r="J2733" s="92" t="s">
        <v>2631</v>
      </c>
      <c r="K2733" s="92" t="s">
        <v>1603</v>
      </c>
      <c r="L2733" s="67"/>
      <c r="M2733" s="67"/>
      <c r="N2733" s="67"/>
      <c r="O2733" s="67"/>
    </row>
    <row r="2734" spans="1:15" ht="30">
      <c r="A2734" s="91" t="s">
        <v>7</v>
      </c>
      <c r="B2734" s="91" t="s">
        <v>7</v>
      </c>
      <c r="C2734" s="92" t="str">
        <f ca="1">IFERROR(__xludf.DUMMYFUNCTION("filter('Back End'!C:C,'Back End'!A:A=A2734,'Back End'!B:B=B2734,'Back End'!D:D=D2734)"),"Dondavaka")</f>
        <v>Dondavaka</v>
      </c>
      <c r="D2734" s="91" t="s">
        <v>757</v>
      </c>
      <c r="E2734" s="91" t="s">
        <v>6342</v>
      </c>
      <c r="F2734" s="91" t="s">
        <v>139</v>
      </c>
      <c r="G2734" s="91" t="s">
        <v>594</v>
      </c>
      <c r="H2734" s="93" t="s">
        <v>5</v>
      </c>
      <c r="I2734" s="92" t="s">
        <v>3130</v>
      </c>
      <c r="J2734" s="92">
        <v>9676554369</v>
      </c>
      <c r="K2734" s="67"/>
      <c r="L2734" s="67"/>
      <c r="M2734" s="67"/>
      <c r="N2734" s="67"/>
      <c r="O2734" s="67"/>
    </row>
    <row r="2735" spans="1:15" ht="15">
      <c r="A2735" s="91" t="s">
        <v>7</v>
      </c>
      <c r="B2735" s="91" t="s">
        <v>7</v>
      </c>
      <c r="C2735" s="92" t="str">
        <f ca="1">IFERROR(__xludf.DUMMYFUNCTION("filter('Back End'!C:C,'Back End'!A:A=A2735,'Back End'!B:B=B2735,'Back End'!D:D=D2735)"),"Dondavaka")</f>
        <v>Dondavaka</v>
      </c>
      <c r="D2735" s="91" t="s">
        <v>757</v>
      </c>
      <c r="E2735" s="91" t="s">
        <v>6343</v>
      </c>
      <c r="F2735" s="91" t="s">
        <v>139</v>
      </c>
      <c r="G2735" s="91" t="s">
        <v>594</v>
      </c>
      <c r="H2735" s="93" t="s">
        <v>5</v>
      </c>
      <c r="I2735" s="92" t="s">
        <v>3125</v>
      </c>
      <c r="J2735" s="92">
        <v>9618291278</v>
      </c>
      <c r="K2735" s="67"/>
      <c r="L2735" s="67"/>
      <c r="M2735" s="67"/>
      <c r="N2735" s="67"/>
      <c r="O2735" s="67"/>
    </row>
    <row r="2736" spans="1:15" ht="30">
      <c r="A2736" s="110" t="s">
        <v>7</v>
      </c>
      <c r="B2736" s="110" t="s">
        <v>7</v>
      </c>
      <c r="C2736" s="92" t="str">
        <f ca="1">IFERROR(__xludf.DUMMYFUNCTION("filter('Back End'!C:C,'Back End'!A:A=A2736,'Back End'!B:B=B2736,'Back End'!D:D=D2736)"),"Dondavaka")</f>
        <v>Dondavaka</v>
      </c>
      <c r="D2736" s="91" t="s">
        <v>757</v>
      </c>
      <c r="E2736" s="110" t="s">
        <v>6344</v>
      </c>
      <c r="F2736" s="91" t="s">
        <v>139</v>
      </c>
      <c r="G2736" s="91" t="s">
        <v>594</v>
      </c>
      <c r="H2736" s="93" t="s">
        <v>4</v>
      </c>
      <c r="I2736" s="92" t="s">
        <v>3634</v>
      </c>
      <c r="J2736" s="109">
        <v>9492389523</v>
      </c>
      <c r="K2736" s="75"/>
      <c r="L2736" s="75"/>
      <c r="M2736" s="75"/>
      <c r="N2736" s="67"/>
      <c r="O2736" s="67"/>
    </row>
    <row r="2737" spans="1:15" ht="75">
      <c r="A2737" s="91" t="s">
        <v>7</v>
      </c>
      <c r="B2737" s="91" t="s">
        <v>7</v>
      </c>
      <c r="C2737" s="92" t="str">
        <f ca="1">IFERROR(__xludf.DUMMYFUNCTION("filter('Back End'!C:C,'Back End'!A:A=A2737,'Back End'!B:B=B2737,'Back End'!D:D=D2737)"),"Dondavaka")</f>
        <v>Dondavaka</v>
      </c>
      <c r="D2737" s="91" t="s">
        <v>757</v>
      </c>
      <c r="E2737" s="92" t="s">
        <v>6345</v>
      </c>
      <c r="F2737" s="91" t="s">
        <v>139</v>
      </c>
      <c r="G2737" s="91" t="s">
        <v>594</v>
      </c>
      <c r="H2737" s="93" t="s">
        <v>4</v>
      </c>
      <c r="I2737" s="92" t="s">
        <v>6346</v>
      </c>
      <c r="J2737" s="92">
        <v>7989892696</v>
      </c>
      <c r="K2737" s="67"/>
      <c r="L2737" s="67"/>
      <c r="M2737" s="67"/>
      <c r="N2737" s="67"/>
      <c r="O2737" s="67"/>
    </row>
    <row r="2738" spans="1:15" ht="45">
      <c r="A2738" s="91" t="s">
        <v>7</v>
      </c>
      <c r="B2738" s="91" t="s">
        <v>7</v>
      </c>
      <c r="C2738" s="92" t="str">
        <f ca="1">IFERROR(__xludf.DUMMYFUNCTION("filter('Back End'!C:C,'Back End'!A:A=A2738,'Back End'!B:B=B2738,'Back End'!D:D=D2738)"),"Dondavaka")</f>
        <v>Dondavaka</v>
      </c>
      <c r="D2738" s="91" t="s">
        <v>757</v>
      </c>
      <c r="E2738" s="91" t="s">
        <v>6347</v>
      </c>
      <c r="F2738" s="91" t="s">
        <v>139</v>
      </c>
      <c r="G2738" s="91" t="s">
        <v>594</v>
      </c>
      <c r="H2738" s="93" t="s">
        <v>4</v>
      </c>
      <c r="I2738" s="92" t="s">
        <v>6348</v>
      </c>
      <c r="J2738" s="92">
        <v>7981199288</v>
      </c>
      <c r="K2738" s="67"/>
      <c r="L2738" s="67"/>
      <c r="M2738" s="67"/>
      <c r="N2738" s="67"/>
      <c r="O2738" s="67"/>
    </row>
    <row r="2739" spans="1:15" ht="15">
      <c r="A2739" s="91" t="s">
        <v>7</v>
      </c>
      <c r="B2739" s="91" t="s">
        <v>7</v>
      </c>
      <c r="C2739" s="92" t="str">
        <f ca="1">IFERROR(__xludf.DUMMYFUNCTION("filter('Back End'!C:C,'Back End'!A:A=A2739,'Back End'!B:B=B2739,'Back End'!D:D=D2739)"),"Dondavaka")</f>
        <v>Dondavaka</v>
      </c>
      <c r="D2739" s="91" t="s">
        <v>757</v>
      </c>
      <c r="E2739" s="92" t="s">
        <v>3447</v>
      </c>
      <c r="F2739" s="91" t="s">
        <v>139</v>
      </c>
      <c r="G2739" s="91" t="s">
        <v>594</v>
      </c>
      <c r="H2739" s="93" t="s">
        <v>4</v>
      </c>
      <c r="I2739" s="92" t="s">
        <v>3140</v>
      </c>
      <c r="J2739" s="92">
        <v>9248191555</v>
      </c>
      <c r="K2739" s="67"/>
      <c r="L2739" s="67"/>
      <c r="M2739" s="67"/>
      <c r="N2739" s="67"/>
      <c r="O2739" s="67"/>
    </row>
    <row r="2740" spans="1:15" ht="15">
      <c r="A2740" s="91" t="s">
        <v>7</v>
      </c>
      <c r="B2740" s="91" t="s">
        <v>7</v>
      </c>
      <c r="C2740" s="92" t="str">
        <f ca="1">IFERROR(__xludf.DUMMYFUNCTION("filter('Back End'!C:C,'Back End'!A:A=A2740,'Back End'!B:B=B2740,'Back End'!D:D=D2740)"),"Dondavaka")</f>
        <v>Dondavaka</v>
      </c>
      <c r="D2740" s="91" t="s">
        <v>757</v>
      </c>
      <c r="E2740" s="91" t="s">
        <v>6349</v>
      </c>
      <c r="F2740" s="91" t="s">
        <v>1668</v>
      </c>
      <c r="G2740" s="91" t="s">
        <v>615</v>
      </c>
      <c r="H2740" s="93" t="s">
        <v>4</v>
      </c>
      <c r="I2740" s="92" t="s">
        <v>3185</v>
      </c>
      <c r="J2740" s="92">
        <v>9010263880</v>
      </c>
      <c r="K2740" s="67"/>
      <c r="L2740" s="67"/>
      <c r="M2740" s="67"/>
      <c r="N2740" s="67"/>
      <c r="O2740" s="67"/>
    </row>
    <row r="2741" spans="1:15" ht="30">
      <c r="A2741" s="91" t="s">
        <v>7</v>
      </c>
      <c r="B2741" s="91" t="s">
        <v>7</v>
      </c>
      <c r="C2741" s="92" t="str">
        <f ca="1">IFERROR(__xludf.DUMMYFUNCTION("filter('Back End'!C:C,'Back End'!A:A=A2741,'Back End'!B:B=B2741,'Back End'!D:D=D2741)"),"Dondavaka")</f>
        <v>Dondavaka</v>
      </c>
      <c r="D2741" s="91" t="s">
        <v>757</v>
      </c>
      <c r="E2741" s="91" t="s">
        <v>6350</v>
      </c>
      <c r="F2741" s="91" t="s">
        <v>139</v>
      </c>
      <c r="G2741" s="91" t="s">
        <v>594</v>
      </c>
      <c r="H2741" s="93" t="s">
        <v>4</v>
      </c>
      <c r="I2741" s="92" t="s">
        <v>3212</v>
      </c>
      <c r="J2741" s="92">
        <v>8074683830</v>
      </c>
      <c r="K2741" s="67"/>
      <c r="L2741" s="67"/>
      <c r="M2741" s="67"/>
      <c r="N2741" s="67"/>
      <c r="O2741" s="67"/>
    </row>
    <row r="2742" spans="1:15" ht="30">
      <c r="A2742" s="91" t="s">
        <v>7</v>
      </c>
      <c r="B2742" s="91" t="s">
        <v>7</v>
      </c>
      <c r="C2742" s="92" t="str">
        <f ca="1">IFERROR(__xludf.DUMMYFUNCTION("filter('Back End'!C:C,'Back End'!A:A=A2742,'Back End'!B:B=B2742,'Back End'!D:D=D2742)"),"Dondavaka")</f>
        <v>Dondavaka</v>
      </c>
      <c r="D2742" s="91" t="s">
        <v>757</v>
      </c>
      <c r="E2742" s="91" t="s">
        <v>6351</v>
      </c>
      <c r="F2742" s="91" t="s">
        <v>114</v>
      </c>
      <c r="G2742" s="91" t="s">
        <v>85</v>
      </c>
      <c r="H2742" s="93" t="s">
        <v>4</v>
      </c>
      <c r="I2742" s="92" t="s">
        <v>3212</v>
      </c>
      <c r="J2742" s="92">
        <v>6302096614</v>
      </c>
      <c r="K2742" s="67"/>
      <c r="L2742" s="67"/>
      <c r="M2742" s="67"/>
      <c r="N2742" s="67"/>
      <c r="O2742" s="67"/>
    </row>
    <row r="2743" spans="1:15" ht="30">
      <c r="A2743" s="91" t="s">
        <v>7</v>
      </c>
      <c r="B2743" s="91" t="s">
        <v>7</v>
      </c>
      <c r="C2743" s="92" t="str">
        <f ca="1">IFERROR(__xludf.DUMMYFUNCTION("filter('Back End'!C:C,'Back End'!A:A=A2743,'Back End'!B:B=B2743,'Back End'!D:D=D2743)"),"Dondavaka")</f>
        <v>Dondavaka</v>
      </c>
      <c r="D2743" s="91" t="s">
        <v>757</v>
      </c>
      <c r="E2743" s="91" t="s">
        <v>6352</v>
      </c>
      <c r="F2743" s="91" t="s">
        <v>139</v>
      </c>
      <c r="G2743" s="91" t="s">
        <v>594</v>
      </c>
      <c r="H2743" s="93" t="s">
        <v>4</v>
      </c>
      <c r="I2743" s="92" t="s">
        <v>3212</v>
      </c>
      <c r="J2743" s="92">
        <v>9704344730</v>
      </c>
      <c r="K2743" s="67"/>
      <c r="L2743" s="67"/>
      <c r="M2743" s="67"/>
      <c r="N2743" s="67"/>
      <c r="O2743" s="67"/>
    </row>
    <row r="2744" spans="1:15" ht="15">
      <c r="A2744" s="91" t="s">
        <v>7</v>
      </c>
      <c r="B2744" s="109" t="s">
        <v>7</v>
      </c>
      <c r="C2744" s="92" t="str">
        <f ca="1">IFERROR(__xludf.DUMMYFUNCTION("filter('Back End'!C:C,'Back End'!A:A=A2744,'Back End'!B:B=B2744,'Back End'!D:D=D2744)"),"Venkatanagaram")</f>
        <v>Venkatanagaram</v>
      </c>
      <c r="D2744" s="91" t="s">
        <v>579</v>
      </c>
      <c r="E2744" s="91" t="s">
        <v>6353</v>
      </c>
      <c r="F2744" s="91" t="s">
        <v>165</v>
      </c>
      <c r="G2744" s="91" t="s">
        <v>615</v>
      </c>
      <c r="H2744" s="93" t="s">
        <v>4</v>
      </c>
      <c r="I2744" s="92" t="s">
        <v>3767</v>
      </c>
      <c r="J2744" s="92">
        <v>9951714358</v>
      </c>
      <c r="K2744" s="67"/>
      <c r="L2744" s="67"/>
      <c r="M2744" s="67"/>
      <c r="N2744" s="67"/>
      <c r="O2744" s="67"/>
    </row>
    <row r="2745" spans="1:15" ht="30">
      <c r="A2745" s="91" t="s">
        <v>7</v>
      </c>
      <c r="B2745" s="109" t="s">
        <v>7</v>
      </c>
      <c r="C2745" s="92" t="str">
        <f ca="1">IFERROR(__xludf.DUMMYFUNCTION("filter('Back End'!C:C,'Back End'!A:A=A2745,'Back End'!B:B=B2745,'Back End'!D:D=D2745)"),"Venkatanagaram")</f>
        <v>Venkatanagaram</v>
      </c>
      <c r="D2745" s="91" t="s">
        <v>579</v>
      </c>
      <c r="E2745" s="91" t="s">
        <v>6354</v>
      </c>
      <c r="F2745" s="91" t="s">
        <v>165</v>
      </c>
      <c r="G2745" s="91" t="s">
        <v>615</v>
      </c>
      <c r="H2745" s="93" t="s">
        <v>4</v>
      </c>
      <c r="I2745" s="92" t="s">
        <v>3162</v>
      </c>
      <c r="J2745" s="92">
        <v>9573832799</v>
      </c>
      <c r="K2745" s="67"/>
      <c r="L2745" s="67"/>
      <c r="M2745" s="67"/>
      <c r="N2745" s="67"/>
      <c r="O2745" s="67"/>
    </row>
    <row r="2746" spans="1:15" ht="60">
      <c r="A2746" s="91" t="s">
        <v>7</v>
      </c>
      <c r="B2746" s="109" t="s">
        <v>7</v>
      </c>
      <c r="C2746" s="92" t="str">
        <f ca="1">IFERROR(__xludf.DUMMYFUNCTION("filter('Back End'!C:C,'Back End'!A:A=A2746,'Back End'!B:B=B2746,'Back End'!D:D=D2746)"),"Rapaka")</f>
        <v>Rapaka</v>
      </c>
      <c r="D2746" s="91" t="s">
        <v>774</v>
      </c>
      <c r="E2746" s="92" t="s">
        <v>6355</v>
      </c>
      <c r="F2746" s="91" t="s">
        <v>139</v>
      </c>
      <c r="G2746" s="91" t="s">
        <v>594</v>
      </c>
      <c r="H2746" s="93" t="s">
        <v>5</v>
      </c>
      <c r="I2746" s="92" t="s">
        <v>3115</v>
      </c>
      <c r="J2746" s="92">
        <v>6300153663</v>
      </c>
      <c r="K2746" s="92" t="s">
        <v>1593</v>
      </c>
      <c r="L2746" s="67"/>
      <c r="M2746" s="67"/>
      <c r="N2746" s="67"/>
      <c r="O2746" s="67"/>
    </row>
    <row r="2747" spans="1:15" ht="30">
      <c r="A2747" s="91" t="s">
        <v>7</v>
      </c>
      <c r="B2747" s="109" t="s">
        <v>7</v>
      </c>
      <c r="C2747" s="92" t="str">
        <f ca="1">IFERROR(__xludf.DUMMYFUNCTION("filter('Back End'!C:C,'Back End'!A:A=A2747,'Back End'!B:B=B2747,'Back End'!D:D=D2747)"),"Rapaka")</f>
        <v>Rapaka</v>
      </c>
      <c r="D2747" s="91" t="s">
        <v>774</v>
      </c>
      <c r="E2747" s="92" t="s">
        <v>6356</v>
      </c>
      <c r="F2747" s="91" t="s">
        <v>114</v>
      </c>
      <c r="G2747" s="91" t="s">
        <v>85</v>
      </c>
      <c r="H2747" s="93" t="s">
        <v>5</v>
      </c>
      <c r="I2747" s="92" t="s">
        <v>3508</v>
      </c>
      <c r="J2747" s="92">
        <v>7989885323</v>
      </c>
      <c r="K2747" s="92" t="s">
        <v>1598</v>
      </c>
      <c r="L2747" s="67"/>
      <c r="M2747" s="67"/>
      <c r="N2747" s="67"/>
      <c r="O2747" s="67"/>
    </row>
    <row r="2748" spans="1:15" ht="60">
      <c r="A2748" s="91" t="s">
        <v>7</v>
      </c>
      <c r="B2748" s="109" t="s">
        <v>7</v>
      </c>
      <c r="C2748" s="92" t="str">
        <f ca="1">IFERROR(__xludf.DUMMYFUNCTION("filter('Back End'!C:C,'Back End'!A:A=A2748,'Back End'!B:B=B2748,'Back End'!D:D=D2748)"),"Rapaka")</f>
        <v>Rapaka</v>
      </c>
      <c r="D2748" s="91" t="s">
        <v>774</v>
      </c>
      <c r="E2748" s="92" t="s">
        <v>6357</v>
      </c>
      <c r="F2748" s="91" t="s">
        <v>139</v>
      </c>
      <c r="G2748" s="91" t="s">
        <v>594</v>
      </c>
      <c r="H2748" s="93" t="s">
        <v>5</v>
      </c>
      <c r="I2748" s="92" t="s">
        <v>3185</v>
      </c>
      <c r="J2748" s="92">
        <v>9704717177</v>
      </c>
      <c r="K2748" s="92" t="s">
        <v>1593</v>
      </c>
      <c r="L2748" s="67"/>
      <c r="M2748" s="67"/>
      <c r="N2748" s="67"/>
      <c r="O2748" s="67"/>
    </row>
    <row r="2749" spans="1:15" ht="15">
      <c r="A2749" s="118" t="s">
        <v>7</v>
      </c>
      <c r="B2749" s="118" t="s">
        <v>7</v>
      </c>
      <c r="C2749" s="92" t="str">
        <f ca="1">IFERROR(__xludf.DUMMYFUNCTION("filter('Back End'!C:C,'Back End'!A:A=A2749,'Back End'!B:B=B2749,'Back End'!D:D=D2749)"),"Rapaka")</f>
        <v>Rapaka</v>
      </c>
      <c r="D2749" s="91" t="s">
        <v>774</v>
      </c>
      <c r="E2749" s="118" t="s">
        <v>6358</v>
      </c>
      <c r="F2749" s="91" t="s">
        <v>139</v>
      </c>
      <c r="G2749" s="91" t="s">
        <v>594</v>
      </c>
      <c r="H2749" s="93" t="s">
        <v>5</v>
      </c>
      <c r="I2749" s="67"/>
      <c r="J2749" s="119">
        <v>9573249395</v>
      </c>
      <c r="K2749" s="121"/>
      <c r="L2749" s="121"/>
      <c r="M2749" s="67"/>
      <c r="N2749" s="67"/>
      <c r="O2749" s="67"/>
    </row>
    <row r="2750" spans="1:15" ht="45">
      <c r="A2750" s="91" t="s">
        <v>7</v>
      </c>
      <c r="B2750" s="91" t="s">
        <v>7</v>
      </c>
      <c r="C2750" s="92" t="str">
        <f ca="1">IFERROR(__xludf.DUMMYFUNCTION("filter('Back End'!C:C,'Back End'!A:A=A2750,'Back End'!B:B=B2750,'Back End'!D:D=D2750)"),"Rapaka")</f>
        <v>Rapaka</v>
      </c>
      <c r="D2750" s="91" t="s">
        <v>774</v>
      </c>
      <c r="E2750" s="91" t="s">
        <v>6359</v>
      </c>
      <c r="F2750" s="91" t="s">
        <v>139</v>
      </c>
      <c r="G2750" s="91" t="s">
        <v>594</v>
      </c>
      <c r="H2750" s="93" t="s">
        <v>5</v>
      </c>
      <c r="I2750" s="92" t="s">
        <v>6360</v>
      </c>
      <c r="J2750" s="92">
        <v>8555070468</v>
      </c>
      <c r="K2750" s="67"/>
      <c r="L2750" s="67"/>
      <c r="M2750" s="67"/>
      <c r="N2750" s="67"/>
      <c r="O2750" s="67"/>
    </row>
    <row r="2751" spans="1:15" ht="60">
      <c r="A2751" s="91" t="s">
        <v>7</v>
      </c>
      <c r="B2751" s="92" t="s">
        <v>7</v>
      </c>
      <c r="C2751" s="92" t="str">
        <f ca="1">IFERROR(__xludf.DUMMYFUNCTION("filter('Back End'!C:C,'Back End'!A:A=A2751,'Back End'!B:B=B2751,'Back End'!D:D=D2751)"),"Rapaka")</f>
        <v>Rapaka</v>
      </c>
      <c r="D2751" s="91" t="s">
        <v>774</v>
      </c>
      <c r="E2751" s="92" t="s">
        <v>6361</v>
      </c>
      <c r="F2751" s="91" t="s">
        <v>165</v>
      </c>
      <c r="G2751" s="91" t="s">
        <v>615</v>
      </c>
      <c r="H2751" s="93" t="s">
        <v>4</v>
      </c>
      <c r="I2751" s="92" t="s">
        <v>6362</v>
      </c>
      <c r="J2751" s="92">
        <v>9963749907</v>
      </c>
      <c r="K2751" s="92" t="s">
        <v>1613</v>
      </c>
      <c r="L2751" s="67"/>
      <c r="M2751" s="67"/>
      <c r="N2751" s="67"/>
      <c r="O2751" s="67"/>
    </row>
    <row r="2752" spans="1:15" ht="90">
      <c r="A2752" s="91" t="s">
        <v>7</v>
      </c>
      <c r="B2752" s="92" t="s">
        <v>7</v>
      </c>
      <c r="C2752" s="92" t="str">
        <f ca="1">IFERROR(__xludf.DUMMYFUNCTION("filter('Back End'!C:C,'Back End'!A:A=A2752,'Back End'!B:B=B2752,'Back End'!D:D=D2752)"),"Rapaka")</f>
        <v>Rapaka</v>
      </c>
      <c r="D2752" s="91" t="s">
        <v>774</v>
      </c>
      <c r="E2752" s="92" t="s">
        <v>6363</v>
      </c>
      <c r="F2752" s="91" t="s">
        <v>139</v>
      </c>
      <c r="G2752" s="91" t="s">
        <v>594</v>
      </c>
      <c r="H2752" s="93" t="s">
        <v>4</v>
      </c>
      <c r="I2752" s="92" t="s">
        <v>6364</v>
      </c>
      <c r="J2752" s="92">
        <v>9908835533</v>
      </c>
      <c r="K2752" s="92" t="s">
        <v>1608</v>
      </c>
      <c r="L2752" s="67"/>
      <c r="M2752" s="67"/>
      <c r="N2752" s="67"/>
      <c r="O2752" s="67"/>
    </row>
    <row r="2753" spans="1:15" ht="30">
      <c r="A2753" s="91" t="s">
        <v>7</v>
      </c>
      <c r="B2753" s="92" t="s">
        <v>7</v>
      </c>
      <c r="C2753" s="92" t="str">
        <f ca="1">IFERROR(__xludf.DUMMYFUNCTION("filter('Back End'!C:C,'Back End'!A:A=A2753,'Back End'!B:B=B2753,'Back End'!D:D=D2753)"),"Rapaka")</f>
        <v>Rapaka</v>
      </c>
      <c r="D2753" s="91" t="s">
        <v>774</v>
      </c>
      <c r="E2753" s="92" t="s">
        <v>6365</v>
      </c>
      <c r="F2753" s="91" t="s">
        <v>139</v>
      </c>
      <c r="G2753" s="91" t="s">
        <v>594</v>
      </c>
      <c r="H2753" s="93" t="s">
        <v>4</v>
      </c>
      <c r="I2753" s="92" t="s">
        <v>6366</v>
      </c>
      <c r="J2753" s="92">
        <v>8790959773</v>
      </c>
      <c r="K2753" s="92" t="s">
        <v>1603</v>
      </c>
      <c r="L2753" s="67"/>
      <c r="M2753" s="67"/>
      <c r="N2753" s="67"/>
      <c r="O2753" s="67"/>
    </row>
    <row r="2754" spans="1:15" ht="15">
      <c r="A2754" s="91" t="s">
        <v>7</v>
      </c>
      <c r="B2754" s="91" t="s">
        <v>7</v>
      </c>
      <c r="C2754" s="92" t="str">
        <f ca="1">IFERROR(__xludf.DUMMYFUNCTION("filter('Back End'!C:C,'Back End'!A:A=A2754,'Back End'!B:B=B2754,'Back End'!D:D=D2754)"),"Rapaka")</f>
        <v>Rapaka</v>
      </c>
      <c r="D2754" s="91" t="s">
        <v>774</v>
      </c>
      <c r="E2754" s="91" t="s">
        <v>6367</v>
      </c>
      <c r="F2754" s="91" t="s">
        <v>139</v>
      </c>
      <c r="G2754" s="91" t="s">
        <v>594</v>
      </c>
      <c r="H2754" s="93" t="s">
        <v>4</v>
      </c>
      <c r="I2754" s="92" t="s">
        <v>3767</v>
      </c>
      <c r="J2754" s="92">
        <v>9550726202</v>
      </c>
      <c r="K2754" s="67"/>
      <c r="L2754" s="67"/>
      <c r="M2754" s="67"/>
      <c r="N2754" s="67"/>
      <c r="O2754" s="67"/>
    </row>
    <row r="2755" spans="1:15" ht="30">
      <c r="A2755" s="91" t="s">
        <v>7</v>
      </c>
      <c r="B2755" s="91" t="s">
        <v>7</v>
      </c>
      <c r="C2755" s="92" t="str">
        <f ca="1">IFERROR(__xludf.DUMMYFUNCTION("filter('Back End'!C:C,'Back End'!A:A=A2755,'Back End'!B:B=B2755,'Back End'!D:D=D2755)"),"Rapaka")</f>
        <v>Rapaka</v>
      </c>
      <c r="D2755" s="91" t="s">
        <v>774</v>
      </c>
      <c r="E2755" s="91" t="s">
        <v>6368</v>
      </c>
      <c r="F2755" s="91" t="s">
        <v>139</v>
      </c>
      <c r="G2755" s="91" t="s">
        <v>594</v>
      </c>
      <c r="H2755" s="93" t="s">
        <v>4</v>
      </c>
      <c r="I2755" s="92" t="s">
        <v>4687</v>
      </c>
      <c r="J2755" s="92">
        <v>8790959773</v>
      </c>
      <c r="K2755" s="67"/>
      <c r="L2755" s="67"/>
      <c r="M2755" s="67"/>
      <c r="N2755" s="67"/>
      <c r="O2755" s="67"/>
    </row>
    <row r="2756" spans="1:15" ht="45">
      <c r="A2756" s="91" t="s">
        <v>7</v>
      </c>
      <c r="B2756" s="91" t="s">
        <v>7</v>
      </c>
      <c r="C2756" s="92" t="str">
        <f ca="1">IFERROR(__xludf.DUMMYFUNCTION("filter('Back End'!C:C,'Back End'!A:A=A2756,'Back End'!B:B=B2756,'Back End'!D:D=D2756)"),"Rapaka")</f>
        <v>Rapaka</v>
      </c>
      <c r="D2756" s="91" t="s">
        <v>774</v>
      </c>
      <c r="E2756" s="91" t="s">
        <v>6369</v>
      </c>
      <c r="F2756" s="91" t="s">
        <v>165</v>
      </c>
      <c r="G2756" s="91" t="s">
        <v>615</v>
      </c>
      <c r="H2756" s="93" t="s">
        <v>4</v>
      </c>
      <c r="I2756" s="92" t="s">
        <v>6370</v>
      </c>
      <c r="J2756" s="92">
        <v>9963749907</v>
      </c>
      <c r="K2756" s="67"/>
      <c r="L2756" s="67"/>
      <c r="M2756" s="67"/>
      <c r="N2756" s="67"/>
      <c r="O2756" s="67"/>
    </row>
    <row r="2757" spans="1:15" ht="30">
      <c r="A2757" s="91" t="s">
        <v>7</v>
      </c>
      <c r="B2757" s="91" t="s">
        <v>7</v>
      </c>
      <c r="C2757" s="92" t="str">
        <f ca="1">IFERROR(__xludf.DUMMYFUNCTION("filter('Back End'!C:C,'Back End'!A:A=A2757,'Back End'!B:B=B2757,'Back End'!D:D=D2757)"),"#N/A")</f>
        <v>#N/A</v>
      </c>
      <c r="D2757" s="67"/>
      <c r="E2757" s="91" t="s">
        <v>6371</v>
      </c>
      <c r="F2757" s="91" t="s">
        <v>165</v>
      </c>
      <c r="G2757" s="91" t="s">
        <v>615</v>
      </c>
      <c r="H2757" s="93" t="s">
        <v>4</v>
      </c>
      <c r="I2757" s="92" t="s">
        <v>3634</v>
      </c>
      <c r="J2757" s="92">
        <v>8008848024</v>
      </c>
      <c r="K2757" s="67"/>
      <c r="L2757" s="67"/>
      <c r="M2757" s="67"/>
      <c r="N2757" s="67"/>
      <c r="O2757" s="67"/>
    </row>
    <row r="2758" spans="1:15" ht="15">
      <c r="A2758" s="91" t="s">
        <v>7</v>
      </c>
      <c r="B2758" s="91" t="s">
        <v>7</v>
      </c>
      <c r="C2758" s="92" t="str">
        <f ca="1">IFERROR(__xludf.DUMMYFUNCTION("filter('Back End'!C:C,'Back End'!A:A=A2758,'Back End'!B:B=B2758,'Back End'!D:D=D2758)"),"Rekhavanipalem")</f>
        <v>Rekhavanipalem</v>
      </c>
      <c r="D2758" s="91" t="s">
        <v>776</v>
      </c>
      <c r="E2758" s="91" t="s">
        <v>6372</v>
      </c>
      <c r="F2758" s="91" t="s">
        <v>139</v>
      </c>
      <c r="G2758" s="91" t="s">
        <v>594</v>
      </c>
      <c r="H2758" s="93" t="s">
        <v>4</v>
      </c>
      <c r="I2758" s="92" t="s">
        <v>3767</v>
      </c>
      <c r="J2758" s="92">
        <v>7702992683</v>
      </c>
      <c r="K2758" s="67"/>
      <c r="L2758" s="67"/>
      <c r="M2758" s="67"/>
      <c r="N2758" s="67"/>
      <c r="O2758" s="67"/>
    </row>
    <row r="2759" spans="1:15" ht="15">
      <c r="A2759" s="91" t="s">
        <v>7</v>
      </c>
      <c r="B2759" s="91" t="s">
        <v>7</v>
      </c>
      <c r="C2759" s="92" t="str">
        <f ca="1">IFERROR(__xludf.DUMMYFUNCTION("filter('Back End'!C:C,'Back End'!A:A=A2759,'Back End'!B:B=B2759,'Back End'!D:D=D2759)"),"Rekhavanipalem")</f>
        <v>Rekhavanipalem</v>
      </c>
      <c r="D2759" s="91" t="s">
        <v>776</v>
      </c>
      <c r="E2759" s="91" t="s">
        <v>6373</v>
      </c>
      <c r="F2759" s="91" t="s">
        <v>139</v>
      </c>
      <c r="G2759" s="91" t="s">
        <v>594</v>
      </c>
      <c r="H2759" s="93" t="s">
        <v>4</v>
      </c>
      <c r="I2759" s="92" t="s">
        <v>3112</v>
      </c>
      <c r="J2759" s="92">
        <v>9542826819</v>
      </c>
      <c r="K2759" s="67"/>
      <c r="L2759" s="67"/>
      <c r="M2759" s="67"/>
      <c r="N2759" s="67"/>
      <c r="O2759" s="67"/>
    </row>
    <row r="2760" spans="1:15" ht="15">
      <c r="A2760" s="91" t="s">
        <v>7</v>
      </c>
      <c r="B2760" s="91" t="s">
        <v>7</v>
      </c>
      <c r="C2760" s="92" t="str">
        <f ca="1">IFERROR(__xludf.DUMMYFUNCTION("filter('Back End'!C:C,'Back End'!A:A=A2760,'Back End'!B:B=B2760,'Back End'!D:D=D2760)"),"Rekhavanipalem")</f>
        <v>Rekhavanipalem</v>
      </c>
      <c r="D2760" s="91" t="s">
        <v>776</v>
      </c>
      <c r="E2760" s="91" t="s">
        <v>6374</v>
      </c>
      <c r="F2760" s="67"/>
      <c r="G2760" s="67"/>
      <c r="H2760" s="93" t="s">
        <v>4</v>
      </c>
      <c r="I2760" s="92" t="s">
        <v>3125</v>
      </c>
      <c r="J2760" s="92">
        <v>9515779889</v>
      </c>
      <c r="K2760" s="67"/>
      <c r="L2760" s="67"/>
      <c r="M2760" s="67"/>
      <c r="N2760" s="67"/>
      <c r="O2760" s="67"/>
    </row>
    <row r="2761" spans="1:15" ht="15">
      <c r="A2761" s="91" t="s">
        <v>7</v>
      </c>
      <c r="B2761" s="91" t="s">
        <v>7</v>
      </c>
      <c r="C2761" s="92" t="str">
        <f ca="1">IFERROR(__xludf.DUMMYFUNCTION("filter('Back End'!C:C,'Back End'!A:A=A2761,'Back End'!B:B=B2761,'Back End'!D:D=D2761)"),"Rekhavanipalem")</f>
        <v>Rekhavanipalem</v>
      </c>
      <c r="D2761" s="91" t="s">
        <v>776</v>
      </c>
      <c r="E2761" s="91" t="s">
        <v>6375</v>
      </c>
      <c r="F2761" s="91" t="s">
        <v>139</v>
      </c>
      <c r="G2761" s="91" t="s">
        <v>594</v>
      </c>
      <c r="H2761" s="93" t="s">
        <v>5</v>
      </c>
      <c r="I2761" s="67"/>
      <c r="J2761" s="92">
        <v>9347062800</v>
      </c>
      <c r="K2761" s="67"/>
      <c r="L2761" s="67"/>
      <c r="M2761" s="67"/>
      <c r="N2761" s="67"/>
      <c r="O2761" s="67"/>
    </row>
    <row r="2762" spans="1:15" ht="30">
      <c r="A2762" s="91" t="s">
        <v>7</v>
      </c>
      <c r="B2762" s="91" t="s">
        <v>7</v>
      </c>
      <c r="C2762" s="92" t="str">
        <f ca="1">IFERROR(__xludf.DUMMYFUNCTION("filter('Back End'!C:C,'Back End'!A:A=A2762,'Back End'!B:B=B2762,'Back End'!D:D=D2762)"),"Timmapuram")</f>
        <v>Timmapuram</v>
      </c>
      <c r="D2762" s="91" t="s">
        <v>781</v>
      </c>
      <c r="E2762" s="92" t="s">
        <v>6376</v>
      </c>
      <c r="F2762" s="97" t="s">
        <v>94</v>
      </c>
      <c r="G2762" s="97" t="s">
        <v>615</v>
      </c>
      <c r="H2762" s="93" t="s">
        <v>5</v>
      </c>
      <c r="I2762" s="92">
        <v>9440693725</v>
      </c>
      <c r="J2762" s="67"/>
      <c r="K2762" s="67"/>
      <c r="L2762" s="67"/>
      <c r="M2762" s="67"/>
      <c r="N2762" s="67"/>
      <c r="O2762" s="67"/>
    </row>
    <row r="2763" spans="1:15" ht="15">
      <c r="A2763" s="91" t="s">
        <v>7</v>
      </c>
      <c r="B2763" s="91" t="s">
        <v>7</v>
      </c>
      <c r="C2763" s="92" t="str">
        <f ca="1">IFERROR(__xludf.DUMMYFUNCTION("filter('Back End'!C:C,'Back End'!A:A=A2763,'Back End'!B:B=B2763,'Back End'!D:D=D2763)"),"Timmapuram")</f>
        <v>Timmapuram</v>
      </c>
      <c r="D2763" s="91" t="s">
        <v>781</v>
      </c>
      <c r="E2763" s="126" t="s">
        <v>6377</v>
      </c>
      <c r="F2763" s="102" t="s">
        <v>165</v>
      </c>
      <c r="G2763" s="102" t="s">
        <v>615</v>
      </c>
      <c r="H2763" s="93" t="s">
        <v>5</v>
      </c>
      <c r="I2763" s="126">
        <v>8008280322</v>
      </c>
      <c r="J2763" s="67"/>
      <c r="K2763" s="67"/>
      <c r="L2763" s="67"/>
      <c r="M2763" s="67"/>
      <c r="N2763" s="67"/>
      <c r="O2763" s="67"/>
    </row>
    <row r="2764" spans="1:15" ht="45">
      <c r="A2764" s="91" t="s">
        <v>7</v>
      </c>
      <c r="B2764" s="91" t="s">
        <v>7</v>
      </c>
      <c r="C2764" s="92" t="str">
        <f ca="1">IFERROR(__xludf.DUMMYFUNCTION("filter('Back End'!C:C,'Back End'!A:A=A2764,'Back End'!B:B=B2764,'Back End'!D:D=D2764)"),"Timmapuram")</f>
        <v>Timmapuram</v>
      </c>
      <c r="D2764" s="91" t="s">
        <v>781</v>
      </c>
      <c r="E2764" s="126" t="s">
        <v>6378</v>
      </c>
      <c r="F2764" s="102" t="s">
        <v>136</v>
      </c>
      <c r="G2764" s="102" t="s">
        <v>615</v>
      </c>
      <c r="H2764" s="93" t="s">
        <v>5</v>
      </c>
      <c r="I2764" s="126">
        <v>9949228037</v>
      </c>
      <c r="J2764" s="67"/>
      <c r="K2764" s="67"/>
      <c r="L2764" s="67"/>
      <c r="M2764" s="67"/>
      <c r="N2764" s="67"/>
      <c r="O2764" s="67"/>
    </row>
    <row r="2765" spans="1:15" ht="30">
      <c r="A2765" s="91" t="s">
        <v>7</v>
      </c>
      <c r="B2765" s="91" t="s">
        <v>7</v>
      </c>
      <c r="C2765" s="92" t="str">
        <f ca="1">IFERROR(__xludf.DUMMYFUNCTION("filter('Back End'!C:C,'Back End'!A:A=A2765,'Back End'!B:B=B2765,'Back End'!D:D=D2765)"),"Timmapuram")</f>
        <v>Timmapuram</v>
      </c>
      <c r="D2765" s="91" t="s">
        <v>781</v>
      </c>
      <c r="E2765" s="126" t="s">
        <v>6379</v>
      </c>
      <c r="F2765" s="102" t="s">
        <v>467</v>
      </c>
      <c r="G2765" s="102" t="s">
        <v>85</v>
      </c>
      <c r="H2765" s="93" t="s">
        <v>4</v>
      </c>
      <c r="I2765" s="126">
        <v>9494874466</v>
      </c>
      <c r="J2765" s="67"/>
      <c r="K2765" s="67"/>
      <c r="L2765" s="67"/>
      <c r="M2765" s="67"/>
      <c r="N2765" s="67"/>
      <c r="O2765" s="67"/>
    </row>
    <row r="2766" spans="1:15" ht="30">
      <c r="A2766" s="91" t="s">
        <v>7</v>
      </c>
      <c r="B2766" s="91" t="s">
        <v>7</v>
      </c>
      <c r="C2766" s="92" t="str">
        <f ca="1">IFERROR(__xludf.DUMMYFUNCTION("filter('Back End'!C:C,'Back End'!A:A=A2766,'Back End'!B:B=B2766,'Back End'!D:D=D2766)"),"Timmapuram")</f>
        <v>Timmapuram</v>
      </c>
      <c r="D2766" s="91" t="s">
        <v>781</v>
      </c>
      <c r="E2766" s="126" t="s">
        <v>6380</v>
      </c>
      <c r="F2766" s="102" t="s">
        <v>94</v>
      </c>
      <c r="G2766" s="102" t="s">
        <v>615</v>
      </c>
      <c r="H2766" s="93" t="s">
        <v>4</v>
      </c>
      <c r="I2766" s="126">
        <v>9440340523</v>
      </c>
      <c r="J2766" s="67"/>
      <c r="K2766" s="67"/>
      <c r="L2766" s="67"/>
      <c r="M2766" s="67"/>
      <c r="N2766" s="67"/>
      <c r="O2766" s="67"/>
    </row>
    <row r="2767" spans="1:15" ht="45">
      <c r="A2767" s="91" t="s">
        <v>7</v>
      </c>
      <c r="B2767" s="91" t="s">
        <v>7</v>
      </c>
      <c r="C2767" s="92" t="str">
        <f ca="1">IFERROR(__xludf.DUMMYFUNCTION("filter('Back End'!C:C,'Back End'!A:A=A2767,'Back End'!B:B=B2767,'Back End'!D:D=D2767)"),"Timmapuram")</f>
        <v>Timmapuram</v>
      </c>
      <c r="D2767" s="91" t="s">
        <v>781</v>
      </c>
      <c r="E2767" s="126" t="s">
        <v>6381</v>
      </c>
      <c r="F2767" s="102" t="s">
        <v>139</v>
      </c>
      <c r="G2767" s="102" t="s">
        <v>594</v>
      </c>
      <c r="H2767" s="93" t="s">
        <v>4</v>
      </c>
      <c r="I2767" s="126">
        <v>9248651239</v>
      </c>
      <c r="J2767" s="67"/>
      <c r="K2767" s="67"/>
      <c r="L2767" s="67"/>
      <c r="M2767" s="67"/>
      <c r="N2767" s="67"/>
      <c r="O2767" s="67"/>
    </row>
    <row r="2768" spans="1:15" ht="30">
      <c r="A2768" s="91" t="s">
        <v>7</v>
      </c>
      <c r="B2768" s="91" t="s">
        <v>7</v>
      </c>
      <c r="C2768" s="92" t="str">
        <f ca="1">IFERROR(__xludf.DUMMYFUNCTION("filter('Back End'!C:C,'Back End'!A:A=A2768,'Back End'!B:B=B2768,'Back End'!D:D=D2768)"),"Timmapuram")</f>
        <v>Timmapuram</v>
      </c>
      <c r="D2768" s="91" t="s">
        <v>781</v>
      </c>
      <c r="E2768" s="126" t="s">
        <v>6382</v>
      </c>
      <c r="F2768" s="67"/>
      <c r="G2768" s="95"/>
      <c r="H2768" s="93" t="s">
        <v>4</v>
      </c>
      <c r="I2768" s="126">
        <v>9705142692</v>
      </c>
      <c r="J2768" s="92">
        <v>9505467837</v>
      </c>
      <c r="K2768" s="67"/>
      <c r="L2768" s="67"/>
      <c r="M2768" s="67"/>
      <c r="N2768" s="67"/>
      <c r="O2768" s="67"/>
    </row>
    <row r="2769" spans="1:15" ht="45">
      <c r="A2769" s="91" t="s">
        <v>7</v>
      </c>
      <c r="B2769" s="91" t="s">
        <v>7</v>
      </c>
      <c r="C2769" s="92" t="str">
        <f ca="1">IFERROR(__xludf.DUMMYFUNCTION("filter('Back End'!C:C,'Back End'!A:A=A2769,'Back End'!B:B=B2769,'Back End'!D:D=D2769)"),"Timmapuram")</f>
        <v>Timmapuram</v>
      </c>
      <c r="D2769" s="91" t="s">
        <v>781</v>
      </c>
      <c r="E2769" s="91" t="s">
        <v>6383</v>
      </c>
      <c r="F2769" s="67"/>
      <c r="G2769" s="67"/>
      <c r="H2769" s="93" t="s">
        <v>4</v>
      </c>
      <c r="I2769" s="67"/>
      <c r="J2769" s="92">
        <v>9848932093</v>
      </c>
      <c r="K2769" s="67"/>
      <c r="L2769" s="92" t="s">
        <v>6384</v>
      </c>
      <c r="M2769" s="67"/>
      <c r="N2769" s="67"/>
      <c r="O2769" s="67"/>
    </row>
    <row r="2770" spans="1:15" ht="15">
      <c r="A2770" s="91" t="s">
        <v>7</v>
      </c>
      <c r="B2770" s="91" t="s">
        <v>7</v>
      </c>
      <c r="C2770" s="92" t="str">
        <f ca="1">IFERROR(__xludf.DUMMYFUNCTION("filter('Back End'!C:C,'Back End'!A:A=A2770,'Back End'!B:B=B2770,'Back End'!D:D=D2770)"),"Timmapuram")</f>
        <v>Timmapuram</v>
      </c>
      <c r="D2770" s="91" t="s">
        <v>781</v>
      </c>
      <c r="E2770" s="91" t="s">
        <v>6385</v>
      </c>
      <c r="F2770" s="91" t="s">
        <v>94</v>
      </c>
      <c r="G2770" s="91" t="s">
        <v>615</v>
      </c>
      <c r="H2770" s="93" t="s">
        <v>4</v>
      </c>
      <c r="I2770" s="92" t="s">
        <v>3767</v>
      </c>
      <c r="J2770" s="92">
        <v>9182157933</v>
      </c>
      <c r="K2770" s="67"/>
      <c r="L2770" s="67"/>
      <c r="M2770" s="67"/>
      <c r="N2770" s="67"/>
      <c r="O2770" s="67"/>
    </row>
    <row r="2771" spans="1:15" ht="15">
      <c r="A2771" s="91" t="s">
        <v>7</v>
      </c>
      <c r="B2771" s="91" t="s">
        <v>7</v>
      </c>
      <c r="C2771" s="92" t="str">
        <f ca="1">IFERROR(__xludf.DUMMYFUNCTION("filter('Back End'!C:C,'Back End'!A:A=A2771,'Back End'!B:B=B2771,'Back End'!D:D=D2771)"),"Timmapuram")</f>
        <v>Timmapuram</v>
      </c>
      <c r="D2771" s="91" t="s">
        <v>781</v>
      </c>
      <c r="E2771" s="91" t="s">
        <v>6386</v>
      </c>
      <c r="F2771" s="91" t="s">
        <v>467</v>
      </c>
      <c r="G2771" s="91" t="s">
        <v>85</v>
      </c>
      <c r="H2771" s="93" t="s">
        <v>4</v>
      </c>
      <c r="I2771" s="92" t="s">
        <v>3767</v>
      </c>
      <c r="J2771" s="92">
        <v>9494227410</v>
      </c>
      <c r="K2771" s="67"/>
      <c r="L2771" s="67"/>
      <c r="M2771" s="67"/>
      <c r="N2771" s="67"/>
      <c r="O2771" s="67"/>
    </row>
    <row r="2772" spans="1:15" ht="30">
      <c r="A2772" s="91" t="s">
        <v>7</v>
      </c>
      <c r="B2772" s="91" t="s">
        <v>7</v>
      </c>
      <c r="C2772" s="92" t="str">
        <f ca="1">IFERROR(__xludf.DUMMYFUNCTION("filter('Back End'!C:C,'Back End'!A:A=A2772,'Back End'!B:B=B2772,'Back End'!D:D=D2772)"),"Timmapuram")</f>
        <v>Timmapuram</v>
      </c>
      <c r="D2772" s="91" t="s">
        <v>781</v>
      </c>
      <c r="E2772" s="91" t="s">
        <v>6387</v>
      </c>
      <c r="F2772" s="67"/>
      <c r="G2772" s="67"/>
      <c r="H2772" s="93" t="s">
        <v>4</v>
      </c>
      <c r="I2772" s="67"/>
      <c r="J2772" s="92">
        <v>9912912756</v>
      </c>
      <c r="K2772" s="67"/>
      <c r="L2772" s="92" t="s">
        <v>6388</v>
      </c>
      <c r="M2772" s="67"/>
      <c r="N2772" s="67"/>
      <c r="O2772" s="67"/>
    </row>
    <row r="2773" spans="1:15" ht="15">
      <c r="A2773" s="67" t="s">
        <v>3138</v>
      </c>
      <c r="B2773" s="67" t="s">
        <v>3138</v>
      </c>
      <c r="C2773" s="92" t="str">
        <f ca="1">IFERROR(__xludf.DUMMYFUNCTION("filter('Back End'!C:C,'Back End'!A:A=A2773,'Back End'!B:B=B2773,'Back End'!D:D=D2773)"),"#REF!")</f>
        <v>#REF!</v>
      </c>
      <c r="D2773" s="67" t="s">
        <v>3138</v>
      </c>
      <c r="E2773" s="91" t="s">
        <v>6389</v>
      </c>
      <c r="F2773" s="91" t="s">
        <v>586</v>
      </c>
      <c r="G2773" s="91" t="s">
        <v>615</v>
      </c>
      <c r="H2773" s="93" t="s">
        <v>5</v>
      </c>
      <c r="I2773" s="92" t="s">
        <v>4039</v>
      </c>
      <c r="J2773" s="92">
        <v>9849211299</v>
      </c>
      <c r="K2773" s="67"/>
      <c r="L2773" s="67"/>
      <c r="M2773" s="67"/>
      <c r="N2773" s="67"/>
      <c r="O2773" s="67"/>
    </row>
    <row r="2774" spans="1:15" ht="15">
      <c r="A2774" s="91" t="s">
        <v>7</v>
      </c>
      <c r="B2774" s="91" t="s">
        <v>7</v>
      </c>
      <c r="C2774" s="91" t="s">
        <v>6390</v>
      </c>
      <c r="D2774" s="91" t="s">
        <v>6390</v>
      </c>
      <c r="E2774" s="91" t="s">
        <v>6391</v>
      </c>
      <c r="F2774" s="91" t="s">
        <v>165</v>
      </c>
      <c r="G2774" s="91" t="s">
        <v>615</v>
      </c>
      <c r="H2774" s="93" t="s">
        <v>4</v>
      </c>
      <c r="I2774" s="92" t="s">
        <v>3112</v>
      </c>
      <c r="J2774" s="92">
        <v>9550070128</v>
      </c>
      <c r="K2774" s="67"/>
      <c r="L2774" s="67"/>
      <c r="M2774" s="67"/>
      <c r="N2774" s="67"/>
      <c r="O2774" s="67"/>
    </row>
    <row r="2775" spans="1:15" ht="15">
      <c r="A2775" s="91" t="s">
        <v>7</v>
      </c>
      <c r="B2775" s="91" t="s">
        <v>7</v>
      </c>
      <c r="C2775" s="91" t="s">
        <v>6390</v>
      </c>
      <c r="D2775" s="91" t="s">
        <v>6390</v>
      </c>
      <c r="E2775" s="91" t="s">
        <v>6392</v>
      </c>
      <c r="F2775" s="91" t="s">
        <v>165</v>
      </c>
      <c r="G2775" s="91" t="s">
        <v>615</v>
      </c>
      <c r="H2775" s="93" t="s">
        <v>4</v>
      </c>
      <c r="I2775" s="92" t="s">
        <v>3152</v>
      </c>
      <c r="J2775" s="92">
        <v>9951394077</v>
      </c>
      <c r="K2775" s="67"/>
      <c r="L2775" s="67"/>
      <c r="M2775" s="67"/>
      <c r="N2775" s="67"/>
      <c r="O2775" s="67"/>
    </row>
    <row r="2776" spans="1:15" ht="30">
      <c r="A2776" s="91" t="s">
        <v>7</v>
      </c>
      <c r="B2776" s="91" t="s">
        <v>7</v>
      </c>
      <c r="C2776" s="91" t="s">
        <v>6390</v>
      </c>
      <c r="D2776" s="91" t="s">
        <v>6390</v>
      </c>
      <c r="E2776" s="91" t="s">
        <v>6392</v>
      </c>
      <c r="F2776" s="91" t="s">
        <v>165</v>
      </c>
      <c r="G2776" s="91" t="s">
        <v>615</v>
      </c>
      <c r="H2776" s="93" t="s">
        <v>4</v>
      </c>
      <c r="I2776" s="92" t="s">
        <v>6393</v>
      </c>
      <c r="J2776" s="92">
        <v>9492831837</v>
      </c>
      <c r="K2776" s="67"/>
      <c r="L2776" s="67"/>
      <c r="M2776" s="67"/>
      <c r="N2776" s="67"/>
      <c r="O2776" s="67"/>
    </row>
    <row r="2777" spans="1:15" ht="15">
      <c r="A2777" s="91" t="s">
        <v>7</v>
      </c>
      <c r="B2777" s="91" t="s">
        <v>7</v>
      </c>
      <c r="C2777" s="91" t="s">
        <v>6390</v>
      </c>
      <c r="D2777" s="91" t="s">
        <v>6390</v>
      </c>
      <c r="E2777" s="91" t="s">
        <v>6394</v>
      </c>
      <c r="F2777" s="91" t="s">
        <v>139</v>
      </c>
      <c r="G2777" s="91" t="s">
        <v>594</v>
      </c>
      <c r="H2777" s="93" t="s">
        <v>5</v>
      </c>
      <c r="I2777" s="92" t="s">
        <v>3379</v>
      </c>
      <c r="J2777" s="92">
        <v>9505542396</v>
      </c>
      <c r="K2777" s="67"/>
      <c r="L2777" s="67"/>
      <c r="M2777" s="67"/>
      <c r="N2777" s="67"/>
      <c r="O2777" s="67"/>
    </row>
    <row r="2778" spans="1:15" ht="30">
      <c r="A2778" s="91" t="s">
        <v>7</v>
      </c>
      <c r="B2778" s="91" t="s">
        <v>7</v>
      </c>
      <c r="C2778" s="91" t="s">
        <v>6390</v>
      </c>
      <c r="D2778" s="91" t="s">
        <v>6390</v>
      </c>
      <c r="E2778" s="91" t="s">
        <v>6395</v>
      </c>
      <c r="F2778" s="91" t="s">
        <v>165</v>
      </c>
      <c r="G2778" s="91" t="s">
        <v>615</v>
      </c>
      <c r="H2778" s="93" t="s">
        <v>5</v>
      </c>
      <c r="I2778" s="92" t="s">
        <v>3508</v>
      </c>
      <c r="J2778" s="92">
        <v>8096766629</v>
      </c>
      <c r="K2778" s="67"/>
      <c r="L2778" s="67"/>
      <c r="M2778" s="67"/>
      <c r="N2778" s="67"/>
      <c r="O2778" s="67"/>
    </row>
    <row r="2779" spans="1:15" ht="15">
      <c r="A2779" s="91" t="s">
        <v>7</v>
      </c>
      <c r="B2779" s="91" t="s">
        <v>7</v>
      </c>
      <c r="C2779" s="91" t="s">
        <v>6390</v>
      </c>
      <c r="D2779" s="91" t="s">
        <v>6390</v>
      </c>
      <c r="E2779" s="91" t="s">
        <v>6396</v>
      </c>
      <c r="F2779" s="91" t="s">
        <v>165</v>
      </c>
      <c r="G2779" s="91" t="s">
        <v>615</v>
      </c>
      <c r="H2779" s="93" t="s">
        <v>5</v>
      </c>
      <c r="I2779" s="92" t="s">
        <v>3490</v>
      </c>
      <c r="J2779" s="92">
        <v>8106036579</v>
      </c>
      <c r="K2779" s="67"/>
      <c r="L2779" s="67"/>
      <c r="M2779" s="67"/>
      <c r="N2779" s="67"/>
      <c r="O2779" s="67"/>
    </row>
    <row r="2780" spans="1:15" ht="15">
      <c r="A2780" s="91" t="s">
        <v>7</v>
      </c>
      <c r="B2780" s="91" t="s">
        <v>7</v>
      </c>
      <c r="C2780" s="92" t="str">
        <f ca="1">IFERROR(__xludf.DUMMYFUNCTION("filter('Back End'!C:C,'Back End'!A:A=A2780,'Back End'!B:B=B2780,'Back End'!D:D=D2780)"),"Tetagunta")</f>
        <v>Tetagunta</v>
      </c>
      <c r="D2780" s="91" t="s">
        <v>779</v>
      </c>
      <c r="E2780" s="91" t="s">
        <v>6397</v>
      </c>
      <c r="F2780" s="91" t="s">
        <v>467</v>
      </c>
      <c r="G2780" s="91" t="s">
        <v>85</v>
      </c>
      <c r="H2780" s="93" t="s">
        <v>5</v>
      </c>
      <c r="I2780" s="92" t="s">
        <v>3112</v>
      </c>
      <c r="J2780" s="92">
        <v>9963312164</v>
      </c>
      <c r="K2780" s="67"/>
      <c r="L2780" s="67"/>
      <c r="M2780" s="67"/>
      <c r="N2780" s="67"/>
      <c r="O2780" s="67"/>
    </row>
    <row r="2781" spans="1:15" ht="30">
      <c r="A2781" s="91" t="s">
        <v>7</v>
      </c>
      <c r="B2781" s="91" t="s">
        <v>7</v>
      </c>
      <c r="C2781" s="92" t="str">
        <f ca="1">IFERROR(__xludf.DUMMYFUNCTION("filter('Back End'!C:C,'Back End'!A:A=A2781,'Back End'!B:B=B2781,'Back End'!D:D=D2781)"),"Tetagunta")</f>
        <v>Tetagunta</v>
      </c>
      <c r="D2781" s="91" t="s">
        <v>779</v>
      </c>
      <c r="E2781" s="91" t="s">
        <v>6398</v>
      </c>
      <c r="F2781" s="91" t="s">
        <v>94</v>
      </c>
      <c r="G2781" s="91" t="s">
        <v>615</v>
      </c>
      <c r="H2781" s="93" t="s">
        <v>5</v>
      </c>
      <c r="I2781" s="92" t="s">
        <v>6399</v>
      </c>
      <c r="J2781" s="92">
        <v>9866283772</v>
      </c>
      <c r="K2781" s="67"/>
      <c r="L2781" s="67"/>
      <c r="M2781" s="67"/>
      <c r="N2781" s="67"/>
      <c r="O2781" s="67"/>
    </row>
    <row r="2782" spans="1:15" ht="30">
      <c r="A2782" s="91" t="s">
        <v>7</v>
      </c>
      <c r="B2782" s="91" t="s">
        <v>7</v>
      </c>
      <c r="C2782" s="92" t="str">
        <f ca="1">IFERROR(__xludf.DUMMYFUNCTION("filter('Back End'!C:C,'Back End'!A:A=A2782,'Back End'!B:B=B2782,'Back End'!D:D=D2782)"),"Tetagunta")</f>
        <v>Tetagunta</v>
      </c>
      <c r="D2782" s="91" t="s">
        <v>779</v>
      </c>
      <c r="E2782" s="91" t="s">
        <v>6400</v>
      </c>
      <c r="F2782" s="91" t="s">
        <v>94</v>
      </c>
      <c r="G2782" s="91" t="s">
        <v>615</v>
      </c>
      <c r="H2782" s="93" t="s">
        <v>5</v>
      </c>
      <c r="I2782" s="92" t="s">
        <v>3115</v>
      </c>
      <c r="J2782" s="92">
        <v>9849981456</v>
      </c>
      <c r="K2782" s="92" t="s">
        <v>1613</v>
      </c>
      <c r="L2782" s="67"/>
      <c r="M2782" s="67"/>
      <c r="N2782" s="67"/>
      <c r="O2782" s="67"/>
    </row>
    <row r="2783" spans="1:15" ht="30">
      <c r="A2783" s="91" t="s">
        <v>7</v>
      </c>
      <c r="B2783" s="91" t="s">
        <v>7</v>
      </c>
      <c r="C2783" s="92" t="str">
        <f ca="1">IFERROR(__xludf.DUMMYFUNCTION("filter('Back End'!C:C,'Back End'!A:A=A2783,'Back End'!B:B=B2783,'Back End'!D:D=D2783)"),"Tetagunta")</f>
        <v>Tetagunta</v>
      </c>
      <c r="D2783" s="91" t="s">
        <v>779</v>
      </c>
      <c r="E2783" s="91" t="s">
        <v>6401</v>
      </c>
      <c r="F2783" s="91" t="s">
        <v>139</v>
      </c>
      <c r="G2783" s="91" t="s">
        <v>594</v>
      </c>
      <c r="H2783" s="93" t="s">
        <v>5</v>
      </c>
      <c r="I2783" s="92" t="s">
        <v>3645</v>
      </c>
      <c r="J2783" s="92">
        <v>9989591059</v>
      </c>
      <c r="K2783" s="67"/>
      <c r="L2783" s="67"/>
      <c r="M2783" s="67"/>
      <c r="N2783" s="67"/>
      <c r="O2783" s="67"/>
    </row>
    <row r="2784" spans="1:15" ht="15">
      <c r="A2784" s="91" t="s">
        <v>7</v>
      </c>
      <c r="B2784" s="91" t="s">
        <v>7</v>
      </c>
      <c r="C2784" s="92" t="str">
        <f ca="1">IFERROR(__xludf.DUMMYFUNCTION("filter('Back End'!C:C,'Back End'!A:A=A2784,'Back End'!B:B=B2784,'Back End'!D:D=D2784)"),"Tetagunta")</f>
        <v>Tetagunta</v>
      </c>
      <c r="D2784" s="91" t="s">
        <v>779</v>
      </c>
      <c r="E2784" s="91" t="s">
        <v>6402</v>
      </c>
      <c r="F2784" s="91" t="s">
        <v>114</v>
      </c>
      <c r="G2784" s="91" t="s">
        <v>85</v>
      </c>
      <c r="H2784" s="93" t="s">
        <v>5</v>
      </c>
      <c r="I2784" s="92" t="s">
        <v>4526</v>
      </c>
      <c r="J2784" s="92">
        <v>9701713410</v>
      </c>
      <c r="K2784" s="67"/>
      <c r="L2784" s="67"/>
      <c r="M2784" s="67"/>
      <c r="N2784" s="67"/>
      <c r="O2784" s="67"/>
    </row>
    <row r="2785" spans="1:15" ht="15">
      <c r="A2785" s="91" t="s">
        <v>7</v>
      </c>
      <c r="B2785" s="91" t="s">
        <v>7</v>
      </c>
      <c r="C2785" s="92" t="str">
        <f ca="1">IFERROR(__xludf.DUMMYFUNCTION("filter('Back End'!C:C,'Back End'!A:A=A2785,'Back End'!B:B=B2785,'Back End'!D:D=D2785)"),"Tetagunta")</f>
        <v>Tetagunta</v>
      </c>
      <c r="D2785" s="91" t="s">
        <v>779</v>
      </c>
      <c r="E2785" s="91" t="s">
        <v>6403</v>
      </c>
      <c r="F2785" s="91" t="s">
        <v>139</v>
      </c>
      <c r="G2785" s="91" t="s">
        <v>594</v>
      </c>
      <c r="H2785" s="93" t="s">
        <v>5</v>
      </c>
      <c r="I2785" s="92" t="s">
        <v>4524</v>
      </c>
      <c r="J2785" s="92">
        <v>9110526343</v>
      </c>
      <c r="K2785" s="67"/>
      <c r="L2785" s="67"/>
      <c r="M2785" s="67"/>
      <c r="N2785" s="67"/>
      <c r="O2785" s="67"/>
    </row>
    <row r="2786" spans="1:15" ht="45">
      <c r="A2786" s="91" t="s">
        <v>7</v>
      </c>
      <c r="B2786" s="91" t="s">
        <v>7</v>
      </c>
      <c r="C2786" s="92" t="str">
        <f ca="1">IFERROR(__xludf.DUMMYFUNCTION("filter('Back End'!C:C,'Back End'!A:A=A2786,'Back End'!B:B=B2786,'Back End'!D:D=D2786)"),"Tetagunta")</f>
        <v>Tetagunta</v>
      </c>
      <c r="D2786" s="91" t="s">
        <v>779</v>
      </c>
      <c r="E2786" s="91" t="s">
        <v>6404</v>
      </c>
      <c r="F2786" s="91" t="s">
        <v>131</v>
      </c>
      <c r="G2786" s="91" t="s">
        <v>594</v>
      </c>
      <c r="H2786" s="93" t="s">
        <v>5</v>
      </c>
      <c r="I2786" s="92" t="s">
        <v>6405</v>
      </c>
      <c r="J2786" s="92">
        <v>9989238222</v>
      </c>
      <c r="K2786" s="67"/>
      <c r="L2786" s="67"/>
      <c r="M2786" s="67"/>
      <c r="N2786" s="67"/>
      <c r="O2786" s="67"/>
    </row>
    <row r="2787" spans="1:15" ht="15">
      <c r="A2787" s="91" t="s">
        <v>7</v>
      </c>
      <c r="B2787" s="91" t="s">
        <v>7</v>
      </c>
      <c r="C2787" s="92" t="str">
        <f ca="1">IFERROR(__xludf.DUMMYFUNCTION("filter('Back End'!C:C,'Back End'!A:A=A2787,'Back End'!B:B=B2787,'Back End'!D:D=D2787)"),"Tetagunta")</f>
        <v>Tetagunta</v>
      </c>
      <c r="D2787" s="91" t="s">
        <v>779</v>
      </c>
      <c r="E2787" s="91" t="s">
        <v>6406</v>
      </c>
      <c r="F2787" s="91" t="s">
        <v>139</v>
      </c>
      <c r="G2787" s="91" t="s">
        <v>594</v>
      </c>
      <c r="H2787" s="93" t="s">
        <v>5</v>
      </c>
      <c r="I2787" s="92" t="s">
        <v>3112</v>
      </c>
      <c r="J2787" s="92">
        <v>9553796455</v>
      </c>
      <c r="K2787" s="67"/>
      <c r="L2787" s="67"/>
      <c r="M2787" s="67"/>
      <c r="N2787" s="67"/>
      <c r="O2787" s="67"/>
    </row>
    <row r="2788" spans="1:15" ht="45">
      <c r="A2788" s="91" t="s">
        <v>7</v>
      </c>
      <c r="B2788" s="92" t="s">
        <v>7</v>
      </c>
      <c r="C2788" s="92" t="str">
        <f ca="1">IFERROR(__xludf.DUMMYFUNCTION("filter('Back End'!C:C,'Back End'!A:A=A2788,'Back End'!B:B=B2788,'Back End'!D:D=D2788)"),"Tetagunta")</f>
        <v>Tetagunta</v>
      </c>
      <c r="D2788" s="91" t="s">
        <v>779</v>
      </c>
      <c r="E2788" s="92" t="s">
        <v>6407</v>
      </c>
      <c r="F2788" s="91" t="s">
        <v>139</v>
      </c>
      <c r="G2788" s="91" t="s">
        <v>594</v>
      </c>
      <c r="H2788" s="93" t="s">
        <v>5</v>
      </c>
      <c r="I2788" s="92" t="s">
        <v>4174</v>
      </c>
      <c r="J2788" s="91">
        <v>9490036222</v>
      </c>
      <c r="K2788" s="67"/>
      <c r="L2788" s="67"/>
      <c r="M2788" s="67"/>
      <c r="N2788" s="67"/>
      <c r="O2788" s="67"/>
    </row>
    <row r="2789" spans="1:15" ht="30">
      <c r="A2789" s="91" t="s">
        <v>7</v>
      </c>
      <c r="B2789" s="92" t="s">
        <v>7</v>
      </c>
      <c r="C2789" s="92" t="str">
        <f ca="1">IFERROR(__xludf.DUMMYFUNCTION("filter('Back End'!C:C,'Back End'!A:A=A2789,'Back End'!B:B=B2789,'Back End'!D:D=D2789)"),"Tetagunta")</f>
        <v>Tetagunta</v>
      </c>
      <c r="D2789" s="91" t="s">
        <v>779</v>
      </c>
      <c r="E2789" s="92" t="s">
        <v>6408</v>
      </c>
      <c r="F2789" s="91" t="s">
        <v>139</v>
      </c>
      <c r="G2789" s="91" t="s">
        <v>594</v>
      </c>
      <c r="H2789" s="93" t="s">
        <v>5</v>
      </c>
      <c r="I2789" s="92" t="s">
        <v>3112</v>
      </c>
      <c r="J2789" s="92">
        <v>8099991114</v>
      </c>
      <c r="K2789" s="67"/>
      <c r="L2789" s="67"/>
      <c r="M2789" s="67"/>
      <c r="N2789" s="67"/>
      <c r="O2789" s="67"/>
    </row>
    <row r="2790" spans="1:15" ht="15">
      <c r="A2790" s="91" t="s">
        <v>7</v>
      </c>
      <c r="B2790" s="91" t="s">
        <v>7</v>
      </c>
      <c r="C2790" s="92" t="str">
        <f ca="1">IFERROR(__xludf.DUMMYFUNCTION("filter('Back End'!C:C,'Back End'!A:A=A2790,'Back End'!B:B=B2790,'Back End'!D:D=D2790)"),"Tetagunta")</f>
        <v>Tetagunta</v>
      </c>
      <c r="D2790" s="91" t="s">
        <v>779</v>
      </c>
      <c r="E2790" s="91" t="s">
        <v>6409</v>
      </c>
      <c r="F2790" s="91" t="s">
        <v>165</v>
      </c>
      <c r="G2790" s="91" t="s">
        <v>615</v>
      </c>
      <c r="H2790" s="93" t="s">
        <v>4</v>
      </c>
      <c r="I2790" s="92" t="s">
        <v>3112</v>
      </c>
      <c r="J2790" s="92">
        <v>9849277422</v>
      </c>
      <c r="K2790" s="67"/>
      <c r="L2790" s="67"/>
      <c r="M2790" s="67"/>
      <c r="N2790" s="67"/>
      <c r="O2790" s="67"/>
    </row>
    <row r="2791" spans="1:15" ht="15">
      <c r="A2791" s="91" t="s">
        <v>7</v>
      </c>
      <c r="B2791" s="91" t="s">
        <v>7</v>
      </c>
      <c r="C2791" s="92" t="str">
        <f ca="1">IFERROR(__xludf.DUMMYFUNCTION("filter('Back End'!C:C,'Back End'!A:A=A2791,'Back End'!B:B=B2791,'Back End'!D:D=D2791)"),"Tetagunta")</f>
        <v>Tetagunta</v>
      </c>
      <c r="D2791" s="91" t="s">
        <v>779</v>
      </c>
      <c r="E2791" s="91" t="s">
        <v>6410</v>
      </c>
      <c r="F2791" s="91" t="s">
        <v>165</v>
      </c>
      <c r="G2791" s="91" t="s">
        <v>615</v>
      </c>
      <c r="H2791" s="93" t="s">
        <v>4</v>
      </c>
      <c r="I2791" s="92" t="s">
        <v>3490</v>
      </c>
      <c r="J2791" s="92">
        <v>9989606088</v>
      </c>
      <c r="K2791" s="67"/>
      <c r="L2791" s="67"/>
      <c r="M2791" s="67"/>
      <c r="N2791" s="67"/>
      <c r="O2791" s="67"/>
    </row>
    <row r="2792" spans="1:15" ht="30">
      <c r="A2792" s="91" t="s">
        <v>7</v>
      </c>
      <c r="B2792" s="91" t="s">
        <v>7</v>
      </c>
      <c r="C2792" s="92" t="str">
        <f ca="1">IFERROR(__xludf.DUMMYFUNCTION("filter('Back End'!C:C,'Back End'!A:A=A2792,'Back End'!B:B=B2792,'Back End'!D:D=D2792)"),"Tetagunta")</f>
        <v>Tetagunta</v>
      </c>
      <c r="D2792" s="91" t="s">
        <v>779</v>
      </c>
      <c r="E2792" s="91" t="s">
        <v>6411</v>
      </c>
      <c r="F2792" s="91" t="s">
        <v>139</v>
      </c>
      <c r="G2792" s="91" t="s">
        <v>594</v>
      </c>
      <c r="H2792" s="93" t="s">
        <v>4</v>
      </c>
      <c r="I2792" s="92" t="s">
        <v>6412</v>
      </c>
      <c r="J2792" s="92">
        <v>9949921856</v>
      </c>
      <c r="K2792" s="67"/>
      <c r="L2792" s="67"/>
      <c r="M2792" s="67"/>
      <c r="N2792" s="67"/>
      <c r="O2792" s="67"/>
    </row>
    <row r="2793" spans="1:15" ht="30">
      <c r="A2793" s="91" t="s">
        <v>7</v>
      </c>
      <c r="B2793" s="91" t="s">
        <v>7</v>
      </c>
      <c r="C2793" s="92" t="str">
        <f ca="1">IFERROR(__xludf.DUMMYFUNCTION("filter('Back End'!C:C,'Back End'!A:A=A2793,'Back End'!B:B=B2793,'Back End'!D:D=D2793)"),"Tetagunta")</f>
        <v>Tetagunta</v>
      </c>
      <c r="D2793" s="91" t="s">
        <v>779</v>
      </c>
      <c r="E2793" s="91" t="s">
        <v>6413</v>
      </c>
      <c r="F2793" s="91" t="s">
        <v>139</v>
      </c>
      <c r="G2793" s="91" t="s">
        <v>594</v>
      </c>
      <c r="H2793" s="93" t="s">
        <v>4</v>
      </c>
      <c r="I2793" s="92" t="s">
        <v>6414</v>
      </c>
      <c r="J2793" s="92">
        <v>9908343436</v>
      </c>
      <c r="K2793" s="67"/>
      <c r="L2793" s="67"/>
      <c r="M2793" s="67"/>
      <c r="N2793" s="67"/>
      <c r="O2793" s="67"/>
    </row>
    <row r="2794" spans="1:15" ht="15">
      <c r="A2794" s="91" t="s">
        <v>7</v>
      </c>
      <c r="B2794" s="91" t="s">
        <v>7</v>
      </c>
      <c r="C2794" s="92" t="str">
        <f ca="1">IFERROR(__xludf.DUMMYFUNCTION("filter('Back End'!C:C,'Back End'!A:A=A2794,'Back End'!B:B=B2794,'Back End'!D:D=D2794)"),"Tetagunta")</f>
        <v>Tetagunta</v>
      </c>
      <c r="D2794" s="91" t="s">
        <v>779</v>
      </c>
      <c r="E2794" s="91" t="s">
        <v>6415</v>
      </c>
      <c r="F2794" s="91" t="s">
        <v>139</v>
      </c>
      <c r="G2794" s="91" t="s">
        <v>594</v>
      </c>
      <c r="H2794" s="93" t="s">
        <v>4</v>
      </c>
      <c r="I2794" s="92" t="s">
        <v>3384</v>
      </c>
      <c r="J2794" s="92">
        <v>9493284279</v>
      </c>
      <c r="K2794" s="67"/>
      <c r="L2794" s="67"/>
      <c r="M2794" s="67"/>
      <c r="N2794" s="67"/>
      <c r="O2794" s="67"/>
    </row>
    <row r="2795" spans="1:15" ht="30">
      <c r="A2795" s="91" t="s">
        <v>7</v>
      </c>
      <c r="B2795" s="91" t="s">
        <v>7</v>
      </c>
      <c r="C2795" s="92" t="str">
        <f ca="1">IFERROR(__xludf.DUMMYFUNCTION("filter('Back End'!C:C,'Back End'!A:A=A2795,'Back End'!B:B=B2795,'Back End'!D:D=D2795)"),"Tetagunta")</f>
        <v>Tetagunta</v>
      </c>
      <c r="D2795" s="91" t="s">
        <v>779</v>
      </c>
      <c r="E2795" s="91" t="s">
        <v>6416</v>
      </c>
      <c r="F2795" s="91" t="s">
        <v>139</v>
      </c>
      <c r="G2795" s="91" t="s">
        <v>594</v>
      </c>
      <c r="H2795" s="93" t="s">
        <v>4</v>
      </c>
      <c r="I2795" s="92" t="s">
        <v>3634</v>
      </c>
      <c r="J2795" s="92">
        <v>9177549809</v>
      </c>
      <c r="K2795" s="67"/>
      <c r="L2795" s="67"/>
      <c r="M2795" s="67"/>
      <c r="N2795" s="67"/>
      <c r="O2795" s="67"/>
    </row>
    <row r="2796" spans="1:15" ht="30">
      <c r="A2796" s="91" t="s">
        <v>7</v>
      </c>
      <c r="B2796" s="91" t="s">
        <v>7</v>
      </c>
      <c r="C2796" s="92" t="str">
        <f ca="1">IFERROR(__xludf.DUMMYFUNCTION("filter('Back End'!C:C,'Back End'!A:A=A2796,'Back End'!B:B=B2796,'Back End'!D:D=D2796)"),"Tetagunta")</f>
        <v>Tetagunta</v>
      </c>
      <c r="D2796" s="91" t="s">
        <v>779</v>
      </c>
      <c r="E2796" s="91" t="s">
        <v>6417</v>
      </c>
      <c r="F2796" s="91" t="s">
        <v>165</v>
      </c>
      <c r="G2796" s="91" t="s">
        <v>615</v>
      </c>
      <c r="H2796" s="93" t="s">
        <v>4</v>
      </c>
      <c r="I2796" s="92" t="s">
        <v>3634</v>
      </c>
      <c r="J2796" s="92">
        <v>9000140589</v>
      </c>
      <c r="K2796" s="67"/>
      <c r="L2796" s="67"/>
      <c r="M2796" s="67"/>
      <c r="N2796" s="67"/>
      <c r="O2796" s="67"/>
    </row>
    <row r="2797" spans="1:15" ht="30">
      <c r="A2797" s="91" t="s">
        <v>7</v>
      </c>
      <c r="B2797" s="91" t="s">
        <v>7</v>
      </c>
      <c r="C2797" s="92" t="str">
        <f ca="1">IFERROR(__xludf.DUMMYFUNCTION("filter('Back End'!C:C,'Back End'!A:A=A2797,'Back End'!B:B=B2797,'Back End'!D:D=D2797)"),"Tetagunta")</f>
        <v>Tetagunta</v>
      </c>
      <c r="D2797" s="91" t="s">
        <v>779</v>
      </c>
      <c r="E2797" s="91" t="s">
        <v>6418</v>
      </c>
      <c r="F2797" s="91" t="s">
        <v>165</v>
      </c>
      <c r="G2797" s="91" t="s">
        <v>615</v>
      </c>
      <c r="H2797" s="93" t="s">
        <v>4</v>
      </c>
      <c r="I2797" s="92" t="s">
        <v>3634</v>
      </c>
      <c r="J2797" s="92">
        <v>9849644328</v>
      </c>
      <c r="K2797" s="67"/>
      <c r="L2797" s="67"/>
      <c r="M2797" s="67"/>
      <c r="N2797" s="67"/>
      <c r="O2797" s="67"/>
    </row>
    <row r="2798" spans="1:15" ht="30">
      <c r="A2798" s="91" t="s">
        <v>7</v>
      </c>
      <c r="B2798" s="91" t="s">
        <v>7</v>
      </c>
      <c r="C2798" s="92" t="str">
        <f ca="1">IFERROR(__xludf.DUMMYFUNCTION("filter('Back End'!C:C,'Back End'!A:A=A2798,'Back End'!B:B=B2798,'Back End'!D:D=D2798)"),"Tetagunta")</f>
        <v>Tetagunta</v>
      </c>
      <c r="D2798" s="91" t="s">
        <v>779</v>
      </c>
      <c r="E2798" s="91" t="s">
        <v>6419</v>
      </c>
      <c r="F2798" s="91" t="s">
        <v>114</v>
      </c>
      <c r="G2798" s="91" t="s">
        <v>85</v>
      </c>
      <c r="H2798" s="93" t="s">
        <v>4</v>
      </c>
      <c r="I2798" s="92" t="s">
        <v>3634</v>
      </c>
      <c r="J2798" s="92">
        <v>9908792128</v>
      </c>
      <c r="K2798" s="67"/>
      <c r="L2798" s="67"/>
      <c r="M2798" s="67"/>
      <c r="N2798" s="67"/>
      <c r="O2798" s="67"/>
    </row>
    <row r="2799" spans="1:15" ht="30">
      <c r="A2799" s="91" t="s">
        <v>7</v>
      </c>
      <c r="B2799" s="92" t="s">
        <v>7</v>
      </c>
      <c r="C2799" s="92" t="str">
        <f ca="1">IFERROR(__xludf.DUMMYFUNCTION("filter('Back End'!C:C,'Back End'!A:A=A2799,'Back End'!B:B=B2799,'Back End'!D:D=D2799)"),"Tetagunta")</f>
        <v>Tetagunta</v>
      </c>
      <c r="D2799" s="91" t="s">
        <v>779</v>
      </c>
      <c r="E2799" s="92" t="s">
        <v>6420</v>
      </c>
      <c r="F2799" s="91" t="s">
        <v>165</v>
      </c>
      <c r="G2799" s="91" t="s">
        <v>615</v>
      </c>
      <c r="H2799" s="93" t="s">
        <v>4</v>
      </c>
      <c r="I2799" s="92" t="s">
        <v>3210</v>
      </c>
      <c r="J2799" s="92">
        <v>9949128758</v>
      </c>
      <c r="K2799" s="67"/>
      <c r="L2799" s="67"/>
      <c r="M2799" s="67"/>
      <c r="N2799" s="67"/>
      <c r="O2799" s="67"/>
    </row>
    <row r="2800" spans="1:15" ht="60">
      <c r="A2800" s="91" t="s">
        <v>7</v>
      </c>
      <c r="B2800" s="92" t="s">
        <v>7</v>
      </c>
      <c r="C2800" s="92" t="str">
        <f ca="1">IFERROR(__xludf.DUMMYFUNCTION("filter('Back End'!C:C,'Back End'!A:A=A2800,'Back End'!B:B=B2800,'Back End'!D:D=D2800)"),"Tetagunta")</f>
        <v>Tetagunta</v>
      </c>
      <c r="D2800" s="91" t="s">
        <v>779</v>
      </c>
      <c r="E2800" s="92" t="s">
        <v>6421</v>
      </c>
      <c r="F2800" s="91" t="s">
        <v>165</v>
      </c>
      <c r="G2800" s="91" t="s">
        <v>615</v>
      </c>
      <c r="H2800" s="93" t="s">
        <v>4</v>
      </c>
      <c r="I2800" s="92" t="s">
        <v>3140</v>
      </c>
      <c r="J2800" s="92">
        <v>9704976011</v>
      </c>
      <c r="K2800" s="67"/>
      <c r="L2800" s="92" t="s">
        <v>3736</v>
      </c>
      <c r="M2800" s="67"/>
      <c r="N2800" s="67"/>
      <c r="O2800" s="67"/>
    </row>
    <row r="2801" spans="1:15" ht="30">
      <c r="A2801" s="91" t="s">
        <v>7</v>
      </c>
      <c r="B2801" s="92" t="s">
        <v>7</v>
      </c>
      <c r="C2801" s="92" t="str">
        <f ca="1">IFERROR(__xludf.DUMMYFUNCTION("filter('Back End'!C:C,'Back End'!A:A=A2801,'Back End'!B:B=B2801,'Back End'!D:D=D2801)"),"Tetagunta")</f>
        <v>Tetagunta</v>
      </c>
      <c r="D2801" s="91" t="s">
        <v>779</v>
      </c>
      <c r="E2801" s="92" t="s">
        <v>6422</v>
      </c>
      <c r="F2801" s="91" t="s">
        <v>139</v>
      </c>
      <c r="G2801" s="91" t="s">
        <v>594</v>
      </c>
      <c r="H2801" s="93" t="s">
        <v>4</v>
      </c>
      <c r="I2801" s="92" t="s">
        <v>3140</v>
      </c>
      <c r="J2801" s="92">
        <v>9908343436</v>
      </c>
      <c r="K2801" s="67"/>
      <c r="L2801" s="67"/>
      <c r="M2801" s="67"/>
      <c r="N2801" s="67"/>
      <c r="O2801" s="67"/>
    </row>
    <row r="2802" spans="1:15" ht="30">
      <c r="A2802" s="91" t="s">
        <v>7</v>
      </c>
      <c r="B2802" s="92" t="s">
        <v>7</v>
      </c>
      <c r="C2802" s="92" t="str">
        <f ca="1">IFERROR(__xludf.DUMMYFUNCTION("filter('Back End'!C:C,'Back End'!A:A=A2802,'Back End'!B:B=B2802,'Back End'!D:D=D2802)"),"Tetagunta")</f>
        <v>Tetagunta</v>
      </c>
      <c r="D2802" s="91" t="s">
        <v>779</v>
      </c>
      <c r="E2802" s="92" t="s">
        <v>6415</v>
      </c>
      <c r="F2802" s="91" t="s">
        <v>139</v>
      </c>
      <c r="G2802" s="91" t="s">
        <v>594</v>
      </c>
      <c r="H2802" s="93" t="s">
        <v>4</v>
      </c>
      <c r="I2802" s="92" t="s">
        <v>3384</v>
      </c>
      <c r="J2802" s="92">
        <v>9493284279</v>
      </c>
      <c r="K2802" s="67"/>
      <c r="L2802" s="67"/>
      <c r="M2802" s="67"/>
      <c r="N2802" s="67"/>
      <c r="O2802" s="67"/>
    </row>
    <row r="2803" spans="1:15" ht="15">
      <c r="A2803" s="118" t="s">
        <v>7</v>
      </c>
      <c r="B2803" s="118" t="s">
        <v>7</v>
      </c>
      <c r="C2803" s="92" t="str">
        <f ca="1">IFERROR(__xludf.DUMMYFUNCTION("filter('Back End'!C:C,'Back End'!A:A=A2803,'Back End'!B:B=B2803,'Back End'!D:D=D2803)"),"Tetagunta")</f>
        <v>Tetagunta</v>
      </c>
      <c r="D2803" s="91" t="s">
        <v>779</v>
      </c>
      <c r="E2803" s="118" t="s">
        <v>6423</v>
      </c>
      <c r="F2803" s="67"/>
      <c r="G2803" s="67"/>
      <c r="H2803" s="93" t="s">
        <v>4</v>
      </c>
      <c r="I2803" s="67"/>
      <c r="J2803" s="119">
        <v>8106188799</v>
      </c>
      <c r="K2803" s="121"/>
      <c r="L2803" s="118" t="s">
        <v>3157</v>
      </c>
      <c r="M2803" s="121"/>
      <c r="N2803" s="67"/>
      <c r="O2803" s="67"/>
    </row>
    <row r="2804" spans="1:15" ht="30">
      <c r="A2804" s="91" t="s">
        <v>6424</v>
      </c>
      <c r="B2804" s="91" t="s">
        <v>389</v>
      </c>
      <c r="C2804" s="92" t="s">
        <v>409</v>
      </c>
      <c r="D2804" s="91" t="s">
        <v>409</v>
      </c>
      <c r="E2804" s="91" t="s">
        <v>6425</v>
      </c>
      <c r="F2804" s="91" t="s">
        <v>1669</v>
      </c>
      <c r="G2804" s="91" t="s">
        <v>615</v>
      </c>
      <c r="H2804" s="93" t="s">
        <v>5</v>
      </c>
      <c r="I2804" s="92" t="s">
        <v>4247</v>
      </c>
      <c r="J2804" s="92">
        <v>9700398888</v>
      </c>
      <c r="K2804" s="67"/>
      <c r="L2804" s="67"/>
      <c r="M2804" s="67"/>
      <c r="N2804" s="67"/>
      <c r="O2804" s="67"/>
    </row>
    <row r="2805" spans="1:15" ht="30">
      <c r="A2805" s="91" t="s">
        <v>6424</v>
      </c>
      <c r="B2805" s="91" t="s">
        <v>389</v>
      </c>
      <c r="C2805" s="92" t="s">
        <v>409</v>
      </c>
      <c r="D2805" s="91" t="s">
        <v>409</v>
      </c>
      <c r="E2805" s="91" t="s">
        <v>6426</v>
      </c>
      <c r="F2805" s="91" t="s">
        <v>1669</v>
      </c>
      <c r="G2805" s="91" t="s">
        <v>615</v>
      </c>
      <c r="H2805" s="93" t="s">
        <v>5</v>
      </c>
      <c r="I2805" s="92" t="s">
        <v>6427</v>
      </c>
      <c r="J2805" s="92">
        <v>9848073844</v>
      </c>
      <c r="K2805" s="67"/>
      <c r="L2805" s="67"/>
      <c r="M2805" s="67"/>
      <c r="N2805" s="67"/>
      <c r="O2805" s="67"/>
    </row>
    <row r="2806" spans="1:15" ht="15">
      <c r="A2806" s="91" t="s">
        <v>6424</v>
      </c>
      <c r="B2806" s="91" t="s">
        <v>389</v>
      </c>
      <c r="C2806" s="92" t="s">
        <v>409</v>
      </c>
      <c r="D2806" s="91" t="s">
        <v>409</v>
      </c>
      <c r="E2806" s="91" t="s">
        <v>6428</v>
      </c>
      <c r="F2806" s="91" t="s">
        <v>1669</v>
      </c>
      <c r="G2806" s="91" t="s">
        <v>615</v>
      </c>
      <c r="H2806" s="93" t="s">
        <v>5</v>
      </c>
      <c r="I2806" s="92" t="s">
        <v>3185</v>
      </c>
      <c r="J2806" s="92">
        <v>9010058806</v>
      </c>
      <c r="K2806" s="67"/>
      <c r="L2806" s="67"/>
      <c r="M2806" s="67"/>
      <c r="N2806" s="67"/>
      <c r="O2806" s="67"/>
    </row>
    <row r="2807" spans="1:15" ht="60">
      <c r="A2807" s="91" t="s">
        <v>6424</v>
      </c>
      <c r="B2807" s="91" t="s">
        <v>389</v>
      </c>
      <c r="C2807" s="92" t="s">
        <v>409</v>
      </c>
      <c r="D2807" s="91" t="s">
        <v>409</v>
      </c>
      <c r="E2807" s="91" t="s">
        <v>6429</v>
      </c>
      <c r="F2807" s="91" t="s">
        <v>1669</v>
      </c>
      <c r="G2807" s="91" t="s">
        <v>615</v>
      </c>
      <c r="H2807" s="93" t="s">
        <v>4</v>
      </c>
      <c r="I2807" s="92" t="s">
        <v>6430</v>
      </c>
      <c r="J2807" s="92">
        <v>9010475909</v>
      </c>
      <c r="K2807" s="67"/>
      <c r="L2807" s="67"/>
      <c r="M2807" s="67"/>
      <c r="N2807" s="67"/>
      <c r="O2807" s="67"/>
    </row>
    <row r="2808" spans="1:15" ht="30">
      <c r="A2808" s="91" t="s">
        <v>6424</v>
      </c>
      <c r="B2808" s="91" t="s">
        <v>389</v>
      </c>
      <c r="C2808" s="92" t="s">
        <v>409</v>
      </c>
      <c r="D2808" s="91" t="s">
        <v>409</v>
      </c>
      <c r="E2808" s="91" t="s">
        <v>6431</v>
      </c>
      <c r="F2808" s="91" t="s">
        <v>1669</v>
      </c>
      <c r="G2808" s="91" t="s">
        <v>615</v>
      </c>
      <c r="H2808" s="93" t="s">
        <v>4</v>
      </c>
      <c r="I2808" s="92" t="s">
        <v>3120</v>
      </c>
      <c r="J2808" s="92">
        <v>9010475909</v>
      </c>
      <c r="K2808" s="67"/>
      <c r="L2808" s="67"/>
      <c r="M2808" s="67"/>
      <c r="N2808" s="67"/>
      <c r="O2808" s="67"/>
    </row>
    <row r="2809" spans="1:15" ht="30">
      <c r="A2809" s="91" t="s">
        <v>15</v>
      </c>
      <c r="B2809" s="91" t="s">
        <v>389</v>
      </c>
      <c r="C2809" s="92" t="str">
        <f ca="1">IFERROR(__xludf.DUMMYFUNCTION("filter('Back End'!C:C,'Back End'!A:A=A2809,'Back End'!B:B=B2809,'Back End'!D:D=D2809)"),"Madhavapatnam")</f>
        <v>Madhavapatnam</v>
      </c>
      <c r="D2809" s="91" t="s">
        <v>409</v>
      </c>
      <c r="E2809" s="91" t="s">
        <v>6432</v>
      </c>
      <c r="F2809" s="91" t="s">
        <v>1669</v>
      </c>
      <c r="G2809" s="91" t="s">
        <v>615</v>
      </c>
      <c r="H2809" s="93" t="s">
        <v>4</v>
      </c>
      <c r="I2809" s="92" t="s">
        <v>3591</v>
      </c>
      <c r="J2809" s="92">
        <v>9618182547</v>
      </c>
      <c r="K2809" s="67"/>
      <c r="L2809" s="67"/>
      <c r="M2809" s="67"/>
      <c r="N2809" s="67"/>
      <c r="O2809" s="67"/>
    </row>
    <row r="2810" spans="1:15" ht="30">
      <c r="A2810" s="91" t="s">
        <v>15</v>
      </c>
      <c r="B2810" s="91" t="s">
        <v>389</v>
      </c>
      <c r="C2810" s="92" t="str">
        <f ca="1">IFERROR(__xludf.DUMMYFUNCTION("filter('Back End'!C:C,'Back End'!A:A=A2810,'Back End'!B:B=B2810,'Back End'!D:D=D2810)"),"Madhavapatnam")</f>
        <v>Madhavapatnam</v>
      </c>
      <c r="D2810" s="91" t="s">
        <v>409</v>
      </c>
      <c r="E2810" s="91" t="s">
        <v>6433</v>
      </c>
      <c r="F2810" s="91" t="s">
        <v>114</v>
      </c>
      <c r="G2810" s="91" t="s">
        <v>615</v>
      </c>
      <c r="H2810" s="93" t="s">
        <v>4</v>
      </c>
      <c r="I2810" s="92" t="s">
        <v>3591</v>
      </c>
      <c r="J2810" s="92">
        <v>9063461200</v>
      </c>
      <c r="K2810" s="67"/>
      <c r="L2810" s="67"/>
      <c r="M2810" s="67"/>
      <c r="N2810" s="67"/>
      <c r="O2810" s="67"/>
    </row>
    <row r="2811" spans="1:15" ht="30">
      <c r="A2811" s="91" t="s">
        <v>15</v>
      </c>
      <c r="B2811" s="91" t="s">
        <v>389</v>
      </c>
      <c r="C2811" s="92" t="str">
        <f ca="1">IFERROR(__xludf.DUMMYFUNCTION("filter('Back End'!C:C,'Back End'!A:A=A2811,'Back End'!B:B=B2811,'Back End'!D:D=D2811)"),"Madhavapatnam")</f>
        <v>Madhavapatnam</v>
      </c>
      <c r="D2811" s="91" t="s">
        <v>409</v>
      </c>
      <c r="E2811" s="91" t="s">
        <v>6434</v>
      </c>
      <c r="F2811" s="91" t="s">
        <v>1669</v>
      </c>
      <c r="G2811" s="91" t="s">
        <v>615</v>
      </c>
      <c r="H2811" s="93" t="s">
        <v>4</v>
      </c>
      <c r="I2811" s="92" t="s">
        <v>3591</v>
      </c>
      <c r="J2811" s="92">
        <v>7893035269</v>
      </c>
      <c r="K2811" s="67"/>
      <c r="L2811" s="67"/>
      <c r="M2811" s="67"/>
      <c r="N2811" s="67"/>
      <c r="O2811" s="67"/>
    </row>
    <row r="2812" spans="1:15" ht="30">
      <c r="A2812" s="91" t="s">
        <v>15</v>
      </c>
      <c r="B2812" s="91" t="s">
        <v>389</v>
      </c>
      <c r="C2812" s="92" t="str">
        <f ca="1">IFERROR(__xludf.DUMMYFUNCTION("filter('Back End'!C:C,'Back End'!A:A=A2812,'Back End'!B:B=B2812,'Back End'!D:D=D2812)"),"Madhavapatnam")</f>
        <v>Madhavapatnam</v>
      </c>
      <c r="D2812" s="91" t="s">
        <v>409</v>
      </c>
      <c r="E2812" s="91" t="s">
        <v>6435</v>
      </c>
      <c r="F2812" s="91" t="s">
        <v>1669</v>
      </c>
      <c r="G2812" s="91" t="s">
        <v>615</v>
      </c>
      <c r="H2812" s="93" t="s">
        <v>4</v>
      </c>
      <c r="I2812" s="92" t="s">
        <v>3591</v>
      </c>
      <c r="J2812" s="92">
        <v>7995866427</v>
      </c>
      <c r="K2812" s="67"/>
      <c r="L2812" s="67"/>
      <c r="M2812" s="67"/>
      <c r="N2812" s="67"/>
      <c r="O2812" s="67"/>
    </row>
    <row r="2813" spans="1:15" ht="30">
      <c r="A2813" s="91" t="s">
        <v>15</v>
      </c>
      <c r="B2813" s="91" t="s">
        <v>389</v>
      </c>
      <c r="C2813" s="92" t="str">
        <f ca="1">IFERROR(__xludf.DUMMYFUNCTION("filter('Back End'!C:C,'Back End'!A:A=A2813,'Back End'!B:B=B2813,'Back End'!D:D=D2813)"),"Madhavapatnam")</f>
        <v>Madhavapatnam</v>
      </c>
      <c r="D2813" s="91" t="s">
        <v>409</v>
      </c>
      <c r="E2813" s="91" t="s">
        <v>6436</v>
      </c>
      <c r="F2813" s="91" t="s">
        <v>1669</v>
      </c>
      <c r="G2813" s="91" t="s">
        <v>615</v>
      </c>
      <c r="H2813" s="93" t="s">
        <v>4</v>
      </c>
      <c r="I2813" s="92" t="s">
        <v>3196</v>
      </c>
      <c r="J2813" s="92">
        <v>9948225333</v>
      </c>
      <c r="K2813" s="67"/>
      <c r="L2813" s="67"/>
      <c r="M2813" s="67"/>
      <c r="N2813" s="67"/>
      <c r="O2813" s="67"/>
    </row>
    <row r="2814" spans="1:15" ht="30">
      <c r="A2814" s="91" t="s">
        <v>15</v>
      </c>
      <c r="B2814" s="91" t="s">
        <v>389</v>
      </c>
      <c r="C2814" s="92" t="str">
        <f ca="1">IFERROR(__xludf.DUMMYFUNCTION("filter('Back End'!C:C,'Back End'!A:A=A2814,'Back End'!B:B=B2814,'Back End'!D:D=D2814)"),"Madhavapatnam")</f>
        <v>Madhavapatnam</v>
      </c>
      <c r="D2814" s="91" t="s">
        <v>409</v>
      </c>
      <c r="E2814" s="91" t="s">
        <v>6437</v>
      </c>
      <c r="F2814" s="91" t="s">
        <v>1669</v>
      </c>
      <c r="G2814" s="91" t="s">
        <v>615</v>
      </c>
      <c r="H2814" s="93" t="s">
        <v>4</v>
      </c>
      <c r="I2814" s="92" t="s">
        <v>3591</v>
      </c>
      <c r="J2814" s="92">
        <v>8309689558</v>
      </c>
      <c r="K2814" s="67"/>
      <c r="L2814" s="67"/>
      <c r="M2814" s="67"/>
      <c r="N2814" s="67"/>
      <c r="O2814" s="67"/>
    </row>
    <row r="2815" spans="1:15" ht="15">
      <c r="A2815" s="91" t="s">
        <v>15</v>
      </c>
      <c r="B2815" s="91" t="s">
        <v>389</v>
      </c>
      <c r="C2815" s="92" t="s">
        <v>413</v>
      </c>
      <c r="D2815" s="91" t="s">
        <v>413</v>
      </c>
      <c r="E2815" s="91" t="s">
        <v>6438</v>
      </c>
      <c r="F2815" s="91" t="s">
        <v>139</v>
      </c>
      <c r="G2815" s="91" t="s">
        <v>594</v>
      </c>
      <c r="H2815" s="93" t="s">
        <v>5</v>
      </c>
      <c r="I2815" s="92" t="s">
        <v>3185</v>
      </c>
      <c r="J2815" s="92" t="s">
        <v>2631</v>
      </c>
      <c r="K2815" s="67"/>
      <c r="L2815" s="67"/>
      <c r="M2815" s="67"/>
      <c r="N2815" s="67"/>
      <c r="O2815" s="67"/>
    </row>
    <row r="2816" spans="1:15" ht="15">
      <c r="A2816" s="91" t="s">
        <v>15</v>
      </c>
      <c r="B2816" s="91" t="s">
        <v>389</v>
      </c>
      <c r="C2816" s="92" t="str">
        <f ca="1">IFERROR(__xludf.DUMMYFUNCTION("filter('Back End'!C:C,'Back End'!A:A=A2816,'Back End'!B:B=B2816,'Back End'!D:D=D2816)"),"P. Vemavaram")</f>
        <v>P. Vemavaram</v>
      </c>
      <c r="D2816" s="91" t="s">
        <v>413</v>
      </c>
      <c r="E2816" s="91" t="s">
        <v>6439</v>
      </c>
      <c r="F2816" s="91" t="s">
        <v>139</v>
      </c>
      <c r="G2816" s="91" t="s">
        <v>594</v>
      </c>
      <c r="H2816" s="93" t="s">
        <v>5</v>
      </c>
      <c r="I2816" s="92" t="s">
        <v>2631</v>
      </c>
      <c r="J2816" s="92">
        <v>8500438922</v>
      </c>
      <c r="K2816" s="67"/>
      <c r="L2816" s="67"/>
      <c r="M2816" s="67"/>
      <c r="N2816" s="67"/>
      <c r="O2816" s="67"/>
    </row>
    <row r="2817" spans="1:15" ht="30">
      <c r="A2817" s="91" t="s">
        <v>15</v>
      </c>
      <c r="B2817" s="91" t="s">
        <v>389</v>
      </c>
      <c r="C2817" s="92" t="str">
        <f ca="1">IFERROR(__xludf.DUMMYFUNCTION("filter('Back End'!C:C,'Back End'!A:A=A2817,'Back End'!B:B=B2817,'Back End'!D:D=D2817)"),"P. Vemavaram")</f>
        <v>P. Vemavaram</v>
      </c>
      <c r="D2817" s="91" t="s">
        <v>413</v>
      </c>
      <c r="E2817" s="91" t="s">
        <v>6440</v>
      </c>
      <c r="F2817" s="67"/>
      <c r="G2817" s="67"/>
      <c r="H2817" s="93" t="s">
        <v>5</v>
      </c>
      <c r="I2817" s="92" t="s">
        <v>2631</v>
      </c>
      <c r="J2817" s="92">
        <v>9989986142</v>
      </c>
      <c r="K2817" s="67"/>
      <c r="L2817" s="92" t="s">
        <v>6441</v>
      </c>
      <c r="M2817" s="67"/>
      <c r="N2817" s="67"/>
      <c r="O2817" s="67"/>
    </row>
    <row r="2818" spans="1:15" ht="15">
      <c r="A2818" s="91" t="s">
        <v>15</v>
      </c>
      <c r="B2818" s="91" t="s">
        <v>389</v>
      </c>
      <c r="C2818" s="92" t="str">
        <f ca="1">IFERROR(__xludf.DUMMYFUNCTION("filter('Back End'!C:C,'Back End'!A:A=A2818,'Back End'!B:B=B2818,'Back End'!D:D=D2818)"),"P. Vemavaram")</f>
        <v>P. Vemavaram</v>
      </c>
      <c r="D2818" s="91" t="s">
        <v>413</v>
      </c>
      <c r="E2818" s="91" t="s">
        <v>6442</v>
      </c>
      <c r="F2818" s="91" t="s">
        <v>139</v>
      </c>
      <c r="G2818" s="91" t="s">
        <v>594</v>
      </c>
      <c r="H2818" s="93" t="s">
        <v>4</v>
      </c>
      <c r="I2818" s="92" t="s">
        <v>3125</v>
      </c>
      <c r="J2818" s="92">
        <v>8341209688</v>
      </c>
      <c r="K2818" s="67"/>
      <c r="L2818" s="67"/>
      <c r="M2818" s="67"/>
      <c r="N2818" s="67"/>
      <c r="O2818" s="67"/>
    </row>
    <row r="2819" spans="1:15" ht="15">
      <c r="A2819" s="91" t="s">
        <v>15</v>
      </c>
      <c r="B2819" s="91" t="s">
        <v>389</v>
      </c>
      <c r="C2819" s="92" t="str">
        <f ca="1">IFERROR(__xludf.DUMMYFUNCTION("filter('Back End'!C:C,'Back End'!A:A=A2819,'Back End'!B:B=B2819,'Back End'!D:D=D2819)"),"P. Vemavaram")</f>
        <v>P. Vemavaram</v>
      </c>
      <c r="D2819" s="91" t="s">
        <v>413</v>
      </c>
      <c r="E2819" s="91" t="s">
        <v>6443</v>
      </c>
      <c r="F2819" s="91" t="s">
        <v>139</v>
      </c>
      <c r="G2819" s="91" t="s">
        <v>594</v>
      </c>
      <c r="H2819" s="93" t="s">
        <v>4</v>
      </c>
      <c r="I2819" s="92" t="s">
        <v>3490</v>
      </c>
      <c r="J2819" s="92">
        <v>9985444877</v>
      </c>
      <c r="K2819" s="67"/>
      <c r="L2819" s="67"/>
      <c r="M2819" s="67"/>
      <c r="N2819" s="67"/>
      <c r="O2819" s="67"/>
    </row>
    <row r="2820" spans="1:15" ht="60">
      <c r="A2820" s="91" t="s">
        <v>15</v>
      </c>
      <c r="B2820" s="91" t="s">
        <v>389</v>
      </c>
      <c r="C2820" s="92" t="str">
        <f ca="1">IFERROR(__xludf.DUMMYFUNCTION("filter('Back End'!C:C,'Back End'!A:A=A2820,'Back End'!B:B=B2820,'Back End'!D:D=D2820)"),"Pavara")</f>
        <v>Pavara</v>
      </c>
      <c r="D2820" s="91" t="s">
        <v>419</v>
      </c>
      <c r="E2820" s="92" t="s">
        <v>6444</v>
      </c>
      <c r="F2820" s="91" t="s">
        <v>139</v>
      </c>
      <c r="G2820" s="91" t="s">
        <v>594</v>
      </c>
      <c r="H2820" s="93" t="s">
        <v>5</v>
      </c>
      <c r="I2820" s="92" t="s">
        <v>3379</v>
      </c>
      <c r="J2820" s="92">
        <v>9908256999</v>
      </c>
      <c r="K2820" s="67"/>
      <c r="L2820" s="67"/>
      <c r="M2820" s="67"/>
      <c r="N2820" s="67"/>
      <c r="O2820" s="67"/>
    </row>
    <row r="2821" spans="1:15" ht="30">
      <c r="A2821" s="91" t="s">
        <v>15</v>
      </c>
      <c r="B2821" s="91" t="s">
        <v>389</v>
      </c>
      <c r="C2821" s="92" t="str">
        <f ca="1">IFERROR(__xludf.DUMMYFUNCTION("filter('Back End'!C:C,'Back End'!A:A=A2821,'Back End'!B:B=B2821,'Back End'!D:D=D2821)"),"Pavara")</f>
        <v>Pavara</v>
      </c>
      <c r="D2821" s="91" t="s">
        <v>419</v>
      </c>
      <c r="E2821" s="91" t="s">
        <v>6445</v>
      </c>
      <c r="F2821" s="91" t="s">
        <v>139</v>
      </c>
      <c r="G2821" s="91" t="s">
        <v>594</v>
      </c>
      <c r="H2821" s="93" t="s">
        <v>5</v>
      </c>
      <c r="I2821" s="92" t="s">
        <v>6446</v>
      </c>
      <c r="J2821" s="92">
        <v>7382425764</v>
      </c>
      <c r="K2821" s="67"/>
      <c r="L2821" s="67"/>
      <c r="M2821" s="67"/>
      <c r="N2821" s="67"/>
      <c r="O2821" s="67"/>
    </row>
    <row r="2822" spans="1:15" ht="45">
      <c r="A2822" s="91" t="s">
        <v>15</v>
      </c>
      <c r="B2822" s="91" t="s">
        <v>389</v>
      </c>
      <c r="C2822" s="92" t="str">
        <f ca="1">IFERROR(__xludf.DUMMYFUNCTION("filter('Back End'!C:C,'Back End'!A:A=A2822,'Back End'!B:B=B2822,'Back End'!D:D=D2822)"),"Pavara")</f>
        <v>Pavara</v>
      </c>
      <c r="D2822" s="91" t="s">
        <v>419</v>
      </c>
      <c r="E2822" s="91" t="s">
        <v>6447</v>
      </c>
      <c r="F2822" s="91" t="s">
        <v>139</v>
      </c>
      <c r="G2822" s="91" t="s">
        <v>594</v>
      </c>
      <c r="H2822" s="93" t="s">
        <v>4</v>
      </c>
      <c r="I2822" s="92" t="s">
        <v>6448</v>
      </c>
      <c r="J2822" s="92">
        <v>9949563144</v>
      </c>
      <c r="K2822" s="67"/>
      <c r="L2822" s="67"/>
      <c r="M2822" s="67"/>
      <c r="N2822" s="67"/>
      <c r="O2822" s="67"/>
    </row>
    <row r="2823" spans="1:15" ht="30">
      <c r="A2823" s="91" t="s">
        <v>15</v>
      </c>
      <c r="B2823" s="91" t="s">
        <v>389</v>
      </c>
      <c r="C2823" s="92" t="str">
        <f ca="1">IFERROR(__xludf.DUMMYFUNCTION("filter('Back End'!C:C,'Back End'!A:A=A2823,'Back End'!B:B=B2823,'Back End'!D:D=D2823)"),"Pavara")</f>
        <v>Pavara</v>
      </c>
      <c r="D2823" s="91" t="s">
        <v>419</v>
      </c>
      <c r="E2823" s="91" t="s">
        <v>6449</v>
      </c>
      <c r="F2823" s="91" t="s">
        <v>139</v>
      </c>
      <c r="G2823" s="91" t="s">
        <v>594</v>
      </c>
      <c r="H2823" s="93" t="s">
        <v>4</v>
      </c>
      <c r="I2823" s="92" t="s">
        <v>3120</v>
      </c>
      <c r="J2823" s="92" t="s">
        <v>2631</v>
      </c>
      <c r="K2823" s="67"/>
      <c r="L2823" s="67"/>
      <c r="M2823" s="67"/>
      <c r="N2823" s="67"/>
      <c r="O2823" s="67"/>
    </row>
    <row r="2824" spans="1:15" ht="30">
      <c r="A2824" s="91" t="s">
        <v>15</v>
      </c>
      <c r="B2824" s="91" t="s">
        <v>389</v>
      </c>
      <c r="C2824" s="92" t="str">
        <f ca="1">IFERROR(__xludf.DUMMYFUNCTION("filter('Back End'!C:C,'Back End'!A:A=A2824,'Back End'!B:B=B2824,'Back End'!D:D=D2824)"),"Pavara")</f>
        <v>Pavara</v>
      </c>
      <c r="D2824" s="91" t="s">
        <v>419</v>
      </c>
      <c r="E2824" s="91" t="s">
        <v>6450</v>
      </c>
      <c r="F2824" s="91" t="s">
        <v>1669</v>
      </c>
      <c r="G2824" s="91" t="s">
        <v>615</v>
      </c>
      <c r="H2824" s="93" t="s">
        <v>4</v>
      </c>
      <c r="I2824" s="92" t="s">
        <v>6451</v>
      </c>
      <c r="J2824" s="92">
        <v>9959589222</v>
      </c>
      <c r="K2824" s="67"/>
      <c r="L2824" s="67"/>
      <c r="M2824" s="67"/>
      <c r="N2824" s="67"/>
      <c r="O2824" s="67"/>
    </row>
    <row r="2825" spans="1:15" ht="15">
      <c r="A2825" s="91" t="s">
        <v>15</v>
      </c>
      <c r="B2825" s="91" t="s">
        <v>389</v>
      </c>
      <c r="C2825" s="92" t="str">
        <f ca="1">IFERROR(__xludf.DUMMYFUNCTION("filter('Back End'!C:C,'Back End'!A:A=A2825,'Back End'!B:B=B2825,'Back End'!D:D=D2825)"),"Pavara")</f>
        <v>Pavara</v>
      </c>
      <c r="D2825" s="91" t="s">
        <v>419</v>
      </c>
      <c r="E2825" s="91" t="s">
        <v>6452</v>
      </c>
      <c r="F2825" s="91" t="s">
        <v>139</v>
      </c>
      <c r="G2825" s="91" t="s">
        <v>615</v>
      </c>
      <c r="H2825" s="93" t="s">
        <v>4</v>
      </c>
      <c r="I2825" s="92" t="s">
        <v>2631</v>
      </c>
      <c r="J2825" s="92">
        <v>8179030019</v>
      </c>
      <c r="K2825" s="67"/>
      <c r="L2825" s="67"/>
      <c r="M2825" s="67"/>
      <c r="N2825" s="67"/>
      <c r="O2825" s="67"/>
    </row>
    <row r="2826" spans="1:15" ht="30">
      <c r="A2826" s="91" t="s">
        <v>15</v>
      </c>
      <c r="B2826" s="91" t="s">
        <v>389</v>
      </c>
      <c r="C2826" s="92" t="str">
        <f ca="1">IFERROR(__xludf.DUMMYFUNCTION("filter('Back End'!C:C,'Back End'!A:A=A2826,'Back End'!B:B=B2826,'Back End'!D:D=D2826)"),"Pavara")</f>
        <v>Pavara</v>
      </c>
      <c r="D2826" s="91" t="s">
        <v>419</v>
      </c>
      <c r="E2826" s="91" t="s">
        <v>6453</v>
      </c>
      <c r="F2826" s="91" t="s">
        <v>114</v>
      </c>
      <c r="G2826" s="91" t="s">
        <v>85</v>
      </c>
      <c r="H2826" s="93" t="s">
        <v>4</v>
      </c>
      <c r="I2826" s="92" t="s">
        <v>6454</v>
      </c>
      <c r="J2826" s="92">
        <v>9441158932</v>
      </c>
      <c r="K2826" s="67"/>
      <c r="L2826" s="67"/>
      <c r="M2826" s="67"/>
      <c r="N2826" s="67"/>
      <c r="O2826" s="67"/>
    </row>
    <row r="2827" spans="1:15" ht="15">
      <c r="A2827" s="91" t="s">
        <v>15</v>
      </c>
      <c r="B2827" s="91" t="s">
        <v>389</v>
      </c>
      <c r="C2827" s="92" t="str">
        <f ca="1">IFERROR(__xludf.DUMMYFUNCTION("filter('Back End'!C:C,'Back End'!A:A=A2827,'Back End'!B:B=B2827,'Back End'!D:D=D2827)"),"Pavara")</f>
        <v>Pavara</v>
      </c>
      <c r="D2827" s="91" t="s">
        <v>419</v>
      </c>
      <c r="E2827" s="91" t="s">
        <v>6455</v>
      </c>
      <c r="F2827" s="91" t="s">
        <v>1599</v>
      </c>
      <c r="G2827" s="91" t="s">
        <v>594</v>
      </c>
      <c r="H2827" s="93" t="s">
        <v>4</v>
      </c>
      <c r="I2827" s="92" t="s">
        <v>3125</v>
      </c>
      <c r="J2827" s="92">
        <v>9885936629</v>
      </c>
      <c r="K2827" s="67"/>
      <c r="L2827" s="67"/>
      <c r="M2827" s="67"/>
      <c r="N2827" s="67"/>
      <c r="O2827" s="67"/>
    </row>
    <row r="2828" spans="1:15" ht="15">
      <c r="A2828" s="91" t="s">
        <v>7</v>
      </c>
      <c r="B2828" s="91" t="s">
        <v>7</v>
      </c>
      <c r="C2828" s="92" t="str">
        <f ca="1">IFERROR(__xludf.DUMMYFUNCTION("filter('Back End'!C:C,'Back End'!A:A=A2828,'Back End'!B:B=B2828,'Back End'!D:D=D2828)"),"#N/A")</f>
        <v>#N/A</v>
      </c>
      <c r="D2828" s="91" t="s">
        <v>6456</v>
      </c>
      <c r="E2828" s="91" t="s">
        <v>6457</v>
      </c>
      <c r="F2828" s="91" t="s">
        <v>94</v>
      </c>
      <c r="G2828" s="91" t="s">
        <v>615</v>
      </c>
      <c r="H2828" s="93" t="s">
        <v>5</v>
      </c>
      <c r="I2828" s="92" t="s">
        <v>3115</v>
      </c>
      <c r="J2828" s="92">
        <v>9440693725</v>
      </c>
      <c r="K2828" s="67"/>
      <c r="L2828" s="67"/>
      <c r="M2828" s="67"/>
      <c r="N2828" s="67"/>
      <c r="O2828" s="67"/>
    </row>
    <row r="2829" spans="1:15" ht="30">
      <c r="A2829" s="91" t="s">
        <v>7</v>
      </c>
      <c r="B2829" s="91" t="s">
        <v>7</v>
      </c>
      <c r="C2829" s="92" t="str">
        <f ca="1">IFERROR(__xludf.DUMMYFUNCTION("filter('Back End'!C:C,'Back End'!A:A=A2829,'Back End'!B:B=B2829,'Back End'!D:D=D2829)"),"#N/A")</f>
        <v>#N/A</v>
      </c>
      <c r="D2829" s="91" t="s">
        <v>6456</v>
      </c>
      <c r="E2829" s="91" t="s">
        <v>6458</v>
      </c>
      <c r="F2829" s="91" t="s">
        <v>94</v>
      </c>
      <c r="G2829" s="91" t="s">
        <v>615</v>
      </c>
      <c r="H2829" s="93" t="s">
        <v>5</v>
      </c>
      <c r="I2829" s="92" t="s">
        <v>4395</v>
      </c>
      <c r="J2829" s="92">
        <v>9440693725</v>
      </c>
      <c r="K2829" s="67"/>
      <c r="L2829" s="67"/>
      <c r="M2829" s="67"/>
      <c r="N2829" s="67"/>
      <c r="O2829" s="67"/>
    </row>
    <row r="2830" spans="1:15" ht="15">
      <c r="A2830" s="91" t="s">
        <v>7</v>
      </c>
      <c r="B2830" s="91" t="s">
        <v>7</v>
      </c>
      <c r="C2830" s="92" t="str">
        <f ca="1">IFERROR(__xludf.DUMMYFUNCTION("filter('Back End'!C:C,'Back End'!A:A=A2830,'Back End'!B:B=B2830,'Back End'!D:D=D2830)"),"#N/A")</f>
        <v>#N/A</v>
      </c>
      <c r="D2830" s="91" t="s">
        <v>6456</v>
      </c>
      <c r="E2830" s="91" t="s">
        <v>6459</v>
      </c>
      <c r="F2830" s="91" t="s">
        <v>1661</v>
      </c>
      <c r="G2830" s="91" t="s">
        <v>615</v>
      </c>
      <c r="H2830" s="93" t="s">
        <v>5</v>
      </c>
      <c r="I2830" s="92" t="s">
        <v>3185</v>
      </c>
      <c r="J2830" s="92">
        <v>9949228037</v>
      </c>
      <c r="K2830" s="67"/>
      <c r="L2830" s="67"/>
      <c r="M2830" s="67"/>
      <c r="N2830" s="67"/>
      <c r="O2830" s="67"/>
    </row>
    <row r="2831" spans="1:15" ht="75">
      <c r="A2831" s="91" t="s">
        <v>7</v>
      </c>
      <c r="B2831" s="91" t="s">
        <v>7</v>
      </c>
      <c r="C2831" s="92" t="str">
        <f ca="1">IFERROR(__xludf.DUMMYFUNCTION("filter('Back End'!C:C,'Back End'!A:A=A2831,'Back End'!B:B=B2831,'Back End'!D:D=D2831)"),"#N/A")</f>
        <v>#N/A</v>
      </c>
      <c r="D2831" s="91" t="s">
        <v>6456</v>
      </c>
      <c r="E2831" s="91" t="s">
        <v>6460</v>
      </c>
      <c r="F2831" s="91" t="s">
        <v>165</v>
      </c>
      <c r="G2831" s="91" t="s">
        <v>615</v>
      </c>
      <c r="H2831" s="93" t="s">
        <v>4</v>
      </c>
      <c r="I2831" s="92" t="s">
        <v>6461</v>
      </c>
      <c r="J2831" s="92">
        <v>8008280322</v>
      </c>
      <c r="K2831" s="67"/>
      <c r="L2831" s="67"/>
      <c r="M2831" s="67"/>
      <c r="N2831" s="67"/>
      <c r="O2831" s="67"/>
    </row>
    <row r="2832" spans="1:15" ht="60">
      <c r="A2832" s="91" t="s">
        <v>7</v>
      </c>
      <c r="B2832" s="91" t="s">
        <v>7</v>
      </c>
      <c r="C2832" s="92" t="str">
        <f ca="1">IFERROR(__xludf.DUMMYFUNCTION("filter('Back End'!C:C,'Back End'!A:A=A2832,'Back End'!B:B=B2832,'Back End'!D:D=D2832)"),"#N/A")</f>
        <v>#N/A</v>
      </c>
      <c r="D2832" s="91" t="s">
        <v>6456</v>
      </c>
      <c r="E2832" s="91" t="s">
        <v>6462</v>
      </c>
      <c r="F2832" s="91" t="s">
        <v>467</v>
      </c>
      <c r="G2832" s="91" t="s">
        <v>85</v>
      </c>
      <c r="H2832" s="93" t="s">
        <v>6463</v>
      </c>
      <c r="I2832" s="92" t="s">
        <v>6464</v>
      </c>
      <c r="J2832" s="92">
        <v>9494874466</v>
      </c>
      <c r="K2832" s="67"/>
      <c r="L2832" s="67"/>
      <c r="M2832" s="67"/>
      <c r="N2832" s="67"/>
      <c r="O2832" s="67"/>
    </row>
    <row r="2833" spans="1:15" ht="30">
      <c r="A2833" s="91" t="s">
        <v>7</v>
      </c>
      <c r="B2833" s="91" t="s">
        <v>7</v>
      </c>
      <c r="C2833" s="92" t="str">
        <f ca="1">IFERROR(__xludf.DUMMYFUNCTION("filter('Back End'!C:C,'Back End'!A:A=A2833,'Back End'!B:B=B2833,'Back End'!D:D=D2833)"),"#N/A")</f>
        <v>#N/A</v>
      </c>
      <c r="D2833" s="91" t="s">
        <v>6456</v>
      </c>
      <c r="E2833" s="91" t="s">
        <v>6465</v>
      </c>
      <c r="F2833" s="91" t="s">
        <v>94</v>
      </c>
      <c r="G2833" s="91" t="s">
        <v>615</v>
      </c>
      <c r="H2833" s="93" t="s">
        <v>4</v>
      </c>
      <c r="I2833" s="92" t="s">
        <v>6466</v>
      </c>
      <c r="J2833" s="92">
        <v>9440340523</v>
      </c>
      <c r="K2833" s="67"/>
      <c r="L2833" s="67"/>
      <c r="M2833" s="67"/>
      <c r="N2833" s="67"/>
      <c r="O2833" s="67"/>
    </row>
    <row r="2834" spans="1:15" ht="45">
      <c r="A2834" s="91" t="s">
        <v>7</v>
      </c>
      <c r="B2834" s="91" t="s">
        <v>7</v>
      </c>
      <c r="C2834" s="92" t="str">
        <f ca="1">IFERROR(__xludf.DUMMYFUNCTION("filter('Back End'!C:C,'Back End'!A:A=A2834,'Back End'!B:B=B2834,'Back End'!D:D=D2834)"),"#N/A")</f>
        <v>#N/A</v>
      </c>
      <c r="D2834" s="91" t="s">
        <v>6456</v>
      </c>
      <c r="E2834" s="91" t="s">
        <v>6467</v>
      </c>
      <c r="F2834" s="91" t="s">
        <v>139</v>
      </c>
      <c r="G2834" s="91" t="s">
        <v>594</v>
      </c>
      <c r="H2834" s="93" t="s">
        <v>4</v>
      </c>
      <c r="I2834" s="92" t="s">
        <v>6468</v>
      </c>
      <c r="J2834" s="92">
        <v>9248651239</v>
      </c>
      <c r="K2834" s="67"/>
      <c r="L2834" s="67"/>
      <c r="M2834" s="67"/>
      <c r="N2834" s="67"/>
      <c r="O2834" s="67"/>
    </row>
    <row r="2835" spans="1:15" ht="30">
      <c r="A2835" s="91" t="s">
        <v>8</v>
      </c>
      <c r="B2835" s="91" t="s">
        <v>658</v>
      </c>
      <c r="C2835" s="92" t="str">
        <f ca="1">IFERROR(__xludf.DUMMYFUNCTION("filter('Back End'!C:C,'Back End'!A:A=A2835,'Back End'!B:B=B2835,'Back End'!D:D=D2835)"),"#N/A")</f>
        <v>#N/A</v>
      </c>
      <c r="D2835" s="91" t="s">
        <v>280</v>
      </c>
      <c r="E2835" s="91" t="s">
        <v>6469</v>
      </c>
      <c r="F2835" s="91" t="s">
        <v>213</v>
      </c>
      <c r="G2835" s="91" t="s">
        <v>615</v>
      </c>
      <c r="H2835" s="93" t="s">
        <v>4</v>
      </c>
      <c r="I2835" s="92" t="s">
        <v>3210</v>
      </c>
      <c r="J2835" s="67"/>
      <c r="K2835" s="67"/>
      <c r="L2835" s="67"/>
      <c r="M2835" s="67"/>
      <c r="N2835" s="67"/>
      <c r="O2835" s="67"/>
    </row>
    <row r="2836" spans="1:15" ht="15">
      <c r="A2836" s="91" t="s">
        <v>8</v>
      </c>
      <c r="B2836" s="91" t="s">
        <v>658</v>
      </c>
      <c r="C2836" s="92" t="str">
        <f ca="1">IFERROR(__xludf.DUMMYFUNCTION("filter('Back End'!C:C,'Back End'!A:A=A2836,'Back End'!B:B=B2836,'Back End'!D:D=D2836)"),"#N/A")</f>
        <v>#N/A</v>
      </c>
      <c r="D2836" s="91" t="s">
        <v>280</v>
      </c>
      <c r="E2836" s="91" t="s">
        <v>6470</v>
      </c>
      <c r="F2836" s="91" t="s">
        <v>213</v>
      </c>
      <c r="G2836" s="91" t="s">
        <v>615</v>
      </c>
      <c r="H2836" s="93" t="s">
        <v>4</v>
      </c>
      <c r="I2836" s="92" t="s">
        <v>3112</v>
      </c>
      <c r="J2836" s="67"/>
      <c r="K2836" s="67"/>
      <c r="L2836" s="67"/>
      <c r="M2836" s="67"/>
      <c r="N2836" s="67"/>
      <c r="O2836" s="67"/>
    </row>
    <row r="2837" spans="1:15" ht="15">
      <c r="A2837" s="91" t="s">
        <v>8</v>
      </c>
      <c r="B2837" s="91" t="s">
        <v>658</v>
      </c>
      <c r="C2837" s="92" t="str">
        <f ca="1">IFERROR(__xludf.DUMMYFUNCTION("filter('Back End'!C:C,'Back End'!A:A=A2837,'Back End'!B:B=B2837,'Back End'!D:D=D2837)"),"#N/A")</f>
        <v>#N/A</v>
      </c>
      <c r="D2837" s="91" t="s">
        <v>280</v>
      </c>
      <c r="E2837" s="91" t="s">
        <v>6471</v>
      </c>
      <c r="F2837" s="91" t="s">
        <v>114</v>
      </c>
      <c r="G2837" s="91" t="s">
        <v>85</v>
      </c>
      <c r="H2837" s="93" t="s">
        <v>92</v>
      </c>
      <c r="I2837" s="92" t="s">
        <v>3372</v>
      </c>
      <c r="J2837" s="67"/>
      <c r="K2837" s="67"/>
      <c r="L2837" s="67"/>
      <c r="M2837" s="67"/>
      <c r="N2837" s="67"/>
      <c r="O2837" s="67"/>
    </row>
    <row r="2838" spans="1:15" ht="30">
      <c r="A2838" s="91" t="s">
        <v>8</v>
      </c>
      <c r="B2838" s="91" t="s">
        <v>658</v>
      </c>
      <c r="C2838" s="92" t="str">
        <f ca="1">IFERROR(__xludf.DUMMYFUNCTION("filter('Back End'!C:C,'Back End'!A:A=A2838,'Back End'!B:B=B2838,'Back End'!D:D=D2838)"),"#N/A")</f>
        <v>#N/A</v>
      </c>
      <c r="D2838" s="91" t="s">
        <v>280</v>
      </c>
      <c r="E2838" s="91" t="s">
        <v>6472</v>
      </c>
      <c r="F2838" s="91" t="s">
        <v>114</v>
      </c>
      <c r="G2838" s="91" t="s">
        <v>85</v>
      </c>
      <c r="H2838" s="93" t="s">
        <v>92</v>
      </c>
      <c r="I2838" s="92" t="s">
        <v>3508</v>
      </c>
      <c r="J2838" s="67"/>
      <c r="K2838" s="67"/>
      <c r="L2838" s="67"/>
      <c r="M2838" s="67"/>
      <c r="N2838" s="67"/>
      <c r="O2838" s="67"/>
    </row>
    <row r="2839" spans="1:15" ht="30">
      <c r="A2839" s="110" t="s">
        <v>15</v>
      </c>
      <c r="B2839" s="110" t="s">
        <v>15</v>
      </c>
      <c r="C2839" s="92" t="str">
        <f ca="1">IFERROR(__xludf.DUMMYFUNCTION("filter('Back End'!C:C,'Back End'!A:A=A2839,'Back End'!B:B=B2839,'Back End'!D:D=D2839)"),"Rayabhupalapatnam")</f>
        <v>Rayabhupalapatnam</v>
      </c>
      <c r="D2839" s="91" t="s">
        <v>375</v>
      </c>
      <c r="E2839" s="91" t="s">
        <v>6473</v>
      </c>
      <c r="F2839" s="91" t="s">
        <v>139</v>
      </c>
      <c r="G2839" s="91" t="s">
        <v>594</v>
      </c>
      <c r="H2839" s="93" t="s">
        <v>92</v>
      </c>
      <c r="I2839" s="92" t="s">
        <v>3185</v>
      </c>
      <c r="J2839" s="92">
        <v>9848253688</v>
      </c>
      <c r="K2839" s="67"/>
      <c r="L2839" s="67"/>
      <c r="M2839" s="67"/>
      <c r="N2839" s="67"/>
      <c r="O2839" s="67"/>
    </row>
    <row r="2840" spans="1:15" ht="30">
      <c r="A2840" s="110" t="s">
        <v>15</v>
      </c>
      <c r="B2840" s="110" t="s">
        <v>15</v>
      </c>
      <c r="C2840" s="92" t="str">
        <f ca="1">IFERROR(__xludf.DUMMYFUNCTION("filter('Back End'!C:C,'Back End'!A:A=A2840,'Back End'!B:B=B2840,'Back End'!D:D=D2840)"),"Rayabhupalapatnam")</f>
        <v>Rayabhupalapatnam</v>
      </c>
      <c r="D2840" s="91" t="s">
        <v>375</v>
      </c>
      <c r="E2840" s="91" t="s">
        <v>6474</v>
      </c>
      <c r="F2840" s="91" t="s">
        <v>114</v>
      </c>
      <c r="G2840" s="91" t="s">
        <v>85</v>
      </c>
      <c r="H2840" s="93" t="s">
        <v>92</v>
      </c>
      <c r="I2840" s="92" t="s">
        <v>3185</v>
      </c>
      <c r="J2840" s="92">
        <v>9849974335</v>
      </c>
      <c r="K2840" s="67"/>
      <c r="L2840" s="67"/>
      <c r="M2840" s="67"/>
      <c r="N2840" s="67"/>
      <c r="O2840" s="67"/>
    </row>
    <row r="2841" spans="1:15" ht="45">
      <c r="A2841" s="110" t="s">
        <v>15</v>
      </c>
      <c r="B2841" s="110" t="s">
        <v>15</v>
      </c>
      <c r="C2841" s="92" t="str">
        <f ca="1">IFERROR(__xludf.DUMMYFUNCTION("filter('Back End'!C:C,'Back End'!A:A=A2841,'Back End'!B:B=B2841,'Back End'!D:D=D2841)"),"Rayabhupalapatnam")</f>
        <v>Rayabhupalapatnam</v>
      </c>
      <c r="D2841" s="91" t="s">
        <v>375</v>
      </c>
      <c r="E2841" s="91" t="s">
        <v>6475</v>
      </c>
      <c r="F2841" s="91" t="s">
        <v>139</v>
      </c>
      <c r="G2841" s="91" t="s">
        <v>594</v>
      </c>
      <c r="H2841" s="93" t="s">
        <v>4</v>
      </c>
      <c r="I2841" s="92" t="s">
        <v>3513</v>
      </c>
      <c r="J2841" s="92">
        <v>9963122557</v>
      </c>
      <c r="K2841" s="67"/>
      <c r="L2841" s="67"/>
      <c r="M2841" s="67"/>
      <c r="N2841" s="67"/>
      <c r="O2841" s="67"/>
    </row>
    <row r="2842" spans="1:15" ht="60">
      <c r="A2842" s="110" t="s">
        <v>8</v>
      </c>
      <c r="B2842" s="110" t="s">
        <v>587</v>
      </c>
      <c r="C2842" s="92" t="str">
        <f ca="1">IFERROR(__xludf.DUMMYFUNCTION("filter('Back End'!C:C,'Back End'!A:A=A2842,'Back End'!B:B=B2842,'Back End'!D:D=D2842)"),"Lachireddypalem")</f>
        <v>Lachireddypalem</v>
      </c>
      <c r="D2842" s="91" t="s">
        <v>607</v>
      </c>
      <c r="E2842" s="91" t="s">
        <v>6476</v>
      </c>
      <c r="F2842" s="91" t="s">
        <v>165</v>
      </c>
      <c r="G2842" s="91" t="s">
        <v>615</v>
      </c>
      <c r="H2842" s="93" t="s">
        <v>4</v>
      </c>
      <c r="I2842" s="92" t="s">
        <v>6477</v>
      </c>
      <c r="J2842" s="92" t="s">
        <v>6478</v>
      </c>
      <c r="K2842" s="67"/>
      <c r="L2842" s="67"/>
      <c r="M2842" s="67"/>
      <c r="N2842" s="67"/>
      <c r="O2842" s="67"/>
    </row>
    <row r="2843" spans="1:15" ht="30">
      <c r="A2843" s="110" t="s">
        <v>8</v>
      </c>
      <c r="B2843" s="110" t="s">
        <v>587</v>
      </c>
      <c r="C2843" s="92" t="str">
        <f ca="1">IFERROR(__xludf.DUMMYFUNCTION("filter('Back End'!C:C,'Back End'!A:A=A2843,'Back End'!B:B=B2843,'Back End'!D:D=D2843)"),"Lachireddypalem")</f>
        <v>Lachireddypalem</v>
      </c>
      <c r="D2843" s="91" t="s">
        <v>607</v>
      </c>
      <c r="E2843" s="91" t="s">
        <v>6479</v>
      </c>
      <c r="F2843" s="91" t="s">
        <v>94</v>
      </c>
      <c r="G2843" s="91" t="s">
        <v>615</v>
      </c>
      <c r="H2843" s="93" t="s">
        <v>4482</v>
      </c>
      <c r="I2843" s="92" t="s">
        <v>3210</v>
      </c>
      <c r="J2843" s="92" t="s">
        <v>2631</v>
      </c>
      <c r="K2843" s="67"/>
      <c r="L2843" s="67"/>
      <c r="M2843" s="67"/>
      <c r="N2843" s="67"/>
      <c r="O2843" s="67"/>
    </row>
    <row r="2844" spans="1:15" ht="45">
      <c r="A2844" s="109" t="s">
        <v>8</v>
      </c>
      <c r="B2844" s="109" t="s">
        <v>587</v>
      </c>
      <c r="C2844" s="92" t="str">
        <f ca="1">IFERROR(__xludf.DUMMYFUNCTION("filter('Back End'!C:C,'Back End'!A:A=A2844,'Back End'!B:B=B2844,'Back End'!D:D=D2844)"),"Lachireddypalem")</f>
        <v>Lachireddypalem</v>
      </c>
      <c r="D2844" s="91" t="s">
        <v>607</v>
      </c>
      <c r="E2844" s="91" t="s">
        <v>6480</v>
      </c>
      <c r="F2844" s="91" t="s">
        <v>165</v>
      </c>
      <c r="G2844" s="91" t="s">
        <v>615</v>
      </c>
      <c r="H2844" s="93" t="s">
        <v>4</v>
      </c>
      <c r="I2844" s="92" t="s">
        <v>6481</v>
      </c>
      <c r="J2844" s="91" t="s">
        <v>2631</v>
      </c>
      <c r="K2844" s="67"/>
      <c r="L2844" s="67"/>
      <c r="M2844" s="67"/>
      <c r="N2844" s="67"/>
      <c r="O2844" s="67"/>
    </row>
    <row r="2845" spans="1:15" ht="30">
      <c r="A2845" s="110" t="s">
        <v>8</v>
      </c>
      <c r="B2845" s="110" t="s">
        <v>587</v>
      </c>
      <c r="C2845" s="92" t="str">
        <f ca="1">IFERROR(__xludf.DUMMYFUNCTION("filter('Back End'!C:C,'Back End'!A:A=A2845,'Back End'!B:B=B2845,'Back End'!D:D=D2845)"),"Lachireddypalem")</f>
        <v>Lachireddypalem</v>
      </c>
      <c r="D2845" s="91" t="s">
        <v>607</v>
      </c>
      <c r="E2845" s="91" t="s">
        <v>6482</v>
      </c>
      <c r="F2845" s="91" t="s">
        <v>1638</v>
      </c>
      <c r="G2845" s="91" t="s">
        <v>594</v>
      </c>
      <c r="H2845" s="93" t="s">
        <v>4</v>
      </c>
      <c r="I2845" s="92" t="s">
        <v>6483</v>
      </c>
      <c r="J2845" s="92">
        <v>9676791966</v>
      </c>
      <c r="K2845" s="67"/>
      <c r="L2845" s="67"/>
      <c r="M2845" s="67"/>
      <c r="N2845" s="67"/>
      <c r="O2845" s="67"/>
    </row>
    <row r="2846" spans="1:15" ht="30">
      <c r="A2846" s="110" t="s">
        <v>8</v>
      </c>
      <c r="B2846" s="91" t="s">
        <v>587</v>
      </c>
      <c r="C2846" s="92" t="str">
        <f ca="1">IFERROR(__xludf.DUMMYFUNCTION("filter('Back End'!C:C,'Back End'!A:A=A2846,'Back End'!B:B=B2846,'Back End'!D:D=D2846)"),"Lachireddypalem")</f>
        <v>Lachireddypalem</v>
      </c>
      <c r="D2846" s="91" t="s">
        <v>607</v>
      </c>
      <c r="E2846" s="91" t="s">
        <v>6484</v>
      </c>
      <c r="F2846" s="91" t="s">
        <v>139</v>
      </c>
      <c r="G2846" s="91" t="s">
        <v>594</v>
      </c>
      <c r="H2846" s="93" t="s">
        <v>4</v>
      </c>
      <c r="I2846" s="92" t="s">
        <v>3508</v>
      </c>
      <c r="J2846" s="92">
        <v>9985599338</v>
      </c>
      <c r="K2846" s="67"/>
      <c r="L2846" s="67"/>
      <c r="M2846" s="67"/>
      <c r="N2846" s="67"/>
      <c r="O2846" s="67"/>
    </row>
    <row r="2847" spans="1:15" ht="45">
      <c r="A2847" s="110" t="s">
        <v>8</v>
      </c>
      <c r="B2847" s="91" t="s">
        <v>587</v>
      </c>
      <c r="C2847" s="92" t="str">
        <f ca="1">IFERROR(__xludf.DUMMYFUNCTION("filter('Back End'!C:C,'Back End'!A:A=A2847,'Back End'!B:B=B2847,'Back End'!D:D=D2847)"),"Lachireddypalem")</f>
        <v>Lachireddypalem</v>
      </c>
      <c r="D2847" s="91" t="s">
        <v>607</v>
      </c>
      <c r="E2847" s="92" t="s">
        <v>6485</v>
      </c>
      <c r="F2847" s="91" t="s">
        <v>595</v>
      </c>
      <c r="G2847" s="91" t="s">
        <v>594</v>
      </c>
      <c r="H2847" s="93" t="s">
        <v>4</v>
      </c>
      <c r="I2847" s="92" t="s">
        <v>3125</v>
      </c>
      <c r="J2847" s="92">
        <v>9000948903</v>
      </c>
      <c r="K2847" s="67"/>
      <c r="L2847" s="67"/>
      <c r="M2847" s="67"/>
      <c r="N2847" s="67"/>
      <c r="O2847" s="67"/>
    </row>
    <row r="2848" spans="1:15" ht="60">
      <c r="A2848" s="110" t="s">
        <v>8</v>
      </c>
      <c r="B2848" s="91" t="s">
        <v>587</v>
      </c>
      <c r="C2848" s="92" t="str">
        <f ca="1">IFERROR(__xludf.DUMMYFUNCTION("filter('Back End'!C:C,'Back End'!A:A=A2848,'Back End'!B:B=B2848,'Back End'!D:D=D2848)"),"Lachireddypalem")</f>
        <v>Lachireddypalem</v>
      </c>
      <c r="D2848" s="91" t="s">
        <v>607</v>
      </c>
      <c r="E2848" s="92" t="s">
        <v>6486</v>
      </c>
      <c r="F2848" s="91" t="s">
        <v>595</v>
      </c>
      <c r="G2848" s="91" t="s">
        <v>594</v>
      </c>
      <c r="H2848" s="93" t="s">
        <v>4</v>
      </c>
      <c r="I2848" s="92" t="s">
        <v>3112</v>
      </c>
      <c r="J2848" s="92">
        <v>9676791966</v>
      </c>
      <c r="K2848" s="67"/>
      <c r="L2848" s="67"/>
      <c r="M2848" s="67"/>
      <c r="N2848" s="67"/>
      <c r="O2848" s="67"/>
    </row>
    <row r="2849" spans="1:15" ht="30">
      <c r="A2849" s="91" t="s">
        <v>10</v>
      </c>
      <c r="B2849" s="91" t="s">
        <v>430</v>
      </c>
      <c r="C2849" s="92" t="str">
        <f ca="1">IFERROR(__xludf.DUMMYFUNCTION("filter('Back End'!C:C,'Back End'!A:A=A2849,'Back End'!B:B=B2849,'Back End'!D:D=D2849)"),"#N/A")</f>
        <v>#N/A</v>
      </c>
      <c r="D2849" s="91" t="s">
        <v>607</v>
      </c>
      <c r="E2849" s="91" t="s">
        <v>6487</v>
      </c>
      <c r="F2849" s="91" t="s">
        <v>205</v>
      </c>
      <c r="G2849" s="91" t="s">
        <v>615</v>
      </c>
      <c r="H2849" s="93" t="s">
        <v>4</v>
      </c>
      <c r="I2849" s="92" t="s">
        <v>3634</v>
      </c>
      <c r="J2849" s="92">
        <v>9989534741</v>
      </c>
      <c r="K2849" s="67"/>
      <c r="L2849" s="67"/>
      <c r="M2849" s="67"/>
      <c r="N2849" s="67"/>
      <c r="O2849" s="67"/>
    </row>
    <row r="2850" spans="1:15" ht="15">
      <c r="A2850" s="110" t="s">
        <v>8</v>
      </c>
      <c r="B2850" s="110" t="s">
        <v>587</v>
      </c>
      <c r="C2850" s="92" t="str">
        <f ca="1">IFERROR(__xludf.DUMMYFUNCTION("filter('Back End'!C:C,'Back End'!A:A=A2850,'Back End'!B:B=B2850,'Back End'!D:D=D2850)"),"Lachireddypalem")</f>
        <v>Lachireddypalem</v>
      </c>
      <c r="D2850" s="91" t="s">
        <v>607</v>
      </c>
      <c r="E2850" s="91" t="s">
        <v>6488</v>
      </c>
      <c r="F2850" s="91" t="s">
        <v>94</v>
      </c>
      <c r="G2850" s="91" t="s">
        <v>615</v>
      </c>
      <c r="H2850" s="93" t="s">
        <v>5</v>
      </c>
      <c r="I2850" s="92" t="s">
        <v>3115</v>
      </c>
      <c r="J2850" s="92">
        <v>8790434146</v>
      </c>
      <c r="K2850" s="67"/>
      <c r="L2850" s="67"/>
      <c r="M2850" s="67"/>
      <c r="N2850" s="67"/>
      <c r="O2850" s="67"/>
    </row>
    <row r="2851" spans="1:15" ht="15">
      <c r="A2851" s="109" t="s">
        <v>8</v>
      </c>
      <c r="B2851" s="109" t="s">
        <v>587</v>
      </c>
      <c r="C2851" s="92" t="str">
        <f ca="1">IFERROR(__xludf.DUMMYFUNCTION("filter('Back End'!C:C,'Back End'!A:A=A2851,'Back End'!B:B=B2851,'Back End'!D:D=D2851)"),"Lachireddypalem")</f>
        <v>Lachireddypalem</v>
      </c>
      <c r="D2851" s="91" t="s">
        <v>607</v>
      </c>
      <c r="E2851" s="91" t="s">
        <v>6489</v>
      </c>
      <c r="F2851" s="91" t="s">
        <v>1638</v>
      </c>
      <c r="G2851" s="91" t="s">
        <v>615</v>
      </c>
      <c r="H2851" s="93" t="s">
        <v>5</v>
      </c>
      <c r="I2851" s="92" t="s">
        <v>3185</v>
      </c>
      <c r="J2851" s="92">
        <v>9989577907</v>
      </c>
      <c r="K2851" s="67"/>
      <c r="L2851" s="67"/>
      <c r="M2851" s="67"/>
      <c r="N2851" s="67"/>
      <c r="O2851" s="67"/>
    </row>
    <row r="2852" spans="1:15" ht="15">
      <c r="A2852" s="109" t="s">
        <v>8</v>
      </c>
      <c r="B2852" s="109" t="s">
        <v>587</v>
      </c>
      <c r="C2852" s="92" t="str">
        <f ca="1">IFERROR(__xludf.DUMMYFUNCTION("filter('Back End'!C:C,'Back End'!A:A=A2852,'Back End'!B:B=B2852,'Back End'!D:D=D2852)"),"Lachireddypalem")</f>
        <v>Lachireddypalem</v>
      </c>
      <c r="D2852" s="91" t="s">
        <v>607</v>
      </c>
      <c r="E2852" s="91" t="s">
        <v>6490</v>
      </c>
      <c r="F2852" s="91" t="s">
        <v>94</v>
      </c>
      <c r="G2852" s="91" t="s">
        <v>615</v>
      </c>
      <c r="H2852" s="93" t="s">
        <v>5</v>
      </c>
      <c r="I2852" s="92" t="s">
        <v>3115</v>
      </c>
      <c r="J2852" s="92">
        <v>8790434146</v>
      </c>
      <c r="K2852" s="67"/>
      <c r="L2852" s="67"/>
      <c r="M2852" s="67"/>
      <c r="N2852" s="67"/>
      <c r="O2852" s="67"/>
    </row>
    <row r="2853" spans="1:15" ht="30">
      <c r="A2853" s="91" t="s">
        <v>8</v>
      </c>
      <c r="B2853" s="91" t="s">
        <v>587</v>
      </c>
      <c r="C2853" s="92" t="str">
        <f ca="1">IFERROR(__xludf.DUMMYFUNCTION("filter('Back End'!C:C,'Back End'!A:A=A2853,'Back End'!B:B=B2853,'Back End'!D:D=D2853)"),"Lachireddypalem")</f>
        <v>Lachireddypalem</v>
      </c>
      <c r="D2853" s="91" t="s">
        <v>607</v>
      </c>
      <c r="E2853" s="91" t="s">
        <v>6491</v>
      </c>
      <c r="F2853" s="91" t="s">
        <v>94</v>
      </c>
      <c r="G2853" s="91" t="s">
        <v>615</v>
      </c>
      <c r="H2853" s="93" t="s">
        <v>5</v>
      </c>
      <c r="I2853" s="92" t="s">
        <v>3634</v>
      </c>
      <c r="J2853" s="92">
        <v>8886633370</v>
      </c>
      <c r="K2853" s="67"/>
      <c r="L2853" s="67"/>
      <c r="M2853" s="67"/>
      <c r="N2853" s="67"/>
      <c r="O2853" s="67"/>
    </row>
    <row r="2854" spans="1:15" ht="45">
      <c r="A2854" s="91" t="s">
        <v>8</v>
      </c>
      <c r="B2854" s="91" t="s">
        <v>587</v>
      </c>
      <c r="C2854" s="92" t="str">
        <f ca="1">IFERROR(__xludf.DUMMYFUNCTION("filter('Back End'!C:C,'Back End'!A:A=A2854,'Back End'!B:B=B2854,'Back End'!D:D=D2854)"),"Lachireddypalem")</f>
        <v>Lachireddypalem</v>
      </c>
      <c r="D2854" s="91" t="s">
        <v>607</v>
      </c>
      <c r="E2854" s="91" t="s">
        <v>6492</v>
      </c>
      <c r="F2854" s="91" t="s">
        <v>595</v>
      </c>
      <c r="G2854" s="91" t="s">
        <v>594</v>
      </c>
      <c r="H2854" s="93" t="s">
        <v>5</v>
      </c>
      <c r="I2854" s="92" t="s">
        <v>6493</v>
      </c>
      <c r="J2854" s="92">
        <v>9177443819</v>
      </c>
      <c r="K2854" s="67"/>
      <c r="L2854" s="67"/>
      <c r="M2854" s="67"/>
      <c r="N2854" s="67"/>
      <c r="O2854" s="67"/>
    </row>
    <row r="2855" spans="1:15" ht="30">
      <c r="A2855" s="91" t="s">
        <v>10</v>
      </c>
      <c r="B2855" s="91" t="s">
        <v>430</v>
      </c>
      <c r="C2855" s="92" t="str">
        <f ca="1">IFERROR(__xludf.DUMMYFUNCTION("filter('Back End'!C:C,'Back End'!A:A=A2855,'Back End'!B:B=B2855,'Back End'!D:D=D2855)"),"#N/A")</f>
        <v>#N/A</v>
      </c>
      <c r="D2855" s="91" t="s">
        <v>607</v>
      </c>
      <c r="E2855" s="91" t="s">
        <v>6494</v>
      </c>
      <c r="F2855" s="91" t="s">
        <v>437</v>
      </c>
      <c r="G2855" s="91" t="s">
        <v>594</v>
      </c>
      <c r="H2855" s="93" t="s">
        <v>5</v>
      </c>
      <c r="I2855" s="92" t="s">
        <v>5561</v>
      </c>
      <c r="J2855" s="92">
        <v>9666243208</v>
      </c>
      <c r="K2855" s="67"/>
      <c r="L2855" s="67"/>
      <c r="M2855" s="67"/>
      <c r="N2855" s="67"/>
      <c r="O2855" s="67"/>
    </row>
    <row r="2856" spans="1:15" ht="60">
      <c r="A2856" s="91" t="s">
        <v>10</v>
      </c>
      <c r="B2856" s="91" t="s">
        <v>430</v>
      </c>
      <c r="C2856" s="92" t="str">
        <f ca="1">IFERROR(__xludf.DUMMYFUNCTION("filter('Back End'!C:C,'Back End'!A:A=A2856,'Back End'!B:B=B2856,'Back End'!D:D=D2856)"),"A.P.Mallavaram")</f>
        <v>A.P.Mallavaram</v>
      </c>
      <c r="D2856" s="91" t="s">
        <v>434</v>
      </c>
      <c r="E2856" s="92" t="s">
        <v>6495</v>
      </c>
      <c r="F2856" s="91" t="s">
        <v>437</v>
      </c>
      <c r="G2856" s="91" t="s">
        <v>594</v>
      </c>
      <c r="H2856" s="93" t="s">
        <v>4</v>
      </c>
      <c r="I2856" s="92" t="s">
        <v>3125</v>
      </c>
      <c r="J2856" s="92">
        <v>9573371157</v>
      </c>
      <c r="K2856" s="67"/>
      <c r="L2856" s="67"/>
      <c r="M2856" s="67"/>
      <c r="N2856" s="67"/>
      <c r="O2856" s="67"/>
    </row>
    <row r="2857" spans="1:15" ht="30">
      <c r="A2857" s="91" t="s">
        <v>10</v>
      </c>
      <c r="B2857" s="91" t="s">
        <v>430</v>
      </c>
      <c r="C2857" s="92" t="str">
        <f ca="1">IFERROR(__xludf.DUMMYFUNCTION("filter('Back End'!C:C,'Back End'!A:A=A2857,'Back End'!B:B=B2857,'Back End'!D:D=D2857)"),"A.P.Mallavaram")</f>
        <v>A.P.Mallavaram</v>
      </c>
      <c r="D2857" s="91" t="s">
        <v>434</v>
      </c>
      <c r="E2857" s="91" t="s">
        <v>6496</v>
      </c>
      <c r="F2857" s="91" t="s">
        <v>437</v>
      </c>
      <c r="G2857" s="91" t="s">
        <v>594</v>
      </c>
      <c r="H2857" s="93" t="s">
        <v>4</v>
      </c>
      <c r="I2857" s="92" t="s">
        <v>3634</v>
      </c>
      <c r="J2857" s="92">
        <v>9989811339</v>
      </c>
      <c r="K2857" s="67"/>
      <c r="L2857" s="67"/>
      <c r="M2857" s="67"/>
      <c r="N2857" s="67"/>
      <c r="O2857" s="67"/>
    </row>
    <row r="2858" spans="1:15" ht="45">
      <c r="A2858" s="91" t="s">
        <v>19</v>
      </c>
      <c r="B2858" s="91" t="s">
        <v>147</v>
      </c>
      <c r="C2858" s="92" t="str">
        <f ca="1">IFERROR(__xludf.DUMMYFUNCTION("filter('Back End'!C:C,'Back End'!A:A=A2858,'Back End'!B:B=B2858,'Back End'!D:D=D2858)"),"Gummalladuddi")</f>
        <v>Gummalladuddi</v>
      </c>
      <c r="D2858" s="91" t="s">
        <v>159</v>
      </c>
      <c r="E2858" s="91" t="s">
        <v>6497</v>
      </c>
      <c r="F2858" s="91" t="s">
        <v>139</v>
      </c>
      <c r="G2858" s="91" t="s">
        <v>594</v>
      </c>
      <c r="H2858" s="93" t="s">
        <v>5</v>
      </c>
      <c r="I2858" s="92" t="s">
        <v>6498</v>
      </c>
      <c r="J2858" s="92">
        <v>9866173337</v>
      </c>
      <c r="K2858" s="67"/>
      <c r="L2858" s="67"/>
      <c r="M2858" s="67"/>
      <c r="N2858" s="67"/>
      <c r="O2858" s="67"/>
    </row>
    <row r="2859" spans="1:15" ht="75">
      <c r="A2859" s="91" t="s">
        <v>19</v>
      </c>
      <c r="B2859" s="91" t="s">
        <v>147</v>
      </c>
      <c r="C2859" s="92" t="str">
        <f ca="1">IFERROR(__xludf.DUMMYFUNCTION("filter('Back End'!C:C,'Back End'!A:A=A2859,'Back End'!B:B=B2859,'Back End'!D:D=D2859)"),"Gummalladuddi")</f>
        <v>Gummalladuddi</v>
      </c>
      <c r="D2859" s="91" t="s">
        <v>159</v>
      </c>
      <c r="E2859" s="91" t="s">
        <v>6499</v>
      </c>
      <c r="F2859" s="91" t="s">
        <v>154</v>
      </c>
      <c r="G2859" s="91" t="s">
        <v>615</v>
      </c>
      <c r="H2859" s="93" t="s">
        <v>5</v>
      </c>
      <c r="I2859" s="92" t="s">
        <v>6500</v>
      </c>
      <c r="J2859" s="92">
        <v>9705143116</v>
      </c>
      <c r="K2859" s="67"/>
      <c r="L2859" s="67"/>
      <c r="M2859" s="67"/>
      <c r="N2859" s="67"/>
      <c r="O2859" s="67"/>
    </row>
    <row r="2860" spans="1:15" ht="30">
      <c r="A2860" s="91" t="s">
        <v>19</v>
      </c>
      <c r="B2860" s="91" t="s">
        <v>147</v>
      </c>
      <c r="C2860" s="92" t="str">
        <f ca="1">IFERROR(__xludf.DUMMYFUNCTION("filter('Back End'!C:C,'Back End'!A:A=A2860,'Back End'!B:B=B2860,'Back End'!D:D=D2860)"),"Gummalladuddi")</f>
        <v>Gummalladuddi</v>
      </c>
      <c r="D2860" s="91" t="s">
        <v>159</v>
      </c>
      <c r="E2860" s="91" t="s">
        <v>6501</v>
      </c>
      <c r="F2860" s="91" t="s">
        <v>139</v>
      </c>
      <c r="G2860" s="91" t="s">
        <v>594</v>
      </c>
      <c r="H2860" s="93" t="s">
        <v>5</v>
      </c>
      <c r="I2860" s="92" t="s">
        <v>4056</v>
      </c>
      <c r="J2860" s="92">
        <v>9182621069</v>
      </c>
      <c r="K2860" s="67"/>
      <c r="L2860" s="67"/>
      <c r="M2860" s="67"/>
      <c r="N2860" s="67"/>
      <c r="O2860" s="67"/>
    </row>
    <row r="2861" spans="1:15" ht="30">
      <c r="A2861" s="91" t="s">
        <v>19</v>
      </c>
      <c r="B2861" s="92" t="s">
        <v>147</v>
      </c>
      <c r="C2861" s="92" t="str">
        <f ca="1">IFERROR(__xludf.DUMMYFUNCTION("filter('Back End'!C:C,'Back End'!A:A=A2861,'Back End'!B:B=B2861,'Back End'!D:D=D2861)"),"Gummalladuddi")</f>
        <v>Gummalladuddi</v>
      </c>
      <c r="D2861" s="91" t="s">
        <v>159</v>
      </c>
      <c r="E2861" s="92" t="s">
        <v>6502</v>
      </c>
      <c r="F2861" s="91" t="s">
        <v>139</v>
      </c>
      <c r="G2861" s="91" t="s">
        <v>594</v>
      </c>
      <c r="H2861" s="93" t="s">
        <v>5</v>
      </c>
      <c r="I2861" s="92" t="s">
        <v>6503</v>
      </c>
      <c r="J2861" s="92">
        <v>9866173337</v>
      </c>
      <c r="K2861" s="67"/>
      <c r="L2861" s="67"/>
      <c r="M2861" s="67"/>
      <c r="N2861" s="67"/>
      <c r="O2861" s="67"/>
    </row>
    <row r="2862" spans="1:15" ht="30">
      <c r="A2862" s="91" t="s">
        <v>19</v>
      </c>
      <c r="B2862" s="92" t="s">
        <v>147</v>
      </c>
      <c r="C2862" s="92" t="str">
        <f ca="1">IFERROR(__xludf.DUMMYFUNCTION("filter('Back End'!C:C,'Back End'!A:A=A2862,'Back End'!B:B=B2862,'Back End'!D:D=D2862)"),"Gummalladuddi")</f>
        <v>Gummalladuddi</v>
      </c>
      <c r="D2862" s="91" t="s">
        <v>159</v>
      </c>
      <c r="E2862" s="92" t="s">
        <v>6504</v>
      </c>
      <c r="F2862" s="91" t="s">
        <v>154</v>
      </c>
      <c r="G2862" s="91" t="s">
        <v>85</v>
      </c>
      <c r="H2862" s="93" t="s">
        <v>5</v>
      </c>
      <c r="I2862" s="92" t="s">
        <v>3115</v>
      </c>
      <c r="J2862" s="92" t="s">
        <v>2631</v>
      </c>
      <c r="K2862" s="67"/>
      <c r="L2862" s="67"/>
      <c r="M2862" s="67"/>
      <c r="N2862" s="67"/>
      <c r="O2862" s="67"/>
    </row>
    <row r="2863" spans="1:15" ht="15">
      <c r="A2863" s="91" t="s">
        <v>19</v>
      </c>
      <c r="B2863" s="91" t="s">
        <v>147</v>
      </c>
      <c r="C2863" s="92" t="str">
        <f ca="1">IFERROR(__xludf.DUMMYFUNCTION("filter('Back End'!C:C,'Back End'!A:A=A2863,'Back End'!B:B=B2863,'Back End'!D:D=D2863)"),"Gummalladuddi")</f>
        <v>Gummalladuddi</v>
      </c>
      <c r="D2863" s="91" t="s">
        <v>159</v>
      </c>
      <c r="E2863" s="91" t="s">
        <v>6505</v>
      </c>
      <c r="F2863" s="91" t="s">
        <v>154</v>
      </c>
      <c r="G2863" s="91" t="s">
        <v>615</v>
      </c>
      <c r="H2863" s="93" t="s">
        <v>5</v>
      </c>
      <c r="I2863" s="92" t="s">
        <v>6506</v>
      </c>
      <c r="J2863" s="92">
        <v>9963706197</v>
      </c>
      <c r="K2863" s="67"/>
      <c r="L2863" s="67"/>
      <c r="M2863" s="67"/>
      <c r="N2863" s="67"/>
      <c r="O2863" s="67"/>
    </row>
    <row r="2864" spans="1:15" ht="15">
      <c r="A2864" s="91" t="s">
        <v>19</v>
      </c>
      <c r="B2864" s="91" t="s">
        <v>147</v>
      </c>
      <c r="C2864" s="92" t="str">
        <f ca="1">IFERROR(__xludf.DUMMYFUNCTION("filter('Back End'!C:C,'Back End'!A:A=A2864,'Back End'!B:B=B2864,'Back End'!D:D=D2864)"),"Gummalladuddi")</f>
        <v>Gummalladuddi</v>
      </c>
      <c r="D2864" s="91" t="s">
        <v>159</v>
      </c>
      <c r="E2864" s="91" t="s">
        <v>6507</v>
      </c>
      <c r="F2864" s="91" t="s">
        <v>1665</v>
      </c>
      <c r="G2864" s="91" t="s">
        <v>615</v>
      </c>
      <c r="H2864" s="93" t="s">
        <v>5</v>
      </c>
      <c r="I2864" s="92" t="s">
        <v>6508</v>
      </c>
      <c r="J2864" s="92">
        <v>7995147525</v>
      </c>
      <c r="K2864" s="67"/>
      <c r="L2864" s="67"/>
      <c r="M2864" s="67"/>
      <c r="N2864" s="67"/>
      <c r="O2864" s="67"/>
    </row>
    <row r="2865" spans="1:15" ht="45">
      <c r="A2865" s="91" t="s">
        <v>19</v>
      </c>
      <c r="B2865" s="91" t="s">
        <v>147</v>
      </c>
      <c r="C2865" s="92" t="str">
        <f ca="1">IFERROR(__xludf.DUMMYFUNCTION("filter('Back End'!C:C,'Back End'!A:A=A2865,'Back End'!B:B=B2865,'Back End'!D:D=D2865)"),"Gummalladuddi")</f>
        <v>Gummalladuddi</v>
      </c>
      <c r="D2865" s="91" t="s">
        <v>159</v>
      </c>
      <c r="E2865" s="91" t="s">
        <v>6509</v>
      </c>
      <c r="F2865" s="91" t="s">
        <v>154</v>
      </c>
      <c r="G2865" s="91" t="s">
        <v>615</v>
      </c>
      <c r="H2865" s="93" t="s">
        <v>4</v>
      </c>
      <c r="I2865" s="92" t="s">
        <v>6510</v>
      </c>
      <c r="J2865" s="92">
        <v>9704556213</v>
      </c>
      <c r="K2865" s="67"/>
      <c r="L2865" s="67"/>
      <c r="M2865" s="67"/>
      <c r="N2865" s="67"/>
      <c r="O2865" s="67"/>
    </row>
    <row r="2866" spans="1:15" ht="30">
      <c r="A2866" s="91" t="s">
        <v>19</v>
      </c>
      <c r="B2866" s="91" t="s">
        <v>147</v>
      </c>
      <c r="C2866" s="92" t="str">
        <f ca="1">IFERROR(__xludf.DUMMYFUNCTION("filter('Back End'!C:C,'Back End'!A:A=A2866,'Back End'!B:B=B2866,'Back End'!D:D=D2866)"),"Gummalladuddi")</f>
        <v>Gummalladuddi</v>
      </c>
      <c r="D2866" s="91" t="s">
        <v>159</v>
      </c>
      <c r="E2866" s="91" t="s">
        <v>6511</v>
      </c>
      <c r="F2866" s="91" t="s">
        <v>154</v>
      </c>
      <c r="G2866" s="91" t="s">
        <v>615</v>
      </c>
      <c r="H2866" s="93" t="s">
        <v>4</v>
      </c>
      <c r="I2866" s="92" t="s">
        <v>6512</v>
      </c>
      <c r="J2866" s="92">
        <v>9666526390</v>
      </c>
      <c r="K2866" s="67"/>
      <c r="L2866" s="67"/>
      <c r="M2866" s="67"/>
      <c r="N2866" s="67"/>
      <c r="O2866" s="67"/>
    </row>
    <row r="2867" spans="1:15" ht="15">
      <c r="A2867" s="91" t="s">
        <v>19</v>
      </c>
      <c r="B2867" s="91" t="s">
        <v>147</v>
      </c>
      <c r="C2867" s="92" t="str">
        <f ca="1">IFERROR(__xludf.DUMMYFUNCTION("filter('Back End'!C:C,'Back End'!A:A=A2867,'Back End'!B:B=B2867,'Back End'!D:D=D2867)"),"Gummalladuddi")</f>
        <v>Gummalladuddi</v>
      </c>
      <c r="D2867" s="91" t="s">
        <v>159</v>
      </c>
      <c r="E2867" s="91" t="s">
        <v>6513</v>
      </c>
      <c r="F2867" s="91" t="s">
        <v>154</v>
      </c>
      <c r="G2867" s="91" t="s">
        <v>615</v>
      </c>
      <c r="H2867" s="93" t="s">
        <v>4</v>
      </c>
      <c r="I2867" s="92" t="s">
        <v>2631</v>
      </c>
      <c r="J2867" s="92">
        <v>7672051152</v>
      </c>
      <c r="K2867" s="67"/>
      <c r="L2867" s="67"/>
      <c r="M2867" s="67"/>
      <c r="N2867" s="67"/>
      <c r="O2867" s="67"/>
    </row>
    <row r="2868" spans="1:15" ht="15">
      <c r="A2868" s="91" t="s">
        <v>19</v>
      </c>
      <c r="B2868" s="91" t="s">
        <v>147</v>
      </c>
      <c r="C2868" s="92" t="str">
        <f ca="1">IFERROR(__xludf.DUMMYFUNCTION("filter('Back End'!C:C,'Back End'!A:A=A2868,'Back End'!B:B=B2868,'Back End'!D:D=D2868)"),"Gummalladuddi")</f>
        <v>Gummalladuddi</v>
      </c>
      <c r="D2868" s="91" t="s">
        <v>159</v>
      </c>
      <c r="E2868" s="91" t="s">
        <v>6514</v>
      </c>
      <c r="F2868" s="91" t="s">
        <v>1626</v>
      </c>
      <c r="G2868" s="91" t="s">
        <v>594</v>
      </c>
      <c r="H2868" s="93" t="s">
        <v>4</v>
      </c>
      <c r="I2868" s="92" t="s">
        <v>3125</v>
      </c>
      <c r="J2868" s="92">
        <v>9849972112</v>
      </c>
      <c r="K2868" s="67"/>
      <c r="L2868" s="67"/>
      <c r="M2868" s="67"/>
      <c r="N2868" s="67"/>
      <c r="O2868" s="67"/>
    </row>
    <row r="2869" spans="1:15" ht="15">
      <c r="A2869" s="91" t="s">
        <v>19</v>
      </c>
      <c r="B2869" s="91" t="s">
        <v>147</v>
      </c>
      <c r="C2869" s="92" t="str">
        <f ca="1">IFERROR(__xludf.DUMMYFUNCTION("filter('Back End'!C:C,'Back End'!A:A=A2869,'Back End'!B:B=B2869,'Back End'!D:D=D2869)"),"Gummalladuddi")</f>
        <v>Gummalladuddi</v>
      </c>
      <c r="D2869" s="91" t="s">
        <v>159</v>
      </c>
      <c r="E2869" s="91" t="s">
        <v>6515</v>
      </c>
      <c r="F2869" s="91" t="s">
        <v>139</v>
      </c>
      <c r="G2869" s="91" t="s">
        <v>594</v>
      </c>
      <c r="H2869" s="93" t="s">
        <v>4</v>
      </c>
      <c r="I2869" s="92" t="s">
        <v>3185</v>
      </c>
      <c r="J2869" s="92">
        <v>9704514438</v>
      </c>
      <c r="K2869" s="67"/>
      <c r="L2869" s="67"/>
      <c r="M2869" s="67"/>
      <c r="N2869" s="67"/>
      <c r="O2869" s="67"/>
    </row>
    <row r="2870" spans="1:15" ht="15">
      <c r="A2870" s="91" t="s">
        <v>19</v>
      </c>
      <c r="B2870" s="91" t="s">
        <v>147</v>
      </c>
      <c r="C2870" s="92" t="str">
        <f ca="1">IFERROR(__xludf.DUMMYFUNCTION("filter('Back End'!C:C,'Back End'!A:A=A2870,'Back End'!B:B=B2870,'Back End'!D:D=D2870)"),"Gummalladuddi")</f>
        <v>Gummalladuddi</v>
      </c>
      <c r="D2870" s="91" t="s">
        <v>159</v>
      </c>
      <c r="E2870" s="91" t="s">
        <v>6516</v>
      </c>
      <c r="F2870" s="91" t="s">
        <v>139</v>
      </c>
      <c r="G2870" s="91" t="s">
        <v>594</v>
      </c>
      <c r="H2870" s="93" t="s">
        <v>6</v>
      </c>
      <c r="I2870" s="92" t="s">
        <v>6517</v>
      </c>
      <c r="J2870" s="92">
        <v>9848260026</v>
      </c>
      <c r="K2870" s="67"/>
      <c r="L2870" s="67"/>
      <c r="M2870" s="67"/>
      <c r="N2870" s="67"/>
      <c r="O2870" s="67"/>
    </row>
    <row r="2871" spans="1:15" ht="30">
      <c r="A2871" s="91" t="s">
        <v>19</v>
      </c>
      <c r="B2871" s="91" t="s">
        <v>147</v>
      </c>
      <c r="C2871" s="92" t="str">
        <f ca="1">IFERROR(__xludf.DUMMYFUNCTION("filter('Back End'!C:C,'Back End'!A:A=A2871,'Back End'!B:B=B2871,'Back End'!D:D=D2871)"),"Gummalladuddi")</f>
        <v>Gummalladuddi</v>
      </c>
      <c r="D2871" s="91" t="s">
        <v>159</v>
      </c>
      <c r="E2871" s="91" t="s">
        <v>6518</v>
      </c>
      <c r="F2871" s="91" t="s">
        <v>139</v>
      </c>
      <c r="G2871" s="91" t="s">
        <v>594</v>
      </c>
      <c r="H2871" s="93" t="s">
        <v>6</v>
      </c>
      <c r="I2871" s="92" t="s">
        <v>6519</v>
      </c>
      <c r="J2871" s="91" t="s">
        <v>2631</v>
      </c>
      <c r="K2871" s="67"/>
      <c r="L2871" s="67"/>
      <c r="M2871" s="67"/>
      <c r="N2871" s="67"/>
      <c r="O2871" s="67"/>
    </row>
    <row r="2872" spans="1:15" ht="75">
      <c r="A2872" s="91" t="s">
        <v>19</v>
      </c>
      <c r="B2872" s="91" t="s">
        <v>147</v>
      </c>
      <c r="C2872" s="92" t="str">
        <f ca="1">IFERROR(__xludf.DUMMYFUNCTION("filter('Back End'!C:C,'Back End'!A:A=A2872,'Back End'!B:B=B2872,'Back End'!D:D=D2872)"),"Gummalladuddi")</f>
        <v>Gummalladuddi</v>
      </c>
      <c r="D2872" s="91" t="s">
        <v>159</v>
      </c>
      <c r="E2872" s="91" t="s">
        <v>6520</v>
      </c>
      <c r="F2872" s="91" t="s">
        <v>154</v>
      </c>
      <c r="G2872" s="91" t="s">
        <v>594</v>
      </c>
      <c r="H2872" s="93" t="s">
        <v>6</v>
      </c>
      <c r="I2872" s="92" t="s">
        <v>6521</v>
      </c>
      <c r="J2872" s="91" t="s">
        <v>2631</v>
      </c>
      <c r="K2872" s="67"/>
      <c r="L2872" s="67"/>
      <c r="M2872" s="67"/>
      <c r="N2872" s="67"/>
      <c r="O2872" s="67"/>
    </row>
    <row r="2873" spans="1:15" ht="15">
      <c r="A2873" s="110" t="s">
        <v>7</v>
      </c>
      <c r="B2873" s="110" t="s">
        <v>706</v>
      </c>
      <c r="C2873" s="92" t="str">
        <f ca="1">IFERROR(__xludf.DUMMYFUNCTION("filter('Back End'!C:C,'Back End'!A:A=A2873,'Back End'!B:B=B2873,'Back End'!D:D=D2873)"),"A.Kothapalle")</f>
        <v>A.Kothapalle</v>
      </c>
      <c r="D2873" s="91" t="s">
        <v>707</v>
      </c>
      <c r="E2873" s="91" t="s">
        <v>6522</v>
      </c>
      <c r="F2873" s="91" t="s">
        <v>94</v>
      </c>
      <c r="G2873" s="91" t="s">
        <v>615</v>
      </c>
      <c r="H2873" s="93" t="s">
        <v>5</v>
      </c>
      <c r="I2873" s="92" t="s">
        <v>3115</v>
      </c>
      <c r="J2873" s="92">
        <v>9951444887</v>
      </c>
      <c r="K2873" s="67"/>
      <c r="L2873" s="67"/>
      <c r="M2873" s="67"/>
      <c r="N2873" s="67"/>
      <c r="O2873" s="67"/>
    </row>
    <row r="2874" spans="1:15" ht="30">
      <c r="A2874" s="91" t="s">
        <v>7</v>
      </c>
      <c r="B2874" s="91" t="s">
        <v>706</v>
      </c>
      <c r="C2874" s="92" t="str">
        <f ca="1">IFERROR(__xludf.DUMMYFUNCTION("filter('Back End'!C:C,'Back End'!A:A=A2874,'Back End'!B:B=B2874,'Back End'!D:D=D2874)"),"A.Kothapalle")</f>
        <v>A.Kothapalle</v>
      </c>
      <c r="D2874" s="91" t="s">
        <v>707</v>
      </c>
      <c r="E2874" s="91" t="s">
        <v>6523</v>
      </c>
      <c r="F2874" s="91" t="s">
        <v>1674</v>
      </c>
      <c r="G2874" s="91" t="s">
        <v>615</v>
      </c>
      <c r="H2874" s="93" t="s">
        <v>5</v>
      </c>
      <c r="I2874" s="92" t="s">
        <v>3212</v>
      </c>
      <c r="J2874" s="92">
        <v>7288913871</v>
      </c>
      <c r="K2874" s="67"/>
      <c r="L2874" s="67"/>
      <c r="M2874" s="67"/>
      <c r="N2874" s="67"/>
      <c r="O2874" s="67"/>
    </row>
    <row r="2875" spans="1:15" ht="15">
      <c r="A2875" s="110" t="s">
        <v>7</v>
      </c>
      <c r="B2875" s="110" t="s">
        <v>706</v>
      </c>
      <c r="C2875" s="92" t="str">
        <f ca="1">IFERROR(__xludf.DUMMYFUNCTION("filter('Back End'!C:C,'Back End'!A:A=A2875,'Back End'!B:B=B2875,'Back End'!D:D=D2875)"),"A.Kothapalle")</f>
        <v>A.Kothapalle</v>
      </c>
      <c r="D2875" s="91" t="s">
        <v>707</v>
      </c>
      <c r="E2875" s="91" t="s">
        <v>6524</v>
      </c>
      <c r="F2875" s="91" t="s">
        <v>139</v>
      </c>
      <c r="G2875" s="91" t="s">
        <v>594</v>
      </c>
      <c r="H2875" s="93" t="s">
        <v>5</v>
      </c>
      <c r="I2875" s="92" t="s">
        <v>4114</v>
      </c>
      <c r="J2875" s="92" t="s">
        <v>2631</v>
      </c>
      <c r="K2875" s="67"/>
      <c r="L2875" s="67"/>
      <c r="M2875" s="67"/>
      <c r="N2875" s="67"/>
      <c r="O2875" s="67"/>
    </row>
    <row r="2876" spans="1:15" ht="15">
      <c r="A2876" s="110" t="s">
        <v>7</v>
      </c>
      <c r="B2876" s="110" t="s">
        <v>706</v>
      </c>
      <c r="C2876" s="92" t="str">
        <f ca="1">IFERROR(__xludf.DUMMYFUNCTION("filter('Back End'!C:C,'Back End'!A:A=A2876,'Back End'!B:B=B2876,'Back End'!D:D=D2876)"),"A.Kothapalle")</f>
        <v>A.Kothapalle</v>
      </c>
      <c r="D2876" s="91" t="s">
        <v>707</v>
      </c>
      <c r="E2876" s="91" t="s">
        <v>6525</v>
      </c>
      <c r="F2876" s="91" t="s">
        <v>139</v>
      </c>
      <c r="G2876" s="91" t="s">
        <v>594</v>
      </c>
      <c r="H2876" s="93" t="s">
        <v>5</v>
      </c>
      <c r="I2876" s="92" t="s">
        <v>4088</v>
      </c>
      <c r="J2876" s="92" t="s">
        <v>2631</v>
      </c>
      <c r="K2876" s="67"/>
      <c r="L2876" s="67"/>
      <c r="M2876" s="67"/>
      <c r="N2876" s="67"/>
      <c r="O2876" s="67"/>
    </row>
    <row r="2877" spans="1:15" ht="30">
      <c r="A2877" s="91" t="s">
        <v>7</v>
      </c>
      <c r="B2877" s="91" t="s">
        <v>706</v>
      </c>
      <c r="C2877" s="92" t="str">
        <f ca="1">IFERROR(__xludf.DUMMYFUNCTION("filter('Back End'!C:C,'Back End'!A:A=A2877,'Back End'!B:B=B2877,'Back End'!D:D=D2877)"),"A.Kothapalle")</f>
        <v>A.Kothapalle</v>
      </c>
      <c r="D2877" s="91" t="s">
        <v>707</v>
      </c>
      <c r="E2877" s="91" t="s">
        <v>6526</v>
      </c>
      <c r="F2877" s="91" t="s">
        <v>114</v>
      </c>
      <c r="G2877" s="91" t="s">
        <v>85</v>
      </c>
      <c r="H2877" s="93" t="s">
        <v>5</v>
      </c>
      <c r="I2877" s="92" t="s">
        <v>3634</v>
      </c>
      <c r="J2877" s="92">
        <v>9640790840</v>
      </c>
      <c r="K2877" s="67"/>
      <c r="L2877" s="67"/>
      <c r="M2877" s="67"/>
      <c r="N2877" s="67"/>
      <c r="O2877" s="67"/>
    </row>
    <row r="2878" spans="1:15" ht="30">
      <c r="A2878" s="91" t="s">
        <v>7</v>
      </c>
      <c r="B2878" s="91" t="s">
        <v>706</v>
      </c>
      <c r="C2878" s="92" t="str">
        <f ca="1">IFERROR(__xludf.DUMMYFUNCTION("filter('Back End'!C:C,'Back End'!A:A=A2878,'Back End'!B:B=B2878,'Back End'!D:D=D2878)"),"A.Kothapalle")</f>
        <v>A.Kothapalle</v>
      </c>
      <c r="D2878" s="91" t="s">
        <v>707</v>
      </c>
      <c r="E2878" s="91" t="s">
        <v>6527</v>
      </c>
      <c r="F2878" s="91" t="s">
        <v>94</v>
      </c>
      <c r="G2878" s="91" t="s">
        <v>615</v>
      </c>
      <c r="H2878" s="93" t="s">
        <v>5</v>
      </c>
      <c r="I2878" s="92" t="s">
        <v>3634</v>
      </c>
      <c r="J2878" s="92">
        <v>9492140400</v>
      </c>
      <c r="K2878" s="67"/>
      <c r="L2878" s="67"/>
      <c r="M2878" s="67"/>
      <c r="N2878" s="67"/>
      <c r="O2878" s="67"/>
    </row>
    <row r="2879" spans="1:15" ht="30">
      <c r="A2879" s="91" t="s">
        <v>7</v>
      </c>
      <c r="B2879" s="91" t="s">
        <v>706</v>
      </c>
      <c r="C2879" s="92" t="str">
        <f ca="1">IFERROR(__xludf.DUMMYFUNCTION("filter('Back End'!C:C,'Back End'!A:A=A2879,'Back End'!B:B=B2879,'Back End'!D:D=D2879)"),"A.Kothapalle")</f>
        <v>A.Kothapalle</v>
      </c>
      <c r="D2879" s="91" t="s">
        <v>707</v>
      </c>
      <c r="E2879" s="91" t="s">
        <v>6528</v>
      </c>
      <c r="F2879" s="91" t="s">
        <v>139</v>
      </c>
      <c r="G2879" s="91" t="s">
        <v>594</v>
      </c>
      <c r="H2879" s="93" t="s">
        <v>5</v>
      </c>
      <c r="I2879" s="92" t="s">
        <v>3634</v>
      </c>
      <c r="J2879" s="92">
        <v>9705824601</v>
      </c>
      <c r="K2879" s="67"/>
      <c r="L2879" s="67"/>
      <c r="M2879" s="67"/>
      <c r="N2879" s="67"/>
      <c r="O2879" s="67"/>
    </row>
    <row r="2880" spans="1:15" ht="30">
      <c r="A2880" s="110" t="s">
        <v>7</v>
      </c>
      <c r="B2880" s="110" t="s">
        <v>706</v>
      </c>
      <c r="C2880" s="92" t="str">
        <f ca="1">IFERROR(__xludf.DUMMYFUNCTION("filter('Back End'!C:C,'Back End'!A:A=A2880,'Back End'!B:B=B2880,'Back End'!D:D=D2880)"),"A.Kothapalle")</f>
        <v>A.Kothapalle</v>
      </c>
      <c r="D2880" s="91" t="s">
        <v>707</v>
      </c>
      <c r="E2880" s="91" t="s">
        <v>6529</v>
      </c>
      <c r="F2880" s="91" t="s">
        <v>94</v>
      </c>
      <c r="G2880" s="91" t="s">
        <v>615</v>
      </c>
      <c r="H2880" s="93" t="s">
        <v>4</v>
      </c>
      <c r="I2880" s="92" t="s">
        <v>6530</v>
      </c>
      <c r="J2880" s="92">
        <v>9299993354</v>
      </c>
      <c r="K2880" s="67"/>
      <c r="L2880" s="67"/>
      <c r="M2880" s="67"/>
      <c r="N2880" s="67"/>
      <c r="O2880" s="67"/>
    </row>
    <row r="2881" spans="1:15" ht="15">
      <c r="A2881" s="91" t="s">
        <v>7</v>
      </c>
      <c r="B2881" s="91" t="s">
        <v>706</v>
      </c>
      <c r="C2881" s="92" t="str">
        <f ca="1">IFERROR(__xludf.DUMMYFUNCTION("filter('Back End'!C:C,'Back End'!A:A=A2881,'Back End'!B:B=B2881,'Back End'!D:D=D2881)"),"A.Kothapalle")</f>
        <v>A.Kothapalle</v>
      </c>
      <c r="D2881" s="91" t="s">
        <v>707</v>
      </c>
      <c r="E2881" s="91" t="s">
        <v>6531</v>
      </c>
      <c r="F2881" s="91" t="s">
        <v>139</v>
      </c>
      <c r="G2881" s="91" t="s">
        <v>594</v>
      </c>
      <c r="H2881" s="93" t="s">
        <v>4</v>
      </c>
      <c r="I2881" s="92" t="s">
        <v>3767</v>
      </c>
      <c r="J2881" s="92">
        <v>9912130112</v>
      </c>
      <c r="K2881" s="67"/>
      <c r="L2881" s="67"/>
      <c r="M2881" s="67"/>
      <c r="N2881" s="67"/>
      <c r="O2881" s="67"/>
    </row>
    <row r="2882" spans="1:15" ht="15">
      <c r="A2882" s="91" t="s">
        <v>7</v>
      </c>
      <c r="B2882" s="91" t="s">
        <v>706</v>
      </c>
      <c r="C2882" s="92" t="str">
        <f ca="1">IFERROR(__xludf.DUMMYFUNCTION("filter('Back End'!C:C,'Back End'!A:A=A2882,'Back End'!B:B=B2882,'Back End'!D:D=D2882)"),"A.Kothapalle")</f>
        <v>A.Kothapalle</v>
      </c>
      <c r="D2882" s="91" t="s">
        <v>707</v>
      </c>
      <c r="E2882" s="91" t="s">
        <v>6532</v>
      </c>
      <c r="F2882" s="91" t="s">
        <v>165</v>
      </c>
      <c r="G2882" s="91" t="s">
        <v>615</v>
      </c>
      <c r="H2882" s="93" t="s">
        <v>4</v>
      </c>
      <c r="I2882" s="92" t="s">
        <v>3767</v>
      </c>
      <c r="J2882" s="92">
        <v>7661026433</v>
      </c>
      <c r="K2882" s="67"/>
      <c r="L2882" s="67"/>
      <c r="M2882" s="67"/>
      <c r="N2882" s="67"/>
      <c r="O2882" s="67"/>
    </row>
    <row r="2883" spans="1:15" ht="15">
      <c r="A2883" s="91" t="s">
        <v>7</v>
      </c>
      <c r="B2883" s="91" t="s">
        <v>706</v>
      </c>
      <c r="C2883" s="92" t="str">
        <f ca="1">IFERROR(__xludf.DUMMYFUNCTION("filter('Back End'!C:C,'Back End'!A:A=A2883,'Back End'!B:B=B2883,'Back End'!D:D=D2883)"),"A.Kothapalle")</f>
        <v>A.Kothapalle</v>
      </c>
      <c r="D2883" s="91" t="s">
        <v>707</v>
      </c>
      <c r="E2883" s="91" t="s">
        <v>6533</v>
      </c>
      <c r="F2883" s="91" t="s">
        <v>165</v>
      </c>
      <c r="G2883" s="91" t="s">
        <v>615</v>
      </c>
      <c r="H2883" s="93" t="s">
        <v>4</v>
      </c>
      <c r="I2883" s="92" t="s">
        <v>3767</v>
      </c>
      <c r="J2883" s="92">
        <v>7995711237</v>
      </c>
      <c r="K2883" s="67"/>
      <c r="L2883" s="67"/>
      <c r="M2883" s="67"/>
      <c r="N2883" s="67"/>
      <c r="O2883" s="67"/>
    </row>
    <row r="2884" spans="1:15" ht="15">
      <c r="A2884" s="91" t="s">
        <v>7</v>
      </c>
      <c r="B2884" s="91" t="s">
        <v>706</v>
      </c>
      <c r="C2884" s="92" t="str">
        <f ca="1">IFERROR(__xludf.DUMMYFUNCTION("filter('Back End'!C:C,'Back End'!A:A=A2884,'Back End'!B:B=B2884,'Back End'!D:D=D2884)"),"A.Kothapalle")</f>
        <v>A.Kothapalle</v>
      </c>
      <c r="D2884" s="91" t="s">
        <v>707</v>
      </c>
      <c r="E2884" s="91" t="s">
        <v>6534</v>
      </c>
      <c r="F2884" s="91" t="s">
        <v>165</v>
      </c>
      <c r="G2884" s="91" t="s">
        <v>615</v>
      </c>
      <c r="H2884" s="93" t="s">
        <v>4</v>
      </c>
      <c r="I2884" s="92" t="s">
        <v>3767</v>
      </c>
      <c r="J2884" s="92">
        <v>9010019795</v>
      </c>
      <c r="K2884" s="67"/>
      <c r="L2884" s="67"/>
      <c r="M2884" s="67"/>
      <c r="N2884" s="67"/>
      <c r="O2884" s="67"/>
    </row>
    <row r="2885" spans="1:15" ht="15">
      <c r="A2885" s="91" t="s">
        <v>7</v>
      </c>
      <c r="B2885" s="91" t="s">
        <v>706</v>
      </c>
      <c r="C2885" s="92" t="str">
        <f ca="1">IFERROR(__xludf.DUMMYFUNCTION("filter('Back End'!C:C,'Back End'!A:A=A2885,'Back End'!B:B=B2885,'Back End'!D:D=D2885)"),"A.Kothapalle")</f>
        <v>A.Kothapalle</v>
      </c>
      <c r="D2885" s="91" t="s">
        <v>707</v>
      </c>
      <c r="E2885" s="91" t="s">
        <v>6535</v>
      </c>
      <c r="F2885" s="91" t="s">
        <v>114</v>
      </c>
      <c r="G2885" s="91" t="s">
        <v>85</v>
      </c>
      <c r="H2885" s="93" t="s">
        <v>4</v>
      </c>
      <c r="I2885" s="92" t="s">
        <v>3767</v>
      </c>
      <c r="J2885" s="92">
        <v>9398387156</v>
      </c>
      <c r="K2885" s="67"/>
      <c r="L2885" s="67"/>
      <c r="M2885" s="67"/>
      <c r="N2885" s="67"/>
      <c r="O2885" s="67"/>
    </row>
    <row r="2886" spans="1:15" ht="15">
      <c r="A2886" s="91" t="s">
        <v>7</v>
      </c>
      <c r="B2886" s="91" t="s">
        <v>706</v>
      </c>
      <c r="C2886" s="92" t="str">
        <f ca="1">IFERROR(__xludf.DUMMYFUNCTION("filter('Back End'!C:C,'Back End'!A:A=A2886,'Back End'!B:B=B2886,'Back End'!D:D=D2886)"),"A.Kothapalle")</f>
        <v>A.Kothapalle</v>
      </c>
      <c r="D2886" s="91" t="s">
        <v>707</v>
      </c>
      <c r="E2886" s="91" t="s">
        <v>6536</v>
      </c>
      <c r="F2886" s="91" t="s">
        <v>94</v>
      </c>
      <c r="G2886" s="91" t="s">
        <v>615</v>
      </c>
      <c r="H2886" s="93" t="s">
        <v>4</v>
      </c>
      <c r="I2886" s="92" t="s">
        <v>3767</v>
      </c>
      <c r="J2886" s="92">
        <v>9290938316</v>
      </c>
      <c r="K2886" s="67"/>
      <c r="L2886" s="67"/>
      <c r="M2886" s="67"/>
      <c r="N2886" s="67"/>
      <c r="O2886" s="67"/>
    </row>
    <row r="2887" spans="1:15" ht="15">
      <c r="A2887" s="91" t="s">
        <v>7</v>
      </c>
      <c r="B2887" s="91" t="s">
        <v>706</v>
      </c>
      <c r="C2887" s="92" t="str">
        <f ca="1">IFERROR(__xludf.DUMMYFUNCTION("filter('Back End'!C:C,'Back End'!A:A=A2887,'Back End'!B:B=B2887,'Back End'!D:D=D2887)"),"A.Kothapalle")</f>
        <v>A.Kothapalle</v>
      </c>
      <c r="D2887" s="91" t="s">
        <v>707</v>
      </c>
      <c r="E2887" s="91" t="s">
        <v>6537</v>
      </c>
      <c r="F2887" s="91" t="s">
        <v>139</v>
      </c>
      <c r="G2887" s="91" t="s">
        <v>594</v>
      </c>
      <c r="H2887" s="93" t="s">
        <v>5</v>
      </c>
      <c r="I2887" s="92" t="s">
        <v>3185</v>
      </c>
      <c r="J2887" s="92">
        <v>9848696066</v>
      </c>
      <c r="K2887" s="67"/>
      <c r="L2887" s="67"/>
      <c r="M2887" s="67"/>
      <c r="N2887" s="67"/>
      <c r="O2887" s="67"/>
    </row>
    <row r="2888" spans="1:15" ht="30">
      <c r="A2888" s="91" t="s">
        <v>7</v>
      </c>
      <c r="B2888" s="91" t="s">
        <v>671</v>
      </c>
      <c r="C2888" s="92" t="str">
        <f ca="1">IFERROR(__xludf.DUMMYFUNCTION("filter('Back End'!C:C,'Back End'!A:A=A2888,'Back End'!B:B=B2888,'Back End'!D:D=D2888)"),"B.H.Kota")</f>
        <v>B.H.Kota</v>
      </c>
      <c r="D2888" s="91" t="s">
        <v>675</v>
      </c>
      <c r="E2888" s="91" t="s">
        <v>6538</v>
      </c>
      <c r="F2888" s="91" t="s">
        <v>1660</v>
      </c>
      <c r="G2888" s="91" t="s">
        <v>615</v>
      </c>
      <c r="H2888" s="93" t="s">
        <v>5</v>
      </c>
      <c r="I2888" s="92" t="s">
        <v>4056</v>
      </c>
      <c r="J2888" s="92">
        <v>9959177135</v>
      </c>
      <c r="K2888" s="67"/>
      <c r="L2888" s="67"/>
      <c r="M2888" s="67"/>
      <c r="N2888" s="67"/>
      <c r="O2888" s="67"/>
    </row>
    <row r="2889" spans="1:15" ht="60">
      <c r="A2889" s="91" t="s">
        <v>7</v>
      </c>
      <c r="B2889" s="91" t="s">
        <v>671</v>
      </c>
      <c r="C2889" s="92" t="str">
        <f ca="1">IFERROR(__xludf.DUMMYFUNCTION("filter('Back End'!C:C,'Back End'!A:A=A2889,'Back End'!B:B=B2889,'Back End'!D:D=D2889)"),"B.H.Kota")</f>
        <v>B.H.Kota</v>
      </c>
      <c r="D2889" s="91" t="s">
        <v>675</v>
      </c>
      <c r="E2889" s="91" t="s">
        <v>6539</v>
      </c>
      <c r="F2889" s="91" t="s">
        <v>114</v>
      </c>
      <c r="G2889" s="91" t="s">
        <v>85</v>
      </c>
      <c r="H2889" s="93" t="s">
        <v>4</v>
      </c>
      <c r="I2889" s="92" t="s">
        <v>6540</v>
      </c>
      <c r="J2889" s="92">
        <v>9951279611</v>
      </c>
      <c r="K2889" s="67"/>
      <c r="L2889" s="67"/>
      <c r="M2889" s="67"/>
      <c r="N2889" s="67"/>
      <c r="O2889" s="67"/>
    </row>
    <row r="2890" spans="1:15" ht="30">
      <c r="A2890" s="110" t="s">
        <v>7</v>
      </c>
      <c r="B2890" s="110" t="s">
        <v>671</v>
      </c>
      <c r="C2890" s="92" t="str">
        <f ca="1">IFERROR(__xludf.DUMMYFUNCTION("filter('Back End'!C:C,'Back End'!A:A=A2890,'Back End'!B:B=B2890,'Back End'!D:D=D2890)"),"B.H.Kota")</f>
        <v>B.H.Kota</v>
      </c>
      <c r="D2890" s="91" t="s">
        <v>675</v>
      </c>
      <c r="E2890" s="91" t="s">
        <v>6541</v>
      </c>
      <c r="F2890" s="91" t="s">
        <v>154</v>
      </c>
      <c r="G2890" s="91" t="s">
        <v>615</v>
      </c>
      <c r="H2890" s="93" t="s">
        <v>4</v>
      </c>
      <c r="I2890" s="92" t="s">
        <v>6542</v>
      </c>
      <c r="J2890" s="92" t="s">
        <v>2631</v>
      </c>
      <c r="K2890" s="67"/>
      <c r="L2890" s="67"/>
      <c r="M2890" s="67"/>
      <c r="N2890" s="67"/>
      <c r="O2890" s="67"/>
    </row>
    <row r="2891" spans="1:15" ht="15">
      <c r="A2891" s="91" t="s">
        <v>7</v>
      </c>
      <c r="B2891" s="91" t="s">
        <v>671</v>
      </c>
      <c r="C2891" s="92" t="str">
        <f ca="1">IFERROR(__xludf.DUMMYFUNCTION("filter('Back End'!C:C,'Back End'!A:A=A2891,'Back End'!B:B=B2891,'Back End'!D:D=D2891)"),"B.H.Kota")</f>
        <v>B.H.Kota</v>
      </c>
      <c r="D2891" s="91" t="s">
        <v>675</v>
      </c>
      <c r="E2891" s="91" t="s">
        <v>6543</v>
      </c>
      <c r="F2891" s="91" t="s">
        <v>114</v>
      </c>
      <c r="G2891" s="91" t="s">
        <v>85</v>
      </c>
      <c r="H2891" s="93" t="s">
        <v>4</v>
      </c>
      <c r="I2891" s="92" t="s">
        <v>3490</v>
      </c>
      <c r="J2891" s="92">
        <v>9505050248</v>
      </c>
      <c r="K2891" s="67"/>
      <c r="L2891" s="67"/>
      <c r="M2891" s="67"/>
      <c r="N2891" s="67"/>
      <c r="O2891" s="67"/>
    </row>
    <row r="2892" spans="1:15" ht="15">
      <c r="A2892" s="91" t="s">
        <v>7</v>
      </c>
      <c r="B2892" s="91" t="s">
        <v>671</v>
      </c>
      <c r="C2892" s="92" t="str">
        <f ca="1">IFERROR(__xludf.DUMMYFUNCTION("filter('Back End'!C:C,'Back End'!A:A=A2892,'Back End'!B:B=B2892,'Back End'!D:D=D2892)"),"B.H.Kota")</f>
        <v>B.H.Kota</v>
      </c>
      <c r="D2892" s="91" t="s">
        <v>675</v>
      </c>
      <c r="E2892" s="91" t="s">
        <v>6544</v>
      </c>
      <c r="F2892" s="91" t="s">
        <v>154</v>
      </c>
      <c r="G2892" s="91" t="s">
        <v>615</v>
      </c>
      <c r="H2892" s="93" t="s">
        <v>4</v>
      </c>
      <c r="I2892" s="92" t="s">
        <v>3490</v>
      </c>
      <c r="J2892" s="92">
        <v>9502917691</v>
      </c>
      <c r="K2892" s="67"/>
      <c r="L2892" s="67"/>
      <c r="M2892" s="67"/>
      <c r="N2892" s="67"/>
      <c r="O2892" s="67"/>
    </row>
    <row r="2893" spans="1:15" ht="45">
      <c r="A2893" s="109" t="s">
        <v>7</v>
      </c>
      <c r="B2893" s="109" t="s">
        <v>671</v>
      </c>
      <c r="C2893" s="92" t="str">
        <f ca="1">IFERROR(__xludf.DUMMYFUNCTION("filter('Back End'!C:C,'Back End'!A:A=A2893,'Back End'!B:B=B2893,'Back End'!D:D=D2893)"),"Appalarajupeta")</f>
        <v>Appalarajupeta</v>
      </c>
      <c r="D2893" s="91" t="s">
        <v>674</v>
      </c>
      <c r="E2893" s="91" t="s">
        <v>6545</v>
      </c>
      <c r="F2893" s="91" t="s">
        <v>586</v>
      </c>
      <c r="G2893" s="91" t="s">
        <v>615</v>
      </c>
      <c r="H2893" s="93" t="s">
        <v>5</v>
      </c>
      <c r="I2893" s="92" t="s">
        <v>6546</v>
      </c>
      <c r="J2893" s="92">
        <v>9573933445</v>
      </c>
      <c r="K2893" s="67"/>
      <c r="L2893" s="67"/>
      <c r="M2893" s="67"/>
      <c r="N2893" s="67"/>
      <c r="O2893" s="67"/>
    </row>
    <row r="2894" spans="1:15" ht="30">
      <c r="A2894" s="109" t="s">
        <v>7</v>
      </c>
      <c r="B2894" s="109" t="s">
        <v>671</v>
      </c>
      <c r="C2894" s="92" t="str">
        <f ca="1">IFERROR(__xludf.DUMMYFUNCTION("filter('Back End'!C:C,'Back End'!A:A=A2894,'Back End'!B:B=B2894,'Back End'!D:D=D2894)"),"Appalarajupeta")</f>
        <v>Appalarajupeta</v>
      </c>
      <c r="D2894" s="91" t="s">
        <v>674</v>
      </c>
      <c r="E2894" s="91" t="s">
        <v>6547</v>
      </c>
      <c r="F2894" s="91" t="s">
        <v>586</v>
      </c>
      <c r="G2894" s="91" t="s">
        <v>615</v>
      </c>
      <c r="H2894" s="93" t="s">
        <v>5</v>
      </c>
      <c r="I2894" s="92" t="s">
        <v>6548</v>
      </c>
      <c r="J2894" s="92">
        <v>9676693957</v>
      </c>
      <c r="K2894" s="67"/>
      <c r="L2894" s="67"/>
      <c r="M2894" s="67"/>
      <c r="N2894" s="67"/>
      <c r="O2894" s="67"/>
    </row>
    <row r="2895" spans="1:15" ht="45">
      <c r="A2895" s="109" t="s">
        <v>7</v>
      </c>
      <c r="B2895" s="109" t="s">
        <v>671</v>
      </c>
      <c r="C2895" s="92" t="str">
        <f ca="1">IFERROR(__xludf.DUMMYFUNCTION("filter('Back End'!C:C,'Back End'!A:A=A2895,'Back End'!B:B=B2895,'Back End'!D:D=D2895)"),"Appalarajupeta")</f>
        <v>Appalarajupeta</v>
      </c>
      <c r="D2895" s="91" t="s">
        <v>674</v>
      </c>
      <c r="E2895" s="91" t="s">
        <v>6549</v>
      </c>
      <c r="F2895" s="91" t="s">
        <v>586</v>
      </c>
      <c r="G2895" s="91" t="s">
        <v>615</v>
      </c>
      <c r="H2895" s="93" t="s">
        <v>5</v>
      </c>
      <c r="I2895" s="92" t="s">
        <v>6550</v>
      </c>
      <c r="J2895" s="92">
        <v>9704639674</v>
      </c>
      <c r="K2895" s="67"/>
      <c r="L2895" s="67"/>
      <c r="M2895" s="67"/>
      <c r="N2895" s="67"/>
      <c r="O2895" s="67"/>
    </row>
    <row r="2896" spans="1:15" ht="60">
      <c r="A2896" s="109" t="s">
        <v>7</v>
      </c>
      <c r="B2896" s="109" t="s">
        <v>671</v>
      </c>
      <c r="C2896" s="92" t="str">
        <f ca="1">IFERROR(__xludf.DUMMYFUNCTION("filter('Back End'!C:C,'Back End'!A:A=A2896,'Back End'!B:B=B2896,'Back End'!D:D=D2896)"),"Appalarajupeta")</f>
        <v>Appalarajupeta</v>
      </c>
      <c r="D2896" s="91" t="s">
        <v>674</v>
      </c>
      <c r="E2896" s="91" t="s">
        <v>6551</v>
      </c>
      <c r="F2896" s="91" t="s">
        <v>586</v>
      </c>
      <c r="G2896" s="91" t="s">
        <v>615</v>
      </c>
      <c r="H2896" s="93" t="s">
        <v>5</v>
      </c>
      <c r="I2896" s="92" t="s">
        <v>6552</v>
      </c>
      <c r="J2896" s="92">
        <v>9000627342</v>
      </c>
      <c r="K2896" s="67"/>
      <c r="L2896" s="67"/>
      <c r="M2896" s="67"/>
      <c r="N2896" s="67"/>
      <c r="O2896" s="67"/>
    </row>
    <row r="2897" spans="1:15" ht="45">
      <c r="A2897" s="109" t="s">
        <v>7</v>
      </c>
      <c r="B2897" s="109" t="s">
        <v>671</v>
      </c>
      <c r="C2897" s="92" t="str">
        <f ca="1">IFERROR(__xludf.DUMMYFUNCTION("filter('Back End'!C:C,'Back End'!A:A=A2897,'Back End'!B:B=B2897,'Back End'!D:D=D2897)"),"Appalarajupeta")</f>
        <v>Appalarajupeta</v>
      </c>
      <c r="D2897" s="91" t="s">
        <v>674</v>
      </c>
      <c r="E2897" s="91" t="s">
        <v>6553</v>
      </c>
      <c r="F2897" s="91" t="s">
        <v>586</v>
      </c>
      <c r="G2897" s="91" t="s">
        <v>615</v>
      </c>
      <c r="H2897" s="93" t="s">
        <v>4</v>
      </c>
      <c r="I2897" s="92" t="s">
        <v>6554</v>
      </c>
      <c r="J2897" s="92" t="s">
        <v>2631</v>
      </c>
      <c r="K2897" s="67"/>
      <c r="L2897" s="67"/>
      <c r="M2897" s="67"/>
      <c r="N2897" s="67"/>
      <c r="O2897" s="67"/>
    </row>
    <row r="2898" spans="1:15" ht="30">
      <c r="A2898" s="109" t="s">
        <v>7</v>
      </c>
      <c r="B2898" s="109" t="s">
        <v>671</v>
      </c>
      <c r="C2898" s="92" t="str">
        <f ca="1">IFERROR(__xludf.DUMMYFUNCTION("filter('Back End'!C:C,'Back End'!A:A=A2898,'Back End'!B:B=B2898,'Back End'!D:D=D2898)"),"Appalarajupeta")</f>
        <v>Appalarajupeta</v>
      </c>
      <c r="D2898" s="91" t="s">
        <v>674</v>
      </c>
      <c r="E2898" s="91" t="s">
        <v>6555</v>
      </c>
      <c r="F2898" s="91" t="s">
        <v>586</v>
      </c>
      <c r="G2898" s="91" t="s">
        <v>615</v>
      </c>
      <c r="H2898" s="93" t="s">
        <v>4</v>
      </c>
      <c r="I2898" s="92" t="s">
        <v>3212</v>
      </c>
      <c r="J2898" s="92" t="s">
        <v>2631</v>
      </c>
      <c r="K2898" s="92" t="s">
        <v>6556</v>
      </c>
      <c r="L2898" s="67"/>
      <c r="M2898" s="67"/>
      <c r="N2898" s="67"/>
      <c r="O2898" s="67"/>
    </row>
    <row r="2899" spans="1:15" ht="45">
      <c r="A2899" s="109" t="s">
        <v>7</v>
      </c>
      <c r="B2899" s="109" t="s">
        <v>671</v>
      </c>
      <c r="C2899" s="92" t="str">
        <f ca="1">IFERROR(__xludf.DUMMYFUNCTION("filter('Back End'!C:C,'Back End'!A:A=A2899,'Back End'!B:B=B2899,'Back End'!D:D=D2899)"),"Billananduru")</f>
        <v>Billananduru</v>
      </c>
      <c r="D2899" s="91" t="s">
        <v>677</v>
      </c>
      <c r="E2899" s="91" t="s">
        <v>6557</v>
      </c>
      <c r="F2899" s="91" t="s">
        <v>586</v>
      </c>
      <c r="G2899" s="91" t="s">
        <v>615</v>
      </c>
      <c r="H2899" s="93" t="s">
        <v>5</v>
      </c>
      <c r="I2899" s="92" t="s">
        <v>6558</v>
      </c>
      <c r="J2899" s="92">
        <v>9951353839</v>
      </c>
      <c r="K2899" s="67"/>
      <c r="L2899" s="67"/>
      <c r="M2899" s="67"/>
      <c r="N2899" s="67"/>
      <c r="O2899" s="67"/>
    </row>
    <row r="2900" spans="1:15" ht="15">
      <c r="A2900" s="109" t="s">
        <v>7</v>
      </c>
      <c r="B2900" s="109" t="s">
        <v>671</v>
      </c>
      <c r="C2900" s="92" t="str">
        <f ca="1">IFERROR(__xludf.DUMMYFUNCTION("filter('Back End'!C:C,'Back End'!A:A=A2900,'Back End'!B:B=B2900,'Back End'!D:D=D2900)"),"Billananduru")</f>
        <v>Billananduru</v>
      </c>
      <c r="D2900" s="91" t="s">
        <v>677</v>
      </c>
      <c r="E2900" s="91" t="s">
        <v>6559</v>
      </c>
      <c r="F2900" s="91" t="s">
        <v>586</v>
      </c>
      <c r="G2900" s="91" t="s">
        <v>615</v>
      </c>
      <c r="H2900" s="93" t="s">
        <v>5</v>
      </c>
      <c r="I2900" s="92" t="s">
        <v>3112</v>
      </c>
      <c r="J2900" s="92">
        <v>9701122078</v>
      </c>
      <c r="K2900" s="67"/>
      <c r="L2900" s="67"/>
      <c r="M2900" s="67"/>
      <c r="N2900" s="67"/>
      <c r="O2900" s="67"/>
    </row>
    <row r="2901" spans="1:15" ht="15">
      <c r="A2901" s="109" t="s">
        <v>7</v>
      </c>
      <c r="B2901" s="109" t="s">
        <v>671</v>
      </c>
      <c r="C2901" s="92" t="str">
        <f ca="1">IFERROR(__xludf.DUMMYFUNCTION("filter('Back End'!C:C,'Back End'!A:A=A2901,'Back End'!B:B=B2901,'Back End'!D:D=D2901)"),"Billananduru")</f>
        <v>Billananduru</v>
      </c>
      <c r="D2901" s="91" t="s">
        <v>677</v>
      </c>
      <c r="E2901" s="91" t="s">
        <v>6560</v>
      </c>
      <c r="F2901" s="91" t="s">
        <v>586</v>
      </c>
      <c r="G2901" s="91" t="s">
        <v>615</v>
      </c>
      <c r="H2901" s="93" t="s">
        <v>5</v>
      </c>
      <c r="I2901" s="92" t="s">
        <v>3112</v>
      </c>
      <c r="J2901" s="92">
        <v>9646354900</v>
      </c>
      <c r="K2901" s="67"/>
      <c r="L2901" s="67"/>
      <c r="M2901" s="67"/>
      <c r="N2901" s="67"/>
      <c r="O2901" s="67"/>
    </row>
    <row r="2902" spans="1:15" ht="60">
      <c r="A2902" s="91" t="s">
        <v>7</v>
      </c>
      <c r="B2902" s="109" t="s">
        <v>671</v>
      </c>
      <c r="C2902" s="92" t="str">
        <f ca="1">IFERROR(__xludf.DUMMYFUNCTION("filter('Back End'!C:C,'Back End'!A:A=A2902,'Back End'!B:B=B2902,'Back End'!D:D=D2902)"),"Billananduru")</f>
        <v>Billananduru</v>
      </c>
      <c r="D2902" s="91" t="s">
        <v>677</v>
      </c>
      <c r="E2902" s="91" t="s">
        <v>6561</v>
      </c>
      <c r="F2902" s="91" t="s">
        <v>586</v>
      </c>
      <c r="G2902" s="91" t="s">
        <v>615</v>
      </c>
      <c r="H2902" s="93" t="s">
        <v>5</v>
      </c>
      <c r="I2902" s="67"/>
      <c r="J2902" s="92" t="s">
        <v>6562</v>
      </c>
      <c r="K2902" s="67"/>
      <c r="L2902" s="67"/>
      <c r="M2902" s="67"/>
      <c r="N2902" s="67"/>
      <c r="O2902" s="67"/>
    </row>
    <row r="2903" spans="1:15" ht="30">
      <c r="A2903" s="91" t="s">
        <v>7</v>
      </c>
      <c r="B2903" s="109" t="s">
        <v>671</v>
      </c>
      <c r="C2903" s="92" t="str">
        <f ca="1">IFERROR(__xludf.DUMMYFUNCTION("filter('Back End'!C:C,'Back End'!A:A=A2903,'Back End'!B:B=B2903,'Back End'!D:D=D2903)"),"Billananduru")</f>
        <v>Billananduru</v>
      </c>
      <c r="D2903" s="91" t="s">
        <v>677</v>
      </c>
      <c r="E2903" s="91" t="s">
        <v>6563</v>
      </c>
      <c r="F2903" s="91" t="s">
        <v>1643</v>
      </c>
      <c r="G2903" s="91" t="s">
        <v>615</v>
      </c>
      <c r="H2903" s="93" t="s">
        <v>4</v>
      </c>
      <c r="I2903" s="92" t="s">
        <v>6564</v>
      </c>
      <c r="J2903" s="92">
        <v>9177440198</v>
      </c>
      <c r="K2903" s="67"/>
      <c r="L2903" s="67"/>
      <c r="M2903" s="67"/>
      <c r="N2903" s="67"/>
      <c r="O2903" s="67"/>
    </row>
    <row r="2904" spans="1:15" ht="30">
      <c r="A2904" s="109" t="s">
        <v>7</v>
      </c>
      <c r="B2904" s="109" t="s">
        <v>671</v>
      </c>
      <c r="C2904" s="92" t="str">
        <f ca="1">IFERROR(__xludf.DUMMYFUNCTION("filter('Back End'!C:C,'Back End'!A:A=A2904,'Back End'!B:B=B2904,'Back End'!D:D=D2904)"),"Billananduru")</f>
        <v>Billananduru</v>
      </c>
      <c r="D2904" s="91" t="s">
        <v>677</v>
      </c>
      <c r="E2904" s="91" t="s">
        <v>6565</v>
      </c>
      <c r="F2904" s="91" t="s">
        <v>586</v>
      </c>
      <c r="G2904" s="91" t="s">
        <v>615</v>
      </c>
      <c r="H2904" s="93" t="s">
        <v>4</v>
      </c>
      <c r="I2904" s="92" t="s">
        <v>3753</v>
      </c>
      <c r="J2904" s="92" t="s">
        <v>2631</v>
      </c>
      <c r="K2904" s="67"/>
      <c r="L2904" s="67"/>
      <c r="M2904" s="67"/>
      <c r="N2904" s="67"/>
      <c r="O2904" s="67"/>
    </row>
    <row r="2905" spans="1:15" ht="60">
      <c r="A2905" s="91" t="s">
        <v>7</v>
      </c>
      <c r="B2905" s="109" t="s">
        <v>671</v>
      </c>
      <c r="C2905" s="92" t="str">
        <f ca="1">IFERROR(__xludf.DUMMYFUNCTION("filter('Back End'!C:C,'Back End'!A:A=A2905,'Back End'!B:B=B2905,'Back End'!D:D=D2905)"),"Billananduru")</f>
        <v>Billananduru</v>
      </c>
      <c r="D2905" s="91" t="s">
        <v>677</v>
      </c>
      <c r="E2905" s="91" t="s">
        <v>6566</v>
      </c>
      <c r="F2905" s="91" t="s">
        <v>1661</v>
      </c>
      <c r="G2905" s="91" t="s">
        <v>615</v>
      </c>
      <c r="H2905" s="93" t="s">
        <v>4</v>
      </c>
      <c r="I2905" s="92" t="s">
        <v>6567</v>
      </c>
      <c r="J2905" s="92">
        <v>9705338125</v>
      </c>
      <c r="K2905" s="67"/>
      <c r="L2905" s="67"/>
      <c r="M2905" s="67"/>
      <c r="N2905" s="67"/>
      <c r="O2905" s="67"/>
    </row>
    <row r="2906" spans="1:15" ht="15">
      <c r="A2906" s="109" t="s">
        <v>7</v>
      </c>
      <c r="B2906" s="109" t="s">
        <v>671</v>
      </c>
      <c r="C2906" s="92" t="str">
        <f ca="1">IFERROR(__xludf.DUMMYFUNCTION("filter('Back End'!C:C,'Back End'!A:A=A2906,'Back End'!B:B=B2906,'Back End'!D:D=D2906)"),"Billananduru")</f>
        <v>Billananduru</v>
      </c>
      <c r="D2906" s="91" t="s">
        <v>677</v>
      </c>
      <c r="E2906" s="91" t="s">
        <v>6568</v>
      </c>
      <c r="F2906" s="91" t="s">
        <v>586</v>
      </c>
      <c r="G2906" s="91" t="s">
        <v>615</v>
      </c>
      <c r="H2906" s="93" t="s">
        <v>4</v>
      </c>
      <c r="I2906" s="92" t="s">
        <v>3185</v>
      </c>
      <c r="J2906" s="92" t="s">
        <v>2631</v>
      </c>
      <c r="K2906" s="67"/>
      <c r="L2906" s="67"/>
      <c r="M2906" s="67"/>
      <c r="N2906" s="67"/>
      <c r="O2906" s="67"/>
    </row>
    <row r="2907" spans="1:15" ht="16.5">
      <c r="A2907" s="103" t="s">
        <v>7</v>
      </c>
      <c r="B2907" s="98" t="s">
        <v>671</v>
      </c>
      <c r="C2907" s="98" t="s">
        <v>677</v>
      </c>
      <c r="D2907" s="100" t="s">
        <v>6569</v>
      </c>
      <c r="E2907" s="98" t="s">
        <v>6570</v>
      </c>
      <c r="F2907" s="100" t="s">
        <v>586</v>
      </c>
      <c r="G2907" s="100" t="s">
        <v>615</v>
      </c>
      <c r="H2907" s="100" t="s">
        <v>92</v>
      </c>
      <c r="I2907" s="97" t="s">
        <v>3185</v>
      </c>
      <c r="J2907" s="104">
        <v>94411414181</v>
      </c>
      <c r="K2907" s="67"/>
      <c r="L2907" s="67"/>
      <c r="M2907" s="67"/>
      <c r="N2907" s="67"/>
      <c r="O2907" s="67"/>
    </row>
    <row r="2908" spans="1:15" ht="30.4">
      <c r="A2908" s="107" t="s">
        <v>7</v>
      </c>
      <c r="B2908" s="105" t="s">
        <v>671</v>
      </c>
      <c r="C2908" s="105" t="s">
        <v>677</v>
      </c>
      <c r="D2908" s="93" t="s">
        <v>6569</v>
      </c>
      <c r="E2908" s="105" t="s">
        <v>6571</v>
      </c>
      <c r="F2908" s="93" t="s">
        <v>165</v>
      </c>
      <c r="G2908" s="93" t="s">
        <v>615</v>
      </c>
      <c r="H2908" s="93" t="s">
        <v>92</v>
      </c>
      <c r="I2908" s="102" t="s">
        <v>4404</v>
      </c>
      <c r="J2908" s="106">
        <v>7799618986</v>
      </c>
      <c r="K2908" s="67"/>
      <c r="L2908" s="67"/>
      <c r="M2908" s="67"/>
      <c r="N2908" s="67"/>
      <c r="O2908" s="67"/>
    </row>
    <row r="2909" spans="1:15" ht="30">
      <c r="A2909" s="109" t="s">
        <v>7</v>
      </c>
      <c r="B2909" s="110" t="s">
        <v>671</v>
      </c>
      <c r="C2909" s="92" t="str">
        <f ca="1">IFERROR(__xludf.DUMMYFUNCTION("filter('Back End'!C:C,'Back End'!A:A=A2909,'Back End'!B:B=B2909,'Back End'!D:D=D2909)"),"Indugapalle")</f>
        <v>Indugapalle</v>
      </c>
      <c r="D2909" s="91" t="s">
        <v>681</v>
      </c>
      <c r="E2909" s="91" t="s">
        <v>6572</v>
      </c>
      <c r="F2909" s="91" t="s">
        <v>139</v>
      </c>
      <c r="G2909" s="91" t="s">
        <v>594</v>
      </c>
      <c r="H2909" s="93" t="s">
        <v>5</v>
      </c>
      <c r="I2909" s="92" t="s">
        <v>6573</v>
      </c>
      <c r="J2909" s="92" t="s">
        <v>2631</v>
      </c>
      <c r="K2909" s="67"/>
      <c r="L2909" s="67"/>
      <c r="M2909" s="67"/>
      <c r="N2909" s="67"/>
      <c r="O2909" s="67"/>
    </row>
    <row r="2910" spans="1:15" ht="30">
      <c r="A2910" s="109" t="s">
        <v>7</v>
      </c>
      <c r="B2910" s="110" t="s">
        <v>671</v>
      </c>
      <c r="C2910" s="92" t="str">
        <f ca="1">IFERROR(__xludf.DUMMYFUNCTION("filter('Back End'!C:C,'Back End'!A:A=A2910,'Back End'!B:B=B2910,'Back End'!D:D=D2910)"),"Indugapalle")</f>
        <v>Indugapalle</v>
      </c>
      <c r="D2910" s="91" t="s">
        <v>681</v>
      </c>
      <c r="E2910" s="91" t="s">
        <v>6574</v>
      </c>
      <c r="F2910" s="91" t="s">
        <v>139</v>
      </c>
      <c r="G2910" s="91" t="s">
        <v>594</v>
      </c>
      <c r="H2910" s="93" t="s">
        <v>5</v>
      </c>
      <c r="I2910" s="92" t="s">
        <v>3210</v>
      </c>
      <c r="J2910" s="92" t="s">
        <v>2631</v>
      </c>
      <c r="K2910" s="67"/>
      <c r="L2910" s="67"/>
      <c r="M2910" s="67"/>
      <c r="N2910" s="67"/>
      <c r="O2910" s="67"/>
    </row>
    <row r="2911" spans="1:15" ht="60">
      <c r="A2911" s="91" t="s">
        <v>7</v>
      </c>
      <c r="B2911" s="91" t="s">
        <v>671</v>
      </c>
      <c r="C2911" s="92" t="str">
        <f ca="1">IFERROR(__xludf.DUMMYFUNCTION("filter('Back End'!C:C,'Back End'!A:A=A2911,'Back End'!B:B=B2911,'Back End'!D:D=D2911)"),"Indugapalle")</f>
        <v>Indugapalle</v>
      </c>
      <c r="D2911" s="91" t="s">
        <v>681</v>
      </c>
      <c r="E2911" s="91" t="s">
        <v>6575</v>
      </c>
      <c r="F2911" s="91" t="s">
        <v>139</v>
      </c>
      <c r="G2911" s="91" t="s">
        <v>594</v>
      </c>
      <c r="H2911" s="93" t="s">
        <v>5</v>
      </c>
      <c r="I2911" s="92" t="s">
        <v>3112</v>
      </c>
      <c r="J2911" s="92" t="s">
        <v>6576</v>
      </c>
      <c r="K2911" s="67"/>
      <c r="L2911" s="67"/>
      <c r="M2911" s="67"/>
      <c r="N2911" s="67"/>
      <c r="O2911" s="67"/>
    </row>
    <row r="2912" spans="1:15" ht="30">
      <c r="A2912" s="91" t="s">
        <v>7</v>
      </c>
      <c r="B2912" s="91" t="s">
        <v>671</v>
      </c>
      <c r="C2912" s="92" t="str">
        <f ca="1">IFERROR(__xludf.DUMMYFUNCTION("filter('Back End'!C:C,'Back End'!A:A=A2912,'Back End'!B:B=B2912,'Back End'!D:D=D2912)"),"Indugapalle")</f>
        <v>Indugapalle</v>
      </c>
      <c r="D2912" s="91" t="s">
        <v>681</v>
      </c>
      <c r="E2912" s="91" t="s">
        <v>6577</v>
      </c>
      <c r="F2912" s="91" t="s">
        <v>165</v>
      </c>
      <c r="G2912" s="91" t="s">
        <v>615</v>
      </c>
      <c r="H2912" s="93" t="s">
        <v>4</v>
      </c>
      <c r="I2912" s="92" t="s">
        <v>3212</v>
      </c>
      <c r="J2912" s="92">
        <v>7702862921</v>
      </c>
      <c r="K2912" s="67"/>
      <c r="L2912" s="67"/>
      <c r="M2912" s="67"/>
      <c r="N2912" s="67"/>
      <c r="O2912" s="67"/>
    </row>
    <row r="2913" spans="1:15" ht="15">
      <c r="A2913" s="91" t="s">
        <v>7</v>
      </c>
      <c r="B2913" s="91" t="s">
        <v>671</v>
      </c>
      <c r="C2913" s="92" t="str">
        <f ca="1">IFERROR(__xludf.DUMMYFUNCTION("filter('Back End'!C:C,'Back End'!A:A=A2913,'Back End'!B:B=B2913,'Back End'!D:D=D2913)"),"Indugapalle")</f>
        <v>Indugapalle</v>
      </c>
      <c r="D2913" s="91" t="s">
        <v>681</v>
      </c>
      <c r="E2913" s="91" t="s">
        <v>6578</v>
      </c>
      <c r="F2913" s="91" t="s">
        <v>139</v>
      </c>
      <c r="G2913" s="91" t="s">
        <v>594</v>
      </c>
      <c r="H2913" s="93" t="s">
        <v>4</v>
      </c>
      <c r="I2913" s="92" t="s">
        <v>3767</v>
      </c>
      <c r="J2913" s="92">
        <v>9848074379</v>
      </c>
      <c r="K2913" s="67"/>
      <c r="L2913" s="67"/>
      <c r="M2913" s="67"/>
      <c r="N2913" s="67"/>
      <c r="O2913" s="67"/>
    </row>
    <row r="2914" spans="1:15" ht="15">
      <c r="A2914" s="91" t="s">
        <v>7</v>
      </c>
      <c r="B2914" s="91" t="s">
        <v>671</v>
      </c>
      <c r="C2914" s="92" t="str">
        <f ca="1">IFERROR(__xludf.DUMMYFUNCTION("filter('Back End'!C:C,'Back End'!A:A=A2914,'Back End'!B:B=B2914,'Back End'!D:D=D2914)"),"Indugapalle")</f>
        <v>Indugapalle</v>
      </c>
      <c r="D2914" s="91" t="s">
        <v>681</v>
      </c>
      <c r="E2914" s="91" t="s">
        <v>6579</v>
      </c>
      <c r="F2914" s="91" t="s">
        <v>165</v>
      </c>
      <c r="G2914" s="91" t="s">
        <v>615</v>
      </c>
      <c r="H2914" s="93" t="s">
        <v>4</v>
      </c>
      <c r="I2914" s="92" t="s">
        <v>3112</v>
      </c>
      <c r="J2914" s="92">
        <v>9440083269</v>
      </c>
      <c r="K2914" s="67"/>
      <c r="L2914" s="67"/>
      <c r="M2914" s="67"/>
      <c r="N2914" s="67"/>
      <c r="O2914" s="67"/>
    </row>
    <row r="2915" spans="1:15" ht="30">
      <c r="A2915" s="109" t="s">
        <v>7</v>
      </c>
      <c r="B2915" s="110" t="s">
        <v>671</v>
      </c>
      <c r="C2915" s="92" t="str">
        <f ca="1">IFERROR(__xludf.DUMMYFUNCTION("filter('Back End'!C:C,'Back End'!A:A=A2915,'Back End'!B:B=B2915,'Back End'!D:D=D2915)"),"Indugapalle")</f>
        <v>Indugapalle</v>
      </c>
      <c r="D2915" s="91" t="s">
        <v>681</v>
      </c>
      <c r="E2915" s="91" t="s">
        <v>6580</v>
      </c>
      <c r="F2915" s="91" t="s">
        <v>139</v>
      </c>
      <c r="G2915" s="91" t="s">
        <v>594</v>
      </c>
      <c r="H2915" s="93" t="s">
        <v>4</v>
      </c>
      <c r="I2915" s="92" t="s">
        <v>3210</v>
      </c>
      <c r="J2915" s="92">
        <v>9848670945</v>
      </c>
      <c r="K2915" s="67"/>
      <c r="L2915" s="67"/>
      <c r="M2915" s="67"/>
      <c r="N2915" s="67"/>
      <c r="O2915" s="67"/>
    </row>
    <row r="2916" spans="1:15" ht="15">
      <c r="A2916" s="109" t="s">
        <v>7</v>
      </c>
      <c r="B2916" s="110" t="s">
        <v>671</v>
      </c>
      <c r="C2916" s="92" t="str">
        <f ca="1">IFERROR(__xludf.DUMMYFUNCTION("filter('Back End'!C:C,'Back End'!A:A=A2916,'Back End'!B:B=B2916,'Back End'!D:D=D2916)"),"Indugapalle")</f>
        <v>Indugapalle</v>
      </c>
      <c r="D2916" s="91" t="s">
        <v>681</v>
      </c>
      <c r="E2916" s="91" t="s">
        <v>6581</v>
      </c>
      <c r="F2916" s="91" t="s">
        <v>165</v>
      </c>
      <c r="G2916" s="91" t="s">
        <v>615</v>
      </c>
      <c r="H2916" s="93" t="s">
        <v>4</v>
      </c>
      <c r="I2916" s="92" t="s">
        <v>3112</v>
      </c>
      <c r="J2916" s="92">
        <v>9440083269</v>
      </c>
      <c r="K2916" s="67"/>
      <c r="L2916" s="67"/>
      <c r="M2916" s="67"/>
      <c r="N2916" s="67"/>
      <c r="O2916" s="67"/>
    </row>
    <row r="2917" spans="1:15" ht="30">
      <c r="A2917" s="110" t="s">
        <v>7</v>
      </c>
      <c r="B2917" s="110" t="s">
        <v>671</v>
      </c>
      <c r="C2917" s="92" t="str">
        <f ca="1">IFERROR(__xludf.DUMMYFUNCTION("filter('Back End'!C:C,'Back End'!A:A=A2917,'Back End'!B:B=B2917,'Back End'!D:D=D2917)"),"Jagannadhapuram")</f>
        <v>Jagannadhapuram</v>
      </c>
      <c r="D2917" s="91" t="s">
        <v>683</v>
      </c>
      <c r="E2917" s="91" t="s">
        <v>6582</v>
      </c>
      <c r="F2917" s="91" t="s">
        <v>586</v>
      </c>
      <c r="G2917" s="91" t="s">
        <v>615</v>
      </c>
      <c r="H2917" s="93" t="s">
        <v>5</v>
      </c>
      <c r="I2917" s="92" t="s">
        <v>3743</v>
      </c>
      <c r="J2917" s="92" t="s">
        <v>2631</v>
      </c>
      <c r="K2917" s="67"/>
      <c r="L2917" s="67"/>
      <c r="M2917" s="67"/>
      <c r="N2917" s="67"/>
      <c r="O2917" s="67"/>
    </row>
    <row r="2918" spans="1:15" ht="30">
      <c r="A2918" s="110" t="s">
        <v>7</v>
      </c>
      <c r="B2918" s="110" t="s">
        <v>671</v>
      </c>
      <c r="C2918" s="92" t="str">
        <f ca="1">IFERROR(__xludf.DUMMYFUNCTION("filter('Back End'!C:C,'Back End'!A:A=A2918,'Back End'!B:B=B2918,'Back End'!D:D=D2918)"),"Jagannadhapuram")</f>
        <v>Jagannadhapuram</v>
      </c>
      <c r="D2918" s="91" t="s">
        <v>683</v>
      </c>
      <c r="E2918" s="91" t="s">
        <v>6583</v>
      </c>
      <c r="F2918" s="91" t="s">
        <v>586</v>
      </c>
      <c r="G2918" s="91" t="s">
        <v>615</v>
      </c>
      <c r="H2918" s="93" t="s">
        <v>5</v>
      </c>
      <c r="I2918" s="92" t="s">
        <v>3112</v>
      </c>
      <c r="J2918" s="92" t="s">
        <v>2631</v>
      </c>
      <c r="K2918" s="67"/>
      <c r="L2918" s="67"/>
      <c r="M2918" s="67"/>
      <c r="N2918" s="67"/>
      <c r="O2918" s="67"/>
    </row>
    <row r="2919" spans="1:15" ht="30">
      <c r="A2919" s="91" t="s">
        <v>7</v>
      </c>
      <c r="B2919" s="91" t="s">
        <v>671</v>
      </c>
      <c r="C2919" s="92" t="str">
        <f ca="1">IFERROR(__xludf.DUMMYFUNCTION("filter('Back End'!C:C,'Back End'!A:A=A2919,'Back End'!B:B=B2919,'Back End'!D:D=D2919)"),"Jagannadhapuram")</f>
        <v>Jagannadhapuram</v>
      </c>
      <c r="D2919" s="91" t="s">
        <v>683</v>
      </c>
      <c r="E2919" s="91" t="s">
        <v>6584</v>
      </c>
      <c r="F2919" s="91" t="s">
        <v>586</v>
      </c>
      <c r="G2919" s="91" t="s">
        <v>615</v>
      </c>
      <c r="H2919" s="93" t="s">
        <v>5</v>
      </c>
      <c r="I2919" s="92" t="s">
        <v>3535</v>
      </c>
      <c r="J2919" s="92">
        <v>8500811496</v>
      </c>
      <c r="K2919" s="67"/>
      <c r="L2919" s="67"/>
      <c r="M2919" s="67"/>
      <c r="N2919" s="67"/>
      <c r="O2919" s="67"/>
    </row>
    <row r="2920" spans="1:15" ht="30">
      <c r="A2920" s="91" t="s">
        <v>7</v>
      </c>
      <c r="B2920" s="91" t="s">
        <v>671</v>
      </c>
      <c r="C2920" s="92" t="str">
        <f ca="1">IFERROR(__xludf.DUMMYFUNCTION("filter('Back End'!C:C,'Back End'!A:A=A2920,'Back End'!B:B=B2920,'Back End'!D:D=D2920)"),"Jagannadhapuram")</f>
        <v>Jagannadhapuram</v>
      </c>
      <c r="D2920" s="91" t="s">
        <v>683</v>
      </c>
      <c r="E2920" s="91" t="s">
        <v>6585</v>
      </c>
      <c r="F2920" s="91" t="s">
        <v>586</v>
      </c>
      <c r="G2920" s="91" t="s">
        <v>615</v>
      </c>
      <c r="H2920" s="93" t="s">
        <v>5</v>
      </c>
      <c r="I2920" s="92" t="s">
        <v>4056</v>
      </c>
      <c r="J2920" s="92">
        <v>8985253148</v>
      </c>
      <c r="K2920" s="67"/>
      <c r="L2920" s="67"/>
      <c r="M2920" s="67"/>
      <c r="N2920" s="67"/>
      <c r="O2920" s="67"/>
    </row>
    <row r="2921" spans="1:15" ht="45">
      <c r="A2921" s="110" t="s">
        <v>7</v>
      </c>
      <c r="B2921" s="110" t="s">
        <v>671</v>
      </c>
      <c r="C2921" s="92" t="str">
        <f ca="1">IFERROR(__xludf.DUMMYFUNCTION("filter('Back End'!C:C,'Back End'!A:A=A2921,'Back End'!B:B=B2921,'Back End'!D:D=D2921)"),"Jagannadhapuram")</f>
        <v>Jagannadhapuram</v>
      </c>
      <c r="D2921" s="91" t="s">
        <v>683</v>
      </c>
      <c r="E2921" s="91" t="s">
        <v>6586</v>
      </c>
      <c r="F2921" s="91" t="s">
        <v>586</v>
      </c>
      <c r="G2921" s="91" t="s">
        <v>615</v>
      </c>
      <c r="H2921" s="93" t="s">
        <v>4</v>
      </c>
      <c r="I2921" s="92" t="s">
        <v>6587</v>
      </c>
      <c r="J2921" s="92">
        <v>9490876911</v>
      </c>
      <c r="K2921" s="67"/>
      <c r="L2921" s="67"/>
      <c r="M2921" s="67"/>
      <c r="N2921" s="67"/>
      <c r="O2921" s="67"/>
    </row>
    <row r="2922" spans="1:15" ht="30">
      <c r="A2922" s="110" t="s">
        <v>7</v>
      </c>
      <c r="B2922" s="110" t="s">
        <v>671</v>
      </c>
      <c r="C2922" s="92" t="str">
        <f ca="1">IFERROR(__xludf.DUMMYFUNCTION("filter('Back End'!C:C,'Back End'!A:A=A2922,'Back End'!B:B=B2922,'Back End'!D:D=D2922)"),"Jagannadhapuram")</f>
        <v>Jagannadhapuram</v>
      </c>
      <c r="D2922" s="91" t="s">
        <v>683</v>
      </c>
      <c r="E2922" s="91" t="s">
        <v>6588</v>
      </c>
      <c r="F2922" s="91" t="s">
        <v>586</v>
      </c>
      <c r="G2922" s="91" t="s">
        <v>615</v>
      </c>
      <c r="H2922" s="93" t="s">
        <v>4</v>
      </c>
      <c r="I2922" s="92" t="s">
        <v>6589</v>
      </c>
      <c r="J2922" s="92">
        <v>9000011137</v>
      </c>
      <c r="K2922" s="67"/>
      <c r="L2922" s="67"/>
      <c r="M2922" s="67"/>
      <c r="N2922" s="67"/>
      <c r="O2922" s="67"/>
    </row>
    <row r="2923" spans="1:15" ht="30">
      <c r="A2923" s="91" t="s">
        <v>7</v>
      </c>
      <c r="B2923" s="91" t="s">
        <v>671</v>
      </c>
      <c r="C2923" s="92" t="str">
        <f ca="1">IFERROR(__xludf.DUMMYFUNCTION("filter('Back End'!C:C,'Back End'!A:A=A2923,'Back End'!B:B=B2923,'Back End'!D:D=D2923)"),"Jagannadhapuram")</f>
        <v>Jagannadhapuram</v>
      </c>
      <c r="D2923" s="91" t="s">
        <v>683</v>
      </c>
      <c r="E2923" s="91" t="s">
        <v>6590</v>
      </c>
      <c r="F2923" s="91" t="s">
        <v>586</v>
      </c>
      <c r="G2923" s="91" t="s">
        <v>615</v>
      </c>
      <c r="H2923" s="93" t="s">
        <v>4</v>
      </c>
      <c r="I2923" s="92" t="s">
        <v>6591</v>
      </c>
      <c r="J2923" s="92">
        <v>9490876911</v>
      </c>
      <c r="K2923" s="67"/>
      <c r="L2923" s="67"/>
      <c r="M2923" s="67"/>
      <c r="N2923" s="67"/>
      <c r="O2923" s="67"/>
    </row>
    <row r="2924" spans="1:15" ht="30">
      <c r="A2924" s="91" t="s">
        <v>7</v>
      </c>
      <c r="B2924" s="91" t="s">
        <v>671</v>
      </c>
      <c r="C2924" s="92" t="str">
        <f ca="1">IFERROR(__xludf.DUMMYFUNCTION("filter('Back End'!C:C,'Back End'!A:A=A2924,'Back End'!B:B=B2924,'Back End'!D:D=D2924)"),"Jagannadhapuram")</f>
        <v>Jagannadhapuram</v>
      </c>
      <c r="D2924" s="91" t="s">
        <v>683</v>
      </c>
      <c r="E2924" s="91" t="s">
        <v>6592</v>
      </c>
      <c r="F2924" s="91" t="s">
        <v>586</v>
      </c>
      <c r="G2924" s="91" t="s">
        <v>615</v>
      </c>
      <c r="H2924" s="93" t="s">
        <v>4</v>
      </c>
      <c r="I2924" s="92" t="s">
        <v>3634</v>
      </c>
      <c r="J2924" s="92">
        <v>8106523699</v>
      </c>
      <c r="K2924" s="67"/>
      <c r="L2924" s="67"/>
      <c r="M2924" s="67"/>
      <c r="N2924" s="67"/>
      <c r="O2924" s="67"/>
    </row>
    <row r="2925" spans="1:15" ht="30">
      <c r="A2925" s="91" t="s">
        <v>7</v>
      </c>
      <c r="B2925" s="91" t="s">
        <v>671</v>
      </c>
      <c r="C2925" s="92" t="str">
        <f ca="1">IFERROR(__xludf.DUMMYFUNCTION("filter('Back End'!C:C,'Back End'!A:A=A2925,'Back End'!B:B=B2925,'Back End'!D:D=D2925)"),"Jagannadhapuram")</f>
        <v>Jagannadhapuram</v>
      </c>
      <c r="D2925" s="91" t="s">
        <v>683</v>
      </c>
      <c r="E2925" s="91" t="s">
        <v>6593</v>
      </c>
      <c r="F2925" s="91" t="s">
        <v>586</v>
      </c>
      <c r="G2925" s="91" t="s">
        <v>615</v>
      </c>
      <c r="H2925" s="93" t="s">
        <v>4</v>
      </c>
      <c r="I2925" s="92" t="s">
        <v>3634</v>
      </c>
      <c r="J2925" s="92">
        <v>9703457689</v>
      </c>
      <c r="K2925" s="67"/>
      <c r="L2925" s="67"/>
      <c r="M2925" s="67"/>
      <c r="N2925" s="67"/>
      <c r="O2925" s="67"/>
    </row>
    <row r="2926" spans="1:15" ht="30">
      <c r="A2926" s="91" t="s">
        <v>8</v>
      </c>
      <c r="B2926" s="91" t="s">
        <v>8</v>
      </c>
      <c r="C2926" s="92" t="str">
        <f ca="1">IFERROR(__xludf.DUMMYFUNCTION("filter('Back End'!C:C,'Back End'!A:A=A2926,'Back End'!B:B=B2926,'Back End'!D:D=D2926)"),"U.Jagannadhapuram")</f>
        <v>U.Jagannadhapuram</v>
      </c>
      <c r="D2926" s="91" t="s">
        <v>573</v>
      </c>
      <c r="E2926" s="91" t="s">
        <v>6594</v>
      </c>
      <c r="F2926" s="91" t="s">
        <v>139</v>
      </c>
      <c r="G2926" s="91" t="s">
        <v>594</v>
      </c>
      <c r="H2926" s="93" t="s">
        <v>4</v>
      </c>
      <c r="I2926" s="92" t="s">
        <v>3192</v>
      </c>
      <c r="J2926" s="92">
        <v>9949496252</v>
      </c>
      <c r="K2926" s="67"/>
      <c r="L2926" s="67"/>
      <c r="M2926" s="67"/>
      <c r="N2926" s="67"/>
      <c r="O2926" s="67"/>
    </row>
    <row r="2927" spans="1:15" ht="30">
      <c r="A2927" s="91" t="s">
        <v>8</v>
      </c>
      <c r="B2927" s="91" t="s">
        <v>8</v>
      </c>
      <c r="C2927" s="92" t="str">
        <f ca="1">IFERROR(__xludf.DUMMYFUNCTION("filter('Back End'!C:C,'Back End'!A:A=A2927,'Back End'!B:B=B2927,'Back End'!D:D=D2927)"),"U.Jagannadhapuram")</f>
        <v>U.Jagannadhapuram</v>
      </c>
      <c r="D2927" s="91" t="s">
        <v>573</v>
      </c>
      <c r="E2927" s="91" t="s">
        <v>6595</v>
      </c>
      <c r="F2927" s="91" t="s">
        <v>114</v>
      </c>
      <c r="G2927" s="91" t="s">
        <v>85</v>
      </c>
      <c r="H2927" s="93" t="s">
        <v>4</v>
      </c>
      <c r="I2927" s="92" t="s">
        <v>6596</v>
      </c>
      <c r="J2927" s="92">
        <v>7382430384</v>
      </c>
      <c r="K2927" s="67"/>
      <c r="L2927" s="67"/>
      <c r="M2927" s="67"/>
      <c r="N2927" s="67"/>
      <c r="O2927" s="67"/>
    </row>
    <row r="2928" spans="1:15" ht="30">
      <c r="A2928" s="91" t="s">
        <v>8</v>
      </c>
      <c r="B2928" s="91" t="s">
        <v>8</v>
      </c>
      <c r="C2928" s="92" t="str">
        <f ca="1">IFERROR(__xludf.DUMMYFUNCTION("filter('Back End'!C:C,'Back End'!A:A=A2928,'Back End'!B:B=B2928,'Back End'!D:D=D2928)"),"U.Jagannadhapuram")</f>
        <v>U.Jagannadhapuram</v>
      </c>
      <c r="D2928" s="91" t="s">
        <v>573</v>
      </c>
      <c r="E2928" s="91" t="s">
        <v>6597</v>
      </c>
      <c r="F2928" s="91" t="s">
        <v>139</v>
      </c>
      <c r="G2928" s="91" t="s">
        <v>594</v>
      </c>
      <c r="H2928" s="93" t="s">
        <v>4</v>
      </c>
      <c r="I2928" s="92" t="s">
        <v>6596</v>
      </c>
      <c r="J2928" s="92">
        <v>9959221494</v>
      </c>
      <c r="K2928" s="67"/>
      <c r="L2928" s="67"/>
      <c r="M2928" s="67"/>
      <c r="N2928" s="67"/>
      <c r="O2928" s="67"/>
    </row>
    <row r="2929" spans="1:15" ht="30">
      <c r="A2929" s="91" t="s">
        <v>8</v>
      </c>
      <c r="B2929" s="91" t="s">
        <v>8</v>
      </c>
      <c r="C2929" s="92" t="str">
        <f ca="1">IFERROR(__xludf.DUMMYFUNCTION("filter('Back End'!C:C,'Back End'!A:A=A2929,'Back End'!B:B=B2929,'Back End'!D:D=D2929)"),"U.Jagannadhapuram")</f>
        <v>U.Jagannadhapuram</v>
      </c>
      <c r="D2929" s="91" t="s">
        <v>573</v>
      </c>
      <c r="E2929" s="91" t="s">
        <v>6598</v>
      </c>
      <c r="F2929" s="91" t="s">
        <v>139</v>
      </c>
      <c r="G2929" s="91" t="s">
        <v>594</v>
      </c>
      <c r="H2929" s="93" t="s">
        <v>4</v>
      </c>
      <c r="I2929" s="92" t="s">
        <v>6599</v>
      </c>
      <c r="J2929" s="92">
        <v>6281510943</v>
      </c>
      <c r="K2929" s="67"/>
      <c r="L2929" s="67"/>
      <c r="M2929" s="67"/>
      <c r="N2929" s="67"/>
      <c r="O2929" s="67"/>
    </row>
    <row r="2930" spans="1:15" ht="30">
      <c r="A2930" s="91" t="s">
        <v>8</v>
      </c>
      <c r="B2930" s="91" t="s">
        <v>8</v>
      </c>
      <c r="C2930" s="92" t="str">
        <f ca="1">IFERROR(__xludf.DUMMYFUNCTION("filter('Back End'!C:C,'Back End'!A:A=A2930,'Back End'!B:B=B2930,'Back End'!D:D=D2930)"),"U.Jagannadhapuram")</f>
        <v>U.Jagannadhapuram</v>
      </c>
      <c r="D2930" s="91" t="s">
        <v>573</v>
      </c>
      <c r="E2930" s="91" t="s">
        <v>6600</v>
      </c>
      <c r="F2930" s="91" t="s">
        <v>139</v>
      </c>
      <c r="G2930" s="91" t="s">
        <v>594</v>
      </c>
      <c r="H2930" s="93" t="s">
        <v>4</v>
      </c>
      <c r="I2930" s="92" t="s">
        <v>6596</v>
      </c>
      <c r="J2930" s="92">
        <v>9963086403</v>
      </c>
      <c r="K2930" s="67"/>
      <c r="L2930" s="67"/>
      <c r="M2930" s="67"/>
      <c r="N2930" s="67"/>
      <c r="O2930" s="67"/>
    </row>
    <row r="2931" spans="1:15" ht="45">
      <c r="A2931" s="91" t="s">
        <v>8</v>
      </c>
      <c r="B2931" s="91" t="s">
        <v>8</v>
      </c>
      <c r="C2931" s="92" t="str">
        <f ca="1">IFERROR(__xludf.DUMMYFUNCTION("filter('Back End'!C:C,'Back End'!A:A=A2931,'Back End'!B:B=B2931,'Back End'!D:D=D2931)"),"U.Jagannadhapuram")</f>
        <v>U.Jagannadhapuram</v>
      </c>
      <c r="D2931" s="91" t="s">
        <v>573</v>
      </c>
      <c r="E2931" s="91" t="s">
        <v>5981</v>
      </c>
      <c r="F2931" s="91" t="s">
        <v>114</v>
      </c>
      <c r="G2931" s="91" t="s">
        <v>85</v>
      </c>
      <c r="H2931" s="93" t="s">
        <v>5</v>
      </c>
      <c r="I2931" s="92" t="s">
        <v>6596</v>
      </c>
      <c r="J2931" s="92">
        <v>7328044535</v>
      </c>
      <c r="K2931" s="67"/>
      <c r="L2931" s="92" t="s">
        <v>6601</v>
      </c>
      <c r="M2931" s="67"/>
      <c r="N2931" s="67"/>
      <c r="O2931" s="67"/>
    </row>
    <row r="2932" spans="1:15" ht="30">
      <c r="A2932" s="91" t="s">
        <v>8</v>
      </c>
      <c r="B2932" s="91" t="s">
        <v>8</v>
      </c>
      <c r="C2932" s="92" t="str">
        <f ca="1">IFERROR(__xludf.DUMMYFUNCTION("filter('Back End'!C:C,'Back End'!A:A=A2932,'Back End'!B:B=B2932,'Back End'!D:D=D2932)"),"U.Jagannadhapuram")</f>
        <v>U.Jagannadhapuram</v>
      </c>
      <c r="D2932" s="91" t="s">
        <v>573</v>
      </c>
      <c r="E2932" s="91" t="s">
        <v>6602</v>
      </c>
      <c r="F2932" s="91" t="s">
        <v>165</v>
      </c>
      <c r="G2932" s="91" t="s">
        <v>615</v>
      </c>
      <c r="H2932" s="93" t="s">
        <v>5</v>
      </c>
      <c r="I2932" s="92" t="s">
        <v>6596</v>
      </c>
      <c r="J2932" s="92">
        <v>7093484633</v>
      </c>
      <c r="K2932" s="67"/>
      <c r="L2932" s="91" t="s">
        <v>6603</v>
      </c>
      <c r="M2932" s="67"/>
      <c r="N2932" s="67"/>
      <c r="O2932" s="67"/>
    </row>
    <row r="2933" spans="1:15" ht="30">
      <c r="A2933" s="91" t="s">
        <v>8</v>
      </c>
      <c r="B2933" s="91" t="s">
        <v>8</v>
      </c>
      <c r="C2933" s="92" t="str">
        <f ca="1">IFERROR(__xludf.DUMMYFUNCTION("filter('Back End'!C:C,'Back End'!A:A=A2933,'Back End'!B:B=B2933,'Back End'!D:D=D2933)"),"U.Jagannadhapuram")</f>
        <v>U.Jagannadhapuram</v>
      </c>
      <c r="D2933" s="91" t="s">
        <v>573</v>
      </c>
      <c r="E2933" s="91" t="s">
        <v>6604</v>
      </c>
      <c r="F2933" s="91" t="s">
        <v>139</v>
      </c>
      <c r="G2933" s="91" t="s">
        <v>594</v>
      </c>
      <c r="H2933" s="93" t="s">
        <v>5</v>
      </c>
      <c r="I2933" s="92" t="s">
        <v>6605</v>
      </c>
      <c r="J2933" s="92">
        <v>9989341672</v>
      </c>
      <c r="K2933" s="67"/>
      <c r="L2933" s="67"/>
      <c r="M2933" s="67"/>
      <c r="N2933" s="67"/>
      <c r="O2933" s="67"/>
    </row>
    <row r="2934" spans="1:15" ht="30">
      <c r="A2934" s="91" t="s">
        <v>8</v>
      </c>
      <c r="B2934" s="91" t="s">
        <v>8</v>
      </c>
      <c r="C2934" s="92" t="str">
        <f ca="1">IFERROR(__xludf.DUMMYFUNCTION("filter('Back End'!C:C,'Back End'!A:A=A2934,'Back End'!B:B=B2934,'Back End'!D:D=D2934)"),"U.Jagannadhapuram")</f>
        <v>U.Jagannadhapuram</v>
      </c>
      <c r="D2934" s="91" t="s">
        <v>573</v>
      </c>
      <c r="E2934" s="91" t="s">
        <v>6606</v>
      </c>
      <c r="F2934" s="91" t="s">
        <v>114</v>
      </c>
      <c r="G2934" s="91" t="s">
        <v>85</v>
      </c>
      <c r="H2934" s="93" t="s">
        <v>5</v>
      </c>
      <c r="I2934" s="92" t="s">
        <v>6605</v>
      </c>
      <c r="J2934" s="92">
        <v>9502799552</v>
      </c>
      <c r="K2934" s="67"/>
      <c r="L2934" s="67"/>
      <c r="M2934" s="67"/>
      <c r="N2934" s="67"/>
      <c r="O2934" s="67"/>
    </row>
    <row r="2935" spans="1:15" ht="30">
      <c r="A2935" s="110" t="s">
        <v>8</v>
      </c>
      <c r="B2935" s="110" t="s">
        <v>587</v>
      </c>
      <c r="C2935" s="92" t="str">
        <f ca="1">IFERROR(__xludf.DUMMYFUNCTION("filter('Back End'!C:C,'Back End'!A:A=A2935,'Back End'!B:B=B2935,'Back End'!D:D=D2935)"),"Srungadhara Agraharam")</f>
        <v>Srungadhara Agraharam</v>
      </c>
      <c r="D2935" s="91" t="s">
        <v>626</v>
      </c>
      <c r="E2935" s="91" t="s">
        <v>6607</v>
      </c>
      <c r="F2935" s="91" t="s">
        <v>165</v>
      </c>
      <c r="G2935" s="91" t="s">
        <v>615</v>
      </c>
      <c r="H2935" s="93" t="s">
        <v>5</v>
      </c>
      <c r="I2935" s="92" t="s">
        <v>3185</v>
      </c>
      <c r="J2935" s="92">
        <v>9676992411</v>
      </c>
      <c r="K2935" s="67"/>
      <c r="L2935" s="67"/>
      <c r="M2935" s="67"/>
      <c r="N2935" s="67"/>
      <c r="O2935" s="67"/>
    </row>
    <row r="2936" spans="1:15" ht="75">
      <c r="A2936" s="91" t="s">
        <v>8</v>
      </c>
      <c r="B2936" s="110" t="s">
        <v>587</v>
      </c>
      <c r="C2936" s="92" t="str">
        <f ca="1">IFERROR(__xludf.DUMMYFUNCTION("filter('Back End'!C:C,'Back End'!A:A=A2936,'Back End'!B:B=B2936,'Back End'!D:D=D2936)"),"Srungadhara Agraharam")</f>
        <v>Srungadhara Agraharam</v>
      </c>
      <c r="D2936" s="91" t="s">
        <v>626</v>
      </c>
      <c r="E2936" s="91" t="s">
        <v>6608</v>
      </c>
      <c r="F2936" s="91" t="s">
        <v>165</v>
      </c>
      <c r="G2936" s="91" t="s">
        <v>615</v>
      </c>
      <c r="H2936" s="93" t="s">
        <v>5</v>
      </c>
      <c r="I2936" s="92" t="s">
        <v>6609</v>
      </c>
      <c r="J2936" s="92">
        <v>9010026360</v>
      </c>
      <c r="K2936" s="67"/>
      <c r="L2936" s="67"/>
      <c r="M2936" s="67"/>
      <c r="N2936" s="67"/>
      <c r="O2936" s="67"/>
    </row>
    <row r="2937" spans="1:15" ht="30">
      <c r="A2937" s="91" t="s">
        <v>8</v>
      </c>
      <c r="B2937" s="110" t="s">
        <v>587</v>
      </c>
      <c r="C2937" s="92" t="str">
        <f ca="1">IFERROR(__xludf.DUMMYFUNCTION("filter('Back End'!C:C,'Back End'!A:A=A2937,'Back End'!B:B=B2937,'Back End'!D:D=D2937)"),"Srungadhara Agraharam")</f>
        <v>Srungadhara Agraharam</v>
      </c>
      <c r="D2937" s="91" t="s">
        <v>626</v>
      </c>
      <c r="E2937" s="91" t="s">
        <v>6610</v>
      </c>
      <c r="F2937" s="91" t="s">
        <v>165</v>
      </c>
      <c r="G2937" s="91" t="s">
        <v>615</v>
      </c>
      <c r="H2937" s="93" t="s">
        <v>4</v>
      </c>
      <c r="I2937" s="92" t="s">
        <v>3634</v>
      </c>
      <c r="J2937" s="92">
        <v>9676281120</v>
      </c>
      <c r="K2937" s="67"/>
      <c r="L2937" s="67"/>
      <c r="M2937" s="67"/>
      <c r="N2937" s="67"/>
      <c r="O2937" s="67"/>
    </row>
    <row r="2938" spans="1:15" ht="30">
      <c r="A2938" s="91" t="s">
        <v>8</v>
      </c>
      <c r="B2938" s="110" t="s">
        <v>587</v>
      </c>
      <c r="C2938" s="92" t="str">
        <f ca="1">IFERROR(__xludf.DUMMYFUNCTION("filter('Back End'!C:C,'Back End'!A:A=A2938,'Back End'!B:B=B2938,'Back End'!D:D=D2938)"),"Srungadhara Agraharam")</f>
        <v>Srungadhara Agraharam</v>
      </c>
      <c r="D2938" s="91" t="s">
        <v>626</v>
      </c>
      <c r="E2938" s="91" t="s">
        <v>6611</v>
      </c>
      <c r="F2938" s="67"/>
      <c r="G2938" s="67"/>
      <c r="H2938" s="93" t="s">
        <v>4</v>
      </c>
      <c r="I2938" s="67"/>
      <c r="J2938" s="92">
        <v>9618453793</v>
      </c>
      <c r="K2938" s="67"/>
      <c r="L2938" s="91" t="s">
        <v>6388</v>
      </c>
      <c r="M2938" s="67"/>
      <c r="N2938" s="67"/>
      <c r="O2938" s="67"/>
    </row>
    <row r="2939" spans="1:15" ht="30">
      <c r="A2939" s="91" t="s">
        <v>8</v>
      </c>
      <c r="B2939" s="110" t="s">
        <v>587</v>
      </c>
      <c r="C2939" s="92" t="str">
        <f ca="1">IFERROR(__xludf.DUMMYFUNCTION("filter('Back End'!C:C,'Back End'!A:A=A2939,'Back End'!B:B=B2939,'Back End'!D:D=D2939)"),"Srungadhara Agraharam")</f>
        <v>Srungadhara Agraharam</v>
      </c>
      <c r="D2939" s="91" t="s">
        <v>626</v>
      </c>
      <c r="E2939" s="91" t="s">
        <v>6612</v>
      </c>
      <c r="F2939" s="67"/>
      <c r="G2939" s="67"/>
      <c r="H2939" s="93" t="s">
        <v>4</v>
      </c>
      <c r="I2939" s="67"/>
      <c r="J2939" s="92">
        <v>9391448884</v>
      </c>
      <c r="K2939" s="67"/>
      <c r="L2939" s="67"/>
      <c r="M2939" s="67"/>
      <c r="N2939" s="67"/>
      <c r="O2939" s="67"/>
    </row>
    <row r="2940" spans="1:15" ht="30">
      <c r="A2940" s="110" t="s">
        <v>8</v>
      </c>
      <c r="B2940" s="110" t="s">
        <v>587</v>
      </c>
      <c r="C2940" s="92" t="str">
        <f ca="1">IFERROR(__xludf.DUMMYFUNCTION("filter('Back End'!C:C,'Back End'!A:A=A2940,'Back End'!B:B=B2940,'Back End'!D:D=D2940)"),"Srungadhara Agraharam")</f>
        <v>Srungadhara Agraharam</v>
      </c>
      <c r="D2940" s="91" t="s">
        <v>626</v>
      </c>
      <c r="E2940" s="91" t="s">
        <v>6613</v>
      </c>
      <c r="F2940" s="91" t="s">
        <v>165</v>
      </c>
      <c r="G2940" s="91" t="s">
        <v>615</v>
      </c>
      <c r="H2940" s="93" t="s">
        <v>4</v>
      </c>
      <c r="I2940" s="92" t="s">
        <v>3384</v>
      </c>
      <c r="J2940" s="92" t="s">
        <v>2631</v>
      </c>
      <c r="K2940" s="67"/>
      <c r="L2940" s="67"/>
      <c r="M2940" s="67"/>
      <c r="N2940" s="67"/>
      <c r="O2940" s="67"/>
    </row>
    <row r="2941" spans="1:15" ht="15">
      <c r="A2941" s="110" t="s">
        <v>8</v>
      </c>
      <c r="B2941" s="110" t="s">
        <v>587</v>
      </c>
      <c r="C2941" s="92" t="str">
        <f ca="1">IFERROR(__xludf.DUMMYFUNCTION("filter('Back End'!C:C,'Back End'!A:A=A2941,'Back End'!B:B=B2941,'Back End'!D:D=D2941)"),"M Chamavaram")</f>
        <v>M Chamavaram</v>
      </c>
      <c r="D2941" s="91" t="s">
        <v>609</v>
      </c>
      <c r="E2941" s="91" t="s">
        <v>6614</v>
      </c>
      <c r="F2941" s="91" t="s">
        <v>114</v>
      </c>
      <c r="G2941" s="91" t="s">
        <v>85</v>
      </c>
      <c r="H2941" s="93" t="s">
        <v>5</v>
      </c>
      <c r="I2941" s="92" t="s">
        <v>3185</v>
      </c>
      <c r="J2941" s="92">
        <v>7780417822</v>
      </c>
      <c r="K2941" s="67"/>
      <c r="L2941" s="67"/>
      <c r="M2941" s="67"/>
      <c r="N2941" s="67"/>
      <c r="O2941" s="67"/>
    </row>
    <row r="2942" spans="1:15" ht="15">
      <c r="A2942" s="110" t="s">
        <v>8</v>
      </c>
      <c r="B2942" s="110" t="s">
        <v>587</v>
      </c>
      <c r="C2942" s="92" t="str">
        <f ca="1">IFERROR(__xludf.DUMMYFUNCTION("filter('Back End'!C:C,'Back End'!A:A=A2942,'Back End'!B:B=B2942,'Back End'!D:D=D2942)"),"M Chamavaram")</f>
        <v>M Chamavaram</v>
      </c>
      <c r="D2942" s="91" t="s">
        <v>609</v>
      </c>
      <c r="E2942" s="91" t="s">
        <v>6582</v>
      </c>
      <c r="F2942" s="91" t="s">
        <v>595</v>
      </c>
      <c r="G2942" s="91" t="s">
        <v>594</v>
      </c>
      <c r="H2942" s="93" t="s">
        <v>5</v>
      </c>
      <c r="I2942" s="92" t="s">
        <v>3112</v>
      </c>
      <c r="J2942" s="92">
        <v>7386189838</v>
      </c>
      <c r="K2942" s="67"/>
      <c r="L2942" s="67"/>
      <c r="M2942" s="67"/>
      <c r="N2942" s="67"/>
      <c r="O2942" s="67"/>
    </row>
    <row r="2943" spans="1:15" ht="15">
      <c r="A2943" s="110" t="s">
        <v>8</v>
      </c>
      <c r="B2943" s="110" t="s">
        <v>587</v>
      </c>
      <c r="C2943" s="92" t="str">
        <f ca="1">IFERROR(__xludf.DUMMYFUNCTION("filter('Back End'!C:C,'Back End'!A:A=A2943,'Back End'!B:B=B2943,'Back End'!D:D=D2943)"),"M Chamavaram")</f>
        <v>M Chamavaram</v>
      </c>
      <c r="D2943" s="91" t="s">
        <v>609</v>
      </c>
      <c r="E2943" s="91" t="s">
        <v>5263</v>
      </c>
      <c r="F2943" s="91" t="s">
        <v>595</v>
      </c>
      <c r="G2943" s="91" t="s">
        <v>594</v>
      </c>
      <c r="H2943" s="93" t="s">
        <v>4</v>
      </c>
      <c r="I2943" s="92" t="s">
        <v>3140</v>
      </c>
      <c r="J2943" s="92">
        <v>970492991</v>
      </c>
      <c r="K2943" s="67"/>
      <c r="L2943" s="67"/>
      <c r="M2943" s="67"/>
      <c r="N2943" s="67"/>
      <c r="O2943" s="67"/>
    </row>
    <row r="2944" spans="1:15" ht="15">
      <c r="A2944" s="110" t="s">
        <v>8</v>
      </c>
      <c r="B2944" s="110" t="s">
        <v>587</v>
      </c>
      <c r="C2944" s="92" t="str">
        <f ca="1">IFERROR(__xludf.DUMMYFUNCTION("filter('Back End'!C:C,'Back End'!A:A=A2944,'Back End'!B:B=B2944,'Back End'!D:D=D2944)"),"M Chamavaram")</f>
        <v>M Chamavaram</v>
      </c>
      <c r="D2944" s="91" t="s">
        <v>609</v>
      </c>
      <c r="E2944" s="91" t="s">
        <v>6615</v>
      </c>
      <c r="F2944" s="91" t="s">
        <v>595</v>
      </c>
      <c r="G2944" s="91" t="s">
        <v>594</v>
      </c>
      <c r="H2944" s="93" t="s">
        <v>4</v>
      </c>
      <c r="I2944" s="92" t="s">
        <v>3112</v>
      </c>
      <c r="J2944" s="92">
        <v>9949749842</v>
      </c>
      <c r="K2944" s="67"/>
      <c r="L2944" s="67"/>
      <c r="M2944" s="67"/>
      <c r="N2944" s="67"/>
      <c r="O2944" s="67"/>
    </row>
    <row r="2945" spans="1:15" ht="45">
      <c r="A2945" s="110" t="s">
        <v>8</v>
      </c>
      <c r="B2945" s="110" t="s">
        <v>587</v>
      </c>
      <c r="C2945" s="92" t="str">
        <f ca="1">IFERROR(__xludf.DUMMYFUNCTION("filter('Back End'!C:C,'Back End'!A:A=A2945,'Back End'!B:B=B2945,'Back End'!D:D=D2945)"),"Dhara Jagannadhapuram")</f>
        <v>Dhara Jagannadhapuram</v>
      </c>
      <c r="D2945" s="91" t="s">
        <v>597</v>
      </c>
      <c r="E2945" s="91" t="s">
        <v>6616</v>
      </c>
      <c r="F2945" s="91" t="s">
        <v>165</v>
      </c>
      <c r="G2945" s="91" t="s">
        <v>615</v>
      </c>
      <c r="H2945" s="93" t="s">
        <v>5</v>
      </c>
      <c r="I2945" s="92" t="s">
        <v>3115</v>
      </c>
      <c r="J2945" s="92">
        <v>9951566455</v>
      </c>
      <c r="K2945" s="67"/>
      <c r="L2945" s="67"/>
      <c r="M2945" s="67"/>
      <c r="N2945" s="67"/>
      <c r="O2945" s="67"/>
    </row>
    <row r="2946" spans="1:15" ht="45">
      <c r="A2946" s="110" t="s">
        <v>8</v>
      </c>
      <c r="B2946" s="110" t="s">
        <v>587</v>
      </c>
      <c r="C2946" s="92" t="str">
        <f ca="1">IFERROR(__xludf.DUMMYFUNCTION("filter('Back End'!C:C,'Back End'!A:A=A2946,'Back End'!B:B=B2946,'Back End'!D:D=D2946)"),"Dhara Jagannadhapuram")</f>
        <v>Dhara Jagannadhapuram</v>
      </c>
      <c r="D2946" s="91" t="s">
        <v>597</v>
      </c>
      <c r="E2946" s="91" t="s">
        <v>6617</v>
      </c>
      <c r="F2946" s="91" t="s">
        <v>165</v>
      </c>
      <c r="G2946" s="91" t="s">
        <v>615</v>
      </c>
      <c r="H2946" s="93" t="s">
        <v>5</v>
      </c>
      <c r="I2946" s="92" t="s">
        <v>3112</v>
      </c>
      <c r="J2946" s="92">
        <v>7036894833</v>
      </c>
      <c r="K2946" s="67"/>
      <c r="L2946" s="67"/>
      <c r="M2946" s="67"/>
      <c r="N2946" s="67"/>
      <c r="O2946" s="67"/>
    </row>
    <row r="2947" spans="1:15" ht="45">
      <c r="A2947" s="110" t="s">
        <v>8</v>
      </c>
      <c r="B2947" s="110" t="s">
        <v>587</v>
      </c>
      <c r="C2947" s="92" t="str">
        <f ca="1">IFERROR(__xludf.DUMMYFUNCTION("filter('Back End'!C:C,'Back End'!A:A=A2947,'Back End'!B:B=B2947,'Back End'!D:D=D2947)"),"Dhara Jagannadhapuram")</f>
        <v>Dhara Jagannadhapuram</v>
      </c>
      <c r="D2947" s="91" t="s">
        <v>597</v>
      </c>
      <c r="E2947" s="91" t="s">
        <v>6618</v>
      </c>
      <c r="F2947" s="91" t="s">
        <v>165</v>
      </c>
      <c r="G2947" s="91" t="s">
        <v>615</v>
      </c>
      <c r="H2947" s="93" t="s">
        <v>5</v>
      </c>
      <c r="I2947" s="92" t="s">
        <v>3112</v>
      </c>
      <c r="J2947" s="92">
        <v>9394111807</v>
      </c>
      <c r="K2947" s="67"/>
      <c r="L2947" s="67"/>
      <c r="M2947" s="67"/>
      <c r="N2947" s="67"/>
      <c r="O2947" s="67"/>
    </row>
    <row r="2948" spans="1:15" ht="45">
      <c r="A2948" s="91" t="s">
        <v>8</v>
      </c>
      <c r="B2948" s="110" t="s">
        <v>587</v>
      </c>
      <c r="C2948" s="92" t="str">
        <f ca="1">IFERROR(__xludf.DUMMYFUNCTION("filter('Back End'!C:C,'Back End'!A:A=A2948,'Back End'!B:B=B2948,'Back End'!D:D=D2948)"),"Dhara Jagannadhapuram")</f>
        <v>Dhara Jagannadhapuram</v>
      </c>
      <c r="D2948" s="91" t="s">
        <v>597</v>
      </c>
      <c r="E2948" s="91" t="s">
        <v>6619</v>
      </c>
      <c r="F2948" s="91" t="s">
        <v>165</v>
      </c>
      <c r="G2948" s="91" t="s">
        <v>615</v>
      </c>
      <c r="H2948" s="93" t="s">
        <v>5</v>
      </c>
      <c r="I2948" s="92" t="s">
        <v>3634</v>
      </c>
      <c r="J2948" s="92">
        <v>9618419067</v>
      </c>
      <c r="K2948" s="67"/>
      <c r="L2948" s="67"/>
      <c r="M2948" s="67"/>
      <c r="N2948" s="67"/>
      <c r="O2948" s="67"/>
    </row>
    <row r="2949" spans="1:15" ht="45">
      <c r="A2949" s="110" t="s">
        <v>8</v>
      </c>
      <c r="B2949" s="110" t="s">
        <v>587</v>
      </c>
      <c r="C2949" s="92" t="str">
        <f ca="1">IFERROR(__xludf.DUMMYFUNCTION("filter('Back End'!C:C,'Back End'!A:A=A2949,'Back End'!B:B=B2949,'Back End'!D:D=D2949)"),"Dhara Jagannadhapuram")</f>
        <v>Dhara Jagannadhapuram</v>
      </c>
      <c r="D2949" s="91" t="s">
        <v>597</v>
      </c>
      <c r="E2949" s="91" t="s">
        <v>6620</v>
      </c>
      <c r="F2949" s="91" t="s">
        <v>165</v>
      </c>
      <c r="G2949" s="91" t="s">
        <v>615</v>
      </c>
      <c r="H2949" s="93" t="s">
        <v>4</v>
      </c>
      <c r="I2949" s="92" t="s">
        <v>3112</v>
      </c>
      <c r="J2949" s="92">
        <v>9394509886</v>
      </c>
      <c r="K2949" s="67"/>
      <c r="L2949" s="67"/>
      <c r="M2949" s="67"/>
      <c r="N2949" s="67"/>
      <c r="O2949" s="67"/>
    </row>
    <row r="2950" spans="1:15" ht="45">
      <c r="A2950" s="110" t="s">
        <v>8</v>
      </c>
      <c r="B2950" s="110" t="s">
        <v>587</v>
      </c>
      <c r="C2950" s="92" t="str">
        <f ca="1">IFERROR(__xludf.DUMMYFUNCTION("filter('Back End'!C:C,'Back End'!A:A=A2950,'Back End'!B:B=B2950,'Back End'!D:D=D2950)"),"Dhara Jagannadhapuram")</f>
        <v>Dhara Jagannadhapuram</v>
      </c>
      <c r="D2950" s="91" t="s">
        <v>597</v>
      </c>
      <c r="E2950" s="91" t="s">
        <v>6621</v>
      </c>
      <c r="F2950" s="91" t="s">
        <v>165</v>
      </c>
      <c r="G2950" s="91" t="s">
        <v>615</v>
      </c>
      <c r="H2950" s="93" t="s">
        <v>4</v>
      </c>
      <c r="I2950" s="92" t="s">
        <v>3112</v>
      </c>
      <c r="J2950" s="92">
        <v>9390200317</v>
      </c>
      <c r="K2950" s="67"/>
      <c r="L2950" s="67"/>
      <c r="M2950" s="67"/>
      <c r="N2950" s="67"/>
      <c r="O2950" s="67"/>
    </row>
    <row r="2951" spans="1:15" ht="30">
      <c r="A2951" s="91" t="s">
        <v>10</v>
      </c>
      <c r="B2951" s="91" t="s">
        <v>166</v>
      </c>
      <c r="C2951" s="92" t="str">
        <f ca="1">IFERROR(__xludf.DUMMYFUNCTION("filter('Back End'!C:C,'Back End'!A:A=A2951,'Back End'!B:B=B2951,'Back End'!D:D=D2951)"),"Gorsa")</f>
        <v>Gorsa</v>
      </c>
      <c r="D2951" s="91" t="s">
        <v>459</v>
      </c>
      <c r="E2951" s="91" t="s">
        <v>6622</v>
      </c>
      <c r="F2951" s="91" t="s">
        <v>1626</v>
      </c>
      <c r="G2951" s="91" t="s">
        <v>594</v>
      </c>
      <c r="H2951" s="93" t="s">
        <v>5</v>
      </c>
      <c r="I2951" s="92" t="s">
        <v>6623</v>
      </c>
      <c r="J2951" s="92" t="s">
        <v>2631</v>
      </c>
      <c r="K2951" s="67"/>
      <c r="L2951" s="67"/>
      <c r="M2951" s="67"/>
      <c r="N2951" s="67"/>
      <c r="O2951" s="67"/>
    </row>
    <row r="2952" spans="1:15" ht="60">
      <c r="A2952" s="91" t="s">
        <v>10</v>
      </c>
      <c r="B2952" s="91" t="s">
        <v>166</v>
      </c>
      <c r="C2952" s="92" t="str">
        <f ca="1">IFERROR(__xludf.DUMMYFUNCTION("filter('Back End'!C:C,'Back End'!A:A=A2952,'Back End'!B:B=B2952,'Back End'!D:D=D2952)"),"Gorsa")</f>
        <v>Gorsa</v>
      </c>
      <c r="D2952" s="91" t="s">
        <v>459</v>
      </c>
      <c r="E2952" s="91" t="s">
        <v>6624</v>
      </c>
      <c r="F2952" s="91" t="s">
        <v>1642</v>
      </c>
      <c r="G2952" s="91" t="s">
        <v>594</v>
      </c>
      <c r="H2952" s="93" t="s">
        <v>5</v>
      </c>
      <c r="I2952" s="92" t="s">
        <v>6625</v>
      </c>
      <c r="J2952" s="92" t="s">
        <v>2631</v>
      </c>
      <c r="K2952" s="67"/>
      <c r="L2952" s="67"/>
      <c r="M2952" s="67"/>
      <c r="N2952" s="67"/>
      <c r="O2952" s="67"/>
    </row>
    <row r="2953" spans="1:15" ht="30">
      <c r="A2953" s="91" t="s">
        <v>10</v>
      </c>
      <c r="B2953" s="91" t="s">
        <v>166</v>
      </c>
      <c r="C2953" s="92" t="str">
        <f ca="1">IFERROR(__xludf.DUMMYFUNCTION("filter('Back End'!C:C,'Back End'!A:A=A2953,'Back End'!B:B=B2953,'Back End'!D:D=D2953)"),"Gorsa")</f>
        <v>Gorsa</v>
      </c>
      <c r="D2953" s="91" t="s">
        <v>459</v>
      </c>
      <c r="E2953" s="91" t="s">
        <v>6626</v>
      </c>
      <c r="F2953" s="91" t="s">
        <v>1669</v>
      </c>
      <c r="G2953" s="91" t="s">
        <v>615</v>
      </c>
      <c r="H2953" s="93" t="s">
        <v>5</v>
      </c>
      <c r="I2953" s="92" t="s">
        <v>3210</v>
      </c>
      <c r="J2953" s="92" t="s">
        <v>2631</v>
      </c>
      <c r="K2953" s="67"/>
      <c r="L2953" s="67"/>
      <c r="M2953" s="67"/>
      <c r="N2953" s="67"/>
      <c r="O2953" s="67"/>
    </row>
    <row r="2954" spans="1:15" ht="30">
      <c r="A2954" s="91" t="s">
        <v>10</v>
      </c>
      <c r="B2954" s="91" t="s">
        <v>166</v>
      </c>
      <c r="C2954" s="92" t="str">
        <f ca="1">IFERROR(__xludf.DUMMYFUNCTION("filter('Back End'!C:C,'Back End'!A:A=A2954,'Back End'!B:B=B2954,'Back End'!D:D=D2954)"),"Gorsa")</f>
        <v>Gorsa</v>
      </c>
      <c r="D2954" s="91" t="s">
        <v>459</v>
      </c>
      <c r="E2954" s="91" t="s">
        <v>6627</v>
      </c>
      <c r="F2954" s="91" t="s">
        <v>139</v>
      </c>
      <c r="G2954" s="91" t="s">
        <v>594</v>
      </c>
      <c r="H2954" s="93" t="s">
        <v>5</v>
      </c>
      <c r="I2954" s="92" t="s">
        <v>3753</v>
      </c>
      <c r="J2954" s="91" t="s">
        <v>2631</v>
      </c>
      <c r="K2954" s="67"/>
      <c r="L2954" s="67"/>
      <c r="M2954" s="67"/>
      <c r="N2954" s="67"/>
      <c r="O2954" s="67"/>
    </row>
    <row r="2955" spans="1:15" ht="45">
      <c r="A2955" s="91" t="s">
        <v>10</v>
      </c>
      <c r="B2955" s="91" t="s">
        <v>166</v>
      </c>
      <c r="C2955" s="92" t="str">
        <f ca="1">IFERROR(__xludf.DUMMYFUNCTION("filter('Back End'!C:C,'Back End'!A:A=A2955,'Back End'!B:B=B2955,'Back End'!D:D=D2955)"),"Gorsa")</f>
        <v>Gorsa</v>
      </c>
      <c r="D2955" s="91" t="s">
        <v>459</v>
      </c>
      <c r="E2955" s="91" t="s">
        <v>6628</v>
      </c>
      <c r="F2955" s="91" t="s">
        <v>1626</v>
      </c>
      <c r="G2955" s="91" t="s">
        <v>594</v>
      </c>
      <c r="H2955" s="93" t="s">
        <v>5</v>
      </c>
      <c r="I2955" s="92" t="s">
        <v>6629</v>
      </c>
      <c r="J2955" s="92">
        <v>8106690707</v>
      </c>
      <c r="K2955" s="67"/>
      <c r="L2955" s="67"/>
      <c r="M2955" s="67"/>
      <c r="N2955" s="67"/>
      <c r="O2955" s="67"/>
    </row>
    <row r="2956" spans="1:15" ht="30">
      <c r="A2956" s="91" t="s">
        <v>10</v>
      </c>
      <c r="B2956" s="91" t="s">
        <v>166</v>
      </c>
      <c r="C2956" s="92" t="str">
        <f ca="1">IFERROR(__xludf.DUMMYFUNCTION("filter('Back End'!C:C,'Back End'!A:A=A2956,'Back End'!B:B=B2956,'Back End'!D:D=D2956)"),"Gorsa")</f>
        <v>Gorsa</v>
      </c>
      <c r="D2956" s="91" t="s">
        <v>459</v>
      </c>
      <c r="E2956" s="91" t="s">
        <v>6630</v>
      </c>
      <c r="F2956" s="91" t="s">
        <v>1669</v>
      </c>
      <c r="G2956" s="91" t="s">
        <v>615</v>
      </c>
      <c r="H2956" s="93" t="s">
        <v>4</v>
      </c>
      <c r="I2956" s="92" t="s">
        <v>3634</v>
      </c>
      <c r="J2956" s="92">
        <v>9848937588</v>
      </c>
      <c r="K2956" s="67"/>
      <c r="L2956" s="67"/>
      <c r="M2956" s="67"/>
      <c r="N2956" s="67"/>
      <c r="O2956" s="67"/>
    </row>
    <row r="2957" spans="1:15" ht="15">
      <c r="A2957" s="91" t="s">
        <v>10</v>
      </c>
      <c r="B2957" s="91" t="s">
        <v>166</v>
      </c>
      <c r="C2957" s="92" t="str">
        <f ca="1">IFERROR(__xludf.DUMMYFUNCTION("filter('Back End'!C:C,'Back End'!A:A=A2957,'Back End'!B:B=B2957,'Back End'!D:D=D2957)"),"Gorsa")</f>
        <v>Gorsa</v>
      </c>
      <c r="D2957" s="91" t="s">
        <v>459</v>
      </c>
      <c r="E2957" s="91" t="s">
        <v>6631</v>
      </c>
      <c r="F2957" s="91" t="s">
        <v>139</v>
      </c>
      <c r="G2957" s="91" t="s">
        <v>594</v>
      </c>
      <c r="H2957" s="93" t="s">
        <v>4</v>
      </c>
      <c r="I2957" s="92" t="s">
        <v>3125</v>
      </c>
      <c r="J2957" s="92">
        <v>9701945143</v>
      </c>
      <c r="K2957" s="67"/>
      <c r="L2957" s="67"/>
      <c r="M2957" s="67"/>
      <c r="N2957" s="67"/>
      <c r="O2957" s="67"/>
    </row>
    <row r="2958" spans="1:15" ht="30">
      <c r="A2958" s="91" t="s">
        <v>10</v>
      </c>
      <c r="B2958" s="91" t="s">
        <v>166</v>
      </c>
      <c r="C2958" s="92" t="str">
        <f ca="1">IFERROR(__xludf.DUMMYFUNCTION("filter('Back End'!C:C,'Back End'!A:A=A2958,'Back End'!B:B=B2958,'Back End'!D:D=D2958)"),"Gorsa")</f>
        <v>Gorsa</v>
      </c>
      <c r="D2958" s="91" t="s">
        <v>459</v>
      </c>
      <c r="E2958" s="91" t="s">
        <v>6632</v>
      </c>
      <c r="F2958" s="91" t="s">
        <v>1660</v>
      </c>
      <c r="G2958" s="91" t="s">
        <v>615</v>
      </c>
      <c r="H2958" s="93" t="s">
        <v>4</v>
      </c>
      <c r="I2958" s="92" t="s">
        <v>3634</v>
      </c>
      <c r="J2958" s="92">
        <v>9959351779</v>
      </c>
      <c r="K2958" s="67"/>
      <c r="L2958" s="67"/>
      <c r="M2958" s="67"/>
      <c r="N2958" s="67"/>
      <c r="O2958" s="67"/>
    </row>
    <row r="2959" spans="1:15" ht="30">
      <c r="A2959" s="109" t="s">
        <v>8</v>
      </c>
      <c r="B2959" s="109" t="s">
        <v>587</v>
      </c>
      <c r="C2959" s="92" t="str">
        <f ca="1">IFERROR(__xludf.DUMMYFUNCTION("filter('Back End'!C:C,'Back End'!A:A=A2959,'Back End'!B:B=B2959,'Back End'!D:D=D2959)"),"M.Kothuru")</f>
        <v>M.Kothuru</v>
      </c>
      <c r="D2959" s="91" t="s">
        <v>610</v>
      </c>
      <c r="E2959" s="91" t="s">
        <v>6633</v>
      </c>
      <c r="F2959" s="91" t="s">
        <v>1634</v>
      </c>
      <c r="G2959" s="91" t="s">
        <v>86</v>
      </c>
      <c r="H2959" s="93" t="s">
        <v>5</v>
      </c>
      <c r="I2959" s="92" t="s">
        <v>6634</v>
      </c>
      <c r="J2959" s="92">
        <v>9505221868</v>
      </c>
      <c r="K2959" s="67"/>
      <c r="L2959" s="67"/>
      <c r="M2959" s="67"/>
      <c r="N2959" s="67"/>
      <c r="O2959" s="67"/>
    </row>
    <row r="2960" spans="1:15" ht="30">
      <c r="A2960" s="109" t="s">
        <v>8</v>
      </c>
      <c r="B2960" s="109" t="s">
        <v>587</v>
      </c>
      <c r="C2960" s="92" t="str">
        <f ca="1">IFERROR(__xludf.DUMMYFUNCTION("filter('Back End'!C:C,'Back End'!A:A=A2960,'Back End'!B:B=B2960,'Back End'!D:D=D2960)"),"M.Kothuru")</f>
        <v>M.Kothuru</v>
      </c>
      <c r="D2960" s="91" t="s">
        <v>610</v>
      </c>
      <c r="E2960" s="91" t="s">
        <v>6635</v>
      </c>
      <c r="F2960" s="91" t="s">
        <v>1634</v>
      </c>
      <c r="G2960" s="91" t="s">
        <v>86</v>
      </c>
      <c r="H2960" s="93" t="s">
        <v>5</v>
      </c>
      <c r="I2960" s="92" t="s">
        <v>3194</v>
      </c>
      <c r="J2960" s="92">
        <v>8497922046</v>
      </c>
      <c r="K2960" s="67"/>
      <c r="L2960" s="67"/>
      <c r="M2960" s="67"/>
      <c r="N2960" s="67"/>
      <c r="O2960" s="67"/>
    </row>
    <row r="2961" spans="1:15" ht="15">
      <c r="A2961" s="109" t="s">
        <v>8</v>
      </c>
      <c r="B2961" s="109" t="s">
        <v>587</v>
      </c>
      <c r="C2961" s="92" t="str">
        <f ca="1">IFERROR(__xludf.DUMMYFUNCTION("filter('Back End'!C:C,'Back End'!A:A=A2961,'Back End'!B:B=B2961,'Back End'!D:D=D2961)"),"M.Kothuru")</f>
        <v>M.Kothuru</v>
      </c>
      <c r="D2961" s="91" t="s">
        <v>610</v>
      </c>
      <c r="E2961" s="91" t="s">
        <v>6636</v>
      </c>
      <c r="F2961" s="91" t="s">
        <v>1634</v>
      </c>
      <c r="G2961" s="91" t="s">
        <v>86</v>
      </c>
      <c r="H2961" s="93" t="s">
        <v>5</v>
      </c>
      <c r="I2961" s="92" t="s">
        <v>3112</v>
      </c>
      <c r="J2961" s="92" t="s">
        <v>2631</v>
      </c>
      <c r="K2961" s="67"/>
      <c r="L2961" s="67"/>
      <c r="M2961" s="67"/>
      <c r="N2961" s="67"/>
      <c r="O2961" s="67"/>
    </row>
    <row r="2962" spans="1:15" ht="15">
      <c r="A2962" s="109" t="s">
        <v>8</v>
      </c>
      <c r="B2962" s="109" t="s">
        <v>587</v>
      </c>
      <c r="C2962" s="92" t="str">
        <f ca="1">IFERROR(__xludf.DUMMYFUNCTION("filter('Back End'!C:C,'Back End'!A:A=A2962,'Back End'!B:B=B2962,'Back End'!D:D=D2962)"),"M.Kothuru")</f>
        <v>M.Kothuru</v>
      </c>
      <c r="D2962" s="91" t="s">
        <v>610</v>
      </c>
      <c r="E2962" s="91" t="s">
        <v>6637</v>
      </c>
      <c r="F2962" s="91" t="s">
        <v>1634</v>
      </c>
      <c r="G2962" s="91" t="s">
        <v>86</v>
      </c>
      <c r="H2962" s="93" t="s">
        <v>5</v>
      </c>
      <c r="I2962" s="92" t="s">
        <v>3115</v>
      </c>
      <c r="J2962" s="92">
        <v>7036583618</v>
      </c>
      <c r="K2962" s="67"/>
      <c r="L2962" s="67"/>
      <c r="M2962" s="67"/>
      <c r="N2962" s="67"/>
      <c r="O2962" s="67"/>
    </row>
    <row r="2963" spans="1:15" ht="45">
      <c r="A2963" s="109" t="s">
        <v>8</v>
      </c>
      <c r="B2963" s="109" t="s">
        <v>587</v>
      </c>
      <c r="C2963" s="92" t="str">
        <f ca="1">IFERROR(__xludf.DUMMYFUNCTION("filter('Back End'!C:C,'Back End'!A:A=A2963,'Back End'!B:B=B2963,'Back End'!D:D=D2963)"),"M.Kothuru")</f>
        <v>M.Kothuru</v>
      </c>
      <c r="D2963" s="91" t="s">
        <v>610</v>
      </c>
      <c r="E2963" s="91" t="s">
        <v>6638</v>
      </c>
      <c r="F2963" s="91" t="s">
        <v>1634</v>
      </c>
      <c r="G2963" s="91" t="s">
        <v>86</v>
      </c>
      <c r="H2963" s="93" t="s">
        <v>4</v>
      </c>
      <c r="I2963" s="92" t="s">
        <v>3832</v>
      </c>
      <c r="J2963" s="92">
        <v>6281437588</v>
      </c>
      <c r="K2963" s="67"/>
      <c r="L2963" s="67"/>
      <c r="M2963" s="67"/>
      <c r="N2963" s="67"/>
      <c r="O2963" s="67"/>
    </row>
    <row r="2964" spans="1:15" ht="30">
      <c r="A2964" s="109" t="s">
        <v>8</v>
      </c>
      <c r="B2964" s="91" t="s">
        <v>658</v>
      </c>
      <c r="C2964" s="92" t="str">
        <f ca="1">IFERROR(__xludf.DUMMYFUNCTION("filter('Back End'!C:C,'Back End'!A:A=A2964,'Back End'!B:B=B2964,'Back End'!D:D=D2964)"),"Jeddangi Annavaram")</f>
        <v>Jeddangi Annavaram</v>
      </c>
      <c r="D2964" s="91" t="s">
        <v>662</v>
      </c>
      <c r="E2964" s="91" t="s">
        <v>6639</v>
      </c>
      <c r="F2964" s="91" t="s">
        <v>1669</v>
      </c>
      <c r="G2964" s="91" t="s">
        <v>615</v>
      </c>
      <c r="H2964" s="93" t="s">
        <v>5</v>
      </c>
      <c r="I2964" s="92" t="s">
        <v>3210</v>
      </c>
      <c r="J2964" s="92" t="s">
        <v>2631</v>
      </c>
      <c r="K2964" s="67"/>
      <c r="L2964" s="67"/>
      <c r="M2964" s="67"/>
      <c r="N2964" s="67"/>
      <c r="O2964" s="67"/>
    </row>
    <row r="2965" spans="1:15" ht="30">
      <c r="A2965" s="109" t="s">
        <v>8</v>
      </c>
      <c r="B2965" s="91" t="s">
        <v>658</v>
      </c>
      <c r="C2965" s="92" t="str">
        <f ca="1">IFERROR(__xludf.DUMMYFUNCTION("filter('Back End'!C:C,'Back End'!A:A=A2965,'Back End'!B:B=B2965,'Back End'!D:D=D2965)"),"Jeddangi Annavaram")</f>
        <v>Jeddangi Annavaram</v>
      </c>
      <c r="D2965" s="91" t="s">
        <v>662</v>
      </c>
      <c r="E2965" s="91" t="s">
        <v>6640</v>
      </c>
      <c r="F2965" s="91" t="s">
        <v>103</v>
      </c>
      <c r="G2965" s="91" t="s">
        <v>594</v>
      </c>
      <c r="H2965" s="93" t="s">
        <v>5</v>
      </c>
      <c r="I2965" s="92" t="s">
        <v>6641</v>
      </c>
      <c r="J2965" s="92">
        <v>8688118624</v>
      </c>
      <c r="K2965" s="67"/>
      <c r="L2965" s="67"/>
      <c r="M2965" s="67"/>
      <c r="N2965" s="67"/>
      <c r="O2965" s="67"/>
    </row>
    <row r="2966" spans="1:15" ht="30">
      <c r="A2966" s="109" t="s">
        <v>8</v>
      </c>
      <c r="B2966" s="91" t="s">
        <v>658</v>
      </c>
      <c r="C2966" s="92" t="str">
        <f ca="1">IFERROR(__xludf.DUMMYFUNCTION("filter('Back End'!C:C,'Back End'!A:A=A2966,'Back End'!B:B=B2966,'Back End'!D:D=D2966)"),"Jeddangi Annavaram")</f>
        <v>Jeddangi Annavaram</v>
      </c>
      <c r="D2966" s="91" t="s">
        <v>662</v>
      </c>
      <c r="E2966" s="91" t="s">
        <v>6642</v>
      </c>
      <c r="F2966" s="91" t="s">
        <v>213</v>
      </c>
      <c r="G2966" s="91" t="s">
        <v>615</v>
      </c>
      <c r="H2966" s="93" t="s">
        <v>5</v>
      </c>
      <c r="I2966" s="92" t="s">
        <v>3709</v>
      </c>
      <c r="J2966" s="92">
        <v>9494157370</v>
      </c>
      <c r="K2966" s="67"/>
      <c r="L2966" s="67"/>
      <c r="M2966" s="67"/>
      <c r="N2966" s="67"/>
      <c r="O2966" s="67"/>
    </row>
    <row r="2967" spans="1:15" ht="30">
      <c r="A2967" s="109" t="s">
        <v>8</v>
      </c>
      <c r="B2967" s="91" t="s">
        <v>658</v>
      </c>
      <c r="C2967" s="92" t="str">
        <f ca="1">IFERROR(__xludf.DUMMYFUNCTION("filter('Back End'!C:C,'Back End'!A:A=A2967,'Back End'!B:B=B2967,'Back End'!D:D=D2967)"),"Jeddangi Annavaram")</f>
        <v>Jeddangi Annavaram</v>
      </c>
      <c r="D2967" s="91" t="s">
        <v>662</v>
      </c>
      <c r="E2967" s="91" t="s">
        <v>6643</v>
      </c>
      <c r="F2967" s="91" t="s">
        <v>139</v>
      </c>
      <c r="G2967" s="91" t="s">
        <v>594</v>
      </c>
      <c r="H2967" s="93" t="s">
        <v>5</v>
      </c>
      <c r="I2967" s="92" t="s">
        <v>6641</v>
      </c>
      <c r="J2967" s="92">
        <v>6231368828</v>
      </c>
      <c r="K2967" s="67"/>
      <c r="L2967" s="67"/>
      <c r="M2967" s="67"/>
      <c r="N2967" s="67"/>
      <c r="O2967" s="67"/>
    </row>
    <row r="2968" spans="1:15" ht="30">
      <c r="A2968" s="109" t="s">
        <v>8</v>
      </c>
      <c r="B2968" s="91" t="s">
        <v>658</v>
      </c>
      <c r="C2968" s="92" t="str">
        <f ca="1">IFERROR(__xludf.DUMMYFUNCTION("filter('Back End'!C:C,'Back End'!A:A=A2968,'Back End'!B:B=B2968,'Back End'!D:D=D2968)"),"Jeddangi Annavaram")</f>
        <v>Jeddangi Annavaram</v>
      </c>
      <c r="D2968" s="91" t="s">
        <v>662</v>
      </c>
      <c r="E2968" s="91" t="s">
        <v>6644</v>
      </c>
      <c r="F2968" s="91" t="s">
        <v>139</v>
      </c>
      <c r="G2968" s="91" t="s">
        <v>594</v>
      </c>
      <c r="H2968" s="93" t="s">
        <v>5</v>
      </c>
      <c r="I2968" s="92" t="s">
        <v>3515</v>
      </c>
      <c r="J2968" s="92">
        <v>9949689999</v>
      </c>
      <c r="K2968" s="67"/>
      <c r="L2968" s="67"/>
      <c r="M2968" s="67"/>
      <c r="N2968" s="67"/>
      <c r="O2968" s="67"/>
    </row>
    <row r="2969" spans="1:15" ht="30">
      <c r="A2969" s="109" t="s">
        <v>8</v>
      </c>
      <c r="B2969" s="91" t="s">
        <v>658</v>
      </c>
      <c r="C2969" s="92" t="str">
        <f ca="1">IFERROR(__xludf.DUMMYFUNCTION("filter('Back End'!C:C,'Back End'!A:A=A2969,'Back End'!B:B=B2969,'Back End'!D:D=D2969)"),"Jeddangi Annavaram")</f>
        <v>Jeddangi Annavaram</v>
      </c>
      <c r="D2969" s="91" t="s">
        <v>662</v>
      </c>
      <c r="E2969" s="91" t="s">
        <v>6645</v>
      </c>
      <c r="F2969" s="91" t="s">
        <v>139</v>
      </c>
      <c r="G2969" s="91" t="s">
        <v>594</v>
      </c>
      <c r="H2969" s="93" t="s">
        <v>5</v>
      </c>
      <c r="I2969" s="92" t="s">
        <v>6646</v>
      </c>
      <c r="J2969" s="92">
        <v>8985783516</v>
      </c>
      <c r="K2969" s="67"/>
      <c r="L2969" s="67"/>
      <c r="M2969" s="67"/>
      <c r="N2969" s="67"/>
      <c r="O2969" s="67"/>
    </row>
    <row r="2970" spans="1:15" ht="30">
      <c r="A2970" s="109" t="s">
        <v>8</v>
      </c>
      <c r="B2970" s="91" t="s">
        <v>658</v>
      </c>
      <c r="C2970" s="92" t="str">
        <f ca="1">IFERROR(__xludf.DUMMYFUNCTION("filter('Back End'!C:C,'Back End'!A:A=A2970,'Back End'!B:B=B2970,'Back End'!D:D=D2970)"),"Jeddangi Annavaram")</f>
        <v>Jeddangi Annavaram</v>
      </c>
      <c r="D2970" s="91" t="s">
        <v>662</v>
      </c>
      <c r="E2970" s="91" t="s">
        <v>6647</v>
      </c>
      <c r="F2970" s="91" t="s">
        <v>139</v>
      </c>
      <c r="G2970" s="91" t="s">
        <v>594</v>
      </c>
      <c r="H2970" s="93" t="s">
        <v>5</v>
      </c>
      <c r="I2970" s="92" t="s">
        <v>6648</v>
      </c>
      <c r="J2970" s="92">
        <v>9992842150</v>
      </c>
      <c r="K2970" s="67"/>
      <c r="L2970" s="92" t="s">
        <v>6649</v>
      </c>
      <c r="M2970" s="67"/>
      <c r="N2970" s="67"/>
      <c r="O2970" s="67"/>
    </row>
    <row r="2971" spans="1:15" ht="30">
      <c r="A2971" s="91" t="s">
        <v>8</v>
      </c>
      <c r="B2971" s="91" t="s">
        <v>658</v>
      </c>
      <c r="C2971" s="92" t="str">
        <f ca="1">IFERROR(__xludf.DUMMYFUNCTION("filter('Back End'!C:C,'Back End'!A:A=A2971,'Back End'!B:B=B2971,'Back End'!D:D=D2971)"),"Jeddangi Annavaram")</f>
        <v>Jeddangi Annavaram</v>
      </c>
      <c r="D2971" s="91" t="s">
        <v>662</v>
      </c>
      <c r="E2971" s="91" t="s">
        <v>6650</v>
      </c>
      <c r="F2971" s="91" t="s">
        <v>114</v>
      </c>
      <c r="G2971" s="91" t="s">
        <v>85</v>
      </c>
      <c r="H2971" s="93" t="s">
        <v>5</v>
      </c>
      <c r="I2971" s="92" t="s">
        <v>6651</v>
      </c>
      <c r="J2971" s="92">
        <v>9494157362</v>
      </c>
      <c r="K2971" s="67"/>
      <c r="L2971" s="67"/>
      <c r="M2971" s="67"/>
      <c r="N2971" s="67"/>
      <c r="O2971" s="67"/>
    </row>
    <row r="2972" spans="1:15" ht="60">
      <c r="A2972" s="91" t="s">
        <v>8</v>
      </c>
      <c r="B2972" s="91" t="s">
        <v>658</v>
      </c>
      <c r="C2972" s="92" t="s">
        <v>662</v>
      </c>
      <c r="D2972" s="91" t="s">
        <v>662</v>
      </c>
      <c r="E2972" s="91" t="s">
        <v>6652</v>
      </c>
      <c r="F2972" s="91" t="s">
        <v>139</v>
      </c>
      <c r="G2972" s="91" t="s">
        <v>594</v>
      </c>
      <c r="H2972" s="93" t="s">
        <v>5</v>
      </c>
      <c r="I2972" s="92" t="s">
        <v>6653</v>
      </c>
      <c r="J2972" s="92">
        <v>9347068848</v>
      </c>
      <c r="K2972" s="67"/>
      <c r="L2972" s="67"/>
      <c r="M2972" s="67"/>
      <c r="N2972" s="67"/>
      <c r="O2972" s="67"/>
    </row>
    <row r="2973" spans="1:15" ht="30">
      <c r="A2973" s="91" t="s">
        <v>8</v>
      </c>
      <c r="B2973" s="91" t="s">
        <v>658</v>
      </c>
      <c r="C2973" s="92" t="s">
        <v>662</v>
      </c>
      <c r="D2973" s="91" t="s">
        <v>662</v>
      </c>
      <c r="E2973" s="91" t="s">
        <v>6654</v>
      </c>
      <c r="F2973" s="91" t="s">
        <v>139</v>
      </c>
      <c r="G2973" s="91" t="s">
        <v>594</v>
      </c>
      <c r="H2973" s="93" t="s">
        <v>5</v>
      </c>
      <c r="I2973" s="92" t="s">
        <v>3112</v>
      </c>
      <c r="J2973" s="92">
        <v>8985574965</v>
      </c>
      <c r="K2973" s="67"/>
      <c r="L2973" s="67"/>
      <c r="M2973" s="67"/>
      <c r="N2973" s="67"/>
      <c r="O2973" s="67"/>
    </row>
    <row r="2974" spans="1:15" ht="30">
      <c r="A2974" s="91" t="s">
        <v>8</v>
      </c>
      <c r="B2974" s="91" t="s">
        <v>658</v>
      </c>
      <c r="C2974" s="92" t="s">
        <v>662</v>
      </c>
      <c r="D2974" s="91" t="s">
        <v>662</v>
      </c>
      <c r="E2974" s="91" t="s">
        <v>6655</v>
      </c>
      <c r="F2974" s="91" t="s">
        <v>139</v>
      </c>
      <c r="G2974" s="91" t="s">
        <v>594</v>
      </c>
      <c r="H2974" s="93" t="s">
        <v>6</v>
      </c>
      <c r="I2974" s="92" t="s">
        <v>3112</v>
      </c>
      <c r="J2974" s="92">
        <v>6301525936</v>
      </c>
      <c r="K2974" s="67"/>
      <c r="L2974" s="67"/>
      <c r="M2974" s="67"/>
      <c r="N2974" s="67"/>
      <c r="O2974" s="67"/>
    </row>
    <row r="2975" spans="1:15" ht="30">
      <c r="A2975" s="91" t="s">
        <v>8</v>
      </c>
      <c r="B2975" s="91" t="s">
        <v>658</v>
      </c>
      <c r="C2975" s="92" t="s">
        <v>662</v>
      </c>
      <c r="D2975" s="91" t="s">
        <v>662</v>
      </c>
      <c r="E2975" s="91" t="s">
        <v>6656</v>
      </c>
      <c r="F2975" s="91" t="s">
        <v>586</v>
      </c>
      <c r="G2975" s="91" t="s">
        <v>615</v>
      </c>
      <c r="H2975" s="93" t="s">
        <v>4</v>
      </c>
      <c r="I2975" s="92" t="s">
        <v>6657</v>
      </c>
      <c r="J2975" s="92">
        <v>7382264125</v>
      </c>
      <c r="K2975" s="67"/>
      <c r="L2975" s="67"/>
      <c r="M2975" s="67"/>
      <c r="N2975" s="67"/>
      <c r="O2975" s="67"/>
    </row>
    <row r="2976" spans="1:15" ht="30">
      <c r="A2976" s="91" t="s">
        <v>8</v>
      </c>
      <c r="B2976" s="91" t="s">
        <v>658</v>
      </c>
      <c r="C2976" s="92" t="s">
        <v>662</v>
      </c>
      <c r="D2976" s="91" t="s">
        <v>662</v>
      </c>
      <c r="E2976" s="91" t="s">
        <v>6658</v>
      </c>
      <c r="F2976" s="91" t="s">
        <v>1669</v>
      </c>
      <c r="G2976" s="91" t="s">
        <v>615</v>
      </c>
      <c r="H2976" s="93" t="s">
        <v>4</v>
      </c>
      <c r="I2976" s="92" t="s">
        <v>3162</v>
      </c>
      <c r="J2976" s="92">
        <v>9494657911</v>
      </c>
      <c r="K2976" s="67"/>
      <c r="L2976" s="67"/>
      <c r="M2976" s="67"/>
      <c r="N2976" s="67"/>
      <c r="O2976" s="67"/>
    </row>
    <row r="2977" spans="1:15" ht="45">
      <c r="A2977" s="91" t="s">
        <v>8</v>
      </c>
      <c r="B2977" s="91" t="s">
        <v>658</v>
      </c>
      <c r="C2977" s="92" t="s">
        <v>662</v>
      </c>
      <c r="D2977" s="91" t="s">
        <v>662</v>
      </c>
      <c r="E2977" s="91" t="s">
        <v>6659</v>
      </c>
      <c r="F2977" s="91" t="s">
        <v>131</v>
      </c>
      <c r="G2977" s="91" t="s">
        <v>594</v>
      </c>
      <c r="H2977" s="93" t="s">
        <v>4</v>
      </c>
      <c r="I2977" s="92" t="s">
        <v>6660</v>
      </c>
      <c r="J2977" s="92">
        <v>9494657926</v>
      </c>
      <c r="K2977" s="67"/>
      <c r="L2977" s="67"/>
      <c r="M2977" s="67"/>
      <c r="N2977" s="67"/>
      <c r="O2977" s="67"/>
    </row>
    <row r="2978" spans="1:15" ht="30">
      <c r="A2978" s="91" t="s">
        <v>8</v>
      </c>
      <c r="B2978" s="91" t="s">
        <v>658</v>
      </c>
      <c r="C2978" s="92" t="str">
        <f ca="1">IFERROR(__xludf.DUMMYFUNCTION("filter('Back End'!C:C,'Back End'!A:A=A2978,'Back End'!B:B=B2978,'Back End'!D:D=D2978)"),"Jeddangi Annavaram")</f>
        <v>Jeddangi Annavaram</v>
      </c>
      <c r="D2978" s="91" t="s">
        <v>662</v>
      </c>
      <c r="E2978" s="91" t="s">
        <v>6661</v>
      </c>
      <c r="F2978" s="91" t="s">
        <v>213</v>
      </c>
      <c r="G2978" s="91" t="s">
        <v>615</v>
      </c>
      <c r="H2978" s="93" t="s">
        <v>4</v>
      </c>
      <c r="I2978" s="92" t="s">
        <v>3181</v>
      </c>
      <c r="J2978" s="92">
        <v>9494157370</v>
      </c>
      <c r="K2978" s="67"/>
      <c r="L2978" s="67"/>
      <c r="M2978" s="67"/>
      <c r="N2978" s="67"/>
      <c r="O2978" s="67"/>
    </row>
    <row r="2979" spans="1:15" ht="30">
      <c r="A2979" s="91" t="s">
        <v>8</v>
      </c>
      <c r="B2979" s="91" t="s">
        <v>658</v>
      </c>
      <c r="C2979" s="92" t="str">
        <f ca="1">IFERROR(__xludf.DUMMYFUNCTION("filter('Back End'!C:C,'Back End'!A:A=A2979,'Back End'!B:B=B2979,'Back End'!D:D=D2979)"),"Jeddangi Annavaram")</f>
        <v>Jeddangi Annavaram</v>
      </c>
      <c r="D2979" s="91" t="s">
        <v>662</v>
      </c>
      <c r="E2979" s="91" t="s">
        <v>6662</v>
      </c>
      <c r="F2979" s="91" t="s">
        <v>139</v>
      </c>
      <c r="G2979" s="91" t="s">
        <v>594</v>
      </c>
      <c r="H2979" s="93" t="s">
        <v>35</v>
      </c>
      <c r="I2979" s="92" t="s">
        <v>6663</v>
      </c>
      <c r="J2979" s="92">
        <v>9493645783</v>
      </c>
      <c r="K2979" s="67"/>
      <c r="L2979" s="67"/>
      <c r="M2979" s="67"/>
      <c r="N2979" s="67"/>
      <c r="O2979" s="67"/>
    </row>
    <row r="2980" spans="1:15" ht="30">
      <c r="A2980" s="91" t="s">
        <v>8</v>
      </c>
      <c r="B2980" s="91" t="s">
        <v>658</v>
      </c>
      <c r="C2980" s="92" t="str">
        <f ca="1">IFERROR(__xludf.DUMMYFUNCTION("filter('Back End'!C:C,'Back End'!A:A=A2980,'Back End'!B:B=B2980,'Back End'!D:D=D2980)"),"Jeddangi Annavaram")</f>
        <v>Jeddangi Annavaram</v>
      </c>
      <c r="D2980" s="91" t="s">
        <v>662</v>
      </c>
      <c r="E2980" s="91" t="s">
        <v>6664</v>
      </c>
      <c r="F2980" s="91" t="s">
        <v>139</v>
      </c>
      <c r="G2980" s="91" t="s">
        <v>594</v>
      </c>
      <c r="H2980" s="93" t="s">
        <v>35</v>
      </c>
      <c r="I2980" s="92" t="s">
        <v>6663</v>
      </c>
      <c r="J2980" s="92">
        <v>9494005702</v>
      </c>
      <c r="K2980" s="67"/>
      <c r="L2980" s="67"/>
      <c r="M2980" s="67"/>
      <c r="N2980" s="67"/>
      <c r="O2980" s="67"/>
    </row>
    <row r="2981" spans="1:15" ht="30">
      <c r="A2981" s="91" t="s">
        <v>8</v>
      </c>
      <c r="B2981" s="91" t="s">
        <v>658</v>
      </c>
      <c r="C2981" s="92" t="str">
        <f ca="1">IFERROR(__xludf.DUMMYFUNCTION("filter('Back End'!C:C,'Back End'!A:A=A2981,'Back End'!B:B=B2981,'Back End'!D:D=D2981)"),"Jeddangi Annavaram")</f>
        <v>Jeddangi Annavaram</v>
      </c>
      <c r="D2981" s="91" t="s">
        <v>662</v>
      </c>
      <c r="E2981" s="91" t="s">
        <v>6665</v>
      </c>
      <c r="F2981" s="91" t="s">
        <v>1669</v>
      </c>
      <c r="G2981" s="91" t="s">
        <v>615</v>
      </c>
      <c r="H2981" s="93" t="s">
        <v>4</v>
      </c>
      <c r="I2981" s="92" t="s">
        <v>3634</v>
      </c>
      <c r="J2981" s="92">
        <v>9494544691</v>
      </c>
      <c r="K2981" s="67"/>
      <c r="L2981" s="67"/>
      <c r="M2981" s="67"/>
      <c r="N2981" s="67"/>
      <c r="O2981" s="67"/>
    </row>
    <row r="2982" spans="1:15" ht="30">
      <c r="A2982" s="91" t="s">
        <v>8</v>
      </c>
      <c r="B2982" s="91" t="s">
        <v>658</v>
      </c>
      <c r="C2982" s="92" t="str">
        <f ca="1">IFERROR(__xludf.DUMMYFUNCTION("filter('Back End'!C:C,'Back End'!A:A=A2982,'Back End'!B:B=B2982,'Back End'!D:D=D2982)"),"Jeddangi Annavaram")</f>
        <v>Jeddangi Annavaram</v>
      </c>
      <c r="D2982" s="91" t="s">
        <v>662</v>
      </c>
      <c r="E2982" s="91" t="s">
        <v>6666</v>
      </c>
      <c r="F2982" s="91" t="s">
        <v>139</v>
      </c>
      <c r="G2982" s="91" t="s">
        <v>594</v>
      </c>
      <c r="H2982" s="93" t="s">
        <v>4</v>
      </c>
      <c r="I2982" s="92" t="s">
        <v>3634</v>
      </c>
      <c r="J2982" s="92">
        <v>9390768825</v>
      </c>
      <c r="K2982" s="67"/>
      <c r="L2982" s="67"/>
      <c r="M2982" s="67"/>
      <c r="N2982" s="67"/>
      <c r="O2982" s="67"/>
    </row>
    <row r="2983" spans="1:15" ht="30">
      <c r="A2983" s="91" t="s">
        <v>8</v>
      </c>
      <c r="B2983" s="91" t="s">
        <v>658</v>
      </c>
      <c r="C2983" s="92" t="str">
        <f ca="1">IFERROR(__xludf.DUMMYFUNCTION("filter('Back End'!C:C,'Back End'!A:A=A2983,'Back End'!B:B=B2983,'Back End'!D:D=D2983)"),"Jeddangi Annavaram")</f>
        <v>Jeddangi Annavaram</v>
      </c>
      <c r="D2983" s="91" t="s">
        <v>662</v>
      </c>
      <c r="E2983" s="91" t="s">
        <v>6667</v>
      </c>
      <c r="F2983" s="91" t="s">
        <v>1669</v>
      </c>
      <c r="G2983" s="91" t="s">
        <v>615</v>
      </c>
      <c r="H2983" s="93" t="s">
        <v>4</v>
      </c>
      <c r="I2983" s="92" t="s">
        <v>3634</v>
      </c>
      <c r="J2983" s="92">
        <v>9490889631</v>
      </c>
      <c r="K2983" s="67"/>
      <c r="L2983" s="67"/>
      <c r="M2983" s="67"/>
      <c r="N2983" s="67"/>
      <c r="O2983" s="67"/>
    </row>
    <row r="2984" spans="1:15" ht="30">
      <c r="A2984" s="91" t="s">
        <v>8</v>
      </c>
      <c r="B2984" s="91" t="s">
        <v>658</v>
      </c>
      <c r="C2984" s="92" t="str">
        <f ca="1">IFERROR(__xludf.DUMMYFUNCTION("filter('Back End'!C:C,'Back End'!A:A=A2984,'Back End'!B:B=B2984,'Back End'!D:D=D2984)"),"Jeddangi Annavaram")</f>
        <v>Jeddangi Annavaram</v>
      </c>
      <c r="D2984" s="91" t="s">
        <v>662</v>
      </c>
      <c r="E2984" s="91" t="s">
        <v>6668</v>
      </c>
      <c r="F2984" s="91" t="s">
        <v>139</v>
      </c>
      <c r="G2984" s="91" t="s">
        <v>594</v>
      </c>
      <c r="H2984" s="93" t="s">
        <v>4</v>
      </c>
      <c r="I2984" s="92" t="s">
        <v>3634</v>
      </c>
      <c r="J2984" s="92">
        <v>9494543726</v>
      </c>
      <c r="K2984" s="67"/>
      <c r="L2984" s="67"/>
      <c r="M2984" s="67"/>
      <c r="N2984" s="67"/>
      <c r="O2984" s="67"/>
    </row>
    <row r="2985" spans="1:15" ht="30">
      <c r="A2985" s="109" t="s">
        <v>8</v>
      </c>
      <c r="B2985" s="91" t="s">
        <v>658</v>
      </c>
      <c r="C2985" s="92" t="str">
        <f ca="1">IFERROR(__xludf.DUMMYFUNCTION("filter('Back End'!C:C,'Back End'!A:A=A2985,'Back End'!B:B=B2985,'Back End'!D:D=D2985)"),"Marriveedu")</f>
        <v>Marriveedu</v>
      </c>
      <c r="D2985" s="91" t="s">
        <v>664</v>
      </c>
      <c r="E2985" s="91" t="s">
        <v>6669</v>
      </c>
      <c r="F2985" s="91" t="s">
        <v>139</v>
      </c>
      <c r="G2985" s="91" t="s">
        <v>594</v>
      </c>
      <c r="H2985" s="93" t="s">
        <v>5</v>
      </c>
      <c r="I2985" s="92" t="s">
        <v>3194</v>
      </c>
      <c r="J2985" s="92">
        <v>9493950933</v>
      </c>
      <c r="K2985" s="67"/>
      <c r="L2985" s="67"/>
      <c r="M2985" s="67"/>
      <c r="N2985" s="67"/>
      <c r="O2985" s="67"/>
    </row>
    <row r="2986" spans="1:15" ht="30">
      <c r="A2986" s="109" t="s">
        <v>8</v>
      </c>
      <c r="B2986" s="91" t="s">
        <v>658</v>
      </c>
      <c r="C2986" s="92" t="str">
        <f ca="1">IFERROR(__xludf.DUMMYFUNCTION("filter('Back End'!C:C,'Back End'!A:A=A2986,'Back End'!B:B=B2986,'Back End'!D:D=D2986)"),"Marriveedu")</f>
        <v>Marriveedu</v>
      </c>
      <c r="D2986" s="91" t="s">
        <v>664</v>
      </c>
      <c r="E2986" s="91" t="s">
        <v>6670</v>
      </c>
      <c r="F2986" s="91" t="s">
        <v>139</v>
      </c>
      <c r="G2986" s="91" t="s">
        <v>594</v>
      </c>
      <c r="H2986" s="93" t="s">
        <v>5</v>
      </c>
      <c r="I2986" s="92" t="s">
        <v>3205</v>
      </c>
      <c r="J2986" s="92">
        <v>8330982235</v>
      </c>
      <c r="K2986" s="67"/>
      <c r="L2986" s="67"/>
      <c r="M2986" s="67"/>
      <c r="N2986" s="67"/>
      <c r="O2986" s="67"/>
    </row>
    <row r="2987" spans="1:15" ht="45">
      <c r="A2987" s="109" t="s">
        <v>8</v>
      </c>
      <c r="B2987" s="91" t="s">
        <v>658</v>
      </c>
      <c r="C2987" s="92" t="str">
        <f ca="1">IFERROR(__xludf.DUMMYFUNCTION("filter('Back End'!C:C,'Back End'!A:A=A2987,'Back End'!B:B=B2987,'Back End'!D:D=D2987)"),"Marriveedu")</f>
        <v>Marriveedu</v>
      </c>
      <c r="D2987" s="91" t="s">
        <v>664</v>
      </c>
      <c r="E2987" s="91" t="s">
        <v>6671</v>
      </c>
      <c r="F2987" s="91" t="s">
        <v>1669</v>
      </c>
      <c r="G2987" s="91" t="s">
        <v>615</v>
      </c>
      <c r="H2987" s="93" t="s">
        <v>5</v>
      </c>
      <c r="I2987" s="92" t="s">
        <v>6672</v>
      </c>
      <c r="J2987" s="92">
        <v>7382525296</v>
      </c>
      <c r="K2987" s="67"/>
      <c r="L2987" s="67"/>
      <c r="M2987" s="67"/>
      <c r="N2987" s="67"/>
      <c r="O2987" s="67"/>
    </row>
    <row r="2988" spans="1:15" ht="15">
      <c r="A2988" s="109" t="s">
        <v>8</v>
      </c>
      <c r="B2988" s="91" t="s">
        <v>658</v>
      </c>
      <c r="C2988" s="92" t="str">
        <f ca="1">IFERROR(__xludf.DUMMYFUNCTION("filter('Back End'!C:C,'Back End'!A:A=A2988,'Back End'!B:B=B2988,'Back End'!D:D=D2988)"),"Marriveedu")</f>
        <v>Marriveedu</v>
      </c>
      <c r="D2988" s="91" t="s">
        <v>664</v>
      </c>
      <c r="E2988" s="91" t="s">
        <v>6673</v>
      </c>
      <c r="F2988" s="91" t="s">
        <v>545</v>
      </c>
      <c r="G2988" s="91" t="s">
        <v>86</v>
      </c>
      <c r="H2988" s="93" t="s">
        <v>5</v>
      </c>
      <c r="I2988" s="92" t="s">
        <v>3115</v>
      </c>
      <c r="J2988" s="92">
        <v>8555920523</v>
      </c>
      <c r="K2988" s="67"/>
      <c r="L2988" s="67"/>
      <c r="M2988" s="67"/>
      <c r="N2988" s="67"/>
      <c r="O2988" s="67"/>
    </row>
    <row r="2989" spans="1:15" ht="30">
      <c r="A2989" s="109" t="s">
        <v>8</v>
      </c>
      <c r="B2989" s="91" t="s">
        <v>658</v>
      </c>
      <c r="C2989" s="92" t="str">
        <f ca="1">IFERROR(__xludf.DUMMYFUNCTION("filter('Back End'!C:C,'Back End'!A:A=A2989,'Back End'!B:B=B2989,'Back End'!D:D=D2989)"),"Marriveedu")</f>
        <v>Marriveedu</v>
      </c>
      <c r="D2989" s="91" t="s">
        <v>664</v>
      </c>
      <c r="E2989" s="91" t="s">
        <v>6674</v>
      </c>
      <c r="F2989" s="91" t="s">
        <v>131</v>
      </c>
      <c r="G2989" s="91" t="s">
        <v>594</v>
      </c>
      <c r="H2989" s="93" t="s">
        <v>5</v>
      </c>
      <c r="I2989" s="92" t="s">
        <v>6675</v>
      </c>
      <c r="J2989" s="92">
        <v>8985466667</v>
      </c>
      <c r="K2989" s="67"/>
      <c r="L2989" s="67"/>
      <c r="M2989" s="67"/>
      <c r="N2989" s="67"/>
      <c r="O2989" s="67"/>
    </row>
    <row r="2990" spans="1:15" ht="15">
      <c r="A2990" s="109" t="s">
        <v>8</v>
      </c>
      <c r="B2990" s="91" t="s">
        <v>658</v>
      </c>
      <c r="C2990" s="92" t="str">
        <f ca="1">IFERROR(__xludf.DUMMYFUNCTION("filter('Back End'!C:C,'Back End'!A:A=A2990,'Back End'!B:B=B2990,'Back End'!D:D=D2990)"),"Marriveedu")</f>
        <v>Marriveedu</v>
      </c>
      <c r="D2990" s="91" t="s">
        <v>664</v>
      </c>
      <c r="E2990" s="91" t="s">
        <v>6676</v>
      </c>
      <c r="F2990" s="91" t="s">
        <v>139</v>
      </c>
      <c r="G2990" s="91" t="s">
        <v>594</v>
      </c>
      <c r="H2990" s="93" t="s">
        <v>5</v>
      </c>
      <c r="I2990" s="92" t="s">
        <v>4283</v>
      </c>
      <c r="J2990" s="92">
        <v>9494908888</v>
      </c>
      <c r="K2990" s="67"/>
      <c r="L2990" s="67"/>
      <c r="M2990" s="67"/>
      <c r="N2990" s="67"/>
      <c r="O2990" s="67"/>
    </row>
    <row r="2991" spans="1:15" ht="15">
      <c r="A2991" s="109" t="s">
        <v>7</v>
      </c>
      <c r="B2991" s="109" t="s">
        <v>706</v>
      </c>
      <c r="C2991" s="92" t="str">
        <f ca="1">IFERROR(__xludf.DUMMYFUNCTION("filter('Back End'!C:C,'Back End'!A:A=A2991,'Back End'!B:B=B2991,'Back End'!D:D=D2991)"),"Pydikonda")</f>
        <v>Pydikonda</v>
      </c>
      <c r="D2991" s="91" t="s">
        <v>733</v>
      </c>
      <c r="E2991" s="91" t="s">
        <v>6677</v>
      </c>
      <c r="F2991" s="91" t="s">
        <v>139</v>
      </c>
      <c r="G2991" s="91" t="s">
        <v>594</v>
      </c>
      <c r="H2991" s="93" t="s">
        <v>5</v>
      </c>
      <c r="I2991" s="92" t="s">
        <v>3115</v>
      </c>
      <c r="J2991" s="92">
        <v>9492950589</v>
      </c>
      <c r="K2991" s="67"/>
      <c r="L2991" s="67"/>
      <c r="M2991" s="67"/>
      <c r="N2991" s="67"/>
      <c r="O2991" s="67"/>
    </row>
    <row r="2992" spans="1:15" ht="15">
      <c r="A2992" s="109" t="s">
        <v>7</v>
      </c>
      <c r="B2992" s="109" t="s">
        <v>706</v>
      </c>
      <c r="C2992" s="92" t="str">
        <f ca="1">IFERROR(__xludf.DUMMYFUNCTION("filter('Back End'!C:C,'Back End'!A:A=A2992,'Back End'!B:B=B2992,'Back End'!D:D=D2992)"),"Pydikonda")</f>
        <v>Pydikonda</v>
      </c>
      <c r="D2992" s="91" t="s">
        <v>733</v>
      </c>
      <c r="E2992" s="91" t="s">
        <v>6678</v>
      </c>
      <c r="F2992" s="91" t="s">
        <v>1661</v>
      </c>
      <c r="G2992" s="91" t="s">
        <v>615</v>
      </c>
      <c r="H2992" s="93" t="s">
        <v>5</v>
      </c>
      <c r="I2992" s="92" t="s">
        <v>3185</v>
      </c>
      <c r="J2992" s="92">
        <v>6281038361</v>
      </c>
      <c r="K2992" s="67"/>
      <c r="L2992" s="67"/>
      <c r="M2992" s="67"/>
      <c r="N2992" s="67"/>
      <c r="O2992" s="67"/>
    </row>
    <row r="2993" spans="1:15" ht="30">
      <c r="A2993" s="109" t="s">
        <v>7</v>
      </c>
      <c r="B2993" s="109" t="s">
        <v>706</v>
      </c>
      <c r="C2993" s="92" t="str">
        <f ca="1">IFERROR(__xludf.DUMMYFUNCTION("filter('Back End'!C:C,'Back End'!A:A=A2993,'Back End'!B:B=B2993,'Back End'!D:D=D2993)"),"Pydikonda")</f>
        <v>Pydikonda</v>
      </c>
      <c r="D2993" s="91" t="s">
        <v>733</v>
      </c>
      <c r="E2993" s="91" t="s">
        <v>6679</v>
      </c>
      <c r="F2993" s="91" t="s">
        <v>139</v>
      </c>
      <c r="G2993" s="91" t="s">
        <v>594</v>
      </c>
      <c r="H2993" s="93" t="s">
        <v>5</v>
      </c>
      <c r="I2993" s="92" t="s">
        <v>3205</v>
      </c>
      <c r="J2993" s="92">
        <v>9951485163</v>
      </c>
      <c r="K2993" s="67"/>
      <c r="L2993" s="67"/>
      <c r="M2993" s="67"/>
      <c r="N2993" s="67"/>
      <c r="O2993" s="67"/>
    </row>
    <row r="2994" spans="1:15" ht="30">
      <c r="A2994" s="109" t="s">
        <v>7</v>
      </c>
      <c r="B2994" s="109" t="s">
        <v>706</v>
      </c>
      <c r="C2994" s="92" t="str">
        <f ca="1">IFERROR(__xludf.DUMMYFUNCTION("filter('Back End'!C:C,'Back End'!A:A=A2994,'Back End'!B:B=B2994,'Back End'!D:D=D2994)"),"Pydikonda")</f>
        <v>Pydikonda</v>
      </c>
      <c r="D2994" s="91" t="s">
        <v>733</v>
      </c>
      <c r="E2994" s="91" t="s">
        <v>6680</v>
      </c>
      <c r="F2994" s="91" t="s">
        <v>139</v>
      </c>
      <c r="G2994" s="91" t="s">
        <v>594</v>
      </c>
      <c r="H2994" s="93" t="s">
        <v>5</v>
      </c>
      <c r="I2994" s="92" t="s">
        <v>3162</v>
      </c>
      <c r="J2994" s="92">
        <v>9010325539</v>
      </c>
      <c r="K2994" s="67"/>
      <c r="L2994" s="67"/>
      <c r="M2994" s="67"/>
      <c r="N2994" s="67"/>
      <c r="O2994" s="67"/>
    </row>
    <row r="2995" spans="1:15" ht="30">
      <c r="A2995" s="109" t="s">
        <v>7</v>
      </c>
      <c r="B2995" s="109" t="s">
        <v>706</v>
      </c>
      <c r="C2995" s="92" t="str">
        <f ca="1">IFERROR(__xludf.DUMMYFUNCTION("filter('Back End'!C:C,'Back End'!A:A=A2995,'Back End'!B:B=B2995,'Back End'!D:D=D2995)"),"Pydikonda")</f>
        <v>Pydikonda</v>
      </c>
      <c r="D2995" s="91" t="s">
        <v>733</v>
      </c>
      <c r="E2995" s="91" t="s">
        <v>6681</v>
      </c>
      <c r="F2995" s="91" t="s">
        <v>1661</v>
      </c>
      <c r="G2995" s="91" t="s">
        <v>615</v>
      </c>
      <c r="H2995" s="93" t="s">
        <v>5</v>
      </c>
      <c r="I2995" s="92" t="s">
        <v>6682</v>
      </c>
      <c r="J2995" s="92">
        <v>9000141083</v>
      </c>
      <c r="K2995" s="67"/>
      <c r="L2995" s="67"/>
      <c r="M2995" s="67"/>
      <c r="N2995" s="67"/>
      <c r="O2995" s="67"/>
    </row>
    <row r="2996" spans="1:15" ht="30">
      <c r="A2996" s="91" t="s">
        <v>7</v>
      </c>
      <c r="B2996" s="91" t="s">
        <v>706</v>
      </c>
      <c r="C2996" s="92" t="str">
        <f ca="1">IFERROR(__xludf.DUMMYFUNCTION("filter('Back End'!C:C,'Back End'!A:A=A2996,'Back End'!B:B=B2996,'Back End'!D:D=D2996)"),"Pydikonda")</f>
        <v>Pydikonda</v>
      </c>
      <c r="D2996" s="91" t="s">
        <v>733</v>
      </c>
      <c r="E2996" s="91" t="s">
        <v>6683</v>
      </c>
      <c r="F2996" s="91" t="s">
        <v>1661</v>
      </c>
      <c r="G2996" s="91" t="s">
        <v>615</v>
      </c>
      <c r="H2996" s="93" t="s">
        <v>5</v>
      </c>
      <c r="I2996" s="92" t="s">
        <v>3634</v>
      </c>
      <c r="J2996" s="92">
        <v>9440912934</v>
      </c>
      <c r="K2996" s="67"/>
      <c r="L2996" s="67"/>
      <c r="M2996" s="67"/>
      <c r="N2996" s="67"/>
      <c r="O2996" s="67"/>
    </row>
    <row r="2997" spans="1:15" ht="30">
      <c r="A2997" s="91" t="s">
        <v>7</v>
      </c>
      <c r="B2997" s="91" t="s">
        <v>706</v>
      </c>
      <c r="C2997" s="92" t="str">
        <f ca="1">IFERROR(__xludf.DUMMYFUNCTION("filter('Back End'!C:C,'Back End'!A:A=A2997,'Back End'!B:B=B2997,'Back End'!D:D=D2997)"),"Pydikonda")</f>
        <v>Pydikonda</v>
      </c>
      <c r="D2997" s="91" t="s">
        <v>733</v>
      </c>
      <c r="E2997" s="91" t="s">
        <v>6684</v>
      </c>
      <c r="F2997" s="91" t="s">
        <v>595</v>
      </c>
      <c r="G2997" s="91" t="s">
        <v>594</v>
      </c>
      <c r="H2997" s="93" t="s">
        <v>5</v>
      </c>
      <c r="I2997" s="92" t="s">
        <v>3162</v>
      </c>
      <c r="J2997" s="92">
        <v>9010325539</v>
      </c>
      <c r="K2997" s="67"/>
      <c r="L2997" s="67"/>
      <c r="M2997" s="67"/>
      <c r="N2997" s="67"/>
      <c r="O2997" s="67"/>
    </row>
    <row r="2998" spans="1:15" ht="30">
      <c r="A2998" s="91" t="s">
        <v>7</v>
      </c>
      <c r="B2998" s="91" t="s">
        <v>706</v>
      </c>
      <c r="C2998" s="92" t="str">
        <f ca="1">IFERROR(__xludf.DUMMYFUNCTION("filter('Back End'!C:C,'Back End'!A:A=A2998,'Back End'!B:B=B2998,'Back End'!D:D=D2998)"),"Pydikonda")</f>
        <v>Pydikonda</v>
      </c>
      <c r="D2998" s="91" t="s">
        <v>733</v>
      </c>
      <c r="E2998" s="91" t="s">
        <v>6685</v>
      </c>
      <c r="F2998" s="91" t="s">
        <v>139</v>
      </c>
      <c r="G2998" s="91" t="s">
        <v>594</v>
      </c>
      <c r="H2998" s="93" t="s">
        <v>5</v>
      </c>
      <c r="I2998" s="92" t="s">
        <v>6641</v>
      </c>
      <c r="J2998" s="92">
        <v>9440153954</v>
      </c>
      <c r="K2998" s="67"/>
      <c r="L2998" s="67"/>
      <c r="M2998" s="67"/>
      <c r="N2998" s="67"/>
      <c r="O2998" s="67"/>
    </row>
    <row r="2999" spans="1:15" ht="30">
      <c r="A2999" s="91" t="s">
        <v>7</v>
      </c>
      <c r="B2999" s="91" t="s">
        <v>706</v>
      </c>
      <c r="C2999" s="92" t="str">
        <f ca="1">IFERROR(__xludf.DUMMYFUNCTION("filter('Back End'!C:C,'Back End'!A:A=A2999,'Back End'!B:B=B2999,'Back End'!D:D=D2999)"),"Pydikonda")</f>
        <v>Pydikonda</v>
      </c>
      <c r="D2999" s="91" t="s">
        <v>733</v>
      </c>
      <c r="E2999" s="91" t="s">
        <v>6686</v>
      </c>
      <c r="F2999" s="91" t="s">
        <v>136</v>
      </c>
      <c r="G2999" s="91" t="s">
        <v>615</v>
      </c>
      <c r="H2999" s="93" t="s">
        <v>4</v>
      </c>
      <c r="I2999" s="92" t="s">
        <v>3634</v>
      </c>
      <c r="J2999" s="92">
        <v>7901262724</v>
      </c>
      <c r="K2999" s="67"/>
      <c r="L2999" s="67"/>
      <c r="M2999" s="67"/>
      <c r="N2999" s="67"/>
      <c r="O2999" s="67"/>
    </row>
    <row r="3000" spans="1:15" ht="15">
      <c r="A3000" s="91" t="s">
        <v>7</v>
      </c>
      <c r="B3000" s="91" t="s">
        <v>706</v>
      </c>
      <c r="C3000" s="92" t="str">
        <f ca="1">IFERROR(__xludf.DUMMYFUNCTION("filter('Back End'!C:C,'Back End'!A:A=A3000,'Back End'!B:B=B3000,'Back End'!D:D=D3000)"),"Pydikonda")</f>
        <v>Pydikonda</v>
      </c>
      <c r="D3000" s="91" t="s">
        <v>733</v>
      </c>
      <c r="E3000" s="91" t="s">
        <v>6687</v>
      </c>
      <c r="F3000" s="91" t="s">
        <v>139</v>
      </c>
      <c r="G3000" s="91" t="s">
        <v>594</v>
      </c>
      <c r="H3000" s="93" t="s">
        <v>4</v>
      </c>
      <c r="I3000" s="92" t="s">
        <v>3181</v>
      </c>
      <c r="J3000" s="92">
        <v>9491256640</v>
      </c>
      <c r="K3000" s="67"/>
      <c r="L3000" s="67"/>
      <c r="M3000" s="67"/>
      <c r="N3000" s="67"/>
      <c r="O3000" s="67"/>
    </row>
    <row r="3001" spans="1:15" ht="15">
      <c r="A3001" s="91" t="s">
        <v>7</v>
      </c>
      <c r="B3001" s="91" t="s">
        <v>706</v>
      </c>
      <c r="C3001" s="92" t="str">
        <f ca="1">IFERROR(__xludf.DUMMYFUNCTION("filter('Back End'!C:C,'Back End'!A:A=A3001,'Back End'!B:B=B3001,'Back End'!D:D=D3001)"),"Pydikonda")</f>
        <v>Pydikonda</v>
      </c>
      <c r="D3001" s="91" t="s">
        <v>733</v>
      </c>
      <c r="E3001" s="91" t="s">
        <v>6688</v>
      </c>
      <c r="F3001" s="91" t="s">
        <v>139</v>
      </c>
      <c r="G3001" s="91" t="s">
        <v>594</v>
      </c>
      <c r="H3001" s="93" t="s">
        <v>4</v>
      </c>
      <c r="I3001" s="92" t="s">
        <v>3181</v>
      </c>
      <c r="J3001" s="92">
        <v>9705506362</v>
      </c>
      <c r="K3001" s="67"/>
      <c r="L3001" s="67"/>
      <c r="M3001" s="67"/>
      <c r="N3001" s="67"/>
      <c r="O3001" s="67"/>
    </row>
    <row r="3002" spans="1:15" ht="15">
      <c r="A3002" s="91" t="s">
        <v>7</v>
      </c>
      <c r="B3002" s="91" t="s">
        <v>706</v>
      </c>
      <c r="C3002" s="92" t="str">
        <f ca="1">IFERROR(__xludf.DUMMYFUNCTION("filter('Back End'!C:C,'Back End'!A:A=A3002,'Back End'!B:B=B3002,'Back End'!D:D=D3002)"),"Pydikonda")</f>
        <v>Pydikonda</v>
      </c>
      <c r="D3002" s="91" t="s">
        <v>733</v>
      </c>
      <c r="E3002" s="91" t="s">
        <v>6689</v>
      </c>
      <c r="F3002" s="91" t="s">
        <v>595</v>
      </c>
      <c r="G3002" s="91" t="s">
        <v>594</v>
      </c>
      <c r="H3002" s="93" t="s">
        <v>4</v>
      </c>
      <c r="I3002" s="92" t="s">
        <v>3181</v>
      </c>
      <c r="J3002" s="92">
        <v>9849993125</v>
      </c>
      <c r="K3002" s="67"/>
      <c r="L3002" s="67"/>
      <c r="M3002" s="67"/>
      <c r="N3002" s="67"/>
      <c r="O3002" s="67"/>
    </row>
    <row r="3003" spans="1:15" ht="15">
      <c r="A3003" s="109" t="s">
        <v>7</v>
      </c>
      <c r="B3003" s="109" t="s">
        <v>706</v>
      </c>
      <c r="C3003" s="92" t="str">
        <f ca="1">IFERROR(__xludf.DUMMYFUNCTION("filter('Back End'!C:C,'Back End'!A:A=A3003,'Back End'!B:B=B3003,'Back End'!D:D=D3003)"),"Pydikonda")</f>
        <v>Pydikonda</v>
      </c>
      <c r="D3003" s="91" t="s">
        <v>733</v>
      </c>
      <c r="E3003" s="91" t="s">
        <v>6690</v>
      </c>
      <c r="F3003" s="91" t="s">
        <v>1661</v>
      </c>
      <c r="G3003" s="91" t="s">
        <v>615</v>
      </c>
      <c r="H3003" s="93" t="s">
        <v>4</v>
      </c>
      <c r="I3003" s="92" t="s">
        <v>3181</v>
      </c>
      <c r="J3003" s="92">
        <v>9550343407</v>
      </c>
      <c r="K3003" s="67"/>
      <c r="L3003" s="67"/>
      <c r="M3003" s="67"/>
      <c r="N3003" s="67"/>
      <c r="O3003" s="67"/>
    </row>
    <row r="3004" spans="1:15" ht="30">
      <c r="A3004" s="109" t="s">
        <v>7</v>
      </c>
      <c r="B3004" s="109" t="s">
        <v>706</v>
      </c>
      <c r="C3004" s="92" t="str">
        <f ca="1">IFERROR(__xludf.DUMMYFUNCTION("filter('Back End'!C:C,'Back End'!A:A=A3004,'Back End'!B:B=B3004,'Back End'!D:D=D3004)"),"Pydikonda")</f>
        <v>Pydikonda</v>
      </c>
      <c r="D3004" s="91" t="s">
        <v>733</v>
      </c>
      <c r="E3004" s="91" t="s">
        <v>6691</v>
      </c>
      <c r="F3004" s="91" t="s">
        <v>139</v>
      </c>
      <c r="G3004" s="91" t="s">
        <v>594</v>
      </c>
      <c r="H3004" s="93" t="s">
        <v>4</v>
      </c>
      <c r="I3004" s="92" t="s">
        <v>6692</v>
      </c>
      <c r="J3004" s="92">
        <v>9491256640</v>
      </c>
      <c r="K3004" s="67"/>
      <c r="L3004" s="67"/>
      <c r="M3004" s="67"/>
      <c r="N3004" s="67"/>
      <c r="O3004" s="67"/>
    </row>
    <row r="3005" spans="1:15" ht="30">
      <c r="A3005" s="109" t="s">
        <v>7</v>
      </c>
      <c r="B3005" s="109" t="s">
        <v>706</v>
      </c>
      <c r="C3005" s="92" t="str">
        <f ca="1">IFERROR(__xludf.DUMMYFUNCTION("filter('Back End'!C:C,'Back End'!A:A=A3005,'Back End'!B:B=B3005,'Back End'!D:D=D3005)"),"Pydikonda")</f>
        <v>Pydikonda</v>
      </c>
      <c r="D3005" s="91" t="s">
        <v>733</v>
      </c>
      <c r="E3005" s="91" t="s">
        <v>6693</v>
      </c>
      <c r="F3005" s="91" t="s">
        <v>139</v>
      </c>
      <c r="G3005" s="91" t="s">
        <v>594</v>
      </c>
      <c r="H3005" s="93" t="s">
        <v>4</v>
      </c>
      <c r="I3005" s="92" t="s">
        <v>6694</v>
      </c>
      <c r="J3005" s="92">
        <v>9948048124</v>
      </c>
      <c r="K3005" s="67"/>
      <c r="L3005" s="67"/>
      <c r="M3005" s="67"/>
      <c r="N3005" s="67"/>
      <c r="O3005" s="67"/>
    </row>
    <row r="3006" spans="1:15" ht="15">
      <c r="A3006" s="109" t="s">
        <v>7</v>
      </c>
      <c r="B3006" s="109" t="s">
        <v>706</v>
      </c>
      <c r="C3006" s="92" t="str">
        <f ca="1">IFERROR(__xludf.DUMMYFUNCTION("filter('Back End'!C:C,'Back End'!A:A=A3006,'Back End'!B:B=B3006,'Back End'!D:D=D3006)"),"Pydikonda")</f>
        <v>Pydikonda</v>
      </c>
      <c r="D3006" s="91" t="s">
        <v>733</v>
      </c>
      <c r="E3006" s="91" t="s">
        <v>6695</v>
      </c>
      <c r="F3006" s="91" t="s">
        <v>139</v>
      </c>
      <c r="G3006" s="91" t="s">
        <v>594</v>
      </c>
      <c r="H3006" s="93" t="s">
        <v>4</v>
      </c>
      <c r="I3006" s="92" t="s">
        <v>3181</v>
      </c>
      <c r="J3006" s="92">
        <v>6305423377</v>
      </c>
      <c r="K3006" s="67"/>
      <c r="L3006" s="67"/>
      <c r="M3006" s="67"/>
      <c r="N3006" s="67"/>
      <c r="O3006" s="67"/>
    </row>
    <row r="3007" spans="1:15" ht="30">
      <c r="A3007" s="92" t="s">
        <v>7</v>
      </c>
      <c r="B3007" s="92" t="s">
        <v>671</v>
      </c>
      <c r="C3007" s="92" t="str">
        <f ca="1">IFERROR(__xludf.DUMMYFUNCTION("filter('Back End'!C:C,'Back End'!A:A=A3007,'Back End'!B:B=B3007,'Back End'!D:D=D3007)"),"K.O.Agraharam")</f>
        <v>K.O.Agraharam</v>
      </c>
      <c r="D3007" s="91" t="s">
        <v>693</v>
      </c>
      <c r="E3007" s="91" t="s">
        <v>6696</v>
      </c>
      <c r="F3007" s="91" t="s">
        <v>165</v>
      </c>
      <c r="G3007" s="91" t="s">
        <v>615</v>
      </c>
      <c r="H3007" s="93" t="s">
        <v>5</v>
      </c>
      <c r="I3007" s="92" t="s">
        <v>3205</v>
      </c>
      <c r="J3007" s="92">
        <v>9441461154</v>
      </c>
      <c r="K3007" s="67"/>
      <c r="L3007" s="67"/>
      <c r="M3007" s="67"/>
      <c r="N3007" s="67"/>
      <c r="O3007" s="67"/>
    </row>
    <row r="3008" spans="1:15" ht="60">
      <c r="A3008" s="92" t="s">
        <v>7</v>
      </c>
      <c r="B3008" s="92" t="s">
        <v>671</v>
      </c>
      <c r="C3008" s="92" t="str">
        <f ca="1">IFERROR(__xludf.DUMMYFUNCTION("filter('Back End'!C:C,'Back End'!A:A=A3008,'Back End'!B:B=B3008,'Back End'!D:D=D3008)"),"K.O.Agraharam")</f>
        <v>K.O.Agraharam</v>
      </c>
      <c r="D3008" s="91" t="s">
        <v>693</v>
      </c>
      <c r="E3008" s="91" t="s">
        <v>6697</v>
      </c>
      <c r="F3008" s="91" t="s">
        <v>114</v>
      </c>
      <c r="G3008" s="91" t="s">
        <v>85</v>
      </c>
      <c r="H3008" s="93" t="s">
        <v>5</v>
      </c>
      <c r="I3008" s="92" t="s">
        <v>6698</v>
      </c>
      <c r="J3008" s="92">
        <v>8523086381</v>
      </c>
      <c r="K3008" s="67"/>
      <c r="L3008" s="67"/>
      <c r="M3008" s="67"/>
      <c r="N3008" s="67"/>
      <c r="O3008" s="67"/>
    </row>
    <row r="3009" spans="1:15" ht="15">
      <c r="A3009" s="91" t="s">
        <v>7</v>
      </c>
      <c r="B3009" s="91" t="s">
        <v>671</v>
      </c>
      <c r="C3009" s="92" t="str">
        <f ca="1">IFERROR(__xludf.DUMMYFUNCTION("filter('Back End'!C:C,'Back End'!A:A=A3009,'Back End'!B:B=B3009,'Back End'!D:D=D3009)"),"K.O.Agraharam")</f>
        <v>K.O.Agraharam</v>
      </c>
      <c r="D3009" s="91" t="s">
        <v>693</v>
      </c>
      <c r="E3009" s="91" t="s">
        <v>6699</v>
      </c>
      <c r="F3009" s="91" t="s">
        <v>165</v>
      </c>
      <c r="G3009" s="91" t="s">
        <v>615</v>
      </c>
      <c r="H3009" s="93" t="s">
        <v>5</v>
      </c>
      <c r="I3009" s="92" t="s">
        <v>3115</v>
      </c>
      <c r="J3009" s="92">
        <v>9951973836</v>
      </c>
      <c r="K3009" s="67"/>
      <c r="L3009" s="67"/>
      <c r="M3009" s="67"/>
      <c r="N3009" s="67"/>
      <c r="O3009" s="67"/>
    </row>
    <row r="3010" spans="1:15" ht="60">
      <c r="A3010" s="91" t="s">
        <v>7</v>
      </c>
      <c r="B3010" s="91" t="s">
        <v>671</v>
      </c>
      <c r="C3010" s="92" t="str">
        <f ca="1">IFERROR(__xludf.DUMMYFUNCTION("filter('Back End'!C:C,'Back End'!A:A=A3010,'Back End'!B:B=B3010,'Back End'!D:D=D3010)"),"K.O.Agraharam")</f>
        <v>K.O.Agraharam</v>
      </c>
      <c r="D3010" s="91" t="s">
        <v>693</v>
      </c>
      <c r="E3010" s="91" t="s">
        <v>6700</v>
      </c>
      <c r="F3010" s="91" t="s">
        <v>586</v>
      </c>
      <c r="G3010" s="91" t="s">
        <v>615</v>
      </c>
      <c r="H3010" s="93" t="s">
        <v>4</v>
      </c>
      <c r="I3010" s="92" t="s">
        <v>6493</v>
      </c>
      <c r="J3010" s="92" t="s">
        <v>6701</v>
      </c>
      <c r="K3010" s="67"/>
      <c r="L3010" s="67"/>
      <c r="M3010" s="67"/>
      <c r="N3010" s="67"/>
      <c r="O3010" s="67"/>
    </row>
    <row r="3011" spans="1:15" ht="30">
      <c r="A3011" s="92" t="s">
        <v>7</v>
      </c>
      <c r="B3011" s="92" t="s">
        <v>671</v>
      </c>
      <c r="C3011" s="92" t="str">
        <f ca="1">IFERROR(__xludf.DUMMYFUNCTION("filter('Back End'!C:C,'Back End'!A:A=A3011,'Back End'!B:B=B3011,'Back End'!D:D=D3011)"),"K.O.Agraharam")</f>
        <v>K.O.Agraharam</v>
      </c>
      <c r="D3011" s="91" t="s">
        <v>693</v>
      </c>
      <c r="E3011" s="91" t="s">
        <v>6702</v>
      </c>
      <c r="F3011" s="91" t="s">
        <v>586</v>
      </c>
      <c r="G3011" s="91" t="s">
        <v>615</v>
      </c>
      <c r="H3011" s="93" t="s">
        <v>4</v>
      </c>
      <c r="I3011" s="92" t="s">
        <v>4333</v>
      </c>
      <c r="J3011" s="92" t="s">
        <v>2631</v>
      </c>
      <c r="K3011" s="67"/>
      <c r="L3011" s="67"/>
      <c r="M3011" s="67"/>
      <c r="N3011" s="67"/>
      <c r="O3011" s="67"/>
    </row>
    <row r="3012" spans="1:15" ht="15">
      <c r="A3012" s="92" t="s">
        <v>7</v>
      </c>
      <c r="B3012" s="92" t="s">
        <v>671</v>
      </c>
      <c r="C3012" s="92" t="str">
        <f ca="1">IFERROR(__xludf.DUMMYFUNCTION("filter('Back End'!C:C,'Back End'!A:A=A3012,'Back End'!B:B=B3012,'Back End'!D:D=D3012)"),"K.O.Agraharam")</f>
        <v>K.O.Agraharam</v>
      </c>
      <c r="D3012" s="91" t="s">
        <v>693</v>
      </c>
      <c r="E3012" s="91" t="s">
        <v>6703</v>
      </c>
      <c r="F3012" s="91" t="s">
        <v>586</v>
      </c>
      <c r="G3012" s="91" t="s">
        <v>615</v>
      </c>
      <c r="H3012" s="93" t="s">
        <v>4</v>
      </c>
      <c r="I3012" s="92" t="s">
        <v>3181</v>
      </c>
      <c r="J3012" s="92" t="s">
        <v>2631</v>
      </c>
      <c r="K3012" s="67"/>
      <c r="L3012" s="67"/>
      <c r="M3012" s="67"/>
      <c r="N3012" s="67"/>
      <c r="O3012" s="67"/>
    </row>
    <row r="3013" spans="1:15" ht="30">
      <c r="A3013" s="92" t="s">
        <v>7</v>
      </c>
      <c r="B3013" s="92" t="s">
        <v>671</v>
      </c>
      <c r="C3013" s="92" t="str">
        <f ca="1">IFERROR(__xludf.DUMMYFUNCTION("filter('Back End'!C:C,'Back End'!A:A=A3013,'Back End'!B:B=B3013,'Back End'!D:D=D3013)"),"K.Kottam")</f>
        <v>K.Kottam</v>
      </c>
      <c r="D3013" s="91" t="s">
        <v>690</v>
      </c>
      <c r="E3013" s="91" t="s">
        <v>6704</v>
      </c>
      <c r="F3013" s="91" t="s">
        <v>586</v>
      </c>
      <c r="G3013" s="91" t="s">
        <v>615</v>
      </c>
      <c r="H3013" s="93" t="s">
        <v>5</v>
      </c>
      <c r="I3013" s="92" t="s">
        <v>5535</v>
      </c>
      <c r="J3013" s="92">
        <v>9493327269</v>
      </c>
      <c r="K3013" s="67"/>
      <c r="L3013" s="67"/>
      <c r="M3013" s="67"/>
      <c r="N3013" s="67"/>
      <c r="O3013" s="67"/>
    </row>
    <row r="3014" spans="1:15" ht="15">
      <c r="A3014" s="91" t="s">
        <v>7</v>
      </c>
      <c r="B3014" s="92" t="s">
        <v>671</v>
      </c>
      <c r="C3014" s="92" t="str">
        <f ca="1">IFERROR(__xludf.DUMMYFUNCTION("filter('Back End'!C:C,'Back End'!A:A=A3014,'Back End'!B:B=B3014,'Back End'!D:D=D3014)"),"K.Kottam")</f>
        <v>K.Kottam</v>
      </c>
      <c r="D3014" s="91" t="s">
        <v>690</v>
      </c>
      <c r="E3014" s="91" t="s">
        <v>6705</v>
      </c>
      <c r="F3014" s="91" t="s">
        <v>1660</v>
      </c>
      <c r="G3014" s="91" t="s">
        <v>615</v>
      </c>
      <c r="H3014" s="93" t="s">
        <v>5</v>
      </c>
      <c r="I3014" s="92" t="s">
        <v>3185</v>
      </c>
      <c r="J3014" s="92">
        <v>9491622368</v>
      </c>
      <c r="K3014" s="67"/>
      <c r="L3014" s="91" t="s">
        <v>6706</v>
      </c>
      <c r="M3014" s="67"/>
      <c r="N3014" s="67"/>
      <c r="O3014" s="67"/>
    </row>
    <row r="3015" spans="1:15" ht="15">
      <c r="A3015" s="91" t="s">
        <v>7</v>
      </c>
      <c r="B3015" s="92" t="s">
        <v>671</v>
      </c>
      <c r="C3015" s="92" t="str">
        <f ca="1">IFERROR(__xludf.DUMMYFUNCTION("filter('Back End'!C:C,'Back End'!A:A=A3015,'Back End'!B:B=B3015,'Back End'!D:D=D3015)"),"P.Kottam")</f>
        <v>P.Kottam</v>
      </c>
      <c r="D3015" s="91" t="s">
        <v>700</v>
      </c>
      <c r="E3015" s="91" t="s">
        <v>6707</v>
      </c>
      <c r="F3015" s="91" t="s">
        <v>586</v>
      </c>
      <c r="G3015" s="91" t="s">
        <v>615</v>
      </c>
      <c r="H3015" s="93" t="s">
        <v>4</v>
      </c>
      <c r="I3015" s="92" t="s">
        <v>3767</v>
      </c>
      <c r="J3015" s="92">
        <v>7997661107</v>
      </c>
      <c r="K3015" s="67"/>
      <c r="L3015" s="67"/>
      <c r="M3015" s="67"/>
      <c r="N3015" s="67"/>
      <c r="O3015" s="67"/>
    </row>
    <row r="3016" spans="1:15" ht="30">
      <c r="A3016" s="91" t="s">
        <v>7</v>
      </c>
      <c r="B3016" s="92" t="s">
        <v>671</v>
      </c>
      <c r="C3016" s="92" t="str">
        <f ca="1">IFERROR(__xludf.DUMMYFUNCTION("filter('Back End'!C:C,'Back End'!A:A=A3016,'Back End'!B:B=B3016,'Back End'!D:D=D3016)"),"K.Kottam")</f>
        <v>K.Kottam</v>
      </c>
      <c r="D3016" s="91" t="s">
        <v>690</v>
      </c>
      <c r="E3016" s="91" t="s">
        <v>6708</v>
      </c>
      <c r="F3016" s="91" t="s">
        <v>114</v>
      </c>
      <c r="G3016" s="91" t="s">
        <v>85</v>
      </c>
      <c r="H3016" s="93" t="s">
        <v>4</v>
      </c>
      <c r="I3016" s="92" t="s">
        <v>6709</v>
      </c>
      <c r="J3016" s="92">
        <v>9542751142</v>
      </c>
      <c r="K3016" s="67"/>
      <c r="L3016" s="67"/>
      <c r="M3016" s="67"/>
      <c r="N3016" s="67"/>
      <c r="O3016" s="67"/>
    </row>
    <row r="3017" spans="1:15" ht="15">
      <c r="A3017" s="91" t="s">
        <v>7</v>
      </c>
      <c r="B3017" s="92" t="s">
        <v>671</v>
      </c>
      <c r="C3017" s="92" t="str">
        <f ca="1">IFERROR(__xludf.DUMMYFUNCTION("filter('Back End'!C:C,'Back End'!A:A=A3017,'Back End'!B:B=B3017,'Back End'!D:D=D3017)"),"K.Kottam")</f>
        <v>K.Kottam</v>
      </c>
      <c r="D3017" s="91" t="s">
        <v>690</v>
      </c>
      <c r="E3017" s="91" t="s">
        <v>6710</v>
      </c>
      <c r="F3017" s="91" t="s">
        <v>139</v>
      </c>
      <c r="G3017" s="91" t="s">
        <v>594</v>
      </c>
      <c r="H3017" s="93" t="s">
        <v>4</v>
      </c>
      <c r="I3017" s="92" t="s">
        <v>3125</v>
      </c>
      <c r="J3017" s="92">
        <v>7382656122</v>
      </c>
      <c r="K3017" s="67"/>
      <c r="L3017" s="67"/>
      <c r="M3017" s="67"/>
      <c r="N3017" s="67"/>
      <c r="O3017" s="67"/>
    </row>
    <row r="3018" spans="1:15" ht="30">
      <c r="A3018" s="91" t="s">
        <v>7</v>
      </c>
      <c r="B3018" s="92" t="s">
        <v>671</v>
      </c>
      <c r="C3018" s="92" t="str">
        <f ca="1">IFERROR(__xludf.DUMMYFUNCTION("filter('Back End'!C:C,'Back End'!A:A=A3018,'Back End'!B:B=B3018,'Back End'!D:D=D3018)"),"K.Kottam")</f>
        <v>K.Kottam</v>
      </c>
      <c r="D3018" s="91" t="s">
        <v>690</v>
      </c>
      <c r="E3018" s="91" t="s">
        <v>6711</v>
      </c>
      <c r="F3018" s="91" t="s">
        <v>1660</v>
      </c>
      <c r="G3018" s="91" t="s">
        <v>615</v>
      </c>
      <c r="H3018" s="93" t="s">
        <v>4</v>
      </c>
      <c r="I3018" s="92" t="s">
        <v>6709</v>
      </c>
      <c r="J3018" s="92">
        <v>9493419888</v>
      </c>
      <c r="K3018" s="67"/>
      <c r="L3018" s="67"/>
      <c r="M3018" s="67"/>
      <c r="N3018" s="67"/>
      <c r="O3018" s="67"/>
    </row>
    <row r="3019" spans="1:15" ht="15">
      <c r="A3019" s="91" t="s">
        <v>7</v>
      </c>
      <c r="B3019" s="92" t="s">
        <v>671</v>
      </c>
      <c r="C3019" s="92" t="str">
        <f ca="1">IFERROR(__xludf.DUMMYFUNCTION("filter('Back End'!C:C,'Back End'!A:A=A3019,'Back End'!B:B=B3019,'Back End'!D:D=D3019)"),"K.Kottam")</f>
        <v>K.Kottam</v>
      </c>
      <c r="D3019" s="91" t="s">
        <v>690</v>
      </c>
      <c r="E3019" s="91" t="s">
        <v>6712</v>
      </c>
      <c r="F3019" s="91" t="s">
        <v>1660</v>
      </c>
      <c r="G3019" s="91" t="s">
        <v>615</v>
      </c>
      <c r="H3019" s="93" t="s">
        <v>4</v>
      </c>
      <c r="I3019" s="92" t="s">
        <v>3490</v>
      </c>
      <c r="J3019" s="92">
        <v>9666375436</v>
      </c>
      <c r="K3019" s="67"/>
      <c r="L3019" s="67"/>
      <c r="M3019" s="67"/>
      <c r="N3019" s="67"/>
      <c r="O3019" s="67"/>
    </row>
    <row r="3020" spans="1:15" ht="30">
      <c r="A3020" s="92" t="s">
        <v>7</v>
      </c>
      <c r="B3020" s="92" t="s">
        <v>671</v>
      </c>
      <c r="C3020" s="92" t="str">
        <f ca="1">IFERROR(__xludf.DUMMYFUNCTION("filter('Back End'!C:C,'Back End'!A:A=A3020,'Back End'!B:B=B3020,'Back End'!D:D=D3020)"),"K.Kottam")</f>
        <v>K.Kottam</v>
      </c>
      <c r="D3020" s="91" t="s">
        <v>690</v>
      </c>
      <c r="E3020" s="91" t="s">
        <v>6713</v>
      </c>
      <c r="F3020" s="91" t="s">
        <v>586</v>
      </c>
      <c r="G3020" s="91" t="s">
        <v>615</v>
      </c>
      <c r="H3020" s="93" t="s">
        <v>4</v>
      </c>
      <c r="I3020" s="92" t="s">
        <v>3120</v>
      </c>
      <c r="J3020" s="92" t="s">
        <v>2631</v>
      </c>
      <c r="K3020" s="67"/>
      <c r="L3020" s="67"/>
      <c r="M3020" s="67"/>
      <c r="N3020" s="67"/>
      <c r="O3020" s="67"/>
    </row>
    <row r="3021" spans="1:15" ht="15">
      <c r="A3021" s="92" t="s">
        <v>10</v>
      </c>
      <c r="B3021" s="92" t="s">
        <v>10</v>
      </c>
      <c r="C3021" s="92" t="str">
        <f ca="1">IFERROR(__xludf.DUMMYFUNCTION("filter('Back End'!C:C,'Back End'!A:A=A3021,'Back End'!B:B=B3021,'Back End'!D:D=D3021)"),"B Prathipadu")</f>
        <v>B Prathipadu</v>
      </c>
      <c r="D3021" s="91" t="s">
        <v>489</v>
      </c>
      <c r="E3021" s="91" t="s">
        <v>6714</v>
      </c>
      <c r="F3021" s="91" t="s">
        <v>139</v>
      </c>
      <c r="G3021" s="91" t="s">
        <v>594</v>
      </c>
      <c r="H3021" s="93" t="s">
        <v>5</v>
      </c>
      <c r="I3021" s="92" t="s">
        <v>3379</v>
      </c>
      <c r="J3021" s="92">
        <v>9705555668</v>
      </c>
      <c r="K3021" s="67"/>
      <c r="L3021" s="67"/>
      <c r="M3021" s="67"/>
      <c r="N3021" s="67"/>
      <c r="O3021" s="67"/>
    </row>
    <row r="3022" spans="1:15" ht="30">
      <c r="A3022" s="92" t="s">
        <v>10</v>
      </c>
      <c r="B3022" s="92" t="s">
        <v>10</v>
      </c>
      <c r="C3022" s="92" t="str">
        <f ca="1">IFERROR(__xludf.DUMMYFUNCTION("filter('Back End'!C:C,'Back End'!A:A=A3022,'Back End'!B:B=B3022,'Back End'!D:D=D3022)"),"B Prathipadu")</f>
        <v>B Prathipadu</v>
      </c>
      <c r="D3022" s="91" t="s">
        <v>489</v>
      </c>
      <c r="E3022" s="91" t="s">
        <v>6715</v>
      </c>
      <c r="F3022" s="91" t="s">
        <v>139</v>
      </c>
      <c r="G3022" s="91" t="s">
        <v>594</v>
      </c>
      <c r="H3022" s="93" t="s">
        <v>5</v>
      </c>
      <c r="I3022" s="92" t="s">
        <v>3495</v>
      </c>
      <c r="J3022" s="92">
        <v>9827151348</v>
      </c>
      <c r="K3022" s="67"/>
      <c r="L3022" s="67"/>
      <c r="M3022" s="67"/>
      <c r="N3022" s="67"/>
      <c r="O3022" s="67"/>
    </row>
    <row r="3023" spans="1:15" ht="30">
      <c r="A3023" s="92" t="s">
        <v>10</v>
      </c>
      <c r="B3023" s="92" t="s">
        <v>10</v>
      </c>
      <c r="C3023" s="92" t="str">
        <f ca="1">IFERROR(__xludf.DUMMYFUNCTION("filter('Back End'!C:C,'Back End'!A:A=A3023,'Back End'!B:B=B3023,'Back End'!D:D=D3023)"),"B Prathipadu")</f>
        <v>B Prathipadu</v>
      </c>
      <c r="D3023" s="91" t="s">
        <v>489</v>
      </c>
      <c r="E3023" s="91" t="s">
        <v>6716</v>
      </c>
      <c r="F3023" s="91" t="s">
        <v>139</v>
      </c>
      <c r="G3023" s="91" t="s">
        <v>594</v>
      </c>
      <c r="H3023" s="93" t="s">
        <v>5</v>
      </c>
      <c r="I3023" s="92" t="s">
        <v>3605</v>
      </c>
      <c r="J3023" s="92">
        <v>9640345862</v>
      </c>
      <c r="K3023" s="67"/>
      <c r="L3023" s="67"/>
      <c r="M3023" s="67"/>
      <c r="N3023" s="67"/>
      <c r="O3023" s="67"/>
    </row>
    <row r="3024" spans="1:15" ht="15">
      <c r="A3024" s="91" t="s">
        <v>10</v>
      </c>
      <c r="B3024" s="91" t="s">
        <v>10</v>
      </c>
      <c r="C3024" s="92" t="str">
        <f ca="1">IFERROR(__xludf.DUMMYFUNCTION("filter('Back End'!C:C,'Back End'!A:A=A3024,'Back End'!B:B=B3024,'Back End'!D:D=D3024)"),"B Prathipadu")</f>
        <v>B Prathipadu</v>
      </c>
      <c r="D3024" s="91" t="s">
        <v>489</v>
      </c>
      <c r="E3024" s="91" t="s">
        <v>6717</v>
      </c>
      <c r="F3024" s="91" t="s">
        <v>139</v>
      </c>
      <c r="G3024" s="91" t="s">
        <v>594</v>
      </c>
      <c r="H3024" s="93" t="s">
        <v>5</v>
      </c>
      <c r="I3024" s="92" t="s">
        <v>2631</v>
      </c>
      <c r="J3024" s="92">
        <v>8179249990</v>
      </c>
      <c r="K3024" s="67"/>
      <c r="L3024" s="67"/>
      <c r="M3024" s="67"/>
      <c r="N3024" s="67"/>
      <c r="O3024" s="67"/>
    </row>
    <row r="3025" spans="1:15" ht="30">
      <c r="A3025" s="91" t="s">
        <v>10</v>
      </c>
      <c r="B3025" s="91" t="s">
        <v>10</v>
      </c>
      <c r="C3025" s="92" t="str">
        <f ca="1">IFERROR(__xludf.DUMMYFUNCTION("filter('Back End'!C:C,'Back End'!A:A=A3025,'Back End'!B:B=B3025,'Back End'!D:D=D3025)"),"B Prathipadu")</f>
        <v>B Prathipadu</v>
      </c>
      <c r="D3025" s="91" t="s">
        <v>489</v>
      </c>
      <c r="E3025" s="91" t="s">
        <v>6718</v>
      </c>
      <c r="F3025" s="91" t="s">
        <v>139</v>
      </c>
      <c r="G3025" s="91" t="s">
        <v>594</v>
      </c>
      <c r="H3025" s="93" t="s">
        <v>5</v>
      </c>
      <c r="I3025" s="92" t="s">
        <v>6719</v>
      </c>
      <c r="J3025" s="92">
        <v>9100038888</v>
      </c>
      <c r="K3025" s="67"/>
      <c r="L3025" s="67"/>
      <c r="M3025" s="67"/>
      <c r="N3025" s="67"/>
      <c r="O3025" s="67"/>
    </row>
    <row r="3026" spans="1:15" ht="30">
      <c r="A3026" s="91" t="s">
        <v>10</v>
      </c>
      <c r="B3026" s="91" t="s">
        <v>10</v>
      </c>
      <c r="C3026" s="92" t="str">
        <f ca="1">IFERROR(__xludf.DUMMYFUNCTION("filter('Back End'!C:C,'Back End'!A:A=A3026,'Back End'!B:B=B3026,'Back End'!D:D=D3026)"),"B Prathipadu")</f>
        <v>B Prathipadu</v>
      </c>
      <c r="D3026" s="91" t="s">
        <v>489</v>
      </c>
      <c r="E3026" s="91" t="s">
        <v>6720</v>
      </c>
      <c r="F3026" s="91" t="s">
        <v>139</v>
      </c>
      <c r="G3026" s="91" t="s">
        <v>594</v>
      </c>
      <c r="H3026" s="93" t="s">
        <v>5</v>
      </c>
      <c r="I3026" s="92" t="s">
        <v>3709</v>
      </c>
      <c r="J3026" s="92">
        <v>9848851928</v>
      </c>
      <c r="K3026" s="67"/>
      <c r="L3026" s="67"/>
      <c r="M3026" s="67"/>
      <c r="N3026" s="67"/>
      <c r="O3026" s="67"/>
    </row>
    <row r="3027" spans="1:15" ht="60">
      <c r="A3027" s="91" t="s">
        <v>10</v>
      </c>
      <c r="B3027" s="91" t="s">
        <v>10</v>
      </c>
      <c r="C3027" s="92" t="str">
        <f ca="1">IFERROR(__xludf.DUMMYFUNCTION("filter('Back End'!C:C,'Back End'!A:A=A3027,'Back End'!B:B=B3027,'Back End'!D:D=D3027)"),"B Prathipadu")</f>
        <v>B Prathipadu</v>
      </c>
      <c r="D3027" s="91" t="s">
        <v>489</v>
      </c>
      <c r="E3027" s="91" t="s">
        <v>6721</v>
      </c>
      <c r="F3027" s="91" t="s">
        <v>139</v>
      </c>
      <c r="G3027" s="91" t="s">
        <v>594</v>
      </c>
      <c r="H3027" s="93" t="s">
        <v>5</v>
      </c>
      <c r="I3027" s="92" t="s">
        <v>6722</v>
      </c>
      <c r="J3027" s="92">
        <v>9704515125</v>
      </c>
      <c r="K3027" s="67"/>
      <c r="L3027" s="67"/>
      <c r="M3027" s="67"/>
      <c r="N3027" s="67"/>
      <c r="O3027" s="67"/>
    </row>
    <row r="3028" spans="1:15" ht="75">
      <c r="A3028" s="91" t="s">
        <v>10</v>
      </c>
      <c r="B3028" s="91" t="s">
        <v>10</v>
      </c>
      <c r="C3028" s="92" t="str">
        <f ca="1">IFERROR(__xludf.DUMMYFUNCTION("filter('Back End'!C:C,'Back End'!A:A=A3028,'Back End'!B:B=B3028,'Back End'!D:D=D3028)"),"B Prathipadu")</f>
        <v>B Prathipadu</v>
      </c>
      <c r="D3028" s="91" t="s">
        <v>489</v>
      </c>
      <c r="E3028" s="91" t="s">
        <v>6723</v>
      </c>
      <c r="F3028" s="91" t="s">
        <v>139</v>
      </c>
      <c r="G3028" s="91" t="s">
        <v>594</v>
      </c>
      <c r="H3028" s="93" t="s">
        <v>4</v>
      </c>
      <c r="I3028" s="92" t="s">
        <v>6724</v>
      </c>
      <c r="J3028" s="92">
        <v>9491433566</v>
      </c>
      <c r="K3028" s="67"/>
      <c r="L3028" s="67"/>
      <c r="M3028" s="67"/>
      <c r="N3028" s="67"/>
      <c r="O3028" s="67"/>
    </row>
    <row r="3029" spans="1:15" ht="30">
      <c r="A3029" s="91" t="s">
        <v>10</v>
      </c>
      <c r="B3029" s="91" t="s">
        <v>10</v>
      </c>
      <c r="C3029" s="92" t="str">
        <f ca="1">IFERROR(__xludf.DUMMYFUNCTION("filter('Back End'!C:C,'Back End'!A:A=A3029,'Back End'!B:B=B3029,'Back End'!D:D=D3029)"),"B Prathipadu")</f>
        <v>B Prathipadu</v>
      </c>
      <c r="D3029" s="91" t="s">
        <v>489</v>
      </c>
      <c r="E3029" s="91" t="s">
        <v>6725</v>
      </c>
      <c r="F3029" s="91" t="s">
        <v>139</v>
      </c>
      <c r="G3029" s="91" t="s">
        <v>594</v>
      </c>
      <c r="H3029" s="93" t="s">
        <v>4</v>
      </c>
      <c r="I3029" s="92" t="s">
        <v>3634</v>
      </c>
      <c r="J3029" s="92">
        <v>9963604579</v>
      </c>
      <c r="K3029" s="67"/>
      <c r="L3029" s="67"/>
      <c r="M3029" s="67"/>
      <c r="N3029" s="67"/>
      <c r="O3029" s="67"/>
    </row>
    <row r="3030" spans="1:15" ht="15">
      <c r="A3030" s="91" t="s">
        <v>10</v>
      </c>
      <c r="B3030" s="91" t="s">
        <v>10</v>
      </c>
      <c r="C3030" s="92" t="str">
        <f ca="1">IFERROR(__xludf.DUMMYFUNCTION("filter('Back End'!C:C,'Back End'!A:A=A3030,'Back End'!B:B=B3030,'Back End'!D:D=D3030)"),"B Prathipadu")</f>
        <v>B Prathipadu</v>
      </c>
      <c r="D3030" s="91" t="s">
        <v>489</v>
      </c>
      <c r="E3030" s="91" t="s">
        <v>6726</v>
      </c>
      <c r="F3030" s="91" t="s">
        <v>139</v>
      </c>
      <c r="G3030" s="91" t="s">
        <v>594</v>
      </c>
      <c r="H3030" s="93" t="s">
        <v>4</v>
      </c>
      <c r="I3030" s="92" t="s">
        <v>3125</v>
      </c>
      <c r="J3030" s="92">
        <v>9951573355</v>
      </c>
      <c r="K3030" s="67"/>
      <c r="L3030" s="67"/>
      <c r="M3030" s="67"/>
      <c r="N3030" s="67"/>
      <c r="O3030" s="67"/>
    </row>
    <row r="3031" spans="1:15" ht="15">
      <c r="A3031" s="92" t="s">
        <v>10</v>
      </c>
      <c r="B3031" s="92" t="s">
        <v>10</v>
      </c>
      <c r="C3031" s="92" t="str">
        <f ca="1">IFERROR(__xludf.DUMMYFUNCTION("filter('Back End'!C:C,'Back End'!A:A=A3031,'Back End'!B:B=B3031,'Back End'!D:D=D3031)"),"B Prathipadu")</f>
        <v>B Prathipadu</v>
      </c>
      <c r="D3031" s="91" t="s">
        <v>489</v>
      </c>
      <c r="E3031" s="91" t="s">
        <v>6727</v>
      </c>
      <c r="F3031" s="91" t="s">
        <v>139</v>
      </c>
      <c r="G3031" s="91" t="s">
        <v>594</v>
      </c>
      <c r="H3031" s="93" t="s">
        <v>4</v>
      </c>
      <c r="I3031" s="92" t="s">
        <v>4069</v>
      </c>
      <c r="J3031" s="92">
        <v>9848576836</v>
      </c>
      <c r="K3031" s="67"/>
      <c r="L3031" s="67"/>
      <c r="M3031" s="67"/>
      <c r="N3031" s="67"/>
      <c r="O3031" s="67"/>
    </row>
    <row r="3032" spans="1:15" ht="30">
      <c r="A3032" s="91" t="s">
        <v>10</v>
      </c>
      <c r="B3032" s="91" t="s">
        <v>10</v>
      </c>
      <c r="C3032" s="92" t="str">
        <f ca="1">IFERROR(__xludf.DUMMYFUNCTION("filter('Back End'!C:C,'Back End'!A:A=A3032,'Back End'!B:B=B3032,'Back End'!D:D=D3032)"),"B Prathipadu")</f>
        <v>B Prathipadu</v>
      </c>
      <c r="D3032" s="91" t="s">
        <v>489</v>
      </c>
      <c r="E3032" s="91" t="s">
        <v>6728</v>
      </c>
      <c r="F3032" s="91" t="s">
        <v>139</v>
      </c>
      <c r="G3032" s="91" t="s">
        <v>594</v>
      </c>
      <c r="H3032" s="93" t="s">
        <v>4</v>
      </c>
      <c r="I3032" s="92" t="s">
        <v>3634</v>
      </c>
      <c r="J3032" s="92">
        <v>9848859885</v>
      </c>
      <c r="K3032" s="67"/>
      <c r="L3032" s="67"/>
      <c r="M3032" s="67"/>
      <c r="N3032" s="67"/>
      <c r="O3032" s="67"/>
    </row>
    <row r="3033" spans="1:15" ht="30">
      <c r="A3033" s="92" t="s">
        <v>10</v>
      </c>
      <c r="B3033" s="92" t="s">
        <v>10</v>
      </c>
      <c r="C3033" s="92" t="str">
        <f ca="1">IFERROR(__xludf.DUMMYFUNCTION("filter('Back End'!C:C,'Back End'!A:A=A3033,'Back End'!B:B=B3033,'Back End'!D:D=D3033)"),"B Prathipadu")</f>
        <v>B Prathipadu</v>
      </c>
      <c r="D3033" s="91" t="s">
        <v>489</v>
      </c>
      <c r="E3033" s="91" t="s">
        <v>6729</v>
      </c>
      <c r="F3033" s="91" t="s">
        <v>139</v>
      </c>
      <c r="G3033" s="91" t="s">
        <v>594</v>
      </c>
      <c r="H3033" s="93" t="s">
        <v>4</v>
      </c>
      <c r="I3033" s="92" t="s">
        <v>6730</v>
      </c>
      <c r="J3033" s="92">
        <v>9849752856</v>
      </c>
      <c r="K3033" s="67"/>
      <c r="L3033" s="67"/>
      <c r="M3033" s="67"/>
      <c r="N3033" s="67"/>
      <c r="O3033" s="67"/>
    </row>
    <row r="3034" spans="1:15" ht="30">
      <c r="A3034" s="91" t="s">
        <v>8</v>
      </c>
      <c r="B3034" s="92" t="s">
        <v>587</v>
      </c>
      <c r="C3034" s="92" t="str">
        <f ca="1">IFERROR(__xludf.DUMMYFUNCTION("filter('Back End'!C:C,'Back End'!A:A=A3034,'Back End'!B:B=B3034,'Back End'!D:D=D3034)"),"Mulagapudi")</f>
        <v>Mulagapudi</v>
      </c>
      <c r="D3034" s="91" t="s">
        <v>612</v>
      </c>
      <c r="E3034" s="91" t="s">
        <v>6731</v>
      </c>
      <c r="F3034" s="91" t="s">
        <v>586</v>
      </c>
      <c r="G3034" s="91" t="s">
        <v>615</v>
      </c>
      <c r="H3034" s="93" t="s">
        <v>5</v>
      </c>
      <c r="I3034" s="92" t="s">
        <v>6732</v>
      </c>
      <c r="J3034" s="92">
        <v>8096644290</v>
      </c>
      <c r="K3034" s="67"/>
      <c r="L3034" s="67"/>
      <c r="M3034" s="67"/>
      <c r="N3034" s="67"/>
      <c r="O3034" s="67"/>
    </row>
    <row r="3035" spans="1:15" ht="30">
      <c r="A3035" s="91" t="s">
        <v>8</v>
      </c>
      <c r="B3035" s="92" t="s">
        <v>587</v>
      </c>
      <c r="C3035" s="92" t="str">
        <f ca="1">IFERROR(__xludf.DUMMYFUNCTION("filter('Back End'!C:C,'Back End'!A:A=A3035,'Back End'!B:B=B3035,'Back End'!D:D=D3035)"),"Mulagapudi")</f>
        <v>Mulagapudi</v>
      </c>
      <c r="D3035" s="91" t="s">
        <v>612</v>
      </c>
      <c r="E3035" s="91" t="s">
        <v>6733</v>
      </c>
      <c r="F3035" s="91" t="s">
        <v>114</v>
      </c>
      <c r="G3035" s="91" t="s">
        <v>85</v>
      </c>
      <c r="H3035" s="93" t="s">
        <v>5</v>
      </c>
      <c r="I3035" s="92" t="s">
        <v>3634</v>
      </c>
      <c r="J3035" s="92">
        <v>8790536414</v>
      </c>
      <c r="K3035" s="67"/>
      <c r="L3035" s="67"/>
      <c r="M3035" s="67"/>
      <c r="N3035" s="67"/>
      <c r="O3035" s="67"/>
    </row>
    <row r="3036" spans="1:15" ht="15">
      <c r="A3036" s="91" t="s">
        <v>8</v>
      </c>
      <c r="B3036" s="92" t="s">
        <v>587</v>
      </c>
      <c r="C3036" s="92" t="str">
        <f ca="1">IFERROR(__xludf.DUMMYFUNCTION("filter('Back End'!C:C,'Back End'!A:A=A3036,'Back End'!B:B=B3036,'Back End'!D:D=D3036)"),"Mulagapudi")</f>
        <v>Mulagapudi</v>
      </c>
      <c r="D3036" s="91" t="s">
        <v>612</v>
      </c>
      <c r="E3036" s="91" t="s">
        <v>6734</v>
      </c>
      <c r="F3036" s="91" t="s">
        <v>586</v>
      </c>
      <c r="G3036" s="91" t="s">
        <v>85</v>
      </c>
      <c r="H3036" s="93" t="s">
        <v>4</v>
      </c>
      <c r="I3036" s="92" t="s">
        <v>3112</v>
      </c>
      <c r="J3036" s="92">
        <v>9550260021</v>
      </c>
      <c r="K3036" s="67"/>
      <c r="L3036" s="67"/>
      <c r="M3036" s="67"/>
      <c r="N3036" s="67"/>
      <c r="O3036" s="67"/>
    </row>
    <row r="3037" spans="1:15" ht="15">
      <c r="A3037" s="91" t="s">
        <v>8</v>
      </c>
      <c r="B3037" s="92" t="s">
        <v>587</v>
      </c>
      <c r="C3037" s="92" t="str">
        <f ca="1">IFERROR(__xludf.DUMMYFUNCTION("filter('Back End'!C:C,'Back End'!A:A=A3037,'Back End'!B:B=B3037,'Back End'!D:D=D3037)"),"Mulagapudi")</f>
        <v>Mulagapudi</v>
      </c>
      <c r="D3037" s="91" t="s">
        <v>612</v>
      </c>
      <c r="E3037" s="91" t="s">
        <v>6735</v>
      </c>
      <c r="F3037" s="91" t="s">
        <v>586</v>
      </c>
      <c r="G3037" s="91" t="s">
        <v>615</v>
      </c>
      <c r="H3037" s="93" t="s">
        <v>4</v>
      </c>
      <c r="I3037" s="92" t="s">
        <v>3185</v>
      </c>
      <c r="J3037" s="92">
        <v>8367676666</v>
      </c>
      <c r="K3037" s="67"/>
      <c r="L3037" s="67"/>
      <c r="M3037" s="67"/>
      <c r="N3037" s="67"/>
      <c r="O3037" s="67"/>
    </row>
    <row r="3038" spans="1:15" ht="30">
      <c r="A3038" s="92" t="s">
        <v>8</v>
      </c>
      <c r="B3038" s="92" t="s">
        <v>587</v>
      </c>
      <c r="C3038" s="92" t="str">
        <f ca="1">IFERROR(__xludf.DUMMYFUNCTION("filter('Back End'!C:C,'Back End'!A:A=A3038,'Back End'!B:B=B3038,'Back End'!D:D=D3038)"),"Mulagapudi")</f>
        <v>Mulagapudi</v>
      </c>
      <c r="D3038" s="91" t="s">
        <v>612</v>
      </c>
      <c r="E3038" s="91" t="s">
        <v>6736</v>
      </c>
      <c r="F3038" s="91" t="s">
        <v>586</v>
      </c>
      <c r="G3038" s="91" t="s">
        <v>615</v>
      </c>
      <c r="H3038" s="93" t="s">
        <v>5</v>
      </c>
      <c r="I3038" s="92" t="s">
        <v>6737</v>
      </c>
      <c r="J3038" s="92">
        <v>8367676666</v>
      </c>
      <c r="K3038" s="67"/>
      <c r="L3038" s="67"/>
      <c r="M3038" s="67"/>
      <c r="N3038" s="67"/>
      <c r="O3038" s="67"/>
    </row>
    <row r="3039" spans="1:15" ht="90">
      <c r="A3039" s="92" t="s">
        <v>8</v>
      </c>
      <c r="B3039" s="92" t="s">
        <v>587</v>
      </c>
      <c r="C3039" s="92" t="str">
        <f ca="1">IFERROR(__xludf.DUMMYFUNCTION("filter('Back End'!C:C,'Back End'!A:A=A3039,'Back End'!B:B=B3039,'Back End'!D:D=D3039)"),"Mulagapudi")</f>
        <v>Mulagapudi</v>
      </c>
      <c r="D3039" s="91" t="s">
        <v>612</v>
      </c>
      <c r="E3039" s="92" t="s">
        <v>6738</v>
      </c>
      <c r="F3039" s="91" t="s">
        <v>586</v>
      </c>
      <c r="G3039" s="91" t="s">
        <v>615</v>
      </c>
      <c r="H3039" s="93" t="s">
        <v>5</v>
      </c>
      <c r="I3039" s="92" t="s">
        <v>6739</v>
      </c>
      <c r="J3039" s="92">
        <v>8184818600</v>
      </c>
      <c r="K3039" s="67"/>
      <c r="L3039" s="67"/>
      <c r="M3039" s="67"/>
      <c r="N3039" s="67"/>
      <c r="O3039" s="67"/>
    </row>
    <row r="3040" spans="1:15" ht="30">
      <c r="A3040" s="92" t="s">
        <v>8</v>
      </c>
      <c r="B3040" s="92" t="s">
        <v>587</v>
      </c>
      <c r="C3040" s="92" t="str">
        <f ca="1">IFERROR(__xludf.DUMMYFUNCTION("filter('Back End'!C:C,'Back End'!A:A=A3040,'Back End'!B:B=B3040,'Back End'!D:D=D3040)"),"Mulagapudi")</f>
        <v>Mulagapudi</v>
      </c>
      <c r="D3040" s="91" t="s">
        <v>612</v>
      </c>
      <c r="E3040" s="91" t="s">
        <v>6740</v>
      </c>
      <c r="F3040" s="91" t="s">
        <v>586</v>
      </c>
      <c r="G3040" s="91" t="s">
        <v>615</v>
      </c>
      <c r="H3040" s="93" t="s">
        <v>4</v>
      </c>
      <c r="I3040" s="92" t="s">
        <v>3205</v>
      </c>
      <c r="J3040" s="92">
        <v>9849495267</v>
      </c>
      <c r="K3040" s="67"/>
      <c r="L3040" s="67"/>
      <c r="M3040" s="67"/>
      <c r="N3040" s="67"/>
      <c r="O3040" s="67"/>
    </row>
    <row r="3041" spans="1:15" ht="15">
      <c r="A3041" s="92" t="s">
        <v>8</v>
      </c>
      <c r="B3041" s="92" t="s">
        <v>587</v>
      </c>
      <c r="C3041" s="92" t="str">
        <f ca="1">IFERROR(__xludf.DUMMYFUNCTION("filter('Back End'!C:C,'Back End'!A:A=A3041,'Back End'!B:B=B3041,'Back End'!D:D=D3041)"),"Mulagapudi")</f>
        <v>Mulagapudi</v>
      </c>
      <c r="D3041" s="91" t="s">
        <v>612</v>
      </c>
      <c r="E3041" s="91" t="s">
        <v>6741</v>
      </c>
      <c r="F3041" s="91" t="s">
        <v>586</v>
      </c>
      <c r="G3041" s="91" t="s">
        <v>615</v>
      </c>
      <c r="H3041" s="93" t="s">
        <v>4</v>
      </c>
      <c r="I3041" s="92" t="s">
        <v>6742</v>
      </c>
      <c r="J3041" s="92">
        <v>7729912524</v>
      </c>
      <c r="K3041" s="67"/>
      <c r="L3041" s="67"/>
      <c r="M3041" s="67"/>
      <c r="N3041" s="67"/>
      <c r="O3041" s="67"/>
    </row>
    <row r="3042" spans="1:15" ht="30">
      <c r="A3042" s="92" t="s">
        <v>8</v>
      </c>
      <c r="B3042" s="92" t="s">
        <v>587</v>
      </c>
      <c r="C3042" s="92" t="str">
        <f ca="1">IFERROR(__xludf.DUMMYFUNCTION("filter('Back End'!C:C,'Back End'!A:A=A3042,'Back End'!B:B=B3042,'Back End'!D:D=D3042)"),"Mulagapudi")</f>
        <v>Mulagapudi</v>
      </c>
      <c r="D3042" s="91" t="s">
        <v>612</v>
      </c>
      <c r="E3042" s="91" t="s">
        <v>6743</v>
      </c>
      <c r="F3042" s="91" t="s">
        <v>114</v>
      </c>
      <c r="G3042" s="91" t="s">
        <v>85</v>
      </c>
      <c r="H3042" s="93" t="s">
        <v>4</v>
      </c>
      <c r="I3042" s="92" t="s">
        <v>6744</v>
      </c>
      <c r="J3042" s="92">
        <v>9512182167</v>
      </c>
      <c r="K3042" s="67"/>
      <c r="L3042" s="67"/>
      <c r="M3042" s="67"/>
      <c r="N3042" s="67"/>
      <c r="O3042" s="67"/>
    </row>
    <row r="3043" spans="1:15" ht="15">
      <c r="A3043" s="92" t="s">
        <v>8</v>
      </c>
      <c r="B3043" s="92" t="s">
        <v>587</v>
      </c>
      <c r="C3043" s="92" t="str">
        <f ca="1">IFERROR(__xludf.DUMMYFUNCTION("filter('Back End'!C:C,'Back End'!A:A=A3043,'Back End'!B:B=B3043,'Back End'!D:D=D3043)"),"Mulagapudi")</f>
        <v>Mulagapudi</v>
      </c>
      <c r="D3043" s="91" t="s">
        <v>612</v>
      </c>
      <c r="E3043" s="91" t="s">
        <v>6745</v>
      </c>
      <c r="F3043" s="91" t="s">
        <v>586</v>
      </c>
      <c r="G3043" s="91" t="s">
        <v>615</v>
      </c>
      <c r="H3043" s="93" t="s">
        <v>4</v>
      </c>
      <c r="I3043" s="92" t="s">
        <v>3185</v>
      </c>
      <c r="J3043" s="92">
        <v>9553970797</v>
      </c>
      <c r="K3043" s="67"/>
      <c r="L3043" s="67"/>
      <c r="M3043" s="67"/>
      <c r="N3043" s="67"/>
      <c r="O3043" s="67"/>
    </row>
    <row r="3044" spans="1:15" ht="15">
      <c r="A3044" s="91" t="s">
        <v>8</v>
      </c>
      <c r="B3044" s="92" t="s">
        <v>587</v>
      </c>
      <c r="C3044" s="92" t="str">
        <f ca="1">IFERROR(__xludf.DUMMYFUNCTION("filter('Back End'!C:C,'Back End'!A:A=A3044,'Back End'!B:B=B3044,'Back End'!D:D=D3044)"),"Mulagapudi")</f>
        <v>Mulagapudi</v>
      </c>
      <c r="D3044" s="91" t="s">
        <v>612</v>
      </c>
      <c r="E3044" s="91" t="s">
        <v>6746</v>
      </c>
      <c r="F3044" s="91" t="s">
        <v>586</v>
      </c>
      <c r="G3044" s="91" t="s">
        <v>615</v>
      </c>
      <c r="H3044" s="93" t="s">
        <v>4</v>
      </c>
      <c r="I3044" s="92" t="s">
        <v>3181</v>
      </c>
      <c r="J3044" s="92">
        <v>9666447033</v>
      </c>
      <c r="K3044" s="67"/>
      <c r="L3044" s="67"/>
      <c r="M3044" s="67"/>
      <c r="N3044" s="67"/>
      <c r="O3044" s="67"/>
    </row>
    <row r="3045" spans="1:15" ht="15">
      <c r="A3045" s="91" t="s">
        <v>8</v>
      </c>
      <c r="B3045" s="92" t="s">
        <v>587</v>
      </c>
      <c r="C3045" s="92" t="str">
        <f ca="1">IFERROR(__xludf.DUMMYFUNCTION("filter('Back End'!C:C,'Back End'!A:A=A3045,'Back End'!B:B=B3045,'Back End'!D:D=D3045)"),"Mulagapudi")</f>
        <v>Mulagapudi</v>
      </c>
      <c r="D3045" s="91" t="s">
        <v>612</v>
      </c>
      <c r="E3045" s="91" t="s">
        <v>6747</v>
      </c>
      <c r="F3045" s="91" t="s">
        <v>586</v>
      </c>
      <c r="G3045" s="91" t="s">
        <v>615</v>
      </c>
      <c r="H3045" s="93" t="s">
        <v>4</v>
      </c>
      <c r="I3045" s="92" t="s">
        <v>3112</v>
      </c>
      <c r="J3045" s="92">
        <v>9010132667</v>
      </c>
      <c r="K3045" s="67"/>
      <c r="L3045" s="67"/>
      <c r="M3045" s="67"/>
      <c r="N3045" s="67"/>
      <c r="O3045" s="67"/>
    </row>
    <row r="3046" spans="1:15" ht="15">
      <c r="A3046" s="91" t="s">
        <v>8</v>
      </c>
      <c r="B3046" s="92" t="s">
        <v>587</v>
      </c>
      <c r="C3046" s="92" t="str">
        <f ca="1">IFERROR(__xludf.DUMMYFUNCTION("filter('Back End'!C:C,'Back End'!A:A=A3046,'Back End'!B:B=B3046,'Back End'!D:D=D3046)"),"Mulagapudi")</f>
        <v>Mulagapudi</v>
      </c>
      <c r="D3046" s="91" t="s">
        <v>612</v>
      </c>
      <c r="E3046" s="91" t="s">
        <v>6748</v>
      </c>
      <c r="F3046" s="91" t="s">
        <v>586</v>
      </c>
      <c r="G3046" s="91" t="s">
        <v>615</v>
      </c>
      <c r="H3046" s="93" t="s">
        <v>4</v>
      </c>
      <c r="I3046" s="92" t="s">
        <v>3125</v>
      </c>
      <c r="J3046" s="92">
        <v>9505353733</v>
      </c>
      <c r="K3046" s="67"/>
      <c r="L3046" s="67"/>
      <c r="M3046" s="67"/>
      <c r="N3046" s="67"/>
      <c r="O3046" s="67"/>
    </row>
    <row r="3047" spans="1:15" ht="15">
      <c r="A3047" s="91" t="s">
        <v>8</v>
      </c>
      <c r="B3047" s="92" t="s">
        <v>587</v>
      </c>
      <c r="C3047" s="92" t="str">
        <f ca="1">IFERROR(__xludf.DUMMYFUNCTION("filter('Back End'!C:C,'Back End'!A:A=A3047,'Back End'!B:B=B3047,'Back End'!D:D=D3047)"),"Mulagapudi")</f>
        <v>Mulagapudi</v>
      </c>
      <c r="D3047" s="91" t="s">
        <v>612</v>
      </c>
      <c r="E3047" s="91" t="s">
        <v>6749</v>
      </c>
      <c r="F3047" s="91" t="s">
        <v>586</v>
      </c>
      <c r="G3047" s="91" t="s">
        <v>615</v>
      </c>
      <c r="H3047" s="93" t="s">
        <v>4</v>
      </c>
      <c r="I3047" s="92" t="s">
        <v>3112</v>
      </c>
      <c r="J3047" s="92">
        <v>7729912524</v>
      </c>
      <c r="K3047" s="67"/>
      <c r="L3047" s="67"/>
      <c r="M3047" s="67"/>
      <c r="N3047" s="67"/>
      <c r="O3047" s="67"/>
    </row>
    <row r="3048" spans="1:15" ht="75">
      <c r="A3048" s="109" t="s">
        <v>8</v>
      </c>
      <c r="B3048" s="109" t="s">
        <v>587</v>
      </c>
      <c r="C3048" s="92" t="str">
        <f ca="1">IFERROR(__xludf.DUMMYFUNCTION("filter('Back End'!C:C,'Back End'!A:A=A3048,'Back End'!B:B=B3048,'Back End'!D:D=D3048)"),"Rajavaram")</f>
        <v>Rajavaram</v>
      </c>
      <c r="D3048" s="91" t="s">
        <v>623</v>
      </c>
      <c r="E3048" s="92" t="s">
        <v>6750</v>
      </c>
      <c r="F3048" s="91" t="s">
        <v>139</v>
      </c>
      <c r="G3048" s="91" t="s">
        <v>594</v>
      </c>
      <c r="H3048" s="93" t="s">
        <v>5</v>
      </c>
      <c r="I3048" s="92" t="s">
        <v>3185</v>
      </c>
      <c r="J3048" s="92">
        <v>9951762464</v>
      </c>
      <c r="K3048" s="67"/>
      <c r="L3048" s="67"/>
      <c r="M3048" s="67"/>
      <c r="N3048" s="67"/>
      <c r="O3048" s="67"/>
    </row>
    <row r="3049" spans="1:15" ht="30">
      <c r="A3049" s="109" t="s">
        <v>8</v>
      </c>
      <c r="B3049" s="109" t="s">
        <v>587</v>
      </c>
      <c r="C3049" s="92" t="str">
        <f ca="1">IFERROR(__xludf.DUMMYFUNCTION("filter('Back End'!C:C,'Back End'!A:A=A3049,'Back End'!B:B=B3049,'Back End'!D:D=D3049)"),"Rajavaram")</f>
        <v>Rajavaram</v>
      </c>
      <c r="D3049" s="91" t="s">
        <v>623</v>
      </c>
      <c r="E3049" s="91" t="s">
        <v>6751</v>
      </c>
      <c r="F3049" s="91" t="s">
        <v>586</v>
      </c>
      <c r="G3049" s="91" t="s">
        <v>615</v>
      </c>
      <c r="H3049" s="93" t="s">
        <v>5</v>
      </c>
      <c r="I3049" s="92" t="s">
        <v>3212</v>
      </c>
      <c r="J3049" s="92">
        <v>9908873784</v>
      </c>
      <c r="K3049" s="67"/>
      <c r="L3049" s="67"/>
      <c r="M3049" s="67"/>
      <c r="N3049" s="67"/>
      <c r="O3049" s="67"/>
    </row>
    <row r="3050" spans="1:15" ht="30">
      <c r="A3050" s="109" t="s">
        <v>8</v>
      </c>
      <c r="B3050" s="109" t="s">
        <v>587</v>
      </c>
      <c r="C3050" s="92" t="str">
        <f ca="1">IFERROR(__xludf.DUMMYFUNCTION("filter('Back End'!C:C,'Back End'!A:A=A3050,'Back End'!B:B=B3050,'Back End'!D:D=D3050)"),"Rajavaram")</f>
        <v>Rajavaram</v>
      </c>
      <c r="D3050" s="91" t="s">
        <v>623</v>
      </c>
      <c r="E3050" s="91" t="s">
        <v>6752</v>
      </c>
      <c r="F3050" s="91" t="s">
        <v>1680</v>
      </c>
      <c r="G3050" s="91" t="s">
        <v>615</v>
      </c>
      <c r="H3050" s="93" t="s">
        <v>5</v>
      </c>
      <c r="I3050" s="92" t="s">
        <v>3212</v>
      </c>
      <c r="J3050" s="92">
        <v>7032745759</v>
      </c>
      <c r="K3050" s="67"/>
      <c r="L3050" s="67"/>
      <c r="M3050" s="67"/>
      <c r="N3050" s="67"/>
      <c r="O3050" s="67"/>
    </row>
    <row r="3051" spans="1:15" ht="30">
      <c r="A3051" s="91" t="s">
        <v>8</v>
      </c>
      <c r="B3051" s="109" t="s">
        <v>587</v>
      </c>
      <c r="C3051" s="92" t="str">
        <f ca="1">IFERROR(__xludf.DUMMYFUNCTION("filter('Back End'!C:C,'Back End'!A:A=A3051,'Back End'!B:B=B3051,'Back End'!D:D=D3051)"),"Rajavaram")</f>
        <v>Rajavaram</v>
      </c>
      <c r="D3051" s="91" t="s">
        <v>623</v>
      </c>
      <c r="E3051" s="91" t="s">
        <v>6753</v>
      </c>
      <c r="F3051" s="91" t="s">
        <v>586</v>
      </c>
      <c r="G3051" s="91" t="s">
        <v>615</v>
      </c>
      <c r="H3051" s="93" t="s">
        <v>5</v>
      </c>
      <c r="I3051" s="92" t="s">
        <v>4056</v>
      </c>
      <c r="J3051" s="92">
        <v>9000636001</v>
      </c>
      <c r="K3051" s="67"/>
      <c r="L3051" s="67"/>
      <c r="M3051" s="67"/>
      <c r="N3051" s="67"/>
      <c r="O3051" s="67"/>
    </row>
    <row r="3052" spans="1:15" ht="15">
      <c r="A3052" s="91" t="s">
        <v>8</v>
      </c>
      <c r="B3052" s="109" t="s">
        <v>587</v>
      </c>
      <c r="C3052" s="92" t="str">
        <f ca="1">IFERROR(__xludf.DUMMYFUNCTION("filter('Back End'!C:C,'Back End'!A:A=A3052,'Back End'!B:B=B3052,'Back End'!D:D=D3052)"),"Rajavaram")</f>
        <v>Rajavaram</v>
      </c>
      <c r="D3052" s="91" t="s">
        <v>623</v>
      </c>
      <c r="E3052" s="91" t="s">
        <v>6754</v>
      </c>
      <c r="F3052" s="91" t="s">
        <v>1639</v>
      </c>
      <c r="G3052" s="91" t="s">
        <v>615</v>
      </c>
      <c r="H3052" s="93" t="s">
        <v>4</v>
      </c>
      <c r="I3052" s="92" t="s">
        <v>3112</v>
      </c>
      <c r="J3052" s="92">
        <v>9951558175</v>
      </c>
      <c r="K3052" s="67"/>
      <c r="L3052" s="67"/>
      <c r="M3052" s="67"/>
      <c r="N3052" s="67"/>
      <c r="O3052" s="67"/>
    </row>
    <row r="3053" spans="1:15" ht="15">
      <c r="A3053" s="91" t="s">
        <v>8</v>
      </c>
      <c r="B3053" s="109" t="s">
        <v>587</v>
      </c>
      <c r="C3053" s="92" t="str">
        <f ca="1">IFERROR(__xludf.DUMMYFUNCTION("filter('Back End'!C:C,'Back End'!A:A=A3053,'Back End'!B:B=B3053,'Back End'!D:D=D3053)"),"Rajavaram")</f>
        <v>Rajavaram</v>
      </c>
      <c r="D3053" s="91" t="s">
        <v>623</v>
      </c>
      <c r="E3053" s="91" t="s">
        <v>6755</v>
      </c>
      <c r="F3053" s="91" t="s">
        <v>1669</v>
      </c>
      <c r="G3053" s="91" t="s">
        <v>615</v>
      </c>
      <c r="H3053" s="93" t="s">
        <v>4</v>
      </c>
      <c r="I3053" s="92" t="s">
        <v>3125</v>
      </c>
      <c r="J3053" s="92">
        <v>9553133333</v>
      </c>
      <c r="K3053" s="67"/>
      <c r="L3053" s="67"/>
      <c r="M3053" s="67"/>
      <c r="N3053" s="67"/>
      <c r="O3053" s="67"/>
    </row>
    <row r="3054" spans="1:15" ht="45">
      <c r="A3054" s="109" t="s">
        <v>8</v>
      </c>
      <c r="B3054" s="109" t="s">
        <v>587</v>
      </c>
      <c r="C3054" s="92" t="str">
        <f ca="1">IFERROR(__xludf.DUMMYFUNCTION("filter('Back End'!C:C,'Back End'!A:A=A3054,'Back End'!B:B=B3054,'Back End'!D:D=D3054)"),"Rajavaram")</f>
        <v>Rajavaram</v>
      </c>
      <c r="D3054" s="91" t="s">
        <v>623</v>
      </c>
      <c r="E3054" s="91" t="s">
        <v>6756</v>
      </c>
      <c r="F3054" s="91" t="s">
        <v>1669</v>
      </c>
      <c r="G3054" s="91" t="s">
        <v>615</v>
      </c>
      <c r="H3054" s="93" t="s">
        <v>4</v>
      </c>
      <c r="I3054" s="92" t="s">
        <v>3832</v>
      </c>
      <c r="J3054" s="92">
        <v>6302229669</v>
      </c>
      <c r="K3054" s="67"/>
      <c r="L3054" s="67"/>
      <c r="M3054" s="67"/>
      <c r="N3054" s="67"/>
      <c r="O3054" s="67"/>
    </row>
    <row r="3055" spans="1:15" ht="30">
      <c r="A3055" s="109" t="s">
        <v>8</v>
      </c>
      <c r="B3055" s="109" t="s">
        <v>587</v>
      </c>
      <c r="C3055" s="92" t="str">
        <f ca="1">IFERROR(__xludf.DUMMYFUNCTION("filter('Back End'!C:C,'Back End'!A:A=A3055,'Back End'!B:B=B3055,'Back End'!D:D=D3055)"),"Rajavaram")</f>
        <v>Rajavaram</v>
      </c>
      <c r="D3055" s="91" t="s">
        <v>623</v>
      </c>
      <c r="E3055" s="91" t="s">
        <v>6757</v>
      </c>
      <c r="F3055" s="91" t="s">
        <v>1669</v>
      </c>
      <c r="G3055" s="91" t="s">
        <v>615</v>
      </c>
      <c r="H3055" s="93" t="s">
        <v>4</v>
      </c>
      <c r="I3055" s="92" t="s">
        <v>3194</v>
      </c>
      <c r="J3055" s="92">
        <v>8179630717</v>
      </c>
      <c r="K3055" s="67"/>
      <c r="L3055" s="67"/>
      <c r="M3055" s="67"/>
      <c r="N3055" s="67"/>
      <c r="O3055" s="67"/>
    </row>
    <row r="3056" spans="1:15" ht="30">
      <c r="A3056" s="109" t="s">
        <v>8</v>
      </c>
      <c r="B3056" s="109" t="s">
        <v>587</v>
      </c>
      <c r="C3056" s="92" t="str">
        <f ca="1">IFERROR(__xludf.DUMMYFUNCTION("filter('Back End'!C:C,'Back End'!A:A=A3056,'Back End'!B:B=B3056,'Back End'!D:D=D3056)"),"Rajavaram")</f>
        <v>Rajavaram</v>
      </c>
      <c r="D3056" s="91" t="s">
        <v>623</v>
      </c>
      <c r="E3056" s="91" t="s">
        <v>6758</v>
      </c>
      <c r="F3056" s="91" t="s">
        <v>165</v>
      </c>
      <c r="G3056" s="91" t="s">
        <v>615</v>
      </c>
      <c r="H3056" s="93" t="s">
        <v>4</v>
      </c>
      <c r="I3056" s="92" t="s">
        <v>3194</v>
      </c>
      <c r="J3056" s="92">
        <v>9912642556</v>
      </c>
      <c r="K3056" s="67"/>
      <c r="L3056" s="67"/>
      <c r="M3056" s="67"/>
      <c r="N3056" s="67"/>
      <c r="O3056" s="67"/>
    </row>
    <row r="3057" spans="1:15" ht="15">
      <c r="A3057" s="91" t="s">
        <v>8</v>
      </c>
      <c r="B3057" s="109" t="s">
        <v>587</v>
      </c>
      <c r="C3057" s="92" t="str">
        <f ca="1">IFERROR(__xludf.DUMMYFUNCTION("filter('Back End'!C:C,'Back End'!A:A=A3057,'Back End'!B:B=B3057,'Back End'!D:D=D3057)"),"Rajavaram")</f>
        <v>Rajavaram</v>
      </c>
      <c r="D3057" s="91" t="s">
        <v>623</v>
      </c>
      <c r="E3057" s="91" t="s">
        <v>6759</v>
      </c>
      <c r="F3057" s="91" t="s">
        <v>586</v>
      </c>
      <c r="G3057" s="91" t="s">
        <v>615</v>
      </c>
      <c r="H3057" s="93" t="s">
        <v>4</v>
      </c>
      <c r="I3057" s="92" t="s">
        <v>3112</v>
      </c>
      <c r="J3057" s="92">
        <v>9849946465</v>
      </c>
      <c r="K3057" s="67"/>
      <c r="L3057" s="67"/>
      <c r="M3057" s="67"/>
      <c r="N3057" s="67"/>
      <c r="O3057" s="67"/>
    </row>
    <row r="3058" spans="1:15" ht="75">
      <c r="A3058" s="91" t="s">
        <v>8</v>
      </c>
      <c r="B3058" s="109" t="s">
        <v>587</v>
      </c>
      <c r="C3058" s="92" t="str">
        <f ca="1">IFERROR(__xludf.DUMMYFUNCTION("filter('Back End'!C:C,'Back End'!A:A=A3058,'Back End'!B:B=B3058,'Back End'!D:D=D3058)"),"Rajavaram")</f>
        <v>Rajavaram</v>
      </c>
      <c r="D3058" s="91" t="s">
        <v>623</v>
      </c>
      <c r="E3058" s="91" t="s">
        <v>6760</v>
      </c>
      <c r="F3058" s="91" t="s">
        <v>586</v>
      </c>
      <c r="G3058" s="91" t="s">
        <v>615</v>
      </c>
      <c r="H3058" s="93" t="s">
        <v>4</v>
      </c>
      <c r="I3058" s="92" t="s">
        <v>6761</v>
      </c>
      <c r="J3058" s="92">
        <v>9505050173</v>
      </c>
      <c r="K3058" s="67"/>
      <c r="L3058" s="67"/>
      <c r="M3058" s="67"/>
      <c r="N3058" s="67"/>
      <c r="O3058" s="67"/>
    </row>
    <row r="3059" spans="1:15" ht="15">
      <c r="A3059" s="109" t="s">
        <v>7</v>
      </c>
      <c r="B3059" s="109" t="s">
        <v>706</v>
      </c>
      <c r="C3059" s="92" t="str">
        <f ca="1">IFERROR(__xludf.DUMMYFUNCTION("filter('Back End'!C:C,'Back End'!A:A=A3059,'Back End'!B:B=B3059,'Back End'!D:D=D3059)"),"Vemavaram")</f>
        <v>Vemavaram</v>
      </c>
      <c r="D3059" s="91" t="s">
        <v>742</v>
      </c>
      <c r="E3059" s="91" t="s">
        <v>743</v>
      </c>
      <c r="F3059" s="91" t="s">
        <v>165</v>
      </c>
      <c r="G3059" s="91" t="s">
        <v>615</v>
      </c>
      <c r="H3059" s="93" t="s">
        <v>5</v>
      </c>
      <c r="I3059" s="92" t="s">
        <v>3115</v>
      </c>
      <c r="J3059" s="92">
        <v>9346611111</v>
      </c>
      <c r="K3059" s="67"/>
      <c r="L3059" s="67"/>
      <c r="M3059" s="67"/>
      <c r="N3059" s="67"/>
      <c r="O3059" s="67"/>
    </row>
    <row r="3060" spans="1:15" ht="15">
      <c r="A3060" s="109" t="s">
        <v>7</v>
      </c>
      <c r="B3060" s="109" t="s">
        <v>706</v>
      </c>
      <c r="C3060" s="92" t="str">
        <f ca="1">IFERROR(__xludf.DUMMYFUNCTION("filter('Back End'!C:C,'Back End'!A:A=A3060,'Back End'!B:B=B3060,'Back End'!D:D=D3060)"),"Vemavaram")</f>
        <v>Vemavaram</v>
      </c>
      <c r="D3060" s="91" t="s">
        <v>742</v>
      </c>
      <c r="E3060" s="91" t="s">
        <v>6762</v>
      </c>
      <c r="F3060" s="91" t="s">
        <v>165</v>
      </c>
      <c r="G3060" s="91" t="s">
        <v>615</v>
      </c>
      <c r="H3060" s="93" t="s">
        <v>5</v>
      </c>
      <c r="I3060" s="92" t="s">
        <v>3185</v>
      </c>
      <c r="J3060" s="92">
        <v>9705607295</v>
      </c>
      <c r="K3060" s="67"/>
      <c r="L3060" s="67"/>
      <c r="M3060" s="67"/>
      <c r="N3060" s="67"/>
      <c r="O3060" s="67"/>
    </row>
    <row r="3061" spans="1:15" ht="15">
      <c r="A3061" s="91" t="s">
        <v>7</v>
      </c>
      <c r="B3061" s="109" t="s">
        <v>706</v>
      </c>
      <c r="C3061" s="92" t="str">
        <f ca="1">IFERROR(__xludf.DUMMYFUNCTION("filter('Back End'!C:C,'Back End'!A:A=A3061,'Back End'!B:B=B3061,'Back End'!D:D=D3061)"),"Vemavaram")</f>
        <v>Vemavaram</v>
      </c>
      <c r="D3061" s="91" t="s">
        <v>742</v>
      </c>
      <c r="E3061" s="91" t="s">
        <v>6763</v>
      </c>
      <c r="F3061" s="91" t="s">
        <v>165</v>
      </c>
      <c r="G3061" s="91" t="s">
        <v>615</v>
      </c>
      <c r="H3061" s="93" t="s">
        <v>5</v>
      </c>
      <c r="I3061" s="92" t="s">
        <v>3490</v>
      </c>
      <c r="J3061" s="92">
        <v>9704777658</v>
      </c>
      <c r="K3061" s="67"/>
      <c r="L3061" s="67"/>
      <c r="M3061" s="67"/>
      <c r="N3061" s="67"/>
      <c r="O3061" s="67"/>
    </row>
    <row r="3062" spans="1:15" ht="30">
      <c r="A3062" s="91" t="s">
        <v>7</v>
      </c>
      <c r="B3062" s="109" t="s">
        <v>706</v>
      </c>
      <c r="C3062" s="92" t="str">
        <f ca="1">IFERROR(__xludf.DUMMYFUNCTION("filter('Back End'!C:C,'Back End'!A:A=A3062,'Back End'!B:B=B3062,'Back End'!D:D=D3062)"),"Vemavaram")</f>
        <v>Vemavaram</v>
      </c>
      <c r="D3062" s="91" t="s">
        <v>742</v>
      </c>
      <c r="E3062" s="91" t="s">
        <v>6764</v>
      </c>
      <c r="F3062" s="91" t="s">
        <v>165</v>
      </c>
      <c r="G3062" s="91" t="s">
        <v>615</v>
      </c>
      <c r="H3062" s="93" t="s">
        <v>5</v>
      </c>
      <c r="I3062" s="92" t="s">
        <v>3529</v>
      </c>
      <c r="J3062" s="92">
        <v>9959504511</v>
      </c>
      <c r="K3062" s="67"/>
      <c r="L3062" s="67"/>
      <c r="M3062" s="67"/>
      <c r="N3062" s="67"/>
      <c r="O3062" s="67"/>
    </row>
    <row r="3063" spans="1:15" ht="30">
      <c r="A3063" s="109" t="s">
        <v>7</v>
      </c>
      <c r="B3063" s="109" t="s">
        <v>706</v>
      </c>
      <c r="C3063" s="92" t="str">
        <f ca="1">IFERROR(__xludf.DUMMYFUNCTION("filter('Back End'!C:C,'Back End'!A:A=A3063,'Back End'!B:B=B3063,'Back End'!D:D=D3063)"),"Vemavaram")</f>
        <v>Vemavaram</v>
      </c>
      <c r="D3063" s="91" t="s">
        <v>742</v>
      </c>
      <c r="E3063" s="91" t="s">
        <v>6765</v>
      </c>
      <c r="F3063" s="91" t="s">
        <v>165</v>
      </c>
      <c r="G3063" s="91" t="s">
        <v>615</v>
      </c>
      <c r="H3063" s="93" t="s">
        <v>4</v>
      </c>
      <c r="I3063" s="92" t="s">
        <v>3210</v>
      </c>
      <c r="J3063" s="92">
        <v>8330959749</v>
      </c>
      <c r="K3063" s="67"/>
      <c r="L3063" s="67"/>
      <c r="M3063" s="67"/>
      <c r="N3063" s="67"/>
      <c r="O3063" s="67"/>
    </row>
    <row r="3064" spans="1:15" ht="60">
      <c r="A3064" s="109" t="s">
        <v>7</v>
      </c>
      <c r="B3064" s="109" t="s">
        <v>706</v>
      </c>
      <c r="C3064" s="92" t="str">
        <f ca="1">IFERROR(__xludf.DUMMYFUNCTION("filter('Back End'!C:C,'Back End'!A:A=A3064,'Back End'!B:B=B3064,'Back End'!D:D=D3064)"),"Vemavaram")</f>
        <v>Vemavaram</v>
      </c>
      <c r="D3064" s="91" t="s">
        <v>742</v>
      </c>
      <c r="E3064" s="91" t="s">
        <v>6766</v>
      </c>
      <c r="F3064" s="91" t="s">
        <v>165</v>
      </c>
      <c r="G3064" s="91" t="s">
        <v>615</v>
      </c>
      <c r="H3064" s="93" t="s">
        <v>4</v>
      </c>
      <c r="I3064" s="92" t="s">
        <v>4128</v>
      </c>
      <c r="J3064" s="127" t="s">
        <v>6767</v>
      </c>
      <c r="K3064" s="67"/>
      <c r="L3064" s="67"/>
      <c r="M3064" s="67"/>
      <c r="N3064" s="67"/>
      <c r="O3064" s="67"/>
    </row>
    <row r="3065" spans="1:15" ht="90">
      <c r="A3065" s="109" t="s">
        <v>7</v>
      </c>
      <c r="B3065" s="109" t="s">
        <v>706</v>
      </c>
      <c r="C3065" s="92" t="str">
        <f ca="1">IFERROR(__xludf.DUMMYFUNCTION("filter('Back End'!C:C,'Back End'!A:A=A3065,'Back End'!B:B=B3065,'Back End'!D:D=D3065)"),"Vemavaram")</f>
        <v>Vemavaram</v>
      </c>
      <c r="D3065" s="91" t="s">
        <v>742</v>
      </c>
      <c r="E3065" s="91" t="s">
        <v>6768</v>
      </c>
      <c r="F3065" s="91" t="s">
        <v>165</v>
      </c>
      <c r="G3065" s="91" t="s">
        <v>615</v>
      </c>
      <c r="H3065" s="93" t="s">
        <v>4</v>
      </c>
      <c r="I3065" s="92" t="s">
        <v>6769</v>
      </c>
      <c r="J3065" s="92">
        <v>8919787366</v>
      </c>
      <c r="K3065" s="67"/>
      <c r="L3065" s="67"/>
      <c r="M3065" s="67"/>
      <c r="N3065" s="67"/>
      <c r="O3065" s="67"/>
    </row>
    <row r="3066" spans="1:15" ht="15">
      <c r="A3066" s="109" t="s">
        <v>7</v>
      </c>
      <c r="B3066" s="109" t="s">
        <v>706</v>
      </c>
      <c r="C3066" s="92" t="str">
        <f ca="1">IFERROR(__xludf.DUMMYFUNCTION("filter('Back End'!C:C,'Back End'!A:A=A3066,'Back End'!B:B=B3066,'Back End'!D:D=D3066)"),"Vemavaram")</f>
        <v>Vemavaram</v>
      </c>
      <c r="D3066" s="91" t="s">
        <v>742</v>
      </c>
      <c r="E3066" s="91" t="s">
        <v>6770</v>
      </c>
      <c r="F3066" s="91" t="s">
        <v>467</v>
      </c>
      <c r="G3066" s="91" t="s">
        <v>85</v>
      </c>
      <c r="H3066" s="93" t="s">
        <v>4</v>
      </c>
      <c r="I3066" s="92" t="s">
        <v>3181</v>
      </c>
      <c r="J3066" s="92">
        <v>8106310578</v>
      </c>
      <c r="K3066" s="67"/>
      <c r="L3066" s="67"/>
      <c r="M3066" s="67"/>
      <c r="N3066" s="67"/>
      <c r="O3066" s="67"/>
    </row>
    <row r="3067" spans="1:15" ht="30">
      <c r="A3067" s="109" t="s">
        <v>7</v>
      </c>
      <c r="B3067" s="109" t="s">
        <v>706</v>
      </c>
      <c r="C3067" s="92" t="str">
        <f ca="1">IFERROR(__xludf.DUMMYFUNCTION("filter('Back End'!C:C,'Back End'!A:A=A3067,'Back End'!B:B=B3067,'Back End'!D:D=D3067)"),"Vemavaram")</f>
        <v>Vemavaram</v>
      </c>
      <c r="D3067" s="91" t="s">
        <v>742</v>
      </c>
      <c r="E3067" s="91" t="s">
        <v>6771</v>
      </c>
      <c r="F3067" s="91" t="s">
        <v>165</v>
      </c>
      <c r="G3067" s="91" t="s">
        <v>615</v>
      </c>
      <c r="H3067" s="93" t="s">
        <v>4</v>
      </c>
      <c r="I3067" s="92" t="s">
        <v>3591</v>
      </c>
      <c r="J3067" s="92">
        <v>9951420995</v>
      </c>
      <c r="K3067" s="67"/>
      <c r="L3067" s="67"/>
      <c r="M3067" s="67"/>
      <c r="N3067" s="67"/>
      <c r="O3067" s="67"/>
    </row>
    <row r="3068" spans="1:15" ht="15">
      <c r="A3068" s="109" t="s">
        <v>7</v>
      </c>
      <c r="B3068" s="109" t="s">
        <v>706</v>
      </c>
      <c r="C3068" s="92" t="str">
        <f ca="1">IFERROR(__xludf.DUMMYFUNCTION("filter('Back End'!C:C,'Back End'!A:A=A3068,'Back End'!B:B=B3068,'Back End'!D:D=D3068)"),"Vemavaram")</f>
        <v>Vemavaram</v>
      </c>
      <c r="D3068" s="91" t="s">
        <v>742</v>
      </c>
      <c r="E3068" s="91" t="s">
        <v>6772</v>
      </c>
      <c r="F3068" s="91" t="s">
        <v>165</v>
      </c>
      <c r="G3068" s="91" t="s">
        <v>615</v>
      </c>
      <c r="H3068" s="93" t="s">
        <v>4</v>
      </c>
      <c r="I3068" s="92" t="s">
        <v>3112</v>
      </c>
      <c r="J3068" s="92">
        <v>7661039517</v>
      </c>
      <c r="K3068" s="67"/>
      <c r="L3068" s="67"/>
      <c r="M3068" s="67"/>
      <c r="N3068" s="67"/>
      <c r="O3068" s="67"/>
    </row>
    <row r="3069" spans="1:15" ht="45">
      <c r="A3069" s="109" t="s">
        <v>7</v>
      </c>
      <c r="B3069" s="109" t="s">
        <v>706</v>
      </c>
      <c r="C3069" s="92" t="str">
        <f ca="1">IFERROR(__xludf.DUMMYFUNCTION("filter('Back End'!C:C,'Back End'!A:A=A3069,'Back End'!B:B=B3069,'Back End'!D:D=D3069)"),"Vemavaram")</f>
        <v>Vemavaram</v>
      </c>
      <c r="D3069" s="91" t="s">
        <v>742</v>
      </c>
      <c r="E3069" s="91" t="s">
        <v>6773</v>
      </c>
      <c r="F3069" s="91" t="s">
        <v>165</v>
      </c>
      <c r="G3069" s="91" t="s">
        <v>615</v>
      </c>
      <c r="H3069" s="93" t="s">
        <v>4</v>
      </c>
      <c r="I3069" s="92" t="s">
        <v>6774</v>
      </c>
      <c r="J3069" s="92">
        <v>9959204607</v>
      </c>
      <c r="K3069" s="67"/>
      <c r="L3069" s="67"/>
      <c r="M3069" s="67"/>
      <c r="N3069" s="67"/>
      <c r="O3069" s="67"/>
    </row>
    <row r="3070" spans="1:15" ht="15">
      <c r="A3070" s="109" t="s">
        <v>7</v>
      </c>
      <c r="B3070" s="109" t="s">
        <v>706</v>
      </c>
      <c r="C3070" s="92" t="str">
        <f ca="1">IFERROR(__xludf.DUMMYFUNCTION("filter('Back End'!C:C,'Back End'!A:A=A3070,'Back End'!B:B=B3070,'Back End'!D:D=D3070)"),"Addaripeta")</f>
        <v>Addaripeta</v>
      </c>
      <c r="D3070" s="91" t="s">
        <v>711</v>
      </c>
      <c r="E3070" s="91" t="s">
        <v>6775</v>
      </c>
      <c r="F3070" s="91" t="s">
        <v>288</v>
      </c>
      <c r="G3070" s="91" t="s">
        <v>615</v>
      </c>
      <c r="H3070" s="93" t="s">
        <v>5</v>
      </c>
      <c r="I3070" s="92" t="s">
        <v>3115</v>
      </c>
      <c r="J3070" s="92">
        <v>9949749884</v>
      </c>
      <c r="K3070" s="67"/>
      <c r="L3070" s="67"/>
      <c r="M3070" s="67"/>
      <c r="N3070" s="67"/>
      <c r="O3070" s="67"/>
    </row>
    <row r="3071" spans="1:15" ht="30">
      <c r="A3071" s="109" t="s">
        <v>7</v>
      </c>
      <c r="B3071" s="109" t="s">
        <v>706</v>
      </c>
      <c r="C3071" s="92" t="str">
        <f ca="1">IFERROR(__xludf.DUMMYFUNCTION("filter('Back End'!C:C,'Back End'!A:A=A3071,'Back End'!B:B=B3071,'Back End'!D:D=D3071)"),"Addaripeta")</f>
        <v>Addaripeta</v>
      </c>
      <c r="D3071" s="91" t="s">
        <v>711</v>
      </c>
      <c r="E3071" s="91" t="s">
        <v>6776</v>
      </c>
      <c r="F3071" s="91" t="s">
        <v>288</v>
      </c>
      <c r="G3071" s="91" t="s">
        <v>615</v>
      </c>
      <c r="H3071" s="93" t="s">
        <v>5</v>
      </c>
      <c r="I3071" s="92" t="s">
        <v>3205</v>
      </c>
      <c r="J3071" s="92">
        <v>9542781543</v>
      </c>
      <c r="K3071" s="67"/>
      <c r="L3071" s="67"/>
      <c r="M3071" s="67"/>
      <c r="N3071" s="67"/>
      <c r="O3071" s="67"/>
    </row>
    <row r="3072" spans="1:15" ht="15">
      <c r="A3072" s="109" t="s">
        <v>7</v>
      </c>
      <c r="B3072" s="109" t="s">
        <v>706</v>
      </c>
      <c r="C3072" s="92" t="str">
        <f ca="1">IFERROR(__xludf.DUMMYFUNCTION("filter('Back End'!C:C,'Back End'!A:A=A3072,'Back End'!B:B=B3072,'Back End'!D:D=D3072)"),"Addaripeta")</f>
        <v>Addaripeta</v>
      </c>
      <c r="D3072" s="91" t="s">
        <v>711</v>
      </c>
      <c r="E3072" s="91" t="s">
        <v>6777</v>
      </c>
      <c r="F3072" s="91" t="s">
        <v>165</v>
      </c>
      <c r="G3072" s="91" t="s">
        <v>615</v>
      </c>
      <c r="H3072" s="93" t="s">
        <v>5</v>
      </c>
      <c r="I3072" s="92" t="s">
        <v>3112</v>
      </c>
      <c r="J3072" s="92">
        <v>9105607295</v>
      </c>
      <c r="K3072" s="67"/>
      <c r="L3072" s="67"/>
      <c r="M3072" s="67"/>
      <c r="N3072" s="67"/>
      <c r="O3072" s="67"/>
    </row>
    <row r="3073" spans="1:15" ht="45">
      <c r="A3073" s="109" t="s">
        <v>7</v>
      </c>
      <c r="B3073" s="109" t="s">
        <v>706</v>
      </c>
      <c r="C3073" s="92" t="str">
        <f ca="1">IFERROR(__xludf.DUMMYFUNCTION("filter('Back End'!C:C,'Back End'!A:A=A3073,'Back End'!B:B=B3073,'Back End'!D:D=D3073)"),"Addaripeta")</f>
        <v>Addaripeta</v>
      </c>
      <c r="D3073" s="91" t="s">
        <v>711</v>
      </c>
      <c r="E3073" s="91" t="s">
        <v>6778</v>
      </c>
      <c r="F3073" s="91" t="s">
        <v>288</v>
      </c>
      <c r="G3073" s="91" t="s">
        <v>615</v>
      </c>
      <c r="H3073" s="93" t="s">
        <v>4</v>
      </c>
      <c r="I3073" s="92" t="s">
        <v>6779</v>
      </c>
      <c r="J3073" s="92">
        <v>9573148857</v>
      </c>
      <c r="K3073" s="67"/>
      <c r="L3073" s="67"/>
      <c r="M3073" s="67"/>
      <c r="N3073" s="67"/>
      <c r="O3073" s="67"/>
    </row>
    <row r="3074" spans="1:15" ht="30">
      <c r="A3074" s="109" t="s">
        <v>7</v>
      </c>
      <c r="B3074" s="109" t="s">
        <v>706</v>
      </c>
      <c r="C3074" s="92" t="str">
        <f ca="1">IFERROR(__xludf.DUMMYFUNCTION("filter('Back End'!C:C,'Back End'!A:A=A3074,'Back End'!B:B=B3074,'Back End'!D:D=D3074)"),"Addaripeta")</f>
        <v>Addaripeta</v>
      </c>
      <c r="D3074" s="91" t="s">
        <v>711</v>
      </c>
      <c r="E3074" s="91" t="s">
        <v>6780</v>
      </c>
      <c r="F3074" s="91" t="s">
        <v>165</v>
      </c>
      <c r="G3074" s="91" t="s">
        <v>615</v>
      </c>
      <c r="H3074" s="93" t="s">
        <v>4</v>
      </c>
      <c r="I3074" s="92" t="s">
        <v>4333</v>
      </c>
      <c r="J3074" s="92">
        <v>9603009907</v>
      </c>
      <c r="K3074" s="67"/>
      <c r="L3074" s="67"/>
      <c r="M3074" s="67"/>
      <c r="N3074" s="67"/>
      <c r="O3074" s="67"/>
    </row>
    <row r="3075" spans="1:15" ht="15">
      <c r="A3075" s="109" t="s">
        <v>7</v>
      </c>
      <c r="B3075" s="109" t="s">
        <v>706</v>
      </c>
      <c r="C3075" s="92" t="str">
        <f ca="1">IFERROR(__xludf.DUMMYFUNCTION("filter('Back End'!C:C,'Back End'!A:A=A3075,'Back End'!B:B=B3075,'Back End'!D:D=D3075)"),"Addaripeta")</f>
        <v>Addaripeta</v>
      </c>
      <c r="D3075" s="91" t="s">
        <v>711</v>
      </c>
      <c r="E3075" s="91" t="s">
        <v>6781</v>
      </c>
      <c r="F3075" s="91" t="s">
        <v>288</v>
      </c>
      <c r="G3075" s="91" t="s">
        <v>615</v>
      </c>
      <c r="H3075" s="93" t="s">
        <v>4</v>
      </c>
      <c r="I3075" s="92" t="s">
        <v>3112</v>
      </c>
      <c r="J3075" s="92">
        <v>8897663217</v>
      </c>
      <c r="K3075" s="67"/>
      <c r="L3075" s="67"/>
      <c r="M3075" s="67"/>
      <c r="N3075" s="67"/>
      <c r="O3075" s="67"/>
    </row>
    <row r="3076" spans="1:15" ht="30">
      <c r="A3076" s="109" t="s">
        <v>7</v>
      </c>
      <c r="B3076" s="109" t="s">
        <v>706</v>
      </c>
      <c r="C3076" s="92" t="str">
        <f ca="1">IFERROR(__xludf.DUMMYFUNCTION("filter('Back End'!C:C,'Back End'!A:A=A3076,'Back End'!B:B=B3076,'Back End'!D:D=D3076)"),"Addaripeta")</f>
        <v>Addaripeta</v>
      </c>
      <c r="D3076" s="91" t="s">
        <v>711</v>
      </c>
      <c r="E3076" s="91" t="s">
        <v>6782</v>
      </c>
      <c r="F3076" s="91" t="s">
        <v>288</v>
      </c>
      <c r="G3076" s="91" t="s">
        <v>615</v>
      </c>
      <c r="H3076" s="93" t="s">
        <v>4</v>
      </c>
      <c r="I3076" s="92" t="s">
        <v>3634</v>
      </c>
      <c r="J3076" s="92">
        <v>9542781543</v>
      </c>
      <c r="K3076" s="67"/>
      <c r="L3076" s="67"/>
      <c r="M3076" s="67"/>
      <c r="N3076" s="67"/>
      <c r="O3076" s="67"/>
    </row>
    <row r="3077" spans="1:15" ht="30">
      <c r="A3077" s="109" t="s">
        <v>7</v>
      </c>
      <c r="B3077" s="109" t="s">
        <v>706</v>
      </c>
      <c r="C3077" s="92" t="str">
        <f ca="1">IFERROR(__xludf.DUMMYFUNCTION("filter('Back End'!C:C,'Back End'!A:A=A3077,'Back End'!B:B=B3077,'Back End'!D:D=D3077)"),"Ontimamidi")</f>
        <v>Ontimamidi</v>
      </c>
      <c r="D3077" s="91" t="s">
        <v>728</v>
      </c>
      <c r="E3077" s="91" t="s">
        <v>6783</v>
      </c>
      <c r="F3077" s="91" t="s">
        <v>114</v>
      </c>
      <c r="G3077" s="91" t="s">
        <v>85</v>
      </c>
      <c r="H3077" s="93" t="s">
        <v>4</v>
      </c>
      <c r="I3077" s="92" t="s">
        <v>3634</v>
      </c>
      <c r="J3077" s="92">
        <v>9676723441</v>
      </c>
      <c r="K3077" s="67"/>
      <c r="L3077" s="67"/>
      <c r="M3077" s="67"/>
      <c r="N3077" s="67"/>
      <c r="O3077" s="67"/>
    </row>
    <row r="3078" spans="1:15" ht="30">
      <c r="A3078" s="91" t="s">
        <v>7</v>
      </c>
      <c r="B3078" s="91" t="s">
        <v>706</v>
      </c>
      <c r="C3078" s="92" t="str">
        <f ca="1">IFERROR(__xludf.DUMMYFUNCTION("filter('Back End'!C:C,'Back End'!A:A=A3078,'Back End'!B:B=B3078,'Back End'!D:D=D3078)"),"Yellayyapeta")</f>
        <v>Yellayyapeta</v>
      </c>
      <c r="D3078" s="91" t="s">
        <v>744</v>
      </c>
      <c r="E3078" s="91" t="s">
        <v>6784</v>
      </c>
      <c r="F3078" s="91" t="s">
        <v>288</v>
      </c>
      <c r="G3078" s="91" t="s">
        <v>615</v>
      </c>
      <c r="H3078" s="93" t="s">
        <v>5</v>
      </c>
      <c r="I3078" s="92" t="s">
        <v>3205</v>
      </c>
      <c r="J3078" s="92">
        <v>8332891172</v>
      </c>
      <c r="K3078" s="67"/>
      <c r="L3078" s="67"/>
      <c r="M3078" s="67"/>
      <c r="N3078" s="67"/>
      <c r="O3078" s="67"/>
    </row>
    <row r="3079" spans="1:15" ht="30">
      <c r="A3079" s="91" t="s">
        <v>7</v>
      </c>
      <c r="B3079" s="91" t="s">
        <v>706</v>
      </c>
      <c r="C3079" s="92" t="str">
        <f ca="1">IFERROR(__xludf.DUMMYFUNCTION("filter('Back End'!C:C,'Back End'!A:A=A3079,'Back End'!B:B=B3079,'Back End'!D:D=D3079)"),"Yellayyapeta")</f>
        <v>Yellayyapeta</v>
      </c>
      <c r="D3079" s="91" t="s">
        <v>744</v>
      </c>
      <c r="E3079" s="91" t="s">
        <v>6785</v>
      </c>
      <c r="F3079" s="91" t="s">
        <v>288</v>
      </c>
      <c r="G3079" s="91" t="s">
        <v>615</v>
      </c>
      <c r="H3079" s="93" t="s">
        <v>4</v>
      </c>
      <c r="I3079" s="92" t="s">
        <v>3570</v>
      </c>
      <c r="J3079" s="92">
        <v>9441775111</v>
      </c>
      <c r="K3079" s="67"/>
      <c r="L3079" s="67"/>
      <c r="M3079" s="67"/>
      <c r="N3079" s="67"/>
      <c r="O3079" s="67"/>
    </row>
    <row r="3080" spans="1:15" ht="15">
      <c r="A3080" s="91" t="s">
        <v>7</v>
      </c>
      <c r="B3080" s="91" t="s">
        <v>706</v>
      </c>
      <c r="C3080" s="92" t="str">
        <f ca="1">IFERROR(__xludf.DUMMYFUNCTION("filter('Back End'!C:C,'Back End'!A:A=A3080,'Back End'!B:B=B3080,'Back End'!D:D=D3080)"),"Yellayyapeta")</f>
        <v>Yellayyapeta</v>
      </c>
      <c r="D3080" s="91" t="s">
        <v>744</v>
      </c>
      <c r="E3080" s="91" t="s">
        <v>6786</v>
      </c>
      <c r="F3080" s="91" t="s">
        <v>288</v>
      </c>
      <c r="G3080" s="91" t="s">
        <v>615</v>
      </c>
      <c r="H3080" s="93" t="s">
        <v>4</v>
      </c>
      <c r="I3080" s="92" t="s">
        <v>3112</v>
      </c>
      <c r="J3080" s="92">
        <v>9963593843</v>
      </c>
      <c r="K3080" s="67"/>
      <c r="L3080" s="67"/>
      <c r="M3080" s="67"/>
      <c r="N3080" s="67"/>
      <c r="O3080" s="67"/>
    </row>
    <row r="3081" spans="1:15" ht="15">
      <c r="A3081" s="91" t="s">
        <v>7</v>
      </c>
      <c r="B3081" s="91" t="s">
        <v>706</v>
      </c>
      <c r="C3081" s="92" t="str">
        <f ca="1">IFERROR(__xludf.DUMMYFUNCTION("filter('Back End'!C:C,'Back End'!A:A=A3081,'Back End'!B:B=B3081,'Back End'!D:D=D3081)"),"Yellayyapeta")</f>
        <v>Yellayyapeta</v>
      </c>
      <c r="D3081" s="91" t="s">
        <v>744</v>
      </c>
      <c r="E3081" s="91" t="s">
        <v>6787</v>
      </c>
      <c r="F3081" s="91" t="s">
        <v>288</v>
      </c>
      <c r="G3081" s="91" t="s">
        <v>615</v>
      </c>
      <c r="H3081" s="93" t="s">
        <v>4</v>
      </c>
      <c r="I3081" s="92" t="s">
        <v>3112</v>
      </c>
      <c r="J3081" s="92">
        <v>9618601852</v>
      </c>
      <c r="K3081" s="67"/>
      <c r="L3081" s="67"/>
      <c r="M3081" s="67"/>
      <c r="N3081" s="67"/>
      <c r="O3081" s="67"/>
    </row>
    <row r="3082" spans="1:15" ht="15">
      <c r="A3082" s="91" t="s">
        <v>7</v>
      </c>
      <c r="B3082" s="91" t="s">
        <v>706</v>
      </c>
      <c r="C3082" s="92" t="str">
        <f ca="1">IFERROR(__xludf.DUMMYFUNCTION("filter('Back End'!C:C,'Back End'!A:A=A3082,'Back End'!B:B=B3082,'Back End'!D:D=D3082)"),"Yellayyapeta")</f>
        <v>Yellayyapeta</v>
      </c>
      <c r="D3082" s="91" t="s">
        <v>744</v>
      </c>
      <c r="E3082" s="91" t="s">
        <v>6788</v>
      </c>
      <c r="F3082" s="91" t="s">
        <v>288</v>
      </c>
      <c r="G3082" s="91" t="s">
        <v>615</v>
      </c>
      <c r="H3082" s="93" t="s">
        <v>4</v>
      </c>
      <c r="I3082" s="92" t="s">
        <v>3112</v>
      </c>
      <c r="J3082" s="92">
        <v>9550829619</v>
      </c>
      <c r="K3082" s="67"/>
      <c r="L3082" s="67"/>
      <c r="M3082" s="67"/>
      <c r="N3082" s="67"/>
      <c r="O3082" s="67"/>
    </row>
    <row r="3083" spans="1:15" ht="15">
      <c r="A3083" s="91" t="s">
        <v>7</v>
      </c>
      <c r="B3083" s="91" t="s">
        <v>706</v>
      </c>
      <c r="C3083" s="92" t="str">
        <f ca="1">IFERROR(__xludf.DUMMYFUNCTION("filter('Back End'!C:C,'Back End'!A:A=A3083,'Back End'!B:B=B3083,'Back End'!D:D=D3083)"),"Yellayyapeta")</f>
        <v>Yellayyapeta</v>
      </c>
      <c r="D3083" s="91" t="s">
        <v>744</v>
      </c>
      <c r="E3083" s="91" t="s">
        <v>6789</v>
      </c>
      <c r="F3083" s="91" t="s">
        <v>288</v>
      </c>
      <c r="G3083" s="91" t="s">
        <v>615</v>
      </c>
      <c r="H3083" s="93" t="s">
        <v>5</v>
      </c>
      <c r="I3083" s="92" t="s">
        <v>3115</v>
      </c>
      <c r="J3083" s="92">
        <v>7702973215</v>
      </c>
      <c r="K3083" s="67"/>
      <c r="L3083" s="67"/>
      <c r="M3083" s="67"/>
      <c r="N3083" s="67"/>
      <c r="O3083" s="67"/>
    </row>
    <row r="3084" spans="1:15" ht="15">
      <c r="A3084" s="92" t="s">
        <v>7</v>
      </c>
      <c r="B3084" s="92" t="s">
        <v>706</v>
      </c>
      <c r="C3084" s="91" t="s">
        <v>726</v>
      </c>
      <c r="D3084" s="91" t="s">
        <v>726</v>
      </c>
      <c r="E3084" s="91" t="s">
        <v>6790</v>
      </c>
      <c r="F3084" s="91" t="s">
        <v>139</v>
      </c>
      <c r="G3084" s="91" t="s">
        <v>594</v>
      </c>
      <c r="H3084" s="93" t="s">
        <v>5</v>
      </c>
      <c r="I3084" s="92" t="s">
        <v>3115</v>
      </c>
      <c r="J3084" s="92">
        <v>986648299</v>
      </c>
      <c r="K3084" s="67"/>
      <c r="L3084" s="67"/>
      <c r="M3084" s="67"/>
      <c r="N3084" s="67"/>
      <c r="O3084" s="67"/>
    </row>
    <row r="3085" spans="1:15" ht="30">
      <c r="A3085" s="92" t="s">
        <v>7</v>
      </c>
      <c r="B3085" s="92" t="s">
        <v>706</v>
      </c>
      <c r="C3085" s="91" t="s">
        <v>726</v>
      </c>
      <c r="D3085" s="91" t="s">
        <v>726</v>
      </c>
      <c r="E3085" s="91" t="s">
        <v>6791</v>
      </c>
      <c r="F3085" s="91" t="s">
        <v>139</v>
      </c>
      <c r="G3085" s="91" t="s">
        <v>594</v>
      </c>
      <c r="H3085" s="93" t="s">
        <v>5</v>
      </c>
      <c r="I3085" s="92" t="s">
        <v>3205</v>
      </c>
      <c r="J3085" s="92">
        <v>9866447959</v>
      </c>
      <c r="K3085" s="67"/>
      <c r="L3085" s="67"/>
      <c r="M3085" s="67"/>
      <c r="N3085" s="67"/>
      <c r="O3085" s="67"/>
    </row>
    <row r="3086" spans="1:15" ht="15">
      <c r="A3086" s="92" t="s">
        <v>7</v>
      </c>
      <c r="B3086" s="92" t="s">
        <v>706</v>
      </c>
      <c r="C3086" s="91" t="s">
        <v>726</v>
      </c>
      <c r="D3086" s="91" t="s">
        <v>726</v>
      </c>
      <c r="E3086" s="91" t="s">
        <v>6792</v>
      </c>
      <c r="F3086" s="91" t="s">
        <v>139</v>
      </c>
      <c r="G3086" s="91" t="s">
        <v>594</v>
      </c>
      <c r="H3086" s="93" t="s">
        <v>5</v>
      </c>
      <c r="I3086" s="92" t="s">
        <v>3185</v>
      </c>
      <c r="J3086" s="92">
        <v>7893476781</v>
      </c>
      <c r="K3086" s="67"/>
      <c r="L3086" s="67"/>
      <c r="M3086" s="67"/>
      <c r="N3086" s="67"/>
      <c r="O3086" s="67"/>
    </row>
    <row r="3087" spans="1:15" ht="30">
      <c r="A3087" s="92" t="s">
        <v>7</v>
      </c>
      <c r="B3087" s="92" t="s">
        <v>706</v>
      </c>
      <c r="C3087" s="91" t="s">
        <v>726</v>
      </c>
      <c r="D3087" s="91" t="s">
        <v>726</v>
      </c>
      <c r="E3087" s="91" t="s">
        <v>6793</v>
      </c>
      <c r="F3087" s="91" t="s">
        <v>139</v>
      </c>
      <c r="G3087" s="91" t="s">
        <v>594</v>
      </c>
      <c r="H3087" s="93" t="s">
        <v>4</v>
      </c>
      <c r="I3087" s="92" t="s">
        <v>6248</v>
      </c>
      <c r="J3087" s="92">
        <v>9177886111</v>
      </c>
      <c r="K3087" s="67"/>
      <c r="L3087" s="67"/>
      <c r="M3087" s="67"/>
      <c r="N3087" s="67"/>
      <c r="O3087" s="67"/>
    </row>
    <row r="3088" spans="1:15" ht="15">
      <c r="A3088" s="92" t="s">
        <v>7</v>
      </c>
      <c r="B3088" s="92" t="s">
        <v>706</v>
      </c>
      <c r="C3088" s="91" t="s">
        <v>726</v>
      </c>
      <c r="D3088" s="91" t="s">
        <v>726</v>
      </c>
      <c r="E3088" s="91" t="s">
        <v>6794</v>
      </c>
      <c r="F3088" s="91" t="s">
        <v>139</v>
      </c>
      <c r="G3088" s="91" t="s">
        <v>594</v>
      </c>
      <c r="H3088" s="93" t="s">
        <v>4</v>
      </c>
      <c r="I3088" s="92" t="s">
        <v>3112</v>
      </c>
      <c r="J3088" s="92">
        <v>9553789939</v>
      </c>
      <c r="K3088" s="67"/>
      <c r="L3088" s="67"/>
      <c r="M3088" s="67"/>
      <c r="N3088" s="67"/>
      <c r="O3088" s="67"/>
    </row>
    <row r="3089" spans="1:15" ht="15">
      <c r="A3089" s="92" t="s">
        <v>7</v>
      </c>
      <c r="B3089" s="92" t="s">
        <v>706</v>
      </c>
      <c r="C3089" s="91" t="s">
        <v>726</v>
      </c>
      <c r="D3089" s="91" t="s">
        <v>726</v>
      </c>
      <c r="E3089" s="91" t="s">
        <v>6795</v>
      </c>
      <c r="F3089" s="91" t="s">
        <v>139</v>
      </c>
      <c r="G3089" s="91" t="s">
        <v>594</v>
      </c>
      <c r="H3089" s="93" t="s">
        <v>4</v>
      </c>
      <c r="I3089" s="92" t="s">
        <v>3112</v>
      </c>
      <c r="J3089" s="92">
        <v>8499036359</v>
      </c>
      <c r="K3089" s="67"/>
      <c r="L3089" s="67"/>
      <c r="M3089" s="67"/>
      <c r="N3089" s="67"/>
      <c r="O3089" s="67"/>
    </row>
    <row r="3090" spans="1:15" ht="15">
      <c r="A3090" s="91" t="s">
        <v>7</v>
      </c>
      <c r="B3090" s="91" t="s">
        <v>706</v>
      </c>
      <c r="C3090" s="92" t="str">
        <f ca="1">IFERROR(__xludf.DUMMYFUNCTION("filter('Back End'!C:C,'Back End'!A:A=A3090,'Back End'!B:B=B3090,'Back End'!D:D=D3090)"),"Krishanpuram")</f>
        <v>Krishanpuram</v>
      </c>
      <c r="D3090" s="91" t="s">
        <v>726</v>
      </c>
      <c r="E3090" s="91" t="s">
        <v>6796</v>
      </c>
      <c r="F3090" s="91" t="s">
        <v>139</v>
      </c>
      <c r="G3090" s="91" t="s">
        <v>594</v>
      </c>
      <c r="H3090" s="93" t="s">
        <v>4</v>
      </c>
      <c r="I3090" s="92" t="s">
        <v>3125</v>
      </c>
      <c r="J3090" s="92">
        <v>9949101481</v>
      </c>
      <c r="K3090" s="67"/>
      <c r="L3090" s="67"/>
      <c r="M3090" s="67"/>
      <c r="N3090" s="67"/>
      <c r="O3090" s="67"/>
    </row>
    <row r="3091" spans="1:15" ht="15">
      <c r="A3091" s="92" t="s">
        <v>7</v>
      </c>
      <c r="B3091" s="92" t="s">
        <v>706</v>
      </c>
      <c r="C3091" s="91" t="s">
        <v>746</v>
      </c>
      <c r="D3091" s="91" t="s">
        <v>746</v>
      </c>
      <c r="E3091" s="91" t="s">
        <v>6797</v>
      </c>
      <c r="F3091" s="91" t="s">
        <v>288</v>
      </c>
      <c r="G3091" s="91" t="s">
        <v>615</v>
      </c>
      <c r="H3091" s="93" t="s">
        <v>5</v>
      </c>
      <c r="I3091" s="92" t="s">
        <v>3115</v>
      </c>
      <c r="J3091" s="92">
        <v>8464924511</v>
      </c>
      <c r="K3091" s="67"/>
      <c r="L3091" s="67"/>
      <c r="M3091" s="67"/>
      <c r="N3091" s="67"/>
      <c r="O3091" s="67"/>
    </row>
    <row r="3092" spans="1:15" ht="30">
      <c r="A3092" s="92" t="s">
        <v>7</v>
      </c>
      <c r="B3092" s="92" t="s">
        <v>706</v>
      </c>
      <c r="C3092" s="91" t="s">
        <v>746</v>
      </c>
      <c r="D3092" s="91" t="s">
        <v>746</v>
      </c>
      <c r="E3092" s="91" t="s">
        <v>6798</v>
      </c>
      <c r="F3092" s="91" t="s">
        <v>288</v>
      </c>
      <c r="G3092" s="91" t="s">
        <v>615</v>
      </c>
      <c r="H3092" s="93" t="s">
        <v>5</v>
      </c>
      <c r="I3092" s="92" t="s">
        <v>3205</v>
      </c>
      <c r="J3092" s="92">
        <v>9618148441</v>
      </c>
      <c r="K3092" s="67"/>
      <c r="L3092" s="67"/>
      <c r="M3092" s="67"/>
      <c r="N3092" s="67"/>
      <c r="O3092" s="67"/>
    </row>
    <row r="3093" spans="1:15" ht="15">
      <c r="A3093" s="92" t="s">
        <v>7</v>
      </c>
      <c r="B3093" s="92" t="s">
        <v>706</v>
      </c>
      <c r="C3093" s="91" t="s">
        <v>746</v>
      </c>
      <c r="D3093" s="91" t="s">
        <v>746</v>
      </c>
      <c r="E3093" s="91" t="s">
        <v>6799</v>
      </c>
      <c r="F3093" s="91" t="s">
        <v>165</v>
      </c>
      <c r="G3093" s="91" t="s">
        <v>615</v>
      </c>
      <c r="H3093" s="93" t="s">
        <v>5</v>
      </c>
      <c r="I3093" s="92" t="s">
        <v>3185</v>
      </c>
      <c r="J3093" s="92">
        <v>9912708812</v>
      </c>
      <c r="K3093" s="67"/>
      <c r="L3093" s="67"/>
      <c r="M3093" s="67"/>
      <c r="N3093" s="67"/>
      <c r="O3093" s="67"/>
    </row>
    <row r="3094" spans="1:15" ht="45">
      <c r="A3094" s="92" t="s">
        <v>7</v>
      </c>
      <c r="B3094" s="92" t="s">
        <v>706</v>
      </c>
      <c r="C3094" s="91" t="s">
        <v>746</v>
      </c>
      <c r="D3094" s="91" t="s">
        <v>746</v>
      </c>
      <c r="E3094" s="91" t="s">
        <v>6800</v>
      </c>
      <c r="F3094" s="91" t="s">
        <v>288</v>
      </c>
      <c r="G3094" s="91" t="s">
        <v>615</v>
      </c>
      <c r="H3094" s="93" t="s">
        <v>4</v>
      </c>
      <c r="I3094" s="92" t="s">
        <v>6801</v>
      </c>
      <c r="J3094" s="92">
        <v>9177443489</v>
      </c>
      <c r="K3094" s="67"/>
      <c r="L3094" s="67"/>
      <c r="M3094" s="67"/>
      <c r="N3094" s="67"/>
      <c r="O3094" s="67"/>
    </row>
    <row r="3095" spans="1:15" ht="15">
      <c r="A3095" s="92" t="s">
        <v>7</v>
      </c>
      <c r="B3095" s="92" t="s">
        <v>706</v>
      </c>
      <c r="C3095" s="91" t="s">
        <v>746</v>
      </c>
      <c r="D3095" s="91" t="s">
        <v>746</v>
      </c>
      <c r="E3095" s="91" t="s">
        <v>6802</v>
      </c>
      <c r="F3095" s="91" t="s">
        <v>165</v>
      </c>
      <c r="G3095" s="91" t="s">
        <v>615</v>
      </c>
      <c r="H3095" s="93" t="s">
        <v>4</v>
      </c>
      <c r="I3095" s="92" t="s">
        <v>3112</v>
      </c>
      <c r="J3095" s="92">
        <v>9515681949</v>
      </c>
      <c r="K3095" s="67"/>
      <c r="L3095" s="67"/>
      <c r="M3095" s="67"/>
      <c r="N3095" s="67"/>
      <c r="O3095" s="67"/>
    </row>
    <row r="3096" spans="1:15" ht="30">
      <c r="A3096" s="92" t="s">
        <v>7</v>
      </c>
      <c r="B3096" s="92" t="s">
        <v>706</v>
      </c>
      <c r="C3096" s="91" t="s">
        <v>746</v>
      </c>
      <c r="D3096" s="91" t="s">
        <v>746</v>
      </c>
      <c r="E3096" s="91" t="s">
        <v>6803</v>
      </c>
      <c r="F3096" s="91" t="s">
        <v>467</v>
      </c>
      <c r="G3096" s="91" t="s">
        <v>85</v>
      </c>
      <c r="H3096" s="93" t="s">
        <v>4</v>
      </c>
      <c r="I3096" s="92" t="s">
        <v>3570</v>
      </c>
      <c r="J3096" s="92">
        <v>8142180533</v>
      </c>
      <c r="K3096" s="67"/>
      <c r="L3096" s="67"/>
      <c r="M3096" s="67"/>
      <c r="N3096" s="67"/>
      <c r="O3096" s="67"/>
    </row>
    <row r="3097" spans="1:15" ht="15">
      <c r="A3097" s="92" t="s">
        <v>7</v>
      </c>
      <c r="B3097" s="92" t="s">
        <v>706</v>
      </c>
      <c r="C3097" s="91" t="s">
        <v>746</v>
      </c>
      <c r="D3097" s="91" t="s">
        <v>746</v>
      </c>
      <c r="E3097" s="91" t="s">
        <v>6804</v>
      </c>
      <c r="F3097" s="91" t="s">
        <v>288</v>
      </c>
      <c r="G3097" s="91" t="s">
        <v>615</v>
      </c>
      <c r="H3097" s="93" t="s">
        <v>4</v>
      </c>
      <c r="I3097" s="92" t="s">
        <v>3112</v>
      </c>
      <c r="J3097" s="92">
        <v>9989605528</v>
      </c>
      <c r="K3097" s="67"/>
      <c r="L3097" s="67"/>
      <c r="M3097" s="67"/>
      <c r="N3097" s="67"/>
      <c r="O3097" s="67"/>
    </row>
    <row r="3098" spans="1:15" ht="15">
      <c r="A3098" s="92" t="s">
        <v>7</v>
      </c>
      <c r="B3098" s="92" t="s">
        <v>706</v>
      </c>
      <c r="C3098" s="91" t="s">
        <v>746</v>
      </c>
      <c r="D3098" s="91" t="s">
        <v>746</v>
      </c>
      <c r="E3098" s="91" t="s">
        <v>6805</v>
      </c>
      <c r="F3098" s="91" t="s">
        <v>288</v>
      </c>
      <c r="G3098" s="91" t="s">
        <v>615</v>
      </c>
      <c r="H3098" s="93" t="s">
        <v>4</v>
      </c>
      <c r="I3098" s="92" t="s">
        <v>3112</v>
      </c>
      <c r="J3098" s="92">
        <v>9912396903</v>
      </c>
      <c r="K3098" s="67"/>
      <c r="L3098" s="67"/>
      <c r="M3098" s="67"/>
      <c r="N3098" s="67"/>
      <c r="O3098" s="67"/>
    </row>
    <row r="3099" spans="1:15" ht="15">
      <c r="A3099" s="92" t="s">
        <v>7</v>
      </c>
      <c r="B3099" s="92" t="s">
        <v>706</v>
      </c>
      <c r="C3099" s="91" t="s">
        <v>746</v>
      </c>
      <c r="D3099" s="91" t="s">
        <v>746</v>
      </c>
      <c r="E3099" s="91" t="s">
        <v>6806</v>
      </c>
      <c r="F3099" s="91" t="s">
        <v>288</v>
      </c>
      <c r="G3099" s="91" t="s">
        <v>615</v>
      </c>
      <c r="H3099" s="93" t="s">
        <v>4</v>
      </c>
      <c r="I3099" s="92" t="s">
        <v>3112</v>
      </c>
      <c r="J3099" s="92">
        <v>6303119694</v>
      </c>
      <c r="K3099" s="67"/>
      <c r="L3099" s="67"/>
      <c r="M3099" s="67"/>
      <c r="N3099" s="67"/>
      <c r="O3099" s="67"/>
    </row>
    <row r="3100" spans="1:15" ht="15">
      <c r="A3100" s="92" t="s">
        <v>7</v>
      </c>
      <c r="B3100" s="92" t="s">
        <v>706</v>
      </c>
      <c r="C3100" s="91" t="s">
        <v>746</v>
      </c>
      <c r="D3100" s="91" t="s">
        <v>746</v>
      </c>
      <c r="E3100" s="91" t="s">
        <v>6807</v>
      </c>
      <c r="F3100" s="91" t="s">
        <v>288</v>
      </c>
      <c r="G3100" s="91" t="s">
        <v>615</v>
      </c>
      <c r="H3100" s="93" t="s">
        <v>4</v>
      </c>
      <c r="I3100" s="92" t="s">
        <v>3112</v>
      </c>
      <c r="J3100" s="92">
        <v>8106939308</v>
      </c>
      <c r="K3100" s="67"/>
      <c r="L3100" s="67"/>
      <c r="M3100" s="67"/>
      <c r="N3100" s="67"/>
      <c r="O3100" s="67"/>
    </row>
    <row r="3101" spans="1:15" ht="15">
      <c r="A3101" s="91" t="s">
        <v>8</v>
      </c>
      <c r="B3101" s="91" t="s">
        <v>587</v>
      </c>
      <c r="C3101" s="91" t="s">
        <v>621</v>
      </c>
      <c r="D3101" s="91" t="s">
        <v>621</v>
      </c>
      <c r="E3101" s="91" t="s">
        <v>6808</v>
      </c>
      <c r="F3101" s="91" t="s">
        <v>1652</v>
      </c>
      <c r="G3101" s="91" t="s">
        <v>86</v>
      </c>
      <c r="H3101" s="93" t="s">
        <v>5</v>
      </c>
      <c r="I3101" s="92" t="s">
        <v>3961</v>
      </c>
      <c r="J3101" s="92">
        <v>9676632226</v>
      </c>
      <c r="K3101" s="67"/>
      <c r="L3101" s="67"/>
      <c r="M3101" s="67"/>
      <c r="N3101" s="67"/>
      <c r="O3101" s="67"/>
    </row>
    <row r="3102" spans="1:15" ht="15">
      <c r="A3102" s="91" t="s">
        <v>8</v>
      </c>
      <c r="B3102" s="91" t="s">
        <v>587</v>
      </c>
      <c r="C3102" s="91" t="s">
        <v>621</v>
      </c>
      <c r="D3102" s="91" t="s">
        <v>621</v>
      </c>
      <c r="E3102" s="91" t="s">
        <v>6809</v>
      </c>
      <c r="F3102" s="91" t="s">
        <v>1652</v>
      </c>
      <c r="G3102" s="91" t="s">
        <v>86</v>
      </c>
      <c r="H3102" s="93" t="s">
        <v>5</v>
      </c>
      <c r="I3102" s="92" t="s">
        <v>3185</v>
      </c>
      <c r="J3102" s="92">
        <v>9441908851</v>
      </c>
      <c r="K3102" s="67"/>
      <c r="L3102" s="67"/>
      <c r="M3102" s="67"/>
      <c r="N3102" s="67"/>
      <c r="O3102" s="67"/>
    </row>
    <row r="3103" spans="1:15" ht="30">
      <c r="A3103" s="91" t="s">
        <v>8</v>
      </c>
      <c r="B3103" s="91" t="s">
        <v>587</v>
      </c>
      <c r="C3103" s="91" t="s">
        <v>621</v>
      </c>
      <c r="D3103" s="91" t="s">
        <v>621</v>
      </c>
      <c r="E3103" s="91" t="s">
        <v>6810</v>
      </c>
      <c r="F3103" s="91" t="s">
        <v>1652</v>
      </c>
      <c r="G3103" s="91" t="s">
        <v>86</v>
      </c>
      <c r="H3103" s="93" t="s">
        <v>4</v>
      </c>
      <c r="I3103" s="92" t="s">
        <v>6811</v>
      </c>
      <c r="J3103" s="92">
        <v>7993889663</v>
      </c>
      <c r="K3103" s="67"/>
      <c r="L3103" s="67"/>
      <c r="M3103" s="67"/>
      <c r="N3103" s="67"/>
      <c r="O3103" s="67"/>
    </row>
    <row r="3104" spans="1:15" ht="15">
      <c r="A3104" s="91" t="s">
        <v>8</v>
      </c>
      <c r="B3104" s="91" t="s">
        <v>587</v>
      </c>
      <c r="C3104" s="91" t="s">
        <v>621</v>
      </c>
      <c r="D3104" s="91" t="s">
        <v>621</v>
      </c>
      <c r="E3104" s="91" t="s">
        <v>6812</v>
      </c>
      <c r="F3104" s="91" t="s">
        <v>1652</v>
      </c>
      <c r="G3104" s="91" t="s">
        <v>86</v>
      </c>
      <c r="H3104" s="93" t="s">
        <v>4</v>
      </c>
      <c r="I3104" s="92" t="s">
        <v>3181</v>
      </c>
      <c r="J3104" s="92">
        <v>7993889694</v>
      </c>
      <c r="K3104" s="67"/>
      <c r="L3104" s="67"/>
      <c r="M3104" s="67"/>
      <c r="N3104" s="67"/>
      <c r="O3104" s="67"/>
    </row>
    <row r="3105" spans="1:15" ht="15">
      <c r="A3105" s="91" t="s">
        <v>8</v>
      </c>
      <c r="B3105" s="91" t="s">
        <v>587</v>
      </c>
      <c r="C3105" s="91" t="s">
        <v>621</v>
      </c>
      <c r="D3105" s="91" t="s">
        <v>621</v>
      </c>
      <c r="E3105" s="91" t="s">
        <v>6813</v>
      </c>
      <c r="F3105" s="91" t="s">
        <v>1652</v>
      </c>
      <c r="G3105" s="91" t="s">
        <v>86</v>
      </c>
      <c r="H3105" s="93" t="s">
        <v>4</v>
      </c>
      <c r="I3105" s="92" t="s">
        <v>6814</v>
      </c>
      <c r="J3105" s="92">
        <v>9676228881</v>
      </c>
      <c r="K3105" s="67"/>
      <c r="L3105" s="67"/>
      <c r="M3105" s="67"/>
      <c r="N3105" s="67"/>
      <c r="O3105" s="67"/>
    </row>
    <row r="3106" spans="1:15" ht="15">
      <c r="A3106" s="91" t="s">
        <v>8</v>
      </c>
      <c r="B3106" s="91" t="s">
        <v>587</v>
      </c>
      <c r="C3106" s="91" t="s">
        <v>621</v>
      </c>
      <c r="D3106" s="91" t="s">
        <v>621</v>
      </c>
      <c r="E3106" s="91" t="s">
        <v>6815</v>
      </c>
      <c r="F3106" s="91" t="s">
        <v>545</v>
      </c>
      <c r="G3106" s="91" t="s">
        <v>86</v>
      </c>
      <c r="H3106" s="93" t="s">
        <v>5</v>
      </c>
      <c r="I3106" s="92" t="s">
        <v>6814</v>
      </c>
      <c r="J3106" s="92">
        <v>8341858224</v>
      </c>
      <c r="K3106" s="67"/>
      <c r="L3106" s="67"/>
      <c r="M3106" s="67"/>
      <c r="N3106" s="67"/>
      <c r="O3106" s="67"/>
    </row>
    <row r="3107" spans="1:15" ht="30">
      <c r="A3107" s="91" t="s">
        <v>8</v>
      </c>
      <c r="B3107" s="91" t="s">
        <v>587</v>
      </c>
      <c r="C3107" s="91" t="s">
        <v>621</v>
      </c>
      <c r="D3107" s="91" t="s">
        <v>621</v>
      </c>
      <c r="E3107" s="91" t="s">
        <v>6816</v>
      </c>
      <c r="F3107" s="91" t="s">
        <v>545</v>
      </c>
      <c r="G3107" s="91" t="s">
        <v>86</v>
      </c>
      <c r="H3107" s="93" t="s">
        <v>5</v>
      </c>
      <c r="I3107" s="92" t="s">
        <v>6811</v>
      </c>
      <c r="J3107" s="92">
        <v>9603199024</v>
      </c>
      <c r="K3107" s="67"/>
      <c r="L3107" s="67"/>
      <c r="M3107" s="67"/>
      <c r="N3107" s="67"/>
      <c r="O3107" s="67"/>
    </row>
    <row r="3108" spans="1:15" ht="15">
      <c r="A3108" s="91" t="s">
        <v>8</v>
      </c>
      <c r="B3108" s="91" t="s">
        <v>587</v>
      </c>
      <c r="C3108" s="91" t="s">
        <v>621</v>
      </c>
      <c r="D3108" s="91" t="s">
        <v>621</v>
      </c>
      <c r="E3108" s="91" t="s">
        <v>6817</v>
      </c>
      <c r="F3108" s="91" t="s">
        <v>545</v>
      </c>
      <c r="G3108" s="91" t="s">
        <v>86</v>
      </c>
      <c r="H3108" s="93" t="s">
        <v>4</v>
      </c>
      <c r="I3108" s="92" t="s">
        <v>3115</v>
      </c>
      <c r="J3108" s="92">
        <v>7993097006</v>
      </c>
      <c r="K3108" s="67"/>
      <c r="L3108" s="67"/>
      <c r="M3108" s="67"/>
      <c r="N3108" s="67"/>
      <c r="O3108" s="67"/>
    </row>
    <row r="3109" spans="1:15" ht="30">
      <c r="A3109" s="91" t="s">
        <v>8</v>
      </c>
      <c r="B3109" s="91" t="s">
        <v>587</v>
      </c>
      <c r="C3109" s="91" t="s">
        <v>605</v>
      </c>
      <c r="D3109" s="91" t="s">
        <v>605</v>
      </c>
      <c r="E3109" s="91" t="s">
        <v>6818</v>
      </c>
      <c r="F3109" s="91" t="s">
        <v>1634</v>
      </c>
      <c r="G3109" s="91" t="s">
        <v>86</v>
      </c>
      <c r="H3109" s="93" t="s">
        <v>5</v>
      </c>
      <c r="I3109" s="92" t="s">
        <v>6819</v>
      </c>
      <c r="J3109" s="92">
        <v>8142191014</v>
      </c>
      <c r="K3109" s="67"/>
      <c r="L3109" s="67"/>
      <c r="M3109" s="67"/>
      <c r="N3109" s="67"/>
      <c r="O3109" s="67"/>
    </row>
    <row r="3110" spans="1:15" ht="30">
      <c r="A3110" s="91" t="s">
        <v>8</v>
      </c>
      <c r="B3110" s="91" t="s">
        <v>587</v>
      </c>
      <c r="C3110" s="91" t="s">
        <v>605</v>
      </c>
      <c r="D3110" s="91" t="s">
        <v>605</v>
      </c>
      <c r="E3110" s="91" t="s">
        <v>6820</v>
      </c>
      <c r="F3110" s="91" t="s">
        <v>1634</v>
      </c>
      <c r="G3110" s="91" t="s">
        <v>86</v>
      </c>
      <c r="H3110" s="93" t="s">
        <v>5</v>
      </c>
      <c r="I3110" s="92" t="s">
        <v>4395</v>
      </c>
      <c r="J3110" s="92">
        <v>9701849376</v>
      </c>
      <c r="K3110" s="67"/>
      <c r="L3110" s="67"/>
      <c r="M3110" s="67"/>
      <c r="N3110" s="67"/>
      <c r="O3110" s="67"/>
    </row>
    <row r="3111" spans="1:15" ht="15">
      <c r="A3111" s="91" t="s">
        <v>8</v>
      </c>
      <c r="B3111" s="91" t="s">
        <v>587</v>
      </c>
      <c r="C3111" s="91" t="s">
        <v>605</v>
      </c>
      <c r="D3111" s="91" t="s">
        <v>605</v>
      </c>
      <c r="E3111" s="91" t="s">
        <v>6821</v>
      </c>
      <c r="F3111" s="91" t="s">
        <v>1634</v>
      </c>
      <c r="G3111" s="91" t="s">
        <v>86</v>
      </c>
      <c r="H3111" s="93" t="s">
        <v>5</v>
      </c>
      <c r="I3111" s="92" t="s">
        <v>3115</v>
      </c>
      <c r="J3111" s="92">
        <v>9849265494</v>
      </c>
      <c r="K3111" s="67"/>
      <c r="L3111" s="67"/>
      <c r="M3111" s="67"/>
      <c r="N3111" s="67"/>
      <c r="O3111" s="67"/>
    </row>
    <row r="3112" spans="1:15" ht="30">
      <c r="A3112" s="91" t="s">
        <v>8</v>
      </c>
      <c r="B3112" s="91" t="s">
        <v>587</v>
      </c>
      <c r="C3112" s="91" t="s">
        <v>605</v>
      </c>
      <c r="D3112" s="91" t="s">
        <v>605</v>
      </c>
      <c r="E3112" s="91" t="s">
        <v>6822</v>
      </c>
      <c r="F3112" s="91" t="s">
        <v>165</v>
      </c>
      <c r="G3112" s="91" t="s">
        <v>615</v>
      </c>
      <c r="H3112" s="93" t="s">
        <v>5</v>
      </c>
      <c r="I3112" s="92" t="s">
        <v>3495</v>
      </c>
      <c r="J3112" s="92">
        <v>8790190972</v>
      </c>
      <c r="K3112" s="67"/>
      <c r="L3112" s="67"/>
      <c r="M3112" s="67"/>
      <c r="N3112" s="67"/>
      <c r="O3112" s="67"/>
    </row>
    <row r="3113" spans="1:15" ht="15">
      <c r="A3113" s="91" t="s">
        <v>8</v>
      </c>
      <c r="B3113" s="91" t="s">
        <v>587</v>
      </c>
      <c r="C3113" s="91" t="s">
        <v>605</v>
      </c>
      <c r="D3113" s="91" t="s">
        <v>605</v>
      </c>
      <c r="E3113" s="91" t="s">
        <v>6823</v>
      </c>
      <c r="F3113" s="91" t="s">
        <v>1634</v>
      </c>
      <c r="G3113" s="91" t="s">
        <v>86</v>
      </c>
      <c r="H3113" s="93" t="s">
        <v>5</v>
      </c>
      <c r="I3113" s="92" t="s">
        <v>3185</v>
      </c>
      <c r="J3113" s="92">
        <v>9441908851</v>
      </c>
      <c r="K3113" s="67"/>
      <c r="L3113" s="67"/>
      <c r="M3113" s="67"/>
      <c r="N3113" s="67"/>
      <c r="O3113" s="67"/>
    </row>
    <row r="3114" spans="1:15" ht="90">
      <c r="A3114" s="91" t="s">
        <v>8</v>
      </c>
      <c r="B3114" s="91" t="s">
        <v>587</v>
      </c>
      <c r="C3114" s="91" t="s">
        <v>605</v>
      </c>
      <c r="D3114" s="91" t="s">
        <v>605</v>
      </c>
      <c r="E3114" s="91" t="s">
        <v>6824</v>
      </c>
      <c r="F3114" s="91" t="s">
        <v>1634</v>
      </c>
      <c r="G3114" s="91" t="s">
        <v>86</v>
      </c>
      <c r="H3114" s="93" t="s">
        <v>4</v>
      </c>
      <c r="I3114" s="92" t="s">
        <v>6825</v>
      </c>
      <c r="J3114" s="92">
        <v>8885233979</v>
      </c>
      <c r="K3114" s="67"/>
      <c r="L3114" s="67"/>
      <c r="M3114" s="67"/>
      <c r="N3114" s="67"/>
      <c r="O3114" s="67"/>
    </row>
    <row r="3115" spans="1:15" ht="30">
      <c r="A3115" s="91" t="s">
        <v>8</v>
      </c>
      <c r="B3115" s="91" t="s">
        <v>587</v>
      </c>
      <c r="C3115" s="91" t="s">
        <v>605</v>
      </c>
      <c r="D3115" s="91" t="s">
        <v>605</v>
      </c>
      <c r="E3115" s="91" t="s">
        <v>6810</v>
      </c>
      <c r="F3115" s="91" t="s">
        <v>1634</v>
      </c>
      <c r="G3115" s="91" t="s">
        <v>86</v>
      </c>
      <c r="H3115" s="93" t="s">
        <v>4</v>
      </c>
      <c r="I3115" s="92" t="s">
        <v>6811</v>
      </c>
      <c r="J3115" s="92">
        <v>7993889663</v>
      </c>
      <c r="K3115" s="67"/>
      <c r="L3115" s="67"/>
      <c r="M3115" s="67"/>
      <c r="N3115" s="67"/>
      <c r="O3115" s="67"/>
    </row>
    <row r="3116" spans="1:15" ht="15">
      <c r="A3116" s="91" t="s">
        <v>8</v>
      </c>
      <c r="B3116" s="91" t="s">
        <v>587</v>
      </c>
      <c r="C3116" s="91" t="s">
        <v>605</v>
      </c>
      <c r="D3116" s="91" t="s">
        <v>605</v>
      </c>
      <c r="E3116" s="91" t="s">
        <v>6826</v>
      </c>
      <c r="F3116" s="91" t="s">
        <v>545</v>
      </c>
      <c r="G3116" s="91" t="s">
        <v>86</v>
      </c>
      <c r="H3116" s="93" t="s">
        <v>4</v>
      </c>
      <c r="I3116" s="92" t="s">
        <v>3181</v>
      </c>
      <c r="J3116" s="92">
        <v>8978492075</v>
      </c>
      <c r="K3116" s="67"/>
      <c r="L3116" s="67"/>
      <c r="M3116" s="67"/>
      <c r="N3116" s="67"/>
      <c r="O3116" s="67"/>
    </row>
    <row r="3117" spans="1:15" ht="15">
      <c r="A3117" s="91" t="s">
        <v>8</v>
      </c>
      <c r="B3117" s="91" t="s">
        <v>587</v>
      </c>
      <c r="C3117" s="91" t="s">
        <v>605</v>
      </c>
      <c r="D3117" s="91" t="s">
        <v>605</v>
      </c>
      <c r="E3117" s="91" t="s">
        <v>6827</v>
      </c>
      <c r="F3117" s="91" t="s">
        <v>1634</v>
      </c>
      <c r="G3117" s="91" t="s">
        <v>86</v>
      </c>
      <c r="H3117" s="93" t="s">
        <v>4</v>
      </c>
      <c r="I3117" s="92" t="s">
        <v>3181</v>
      </c>
      <c r="J3117" s="92">
        <v>9908543783</v>
      </c>
      <c r="K3117" s="67"/>
      <c r="L3117" s="67"/>
      <c r="M3117" s="67"/>
      <c r="N3117" s="67"/>
      <c r="O3117" s="67"/>
    </row>
    <row r="3118" spans="1:15" ht="15">
      <c r="A3118" s="91" t="s">
        <v>8</v>
      </c>
      <c r="B3118" s="91" t="s">
        <v>587</v>
      </c>
      <c r="C3118" s="91" t="s">
        <v>605</v>
      </c>
      <c r="D3118" s="91" t="s">
        <v>605</v>
      </c>
      <c r="E3118" s="91" t="s">
        <v>6828</v>
      </c>
      <c r="F3118" s="91" t="s">
        <v>1634</v>
      </c>
      <c r="G3118" s="91" t="s">
        <v>86</v>
      </c>
      <c r="H3118" s="93" t="s">
        <v>4</v>
      </c>
      <c r="I3118" s="92" t="s">
        <v>3181</v>
      </c>
      <c r="J3118" s="92">
        <v>9121929884</v>
      </c>
      <c r="K3118" s="67"/>
      <c r="L3118" s="67"/>
      <c r="M3118" s="67"/>
      <c r="N3118" s="67"/>
      <c r="O3118" s="67"/>
    </row>
    <row r="3119" spans="1:15" ht="15">
      <c r="A3119" s="91" t="s">
        <v>8</v>
      </c>
      <c r="B3119" s="91" t="s">
        <v>587</v>
      </c>
      <c r="C3119" s="91" t="s">
        <v>598</v>
      </c>
      <c r="D3119" s="91" t="s">
        <v>598</v>
      </c>
      <c r="E3119" s="91" t="s">
        <v>6829</v>
      </c>
      <c r="F3119" s="91" t="s">
        <v>595</v>
      </c>
      <c r="G3119" s="91" t="s">
        <v>594</v>
      </c>
      <c r="H3119" s="93" t="s">
        <v>5</v>
      </c>
      <c r="I3119" s="92" t="s">
        <v>3185</v>
      </c>
      <c r="J3119" s="92">
        <v>9951762464</v>
      </c>
      <c r="K3119" s="67"/>
      <c r="L3119" s="67"/>
      <c r="M3119" s="67"/>
      <c r="N3119" s="67"/>
      <c r="O3119" s="67"/>
    </row>
    <row r="3120" spans="1:15" ht="30">
      <c r="A3120" s="91" t="s">
        <v>8</v>
      </c>
      <c r="B3120" s="91" t="s">
        <v>587</v>
      </c>
      <c r="C3120" s="91" t="s">
        <v>598</v>
      </c>
      <c r="D3120" s="91" t="s">
        <v>598</v>
      </c>
      <c r="E3120" s="91" t="s">
        <v>6830</v>
      </c>
      <c r="F3120" s="91" t="s">
        <v>586</v>
      </c>
      <c r="G3120" s="91" t="s">
        <v>615</v>
      </c>
      <c r="H3120" s="93" t="s">
        <v>5</v>
      </c>
      <c r="I3120" s="92" t="s">
        <v>3495</v>
      </c>
      <c r="J3120" s="92">
        <v>954237778</v>
      </c>
      <c r="K3120" s="67"/>
      <c r="L3120" s="67"/>
      <c r="M3120" s="67"/>
      <c r="N3120" s="67"/>
      <c r="O3120" s="67"/>
    </row>
    <row r="3121" spans="1:15" ht="30">
      <c r="A3121" s="91" t="s">
        <v>8</v>
      </c>
      <c r="B3121" s="91" t="s">
        <v>587</v>
      </c>
      <c r="C3121" s="91" t="s">
        <v>598</v>
      </c>
      <c r="D3121" s="91" t="s">
        <v>598</v>
      </c>
      <c r="E3121" s="91" t="s">
        <v>6831</v>
      </c>
      <c r="F3121" s="91" t="s">
        <v>586</v>
      </c>
      <c r="G3121" s="91" t="s">
        <v>615</v>
      </c>
      <c r="H3121" s="93" t="s">
        <v>5</v>
      </c>
      <c r="I3121" s="92" t="s">
        <v>3508</v>
      </c>
      <c r="J3121" s="92">
        <v>7095318443</v>
      </c>
      <c r="K3121" s="67"/>
      <c r="L3121" s="67"/>
      <c r="M3121" s="67"/>
      <c r="N3121" s="67"/>
      <c r="O3121" s="67"/>
    </row>
    <row r="3122" spans="1:15" ht="30">
      <c r="A3122" s="91" t="s">
        <v>8</v>
      </c>
      <c r="B3122" s="91" t="s">
        <v>587</v>
      </c>
      <c r="C3122" s="91" t="s">
        <v>598</v>
      </c>
      <c r="D3122" s="91" t="s">
        <v>598</v>
      </c>
      <c r="E3122" s="91" t="s">
        <v>6832</v>
      </c>
      <c r="F3122" s="91" t="s">
        <v>586</v>
      </c>
      <c r="G3122" s="91" t="s">
        <v>615</v>
      </c>
      <c r="H3122" s="93" t="s">
        <v>5</v>
      </c>
      <c r="I3122" s="92" t="s">
        <v>3194</v>
      </c>
      <c r="J3122" s="92">
        <v>773001207</v>
      </c>
      <c r="K3122" s="67"/>
      <c r="L3122" s="67"/>
      <c r="M3122" s="67"/>
      <c r="N3122" s="67"/>
      <c r="O3122" s="67"/>
    </row>
    <row r="3123" spans="1:15" ht="16.5">
      <c r="A3123" s="91" t="s">
        <v>8</v>
      </c>
      <c r="B3123" s="100" t="s">
        <v>587</v>
      </c>
      <c r="C3123" s="97" t="s">
        <v>598</v>
      </c>
      <c r="D3123" s="128" t="s">
        <v>598</v>
      </c>
      <c r="E3123" s="100" t="s">
        <v>6833</v>
      </c>
      <c r="F3123" s="98" t="s">
        <v>586</v>
      </c>
      <c r="G3123" s="98" t="s">
        <v>615</v>
      </c>
      <c r="H3123" s="100" t="s">
        <v>5</v>
      </c>
      <c r="I3123" s="98" t="s">
        <v>4056</v>
      </c>
      <c r="J3123" s="97">
        <v>9542737780</v>
      </c>
      <c r="K3123" s="99"/>
      <c r="L3123" s="67"/>
      <c r="M3123" s="67"/>
      <c r="N3123" s="67"/>
      <c r="O3123" s="67"/>
    </row>
    <row r="3124" spans="1:15" ht="30">
      <c r="A3124" s="91" t="s">
        <v>8</v>
      </c>
      <c r="B3124" s="91" t="s">
        <v>587</v>
      </c>
      <c r="C3124" s="91" t="s">
        <v>598</v>
      </c>
      <c r="D3124" s="91" t="s">
        <v>598</v>
      </c>
      <c r="E3124" s="91" t="s">
        <v>6834</v>
      </c>
      <c r="F3124" s="91" t="s">
        <v>586</v>
      </c>
      <c r="G3124" s="91" t="s">
        <v>615</v>
      </c>
      <c r="H3124" s="93" t="s">
        <v>4</v>
      </c>
      <c r="I3124" s="92" t="s">
        <v>3107</v>
      </c>
      <c r="J3124" s="92">
        <v>9505050173</v>
      </c>
      <c r="K3124" s="67"/>
      <c r="L3124" s="67"/>
      <c r="M3124" s="67"/>
      <c r="N3124" s="67"/>
      <c r="O3124" s="67"/>
    </row>
    <row r="3125" spans="1:15" ht="30">
      <c r="A3125" s="91" t="s">
        <v>8</v>
      </c>
      <c r="B3125" s="91" t="s">
        <v>587</v>
      </c>
      <c r="C3125" s="91" t="s">
        <v>598</v>
      </c>
      <c r="D3125" s="91" t="s">
        <v>598</v>
      </c>
      <c r="E3125" s="91" t="s">
        <v>6835</v>
      </c>
      <c r="F3125" s="91" t="s">
        <v>586</v>
      </c>
      <c r="G3125" s="91" t="s">
        <v>615</v>
      </c>
      <c r="H3125" s="93" t="s">
        <v>4</v>
      </c>
      <c r="I3125" s="92" t="s">
        <v>3205</v>
      </c>
      <c r="J3125" s="92">
        <v>9666161966</v>
      </c>
      <c r="K3125" s="67"/>
      <c r="L3125" s="67"/>
      <c r="M3125" s="67"/>
      <c r="N3125" s="67"/>
      <c r="O3125" s="67"/>
    </row>
    <row r="3126" spans="1:15" ht="30">
      <c r="A3126" s="91" t="s">
        <v>8</v>
      </c>
      <c r="B3126" s="91" t="s">
        <v>587</v>
      </c>
      <c r="C3126" s="91" t="s">
        <v>598</v>
      </c>
      <c r="D3126" s="91" t="s">
        <v>598</v>
      </c>
      <c r="E3126" s="91" t="s">
        <v>6836</v>
      </c>
      <c r="F3126" s="91" t="s">
        <v>586</v>
      </c>
      <c r="G3126" s="91" t="s">
        <v>615</v>
      </c>
      <c r="H3126" s="93" t="s">
        <v>4</v>
      </c>
      <c r="I3126" s="92" t="s">
        <v>3495</v>
      </c>
      <c r="J3126" s="92">
        <v>9866004530</v>
      </c>
      <c r="K3126" s="67"/>
      <c r="L3126" s="67"/>
      <c r="M3126" s="67"/>
      <c r="N3126" s="67"/>
      <c r="O3126" s="67"/>
    </row>
    <row r="3127" spans="1:15" ht="30">
      <c r="A3127" s="91" t="s">
        <v>8</v>
      </c>
      <c r="B3127" s="91" t="s">
        <v>587</v>
      </c>
      <c r="C3127" s="91" t="s">
        <v>587</v>
      </c>
      <c r="D3127" s="91" t="s">
        <v>587</v>
      </c>
      <c r="E3127" s="91" t="s">
        <v>6837</v>
      </c>
      <c r="F3127" s="67" t="s">
        <v>3138</v>
      </c>
      <c r="G3127" s="67"/>
      <c r="H3127" s="93" t="s">
        <v>4</v>
      </c>
      <c r="I3127" s="92" t="s">
        <v>3495</v>
      </c>
      <c r="J3127" s="92">
        <v>9133696044</v>
      </c>
      <c r="K3127" s="67"/>
      <c r="L3127" s="67"/>
      <c r="M3127" s="67"/>
      <c r="N3127" s="67"/>
      <c r="O3127" s="67"/>
    </row>
    <row r="3128" spans="1:15" ht="15">
      <c r="A3128" s="91" t="s">
        <v>8</v>
      </c>
      <c r="B3128" s="91" t="s">
        <v>587</v>
      </c>
      <c r="C3128" s="91" t="s">
        <v>587</v>
      </c>
      <c r="D3128" s="91" t="s">
        <v>587</v>
      </c>
      <c r="E3128" s="91" t="s">
        <v>6838</v>
      </c>
      <c r="F3128" s="91" t="s">
        <v>586</v>
      </c>
      <c r="G3128" s="91" t="s">
        <v>615</v>
      </c>
      <c r="H3128" s="93" t="s">
        <v>5</v>
      </c>
      <c r="I3128" s="92" t="s">
        <v>3115</v>
      </c>
      <c r="J3128" s="92">
        <v>9705199360</v>
      </c>
      <c r="K3128" s="67"/>
      <c r="L3128" s="67"/>
      <c r="M3128" s="67"/>
      <c r="N3128" s="67"/>
      <c r="O3128" s="67"/>
    </row>
    <row r="3129" spans="1:15" ht="30">
      <c r="A3129" s="91" t="s">
        <v>10</v>
      </c>
      <c r="B3129" s="91" t="s">
        <v>10</v>
      </c>
      <c r="C3129" s="91" t="s">
        <v>10</v>
      </c>
      <c r="D3129" s="91" t="s">
        <v>10</v>
      </c>
      <c r="E3129" s="91" t="s">
        <v>6839</v>
      </c>
      <c r="F3129" s="91" t="s">
        <v>139</v>
      </c>
      <c r="G3129" s="91" t="s">
        <v>594</v>
      </c>
      <c r="H3129" s="93" t="s">
        <v>5</v>
      </c>
      <c r="I3129" s="92" t="s">
        <v>3205</v>
      </c>
      <c r="J3129" s="92">
        <v>7702184633</v>
      </c>
      <c r="K3129" s="67"/>
      <c r="L3129" s="67"/>
      <c r="M3129" s="67"/>
      <c r="N3129" s="67"/>
      <c r="O3129" s="67"/>
    </row>
    <row r="3130" spans="1:15" ht="15">
      <c r="A3130" s="91" t="s">
        <v>10</v>
      </c>
      <c r="B3130" s="91" t="s">
        <v>10</v>
      </c>
      <c r="C3130" s="91" t="s">
        <v>10</v>
      </c>
      <c r="D3130" s="91" t="s">
        <v>10</v>
      </c>
      <c r="E3130" s="91" t="s">
        <v>6840</v>
      </c>
      <c r="F3130" s="91" t="s">
        <v>114</v>
      </c>
      <c r="G3130" s="91" t="s">
        <v>85</v>
      </c>
      <c r="H3130" s="93" t="s">
        <v>5</v>
      </c>
      <c r="I3130" s="92" t="s">
        <v>3185</v>
      </c>
      <c r="J3130" s="92">
        <v>9866505102</v>
      </c>
      <c r="K3130" s="67"/>
      <c r="L3130" s="67"/>
      <c r="M3130" s="67"/>
      <c r="N3130" s="67"/>
      <c r="O3130" s="67"/>
    </row>
    <row r="3131" spans="1:15" ht="30">
      <c r="A3131" s="91" t="s">
        <v>10</v>
      </c>
      <c r="B3131" s="91" t="s">
        <v>10</v>
      </c>
      <c r="C3131" s="91" t="s">
        <v>10</v>
      </c>
      <c r="D3131" s="91" t="s">
        <v>10</v>
      </c>
      <c r="E3131" s="91" t="s">
        <v>6841</v>
      </c>
      <c r="F3131" s="91" t="s">
        <v>139</v>
      </c>
      <c r="G3131" s="91" t="s">
        <v>594</v>
      </c>
      <c r="H3131" s="93" t="s">
        <v>4</v>
      </c>
      <c r="I3131" s="92" t="s">
        <v>3162</v>
      </c>
      <c r="J3131" s="67"/>
      <c r="K3131" s="67"/>
      <c r="L3131" s="67"/>
      <c r="M3131" s="67"/>
      <c r="N3131" s="67"/>
      <c r="O3131" s="67"/>
    </row>
    <row r="3132" spans="1:15" ht="30">
      <c r="A3132" s="91" t="s">
        <v>10</v>
      </c>
      <c r="B3132" s="91" t="s">
        <v>10</v>
      </c>
      <c r="C3132" s="91" t="s">
        <v>10</v>
      </c>
      <c r="D3132" s="91" t="s">
        <v>10</v>
      </c>
      <c r="E3132" s="91" t="s">
        <v>6842</v>
      </c>
      <c r="F3132" s="91" t="s">
        <v>139</v>
      </c>
      <c r="G3132" s="91" t="s">
        <v>594</v>
      </c>
      <c r="H3132" s="93" t="s">
        <v>4</v>
      </c>
      <c r="I3132" s="92" t="s">
        <v>3605</v>
      </c>
      <c r="J3132" s="92">
        <v>9493127979</v>
      </c>
      <c r="K3132" s="67"/>
      <c r="L3132" s="67"/>
      <c r="M3132" s="67"/>
      <c r="N3132" s="67"/>
      <c r="O3132" s="67"/>
    </row>
    <row r="3133" spans="1:15" ht="30">
      <c r="A3133" s="109" t="s">
        <v>7</v>
      </c>
      <c r="B3133" s="109" t="s">
        <v>671</v>
      </c>
      <c r="C3133" s="92" t="s">
        <v>672</v>
      </c>
      <c r="D3133" s="91" t="s">
        <v>672</v>
      </c>
      <c r="E3133" s="91" t="s">
        <v>6843</v>
      </c>
      <c r="F3133" s="91" t="s">
        <v>586</v>
      </c>
      <c r="G3133" s="91" t="s">
        <v>615</v>
      </c>
      <c r="H3133" s="93" t="s">
        <v>5</v>
      </c>
      <c r="I3133" s="92" t="s">
        <v>3205</v>
      </c>
      <c r="J3133" s="92">
        <v>9327165963</v>
      </c>
      <c r="K3133" s="67"/>
      <c r="L3133" s="67"/>
      <c r="M3133" s="67"/>
      <c r="N3133" s="67"/>
      <c r="O3133" s="67"/>
    </row>
    <row r="3134" spans="1:15" ht="45">
      <c r="A3134" s="109" t="s">
        <v>7</v>
      </c>
      <c r="B3134" s="109" t="s">
        <v>671</v>
      </c>
      <c r="C3134" s="92" t="s">
        <v>672</v>
      </c>
      <c r="D3134" s="91" t="s">
        <v>672</v>
      </c>
      <c r="E3134" s="91" t="s">
        <v>6844</v>
      </c>
      <c r="F3134" s="91" t="s">
        <v>114</v>
      </c>
      <c r="G3134" s="91" t="s">
        <v>85</v>
      </c>
      <c r="H3134" s="93" t="s">
        <v>5</v>
      </c>
      <c r="I3134" s="92" t="s">
        <v>6845</v>
      </c>
      <c r="J3134" s="92">
        <v>8897676732</v>
      </c>
      <c r="K3134" s="67"/>
      <c r="L3134" s="67"/>
      <c r="M3134" s="67"/>
      <c r="N3134" s="67"/>
      <c r="O3134" s="67"/>
    </row>
    <row r="3135" spans="1:15" ht="45">
      <c r="A3135" s="109" t="s">
        <v>7</v>
      </c>
      <c r="B3135" s="109" t="s">
        <v>671</v>
      </c>
      <c r="C3135" s="92" t="s">
        <v>672</v>
      </c>
      <c r="D3135" s="91" t="s">
        <v>672</v>
      </c>
      <c r="E3135" s="91" t="s">
        <v>6846</v>
      </c>
      <c r="F3135" s="91" t="s">
        <v>586</v>
      </c>
      <c r="G3135" s="91" t="s">
        <v>615</v>
      </c>
      <c r="H3135" s="93" t="s">
        <v>4</v>
      </c>
      <c r="I3135" s="92" t="s">
        <v>3146</v>
      </c>
      <c r="J3135" s="92" t="s">
        <v>2631</v>
      </c>
      <c r="K3135" s="67"/>
      <c r="L3135" s="67"/>
      <c r="M3135" s="67"/>
      <c r="N3135" s="67"/>
      <c r="O3135" s="67"/>
    </row>
    <row r="3136" spans="1:15" ht="15">
      <c r="A3136" s="109" t="s">
        <v>7</v>
      </c>
      <c r="B3136" s="109" t="s">
        <v>671</v>
      </c>
      <c r="C3136" s="92" t="s">
        <v>672</v>
      </c>
      <c r="D3136" s="91" t="s">
        <v>672</v>
      </c>
      <c r="E3136" s="91" t="s">
        <v>6847</v>
      </c>
      <c r="F3136" s="91" t="s">
        <v>586</v>
      </c>
      <c r="G3136" s="91" t="s">
        <v>615</v>
      </c>
      <c r="H3136" s="93" t="s">
        <v>4</v>
      </c>
      <c r="I3136" s="92" t="s">
        <v>4128</v>
      </c>
      <c r="J3136" s="92" t="s">
        <v>2631</v>
      </c>
      <c r="K3136" s="67"/>
      <c r="L3136" s="67"/>
      <c r="M3136" s="67"/>
      <c r="N3136" s="67"/>
      <c r="O3136" s="67"/>
    </row>
    <row r="3137" spans="1:15" ht="45">
      <c r="A3137" s="109" t="s">
        <v>7</v>
      </c>
      <c r="B3137" s="109" t="s">
        <v>671</v>
      </c>
      <c r="C3137" s="92" t="s">
        <v>672</v>
      </c>
      <c r="D3137" s="91" t="s">
        <v>672</v>
      </c>
      <c r="E3137" s="91" t="s">
        <v>6848</v>
      </c>
      <c r="F3137" s="91" t="s">
        <v>586</v>
      </c>
      <c r="G3137" s="91" t="s">
        <v>615</v>
      </c>
      <c r="H3137" s="93" t="s">
        <v>6</v>
      </c>
      <c r="I3137" s="92" t="s">
        <v>3427</v>
      </c>
      <c r="J3137" s="92" t="s">
        <v>2631</v>
      </c>
      <c r="K3137" s="67"/>
      <c r="L3137" s="67"/>
      <c r="M3137" s="67"/>
      <c r="N3137" s="67"/>
      <c r="O3137" s="67"/>
    </row>
    <row r="3138" spans="1:15" ht="30">
      <c r="A3138" s="92" t="s">
        <v>7</v>
      </c>
      <c r="B3138" s="92" t="s">
        <v>671</v>
      </c>
      <c r="C3138" s="92" t="s">
        <v>679</v>
      </c>
      <c r="D3138" s="91" t="s">
        <v>679</v>
      </c>
      <c r="E3138" s="91" t="s">
        <v>6849</v>
      </c>
      <c r="F3138" s="91" t="s">
        <v>586</v>
      </c>
      <c r="G3138" s="91" t="s">
        <v>615</v>
      </c>
      <c r="H3138" s="93" t="s">
        <v>5</v>
      </c>
      <c r="I3138" s="92" t="s">
        <v>5535</v>
      </c>
      <c r="J3138" s="92">
        <v>9491332202</v>
      </c>
      <c r="K3138" s="67"/>
      <c r="L3138" s="67"/>
      <c r="M3138" s="67"/>
      <c r="N3138" s="67"/>
      <c r="O3138" s="67"/>
    </row>
    <row r="3139" spans="1:15" ht="30">
      <c r="A3139" s="92" t="s">
        <v>7</v>
      </c>
      <c r="B3139" s="92" t="s">
        <v>671</v>
      </c>
      <c r="C3139" s="92" t="s">
        <v>679</v>
      </c>
      <c r="D3139" s="91" t="s">
        <v>679</v>
      </c>
      <c r="E3139" s="91" t="s">
        <v>6850</v>
      </c>
      <c r="F3139" s="91" t="s">
        <v>1661</v>
      </c>
      <c r="G3139" s="91" t="s">
        <v>615</v>
      </c>
      <c r="H3139" s="93" t="s">
        <v>5</v>
      </c>
      <c r="I3139" s="92" t="s">
        <v>6851</v>
      </c>
      <c r="J3139" s="92">
        <v>8897769849</v>
      </c>
      <c r="K3139" s="67"/>
      <c r="L3139" s="67"/>
      <c r="M3139" s="67"/>
      <c r="N3139" s="67"/>
      <c r="O3139" s="67"/>
    </row>
    <row r="3140" spans="1:15" ht="30">
      <c r="A3140" s="92" t="s">
        <v>7</v>
      </c>
      <c r="B3140" s="92" t="s">
        <v>671</v>
      </c>
      <c r="C3140" s="92" t="s">
        <v>679</v>
      </c>
      <c r="D3140" s="91" t="s">
        <v>679</v>
      </c>
      <c r="E3140" s="91" t="s">
        <v>6852</v>
      </c>
      <c r="F3140" s="91" t="s">
        <v>154</v>
      </c>
      <c r="G3140" s="91" t="s">
        <v>615</v>
      </c>
      <c r="H3140" s="93" t="s">
        <v>5</v>
      </c>
      <c r="I3140" s="92" t="s">
        <v>3508</v>
      </c>
      <c r="J3140" s="92">
        <v>9491860169</v>
      </c>
      <c r="K3140" s="67"/>
      <c r="L3140" s="67"/>
      <c r="M3140" s="67"/>
      <c r="N3140" s="67"/>
      <c r="O3140" s="67"/>
    </row>
    <row r="3141" spans="1:15" ht="30">
      <c r="A3141" s="92" t="s">
        <v>7</v>
      </c>
      <c r="B3141" s="92" t="s">
        <v>671</v>
      </c>
      <c r="C3141" s="92" t="s">
        <v>679</v>
      </c>
      <c r="D3141" s="91" t="s">
        <v>679</v>
      </c>
      <c r="E3141" s="91" t="s">
        <v>6853</v>
      </c>
      <c r="F3141" s="91" t="s">
        <v>154</v>
      </c>
      <c r="G3141" s="91" t="s">
        <v>615</v>
      </c>
      <c r="H3141" s="93" t="s">
        <v>4</v>
      </c>
      <c r="I3141" s="92" t="s">
        <v>3765</v>
      </c>
      <c r="J3141" s="92" t="s">
        <v>2631</v>
      </c>
      <c r="K3141" s="67"/>
      <c r="L3141" s="67"/>
      <c r="M3141" s="67"/>
      <c r="N3141" s="67"/>
      <c r="O3141" s="67"/>
    </row>
    <row r="3142" spans="1:15" ht="30">
      <c r="A3142" s="92" t="s">
        <v>7</v>
      </c>
      <c r="B3142" s="92" t="s">
        <v>671</v>
      </c>
      <c r="C3142" s="92" t="s">
        <v>679</v>
      </c>
      <c r="D3142" s="91" t="s">
        <v>679</v>
      </c>
      <c r="E3142" s="91" t="s">
        <v>6854</v>
      </c>
      <c r="F3142" s="91" t="s">
        <v>154</v>
      </c>
      <c r="G3142" s="91" t="s">
        <v>615</v>
      </c>
      <c r="H3142" s="93" t="s">
        <v>4</v>
      </c>
      <c r="I3142" s="92" t="s">
        <v>3570</v>
      </c>
      <c r="J3142" s="92" t="s">
        <v>2631</v>
      </c>
      <c r="K3142" s="67"/>
      <c r="L3142" s="67"/>
      <c r="M3142" s="67"/>
      <c r="N3142" s="67"/>
      <c r="O3142" s="67"/>
    </row>
    <row r="3143" spans="1:15" ht="30">
      <c r="A3143" s="92" t="s">
        <v>7</v>
      </c>
      <c r="B3143" s="92" t="s">
        <v>671</v>
      </c>
      <c r="C3143" s="92" t="s">
        <v>679</v>
      </c>
      <c r="D3143" s="91" t="s">
        <v>679</v>
      </c>
      <c r="E3143" s="91" t="s">
        <v>6855</v>
      </c>
      <c r="F3143" s="91" t="s">
        <v>154</v>
      </c>
      <c r="G3143" s="91" t="s">
        <v>615</v>
      </c>
      <c r="H3143" s="93" t="s">
        <v>4</v>
      </c>
      <c r="I3143" s="92" t="s">
        <v>4333</v>
      </c>
      <c r="J3143" s="92" t="s">
        <v>2631</v>
      </c>
      <c r="K3143" s="67"/>
      <c r="L3143" s="67"/>
      <c r="M3143" s="67"/>
      <c r="N3143" s="67"/>
      <c r="O3143" s="67"/>
    </row>
    <row r="3144" spans="1:15" ht="30">
      <c r="A3144" s="92" t="s">
        <v>7</v>
      </c>
      <c r="B3144" s="92" t="s">
        <v>671</v>
      </c>
      <c r="C3144" s="92" t="s">
        <v>679</v>
      </c>
      <c r="D3144" s="91" t="s">
        <v>679</v>
      </c>
      <c r="E3144" s="91" t="s">
        <v>6856</v>
      </c>
      <c r="F3144" s="91" t="s">
        <v>154</v>
      </c>
      <c r="G3144" s="91" t="s">
        <v>615</v>
      </c>
      <c r="H3144" s="93" t="s">
        <v>6</v>
      </c>
      <c r="I3144" s="92" t="s">
        <v>4361</v>
      </c>
      <c r="J3144" s="92" t="s">
        <v>2631</v>
      </c>
      <c r="K3144" s="67"/>
      <c r="L3144" s="67"/>
      <c r="M3144" s="67"/>
      <c r="N3144" s="67"/>
      <c r="O3144" s="67"/>
    </row>
    <row r="3145" spans="1:15" ht="15">
      <c r="A3145" s="91" t="s">
        <v>10</v>
      </c>
      <c r="B3145" s="91" t="s">
        <v>10</v>
      </c>
      <c r="C3145" s="91" t="s">
        <v>166</v>
      </c>
      <c r="D3145" s="91" t="s">
        <v>166</v>
      </c>
      <c r="E3145" s="91" t="s">
        <v>6857</v>
      </c>
      <c r="F3145" s="91" t="s">
        <v>136</v>
      </c>
      <c r="G3145" s="91" t="s">
        <v>615</v>
      </c>
      <c r="H3145" s="93" t="s">
        <v>92</v>
      </c>
      <c r="I3145" s="92" t="s">
        <v>3185</v>
      </c>
      <c r="J3145" s="92">
        <v>9160936768</v>
      </c>
      <c r="K3145" s="67"/>
      <c r="L3145" s="67"/>
      <c r="M3145" s="67"/>
      <c r="N3145" s="67"/>
      <c r="O3145" s="67"/>
    </row>
    <row r="3146" spans="1:15" ht="30">
      <c r="A3146" s="91" t="s">
        <v>10</v>
      </c>
      <c r="B3146" s="91" t="s">
        <v>10</v>
      </c>
      <c r="C3146" s="91" t="s">
        <v>166</v>
      </c>
      <c r="D3146" s="91" t="s">
        <v>166</v>
      </c>
      <c r="E3146" s="91" t="s">
        <v>6858</v>
      </c>
      <c r="F3146" s="91" t="s">
        <v>114</v>
      </c>
      <c r="G3146" s="91" t="s">
        <v>85</v>
      </c>
      <c r="H3146" s="93" t="s">
        <v>92</v>
      </c>
      <c r="I3146" s="92" t="s">
        <v>3205</v>
      </c>
      <c r="J3146" s="92">
        <v>9182274121</v>
      </c>
      <c r="K3146" s="67"/>
      <c r="L3146" s="67"/>
      <c r="M3146" s="67"/>
      <c r="N3146" s="67"/>
      <c r="O3146" s="67"/>
    </row>
    <row r="3147" spans="1:15" ht="30">
      <c r="A3147" s="91" t="s">
        <v>10</v>
      </c>
      <c r="B3147" s="91" t="s">
        <v>10</v>
      </c>
      <c r="C3147" s="91" t="s">
        <v>166</v>
      </c>
      <c r="D3147" s="91" t="s">
        <v>166</v>
      </c>
      <c r="E3147" s="91" t="s">
        <v>6859</v>
      </c>
      <c r="F3147" s="91" t="s">
        <v>288</v>
      </c>
      <c r="G3147" s="91" t="s">
        <v>615</v>
      </c>
      <c r="H3147" s="93" t="s">
        <v>4</v>
      </c>
      <c r="I3147" s="92" t="s">
        <v>3210</v>
      </c>
      <c r="J3147" s="92">
        <v>9989800752</v>
      </c>
      <c r="K3147" s="67"/>
      <c r="L3147" s="67"/>
      <c r="M3147" s="67"/>
      <c r="N3147" s="67"/>
      <c r="O3147" s="67"/>
    </row>
    <row r="3148" spans="1:15" ht="45">
      <c r="A3148" s="91" t="s">
        <v>10</v>
      </c>
      <c r="B3148" s="91" t="s">
        <v>10</v>
      </c>
      <c r="C3148" s="91" t="s">
        <v>166</v>
      </c>
      <c r="D3148" s="91" t="s">
        <v>166</v>
      </c>
      <c r="E3148" s="91" t="s">
        <v>6860</v>
      </c>
      <c r="F3148" s="91" t="s">
        <v>288</v>
      </c>
      <c r="G3148" s="91" t="s">
        <v>615</v>
      </c>
      <c r="H3148" s="93" t="s">
        <v>4</v>
      </c>
      <c r="I3148" s="92" t="s">
        <v>6861</v>
      </c>
      <c r="J3148" s="67"/>
      <c r="K3148" s="67"/>
      <c r="L3148" s="67"/>
      <c r="M3148" s="67"/>
      <c r="N3148" s="67"/>
      <c r="O3148" s="67"/>
    </row>
    <row r="3149" spans="1:15" ht="30">
      <c r="A3149" s="91" t="s">
        <v>10</v>
      </c>
      <c r="B3149" s="91" t="s">
        <v>10</v>
      </c>
      <c r="C3149" s="91" t="s">
        <v>166</v>
      </c>
      <c r="D3149" s="91" t="s">
        <v>166</v>
      </c>
      <c r="E3149" s="91" t="s">
        <v>6862</v>
      </c>
      <c r="F3149" s="91" t="s">
        <v>288</v>
      </c>
      <c r="G3149" s="91" t="s">
        <v>615</v>
      </c>
      <c r="H3149" s="93" t="s">
        <v>6</v>
      </c>
      <c r="I3149" s="92" t="s">
        <v>3605</v>
      </c>
      <c r="J3149" s="67"/>
      <c r="K3149" s="67"/>
      <c r="L3149" s="67"/>
      <c r="M3149" s="67"/>
      <c r="N3149" s="67"/>
      <c r="O3149" s="67"/>
    </row>
    <row r="3150" spans="1:15" ht="45">
      <c r="A3150" s="92" t="s">
        <v>7</v>
      </c>
      <c r="B3150" s="92" t="s">
        <v>671</v>
      </c>
      <c r="C3150" s="92" t="s">
        <v>688</v>
      </c>
      <c r="D3150" s="91" t="s">
        <v>688</v>
      </c>
      <c r="E3150" s="91" t="s">
        <v>6863</v>
      </c>
      <c r="F3150" s="91" t="s">
        <v>586</v>
      </c>
      <c r="G3150" s="91" t="s">
        <v>615</v>
      </c>
      <c r="H3150" s="93" t="s">
        <v>5</v>
      </c>
      <c r="I3150" s="92" t="s">
        <v>6864</v>
      </c>
      <c r="J3150" s="92">
        <v>9441322029</v>
      </c>
      <c r="K3150" s="67"/>
      <c r="L3150" s="67"/>
      <c r="M3150" s="67"/>
      <c r="N3150" s="67"/>
      <c r="O3150" s="67"/>
    </row>
    <row r="3151" spans="1:15" ht="30">
      <c r="A3151" s="92" t="s">
        <v>7</v>
      </c>
      <c r="B3151" s="92" t="s">
        <v>671</v>
      </c>
      <c r="C3151" s="92" t="s">
        <v>688</v>
      </c>
      <c r="D3151" s="91" t="s">
        <v>688</v>
      </c>
      <c r="E3151" s="91" t="s">
        <v>6865</v>
      </c>
      <c r="F3151" s="91" t="s">
        <v>586</v>
      </c>
      <c r="G3151" s="91" t="s">
        <v>615</v>
      </c>
      <c r="H3151" s="93" t="s">
        <v>5</v>
      </c>
      <c r="I3151" s="92" t="s">
        <v>3508</v>
      </c>
      <c r="J3151" s="92">
        <v>7997119975</v>
      </c>
      <c r="K3151" s="67"/>
      <c r="L3151" s="67"/>
      <c r="M3151" s="67"/>
      <c r="N3151" s="67"/>
      <c r="O3151" s="67"/>
    </row>
    <row r="3152" spans="1:15" ht="30">
      <c r="A3152" s="92" t="s">
        <v>7</v>
      </c>
      <c r="B3152" s="92" t="s">
        <v>671</v>
      </c>
      <c r="C3152" s="92" t="s">
        <v>688</v>
      </c>
      <c r="D3152" s="91" t="s">
        <v>688</v>
      </c>
      <c r="E3152" s="91" t="s">
        <v>6866</v>
      </c>
      <c r="F3152" s="91" t="s">
        <v>586</v>
      </c>
      <c r="G3152" s="91" t="s">
        <v>615</v>
      </c>
      <c r="H3152" s="93" t="s">
        <v>5</v>
      </c>
      <c r="I3152" s="92" t="s">
        <v>3162</v>
      </c>
      <c r="J3152" s="92">
        <v>9951190728</v>
      </c>
      <c r="K3152" s="67"/>
      <c r="L3152" s="67"/>
      <c r="M3152" s="67"/>
      <c r="N3152" s="67"/>
      <c r="O3152" s="67"/>
    </row>
    <row r="3153" spans="1:15" ht="30">
      <c r="A3153" s="92" t="s">
        <v>7</v>
      </c>
      <c r="B3153" s="92" t="s">
        <v>671</v>
      </c>
      <c r="C3153" s="92" t="s">
        <v>688</v>
      </c>
      <c r="D3153" s="91" t="s">
        <v>688</v>
      </c>
      <c r="E3153" s="91" t="s">
        <v>6867</v>
      </c>
      <c r="F3153" s="91" t="s">
        <v>586</v>
      </c>
      <c r="G3153" s="91" t="s">
        <v>615</v>
      </c>
      <c r="H3153" s="93" t="s">
        <v>4</v>
      </c>
      <c r="I3153" s="92" t="s">
        <v>4333</v>
      </c>
      <c r="J3153" s="92">
        <v>9550734855</v>
      </c>
      <c r="K3153" s="67"/>
      <c r="L3153" s="67"/>
      <c r="M3153" s="67"/>
      <c r="N3153" s="67"/>
      <c r="O3153" s="67"/>
    </row>
    <row r="3154" spans="1:15" ht="30">
      <c r="A3154" s="92" t="s">
        <v>7</v>
      </c>
      <c r="B3154" s="92" t="s">
        <v>671</v>
      </c>
      <c r="C3154" s="92" t="s">
        <v>688</v>
      </c>
      <c r="D3154" s="91" t="s">
        <v>688</v>
      </c>
      <c r="E3154" s="91" t="s">
        <v>6868</v>
      </c>
      <c r="F3154" s="91" t="s">
        <v>586</v>
      </c>
      <c r="G3154" s="91" t="s">
        <v>615</v>
      </c>
      <c r="H3154" s="93" t="s">
        <v>4</v>
      </c>
      <c r="I3154" s="92" t="s">
        <v>3112</v>
      </c>
      <c r="J3154" s="92">
        <v>9492140566</v>
      </c>
      <c r="K3154" s="67"/>
      <c r="L3154" s="67"/>
      <c r="M3154" s="67"/>
      <c r="N3154" s="67"/>
      <c r="O3154" s="67"/>
    </row>
    <row r="3155" spans="1:15" ht="15">
      <c r="A3155" s="92" t="s">
        <v>7</v>
      </c>
      <c r="B3155" s="92" t="s">
        <v>706</v>
      </c>
      <c r="C3155" s="92" t="s">
        <v>735</v>
      </c>
      <c r="D3155" s="91" t="s">
        <v>735</v>
      </c>
      <c r="E3155" s="91" t="s">
        <v>6869</v>
      </c>
      <c r="F3155" s="91" t="s">
        <v>595</v>
      </c>
      <c r="G3155" s="91" t="s">
        <v>594</v>
      </c>
      <c r="H3155" s="93" t="s">
        <v>4</v>
      </c>
      <c r="I3155" s="92" t="s">
        <v>3112</v>
      </c>
      <c r="J3155" s="92">
        <v>9848067518</v>
      </c>
      <c r="K3155" s="67"/>
      <c r="L3155" s="67"/>
      <c r="M3155" s="67"/>
      <c r="N3155" s="67"/>
      <c r="O3155" s="67"/>
    </row>
    <row r="3156" spans="1:15" ht="15">
      <c r="A3156" s="92" t="s">
        <v>7</v>
      </c>
      <c r="B3156" s="92" t="s">
        <v>706</v>
      </c>
      <c r="C3156" s="92" t="s">
        <v>735</v>
      </c>
      <c r="D3156" s="91" t="s">
        <v>735</v>
      </c>
      <c r="E3156" s="91" t="s">
        <v>6870</v>
      </c>
      <c r="F3156" s="91" t="s">
        <v>595</v>
      </c>
      <c r="G3156" s="91" t="s">
        <v>594</v>
      </c>
      <c r="H3156" s="93" t="s">
        <v>4</v>
      </c>
      <c r="I3156" s="92" t="s">
        <v>3112</v>
      </c>
      <c r="J3156" s="92">
        <v>9000300433</v>
      </c>
      <c r="K3156" s="67"/>
      <c r="L3156" s="67"/>
      <c r="M3156" s="67"/>
      <c r="N3156" s="67"/>
      <c r="O3156" s="67"/>
    </row>
    <row r="3157" spans="1:15" ht="30">
      <c r="A3157" s="91" t="s">
        <v>7</v>
      </c>
      <c r="B3157" s="92" t="s">
        <v>706</v>
      </c>
      <c r="C3157" s="92" t="str">
        <f ca="1">IFERROR(__xludf.DUMMYFUNCTION("filter('Back End'!C:C,'Back End'!A:A=A3157,'Back End'!B:B=B3157,'Back End'!D:D=D3157)"),"Ravikampadu")</f>
        <v>Ravikampadu</v>
      </c>
      <c r="D3157" s="91" t="s">
        <v>735</v>
      </c>
      <c r="E3157" s="92" t="s">
        <v>6871</v>
      </c>
      <c r="F3157" s="91" t="s">
        <v>165</v>
      </c>
      <c r="G3157" s="91" t="s">
        <v>615</v>
      </c>
      <c r="H3157" s="93" t="s">
        <v>4</v>
      </c>
      <c r="I3157" s="92" t="s">
        <v>3181</v>
      </c>
      <c r="J3157" s="91">
        <v>9603430944</v>
      </c>
      <c r="K3157" s="92" t="s">
        <v>1593</v>
      </c>
      <c r="L3157" s="67"/>
      <c r="M3157" s="67"/>
      <c r="N3157" s="67"/>
      <c r="O3157" s="67"/>
    </row>
    <row r="3158" spans="1:15" ht="15">
      <c r="A3158" s="91" t="s">
        <v>7</v>
      </c>
      <c r="B3158" s="91" t="s">
        <v>706</v>
      </c>
      <c r="C3158" s="92" t="str">
        <f ca="1">IFERROR(__xludf.DUMMYFUNCTION("filter('Back End'!C:C,'Back End'!A:A=A3158,'Back End'!B:B=B3158,'Back End'!D:D=D3158)"),"Ravikampadu")</f>
        <v>Ravikampadu</v>
      </c>
      <c r="D3158" s="91" t="s">
        <v>735</v>
      </c>
      <c r="E3158" s="91" t="s">
        <v>6872</v>
      </c>
      <c r="F3158" s="91" t="s">
        <v>131</v>
      </c>
      <c r="G3158" s="91" t="s">
        <v>594</v>
      </c>
      <c r="H3158" s="93" t="s">
        <v>4</v>
      </c>
      <c r="I3158" s="92" t="s">
        <v>6873</v>
      </c>
      <c r="J3158" s="92">
        <v>8106104958</v>
      </c>
      <c r="K3158" s="67"/>
      <c r="L3158" s="67"/>
      <c r="M3158" s="67"/>
      <c r="N3158" s="67"/>
      <c r="O3158" s="67"/>
    </row>
    <row r="3159" spans="1:15" ht="15">
      <c r="A3159" s="91" t="s">
        <v>7</v>
      </c>
      <c r="B3159" s="100" t="s">
        <v>706</v>
      </c>
      <c r="C3159" s="97" t="str">
        <f ca="1">IFERROR(__xludf.DUMMYFUNCTION("filter('Back End'!C:C,'Back End'!A:A=A3159,'Back End'!B:B=B3159,'Back End'!D:D=D3159)"),"Ravikampadu")</f>
        <v>Ravikampadu</v>
      </c>
      <c r="D3159" s="100" t="s">
        <v>735</v>
      </c>
      <c r="E3159" s="100" t="s">
        <v>6874</v>
      </c>
      <c r="F3159" s="100" t="s">
        <v>139</v>
      </c>
      <c r="G3159" s="100" t="s">
        <v>594</v>
      </c>
      <c r="H3159" s="100" t="s">
        <v>4</v>
      </c>
      <c r="I3159" s="97" t="s">
        <v>3301</v>
      </c>
      <c r="J3159" s="97">
        <v>8885782885</v>
      </c>
      <c r="K3159" s="99"/>
      <c r="L3159" s="99"/>
      <c r="M3159" s="99"/>
      <c r="N3159" s="67"/>
      <c r="O3159" s="67"/>
    </row>
    <row r="3160" spans="1:15" ht="45.4">
      <c r="A3160" s="91" t="s">
        <v>7</v>
      </c>
      <c r="B3160" s="97" t="s">
        <v>706</v>
      </c>
      <c r="C3160" s="97" t="str">
        <f ca="1">IFERROR(__xludf.DUMMYFUNCTION("filter('Back End'!C:C,'Back End'!A:A=A3160,'Back End'!B:B=B3160,'Back End'!D:D=D3160)"),"Ravikampadu")</f>
        <v>Ravikampadu</v>
      </c>
      <c r="D3160" s="100" t="s">
        <v>735</v>
      </c>
      <c r="E3160" s="97" t="s">
        <v>6875</v>
      </c>
      <c r="F3160" s="100" t="s">
        <v>139</v>
      </c>
      <c r="G3160" s="100" t="s">
        <v>594</v>
      </c>
      <c r="H3160" s="100" t="s">
        <v>4</v>
      </c>
      <c r="I3160" s="97" t="s">
        <v>3767</v>
      </c>
      <c r="J3160" s="98">
        <v>9505584111</v>
      </c>
      <c r="K3160" s="97" t="s">
        <v>1608</v>
      </c>
      <c r="L3160" s="99"/>
      <c r="M3160" s="99"/>
      <c r="N3160" s="67"/>
      <c r="O3160" s="67"/>
    </row>
    <row r="3161" spans="1:15" ht="15">
      <c r="A3161" s="91" t="s">
        <v>7</v>
      </c>
      <c r="B3161" s="97" t="s">
        <v>706</v>
      </c>
      <c r="C3161" s="97" t="str">
        <f ca="1">IFERROR(__xludf.DUMMYFUNCTION("filter('Back End'!C:C,'Back End'!A:A=A3161,'Back End'!B:B=B3161,'Back End'!D:D=D3161)"),"Ravikampadu")</f>
        <v>Ravikampadu</v>
      </c>
      <c r="D3161" s="100" t="s">
        <v>735</v>
      </c>
      <c r="E3161" s="100" t="s">
        <v>6876</v>
      </c>
      <c r="F3161" s="100" t="s">
        <v>139</v>
      </c>
      <c r="G3161" s="100" t="s">
        <v>594</v>
      </c>
      <c r="H3161" s="100" t="s">
        <v>4</v>
      </c>
      <c r="I3161" s="97" t="s">
        <v>3112</v>
      </c>
      <c r="J3161" s="97">
        <v>8499893111</v>
      </c>
      <c r="K3161" s="99"/>
      <c r="L3161" s="99"/>
      <c r="M3161" s="99"/>
      <c r="N3161" s="67"/>
      <c r="O3161" s="67"/>
    </row>
    <row r="3162" spans="1:15" ht="15">
      <c r="A3162" s="91" t="s">
        <v>7</v>
      </c>
      <c r="B3162" s="97" t="s">
        <v>706</v>
      </c>
      <c r="C3162" s="97" t="str">
        <f ca="1">IFERROR(__xludf.DUMMYFUNCTION("filter('Back End'!C:C,'Back End'!A:A=A3162,'Back End'!B:B=B3162,'Back End'!D:D=D3162)"),"Ravikampadu")</f>
        <v>Ravikampadu</v>
      </c>
      <c r="D3162" s="100" t="s">
        <v>735</v>
      </c>
      <c r="E3162" s="100" t="s">
        <v>6877</v>
      </c>
      <c r="F3162" s="100" t="s">
        <v>114</v>
      </c>
      <c r="G3162" s="100" t="s">
        <v>85</v>
      </c>
      <c r="H3162" s="100" t="s">
        <v>4</v>
      </c>
      <c r="I3162" s="97" t="s">
        <v>3112</v>
      </c>
      <c r="J3162" s="97">
        <v>7036357470</v>
      </c>
      <c r="K3162" s="99"/>
      <c r="L3162" s="99"/>
      <c r="M3162" s="99"/>
      <c r="N3162" s="67"/>
      <c r="O3162" s="67"/>
    </row>
    <row r="3163" spans="1:15" ht="15">
      <c r="A3163" s="91" t="s">
        <v>7</v>
      </c>
      <c r="B3163" s="97" t="s">
        <v>706</v>
      </c>
      <c r="C3163" s="97" t="str">
        <f ca="1">IFERROR(__xludf.DUMMYFUNCTION("filter('Back End'!C:C,'Back End'!A:A=A3163,'Back End'!B:B=B3163,'Back End'!D:D=D3163)"),"Ravikampadu")</f>
        <v>Ravikampadu</v>
      </c>
      <c r="D3163" s="100" t="s">
        <v>735</v>
      </c>
      <c r="E3163" s="100" t="s">
        <v>6878</v>
      </c>
      <c r="F3163" s="100" t="s">
        <v>1673</v>
      </c>
      <c r="G3163" s="100" t="s">
        <v>615</v>
      </c>
      <c r="H3163" s="100" t="s">
        <v>4</v>
      </c>
      <c r="I3163" s="97" t="s">
        <v>3112</v>
      </c>
      <c r="J3163" s="97">
        <v>9849708209</v>
      </c>
      <c r="K3163" s="99"/>
      <c r="L3163" s="99"/>
      <c r="M3163" s="99"/>
      <c r="N3163" s="67"/>
      <c r="O3163" s="67"/>
    </row>
    <row r="3164" spans="1:15" ht="15">
      <c r="A3164" s="91" t="s">
        <v>7</v>
      </c>
      <c r="B3164" s="97" t="s">
        <v>706</v>
      </c>
      <c r="C3164" s="97" t="str">
        <f ca="1">IFERROR(__xludf.DUMMYFUNCTION("filter('Back End'!C:C,'Back End'!A:A=A3164,'Back End'!B:B=B3164,'Back End'!D:D=D3164)"),"Ravikampadu")</f>
        <v>Ravikampadu</v>
      </c>
      <c r="D3164" s="100" t="s">
        <v>735</v>
      </c>
      <c r="E3164" s="100" t="s">
        <v>6879</v>
      </c>
      <c r="F3164" s="100" t="s">
        <v>139</v>
      </c>
      <c r="G3164" s="100" t="s">
        <v>594</v>
      </c>
      <c r="H3164" s="100" t="s">
        <v>4</v>
      </c>
      <c r="I3164" s="97" t="s">
        <v>3112</v>
      </c>
      <c r="J3164" s="97">
        <v>9505831333</v>
      </c>
      <c r="K3164" s="99"/>
      <c r="L3164" s="99"/>
      <c r="M3164" s="99"/>
      <c r="N3164" s="67"/>
      <c r="O3164" s="67"/>
    </row>
    <row r="3165" spans="1:15" ht="15">
      <c r="A3165" s="91" t="s">
        <v>7</v>
      </c>
      <c r="B3165" s="97" t="s">
        <v>706</v>
      </c>
      <c r="C3165" s="97" t="str">
        <f ca="1">IFERROR(__xludf.DUMMYFUNCTION("filter('Back End'!C:C,'Back End'!A:A=A3165,'Back End'!B:B=B3165,'Back End'!D:D=D3165)"),"Ravikampadu")</f>
        <v>Ravikampadu</v>
      </c>
      <c r="D3165" s="100" t="s">
        <v>735</v>
      </c>
      <c r="E3165" s="100" t="s">
        <v>6880</v>
      </c>
      <c r="F3165" s="100" t="s">
        <v>131</v>
      </c>
      <c r="G3165" s="100" t="s">
        <v>594</v>
      </c>
      <c r="H3165" s="100" t="s">
        <v>4</v>
      </c>
      <c r="I3165" s="97" t="s">
        <v>3112</v>
      </c>
      <c r="J3165" s="97">
        <v>8106104958</v>
      </c>
      <c r="K3165" s="99"/>
      <c r="L3165" s="99"/>
      <c r="M3165" s="99"/>
      <c r="N3165" s="67"/>
      <c r="O3165" s="67"/>
    </row>
    <row r="3166" spans="1:15" ht="15">
      <c r="A3166" s="91" t="s">
        <v>7</v>
      </c>
      <c r="B3166" s="97" t="s">
        <v>706</v>
      </c>
      <c r="C3166" s="97" t="str">
        <f ca="1">IFERROR(__xludf.DUMMYFUNCTION("filter('Back End'!C:C,'Back End'!A:A=A3166,'Back End'!B:B=B3166,'Back End'!D:D=D3166)"),"Ravikampadu")</f>
        <v>Ravikampadu</v>
      </c>
      <c r="D3166" s="100" t="s">
        <v>735</v>
      </c>
      <c r="E3166" s="100" t="s">
        <v>6881</v>
      </c>
      <c r="F3166" s="100" t="s">
        <v>139</v>
      </c>
      <c r="G3166" s="100" t="s">
        <v>594</v>
      </c>
      <c r="H3166" s="100" t="s">
        <v>4</v>
      </c>
      <c r="I3166" s="97" t="s">
        <v>3112</v>
      </c>
      <c r="J3166" s="97">
        <v>9652290004</v>
      </c>
      <c r="K3166" s="99"/>
      <c r="L3166" s="99"/>
      <c r="M3166" s="99"/>
      <c r="N3166" s="67"/>
      <c r="O3166" s="67"/>
    </row>
    <row r="3167" spans="1:15" ht="15">
      <c r="A3167" s="91" t="s">
        <v>7</v>
      </c>
      <c r="B3167" s="97" t="s">
        <v>706</v>
      </c>
      <c r="C3167" s="97" t="str">
        <f ca="1">IFERROR(__xludf.DUMMYFUNCTION("filter('Back End'!C:C,'Back End'!A:A=A3167,'Back End'!B:B=B3167,'Back End'!D:D=D3167)"),"Ravikampadu")</f>
        <v>Ravikampadu</v>
      </c>
      <c r="D3167" s="100" t="s">
        <v>735</v>
      </c>
      <c r="E3167" s="100" t="s">
        <v>6882</v>
      </c>
      <c r="F3167" s="100" t="s">
        <v>1669</v>
      </c>
      <c r="G3167" s="100" t="s">
        <v>594</v>
      </c>
      <c r="H3167" s="100" t="s">
        <v>4</v>
      </c>
      <c r="I3167" s="97" t="s">
        <v>3112</v>
      </c>
      <c r="J3167" s="97">
        <v>8688757542</v>
      </c>
      <c r="K3167" s="99"/>
      <c r="L3167" s="99"/>
      <c r="M3167" s="99"/>
      <c r="N3167" s="67"/>
      <c r="O3167" s="67"/>
    </row>
    <row r="3168" spans="1:15" ht="15">
      <c r="A3168" s="91" t="s">
        <v>7</v>
      </c>
      <c r="B3168" s="97" t="s">
        <v>706</v>
      </c>
      <c r="C3168" s="97" t="str">
        <f ca="1">IFERROR(__xludf.DUMMYFUNCTION("filter('Back End'!C:C,'Back End'!A:A=A3168,'Back End'!B:B=B3168,'Back End'!D:D=D3168)"),"Ravikampadu")</f>
        <v>Ravikampadu</v>
      </c>
      <c r="D3168" s="100" t="s">
        <v>735</v>
      </c>
      <c r="E3168" s="100" t="s">
        <v>6883</v>
      </c>
      <c r="F3168" s="100" t="s">
        <v>139</v>
      </c>
      <c r="G3168" s="100" t="s">
        <v>594</v>
      </c>
      <c r="H3168" s="100" t="s">
        <v>5</v>
      </c>
      <c r="I3168" s="97" t="s">
        <v>3115</v>
      </c>
      <c r="J3168" s="97">
        <v>9848552355</v>
      </c>
      <c r="K3168" s="99"/>
      <c r="L3168" s="99"/>
      <c r="M3168" s="99"/>
      <c r="N3168" s="67"/>
      <c r="O3168" s="67"/>
    </row>
    <row r="3169" spans="1:15" ht="30">
      <c r="A3169" s="91" t="s">
        <v>7</v>
      </c>
      <c r="B3169" s="97" t="s">
        <v>706</v>
      </c>
      <c r="C3169" s="97" t="str">
        <f ca="1">IFERROR(__xludf.DUMMYFUNCTION("filter('Back End'!C:C,'Back End'!A:A=A3169,'Back End'!B:B=B3169,'Back End'!D:D=D3169)"),"Ravikampadu")</f>
        <v>Ravikampadu</v>
      </c>
      <c r="D3169" s="100" t="s">
        <v>735</v>
      </c>
      <c r="E3169" s="100" t="s">
        <v>6884</v>
      </c>
      <c r="F3169" s="100" t="s">
        <v>139</v>
      </c>
      <c r="G3169" s="100" t="s">
        <v>594</v>
      </c>
      <c r="H3169" s="100" t="s">
        <v>5</v>
      </c>
      <c r="I3169" s="97" t="s">
        <v>3205</v>
      </c>
      <c r="J3169" s="97">
        <v>9542861775</v>
      </c>
      <c r="K3169" s="99"/>
      <c r="L3169" s="99"/>
      <c r="M3169" s="99"/>
      <c r="N3169" s="67"/>
      <c r="O3169" s="67"/>
    </row>
    <row r="3170" spans="1:15" ht="15">
      <c r="A3170" s="91" t="s">
        <v>7</v>
      </c>
      <c r="B3170" s="97" t="s">
        <v>706</v>
      </c>
      <c r="C3170" s="97" t="str">
        <f ca="1">IFERROR(__xludf.DUMMYFUNCTION("filter('Back End'!C:C,'Back End'!A:A=A3170,'Back End'!B:B=B3170,'Back End'!D:D=D3170)"),"Ravikampadu")</f>
        <v>Ravikampadu</v>
      </c>
      <c r="D3170" s="100" t="s">
        <v>735</v>
      </c>
      <c r="E3170" s="100" t="s">
        <v>6885</v>
      </c>
      <c r="F3170" s="100" t="s">
        <v>139</v>
      </c>
      <c r="G3170" s="100" t="s">
        <v>594</v>
      </c>
      <c r="H3170" s="100" t="s">
        <v>5</v>
      </c>
      <c r="I3170" s="97" t="s">
        <v>3112</v>
      </c>
      <c r="J3170" s="97" t="s">
        <v>2631</v>
      </c>
      <c r="K3170" s="99"/>
      <c r="L3170" s="99"/>
      <c r="M3170" s="99"/>
      <c r="N3170" s="67"/>
      <c r="O3170" s="67"/>
    </row>
    <row r="3171" spans="1:15" ht="30">
      <c r="A3171" s="91" t="s">
        <v>7</v>
      </c>
      <c r="B3171" s="97" t="s">
        <v>706</v>
      </c>
      <c r="C3171" s="97" t="str">
        <f ca="1">IFERROR(__xludf.DUMMYFUNCTION("filter('Back End'!C:C,'Back End'!A:A=A3171,'Back End'!B:B=B3171,'Back End'!D:D=D3171)"),"Ravikampadu")</f>
        <v>Ravikampadu</v>
      </c>
      <c r="D3171" s="100" t="s">
        <v>735</v>
      </c>
      <c r="E3171" s="100" t="s">
        <v>6886</v>
      </c>
      <c r="F3171" s="100" t="s">
        <v>139</v>
      </c>
      <c r="G3171" s="100" t="s">
        <v>594</v>
      </c>
      <c r="H3171" s="100" t="s">
        <v>6</v>
      </c>
      <c r="I3171" s="97" t="s">
        <v>5530</v>
      </c>
      <c r="J3171" s="97">
        <v>9951885854</v>
      </c>
      <c r="K3171" s="99"/>
      <c r="L3171" s="99"/>
      <c r="M3171" s="99"/>
      <c r="N3171" s="67"/>
      <c r="O3171" s="67"/>
    </row>
    <row r="3172" spans="1:15" ht="15">
      <c r="A3172" s="91" t="s">
        <v>7</v>
      </c>
      <c r="B3172" s="97" t="s">
        <v>706</v>
      </c>
      <c r="C3172" s="97" t="str">
        <f ca="1">IFERROR(__xludf.DUMMYFUNCTION("filter('Back End'!C:C,'Back End'!A:A=A3172,'Back End'!B:B=B3172,'Back End'!D:D=D3172)"),"Ravikampadu")</f>
        <v>Ravikampadu</v>
      </c>
      <c r="D3172" s="100" t="s">
        <v>735</v>
      </c>
      <c r="E3172" s="100" t="s">
        <v>6887</v>
      </c>
      <c r="F3172" s="100" t="s">
        <v>139</v>
      </c>
      <c r="G3172" s="100" t="s">
        <v>594</v>
      </c>
      <c r="H3172" s="100" t="s">
        <v>6</v>
      </c>
      <c r="I3172" s="97" t="s">
        <v>3112</v>
      </c>
      <c r="J3172" s="97">
        <v>9848155055</v>
      </c>
      <c r="K3172" s="99"/>
      <c r="L3172" s="99"/>
      <c r="M3172" s="99"/>
      <c r="N3172" s="67"/>
      <c r="O3172" s="67"/>
    </row>
    <row r="3173" spans="1:15" ht="30">
      <c r="A3173" s="92" t="s">
        <v>7</v>
      </c>
      <c r="B3173" s="97" t="s">
        <v>706</v>
      </c>
      <c r="C3173" s="97" t="s">
        <v>735</v>
      </c>
      <c r="D3173" s="100" t="s">
        <v>735</v>
      </c>
      <c r="E3173" s="100" t="s">
        <v>6888</v>
      </c>
      <c r="F3173" s="100" t="s">
        <v>595</v>
      </c>
      <c r="G3173" s="100" t="s">
        <v>594</v>
      </c>
      <c r="H3173" s="100" t="s">
        <v>5</v>
      </c>
      <c r="I3173" s="97" t="s">
        <v>3212</v>
      </c>
      <c r="J3173" s="97">
        <v>9848559355</v>
      </c>
      <c r="K3173" s="99"/>
      <c r="L3173" s="99"/>
      <c r="M3173" s="99"/>
      <c r="N3173" s="67"/>
      <c r="O3173" s="67"/>
    </row>
    <row r="3174" spans="1:15" ht="15">
      <c r="A3174" s="126" t="s">
        <v>7</v>
      </c>
      <c r="B3174" s="102" t="s">
        <v>706</v>
      </c>
      <c r="C3174" s="102" t="s">
        <v>735</v>
      </c>
      <c r="D3174" s="93" t="s">
        <v>735</v>
      </c>
      <c r="E3174" s="93" t="s">
        <v>6889</v>
      </c>
      <c r="F3174" s="93" t="s">
        <v>595</v>
      </c>
      <c r="G3174" s="93" t="s">
        <v>594</v>
      </c>
      <c r="H3174" s="93" t="s">
        <v>5</v>
      </c>
      <c r="I3174" s="102" t="s">
        <v>3125</v>
      </c>
      <c r="J3174" s="102">
        <v>9705826550</v>
      </c>
      <c r="K3174" s="95"/>
      <c r="L3174" s="95"/>
      <c r="M3174" s="99"/>
      <c r="N3174" s="67"/>
      <c r="O3174" s="67"/>
    </row>
    <row r="3175" spans="1:15" ht="15">
      <c r="A3175" s="126" t="s">
        <v>7</v>
      </c>
      <c r="B3175" s="102" t="s">
        <v>706</v>
      </c>
      <c r="C3175" s="102" t="s">
        <v>735</v>
      </c>
      <c r="D3175" s="93" t="s">
        <v>735</v>
      </c>
      <c r="E3175" s="93" t="s">
        <v>6890</v>
      </c>
      <c r="F3175" s="93" t="s">
        <v>595</v>
      </c>
      <c r="G3175" s="93" t="s">
        <v>594</v>
      </c>
      <c r="H3175" s="93" t="s">
        <v>5</v>
      </c>
      <c r="I3175" s="102" t="s">
        <v>3535</v>
      </c>
      <c r="J3175" s="102">
        <v>9848230767</v>
      </c>
      <c r="K3175" s="95"/>
      <c r="L3175" s="95"/>
      <c r="M3175" s="99"/>
      <c r="N3175" s="67"/>
      <c r="O3175" s="67"/>
    </row>
    <row r="3176" spans="1:15" ht="15">
      <c r="A3176" s="126" t="s">
        <v>7</v>
      </c>
      <c r="B3176" s="102" t="s">
        <v>706</v>
      </c>
      <c r="C3176" s="102" t="s">
        <v>735</v>
      </c>
      <c r="D3176" s="93" t="s">
        <v>735</v>
      </c>
      <c r="E3176" s="93" t="s">
        <v>6891</v>
      </c>
      <c r="F3176" s="93" t="s">
        <v>595</v>
      </c>
      <c r="G3176" s="93" t="s">
        <v>594</v>
      </c>
      <c r="H3176" s="93" t="s">
        <v>5</v>
      </c>
      <c r="I3176" s="102" t="s">
        <v>3112</v>
      </c>
      <c r="J3176" s="102">
        <v>9553731131</v>
      </c>
      <c r="K3176" s="95"/>
      <c r="L3176" s="95"/>
      <c r="M3176" s="99"/>
      <c r="N3176" s="67"/>
      <c r="O3176" s="67"/>
    </row>
    <row r="3177" spans="1:15" ht="30">
      <c r="A3177" s="91" t="s">
        <v>7</v>
      </c>
      <c r="B3177" s="97" t="s">
        <v>706</v>
      </c>
      <c r="C3177" s="97" t="str">
        <f ca="1">IFERROR(__xludf.DUMMYFUNCTION("filter('Back End'!C:C,'Back End'!A:A=A3177,'Back End'!B:B=B3177,'Back End'!D:D=D3177)"),"Ravikampadu")</f>
        <v>Ravikampadu</v>
      </c>
      <c r="D3177" s="100" t="s">
        <v>735</v>
      </c>
      <c r="E3177" s="97" t="s">
        <v>6892</v>
      </c>
      <c r="F3177" s="100" t="s">
        <v>595</v>
      </c>
      <c r="G3177" s="100" t="s">
        <v>594</v>
      </c>
      <c r="H3177" s="100" t="s">
        <v>5</v>
      </c>
      <c r="I3177" s="97" t="s">
        <v>6893</v>
      </c>
      <c r="J3177" s="99"/>
      <c r="K3177" s="97" t="s">
        <v>1613</v>
      </c>
      <c r="L3177" s="99"/>
      <c r="M3177" s="99"/>
      <c r="N3177" s="67"/>
      <c r="O3177" s="67"/>
    </row>
    <row r="3178" spans="1:15" ht="15">
      <c r="A3178" s="91" t="s">
        <v>7</v>
      </c>
      <c r="B3178" s="91" t="s">
        <v>706</v>
      </c>
      <c r="C3178" s="92" t="str">
        <f ca="1">IFERROR(__xludf.DUMMYFUNCTION("filter('Back End'!C:C,'Back End'!A:A=A3178,'Back End'!B:B=B3178,'Back End'!D:D=D3178)"),"Ravikampadu")</f>
        <v>Ravikampadu</v>
      </c>
      <c r="D3178" s="91" t="s">
        <v>735</v>
      </c>
      <c r="E3178" s="91" t="s">
        <v>6894</v>
      </c>
      <c r="F3178" s="91" t="s">
        <v>595</v>
      </c>
      <c r="G3178" s="91" t="s">
        <v>594</v>
      </c>
      <c r="H3178" s="93" t="s">
        <v>5</v>
      </c>
      <c r="I3178" s="67"/>
      <c r="J3178" s="92">
        <v>9705826550</v>
      </c>
      <c r="K3178" s="67"/>
      <c r="L3178" s="67"/>
      <c r="M3178" s="67"/>
      <c r="N3178" s="67"/>
      <c r="O3178" s="67"/>
    </row>
    <row r="3179" spans="1:15" ht="15">
      <c r="A3179" s="91" t="s">
        <v>7</v>
      </c>
      <c r="B3179" s="91" t="s">
        <v>706</v>
      </c>
      <c r="C3179" s="92" t="str">
        <f ca="1">IFERROR(__xludf.DUMMYFUNCTION("filter('Back End'!C:C,'Back End'!A:A=A3179,'Back End'!B:B=B3179,'Back End'!D:D=D3179)"),"Ravikampadu")</f>
        <v>Ravikampadu</v>
      </c>
      <c r="D3179" s="91" t="s">
        <v>735</v>
      </c>
      <c r="E3179" s="91" t="s">
        <v>6895</v>
      </c>
      <c r="F3179" s="91" t="s">
        <v>595</v>
      </c>
      <c r="G3179" s="91" t="s">
        <v>594</v>
      </c>
      <c r="H3179" s="93" t="s">
        <v>5</v>
      </c>
      <c r="I3179" s="67"/>
      <c r="J3179" s="92">
        <v>9182652413</v>
      </c>
      <c r="K3179" s="67"/>
      <c r="L3179" s="67"/>
      <c r="M3179" s="67"/>
      <c r="N3179" s="67"/>
      <c r="O3179" s="67"/>
    </row>
    <row r="3180" spans="1:15" ht="15">
      <c r="A3180" s="91" t="s">
        <v>7</v>
      </c>
      <c r="B3180" s="92" t="s">
        <v>671</v>
      </c>
      <c r="C3180" s="92" t="s">
        <v>671</v>
      </c>
      <c r="D3180" s="91" t="s">
        <v>671</v>
      </c>
      <c r="E3180" s="91" t="s">
        <v>6896</v>
      </c>
      <c r="F3180" s="91" t="s">
        <v>114</v>
      </c>
      <c r="G3180" s="91" t="s">
        <v>85</v>
      </c>
      <c r="H3180" s="93" t="s">
        <v>92</v>
      </c>
      <c r="I3180" s="92" t="s">
        <v>3115</v>
      </c>
      <c r="J3180" s="92">
        <v>9440411887</v>
      </c>
      <c r="K3180" s="67"/>
      <c r="L3180" s="67"/>
      <c r="M3180" s="67"/>
      <c r="N3180" s="67"/>
      <c r="O3180" s="67"/>
    </row>
    <row r="3181" spans="1:15" ht="15">
      <c r="A3181" s="91" t="s">
        <v>7</v>
      </c>
      <c r="B3181" s="92" t="s">
        <v>671</v>
      </c>
      <c r="C3181" s="92" t="s">
        <v>671</v>
      </c>
      <c r="D3181" s="91" t="s">
        <v>671</v>
      </c>
      <c r="E3181" s="91" t="s">
        <v>6897</v>
      </c>
      <c r="F3181" s="91" t="s">
        <v>1665</v>
      </c>
      <c r="G3181" s="91" t="s">
        <v>615</v>
      </c>
      <c r="H3181" s="93" t="s">
        <v>92</v>
      </c>
      <c r="I3181" s="92" t="s">
        <v>3185</v>
      </c>
      <c r="J3181" s="92">
        <v>9440989655</v>
      </c>
      <c r="K3181" s="67"/>
      <c r="L3181" s="67"/>
      <c r="M3181" s="67"/>
      <c r="N3181" s="67"/>
      <c r="O3181" s="67"/>
    </row>
    <row r="3182" spans="1:15" ht="15">
      <c r="A3182" s="91" t="s">
        <v>7</v>
      </c>
      <c r="B3182" s="92" t="s">
        <v>671</v>
      </c>
      <c r="C3182" s="92" t="s">
        <v>671</v>
      </c>
      <c r="D3182" s="91" t="s">
        <v>671</v>
      </c>
      <c r="E3182" s="91" t="s">
        <v>6898</v>
      </c>
      <c r="F3182" s="91" t="s">
        <v>586</v>
      </c>
      <c r="G3182" s="91" t="s">
        <v>615</v>
      </c>
      <c r="H3182" s="93" t="s">
        <v>92</v>
      </c>
      <c r="I3182" s="92" t="s">
        <v>6899</v>
      </c>
      <c r="J3182" s="92">
        <v>9908877663</v>
      </c>
      <c r="K3182" s="67"/>
      <c r="L3182" s="67"/>
      <c r="M3182" s="67"/>
      <c r="N3182" s="67"/>
      <c r="O3182" s="67"/>
    </row>
    <row r="3183" spans="1:15" ht="30">
      <c r="A3183" s="91" t="s">
        <v>7</v>
      </c>
      <c r="B3183" s="92" t="s">
        <v>671</v>
      </c>
      <c r="C3183" s="92" t="s">
        <v>671</v>
      </c>
      <c r="D3183" s="91" t="s">
        <v>671</v>
      </c>
      <c r="E3183" s="91" t="s">
        <v>6900</v>
      </c>
      <c r="F3183" s="91" t="s">
        <v>154</v>
      </c>
      <c r="G3183" s="91" t="s">
        <v>615</v>
      </c>
      <c r="H3183" s="93" t="s">
        <v>92</v>
      </c>
      <c r="I3183" s="92" t="s">
        <v>6901</v>
      </c>
      <c r="J3183" s="92">
        <v>9701022136</v>
      </c>
      <c r="K3183" s="67"/>
      <c r="L3183" s="67"/>
      <c r="M3183" s="67"/>
      <c r="N3183" s="67"/>
      <c r="O3183" s="67"/>
    </row>
    <row r="3184" spans="1:15" ht="30">
      <c r="A3184" s="91" t="s">
        <v>7</v>
      </c>
      <c r="B3184" s="92" t="s">
        <v>671</v>
      </c>
      <c r="C3184" s="92" t="s">
        <v>671</v>
      </c>
      <c r="D3184" s="91" t="s">
        <v>671</v>
      </c>
      <c r="E3184" s="91" t="s">
        <v>6182</v>
      </c>
      <c r="F3184" s="91" t="s">
        <v>165</v>
      </c>
      <c r="G3184" s="91" t="s">
        <v>615</v>
      </c>
      <c r="H3184" s="93" t="s">
        <v>92</v>
      </c>
      <c r="I3184" s="92" t="s">
        <v>3508</v>
      </c>
      <c r="J3184" s="92">
        <v>9182169979</v>
      </c>
      <c r="K3184" s="67"/>
      <c r="L3184" s="67"/>
      <c r="M3184" s="67"/>
      <c r="N3184" s="67"/>
      <c r="O3184" s="67"/>
    </row>
    <row r="3185" spans="1:15" ht="60">
      <c r="A3185" s="91" t="s">
        <v>7</v>
      </c>
      <c r="B3185" s="92" t="s">
        <v>671</v>
      </c>
      <c r="C3185" s="92" t="s">
        <v>671</v>
      </c>
      <c r="D3185" s="91" t="s">
        <v>671</v>
      </c>
      <c r="E3185" s="91" t="s">
        <v>6902</v>
      </c>
      <c r="F3185" s="91" t="s">
        <v>114</v>
      </c>
      <c r="G3185" s="91" t="s">
        <v>85</v>
      </c>
      <c r="H3185" s="93" t="s">
        <v>4</v>
      </c>
      <c r="I3185" s="92" t="s">
        <v>6903</v>
      </c>
      <c r="J3185" s="92">
        <v>9441709226</v>
      </c>
      <c r="K3185" s="67"/>
      <c r="L3185" s="67"/>
      <c r="M3185" s="67"/>
      <c r="N3185" s="67"/>
      <c r="O3185" s="67"/>
    </row>
    <row r="3186" spans="1:15" ht="15">
      <c r="A3186" s="91" t="s">
        <v>7</v>
      </c>
      <c r="B3186" s="92" t="s">
        <v>671</v>
      </c>
      <c r="C3186" s="92" t="s">
        <v>671</v>
      </c>
      <c r="D3186" s="91" t="s">
        <v>671</v>
      </c>
      <c r="E3186" s="91" t="s">
        <v>6904</v>
      </c>
      <c r="F3186" s="91" t="s">
        <v>131</v>
      </c>
      <c r="G3186" s="91" t="s">
        <v>594</v>
      </c>
      <c r="H3186" s="93" t="s">
        <v>4</v>
      </c>
      <c r="I3186" s="92" t="s">
        <v>3384</v>
      </c>
      <c r="J3186" s="92">
        <v>9441113148</v>
      </c>
      <c r="K3186" s="67"/>
      <c r="L3186" s="67"/>
      <c r="M3186" s="67"/>
      <c r="N3186" s="67"/>
      <c r="O3186" s="67"/>
    </row>
    <row r="3187" spans="1:15" ht="30">
      <c r="A3187" s="91" t="s">
        <v>7</v>
      </c>
      <c r="B3187" s="92" t="s">
        <v>671</v>
      </c>
      <c r="C3187" s="92" t="s">
        <v>671</v>
      </c>
      <c r="D3187" s="91" t="s">
        <v>671</v>
      </c>
      <c r="E3187" s="91" t="s">
        <v>6905</v>
      </c>
      <c r="F3187" s="91" t="s">
        <v>586</v>
      </c>
      <c r="G3187" s="91" t="s">
        <v>615</v>
      </c>
      <c r="H3187" s="93" t="s">
        <v>6</v>
      </c>
      <c r="I3187" s="92" t="s">
        <v>3495</v>
      </c>
      <c r="J3187" s="92" t="s">
        <v>2631</v>
      </c>
      <c r="K3187" s="67"/>
      <c r="L3187" s="67"/>
      <c r="M3187" s="67"/>
      <c r="N3187" s="67"/>
      <c r="O3187" s="67"/>
    </row>
    <row r="3188" spans="1:15" ht="30">
      <c r="A3188" s="92" t="s">
        <v>19</v>
      </c>
      <c r="B3188" s="92" t="s">
        <v>147</v>
      </c>
      <c r="C3188" s="92" t="s">
        <v>148</v>
      </c>
      <c r="D3188" s="91" t="s">
        <v>148</v>
      </c>
      <c r="E3188" s="91" t="s">
        <v>6906</v>
      </c>
      <c r="F3188" s="91" t="s">
        <v>139</v>
      </c>
      <c r="G3188" s="91" t="s">
        <v>594</v>
      </c>
      <c r="H3188" s="93" t="s">
        <v>5</v>
      </c>
      <c r="I3188" s="92" t="s">
        <v>3212</v>
      </c>
      <c r="J3188" s="92">
        <v>9912554728</v>
      </c>
      <c r="K3188" s="67"/>
      <c r="L3188" s="67"/>
      <c r="M3188" s="67"/>
      <c r="N3188" s="67"/>
      <c r="O3188" s="67"/>
    </row>
    <row r="3189" spans="1:15" ht="30">
      <c r="A3189" s="92" t="s">
        <v>19</v>
      </c>
      <c r="B3189" s="92" t="s">
        <v>147</v>
      </c>
      <c r="C3189" s="92" t="s">
        <v>148</v>
      </c>
      <c r="D3189" s="91" t="s">
        <v>148</v>
      </c>
      <c r="E3189" s="91" t="s">
        <v>6907</v>
      </c>
      <c r="F3189" s="91" t="s">
        <v>139</v>
      </c>
      <c r="G3189" s="91" t="s">
        <v>594</v>
      </c>
      <c r="H3189" s="93" t="s">
        <v>5</v>
      </c>
      <c r="I3189" s="92" t="s">
        <v>3212</v>
      </c>
      <c r="J3189" s="92">
        <v>9491435361</v>
      </c>
      <c r="K3189" s="67"/>
      <c r="L3189" s="67"/>
      <c r="M3189" s="67"/>
      <c r="N3189" s="67"/>
      <c r="O3189" s="67"/>
    </row>
    <row r="3190" spans="1:15" ht="15">
      <c r="A3190" s="92" t="s">
        <v>19</v>
      </c>
      <c r="B3190" s="92" t="s">
        <v>147</v>
      </c>
      <c r="C3190" s="92" t="s">
        <v>148</v>
      </c>
      <c r="D3190" s="91" t="s">
        <v>148</v>
      </c>
      <c r="E3190" s="91" t="s">
        <v>6908</v>
      </c>
      <c r="F3190" s="91" t="s">
        <v>139</v>
      </c>
      <c r="G3190" s="91" t="s">
        <v>594</v>
      </c>
      <c r="H3190" s="93" t="s">
        <v>5</v>
      </c>
      <c r="I3190" s="92" t="s">
        <v>3185</v>
      </c>
      <c r="J3190" s="92">
        <v>9908684352</v>
      </c>
      <c r="K3190" s="67"/>
      <c r="L3190" s="67"/>
      <c r="M3190" s="67"/>
      <c r="N3190" s="67"/>
      <c r="O3190" s="67"/>
    </row>
    <row r="3191" spans="1:15" ht="15">
      <c r="A3191" s="92" t="s">
        <v>19</v>
      </c>
      <c r="B3191" s="92" t="s">
        <v>147</v>
      </c>
      <c r="C3191" s="92" t="s">
        <v>148</v>
      </c>
      <c r="D3191" s="91" t="s">
        <v>148</v>
      </c>
      <c r="E3191" s="91" t="s">
        <v>6909</v>
      </c>
      <c r="F3191" s="91" t="s">
        <v>139</v>
      </c>
      <c r="G3191" s="91" t="s">
        <v>594</v>
      </c>
      <c r="H3191" s="93" t="s">
        <v>5</v>
      </c>
      <c r="I3191" s="92" t="s">
        <v>3112</v>
      </c>
      <c r="J3191" s="92">
        <v>8977766669</v>
      </c>
      <c r="K3191" s="67"/>
      <c r="L3191" s="67"/>
      <c r="M3191" s="67"/>
      <c r="N3191" s="67"/>
      <c r="O3191" s="67"/>
    </row>
    <row r="3192" spans="1:15" ht="15">
      <c r="A3192" s="92" t="s">
        <v>19</v>
      </c>
      <c r="B3192" s="92" t="s">
        <v>147</v>
      </c>
      <c r="C3192" s="92" t="s">
        <v>148</v>
      </c>
      <c r="D3192" s="91" t="s">
        <v>148</v>
      </c>
      <c r="E3192" s="91" t="s">
        <v>6910</v>
      </c>
      <c r="F3192" s="91" t="s">
        <v>139</v>
      </c>
      <c r="G3192" s="91" t="s">
        <v>594</v>
      </c>
      <c r="H3192" s="93" t="s">
        <v>4</v>
      </c>
      <c r="I3192" s="92" t="s">
        <v>3181</v>
      </c>
      <c r="J3192" s="92">
        <v>9949425657</v>
      </c>
      <c r="K3192" s="67"/>
      <c r="L3192" s="67"/>
      <c r="M3192" s="67"/>
      <c r="N3192" s="67"/>
      <c r="O3192" s="67"/>
    </row>
    <row r="3193" spans="1:15" ht="45">
      <c r="A3193" s="92" t="s">
        <v>19</v>
      </c>
      <c r="B3193" s="92" t="s">
        <v>147</v>
      </c>
      <c r="C3193" s="92" t="s">
        <v>148</v>
      </c>
      <c r="D3193" s="91" t="s">
        <v>148</v>
      </c>
      <c r="E3193" s="91" t="s">
        <v>6911</v>
      </c>
      <c r="F3193" s="91" t="s">
        <v>139</v>
      </c>
      <c r="G3193" s="91" t="s">
        <v>594</v>
      </c>
      <c r="H3193" s="93" t="s">
        <v>4</v>
      </c>
      <c r="I3193" s="92" t="s">
        <v>6912</v>
      </c>
      <c r="J3193" s="92">
        <v>9849327073</v>
      </c>
      <c r="K3193" s="67"/>
      <c r="L3193" s="67"/>
      <c r="M3193" s="67"/>
      <c r="N3193" s="67"/>
      <c r="O3193" s="67"/>
    </row>
    <row r="3194" spans="1:15" ht="45">
      <c r="A3194" s="92" t="s">
        <v>19</v>
      </c>
      <c r="B3194" s="92" t="s">
        <v>147</v>
      </c>
      <c r="C3194" s="92" t="s">
        <v>148</v>
      </c>
      <c r="D3194" s="91" t="s">
        <v>148</v>
      </c>
      <c r="E3194" s="91" t="s">
        <v>6913</v>
      </c>
      <c r="F3194" s="91" t="s">
        <v>139</v>
      </c>
      <c r="G3194" s="91" t="s">
        <v>594</v>
      </c>
      <c r="H3194" s="93" t="s">
        <v>4</v>
      </c>
      <c r="I3194" s="92" t="s">
        <v>6914</v>
      </c>
      <c r="J3194" s="92">
        <v>9989768402</v>
      </c>
      <c r="K3194" s="67"/>
      <c r="L3194" s="67"/>
      <c r="M3194" s="67"/>
      <c r="N3194" s="67"/>
      <c r="O3194" s="67"/>
    </row>
    <row r="3195" spans="1:15" ht="30">
      <c r="A3195" s="92" t="s">
        <v>19</v>
      </c>
      <c r="B3195" s="92" t="s">
        <v>147</v>
      </c>
      <c r="C3195" s="92" t="s">
        <v>148</v>
      </c>
      <c r="D3195" s="91" t="s">
        <v>148</v>
      </c>
      <c r="E3195" s="91" t="s">
        <v>6915</v>
      </c>
      <c r="F3195" s="91" t="s">
        <v>139</v>
      </c>
      <c r="G3195" s="91" t="s">
        <v>594</v>
      </c>
      <c r="H3195" s="93" t="s">
        <v>4</v>
      </c>
      <c r="I3195" s="92" t="s">
        <v>4333</v>
      </c>
      <c r="J3195" s="92" t="s">
        <v>2631</v>
      </c>
      <c r="K3195" s="67"/>
      <c r="L3195" s="67"/>
      <c r="M3195" s="67"/>
      <c r="N3195" s="67"/>
      <c r="O3195" s="67"/>
    </row>
    <row r="3196" spans="1:15" ht="30">
      <c r="A3196" s="91" t="s">
        <v>8</v>
      </c>
      <c r="B3196" s="91" t="s">
        <v>587</v>
      </c>
      <c r="C3196" s="91" t="s">
        <v>629</v>
      </c>
      <c r="D3196" s="91" t="s">
        <v>629</v>
      </c>
      <c r="E3196" s="91" t="s">
        <v>6916</v>
      </c>
      <c r="F3196" s="91" t="s">
        <v>586</v>
      </c>
      <c r="G3196" s="91" t="s">
        <v>615</v>
      </c>
      <c r="H3196" s="93" t="s">
        <v>92</v>
      </c>
      <c r="I3196" s="92" t="s">
        <v>3205</v>
      </c>
      <c r="J3196" s="92">
        <v>889774911</v>
      </c>
      <c r="K3196" s="67"/>
      <c r="L3196" s="67"/>
      <c r="M3196" s="67"/>
      <c r="N3196" s="67"/>
      <c r="O3196" s="67"/>
    </row>
    <row r="3197" spans="1:15" ht="15">
      <c r="A3197" s="91" t="s">
        <v>8</v>
      </c>
      <c r="B3197" s="91" t="s">
        <v>587</v>
      </c>
      <c r="C3197" s="91" t="s">
        <v>629</v>
      </c>
      <c r="D3197" s="91" t="s">
        <v>629</v>
      </c>
      <c r="E3197" s="91" t="s">
        <v>6917</v>
      </c>
      <c r="F3197" s="91" t="s">
        <v>586</v>
      </c>
      <c r="G3197" s="91" t="s">
        <v>615</v>
      </c>
      <c r="H3197" s="93" t="s">
        <v>92</v>
      </c>
      <c r="I3197" s="92" t="s">
        <v>4039</v>
      </c>
      <c r="J3197" s="92">
        <v>9849734998</v>
      </c>
      <c r="K3197" s="67"/>
      <c r="L3197" s="67"/>
      <c r="M3197" s="67"/>
      <c r="N3197" s="67"/>
      <c r="O3197" s="67"/>
    </row>
    <row r="3198" spans="1:15" ht="15">
      <c r="A3198" s="91" t="s">
        <v>8</v>
      </c>
      <c r="B3198" s="91" t="s">
        <v>587</v>
      </c>
      <c r="C3198" s="91" t="s">
        <v>629</v>
      </c>
      <c r="D3198" s="91" t="s">
        <v>629</v>
      </c>
      <c r="E3198" s="91" t="s">
        <v>6918</v>
      </c>
      <c r="F3198" s="91" t="s">
        <v>586</v>
      </c>
      <c r="G3198" s="91" t="s">
        <v>615</v>
      </c>
      <c r="H3198" s="93" t="s">
        <v>92</v>
      </c>
      <c r="I3198" s="92" t="s">
        <v>3185</v>
      </c>
      <c r="J3198" s="92">
        <v>9866902637</v>
      </c>
      <c r="K3198" s="67"/>
      <c r="L3198" s="67"/>
      <c r="M3198" s="67"/>
      <c r="N3198" s="67"/>
      <c r="O3198" s="67"/>
    </row>
    <row r="3199" spans="1:15" ht="30">
      <c r="A3199" s="91" t="s">
        <v>8</v>
      </c>
      <c r="B3199" s="91" t="s">
        <v>587</v>
      </c>
      <c r="C3199" s="91" t="s">
        <v>629</v>
      </c>
      <c r="D3199" s="91" t="s">
        <v>629</v>
      </c>
      <c r="E3199" s="91" t="s">
        <v>6919</v>
      </c>
      <c r="F3199" s="91" t="s">
        <v>586</v>
      </c>
      <c r="G3199" s="91" t="s">
        <v>615</v>
      </c>
      <c r="H3199" s="93" t="s">
        <v>92</v>
      </c>
      <c r="I3199" s="92" t="s">
        <v>6920</v>
      </c>
      <c r="J3199" s="92">
        <v>9581289985</v>
      </c>
      <c r="K3199" s="67"/>
      <c r="L3199" s="67"/>
      <c r="M3199" s="67"/>
      <c r="N3199" s="67"/>
      <c r="O3199" s="67"/>
    </row>
    <row r="3200" spans="1:15" ht="30">
      <c r="A3200" s="91" t="s">
        <v>8</v>
      </c>
      <c r="B3200" s="91" t="s">
        <v>587</v>
      </c>
      <c r="C3200" s="91" t="s">
        <v>629</v>
      </c>
      <c r="D3200" s="91" t="s">
        <v>629</v>
      </c>
      <c r="E3200" s="91" t="s">
        <v>5261</v>
      </c>
      <c r="F3200" s="91" t="s">
        <v>1650</v>
      </c>
      <c r="G3200" s="91" t="s">
        <v>86</v>
      </c>
      <c r="H3200" s="93" t="s">
        <v>4</v>
      </c>
      <c r="I3200" s="92" t="s">
        <v>6921</v>
      </c>
      <c r="J3200" s="92">
        <v>9989797384</v>
      </c>
      <c r="K3200" s="67"/>
      <c r="L3200" s="67"/>
      <c r="M3200" s="67"/>
      <c r="N3200" s="67"/>
      <c r="O3200" s="67"/>
    </row>
    <row r="3201" spans="1:15" ht="60">
      <c r="A3201" s="91" t="s">
        <v>8</v>
      </c>
      <c r="B3201" s="91" t="s">
        <v>587</v>
      </c>
      <c r="C3201" s="91" t="s">
        <v>629</v>
      </c>
      <c r="D3201" s="91" t="s">
        <v>629</v>
      </c>
      <c r="E3201" s="91" t="s">
        <v>6922</v>
      </c>
      <c r="F3201" s="91" t="s">
        <v>586</v>
      </c>
      <c r="G3201" s="91" t="s">
        <v>615</v>
      </c>
      <c r="H3201" s="93" t="s">
        <v>4</v>
      </c>
      <c r="I3201" s="92" t="s">
        <v>6923</v>
      </c>
      <c r="J3201" s="92">
        <v>9963779435</v>
      </c>
      <c r="K3201" s="67"/>
      <c r="L3201" s="67"/>
      <c r="M3201" s="67"/>
      <c r="N3201" s="67"/>
      <c r="O3201" s="67"/>
    </row>
    <row r="3202" spans="1:15" ht="15">
      <c r="A3202" s="91" t="s">
        <v>8</v>
      </c>
      <c r="B3202" s="91" t="s">
        <v>587</v>
      </c>
      <c r="C3202" s="91" t="s">
        <v>629</v>
      </c>
      <c r="D3202" s="91" t="s">
        <v>629</v>
      </c>
      <c r="E3202" s="91" t="s">
        <v>6924</v>
      </c>
      <c r="F3202" s="91" t="s">
        <v>586</v>
      </c>
      <c r="G3202" s="91" t="s">
        <v>615</v>
      </c>
      <c r="H3202" s="93" t="s">
        <v>4</v>
      </c>
      <c r="I3202" s="92" t="s">
        <v>3140</v>
      </c>
      <c r="J3202" s="92">
        <v>8184872913</v>
      </c>
      <c r="K3202" s="67"/>
      <c r="L3202" s="67"/>
      <c r="M3202" s="67"/>
      <c r="N3202" s="67"/>
      <c r="O3202" s="67"/>
    </row>
    <row r="3203" spans="1:15" ht="15">
      <c r="A3203" s="91" t="s">
        <v>8</v>
      </c>
      <c r="B3203" s="91" t="s">
        <v>587</v>
      </c>
      <c r="C3203" s="91" t="s">
        <v>629</v>
      </c>
      <c r="D3203" s="91" t="s">
        <v>629</v>
      </c>
      <c r="E3203" s="91" t="s">
        <v>6925</v>
      </c>
      <c r="F3203" s="91" t="s">
        <v>586</v>
      </c>
      <c r="G3203" s="91" t="s">
        <v>615</v>
      </c>
      <c r="H3203" s="93" t="s">
        <v>4</v>
      </c>
      <c r="I3203" s="67"/>
      <c r="J3203" s="92">
        <v>9849645355</v>
      </c>
      <c r="K3203" s="67"/>
      <c r="L3203" s="67"/>
      <c r="M3203" s="67"/>
      <c r="N3203" s="67"/>
      <c r="O3203" s="67"/>
    </row>
    <row r="3204" spans="1:15" ht="30">
      <c r="A3204" s="91" t="s">
        <v>8</v>
      </c>
      <c r="B3204" s="91" t="s">
        <v>587</v>
      </c>
      <c r="C3204" s="91" t="s">
        <v>629</v>
      </c>
      <c r="D3204" s="91" t="s">
        <v>629</v>
      </c>
      <c r="E3204" s="91" t="s">
        <v>6926</v>
      </c>
      <c r="F3204" s="91" t="s">
        <v>586</v>
      </c>
      <c r="G3204" s="91" t="s">
        <v>615</v>
      </c>
      <c r="H3204" s="93" t="s">
        <v>6</v>
      </c>
      <c r="I3204" s="92" t="s">
        <v>3916</v>
      </c>
      <c r="J3204" s="92">
        <v>9502867779</v>
      </c>
      <c r="K3204" s="67"/>
      <c r="L3204" s="67"/>
      <c r="M3204" s="67"/>
      <c r="N3204" s="67"/>
      <c r="O3204" s="67"/>
    </row>
    <row r="3205" spans="1:15" ht="30">
      <c r="A3205" s="91" t="s">
        <v>7</v>
      </c>
      <c r="B3205" s="91" t="s">
        <v>706</v>
      </c>
      <c r="C3205" s="91" t="s">
        <v>722</v>
      </c>
      <c r="D3205" s="91" t="s">
        <v>722</v>
      </c>
      <c r="E3205" s="91" t="s">
        <v>6927</v>
      </c>
      <c r="F3205" s="91" t="s">
        <v>139</v>
      </c>
      <c r="G3205" s="91" t="s">
        <v>594</v>
      </c>
      <c r="H3205" s="93" t="s">
        <v>5</v>
      </c>
      <c r="I3205" s="92" t="s">
        <v>3212</v>
      </c>
      <c r="J3205" s="92">
        <v>951502919</v>
      </c>
      <c r="K3205" s="67"/>
      <c r="L3205" s="67"/>
      <c r="M3205" s="67"/>
      <c r="N3205" s="67"/>
      <c r="O3205" s="67"/>
    </row>
    <row r="3206" spans="1:15" ht="30">
      <c r="A3206" s="91" t="s">
        <v>7</v>
      </c>
      <c r="B3206" s="91" t="s">
        <v>706</v>
      </c>
      <c r="C3206" s="91" t="s">
        <v>722</v>
      </c>
      <c r="D3206" s="91" t="s">
        <v>722</v>
      </c>
      <c r="E3206" s="91" t="s">
        <v>6928</v>
      </c>
      <c r="F3206" s="91" t="s">
        <v>139</v>
      </c>
      <c r="G3206" s="91" t="s">
        <v>594</v>
      </c>
      <c r="H3206" s="93" t="s">
        <v>5</v>
      </c>
      <c r="I3206" s="92" t="s">
        <v>3212</v>
      </c>
      <c r="J3206" s="92">
        <v>9493735577</v>
      </c>
      <c r="K3206" s="67"/>
      <c r="L3206" s="67"/>
      <c r="M3206" s="67"/>
      <c r="N3206" s="67"/>
      <c r="O3206" s="67"/>
    </row>
    <row r="3207" spans="1:15" ht="30">
      <c r="A3207" s="91" t="s">
        <v>7</v>
      </c>
      <c r="B3207" s="91" t="s">
        <v>706</v>
      </c>
      <c r="C3207" s="91" t="s">
        <v>722</v>
      </c>
      <c r="D3207" s="91" t="s">
        <v>722</v>
      </c>
      <c r="E3207" s="91" t="s">
        <v>6929</v>
      </c>
      <c r="F3207" s="91" t="s">
        <v>1677</v>
      </c>
      <c r="G3207" s="91" t="s">
        <v>615</v>
      </c>
      <c r="H3207" s="93" t="s">
        <v>5</v>
      </c>
      <c r="I3207" s="92" t="s">
        <v>3212</v>
      </c>
      <c r="J3207" s="92">
        <v>9908111653</v>
      </c>
      <c r="K3207" s="67"/>
      <c r="L3207" s="67"/>
      <c r="M3207" s="67"/>
      <c r="N3207" s="67"/>
      <c r="O3207" s="67"/>
    </row>
    <row r="3208" spans="1:15" ht="16.5">
      <c r="A3208" s="91" t="s">
        <v>7</v>
      </c>
      <c r="B3208" s="100" t="s">
        <v>706</v>
      </c>
      <c r="C3208" s="97" t="str">
        <f ca="1">IFERROR(__xludf.DUMMYFUNCTION("filter('Back End'!C:C,'Back End'!A:A=A3208,'Back End'!B:B=B3208,'Back End'!D:D=D3208)"),"Kommanapalle")</f>
        <v>Kommanapalle</v>
      </c>
      <c r="D3208" s="100" t="s">
        <v>722</v>
      </c>
      <c r="E3208" s="100" t="s">
        <v>6930</v>
      </c>
      <c r="F3208" s="100" t="s">
        <v>139</v>
      </c>
      <c r="G3208" s="100" t="s">
        <v>594</v>
      </c>
      <c r="H3208" s="100" t="s">
        <v>5</v>
      </c>
      <c r="I3208" s="98" t="s">
        <v>3115</v>
      </c>
      <c r="J3208" s="97">
        <v>9948012127</v>
      </c>
      <c r="K3208" s="99"/>
      <c r="L3208" s="99"/>
      <c r="M3208" s="67"/>
      <c r="N3208" s="67"/>
      <c r="O3208" s="67"/>
    </row>
    <row r="3209" spans="1:15" ht="30">
      <c r="A3209" s="91" t="s">
        <v>7</v>
      </c>
      <c r="B3209" s="91" t="s">
        <v>706</v>
      </c>
      <c r="C3209" s="91" t="s">
        <v>722</v>
      </c>
      <c r="D3209" s="91" t="s">
        <v>722</v>
      </c>
      <c r="E3209" s="100" t="s">
        <v>6931</v>
      </c>
      <c r="F3209" s="100" t="s">
        <v>467</v>
      </c>
      <c r="G3209" s="100" t="s">
        <v>85</v>
      </c>
      <c r="H3209" s="93" t="s">
        <v>5</v>
      </c>
      <c r="I3209" s="97" t="s">
        <v>3205</v>
      </c>
      <c r="J3209" s="99"/>
      <c r="K3209" s="99"/>
      <c r="L3209" s="99"/>
      <c r="M3209" s="67"/>
      <c r="N3209" s="67"/>
      <c r="O3209" s="67"/>
    </row>
    <row r="3210" spans="1:15" ht="15">
      <c r="A3210" s="91" t="s">
        <v>7</v>
      </c>
      <c r="B3210" s="100" t="s">
        <v>706</v>
      </c>
      <c r="C3210" s="97" t="str">
        <f ca="1">IFERROR(__xludf.DUMMYFUNCTION("filter('Back End'!C:C,'Back End'!A:A=A3210,'Back End'!B:B=B3210,'Back End'!D:D=D3210)"),"Kommanapalle")</f>
        <v>Kommanapalle</v>
      </c>
      <c r="D3210" s="100" t="s">
        <v>722</v>
      </c>
      <c r="E3210" s="100" t="s">
        <v>3332</v>
      </c>
      <c r="F3210" s="100" t="s">
        <v>165</v>
      </c>
      <c r="G3210" s="100" t="s">
        <v>615</v>
      </c>
      <c r="H3210" s="93" t="s">
        <v>5</v>
      </c>
      <c r="I3210" s="97" t="s">
        <v>3112</v>
      </c>
      <c r="J3210" s="97">
        <v>9640928891</v>
      </c>
      <c r="K3210" s="99"/>
      <c r="L3210" s="99"/>
      <c r="M3210" s="67"/>
      <c r="N3210" s="67"/>
      <c r="O3210" s="67"/>
    </row>
    <row r="3211" spans="1:15" ht="30">
      <c r="A3211" s="91" t="s">
        <v>7</v>
      </c>
      <c r="B3211" s="91" t="s">
        <v>706</v>
      </c>
      <c r="C3211" s="91" t="s">
        <v>722</v>
      </c>
      <c r="D3211" s="91" t="s">
        <v>722</v>
      </c>
      <c r="E3211" s="91" t="s">
        <v>6932</v>
      </c>
      <c r="F3211" s="91" t="s">
        <v>139</v>
      </c>
      <c r="G3211" s="91" t="s">
        <v>594</v>
      </c>
      <c r="H3211" s="93" t="s">
        <v>4</v>
      </c>
      <c r="I3211" s="92" t="s">
        <v>3212</v>
      </c>
      <c r="J3211" s="92">
        <v>9948798503</v>
      </c>
      <c r="K3211" s="67"/>
      <c r="L3211" s="67"/>
      <c r="M3211" s="67"/>
      <c r="N3211" s="67"/>
      <c r="O3211" s="67"/>
    </row>
    <row r="3212" spans="1:15" ht="16.5">
      <c r="A3212" s="91" t="s">
        <v>7</v>
      </c>
      <c r="B3212" s="100" t="s">
        <v>706</v>
      </c>
      <c r="C3212" s="97" t="str">
        <f ca="1">IFERROR(__xludf.DUMMYFUNCTION("filter('Back End'!C:C,'Back End'!A:A=A3212,'Back End'!B:B=B3212,'Back End'!D:D=D3212)"),"Kommanapalle")</f>
        <v>Kommanapalle</v>
      </c>
      <c r="D3212" s="100" t="s">
        <v>722</v>
      </c>
      <c r="E3212" s="93" t="s">
        <v>6933</v>
      </c>
      <c r="F3212" s="105" t="s">
        <v>139</v>
      </c>
      <c r="G3212" s="105" t="s">
        <v>594</v>
      </c>
      <c r="H3212" s="93" t="s">
        <v>4</v>
      </c>
      <c r="I3212" s="105" t="s">
        <v>3112</v>
      </c>
      <c r="J3212" s="102">
        <v>9912708858</v>
      </c>
      <c r="K3212" s="95"/>
      <c r="L3212" s="95"/>
      <c r="M3212" s="95"/>
      <c r="N3212" s="67"/>
      <c r="O3212" s="67"/>
    </row>
    <row r="3213" spans="1:15" ht="16.5">
      <c r="A3213" s="91" t="s">
        <v>7</v>
      </c>
      <c r="B3213" s="91" t="s">
        <v>706</v>
      </c>
      <c r="C3213" s="91" t="s">
        <v>722</v>
      </c>
      <c r="D3213" s="91" t="s">
        <v>722</v>
      </c>
      <c r="E3213" s="105" t="s">
        <v>6934</v>
      </c>
      <c r="F3213" s="93" t="s">
        <v>467</v>
      </c>
      <c r="G3213" s="93" t="s">
        <v>85</v>
      </c>
      <c r="H3213" s="93" t="s">
        <v>4</v>
      </c>
      <c r="I3213" s="102" t="s">
        <v>3112</v>
      </c>
      <c r="J3213" s="106">
        <v>6303104417</v>
      </c>
      <c r="K3213" s="95"/>
      <c r="L3213" s="95"/>
      <c r="M3213" s="95"/>
      <c r="N3213" s="67"/>
      <c r="O3213" s="67"/>
    </row>
    <row r="3214" spans="1:15" ht="16.5">
      <c r="A3214" s="91" t="s">
        <v>7</v>
      </c>
      <c r="B3214" s="100" t="s">
        <v>706</v>
      </c>
      <c r="C3214" s="97" t="str">
        <f ca="1">IFERROR(__xludf.DUMMYFUNCTION("filter('Back End'!C:C,'Back End'!A:A=A3214,'Back End'!B:B=B3214,'Back End'!D:D=D3214)"),"Kommanapalle")</f>
        <v>Kommanapalle</v>
      </c>
      <c r="D3214" s="100" t="s">
        <v>722</v>
      </c>
      <c r="E3214" s="105" t="s">
        <v>6935</v>
      </c>
      <c r="F3214" s="93" t="s">
        <v>114</v>
      </c>
      <c r="G3214" s="93" t="s">
        <v>85</v>
      </c>
      <c r="H3214" s="93" t="s">
        <v>4</v>
      </c>
      <c r="I3214" s="102" t="s">
        <v>3112</v>
      </c>
      <c r="J3214" s="106">
        <v>9010094311</v>
      </c>
      <c r="K3214" s="95"/>
      <c r="L3214" s="95"/>
      <c r="M3214" s="95"/>
      <c r="N3214" s="67"/>
      <c r="O3214" s="67"/>
    </row>
    <row r="3215" spans="1:15" ht="16.5">
      <c r="A3215" s="91" t="s">
        <v>7</v>
      </c>
      <c r="B3215" s="91" t="s">
        <v>706</v>
      </c>
      <c r="C3215" s="91" t="s">
        <v>722</v>
      </c>
      <c r="D3215" s="91" t="s">
        <v>722</v>
      </c>
      <c r="E3215" s="105" t="s">
        <v>6936</v>
      </c>
      <c r="F3215" s="93" t="s">
        <v>1668</v>
      </c>
      <c r="G3215" s="93" t="s">
        <v>615</v>
      </c>
      <c r="H3215" s="93" t="s">
        <v>4</v>
      </c>
      <c r="I3215" s="102" t="s">
        <v>3112</v>
      </c>
      <c r="J3215" s="106">
        <v>9963764125</v>
      </c>
      <c r="K3215" s="95"/>
      <c r="L3215" s="95"/>
      <c r="M3215" s="95"/>
      <c r="N3215" s="67"/>
      <c r="O3215" s="67"/>
    </row>
    <row r="3216" spans="1:15" ht="16.5">
      <c r="A3216" s="91" t="s">
        <v>7</v>
      </c>
      <c r="B3216" s="100" t="s">
        <v>706</v>
      </c>
      <c r="C3216" s="97" t="str">
        <f ca="1">IFERROR(__xludf.DUMMYFUNCTION("filter('Back End'!C:C,'Back End'!A:A=A3216,'Back End'!B:B=B3216,'Back End'!D:D=D3216)"),"Kommanapalle")</f>
        <v>Kommanapalle</v>
      </c>
      <c r="D3216" s="100" t="s">
        <v>722</v>
      </c>
      <c r="E3216" s="105" t="s">
        <v>5164</v>
      </c>
      <c r="F3216" s="93" t="s">
        <v>1669</v>
      </c>
      <c r="G3216" s="93" t="s">
        <v>615</v>
      </c>
      <c r="H3216" s="93" t="s">
        <v>4</v>
      </c>
      <c r="I3216" s="102" t="s">
        <v>3112</v>
      </c>
      <c r="J3216" s="106">
        <v>9553418295</v>
      </c>
      <c r="K3216" s="95"/>
      <c r="L3216" s="95"/>
      <c r="M3216" s="95"/>
      <c r="N3216" s="67"/>
      <c r="O3216" s="67"/>
    </row>
    <row r="3217" spans="1:15" ht="16.5">
      <c r="A3217" s="91" t="s">
        <v>7</v>
      </c>
      <c r="B3217" s="91" t="s">
        <v>706</v>
      </c>
      <c r="C3217" s="91" t="s">
        <v>722</v>
      </c>
      <c r="D3217" s="91" t="s">
        <v>722</v>
      </c>
      <c r="E3217" s="105" t="s">
        <v>4873</v>
      </c>
      <c r="F3217" s="93" t="s">
        <v>139</v>
      </c>
      <c r="G3217" s="93" t="s">
        <v>594</v>
      </c>
      <c r="H3217" s="93" t="s">
        <v>6</v>
      </c>
      <c r="I3217" s="102" t="s">
        <v>3112</v>
      </c>
      <c r="J3217" s="106">
        <v>8466876319</v>
      </c>
      <c r="K3217" s="95"/>
      <c r="L3217" s="95"/>
      <c r="M3217" s="95"/>
      <c r="N3217" s="67"/>
      <c r="O3217" s="67"/>
    </row>
    <row r="3218" spans="1:15" ht="16.5">
      <c r="A3218" s="91" t="s">
        <v>7</v>
      </c>
      <c r="B3218" s="100" t="s">
        <v>706</v>
      </c>
      <c r="C3218" s="97" t="str">
        <f ca="1">IFERROR(__xludf.DUMMYFUNCTION("filter('Back End'!C:C,'Back End'!A:A=A3218,'Back End'!B:B=B3218,'Back End'!D:D=D3218)"),"Kommanapalle")</f>
        <v>Kommanapalle</v>
      </c>
      <c r="D3218" s="100" t="s">
        <v>722</v>
      </c>
      <c r="E3218" s="105" t="s">
        <v>6937</v>
      </c>
      <c r="F3218" s="93" t="s">
        <v>139</v>
      </c>
      <c r="G3218" s="93" t="s">
        <v>594</v>
      </c>
      <c r="H3218" s="93" t="s">
        <v>6</v>
      </c>
      <c r="I3218" s="102" t="s">
        <v>3112</v>
      </c>
      <c r="J3218" s="106">
        <v>9912688247</v>
      </c>
      <c r="K3218" s="95"/>
      <c r="L3218" s="95"/>
      <c r="M3218" s="95"/>
      <c r="N3218" s="67"/>
      <c r="O3218" s="67"/>
    </row>
    <row r="3219" spans="1:15" ht="16.5">
      <c r="A3219" s="91" t="s">
        <v>7</v>
      </c>
      <c r="B3219" s="91" t="s">
        <v>706</v>
      </c>
      <c r="C3219" s="91" t="s">
        <v>722</v>
      </c>
      <c r="D3219" s="91" t="s">
        <v>722</v>
      </c>
      <c r="E3219" s="105" t="s">
        <v>6938</v>
      </c>
      <c r="F3219" s="93" t="s">
        <v>139</v>
      </c>
      <c r="G3219" s="93" t="s">
        <v>594</v>
      </c>
      <c r="H3219" s="93" t="s">
        <v>6</v>
      </c>
      <c r="I3219" s="102" t="s">
        <v>3112</v>
      </c>
      <c r="J3219" s="106">
        <v>9912265589</v>
      </c>
      <c r="K3219" s="95"/>
      <c r="L3219" s="95"/>
      <c r="M3219" s="95"/>
      <c r="N3219" s="67"/>
      <c r="O3219" s="67"/>
    </row>
    <row r="3220" spans="1:15" ht="16.5">
      <c r="A3220" s="91" t="s">
        <v>7</v>
      </c>
      <c r="B3220" s="91" t="s">
        <v>706</v>
      </c>
      <c r="C3220" s="103" t="s">
        <v>714</v>
      </c>
      <c r="D3220" s="91" t="s">
        <v>714</v>
      </c>
      <c r="E3220" s="103" t="s">
        <v>6939</v>
      </c>
      <c r="F3220" s="91" t="s">
        <v>288</v>
      </c>
      <c r="G3220" s="91" t="s">
        <v>615</v>
      </c>
      <c r="H3220" s="93" t="s">
        <v>92</v>
      </c>
      <c r="I3220" s="92" t="s">
        <v>3115</v>
      </c>
      <c r="J3220" s="106">
        <v>967672225</v>
      </c>
      <c r="K3220" s="67"/>
      <c r="L3220" s="67"/>
      <c r="M3220" s="67"/>
      <c r="N3220" s="67"/>
      <c r="O3220" s="67"/>
    </row>
    <row r="3221" spans="1:15" ht="30.4">
      <c r="A3221" s="91" t="s">
        <v>7</v>
      </c>
      <c r="B3221" s="91" t="s">
        <v>706</v>
      </c>
      <c r="C3221" s="103" t="s">
        <v>714</v>
      </c>
      <c r="D3221" s="91" t="s">
        <v>714</v>
      </c>
      <c r="E3221" s="103" t="s">
        <v>6940</v>
      </c>
      <c r="F3221" s="91" t="s">
        <v>1669</v>
      </c>
      <c r="G3221" s="91" t="s">
        <v>615</v>
      </c>
      <c r="H3221" s="93" t="s">
        <v>92</v>
      </c>
      <c r="I3221" s="92" t="s">
        <v>3205</v>
      </c>
      <c r="J3221" s="95"/>
      <c r="K3221" s="67"/>
      <c r="L3221" s="67"/>
      <c r="M3221" s="67"/>
      <c r="N3221" s="67"/>
      <c r="O3221" s="67"/>
    </row>
    <row r="3222" spans="1:15" ht="16.5">
      <c r="A3222" s="91" t="s">
        <v>7</v>
      </c>
      <c r="B3222" s="91" t="s">
        <v>706</v>
      </c>
      <c r="C3222" s="103" t="s">
        <v>714</v>
      </c>
      <c r="D3222" s="91" t="s">
        <v>714</v>
      </c>
      <c r="E3222" s="103" t="s">
        <v>6941</v>
      </c>
      <c r="F3222" s="91" t="s">
        <v>288</v>
      </c>
      <c r="G3222" s="91" t="s">
        <v>615</v>
      </c>
      <c r="H3222" s="93" t="s">
        <v>92</v>
      </c>
      <c r="I3222" s="92" t="s">
        <v>3185</v>
      </c>
      <c r="J3222" s="95"/>
      <c r="K3222" s="67"/>
      <c r="L3222" s="67"/>
      <c r="M3222" s="67"/>
      <c r="N3222" s="67"/>
      <c r="O3222" s="67"/>
    </row>
    <row r="3223" spans="1:15" ht="16.5">
      <c r="A3223" s="91" t="s">
        <v>7</v>
      </c>
      <c r="B3223" s="91" t="s">
        <v>706</v>
      </c>
      <c r="C3223" s="103" t="s">
        <v>714</v>
      </c>
      <c r="D3223" s="91" t="s">
        <v>714</v>
      </c>
      <c r="E3223" s="103" t="s">
        <v>6942</v>
      </c>
      <c r="F3223" s="91" t="s">
        <v>288</v>
      </c>
      <c r="G3223" s="91" t="s">
        <v>615</v>
      </c>
      <c r="H3223" s="93" t="s">
        <v>4</v>
      </c>
      <c r="I3223" s="92" t="s">
        <v>5520</v>
      </c>
      <c r="J3223" s="106">
        <v>9542760558</v>
      </c>
      <c r="K3223" s="67"/>
      <c r="L3223" s="67"/>
      <c r="M3223" s="67"/>
      <c r="N3223" s="67"/>
      <c r="O3223" s="67"/>
    </row>
    <row r="3224" spans="1:15" ht="16.5">
      <c r="A3224" s="91" t="s">
        <v>7</v>
      </c>
      <c r="B3224" s="91" t="s">
        <v>706</v>
      </c>
      <c r="C3224" s="103" t="s">
        <v>714</v>
      </c>
      <c r="D3224" s="91" t="s">
        <v>714</v>
      </c>
      <c r="E3224" s="103" t="s">
        <v>6943</v>
      </c>
      <c r="F3224" s="91" t="s">
        <v>288</v>
      </c>
      <c r="G3224" s="91" t="s">
        <v>615</v>
      </c>
      <c r="H3224" s="93" t="s">
        <v>4</v>
      </c>
      <c r="I3224" s="92" t="s">
        <v>3181</v>
      </c>
      <c r="J3224" s="106">
        <v>9573501119</v>
      </c>
      <c r="K3224" s="67"/>
      <c r="L3224" s="67"/>
      <c r="M3224" s="67"/>
      <c r="N3224" s="67"/>
      <c r="O3224" s="67"/>
    </row>
    <row r="3225" spans="1:15" ht="16.5">
      <c r="A3225" s="91" t="s">
        <v>7</v>
      </c>
      <c r="B3225" s="91" t="s">
        <v>706</v>
      </c>
      <c r="C3225" s="103" t="s">
        <v>714</v>
      </c>
      <c r="D3225" s="91" t="s">
        <v>714</v>
      </c>
      <c r="E3225" s="103" t="s">
        <v>6944</v>
      </c>
      <c r="F3225" s="91" t="s">
        <v>288</v>
      </c>
      <c r="G3225" s="91" t="s">
        <v>615</v>
      </c>
      <c r="H3225" s="93" t="s">
        <v>4</v>
      </c>
      <c r="I3225" s="92" t="s">
        <v>3181</v>
      </c>
      <c r="J3225" s="106">
        <v>9000244195</v>
      </c>
      <c r="K3225" s="67"/>
      <c r="L3225" s="67"/>
      <c r="M3225" s="67"/>
      <c r="N3225" s="67"/>
      <c r="O3225" s="67"/>
    </row>
    <row r="3226" spans="1:15" ht="16.5">
      <c r="A3226" s="91" t="s">
        <v>7</v>
      </c>
      <c r="B3226" s="91" t="s">
        <v>706</v>
      </c>
      <c r="C3226" s="103" t="s">
        <v>714</v>
      </c>
      <c r="D3226" s="91" t="s">
        <v>714</v>
      </c>
      <c r="E3226" s="103" t="s">
        <v>6945</v>
      </c>
      <c r="F3226" s="91" t="s">
        <v>1669</v>
      </c>
      <c r="G3226" s="91" t="s">
        <v>615</v>
      </c>
      <c r="H3226" s="93" t="s">
        <v>92</v>
      </c>
      <c r="I3226" s="92" t="s">
        <v>4283</v>
      </c>
      <c r="J3226" s="106">
        <v>6281681747</v>
      </c>
      <c r="K3226" s="67"/>
      <c r="L3226" s="67"/>
      <c r="M3226" s="67"/>
      <c r="N3226" s="67"/>
      <c r="O3226" s="67"/>
    </row>
    <row r="3227" spans="1:15" ht="16.5">
      <c r="A3227" s="103" t="s">
        <v>10</v>
      </c>
      <c r="B3227" s="103" t="s">
        <v>166</v>
      </c>
      <c r="C3227" s="103" t="s">
        <v>479</v>
      </c>
      <c r="D3227" s="91" t="s">
        <v>479</v>
      </c>
      <c r="E3227" s="103" t="s">
        <v>480</v>
      </c>
      <c r="F3227" s="91" t="s">
        <v>139</v>
      </c>
      <c r="G3227" s="91" t="s">
        <v>594</v>
      </c>
      <c r="H3227" s="93" t="s">
        <v>92</v>
      </c>
      <c r="I3227" s="92" t="s">
        <v>3115</v>
      </c>
      <c r="J3227" s="106">
        <v>9989102916</v>
      </c>
      <c r="K3227" s="67"/>
      <c r="L3227" s="67"/>
      <c r="M3227" s="67"/>
      <c r="N3227" s="67"/>
      <c r="O3227" s="67"/>
    </row>
    <row r="3228" spans="1:15" ht="30.4">
      <c r="A3228" s="103" t="s">
        <v>10</v>
      </c>
      <c r="B3228" s="103" t="s">
        <v>166</v>
      </c>
      <c r="C3228" s="103" t="s">
        <v>479</v>
      </c>
      <c r="D3228" s="91" t="s">
        <v>479</v>
      </c>
      <c r="E3228" s="103" t="s">
        <v>6946</v>
      </c>
      <c r="F3228" s="91" t="s">
        <v>139</v>
      </c>
      <c r="G3228" s="91" t="s">
        <v>594</v>
      </c>
      <c r="H3228" s="93" t="s">
        <v>92</v>
      </c>
      <c r="I3228" s="92" t="s">
        <v>3205</v>
      </c>
      <c r="J3228" s="106">
        <v>8096317136</v>
      </c>
      <c r="K3228" s="67"/>
      <c r="L3228" s="67"/>
      <c r="M3228" s="67"/>
      <c r="N3228" s="67"/>
      <c r="O3228" s="67"/>
    </row>
    <row r="3229" spans="1:15" ht="16.5">
      <c r="A3229" s="103" t="s">
        <v>10</v>
      </c>
      <c r="B3229" s="103" t="s">
        <v>166</v>
      </c>
      <c r="C3229" s="103" t="s">
        <v>479</v>
      </c>
      <c r="D3229" s="91" t="s">
        <v>479</v>
      </c>
      <c r="E3229" s="103" t="s">
        <v>6947</v>
      </c>
      <c r="F3229" s="91" t="s">
        <v>139</v>
      </c>
      <c r="G3229" s="91" t="s">
        <v>594</v>
      </c>
      <c r="H3229" s="93" t="s">
        <v>92</v>
      </c>
      <c r="I3229" s="92" t="s">
        <v>3185</v>
      </c>
      <c r="J3229" s="106">
        <v>9963310789</v>
      </c>
      <c r="K3229" s="67"/>
      <c r="L3229" s="67"/>
      <c r="M3229" s="67"/>
      <c r="N3229" s="67"/>
      <c r="O3229" s="67"/>
    </row>
    <row r="3230" spans="1:15" ht="30.4">
      <c r="A3230" s="103" t="s">
        <v>10</v>
      </c>
      <c r="B3230" s="103" t="s">
        <v>166</v>
      </c>
      <c r="C3230" s="103" t="s">
        <v>479</v>
      </c>
      <c r="D3230" s="91" t="s">
        <v>479</v>
      </c>
      <c r="E3230" s="103" t="s">
        <v>6948</v>
      </c>
      <c r="F3230" s="91" t="s">
        <v>437</v>
      </c>
      <c r="G3230" s="91" t="s">
        <v>594</v>
      </c>
      <c r="H3230" s="93" t="s">
        <v>92</v>
      </c>
      <c r="I3230" s="92" t="s">
        <v>6744</v>
      </c>
      <c r="J3230" s="106">
        <v>9989801545</v>
      </c>
      <c r="K3230" s="67"/>
      <c r="L3230" s="67"/>
      <c r="M3230" s="67"/>
      <c r="N3230" s="67"/>
      <c r="O3230" s="67"/>
    </row>
    <row r="3231" spans="1:15" ht="75.400000000000006">
      <c r="A3231" s="103" t="s">
        <v>10</v>
      </c>
      <c r="B3231" s="103" t="s">
        <v>166</v>
      </c>
      <c r="C3231" s="103" t="s">
        <v>479</v>
      </c>
      <c r="D3231" s="91" t="s">
        <v>479</v>
      </c>
      <c r="E3231" s="103" t="s">
        <v>6949</v>
      </c>
      <c r="F3231" s="91" t="s">
        <v>437</v>
      </c>
      <c r="G3231" s="91" t="s">
        <v>594</v>
      </c>
      <c r="H3231" s="93" t="s">
        <v>92</v>
      </c>
      <c r="I3231" s="92" t="s">
        <v>6950</v>
      </c>
      <c r="J3231" s="106">
        <v>9959940010</v>
      </c>
      <c r="K3231" s="67"/>
      <c r="L3231" s="67"/>
      <c r="M3231" s="67"/>
      <c r="N3231" s="67"/>
      <c r="O3231" s="67"/>
    </row>
    <row r="3232" spans="1:15" ht="30.4">
      <c r="A3232" s="103" t="s">
        <v>10</v>
      </c>
      <c r="B3232" s="103" t="s">
        <v>166</v>
      </c>
      <c r="C3232" s="103" t="s">
        <v>479</v>
      </c>
      <c r="D3232" s="91" t="s">
        <v>479</v>
      </c>
      <c r="E3232" s="103" t="s">
        <v>6951</v>
      </c>
      <c r="F3232" s="91" t="s">
        <v>139</v>
      </c>
      <c r="G3232" s="91" t="s">
        <v>594</v>
      </c>
      <c r="H3232" s="93" t="s">
        <v>92</v>
      </c>
      <c r="I3232" s="92" t="s">
        <v>6952</v>
      </c>
      <c r="J3232" s="95"/>
      <c r="K3232" s="67"/>
      <c r="L3232" s="67"/>
      <c r="M3232" s="67"/>
      <c r="N3232" s="67"/>
      <c r="O3232" s="67"/>
    </row>
    <row r="3233" spans="1:15" ht="30.4">
      <c r="A3233" s="103" t="s">
        <v>7</v>
      </c>
      <c r="B3233" s="103" t="s">
        <v>671</v>
      </c>
      <c r="C3233" s="103" t="s">
        <v>685</v>
      </c>
      <c r="D3233" s="91" t="s">
        <v>685</v>
      </c>
      <c r="E3233" s="103" t="s">
        <v>3908</v>
      </c>
      <c r="F3233" s="91" t="s">
        <v>586</v>
      </c>
      <c r="G3233" s="91" t="s">
        <v>615</v>
      </c>
      <c r="H3233" s="93" t="s">
        <v>92</v>
      </c>
      <c r="I3233" s="92" t="s">
        <v>6953</v>
      </c>
      <c r="J3233" s="106">
        <v>9441326672</v>
      </c>
      <c r="K3233" s="67"/>
      <c r="L3233" s="67"/>
      <c r="M3233" s="67"/>
      <c r="N3233" s="67"/>
      <c r="O3233" s="67"/>
    </row>
    <row r="3234" spans="1:15" ht="30.4">
      <c r="A3234" s="103" t="s">
        <v>7</v>
      </c>
      <c r="B3234" s="103" t="s">
        <v>671</v>
      </c>
      <c r="C3234" s="103" t="s">
        <v>685</v>
      </c>
      <c r="D3234" s="91" t="s">
        <v>685</v>
      </c>
      <c r="E3234" s="103" t="s">
        <v>6954</v>
      </c>
      <c r="F3234" s="91" t="s">
        <v>586</v>
      </c>
      <c r="G3234" s="91" t="s">
        <v>615</v>
      </c>
      <c r="H3234" s="93" t="s">
        <v>92</v>
      </c>
      <c r="I3234" s="92" t="s">
        <v>6955</v>
      </c>
      <c r="J3234" s="106">
        <v>767095235</v>
      </c>
      <c r="K3234" s="67"/>
      <c r="L3234" s="67"/>
      <c r="M3234" s="67"/>
      <c r="N3234" s="67"/>
      <c r="O3234" s="67"/>
    </row>
    <row r="3235" spans="1:15" ht="30.4">
      <c r="A3235" s="103" t="s">
        <v>7</v>
      </c>
      <c r="B3235" s="103" t="s">
        <v>671</v>
      </c>
      <c r="C3235" s="103" t="s">
        <v>685</v>
      </c>
      <c r="D3235" s="91" t="s">
        <v>685</v>
      </c>
      <c r="E3235" s="103" t="s">
        <v>6956</v>
      </c>
      <c r="F3235" s="91" t="s">
        <v>586</v>
      </c>
      <c r="G3235" s="91" t="s">
        <v>615</v>
      </c>
      <c r="H3235" s="93" t="s">
        <v>92</v>
      </c>
      <c r="I3235" s="92" t="s">
        <v>3205</v>
      </c>
      <c r="J3235" s="95"/>
      <c r="K3235" s="67"/>
      <c r="L3235" s="67"/>
      <c r="M3235" s="67"/>
      <c r="N3235" s="67"/>
      <c r="O3235" s="67"/>
    </row>
    <row r="3236" spans="1:15" ht="45.4">
      <c r="A3236" s="103" t="s">
        <v>7</v>
      </c>
      <c r="B3236" s="103" t="s">
        <v>671</v>
      </c>
      <c r="C3236" s="103" t="s">
        <v>685</v>
      </c>
      <c r="D3236" s="91" t="s">
        <v>685</v>
      </c>
      <c r="E3236" s="103" t="s">
        <v>632</v>
      </c>
      <c r="F3236" s="91" t="s">
        <v>586</v>
      </c>
      <c r="G3236" s="91" t="s">
        <v>615</v>
      </c>
      <c r="H3236" s="93" t="s">
        <v>4</v>
      </c>
      <c r="I3236" s="92" t="s">
        <v>3427</v>
      </c>
      <c r="J3236" s="95"/>
      <c r="K3236" s="67"/>
      <c r="L3236" s="67"/>
      <c r="M3236" s="67"/>
      <c r="N3236" s="67"/>
      <c r="O3236" s="67"/>
    </row>
    <row r="3237" spans="1:15" ht="30.4">
      <c r="A3237" s="103" t="s">
        <v>7</v>
      </c>
      <c r="B3237" s="103" t="s">
        <v>671</v>
      </c>
      <c r="C3237" s="103" t="s">
        <v>685</v>
      </c>
      <c r="D3237" s="91" t="s">
        <v>685</v>
      </c>
      <c r="E3237" s="103" t="s">
        <v>6957</v>
      </c>
      <c r="F3237" s="91" t="s">
        <v>586</v>
      </c>
      <c r="G3237" s="91" t="s">
        <v>615</v>
      </c>
      <c r="H3237" s="93" t="s">
        <v>4</v>
      </c>
      <c r="I3237" s="92" t="s">
        <v>6958</v>
      </c>
      <c r="J3237" s="95"/>
      <c r="K3237" s="67"/>
      <c r="L3237" s="67"/>
      <c r="M3237" s="67"/>
      <c r="N3237" s="67"/>
      <c r="O3237" s="67"/>
    </row>
    <row r="3238" spans="1:15" ht="16.5">
      <c r="A3238" s="103" t="s">
        <v>10</v>
      </c>
      <c r="B3238" s="103" t="s">
        <v>166</v>
      </c>
      <c r="C3238" s="103" t="s">
        <v>475</v>
      </c>
      <c r="D3238" s="91" t="s">
        <v>475</v>
      </c>
      <c r="E3238" s="103" t="s">
        <v>6959</v>
      </c>
      <c r="F3238" s="91" t="s">
        <v>437</v>
      </c>
      <c r="G3238" s="91" t="s">
        <v>594</v>
      </c>
      <c r="H3238" s="93" t="s">
        <v>92</v>
      </c>
      <c r="I3238" s="92" t="s">
        <v>3185</v>
      </c>
      <c r="J3238" s="106">
        <v>9866185593</v>
      </c>
      <c r="K3238" s="67"/>
      <c r="L3238" s="67"/>
      <c r="M3238" s="67"/>
      <c r="N3238" s="67"/>
      <c r="O3238" s="67"/>
    </row>
    <row r="3239" spans="1:15" ht="16.5">
      <c r="A3239" s="103" t="s">
        <v>10</v>
      </c>
      <c r="B3239" s="103" t="s">
        <v>166</v>
      </c>
      <c r="C3239" s="103" t="s">
        <v>475</v>
      </c>
      <c r="D3239" s="91" t="s">
        <v>475</v>
      </c>
      <c r="E3239" s="103" t="s">
        <v>6960</v>
      </c>
      <c r="F3239" s="91" t="s">
        <v>437</v>
      </c>
      <c r="G3239" s="91" t="s">
        <v>594</v>
      </c>
      <c r="H3239" s="93" t="s">
        <v>92</v>
      </c>
      <c r="I3239" s="92" t="s">
        <v>3112</v>
      </c>
      <c r="J3239" s="106">
        <v>8639565110</v>
      </c>
      <c r="K3239" s="67"/>
      <c r="L3239" s="67"/>
      <c r="M3239" s="67"/>
      <c r="N3239" s="67"/>
      <c r="O3239" s="67"/>
    </row>
    <row r="3240" spans="1:15" ht="30.4">
      <c r="A3240" s="103" t="s">
        <v>10</v>
      </c>
      <c r="B3240" s="103" t="s">
        <v>166</v>
      </c>
      <c r="C3240" s="103" t="s">
        <v>475</v>
      </c>
      <c r="D3240" s="91" t="s">
        <v>475</v>
      </c>
      <c r="E3240" s="103" t="s">
        <v>6961</v>
      </c>
      <c r="F3240" s="91" t="s">
        <v>1674</v>
      </c>
      <c r="G3240" s="91" t="s">
        <v>615</v>
      </c>
      <c r="H3240" s="93" t="s">
        <v>92</v>
      </c>
      <c r="I3240" s="92" t="s">
        <v>3205</v>
      </c>
      <c r="J3240" s="106">
        <v>9866191676</v>
      </c>
      <c r="K3240" s="67"/>
      <c r="L3240" s="67"/>
      <c r="M3240" s="67"/>
      <c r="N3240" s="67"/>
      <c r="O3240" s="67"/>
    </row>
    <row r="3241" spans="1:15" ht="16.5">
      <c r="A3241" s="103" t="s">
        <v>10</v>
      </c>
      <c r="B3241" s="103" t="s">
        <v>166</v>
      </c>
      <c r="C3241" s="103" t="s">
        <v>475</v>
      </c>
      <c r="D3241" s="91" t="s">
        <v>475</v>
      </c>
      <c r="E3241" s="103" t="s">
        <v>6962</v>
      </c>
      <c r="F3241" s="91" t="s">
        <v>437</v>
      </c>
      <c r="G3241" s="91" t="s">
        <v>594</v>
      </c>
      <c r="H3241" s="93" t="s">
        <v>4</v>
      </c>
      <c r="I3241" s="92" t="s">
        <v>4071</v>
      </c>
      <c r="J3241" s="106" t="s">
        <v>2631</v>
      </c>
      <c r="K3241" s="67"/>
      <c r="L3241" s="67"/>
      <c r="M3241" s="67"/>
      <c r="N3241" s="67"/>
      <c r="O3241" s="67"/>
    </row>
    <row r="3242" spans="1:15" ht="18.75">
      <c r="A3242" s="103" t="s">
        <v>10</v>
      </c>
      <c r="B3242" s="103" t="s">
        <v>166</v>
      </c>
      <c r="C3242" s="103" t="s">
        <v>475</v>
      </c>
      <c r="D3242" s="91" t="s">
        <v>475</v>
      </c>
      <c r="E3242" s="103" t="s">
        <v>6963</v>
      </c>
      <c r="F3242" s="91" t="s">
        <v>437</v>
      </c>
      <c r="G3242" s="91" t="s">
        <v>594</v>
      </c>
      <c r="H3242" s="93" t="s">
        <v>92</v>
      </c>
      <c r="I3242" s="92" t="s">
        <v>3115</v>
      </c>
      <c r="J3242" s="129">
        <v>9959382992</v>
      </c>
      <c r="K3242" s="67"/>
      <c r="L3242" s="67"/>
      <c r="M3242" s="67"/>
      <c r="N3242" s="67"/>
      <c r="O3242" s="67"/>
    </row>
    <row r="3243" spans="1:15" ht="30.4">
      <c r="A3243" s="103" t="s">
        <v>10</v>
      </c>
      <c r="B3243" s="103" t="s">
        <v>10</v>
      </c>
      <c r="C3243" s="103" t="s">
        <v>534</v>
      </c>
      <c r="D3243" s="91" t="s">
        <v>534</v>
      </c>
      <c r="E3243" s="103" t="s">
        <v>6964</v>
      </c>
      <c r="F3243" s="91" t="s">
        <v>139</v>
      </c>
      <c r="G3243" s="91" t="s">
        <v>594</v>
      </c>
      <c r="H3243" s="93" t="s">
        <v>92</v>
      </c>
      <c r="I3243" s="92" t="s">
        <v>3212</v>
      </c>
      <c r="J3243" s="106">
        <v>9960747174</v>
      </c>
      <c r="K3243" s="67"/>
      <c r="L3243" s="67"/>
      <c r="M3243" s="67"/>
      <c r="N3243" s="67"/>
      <c r="O3243" s="67"/>
    </row>
    <row r="3244" spans="1:15" ht="30.4">
      <c r="A3244" s="103" t="s">
        <v>10</v>
      </c>
      <c r="B3244" s="103" t="s">
        <v>10</v>
      </c>
      <c r="C3244" s="103" t="s">
        <v>534</v>
      </c>
      <c r="D3244" s="91" t="s">
        <v>534</v>
      </c>
      <c r="E3244" s="103" t="s">
        <v>4486</v>
      </c>
      <c r="F3244" s="91" t="s">
        <v>437</v>
      </c>
      <c r="G3244" s="91" t="s">
        <v>594</v>
      </c>
      <c r="H3244" s="93" t="s">
        <v>4</v>
      </c>
      <c r="I3244" s="92" t="s">
        <v>3212</v>
      </c>
      <c r="J3244" s="106">
        <v>6300781733</v>
      </c>
      <c r="K3244" s="67"/>
      <c r="L3244" s="67"/>
      <c r="M3244" s="67"/>
      <c r="N3244" s="67"/>
      <c r="O3244" s="67"/>
    </row>
    <row r="3245" spans="1:15" ht="16.5">
      <c r="A3245" s="103" t="s">
        <v>10</v>
      </c>
      <c r="B3245" s="103" t="s">
        <v>10</v>
      </c>
      <c r="C3245" s="103" t="s">
        <v>534</v>
      </c>
      <c r="D3245" s="91" t="s">
        <v>534</v>
      </c>
      <c r="E3245" s="103" t="s">
        <v>6965</v>
      </c>
      <c r="F3245" s="91" t="s">
        <v>139</v>
      </c>
      <c r="G3245" s="91" t="s">
        <v>594</v>
      </c>
      <c r="H3245" s="93" t="s">
        <v>4</v>
      </c>
      <c r="I3245" s="92" t="s">
        <v>3185</v>
      </c>
      <c r="J3245" s="106">
        <v>9247878252</v>
      </c>
      <c r="K3245" s="67"/>
      <c r="L3245" s="67"/>
      <c r="M3245" s="67"/>
      <c r="N3245" s="67"/>
      <c r="O3245" s="67"/>
    </row>
    <row r="3246" spans="1:15" ht="30.4">
      <c r="A3246" s="103" t="s">
        <v>10</v>
      </c>
      <c r="B3246" s="103" t="s">
        <v>10</v>
      </c>
      <c r="C3246" s="103" t="s">
        <v>534</v>
      </c>
      <c r="D3246" s="91" t="s">
        <v>534</v>
      </c>
      <c r="E3246" s="103" t="s">
        <v>6966</v>
      </c>
      <c r="F3246" s="91" t="s">
        <v>139</v>
      </c>
      <c r="G3246" s="91" t="s">
        <v>594</v>
      </c>
      <c r="H3246" s="93" t="s">
        <v>6</v>
      </c>
      <c r="I3246" s="92" t="s">
        <v>3212</v>
      </c>
      <c r="J3246" s="106">
        <v>8328556726</v>
      </c>
      <c r="K3246" s="67"/>
      <c r="L3246" s="67"/>
      <c r="M3246" s="67"/>
      <c r="N3246" s="67"/>
      <c r="O3246" s="67"/>
    </row>
    <row r="3247" spans="1:15" ht="30.4">
      <c r="A3247" s="103" t="s">
        <v>10</v>
      </c>
      <c r="B3247" s="103" t="s">
        <v>10</v>
      </c>
      <c r="C3247" s="103" t="s">
        <v>534</v>
      </c>
      <c r="D3247" s="91" t="s">
        <v>534</v>
      </c>
      <c r="E3247" s="103" t="s">
        <v>6967</v>
      </c>
      <c r="F3247" s="91" t="s">
        <v>139</v>
      </c>
      <c r="G3247" s="91" t="s">
        <v>594</v>
      </c>
      <c r="H3247" s="93" t="s">
        <v>6</v>
      </c>
      <c r="I3247" s="92" t="s">
        <v>3212</v>
      </c>
      <c r="J3247" s="106">
        <v>9392253425</v>
      </c>
      <c r="K3247" s="67"/>
      <c r="L3247" s="67"/>
      <c r="M3247" s="67"/>
      <c r="N3247" s="67"/>
      <c r="O3247" s="67"/>
    </row>
    <row r="3248" spans="1:15" ht="16.5">
      <c r="A3248" s="103" t="s">
        <v>19</v>
      </c>
      <c r="B3248" s="103" t="s">
        <v>147</v>
      </c>
      <c r="C3248" s="103" t="s">
        <v>163</v>
      </c>
      <c r="D3248" s="91" t="s">
        <v>163</v>
      </c>
      <c r="E3248" s="103" t="s">
        <v>6968</v>
      </c>
      <c r="F3248" s="91" t="s">
        <v>165</v>
      </c>
      <c r="G3248" s="91" t="s">
        <v>615</v>
      </c>
      <c r="H3248" s="93" t="s">
        <v>4</v>
      </c>
      <c r="I3248" s="92" t="s">
        <v>3185</v>
      </c>
      <c r="J3248" s="106">
        <v>9849718899</v>
      </c>
      <c r="K3248" s="67"/>
      <c r="L3248" s="67"/>
      <c r="M3248" s="67"/>
      <c r="N3248" s="67"/>
      <c r="O3248" s="67"/>
    </row>
    <row r="3249" spans="1:15" ht="30.4">
      <c r="A3249" s="103" t="s">
        <v>19</v>
      </c>
      <c r="B3249" s="103" t="s">
        <v>147</v>
      </c>
      <c r="C3249" s="103" t="s">
        <v>163</v>
      </c>
      <c r="D3249" s="91" t="s">
        <v>163</v>
      </c>
      <c r="E3249" s="103" t="s">
        <v>6969</v>
      </c>
      <c r="F3249" s="91" t="s">
        <v>165</v>
      </c>
      <c r="G3249" s="91" t="s">
        <v>615</v>
      </c>
      <c r="H3249" s="93" t="s">
        <v>4</v>
      </c>
      <c r="I3249" s="92" t="s">
        <v>3107</v>
      </c>
      <c r="J3249" s="106">
        <v>9866029902</v>
      </c>
      <c r="K3249" s="67"/>
      <c r="L3249" s="67"/>
      <c r="M3249" s="67"/>
      <c r="N3249" s="67"/>
      <c r="O3249" s="67"/>
    </row>
    <row r="3250" spans="1:15" ht="16.5">
      <c r="A3250" s="103" t="s">
        <v>19</v>
      </c>
      <c r="B3250" s="103" t="s">
        <v>147</v>
      </c>
      <c r="C3250" s="103" t="s">
        <v>163</v>
      </c>
      <c r="D3250" s="91" t="s">
        <v>163</v>
      </c>
      <c r="E3250" s="103" t="s">
        <v>6970</v>
      </c>
      <c r="F3250" s="91" t="s">
        <v>165</v>
      </c>
      <c r="G3250" s="91" t="s">
        <v>615</v>
      </c>
      <c r="H3250" s="93" t="s">
        <v>92</v>
      </c>
      <c r="I3250" s="92" t="s">
        <v>4102</v>
      </c>
      <c r="J3250" s="106">
        <v>9494952090</v>
      </c>
      <c r="K3250" s="67"/>
      <c r="L3250" s="67"/>
      <c r="M3250" s="67"/>
      <c r="N3250" s="67"/>
      <c r="O3250" s="67"/>
    </row>
    <row r="3251" spans="1:15" ht="15">
      <c r="A3251" s="91" t="s">
        <v>7</v>
      </c>
      <c r="B3251" s="100" t="s">
        <v>671</v>
      </c>
      <c r="C3251" s="97" t="str">
        <f ca="1">IFERROR(__xludf.DUMMYFUNCTION("filter('Back End'!C:C,'Back End'!A:A=A3251,'Back End'!B:B=B3251,'Back End'!D:D=D3251)"),"L.D.Peta")</f>
        <v>L.D.Peta</v>
      </c>
      <c r="D3251" s="91" t="s">
        <v>698</v>
      </c>
      <c r="E3251" s="100" t="s">
        <v>6971</v>
      </c>
      <c r="F3251" s="67"/>
      <c r="G3251" s="67"/>
      <c r="H3251" s="93" t="s">
        <v>4</v>
      </c>
      <c r="I3251" s="92" t="s">
        <v>3125</v>
      </c>
      <c r="J3251" s="97">
        <v>9441639139</v>
      </c>
      <c r="K3251" s="67"/>
      <c r="L3251" s="67"/>
      <c r="M3251" s="67"/>
      <c r="N3251" s="67"/>
      <c r="O3251" s="67"/>
    </row>
    <row r="3252" spans="1:15" ht="15">
      <c r="A3252" s="101" t="s">
        <v>7</v>
      </c>
      <c r="B3252" s="93" t="s">
        <v>671</v>
      </c>
      <c r="C3252" s="102" t="str">
        <f ca="1">IFERROR(__xludf.DUMMYFUNCTION("filter('Back End'!C:C,'Back End'!A:A=A3252,'Back End'!B:B=B3252,'Back End'!D:D=D3252)"),"L.D.Peta")</f>
        <v>L.D.Peta</v>
      </c>
      <c r="D3252" s="91" t="s">
        <v>698</v>
      </c>
      <c r="E3252" s="93" t="s">
        <v>6972</v>
      </c>
      <c r="F3252" s="67"/>
      <c r="G3252" s="67"/>
      <c r="H3252" s="93" t="s">
        <v>4</v>
      </c>
      <c r="I3252" s="67"/>
      <c r="J3252" s="102">
        <v>9182984093</v>
      </c>
      <c r="K3252" s="67"/>
      <c r="L3252" s="67"/>
      <c r="M3252" s="67"/>
      <c r="N3252" s="67"/>
      <c r="O3252" s="67"/>
    </row>
    <row r="3253" spans="1:15" ht="15">
      <c r="A3253" s="101" t="s">
        <v>7</v>
      </c>
      <c r="B3253" s="93" t="s">
        <v>671</v>
      </c>
      <c r="C3253" s="102" t="str">
        <f ca="1">IFERROR(__xludf.DUMMYFUNCTION("filter('Back End'!C:C,'Back End'!A:A=A3253,'Back End'!B:B=B3253,'Back End'!D:D=D3253)"),"L.D.Peta")</f>
        <v>L.D.Peta</v>
      </c>
      <c r="D3253" s="91" t="s">
        <v>698</v>
      </c>
      <c r="E3253" s="93" t="s">
        <v>6973</v>
      </c>
      <c r="F3253" s="91" t="s">
        <v>139</v>
      </c>
      <c r="G3253" s="91" t="s">
        <v>594</v>
      </c>
      <c r="H3253" s="93" t="s">
        <v>5</v>
      </c>
      <c r="I3253" s="67"/>
      <c r="J3253" s="102">
        <v>9494544566</v>
      </c>
      <c r="K3253" s="67"/>
      <c r="L3253" s="67"/>
      <c r="M3253" s="67"/>
      <c r="N3253" s="67"/>
      <c r="O3253" s="67"/>
    </row>
    <row r="3254" spans="1:15" ht="30.4">
      <c r="A3254" s="103" t="s">
        <v>7</v>
      </c>
      <c r="B3254" s="103" t="s">
        <v>671</v>
      </c>
      <c r="C3254" s="103" t="s">
        <v>698</v>
      </c>
      <c r="D3254" s="91" t="s">
        <v>698</v>
      </c>
      <c r="E3254" s="103" t="s">
        <v>6974</v>
      </c>
      <c r="F3254" s="91" t="s">
        <v>139</v>
      </c>
      <c r="G3254" s="91" t="s">
        <v>594</v>
      </c>
      <c r="H3254" s="93" t="s">
        <v>5</v>
      </c>
      <c r="I3254" s="92" t="s">
        <v>6953</v>
      </c>
      <c r="J3254" s="106">
        <v>9848359996</v>
      </c>
      <c r="K3254" s="67"/>
      <c r="L3254" s="67"/>
      <c r="M3254" s="67"/>
      <c r="N3254" s="67"/>
      <c r="O3254" s="67"/>
    </row>
    <row r="3255" spans="1:15" ht="30.4">
      <c r="A3255" s="103" t="s">
        <v>7</v>
      </c>
      <c r="B3255" s="103" t="s">
        <v>671</v>
      </c>
      <c r="C3255" s="103" t="s">
        <v>698</v>
      </c>
      <c r="D3255" s="91" t="s">
        <v>698</v>
      </c>
      <c r="E3255" s="103" t="s">
        <v>6975</v>
      </c>
      <c r="F3255" s="91" t="s">
        <v>114</v>
      </c>
      <c r="G3255" s="91" t="s">
        <v>85</v>
      </c>
      <c r="H3255" s="93" t="s">
        <v>5</v>
      </c>
      <c r="I3255" s="92" t="s">
        <v>3508</v>
      </c>
      <c r="J3255" s="106">
        <v>7032067375</v>
      </c>
      <c r="K3255" s="67"/>
      <c r="L3255" s="67"/>
      <c r="M3255" s="67"/>
      <c r="N3255" s="67"/>
      <c r="O3255" s="67"/>
    </row>
    <row r="3256" spans="1:15" ht="30.4">
      <c r="A3256" s="103" t="s">
        <v>7</v>
      </c>
      <c r="B3256" s="103" t="s">
        <v>671</v>
      </c>
      <c r="C3256" s="103" t="s">
        <v>698</v>
      </c>
      <c r="D3256" s="91" t="s">
        <v>698</v>
      </c>
      <c r="E3256" s="103" t="s">
        <v>6976</v>
      </c>
      <c r="F3256" s="91" t="s">
        <v>139</v>
      </c>
      <c r="G3256" s="91" t="s">
        <v>594</v>
      </c>
      <c r="H3256" s="93" t="s">
        <v>5</v>
      </c>
      <c r="I3256" s="92" t="s">
        <v>4056</v>
      </c>
      <c r="J3256" s="106">
        <v>9989268954</v>
      </c>
      <c r="K3256" s="67"/>
      <c r="L3256" s="67"/>
      <c r="M3256" s="67"/>
      <c r="N3256" s="67"/>
      <c r="O3256" s="67"/>
    </row>
    <row r="3257" spans="1:15" ht="30.4">
      <c r="A3257" s="103" t="s">
        <v>7</v>
      </c>
      <c r="B3257" s="103" t="s">
        <v>671</v>
      </c>
      <c r="C3257" s="103" t="s">
        <v>698</v>
      </c>
      <c r="D3257" s="91" t="s">
        <v>698</v>
      </c>
      <c r="E3257" s="103" t="s">
        <v>6977</v>
      </c>
      <c r="F3257" s="91" t="s">
        <v>139</v>
      </c>
      <c r="G3257" s="91" t="s">
        <v>594</v>
      </c>
      <c r="H3257" s="93" t="s">
        <v>4</v>
      </c>
      <c r="I3257" s="92" t="s">
        <v>3570</v>
      </c>
      <c r="J3257" s="106" t="s">
        <v>2631</v>
      </c>
      <c r="K3257" s="67"/>
      <c r="L3257" s="67"/>
      <c r="M3257" s="67"/>
      <c r="N3257" s="67"/>
      <c r="O3257" s="67"/>
    </row>
    <row r="3258" spans="1:15" ht="30.4">
      <c r="A3258" s="103" t="s">
        <v>7</v>
      </c>
      <c r="B3258" s="103" t="s">
        <v>671</v>
      </c>
      <c r="C3258" s="103" t="s">
        <v>698</v>
      </c>
      <c r="D3258" s="91" t="s">
        <v>698</v>
      </c>
      <c r="E3258" s="103" t="s">
        <v>6978</v>
      </c>
      <c r="F3258" s="91" t="s">
        <v>139</v>
      </c>
      <c r="G3258" s="91" t="s">
        <v>594</v>
      </c>
      <c r="H3258" s="93" t="s">
        <v>4</v>
      </c>
      <c r="I3258" s="92" t="s">
        <v>3495</v>
      </c>
      <c r="J3258" s="106" t="s">
        <v>2631</v>
      </c>
      <c r="K3258" s="67"/>
      <c r="L3258" s="67"/>
      <c r="M3258" s="67"/>
      <c r="N3258" s="67"/>
      <c r="O3258" s="67"/>
    </row>
    <row r="3259" spans="1:15" ht="30.4">
      <c r="A3259" s="103" t="s">
        <v>7</v>
      </c>
      <c r="B3259" s="103" t="s">
        <v>671</v>
      </c>
      <c r="C3259" s="103" t="s">
        <v>698</v>
      </c>
      <c r="D3259" s="91" t="s">
        <v>698</v>
      </c>
      <c r="E3259" s="103" t="s">
        <v>6979</v>
      </c>
      <c r="F3259" s="91" t="s">
        <v>139</v>
      </c>
      <c r="G3259" s="91" t="s">
        <v>594</v>
      </c>
      <c r="H3259" s="93" t="s">
        <v>6</v>
      </c>
      <c r="I3259" s="92" t="s">
        <v>3495</v>
      </c>
      <c r="J3259" s="106" t="s">
        <v>2631</v>
      </c>
      <c r="K3259" s="67"/>
      <c r="L3259" s="67"/>
      <c r="M3259" s="67"/>
      <c r="N3259" s="67"/>
      <c r="O3259" s="67"/>
    </row>
    <row r="3260" spans="1:15" ht="16.5">
      <c r="A3260" s="103" t="s">
        <v>11</v>
      </c>
      <c r="B3260" s="103" t="s">
        <v>261</v>
      </c>
      <c r="C3260" s="103" t="s">
        <v>269</v>
      </c>
      <c r="D3260" s="91" t="s">
        <v>6980</v>
      </c>
      <c r="E3260" s="103" t="s">
        <v>6981</v>
      </c>
      <c r="F3260" s="67" t="s">
        <v>3138</v>
      </c>
      <c r="G3260" s="91" t="s">
        <v>615</v>
      </c>
      <c r="H3260" s="93" t="s">
        <v>92</v>
      </c>
      <c r="I3260" s="92" t="s">
        <v>3115</v>
      </c>
      <c r="J3260" s="106">
        <v>9848398161</v>
      </c>
      <c r="K3260" s="67"/>
      <c r="L3260" s="67"/>
      <c r="M3260" s="67"/>
      <c r="N3260" s="67"/>
      <c r="O3260" s="67"/>
    </row>
    <row r="3261" spans="1:15" ht="75.400000000000006">
      <c r="A3261" s="103" t="s">
        <v>7</v>
      </c>
      <c r="B3261" s="103" t="s">
        <v>706</v>
      </c>
      <c r="C3261" s="103" t="s">
        <v>728</v>
      </c>
      <c r="D3261" s="91" t="s">
        <v>728</v>
      </c>
      <c r="E3261" s="103" t="s">
        <v>6982</v>
      </c>
      <c r="F3261" s="91" t="s">
        <v>467</v>
      </c>
      <c r="G3261" s="91" t="s">
        <v>85</v>
      </c>
      <c r="H3261" s="93" t="s">
        <v>4</v>
      </c>
      <c r="I3261" s="92" t="s">
        <v>6983</v>
      </c>
      <c r="J3261" s="106">
        <v>8106310578</v>
      </c>
      <c r="K3261" s="67"/>
      <c r="L3261" s="67"/>
      <c r="M3261" s="67"/>
      <c r="N3261" s="67"/>
      <c r="O3261" s="67"/>
    </row>
    <row r="3262" spans="1:15" ht="30.4">
      <c r="A3262" s="103" t="s">
        <v>7</v>
      </c>
      <c r="B3262" s="103" t="s">
        <v>706</v>
      </c>
      <c r="C3262" s="103" t="s">
        <v>728</v>
      </c>
      <c r="D3262" s="91" t="s">
        <v>728</v>
      </c>
      <c r="E3262" s="103" t="s">
        <v>6984</v>
      </c>
      <c r="F3262" s="91" t="s">
        <v>165</v>
      </c>
      <c r="G3262" s="91" t="s">
        <v>615</v>
      </c>
      <c r="H3262" s="93" t="s">
        <v>4</v>
      </c>
      <c r="I3262" s="92" t="s">
        <v>6985</v>
      </c>
      <c r="J3262" s="106">
        <v>6305717720</v>
      </c>
      <c r="K3262" s="67"/>
      <c r="L3262" s="67"/>
      <c r="M3262" s="67"/>
      <c r="N3262" s="67"/>
      <c r="O3262" s="67"/>
    </row>
    <row r="3263" spans="1:15" ht="30.4">
      <c r="A3263" s="103" t="s">
        <v>7</v>
      </c>
      <c r="B3263" s="103" t="s">
        <v>706</v>
      </c>
      <c r="C3263" s="103" t="s">
        <v>728</v>
      </c>
      <c r="D3263" s="91" t="s">
        <v>728</v>
      </c>
      <c r="E3263" s="103" t="s">
        <v>6986</v>
      </c>
      <c r="F3263" s="91" t="s">
        <v>165</v>
      </c>
      <c r="G3263" s="91" t="s">
        <v>615</v>
      </c>
      <c r="H3263" s="93" t="s">
        <v>4</v>
      </c>
      <c r="I3263" s="92" t="s">
        <v>6987</v>
      </c>
      <c r="J3263" s="106">
        <v>8688331907</v>
      </c>
      <c r="K3263" s="67"/>
      <c r="L3263" s="67"/>
      <c r="M3263" s="67"/>
      <c r="N3263" s="67"/>
      <c r="O3263" s="67"/>
    </row>
    <row r="3264" spans="1:15" ht="16.5">
      <c r="A3264" s="103" t="s">
        <v>7</v>
      </c>
      <c r="B3264" s="103" t="s">
        <v>706</v>
      </c>
      <c r="C3264" s="103" t="s">
        <v>728</v>
      </c>
      <c r="D3264" s="91" t="s">
        <v>728</v>
      </c>
      <c r="E3264" s="103" t="s">
        <v>6988</v>
      </c>
      <c r="F3264" s="91" t="s">
        <v>467</v>
      </c>
      <c r="G3264" s="91" t="s">
        <v>85</v>
      </c>
      <c r="H3264" s="93" t="s">
        <v>4</v>
      </c>
      <c r="I3264" s="92" t="s">
        <v>4102</v>
      </c>
      <c r="J3264" s="106">
        <v>9603549468</v>
      </c>
      <c r="K3264" s="67"/>
      <c r="L3264" s="67"/>
      <c r="M3264" s="67"/>
      <c r="N3264" s="67"/>
      <c r="O3264" s="67"/>
    </row>
    <row r="3265" spans="1:15" ht="16.5">
      <c r="A3265" s="103" t="s">
        <v>7</v>
      </c>
      <c r="B3265" s="103" t="s">
        <v>706</v>
      </c>
      <c r="C3265" s="103" t="s">
        <v>728</v>
      </c>
      <c r="D3265" s="91" t="s">
        <v>728</v>
      </c>
      <c r="E3265" s="103" t="s">
        <v>6989</v>
      </c>
      <c r="F3265" s="91" t="s">
        <v>165</v>
      </c>
      <c r="G3265" s="91" t="s">
        <v>615</v>
      </c>
      <c r="H3265" s="93" t="s">
        <v>4</v>
      </c>
      <c r="I3265" s="92" t="s">
        <v>3112</v>
      </c>
      <c r="J3265" s="106">
        <v>8106953997</v>
      </c>
      <c r="K3265" s="67"/>
      <c r="L3265" s="67"/>
      <c r="M3265" s="67"/>
      <c r="N3265" s="67"/>
      <c r="O3265" s="67"/>
    </row>
    <row r="3266" spans="1:15" ht="16.5">
      <c r="A3266" s="103" t="s">
        <v>7</v>
      </c>
      <c r="B3266" s="103" t="s">
        <v>706</v>
      </c>
      <c r="C3266" s="103" t="s">
        <v>728</v>
      </c>
      <c r="D3266" s="91" t="s">
        <v>728</v>
      </c>
      <c r="E3266" s="103" t="s">
        <v>6990</v>
      </c>
      <c r="F3266" s="91" t="s">
        <v>165</v>
      </c>
      <c r="G3266" s="91" t="s">
        <v>615</v>
      </c>
      <c r="H3266" s="93" t="s">
        <v>4</v>
      </c>
      <c r="I3266" s="92" t="s">
        <v>3112</v>
      </c>
      <c r="J3266" s="106">
        <v>6309411236</v>
      </c>
      <c r="K3266" s="67"/>
      <c r="L3266" s="67"/>
      <c r="M3266" s="67"/>
      <c r="N3266" s="67"/>
      <c r="O3266" s="67"/>
    </row>
    <row r="3267" spans="1:15" ht="16.5">
      <c r="A3267" s="103" t="s">
        <v>7</v>
      </c>
      <c r="B3267" s="103" t="s">
        <v>706</v>
      </c>
      <c r="C3267" s="103" t="s">
        <v>728</v>
      </c>
      <c r="D3267" s="91" t="s">
        <v>728</v>
      </c>
      <c r="E3267" s="103" t="s">
        <v>3731</v>
      </c>
      <c r="F3267" s="91" t="s">
        <v>165</v>
      </c>
      <c r="G3267" s="91" t="s">
        <v>615</v>
      </c>
      <c r="H3267" s="93" t="s">
        <v>4</v>
      </c>
      <c r="I3267" s="92" t="s">
        <v>3112</v>
      </c>
      <c r="J3267" s="106">
        <v>9701974385</v>
      </c>
      <c r="K3267" s="67"/>
      <c r="L3267" s="67"/>
      <c r="M3267" s="67"/>
      <c r="N3267" s="67"/>
      <c r="O3267" s="67"/>
    </row>
    <row r="3268" spans="1:15" ht="45.4">
      <c r="A3268" s="103" t="s">
        <v>7</v>
      </c>
      <c r="B3268" s="103" t="s">
        <v>706</v>
      </c>
      <c r="C3268" s="103" t="s">
        <v>728</v>
      </c>
      <c r="D3268" s="91" t="s">
        <v>728</v>
      </c>
      <c r="E3268" s="103" t="s">
        <v>6991</v>
      </c>
      <c r="F3268" s="91" t="s">
        <v>467</v>
      </c>
      <c r="G3268" s="91" t="s">
        <v>85</v>
      </c>
      <c r="H3268" s="93" t="s">
        <v>4</v>
      </c>
      <c r="I3268" s="92" t="s">
        <v>6992</v>
      </c>
      <c r="J3268" s="106">
        <v>9182674161</v>
      </c>
      <c r="K3268" s="67"/>
      <c r="L3268" s="67"/>
      <c r="M3268" s="67"/>
      <c r="N3268" s="67"/>
      <c r="O3268" s="67"/>
    </row>
    <row r="3269" spans="1:15" ht="16.5">
      <c r="A3269" s="103" t="s">
        <v>7</v>
      </c>
      <c r="B3269" s="103" t="s">
        <v>706</v>
      </c>
      <c r="C3269" s="103" t="s">
        <v>728</v>
      </c>
      <c r="D3269" s="91" t="s">
        <v>728</v>
      </c>
      <c r="E3269" s="103" t="s">
        <v>6993</v>
      </c>
      <c r="F3269" s="91" t="s">
        <v>165</v>
      </c>
      <c r="G3269" s="91" t="s">
        <v>615</v>
      </c>
      <c r="H3269" s="93" t="s">
        <v>4</v>
      </c>
      <c r="I3269" s="92" t="s">
        <v>3767</v>
      </c>
      <c r="J3269" s="106">
        <v>9966326652</v>
      </c>
      <c r="K3269" s="67"/>
      <c r="L3269" s="67"/>
      <c r="M3269" s="67"/>
      <c r="N3269" s="67"/>
      <c r="O3269" s="67"/>
    </row>
    <row r="3270" spans="1:15" ht="16.5">
      <c r="A3270" s="103" t="s">
        <v>7</v>
      </c>
      <c r="B3270" s="103" t="s">
        <v>706</v>
      </c>
      <c r="C3270" s="103" t="s">
        <v>728</v>
      </c>
      <c r="D3270" s="91" t="s">
        <v>728</v>
      </c>
      <c r="E3270" s="103" t="s">
        <v>6994</v>
      </c>
      <c r="F3270" s="91" t="s">
        <v>114</v>
      </c>
      <c r="G3270" s="91" t="s">
        <v>85</v>
      </c>
      <c r="H3270" s="93" t="s">
        <v>4</v>
      </c>
      <c r="I3270" s="92" t="s">
        <v>3767</v>
      </c>
      <c r="J3270" s="106">
        <v>967623441</v>
      </c>
      <c r="K3270" s="67"/>
      <c r="L3270" s="67"/>
      <c r="M3270" s="67"/>
      <c r="N3270" s="67"/>
      <c r="O3270" s="67"/>
    </row>
    <row r="3271" spans="1:15" ht="16.5">
      <c r="A3271" s="103" t="s">
        <v>7</v>
      </c>
      <c r="B3271" s="103" t="s">
        <v>706</v>
      </c>
      <c r="C3271" s="103" t="s">
        <v>728</v>
      </c>
      <c r="D3271" s="91" t="s">
        <v>728</v>
      </c>
      <c r="E3271" s="103" t="s">
        <v>6995</v>
      </c>
      <c r="F3271" s="91" t="s">
        <v>114</v>
      </c>
      <c r="G3271" s="91" t="s">
        <v>85</v>
      </c>
      <c r="H3271" s="93" t="s">
        <v>92</v>
      </c>
      <c r="I3271" s="92" t="s">
        <v>3115</v>
      </c>
      <c r="J3271" s="106">
        <v>7904527938</v>
      </c>
      <c r="K3271" s="67"/>
      <c r="L3271" s="67"/>
      <c r="M3271" s="67"/>
      <c r="N3271" s="67"/>
      <c r="O3271" s="67"/>
    </row>
    <row r="3272" spans="1:15" ht="30.4">
      <c r="A3272" s="103" t="s">
        <v>7</v>
      </c>
      <c r="B3272" s="103" t="s">
        <v>706</v>
      </c>
      <c r="C3272" s="103" t="s">
        <v>728</v>
      </c>
      <c r="D3272" s="91" t="s">
        <v>728</v>
      </c>
      <c r="E3272" s="103" t="s">
        <v>6996</v>
      </c>
      <c r="F3272" s="91" t="s">
        <v>288</v>
      </c>
      <c r="G3272" s="91" t="s">
        <v>615</v>
      </c>
      <c r="H3272" s="93" t="s">
        <v>92</v>
      </c>
      <c r="I3272" s="92" t="s">
        <v>3205</v>
      </c>
      <c r="J3272" s="106">
        <v>7981353386</v>
      </c>
      <c r="K3272" s="67"/>
      <c r="L3272" s="67"/>
      <c r="M3272" s="67"/>
      <c r="N3272" s="67"/>
      <c r="O3272" s="67"/>
    </row>
    <row r="3273" spans="1:15" ht="16.5">
      <c r="A3273" s="103" t="s">
        <v>10</v>
      </c>
      <c r="B3273" s="103" t="s">
        <v>166</v>
      </c>
      <c r="C3273" s="103" t="s">
        <v>461</v>
      </c>
      <c r="D3273" s="91" t="s">
        <v>6997</v>
      </c>
      <c r="E3273" s="103" t="s">
        <v>6998</v>
      </c>
      <c r="F3273" s="91" t="s">
        <v>1674</v>
      </c>
      <c r="G3273" s="91" t="s">
        <v>615</v>
      </c>
      <c r="H3273" s="93" t="s">
        <v>92</v>
      </c>
      <c r="I3273" s="92" t="s">
        <v>3185</v>
      </c>
      <c r="J3273" s="106">
        <v>966643685</v>
      </c>
      <c r="K3273" s="67"/>
      <c r="L3273" s="67"/>
      <c r="M3273" s="67"/>
      <c r="N3273" s="67"/>
      <c r="O3273" s="67"/>
    </row>
    <row r="3274" spans="1:15" ht="30.4">
      <c r="A3274" s="103" t="s">
        <v>10</v>
      </c>
      <c r="B3274" s="103" t="s">
        <v>166</v>
      </c>
      <c r="C3274" s="103" t="s">
        <v>461</v>
      </c>
      <c r="D3274" s="91" t="s">
        <v>6997</v>
      </c>
      <c r="E3274" s="103" t="s">
        <v>6999</v>
      </c>
      <c r="F3274" s="91" t="s">
        <v>437</v>
      </c>
      <c r="G3274" s="91" t="s">
        <v>594</v>
      </c>
      <c r="H3274" s="93" t="s">
        <v>92</v>
      </c>
      <c r="I3274" s="92" t="s">
        <v>7000</v>
      </c>
      <c r="J3274" s="106">
        <v>99599144343</v>
      </c>
      <c r="K3274" s="67"/>
      <c r="L3274" s="67"/>
      <c r="M3274" s="67"/>
      <c r="N3274" s="67"/>
      <c r="O3274" s="67"/>
    </row>
    <row r="3275" spans="1:15" ht="30.4">
      <c r="A3275" s="103" t="s">
        <v>10</v>
      </c>
      <c r="B3275" s="103" t="s">
        <v>166</v>
      </c>
      <c r="C3275" s="103" t="s">
        <v>461</v>
      </c>
      <c r="D3275" s="91" t="s">
        <v>6997</v>
      </c>
      <c r="E3275" s="103" t="s">
        <v>7001</v>
      </c>
      <c r="F3275" s="91" t="s">
        <v>114</v>
      </c>
      <c r="G3275" s="91" t="s">
        <v>85</v>
      </c>
      <c r="H3275" s="93" t="s">
        <v>92</v>
      </c>
      <c r="I3275" s="92" t="s">
        <v>3194</v>
      </c>
      <c r="J3275" s="106">
        <v>9704348868</v>
      </c>
      <c r="K3275" s="67"/>
      <c r="L3275" s="67"/>
      <c r="M3275" s="67"/>
      <c r="N3275" s="67"/>
      <c r="O3275" s="67"/>
    </row>
    <row r="3276" spans="1:15" ht="45.4">
      <c r="A3276" s="103" t="s">
        <v>10</v>
      </c>
      <c r="B3276" s="103" t="s">
        <v>166</v>
      </c>
      <c r="C3276" s="103" t="s">
        <v>461</v>
      </c>
      <c r="D3276" s="91" t="s">
        <v>6997</v>
      </c>
      <c r="E3276" s="103" t="s">
        <v>7002</v>
      </c>
      <c r="F3276" s="91" t="s">
        <v>1674</v>
      </c>
      <c r="G3276" s="91" t="s">
        <v>615</v>
      </c>
      <c r="H3276" s="93" t="s">
        <v>92</v>
      </c>
      <c r="I3276" s="92" t="s">
        <v>7003</v>
      </c>
      <c r="J3276" s="106" t="s">
        <v>2631</v>
      </c>
      <c r="K3276" s="67"/>
      <c r="L3276" s="67"/>
      <c r="M3276" s="67"/>
      <c r="N3276" s="67"/>
      <c r="O3276" s="67"/>
    </row>
    <row r="3277" spans="1:15" ht="30.4">
      <c r="A3277" s="103" t="s">
        <v>10</v>
      </c>
      <c r="B3277" s="103" t="s">
        <v>166</v>
      </c>
      <c r="C3277" s="103" t="s">
        <v>461</v>
      </c>
      <c r="D3277" s="91" t="s">
        <v>6997</v>
      </c>
      <c r="E3277" s="103" t="s">
        <v>7004</v>
      </c>
      <c r="F3277" s="91" t="s">
        <v>131</v>
      </c>
      <c r="G3277" s="91" t="s">
        <v>594</v>
      </c>
      <c r="H3277" s="93" t="s">
        <v>4</v>
      </c>
      <c r="I3277" s="92" t="s">
        <v>3329</v>
      </c>
      <c r="J3277" s="106" t="s">
        <v>2631</v>
      </c>
      <c r="K3277" s="67"/>
      <c r="L3277" s="67"/>
      <c r="M3277" s="67"/>
      <c r="N3277" s="67"/>
      <c r="O3277" s="67"/>
    </row>
    <row r="3278" spans="1:15" ht="30.4">
      <c r="A3278" s="103" t="s">
        <v>10</v>
      </c>
      <c r="B3278" s="103" t="s">
        <v>166</v>
      </c>
      <c r="C3278" s="103" t="s">
        <v>461</v>
      </c>
      <c r="D3278" s="91" t="s">
        <v>6997</v>
      </c>
      <c r="E3278" s="103" t="s">
        <v>7005</v>
      </c>
      <c r="F3278" s="91" t="s">
        <v>131</v>
      </c>
      <c r="G3278" s="91" t="s">
        <v>594</v>
      </c>
      <c r="H3278" s="93" t="s">
        <v>4</v>
      </c>
      <c r="I3278" s="92" t="s">
        <v>3329</v>
      </c>
      <c r="J3278" s="95"/>
      <c r="K3278" s="67"/>
      <c r="L3278" s="67"/>
      <c r="M3278" s="67"/>
      <c r="N3278" s="67"/>
      <c r="O3278" s="67"/>
    </row>
    <row r="3279" spans="1:15" ht="30.4">
      <c r="A3279" s="103" t="s">
        <v>10</v>
      </c>
      <c r="B3279" s="103" t="s">
        <v>166</v>
      </c>
      <c r="C3279" s="103" t="s">
        <v>461</v>
      </c>
      <c r="D3279" s="91" t="s">
        <v>6997</v>
      </c>
      <c r="E3279" s="103" t="s">
        <v>7006</v>
      </c>
      <c r="F3279" s="91" t="s">
        <v>131</v>
      </c>
      <c r="G3279" s="91" t="s">
        <v>594</v>
      </c>
      <c r="H3279" s="93" t="s">
        <v>4</v>
      </c>
      <c r="I3279" s="92" t="s">
        <v>3329</v>
      </c>
      <c r="J3279" s="95"/>
      <c r="K3279" s="67"/>
      <c r="L3279" s="67"/>
      <c r="M3279" s="67"/>
      <c r="N3279" s="67"/>
      <c r="O3279" s="67"/>
    </row>
    <row r="3280" spans="1:15" ht="16.5">
      <c r="A3280" s="103" t="s">
        <v>10</v>
      </c>
      <c r="B3280" s="103" t="s">
        <v>166</v>
      </c>
      <c r="C3280" s="103" t="s">
        <v>465</v>
      </c>
      <c r="D3280" s="91" t="s">
        <v>465</v>
      </c>
      <c r="E3280" s="103" t="s">
        <v>7007</v>
      </c>
      <c r="F3280" s="91" t="s">
        <v>139</v>
      </c>
      <c r="G3280" s="91" t="s">
        <v>594</v>
      </c>
      <c r="H3280" s="93" t="s">
        <v>92</v>
      </c>
      <c r="I3280" s="92" t="s">
        <v>3185</v>
      </c>
      <c r="J3280" s="106">
        <v>9007455998</v>
      </c>
      <c r="K3280" s="67"/>
      <c r="L3280" s="67"/>
      <c r="M3280" s="67"/>
      <c r="N3280" s="67"/>
      <c r="O3280" s="67"/>
    </row>
    <row r="3281" spans="1:15" ht="45.4">
      <c r="A3281" s="103" t="s">
        <v>10</v>
      </c>
      <c r="B3281" s="103" t="s">
        <v>166</v>
      </c>
      <c r="C3281" s="103" t="s">
        <v>465</v>
      </c>
      <c r="D3281" s="91" t="s">
        <v>465</v>
      </c>
      <c r="E3281" s="103" t="s">
        <v>7008</v>
      </c>
      <c r="F3281" s="91" t="s">
        <v>467</v>
      </c>
      <c r="G3281" s="91" t="s">
        <v>85</v>
      </c>
      <c r="H3281" s="93" t="s">
        <v>4</v>
      </c>
      <c r="I3281" s="92" t="s">
        <v>7009</v>
      </c>
      <c r="J3281" s="106">
        <v>9440824419</v>
      </c>
      <c r="K3281" s="67"/>
      <c r="L3281" s="67"/>
      <c r="M3281" s="67"/>
      <c r="N3281" s="67"/>
      <c r="O3281" s="67"/>
    </row>
    <row r="3282" spans="1:15" ht="16.5">
      <c r="A3282" s="103" t="s">
        <v>10</v>
      </c>
      <c r="B3282" s="103" t="s">
        <v>166</v>
      </c>
      <c r="C3282" s="103" t="s">
        <v>465</v>
      </c>
      <c r="D3282" s="91" t="s">
        <v>465</v>
      </c>
      <c r="E3282" s="103" t="s">
        <v>7010</v>
      </c>
      <c r="F3282" s="91" t="s">
        <v>139</v>
      </c>
      <c r="G3282" s="91" t="s">
        <v>594</v>
      </c>
      <c r="H3282" s="93" t="s">
        <v>92</v>
      </c>
      <c r="I3282" s="92" t="s">
        <v>7011</v>
      </c>
      <c r="J3282" s="106">
        <v>99494824980</v>
      </c>
      <c r="K3282" s="67"/>
      <c r="L3282" s="67"/>
      <c r="M3282" s="67"/>
      <c r="N3282" s="67"/>
      <c r="O3282" s="67"/>
    </row>
    <row r="3283" spans="1:15" ht="16.5">
      <c r="A3283" s="103" t="s">
        <v>10</v>
      </c>
      <c r="B3283" s="103" t="s">
        <v>166</v>
      </c>
      <c r="C3283" s="103" t="s">
        <v>465</v>
      </c>
      <c r="D3283" s="91" t="s">
        <v>465</v>
      </c>
      <c r="E3283" s="103" t="s">
        <v>7012</v>
      </c>
      <c r="F3283" s="91" t="s">
        <v>1669</v>
      </c>
      <c r="G3283" s="91" t="s">
        <v>615</v>
      </c>
      <c r="H3283" s="93" t="s">
        <v>92</v>
      </c>
      <c r="I3283" s="92" t="s">
        <v>7011</v>
      </c>
      <c r="J3283" s="106">
        <v>9963287197</v>
      </c>
      <c r="K3283" s="67"/>
      <c r="L3283" s="67"/>
      <c r="M3283" s="67"/>
      <c r="N3283" s="67"/>
      <c r="O3283" s="67"/>
    </row>
    <row r="3284" spans="1:15" ht="16.5">
      <c r="A3284" s="103" t="s">
        <v>10</v>
      </c>
      <c r="B3284" s="103" t="s">
        <v>166</v>
      </c>
      <c r="C3284" s="103" t="s">
        <v>465</v>
      </c>
      <c r="D3284" s="91" t="s">
        <v>465</v>
      </c>
      <c r="E3284" s="103" t="s">
        <v>7013</v>
      </c>
      <c r="F3284" s="91" t="s">
        <v>114</v>
      </c>
      <c r="G3284" s="91" t="s">
        <v>85</v>
      </c>
      <c r="H3284" s="93" t="s">
        <v>92</v>
      </c>
      <c r="I3284" s="92" t="s">
        <v>7011</v>
      </c>
      <c r="J3284" s="106">
        <v>7093323627</v>
      </c>
      <c r="K3284" s="67"/>
      <c r="L3284" s="67"/>
      <c r="M3284" s="67"/>
      <c r="N3284" s="67"/>
      <c r="O3284" s="67"/>
    </row>
    <row r="3285" spans="1:15" ht="16.5">
      <c r="A3285" s="103" t="s">
        <v>10</v>
      </c>
      <c r="B3285" s="103" t="s">
        <v>166</v>
      </c>
      <c r="C3285" s="103" t="s">
        <v>465</v>
      </c>
      <c r="D3285" s="91" t="s">
        <v>465</v>
      </c>
      <c r="E3285" s="103" t="s">
        <v>7014</v>
      </c>
      <c r="F3285" s="91" t="s">
        <v>467</v>
      </c>
      <c r="G3285" s="91" t="s">
        <v>85</v>
      </c>
      <c r="H3285" s="93" t="s">
        <v>92</v>
      </c>
      <c r="I3285" s="92" t="s">
        <v>7011</v>
      </c>
      <c r="J3285" s="106">
        <v>9866454689</v>
      </c>
      <c r="K3285" s="67"/>
      <c r="L3285" s="67"/>
      <c r="M3285" s="67"/>
      <c r="N3285" s="67"/>
      <c r="O3285" s="67"/>
    </row>
    <row r="3286" spans="1:15" ht="16.5">
      <c r="A3286" s="103" t="s">
        <v>10</v>
      </c>
      <c r="B3286" s="103" t="s">
        <v>166</v>
      </c>
      <c r="C3286" s="103" t="s">
        <v>465</v>
      </c>
      <c r="D3286" s="91" t="s">
        <v>465</v>
      </c>
      <c r="E3286" s="103" t="s">
        <v>7015</v>
      </c>
      <c r="F3286" s="91" t="s">
        <v>1669</v>
      </c>
      <c r="G3286" s="91" t="s">
        <v>615</v>
      </c>
      <c r="H3286" s="93" t="s">
        <v>92</v>
      </c>
      <c r="I3286" s="92" t="s">
        <v>3384</v>
      </c>
      <c r="J3286" s="106">
        <v>6304590747</v>
      </c>
      <c r="K3286" s="67"/>
      <c r="L3286" s="67"/>
      <c r="M3286" s="67"/>
      <c r="N3286" s="67"/>
      <c r="O3286" s="67"/>
    </row>
    <row r="3287" spans="1:15" ht="16.5">
      <c r="A3287" s="103" t="s">
        <v>10</v>
      </c>
      <c r="B3287" s="103" t="s">
        <v>166</v>
      </c>
      <c r="C3287" s="103" t="s">
        <v>465</v>
      </c>
      <c r="D3287" s="91" t="s">
        <v>465</v>
      </c>
      <c r="E3287" s="103" t="s">
        <v>7016</v>
      </c>
      <c r="F3287" s="91" t="s">
        <v>139</v>
      </c>
      <c r="G3287" s="91" t="s">
        <v>594</v>
      </c>
      <c r="H3287" s="93" t="s">
        <v>4</v>
      </c>
      <c r="I3287" s="92" t="s">
        <v>3185</v>
      </c>
      <c r="J3287" s="106">
        <v>9866551007</v>
      </c>
      <c r="K3287" s="67"/>
      <c r="L3287" s="67"/>
      <c r="M3287" s="67"/>
      <c r="N3287" s="67"/>
      <c r="O3287" s="67"/>
    </row>
    <row r="3288" spans="1:15" ht="16.5">
      <c r="A3288" s="103" t="s">
        <v>19</v>
      </c>
      <c r="B3288" s="103" t="s">
        <v>220</v>
      </c>
      <c r="C3288" s="103" t="s">
        <v>226</v>
      </c>
      <c r="D3288" s="91" t="s">
        <v>226</v>
      </c>
      <c r="E3288" s="103" t="s">
        <v>7017</v>
      </c>
      <c r="F3288" s="91" t="s">
        <v>139</v>
      </c>
      <c r="G3288" s="91" t="s">
        <v>594</v>
      </c>
      <c r="H3288" s="93" t="s">
        <v>92</v>
      </c>
      <c r="I3288" s="92" t="s">
        <v>7018</v>
      </c>
      <c r="J3288" s="106">
        <v>7799955555</v>
      </c>
      <c r="K3288" s="67"/>
      <c r="L3288" s="67"/>
      <c r="M3288" s="67"/>
      <c r="N3288" s="67"/>
      <c r="O3288" s="67"/>
    </row>
    <row r="3289" spans="1:15" ht="30.4">
      <c r="A3289" s="103" t="s">
        <v>19</v>
      </c>
      <c r="B3289" s="103" t="s">
        <v>220</v>
      </c>
      <c r="C3289" s="103" t="s">
        <v>226</v>
      </c>
      <c r="D3289" s="91" t="s">
        <v>226</v>
      </c>
      <c r="E3289" s="103" t="s">
        <v>7019</v>
      </c>
      <c r="F3289" s="91" t="s">
        <v>139</v>
      </c>
      <c r="G3289" s="91" t="s">
        <v>594</v>
      </c>
      <c r="H3289" s="93" t="s">
        <v>92</v>
      </c>
      <c r="I3289" s="92" t="s">
        <v>3765</v>
      </c>
      <c r="J3289" s="106">
        <v>961819638</v>
      </c>
      <c r="K3289" s="67"/>
      <c r="L3289" s="67"/>
      <c r="M3289" s="67"/>
      <c r="N3289" s="67"/>
      <c r="O3289" s="67"/>
    </row>
    <row r="3290" spans="1:15" ht="16.5">
      <c r="A3290" s="103" t="s">
        <v>19</v>
      </c>
      <c r="B3290" s="103" t="s">
        <v>147</v>
      </c>
      <c r="C3290" s="103" t="s">
        <v>168</v>
      </c>
      <c r="D3290" s="91" t="s">
        <v>168</v>
      </c>
      <c r="E3290" s="103" t="s">
        <v>7020</v>
      </c>
      <c r="F3290" s="91" t="s">
        <v>545</v>
      </c>
      <c r="G3290" s="91" t="s">
        <v>86</v>
      </c>
      <c r="H3290" s="93" t="s">
        <v>4</v>
      </c>
      <c r="I3290" s="92" t="s">
        <v>3185</v>
      </c>
      <c r="J3290" s="106" t="s">
        <v>2631</v>
      </c>
      <c r="K3290" s="67"/>
      <c r="L3290" s="67"/>
      <c r="M3290" s="67"/>
      <c r="N3290" s="67"/>
      <c r="O3290" s="67"/>
    </row>
    <row r="3291" spans="1:15" ht="30.4">
      <c r="A3291" s="103" t="s">
        <v>19</v>
      </c>
      <c r="B3291" s="103" t="s">
        <v>147</v>
      </c>
      <c r="C3291" s="103" t="s">
        <v>168</v>
      </c>
      <c r="D3291" s="91" t="s">
        <v>168</v>
      </c>
      <c r="E3291" s="103" t="s">
        <v>7021</v>
      </c>
      <c r="F3291" s="91" t="s">
        <v>545</v>
      </c>
      <c r="G3291" s="91" t="s">
        <v>86</v>
      </c>
      <c r="H3291" s="93" t="s">
        <v>92</v>
      </c>
      <c r="I3291" s="92" t="s">
        <v>7022</v>
      </c>
      <c r="J3291" s="106">
        <v>9390575538</v>
      </c>
      <c r="K3291" s="67"/>
      <c r="L3291" s="67"/>
      <c r="M3291" s="67"/>
      <c r="N3291" s="67"/>
      <c r="O3291" s="67"/>
    </row>
    <row r="3292" spans="1:15" ht="30.4">
      <c r="A3292" s="103" t="s">
        <v>19</v>
      </c>
      <c r="B3292" s="103" t="s">
        <v>147</v>
      </c>
      <c r="C3292" s="103" t="s">
        <v>168</v>
      </c>
      <c r="D3292" s="91" t="s">
        <v>168</v>
      </c>
      <c r="E3292" s="103" t="s">
        <v>4297</v>
      </c>
      <c r="F3292" s="91" t="s">
        <v>114</v>
      </c>
      <c r="G3292" s="91" t="s">
        <v>85</v>
      </c>
      <c r="H3292" s="93" t="s">
        <v>92</v>
      </c>
      <c r="I3292" s="92" t="s">
        <v>7022</v>
      </c>
      <c r="J3292" s="106">
        <v>7075124568</v>
      </c>
      <c r="K3292" s="67"/>
      <c r="L3292" s="67"/>
      <c r="M3292" s="67"/>
      <c r="N3292" s="67"/>
      <c r="O3292" s="67"/>
    </row>
    <row r="3293" spans="1:15" ht="16.5">
      <c r="A3293" s="103" t="s">
        <v>10</v>
      </c>
      <c r="B3293" s="103" t="s">
        <v>430</v>
      </c>
      <c r="C3293" s="103" t="s">
        <v>438</v>
      </c>
      <c r="D3293" s="91" t="s">
        <v>438</v>
      </c>
      <c r="E3293" s="103" t="s">
        <v>7023</v>
      </c>
      <c r="F3293" s="91" t="s">
        <v>131</v>
      </c>
      <c r="G3293" s="91" t="s">
        <v>594</v>
      </c>
      <c r="H3293" s="93" t="s">
        <v>92</v>
      </c>
      <c r="I3293" s="92" t="s">
        <v>7024</v>
      </c>
      <c r="J3293" s="106">
        <v>9652345331</v>
      </c>
      <c r="K3293" s="67"/>
      <c r="L3293" s="67"/>
      <c r="M3293" s="67"/>
      <c r="N3293" s="67"/>
      <c r="O3293" s="67"/>
    </row>
    <row r="3294" spans="1:15" ht="30.4">
      <c r="A3294" s="103" t="s">
        <v>10</v>
      </c>
      <c r="B3294" s="103" t="s">
        <v>430</v>
      </c>
      <c r="C3294" s="103" t="s">
        <v>438</v>
      </c>
      <c r="D3294" s="91" t="s">
        <v>438</v>
      </c>
      <c r="E3294" s="103" t="s">
        <v>7025</v>
      </c>
      <c r="F3294" s="91" t="s">
        <v>131</v>
      </c>
      <c r="G3294" s="91" t="s">
        <v>594</v>
      </c>
      <c r="H3294" s="93" t="s">
        <v>92</v>
      </c>
      <c r="I3294" s="92" t="s">
        <v>7026</v>
      </c>
      <c r="J3294" s="106">
        <v>8099991678</v>
      </c>
      <c r="K3294" s="67"/>
      <c r="L3294" s="67"/>
      <c r="M3294" s="67"/>
      <c r="N3294" s="67"/>
      <c r="O3294" s="67"/>
    </row>
    <row r="3295" spans="1:15" ht="60.4">
      <c r="A3295" s="103" t="s">
        <v>10</v>
      </c>
      <c r="B3295" s="103" t="s">
        <v>430</v>
      </c>
      <c r="C3295" s="103" t="s">
        <v>438</v>
      </c>
      <c r="D3295" s="91" t="s">
        <v>438</v>
      </c>
      <c r="E3295" s="103" t="s">
        <v>7027</v>
      </c>
      <c r="F3295" s="91" t="s">
        <v>131</v>
      </c>
      <c r="G3295" s="91" t="s">
        <v>594</v>
      </c>
      <c r="H3295" s="93" t="s">
        <v>4</v>
      </c>
      <c r="I3295" s="92" t="s">
        <v>7028</v>
      </c>
      <c r="J3295" s="106">
        <v>7036000869</v>
      </c>
      <c r="K3295" s="67"/>
      <c r="L3295" s="67"/>
      <c r="M3295" s="67"/>
      <c r="N3295" s="67"/>
      <c r="O3295" s="67"/>
    </row>
    <row r="3296" spans="1:15" ht="30.4">
      <c r="A3296" s="103" t="s">
        <v>19</v>
      </c>
      <c r="B3296" s="103" t="s">
        <v>220</v>
      </c>
      <c r="C3296" s="103" t="s">
        <v>228</v>
      </c>
      <c r="D3296" s="91" t="s">
        <v>228</v>
      </c>
      <c r="E3296" s="103" t="s">
        <v>7029</v>
      </c>
      <c r="F3296" s="91" t="s">
        <v>139</v>
      </c>
      <c r="G3296" s="91" t="s">
        <v>594</v>
      </c>
      <c r="H3296" s="93" t="s">
        <v>92</v>
      </c>
      <c r="I3296" s="92" t="s">
        <v>7030</v>
      </c>
      <c r="J3296" s="106">
        <v>9951965167</v>
      </c>
      <c r="K3296" s="67"/>
      <c r="L3296" s="67"/>
      <c r="M3296" s="67"/>
      <c r="N3296" s="67"/>
      <c r="O3296" s="67"/>
    </row>
    <row r="3297" spans="1:15" ht="30.4">
      <c r="A3297" s="103" t="s">
        <v>19</v>
      </c>
      <c r="B3297" s="103" t="s">
        <v>220</v>
      </c>
      <c r="C3297" s="103" t="s">
        <v>228</v>
      </c>
      <c r="D3297" s="91" t="s">
        <v>228</v>
      </c>
      <c r="E3297" s="103" t="s">
        <v>7031</v>
      </c>
      <c r="F3297" s="91" t="s">
        <v>139</v>
      </c>
      <c r="G3297" s="91" t="s">
        <v>594</v>
      </c>
      <c r="H3297" s="93" t="s">
        <v>92</v>
      </c>
      <c r="I3297" s="92" t="s">
        <v>7030</v>
      </c>
      <c r="J3297" s="106">
        <v>9502266597</v>
      </c>
      <c r="K3297" s="67"/>
      <c r="L3297" s="67"/>
      <c r="M3297" s="67"/>
      <c r="N3297" s="67"/>
      <c r="O3297" s="67"/>
    </row>
    <row r="3298" spans="1:15" ht="30.4">
      <c r="A3298" s="103" t="s">
        <v>19</v>
      </c>
      <c r="B3298" s="103" t="s">
        <v>220</v>
      </c>
      <c r="C3298" s="103" t="s">
        <v>228</v>
      </c>
      <c r="D3298" s="91" t="s">
        <v>228</v>
      </c>
      <c r="E3298" s="103" t="s">
        <v>7032</v>
      </c>
      <c r="F3298" s="91" t="s">
        <v>139</v>
      </c>
      <c r="G3298" s="91" t="s">
        <v>594</v>
      </c>
      <c r="H3298" s="93" t="s">
        <v>4</v>
      </c>
      <c r="I3298" s="92" t="s">
        <v>3107</v>
      </c>
      <c r="J3298" s="106">
        <v>9177928888</v>
      </c>
      <c r="K3298" s="67"/>
      <c r="L3298" s="67"/>
      <c r="M3298" s="67"/>
      <c r="N3298" s="67"/>
      <c r="O3298" s="67"/>
    </row>
    <row r="3299" spans="1:15" ht="30.4">
      <c r="A3299" s="103" t="s">
        <v>19</v>
      </c>
      <c r="B3299" s="103" t="s">
        <v>220</v>
      </c>
      <c r="C3299" s="103" t="s">
        <v>228</v>
      </c>
      <c r="D3299" s="91" t="s">
        <v>228</v>
      </c>
      <c r="E3299" s="103" t="s">
        <v>7033</v>
      </c>
      <c r="F3299" s="91" t="s">
        <v>139</v>
      </c>
      <c r="G3299" s="91" t="s">
        <v>594</v>
      </c>
      <c r="H3299" s="93" t="s">
        <v>4</v>
      </c>
      <c r="I3299" s="92" t="s">
        <v>3495</v>
      </c>
      <c r="J3299" s="106">
        <v>9848269995</v>
      </c>
      <c r="K3299" s="67"/>
      <c r="L3299" s="67"/>
      <c r="M3299" s="67"/>
      <c r="N3299" s="67"/>
      <c r="O3299" s="67"/>
    </row>
    <row r="3300" spans="1:15" ht="16.5">
      <c r="A3300" s="103" t="s">
        <v>8</v>
      </c>
      <c r="B3300" s="103" t="s">
        <v>658</v>
      </c>
      <c r="C3300" s="103" t="s">
        <v>668</v>
      </c>
      <c r="D3300" s="91" t="s">
        <v>7034</v>
      </c>
      <c r="E3300" s="103" t="s">
        <v>7035</v>
      </c>
      <c r="F3300" s="91" t="s">
        <v>213</v>
      </c>
      <c r="G3300" s="91" t="s">
        <v>615</v>
      </c>
      <c r="H3300" s="93" t="s">
        <v>92</v>
      </c>
      <c r="I3300" s="92" t="s">
        <v>3185</v>
      </c>
      <c r="J3300" s="106">
        <v>8328591757</v>
      </c>
      <c r="K3300" s="67"/>
      <c r="L3300" s="67"/>
      <c r="M3300" s="67"/>
      <c r="N3300" s="67"/>
      <c r="O3300" s="67"/>
    </row>
    <row r="3301" spans="1:15" ht="16.5">
      <c r="A3301" s="103" t="s">
        <v>8</v>
      </c>
      <c r="B3301" s="103" t="s">
        <v>658</v>
      </c>
      <c r="C3301" s="103" t="s">
        <v>668</v>
      </c>
      <c r="D3301" s="91" t="s">
        <v>7034</v>
      </c>
      <c r="E3301" s="103" t="s">
        <v>7036</v>
      </c>
      <c r="F3301" s="91" t="s">
        <v>545</v>
      </c>
      <c r="G3301" s="91" t="s">
        <v>86</v>
      </c>
      <c r="H3301" s="93" t="s">
        <v>92</v>
      </c>
      <c r="I3301" s="92" t="s">
        <v>3112</v>
      </c>
      <c r="J3301" s="106">
        <v>6303444486</v>
      </c>
      <c r="K3301" s="67"/>
      <c r="L3301" s="67"/>
      <c r="M3301" s="67"/>
      <c r="N3301" s="67"/>
      <c r="O3301" s="67"/>
    </row>
    <row r="3302" spans="1:15" ht="16.5">
      <c r="A3302" s="103" t="s">
        <v>8</v>
      </c>
      <c r="B3302" s="103" t="s">
        <v>658</v>
      </c>
      <c r="C3302" s="103" t="s">
        <v>668</v>
      </c>
      <c r="D3302" s="91" t="s">
        <v>7034</v>
      </c>
      <c r="E3302" s="103" t="s">
        <v>7037</v>
      </c>
      <c r="F3302" s="91" t="s">
        <v>545</v>
      </c>
      <c r="G3302" s="91" t="s">
        <v>86</v>
      </c>
      <c r="H3302" s="93" t="s">
        <v>92</v>
      </c>
      <c r="I3302" s="92" t="s">
        <v>3112</v>
      </c>
      <c r="J3302" s="106">
        <v>8897419197</v>
      </c>
      <c r="K3302" s="67"/>
      <c r="L3302" s="67"/>
      <c r="M3302" s="67"/>
      <c r="N3302" s="67"/>
      <c r="O3302" s="67"/>
    </row>
    <row r="3303" spans="1:15" ht="30.4">
      <c r="A3303" s="103" t="s">
        <v>8</v>
      </c>
      <c r="B3303" s="103" t="s">
        <v>658</v>
      </c>
      <c r="C3303" s="103" t="s">
        <v>788</v>
      </c>
      <c r="D3303" s="91" t="s">
        <v>788</v>
      </c>
      <c r="E3303" s="103" t="s">
        <v>7038</v>
      </c>
      <c r="F3303" s="91" t="s">
        <v>139</v>
      </c>
      <c r="G3303" s="91" t="s">
        <v>594</v>
      </c>
      <c r="H3303" s="93" t="s">
        <v>92</v>
      </c>
      <c r="I3303" s="92" t="s">
        <v>7039</v>
      </c>
      <c r="J3303" s="106">
        <v>9666345293</v>
      </c>
      <c r="K3303" s="67"/>
      <c r="L3303" s="67"/>
      <c r="M3303" s="67"/>
      <c r="N3303" s="67"/>
      <c r="O3303" s="67"/>
    </row>
    <row r="3304" spans="1:15" ht="16.5">
      <c r="A3304" s="103" t="s">
        <v>8</v>
      </c>
      <c r="B3304" s="103" t="s">
        <v>658</v>
      </c>
      <c r="C3304" s="103" t="s">
        <v>788</v>
      </c>
      <c r="D3304" s="91" t="s">
        <v>788</v>
      </c>
      <c r="E3304" s="103" t="s">
        <v>7040</v>
      </c>
      <c r="F3304" s="67" t="s">
        <v>3138</v>
      </c>
      <c r="G3304" s="91" t="s">
        <v>615</v>
      </c>
      <c r="H3304" s="93" t="s">
        <v>92</v>
      </c>
      <c r="I3304" s="92" t="s">
        <v>7041</v>
      </c>
      <c r="J3304" s="106">
        <v>7396165559</v>
      </c>
      <c r="K3304" s="67"/>
      <c r="L3304" s="67"/>
      <c r="M3304" s="67"/>
      <c r="N3304" s="67"/>
      <c r="O3304" s="67"/>
    </row>
    <row r="3305" spans="1:15" ht="30.4">
      <c r="A3305" s="103" t="s">
        <v>8</v>
      </c>
      <c r="B3305" s="103" t="s">
        <v>658</v>
      </c>
      <c r="C3305" s="103" t="s">
        <v>788</v>
      </c>
      <c r="D3305" s="91" t="s">
        <v>788</v>
      </c>
      <c r="E3305" s="103" t="s">
        <v>7042</v>
      </c>
      <c r="F3305" s="91" t="s">
        <v>139</v>
      </c>
      <c r="G3305" s="91" t="s">
        <v>594</v>
      </c>
      <c r="H3305" s="93" t="s">
        <v>92</v>
      </c>
      <c r="I3305" s="92" t="s">
        <v>7039</v>
      </c>
      <c r="J3305" s="106">
        <v>984938557</v>
      </c>
      <c r="K3305" s="67"/>
      <c r="L3305" s="67"/>
      <c r="M3305" s="67"/>
      <c r="N3305" s="67"/>
      <c r="O3305" s="67"/>
    </row>
    <row r="3306" spans="1:15" ht="30.4">
      <c r="A3306" s="103" t="s">
        <v>8</v>
      </c>
      <c r="B3306" s="103" t="s">
        <v>658</v>
      </c>
      <c r="C3306" s="103" t="s">
        <v>788</v>
      </c>
      <c r="D3306" s="91" t="s">
        <v>788</v>
      </c>
      <c r="E3306" s="103" t="s">
        <v>7043</v>
      </c>
      <c r="F3306" s="91" t="s">
        <v>213</v>
      </c>
      <c r="G3306" s="91" t="s">
        <v>615</v>
      </c>
      <c r="H3306" s="93" t="s">
        <v>92</v>
      </c>
      <c r="I3306" s="92" t="s">
        <v>3162</v>
      </c>
      <c r="J3306" s="106">
        <v>9849858544</v>
      </c>
      <c r="K3306" s="67"/>
      <c r="L3306" s="67"/>
      <c r="M3306" s="67"/>
      <c r="N3306" s="67"/>
      <c r="O3306" s="67"/>
    </row>
    <row r="3307" spans="1:15" ht="30.4">
      <c r="A3307" s="103" t="s">
        <v>8</v>
      </c>
      <c r="B3307" s="103" t="s">
        <v>658</v>
      </c>
      <c r="C3307" s="103" t="s">
        <v>788</v>
      </c>
      <c r="D3307" s="91" t="s">
        <v>788</v>
      </c>
      <c r="E3307" s="103" t="s">
        <v>7044</v>
      </c>
      <c r="F3307" s="91" t="s">
        <v>213</v>
      </c>
      <c r="G3307" s="91" t="s">
        <v>615</v>
      </c>
      <c r="H3307" s="93" t="s">
        <v>92</v>
      </c>
      <c r="I3307" s="92" t="s">
        <v>7039</v>
      </c>
      <c r="J3307" s="106">
        <v>8341259346</v>
      </c>
      <c r="K3307" s="67"/>
      <c r="L3307" s="67"/>
      <c r="M3307" s="67"/>
      <c r="N3307" s="67"/>
      <c r="O3307" s="67"/>
    </row>
    <row r="3308" spans="1:15" ht="16.5">
      <c r="A3308" s="103" t="s">
        <v>8</v>
      </c>
      <c r="B3308" s="103" t="s">
        <v>658</v>
      </c>
      <c r="C3308" s="103" t="s">
        <v>788</v>
      </c>
      <c r="D3308" s="91" t="s">
        <v>788</v>
      </c>
      <c r="E3308" s="103" t="s">
        <v>7045</v>
      </c>
      <c r="F3308" s="91" t="s">
        <v>213</v>
      </c>
      <c r="G3308" s="91" t="s">
        <v>615</v>
      </c>
      <c r="H3308" s="93" t="s">
        <v>4</v>
      </c>
      <c r="I3308" s="67"/>
      <c r="J3308" s="95"/>
      <c r="K3308" s="67"/>
      <c r="L3308" s="67"/>
      <c r="M3308" s="67"/>
      <c r="N3308" s="67"/>
      <c r="O3308" s="67"/>
    </row>
    <row r="3309" spans="1:15" ht="16.5">
      <c r="A3309" s="103" t="s">
        <v>8</v>
      </c>
      <c r="B3309" s="103" t="s">
        <v>658</v>
      </c>
      <c r="C3309" s="103" t="s">
        <v>788</v>
      </c>
      <c r="D3309" s="91" t="s">
        <v>788</v>
      </c>
      <c r="E3309" s="103" t="s">
        <v>7046</v>
      </c>
      <c r="F3309" s="91" t="s">
        <v>451</v>
      </c>
      <c r="G3309" s="91" t="s">
        <v>594</v>
      </c>
      <c r="H3309" s="93" t="s">
        <v>4</v>
      </c>
      <c r="I3309" s="67"/>
      <c r="J3309" s="95"/>
      <c r="K3309" s="67"/>
      <c r="L3309" s="67"/>
      <c r="M3309" s="67"/>
      <c r="N3309" s="67"/>
      <c r="O3309" s="67"/>
    </row>
    <row r="3310" spans="1:15" ht="30.4">
      <c r="A3310" s="103" t="s">
        <v>10</v>
      </c>
      <c r="B3310" s="103" t="s">
        <v>10</v>
      </c>
      <c r="C3310" s="103" t="s">
        <v>507</v>
      </c>
      <c r="D3310" s="91" t="s">
        <v>507</v>
      </c>
      <c r="E3310" s="103" t="s">
        <v>7047</v>
      </c>
      <c r="F3310" s="91" t="s">
        <v>114</v>
      </c>
      <c r="G3310" s="91" t="s">
        <v>85</v>
      </c>
      <c r="H3310" s="93" t="s">
        <v>92</v>
      </c>
      <c r="I3310" s="92" t="s">
        <v>3212</v>
      </c>
      <c r="J3310" s="106">
        <v>9866505102</v>
      </c>
      <c r="K3310" s="67"/>
      <c r="L3310" s="67"/>
      <c r="M3310" s="67"/>
      <c r="N3310" s="67"/>
      <c r="O3310" s="67"/>
    </row>
    <row r="3311" spans="1:15" ht="30.4">
      <c r="A3311" s="103" t="s">
        <v>10</v>
      </c>
      <c r="B3311" s="103" t="s">
        <v>10</v>
      </c>
      <c r="C3311" s="103" t="s">
        <v>507</v>
      </c>
      <c r="D3311" s="91" t="s">
        <v>507</v>
      </c>
      <c r="E3311" s="103" t="s">
        <v>7048</v>
      </c>
      <c r="F3311" s="91" t="s">
        <v>139</v>
      </c>
      <c r="G3311" s="91" t="s">
        <v>594</v>
      </c>
      <c r="H3311" s="93" t="s">
        <v>4</v>
      </c>
      <c r="I3311" s="92" t="s">
        <v>3212</v>
      </c>
      <c r="J3311" s="106">
        <v>9052361437</v>
      </c>
      <c r="K3311" s="67"/>
      <c r="L3311" s="67"/>
      <c r="M3311" s="67"/>
      <c r="N3311" s="67"/>
      <c r="O3311" s="67"/>
    </row>
    <row r="3312" spans="1:15" ht="30.4">
      <c r="A3312" s="103" t="s">
        <v>10</v>
      </c>
      <c r="B3312" s="103" t="s">
        <v>10</v>
      </c>
      <c r="C3312" s="103" t="s">
        <v>507</v>
      </c>
      <c r="D3312" s="91" t="s">
        <v>507</v>
      </c>
      <c r="E3312" s="103" t="s">
        <v>7049</v>
      </c>
      <c r="F3312" s="91" t="s">
        <v>1669</v>
      </c>
      <c r="G3312" s="91" t="s">
        <v>615</v>
      </c>
      <c r="H3312" s="93" t="s">
        <v>4</v>
      </c>
      <c r="I3312" s="92" t="s">
        <v>3212</v>
      </c>
      <c r="J3312" s="106">
        <v>9441141714</v>
      </c>
      <c r="K3312" s="67"/>
      <c r="L3312" s="67"/>
      <c r="M3312" s="67"/>
      <c r="N3312" s="67"/>
      <c r="O3312" s="67"/>
    </row>
    <row r="3313" spans="1:15" ht="30.4">
      <c r="A3313" s="103" t="s">
        <v>10</v>
      </c>
      <c r="B3313" s="103" t="s">
        <v>10</v>
      </c>
      <c r="C3313" s="103" t="s">
        <v>507</v>
      </c>
      <c r="D3313" s="91" t="s">
        <v>507</v>
      </c>
      <c r="E3313" s="103" t="s">
        <v>7050</v>
      </c>
      <c r="F3313" s="91" t="s">
        <v>139</v>
      </c>
      <c r="G3313" s="91" t="s">
        <v>594</v>
      </c>
      <c r="H3313" s="93" t="s">
        <v>92</v>
      </c>
      <c r="I3313" s="92" t="s">
        <v>3205</v>
      </c>
      <c r="J3313" s="106">
        <v>9948103859</v>
      </c>
      <c r="K3313" s="67"/>
      <c r="L3313" s="67"/>
      <c r="M3313" s="67"/>
      <c r="N3313" s="67"/>
      <c r="O3313" s="67"/>
    </row>
    <row r="3314" spans="1:15" ht="16.5">
      <c r="A3314" s="103" t="s">
        <v>10</v>
      </c>
      <c r="B3314" s="103" t="s">
        <v>10</v>
      </c>
      <c r="C3314" s="103" t="s">
        <v>507</v>
      </c>
      <c r="D3314" s="91" t="s">
        <v>507</v>
      </c>
      <c r="E3314" s="103" t="s">
        <v>7051</v>
      </c>
      <c r="F3314" s="91" t="s">
        <v>139</v>
      </c>
      <c r="G3314" s="91" t="s">
        <v>594</v>
      </c>
      <c r="H3314" s="93" t="s">
        <v>6</v>
      </c>
      <c r="I3314" s="92" t="s">
        <v>3185</v>
      </c>
      <c r="J3314" s="95"/>
      <c r="K3314" s="67"/>
      <c r="L3314" s="67"/>
      <c r="M3314" s="67"/>
      <c r="N3314" s="67"/>
      <c r="O3314" s="67"/>
    </row>
    <row r="3315" spans="1:15" ht="30.4">
      <c r="A3315" s="103" t="s">
        <v>10</v>
      </c>
      <c r="B3315" s="103" t="s">
        <v>10</v>
      </c>
      <c r="C3315" s="103" t="s">
        <v>507</v>
      </c>
      <c r="D3315" s="91" t="s">
        <v>507</v>
      </c>
      <c r="E3315" s="103" t="s">
        <v>7052</v>
      </c>
      <c r="F3315" s="91" t="s">
        <v>139</v>
      </c>
      <c r="G3315" s="91" t="s">
        <v>594</v>
      </c>
      <c r="H3315" s="93" t="s">
        <v>6</v>
      </c>
      <c r="I3315" s="92" t="s">
        <v>3212</v>
      </c>
      <c r="J3315" s="95"/>
      <c r="K3315" s="67"/>
      <c r="L3315" s="67"/>
      <c r="M3315" s="67"/>
      <c r="N3315" s="67"/>
      <c r="O3315" s="67"/>
    </row>
    <row r="3316" spans="1:15" ht="16.5">
      <c r="A3316" s="103" t="s">
        <v>8</v>
      </c>
      <c r="B3316" s="103" t="s">
        <v>658</v>
      </c>
      <c r="C3316" s="103" t="s">
        <v>659</v>
      </c>
      <c r="D3316" s="91" t="s">
        <v>659</v>
      </c>
      <c r="E3316" s="103" t="s">
        <v>7053</v>
      </c>
      <c r="F3316" s="91" t="s">
        <v>1661</v>
      </c>
      <c r="G3316" s="91" t="s">
        <v>615</v>
      </c>
      <c r="H3316" s="93" t="s">
        <v>4</v>
      </c>
      <c r="I3316" s="92" t="s">
        <v>3112</v>
      </c>
      <c r="J3316" s="106">
        <v>6300400770</v>
      </c>
      <c r="K3316" s="67"/>
      <c r="L3316" s="67"/>
      <c r="M3316" s="67"/>
      <c r="N3316" s="67"/>
      <c r="O3316" s="67"/>
    </row>
    <row r="3317" spans="1:15" ht="16.5">
      <c r="A3317" s="103" t="s">
        <v>8</v>
      </c>
      <c r="B3317" s="103" t="s">
        <v>658</v>
      </c>
      <c r="C3317" s="103" t="s">
        <v>659</v>
      </c>
      <c r="D3317" s="91" t="s">
        <v>659</v>
      </c>
      <c r="E3317" s="103" t="s">
        <v>7054</v>
      </c>
      <c r="F3317" s="91" t="s">
        <v>114</v>
      </c>
      <c r="G3317" s="91" t="s">
        <v>85</v>
      </c>
      <c r="H3317" s="93" t="s">
        <v>4</v>
      </c>
      <c r="I3317" s="92" t="s">
        <v>3112</v>
      </c>
      <c r="J3317" s="106">
        <v>9491194383</v>
      </c>
      <c r="K3317" s="67"/>
      <c r="L3317" s="67"/>
      <c r="M3317" s="67"/>
      <c r="N3317" s="67"/>
      <c r="O3317" s="67"/>
    </row>
    <row r="3318" spans="1:15" ht="16.5">
      <c r="A3318" s="103" t="s">
        <v>8</v>
      </c>
      <c r="B3318" s="103" t="s">
        <v>658</v>
      </c>
      <c r="C3318" s="103" t="s">
        <v>659</v>
      </c>
      <c r="D3318" s="91" t="s">
        <v>659</v>
      </c>
      <c r="E3318" s="103" t="s">
        <v>7055</v>
      </c>
      <c r="F3318" s="91" t="s">
        <v>139</v>
      </c>
      <c r="G3318" s="91" t="s">
        <v>594</v>
      </c>
      <c r="H3318" s="93" t="s">
        <v>92</v>
      </c>
      <c r="I3318" s="92" t="s">
        <v>3112</v>
      </c>
      <c r="J3318" s="103">
        <v>7989665511</v>
      </c>
      <c r="K3318" s="67"/>
      <c r="L3318" s="67"/>
      <c r="M3318" s="67"/>
      <c r="N3318" s="67"/>
      <c r="O3318" s="67"/>
    </row>
    <row r="3319" spans="1:15" ht="16.5">
      <c r="A3319" s="103" t="s">
        <v>8</v>
      </c>
      <c r="B3319" s="103" t="s">
        <v>658</v>
      </c>
      <c r="C3319" s="103" t="s">
        <v>659</v>
      </c>
      <c r="D3319" s="91" t="s">
        <v>659</v>
      </c>
      <c r="E3319" s="103" t="s">
        <v>7056</v>
      </c>
      <c r="F3319" s="91" t="s">
        <v>139</v>
      </c>
      <c r="G3319" s="91" t="s">
        <v>594</v>
      </c>
      <c r="H3319" s="93" t="s">
        <v>92</v>
      </c>
      <c r="I3319" s="92" t="s">
        <v>3115</v>
      </c>
      <c r="J3319" s="103">
        <v>7989665511</v>
      </c>
      <c r="K3319" s="67"/>
      <c r="L3319" s="67"/>
      <c r="M3319" s="67"/>
      <c r="N3319" s="67"/>
      <c r="O3319" s="67"/>
    </row>
    <row r="3320" spans="1:15" ht="30.4">
      <c r="A3320" s="103" t="s">
        <v>8</v>
      </c>
      <c r="B3320" s="103" t="s">
        <v>658</v>
      </c>
      <c r="C3320" s="103" t="s">
        <v>667</v>
      </c>
      <c r="D3320" s="91" t="s">
        <v>667</v>
      </c>
      <c r="E3320" s="103" t="s">
        <v>7057</v>
      </c>
      <c r="F3320" s="91" t="s">
        <v>467</v>
      </c>
      <c r="G3320" s="91" t="s">
        <v>85</v>
      </c>
      <c r="H3320" s="93" t="s">
        <v>4</v>
      </c>
      <c r="I3320" s="92" t="s">
        <v>3634</v>
      </c>
      <c r="J3320" s="130">
        <v>8096231940</v>
      </c>
      <c r="K3320" s="67"/>
      <c r="L3320" s="67"/>
      <c r="M3320" s="67"/>
      <c r="N3320" s="67"/>
      <c r="O3320" s="67"/>
    </row>
    <row r="3321" spans="1:15" ht="30.4">
      <c r="A3321" s="103" t="s">
        <v>8</v>
      </c>
      <c r="B3321" s="103" t="s">
        <v>658</v>
      </c>
      <c r="C3321" s="103" t="s">
        <v>667</v>
      </c>
      <c r="D3321" s="91" t="s">
        <v>667</v>
      </c>
      <c r="E3321" s="103" t="s">
        <v>7058</v>
      </c>
      <c r="F3321" s="91" t="s">
        <v>467</v>
      </c>
      <c r="G3321" s="91" t="s">
        <v>85</v>
      </c>
      <c r="H3321" s="93" t="s">
        <v>4</v>
      </c>
      <c r="I3321" s="92" t="s">
        <v>3495</v>
      </c>
      <c r="J3321" s="106">
        <v>9951051223</v>
      </c>
      <c r="K3321" s="67"/>
      <c r="L3321" s="67"/>
      <c r="M3321" s="67"/>
      <c r="N3321" s="67"/>
      <c r="O3321" s="67"/>
    </row>
    <row r="3322" spans="1:15" ht="30.4">
      <c r="A3322" s="103" t="s">
        <v>8</v>
      </c>
      <c r="B3322" s="103" t="s">
        <v>658</v>
      </c>
      <c r="C3322" s="103" t="s">
        <v>667</v>
      </c>
      <c r="D3322" s="91" t="s">
        <v>667</v>
      </c>
      <c r="E3322" s="103" t="s">
        <v>7059</v>
      </c>
      <c r="F3322" s="91" t="s">
        <v>139</v>
      </c>
      <c r="G3322" s="91" t="s">
        <v>594</v>
      </c>
      <c r="H3322" s="93" t="s">
        <v>4</v>
      </c>
      <c r="I3322" s="92" t="s">
        <v>3495</v>
      </c>
      <c r="J3322" s="106">
        <v>9573616955</v>
      </c>
      <c r="K3322" s="67"/>
      <c r="L3322" s="67"/>
      <c r="M3322" s="67"/>
      <c r="N3322" s="67"/>
      <c r="O3322" s="67"/>
    </row>
    <row r="3323" spans="1:15" ht="16.5">
      <c r="A3323" s="103" t="s">
        <v>8</v>
      </c>
      <c r="B3323" s="103" t="s">
        <v>658</v>
      </c>
      <c r="C3323" s="103" t="s">
        <v>667</v>
      </c>
      <c r="D3323" s="91" t="s">
        <v>667</v>
      </c>
      <c r="E3323" s="103" t="s">
        <v>7060</v>
      </c>
      <c r="F3323" s="91" t="s">
        <v>139</v>
      </c>
      <c r="G3323" s="91" t="s">
        <v>594</v>
      </c>
      <c r="H3323" s="93" t="s">
        <v>4</v>
      </c>
      <c r="I3323" s="92" t="s">
        <v>3384</v>
      </c>
      <c r="J3323" s="106">
        <v>7842071272</v>
      </c>
      <c r="K3323" s="67"/>
      <c r="L3323" s="67"/>
      <c r="M3323" s="67"/>
      <c r="N3323" s="67"/>
      <c r="O3323" s="67"/>
    </row>
    <row r="3324" spans="1:15" ht="82.5">
      <c r="A3324" s="103" t="s">
        <v>8</v>
      </c>
      <c r="B3324" s="103" t="s">
        <v>658</v>
      </c>
      <c r="C3324" s="103" t="s">
        <v>667</v>
      </c>
      <c r="D3324" s="91" t="s">
        <v>667</v>
      </c>
      <c r="E3324" s="130" t="s">
        <v>7061</v>
      </c>
      <c r="F3324" s="91" t="s">
        <v>94</v>
      </c>
      <c r="G3324" s="91" t="s">
        <v>615</v>
      </c>
      <c r="H3324" s="93" t="s">
        <v>92</v>
      </c>
      <c r="I3324" s="92" t="s">
        <v>3115</v>
      </c>
      <c r="J3324" s="106">
        <v>8790185221</v>
      </c>
      <c r="K3324" s="67"/>
      <c r="L3324" s="67"/>
      <c r="M3324" s="67"/>
      <c r="N3324" s="67"/>
      <c r="O3324" s="67"/>
    </row>
    <row r="3325" spans="1:15" ht="30.4">
      <c r="A3325" s="103" t="s">
        <v>8</v>
      </c>
      <c r="B3325" s="103" t="s">
        <v>658</v>
      </c>
      <c r="C3325" s="103" t="s">
        <v>667</v>
      </c>
      <c r="D3325" s="91" t="s">
        <v>667</v>
      </c>
      <c r="E3325" s="103" t="s">
        <v>7062</v>
      </c>
      <c r="F3325" s="91" t="s">
        <v>114</v>
      </c>
      <c r="G3325" s="91" t="s">
        <v>85</v>
      </c>
      <c r="H3325" s="93" t="s">
        <v>92</v>
      </c>
      <c r="I3325" s="92" t="s">
        <v>3495</v>
      </c>
      <c r="J3325" s="106" t="s">
        <v>2631</v>
      </c>
      <c r="K3325" s="67"/>
      <c r="L3325" s="67"/>
      <c r="M3325" s="67"/>
      <c r="N3325" s="67"/>
      <c r="O3325" s="67"/>
    </row>
    <row r="3326" spans="1:15" ht="16.5">
      <c r="A3326" s="103" t="s">
        <v>8</v>
      </c>
      <c r="B3326" s="103" t="s">
        <v>658</v>
      </c>
      <c r="C3326" s="103" t="s">
        <v>667</v>
      </c>
      <c r="D3326" s="91" t="s">
        <v>667</v>
      </c>
      <c r="E3326" s="103" t="s">
        <v>7063</v>
      </c>
      <c r="F3326" s="91" t="s">
        <v>114</v>
      </c>
      <c r="G3326" s="91" t="s">
        <v>85</v>
      </c>
      <c r="H3326" s="93" t="s">
        <v>92</v>
      </c>
      <c r="I3326" s="92" t="s">
        <v>3185</v>
      </c>
      <c r="J3326" s="106" t="s">
        <v>2631</v>
      </c>
      <c r="K3326" s="67"/>
      <c r="L3326" s="67"/>
      <c r="M3326" s="67"/>
      <c r="N3326" s="67"/>
      <c r="O3326" s="67"/>
    </row>
    <row r="3327" spans="1:15" ht="60.4">
      <c r="A3327" s="103" t="s">
        <v>8</v>
      </c>
      <c r="B3327" s="103" t="s">
        <v>8</v>
      </c>
      <c r="C3327" s="103" t="s">
        <v>579</v>
      </c>
      <c r="D3327" s="91" t="s">
        <v>579</v>
      </c>
      <c r="E3327" s="103" t="s">
        <v>7064</v>
      </c>
      <c r="F3327" s="91" t="s">
        <v>545</v>
      </c>
      <c r="G3327" s="91" t="s">
        <v>86</v>
      </c>
      <c r="H3327" s="93" t="s">
        <v>4</v>
      </c>
      <c r="I3327" s="92" t="s">
        <v>7065</v>
      </c>
      <c r="J3327" s="106">
        <v>7989978009</v>
      </c>
      <c r="K3327" s="67"/>
      <c r="L3327" s="67"/>
      <c r="M3327" s="67"/>
      <c r="N3327" s="67"/>
      <c r="O3327" s="67"/>
    </row>
    <row r="3328" spans="1:15" ht="30.4">
      <c r="A3328" s="103" t="s">
        <v>8</v>
      </c>
      <c r="B3328" s="103" t="s">
        <v>8</v>
      </c>
      <c r="C3328" s="103" t="s">
        <v>579</v>
      </c>
      <c r="D3328" s="91" t="s">
        <v>579</v>
      </c>
      <c r="E3328" s="103" t="s">
        <v>7066</v>
      </c>
      <c r="F3328" s="91" t="s">
        <v>165</v>
      </c>
      <c r="G3328" s="91" t="s">
        <v>615</v>
      </c>
      <c r="H3328" s="93" t="s">
        <v>4</v>
      </c>
      <c r="I3328" s="92" t="s">
        <v>3634</v>
      </c>
      <c r="J3328" s="106">
        <v>9849556645</v>
      </c>
      <c r="K3328" s="67"/>
      <c r="L3328" s="67"/>
      <c r="M3328" s="67"/>
      <c r="N3328" s="67"/>
      <c r="O3328" s="67"/>
    </row>
    <row r="3329" spans="1:15" ht="30.4">
      <c r="A3329" s="103" t="s">
        <v>8</v>
      </c>
      <c r="B3329" s="103" t="s">
        <v>8</v>
      </c>
      <c r="C3329" s="103" t="s">
        <v>579</v>
      </c>
      <c r="D3329" s="91" t="s">
        <v>579</v>
      </c>
      <c r="E3329" s="103" t="s">
        <v>7067</v>
      </c>
      <c r="F3329" s="91" t="s">
        <v>1650</v>
      </c>
      <c r="G3329" s="91" t="s">
        <v>86</v>
      </c>
      <c r="H3329" s="93" t="s">
        <v>4</v>
      </c>
      <c r="I3329" s="92" t="s">
        <v>7068</v>
      </c>
      <c r="J3329" s="106">
        <v>934755934</v>
      </c>
      <c r="K3329" s="67"/>
      <c r="L3329" s="67"/>
      <c r="M3329" s="67"/>
      <c r="N3329" s="67"/>
      <c r="O3329" s="67"/>
    </row>
    <row r="3330" spans="1:15" ht="16.5">
      <c r="A3330" s="103" t="s">
        <v>8</v>
      </c>
      <c r="B3330" s="103" t="s">
        <v>8</v>
      </c>
      <c r="C3330" s="103" t="s">
        <v>579</v>
      </c>
      <c r="D3330" s="91" t="s">
        <v>579</v>
      </c>
      <c r="E3330" s="103" t="s">
        <v>7069</v>
      </c>
      <c r="F3330" s="91" t="s">
        <v>139</v>
      </c>
      <c r="G3330" s="91" t="s">
        <v>594</v>
      </c>
      <c r="H3330" s="93" t="s">
        <v>92</v>
      </c>
      <c r="I3330" s="92" t="s">
        <v>3185</v>
      </c>
      <c r="J3330" s="95"/>
      <c r="K3330" s="67"/>
      <c r="L3330" s="67"/>
      <c r="M3330" s="67"/>
      <c r="N3330" s="67"/>
      <c r="O3330" s="67"/>
    </row>
    <row r="3331" spans="1:15" ht="30.4">
      <c r="A3331" s="103" t="s">
        <v>8</v>
      </c>
      <c r="B3331" s="103" t="s">
        <v>8</v>
      </c>
      <c r="C3331" s="103" t="s">
        <v>579</v>
      </c>
      <c r="D3331" s="91" t="s">
        <v>579</v>
      </c>
      <c r="E3331" s="103" t="s">
        <v>7070</v>
      </c>
      <c r="F3331" s="91" t="s">
        <v>139</v>
      </c>
      <c r="G3331" s="91" t="s">
        <v>594</v>
      </c>
      <c r="H3331" s="93" t="s">
        <v>4</v>
      </c>
      <c r="I3331" s="92" t="s">
        <v>6811</v>
      </c>
      <c r="J3331" s="106">
        <v>9949496252</v>
      </c>
      <c r="K3331" s="67"/>
      <c r="L3331" s="67"/>
      <c r="M3331" s="67"/>
      <c r="N3331" s="67"/>
      <c r="O3331" s="67"/>
    </row>
    <row r="3332" spans="1:15" ht="45.4">
      <c r="A3332" s="103" t="s">
        <v>8</v>
      </c>
      <c r="B3332" s="103" t="s">
        <v>658</v>
      </c>
      <c r="C3332" s="103" t="s">
        <v>663</v>
      </c>
      <c r="D3332" s="91" t="s">
        <v>663</v>
      </c>
      <c r="E3332" s="103" t="s">
        <v>7071</v>
      </c>
      <c r="F3332" s="91" t="s">
        <v>114</v>
      </c>
      <c r="G3332" s="91" t="s">
        <v>85</v>
      </c>
      <c r="H3332" s="93" t="s">
        <v>4</v>
      </c>
      <c r="I3332" s="92" t="s">
        <v>7072</v>
      </c>
      <c r="J3332" s="106">
        <v>7396330600</v>
      </c>
      <c r="K3332" s="67"/>
      <c r="L3332" s="67"/>
      <c r="M3332" s="67"/>
      <c r="N3332" s="67"/>
      <c r="O3332" s="67"/>
    </row>
    <row r="3333" spans="1:15" ht="30.4">
      <c r="A3333" s="103" t="s">
        <v>8</v>
      </c>
      <c r="B3333" s="103" t="s">
        <v>658</v>
      </c>
      <c r="C3333" s="103" t="s">
        <v>663</v>
      </c>
      <c r="D3333" s="91" t="s">
        <v>663</v>
      </c>
      <c r="E3333" s="103" t="s">
        <v>7073</v>
      </c>
      <c r="F3333" s="91" t="s">
        <v>139</v>
      </c>
      <c r="G3333" s="91" t="s">
        <v>594</v>
      </c>
      <c r="H3333" s="93" t="s">
        <v>4</v>
      </c>
      <c r="I3333" s="92" t="s">
        <v>3916</v>
      </c>
      <c r="J3333" s="95"/>
      <c r="K3333" s="67"/>
      <c r="L3333" s="67"/>
      <c r="M3333" s="67"/>
      <c r="N3333" s="67"/>
      <c r="O3333" s="67"/>
    </row>
    <row r="3334" spans="1:15" ht="60.4">
      <c r="A3334" s="103" t="s">
        <v>8</v>
      </c>
      <c r="B3334" s="103" t="s">
        <v>658</v>
      </c>
      <c r="C3334" s="103" t="s">
        <v>663</v>
      </c>
      <c r="D3334" s="91" t="s">
        <v>663</v>
      </c>
      <c r="E3334" s="103" t="s">
        <v>7074</v>
      </c>
      <c r="F3334" s="91" t="s">
        <v>114</v>
      </c>
      <c r="G3334" s="91" t="s">
        <v>85</v>
      </c>
      <c r="H3334" s="93" t="s">
        <v>4</v>
      </c>
      <c r="I3334" s="92" t="s">
        <v>7075</v>
      </c>
      <c r="J3334" s="95"/>
      <c r="K3334" s="67"/>
      <c r="L3334" s="67"/>
      <c r="M3334" s="67"/>
      <c r="N3334" s="67"/>
      <c r="O3334" s="67"/>
    </row>
    <row r="3335" spans="1:15" ht="30.4">
      <c r="A3335" s="103" t="s">
        <v>8</v>
      </c>
      <c r="B3335" s="103" t="s">
        <v>658</v>
      </c>
      <c r="C3335" s="103" t="s">
        <v>663</v>
      </c>
      <c r="D3335" s="91" t="s">
        <v>663</v>
      </c>
      <c r="E3335" s="103" t="s">
        <v>7076</v>
      </c>
      <c r="F3335" s="91" t="s">
        <v>114</v>
      </c>
      <c r="G3335" s="91" t="s">
        <v>85</v>
      </c>
      <c r="H3335" s="93" t="s">
        <v>4</v>
      </c>
      <c r="I3335" s="92" t="s">
        <v>3107</v>
      </c>
      <c r="J3335" s="95"/>
      <c r="K3335" s="67"/>
      <c r="L3335" s="67"/>
      <c r="M3335" s="67"/>
      <c r="N3335" s="67"/>
      <c r="O3335" s="67"/>
    </row>
    <row r="3336" spans="1:15" ht="30.4">
      <c r="A3336" s="103" t="s">
        <v>8</v>
      </c>
      <c r="B3336" s="103" t="s">
        <v>658</v>
      </c>
      <c r="C3336" s="103" t="s">
        <v>663</v>
      </c>
      <c r="D3336" s="91" t="s">
        <v>663</v>
      </c>
      <c r="E3336" s="103" t="s">
        <v>7077</v>
      </c>
      <c r="F3336" s="91" t="s">
        <v>114</v>
      </c>
      <c r="G3336" s="91" t="s">
        <v>85</v>
      </c>
      <c r="H3336" s="93" t="s">
        <v>92</v>
      </c>
      <c r="I3336" s="92" t="s">
        <v>7078</v>
      </c>
      <c r="J3336" s="95"/>
      <c r="K3336" s="67"/>
      <c r="L3336" s="67"/>
      <c r="M3336" s="67"/>
      <c r="N3336" s="67"/>
      <c r="O3336" s="67"/>
    </row>
    <row r="3337" spans="1:15" ht="16.5">
      <c r="A3337" s="103" t="s">
        <v>8</v>
      </c>
      <c r="B3337" s="103" t="s">
        <v>658</v>
      </c>
      <c r="C3337" s="103" t="s">
        <v>663</v>
      </c>
      <c r="D3337" s="91" t="s">
        <v>663</v>
      </c>
      <c r="E3337" s="103" t="s">
        <v>7079</v>
      </c>
      <c r="F3337" s="91" t="s">
        <v>139</v>
      </c>
      <c r="G3337" s="91" t="s">
        <v>594</v>
      </c>
      <c r="H3337" s="93" t="s">
        <v>92</v>
      </c>
      <c r="I3337" s="92" t="s">
        <v>3185</v>
      </c>
      <c r="J3337" s="95"/>
      <c r="K3337" s="67"/>
      <c r="L3337" s="67"/>
      <c r="M3337" s="67"/>
      <c r="N3337" s="67"/>
      <c r="O3337" s="67"/>
    </row>
    <row r="3338" spans="1:15" ht="45.4">
      <c r="A3338" s="103" t="s">
        <v>8</v>
      </c>
      <c r="B3338" s="103" t="s">
        <v>658</v>
      </c>
      <c r="C3338" s="103" t="s">
        <v>663</v>
      </c>
      <c r="D3338" s="91" t="s">
        <v>663</v>
      </c>
      <c r="E3338" s="103" t="s">
        <v>7080</v>
      </c>
      <c r="F3338" s="91" t="s">
        <v>139</v>
      </c>
      <c r="G3338" s="91" t="s">
        <v>594</v>
      </c>
      <c r="H3338" s="93" t="s">
        <v>92</v>
      </c>
      <c r="I3338" s="92" t="s">
        <v>7081</v>
      </c>
      <c r="J3338" s="95"/>
      <c r="K3338" s="67"/>
      <c r="L3338" s="67"/>
      <c r="M3338" s="67"/>
      <c r="N3338" s="67"/>
      <c r="O3338" s="67"/>
    </row>
    <row r="3339" spans="1:15" ht="16.5">
      <c r="A3339" s="103" t="s">
        <v>8</v>
      </c>
      <c r="B3339" s="103" t="s">
        <v>8</v>
      </c>
      <c r="C3339" s="103" t="s">
        <v>570</v>
      </c>
      <c r="D3339" s="91" t="s">
        <v>570</v>
      </c>
      <c r="E3339" s="103" t="s">
        <v>7082</v>
      </c>
      <c r="F3339" s="91" t="s">
        <v>139</v>
      </c>
      <c r="G3339" s="91" t="s">
        <v>594</v>
      </c>
      <c r="H3339" s="93" t="s">
        <v>92</v>
      </c>
      <c r="I3339" s="92" t="s">
        <v>3115</v>
      </c>
      <c r="J3339" s="95"/>
      <c r="K3339" s="67"/>
      <c r="L3339" s="67"/>
      <c r="M3339" s="67"/>
      <c r="N3339" s="67"/>
      <c r="O3339" s="67"/>
    </row>
    <row r="3340" spans="1:15" ht="30.4">
      <c r="A3340" s="103" t="s">
        <v>8</v>
      </c>
      <c r="B3340" s="103" t="s">
        <v>8</v>
      </c>
      <c r="C3340" s="103" t="s">
        <v>570</v>
      </c>
      <c r="D3340" s="91" t="s">
        <v>570</v>
      </c>
      <c r="E3340" s="103" t="s">
        <v>7083</v>
      </c>
      <c r="F3340" s="91" t="s">
        <v>139</v>
      </c>
      <c r="G3340" s="91" t="s">
        <v>594</v>
      </c>
      <c r="H3340" s="93" t="s">
        <v>92</v>
      </c>
      <c r="I3340" s="92" t="s">
        <v>3120</v>
      </c>
      <c r="J3340" s="106">
        <v>9676338876</v>
      </c>
      <c r="K3340" s="67"/>
      <c r="L3340" s="67"/>
      <c r="M3340" s="67"/>
      <c r="N3340" s="67"/>
      <c r="O3340" s="67"/>
    </row>
    <row r="3341" spans="1:15" ht="30.4">
      <c r="A3341" s="103" t="s">
        <v>8</v>
      </c>
      <c r="B3341" s="103" t="s">
        <v>8</v>
      </c>
      <c r="C3341" s="103" t="s">
        <v>570</v>
      </c>
      <c r="D3341" s="91" t="s">
        <v>570</v>
      </c>
      <c r="E3341" s="103" t="s">
        <v>7084</v>
      </c>
      <c r="F3341" s="91" t="s">
        <v>131</v>
      </c>
      <c r="G3341" s="91" t="s">
        <v>594</v>
      </c>
      <c r="H3341" s="93" t="s">
        <v>92</v>
      </c>
      <c r="I3341" s="92" t="s">
        <v>3495</v>
      </c>
      <c r="J3341" s="106">
        <v>9912378020</v>
      </c>
      <c r="K3341" s="67"/>
      <c r="L3341" s="67"/>
      <c r="M3341" s="67"/>
      <c r="N3341" s="67"/>
      <c r="O3341" s="67"/>
    </row>
    <row r="3342" spans="1:15" ht="16.5">
      <c r="A3342" s="103" t="s">
        <v>8</v>
      </c>
      <c r="B3342" s="103" t="s">
        <v>8</v>
      </c>
      <c r="C3342" s="103" t="s">
        <v>570</v>
      </c>
      <c r="D3342" s="91" t="s">
        <v>570</v>
      </c>
      <c r="E3342" s="103" t="s">
        <v>7085</v>
      </c>
      <c r="F3342" s="91" t="s">
        <v>139</v>
      </c>
      <c r="G3342" s="91" t="s">
        <v>594</v>
      </c>
      <c r="H3342" s="93" t="s">
        <v>92</v>
      </c>
      <c r="I3342" s="92" t="s">
        <v>3185</v>
      </c>
      <c r="J3342" s="95"/>
      <c r="K3342" s="67"/>
      <c r="L3342" s="67"/>
      <c r="M3342" s="67"/>
      <c r="N3342" s="67"/>
      <c r="O3342" s="67"/>
    </row>
    <row r="3343" spans="1:15" ht="16.5">
      <c r="A3343" s="103" t="s">
        <v>8</v>
      </c>
      <c r="B3343" s="103" t="s">
        <v>8</v>
      </c>
      <c r="C3343" s="103" t="s">
        <v>570</v>
      </c>
      <c r="D3343" s="91" t="s">
        <v>570</v>
      </c>
      <c r="E3343" s="103" t="s">
        <v>7086</v>
      </c>
      <c r="F3343" s="91" t="s">
        <v>139</v>
      </c>
      <c r="G3343" s="91" t="s">
        <v>594</v>
      </c>
      <c r="H3343" s="93" t="s">
        <v>92</v>
      </c>
      <c r="I3343" s="92" t="s">
        <v>4039</v>
      </c>
      <c r="J3343" s="95"/>
      <c r="K3343" s="67"/>
      <c r="L3343" s="67"/>
      <c r="M3343" s="67"/>
      <c r="N3343" s="67"/>
      <c r="O3343" s="67"/>
    </row>
    <row r="3344" spans="1:15" ht="30.4">
      <c r="A3344" s="103" t="s">
        <v>8</v>
      </c>
      <c r="B3344" s="103" t="s">
        <v>8</v>
      </c>
      <c r="C3344" s="103" t="s">
        <v>570</v>
      </c>
      <c r="D3344" s="91" t="s">
        <v>570</v>
      </c>
      <c r="E3344" s="103" t="s">
        <v>7087</v>
      </c>
      <c r="F3344" s="91" t="s">
        <v>1604</v>
      </c>
      <c r="G3344" s="91" t="s">
        <v>615</v>
      </c>
      <c r="H3344" s="93" t="s">
        <v>4</v>
      </c>
      <c r="I3344" s="92" t="s">
        <v>3495</v>
      </c>
      <c r="J3344" s="106">
        <v>6300079631</v>
      </c>
      <c r="K3344" s="67"/>
      <c r="L3344" s="67"/>
      <c r="M3344" s="67"/>
      <c r="N3344" s="67"/>
      <c r="O3344" s="67"/>
    </row>
    <row r="3345" spans="1:15" ht="30.4">
      <c r="A3345" s="103" t="s">
        <v>8</v>
      </c>
      <c r="B3345" s="103" t="s">
        <v>8</v>
      </c>
      <c r="C3345" s="103" t="s">
        <v>570</v>
      </c>
      <c r="D3345" s="91" t="s">
        <v>570</v>
      </c>
      <c r="E3345" s="103" t="s">
        <v>7088</v>
      </c>
      <c r="F3345" s="91" t="s">
        <v>595</v>
      </c>
      <c r="G3345" s="91" t="s">
        <v>594</v>
      </c>
      <c r="H3345" s="93" t="s">
        <v>6</v>
      </c>
      <c r="I3345" s="92" t="s">
        <v>3495</v>
      </c>
      <c r="J3345" s="106">
        <v>9010986642</v>
      </c>
      <c r="K3345" s="67"/>
      <c r="L3345" s="67"/>
      <c r="M3345" s="67"/>
      <c r="N3345" s="67"/>
      <c r="O3345" s="67"/>
    </row>
    <row r="3346" spans="1:15" ht="30.4">
      <c r="A3346" s="103" t="s">
        <v>7</v>
      </c>
      <c r="B3346" s="103" t="s">
        <v>671</v>
      </c>
      <c r="C3346" s="103" t="s">
        <v>702</v>
      </c>
      <c r="D3346" s="103" t="s">
        <v>702</v>
      </c>
      <c r="E3346" s="103" t="s">
        <v>7089</v>
      </c>
      <c r="F3346" s="91" t="s">
        <v>586</v>
      </c>
      <c r="G3346" s="91" t="s">
        <v>615</v>
      </c>
      <c r="H3346" s="93" t="s">
        <v>92</v>
      </c>
      <c r="I3346" s="92" t="s">
        <v>6953</v>
      </c>
      <c r="J3346" s="106">
        <v>9966342342</v>
      </c>
      <c r="K3346" s="67"/>
      <c r="L3346" s="67"/>
      <c r="M3346" s="67"/>
      <c r="N3346" s="67"/>
      <c r="O3346" s="67"/>
    </row>
    <row r="3347" spans="1:15" ht="30.4">
      <c r="A3347" s="103" t="s">
        <v>7</v>
      </c>
      <c r="B3347" s="103" t="s">
        <v>671</v>
      </c>
      <c r="C3347" s="103" t="s">
        <v>702</v>
      </c>
      <c r="D3347" s="103" t="s">
        <v>702</v>
      </c>
      <c r="E3347" s="103" t="s">
        <v>7090</v>
      </c>
      <c r="F3347" s="91" t="s">
        <v>586</v>
      </c>
      <c r="G3347" s="91" t="s">
        <v>615</v>
      </c>
      <c r="H3347" s="93" t="s">
        <v>92</v>
      </c>
      <c r="I3347" s="92" t="s">
        <v>3205</v>
      </c>
      <c r="J3347" s="106">
        <v>8897997188</v>
      </c>
      <c r="K3347" s="67"/>
      <c r="L3347" s="67"/>
      <c r="M3347" s="67"/>
      <c r="N3347" s="67"/>
      <c r="O3347" s="67"/>
    </row>
    <row r="3348" spans="1:15" ht="30.4">
      <c r="A3348" s="103" t="s">
        <v>7</v>
      </c>
      <c r="B3348" s="103" t="s">
        <v>671</v>
      </c>
      <c r="C3348" s="103" t="s">
        <v>702</v>
      </c>
      <c r="D3348" s="103" t="s">
        <v>702</v>
      </c>
      <c r="E3348" s="103" t="s">
        <v>7091</v>
      </c>
      <c r="F3348" s="91" t="s">
        <v>586</v>
      </c>
      <c r="G3348" s="91" t="s">
        <v>615</v>
      </c>
      <c r="H3348" s="93" t="s">
        <v>92</v>
      </c>
      <c r="I3348" s="92" t="s">
        <v>3107</v>
      </c>
      <c r="J3348" s="106">
        <v>8179870805</v>
      </c>
      <c r="K3348" s="67"/>
      <c r="L3348" s="67"/>
      <c r="M3348" s="67"/>
      <c r="N3348" s="67"/>
      <c r="O3348" s="67"/>
    </row>
    <row r="3349" spans="1:15" ht="30.4">
      <c r="A3349" s="103" t="s">
        <v>7</v>
      </c>
      <c r="B3349" s="103" t="s">
        <v>671</v>
      </c>
      <c r="C3349" s="103" t="s">
        <v>702</v>
      </c>
      <c r="D3349" s="103" t="s">
        <v>702</v>
      </c>
      <c r="E3349" s="103" t="s">
        <v>7092</v>
      </c>
      <c r="F3349" s="91" t="s">
        <v>586</v>
      </c>
      <c r="G3349" s="91" t="s">
        <v>615</v>
      </c>
      <c r="H3349" s="93" t="s">
        <v>4</v>
      </c>
      <c r="I3349" s="92" t="s">
        <v>6811</v>
      </c>
      <c r="J3349" s="106">
        <v>9949534038</v>
      </c>
      <c r="K3349" s="67"/>
      <c r="L3349" s="67"/>
      <c r="M3349" s="67"/>
      <c r="N3349" s="67"/>
      <c r="O3349" s="67"/>
    </row>
    <row r="3350" spans="1:15" ht="30.4">
      <c r="A3350" s="103" t="s">
        <v>7</v>
      </c>
      <c r="B3350" s="103" t="s">
        <v>671</v>
      </c>
      <c r="C3350" s="103" t="s">
        <v>702</v>
      </c>
      <c r="D3350" s="103" t="s">
        <v>702</v>
      </c>
      <c r="E3350" s="103" t="s">
        <v>7093</v>
      </c>
      <c r="F3350" s="91" t="s">
        <v>586</v>
      </c>
      <c r="G3350" s="91" t="s">
        <v>615</v>
      </c>
      <c r="H3350" s="93" t="s">
        <v>4</v>
      </c>
      <c r="I3350" s="92" t="s">
        <v>3120</v>
      </c>
      <c r="J3350" s="106">
        <v>8106042220</v>
      </c>
      <c r="K3350" s="67"/>
      <c r="L3350" s="67"/>
      <c r="M3350" s="67"/>
      <c r="N3350" s="67"/>
      <c r="O3350" s="67"/>
    </row>
    <row r="3351" spans="1:15" ht="16.5">
      <c r="A3351" s="103" t="s">
        <v>11</v>
      </c>
      <c r="B3351" s="103" t="s">
        <v>261</v>
      </c>
      <c r="C3351" s="103" t="s">
        <v>275</v>
      </c>
      <c r="D3351" s="91" t="s">
        <v>7094</v>
      </c>
      <c r="E3351" s="103" t="s">
        <v>7095</v>
      </c>
      <c r="F3351" s="91" t="s">
        <v>139</v>
      </c>
      <c r="G3351" s="91" t="s">
        <v>594</v>
      </c>
      <c r="H3351" s="93" t="s">
        <v>6</v>
      </c>
      <c r="I3351" s="92" t="s">
        <v>3185</v>
      </c>
      <c r="J3351" s="106">
        <v>9908261395</v>
      </c>
      <c r="K3351" s="67"/>
      <c r="L3351" s="67"/>
      <c r="M3351" s="67"/>
      <c r="N3351" s="67"/>
      <c r="O3351" s="67"/>
    </row>
    <row r="3352" spans="1:15" ht="16.5">
      <c r="A3352" s="103" t="s">
        <v>11</v>
      </c>
      <c r="B3352" s="103" t="s">
        <v>261</v>
      </c>
      <c r="C3352" s="103" t="s">
        <v>275</v>
      </c>
      <c r="D3352" s="91" t="s">
        <v>7094</v>
      </c>
      <c r="E3352" s="103" t="s">
        <v>7096</v>
      </c>
      <c r="F3352" s="91" t="s">
        <v>139</v>
      </c>
      <c r="G3352" s="91" t="s">
        <v>594</v>
      </c>
      <c r="H3352" s="93" t="s">
        <v>6</v>
      </c>
      <c r="I3352" s="92" t="s">
        <v>3891</v>
      </c>
      <c r="J3352" s="106">
        <v>9110376909</v>
      </c>
      <c r="K3352" s="67"/>
      <c r="L3352" s="67"/>
      <c r="M3352" s="67"/>
      <c r="N3352" s="67"/>
      <c r="O3352" s="67"/>
    </row>
    <row r="3353" spans="1:15" ht="30.4">
      <c r="A3353" s="103" t="s">
        <v>8</v>
      </c>
      <c r="B3353" s="103" t="s">
        <v>8</v>
      </c>
      <c r="C3353" s="103" t="s">
        <v>573</v>
      </c>
      <c r="D3353" s="91" t="s">
        <v>7097</v>
      </c>
      <c r="E3353" s="103" t="s">
        <v>7098</v>
      </c>
      <c r="F3353" s="91" t="s">
        <v>139</v>
      </c>
      <c r="G3353" s="91" t="s">
        <v>594</v>
      </c>
      <c r="H3353" s="93" t="s">
        <v>4</v>
      </c>
      <c r="I3353" s="92" t="s">
        <v>6811</v>
      </c>
      <c r="J3353" s="106">
        <v>9949496252</v>
      </c>
      <c r="K3353" s="67"/>
      <c r="L3353" s="67"/>
      <c r="M3353" s="67"/>
      <c r="N3353" s="67"/>
      <c r="O3353" s="67"/>
    </row>
    <row r="3354" spans="1:15" ht="45.4">
      <c r="A3354" s="103" t="s">
        <v>8</v>
      </c>
      <c r="B3354" s="103" t="s">
        <v>8</v>
      </c>
      <c r="C3354" s="103" t="s">
        <v>573</v>
      </c>
      <c r="D3354" s="91" t="s">
        <v>7097</v>
      </c>
      <c r="E3354" s="103" t="s">
        <v>7099</v>
      </c>
      <c r="F3354" s="91" t="s">
        <v>139</v>
      </c>
      <c r="G3354" s="91" t="s">
        <v>594</v>
      </c>
      <c r="H3354" s="93" t="s">
        <v>4</v>
      </c>
      <c r="I3354" s="92" t="s">
        <v>7100</v>
      </c>
      <c r="J3354" s="95"/>
      <c r="K3354" s="67"/>
      <c r="L3354" s="67"/>
      <c r="M3354" s="67"/>
      <c r="N3354" s="67"/>
      <c r="O3354" s="67"/>
    </row>
    <row r="3355" spans="1:15" ht="30.4">
      <c r="A3355" s="103" t="s">
        <v>8</v>
      </c>
      <c r="B3355" s="103" t="s">
        <v>8</v>
      </c>
      <c r="C3355" s="103" t="s">
        <v>573</v>
      </c>
      <c r="D3355" s="91" t="s">
        <v>7097</v>
      </c>
      <c r="E3355" s="103" t="s">
        <v>7101</v>
      </c>
      <c r="F3355" s="91" t="s">
        <v>139</v>
      </c>
      <c r="G3355" s="91" t="s">
        <v>594</v>
      </c>
      <c r="H3355" s="93" t="s">
        <v>4</v>
      </c>
      <c r="I3355" s="92" t="s">
        <v>3495</v>
      </c>
      <c r="J3355" s="95"/>
      <c r="K3355" s="67"/>
      <c r="L3355" s="67"/>
      <c r="M3355" s="67"/>
      <c r="N3355" s="67"/>
      <c r="O3355" s="67"/>
    </row>
    <row r="3356" spans="1:15" ht="60.4">
      <c r="A3356" s="103" t="s">
        <v>8</v>
      </c>
      <c r="B3356" s="103" t="s">
        <v>587</v>
      </c>
      <c r="C3356" s="103" t="s">
        <v>611</v>
      </c>
      <c r="D3356" s="103" t="s">
        <v>611</v>
      </c>
      <c r="E3356" s="103" t="s">
        <v>7102</v>
      </c>
      <c r="F3356" s="91" t="s">
        <v>586</v>
      </c>
      <c r="G3356" s="91" t="s">
        <v>615</v>
      </c>
      <c r="H3356" s="93" t="s">
        <v>7103</v>
      </c>
      <c r="I3356" s="92" t="s">
        <v>7104</v>
      </c>
      <c r="J3356" s="106">
        <v>9959504635</v>
      </c>
      <c r="K3356" s="67"/>
      <c r="L3356" s="67"/>
      <c r="M3356" s="67"/>
      <c r="N3356" s="67"/>
      <c r="O3356" s="67"/>
    </row>
    <row r="3357" spans="1:15" ht="16.5">
      <c r="A3357" s="103" t="s">
        <v>8</v>
      </c>
      <c r="B3357" s="103" t="s">
        <v>587</v>
      </c>
      <c r="C3357" s="103" t="s">
        <v>611</v>
      </c>
      <c r="D3357" s="103" t="s">
        <v>611</v>
      </c>
      <c r="E3357" s="103" t="s">
        <v>7105</v>
      </c>
      <c r="F3357" s="91" t="s">
        <v>586</v>
      </c>
      <c r="G3357" s="91" t="s">
        <v>615</v>
      </c>
      <c r="H3357" s="93" t="s">
        <v>5</v>
      </c>
      <c r="I3357" s="92" t="s">
        <v>3891</v>
      </c>
      <c r="J3357" s="106">
        <v>9676019036</v>
      </c>
      <c r="K3357" s="67"/>
      <c r="L3357" s="67"/>
      <c r="M3357" s="67"/>
      <c r="N3357" s="67"/>
      <c r="O3357" s="67"/>
    </row>
    <row r="3358" spans="1:15" ht="16.5">
      <c r="A3358" s="103" t="s">
        <v>8</v>
      </c>
      <c r="B3358" s="103" t="s">
        <v>587</v>
      </c>
      <c r="C3358" s="103" t="s">
        <v>611</v>
      </c>
      <c r="D3358" s="103" t="s">
        <v>611</v>
      </c>
      <c r="E3358" s="103" t="s">
        <v>7106</v>
      </c>
      <c r="F3358" s="91" t="s">
        <v>586</v>
      </c>
      <c r="G3358" s="91" t="s">
        <v>615</v>
      </c>
      <c r="H3358" s="93" t="s">
        <v>4</v>
      </c>
      <c r="I3358" s="92" t="s">
        <v>3891</v>
      </c>
      <c r="J3358" s="106">
        <v>8688772017</v>
      </c>
      <c r="K3358" s="67"/>
      <c r="L3358" s="67"/>
      <c r="M3358" s="67"/>
      <c r="N3358" s="67"/>
      <c r="O3358" s="67"/>
    </row>
    <row r="3359" spans="1:15" ht="16.5">
      <c r="A3359" s="103" t="s">
        <v>8</v>
      </c>
      <c r="B3359" s="103" t="s">
        <v>587</v>
      </c>
      <c r="C3359" s="103" t="s">
        <v>611</v>
      </c>
      <c r="D3359" s="103" t="s">
        <v>611</v>
      </c>
      <c r="E3359" s="103" t="s">
        <v>6918</v>
      </c>
      <c r="F3359" s="91" t="s">
        <v>586</v>
      </c>
      <c r="G3359" s="91" t="s">
        <v>615</v>
      </c>
      <c r="H3359" s="93" t="s">
        <v>5</v>
      </c>
      <c r="I3359" s="92" t="s">
        <v>3185</v>
      </c>
      <c r="J3359" s="106">
        <v>9866902637</v>
      </c>
      <c r="K3359" s="67"/>
      <c r="L3359" s="67"/>
      <c r="M3359" s="67"/>
      <c r="N3359" s="67"/>
      <c r="O3359" s="67"/>
    </row>
    <row r="3360" spans="1:15" ht="30.4">
      <c r="A3360" s="103" t="s">
        <v>8</v>
      </c>
      <c r="B3360" s="103" t="s">
        <v>587</v>
      </c>
      <c r="C3360" s="103" t="s">
        <v>611</v>
      </c>
      <c r="D3360" s="103" t="s">
        <v>611</v>
      </c>
      <c r="E3360" s="103" t="s">
        <v>7107</v>
      </c>
      <c r="F3360" s="91" t="s">
        <v>586</v>
      </c>
      <c r="G3360" s="91" t="s">
        <v>615</v>
      </c>
      <c r="H3360" s="93" t="s">
        <v>7103</v>
      </c>
      <c r="I3360" s="92" t="s">
        <v>4378</v>
      </c>
      <c r="J3360" s="106">
        <v>8096320142</v>
      </c>
      <c r="K3360" s="67"/>
      <c r="L3360" s="67"/>
      <c r="M3360" s="67"/>
      <c r="N3360" s="67"/>
      <c r="O3360" s="67"/>
    </row>
    <row r="3361" spans="1:15" ht="30.4">
      <c r="A3361" s="103" t="s">
        <v>8</v>
      </c>
      <c r="B3361" s="103" t="s">
        <v>587</v>
      </c>
      <c r="C3361" s="103" t="s">
        <v>611</v>
      </c>
      <c r="D3361" s="103" t="s">
        <v>611</v>
      </c>
      <c r="E3361" s="103" t="s">
        <v>7108</v>
      </c>
      <c r="F3361" s="91" t="s">
        <v>586</v>
      </c>
      <c r="G3361" s="91" t="s">
        <v>615</v>
      </c>
      <c r="H3361" s="93" t="s">
        <v>7103</v>
      </c>
      <c r="I3361" s="92" t="s">
        <v>3205</v>
      </c>
      <c r="J3361" s="106">
        <v>9959776107</v>
      </c>
      <c r="K3361" s="67"/>
      <c r="L3361" s="67"/>
      <c r="M3361" s="67"/>
      <c r="N3361" s="67"/>
      <c r="O3361" s="67"/>
    </row>
    <row r="3362" spans="1:15" ht="30.4">
      <c r="A3362" s="103" t="s">
        <v>8</v>
      </c>
      <c r="B3362" s="103" t="s">
        <v>587</v>
      </c>
      <c r="C3362" s="103" t="s">
        <v>596</v>
      </c>
      <c r="D3362" s="91" t="s">
        <v>596</v>
      </c>
      <c r="E3362" s="103" t="s">
        <v>7109</v>
      </c>
      <c r="F3362" s="91" t="s">
        <v>165</v>
      </c>
      <c r="G3362" s="91" t="s">
        <v>615</v>
      </c>
      <c r="H3362" s="93" t="s">
        <v>92</v>
      </c>
      <c r="I3362" s="92" t="s">
        <v>3205</v>
      </c>
      <c r="J3362" s="106">
        <v>9505232589</v>
      </c>
      <c r="K3362" s="67"/>
      <c r="L3362" s="67"/>
      <c r="M3362" s="67"/>
      <c r="N3362" s="67"/>
      <c r="O3362" s="67"/>
    </row>
    <row r="3363" spans="1:15" ht="30.4">
      <c r="A3363" s="103" t="s">
        <v>8</v>
      </c>
      <c r="B3363" s="103" t="s">
        <v>587</v>
      </c>
      <c r="C3363" s="103" t="s">
        <v>596</v>
      </c>
      <c r="D3363" s="91" t="s">
        <v>596</v>
      </c>
      <c r="E3363" s="103" t="s">
        <v>7110</v>
      </c>
      <c r="F3363" s="91" t="s">
        <v>139</v>
      </c>
      <c r="G3363" s="91" t="s">
        <v>594</v>
      </c>
      <c r="H3363" s="93" t="s">
        <v>4</v>
      </c>
      <c r="I3363" s="92" t="s">
        <v>3120</v>
      </c>
      <c r="J3363" s="106">
        <v>7702971850</v>
      </c>
      <c r="K3363" s="67"/>
      <c r="L3363" s="67"/>
      <c r="M3363" s="67"/>
      <c r="N3363" s="67"/>
      <c r="O3363" s="67"/>
    </row>
    <row r="3364" spans="1:15" ht="16.5">
      <c r="A3364" s="103" t="s">
        <v>8</v>
      </c>
      <c r="B3364" s="103" t="s">
        <v>587</v>
      </c>
      <c r="C3364" s="103" t="s">
        <v>596</v>
      </c>
      <c r="D3364" s="91" t="s">
        <v>596</v>
      </c>
      <c r="E3364" s="103" t="s">
        <v>7111</v>
      </c>
      <c r="F3364" s="91" t="s">
        <v>139</v>
      </c>
      <c r="G3364" s="91" t="s">
        <v>594</v>
      </c>
      <c r="H3364" s="93" t="s">
        <v>92</v>
      </c>
      <c r="I3364" s="92" t="s">
        <v>6742</v>
      </c>
      <c r="J3364" s="106">
        <v>9959028929</v>
      </c>
      <c r="K3364" s="67"/>
      <c r="L3364" s="67"/>
      <c r="M3364" s="67"/>
      <c r="N3364" s="67"/>
      <c r="O3364" s="67"/>
    </row>
    <row r="3365" spans="1:15" ht="16.5">
      <c r="A3365" s="103" t="s">
        <v>8</v>
      </c>
      <c r="B3365" s="103" t="s">
        <v>587</v>
      </c>
      <c r="C3365" s="103" t="s">
        <v>596</v>
      </c>
      <c r="D3365" s="91" t="s">
        <v>596</v>
      </c>
      <c r="E3365" s="103" t="s">
        <v>7112</v>
      </c>
      <c r="F3365" s="91" t="s">
        <v>165</v>
      </c>
      <c r="G3365" s="91" t="s">
        <v>615</v>
      </c>
      <c r="H3365" s="93" t="s">
        <v>92</v>
      </c>
      <c r="I3365" s="92" t="s">
        <v>4283</v>
      </c>
      <c r="J3365" s="106">
        <v>9553416467</v>
      </c>
      <c r="K3365" s="67"/>
      <c r="L3365" s="67"/>
      <c r="M3365" s="67"/>
      <c r="N3365" s="67"/>
      <c r="O3365" s="67"/>
    </row>
    <row r="3366" spans="1:15" ht="30.4">
      <c r="A3366" s="103" t="s">
        <v>8</v>
      </c>
      <c r="B3366" s="103" t="s">
        <v>587</v>
      </c>
      <c r="C3366" s="103" t="s">
        <v>596</v>
      </c>
      <c r="D3366" s="91" t="s">
        <v>596</v>
      </c>
      <c r="E3366" s="103" t="s">
        <v>7113</v>
      </c>
      <c r="F3366" s="91" t="s">
        <v>139</v>
      </c>
      <c r="G3366" s="91" t="s">
        <v>594</v>
      </c>
      <c r="H3366" s="93" t="s">
        <v>4</v>
      </c>
      <c r="I3366" s="92" t="s">
        <v>7114</v>
      </c>
      <c r="J3366" s="106">
        <v>9441808439</v>
      </c>
      <c r="K3366" s="67"/>
      <c r="L3366" s="67"/>
      <c r="M3366" s="67"/>
      <c r="N3366" s="67"/>
      <c r="O3366" s="67"/>
    </row>
    <row r="3367" spans="1:15" ht="16.5">
      <c r="A3367" s="103" t="s">
        <v>8</v>
      </c>
      <c r="B3367" s="103" t="s">
        <v>587</v>
      </c>
      <c r="C3367" s="103" t="s">
        <v>596</v>
      </c>
      <c r="D3367" s="91" t="s">
        <v>596</v>
      </c>
      <c r="E3367" s="103" t="s">
        <v>7115</v>
      </c>
      <c r="F3367" s="91" t="s">
        <v>139</v>
      </c>
      <c r="G3367" s="91" t="s">
        <v>594</v>
      </c>
      <c r="H3367" s="93" t="s">
        <v>4</v>
      </c>
      <c r="I3367" s="92" t="s">
        <v>3181</v>
      </c>
      <c r="J3367" s="106">
        <v>7799093367</v>
      </c>
      <c r="K3367" s="67"/>
      <c r="L3367" s="67"/>
      <c r="M3367" s="67"/>
      <c r="N3367" s="67"/>
      <c r="O3367" s="67"/>
    </row>
    <row r="3368" spans="1:15" ht="30.4">
      <c r="A3368" s="103" t="s">
        <v>8</v>
      </c>
      <c r="B3368" s="103" t="s">
        <v>587</v>
      </c>
      <c r="C3368" s="103" t="s">
        <v>596</v>
      </c>
      <c r="D3368" s="91" t="s">
        <v>596</v>
      </c>
      <c r="E3368" s="103" t="s">
        <v>7116</v>
      </c>
      <c r="F3368" s="91" t="s">
        <v>165</v>
      </c>
      <c r="G3368" s="91" t="s">
        <v>615</v>
      </c>
      <c r="H3368" s="93" t="s">
        <v>4</v>
      </c>
      <c r="I3368" s="92" t="s">
        <v>4500</v>
      </c>
      <c r="J3368" s="106">
        <v>9704413904</v>
      </c>
      <c r="K3368" s="67"/>
      <c r="L3368" s="67"/>
      <c r="M3368" s="67"/>
      <c r="N3368" s="67"/>
      <c r="O3368" s="67"/>
    </row>
    <row r="3369" spans="1:15" ht="16.5">
      <c r="A3369" s="103" t="s">
        <v>8</v>
      </c>
      <c r="B3369" s="103" t="s">
        <v>633</v>
      </c>
      <c r="C3369" s="103" t="s">
        <v>640</v>
      </c>
      <c r="D3369" s="91" t="s">
        <v>640</v>
      </c>
      <c r="E3369" s="103" t="s">
        <v>7117</v>
      </c>
      <c r="F3369" s="91" t="s">
        <v>139</v>
      </c>
      <c r="G3369" s="91" t="s">
        <v>594</v>
      </c>
      <c r="H3369" s="93" t="s">
        <v>92</v>
      </c>
      <c r="I3369" s="92" t="s">
        <v>3115</v>
      </c>
      <c r="J3369" s="106">
        <v>6301104373</v>
      </c>
      <c r="K3369" s="67"/>
      <c r="L3369" s="67"/>
      <c r="M3369" s="67"/>
      <c r="N3369" s="67"/>
      <c r="O3369" s="67"/>
    </row>
    <row r="3370" spans="1:15" ht="30.4">
      <c r="A3370" s="103" t="s">
        <v>8</v>
      </c>
      <c r="B3370" s="103" t="s">
        <v>633</v>
      </c>
      <c r="C3370" s="103" t="s">
        <v>640</v>
      </c>
      <c r="D3370" s="91" t="s">
        <v>640</v>
      </c>
      <c r="E3370" s="103" t="s">
        <v>7118</v>
      </c>
      <c r="F3370" s="91" t="s">
        <v>1634</v>
      </c>
      <c r="G3370" s="91" t="s">
        <v>86</v>
      </c>
      <c r="H3370" s="93" t="s">
        <v>92</v>
      </c>
      <c r="I3370" s="92" t="s">
        <v>3205</v>
      </c>
      <c r="J3370" s="106">
        <v>9701357910</v>
      </c>
      <c r="K3370" s="67"/>
      <c r="L3370" s="67"/>
      <c r="M3370" s="67"/>
      <c r="N3370" s="67"/>
      <c r="O3370" s="67"/>
    </row>
    <row r="3371" spans="1:15" ht="30.4">
      <c r="A3371" s="103" t="s">
        <v>8</v>
      </c>
      <c r="B3371" s="103" t="s">
        <v>633</v>
      </c>
      <c r="C3371" s="103" t="s">
        <v>640</v>
      </c>
      <c r="D3371" s="91" t="s">
        <v>640</v>
      </c>
      <c r="E3371" s="103" t="s">
        <v>7119</v>
      </c>
      <c r="F3371" s="91" t="s">
        <v>1634</v>
      </c>
      <c r="G3371" s="91" t="s">
        <v>86</v>
      </c>
      <c r="H3371" s="93" t="s">
        <v>92</v>
      </c>
      <c r="I3371" s="92" t="s">
        <v>3194</v>
      </c>
      <c r="J3371" s="106">
        <v>9000141219</v>
      </c>
      <c r="K3371" s="67"/>
      <c r="L3371" s="67"/>
      <c r="M3371" s="67"/>
      <c r="N3371" s="67"/>
      <c r="O3371" s="67"/>
    </row>
    <row r="3372" spans="1:15" ht="30.4">
      <c r="A3372" s="103" t="s">
        <v>8</v>
      </c>
      <c r="B3372" s="103" t="s">
        <v>633</v>
      </c>
      <c r="C3372" s="103" t="s">
        <v>640</v>
      </c>
      <c r="D3372" s="91" t="s">
        <v>640</v>
      </c>
      <c r="E3372" s="103" t="s">
        <v>7120</v>
      </c>
      <c r="F3372" s="91" t="s">
        <v>1650</v>
      </c>
      <c r="G3372" s="91" t="s">
        <v>86</v>
      </c>
      <c r="H3372" s="93" t="s">
        <v>92</v>
      </c>
      <c r="I3372" s="92" t="s">
        <v>3194</v>
      </c>
      <c r="J3372" s="106">
        <v>9391296479</v>
      </c>
      <c r="K3372" s="67"/>
      <c r="L3372" s="67"/>
      <c r="M3372" s="67"/>
      <c r="N3372" s="67"/>
      <c r="O3372" s="67"/>
    </row>
    <row r="3373" spans="1:15" ht="30.4">
      <c r="A3373" s="103" t="s">
        <v>8</v>
      </c>
      <c r="B3373" s="103" t="s">
        <v>633</v>
      </c>
      <c r="C3373" s="103" t="s">
        <v>640</v>
      </c>
      <c r="D3373" s="91" t="s">
        <v>640</v>
      </c>
      <c r="E3373" s="103" t="s">
        <v>7121</v>
      </c>
      <c r="F3373" s="91" t="s">
        <v>139</v>
      </c>
      <c r="G3373" s="91" t="s">
        <v>594</v>
      </c>
      <c r="H3373" s="93" t="s">
        <v>92</v>
      </c>
      <c r="I3373" s="92" t="s">
        <v>3194</v>
      </c>
      <c r="J3373" s="106">
        <v>7997624264</v>
      </c>
      <c r="K3373" s="67"/>
      <c r="L3373" s="67"/>
      <c r="M3373" s="67"/>
      <c r="N3373" s="67"/>
      <c r="O3373" s="67"/>
    </row>
    <row r="3374" spans="1:15" ht="16.5">
      <c r="A3374" s="103" t="s">
        <v>8</v>
      </c>
      <c r="B3374" s="103" t="s">
        <v>633</v>
      </c>
      <c r="C3374" s="103" t="s">
        <v>640</v>
      </c>
      <c r="D3374" s="91" t="s">
        <v>640</v>
      </c>
      <c r="E3374" s="103" t="s">
        <v>7122</v>
      </c>
      <c r="F3374" s="91" t="s">
        <v>165</v>
      </c>
      <c r="G3374" s="91" t="s">
        <v>615</v>
      </c>
      <c r="H3374" s="93" t="s">
        <v>92</v>
      </c>
      <c r="I3374" s="92" t="s">
        <v>3185</v>
      </c>
      <c r="J3374" s="106">
        <v>9959676312</v>
      </c>
      <c r="K3374" s="67"/>
      <c r="L3374" s="67"/>
      <c r="M3374" s="67"/>
      <c r="N3374" s="67"/>
      <c r="O3374" s="67"/>
    </row>
    <row r="3375" spans="1:15" ht="30.4">
      <c r="A3375" s="103" t="s">
        <v>8</v>
      </c>
      <c r="B3375" s="103" t="s">
        <v>633</v>
      </c>
      <c r="C3375" s="103" t="s">
        <v>640</v>
      </c>
      <c r="D3375" s="91" t="s">
        <v>640</v>
      </c>
      <c r="E3375" s="103" t="s">
        <v>7123</v>
      </c>
      <c r="F3375" s="91" t="s">
        <v>139</v>
      </c>
      <c r="G3375" s="91" t="s">
        <v>594</v>
      </c>
      <c r="H3375" s="93" t="s">
        <v>4</v>
      </c>
      <c r="I3375" s="92" t="s">
        <v>4333</v>
      </c>
      <c r="J3375" s="106">
        <v>6305236975</v>
      </c>
      <c r="K3375" s="67"/>
      <c r="L3375" s="67"/>
      <c r="M3375" s="67"/>
      <c r="N3375" s="67"/>
      <c r="O3375" s="67"/>
    </row>
    <row r="3376" spans="1:15" ht="30.4">
      <c r="A3376" s="103" t="s">
        <v>8</v>
      </c>
      <c r="B3376" s="103" t="s">
        <v>633</v>
      </c>
      <c r="C3376" s="103" t="s">
        <v>640</v>
      </c>
      <c r="D3376" s="91" t="s">
        <v>640</v>
      </c>
      <c r="E3376" s="103" t="s">
        <v>7124</v>
      </c>
      <c r="F3376" s="91" t="s">
        <v>139</v>
      </c>
      <c r="G3376" s="91" t="s">
        <v>594</v>
      </c>
      <c r="H3376" s="93" t="s">
        <v>4</v>
      </c>
      <c r="I3376" s="92" t="s">
        <v>4023</v>
      </c>
      <c r="J3376" s="106">
        <v>9573212313</v>
      </c>
      <c r="K3376" s="67"/>
      <c r="L3376" s="67"/>
      <c r="M3376" s="67"/>
      <c r="N3376" s="67"/>
      <c r="O3376" s="67"/>
    </row>
    <row r="3377" spans="1:15" ht="30.4">
      <c r="A3377" s="103" t="s">
        <v>8</v>
      </c>
      <c r="B3377" s="103" t="s">
        <v>633</v>
      </c>
      <c r="C3377" s="103" t="s">
        <v>640</v>
      </c>
      <c r="D3377" s="91" t="s">
        <v>640</v>
      </c>
      <c r="E3377" s="103" t="s">
        <v>7125</v>
      </c>
      <c r="F3377" s="91" t="s">
        <v>139</v>
      </c>
      <c r="G3377" s="91" t="s">
        <v>594</v>
      </c>
      <c r="H3377" s="93" t="s">
        <v>4</v>
      </c>
      <c r="I3377" s="92" t="s">
        <v>6744</v>
      </c>
      <c r="J3377" s="106">
        <v>7013680235</v>
      </c>
      <c r="K3377" s="67"/>
      <c r="L3377" s="67"/>
      <c r="M3377" s="67"/>
      <c r="N3377" s="67"/>
      <c r="O3377" s="67"/>
    </row>
    <row r="3378" spans="1:15" ht="30.4">
      <c r="A3378" s="103" t="s">
        <v>8</v>
      </c>
      <c r="B3378" s="103" t="s">
        <v>633</v>
      </c>
      <c r="C3378" s="103" t="s">
        <v>633</v>
      </c>
      <c r="D3378" s="91" t="s">
        <v>633</v>
      </c>
      <c r="E3378" s="103" t="s">
        <v>7126</v>
      </c>
      <c r="F3378" s="91" t="s">
        <v>139</v>
      </c>
      <c r="G3378" s="91" t="s">
        <v>594</v>
      </c>
      <c r="H3378" s="93" t="s">
        <v>92</v>
      </c>
      <c r="I3378" s="92" t="s">
        <v>6634</v>
      </c>
      <c r="J3378" s="106">
        <v>9533966333</v>
      </c>
      <c r="K3378" s="67"/>
      <c r="L3378" s="67"/>
      <c r="M3378" s="67"/>
      <c r="N3378" s="67"/>
      <c r="O3378" s="67"/>
    </row>
    <row r="3379" spans="1:15" ht="16.5">
      <c r="A3379" s="103" t="s">
        <v>8</v>
      </c>
      <c r="B3379" s="103" t="s">
        <v>633</v>
      </c>
      <c r="C3379" s="103" t="s">
        <v>633</v>
      </c>
      <c r="D3379" s="91" t="s">
        <v>633</v>
      </c>
      <c r="E3379" s="103" t="s">
        <v>6130</v>
      </c>
      <c r="F3379" s="91" t="s">
        <v>139</v>
      </c>
      <c r="G3379" s="91" t="s">
        <v>594</v>
      </c>
      <c r="H3379" s="93" t="s">
        <v>92</v>
      </c>
      <c r="I3379" s="92" t="s">
        <v>3185</v>
      </c>
      <c r="J3379" s="106">
        <v>8639955726</v>
      </c>
      <c r="K3379" s="67"/>
      <c r="L3379" s="67"/>
      <c r="M3379" s="67"/>
      <c r="N3379" s="67"/>
      <c r="O3379" s="67"/>
    </row>
    <row r="3380" spans="1:15" ht="30.4">
      <c r="A3380" s="103" t="s">
        <v>8</v>
      </c>
      <c r="B3380" s="103" t="s">
        <v>633</v>
      </c>
      <c r="C3380" s="103" t="s">
        <v>633</v>
      </c>
      <c r="D3380" s="91" t="s">
        <v>633</v>
      </c>
      <c r="E3380" s="103" t="s">
        <v>7127</v>
      </c>
      <c r="F3380" s="91" t="s">
        <v>114</v>
      </c>
      <c r="G3380" s="91" t="s">
        <v>85</v>
      </c>
      <c r="H3380" s="93" t="s">
        <v>92</v>
      </c>
      <c r="I3380" s="92" t="s">
        <v>3495</v>
      </c>
      <c r="J3380" s="106">
        <v>9849465259</v>
      </c>
      <c r="K3380" s="67"/>
      <c r="L3380" s="67"/>
      <c r="M3380" s="67"/>
      <c r="N3380" s="67"/>
      <c r="O3380" s="67"/>
    </row>
    <row r="3381" spans="1:15" ht="16.5">
      <c r="A3381" s="103" t="s">
        <v>8</v>
      </c>
      <c r="B3381" s="103" t="s">
        <v>633</v>
      </c>
      <c r="C3381" s="103" t="s">
        <v>633</v>
      </c>
      <c r="D3381" s="91" t="s">
        <v>633</v>
      </c>
      <c r="E3381" s="103" t="s">
        <v>7128</v>
      </c>
      <c r="F3381" s="91" t="s">
        <v>139</v>
      </c>
      <c r="G3381" s="91" t="s">
        <v>594</v>
      </c>
      <c r="H3381" s="93" t="s">
        <v>4</v>
      </c>
      <c r="I3381" s="92" t="s">
        <v>3181</v>
      </c>
      <c r="J3381" s="106">
        <v>9959017878</v>
      </c>
      <c r="K3381" s="67"/>
      <c r="L3381" s="67"/>
      <c r="M3381" s="67"/>
      <c r="N3381" s="67"/>
      <c r="O3381" s="67"/>
    </row>
    <row r="3382" spans="1:15" ht="30.4">
      <c r="A3382" s="103" t="s">
        <v>8</v>
      </c>
      <c r="B3382" s="103" t="s">
        <v>633</v>
      </c>
      <c r="C3382" s="103" t="s">
        <v>635</v>
      </c>
      <c r="D3382" s="91" t="s">
        <v>635</v>
      </c>
      <c r="E3382" s="103" t="s">
        <v>7129</v>
      </c>
      <c r="F3382" s="91" t="s">
        <v>595</v>
      </c>
      <c r="G3382" s="91" t="s">
        <v>594</v>
      </c>
      <c r="H3382" s="93" t="s">
        <v>92</v>
      </c>
      <c r="I3382" s="92" t="s">
        <v>3495</v>
      </c>
      <c r="J3382" s="92">
        <v>9849509432</v>
      </c>
      <c r="K3382" s="67"/>
      <c r="L3382" s="67"/>
      <c r="M3382" s="67"/>
      <c r="N3382" s="67"/>
      <c r="O3382" s="67"/>
    </row>
    <row r="3383" spans="1:15" ht="30.4">
      <c r="A3383" s="103" t="s">
        <v>8</v>
      </c>
      <c r="B3383" s="103" t="s">
        <v>633</v>
      </c>
      <c r="C3383" s="103" t="s">
        <v>635</v>
      </c>
      <c r="D3383" s="91" t="s">
        <v>635</v>
      </c>
      <c r="E3383" s="103" t="s">
        <v>7130</v>
      </c>
      <c r="F3383" s="91" t="s">
        <v>139</v>
      </c>
      <c r="G3383" s="91" t="s">
        <v>594</v>
      </c>
      <c r="H3383" s="93" t="s">
        <v>92</v>
      </c>
      <c r="I3383" s="92" t="s">
        <v>3194</v>
      </c>
      <c r="J3383" s="92">
        <v>9298457244</v>
      </c>
      <c r="K3383" s="67"/>
      <c r="L3383" s="67"/>
      <c r="M3383" s="67"/>
      <c r="N3383" s="67"/>
      <c r="O3383" s="67"/>
    </row>
    <row r="3384" spans="1:15" ht="30.4">
      <c r="A3384" s="103" t="s">
        <v>8</v>
      </c>
      <c r="B3384" s="103" t="s">
        <v>633</v>
      </c>
      <c r="C3384" s="103" t="s">
        <v>635</v>
      </c>
      <c r="D3384" s="91" t="s">
        <v>635</v>
      </c>
      <c r="E3384" s="103" t="s">
        <v>7131</v>
      </c>
      <c r="F3384" s="91" t="s">
        <v>586</v>
      </c>
      <c r="G3384" s="91" t="s">
        <v>615</v>
      </c>
      <c r="H3384" s="93" t="s">
        <v>92</v>
      </c>
      <c r="I3384" s="92" t="s">
        <v>3194</v>
      </c>
      <c r="J3384" s="92">
        <v>9247475882</v>
      </c>
      <c r="K3384" s="67"/>
      <c r="L3384" s="67"/>
      <c r="M3384" s="67"/>
      <c r="N3384" s="67"/>
      <c r="O3384" s="67"/>
    </row>
    <row r="3385" spans="1:15" ht="30.4">
      <c r="A3385" s="103" t="s">
        <v>8</v>
      </c>
      <c r="B3385" s="103" t="s">
        <v>633</v>
      </c>
      <c r="C3385" s="103" t="s">
        <v>635</v>
      </c>
      <c r="D3385" s="91" t="s">
        <v>635</v>
      </c>
      <c r="E3385" s="103" t="s">
        <v>7132</v>
      </c>
      <c r="F3385" s="91" t="s">
        <v>114</v>
      </c>
      <c r="G3385" s="91" t="s">
        <v>85</v>
      </c>
      <c r="H3385" s="93" t="s">
        <v>4</v>
      </c>
      <c r="I3385" s="92" t="s">
        <v>3495</v>
      </c>
      <c r="J3385" s="92">
        <v>9490001177</v>
      </c>
      <c r="K3385" s="67"/>
      <c r="L3385" s="67"/>
      <c r="M3385" s="67"/>
      <c r="N3385" s="67"/>
      <c r="O3385" s="67"/>
    </row>
    <row r="3386" spans="1:15" ht="30.4">
      <c r="A3386" s="103" t="s">
        <v>8</v>
      </c>
      <c r="B3386" s="103" t="s">
        <v>633</v>
      </c>
      <c r="C3386" s="103" t="s">
        <v>635</v>
      </c>
      <c r="D3386" s="91" t="s">
        <v>635</v>
      </c>
      <c r="E3386" s="103" t="s">
        <v>7133</v>
      </c>
      <c r="F3386" s="91" t="s">
        <v>586</v>
      </c>
      <c r="G3386" s="91" t="s">
        <v>615</v>
      </c>
      <c r="H3386" s="93" t="s">
        <v>4</v>
      </c>
      <c r="I3386" s="92" t="s">
        <v>3210</v>
      </c>
      <c r="J3386" s="95"/>
      <c r="K3386" s="67"/>
      <c r="L3386" s="67"/>
      <c r="M3386" s="67"/>
      <c r="N3386" s="67"/>
      <c r="O3386" s="67"/>
    </row>
    <row r="3387" spans="1:15" ht="45.4">
      <c r="A3387" s="103" t="s">
        <v>8</v>
      </c>
      <c r="B3387" s="103" t="s">
        <v>8</v>
      </c>
      <c r="C3387" s="103" t="s">
        <v>564</v>
      </c>
      <c r="D3387" s="91" t="s">
        <v>564</v>
      </c>
      <c r="E3387" s="103" t="s">
        <v>7134</v>
      </c>
      <c r="F3387" s="91" t="s">
        <v>139</v>
      </c>
      <c r="G3387" s="91" t="s">
        <v>594</v>
      </c>
      <c r="H3387" s="93" t="s">
        <v>92</v>
      </c>
      <c r="I3387" s="92" t="s">
        <v>7135</v>
      </c>
      <c r="J3387" s="106">
        <v>9866430638</v>
      </c>
      <c r="K3387" s="67"/>
      <c r="L3387" s="67"/>
      <c r="M3387" s="67"/>
      <c r="N3387" s="67"/>
      <c r="O3387" s="67"/>
    </row>
    <row r="3388" spans="1:15" ht="16.5">
      <c r="A3388" s="103" t="s">
        <v>8</v>
      </c>
      <c r="B3388" s="103" t="s">
        <v>8</v>
      </c>
      <c r="C3388" s="103" t="s">
        <v>564</v>
      </c>
      <c r="D3388" s="91" t="s">
        <v>564</v>
      </c>
      <c r="E3388" s="103" t="s">
        <v>565</v>
      </c>
      <c r="F3388" s="91" t="s">
        <v>114</v>
      </c>
      <c r="G3388" s="91" t="s">
        <v>85</v>
      </c>
      <c r="H3388" s="93" t="s">
        <v>92</v>
      </c>
      <c r="I3388" s="92" t="s">
        <v>3115</v>
      </c>
      <c r="J3388" s="106">
        <v>9492037619</v>
      </c>
      <c r="K3388" s="67"/>
      <c r="L3388" s="67"/>
      <c r="M3388" s="67"/>
      <c r="N3388" s="67"/>
      <c r="O3388" s="67"/>
    </row>
    <row r="3389" spans="1:15" ht="30.4">
      <c r="A3389" s="103" t="s">
        <v>19</v>
      </c>
      <c r="B3389" s="103" t="s">
        <v>19</v>
      </c>
      <c r="C3389" s="103" t="s">
        <v>201</v>
      </c>
      <c r="D3389" s="91" t="s">
        <v>201</v>
      </c>
      <c r="E3389" s="103" t="s">
        <v>7136</v>
      </c>
      <c r="F3389" s="67" t="s">
        <v>3138</v>
      </c>
      <c r="G3389" s="67"/>
      <c r="H3389" s="93" t="s">
        <v>4</v>
      </c>
      <c r="I3389" s="92" t="s">
        <v>6920</v>
      </c>
      <c r="J3389" s="106">
        <v>9949559404</v>
      </c>
      <c r="K3389" s="67"/>
      <c r="L3389" s="67"/>
      <c r="M3389" s="67"/>
      <c r="N3389" s="67"/>
      <c r="O3389" s="67"/>
    </row>
    <row r="3390" spans="1:15" ht="16.5">
      <c r="A3390" s="103" t="s">
        <v>19</v>
      </c>
      <c r="B3390" s="103" t="s">
        <v>19</v>
      </c>
      <c r="C3390" s="103" t="s">
        <v>201</v>
      </c>
      <c r="D3390" s="91" t="s">
        <v>201</v>
      </c>
      <c r="E3390" s="103" t="s">
        <v>7137</v>
      </c>
      <c r="F3390" s="67" t="s">
        <v>3138</v>
      </c>
      <c r="G3390" s="67"/>
      <c r="H3390" s="93" t="s">
        <v>4</v>
      </c>
      <c r="I3390" s="92" t="s">
        <v>3185</v>
      </c>
      <c r="J3390" s="106">
        <v>9949559404</v>
      </c>
      <c r="K3390" s="67"/>
      <c r="L3390" s="67"/>
      <c r="M3390" s="67"/>
      <c r="N3390" s="67"/>
      <c r="O3390" s="67"/>
    </row>
    <row r="3391" spans="1:15" ht="30.4">
      <c r="A3391" s="103" t="s">
        <v>19</v>
      </c>
      <c r="B3391" s="103" t="s">
        <v>19</v>
      </c>
      <c r="C3391" s="103" t="s">
        <v>201</v>
      </c>
      <c r="D3391" s="91" t="s">
        <v>201</v>
      </c>
      <c r="E3391" s="103" t="s">
        <v>7138</v>
      </c>
      <c r="F3391" s="67" t="s">
        <v>3138</v>
      </c>
      <c r="G3391" s="67"/>
      <c r="H3391" s="93" t="s">
        <v>4</v>
      </c>
      <c r="I3391" s="92" t="s">
        <v>6634</v>
      </c>
      <c r="J3391" s="95"/>
      <c r="K3391" s="67"/>
      <c r="L3391" s="67"/>
      <c r="M3391" s="67"/>
      <c r="N3391" s="67"/>
      <c r="O3391" s="67"/>
    </row>
    <row r="3392" spans="1:15" ht="16.5">
      <c r="A3392" s="103" t="s">
        <v>19</v>
      </c>
      <c r="B3392" s="103" t="s">
        <v>19</v>
      </c>
      <c r="C3392" s="103" t="s">
        <v>201</v>
      </c>
      <c r="D3392" s="91" t="s">
        <v>201</v>
      </c>
      <c r="E3392" s="103" t="s">
        <v>7139</v>
      </c>
      <c r="F3392" s="67" t="s">
        <v>3138</v>
      </c>
      <c r="G3392" s="67"/>
      <c r="H3392" s="93" t="s">
        <v>92</v>
      </c>
      <c r="I3392" s="92" t="s">
        <v>3115</v>
      </c>
      <c r="J3392" s="106">
        <v>886839730</v>
      </c>
      <c r="K3392" s="67"/>
      <c r="L3392" s="67"/>
      <c r="M3392" s="67"/>
      <c r="N3392" s="67"/>
      <c r="O3392" s="67"/>
    </row>
    <row r="3393" spans="1:15" ht="30.4">
      <c r="A3393" s="103" t="s">
        <v>19</v>
      </c>
      <c r="B3393" s="103" t="s">
        <v>220</v>
      </c>
      <c r="C3393" s="103" t="s">
        <v>223</v>
      </c>
      <c r="D3393" s="91" t="s">
        <v>223</v>
      </c>
      <c r="E3393" s="103" t="s">
        <v>7140</v>
      </c>
      <c r="F3393" s="91" t="s">
        <v>139</v>
      </c>
      <c r="G3393" s="91" t="s">
        <v>594</v>
      </c>
      <c r="H3393" s="93" t="s">
        <v>92</v>
      </c>
      <c r="I3393" s="92" t="s">
        <v>3508</v>
      </c>
      <c r="J3393" s="95"/>
      <c r="K3393" s="67"/>
      <c r="L3393" s="67"/>
      <c r="M3393" s="67"/>
      <c r="N3393" s="67"/>
      <c r="O3393" s="67"/>
    </row>
    <row r="3394" spans="1:15" ht="30.4">
      <c r="A3394" s="103" t="s">
        <v>19</v>
      </c>
      <c r="B3394" s="103" t="s">
        <v>220</v>
      </c>
      <c r="C3394" s="103" t="s">
        <v>223</v>
      </c>
      <c r="D3394" s="91" t="s">
        <v>223</v>
      </c>
      <c r="E3394" s="103" t="s">
        <v>7141</v>
      </c>
      <c r="F3394" s="91" t="s">
        <v>139</v>
      </c>
      <c r="G3394" s="91" t="s">
        <v>594</v>
      </c>
      <c r="H3394" s="93" t="s">
        <v>92</v>
      </c>
      <c r="I3394" s="92" t="s">
        <v>7142</v>
      </c>
      <c r="J3394" s="95"/>
      <c r="K3394" s="67"/>
      <c r="L3394" s="67"/>
      <c r="M3394" s="67"/>
      <c r="N3394" s="67"/>
      <c r="O3394" s="67"/>
    </row>
    <row r="3395" spans="1:15" ht="16.5">
      <c r="A3395" s="103" t="s">
        <v>19</v>
      </c>
      <c r="B3395" s="103" t="s">
        <v>220</v>
      </c>
      <c r="C3395" s="103" t="s">
        <v>223</v>
      </c>
      <c r="D3395" s="91" t="s">
        <v>223</v>
      </c>
      <c r="E3395" s="103" t="s">
        <v>7143</v>
      </c>
      <c r="F3395" s="91" t="s">
        <v>139</v>
      </c>
      <c r="G3395" s="91" t="s">
        <v>594</v>
      </c>
      <c r="H3395" s="93" t="s">
        <v>4</v>
      </c>
      <c r="I3395" s="92" t="s">
        <v>3192</v>
      </c>
      <c r="J3395" s="106">
        <v>9393244777</v>
      </c>
      <c r="K3395" s="67"/>
      <c r="L3395" s="67"/>
      <c r="M3395" s="67"/>
      <c r="N3395" s="67"/>
      <c r="O3395" s="67"/>
    </row>
    <row r="3396" spans="1:15" ht="16.5">
      <c r="A3396" s="103" t="s">
        <v>19</v>
      </c>
      <c r="B3396" s="103" t="s">
        <v>220</v>
      </c>
      <c r="C3396" s="103" t="s">
        <v>223</v>
      </c>
      <c r="D3396" s="91" t="s">
        <v>223</v>
      </c>
      <c r="E3396" s="103" t="s">
        <v>7144</v>
      </c>
      <c r="F3396" s="91" t="s">
        <v>139</v>
      </c>
      <c r="G3396" s="91" t="s">
        <v>594</v>
      </c>
      <c r="H3396" s="93" t="s">
        <v>4</v>
      </c>
      <c r="I3396" s="92" t="s">
        <v>3112</v>
      </c>
      <c r="J3396" s="95"/>
      <c r="K3396" s="67"/>
      <c r="L3396" s="67"/>
      <c r="M3396" s="67"/>
      <c r="N3396" s="67"/>
      <c r="O3396" s="67"/>
    </row>
    <row r="3397" spans="1:15" ht="30.4">
      <c r="A3397" s="103" t="s">
        <v>19</v>
      </c>
      <c r="B3397" s="103" t="s">
        <v>19</v>
      </c>
      <c r="C3397" s="103" t="s">
        <v>216</v>
      </c>
      <c r="D3397" s="91" t="s">
        <v>216</v>
      </c>
      <c r="E3397" s="103" t="s">
        <v>7145</v>
      </c>
      <c r="F3397" s="91" t="s">
        <v>139</v>
      </c>
      <c r="G3397" s="91" t="s">
        <v>594</v>
      </c>
      <c r="H3397" s="93" t="s">
        <v>92</v>
      </c>
      <c r="I3397" s="92" t="s">
        <v>3162</v>
      </c>
      <c r="J3397" s="106">
        <v>9494662855</v>
      </c>
      <c r="K3397" s="67"/>
      <c r="L3397" s="67"/>
      <c r="M3397" s="67"/>
      <c r="N3397" s="67"/>
      <c r="O3397" s="67"/>
    </row>
    <row r="3398" spans="1:15" ht="16.5">
      <c r="A3398" s="103" t="s">
        <v>19</v>
      </c>
      <c r="B3398" s="103" t="s">
        <v>19</v>
      </c>
      <c r="C3398" s="103" t="s">
        <v>216</v>
      </c>
      <c r="D3398" s="91" t="s">
        <v>216</v>
      </c>
      <c r="E3398" s="103" t="s">
        <v>7146</v>
      </c>
      <c r="F3398" s="91" t="s">
        <v>139</v>
      </c>
      <c r="G3398" s="91" t="s">
        <v>594</v>
      </c>
      <c r="H3398" s="93" t="s">
        <v>92</v>
      </c>
      <c r="I3398" s="92" t="s">
        <v>3112</v>
      </c>
      <c r="J3398" s="106">
        <v>9985034473</v>
      </c>
      <c r="K3398" s="67"/>
      <c r="L3398" s="67"/>
      <c r="M3398" s="67"/>
      <c r="N3398" s="67"/>
      <c r="O3398" s="67"/>
    </row>
    <row r="3399" spans="1:15" ht="60.4">
      <c r="A3399" s="103" t="s">
        <v>19</v>
      </c>
      <c r="B3399" s="103" t="s">
        <v>19</v>
      </c>
      <c r="C3399" s="103" t="s">
        <v>216</v>
      </c>
      <c r="D3399" s="91" t="s">
        <v>216</v>
      </c>
      <c r="E3399" s="103" t="s">
        <v>7147</v>
      </c>
      <c r="F3399" s="91" t="s">
        <v>139</v>
      </c>
      <c r="G3399" s="91" t="s">
        <v>594</v>
      </c>
      <c r="H3399" s="93" t="s">
        <v>4</v>
      </c>
      <c r="I3399" s="92" t="s">
        <v>7148</v>
      </c>
      <c r="J3399" s="95"/>
      <c r="K3399" s="67"/>
      <c r="L3399" s="67"/>
      <c r="M3399" s="67"/>
      <c r="N3399" s="67"/>
      <c r="O3399" s="67"/>
    </row>
    <row r="3400" spans="1:15" ht="16.5">
      <c r="A3400" s="103" t="s">
        <v>19</v>
      </c>
      <c r="B3400" s="103" t="s">
        <v>19</v>
      </c>
      <c r="C3400" s="103" t="s">
        <v>216</v>
      </c>
      <c r="D3400" s="91" t="s">
        <v>216</v>
      </c>
      <c r="E3400" s="103" t="s">
        <v>7001</v>
      </c>
      <c r="F3400" s="91" t="s">
        <v>205</v>
      </c>
      <c r="G3400" s="91" t="s">
        <v>615</v>
      </c>
      <c r="H3400" s="93" t="s">
        <v>4</v>
      </c>
      <c r="I3400" s="92" t="s">
        <v>3112</v>
      </c>
      <c r="J3400" s="95"/>
      <c r="K3400" s="67"/>
      <c r="L3400" s="67"/>
      <c r="M3400" s="67"/>
      <c r="N3400" s="67"/>
      <c r="O3400" s="67"/>
    </row>
    <row r="3401" spans="1:15" ht="16.5">
      <c r="A3401" s="103" t="s">
        <v>19</v>
      </c>
      <c r="B3401" s="103" t="s">
        <v>19</v>
      </c>
      <c r="C3401" s="103" t="s">
        <v>216</v>
      </c>
      <c r="D3401" s="91" t="s">
        <v>216</v>
      </c>
      <c r="E3401" s="103" t="s">
        <v>7149</v>
      </c>
      <c r="F3401" s="91" t="s">
        <v>139</v>
      </c>
      <c r="G3401" s="91" t="s">
        <v>594</v>
      </c>
      <c r="H3401" s="93" t="s">
        <v>6</v>
      </c>
      <c r="I3401" s="92" t="s">
        <v>3185</v>
      </c>
      <c r="J3401" s="95"/>
      <c r="K3401" s="67"/>
      <c r="L3401" s="67"/>
      <c r="M3401" s="67"/>
      <c r="N3401" s="67"/>
      <c r="O3401" s="67"/>
    </row>
    <row r="3402" spans="1:15" ht="30.4">
      <c r="A3402" s="103" t="s">
        <v>19</v>
      </c>
      <c r="B3402" s="103" t="s">
        <v>147</v>
      </c>
      <c r="C3402" s="103" t="s">
        <v>177</v>
      </c>
      <c r="D3402" s="85" t="s">
        <v>177</v>
      </c>
      <c r="E3402" s="103" t="s">
        <v>7150</v>
      </c>
      <c r="F3402" s="91" t="s">
        <v>165</v>
      </c>
      <c r="G3402" s="91" t="s">
        <v>615</v>
      </c>
      <c r="H3402" s="93" t="s">
        <v>92</v>
      </c>
      <c r="I3402" s="92" t="s">
        <v>3162</v>
      </c>
      <c r="J3402" s="106">
        <v>9866785335</v>
      </c>
      <c r="K3402" s="67"/>
      <c r="L3402" s="67"/>
      <c r="M3402" s="67"/>
      <c r="N3402" s="67"/>
      <c r="O3402" s="67"/>
    </row>
    <row r="3403" spans="1:15" ht="30.4">
      <c r="A3403" s="103" t="s">
        <v>19</v>
      </c>
      <c r="B3403" s="103" t="s">
        <v>147</v>
      </c>
      <c r="C3403" s="103" t="s">
        <v>177</v>
      </c>
      <c r="D3403" s="85" t="s">
        <v>177</v>
      </c>
      <c r="E3403" s="103" t="s">
        <v>7151</v>
      </c>
      <c r="F3403" s="91" t="s">
        <v>467</v>
      </c>
      <c r="G3403" s="91" t="s">
        <v>85</v>
      </c>
      <c r="H3403" s="93" t="s">
        <v>92</v>
      </c>
      <c r="I3403" s="92" t="s">
        <v>7152</v>
      </c>
      <c r="J3403" s="106">
        <v>9493777483</v>
      </c>
      <c r="K3403" s="67"/>
      <c r="L3403" s="67"/>
      <c r="M3403" s="67"/>
      <c r="N3403" s="67"/>
      <c r="O3403" s="67"/>
    </row>
    <row r="3404" spans="1:15" ht="82.5">
      <c r="A3404" s="103" t="s">
        <v>19</v>
      </c>
      <c r="B3404" s="103" t="s">
        <v>147</v>
      </c>
      <c r="C3404" s="103" t="s">
        <v>177</v>
      </c>
      <c r="D3404" s="85" t="s">
        <v>177</v>
      </c>
      <c r="E3404" s="130" t="s">
        <v>7153</v>
      </c>
      <c r="F3404" s="91" t="s">
        <v>139</v>
      </c>
      <c r="G3404" s="91" t="s">
        <v>594</v>
      </c>
      <c r="H3404" s="93" t="s">
        <v>92</v>
      </c>
      <c r="I3404" s="92" t="s">
        <v>3212</v>
      </c>
      <c r="J3404" s="106">
        <v>9000331282</v>
      </c>
      <c r="K3404" s="67"/>
      <c r="L3404" s="67"/>
      <c r="M3404" s="67"/>
      <c r="N3404" s="67"/>
      <c r="O3404" s="67"/>
    </row>
    <row r="3405" spans="1:15" ht="45.4">
      <c r="A3405" s="103" t="s">
        <v>19</v>
      </c>
      <c r="B3405" s="103" t="s">
        <v>147</v>
      </c>
      <c r="C3405" s="103" t="s">
        <v>177</v>
      </c>
      <c r="D3405" s="85" t="s">
        <v>177</v>
      </c>
      <c r="E3405" s="103" t="s">
        <v>7154</v>
      </c>
      <c r="F3405" s="91" t="s">
        <v>139</v>
      </c>
      <c r="G3405" s="91" t="s">
        <v>594</v>
      </c>
      <c r="H3405" s="93" t="s">
        <v>4</v>
      </c>
      <c r="I3405" s="92" t="s">
        <v>7155</v>
      </c>
      <c r="J3405" s="106">
        <v>9866266719</v>
      </c>
      <c r="K3405" s="67"/>
      <c r="L3405" s="67"/>
      <c r="M3405" s="67"/>
      <c r="N3405" s="67"/>
      <c r="O3405" s="67"/>
    </row>
    <row r="3406" spans="1:15" ht="16.5">
      <c r="A3406" s="103" t="s">
        <v>19</v>
      </c>
      <c r="B3406" s="103" t="s">
        <v>147</v>
      </c>
      <c r="C3406" s="103" t="s">
        <v>177</v>
      </c>
      <c r="D3406" s="85" t="s">
        <v>177</v>
      </c>
      <c r="E3406" s="103" t="s">
        <v>7156</v>
      </c>
      <c r="F3406" s="91" t="s">
        <v>139</v>
      </c>
      <c r="G3406" s="91" t="s">
        <v>594</v>
      </c>
      <c r="H3406" s="93" t="s">
        <v>4</v>
      </c>
      <c r="I3406" s="92" t="s">
        <v>3115</v>
      </c>
      <c r="J3406" s="106">
        <v>9573277999</v>
      </c>
      <c r="K3406" s="67"/>
      <c r="L3406" s="67"/>
      <c r="M3406" s="67"/>
      <c r="N3406" s="67"/>
      <c r="O3406" s="67"/>
    </row>
    <row r="3407" spans="1:15" ht="16.5">
      <c r="A3407" s="103" t="s">
        <v>19</v>
      </c>
      <c r="B3407" s="103" t="s">
        <v>147</v>
      </c>
      <c r="C3407" s="103" t="s">
        <v>177</v>
      </c>
      <c r="D3407" s="85" t="s">
        <v>177</v>
      </c>
      <c r="E3407" s="103" t="s">
        <v>7157</v>
      </c>
      <c r="F3407" s="91" t="s">
        <v>165</v>
      </c>
      <c r="G3407" s="91" t="s">
        <v>615</v>
      </c>
      <c r="H3407" s="93" t="s">
        <v>4</v>
      </c>
      <c r="I3407" s="92" t="s">
        <v>3185</v>
      </c>
      <c r="J3407" s="106">
        <v>9618797052</v>
      </c>
      <c r="K3407" s="67"/>
      <c r="L3407" s="67"/>
      <c r="M3407" s="67"/>
      <c r="N3407" s="67"/>
      <c r="O3407" s="67"/>
    </row>
    <row r="3408" spans="1:15" ht="30.4">
      <c r="A3408" s="103" t="s">
        <v>19</v>
      </c>
      <c r="B3408" s="103" t="s">
        <v>147</v>
      </c>
      <c r="C3408" s="103" t="s">
        <v>177</v>
      </c>
      <c r="D3408" s="85" t="s">
        <v>177</v>
      </c>
      <c r="E3408" s="103" t="s">
        <v>7158</v>
      </c>
      <c r="F3408" s="91" t="s">
        <v>139</v>
      </c>
      <c r="G3408" s="91" t="s">
        <v>594</v>
      </c>
      <c r="H3408" s="93" t="s">
        <v>6</v>
      </c>
      <c r="I3408" s="92" t="s">
        <v>6811</v>
      </c>
      <c r="J3408" s="106" t="s">
        <v>2631</v>
      </c>
      <c r="K3408" s="67"/>
      <c r="L3408" s="67"/>
      <c r="M3408" s="67"/>
      <c r="N3408" s="67"/>
      <c r="O3408" s="67"/>
    </row>
    <row r="3409" spans="1:15" ht="30.4">
      <c r="A3409" s="103" t="s">
        <v>19</v>
      </c>
      <c r="B3409" s="103" t="s">
        <v>147</v>
      </c>
      <c r="C3409" s="103" t="s">
        <v>177</v>
      </c>
      <c r="D3409" s="85" t="s">
        <v>177</v>
      </c>
      <c r="E3409" s="103" t="s">
        <v>7159</v>
      </c>
      <c r="F3409" s="91" t="s">
        <v>139</v>
      </c>
      <c r="G3409" s="91" t="s">
        <v>594</v>
      </c>
      <c r="H3409" s="93" t="s">
        <v>6</v>
      </c>
      <c r="I3409" s="92" t="s">
        <v>3162</v>
      </c>
      <c r="J3409" s="106" t="s">
        <v>2631</v>
      </c>
      <c r="K3409" s="67"/>
      <c r="L3409" s="67"/>
      <c r="M3409" s="67"/>
      <c r="N3409" s="67"/>
      <c r="O3409" s="67"/>
    </row>
    <row r="3410" spans="1:15" ht="16.5">
      <c r="A3410" s="103" t="s">
        <v>19</v>
      </c>
      <c r="B3410" s="103" t="s">
        <v>220</v>
      </c>
      <c r="C3410" s="103" t="s">
        <v>253</v>
      </c>
      <c r="D3410" s="91" t="s">
        <v>253</v>
      </c>
      <c r="E3410" s="103" t="s">
        <v>7160</v>
      </c>
      <c r="F3410" s="91" t="s">
        <v>94</v>
      </c>
      <c r="G3410" s="91" t="s">
        <v>615</v>
      </c>
      <c r="H3410" s="93" t="s">
        <v>92</v>
      </c>
      <c r="I3410" s="92" t="s">
        <v>3115</v>
      </c>
      <c r="J3410" s="106">
        <v>8328194255</v>
      </c>
      <c r="K3410" s="67"/>
      <c r="L3410" s="67"/>
      <c r="M3410" s="67"/>
      <c r="N3410" s="67"/>
      <c r="O3410" s="67"/>
    </row>
    <row r="3411" spans="1:15" ht="30.4">
      <c r="A3411" s="103" t="s">
        <v>19</v>
      </c>
      <c r="B3411" s="103" t="s">
        <v>220</v>
      </c>
      <c r="C3411" s="103" t="s">
        <v>253</v>
      </c>
      <c r="D3411" s="91" t="s">
        <v>253</v>
      </c>
      <c r="E3411" s="103" t="s">
        <v>7161</v>
      </c>
      <c r="F3411" s="91" t="s">
        <v>139</v>
      </c>
      <c r="G3411" s="91" t="s">
        <v>615</v>
      </c>
      <c r="H3411" s="93" t="s">
        <v>92</v>
      </c>
      <c r="I3411" s="92" t="s">
        <v>3205</v>
      </c>
      <c r="J3411" s="106">
        <v>9666435117</v>
      </c>
      <c r="K3411" s="67"/>
      <c r="L3411" s="67"/>
      <c r="M3411" s="67"/>
      <c r="N3411" s="67"/>
      <c r="O3411" s="67"/>
    </row>
    <row r="3412" spans="1:15" ht="30.4">
      <c r="A3412" s="103" t="s">
        <v>19</v>
      </c>
      <c r="B3412" s="103" t="s">
        <v>220</v>
      </c>
      <c r="C3412" s="103" t="s">
        <v>253</v>
      </c>
      <c r="D3412" s="91" t="s">
        <v>253</v>
      </c>
      <c r="E3412" s="103" t="s">
        <v>7162</v>
      </c>
      <c r="F3412" s="91" t="s">
        <v>94</v>
      </c>
      <c r="G3412" s="91" t="s">
        <v>615</v>
      </c>
      <c r="H3412" s="93" t="s">
        <v>4</v>
      </c>
      <c r="I3412" s="92" t="s">
        <v>3120</v>
      </c>
      <c r="J3412" s="106">
        <v>9030896667</v>
      </c>
      <c r="K3412" s="67"/>
      <c r="L3412" s="67"/>
      <c r="M3412" s="67"/>
      <c r="N3412" s="67"/>
      <c r="O3412" s="67"/>
    </row>
    <row r="3413" spans="1:15" ht="16.5">
      <c r="A3413" s="103" t="s">
        <v>19</v>
      </c>
      <c r="B3413" s="103" t="s">
        <v>220</v>
      </c>
      <c r="C3413" s="103" t="s">
        <v>253</v>
      </c>
      <c r="D3413" s="91" t="s">
        <v>253</v>
      </c>
      <c r="E3413" s="103" t="s">
        <v>7163</v>
      </c>
      <c r="F3413" s="91" t="s">
        <v>139</v>
      </c>
      <c r="G3413" s="91" t="s">
        <v>594</v>
      </c>
      <c r="H3413" s="93" t="s">
        <v>4</v>
      </c>
      <c r="I3413" s="92" t="s">
        <v>3112</v>
      </c>
      <c r="J3413" s="106">
        <v>9494845841</v>
      </c>
      <c r="K3413" s="67"/>
      <c r="L3413" s="67"/>
      <c r="M3413" s="67"/>
      <c r="N3413" s="67"/>
      <c r="O3413" s="67"/>
    </row>
    <row r="3414" spans="1:15" ht="30.4">
      <c r="A3414" s="103" t="s">
        <v>19</v>
      </c>
      <c r="B3414" s="103" t="s">
        <v>220</v>
      </c>
      <c r="C3414" s="103" t="s">
        <v>253</v>
      </c>
      <c r="D3414" s="91" t="s">
        <v>253</v>
      </c>
      <c r="E3414" s="103" t="s">
        <v>7164</v>
      </c>
      <c r="F3414" s="91" t="s">
        <v>139</v>
      </c>
      <c r="G3414" s="91" t="s">
        <v>594</v>
      </c>
      <c r="H3414" s="93" t="s">
        <v>4</v>
      </c>
      <c r="I3414" s="92" t="s">
        <v>3162</v>
      </c>
      <c r="J3414" s="106">
        <v>7993323764</v>
      </c>
      <c r="K3414" s="67"/>
      <c r="L3414" s="67"/>
      <c r="M3414" s="67"/>
      <c r="N3414" s="67"/>
      <c r="O3414" s="67"/>
    </row>
    <row r="3415" spans="1:15" ht="16.5">
      <c r="A3415" s="103" t="s">
        <v>19</v>
      </c>
      <c r="B3415" s="103" t="s">
        <v>220</v>
      </c>
      <c r="C3415" s="103" t="s">
        <v>253</v>
      </c>
      <c r="D3415" s="91" t="s">
        <v>253</v>
      </c>
      <c r="E3415" s="103" t="s">
        <v>7165</v>
      </c>
      <c r="F3415" s="91" t="s">
        <v>139</v>
      </c>
      <c r="G3415" s="91" t="s">
        <v>594</v>
      </c>
      <c r="H3415" s="93" t="s">
        <v>4</v>
      </c>
      <c r="I3415" s="92" t="s">
        <v>3891</v>
      </c>
      <c r="J3415" s="106">
        <v>8500453791</v>
      </c>
      <c r="K3415" s="67"/>
      <c r="L3415" s="67"/>
      <c r="M3415" s="67"/>
      <c r="N3415" s="67"/>
      <c r="O3415" s="67"/>
    </row>
    <row r="3416" spans="1:15" ht="30.4">
      <c r="A3416" s="103" t="s">
        <v>19</v>
      </c>
      <c r="B3416" s="103" t="s">
        <v>220</v>
      </c>
      <c r="C3416" s="103" t="s">
        <v>253</v>
      </c>
      <c r="D3416" s="91" t="s">
        <v>253</v>
      </c>
      <c r="E3416" s="103" t="s">
        <v>7166</v>
      </c>
      <c r="F3416" s="67" t="s">
        <v>3138</v>
      </c>
      <c r="G3416" s="67"/>
      <c r="H3416" s="93" t="s">
        <v>4</v>
      </c>
      <c r="I3416" s="92" t="s">
        <v>3591</v>
      </c>
      <c r="J3416" s="106">
        <v>9573629191</v>
      </c>
      <c r="K3416" s="67"/>
      <c r="L3416" s="67"/>
      <c r="M3416" s="67"/>
      <c r="N3416" s="67"/>
      <c r="O3416" s="67"/>
    </row>
    <row r="3417" spans="1:15" ht="30.4">
      <c r="A3417" s="103" t="s">
        <v>19</v>
      </c>
      <c r="B3417" s="103" t="s">
        <v>220</v>
      </c>
      <c r="C3417" s="103" t="s">
        <v>253</v>
      </c>
      <c r="D3417" s="91" t="s">
        <v>253</v>
      </c>
      <c r="E3417" s="103" t="s">
        <v>7167</v>
      </c>
      <c r="F3417" s="91" t="s">
        <v>139</v>
      </c>
      <c r="G3417" s="91" t="s">
        <v>594</v>
      </c>
      <c r="H3417" s="93" t="s">
        <v>6</v>
      </c>
      <c r="I3417" s="92" t="s">
        <v>3495</v>
      </c>
      <c r="J3417" s="106">
        <v>9494178232</v>
      </c>
      <c r="K3417" s="67"/>
      <c r="L3417" s="67"/>
      <c r="M3417" s="67"/>
      <c r="N3417" s="67"/>
      <c r="O3417" s="67"/>
    </row>
    <row r="3418" spans="1:15" ht="30.4">
      <c r="A3418" s="103" t="s">
        <v>19</v>
      </c>
      <c r="B3418" s="103" t="s">
        <v>220</v>
      </c>
      <c r="C3418" s="103" t="s">
        <v>253</v>
      </c>
      <c r="D3418" s="91" t="s">
        <v>253</v>
      </c>
      <c r="E3418" s="103" t="s">
        <v>7168</v>
      </c>
      <c r="F3418" s="91" t="s">
        <v>139</v>
      </c>
      <c r="G3418" s="91" t="s">
        <v>594</v>
      </c>
      <c r="H3418" s="93" t="s">
        <v>6</v>
      </c>
      <c r="I3418" s="92" t="s">
        <v>3495</v>
      </c>
      <c r="J3418" s="106">
        <v>9912131931</v>
      </c>
      <c r="K3418" s="67"/>
      <c r="L3418" s="67"/>
      <c r="M3418" s="67"/>
      <c r="N3418" s="67"/>
      <c r="O3418" s="67"/>
    </row>
    <row r="3419" spans="1:15" ht="30.4">
      <c r="A3419" s="103" t="s">
        <v>19</v>
      </c>
      <c r="B3419" s="103" t="s">
        <v>220</v>
      </c>
      <c r="C3419" s="103" t="s">
        <v>233</v>
      </c>
      <c r="D3419" s="91" t="s">
        <v>233</v>
      </c>
      <c r="E3419" s="103" t="s">
        <v>7169</v>
      </c>
      <c r="F3419" s="91" t="s">
        <v>139</v>
      </c>
      <c r="G3419" s="91" t="s">
        <v>594</v>
      </c>
      <c r="H3419" s="93" t="s">
        <v>92</v>
      </c>
      <c r="I3419" s="92" t="s">
        <v>6634</v>
      </c>
      <c r="J3419" s="95"/>
      <c r="K3419" s="67"/>
      <c r="L3419" s="67"/>
      <c r="M3419" s="67"/>
      <c r="N3419" s="67"/>
      <c r="O3419" s="67"/>
    </row>
    <row r="3420" spans="1:15" ht="30.4">
      <c r="A3420" s="103" t="s">
        <v>19</v>
      </c>
      <c r="B3420" s="103" t="s">
        <v>220</v>
      </c>
      <c r="C3420" s="103" t="s">
        <v>233</v>
      </c>
      <c r="D3420" s="91" t="s">
        <v>233</v>
      </c>
      <c r="E3420" s="103" t="s">
        <v>7170</v>
      </c>
      <c r="F3420" s="91" t="s">
        <v>139</v>
      </c>
      <c r="G3420" s="91" t="s">
        <v>594</v>
      </c>
      <c r="H3420" s="93" t="s">
        <v>4</v>
      </c>
      <c r="I3420" s="92" t="s">
        <v>6634</v>
      </c>
      <c r="J3420" s="106">
        <v>9493362444</v>
      </c>
      <c r="K3420" s="67"/>
      <c r="L3420" s="67"/>
      <c r="M3420" s="67"/>
      <c r="N3420" s="67"/>
      <c r="O3420" s="67"/>
    </row>
    <row r="3421" spans="1:15" ht="16.5">
      <c r="A3421" s="103" t="s">
        <v>15</v>
      </c>
      <c r="B3421" s="103" t="s">
        <v>15</v>
      </c>
      <c r="C3421" s="103" t="s">
        <v>343</v>
      </c>
      <c r="D3421" s="91" t="s">
        <v>343</v>
      </c>
      <c r="E3421" s="103" t="s">
        <v>7171</v>
      </c>
      <c r="F3421" s="91" t="s">
        <v>139</v>
      </c>
      <c r="G3421" s="91" t="s">
        <v>594</v>
      </c>
      <c r="H3421" s="93" t="s">
        <v>92</v>
      </c>
      <c r="I3421" s="92" t="s">
        <v>3376</v>
      </c>
      <c r="J3421" s="106">
        <v>9866256488</v>
      </c>
      <c r="K3421" s="67"/>
      <c r="L3421" s="67"/>
      <c r="M3421" s="67"/>
      <c r="N3421" s="67"/>
      <c r="O3421" s="67"/>
    </row>
    <row r="3422" spans="1:15" ht="30.4">
      <c r="A3422" s="103" t="s">
        <v>15</v>
      </c>
      <c r="B3422" s="103" t="s">
        <v>15</v>
      </c>
      <c r="C3422" s="103" t="s">
        <v>343</v>
      </c>
      <c r="D3422" s="91" t="s">
        <v>343</v>
      </c>
      <c r="E3422" s="103" t="s">
        <v>7172</v>
      </c>
      <c r="F3422" s="91" t="s">
        <v>114</v>
      </c>
      <c r="G3422" s="91" t="s">
        <v>85</v>
      </c>
      <c r="H3422" s="93" t="s">
        <v>4</v>
      </c>
      <c r="I3422" s="92" t="s">
        <v>3591</v>
      </c>
      <c r="J3422" s="106">
        <v>9515795546</v>
      </c>
      <c r="K3422" s="67"/>
      <c r="L3422" s="67"/>
      <c r="M3422" s="67"/>
      <c r="N3422" s="67"/>
      <c r="O3422" s="67"/>
    </row>
    <row r="3423" spans="1:15" ht="45.4">
      <c r="A3423" s="103" t="s">
        <v>15</v>
      </c>
      <c r="B3423" s="103" t="s">
        <v>15</v>
      </c>
      <c r="C3423" s="103" t="s">
        <v>343</v>
      </c>
      <c r="D3423" s="91" t="s">
        <v>343</v>
      </c>
      <c r="E3423" s="103" t="s">
        <v>7173</v>
      </c>
      <c r="F3423" s="91" t="s">
        <v>139</v>
      </c>
      <c r="G3423" s="91" t="s">
        <v>594</v>
      </c>
      <c r="H3423" s="93" t="s">
        <v>4</v>
      </c>
      <c r="I3423" s="92" t="s">
        <v>7174</v>
      </c>
      <c r="J3423" s="106">
        <v>9491508888</v>
      </c>
      <c r="K3423" s="67"/>
      <c r="L3423" s="67"/>
      <c r="M3423" s="67"/>
      <c r="N3423" s="67"/>
      <c r="O3423" s="67"/>
    </row>
    <row r="3424" spans="1:15" ht="45.4">
      <c r="A3424" s="103" t="s">
        <v>15</v>
      </c>
      <c r="B3424" s="103" t="s">
        <v>15</v>
      </c>
      <c r="C3424" s="103" t="s">
        <v>343</v>
      </c>
      <c r="D3424" s="91" t="s">
        <v>343</v>
      </c>
      <c r="E3424" s="103" t="s">
        <v>7175</v>
      </c>
      <c r="F3424" s="91" t="s">
        <v>139</v>
      </c>
      <c r="G3424" s="91" t="s">
        <v>594</v>
      </c>
      <c r="H3424" s="93" t="s">
        <v>4</v>
      </c>
      <c r="I3424" s="92" t="s">
        <v>7176</v>
      </c>
      <c r="J3424" s="106">
        <v>8790308575</v>
      </c>
      <c r="K3424" s="67"/>
      <c r="L3424" s="67"/>
      <c r="M3424" s="67"/>
      <c r="N3424" s="67"/>
      <c r="O3424" s="67"/>
    </row>
    <row r="3425" spans="1:15" ht="30.4">
      <c r="A3425" s="103" t="s">
        <v>15</v>
      </c>
      <c r="B3425" s="103" t="s">
        <v>15</v>
      </c>
      <c r="C3425" s="103" t="s">
        <v>343</v>
      </c>
      <c r="D3425" s="91" t="s">
        <v>343</v>
      </c>
      <c r="E3425" s="103" t="s">
        <v>7177</v>
      </c>
      <c r="F3425" s="91" t="s">
        <v>139</v>
      </c>
      <c r="G3425" s="91" t="s">
        <v>594</v>
      </c>
      <c r="H3425" s="93" t="s">
        <v>6</v>
      </c>
      <c r="I3425" s="92" t="s">
        <v>3495</v>
      </c>
      <c r="J3425" s="106">
        <v>8179543425</v>
      </c>
      <c r="K3425" s="67"/>
      <c r="L3425" s="67"/>
      <c r="M3425" s="67"/>
      <c r="N3425" s="67"/>
      <c r="O3425" s="67"/>
    </row>
    <row r="3426" spans="1:15" ht="30.4">
      <c r="A3426" s="103" t="s">
        <v>15</v>
      </c>
      <c r="B3426" s="103" t="s">
        <v>15</v>
      </c>
      <c r="C3426" s="103" t="s">
        <v>343</v>
      </c>
      <c r="D3426" s="91" t="s">
        <v>343</v>
      </c>
      <c r="E3426" s="103" t="s">
        <v>7178</v>
      </c>
      <c r="F3426" s="91" t="s">
        <v>114</v>
      </c>
      <c r="G3426" s="91" t="s">
        <v>85</v>
      </c>
      <c r="H3426" s="93" t="s">
        <v>6</v>
      </c>
      <c r="I3426" s="92" t="s">
        <v>3495</v>
      </c>
      <c r="J3426" s="106">
        <v>9659625555</v>
      </c>
      <c r="K3426" s="67"/>
      <c r="L3426" s="67"/>
      <c r="M3426" s="67"/>
      <c r="N3426" s="67"/>
      <c r="O3426" s="67"/>
    </row>
    <row r="3427" spans="1:15" ht="30.4">
      <c r="A3427" s="103" t="s">
        <v>19</v>
      </c>
      <c r="B3427" s="103" t="s">
        <v>220</v>
      </c>
      <c r="C3427" s="103" t="s">
        <v>683</v>
      </c>
      <c r="D3427" s="91" t="s">
        <v>683</v>
      </c>
      <c r="E3427" s="103" t="s">
        <v>7179</v>
      </c>
      <c r="F3427" s="91" t="s">
        <v>139</v>
      </c>
      <c r="G3427" s="91" t="s">
        <v>594</v>
      </c>
      <c r="H3427" s="93" t="s">
        <v>4</v>
      </c>
      <c r="I3427" s="92" t="s">
        <v>3495</v>
      </c>
      <c r="J3427" s="95"/>
      <c r="K3427" s="67"/>
      <c r="L3427" s="67"/>
      <c r="M3427" s="67"/>
      <c r="N3427" s="67"/>
      <c r="O3427" s="67"/>
    </row>
    <row r="3428" spans="1:15" ht="45.4">
      <c r="A3428" s="103" t="s">
        <v>19</v>
      </c>
      <c r="B3428" s="103" t="s">
        <v>220</v>
      </c>
      <c r="C3428" s="103" t="s">
        <v>683</v>
      </c>
      <c r="D3428" s="91" t="s">
        <v>683</v>
      </c>
      <c r="E3428" s="103" t="s">
        <v>7180</v>
      </c>
      <c r="F3428" s="91" t="s">
        <v>154</v>
      </c>
      <c r="G3428" s="91" t="s">
        <v>615</v>
      </c>
      <c r="H3428" s="93" t="s">
        <v>4</v>
      </c>
      <c r="I3428" s="92" t="s">
        <v>7181</v>
      </c>
      <c r="J3428" s="95"/>
      <c r="K3428" s="67"/>
      <c r="L3428" s="67"/>
      <c r="M3428" s="67"/>
      <c r="N3428" s="67"/>
      <c r="O3428" s="67"/>
    </row>
    <row r="3429" spans="1:15" ht="30.4">
      <c r="A3429" s="103" t="s">
        <v>19</v>
      </c>
      <c r="B3429" s="103" t="s">
        <v>220</v>
      </c>
      <c r="C3429" s="103" t="s">
        <v>683</v>
      </c>
      <c r="D3429" s="91" t="s">
        <v>683</v>
      </c>
      <c r="E3429" s="103" t="s">
        <v>7182</v>
      </c>
      <c r="F3429" s="91" t="s">
        <v>139</v>
      </c>
      <c r="G3429" s="91" t="s">
        <v>594</v>
      </c>
      <c r="H3429" s="93" t="s">
        <v>92</v>
      </c>
      <c r="I3429" s="92" t="s">
        <v>3495</v>
      </c>
      <c r="J3429" s="95"/>
      <c r="K3429" s="67"/>
      <c r="L3429" s="67"/>
      <c r="M3429" s="67"/>
      <c r="N3429" s="67"/>
      <c r="O3429" s="67"/>
    </row>
    <row r="3430" spans="1:15" ht="30.4">
      <c r="A3430" s="103" t="s">
        <v>19</v>
      </c>
      <c r="B3430" s="103" t="s">
        <v>220</v>
      </c>
      <c r="C3430" s="103" t="s">
        <v>683</v>
      </c>
      <c r="D3430" s="91" t="s">
        <v>683</v>
      </c>
      <c r="E3430" s="103" t="s">
        <v>7183</v>
      </c>
      <c r="F3430" s="91" t="s">
        <v>154</v>
      </c>
      <c r="G3430" s="91" t="s">
        <v>615</v>
      </c>
      <c r="H3430" s="93" t="s">
        <v>92</v>
      </c>
      <c r="I3430" s="92" t="s">
        <v>3210</v>
      </c>
      <c r="J3430" s="95"/>
      <c r="K3430" s="67"/>
      <c r="L3430" s="67"/>
      <c r="M3430" s="67"/>
      <c r="N3430" s="67"/>
      <c r="O3430" s="67"/>
    </row>
    <row r="3431" spans="1:15" ht="90.4">
      <c r="A3431" s="103" t="s">
        <v>15</v>
      </c>
      <c r="B3431" s="103" t="s">
        <v>15</v>
      </c>
      <c r="C3431" s="103" t="s">
        <v>346</v>
      </c>
      <c r="D3431" s="91" t="s">
        <v>346</v>
      </c>
      <c r="E3431" s="92" t="s">
        <v>7184</v>
      </c>
      <c r="F3431" s="91" t="s">
        <v>139</v>
      </c>
      <c r="G3431" s="91" t="s">
        <v>594</v>
      </c>
      <c r="H3431" s="93" t="s">
        <v>92</v>
      </c>
      <c r="I3431" s="92" t="s">
        <v>3115</v>
      </c>
      <c r="J3431" s="92">
        <v>9493075496</v>
      </c>
      <c r="K3431" s="67"/>
      <c r="L3431" s="67"/>
      <c r="M3431" s="67"/>
      <c r="N3431" s="67"/>
      <c r="O3431" s="67"/>
    </row>
    <row r="3432" spans="1:15" ht="16.5">
      <c r="A3432" s="103" t="s">
        <v>15</v>
      </c>
      <c r="B3432" s="103" t="s">
        <v>15</v>
      </c>
      <c r="C3432" s="103" t="s">
        <v>346</v>
      </c>
      <c r="D3432" s="91" t="s">
        <v>346</v>
      </c>
      <c r="E3432" s="103" t="s">
        <v>7185</v>
      </c>
      <c r="F3432" s="91" t="s">
        <v>139</v>
      </c>
      <c r="G3432" s="91" t="s">
        <v>594</v>
      </c>
      <c r="H3432" s="93" t="s">
        <v>92</v>
      </c>
      <c r="I3432" s="92" t="s">
        <v>3185</v>
      </c>
      <c r="J3432" s="106">
        <v>9573817647</v>
      </c>
      <c r="K3432" s="67"/>
      <c r="L3432" s="67"/>
      <c r="M3432" s="67"/>
      <c r="N3432" s="67"/>
      <c r="O3432" s="67"/>
    </row>
    <row r="3433" spans="1:15" ht="45.4">
      <c r="A3433" s="103" t="s">
        <v>15</v>
      </c>
      <c r="B3433" s="103" t="s">
        <v>15</v>
      </c>
      <c r="C3433" s="103" t="s">
        <v>346</v>
      </c>
      <c r="D3433" s="91" t="s">
        <v>346</v>
      </c>
      <c r="E3433" s="103" t="s">
        <v>7186</v>
      </c>
      <c r="F3433" s="91" t="s">
        <v>139</v>
      </c>
      <c r="G3433" s="91" t="s">
        <v>594</v>
      </c>
      <c r="H3433" s="93" t="s">
        <v>92</v>
      </c>
      <c r="I3433" s="92" t="s">
        <v>7187</v>
      </c>
      <c r="J3433" s="106">
        <v>9951832999</v>
      </c>
      <c r="K3433" s="67"/>
      <c r="L3433" s="67"/>
      <c r="M3433" s="67"/>
      <c r="N3433" s="67"/>
      <c r="O3433" s="67"/>
    </row>
    <row r="3434" spans="1:15" ht="30.4">
      <c r="A3434" s="103" t="s">
        <v>15</v>
      </c>
      <c r="B3434" s="103" t="s">
        <v>15</v>
      </c>
      <c r="C3434" s="103" t="s">
        <v>346</v>
      </c>
      <c r="D3434" s="91" t="s">
        <v>346</v>
      </c>
      <c r="E3434" s="103" t="s">
        <v>7188</v>
      </c>
      <c r="F3434" s="91" t="s">
        <v>139</v>
      </c>
      <c r="G3434" s="91" t="s">
        <v>594</v>
      </c>
      <c r="H3434" s="93" t="s">
        <v>6</v>
      </c>
      <c r="I3434" s="92" t="s">
        <v>6811</v>
      </c>
      <c r="J3434" s="106">
        <v>9989332920</v>
      </c>
      <c r="K3434" s="67"/>
      <c r="L3434" s="67"/>
      <c r="M3434" s="67"/>
      <c r="N3434" s="67"/>
      <c r="O3434" s="67"/>
    </row>
    <row r="3435" spans="1:15" ht="30.4">
      <c r="A3435" s="103" t="s">
        <v>15</v>
      </c>
      <c r="B3435" s="103" t="s">
        <v>15</v>
      </c>
      <c r="C3435" s="103" t="s">
        <v>346</v>
      </c>
      <c r="D3435" s="91" t="s">
        <v>346</v>
      </c>
      <c r="E3435" s="103" t="s">
        <v>7189</v>
      </c>
      <c r="F3435" s="91" t="s">
        <v>139</v>
      </c>
      <c r="G3435" s="91" t="s">
        <v>594</v>
      </c>
      <c r="H3435" s="93" t="s">
        <v>6</v>
      </c>
      <c r="I3435" s="92" t="s">
        <v>3911</v>
      </c>
      <c r="J3435" s="106">
        <v>9666861223</v>
      </c>
      <c r="K3435" s="67"/>
      <c r="L3435" s="67"/>
      <c r="M3435" s="67"/>
      <c r="N3435" s="67"/>
      <c r="O3435" s="67"/>
    </row>
    <row r="3436" spans="1:15" ht="30.4">
      <c r="A3436" s="103" t="s">
        <v>15</v>
      </c>
      <c r="B3436" s="103" t="s">
        <v>15</v>
      </c>
      <c r="C3436" s="103" t="s">
        <v>346</v>
      </c>
      <c r="D3436" s="91" t="s">
        <v>346</v>
      </c>
      <c r="E3436" s="103" t="s">
        <v>5694</v>
      </c>
      <c r="F3436" s="91" t="s">
        <v>139</v>
      </c>
      <c r="G3436" s="91" t="s">
        <v>594</v>
      </c>
      <c r="H3436" s="93" t="s">
        <v>6</v>
      </c>
      <c r="I3436" s="92" t="s">
        <v>3194</v>
      </c>
      <c r="J3436" s="106">
        <v>8886742744</v>
      </c>
      <c r="K3436" s="67"/>
      <c r="L3436" s="67"/>
      <c r="M3436" s="67"/>
      <c r="N3436" s="67"/>
      <c r="O3436" s="67"/>
    </row>
    <row r="3437" spans="1:15" ht="30.4">
      <c r="A3437" s="103" t="s">
        <v>8</v>
      </c>
      <c r="B3437" s="103" t="s">
        <v>587</v>
      </c>
      <c r="C3437" s="103" t="s">
        <v>599</v>
      </c>
      <c r="D3437" s="131" t="s">
        <v>599</v>
      </c>
      <c r="E3437" s="103" t="s">
        <v>7190</v>
      </c>
      <c r="F3437" s="91" t="s">
        <v>139</v>
      </c>
      <c r="G3437" s="91" t="s">
        <v>594</v>
      </c>
      <c r="H3437" s="93" t="s">
        <v>92</v>
      </c>
      <c r="I3437" s="92" t="s">
        <v>3262</v>
      </c>
      <c r="J3437" s="106">
        <v>6305194188</v>
      </c>
      <c r="K3437" s="67"/>
      <c r="L3437" s="67"/>
      <c r="M3437" s="67"/>
      <c r="N3437" s="67"/>
      <c r="O3437" s="67"/>
    </row>
    <row r="3438" spans="1:15" ht="15">
      <c r="A3438" s="91" t="s">
        <v>8</v>
      </c>
      <c r="B3438" s="100" t="s">
        <v>587</v>
      </c>
      <c r="C3438" s="97" t="str">
        <f ca="1">IFERROR(__xludf.DUMMYFUNCTION("filter('Back End'!C:C,'Back End'!A:A=A3438,'Back End'!B:B=B3438,'Back End'!D:D=D3438)"),"Gangavaram")</f>
        <v>Gangavaram</v>
      </c>
      <c r="D3438" s="100" t="s">
        <v>599</v>
      </c>
      <c r="E3438" s="100" t="s">
        <v>7191</v>
      </c>
      <c r="F3438" s="99"/>
      <c r="G3438" s="99"/>
      <c r="H3438" s="100" t="s">
        <v>4</v>
      </c>
      <c r="I3438" s="97" t="s">
        <v>3125</v>
      </c>
      <c r="J3438" s="97">
        <v>9542198283</v>
      </c>
      <c r="K3438" s="67"/>
      <c r="L3438" s="67"/>
      <c r="M3438" s="67"/>
      <c r="N3438" s="67"/>
      <c r="O3438" s="67"/>
    </row>
    <row r="3439" spans="1:15" ht="15">
      <c r="A3439" s="101" t="s">
        <v>8</v>
      </c>
      <c r="B3439" s="93" t="s">
        <v>587</v>
      </c>
      <c r="C3439" s="102" t="str">
        <f ca="1">IFERROR(__xludf.DUMMYFUNCTION("filter('Back End'!C:C,'Back End'!A:A=A3439,'Back End'!B:B=B3439,'Back End'!D:D=D3439)"),"Gangavaram")</f>
        <v>Gangavaram</v>
      </c>
      <c r="D3439" s="93" t="s">
        <v>599</v>
      </c>
      <c r="E3439" s="93" t="s">
        <v>7192</v>
      </c>
      <c r="F3439" s="95"/>
      <c r="G3439" s="95"/>
      <c r="H3439" s="93" t="s">
        <v>4</v>
      </c>
      <c r="I3439" s="95"/>
      <c r="J3439" s="102">
        <v>9703165317</v>
      </c>
      <c r="K3439" s="67"/>
      <c r="L3439" s="67"/>
      <c r="M3439" s="67"/>
      <c r="N3439" s="67"/>
      <c r="O3439" s="67"/>
    </row>
    <row r="3440" spans="1:15" ht="16.5">
      <c r="A3440" s="101" t="s">
        <v>8</v>
      </c>
      <c r="B3440" s="93" t="s">
        <v>587</v>
      </c>
      <c r="C3440" s="102" t="str">
        <f ca="1">IFERROR(__xludf.DUMMYFUNCTION("filter('Back End'!C:C,'Back End'!A:A=A3440,'Back End'!B:B=B3440,'Back End'!D:D=D3440)"),"Gangavaram")</f>
        <v>Gangavaram</v>
      </c>
      <c r="D3440" s="93" t="s">
        <v>599</v>
      </c>
      <c r="E3440" s="93" t="s">
        <v>7193</v>
      </c>
      <c r="F3440" s="93" t="s">
        <v>139</v>
      </c>
      <c r="G3440" s="93" t="s">
        <v>594</v>
      </c>
      <c r="H3440" s="93" t="s">
        <v>5</v>
      </c>
      <c r="I3440" s="105" t="s">
        <v>3508</v>
      </c>
      <c r="J3440" s="102">
        <v>9640093263</v>
      </c>
      <c r="K3440" s="67"/>
      <c r="L3440" s="67"/>
      <c r="M3440" s="67"/>
      <c r="N3440" s="67"/>
      <c r="O3440" s="67"/>
    </row>
    <row r="3441" spans="1:15" ht="30.4">
      <c r="A3441" s="101" t="s">
        <v>8</v>
      </c>
      <c r="B3441" s="93" t="s">
        <v>587</v>
      </c>
      <c r="C3441" s="102" t="str">
        <f ca="1">IFERROR(__xludf.DUMMYFUNCTION("filter('Back End'!C:C,'Back End'!A:A=A3441,'Back End'!B:B=B3441,'Back End'!D:D=D3441)"),"Gangavaram")</f>
        <v>Gangavaram</v>
      </c>
      <c r="D3441" s="93" t="s">
        <v>599</v>
      </c>
      <c r="E3441" s="103" t="s">
        <v>7194</v>
      </c>
      <c r="F3441" s="91" t="s">
        <v>586</v>
      </c>
      <c r="G3441" s="91" t="s">
        <v>615</v>
      </c>
      <c r="H3441" s="93" t="s">
        <v>92</v>
      </c>
      <c r="I3441" s="92" t="s">
        <v>3212</v>
      </c>
      <c r="J3441" s="106">
        <v>6301147798</v>
      </c>
      <c r="K3441" s="67"/>
      <c r="L3441" s="67"/>
      <c r="M3441" s="67"/>
      <c r="N3441" s="67"/>
      <c r="O3441" s="67"/>
    </row>
    <row r="3442" spans="1:15" ht="60.4">
      <c r="A3442" s="101" t="s">
        <v>8</v>
      </c>
      <c r="B3442" s="93" t="s">
        <v>587</v>
      </c>
      <c r="C3442" s="102" t="str">
        <f ca="1">IFERROR(__xludf.DUMMYFUNCTION("filter('Back End'!C:C,'Back End'!A:A=A3442,'Back End'!B:B=B3442,'Back End'!D:D=D3442)"),"Gangavaram")</f>
        <v>Gangavaram</v>
      </c>
      <c r="D3442" s="93" t="s">
        <v>599</v>
      </c>
      <c r="E3442" s="103" t="s">
        <v>7195</v>
      </c>
      <c r="F3442" s="91" t="s">
        <v>586</v>
      </c>
      <c r="G3442" s="91" t="s">
        <v>615</v>
      </c>
      <c r="H3442" s="93" t="s">
        <v>4</v>
      </c>
      <c r="I3442" s="92" t="s">
        <v>7196</v>
      </c>
      <c r="J3442" s="106">
        <v>9573225206</v>
      </c>
      <c r="K3442" s="67"/>
      <c r="L3442" s="67"/>
      <c r="M3442" s="67"/>
      <c r="N3442" s="67"/>
      <c r="O3442" s="67"/>
    </row>
    <row r="3443" spans="1:15" ht="16.5">
      <c r="A3443" s="101" t="s">
        <v>8</v>
      </c>
      <c r="B3443" s="93" t="s">
        <v>587</v>
      </c>
      <c r="C3443" s="102" t="str">
        <f ca="1">IFERROR(__xludf.DUMMYFUNCTION("filter('Back End'!C:C,'Back End'!A:A=A3443,'Back End'!B:B=B3443,'Back End'!D:D=D3443)"),"Gangavaram")</f>
        <v>Gangavaram</v>
      </c>
      <c r="D3443" s="93" t="s">
        <v>599</v>
      </c>
      <c r="E3443" s="103" t="s">
        <v>7197</v>
      </c>
      <c r="F3443" s="91" t="s">
        <v>139</v>
      </c>
      <c r="G3443" s="91" t="s">
        <v>594</v>
      </c>
      <c r="H3443" s="93" t="s">
        <v>4</v>
      </c>
      <c r="I3443" s="92" t="s">
        <v>3112</v>
      </c>
      <c r="J3443" s="106" t="s">
        <v>2631</v>
      </c>
      <c r="K3443" s="67"/>
      <c r="L3443" s="67"/>
      <c r="M3443" s="67"/>
      <c r="N3443" s="67"/>
      <c r="O3443" s="67"/>
    </row>
    <row r="3444" spans="1:15" ht="16.5">
      <c r="A3444" s="103" t="s">
        <v>19</v>
      </c>
      <c r="B3444" s="103" t="s">
        <v>220</v>
      </c>
      <c r="C3444" s="103" t="s">
        <v>259</v>
      </c>
      <c r="D3444" s="91" t="s">
        <v>259</v>
      </c>
      <c r="E3444" s="103" t="s">
        <v>7198</v>
      </c>
      <c r="F3444" s="91" t="s">
        <v>1669</v>
      </c>
      <c r="G3444" s="91" t="s">
        <v>615</v>
      </c>
      <c r="H3444" s="93" t="s">
        <v>4</v>
      </c>
      <c r="I3444" s="92" t="s">
        <v>3115</v>
      </c>
      <c r="J3444" s="106">
        <v>9247855118</v>
      </c>
      <c r="K3444" s="67"/>
      <c r="L3444" s="67"/>
      <c r="M3444" s="67"/>
      <c r="N3444" s="67"/>
      <c r="O3444" s="67"/>
    </row>
    <row r="3445" spans="1:15" ht="30.4">
      <c r="A3445" s="103" t="s">
        <v>19</v>
      </c>
      <c r="B3445" s="103" t="s">
        <v>220</v>
      </c>
      <c r="C3445" s="103" t="s">
        <v>259</v>
      </c>
      <c r="D3445" s="91" t="s">
        <v>259</v>
      </c>
      <c r="E3445" s="103" t="s">
        <v>7199</v>
      </c>
      <c r="F3445" s="91" t="s">
        <v>205</v>
      </c>
      <c r="G3445" s="91" t="s">
        <v>615</v>
      </c>
      <c r="H3445" s="93" t="s">
        <v>4</v>
      </c>
      <c r="I3445" s="92" t="s">
        <v>3508</v>
      </c>
      <c r="J3445" s="106">
        <v>9182635077</v>
      </c>
      <c r="K3445" s="67"/>
      <c r="L3445" s="67"/>
      <c r="M3445" s="67"/>
      <c r="N3445" s="67"/>
      <c r="O3445" s="67"/>
    </row>
    <row r="3446" spans="1:15" ht="30.4">
      <c r="A3446" s="103" t="s">
        <v>19</v>
      </c>
      <c r="B3446" s="103" t="s">
        <v>220</v>
      </c>
      <c r="C3446" s="103" t="s">
        <v>259</v>
      </c>
      <c r="D3446" s="91" t="s">
        <v>259</v>
      </c>
      <c r="E3446" s="103" t="s">
        <v>7200</v>
      </c>
      <c r="F3446" s="91" t="s">
        <v>1669</v>
      </c>
      <c r="G3446" s="91" t="s">
        <v>615</v>
      </c>
      <c r="H3446" s="93" t="s">
        <v>4</v>
      </c>
      <c r="I3446" s="92" t="s">
        <v>3194</v>
      </c>
      <c r="J3446" s="106">
        <v>9705350622</v>
      </c>
      <c r="K3446" s="67"/>
      <c r="L3446" s="67"/>
      <c r="M3446" s="67"/>
      <c r="N3446" s="67"/>
      <c r="O3446" s="67"/>
    </row>
    <row r="3447" spans="1:15" ht="30.4">
      <c r="A3447" s="103" t="s">
        <v>19</v>
      </c>
      <c r="B3447" s="103" t="s">
        <v>220</v>
      </c>
      <c r="C3447" s="103" t="s">
        <v>259</v>
      </c>
      <c r="D3447" s="91" t="s">
        <v>259</v>
      </c>
      <c r="E3447" s="103" t="s">
        <v>7201</v>
      </c>
      <c r="F3447" s="91" t="s">
        <v>1669</v>
      </c>
      <c r="G3447" s="91" t="s">
        <v>615</v>
      </c>
      <c r="H3447" s="93" t="s">
        <v>4</v>
      </c>
      <c r="I3447" s="92" t="s">
        <v>3495</v>
      </c>
      <c r="J3447" s="106">
        <v>9912531186</v>
      </c>
      <c r="K3447" s="67"/>
      <c r="L3447" s="67"/>
      <c r="M3447" s="67"/>
      <c r="N3447" s="67"/>
      <c r="O3447" s="67"/>
    </row>
    <row r="3448" spans="1:15" ht="30.4">
      <c r="A3448" s="103" t="s">
        <v>19</v>
      </c>
      <c r="B3448" s="103" t="s">
        <v>220</v>
      </c>
      <c r="C3448" s="103" t="s">
        <v>259</v>
      </c>
      <c r="D3448" s="91" t="s">
        <v>259</v>
      </c>
      <c r="E3448" s="103" t="s">
        <v>7202</v>
      </c>
      <c r="F3448" s="91" t="s">
        <v>165</v>
      </c>
      <c r="G3448" s="91" t="s">
        <v>615</v>
      </c>
      <c r="H3448" s="93" t="s">
        <v>92</v>
      </c>
      <c r="I3448" s="92" t="s">
        <v>3120</v>
      </c>
      <c r="J3448" s="95"/>
      <c r="K3448" s="67"/>
      <c r="L3448" s="67"/>
      <c r="M3448" s="67"/>
      <c r="N3448" s="67"/>
      <c r="O3448" s="67"/>
    </row>
    <row r="3449" spans="1:15" ht="30.4">
      <c r="A3449" s="103" t="s">
        <v>19</v>
      </c>
      <c r="B3449" s="103" t="s">
        <v>220</v>
      </c>
      <c r="C3449" s="103" t="s">
        <v>259</v>
      </c>
      <c r="D3449" s="91" t="s">
        <v>259</v>
      </c>
      <c r="E3449" s="103" t="s">
        <v>7203</v>
      </c>
      <c r="F3449" s="91" t="s">
        <v>139</v>
      </c>
      <c r="G3449" s="91" t="s">
        <v>594</v>
      </c>
      <c r="H3449" s="93" t="s">
        <v>92</v>
      </c>
      <c r="I3449" s="92" t="s">
        <v>3916</v>
      </c>
      <c r="J3449" s="95"/>
      <c r="K3449" s="67"/>
      <c r="L3449" s="67"/>
      <c r="M3449" s="67"/>
      <c r="N3449" s="67"/>
      <c r="O3449" s="67"/>
    </row>
    <row r="3450" spans="1:15" ht="30.4">
      <c r="A3450" s="103" t="s">
        <v>19</v>
      </c>
      <c r="B3450" s="103" t="s">
        <v>220</v>
      </c>
      <c r="C3450" s="103" t="s">
        <v>259</v>
      </c>
      <c r="D3450" s="91" t="s">
        <v>259</v>
      </c>
      <c r="E3450" s="103" t="s">
        <v>7204</v>
      </c>
      <c r="F3450" s="91" t="s">
        <v>139</v>
      </c>
      <c r="G3450" s="91" t="s">
        <v>594</v>
      </c>
      <c r="H3450" s="93" t="s">
        <v>92</v>
      </c>
      <c r="I3450" s="92" t="s">
        <v>3495</v>
      </c>
      <c r="J3450" s="95"/>
      <c r="K3450" s="67"/>
      <c r="L3450" s="67"/>
      <c r="M3450" s="67"/>
      <c r="N3450" s="67"/>
      <c r="O3450" s="67"/>
    </row>
    <row r="3451" spans="1:15" ht="30.4">
      <c r="A3451" s="103" t="s">
        <v>19</v>
      </c>
      <c r="B3451" s="103" t="s">
        <v>220</v>
      </c>
      <c r="C3451" s="103" t="s">
        <v>259</v>
      </c>
      <c r="D3451" s="91" t="s">
        <v>259</v>
      </c>
      <c r="E3451" s="103" t="s">
        <v>7205</v>
      </c>
      <c r="F3451" s="91" t="s">
        <v>139</v>
      </c>
      <c r="G3451" s="91" t="s">
        <v>594</v>
      </c>
      <c r="H3451" s="93" t="s">
        <v>6</v>
      </c>
      <c r="I3451" s="92" t="s">
        <v>3495</v>
      </c>
      <c r="J3451" s="106">
        <v>9704307940</v>
      </c>
      <c r="K3451" s="67"/>
      <c r="L3451" s="67"/>
      <c r="M3451" s="67"/>
      <c r="N3451" s="67"/>
      <c r="O3451" s="67"/>
    </row>
    <row r="3452" spans="1:15" ht="16.5">
      <c r="A3452" s="103" t="s">
        <v>19</v>
      </c>
      <c r="B3452" s="103" t="s">
        <v>220</v>
      </c>
      <c r="C3452" s="103" t="s">
        <v>257</v>
      </c>
      <c r="D3452" s="91" t="s">
        <v>257</v>
      </c>
      <c r="E3452" s="103" t="s">
        <v>258</v>
      </c>
      <c r="F3452" s="91" t="s">
        <v>114</v>
      </c>
      <c r="G3452" s="91" t="s">
        <v>85</v>
      </c>
      <c r="H3452" s="93" t="s">
        <v>92</v>
      </c>
      <c r="I3452" s="92" t="s">
        <v>3115</v>
      </c>
      <c r="J3452" s="106">
        <v>9441807628</v>
      </c>
      <c r="K3452" s="67"/>
      <c r="L3452" s="67"/>
      <c r="M3452" s="67"/>
      <c r="N3452" s="67"/>
      <c r="O3452" s="67"/>
    </row>
    <row r="3453" spans="1:15" ht="16.5">
      <c r="A3453" s="103" t="s">
        <v>19</v>
      </c>
      <c r="B3453" s="103" t="s">
        <v>220</v>
      </c>
      <c r="C3453" s="103" t="s">
        <v>257</v>
      </c>
      <c r="D3453" s="91" t="s">
        <v>257</v>
      </c>
      <c r="E3453" s="103" t="s">
        <v>5017</v>
      </c>
      <c r="F3453" s="91" t="s">
        <v>139</v>
      </c>
      <c r="G3453" s="91" t="s">
        <v>594</v>
      </c>
      <c r="H3453" s="93" t="s">
        <v>92</v>
      </c>
      <c r="I3453" s="92" t="s">
        <v>3515</v>
      </c>
      <c r="J3453" s="106">
        <v>9849392222</v>
      </c>
      <c r="K3453" s="67"/>
      <c r="L3453" s="67"/>
      <c r="M3453" s="67"/>
      <c r="N3453" s="67"/>
      <c r="O3453" s="67"/>
    </row>
    <row r="3454" spans="1:15" ht="30.4">
      <c r="A3454" s="103" t="s">
        <v>19</v>
      </c>
      <c r="B3454" s="103" t="s">
        <v>220</v>
      </c>
      <c r="C3454" s="103" t="s">
        <v>257</v>
      </c>
      <c r="D3454" s="91" t="s">
        <v>257</v>
      </c>
      <c r="E3454" s="103" t="s">
        <v>7206</v>
      </c>
      <c r="F3454" s="91" t="s">
        <v>139</v>
      </c>
      <c r="G3454" s="91" t="s">
        <v>594</v>
      </c>
      <c r="H3454" s="93" t="s">
        <v>92</v>
      </c>
      <c r="I3454" s="92" t="s">
        <v>3495</v>
      </c>
      <c r="J3454" s="106">
        <v>9963329777</v>
      </c>
      <c r="K3454" s="67"/>
      <c r="L3454" s="67"/>
      <c r="M3454" s="67"/>
      <c r="N3454" s="67"/>
      <c r="O3454" s="67"/>
    </row>
    <row r="3455" spans="1:15" ht="30.4">
      <c r="A3455" s="103" t="s">
        <v>19</v>
      </c>
      <c r="B3455" s="103" t="s">
        <v>220</v>
      </c>
      <c r="C3455" s="103" t="s">
        <v>257</v>
      </c>
      <c r="D3455" s="91" t="s">
        <v>257</v>
      </c>
      <c r="E3455" s="103" t="s">
        <v>7207</v>
      </c>
      <c r="F3455" s="91" t="s">
        <v>139</v>
      </c>
      <c r="G3455" s="91" t="s">
        <v>594</v>
      </c>
      <c r="H3455" s="93" t="s">
        <v>92</v>
      </c>
      <c r="I3455" s="92" t="s">
        <v>7208</v>
      </c>
      <c r="J3455" s="106">
        <v>9492279999</v>
      </c>
      <c r="K3455" s="67"/>
      <c r="L3455" s="67"/>
      <c r="M3455" s="67"/>
      <c r="N3455" s="67"/>
      <c r="O3455" s="67"/>
    </row>
    <row r="3456" spans="1:15" ht="30.4">
      <c r="A3456" s="103" t="s">
        <v>19</v>
      </c>
      <c r="B3456" s="103" t="s">
        <v>220</v>
      </c>
      <c r="C3456" s="103" t="s">
        <v>257</v>
      </c>
      <c r="D3456" s="91" t="s">
        <v>257</v>
      </c>
      <c r="E3456" s="103" t="s">
        <v>7209</v>
      </c>
      <c r="F3456" s="91" t="s">
        <v>139</v>
      </c>
      <c r="G3456" s="91" t="s">
        <v>594</v>
      </c>
      <c r="H3456" s="93" t="s">
        <v>92</v>
      </c>
      <c r="I3456" s="92" t="s">
        <v>3463</v>
      </c>
      <c r="J3456" s="106">
        <v>9963269146</v>
      </c>
      <c r="K3456" s="67"/>
      <c r="L3456" s="67"/>
      <c r="M3456" s="67"/>
      <c r="N3456" s="67"/>
      <c r="O3456" s="67"/>
    </row>
    <row r="3457" spans="1:15" ht="30.4">
      <c r="A3457" s="103" t="s">
        <v>19</v>
      </c>
      <c r="B3457" s="103" t="s">
        <v>220</v>
      </c>
      <c r="C3457" s="103" t="s">
        <v>257</v>
      </c>
      <c r="D3457" s="91" t="s">
        <v>257</v>
      </c>
      <c r="E3457" s="103" t="s">
        <v>7210</v>
      </c>
      <c r="F3457" s="91" t="s">
        <v>114</v>
      </c>
      <c r="G3457" s="91" t="s">
        <v>85</v>
      </c>
      <c r="H3457" s="93" t="s">
        <v>92</v>
      </c>
      <c r="I3457" s="92" t="s">
        <v>3463</v>
      </c>
      <c r="J3457" s="106">
        <v>9440919225</v>
      </c>
      <c r="K3457" s="67"/>
      <c r="L3457" s="67"/>
      <c r="M3457" s="67"/>
      <c r="N3457" s="67"/>
      <c r="O3457" s="67"/>
    </row>
    <row r="3458" spans="1:15" ht="30.4">
      <c r="A3458" s="103" t="s">
        <v>19</v>
      </c>
      <c r="B3458" s="103" t="s">
        <v>220</v>
      </c>
      <c r="C3458" s="103" t="s">
        <v>257</v>
      </c>
      <c r="D3458" s="91" t="s">
        <v>257</v>
      </c>
      <c r="E3458" s="103" t="s">
        <v>7211</v>
      </c>
      <c r="F3458" s="91" t="s">
        <v>139</v>
      </c>
      <c r="G3458" s="91" t="s">
        <v>594</v>
      </c>
      <c r="H3458" s="93" t="s">
        <v>4</v>
      </c>
      <c r="I3458" s="92" t="s">
        <v>7212</v>
      </c>
      <c r="J3458" s="106">
        <v>9705683355</v>
      </c>
      <c r="K3458" s="67"/>
      <c r="L3458" s="67"/>
      <c r="M3458" s="67"/>
      <c r="N3458" s="67"/>
      <c r="O3458" s="67"/>
    </row>
    <row r="3459" spans="1:15" ht="30.4">
      <c r="A3459" s="103" t="s">
        <v>10</v>
      </c>
      <c r="B3459" s="103" t="s">
        <v>166</v>
      </c>
      <c r="C3459" s="103" t="s">
        <v>487</v>
      </c>
      <c r="D3459" s="91" t="s">
        <v>487</v>
      </c>
      <c r="E3459" s="103" t="s">
        <v>7213</v>
      </c>
      <c r="F3459" s="91" t="s">
        <v>139</v>
      </c>
      <c r="G3459" s="91" t="s">
        <v>594</v>
      </c>
      <c r="H3459" s="93" t="s">
        <v>6</v>
      </c>
      <c r="I3459" s="92" t="s">
        <v>3605</v>
      </c>
      <c r="J3459" s="106">
        <v>8142434092</v>
      </c>
      <c r="K3459" s="67"/>
      <c r="L3459" s="67"/>
      <c r="M3459" s="67"/>
      <c r="N3459" s="67"/>
      <c r="O3459" s="67"/>
    </row>
    <row r="3460" spans="1:15" ht="60.4">
      <c r="A3460" s="103" t="s">
        <v>10</v>
      </c>
      <c r="B3460" s="103" t="s">
        <v>166</v>
      </c>
      <c r="C3460" s="103" t="s">
        <v>487</v>
      </c>
      <c r="D3460" s="91" t="s">
        <v>487</v>
      </c>
      <c r="E3460" s="103" t="s">
        <v>7214</v>
      </c>
      <c r="F3460" s="67"/>
      <c r="G3460" s="67"/>
      <c r="H3460" s="93" t="s">
        <v>6</v>
      </c>
      <c r="I3460" s="92" t="s">
        <v>7215</v>
      </c>
      <c r="J3460" s="106">
        <v>9948884889</v>
      </c>
      <c r="K3460" s="67"/>
      <c r="L3460" s="67"/>
      <c r="M3460" s="67"/>
      <c r="N3460" s="67"/>
      <c r="O3460" s="67"/>
    </row>
    <row r="3461" spans="1:15" ht="30.4">
      <c r="A3461" s="103" t="s">
        <v>19</v>
      </c>
      <c r="B3461" s="103" t="s">
        <v>19</v>
      </c>
      <c r="C3461" s="103" t="s">
        <v>211</v>
      </c>
      <c r="D3461" s="91" t="s">
        <v>211</v>
      </c>
      <c r="E3461" s="103" t="s">
        <v>7216</v>
      </c>
      <c r="F3461" s="91" t="s">
        <v>139</v>
      </c>
      <c r="G3461" s="91" t="s">
        <v>594</v>
      </c>
      <c r="H3461" s="93" t="s">
        <v>4</v>
      </c>
      <c r="I3461" s="92" t="s">
        <v>3495</v>
      </c>
      <c r="J3461" s="106">
        <v>9618151355</v>
      </c>
      <c r="K3461" s="67"/>
      <c r="L3461" s="67"/>
      <c r="M3461" s="67"/>
      <c r="N3461" s="67"/>
      <c r="O3461" s="67"/>
    </row>
    <row r="3462" spans="1:15" ht="30.4">
      <c r="A3462" s="103" t="s">
        <v>19</v>
      </c>
      <c r="B3462" s="103" t="s">
        <v>19</v>
      </c>
      <c r="C3462" s="103" t="s">
        <v>211</v>
      </c>
      <c r="D3462" s="91" t="s">
        <v>211</v>
      </c>
      <c r="E3462" s="103" t="s">
        <v>7217</v>
      </c>
      <c r="F3462" s="91" t="s">
        <v>139</v>
      </c>
      <c r="G3462" s="91" t="s">
        <v>594</v>
      </c>
      <c r="H3462" s="93" t="s">
        <v>4</v>
      </c>
      <c r="I3462" s="92" t="s">
        <v>3916</v>
      </c>
      <c r="J3462" s="106">
        <v>9912967999</v>
      </c>
      <c r="K3462" s="67"/>
      <c r="L3462" s="67"/>
      <c r="M3462" s="67"/>
      <c r="N3462" s="67"/>
      <c r="O3462" s="67"/>
    </row>
    <row r="3463" spans="1:15" ht="30.4">
      <c r="A3463" s="103" t="s">
        <v>19</v>
      </c>
      <c r="B3463" s="103" t="s">
        <v>19</v>
      </c>
      <c r="C3463" s="103" t="s">
        <v>211</v>
      </c>
      <c r="D3463" s="91" t="s">
        <v>211</v>
      </c>
      <c r="E3463" s="103" t="s">
        <v>7218</v>
      </c>
      <c r="F3463" s="91" t="s">
        <v>165</v>
      </c>
      <c r="G3463" s="91" t="s">
        <v>615</v>
      </c>
      <c r="H3463" s="93" t="s">
        <v>4</v>
      </c>
      <c r="I3463" s="92" t="s">
        <v>3463</v>
      </c>
      <c r="J3463" s="106">
        <v>9959354570</v>
      </c>
      <c r="K3463" s="67"/>
      <c r="L3463" s="67"/>
      <c r="M3463" s="67"/>
      <c r="N3463" s="67"/>
      <c r="O3463" s="67"/>
    </row>
    <row r="3464" spans="1:15" ht="30.4">
      <c r="A3464" s="103" t="s">
        <v>19</v>
      </c>
      <c r="B3464" s="103" t="s">
        <v>19</v>
      </c>
      <c r="C3464" s="103" t="s">
        <v>211</v>
      </c>
      <c r="D3464" s="91" t="s">
        <v>211</v>
      </c>
      <c r="E3464" s="103" t="s">
        <v>7219</v>
      </c>
      <c r="F3464" s="91" t="s">
        <v>205</v>
      </c>
      <c r="G3464" s="91" t="s">
        <v>615</v>
      </c>
      <c r="H3464" s="93" t="s">
        <v>92</v>
      </c>
      <c r="I3464" s="92" t="s">
        <v>3495</v>
      </c>
      <c r="J3464" s="106">
        <v>9951883479</v>
      </c>
      <c r="K3464" s="67"/>
      <c r="L3464" s="67"/>
      <c r="M3464" s="67"/>
      <c r="N3464" s="67"/>
      <c r="O3464" s="67"/>
    </row>
    <row r="3465" spans="1:15" ht="30.4">
      <c r="A3465" s="103" t="s">
        <v>19</v>
      </c>
      <c r="B3465" s="103" t="s">
        <v>19</v>
      </c>
      <c r="C3465" s="103" t="s">
        <v>211</v>
      </c>
      <c r="D3465" s="91" t="s">
        <v>211</v>
      </c>
      <c r="E3465" s="103" t="s">
        <v>7220</v>
      </c>
      <c r="F3465" s="91" t="s">
        <v>213</v>
      </c>
      <c r="G3465" s="91" t="s">
        <v>615</v>
      </c>
      <c r="H3465" s="93" t="s">
        <v>92</v>
      </c>
      <c r="I3465" s="92" t="s">
        <v>3495</v>
      </c>
      <c r="J3465" s="106">
        <v>9856224999</v>
      </c>
      <c r="K3465" s="67"/>
      <c r="L3465" s="67"/>
      <c r="M3465" s="67"/>
      <c r="N3465" s="67"/>
      <c r="O3465" s="67"/>
    </row>
    <row r="3466" spans="1:15" ht="30.4">
      <c r="A3466" s="103" t="s">
        <v>19</v>
      </c>
      <c r="B3466" s="103" t="s">
        <v>19</v>
      </c>
      <c r="C3466" s="103" t="s">
        <v>211</v>
      </c>
      <c r="D3466" s="91" t="s">
        <v>211</v>
      </c>
      <c r="E3466" s="103" t="s">
        <v>7221</v>
      </c>
      <c r="F3466" s="91" t="s">
        <v>165</v>
      </c>
      <c r="G3466" s="91" t="s">
        <v>615</v>
      </c>
      <c r="H3466" s="93" t="s">
        <v>92</v>
      </c>
      <c r="I3466" s="92" t="s">
        <v>3495</v>
      </c>
      <c r="J3466" s="106">
        <v>9704554713</v>
      </c>
      <c r="K3466" s="67"/>
      <c r="L3466" s="67"/>
      <c r="M3466" s="67"/>
      <c r="N3466" s="67"/>
      <c r="O3466" s="67"/>
    </row>
    <row r="3467" spans="1:15" ht="30.4">
      <c r="A3467" s="103" t="s">
        <v>19</v>
      </c>
      <c r="B3467" s="103" t="s">
        <v>19</v>
      </c>
      <c r="C3467" s="103" t="s">
        <v>211</v>
      </c>
      <c r="D3467" s="91" t="s">
        <v>211</v>
      </c>
      <c r="E3467" s="103" t="s">
        <v>7222</v>
      </c>
      <c r="F3467" s="91" t="s">
        <v>205</v>
      </c>
      <c r="G3467" s="91" t="s">
        <v>615</v>
      </c>
      <c r="H3467" s="93" t="s">
        <v>4</v>
      </c>
      <c r="I3467" s="92" t="s">
        <v>3463</v>
      </c>
      <c r="J3467" s="106">
        <v>7993273329</v>
      </c>
      <c r="K3467" s="67"/>
      <c r="L3467" s="67"/>
      <c r="M3467" s="67"/>
      <c r="N3467" s="67"/>
      <c r="O3467" s="67"/>
    </row>
    <row r="3468" spans="1:15" ht="16.5">
      <c r="A3468" s="103" t="s">
        <v>19</v>
      </c>
      <c r="B3468" s="103" t="s">
        <v>19</v>
      </c>
      <c r="C3468" s="103" t="s">
        <v>211</v>
      </c>
      <c r="D3468" s="91" t="s">
        <v>211</v>
      </c>
      <c r="E3468" s="103" t="s">
        <v>212</v>
      </c>
      <c r="F3468" s="91" t="s">
        <v>213</v>
      </c>
      <c r="G3468" s="91" t="s">
        <v>615</v>
      </c>
      <c r="H3468" s="93" t="s">
        <v>92</v>
      </c>
      <c r="I3468" s="92" t="s">
        <v>3115</v>
      </c>
      <c r="J3468" s="106">
        <v>9966327502</v>
      </c>
      <c r="K3468" s="67"/>
      <c r="L3468" s="67"/>
      <c r="M3468" s="67"/>
      <c r="N3468" s="67"/>
      <c r="O3468" s="67"/>
    </row>
    <row r="3469" spans="1:15" ht="30.4">
      <c r="A3469" s="103" t="s">
        <v>19</v>
      </c>
      <c r="B3469" s="103" t="s">
        <v>19</v>
      </c>
      <c r="C3469" s="103" t="s">
        <v>208</v>
      </c>
      <c r="D3469" s="91" t="s">
        <v>208</v>
      </c>
      <c r="E3469" s="103" t="s">
        <v>7223</v>
      </c>
      <c r="F3469" s="91" t="s">
        <v>139</v>
      </c>
      <c r="G3469" s="91" t="s">
        <v>594</v>
      </c>
      <c r="H3469" s="93" t="s">
        <v>4</v>
      </c>
      <c r="I3469" s="92" t="s">
        <v>3495</v>
      </c>
      <c r="J3469" s="106">
        <v>9908741166</v>
      </c>
      <c r="K3469" s="67"/>
      <c r="L3469" s="67"/>
      <c r="M3469" s="67"/>
      <c r="N3469" s="67"/>
      <c r="O3469" s="67"/>
    </row>
    <row r="3470" spans="1:15" ht="30.4">
      <c r="A3470" s="103" t="s">
        <v>19</v>
      </c>
      <c r="B3470" s="103" t="s">
        <v>19</v>
      </c>
      <c r="C3470" s="103" t="s">
        <v>208</v>
      </c>
      <c r="D3470" s="91" t="s">
        <v>208</v>
      </c>
      <c r="E3470" s="103" t="s">
        <v>7224</v>
      </c>
      <c r="F3470" s="91" t="s">
        <v>139</v>
      </c>
      <c r="G3470" s="91" t="s">
        <v>594</v>
      </c>
      <c r="H3470" s="93" t="s">
        <v>4</v>
      </c>
      <c r="I3470" s="92" t="s">
        <v>3591</v>
      </c>
      <c r="J3470" s="106">
        <v>9492507683</v>
      </c>
      <c r="K3470" s="67"/>
      <c r="L3470" s="67"/>
      <c r="M3470" s="67"/>
      <c r="N3470" s="67"/>
      <c r="O3470" s="67"/>
    </row>
    <row r="3471" spans="1:15" ht="30.4">
      <c r="A3471" s="103" t="s">
        <v>19</v>
      </c>
      <c r="B3471" s="103" t="s">
        <v>19</v>
      </c>
      <c r="C3471" s="103" t="s">
        <v>208</v>
      </c>
      <c r="D3471" s="91" t="s">
        <v>208</v>
      </c>
      <c r="E3471" s="103" t="s">
        <v>7225</v>
      </c>
      <c r="F3471" s="91" t="s">
        <v>139</v>
      </c>
      <c r="G3471" s="91" t="s">
        <v>594</v>
      </c>
      <c r="H3471" s="93" t="s">
        <v>4</v>
      </c>
      <c r="I3471" s="92" t="s">
        <v>7226</v>
      </c>
      <c r="J3471" s="106">
        <v>9704464218</v>
      </c>
      <c r="K3471" s="67"/>
      <c r="L3471" s="67"/>
      <c r="M3471" s="67"/>
      <c r="N3471" s="67"/>
      <c r="O3471" s="67"/>
    </row>
    <row r="3472" spans="1:15" ht="30.4">
      <c r="A3472" s="103" t="s">
        <v>19</v>
      </c>
      <c r="B3472" s="103" t="s">
        <v>19</v>
      </c>
      <c r="C3472" s="103" t="s">
        <v>208</v>
      </c>
      <c r="D3472" s="91" t="s">
        <v>208</v>
      </c>
      <c r="E3472" s="103" t="s">
        <v>7227</v>
      </c>
      <c r="F3472" s="91" t="s">
        <v>139</v>
      </c>
      <c r="G3472" s="91" t="s">
        <v>594</v>
      </c>
      <c r="H3472" s="93" t="s">
        <v>4</v>
      </c>
      <c r="I3472" s="92" t="s">
        <v>7228</v>
      </c>
      <c r="J3472" s="106">
        <v>9985168333</v>
      </c>
      <c r="K3472" s="67"/>
      <c r="L3472" s="67"/>
      <c r="M3472" s="67"/>
      <c r="N3472" s="67"/>
      <c r="O3472" s="67"/>
    </row>
    <row r="3473" spans="1:15" ht="16.5">
      <c r="A3473" s="103" t="s">
        <v>19</v>
      </c>
      <c r="B3473" s="103" t="s">
        <v>19</v>
      </c>
      <c r="C3473" s="103" t="s">
        <v>208</v>
      </c>
      <c r="D3473" s="91" t="s">
        <v>208</v>
      </c>
      <c r="E3473" s="103" t="s">
        <v>7229</v>
      </c>
      <c r="F3473" s="91" t="s">
        <v>139</v>
      </c>
      <c r="G3473" s="91" t="s">
        <v>594</v>
      </c>
      <c r="H3473" s="93" t="s">
        <v>92</v>
      </c>
      <c r="I3473" s="92" t="s">
        <v>7230</v>
      </c>
      <c r="J3473" s="106">
        <v>9908954530</v>
      </c>
      <c r="K3473" s="67"/>
      <c r="L3473" s="67"/>
      <c r="M3473" s="67"/>
      <c r="N3473" s="67"/>
      <c r="O3473" s="67"/>
    </row>
    <row r="3474" spans="1:15" ht="60.4">
      <c r="A3474" s="103" t="s">
        <v>19</v>
      </c>
      <c r="B3474" s="103" t="s">
        <v>19</v>
      </c>
      <c r="C3474" s="103" t="s">
        <v>208</v>
      </c>
      <c r="D3474" s="91" t="s">
        <v>208</v>
      </c>
      <c r="E3474" s="103" t="s">
        <v>7231</v>
      </c>
      <c r="F3474" s="91" t="s">
        <v>139</v>
      </c>
      <c r="G3474" s="91" t="s">
        <v>594</v>
      </c>
      <c r="H3474" s="93" t="s">
        <v>92</v>
      </c>
      <c r="I3474" s="92" t="s">
        <v>7232</v>
      </c>
      <c r="J3474" s="106">
        <v>8897432777</v>
      </c>
      <c r="K3474" s="67"/>
      <c r="L3474" s="67"/>
      <c r="M3474" s="67"/>
      <c r="N3474" s="67"/>
      <c r="O3474" s="67"/>
    </row>
    <row r="3475" spans="1:15" ht="30.4">
      <c r="A3475" s="103" t="s">
        <v>19</v>
      </c>
      <c r="B3475" s="103" t="s">
        <v>19</v>
      </c>
      <c r="C3475" s="103" t="s">
        <v>208</v>
      </c>
      <c r="D3475" s="91" t="s">
        <v>208</v>
      </c>
      <c r="E3475" s="103" t="s">
        <v>7233</v>
      </c>
      <c r="F3475" s="91" t="s">
        <v>139</v>
      </c>
      <c r="G3475" s="91" t="s">
        <v>594</v>
      </c>
      <c r="H3475" s="93" t="s">
        <v>92</v>
      </c>
      <c r="I3475" s="92" t="s">
        <v>3591</v>
      </c>
      <c r="J3475" s="106">
        <v>9000608262</v>
      </c>
      <c r="K3475" s="67"/>
      <c r="L3475" s="67"/>
      <c r="M3475" s="67"/>
      <c r="N3475" s="67"/>
      <c r="O3475" s="67"/>
    </row>
    <row r="3476" spans="1:15" ht="30.4">
      <c r="A3476" s="103" t="s">
        <v>19</v>
      </c>
      <c r="B3476" s="103" t="s">
        <v>19</v>
      </c>
      <c r="C3476" s="103" t="s">
        <v>208</v>
      </c>
      <c r="D3476" s="91" t="s">
        <v>208</v>
      </c>
      <c r="E3476" s="103" t="s">
        <v>7234</v>
      </c>
      <c r="F3476" s="91" t="s">
        <v>139</v>
      </c>
      <c r="G3476" s="91" t="s">
        <v>594</v>
      </c>
      <c r="H3476" s="93" t="s">
        <v>6</v>
      </c>
      <c r="I3476" s="92" t="s">
        <v>3863</v>
      </c>
      <c r="J3476" s="106">
        <v>9010005851</v>
      </c>
      <c r="K3476" s="67"/>
      <c r="L3476" s="67"/>
      <c r="M3476" s="67"/>
      <c r="N3476" s="67"/>
      <c r="O3476" s="67"/>
    </row>
    <row r="3477" spans="1:15" ht="30.4">
      <c r="A3477" s="103" t="s">
        <v>19</v>
      </c>
      <c r="B3477" s="103" t="s">
        <v>19</v>
      </c>
      <c r="C3477" s="103" t="s">
        <v>208</v>
      </c>
      <c r="D3477" s="91" t="s">
        <v>208</v>
      </c>
      <c r="E3477" s="103" t="s">
        <v>7235</v>
      </c>
      <c r="F3477" s="91" t="s">
        <v>139</v>
      </c>
      <c r="G3477" s="91" t="s">
        <v>594</v>
      </c>
      <c r="H3477" s="93" t="s">
        <v>6</v>
      </c>
      <c r="I3477" s="92" t="s">
        <v>3863</v>
      </c>
      <c r="J3477" s="106">
        <v>9505032266</v>
      </c>
      <c r="K3477" s="67"/>
      <c r="L3477" s="67"/>
      <c r="M3477" s="67"/>
      <c r="N3477" s="67"/>
      <c r="O3477" s="67"/>
    </row>
    <row r="3478" spans="1:15" ht="60.4">
      <c r="A3478" s="103" t="s">
        <v>10</v>
      </c>
      <c r="B3478" s="103" t="s">
        <v>10</v>
      </c>
      <c r="C3478" s="103" t="s">
        <v>491</v>
      </c>
      <c r="D3478" s="91" t="s">
        <v>887</v>
      </c>
      <c r="E3478" s="103" t="s">
        <v>7236</v>
      </c>
      <c r="F3478" s="91" t="s">
        <v>139</v>
      </c>
      <c r="G3478" s="91" t="s">
        <v>594</v>
      </c>
      <c r="H3478" s="93" t="s">
        <v>92</v>
      </c>
      <c r="I3478" s="92" t="s">
        <v>7237</v>
      </c>
      <c r="J3478" s="106">
        <v>9494922233</v>
      </c>
      <c r="K3478" s="67"/>
      <c r="L3478" s="67"/>
      <c r="M3478" s="67"/>
      <c r="N3478" s="67"/>
      <c r="O3478" s="67"/>
    </row>
    <row r="3479" spans="1:15" ht="30.4">
      <c r="A3479" s="103" t="s">
        <v>10</v>
      </c>
      <c r="B3479" s="103" t="s">
        <v>10</v>
      </c>
      <c r="C3479" s="103" t="s">
        <v>491</v>
      </c>
      <c r="D3479" s="91" t="s">
        <v>887</v>
      </c>
      <c r="E3479" s="103" t="s">
        <v>7238</v>
      </c>
      <c r="F3479" s="91" t="s">
        <v>139</v>
      </c>
      <c r="G3479" s="91" t="s">
        <v>594</v>
      </c>
      <c r="H3479" s="93" t="s">
        <v>92</v>
      </c>
      <c r="I3479" s="92" t="s">
        <v>3205</v>
      </c>
      <c r="J3479" s="106">
        <v>7702072513</v>
      </c>
      <c r="K3479" s="67"/>
      <c r="L3479" s="67"/>
      <c r="M3479" s="67"/>
      <c r="N3479" s="67"/>
      <c r="O3479" s="67"/>
    </row>
    <row r="3480" spans="1:15" ht="16.5">
      <c r="A3480" s="103" t="s">
        <v>10</v>
      </c>
      <c r="B3480" s="103" t="s">
        <v>10</v>
      </c>
      <c r="C3480" s="103" t="s">
        <v>491</v>
      </c>
      <c r="D3480" s="91" t="s">
        <v>887</v>
      </c>
      <c r="E3480" s="103" t="s">
        <v>7239</v>
      </c>
      <c r="F3480" s="91" t="s">
        <v>139</v>
      </c>
      <c r="G3480" s="91" t="s">
        <v>594</v>
      </c>
      <c r="H3480" s="93" t="s">
        <v>92</v>
      </c>
      <c r="I3480" s="92" t="s">
        <v>3185</v>
      </c>
      <c r="J3480" s="106">
        <v>9848632160</v>
      </c>
      <c r="K3480" s="67"/>
      <c r="L3480" s="67"/>
      <c r="M3480" s="67"/>
      <c r="N3480" s="67"/>
      <c r="O3480" s="67"/>
    </row>
    <row r="3481" spans="1:15" ht="16.5">
      <c r="A3481" s="103" t="s">
        <v>10</v>
      </c>
      <c r="B3481" s="103" t="s">
        <v>10</v>
      </c>
      <c r="C3481" s="103" t="s">
        <v>491</v>
      </c>
      <c r="D3481" s="91" t="s">
        <v>887</v>
      </c>
      <c r="E3481" s="103" t="s">
        <v>7240</v>
      </c>
      <c r="F3481" s="91" t="s">
        <v>139</v>
      </c>
      <c r="G3481" s="91" t="s">
        <v>594</v>
      </c>
      <c r="H3481" s="93" t="s">
        <v>4</v>
      </c>
      <c r="I3481" s="92" t="s">
        <v>3115</v>
      </c>
      <c r="J3481" s="106">
        <v>8790167908</v>
      </c>
      <c r="K3481" s="67"/>
      <c r="L3481" s="67"/>
      <c r="M3481" s="67"/>
      <c r="N3481" s="67"/>
      <c r="O3481" s="67"/>
    </row>
    <row r="3482" spans="1:15" ht="30.4">
      <c r="A3482" s="103" t="s">
        <v>10</v>
      </c>
      <c r="B3482" s="103" t="s">
        <v>10</v>
      </c>
      <c r="C3482" s="103" t="s">
        <v>491</v>
      </c>
      <c r="D3482" s="91" t="s">
        <v>887</v>
      </c>
      <c r="E3482" s="103" t="s">
        <v>7241</v>
      </c>
      <c r="F3482" s="91" t="s">
        <v>139</v>
      </c>
      <c r="G3482" s="91" t="s">
        <v>594</v>
      </c>
      <c r="H3482" s="93" t="s">
        <v>4</v>
      </c>
      <c r="I3482" s="92" t="s">
        <v>3463</v>
      </c>
      <c r="J3482" s="95"/>
      <c r="K3482" s="67"/>
      <c r="L3482" s="67"/>
      <c r="M3482" s="67"/>
      <c r="N3482" s="67"/>
      <c r="O3482" s="67"/>
    </row>
    <row r="3483" spans="1:15" ht="30.4">
      <c r="A3483" s="103" t="s">
        <v>11</v>
      </c>
      <c r="B3483" s="103" t="s">
        <v>261</v>
      </c>
      <c r="C3483" s="103" t="s">
        <v>277</v>
      </c>
      <c r="D3483" s="91" t="s">
        <v>277</v>
      </c>
      <c r="E3483" s="103" t="s">
        <v>7242</v>
      </c>
      <c r="F3483" s="67" t="s">
        <v>3138</v>
      </c>
      <c r="G3483" s="67"/>
      <c r="H3483" s="93" t="s">
        <v>92</v>
      </c>
      <c r="I3483" s="92" t="s">
        <v>3605</v>
      </c>
      <c r="J3483" s="106">
        <v>8247549967</v>
      </c>
      <c r="K3483" s="67"/>
      <c r="L3483" s="67"/>
      <c r="M3483" s="67"/>
      <c r="N3483" s="67"/>
      <c r="O3483" s="67"/>
    </row>
    <row r="3484" spans="1:15" ht="30.4">
      <c r="A3484" s="103" t="s">
        <v>11</v>
      </c>
      <c r="B3484" s="103" t="s">
        <v>261</v>
      </c>
      <c r="C3484" s="103" t="s">
        <v>277</v>
      </c>
      <c r="D3484" s="91" t="s">
        <v>277</v>
      </c>
      <c r="E3484" s="103" t="s">
        <v>7243</v>
      </c>
      <c r="F3484" s="91" t="s">
        <v>114</v>
      </c>
      <c r="G3484" s="91" t="s">
        <v>85</v>
      </c>
      <c r="H3484" s="93" t="s">
        <v>92</v>
      </c>
      <c r="I3484" s="92" t="s">
        <v>7244</v>
      </c>
      <c r="J3484" s="106">
        <v>8008230345</v>
      </c>
      <c r="K3484" s="67"/>
      <c r="L3484" s="67"/>
      <c r="M3484" s="67"/>
      <c r="N3484" s="67"/>
      <c r="O3484" s="67"/>
    </row>
    <row r="3485" spans="1:15" ht="30.4">
      <c r="A3485" s="103" t="s">
        <v>11</v>
      </c>
      <c r="B3485" s="103" t="s">
        <v>261</v>
      </c>
      <c r="C3485" s="103" t="s">
        <v>281</v>
      </c>
      <c r="D3485" s="91" t="s">
        <v>281</v>
      </c>
      <c r="E3485" s="103" t="s">
        <v>7245</v>
      </c>
      <c r="F3485" s="91" t="s">
        <v>139</v>
      </c>
      <c r="G3485" s="91" t="s">
        <v>594</v>
      </c>
      <c r="H3485" s="93" t="s">
        <v>92</v>
      </c>
      <c r="I3485" s="92" t="s">
        <v>3495</v>
      </c>
      <c r="J3485" s="106">
        <v>8008152390</v>
      </c>
      <c r="K3485" s="67"/>
      <c r="L3485" s="67"/>
      <c r="M3485" s="67"/>
      <c r="N3485" s="67"/>
      <c r="O3485" s="67"/>
    </row>
    <row r="3486" spans="1:15" ht="45.4">
      <c r="A3486" s="103" t="s">
        <v>11</v>
      </c>
      <c r="B3486" s="103" t="s">
        <v>261</v>
      </c>
      <c r="C3486" s="103" t="s">
        <v>281</v>
      </c>
      <c r="D3486" s="91" t="s">
        <v>281</v>
      </c>
      <c r="E3486" s="103" t="s">
        <v>6582</v>
      </c>
      <c r="F3486" s="91" t="s">
        <v>114</v>
      </c>
      <c r="G3486" s="91" t="s">
        <v>85</v>
      </c>
      <c r="H3486" s="93" t="s">
        <v>92</v>
      </c>
      <c r="I3486" s="92" t="s">
        <v>7246</v>
      </c>
      <c r="J3486" s="106">
        <v>9393988555</v>
      </c>
      <c r="K3486" s="67"/>
      <c r="L3486" s="67"/>
      <c r="M3486" s="67"/>
      <c r="N3486" s="67"/>
      <c r="O3486" s="67"/>
    </row>
    <row r="3487" spans="1:15" ht="16.5">
      <c r="A3487" s="103" t="s">
        <v>10</v>
      </c>
      <c r="B3487" s="103" t="s">
        <v>10</v>
      </c>
      <c r="C3487" s="103" t="s">
        <v>501</v>
      </c>
      <c r="D3487" s="91" t="s">
        <v>501</v>
      </c>
      <c r="E3487" s="103" t="s">
        <v>7247</v>
      </c>
      <c r="F3487" s="91" t="s">
        <v>139</v>
      </c>
      <c r="G3487" s="91" t="s">
        <v>594</v>
      </c>
      <c r="H3487" s="93" t="s">
        <v>92</v>
      </c>
      <c r="I3487" s="92" t="s">
        <v>3115</v>
      </c>
      <c r="J3487" s="106">
        <v>9866068979</v>
      </c>
      <c r="K3487" s="67"/>
      <c r="L3487" s="67"/>
      <c r="M3487" s="67"/>
      <c r="N3487" s="67"/>
      <c r="O3487" s="67"/>
    </row>
    <row r="3488" spans="1:15" ht="16.5">
      <c r="A3488" s="103" t="s">
        <v>10</v>
      </c>
      <c r="B3488" s="103" t="s">
        <v>10</v>
      </c>
      <c r="C3488" s="103" t="s">
        <v>501</v>
      </c>
      <c r="D3488" s="91" t="s">
        <v>501</v>
      </c>
      <c r="E3488" s="103" t="s">
        <v>7248</v>
      </c>
      <c r="F3488" s="91" t="s">
        <v>114</v>
      </c>
      <c r="G3488" s="91" t="s">
        <v>85</v>
      </c>
      <c r="H3488" s="93" t="s">
        <v>92</v>
      </c>
      <c r="I3488" s="92" t="s">
        <v>3185</v>
      </c>
      <c r="J3488" s="106">
        <v>7386784444</v>
      </c>
      <c r="K3488" s="67"/>
      <c r="L3488" s="67"/>
      <c r="M3488" s="67"/>
      <c r="N3488" s="67"/>
      <c r="O3488" s="67"/>
    </row>
    <row r="3489" spans="1:15" ht="30.4">
      <c r="A3489" s="103" t="s">
        <v>8</v>
      </c>
      <c r="B3489" s="103" t="s">
        <v>8</v>
      </c>
      <c r="C3489" s="103" t="s">
        <v>559</v>
      </c>
      <c r="D3489" s="91" t="s">
        <v>559</v>
      </c>
      <c r="E3489" s="103" t="s">
        <v>7249</v>
      </c>
      <c r="F3489" s="91" t="s">
        <v>545</v>
      </c>
      <c r="G3489" s="91" t="s">
        <v>86</v>
      </c>
      <c r="H3489" s="93" t="s">
        <v>92</v>
      </c>
      <c r="I3489" s="92" t="s">
        <v>3863</v>
      </c>
      <c r="J3489" s="106">
        <v>8500297390</v>
      </c>
      <c r="K3489" s="67"/>
      <c r="L3489" s="67"/>
      <c r="M3489" s="67"/>
      <c r="N3489" s="67"/>
      <c r="O3489" s="67"/>
    </row>
    <row r="3490" spans="1:15" ht="30.4">
      <c r="A3490" s="103" t="s">
        <v>8</v>
      </c>
      <c r="B3490" s="103" t="s">
        <v>8</v>
      </c>
      <c r="C3490" s="103" t="s">
        <v>559</v>
      </c>
      <c r="D3490" s="91" t="s">
        <v>559</v>
      </c>
      <c r="E3490" s="103" t="s">
        <v>7250</v>
      </c>
      <c r="F3490" s="91" t="s">
        <v>545</v>
      </c>
      <c r="G3490" s="91" t="s">
        <v>86</v>
      </c>
      <c r="H3490" s="93" t="s">
        <v>92</v>
      </c>
      <c r="I3490" s="92" t="s">
        <v>3194</v>
      </c>
      <c r="J3490" s="106">
        <v>9948195388</v>
      </c>
      <c r="K3490" s="67"/>
      <c r="L3490" s="67"/>
      <c r="M3490" s="67"/>
      <c r="N3490" s="67"/>
      <c r="O3490" s="67"/>
    </row>
    <row r="3491" spans="1:15" ht="30.4">
      <c r="A3491" s="103" t="s">
        <v>8</v>
      </c>
      <c r="B3491" s="103" t="s">
        <v>8</v>
      </c>
      <c r="C3491" s="103" t="s">
        <v>559</v>
      </c>
      <c r="D3491" s="91" t="s">
        <v>559</v>
      </c>
      <c r="E3491" s="103" t="s">
        <v>7251</v>
      </c>
      <c r="F3491" s="91" t="s">
        <v>545</v>
      </c>
      <c r="G3491" s="91" t="s">
        <v>86</v>
      </c>
      <c r="H3491" s="93" t="s">
        <v>92</v>
      </c>
      <c r="I3491" s="92" t="s">
        <v>3863</v>
      </c>
      <c r="J3491" s="106">
        <v>8332821276</v>
      </c>
      <c r="K3491" s="67"/>
      <c r="L3491" s="67"/>
      <c r="M3491" s="67"/>
      <c r="N3491" s="67"/>
      <c r="O3491" s="67"/>
    </row>
    <row r="3492" spans="1:15" ht="30.4">
      <c r="A3492" s="103" t="s">
        <v>8</v>
      </c>
      <c r="B3492" s="103" t="s">
        <v>8</v>
      </c>
      <c r="C3492" s="103" t="s">
        <v>559</v>
      </c>
      <c r="D3492" s="91" t="s">
        <v>559</v>
      </c>
      <c r="E3492" s="103" t="s">
        <v>7252</v>
      </c>
      <c r="F3492" s="91" t="s">
        <v>545</v>
      </c>
      <c r="G3492" s="91" t="s">
        <v>86</v>
      </c>
      <c r="H3492" s="93" t="s">
        <v>92</v>
      </c>
      <c r="I3492" s="92" t="s">
        <v>3508</v>
      </c>
      <c r="J3492" s="106">
        <v>7569238799</v>
      </c>
      <c r="K3492" s="67"/>
      <c r="L3492" s="67"/>
      <c r="M3492" s="67"/>
      <c r="N3492" s="67"/>
      <c r="O3492" s="67"/>
    </row>
    <row r="3493" spans="1:15" ht="16.5">
      <c r="A3493" s="103" t="s">
        <v>8</v>
      </c>
      <c r="B3493" s="103" t="s">
        <v>8</v>
      </c>
      <c r="C3493" s="103" t="s">
        <v>559</v>
      </c>
      <c r="D3493" s="91" t="s">
        <v>559</v>
      </c>
      <c r="E3493" s="103" t="s">
        <v>7253</v>
      </c>
      <c r="F3493" s="91" t="s">
        <v>545</v>
      </c>
      <c r="G3493" s="91" t="s">
        <v>86</v>
      </c>
      <c r="H3493" s="93" t="s">
        <v>92</v>
      </c>
      <c r="I3493" s="92" t="s">
        <v>7230</v>
      </c>
      <c r="J3493" s="106">
        <v>8367274339</v>
      </c>
      <c r="K3493" s="67"/>
      <c r="L3493" s="67"/>
      <c r="M3493" s="67"/>
      <c r="N3493" s="67"/>
      <c r="O3493" s="67"/>
    </row>
    <row r="3494" spans="1:15" ht="30.4">
      <c r="A3494" s="103" t="s">
        <v>8</v>
      </c>
      <c r="B3494" s="103" t="s">
        <v>8</v>
      </c>
      <c r="C3494" s="103" t="s">
        <v>559</v>
      </c>
      <c r="D3494" s="91" t="s">
        <v>559</v>
      </c>
      <c r="E3494" s="103" t="s">
        <v>7254</v>
      </c>
      <c r="F3494" s="91" t="s">
        <v>545</v>
      </c>
      <c r="G3494" s="91" t="s">
        <v>86</v>
      </c>
      <c r="H3494" s="93" t="s">
        <v>92</v>
      </c>
      <c r="I3494" s="92" t="s">
        <v>7255</v>
      </c>
      <c r="J3494" s="106">
        <v>8367274339</v>
      </c>
      <c r="K3494" s="67"/>
      <c r="L3494" s="67"/>
      <c r="M3494" s="67"/>
      <c r="N3494" s="67"/>
      <c r="O3494" s="67"/>
    </row>
    <row r="3495" spans="1:15" ht="16.5">
      <c r="A3495" s="103" t="s">
        <v>8</v>
      </c>
      <c r="B3495" s="103" t="s">
        <v>8</v>
      </c>
      <c r="C3495" s="103" t="s">
        <v>559</v>
      </c>
      <c r="D3495" s="91" t="s">
        <v>559</v>
      </c>
      <c r="E3495" s="103" t="s">
        <v>7256</v>
      </c>
      <c r="F3495" s="91" t="s">
        <v>545</v>
      </c>
      <c r="G3495" s="91" t="s">
        <v>86</v>
      </c>
      <c r="H3495" s="93" t="s">
        <v>92</v>
      </c>
      <c r="I3495" s="92" t="s">
        <v>3185</v>
      </c>
      <c r="J3495" s="106">
        <v>7799861120</v>
      </c>
      <c r="K3495" s="67"/>
      <c r="L3495" s="67"/>
      <c r="M3495" s="67"/>
      <c r="N3495" s="67"/>
      <c r="O3495" s="67"/>
    </row>
    <row r="3496" spans="1:15" ht="30.4">
      <c r="A3496" s="103" t="s">
        <v>8</v>
      </c>
      <c r="B3496" s="103" t="s">
        <v>8</v>
      </c>
      <c r="C3496" s="103" t="s">
        <v>559</v>
      </c>
      <c r="D3496" s="91" t="s">
        <v>559</v>
      </c>
      <c r="E3496" s="103" t="s">
        <v>7257</v>
      </c>
      <c r="F3496" s="91" t="s">
        <v>545</v>
      </c>
      <c r="G3496" s="91" t="s">
        <v>86</v>
      </c>
      <c r="H3496" s="93" t="s">
        <v>4</v>
      </c>
      <c r="I3496" s="92" t="s">
        <v>3863</v>
      </c>
      <c r="J3496" s="106">
        <v>9494046322</v>
      </c>
      <c r="K3496" s="67"/>
      <c r="L3496" s="67"/>
      <c r="M3496" s="67"/>
      <c r="N3496" s="67"/>
      <c r="O3496" s="67"/>
    </row>
    <row r="3497" spans="1:15" ht="30.4">
      <c r="A3497" s="103" t="s">
        <v>8</v>
      </c>
      <c r="B3497" s="103" t="s">
        <v>8</v>
      </c>
      <c r="C3497" s="103" t="s">
        <v>559</v>
      </c>
      <c r="D3497" s="91" t="s">
        <v>559</v>
      </c>
      <c r="E3497" s="103" t="s">
        <v>7258</v>
      </c>
      <c r="F3497" s="91" t="s">
        <v>545</v>
      </c>
      <c r="G3497" s="91" t="s">
        <v>86</v>
      </c>
      <c r="H3497" s="93" t="s">
        <v>4</v>
      </c>
      <c r="I3497" s="92" t="s">
        <v>3194</v>
      </c>
      <c r="J3497" s="106">
        <v>9705649097</v>
      </c>
      <c r="K3497" s="67"/>
      <c r="L3497" s="67"/>
      <c r="M3497" s="67"/>
      <c r="N3497" s="67"/>
      <c r="O3497" s="67"/>
    </row>
    <row r="3498" spans="1:15" ht="30.4">
      <c r="A3498" s="103" t="s">
        <v>8</v>
      </c>
      <c r="B3498" s="103" t="s">
        <v>8</v>
      </c>
      <c r="C3498" s="103" t="s">
        <v>559</v>
      </c>
      <c r="D3498" s="91" t="s">
        <v>559</v>
      </c>
      <c r="E3498" s="103" t="s">
        <v>7259</v>
      </c>
      <c r="F3498" s="91" t="s">
        <v>1669</v>
      </c>
      <c r="G3498" s="91" t="s">
        <v>615</v>
      </c>
      <c r="H3498" s="93" t="s">
        <v>4</v>
      </c>
      <c r="I3498" s="92" t="s">
        <v>3194</v>
      </c>
      <c r="J3498" s="106">
        <v>9573523635</v>
      </c>
      <c r="K3498" s="67"/>
      <c r="L3498" s="67"/>
      <c r="M3498" s="67"/>
      <c r="N3498" s="67"/>
      <c r="O3498" s="67"/>
    </row>
    <row r="3499" spans="1:15" ht="30.4">
      <c r="A3499" s="103" t="s">
        <v>8</v>
      </c>
      <c r="B3499" s="103" t="s">
        <v>8</v>
      </c>
      <c r="C3499" s="103" t="s">
        <v>559</v>
      </c>
      <c r="D3499" s="91" t="s">
        <v>559</v>
      </c>
      <c r="E3499" s="103" t="s">
        <v>7260</v>
      </c>
      <c r="F3499" s="91" t="s">
        <v>545</v>
      </c>
      <c r="G3499" s="91" t="s">
        <v>86</v>
      </c>
      <c r="H3499" s="93" t="s">
        <v>4</v>
      </c>
      <c r="I3499" s="92" t="s">
        <v>3194</v>
      </c>
      <c r="J3499" s="106">
        <v>7569366605</v>
      </c>
      <c r="K3499" s="67"/>
      <c r="L3499" s="67"/>
      <c r="M3499" s="67"/>
      <c r="N3499" s="67"/>
      <c r="O3499" s="67"/>
    </row>
    <row r="3500" spans="1:15" ht="30.4">
      <c r="A3500" s="103" t="s">
        <v>8</v>
      </c>
      <c r="B3500" s="103" t="s">
        <v>8</v>
      </c>
      <c r="C3500" s="103" t="s">
        <v>559</v>
      </c>
      <c r="D3500" s="91" t="s">
        <v>559</v>
      </c>
      <c r="E3500" s="103" t="s">
        <v>7261</v>
      </c>
      <c r="F3500" s="91" t="s">
        <v>545</v>
      </c>
      <c r="G3500" s="91" t="s">
        <v>86</v>
      </c>
      <c r="H3500" s="93" t="s">
        <v>4</v>
      </c>
      <c r="I3500" s="92" t="s">
        <v>3194</v>
      </c>
      <c r="J3500" s="106">
        <v>9666063167</v>
      </c>
      <c r="K3500" s="67"/>
      <c r="L3500" s="67"/>
      <c r="M3500" s="67"/>
      <c r="N3500" s="67"/>
      <c r="O3500" s="67"/>
    </row>
    <row r="3501" spans="1:15" ht="30.4">
      <c r="A3501" s="103" t="s">
        <v>8</v>
      </c>
      <c r="B3501" s="103" t="s">
        <v>8</v>
      </c>
      <c r="C3501" s="103" t="s">
        <v>559</v>
      </c>
      <c r="D3501" s="91" t="s">
        <v>559</v>
      </c>
      <c r="E3501" s="103" t="s">
        <v>7262</v>
      </c>
      <c r="F3501" s="91" t="s">
        <v>545</v>
      </c>
      <c r="G3501" s="91" t="s">
        <v>86</v>
      </c>
      <c r="H3501" s="93" t="s">
        <v>4</v>
      </c>
      <c r="I3501" s="92" t="s">
        <v>3495</v>
      </c>
      <c r="J3501" s="106">
        <v>8522889073</v>
      </c>
      <c r="K3501" s="67"/>
      <c r="L3501" s="67"/>
      <c r="M3501" s="67"/>
      <c r="N3501" s="67"/>
      <c r="O3501" s="67"/>
    </row>
    <row r="3502" spans="1:15" ht="30.4">
      <c r="A3502" s="103" t="s">
        <v>8</v>
      </c>
      <c r="B3502" s="103" t="s">
        <v>8</v>
      </c>
      <c r="C3502" s="103" t="s">
        <v>559</v>
      </c>
      <c r="D3502" s="91" t="s">
        <v>559</v>
      </c>
      <c r="E3502" s="103" t="s">
        <v>7263</v>
      </c>
      <c r="F3502" s="91" t="s">
        <v>545</v>
      </c>
      <c r="G3502" s="91" t="s">
        <v>86</v>
      </c>
      <c r="H3502" s="93" t="s">
        <v>4</v>
      </c>
      <c r="I3502" s="92" t="s">
        <v>3463</v>
      </c>
      <c r="J3502" s="106">
        <v>9573224514</v>
      </c>
      <c r="K3502" s="67"/>
      <c r="L3502" s="67"/>
      <c r="M3502" s="67"/>
      <c r="N3502" s="67"/>
      <c r="O3502" s="67"/>
    </row>
    <row r="3503" spans="1:15" ht="30.4">
      <c r="A3503" s="103" t="s">
        <v>8</v>
      </c>
      <c r="B3503" s="103" t="s">
        <v>8</v>
      </c>
      <c r="C3503" s="103" t="s">
        <v>559</v>
      </c>
      <c r="D3503" s="91" t="s">
        <v>559</v>
      </c>
      <c r="E3503" s="103" t="s">
        <v>7264</v>
      </c>
      <c r="F3503" s="91" t="s">
        <v>545</v>
      </c>
      <c r="G3503" s="91" t="s">
        <v>86</v>
      </c>
      <c r="H3503" s="93" t="s">
        <v>4</v>
      </c>
      <c r="I3503" s="92" t="s">
        <v>7265</v>
      </c>
      <c r="J3503" s="106">
        <v>9177856318</v>
      </c>
      <c r="K3503" s="67"/>
      <c r="L3503" s="67"/>
      <c r="M3503" s="67"/>
      <c r="N3503" s="67"/>
      <c r="O3503" s="67"/>
    </row>
    <row r="3504" spans="1:15" ht="16.5">
      <c r="A3504" s="103" t="s">
        <v>8</v>
      </c>
      <c r="B3504" s="103" t="s">
        <v>587</v>
      </c>
      <c r="C3504" s="103" t="s">
        <v>606</v>
      </c>
      <c r="D3504" s="91" t="s">
        <v>606</v>
      </c>
      <c r="E3504" s="103" t="s">
        <v>7266</v>
      </c>
      <c r="F3504" s="91" t="s">
        <v>165</v>
      </c>
      <c r="G3504" s="91" t="s">
        <v>615</v>
      </c>
      <c r="H3504" s="93" t="s">
        <v>4</v>
      </c>
      <c r="I3504" s="92" t="s">
        <v>3185</v>
      </c>
      <c r="J3504" s="106">
        <v>6300973727</v>
      </c>
      <c r="K3504" s="67"/>
      <c r="L3504" s="67"/>
      <c r="M3504" s="67"/>
      <c r="N3504" s="67"/>
      <c r="O3504" s="67"/>
    </row>
    <row r="3505" spans="1:15" ht="30.4">
      <c r="A3505" s="103" t="s">
        <v>8</v>
      </c>
      <c r="B3505" s="103" t="s">
        <v>587</v>
      </c>
      <c r="C3505" s="103" t="s">
        <v>606</v>
      </c>
      <c r="D3505" s="91" t="s">
        <v>606</v>
      </c>
      <c r="E3505" s="103" t="s">
        <v>7267</v>
      </c>
      <c r="F3505" s="91" t="s">
        <v>131</v>
      </c>
      <c r="G3505" s="91" t="s">
        <v>594</v>
      </c>
      <c r="H3505" s="93" t="s">
        <v>4</v>
      </c>
      <c r="I3505" s="92" t="s">
        <v>3495</v>
      </c>
      <c r="J3505" s="106">
        <v>9866439099</v>
      </c>
      <c r="K3505" s="67"/>
      <c r="L3505" s="67"/>
      <c r="M3505" s="67"/>
      <c r="N3505" s="67"/>
      <c r="O3505" s="67"/>
    </row>
    <row r="3506" spans="1:15" ht="30.4">
      <c r="A3506" s="103" t="s">
        <v>8</v>
      </c>
      <c r="B3506" s="103" t="s">
        <v>587</v>
      </c>
      <c r="C3506" s="103" t="s">
        <v>606</v>
      </c>
      <c r="D3506" s="91" t="s">
        <v>606</v>
      </c>
      <c r="E3506" s="103" t="s">
        <v>7268</v>
      </c>
      <c r="F3506" s="91" t="s">
        <v>165</v>
      </c>
      <c r="G3506" s="91" t="s">
        <v>615</v>
      </c>
      <c r="H3506" s="93" t="s">
        <v>4</v>
      </c>
      <c r="I3506" s="92" t="s">
        <v>7255</v>
      </c>
      <c r="J3506" s="106">
        <v>9603964118</v>
      </c>
      <c r="K3506" s="67"/>
      <c r="L3506" s="67"/>
      <c r="M3506" s="67"/>
      <c r="N3506" s="67"/>
      <c r="O3506" s="67"/>
    </row>
    <row r="3507" spans="1:15" ht="16.5">
      <c r="A3507" s="103" t="s">
        <v>8</v>
      </c>
      <c r="B3507" s="103" t="s">
        <v>587</v>
      </c>
      <c r="C3507" s="103" t="s">
        <v>606</v>
      </c>
      <c r="D3507" s="91" t="s">
        <v>606</v>
      </c>
      <c r="E3507" s="103" t="s">
        <v>6033</v>
      </c>
      <c r="F3507" s="91" t="s">
        <v>139</v>
      </c>
      <c r="G3507" s="91" t="s">
        <v>594</v>
      </c>
      <c r="H3507" s="93" t="s">
        <v>5</v>
      </c>
      <c r="I3507" s="92" t="s">
        <v>3185</v>
      </c>
      <c r="J3507" s="106">
        <v>8985038699</v>
      </c>
      <c r="K3507" s="67"/>
      <c r="L3507" s="67"/>
      <c r="M3507" s="67"/>
      <c r="N3507" s="67"/>
      <c r="O3507" s="67"/>
    </row>
    <row r="3508" spans="1:15" ht="82.5">
      <c r="A3508" s="103" t="s">
        <v>8</v>
      </c>
      <c r="B3508" s="103" t="s">
        <v>587</v>
      </c>
      <c r="C3508" s="103" t="s">
        <v>606</v>
      </c>
      <c r="D3508" s="91" t="s">
        <v>606</v>
      </c>
      <c r="E3508" s="130" t="s">
        <v>7269</v>
      </c>
      <c r="F3508" s="91" t="s">
        <v>139</v>
      </c>
      <c r="G3508" s="91" t="s">
        <v>594</v>
      </c>
      <c r="H3508" s="93" t="s">
        <v>5</v>
      </c>
      <c r="I3508" s="92" t="s">
        <v>3115</v>
      </c>
      <c r="J3508" s="106" t="s">
        <v>7270</v>
      </c>
      <c r="K3508" s="67"/>
      <c r="L3508" s="67"/>
      <c r="M3508" s="67"/>
      <c r="N3508" s="67"/>
      <c r="O3508" s="67"/>
    </row>
    <row r="3509" spans="1:15" ht="45.4">
      <c r="A3509" s="103" t="s">
        <v>15</v>
      </c>
      <c r="B3509" s="103" t="s">
        <v>389</v>
      </c>
      <c r="C3509" s="103" t="s">
        <v>404</v>
      </c>
      <c r="D3509" s="91" t="s">
        <v>404</v>
      </c>
      <c r="E3509" s="103" t="s">
        <v>7271</v>
      </c>
      <c r="F3509" s="91" t="s">
        <v>139</v>
      </c>
      <c r="G3509" s="91" t="s">
        <v>594</v>
      </c>
      <c r="H3509" s="93" t="s">
        <v>4</v>
      </c>
      <c r="I3509" s="92" t="s">
        <v>7272</v>
      </c>
      <c r="J3509" s="106">
        <v>9959850145</v>
      </c>
      <c r="K3509" s="67"/>
      <c r="L3509" s="67"/>
      <c r="M3509" s="67"/>
      <c r="N3509" s="67"/>
      <c r="O3509" s="67"/>
    </row>
    <row r="3510" spans="1:15" ht="45.4">
      <c r="A3510" s="103" t="s">
        <v>15</v>
      </c>
      <c r="B3510" s="103" t="s">
        <v>389</v>
      </c>
      <c r="C3510" s="103" t="s">
        <v>404</v>
      </c>
      <c r="D3510" s="91" t="s">
        <v>404</v>
      </c>
      <c r="E3510" s="103" t="s">
        <v>7273</v>
      </c>
      <c r="F3510" s="91" t="s">
        <v>1669</v>
      </c>
      <c r="G3510" s="91" t="s">
        <v>615</v>
      </c>
      <c r="H3510" s="93" t="s">
        <v>4</v>
      </c>
      <c r="I3510" s="92" t="s">
        <v>7274</v>
      </c>
      <c r="J3510" s="95"/>
      <c r="K3510" s="67"/>
      <c r="L3510" s="67"/>
      <c r="M3510" s="67"/>
      <c r="N3510" s="67"/>
      <c r="O3510" s="67"/>
    </row>
    <row r="3511" spans="1:15" ht="30.4">
      <c r="A3511" s="103" t="s">
        <v>15</v>
      </c>
      <c r="B3511" s="103" t="s">
        <v>389</v>
      </c>
      <c r="C3511" s="103" t="s">
        <v>404</v>
      </c>
      <c r="D3511" s="91" t="s">
        <v>404</v>
      </c>
      <c r="E3511" s="103" t="s">
        <v>7275</v>
      </c>
      <c r="F3511" s="91" t="s">
        <v>114</v>
      </c>
      <c r="G3511" s="91" t="s">
        <v>85</v>
      </c>
      <c r="H3511" s="93" t="s">
        <v>5</v>
      </c>
      <c r="I3511" s="92" t="s">
        <v>3495</v>
      </c>
      <c r="J3511" s="95"/>
      <c r="K3511" s="67"/>
      <c r="L3511" s="67"/>
      <c r="M3511" s="67"/>
      <c r="N3511" s="67"/>
      <c r="O3511" s="67"/>
    </row>
    <row r="3512" spans="1:15" ht="30.4">
      <c r="A3512" s="103" t="s">
        <v>15</v>
      </c>
      <c r="B3512" s="103" t="s">
        <v>389</v>
      </c>
      <c r="C3512" s="103" t="s">
        <v>404</v>
      </c>
      <c r="D3512" s="91" t="s">
        <v>404</v>
      </c>
      <c r="E3512" s="103" t="s">
        <v>7276</v>
      </c>
      <c r="F3512" s="91" t="s">
        <v>139</v>
      </c>
      <c r="G3512" s="91" t="s">
        <v>594</v>
      </c>
      <c r="H3512" s="93" t="s">
        <v>5</v>
      </c>
      <c r="I3512" s="92" t="s">
        <v>3495</v>
      </c>
      <c r="J3512" s="95"/>
      <c r="K3512" s="67"/>
      <c r="L3512" s="67"/>
      <c r="M3512" s="67"/>
      <c r="N3512" s="67"/>
      <c r="O3512" s="67"/>
    </row>
    <row r="3513" spans="1:15" ht="30.4">
      <c r="A3513" s="103" t="s">
        <v>8</v>
      </c>
      <c r="B3513" s="103" t="s">
        <v>587</v>
      </c>
      <c r="C3513" s="103" t="s">
        <v>587</v>
      </c>
      <c r="D3513" s="91" t="s">
        <v>587</v>
      </c>
      <c r="E3513" s="103" t="s">
        <v>7277</v>
      </c>
      <c r="F3513" s="91" t="s">
        <v>586</v>
      </c>
      <c r="G3513" s="91" t="s">
        <v>615</v>
      </c>
      <c r="H3513" s="93" t="s">
        <v>5</v>
      </c>
      <c r="I3513" s="92" t="s">
        <v>3495</v>
      </c>
      <c r="J3513" s="106">
        <v>9347566662</v>
      </c>
      <c r="K3513" s="67"/>
      <c r="L3513" s="67"/>
      <c r="M3513" s="67"/>
      <c r="N3513" s="67"/>
      <c r="O3513" s="67"/>
    </row>
    <row r="3514" spans="1:15" ht="45.4">
      <c r="A3514" s="103" t="s">
        <v>11</v>
      </c>
      <c r="B3514" s="103" t="s">
        <v>297</v>
      </c>
      <c r="C3514" s="103" t="s">
        <v>305</v>
      </c>
      <c r="D3514" s="91" t="s">
        <v>305</v>
      </c>
      <c r="E3514" s="103" t="s">
        <v>7278</v>
      </c>
      <c r="F3514" s="91" t="s">
        <v>139</v>
      </c>
      <c r="G3514" s="91" t="s">
        <v>594</v>
      </c>
      <c r="H3514" s="93" t="s">
        <v>5</v>
      </c>
      <c r="I3514" s="92" t="s">
        <v>7279</v>
      </c>
      <c r="J3514" s="106">
        <v>9000074534</v>
      </c>
      <c r="K3514" s="67"/>
      <c r="L3514" s="67"/>
      <c r="M3514" s="67"/>
      <c r="N3514" s="67"/>
      <c r="O3514" s="67"/>
    </row>
    <row r="3515" spans="1:15" ht="16.5">
      <c r="A3515" s="103" t="s">
        <v>11</v>
      </c>
      <c r="B3515" s="103" t="s">
        <v>297</v>
      </c>
      <c r="C3515" s="103" t="s">
        <v>305</v>
      </c>
      <c r="D3515" s="91" t="s">
        <v>305</v>
      </c>
      <c r="E3515" s="103" t="s">
        <v>7280</v>
      </c>
      <c r="F3515" s="91" t="s">
        <v>139</v>
      </c>
      <c r="G3515" s="91" t="s">
        <v>594</v>
      </c>
      <c r="H3515" s="93" t="s">
        <v>5</v>
      </c>
      <c r="I3515" s="92" t="s">
        <v>3115</v>
      </c>
      <c r="J3515" s="106">
        <v>9640273737</v>
      </c>
      <c r="K3515" s="67"/>
      <c r="L3515" s="67"/>
      <c r="M3515" s="67"/>
      <c r="N3515" s="67"/>
      <c r="O3515" s="67"/>
    </row>
    <row r="3516" spans="1:15" ht="45.4">
      <c r="A3516" s="103" t="s">
        <v>11</v>
      </c>
      <c r="B3516" s="103" t="s">
        <v>297</v>
      </c>
      <c r="C3516" s="103" t="s">
        <v>305</v>
      </c>
      <c r="D3516" s="91" t="s">
        <v>305</v>
      </c>
      <c r="E3516" s="103" t="s">
        <v>7281</v>
      </c>
      <c r="F3516" s="91" t="s">
        <v>165</v>
      </c>
      <c r="G3516" s="91" t="s">
        <v>615</v>
      </c>
      <c r="H3516" s="93" t="s">
        <v>5</v>
      </c>
      <c r="I3516" s="92" t="s">
        <v>7282</v>
      </c>
      <c r="J3516" s="106">
        <v>9121721075</v>
      </c>
      <c r="K3516" s="67"/>
      <c r="L3516" s="67"/>
      <c r="M3516" s="67"/>
      <c r="N3516" s="67"/>
      <c r="O3516" s="67"/>
    </row>
    <row r="3517" spans="1:15" ht="45.4">
      <c r="A3517" s="103" t="s">
        <v>11</v>
      </c>
      <c r="B3517" s="103" t="s">
        <v>297</v>
      </c>
      <c r="C3517" s="103" t="s">
        <v>305</v>
      </c>
      <c r="D3517" s="91" t="s">
        <v>305</v>
      </c>
      <c r="E3517" s="103" t="s">
        <v>7283</v>
      </c>
      <c r="F3517" s="91" t="s">
        <v>1659</v>
      </c>
      <c r="G3517" s="91" t="s">
        <v>615</v>
      </c>
      <c r="H3517" s="93" t="s">
        <v>5</v>
      </c>
      <c r="I3517" s="92" t="s">
        <v>7284</v>
      </c>
      <c r="J3517" s="106">
        <v>7702089080</v>
      </c>
      <c r="K3517" s="67"/>
      <c r="L3517" s="67"/>
      <c r="M3517" s="67"/>
      <c r="N3517" s="67"/>
      <c r="O3517" s="67"/>
    </row>
    <row r="3518" spans="1:15" ht="30.4">
      <c r="A3518" s="103" t="s">
        <v>8</v>
      </c>
      <c r="B3518" s="103" t="s">
        <v>587</v>
      </c>
      <c r="C3518" s="103" t="s">
        <v>590</v>
      </c>
      <c r="D3518" s="91" t="s">
        <v>590</v>
      </c>
      <c r="E3518" s="103" t="s">
        <v>7285</v>
      </c>
      <c r="F3518" s="91" t="s">
        <v>586</v>
      </c>
      <c r="G3518" s="91" t="s">
        <v>615</v>
      </c>
      <c r="H3518" s="93" t="s">
        <v>4</v>
      </c>
      <c r="I3518" s="92" t="s">
        <v>3120</v>
      </c>
      <c r="J3518" s="106">
        <v>9492157329</v>
      </c>
      <c r="K3518" s="67"/>
      <c r="L3518" s="67"/>
      <c r="M3518" s="67"/>
      <c r="N3518" s="67"/>
      <c r="O3518" s="67"/>
    </row>
    <row r="3519" spans="1:15" ht="66">
      <c r="A3519" s="103" t="s">
        <v>8</v>
      </c>
      <c r="B3519" s="103" t="s">
        <v>587</v>
      </c>
      <c r="C3519" s="103" t="s">
        <v>590</v>
      </c>
      <c r="D3519" s="91" t="s">
        <v>590</v>
      </c>
      <c r="E3519" s="103" t="s">
        <v>589</v>
      </c>
      <c r="F3519" s="91" t="s">
        <v>114</v>
      </c>
      <c r="G3519" s="91" t="s">
        <v>85</v>
      </c>
      <c r="H3519" s="93" t="s">
        <v>5</v>
      </c>
      <c r="I3519" s="92" t="s">
        <v>3185</v>
      </c>
      <c r="J3519" s="106" t="s">
        <v>7286</v>
      </c>
      <c r="K3519" s="67"/>
      <c r="L3519" s="67"/>
      <c r="M3519" s="67"/>
      <c r="N3519" s="67"/>
      <c r="O3519" s="67"/>
    </row>
    <row r="3520" spans="1:15" ht="30.4">
      <c r="A3520" s="103" t="s">
        <v>8</v>
      </c>
      <c r="B3520" s="103" t="s">
        <v>587</v>
      </c>
      <c r="C3520" s="103" t="s">
        <v>590</v>
      </c>
      <c r="D3520" s="91" t="s">
        <v>590</v>
      </c>
      <c r="E3520" s="103" t="s">
        <v>7287</v>
      </c>
      <c r="F3520" s="91" t="s">
        <v>586</v>
      </c>
      <c r="G3520" s="91" t="s">
        <v>615</v>
      </c>
      <c r="H3520" s="93" t="s">
        <v>5</v>
      </c>
      <c r="I3520" s="92" t="s">
        <v>3205</v>
      </c>
      <c r="J3520" s="106">
        <v>7396818924</v>
      </c>
      <c r="K3520" s="67"/>
      <c r="L3520" s="67"/>
      <c r="M3520" s="67"/>
      <c r="N3520" s="67"/>
      <c r="O3520" s="67"/>
    </row>
    <row r="3521" spans="1:15" ht="30.4">
      <c r="A3521" s="103" t="s">
        <v>8</v>
      </c>
      <c r="B3521" s="103" t="s">
        <v>8</v>
      </c>
      <c r="C3521" s="103" t="s">
        <v>581</v>
      </c>
      <c r="D3521" s="91" t="s">
        <v>581</v>
      </c>
      <c r="E3521" s="103" t="s">
        <v>7288</v>
      </c>
      <c r="F3521" s="91" t="s">
        <v>139</v>
      </c>
      <c r="G3521" s="91" t="s">
        <v>594</v>
      </c>
      <c r="H3521" s="93" t="s">
        <v>6</v>
      </c>
      <c r="I3521" s="92" t="s">
        <v>7289</v>
      </c>
      <c r="J3521" s="106">
        <v>984990221</v>
      </c>
      <c r="K3521" s="67"/>
      <c r="L3521" s="67"/>
      <c r="M3521" s="67"/>
      <c r="N3521" s="67"/>
      <c r="O3521" s="67"/>
    </row>
    <row r="3522" spans="1:15" ht="30.4">
      <c r="A3522" s="103" t="s">
        <v>8</v>
      </c>
      <c r="B3522" s="103" t="s">
        <v>8</v>
      </c>
      <c r="C3522" s="103" t="s">
        <v>581</v>
      </c>
      <c r="D3522" s="91" t="s">
        <v>581</v>
      </c>
      <c r="E3522" s="103" t="s">
        <v>7290</v>
      </c>
      <c r="F3522" s="91" t="s">
        <v>139</v>
      </c>
      <c r="G3522" s="91" t="s">
        <v>594</v>
      </c>
      <c r="H3522" s="93" t="s">
        <v>92</v>
      </c>
      <c r="I3522" s="92" t="s">
        <v>4174</v>
      </c>
      <c r="J3522" s="106">
        <v>9908862887</v>
      </c>
      <c r="K3522" s="67"/>
      <c r="L3522" s="67"/>
      <c r="M3522" s="67"/>
      <c r="N3522" s="67"/>
      <c r="O3522" s="67"/>
    </row>
    <row r="3523" spans="1:15" ht="16.5">
      <c r="A3523" s="103" t="s">
        <v>8</v>
      </c>
      <c r="B3523" s="103" t="s">
        <v>8</v>
      </c>
      <c r="C3523" s="103" t="s">
        <v>581</v>
      </c>
      <c r="D3523" s="91" t="s">
        <v>581</v>
      </c>
      <c r="E3523" s="103" t="s">
        <v>7291</v>
      </c>
      <c r="F3523" s="91" t="s">
        <v>205</v>
      </c>
      <c r="G3523" s="91" t="s">
        <v>615</v>
      </c>
      <c r="H3523" s="93" t="s">
        <v>92</v>
      </c>
      <c r="I3523" s="92" t="s">
        <v>3185</v>
      </c>
      <c r="J3523" s="106">
        <v>9618013840</v>
      </c>
      <c r="K3523" s="67"/>
      <c r="L3523" s="67"/>
      <c r="M3523" s="67"/>
      <c r="N3523" s="67"/>
      <c r="O3523" s="67"/>
    </row>
    <row r="3524" spans="1:15" ht="16.5">
      <c r="A3524" s="103" t="s">
        <v>8</v>
      </c>
      <c r="B3524" s="103" t="s">
        <v>8</v>
      </c>
      <c r="C3524" s="103" t="s">
        <v>581</v>
      </c>
      <c r="D3524" s="91" t="s">
        <v>581</v>
      </c>
      <c r="E3524" s="103" t="s">
        <v>7292</v>
      </c>
      <c r="F3524" s="91" t="s">
        <v>165</v>
      </c>
      <c r="G3524" s="91" t="s">
        <v>615</v>
      </c>
      <c r="H3524" s="93" t="s">
        <v>92</v>
      </c>
      <c r="I3524" s="92" t="s">
        <v>3185</v>
      </c>
      <c r="J3524" s="106">
        <v>9246643055</v>
      </c>
      <c r="K3524" s="67"/>
      <c r="L3524" s="67"/>
      <c r="M3524" s="67"/>
      <c r="N3524" s="67"/>
      <c r="O3524" s="67"/>
    </row>
    <row r="3525" spans="1:15" ht="30.4">
      <c r="A3525" s="103" t="s">
        <v>8</v>
      </c>
      <c r="B3525" s="103" t="s">
        <v>8</v>
      </c>
      <c r="C3525" s="103" t="s">
        <v>581</v>
      </c>
      <c r="D3525" s="91" t="s">
        <v>581</v>
      </c>
      <c r="E3525" s="103" t="s">
        <v>7293</v>
      </c>
      <c r="F3525" s="91" t="s">
        <v>139</v>
      </c>
      <c r="G3525" s="91" t="s">
        <v>594</v>
      </c>
      <c r="H3525" s="93" t="s">
        <v>4</v>
      </c>
      <c r="I3525" s="92" t="s">
        <v>6634</v>
      </c>
      <c r="J3525" s="106">
        <v>9949574999</v>
      </c>
      <c r="K3525" s="67"/>
      <c r="L3525" s="67"/>
      <c r="M3525" s="67"/>
      <c r="N3525" s="67"/>
      <c r="O3525" s="67"/>
    </row>
    <row r="3526" spans="1:15" ht="75.400000000000006">
      <c r="A3526" s="103" t="s">
        <v>15</v>
      </c>
      <c r="B3526" s="103" t="s">
        <v>15</v>
      </c>
      <c r="C3526" s="103" t="s">
        <v>360</v>
      </c>
      <c r="D3526" s="91" t="s">
        <v>360</v>
      </c>
      <c r="E3526" s="103" t="s">
        <v>7294</v>
      </c>
      <c r="F3526" s="91" t="s">
        <v>103</v>
      </c>
      <c r="G3526" s="91" t="s">
        <v>594</v>
      </c>
      <c r="H3526" s="93" t="s">
        <v>4</v>
      </c>
      <c r="I3526" s="92" t="s">
        <v>7295</v>
      </c>
      <c r="J3526" s="106">
        <v>9848105666</v>
      </c>
      <c r="K3526" s="67"/>
      <c r="L3526" s="67"/>
      <c r="M3526" s="67"/>
      <c r="N3526" s="67"/>
      <c r="O3526" s="67"/>
    </row>
    <row r="3527" spans="1:15" ht="30.4">
      <c r="A3527" s="103" t="s">
        <v>15</v>
      </c>
      <c r="B3527" s="103" t="s">
        <v>15</v>
      </c>
      <c r="C3527" s="103" t="s">
        <v>360</v>
      </c>
      <c r="D3527" s="91" t="s">
        <v>360</v>
      </c>
      <c r="E3527" s="103" t="s">
        <v>7296</v>
      </c>
      <c r="F3527" s="91" t="s">
        <v>103</v>
      </c>
      <c r="G3527" s="91" t="s">
        <v>594</v>
      </c>
      <c r="H3527" s="93" t="s">
        <v>4</v>
      </c>
      <c r="I3527" s="92" t="s">
        <v>3495</v>
      </c>
      <c r="J3527" s="106">
        <v>9959818181</v>
      </c>
      <c r="K3527" s="67"/>
      <c r="L3527" s="67"/>
      <c r="M3527" s="67"/>
      <c r="N3527" s="67"/>
      <c r="O3527" s="67"/>
    </row>
    <row r="3528" spans="1:15" ht="30.4">
      <c r="A3528" s="103" t="s">
        <v>15</v>
      </c>
      <c r="B3528" s="103" t="s">
        <v>15</v>
      </c>
      <c r="C3528" s="103" t="s">
        <v>360</v>
      </c>
      <c r="D3528" s="91" t="s">
        <v>360</v>
      </c>
      <c r="E3528" s="103" t="s">
        <v>7297</v>
      </c>
      <c r="F3528" s="91" t="s">
        <v>103</v>
      </c>
      <c r="G3528" s="91" t="s">
        <v>594</v>
      </c>
      <c r="H3528" s="93" t="s">
        <v>4</v>
      </c>
      <c r="I3528" s="92" t="s">
        <v>3495</v>
      </c>
      <c r="J3528" s="106">
        <v>8096433672</v>
      </c>
      <c r="K3528" s="67"/>
      <c r="L3528" s="67"/>
      <c r="M3528" s="67"/>
      <c r="N3528" s="67"/>
      <c r="O3528" s="67"/>
    </row>
    <row r="3529" spans="1:15" ht="30.4">
      <c r="A3529" s="103" t="s">
        <v>15</v>
      </c>
      <c r="B3529" s="103" t="s">
        <v>15</v>
      </c>
      <c r="C3529" s="103" t="s">
        <v>360</v>
      </c>
      <c r="D3529" s="91" t="s">
        <v>360</v>
      </c>
      <c r="E3529" s="103" t="s">
        <v>7298</v>
      </c>
      <c r="F3529" s="91" t="s">
        <v>1669</v>
      </c>
      <c r="G3529" s="91" t="s">
        <v>615</v>
      </c>
      <c r="H3529" s="93" t="s">
        <v>4</v>
      </c>
      <c r="I3529" s="92" t="s">
        <v>6811</v>
      </c>
      <c r="J3529" s="95"/>
      <c r="K3529" s="67"/>
      <c r="L3529" s="67"/>
      <c r="M3529" s="67"/>
      <c r="N3529" s="67"/>
      <c r="O3529" s="67"/>
    </row>
    <row r="3530" spans="1:15" ht="16.5">
      <c r="A3530" s="103" t="s">
        <v>11</v>
      </c>
      <c r="B3530" s="103" t="s">
        <v>261</v>
      </c>
      <c r="C3530" s="103" t="s">
        <v>286</v>
      </c>
      <c r="D3530" s="91" t="s">
        <v>286</v>
      </c>
      <c r="E3530" s="103" t="s">
        <v>7299</v>
      </c>
      <c r="F3530" s="91" t="s">
        <v>205</v>
      </c>
      <c r="G3530" s="91" t="s">
        <v>615</v>
      </c>
      <c r="H3530" s="93" t="s">
        <v>6</v>
      </c>
      <c r="I3530" s="92" t="s">
        <v>3185</v>
      </c>
      <c r="J3530" s="95"/>
      <c r="K3530" s="67"/>
      <c r="L3530" s="67"/>
      <c r="M3530" s="67"/>
      <c r="N3530" s="67"/>
      <c r="O3530" s="67"/>
    </row>
    <row r="3531" spans="1:15" ht="30.4">
      <c r="A3531" s="103" t="s">
        <v>11</v>
      </c>
      <c r="B3531" s="103" t="s">
        <v>261</v>
      </c>
      <c r="C3531" s="103" t="s">
        <v>286</v>
      </c>
      <c r="D3531" s="91" t="s">
        <v>286</v>
      </c>
      <c r="E3531" s="103" t="s">
        <v>7300</v>
      </c>
      <c r="F3531" s="91" t="s">
        <v>205</v>
      </c>
      <c r="G3531" s="91" t="s">
        <v>615</v>
      </c>
      <c r="H3531" s="93" t="s">
        <v>6</v>
      </c>
      <c r="I3531" s="92" t="s">
        <v>3495</v>
      </c>
      <c r="J3531" s="106">
        <v>8885233668</v>
      </c>
      <c r="K3531" s="67"/>
      <c r="L3531" s="67"/>
      <c r="M3531" s="67"/>
      <c r="N3531" s="67"/>
      <c r="O3531" s="67"/>
    </row>
    <row r="3532" spans="1:15" ht="16.5">
      <c r="A3532" s="103" t="s">
        <v>11</v>
      </c>
      <c r="B3532" s="103" t="s">
        <v>261</v>
      </c>
      <c r="C3532" s="103" t="s">
        <v>286</v>
      </c>
      <c r="D3532" s="91" t="s">
        <v>286</v>
      </c>
      <c r="E3532" s="103" t="s">
        <v>7301</v>
      </c>
      <c r="F3532" s="91" t="s">
        <v>205</v>
      </c>
      <c r="G3532" s="91" t="s">
        <v>615</v>
      </c>
      <c r="H3532" s="93" t="s">
        <v>92</v>
      </c>
      <c r="I3532" s="92" t="s">
        <v>3115</v>
      </c>
      <c r="J3532" s="106">
        <v>9912671919</v>
      </c>
      <c r="K3532" s="67"/>
      <c r="L3532" s="67"/>
      <c r="M3532" s="67"/>
      <c r="N3532" s="67"/>
      <c r="O3532" s="67"/>
    </row>
    <row r="3533" spans="1:15" ht="30.4">
      <c r="A3533" s="103" t="s">
        <v>8</v>
      </c>
      <c r="B3533" s="103" t="s">
        <v>587</v>
      </c>
      <c r="C3533" s="103" t="s">
        <v>588</v>
      </c>
      <c r="D3533" s="91" t="s">
        <v>7302</v>
      </c>
      <c r="E3533" s="103" t="s">
        <v>4432</v>
      </c>
      <c r="F3533" s="91" t="s">
        <v>165</v>
      </c>
      <c r="G3533" s="91" t="s">
        <v>615</v>
      </c>
      <c r="H3533" s="93" t="s">
        <v>4</v>
      </c>
      <c r="I3533" s="92" t="s">
        <v>3120</v>
      </c>
      <c r="J3533" s="106">
        <v>7330732493</v>
      </c>
      <c r="K3533" s="67"/>
      <c r="L3533" s="67"/>
      <c r="M3533" s="67"/>
      <c r="N3533" s="67"/>
      <c r="O3533" s="67"/>
    </row>
    <row r="3534" spans="1:15" ht="30.4">
      <c r="A3534" s="103" t="s">
        <v>8</v>
      </c>
      <c r="B3534" s="103" t="s">
        <v>587</v>
      </c>
      <c r="C3534" s="103" t="s">
        <v>588</v>
      </c>
      <c r="D3534" s="91" t="s">
        <v>7302</v>
      </c>
      <c r="E3534" s="103" t="s">
        <v>7303</v>
      </c>
      <c r="F3534" s="91" t="s">
        <v>586</v>
      </c>
      <c r="G3534" s="91" t="s">
        <v>615</v>
      </c>
      <c r="H3534" s="93" t="s">
        <v>92</v>
      </c>
      <c r="I3534" s="92" t="s">
        <v>3495</v>
      </c>
      <c r="J3534" s="106">
        <v>9704459391</v>
      </c>
      <c r="K3534" s="67"/>
      <c r="L3534" s="67"/>
      <c r="M3534" s="67"/>
      <c r="N3534" s="67"/>
      <c r="O3534" s="67"/>
    </row>
    <row r="3535" spans="1:15" ht="16.5">
      <c r="A3535" s="103" t="s">
        <v>8</v>
      </c>
      <c r="B3535" s="103" t="s">
        <v>587</v>
      </c>
      <c r="C3535" s="103" t="s">
        <v>588</v>
      </c>
      <c r="D3535" s="91" t="s">
        <v>7302</v>
      </c>
      <c r="E3535" s="103" t="s">
        <v>589</v>
      </c>
      <c r="F3535" s="91" t="s">
        <v>114</v>
      </c>
      <c r="G3535" s="91" t="s">
        <v>85</v>
      </c>
      <c r="H3535" s="93" t="s">
        <v>92</v>
      </c>
      <c r="I3535" s="92" t="s">
        <v>3185</v>
      </c>
      <c r="J3535" s="106">
        <v>9052292284</v>
      </c>
      <c r="K3535" s="67"/>
      <c r="L3535" s="67"/>
      <c r="M3535" s="67"/>
      <c r="N3535" s="67"/>
      <c r="O3535" s="67"/>
    </row>
    <row r="3536" spans="1:15" ht="30.4">
      <c r="A3536" s="103" t="s">
        <v>10</v>
      </c>
      <c r="B3536" s="103" t="s">
        <v>10</v>
      </c>
      <c r="C3536" s="103" t="s">
        <v>455</v>
      </c>
      <c r="D3536" s="91" t="s">
        <v>455</v>
      </c>
      <c r="E3536" s="92" t="s">
        <v>7304</v>
      </c>
      <c r="F3536" s="97" t="s">
        <v>437</v>
      </c>
      <c r="G3536" s="97" t="s">
        <v>594</v>
      </c>
      <c r="H3536" s="93" t="s">
        <v>92</v>
      </c>
      <c r="I3536" s="92" t="s">
        <v>3115</v>
      </c>
      <c r="J3536" s="130">
        <v>9866155926</v>
      </c>
      <c r="K3536" s="67"/>
      <c r="L3536" s="67"/>
      <c r="M3536" s="67"/>
      <c r="N3536" s="67"/>
      <c r="O3536" s="67"/>
    </row>
    <row r="3537" spans="1:15" ht="30.4">
      <c r="A3537" s="103" t="s">
        <v>10</v>
      </c>
      <c r="B3537" s="103" t="s">
        <v>10</v>
      </c>
      <c r="C3537" s="103" t="s">
        <v>455</v>
      </c>
      <c r="D3537" s="91" t="s">
        <v>455</v>
      </c>
      <c r="E3537" s="126" t="s">
        <v>7305</v>
      </c>
      <c r="F3537" s="102" t="s">
        <v>1669</v>
      </c>
      <c r="G3537" s="102" t="s">
        <v>615</v>
      </c>
      <c r="H3537" s="93" t="s">
        <v>92</v>
      </c>
      <c r="I3537" s="92" t="s">
        <v>3185</v>
      </c>
      <c r="J3537" s="132">
        <v>9642642611</v>
      </c>
      <c r="K3537" s="67"/>
      <c r="L3537" s="67"/>
      <c r="M3537" s="67"/>
      <c r="N3537" s="67"/>
      <c r="O3537" s="67"/>
    </row>
    <row r="3538" spans="1:15" ht="30.4">
      <c r="A3538" s="103" t="s">
        <v>10</v>
      </c>
      <c r="B3538" s="103" t="s">
        <v>10</v>
      </c>
      <c r="C3538" s="103" t="s">
        <v>455</v>
      </c>
      <c r="D3538" s="91" t="s">
        <v>455</v>
      </c>
      <c r="E3538" s="126" t="s">
        <v>3621</v>
      </c>
      <c r="F3538" s="102" t="s">
        <v>437</v>
      </c>
      <c r="G3538" s="102" t="s">
        <v>594</v>
      </c>
      <c r="H3538" s="102" t="s">
        <v>4</v>
      </c>
      <c r="I3538" s="92" t="s">
        <v>3120</v>
      </c>
      <c r="J3538" s="132">
        <v>9392477727</v>
      </c>
      <c r="K3538" s="67"/>
      <c r="L3538" s="67"/>
      <c r="M3538" s="67"/>
      <c r="N3538" s="67"/>
      <c r="O3538" s="67"/>
    </row>
    <row r="3539" spans="1:15" ht="16.5">
      <c r="A3539" s="103" t="s">
        <v>10</v>
      </c>
      <c r="B3539" s="103" t="s">
        <v>10</v>
      </c>
      <c r="C3539" s="103" t="s">
        <v>526</v>
      </c>
      <c r="D3539" s="91" t="s">
        <v>526</v>
      </c>
      <c r="E3539" s="103" t="s">
        <v>7306</v>
      </c>
      <c r="F3539" s="91" t="s">
        <v>114</v>
      </c>
      <c r="G3539" s="91" t="s">
        <v>85</v>
      </c>
      <c r="H3539" s="93" t="s">
        <v>92</v>
      </c>
      <c r="I3539" s="92" t="s">
        <v>3115</v>
      </c>
      <c r="J3539" s="106">
        <v>9573176365</v>
      </c>
      <c r="K3539" s="67"/>
      <c r="L3539" s="67"/>
      <c r="M3539" s="67"/>
      <c r="N3539" s="67"/>
      <c r="O3539" s="67"/>
    </row>
    <row r="3540" spans="1:15" ht="30.4">
      <c r="A3540" s="103" t="s">
        <v>10</v>
      </c>
      <c r="B3540" s="103" t="s">
        <v>10</v>
      </c>
      <c r="C3540" s="103" t="s">
        <v>526</v>
      </c>
      <c r="D3540" s="91" t="s">
        <v>526</v>
      </c>
      <c r="E3540" s="103" t="s">
        <v>7307</v>
      </c>
      <c r="F3540" s="91" t="s">
        <v>114</v>
      </c>
      <c r="G3540" s="91" t="s">
        <v>85</v>
      </c>
      <c r="H3540" s="93" t="s">
        <v>92</v>
      </c>
      <c r="I3540" s="92" t="s">
        <v>7308</v>
      </c>
      <c r="J3540" s="106">
        <v>9618604415</v>
      </c>
      <c r="K3540" s="67"/>
      <c r="L3540" s="67"/>
      <c r="M3540" s="67"/>
      <c r="N3540" s="67"/>
      <c r="O3540" s="67"/>
    </row>
    <row r="3541" spans="1:15" ht="16.5">
      <c r="A3541" s="103" t="s">
        <v>10</v>
      </c>
      <c r="B3541" s="103" t="s">
        <v>10</v>
      </c>
      <c r="C3541" s="103" t="s">
        <v>526</v>
      </c>
      <c r="D3541" s="91" t="s">
        <v>526</v>
      </c>
      <c r="E3541" s="103" t="s">
        <v>7309</v>
      </c>
      <c r="F3541" s="91" t="s">
        <v>114</v>
      </c>
      <c r="G3541" s="91" t="s">
        <v>85</v>
      </c>
      <c r="H3541" s="93" t="s">
        <v>92</v>
      </c>
      <c r="I3541" s="92" t="s">
        <v>3185</v>
      </c>
      <c r="J3541" s="106">
        <v>9703367425</v>
      </c>
      <c r="K3541" s="67"/>
      <c r="L3541" s="67"/>
      <c r="M3541" s="67"/>
      <c r="N3541" s="67"/>
      <c r="O3541" s="67"/>
    </row>
    <row r="3542" spans="1:15" ht="30.4">
      <c r="A3542" s="103" t="s">
        <v>10</v>
      </c>
      <c r="B3542" s="103" t="s">
        <v>10</v>
      </c>
      <c r="C3542" s="103" t="s">
        <v>526</v>
      </c>
      <c r="D3542" s="91" t="s">
        <v>526</v>
      </c>
      <c r="E3542" s="103" t="s">
        <v>7310</v>
      </c>
      <c r="F3542" s="91" t="s">
        <v>1669</v>
      </c>
      <c r="G3542" s="91" t="s">
        <v>615</v>
      </c>
      <c r="H3542" s="102" t="s">
        <v>4</v>
      </c>
      <c r="I3542" s="92" t="s">
        <v>3162</v>
      </c>
      <c r="J3542" s="106">
        <v>9154572563</v>
      </c>
      <c r="K3542" s="67"/>
      <c r="L3542" s="67"/>
      <c r="M3542" s="67"/>
      <c r="N3542" s="67"/>
      <c r="O3542" s="67"/>
    </row>
    <row r="3543" spans="1:15" ht="30.4">
      <c r="A3543" s="103" t="s">
        <v>10</v>
      </c>
      <c r="B3543" s="103" t="s">
        <v>10</v>
      </c>
      <c r="C3543" s="103" t="s">
        <v>526</v>
      </c>
      <c r="D3543" s="91" t="s">
        <v>526</v>
      </c>
      <c r="E3543" s="103" t="s">
        <v>7311</v>
      </c>
      <c r="F3543" s="91" t="s">
        <v>1669</v>
      </c>
      <c r="G3543" s="91" t="s">
        <v>615</v>
      </c>
      <c r="H3543" s="102" t="s">
        <v>4</v>
      </c>
      <c r="I3543" s="92" t="s">
        <v>7312</v>
      </c>
      <c r="J3543" s="106">
        <v>7674947211</v>
      </c>
      <c r="K3543" s="67"/>
      <c r="L3543" s="67"/>
      <c r="M3543" s="67"/>
      <c r="N3543" s="67"/>
      <c r="O3543" s="67"/>
    </row>
    <row r="3544" spans="1:15" ht="16.5">
      <c r="A3544" s="103" t="s">
        <v>8</v>
      </c>
      <c r="B3544" s="103" t="s">
        <v>8</v>
      </c>
      <c r="C3544" s="103" t="s">
        <v>9</v>
      </c>
      <c r="D3544" s="91" t="s">
        <v>9</v>
      </c>
      <c r="E3544" s="103" t="s">
        <v>7313</v>
      </c>
      <c r="F3544" s="91" t="s">
        <v>1653</v>
      </c>
      <c r="G3544" s="91" t="s">
        <v>86</v>
      </c>
      <c r="H3544" s="93" t="s">
        <v>92</v>
      </c>
      <c r="I3544" s="92" t="s">
        <v>3336</v>
      </c>
      <c r="J3544" s="106">
        <v>9014299565</v>
      </c>
      <c r="K3544" s="67"/>
      <c r="L3544" s="67"/>
      <c r="M3544" s="67"/>
      <c r="N3544" s="67"/>
      <c r="O3544" s="67"/>
    </row>
    <row r="3545" spans="1:15" ht="30.4">
      <c r="A3545" s="103" t="s">
        <v>8</v>
      </c>
      <c r="B3545" s="103" t="s">
        <v>8</v>
      </c>
      <c r="C3545" s="103" t="s">
        <v>9</v>
      </c>
      <c r="D3545" s="91" t="s">
        <v>9</v>
      </c>
      <c r="E3545" s="103" t="s">
        <v>7314</v>
      </c>
      <c r="F3545" s="91" t="s">
        <v>1653</v>
      </c>
      <c r="G3545" s="91" t="s">
        <v>86</v>
      </c>
      <c r="H3545" s="93" t="s">
        <v>92</v>
      </c>
      <c r="I3545" s="92" t="s">
        <v>7312</v>
      </c>
      <c r="J3545" s="106">
        <v>9573288647</v>
      </c>
      <c r="K3545" s="67"/>
      <c r="L3545" s="67"/>
      <c r="M3545" s="67"/>
      <c r="N3545" s="67"/>
      <c r="O3545" s="67"/>
    </row>
    <row r="3546" spans="1:15" ht="30.4">
      <c r="A3546" s="103" t="s">
        <v>8</v>
      </c>
      <c r="B3546" s="103" t="s">
        <v>8</v>
      </c>
      <c r="C3546" s="103" t="s">
        <v>9</v>
      </c>
      <c r="D3546" s="91" t="s">
        <v>9</v>
      </c>
      <c r="E3546" s="103" t="s">
        <v>7315</v>
      </c>
      <c r="F3546" s="91" t="s">
        <v>1653</v>
      </c>
      <c r="G3546" s="91" t="s">
        <v>86</v>
      </c>
      <c r="H3546" s="93" t="s">
        <v>92</v>
      </c>
      <c r="I3546" s="92" t="s">
        <v>7312</v>
      </c>
      <c r="J3546" s="106">
        <v>7032399122</v>
      </c>
      <c r="K3546" s="67"/>
      <c r="L3546" s="67"/>
      <c r="M3546" s="67"/>
      <c r="N3546" s="67"/>
      <c r="O3546" s="67"/>
    </row>
    <row r="3547" spans="1:15" ht="16.5">
      <c r="A3547" s="103" t="s">
        <v>8</v>
      </c>
      <c r="B3547" s="103" t="s">
        <v>8</v>
      </c>
      <c r="C3547" s="103" t="s">
        <v>9</v>
      </c>
      <c r="D3547" s="91" t="s">
        <v>9</v>
      </c>
      <c r="E3547" s="103" t="s">
        <v>7316</v>
      </c>
      <c r="F3547" s="91" t="s">
        <v>165</v>
      </c>
      <c r="G3547" s="91" t="s">
        <v>615</v>
      </c>
      <c r="H3547" s="93" t="s">
        <v>92</v>
      </c>
      <c r="I3547" s="92" t="s">
        <v>3185</v>
      </c>
      <c r="J3547" s="106">
        <v>7799861120</v>
      </c>
      <c r="K3547" s="67"/>
      <c r="L3547" s="67"/>
      <c r="M3547" s="67"/>
      <c r="N3547" s="67"/>
      <c r="O3547" s="67"/>
    </row>
    <row r="3548" spans="1:15" ht="16.5">
      <c r="A3548" s="103" t="s">
        <v>8</v>
      </c>
      <c r="B3548" s="103" t="s">
        <v>8</v>
      </c>
      <c r="C3548" s="103" t="s">
        <v>557</v>
      </c>
      <c r="D3548" s="91" t="s">
        <v>557</v>
      </c>
      <c r="E3548" s="103" t="s">
        <v>558</v>
      </c>
      <c r="F3548" s="91" t="s">
        <v>139</v>
      </c>
      <c r="G3548" s="91" t="s">
        <v>594</v>
      </c>
      <c r="H3548" s="93" t="s">
        <v>4</v>
      </c>
      <c r="I3548" s="92" t="s">
        <v>3115</v>
      </c>
      <c r="J3548" s="106">
        <v>9676356350</v>
      </c>
      <c r="K3548" s="67"/>
      <c r="L3548" s="67"/>
      <c r="M3548" s="67"/>
      <c r="N3548" s="67"/>
      <c r="O3548" s="67"/>
    </row>
    <row r="3549" spans="1:15" ht="30.4">
      <c r="A3549" s="103" t="s">
        <v>15</v>
      </c>
      <c r="B3549" s="103" t="s">
        <v>15</v>
      </c>
      <c r="C3549" s="103" t="s">
        <v>358</v>
      </c>
      <c r="D3549" s="91" t="s">
        <v>358</v>
      </c>
      <c r="E3549" s="103" t="s">
        <v>7317</v>
      </c>
      <c r="F3549" s="91" t="s">
        <v>139</v>
      </c>
      <c r="G3549" s="91" t="s">
        <v>594</v>
      </c>
      <c r="H3549" s="93" t="s">
        <v>92</v>
      </c>
      <c r="I3549" s="92" t="s">
        <v>3495</v>
      </c>
      <c r="J3549" s="106">
        <v>9010057644</v>
      </c>
      <c r="K3549" s="67"/>
      <c r="L3549" s="67"/>
      <c r="M3549" s="67"/>
      <c r="N3549" s="67"/>
      <c r="O3549" s="67"/>
    </row>
    <row r="3550" spans="1:15" ht="45.4">
      <c r="A3550" s="103" t="s">
        <v>15</v>
      </c>
      <c r="B3550" s="103" t="s">
        <v>15</v>
      </c>
      <c r="C3550" s="103" t="s">
        <v>358</v>
      </c>
      <c r="D3550" s="91" t="s">
        <v>358</v>
      </c>
      <c r="E3550" s="103" t="s">
        <v>7318</v>
      </c>
      <c r="F3550" s="91" t="s">
        <v>139</v>
      </c>
      <c r="G3550" s="91" t="s">
        <v>594</v>
      </c>
      <c r="H3550" s="93" t="s">
        <v>92</v>
      </c>
      <c r="I3550" s="92" t="s">
        <v>7319</v>
      </c>
      <c r="J3550" s="106">
        <v>9866265358</v>
      </c>
      <c r="K3550" s="67"/>
      <c r="L3550" s="67"/>
      <c r="M3550" s="67"/>
      <c r="N3550" s="67"/>
      <c r="O3550" s="67"/>
    </row>
    <row r="3551" spans="1:15" ht="30.4">
      <c r="A3551" s="103" t="s">
        <v>15</v>
      </c>
      <c r="B3551" s="103" t="s">
        <v>15</v>
      </c>
      <c r="C3551" s="103" t="s">
        <v>358</v>
      </c>
      <c r="D3551" s="91" t="s">
        <v>358</v>
      </c>
      <c r="E3551" s="103" t="s">
        <v>7320</v>
      </c>
      <c r="F3551" s="91" t="s">
        <v>139</v>
      </c>
      <c r="G3551" s="91" t="s">
        <v>594</v>
      </c>
      <c r="H3551" s="93" t="s">
        <v>92</v>
      </c>
      <c r="I3551" s="92" t="s">
        <v>3709</v>
      </c>
      <c r="J3551" s="106">
        <v>9701026176</v>
      </c>
      <c r="K3551" s="67"/>
      <c r="L3551" s="67"/>
      <c r="M3551" s="67"/>
      <c r="N3551" s="67"/>
      <c r="O3551" s="67"/>
    </row>
    <row r="3552" spans="1:15" ht="30.4">
      <c r="A3552" s="103" t="s">
        <v>15</v>
      </c>
      <c r="B3552" s="103" t="s">
        <v>15</v>
      </c>
      <c r="C3552" s="103" t="s">
        <v>358</v>
      </c>
      <c r="D3552" s="91" t="s">
        <v>358</v>
      </c>
      <c r="E3552" s="103" t="s">
        <v>7321</v>
      </c>
      <c r="F3552" s="91" t="s">
        <v>139</v>
      </c>
      <c r="G3552" s="91" t="s">
        <v>594</v>
      </c>
      <c r="H3552" s="93" t="s">
        <v>92</v>
      </c>
      <c r="I3552" s="92" t="s">
        <v>3463</v>
      </c>
      <c r="J3552" s="106">
        <v>9989360347</v>
      </c>
      <c r="K3552" s="67"/>
      <c r="L3552" s="67"/>
      <c r="M3552" s="67"/>
      <c r="N3552" s="67"/>
      <c r="O3552" s="67"/>
    </row>
    <row r="3553" spans="1:15" ht="30.4">
      <c r="A3553" s="103" t="s">
        <v>15</v>
      </c>
      <c r="B3553" s="103" t="s">
        <v>15</v>
      </c>
      <c r="C3553" s="103" t="s">
        <v>358</v>
      </c>
      <c r="D3553" s="91" t="s">
        <v>358</v>
      </c>
      <c r="E3553" s="103" t="s">
        <v>7322</v>
      </c>
      <c r="F3553" s="91" t="s">
        <v>139</v>
      </c>
      <c r="G3553" s="91" t="s">
        <v>594</v>
      </c>
      <c r="H3553" s="93" t="s">
        <v>92</v>
      </c>
      <c r="I3553" s="92" t="s">
        <v>7323</v>
      </c>
      <c r="J3553" s="106">
        <v>9848017775</v>
      </c>
      <c r="K3553" s="67"/>
      <c r="L3553" s="67"/>
      <c r="M3553" s="67"/>
      <c r="N3553" s="67"/>
      <c r="O3553" s="67"/>
    </row>
    <row r="3554" spans="1:15" ht="30.4">
      <c r="A3554" s="103" t="s">
        <v>15</v>
      </c>
      <c r="B3554" s="103" t="s">
        <v>15</v>
      </c>
      <c r="C3554" s="103" t="s">
        <v>358</v>
      </c>
      <c r="D3554" s="91" t="s">
        <v>358</v>
      </c>
      <c r="E3554" s="103" t="s">
        <v>7324</v>
      </c>
      <c r="F3554" s="91" t="s">
        <v>139</v>
      </c>
      <c r="G3554" s="91" t="s">
        <v>594</v>
      </c>
      <c r="H3554" s="93" t="s">
        <v>92</v>
      </c>
      <c r="I3554" s="92" t="s">
        <v>7323</v>
      </c>
      <c r="J3554" s="106">
        <v>9908911836</v>
      </c>
      <c r="K3554" s="67"/>
      <c r="L3554" s="67"/>
      <c r="M3554" s="67"/>
      <c r="N3554" s="67"/>
      <c r="O3554" s="67"/>
    </row>
    <row r="3555" spans="1:15" ht="30.4">
      <c r="A3555" s="103" t="s">
        <v>15</v>
      </c>
      <c r="B3555" s="103" t="s">
        <v>15</v>
      </c>
      <c r="C3555" s="103" t="s">
        <v>358</v>
      </c>
      <c r="D3555" s="91" t="s">
        <v>358</v>
      </c>
      <c r="E3555" s="103" t="s">
        <v>7325</v>
      </c>
      <c r="F3555" s="91" t="s">
        <v>7326</v>
      </c>
      <c r="G3555" s="91" t="s">
        <v>85</v>
      </c>
      <c r="H3555" s="93" t="s">
        <v>92</v>
      </c>
      <c r="I3555" s="92" t="s">
        <v>3194</v>
      </c>
      <c r="J3555" s="106">
        <v>9963825179</v>
      </c>
      <c r="K3555" s="67"/>
      <c r="L3555" s="67"/>
      <c r="M3555" s="67"/>
      <c r="N3555" s="67"/>
      <c r="O3555" s="67"/>
    </row>
    <row r="3556" spans="1:15" ht="30.4">
      <c r="A3556" s="103" t="s">
        <v>15</v>
      </c>
      <c r="B3556" s="103" t="s">
        <v>15</v>
      </c>
      <c r="C3556" s="103" t="s">
        <v>358</v>
      </c>
      <c r="D3556" s="91" t="s">
        <v>358</v>
      </c>
      <c r="E3556" s="103" t="s">
        <v>7327</v>
      </c>
      <c r="F3556" s="91" t="s">
        <v>139</v>
      </c>
      <c r="G3556" s="91" t="s">
        <v>594</v>
      </c>
      <c r="H3556" s="93" t="s">
        <v>4</v>
      </c>
      <c r="I3556" s="92" t="s">
        <v>7328</v>
      </c>
      <c r="J3556" s="106">
        <v>99126270006</v>
      </c>
      <c r="K3556" s="67"/>
      <c r="L3556" s="67"/>
      <c r="M3556" s="67"/>
      <c r="N3556" s="67"/>
      <c r="O3556" s="67"/>
    </row>
    <row r="3557" spans="1:15" ht="30.4">
      <c r="A3557" s="103" t="s">
        <v>8</v>
      </c>
      <c r="B3557" s="103" t="s">
        <v>587</v>
      </c>
      <c r="C3557" s="103" t="s">
        <v>617</v>
      </c>
      <c r="D3557" s="91" t="s">
        <v>7329</v>
      </c>
      <c r="E3557" s="103" t="s">
        <v>7330</v>
      </c>
      <c r="F3557" s="91" t="s">
        <v>595</v>
      </c>
      <c r="G3557" s="91" t="s">
        <v>594</v>
      </c>
      <c r="H3557" s="93" t="s">
        <v>5</v>
      </c>
      <c r="I3557" s="92" t="s">
        <v>3120</v>
      </c>
      <c r="J3557" s="106">
        <v>9866113884</v>
      </c>
      <c r="K3557" s="67"/>
      <c r="L3557" s="67"/>
      <c r="M3557" s="67"/>
      <c r="N3557" s="67"/>
      <c r="O3557" s="67"/>
    </row>
    <row r="3558" spans="1:15" ht="30.4">
      <c r="A3558" s="103" t="s">
        <v>8</v>
      </c>
      <c r="B3558" s="103" t="s">
        <v>587</v>
      </c>
      <c r="C3558" s="103" t="s">
        <v>617</v>
      </c>
      <c r="D3558" s="91" t="s">
        <v>7329</v>
      </c>
      <c r="E3558" s="103" t="s">
        <v>7331</v>
      </c>
      <c r="F3558" s="91" t="s">
        <v>139</v>
      </c>
      <c r="G3558" s="91" t="s">
        <v>594</v>
      </c>
      <c r="H3558" s="93" t="s">
        <v>5</v>
      </c>
      <c r="I3558" s="92" t="s">
        <v>3120</v>
      </c>
      <c r="J3558" s="106">
        <v>9866815784</v>
      </c>
      <c r="K3558" s="67"/>
      <c r="L3558" s="67"/>
      <c r="M3558" s="67"/>
      <c r="N3558" s="67"/>
      <c r="O3558" s="67"/>
    </row>
    <row r="3559" spans="1:15" ht="16.5">
      <c r="A3559" s="103" t="s">
        <v>8</v>
      </c>
      <c r="B3559" s="103" t="s">
        <v>587</v>
      </c>
      <c r="C3559" s="103" t="s">
        <v>617</v>
      </c>
      <c r="D3559" s="91" t="s">
        <v>7329</v>
      </c>
      <c r="E3559" s="103" t="s">
        <v>7332</v>
      </c>
      <c r="F3559" s="91" t="s">
        <v>114</v>
      </c>
      <c r="G3559" s="91" t="s">
        <v>85</v>
      </c>
      <c r="H3559" s="93" t="s">
        <v>5</v>
      </c>
      <c r="I3559" s="92" t="s">
        <v>3185</v>
      </c>
      <c r="J3559" s="106">
        <v>7780417822</v>
      </c>
      <c r="K3559" s="67"/>
      <c r="L3559" s="67"/>
      <c r="M3559" s="67"/>
      <c r="N3559" s="67"/>
      <c r="O3559" s="67"/>
    </row>
    <row r="3560" spans="1:15" ht="30.4">
      <c r="A3560" s="103" t="s">
        <v>8</v>
      </c>
      <c r="B3560" s="103" t="s">
        <v>587</v>
      </c>
      <c r="C3560" s="103" t="s">
        <v>617</v>
      </c>
      <c r="D3560" s="91" t="s">
        <v>7329</v>
      </c>
      <c r="E3560" s="103" t="s">
        <v>7333</v>
      </c>
      <c r="F3560" s="91" t="s">
        <v>114</v>
      </c>
      <c r="G3560" s="91" t="s">
        <v>85</v>
      </c>
      <c r="H3560" s="93" t="s">
        <v>5</v>
      </c>
      <c r="I3560" s="92" t="s">
        <v>6920</v>
      </c>
      <c r="J3560" s="106">
        <v>7780417822</v>
      </c>
      <c r="K3560" s="67"/>
      <c r="L3560" s="67"/>
      <c r="M3560" s="67"/>
      <c r="N3560" s="67"/>
      <c r="O3560" s="67"/>
    </row>
    <row r="3561" spans="1:15" ht="16.5">
      <c r="A3561" s="103" t="s">
        <v>8</v>
      </c>
      <c r="B3561" s="103" t="s">
        <v>587</v>
      </c>
      <c r="C3561" s="103" t="s">
        <v>617</v>
      </c>
      <c r="D3561" s="91" t="s">
        <v>7329</v>
      </c>
      <c r="E3561" s="103" t="s">
        <v>7334</v>
      </c>
      <c r="F3561" s="91" t="s">
        <v>114</v>
      </c>
      <c r="G3561" s="91" t="s">
        <v>85</v>
      </c>
      <c r="H3561" s="93" t="s">
        <v>4</v>
      </c>
      <c r="I3561" s="92" t="s">
        <v>3192</v>
      </c>
      <c r="J3561" s="106">
        <v>9550724313</v>
      </c>
      <c r="K3561" s="67"/>
      <c r="L3561" s="67"/>
      <c r="M3561" s="67"/>
      <c r="N3561" s="67"/>
      <c r="O3561" s="67"/>
    </row>
    <row r="3562" spans="1:15" ht="16.5">
      <c r="A3562" s="103" t="s">
        <v>11</v>
      </c>
      <c r="B3562" s="103" t="s">
        <v>297</v>
      </c>
      <c r="C3562" s="103" t="s">
        <v>302</v>
      </c>
      <c r="D3562" s="91" t="s">
        <v>302</v>
      </c>
      <c r="E3562" s="103" t="s">
        <v>7335</v>
      </c>
      <c r="F3562" s="67" t="s">
        <v>3138</v>
      </c>
      <c r="G3562" s="67"/>
      <c r="H3562" s="93" t="s">
        <v>5</v>
      </c>
      <c r="I3562" s="92" t="s">
        <v>3115</v>
      </c>
      <c r="J3562" s="106">
        <v>9030943999</v>
      </c>
      <c r="K3562" s="67"/>
      <c r="L3562" s="67"/>
      <c r="M3562" s="67"/>
      <c r="N3562" s="67"/>
      <c r="O3562" s="67"/>
    </row>
    <row r="3563" spans="1:15" ht="30.4">
      <c r="A3563" s="103" t="s">
        <v>11</v>
      </c>
      <c r="B3563" s="103" t="s">
        <v>297</v>
      </c>
      <c r="C3563" s="103" t="s">
        <v>302</v>
      </c>
      <c r="D3563" s="91" t="s">
        <v>302</v>
      </c>
      <c r="E3563" s="103" t="s">
        <v>7336</v>
      </c>
      <c r="F3563" s="67" t="s">
        <v>3138</v>
      </c>
      <c r="G3563" s="67"/>
      <c r="H3563" s="93" t="s">
        <v>5</v>
      </c>
      <c r="I3563" s="92" t="s">
        <v>3495</v>
      </c>
      <c r="J3563" s="106">
        <v>8712169997</v>
      </c>
      <c r="K3563" s="67"/>
      <c r="L3563" s="67"/>
      <c r="M3563" s="67"/>
      <c r="N3563" s="67"/>
      <c r="O3563" s="67"/>
    </row>
    <row r="3564" spans="1:15" ht="66">
      <c r="A3564" s="103" t="s">
        <v>11</v>
      </c>
      <c r="B3564" s="103" t="s">
        <v>297</v>
      </c>
      <c r="C3564" s="103" t="s">
        <v>302</v>
      </c>
      <c r="D3564" s="91" t="s">
        <v>302</v>
      </c>
      <c r="E3564" s="103" t="s">
        <v>7337</v>
      </c>
      <c r="F3564" s="67" t="s">
        <v>3138</v>
      </c>
      <c r="G3564" s="67"/>
      <c r="H3564" s="93" t="s">
        <v>5</v>
      </c>
      <c r="I3564" s="92" t="s">
        <v>3185</v>
      </c>
      <c r="J3564" s="106" t="s">
        <v>7338</v>
      </c>
      <c r="K3564" s="67"/>
      <c r="L3564" s="67"/>
      <c r="M3564" s="67"/>
      <c r="N3564" s="67"/>
      <c r="O3564" s="67"/>
    </row>
    <row r="3565" spans="1:15" ht="30.4">
      <c r="A3565" s="103" t="s">
        <v>19</v>
      </c>
      <c r="B3565" s="103" t="s">
        <v>19</v>
      </c>
      <c r="C3565" s="103" t="s">
        <v>191</v>
      </c>
      <c r="D3565" s="91" t="s">
        <v>7339</v>
      </c>
      <c r="E3565" s="103" t="s">
        <v>7340</v>
      </c>
      <c r="F3565" s="91" t="s">
        <v>114</v>
      </c>
      <c r="G3565" s="91" t="s">
        <v>85</v>
      </c>
      <c r="H3565" s="93" t="s">
        <v>4</v>
      </c>
      <c r="I3565" s="92" t="s">
        <v>7341</v>
      </c>
      <c r="J3565" s="106">
        <v>9493356564</v>
      </c>
      <c r="K3565" s="67"/>
      <c r="L3565" s="67"/>
      <c r="M3565" s="67"/>
      <c r="N3565" s="67"/>
      <c r="O3565" s="67"/>
    </row>
    <row r="3566" spans="1:15" ht="30.4">
      <c r="A3566" s="103" t="s">
        <v>19</v>
      </c>
      <c r="B3566" s="103" t="s">
        <v>19</v>
      </c>
      <c r="C3566" s="103" t="s">
        <v>191</v>
      </c>
      <c r="D3566" s="91" t="s">
        <v>7339</v>
      </c>
      <c r="E3566" s="103" t="s">
        <v>7342</v>
      </c>
      <c r="F3566" s="91" t="s">
        <v>139</v>
      </c>
      <c r="G3566" s="91" t="s">
        <v>594</v>
      </c>
      <c r="H3566" s="93" t="s">
        <v>4</v>
      </c>
      <c r="I3566" s="92" t="s">
        <v>3863</v>
      </c>
      <c r="J3566" s="106">
        <v>9705408886</v>
      </c>
      <c r="K3566" s="67"/>
      <c r="L3566" s="67"/>
      <c r="M3566" s="67"/>
      <c r="N3566" s="67"/>
      <c r="O3566" s="67"/>
    </row>
    <row r="3567" spans="1:15" ht="30.4">
      <c r="A3567" s="103" t="s">
        <v>19</v>
      </c>
      <c r="B3567" s="103" t="s">
        <v>19</v>
      </c>
      <c r="C3567" s="103" t="s">
        <v>191</v>
      </c>
      <c r="D3567" s="91" t="s">
        <v>7339</v>
      </c>
      <c r="E3567" s="103" t="s">
        <v>7343</v>
      </c>
      <c r="F3567" s="91" t="s">
        <v>139</v>
      </c>
      <c r="G3567" s="91" t="s">
        <v>594</v>
      </c>
      <c r="H3567" s="93" t="s">
        <v>4</v>
      </c>
      <c r="I3567" s="92" t="s">
        <v>3162</v>
      </c>
      <c r="J3567" s="106">
        <v>9951107673</v>
      </c>
      <c r="K3567" s="67"/>
      <c r="L3567" s="67"/>
      <c r="M3567" s="67"/>
      <c r="N3567" s="67"/>
      <c r="O3567" s="67"/>
    </row>
    <row r="3568" spans="1:15" ht="30.4">
      <c r="A3568" s="103" t="s">
        <v>19</v>
      </c>
      <c r="B3568" s="103" t="s">
        <v>19</v>
      </c>
      <c r="C3568" s="103" t="s">
        <v>191</v>
      </c>
      <c r="D3568" s="91" t="s">
        <v>7339</v>
      </c>
      <c r="E3568" s="103" t="s">
        <v>7344</v>
      </c>
      <c r="F3568" s="91" t="s">
        <v>139</v>
      </c>
      <c r="G3568" s="91" t="s">
        <v>594</v>
      </c>
      <c r="H3568" s="93" t="s">
        <v>4</v>
      </c>
      <c r="I3568" s="92" t="s">
        <v>7255</v>
      </c>
      <c r="J3568" s="106">
        <v>7095047195</v>
      </c>
      <c r="K3568" s="67"/>
      <c r="L3568" s="67"/>
      <c r="M3568" s="67"/>
      <c r="N3568" s="67"/>
      <c r="O3568" s="67"/>
    </row>
    <row r="3569" spans="1:15" ht="30.4">
      <c r="A3569" s="103" t="s">
        <v>19</v>
      </c>
      <c r="B3569" s="103" t="s">
        <v>19</v>
      </c>
      <c r="C3569" s="103" t="s">
        <v>191</v>
      </c>
      <c r="D3569" s="91" t="s">
        <v>7339</v>
      </c>
      <c r="E3569" s="103" t="s">
        <v>7345</v>
      </c>
      <c r="F3569" s="91" t="s">
        <v>139</v>
      </c>
      <c r="G3569" s="91" t="s">
        <v>594</v>
      </c>
      <c r="H3569" s="93" t="s">
        <v>4</v>
      </c>
      <c r="I3569" s="92" t="s">
        <v>7346</v>
      </c>
      <c r="J3569" s="106">
        <v>8333916777</v>
      </c>
      <c r="K3569" s="67"/>
      <c r="L3569" s="67"/>
      <c r="M3569" s="67"/>
      <c r="N3569" s="67"/>
      <c r="O3569" s="67"/>
    </row>
    <row r="3570" spans="1:15" ht="16.5">
      <c r="A3570" s="103" t="s">
        <v>19</v>
      </c>
      <c r="B3570" s="103" t="s">
        <v>19</v>
      </c>
      <c r="C3570" s="103" t="s">
        <v>191</v>
      </c>
      <c r="D3570" s="91" t="s">
        <v>7339</v>
      </c>
      <c r="E3570" s="103" t="s">
        <v>7347</v>
      </c>
      <c r="F3570" s="91" t="s">
        <v>139</v>
      </c>
      <c r="G3570" s="91" t="s">
        <v>594</v>
      </c>
      <c r="H3570" s="93" t="s">
        <v>5</v>
      </c>
      <c r="I3570" s="92" t="s">
        <v>3115</v>
      </c>
      <c r="J3570" s="106">
        <v>9390761889</v>
      </c>
      <c r="K3570" s="67"/>
      <c r="L3570" s="67"/>
      <c r="M3570" s="67"/>
      <c r="N3570" s="67"/>
      <c r="O3570" s="67"/>
    </row>
    <row r="3571" spans="1:15" ht="30.4">
      <c r="A3571" s="103" t="s">
        <v>19</v>
      </c>
      <c r="B3571" s="103" t="s">
        <v>19</v>
      </c>
      <c r="C3571" s="103" t="s">
        <v>191</v>
      </c>
      <c r="D3571" s="91" t="s">
        <v>7339</v>
      </c>
      <c r="E3571" s="103" t="s">
        <v>7348</v>
      </c>
      <c r="F3571" s="91" t="s">
        <v>139</v>
      </c>
      <c r="G3571" s="91" t="s">
        <v>594</v>
      </c>
      <c r="H3571" s="93" t="s">
        <v>5</v>
      </c>
      <c r="I3571" s="92" t="s">
        <v>3863</v>
      </c>
      <c r="J3571" s="106">
        <v>9951889592</v>
      </c>
      <c r="K3571" s="67"/>
      <c r="L3571" s="67"/>
      <c r="M3571" s="67"/>
      <c r="N3571" s="67"/>
      <c r="O3571" s="67"/>
    </row>
    <row r="3572" spans="1:15" ht="16.5">
      <c r="A3572" s="103" t="s">
        <v>19</v>
      </c>
      <c r="B3572" s="103" t="s">
        <v>19</v>
      </c>
      <c r="C3572" s="103" t="s">
        <v>191</v>
      </c>
      <c r="D3572" s="91" t="s">
        <v>7339</v>
      </c>
      <c r="E3572" s="103" t="s">
        <v>7349</v>
      </c>
      <c r="F3572" s="91" t="s">
        <v>114</v>
      </c>
      <c r="G3572" s="91" t="s">
        <v>85</v>
      </c>
      <c r="H3572" s="93" t="s">
        <v>5</v>
      </c>
      <c r="I3572" s="92" t="s">
        <v>3185</v>
      </c>
      <c r="J3572" s="106">
        <v>7702072969</v>
      </c>
      <c r="K3572" s="67"/>
      <c r="L3572" s="67"/>
      <c r="M3572" s="67"/>
      <c r="N3572" s="67"/>
      <c r="O3572" s="67"/>
    </row>
    <row r="3573" spans="1:15" ht="30.4">
      <c r="A3573" s="103" t="s">
        <v>19</v>
      </c>
      <c r="B3573" s="103" t="s">
        <v>19</v>
      </c>
      <c r="C3573" s="103" t="s">
        <v>191</v>
      </c>
      <c r="D3573" s="91" t="s">
        <v>7339</v>
      </c>
      <c r="E3573" s="103" t="s">
        <v>7350</v>
      </c>
      <c r="F3573" s="91" t="s">
        <v>139</v>
      </c>
      <c r="G3573" s="91" t="s">
        <v>594</v>
      </c>
      <c r="H3573" s="93" t="s">
        <v>6</v>
      </c>
      <c r="I3573" s="92" t="s">
        <v>3863</v>
      </c>
      <c r="J3573" s="106">
        <v>9492259472</v>
      </c>
      <c r="K3573" s="67"/>
      <c r="L3573" s="67"/>
      <c r="M3573" s="67"/>
      <c r="N3573" s="67"/>
      <c r="O3573" s="67"/>
    </row>
    <row r="3574" spans="1:15" ht="30.4">
      <c r="A3574" s="103" t="s">
        <v>19</v>
      </c>
      <c r="B3574" s="103" t="s">
        <v>19</v>
      </c>
      <c r="C3574" s="103" t="s">
        <v>191</v>
      </c>
      <c r="D3574" s="91" t="s">
        <v>7339</v>
      </c>
      <c r="E3574" s="103" t="s">
        <v>7351</v>
      </c>
      <c r="F3574" s="91" t="s">
        <v>139</v>
      </c>
      <c r="G3574" s="91" t="s">
        <v>594</v>
      </c>
      <c r="H3574" s="93" t="s">
        <v>6</v>
      </c>
      <c r="I3574" s="92" t="s">
        <v>3863</v>
      </c>
      <c r="J3574" s="106">
        <v>9912978975</v>
      </c>
      <c r="K3574" s="67"/>
      <c r="L3574" s="67"/>
      <c r="M3574" s="67"/>
      <c r="N3574" s="67"/>
      <c r="O3574" s="67"/>
    </row>
    <row r="3575" spans="1:15" ht="30.4">
      <c r="A3575" s="103" t="s">
        <v>8</v>
      </c>
      <c r="B3575" s="103" t="s">
        <v>8</v>
      </c>
      <c r="C3575" s="103" t="s">
        <v>577</v>
      </c>
      <c r="D3575" s="111" t="s">
        <v>577</v>
      </c>
      <c r="E3575" s="103" t="s">
        <v>7352</v>
      </c>
      <c r="F3575" s="91" t="s">
        <v>114</v>
      </c>
      <c r="G3575" s="91" t="s">
        <v>85</v>
      </c>
      <c r="H3575" s="93" t="s">
        <v>5</v>
      </c>
      <c r="I3575" s="92" t="s">
        <v>7353</v>
      </c>
      <c r="J3575" s="106">
        <v>9959810966</v>
      </c>
      <c r="K3575" s="67"/>
      <c r="L3575" s="67"/>
      <c r="M3575" s="67"/>
      <c r="N3575" s="67"/>
      <c r="O3575" s="67"/>
    </row>
    <row r="3576" spans="1:15" ht="30.4">
      <c r="A3576" s="103" t="s">
        <v>8</v>
      </c>
      <c r="B3576" s="103" t="s">
        <v>8</v>
      </c>
      <c r="C3576" s="103" t="s">
        <v>577</v>
      </c>
      <c r="D3576" s="111" t="s">
        <v>577</v>
      </c>
      <c r="E3576" s="103" t="s">
        <v>7354</v>
      </c>
      <c r="F3576" s="91" t="s">
        <v>114</v>
      </c>
      <c r="G3576" s="91" t="s">
        <v>85</v>
      </c>
      <c r="H3576" s="93" t="s">
        <v>5</v>
      </c>
      <c r="I3576" s="92" t="s">
        <v>7355</v>
      </c>
      <c r="J3576" s="106">
        <v>8688399654</v>
      </c>
      <c r="K3576" s="67"/>
      <c r="L3576" s="67"/>
      <c r="M3576" s="67"/>
      <c r="N3576" s="67"/>
      <c r="O3576" s="67"/>
    </row>
    <row r="3577" spans="1:15" ht="16.5">
      <c r="A3577" s="103" t="s">
        <v>8</v>
      </c>
      <c r="B3577" s="103" t="s">
        <v>8</v>
      </c>
      <c r="C3577" s="103" t="s">
        <v>577</v>
      </c>
      <c r="D3577" s="111" t="s">
        <v>577</v>
      </c>
      <c r="E3577" s="103" t="s">
        <v>7356</v>
      </c>
      <c r="F3577" s="91" t="s">
        <v>586</v>
      </c>
      <c r="G3577" s="91" t="s">
        <v>615</v>
      </c>
      <c r="H3577" s="93" t="s">
        <v>5</v>
      </c>
      <c r="I3577" s="92" t="s">
        <v>3115</v>
      </c>
      <c r="J3577" s="106">
        <v>9949601203</v>
      </c>
      <c r="K3577" s="67"/>
      <c r="L3577" s="67"/>
      <c r="M3577" s="67"/>
      <c r="N3577" s="67"/>
      <c r="O3577" s="67"/>
    </row>
    <row r="3578" spans="1:15" ht="30.4">
      <c r="A3578" s="103" t="s">
        <v>8</v>
      </c>
      <c r="B3578" s="103" t="s">
        <v>8</v>
      </c>
      <c r="C3578" s="103" t="s">
        <v>577</v>
      </c>
      <c r="D3578" s="111" t="s">
        <v>577</v>
      </c>
      <c r="E3578" s="103" t="s">
        <v>7357</v>
      </c>
      <c r="F3578" s="91" t="s">
        <v>586</v>
      </c>
      <c r="G3578" s="91" t="s">
        <v>615</v>
      </c>
      <c r="H3578" s="93" t="s">
        <v>5</v>
      </c>
      <c r="I3578" s="92" t="s">
        <v>3765</v>
      </c>
      <c r="J3578" s="106">
        <v>9502618433</v>
      </c>
      <c r="K3578" s="67"/>
      <c r="L3578" s="67"/>
      <c r="M3578" s="67"/>
      <c r="N3578" s="67"/>
      <c r="O3578" s="67"/>
    </row>
    <row r="3579" spans="1:15" ht="16.5">
      <c r="A3579" s="91" t="s">
        <v>8</v>
      </c>
      <c r="B3579" s="100" t="s">
        <v>8</v>
      </c>
      <c r="C3579" s="97" t="str">
        <f ca="1">IFERROR(__xludf.DUMMYFUNCTION("filter('Back End'!C:C,'Back End'!A:A=A3579,'Back End'!B:B=B3579,'Back End'!D:D=D3579)"),"Vakapalle")</f>
        <v>Vakapalle</v>
      </c>
      <c r="D3579" s="100" t="s">
        <v>577</v>
      </c>
      <c r="E3579" s="100" t="s">
        <v>7358</v>
      </c>
      <c r="F3579" s="100" t="s">
        <v>165</v>
      </c>
      <c r="G3579" s="100" t="s">
        <v>615</v>
      </c>
      <c r="H3579" s="100" t="s">
        <v>5</v>
      </c>
      <c r="I3579" s="98" t="s">
        <v>2631</v>
      </c>
      <c r="J3579" s="97">
        <v>9502618433</v>
      </c>
      <c r="K3579" s="99"/>
      <c r="L3579" s="99"/>
      <c r="M3579" s="99"/>
      <c r="N3579" s="67"/>
      <c r="O3579" s="67"/>
    </row>
    <row r="3580" spans="1:15" ht="16.5">
      <c r="A3580" s="67"/>
      <c r="B3580" s="99"/>
      <c r="C3580" s="99"/>
      <c r="D3580" s="99"/>
      <c r="E3580" s="100" t="s">
        <v>7359</v>
      </c>
      <c r="F3580" s="98" t="s">
        <v>114</v>
      </c>
      <c r="G3580" s="98" t="s">
        <v>85</v>
      </c>
      <c r="H3580" s="100" t="s">
        <v>5</v>
      </c>
      <c r="I3580" s="98" t="s">
        <v>3205</v>
      </c>
      <c r="J3580" s="99"/>
      <c r="K3580" s="99"/>
      <c r="L3580" s="99"/>
      <c r="M3580" s="99"/>
      <c r="N3580" s="67"/>
      <c r="O3580" s="67"/>
    </row>
    <row r="3581" spans="1:15" ht="16.5">
      <c r="A3581" s="67"/>
      <c r="B3581" s="99"/>
      <c r="C3581" s="99"/>
      <c r="D3581" s="99"/>
      <c r="E3581" s="100" t="s">
        <v>7360</v>
      </c>
      <c r="F3581" s="98" t="s">
        <v>114</v>
      </c>
      <c r="G3581" s="98" t="s">
        <v>85</v>
      </c>
      <c r="H3581" s="100" t="s">
        <v>5</v>
      </c>
      <c r="I3581" s="98" t="s">
        <v>3194</v>
      </c>
      <c r="J3581" s="97">
        <v>9912470828</v>
      </c>
      <c r="K3581" s="99"/>
      <c r="L3581" s="99"/>
      <c r="M3581" s="99"/>
      <c r="N3581" s="67"/>
      <c r="O3581" s="67"/>
    </row>
    <row r="3582" spans="1:15" ht="16.5">
      <c r="A3582" s="67"/>
      <c r="B3582" s="99"/>
      <c r="C3582" s="99"/>
      <c r="D3582" s="99"/>
      <c r="E3582" s="100" t="s">
        <v>7361</v>
      </c>
      <c r="F3582" s="98" t="s">
        <v>586</v>
      </c>
      <c r="G3582" s="98" t="s">
        <v>615</v>
      </c>
      <c r="H3582" s="100" t="s">
        <v>5</v>
      </c>
      <c r="I3582" s="98" t="s">
        <v>3194</v>
      </c>
      <c r="J3582" s="99"/>
      <c r="K3582" s="99"/>
      <c r="L3582" s="99"/>
      <c r="M3582" s="99"/>
      <c r="N3582" s="67"/>
      <c r="O3582" s="67"/>
    </row>
    <row r="3583" spans="1:15" ht="16.5">
      <c r="A3583" s="67"/>
      <c r="B3583" s="99"/>
      <c r="C3583" s="99"/>
      <c r="D3583" s="99"/>
      <c r="E3583" s="100" t="s">
        <v>7362</v>
      </c>
      <c r="F3583" s="98" t="s">
        <v>165</v>
      </c>
      <c r="G3583" s="98" t="s">
        <v>615</v>
      </c>
      <c r="H3583" s="100" t="s">
        <v>5</v>
      </c>
      <c r="I3583" s="98" t="s">
        <v>3194</v>
      </c>
      <c r="J3583" s="97">
        <v>9177252538</v>
      </c>
      <c r="K3583" s="99"/>
      <c r="L3583" s="99"/>
      <c r="M3583" s="99"/>
      <c r="N3583" s="67"/>
      <c r="O3583" s="67"/>
    </row>
    <row r="3584" spans="1:15" ht="16.5">
      <c r="A3584" s="67"/>
      <c r="B3584" s="99"/>
      <c r="C3584" s="99"/>
      <c r="D3584" s="99"/>
      <c r="E3584" s="100" t="s">
        <v>7363</v>
      </c>
      <c r="F3584" s="98" t="s">
        <v>165</v>
      </c>
      <c r="G3584" s="98" t="s">
        <v>615</v>
      </c>
      <c r="H3584" s="100" t="s">
        <v>5</v>
      </c>
      <c r="I3584" s="98" t="s">
        <v>3194</v>
      </c>
      <c r="J3584" s="97">
        <v>9505525152</v>
      </c>
      <c r="K3584" s="99"/>
      <c r="L3584" s="99"/>
      <c r="M3584" s="99"/>
      <c r="N3584" s="67"/>
      <c r="O3584" s="67"/>
    </row>
    <row r="3585" spans="1:15" ht="15">
      <c r="A3585" s="91" t="s">
        <v>8</v>
      </c>
      <c r="B3585" s="100" t="s">
        <v>8</v>
      </c>
      <c r="C3585" s="97" t="s">
        <v>577</v>
      </c>
      <c r="D3585" s="100" t="s">
        <v>577</v>
      </c>
      <c r="E3585" s="100" t="s">
        <v>7364</v>
      </c>
      <c r="F3585" s="99" t="s">
        <v>3138</v>
      </c>
      <c r="G3585" s="99"/>
      <c r="H3585" s="100" t="s">
        <v>4</v>
      </c>
      <c r="I3585" s="99"/>
      <c r="J3585" s="97">
        <v>8500801126</v>
      </c>
      <c r="K3585" s="99"/>
      <c r="L3585" s="99"/>
      <c r="M3585" s="99"/>
      <c r="N3585" s="67"/>
      <c r="O3585" s="67"/>
    </row>
    <row r="3586" spans="1:15" ht="15">
      <c r="A3586" s="101" t="s">
        <v>8</v>
      </c>
      <c r="B3586" s="93" t="s">
        <v>8</v>
      </c>
      <c r="C3586" s="102" t="s">
        <v>577</v>
      </c>
      <c r="D3586" s="93" t="s">
        <v>577</v>
      </c>
      <c r="E3586" s="93" t="s">
        <v>7365</v>
      </c>
      <c r="F3586" s="95" t="s">
        <v>3138</v>
      </c>
      <c r="G3586" s="95"/>
      <c r="H3586" s="93" t="s">
        <v>4</v>
      </c>
      <c r="I3586" s="102" t="s">
        <v>3125</v>
      </c>
      <c r="J3586" s="102">
        <v>7382371884</v>
      </c>
      <c r="K3586" s="95"/>
      <c r="L3586" s="95"/>
      <c r="M3586" s="95"/>
      <c r="N3586" s="67"/>
      <c r="O3586" s="67"/>
    </row>
    <row r="3587" spans="1:15" ht="45.4">
      <c r="A3587" s="103" t="s">
        <v>8</v>
      </c>
      <c r="B3587" s="103" t="s">
        <v>8</v>
      </c>
      <c r="C3587" s="103" t="s">
        <v>577</v>
      </c>
      <c r="D3587" s="111" t="s">
        <v>577</v>
      </c>
      <c r="E3587" s="103" t="s">
        <v>7366</v>
      </c>
      <c r="F3587" s="91" t="s">
        <v>165</v>
      </c>
      <c r="G3587" s="91" t="s">
        <v>615</v>
      </c>
      <c r="H3587" s="93" t="s">
        <v>4</v>
      </c>
      <c r="I3587" s="92" t="s">
        <v>7367</v>
      </c>
      <c r="J3587" s="106">
        <v>8074476934</v>
      </c>
      <c r="K3587" s="67"/>
      <c r="L3587" s="67"/>
      <c r="M3587" s="67"/>
      <c r="N3587" s="67"/>
      <c r="O3587" s="67"/>
    </row>
    <row r="3588" spans="1:15" ht="30.4">
      <c r="A3588" s="103" t="s">
        <v>8</v>
      </c>
      <c r="B3588" s="103" t="s">
        <v>8</v>
      </c>
      <c r="C3588" s="103" t="s">
        <v>577</v>
      </c>
      <c r="D3588" s="111" t="s">
        <v>577</v>
      </c>
      <c r="E3588" s="103" t="s">
        <v>7368</v>
      </c>
      <c r="F3588" s="91" t="s">
        <v>165</v>
      </c>
      <c r="G3588" s="91" t="s">
        <v>615</v>
      </c>
      <c r="H3588" s="93" t="s">
        <v>4</v>
      </c>
      <c r="I3588" s="92" t="s">
        <v>3495</v>
      </c>
      <c r="J3588" s="95"/>
      <c r="K3588" s="67"/>
      <c r="L3588" s="67"/>
      <c r="M3588" s="67"/>
      <c r="N3588" s="67"/>
      <c r="O3588" s="67"/>
    </row>
    <row r="3589" spans="1:15" ht="30.4">
      <c r="A3589" s="103" t="s">
        <v>8</v>
      </c>
      <c r="B3589" s="103" t="s">
        <v>8</v>
      </c>
      <c r="C3589" s="103" t="s">
        <v>577</v>
      </c>
      <c r="D3589" s="111" t="s">
        <v>577</v>
      </c>
      <c r="E3589" s="103" t="s">
        <v>7369</v>
      </c>
      <c r="F3589" s="91" t="s">
        <v>165</v>
      </c>
      <c r="G3589" s="91" t="s">
        <v>615</v>
      </c>
      <c r="H3589" s="93" t="s">
        <v>4</v>
      </c>
      <c r="I3589" s="92" t="s">
        <v>3495</v>
      </c>
      <c r="J3589" s="106">
        <v>8500801126</v>
      </c>
      <c r="K3589" s="67"/>
      <c r="L3589" s="67"/>
      <c r="M3589" s="67"/>
      <c r="N3589" s="67"/>
      <c r="O3589" s="67"/>
    </row>
    <row r="3590" spans="1:15" ht="30.4">
      <c r="A3590" s="103" t="s">
        <v>8</v>
      </c>
      <c r="B3590" s="103" t="s">
        <v>8</v>
      </c>
      <c r="C3590" s="103" t="s">
        <v>577</v>
      </c>
      <c r="D3590" s="111" t="s">
        <v>577</v>
      </c>
      <c r="E3590" s="103" t="s">
        <v>7370</v>
      </c>
      <c r="F3590" s="91" t="s">
        <v>1669</v>
      </c>
      <c r="G3590" s="91" t="s">
        <v>615</v>
      </c>
      <c r="H3590" s="93" t="s">
        <v>4</v>
      </c>
      <c r="I3590" s="92" t="s">
        <v>3495</v>
      </c>
      <c r="J3590" s="106">
        <v>6300765143</v>
      </c>
      <c r="K3590" s="67"/>
      <c r="L3590" s="67"/>
      <c r="M3590" s="67"/>
      <c r="N3590" s="67"/>
      <c r="O3590" s="67"/>
    </row>
    <row r="3591" spans="1:15" ht="30.4">
      <c r="A3591" s="103" t="s">
        <v>8</v>
      </c>
      <c r="B3591" s="103" t="s">
        <v>8</v>
      </c>
      <c r="C3591" s="103" t="s">
        <v>577</v>
      </c>
      <c r="D3591" s="111" t="s">
        <v>577</v>
      </c>
      <c r="E3591" s="103" t="s">
        <v>7371</v>
      </c>
      <c r="F3591" s="91" t="s">
        <v>165</v>
      </c>
      <c r="G3591" s="91" t="s">
        <v>615</v>
      </c>
      <c r="H3591" s="93" t="s">
        <v>4</v>
      </c>
      <c r="I3591" s="92" t="s">
        <v>3205</v>
      </c>
      <c r="J3591" s="106">
        <v>9908909460</v>
      </c>
      <c r="K3591" s="67"/>
      <c r="L3591" s="67"/>
      <c r="M3591" s="67"/>
      <c r="N3591" s="67"/>
      <c r="O3591" s="67"/>
    </row>
    <row r="3592" spans="1:15" ht="30.4">
      <c r="A3592" s="103" t="s">
        <v>8</v>
      </c>
      <c r="B3592" s="103" t="s">
        <v>8</v>
      </c>
      <c r="C3592" s="103" t="s">
        <v>577</v>
      </c>
      <c r="D3592" s="111" t="s">
        <v>577</v>
      </c>
      <c r="E3592" s="103" t="s">
        <v>7372</v>
      </c>
      <c r="F3592" s="91" t="s">
        <v>114</v>
      </c>
      <c r="G3592" s="91" t="s">
        <v>85</v>
      </c>
      <c r="H3592" s="93" t="s">
        <v>4</v>
      </c>
      <c r="I3592" s="92" t="s">
        <v>3412</v>
      </c>
      <c r="J3592" s="95"/>
      <c r="K3592" s="67"/>
      <c r="L3592" s="67"/>
      <c r="M3592" s="67"/>
      <c r="N3592" s="67"/>
      <c r="O3592" s="67"/>
    </row>
    <row r="3593" spans="1:15" ht="30.4">
      <c r="A3593" s="103" t="s">
        <v>8</v>
      </c>
      <c r="B3593" s="103" t="s">
        <v>8</v>
      </c>
      <c r="C3593" s="103" t="s">
        <v>577</v>
      </c>
      <c r="D3593" s="111" t="s">
        <v>577</v>
      </c>
      <c r="E3593" s="103" t="s">
        <v>7373</v>
      </c>
      <c r="F3593" s="91" t="s">
        <v>1618</v>
      </c>
      <c r="G3593" s="91" t="s">
        <v>615</v>
      </c>
      <c r="H3593" s="93" t="s">
        <v>4</v>
      </c>
      <c r="I3593" s="92" t="s">
        <v>7374</v>
      </c>
      <c r="J3593" s="106">
        <v>9701073752</v>
      </c>
      <c r="K3593" s="67"/>
      <c r="L3593" s="67"/>
      <c r="M3593" s="67"/>
      <c r="N3593" s="67"/>
      <c r="O3593" s="67"/>
    </row>
    <row r="3594" spans="1:15" ht="30.4">
      <c r="A3594" s="103" t="s">
        <v>8</v>
      </c>
      <c r="B3594" s="103" t="s">
        <v>8</v>
      </c>
      <c r="C3594" s="103" t="s">
        <v>577</v>
      </c>
      <c r="D3594" s="111" t="s">
        <v>577</v>
      </c>
      <c r="E3594" s="103" t="s">
        <v>7375</v>
      </c>
      <c r="F3594" s="91" t="s">
        <v>165</v>
      </c>
      <c r="G3594" s="91" t="s">
        <v>615</v>
      </c>
      <c r="H3594" s="93" t="s">
        <v>4</v>
      </c>
      <c r="I3594" s="92" t="s">
        <v>3634</v>
      </c>
      <c r="J3594" s="106">
        <v>8688477223</v>
      </c>
      <c r="K3594" s="67"/>
      <c r="L3594" s="67"/>
      <c r="M3594" s="67"/>
      <c r="N3594" s="67"/>
      <c r="O3594" s="67"/>
    </row>
    <row r="3595" spans="1:15" ht="30.4">
      <c r="A3595" s="103" t="s">
        <v>8</v>
      </c>
      <c r="B3595" s="103" t="s">
        <v>8</v>
      </c>
      <c r="C3595" s="103" t="s">
        <v>577</v>
      </c>
      <c r="D3595" s="111" t="s">
        <v>577</v>
      </c>
      <c r="E3595" s="103" t="s">
        <v>7363</v>
      </c>
      <c r="F3595" s="91" t="s">
        <v>165</v>
      </c>
      <c r="G3595" s="91" t="s">
        <v>615</v>
      </c>
      <c r="H3595" s="93" t="s">
        <v>4</v>
      </c>
      <c r="I3595" s="92" t="s">
        <v>3194</v>
      </c>
      <c r="J3595" s="106">
        <v>9505525152</v>
      </c>
      <c r="K3595" s="67"/>
      <c r="L3595" s="67"/>
      <c r="M3595" s="67"/>
      <c r="N3595" s="67"/>
      <c r="O3595" s="67"/>
    </row>
    <row r="3596" spans="1:15" ht="30.4">
      <c r="A3596" s="103" t="s">
        <v>8</v>
      </c>
      <c r="B3596" s="103" t="s">
        <v>8</v>
      </c>
      <c r="C3596" s="103" t="s">
        <v>577</v>
      </c>
      <c r="D3596" s="111" t="s">
        <v>577</v>
      </c>
      <c r="E3596" s="103" t="s">
        <v>7376</v>
      </c>
      <c r="F3596" s="91" t="s">
        <v>114</v>
      </c>
      <c r="G3596" s="91" t="s">
        <v>85</v>
      </c>
      <c r="H3596" s="93" t="s">
        <v>4</v>
      </c>
      <c r="I3596" s="92" t="s">
        <v>3194</v>
      </c>
      <c r="J3596" s="106">
        <v>9032069985</v>
      </c>
      <c r="K3596" s="67"/>
      <c r="L3596" s="67"/>
      <c r="M3596" s="67"/>
      <c r="N3596" s="67"/>
      <c r="O3596" s="67"/>
    </row>
    <row r="3597" spans="1:15" ht="60.4">
      <c r="A3597" s="103" t="s">
        <v>19</v>
      </c>
      <c r="B3597" s="103" t="s">
        <v>19</v>
      </c>
      <c r="C3597" s="103" t="s">
        <v>195</v>
      </c>
      <c r="D3597" s="91" t="s">
        <v>195</v>
      </c>
      <c r="E3597" s="103" t="s">
        <v>7377</v>
      </c>
      <c r="F3597" s="91" t="s">
        <v>139</v>
      </c>
      <c r="G3597" s="91" t="s">
        <v>594</v>
      </c>
      <c r="H3597" s="93" t="s">
        <v>92</v>
      </c>
      <c r="I3597" s="92" t="s">
        <v>7378</v>
      </c>
      <c r="J3597" s="106">
        <v>9553870040</v>
      </c>
      <c r="K3597" s="67"/>
      <c r="L3597" s="67"/>
      <c r="M3597" s="67"/>
      <c r="N3597" s="67"/>
      <c r="O3597" s="67"/>
    </row>
    <row r="3598" spans="1:15" ht="30.4">
      <c r="A3598" s="103" t="s">
        <v>19</v>
      </c>
      <c r="B3598" s="103" t="s">
        <v>19</v>
      </c>
      <c r="C3598" s="103" t="s">
        <v>195</v>
      </c>
      <c r="D3598" s="91" t="s">
        <v>195</v>
      </c>
      <c r="E3598" s="103" t="s">
        <v>7379</v>
      </c>
      <c r="F3598" s="91" t="s">
        <v>139</v>
      </c>
      <c r="G3598" s="91" t="s">
        <v>594</v>
      </c>
      <c r="H3598" s="93" t="s">
        <v>92</v>
      </c>
      <c r="I3598" s="92" t="s">
        <v>3495</v>
      </c>
      <c r="J3598" s="106">
        <v>8008147738</v>
      </c>
      <c r="K3598" s="67"/>
      <c r="L3598" s="67"/>
      <c r="M3598" s="67"/>
      <c r="N3598" s="67"/>
      <c r="O3598" s="67"/>
    </row>
    <row r="3599" spans="1:15" ht="45.4">
      <c r="A3599" s="103" t="s">
        <v>19</v>
      </c>
      <c r="B3599" s="103" t="s">
        <v>19</v>
      </c>
      <c r="C3599" s="103" t="s">
        <v>195</v>
      </c>
      <c r="D3599" s="91" t="s">
        <v>195</v>
      </c>
      <c r="E3599" s="103" t="s">
        <v>7380</v>
      </c>
      <c r="F3599" s="91" t="s">
        <v>1626</v>
      </c>
      <c r="G3599" s="91" t="s">
        <v>594</v>
      </c>
      <c r="H3599" s="93" t="s">
        <v>92</v>
      </c>
      <c r="I3599" s="92" t="s">
        <v>7381</v>
      </c>
      <c r="J3599" s="106">
        <v>9010109233</v>
      </c>
      <c r="K3599" s="67"/>
      <c r="L3599" s="67"/>
      <c r="M3599" s="67"/>
      <c r="N3599" s="67"/>
      <c r="O3599" s="67"/>
    </row>
    <row r="3600" spans="1:15" ht="30.4">
      <c r="A3600" s="103" t="s">
        <v>19</v>
      </c>
      <c r="B3600" s="103" t="s">
        <v>19</v>
      </c>
      <c r="C3600" s="103" t="s">
        <v>195</v>
      </c>
      <c r="D3600" s="91" t="s">
        <v>195</v>
      </c>
      <c r="E3600" s="103" t="s">
        <v>7382</v>
      </c>
      <c r="F3600" s="91" t="s">
        <v>139</v>
      </c>
      <c r="G3600" s="91" t="s">
        <v>594</v>
      </c>
      <c r="H3600" s="93" t="s">
        <v>92</v>
      </c>
      <c r="I3600" s="92" t="s">
        <v>3863</v>
      </c>
      <c r="J3600" s="106">
        <v>9948237240</v>
      </c>
      <c r="K3600" s="67"/>
      <c r="L3600" s="67"/>
      <c r="M3600" s="67"/>
      <c r="N3600" s="67"/>
      <c r="O3600" s="67"/>
    </row>
    <row r="3601" spans="1:15" ht="30.4">
      <c r="A3601" s="103" t="s">
        <v>8</v>
      </c>
      <c r="B3601" s="103" t="s">
        <v>8</v>
      </c>
      <c r="C3601" s="103" t="s">
        <v>572</v>
      </c>
      <c r="D3601" s="91" t="s">
        <v>572</v>
      </c>
      <c r="E3601" s="103" t="s">
        <v>7383</v>
      </c>
      <c r="F3601" s="91" t="s">
        <v>139</v>
      </c>
      <c r="G3601" s="91" t="s">
        <v>594</v>
      </c>
      <c r="H3601" s="93" t="s">
        <v>4</v>
      </c>
      <c r="I3601" s="92" t="s">
        <v>3863</v>
      </c>
      <c r="J3601" s="106">
        <v>9912898869</v>
      </c>
      <c r="K3601" s="67"/>
      <c r="L3601" s="67"/>
      <c r="M3601" s="67"/>
      <c r="N3601" s="67"/>
      <c r="O3601" s="67"/>
    </row>
    <row r="3602" spans="1:15" ht="16.5">
      <c r="A3602" s="103" t="s">
        <v>8</v>
      </c>
      <c r="B3602" s="103" t="s">
        <v>8</v>
      </c>
      <c r="C3602" s="103" t="s">
        <v>572</v>
      </c>
      <c r="D3602" s="91" t="s">
        <v>572</v>
      </c>
      <c r="E3602" s="103" t="s">
        <v>7384</v>
      </c>
      <c r="F3602" s="91" t="s">
        <v>595</v>
      </c>
      <c r="G3602" s="91" t="s">
        <v>594</v>
      </c>
      <c r="H3602" s="93" t="s">
        <v>4</v>
      </c>
      <c r="I3602" s="92" t="s">
        <v>3115</v>
      </c>
      <c r="J3602" s="106">
        <v>8341779333</v>
      </c>
      <c r="K3602" s="67"/>
      <c r="L3602" s="67"/>
      <c r="M3602" s="67"/>
      <c r="N3602" s="67"/>
      <c r="O3602" s="67"/>
    </row>
    <row r="3603" spans="1:15" ht="30.4">
      <c r="A3603" s="103" t="s">
        <v>8</v>
      </c>
      <c r="B3603" s="103" t="s">
        <v>8</v>
      </c>
      <c r="C3603" s="103" t="s">
        <v>572</v>
      </c>
      <c r="D3603" s="91" t="s">
        <v>572</v>
      </c>
      <c r="E3603" s="103" t="s">
        <v>7385</v>
      </c>
      <c r="F3603" s="91" t="s">
        <v>139</v>
      </c>
      <c r="G3603" s="91" t="s">
        <v>594</v>
      </c>
      <c r="H3603" s="93" t="s">
        <v>4</v>
      </c>
      <c r="I3603" s="92" t="s">
        <v>3863</v>
      </c>
      <c r="J3603" s="106">
        <v>9963086403</v>
      </c>
      <c r="K3603" s="67"/>
      <c r="L3603" s="67"/>
      <c r="M3603" s="67"/>
      <c r="N3603" s="67"/>
      <c r="O3603" s="67"/>
    </row>
    <row r="3604" spans="1:15" ht="30.4">
      <c r="A3604" s="103" t="s">
        <v>8</v>
      </c>
      <c r="B3604" s="103" t="s">
        <v>8</v>
      </c>
      <c r="C3604" s="103" t="s">
        <v>572</v>
      </c>
      <c r="D3604" s="91" t="s">
        <v>572</v>
      </c>
      <c r="E3604" s="103" t="s">
        <v>7386</v>
      </c>
      <c r="F3604" s="91" t="s">
        <v>467</v>
      </c>
      <c r="G3604" s="91" t="s">
        <v>85</v>
      </c>
      <c r="H3604" s="93" t="s">
        <v>4</v>
      </c>
      <c r="I3604" s="92" t="s">
        <v>3863</v>
      </c>
      <c r="J3604" s="106">
        <v>8106962477</v>
      </c>
      <c r="K3604" s="67"/>
      <c r="L3604" s="67"/>
      <c r="M3604" s="67"/>
      <c r="N3604" s="67"/>
      <c r="O3604" s="67"/>
    </row>
    <row r="3605" spans="1:15" ht="16.5">
      <c r="A3605" s="103" t="s">
        <v>8</v>
      </c>
      <c r="B3605" s="103" t="s">
        <v>8</v>
      </c>
      <c r="C3605" s="103" t="s">
        <v>572</v>
      </c>
      <c r="D3605" s="91" t="s">
        <v>572</v>
      </c>
      <c r="E3605" s="103" t="s">
        <v>7387</v>
      </c>
      <c r="F3605" s="91" t="s">
        <v>139</v>
      </c>
      <c r="G3605" s="91" t="s">
        <v>594</v>
      </c>
      <c r="H3605" s="93" t="s">
        <v>4</v>
      </c>
      <c r="I3605" s="92" t="s">
        <v>3192</v>
      </c>
      <c r="J3605" s="106">
        <v>9000525144</v>
      </c>
      <c r="K3605" s="67"/>
      <c r="L3605" s="67"/>
      <c r="M3605" s="67"/>
      <c r="N3605" s="67"/>
      <c r="O3605" s="67"/>
    </row>
    <row r="3606" spans="1:15" ht="30.4">
      <c r="A3606" s="103" t="s">
        <v>8</v>
      </c>
      <c r="B3606" s="103" t="s">
        <v>8</v>
      </c>
      <c r="C3606" s="103" t="s">
        <v>572</v>
      </c>
      <c r="D3606" s="91" t="s">
        <v>572</v>
      </c>
      <c r="E3606" s="103" t="s">
        <v>7388</v>
      </c>
      <c r="F3606" s="91" t="s">
        <v>139</v>
      </c>
      <c r="G3606" s="91" t="s">
        <v>594</v>
      </c>
      <c r="H3606" s="93" t="s">
        <v>4</v>
      </c>
      <c r="I3606" s="92" t="s">
        <v>3863</v>
      </c>
      <c r="J3606" s="106">
        <v>9505090182</v>
      </c>
      <c r="K3606" s="67"/>
      <c r="L3606" s="67"/>
      <c r="M3606" s="67"/>
      <c r="N3606" s="67"/>
      <c r="O3606" s="67"/>
    </row>
    <row r="3607" spans="1:15" ht="16.5">
      <c r="A3607" s="103" t="s">
        <v>8</v>
      </c>
      <c r="B3607" s="103" t="s">
        <v>8</v>
      </c>
      <c r="C3607" s="103" t="s">
        <v>572</v>
      </c>
      <c r="D3607" s="91" t="s">
        <v>572</v>
      </c>
      <c r="E3607" s="103" t="s">
        <v>7389</v>
      </c>
      <c r="F3607" s="91" t="s">
        <v>1669</v>
      </c>
      <c r="G3607" s="91" t="s">
        <v>615</v>
      </c>
      <c r="H3607" s="93" t="s">
        <v>92</v>
      </c>
      <c r="I3607" s="92" t="s">
        <v>4128</v>
      </c>
      <c r="J3607" s="106">
        <v>9492506711</v>
      </c>
      <c r="K3607" s="67"/>
      <c r="L3607" s="67"/>
      <c r="M3607" s="67"/>
      <c r="N3607" s="67"/>
      <c r="O3607" s="67"/>
    </row>
    <row r="3608" spans="1:15" ht="16.5">
      <c r="A3608" s="103" t="s">
        <v>8</v>
      </c>
      <c r="B3608" s="103" t="s">
        <v>8</v>
      </c>
      <c r="C3608" s="103" t="s">
        <v>572</v>
      </c>
      <c r="D3608" s="91" t="s">
        <v>572</v>
      </c>
      <c r="E3608" s="103" t="s">
        <v>7390</v>
      </c>
      <c r="F3608" s="91" t="s">
        <v>595</v>
      </c>
      <c r="G3608" s="91" t="s">
        <v>594</v>
      </c>
      <c r="H3608" s="93" t="s">
        <v>92</v>
      </c>
      <c r="I3608" s="92" t="s">
        <v>3185</v>
      </c>
      <c r="J3608" s="106">
        <v>9951009939</v>
      </c>
      <c r="K3608" s="67"/>
      <c r="L3608" s="67"/>
      <c r="M3608" s="67"/>
      <c r="N3608" s="67"/>
      <c r="O3608" s="67"/>
    </row>
    <row r="3609" spans="1:15" ht="16.5">
      <c r="A3609" s="103" t="s">
        <v>15</v>
      </c>
      <c r="B3609" s="103" t="s">
        <v>389</v>
      </c>
      <c r="C3609" s="103" t="s">
        <v>393</v>
      </c>
      <c r="D3609" s="91" t="s">
        <v>7391</v>
      </c>
      <c r="E3609" s="103" t="s">
        <v>7392</v>
      </c>
      <c r="F3609" s="91" t="s">
        <v>213</v>
      </c>
      <c r="G3609" s="91" t="s">
        <v>615</v>
      </c>
      <c r="H3609" s="93" t="s">
        <v>92</v>
      </c>
      <c r="I3609" s="92" t="s">
        <v>3112</v>
      </c>
      <c r="J3609" s="95"/>
      <c r="K3609" s="67"/>
      <c r="L3609" s="67"/>
      <c r="M3609" s="67"/>
      <c r="N3609" s="67"/>
      <c r="O3609" s="67"/>
    </row>
    <row r="3610" spans="1:15" ht="16.5">
      <c r="A3610" s="103" t="s">
        <v>15</v>
      </c>
      <c r="B3610" s="103" t="s">
        <v>389</v>
      </c>
      <c r="C3610" s="103" t="s">
        <v>393</v>
      </c>
      <c r="D3610" s="91" t="s">
        <v>7391</v>
      </c>
      <c r="E3610" s="103" t="s">
        <v>7393</v>
      </c>
      <c r="F3610" s="91" t="s">
        <v>213</v>
      </c>
      <c r="G3610" s="91" t="s">
        <v>615</v>
      </c>
      <c r="H3610" s="93" t="s">
        <v>4</v>
      </c>
      <c r="I3610" s="92" t="s">
        <v>3112</v>
      </c>
      <c r="J3610" s="106">
        <v>9866033237</v>
      </c>
      <c r="K3610" s="67"/>
      <c r="L3610" s="67"/>
      <c r="M3610" s="67"/>
      <c r="N3610" s="67"/>
      <c r="O3610" s="67"/>
    </row>
    <row r="3611" spans="1:15" ht="30.4">
      <c r="A3611" s="103" t="s">
        <v>15</v>
      </c>
      <c r="B3611" s="103" t="s">
        <v>389</v>
      </c>
      <c r="C3611" s="103" t="s">
        <v>393</v>
      </c>
      <c r="D3611" s="91" t="s">
        <v>7391</v>
      </c>
      <c r="E3611" s="103" t="s">
        <v>7394</v>
      </c>
      <c r="F3611" s="91" t="s">
        <v>213</v>
      </c>
      <c r="G3611" s="91" t="s">
        <v>615</v>
      </c>
      <c r="H3611" s="93" t="s">
        <v>4</v>
      </c>
      <c r="I3611" s="92" t="s">
        <v>7395</v>
      </c>
      <c r="J3611" s="106">
        <v>9948251989</v>
      </c>
      <c r="K3611" s="67"/>
      <c r="L3611" s="67"/>
      <c r="M3611" s="67"/>
      <c r="N3611" s="67"/>
      <c r="O3611" s="67"/>
    </row>
    <row r="3612" spans="1:15" ht="30.4">
      <c r="A3612" s="103" t="s">
        <v>15</v>
      </c>
      <c r="B3612" s="103" t="s">
        <v>389</v>
      </c>
      <c r="C3612" s="103" t="s">
        <v>393</v>
      </c>
      <c r="D3612" s="91" t="s">
        <v>7391</v>
      </c>
      <c r="E3612" s="103" t="s">
        <v>7396</v>
      </c>
      <c r="F3612" s="91" t="s">
        <v>213</v>
      </c>
      <c r="G3612" s="91" t="s">
        <v>615</v>
      </c>
      <c r="H3612" s="93" t="s">
        <v>4</v>
      </c>
      <c r="I3612" s="92" t="s">
        <v>7395</v>
      </c>
      <c r="J3612" s="106">
        <v>9959040277</v>
      </c>
      <c r="K3612" s="67"/>
      <c r="L3612" s="67"/>
      <c r="M3612" s="67"/>
      <c r="N3612" s="67"/>
      <c r="O3612" s="67"/>
    </row>
    <row r="3613" spans="1:15" ht="30.4">
      <c r="A3613" s="103" t="s">
        <v>15</v>
      </c>
      <c r="B3613" s="103" t="s">
        <v>15</v>
      </c>
      <c r="C3613" s="103" t="s">
        <v>354</v>
      </c>
      <c r="D3613" s="91" t="s">
        <v>7397</v>
      </c>
      <c r="E3613" s="92" t="s">
        <v>7398</v>
      </c>
      <c r="F3613" s="97" t="s">
        <v>139</v>
      </c>
      <c r="G3613" s="97" t="s">
        <v>594</v>
      </c>
      <c r="H3613" s="93" t="s">
        <v>4</v>
      </c>
      <c r="I3613" s="92" t="s">
        <v>3112</v>
      </c>
      <c r="J3613" s="106">
        <v>9908028371</v>
      </c>
      <c r="K3613" s="67"/>
      <c r="L3613" s="67"/>
      <c r="M3613" s="67"/>
      <c r="N3613" s="67"/>
      <c r="O3613" s="67"/>
    </row>
    <row r="3614" spans="1:15" ht="30.4">
      <c r="A3614" s="103" t="s">
        <v>15</v>
      </c>
      <c r="B3614" s="103" t="s">
        <v>15</v>
      </c>
      <c r="C3614" s="103" t="s">
        <v>354</v>
      </c>
      <c r="D3614" s="91" t="s">
        <v>7397</v>
      </c>
      <c r="E3614" s="126" t="s">
        <v>7399</v>
      </c>
      <c r="F3614" s="102" t="s">
        <v>131</v>
      </c>
      <c r="G3614" s="102" t="s">
        <v>615</v>
      </c>
      <c r="H3614" s="93" t="s">
        <v>4</v>
      </c>
      <c r="I3614" s="92" t="s">
        <v>4404</v>
      </c>
      <c r="J3614" s="106">
        <v>9550563256</v>
      </c>
      <c r="K3614" s="67"/>
      <c r="L3614" s="67"/>
      <c r="M3614" s="67"/>
      <c r="N3614" s="67"/>
      <c r="O3614" s="67"/>
    </row>
    <row r="3615" spans="1:15" ht="45.4">
      <c r="A3615" s="103" t="s">
        <v>15</v>
      </c>
      <c r="B3615" s="103" t="s">
        <v>15</v>
      </c>
      <c r="C3615" s="103" t="s">
        <v>354</v>
      </c>
      <c r="D3615" s="91" t="s">
        <v>7397</v>
      </c>
      <c r="E3615" s="126" t="s">
        <v>7400</v>
      </c>
      <c r="F3615" s="102" t="s">
        <v>1644</v>
      </c>
      <c r="G3615" s="102" t="s">
        <v>615</v>
      </c>
      <c r="H3615" s="93" t="s">
        <v>4</v>
      </c>
      <c r="I3615" s="92" t="s">
        <v>4687</v>
      </c>
      <c r="J3615" s="106" t="s">
        <v>2631</v>
      </c>
      <c r="K3615" s="67"/>
      <c r="L3615" s="67"/>
      <c r="M3615" s="67"/>
      <c r="N3615" s="67"/>
      <c r="O3615" s="67"/>
    </row>
    <row r="3616" spans="1:15" ht="30.4">
      <c r="A3616" s="103" t="s">
        <v>15</v>
      </c>
      <c r="B3616" s="103" t="s">
        <v>15</v>
      </c>
      <c r="C3616" s="103" t="s">
        <v>354</v>
      </c>
      <c r="D3616" s="91" t="s">
        <v>7397</v>
      </c>
      <c r="E3616" s="126" t="s">
        <v>7401</v>
      </c>
      <c r="F3616" s="102" t="s">
        <v>103</v>
      </c>
      <c r="G3616" s="102" t="s">
        <v>594</v>
      </c>
      <c r="H3616" s="93" t="s">
        <v>4</v>
      </c>
      <c r="I3616" s="92" t="s">
        <v>3651</v>
      </c>
      <c r="J3616" s="106">
        <v>9989367240</v>
      </c>
      <c r="K3616" s="67"/>
      <c r="L3616" s="67"/>
      <c r="M3616" s="67"/>
      <c r="N3616" s="67"/>
      <c r="O3616" s="67"/>
    </row>
    <row r="3617" spans="1:15" ht="30.4">
      <c r="A3617" s="103" t="s">
        <v>15</v>
      </c>
      <c r="B3617" s="103" t="s">
        <v>15</v>
      </c>
      <c r="C3617" s="103" t="s">
        <v>354</v>
      </c>
      <c r="D3617" s="91" t="s">
        <v>7397</v>
      </c>
      <c r="E3617" s="126" t="s">
        <v>7402</v>
      </c>
      <c r="F3617" s="102" t="s">
        <v>1660</v>
      </c>
      <c r="G3617" s="102" t="s">
        <v>615</v>
      </c>
      <c r="H3617" s="93" t="s">
        <v>92</v>
      </c>
      <c r="I3617" s="92" t="s">
        <v>7403</v>
      </c>
      <c r="J3617" s="106">
        <v>9182891777</v>
      </c>
      <c r="K3617" s="67"/>
      <c r="L3617" s="67"/>
      <c r="M3617" s="67"/>
      <c r="N3617" s="67"/>
      <c r="O3617" s="67"/>
    </row>
    <row r="3618" spans="1:15" ht="30.4">
      <c r="A3618" s="103" t="s">
        <v>15</v>
      </c>
      <c r="B3618" s="103" t="s">
        <v>15</v>
      </c>
      <c r="C3618" s="103" t="s">
        <v>354</v>
      </c>
      <c r="D3618" s="91" t="s">
        <v>7397</v>
      </c>
      <c r="E3618" s="126" t="s">
        <v>7404</v>
      </c>
      <c r="F3618" s="102" t="s">
        <v>114</v>
      </c>
      <c r="G3618" s="102" t="s">
        <v>85</v>
      </c>
      <c r="H3618" s="93" t="s">
        <v>92</v>
      </c>
      <c r="I3618" s="92" t="s">
        <v>7405</v>
      </c>
      <c r="J3618" s="106">
        <v>9963210729</v>
      </c>
      <c r="K3618" s="67"/>
      <c r="L3618" s="67"/>
      <c r="M3618" s="67"/>
      <c r="N3618" s="67"/>
      <c r="O3618" s="67"/>
    </row>
    <row r="3619" spans="1:15" ht="45.4">
      <c r="A3619" s="103" t="s">
        <v>15</v>
      </c>
      <c r="B3619" s="103" t="s">
        <v>15</v>
      </c>
      <c r="C3619" s="103" t="s">
        <v>354</v>
      </c>
      <c r="D3619" s="91" t="s">
        <v>7397</v>
      </c>
      <c r="E3619" s="126" t="s">
        <v>7406</v>
      </c>
      <c r="F3619" s="102" t="s">
        <v>139</v>
      </c>
      <c r="G3619" s="102" t="s">
        <v>594</v>
      </c>
      <c r="H3619" s="93" t="s">
        <v>6</v>
      </c>
      <c r="I3619" s="92" t="s">
        <v>7312</v>
      </c>
      <c r="J3619" s="106">
        <v>9394954999</v>
      </c>
      <c r="K3619" s="67"/>
      <c r="L3619" s="67"/>
      <c r="M3619" s="67"/>
      <c r="N3619" s="67"/>
      <c r="O3619" s="67"/>
    </row>
    <row r="3620" spans="1:15" ht="16.5">
      <c r="A3620" s="103" t="s">
        <v>15</v>
      </c>
      <c r="B3620" s="103" t="s">
        <v>15</v>
      </c>
      <c r="C3620" s="103" t="s">
        <v>354</v>
      </c>
      <c r="D3620" s="91" t="s">
        <v>7397</v>
      </c>
      <c r="E3620" s="126" t="s">
        <v>7407</v>
      </c>
      <c r="F3620" s="102" t="s">
        <v>139</v>
      </c>
      <c r="G3620" s="102" t="s">
        <v>594</v>
      </c>
      <c r="H3620" s="93" t="s">
        <v>6</v>
      </c>
      <c r="I3620" s="92" t="s">
        <v>7408</v>
      </c>
      <c r="J3620" s="106">
        <v>8197976689</v>
      </c>
      <c r="K3620" s="67"/>
      <c r="L3620" s="67"/>
      <c r="M3620" s="67"/>
      <c r="N3620" s="67"/>
      <c r="O3620" s="67"/>
    </row>
    <row r="3621" spans="1:15" ht="30.4">
      <c r="A3621" s="103" t="s">
        <v>15</v>
      </c>
      <c r="B3621" s="103" t="s">
        <v>15</v>
      </c>
      <c r="C3621" s="103" t="s">
        <v>354</v>
      </c>
      <c r="D3621" s="91" t="s">
        <v>7397</v>
      </c>
      <c r="E3621" s="126" t="s">
        <v>7409</v>
      </c>
      <c r="F3621" s="102" t="s">
        <v>139</v>
      </c>
      <c r="G3621" s="102" t="s">
        <v>594</v>
      </c>
      <c r="H3621" s="93" t="s">
        <v>35</v>
      </c>
      <c r="I3621" s="92" t="s">
        <v>7410</v>
      </c>
      <c r="J3621" s="106">
        <v>9493839665</v>
      </c>
      <c r="K3621" s="67"/>
      <c r="L3621" s="67"/>
      <c r="M3621" s="67"/>
      <c r="N3621" s="67"/>
      <c r="O3621" s="67"/>
    </row>
    <row r="3622" spans="1:15" ht="16.5">
      <c r="A3622" s="103" t="s">
        <v>7</v>
      </c>
      <c r="B3622" s="103" t="s">
        <v>706</v>
      </c>
      <c r="C3622" s="103" t="s">
        <v>718</v>
      </c>
      <c r="D3622" s="91" t="s">
        <v>718</v>
      </c>
      <c r="E3622" s="103" t="s">
        <v>7411</v>
      </c>
      <c r="F3622" s="91" t="s">
        <v>94</v>
      </c>
      <c r="G3622" s="91" t="s">
        <v>615</v>
      </c>
      <c r="H3622" s="93" t="s">
        <v>92</v>
      </c>
      <c r="I3622" s="92" t="s">
        <v>3336</v>
      </c>
      <c r="J3622" s="106">
        <v>9948455653</v>
      </c>
      <c r="K3622" s="67"/>
      <c r="L3622" s="67"/>
      <c r="M3622" s="67"/>
      <c r="N3622" s="67"/>
      <c r="O3622" s="67"/>
    </row>
    <row r="3623" spans="1:15" ht="30.4">
      <c r="A3623" s="103" t="s">
        <v>7</v>
      </c>
      <c r="B3623" s="103" t="s">
        <v>706</v>
      </c>
      <c r="C3623" s="103" t="s">
        <v>718</v>
      </c>
      <c r="D3623" s="91" t="s">
        <v>718</v>
      </c>
      <c r="E3623" s="103" t="s">
        <v>7412</v>
      </c>
      <c r="F3623" s="91" t="s">
        <v>94</v>
      </c>
      <c r="G3623" s="91" t="s">
        <v>615</v>
      </c>
      <c r="H3623" s="93" t="s">
        <v>92</v>
      </c>
      <c r="I3623" s="92" t="s">
        <v>3634</v>
      </c>
      <c r="J3623" s="106">
        <v>9000347090</v>
      </c>
      <c r="K3623" s="67"/>
      <c r="L3623" s="67"/>
      <c r="M3623" s="67"/>
      <c r="N3623" s="67"/>
      <c r="O3623" s="67"/>
    </row>
    <row r="3624" spans="1:15" ht="16.5">
      <c r="A3624" s="103" t="s">
        <v>7</v>
      </c>
      <c r="B3624" s="103" t="s">
        <v>706</v>
      </c>
      <c r="C3624" s="103" t="s">
        <v>718</v>
      </c>
      <c r="D3624" s="91" t="s">
        <v>718</v>
      </c>
      <c r="E3624" s="103" t="s">
        <v>7413</v>
      </c>
      <c r="F3624" s="91" t="s">
        <v>94</v>
      </c>
      <c r="G3624" s="91" t="s">
        <v>615</v>
      </c>
      <c r="H3624" s="93" t="s">
        <v>92</v>
      </c>
      <c r="I3624" s="92" t="s">
        <v>3185</v>
      </c>
      <c r="J3624" s="106">
        <v>7995721704</v>
      </c>
      <c r="K3624" s="67"/>
      <c r="L3624" s="67"/>
      <c r="M3624" s="67"/>
      <c r="N3624" s="67"/>
      <c r="O3624" s="67"/>
    </row>
    <row r="3625" spans="1:15" ht="30.4">
      <c r="A3625" s="103" t="s">
        <v>7</v>
      </c>
      <c r="B3625" s="103" t="s">
        <v>706</v>
      </c>
      <c r="C3625" s="103" t="s">
        <v>718</v>
      </c>
      <c r="D3625" s="91" t="s">
        <v>718</v>
      </c>
      <c r="E3625" s="103" t="s">
        <v>7414</v>
      </c>
      <c r="F3625" s="91" t="s">
        <v>94</v>
      </c>
      <c r="G3625" s="91" t="s">
        <v>615</v>
      </c>
      <c r="H3625" s="93" t="s">
        <v>4</v>
      </c>
      <c r="I3625" s="92" t="s">
        <v>7415</v>
      </c>
      <c r="J3625" s="106" t="s">
        <v>2631</v>
      </c>
      <c r="K3625" s="67"/>
      <c r="L3625" s="67"/>
      <c r="M3625" s="67"/>
      <c r="N3625" s="67"/>
      <c r="O3625" s="67"/>
    </row>
    <row r="3626" spans="1:15" ht="30.4">
      <c r="A3626" s="103" t="s">
        <v>7</v>
      </c>
      <c r="B3626" s="103" t="s">
        <v>706</v>
      </c>
      <c r="C3626" s="103" t="s">
        <v>718</v>
      </c>
      <c r="D3626" s="91" t="s">
        <v>718</v>
      </c>
      <c r="E3626" s="103" t="s">
        <v>7416</v>
      </c>
      <c r="F3626" s="91" t="s">
        <v>94</v>
      </c>
      <c r="G3626" s="91" t="s">
        <v>615</v>
      </c>
      <c r="H3626" s="93" t="s">
        <v>4</v>
      </c>
      <c r="I3626" s="92" t="s">
        <v>7415</v>
      </c>
      <c r="J3626" s="106" t="s">
        <v>2631</v>
      </c>
      <c r="K3626" s="67"/>
      <c r="L3626" s="67"/>
      <c r="M3626" s="67"/>
      <c r="N3626" s="67"/>
      <c r="O3626" s="67"/>
    </row>
    <row r="3627" spans="1:15" ht="16.5">
      <c r="A3627" s="103" t="s">
        <v>7</v>
      </c>
      <c r="B3627" s="103" t="s">
        <v>671</v>
      </c>
      <c r="C3627" s="103" t="s">
        <v>690</v>
      </c>
      <c r="D3627" s="91" t="s">
        <v>7417</v>
      </c>
      <c r="E3627" s="103" t="s">
        <v>7418</v>
      </c>
      <c r="F3627" s="91" t="s">
        <v>545</v>
      </c>
      <c r="G3627" s="91" t="s">
        <v>86</v>
      </c>
      <c r="H3627" s="93" t="s">
        <v>4</v>
      </c>
      <c r="I3627" s="92" t="s">
        <v>7408</v>
      </c>
      <c r="J3627" s="106">
        <v>8500811323</v>
      </c>
      <c r="K3627" s="67"/>
      <c r="L3627" s="67"/>
      <c r="M3627" s="67"/>
      <c r="N3627" s="67"/>
      <c r="O3627" s="67"/>
    </row>
    <row r="3628" spans="1:15" ht="16.5">
      <c r="A3628" s="103" t="s">
        <v>7</v>
      </c>
      <c r="B3628" s="103" t="s">
        <v>671</v>
      </c>
      <c r="C3628" s="103" t="s">
        <v>690</v>
      </c>
      <c r="D3628" s="91" t="s">
        <v>7417</v>
      </c>
      <c r="E3628" s="103" t="s">
        <v>7419</v>
      </c>
      <c r="F3628" s="91" t="s">
        <v>545</v>
      </c>
      <c r="G3628" s="91" t="s">
        <v>86</v>
      </c>
      <c r="H3628" s="93" t="s">
        <v>4</v>
      </c>
      <c r="I3628" s="92" t="s">
        <v>7408</v>
      </c>
      <c r="J3628" s="106">
        <v>7282644366</v>
      </c>
      <c r="K3628" s="67"/>
      <c r="L3628" s="67"/>
      <c r="M3628" s="67"/>
      <c r="N3628" s="67"/>
      <c r="O3628" s="67"/>
    </row>
    <row r="3629" spans="1:15" ht="16.5">
      <c r="A3629" s="103" t="s">
        <v>7</v>
      </c>
      <c r="B3629" s="103" t="s">
        <v>671</v>
      </c>
      <c r="C3629" s="103" t="s">
        <v>690</v>
      </c>
      <c r="D3629" s="91" t="s">
        <v>7417</v>
      </c>
      <c r="E3629" s="103" t="s">
        <v>7420</v>
      </c>
      <c r="F3629" s="91" t="s">
        <v>545</v>
      </c>
      <c r="G3629" s="91" t="s">
        <v>86</v>
      </c>
      <c r="H3629" s="93" t="s">
        <v>4</v>
      </c>
      <c r="I3629" s="92" t="s">
        <v>7408</v>
      </c>
      <c r="J3629" s="106">
        <v>9951419272</v>
      </c>
      <c r="K3629" s="67"/>
      <c r="L3629" s="67"/>
      <c r="M3629" s="67"/>
      <c r="N3629" s="67"/>
      <c r="O3629" s="67"/>
    </row>
    <row r="3630" spans="1:15" ht="30.4">
      <c r="A3630" s="103" t="s">
        <v>7</v>
      </c>
      <c r="B3630" s="103" t="s">
        <v>671</v>
      </c>
      <c r="C3630" s="103" t="s">
        <v>690</v>
      </c>
      <c r="D3630" s="91" t="s">
        <v>7417</v>
      </c>
      <c r="E3630" s="103" t="s">
        <v>7421</v>
      </c>
      <c r="F3630" s="91" t="s">
        <v>545</v>
      </c>
      <c r="G3630" s="91" t="s">
        <v>86</v>
      </c>
      <c r="H3630" s="93" t="s">
        <v>92</v>
      </c>
      <c r="I3630" s="92" t="s">
        <v>7422</v>
      </c>
      <c r="J3630" s="106">
        <v>9010448694</v>
      </c>
      <c r="K3630" s="67"/>
      <c r="L3630" s="67"/>
      <c r="M3630" s="67"/>
      <c r="N3630" s="67"/>
      <c r="O3630" s="67"/>
    </row>
    <row r="3631" spans="1:15" ht="16.5">
      <c r="A3631" s="103" t="s">
        <v>7</v>
      </c>
      <c r="B3631" s="103" t="s">
        <v>671</v>
      </c>
      <c r="C3631" s="103" t="s">
        <v>690</v>
      </c>
      <c r="D3631" s="91" t="s">
        <v>7417</v>
      </c>
      <c r="E3631" s="103" t="s">
        <v>7423</v>
      </c>
      <c r="F3631" s="91" t="s">
        <v>165</v>
      </c>
      <c r="G3631" s="91" t="s">
        <v>615</v>
      </c>
      <c r="H3631" s="93" t="s">
        <v>92</v>
      </c>
      <c r="I3631" s="92" t="s">
        <v>7424</v>
      </c>
      <c r="J3631" s="106" t="s">
        <v>2631</v>
      </c>
      <c r="K3631" s="67"/>
      <c r="L3631" s="67"/>
      <c r="M3631" s="67"/>
      <c r="N3631" s="67"/>
      <c r="O3631" s="67"/>
    </row>
    <row r="3632" spans="1:15" ht="16.5">
      <c r="A3632" s="103" t="s">
        <v>7</v>
      </c>
      <c r="B3632" s="103" t="s">
        <v>671</v>
      </c>
      <c r="C3632" s="103" t="s">
        <v>690</v>
      </c>
      <c r="D3632" s="91" t="s">
        <v>7417</v>
      </c>
      <c r="E3632" s="103" t="s">
        <v>7425</v>
      </c>
      <c r="F3632" s="91" t="s">
        <v>165</v>
      </c>
      <c r="G3632" s="91" t="s">
        <v>615</v>
      </c>
      <c r="H3632" s="93" t="s">
        <v>92</v>
      </c>
      <c r="I3632" s="92" t="s">
        <v>7426</v>
      </c>
      <c r="J3632" s="106">
        <v>7013498166</v>
      </c>
      <c r="K3632" s="67"/>
      <c r="L3632" s="67"/>
      <c r="M3632" s="67"/>
      <c r="N3632" s="67"/>
      <c r="O3632" s="67"/>
    </row>
    <row r="3633" spans="1:15" ht="16.5">
      <c r="A3633" s="103" t="s">
        <v>7</v>
      </c>
      <c r="B3633" s="103" t="s">
        <v>671</v>
      </c>
      <c r="C3633" s="103" t="s">
        <v>702</v>
      </c>
      <c r="D3633" s="91" t="s">
        <v>702</v>
      </c>
      <c r="E3633" s="103" t="s">
        <v>7427</v>
      </c>
      <c r="F3633" s="91" t="s">
        <v>586</v>
      </c>
      <c r="G3633" s="91" t="s">
        <v>615</v>
      </c>
      <c r="H3633" s="93" t="s">
        <v>92</v>
      </c>
      <c r="I3633" s="67"/>
      <c r="J3633" s="95"/>
      <c r="K3633" s="67"/>
      <c r="L3633" s="67"/>
      <c r="M3633" s="67"/>
      <c r="N3633" s="67"/>
      <c r="O3633" s="67"/>
    </row>
    <row r="3634" spans="1:15" ht="16.5">
      <c r="A3634" s="103" t="s">
        <v>7</v>
      </c>
      <c r="B3634" s="103" t="s">
        <v>671</v>
      </c>
      <c r="C3634" s="103" t="s">
        <v>702</v>
      </c>
      <c r="D3634" s="91" t="s">
        <v>702</v>
      </c>
      <c r="E3634" s="103" t="s">
        <v>7428</v>
      </c>
      <c r="F3634" s="91" t="s">
        <v>586</v>
      </c>
      <c r="G3634" s="91" t="s">
        <v>615</v>
      </c>
      <c r="H3634" s="93" t="s">
        <v>92</v>
      </c>
      <c r="I3634" s="67"/>
      <c r="J3634" s="95"/>
      <c r="K3634" s="67"/>
      <c r="L3634" s="67"/>
      <c r="M3634" s="67"/>
      <c r="N3634" s="67"/>
      <c r="O3634" s="67"/>
    </row>
    <row r="3635" spans="1:15" ht="16.5">
      <c r="A3635" s="103" t="s">
        <v>7</v>
      </c>
      <c r="B3635" s="103" t="s">
        <v>671</v>
      </c>
      <c r="C3635" s="103" t="s">
        <v>702</v>
      </c>
      <c r="D3635" s="91" t="s">
        <v>702</v>
      </c>
      <c r="E3635" s="103" t="s">
        <v>7429</v>
      </c>
      <c r="F3635" s="91" t="s">
        <v>586</v>
      </c>
      <c r="G3635" s="91" t="s">
        <v>615</v>
      </c>
      <c r="H3635" s="93" t="s">
        <v>92</v>
      </c>
      <c r="I3635" s="67"/>
      <c r="J3635" s="95"/>
      <c r="K3635" s="67"/>
      <c r="L3635" s="67"/>
      <c r="M3635" s="67"/>
      <c r="N3635" s="67"/>
      <c r="O3635" s="67"/>
    </row>
    <row r="3636" spans="1:15" ht="16.5">
      <c r="A3636" s="103" t="s">
        <v>7</v>
      </c>
      <c r="B3636" s="103" t="s">
        <v>671</v>
      </c>
      <c r="C3636" s="103" t="s">
        <v>702</v>
      </c>
      <c r="D3636" s="91" t="s">
        <v>702</v>
      </c>
      <c r="E3636" s="103" t="s">
        <v>7430</v>
      </c>
      <c r="F3636" s="91" t="s">
        <v>586</v>
      </c>
      <c r="G3636" s="91" t="s">
        <v>615</v>
      </c>
      <c r="H3636" s="93" t="s">
        <v>4</v>
      </c>
      <c r="I3636" s="67"/>
      <c r="J3636" s="95"/>
      <c r="K3636" s="67"/>
      <c r="L3636" s="67"/>
      <c r="M3636" s="67"/>
      <c r="N3636" s="67"/>
      <c r="O3636" s="67"/>
    </row>
    <row r="3637" spans="1:15" ht="16.5">
      <c r="A3637" s="103" t="s">
        <v>7</v>
      </c>
      <c r="B3637" s="103" t="s">
        <v>671</v>
      </c>
      <c r="C3637" s="103" t="s">
        <v>702</v>
      </c>
      <c r="D3637" s="91" t="s">
        <v>702</v>
      </c>
      <c r="E3637" s="103" t="s">
        <v>7431</v>
      </c>
      <c r="F3637" s="91" t="s">
        <v>586</v>
      </c>
      <c r="G3637" s="91" t="s">
        <v>615</v>
      </c>
      <c r="H3637" s="93" t="s">
        <v>4</v>
      </c>
      <c r="I3637" s="67"/>
      <c r="J3637" s="95"/>
      <c r="K3637" s="67"/>
      <c r="L3637" s="67"/>
      <c r="M3637" s="67"/>
      <c r="N3637" s="67"/>
      <c r="O3637" s="67"/>
    </row>
    <row r="3638" spans="1:15" ht="30.4">
      <c r="A3638" s="103" t="s">
        <v>7</v>
      </c>
      <c r="B3638" s="103" t="s">
        <v>671</v>
      </c>
      <c r="C3638" s="103" t="s">
        <v>704</v>
      </c>
      <c r="D3638" s="91" t="s">
        <v>7432</v>
      </c>
      <c r="E3638" s="103" t="s">
        <v>7433</v>
      </c>
      <c r="F3638" s="91" t="s">
        <v>586</v>
      </c>
      <c r="G3638" s="91" t="s">
        <v>615</v>
      </c>
      <c r="H3638" s="93" t="s">
        <v>4</v>
      </c>
      <c r="I3638" s="92" t="s">
        <v>4687</v>
      </c>
      <c r="J3638" s="106">
        <v>9676414151</v>
      </c>
      <c r="K3638" s="67"/>
      <c r="L3638" s="67"/>
      <c r="M3638" s="67"/>
      <c r="N3638" s="67"/>
      <c r="O3638" s="67"/>
    </row>
    <row r="3639" spans="1:15" ht="45.4">
      <c r="A3639" s="103" t="s">
        <v>7</v>
      </c>
      <c r="B3639" s="103" t="s">
        <v>671</v>
      </c>
      <c r="C3639" s="103" t="s">
        <v>704</v>
      </c>
      <c r="D3639" s="91" t="s">
        <v>7432</v>
      </c>
      <c r="E3639" s="103" t="s">
        <v>7434</v>
      </c>
      <c r="F3639" s="91" t="s">
        <v>586</v>
      </c>
      <c r="G3639" s="91" t="s">
        <v>615</v>
      </c>
      <c r="H3639" s="93" t="s">
        <v>4</v>
      </c>
      <c r="I3639" s="92" t="s">
        <v>7435</v>
      </c>
      <c r="J3639" s="106">
        <v>8897645167</v>
      </c>
      <c r="K3639" s="67"/>
      <c r="L3639" s="67"/>
      <c r="M3639" s="67"/>
      <c r="N3639" s="67"/>
      <c r="O3639" s="67"/>
    </row>
    <row r="3640" spans="1:15" ht="16.5">
      <c r="A3640" s="103" t="s">
        <v>7</v>
      </c>
      <c r="B3640" s="103" t="s">
        <v>671</v>
      </c>
      <c r="C3640" s="103" t="s">
        <v>704</v>
      </c>
      <c r="D3640" s="91" t="s">
        <v>7432</v>
      </c>
      <c r="E3640" s="103" t="s">
        <v>7436</v>
      </c>
      <c r="F3640" s="91" t="s">
        <v>586</v>
      </c>
      <c r="G3640" s="91" t="s">
        <v>615</v>
      </c>
      <c r="H3640" s="93" t="s">
        <v>4</v>
      </c>
      <c r="I3640" s="92" t="s">
        <v>3112</v>
      </c>
      <c r="J3640" s="106">
        <v>9701133123</v>
      </c>
      <c r="K3640" s="67"/>
      <c r="L3640" s="67"/>
      <c r="M3640" s="67"/>
      <c r="N3640" s="67"/>
      <c r="O3640" s="67"/>
    </row>
    <row r="3641" spans="1:15" ht="16.5">
      <c r="A3641" s="103" t="s">
        <v>7</v>
      </c>
      <c r="B3641" s="103" t="s">
        <v>671</v>
      </c>
      <c r="C3641" s="103" t="s">
        <v>704</v>
      </c>
      <c r="D3641" s="91" t="s">
        <v>7432</v>
      </c>
      <c r="E3641" s="103" t="s">
        <v>7437</v>
      </c>
      <c r="F3641" s="91" t="s">
        <v>136</v>
      </c>
      <c r="G3641" s="91" t="s">
        <v>615</v>
      </c>
      <c r="H3641" s="93" t="s">
        <v>92</v>
      </c>
      <c r="I3641" s="92" t="s">
        <v>3112</v>
      </c>
      <c r="J3641" s="106" t="s">
        <v>2631</v>
      </c>
      <c r="K3641" s="67"/>
      <c r="L3641" s="67"/>
      <c r="M3641" s="67"/>
      <c r="N3641" s="67"/>
      <c r="O3641" s="67"/>
    </row>
    <row r="3642" spans="1:15" ht="16.5">
      <c r="A3642" s="103" t="s">
        <v>7</v>
      </c>
      <c r="B3642" s="103" t="s">
        <v>671</v>
      </c>
      <c r="C3642" s="103" t="s">
        <v>704</v>
      </c>
      <c r="D3642" s="91" t="s">
        <v>7432</v>
      </c>
      <c r="E3642" s="103" t="s">
        <v>7438</v>
      </c>
      <c r="F3642" s="91" t="s">
        <v>586</v>
      </c>
      <c r="G3642" s="91" t="s">
        <v>615</v>
      </c>
      <c r="H3642" s="93" t="s">
        <v>92</v>
      </c>
      <c r="I3642" s="92" t="s">
        <v>3112</v>
      </c>
      <c r="J3642" s="106">
        <v>9908822772</v>
      </c>
      <c r="K3642" s="67"/>
      <c r="L3642" s="67"/>
      <c r="M3642" s="67"/>
      <c r="N3642" s="67"/>
      <c r="O3642" s="67"/>
    </row>
    <row r="3643" spans="1:15" ht="16.5">
      <c r="A3643" s="103" t="s">
        <v>7</v>
      </c>
      <c r="B3643" s="103" t="s">
        <v>671</v>
      </c>
      <c r="C3643" s="103" t="s">
        <v>704</v>
      </c>
      <c r="D3643" s="91" t="s">
        <v>7432</v>
      </c>
      <c r="E3643" s="103" t="s">
        <v>7439</v>
      </c>
      <c r="F3643" s="91" t="s">
        <v>586</v>
      </c>
      <c r="G3643" s="91" t="s">
        <v>615</v>
      </c>
      <c r="H3643" s="93" t="s">
        <v>92</v>
      </c>
      <c r="I3643" s="92" t="s">
        <v>3185</v>
      </c>
      <c r="J3643" s="106">
        <v>9441141489</v>
      </c>
      <c r="K3643" s="67"/>
      <c r="L3643" s="67"/>
      <c r="M3643" s="67"/>
      <c r="N3643" s="67"/>
      <c r="O3643" s="67"/>
    </row>
    <row r="3644" spans="1:15" ht="16.5">
      <c r="A3644" s="103" t="s">
        <v>10</v>
      </c>
      <c r="B3644" s="103" t="s">
        <v>166</v>
      </c>
      <c r="C3644" s="67"/>
      <c r="D3644" s="91" t="s">
        <v>483</v>
      </c>
      <c r="E3644" s="103" t="s">
        <v>7440</v>
      </c>
      <c r="F3644" s="91" t="s">
        <v>205</v>
      </c>
      <c r="G3644" s="91" t="s">
        <v>615</v>
      </c>
      <c r="H3644" s="93" t="s">
        <v>92</v>
      </c>
      <c r="I3644" s="92" t="s">
        <v>3336</v>
      </c>
      <c r="J3644" s="106">
        <v>9959322443</v>
      </c>
      <c r="K3644" s="67"/>
      <c r="L3644" s="67"/>
      <c r="M3644" s="67"/>
      <c r="N3644" s="67"/>
      <c r="O3644" s="67"/>
    </row>
    <row r="3645" spans="1:15" ht="16.5">
      <c r="A3645" s="103" t="s">
        <v>10</v>
      </c>
      <c r="B3645" s="103" t="s">
        <v>166</v>
      </c>
      <c r="C3645" s="67"/>
      <c r="D3645" s="91" t="s">
        <v>483</v>
      </c>
      <c r="E3645" s="103" t="s">
        <v>7441</v>
      </c>
      <c r="F3645" s="91" t="s">
        <v>205</v>
      </c>
      <c r="G3645" s="91" t="s">
        <v>615</v>
      </c>
      <c r="H3645" s="93" t="s">
        <v>92</v>
      </c>
      <c r="I3645" s="92" t="s">
        <v>3185</v>
      </c>
      <c r="J3645" s="106">
        <v>7075252457</v>
      </c>
      <c r="K3645" s="67"/>
      <c r="L3645" s="67"/>
      <c r="M3645" s="67"/>
      <c r="N3645" s="67"/>
      <c r="O3645" s="67"/>
    </row>
    <row r="3646" spans="1:15" ht="30.4">
      <c r="A3646" s="103" t="s">
        <v>10</v>
      </c>
      <c r="B3646" s="103" t="s">
        <v>166</v>
      </c>
      <c r="C3646" s="67"/>
      <c r="D3646" s="91" t="s">
        <v>483</v>
      </c>
      <c r="E3646" s="103" t="s">
        <v>7442</v>
      </c>
      <c r="F3646" s="91" t="s">
        <v>205</v>
      </c>
      <c r="G3646" s="91" t="s">
        <v>615</v>
      </c>
      <c r="H3646" s="93" t="s">
        <v>92</v>
      </c>
      <c r="I3646" s="92" t="s">
        <v>7443</v>
      </c>
      <c r="J3646" s="106">
        <v>9177832446</v>
      </c>
      <c r="K3646" s="67"/>
      <c r="L3646" s="67"/>
      <c r="M3646" s="67"/>
      <c r="N3646" s="67"/>
      <c r="O3646" s="67"/>
    </row>
    <row r="3647" spans="1:15" ht="30.4">
      <c r="A3647" s="103" t="s">
        <v>10</v>
      </c>
      <c r="B3647" s="103" t="s">
        <v>166</v>
      </c>
      <c r="C3647" s="67"/>
      <c r="D3647" s="91" t="s">
        <v>483</v>
      </c>
      <c r="E3647" s="103" t="s">
        <v>7444</v>
      </c>
      <c r="F3647" s="91" t="s">
        <v>205</v>
      </c>
      <c r="G3647" s="91" t="s">
        <v>615</v>
      </c>
      <c r="H3647" s="93" t="s">
        <v>4</v>
      </c>
      <c r="I3647" s="92" t="s">
        <v>4687</v>
      </c>
      <c r="J3647" s="106">
        <v>8341999894</v>
      </c>
      <c r="K3647" s="67"/>
      <c r="L3647" s="67"/>
      <c r="M3647" s="67"/>
      <c r="N3647" s="67"/>
      <c r="O3647" s="67"/>
    </row>
    <row r="3648" spans="1:15" ht="16.5">
      <c r="A3648" s="103" t="s">
        <v>10</v>
      </c>
      <c r="B3648" s="103" t="s">
        <v>166</v>
      </c>
      <c r="C3648" s="67"/>
      <c r="D3648" s="91" t="s">
        <v>483</v>
      </c>
      <c r="E3648" s="103" t="s">
        <v>7445</v>
      </c>
      <c r="F3648" s="91" t="s">
        <v>205</v>
      </c>
      <c r="G3648" s="91" t="s">
        <v>615</v>
      </c>
      <c r="H3648" s="93" t="s">
        <v>4</v>
      </c>
      <c r="I3648" s="92" t="s">
        <v>3112</v>
      </c>
      <c r="J3648" s="106" t="s">
        <v>2631</v>
      </c>
      <c r="K3648" s="67"/>
      <c r="L3648" s="67"/>
      <c r="M3648" s="67"/>
      <c r="N3648" s="67"/>
      <c r="O3648" s="67"/>
    </row>
    <row r="3649" spans="1:15" ht="16.5">
      <c r="A3649" s="103" t="s">
        <v>10</v>
      </c>
      <c r="B3649" s="103" t="s">
        <v>166</v>
      </c>
      <c r="C3649" s="67"/>
      <c r="D3649" s="91" t="s">
        <v>483</v>
      </c>
      <c r="E3649" s="103" t="s">
        <v>7446</v>
      </c>
      <c r="F3649" s="91" t="s">
        <v>205</v>
      </c>
      <c r="G3649" s="91" t="s">
        <v>615</v>
      </c>
      <c r="H3649" s="93" t="s">
        <v>6</v>
      </c>
      <c r="I3649" s="92" t="s">
        <v>3112</v>
      </c>
      <c r="J3649" s="106">
        <v>7794003836</v>
      </c>
      <c r="K3649" s="67"/>
      <c r="L3649" s="67"/>
      <c r="M3649" s="67"/>
      <c r="N3649" s="67"/>
      <c r="O3649" s="67"/>
    </row>
    <row r="3650" spans="1:15" ht="16.5">
      <c r="A3650" s="103" t="s">
        <v>8</v>
      </c>
      <c r="B3650" s="103" t="s">
        <v>633</v>
      </c>
      <c r="C3650" s="103" t="s">
        <v>637</v>
      </c>
      <c r="D3650" s="91" t="s">
        <v>7447</v>
      </c>
      <c r="E3650" s="103" t="s">
        <v>7448</v>
      </c>
      <c r="F3650" s="91" t="s">
        <v>165</v>
      </c>
      <c r="G3650" s="91" t="s">
        <v>615</v>
      </c>
      <c r="H3650" s="93" t="s">
        <v>92</v>
      </c>
      <c r="I3650" s="92" t="s">
        <v>3336</v>
      </c>
      <c r="J3650" s="106">
        <v>9652438990</v>
      </c>
      <c r="K3650" s="67"/>
      <c r="L3650" s="67"/>
      <c r="M3650" s="67"/>
      <c r="N3650" s="67"/>
      <c r="O3650" s="67"/>
    </row>
    <row r="3651" spans="1:15" ht="16.5">
      <c r="A3651" s="103" t="s">
        <v>8</v>
      </c>
      <c r="B3651" s="103" t="s">
        <v>633</v>
      </c>
      <c r="C3651" s="103" t="s">
        <v>637</v>
      </c>
      <c r="D3651" s="91" t="s">
        <v>7447</v>
      </c>
      <c r="E3651" s="91" t="s">
        <v>7449</v>
      </c>
      <c r="F3651" s="91" t="s">
        <v>165</v>
      </c>
      <c r="G3651" s="91" t="s">
        <v>615</v>
      </c>
      <c r="H3651" s="93" t="s">
        <v>92</v>
      </c>
      <c r="I3651" s="92" t="s">
        <v>3185</v>
      </c>
      <c r="J3651" s="106">
        <v>9652438990</v>
      </c>
      <c r="K3651" s="67"/>
      <c r="L3651" s="67"/>
      <c r="M3651" s="67"/>
      <c r="N3651" s="67"/>
      <c r="O3651" s="67"/>
    </row>
    <row r="3652" spans="1:15" ht="30.4">
      <c r="A3652" s="103" t="s">
        <v>8</v>
      </c>
      <c r="B3652" s="103" t="s">
        <v>633</v>
      </c>
      <c r="C3652" s="103" t="s">
        <v>637</v>
      </c>
      <c r="D3652" s="91" t="s">
        <v>7447</v>
      </c>
      <c r="E3652" s="103" t="s">
        <v>7450</v>
      </c>
      <c r="F3652" s="91" t="s">
        <v>165</v>
      </c>
      <c r="G3652" s="91" t="s">
        <v>615</v>
      </c>
      <c r="H3652" s="93" t="s">
        <v>4</v>
      </c>
      <c r="I3652" s="92" t="s">
        <v>6393</v>
      </c>
      <c r="J3652" s="106">
        <v>9866186838</v>
      </c>
      <c r="K3652" s="67"/>
      <c r="L3652" s="67"/>
      <c r="M3652" s="67"/>
      <c r="N3652" s="67"/>
      <c r="O3652" s="67"/>
    </row>
    <row r="3653" spans="1:15" ht="30.4">
      <c r="A3653" s="103" t="s">
        <v>8</v>
      </c>
      <c r="B3653" s="103" t="s">
        <v>633</v>
      </c>
      <c r="C3653" s="103" t="s">
        <v>637</v>
      </c>
      <c r="D3653" s="91" t="s">
        <v>7447</v>
      </c>
      <c r="E3653" s="103" t="s">
        <v>7451</v>
      </c>
      <c r="F3653" s="91" t="s">
        <v>165</v>
      </c>
      <c r="G3653" s="91" t="s">
        <v>615</v>
      </c>
      <c r="H3653" s="93" t="s">
        <v>4</v>
      </c>
      <c r="I3653" s="92" t="s">
        <v>7452</v>
      </c>
      <c r="J3653" s="106">
        <v>9866186838</v>
      </c>
      <c r="K3653" s="67"/>
      <c r="L3653" s="67"/>
      <c r="M3653" s="67"/>
      <c r="N3653" s="67"/>
      <c r="O3653" s="67"/>
    </row>
    <row r="3654" spans="1:15" ht="16.5">
      <c r="A3654" s="103" t="s">
        <v>8</v>
      </c>
      <c r="B3654" s="103" t="s">
        <v>633</v>
      </c>
      <c r="C3654" s="103" t="s">
        <v>640</v>
      </c>
      <c r="D3654" s="91" t="s">
        <v>640</v>
      </c>
      <c r="E3654" s="103" t="s">
        <v>7453</v>
      </c>
      <c r="F3654" s="91" t="s">
        <v>139</v>
      </c>
      <c r="G3654" s="91" t="s">
        <v>594</v>
      </c>
      <c r="H3654" s="93" t="s">
        <v>92</v>
      </c>
      <c r="I3654" s="92" t="s">
        <v>3336</v>
      </c>
      <c r="J3654" s="95"/>
      <c r="K3654" s="67"/>
      <c r="L3654" s="67"/>
      <c r="M3654" s="67"/>
      <c r="N3654" s="67"/>
      <c r="O3654" s="67"/>
    </row>
    <row r="3655" spans="1:15" ht="30.4">
      <c r="A3655" s="103" t="s">
        <v>8</v>
      </c>
      <c r="B3655" s="103" t="s">
        <v>633</v>
      </c>
      <c r="C3655" s="103" t="s">
        <v>640</v>
      </c>
      <c r="D3655" s="91" t="s">
        <v>640</v>
      </c>
      <c r="E3655" s="103" t="s">
        <v>7454</v>
      </c>
      <c r="F3655" s="91" t="s">
        <v>1634</v>
      </c>
      <c r="G3655" s="91" t="s">
        <v>86</v>
      </c>
      <c r="H3655" s="93" t="s">
        <v>92</v>
      </c>
      <c r="I3655" s="92" t="s">
        <v>7455</v>
      </c>
      <c r="J3655" s="95"/>
      <c r="K3655" s="67"/>
      <c r="L3655" s="67"/>
      <c r="M3655" s="67"/>
      <c r="N3655" s="67"/>
      <c r="O3655" s="67"/>
    </row>
    <row r="3656" spans="1:15" ht="16.5">
      <c r="A3656" s="103" t="s">
        <v>8</v>
      </c>
      <c r="B3656" s="103" t="s">
        <v>633</v>
      </c>
      <c r="C3656" s="103" t="s">
        <v>640</v>
      </c>
      <c r="D3656" s="91" t="s">
        <v>640</v>
      </c>
      <c r="E3656" s="103" t="s">
        <v>7456</v>
      </c>
      <c r="F3656" s="91" t="s">
        <v>139</v>
      </c>
      <c r="G3656" s="91" t="s">
        <v>594</v>
      </c>
      <c r="H3656" s="93" t="s">
        <v>92</v>
      </c>
      <c r="I3656" s="92" t="s">
        <v>3185</v>
      </c>
      <c r="J3656" s="95"/>
      <c r="K3656" s="67"/>
      <c r="L3656" s="67"/>
      <c r="M3656" s="67"/>
      <c r="N3656" s="67"/>
      <c r="O3656" s="67"/>
    </row>
  </sheetData>
  <autoFilter ref="A1:Z3656" xr:uid="{00000000-0009-0000-0000-000006000000}"/>
  <dataValidations count="1">
    <dataValidation type="list" allowBlank="1" showErrorMessage="1" sqref="A940:A3128 A3129:D3132 G2:G3656 C2:C1691 C1694:C2687 C2688:D2692 C2693:C2773 C2780:C3118 C3119:D3126 C3133:D3195 C3196:C3279 C3280:D3287 C3288:C3345 C3346:D3350 C3351:C3355 C3356:D3361 C3362:C3656 H2:H1074 H1080:H1083 H1182:H1188 H1238 H1365:H1369 H1460 H1534:H1536 H1608:H1609 H1692:H1693 H1716:H1717 H1720:H1722 H1924:H1927 H1957:H1960 H1982:H1984 H2441:H2452 H2499:H2506 H3157:H3179 A2:B939 B940:B3126 B3127:D3128 A3133:B3656 K2:K11 K13:K677 K700:K705 K716:K720 K1924:K1927 K2499:K2506 K2724:K2726 K2730:K2733 K2746:K2753 K2782 K2788:K2789 K2799:K2802 K3157:K3179 F2:F230 D231:F231 F232:F3656" xr:uid="{00000000-0002-0000-06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5370"/>
  <sheetViews>
    <sheetView workbookViewId="0">
      <pane ySplit="1" topLeftCell="A2" activePane="bottomLeft" state="frozen"/>
      <selection pane="bottomLeft" activeCell="B3" sqref="B3"/>
    </sheetView>
  </sheetViews>
  <sheetFormatPr defaultColWidth="12.59765625" defaultRowHeight="15.75" customHeight="1"/>
  <cols>
    <col min="2" max="2" width="22" customWidth="1"/>
    <col min="3" max="3" width="23.46484375" customWidth="1"/>
    <col min="8" max="8" width="14.46484375" customWidth="1"/>
    <col min="9" max="9" width="48.86328125" customWidth="1"/>
  </cols>
  <sheetData>
    <row r="1" spans="1:26" ht="15.75" customHeight="1">
      <c r="A1" s="133" t="s">
        <v>0</v>
      </c>
      <c r="B1" s="133" t="s">
        <v>7457</v>
      </c>
      <c r="C1" s="133" t="s">
        <v>7458</v>
      </c>
      <c r="D1" s="133" t="s">
        <v>21</v>
      </c>
      <c r="E1" s="133" t="s">
        <v>57</v>
      </c>
      <c r="F1" s="133" t="s">
        <v>7459</v>
      </c>
      <c r="G1" s="134" t="s">
        <v>1583</v>
      </c>
      <c r="H1" s="134" t="s">
        <v>23</v>
      </c>
      <c r="I1" s="134" t="s">
        <v>2033</v>
      </c>
      <c r="J1" s="135"/>
      <c r="K1" s="135"/>
      <c r="L1" s="135"/>
      <c r="M1" s="135"/>
      <c r="N1" s="135"/>
      <c r="O1" s="135"/>
      <c r="P1" s="135"/>
      <c r="Q1" s="135"/>
      <c r="R1" s="135"/>
      <c r="S1" s="135"/>
      <c r="T1" s="135"/>
      <c r="U1" s="135"/>
      <c r="V1" s="135"/>
      <c r="W1" s="135"/>
      <c r="X1" s="135"/>
      <c r="Y1" s="135"/>
      <c r="Z1" s="135"/>
    </row>
    <row r="2" spans="1:26">
      <c r="A2" s="136" t="s">
        <v>7</v>
      </c>
      <c r="B2" s="136" t="s">
        <v>7460</v>
      </c>
      <c r="C2" s="136" t="s">
        <v>7461</v>
      </c>
      <c r="D2" s="136" t="s">
        <v>1669</v>
      </c>
      <c r="E2" s="136" t="s">
        <v>615</v>
      </c>
      <c r="F2" s="136">
        <v>258</v>
      </c>
      <c r="G2" s="137">
        <f t="shared" ref="G2:G256" si="0">COUNTIFS($C:$C,C2,$F:$F,"&gt;"&amp;F2)
 + COUNTIFS($C$2:C2,C2,$F$2:F2,F2)</f>
        <v>1</v>
      </c>
      <c r="H2" s="137"/>
      <c r="I2" s="137"/>
      <c r="J2" s="135"/>
      <c r="K2" s="135"/>
      <c r="L2" s="135"/>
      <c r="M2" s="135"/>
      <c r="N2" s="135"/>
      <c r="O2" s="135"/>
      <c r="P2" s="135"/>
      <c r="Q2" s="135"/>
      <c r="R2" s="135"/>
      <c r="S2" s="135"/>
      <c r="T2" s="135"/>
      <c r="U2" s="135"/>
      <c r="V2" s="135"/>
      <c r="W2" s="135"/>
      <c r="X2" s="135"/>
      <c r="Y2" s="135"/>
      <c r="Z2" s="135"/>
    </row>
    <row r="3" spans="1:26">
      <c r="A3" s="136" t="s">
        <v>7</v>
      </c>
      <c r="B3" s="136" t="s">
        <v>7460</v>
      </c>
      <c r="C3" s="136" t="s">
        <v>7461</v>
      </c>
      <c r="D3" s="136" t="s">
        <v>7462</v>
      </c>
      <c r="E3" s="136" t="s">
        <v>615</v>
      </c>
      <c r="F3" s="136">
        <v>253</v>
      </c>
      <c r="G3" s="137">
        <f t="shared" si="0"/>
        <v>2</v>
      </c>
      <c r="H3" s="137"/>
      <c r="I3" s="137"/>
      <c r="J3" s="135"/>
      <c r="K3" s="135"/>
      <c r="L3" s="135"/>
      <c r="M3" s="135"/>
      <c r="N3" s="135"/>
      <c r="O3" s="135"/>
      <c r="P3" s="135"/>
      <c r="Q3" s="135"/>
      <c r="R3" s="135"/>
      <c r="S3" s="135"/>
      <c r="T3" s="135"/>
      <c r="U3" s="135"/>
      <c r="V3" s="135"/>
      <c r="W3" s="135"/>
      <c r="X3" s="135"/>
      <c r="Y3" s="135"/>
      <c r="Z3" s="135"/>
    </row>
    <row r="4" spans="1:26">
      <c r="A4" s="136" t="s">
        <v>7</v>
      </c>
      <c r="B4" s="136" t="s">
        <v>7460</v>
      </c>
      <c r="C4" s="136" t="s">
        <v>7461</v>
      </c>
      <c r="D4" s="136" t="s">
        <v>114</v>
      </c>
      <c r="E4" s="136" t="s">
        <v>85</v>
      </c>
      <c r="F4" s="136">
        <v>224</v>
      </c>
      <c r="G4" s="137">
        <f t="shared" si="0"/>
        <v>3</v>
      </c>
      <c r="H4" s="137"/>
      <c r="I4" s="137"/>
      <c r="J4" s="135"/>
      <c r="K4" s="135"/>
      <c r="L4" s="135"/>
      <c r="M4" s="135"/>
      <c r="N4" s="135"/>
      <c r="O4" s="135"/>
      <c r="P4" s="135"/>
      <c r="Q4" s="135"/>
      <c r="R4" s="135"/>
      <c r="S4" s="135"/>
      <c r="T4" s="135"/>
      <c r="U4" s="135"/>
      <c r="V4" s="135"/>
      <c r="W4" s="135"/>
      <c r="X4" s="135"/>
      <c r="Y4" s="135"/>
      <c r="Z4" s="135"/>
    </row>
    <row r="5" spans="1:26">
      <c r="A5" s="136" t="s">
        <v>7</v>
      </c>
      <c r="B5" s="136" t="s">
        <v>7460</v>
      </c>
      <c r="C5" s="136" t="s">
        <v>7461</v>
      </c>
      <c r="D5" s="136" t="s">
        <v>467</v>
      </c>
      <c r="E5" s="136" t="s">
        <v>85</v>
      </c>
      <c r="F5" s="136">
        <v>208</v>
      </c>
      <c r="G5" s="137">
        <f t="shared" si="0"/>
        <v>4</v>
      </c>
      <c r="H5" s="137"/>
      <c r="I5" s="137"/>
      <c r="J5" s="135"/>
      <c r="K5" s="135"/>
      <c r="L5" s="135"/>
      <c r="M5" s="135"/>
      <c r="N5" s="135"/>
      <c r="O5" s="135"/>
      <c r="P5" s="135"/>
      <c r="Q5" s="135"/>
      <c r="R5" s="135"/>
      <c r="S5" s="135"/>
      <c r="T5" s="135"/>
      <c r="U5" s="135"/>
      <c r="V5" s="135"/>
      <c r="W5" s="135"/>
      <c r="X5" s="135"/>
      <c r="Y5" s="135"/>
      <c r="Z5" s="135"/>
    </row>
    <row r="6" spans="1:26">
      <c r="A6" s="136" t="s">
        <v>7</v>
      </c>
      <c r="B6" s="136" t="s">
        <v>7460</v>
      </c>
      <c r="C6" s="136" t="s">
        <v>7461</v>
      </c>
      <c r="D6" s="136" t="s">
        <v>1665</v>
      </c>
      <c r="E6" s="136" t="s">
        <v>615</v>
      </c>
      <c r="F6" s="136">
        <v>85</v>
      </c>
      <c r="G6" s="137">
        <f t="shared" si="0"/>
        <v>5</v>
      </c>
      <c r="H6" s="137"/>
      <c r="I6" s="137"/>
      <c r="J6" s="135"/>
      <c r="K6" s="135"/>
      <c r="L6" s="135"/>
      <c r="M6" s="135"/>
      <c r="N6" s="135"/>
      <c r="O6" s="135"/>
      <c r="P6" s="135"/>
      <c r="Q6" s="135"/>
      <c r="R6" s="135"/>
      <c r="S6" s="135"/>
      <c r="T6" s="135"/>
      <c r="U6" s="135"/>
      <c r="V6" s="135"/>
      <c r="W6" s="135"/>
      <c r="X6" s="135"/>
      <c r="Y6" s="135"/>
      <c r="Z6" s="135"/>
    </row>
    <row r="7" spans="1:26">
      <c r="A7" s="136" t="s">
        <v>7</v>
      </c>
      <c r="B7" s="136" t="s">
        <v>7460</v>
      </c>
      <c r="C7" s="136" t="s">
        <v>7461</v>
      </c>
      <c r="D7" s="136" t="s">
        <v>7463</v>
      </c>
      <c r="E7" s="136" t="s">
        <v>615</v>
      </c>
      <c r="F7" s="136">
        <v>64</v>
      </c>
      <c r="G7" s="137">
        <f t="shared" si="0"/>
        <v>6</v>
      </c>
      <c r="H7" s="137"/>
      <c r="I7" s="137"/>
      <c r="J7" s="135"/>
      <c r="K7" s="135"/>
      <c r="L7" s="135"/>
      <c r="M7" s="135"/>
      <c r="N7" s="135"/>
      <c r="O7" s="135"/>
      <c r="P7" s="135"/>
      <c r="Q7" s="135"/>
      <c r="R7" s="135"/>
      <c r="S7" s="135"/>
      <c r="T7" s="135"/>
      <c r="U7" s="135"/>
      <c r="V7" s="135"/>
      <c r="W7" s="135"/>
      <c r="X7" s="135"/>
      <c r="Y7" s="135"/>
      <c r="Z7" s="135"/>
    </row>
    <row r="8" spans="1:26">
      <c r="A8" s="136" t="s">
        <v>7</v>
      </c>
      <c r="B8" s="136" t="s">
        <v>7460</v>
      </c>
      <c r="C8" s="136" t="s">
        <v>7461</v>
      </c>
      <c r="D8" s="136" t="s">
        <v>7464</v>
      </c>
      <c r="E8" s="136" t="s">
        <v>615</v>
      </c>
      <c r="F8" s="136">
        <v>39</v>
      </c>
      <c r="G8" s="137">
        <f t="shared" si="0"/>
        <v>7</v>
      </c>
      <c r="H8" s="137"/>
      <c r="I8" s="137"/>
      <c r="J8" s="135"/>
      <c r="K8" s="135"/>
      <c r="L8" s="135"/>
      <c r="M8" s="135"/>
      <c r="N8" s="135"/>
      <c r="O8" s="135"/>
      <c r="P8" s="135"/>
      <c r="Q8" s="135"/>
      <c r="R8" s="135"/>
      <c r="S8" s="135"/>
      <c r="T8" s="135"/>
      <c r="U8" s="135"/>
      <c r="V8" s="135"/>
      <c r="W8" s="135"/>
      <c r="X8" s="135"/>
      <c r="Y8" s="135"/>
      <c r="Z8" s="135"/>
    </row>
    <row r="9" spans="1:26">
      <c r="A9" s="136" t="s">
        <v>7</v>
      </c>
      <c r="B9" s="136" t="s">
        <v>7460</v>
      </c>
      <c r="C9" s="136" t="s">
        <v>7461</v>
      </c>
      <c r="D9" s="136" t="s">
        <v>7465</v>
      </c>
      <c r="E9" s="136" t="s">
        <v>615</v>
      </c>
      <c r="F9" s="136">
        <v>25</v>
      </c>
      <c r="G9" s="137">
        <f t="shared" si="0"/>
        <v>8</v>
      </c>
      <c r="H9" s="137"/>
      <c r="I9" s="137"/>
      <c r="J9" s="135"/>
      <c r="K9" s="135"/>
      <c r="L9" s="135"/>
      <c r="M9" s="135"/>
      <c r="N9" s="135"/>
      <c r="O9" s="135"/>
      <c r="P9" s="135"/>
      <c r="Q9" s="135"/>
      <c r="R9" s="135"/>
      <c r="S9" s="135"/>
      <c r="T9" s="135"/>
      <c r="U9" s="135"/>
      <c r="V9" s="135"/>
      <c r="W9" s="135"/>
      <c r="X9" s="135"/>
      <c r="Y9" s="135"/>
      <c r="Z9" s="135"/>
    </row>
    <row r="10" spans="1:26">
      <c r="A10" s="136" t="s">
        <v>7</v>
      </c>
      <c r="B10" s="136" t="s">
        <v>7460</v>
      </c>
      <c r="C10" s="136" t="s">
        <v>7461</v>
      </c>
      <c r="D10" s="136" t="s">
        <v>139</v>
      </c>
      <c r="E10" s="136" t="s">
        <v>594</v>
      </c>
      <c r="F10" s="136">
        <v>15</v>
      </c>
      <c r="G10" s="137">
        <f t="shared" si="0"/>
        <v>9</v>
      </c>
      <c r="H10" s="137"/>
      <c r="I10" s="137"/>
      <c r="J10" s="135"/>
      <c r="K10" s="135"/>
      <c r="L10" s="135"/>
      <c r="M10" s="135"/>
      <c r="N10" s="135"/>
      <c r="O10" s="135"/>
      <c r="P10" s="135"/>
      <c r="Q10" s="135"/>
      <c r="R10" s="135"/>
      <c r="S10" s="135"/>
      <c r="T10" s="135"/>
      <c r="U10" s="135"/>
      <c r="V10" s="135"/>
      <c r="W10" s="135"/>
      <c r="X10" s="135"/>
      <c r="Y10" s="135"/>
      <c r="Z10" s="135"/>
    </row>
    <row r="11" spans="1:26">
      <c r="A11" s="136" t="s">
        <v>7</v>
      </c>
      <c r="B11" s="136" t="s">
        <v>7460</v>
      </c>
      <c r="C11" s="136" t="s">
        <v>7466</v>
      </c>
      <c r="D11" s="136" t="s">
        <v>7467</v>
      </c>
      <c r="E11" s="136" t="s">
        <v>594</v>
      </c>
      <c r="F11" s="136">
        <v>1297</v>
      </c>
      <c r="G11" s="137">
        <f t="shared" si="0"/>
        <v>1</v>
      </c>
      <c r="H11" s="137"/>
      <c r="I11" s="137"/>
      <c r="J11" s="135"/>
      <c r="K11" s="135"/>
      <c r="L11" s="135"/>
      <c r="M11" s="135"/>
      <c r="N11" s="135"/>
      <c r="O11" s="135"/>
      <c r="P11" s="135"/>
      <c r="Q11" s="135"/>
      <c r="R11" s="135"/>
      <c r="S11" s="135"/>
      <c r="T11" s="135"/>
      <c r="U11" s="135"/>
      <c r="V11" s="135"/>
      <c r="W11" s="135"/>
      <c r="X11" s="135"/>
      <c r="Y11" s="135"/>
      <c r="Z11" s="135"/>
    </row>
    <row r="12" spans="1:26">
      <c r="A12" s="136" t="s">
        <v>7</v>
      </c>
      <c r="B12" s="136" t="s">
        <v>7460</v>
      </c>
      <c r="C12" s="136" t="s">
        <v>7466</v>
      </c>
      <c r="D12" s="136" t="s">
        <v>114</v>
      </c>
      <c r="E12" s="136" t="s">
        <v>85</v>
      </c>
      <c r="F12" s="136">
        <v>420</v>
      </c>
      <c r="G12" s="137">
        <f t="shared" si="0"/>
        <v>2</v>
      </c>
      <c r="H12" s="137"/>
      <c r="I12" s="137"/>
      <c r="J12" s="135"/>
      <c r="K12" s="135"/>
      <c r="L12" s="135"/>
      <c r="M12" s="135"/>
      <c r="N12" s="135"/>
      <c r="O12" s="135"/>
      <c r="P12" s="135"/>
      <c r="Q12" s="135"/>
      <c r="R12" s="135"/>
      <c r="S12" s="135"/>
      <c r="T12" s="135"/>
      <c r="U12" s="135"/>
      <c r="V12" s="135"/>
      <c r="W12" s="135"/>
      <c r="X12" s="135"/>
      <c r="Y12" s="135"/>
      <c r="Z12" s="135"/>
    </row>
    <row r="13" spans="1:26">
      <c r="A13" s="136" t="s">
        <v>7</v>
      </c>
      <c r="B13" s="136" t="s">
        <v>7460</v>
      </c>
      <c r="C13" s="136" t="s">
        <v>7466</v>
      </c>
      <c r="D13" s="136" t="s">
        <v>7468</v>
      </c>
      <c r="E13" s="136" t="s">
        <v>594</v>
      </c>
      <c r="F13" s="136">
        <v>335</v>
      </c>
      <c r="G13" s="137">
        <f t="shared" si="0"/>
        <v>3</v>
      </c>
      <c r="H13" s="137"/>
      <c r="I13" s="137"/>
      <c r="J13" s="135"/>
      <c r="K13" s="135"/>
      <c r="L13" s="135"/>
      <c r="M13" s="135"/>
      <c r="N13" s="135"/>
      <c r="O13" s="135"/>
      <c r="P13" s="135"/>
      <c r="Q13" s="135"/>
      <c r="R13" s="135"/>
      <c r="S13" s="135"/>
      <c r="T13" s="135"/>
      <c r="U13" s="135"/>
      <c r="V13" s="135"/>
      <c r="W13" s="135"/>
      <c r="X13" s="135"/>
      <c r="Y13" s="135"/>
      <c r="Z13" s="135"/>
    </row>
    <row r="14" spans="1:26">
      <c r="A14" s="136" t="s">
        <v>7</v>
      </c>
      <c r="B14" s="136" t="s">
        <v>7460</v>
      </c>
      <c r="C14" s="136" t="s">
        <v>7466</v>
      </c>
      <c r="D14" s="136" t="s">
        <v>467</v>
      </c>
      <c r="E14" s="136" t="s">
        <v>85</v>
      </c>
      <c r="F14" s="136">
        <v>270</v>
      </c>
      <c r="G14" s="137">
        <f t="shared" si="0"/>
        <v>4</v>
      </c>
      <c r="H14" s="137"/>
      <c r="I14" s="137"/>
      <c r="J14" s="135"/>
      <c r="K14" s="135"/>
      <c r="L14" s="135"/>
      <c r="M14" s="135"/>
      <c r="N14" s="135"/>
      <c r="O14" s="135"/>
      <c r="P14" s="135"/>
      <c r="Q14" s="135"/>
      <c r="R14" s="135"/>
      <c r="S14" s="135"/>
      <c r="T14" s="135"/>
      <c r="U14" s="135"/>
      <c r="V14" s="135"/>
      <c r="W14" s="135"/>
      <c r="X14" s="135"/>
      <c r="Y14" s="135"/>
      <c r="Z14" s="135"/>
    </row>
    <row r="15" spans="1:26">
      <c r="A15" s="136" t="s">
        <v>7</v>
      </c>
      <c r="B15" s="136" t="s">
        <v>7460</v>
      </c>
      <c r="C15" s="136" t="s">
        <v>7466</v>
      </c>
      <c r="D15" s="136" t="s">
        <v>7469</v>
      </c>
      <c r="E15" s="136" t="s">
        <v>594</v>
      </c>
      <c r="F15" s="136">
        <v>30</v>
      </c>
      <c r="G15" s="137">
        <f t="shared" si="0"/>
        <v>5</v>
      </c>
      <c r="H15" s="137"/>
      <c r="I15" s="137"/>
      <c r="J15" s="135"/>
      <c r="K15" s="135"/>
      <c r="L15" s="135"/>
      <c r="M15" s="135"/>
      <c r="N15" s="135"/>
      <c r="O15" s="135"/>
      <c r="P15" s="135"/>
      <c r="Q15" s="135"/>
      <c r="R15" s="135"/>
      <c r="S15" s="135"/>
      <c r="T15" s="135"/>
      <c r="U15" s="135"/>
      <c r="V15" s="135"/>
      <c r="W15" s="135"/>
      <c r="X15" s="135"/>
      <c r="Y15" s="135"/>
      <c r="Z15" s="135"/>
    </row>
    <row r="16" spans="1:26">
      <c r="A16" s="136" t="s">
        <v>7</v>
      </c>
      <c r="B16" s="136" t="s">
        <v>7460</v>
      </c>
      <c r="C16" s="136" t="s">
        <v>7466</v>
      </c>
      <c r="D16" s="136" t="s">
        <v>1669</v>
      </c>
      <c r="E16" s="136" t="s">
        <v>615</v>
      </c>
      <c r="F16" s="136">
        <v>9</v>
      </c>
      <c r="G16" s="137">
        <f t="shared" si="0"/>
        <v>6</v>
      </c>
      <c r="H16" s="137"/>
      <c r="I16" s="137"/>
      <c r="J16" s="135"/>
      <c r="K16" s="135"/>
      <c r="L16" s="135"/>
      <c r="M16" s="135"/>
      <c r="N16" s="135"/>
      <c r="O16" s="135"/>
      <c r="P16" s="135"/>
      <c r="Q16" s="135"/>
      <c r="R16" s="135"/>
      <c r="S16" s="135"/>
      <c r="T16" s="135"/>
      <c r="U16" s="135"/>
      <c r="V16" s="135"/>
      <c r="W16" s="135"/>
      <c r="X16" s="135"/>
      <c r="Y16" s="135"/>
      <c r="Z16" s="135"/>
    </row>
    <row r="17" spans="1:26">
      <c r="A17" s="136" t="s">
        <v>7</v>
      </c>
      <c r="B17" s="136" t="s">
        <v>7460</v>
      </c>
      <c r="C17" s="136" t="s">
        <v>7466</v>
      </c>
      <c r="D17" s="136" t="s">
        <v>7463</v>
      </c>
      <c r="E17" s="136" t="s">
        <v>615</v>
      </c>
      <c r="F17" s="136">
        <v>8</v>
      </c>
      <c r="G17" s="137">
        <f t="shared" si="0"/>
        <v>7</v>
      </c>
      <c r="H17" s="137"/>
      <c r="I17" s="137"/>
      <c r="J17" s="135"/>
      <c r="K17" s="135"/>
      <c r="L17" s="135"/>
      <c r="M17" s="135"/>
      <c r="N17" s="135"/>
      <c r="O17" s="135"/>
      <c r="P17" s="135"/>
      <c r="Q17" s="135"/>
      <c r="R17" s="135"/>
      <c r="S17" s="135"/>
      <c r="T17" s="135"/>
      <c r="U17" s="135"/>
      <c r="V17" s="135"/>
      <c r="W17" s="135"/>
      <c r="X17" s="135"/>
      <c r="Y17" s="135"/>
      <c r="Z17" s="135"/>
    </row>
    <row r="18" spans="1:26">
      <c r="A18" s="136" t="s">
        <v>7</v>
      </c>
      <c r="B18" s="136" t="s">
        <v>7460</v>
      </c>
      <c r="C18" s="136" t="s">
        <v>7466</v>
      </c>
      <c r="D18" s="136" t="s">
        <v>7470</v>
      </c>
      <c r="E18" s="136" t="s">
        <v>594</v>
      </c>
      <c r="F18" s="136">
        <v>7</v>
      </c>
      <c r="G18" s="137">
        <f t="shared" si="0"/>
        <v>8</v>
      </c>
      <c r="H18" s="137"/>
      <c r="I18" s="137"/>
      <c r="J18" s="135"/>
      <c r="K18" s="135"/>
      <c r="L18" s="135"/>
      <c r="M18" s="135"/>
      <c r="N18" s="135"/>
      <c r="O18" s="135"/>
      <c r="P18" s="135"/>
      <c r="Q18" s="135"/>
      <c r="R18" s="135"/>
      <c r="S18" s="135"/>
      <c r="T18" s="135"/>
      <c r="U18" s="135"/>
      <c r="V18" s="135"/>
      <c r="W18" s="135"/>
      <c r="X18" s="135"/>
      <c r="Y18" s="135"/>
      <c r="Z18" s="135"/>
    </row>
    <row r="19" spans="1:26" ht="12.75">
      <c r="A19" s="136" t="s">
        <v>7</v>
      </c>
      <c r="B19" s="136" t="s">
        <v>7460</v>
      </c>
      <c r="C19" s="136" t="s">
        <v>7466</v>
      </c>
      <c r="D19" s="136" t="s">
        <v>165</v>
      </c>
      <c r="E19" s="136" t="s">
        <v>615</v>
      </c>
      <c r="F19" s="136">
        <v>6</v>
      </c>
      <c r="G19" s="137">
        <f t="shared" si="0"/>
        <v>9</v>
      </c>
      <c r="H19" s="137"/>
      <c r="I19" s="137"/>
      <c r="J19" s="135"/>
      <c r="K19" s="135"/>
      <c r="L19" s="135"/>
      <c r="M19" s="135"/>
      <c r="N19" s="135"/>
      <c r="O19" s="135"/>
      <c r="P19" s="135"/>
      <c r="Q19" s="135"/>
      <c r="R19" s="135"/>
      <c r="S19" s="135"/>
      <c r="T19" s="135"/>
      <c r="U19" s="135"/>
      <c r="V19" s="135"/>
      <c r="W19" s="135"/>
      <c r="X19" s="135"/>
      <c r="Y19" s="135"/>
      <c r="Z19" s="135"/>
    </row>
    <row r="20" spans="1:26" ht="12.75">
      <c r="A20" s="136" t="s">
        <v>7</v>
      </c>
      <c r="B20" s="136" t="s">
        <v>7460</v>
      </c>
      <c r="C20" s="136" t="s">
        <v>7466</v>
      </c>
      <c r="D20" s="136" t="s">
        <v>1665</v>
      </c>
      <c r="E20" s="136" t="s">
        <v>615</v>
      </c>
      <c r="F20" s="136">
        <v>5</v>
      </c>
      <c r="G20" s="137">
        <f t="shared" si="0"/>
        <v>10</v>
      </c>
      <c r="H20" s="137"/>
      <c r="I20" s="137"/>
      <c r="J20" s="135"/>
      <c r="K20" s="135"/>
      <c r="L20" s="135"/>
      <c r="M20" s="135"/>
      <c r="N20" s="135"/>
      <c r="O20" s="135"/>
      <c r="P20" s="135"/>
      <c r="Q20" s="135"/>
      <c r="R20" s="135"/>
      <c r="S20" s="135"/>
      <c r="T20" s="135"/>
      <c r="U20" s="135"/>
      <c r="V20" s="135"/>
      <c r="W20" s="135"/>
      <c r="X20" s="135"/>
      <c r="Y20" s="135"/>
      <c r="Z20" s="135"/>
    </row>
    <row r="21" spans="1:26" ht="12.75">
      <c r="A21" s="136" t="s">
        <v>7</v>
      </c>
      <c r="B21" s="136" t="s">
        <v>7460</v>
      </c>
      <c r="C21" s="136" t="s">
        <v>7466</v>
      </c>
      <c r="D21" s="136" t="s">
        <v>7471</v>
      </c>
      <c r="E21" s="136" t="s">
        <v>615</v>
      </c>
      <c r="F21" s="136">
        <v>2</v>
      </c>
      <c r="G21" s="137">
        <f t="shared" si="0"/>
        <v>11</v>
      </c>
      <c r="H21" s="137"/>
      <c r="I21" s="137"/>
      <c r="J21" s="135"/>
      <c r="K21" s="135"/>
      <c r="L21" s="135"/>
      <c r="M21" s="135"/>
      <c r="N21" s="135"/>
      <c r="O21" s="135"/>
      <c r="P21" s="135"/>
      <c r="Q21" s="135"/>
      <c r="R21" s="135"/>
      <c r="S21" s="135"/>
      <c r="T21" s="135"/>
      <c r="U21" s="135"/>
      <c r="V21" s="135"/>
      <c r="W21" s="135"/>
      <c r="X21" s="135"/>
      <c r="Y21" s="135"/>
      <c r="Z21" s="135"/>
    </row>
    <row r="22" spans="1:26" ht="12.75">
      <c r="A22" s="136" t="s">
        <v>7</v>
      </c>
      <c r="B22" s="136" t="s">
        <v>7460</v>
      </c>
      <c r="C22" s="136" t="s">
        <v>753</v>
      </c>
      <c r="D22" s="136" t="s">
        <v>7472</v>
      </c>
      <c r="E22" s="136" t="s">
        <v>615</v>
      </c>
      <c r="F22" s="136">
        <v>1353</v>
      </c>
      <c r="G22" s="137">
        <f t="shared" si="0"/>
        <v>1</v>
      </c>
      <c r="H22" s="137"/>
      <c r="I22" s="137"/>
      <c r="J22" s="135"/>
      <c r="K22" s="135"/>
      <c r="L22" s="135"/>
      <c r="M22" s="135"/>
      <c r="N22" s="135"/>
      <c r="O22" s="135"/>
      <c r="P22" s="135"/>
      <c r="Q22" s="135"/>
      <c r="R22" s="135"/>
      <c r="S22" s="135"/>
      <c r="T22" s="135"/>
      <c r="U22" s="135"/>
      <c r="V22" s="135"/>
      <c r="W22" s="135"/>
      <c r="X22" s="135"/>
      <c r="Y22" s="135"/>
      <c r="Z22" s="135"/>
    </row>
    <row r="23" spans="1:26" ht="12.75">
      <c r="A23" s="136" t="s">
        <v>7</v>
      </c>
      <c r="B23" s="136" t="s">
        <v>7460</v>
      </c>
      <c r="C23" s="136" t="s">
        <v>753</v>
      </c>
      <c r="D23" s="136" t="s">
        <v>114</v>
      </c>
      <c r="E23" s="136" t="s">
        <v>85</v>
      </c>
      <c r="F23" s="136">
        <v>221</v>
      </c>
      <c r="G23" s="137">
        <f t="shared" si="0"/>
        <v>2</v>
      </c>
      <c r="H23" s="137"/>
      <c r="I23" s="137"/>
      <c r="J23" s="135"/>
      <c r="K23" s="135"/>
      <c r="L23" s="135"/>
      <c r="M23" s="135"/>
      <c r="N23" s="135"/>
      <c r="O23" s="135"/>
      <c r="P23" s="135"/>
      <c r="Q23" s="135"/>
      <c r="R23" s="135"/>
      <c r="S23" s="135"/>
      <c r="T23" s="135"/>
      <c r="U23" s="135"/>
      <c r="V23" s="135"/>
      <c r="W23" s="135"/>
      <c r="X23" s="135"/>
      <c r="Y23" s="135"/>
      <c r="Z23" s="135"/>
    </row>
    <row r="24" spans="1:26" ht="12.75">
      <c r="A24" s="136" t="s">
        <v>7</v>
      </c>
      <c r="B24" s="136" t="s">
        <v>7460</v>
      </c>
      <c r="C24" s="136" t="s">
        <v>753</v>
      </c>
      <c r="D24" s="136" t="s">
        <v>467</v>
      </c>
      <c r="E24" s="136" t="s">
        <v>85</v>
      </c>
      <c r="F24" s="136">
        <v>54</v>
      </c>
      <c r="G24" s="137">
        <f t="shared" si="0"/>
        <v>3</v>
      </c>
      <c r="H24" s="137"/>
      <c r="I24" s="137"/>
      <c r="J24" s="135"/>
      <c r="K24" s="135"/>
      <c r="L24" s="135"/>
      <c r="M24" s="135"/>
      <c r="N24" s="135"/>
      <c r="O24" s="135"/>
      <c r="P24" s="135"/>
      <c r="Q24" s="135"/>
      <c r="R24" s="135"/>
      <c r="S24" s="135"/>
      <c r="T24" s="135"/>
      <c r="U24" s="135"/>
      <c r="V24" s="135"/>
      <c r="W24" s="135"/>
      <c r="X24" s="135"/>
      <c r="Y24" s="135"/>
      <c r="Z24" s="135"/>
    </row>
    <row r="25" spans="1:26" ht="12.75">
      <c r="A25" s="136" t="s">
        <v>7</v>
      </c>
      <c r="B25" s="136" t="s">
        <v>7460</v>
      </c>
      <c r="C25" s="136" t="s">
        <v>753</v>
      </c>
      <c r="D25" s="136" t="s">
        <v>7473</v>
      </c>
      <c r="E25" s="136" t="s">
        <v>615</v>
      </c>
      <c r="F25" s="136">
        <v>44</v>
      </c>
      <c r="G25" s="137">
        <f t="shared" si="0"/>
        <v>4</v>
      </c>
      <c r="H25" s="137"/>
      <c r="I25" s="137"/>
      <c r="J25" s="135"/>
      <c r="K25" s="135"/>
      <c r="L25" s="135"/>
      <c r="M25" s="135"/>
      <c r="N25" s="135"/>
      <c r="O25" s="135"/>
      <c r="P25" s="135"/>
      <c r="Q25" s="135"/>
      <c r="R25" s="135"/>
      <c r="S25" s="135"/>
      <c r="T25" s="135"/>
      <c r="U25" s="135"/>
      <c r="V25" s="135"/>
      <c r="W25" s="135"/>
      <c r="X25" s="135"/>
      <c r="Y25" s="135"/>
      <c r="Z25" s="135"/>
    </row>
    <row r="26" spans="1:26" ht="12.75">
      <c r="A26" s="136" t="s">
        <v>7</v>
      </c>
      <c r="B26" s="136" t="s">
        <v>7460</v>
      </c>
      <c r="C26" s="136" t="s">
        <v>753</v>
      </c>
      <c r="D26" s="136" t="s">
        <v>139</v>
      </c>
      <c r="E26" s="136" t="s">
        <v>594</v>
      </c>
      <c r="F26" s="136">
        <v>21</v>
      </c>
      <c r="G26" s="137">
        <f t="shared" si="0"/>
        <v>5</v>
      </c>
      <c r="H26" s="137"/>
      <c r="I26" s="137"/>
      <c r="J26" s="135"/>
      <c r="K26" s="135"/>
      <c r="L26" s="135"/>
      <c r="M26" s="135"/>
      <c r="N26" s="135"/>
      <c r="O26" s="135"/>
      <c r="P26" s="135"/>
      <c r="Q26" s="135"/>
      <c r="R26" s="135"/>
      <c r="S26" s="135"/>
      <c r="T26" s="135"/>
      <c r="U26" s="135"/>
      <c r="V26" s="135"/>
      <c r="W26" s="135"/>
      <c r="X26" s="135"/>
      <c r="Y26" s="135"/>
      <c r="Z26" s="135"/>
    </row>
    <row r="27" spans="1:26" ht="12.75">
      <c r="A27" s="136" t="s">
        <v>7</v>
      </c>
      <c r="B27" s="136" t="s">
        <v>7460</v>
      </c>
      <c r="C27" s="136" t="s">
        <v>755</v>
      </c>
      <c r="D27" s="136" t="s">
        <v>7463</v>
      </c>
      <c r="E27" s="136" t="s">
        <v>615</v>
      </c>
      <c r="F27" s="136">
        <v>2213</v>
      </c>
      <c r="G27" s="137">
        <f t="shared" si="0"/>
        <v>1</v>
      </c>
      <c r="H27" s="137"/>
      <c r="I27" s="137"/>
      <c r="J27" s="135"/>
      <c r="K27" s="135"/>
      <c r="L27" s="135"/>
      <c r="M27" s="135"/>
      <c r="N27" s="135"/>
      <c r="O27" s="135"/>
      <c r="P27" s="135"/>
      <c r="Q27" s="135"/>
      <c r="R27" s="135"/>
      <c r="S27" s="135"/>
      <c r="T27" s="135"/>
      <c r="U27" s="135"/>
      <c r="V27" s="135"/>
      <c r="W27" s="135"/>
      <c r="X27" s="135"/>
      <c r="Y27" s="135"/>
      <c r="Z27" s="135"/>
    </row>
    <row r="28" spans="1:26" ht="12.75">
      <c r="A28" s="136" t="s">
        <v>7</v>
      </c>
      <c r="B28" s="136" t="s">
        <v>7460</v>
      </c>
      <c r="C28" s="136" t="s">
        <v>755</v>
      </c>
      <c r="D28" s="136" t="s">
        <v>7474</v>
      </c>
      <c r="E28" s="136" t="s">
        <v>615</v>
      </c>
      <c r="F28" s="136">
        <v>1031</v>
      </c>
      <c r="G28" s="137">
        <f t="shared" si="0"/>
        <v>2</v>
      </c>
      <c r="H28" s="137"/>
      <c r="I28" s="137"/>
      <c r="J28" s="135"/>
      <c r="K28" s="135"/>
      <c r="L28" s="135"/>
      <c r="M28" s="135"/>
      <c r="N28" s="135"/>
      <c r="O28" s="135"/>
      <c r="P28" s="135"/>
      <c r="Q28" s="135"/>
      <c r="R28" s="135"/>
      <c r="S28" s="135"/>
      <c r="T28" s="135"/>
      <c r="U28" s="135"/>
      <c r="V28" s="135"/>
      <c r="W28" s="135"/>
      <c r="X28" s="135"/>
      <c r="Y28" s="135"/>
      <c r="Z28" s="135"/>
    </row>
    <row r="29" spans="1:26" ht="12.75">
      <c r="A29" s="136" t="s">
        <v>7</v>
      </c>
      <c r="B29" s="136" t="s">
        <v>7460</v>
      </c>
      <c r="C29" s="136" t="s">
        <v>755</v>
      </c>
      <c r="D29" s="136" t="s">
        <v>7472</v>
      </c>
      <c r="E29" s="136" t="s">
        <v>615</v>
      </c>
      <c r="F29" s="136">
        <v>864</v>
      </c>
      <c r="G29" s="137">
        <f t="shared" si="0"/>
        <v>3</v>
      </c>
      <c r="H29" s="137"/>
      <c r="I29" s="137"/>
      <c r="J29" s="135"/>
      <c r="K29" s="135"/>
      <c r="L29" s="135"/>
      <c r="M29" s="135"/>
      <c r="N29" s="135"/>
      <c r="O29" s="135"/>
      <c r="P29" s="135"/>
      <c r="Q29" s="135"/>
      <c r="R29" s="135"/>
      <c r="S29" s="135"/>
      <c r="T29" s="135"/>
      <c r="U29" s="135"/>
      <c r="V29" s="135"/>
      <c r="W29" s="135"/>
      <c r="X29" s="135"/>
      <c r="Y29" s="135"/>
      <c r="Z29" s="135"/>
    </row>
    <row r="30" spans="1:26" ht="12.75">
      <c r="A30" s="136" t="s">
        <v>7</v>
      </c>
      <c r="B30" s="136" t="s">
        <v>7460</v>
      </c>
      <c r="C30" s="136" t="s">
        <v>755</v>
      </c>
      <c r="D30" s="136" t="s">
        <v>114</v>
      </c>
      <c r="E30" s="136" t="s">
        <v>85</v>
      </c>
      <c r="F30" s="136">
        <v>552</v>
      </c>
      <c r="G30" s="137">
        <f t="shared" si="0"/>
        <v>4</v>
      </c>
      <c r="H30" s="137"/>
      <c r="I30" s="137"/>
      <c r="J30" s="135"/>
      <c r="K30" s="135"/>
      <c r="L30" s="135"/>
      <c r="M30" s="135"/>
      <c r="N30" s="135"/>
      <c r="O30" s="135"/>
      <c r="P30" s="135"/>
      <c r="Q30" s="135"/>
      <c r="R30" s="135"/>
      <c r="S30" s="135"/>
      <c r="T30" s="135"/>
      <c r="U30" s="135"/>
      <c r="V30" s="135"/>
      <c r="W30" s="135"/>
      <c r="X30" s="135"/>
      <c r="Y30" s="135"/>
      <c r="Z30" s="135"/>
    </row>
    <row r="31" spans="1:26" ht="12.75">
      <c r="A31" s="136" t="s">
        <v>7</v>
      </c>
      <c r="B31" s="136" t="s">
        <v>7460</v>
      </c>
      <c r="C31" s="136" t="s">
        <v>755</v>
      </c>
      <c r="D31" s="136" t="s">
        <v>467</v>
      </c>
      <c r="E31" s="136" t="s">
        <v>85</v>
      </c>
      <c r="F31" s="136">
        <v>379</v>
      </c>
      <c r="G31" s="137">
        <f t="shared" si="0"/>
        <v>5</v>
      </c>
      <c r="H31" s="137"/>
      <c r="I31" s="137"/>
      <c r="J31" s="135"/>
      <c r="K31" s="135"/>
      <c r="L31" s="135"/>
      <c r="M31" s="135"/>
      <c r="N31" s="135"/>
      <c r="O31" s="135"/>
      <c r="P31" s="135"/>
      <c r="Q31" s="135"/>
      <c r="R31" s="135"/>
      <c r="S31" s="135"/>
      <c r="T31" s="135"/>
      <c r="U31" s="135"/>
      <c r="V31" s="135"/>
      <c r="W31" s="135"/>
      <c r="X31" s="135"/>
      <c r="Y31" s="135"/>
      <c r="Z31" s="135"/>
    </row>
    <row r="32" spans="1:26" ht="12.75">
      <c r="A32" s="136" t="s">
        <v>7</v>
      </c>
      <c r="B32" s="136" t="s">
        <v>7460</v>
      </c>
      <c r="C32" s="136" t="s">
        <v>755</v>
      </c>
      <c r="D32" s="136" t="s">
        <v>139</v>
      </c>
      <c r="E32" s="136" t="s">
        <v>594</v>
      </c>
      <c r="F32" s="136">
        <v>328</v>
      </c>
      <c r="G32" s="137">
        <f t="shared" si="0"/>
        <v>6</v>
      </c>
      <c r="H32" s="137"/>
      <c r="I32" s="137"/>
      <c r="J32" s="135"/>
      <c r="K32" s="135"/>
      <c r="L32" s="135"/>
      <c r="M32" s="135"/>
      <c r="N32" s="135"/>
      <c r="O32" s="135"/>
      <c r="P32" s="135"/>
      <c r="Q32" s="135"/>
      <c r="R32" s="135"/>
      <c r="S32" s="135"/>
      <c r="T32" s="135"/>
      <c r="U32" s="135"/>
      <c r="V32" s="135"/>
      <c r="W32" s="135"/>
      <c r="X32" s="135"/>
      <c r="Y32" s="135"/>
      <c r="Z32" s="135"/>
    </row>
    <row r="33" spans="1:26" ht="12.75">
      <c r="A33" s="136" t="s">
        <v>7</v>
      </c>
      <c r="B33" s="136" t="s">
        <v>7460</v>
      </c>
      <c r="C33" s="136" t="s">
        <v>755</v>
      </c>
      <c r="D33" s="136" t="s">
        <v>7473</v>
      </c>
      <c r="E33" s="136" t="s">
        <v>615</v>
      </c>
      <c r="F33" s="136">
        <v>291</v>
      </c>
      <c r="G33" s="137">
        <f t="shared" si="0"/>
        <v>7</v>
      </c>
      <c r="H33" s="137"/>
      <c r="I33" s="137"/>
      <c r="J33" s="135"/>
      <c r="K33" s="135"/>
      <c r="L33" s="135"/>
      <c r="M33" s="135"/>
      <c r="N33" s="135"/>
      <c r="O33" s="135"/>
      <c r="P33" s="135"/>
      <c r="Q33" s="135"/>
      <c r="R33" s="135"/>
      <c r="S33" s="135"/>
      <c r="T33" s="135"/>
      <c r="U33" s="135"/>
      <c r="V33" s="135"/>
      <c r="W33" s="135"/>
      <c r="X33" s="135"/>
      <c r="Y33" s="135"/>
      <c r="Z33" s="135"/>
    </row>
    <row r="34" spans="1:26" ht="12.75">
      <c r="A34" s="136" t="s">
        <v>7</v>
      </c>
      <c r="B34" s="136" t="s">
        <v>7460</v>
      </c>
      <c r="C34" s="136" t="s">
        <v>755</v>
      </c>
      <c r="D34" s="136" t="s">
        <v>154</v>
      </c>
      <c r="E34" s="136" t="s">
        <v>615</v>
      </c>
      <c r="F34" s="136">
        <v>265</v>
      </c>
      <c r="G34" s="137">
        <f t="shared" si="0"/>
        <v>8</v>
      </c>
      <c r="H34" s="137"/>
      <c r="I34" s="137"/>
      <c r="J34" s="135"/>
      <c r="K34" s="135"/>
      <c r="L34" s="135"/>
      <c r="M34" s="135"/>
      <c r="N34" s="135"/>
      <c r="O34" s="135"/>
      <c r="P34" s="135"/>
      <c r="Q34" s="135"/>
      <c r="R34" s="135"/>
      <c r="S34" s="135"/>
      <c r="T34" s="135"/>
      <c r="U34" s="135"/>
      <c r="V34" s="135"/>
      <c r="W34" s="135"/>
      <c r="X34" s="135"/>
      <c r="Y34" s="135"/>
      <c r="Z34" s="135"/>
    </row>
    <row r="35" spans="1:26" ht="12.75">
      <c r="A35" s="136" t="s">
        <v>7</v>
      </c>
      <c r="B35" s="136" t="s">
        <v>7460</v>
      </c>
      <c r="C35" s="136" t="s">
        <v>755</v>
      </c>
      <c r="D35" s="136" t="s">
        <v>1669</v>
      </c>
      <c r="E35" s="136" t="s">
        <v>615</v>
      </c>
      <c r="F35" s="136">
        <v>98</v>
      </c>
      <c r="G35" s="137">
        <f t="shared" si="0"/>
        <v>9</v>
      </c>
      <c r="H35" s="137"/>
      <c r="I35" s="137"/>
      <c r="J35" s="135"/>
      <c r="K35" s="135"/>
      <c r="L35" s="135"/>
      <c r="M35" s="135"/>
      <c r="N35" s="135"/>
      <c r="O35" s="135"/>
      <c r="P35" s="135"/>
      <c r="Q35" s="135"/>
      <c r="R35" s="135"/>
      <c r="S35" s="135"/>
      <c r="T35" s="135"/>
      <c r="U35" s="135"/>
      <c r="V35" s="135"/>
      <c r="W35" s="135"/>
      <c r="X35" s="135"/>
      <c r="Y35" s="135"/>
      <c r="Z35" s="135"/>
    </row>
    <row r="36" spans="1:26" ht="12.75">
      <c r="A36" s="136" t="s">
        <v>7</v>
      </c>
      <c r="B36" s="136" t="s">
        <v>7460</v>
      </c>
      <c r="C36" s="136" t="s">
        <v>755</v>
      </c>
      <c r="D36" s="136" t="s">
        <v>1665</v>
      </c>
      <c r="E36" s="136" t="s">
        <v>615</v>
      </c>
      <c r="F36" s="136">
        <v>80</v>
      </c>
      <c r="G36" s="137">
        <f t="shared" si="0"/>
        <v>10</v>
      </c>
      <c r="H36" s="137"/>
      <c r="I36" s="137"/>
      <c r="J36" s="135"/>
      <c r="K36" s="135"/>
      <c r="L36" s="135"/>
      <c r="M36" s="135"/>
      <c r="N36" s="135"/>
      <c r="O36" s="135"/>
      <c r="P36" s="135"/>
      <c r="Q36" s="135"/>
      <c r="R36" s="135"/>
      <c r="S36" s="135"/>
      <c r="T36" s="135"/>
      <c r="U36" s="135"/>
      <c r="V36" s="135"/>
      <c r="W36" s="135"/>
      <c r="X36" s="135"/>
      <c r="Y36" s="135"/>
      <c r="Z36" s="135"/>
    </row>
    <row r="37" spans="1:26" ht="12.75">
      <c r="A37" s="136" t="s">
        <v>7</v>
      </c>
      <c r="B37" s="136" t="s">
        <v>7460</v>
      </c>
      <c r="C37" s="136" t="s">
        <v>755</v>
      </c>
      <c r="D37" s="136" t="s">
        <v>7475</v>
      </c>
      <c r="E37" s="136" t="s">
        <v>594</v>
      </c>
      <c r="F37" s="136">
        <v>20</v>
      </c>
      <c r="G37" s="137">
        <f t="shared" si="0"/>
        <v>11</v>
      </c>
      <c r="H37" s="137"/>
      <c r="I37" s="137"/>
      <c r="J37" s="135"/>
      <c r="K37" s="135"/>
      <c r="L37" s="135"/>
      <c r="M37" s="135"/>
      <c r="N37" s="135"/>
      <c r="O37" s="135"/>
      <c r="P37" s="135"/>
      <c r="Q37" s="135"/>
      <c r="R37" s="135"/>
      <c r="S37" s="135"/>
      <c r="T37" s="135"/>
      <c r="U37" s="135"/>
      <c r="V37" s="135"/>
      <c r="W37" s="135"/>
      <c r="X37" s="135"/>
      <c r="Y37" s="135"/>
      <c r="Z37" s="135"/>
    </row>
    <row r="38" spans="1:26" ht="12.75">
      <c r="A38" s="136" t="s">
        <v>7</v>
      </c>
      <c r="B38" s="136" t="s">
        <v>7460</v>
      </c>
      <c r="C38" s="136" t="s">
        <v>755</v>
      </c>
      <c r="D38" s="136" t="s">
        <v>1626</v>
      </c>
      <c r="E38" s="136" t="s">
        <v>594</v>
      </c>
      <c r="F38" s="136">
        <v>1</v>
      </c>
      <c r="G38" s="137">
        <f t="shared" si="0"/>
        <v>12</v>
      </c>
      <c r="H38" s="137"/>
      <c r="I38" s="137"/>
      <c r="J38" s="135"/>
      <c r="K38" s="135"/>
      <c r="L38" s="135"/>
      <c r="M38" s="135"/>
      <c r="N38" s="135"/>
      <c r="O38" s="135"/>
      <c r="P38" s="135"/>
      <c r="Q38" s="135"/>
      <c r="R38" s="135"/>
      <c r="S38" s="135"/>
      <c r="T38" s="135"/>
      <c r="U38" s="135"/>
      <c r="V38" s="135"/>
      <c r="W38" s="135"/>
      <c r="X38" s="135"/>
      <c r="Y38" s="135"/>
      <c r="Z38" s="135"/>
    </row>
    <row r="39" spans="1:26" ht="12.75">
      <c r="A39" s="136" t="s">
        <v>7</v>
      </c>
      <c r="B39" s="136" t="s">
        <v>7460</v>
      </c>
      <c r="C39" s="136" t="s">
        <v>757</v>
      </c>
      <c r="D39" s="136" t="s">
        <v>139</v>
      </c>
      <c r="E39" s="136" t="s">
        <v>594</v>
      </c>
      <c r="F39" s="136">
        <v>1876</v>
      </c>
      <c r="G39" s="137">
        <f t="shared" si="0"/>
        <v>1</v>
      </c>
      <c r="H39" s="137"/>
      <c r="I39" s="137"/>
      <c r="J39" s="135"/>
      <c r="K39" s="135"/>
      <c r="L39" s="135"/>
      <c r="M39" s="135"/>
      <c r="N39" s="135"/>
      <c r="O39" s="135"/>
      <c r="P39" s="135"/>
      <c r="Q39" s="135"/>
      <c r="R39" s="135"/>
      <c r="S39" s="135"/>
      <c r="T39" s="135"/>
      <c r="U39" s="135"/>
      <c r="V39" s="135"/>
      <c r="W39" s="135"/>
      <c r="X39" s="135"/>
      <c r="Y39" s="135"/>
      <c r="Z39" s="135"/>
    </row>
    <row r="40" spans="1:26" ht="12.75">
      <c r="A40" s="136" t="s">
        <v>7</v>
      </c>
      <c r="B40" s="136" t="s">
        <v>7460</v>
      </c>
      <c r="C40" s="136" t="s">
        <v>757</v>
      </c>
      <c r="D40" s="136" t="s">
        <v>7463</v>
      </c>
      <c r="E40" s="136" t="s">
        <v>615</v>
      </c>
      <c r="F40" s="136">
        <v>228</v>
      </c>
      <c r="G40" s="137">
        <f t="shared" si="0"/>
        <v>2</v>
      </c>
      <c r="H40" s="137"/>
      <c r="I40" s="137"/>
      <c r="J40" s="135"/>
      <c r="K40" s="135"/>
      <c r="L40" s="135"/>
      <c r="M40" s="135"/>
      <c r="N40" s="135"/>
      <c r="O40" s="135"/>
      <c r="P40" s="135"/>
      <c r="Q40" s="135"/>
      <c r="R40" s="135"/>
      <c r="S40" s="135"/>
      <c r="T40" s="135"/>
      <c r="U40" s="135"/>
      <c r="V40" s="135"/>
      <c r="W40" s="135"/>
      <c r="X40" s="135"/>
      <c r="Y40" s="135"/>
      <c r="Z40" s="135"/>
    </row>
    <row r="41" spans="1:26" ht="12.75">
      <c r="A41" s="136" t="s">
        <v>7</v>
      </c>
      <c r="B41" s="136" t="s">
        <v>7460</v>
      </c>
      <c r="C41" s="136" t="s">
        <v>757</v>
      </c>
      <c r="D41" s="136" t="s">
        <v>7473</v>
      </c>
      <c r="E41" s="136" t="s">
        <v>615</v>
      </c>
      <c r="F41" s="136">
        <v>220</v>
      </c>
      <c r="G41" s="137">
        <f t="shared" si="0"/>
        <v>3</v>
      </c>
      <c r="H41" s="137"/>
      <c r="I41" s="137"/>
      <c r="J41" s="135"/>
      <c r="K41" s="135"/>
      <c r="L41" s="135"/>
      <c r="M41" s="135"/>
      <c r="N41" s="135"/>
      <c r="O41" s="135"/>
      <c r="P41" s="135"/>
      <c r="Q41" s="135"/>
      <c r="R41" s="135"/>
      <c r="S41" s="135"/>
      <c r="T41" s="135"/>
      <c r="U41" s="135"/>
      <c r="V41" s="135"/>
      <c r="W41" s="135"/>
      <c r="X41" s="135"/>
      <c r="Y41" s="135"/>
      <c r="Z41" s="135"/>
    </row>
    <row r="42" spans="1:26" ht="12.75">
      <c r="A42" s="136" t="s">
        <v>7</v>
      </c>
      <c r="B42" s="136" t="s">
        <v>7460</v>
      </c>
      <c r="C42" s="136" t="s">
        <v>757</v>
      </c>
      <c r="D42" s="136" t="s">
        <v>7472</v>
      </c>
      <c r="E42" s="136" t="s">
        <v>615</v>
      </c>
      <c r="F42" s="136">
        <v>211</v>
      </c>
      <c r="G42" s="137">
        <f t="shared" si="0"/>
        <v>4</v>
      </c>
      <c r="H42" s="137"/>
      <c r="I42" s="137"/>
      <c r="J42" s="135"/>
      <c r="K42" s="135"/>
      <c r="L42" s="135"/>
      <c r="M42" s="135"/>
      <c r="N42" s="135"/>
      <c r="O42" s="135"/>
      <c r="P42" s="135"/>
      <c r="Q42" s="135"/>
      <c r="R42" s="135"/>
      <c r="S42" s="135"/>
      <c r="T42" s="135"/>
      <c r="U42" s="135"/>
      <c r="V42" s="135"/>
      <c r="W42" s="135"/>
      <c r="X42" s="135"/>
      <c r="Y42" s="135"/>
      <c r="Z42" s="135"/>
    </row>
    <row r="43" spans="1:26" ht="12.75">
      <c r="A43" s="136" t="s">
        <v>7</v>
      </c>
      <c r="B43" s="136" t="s">
        <v>7460</v>
      </c>
      <c r="C43" s="136" t="s">
        <v>757</v>
      </c>
      <c r="D43" s="136" t="s">
        <v>114</v>
      </c>
      <c r="E43" s="136" t="s">
        <v>85</v>
      </c>
      <c r="F43" s="136">
        <v>74</v>
      </c>
      <c r="G43" s="137">
        <f t="shared" si="0"/>
        <v>5</v>
      </c>
      <c r="H43" s="137"/>
      <c r="I43" s="137"/>
      <c r="J43" s="135"/>
      <c r="K43" s="135"/>
      <c r="L43" s="135"/>
      <c r="M43" s="135"/>
      <c r="N43" s="135"/>
      <c r="O43" s="135"/>
      <c r="P43" s="135"/>
      <c r="Q43" s="135"/>
      <c r="R43" s="135"/>
      <c r="S43" s="135"/>
      <c r="T43" s="135"/>
      <c r="U43" s="135"/>
      <c r="V43" s="135"/>
      <c r="W43" s="135"/>
      <c r="X43" s="135"/>
      <c r="Y43" s="135"/>
      <c r="Z43" s="135"/>
    </row>
    <row r="44" spans="1:26" ht="12.75">
      <c r="A44" s="136" t="s">
        <v>7</v>
      </c>
      <c r="B44" s="136" t="s">
        <v>7460</v>
      </c>
      <c r="C44" s="136" t="s">
        <v>757</v>
      </c>
      <c r="D44" s="136" t="s">
        <v>467</v>
      </c>
      <c r="E44" s="136" t="s">
        <v>85</v>
      </c>
      <c r="F44" s="136">
        <v>40</v>
      </c>
      <c r="G44" s="137">
        <f t="shared" si="0"/>
        <v>6</v>
      </c>
      <c r="H44" s="137"/>
      <c r="I44" s="137"/>
      <c r="J44" s="135"/>
      <c r="K44" s="135"/>
      <c r="L44" s="135"/>
      <c r="M44" s="135"/>
      <c r="N44" s="135"/>
      <c r="O44" s="135"/>
      <c r="P44" s="135"/>
      <c r="Q44" s="135"/>
      <c r="R44" s="135"/>
      <c r="S44" s="135"/>
      <c r="T44" s="135"/>
      <c r="U44" s="135"/>
      <c r="V44" s="135"/>
      <c r="W44" s="135"/>
      <c r="X44" s="135"/>
      <c r="Y44" s="135"/>
      <c r="Z44" s="135"/>
    </row>
    <row r="45" spans="1:26" ht="12.75">
      <c r="A45" s="136" t="s">
        <v>7</v>
      </c>
      <c r="B45" s="136" t="s">
        <v>7460</v>
      </c>
      <c r="C45" s="136" t="s">
        <v>757</v>
      </c>
      <c r="D45" s="136" t="s">
        <v>1669</v>
      </c>
      <c r="E45" s="136" t="s">
        <v>615</v>
      </c>
      <c r="F45" s="136">
        <v>25</v>
      </c>
      <c r="G45" s="137">
        <f t="shared" si="0"/>
        <v>7</v>
      </c>
      <c r="H45" s="137"/>
      <c r="I45" s="137"/>
      <c r="J45" s="135"/>
      <c r="K45" s="135"/>
      <c r="L45" s="135"/>
      <c r="M45" s="135"/>
      <c r="N45" s="135"/>
      <c r="O45" s="135"/>
      <c r="P45" s="135"/>
      <c r="Q45" s="135"/>
      <c r="R45" s="135"/>
      <c r="S45" s="135"/>
      <c r="T45" s="135"/>
      <c r="U45" s="135"/>
      <c r="V45" s="135"/>
      <c r="W45" s="135"/>
      <c r="X45" s="135"/>
      <c r="Y45" s="135"/>
      <c r="Z45" s="135"/>
    </row>
    <row r="46" spans="1:26" ht="12.75">
      <c r="A46" s="136" t="s">
        <v>7</v>
      </c>
      <c r="B46" s="136" t="s">
        <v>7460</v>
      </c>
      <c r="C46" s="136" t="s">
        <v>757</v>
      </c>
      <c r="D46" s="136" t="s">
        <v>1665</v>
      </c>
      <c r="E46" s="136" t="s">
        <v>615</v>
      </c>
      <c r="F46" s="136">
        <v>17</v>
      </c>
      <c r="G46" s="137">
        <f t="shared" si="0"/>
        <v>8</v>
      </c>
      <c r="H46" s="137"/>
      <c r="I46" s="137"/>
      <c r="J46" s="135"/>
      <c r="K46" s="135"/>
      <c r="L46" s="135"/>
      <c r="M46" s="135"/>
      <c r="N46" s="135"/>
      <c r="O46" s="135"/>
      <c r="P46" s="135"/>
      <c r="Q46" s="135"/>
      <c r="R46" s="135"/>
      <c r="S46" s="135"/>
      <c r="T46" s="135"/>
      <c r="U46" s="135"/>
      <c r="V46" s="135"/>
      <c r="W46" s="135"/>
      <c r="X46" s="135"/>
      <c r="Y46" s="135"/>
      <c r="Z46" s="135"/>
    </row>
    <row r="47" spans="1:26" ht="12.75">
      <c r="A47" s="136" t="s">
        <v>7</v>
      </c>
      <c r="B47" s="136" t="s">
        <v>7460</v>
      </c>
      <c r="C47" s="136" t="s">
        <v>757</v>
      </c>
      <c r="D47" s="136" t="s">
        <v>1626</v>
      </c>
      <c r="E47" s="136" t="s">
        <v>594</v>
      </c>
      <c r="F47" s="136">
        <v>9</v>
      </c>
      <c r="G47" s="137">
        <f t="shared" si="0"/>
        <v>9</v>
      </c>
      <c r="H47" s="137"/>
      <c r="I47" s="137"/>
      <c r="J47" s="135"/>
      <c r="K47" s="135"/>
      <c r="L47" s="135"/>
      <c r="M47" s="135"/>
      <c r="N47" s="135"/>
      <c r="O47" s="135"/>
      <c r="P47" s="135"/>
      <c r="Q47" s="135"/>
      <c r="R47" s="135"/>
      <c r="S47" s="135"/>
      <c r="T47" s="135"/>
      <c r="U47" s="135"/>
      <c r="V47" s="135"/>
      <c r="W47" s="135"/>
      <c r="X47" s="135"/>
      <c r="Y47" s="135"/>
      <c r="Z47" s="135"/>
    </row>
    <row r="48" spans="1:26" ht="12.75">
      <c r="A48" s="136" t="s">
        <v>7</v>
      </c>
      <c r="B48" s="136" t="s">
        <v>7460</v>
      </c>
      <c r="C48" s="136" t="s">
        <v>761</v>
      </c>
      <c r="D48" s="136" t="s">
        <v>7472</v>
      </c>
      <c r="E48" s="136" t="s">
        <v>615</v>
      </c>
      <c r="F48" s="136">
        <v>3042</v>
      </c>
      <c r="G48" s="137">
        <f t="shared" si="0"/>
        <v>1</v>
      </c>
      <c r="H48" s="137"/>
      <c r="I48" s="137"/>
      <c r="J48" s="135"/>
      <c r="K48" s="135"/>
      <c r="L48" s="135"/>
      <c r="M48" s="135"/>
      <c r="N48" s="135"/>
      <c r="O48" s="135"/>
      <c r="P48" s="135"/>
      <c r="Q48" s="135"/>
      <c r="R48" s="135"/>
      <c r="S48" s="135"/>
      <c r="T48" s="135"/>
      <c r="U48" s="135"/>
      <c r="V48" s="135"/>
      <c r="W48" s="135"/>
      <c r="X48" s="135"/>
      <c r="Y48" s="135"/>
      <c r="Z48" s="135"/>
    </row>
    <row r="49" spans="1:26" ht="12.75">
      <c r="A49" s="136" t="s">
        <v>7</v>
      </c>
      <c r="B49" s="136" t="s">
        <v>7460</v>
      </c>
      <c r="C49" s="136" t="s">
        <v>761</v>
      </c>
      <c r="D49" s="136" t="s">
        <v>114</v>
      </c>
      <c r="E49" s="136" t="s">
        <v>85</v>
      </c>
      <c r="F49" s="136">
        <v>1687</v>
      </c>
      <c r="G49" s="137">
        <f t="shared" si="0"/>
        <v>2</v>
      </c>
      <c r="H49" s="137"/>
      <c r="I49" s="137"/>
      <c r="J49" s="135"/>
      <c r="K49" s="135"/>
      <c r="L49" s="135"/>
      <c r="M49" s="135"/>
      <c r="N49" s="135"/>
      <c r="O49" s="135"/>
      <c r="P49" s="135"/>
      <c r="Q49" s="135"/>
      <c r="R49" s="135"/>
      <c r="S49" s="135"/>
      <c r="T49" s="135"/>
      <c r="U49" s="135"/>
      <c r="V49" s="135"/>
      <c r="W49" s="135"/>
      <c r="X49" s="135"/>
      <c r="Y49" s="135"/>
      <c r="Z49" s="135"/>
    </row>
    <row r="50" spans="1:26" ht="12.75">
      <c r="A50" s="136" t="s">
        <v>7</v>
      </c>
      <c r="B50" s="136" t="s">
        <v>7460</v>
      </c>
      <c r="C50" s="136" t="s">
        <v>761</v>
      </c>
      <c r="D50" s="136" t="s">
        <v>467</v>
      </c>
      <c r="E50" s="136" t="s">
        <v>85</v>
      </c>
      <c r="F50" s="136">
        <v>455</v>
      </c>
      <c r="G50" s="137">
        <f t="shared" si="0"/>
        <v>3</v>
      </c>
      <c r="H50" s="137"/>
      <c r="I50" s="137"/>
      <c r="J50" s="135"/>
      <c r="K50" s="135"/>
      <c r="L50" s="135"/>
      <c r="M50" s="135"/>
      <c r="N50" s="135"/>
      <c r="O50" s="135"/>
      <c r="P50" s="135"/>
      <c r="Q50" s="135"/>
      <c r="R50" s="135"/>
      <c r="S50" s="135"/>
      <c r="T50" s="135"/>
      <c r="U50" s="135"/>
      <c r="V50" s="135"/>
      <c r="W50" s="135"/>
      <c r="X50" s="135"/>
      <c r="Y50" s="135"/>
      <c r="Z50" s="135"/>
    </row>
    <row r="51" spans="1:26" ht="12.75">
      <c r="A51" s="136" t="s">
        <v>7</v>
      </c>
      <c r="B51" s="136" t="s">
        <v>7460</v>
      </c>
      <c r="C51" s="136" t="s">
        <v>761</v>
      </c>
      <c r="D51" s="136" t="s">
        <v>139</v>
      </c>
      <c r="E51" s="136" t="s">
        <v>594</v>
      </c>
      <c r="F51" s="136">
        <v>438</v>
      </c>
      <c r="G51" s="137">
        <f t="shared" si="0"/>
        <v>4</v>
      </c>
      <c r="H51" s="137"/>
      <c r="I51" s="137"/>
      <c r="J51" s="135"/>
      <c r="K51" s="135"/>
      <c r="L51" s="135"/>
      <c r="M51" s="135"/>
      <c r="N51" s="135"/>
      <c r="O51" s="135"/>
      <c r="P51" s="135"/>
      <c r="Q51" s="135"/>
      <c r="R51" s="135"/>
      <c r="S51" s="135"/>
      <c r="T51" s="135"/>
      <c r="U51" s="135"/>
      <c r="V51" s="135"/>
      <c r="W51" s="135"/>
      <c r="X51" s="135"/>
      <c r="Y51" s="135"/>
      <c r="Z51" s="135"/>
    </row>
    <row r="52" spans="1:26" ht="12.75">
      <c r="A52" s="136" t="s">
        <v>7</v>
      </c>
      <c r="B52" s="136" t="s">
        <v>7460</v>
      </c>
      <c r="C52" s="136" t="s">
        <v>761</v>
      </c>
      <c r="D52" s="136" t="s">
        <v>7463</v>
      </c>
      <c r="E52" s="136" t="s">
        <v>615</v>
      </c>
      <c r="F52" s="136">
        <v>319</v>
      </c>
      <c r="G52" s="137">
        <f t="shared" si="0"/>
        <v>5</v>
      </c>
      <c r="H52" s="137"/>
      <c r="I52" s="137"/>
      <c r="J52" s="135"/>
      <c r="K52" s="135"/>
      <c r="L52" s="135"/>
      <c r="M52" s="135"/>
      <c r="N52" s="135"/>
      <c r="O52" s="135"/>
      <c r="P52" s="135"/>
      <c r="Q52" s="135"/>
      <c r="R52" s="135"/>
      <c r="S52" s="135"/>
      <c r="T52" s="135"/>
      <c r="U52" s="135"/>
      <c r="V52" s="135"/>
      <c r="W52" s="135"/>
      <c r="X52" s="135"/>
      <c r="Y52" s="135"/>
      <c r="Z52" s="135"/>
    </row>
    <row r="53" spans="1:26" ht="12.75">
      <c r="A53" s="136" t="s">
        <v>7</v>
      </c>
      <c r="B53" s="136" t="s">
        <v>7460</v>
      </c>
      <c r="C53" s="136" t="s">
        <v>761</v>
      </c>
      <c r="D53" s="136" t="s">
        <v>7473</v>
      </c>
      <c r="E53" s="136" t="s">
        <v>615</v>
      </c>
      <c r="F53" s="136">
        <v>299</v>
      </c>
      <c r="G53" s="137">
        <f t="shared" si="0"/>
        <v>6</v>
      </c>
      <c r="H53" s="137"/>
      <c r="I53" s="137"/>
      <c r="J53" s="135"/>
      <c r="K53" s="135"/>
      <c r="L53" s="135"/>
      <c r="M53" s="135"/>
      <c r="N53" s="135"/>
      <c r="O53" s="135"/>
      <c r="P53" s="135"/>
      <c r="Q53" s="135"/>
      <c r="R53" s="135"/>
      <c r="S53" s="135"/>
      <c r="T53" s="135"/>
      <c r="U53" s="135"/>
      <c r="V53" s="135"/>
      <c r="W53" s="135"/>
      <c r="X53" s="135"/>
      <c r="Y53" s="135"/>
      <c r="Z53" s="135"/>
    </row>
    <row r="54" spans="1:26" ht="12.75">
      <c r="A54" s="136" t="s">
        <v>7</v>
      </c>
      <c r="B54" s="136" t="s">
        <v>7460</v>
      </c>
      <c r="C54" s="136" t="s">
        <v>761</v>
      </c>
      <c r="D54" s="136" t="s">
        <v>1665</v>
      </c>
      <c r="E54" s="136" t="s">
        <v>615</v>
      </c>
      <c r="F54" s="136">
        <v>88</v>
      </c>
      <c r="G54" s="137">
        <f t="shared" si="0"/>
        <v>7</v>
      </c>
      <c r="H54" s="137"/>
      <c r="I54" s="137"/>
      <c r="J54" s="135"/>
      <c r="K54" s="135"/>
      <c r="L54" s="135"/>
      <c r="M54" s="135"/>
      <c r="N54" s="135"/>
      <c r="O54" s="135"/>
      <c r="P54" s="135"/>
      <c r="Q54" s="135"/>
      <c r="R54" s="135"/>
      <c r="S54" s="135"/>
      <c r="T54" s="135"/>
      <c r="U54" s="135"/>
      <c r="V54" s="135"/>
      <c r="W54" s="135"/>
      <c r="X54" s="135"/>
      <c r="Y54" s="135"/>
      <c r="Z54" s="135"/>
    </row>
    <row r="55" spans="1:26" ht="12.75">
      <c r="A55" s="136" t="s">
        <v>7</v>
      </c>
      <c r="B55" s="136" t="s">
        <v>7460</v>
      </c>
      <c r="C55" s="136" t="s">
        <v>761</v>
      </c>
      <c r="D55" s="136" t="s">
        <v>1669</v>
      </c>
      <c r="E55" s="136" t="s">
        <v>615</v>
      </c>
      <c r="F55" s="136">
        <v>78</v>
      </c>
      <c r="G55" s="137">
        <f t="shared" si="0"/>
        <v>8</v>
      </c>
      <c r="H55" s="137"/>
      <c r="I55" s="137"/>
      <c r="J55" s="135"/>
      <c r="K55" s="135"/>
      <c r="L55" s="135"/>
      <c r="M55" s="135"/>
      <c r="N55" s="135"/>
      <c r="O55" s="135"/>
      <c r="P55" s="135"/>
      <c r="Q55" s="135"/>
      <c r="R55" s="135"/>
      <c r="S55" s="135"/>
      <c r="T55" s="135"/>
      <c r="U55" s="135"/>
      <c r="V55" s="135"/>
      <c r="W55" s="135"/>
      <c r="X55" s="135"/>
      <c r="Y55" s="135"/>
      <c r="Z55" s="135"/>
    </row>
    <row r="56" spans="1:26" ht="12.75">
      <c r="A56" s="136" t="s">
        <v>7</v>
      </c>
      <c r="B56" s="136" t="s">
        <v>7460</v>
      </c>
      <c r="C56" s="136" t="s">
        <v>761</v>
      </c>
      <c r="D56" s="136" t="s">
        <v>1626</v>
      </c>
      <c r="E56" s="136" t="s">
        <v>594</v>
      </c>
      <c r="F56" s="136">
        <v>6</v>
      </c>
      <c r="G56" s="137">
        <f t="shared" si="0"/>
        <v>9</v>
      </c>
      <c r="H56" s="137"/>
      <c r="I56" s="137"/>
      <c r="J56" s="135"/>
      <c r="K56" s="135"/>
      <c r="L56" s="135"/>
      <c r="M56" s="135"/>
      <c r="N56" s="135"/>
      <c r="O56" s="135"/>
      <c r="P56" s="135"/>
      <c r="Q56" s="135"/>
      <c r="R56" s="135"/>
      <c r="S56" s="135"/>
      <c r="T56" s="135"/>
      <c r="U56" s="135"/>
      <c r="V56" s="135"/>
      <c r="W56" s="135"/>
      <c r="X56" s="135"/>
      <c r="Y56" s="135"/>
      <c r="Z56" s="135"/>
    </row>
    <row r="57" spans="1:26" ht="12.75">
      <c r="A57" s="136" t="s">
        <v>7</v>
      </c>
      <c r="B57" s="136" t="s">
        <v>7460</v>
      </c>
      <c r="C57" s="136" t="s">
        <v>763</v>
      </c>
      <c r="D57" s="136" t="s">
        <v>7463</v>
      </c>
      <c r="E57" s="136" t="s">
        <v>615</v>
      </c>
      <c r="F57" s="136">
        <v>3193</v>
      </c>
      <c r="G57" s="137">
        <f t="shared" si="0"/>
        <v>1</v>
      </c>
      <c r="H57" s="137"/>
      <c r="I57" s="137"/>
      <c r="J57" s="135"/>
      <c r="K57" s="135"/>
      <c r="L57" s="135"/>
      <c r="M57" s="135"/>
      <c r="N57" s="135"/>
      <c r="O57" s="135"/>
      <c r="P57" s="135"/>
      <c r="Q57" s="135"/>
      <c r="R57" s="135"/>
      <c r="S57" s="135"/>
      <c r="T57" s="135"/>
      <c r="U57" s="135"/>
      <c r="V57" s="135"/>
      <c r="W57" s="135"/>
      <c r="X57" s="135"/>
      <c r="Y57" s="135"/>
      <c r="Z57" s="135"/>
    </row>
    <row r="58" spans="1:26" ht="12.75">
      <c r="A58" s="136" t="s">
        <v>7</v>
      </c>
      <c r="B58" s="136" t="s">
        <v>7460</v>
      </c>
      <c r="C58" s="136" t="s">
        <v>763</v>
      </c>
      <c r="D58" s="136" t="s">
        <v>7473</v>
      </c>
      <c r="E58" s="136" t="s">
        <v>615</v>
      </c>
      <c r="F58" s="136">
        <v>413</v>
      </c>
      <c r="G58" s="137">
        <f t="shared" si="0"/>
        <v>2</v>
      </c>
      <c r="H58" s="137"/>
      <c r="I58" s="137"/>
      <c r="J58" s="135"/>
      <c r="K58" s="135"/>
      <c r="L58" s="135"/>
      <c r="M58" s="135"/>
      <c r="N58" s="135"/>
      <c r="O58" s="135"/>
      <c r="P58" s="135"/>
      <c r="Q58" s="135"/>
      <c r="R58" s="135"/>
      <c r="S58" s="135"/>
      <c r="T58" s="135"/>
      <c r="U58" s="135"/>
      <c r="V58" s="135"/>
      <c r="W58" s="135"/>
      <c r="X58" s="135"/>
      <c r="Y58" s="135"/>
      <c r="Z58" s="135"/>
    </row>
    <row r="59" spans="1:26" ht="12.75">
      <c r="A59" s="136" t="s">
        <v>7</v>
      </c>
      <c r="B59" s="136" t="s">
        <v>7460</v>
      </c>
      <c r="C59" s="136" t="s">
        <v>763</v>
      </c>
      <c r="D59" s="136" t="s">
        <v>139</v>
      </c>
      <c r="E59" s="136" t="s">
        <v>594</v>
      </c>
      <c r="F59" s="136">
        <v>242</v>
      </c>
      <c r="G59" s="137">
        <f t="shared" si="0"/>
        <v>3</v>
      </c>
      <c r="H59" s="137"/>
      <c r="I59" s="137"/>
      <c r="J59" s="135"/>
      <c r="K59" s="135"/>
      <c r="L59" s="135"/>
      <c r="M59" s="135"/>
      <c r="N59" s="135"/>
      <c r="O59" s="135"/>
      <c r="P59" s="135"/>
      <c r="Q59" s="135"/>
      <c r="R59" s="135"/>
      <c r="S59" s="135"/>
      <c r="T59" s="135"/>
      <c r="U59" s="135"/>
      <c r="V59" s="135"/>
      <c r="W59" s="135"/>
      <c r="X59" s="135"/>
      <c r="Y59" s="135"/>
      <c r="Z59" s="135"/>
    </row>
    <row r="60" spans="1:26" ht="12.75">
      <c r="A60" s="136" t="s">
        <v>7</v>
      </c>
      <c r="B60" s="136" t="s">
        <v>7460</v>
      </c>
      <c r="C60" s="136" t="s">
        <v>763</v>
      </c>
      <c r="D60" s="136" t="s">
        <v>114</v>
      </c>
      <c r="E60" s="136" t="s">
        <v>85</v>
      </c>
      <c r="F60" s="136">
        <v>67</v>
      </c>
      <c r="G60" s="137">
        <f t="shared" si="0"/>
        <v>4</v>
      </c>
      <c r="H60" s="137"/>
      <c r="I60" s="137"/>
      <c r="J60" s="135"/>
      <c r="K60" s="135"/>
      <c r="L60" s="135"/>
      <c r="M60" s="135"/>
      <c r="N60" s="135"/>
      <c r="O60" s="135"/>
      <c r="P60" s="135"/>
      <c r="Q60" s="135"/>
      <c r="R60" s="135"/>
      <c r="S60" s="135"/>
      <c r="T60" s="135"/>
      <c r="U60" s="135"/>
      <c r="V60" s="135"/>
      <c r="W60" s="135"/>
      <c r="X60" s="135"/>
      <c r="Y60" s="135"/>
      <c r="Z60" s="135"/>
    </row>
    <row r="61" spans="1:26" ht="12.75">
      <c r="A61" s="136" t="s">
        <v>7</v>
      </c>
      <c r="B61" s="136" t="s">
        <v>7460</v>
      </c>
      <c r="C61" s="136" t="s">
        <v>763</v>
      </c>
      <c r="D61" s="136" t="s">
        <v>7472</v>
      </c>
      <c r="E61" s="136" t="s">
        <v>615</v>
      </c>
      <c r="F61" s="136">
        <v>53</v>
      </c>
      <c r="G61" s="137">
        <f t="shared" si="0"/>
        <v>5</v>
      </c>
      <c r="H61" s="137"/>
      <c r="I61" s="137"/>
      <c r="J61" s="135"/>
      <c r="K61" s="135"/>
      <c r="L61" s="135"/>
      <c r="M61" s="135"/>
      <c r="N61" s="135"/>
      <c r="O61" s="135"/>
      <c r="P61" s="135"/>
      <c r="Q61" s="135"/>
      <c r="R61" s="135"/>
      <c r="S61" s="135"/>
      <c r="T61" s="135"/>
      <c r="U61" s="135"/>
      <c r="V61" s="135"/>
      <c r="W61" s="135"/>
      <c r="X61" s="135"/>
      <c r="Y61" s="135"/>
      <c r="Z61" s="135"/>
    </row>
    <row r="62" spans="1:26" ht="12.75">
      <c r="A62" s="136" t="s">
        <v>7</v>
      </c>
      <c r="B62" s="136" t="s">
        <v>7460</v>
      </c>
      <c r="C62" s="136" t="s">
        <v>763</v>
      </c>
      <c r="D62" s="136" t="s">
        <v>1669</v>
      </c>
      <c r="E62" s="136" t="s">
        <v>615</v>
      </c>
      <c r="F62" s="136">
        <v>30</v>
      </c>
      <c r="G62" s="137">
        <f t="shared" si="0"/>
        <v>6</v>
      </c>
      <c r="H62" s="137"/>
      <c r="I62" s="137"/>
      <c r="J62" s="135"/>
      <c r="K62" s="135"/>
      <c r="L62" s="135"/>
      <c r="M62" s="135"/>
      <c r="N62" s="135"/>
      <c r="O62" s="135"/>
      <c r="P62" s="135"/>
      <c r="Q62" s="135"/>
      <c r="R62" s="135"/>
      <c r="S62" s="135"/>
      <c r="T62" s="135"/>
      <c r="U62" s="135"/>
      <c r="V62" s="135"/>
      <c r="W62" s="135"/>
      <c r="X62" s="135"/>
      <c r="Y62" s="135"/>
      <c r="Z62" s="135"/>
    </row>
    <row r="63" spans="1:26" ht="12.75">
      <c r="A63" s="136" t="s">
        <v>7</v>
      </c>
      <c r="B63" s="136" t="s">
        <v>7460</v>
      </c>
      <c r="C63" s="136" t="s">
        <v>763</v>
      </c>
      <c r="D63" s="136" t="s">
        <v>467</v>
      </c>
      <c r="E63" s="136" t="s">
        <v>85</v>
      </c>
      <c r="F63" s="136">
        <v>29</v>
      </c>
      <c r="G63" s="137">
        <f t="shared" si="0"/>
        <v>7</v>
      </c>
      <c r="H63" s="137"/>
      <c r="I63" s="137"/>
      <c r="J63" s="135"/>
      <c r="K63" s="135"/>
      <c r="L63" s="135"/>
      <c r="M63" s="135"/>
      <c r="N63" s="135"/>
      <c r="O63" s="135"/>
      <c r="P63" s="135"/>
      <c r="Q63" s="135"/>
      <c r="R63" s="135"/>
      <c r="S63" s="135"/>
      <c r="T63" s="135"/>
      <c r="U63" s="135"/>
      <c r="V63" s="135"/>
      <c r="W63" s="135"/>
      <c r="X63" s="135"/>
      <c r="Y63" s="135"/>
      <c r="Z63" s="135"/>
    </row>
    <row r="64" spans="1:26" ht="12.75">
      <c r="A64" s="136" t="s">
        <v>7</v>
      </c>
      <c r="B64" s="136" t="s">
        <v>7460</v>
      </c>
      <c r="C64" s="136" t="s">
        <v>763</v>
      </c>
      <c r="D64" s="136" t="s">
        <v>7475</v>
      </c>
      <c r="E64" s="136" t="s">
        <v>594</v>
      </c>
      <c r="F64" s="136">
        <v>28</v>
      </c>
      <c r="G64" s="137">
        <f t="shared" si="0"/>
        <v>8</v>
      </c>
      <c r="H64" s="137"/>
      <c r="I64" s="137"/>
      <c r="J64" s="135"/>
      <c r="K64" s="135"/>
      <c r="L64" s="135"/>
      <c r="M64" s="135"/>
      <c r="N64" s="135"/>
      <c r="O64" s="135"/>
      <c r="P64" s="135"/>
      <c r="Q64" s="135"/>
      <c r="R64" s="135"/>
      <c r="S64" s="135"/>
      <c r="T64" s="135"/>
      <c r="U64" s="135"/>
      <c r="V64" s="135"/>
      <c r="W64" s="135"/>
      <c r="X64" s="135"/>
      <c r="Y64" s="135"/>
      <c r="Z64" s="135"/>
    </row>
    <row r="65" spans="1:26" ht="12.75">
      <c r="A65" s="136" t="s">
        <v>7</v>
      </c>
      <c r="B65" s="136" t="s">
        <v>7460</v>
      </c>
      <c r="C65" s="136" t="s">
        <v>763</v>
      </c>
      <c r="D65" s="136" t="s">
        <v>1665</v>
      </c>
      <c r="E65" s="136" t="s">
        <v>615</v>
      </c>
      <c r="F65" s="136">
        <v>20</v>
      </c>
      <c r="G65" s="137">
        <f t="shared" si="0"/>
        <v>9</v>
      </c>
      <c r="H65" s="137"/>
      <c r="I65" s="137"/>
      <c r="J65" s="135"/>
      <c r="K65" s="135"/>
      <c r="L65" s="135"/>
      <c r="M65" s="135"/>
      <c r="N65" s="135"/>
      <c r="O65" s="135"/>
      <c r="P65" s="135"/>
      <c r="Q65" s="135"/>
      <c r="R65" s="135"/>
      <c r="S65" s="135"/>
      <c r="T65" s="135"/>
      <c r="U65" s="135"/>
      <c r="V65" s="135"/>
      <c r="W65" s="135"/>
      <c r="X65" s="135"/>
      <c r="Y65" s="135"/>
      <c r="Z65" s="135"/>
    </row>
    <row r="66" spans="1:26" ht="12.75">
      <c r="A66" s="136" t="s">
        <v>7</v>
      </c>
      <c r="B66" s="136" t="s">
        <v>7460</v>
      </c>
      <c r="C66" s="136" t="s">
        <v>763</v>
      </c>
      <c r="D66" s="136" t="s">
        <v>1626</v>
      </c>
      <c r="E66" s="136" t="s">
        <v>594</v>
      </c>
      <c r="F66" s="136">
        <v>8</v>
      </c>
      <c r="G66" s="137">
        <f t="shared" si="0"/>
        <v>10</v>
      </c>
      <c r="H66" s="137"/>
      <c r="I66" s="137"/>
      <c r="J66" s="135"/>
      <c r="K66" s="135"/>
      <c r="L66" s="135"/>
      <c r="M66" s="135"/>
      <c r="N66" s="135"/>
      <c r="O66" s="135"/>
      <c r="P66" s="135"/>
      <c r="Q66" s="135"/>
      <c r="R66" s="135"/>
      <c r="S66" s="135"/>
      <c r="T66" s="135"/>
      <c r="U66" s="135"/>
      <c r="V66" s="135"/>
      <c r="W66" s="135"/>
      <c r="X66" s="135"/>
      <c r="Y66" s="135"/>
      <c r="Z66" s="135"/>
    </row>
    <row r="67" spans="1:26" ht="12.75">
      <c r="A67" s="136" t="s">
        <v>7</v>
      </c>
      <c r="B67" s="136" t="s">
        <v>7460</v>
      </c>
      <c r="C67" s="136" t="s">
        <v>765</v>
      </c>
      <c r="D67" s="136" t="s">
        <v>139</v>
      </c>
      <c r="E67" s="136" t="s">
        <v>594</v>
      </c>
      <c r="F67" s="136">
        <v>1807</v>
      </c>
      <c r="G67" s="137">
        <f t="shared" si="0"/>
        <v>1</v>
      </c>
      <c r="H67" s="137"/>
      <c r="I67" s="137"/>
      <c r="J67" s="135"/>
      <c r="K67" s="135"/>
      <c r="L67" s="135"/>
      <c r="M67" s="135"/>
      <c r="N67" s="135"/>
      <c r="O67" s="135"/>
      <c r="P67" s="135"/>
      <c r="Q67" s="135"/>
      <c r="R67" s="135"/>
      <c r="S67" s="135"/>
      <c r="T67" s="135"/>
      <c r="U67" s="135"/>
      <c r="V67" s="135"/>
      <c r="W67" s="135"/>
      <c r="X67" s="135"/>
      <c r="Y67" s="135"/>
      <c r="Z67" s="135"/>
    </row>
    <row r="68" spans="1:26" ht="12.75">
      <c r="A68" s="136" t="s">
        <v>7</v>
      </c>
      <c r="B68" s="136" t="s">
        <v>7460</v>
      </c>
      <c r="C68" s="136" t="s">
        <v>765</v>
      </c>
      <c r="D68" s="136" t="s">
        <v>114</v>
      </c>
      <c r="E68" s="136" t="s">
        <v>85</v>
      </c>
      <c r="F68" s="136">
        <v>398</v>
      </c>
      <c r="G68" s="137">
        <f t="shared" si="0"/>
        <v>2</v>
      </c>
      <c r="H68" s="137"/>
      <c r="I68" s="137"/>
      <c r="J68" s="135"/>
      <c r="K68" s="135"/>
      <c r="L68" s="135"/>
      <c r="M68" s="135"/>
      <c r="N68" s="135"/>
      <c r="O68" s="135"/>
      <c r="P68" s="135"/>
      <c r="Q68" s="135"/>
      <c r="R68" s="135"/>
      <c r="S68" s="135"/>
      <c r="T68" s="135"/>
      <c r="U68" s="135"/>
      <c r="V68" s="135"/>
      <c r="W68" s="135"/>
      <c r="X68" s="135"/>
      <c r="Y68" s="135"/>
      <c r="Z68" s="135"/>
    </row>
    <row r="69" spans="1:26" ht="12.75">
      <c r="A69" s="136" t="s">
        <v>7</v>
      </c>
      <c r="B69" s="136" t="s">
        <v>7460</v>
      </c>
      <c r="C69" s="136" t="s">
        <v>765</v>
      </c>
      <c r="D69" s="136" t="s">
        <v>7473</v>
      </c>
      <c r="E69" s="136" t="s">
        <v>615</v>
      </c>
      <c r="F69" s="136">
        <v>341</v>
      </c>
      <c r="G69" s="137">
        <f t="shared" si="0"/>
        <v>3</v>
      </c>
      <c r="H69" s="137"/>
      <c r="I69" s="137"/>
      <c r="J69" s="135"/>
      <c r="K69" s="135"/>
      <c r="L69" s="135"/>
      <c r="M69" s="135"/>
      <c r="N69" s="135"/>
      <c r="O69" s="135"/>
      <c r="P69" s="135"/>
      <c r="Q69" s="135"/>
      <c r="R69" s="135"/>
      <c r="S69" s="135"/>
      <c r="T69" s="135"/>
      <c r="U69" s="135"/>
      <c r="V69" s="135"/>
      <c r="W69" s="135"/>
      <c r="X69" s="135"/>
      <c r="Y69" s="135"/>
      <c r="Z69" s="135"/>
    </row>
    <row r="70" spans="1:26" ht="12.75">
      <c r="A70" s="136" t="s">
        <v>7</v>
      </c>
      <c r="B70" s="136" t="s">
        <v>7460</v>
      </c>
      <c r="C70" s="136" t="s">
        <v>765</v>
      </c>
      <c r="D70" s="136" t="s">
        <v>467</v>
      </c>
      <c r="E70" s="136" t="s">
        <v>85</v>
      </c>
      <c r="F70" s="136">
        <v>255</v>
      </c>
      <c r="G70" s="137">
        <f t="shared" si="0"/>
        <v>4</v>
      </c>
      <c r="H70" s="137"/>
      <c r="I70" s="137"/>
      <c r="J70" s="135"/>
      <c r="K70" s="135"/>
      <c r="L70" s="135"/>
      <c r="M70" s="135"/>
      <c r="N70" s="135"/>
      <c r="O70" s="135"/>
      <c r="P70" s="135"/>
      <c r="Q70" s="135"/>
      <c r="R70" s="135"/>
      <c r="S70" s="135"/>
      <c r="T70" s="135"/>
      <c r="U70" s="135"/>
      <c r="V70" s="135"/>
      <c r="W70" s="135"/>
      <c r="X70" s="135"/>
      <c r="Y70" s="135"/>
      <c r="Z70" s="135"/>
    </row>
    <row r="71" spans="1:26" ht="12.75">
      <c r="A71" s="136" t="s">
        <v>7</v>
      </c>
      <c r="B71" s="136" t="s">
        <v>7460</v>
      </c>
      <c r="C71" s="136" t="s">
        <v>765</v>
      </c>
      <c r="D71" s="136" t="s">
        <v>7472</v>
      </c>
      <c r="E71" s="136" t="s">
        <v>615</v>
      </c>
      <c r="F71" s="136">
        <v>251</v>
      </c>
      <c r="G71" s="137">
        <f t="shared" si="0"/>
        <v>5</v>
      </c>
      <c r="H71" s="137"/>
      <c r="I71" s="137"/>
      <c r="J71" s="135"/>
      <c r="K71" s="135"/>
      <c r="L71" s="135"/>
      <c r="M71" s="135"/>
      <c r="N71" s="135"/>
      <c r="O71" s="135"/>
      <c r="P71" s="135"/>
      <c r="Q71" s="135"/>
      <c r="R71" s="135"/>
      <c r="S71" s="135"/>
      <c r="T71" s="135"/>
      <c r="U71" s="135"/>
      <c r="V71" s="135"/>
      <c r="W71" s="135"/>
      <c r="X71" s="135"/>
      <c r="Y71" s="135"/>
      <c r="Z71" s="135"/>
    </row>
    <row r="72" spans="1:26" ht="12.75">
      <c r="A72" s="136" t="s">
        <v>7</v>
      </c>
      <c r="B72" s="136" t="s">
        <v>7460</v>
      </c>
      <c r="C72" s="136" t="s">
        <v>765</v>
      </c>
      <c r="D72" s="136" t="s">
        <v>7463</v>
      </c>
      <c r="E72" s="136" t="s">
        <v>615</v>
      </c>
      <c r="F72" s="136">
        <v>224</v>
      </c>
      <c r="G72" s="137">
        <f t="shared" si="0"/>
        <v>6</v>
      </c>
      <c r="H72" s="137"/>
      <c r="I72" s="137"/>
      <c r="J72" s="135"/>
      <c r="K72" s="135"/>
      <c r="L72" s="135"/>
      <c r="M72" s="135"/>
      <c r="N72" s="135"/>
      <c r="O72" s="135"/>
      <c r="P72" s="135"/>
      <c r="Q72" s="135"/>
      <c r="R72" s="135"/>
      <c r="S72" s="135"/>
      <c r="T72" s="135"/>
      <c r="U72" s="135"/>
      <c r="V72" s="135"/>
      <c r="W72" s="135"/>
      <c r="X72" s="135"/>
      <c r="Y72" s="135"/>
      <c r="Z72" s="135"/>
    </row>
    <row r="73" spans="1:26" ht="12.75">
      <c r="A73" s="136" t="s">
        <v>7</v>
      </c>
      <c r="B73" s="136" t="s">
        <v>7460</v>
      </c>
      <c r="C73" s="136" t="s">
        <v>765</v>
      </c>
      <c r="D73" s="136" t="s">
        <v>7476</v>
      </c>
      <c r="E73" s="136" t="s">
        <v>615</v>
      </c>
      <c r="F73" s="136">
        <v>30</v>
      </c>
      <c r="G73" s="137">
        <f t="shared" si="0"/>
        <v>7</v>
      </c>
      <c r="H73" s="137"/>
      <c r="I73" s="137"/>
      <c r="J73" s="135"/>
      <c r="K73" s="135"/>
      <c r="L73" s="135"/>
      <c r="M73" s="135"/>
      <c r="N73" s="135"/>
      <c r="O73" s="135"/>
      <c r="P73" s="135"/>
      <c r="Q73" s="135"/>
      <c r="R73" s="135"/>
      <c r="S73" s="135"/>
      <c r="T73" s="135"/>
      <c r="U73" s="135"/>
      <c r="V73" s="135"/>
      <c r="W73" s="135"/>
      <c r="X73" s="135"/>
      <c r="Y73" s="135"/>
      <c r="Z73" s="135"/>
    </row>
    <row r="74" spans="1:26" ht="12.75">
      <c r="A74" s="136" t="s">
        <v>7</v>
      </c>
      <c r="B74" s="136" t="s">
        <v>7460</v>
      </c>
      <c r="C74" s="136" t="s">
        <v>765</v>
      </c>
      <c r="D74" s="136" t="s">
        <v>1669</v>
      </c>
      <c r="E74" s="136" t="s">
        <v>615</v>
      </c>
      <c r="F74" s="136">
        <v>27</v>
      </c>
      <c r="G74" s="137">
        <f t="shared" si="0"/>
        <v>8</v>
      </c>
      <c r="H74" s="137"/>
      <c r="I74" s="137"/>
      <c r="J74" s="135"/>
      <c r="K74" s="135"/>
      <c r="L74" s="135"/>
      <c r="M74" s="135"/>
      <c r="N74" s="135"/>
      <c r="O74" s="135"/>
      <c r="P74" s="135"/>
      <c r="Q74" s="135"/>
      <c r="R74" s="135"/>
      <c r="S74" s="135"/>
      <c r="T74" s="135"/>
      <c r="U74" s="135"/>
      <c r="V74" s="135"/>
      <c r="W74" s="135"/>
      <c r="X74" s="135"/>
      <c r="Y74" s="135"/>
      <c r="Z74" s="135"/>
    </row>
    <row r="75" spans="1:26" ht="12.75">
      <c r="A75" s="136" t="s">
        <v>7</v>
      </c>
      <c r="B75" s="136" t="s">
        <v>7460</v>
      </c>
      <c r="C75" s="136" t="s">
        <v>765</v>
      </c>
      <c r="D75" s="136" t="s">
        <v>1665</v>
      </c>
      <c r="E75" s="136" t="s">
        <v>615</v>
      </c>
      <c r="F75" s="136">
        <v>25</v>
      </c>
      <c r="G75" s="137">
        <f t="shared" si="0"/>
        <v>9</v>
      </c>
      <c r="H75" s="137"/>
      <c r="I75" s="137"/>
      <c r="J75" s="135"/>
      <c r="K75" s="135"/>
      <c r="L75" s="135"/>
      <c r="M75" s="135"/>
      <c r="N75" s="135"/>
      <c r="O75" s="135"/>
      <c r="P75" s="135"/>
      <c r="Q75" s="135"/>
      <c r="R75" s="135"/>
      <c r="S75" s="135"/>
      <c r="T75" s="135"/>
      <c r="U75" s="135"/>
      <c r="V75" s="135"/>
      <c r="W75" s="135"/>
      <c r="X75" s="135"/>
      <c r="Y75" s="135"/>
      <c r="Z75" s="135"/>
    </row>
    <row r="76" spans="1:26" ht="12.75">
      <c r="A76" s="136" t="s">
        <v>7</v>
      </c>
      <c r="B76" s="136" t="s">
        <v>7460</v>
      </c>
      <c r="C76" s="136" t="s">
        <v>765</v>
      </c>
      <c r="D76" s="136" t="s">
        <v>1626</v>
      </c>
      <c r="E76" s="136" t="s">
        <v>594</v>
      </c>
      <c r="F76" s="136">
        <v>13</v>
      </c>
      <c r="G76" s="137">
        <f t="shared" si="0"/>
        <v>10</v>
      </c>
      <c r="H76" s="137"/>
      <c r="I76" s="137"/>
      <c r="J76" s="135"/>
      <c r="K76" s="135"/>
      <c r="L76" s="135"/>
      <c r="M76" s="135"/>
      <c r="N76" s="135"/>
      <c r="O76" s="135"/>
      <c r="P76" s="135"/>
      <c r="Q76" s="135"/>
      <c r="R76" s="135"/>
      <c r="S76" s="135"/>
      <c r="T76" s="135"/>
      <c r="U76" s="135"/>
      <c r="V76" s="135"/>
      <c r="W76" s="135"/>
      <c r="X76" s="135"/>
      <c r="Y76" s="135"/>
      <c r="Z76" s="135"/>
    </row>
    <row r="77" spans="1:26" ht="12.75">
      <c r="A77" s="136" t="s">
        <v>7</v>
      </c>
      <c r="B77" s="136" t="s">
        <v>7460</v>
      </c>
      <c r="C77" s="136" t="s">
        <v>768</v>
      </c>
      <c r="D77" s="136" t="s">
        <v>7463</v>
      </c>
      <c r="E77" s="136" t="s">
        <v>615</v>
      </c>
      <c r="F77" s="136">
        <v>6170</v>
      </c>
      <c r="G77" s="137">
        <f t="shared" si="0"/>
        <v>1</v>
      </c>
      <c r="H77" s="137"/>
      <c r="I77" s="137"/>
      <c r="J77" s="135"/>
      <c r="K77" s="135"/>
      <c r="L77" s="135"/>
      <c r="M77" s="135"/>
      <c r="N77" s="135"/>
      <c r="O77" s="135"/>
      <c r="P77" s="135"/>
      <c r="Q77" s="135"/>
      <c r="R77" s="135"/>
      <c r="S77" s="135"/>
      <c r="T77" s="135"/>
      <c r="U77" s="135"/>
      <c r="V77" s="135"/>
      <c r="W77" s="135"/>
      <c r="X77" s="135"/>
      <c r="Y77" s="135"/>
      <c r="Z77" s="135"/>
    </row>
    <row r="78" spans="1:26" ht="12.75">
      <c r="A78" s="136" t="s">
        <v>7</v>
      </c>
      <c r="B78" s="136" t="s">
        <v>7460</v>
      </c>
      <c r="C78" s="136" t="s">
        <v>768</v>
      </c>
      <c r="D78" s="136" t="s">
        <v>114</v>
      </c>
      <c r="E78" s="136" t="s">
        <v>85</v>
      </c>
      <c r="F78" s="136">
        <v>1211</v>
      </c>
      <c r="G78" s="137">
        <f t="shared" si="0"/>
        <v>2</v>
      </c>
      <c r="H78" s="137"/>
      <c r="I78" s="137"/>
      <c r="J78" s="135"/>
      <c r="K78" s="135"/>
      <c r="L78" s="135"/>
      <c r="M78" s="135"/>
      <c r="N78" s="135"/>
      <c r="O78" s="135"/>
      <c r="P78" s="135"/>
      <c r="Q78" s="135"/>
      <c r="R78" s="135"/>
      <c r="S78" s="135"/>
      <c r="T78" s="135"/>
      <c r="U78" s="135"/>
      <c r="V78" s="135"/>
      <c r="W78" s="135"/>
      <c r="X78" s="135"/>
      <c r="Y78" s="135"/>
      <c r="Z78" s="135"/>
    </row>
    <row r="79" spans="1:26" ht="12.75">
      <c r="A79" s="136" t="s">
        <v>7</v>
      </c>
      <c r="B79" s="136" t="s">
        <v>7460</v>
      </c>
      <c r="C79" s="136" t="s">
        <v>768</v>
      </c>
      <c r="D79" s="136" t="s">
        <v>139</v>
      </c>
      <c r="E79" s="136" t="s">
        <v>594</v>
      </c>
      <c r="F79" s="136">
        <v>1011</v>
      </c>
      <c r="G79" s="137">
        <f t="shared" si="0"/>
        <v>3</v>
      </c>
      <c r="H79" s="137"/>
      <c r="I79" s="137"/>
      <c r="J79" s="135"/>
      <c r="K79" s="135"/>
      <c r="L79" s="135"/>
      <c r="M79" s="135"/>
      <c r="N79" s="135"/>
      <c r="O79" s="135"/>
      <c r="P79" s="135"/>
      <c r="Q79" s="135"/>
      <c r="R79" s="135"/>
      <c r="S79" s="135"/>
      <c r="T79" s="135"/>
      <c r="U79" s="135"/>
      <c r="V79" s="135"/>
      <c r="W79" s="135"/>
      <c r="X79" s="135"/>
      <c r="Y79" s="135"/>
      <c r="Z79" s="135"/>
    </row>
    <row r="80" spans="1:26" ht="12.75">
      <c r="A80" s="136" t="s">
        <v>7</v>
      </c>
      <c r="B80" s="136" t="s">
        <v>7460</v>
      </c>
      <c r="C80" s="136" t="s">
        <v>768</v>
      </c>
      <c r="D80" s="136" t="s">
        <v>7473</v>
      </c>
      <c r="E80" s="136" t="s">
        <v>615</v>
      </c>
      <c r="F80" s="136">
        <v>610</v>
      </c>
      <c r="G80" s="137">
        <f t="shared" si="0"/>
        <v>4</v>
      </c>
      <c r="H80" s="137"/>
      <c r="I80" s="137"/>
      <c r="J80" s="135"/>
      <c r="K80" s="135"/>
      <c r="L80" s="135"/>
      <c r="M80" s="135"/>
      <c r="N80" s="135"/>
      <c r="O80" s="135"/>
      <c r="P80" s="135"/>
      <c r="Q80" s="135"/>
      <c r="R80" s="135"/>
      <c r="S80" s="135"/>
      <c r="T80" s="135"/>
      <c r="U80" s="135"/>
      <c r="V80" s="135"/>
      <c r="W80" s="135"/>
      <c r="X80" s="135"/>
      <c r="Y80" s="135"/>
      <c r="Z80" s="135"/>
    </row>
    <row r="81" spans="1:26" ht="12.75">
      <c r="A81" s="136" t="s">
        <v>7</v>
      </c>
      <c r="B81" s="136" t="s">
        <v>7460</v>
      </c>
      <c r="C81" s="136" t="s">
        <v>768</v>
      </c>
      <c r="D81" s="136" t="s">
        <v>467</v>
      </c>
      <c r="E81" s="136" t="s">
        <v>85</v>
      </c>
      <c r="F81" s="136">
        <v>603</v>
      </c>
      <c r="G81" s="137">
        <f t="shared" si="0"/>
        <v>5</v>
      </c>
      <c r="H81" s="137"/>
      <c r="I81" s="137"/>
      <c r="J81" s="135"/>
      <c r="K81" s="135"/>
      <c r="L81" s="135"/>
      <c r="M81" s="135"/>
      <c r="N81" s="135"/>
      <c r="O81" s="135"/>
      <c r="P81" s="135"/>
      <c r="Q81" s="135"/>
      <c r="R81" s="135"/>
      <c r="S81" s="135"/>
      <c r="T81" s="135"/>
      <c r="U81" s="135"/>
      <c r="V81" s="135"/>
      <c r="W81" s="135"/>
      <c r="X81" s="135"/>
      <c r="Y81" s="135"/>
      <c r="Z81" s="135"/>
    </row>
    <row r="82" spans="1:26" ht="12.75">
      <c r="A82" s="136" t="s">
        <v>7</v>
      </c>
      <c r="B82" s="136" t="s">
        <v>7460</v>
      </c>
      <c r="C82" s="136" t="s">
        <v>768</v>
      </c>
      <c r="D82" s="136" t="s">
        <v>7472</v>
      </c>
      <c r="E82" s="136" t="s">
        <v>615</v>
      </c>
      <c r="F82" s="136">
        <v>496</v>
      </c>
      <c r="G82" s="137">
        <f t="shared" si="0"/>
        <v>6</v>
      </c>
      <c r="H82" s="137"/>
      <c r="I82" s="137"/>
      <c r="J82" s="135"/>
      <c r="K82" s="135"/>
      <c r="L82" s="135"/>
      <c r="M82" s="135"/>
      <c r="N82" s="135"/>
      <c r="O82" s="135"/>
      <c r="P82" s="135"/>
      <c r="Q82" s="135"/>
      <c r="R82" s="135"/>
      <c r="S82" s="135"/>
      <c r="T82" s="135"/>
      <c r="U82" s="135"/>
      <c r="V82" s="135"/>
      <c r="W82" s="135"/>
      <c r="X82" s="135"/>
      <c r="Y82" s="135"/>
      <c r="Z82" s="135"/>
    </row>
    <row r="83" spans="1:26" ht="12.75">
      <c r="A83" s="136" t="s">
        <v>7</v>
      </c>
      <c r="B83" s="136" t="s">
        <v>7460</v>
      </c>
      <c r="C83" s="136" t="s">
        <v>768</v>
      </c>
      <c r="D83" s="136" t="s">
        <v>7477</v>
      </c>
      <c r="E83" s="136" t="s">
        <v>615</v>
      </c>
      <c r="F83" s="136">
        <v>83</v>
      </c>
      <c r="G83" s="137">
        <f t="shared" si="0"/>
        <v>7</v>
      </c>
      <c r="H83" s="137"/>
      <c r="I83" s="137"/>
      <c r="J83" s="135"/>
      <c r="K83" s="135"/>
      <c r="L83" s="135"/>
      <c r="M83" s="135"/>
      <c r="N83" s="135"/>
      <c r="O83" s="135"/>
      <c r="P83" s="135"/>
      <c r="Q83" s="135"/>
      <c r="R83" s="135"/>
      <c r="S83" s="135"/>
      <c r="T83" s="135"/>
      <c r="U83" s="135"/>
      <c r="V83" s="135"/>
      <c r="W83" s="135"/>
      <c r="X83" s="135"/>
      <c r="Y83" s="135"/>
      <c r="Z83" s="135"/>
    </row>
    <row r="84" spans="1:26" ht="12.75">
      <c r="A84" s="136" t="s">
        <v>7</v>
      </c>
      <c r="B84" s="136" t="s">
        <v>7460</v>
      </c>
      <c r="C84" s="136" t="s">
        <v>768</v>
      </c>
      <c r="D84" s="136" t="s">
        <v>7476</v>
      </c>
      <c r="E84" s="136" t="s">
        <v>615</v>
      </c>
      <c r="F84" s="136">
        <v>49</v>
      </c>
      <c r="G84" s="137">
        <f t="shared" si="0"/>
        <v>8</v>
      </c>
      <c r="H84" s="137"/>
      <c r="I84" s="137"/>
      <c r="J84" s="135"/>
      <c r="K84" s="135"/>
      <c r="L84" s="135"/>
      <c r="M84" s="135"/>
      <c r="N84" s="135"/>
      <c r="O84" s="135"/>
      <c r="P84" s="135"/>
      <c r="Q84" s="135"/>
      <c r="R84" s="135"/>
      <c r="S84" s="135"/>
      <c r="T84" s="135"/>
      <c r="U84" s="135"/>
      <c r="V84" s="135"/>
      <c r="W84" s="135"/>
      <c r="X84" s="135"/>
      <c r="Y84" s="135"/>
      <c r="Z84" s="135"/>
    </row>
    <row r="85" spans="1:26" ht="12.75">
      <c r="A85" s="136" t="s">
        <v>7</v>
      </c>
      <c r="B85" s="136" t="s">
        <v>7460</v>
      </c>
      <c r="C85" s="136" t="s">
        <v>768</v>
      </c>
      <c r="D85" s="136" t="s">
        <v>7478</v>
      </c>
      <c r="E85" s="136" t="s">
        <v>615</v>
      </c>
      <c r="F85" s="136">
        <v>39</v>
      </c>
      <c r="G85" s="137">
        <f t="shared" si="0"/>
        <v>9</v>
      </c>
      <c r="H85" s="137"/>
      <c r="I85" s="137"/>
      <c r="J85" s="135"/>
      <c r="K85" s="135"/>
      <c r="L85" s="135"/>
      <c r="M85" s="135"/>
      <c r="N85" s="135"/>
      <c r="O85" s="135"/>
      <c r="P85" s="135"/>
      <c r="Q85" s="135"/>
      <c r="R85" s="135"/>
      <c r="S85" s="135"/>
      <c r="T85" s="135"/>
      <c r="U85" s="135"/>
      <c r="V85" s="135"/>
      <c r="W85" s="135"/>
      <c r="X85" s="135"/>
      <c r="Y85" s="135"/>
      <c r="Z85" s="135"/>
    </row>
    <row r="86" spans="1:26" ht="12.75">
      <c r="A86" s="136" t="s">
        <v>7</v>
      </c>
      <c r="B86" s="136" t="s">
        <v>7460</v>
      </c>
      <c r="C86" s="136" t="s">
        <v>768</v>
      </c>
      <c r="D86" s="136" t="s">
        <v>1665</v>
      </c>
      <c r="E86" s="136" t="s">
        <v>615</v>
      </c>
      <c r="F86" s="136">
        <v>35</v>
      </c>
      <c r="G86" s="137">
        <f t="shared" si="0"/>
        <v>10</v>
      </c>
      <c r="H86" s="137"/>
      <c r="I86" s="137"/>
      <c r="J86" s="135"/>
      <c r="K86" s="135"/>
      <c r="L86" s="135"/>
      <c r="M86" s="135"/>
      <c r="N86" s="135"/>
      <c r="O86" s="135"/>
      <c r="P86" s="135"/>
      <c r="Q86" s="135"/>
      <c r="R86" s="135"/>
      <c r="S86" s="135"/>
      <c r="T86" s="135"/>
      <c r="U86" s="135"/>
      <c r="V86" s="135"/>
      <c r="W86" s="135"/>
      <c r="X86" s="135"/>
      <c r="Y86" s="135"/>
      <c r="Z86" s="135"/>
    </row>
    <row r="87" spans="1:26" ht="12.75">
      <c r="A87" s="136" t="s">
        <v>7</v>
      </c>
      <c r="B87" s="136" t="s">
        <v>7460</v>
      </c>
      <c r="C87" s="136" t="s">
        <v>768</v>
      </c>
      <c r="D87" s="136" t="s">
        <v>7475</v>
      </c>
      <c r="E87" s="136" t="s">
        <v>594</v>
      </c>
      <c r="F87" s="136">
        <v>33</v>
      </c>
      <c r="G87" s="137">
        <f t="shared" si="0"/>
        <v>11</v>
      </c>
      <c r="H87" s="137"/>
      <c r="I87" s="137"/>
      <c r="J87" s="135"/>
      <c r="K87" s="135"/>
      <c r="L87" s="135"/>
      <c r="M87" s="135"/>
      <c r="N87" s="135"/>
      <c r="O87" s="135"/>
      <c r="P87" s="135"/>
      <c r="Q87" s="135"/>
      <c r="R87" s="135"/>
      <c r="S87" s="135"/>
      <c r="T87" s="135"/>
      <c r="U87" s="135"/>
      <c r="V87" s="135"/>
      <c r="W87" s="135"/>
      <c r="X87" s="135"/>
      <c r="Y87" s="135"/>
      <c r="Z87" s="135"/>
    </row>
    <row r="88" spans="1:26" ht="12.75">
      <c r="A88" s="136" t="s">
        <v>7</v>
      </c>
      <c r="B88" s="136" t="s">
        <v>7460</v>
      </c>
      <c r="C88" s="136" t="s">
        <v>768</v>
      </c>
      <c r="D88" s="136" t="s">
        <v>1669</v>
      </c>
      <c r="E88" s="136" t="s">
        <v>615</v>
      </c>
      <c r="F88" s="136">
        <v>30</v>
      </c>
      <c r="G88" s="137">
        <f t="shared" si="0"/>
        <v>12</v>
      </c>
      <c r="H88" s="137"/>
      <c r="I88" s="137"/>
      <c r="J88" s="135"/>
      <c r="K88" s="135"/>
      <c r="L88" s="135"/>
      <c r="M88" s="135"/>
      <c r="N88" s="135"/>
      <c r="O88" s="135"/>
      <c r="P88" s="135"/>
      <c r="Q88" s="135"/>
      <c r="R88" s="135"/>
      <c r="S88" s="135"/>
      <c r="T88" s="135"/>
      <c r="U88" s="135"/>
      <c r="V88" s="135"/>
      <c r="W88" s="135"/>
      <c r="X88" s="135"/>
      <c r="Y88" s="135"/>
      <c r="Z88" s="135"/>
    </row>
    <row r="89" spans="1:26" ht="12.75">
      <c r="A89" s="136" t="s">
        <v>7</v>
      </c>
      <c r="B89" s="136" t="s">
        <v>7460</v>
      </c>
      <c r="C89" s="136" t="s">
        <v>768</v>
      </c>
      <c r="D89" s="136" t="s">
        <v>1626</v>
      </c>
      <c r="E89" s="136" t="s">
        <v>594</v>
      </c>
      <c r="F89" s="136">
        <v>27</v>
      </c>
      <c r="G89" s="137">
        <f t="shared" si="0"/>
        <v>13</v>
      </c>
      <c r="H89" s="137"/>
      <c r="I89" s="137"/>
      <c r="J89" s="135"/>
      <c r="K89" s="135"/>
      <c r="L89" s="135"/>
      <c r="M89" s="135"/>
      <c r="N89" s="135"/>
      <c r="O89" s="135"/>
      <c r="P89" s="135"/>
      <c r="Q89" s="135"/>
      <c r="R89" s="135"/>
      <c r="S89" s="135"/>
      <c r="T89" s="135"/>
      <c r="U89" s="135"/>
      <c r="V89" s="135"/>
      <c r="W89" s="135"/>
      <c r="X89" s="135"/>
      <c r="Y89" s="135"/>
      <c r="Z89" s="135"/>
    </row>
    <row r="90" spans="1:26" ht="12.75">
      <c r="A90" s="136" t="s">
        <v>7</v>
      </c>
      <c r="B90" s="136" t="s">
        <v>7460</v>
      </c>
      <c r="C90" s="136" t="s">
        <v>7479</v>
      </c>
      <c r="D90" s="136" t="s">
        <v>7463</v>
      </c>
      <c r="E90" s="136" t="s">
        <v>615</v>
      </c>
      <c r="F90" s="136">
        <v>1120</v>
      </c>
      <c r="G90" s="137">
        <f t="shared" si="0"/>
        <v>1</v>
      </c>
      <c r="H90" s="137"/>
      <c r="I90" s="137"/>
      <c r="J90" s="135"/>
      <c r="K90" s="135"/>
      <c r="L90" s="135"/>
      <c r="M90" s="135"/>
      <c r="N90" s="135"/>
      <c r="O90" s="135"/>
      <c r="P90" s="135"/>
      <c r="Q90" s="135"/>
      <c r="R90" s="135"/>
      <c r="S90" s="135"/>
      <c r="T90" s="135"/>
      <c r="U90" s="135"/>
      <c r="V90" s="135"/>
      <c r="W90" s="135"/>
      <c r="X90" s="135"/>
      <c r="Y90" s="135"/>
      <c r="Z90" s="135"/>
    </row>
    <row r="91" spans="1:26" ht="12.75">
      <c r="A91" s="136" t="s">
        <v>7</v>
      </c>
      <c r="B91" s="136" t="s">
        <v>7460</v>
      </c>
      <c r="C91" s="136" t="s">
        <v>7479</v>
      </c>
      <c r="D91" s="136" t="s">
        <v>139</v>
      </c>
      <c r="E91" s="136" t="s">
        <v>594</v>
      </c>
      <c r="F91" s="136">
        <v>278</v>
      </c>
      <c r="G91" s="137">
        <f t="shared" si="0"/>
        <v>2</v>
      </c>
      <c r="H91" s="137"/>
      <c r="I91" s="137"/>
      <c r="J91" s="135"/>
      <c r="K91" s="135"/>
      <c r="L91" s="135"/>
      <c r="M91" s="135"/>
      <c r="N91" s="135"/>
      <c r="O91" s="135"/>
      <c r="P91" s="135"/>
      <c r="Q91" s="135"/>
      <c r="R91" s="135"/>
      <c r="S91" s="135"/>
      <c r="T91" s="135"/>
      <c r="U91" s="135"/>
      <c r="V91" s="135"/>
      <c r="W91" s="135"/>
      <c r="X91" s="135"/>
      <c r="Y91" s="135"/>
      <c r="Z91" s="135"/>
    </row>
    <row r="92" spans="1:26" ht="12.75">
      <c r="A92" s="136" t="s">
        <v>7</v>
      </c>
      <c r="B92" s="136" t="s">
        <v>7460</v>
      </c>
      <c r="C92" s="136" t="s">
        <v>7479</v>
      </c>
      <c r="D92" s="136" t="s">
        <v>114</v>
      </c>
      <c r="E92" s="136" t="s">
        <v>85</v>
      </c>
      <c r="F92" s="136">
        <v>77</v>
      </c>
      <c r="G92" s="137">
        <f t="shared" si="0"/>
        <v>3</v>
      </c>
      <c r="H92" s="137"/>
      <c r="I92" s="137"/>
      <c r="J92" s="135"/>
      <c r="K92" s="135"/>
      <c r="L92" s="135"/>
      <c r="M92" s="135"/>
      <c r="N92" s="135"/>
      <c r="O92" s="135"/>
      <c r="P92" s="135"/>
      <c r="Q92" s="135"/>
      <c r="R92" s="135"/>
      <c r="S92" s="135"/>
      <c r="T92" s="135"/>
      <c r="U92" s="135"/>
      <c r="V92" s="135"/>
      <c r="W92" s="135"/>
      <c r="X92" s="135"/>
      <c r="Y92" s="135"/>
      <c r="Z92" s="135"/>
    </row>
    <row r="93" spans="1:26" ht="12.75">
      <c r="A93" s="136" t="s">
        <v>7</v>
      </c>
      <c r="B93" s="136" t="s">
        <v>7460</v>
      </c>
      <c r="C93" s="136" t="s">
        <v>7479</v>
      </c>
      <c r="D93" s="136" t="s">
        <v>7473</v>
      </c>
      <c r="E93" s="136" t="s">
        <v>615</v>
      </c>
      <c r="F93" s="136">
        <v>53</v>
      </c>
      <c r="G93" s="137">
        <f t="shared" si="0"/>
        <v>4</v>
      </c>
      <c r="H93" s="137"/>
      <c r="I93" s="137"/>
      <c r="J93" s="135"/>
      <c r="K93" s="135"/>
      <c r="L93" s="135"/>
      <c r="M93" s="135"/>
      <c r="N93" s="135"/>
      <c r="O93" s="135"/>
      <c r="P93" s="135"/>
      <c r="Q93" s="135"/>
      <c r="R93" s="135"/>
      <c r="S93" s="135"/>
      <c r="T93" s="135"/>
      <c r="U93" s="135"/>
      <c r="V93" s="135"/>
      <c r="W93" s="135"/>
      <c r="X93" s="135"/>
      <c r="Y93" s="135"/>
      <c r="Z93" s="135"/>
    </row>
    <row r="94" spans="1:26" ht="12.75">
      <c r="A94" s="136" t="s">
        <v>7</v>
      </c>
      <c r="B94" s="136" t="s">
        <v>7460</v>
      </c>
      <c r="C94" s="136" t="s">
        <v>7479</v>
      </c>
      <c r="D94" s="136" t="s">
        <v>7472</v>
      </c>
      <c r="E94" s="136" t="s">
        <v>615</v>
      </c>
      <c r="F94" s="136">
        <v>50</v>
      </c>
      <c r="G94" s="137">
        <f t="shared" si="0"/>
        <v>5</v>
      </c>
      <c r="H94" s="137"/>
      <c r="I94" s="137"/>
      <c r="J94" s="135"/>
      <c r="K94" s="135"/>
      <c r="L94" s="135"/>
      <c r="M94" s="135"/>
      <c r="N94" s="135"/>
      <c r="O94" s="135"/>
      <c r="P94" s="135"/>
      <c r="Q94" s="135"/>
      <c r="R94" s="135"/>
      <c r="S94" s="135"/>
      <c r="T94" s="135"/>
      <c r="U94" s="135"/>
      <c r="V94" s="135"/>
      <c r="W94" s="135"/>
      <c r="X94" s="135"/>
      <c r="Y94" s="135"/>
      <c r="Z94" s="135"/>
    </row>
    <row r="95" spans="1:26" ht="12.75">
      <c r="A95" s="136" t="s">
        <v>7</v>
      </c>
      <c r="B95" s="136" t="s">
        <v>7460</v>
      </c>
      <c r="C95" s="136" t="s">
        <v>7479</v>
      </c>
      <c r="D95" s="136" t="s">
        <v>467</v>
      </c>
      <c r="E95" s="136" t="s">
        <v>85</v>
      </c>
      <c r="F95" s="136">
        <v>43</v>
      </c>
      <c r="G95" s="137">
        <f t="shared" si="0"/>
        <v>6</v>
      </c>
      <c r="H95" s="137"/>
      <c r="I95" s="137"/>
      <c r="J95" s="135"/>
      <c r="K95" s="135"/>
      <c r="L95" s="135"/>
      <c r="M95" s="135"/>
      <c r="N95" s="135"/>
      <c r="O95" s="135"/>
      <c r="P95" s="135"/>
      <c r="Q95" s="135"/>
      <c r="R95" s="135"/>
      <c r="S95" s="135"/>
      <c r="T95" s="135"/>
      <c r="U95" s="135"/>
      <c r="V95" s="135"/>
      <c r="W95" s="135"/>
      <c r="X95" s="135"/>
      <c r="Y95" s="135"/>
      <c r="Z95" s="135"/>
    </row>
    <row r="96" spans="1:26" ht="12.75">
      <c r="A96" s="136" t="s">
        <v>7</v>
      </c>
      <c r="B96" s="136" t="s">
        <v>7460</v>
      </c>
      <c r="C96" s="136" t="s">
        <v>7479</v>
      </c>
      <c r="D96" s="136" t="s">
        <v>7476</v>
      </c>
      <c r="E96" s="136" t="s">
        <v>615</v>
      </c>
      <c r="F96" s="136">
        <v>26</v>
      </c>
      <c r="G96" s="137">
        <f t="shared" si="0"/>
        <v>7</v>
      </c>
      <c r="H96" s="137"/>
      <c r="I96" s="137"/>
      <c r="J96" s="135"/>
      <c r="K96" s="135"/>
      <c r="L96" s="135"/>
      <c r="M96" s="135"/>
      <c r="N96" s="135"/>
      <c r="O96" s="135"/>
      <c r="P96" s="135"/>
      <c r="Q96" s="135"/>
      <c r="R96" s="135"/>
      <c r="S96" s="135"/>
      <c r="T96" s="135"/>
      <c r="U96" s="135"/>
      <c r="V96" s="135"/>
      <c r="W96" s="135"/>
      <c r="X96" s="135"/>
      <c r="Y96" s="135"/>
      <c r="Z96" s="135"/>
    </row>
    <row r="97" spans="1:26" ht="12.75">
      <c r="A97" s="136" t="s">
        <v>7</v>
      </c>
      <c r="B97" s="136" t="s">
        <v>7460</v>
      </c>
      <c r="C97" s="136" t="s">
        <v>7479</v>
      </c>
      <c r="D97" s="136" t="s">
        <v>1669</v>
      </c>
      <c r="E97" s="136" t="s">
        <v>615</v>
      </c>
      <c r="F97" s="136">
        <v>23</v>
      </c>
      <c r="G97" s="137">
        <f t="shared" si="0"/>
        <v>8</v>
      </c>
      <c r="H97" s="137"/>
      <c r="I97" s="137"/>
      <c r="J97" s="135"/>
      <c r="K97" s="135"/>
      <c r="L97" s="135"/>
      <c r="M97" s="135"/>
      <c r="N97" s="135"/>
      <c r="O97" s="135"/>
      <c r="P97" s="135"/>
      <c r="Q97" s="135"/>
      <c r="R97" s="135"/>
      <c r="S97" s="135"/>
      <c r="T97" s="135"/>
      <c r="U97" s="135"/>
      <c r="V97" s="135"/>
      <c r="W97" s="135"/>
      <c r="X97" s="135"/>
      <c r="Y97" s="135"/>
      <c r="Z97" s="135"/>
    </row>
    <row r="98" spans="1:26" ht="12.75">
      <c r="A98" s="136" t="s">
        <v>7</v>
      </c>
      <c r="B98" s="136" t="s">
        <v>7460</v>
      </c>
      <c r="C98" s="136" t="s">
        <v>7479</v>
      </c>
      <c r="D98" s="136" t="s">
        <v>1665</v>
      </c>
      <c r="E98" s="136" t="s">
        <v>615</v>
      </c>
      <c r="F98" s="136">
        <v>20</v>
      </c>
      <c r="G98" s="137">
        <f t="shared" si="0"/>
        <v>9</v>
      </c>
      <c r="H98" s="137"/>
      <c r="I98" s="137"/>
      <c r="J98" s="135"/>
      <c r="K98" s="135"/>
      <c r="L98" s="135"/>
      <c r="M98" s="135"/>
      <c r="N98" s="135"/>
      <c r="O98" s="135"/>
      <c r="P98" s="135"/>
      <c r="Q98" s="135"/>
      <c r="R98" s="135"/>
      <c r="S98" s="135"/>
      <c r="T98" s="135"/>
      <c r="U98" s="135"/>
      <c r="V98" s="135"/>
      <c r="W98" s="135"/>
      <c r="X98" s="135"/>
      <c r="Y98" s="135"/>
      <c r="Z98" s="135"/>
    </row>
    <row r="99" spans="1:26" ht="12.75">
      <c r="A99" s="136" t="s">
        <v>7</v>
      </c>
      <c r="B99" s="136" t="s">
        <v>7460</v>
      </c>
      <c r="C99" s="136" t="s">
        <v>7479</v>
      </c>
      <c r="D99" s="136" t="s">
        <v>1626</v>
      </c>
      <c r="E99" s="136" t="s">
        <v>594</v>
      </c>
      <c r="F99" s="136">
        <v>13</v>
      </c>
      <c r="G99" s="137">
        <f t="shared" si="0"/>
        <v>10</v>
      </c>
      <c r="H99" s="137"/>
      <c r="I99" s="137"/>
      <c r="J99" s="135"/>
      <c r="K99" s="135"/>
      <c r="L99" s="135"/>
      <c r="M99" s="135"/>
      <c r="N99" s="135"/>
      <c r="O99" s="135"/>
      <c r="P99" s="135"/>
      <c r="Q99" s="135"/>
      <c r="R99" s="135"/>
      <c r="S99" s="135"/>
      <c r="T99" s="135"/>
      <c r="U99" s="135"/>
      <c r="V99" s="135"/>
      <c r="W99" s="135"/>
      <c r="X99" s="135"/>
      <c r="Y99" s="135"/>
      <c r="Z99" s="135"/>
    </row>
    <row r="100" spans="1:26" ht="12.75">
      <c r="A100" s="136" t="s">
        <v>7</v>
      </c>
      <c r="B100" s="136" t="s">
        <v>7460</v>
      </c>
      <c r="C100" s="136" t="s">
        <v>7479</v>
      </c>
      <c r="D100" s="136" t="s">
        <v>7475</v>
      </c>
      <c r="E100" s="136" t="s">
        <v>594</v>
      </c>
      <c r="F100" s="136">
        <v>12</v>
      </c>
      <c r="G100" s="137">
        <f t="shared" si="0"/>
        <v>11</v>
      </c>
      <c r="H100" s="137"/>
      <c r="I100" s="137"/>
      <c r="J100" s="135"/>
      <c r="K100" s="135"/>
      <c r="L100" s="135"/>
      <c r="M100" s="135"/>
      <c r="N100" s="135"/>
      <c r="O100" s="135"/>
      <c r="P100" s="135"/>
      <c r="Q100" s="135"/>
      <c r="R100" s="135"/>
      <c r="S100" s="135"/>
      <c r="T100" s="135"/>
      <c r="U100" s="135"/>
      <c r="V100" s="135"/>
      <c r="W100" s="135"/>
      <c r="X100" s="135"/>
      <c r="Y100" s="135"/>
      <c r="Z100" s="135"/>
    </row>
    <row r="101" spans="1:26" ht="12.75">
      <c r="A101" s="136" t="s">
        <v>7</v>
      </c>
      <c r="B101" s="136" t="s">
        <v>7460</v>
      </c>
      <c r="C101" s="136" t="s">
        <v>7479</v>
      </c>
      <c r="D101" s="136" t="s">
        <v>7478</v>
      </c>
      <c r="E101" s="136" t="s">
        <v>615</v>
      </c>
      <c r="F101" s="136">
        <v>12</v>
      </c>
      <c r="G101" s="137">
        <f t="shared" si="0"/>
        <v>12</v>
      </c>
      <c r="H101" s="137"/>
      <c r="I101" s="137"/>
      <c r="J101" s="135"/>
      <c r="K101" s="135"/>
      <c r="L101" s="135"/>
      <c r="M101" s="135"/>
      <c r="N101" s="135"/>
      <c r="O101" s="135"/>
      <c r="P101" s="135"/>
      <c r="Q101" s="135"/>
      <c r="R101" s="135"/>
      <c r="S101" s="135"/>
      <c r="T101" s="135"/>
      <c r="U101" s="135"/>
      <c r="V101" s="135"/>
      <c r="W101" s="135"/>
      <c r="X101" s="135"/>
      <c r="Y101" s="135"/>
      <c r="Z101" s="135"/>
    </row>
    <row r="102" spans="1:26" ht="12.75">
      <c r="A102" s="136" t="s">
        <v>7</v>
      </c>
      <c r="B102" s="136" t="s">
        <v>7460</v>
      </c>
      <c r="C102" s="136" t="s">
        <v>771</v>
      </c>
      <c r="D102" s="136" t="s">
        <v>139</v>
      </c>
      <c r="E102" s="136" t="s">
        <v>594</v>
      </c>
      <c r="F102" s="136">
        <v>1390</v>
      </c>
      <c r="G102" s="137">
        <f t="shared" si="0"/>
        <v>1</v>
      </c>
      <c r="H102" s="137"/>
      <c r="I102" s="137"/>
      <c r="J102" s="135"/>
      <c r="K102" s="135"/>
      <c r="L102" s="135"/>
      <c r="M102" s="135"/>
      <c r="N102" s="135"/>
      <c r="O102" s="135"/>
      <c r="P102" s="135"/>
      <c r="Q102" s="135"/>
      <c r="R102" s="135"/>
      <c r="S102" s="135"/>
      <c r="T102" s="135"/>
      <c r="U102" s="135"/>
      <c r="V102" s="135"/>
      <c r="W102" s="135"/>
      <c r="X102" s="135"/>
      <c r="Y102" s="135"/>
      <c r="Z102" s="135"/>
    </row>
    <row r="103" spans="1:26" ht="12.75">
      <c r="A103" s="136" t="s">
        <v>7</v>
      </c>
      <c r="B103" s="136" t="s">
        <v>7460</v>
      </c>
      <c r="C103" s="136" t="s">
        <v>771</v>
      </c>
      <c r="D103" s="136" t="s">
        <v>114</v>
      </c>
      <c r="E103" s="136" t="s">
        <v>85</v>
      </c>
      <c r="F103" s="136">
        <v>452</v>
      </c>
      <c r="G103" s="137">
        <f t="shared" si="0"/>
        <v>2</v>
      </c>
      <c r="H103" s="137"/>
      <c r="I103" s="137"/>
      <c r="J103" s="135"/>
      <c r="K103" s="135"/>
      <c r="L103" s="135"/>
      <c r="M103" s="135"/>
      <c r="N103" s="135"/>
      <c r="O103" s="135"/>
      <c r="P103" s="135"/>
      <c r="Q103" s="135"/>
      <c r="R103" s="135"/>
      <c r="S103" s="135"/>
      <c r="T103" s="135"/>
      <c r="U103" s="135"/>
      <c r="V103" s="135"/>
      <c r="W103" s="135"/>
      <c r="X103" s="135"/>
      <c r="Y103" s="135"/>
      <c r="Z103" s="135"/>
    </row>
    <row r="104" spans="1:26" ht="12.75">
      <c r="A104" s="136" t="s">
        <v>7</v>
      </c>
      <c r="B104" s="136" t="s">
        <v>7460</v>
      </c>
      <c r="C104" s="136" t="s">
        <v>771</v>
      </c>
      <c r="D104" s="136" t="s">
        <v>467</v>
      </c>
      <c r="E104" s="136" t="s">
        <v>85</v>
      </c>
      <c r="F104" s="136">
        <v>264</v>
      </c>
      <c r="G104" s="137">
        <f t="shared" si="0"/>
        <v>3</v>
      </c>
      <c r="H104" s="137"/>
      <c r="I104" s="137"/>
      <c r="J104" s="135"/>
      <c r="K104" s="135"/>
      <c r="L104" s="135"/>
      <c r="M104" s="135"/>
      <c r="N104" s="135"/>
      <c r="O104" s="135"/>
      <c r="P104" s="135"/>
      <c r="Q104" s="135"/>
      <c r="R104" s="135"/>
      <c r="S104" s="135"/>
      <c r="T104" s="135"/>
      <c r="U104" s="135"/>
      <c r="V104" s="135"/>
      <c r="W104" s="135"/>
      <c r="X104" s="135"/>
      <c r="Y104" s="135"/>
      <c r="Z104" s="135"/>
    </row>
    <row r="105" spans="1:26" ht="12.75">
      <c r="A105" s="136" t="s">
        <v>7</v>
      </c>
      <c r="B105" s="136" t="s">
        <v>7460</v>
      </c>
      <c r="C105" s="136" t="s">
        <v>771</v>
      </c>
      <c r="D105" s="136" t="s">
        <v>7473</v>
      </c>
      <c r="E105" s="136" t="s">
        <v>615</v>
      </c>
      <c r="F105" s="136">
        <v>88</v>
      </c>
      <c r="G105" s="137">
        <f t="shared" si="0"/>
        <v>4</v>
      </c>
      <c r="H105" s="137"/>
      <c r="I105" s="137"/>
      <c r="J105" s="135"/>
      <c r="K105" s="135"/>
      <c r="L105" s="135"/>
      <c r="M105" s="135"/>
      <c r="N105" s="135"/>
      <c r="O105" s="135"/>
      <c r="P105" s="135"/>
      <c r="Q105" s="135"/>
      <c r="R105" s="135"/>
      <c r="S105" s="135"/>
      <c r="T105" s="135"/>
      <c r="U105" s="135"/>
      <c r="V105" s="135"/>
      <c r="W105" s="135"/>
      <c r="X105" s="135"/>
      <c r="Y105" s="135"/>
      <c r="Z105" s="135"/>
    </row>
    <row r="106" spans="1:26" ht="12.75">
      <c r="A106" s="136" t="s">
        <v>7</v>
      </c>
      <c r="B106" s="136" t="s">
        <v>7460</v>
      </c>
      <c r="C106" s="136" t="s">
        <v>771</v>
      </c>
      <c r="D106" s="136" t="s">
        <v>7475</v>
      </c>
      <c r="E106" s="136" t="s">
        <v>594</v>
      </c>
      <c r="F106" s="136">
        <v>56</v>
      </c>
      <c r="G106" s="137">
        <f t="shared" si="0"/>
        <v>5</v>
      </c>
      <c r="H106" s="137"/>
      <c r="I106" s="137"/>
      <c r="J106" s="135"/>
      <c r="K106" s="135"/>
      <c r="L106" s="135"/>
      <c r="M106" s="135"/>
      <c r="N106" s="135"/>
      <c r="O106" s="135"/>
      <c r="P106" s="135"/>
      <c r="Q106" s="135"/>
      <c r="R106" s="135"/>
      <c r="S106" s="135"/>
      <c r="T106" s="135"/>
      <c r="U106" s="135"/>
      <c r="V106" s="135"/>
      <c r="W106" s="135"/>
      <c r="X106" s="135"/>
      <c r="Y106" s="135"/>
      <c r="Z106" s="135"/>
    </row>
    <row r="107" spans="1:26" ht="12.75">
      <c r="A107" s="136" t="s">
        <v>7</v>
      </c>
      <c r="B107" s="136" t="s">
        <v>7460</v>
      </c>
      <c r="C107" s="136" t="s">
        <v>771</v>
      </c>
      <c r="D107" s="136" t="s">
        <v>7463</v>
      </c>
      <c r="E107" s="136" t="s">
        <v>615</v>
      </c>
      <c r="F107" s="136">
        <v>54</v>
      </c>
      <c r="G107" s="137">
        <f t="shared" si="0"/>
        <v>6</v>
      </c>
      <c r="H107" s="137"/>
      <c r="I107" s="137"/>
      <c r="J107" s="135"/>
      <c r="K107" s="135"/>
      <c r="L107" s="135"/>
      <c r="M107" s="135"/>
      <c r="N107" s="135"/>
      <c r="O107" s="135"/>
      <c r="P107" s="135"/>
      <c r="Q107" s="135"/>
      <c r="R107" s="135"/>
      <c r="S107" s="135"/>
      <c r="T107" s="135"/>
      <c r="U107" s="135"/>
      <c r="V107" s="135"/>
      <c r="W107" s="135"/>
      <c r="X107" s="135"/>
      <c r="Y107" s="135"/>
      <c r="Z107" s="135"/>
    </row>
    <row r="108" spans="1:26" ht="12.75">
      <c r="A108" s="136" t="s">
        <v>7</v>
      </c>
      <c r="B108" s="136" t="s">
        <v>7460</v>
      </c>
      <c r="C108" s="136" t="s">
        <v>771</v>
      </c>
      <c r="D108" s="136" t="s">
        <v>7480</v>
      </c>
      <c r="E108" s="136" t="s">
        <v>594</v>
      </c>
      <c r="F108" s="136">
        <v>33</v>
      </c>
      <c r="G108" s="137">
        <f t="shared" si="0"/>
        <v>7</v>
      </c>
      <c r="H108" s="137"/>
      <c r="I108" s="137"/>
      <c r="J108" s="135"/>
      <c r="K108" s="135"/>
      <c r="L108" s="135"/>
      <c r="M108" s="135"/>
      <c r="N108" s="135"/>
      <c r="O108" s="135"/>
      <c r="P108" s="135"/>
      <c r="Q108" s="135"/>
      <c r="R108" s="135"/>
      <c r="S108" s="135"/>
      <c r="T108" s="135"/>
      <c r="U108" s="135"/>
      <c r="V108" s="135"/>
      <c r="W108" s="135"/>
      <c r="X108" s="135"/>
      <c r="Y108" s="135"/>
      <c r="Z108" s="135"/>
    </row>
    <row r="109" spans="1:26" ht="12.75">
      <c r="A109" s="136" t="s">
        <v>7</v>
      </c>
      <c r="B109" s="136" t="s">
        <v>7460</v>
      </c>
      <c r="C109" s="136" t="s">
        <v>771</v>
      </c>
      <c r="D109" s="136" t="s">
        <v>7472</v>
      </c>
      <c r="E109" s="136" t="s">
        <v>615</v>
      </c>
      <c r="F109" s="136">
        <v>30</v>
      </c>
      <c r="G109" s="137">
        <f t="shared" si="0"/>
        <v>8</v>
      </c>
      <c r="H109" s="137"/>
      <c r="I109" s="137"/>
      <c r="J109" s="135"/>
      <c r="K109" s="135"/>
      <c r="L109" s="135"/>
      <c r="M109" s="135"/>
      <c r="N109" s="135"/>
      <c r="O109" s="135"/>
      <c r="P109" s="135"/>
      <c r="Q109" s="135"/>
      <c r="R109" s="135"/>
      <c r="S109" s="135"/>
      <c r="T109" s="135"/>
      <c r="U109" s="135"/>
      <c r="V109" s="135"/>
      <c r="W109" s="135"/>
      <c r="X109" s="135"/>
      <c r="Y109" s="135"/>
      <c r="Z109" s="135"/>
    </row>
    <row r="110" spans="1:26" ht="12.75">
      <c r="A110" s="136" t="s">
        <v>7</v>
      </c>
      <c r="B110" s="136" t="s">
        <v>7460</v>
      </c>
      <c r="C110" s="136" t="s">
        <v>771</v>
      </c>
      <c r="D110" s="136" t="s">
        <v>1669</v>
      </c>
      <c r="E110" s="136" t="s">
        <v>615</v>
      </c>
      <c r="F110" s="136">
        <v>18</v>
      </c>
      <c r="G110" s="137">
        <f t="shared" si="0"/>
        <v>9</v>
      </c>
      <c r="H110" s="137"/>
      <c r="I110" s="137"/>
      <c r="J110" s="135"/>
      <c r="K110" s="135"/>
      <c r="L110" s="135"/>
      <c r="M110" s="135"/>
      <c r="N110" s="135"/>
      <c r="O110" s="135"/>
      <c r="P110" s="135"/>
      <c r="Q110" s="135"/>
      <c r="R110" s="135"/>
      <c r="S110" s="135"/>
      <c r="T110" s="135"/>
      <c r="U110" s="135"/>
      <c r="V110" s="135"/>
      <c r="W110" s="135"/>
      <c r="X110" s="135"/>
      <c r="Y110" s="135"/>
      <c r="Z110" s="135"/>
    </row>
    <row r="111" spans="1:26" ht="12.75">
      <c r="A111" s="136" t="s">
        <v>7</v>
      </c>
      <c r="B111" s="136" t="s">
        <v>7460</v>
      </c>
      <c r="C111" s="136" t="s">
        <v>771</v>
      </c>
      <c r="D111" s="136" t="s">
        <v>7476</v>
      </c>
      <c r="E111" s="136" t="s">
        <v>615</v>
      </c>
      <c r="F111" s="136">
        <v>11</v>
      </c>
      <c r="G111" s="137">
        <f t="shared" si="0"/>
        <v>10</v>
      </c>
      <c r="H111" s="137"/>
      <c r="I111" s="137"/>
      <c r="J111" s="135"/>
      <c r="K111" s="135"/>
      <c r="L111" s="135"/>
      <c r="M111" s="135"/>
      <c r="N111" s="135"/>
      <c r="O111" s="135"/>
      <c r="P111" s="135"/>
      <c r="Q111" s="135"/>
      <c r="R111" s="135"/>
      <c r="S111" s="135"/>
      <c r="T111" s="135"/>
      <c r="U111" s="135"/>
      <c r="V111" s="135"/>
      <c r="W111" s="135"/>
      <c r="X111" s="135"/>
      <c r="Y111" s="135"/>
      <c r="Z111" s="135"/>
    </row>
    <row r="112" spans="1:26" ht="12.75">
      <c r="A112" s="136" t="s">
        <v>7</v>
      </c>
      <c r="B112" s="136" t="s">
        <v>7460</v>
      </c>
      <c r="C112" s="136" t="s">
        <v>771</v>
      </c>
      <c r="D112" s="136" t="s">
        <v>1626</v>
      </c>
      <c r="E112" s="136" t="s">
        <v>594</v>
      </c>
      <c r="F112" s="136">
        <v>7</v>
      </c>
      <c r="G112" s="137">
        <f t="shared" si="0"/>
        <v>11</v>
      </c>
      <c r="H112" s="137"/>
      <c r="I112" s="137"/>
      <c r="J112" s="135"/>
      <c r="K112" s="135"/>
      <c r="L112" s="135"/>
      <c r="M112" s="135"/>
      <c r="N112" s="135"/>
      <c r="O112" s="135"/>
      <c r="P112" s="135"/>
      <c r="Q112" s="135"/>
      <c r="R112" s="135"/>
      <c r="S112" s="135"/>
      <c r="T112" s="135"/>
      <c r="U112" s="135"/>
      <c r="V112" s="135"/>
      <c r="W112" s="135"/>
      <c r="X112" s="135"/>
      <c r="Y112" s="135"/>
      <c r="Z112" s="135"/>
    </row>
    <row r="113" spans="1:26" ht="12.75">
      <c r="A113" s="136" t="s">
        <v>7</v>
      </c>
      <c r="B113" s="136" t="s">
        <v>7460</v>
      </c>
      <c r="C113" s="136" t="s">
        <v>774</v>
      </c>
      <c r="D113" s="136" t="s">
        <v>139</v>
      </c>
      <c r="E113" s="136" t="s">
        <v>594</v>
      </c>
      <c r="F113" s="136">
        <v>1408</v>
      </c>
      <c r="G113" s="137">
        <f t="shared" si="0"/>
        <v>1</v>
      </c>
      <c r="H113" s="137"/>
      <c r="I113" s="137"/>
      <c r="J113" s="135"/>
      <c r="K113" s="135"/>
      <c r="L113" s="135"/>
      <c r="M113" s="135"/>
      <c r="N113" s="135"/>
      <c r="O113" s="135"/>
      <c r="P113" s="135"/>
      <c r="Q113" s="135"/>
      <c r="R113" s="135"/>
      <c r="S113" s="135"/>
      <c r="T113" s="135"/>
      <c r="U113" s="135"/>
      <c r="V113" s="135"/>
      <c r="W113" s="135"/>
      <c r="X113" s="135"/>
      <c r="Y113" s="135"/>
      <c r="Z113" s="135"/>
    </row>
    <row r="114" spans="1:26" ht="12.75">
      <c r="A114" s="136" t="s">
        <v>7</v>
      </c>
      <c r="B114" s="136" t="s">
        <v>7460</v>
      </c>
      <c r="C114" s="136" t="s">
        <v>774</v>
      </c>
      <c r="D114" s="136" t="s">
        <v>7481</v>
      </c>
      <c r="E114" s="136" t="s">
        <v>615</v>
      </c>
      <c r="F114" s="136">
        <v>290</v>
      </c>
      <c r="G114" s="137">
        <f t="shared" si="0"/>
        <v>2</v>
      </c>
      <c r="H114" s="137"/>
      <c r="I114" s="137"/>
      <c r="J114" s="135"/>
      <c r="K114" s="135"/>
      <c r="L114" s="135"/>
      <c r="M114" s="135"/>
      <c r="N114" s="135"/>
      <c r="O114" s="135"/>
      <c r="P114" s="135"/>
      <c r="Q114" s="135"/>
      <c r="R114" s="135"/>
      <c r="S114" s="135"/>
      <c r="T114" s="135"/>
      <c r="U114" s="135"/>
      <c r="V114" s="135"/>
      <c r="W114" s="135"/>
      <c r="X114" s="135"/>
      <c r="Y114" s="135"/>
      <c r="Z114" s="135"/>
    </row>
    <row r="115" spans="1:26" ht="12.75">
      <c r="A115" s="136" t="s">
        <v>7</v>
      </c>
      <c r="B115" s="136" t="s">
        <v>7460</v>
      </c>
      <c r="C115" s="136" t="s">
        <v>774</v>
      </c>
      <c r="D115" s="136" t="s">
        <v>114</v>
      </c>
      <c r="E115" s="136" t="s">
        <v>85</v>
      </c>
      <c r="F115" s="136">
        <v>287</v>
      </c>
      <c r="G115" s="137">
        <f t="shared" si="0"/>
        <v>3</v>
      </c>
      <c r="H115" s="137"/>
      <c r="I115" s="137"/>
      <c r="J115" s="135"/>
      <c r="K115" s="135"/>
      <c r="L115" s="135"/>
      <c r="M115" s="135"/>
      <c r="N115" s="135"/>
      <c r="O115" s="135"/>
      <c r="P115" s="135"/>
      <c r="Q115" s="135"/>
      <c r="R115" s="135"/>
      <c r="S115" s="135"/>
      <c r="T115" s="135"/>
      <c r="U115" s="135"/>
      <c r="V115" s="135"/>
      <c r="W115" s="135"/>
      <c r="X115" s="135"/>
      <c r="Y115" s="135"/>
      <c r="Z115" s="135"/>
    </row>
    <row r="116" spans="1:26" ht="12.75">
      <c r="A116" s="136" t="s">
        <v>7</v>
      </c>
      <c r="B116" s="136" t="s">
        <v>7460</v>
      </c>
      <c r="C116" s="136" t="s">
        <v>774</v>
      </c>
      <c r="D116" s="136" t="s">
        <v>1669</v>
      </c>
      <c r="E116" s="136" t="s">
        <v>615</v>
      </c>
      <c r="F116" s="136">
        <v>92</v>
      </c>
      <c r="G116" s="137">
        <f t="shared" si="0"/>
        <v>4</v>
      </c>
      <c r="H116" s="137"/>
      <c r="I116" s="137"/>
      <c r="J116" s="135"/>
      <c r="K116" s="135"/>
      <c r="L116" s="135"/>
      <c r="M116" s="135"/>
      <c r="N116" s="135"/>
      <c r="O116" s="135"/>
      <c r="P116" s="135"/>
      <c r="Q116" s="135"/>
      <c r="R116" s="135"/>
      <c r="S116" s="135"/>
      <c r="T116" s="135"/>
      <c r="U116" s="135"/>
      <c r="V116" s="135"/>
      <c r="W116" s="135"/>
      <c r="X116" s="135"/>
      <c r="Y116" s="135"/>
      <c r="Z116" s="135"/>
    </row>
    <row r="117" spans="1:26" ht="12.75">
      <c r="A117" s="136" t="s">
        <v>7</v>
      </c>
      <c r="B117" s="136" t="s">
        <v>7460</v>
      </c>
      <c r="C117" s="136" t="s">
        <v>774</v>
      </c>
      <c r="D117" s="136" t="s">
        <v>467</v>
      </c>
      <c r="E117" s="136" t="s">
        <v>85</v>
      </c>
      <c r="F117" s="136">
        <v>76</v>
      </c>
      <c r="G117" s="137">
        <f t="shared" si="0"/>
        <v>5</v>
      </c>
      <c r="H117" s="137"/>
      <c r="I117" s="137"/>
      <c r="J117" s="135"/>
      <c r="K117" s="135"/>
      <c r="L117" s="135"/>
      <c r="M117" s="135"/>
      <c r="N117" s="135"/>
      <c r="O117" s="135"/>
      <c r="P117" s="135"/>
      <c r="Q117" s="135"/>
      <c r="R117" s="135"/>
      <c r="S117" s="135"/>
      <c r="T117" s="135"/>
      <c r="U117" s="135"/>
      <c r="V117" s="135"/>
      <c r="W117" s="135"/>
      <c r="X117" s="135"/>
      <c r="Y117" s="135"/>
      <c r="Z117" s="135"/>
    </row>
    <row r="118" spans="1:26" ht="12.75">
      <c r="A118" s="136" t="s">
        <v>7</v>
      </c>
      <c r="B118" s="136" t="s">
        <v>7460</v>
      </c>
      <c r="C118" s="136" t="s">
        <v>774</v>
      </c>
      <c r="D118" s="136" t="s">
        <v>7472</v>
      </c>
      <c r="E118" s="136" t="s">
        <v>615</v>
      </c>
      <c r="F118" s="136">
        <v>43</v>
      </c>
      <c r="G118" s="137">
        <f t="shared" si="0"/>
        <v>6</v>
      </c>
      <c r="H118" s="137"/>
      <c r="I118" s="137"/>
      <c r="J118" s="135"/>
      <c r="K118" s="135"/>
      <c r="L118" s="135"/>
      <c r="M118" s="135"/>
      <c r="N118" s="135"/>
      <c r="O118" s="135"/>
      <c r="P118" s="135"/>
      <c r="Q118" s="135"/>
      <c r="R118" s="135"/>
      <c r="S118" s="135"/>
      <c r="T118" s="135"/>
      <c r="U118" s="135"/>
      <c r="V118" s="135"/>
      <c r="W118" s="135"/>
      <c r="X118" s="135"/>
      <c r="Y118" s="135"/>
      <c r="Z118" s="135"/>
    </row>
    <row r="119" spans="1:26" ht="12.75">
      <c r="A119" s="136" t="s">
        <v>7</v>
      </c>
      <c r="B119" s="136" t="s">
        <v>7460</v>
      </c>
      <c r="C119" s="136" t="s">
        <v>774</v>
      </c>
      <c r="D119" s="136" t="s">
        <v>7480</v>
      </c>
      <c r="E119" s="136" t="s">
        <v>594</v>
      </c>
      <c r="F119" s="136">
        <v>28</v>
      </c>
      <c r="G119" s="137">
        <f t="shared" si="0"/>
        <v>7</v>
      </c>
      <c r="H119" s="137"/>
      <c r="I119" s="137"/>
      <c r="J119" s="135"/>
      <c r="K119" s="135"/>
      <c r="L119" s="135"/>
      <c r="M119" s="135"/>
      <c r="N119" s="135"/>
      <c r="O119" s="135"/>
      <c r="P119" s="135"/>
      <c r="Q119" s="135"/>
      <c r="R119" s="135"/>
      <c r="S119" s="135"/>
      <c r="T119" s="135"/>
      <c r="U119" s="135"/>
      <c r="V119" s="135"/>
      <c r="W119" s="135"/>
      <c r="X119" s="135"/>
      <c r="Y119" s="135"/>
      <c r="Z119" s="135"/>
    </row>
    <row r="120" spans="1:26" ht="12.75">
      <c r="A120" s="136" t="s">
        <v>7</v>
      </c>
      <c r="B120" s="136" t="s">
        <v>7460</v>
      </c>
      <c r="C120" s="136" t="s">
        <v>774</v>
      </c>
      <c r="D120" s="136" t="s">
        <v>1665</v>
      </c>
      <c r="E120" s="136" t="s">
        <v>615</v>
      </c>
      <c r="F120" s="136">
        <v>25</v>
      </c>
      <c r="G120" s="137">
        <f t="shared" si="0"/>
        <v>8</v>
      </c>
      <c r="H120" s="137"/>
      <c r="I120" s="137"/>
      <c r="J120" s="135"/>
      <c r="K120" s="135"/>
      <c r="L120" s="135"/>
      <c r="M120" s="135"/>
      <c r="N120" s="135"/>
      <c r="O120" s="135"/>
      <c r="P120" s="135"/>
      <c r="Q120" s="135"/>
      <c r="R120" s="135"/>
      <c r="S120" s="135"/>
      <c r="T120" s="135"/>
      <c r="U120" s="135"/>
      <c r="V120" s="135"/>
      <c r="W120" s="135"/>
      <c r="X120" s="135"/>
      <c r="Y120" s="135"/>
      <c r="Z120" s="135"/>
    </row>
    <row r="121" spans="1:26" ht="12.75">
      <c r="A121" s="136" t="s">
        <v>7</v>
      </c>
      <c r="B121" s="136" t="s">
        <v>7460</v>
      </c>
      <c r="C121" s="136" t="s">
        <v>774</v>
      </c>
      <c r="D121" s="136" t="s">
        <v>7475</v>
      </c>
      <c r="E121" s="136" t="s">
        <v>594</v>
      </c>
      <c r="F121" s="136">
        <v>20</v>
      </c>
      <c r="G121" s="137">
        <f t="shared" si="0"/>
        <v>9</v>
      </c>
      <c r="H121" s="137"/>
      <c r="I121" s="137"/>
      <c r="J121" s="135"/>
      <c r="K121" s="135"/>
      <c r="L121" s="135"/>
      <c r="M121" s="135"/>
      <c r="N121" s="135"/>
      <c r="O121" s="135"/>
      <c r="P121" s="135"/>
      <c r="Q121" s="135"/>
      <c r="R121" s="135"/>
      <c r="S121" s="135"/>
      <c r="T121" s="135"/>
      <c r="U121" s="135"/>
      <c r="V121" s="135"/>
      <c r="W121" s="135"/>
      <c r="X121" s="135"/>
      <c r="Y121" s="135"/>
      <c r="Z121" s="135"/>
    </row>
    <row r="122" spans="1:26" ht="12.75">
      <c r="A122" s="136" t="s">
        <v>7</v>
      </c>
      <c r="B122" s="136" t="s">
        <v>7460</v>
      </c>
      <c r="C122" s="136" t="s">
        <v>774</v>
      </c>
      <c r="D122" s="136" t="s">
        <v>7482</v>
      </c>
      <c r="E122" s="136" t="s">
        <v>86</v>
      </c>
      <c r="F122" s="136">
        <v>9</v>
      </c>
      <c r="G122" s="137">
        <f t="shared" si="0"/>
        <v>10</v>
      </c>
      <c r="H122" s="137"/>
      <c r="I122" s="137"/>
      <c r="J122" s="135"/>
      <c r="K122" s="135"/>
      <c r="L122" s="135"/>
      <c r="M122" s="135"/>
      <c r="N122" s="135"/>
      <c r="O122" s="135"/>
      <c r="P122" s="135"/>
      <c r="Q122" s="135"/>
      <c r="R122" s="135"/>
      <c r="S122" s="135"/>
      <c r="T122" s="135"/>
      <c r="U122" s="135"/>
      <c r="V122" s="135"/>
      <c r="W122" s="135"/>
      <c r="X122" s="135"/>
      <c r="Y122" s="135"/>
      <c r="Z122" s="135"/>
    </row>
    <row r="123" spans="1:26" ht="12.75">
      <c r="A123" s="136" t="s">
        <v>7</v>
      </c>
      <c r="B123" s="136" t="s">
        <v>7460</v>
      </c>
      <c r="C123" s="136" t="s">
        <v>774</v>
      </c>
      <c r="D123" s="136" t="s">
        <v>1626</v>
      </c>
      <c r="E123" s="136" t="s">
        <v>594</v>
      </c>
      <c r="F123" s="136">
        <v>6</v>
      </c>
      <c r="G123" s="137">
        <f t="shared" si="0"/>
        <v>11</v>
      </c>
      <c r="H123" s="137"/>
      <c r="I123" s="137"/>
      <c r="J123" s="135"/>
      <c r="K123" s="135"/>
      <c r="L123" s="135"/>
      <c r="M123" s="135"/>
      <c r="N123" s="135"/>
      <c r="O123" s="135"/>
      <c r="P123" s="135"/>
      <c r="Q123" s="135"/>
      <c r="R123" s="135"/>
      <c r="S123" s="135"/>
      <c r="T123" s="135"/>
      <c r="U123" s="135"/>
      <c r="V123" s="135"/>
      <c r="W123" s="135"/>
      <c r="X123" s="135"/>
      <c r="Y123" s="135"/>
      <c r="Z123" s="135"/>
    </row>
    <row r="124" spans="1:26" ht="12.75">
      <c r="A124" s="136" t="s">
        <v>7</v>
      </c>
      <c r="B124" s="136" t="s">
        <v>7460</v>
      </c>
      <c r="C124" s="136" t="s">
        <v>7483</v>
      </c>
      <c r="D124" s="136" t="s">
        <v>139</v>
      </c>
      <c r="E124" s="136" t="s">
        <v>594</v>
      </c>
      <c r="F124" s="136">
        <v>1504</v>
      </c>
      <c r="G124" s="137">
        <f t="shared" si="0"/>
        <v>1</v>
      </c>
      <c r="H124" s="137"/>
      <c r="I124" s="137"/>
      <c r="J124" s="135"/>
      <c r="K124" s="135"/>
      <c r="L124" s="135"/>
      <c r="M124" s="135"/>
      <c r="N124" s="135"/>
      <c r="O124" s="135"/>
      <c r="P124" s="135"/>
      <c r="Q124" s="135"/>
      <c r="R124" s="135"/>
      <c r="S124" s="135"/>
      <c r="T124" s="135"/>
      <c r="U124" s="135"/>
      <c r="V124" s="135"/>
      <c r="W124" s="135"/>
      <c r="X124" s="135"/>
      <c r="Y124" s="135"/>
      <c r="Z124" s="135"/>
    </row>
    <row r="125" spans="1:26" ht="12.75">
      <c r="A125" s="136" t="s">
        <v>7</v>
      </c>
      <c r="B125" s="136" t="s">
        <v>7460</v>
      </c>
      <c r="C125" s="136" t="s">
        <v>7483</v>
      </c>
      <c r="D125" s="136" t="s">
        <v>114</v>
      </c>
      <c r="E125" s="136" t="s">
        <v>85</v>
      </c>
      <c r="F125" s="136">
        <v>377</v>
      </c>
      <c r="G125" s="137">
        <f t="shared" si="0"/>
        <v>2</v>
      </c>
      <c r="H125" s="137"/>
      <c r="I125" s="137"/>
      <c r="J125" s="135"/>
      <c r="K125" s="135"/>
      <c r="L125" s="135"/>
      <c r="M125" s="135"/>
      <c r="N125" s="135"/>
      <c r="O125" s="135"/>
      <c r="P125" s="135"/>
      <c r="Q125" s="135"/>
      <c r="R125" s="135"/>
      <c r="S125" s="135"/>
      <c r="T125" s="135"/>
      <c r="U125" s="135"/>
      <c r="V125" s="135"/>
      <c r="W125" s="135"/>
      <c r="X125" s="135"/>
      <c r="Y125" s="135"/>
      <c r="Z125" s="135"/>
    </row>
    <row r="126" spans="1:26" ht="12.75">
      <c r="A126" s="136" t="s">
        <v>7</v>
      </c>
      <c r="B126" s="136" t="s">
        <v>7460</v>
      </c>
      <c r="C126" s="136" t="s">
        <v>7483</v>
      </c>
      <c r="D126" s="136" t="s">
        <v>7473</v>
      </c>
      <c r="E126" s="136" t="s">
        <v>615</v>
      </c>
      <c r="F126" s="136">
        <v>355</v>
      </c>
      <c r="G126" s="137">
        <f t="shared" si="0"/>
        <v>3</v>
      </c>
      <c r="H126" s="137"/>
      <c r="I126" s="137"/>
      <c r="J126" s="135"/>
      <c r="K126" s="135"/>
      <c r="L126" s="135"/>
      <c r="M126" s="135"/>
      <c r="N126" s="135"/>
      <c r="O126" s="135"/>
      <c r="P126" s="135"/>
      <c r="Q126" s="135"/>
      <c r="R126" s="135"/>
      <c r="S126" s="135"/>
      <c r="T126" s="135"/>
      <c r="U126" s="135"/>
      <c r="V126" s="135"/>
      <c r="W126" s="135"/>
      <c r="X126" s="135"/>
      <c r="Y126" s="135"/>
      <c r="Z126" s="135"/>
    </row>
    <row r="127" spans="1:26" ht="12.75">
      <c r="A127" s="136" t="s">
        <v>7</v>
      </c>
      <c r="B127" s="136" t="s">
        <v>7460</v>
      </c>
      <c r="C127" s="136" t="s">
        <v>7483</v>
      </c>
      <c r="D127" s="136" t="s">
        <v>7463</v>
      </c>
      <c r="E127" s="136" t="s">
        <v>615</v>
      </c>
      <c r="F127" s="136">
        <v>322</v>
      </c>
      <c r="G127" s="137">
        <f t="shared" si="0"/>
        <v>4</v>
      </c>
      <c r="H127" s="137"/>
      <c r="I127" s="137"/>
      <c r="J127" s="135"/>
      <c r="K127" s="135"/>
      <c r="L127" s="135"/>
      <c r="M127" s="135"/>
      <c r="N127" s="135"/>
      <c r="O127" s="135"/>
      <c r="P127" s="135"/>
      <c r="Q127" s="135"/>
      <c r="R127" s="135"/>
      <c r="S127" s="135"/>
      <c r="T127" s="135"/>
      <c r="U127" s="135"/>
      <c r="V127" s="135"/>
      <c r="W127" s="135"/>
      <c r="X127" s="135"/>
      <c r="Y127" s="135"/>
      <c r="Z127" s="135"/>
    </row>
    <row r="128" spans="1:26" ht="12.75">
      <c r="A128" s="136" t="s">
        <v>7</v>
      </c>
      <c r="B128" s="136" t="s">
        <v>7460</v>
      </c>
      <c r="C128" s="136" t="s">
        <v>7483</v>
      </c>
      <c r="D128" s="136" t="s">
        <v>7472</v>
      </c>
      <c r="E128" s="136" t="s">
        <v>615</v>
      </c>
      <c r="F128" s="136">
        <v>203</v>
      </c>
      <c r="G128" s="137">
        <f t="shared" si="0"/>
        <v>5</v>
      </c>
      <c r="H128" s="137"/>
      <c r="I128" s="137"/>
      <c r="J128" s="135"/>
      <c r="K128" s="135"/>
      <c r="L128" s="135"/>
      <c r="M128" s="135"/>
      <c r="N128" s="135"/>
      <c r="O128" s="135"/>
      <c r="P128" s="135"/>
      <c r="Q128" s="135"/>
      <c r="R128" s="135"/>
      <c r="S128" s="135"/>
      <c r="T128" s="135"/>
      <c r="U128" s="135"/>
      <c r="V128" s="135"/>
      <c r="W128" s="135"/>
      <c r="X128" s="135"/>
      <c r="Y128" s="135"/>
      <c r="Z128" s="135"/>
    </row>
    <row r="129" spans="1:26" ht="12.75">
      <c r="A129" s="136" t="s">
        <v>7</v>
      </c>
      <c r="B129" s="136" t="s">
        <v>7460</v>
      </c>
      <c r="C129" s="136" t="s">
        <v>7483</v>
      </c>
      <c r="D129" s="136" t="s">
        <v>7476</v>
      </c>
      <c r="E129" s="136" t="s">
        <v>615</v>
      </c>
      <c r="F129" s="136">
        <v>82</v>
      </c>
      <c r="G129" s="137">
        <f t="shared" si="0"/>
        <v>6</v>
      </c>
      <c r="H129" s="137"/>
      <c r="I129" s="137"/>
      <c r="J129" s="135"/>
      <c r="K129" s="135"/>
      <c r="L129" s="135"/>
      <c r="M129" s="135"/>
      <c r="N129" s="135"/>
      <c r="O129" s="135"/>
      <c r="P129" s="135"/>
      <c r="Q129" s="135"/>
      <c r="R129" s="135"/>
      <c r="S129" s="135"/>
      <c r="T129" s="135"/>
      <c r="U129" s="135"/>
      <c r="V129" s="135"/>
      <c r="W129" s="135"/>
      <c r="X129" s="135"/>
      <c r="Y129" s="135"/>
      <c r="Z129" s="135"/>
    </row>
    <row r="130" spans="1:26" ht="12.75">
      <c r="A130" s="136" t="s">
        <v>7</v>
      </c>
      <c r="B130" s="136" t="s">
        <v>7460</v>
      </c>
      <c r="C130" s="136" t="s">
        <v>7483</v>
      </c>
      <c r="D130" s="136" t="s">
        <v>467</v>
      </c>
      <c r="E130" s="136" t="s">
        <v>85</v>
      </c>
      <c r="F130" s="136">
        <v>54</v>
      </c>
      <c r="G130" s="137">
        <f t="shared" si="0"/>
        <v>7</v>
      </c>
      <c r="H130" s="137"/>
      <c r="I130" s="137"/>
      <c r="J130" s="135"/>
      <c r="K130" s="135"/>
      <c r="L130" s="135"/>
      <c r="M130" s="135"/>
      <c r="N130" s="135"/>
      <c r="O130" s="135"/>
      <c r="P130" s="135"/>
      <c r="Q130" s="135"/>
      <c r="R130" s="135"/>
      <c r="S130" s="135"/>
      <c r="T130" s="135"/>
      <c r="U130" s="135"/>
      <c r="V130" s="135"/>
      <c r="W130" s="135"/>
      <c r="X130" s="135"/>
      <c r="Y130" s="135"/>
      <c r="Z130" s="135"/>
    </row>
    <row r="131" spans="1:26" ht="12.75">
      <c r="A131" s="136" t="s">
        <v>7</v>
      </c>
      <c r="B131" s="136" t="s">
        <v>7460</v>
      </c>
      <c r="C131" s="136" t="s">
        <v>7483</v>
      </c>
      <c r="D131" s="136" t="s">
        <v>1669</v>
      </c>
      <c r="E131" s="136" t="s">
        <v>615</v>
      </c>
      <c r="F131" s="136">
        <v>44</v>
      </c>
      <c r="G131" s="137">
        <f t="shared" si="0"/>
        <v>8</v>
      </c>
      <c r="H131" s="137"/>
      <c r="I131" s="137"/>
      <c r="J131" s="135"/>
      <c r="K131" s="135"/>
      <c r="L131" s="135"/>
      <c r="M131" s="135"/>
      <c r="N131" s="135"/>
      <c r="O131" s="135"/>
      <c r="P131" s="135"/>
      <c r="Q131" s="135"/>
      <c r="R131" s="135"/>
      <c r="S131" s="135"/>
      <c r="T131" s="135"/>
      <c r="U131" s="135"/>
      <c r="V131" s="135"/>
      <c r="W131" s="135"/>
      <c r="X131" s="135"/>
      <c r="Y131" s="135"/>
      <c r="Z131" s="135"/>
    </row>
    <row r="132" spans="1:26" ht="12.75">
      <c r="A132" s="136" t="s">
        <v>7</v>
      </c>
      <c r="B132" s="136" t="s">
        <v>7460</v>
      </c>
      <c r="C132" s="136" t="s">
        <v>7483</v>
      </c>
      <c r="D132" s="136" t="s">
        <v>7475</v>
      </c>
      <c r="E132" s="136" t="s">
        <v>594</v>
      </c>
      <c r="F132" s="136">
        <v>36</v>
      </c>
      <c r="G132" s="137">
        <f t="shared" si="0"/>
        <v>9</v>
      </c>
      <c r="H132" s="137"/>
      <c r="I132" s="137"/>
      <c r="J132" s="135"/>
      <c r="K132" s="135"/>
      <c r="L132" s="135"/>
      <c r="M132" s="135"/>
      <c r="N132" s="135"/>
      <c r="O132" s="135"/>
      <c r="P132" s="135"/>
      <c r="Q132" s="135"/>
      <c r="R132" s="135"/>
      <c r="S132" s="135"/>
      <c r="T132" s="135"/>
      <c r="U132" s="135"/>
      <c r="V132" s="135"/>
      <c r="W132" s="135"/>
      <c r="X132" s="135"/>
      <c r="Y132" s="135"/>
      <c r="Z132" s="135"/>
    </row>
    <row r="133" spans="1:26" ht="12.75">
      <c r="A133" s="136" t="s">
        <v>7</v>
      </c>
      <c r="B133" s="136" t="s">
        <v>7460</v>
      </c>
      <c r="C133" s="136" t="s">
        <v>7483</v>
      </c>
      <c r="D133" s="136" t="s">
        <v>1665</v>
      </c>
      <c r="E133" s="136" t="s">
        <v>615</v>
      </c>
      <c r="F133" s="136">
        <v>26</v>
      </c>
      <c r="G133" s="137">
        <f t="shared" si="0"/>
        <v>10</v>
      </c>
      <c r="H133" s="137"/>
      <c r="I133" s="137"/>
      <c r="J133" s="135"/>
      <c r="K133" s="135"/>
      <c r="L133" s="135"/>
      <c r="M133" s="135"/>
      <c r="N133" s="135"/>
      <c r="O133" s="135"/>
      <c r="P133" s="135"/>
      <c r="Q133" s="135"/>
      <c r="R133" s="135"/>
      <c r="S133" s="135"/>
      <c r="T133" s="135"/>
      <c r="U133" s="135"/>
      <c r="V133" s="135"/>
      <c r="W133" s="135"/>
      <c r="X133" s="135"/>
      <c r="Y133" s="135"/>
      <c r="Z133" s="135"/>
    </row>
    <row r="134" spans="1:26" ht="12.75">
      <c r="A134" s="136" t="s">
        <v>7</v>
      </c>
      <c r="B134" s="136" t="s">
        <v>7460</v>
      </c>
      <c r="C134" s="136" t="s">
        <v>7483</v>
      </c>
      <c r="D134" s="136" t="s">
        <v>7478</v>
      </c>
      <c r="E134" s="136" t="s">
        <v>615</v>
      </c>
      <c r="F134" s="136">
        <v>19</v>
      </c>
      <c r="G134" s="137">
        <f t="shared" si="0"/>
        <v>11</v>
      </c>
      <c r="H134" s="137"/>
      <c r="I134" s="137"/>
      <c r="J134" s="135"/>
      <c r="K134" s="135"/>
      <c r="L134" s="135"/>
      <c r="M134" s="135"/>
      <c r="N134" s="135"/>
      <c r="O134" s="135"/>
      <c r="P134" s="135"/>
      <c r="Q134" s="135"/>
      <c r="R134" s="135"/>
      <c r="S134" s="135"/>
      <c r="T134" s="135"/>
      <c r="U134" s="135"/>
      <c r="V134" s="135"/>
      <c r="W134" s="135"/>
      <c r="X134" s="135"/>
      <c r="Y134" s="135"/>
      <c r="Z134" s="135"/>
    </row>
    <row r="135" spans="1:26" ht="12.75">
      <c r="A135" s="136" t="s">
        <v>7</v>
      </c>
      <c r="B135" s="136" t="s">
        <v>7460</v>
      </c>
      <c r="C135" s="136" t="s">
        <v>7483</v>
      </c>
      <c r="D135" s="136" t="s">
        <v>7480</v>
      </c>
      <c r="E135" s="136" t="s">
        <v>594</v>
      </c>
      <c r="F135" s="136">
        <v>11</v>
      </c>
      <c r="G135" s="137">
        <f t="shared" si="0"/>
        <v>12</v>
      </c>
      <c r="H135" s="137"/>
      <c r="I135" s="137"/>
      <c r="J135" s="135"/>
      <c r="K135" s="135"/>
      <c r="L135" s="135"/>
      <c r="M135" s="135"/>
      <c r="N135" s="135"/>
      <c r="O135" s="135"/>
      <c r="P135" s="135"/>
      <c r="Q135" s="135"/>
      <c r="R135" s="135"/>
      <c r="S135" s="135"/>
      <c r="T135" s="135"/>
      <c r="U135" s="135"/>
      <c r="V135" s="135"/>
      <c r="W135" s="135"/>
      <c r="X135" s="135"/>
      <c r="Y135" s="135"/>
      <c r="Z135" s="135"/>
    </row>
    <row r="136" spans="1:26" ht="12.75">
      <c r="A136" s="136" t="s">
        <v>7</v>
      </c>
      <c r="B136" s="136" t="s">
        <v>7460</v>
      </c>
      <c r="C136" s="136" t="s">
        <v>7483</v>
      </c>
      <c r="D136" s="136" t="s">
        <v>1626</v>
      </c>
      <c r="E136" s="136" t="s">
        <v>594</v>
      </c>
      <c r="F136" s="136">
        <v>9</v>
      </c>
      <c r="G136" s="137">
        <f t="shared" si="0"/>
        <v>13</v>
      </c>
      <c r="H136" s="137"/>
      <c r="I136" s="137"/>
      <c r="J136" s="135"/>
      <c r="K136" s="135"/>
      <c r="L136" s="135"/>
      <c r="M136" s="135"/>
      <c r="N136" s="135"/>
      <c r="O136" s="135"/>
      <c r="P136" s="135"/>
      <c r="Q136" s="135"/>
      <c r="R136" s="135"/>
      <c r="S136" s="135"/>
      <c r="T136" s="135"/>
      <c r="U136" s="135"/>
      <c r="V136" s="135"/>
      <c r="W136" s="135"/>
      <c r="X136" s="135"/>
      <c r="Y136" s="135"/>
      <c r="Z136" s="135"/>
    </row>
    <row r="137" spans="1:26" ht="12.75">
      <c r="A137" s="136" t="s">
        <v>7</v>
      </c>
      <c r="B137" s="136" t="s">
        <v>7460</v>
      </c>
      <c r="C137" s="136" t="s">
        <v>778</v>
      </c>
      <c r="D137" s="136" t="s">
        <v>139</v>
      </c>
      <c r="E137" s="136" t="s">
        <v>594</v>
      </c>
      <c r="F137" s="136">
        <v>7136</v>
      </c>
      <c r="G137" s="137">
        <f t="shared" si="0"/>
        <v>1</v>
      </c>
      <c r="H137" s="137"/>
      <c r="I137" s="137"/>
      <c r="J137" s="135"/>
      <c r="K137" s="135"/>
      <c r="L137" s="135"/>
      <c r="M137" s="135"/>
      <c r="N137" s="135"/>
      <c r="O137" s="135"/>
      <c r="P137" s="135"/>
      <c r="Q137" s="135"/>
      <c r="R137" s="135"/>
      <c r="S137" s="135"/>
      <c r="T137" s="135"/>
      <c r="U137" s="135"/>
      <c r="V137" s="135"/>
      <c r="W137" s="135"/>
      <c r="X137" s="135"/>
      <c r="Y137" s="135"/>
      <c r="Z137" s="135"/>
    </row>
    <row r="138" spans="1:26" ht="12.75">
      <c r="A138" s="136" t="s">
        <v>7</v>
      </c>
      <c r="B138" s="136" t="s">
        <v>7460</v>
      </c>
      <c r="C138" s="136" t="s">
        <v>778</v>
      </c>
      <c r="D138" s="136" t="s">
        <v>114</v>
      </c>
      <c r="E138" s="136" t="s">
        <v>85</v>
      </c>
      <c r="F138" s="136">
        <v>768</v>
      </c>
      <c r="G138" s="137">
        <f t="shared" si="0"/>
        <v>2</v>
      </c>
      <c r="H138" s="137"/>
      <c r="I138" s="137"/>
      <c r="J138" s="135"/>
      <c r="K138" s="135"/>
      <c r="L138" s="135"/>
      <c r="M138" s="135"/>
      <c r="N138" s="135"/>
      <c r="O138" s="135"/>
      <c r="P138" s="135"/>
      <c r="Q138" s="135"/>
      <c r="R138" s="135"/>
      <c r="S138" s="135"/>
      <c r="T138" s="135"/>
      <c r="U138" s="135"/>
      <c r="V138" s="135"/>
      <c r="W138" s="135"/>
      <c r="X138" s="135"/>
      <c r="Y138" s="135"/>
      <c r="Z138" s="135"/>
    </row>
    <row r="139" spans="1:26" ht="12.75">
      <c r="A139" s="136" t="s">
        <v>7</v>
      </c>
      <c r="B139" s="136" t="s">
        <v>7460</v>
      </c>
      <c r="C139" s="136" t="s">
        <v>778</v>
      </c>
      <c r="D139" s="136" t="s">
        <v>7463</v>
      </c>
      <c r="E139" s="136" t="s">
        <v>615</v>
      </c>
      <c r="F139" s="136">
        <v>674</v>
      </c>
      <c r="G139" s="137">
        <f t="shared" si="0"/>
        <v>3</v>
      </c>
      <c r="H139" s="137"/>
      <c r="I139" s="137"/>
      <c r="J139" s="135"/>
      <c r="K139" s="135"/>
      <c r="L139" s="135"/>
      <c r="M139" s="135"/>
      <c r="N139" s="135"/>
      <c r="O139" s="135"/>
      <c r="P139" s="135"/>
      <c r="Q139" s="135"/>
      <c r="R139" s="135"/>
      <c r="S139" s="135"/>
      <c r="T139" s="135"/>
      <c r="U139" s="135"/>
      <c r="V139" s="135"/>
      <c r="W139" s="135"/>
      <c r="X139" s="135"/>
      <c r="Y139" s="135"/>
      <c r="Z139" s="135"/>
    </row>
    <row r="140" spans="1:26" ht="12.75">
      <c r="A140" s="136" t="s">
        <v>7</v>
      </c>
      <c r="B140" s="136" t="s">
        <v>7460</v>
      </c>
      <c r="C140" s="136" t="s">
        <v>778</v>
      </c>
      <c r="D140" s="136" t="s">
        <v>7473</v>
      </c>
      <c r="E140" s="136" t="s">
        <v>615</v>
      </c>
      <c r="F140" s="136">
        <v>638</v>
      </c>
      <c r="G140" s="137">
        <f t="shared" si="0"/>
        <v>4</v>
      </c>
      <c r="H140" s="137"/>
      <c r="I140" s="137"/>
      <c r="J140" s="135"/>
      <c r="K140" s="135"/>
      <c r="L140" s="135"/>
      <c r="M140" s="135"/>
      <c r="N140" s="135"/>
      <c r="O140" s="135"/>
      <c r="P140" s="135"/>
      <c r="Q140" s="135"/>
      <c r="R140" s="135"/>
      <c r="S140" s="135"/>
      <c r="T140" s="135"/>
      <c r="U140" s="135"/>
      <c r="V140" s="135"/>
      <c r="W140" s="135"/>
      <c r="X140" s="135"/>
      <c r="Y140" s="135"/>
      <c r="Z140" s="135"/>
    </row>
    <row r="141" spans="1:26" ht="12.75">
      <c r="A141" s="136" t="s">
        <v>7</v>
      </c>
      <c r="B141" s="136" t="s">
        <v>7460</v>
      </c>
      <c r="C141" s="136" t="s">
        <v>778</v>
      </c>
      <c r="D141" s="136" t="s">
        <v>7472</v>
      </c>
      <c r="E141" s="136" t="s">
        <v>615</v>
      </c>
      <c r="F141" s="136">
        <v>625</v>
      </c>
      <c r="G141" s="137">
        <f t="shared" si="0"/>
        <v>5</v>
      </c>
      <c r="H141" s="137"/>
      <c r="I141" s="137"/>
      <c r="J141" s="135"/>
      <c r="K141" s="135"/>
      <c r="L141" s="135"/>
      <c r="M141" s="135"/>
      <c r="N141" s="135"/>
      <c r="O141" s="135"/>
      <c r="P141" s="135"/>
      <c r="Q141" s="135"/>
      <c r="R141" s="135"/>
      <c r="S141" s="135"/>
      <c r="T141" s="135"/>
      <c r="U141" s="135"/>
      <c r="V141" s="135"/>
      <c r="W141" s="135"/>
      <c r="X141" s="135"/>
      <c r="Y141" s="135"/>
      <c r="Z141" s="135"/>
    </row>
    <row r="142" spans="1:26" ht="12.75">
      <c r="A142" s="136" t="s">
        <v>7</v>
      </c>
      <c r="B142" s="136" t="s">
        <v>7460</v>
      </c>
      <c r="C142" s="136" t="s">
        <v>778</v>
      </c>
      <c r="D142" s="136" t="s">
        <v>467</v>
      </c>
      <c r="E142" s="136" t="s">
        <v>85</v>
      </c>
      <c r="F142" s="136">
        <v>429</v>
      </c>
      <c r="G142" s="137">
        <f t="shared" si="0"/>
        <v>6</v>
      </c>
      <c r="H142" s="137"/>
      <c r="I142" s="137"/>
      <c r="J142" s="135"/>
      <c r="K142" s="135"/>
      <c r="L142" s="135"/>
      <c r="M142" s="135"/>
      <c r="N142" s="135"/>
      <c r="O142" s="135"/>
      <c r="P142" s="135"/>
      <c r="Q142" s="135"/>
      <c r="R142" s="135"/>
      <c r="S142" s="135"/>
      <c r="T142" s="135"/>
      <c r="U142" s="135"/>
      <c r="V142" s="135"/>
      <c r="W142" s="135"/>
      <c r="X142" s="135"/>
      <c r="Y142" s="135"/>
      <c r="Z142" s="135"/>
    </row>
    <row r="143" spans="1:26" ht="12.75">
      <c r="A143" s="136" t="s">
        <v>7</v>
      </c>
      <c r="B143" s="136" t="s">
        <v>7460</v>
      </c>
      <c r="C143" s="136" t="s">
        <v>778</v>
      </c>
      <c r="D143" s="136" t="s">
        <v>1669</v>
      </c>
      <c r="E143" s="136" t="s">
        <v>615</v>
      </c>
      <c r="F143" s="136">
        <v>405</v>
      </c>
      <c r="G143" s="137">
        <f t="shared" si="0"/>
        <v>7</v>
      </c>
      <c r="H143" s="137"/>
      <c r="I143" s="137"/>
      <c r="J143" s="135"/>
      <c r="K143" s="135"/>
      <c r="L143" s="135"/>
      <c r="M143" s="135"/>
      <c r="N143" s="135"/>
      <c r="O143" s="135"/>
      <c r="P143" s="135"/>
      <c r="Q143" s="135"/>
      <c r="R143" s="135"/>
      <c r="S143" s="135"/>
      <c r="T143" s="135"/>
      <c r="U143" s="135"/>
      <c r="V143" s="135"/>
      <c r="W143" s="135"/>
      <c r="X143" s="135"/>
      <c r="Y143" s="135"/>
      <c r="Z143" s="135"/>
    </row>
    <row r="144" spans="1:26" ht="12.75">
      <c r="A144" s="136" t="s">
        <v>7</v>
      </c>
      <c r="B144" s="136" t="s">
        <v>7460</v>
      </c>
      <c r="C144" s="136" t="s">
        <v>778</v>
      </c>
      <c r="D144" s="136" t="s">
        <v>7476</v>
      </c>
      <c r="E144" s="136" t="s">
        <v>615</v>
      </c>
      <c r="F144" s="136">
        <v>358</v>
      </c>
      <c r="G144" s="137">
        <f t="shared" si="0"/>
        <v>8</v>
      </c>
      <c r="H144" s="137"/>
      <c r="I144" s="137"/>
      <c r="J144" s="135"/>
      <c r="K144" s="135"/>
      <c r="L144" s="135"/>
      <c r="M144" s="135"/>
      <c r="N144" s="135"/>
      <c r="O144" s="135"/>
      <c r="P144" s="135"/>
      <c r="Q144" s="135"/>
      <c r="R144" s="135"/>
      <c r="S144" s="135"/>
      <c r="T144" s="135"/>
      <c r="U144" s="135"/>
      <c r="V144" s="135"/>
      <c r="W144" s="135"/>
      <c r="X144" s="135"/>
      <c r="Y144" s="135"/>
      <c r="Z144" s="135"/>
    </row>
    <row r="145" spans="1:26" ht="12.75">
      <c r="A145" s="136" t="s">
        <v>7</v>
      </c>
      <c r="B145" s="136" t="s">
        <v>7460</v>
      </c>
      <c r="C145" s="136" t="s">
        <v>778</v>
      </c>
      <c r="D145" s="136" t="s">
        <v>7475</v>
      </c>
      <c r="E145" s="136" t="s">
        <v>594</v>
      </c>
      <c r="F145" s="136">
        <v>93</v>
      </c>
      <c r="G145" s="137">
        <f t="shared" si="0"/>
        <v>9</v>
      </c>
      <c r="H145" s="137"/>
      <c r="I145" s="137"/>
      <c r="J145" s="135"/>
      <c r="K145" s="135"/>
      <c r="L145" s="135"/>
      <c r="M145" s="135"/>
      <c r="N145" s="135"/>
      <c r="O145" s="135"/>
      <c r="P145" s="135"/>
      <c r="Q145" s="135"/>
      <c r="R145" s="135"/>
      <c r="S145" s="135"/>
      <c r="T145" s="135"/>
      <c r="U145" s="135"/>
      <c r="V145" s="135"/>
      <c r="W145" s="135"/>
      <c r="X145" s="135"/>
      <c r="Y145" s="135"/>
      <c r="Z145" s="135"/>
    </row>
    <row r="146" spans="1:26" ht="12.75">
      <c r="A146" s="136" t="s">
        <v>7</v>
      </c>
      <c r="B146" s="136" t="s">
        <v>7460</v>
      </c>
      <c r="C146" s="136" t="s">
        <v>778</v>
      </c>
      <c r="D146" s="136" t="s">
        <v>7478</v>
      </c>
      <c r="E146" s="136" t="s">
        <v>615</v>
      </c>
      <c r="F146" s="136">
        <v>74</v>
      </c>
      <c r="G146" s="137">
        <f t="shared" si="0"/>
        <v>10</v>
      </c>
      <c r="H146" s="137"/>
      <c r="I146" s="137"/>
      <c r="J146" s="135"/>
      <c r="K146" s="135"/>
      <c r="L146" s="135"/>
      <c r="M146" s="135"/>
      <c r="N146" s="135"/>
      <c r="O146" s="135"/>
      <c r="P146" s="135"/>
      <c r="Q146" s="135"/>
      <c r="R146" s="135"/>
      <c r="S146" s="135"/>
      <c r="T146" s="135"/>
      <c r="U146" s="135"/>
      <c r="V146" s="135"/>
      <c r="W146" s="135"/>
      <c r="X146" s="135"/>
      <c r="Y146" s="135"/>
      <c r="Z146" s="135"/>
    </row>
    <row r="147" spans="1:26" ht="12.75">
      <c r="A147" s="136" t="s">
        <v>7</v>
      </c>
      <c r="B147" s="136" t="s">
        <v>7460</v>
      </c>
      <c r="C147" s="136" t="s">
        <v>778</v>
      </c>
      <c r="D147" s="136" t="s">
        <v>1665</v>
      </c>
      <c r="E147" s="136" t="s">
        <v>615</v>
      </c>
      <c r="F147" s="136">
        <v>69</v>
      </c>
      <c r="G147" s="137">
        <f t="shared" si="0"/>
        <v>11</v>
      </c>
      <c r="H147" s="137"/>
      <c r="I147" s="137"/>
      <c r="J147" s="135"/>
      <c r="K147" s="135"/>
      <c r="L147" s="135"/>
      <c r="M147" s="135"/>
      <c r="N147" s="135"/>
      <c r="O147" s="135"/>
      <c r="P147" s="135"/>
      <c r="Q147" s="135"/>
      <c r="R147" s="135"/>
      <c r="S147" s="135"/>
      <c r="T147" s="135"/>
      <c r="U147" s="135"/>
      <c r="V147" s="135"/>
      <c r="W147" s="135"/>
      <c r="X147" s="135"/>
      <c r="Y147" s="135"/>
      <c r="Z147" s="135"/>
    </row>
    <row r="148" spans="1:26" ht="12.75">
      <c r="A148" s="136" t="s">
        <v>7</v>
      </c>
      <c r="B148" s="136" t="s">
        <v>7460</v>
      </c>
      <c r="C148" s="136" t="s">
        <v>778</v>
      </c>
      <c r="D148" s="136" t="s">
        <v>7477</v>
      </c>
      <c r="E148" s="136" t="s">
        <v>615</v>
      </c>
      <c r="F148" s="136">
        <v>66</v>
      </c>
      <c r="G148" s="137">
        <f t="shared" si="0"/>
        <v>12</v>
      </c>
      <c r="H148" s="137"/>
      <c r="I148" s="137"/>
      <c r="J148" s="135"/>
      <c r="K148" s="135"/>
      <c r="L148" s="135"/>
      <c r="M148" s="135"/>
      <c r="N148" s="135"/>
      <c r="O148" s="135"/>
      <c r="P148" s="135"/>
      <c r="Q148" s="135"/>
      <c r="R148" s="135"/>
      <c r="S148" s="135"/>
      <c r="T148" s="135"/>
      <c r="U148" s="135"/>
      <c r="V148" s="135"/>
      <c r="W148" s="135"/>
      <c r="X148" s="135"/>
      <c r="Y148" s="135"/>
      <c r="Z148" s="135"/>
    </row>
    <row r="149" spans="1:26" ht="12.75">
      <c r="A149" s="136" t="s">
        <v>7</v>
      </c>
      <c r="B149" s="136" t="s">
        <v>7460</v>
      </c>
      <c r="C149" s="136" t="s">
        <v>778</v>
      </c>
      <c r="D149" s="136" t="s">
        <v>7480</v>
      </c>
      <c r="E149" s="136" t="s">
        <v>594</v>
      </c>
      <c r="F149" s="136">
        <v>64</v>
      </c>
      <c r="G149" s="137">
        <f t="shared" si="0"/>
        <v>13</v>
      </c>
      <c r="H149" s="137"/>
      <c r="I149" s="137"/>
      <c r="J149" s="135"/>
      <c r="K149" s="135"/>
      <c r="L149" s="135"/>
      <c r="M149" s="135"/>
      <c r="N149" s="135"/>
      <c r="O149" s="135"/>
      <c r="P149" s="135"/>
      <c r="Q149" s="135"/>
      <c r="R149" s="135"/>
      <c r="S149" s="135"/>
      <c r="T149" s="135"/>
      <c r="U149" s="135"/>
      <c r="V149" s="135"/>
      <c r="W149" s="135"/>
      <c r="X149" s="135"/>
      <c r="Y149" s="135"/>
      <c r="Z149" s="135"/>
    </row>
    <row r="150" spans="1:26" ht="12.75">
      <c r="A150" s="136" t="s">
        <v>7</v>
      </c>
      <c r="B150" s="136" t="s">
        <v>7460</v>
      </c>
      <c r="C150" s="136" t="s">
        <v>778</v>
      </c>
      <c r="D150" s="136" t="s">
        <v>7484</v>
      </c>
      <c r="E150" s="136" t="s">
        <v>615</v>
      </c>
      <c r="F150" s="136">
        <v>53</v>
      </c>
      <c r="G150" s="137">
        <f t="shared" si="0"/>
        <v>14</v>
      </c>
      <c r="H150" s="137"/>
      <c r="I150" s="137"/>
      <c r="J150" s="135"/>
      <c r="K150" s="135"/>
      <c r="L150" s="135"/>
      <c r="M150" s="135"/>
      <c r="N150" s="135"/>
      <c r="O150" s="135"/>
      <c r="P150" s="135"/>
      <c r="Q150" s="135"/>
      <c r="R150" s="135"/>
      <c r="S150" s="135"/>
      <c r="T150" s="135"/>
      <c r="U150" s="135"/>
      <c r="V150" s="135"/>
      <c r="W150" s="135"/>
      <c r="X150" s="135"/>
      <c r="Y150" s="135"/>
      <c r="Z150" s="135"/>
    </row>
    <row r="151" spans="1:26" ht="12.75">
      <c r="A151" s="136" t="s">
        <v>7</v>
      </c>
      <c r="B151" s="136" t="s">
        <v>7460</v>
      </c>
      <c r="C151" s="136" t="s">
        <v>778</v>
      </c>
      <c r="D151" s="136" t="s">
        <v>154</v>
      </c>
      <c r="E151" s="136" t="s">
        <v>615</v>
      </c>
      <c r="F151" s="136">
        <v>51</v>
      </c>
      <c r="G151" s="137">
        <f t="shared" si="0"/>
        <v>15</v>
      </c>
      <c r="H151" s="137"/>
      <c r="I151" s="137"/>
      <c r="J151" s="135"/>
      <c r="K151" s="135"/>
      <c r="L151" s="135"/>
      <c r="M151" s="135"/>
      <c r="N151" s="135"/>
      <c r="O151" s="135"/>
      <c r="P151" s="135"/>
      <c r="Q151" s="135"/>
      <c r="R151" s="135"/>
      <c r="S151" s="135"/>
      <c r="T151" s="135"/>
      <c r="U151" s="135"/>
      <c r="V151" s="135"/>
      <c r="W151" s="135"/>
      <c r="X151" s="135"/>
      <c r="Y151" s="135"/>
      <c r="Z151" s="135"/>
    </row>
    <row r="152" spans="1:26" ht="12.75">
      <c r="A152" s="136" t="s">
        <v>7</v>
      </c>
      <c r="B152" s="136" t="s">
        <v>7460</v>
      </c>
      <c r="C152" s="136" t="s">
        <v>778</v>
      </c>
      <c r="D152" s="136" t="s">
        <v>7485</v>
      </c>
      <c r="E152" s="136" t="s">
        <v>594</v>
      </c>
      <c r="F152" s="136">
        <v>48</v>
      </c>
      <c r="G152" s="137">
        <f t="shared" si="0"/>
        <v>16</v>
      </c>
      <c r="H152" s="137"/>
      <c r="I152" s="137"/>
      <c r="J152" s="135"/>
      <c r="K152" s="135"/>
      <c r="L152" s="135"/>
      <c r="M152" s="135"/>
      <c r="N152" s="135"/>
      <c r="O152" s="135"/>
      <c r="P152" s="135"/>
      <c r="Q152" s="135"/>
      <c r="R152" s="135"/>
      <c r="S152" s="135"/>
      <c r="T152" s="135"/>
      <c r="U152" s="135"/>
      <c r="V152" s="135"/>
      <c r="W152" s="135"/>
      <c r="X152" s="135"/>
      <c r="Y152" s="135"/>
      <c r="Z152" s="135"/>
    </row>
    <row r="153" spans="1:26" ht="12.75">
      <c r="A153" s="136" t="s">
        <v>7</v>
      </c>
      <c r="B153" s="136" t="s">
        <v>7460</v>
      </c>
      <c r="C153" s="136" t="s">
        <v>778</v>
      </c>
      <c r="D153" s="136" t="s">
        <v>7486</v>
      </c>
      <c r="E153" s="136" t="s">
        <v>615</v>
      </c>
      <c r="F153" s="136">
        <v>32</v>
      </c>
      <c r="G153" s="137">
        <f t="shared" si="0"/>
        <v>17</v>
      </c>
      <c r="H153" s="137"/>
      <c r="I153" s="137"/>
      <c r="J153" s="135"/>
      <c r="K153" s="135"/>
      <c r="L153" s="135"/>
      <c r="M153" s="135"/>
      <c r="N153" s="135"/>
      <c r="O153" s="135"/>
      <c r="P153" s="135"/>
      <c r="Q153" s="135"/>
      <c r="R153" s="135"/>
      <c r="S153" s="135"/>
      <c r="T153" s="135"/>
      <c r="U153" s="135"/>
      <c r="V153" s="135"/>
      <c r="W153" s="135"/>
      <c r="X153" s="135"/>
      <c r="Y153" s="135"/>
      <c r="Z153" s="135"/>
    </row>
    <row r="154" spans="1:26" ht="12.75">
      <c r="A154" s="136" t="s">
        <v>7</v>
      </c>
      <c r="B154" s="136" t="s">
        <v>7460</v>
      </c>
      <c r="C154" s="136" t="s">
        <v>778</v>
      </c>
      <c r="D154" s="136" t="s">
        <v>1626</v>
      </c>
      <c r="E154" s="136" t="s">
        <v>594</v>
      </c>
      <c r="F154" s="136">
        <v>14</v>
      </c>
      <c r="G154" s="137">
        <f t="shared" si="0"/>
        <v>18</v>
      </c>
      <c r="H154" s="137"/>
      <c r="I154" s="137"/>
      <c r="J154" s="135"/>
      <c r="K154" s="135"/>
      <c r="L154" s="135"/>
      <c r="M154" s="135"/>
      <c r="N154" s="135"/>
      <c r="O154" s="135"/>
      <c r="P154" s="135"/>
      <c r="Q154" s="135"/>
      <c r="R154" s="135"/>
      <c r="S154" s="135"/>
      <c r="T154" s="135"/>
      <c r="U154" s="135"/>
      <c r="V154" s="135"/>
      <c r="W154" s="135"/>
      <c r="X154" s="135"/>
      <c r="Y154" s="135"/>
      <c r="Z154" s="135"/>
    </row>
    <row r="155" spans="1:26" ht="25.5">
      <c r="A155" s="136" t="s">
        <v>7</v>
      </c>
      <c r="B155" s="136" t="s">
        <v>7460</v>
      </c>
      <c r="C155" s="136" t="s">
        <v>779</v>
      </c>
      <c r="D155" s="136" t="s">
        <v>7487</v>
      </c>
      <c r="E155" s="136" t="s">
        <v>615</v>
      </c>
      <c r="F155" s="136">
        <v>1133</v>
      </c>
      <c r="G155" s="137">
        <f t="shared" si="0"/>
        <v>1</v>
      </c>
      <c r="H155" s="137"/>
      <c r="I155" s="137"/>
      <c r="J155" s="135"/>
      <c r="K155" s="135"/>
      <c r="L155" s="135"/>
      <c r="M155" s="135"/>
      <c r="N155" s="135"/>
      <c r="O155" s="135"/>
      <c r="P155" s="135"/>
      <c r="Q155" s="135"/>
      <c r="R155" s="135"/>
      <c r="S155" s="135"/>
      <c r="T155" s="135"/>
      <c r="U155" s="135"/>
      <c r="V155" s="135"/>
      <c r="W155" s="135"/>
      <c r="X155" s="135"/>
      <c r="Y155" s="135"/>
      <c r="Z155" s="135"/>
    </row>
    <row r="156" spans="1:26" ht="12.75">
      <c r="A156" s="136" t="s">
        <v>7</v>
      </c>
      <c r="B156" s="136" t="s">
        <v>7460</v>
      </c>
      <c r="C156" s="136" t="s">
        <v>779</v>
      </c>
      <c r="D156" s="136" t="s">
        <v>98</v>
      </c>
      <c r="E156" s="136" t="s">
        <v>615</v>
      </c>
      <c r="F156" s="136">
        <v>987</v>
      </c>
      <c r="G156" s="137">
        <f t="shared" si="0"/>
        <v>2</v>
      </c>
      <c r="H156" s="137"/>
      <c r="I156" s="137"/>
      <c r="J156" s="135"/>
      <c r="K156" s="135"/>
      <c r="L156" s="135"/>
      <c r="M156" s="135"/>
      <c r="N156" s="135"/>
      <c r="O156" s="135"/>
      <c r="P156" s="135"/>
      <c r="Q156" s="135"/>
      <c r="R156" s="135"/>
      <c r="S156" s="135"/>
      <c r="T156" s="135"/>
      <c r="U156" s="135"/>
      <c r="V156" s="135"/>
      <c r="W156" s="135"/>
      <c r="X156" s="135"/>
      <c r="Y156" s="135"/>
      <c r="Z156" s="135"/>
    </row>
    <row r="157" spans="1:26" ht="12.75">
      <c r="A157" s="136" t="s">
        <v>7</v>
      </c>
      <c r="B157" s="136" t="s">
        <v>7460</v>
      </c>
      <c r="C157" s="136" t="s">
        <v>779</v>
      </c>
      <c r="D157" s="136" t="s">
        <v>7472</v>
      </c>
      <c r="E157" s="136" t="s">
        <v>615</v>
      </c>
      <c r="F157" s="136">
        <v>359</v>
      </c>
      <c r="G157" s="137">
        <f t="shared" si="0"/>
        <v>3</v>
      </c>
      <c r="H157" s="137"/>
      <c r="I157" s="137"/>
      <c r="J157" s="135"/>
      <c r="K157" s="135"/>
      <c r="L157" s="135"/>
      <c r="M157" s="135"/>
      <c r="N157" s="135"/>
      <c r="O157" s="135"/>
      <c r="P157" s="135"/>
      <c r="Q157" s="135"/>
      <c r="R157" s="135"/>
      <c r="S157" s="135"/>
      <c r="T157" s="135"/>
      <c r="U157" s="135"/>
      <c r="V157" s="135"/>
      <c r="W157" s="135"/>
      <c r="X157" s="135"/>
      <c r="Y157" s="135"/>
      <c r="Z157" s="135"/>
    </row>
    <row r="158" spans="1:26" ht="12.75">
      <c r="A158" s="136" t="s">
        <v>7</v>
      </c>
      <c r="B158" s="136" t="s">
        <v>7460</v>
      </c>
      <c r="C158" s="136" t="s">
        <v>779</v>
      </c>
      <c r="D158" s="136" t="s">
        <v>7473</v>
      </c>
      <c r="E158" s="136" t="s">
        <v>615</v>
      </c>
      <c r="F158" s="136">
        <v>338</v>
      </c>
      <c r="G158" s="137">
        <f t="shared" si="0"/>
        <v>4</v>
      </c>
      <c r="H158" s="137"/>
      <c r="I158" s="137"/>
      <c r="J158" s="135"/>
      <c r="K158" s="135"/>
      <c r="L158" s="135"/>
      <c r="M158" s="135"/>
      <c r="N158" s="135"/>
      <c r="O158" s="135"/>
      <c r="P158" s="135"/>
      <c r="Q158" s="135"/>
      <c r="R158" s="135"/>
      <c r="S158" s="135"/>
      <c r="T158" s="135"/>
      <c r="U158" s="135"/>
      <c r="V158" s="135"/>
      <c r="W158" s="135"/>
      <c r="X158" s="135"/>
      <c r="Y158" s="135"/>
      <c r="Z158" s="135"/>
    </row>
    <row r="159" spans="1:26" ht="12.75">
      <c r="A159" s="136" t="s">
        <v>7</v>
      </c>
      <c r="B159" s="136" t="s">
        <v>7460</v>
      </c>
      <c r="C159" s="136" t="s">
        <v>779</v>
      </c>
      <c r="D159" s="136" t="s">
        <v>7476</v>
      </c>
      <c r="E159" s="136" t="s">
        <v>615</v>
      </c>
      <c r="F159" s="136">
        <v>233</v>
      </c>
      <c r="G159" s="137">
        <f t="shared" si="0"/>
        <v>5</v>
      </c>
      <c r="H159" s="137"/>
      <c r="I159" s="137"/>
      <c r="J159" s="135"/>
      <c r="K159" s="135"/>
      <c r="L159" s="135"/>
      <c r="M159" s="135"/>
      <c r="N159" s="135"/>
      <c r="O159" s="135"/>
      <c r="P159" s="135"/>
      <c r="Q159" s="135"/>
      <c r="R159" s="135"/>
      <c r="S159" s="135"/>
      <c r="T159" s="135"/>
      <c r="U159" s="135"/>
      <c r="V159" s="135"/>
      <c r="W159" s="135"/>
      <c r="X159" s="135"/>
      <c r="Y159" s="135"/>
      <c r="Z159" s="135"/>
    </row>
    <row r="160" spans="1:26" ht="12.75">
      <c r="A160" s="136" t="s">
        <v>7</v>
      </c>
      <c r="B160" s="136" t="s">
        <v>7460</v>
      </c>
      <c r="C160" s="136" t="s">
        <v>779</v>
      </c>
      <c r="D160" s="136" t="s">
        <v>1665</v>
      </c>
      <c r="E160" s="136" t="s">
        <v>615</v>
      </c>
      <c r="F160" s="136">
        <v>132</v>
      </c>
      <c r="G160" s="137">
        <f t="shared" si="0"/>
        <v>6</v>
      </c>
      <c r="H160" s="137"/>
      <c r="I160" s="137"/>
      <c r="J160" s="135"/>
      <c r="K160" s="135"/>
      <c r="L160" s="135"/>
      <c r="M160" s="135"/>
      <c r="N160" s="135"/>
      <c r="O160" s="135"/>
      <c r="P160" s="135"/>
      <c r="Q160" s="135"/>
      <c r="R160" s="135"/>
      <c r="S160" s="135"/>
      <c r="T160" s="135"/>
      <c r="U160" s="135"/>
      <c r="V160" s="135"/>
      <c r="W160" s="135"/>
      <c r="X160" s="135"/>
      <c r="Y160" s="135"/>
      <c r="Z160" s="135"/>
    </row>
    <row r="161" spans="1:26" ht="12.75">
      <c r="A161" s="136" t="s">
        <v>7</v>
      </c>
      <c r="B161" s="136" t="s">
        <v>7460</v>
      </c>
      <c r="C161" s="136" t="s">
        <v>779</v>
      </c>
      <c r="D161" s="136" t="s">
        <v>7478</v>
      </c>
      <c r="E161" s="136" t="s">
        <v>615</v>
      </c>
      <c r="F161" s="136">
        <v>26</v>
      </c>
      <c r="G161" s="137">
        <f t="shared" si="0"/>
        <v>7</v>
      </c>
      <c r="H161" s="137"/>
      <c r="I161" s="137"/>
      <c r="J161" s="135"/>
      <c r="K161" s="135"/>
      <c r="L161" s="135"/>
      <c r="M161" s="135"/>
      <c r="N161" s="135"/>
      <c r="O161" s="135"/>
      <c r="P161" s="135"/>
      <c r="Q161" s="135"/>
      <c r="R161" s="135"/>
      <c r="S161" s="135"/>
      <c r="T161" s="135"/>
      <c r="U161" s="135"/>
      <c r="V161" s="135"/>
      <c r="W161" s="135"/>
      <c r="X161" s="135"/>
      <c r="Y161" s="135"/>
      <c r="Z161" s="135"/>
    </row>
    <row r="162" spans="1:26" ht="12.75">
      <c r="A162" s="136" t="s">
        <v>7</v>
      </c>
      <c r="B162" s="136" t="s">
        <v>7460</v>
      </c>
      <c r="C162" s="136" t="s">
        <v>779</v>
      </c>
      <c r="D162" s="136" t="s">
        <v>1669</v>
      </c>
      <c r="E162" s="136" t="s">
        <v>615</v>
      </c>
      <c r="F162" s="136">
        <v>15</v>
      </c>
      <c r="G162" s="137">
        <f t="shared" si="0"/>
        <v>8</v>
      </c>
      <c r="H162" s="137"/>
      <c r="I162" s="137"/>
      <c r="J162" s="135"/>
      <c r="K162" s="135"/>
      <c r="L162" s="135"/>
      <c r="M162" s="135"/>
      <c r="N162" s="135"/>
      <c r="O162" s="135"/>
      <c r="P162" s="135"/>
      <c r="Q162" s="135"/>
      <c r="R162" s="135"/>
      <c r="S162" s="135"/>
      <c r="T162" s="135"/>
      <c r="U162" s="135"/>
      <c r="V162" s="135"/>
      <c r="W162" s="135"/>
      <c r="X162" s="135"/>
      <c r="Y162" s="135"/>
      <c r="Z162" s="135"/>
    </row>
    <row r="163" spans="1:26" ht="12.75">
      <c r="A163" s="136" t="s">
        <v>7</v>
      </c>
      <c r="B163" s="136" t="s">
        <v>7460</v>
      </c>
      <c r="C163" s="136" t="s">
        <v>779</v>
      </c>
      <c r="D163" s="136" t="s">
        <v>114</v>
      </c>
      <c r="E163" s="136" t="s">
        <v>85</v>
      </c>
      <c r="F163" s="136">
        <v>12</v>
      </c>
      <c r="G163" s="137">
        <f t="shared" si="0"/>
        <v>9</v>
      </c>
      <c r="H163" s="137"/>
      <c r="I163" s="137"/>
      <c r="J163" s="135"/>
      <c r="K163" s="135"/>
      <c r="L163" s="135"/>
      <c r="M163" s="135"/>
      <c r="N163" s="135"/>
      <c r="O163" s="135"/>
      <c r="P163" s="135"/>
      <c r="Q163" s="135"/>
      <c r="R163" s="135"/>
      <c r="S163" s="135"/>
      <c r="T163" s="135"/>
      <c r="U163" s="135"/>
      <c r="V163" s="135"/>
      <c r="W163" s="135"/>
      <c r="X163" s="135"/>
      <c r="Y163" s="135"/>
      <c r="Z163" s="135"/>
    </row>
    <row r="164" spans="1:26" ht="12.75">
      <c r="A164" s="136" t="s">
        <v>7</v>
      </c>
      <c r="B164" s="136" t="s">
        <v>7460</v>
      </c>
      <c r="C164" s="136" t="s">
        <v>779</v>
      </c>
      <c r="D164" s="136" t="s">
        <v>139</v>
      </c>
      <c r="E164" s="136" t="s">
        <v>594</v>
      </c>
      <c r="F164" s="136">
        <v>6</v>
      </c>
      <c r="G164" s="137">
        <f t="shared" si="0"/>
        <v>10</v>
      </c>
      <c r="H164" s="137"/>
      <c r="I164" s="137"/>
      <c r="J164" s="135"/>
      <c r="K164" s="135"/>
      <c r="L164" s="135"/>
      <c r="M164" s="135"/>
      <c r="N164" s="135"/>
      <c r="O164" s="135"/>
      <c r="P164" s="135"/>
      <c r="Q164" s="135"/>
      <c r="R164" s="135"/>
      <c r="S164" s="135"/>
      <c r="T164" s="135"/>
      <c r="U164" s="135"/>
      <c r="V164" s="135"/>
      <c r="W164" s="135"/>
      <c r="X164" s="135"/>
      <c r="Y164" s="135"/>
      <c r="Z164" s="135"/>
    </row>
    <row r="165" spans="1:26" ht="12.75">
      <c r="A165" s="136" t="s">
        <v>7</v>
      </c>
      <c r="B165" s="136" t="s">
        <v>7460</v>
      </c>
      <c r="C165" s="136" t="s">
        <v>779</v>
      </c>
      <c r="D165" s="136" t="s">
        <v>1626</v>
      </c>
      <c r="E165" s="136" t="s">
        <v>594</v>
      </c>
      <c r="F165" s="136">
        <v>4</v>
      </c>
      <c r="G165" s="137">
        <f t="shared" si="0"/>
        <v>11</v>
      </c>
      <c r="H165" s="137"/>
      <c r="I165" s="137"/>
      <c r="J165" s="135"/>
      <c r="K165" s="135"/>
      <c r="L165" s="135"/>
      <c r="M165" s="135"/>
      <c r="N165" s="135"/>
      <c r="O165" s="135"/>
      <c r="P165" s="135"/>
      <c r="Q165" s="135"/>
      <c r="R165" s="135"/>
      <c r="S165" s="135"/>
      <c r="T165" s="135"/>
      <c r="U165" s="135"/>
      <c r="V165" s="135"/>
      <c r="W165" s="135"/>
      <c r="X165" s="135"/>
      <c r="Y165" s="135"/>
      <c r="Z165" s="135"/>
    </row>
    <row r="166" spans="1:26" ht="12.75">
      <c r="A166" s="136" t="s">
        <v>7</v>
      </c>
      <c r="B166" s="136" t="s">
        <v>7460</v>
      </c>
      <c r="C166" s="136" t="s">
        <v>779</v>
      </c>
      <c r="D166" s="136" t="s">
        <v>7475</v>
      </c>
      <c r="E166" s="136" t="s">
        <v>594</v>
      </c>
      <c r="F166" s="136">
        <v>2</v>
      </c>
      <c r="G166" s="137">
        <f t="shared" si="0"/>
        <v>12</v>
      </c>
      <c r="H166" s="137"/>
      <c r="I166" s="137"/>
      <c r="J166" s="135"/>
      <c r="K166" s="135"/>
      <c r="L166" s="135"/>
      <c r="M166" s="135"/>
      <c r="N166" s="135"/>
      <c r="O166" s="135"/>
      <c r="P166" s="135"/>
      <c r="Q166" s="135"/>
      <c r="R166" s="135"/>
      <c r="S166" s="135"/>
      <c r="T166" s="135"/>
      <c r="U166" s="135"/>
      <c r="V166" s="135"/>
      <c r="W166" s="135"/>
      <c r="X166" s="135"/>
      <c r="Y166" s="135"/>
      <c r="Z166" s="135"/>
    </row>
    <row r="167" spans="1:26" ht="12.75">
      <c r="A167" s="136" t="s">
        <v>7</v>
      </c>
      <c r="B167" s="136" t="s">
        <v>7460</v>
      </c>
      <c r="C167" s="136" t="s">
        <v>7488</v>
      </c>
      <c r="D167" s="136" t="s">
        <v>139</v>
      </c>
      <c r="E167" s="136" t="s">
        <v>594</v>
      </c>
      <c r="F167" s="136">
        <v>3170</v>
      </c>
      <c r="G167" s="137">
        <f t="shared" si="0"/>
        <v>1</v>
      </c>
      <c r="H167" s="137"/>
      <c r="I167" s="137"/>
      <c r="J167" s="135"/>
      <c r="K167" s="135"/>
      <c r="L167" s="135"/>
      <c r="M167" s="135"/>
      <c r="N167" s="135"/>
      <c r="O167" s="135"/>
      <c r="P167" s="135"/>
      <c r="Q167" s="135"/>
      <c r="R167" s="135"/>
      <c r="S167" s="135"/>
      <c r="T167" s="135"/>
      <c r="U167" s="135"/>
      <c r="V167" s="135"/>
      <c r="W167" s="135"/>
      <c r="X167" s="135"/>
      <c r="Y167" s="135"/>
      <c r="Z167" s="135"/>
    </row>
    <row r="168" spans="1:26" ht="12.75">
      <c r="A168" s="136" t="s">
        <v>7</v>
      </c>
      <c r="B168" s="136" t="s">
        <v>7460</v>
      </c>
      <c r="C168" s="136" t="s">
        <v>7488</v>
      </c>
      <c r="D168" s="136" t="s">
        <v>7472</v>
      </c>
      <c r="E168" s="136" t="s">
        <v>615</v>
      </c>
      <c r="F168" s="136">
        <v>2355</v>
      </c>
      <c r="G168" s="137">
        <f t="shared" si="0"/>
        <v>2</v>
      </c>
      <c r="H168" s="137"/>
      <c r="I168" s="137"/>
      <c r="J168" s="135"/>
      <c r="K168" s="135"/>
      <c r="L168" s="135"/>
      <c r="M168" s="135"/>
      <c r="N168" s="135"/>
      <c r="O168" s="135"/>
      <c r="P168" s="135"/>
      <c r="Q168" s="135"/>
      <c r="R168" s="135"/>
      <c r="S168" s="135"/>
      <c r="T168" s="135"/>
      <c r="U168" s="135"/>
      <c r="V168" s="135"/>
      <c r="W168" s="135"/>
      <c r="X168" s="135"/>
      <c r="Y168" s="135"/>
      <c r="Z168" s="135"/>
    </row>
    <row r="169" spans="1:26" ht="12.75">
      <c r="A169" s="136" t="s">
        <v>7</v>
      </c>
      <c r="B169" s="136" t="s">
        <v>7460</v>
      </c>
      <c r="C169" s="136" t="s">
        <v>7488</v>
      </c>
      <c r="D169" s="136" t="s">
        <v>114</v>
      </c>
      <c r="E169" s="136" t="s">
        <v>85</v>
      </c>
      <c r="F169" s="136">
        <v>631</v>
      </c>
      <c r="G169" s="137">
        <f t="shared" si="0"/>
        <v>4</v>
      </c>
      <c r="H169" s="137"/>
      <c r="I169" s="137"/>
      <c r="J169" s="135"/>
      <c r="K169" s="135"/>
      <c r="L169" s="135"/>
      <c r="M169" s="135"/>
      <c r="N169" s="135"/>
      <c r="O169" s="135"/>
      <c r="P169" s="135"/>
      <c r="Q169" s="135"/>
      <c r="R169" s="135"/>
      <c r="S169" s="135"/>
      <c r="T169" s="135"/>
      <c r="U169" s="135"/>
      <c r="V169" s="135"/>
      <c r="W169" s="135"/>
      <c r="X169" s="135"/>
      <c r="Y169" s="135"/>
      <c r="Z169" s="135"/>
    </row>
    <row r="170" spans="1:26" ht="12.75">
      <c r="A170" s="136" t="s">
        <v>7</v>
      </c>
      <c r="B170" s="136" t="s">
        <v>7460</v>
      </c>
      <c r="C170" s="136" t="s">
        <v>7488</v>
      </c>
      <c r="D170" s="136" t="s">
        <v>467</v>
      </c>
      <c r="E170" s="136" t="s">
        <v>85</v>
      </c>
      <c r="F170" s="136">
        <v>559</v>
      </c>
      <c r="G170" s="137">
        <f t="shared" si="0"/>
        <v>6</v>
      </c>
      <c r="H170" s="137"/>
      <c r="I170" s="137"/>
      <c r="J170" s="135"/>
      <c r="K170" s="135"/>
      <c r="L170" s="135"/>
      <c r="M170" s="135"/>
      <c r="N170" s="135"/>
      <c r="O170" s="135"/>
      <c r="P170" s="135"/>
      <c r="Q170" s="135"/>
      <c r="R170" s="135"/>
      <c r="S170" s="135"/>
      <c r="T170" s="135"/>
      <c r="U170" s="135"/>
      <c r="V170" s="135"/>
      <c r="W170" s="135"/>
      <c r="X170" s="135"/>
      <c r="Y170" s="135"/>
      <c r="Z170" s="135"/>
    </row>
    <row r="171" spans="1:26" ht="12.75">
      <c r="A171" s="136" t="s">
        <v>7</v>
      </c>
      <c r="B171" s="136" t="s">
        <v>7460</v>
      </c>
      <c r="C171" s="136" t="s">
        <v>7488</v>
      </c>
      <c r="D171" s="136" t="s">
        <v>98</v>
      </c>
      <c r="E171" s="136" t="s">
        <v>615</v>
      </c>
      <c r="F171" s="136">
        <v>471</v>
      </c>
      <c r="G171" s="137">
        <f t="shared" si="0"/>
        <v>8</v>
      </c>
      <c r="H171" s="137"/>
      <c r="I171" s="137"/>
      <c r="J171" s="135"/>
      <c r="K171" s="135"/>
      <c r="L171" s="135"/>
      <c r="M171" s="135"/>
      <c r="N171" s="135"/>
      <c r="O171" s="135"/>
      <c r="P171" s="135"/>
      <c r="Q171" s="135"/>
      <c r="R171" s="135"/>
      <c r="S171" s="135"/>
      <c r="T171" s="135"/>
      <c r="U171" s="135"/>
      <c r="V171" s="135"/>
      <c r="W171" s="135"/>
      <c r="X171" s="135"/>
      <c r="Y171" s="135"/>
      <c r="Z171" s="135"/>
    </row>
    <row r="172" spans="1:26" ht="12.75">
      <c r="A172" s="136" t="s">
        <v>7</v>
      </c>
      <c r="B172" s="136" t="s">
        <v>7460</v>
      </c>
      <c r="C172" s="136" t="s">
        <v>7488</v>
      </c>
      <c r="D172" s="136" t="s">
        <v>7489</v>
      </c>
      <c r="E172" s="136" t="s">
        <v>594</v>
      </c>
      <c r="F172" s="136">
        <v>407</v>
      </c>
      <c r="G172" s="137">
        <f t="shared" si="0"/>
        <v>10</v>
      </c>
      <c r="H172" s="137"/>
      <c r="I172" s="137"/>
      <c r="J172" s="135"/>
      <c r="K172" s="135"/>
      <c r="L172" s="135"/>
      <c r="M172" s="135"/>
      <c r="N172" s="135"/>
      <c r="O172" s="135"/>
      <c r="P172" s="135"/>
      <c r="Q172" s="135"/>
      <c r="R172" s="135"/>
      <c r="S172" s="135"/>
      <c r="T172" s="135"/>
      <c r="U172" s="135"/>
      <c r="V172" s="135"/>
      <c r="W172" s="135"/>
      <c r="X172" s="135"/>
      <c r="Y172" s="135"/>
      <c r="Z172" s="135"/>
    </row>
    <row r="173" spans="1:26" ht="12.75">
      <c r="A173" s="136" t="s">
        <v>7</v>
      </c>
      <c r="B173" s="136" t="s">
        <v>7460</v>
      </c>
      <c r="C173" s="136" t="s">
        <v>7488</v>
      </c>
      <c r="D173" s="136" t="s">
        <v>7473</v>
      </c>
      <c r="E173" s="136" t="s">
        <v>615</v>
      </c>
      <c r="F173" s="136">
        <v>365</v>
      </c>
      <c r="G173" s="137">
        <f t="shared" si="0"/>
        <v>11</v>
      </c>
      <c r="H173" s="137"/>
      <c r="I173" s="137"/>
      <c r="J173" s="135"/>
      <c r="K173" s="135"/>
      <c r="L173" s="135"/>
      <c r="M173" s="135"/>
      <c r="N173" s="135"/>
      <c r="O173" s="135"/>
      <c r="P173" s="135"/>
      <c r="Q173" s="135"/>
      <c r="R173" s="135"/>
      <c r="S173" s="135"/>
      <c r="T173" s="135"/>
      <c r="U173" s="135"/>
      <c r="V173" s="135"/>
      <c r="W173" s="135"/>
      <c r="X173" s="135"/>
      <c r="Y173" s="135"/>
      <c r="Z173" s="135"/>
    </row>
    <row r="174" spans="1:26" ht="12.75">
      <c r="A174" s="136" t="s">
        <v>7</v>
      </c>
      <c r="B174" s="136" t="s">
        <v>7460</v>
      </c>
      <c r="C174" s="136" t="s">
        <v>7488</v>
      </c>
      <c r="D174" s="136" t="s">
        <v>1669</v>
      </c>
      <c r="E174" s="136" t="s">
        <v>615</v>
      </c>
      <c r="F174" s="136">
        <v>362</v>
      </c>
      <c r="G174" s="137">
        <f t="shared" si="0"/>
        <v>12</v>
      </c>
      <c r="H174" s="137"/>
      <c r="I174" s="137"/>
      <c r="J174" s="135"/>
      <c r="K174" s="135"/>
      <c r="L174" s="135"/>
      <c r="M174" s="135"/>
      <c r="N174" s="135"/>
      <c r="O174" s="135"/>
      <c r="P174" s="135"/>
      <c r="Q174" s="135"/>
      <c r="R174" s="135"/>
      <c r="S174" s="135"/>
      <c r="T174" s="135"/>
      <c r="U174" s="135"/>
      <c r="V174" s="135"/>
      <c r="W174" s="135"/>
      <c r="X174" s="135"/>
      <c r="Y174" s="135"/>
      <c r="Z174" s="135"/>
    </row>
    <row r="175" spans="1:26" ht="12.75">
      <c r="A175" s="136" t="s">
        <v>7</v>
      </c>
      <c r="B175" s="136" t="s">
        <v>7460</v>
      </c>
      <c r="C175" s="136" t="s">
        <v>7488</v>
      </c>
      <c r="D175" s="136" t="s">
        <v>7476</v>
      </c>
      <c r="E175" s="136" t="s">
        <v>615</v>
      </c>
      <c r="F175" s="136">
        <v>351</v>
      </c>
      <c r="G175" s="137">
        <f t="shared" si="0"/>
        <v>13</v>
      </c>
      <c r="H175" s="137"/>
      <c r="I175" s="137"/>
      <c r="J175" s="135"/>
      <c r="K175" s="135"/>
      <c r="L175" s="135"/>
      <c r="M175" s="135"/>
      <c r="N175" s="135"/>
      <c r="O175" s="135"/>
      <c r="P175" s="135"/>
      <c r="Q175" s="135"/>
      <c r="R175" s="135"/>
      <c r="S175" s="135"/>
      <c r="T175" s="135"/>
      <c r="U175" s="135"/>
      <c r="V175" s="135"/>
      <c r="W175" s="135"/>
      <c r="X175" s="135"/>
      <c r="Y175" s="135"/>
      <c r="Z175" s="135"/>
    </row>
    <row r="176" spans="1:26" ht="12.75">
      <c r="A176" s="136" t="s">
        <v>7</v>
      </c>
      <c r="B176" s="136" t="s">
        <v>7460</v>
      </c>
      <c r="C176" s="136" t="s">
        <v>7488</v>
      </c>
      <c r="D176" s="136" t="s">
        <v>7478</v>
      </c>
      <c r="E176" s="136" t="s">
        <v>615</v>
      </c>
      <c r="F176" s="136">
        <v>74</v>
      </c>
      <c r="G176" s="137">
        <f t="shared" si="0"/>
        <v>19</v>
      </c>
      <c r="H176" s="137"/>
      <c r="I176" s="137"/>
      <c r="J176" s="135"/>
      <c r="K176" s="135"/>
      <c r="L176" s="135"/>
      <c r="M176" s="135"/>
      <c r="N176" s="135"/>
      <c r="O176" s="135"/>
      <c r="P176" s="135"/>
      <c r="Q176" s="135"/>
      <c r="R176" s="135"/>
      <c r="S176" s="135"/>
      <c r="T176" s="135"/>
      <c r="U176" s="135"/>
      <c r="V176" s="135"/>
      <c r="W176" s="135"/>
      <c r="X176" s="135"/>
      <c r="Y176" s="135"/>
      <c r="Z176" s="135"/>
    </row>
    <row r="177" spans="1:26" ht="12.75">
      <c r="A177" s="136" t="s">
        <v>7</v>
      </c>
      <c r="B177" s="136" t="s">
        <v>7460</v>
      </c>
      <c r="C177" s="136" t="s">
        <v>7488</v>
      </c>
      <c r="D177" s="136" t="s">
        <v>1665</v>
      </c>
      <c r="E177" s="136" t="s">
        <v>615</v>
      </c>
      <c r="F177" s="136">
        <v>36</v>
      </c>
      <c r="G177" s="137">
        <f t="shared" si="0"/>
        <v>20</v>
      </c>
      <c r="H177" s="137"/>
      <c r="I177" s="137"/>
      <c r="J177" s="135"/>
      <c r="K177" s="135"/>
      <c r="L177" s="135"/>
      <c r="M177" s="135"/>
      <c r="N177" s="135"/>
      <c r="O177" s="135"/>
      <c r="P177" s="135"/>
      <c r="Q177" s="135"/>
      <c r="R177" s="135"/>
      <c r="S177" s="135"/>
      <c r="T177" s="135"/>
      <c r="U177" s="135"/>
      <c r="V177" s="135"/>
      <c r="W177" s="135"/>
      <c r="X177" s="135"/>
      <c r="Y177" s="135"/>
      <c r="Z177" s="135"/>
    </row>
    <row r="178" spans="1:26" ht="12.75">
      <c r="A178" s="136" t="s">
        <v>7</v>
      </c>
      <c r="B178" s="136" t="s">
        <v>7460</v>
      </c>
      <c r="C178" s="136" t="s">
        <v>7488</v>
      </c>
      <c r="D178" s="136" t="s">
        <v>7475</v>
      </c>
      <c r="E178" s="136" t="s">
        <v>594</v>
      </c>
      <c r="F178" s="136">
        <v>27</v>
      </c>
      <c r="G178" s="137">
        <f t="shared" si="0"/>
        <v>23</v>
      </c>
      <c r="H178" s="137"/>
      <c r="I178" s="137"/>
      <c r="J178" s="135"/>
      <c r="K178" s="135"/>
      <c r="L178" s="135"/>
      <c r="M178" s="135"/>
      <c r="N178" s="135"/>
      <c r="O178" s="135"/>
      <c r="P178" s="135"/>
      <c r="Q178" s="135"/>
      <c r="R178" s="135"/>
      <c r="S178" s="135"/>
      <c r="T178" s="135"/>
      <c r="U178" s="135"/>
      <c r="V178" s="135"/>
      <c r="W178" s="135"/>
      <c r="X178" s="135"/>
      <c r="Y178" s="135"/>
      <c r="Z178" s="135"/>
    </row>
    <row r="179" spans="1:26" ht="12.75">
      <c r="A179" s="136" t="s">
        <v>7</v>
      </c>
      <c r="B179" s="136" t="s">
        <v>7460</v>
      </c>
      <c r="C179" s="136" t="s">
        <v>7488</v>
      </c>
      <c r="D179" s="136" t="s">
        <v>1626</v>
      </c>
      <c r="E179" s="136" t="s">
        <v>594</v>
      </c>
      <c r="F179" s="136">
        <v>15</v>
      </c>
      <c r="G179" s="137">
        <f t="shared" si="0"/>
        <v>25</v>
      </c>
      <c r="H179" s="137"/>
      <c r="I179" s="137"/>
      <c r="J179" s="135"/>
      <c r="K179" s="135"/>
      <c r="L179" s="135"/>
      <c r="M179" s="135"/>
      <c r="N179" s="135"/>
      <c r="O179" s="135"/>
      <c r="P179" s="135"/>
      <c r="Q179" s="135"/>
      <c r="R179" s="135"/>
      <c r="S179" s="135"/>
      <c r="T179" s="135"/>
      <c r="U179" s="135"/>
      <c r="V179" s="135"/>
      <c r="W179" s="135"/>
      <c r="X179" s="135"/>
      <c r="Y179" s="135"/>
      <c r="Z179" s="135"/>
    </row>
    <row r="180" spans="1:26" ht="12.75">
      <c r="A180" s="136" t="s">
        <v>7</v>
      </c>
      <c r="B180" s="136" t="s">
        <v>7460</v>
      </c>
      <c r="C180" s="136" t="s">
        <v>7490</v>
      </c>
      <c r="D180" s="136" t="s">
        <v>7484</v>
      </c>
      <c r="E180" s="136" t="s">
        <v>615</v>
      </c>
      <c r="F180" s="136">
        <v>1516</v>
      </c>
      <c r="G180" s="137">
        <f t="shared" si="0"/>
        <v>1</v>
      </c>
      <c r="H180" s="137"/>
      <c r="I180" s="137"/>
      <c r="J180" s="135"/>
      <c r="K180" s="135"/>
      <c r="L180" s="135"/>
      <c r="M180" s="135"/>
      <c r="N180" s="135"/>
      <c r="O180" s="135"/>
      <c r="P180" s="135"/>
      <c r="Q180" s="135"/>
      <c r="R180" s="135"/>
      <c r="S180" s="135"/>
      <c r="T180" s="135"/>
      <c r="U180" s="135"/>
      <c r="V180" s="135"/>
      <c r="W180" s="135"/>
      <c r="X180" s="135"/>
      <c r="Y180" s="135"/>
      <c r="Z180" s="135"/>
    </row>
    <row r="181" spans="1:26" ht="12.75">
      <c r="A181" s="136" t="s">
        <v>7</v>
      </c>
      <c r="B181" s="136" t="s">
        <v>7460</v>
      </c>
      <c r="C181" s="136" t="s">
        <v>7490</v>
      </c>
      <c r="D181" s="136" t="s">
        <v>7491</v>
      </c>
      <c r="E181" s="136" t="s">
        <v>615</v>
      </c>
      <c r="F181" s="136">
        <v>697</v>
      </c>
      <c r="G181" s="137">
        <f t="shared" si="0"/>
        <v>2</v>
      </c>
      <c r="H181" s="137"/>
      <c r="I181" s="137"/>
      <c r="J181" s="135"/>
      <c r="K181" s="135"/>
      <c r="L181" s="135"/>
      <c r="M181" s="135"/>
      <c r="N181" s="135"/>
      <c r="O181" s="135"/>
      <c r="P181" s="135"/>
      <c r="Q181" s="135"/>
      <c r="R181" s="135"/>
      <c r="S181" s="135"/>
      <c r="T181" s="135"/>
      <c r="U181" s="135"/>
      <c r="V181" s="135"/>
      <c r="W181" s="135"/>
      <c r="X181" s="135"/>
      <c r="Y181" s="135"/>
      <c r="Z181" s="135"/>
    </row>
    <row r="182" spans="1:26" ht="12.75">
      <c r="A182" s="136" t="s">
        <v>7</v>
      </c>
      <c r="B182" s="136" t="s">
        <v>7460</v>
      </c>
      <c r="C182" s="136" t="s">
        <v>7490</v>
      </c>
      <c r="D182" s="136" t="s">
        <v>114</v>
      </c>
      <c r="E182" s="136" t="s">
        <v>85</v>
      </c>
      <c r="F182" s="136">
        <v>583</v>
      </c>
      <c r="G182" s="137">
        <f t="shared" si="0"/>
        <v>3</v>
      </c>
      <c r="H182" s="137"/>
      <c r="I182" s="137"/>
      <c r="J182" s="135"/>
      <c r="K182" s="135"/>
      <c r="L182" s="135"/>
      <c r="M182" s="135"/>
      <c r="N182" s="135"/>
      <c r="O182" s="135"/>
      <c r="P182" s="135"/>
      <c r="Q182" s="135"/>
      <c r="R182" s="135"/>
      <c r="S182" s="135"/>
      <c r="T182" s="135"/>
      <c r="U182" s="135"/>
      <c r="V182" s="135"/>
      <c r="W182" s="135"/>
      <c r="X182" s="135"/>
      <c r="Y182" s="135"/>
      <c r="Z182" s="135"/>
    </row>
    <row r="183" spans="1:26" ht="12.75">
      <c r="A183" s="136" t="s">
        <v>7</v>
      </c>
      <c r="B183" s="136" t="s">
        <v>7460</v>
      </c>
      <c r="C183" s="136" t="s">
        <v>7490</v>
      </c>
      <c r="D183" s="136" t="s">
        <v>7472</v>
      </c>
      <c r="E183" s="136" t="s">
        <v>615</v>
      </c>
      <c r="F183" s="136">
        <v>576</v>
      </c>
      <c r="G183" s="137">
        <f t="shared" si="0"/>
        <v>4</v>
      </c>
      <c r="H183" s="137"/>
      <c r="I183" s="137"/>
      <c r="J183" s="135"/>
      <c r="K183" s="135"/>
      <c r="L183" s="135"/>
      <c r="M183" s="135"/>
      <c r="N183" s="135"/>
      <c r="O183" s="135"/>
      <c r="P183" s="135"/>
      <c r="Q183" s="135"/>
      <c r="R183" s="135"/>
      <c r="S183" s="135"/>
      <c r="T183" s="135"/>
      <c r="U183" s="135"/>
      <c r="V183" s="135"/>
      <c r="W183" s="135"/>
      <c r="X183" s="135"/>
      <c r="Y183" s="135"/>
      <c r="Z183" s="135"/>
    </row>
    <row r="184" spans="1:26" ht="12.75">
      <c r="A184" s="136" t="s">
        <v>7</v>
      </c>
      <c r="B184" s="136" t="s">
        <v>7460</v>
      </c>
      <c r="C184" s="136" t="s">
        <v>7490</v>
      </c>
      <c r="D184" s="136" t="s">
        <v>139</v>
      </c>
      <c r="E184" s="136" t="s">
        <v>594</v>
      </c>
      <c r="F184" s="136">
        <v>473</v>
      </c>
      <c r="G184" s="137">
        <f t="shared" si="0"/>
        <v>5</v>
      </c>
      <c r="H184" s="137"/>
      <c r="I184" s="137"/>
      <c r="J184" s="135"/>
      <c r="K184" s="135"/>
      <c r="L184" s="135"/>
      <c r="M184" s="135"/>
      <c r="N184" s="135"/>
      <c r="O184" s="135"/>
      <c r="P184" s="135"/>
      <c r="Q184" s="135"/>
      <c r="R184" s="135"/>
      <c r="S184" s="135"/>
      <c r="T184" s="135"/>
      <c r="U184" s="135"/>
      <c r="V184" s="135"/>
      <c r="W184" s="135"/>
      <c r="X184" s="135"/>
      <c r="Y184" s="135"/>
      <c r="Z184" s="135"/>
    </row>
    <row r="185" spans="1:26" ht="12.75">
      <c r="A185" s="136" t="s">
        <v>7</v>
      </c>
      <c r="B185" s="136" t="s">
        <v>7460</v>
      </c>
      <c r="C185" s="136" t="s">
        <v>7490</v>
      </c>
      <c r="D185" s="136" t="s">
        <v>467</v>
      </c>
      <c r="E185" s="136" t="s">
        <v>85</v>
      </c>
      <c r="F185" s="136">
        <v>443</v>
      </c>
      <c r="G185" s="137">
        <f t="shared" si="0"/>
        <v>6</v>
      </c>
      <c r="H185" s="137"/>
      <c r="I185" s="137"/>
      <c r="J185" s="135"/>
      <c r="K185" s="135"/>
      <c r="L185" s="135"/>
      <c r="M185" s="135"/>
      <c r="N185" s="135"/>
      <c r="O185" s="135"/>
      <c r="P185" s="135"/>
      <c r="Q185" s="135"/>
      <c r="R185" s="135"/>
      <c r="S185" s="135"/>
      <c r="T185" s="135"/>
      <c r="U185" s="135"/>
      <c r="V185" s="135"/>
      <c r="W185" s="135"/>
      <c r="X185" s="135"/>
      <c r="Y185" s="135"/>
      <c r="Z185" s="135"/>
    </row>
    <row r="186" spans="1:26" ht="12.75">
      <c r="A186" s="136" t="s">
        <v>7</v>
      </c>
      <c r="B186" s="136" t="s">
        <v>7460</v>
      </c>
      <c r="C186" s="136" t="s">
        <v>7490</v>
      </c>
      <c r="D186" s="136" t="s">
        <v>1669</v>
      </c>
      <c r="E186" s="136" t="s">
        <v>615</v>
      </c>
      <c r="F186" s="136">
        <v>96</v>
      </c>
      <c r="G186" s="137">
        <f t="shared" si="0"/>
        <v>7</v>
      </c>
      <c r="H186" s="137"/>
      <c r="I186" s="137"/>
      <c r="J186" s="135"/>
      <c r="K186" s="135"/>
      <c r="L186" s="135"/>
      <c r="M186" s="135"/>
      <c r="N186" s="135"/>
      <c r="O186" s="135"/>
      <c r="P186" s="135"/>
      <c r="Q186" s="135"/>
      <c r="R186" s="135"/>
      <c r="S186" s="135"/>
      <c r="T186" s="135"/>
      <c r="U186" s="135"/>
      <c r="V186" s="135"/>
      <c r="W186" s="135"/>
      <c r="X186" s="135"/>
      <c r="Y186" s="135"/>
      <c r="Z186" s="135"/>
    </row>
    <row r="187" spans="1:26" ht="12.75">
      <c r="A187" s="136" t="s">
        <v>7</v>
      </c>
      <c r="B187" s="136" t="s">
        <v>7460</v>
      </c>
      <c r="C187" s="136" t="s">
        <v>7490</v>
      </c>
      <c r="D187" s="136" t="s">
        <v>1665</v>
      </c>
      <c r="E187" s="136" t="s">
        <v>615</v>
      </c>
      <c r="F187" s="136">
        <v>88</v>
      </c>
      <c r="G187" s="137">
        <f t="shared" si="0"/>
        <v>8</v>
      </c>
      <c r="H187" s="137"/>
      <c r="I187" s="137"/>
      <c r="J187" s="135"/>
      <c r="K187" s="135"/>
      <c r="L187" s="135"/>
      <c r="M187" s="135"/>
      <c r="N187" s="135"/>
      <c r="O187" s="135"/>
      <c r="P187" s="135"/>
      <c r="Q187" s="135"/>
      <c r="R187" s="135"/>
      <c r="S187" s="135"/>
      <c r="T187" s="135"/>
      <c r="U187" s="135"/>
      <c r="V187" s="135"/>
      <c r="W187" s="135"/>
      <c r="X187" s="135"/>
      <c r="Y187" s="135"/>
      <c r="Z187" s="135"/>
    </row>
    <row r="188" spans="1:26" ht="12.75">
      <c r="A188" s="136" t="s">
        <v>7</v>
      </c>
      <c r="B188" s="136" t="s">
        <v>7460</v>
      </c>
      <c r="C188" s="136" t="s">
        <v>7490</v>
      </c>
      <c r="D188" s="136" t="s">
        <v>98</v>
      </c>
      <c r="E188" s="136" t="s">
        <v>615</v>
      </c>
      <c r="F188" s="136">
        <v>67</v>
      </c>
      <c r="G188" s="137">
        <f t="shared" si="0"/>
        <v>9</v>
      </c>
      <c r="H188" s="137"/>
      <c r="I188" s="137"/>
      <c r="J188" s="135"/>
      <c r="K188" s="135"/>
      <c r="L188" s="135"/>
      <c r="M188" s="135"/>
      <c r="N188" s="135"/>
      <c r="O188" s="135"/>
      <c r="P188" s="135"/>
      <c r="Q188" s="135"/>
      <c r="R188" s="135"/>
      <c r="S188" s="135"/>
      <c r="T188" s="135"/>
      <c r="U188" s="135"/>
      <c r="V188" s="135"/>
      <c r="W188" s="135"/>
      <c r="X188" s="135"/>
      <c r="Y188" s="135"/>
      <c r="Z188" s="135"/>
    </row>
    <row r="189" spans="1:26" ht="12.75">
      <c r="A189" s="136" t="s">
        <v>7</v>
      </c>
      <c r="B189" s="136" t="s">
        <v>7460</v>
      </c>
      <c r="C189" s="136" t="s">
        <v>7490</v>
      </c>
      <c r="D189" s="136" t="s">
        <v>7475</v>
      </c>
      <c r="E189" s="136" t="s">
        <v>594</v>
      </c>
      <c r="F189" s="136">
        <v>38</v>
      </c>
      <c r="G189" s="137">
        <f t="shared" si="0"/>
        <v>10</v>
      </c>
      <c r="H189" s="137"/>
      <c r="I189" s="137"/>
      <c r="J189" s="135"/>
      <c r="K189" s="135"/>
      <c r="L189" s="135"/>
      <c r="M189" s="135"/>
      <c r="N189" s="135"/>
      <c r="O189" s="135"/>
      <c r="P189" s="135"/>
      <c r="Q189" s="135"/>
      <c r="R189" s="135"/>
      <c r="S189" s="135"/>
      <c r="T189" s="135"/>
      <c r="U189" s="135"/>
      <c r="V189" s="135"/>
      <c r="W189" s="135"/>
      <c r="X189" s="135"/>
      <c r="Y189" s="135"/>
      <c r="Z189" s="135"/>
    </row>
    <row r="190" spans="1:26" ht="12.75">
      <c r="A190" s="136" t="s">
        <v>7</v>
      </c>
      <c r="B190" s="136" t="s">
        <v>7460</v>
      </c>
      <c r="C190" s="136" t="s">
        <v>7490</v>
      </c>
      <c r="D190" s="136" t="s">
        <v>7478</v>
      </c>
      <c r="E190" s="136" t="s">
        <v>615</v>
      </c>
      <c r="F190" s="136">
        <v>28</v>
      </c>
      <c r="G190" s="137">
        <f t="shared" si="0"/>
        <v>11</v>
      </c>
      <c r="H190" s="137"/>
      <c r="I190" s="137"/>
      <c r="J190" s="135"/>
      <c r="K190" s="135"/>
      <c r="L190" s="135"/>
      <c r="M190" s="135"/>
      <c r="N190" s="135"/>
      <c r="O190" s="135"/>
      <c r="P190" s="135"/>
      <c r="Q190" s="135"/>
      <c r="R190" s="135"/>
      <c r="S190" s="135"/>
      <c r="T190" s="135"/>
      <c r="U190" s="135"/>
      <c r="V190" s="135"/>
      <c r="W190" s="135"/>
      <c r="X190" s="135"/>
      <c r="Y190" s="135"/>
      <c r="Z190" s="135"/>
    </row>
    <row r="191" spans="1:26" ht="12.75">
      <c r="A191" s="136" t="s">
        <v>7</v>
      </c>
      <c r="B191" s="136" t="s">
        <v>7460</v>
      </c>
      <c r="C191" s="136" t="s">
        <v>425</v>
      </c>
      <c r="D191" s="136" t="s">
        <v>139</v>
      </c>
      <c r="E191" s="136" t="s">
        <v>594</v>
      </c>
      <c r="F191" s="136">
        <v>1546</v>
      </c>
      <c r="G191" s="137">
        <f t="shared" si="0"/>
        <v>1</v>
      </c>
      <c r="H191" s="137"/>
      <c r="I191" s="137"/>
      <c r="J191" s="135"/>
      <c r="K191" s="135"/>
      <c r="L191" s="135"/>
      <c r="M191" s="135"/>
      <c r="N191" s="135"/>
      <c r="O191" s="135"/>
      <c r="P191" s="135"/>
      <c r="Q191" s="135"/>
      <c r="R191" s="135"/>
      <c r="S191" s="135"/>
      <c r="T191" s="135"/>
      <c r="U191" s="135"/>
      <c r="V191" s="135"/>
      <c r="W191" s="135"/>
      <c r="X191" s="135"/>
      <c r="Y191" s="135"/>
      <c r="Z191" s="135"/>
    </row>
    <row r="192" spans="1:26" ht="12.75">
      <c r="A192" s="136" t="s">
        <v>7</v>
      </c>
      <c r="B192" s="136" t="s">
        <v>7460</v>
      </c>
      <c r="C192" s="136" t="s">
        <v>425</v>
      </c>
      <c r="D192" s="136" t="s">
        <v>288</v>
      </c>
      <c r="E192" s="136" t="s">
        <v>615</v>
      </c>
      <c r="F192" s="136">
        <v>1394</v>
      </c>
      <c r="G192" s="137">
        <f t="shared" si="0"/>
        <v>2</v>
      </c>
      <c r="H192" s="137"/>
      <c r="I192" s="137"/>
      <c r="J192" s="135"/>
      <c r="K192" s="135"/>
      <c r="L192" s="135"/>
      <c r="M192" s="135"/>
      <c r="N192" s="135"/>
      <c r="O192" s="135"/>
      <c r="P192" s="135"/>
      <c r="Q192" s="135"/>
      <c r="R192" s="135"/>
      <c r="S192" s="135"/>
      <c r="T192" s="135"/>
      <c r="U192" s="135"/>
      <c r="V192" s="135"/>
      <c r="W192" s="135"/>
      <c r="X192" s="135"/>
      <c r="Y192" s="135"/>
      <c r="Z192" s="135"/>
    </row>
    <row r="193" spans="1:26" ht="12.75">
      <c r="A193" s="136" t="s">
        <v>7</v>
      </c>
      <c r="B193" s="136" t="s">
        <v>7460</v>
      </c>
      <c r="C193" s="136" t="s">
        <v>425</v>
      </c>
      <c r="D193" s="136" t="s">
        <v>7473</v>
      </c>
      <c r="E193" s="136" t="s">
        <v>615</v>
      </c>
      <c r="F193" s="136">
        <v>437</v>
      </c>
      <c r="G193" s="137">
        <f t="shared" si="0"/>
        <v>3</v>
      </c>
      <c r="H193" s="137"/>
      <c r="I193" s="137"/>
      <c r="J193" s="135"/>
      <c r="K193" s="135"/>
      <c r="L193" s="135"/>
      <c r="M193" s="135"/>
      <c r="N193" s="135"/>
      <c r="O193" s="135"/>
      <c r="P193" s="135"/>
      <c r="Q193" s="135"/>
      <c r="R193" s="135"/>
      <c r="S193" s="135"/>
      <c r="T193" s="135"/>
      <c r="U193" s="135"/>
      <c r="V193" s="135"/>
      <c r="W193" s="135"/>
      <c r="X193" s="135"/>
      <c r="Y193" s="135"/>
      <c r="Z193" s="135"/>
    </row>
    <row r="194" spans="1:26" ht="12.75">
      <c r="A194" s="136" t="s">
        <v>7</v>
      </c>
      <c r="B194" s="136" t="s">
        <v>7460</v>
      </c>
      <c r="C194" s="136" t="s">
        <v>425</v>
      </c>
      <c r="D194" s="136" t="s">
        <v>7463</v>
      </c>
      <c r="E194" s="136" t="s">
        <v>615</v>
      </c>
      <c r="F194" s="136">
        <v>34</v>
      </c>
      <c r="G194" s="137">
        <f t="shared" si="0"/>
        <v>4</v>
      </c>
      <c r="H194" s="137"/>
      <c r="I194" s="137"/>
      <c r="J194" s="135"/>
      <c r="K194" s="135"/>
      <c r="L194" s="135"/>
      <c r="M194" s="135"/>
      <c r="N194" s="135"/>
      <c r="O194" s="135"/>
      <c r="P194" s="135"/>
      <c r="Q194" s="135"/>
      <c r="R194" s="135"/>
      <c r="S194" s="135"/>
      <c r="T194" s="135"/>
      <c r="U194" s="135"/>
      <c r="V194" s="135"/>
      <c r="W194" s="135"/>
      <c r="X194" s="135"/>
      <c r="Y194" s="135"/>
      <c r="Z194" s="135"/>
    </row>
    <row r="195" spans="1:26" ht="12.75">
      <c r="A195" s="136" t="s">
        <v>7</v>
      </c>
      <c r="B195" s="136" t="s">
        <v>7460</v>
      </c>
      <c r="C195" s="136" t="s">
        <v>425</v>
      </c>
      <c r="D195" s="136" t="s">
        <v>1669</v>
      </c>
      <c r="E195" s="136" t="s">
        <v>615</v>
      </c>
      <c r="F195" s="136">
        <v>29</v>
      </c>
      <c r="G195" s="137">
        <f t="shared" si="0"/>
        <v>5</v>
      </c>
      <c r="H195" s="137"/>
      <c r="I195" s="137"/>
      <c r="J195" s="135"/>
      <c r="K195" s="135"/>
      <c r="L195" s="135"/>
      <c r="M195" s="135"/>
      <c r="N195" s="135"/>
      <c r="O195" s="135"/>
      <c r="P195" s="135"/>
      <c r="Q195" s="135"/>
      <c r="R195" s="135"/>
      <c r="S195" s="135"/>
      <c r="T195" s="135"/>
      <c r="U195" s="135"/>
      <c r="V195" s="135"/>
      <c r="W195" s="135"/>
      <c r="X195" s="135"/>
      <c r="Y195" s="135"/>
      <c r="Z195" s="135"/>
    </row>
    <row r="196" spans="1:26" ht="12.75">
      <c r="A196" s="136" t="s">
        <v>7</v>
      </c>
      <c r="B196" s="136" t="s">
        <v>7460</v>
      </c>
      <c r="C196" s="136" t="s">
        <v>425</v>
      </c>
      <c r="D196" s="136" t="s">
        <v>114</v>
      </c>
      <c r="E196" s="136" t="s">
        <v>85</v>
      </c>
      <c r="F196" s="136">
        <v>28</v>
      </c>
      <c r="G196" s="137">
        <f t="shared" si="0"/>
        <v>6</v>
      </c>
      <c r="H196" s="137"/>
      <c r="I196" s="137"/>
      <c r="J196" s="135"/>
      <c r="K196" s="135"/>
      <c r="L196" s="135"/>
      <c r="M196" s="135"/>
      <c r="N196" s="135"/>
      <c r="O196" s="135"/>
      <c r="P196" s="135"/>
      <c r="Q196" s="135"/>
      <c r="R196" s="135"/>
      <c r="S196" s="135"/>
      <c r="T196" s="135"/>
      <c r="U196" s="135"/>
      <c r="V196" s="135"/>
      <c r="W196" s="135"/>
      <c r="X196" s="135"/>
      <c r="Y196" s="135"/>
      <c r="Z196" s="135"/>
    </row>
    <row r="197" spans="1:26" ht="12.75">
      <c r="A197" s="136" t="s">
        <v>7</v>
      </c>
      <c r="B197" s="136" t="s">
        <v>7460</v>
      </c>
      <c r="C197" s="136" t="s">
        <v>425</v>
      </c>
      <c r="D197" s="136" t="s">
        <v>1665</v>
      </c>
      <c r="E197" s="136" t="s">
        <v>615</v>
      </c>
      <c r="F197" s="136">
        <v>24</v>
      </c>
      <c r="G197" s="137">
        <f t="shared" si="0"/>
        <v>7</v>
      </c>
      <c r="H197" s="137"/>
      <c r="I197" s="137"/>
      <c r="J197" s="135"/>
      <c r="K197" s="135"/>
      <c r="L197" s="135"/>
      <c r="M197" s="135"/>
      <c r="N197" s="135"/>
      <c r="O197" s="135"/>
      <c r="P197" s="135"/>
      <c r="Q197" s="135"/>
      <c r="R197" s="135"/>
      <c r="S197" s="135"/>
      <c r="T197" s="135"/>
      <c r="U197" s="135"/>
      <c r="V197" s="135"/>
      <c r="W197" s="135"/>
      <c r="X197" s="135"/>
      <c r="Y197" s="135"/>
      <c r="Z197" s="135"/>
    </row>
    <row r="198" spans="1:26" ht="12.75">
      <c r="A198" s="136" t="s">
        <v>7</v>
      </c>
      <c r="B198" s="136" t="s">
        <v>7460</v>
      </c>
      <c r="C198" s="136" t="s">
        <v>425</v>
      </c>
      <c r="D198" s="136" t="s">
        <v>154</v>
      </c>
      <c r="E198" s="136" t="s">
        <v>615</v>
      </c>
      <c r="F198" s="136">
        <v>14</v>
      </c>
      <c r="G198" s="137">
        <f t="shared" si="0"/>
        <v>8</v>
      </c>
      <c r="H198" s="137"/>
      <c r="I198" s="137"/>
      <c r="J198" s="135"/>
      <c r="K198" s="135"/>
      <c r="L198" s="135"/>
      <c r="M198" s="135"/>
      <c r="N198" s="135"/>
      <c r="O198" s="135"/>
      <c r="P198" s="135"/>
      <c r="Q198" s="135"/>
      <c r="R198" s="135"/>
      <c r="S198" s="135"/>
      <c r="T198" s="135"/>
      <c r="U198" s="135"/>
      <c r="V198" s="135"/>
      <c r="W198" s="135"/>
      <c r="X198" s="135"/>
      <c r="Y198" s="135"/>
      <c r="Z198" s="135"/>
    </row>
    <row r="199" spans="1:26" ht="12.75">
      <c r="A199" s="136" t="s">
        <v>7</v>
      </c>
      <c r="B199" s="136" t="s">
        <v>7460</v>
      </c>
      <c r="C199" s="136" t="s">
        <v>425</v>
      </c>
      <c r="D199" s="136" t="s">
        <v>7478</v>
      </c>
      <c r="E199" s="136" t="s">
        <v>615</v>
      </c>
      <c r="F199" s="136">
        <v>14</v>
      </c>
      <c r="G199" s="137">
        <f t="shared" si="0"/>
        <v>9</v>
      </c>
      <c r="H199" s="137"/>
      <c r="I199" s="137"/>
      <c r="J199" s="135"/>
      <c r="K199" s="135"/>
      <c r="L199" s="135"/>
      <c r="M199" s="135"/>
      <c r="N199" s="135"/>
      <c r="O199" s="135"/>
      <c r="P199" s="135"/>
      <c r="Q199" s="135"/>
      <c r="R199" s="135"/>
      <c r="S199" s="135"/>
      <c r="T199" s="135"/>
      <c r="U199" s="135"/>
      <c r="V199" s="135"/>
      <c r="W199" s="135"/>
      <c r="X199" s="135"/>
      <c r="Y199" s="135"/>
      <c r="Z199" s="135"/>
    </row>
    <row r="200" spans="1:26" ht="12.75">
      <c r="A200" s="136" t="s">
        <v>7</v>
      </c>
      <c r="B200" s="136" t="s">
        <v>7460</v>
      </c>
      <c r="C200" s="136" t="s">
        <v>7492</v>
      </c>
      <c r="D200" s="136" t="s">
        <v>7472</v>
      </c>
      <c r="E200" s="136" t="s">
        <v>615</v>
      </c>
      <c r="F200" s="136">
        <v>1338</v>
      </c>
      <c r="G200" s="137">
        <f t="shared" si="0"/>
        <v>1</v>
      </c>
      <c r="H200" s="137"/>
      <c r="I200" s="137"/>
      <c r="J200" s="135"/>
      <c r="K200" s="135"/>
      <c r="L200" s="135"/>
      <c r="M200" s="135"/>
      <c r="N200" s="135"/>
      <c r="O200" s="135"/>
      <c r="P200" s="135"/>
      <c r="Q200" s="135"/>
      <c r="R200" s="135"/>
      <c r="S200" s="135"/>
      <c r="T200" s="135"/>
      <c r="U200" s="135"/>
      <c r="V200" s="135"/>
      <c r="W200" s="135"/>
      <c r="X200" s="135"/>
      <c r="Y200" s="135"/>
      <c r="Z200" s="135"/>
    </row>
    <row r="201" spans="1:26" ht="12.75">
      <c r="A201" s="136" t="s">
        <v>7</v>
      </c>
      <c r="B201" s="136" t="s">
        <v>7460</v>
      </c>
      <c r="C201" s="136" t="s">
        <v>7492</v>
      </c>
      <c r="D201" s="136" t="s">
        <v>114</v>
      </c>
      <c r="E201" s="136" t="s">
        <v>85</v>
      </c>
      <c r="F201" s="136">
        <v>330</v>
      </c>
      <c r="G201" s="137">
        <f t="shared" si="0"/>
        <v>2</v>
      </c>
      <c r="H201" s="137"/>
      <c r="I201" s="137"/>
      <c r="J201" s="135"/>
      <c r="K201" s="135"/>
      <c r="L201" s="135"/>
      <c r="M201" s="135"/>
      <c r="N201" s="135"/>
      <c r="O201" s="135"/>
      <c r="P201" s="135"/>
      <c r="Q201" s="135"/>
      <c r="R201" s="135"/>
      <c r="S201" s="135"/>
      <c r="T201" s="135"/>
      <c r="U201" s="135"/>
      <c r="V201" s="135"/>
      <c r="W201" s="135"/>
      <c r="X201" s="135"/>
      <c r="Y201" s="135"/>
      <c r="Z201" s="135"/>
    </row>
    <row r="202" spans="1:26" ht="12.75">
      <c r="A202" s="136" t="s">
        <v>7</v>
      </c>
      <c r="B202" s="136" t="s">
        <v>7460</v>
      </c>
      <c r="C202" s="136" t="s">
        <v>7492</v>
      </c>
      <c r="D202" s="136" t="s">
        <v>139</v>
      </c>
      <c r="E202" s="136" t="s">
        <v>594</v>
      </c>
      <c r="F202" s="136">
        <v>304</v>
      </c>
      <c r="G202" s="137">
        <f t="shared" si="0"/>
        <v>3</v>
      </c>
      <c r="H202" s="137"/>
      <c r="I202" s="137"/>
      <c r="J202" s="135"/>
      <c r="K202" s="135"/>
      <c r="L202" s="135"/>
      <c r="M202" s="135"/>
      <c r="N202" s="135"/>
      <c r="O202" s="135"/>
      <c r="P202" s="135"/>
      <c r="Q202" s="135"/>
      <c r="R202" s="135"/>
      <c r="S202" s="135"/>
      <c r="T202" s="135"/>
      <c r="U202" s="135"/>
      <c r="V202" s="135"/>
      <c r="W202" s="135"/>
      <c r="X202" s="135"/>
      <c r="Y202" s="135"/>
      <c r="Z202" s="135"/>
    </row>
    <row r="203" spans="1:26" ht="12.75">
      <c r="A203" s="136" t="s">
        <v>7</v>
      </c>
      <c r="B203" s="136" t="s">
        <v>7460</v>
      </c>
      <c r="C203" s="136" t="s">
        <v>7492</v>
      </c>
      <c r="D203" s="136" t="s">
        <v>7473</v>
      </c>
      <c r="E203" s="136" t="s">
        <v>615</v>
      </c>
      <c r="F203" s="136">
        <v>90</v>
      </c>
      <c r="G203" s="137">
        <f t="shared" si="0"/>
        <v>4</v>
      </c>
      <c r="H203" s="137"/>
      <c r="I203" s="137"/>
      <c r="J203" s="135"/>
      <c r="K203" s="135"/>
      <c r="L203" s="135"/>
      <c r="M203" s="135"/>
      <c r="N203" s="135"/>
      <c r="O203" s="135"/>
      <c r="P203" s="135"/>
      <c r="Q203" s="135"/>
      <c r="R203" s="135"/>
      <c r="S203" s="135"/>
      <c r="T203" s="135"/>
      <c r="U203" s="135"/>
      <c r="V203" s="135"/>
      <c r="W203" s="135"/>
      <c r="X203" s="135"/>
      <c r="Y203" s="135"/>
      <c r="Z203" s="135"/>
    </row>
    <row r="204" spans="1:26" ht="12.75">
      <c r="A204" s="136" t="s">
        <v>7</v>
      </c>
      <c r="B204" s="136" t="s">
        <v>7460</v>
      </c>
      <c r="C204" s="136" t="s">
        <v>7492</v>
      </c>
      <c r="D204" s="136" t="s">
        <v>467</v>
      </c>
      <c r="E204" s="136" t="s">
        <v>85</v>
      </c>
      <c r="F204" s="136">
        <v>56</v>
      </c>
      <c r="G204" s="137">
        <f t="shared" si="0"/>
        <v>5</v>
      </c>
      <c r="H204" s="137"/>
      <c r="I204" s="137"/>
      <c r="J204" s="135"/>
      <c r="K204" s="135"/>
      <c r="L204" s="135"/>
      <c r="M204" s="135"/>
      <c r="N204" s="135"/>
      <c r="O204" s="135"/>
      <c r="P204" s="135"/>
      <c r="Q204" s="135"/>
      <c r="R204" s="135"/>
      <c r="S204" s="135"/>
      <c r="T204" s="135"/>
      <c r="U204" s="135"/>
      <c r="V204" s="135"/>
      <c r="W204" s="135"/>
      <c r="X204" s="135"/>
      <c r="Y204" s="135"/>
      <c r="Z204" s="135"/>
    </row>
    <row r="205" spans="1:26" ht="12.75">
      <c r="A205" s="136" t="s">
        <v>7</v>
      </c>
      <c r="B205" s="136" t="s">
        <v>7460</v>
      </c>
      <c r="C205" s="136" t="s">
        <v>7492</v>
      </c>
      <c r="D205" s="136" t="s">
        <v>7478</v>
      </c>
      <c r="E205" s="136" t="s">
        <v>615</v>
      </c>
      <c r="F205" s="136">
        <v>35</v>
      </c>
      <c r="G205" s="137">
        <f t="shared" si="0"/>
        <v>6</v>
      </c>
      <c r="H205" s="137"/>
      <c r="I205" s="137"/>
      <c r="J205" s="135"/>
      <c r="K205" s="135"/>
      <c r="L205" s="135"/>
      <c r="M205" s="135"/>
      <c r="N205" s="135"/>
      <c r="O205" s="135"/>
      <c r="P205" s="135"/>
      <c r="Q205" s="135"/>
      <c r="R205" s="135"/>
      <c r="S205" s="135"/>
      <c r="T205" s="135"/>
      <c r="U205" s="135"/>
      <c r="V205" s="135"/>
      <c r="W205" s="135"/>
      <c r="X205" s="135"/>
      <c r="Y205" s="135"/>
      <c r="Z205" s="135"/>
    </row>
    <row r="206" spans="1:26" ht="12.75">
      <c r="A206" s="136" t="s">
        <v>7</v>
      </c>
      <c r="B206" s="136" t="s">
        <v>7460</v>
      </c>
      <c r="C206" s="136" t="s">
        <v>7492</v>
      </c>
      <c r="D206" s="136" t="s">
        <v>1665</v>
      </c>
      <c r="E206" s="136" t="s">
        <v>615</v>
      </c>
      <c r="F206" s="136">
        <v>20</v>
      </c>
      <c r="G206" s="137">
        <f t="shared" si="0"/>
        <v>7</v>
      </c>
      <c r="H206" s="137"/>
      <c r="I206" s="137"/>
      <c r="J206" s="135"/>
      <c r="K206" s="135"/>
      <c r="L206" s="135"/>
      <c r="M206" s="135"/>
      <c r="N206" s="135"/>
      <c r="O206" s="135"/>
      <c r="P206" s="135"/>
      <c r="Q206" s="135"/>
      <c r="R206" s="135"/>
      <c r="S206" s="135"/>
      <c r="T206" s="135"/>
      <c r="U206" s="135"/>
      <c r="V206" s="135"/>
      <c r="W206" s="135"/>
      <c r="X206" s="135"/>
      <c r="Y206" s="135"/>
      <c r="Z206" s="135"/>
    </row>
    <row r="207" spans="1:26" ht="12.75">
      <c r="A207" s="136" t="s">
        <v>7</v>
      </c>
      <c r="B207" s="136" t="s">
        <v>7460</v>
      </c>
      <c r="C207" s="136" t="s">
        <v>7492</v>
      </c>
      <c r="D207" s="136" t="s">
        <v>1669</v>
      </c>
      <c r="E207" s="136" t="s">
        <v>615</v>
      </c>
      <c r="F207" s="136">
        <v>18</v>
      </c>
      <c r="G207" s="137">
        <f t="shared" si="0"/>
        <v>8</v>
      </c>
      <c r="H207" s="137"/>
      <c r="I207" s="137"/>
      <c r="J207" s="135"/>
      <c r="K207" s="135"/>
      <c r="L207" s="135"/>
      <c r="M207" s="135"/>
      <c r="N207" s="135"/>
      <c r="O207" s="135"/>
      <c r="P207" s="135"/>
      <c r="Q207" s="135"/>
      <c r="R207" s="135"/>
      <c r="S207" s="135"/>
      <c r="T207" s="135"/>
      <c r="U207" s="135"/>
      <c r="V207" s="135"/>
      <c r="W207" s="135"/>
      <c r="X207" s="135"/>
      <c r="Y207" s="135"/>
      <c r="Z207" s="135"/>
    </row>
    <row r="208" spans="1:26" ht="12.75">
      <c r="A208" s="136" t="s">
        <v>7</v>
      </c>
      <c r="B208" s="136" t="s">
        <v>7460</v>
      </c>
      <c r="C208" s="136" t="s">
        <v>7492</v>
      </c>
      <c r="D208" s="136" t="s">
        <v>136</v>
      </c>
      <c r="E208" s="136" t="s">
        <v>615</v>
      </c>
      <c r="F208" s="136">
        <v>9</v>
      </c>
      <c r="G208" s="137">
        <f t="shared" si="0"/>
        <v>9</v>
      </c>
      <c r="H208" s="137"/>
      <c r="I208" s="137"/>
      <c r="J208" s="135"/>
      <c r="K208" s="135"/>
      <c r="L208" s="135"/>
      <c r="M208" s="135"/>
      <c r="N208" s="135"/>
      <c r="O208" s="135"/>
      <c r="P208" s="135"/>
      <c r="Q208" s="135"/>
      <c r="R208" s="135"/>
      <c r="S208" s="135"/>
      <c r="T208" s="135"/>
      <c r="U208" s="135"/>
      <c r="V208" s="135"/>
      <c r="W208" s="135"/>
      <c r="X208" s="135"/>
      <c r="Y208" s="135"/>
      <c r="Z208" s="135"/>
    </row>
    <row r="209" spans="1:26" ht="12.75">
      <c r="A209" s="136" t="s">
        <v>7</v>
      </c>
      <c r="B209" s="136" t="s">
        <v>7460</v>
      </c>
      <c r="C209" s="136" t="s">
        <v>7492</v>
      </c>
      <c r="D209" s="136" t="s">
        <v>7463</v>
      </c>
      <c r="E209" s="136" t="s">
        <v>615</v>
      </c>
      <c r="F209" s="136">
        <v>8</v>
      </c>
      <c r="G209" s="137">
        <f t="shared" si="0"/>
        <v>10</v>
      </c>
      <c r="H209" s="137"/>
      <c r="I209" s="137"/>
      <c r="J209" s="135"/>
      <c r="K209" s="135"/>
      <c r="L209" s="135"/>
      <c r="M209" s="135"/>
      <c r="N209" s="135"/>
      <c r="O209" s="135"/>
      <c r="P209" s="135"/>
      <c r="Q209" s="135"/>
      <c r="R209" s="135"/>
      <c r="S209" s="135"/>
      <c r="T209" s="135"/>
      <c r="U209" s="135"/>
      <c r="V209" s="135"/>
      <c r="W209" s="135"/>
      <c r="X209" s="135"/>
      <c r="Y209" s="135"/>
      <c r="Z209" s="135"/>
    </row>
    <row r="210" spans="1:26" ht="12.75">
      <c r="A210" s="136" t="s">
        <v>7</v>
      </c>
      <c r="B210" s="136" t="s">
        <v>671</v>
      </c>
      <c r="C210" s="136" t="s">
        <v>7493</v>
      </c>
      <c r="D210" s="136" t="s">
        <v>7463</v>
      </c>
      <c r="E210" s="136" t="s">
        <v>615</v>
      </c>
      <c r="F210" s="136">
        <v>2695</v>
      </c>
      <c r="G210" s="137">
        <f t="shared" si="0"/>
        <v>1</v>
      </c>
      <c r="H210" s="137"/>
      <c r="I210" s="137"/>
      <c r="J210" s="135"/>
      <c r="K210" s="135"/>
      <c r="L210" s="135"/>
      <c r="M210" s="135"/>
      <c r="N210" s="135"/>
      <c r="O210" s="135"/>
      <c r="P210" s="135"/>
      <c r="Q210" s="135"/>
      <c r="R210" s="135"/>
      <c r="S210" s="135"/>
      <c r="T210" s="135"/>
      <c r="U210" s="135"/>
      <c r="V210" s="135"/>
      <c r="W210" s="135"/>
      <c r="X210" s="135"/>
      <c r="Y210" s="135"/>
      <c r="Z210" s="135"/>
    </row>
    <row r="211" spans="1:26" ht="12.75">
      <c r="A211" s="136" t="s">
        <v>7</v>
      </c>
      <c r="B211" s="136" t="s">
        <v>671</v>
      </c>
      <c r="C211" s="136" t="s">
        <v>7493</v>
      </c>
      <c r="D211" s="136" t="s">
        <v>114</v>
      </c>
      <c r="E211" s="136" t="s">
        <v>85</v>
      </c>
      <c r="F211" s="136">
        <v>879</v>
      </c>
      <c r="G211" s="137">
        <f t="shared" si="0"/>
        <v>3</v>
      </c>
      <c r="H211" s="137"/>
      <c r="I211" s="137"/>
      <c r="J211" s="135"/>
      <c r="K211" s="135"/>
      <c r="L211" s="135"/>
      <c r="M211" s="135"/>
      <c r="N211" s="135"/>
      <c r="O211" s="135"/>
      <c r="P211" s="135"/>
      <c r="Q211" s="135"/>
      <c r="R211" s="135"/>
      <c r="S211" s="135"/>
      <c r="T211" s="135"/>
      <c r="U211" s="135"/>
      <c r="V211" s="135"/>
      <c r="W211" s="135"/>
      <c r="X211" s="135"/>
      <c r="Y211" s="135"/>
      <c r="Z211" s="135"/>
    </row>
    <row r="212" spans="1:26" ht="12.75">
      <c r="A212" s="136" t="s">
        <v>7</v>
      </c>
      <c r="B212" s="136" t="s">
        <v>671</v>
      </c>
      <c r="C212" s="136" t="s">
        <v>7493</v>
      </c>
      <c r="D212" s="136" t="s">
        <v>467</v>
      </c>
      <c r="E212" s="136" t="s">
        <v>85</v>
      </c>
      <c r="F212" s="136">
        <v>172</v>
      </c>
      <c r="G212" s="137">
        <f t="shared" si="0"/>
        <v>7</v>
      </c>
      <c r="H212" s="137"/>
      <c r="I212" s="137"/>
      <c r="J212" s="135"/>
      <c r="K212" s="135"/>
      <c r="L212" s="135"/>
      <c r="M212" s="135"/>
      <c r="N212" s="135"/>
      <c r="O212" s="135"/>
      <c r="P212" s="135"/>
      <c r="Q212" s="135"/>
      <c r="R212" s="135"/>
      <c r="S212" s="135"/>
      <c r="T212" s="135"/>
      <c r="U212" s="135"/>
      <c r="V212" s="135"/>
      <c r="W212" s="135"/>
      <c r="X212" s="135"/>
      <c r="Y212" s="135"/>
      <c r="Z212" s="135"/>
    </row>
    <row r="213" spans="1:26" ht="12.75">
      <c r="A213" s="136" t="s">
        <v>7</v>
      </c>
      <c r="B213" s="136" t="s">
        <v>671</v>
      </c>
      <c r="C213" s="136" t="s">
        <v>7493</v>
      </c>
      <c r="D213" s="136" t="s">
        <v>7494</v>
      </c>
      <c r="E213" s="136" t="s">
        <v>86</v>
      </c>
      <c r="F213" s="136">
        <v>34</v>
      </c>
      <c r="G213" s="137">
        <f t="shared" si="0"/>
        <v>9</v>
      </c>
      <c r="H213" s="137"/>
      <c r="I213" s="137"/>
      <c r="J213" s="135"/>
      <c r="K213" s="135"/>
      <c r="L213" s="135"/>
      <c r="M213" s="135"/>
      <c r="N213" s="135"/>
      <c r="O213" s="135"/>
      <c r="P213" s="135"/>
      <c r="Q213" s="135"/>
      <c r="R213" s="135"/>
      <c r="S213" s="135"/>
      <c r="T213" s="135"/>
      <c r="U213" s="135"/>
      <c r="V213" s="135"/>
      <c r="W213" s="135"/>
      <c r="X213" s="135"/>
      <c r="Y213" s="135"/>
      <c r="Z213" s="135"/>
    </row>
    <row r="214" spans="1:26" ht="12.75">
      <c r="A214" s="136" t="s">
        <v>7</v>
      </c>
      <c r="B214" s="136" t="s">
        <v>671</v>
      </c>
      <c r="C214" s="136" t="s">
        <v>7493</v>
      </c>
      <c r="D214" s="136" t="s">
        <v>139</v>
      </c>
      <c r="E214" s="136" t="s">
        <v>594</v>
      </c>
      <c r="F214" s="136">
        <v>33</v>
      </c>
      <c r="G214" s="137">
        <f t="shared" si="0"/>
        <v>10</v>
      </c>
      <c r="H214" s="137"/>
      <c r="I214" s="137"/>
      <c r="J214" s="135"/>
      <c r="K214" s="135"/>
      <c r="L214" s="135"/>
      <c r="M214" s="135"/>
      <c r="N214" s="135"/>
      <c r="O214" s="135"/>
      <c r="P214" s="135"/>
      <c r="Q214" s="135"/>
      <c r="R214" s="135"/>
      <c r="S214" s="135"/>
      <c r="T214" s="135"/>
      <c r="U214" s="135"/>
      <c r="V214" s="135"/>
      <c r="W214" s="135"/>
      <c r="X214" s="135"/>
      <c r="Y214" s="135"/>
      <c r="Z214" s="135"/>
    </row>
    <row r="215" spans="1:26" ht="12.75">
      <c r="A215" s="136" t="s">
        <v>7</v>
      </c>
      <c r="B215" s="136" t="s">
        <v>671</v>
      </c>
      <c r="C215" s="136" t="s">
        <v>7493</v>
      </c>
      <c r="D215" s="136" t="s">
        <v>7475</v>
      </c>
      <c r="E215" s="136" t="s">
        <v>594</v>
      </c>
      <c r="F215" s="136">
        <v>9</v>
      </c>
      <c r="G215" s="137">
        <f t="shared" si="0"/>
        <v>13</v>
      </c>
      <c r="H215" s="137"/>
      <c r="I215" s="137"/>
      <c r="J215" s="135"/>
      <c r="K215" s="135"/>
      <c r="L215" s="135"/>
      <c r="M215" s="135"/>
      <c r="N215" s="135"/>
      <c r="O215" s="135"/>
      <c r="P215" s="135"/>
      <c r="Q215" s="135"/>
      <c r="R215" s="135"/>
      <c r="S215" s="135"/>
      <c r="T215" s="135"/>
      <c r="U215" s="135"/>
      <c r="V215" s="135"/>
      <c r="W215" s="135"/>
      <c r="X215" s="135"/>
      <c r="Y215" s="135"/>
      <c r="Z215" s="135"/>
    </row>
    <row r="216" spans="1:26" ht="12.75">
      <c r="A216" s="136" t="s">
        <v>7</v>
      </c>
      <c r="B216" s="136" t="s">
        <v>671</v>
      </c>
      <c r="C216" s="136" t="s">
        <v>7493</v>
      </c>
      <c r="D216" s="136" t="s">
        <v>1626</v>
      </c>
      <c r="E216" s="136" t="s">
        <v>594</v>
      </c>
      <c r="F216" s="136">
        <v>6</v>
      </c>
      <c r="G216" s="137">
        <f t="shared" si="0"/>
        <v>14</v>
      </c>
      <c r="H216" s="137"/>
      <c r="I216" s="137"/>
      <c r="J216" s="135"/>
      <c r="K216" s="135"/>
      <c r="L216" s="135"/>
      <c r="M216" s="135"/>
      <c r="N216" s="135"/>
      <c r="O216" s="135"/>
      <c r="P216" s="135"/>
      <c r="Q216" s="135"/>
      <c r="R216" s="135"/>
      <c r="S216" s="135"/>
      <c r="T216" s="135"/>
      <c r="U216" s="135"/>
      <c r="V216" s="135"/>
      <c r="W216" s="135"/>
      <c r="X216" s="135"/>
      <c r="Y216" s="135"/>
      <c r="Z216" s="135"/>
    </row>
    <row r="217" spans="1:26" ht="12.75">
      <c r="A217" s="136" t="s">
        <v>7</v>
      </c>
      <c r="B217" s="136" t="s">
        <v>671</v>
      </c>
      <c r="C217" s="136" t="s">
        <v>672</v>
      </c>
      <c r="D217" s="136" t="s">
        <v>98</v>
      </c>
      <c r="E217" s="136" t="s">
        <v>615</v>
      </c>
      <c r="F217" s="136">
        <v>2739</v>
      </c>
      <c r="G217" s="137">
        <f t="shared" si="0"/>
        <v>1</v>
      </c>
      <c r="H217" s="137"/>
      <c r="I217" s="137"/>
      <c r="J217" s="135"/>
      <c r="K217" s="135"/>
      <c r="L217" s="135"/>
      <c r="M217" s="135"/>
      <c r="N217" s="135"/>
      <c r="O217" s="135"/>
      <c r="P217" s="135"/>
      <c r="Q217" s="135"/>
      <c r="R217" s="135"/>
      <c r="S217" s="135"/>
      <c r="T217" s="135"/>
      <c r="U217" s="135"/>
      <c r="V217" s="135"/>
      <c r="W217" s="135"/>
      <c r="X217" s="135"/>
      <c r="Y217" s="135"/>
      <c r="Z217" s="135"/>
    </row>
    <row r="218" spans="1:26" ht="12.75">
      <c r="A218" s="136" t="s">
        <v>7</v>
      </c>
      <c r="B218" s="136" t="s">
        <v>671</v>
      </c>
      <c r="C218" s="136" t="s">
        <v>672</v>
      </c>
      <c r="D218" s="136" t="s">
        <v>114</v>
      </c>
      <c r="E218" s="136" t="s">
        <v>85</v>
      </c>
      <c r="F218" s="136">
        <v>1628</v>
      </c>
      <c r="G218" s="137">
        <f t="shared" si="0"/>
        <v>2</v>
      </c>
      <c r="H218" s="137"/>
      <c r="I218" s="137"/>
      <c r="J218" s="135"/>
      <c r="K218" s="135"/>
      <c r="L218" s="135"/>
      <c r="M218" s="135"/>
      <c r="N218" s="135"/>
      <c r="O218" s="135"/>
      <c r="P218" s="135"/>
      <c r="Q218" s="135"/>
      <c r="R218" s="135"/>
      <c r="S218" s="135"/>
      <c r="T218" s="135"/>
      <c r="U218" s="135"/>
      <c r="V218" s="135"/>
      <c r="W218" s="135"/>
      <c r="X218" s="135"/>
      <c r="Y218" s="135"/>
      <c r="Z218" s="135"/>
    </row>
    <row r="219" spans="1:26" ht="12.75">
      <c r="A219" s="136" t="s">
        <v>7</v>
      </c>
      <c r="B219" s="136" t="s">
        <v>671</v>
      </c>
      <c r="C219" s="136" t="s">
        <v>672</v>
      </c>
      <c r="D219" s="136" t="s">
        <v>7475</v>
      </c>
      <c r="E219" s="136" t="s">
        <v>594</v>
      </c>
      <c r="F219" s="136">
        <v>376</v>
      </c>
      <c r="G219" s="137">
        <f t="shared" si="0"/>
        <v>3</v>
      </c>
      <c r="H219" s="137"/>
      <c r="I219" s="137"/>
      <c r="J219" s="135"/>
      <c r="K219" s="135"/>
      <c r="L219" s="135"/>
      <c r="M219" s="135"/>
      <c r="N219" s="135"/>
      <c r="O219" s="135"/>
      <c r="P219" s="135"/>
      <c r="Q219" s="135"/>
      <c r="R219" s="135"/>
      <c r="S219" s="135"/>
      <c r="T219" s="135"/>
      <c r="U219" s="135"/>
      <c r="V219" s="135"/>
      <c r="W219" s="135"/>
      <c r="X219" s="135"/>
      <c r="Y219" s="135"/>
      <c r="Z219" s="135"/>
    </row>
    <row r="220" spans="1:26" ht="12.75">
      <c r="A220" s="136" t="s">
        <v>7</v>
      </c>
      <c r="B220" s="136" t="s">
        <v>671</v>
      </c>
      <c r="C220" s="136" t="s">
        <v>672</v>
      </c>
      <c r="D220" s="136" t="s">
        <v>139</v>
      </c>
      <c r="E220" s="136" t="s">
        <v>594</v>
      </c>
      <c r="F220" s="136">
        <v>75</v>
      </c>
      <c r="G220" s="137">
        <f t="shared" si="0"/>
        <v>4</v>
      </c>
      <c r="H220" s="137"/>
      <c r="I220" s="137"/>
      <c r="J220" s="135"/>
      <c r="K220" s="135"/>
      <c r="L220" s="135"/>
      <c r="M220" s="135"/>
      <c r="N220" s="135"/>
      <c r="O220" s="135"/>
      <c r="P220" s="135"/>
      <c r="Q220" s="135"/>
      <c r="R220" s="135"/>
      <c r="S220" s="135"/>
      <c r="T220" s="135"/>
      <c r="U220" s="135"/>
      <c r="V220" s="135"/>
      <c r="W220" s="135"/>
      <c r="X220" s="135"/>
      <c r="Y220" s="135"/>
      <c r="Z220" s="135"/>
    </row>
    <row r="221" spans="1:26" ht="12.75">
      <c r="A221" s="136" t="s">
        <v>7</v>
      </c>
      <c r="B221" s="136" t="s">
        <v>671</v>
      </c>
      <c r="C221" s="136" t="s">
        <v>672</v>
      </c>
      <c r="D221" s="136" t="s">
        <v>467</v>
      </c>
      <c r="E221" s="136" t="s">
        <v>85</v>
      </c>
      <c r="F221" s="136">
        <v>70</v>
      </c>
      <c r="G221" s="137">
        <f t="shared" si="0"/>
        <v>5</v>
      </c>
      <c r="H221" s="137"/>
      <c r="I221" s="137"/>
      <c r="J221" s="135"/>
      <c r="K221" s="135"/>
      <c r="L221" s="135"/>
      <c r="M221" s="135"/>
      <c r="N221" s="135"/>
      <c r="O221" s="135"/>
      <c r="P221" s="135"/>
      <c r="Q221" s="135"/>
      <c r="R221" s="135"/>
      <c r="S221" s="135"/>
      <c r="T221" s="135"/>
      <c r="U221" s="135"/>
      <c r="V221" s="135"/>
      <c r="W221" s="135"/>
      <c r="X221" s="135"/>
      <c r="Y221" s="135"/>
      <c r="Z221" s="135"/>
    </row>
    <row r="222" spans="1:26" ht="12.75">
      <c r="A222" s="136" t="s">
        <v>7</v>
      </c>
      <c r="B222" s="136" t="s">
        <v>671</v>
      </c>
      <c r="C222" s="136" t="s">
        <v>672</v>
      </c>
      <c r="D222" s="136" t="s">
        <v>7491</v>
      </c>
      <c r="E222" s="136" t="s">
        <v>615</v>
      </c>
      <c r="F222" s="136">
        <v>37</v>
      </c>
      <c r="G222" s="137">
        <f t="shared" si="0"/>
        <v>6</v>
      </c>
      <c r="H222" s="137"/>
      <c r="I222" s="137"/>
      <c r="J222" s="135"/>
      <c r="K222" s="135"/>
      <c r="L222" s="135"/>
      <c r="M222" s="135"/>
      <c r="N222" s="135"/>
      <c r="O222" s="135"/>
      <c r="P222" s="135"/>
      <c r="Q222" s="135"/>
      <c r="R222" s="135"/>
      <c r="S222" s="135"/>
      <c r="T222" s="135"/>
      <c r="U222" s="135"/>
      <c r="V222" s="135"/>
      <c r="W222" s="135"/>
      <c r="X222" s="135"/>
      <c r="Y222" s="135"/>
      <c r="Z222" s="135"/>
    </row>
    <row r="223" spans="1:26" ht="12.75">
      <c r="A223" s="136" t="s">
        <v>7</v>
      </c>
      <c r="B223" s="136" t="s">
        <v>671</v>
      </c>
      <c r="C223" s="136" t="s">
        <v>672</v>
      </c>
      <c r="D223" s="136" t="s">
        <v>1626</v>
      </c>
      <c r="E223" s="136" t="s">
        <v>594</v>
      </c>
      <c r="F223" s="136">
        <v>22</v>
      </c>
      <c r="G223" s="137">
        <f t="shared" si="0"/>
        <v>7</v>
      </c>
      <c r="H223" s="137"/>
      <c r="I223" s="137"/>
      <c r="J223" s="135"/>
      <c r="K223" s="135"/>
      <c r="L223" s="135"/>
      <c r="M223" s="135"/>
      <c r="N223" s="135"/>
      <c r="O223" s="135"/>
      <c r="P223" s="135"/>
      <c r="Q223" s="135"/>
      <c r="R223" s="135"/>
      <c r="S223" s="135"/>
      <c r="T223" s="135"/>
      <c r="U223" s="135"/>
      <c r="V223" s="135"/>
      <c r="W223" s="135"/>
      <c r="X223" s="135"/>
      <c r="Y223" s="135"/>
      <c r="Z223" s="135"/>
    </row>
    <row r="224" spans="1:26" ht="12.75">
      <c r="A224" s="136" t="s">
        <v>7</v>
      </c>
      <c r="B224" s="136" t="s">
        <v>671</v>
      </c>
      <c r="C224" s="136" t="s">
        <v>672</v>
      </c>
      <c r="D224" s="136" t="s">
        <v>7478</v>
      </c>
      <c r="E224" s="136" t="s">
        <v>615</v>
      </c>
      <c r="F224" s="136">
        <v>21</v>
      </c>
      <c r="G224" s="137">
        <f t="shared" si="0"/>
        <v>8</v>
      </c>
      <c r="H224" s="137"/>
      <c r="I224" s="137"/>
      <c r="J224" s="135"/>
      <c r="K224" s="135"/>
      <c r="L224" s="135"/>
      <c r="M224" s="135"/>
      <c r="N224" s="135"/>
      <c r="O224" s="135"/>
      <c r="P224" s="135"/>
      <c r="Q224" s="135"/>
      <c r="R224" s="135"/>
      <c r="S224" s="135"/>
      <c r="T224" s="135"/>
      <c r="U224" s="135"/>
      <c r="V224" s="135"/>
      <c r="W224" s="135"/>
      <c r="X224" s="135"/>
      <c r="Y224" s="135"/>
      <c r="Z224" s="135"/>
    </row>
    <row r="225" spans="1:26" ht="12.75">
      <c r="A225" s="136" t="s">
        <v>7</v>
      </c>
      <c r="B225" s="136" t="s">
        <v>671</v>
      </c>
      <c r="C225" s="136" t="s">
        <v>672</v>
      </c>
      <c r="D225" s="136" t="s">
        <v>136</v>
      </c>
      <c r="E225" s="136" t="s">
        <v>615</v>
      </c>
      <c r="F225" s="136">
        <v>19</v>
      </c>
      <c r="G225" s="137">
        <f t="shared" si="0"/>
        <v>9</v>
      </c>
      <c r="H225" s="137"/>
      <c r="I225" s="137"/>
      <c r="J225" s="135"/>
      <c r="K225" s="135"/>
      <c r="L225" s="135"/>
      <c r="M225" s="135"/>
      <c r="N225" s="135"/>
      <c r="O225" s="135"/>
      <c r="P225" s="135"/>
      <c r="Q225" s="135"/>
      <c r="R225" s="135"/>
      <c r="S225" s="135"/>
      <c r="T225" s="135"/>
      <c r="U225" s="135"/>
      <c r="V225" s="135"/>
      <c r="W225" s="135"/>
      <c r="X225" s="135"/>
      <c r="Y225" s="135"/>
      <c r="Z225" s="135"/>
    </row>
    <row r="226" spans="1:26" ht="12.75">
      <c r="A226" s="136" t="s">
        <v>7</v>
      </c>
      <c r="B226" s="136" t="s">
        <v>671</v>
      </c>
      <c r="C226" s="136" t="s">
        <v>672</v>
      </c>
      <c r="D226" s="136" t="s">
        <v>1665</v>
      </c>
      <c r="E226" s="136" t="s">
        <v>615</v>
      </c>
      <c r="F226" s="136">
        <v>16</v>
      </c>
      <c r="G226" s="137">
        <f t="shared" si="0"/>
        <v>10</v>
      </c>
      <c r="H226" s="137"/>
      <c r="I226" s="137"/>
      <c r="J226" s="135"/>
      <c r="K226" s="135"/>
      <c r="L226" s="135"/>
      <c r="M226" s="135"/>
      <c r="N226" s="135"/>
      <c r="O226" s="135"/>
      <c r="P226" s="135"/>
      <c r="Q226" s="135"/>
      <c r="R226" s="135"/>
      <c r="S226" s="135"/>
      <c r="T226" s="135"/>
      <c r="U226" s="135"/>
      <c r="V226" s="135"/>
      <c r="W226" s="135"/>
      <c r="X226" s="135"/>
      <c r="Y226" s="135"/>
      <c r="Z226" s="135"/>
    </row>
    <row r="227" spans="1:26" ht="12.75">
      <c r="A227" s="136" t="s">
        <v>7</v>
      </c>
      <c r="B227" s="136" t="s">
        <v>671</v>
      </c>
      <c r="C227" s="136" t="s">
        <v>672</v>
      </c>
      <c r="D227" s="136" t="s">
        <v>103</v>
      </c>
      <c r="E227" s="136" t="s">
        <v>594</v>
      </c>
      <c r="F227" s="136">
        <v>15</v>
      </c>
      <c r="G227" s="137">
        <f t="shared" si="0"/>
        <v>11</v>
      </c>
      <c r="H227" s="137"/>
      <c r="I227" s="137"/>
      <c r="J227" s="135"/>
      <c r="K227" s="135"/>
      <c r="L227" s="135"/>
      <c r="M227" s="135"/>
      <c r="N227" s="135"/>
      <c r="O227" s="135"/>
      <c r="P227" s="135"/>
      <c r="Q227" s="135"/>
      <c r="R227" s="135"/>
      <c r="S227" s="135"/>
      <c r="T227" s="135"/>
      <c r="U227" s="135"/>
      <c r="V227" s="135"/>
      <c r="W227" s="135"/>
      <c r="X227" s="135"/>
      <c r="Y227" s="135"/>
      <c r="Z227" s="135"/>
    </row>
    <row r="228" spans="1:26" ht="12.75">
      <c r="A228" s="136" t="s">
        <v>7</v>
      </c>
      <c r="B228" s="136" t="s">
        <v>671</v>
      </c>
      <c r="C228" s="136" t="s">
        <v>7495</v>
      </c>
      <c r="D228" s="136" t="s">
        <v>114</v>
      </c>
      <c r="E228" s="136" t="s">
        <v>85</v>
      </c>
      <c r="F228" s="136">
        <v>996</v>
      </c>
      <c r="G228" s="137">
        <f t="shared" si="0"/>
        <v>1</v>
      </c>
      <c r="H228" s="137"/>
      <c r="I228" s="137"/>
      <c r="J228" s="135"/>
      <c r="K228" s="135"/>
      <c r="L228" s="135"/>
      <c r="M228" s="135"/>
      <c r="N228" s="135"/>
      <c r="O228" s="135"/>
      <c r="P228" s="135"/>
      <c r="Q228" s="135"/>
      <c r="R228" s="135"/>
      <c r="S228" s="135"/>
      <c r="T228" s="135"/>
      <c r="U228" s="135"/>
      <c r="V228" s="135"/>
      <c r="W228" s="135"/>
      <c r="X228" s="135"/>
      <c r="Y228" s="135"/>
      <c r="Z228" s="135"/>
    </row>
    <row r="229" spans="1:26" ht="12.75">
      <c r="A229" s="136" t="s">
        <v>7</v>
      </c>
      <c r="B229" s="136" t="s">
        <v>671</v>
      </c>
      <c r="C229" s="136" t="s">
        <v>7495</v>
      </c>
      <c r="D229" s="136" t="s">
        <v>154</v>
      </c>
      <c r="E229" s="136" t="s">
        <v>615</v>
      </c>
      <c r="F229" s="136">
        <v>416</v>
      </c>
      <c r="G229" s="137">
        <f t="shared" si="0"/>
        <v>2</v>
      </c>
      <c r="H229" s="137"/>
      <c r="I229" s="137"/>
      <c r="J229" s="135"/>
      <c r="K229" s="135"/>
      <c r="L229" s="135"/>
      <c r="M229" s="135"/>
      <c r="N229" s="135"/>
      <c r="O229" s="135"/>
      <c r="P229" s="135"/>
      <c r="Q229" s="135"/>
      <c r="R229" s="135"/>
      <c r="S229" s="135"/>
      <c r="T229" s="135"/>
      <c r="U229" s="135"/>
      <c r="V229" s="135"/>
      <c r="W229" s="135"/>
      <c r="X229" s="135"/>
      <c r="Y229" s="135"/>
      <c r="Z229" s="135"/>
    </row>
    <row r="230" spans="1:26" ht="12.75">
      <c r="A230" s="136" t="s">
        <v>7</v>
      </c>
      <c r="B230" s="136" t="s">
        <v>671</v>
      </c>
      <c r="C230" s="136" t="s">
        <v>7495</v>
      </c>
      <c r="D230" s="136" t="s">
        <v>98</v>
      </c>
      <c r="E230" s="136" t="s">
        <v>615</v>
      </c>
      <c r="F230" s="136">
        <v>373</v>
      </c>
      <c r="G230" s="137">
        <f t="shared" si="0"/>
        <v>3</v>
      </c>
      <c r="H230" s="137"/>
      <c r="I230" s="137"/>
      <c r="J230" s="135"/>
      <c r="K230" s="135"/>
      <c r="L230" s="135"/>
      <c r="M230" s="135"/>
      <c r="N230" s="135"/>
      <c r="O230" s="135"/>
      <c r="P230" s="135"/>
      <c r="Q230" s="135"/>
      <c r="R230" s="135"/>
      <c r="S230" s="135"/>
      <c r="T230" s="135"/>
      <c r="U230" s="135"/>
      <c r="V230" s="135"/>
      <c r="W230" s="135"/>
      <c r="X230" s="135"/>
      <c r="Y230" s="135"/>
      <c r="Z230" s="135"/>
    </row>
    <row r="231" spans="1:26" ht="12.75">
      <c r="A231" s="136" t="s">
        <v>7</v>
      </c>
      <c r="B231" s="136" t="s">
        <v>671</v>
      </c>
      <c r="C231" s="136" t="s">
        <v>7495</v>
      </c>
      <c r="D231" s="136" t="s">
        <v>139</v>
      </c>
      <c r="E231" s="136" t="s">
        <v>594</v>
      </c>
      <c r="F231" s="136">
        <v>352</v>
      </c>
      <c r="G231" s="137">
        <f t="shared" si="0"/>
        <v>4</v>
      </c>
      <c r="H231" s="137"/>
      <c r="I231" s="137"/>
      <c r="J231" s="135"/>
      <c r="K231" s="135"/>
      <c r="L231" s="135"/>
      <c r="M231" s="135"/>
      <c r="N231" s="135"/>
      <c r="O231" s="135"/>
      <c r="P231" s="135"/>
      <c r="Q231" s="135"/>
      <c r="R231" s="135"/>
      <c r="S231" s="135"/>
      <c r="T231" s="135"/>
      <c r="U231" s="135"/>
      <c r="V231" s="135"/>
      <c r="W231" s="135"/>
      <c r="X231" s="135"/>
      <c r="Y231" s="135"/>
      <c r="Z231" s="135"/>
    </row>
    <row r="232" spans="1:26" ht="12.75">
      <c r="A232" s="136" t="s">
        <v>7</v>
      </c>
      <c r="B232" s="136" t="s">
        <v>671</v>
      </c>
      <c r="C232" s="136" t="s">
        <v>7495</v>
      </c>
      <c r="D232" s="136" t="s">
        <v>165</v>
      </c>
      <c r="E232" s="136" t="s">
        <v>615</v>
      </c>
      <c r="F232" s="136">
        <v>93</v>
      </c>
      <c r="G232" s="137">
        <f t="shared" si="0"/>
        <v>5</v>
      </c>
      <c r="H232" s="137"/>
      <c r="I232" s="137"/>
      <c r="J232" s="135"/>
      <c r="K232" s="135"/>
      <c r="L232" s="135"/>
      <c r="M232" s="135"/>
      <c r="N232" s="135"/>
      <c r="O232" s="135"/>
      <c r="P232" s="135"/>
      <c r="Q232" s="135"/>
      <c r="R232" s="135"/>
      <c r="S232" s="135"/>
      <c r="T232" s="135"/>
      <c r="U232" s="135"/>
      <c r="V232" s="135"/>
      <c r="W232" s="135"/>
      <c r="X232" s="135"/>
      <c r="Y232" s="135"/>
      <c r="Z232" s="135"/>
    </row>
    <row r="233" spans="1:26" ht="12.75">
      <c r="A233" s="136" t="s">
        <v>7</v>
      </c>
      <c r="B233" s="136" t="s">
        <v>671</v>
      </c>
      <c r="C233" s="136" t="s">
        <v>7495</v>
      </c>
      <c r="D233" s="136" t="s">
        <v>136</v>
      </c>
      <c r="E233" s="136" t="s">
        <v>615</v>
      </c>
      <c r="F233" s="136">
        <v>92</v>
      </c>
      <c r="G233" s="137">
        <f t="shared" si="0"/>
        <v>6</v>
      </c>
      <c r="H233" s="137"/>
      <c r="I233" s="137"/>
      <c r="J233" s="135"/>
      <c r="K233" s="135"/>
      <c r="L233" s="135"/>
      <c r="M233" s="135"/>
      <c r="N233" s="135"/>
      <c r="O233" s="135"/>
      <c r="P233" s="135"/>
      <c r="Q233" s="135"/>
      <c r="R233" s="135"/>
      <c r="S233" s="135"/>
      <c r="T233" s="135"/>
      <c r="U233" s="135"/>
      <c r="V233" s="135"/>
      <c r="W233" s="135"/>
      <c r="X233" s="135"/>
      <c r="Y233" s="135"/>
      <c r="Z233" s="135"/>
    </row>
    <row r="234" spans="1:26" ht="12.75">
      <c r="A234" s="136" t="s">
        <v>7</v>
      </c>
      <c r="B234" s="136" t="s">
        <v>671</v>
      </c>
      <c r="C234" s="136" t="s">
        <v>7495</v>
      </c>
      <c r="D234" s="136" t="s">
        <v>7496</v>
      </c>
      <c r="E234" s="136" t="s">
        <v>615</v>
      </c>
      <c r="F234" s="136">
        <v>78</v>
      </c>
      <c r="G234" s="137">
        <f t="shared" si="0"/>
        <v>7</v>
      </c>
      <c r="H234" s="137"/>
      <c r="I234" s="137"/>
      <c r="J234" s="135"/>
      <c r="K234" s="135"/>
      <c r="L234" s="135"/>
      <c r="M234" s="135"/>
      <c r="N234" s="135"/>
      <c r="O234" s="135"/>
      <c r="P234" s="135"/>
      <c r="Q234" s="135"/>
      <c r="R234" s="135"/>
      <c r="S234" s="135"/>
      <c r="T234" s="135"/>
      <c r="U234" s="135"/>
      <c r="V234" s="135"/>
      <c r="W234" s="135"/>
      <c r="X234" s="135"/>
      <c r="Y234" s="135"/>
      <c r="Z234" s="135"/>
    </row>
    <row r="235" spans="1:26" ht="12.75">
      <c r="A235" s="136" t="s">
        <v>7</v>
      </c>
      <c r="B235" s="136" t="s">
        <v>671</v>
      </c>
      <c r="C235" s="136" t="s">
        <v>7495</v>
      </c>
      <c r="D235" s="136" t="s">
        <v>467</v>
      </c>
      <c r="E235" s="136" t="s">
        <v>85</v>
      </c>
      <c r="F235" s="136">
        <v>70</v>
      </c>
      <c r="G235" s="137">
        <f t="shared" si="0"/>
        <v>8</v>
      </c>
      <c r="H235" s="137"/>
      <c r="I235" s="137"/>
      <c r="J235" s="135"/>
      <c r="K235" s="135"/>
      <c r="L235" s="135"/>
      <c r="M235" s="135"/>
      <c r="N235" s="135"/>
      <c r="O235" s="135"/>
      <c r="P235" s="135"/>
      <c r="Q235" s="135"/>
      <c r="R235" s="135"/>
      <c r="S235" s="135"/>
      <c r="T235" s="135"/>
      <c r="U235" s="135"/>
      <c r="V235" s="135"/>
      <c r="W235" s="135"/>
      <c r="X235" s="135"/>
      <c r="Y235" s="135"/>
      <c r="Z235" s="135"/>
    </row>
    <row r="236" spans="1:26" ht="12.75">
      <c r="A236" s="136" t="s">
        <v>7</v>
      </c>
      <c r="B236" s="136" t="s">
        <v>671</v>
      </c>
      <c r="C236" s="136" t="s">
        <v>7495</v>
      </c>
      <c r="D236" s="136" t="s">
        <v>7475</v>
      </c>
      <c r="E236" s="136" t="s">
        <v>594</v>
      </c>
      <c r="F236" s="136">
        <v>63</v>
      </c>
      <c r="G236" s="137">
        <f t="shared" si="0"/>
        <v>9</v>
      </c>
      <c r="H236" s="137"/>
      <c r="I236" s="137"/>
      <c r="J236" s="135"/>
      <c r="K236" s="135"/>
      <c r="L236" s="135"/>
      <c r="M236" s="135"/>
      <c r="N236" s="135"/>
      <c r="O236" s="135"/>
      <c r="P236" s="135"/>
      <c r="Q236" s="135"/>
      <c r="R236" s="135"/>
      <c r="S236" s="135"/>
      <c r="T236" s="135"/>
      <c r="U236" s="135"/>
      <c r="V236" s="135"/>
      <c r="W236" s="135"/>
      <c r="X236" s="135"/>
      <c r="Y236" s="135"/>
      <c r="Z236" s="135"/>
    </row>
    <row r="237" spans="1:26" ht="12.75">
      <c r="A237" s="136" t="s">
        <v>7</v>
      </c>
      <c r="B237" s="136" t="s">
        <v>671</v>
      </c>
      <c r="C237" s="136" t="s">
        <v>7495</v>
      </c>
      <c r="D237" s="136" t="s">
        <v>7473</v>
      </c>
      <c r="E237" s="136" t="s">
        <v>615</v>
      </c>
      <c r="F237" s="136">
        <v>62</v>
      </c>
      <c r="G237" s="137">
        <f t="shared" si="0"/>
        <v>10</v>
      </c>
      <c r="H237" s="137"/>
      <c r="I237" s="137"/>
      <c r="J237" s="135"/>
      <c r="K237" s="135"/>
      <c r="L237" s="135"/>
      <c r="M237" s="135"/>
      <c r="N237" s="135"/>
      <c r="O237" s="135"/>
      <c r="P237" s="135"/>
      <c r="Q237" s="135"/>
      <c r="R237" s="135"/>
      <c r="S237" s="135"/>
      <c r="T237" s="135"/>
      <c r="U237" s="135"/>
      <c r="V237" s="135"/>
      <c r="W237" s="135"/>
      <c r="X237" s="135"/>
      <c r="Y237" s="135"/>
      <c r="Z237" s="135"/>
    </row>
    <row r="238" spans="1:26" ht="12.75">
      <c r="A238" s="136" t="s">
        <v>7</v>
      </c>
      <c r="B238" s="136" t="s">
        <v>671</v>
      </c>
      <c r="C238" s="136" t="s">
        <v>7495</v>
      </c>
      <c r="D238" s="136" t="s">
        <v>7478</v>
      </c>
      <c r="E238" s="136" t="s">
        <v>615</v>
      </c>
      <c r="F238" s="136">
        <v>59</v>
      </c>
      <c r="G238" s="137">
        <f t="shared" si="0"/>
        <v>11</v>
      </c>
      <c r="H238" s="137"/>
      <c r="I238" s="137"/>
      <c r="J238" s="135"/>
      <c r="K238" s="135"/>
      <c r="L238" s="135"/>
      <c r="M238" s="135"/>
      <c r="N238" s="135"/>
      <c r="O238" s="135"/>
      <c r="P238" s="135"/>
      <c r="Q238" s="135"/>
      <c r="R238" s="135"/>
      <c r="S238" s="135"/>
      <c r="T238" s="135"/>
      <c r="U238" s="135"/>
      <c r="V238" s="135"/>
      <c r="W238" s="135"/>
      <c r="X238" s="135"/>
      <c r="Y238" s="135"/>
      <c r="Z238" s="135"/>
    </row>
    <row r="239" spans="1:26" ht="12.75">
      <c r="A239" s="136" t="s">
        <v>7</v>
      </c>
      <c r="B239" s="136" t="s">
        <v>671</v>
      </c>
      <c r="C239" s="136" t="s">
        <v>7495</v>
      </c>
      <c r="D239" s="136" t="s">
        <v>1665</v>
      </c>
      <c r="E239" s="136" t="s">
        <v>615</v>
      </c>
      <c r="F239" s="136">
        <v>56</v>
      </c>
      <c r="G239" s="137">
        <f t="shared" si="0"/>
        <v>12</v>
      </c>
      <c r="H239" s="137"/>
      <c r="I239" s="137"/>
      <c r="J239" s="135"/>
      <c r="K239" s="135"/>
      <c r="L239" s="135"/>
      <c r="M239" s="135"/>
      <c r="N239" s="135"/>
      <c r="O239" s="135"/>
      <c r="P239" s="135"/>
      <c r="Q239" s="135"/>
      <c r="R239" s="135"/>
      <c r="S239" s="135"/>
      <c r="T239" s="135"/>
      <c r="U239" s="135"/>
      <c r="V239" s="135"/>
      <c r="W239" s="135"/>
      <c r="X239" s="135"/>
      <c r="Y239" s="135"/>
      <c r="Z239" s="135"/>
    </row>
    <row r="240" spans="1:26" ht="12.75">
      <c r="A240" s="136" t="s">
        <v>7</v>
      </c>
      <c r="B240" s="136" t="s">
        <v>671</v>
      </c>
      <c r="C240" s="136" t="s">
        <v>7495</v>
      </c>
      <c r="D240" s="136" t="s">
        <v>7497</v>
      </c>
      <c r="E240" s="136" t="s">
        <v>615</v>
      </c>
      <c r="F240" s="136">
        <v>45</v>
      </c>
      <c r="G240" s="137">
        <f t="shared" si="0"/>
        <v>13</v>
      </c>
      <c r="H240" s="137"/>
      <c r="I240" s="137"/>
      <c r="J240" s="135"/>
      <c r="K240" s="135"/>
      <c r="L240" s="135"/>
      <c r="M240" s="135"/>
      <c r="N240" s="135"/>
      <c r="O240" s="135"/>
      <c r="P240" s="135"/>
      <c r="Q240" s="135"/>
      <c r="R240" s="135"/>
      <c r="S240" s="135"/>
      <c r="T240" s="135"/>
      <c r="U240" s="135"/>
      <c r="V240" s="135"/>
      <c r="W240" s="135"/>
      <c r="X240" s="135"/>
      <c r="Y240" s="135"/>
      <c r="Z240" s="135"/>
    </row>
    <row r="241" spans="1:26" ht="12.75">
      <c r="A241" s="136" t="s">
        <v>7</v>
      </c>
      <c r="B241" s="136" t="s">
        <v>671</v>
      </c>
      <c r="C241" s="136" t="s">
        <v>7495</v>
      </c>
      <c r="D241" s="136" t="s">
        <v>7498</v>
      </c>
      <c r="E241" s="136" t="s">
        <v>594</v>
      </c>
      <c r="F241" s="136">
        <v>35</v>
      </c>
      <c r="G241" s="137">
        <f t="shared" si="0"/>
        <v>14</v>
      </c>
      <c r="H241" s="137"/>
      <c r="I241" s="137"/>
      <c r="J241" s="135"/>
      <c r="K241" s="135"/>
      <c r="L241" s="135"/>
      <c r="M241" s="135"/>
      <c r="N241" s="135"/>
      <c r="O241" s="135"/>
      <c r="P241" s="135"/>
      <c r="Q241" s="135"/>
      <c r="R241" s="135"/>
      <c r="S241" s="135"/>
      <c r="T241" s="135"/>
      <c r="U241" s="135"/>
      <c r="V241" s="135"/>
      <c r="W241" s="135"/>
      <c r="X241" s="135"/>
      <c r="Y241" s="135"/>
      <c r="Z241" s="135"/>
    </row>
    <row r="242" spans="1:26" ht="12.75">
      <c r="A242" s="136" t="s">
        <v>7</v>
      </c>
      <c r="B242" s="136" t="s">
        <v>671</v>
      </c>
      <c r="C242" s="136" t="s">
        <v>7495</v>
      </c>
      <c r="D242" s="136" t="s">
        <v>1626</v>
      </c>
      <c r="E242" s="136" t="s">
        <v>594</v>
      </c>
      <c r="F242" s="136">
        <v>20</v>
      </c>
      <c r="G242" s="137">
        <f t="shared" si="0"/>
        <v>15</v>
      </c>
      <c r="H242" s="137"/>
      <c r="I242" s="137"/>
      <c r="J242" s="135"/>
      <c r="K242" s="135"/>
      <c r="L242" s="135"/>
      <c r="M242" s="135"/>
      <c r="N242" s="135"/>
      <c r="O242" s="135"/>
      <c r="P242" s="135"/>
      <c r="Q242" s="135"/>
      <c r="R242" s="135"/>
      <c r="S242" s="135"/>
      <c r="T242" s="135"/>
      <c r="U242" s="135"/>
      <c r="V242" s="135"/>
      <c r="W242" s="135"/>
      <c r="X242" s="135"/>
      <c r="Y242" s="135"/>
      <c r="Z242" s="135"/>
    </row>
    <row r="243" spans="1:26" ht="12.75">
      <c r="A243" s="136" t="s">
        <v>7</v>
      </c>
      <c r="B243" s="136" t="s">
        <v>671</v>
      </c>
      <c r="C243" s="136" t="s">
        <v>677</v>
      </c>
      <c r="D243" s="136" t="s">
        <v>98</v>
      </c>
      <c r="E243" s="136" t="s">
        <v>615</v>
      </c>
      <c r="F243" s="136">
        <v>658</v>
      </c>
      <c r="G243" s="137">
        <f t="shared" si="0"/>
        <v>1</v>
      </c>
      <c r="H243" s="137"/>
      <c r="I243" s="137"/>
      <c r="J243" s="135"/>
      <c r="K243" s="135"/>
      <c r="L243" s="135"/>
      <c r="M243" s="135"/>
      <c r="N243" s="135"/>
      <c r="O243" s="135"/>
      <c r="P243" s="135"/>
      <c r="Q243" s="135"/>
      <c r="R243" s="135"/>
      <c r="S243" s="135"/>
      <c r="T243" s="135"/>
      <c r="U243" s="135"/>
      <c r="V243" s="135"/>
      <c r="W243" s="135"/>
      <c r="X243" s="135"/>
      <c r="Y243" s="135"/>
      <c r="Z243" s="135"/>
    </row>
    <row r="244" spans="1:26" ht="12.75">
      <c r="A244" s="136" t="s">
        <v>7</v>
      </c>
      <c r="B244" s="136" t="s">
        <v>671</v>
      </c>
      <c r="C244" s="136" t="s">
        <v>677</v>
      </c>
      <c r="D244" s="136" t="s">
        <v>7499</v>
      </c>
      <c r="E244" s="136" t="s">
        <v>85</v>
      </c>
      <c r="F244" s="136">
        <v>547</v>
      </c>
      <c r="G244" s="137">
        <f t="shared" si="0"/>
        <v>2</v>
      </c>
      <c r="H244" s="137"/>
      <c r="I244" s="137"/>
      <c r="J244" s="135"/>
      <c r="K244" s="135"/>
      <c r="L244" s="135"/>
      <c r="M244" s="135"/>
      <c r="N244" s="135"/>
      <c r="O244" s="135"/>
      <c r="P244" s="135"/>
      <c r="Q244" s="135"/>
      <c r="R244" s="135"/>
      <c r="S244" s="135"/>
      <c r="T244" s="135"/>
      <c r="U244" s="135"/>
      <c r="V244" s="135"/>
      <c r="W244" s="135"/>
      <c r="X244" s="135"/>
      <c r="Y244" s="135"/>
      <c r="Z244" s="135"/>
    </row>
    <row r="245" spans="1:26" ht="12.75">
      <c r="A245" s="136" t="s">
        <v>7</v>
      </c>
      <c r="B245" s="136" t="s">
        <v>671</v>
      </c>
      <c r="C245" s="136" t="s">
        <v>677</v>
      </c>
      <c r="D245" s="136" t="s">
        <v>136</v>
      </c>
      <c r="E245" s="136" t="s">
        <v>615</v>
      </c>
      <c r="F245" s="136">
        <v>395</v>
      </c>
      <c r="G245" s="137">
        <f t="shared" si="0"/>
        <v>3</v>
      </c>
      <c r="H245" s="137"/>
      <c r="I245" s="137"/>
      <c r="J245" s="135"/>
      <c r="K245" s="135"/>
      <c r="L245" s="135"/>
      <c r="M245" s="135"/>
      <c r="N245" s="135"/>
      <c r="O245" s="135"/>
      <c r="P245" s="135"/>
      <c r="Q245" s="135"/>
      <c r="R245" s="135"/>
      <c r="S245" s="135"/>
      <c r="T245" s="135"/>
      <c r="U245" s="135"/>
      <c r="V245" s="135"/>
      <c r="W245" s="135"/>
      <c r="X245" s="135"/>
      <c r="Y245" s="135"/>
      <c r="Z245" s="135"/>
    </row>
    <row r="246" spans="1:26" ht="12.75">
      <c r="A246" s="136" t="s">
        <v>7</v>
      </c>
      <c r="B246" s="136" t="s">
        <v>671</v>
      </c>
      <c r="C246" s="136" t="s">
        <v>677</v>
      </c>
      <c r="D246" s="136" t="s">
        <v>114</v>
      </c>
      <c r="E246" s="136" t="s">
        <v>85</v>
      </c>
      <c r="F246" s="136">
        <v>387</v>
      </c>
      <c r="G246" s="137">
        <f t="shared" si="0"/>
        <v>4</v>
      </c>
      <c r="H246" s="137"/>
      <c r="I246" s="137"/>
      <c r="J246" s="135"/>
      <c r="K246" s="135"/>
      <c r="L246" s="135"/>
      <c r="M246" s="135"/>
      <c r="N246" s="135"/>
      <c r="O246" s="135"/>
      <c r="P246" s="135"/>
      <c r="Q246" s="135"/>
      <c r="R246" s="135"/>
      <c r="S246" s="135"/>
      <c r="T246" s="135"/>
      <c r="U246" s="135"/>
      <c r="V246" s="135"/>
      <c r="W246" s="135"/>
      <c r="X246" s="135"/>
      <c r="Y246" s="135"/>
      <c r="Z246" s="135"/>
    </row>
    <row r="247" spans="1:26" ht="12.75">
      <c r="A247" s="136" t="s">
        <v>7</v>
      </c>
      <c r="B247" s="136" t="s">
        <v>671</v>
      </c>
      <c r="C247" s="136" t="s">
        <v>677</v>
      </c>
      <c r="D247" s="136" t="s">
        <v>1665</v>
      </c>
      <c r="E247" s="136" t="s">
        <v>615</v>
      </c>
      <c r="F247" s="136">
        <v>288</v>
      </c>
      <c r="G247" s="137">
        <f t="shared" si="0"/>
        <v>5</v>
      </c>
      <c r="H247" s="137"/>
      <c r="I247" s="137"/>
      <c r="J247" s="135"/>
      <c r="K247" s="135"/>
      <c r="L247" s="135"/>
      <c r="M247" s="135"/>
      <c r="N247" s="135"/>
      <c r="O247" s="135"/>
      <c r="P247" s="135"/>
      <c r="Q247" s="135"/>
      <c r="R247" s="135"/>
      <c r="S247" s="135"/>
      <c r="T247" s="135"/>
      <c r="U247" s="135"/>
      <c r="V247" s="135"/>
      <c r="W247" s="135"/>
      <c r="X247" s="135"/>
      <c r="Y247" s="135"/>
      <c r="Z247" s="135"/>
    </row>
    <row r="248" spans="1:26" ht="12.75">
      <c r="A248" s="136" t="s">
        <v>7</v>
      </c>
      <c r="B248" s="136" t="s">
        <v>671</v>
      </c>
      <c r="C248" s="136" t="s">
        <v>677</v>
      </c>
      <c r="D248" s="136" t="s">
        <v>165</v>
      </c>
      <c r="E248" s="136" t="s">
        <v>615</v>
      </c>
      <c r="F248" s="136">
        <v>79</v>
      </c>
      <c r="G248" s="137">
        <f t="shared" si="0"/>
        <v>6</v>
      </c>
      <c r="H248" s="137"/>
      <c r="I248" s="137"/>
      <c r="J248" s="135"/>
      <c r="K248" s="135"/>
      <c r="L248" s="135"/>
      <c r="M248" s="135"/>
      <c r="N248" s="135"/>
      <c r="O248" s="135"/>
      <c r="P248" s="135"/>
      <c r="Q248" s="135"/>
      <c r="R248" s="135"/>
      <c r="S248" s="135"/>
      <c r="T248" s="135"/>
      <c r="U248" s="135"/>
      <c r="V248" s="135"/>
      <c r="W248" s="135"/>
      <c r="X248" s="135"/>
      <c r="Y248" s="135"/>
      <c r="Z248" s="135"/>
    </row>
    <row r="249" spans="1:26" ht="12.75">
      <c r="A249" s="136" t="s">
        <v>7</v>
      </c>
      <c r="B249" s="136" t="s">
        <v>671</v>
      </c>
      <c r="C249" s="136" t="s">
        <v>677</v>
      </c>
      <c r="D249" s="136" t="s">
        <v>7478</v>
      </c>
      <c r="E249" s="136" t="s">
        <v>615</v>
      </c>
      <c r="F249" s="136">
        <v>73</v>
      </c>
      <c r="G249" s="137">
        <f t="shared" si="0"/>
        <v>7</v>
      </c>
      <c r="H249" s="137"/>
      <c r="I249" s="137"/>
      <c r="J249" s="135"/>
      <c r="K249" s="135"/>
      <c r="L249" s="135"/>
      <c r="M249" s="135"/>
      <c r="N249" s="135"/>
      <c r="O249" s="135"/>
      <c r="P249" s="135"/>
      <c r="Q249" s="135"/>
      <c r="R249" s="135"/>
      <c r="S249" s="135"/>
      <c r="T249" s="135"/>
      <c r="U249" s="135"/>
      <c r="V249" s="135"/>
      <c r="W249" s="135"/>
      <c r="X249" s="135"/>
      <c r="Y249" s="135"/>
      <c r="Z249" s="135"/>
    </row>
    <row r="250" spans="1:26" ht="12.75">
      <c r="A250" s="136" t="s">
        <v>7</v>
      </c>
      <c r="B250" s="136" t="s">
        <v>671</v>
      </c>
      <c r="C250" s="136" t="s">
        <v>677</v>
      </c>
      <c r="D250" s="136" t="s">
        <v>7496</v>
      </c>
      <c r="E250" s="136" t="s">
        <v>615</v>
      </c>
      <c r="F250" s="136">
        <v>70</v>
      </c>
      <c r="G250" s="137">
        <f t="shared" si="0"/>
        <v>8</v>
      </c>
      <c r="H250" s="137"/>
      <c r="I250" s="137"/>
      <c r="J250" s="135"/>
      <c r="K250" s="135"/>
      <c r="L250" s="135"/>
      <c r="M250" s="135"/>
      <c r="N250" s="135"/>
      <c r="O250" s="135"/>
      <c r="P250" s="135"/>
      <c r="Q250" s="135"/>
      <c r="R250" s="135"/>
      <c r="S250" s="135"/>
      <c r="T250" s="135"/>
      <c r="U250" s="135"/>
      <c r="V250" s="135"/>
      <c r="W250" s="135"/>
      <c r="X250" s="135"/>
      <c r="Y250" s="135"/>
      <c r="Z250" s="135"/>
    </row>
    <row r="251" spans="1:26" ht="12.75">
      <c r="A251" s="136" t="s">
        <v>7</v>
      </c>
      <c r="B251" s="136" t="s">
        <v>671</v>
      </c>
      <c r="C251" s="136" t="s">
        <v>677</v>
      </c>
      <c r="D251" s="136" t="s">
        <v>467</v>
      </c>
      <c r="E251" s="136" t="s">
        <v>85</v>
      </c>
      <c r="F251" s="136">
        <v>60</v>
      </c>
      <c r="G251" s="137">
        <f t="shared" si="0"/>
        <v>9</v>
      </c>
      <c r="H251" s="137"/>
      <c r="I251" s="137"/>
      <c r="J251" s="135"/>
      <c r="K251" s="135"/>
      <c r="L251" s="135"/>
      <c r="M251" s="135"/>
      <c r="N251" s="135"/>
      <c r="O251" s="135"/>
      <c r="P251" s="135"/>
      <c r="Q251" s="135"/>
      <c r="R251" s="135"/>
      <c r="S251" s="135"/>
      <c r="T251" s="135"/>
      <c r="U251" s="135"/>
      <c r="V251" s="135"/>
      <c r="W251" s="135"/>
      <c r="X251" s="135"/>
      <c r="Y251" s="135"/>
      <c r="Z251" s="135"/>
    </row>
    <row r="252" spans="1:26" ht="12.75">
      <c r="A252" s="136" t="s">
        <v>7</v>
      </c>
      <c r="B252" s="136" t="s">
        <v>671</v>
      </c>
      <c r="C252" s="136" t="s">
        <v>677</v>
      </c>
      <c r="D252" s="136" t="s">
        <v>7491</v>
      </c>
      <c r="E252" s="136" t="s">
        <v>615</v>
      </c>
      <c r="F252" s="136">
        <v>39</v>
      </c>
      <c r="G252" s="137">
        <f t="shared" si="0"/>
        <v>10</v>
      </c>
      <c r="H252" s="137"/>
      <c r="I252" s="137"/>
      <c r="J252" s="135"/>
      <c r="K252" s="135"/>
      <c r="L252" s="135"/>
      <c r="M252" s="135"/>
      <c r="N252" s="135"/>
      <c r="O252" s="135"/>
      <c r="P252" s="135"/>
      <c r="Q252" s="135"/>
      <c r="R252" s="135"/>
      <c r="S252" s="135"/>
      <c r="T252" s="135"/>
      <c r="U252" s="135"/>
      <c r="V252" s="135"/>
      <c r="W252" s="135"/>
      <c r="X252" s="135"/>
      <c r="Y252" s="135"/>
      <c r="Z252" s="135"/>
    </row>
    <row r="253" spans="1:26" ht="12.75">
      <c r="A253" s="136" t="s">
        <v>7</v>
      </c>
      <c r="B253" s="136" t="s">
        <v>671</v>
      </c>
      <c r="C253" s="136" t="s">
        <v>677</v>
      </c>
      <c r="D253" s="136" t="s">
        <v>139</v>
      </c>
      <c r="E253" s="136" t="s">
        <v>594</v>
      </c>
      <c r="F253" s="136">
        <v>35</v>
      </c>
      <c r="G253" s="137">
        <f t="shared" si="0"/>
        <v>11</v>
      </c>
      <c r="H253" s="137"/>
      <c r="I253" s="137"/>
      <c r="J253" s="135"/>
      <c r="K253" s="135"/>
      <c r="L253" s="135"/>
      <c r="M253" s="135"/>
      <c r="N253" s="135"/>
      <c r="O253" s="135"/>
      <c r="P253" s="135"/>
      <c r="Q253" s="135"/>
      <c r="R253" s="135"/>
      <c r="S253" s="135"/>
      <c r="T253" s="135"/>
      <c r="U253" s="135"/>
      <c r="V253" s="135"/>
      <c r="W253" s="135"/>
      <c r="X253" s="135"/>
      <c r="Y253" s="135"/>
      <c r="Z253" s="135"/>
    </row>
    <row r="254" spans="1:26" ht="12.75">
      <c r="A254" s="136" t="s">
        <v>7</v>
      </c>
      <c r="B254" s="136" t="s">
        <v>671</v>
      </c>
      <c r="C254" s="136" t="s">
        <v>677</v>
      </c>
      <c r="D254" s="136" t="s">
        <v>1626</v>
      </c>
      <c r="E254" s="136" t="s">
        <v>594</v>
      </c>
      <c r="F254" s="136">
        <v>17</v>
      </c>
      <c r="G254" s="137">
        <f t="shared" si="0"/>
        <v>12</v>
      </c>
      <c r="H254" s="137"/>
      <c r="I254" s="137"/>
      <c r="J254" s="135"/>
      <c r="K254" s="135"/>
      <c r="L254" s="135"/>
      <c r="M254" s="135"/>
      <c r="N254" s="135"/>
      <c r="O254" s="135"/>
      <c r="P254" s="135"/>
      <c r="Q254" s="135"/>
      <c r="R254" s="135"/>
      <c r="S254" s="135"/>
      <c r="T254" s="135"/>
      <c r="U254" s="135"/>
      <c r="V254" s="135"/>
      <c r="W254" s="135"/>
      <c r="X254" s="135"/>
      <c r="Y254" s="135"/>
      <c r="Z254" s="135"/>
    </row>
    <row r="255" spans="1:26" ht="12.75">
      <c r="A255" s="136" t="s">
        <v>7</v>
      </c>
      <c r="B255" s="136" t="s">
        <v>671</v>
      </c>
      <c r="C255" s="136" t="s">
        <v>677</v>
      </c>
      <c r="D255" s="136" t="s">
        <v>7475</v>
      </c>
      <c r="E255" s="136" t="s">
        <v>594</v>
      </c>
      <c r="F255" s="136">
        <v>0</v>
      </c>
      <c r="G255" s="137">
        <f t="shared" si="0"/>
        <v>13</v>
      </c>
      <c r="H255" s="137"/>
      <c r="I255" s="137"/>
      <c r="J255" s="135"/>
      <c r="K255" s="135"/>
      <c r="L255" s="135"/>
      <c r="M255" s="135"/>
      <c r="N255" s="135"/>
      <c r="O255" s="135"/>
      <c r="P255" s="135"/>
      <c r="Q255" s="135"/>
      <c r="R255" s="135"/>
      <c r="S255" s="135"/>
      <c r="T255" s="135"/>
      <c r="U255" s="135"/>
      <c r="V255" s="135"/>
      <c r="W255" s="135"/>
      <c r="X255" s="135"/>
      <c r="Y255" s="135"/>
      <c r="Z255" s="135"/>
    </row>
    <row r="256" spans="1:26" ht="12.75">
      <c r="A256" s="136" t="s">
        <v>7</v>
      </c>
      <c r="B256" s="136" t="s">
        <v>671</v>
      </c>
      <c r="C256" s="136" t="s">
        <v>679</v>
      </c>
      <c r="D256" s="136" t="s">
        <v>154</v>
      </c>
      <c r="E256" s="136" t="s">
        <v>615</v>
      </c>
      <c r="F256" s="136">
        <v>1635</v>
      </c>
      <c r="G256" s="137">
        <f t="shared" si="0"/>
        <v>1</v>
      </c>
      <c r="H256" s="137"/>
      <c r="I256" s="137"/>
      <c r="J256" s="135"/>
      <c r="K256" s="135"/>
      <c r="L256" s="135"/>
      <c r="M256" s="135"/>
      <c r="N256" s="135"/>
      <c r="O256" s="135"/>
      <c r="P256" s="135"/>
      <c r="Q256" s="135"/>
      <c r="R256" s="135"/>
      <c r="S256" s="135"/>
      <c r="T256" s="135"/>
      <c r="U256" s="135"/>
      <c r="V256" s="135"/>
      <c r="W256" s="135"/>
      <c r="X256" s="135"/>
      <c r="Y256" s="135"/>
      <c r="Z256" s="135"/>
    </row>
    <row r="257" spans="1:26" ht="12.75">
      <c r="A257" s="136" t="s">
        <v>7</v>
      </c>
      <c r="B257" s="136" t="s">
        <v>671</v>
      </c>
      <c r="C257" s="136" t="s">
        <v>679</v>
      </c>
      <c r="D257" s="136" t="s">
        <v>7463</v>
      </c>
      <c r="E257" s="136" t="s">
        <v>615</v>
      </c>
      <c r="F257" s="136">
        <v>682</v>
      </c>
      <c r="G257" s="137">
        <f t="shared" ref="G257:G511" si="1">COUNTIFS($C:$C,C257,$F:$F,"&gt;"&amp;F257)
 + COUNTIFS($C$2:C257,C257,$F$2:F257,F257)</f>
        <v>2</v>
      </c>
      <c r="H257" s="137"/>
      <c r="I257" s="137"/>
      <c r="J257" s="135"/>
      <c r="K257" s="135"/>
      <c r="L257" s="135"/>
      <c r="M257" s="135"/>
      <c r="N257" s="135"/>
      <c r="O257" s="135"/>
      <c r="P257" s="135"/>
      <c r="Q257" s="135"/>
      <c r="R257" s="135"/>
      <c r="S257" s="135"/>
      <c r="T257" s="135"/>
      <c r="U257" s="135"/>
      <c r="V257" s="135"/>
      <c r="W257" s="135"/>
      <c r="X257" s="135"/>
      <c r="Y257" s="135"/>
      <c r="Z257" s="135"/>
    </row>
    <row r="258" spans="1:26" ht="12.75">
      <c r="A258" s="136" t="s">
        <v>7</v>
      </c>
      <c r="B258" s="136" t="s">
        <v>671</v>
      </c>
      <c r="C258" s="136" t="s">
        <v>679</v>
      </c>
      <c r="D258" s="136" t="s">
        <v>467</v>
      </c>
      <c r="E258" s="136" t="s">
        <v>85</v>
      </c>
      <c r="F258" s="136">
        <v>555</v>
      </c>
      <c r="G258" s="137">
        <f t="shared" si="1"/>
        <v>3</v>
      </c>
      <c r="H258" s="137"/>
      <c r="I258" s="137"/>
      <c r="J258" s="135"/>
      <c r="K258" s="135"/>
      <c r="L258" s="135"/>
      <c r="M258" s="135"/>
      <c r="N258" s="135"/>
      <c r="O258" s="135"/>
      <c r="P258" s="135"/>
      <c r="Q258" s="135"/>
      <c r="R258" s="135"/>
      <c r="S258" s="135"/>
      <c r="T258" s="135"/>
      <c r="U258" s="135"/>
      <c r="V258" s="135"/>
      <c r="W258" s="135"/>
      <c r="X258" s="135"/>
      <c r="Y258" s="135"/>
      <c r="Z258" s="135"/>
    </row>
    <row r="259" spans="1:26" ht="12.75">
      <c r="A259" s="136" t="s">
        <v>7</v>
      </c>
      <c r="B259" s="136" t="s">
        <v>671</v>
      </c>
      <c r="C259" s="136" t="s">
        <v>679</v>
      </c>
      <c r="D259" s="136" t="s">
        <v>114</v>
      </c>
      <c r="E259" s="136" t="s">
        <v>85</v>
      </c>
      <c r="F259" s="136">
        <v>441</v>
      </c>
      <c r="G259" s="137">
        <f t="shared" si="1"/>
        <v>4</v>
      </c>
      <c r="H259" s="137"/>
      <c r="I259" s="137"/>
      <c r="J259" s="135"/>
      <c r="K259" s="135"/>
      <c r="L259" s="135"/>
      <c r="M259" s="135"/>
      <c r="N259" s="135"/>
      <c r="O259" s="135"/>
      <c r="P259" s="135"/>
      <c r="Q259" s="135"/>
      <c r="R259" s="135"/>
      <c r="S259" s="135"/>
      <c r="T259" s="135"/>
      <c r="U259" s="135"/>
      <c r="V259" s="135"/>
      <c r="W259" s="135"/>
      <c r="X259" s="135"/>
      <c r="Y259" s="135"/>
      <c r="Z259" s="135"/>
    </row>
    <row r="260" spans="1:26" ht="12.75">
      <c r="A260" s="136" t="s">
        <v>7</v>
      </c>
      <c r="B260" s="136" t="s">
        <v>671</v>
      </c>
      <c r="C260" s="136" t="s">
        <v>679</v>
      </c>
      <c r="D260" s="136" t="s">
        <v>136</v>
      </c>
      <c r="E260" s="136" t="s">
        <v>615</v>
      </c>
      <c r="F260" s="136">
        <v>343</v>
      </c>
      <c r="G260" s="137">
        <f t="shared" si="1"/>
        <v>5</v>
      </c>
      <c r="H260" s="137"/>
      <c r="I260" s="137"/>
      <c r="J260" s="135"/>
      <c r="K260" s="135"/>
      <c r="L260" s="135"/>
      <c r="M260" s="135"/>
      <c r="N260" s="135"/>
      <c r="O260" s="135"/>
      <c r="P260" s="135"/>
      <c r="Q260" s="135"/>
      <c r="R260" s="135"/>
      <c r="S260" s="135"/>
      <c r="T260" s="135"/>
      <c r="U260" s="135"/>
      <c r="V260" s="135"/>
      <c r="W260" s="135"/>
      <c r="X260" s="135"/>
      <c r="Y260" s="135"/>
      <c r="Z260" s="135"/>
    </row>
    <row r="261" spans="1:26" ht="12.75">
      <c r="A261" s="136" t="s">
        <v>7</v>
      </c>
      <c r="B261" s="136" t="s">
        <v>671</v>
      </c>
      <c r="C261" s="136" t="s">
        <v>679</v>
      </c>
      <c r="D261" s="136" t="s">
        <v>7491</v>
      </c>
      <c r="E261" s="136" t="s">
        <v>615</v>
      </c>
      <c r="F261" s="136">
        <v>78</v>
      </c>
      <c r="G261" s="137">
        <f t="shared" si="1"/>
        <v>6</v>
      </c>
      <c r="H261" s="137"/>
      <c r="I261" s="137"/>
      <c r="J261" s="135"/>
      <c r="K261" s="135"/>
      <c r="L261" s="135"/>
      <c r="M261" s="135"/>
      <c r="N261" s="135"/>
      <c r="O261" s="135"/>
      <c r="P261" s="135"/>
      <c r="Q261" s="135"/>
      <c r="R261" s="135"/>
      <c r="S261" s="135"/>
      <c r="T261" s="135"/>
      <c r="U261" s="135"/>
      <c r="V261" s="135"/>
      <c r="W261" s="135"/>
      <c r="X261" s="135"/>
      <c r="Y261" s="135"/>
      <c r="Z261" s="135"/>
    </row>
    <row r="262" spans="1:26" ht="25.5">
      <c r="A262" s="136" t="s">
        <v>7</v>
      </c>
      <c r="B262" s="136" t="s">
        <v>671</v>
      </c>
      <c r="C262" s="136" t="s">
        <v>679</v>
      </c>
      <c r="D262" s="136" t="s">
        <v>7500</v>
      </c>
      <c r="E262" s="136" t="s">
        <v>615</v>
      </c>
      <c r="F262" s="136">
        <v>60</v>
      </c>
      <c r="G262" s="137">
        <f t="shared" si="1"/>
        <v>7</v>
      </c>
      <c r="H262" s="137"/>
      <c r="I262" s="137"/>
      <c r="J262" s="135"/>
      <c r="K262" s="135"/>
      <c r="L262" s="135"/>
      <c r="M262" s="135"/>
      <c r="N262" s="135"/>
      <c r="O262" s="135"/>
      <c r="P262" s="135"/>
      <c r="Q262" s="135"/>
      <c r="R262" s="135"/>
      <c r="S262" s="135"/>
      <c r="T262" s="135"/>
      <c r="U262" s="135"/>
      <c r="V262" s="135"/>
      <c r="W262" s="135"/>
      <c r="X262" s="135"/>
      <c r="Y262" s="135"/>
      <c r="Z262" s="135"/>
    </row>
    <row r="263" spans="1:26" ht="12.75">
      <c r="A263" s="136" t="s">
        <v>7</v>
      </c>
      <c r="B263" s="136" t="s">
        <v>671</v>
      </c>
      <c r="C263" s="136" t="s">
        <v>679</v>
      </c>
      <c r="D263" s="136" t="s">
        <v>7496</v>
      </c>
      <c r="E263" s="136" t="s">
        <v>615</v>
      </c>
      <c r="F263" s="136">
        <v>41</v>
      </c>
      <c r="G263" s="137">
        <f t="shared" si="1"/>
        <v>8</v>
      </c>
      <c r="H263" s="137"/>
      <c r="I263" s="137"/>
      <c r="J263" s="135"/>
      <c r="K263" s="135"/>
      <c r="L263" s="135"/>
      <c r="M263" s="135"/>
      <c r="N263" s="135"/>
      <c r="O263" s="135"/>
      <c r="P263" s="135"/>
      <c r="Q263" s="135"/>
      <c r="R263" s="135"/>
      <c r="S263" s="135"/>
      <c r="T263" s="135"/>
      <c r="U263" s="135"/>
      <c r="V263" s="135"/>
      <c r="W263" s="135"/>
      <c r="X263" s="135"/>
      <c r="Y263" s="135"/>
      <c r="Z263" s="135"/>
    </row>
    <row r="264" spans="1:26" ht="12.75">
      <c r="A264" s="136" t="s">
        <v>7</v>
      </c>
      <c r="B264" s="136" t="s">
        <v>671</v>
      </c>
      <c r="C264" s="136" t="s">
        <v>679</v>
      </c>
      <c r="D264" s="136" t="s">
        <v>1626</v>
      </c>
      <c r="E264" s="136" t="s">
        <v>594</v>
      </c>
      <c r="F264" s="136">
        <v>22</v>
      </c>
      <c r="G264" s="137">
        <f t="shared" si="1"/>
        <v>9</v>
      </c>
      <c r="H264" s="137"/>
      <c r="I264" s="137"/>
      <c r="J264" s="135"/>
      <c r="K264" s="135"/>
      <c r="L264" s="135"/>
      <c r="M264" s="135"/>
      <c r="N264" s="135"/>
      <c r="O264" s="135"/>
      <c r="P264" s="135"/>
      <c r="Q264" s="135"/>
      <c r="R264" s="135"/>
      <c r="S264" s="135"/>
      <c r="T264" s="135"/>
      <c r="U264" s="135"/>
      <c r="V264" s="135"/>
      <c r="W264" s="135"/>
      <c r="X264" s="135"/>
      <c r="Y264" s="135"/>
      <c r="Z264" s="135"/>
    </row>
    <row r="265" spans="1:26" ht="12.75">
      <c r="A265" s="136" t="s">
        <v>7</v>
      </c>
      <c r="B265" s="136" t="s">
        <v>671</v>
      </c>
      <c r="C265" s="136" t="s">
        <v>679</v>
      </c>
      <c r="D265" s="136" t="s">
        <v>1665</v>
      </c>
      <c r="E265" s="136" t="s">
        <v>615</v>
      </c>
      <c r="F265" s="136">
        <v>18</v>
      </c>
      <c r="G265" s="137">
        <f t="shared" si="1"/>
        <v>10</v>
      </c>
      <c r="H265" s="137"/>
      <c r="I265" s="137"/>
      <c r="J265" s="135"/>
      <c r="K265" s="135"/>
      <c r="L265" s="135"/>
      <c r="M265" s="135"/>
      <c r="N265" s="135"/>
      <c r="O265" s="135"/>
      <c r="P265" s="135"/>
      <c r="Q265" s="135"/>
      <c r="R265" s="135"/>
      <c r="S265" s="135"/>
      <c r="T265" s="135"/>
      <c r="U265" s="135"/>
      <c r="V265" s="135"/>
      <c r="W265" s="135"/>
      <c r="X265" s="135"/>
      <c r="Y265" s="135"/>
      <c r="Z265" s="135"/>
    </row>
    <row r="266" spans="1:26" ht="12.75">
      <c r="A266" s="136" t="s">
        <v>7</v>
      </c>
      <c r="B266" s="136" t="s">
        <v>671</v>
      </c>
      <c r="C266" s="136" t="s">
        <v>679</v>
      </c>
      <c r="D266" s="136" t="s">
        <v>7478</v>
      </c>
      <c r="E266" s="136" t="s">
        <v>615</v>
      </c>
      <c r="F266" s="136">
        <v>11</v>
      </c>
      <c r="G266" s="137">
        <f t="shared" si="1"/>
        <v>11</v>
      </c>
      <c r="H266" s="137"/>
      <c r="I266" s="137"/>
      <c r="J266" s="135"/>
      <c r="K266" s="135"/>
      <c r="L266" s="135"/>
      <c r="M266" s="135"/>
      <c r="N266" s="135"/>
      <c r="O266" s="135"/>
      <c r="P266" s="135"/>
      <c r="Q266" s="135"/>
      <c r="R266" s="135"/>
      <c r="S266" s="135"/>
      <c r="T266" s="135"/>
      <c r="U266" s="135"/>
      <c r="V266" s="135"/>
      <c r="W266" s="135"/>
      <c r="X266" s="135"/>
      <c r="Y266" s="135"/>
      <c r="Z266" s="135"/>
    </row>
    <row r="267" spans="1:26" ht="12.75">
      <c r="A267" s="136" t="s">
        <v>7</v>
      </c>
      <c r="B267" s="136" t="s">
        <v>671</v>
      </c>
      <c r="C267" s="136" t="s">
        <v>679</v>
      </c>
      <c r="D267" s="136" t="s">
        <v>7475</v>
      </c>
      <c r="E267" s="136" t="s">
        <v>594</v>
      </c>
      <c r="F267" s="136">
        <v>2</v>
      </c>
      <c r="G267" s="137">
        <f t="shared" si="1"/>
        <v>12</v>
      </c>
      <c r="H267" s="137"/>
      <c r="I267" s="137"/>
      <c r="J267" s="135"/>
      <c r="K267" s="135"/>
      <c r="L267" s="135"/>
      <c r="M267" s="135"/>
      <c r="N267" s="135"/>
      <c r="O267" s="135"/>
      <c r="P267" s="135"/>
      <c r="Q267" s="135"/>
      <c r="R267" s="135"/>
      <c r="S267" s="135"/>
      <c r="T267" s="135"/>
      <c r="U267" s="135"/>
      <c r="V267" s="135"/>
      <c r="W267" s="135"/>
      <c r="X267" s="135"/>
      <c r="Y267" s="135"/>
      <c r="Z267" s="135"/>
    </row>
    <row r="268" spans="1:26" ht="12.75">
      <c r="A268" s="136" t="s">
        <v>7</v>
      </c>
      <c r="B268" s="136" t="s">
        <v>671</v>
      </c>
      <c r="C268" s="136" t="s">
        <v>7501</v>
      </c>
      <c r="D268" s="136" t="s">
        <v>139</v>
      </c>
      <c r="E268" s="136" t="s">
        <v>594</v>
      </c>
      <c r="F268" s="136">
        <v>723</v>
      </c>
      <c r="G268" s="137">
        <f t="shared" si="1"/>
        <v>1</v>
      </c>
      <c r="H268" s="137"/>
      <c r="I268" s="137"/>
      <c r="J268" s="135"/>
      <c r="K268" s="135"/>
      <c r="L268" s="135"/>
      <c r="M268" s="135"/>
      <c r="N268" s="135"/>
      <c r="O268" s="135"/>
      <c r="P268" s="135"/>
      <c r="Q268" s="135"/>
      <c r="R268" s="135"/>
      <c r="S268" s="135"/>
      <c r="T268" s="135"/>
      <c r="U268" s="135"/>
      <c r="V268" s="135"/>
      <c r="W268" s="135"/>
      <c r="X268" s="135"/>
      <c r="Y268" s="135"/>
      <c r="Z268" s="135"/>
    </row>
    <row r="269" spans="1:26" ht="12.75">
      <c r="A269" s="136" t="s">
        <v>7</v>
      </c>
      <c r="B269" s="136" t="s">
        <v>671</v>
      </c>
      <c r="C269" s="136" t="s">
        <v>7501</v>
      </c>
      <c r="D269" s="136" t="s">
        <v>136</v>
      </c>
      <c r="E269" s="136" t="s">
        <v>615</v>
      </c>
      <c r="F269" s="136">
        <v>480</v>
      </c>
      <c r="G269" s="137">
        <f t="shared" si="1"/>
        <v>2</v>
      </c>
      <c r="H269" s="137"/>
      <c r="I269" s="137"/>
      <c r="J269" s="135"/>
      <c r="K269" s="135"/>
      <c r="L269" s="135"/>
      <c r="M269" s="135"/>
      <c r="N269" s="135"/>
      <c r="O269" s="135"/>
      <c r="P269" s="135"/>
      <c r="Q269" s="135"/>
      <c r="R269" s="135"/>
      <c r="S269" s="135"/>
      <c r="T269" s="135"/>
      <c r="U269" s="135"/>
      <c r="V269" s="135"/>
      <c r="W269" s="135"/>
      <c r="X269" s="135"/>
      <c r="Y269" s="135"/>
      <c r="Z269" s="135"/>
    </row>
    <row r="270" spans="1:26" ht="12.75">
      <c r="A270" s="136" t="s">
        <v>7</v>
      </c>
      <c r="B270" s="136" t="s">
        <v>671</v>
      </c>
      <c r="C270" s="136" t="s">
        <v>7501</v>
      </c>
      <c r="D270" s="136" t="s">
        <v>114</v>
      </c>
      <c r="E270" s="136" t="s">
        <v>85</v>
      </c>
      <c r="F270" s="136">
        <v>365</v>
      </c>
      <c r="G270" s="137">
        <f t="shared" si="1"/>
        <v>3</v>
      </c>
      <c r="H270" s="137"/>
      <c r="I270" s="137"/>
      <c r="J270" s="135"/>
      <c r="K270" s="135"/>
      <c r="L270" s="135"/>
      <c r="M270" s="135"/>
      <c r="N270" s="135"/>
      <c r="O270" s="135"/>
      <c r="P270" s="135"/>
      <c r="Q270" s="135"/>
      <c r="R270" s="135"/>
      <c r="S270" s="135"/>
      <c r="T270" s="135"/>
      <c r="U270" s="135"/>
      <c r="V270" s="135"/>
      <c r="W270" s="135"/>
      <c r="X270" s="135"/>
      <c r="Y270" s="135"/>
      <c r="Z270" s="135"/>
    </row>
    <row r="271" spans="1:26" ht="12.75">
      <c r="A271" s="136" t="s">
        <v>7</v>
      </c>
      <c r="B271" s="136" t="s">
        <v>671</v>
      </c>
      <c r="C271" s="136" t="s">
        <v>7501</v>
      </c>
      <c r="D271" s="136" t="s">
        <v>165</v>
      </c>
      <c r="E271" s="136" t="s">
        <v>615</v>
      </c>
      <c r="F271" s="136">
        <v>348</v>
      </c>
      <c r="G271" s="137">
        <f t="shared" si="1"/>
        <v>4</v>
      </c>
      <c r="H271" s="137"/>
      <c r="I271" s="137"/>
      <c r="J271" s="135"/>
      <c r="K271" s="135"/>
      <c r="L271" s="135"/>
      <c r="M271" s="135"/>
      <c r="N271" s="135"/>
      <c r="O271" s="135"/>
      <c r="P271" s="135"/>
      <c r="Q271" s="135"/>
      <c r="R271" s="135"/>
      <c r="S271" s="135"/>
      <c r="T271" s="135"/>
      <c r="U271" s="135"/>
      <c r="V271" s="135"/>
      <c r="W271" s="135"/>
      <c r="X271" s="135"/>
      <c r="Y271" s="135"/>
      <c r="Z271" s="135"/>
    </row>
    <row r="272" spans="1:26" ht="12.75">
      <c r="A272" s="136" t="s">
        <v>7</v>
      </c>
      <c r="B272" s="136" t="s">
        <v>671</v>
      </c>
      <c r="C272" s="136" t="s">
        <v>7501</v>
      </c>
      <c r="D272" s="136" t="s">
        <v>98</v>
      </c>
      <c r="E272" s="136" t="s">
        <v>615</v>
      </c>
      <c r="F272" s="136">
        <v>72</v>
      </c>
      <c r="G272" s="137">
        <f t="shared" si="1"/>
        <v>5</v>
      </c>
      <c r="H272" s="137"/>
      <c r="I272" s="137"/>
      <c r="J272" s="135"/>
      <c r="K272" s="135"/>
      <c r="L272" s="135"/>
      <c r="M272" s="135"/>
      <c r="N272" s="135"/>
      <c r="O272" s="135"/>
      <c r="P272" s="135"/>
      <c r="Q272" s="135"/>
      <c r="R272" s="135"/>
      <c r="S272" s="135"/>
      <c r="T272" s="135"/>
      <c r="U272" s="135"/>
      <c r="V272" s="135"/>
      <c r="W272" s="135"/>
      <c r="X272" s="135"/>
      <c r="Y272" s="135"/>
      <c r="Z272" s="135"/>
    </row>
    <row r="273" spans="1:26" ht="12.75">
      <c r="A273" s="136" t="s">
        <v>7</v>
      </c>
      <c r="B273" s="136" t="s">
        <v>671</v>
      </c>
      <c r="C273" s="136" t="s">
        <v>7501</v>
      </c>
      <c r="D273" s="136" t="s">
        <v>1665</v>
      </c>
      <c r="E273" s="136" t="s">
        <v>615</v>
      </c>
      <c r="F273" s="136">
        <v>45</v>
      </c>
      <c r="G273" s="137">
        <f t="shared" si="1"/>
        <v>6</v>
      </c>
      <c r="H273" s="137"/>
      <c r="I273" s="137"/>
      <c r="J273" s="135"/>
      <c r="K273" s="135"/>
      <c r="L273" s="135"/>
      <c r="M273" s="135"/>
      <c r="N273" s="135"/>
      <c r="O273" s="135"/>
      <c r="P273" s="135"/>
      <c r="Q273" s="135"/>
      <c r="R273" s="135"/>
      <c r="S273" s="135"/>
      <c r="T273" s="135"/>
      <c r="U273" s="135"/>
      <c r="V273" s="135"/>
      <c r="W273" s="135"/>
      <c r="X273" s="135"/>
      <c r="Y273" s="135"/>
      <c r="Z273" s="135"/>
    </row>
    <row r="274" spans="1:26" ht="12.75">
      <c r="A274" s="136" t="s">
        <v>7</v>
      </c>
      <c r="B274" s="136" t="s">
        <v>671</v>
      </c>
      <c r="C274" s="136" t="s">
        <v>7501</v>
      </c>
      <c r="D274" s="136" t="s">
        <v>7478</v>
      </c>
      <c r="E274" s="136" t="s">
        <v>615</v>
      </c>
      <c r="F274" s="136">
        <v>32</v>
      </c>
      <c r="G274" s="137">
        <f t="shared" si="1"/>
        <v>7</v>
      </c>
      <c r="H274" s="137"/>
      <c r="I274" s="137"/>
      <c r="J274" s="135"/>
      <c r="K274" s="135"/>
      <c r="L274" s="135"/>
      <c r="M274" s="135"/>
      <c r="N274" s="135"/>
      <c r="O274" s="135"/>
      <c r="P274" s="135"/>
      <c r="Q274" s="135"/>
      <c r="R274" s="135"/>
      <c r="S274" s="135"/>
      <c r="T274" s="135"/>
      <c r="U274" s="135"/>
      <c r="V274" s="135"/>
      <c r="W274" s="135"/>
      <c r="X274" s="135"/>
      <c r="Y274" s="135"/>
      <c r="Z274" s="135"/>
    </row>
    <row r="275" spans="1:26" ht="12.75">
      <c r="A275" s="136" t="s">
        <v>7</v>
      </c>
      <c r="B275" s="136" t="s">
        <v>671</v>
      </c>
      <c r="C275" s="136" t="s">
        <v>7501</v>
      </c>
      <c r="D275" s="136" t="s">
        <v>7475</v>
      </c>
      <c r="E275" s="136" t="s">
        <v>594</v>
      </c>
      <c r="F275" s="136">
        <v>23</v>
      </c>
      <c r="G275" s="137">
        <f t="shared" si="1"/>
        <v>8</v>
      </c>
      <c r="H275" s="137"/>
      <c r="I275" s="137"/>
      <c r="J275" s="135"/>
      <c r="K275" s="135"/>
      <c r="L275" s="135"/>
      <c r="M275" s="135"/>
      <c r="N275" s="135"/>
      <c r="O275" s="135"/>
      <c r="P275" s="135"/>
      <c r="Q275" s="135"/>
      <c r="R275" s="135"/>
      <c r="S275" s="135"/>
      <c r="T275" s="135"/>
      <c r="U275" s="135"/>
      <c r="V275" s="135"/>
      <c r="W275" s="135"/>
      <c r="X275" s="135"/>
      <c r="Y275" s="135"/>
      <c r="Z275" s="135"/>
    </row>
    <row r="276" spans="1:26" ht="12.75">
      <c r="A276" s="136" t="s">
        <v>7</v>
      </c>
      <c r="B276" s="136" t="s">
        <v>671</v>
      </c>
      <c r="C276" s="136" t="s">
        <v>7501</v>
      </c>
      <c r="D276" s="136" t="s">
        <v>467</v>
      </c>
      <c r="E276" s="136" t="s">
        <v>85</v>
      </c>
      <c r="F276" s="136">
        <v>15</v>
      </c>
      <c r="G276" s="137">
        <f t="shared" si="1"/>
        <v>9</v>
      </c>
      <c r="H276" s="137"/>
      <c r="I276" s="137"/>
      <c r="J276" s="135"/>
      <c r="K276" s="135"/>
      <c r="L276" s="135"/>
      <c r="M276" s="135"/>
      <c r="N276" s="135"/>
      <c r="O276" s="135"/>
      <c r="P276" s="135"/>
      <c r="Q276" s="135"/>
      <c r="R276" s="135"/>
      <c r="S276" s="135"/>
      <c r="T276" s="135"/>
      <c r="U276" s="135"/>
      <c r="V276" s="135"/>
      <c r="W276" s="135"/>
      <c r="X276" s="135"/>
      <c r="Y276" s="135"/>
      <c r="Z276" s="135"/>
    </row>
    <row r="277" spans="1:26" ht="12.75">
      <c r="A277" s="136" t="s">
        <v>7</v>
      </c>
      <c r="B277" s="136" t="s">
        <v>671</v>
      </c>
      <c r="C277" s="136" t="s">
        <v>7501</v>
      </c>
      <c r="D277" s="136" t="s">
        <v>7496</v>
      </c>
      <c r="E277" s="136" t="s">
        <v>615</v>
      </c>
      <c r="F277" s="136">
        <v>10</v>
      </c>
      <c r="G277" s="137">
        <f t="shared" si="1"/>
        <v>10</v>
      </c>
      <c r="H277" s="137"/>
      <c r="I277" s="137"/>
      <c r="J277" s="135"/>
      <c r="K277" s="135"/>
      <c r="L277" s="135"/>
      <c r="M277" s="135"/>
      <c r="N277" s="135"/>
      <c r="O277" s="135"/>
      <c r="P277" s="135"/>
      <c r="Q277" s="135"/>
      <c r="R277" s="135"/>
      <c r="S277" s="135"/>
      <c r="T277" s="135"/>
      <c r="U277" s="135"/>
      <c r="V277" s="135"/>
      <c r="W277" s="135"/>
      <c r="X277" s="135"/>
      <c r="Y277" s="135"/>
      <c r="Z277" s="135"/>
    </row>
    <row r="278" spans="1:26" ht="12.75">
      <c r="A278" s="136" t="s">
        <v>7</v>
      </c>
      <c r="B278" s="136" t="s">
        <v>671</v>
      </c>
      <c r="C278" s="136" t="s">
        <v>7501</v>
      </c>
      <c r="D278" s="136" t="s">
        <v>7473</v>
      </c>
      <c r="E278" s="136" t="s">
        <v>615</v>
      </c>
      <c r="F278" s="136">
        <v>9</v>
      </c>
      <c r="G278" s="137">
        <f t="shared" si="1"/>
        <v>11</v>
      </c>
      <c r="H278" s="137"/>
      <c r="I278" s="137"/>
      <c r="J278" s="135"/>
      <c r="K278" s="135"/>
      <c r="L278" s="135"/>
      <c r="M278" s="135"/>
      <c r="N278" s="135"/>
      <c r="O278" s="135"/>
      <c r="P278" s="135"/>
      <c r="Q278" s="135"/>
      <c r="R278" s="135"/>
      <c r="S278" s="135"/>
      <c r="T278" s="135"/>
      <c r="U278" s="135"/>
      <c r="V278" s="135"/>
      <c r="W278" s="135"/>
      <c r="X278" s="135"/>
      <c r="Y278" s="135"/>
      <c r="Z278" s="135"/>
    </row>
    <row r="279" spans="1:26" ht="12.75">
      <c r="A279" s="136" t="s">
        <v>7</v>
      </c>
      <c r="B279" s="136" t="s">
        <v>671</v>
      </c>
      <c r="C279" s="136" t="s">
        <v>683</v>
      </c>
      <c r="D279" s="136" t="s">
        <v>98</v>
      </c>
      <c r="E279" s="136" t="s">
        <v>615</v>
      </c>
      <c r="F279" s="136">
        <v>1839</v>
      </c>
      <c r="G279" s="137">
        <f t="shared" si="1"/>
        <v>1</v>
      </c>
      <c r="H279" s="137"/>
      <c r="I279" s="137"/>
      <c r="J279" s="135"/>
      <c r="K279" s="135"/>
      <c r="L279" s="135"/>
      <c r="M279" s="135"/>
      <c r="N279" s="135"/>
      <c r="O279" s="135"/>
      <c r="P279" s="135"/>
      <c r="Q279" s="135"/>
      <c r="R279" s="135"/>
      <c r="S279" s="135"/>
      <c r="T279" s="135"/>
      <c r="U279" s="135"/>
      <c r="V279" s="135"/>
      <c r="W279" s="135"/>
      <c r="X279" s="135"/>
      <c r="Y279" s="135"/>
      <c r="Z279" s="135"/>
    </row>
    <row r="280" spans="1:26" ht="12.75">
      <c r="A280" s="136" t="s">
        <v>7</v>
      </c>
      <c r="B280" s="136" t="s">
        <v>671</v>
      </c>
      <c r="C280" s="136" t="s">
        <v>683</v>
      </c>
      <c r="D280" s="136" t="s">
        <v>467</v>
      </c>
      <c r="E280" s="136" t="s">
        <v>85</v>
      </c>
      <c r="F280" s="136">
        <v>601</v>
      </c>
      <c r="G280" s="137">
        <f t="shared" si="1"/>
        <v>2</v>
      </c>
      <c r="H280" s="137"/>
      <c r="I280" s="137"/>
      <c r="J280" s="135"/>
      <c r="K280" s="135"/>
      <c r="L280" s="135"/>
      <c r="M280" s="135"/>
      <c r="N280" s="135"/>
      <c r="O280" s="135"/>
      <c r="P280" s="135"/>
      <c r="Q280" s="135"/>
      <c r="R280" s="135"/>
      <c r="S280" s="135"/>
      <c r="T280" s="135"/>
      <c r="U280" s="135"/>
      <c r="V280" s="135"/>
      <c r="W280" s="135"/>
      <c r="X280" s="135"/>
      <c r="Y280" s="135"/>
      <c r="Z280" s="135"/>
    </row>
    <row r="281" spans="1:26" ht="12.75">
      <c r="A281" s="136" t="s">
        <v>7</v>
      </c>
      <c r="B281" s="136" t="s">
        <v>671</v>
      </c>
      <c r="C281" s="136" t="s">
        <v>683</v>
      </c>
      <c r="D281" s="136" t="s">
        <v>1665</v>
      </c>
      <c r="E281" s="136" t="s">
        <v>615</v>
      </c>
      <c r="F281" s="136">
        <v>93</v>
      </c>
      <c r="G281" s="137">
        <f t="shared" si="1"/>
        <v>3</v>
      </c>
      <c r="H281" s="137"/>
      <c r="I281" s="137"/>
      <c r="J281" s="135"/>
      <c r="K281" s="135"/>
      <c r="L281" s="135"/>
      <c r="M281" s="135"/>
      <c r="N281" s="135"/>
      <c r="O281" s="135"/>
      <c r="P281" s="135"/>
      <c r="Q281" s="135"/>
      <c r="R281" s="135"/>
      <c r="S281" s="135"/>
      <c r="T281" s="135"/>
      <c r="U281" s="135"/>
      <c r="V281" s="135"/>
      <c r="W281" s="135"/>
      <c r="X281" s="135"/>
      <c r="Y281" s="135"/>
      <c r="Z281" s="135"/>
    </row>
    <row r="282" spans="1:26" ht="12.75">
      <c r="A282" s="136" t="s">
        <v>7</v>
      </c>
      <c r="B282" s="136" t="s">
        <v>671</v>
      </c>
      <c r="C282" s="136" t="s">
        <v>683</v>
      </c>
      <c r="D282" s="136" t="s">
        <v>7478</v>
      </c>
      <c r="E282" s="136" t="s">
        <v>615</v>
      </c>
      <c r="F282" s="136">
        <v>89</v>
      </c>
      <c r="G282" s="137">
        <f t="shared" si="1"/>
        <v>4</v>
      </c>
      <c r="H282" s="137"/>
      <c r="I282" s="137"/>
      <c r="J282" s="135"/>
      <c r="K282" s="135"/>
      <c r="L282" s="135"/>
      <c r="M282" s="135"/>
      <c r="N282" s="135"/>
      <c r="O282" s="135"/>
      <c r="P282" s="135"/>
      <c r="Q282" s="135"/>
      <c r="R282" s="135"/>
      <c r="S282" s="135"/>
      <c r="T282" s="135"/>
      <c r="U282" s="135"/>
      <c r="V282" s="135"/>
      <c r="W282" s="135"/>
      <c r="X282" s="135"/>
      <c r="Y282" s="135"/>
      <c r="Z282" s="135"/>
    </row>
    <row r="283" spans="1:26" ht="12.75">
      <c r="A283" s="136" t="s">
        <v>7</v>
      </c>
      <c r="B283" s="136" t="s">
        <v>671</v>
      </c>
      <c r="C283" s="136" t="s">
        <v>683</v>
      </c>
      <c r="D283" s="136" t="s">
        <v>7496</v>
      </c>
      <c r="E283" s="136" t="s">
        <v>615</v>
      </c>
      <c r="F283" s="136">
        <v>9</v>
      </c>
      <c r="G283" s="137">
        <f t="shared" si="1"/>
        <v>5</v>
      </c>
      <c r="H283" s="137"/>
      <c r="I283" s="137"/>
      <c r="J283" s="135"/>
      <c r="K283" s="135"/>
      <c r="L283" s="135"/>
      <c r="M283" s="135"/>
      <c r="N283" s="135"/>
      <c r="O283" s="135"/>
      <c r="P283" s="135"/>
      <c r="Q283" s="135"/>
      <c r="R283" s="135"/>
      <c r="S283" s="135"/>
      <c r="T283" s="135"/>
      <c r="U283" s="135"/>
      <c r="V283" s="135"/>
      <c r="W283" s="135"/>
      <c r="X283" s="135"/>
      <c r="Y283" s="135"/>
      <c r="Z283" s="135"/>
    </row>
    <row r="284" spans="1:26" ht="12.75">
      <c r="A284" s="136" t="s">
        <v>7</v>
      </c>
      <c r="B284" s="136" t="s">
        <v>671</v>
      </c>
      <c r="C284" s="136" t="s">
        <v>683</v>
      </c>
      <c r="D284" s="136" t="s">
        <v>1626</v>
      </c>
      <c r="E284" s="136" t="s">
        <v>594</v>
      </c>
      <c r="F284" s="136">
        <v>3</v>
      </c>
      <c r="G284" s="137">
        <f t="shared" si="1"/>
        <v>6</v>
      </c>
      <c r="H284" s="137"/>
      <c r="I284" s="137"/>
      <c r="J284" s="135"/>
      <c r="K284" s="135"/>
      <c r="L284" s="135"/>
      <c r="M284" s="135"/>
      <c r="N284" s="135"/>
      <c r="O284" s="135"/>
      <c r="P284" s="135"/>
      <c r="Q284" s="135"/>
      <c r="R284" s="135"/>
      <c r="S284" s="135"/>
      <c r="T284" s="135"/>
      <c r="U284" s="135"/>
      <c r="V284" s="135"/>
      <c r="W284" s="135"/>
      <c r="X284" s="135"/>
      <c r="Y284" s="135"/>
      <c r="Z284" s="135"/>
    </row>
    <row r="285" spans="1:26" ht="12.75">
      <c r="A285" s="136" t="s">
        <v>7</v>
      </c>
      <c r="B285" s="136" t="s">
        <v>671</v>
      </c>
      <c r="C285" s="136" t="s">
        <v>683</v>
      </c>
      <c r="D285" s="136" t="s">
        <v>7491</v>
      </c>
      <c r="E285" s="136" t="s">
        <v>615</v>
      </c>
      <c r="F285" s="136">
        <v>3</v>
      </c>
      <c r="G285" s="137">
        <f t="shared" si="1"/>
        <v>7</v>
      </c>
      <c r="H285" s="137"/>
      <c r="I285" s="137"/>
      <c r="J285" s="135"/>
      <c r="K285" s="135"/>
      <c r="L285" s="135"/>
      <c r="M285" s="135"/>
      <c r="N285" s="135"/>
      <c r="O285" s="135"/>
      <c r="P285" s="135"/>
      <c r="Q285" s="135"/>
      <c r="R285" s="135"/>
      <c r="S285" s="135"/>
      <c r="T285" s="135"/>
      <c r="U285" s="135"/>
      <c r="V285" s="135"/>
      <c r="W285" s="135"/>
      <c r="X285" s="135"/>
      <c r="Y285" s="135"/>
      <c r="Z285" s="135"/>
    </row>
    <row r="286" spans="1:26" ht="12.75">
      <c r="A286" s="136" t="s">
        <v>7</v>
      </c>
      <c r="B286" s="136" t="s">
        <v>671</v>
      </c>
      <c r="C286" s="136" t="s">
        <v>683</v>
      </c>
      <c r="D286" s="136" t="s">
        <v>7475</v>
      </c>
      <c r="E286" s="136" t="s">
        <v>594</v>
      </c>
      <c r="F286" s="136">
        <v>1</v>
      </c>
      <c r="G286" s="137">
        <f t="shared" si="1"/>
        <v>8</v>
      </c>
      <c r="H286" s="137"/>
      <c r="I286" s="137"/>
      <c r="J286" s="135"/>
      <c r="K286" s="135"/>
      <c r="L286" s="135"/>
      <c r="M286" s="135"/>
      <c r="N286" s="135"/>
      <c r="O286" s="135"/>
      <c r="P286" s="135"/>
      <c r="Q286" s="135"/>
      <c r="R286" s="135"/>
      <c r="S286" s="135"/>
      <c r="T286" s="135"/>
      <c r="U286" s="135"/>
      <c r="V286" s="135"/>
      <c r="W286" s="135"/>
      <c r="X286" s="135"/>
      <c r="Y286" s="135"/>
      <c r="Z286" s="135"/>
    </row>
    <row r="287" spans="1:26" ht="12.75">
      <c r="A287" s="136" t="s">
        <v>7</v>
      </c>
      <c r="B287" s="136" t="s">
        <v>671</v>
      </c>
      <c r="C287" s="136" t="s">
        <v>685</v>
      </c>
      <c r="D287" s="136" t="s">
        <v>98</v>
      </c>
      <c r="E287" s="136" t="s">
        <v>615</v>
      </c>
      <c r="F287" s="136">
        <v>1567</v>
      </c>
      <c r="G287" s="137">
        <f t="shared" si="1"/>
        <v>1</v>
      </c>
      <c r="H287" s="137"/>
      <c r="I287" s="137"/>
      <c r="J287" s="135"/>
      <c r="K287" s="135"/>
      <c r="L287" s="135"/>
      <c r="M287" s="135"/>
      <c r="N287" s="135"/>
      <c r="O287" s="135"/>
      <c r="P287" s="135"/>
      <c r="Q287" s="135"/>
      <c r="R287" s="135"/>
      <c r="S287" s="135"/>
      <c r="T287" s="135"/>
      <c r="U287" s="135"/>
      <c r="V287" s="135"/>
      <c r="W287" s="135"/>
      <c r="X287" s="135"/>
      <c r="Y287" s="135"/>
      <c r="Z287" s="135"/>
    </row>
    <row r="288" spans="1:26" ht="12.75">
      <c r="A288" s="136" t="s">
        <v>7</v>
      </c>
      <c r="B288" s="136" t="s">
        <v>671</v>
      </c>
      <c r="C288" s="136" t="s">
        <v>685</v>
      </c>
      <c r="D288" s="136" t="s">
        <v>114</v>
      </c>
      <c r="E288" s="136" t="s">
        <v>85</v>
      </c>
      <c r="F288" s="136">
        <v>417</v>
      </c>
      <c r="G288" s="137">
        <f t="shared" si="1"/>
        <v>2</v>
      </c>
      <c r="H288" s="137"/>
      <c r="I288" s="137"/>
      <c r="J288" s="135"/>
      <c r="K288" s="135"/>
      <c r="L288" s="135"/>
      <c r="M288" s="135"/>
      <c r="N288" s="135"/>
      <c r="O288" s="135"/>
      <c r="P288" s="135"/>
      <c r="Q288" s="135"/>
      <c r="R288" s="135"/>
      <c r="S288" s="135"/>
      <c r="T288" s="135"/>
      <c r="U288" s="135"/>
      <c r="V288" s="135"/>
      <c r="W288" s="135"/>
      <c r="X288" s="135"/>
      <c r="Y288" s="135"/>
      <c r="Z288" s="135"/>
    </row>
    <row r="289" spans="1:26" ht="12.75">
      <c r="A289" s="136" t="s">
        <v>7</v>
      </c>
      <c r="B289" s="136" t="s">
        <v>671</v>
      </c>
      <c r="C289" s="136" t="s">
        <v>685</v>
      </c>
      <c r="D289" s="136" t="s">
        <v>136</v>
      </c>
      <c r="E289" s="136" t="s">
        <v>615</v>
      </c>
      <c r="F289" s="136">
        <v>351</v>
      </c>
      <c r="G289" s="137">
        <f t="shared" si="1"/>
        <v>3</v>
      </c>
      <c r="H289" s="137"/>
      <c r="I289" s="137"/>
      <c r="J289" s="135"/>
      <c r="K289" s="135"/>
      <c r="L289" s="135"/>
      <c r="M289" s="135"/>
      <c r="N289" s="135"/>
      <c r="O289" s="135"/>
      <c r="P289" s="135"/>
      <c r="Q289" s="135"/>
      <c r="R289" s="135"/>
      <c r="S289" s="135"/>
      <c r="T289" s="135"/>
      <c r="U289" s="135"/>
      <c r="V289" s="135"/>
      <c r="W289" s="135"/>
      <c r="X289" s="135"/>
      <c r="Y289" s="135"/>
      <c r="Z289" s="135"/>
    </row>
    <row r="290" spans="1:26" ht="12.75">
      <c r="A290" s="136" t="s">
        <v>7</v>
      </c>
      <c r="B290" s="136" t="s">
        <v>671</v>
      </c>
      <c r="C290" s="136" t="s">
        <v>685</v>
      </c>
      <c r="D290" s="136" t="s">
        <v>467</v>
      </c>
      <c r="E290" s="136" t="s">
        <v>85</v>
      </c>
      <c r="F290" s="136">
        <v>341</v>
      </c>
      <c r="G290" s="137">
        <f t="shared" si="1"/>
        <v>4</v>
      </c>
      <c r="H290" s="137"/>
      <c r="I290" s="137"/>
      <c r="J290" s="135"/>
      <c r="K290" s="135"/>
      <c r="L290" s="135"/>
      <c r="M290" s="135"/>
      <c r="N290" s="135"/>
      <c r="O290" s="135"/>
      <c r="P290" s="135"/>
      <c r="Q290" s="135"/>
      <c r="R290" s="135"/>
      <c r="S290" s="135"/>
      <c r="T290" s="135"/>
      <c r="U290" s="135"/>
      <c r="V290" s="135"/>
      <c r="W290" s="135"/>
      <c r="X290" s="135"/>
      <c r="Y290" s="135"/>
      <c r="Z290" s="135"/>
    </row>
    <row r="291" spans="1:26" ht="12.75">
      <c r="A291" s="136" t="s">
        <v>7</v>
      </c>
      <c r="B291" s="136" t="s">
        <v>671</v>
      </c>
      <c r="C291" s="136" t="s">
        <v>685</v>
      </c>
      <c r="D291" s="136" t="s">
        <v>7502</v>
      </c>
      <c r="E291" s="136" t="s">
        <v>615</v>
      </c>
      <c r="F291" s="136">
        <v>96</v>
      </c>
      <c r="G291" s="137">
        <f t="shared" si="1"/>
        <v>5</v>
      </c>
      <c r="H291" s="137"/>
      <c r="I291" s="137"/>
      <c r="J291" s="135"/>
      <c r="K291" s="135"/>
      <c r="L291" s="135"/>
      <c r="M291" s="135"/>
      <c r="N291" s="135"/>
      <c r="O291" s="135"/>
      <c r="P291" s="135"/>
      <c r="Q291" s="135"/>
      <c r="R291" s="135"/>
      <c r="S291" s="135"/>
      <c r="T291" s="135"/>
      <c r="U291" s="135"/>
      <c r="V291" s="135"/>
      <c r="W291" s="135"/>
      <c r="X291" s="135"/>
      <c r="Y291" s="135"/>
      <c r="Z291" s="135"/>
    </row>
    <row r="292" spans="1:26" ht="12.75">
      <c r="A292" s="136" t="s">
        <v>7</v>
      </c>
      <c r="B292" s="136" t="s">
        <v>671</v>
      </c>
      <c r="C292" s="136" t="s">
        <v>685</v>
      </c>
      <c r="D292" s="136" t="s">
        <v>7496</v>
      </c>
      <c r="E292" s="136" t="s">
        <v>615</v>
      </c>
      <c r="F292" s="136">
        <v>79</v>
      </c>
      <c r="G292" s="137">
        <f t="shared" si="1"/>
        <v>6</v>
      </c>
      <c r="H292" s="137"/>
      <c r="I292" s="137"/>
      <c r="J292" s="135"/>
      <c r="K292" s="135"/>
      <c r="L292" s="135"/>
      <c r="M292" s="135"/>
      <c r="N292" s="135"/>
      <c r="O292" s="135"/>
      <c r="P292" s="135"/>
      <c r="Q292" s="135"/>
      <c r="R292" s="135"/>
      <c r="S292" s="135"/>
      <c r="T292" s="135"/>
      <c r="U292" s="135"/>
      <c r="V292" s="135"/>
      <c r="W292" s="135"/>
      <c r="X292" s="135"/>
      <c r="Y292" s="135"/>
      <c r="Z292" s="135"/>
    </row>
    <row r="293" spans="1:26" ht="25.5">
      <c r="A293" s="136" t="s">
        <v>7</v>
      </c>
      <c r="B293" s="136" t="s">
        <v>671</v>
      </c>
      <c r="C293" s="136" t="s">
        <v>685</v>
      </c>
      <c r="D293" s="136" t="s">
        <v>7503</v>
      </c>
      <c r="E293" s="136" t="s">
        <v>86</v>
      </c>
      <c r="F293" s="136">
        <v>76</v>
      </c>
      <c r="G293" s="137">
        <f t="shared" si="1"/>
        <v>7</v>
      </c>
      <c r="H293" s="137"/>
      <c r="I293" s="137"/>
      <c r="J293" s="135"/>
      <c r="K293" s="135"/>
      <c r="L293" s="135"/>
      <c r="M293" s="135"/>
      <c r="N293" s="135"/>
      <c r="O293" s="135"/>
      <c r="P293" s="135"/>
      <c r="Q293" s="135"/>
      <c r="R293" s="135"/>
      <c r="S293" s="135"/>
      <c r="T293" s="135"/>
      <c r="U293" s="135"/>
      <c r="V293" s="135"/>
      <c r="W293" s="135"/>
      <c r="X293" s="135"/>
      <c r="Y293" s="135"/>
      <c r="Z293" s="135"/>
    </row>
    <row r="294" spans="1:26" ht="12.75">
      <c r="A294" s="136" t="s">
        <v>7</v>
      </c>
      <c r="B294" s="136" t="s">
        <v>671</v>
      </c>
      <c r="C294" s="136" t="s">
        <v>685</v>
      </c>
      <c r="D294" s="136" t="s">
        <v>1665</v>
      </c>
      <c r="E294" s="136" t="s">
        <v>615</v>
      </c>
      <c r="F294" s="136">
        <v>64</v>
      </c>
      <c r="G294" s="137">
        <f t="shared" si="1"/>
        <v>8</v>
      </c>
      <c r="H294" s="137"/>
      <c r="I294" s="137"/>
      <c r="J294" s="135"/>
      <c r="K294" s="135"/>
      <c r="L294" s="135"/>
      <c r="M294" s="135"/>
      <c r="N294" s="135"/>
      <c r="O294" s="135"/>
      <c r="P294" s="135"/>
      <c r="Q294" s="135"/>
      <c r="R294" s="135"/>
      <c r="S294" s="135"/>
      <c r="T294" s="135"/>
      <c r="U294" s="135"/>
      <c r="V294" s="135"/>
      <c r="W294" s="135"/>
      <c r="X294" s="135"/>
      <c r="Y294" s="135"/>
      <c r="Z294" s="135"/>
    </row>
    <row r="295" spans="1:26" ht="12.75">
      <c r="A295" s="136" t="s">
        <v>7</v>
      </c>
      <c r="B295" s="136" t="s">
        <v>671</v>
      </c>
      <c r="C295" s="136" t="s">
        <v>685</v>
      </c>
      <c r="D295" s="136" t="s">
        <v>7478</v>
      </c>
      <c r="E295" s="136" t="s">
        <v>615</v>
      </c>
      <c r="F295" s="136">
        <v>30</v>
      </c>
      <c r="G295" s="137">
        <f t="shared" si="1"/>
        <v>9</v>
      </c>
      <c r="H295" s="137"/>
      <c r="I295" s="137"/>
      <c r="J295" s="135"/>
      <c r="K295" s="135"/>
      <c r="L295" s="135"/>
      <c r="M295" s="135"/>
      <c r="N295" s="135"/>
      <c r="O295" s="135"/>
      <c r="P295" s="135"/>
      <c r="Q295" s="135"/>
      <c r="R295" s="135"/>
      <c r="S295" s="135"/>
      <c r="T295" s="135"/>
      <c r="U295" s="135"/>
      <c r="V295" s="135"/>
      <c r="W295" s="135"/>
      <c r="X295" s="135"/>
      <c r="Y295" s="135"/>
      <c r="Z295" s="135"/>
    </row>
    <row r="296" spans="1:26" ht="12.75">
      <c r="A296" s="136" t="s">
        <v>7</v>
      </c>
      <c r="B296" s="136" t="s">
        <v>671</v>
      </c>
      <c r="C296" s="136" t="s">
        <v>685</v>
      </c>
      <c r="D296" s="136" t="s">
        <v>139</v>
      </c>
      <c r="E296" s="136" t="s">
        <v>594</v>
      </c>
      <c r="F296" s="136">
        <v>9</v>
      </c>
      <c r="G296" s="137">
        <f t="shared" si="1"/>
        <v>10</v>
      </c>
      <c r="H296" s="137"/>
      <c r="I296" s="137"/>
      <c r="J296" s="135"/>
      <c r="K296" s="135"/>
      <c r="L296" s="135"/>
      <c r="M296" s="135"/>
      <c r="N296" s="135"/>
      <c r="O296" s="135"/>
      <c r="P296" s="135"/>
      <c r="Q296" s="135"/>
      <c r="R296" s="135"/>
      <c r="S296" s="135"/>
      <c r="T296" s="135"/>
      <c r="U296" s="135"/>
      <c r="V296" s="135"/>
      <c r="W296" s="135"/>
      <c r="X296" s="135"/>
      <c r="Y296" s="135"/>
      <c r="Z296" s="135"/>
    </row>
    <row r="297" spans="1:26" ht="12.75">
      <c r="A297" s="136" t="s">
        <v>7</v>
      </c>
      <c r="B297" s="136" t="s">
        <v>671</v>
      </c>
      <c r="C297" s="136" t="s">
        <v>685</v>
      </c>
      <c r="D297" s="136" t="s">
        <v>7481</v>
      </c>
      <c r="E297" s="136" t="s">
        <v>615</v>
      </c>
      <c r="F297" s="136">
        <v>7</v>
      </c>
      <c r="G297" s="137">
        <f t="shared" si="1"/>
        <v>11</v>
      </c>
      <c r="H297" s="137"/>
      <c r="I297" s="137"/>
      <c r="J297" s="135"/>
      <c r="K297" s="135"/>
      <c r="L297" s="135"/>
      <c r="M297" s="135"/>
      <c r="N297" s="135"/>
      <c r="O297" s="135"/>
      <c r="P297" s="135"/>
      <c r="Q297" s="135"/>
      <c r="R297" s="135"/>
      <c r="S297" s="135"/>
      <c r="T297" s="135"/>
      <c r="U297" s="135"/>
      <c r="V297" s="135"/>
      <c r="W297" s="135"/>
      <c r="X297" s="135"/>
      <c r="Y297" s="135"/>
      <c r="Z297" s="135"/>
    </row>
    <row r="298" spans="1:26" ht="12.75">
      <c r="A298" s="136" t="s">
        <v>7</v>
      </c>
      <c r="B298" s="136" t="s">
        <v>671</v>
      </c>
      <c r="C298" s="136" t="s">
        <v>685</v>
      </c>
      <c r="D298" s="136" t="s">
        <v>1626</v>
      </c>
      <c r="E298" s="136" t="s">
        <v>594</v>
      </c>
      <c r="F298" s="136">
        <v>5</v>
      </c>
      <c r="G298" s="137">
        <f t="shared" si="1"/>
        <v>12</v>
      </c>
      <c r="H298" s="137"/>
      <c r="I298" s="137"/>
      <c r="J298" s="135"/>
      <c r="K298" s="135"/>
      <c r="L298" s="135"/>
      <c r="M298" s="135"/>
      <c r="N298" s="135"/>
      <c r="O298" s="135"/>
      <c r="P298" s="135"/>
      <c r="Q298" s="135"/>
      <c r="R298" s="135"/>
      <c r="S298" s="135"/>
      <c r="T298" s="135"/>
      <c r="U298" s="135"/>
      <c r="V298" s="135"/>
      <c r="W298" s="135"/>
      <c r="X298" s="135"/>
      <c r="Y298" s="135"/>
      <c r="Z298" s="135"/>
    </row>
    <row r="299" spans="1:26" ht="12.75">
      <c r="A299" s="136" t="s">
        <v>7</v>
      </c>
      <c r="B299" s="136" t="s">
        <v>671</v>
      </c>
      <c r="C299" s="136" t="s">
        <v>690</v>
      </c>
      <c r="D299" s="136" t="s">
        <v>98</v>
      </c>
      <c r="E299" s="136" t="s">
        <v>615</v>
      </c>
      <c r="F299" s="136">
        <v>1080</v>
      </c>
      <c r="G299" s="137">
        <f t="shared" si="1"/>
        <v>1</v>
      </c>
      <c r="H299" s="137"/>
      <c r="I299" s="137"/>
      <c r="J299" s="135"/>
      <c r="K299" s="135"/>
      <c r="L299" s="135"/>
      <c r="M299" s="135"/>
      <c r="N299" s="135"/>
      <c r="O299" s="135"/>
      <c r="P299" s="135"/>
      <c r="Q299" s="135"/>
      <c r="R299" s="135"/>
      <c r="S299" s="135"/>
      <c r="T299" s="135"/>
      <c r="U299" s="135"/>
      <c r="V299" s="135"/>
      <c r="W299" s="135"/>
      <c r="X299" s="135"/>
      <c r="Y299" s="135"/>
      <c r="Z299" s="135"/>
    </row>
    <row r="300" spans="1:26" ht="12.75">
      <c r="A300" s="136" t="s">
        <v>7</v>
      </c>
      <c r="B300" s="136" t="s">
        <v>671</v>
      </c>
      <c r="C300" s="136" t="s">
        <v>690</v>
      </c>
      <c r="D300" s="136" t="s">
        <v>139</v>
      </c>
      <c r="E300" s="136" t="s">
        <v>594</v>
      </c>
      <c r="F300" s="136">
        <v>598</v>
      </c>
      <c r="G300" s="137">
        <f t="shared" si="1"/>
        <v>2</v>
      </c>
      <c r="H300" s="137"/>
      <c r="I300" s="137"/>
      <c r="J300" s="135"/>
      <c r="K300" s="135"/>
      <c r="L300" s="135"/>
      <c r="M300" s="135"/>
      <c r="N300" s="135"/>
      <c r="O300" s="135"/>
      <c r="P300" s="135"/>
      <c r="Q300" s="135"/>
      <c r="R300" s="135"/>
      <c r="S300" s="135"/>
      <c r="T300" s="135"/>
      <c r="U300" s="135"/>
      <c r="V300" s="135"/>
      <c r="W300" s="135"/>
      <c r="X300" s="135"/>
      <c r="Y300" s="135"/>
      <c r="Z300" s="135"/>
    </row>
    <row r="301" spans="1:26" ht="12.75">
      <c r="A301" s="136" t="s">
        <v>7</v>
      </c>
      <c r="B301" s="136" t="s">
        <v>671</v>
      </c>
      <c r="C301" s="136" t="s">
        <v>690</v>
      </c>
      <c r="D301" s="136" t="s">
        <v>114</v>
      </c>
      <c r="E301" s="136" t="s">
        <v>85</v>
      </c>
      <c r="F301" s="136">
        <v>582</v>
      </c>
      <c r="G301" s="137">
        <f t="shared" si="1"/>
        <v>3</v>
      </c>
      <c r="H301" s="137"/>
      <c r="I301" s="137"/>
      <c r="J301" s="135"/>
      <c r="K301" s="135"/>
      <c r="L301" s="135"/>
      <c r="M301" s="135"/>
      <c r="N301" s="135"/>
      <c r="O301" s="135"/>
      <c r="P301" s="135"/>
      <c r="Q301" s="135"/>
      <c r="R301" s="135"/>
      <c r="S301" s="135"/>
      <c r="T301" s="135"/>
      <c r="U301" s="135"/>
      <c r="V301" s="135"/>
      <c r="W301" s="135"/>
      <c r="X301" s="135"/>
      <c r="Y301" s="135"/>
      <c r="Z301" s="135"/>
    </row>
    <row r="302" spans="1:26" ht="12.75">
      <c r="A302" s="136" t="s">
        <v>7</v>
      </c>
      <c r="B302" s="136" t="s">
        <v>671</v>
      </c>
      <c r="C302" s="136" t="s">
        <v>690</v>
      </c>
      <c r="D302" s="136" t="s">
        <v>7472</v>
      </c>
      <c r="E302" s="136" t="s">
        <v>615</v>
      </c>
      <c r="F302" s="136">
        <v>421</v>
      </c>
      <c r="G302" s="137">
        <f t="shared" si="1"/>
        <v>4</v>
      </c>
      <c r="H302" s="137"/>
      <c r="I302" s="137"/>
      <c r="J302" s="135"/>
      <c r="K302" s="135"/>
      <c r="L302" s="135"/>
      <c r="M302" s="135"/>
      <c r="N302" s="135"/>
      <c r="O302" s="135"/>
      <c r="P302" s="135"/>
      <c r="Q302" s="135"/>
      <c r="R302" s="135"/>
      <c r="S302" s="135"/>
      <c r="T302" s="135"/>
      <c r="U302" s="135"/>
      <c r="V302" s="135"/>
      <c r="W302" s="135"/>
      <c r="X302" s="135"/>
      <c r="Y302" s="135"/>
      <c r="Z302" s="135"/>
    </row>
    <row r="303" spans="1:26" ht="12.75">
      <c r="A303" s="136" t="s">
        <v>7</v>
      </c>
      <c r="B303" s="136" t="s">
        <v>671</v>
      </c>
      <c r="C303" s="136" t="s">
        <v>690</v>
      </c>
      <c r="D303" s="136" t="s">
        <v>7502</v>
      </c>
      <c r="E303" s="136" t="s">
        <v>615</v>
      </c>
      <c r="F303" s="136">
        <v>22</v>
      </c>
      <c r="G303" s="137">
        <f t="shared" si="1"/>
        <v>5</v>
      </c>
      <c r="H303" s="137"/>
      <c r="I303" s="137"/>
      <c r="J303" s="135"/>
      <c r="K303" s="135"/>
      <c r="L303" s="135"/>
      <c r="M303" s="135"/>
      <c r="N303" s="135"/>
      <c r="O303" s="135"/>
      <c r="P303" s="135"/>
      <c r="Q303" s="135"/>
      <c r="R303" s="135"/>
      <c r="S303" s="135"/>
      <c r="T303" s="135"/>
      <c r="U303" s="135"/>
      <c r="V303" s="135"/>
      <c r="W303" s="135"/>
      <c r="X303" s="135"/>
      <c r="Y303" s="135"/>
      <c r="Z303" s="135"/>
    </row>
    <row r="304" spans="1:26" ht="12.75">
      <c r="A304" s="136" t="s">
        <v>7</v>
      </c>
      <c r="B304" s="136" t="s">
        <v>671</v>
      </c>
      <c r="C304" s="136" t="s">
        <v>690</v>
      </c>
      <c r="D304" s="136" t="s">
        <v>7478</v>
      </c>
      <c r="E304" s="136" t="s">
        <v>615</v>
      </c>
      <c r="F304" s="136">
        <v>20</v>
      </c>
      <c r="G304" s="137">
        <f t="shared" si="1"/>
        <v>6</v>
      </c>
      <c r="H304" s="137"/>
      <c r="I304" s="137"/>
      <c r="J304" s="135"/>
      <c r="K304" s="135"/>
      <c r="L304" s="135"/>
      <c r="M304" s="135"/>
      <c r="N304" s="135"/>
      <c r="O304" s="135"/>
      <c r="P304" s="135"/>
      <c r="Q304" s="135"/>
      <c r="R304" s="135"/>
      <c r="S304" s="135"/>
      <c r="T304" s="135"/>
      <c r="U304" s="135"/>
      <c r="V304" s="135"/>
      <c r="W304" s="135"/>
      <c r="X304" s="135"/>
      <c r="Y304" s="135"/>
      <c r="Z304" s="135"/>
    </row>
    <row r="305" spans="1:26" ht="12.75">
      <c r="A305" s="136" t="s">
        <v>7</v>
      </c>
      <c r="B305" s="136" t="s">
        <v>671</v>
      </c>
      <c r="C305" s="136" t="s">
        <v>690</v>
      </c>
      <c r="D305" s="136" t="s">
        <v>7481</v>
      </c>
      <c r="E305" s="136" t="s">
        <v>615</v>
      </c>
      <c r="F305" s="136">
        <v>19</v>
      </c>
      <c r="G305" s="137">
        <f t="shared" si="1"/>
        <v>7</v>
      </c>
      <c r="H305" s="137"/>
      <c r="I305" s="137"/>
      <c r="J305" s="135"/>
      <c r="K305" s="135"/>
      <c r="L305" s="135"/>
      <c r="M305" s="135"/>
      <c r="N305" s="135"/>
      <c r="O305" s="135"/>
      <c r="P305" s="135"/>
      <c r="Q305" s="135"/>
      <c r="R305" s="135"/>
      <c r="S305" s="135"/>
      <c r="T305" s="135"/>
      <c r="U305" s="135"/>
      <c r="V305" s="135"/>
      <c r="W305" s="135"/>
      <c r="X305" s="135"/>
      <c r="Y305" s="135"/>
      <c r="Z305" s="135"/>
    </row>
    <row r="306" spans="1:26" ht="12.75">
      <c r="A306" s="136" t="s">
        <v>7</v>
      </c>
      <c r="B306" s="136" t="s">
        <v>671</v>
      </c>
      <c r="C306" s="136" t="s">
        <v>690</v>
      </c>
      <c r="D306" s="136" t="s">
        <v>1665</v>
      </c>
      <c r="E306" s="136" t="s">
        <v>615</v>
      </c>
      <c r="F306" s="136">
        <v>16</v>
      </c>
      <c r="G306" s="137">
        <f t="shared" si="1"/>
        <v>8</v>
      </c>
      <c r="H306" s="137"/>
      <c r="I306" s="137"/>
      <c r="J306" s="135"/>
      <c r="K306" s="135"/>
      <c r="L306" s="135"/>
      <c r="M306" s="135"/>
      <c r="N306" s="135"/>
      <c r="O306" s="135"/>
      <c r="P306" s="135"/>
      <c r="Q306" s="135"/>
      <c r="R306" s="135"/>
      <c r="S306" s="135"/>
      <c r="T306" s="135"/>
      <c r="U306" s="135"/>
      <c r="V306" s="135"/>
      <c r="W306" s="135"/>
      <c r="X306" s="135"/>
      <c r="Y306" s="135"/>
      <c r="Z306" s="135"/>
    </row>
    <row r="307" spans="1:26" ht="12.75">
      <c r="A307" s="136" t="s">
        <v>7</v>
      </c>
      <c r="B307" s="136" t="s">
        <v>671</v>
      </c>
      <c r="C307" s="136" t="s">
        <v>690</v>
      </c>
      <c r="D307" s="136" t="s">
        <v>7475</v>
      </c>
      <c r="E307" s="136" t="s">
        <v>594</v>
      </c>
      <c r="F307" s="136">
        <v>14</v>
      </c>
      <c r="G307" s="137">
        <f t="shared" si="1"/>
        <v>9</v>
      </c>
      <c r="H307" s="137"/>
      <c r="I307" s="137"/>
      <c r="J307" s="135"/>
      <c r="K307" s="135"/>
      <c r="L307" s="135"/>
      <c r="M307" s="135"/>
      <c r="N307" s="135"/>
      <c r="O307" s="135"/>
      <c r="P307" s="135"/>
      <c r="Q307" s="135"/>
      <c r="R307" s="135"/>
      <c r="S307" s="135"/>
      <c r="T307" s="135"/>
      <c r="U307" s="135"/>
      <c r="V307" s="135"/>
      <c r="W307" s="135"/>
      <c r="X307" s="135"/>
      <c r="Y307" s="135"/>
      <c r="Z307" s="135"/>
    </row>
    <row r="308" spans="1:26" ht="12.75">
      <c r="A308" s="136" t="s">
        <v>7</v>
      </c>
      <c r="B308" s="136" t="s">
        <v>671</v>
      </c>
      <c r="C308" s="136" t="s">
        <v>690</v>
      </c>
      <c r="D308" s="136" t="s">
        <v>467</v>
      </c>
      <c r="E308" s="136" t="s">
        <v>85</v>
      </c>
      <c r="F308" s="136">
        <v>2</v>
      </c>
      <c r="G308" s="137">
        <f t="shared" si="1"/>
        <v>10</v>
      </c>
      <c r="H308" s="137"/>
      <c r="I308" s="137"/>
      <c r="J308" s="135"/>
      <c r="K308" s="135"/>
      <c r="L308" s="135"/>
      <c r="M308" s="135"/>
      <c r="N308" s="135"/>
      <c r="O308" s="135"/>
      <c r="P308" s="135"/>
      <c r="Q308" s="135"/>
      <c r="R308" s="135"/>
      <c r="S308" s="135"/>
      <c r="T308" s="135"/>
      <c r="U308" s="135"/>
      <c r="V308" s="135"/>
      <c r="W308" s="135"/>
      <c r="X308" s="135"/>
      <c r="Y308" s="135"/>
      <c r="Z308" s="135"/>
    </row>
    <row r="309" spans="1:26" ht="12.75">
      <c r="A309" s="136" t="s">
        <v>7</v>
      </c>
      <c r="B309" s="136" t="s">
        <v>671</v>
      </c>
      <c r="C309" s="136" t="s">
        <v>7504</v>
      </c>
      <c r="D309" s="136" t="s">
        <v>114</v>
      </c>
      <c r="E309" s="136" t="s">
        <v>85</v>
      </c>
      <c r="F309" s="136">
        <v>556</v>
      </c>
      <c r="G309" s="137">
        <f t="shared" si="1"/>
        <v>2</v>
      </c>
      <c r="H309" s="137"/>
      <c r="I309" s="137"/>
      <c r="J309" s="135"/>
      <c r="K309" s="135"/>
      <c r="L309" s="135"/>
      <c r="M309" s="135"/>
      <c r="N309" s="135"/>
      <c r="O309" s="135"/>
      <c r="P309" s="135"/>
      <c r="Q309" s="135"/>
      <c r="R309" s="135"/>
      <c r="S309" s="135"/>
      <c r="T309" s="135"/>
      <c r="U309" s="135"/>
      <c r="V309" s="135"/>
      <c r="W309" s="135"/>
      <c r="X309" s="135"/>
      <c r="Y309" s="135"/>
      <c r="Z309" s="135"/>
    </row>
    <row r="310" spans="1:26" ht="12.75">
      <c r="A310" s="136" t="s">
        <v>7</v>
      </c>
      <c r="B310" s="136" t="s">
        <v>671</v>
      </c>
      <c r="C310" s="136" t="s">
        <v>7504</v>
      </c>
      <c r="D310" s="136" t="s">
        <v>7472</v>
      </c>
      <c r="E310" s="136" t="s">
        <v>615</v>
      </c>
      <c r="F310" s="136">
        <v>576</v>
      </c>
      <c r="G310" s="137">
        <f t="shared" si="1"/>
        <v>1</v>
      </c>
      <c r="H310" s="137"/>
      <c r="I310" s="137"/>
      <c r="J310" s="135"/>
      <c r="K310" s="135"/>
      <c r="L310" s="135"/>
      <c r="M310" s="135"/>
      <c r="N310" s="135"/>
      <c r="O310" s="135"/>
      <c r="P310" s="135"/>
      <c r="Q310" s="135"/>
      <c r="R310" s="135"/>
      <c r="S310" s="135"/>
      <c r="T310" s="135"/>
      <c r="U310" s="135"/>
      <c r="V310" s="135"/>
      <c r="W310" s="135"/>
      <c r="X310" s="135"/>
      <c r="Y310" s="135"/>
      <c r="Z310" s="135"/>
    </row>
    <row r="311" spans="1:26" ht="12.75">
      <c r="A311" s="136" t="s">
        <v>7</v>
      </c>
      <c r="B311" s="136" t="s">
        <v>671</v>
      </c>
      <c r="C311" s="136" t="s">
        <v>7504</v>
      </c>
      <c r="D311" s="136" t="s">
        <v>98</v>
      </c>
      <c r="E311" s="136" t="s">
        <v>615</v>
      </c>
      <c r="F311" s="136">
        <v>86</v>
      </c>
      <c r="G311" s="137">
        <f t="shared" si="1"/>
        <v>3</v>
      </c>
      <c r="H311" s="137"/>
      <c r="I311" s="137"/>
      <c r="J311" s="135"/>
      <c r="K311" s="135"/>
      <c r="L311" s="135"/>
      <c r="M311" s="135"/>
      <c r="N311" s="135"/>
      <c r="O311" s="135"/>
      <c r="P311" s="135"/>
      <c r="Q311" s="135"/>
      <c r="R311" s="135"/>
      <c r="S311" s="135"/>
      <c r="T311" s="135"/>
      <c r="U311" s="135"/>
      <c r="V311" s="135"/>
      <c r="W311" s="135"/>
      <c r="X311" s="135"/>
      <c r="Y311" s="135"/>
      <c r="Z311" s="135"/>
    </row>
    <row r="312" spans="1:26" ht="12.75">
      <c r="A312" s="136" t="s">
        <v>7</v>
      </c>
      <c r="B312" s="136" t="s">
        <v>671</v>
      </c>
      <c r="C312" s="136" t="s">
        <v>7504</v>
      </c>
      <c r="D312" s="136" t="s">
        <v>7496</v>
      </c>
      <c r="E312" s="136" t="s">
        <v>615</v>
      </c>
      <c r="F312" s="136">
        <v>50</v>
      </c>
      <c r="G312" s="137">
        <f t="shared" si="1"/>
        <v>4</v>
      </c>
      <c r="H312" s="137"/>
      <c r="I312" s="137"/>
      <c r="J312" s="135"/>
      <c r="K312" s="135"/>
      <c r="L312" s="135"/>
      <c r="M312" s="135"/>
      <c r="N312" s="135"/>
      <c r="O312" s="135"/>
      <c r="P312" s="135"/>
      <c r="Q312" s="135"/>
      <c r="R312" s="135"/>
      <c r="S312" s="135"/>
      <c r="T312" s="135"/>
      <c r="U312" s="135"/>
      <c r="V312" s="135"/>
      <c r="W312" s="135"/>
      <c r="X312" s="135"/>
      <c r="Y312" s="135"/>
      <c r="Z312" s="135"/>
    </row>
    <row r="313" spans="1:26" ht="12.75">
      <c r="A313" s="136" t="s">
        <v>7</v>
      </c>
      <c r="B313" s="136" t="s">
        <v>671</v>
      </c>
      <c r="C313" s="136" t="s">
        <v>7504</v>
      </c>
      <c r="D313" s="136" t="s">
        <v>7502</v>
      </c>
      <c r="E313" s="136" t="s">
        <v>615</v>
      </c>
      <c r="F313" s="136">
        <v>45</v>
      </c>
      <c r="G313" s="137">
        <f t="shared" si="1"/>
        <v>5</v>
      </c>
      <c r="H313" s="137"/>
      <c r="I313" s="137"/>
      <c r="J313" s="135"/>
      <c r="K313" s="135"/>
      <c r="L313" s="135"/>
      <c r="M313" s="135"/>
      <c r="N313" s="135"/>
      <c r="O313" s="135"/>
      <c r="P313" s="135"/>
      <c r="Q313" s="135"/>
      <c r="R313" s="135"/>
      <c r="S313" s="135"/>
      <c r="T313" s="135"/>
      <c r="U313" s="135"/>
      <c r="V313" s="135"/>
      <c r="W313" s="135"/>
      <c r="X313" s="135"/>
      <c r="Y313" s="135"/>
      <c r="Z313" s="135"/>
    </row>
    <row r="314" spans="1:26" ht="12.75">
      <c r="A314" s="136" t="s">
        <v>7</v>
      </c>
      <c r="B314" s="136" t="s">
        <v>671</v>
      </c>
      <c r="C314" s="136" t="s">
        <v>7504</v>
      </c>
      <c r="D314" s="136" t="s">
        <v>1665</v>
      </c>
      <c r="E314" s="136" t="s">
        <v>615</v>
      </c>
      <c r="F314" s="136">
        <v>28</v>
      </c>
      <c r="G314" s="137">
        <f t="shared" si="1"/>
        <v>6</v>
      </c>
      <c r="H314" s="137"/>
      <c r="I314" s="137"/>
      <c r="J314" s="135"/>
      <c r="K314" s="135"/>
      <c r="L314" s="135"/>
      <c r="M314" s="135"/>
      <c r="N314" s="135"/>
      <c r="O314" s="135"/>
      <c r="P314" s="135"/>
      <c r="Q314" s="135"/>
      <c r="R314" s="135"/>
      <c r="S314" s="135"/>
      <c r="T314" s="135"/>
      <c r="U314" s="135"/>
      <c r="V314" s="135"/>
      <c r="W314" s="135"/>
      <c r="X314" s="135"/>
      <c r="Y314" s="135"/>
      <c r="Z314" s="135"/>
    </row>
    <row r="315" spans="1:26" ht="12.75">
      <c r="A315" s="136" t="s">
        <v>7</v>
      </c>
      <c r="B315" s="136" t="s">
        <v>671</v>
      </c>
      <c r="C315" s="136" t="s">
        <v>7504</v>
      </c>
      <c r="D315" s="136" t="s">
        <v>7478</v>
      </c>
      <c r="E315" s="136" t="s">
        <v>615</v>
      </c>
      <c r="F315" s="136">
        <v>22</v>
      </c>
      <c r="G315" s="137">
        <f t="shared" si="1"/>
        <v>7</v>
      </c>
      <c r="H315" s="137"/>
      <c r="I315" s="137"/>
      <c r="J315" s="135"/>
      <c r="K315" s="135"/>
      <c r="L315" s="135"/>
      <c r="M315" s="135"/>
      <c r="N315" s="135"/>
      <c r="O315" s="135"/>
      <c r="P315" s="135"/>
      <c r="Q315" s="135"/>
      <c r="R315" s="135"/>
      <c r="S315" s="135"/>
      <c r="T315" s="135"/>
      <c r="U315" s="135"/>
      <c r="V315" s="135"/>
      <c r="W315" s="135"/>
      <c r="X315" s="135"/>
      <c r="Y315" s="135"/>
      <c r="Z315" s="135"/>
    </row>
    <row r="316" spans="1:26" ht="12.75">
      <c r="A316" s="136" t="s">
        <v>7</v>
      </c>
      <c r="B316" s="136" t="s">
        <v>671</v>
      </c>
      <c r="C316" s="136" t="s">
        <v>7504</v>
      </c>
      <c r="D316" s="136" t="s">
        <v>136</v>
      </c>
      <c r="E316" s="136" t="s">
        <v>615</v>
      </c>
      <c r="F316" s="136">
        <v>19</v>
      </c>
      <c r="G316" s="137">
        <f t="shared" si="1"/>
        <v>8</v>
      </c>
      <c r="H316" s="137"/>
      <c r="I316" s="137"/>
      <c r="J316" s="135"/>
      <c r="K316" s="135"/>
      <c r="L316" s="135"/>
      <c r="M316" s="135"/>
      <c r="N316" s="135"/>
      <c r="O316" s="135"/>
      <c r="P316" s="135"/>
      <c r="Q316" s="135"/>
      <c r="R316" s="135"/>
      <c r="S316" s="135"/>
      <c r="T316" s="135"/>
      <c r="U316" s="135"/>
      <c r="V316" s="135"/>
      <c r="W316" s="135"/>
      <c r="X316" s="135"/>
      <c r="Y316" s="135"/>
      <c r="Z316" s="135"/>
    </row>
    <row r="317" spans="1:26" ht="12.75">
      <c r="A317" s="136" t="s">
        <v>7</v>
      </c>
      <c r="B317" s="136" t="s">
        <v>671</v>
      </c>
      <c r="C317" s="136" t="s">
        <v>7504</v>
      </c>
      <c r="D317" s="136" t="s">
        <v>1626</v>
      </c>
      <c r="E317" s="136" t="s">
        <v>594</v>
      </c>
      <c r="F317" s="136">
        <v>6</v>
      </c>
      <c r="G317" s="137">
        <f t="shared" si="1"/>
        <v>9</v>
      </c>
      <c r="H317" s="137"/>
      <c r="I317" s="137"/>
      <c r="J317" s="135"/>
      <c r="K317" s="135"/>
      <c r="L317" s="135"/>
      <c r="M317" s="135"/>
      <c r="N317" s="135"/>
      <c r="O317" s="135"/>
      <c r="P317" s="135"/>
      <c r="Q317" s="135"/>
      <c r="R317" s="135"/>
      <c r="S317" s="135"/>
      <c r="T317" s="135"/>
      <c r="U317" s="135"/>
      <c r="V317" s="135"/>
      <c r="W317" s="135"/>
      <c r="X317" s="135"/>
      <c r="Y317" s="135"/>
      <c r="Z317" s="135"/>
    </row>
    <row r="318" spans="1:26" ht="12.75">
      <c r="A318" s="136" t="s">
        <v>7</v>
      </c>
      <c r="B318" s="136" t="s">
        <v>671</v>
      </c>
      <c r="C318" s="136" t="s">
        <v>7504</v>
      </c>
      <c r="D318" s="136" t="s">
        <v>7475</v>
      </c>
      <c r="E318" s="136" t="s">
        <v>594</v>
      </c>
      <c r="F318" s="136">
        <v>6</v>
      </c>
      <c r="G318" s="137">
        <f t="shared" si="1"/>
        <v>10</v>
      </c>
      <c r="H318" s="137"/>
      <c r="I318" s="137"/>
      <c r="J318" s="135"/>
      <c r="K318" s="135"/>
      <c r="L318" s="135"/>
      <c r="M318" s="135"/>
      <c r="N318" s="135"/>
      <c r="O318" s="135"/>
      <c r="P318" s="135"/>
      <c r="Q318" s="135"/>
      <c r="R318" s="135"/>
      <c r="S318" s="135"/>
      <c r="T318" s="135"/>
      <c r="U318" s="135"/>
      <c r="V318" s="135"/>
      <c r="W318" s="135"/>
      <c r="X318" s="135"/>
      <c r="Y318" s="135"/>
      <c r="Z318" s="135"/>
    </row>
    <row r="319" spans="1:26" ht="12.75">
      <c r="A319" s="136" t="s">
        <v>7</v>
      </c>
      <c r="B319" s="136" t="s">
        <v>671</v>
      </c>
      <c r="C319" s="136" t="s">
        <v>7504</v>
      </c>
      <c r="D319" s="136" t="s">
        <v>139</v>
      </c>
      <c r="E319" s="136" t="s">
        <v>594</v>
      </c>
      <c r="F319" s="136">
        <v>2</v>
      </c>
      <c r="G319" s="137">
        <f t="shared" si="1"/>
        <v>11</v>
      </c>
      <c r="H319" s="137"/>
      <c r="I319" s="137"/>
      <c r="J319" s="135"/>
      <c r="K319" s="135"/>
      <c r="L319" s="135"/>
      <c r="M319" s="135"/>
      <c r="N319" s="135"/>
      <c r="O319" s="135"/>
      <c r="P319" s="135"/>
      <c r="Q319" s="135"/>
      <c r="R319" s="135"/>
      <c r="S319" s="135"/>
      <c r="T319" s="135"/>
      <c r="U319" s="135"/>
      <c r="V319" s="135"/>
      <c r="W319" s="135"/>
      <c r="X319" s="135"/>
      <c r="Y319" s="135"/>
      <c r="Z319" s="135"/>
    </row>
    <row r="320" spans="1:26" ht="12.75">
      <c r="A320" s="136" t="s">
        <v>7</v>
      </c>
      <c r="B320" s="136" t="s">
        <v>671</v>
      </c>
      <c r="C320" s="136" t="s">
        <v>7505</v>
      </c>
      <c r="D320" s="136" t="s">
        <v>139</v>
      </c>
      <c r="E320" s="136" t="s">
        <v>594</v>
      </c>
      <c r="F320" s="136">
        <v>1588</v>
      </c>
      <c r="G320" s="137">
        <f t="shared" si="1"/>
        <v>1</v>
      </c>
      <c r="H320" s="137"/>
      <c r="I320" s="137"/>
      <c r="J320" s="135"/>
      <c r="K320" s="135"/>
      <c r="L320" s="135"/>
      <c r="M320" s="135"/>
      <c r="N320" s="135"/>
      <c r="O320" s="135"/>
      <c r="P320" s="135"/>
      <c r="Q320" s="135"/>
      <c r="R320" s="135"/>
      <c r="S320" s="135"/>
      <c r="T320" s="135"/>
      <c r="U320" s="135"/>
      <c r="V320" s="135"/>
      <c r="W320" s="135"/>
      <c r="X320" s="135"/>
      <c r="Y320" s="135"/>
      <c r="Z320" s="135"/>
    </row>
    <row r="321" spans="1:26" ht="12.75">
      <c r="A321" s="136" t="s">
        <v>7</v>
      </c>
      <c r="B321" s="136" t="s">
        <v>671</v>
      </c>
      <c r="C321" s="136" t="s">
        <v>7505</v>
      </c>
      <c r="D321" s="136" t="s">
        <v>114</v>
      </c>
      <c r="E321" s="136" t="s">
        <v>85</v>
      </c>
      <c r="F321" s="136">
        <v>469</v>
      </c>
      <c r="G321" s="137">
        <f t="shared" si="1"/>
        <v>2</v>
      </c>
      <c r="H321" s="137"/>
      <c r="I321" s="137"/>
      <c r="J321" s="135"/>
      <c r="K321" s="135"/>
      <c r="L321" s="135"/>
      <c r="M321" s="135"/>
      <c r="N321" s="135"/>
      <c r="O321" s="135"/>
      <c r="P321" s="135"/>
      <c r="Q321" s="135"/>
      <c r="R321" s="135"/>
      <c r="S321" s="135"/>
      <c r="T321" s="135"/>
      <c r="U321" s="135"/>
      <c r="V321" s="135"/>
      <c r="W321" s="135"/>
      <c r="X321" s="135"/>
      <c r="Y321" s="135"/>
      <c r="Z321" s="135"/>
    </row>
    <row r="322" spans="1:26" ht="12.75">
      <c r="A322" s="136" t="s">
        <v>7</v>
      </c>
      <c r="B322" s="136" t="s">
        <v>671</v>
      </c>
      <c r="C322" s="136" t="s">
        <v>7505</v>
      </c>
      <c r="D322" s="136" t="s">
        <v>1674</v>
      </c>
      <c r="E322" s="136" t="s">
        <v>615</v>
      </c>
      <c r="F322" s="136">
        <v>410</v>
      </c>
      <c r="G322" s="137">
        <f t="shared" si="1"/>
        <v>3</v>
      </c>
      <c r="H322" s="137"/>
      <c r="I322" s="137"/>
      <c r="J322" s="135"/>
      <c r="K322" s="135"/>
      <c r="L322" s="135"/>
      <c r="M322" s="135"/>
      <c r="N322" s="135"/>
      <c r="O322" s="135"/>
      <c r="P322" s="135"/>
      <c r="Q322" s="135"/>
      <c r="R322" s="135"/>
      <c r="S322" s="135"/>
      <c r="T322" s="135"/>
      <c r="U322" s="135"/>
      <c r="V322" s="135"/>
      <c r="W322" s="135"/>
      <c r="X322" s="135"/>
      <c r="Y322" s="135"/>
      <c r="Z322" s="135"/>
    </row>
    <row r="323" spans="1:26" ht="12.75">
      <c r="A323" s="136" t="s">
        <v>7</v>
      </c>
      <c r="B323" s="136" t="s">
        <v>671</v>
      </c>
      <c r="C323" s="136" t="s">
        <v>7505</v>
      </c>
      <c r="D323" s="136" t="s">
        <v>1665</v>
      </c>
      <c r="E323" s="136" t="s">
        <v>615</v>
      </c>
      <c r="F323" s="136">
        <v>73</v>
      </c>
      <c r="G323" s="137">
        <f t="shared" si="1"/>
        <v>4</v>
      </c>
      <c r="H323" s="137"/>
      <c r="I323" s="137"/>
      <c r="J323" s="135"/>
      <c r="K323" s="135"/>
      <c r="L323" s="135"/>
      <c r="M323" s="135"/>
      <c r="N323" s="135"/>
      <c r="O323" s="135"/>
      <c r="P323" s="135"/>
      <c r="Q323" s="135"/>
      <c r="R323" s="135"/>
      <c r="S323" s="135"/>
      <c r="T323" s="135"/>
      <c r="U323" s="135"/>
      <c r="V323" s="135"/>
      <c r="W323" s="135"/>
      <c r="X323" s="135"/>
      <c r="Y323" s="135"/>
      <c r="Z323" s="135"/>
    </row>
    <row r="324" spans="1:26" ht="12.75">
      <c r="A324" s="136" t="s">
        <v>7</v>
      </c>
      <c r="B324" s="136" t="s">
        <v>671</v>
      </c>
      <c r="C324" s="136" t="s">
        <v>7505</v>
      </c>
      <c r="D324" s="136" t="s">
        <v>467</v>
      </c>
      <c r="E324" s="136" t="s">
        <v>85</v>
      </c>
      <c r="F324" s="136">
        <v>67</v>
      </c>
      <c r="G324" s="137">
        <f t="shared" si="1"/>
        <v>5</v>
      </c>
      <c r="H324" s="137"/>
      <c r="I324" s="137"/>
      <c r="J324" s="135"/>
      <c r="K324" s="135"/>
      <c r="L324" s="135"/>
      <c r="M324" s="135"/>
      <c r="N324" s="135"/>
      <c r="O324" s="135"/>
      <c r="P324" s="135"/>
      <c r="Q324" s="135"/>
      <c r="R324" s="135"/>
      <c r="S324" s="135"/>
      <c r="T324" s="135"/>
      <c r="U324" s="135"/>
      <c r="V324" s="135"/>
      <c r="W324" s="135"/>
      <c r="X324" s="135"/>
      <c r="Y324" s="135"/>
      <c r="Z324" s="135"/>
    </row>
    <row r="325" spans="1:26" ht="12.75">
      <c r="A325" s="136" t="s">
        <v>7</v>
      </c>
      <c r="B325" s="136" t="s">
        <v>671</v>
      </c>
      <c r="C325" s="136" t="s">
        <v>7505</v>
      </c>
      <c r="D325" s="136" t="s">
        <v>7502</v>
      </c>
      <c r="E325" s="136" t="s">
        <v>615</v>
      </c>
      <c r="F325" s="136">
        <v>40</v>
      </c>
      <c r="G325" s="137">
        <f t="shared" si="1"/>
        <v>6</v>
      </c>
      <c r="H325" s="137"/>
      <c r="I325" s="137"/>
      <c r="J325" s="135"/>
      <c r="K325" s="135"/>
      <c r="L325" s="135"/>
      <c r="M325" s="135"/>
      <c r="N325" s="135"/>
      <c r="O325" s="135"/>
      <c r="P325" s="135"/>
      <c r="Q325" s="135"/>
      <c r="R325" s="135"/>
      <c r="S325" s="135"/>
      <c r="T325" s="135"/>
      <c r="U325" s="135"/>
      <c r="V325" s="135"/>
      <c r="W325" s="135"/>
      <c r="X325" s="135"/>
      <c r="Y325" s="135"/>
      <c r="Z325" s="135"/>
    </row>
    <row r="326" spans="1:26" ht="12.75">
      <c r="A326" s="136" t="s">
        <v>7</v>
      </c>
      <c r="B326" s="136" t="s">
        <v>671</v>
      </c>
      <c r="C326" s="136" t="s">
        <v>7505</v>
      </c>
      <c r="D326" s="136" t="s">
        <v>98</v>
      </c>
      <c r="E326" s="136" t="s">
        <v>615</v>
      </c>
      <c r="F326" s="136">
        <v>37</v>
      </c>
      <c r="G326" s="137">
        <f t="shared" si="1"/>
        <v>7</v>
      </c>
      <c r="H326" s="137"/>
      <c r="I326" s="137"/>
      <c r="J326" s="135"/>
      <c r="K326" s="135"/>
      <c r="L326" s="135"/>
      <c r="M326" s="135"/>
      <c r="N326" s="135"/>
      <c r="O326" s="135"/>
      <c r="P326" s="135"/>
      <c r="Q326" s="135"/>
      <c r="R326" s="135"/>
      <c r="S326" s="135"/>
      <c r="T326" s="135"/>
      <c r="U326" s="135"/>
      <c r="V326" s="135"/>
      <c r="W326" s="135"/>
      <c r="X326" s="135"/>
      <c r="Y326" s="135"/>
      <c r="Z326" s="135"/>
    </row>
    <row r="327" spans="1:26" ht="12.75">
      <c r="A327" s="136" t="s">
        <v>7</v>
      </c>
      <c r="B327" s="136" t="s">
        <v>671</v>
      </c>
      <c r="C327" s="136" t="s">
        <v>7505</v>
      </c>
      <c r="D327" s="136" t="s">
        <v>7475</v>
      </c>
      <c r="E327" s="136" t="s">
        <v>594</v>
      </c>
      <c r="F327" s="136">
        <v>25</v>
      </c>
      <c r="G327" s="137">
        <f t="shared" si="1"/>
        <v>8</v>
      </c>
      <c r="H327" s="137"/>
      <c r="I327" s="137"/>
      <c r="J327" s="135"/>
      <c r="K327" s="135"/>
      <c r="L327" s="135"/>
      <c r="M327" s="135"/>
      <c r="N327" s="135"/>
      <c r="O327" s="135"/>
      <c r="P327" s="135"/>
      <c r="Q327" s="135"/>
      <c r="R327" s="135"/>
      <c r="S327" s="135"/>
      <c r="T327" s="135"/>
      <c r="U327" s="135"/>
      <c r="V327" s="135"/>
      <c r="W327" s="135"/>
      <c r="X327" s="135"/>
      <c r="Y327" s="135"/>
      <c r="Z327" s="135"/>
    </row>
    <row r="328" spans="1:26" ht="12.75">
      <c r="A328" s="136" t="s">
        <v>7</v>
      </c>
      <c r="B328" s="136" t="s">
        <v>671</v>
      </c>
      <c r="C328" s="136" t="s">
        <v>7505</v>
      </c>
      <c r="D328" s="136" t="s">
        <v>1673</v>
      </c>
      <c r="E328" s="136" t="s">
        <v>615</v>
      </c>
      <c r="F328" s="136">
        <v>25</v>
      </c>
      <c r="G328" s="137">
        <f t="shared" si="1"/>
        <v>9</v>
      </c>
      <c r="H328" s="137"/>
      <c r="I328" s="137"/>
      <c r="J328" s="135"/>
      <c r="K328" s="135"/>
      <c r="L328" s="135"/>
      <c r="M328" s="135"/>
      <c r="N328" s="135"/>
      <c r="O328" s="135"/>
      <c r="P328" s="135"/>
      <c r="Q328" s="135"/>
      <c r="R328" s="135"/>
      <c r="S328" s="135"/>
      <c r="T328" s="135"/>
      <c r="U328" s="135"/>
      <c r="V328" s="135"/>
      <c r="W328" s="135"/>
      <c r="X328" s="135"/>
      <c r="Y328" s="135"/>
      <c r="Z328" s="135"/>
    </row>
    <row r="329" spans="1:26" ht="12.75">
      <c r="A329" s="136" t="s">
        <v>7</v>
      </c>
      <c r="B329" s="136" t="s">
        <v>671</v>
      </c>
      <c r="C329" s="136" t="s">
        <v>7505</v>
      </c>
      <c r="D329" s="136" t="s">
        <v>7481</v>
      </c>
      <c r="E329" s="136" t="s">
        <v>615</v>
      </c>
      <c r="F329" s="136">
        <v>20</v>
      </c>
      <c r="G329" s="137">
        <f t="shared" si="1"/>
        <v>10</v>
      </c>
      <c r="H329" s="137"/>
      <c r="I329" s="137"/>
      <c r="J329" s="135"/>
      <c r="K329" s="135"/>
      <c r="L329" s="135"/>
      <c r="M329" s="135"/>
      <c r="N329" s="135"/>
      <c r="O329" s="135"/>
      <c r="P329" s="135"/>
      <c r="Q329" s="135"/>
      <c r="R329" s="135"/>
      <c r="S329" s="135"/>
      <c r="T329" s="135"/>
      <c r="U329" s="135"/>
      <c r="V329" s="135"/>
      <c r="W329" s="135"/>
      <c r="X329" s="135"/>
      <c r="Y329" s="135"/>
      <c r="Z329" s="135"/>
    </row>
    <row r="330" spans="1:26" ht="12.75">
      <c r="A330" s="136" t="s">
        <v>7</v>
      </c>
      <c r="B330" s="136" t="s">
        <v>671</v>
      </c>
      <c r="C330" s="136" t="s">
        <v>7505</v>
      </c>
      <c r="D330" s="136" t="s">
        <v>136</v>
      </c>
      <c r="E330" s="136" t="s">
        <v>615</v>
      </c>
      <c r="F330" s="136">
        <v>19</v>
      </c>
      <c r="G330" s="137">
        <f t="shared" si="1"/>
        <v>11</v>
      </c>
      <c r="H330" s="137"/>
      <c r="I330" s="137"/>
      <c r="J330" s="135"/>
      <c r="K330" s="135"/>
      <c r="L330" s="135"/>
      <c r="M330" s="135"/>
      <c r="N330" s="135"/>
      <c r="O330" s="135"/>
      <c r="P330" s="135"/>
      <c r="Q330" s="135"/>
      <c r="R330" s="135"/>
      <c r="S330" s="135"/>
      <c r="T330" s="135"/>
      <c r="U330" s="135"/>
      <c r="V330" s="135"/>
      <c r="W330" s="135"/>
      <c r="X330" s="135"/>
      <c r="Y330" s="135"/>
      <c r="Z330" s="135"/>
    </row>
    <row r="331" spans="1:26" ht="12.75">
      <c r="A331" s="136" t="s">
        <v>7</v>
      </c>
      <c r="B331" s="136" t="s">
        <v>671</v>
      </c>
      <c r="C331" s="136" t="s">
        <v>7505</v>
      </c>
      <c r="D331" s="136" t="s">
        <v>1626</v>
      </c>
      <c r="E331" s="136" t="s">
        <v>594</v>
      </c>
      <c r="F331" s="136">
        <v>8</v>
      </c>
      <c r="G331" s="137">
        <f t="shared" si="1"/>
        <v>12</v>
      </c>
      <c r="H331" s="137"/>
      <c r="I331" s="137"/>
      <c r="J331" s="135"/>
      <c r="K331" s="135"/>
      <c r="L331" s="135"/>
      <c r="M331" s="135"/>
      <c r="N331" s="135"/>
      <c r="O331" s="135"/>
      <c r="P331" s="135"/>
      <c r="Q331" s="135"/>
      <c r="R331" s="135"/>
      <c r="S331" s="135"/>
      <c r="T331" s="135"/>
      <c r="U331" s="135"/>
      <c r="V331" s="135"/>
      <c r="W331" s="135"/>
      <c r="X331" s="135"/>
      <c r="Y331" s="135"/>
      <c r="Z331" s="135"/>
    </row>
    <row r="332" spans="1:26" ht="12.75">
      <c r="A332" s="136" t="s">
        <v>7</v>
      </c>
      <c r="B332" s="136" t="s">
        <v>671</v>
      </c>
      <c r="C332" s="136" t="s">
        <v>7505</v>
      </c>
      <c r="D332" s="136" t="s">
        <v>7472</v>
      </c>
      <c r="E332" s="136" t="s">
        <v>615</v>
      </c>
      <c r="F332" s="136">
        <v>3</v>
      </c>
      <c r="G332" s="137">
        <f t="shared" si="1"/>
        <v>13</v>
      </c>
      <c r="H332" s="137"/>
      <c r="I332" s="137"/>
      <c r="J332" s="135"/>
      <c r="K332" s="135"/>
      <c r="L332" s="135"/>
      <c r="M332" s="135"/>
      <c r="N332" s="135"/>
      <c r="O332" s="135"/>
      <c r="P332" s="135"/>
      <c r="Q332" s="135"/>
      <c r="R332" s="135"/>
      <c r="S332" s="135"/>
      <c r="T332" s="135"/>
      <c r="U332" s="135"/>
      <c r="V332" s="135"/>
      <c r="W332" s="135"/>
      <c r="X332" s="135"/>
      <c r="Y332" s="135"/>
      <c r="Z332" s="135"/>
    </row>
    <row r="333" spans="1:26" ht="12.75">
      <c r="A333" s="136" t="s">
        <v>7</v>
      </c>
      <c r="B333" s="136" t="s">
        <v>671</v>
      </c>
      <c r="C333" s="136" t="s">
        <v>671</v>
      </c>
      <c r="D333" s="136" t="s">
        <v>114</v>
      </c>
      <c r="E333" s="136" t="s">
        <v>85</v>
      </c>
      <c r="F333" s="136">
        <v>1607</v>
      </c>
      <c r="G333" s="137">
        <f t="shared" si="1"/>
        <v>1</v>
      </c>
      <c r="H333" s="137"/>
      <c r="I333" s="137"/>
      <c r="J333" s="135"/>
      <c r="K333" s="135"/>
      <c r="L333" s="135"/>
      <c r="M333" s="135"/>
      <c r="N333" s="135"/>
      <c r="O333" s="135"/>
      <c r="P333" s="135"/>
      <c r="Q333" s="135"/>
      <c r="R333" s="135"/>
      <c r="S333" s="135"/>
      <c r="T333" s="135"/>
      <c r="U333" s="135"/>
      <c r="V333" s="135"/>
      <c r="W333" s="135"/>
      <c r="X333" s="135"/>
      <c r="Y333" s="135"/>
      <c r="Z333" s="135"/>
    </row>
    <row r="334" spans="1:26" ht="12.75">
      <c r="A334" s="136" t="s">
        <v>7</v>
      </c>
      <c r="B334" s="136" t="s">
        <v>671</v>
      </c>
      <c r="C334" s="136" t="s">
        <v>671</v>
      </c>
      <c r="D334" s="136" t="s">
        <v>98</v>
      </c>
      <c r="E334" s="136" t="s">
        <v>615</v>
      </c>
      <c r="F334" s="136">
        <v>787</v>
      </c>
      <c r="G334" s="137">
        <f t="shared" si="1"/>
        <v>2</v>
      </c>
      <c r="H334" s="137"/>
      <c r="I334" s="137"/>
      <c r="J334" s="135"/>
      <c r="K334" s="135"/>
      <c r="L334" s="135"/>
      <c r="M334" s="135"/>
      <c r="N334" s="135"/>
      <c r="O334" s="135"/>
      <c r="P334" s="135"/>
      <c r="Q334" s="135"/>
      <c r="R334" s="135"/>
      <c r="S334" s="135"/>
      <c r="T334" s="135"/>
      <c r="U334" s="135"/>
      <c r="V334" s="135"/>
      <c r="W334" s="135"/>
      <c r="X334" s="135"/>
      <c r="Y334" s="135"/>
      <c r="Z334" s="135"/>
    </row>
    <row r="335" spans="1:26" ht="12.75">
      <c r="A335" s="136" t="s">
        <v>7</v>
      </c>
      <c r="B335" s="136" t="s">
        <v>671</v>
      </c>
      <c r="C335" s="136" t="s">
        <v>671</v>
      </c>
      <c r="D335" s="136" t="s">
        <v>7472</v>
      </c>
      <c r="E335" s="136" t="s">
        <v>615</v>
      </c>
      <c r="F335" s="136">
        <v>672</v>
      </c>
      <c r="G335" s="137">
        <f t="shared" si="1"/>
        <v>3</v>
      </c>
      <c r="H335" s="137"/>
      <c r="I335" s="137"/>
      <c r="J335" s="135"/>
      <c r="K335" s="135"/>
      <c r="L335" s="135"/>
      <c r="M335" s="135"/>
      <c r="N335" s="135"/>
      <c r="O335" s="135"/>
      <c r="P335" s="135"/>
      <c r="Q335" s="135"/>
      <c r="R335" s="135"/>
      <c r="S335" s="135"/>
      <c r="T335" s="135"/>
      <c r="U335" s="135"/>
      <c r="V335" s="135"/>
      <c r="W335" s="135"/>
      <c r="X335" s="135"/>
      <c r="Y335" s="135"/>
      <c r="Z335" s="135"/>
    </row>
    <row r="336" spans="1:26" ht="12.75">
      <c r="A336" s="136" t="s">
        <v>7</v>
      </c>
      <c r="B336" s="136" t="s">
        <v>671</v>
      </c>
      <c r="C336" s="136" t="s">
        <v>671</v>
      </c>
      <c r="D336" s="136" t="s">
        <v>154</v>
      </c>
      <c r="E336" s="136" t="s">
        <v>615</v>
      </c>
      <c r="F336" s="136">
        <v>583</v>
      </c>
      <c r="G336" s="137">
        <f t="shared" si="1"/>
        <v>4</v>
      </c>
      <c r="H336" s="137"/>
      <c r="I336" s="137"/>
      <c r="J336" s="135"/>
      <c r="K336" s="135"/>
      <c r="L336" s="135"/>
      <c r="M336" s="135"/>
      <c r="N336" s="135"/>
      <c r="O336" s="135"/>
      <c r="P336" s="135"/>
      <c r="Q336" s="135"/>
      <c r="R336" s="135"/>
      <c r="S336" s="135"/>
      <c r="T336" s="135"/>
      <c r="U336" s="135"/>
      <c r="V336" s="135"/>
      <c r="W336" s="135"/>
      <c r="X336" s="135"/>
      <c r="Y336" s="135"/>
      <c r="Z336" s="135"/>
    </row>
    <row r="337" spans="1:26" ht="12.75">
      <c r="A337" s="136" t="s">
        <v>7</v>
      </c>
      <c r="B337" s="136" t="s">
        <v>671</v>
      </c>
      <c r="C337" s="136" t="s">
        <v>671</v>
      </c>
      <c r="D337" s="136" t="s">
        <v>467</v>
      </c>
      <c r="E337" s="136" t="s">
        <v>85</v>
      </c>
      <c r="F337" s="136">
        <v>533</v>
      </c>
      <c r="G337" s="137">
        <f t="shared" si="1"/>
        <v>5</v>
      </c>
      <c r="H337" s="137"/>
      <c r="I337" s="137"/>
      <c r="J337" s="135"/>
      <c r="K337" s="135"/>
      <c r="L337" s="135"/>
      <c r="M337" s="135"/>
      <c r="N337" s="135"/>
      <c r="O337" s="135"/>
      <c r="P337" s="135"/>
      <c r="Q337" s="135"/>
      <c r="R337" s="135"/>
      <c r="S337" s="135"/>
      <c r="T337" s="135"/>
      <c r="U337" s="135"/>
      <c r="V337" s="135"/>
      <c r="W337" s="135"/>
      <c r="X337" s="135"/>
      <c r="Y337" s="135"/>
      <c r="Z337" s="135"/>
    </row>
    <row r="338" spans="1:26" ht="12.75">
      <c r="A338" s="136" t="s">
        <v>7</v>
      </c>
      <c r="B338" s="136" t="s">
        <v>671</v>
      </c>
      <c r="C338" s="136" t="s">
        <v>671</v>
      </c>
      <c r="D338" s="136" t="s">
        <v>139</v>
      </c>
      <c r="E338" s="136" t="s">
        <v>594</v>
      </c>
      <c r="F338" s="136">
        <v>411</v>
      </c>
      <c r="G338" s="137">
        <f t="shared" si="1"/>
        <v>6</v>
      </c>
      <c r="H338" s="137"/>
      <c r="I338" s="137"/>
      <c r="J338" s="135"/>
      <c r="K338" s="135"/>
      <c r="L338" s="135"/>
      <c r="M338" s="135"/>
      <c r="N338" s="135"/>
      <c r="O338" s="135"/>
      <c r="P338" s="135"/>
      <c r="Q338" s="135"/>
      <c r="R338" s="135"/>
      <c r="S338" s="135"/>
      <c r="T338" s="135"/>
      <c r="U338" s="135"/>
      <c r="V338" s="135"/>
      <c r="W338" s="135"/>
      <c r="X338" s="135"/>
      <c r="Y338" s="135"/>
      <c r="Z338" s="135"/>
    </row>
    <row r="339" spans="1:26" ht="12.75">
      <c r="A339" s="136" t="s">
        <v>7</v>
      </c>
      <c r="B339" s="136" t="s">
        <v>671</v>
      </c>
      <c r="C339" s="136" t="s">
        <v>671</v>
      </c>
      <c r="D339" s="136" t="s">
        <v>136</v>
      </c>
      <c r="E339" s="136" t="s">
        <v>615</v>
      </c>
      <c r="F339" s="136">
        <v>323</v>
      </c>
      <c r="G339" s="137">
        <f t="shared" si="1"/>
        <v>7</v>
      </c>
      <c r="H339" s="137"/>
      <c r="I339" s="137"/>
      <c r="J339" s="135"/>
      <c r="K339" s="135"/>
      <c r="L339" s="135"/>
      <c r="M339" s="135"/>
      <c r="N339" s="135"/>
      <c r="O339" s="135"/>
      <c r="P339" s="135"/>
      <c r="Q339" s="135"/>
      <c r="R339" s="135"/>
      <c r="S339" s="135"/>
      <c r="T339" s="135"/>
      <c r="U339" s="135"/>
      <c r="V339" s="135"/>
      <c r="W339" s="135"/>
      <c r="X339" s="135"/>
      <c r="Y339" s="135"/>
      <c r="Z339" s="135"/>
    </row>
    <row r="340" spans="1:26" ht="12.75">
      <c r="A340" s="136" t="s">
        <v>7</v>
      </c>
      <c r="B340" s="136" t="s">
        <v>671</v>
      </c>
      <c r="C340" s="136" t="s">
        <v>671</v>
      </c>
      <c r="D340" s="136" t="s">
        <v>7506</v>
      </c>
      <c r="E340" s="136" t="s">
        <v>615</v>
      </c>
      <c r="F340" s="136">
        <v>294</v>
      </c>
      <c r="G340" s="137">
        <f t="shared" si="1"/>
        <v>8</v>
      </c>
      <c r="H340" s="137"/>
      <c r="I340" s="137"/>
      <c r="J340" s="135"/>
      <c r="K340" s="135"/>
      <c r="L340" s="135"/>
      <c r="M340" s="135"/>
      <c r="N340" s="135"/>
      <c r="O340" s="135"/>
      <c r="P340" s="135"/>
      <c r="Q340" s="135"/>
      <c r="R340" s="135"/>
      <c r="S340" s="135"/>
      <c r="T340" s="135"/>
      <c r="U340" s="135"/>
      <c r="V340" s="135"/>
      <c r="W340" s="135"/>
      <c r="X340" s="135"/>
      <c r="Y340" s="135"/>
      <c r="Z340" s="135"/>
    </row>
    <row r="341" spans="1:26" ht="12.75">
      <c r="A341" s="136" t="s">
        <v>7</v>
      </c>
      <c r="B341" s="136" t="s">
        <v>671</v>
      </c>
      <c r="C341" s="136" t="s">
        <v>671</v>
      </c>
      <c r="D341" s="136" t="s">
        <v>7507</v>
      </c>
      <c r="E341" s="136" t="s">
        <v>594</v>
      </c>
      <c r="F341" s="136">
        <v>252</v>
      </c>
      <c r="G341" s="137">
        <f t="shared" si="1"/>
        <v>9</v>
      </c>
      <c r="H341" s="137"/>
      <c r="I341" s="137"/>
      <c r="J341" s="135"/>
      <c r="K341" s="135"/>
      <c r="L341" s="135"/>
      <c r="M341" s="135"/>
      <c r="N341" s="135"/>
      <c r="O341" s="135"/>
      <c r="P341" s="135"/>
      <c r="Q341" s="135"/>
      <c r="R341" s="135"/>
      <c r="S341" s="135"/>
      <c r="T341" s="135"/>
      <c r="U341" s="135"/>
      <c r="V341" s="135"/>
      <c r="W341" s="135"/>
      <c r="X341" s="135"/>
      <c r="Y341" s="135"/>
      <c r="Z341" s="135"/>
    </row>
    <row r="342" spans="1:26" ht="12.75">
      <c r="A342" s="136" t="s">
        <v>7</v>
      </c>
      <c r="B342" s="136" t="s">
        <v>671</v>
      </c>
      <c r="C342" s="136" t="s">
        <v>671</v>
      </c>
      <c r="D342" s="136" t="s">
        <v>7502</v>
      </c>
      <c r="E342" s="136" t="s">
        <v>615</v>
      </c>
      <c r="F342" s="136">
        <v>249</v>
      </c>
      <c r="G342" s="137">
        <f t="shared" si="1"/>
        <v>10</v>
      </c>
      <c r="H342" s="137"/>
      <c r="I342" s="137"/>
      <c r="J342" s="135"/>
      <c r="K342" s="135"/>
      <c r="L342" s="135"/>
      <c r="M342" s="135"/>
      <c r="N342" s="135"/>
      <c r="O342" s="135"/>
      <c r="P342" s="135"/>
      <c r="Q342" s="135"/>
      <c r="R342" s="135"/>
      <c r="S342" s="135"/>
      <c r="T342" s="135"/>
      <c r="U342" s="135"/>
      <c r="V342" s="135"/>
      <c r="W342" s="135"/>
      <c r="X342" s="135"/>
      <c r="Y342" s="135"/>
      <c r="Z342" s="135"/>
    </row>
    <row r="343" spans="1:26" ht="12.75">
      <c r="A343" s="136" t="s">
        <v>7</v>
      </c>
      <c r="B343" s="136" t="s">
        <v>671</v>
      </c>
      <c r="C343" s="136" t="s">
        <v>671</v>
      </c>
      <c r="D343" s="136" t="s">
        <v>1665</v>
      </c>
      <c r="E343" s="136" t="s">
        <v>615</v>
      </c>
      <c r="F343" s="136">
        <v>238</v>
      </c>
      <c r="G343" s="137">
        <f t="shared" si="1"/>
        <v>11</v>
      </c>
      <c r="H343" s="137"/>
      <c r="I343" s="137"/>
      <c r="J343" s="135"/>
      <c r="K343" s="135"/>
      <c r="L343" s="135"/>
      <c r="M343" s="135"/>
      <c r="N343" s="135"/>
      <c r="O343" s="135"/>
      <c r="P343" s="135"/>
      <c r="Q343" s="135"/>
      <c r="R343" s="135"/>
      <c r="S343" s="135"/>
      <c r="T343" s="135"/>
      <c r="U343" s="135"/>
      <c r="V343" s="135"/>
      <c r="W343" s="135"/>
      <c r="X343" s="135"/>
      <c r="Y343" s="135"/>
      <c r="Z343" s="135"/>
    </row>
    <row r="344" spans="1:26" ht="12.75">
      <c r="A344" s="136" t="s">
        <v>7</v>
      </c>
      <c r="B344" s="136" t="s">
        <v>671</v>
      </c>
      <c r="C344" s="136" t="s">
        <v>671</v>
      </c>
      <c r="D344" s="136" t="s">
        <v>1673</v>
      </c>
      <c r="E344" s="136" t="s">
        <v>615</v>
      </c>
      <c r="F344" s="136">
        <v>105</v>
      </c>
      <c r="G344" s="137">
        <f t="shared" si="1"/>
        <v>12</v>
      </c>
      <c r="H344" s="137"/>
      <c r="I344" s="137"/>
      <c r="J344" s="135"/>
      <c r="K344" s="135"/>
      <c r="L344" s="135"/>
      <c r="M344" s="135"/>
      <c r="N344" s="135"/>
      <c r="O344" s="135"/>
      <c r="P344" s="135"/>
      <c r="Q344" s="135"/>
      <c r="R344" s="135"/>
      <c r="S344" s="135"/>
      <c r="T344" s="135"/>
      <c r="U344" s="135"/>
      <c r="V344" s="135"/>
      <c r="W344" s="135"/>
      <c r="X344" s="135"/>
      <c r="Y344" s="135"/>
      <c r="Z344" s="135"/>
    </row>
    <row r="345" spans="1:26" ht="12.75">
      <c r="A345" s="136" t="s">
        <v>7</v>
      </c>
      <c r="B345" s="136" t="s">
        <v>671</v>
      </c>
      <c r="C345" s="136" t="s">
        <v>671</v>
      </c>
      <c r="D345" s="136" t="s">
        <v>7496</v>
      </c>
      <c r="E345" s="136" t="s">
        <v>615</v>
      </c>
      <c r="F345" s="136">
        <v>81</v>
      </c>
      <c r="G345" s="137">
        <f t="shared" si="1"/>
        <v>13</v>
      </c>
      <c r="H345" s="137"/>
      <c r="I345" s="137"/>
      <c r="J345" s="135"/>
      <c r="K345" s="135"/>
      <c r="L345" s="135"/>
      <c r="M345" s="135"/>
      <c r="N345" s="135"/>
      <c r="O345" s="135"/>
      <c r="P345" s="135"/>
      <c r="Q345" s="135"/>
      <c r="R345" s="135"/>
      <c r="S345" s="135"/>
      <c r="T345" s="135"/>
      <c r="U345" s="135"/>
      <c r="V345" s="135"/>
      <c r="W345" s="135"/>
      <c r="X345" s="135"/>
      <c r="Y345" s="135"/>
      <c r="Z345" s="135"/>
    </row>
    <row r="346" spans="1:26" ht="12.75">
      <c r="A346" s="136" t="s">
        <v>7</v>
      </c>
      <c r="B346" s="136" t="s">
        <v>671</v>
      </c>
      <c r="C346" s="136" t="s">
        <v>671</v>
      </c>
      <c r="D346" s="136" t="s">
        <v>7475</v>
      </c>
      <c r="E346" s="136" t="s">
        <v>594</v>
      </c>
      <c r="F346" s="136">
        <v>65</v>
      </c>
      <c r="G346" s="137">
        <f t="shared" si="1"/>
        <v>14</v>
      </c>
      <c r="H346" s="137"/>
      <c r="I346" s="137"/>
      <c r="J346" s="135"/>
      <c r="K346" s="135"/>
      <c r="L346" s="135"/>
      <c r="M346" s="135"/>
      <c r="N346" s="135"/>
      <c r="O346" s="135"/>
      <c r="P346" s="135"/>
      <c r="Q346" s="135"/>
      <c r="R346" s="135"/>
      <c r="S346" s="135"/>
      <c r="T346" s="135"/>
      <c r="U346" s="135"/>
      <c r="V346" s="135"/>
      <c r="W346" s="135"/>
      <c r="X346" s="135"/>
      <c r="Y346" s="135"/>
      <c r="Z346" s="135"/>
    </row>
    <row r="347" spans="1:26" ht="12.75">
      <c r="A347" s="136" t="s">
        <v>7</v>
      </c>
      <c r="B347" s="136" t="s">
        <v>671</v>
      </c>
      <c r="C347" s="136" t="s">
        <v>671</v>
      </c>
      <c r="D347" s="136" t="s">
        <v>7508</v>
      </c>
      <c r="E347" s="136" t="s">
        <v>594</v>
      </c>
      <c r="F347" s="136">
        <v>64</v>
      </c>
      <c r="G347" s="137">
        <f t="shared" si="1"/>
        <v>15</v>
      </c>
      <c r="H347" s="137"/>
      <c r="I347" s="137"/>
      <c r="J347" s="135"/>
      <c r="K347" s="135"/>
      <c r="L347" s="135"/>
      <c r="M347" s="135"/>
      <c r="N347" s="135"/>
      <c r="O347" s="135"/>
      <c r="P347" s="135"/>
      <c r="Q347" s="135"/>
      <c r="R347" s="135"/>
      <c r="S347" s="135"/>
      <c r="T347" s="135"/>
      <c r="U347" s="135"/>
      <c r="V347" s="135"/>
      <c r="W347" s="135"/>
      <c r="X347" s="135"/>
      <c r="Y347" s="135"/>
      <c r="Z347" s="135"/>
    </row>
    <row r="348" spans="1:26" ht="12.75">
      <c r="A348" s="136" t="s">
        <v>7</v>
      </c>
      <c r="B348" s="136" t="s">
        <v>671</v>
      </c>
      <c r="C348" s="136" t="s">
        <v>671</v>
      </c>
      <c r="D348" s="136" t="s">
        <v>1626</v>
      </c>
      <c r="E348" s="136" t="s">
        <v>594</v>
      </c>
      <c r="F348" s="136">
        <v>44</v>
      </c>
      <c r="G348" s="137">
        <f t="shared" si="1"/>
        <v>16</v>
      </c>
      <c r="H348" s="137"/>
      <c r="I348" s="137"/>
      <c r="J348" s="135"/>
      <c r="K348" s="135"/>
      <c r="L348" s="135"/>
      <c r="M348" s="135"/>
      <c r="N348" s="135"/>
      <c r="O348" s="135"/>
      <c r="P348" s="135"/>
      <c r="Q348" s="135"/>
      <c r="R348" s="135"/>
      <c r="S348" s="135"/>
      <c r="T348" s="135"/>
      <c r="U348" s="135"/>
      <c r="V348" s="135"/>
      <c r="W348" s="135"/>
      <c r="X348" s="135"/>
      <c r="Y348" s="135"/>
      <c r="Z348" s="135"/>
    </row>
    <row r="349" spans="1:26" ht="12.75">
      <c r="A349" s="136" t="s">
        <v>7</v>
      </c>
      <c r="B349" s="136" t="s">
        <v>671</v>
      </c>
      <c r="C349" s="136" t="s">
        <v>671</v>
      </c>
      <c r="D349" s="136" t="s">
        <v>7485</v>
      </c>
      <c r="E349" s="136" t="s">
        <v>594</v>
      </c>
      <c r="F349" s="136">
        <v>40</v>
      </c>
      <c r="G349" s="137">
        <f t="shared" si="1"/>
        <v>17</v>
      </c>
      <c r="H349" s="137"/>
      <c r="I349" s="137"/>
      <c r="J349" s="135"/>
      <c r="K349" s="135"/>
      <c r="L349" s="135"/>
      <c r="M349" s="135"/>
      <c r="N349" s="135"/>
      <c r="O349" s="135"/>
      <c r="P349" s="135"/>
      <c r="Q349" s="135"/>
      <c r="R349" s="135"/>
      <c r="S349" s="135"/>
      <c r="T349" s="135"/>
      <c r="U349" s="135"/>
      <c r="V349" s="135"/>
      <c r="W349" s="135"/>
      <c r="X349" s="135"/>
      <c r="Y349" s="135"/>
      <c r="Z349" s="135"/>
    </row>
    <row r="350" spans="1:26" ht="12.75">
      <c r="A350" s="136" t="s">
        <v>7</v>
      </c>
      <c r="B350" s="136" t="s">
        <v>671</v>
      </c>
      <c r="C350" s="136" t="s">
        <v>671</v>
      </c>
      <c r="D350" s="136" t="s">
        <v>7509</v>
      </c>
      <c r="E350" s="136" t="s">
        <v>615</v>
      </c>
      <c r="F350" s="136">
        <v>35</v>
      </c>
      <c r="G350" s="137">
        <f t="shared" si="1"/>
        <v>18</v>
      </c>
      <c r="H350" s="137"/>
      <c r="I350" s="137"/>
      <c r="J350" s="135"/>
      <c r="K350" s="135"/>
      <c r="L350" s="135"/>
      <c r="M350" s="135"/>
      <c r="N350" s="135"/>
      <c r="O350" s="135"/>
      <c r="P350" s="135"/>
      <c r="Q350" s="135"/>
      <c r="R350" s="135"/>
      <c r="S350" s="135"/>
      <c r="T350" s="135"/>
      <c r="U350" s="135"/>
      <c r="V350" s="135"/>
      <c r="W350" s="135"/>
      <c r="X350" s="135"/>
      <c r="Y350" s="135"/>
      <c r="Z350" s="135"/>
    </row>
    <row r="351" spans="1:26" ht="12.75">
      <c r="A351" s="136" t="s">
        <v>7</v>
      </c>
      <c r="B351" s="136" t="s">
        <v>671</v>
      </c>
      <c r="C351" s="136" t="s">
        <v>698</v>
      </c>
      <c r="D351" s="136" t="s">
        <v>139</v>
      </c>
      <c r="E351" s="136" t="s">
        <v>594</v>
      </c>
      <c r="F351" s="136">
        <v>680</v>
      </c>
      <c r="G351" s="137">
        <f t="shared" si="1"/>
        <v>1</v>
      </c>
      <c r="H351" s="137"/>
      <c r="I351" s="137"/>
      <c r="J351" s="135"/>
      <c r="K351" s="135"/>
      <c r="L351" s="135"/>
      <c r="M351" s="135"/>
      <c r="N351" s="135"/>
      <c r="O351" s="135"/>
      <c r="P351" s="135"/>
      <c r="Q351" s="135"/>
      <c r="R351" s="135"/>
      <c r="S351" s="135"/>
      <c r="T351" s="135"/>
      <c r="U351" s="135"/>
      <c r="V351" s="135"/>
      <c r="W351" s="135"/>
      <c r="X351" s="135"/>
      <c r="Y351" s="135"/>
      <c r="Z351" s="135"/>
    </row>
    <row r="352" spans="1:26" ht="12.75">
      <c r="A352" s="136" t="s">
        <v>7</v>
      </c>
      <c r="B352" s="136" t="s">
        <v>671</v>
      </c>
      <c r="C352" s="136" t="s">
        <v>698</v>
      </c>
      <c r="D352" s="136" t="s">
        <v>114</v>
      </c>
      <c r="E352" s="136" t="s">
        <v>85</v>
      </c>
      <c r="F352" s="136">
        <v>425</v>
      </c>
      <c r="G352" s="137">
        <f t="shared" si="1"/>
        <v>2</v>
      </c>
      <c r="H352" s="137"/>
      <c r="I352" s="137"/>
      <c r="J352" s="135"/>
      <c r="K352" s="135"/>
      <c r="L352" s="135"/>
      <c r="M352" s="135"/>
      <c r="N352" s="135"/>
      <c r="O352" s="135"/>
      <c r="P352" s="135"/>
      <c r="Q352" s="135"/>
      <c r="R352" s="135"/>
      <c r="S352" s="135"/>
      <c r="T352" s="135"/>
      <c r="U352" s="135"/>
      <c r="V352" s="135"/>
      <c r="W352" s="135"/>
      <c r="X352" s="135"/>
      <c r="Y352" s="135"/>
      <c r="Z352" s="135"/>
    </row>
    <row r="353" spans="1:26" ht="12.75">
      <c r="A353" s="136" t="s">
        <v>7</v>
      </c>
      <c r="B353" s="136" t="s">
        <v>671</v>
      </c>
      <c r="C353" s="136" t="s">
        <v>698</v>
      </c>
      <c r="D353" s="136" t="s">
        <v>467</v>
      </c>
      <c r="E353" s="136" t="s">
        <v>85</v>
      </c>
      <c r="F353" s="136">
        <v>77</v>
      </c>
      <c r="G353" s="137">
        <f t="shared" si="1"/>
        <v>3</v>
      </c>
      <c r="H353" s="137"/>
      <c r="I353" s="137"/>
      <c r="J353" s="135"/>
      <c r="K353" s="135"/>
      <c r="L353" s="135"/>
      <c r="M353" s="135"/>
      <c r="N353" s="135"/>
      <c r="O353" s="135"/>
      <c r="P353" s="135"/>
      <c r="Q353" s="135"/>
      <c r="R353" s="135"/>
      <c r="S353" s="135"/>
      <c r="T353" s="135"/>
      <c r="U353" s="135"/>
      <c r="V353" s="135"/>
      <c r="W353" s="135"/>
      <c r="X353" s="135"/>
      <c r="Y353" s="135"/>
      <c r="Z353" s="135"/>
    </row>
    <row r="354" spans="1:26" ht="12.75">
      <c r="A354" s="136" t="s">
        <v>7</v>
      </c>
      <c r="B354" s="136" t="s">
        <v>671</v>
      </c>
      <c r="C354" s="136" t="s">
        <v>698</v>
      </c>
      <c r="D354" s="136" t="s">
        <v>7502</v>
      </c>
      <c r="E354" s="136" t="s">
        <v>615</v>
      </c>
      <c r="F354" s="136">
        <v>31</v>
      </c>
      <c r="G354" s="137">
        <f t="shared" si="1"/>
        <v>4</v>
      </c>
      <c r="H354" s="137"/>
      <c r="I354" s="137"/>
      <c r="J354" s="135"/>
      <c r="K354" s="135"/>
      <c r="L354" s="135"/>
      <c r="M354" s="135"/>
      <c r="N354" s="135"/>
      <c r="O354" s="135"/>
      <c r="P354" s="135"/>
      <c r="Q354" s="135"/>
      <c r="R354" s="135"/>
      <c r="S354" s="135"/>
      <c r="T354" s="135"/>
      <c r="U354" s="135"/>
      <c r="V354" s="135"/>
      <c r="W354" s="135"/>
      <c r="X354" s="135"/>
      <c r="Y354" s="135"/>
      <c r="Z354" s="135"/>
    </row>
    <row r="355" spans="1:26" ht="12.75">
      <c r="A355" s="136" t="s">
        <v>7</v>
      </c>
      <c r="B355" s="136" t="s">
        <v>671</v>
      </c>
      <c r="C355" s="136" t="s">
        <v>698</v>
      </c>
      <c r="D355" s="136" t="s">
        <v>1665</v>
      </c>
      <c r="E355" s="136" t="s">
        <v>615</v>
      </c>
      <c r="F355" s="136">
        <v>27</v>
      </c>
      <c r="G355" s="137">
        <f t="shared" si="1"/>
        <v>5</v>
      </c>
      <c r="H355" s="137"/>
      <c r="I355" s="137"/>
      <c r="J355" s="135"/>
      <c r="K355" s="135"/>
      <c r="L355" s="135"/>
      <c r="M355" s="135"/>
      <c r="N355" s="135"/>
      <c r="O355" s="135"/>
      <c r="P355" s="135"/>
      <c r="Q355" s="135"/>
      <c r="R355" s="135"/>
      <c r="S355" s="135"/>
      <c r="T355" s="135"/>
      <c r="U355" s="135"/>
      <c r="V355" s="135"/>
      <c r="W355" s="135"/>
      <c r="X355" s="135"/>
      <c r="Y355" s="135"/>
      <c r="Z355" s="135"/>
    </row>
    <row r="356" spans="1:26" ht="12.75">
      <c r="A356" s="136" t="s">
        <v>7</v>
      </c>
      <c r="B356" s="136" t="s">
        <v>671</v>
      </c>
      <c r="C356" s="136" t="s">
        <v>698</v>
      </c>
      <c r="D356" s="136" t="s">
        <v>7510</v>
      </c>
      <c r="E356" s="136"/>
      <c r="F356" s="136">
        <v>25</v>
      </c>
      <c r="G356" s="137">
        <f t="shared" si="1"/>
        <v>6</v>
      </c>
      <c r="H356" s="137"/>
      <c r="I356" s="137"/>
      <c r="J356" s="135"/>
      <c r="K356" s="135"/>
      <c r="L356" s="135"/>
      <c r="M356" s="135"/>
      <c r="N356" s="135"/>
      <c r="O356" s="135"/>
      <c r="P356" s="135"/>
      <c r="Q356" s="135"/>
      <c r="R356" s="135"/>
      <c r="S356" s="135"/>
      <c r="T356" s="135"/>
      <c r="U356" s="135"/>
      <c r="V356" s="135"/>
      <c r="W356" s="135"/>
      <c r="X356" s="135"/>
      <c r="Y356" s="135"/>
      <c r="Z356" s="135"/>
    </row>
    <row r="357" spans="1:26" ht="12.75">
      <c r="A357" s="136" t="s">
        <v>7</v>
      </c>
      <c r="B357" s="136" t="s">
        <v>671</v>
      </c>
      <c r="C357" s="136" t="s">
        <v>698</v>
      </c>
      <c r="D357" s="136" t="s">
        <v>7496</v>
      </c>
      <c r="E357" s="136" t="s">
        <v>615</v>
      </c>
      <c r="F357" s="136">
        <v>9</v>
      </c>
      <c r="G357" s="137">
        <f t="shared" si="1"/>
        <v>7</v>
      </c>
      <c r="H357" s="137"/>
      <c r="I357" s="137"/>
      <c r="J357" s="135"/>
      <c r="K357" s="135"/>
      <c r="L357" s="135"/>
      <c r="M357" s="135"/>
      <c r="N357" s="135"/>
      <c r="O357" s="135"/>
      <c r="P357" s="135"/>
      <c r="Q357" s="135"/>
      <c r="R357" s="135"/>
      <c r="S357" s="135"/>
      <c r="T357" s="135"/>
      <c r="U357" s="135"/>
      <c r="V357" s="135"/>
      <c r="W357" s="135"/>
      <c r="X357" s="135"/>
      <c r="Y357" s="135"/>
      <c r="Z357" s="135"/>
    </row>
    <row r="358" spans="1:26" ht="12.75">
      <c r="A358" s="136" t="s">
        <v>7</v>
      </c>
      <c r="B358" s="136" t="s">
        <v>671</v>
      </c>
      <c r="C358" s="136" t="s">
        <v>698</v>
      </c>
      <c r="D358" s="136" t="s">
        <v>7475</v>
      </c>
      <c r="E358" s="136" t="s">
        <v>594</v>
      </c>
      <c r="F358" s="136">
        <v>6</v>
      </c>
      <c r="G358" s="137">
        <f t="shared" si="1"/>
        <v>8</v>
      </c>
      <c r="H358" s="137"/>
      <c r="I358" s="137"/>
      <c r="J358" s="135"/>
      <c r="K358" s="135"/>
      <c r="L358" s="135"/>
      <c r="M358" s="135"/>
      <c r="N358" s="135"/>
      <c r="O358" s="135"/>
      <c r="P358" s="135"/>
      <c r="Q358" s="135"/>
      <c r="R358" s="135"/>
      <c r="S358" s="135"/>
      <c r="T358" s="135"/>
      <c r="U358" s="135"/>
      <c r="V358" s="135"/>
      <c r="W358" s="135"/>
      <c r="X358" s="135"/>
      <c r="Y358" s="135"/>
      <c r="Z358" s="135"/>
    </row>
    <row r="359" spans="1:26" ht="12.75">
      <c r="A359" s="136" t="s">
        <v>7</v>
      </c>
      <c r="B359" s="136" t="s">
        <v>671</v>
      </c>
      <c r="C359" s="136" t="s">
        <v>698</v>
      </c>
      <c r="D359" s="136" t="s">
        <v>1626</v>
      </c>
      <c r="E359" s="136" t="s">
        <v>594</v>
      </c>
      <c r="F359" s="136">
        <v>5</v>
      </c>
      <c r="G359" s="137">
        <f t="shared" si="1"/>
        <v>9</v>
      </c>
      <c r="H359" s="137"/>
      <c r="I359" s="137"/>
      <c r="J359" s="135"/>
      <c r="K359" s="135"/>
      <c r="L359" s="135"/>
      <c r="M359" s="135"/>
      <c r="N359" s="135"/>
      <c r="O359" s="135"/>
      <c r="P359" s="135"/>
      <c r="Q359" s="135"/>
      <c r="R359" s="135"/>
      <c r="S359" s="135"/>
      <c r="T359" s="135"/>
      <c r="U359" s="135"/>
      <c r="V359" s="135"/>
      <c r="W359" s="135"/>
      <c r="X359" s="135"/>
      <c r="Y359" s="135"/>
      <c r="Z359" s="135"/>
    </row>
    <row r="360" spans="1:26" ht="12.75">
      <c r="A360" s="136" t="s">
        <v>7</v>
      </c>
      <c r="B360" s="136" t="s">
        <v>671</v>
      </c>
      <c r="C360" s="136" t="s">
        <v>700</v>
      </c>
      <c r="D360" s="136" t="s">
        <v>98</v>
      </c>
      <c r="E360" s="136" t="s">
        <v>615</v>
      </c>
      <c r="F360" s="136">
        <v>989</v>
      </c>
      <c r="G360" s="137">
        <f t="shared" si="1"/>
        <v>1</v>
      </c>
      <c r="H360" s="137"/>
      <c r="I360" s="137"/>
      <c r="J360" s="135"/>
      <c r="K360" s="135"/>
      <c r="L360" s="135"/>
      <c r="M360" s="135"/>
      <c r="N360" s="135"/>
      <c r="O360" s="135"/>
      <c r="P360" s="135"/>
      <c r="Q360" s="135"/>
      <c r="R360" s="135"/>
      <c r="S360" s="135"/>
      <c r="T360" s="135"/>
      <c r="U360" s="135"/>
      <c r="V360" s="135"/>
      <c r="W360" s="135"/>
      <c r="X360" s="135"/>
      <c r="Y360" s="135"/>
      <c r="Z360" s="135"/>
    </row>
    <row r="361" spans="1:26" ht="12.75">
      <c r="A361" s="136" t="s">
        <v>7</v>
      </c>
      <c r="B361" s="136" t="s">
        <v>671</v>
      </c>
      <c r="C361" s="136" t="s">
        <v>700</v>
      </c>
      <c r="D361" s="136" t="s">
        <v>7472</v>
      </c>
      <c r="E361" s="136" t="s">
        <v>615</v>
      </c>
      <c r="F361" s="136">
        <v>940</v>
      </c>
      <c r="G361" s="137">
        <f t="shared" si="1"/>
        <v>2</v>
      </c>
      <c r="H361" s="137"/>
      <c r="I361" s="137"/>
      <c r="J361" s="135"/>
      <c r="K361" s="135"/>
      <c r="L361" s="135"/>
      <c r="M361" s="135"/>
      <c r="N361" s="135"/>
      <c r="O361" s="135"/>
      <c r="P361" s="135"/>
      <c r="Q361" s="135"/>
      <c r="R361" s="135"/>
      <c r="S361" s="135"/>
      <c r="T361" s="135"/>
      <c r="U361" s="135"/>
      <c r="V361" s="135"/>
      <c r="W361" s="135"/>
      <c r="X361" s="135"/>
      <c r="Y361" s="135"/>
      <c r="Z361" s="135"/>
    </row>
    <row r="362" spans="1:26" ht="12.75">
      <c r="A362" s="136" t="s">
        <v>7</v>
      </c>
      <c r="B362" s="136" t="s">
        <v>671</v>
      </c>
      <c r="C362" s="136" t="s">
        <v>700</v>
      </c>
      <c r="D362" s="136" t="s">
        <v>136</v>
      </c>
      <c r="E362" s="136" t="s">
        <v>615</v>
      </c>
      <c r="F362" s="136">
        <v>531</v>
      </c>
      <c r="G362" s="137">
        <f t="shared" si="1"/>
        <v>3</v>
      </c>
      <c r="H362" s="137"/>
      <c r="I362" s="137"/>
      <c r="J362" s="135"/>
      <c r="K362" s="135"/>
      <c r="L362" s="135"/>
      <c r="M362" s="135"/>
      <c r="N362" s="135"/>
      <c r="O362" s="135"/>
      <c r="P362" s="135"/>
      <c r="Q362" s="135"/>
      <c r="R362" s="135"/>
      <c r="S362" s="135"/>
      <c r="T362" s="135"/>
      <c r="U362" s="135"/>
      <c r="V362" s="135"/>
      <c r="W362" s="135"/>
      <c r="X362" s="135"/>
      <c r="Y362" s="135"/>
      <c r="Z362" s="135"/>
    </row>
    <row r="363" spans="1:26" ht="12.75">
      <c r="A363" s="136" t="s">
        <v>7</v>
      </c>
      <c r="B363" s="136" t="s">
        <v>671</v>
      </c>
      <c r="C363" s="136" t="s">
        <v>700</v>
      </c>
      <c r="D363" s="136" t="s">
        <v>114</v>
      </c>
      <c r="E363" s="136" t="s">
        <v>85</v>
      </c>
      <c r="F363" s="136">
        <v>498</v>
      </c>
      <c r="G363" s="137">
        <f t="shared" si="1"/>
        <v>4</v>
      </c>
      <c r="H363" s="137"/>
      <c r="I363" s="137"/>
      <c r="J363" s="135"/>
      <c r="K363" s="135"/>
      <c r="L363" s="135"/>
      <c r="M363" s="135"/>
      <c r="N363" s="135"/>
      <c r="O363" s="135"/>
      <c r="P363" s="135"/>
      <c r="Q363" s="135"/>
      <c r="R363" s="135"/>
      <c r="S363" s="135"/>
      <c r="T363" s="135"/>
      <c r="U363" s="135"/>
      <c r="V363" s="135"/>
      <c r="W363" s="135"/>
      <c r="X363" s="135"/>
      <c r="Y363" s="135"/>
      <c r="Z363" s="135"/>
    </row>
    <row r="364" spans="1:26" ht="25.5">
      <c r="A364" s="136" t="s">
        <v>7</v>
      </c>
      <c r="B364" s="136" t="s">
        <v>671</v>
      </c>
      <c r="C364" s="136" t="s">
        <v>700</v>
      </c>
      <c r="D364" s="136" t="s">
        <v>7511</v>
      </c>
      <c r="E364" s="136" t="s">
        <v>86</v>
      </c>
      <c r="F364" s="136">
        <v>456</v>
      </c>
      <c r="G364" s="137">
        <f t="shared" si="1"/>
        <v>5</v>
      </c>
      <c r="H364" s="137"/>
      <c r="I364" s="137"/>
      <c r="J364" s="135"/>
      <c r="K364" s="135"/>
      <c r="L364" s="135"/>
      <c r="M364" s="135"/>
      <c r="N364" s="135"/>
      <c r="O364" s="135"/>
      <c r="P364" s="135"/>
      <c r="Q364" s="135"/>
      <c r="R364" s="135"/>
      <c r="S364" s="135"/>
      <c r="T364" s="135"/>
      <c r="U364" s="135"/>
      <c r="V364" s="135"/>
      <c r="W364" s="135"/>
      <c r="X364" s="135"/>
      <c r="Y364" s="135"/>
      <c r="Z364" s="135"/>
    </row>
    <row r="365" spans="1:26" ht="12.75">
      <c r="A365" s="136" t="s">
        <v>7</v>
      </c>
      <c r="B365" s="136" t="s">
        <v>671</v>
      </c>
      <c r="C365" s="136" t="s">
        <v>700</v>
      </c>
      <c r="D365" s="136" t="s">
        <v>139</v>
      </c>
      <c r="E365" s="136" t="s">
        <v>594</v>
      </c>
      <c r="F365" s="136">
        <v>226</v>
      </c>
      <c r="G365" s="137">
        <f t="shared" si="1"/>
        <v>6</v>
      </c>
      <c r="H365" s="137"/>
      <c r="I365" s="137"/>
      <c r="J365" s="135"/>
      <c r="K365" s="135"/>
      <c r="L365" s="135"/>
      <c r="M365" s="135"/>
      <c r="N365" s="135"/>
      <c r="O365" s="135"/>
      <c r="P365" s="135"/>
      <c r="Q365" s="135"/>
      <c r="R365" s="135"/>
      <c r="S365" s="135"/>
      <c r="T365" s="135"/>
      <c r="U365" s="135"/>
      <c r="V365" s="135"/>
      <c r="W365" s="135"/>
      <c r="X365" s="135"/>
      <c r="Y365" s="135"/>
      <c r="Z365" s="135"/>
    </row>
    <row r="366" spans="1:26" ht="12.75">
      <c r="A366" s="136" t="s">
        <v>7</v>
      </c>
      <c r="B366" s="136" t="s">
        <v>671</v>
      </c>
      <c r="C366" s="136" t="s">
        <v>700</v>
      </c>
      <c r="D366" s="136" t="s">
        <v>467</v>
      </c>
      <c r="E366" s="136" t="s">
        <v>85</v>
      </c>
      <c r="F366" s="136">
        <v>109</v>
      </c>
      <c r="G366" s="137">
        <f t="shared" si="1"/>
        <v>7</v>
      </c>
      <c r="H366" s="137"/>
      <c r="I366" s="137"/>
      <c r="J366" s="135"/>
      <c r="K366" s="135"/>
      <c r="L366" s="135"/>
      <c r="M366" s="135"/>
      <c r="N366" s="135"/>
      <c r="O366" s="135"/>
      <c r="P366" s="135"/>
      <c r="Q366" s="135"/>
      <c r="R366" s="135"/>
      <c r="S366" s="135"/>
      <c r="T366" s="135"/>
      <c r="U366" s="135"/>
      <c r="V366" s="135"/>
      <c r="W366" s="135"/>
      <c r="X366" s="135"/>
      <c r="Y366" s="135"/>
      <c r="Z366" s="135"/>
    </row>
    <row r="367" spans="1:26" ht="12.75">
      <c r="A367" s="136" t="s">
        <v>7</v>
      </c>
      <c r="B367" s="136" t="s">
        <v>671</v>
      </c>
      <c r="C367" s="136" t="s">
        <v>700</v>
      </c>
      <c r="D367" s="136" t="s">
        <v>7485</v>
      </c>
      <c r="E367" s="136" t="s">
        <v>594</v>
      </c>
      <c r="F367" s="136">
        <v>66</v>
      </c>
      <c r="G367" s="137">
        <f t="shared" si="1"/>
        <v>8</v>
      </c>
      <c r="H367" s="137"/>
      <c r="I367" s="137"/>
      <c r="J367" s="135"/>
      <c r="K367" s="135"/>
      <c r="L367" s="135"/>
      <c r="M367" s="135"/>
      <c r="N367" s="135"/>
      <c r="O367" s="135"/>
      <c r="P367" s="135"/>
      <c r="Q367" s="135"/>
      <c r="R367" s="135"/>
      <c r="S367" s="135"/>
      <c r="T367" s="135"/>
      <c r="U367" s="135"/>
      <c r="V367" s="135"/>
      <c r="W367" s="135"/>
      <c r="X367" s="135"/>
      <c r="Y367" s="135"/>
      <c r="Z367" s="135"/>
    </row>
    <row r="368" spans="1:26" ht="12.75">
      <c r="A368" s="136" t="s">
        <v>7</v>
      </c>
      <c r="B368" s="136" t="s">
        <v>671</v>
      </c>
      <c r="C368" s="136" t="s">
        <v>700</v>
      </c>
      <c r="D368" s="136" t="s">
        <v>7506</v>
      </c>
      <c r="E368" s="136" t="s">
        <v>615</v>
      </c>
      <c r="F368" s="136">
        <v>58</v>
      </c>
      <c r="G368" s="137">
        <f t="shared" si="1"/>
        <v>9</v>
      </c>
      <c r="H368" s="137"/>
      <c r="I368" s="137"/>
      <c r="J368" s="135"/>
      <c r="K368" s="135"/>
      <c r="L368" s="135"/>
      <c r="M368" s="135"/>
      <c r="N368" s="135"/>
      <c r="O368" s="135"/>
      <c r="P368" s="135"/>
      <c r="Q368" s="135"/>
      <c r="R368" s="135"/>
      <c r="S368" s="135"/>
      <c r="T368" s="135"/>
      <c r="U368" s="135"/>
      <c r="V368" s="135"/>
      <c r="W368" s="135"/>
      <c r="X368" s="135"/>
      <c r="Y368" s="135"/>
      <c r="Z368" s="135"/>
    </row>
    <row r="369" spans="1:26" ht="12.75">
      <c r="A369" s="136" t="s">
        <v>7</v>
      </c>
      <c r="B369" s="136" t="s">
        <v>671</v>
      </c>
      <c r="C369" s="136" t="s">
        <v>700</v>
      </c>
      <c r="D369" s="136" t="s">
        <v>1665</v>
      </c>
      <c r="E369" s="136" t="s">
        <v>615</v>
      </c>
      <c r="F369" s="136">
        <v>54</v>
      </c>
      <c r="G369" s="137">
        <f t="shared" si="1"/>
        <v>10</v>
      </c>
      <c r="H369" s="137"/>
      <c r="I369" s="137"/>
      <c r="J369" s="135"/>
      <c r="K369" s="135"/>
      <c r="L369" s="135"/>
      <c r="M369" s="135"/>
      <c r="N369" s="135"/>
      <c r="O369" s="135"/>
      <c r="P369" s="135"/>
      <c r="Q369" s="135"/>
      <c r="R369" s="135"/>
      <c r="S369" s="135"/>
      <c r="T369" s="135"/>
      <c r="U369" s="135"/>
      <c r="V369" s="135"/>
      <c r="W369" s="135"/>
      <c r="X369" s="135"/>
      <c r="Y369" s="135"/>
      <c r="Z369" s="135"/>
    </row>
    <row r="370" spans="1:26" ht="12.75">
      <c r="A370" s="136" t="s">
        <v>7</v>
      </c>
      <c r="B370" s="136" t="s">
        <v>671</v>
      </c>
      <c r="C370" s="136" t="s">
        <v>700</v>
      </c>
      <c r="D370" s="136" t="s">
        <v>7496</v>
      </c>
      <c r="E370" s="136" t="s">
        <v>615</v>
      </c>
      <c r="F370" s="136">
        <v>52</v>
      </c>
      <c r="G370" s="137">
        <f t="shared" si="1"/>
        <v>11</v>
      </c>
      <c r="H370" s="137"/>
      <c r="I370" s="137"/>
      <c r="J370" s="135"/>
      <c r="K370" s="135"/>
      <c r="L370" s="135"/>
      <c r="M370" s="135"/>
      <c r="N370" s="135"/>
      <c r="O370" s="135"/>
      <c r="P370" s="135"/>
      <c r="Q370" s="135"/>
      <c r="R370" s="135"/>
      <c r="S370" s="135"/>
      <c r="T370" s="135"/>
      <c r="U370" s="135"/>
      <c r="V370" s="135"/>
      <c r="W370" s="135"/>
      <c r="X370" s="135"/>
      <c r="Y370" s="135"/>
      <c r="Z370" s="135"/>
    </row>
    <row r="371" spans="1:26" ht="12.75">
      <c r="A371" s="136" t="s">
        <v>7</v>
      </c>
      <c r="B371" s="136" t="s">
        <v>671</v>
      </c>
      <c r="C371" s="136" t="s">
        <v>700</v>
      </c>
      <c r="D371" s="136" t="s">
        <v>7512</v>
      </c>
      <c r="E371" s="136"/>
      <c r="F371" s="136">
        <v>47</v>
      </c>
      <c r="G371" s="137">
        <f t="shared" si="1"/>
        <v>12</v>
      </c>
      <c r="H371" s="137"/>
      <c r="I371" s="137"/>
      <c r="J371" s="135"/>
      <c r="K371" s="135"/>
      <c r="L371" s="135"/>
      <c r="M371" s="135"/>
      <c r="N371" s="135"/>
      <c r="O371" s="135"/>
      <c r="P371" s="135"/>
      <c r="Q371" s="135"/>
      <c r="R371" s="135"/>
      <c r="S371" s="135"/>
      <c r="T371" s="135"/>
      <c r="U371" s="135"/>
      <c r="V371" s="135"/>
      <c r="W371" s="135"/>
      <c r="X371" s="135"/>
      <c r="Y371" s="135"/>
      <c r="Z371" s="135"/>
    </row>
    <row r="372" spans="1:26" ht="12.75">
      <c r="A372" s="136" t="s">
        <v>7</v>
      </c>
      <c r="B372" s="136" t="s">
        <v>671</v>
      </c>
      <c r="C372" s="136" t="s">
        <v>700</v>
      </c>
      <c r="D372" s="136" t="s">
        <v>7502</v>
      </c>
      <c r="E372" s="136" t="s">
        <v>615</v>
      </c>
      <c r="F372" s="136">
        <v>35</v>
      </c>
      <c r="G372" s="137">
        <f t="shared" si="1"/>
        <v>13</v>
      </c>
      <c r="H372" s="137"/>
      <c r="I372" s="137"/>
      <c r="J372" s="135"/>
      <c r="K372" s="135"/>
      <c r="L372" s="135"/>
      <c r="M372" s="135"/>
      <c r="N372" s="135"/>
      <c r="O372" s="135"/>
      <c r="P372" s="135"/>
      <c r="Q372" s="135"/>
      <c r="R372" s="135"/>
      <c r="S372" s="135"/>
      <c r="T372" s="135"/>
      <c r="U372" s="135"/>
      <c r="V372" s="135"/>
      <c r="W372" s="135"/>
      <c r="X372" s="135"/>
      <c r="Y372" s="135"/>
      <c r="Z372" s="135"/>
    </row>
    <row r="373" spans="1:26" ht="12.75">
      <c r="A373" s="136" t="s">
        <v>7</v>
      </c>
      <c r="B373" s="136" t="s">
        <v>671</v>
      </c>
      <c r="C373" s="136" t="s">
        <v>700</v>
      </c>
      <c r="D373" s="136" t="s">
        <v>7475</v>
      </c>
      <c r="E373" s="136" t="s">
        <v>594</v>
      </c>
      <c r="F373" s="136">
        <v>7</v>
      </c>
      <c r="G373" s="137">
        <f t="shared" si="1"/>
        <v>14</v>
      </c>
      <c r="H373" s="137"/>
      <c r="I373" s="137"/>
      <c r="J373" s="135"/>
      <c r="K373" s="135"/>
      <c r="L373" s="135"/>
      <c r="M373" s="135"/>
      <c r="N373" s="135"/>
      <c r="O373" s="135"/>
      <c r="P373" s="135"/>
      <c r="Q373" s="135"/>
      <c r="R373" s="135"/>
      <c r="S373" s="135"/>
      <c r="T373" s="135"/>
      <c r="U373" s="135"/>
      <c r="V373" s="135"/>
      <c r="W373" s="135"/>
      <c r="X373" s="135"/>
      <c r="Y373" s="135"/>
      <c r="Z373" s="135"/>
    </row>
    <row r="374" spans="1:26" ht="12.75">
      <c r="A374" s="136" t="s">
        <v>7</v>
      </c>
      <c r="B374" s="136" t="s">
        <v>671</v>
      </c>
      <c r="C374" s="136" t="s">
        <v>700</v>
      </c>
      <c r="D374" s="136" t="s">
        <v>1626</v>
      </c>
      <c r="E374" s="136" t="s">
        <v>594</v>
      </c>
      <c r="F374" s="136">
        <v>4</v>
      </c>
      <c r="G374" s="137">
        <f t="shared" si="1"/>
        <v>15</v>
      </c>
      <c r="H374" s="137"/>
      <c r="I374" s="137"/>
      <c r="J374" s="135"/>
      <c r="K374" s="135"/>
      <c r="L374" s="135"/>
      <c r="M374" s="135"/>
      <c r="N374" s="135"/>
      <c r="O374" s="135"/>
      <c r="P374" s="135"/>
      <c r="Q374" s="135"/>
      <c r="R374" s="135"/>
      <c r="S374" s="135"/>
      <c r="T374" s="135"/>
      <c r="U374" s="135"/>
      <c r="V374" s="135"/>
      <c r="W374" s="135"/>
      <c r="X374" s="135"/>
      <c r="Y374" s="135"/>
      <c r="Z374" s="135"/>
    </row>
    <row r="375" spans="1:26" ht="12.75">
      <c r="A375" s="136" t="s">
        <v>7</v>
      </c>
      <c r="B375" s="136" t="s">
        <v>671</v>
      </c>
      <c r="C375" s="136" t="s">
        <v>7513</v>
      </c>
      <c r="D375" s="136" t="s">
        <v>98</v>
      </c>
      <c r="E375" s="136" t="s">
        <v>615</v>
      </c>
      <c r="F375" s="136">
        <v>2857</v>
      </c>
      <c r="G375" s="137">
        <f t="shared" si="1"/>
        <v>1</v>
      </c>
      <c r="H375" s="137"/>
      <c r="I375" s="137"/>
      <c r="J375" s="135"/>
      <c r="K375" s="135"/>
      <c r="L375" s="135"/>
      <c r="M375" s="135"/>
      <c r="N375" s="135"/>
      <c r="O375" s="135"/>
      <c r="P375" s="135"/>
      <c r="Q375" s="135"/>
      <c r="R375" s="135"/>
      <c r="S375" s="135"/>
      <c r="T375" s="135"/>
      <c r="U375" s="135"/>
      <c r="V375" s="135"/>
      <c r="W375" s="135"/>
      <c r="X375" s="135"/>
      <c r="Y375" s="135"/>
      <c r="Z375" s="135"/>
    </row>
    <row r="376" spans="1:26" ht="12.75">
      <c r="A376" s="136" t="s">
        <v>7</v>
      </c>
      <c r="B376" s="136" t="s">
        <v>671</v>
      </c>
      <c r="C376" s="136" t="s">
        <v>7513</v>
      </c>
      <c r="D376" s="136" t="s">
        <v>7506</v>
      </c>
      <c r="E376" s="136" t="s">
        <v>615</v>
      </c>
      <c r="F376" s="136">
        <v>250</v>
      </c>
      <c r="G376" s="137">
        <f t="shared" si="1"/>
        <v>2</v>
      </c>
      <c r="H376" s="137"/>
      <c r="I376" s="137"/>
      <c r="J376" s="135"/>
      <c r="K376" s="135"/>
      <c r="L376" s="135"/>
      <c r="M376" s="135"/>
      <c r="N376" s="135"/>
      <c r="O376" s="135"/>
      <c r="P376" s="135"/>
      <c r="Q376" s="135"/>
      <c r="R376" s="135"/>
      <c r="S376" s="135"/>
      <c r="T376" s="135"/>
      <c r="U376" s="135"/>
      <c r="V376" s="135"/>
      <c r="W376" s="135"/>
      <c r="X376" s="135"/>
      <c r="Y376" s="135"/>
      <c r="Z376" s="135"/>
    </row>
    <row r="377" spans="1:26" ht="12.75">
      <c r="A377" s="136" t="s">
        <v>7</v>
      </c>
      <c r="B377" s="136" t="s">
        <v>671</v>
      </c>
      <c r="C377" s="136" t="s">
        <v>7513</v>
      </c>
      <c r="D377" s="136" t="s">
        <v>7496</v>
      </c>
      <c r="E377" s="136" t="s">
        <v>615</v>
      </c>
      <c r="F377" s="136">
        <v>195</v>
      </c>
      <c r="G377" s="137">
        <f t="shared" si="1"/>
        <v>3</v>
      </c>
      <c r="H377" s="137"/>
      <c r="I377" s="137"/>
      <c r="J377" s="135"/>
      <c r="K377" s="135"/>
      <c r="L377" s="135"/>
      <c r="M377" s="135"/>
      <c r="N377" s="135"/>
      <c r="O377" s="135"/>
      <c r="P377" s="135"/>
      <c r="Q377" s="135"/>
      <c r="R377" s="135"/>
      <c r="S377" s="135"/>
      <c r="T377" s="135"/>
      <c r="U377" s="135"/>
      <c r="V377" s="135"/>
      <c r="W377" s="135"/>
      <c r="X377" s="135"/>
      <c r="Y377" s="135"/>
      <c r="Z377" s="135"/>
    </row>
    <row r="378" spans="1:26" ht="12.75">
      <c r="A378" s="136" t="s">
        <v>7</v>
      </c>
      <c r="B378" s="136" t="s">
        <v>671</v>
      </c>
      <c r="C378" s="136" t="s">
        <v>7513</v>
      </c>
      <c r="D378" s="136" t="s">
        <v>114</v>
      </c>
      <c r="E378" s="136" t="s">
        <v>85</v>
      </c>
      <c r="F378" s="136">
        <v>154</v>
      </c>
      <c r="G378" s="137">
        <f t="shared" si="1"/>
        <v>4</v>
      </c>
      <c r="H378" s="137"/>
      <c r="I378" s="137"/>
      <c r="J378" s="135"/>
      <c r="K378" s="135"/>
      <c r="L378" s="135"/>
      <c r="M378" s="135"/>
      <c r="N378" s="135"/>
      <c r="O378" s="135"/>
      <c r="P378" s="135"/>
      <c r="Q378" s="135"/>
      <c r="R378" s="135"/>
      <c r="S378" s="135"/>
      <c r="T378" s="135"/>
      <c r="U378" s="135"/>
      <c r="V378" s="135"/>
      <c r="W378" s="135"/>
      <c r="X378" s="135"/>
      <c r="Y378" s="135"/>
      <c r="Z378" s="135"/>
    </row>
    <row r="379" spans="1:26" ht="12.75">
      <c r="A379" s="136" t="s">
        <v>7</v>
      </c>
      <c r="B379" s="136" t="s">
        <v>671</v>
      </c>
      <c r="C379" s="136" t="s">
        <v>7513</v>
      </c>
      <c r="D379" s="136" t="s">
        <v>1665</v>
      </c>
      <c r="E379" s="136" t="s">
        <v>615</v>
      </c>
      <c r="F379" s="136">
        <v>78</v>
      </c>
      <c r="G379" s="137">
        <f t="shared" si="1"/>
        <v>5</v>
      </c>
      <c r="H379" s="137"/>
      <c r="I379" s="137"/>
      <c r="J379" s="135"/>
      <c r="K379" s="135"/>
      <c r="L379" s="135"/>
      <c r="M379" s="135"/>
      <c r="N379" s="135"/>
      <c r="O379" s="135"/>
      <c r="P379" s="135"/>
      <c r="Q379" s="135"/>
      <c r="R379" s="135"/>
      <c r="S379" s="135"/>
      <c r="T379" s="135"/>
      <c r="U379" s="135"/>
      <c r="V379" s="135"/>
      <c r="W379" s="135"/>
      <c r="X379" s="135"/>
      <c r="Y379" s="135"/>
      <c r="Z379" s="135"/>
    </row>
    <row r="380" spans="1:26" ht="12.75">
      <c r="A380" s="136" t="s">
        <v>7</v>
      </c>
      <c r="B380" s="136" t="s">
        <v>671</v>
      </c>
      <c r="C380" s="136" t="s">
        <v>7513</v>
      </c>
      <c r="D380" s="136" t="s">
        <v>139</v>
      </c>
      <c r="E380" s="136" t="s">
        <v>594</v>
      </c>
      <c r="F380" s="136">
        <v>68</v>
      </c>
      <c r="G380" s="137">
        <f t="shared" si="1"/>
        <v>6</v>
      </c>
      <c r="H380" s="137"/>
      <c r="I380" s="137"/>
      <c r="J380" s="135"/>
      <c r="K380" s="135"/>
      <c r="L380" s="135"/>
      <c r="M380" s="135"/>
      <c r="N380" s="135"/>
      <c r="O380" s="135"/>
      <c r="P380" s="135"/>
      <c r="Q380" s="135"/>
      <c r="R380" s="135"/>
      <c r="S380" s="135"/>
      <c r="T380" s="135"/>
      <c r="U380" s="135"/>
      <c r="V380" s="135"/>
      <c r="W380" s="135"/>
      <c r="X380" s="135"/>
      <c r="Y380" s="135"/>
      <c r="Z380" s="135"/>
    </row>
    <row r="381" spans="1:26" ht="12.75">
      <c r="A381" s="136" t="s">
        <v>7</v>
      </c>
      <c r="B381" s="136" t="s">
        <v>671</v>
      </c>
      <c r="C381" s="136" t="s">
        <v>7513</v>
      </c>
      <c r="D381" s="136" t="s">
        <v>7502</v>
      </c>
      <c r="E381" s="136" t="s">
        <v>615</v>
      </c>
      <c r="F381" s="136">
        <v>52</v>
      </c>
      <c r="G381" s="137">
        <f t="shared" si="1"/>
        <v>7</v>
      </c>
      <c r="H381" s="137"/>
      <c r="I381" s="137"/>
      <c r="J381" s="135"/>
      <c r="K381" s="135"/>
      <c r="L381" s="135"/>
      <c r="M381" s="135"/>
      <c r="N381" s="135"/>
      <c r="O381" s="135"/>
      <c r="P381" s="135"/>
      <c r="Q381" s="135"/>
      <c r="R381" s="135"/>
      <c r="S381" s="135"/>
      <c r="T381" s="135"/>
      <c r="U381" s="135"/>
      <c r="V381" s="135"/>
      <c r="W381" s="135"/>
      <c r="X381" s="135"/>
      <c r="Y381" s="135"/>
      <c r="Z381" s="135"/>
    </row>
    <row r="382" spans="1:26" ht="12.75">
      <c r="A382" s="136" t="s">
        <v>7</v>
      </c>
      <c r="B382" s="136" t="s">
        <v>671</v>
      </c>
      <c r="C382" s="136" t="s">
        <v>7513</v>
      </c>
      <c r="D382" s="136" t="s">
        <v>467</v>
      </c>
      <c r="E382" s="136" t="s">
        <v>85</v>
      </c>
      <c r="F382" s="136">
        <v>39</v>
      </c>
      <c r="G382" s="137">
        <f t="shared" si="1"/>
        <v>8</v>
      </c>
      <c r="H382" s="137"/>
      <c r="I382" s="137"/>
      <c r="J382" s="135"/>
      <c r="K382" s="135"/>
      <c r="L382" s="135"/>
      <c r="M382" s="135"/>
      <c r="N382" s="135"/>
      <c r="O382" s="135"/>
      <c r="P382" s="135"/>
      <c r="Q382" s="135"/>
      <c r="R382" s="135"/>
      <c r="S382" s="135"/>
      <c r="T382" s="135"/>
      <c r="U382" s="135"/>
      <c r="V382" s="135"/>
      <c r="W382" s="135"/>
      <c r="X382" s="135"/>
      <c r="Y382" s="135"/>
      <c r="Z382" s="135"/>
    </row>
    <row r="383" spans="1:26" ht="12.75">
      <c r="A383" s="136" t="s">
        <v>7</v>
      </c>
      <c r="B383" s="136" t="s">
        <v>671</v>
      </c>
      <c r="C383" s="136" t="s">
        <v>7513</v>
      </c>
      <c r="D383" s="136" t="s">
        <v>136</v>
      </c>
      <c r="E383" s="136" t="s">
        <v>615</v>
      </c>
      <c r="F383" s="136">
        <v>29</v>
      </c>
      <c r="G383" s="137">
        <f t="shared" si="1"/>
        <v>9</v>
      </c>
      <c r="H383" s="137"/>
      <c r="I383" s="137"/>
      <c r="J383" s="135"/>
      <c r="K383" s="135"/>
      <c r="L383" s="135"/>
      <c r="M383" s="135"/>
      <c r="N383" s="135"/>
      <c r="O383" s="135"/>
      <c r="P383" s="135"/>
      <c r="Q383" s="135"/>
      <c r="R383" s="135"/>
      <c r="S383" s="135"/>
      <c r="T383" s="135"/>
      <c r="U383" s="135"/>
      <c r="V383" s="135"/>
      <c r="W383" s="135"/>
      <c r="X383" s="135"/>
      <c r="Y383" s="135"/>
      <c r="Z383" s="135"/>
    </row>
    <row r="384" spans="1:26" ht="12.75">
      <c r="A384" s="136" t="s">
        <v>7</v>
      </c>
      <c r="B384" s="136" t="s">
        <v>671</v>
      </c>
      <c r="C384" s="136" t="s">
        <v>7513</v>
      </c>
      <c r="D384" s="136" t="s">
        <v>7472</v>
      </c>
      <c r="E384" s="136" t="s">
        <v>615</v>
      </c>
      <c r="F384" s="136">
        <v>24</v>
      </c>
      <c r="G384" s="137">
        <f t="shared" si="1"/>
        <v>10</v>
      </c>
      <c r="H384" s="137"/>
      <c r="I384" s="137"/>
      <c r="J384" s="135"/>
      <c r="K384" s="135"/>
      <c r="L384" s="135"/>
      <c r="M384" s="135"/>
      <c r="N384" s="135"/>
      <c r="O384" s="135"/>
      <c r="P384" s="135"/>
      <c r="Q384" s="135"/>
      <c r="R384" s="135"/>
      <c r="S384" s="135"/>
      <c r="T384" s="135"/>
      <c r="U384" s="135"/>
      <c r="V384" s="135"/>
      <c r="W384" s="135"/>
      <c r="X384" s="135"/>
      <c r="Y384" s="135"/>
      <c r="Z384" s="135"/>
    </row>
    <row r="385" spans="1:26" ht="12.75">
      <c r="A385" s="136" t="s">
        <v>7</v>
      </c>
      <c r="B385" s="136" t="s">
        <v>671</v>
      </c>
      <c r="C385" s="136" t="s">
        <v>7513</v>
      </c>
      <c r="D385" s="136" t="s">
        <v>1626</v>
      </c>
      <c r="E385" s="136" t="s">
        <v>594</v>
      </c>
      <c r="F385" s="136">
        <v>12</v>
      </c>
      <c r="G385" s="137">
        <f t="shared" si="1"/>
        <v>11</v>
      </c>
      <c r="H385" s="137"/>
      <c r="I385" s="137"/>
      <c r="J385" s="135"/>
      <c r="K385" s="135"/>
      <c r="L385" s="135"/>
      <c r="M385" s="135"/>
      <c r="N385" s="135"/>
      <c r="O385" s="135"/>
      <c r="P385" s="135"/>
      <c r="Q385" s="135"/>
      <c r="R385" s="135"/>
      <c r="S385" s="135"/>
      <c r="T385" s="135"/>
      <c r="U385" s="135"/>
      <c r="V385" s="135"/>
      <c r="W385" s="135"/>
      <c r="X385" s="135"/>
      <c r="Y385" s="135"/>
      <c r="Z385" s="135"/>
    </row>
    <row r="386" spans="1:26" ht="12.75">
      <c r="A386" s="136" t="s">
        <v>7</v>
      </c>
      <c r="B386" s="136" t="s">
        <v>671</v>
      </c>
      <c r="C386" s="136" t="s">
        <v>7513</v>
      </c>
      <c r="D386" s="136" t="s">
        <v>7512</v>
      </c>
      <c r="E386" s="136"/>
      <c r="F386" s="136">
        <v>8</v>
      </c>
      <c r="G386" s="137">
        <f t="shared" si="1"/>
        <v>12</v>
      </c>
      <c r="H386" s="137"/>
      <c r="I386" s="137"/>
      <c r="J386" s="135"/>
      <c r="K386" s="135"/>
      <c r="L386" s="135"/>
      <c r="M386" s="135"/>
      <c r="N386" s="135"/>
      <c r="O386" s="135"/>
      <c r="P386" s="135"/>
      <c r="Q386" s="135"/>
      <c r="R386" s="135"/>
      <c r="S386" s="135"/>
      <c r="T386" s="135"/>
      <c r="U386" s="135"/>
      <c r="V386" s="135"/>
      <c r="W386" s="135"/>
      <c r="X386" s="135"/>
      <c r="Y386" s="135"/>
      <c r="Z386" s="135"/>
    </row>
    <row r="387" spans="1:26" ht="12.75">
      <c r="A387" s="136" t="s">
        <v>7</v>
      </c>
      <c r="B387" s="136" t="s">
        <v>671</v>
      </c>
      <c r="C387" s="136" t="s">
        <v>7513</v>
      </c>
      <c r="D387" s="136" t="s">
        <v>7475</v>
      </c>
      <c r="E387" s="136" t="s">
        <v>594</v>
      </c>
      <c r="F387" s="136">
        <v>6</v>
      </c>
      <c r="G387" s="137">
        <f t="shared" si="1"/>
        <v>13</v>
      </c>
      <c r="H387" s="137"/>
      <c r="I387" s="137"/>
      <c r="J387" s="135"/>
      <c r="K387" s="135"/>
      <c r="L387" s="135"/>
      <c r="M387" s="135"/>
      <c r="N387" s="135"/>
      <c r="O387" s="135"/>
      <c r="P387" s="135"/>
      <c r="Q387" s="135"/>
      <c r="R387" s="135"/>
      <c r="S387" s="135"/>
      <c r="T387" s="135"/>
      <c r="U387" s="135"/>
      <c r="V387" s="135"/>
      <c r="W387" s="135"/>
      <c r="X387" s="135"/>
      <c r="Y387" s="135"/>
      <c r="Z387" s="135"/>
    </row>
    <row r="388" spans="1:26" ht="12.75">
      <c r="A388" s="136" t="s">
        <v>7</v>
      </c>
      <c r="B388" s="136" t="s">
        <v>671</v>
      </c>
      <c r="C388" s="136" t="s">
        <v>704</v>
      </c>
      <c r="D388" s="136" t="s">
        <v>7463</v>
      </c>
      <c r="E388" s="136" t="s">
        <v>615</v>
      </c>
      <c r="F388" s="136">
        <v>473</v>
      </c>
      <c r="G388" s="137">
        <f t="shared" si="1"/>
        <v>1</v>
      </c>
      <c r="H388" s="137"/>
      <c r="I388" s="137"/>
      <c r="J388" s="135"/>
      <c r="K388" s="135"/>
      <c r="L388" s="135"/>
      <c r="M388" s="135"/>
      <c r="N388" s="135"/>
      <c r="O388" s="135"/>
      <c r="P388" s="135"/>
      <c r="Q388" s="135"/>
      <c r="R388" s="135"/>
      <c r="S388" s="135"/>
      <c r="T388" s="135"/>
      <c r="U388" s="135"/>
      <c r="V388" s="135"/>
      <c r="W388" s="135"/>
      <c r="X388" s="135"/>
      <c r="Y388" s="135"/>
      <c r="Z388" s="135"/>
    </row>
    <row r="389" spans="1:26" ht="12.75">
      <c r="A389" s="136" t="s">
        <v>7</v>
      </c>
      <c r="B389" s="136" t="s">
        <v>671</v>
      </c>
      <c r="C389" s="136" t="s">
        <v>704</v>
      </c>
      <c r="D389" s="136" t="s">
        <v>114</v>
      </c>
      <c r="E389" s="136" t="s">
        <v>85</v>
      </c>
      <c r="F389" s="136">
        <v>55</v>
      </c>
      <c r="G389" s="137">
        <f t="shared" si="1"/>
        <v>2</v>
      </c>
      <c r="H389" s="137"/>
      <c r="I389" s="137"/>
      <c r="J389" s="135"/>
      <c r="K389" s="135"/>
      <c r="L389" s="135"/>
      <c r="M389" s="135"/>
      <c r="N389" s="135"/>
      <c r="O389" s="135"/>
      <c r="P389" s="135"/>
      <c r="Q389" s="135"/>
      <c r="R389" s="135"/>
      <c r="S389" s="135"/>
      <c r="T389" s="135"/>
      <c r="U389" s="135"/>
      <c r="V389" s="135"/>
      <c r="W389" s="135"/>
      <c r="X389" s="135"/>
      <c r="Y389" s="135"/>
      <c r="Z389" s="135"/>
    </row>
    <row r="390" spans="1:26" ht="12.75">
      <c r="A390" s="136" t="s">
        <v>7</v>
      </c>
      <c r="B390" s="136" t="s">
        <v>671</v>
      </c>
      <c r="C390" s="136" t="s">
        <v>704</v>
      </c>
      <c r="D390" s="136" t="s">
        <v>7506</v>
      </c>
      <c r="E390" s="136" t="s">
        <v>615</v>
      </c>
      <c r="F390" s="136">
        <v>37</v>
      </c>
      <c r="G390" s="137">
        <f t="shared" si="1"/>
        <v>3</v>
      </c>
      <c r="H390" s="137"/>
      <c r="I390" s="137"/>
      <c r="J390" s="135"/>
      <c r="K390" s="135"/>
      <c r="L390" s="135"/>
      <c r="M390" s="135"/>
      <c r="N390" s="135"/>
      <c r="O390" s="135"/>
      <c r="P390" s="135"/>
      <c r="Q390" s="135"/>
      <c r="R390" s="135"/>
      <c r="S390" s="135"/>
      <c r="T390" s="135"/>
      <c r="U390" s="135"/>
      <c r="V390" s="135"/>
      <c r="W390" s="135"/>
      <c r="X390" s="135"/>
      <c r="Y390" s="135"/>
      <c r="Z390" s="135"/>
    </row>
    <row r="391" spans="1:26" ht="12.75">
      <c r="A391" s="136" t="s">
        <v>7</v>
      </c>
      <c r="B391" s="136" t="s">
        <v>671</v>
      </c>
      <c r="C391" s="136" t="s">
        <v>704</v>
      </c>
      <c r="D391" s="136" t="s">
        <v>7502</v>
      </c>
      <c r="E391" s="136" t="s">
        <v>615</v>
      </c>
      <c r="F391" s="136">
        <v>33</v>
      </c>
      <c r="G391" s="137">
        <f t="shared" si="1"/>
        <v>4</v>
      </c>
      <c r="H391" s="137"/>
      <c r="I391" s="137"/>
      <c r="J391" s="135"/>
      <c r="K391" s="135"/>
      <c r="L391" s="135"/>
      <c r="M391" s="135"/>
      <c r="N391" s="135"/>
      <c r="O391" s="135"/>
      <c r="P391" s="135"/>
      <c r="Q391" s="135"/>
      <c r="R391" s="135"/>
      <c r="S391" s="135"/>
      <c r="T391" s="135"/>
      <c r="U391" s="135"/>
      <c r="V391" s="135"/>
      <c r="W391" s="135"/>
      <c r="X391" s="135"/>
      <c r="Y391" s="135"/>
      <c r="Z391" s="135"/>
    </row>
    <row r="392" spans="1:26" ht="12.75">
      <c r="A392" s="136" t="s">
        <v>7</v>
      </c>
      <c r="B392" s="136" t="s">
        <v>671</v>
      </c>
      <c r="C392" s="136" t="s">
        <v>704</v>
      </c>
      <c r="D392" s="136" t="s">
        <v>7496</v>
      </c>
      <c r="E392" s="136" t="s">
        <v>615</v>
      </c>
      <c r="F392" s="136">
        <v>24</v>
      </c>
      <c r="G392" s="137">
        <f t="shared" si="1"/>
        <v>5</v>
      </c>
      <c r="H392" s="137"/>
      <c r="I392" s="137"/>
      <c r="J392" s="135"/>
      <c r="K392" s="135"/>
      <c r="L392" s="135"/>
      <c r="M392" s="135"/>
      <c r="N392" s="135"/>
      <c r="O392" s="135"/>
      <c r="P392" s="135"/>
      <c r="Q392" s="135"/>
      <c r="R392" s="135"/>
      <c r="S392" s="135"/>
      <c r="T392" s="135"/>
      <c r="U392" s="135"/>
      <c r="V392" s="135"/>
      <c r="W392" s="135"/>
      <c r="X392" s="135"/>
      <c r="Y392" s="135"/>
      <c r="Z392" s="135"/>
    </row>
    <row r="393" spans="1:26" ht="12.75">
      <c r="A393" s="136" t="s">
        <v>7</v>
      </c>
      <c r="B393" s="136" t="s">
        <v>671</v>
      </c>
      <c r="C393" s="136" t="s">
        <v>704</v>
      </c>
      <c r="D393" s="136" t="s">
        <v>136</v>
      </c>
      <c r="E393" s="136" t="s">
        <v>7514</v>
      </c>
      <c r="F393" s="136">
        <v>24</v>
      </c>
      <c r="G393" s="137">
        <f t="shared" si="1"/>
        <v>6</v>
      </c>
      <c r="H393" s="137"/>
      <c r="I393" s="137"/>
      <c r="J393" s="135"/>
      <c r="K393" s="135"/>
      <c r="L393" s="135"/>
      <c r="M393" s="135"/>
      <c r="N393" s="135"/>
      <c r="O393" s="135"/>
      <c r="P393" s="135"/>
      <c r="Q393" s="135"/>
      <c r="R393" s="135"/>
      <c r="S393" s="135"/>
      <c r="T393" s="135"/>
      <c r="U393" s="135"/>
      <c r="V393" s="135"/>
      <c r="W393" s="135"/>
      <c r="X393" s="135"/>
      <c r="Y393" s="135"/>
      <c r="Z393" s="135"/>
    </row>
    <row r="394" spans="1:26" ht="12.75">
      <c r="A394" s="136" t="s">
        <v>7</v>
      </c>
      <c r="B394" s="136" t="s">
        <v>671</v>
      </c>
      <c r="C394" s="136" t="s">
        <v>704</v>
      </c>
      <c r="D394" s="136" t="s">
        <v>1665</v>
      </c>
      <c r="E394" s="136" t="s">
        <v>615</v>
      </c>
      <c r="F394" s="136">
        <v>20</v>
      </c>
      <c r="G394" s="137">
        <f t="shared" si="1"/>
        <v>7</v>
      </c>
      <c r="H394" s="137"/>
      <c r="I394" s="137"/>
      <c r="J394" s="135"/>
      <c r="K394" s="135"/>
      <c r="L394" s="135"/>
      <c r="M394" s="135"/>
      <c r="N394" s="135"/>
      <c r="O394" s="135"/>
      <c r="P394" s="135"/>
      <c r="Q394" s="135"/>
      <c r="R394" s="135"/>
      <c r="S394" s="135"/>
      <c r="T394" s="135"/>
      <c r="U394" s="135"/>
      <c r="V394" s="135"/>
      <c r="W394" s="135"/>
      <c r="X394" s="135"/>
      <c r="Y394" s="135"/>
      <c r="Z394" s="135"/>
    </row>
    <row r="395" spans="1:26" ht="12.75">
      <c r="A395" s="136" t="s">
        <v>7</v>
      </c>
      <c r="B395" s="136" t="s">
        <v>671</v>
      </c>
      <c r="C395" s="136" t="s">
        <v>704</v>
      </c>
      <c r="D395" s="136" t="s">
        <v>7472</v>
      </c>
      <c r="E395" s="136" t="s">
        <v>615</v>
      </c>
      <c r="F395" s="136">
        <v>11</v>
      </c>
      <c r="G395" s="137">
        <f t="shared" si="1"/>
        <v>8</v>
      </c>
      <c r="H395" s="137"/>
      <c r="I395" s="137"/>
      <c r="J395" s="135"/>
      <c r="K395" s="135"/>
      <c r="L395" s="135"/>
      <c r="M395" s="135"/>
      <c r="N395" s="135"/>
      <c r="O395" s="135"/>
      <c r="P395" s="135"/>
      <c r="Q395" s="135"/>
      <c r="R395" s="135"/>
      <c r="S395" s="135"/>
      <c r="T395" s="135"/>
      <c r="U395" s="135"/>
      <c r="V395" s="135"/>
      <c r="W395" s="135"/>
      <c r="X395" s="135"/>
      <c r="Y395" s="135"/>
      <c r="Z395" s="135"/>
    </row>
    <row r="396" spans="1:26" ht="12.75">
      <c r="A396" s="136" t="s">
        <v>7</v>
      </c>
      <c r="B396" s="136" t="s">
        <v>671</v>
      </c>
      <c r="C396" s="136" t="s">
        <v>704</v>
      </c>
      <c r="D396" s="136" t="s">
        <v>1626</v>
      </c>
      <c r="E396" s="136" t="s">
        <v>594</v>
      </c>
      <c r="F396" s="136">
        <v>2</v>
      </c>
      <c r="G396" s="137">
        <f t="shared" si="1"/>
        <v>9</v>
      </c>
      <c r="H396" s="137"/>
      <c r="I396" s="137"/>
      <c r="J396" s="135"/>
      <c r="K396" s="135"/>
      <c r="L396" s="135"/>
      <c r="M396" s="135"/>
      <c r="N396" s="135"/>
      <c r="O396" s="135"/>
      <c r="P396" s="135"/>
      <c r="Q396" s="135"/>
      <c r="R396" s="135"/>
      <c r="S396" s="135"/>
      <c r="T396" s="135"/>
      <c r="U396" s="135"/>
      <c r="V396" s="135"/>
      <c r="W396" s="135"/>
      <c r="X396" s="135"/>
      <c r="Y396" s="135"/>
      <c r="Z396" s="135"/>
    </row>
    <row r="397" spans="1:26" ht="12.75">
      <c r="A397" s="136" t="s">
        <v>7</v>
      </c>
      <c r="B397" s="136" t="s">
        <v>706</v>
      </c>
      <c r="C397" s="136" t="s">
        <v>712</v>
      </c>
      <c r="D397" s="136" t="s">
        <v>165</v>
      </c>
      <c r="E397" s="136" t="s">
        <v>615</v>
      </c>
      <c r="F397" s="136">
        <v>2261</v>
      </c>
      <c r="G397" s="137">
        <f t="shared" si="1"/>
        <v>1</v>
      </c>
      <c r="H397" s="137"/>
      <c r="I397" s="137"/>
      <c r="J397" s="135"/>
      <c r="K397" s="135"/>
      <c r="L397" s="135"/>
      <c r="M397" s="135"/>
      <c r="N397" s="135"/>
      <c r="O397" s="135"/>
      <c r="P397" s="135"/>
      <c r="Q397" s="135"/>
      <c r="R397" s="135"/>
      <c r="S397" s="135"/>
      <c r="T397" s="135"/>
      <c r="U397" s="135"/>
      <c r="V397" s="135"/>
      <c r="W397" s="135"/>
      <c r="X397" s="135"/>
      <c r="Y397" s="135"/>
      <c r="Z397" s="135"/>
    </row>
    <row r="398" spans="1:26" ht="12.75">
      <c r="A398" s="136" t="s">
        <v>7</v>
      </c>
      <c r="B398" s="136" t="s">
        <v>706</v>
      </c>
      <c r="C398" s="136" t="s">
        <v>712</v>
      </c>
      <c r="D398" s="136" t="s">
        <v>139</v>
      </c>
      <c r="E398" s="136" t="s">
        <v>594</v>
      </c>
      <c r="F398" s="136">
        <v>2166</v>
      </c>
      <c r="G398" s="137">
        <f t="shared" si="1"/>
        <v>2</v>
      </c>
      <c r="H398" s="137"/>
      <c r="I398" s="137"/>
      <c r="J398" s="135"/>
      <c r="K398" s="135"/>
      <c r="L398" s="135"/>
      <c r="M398" s="135"/>
      <c r="N398" s="135"/>
      <c r="O398" s="135"/>
      <c r="P398" s="135"/>
      <c r="Q398" s="135"/>
      <c r="R398" s="135"/>
      <c r="S398" s="135"/>
      <c r="T398" s="135"/>
      <c r="U398" s="135"/>
      <c r="V398" s="135"/>
      <c r="W398" s="135"/>
      <c r="X398" s="135"/>
      <c r="Y398" s="135"/>
      <c r="Z398" s="135"/>
    </row>
    <row r="399" spans="1:26" ht="12.75">
      <c r="A399" s="136" t="s">
        <v>7</v>
      </c>
      <c r="B399" s="136" t="s">
        <v>706</v>
      </c>
      <c r="C399" s="136" t="s">
        <v>712</v>
      </c>
      <c r="D399" s="136" t="s">
        <v>467</v>
      </c>
      <c r="E399" s="136" t="s">
        <v>85</v>
      </c>
      <c r="F399" s="136">
        <v>928</v>
      </c>
      <c r="G399" s="137">
        <f t="shared" si="1"/>
        <v>3</v>
      </c>
      <c r="H399" s="137"/>
      <c r="I399" s="137"/>
      <c r="J399" s="135"/>
      <c r="K399" s="135"/>
      <c r="L399" s="135"/>
      <c r="M399" s="135"/>
      <c r="N399" s="135"/>
      <c r="O399" s="135"/>
      <c r="P399" s="135"/>
      <c r="Q399" s="135"/>
      <c r="R399" s="135"/>
      <c r="S399" s="135"/>
      <c r="T399" s="135"/>
      <c r="U399" s="135"/>
      <c r="V399" s="135"/>
      <c r="W399" s="135"/>
      <c r="X399" s="135"/>
      <c r="Y399" s="135"/>
      <c r="Z399" s="135"/>
    </row>
    <row r="400" spans="1:26" ht="12.75">
      <c r="A400" s="136" t="s">
        <v>7</v>
      </c>
      <c r="B400" s="136" t="s">
        <v>706</v>
      </c>
      <c r="C400" s="136" t="s">
        <v>712</v>
      </c>
      <c r="D400" s="136" t="s">
        <v>1656</v>
      </c>
      <c r="E400" s="136" t="s">
        <v>594</v>
      </c>
      <c r="F400" s="136">
        <v>565</v>
      </c>
      <c r="G400" s="137">
        <f t="shared" si="1"/>
        <v>4</v>
      </c>
      <c r="H400" s="137"/>
      <c r="I400" s="137"/>
      <c r="J400" s="135"/>
      <c r="K400" s="135"/>
      <c r="L400" s="135"/>
      <c r="M400" s="135"/>
      <c r="N400" s="135"/>
      <c r="O400" s="135"/>
      <c r="P400" s="135"/>
      <c r="Q400" s="135"/>
      <c r="R400" s="135"/>
      <c r="S400" s="135"/>
      <c r="T400" s="135"/>
      <c r="U400" s="135"/>
      <c r="V400" s="135"/>
      <c r="W400" s="135"/>
      <c r="X400" s="135"/>
      <c r="Y400" s="135"/>
      <c r="Z400" s="135"/>
    </row>
    <row r="401" spans="1:26" ht="12.75">
      <c r="A401" s="136" t="s">
        <v>7</v>
      </c>
      <c r="B401" s="136" t="s">
        <v>706</v>
      </c>
      <c r="C401" s="136" t="s">
        <v>712</v>
      </c>
      <c r="D401" s="136" t="s">
        <v>7502</v>
      </c>
      <c r="E401" s="136" t="s">
        <v>615</v>
      </c>
      <c r="F401" s="136">
        <v>473</v>
      </c>
      <c r="G401" s="137">
        <f t="shared" si="1"/>
        <v>5</v>
      </c>
      <c r="H401" s="137"/>
      <c r="I401" s="137"/>
      <c r="J401" s="135"/>
      <c r="K401" s="135"/>
      <c r="L401" s="135"/>
      <c r="M401" s="135"/>
      <c r="N401" s="135"/>
      <c r="O401" s="135"/>
      <c r="P401" s="135"/>
      <c r="Q401" s="135"/>
      <c r="R401" s="135"/>
      <c r="S401" s="135"/>
      <c r="T401" s="135"/>
      <c r="U401" s="135"/>
      <c r="V401" s="135"/>
      <c r="W401" s="135"/>
      <c r="X401" s="135"/>
      <c r="Y401" s="135"/>
      <c r="Z401" s="135"/>
    </row>
    <row r="402" spans="1:26" ht="12.75">
      <c r="A402" s="136" t="s">
        <v>7</v>
      </c>
      <c r="B402" s="136" t="s">
        <v>706</v>
      </c>
      <c r="C402" s="136" t="s">
        <v>712</v>
      </c>
      <c r="D402" s="136" t="s">
        <v>136</v>
      </c>
      <c r="E402" s="136" t="s">
        <v>615</v>
      </c>
      <c r="F402" s="136">
        <v>350</v>
      </c>
      <c r="G402" s="137">
        <f t="shared" si="1"/>
        <v>6</v>
      </c>
      <c r="H402" s="137"/>
      <c r="I402" s="137"/>
      <c r="J402" s="135"/>
      <c r="K402" s="135"/>
      <c r="L402" s="135"/>
      <c r="M402" s="135"/>
      <c r="N402" s="135"/>
      <c r="O402" s="135"/>
      <c r="P402" s="135"/>
      <c r="Q402" s="135"/>
      <c r="R402" s="135"/>
      <c r="S402" s="135"/>
      <c r="T402" s="135"/>
      <c r="U402" s="135"/>
      <c r="V402" s="135"/>
      <c r="W402" s="135"/>
      <c r="X402" s="135"/>
      <c r="Y402" s="135"/>
      <c r="Z402" s="135"/>
    </row>
    <row r="403" spans="1:26" ht="12.75">
      <c r="A403" s="136" t="s">
        <v>7</v>
      </c>
      <c r="B403" s="136" t="s">
        <v>706</v>
      </c>
      <c r="C403" s="136" t="s">
        <v>712</v>
      </c>
      <c r="D403" s="136" t="s">
        <v>7515</v>
      </c>
      <c r="E403" s="136"/>
      <c r="F403" s="136">
        <v>228</v>
      </c>
      <c r="G403" s="137">
        <f t="shared" si="1"/>
        <v>7</v>
      </c>
      <c r="H403" s="137"/>
      <c r="I403" s="137"/>
      <c r="J403" s="135"/>
      <c r="K403" s="135"/>
      <c r="L403" s="135"/>
      <c r="M403" s="135"/>
      <c r="N403" s="135"/>
      <c r="O403" s="135"/>
      <c r="P403" s="135"/>
      <c r="Q403" s="135"/>
      <c r="R403" s="135"/>
      <c r="S403" s="135"/>
      <c r="T403" s="135"/>
      <c r="U403" s="135"/>
      <c r="V403" s="135"/>
      <c r="W403" s="135"/>
      <c r="X403" s="135"/>
      <c r="Y403" s="135"/>
      <c r="Z403" s="135"/>
    </row>
    <row r="404" spans="1:26" ht="12.75">
      <c r="A404" s="136" t="s">
        <v>7</v>
      </c>
      <c r="B404" s="136" t="s">
        <v>706</v>
      </c>
      <c r="C404" s="136" t="s">
        <v>712</v>
      </c>
      <c r="D404" s="136" t="s">
        <v>114</v>
      </c>
      <c r="E404" s="136" t="s">
        <v>85</v>
      </c>
      <c r="F404" s="136">
        <v>67</v>
      </c>
      <c r="G404" s="137">
        <f t="shared" si="1"/>
        <v>8</v>
      </c>
      <c r="H404" s="137"/>
      <c r="I404" s="137"/>
      <c r="J404" s="135"/>
      <c r="K404" s="135"/>
      <c r="L404" s="135"/>
      <c r="M404" s="135"/>
      <c r="N404" s="135"/>
      <c r="O404" s="135"/>
      <c r="P404" s="135"/>
      <c r="Q404" s="135"/>
      <c r="R404" s="135"/>
      <c r="S404" s="135"/>
      <c r="T404" s="135"/>
      <c r="U404" s="135"/>
      <c r="V404" s="135"/>
      <c r="W404" s="135"/>
      <c r="X404" s="135"/>
      <c r="Y404" s="135"/>
      <c r="Z404" s="135"/>
    </row>
    <row r="405" spans="1:26" ht="12.75">
      <c r="A405" s="136" t="s">
        <v>7</v>
      </c>
      <c r="B405" s="136" t="s">
        <v>706</v>
      </c>
      <c r="C405" s="136" t="s">
        <v>714</v>
      </c>
      <c r="D405" s="136" t="s">
        <v>288</v>
      </c>
      <c r="E405" s="136" t="s">
        <v>615</v>
      </c>
      <c r="F405" s="136">
        <v>4175</v>
      </c>
      <c r="G405" s="137">
        <f t="shared" si="1"/>
        <v>1</v>
      </c>
      <c r="H405" s="137"/>
      <c r="I405" s="137"/>
      <c r="J405" s="135"/>
      <c r="K405" s="135"/>
      <c r="L405" s="135"/>
      <c r="M405" s="135"/>
      <c r="N405" s="135"/>
      <c r="O405" s="135"/>
      <c r="P405" s="135"/>
      <c r="Q405" s="135"/>
      <c r="R405" s="135"/>
      <c r="S405" s="135"/>
      <c r="T405" s="135"/>
      <c r="U405" s="135"/>
      <c r="V405" s="135"/>
      <c r="W405" s="135"/>
      <c r="X405" s="135"/>
      <c r="Y405" s="135"/>
      <c r="Z405" s="135"/>
    </row>
    <row r="406" spans="1:26" ht="12.75">
      <c r="A406" s="136" t="s">
        <v>7</v>
      </c>
      <c r="B406" s="136" t="s">
        <v>706</v>
      </c>
      <c r="C406" s="136" t="s">
        <v>714</v>
      </c>
      <c r="D406" s="136" t="s">
        <v>139</v>
      </c>
      <c r="E406" s="136" t="s">
        <v>594</v>
      </c>
      <c r="F406" s="136">
        <v>701</v>
      </c>
      <c r="G406" s="137">
        <f t="shared" si="1"/>
        <v>2</v>
      </c>
      <c r="H406" s="137"/>
      <c r="I406" s="137"/>
      <c r="J406" s="135"/>
      <c r="K406" s="135"/>
      <c r="L406" s="135"/>
      <c r="M406" s="135"/>
      <c r="N406" s="135"/>
      <c r="O406" s="135"/>
      <c r="P406" s="135"/>
      <c r="Q406" s="135"/>
      <c r="R406" s="135"/>
      <c r="S406" s="135"/>
      <c r="T406" s="135"/>
      <c r="U406" s="135"/>
      <c r="V406" s="135"/>
      <c r="W406" s="135"/>
      <c r="X406" s="135"/>
      <c r="Y406" s="135"/>
      <c r="Z406" s="135"/>
    </row>
    <row r="407" spans="1:26" ht="12.75">
      <c r="A407" s="136" t="s">
        <v>7</v>
      </c>
      <c r="B407" s="136" t="s">
        <v>706</v>
      </c>
      <c r="C407" s="136" t="s">
        <v>714</v>
      </c>
      <c r="D407" s="136" t="s">
        <v>467</v>
      </c>
      <c r="E407" s="136" t="s">
        <v>85</v>
      </c>
      <c r="F407" s="136">
        <v>511</v>
      </c>
      <c r="G407" s="137">
        <f t="shared" si="1"/>
        <v>3</v>
      </c>
      <c r="H407" s="137"/>
      <c r="I407" s="137"/>
      <c r="J407" s="135"/>
      <c r="K407" s="135"/>
      <c r="L407" s="135"/>
      <c r="M407" s="135"/>
      <c r="N407" s="135"/>
      <c r="O407" s="135"/>
      <c r="P407" s="135"/>
      <c r="Q407" s="135"/>
      <c r="R407" s="135"/>
      <c r="S407" s="135"/>
      <c r="T407" s="135"/>
      <c r="U407" s="135"/>
      <c r="V407" s="135"/>
      <c r="W407" s="135"/>
      <c r="X407" s="135"/>
      <c r="Y407" s="135"/>
      <c r="Z407" s="135"/>
    </row>
    <row r="408" spans="1:26" ht="12.75">
      <c r="A408" s="136" t="s">
        <v>7</v>
      </c>
      <c r="B408" s="136" t="s">
        <v>706</v>
      </c>
      <c r="C408" s="136" t="s">
        <v>714</v>
      </c>
      <c r="D408" s="136" t="s">
        <v>7502</v>
      </c>
      <c r="E408" s="136" t="s">
        <v>615</v>
      </c>
      <c r="F408" s="136">
        <v>260</v>
      </c>
      <c r="G408" s="137">
        <f t="shared" si="1"/>
        <v>4</v>
      </c>
      <c r="H408" s="137"/>
      <c r="I408" s="137"/>
      <c r="J408" s="135"/>
      <c r="K408" s="135"/>
      <c r="L408" s="135"/>
      <c r="M408" s="135"/>
      <c r="N408" s="135"/>
      <c r="O408" s="135"/>
      <c r="P408" s="135"/>
      <c r="Q408" s="135"/>
      <c r="R408" s="135"/>
      <c r="S408" s="135"/>
      <c r="T408" s="135"/>
      <c r="U408" s="135"/>
      <c r="V408" s="135"/>
      <c r="W408" s="135"/>
      <c r="X408" s="135"/>
      <c r="Y408" s="135"/>
      <c r="Z408" s="135"/>
    </row>
    <row r="409" spans="1:26" ht="12.75">
      <c r="A409" s="136" t="s">
        <v>7</v>
      </c>
      <c r="B409" s="136" t="s">
        <v>706</v>
      </c>
      <c r="C409" s="136" t="s">
        <v>714</v>
      </c>
      <c r="D409" s="136" t="s">
        <v>165</v>
      </c>
      <c r="E409" s="136" t="s">
        <v>615</v>
      </c>
      <c r="F409" s="136">
        <v>232</v>
      </c>
      <c r="G409" s="137">
        <f t="shared" si="1"/>
        <v>5</v>
      </c>
      <c r="H409" s="137"/>
      <c r="I409" s="137"/>
      <c r="J409" s="135"/>
      <c r="K409" s="135"/>
      <c r="L409" s="135"/>
      <c r="M409" s="135"/>
      <c r="N409" s="135"/>
      <c r="O409" s="135"/>
      <c r="P409" s="135"/>
      <c r="Q409" s="135"/>
      <c r="R409" s="135"/>
      <c r="S409" s="135"/>
      <c r="T409" s="135"/>
      <c r="U409" s="135"/>
      <c r="V409" s="135"/>
      <c r="W409" s="135"/>
      <c r="X409" s="135"/>
      <c r="Y409" s="135"/>
      <c r="Z409" s="135"/>
    </row>
    <row r="410" spans="1:26" ht="12.75">
      <c r="A410" s="136" t="s">
        <v>7</v>
      </c>
      <c r="B410" s="136" t="s">
        <v>706</v>
      </c>
      <c r="C410" s="136" t="s">
        <v>714</v>
      </c>
      <c r="D410" s="136" t="s">
        <v>136</v>
      </c>
      <c r="E410" s="136" t="s">
        <v>615</v>
      </c>
      <c r="F410" s="136">
        <v>202</v>
      </c>
      <c r="G410" s="137">
        <f t="shared" si="1"/>
        <v>6</v>
      </c>
      <c r="H410" s="137"/>
      <c r="I410" s="137"/>
      <c r="J410" s="135"/>
      <c r="K410" s="135"/>
      <c r="L410" s="135"/>
      <c r="M410" s="135"/>
      <c r="N410" s="135"/>
      <c r="O410" s="135"/>
      <c r="P410" s="135"/>
      <c r="Q410" s="135"/>
      <c r="R410" s="135"/>
      <c r="S410" s="135"/>
      <c r="T410" s="135"/>
      <c r="U410" s="135"/>
      <c r="V410" s="135"/>
      <c r="W410" s="135"/>
      <c r="X410" s="135"/>
      <c r="Y410" s="135"/>
      <c r="Z410" s="135"/>
    </row>
    <row r="411" spans="1:26" ht="12.75">
      <c r="A411" s="136" t="s">
        <v>7</v>
      </c>
      <c r="B411" s="136" t="s">
        <v>706</v>
      </c>
      <c r="C411" s="136" t="s">
        <v>714</v>
      </c>
      <c r="D411" s="136" t="s">
        <v>114</v>
      </c>
      <c r="E411" s="136" t="s">
        <v>85</v>
      </c>
      <c r="F411" s="136">
        <v>71</v>
      </c>
      <c r="G411" s="137">
        <f t="shared" si="1"/>
        <v>7</v>
      </c>
      <c r="H411" s="137"/>
      <c r="I411" s="137"/>
      <c r="J411" s="135"/>
      <c r="K411" s="135"/>
      <c r="L411" s="135"/>
      <c r="M411" s="135"/>
      <c r="N411" s="135"/>
      <c r="O411" s="135"/>
      <c r="P411" s="135"/>
      <c r="Q411" s="135"/>
      <c r="R411" s="135"/>
      <c r="S411" s="135"/>
      <c r="T411" s="135"/>
      <c r="U411" s="135"/>
      <c r="V411" s="135"/>
      <c r="W411" s="135"/>
      <c r="X411" s="135"/>
      <c r="Y411" s="135"/>
      <c r="Z411" s="135"/>
    </row>
    <row r="412" spans="1:26" ht="12.75">
      <c r="A412" s="136" t="s">
        <v>7</v>
      </c>
      <c r="B412" s="136" t="s">
        <v>706</v>
      </c>
      <c r="C412" s="136" t="s">
        <v>714</v>
      </c>
      <c r="D412" s="136" t="s">
        <v>7516</v>
      </c>
      <c r="E412" s="136"/>
      <c r="F412" s="136">
        <v>58</v>
      </c>
      <c r="G412" s="137">
        <f t="shared" si="1"/>
        <v>8</v>
      </c>
      <c r="H412" s="137"/>
      <c r="I412" s="137"/>
      <c r="J412" s="135"/>
      <c r="K412" s="135"/>
      <c r="L412" s="135"/>
      <c r="M412" s="135"/>
      <c r="N412" s="135"/>
      <c r="O412" s="135"/>
      <c r="P412" s="135"/>
      <c r="Q412" s="135"/>
      <c r="R412" s="135"/>
      <c r="S412" s="135"/>
      <c r="T412" s="135"/>
      <c r="U412" s="135"/>
      <c r="V412" s="135"/>
      <c r="W412" s="135"/>
      <c r="X412" s="135"/>
      <c r="Y412" s="135"/>
      <c r="Z412" s="135"/>
    </row>
    <row r="413" spans="1:26" ht="12.75">
      <c r="A413" s="136" t="s">
        <v>7</v>
      </c>
      <c r="B413" s="136" t="s">
        <v>706</v>
      </c>
      <c r="C413" s="136" t="s">
        <v>7517</v>
      </c>
      <c r="D413" s="136" t="s">
        <v>288</v>
      </c>
      <c r="E413" s="136" t="s">
        <v>615</v>
      </c>
      <c r="F413" s="136">
        <v>2855</v>
      </c>
      <c r="G413" s="137">
        <f t="shared" si="1"/>
        <v>1</v>
      </c>
      <c r="H413" s="137"/>
      <c r="I413" s="137"/>
      <c r="J413" s="135"/>
      <c r="K413" s="135"/>
      <c r="L413" s="135"/>
      <c r="M413" s="135"/>
      <c r="N413" s="135"/>
      <c r="O413" s="135"/>
      <c r="P413" s="135"/>
      <c r="Q413" s="135"/>
      <c r="R413" s="135"/>
      <c r="S413" s="135"/>
      <c r="T413" s="135"/>
      <c r="U413" s="135"/>
      <c r="V413" s="135"/>
      <c r="W413" s="135"/>
      <c r="X413" s="135"/>
      <c r="Y413" s="135"/>
      <c r="Z413" s="135"/>
    </row>
    <row r="414" spans="1:26" ht="12.75">
      <c r="A414" s="136" t="s">
        <v>7</v>
      </c>
      <c r="B414" s="136" t="s">
        <v>706</v>
      </c>
      <c r="C414" s="136" t="s">
        <v>7517</v>
      </c>
      <c r="D414" s="136" t="s">
        <v>139</v>
      </c>
      <c r="E414" s="136" t="s">
        <v>594</v>
      </c>
      <c r="F414" s="136">
        <v>1093</v>
      </c>
      <c r="G414" s="137">
        <f t="shared" si="1"/>
        <v>2</v>
      </c>
      <c r="H414" s="137"/>
      <c r="I414" s="137"/>
      <c r="J414" s="135"/>
      <c r="K414" s="135"/>
      <c r="L414" s="135"/>
      <c r="M414" s="135"/>
      <c r="N414" s="135"/>
      <c r="O414" s="135"/>
      <c r="P414" s="135"/>
      <c r="Q414" s="135"/>
      <c r="R414" s="135"/>
      <c r="S414" s="135"/>
      <c r="T414" s="135"/>
      <c r="U414" s="135"/>
      <c r="V414" s="135"/>
      <c r="W414" s="135"/>
      <c r="X414" s="135"/>
      <c r="Y414" s="135"/>
      <c r="Z414" s="135"/>
    </row>
    <row r="415" spans="1:26" ht="12.75">
      <c r="A415" s="136" t="s">
        <v>7</v>
      </c>
      <c r="B415" s="136" t="s">
        <v>706</v>
      </c>
      <c r="C415" s="136" t="s">
        <v>7517</v>
      </c>
      <c r="D415" s="136" t="s">
        <v>38</v>
      </c>
      <c r="E415" s="136"/>
      <c r="F415" s="136">
        <v>310</v>
      </c>
      <c r="G415" s="137">
        <f t="shared" si="1"/>
        <v>3</v>
      </c>
      <c r="H415" s="137"/>
      <c r="I415" s="137"/>
      <c r="J415" s="135"/>
      <c r="K415" s="135"/>
      <c r="L415" s="135"/>
      <c r="M415" s="135"/>
      <c r="N415" s="135"/>
      <c r="O415" s="135"/>
      <c r="P415" s="135"/>
      <c r="Q415" s="135"/>
      <c r="R415" s="135"/>
      <c r="S415" s="135"/>
      <c r="T415" s="135"/>
      <c r="U415" s="135"/>
      <c r="V415" s="135"/>
      <c r="W415" s="135"/>
      <c r="X415" s="135"/>
      <c r="Y415" s="135"/>
      <c r="Z415" s="135"/>
    </row>
    <row r="416" spans="1:26" ht="12.75">
      <c r="A416" s="136" t="s">
        <v>7</v>
      </c>
      <c r="B416" s="136" t="s">
        <v>706</v>
      </c>
      <c r="C416" s="136" t="s">
        <v>7517</v>
      </c>
      <c r="D416" s="136" t="s">
        <v>1626</v>
      </c>
      <c r="E416" s="136" t="s">
        <v>594</v>
      </c>
      <c r="F416" s="136">
        <v>11</v>
      </c>
      <c r="G416" s="137">
        <f t="shared" si="1"/>
        <v>4</v>
      </c>
      <c r="H416" s="137"/>
      <c r="I416" s="137"/>
      <c r="J416" s="135"/>
      <c r="K416" s="135"/>
      <c r="L416" s="135"/>
      <c r="M416" s="135"/>
      <c r="N416" s="135"/>
      <c r="O416" s="135"/>
      <c r="P416" s="135"/>
      <c r="Q416" s="135"/>
      <c r="R416" s="135"/>
      <c r="S416" s="135"/>
      <c r="T416" s="135"/>
      <c r="U416" s="135"/>
      <c r="V416" s="135"/>
      <c r="W416" s="135"/>
      <c r="X416" s="135"/>
      <c r="Y416" s="135"/>
      <c r="Z416" s="135"/>
    </row>
    <row r="417" spans="1:26" ht="12.75">
      <c r="A417" s="136" t="s">
        <v>7</v>
      </c>
      <c r="B417" s="136" t="s">
        <v>706</v>
      </c>
      <c r="C417" s="136" t="s">
        <v>7517</v>
      </c>
      <c r="D417" s="136" t="s">
        <v>136</v>
      </c>
      <c r="E417" s="136" t="s">
        <v>615</v>
      </c>
      <c r="F417" s="136">
        <v>6</v>
      </c>
      <c r="G417" s="137">
        <f t="shared" si="1"/>
        <v>5</v>
      </c>
      <c r="H417" s="137"/>
      <c r="I417" s="137"/>
      <c r="J417" s="135"/>
      <c r="K417" s="135"/>
      <c r="L417" s="135"/>
      <c r="M417" s="135"/>
      <c r="N417" s="135"/>
      <c r="O417" s="135"/>
      <c r="P417" s="135"/>
      <c r="Q417" s="135"/>
      <c r="R417" s="135"/>
      <c r="S417" s="135"/>
      <c r="T417" s="135"/>
      <c r="U417" s="135"/>
      <c r="V417" s="135"/>
      <c r="W417" s="135"/>
      <c r="X417" s="135"/>
      <c r="Y417" s="135"/>
      <c r="Z417" s="135"/>
    </row>
    <row r="418" spans="1:26" ht="12.75">
      <c r="A418" s="136" t="s">
        <v>7</v>
      </c>
      <c r="B418" s="136" t="s">
        <v>706</v>
      </c>
      <c r="C418" s="136" t="s">
        <v>718</v>
      </c>
      <c r="D418" s="136" t="s">
        <v>7518</v>
      </c>
      <c r="E418" s="136" t="s">
        <v>615</v>
      </c>
      <c r="F418" s="136">
        <v>1148</v>
      </c>
      <c r="G418" s="137">
        <f t="shared" si="1"/>
        <v>1</v>
      </c>
      <c r="H418" s="137"/>
      <c r="I418" s="137"/>
      <c r="J418" s="135"/>
      <c r="K418" s="135"/>
      <c r="L418" s="135"/>
      <c r="M418" s="135"/>
      <c r="N418" s="135"/>
      <c r="O418" s="135"/>
      <c r="P418" s="135"/>
      <c r="Q418" s="135"/>
      <c r="R418" s="135"/>
      <c r="S418" s="135"/>
      <c r="T418" s="135"/>
      <c r="U418" s="135"/>
      <c r="V418" s="135"/>
      <c r="W418" s="135"/>
      <c r="X418" s="135"/>
      <c r="Y418" s="135"/>
      <c r="Z418" s="135"/>
    </row>
    <row r="419" spans="1:26" ht="12.75">
      <c r="A419" s="136" t="s">
        <v>7</v>
      </c>
      <c r="B419" s="136" t="s">
        <v>706</v>
      </c>
      <c r="C419" s="136" t="s">
        <v>718</v>
      </c>
      <c r="D419" s="136" t="s">
        <v>139</v>
      </c>
      <c r="E419" s="136" t="s">
        <v>594</v>
      </c>
      <c r="F419" s="136">
        <v>619</v>
      </c>
      <c r="G419" s="137">
        <f t="shared" si="1"/>
        <v>2</v>
      </c>
      <c r="H419" s="137"/>
      <c r="I419" s="137"/>
      <c r="J419" s="135"/>
      <c r="K419" s="135"/>
      <c r="L419" s="135"/>
      <c r="M419" s="135"/>
      <c r="N419" s="135"/>
      <c r="O419" s="135"/>
      <c r="P419" s="135"/>
      <c r="Q419" s="135"/>
      <c r="R419" s="135"/>
      <c r="S419" s="135"/>
      <c r="T419" s="135"/>
      <c r="U419" s="135"/>
      <c r="V419" s="135"/>
      <c r="W419" s="135"/>
      <c r="X419" s="135"/>
      <c r="Y419" s="135"/>
      <c r="Z419" s="135"/>
    </row>
    <row r="420" spans="1:26" ht="12.75">
      <c r="A420" s="136" t="s">
        <v>7</v>
      </c>
      <c r="B420" s="136" t="s">
        <v>706</v>
      </c>
      <c r="C420" s="136" t="s">
        <v>718</v>
      </c>
      <c r="D420" s="136" t="s">
        <v>7484</v>
      </c>
      <c r="E420" s="136" t="s">
        <v>615</v>
      </c>
      <c r="F420" s="136">
        <v>319</v>
      </c>
      <c r="G420" s="137">
        <f t="shared" si="1"/>
        <v>3</v>
      </c>
      <c r="H420" s="137"/>
      <c r="I420" s="137"/>
      <c r="J420" s="135"/>
      <c r="K420" s="135"/>
      <c r="L420" s="135"/>
      <c r="M420" s="135"/>
      <c r="N420" s="135"/>
      <c r="O420" s="135"/>
      <c r="P420" s="135"/>
      <c r="Q420" s="135"/>
      <c r="R420" s="135"/>
      <c r="S420" s="135"/>
      <c r="T420" s="135"/>
      <c r="U420" s="135"/>
      <c r="V420" s="135"/>
      <c r="W420" s="135"/>
      <c r="X420" s="135"/>
      <c r="Y420" s="135"/>
      <c r="Z420" s="135"/>
    </row>
    <row r="421" spans="1:26" ht="12.75">
      <c r="A421" s="136" t="s">
        <v>7</v>
      </c>
      <c r="B421" s="136" t="s">
        <v>706</v>
      </c>
      <c r="C421" s="136" t="s">
        <v>718</v>
      </c>
      <c r="D421" s="136" t="s">
        <v>38</v>
      </c>
      <c r="E421" s="136"/>
      <c r="F421" s="136">
        <v>187</v>
      </c>
      <c r="G421" s="137">
        <f t="shared" si="1"/>
        <v>4</v>
      </c>
      <c r="H421" s="137"/>
      <c r="I421" s="137"/>
      <c r="J421" s="135"/>
      <c r="K421" s="135"/>
      <c r="L421" s="135"/>
      <c r="M421" s="135"/>
      <c r="N421" s="135"/>
      <c r="O421" s="135"/>
      <c r="P421" s="135"/>
      <c r="Q421" s="135"/>
      <c r="R421" s="135"/>
      <c r="S421" s="135"/>
      <c r="T421" s="135"/>
      <c r="U421" s="135"/>
      <c r="V421" s="135"/>
      <c r="W421" s="135"/>
      <c r="X421" s="135"/>
      <c r="Y421" s="135"/>
      <c r="Z421" s="135"/>
    </row>
    <row r="422" spans="1:26" ht="12.75">
      <c r="A422" s="136" t="s">
        <v>7</v>
      </c>
      <c r="B422" s="136" t="s">
        <v>706</v>
      </c>
      <c r="C422" s="136" t="s">
        <v>718</v>
      </c>
      <c r="D422" s="136" t="s">
        <v>467</v>
      </c>
      <c r="E422" s="136" t="s">
        <v>85</v>
      </c>
      <c r="F422" s="136">
        <v>114</v>
      </c>
      <c r="G422" s="137">
        <f t="shared" si="1"/>
        <v>5</v>
      </c>
      <c r="H422" s="137"/>
      <c r="I422" s="137"/>
      <c r="J422" s="135"/>
      <c r="K422" s="135"/>
      <c r="L422" s="135"/>
      <c r="M422" s="135"/>
      <c r="N422" s="135"/>
      <c r="O422" s="135"/>
      <c r="P422" s="135"/>
      <c r="Q422" s="135"/>
      <c r="R422" s="135"/>
      <c r="S422" s="135"/>
      <c r="T422" s="135"/>
      <c r="U422" s="135"/>
      <c r="V422" s="135"/>
      <c r="W422" s="135"/>
      <c r="X422" s="135"/>
      <c r="Y422" s="135"/>
      <c r="Z422" s="135"/>
    </row>
    <row r="423" spans="1:26" ht="12.75">
      <c r="A423" s="136" t="s">
        <v>7</v>
      </c>
      <c r="B423" s="136" t="s">
        <v>706</v>
      </c>
      <c r="C423" s="136" t="s">
        <v>718</v>
      </c>
      <c r="D423" s="136" t="s">
        <v>7502</v>
      </c>
      <c r="E423" s="136" t="s">
        <v>615</v>
      </c>
      <c r="F423" s="136">
        <v>99</v>
      </c>
      <c r="G423" s="137">
        <f t="shared" si="1"/>
        <v>6</v>
      </c>
      <c r="H423" s="137"/>
      <c r="I423" s="137"/>
      <c r="J423" s="135"/>
      <c r="K423" s="135"/>
      <c r="L423" s="135"/>
      <c r="M423" s="135"/>
      <c r="N423" s="135"/>
      <c r="O423" s="135"/>
      <c r="P423" s="135"/>
      <c r="Q423" s="135"/>
      <c r="R423" s="135"/>
      <c r="S423" s="135"/>
      <c r="T423" s="135"/>
      <c r="U423" s="135"/>
      <c r="V423" s="135"/>
      <c r="W423" s="135"/>
      <c r="X423" s="135"/>
      <c r="Y423" s="135"/>
      <c r="Z423" s="135"/>
    </row>
    <row r="424" spans="1:26" ht="12.75">
      <c r="A424" s="136" t="s">
        <v>7</v>
      </c>
      <c r="B424" s="136" t="s">
        <v>706</v>
      </c>
      <c r="C424" s="136" t="s">
        <v>718</v>
      </c>
      <c r="D424" s="136" t="s">
        <v>114</v>
      </c>
      <c r="E424" s="136" t="s">
        <v>85</v>
      </c>
      <c r="F424" s="136">
        <v>65</v>
      </c>
      <c r="G424" s="137">
        <f t="shared" si="1"/>
        <v>7</v>
      </c>
      <c r="H424" s="137"/>
      <c r="I424" s="137"/>
      <c r="J424" s="135"/>
      <c r="K424" s="135"/>
      <c r="L424" s="135"/>
      <c r="M424" s="135"/>
      <c r="N424" s="135"/>
      <c r="O424" s="135"/>
      <c r="P424" s="135"/>
      <c r="Q424" s="135"/>
      <c r="R424" s="135"/>
      <c r="S424" s="135"/>
      <c r="T424" s="135"/>
      <c r="U424" s="135"/>
      <c r="V424" s="135"/>
      <c r="W424" s="135"/>
      <c r="X424" s="135"/>
      <c r="Y424" s="135"/>
      <c r="Z424" s="135"/>
    </row>
    <row r="425" spans="1:26" ht="12.75">
      <c r="A425" s="136" t="s">
        <v>7</v>
      </c>
      <c r="B425" s="136" t="s">
        <v>706</v>
      </c>
      <c r="C425" s="136" t="s">
        <v>718</v>
      </c>
      <c r="D425" s="136" t="s">
        <v>7519</v>
      </c>
      <c r="E425" s="136" t="s">
        <v>615</v>
      </c>
      <c r="F425" s="136">
        <v>27</v>
      </c>
      <c r="G425" s="137">
        <f t="shared" si="1"/>
        <v>8</v>
      </c>
      <c r="H425" s="137"/>
      <c r="I425" s="137"/>
      <c r="J425" s="135"/>
      <c r="K425" s="135"/>
      <c r="L425" s="135"/>
      <c r="M425" s="135"/>
      <c r="N425" s="135"/>
      <c r="O425" s="135"/>
      <c r="P425" s="135"/>
      <c r="Q425" s="135"/>
      <c r="R425" s="135"/>
      <c r="S425" s="135"/>
      <c r="T425" s="135"/>
      <c r="U425" s="135"/>
      <c r="V425" s="135"/>
      <c r="W425" s="135"/>
      <c r="X425" s="135"/>
      <c r="Y425" s="135"/>
      <c r="Z425" s="135"/>
    </row>
    <row r="426" spans="1:26" ht="12.75">
      <c r="A426" s="136" t="s">
        <v>7</v>
      </c>
      <c r="B426" s="136" t="s">
        <v>706</v>
      </c>
      <c r="C426" s="136" t="s">
        <v>709</v>
      </c>
      <c r="D426" s="136" t="s">
        <v>165</v>
      </c>
      <c r="E426" s="136" t="s">
        <v>615</v>
      </c>
      <c r="F426" s="136">
        <v>2800</v>
      </c>
      <c r="G426" s="137">
        <f t="shared" si="1"/>
        <v>1</v>
      </c>
      <c r="H426" s="137"/>
      <c r="I426" s="137"/>
      <c r="J426" s="135"/>
      <c r="K426" s="135"/>
      <c r="L426" s="135"/>
      <c r="M426" s="135"/>
      <c r="N426" s="135"/>
      <c r="O426" s="135"/>
      <c r="P426" s="135"/>
      <c r="Q426" s="135"/>
      <c r="R426" s="135"/>
      <c r="S426" s="135"/>
      <c r="T426" s="135"/>
      <c r="U426" s="135"/>
      <c r="V426" s="135"/>
      <c r="W426" s="135"/>
      <c r="X426" s="135"/>
      <c r="Y426" s="135"/>
      <c r="Z426" s="135"/>
    </row>
    <row r="427" spans="1:26" ht="12.75">
      <c r="A427" s="136" t="s">
        <v>7</v>
      </c>
      <c r="B427" s="136" t="s">
        <v>706</v>
      </c>
      <c r="C427" s="136" t="s">
        <v>709</v>
      </c>
      <c r="D427" s="136" t="s">
        <v>467</v>
      </c>
      <c r="E427" s="136" t="s">
        <v>85</v>
      </c>
      <c r="F427" s="136">
        <v>969</v>
      </c>
      <c r="G427" s="137">
        <f t="shared" si="1"/>
        <v>2</v>
      </c>
      <c r="H427" s="137"/>
      <c r="I427" s="137"/>
      <c r="J427" s="135"/>
      <c r="K427" s="135"/>
      <c r="L427" s="135"/>
      <c r="M427" s="135"/>
      <c r="N427" s="135"/>
      <c r="O427" s="135"/>
      <c r="P427" s="135"/>
      <c r="Q427" s="135"/>
      <c r="R427" s="135"/>
      <c r="S427" s="135"/>
      <c r="T427" s="135"/>
      <c r="U427" s="135"/>
      <c r="V427" s="135"/>
      <c r="W427" s="135"/>
      <c r="X427" s="135"/>
      <c r="Y427" s="135"/>
      <c r="Z427" s="135"/>
    </row>
    <row r="428" spans="1:26" ht="12.75">
      <c r="A428" s="136" t="s">
        <v>7</v>
      </c>
      <c r="B428" s="136" t="s">
        <v>706</v>
      </c>
      <c r="C428" s="136" t="s">
        <v>709</v>
      </c>
      <c r="D428" s="136" t="s">
        <v>136</v>
      </c>
      <c r="E428" s="136" t="s">
        <v>615</v>
      </c>
      <c r="F428" s="136">
        <v>303</v>
      </c>
      <c r="G428" s="137">
        <f t="shared" si="1"/>
        <v>3</v>
      </c>
      <c r="H428" s="137"/>
      <c r="I428" s="137"/>
      <c r="J428" s="135"/>
      <c r="K428" s="135"/>
      <c r="L428" s="135"/>
      <c r="M428" s="135"/>
      <c r="N428" s="135"/>
      <c r="O428" s="135"/>
      <c r="P428" s="135"/>
      <c r="Q428" s="135"/>
      <c r="R428" s="135"/>
      <c r="S428" s="135"/>
      <c r="T428" s="135"/>
      <c r="U428" s="135"/>
      <c r="V428" s="135"/>
      <c r="W428" s="135"/>
      <c r="X428" s="135"/>
      <c r="Y428" s="135"/>
      <c r="Z428" s="135"/>
    </row>
    <row r="429" spans="1:26" ht="12.75">
      <c r="A429" s="136" t="s">
        <v>7</v>
      </c>
      <c r="B429" s="136" t="s">
        <v>706</v>
      </c>
      <c r="C429" s="136" t="s">
        <v>709</v>
      </c>
      <c r="D429" s="136" t="s">
        <v>38</v>
      </c>
      <c r="E429" s="136"/>
      <c r="F429" s="136">
        <v>159</v>
      </c>
      <c r="G429" s="137">
        <f t="shared" si="1"/>
        <v>4</v>
      </c>
      <c r="H429" s="137"/>
      <c r="I429" s="137"/>
      <c r="J429" s="135"/>
      <c r="K429" s="135"/>
      <c r="L429" s="135"/>
      <c r="M429" s="135"/>
      <c r="N429" s="135"/>
      <c r="O429" s="135"/>
      <c r="P429" s="135"/>
      <c r="Q429" s="135"/>
      <c r="R429" s="135"/>
      <c r="S429" s="135"/>
      <c r="T429" s="135"/>
      <c r="U429" s="135"/>
      <c r="V429" s="135"/>
      <c r="W429" s="135"/>
      <c r="X429" s="135"/>
      <c r="Y429" s="135"/>
      <c r="Z429" s="135"/>
    </row>
    <row r="430" spans="1:26" ht="12.75">
      <c r="A430" s="136" t="s">
        <v>7</v>
      </c>
      <c r="B430" s="136" t="s">
        <v>706</v>
      </c>
      <c r="C430" s="136" t="s">
        <v>709</v>
      </c>
      <c r="D430" s="136" t="s">
        <v>7518</v>
      </c>
      <c r="E430" s="136" t="s">
        <v>615</v>
      </c>
      <c r="F430" s="136">
        <v>33</v>
      </c>
      <c r="G430" s="137">
        <f t="shared" si="1"/>
        <v>5</v>
      </c>
      <c r="H430" s="137"/>
      <c r="I430" s="137"/>
      <c r="J430" s="135"/>
      <c r="K430" s="135"/>
      <c r="L430" s="135"/>
      <c r="M430" s="135"/>
      <c r="N430" s="135"/>
      <c r="O430" s="135"/>
      <c r="P430" s="135"/>
      <c r="Q430" s="135"/>
      <c r="R430" s="135"/>
      <c r="S430" s="135"/>
      <c r="T430" s="135"/>
      <c r="U430" s="135"/>
      <c r="V430" s="135"/>
      <c r="W430" s="135"/>
      <c r="X430" s="135"/>
      <c r="Y430" s="135"/>
      <c r="Z430" s="135"/>
    </row>
    <row r="431" spans="1:26" ht="12.75">
      <c r="A431" s="136" t="s">
        <v>7</v>
      </c>
      <c r="B431" s="136" t="s">
        <v>706</v>
      </c>
      <c r="C431" s="136" t="s">
        <v>709</v>
      </c>
      <c r="D431" s="136" t="s">
        <v>139</v>
      </c>
      <c r="E431" s="136" t="s">
        <v>594</v>
      </c>
      <c r="F431" s="136">
        <v>30</v>
      </c>
      <c r="G431" s="137">
        <f t="shared" si="1"/>
        <v>6</v>
      </c>
      <c r="H431" s="137"/>
      <c r="I431" s="137"/>
      <c r="J431" s="135"/>
      <c r="K431" s="135"/>
      <c r="L431" s="135"/>
      <c r="M431" s="135"/>
      <c r="N431" s="135"/>
      <c r="O431" s="135"/>
      <c r="P431" s="135"/>
      <c r="Q431" s="135"/>
      <c r="R431" s="135"/>
      <c r="S431" s="135"/>
      <c r="T431" s="135"/>
      <c r="U431" s="135"/>
      <c r="V431" s="135"/>
      <c r="W431" s="135"/>
      <c r="X431" s="135"/>
      <c r="Y431" s="135"/>
      <c r="Z431" s="135"/>
    </row>
    <row r="432" spans="1:26" ht="12.75">
      <c r="A432" s="136" t="s">
        <v>7</v>
      </c>
      <c r="B432" s="136" t="s">
        <v>706</v>
      </c>
      <c r="C432" s="136" t="s">
        <v>709</v>
      </c>
      <c r="D432" s="136" t="s">
        <v>7519</v>
      </c>
      <c r="E432" s="136" t="s">
        <v>615</v>
      </c>
      <c r="F432" s="136">
        <v>23</v>
      </c>
      <c r="G432" s="137">
        <f t="shared" si="1"/>
        <v>7</v>
      </c>
      <c r="H432" s="137"/>
      <c r="I432" s="137"/>
      <c r="J432" s="135"/>
      <c r="K432" s="135"/>
      <c r="L432" s="135"/>
      <c r="M432" s="135"/>
      <c r="N432" s="135"/>
      <c r="O432" s="135"/>
      <c r="P432" s="135"/>
      <c r="Q432" s="135"/>
      <c r="R432" s="135"/>
      <c r="S432" s="135"/>
      <c r="T432" s="135"/>
      <c r="U432" s="135"/>
      <c r="V432" s="135"/>
      <c r="W432" s="135"/>
      <c r="X432" s="135"/>
      <c r="Y432" s="135"/>
      <c r="Z432" s="135"/>
    </row>
    <row r="433" spans="1:26" ht="12.75">
      <c r="A433" s="136" t="s">
        <v>7</v>
      </c>
      <c r="B433" s="136" t="s">
        <v>706</v>
      </c>
      <c r="C433" s="136" t="s">
        <v>709</v>
      </c>
      <c r="D433" s="136" t="s">
        <v>114</v>
      </c>
      <c r="E433" s="136" t="s">
        <v>85</v>
      </c>
      <c r="F433" s="136">
        <v>14</v>
      </c>
      <c r="G433" s="137">
        <f t="shared" si="1"/>
        <v>8</v>
      </c>
      <c r="H433" s="137"/>
      <c r="I433" s="137"/>
      <c r="J433" s="135"/>
      <c r="K433" s="135"/>
      <c r="L433" s="135"/>
      <c r="M433" s="135"/>
      <c r="N433" s="135"/>
      <c r="O433" s="135"/>
      <c r="P433" s="135"/>
      <c r="Q433" s="135"/>
      <c r="R433" s="135"/>
      <c r="S433" s="135"/>
      <c r="T433" s="135"/>
      <c r="U433" s="135"/>
      <c r="V433" s="135"/>
      <c r="W433" s="135"/>
      <c r="X433" s="135"/>
      <c r="Y433" s="135"/>
      <c r="Z433" s="135"/>
    </row>
    <row r="434" spans="1:26" ht="12.75">
      <c r="A434" s="136" t="s">
        <v>7</v>
      </c>
      <c r="B434" s="136" t="s">
        <v>706</v>
      </c>
      <c r="C434" s="136" t="s">
        <v>7520</v>
      </c>
      <c r="D434" s="136" t="s">
        <v>139</v>
      </c>
      <c r="E434" s="136" t="s">
        <v>594</v>
      </c>
      <c r="F434" s="136">
        <v>666</v>
      </c>
      <c r="G434" s="137">
        <f t="shared" si="1"/>
        <v>1</v>
      </c>
      <c r="H434" s="137"/>
      <c r="I434" s="137"/>
      <c r="J434" s="135"/>
      <c r="K434" s="135"/>
      <c r="L434" s="135"/>
      <c r="M434" s="135"/>
      <c r="N434" s="135"/>
      <c r="O434" s="135"/>
      <c r="P434" s="135"/>
      <c r="Q434" s="135"/>
      <c r="R434" s="135"/>
      <c r="S434" s="135"/>
      <c r="T434" s="135"/>
      <c r="U434" s="135"/>
      <c r="V434" s="135"/>
      <c r="W434" s="135"/>
      <c r="X434" s="135"/>
      <c r="Y434" s="135"/>
      <c r="Z434" s="135"/>
    </row>
    <row r="435" spans="1:26" ht="12.75">
      <c r="A435" s="136" t="s">
        <v>7</v>
      </c>
      <c r="B435" s="136" t="s">
        <v>706</v>
      </c>
      <c r="C435" s="136" t="s">
        <v>7520</v>
      </c>
      <c r="D435" s="136" t="s">
        <v>467</v>
      </c>
      <c r="E435" s="136" t="s">
        <v>85</v>
      </c>
      <c r="F435" s="136">
        <v>456</v>
      </c>
      <c r="G435" s="137">
        <f t="shared" si="1"/>
        <v>2</v>
      </c>
      <c r="H435" s="137"/>
      <c r="I435" s="137"/>
      <c r="J435" s="135"/>
      <c r="K435" s="135"/>
      <c r="L435" s="135"/>
      <c r="M435" s="135"/>
      <c r="N435" s="135"/>
      <c r="O435" s="135"/>
      <c r="P435" s="135"/>
      <c r="Q435" s="135"/>
      <c r="R435" s="135"/>
      <c r="S435" s="135"/>
      <c r="T435" s="135"/>
      <c r="U435" s="135"/>
      <c r="V435" s="135"/>
      <c r="W435" s="135"/>
      <c r="X435" s="135"/>
      <c r="Y435" s="135"/>
      <c r="Z435" s="135"/>
    </row>
    <row r="436" spans="1:26" ht="12.75">
      <c r="A436" s="136" t="s">
        <v>7</v>
      </c>
      <c r="B436" s="136" t="s">
        <v>706</v>
      </c>
      <c r="C436" s="136" t="s">
        <v>7520</v>
      </c>
      <c r="D436" s="136" t="s">
        <v>38</v>
      </c>
      <c r="E436" s="136"/>
      <c r="F436" s="136">
        <v>195</v>
      </c>
      <c r="G436" s="137">
        <f t="shared" si="1"/>
        <v>3</v>
      </c>
      <c r="H436" s="137"/>
      <c r="I436" s="137"/>
      <c r="J436" s="135"/>
      <c r="K436" s="135"/>
      <c r="L436" s="135"/>
      <c r="M436" s="135"/>
      <c r="N436" s="135"/>
      <c r="O436" s="135"/>
      <c r="P436" s="135"/>
      <c r="Q436" s="135"/>
      <c r="R436" s="135"/>
      <c r="S436" s="135"/>
      <c r="T436" s="135"/>
      <c r="U436" s="135"/>
      <c r="V436" s="135"/>
      <c r="W436" s="135"/>
      <c r="X436" s="135"/>
      <c r="Y436" s="135"/>
      <c r="Z436" s="135"/>
    </row>
    <row r="437" spans="1:26" ht="12.75">
      <c r="A437" s="136" t="s">
        <v>7</v>
      </c>
      <c r="B437" s="136" t="s">
        <v>706</v>
      </c>
      <c r="C437" s="136" t="s">
        <v>7520</v>
      </c>
      <c r="D437" s="136" t="s">
        <v>7521</v>
      </c>
      <c r="E437" s="136" t="s">
        <v>594</v>
      </c>
      <c r="F437" s="136">
        <v>60</v>
      </c>
      <c r="G437" s="137">
        <f t="shared" si="1"/>
        <v>4</v>
      </c>
      <c r="H437" s="137"/>
      <c r="I437" s="137"/>
      <c r="J437" s="135"/>
      <c r="K437" s="135"/>
      <c r="L437" s="135"/>
      <c r="M437" s="135"/>
      <c r="N437" s="135"/>
      <c r="O437" s="135"/>
      <c r="P437" s="135"/>
      <c r="Q437" s="135"/>
      <c r="R437" s="135"/>
      <c r="S437" s="135"/>
      <c r="T437" s="135"/>
      <c r="U437" s="135"/>
      <c r="V437" s="135"/>
      <c r="W437" s="135"/>
      <c r="X437" s="135"/>
      <c r="Y437" s="135"/>
      <c r="Z437" s="135"/>
    </row>
    <row r="438" spans="1:26" ht="12.75">
      <c r="A438" s="136" t="s">
        <v>7</v>
      </c>
      <c r="B438" s="136" t="s">
        <v>706</v>
      </c>
      <c r="C438" s="136" t="s">
        <v>7520</v>
      </c>
      <c r="D438" s="136" t="s">
        <v>114</v>
      </c>
      <c r="E438" s="136" t="s">
        <v>85</v>
      </c>
      <c r="F438" s="136">
        <v>37</v>
      </c>
      <c r="G438" s="137">
        <f t="shared" si="1"/>
        <v>5</v>
      </c>
      <c r="H438" s="137"/>
      <c r="I438" s="137"/>
      <c r="J438" s="135"/>
      <c r="K438" s="135"/>
      <c r="L438" s="135"/>
      <c r="M438" s="135"/>
      <c r="N438" s="135"/>
      <c r="O438" s="135"/>
      <c r="P438" s="135"/>
      <c r="Q438" s="135"/>
      <c r="R438" s="135"/>
      <c r="S438" s="135"/>
      <c r="T438" s="135"/>
      <c r="U438" s="135"/>
      <c r="V438" s="135"/>
      <c r="W438" s="135"/>
      <c r="X438" s="135"/>
      <c r="Y438" s="135"/>
      <c r="Z438" s="135"/>
    </row>
    <row r="439" spans="1:26" ht="12.75">
      <c r="A439" s="136" t="s">
        <v>7</v>
      </c>
      <c r="B439" s="136" t="s">
        <v>706</v>
      </c>
      <c r="C439" s="136" t="s">
        <v>7520</v>
      </c>
      <c r="D439" s="136" t="s">
        <v>1656</v>
      </c>
      <c r="E439" s="136" t="s">
        <v>594</v>
      </c>
      <c r="F439" s="136">
        <v>15</v>
      </c>
      <c r="G439" s="137">
        <f t="shared" si="1"/>
        <v>6</v>
      </c>
      <c r="H439" s="137"/>
      <c r="I439" s="137"/>
      <c r="J439" s="135"/>
      <c r="K439" s="135"/>
      <c r="L439" s="135"/>
      <c r="M439" s="135"/>
      <c r="N439" s="135"/>
      <c r="O439" s="135"/>
      <c r="P439" s="135"/>
      <c r="Q439" s="135"/>
      <c r="R439" s="135"/>
      <c r="S439" s="135"/>
      <c r="T439" s="135"/>
      <c r="U439" s="135"/>
      <c r="V439" s="135"/>
      <c r="W439" s="135"/>
      <c r="X439" s="135"/>
      <c r="Y439" s="135"/>
      <c r="Z439" s="135"/>
    </row>
    <row r="440" spans="1:26" ht="12.75">
      <c r="A440" s="136" t="s">
        <v>7</v>
      </c>
      <c r="B440" s="136" t="s">
        <v>706</v>
      </c>
      <c r="C440" s="136" t="s">
        <v>7522</v>
      </c>
      <c r="D440" s="136" t="s">
        <v>165</v>
      </c>
      <c r="E440" s="136" t="s">
        <v>615</v>
      </c>
      <c r="F440" s="136">
        <v>6135</v>
      </c>
      <c r="G440" s="137">
        <f t="shared" si="1"/>
        <v>1</v>
      </c>
      <c r="H440" s="137"/>
      <c r="I440" s="137"/>
      <c r="J440" s="135"/>
      <c r="K440" s="135"/>
      <c r="L440" s="135"/>
      <c r="M440" s="135"/>
      <c r="N440" s="135"/>
      <c r="O440" s="135"/>
      <c r="P440" s="135"/>
      <c r="Q440" s="135"/>
      <c r="R440" s="135"/>
      <c r="S440" s="135"/>
      <c r="T440" s="135"/>
      <c r="U440" s="135"/>
      <c r="V440" s="135"/>
      <c r="W440" s="135"/>
      <c r="X440" s="135"/>
      <c r="Y440" s="135"/>
      <c r="Z440" s="135"/>
    </row>
    <row r="441" spans="1:26" ht="12.75">
      <c r="A441" s="136" t="s">
        <v>7</v>
      </c>
      <c r="B441" s="136" t="s">
        <v>706</v>
      </c>
      <c r="C441" s="136" t="s">
        <v>7522</v>
      </c>
      <c r="D441" s="136" t="s">
        <v>136</v>
      </c>
      <c r="E441" s="136" t="s">
        <v>615</v>
      </c>
      <c r="F441" s="136">
        <v>3292</v>
      </c>
      <c r="G441" s="137">
        <f t="shared" si="1"/>
        <v>2</v>
      </c>
      <c r="H441" s="137"/>
      <c r="I441" s="137"/>
      <c r="J441" s="135"/>
      <c r="K441" s="135"/>
      <c r="L441" s="135"/>
      <c r="M441" s="135"/>
      <c r="N441" s="135"/>
      <c r="O441" s="135"/>
      <c r="P441" s="135"/>
      <c r="Q441" s="135"/>
      <c r="R441" s="135"/>
      <c r="S441" s="135"/>
      <c r="T441" s="135"/>
      <c r="U441" s="135"/>
      <c r="V441" s="135"/>
      <c r="W441" s="135"/>
      <c r="X441" s="135"/>
      <c r="Y441" s="135"/>
      <c r="Z441" s="135"/>
    </row>
    <row r="442" spans="1:26" ht="12.75">
      <c r="A442" s="136" t="s">
        <v>7</v>
      </c>
      <c r="B442" s="136" t="s">
        <v>706</v>
      </c>
      <c r="C442" s="136" t="s">
        <v>7522</v>
      </c>
      <c r="D442" s="136" t="s">
        <v>38</v>
      </c>
      <c r="E442" s="136"/>
      <c r="F442" s="136">
        <v>374</v>
      </c>
      <c r="G442" s="137">
        <f t="shared" si="1"/>
        <v>3</v>
      </c>
      <c r="H442" s="137"/>
      <c r="I442" s="137"/>
      <c r="J442" s="135"/>
      <c r="K442" s="135"/>
      <c r="L442" s="135"/>
      <c r="M442" s="135"/>
      <c r="N442" s="135"/>
      <c r="O442" s="135"/>
      <c r="P442" s="135"/>
      <c r="Q442" s="135"/>
      <c r="R442" s="135"/>
      <c r="S442" s="135"/>
      <c r="T442" s="135"/>
      <c r="U442" s="135"/>
      <c r="V442" s="135"/>
      <c r="W442" s="135"/>
      <c r="X442" s="135"/>
      <c r="Y442" s="135"/>
      <c r="Z442" s="135"/>
    </row>
    <row r="443" spans="1:26" ht="12.75">
      <c r="A443" s="136" t="s">
        <v>7</v>
      </c>
      <c r="B443" s="136" t="s">
        <v>706</v>
      </c>
      <c r="C443" s="136" t="s">
        <v>7522</v>
      </c>
      <c r="D443" s="136" t="s">
        <v>1626</v>
      </c>
      <c r="E443" s="136" t="s">
        <v>594</v>
      </c>
      <c r="F443" s="136">
        <v>294</v>
      </c>
      <c r="G443" s="137">
        <f t="shared" si="1"/>
        <v>4</v>
      </c>
      <c r="H443" s="137"/>
      <c r="I443" s="137"/>
      <c r="J443" s="135"/>
      <c r="K443" s="135"/>
      <c r="L443" s="135"/>
      <c r="M443" s="135"/>
      <c r="N443" s="135"/>
      <c r="O443" s="135"/>
      <c r="P443" s="135"/>
      <c r="Q443" s="135"/>
      <c r="R443" s="135"/>
      <c r="S443" s="135"/>
      <c r="T443" s="135"/>
      <c r="U443" s="135"/>
      <c r="V443" s="135"/>
      <c r="W443" s="135"/>
      <c r="X443" s="135"/>
      <c r="Y443" s="135"/>
      <c r="Z443" s="135"/>
    </row>
    <row r="444" spans="1:26" ht="12.75">
      <c r="A444" s="136" t="s">
        <v>7</v>
      </c>
      <c r="B444" s="136" t="s">
        <v>706</v>
      </c>
      <c r="C444" s="136" t="s">
        <v>7522</v>
      </c>
      <c r="D444" s="136" t="s">
        <v>1656</v>
      </c>
      <c r="E444" s="136" t="s">
        <v>594</v>
      </c>
      <c r="F444" s="136">
        <v>40</v>
      </c>
      <c r="G444" s="137">
        <f t="shared" si="1"/>
        <v>5</v>
      </c>
      <c r="H444" s="137"/>
      <c r="I444" s="137"/>
      <c r="J444" s="135"/>
      <c r="K444" s="135"/>
      <c r="L444" s="135"/>
      <c r="M444" s="135"/>
      <c r="N444" s="135"/>
      <c r="O444" s="135"/>
      <c r="P444" s="135"/>
      <c r="Q444" s="135"/>
      <c r="R444" s="135"/>
      <c r="S444" s="135"/>
      <c r="T444" s="135"/>
      <c r="U444" s="135"/>
      <c r="V444" s="135"/>
      <c r="W444" s="135"/>
      <c r="X444" s="135"/>
      <c r="Y444" s="135"/>
      <c r="Z444" s="135"/>
    </row>
    <row r="445" spans="1:26" ht="12.75">
      <c r="A445" s="136" t="s">
        <v>7</v>
      </c>
      <c r="B445" s="136" t="s">
        <v>706</v>
      </c>
      <c r="C445" s="136" t="s">
        <v>7522</v>
      </c>
      <c r="D445" s="136" t="s">
        <v>467</v>
      </c>
      <c r="E445" s="136" t="s">
        <v>85</v>
      </c>
      <c r="F445" s="136">
        <v>32</v>
      </c>
      <c r="G445" s="137">
        <f t="shared" si="1"/>
        <v>6</v>
      </c>
      <c r="H445" s="137"/>
      <c r="I445" s="137"/>
      <c r="J445" s="135"/>
      <c r="K445" s="135"/>
      <c r="L445" s="135"/>
      <c r="M445" s="135"/>
      <c r="N445" s="135"/>
      <c r="O445" s="135"/>
      <c r="P445" s="135"/>
      <c r="Q445" s="135"/>
      <c r="R445" s="135"/>
      <c r="S445" s="135"/>
      <c r="T445" s="135"/>
      <c r="U445" s="135"/>
      <c r="V445" s="135"/>
      <c r="W445" s="135"/>
      <c r="X445" s="135"/>
      <c r="Y445" s="135"/>
      <c r="Z445" s="135"/>
    </row>
    <row r="446" spans="1:26" ht="12.75">
      <c r="A446" s="136" t="s">
        <v>7</v>
      </c>
      <c r="B446" s="136" t="s">
        <v>706</v>
      </c>
      <c r="C446" s="136" t="s">
        <v>7522</v>
      </c>
      <c r="D446" s="136" t="s">
        <v>114</v>
      </c>
      <c r="E446" s="136" t="s">
        <v>85</v>
      </c>
      <c r="F446" s="136">
        <v>26</v>
      </c>
      <c r="G446" s="137">
        <f t="shared" si="1"/>
        <v>7</v>
      </c>
      <c r="H446" s="137"/>
      <c r="I446" s="137"/>
      <c r="J446" s="135"/>
      <c r="K446" s="135"/>
      <c r="L446" s="135"/>
      <c r="M446" s="135"/>
      <c r="N446" s="135"/>
      <c r="O446" s="135"/>
      <c r="P446" s="135"/>
      <c r="Q446" s="135"/>
      <c r="R446" s="135"/>
      <c r="S446" s="135"/>
      <c r="T446" s="135"/>
      <c r="U446" s="135"/>
      <c r="V446" s="135"/>
      <c r="W446" s="135"/>
      <c r="X446" s="135"/>
      <c r="Y446" s="135"/>
      <c r="Z446" s="135"/>
    </row>
    <row r="447" spans="1:26" ht="12.75">
      <c r="A447" s="136" t="s">
        <v>7</v>
      </c>
      <c r="B447" s="136" t="s">
        <v>706</v>
      </c>
      <c r="C447" s="136" t="s">
        <v>7522</v>
      </c>
      <c r="D447" s="136" t="s">
        <v>288</v>
      </c>
      <c r="E447" s="136" t="s">
        <v>615</v>
      </c>
      <c r="F447" s="136">
        <v>2</v>
      </c>
      <c r="G447" s="137">
        <f t="shared" si="1"/>
        <v>8</v>
      </c>
      <c r="H447" s="137"/>
      <c r="I447" s="137"/>
      <c r="J447" s="135"/>
      <c r="K447" s="135"/>
      <c r="L447" s="135"/>
      <c r="M447" s="135"/>
      <c r="N447" s="135"/>
      <c r="O447" s="135"/>
      <c r="P447" s="135"/>
      <c r="Q447" s="135"/>
      <c r="R447" s="135"/>
      <c r="S447" s="135"/>
      <c r="T447" s="135"/>
      <c r="U447" s="135"/>
      <c r="V447" s="135"/>
      <c r="W447" s="135"/>
      <c r="X447" s="135"/>
      <c r="Y447" s="135"/>
      <c r="Z447" s="135"/>
    </row>
    <row r="448" spans="1:26" ht="12.75">
      <c r="A448" s="136" t="s">
        <v>7</v>
      </c>
      <c r="B448" s="136" t="s">
        <v>706</v>
      </c>
      <c r="C448" s="136" t="s">
        <v>7523</v>
      </c>
      <c r="D448" s="136" t="s">
        <v>136</v>
      </c>
      <c r="E448" s="136" t="s">
        <v>615</v>
      </c>
      <c r="F448" s="136">
        <v>3033</v>
      </c>
      <c r="G448" s="137">
        <f t="shared" si="1"/>
        <v>1</v>
      </c>
      <c r="H448" s="137"/>
      <c r="I448" s="137"/>
      <c r="J448" s="135"/>
      <c r="K448" s="135"/>
      <c r="L448" s="135"/>
      <c r="M448" s="135"/>
      <c r="N448" s="135"/>
      <c r="O448" s="135"/>
      <c r="P448" s="135"/>
      <c r="Q448" s="135"/>
      <c r="R448" s="135"/>
      <c r="S448" s="135"/>
      <c r="T448" s="135"/>
      <c r="U448" s="135"/>
      <c r="V448" s="135"/>
      <c r="W448" s="135"/>
      <c r="X448" s="135"/>
      <c r="Y448" s="135"/>
      <c r="Z448" s="135"/>
    </row>
    <row r="449" spans="1:26" ht="12.75">
      <c r="A449" s="136" t="s">
        <v>7</v>
      </c>
      <c r="B449" s="136" t="s">
        <v>706</v>
      </c>
      <c r="C449" s="136" t="s">
        <v>7523</v>
      </c>
      <c r="D449" s="136" t="s">
        <v>7484</v>
      </c>
      <c r="E449" s="136" t="s">
        <v>615</v>
      </c>
      <c r="F449" s="136">
        <v>1557</v>
      </c>
      <c r="G449" s="137">
        <f t="shared" si="1"/>
        <v>2</v>
      </c>
      <c r="H449" s="137"/>
      <c r="I449" s="137"/>
      <c r="J449" s="135"/>
      <c r="K449" s="135"/>
      <c r="L449" s="135"/>
      <c r="M449" s="135"/>
      <c r="N449" s="135"/>
      <c r="O449" s="135"/>
      <c r="P449" s="135"/>
      <c r="Q449" s="135"/>
      <c r="R449" s="135"/>
      <c r="S449" s="135"/>
      <c r="T449" s="135"/>
      <c r="U449" s="135"/>
      <c r="V449" s="135"/>
      <c r="W449" s="135"/>
      <c r="X449" s="135"/>
      <c r="Y449" s="135"/>
      <c r="Z449" s="135"/>
    </row>
    <row r="450" spans="1:26" ht="12.75">
      <c r="A450" s="136" t="s">
        <v>7</v>
      </c>
      <c r="B450" s="136" t="s">
        <v>706</v>
      </c>
      <c r="C450" s="136" t="s">
        <v>7523</v>
      </c>
      <c r="D450" s="136" t="s">
        <v>114</v>
      </c>
      <c r="E450" s="136" t="s">
        <v>85</v>
      </c>
      <c r="F450" s="136">
        <v>857</v>
      </c>
      <c r="G450" s="137">
        <f t="shared" si="1"/>
        <v>3</v>
      </c>
      <c r="H450" s="137"/>
      <c r="I450" s="137"/>
      <c r="J450" s="135"/>
      <c r="K450" s="135"/>
      <c r="L450" s="135"/>
      <c r="M450" s="135"/>
      <c r="N450" s="135"/>
      <c r="O450" s="135"/>
      <c r="P450" s="135"/>
      <c r="Q450" s="135"/>
      <c r="R450" s="135"/>
      <c r="S450" s="135"/>
      <c r="T450" s="135"/>
      <c r="U450" s="135"/>
      <c r="V450" s="135"/>
      <c r="W450" s="135"/>
      <c r="X450" s="135"/>
      <c r="Y450" s="135"/>
      <c r="Z450" s="135"/>
    </row>
    <row r="451" spans="1:26" ht="12.75">
      <c r="A451" s="136" t="s">
        <v>7</v>
      </c>
      <c r="B451" s="136" t="s">
        <v>706</v>
      </c>
      <c r="C451" s="136" t="s">
        <v>7523</v>
      </c>
      <c r="D451" s="136" t="s">
        <v>139</v>
      </c>
      <c r="E451" s="136" t="s">
        <v>594</v>
      </c>
      <c r="F451" s="136">
        <v>781</v>
      </c>
      <c r="G451" s="137">
        <f t="shared" si="1"/>
        <v>4</v>
      </c>
      <c r="H451" s="137"/>
      <c r="I451" s="137"/>
      <c r="J451" s="135"/>
      <c r="K451" s="135"/>
      <c r="L451" s="135"/>
      <c r="M451" s="135"/>
      <c r="N451" s="135"/>
      <c r="O451" s="135"/>
      <c r="P451" s="135"/>
      <c r="Q451" s="135"/>
      <c r="R451" s="135"/>
      <c r="S451" s="135"/>
      <c r="T451" s="135"/>
      <c r="U451" s="135"/>
      <c r="V451" s="135"/>
      <c r="W451" s="135"/>
      <c r="X451" s="135"/>
      <c r="Y451" s="135"/>
      <c r="Z451" s="135"/>
    </row>
    <row r="452" spans="1:26" ht="12.75">
      <c r="A452" s="136" t="s">
        <v>7</v>
      </c>
      <c r="B452" s="136" t="s">
        <v>706</v>
      </c>
      <c r="C452" s="136" t="s">
        <v>7523</v>
      </c>
      <c r="D452" s="136" t="s">
        <v>38</v>
      </c>
      <c r="E452" s="136"/>
      <c r="F452" s="136">
        <v>380</v>
      </c>
      <c r="G452" s="137">
        <f t="shared" si="1"/>
        <v>5</v>
      </c>
      <c r="H452" s="137"/>
      <c r="I452" s="137"/>
      <c r="J452" s="135"/>
      <c r="K452" s="135"/>
      <c r="L452" s="135"/>
      <c r="M452" s="135"/>
      <c r="N452" s="135"/>
      <c r="O452" s="135"/>
      <c r="P452" s="135"/>
      <c r="Q452" s="135"/>
      <c r="R452" s="135"/>
      <c r="S452" s="135"/>
      <c r="T452" s="135"/>
      <c r="U452" s="135"/>
      <c r="V452" s="135"/>
      <c r="W452" s="135"/>
      <c r="X452" s="135"/>
      <c r="Y452" s="135"/>
      <c r="Z452" s="135"/>
    </row>
    <row r="453" spans="1:26" ht="12.75">
      <c r="A453" s="136" t="s">
        <v>7</v>
      </c>
      <c r="B453" s="136" t="s">
        <v>706</v>
      </c>
      <c r="C453" s="136" t="s">
        <v>7523</v>
      </c>
      <c r="D453" s="136" t="s">
        <v>165</v>
      </c>
      <c r="E453" s="136" t="s">
        <v>615</v>
      </c>
      <c r="F453" s="136">
        <v>369</v>
      </c>
      <c r="G453" s="137">
        <f t="shared" si="1"/>
        <v>6</v>
      </c>
      <c r="H453" s="137"/>
      <c r="I453" s="137"/>
      <c r="J453" s="135"/>
      <c r="K453" s="135"/>
      <c r="L453" s="135"/>
      <c r="M453" s="135"/>
      <c r="N453" s="135"/>
      <c r="O453" s="135"/>
      <c r="P453" s="135"/>
      <c r="Q453" s="135"/>
      <c r="R453" s="135"/>
      <c r="S453" s="135"/>
      <c r="T453" s="135"/>
      <c r="U453" s="135"/>
      <c r="V453" s="135"/>
      <c r="W453" s="135"/>
      <c r="X453" s="135"/>
      <c r="Y453" s="135"/>
      <c r="Z453" s="135"/>
    </row>
    <row r="454" spans="1:26" ht="12.75">
      <c r="A454" s="136" t="s">
        <v>7</v>
      </c>
      <c r="B454" s="136" t="s">
        <v>706</v>
      </c>
      <c r="C454" s="136" t="s">
        <v>7523</v>
      </c>
      <c r="D454" s="136" t="s">
        <v>1626</v>
      </c>
      <c r="E454" s="136" t="s">
        <v>594</v>
      </c>
      <c r="F454" s="136">
        <v>122</v>
      </c>
      <c r="G454" s="137">
        <f t="shared" si="1"/>
        <v>7</v>
      </c>
      <c r="H454" s="137"/>
      <c r="I454" s="137"/>
      <c r="J454" s="135"/>
      <c r="K454" s="135"/>
      <c r="L454" s="135"/>
      <c r="M454" s="135"/>
      <c r="N454" s="135"/>
      <c r="O454" s="135"/>
      <c r="P454" s="135"/>
      <c r="Q454" s="135"/>
      <c r="R454" s="135"/>
      <c r="S454" s="135"/>
      <c r="T454" s="135"/>
      <c r="U454" s="135"/>
      <c r="V454" s="135"/>
      <c r="W454" s="135"/>
      <c r="X454" s="135"/>
      <c r="Y454" s="135"/>
      <c r="Z454" s="135"/>
    </row>
    <row r="455" spans="1:26" ht="12.75">
      <c r="A455" s="136" t="s">
        <v>7</v>
      </c>
      <c r="B455" s="136" t="s">
        <v>706</v>
      </c>
      <c r="C455" s="136" t="s">
        <v>214</v>
      </c>
      <c r="D455" s="136" t="s">
        <v>139</v>
      </c>
      <c r="E455" s="136" t="s">
        <v>594</v>
      </c>
      <c r="F455" s="136">
        <v>1905</v>
      </c>
      <c r="G455" s="137">
        <f t="shared" si="1"/>
        <v>1</v>
      </c>
      <c r="H455" s="137"/>
      <c r="I455" s="137"/>
      <c r="J455" s="135"/>
      <c r="K455" s="135"/>
      <c r="L455" s="135"/>
      <c r="M455" s="135"/>
      <c r="N455" s="135"/>
      <c r="O455" s="135"/>
      <c r="P455" s="135"/>
      <c r="Q455" s="135"/>
      <c r="R455" s="135"/>
      <c r="S455" s="135"/>
      <c r="T455" s="135"/>
      <c r="U455" s="135"/>
      <c r="V455" s="135"/>
      <c r="W455" s="135"/>
      <c r="X455" s="135"/>
      <c r="Y455" s="135"/>
      <c r="Z455" s="135"/>
    </row>
    <row r="456" spans="1:26" ht="12.75">
      <c r="A456" s="136" t="s">
        <v>7</v>
      </c>
      <c r="B456" s="136" t="s">
        <v>706</v>
      </c>
      <c r="C456" s="136" t="s">
        <v>214</v>
      </c>
      <c r="D456" s="136" t="s">
        <v>114</v>
      </c>
      <c r="E456" s="136" t="s">
        <v>85</v>
      </c>
      <c r="F456" s="136">
        <v>586</v>
      </c>
      <c r="G456" s="137">
        <f t="shared" si="1"/>
        <v>2</v>
      </c>
      <c r="H456" s="137"/>
      <c r="I456" s="137"/>
      <c r="J456" s="135"/>
      <c r="K456" s="135"/>
      <c r="L456" s="135"/>
      <c r="M456" s="135"/>
      <c r="N456" s="135"/>
      <c r="O456" s="135"/>
      <c r="P456" s="135"/>
      <c r="Q456" s="135"/>
      <c r="R456" s="135"/>
      <c r="S456" s="135"/>
      <c r="T456" s="135"/>
      <c r="U456" s="135"/>
      <c r="V456" s="135"/>
      <c r="W456" s="135"/>
      <c r="X456" s="135"/>
      <c r="Y456" s="135"/>
      <c r="Z456" s="135"/>
    </row>
    <row r="457" spans="1:26" ht="12.75">
      <c r="A457" s="136" t="s">
        <v>7</v>
      </c>
      <c r="B457" s="136" t="s">
        <v>706</v>
      </c>
      <c r="C457" s="136" t="s">
        <v>214</v>
      </c>
      <c r="D457" s="136" t="s">
        <v>467</v>
      </c>
      <c r="E457" s="136" t="s">
        <v>85</v>
      </c>
      <c r="F457" s="136">
        <v>96</v>
      </c>
      <c r="G457" s="137">
        <f t="shared" si="1"/>
        <v>3</v>
      </c>
      <c r="H457" s="137"/>
      <c r="I457" s="137"/>
      <c r="J457" s="135"/>
      <c r="K457" s="135"/>
      <c r="L457" s="135"/>
      <c r="M457" s="135"/>
      <c r="N457" s="135"/>
      <c r="O457" s="135"/>
      <c r="P457" s="135"/>
      <c r="Q457" s="135"/>
      <c r="R457" s="135"/>
      <c r="S457" s="135"/>
      <c r="T457" s="135"/>
      <c r="U457" s="135"/>
      <c r="V457" s="135"/>
      <c r="W457" s="135"/>
      <c r="X457" s="135"/>
      <c r="Y457" s="135"/>
      <c r="Z457" s="135"/>
    </row>
    <row r="458" spans="1:26" ht="12.75">
      <c r="A458" s="136" t="s">
        <v>7</v>
      </c>
      <c r="B458" s="136" t="s">
        <v>706</v>
      </c>
      <c r="C458" s="136" t="s">
        <v>214</v>
      </c>
      <c r="D458" s="136" t="s">
        <v>38</v>
      </c>
      <c r="E458" s="136"/>
      <c r="F458" s="136">
        <v>69</v>
      </c>
      <c r="G458" s="137">
        <f t="shared" si="1"/>
        <v>4</v>
      </c>
      <c r="H458" s="137"/>
      <c r="I458" s="137"/>
      <c r="J458" s="135"/>
      <c r="K458" s="135"/>
      <c r="L458" s="135"/>
      <c r="M458" s="135"/>
      <c r="N458" s="135"/>
      <c r="O458" s="135"/>
      <c r="P458" s="135"/>
      <c r="Q458" s="135"/>
      <c r="R458" s="135"/>
      <c r="S458" s="135"/>
      <c r="T458" s="135"/>
      <c r="U458" s="135"/>
      <c r="V458" s="135"/>
      <c r="W458" s="135"/>
      <c r="X458" s="135"/>
      <c r="Y458" s="135"/>
      <c r="Z458" s="135"/>
    </row>
    <row r="459" spans="1:26" ht="12.75">
      <c r="A459" s="136" t="s">
        <v>7</v>
      </c>
      <c r="B459" s="136" t="s">
        <v>706</v>
      </c>
      <c r="C459" s="136" t="s">
        <v>214</v>
      </c>
      <c r="D459" s="136" t="s">
        <v>136</v>
      </c>
      <c r="E459" s="136" t="s">
        <v>615</v>
      </c>
      <c r="F459" s="136">
        <v>65</v>
      </c>
      <c r="G459" s="137">
        <f t="shared" si="1"/>
        <v>5</v>
      </c>
      <c r="H459" s="137"/>
      <c r="I459" s="137"/>
      <c r="J459" s="135"/>
      <c r="K459" s="135"/>
      <c r="L459" s="135"/>
      <c r="M459" s="135"/>
      <c r="N459" s="135"/>
      <c r="O459" s="135"/>
      <c r="P459" s="135"/>
      <c r="Q459" s="135"/>
      <c r="R459" s="135"/>
      <c r="S459" s="135"/>
      <c r="T459" s="135"/>
      <c r="U459" s="135"/>
      <c r="V459" s="135"/>
      <c r="W459" s="135"/>
      <c r="X459" s="135"/>
      <c r="Y459" s="135"/>
      <c r="Z459" s="135"/>
    </row>
    <row r="460" spans="1:26" ht="12.75">
      <c r="A460" s="136" t="s">
        <v>7</v>
      </c>
      <c r="B460" s="136" t="s">
        <v>706</v>
      </c>
      <c r="C460" s="136" t="s">
        <v>214</v>
      </c>
      <c r="D460" s="136" t="s">
        <v>1626</v>
      </c>
      <c r="E460" s="136" t="s">
        <v>594</v>
      </c>
      <c r="F460" s="136">
        <v>6</v>
      </c>
      <c r="G460" s="137">
        <f t="shared" si="1"/>
        <v>6</v>
      </c>
      <c r="H460" s="137"/>
      <c r="I460" s="137"/>
      <c r="J460" s="135"/>
      <c r="K460" s="135"/>
      <c r="L460" s="135"/>
      <c r="M460" s="135"/>
      <c r="N460" s="135"/>
      <c r="O460" s="135"/>
      <c r="P460" s="135"/>
      <c r="Q460" s="135"/>
      <c r="R460" s="135"/>
      <c r="S460" s="135"/>
      <c r="T460" s="135"/>
      <c r="U460" s="135"/>
      <c r="V460" s="135"/>
      <c r="W460" s="135"/>
      <c r="X460" s="135"/>
      <c r="Y460" s="135"/>
      <c r="Z460" s="135"/>
    </row>
    <row r="461" spans="1:26" ht="12.75">
      <c r="A461" s="136" t="s">
        <v>7</v>
      </c>
      <c r="B461" s="136" t="s">
        <v>706</v>
      </c>
      <c r="C461" s="136" t="s">
        <v>729</v>
      </c>
      <c r="D461" s="136" t="s">
        <v>1626</v>
      </c>
      <c r="E461" s="136" t="s">
        <v>594</v>
      </c>
      <c r="F461" s="136">
        <v>988</v>
      </c>
      <c r="G461" s="137">
        <f t="shared" si="1"/>
        <v>1</v>
      </c>
      <c r="H461" s="137"/>
      <c r="I461" s="137"/>
      <c r="J461" s="135"/>
      <c r="K461" s="135"/>
      <c r="L461" s="135"/>
      <c r="M461" s="135"/>
      <c r="N461" s="135"/>
      <c r="O461" s="135"/>
      <c r="P461" s="135"/>
      <c r="Q461" s="135"/>
      <c r="R461" s="135"/>
      <c r="S461" s="135"/>
      <c r="T461" s="135"/>
      <c r="U461" s="135"/>
      <c r="V461" s="135"/>
      <c r="W461" s="135"/>
      <c r="X461" s="135"/>
      <c r="Y461" s="135"/>
      <c r="Z461" s="135"/>
    </row>
    <row r="462" spans="1:26" ht="12.75">
      <c r="A462" s="136" t="s">
        <v>7</v>
      </c>
      <c r="B462" s="136" t="s">
        <v>706</v>
      </c>
      <c r="C462" s="136" t="s">
        <v>729</v>
      </c>
      <c r="D462" s="136" t="s">
        <v>467</v>
      </c>
      <c r="E462" s="136" t="s">
        <v>85</v>
      </c>
      <c r="F462" s="136">
        <v>358</v>
      </c>
      <c r="G462" s="137">
        <f t="shared" si="1"/>
        <v>2</v>
      </c>
      <c r="H462" s="137"/>
      <c r="I462" s="137"/>
      <c r="J462" s="135"/>
      <c r="K462" s="135"/>
      <c r="L462" s="135"/>
      <c r="M462" s="135"/>
      <c r="N462" s="135"/>
      <c r="O462" s="135"/>
      <c r="P462" s="135"/>
      <c r="Q462" s="135"/>
      <c r="R462" s="135"/>
      <c r="S462" s="135"/>
      <c r="T462" s="135"/>
      <c r="U462" s="135"/>
      <c r="V462" s="135"/>
      <c r="W462" s="135"/>
      <c r="X462" s="135"/>
      <c r="Y462" s="135"/>
      <c r="Z462" s="135"/>
    </row>
    <row r="463" spans="1:26" ht="12.75">
      <c r="A463" s="136" t="s">
        <v>7</v>
      </c>
      <c r="B463" s="136" t="s">
        <v>706</v>
      </c>
      <c r="C463" s="136" t="s">
        <v>729</v>
      </c>
      <c r="D463" s="136" t="s">
        <v>7484</v>
      </c>
      <c r="E463" s="136" t="s">
        <v>615</v>
      </c>
      <c r="F463" s="136">
        <v>83</v>
      </c>
      <c r="G463" s="137">
        <f t="shared" si="1"/>
        <v>3</v>
      </c>
      <c r="H463" s="137"/>
      <c r="I463" s="137"/>
      <c r="J463" s="135"/>
      <c r="K463" s="135"/>
      <c r="L463" s="135"/>
      <c r="M463" s="135"/>
      <c r="N463" s="135"/>
      <c r="O463" s="135"/>
      <c r="P463" s="135"/>
      <c r="Q463" s="135"/>
      <c r="R463" s="135"/>
      <c r="S463" s="135"/>
      <c r="T463" s="135"/>
      <c r="U463" s="135"/>
      <c r="V463" s="135"/>
      <c r="W463" s="135"/>
      <c r="X463" s="135"/>
      <c r="Y463" s="135"/>
      <c r="Z463" s="135"/>
    </row>
    <row r="464" spans="1:26" ht="12.75">
      <c r="A464" s="136" t="s">
        <v>7</v>
      </c>
      <c r="B464" s="136" t="s">
        <v>706</v>
      </c>
      <c r="C464" s="136" t="s">
        <v>729</v>
      </c>
      <c r="D464" s="136" t="s">
        <v>38</v>
      </c>
      <c r="E464" s="136"/>
      <c r="F464" s="136">
        <v>45</v>
      </c>
      <c r="G464" s="137">
        <f t="shared" si="1"/>
        <v>4</v>
      </c>
      <c r="H464" s="137"/>
      <c r="I464" s="137"/>
      <c r="J464" s="135"/>
      <c r="K464" s="135"/>
      <c r="L464" s="135"/>
      <c r="M464" s="135"/>
      <c r="N464" s="135"/>
      <c r="O464" s="135"/>
      <c r="P464" s="135"/>
      <c r="Q464" s="135"/>
      <c r="R464" s="135"/>
      <c r="S464" s="135"/>
      <c r="T464" s="135"/>
      <c r="U464" s="135"/>
      <c r="V464" s="135"/>
      <c r="W464" s="135"/>
      <c r="X464" s="135"/>
      <c r="Y464" s="135"/>
      <c r="Z464" s="135"/>
    </row>
    <row r="465" spans="1:26" ht="12.75">
      <c r="A465" s="136" t="s">
        <v>7</v>
      </c>
      <c r="B465" s="136" t="s">
        <v>706</v>
      </c>
      <c r="C465" s="136" t="s">
        <v>729</v>
      </c>
      <c r="D465" s="136" t="s">
        <v>1656</v>
      </c>
      <c r="E465" s="136" t="s">
        <v>594</v>
      </c>
      <c r="F465" s="136">
        <v>27</v>
      </c>
      <c r="G465" s="137">
        <f t="shared" si="1"/>
        <v>5</v>
      </c>
      <c r="H465" s="137"/>
      <c r="I465" s="137"/>
      <c r="J465" s="135"/>
      <c r="K465" s="135"/>
      <c r="L465" s="135"/>
      <c r="M465" s="135"/>
      <c r="N465" s="135"/>
      <c r="O465" s="135"/>
      <c r="P465" s="135"/>
      <c r="Q465" s="135"/>
      <c r="R465" s="135"/>
      <c r="S465" s="135"/>
      <c r="T465" s="135"/>
      <c r="U465" s="135"/>
      <c r="V465" s="135"/>
      <c r="W465" s="135"/>
      <c r="X465" s="135"/>
      <c r="Y465" s="135"/>
      <c r="Z465" s="135"/>
    </row>
    <row r="466" spans="1:26" ht="12.75">
      <c r="A466" s="136" t="s">
        <v>7</v>
      </c>
      <c r="B466" s="136" t="s">
        <v>706</v>
      </c>
      <c r="C466" s="136" t="s">
        <v>729</v>
      </c>
      <c r="D466" s="136" t="s">
        <v>114</v>
      </c>
      <c r="E466" s="136" t="s">
        <v>85</v>
      </c>
      <c r="F466" s="136">
        <v>10</v>
      </c>
      <c r="G466" s="137">
        <f t="shared" si="1"/>
        <v>6</v>
      </c>
      <c r="H466" s="137"/>
      <c r="I466" s="137"/>
      <c r="J466" s="135"/>
      <c r="K466" s="135"/>
      <c r="L466" s="135"/>
      <c r="M466" s="135"/>
      <c r="N466" s="135"/>
      <c r="O466" s="135"/>
      <c r="P466" s="135"/>
      <c r="Q466" s="135"/>
      <c r="R466" s="135"/>
      <c r="S466" s="135"/>
      <c r="T466" s="135"/>
      <c r="U466" s="135"/>
      <c r="V466" s="135"/>
      <c r="W466" s="135"/>
      <c r="X466" s="135"/>
      <c r="Y466" s="135"/>
      <c r="Z466" s="135"/>
    </row>
    <row r="467" spans="1:26" ht="12.75">
      <c r="A467" s="136" t="s">
        <v>7</v>
      </c>
      <c r="B467" s="136" t="s">
        <v>706</v>
      </c>
      <c r="C467" s="136" t="s">
        <v>7493</v>
      </c>
      <c r="D467" s="136" t="s">
        <v>139</v>
      </c>
      <c r="E467" s="136" t="s">
        <v>594</v>
      </c>
      <c r="F467" s="136">
        <v>1969</v>
      </c>
      <c r="G467" s="137">
        <f t="shared" si="1"/>
        <v>2</v>
      </c>
      <c r="H467" s="137"/>
      <c r="I467" s="137"/>
      <c r="J467" s="135"/>
      <c r="K467" s="135"/>
      <c r="L467" s="135"/>
      <c r="M467" s="135"/>
      <c r="N467" s="135"/>
      <c r="O467" s="135"/>
      <c r="P467" s="135"/>
      <c r="Q467" s="135"/>
      <c r="R467" s="135"/>
      <c r="S467" s="135"/>
      <c r="T467" s="135"/>
      <c r="U467" s="135"/>
      <c r="V467" s="135"/>
      <c r="W467" s="135"/>
      <c r="X467" s="135"/>
      <c r="Y467" s="135"/>
      <c r="Z467" s="135"/>
    </row>
    <row r="468" spans="1:26" ht="12.75">
      <c r="A468" s="136" t="s">
        <v>7</v>
      </c>
      <c r="B468" s="136" t="s">
        <v>706</v>
      </c>
      <c r="C468" s="136" t="s">
        <v>7493</v>
      </c>
      <c r="D468" s="136" t="s">
        <v>467</v>
      </c>
      <c r="E468" s="136" t="s">
        <v>85</v>
      </c>
      <c r="F468" s="136">
        <v>857</v>
      </c>
      <c r="G468" s="137">
        <f t="shared" si="1"/>
        <v>4</v>
      </c>
      <c r="H468" s="137"/>
      <c r="I468" s="137"/>
      <c r="J468" s="135"/>
      <c r="K468" s="135"/>
      <c r="L468" s="135"/>
      <c r="M468" s="135"/>
      <c r="N468" s="135"/>
      <c r="O468" s="135"/>
      <c r="P468" s="135"/>
      <c r="Q468" s="135"/>
      <c r="R468" s="135"/>
      <c r="S468" s="135"/>
      <c r="T468" s="135"/>
      <c r="U468" s="135"/>
      <c r="V468" s="135"/>
      <c r="W468" s="135"/>
      <c r="X468" s="135"/>
      <c r="Y468" s="135"/>
      <c r="Z468" s="135"/>
    </row>
    <row r="469" spans="1:26" ht="12.75">
      <c r="A469" s="136" t="s">
        <v>7</v>
      </c>
      <c r="B469" s="136" t="s">
        <v>706</v>
      </c>
      <c r="C469" s="136" t="s">
        <v>7493</v>
      </c>
      <c r="D469" s="136" t="s">
        <v>38</v>
      </c>
      <c r="E469" s="136"/>
      <c r="F469" s="136">
        <v>495</v>
      </c>
      <c r="G469" s="137">
        <f t="shared" si="1"/>
        <v>5</v>
      </c>
      <c r="H469" s="137"/>
      <c r="I469" s="137"/>
      <c r="J469" s="135"/>
      <c r="K469" s="135"/>
      <c r="L469" s="135"/>
      <c r="M469" s="135"/>
      <c r="N469" s="135"/>
      <c r="O469" s="135"/>
      <c r="P469" s="135"/>
      <c r="Q469" s="135"/>
      <c r="R469" s="135"/>
      <c r="S469" s="135"/>
      <c r="T469" s="135"/>
      <c r="U469" s="135"/>
      <c r="V469" s="135"/>
      <c r="W469" s="135"/>
      <c r="X469" s="135"/>
      <c r="Y469" s="135"/>
      <c r="Z469" s="135"/>
    </row>
    <row r="470" spans="1:26" ht="12.75">
      <c r="A470" s="136" t="s">
        <v>7</v>
      </c>
      <c r="B470" s="136" t="s">
        <v>706</v>
      </c>
      <c r="C470" s="136" t="s">
        <v>7493</v>
      </c>
      <c r="D470" s="136" t="s">
        <v>165</v>
      </c>
      <c r="E470" s="136" t="s">
        <v>615</v>
      </c>
      <c r="F470" s="136">
        <v>206</v>
      </c>
      <c r="G470" s="137">
        <f t="shared" si="1"/>
        <v>6</v>
      </c>
      <c r="H470" s="137"/>
      <c r="I470" s="137"/>
      <c r="J470" s="135"/>
      <c r="K470" s="135"/>
      <c r="L470" s="135"/>
      <c r="M470" s="135"/>
      <c r="N470" s="135"/>
      <c r="O470" s="135"/>
      <c r="P470" s="135"/>
      <c r="Q470" s="135"/>
      <c r="R470" s="135"/>
      <c r="S470" s="135"/>
      <c r="T470" s="135"/>
      <c r="U470" s="135"/>
      <c r="V470" s="135"/>
      <c r="W470" s="135"/>
      <c r="X470" s="135"/>
      <c r="Y470" s="135"/>
      <c r="Z470" s="135"/>
    </row>
    <row r="471" spans="1:26" ht="12.75">
      <c r="A471" s="136" t="s">
        <v>7</v>
      </c>
      <c r="B471" s="136" t="s">
        <v>706</v>
      </c>
      <c r="C471" s="136" t="s">
        <v>7493</v>
      </c>
      <c r="D471" s="136" t="s">
        <v>1626</v>
      </c>
      <c r="E471" s="136" t="s">
        <v>594</v>
      </c>
      <c r="F471" s="136">
        <v>153</v>
      </c>
      <c r="G471" s="137">
        <f t="shared" si="1"/>
        <v>8</v>
      </c>
      <c r="H471" s="137"/>
      <c r="I471" s="137"/>
      <c r="J471" s="135"/>
      <c r="K471" s="135"/>
      <c r="L471" s="135"/>
      <c r="M471" s="135"/>
      <c r="N471" s="135"/>
      <c r="O471" s="135"/>
      <c r="P471" s="135"/>
      <c r="Q471" s="135"/>
      <c r="R471" s="135"/>
      <c r="S471" s="135"/>
      <c r="T471" s="135"/>
      <c r="U471" s="135"/>
      <c r="V471" s="135"/>
      <c r="W471" s="135"/>
      <c r="X471" s="135"/>
      <c r="Y471" s="135"/>
      <c r="Z471" s="135"/>
    </row>
    <row r="472" spans="1:26" ht="12.75">
      <c r="A472" s="136" t="s">
        <v>7</v>
      </c>
      <c r="B472" s="136" t="s">
        <v>706</v>
      </c>
      <c r="C472" s="136" t="s">
        <v>7493</v>
      </c>
      <c r="D472" s="136" t="s">
        <v>136</v>
      </c>
      <c r="E472" s="136" t="s">
        <v>615</v>
      </c>
      <c r="F472" s="136">
        <v>17</v>
      </c>
      <c r="G472" s="137">
        <f t="shared" si="1"/>
        <v>11</v>
      </c>
      <c r="H472" s="137"/>
      <c r="I472" s="137"/>
      <c r="J472" s="135"/>
      <c r="K472" s="135"/>
      <c r="L472" s="135"/>
      <c r="M472" s="135"/>
      <c r="N472" s="135"/>
      <c r="O472" s="135"/>
      <c r="P472" s="135"/>
      <c r="Q472" s="135"/>
      <c r="R472" s="135"/>
      <c r="S472" s="135"/>
      <c r="T472" s="135"/>
      <c r="U472" s="135"/>
      <c r="V472" s="135"/>
      <c r="W472" s="135"/>
      <c r="X472" s="135"/>
      <c r="Y472" s="135"/>
      <c r="Z472" s="135"/>
    </row>
    <row r="473" spans="1:26" ht="12.75">
      <c r="A473" s="136" t="s">
        <v>7</v>
      </c>
      <c r="B473" s="136" t="s">
        <v>706</v>
      </c>
      <c r="C473" s="136" t="s">
        <v>7493</v>
      </c>
      <c r="D473" s="136" t="s">
        <v>114</v>
      </c>
      <c r="E473" s="136" t="s">
        <v>85</v>
      </c>
      <c r="F473" s="136">
        <v>12</v>
      </c>
      <c r="G473" s="137">
        <f t="shared" si="1"/>
        <v>12</v>
      </c>
      <c r="H473" s="137"/>
      <c r="I473" s="137"/>
      <c r="J473" s="135"/>
      <c r="K473" s="135"/>
      <c r="L473" s="135"/>
      <c r="M473" s="135"/>
      <c r="N473" s="135"/>
      <c r="O473" s="135"/>
      <c r="P473" s="135"/>
      <c r="Q473" s="135"/>
      <c r="R473" s="135"/>
      <c r="S473" s="135"/>
      <c r="T473" s="135"/>
      <c r="U473" s="135"/>
      <c r="V473" s="135"/>
      <c r="W473" s="135"/>
      <c r="X473" s="135"/>
      <c r="Y473" s="135"/>
      <c r="Z473" s="135"/>
    </row>
    <row r="474" spans="1:26" ht="12.75">
      <c r="A474" s="136" t="s">
        <v>7</v>
      </c>
      <c r="B474" s="136" t="s">
        <v>706</v>
      </c>
      <c r="C474" s="136" t="s">
        <v>733</v>
      </c>
      <c r="D474" s="136" t="s">
        <v>139</v>
      </c>
      <c r="E474" s="136" t="s">
        <v>594</v>
      </c>
      <c r="F474" s="136">
        <v>2875</v>
      </c>
      <c r="G474" s="137">
        <f t="shared" si="1"/>
        <v>1</v>
      </c>
      <c r="H474" s="137"/>
      <c r="I474" s="137"/>
      <c r="J474" s="135"/>
      <c r="K474" s="135"/>
      <c r="L474" s="135"/>
      <c r="M474" s="135"/>
      <c r="N474" s="135"/>
      <c r="O474" s="135"/>
      <c r="P474" s="135"/>
      <c r="Q474" s="135"/>
      <c r="R474" s="135"/>
      <c r="S474" s="135"/>
      <c r="T474" s="135"/>
      <c r="U474" s="135"/>
      <c r="V474" s="135"/>
      <c r="W474" s="135"/>
      <c r="X474" s="135"/>
      <c r="Y474" s="135"/>
      <c r="Z474" s="135"/>
    </row>
    <row r="475" spans="1:26" ht="12.75">
      <c r="A475" s="136" t="s">
        <v>7</v>
      </c>
      <c r="B475" s="136" t="s">
        <v>706</v>
      </c>
      <c r="C475" s="136" t="s">
        <v>733</v>
      </c>
      <c r="D475" s="136" t="s">
        <v>114</v>
      </c>
      <c r="E475" s="136" t="s">
        <v>85</v>
      </c>
      <c r="F475" s="136">
        <v>650</v>
      </c>
      <c r="G475" s="137">
        <f t="shared" si="1"/>
        <v>2</v>
      </c>
      <c r="H475" s="137"/>
      <c r="I475" s="137"/>
      <c r="J475" s="135"/>
      <c r="K475" s="135"/>
      <c r="L475" s="135"/>
      <c r="M475" s="135"/>
      <c r="N475" s="135"/>
      <c r="O475" s="135"/>
      <c r="P475" s="135"/>
      <c r="Q475" s="135"/>
      <c r="R475" s="135"/>
      <c r="S475" s="135"/>
      <c r="T475" s="135"/>
      <c r="U475" s="135"/>
      <c r="V475" s="135"/>
      <c r="W475" s="135"/>
      <c r="X475" s="135"/>
      <c r="Y475" s="135"/>
      <c r="Z475" s="135"/>
    </row>
    <row r="476" spans="1:26" ht="12.75">
      <c r="A476" s="136" t="s">
        <v>7</v>
      </c>
      <c r="B476" s="136" t="s">
        <v>706</v>
      </c>
      <c r="C476" s="136" t="s">
        <v>733</v>
      </c>
      <c r="D476" s="136" t="s">
        <v>467</v>
      </c>
      <c r="E476" s="136" t="s">
        <v>85</v>
      </c>
      <c r="F476" s="136">
        <v>459</v>
      </c>
      <c r="G476" s="137">
        <f t="shared" si="1"/>
        <v>3</v>
      </c>
      <c r="H476" s="137"/>
      <c r="I476" s="137"/>
      <c r="J476" s="135"/>
      <c r="K476" s="135"/>
      <c r="L476" s="135"/>
      <c r="M476" s="135"/>
      <c r="N476" s="135"/>
      <c r="O476" s="135"/>
      <c r="P476" s="135"/>
      <c r="Q476" s="135"/>
      <c r="R476" s="135"/>
      <c r="S476" s="135"/>
      <c r="T476" s="135"/>
      <c r="U476" s="135"/>
      <c r="V476" s="135"/>
      <c r="W476" s="135"/>
      <c r="X476" s="135"/>
      <c r="Y476" s="135"/>
      <c r="Z476" s="135"/>
    </row>
    <row r="477" spans="1:26" ht="12.75">
      <c r="A477" s="136" t="s">
        <v>7</v>
      </c>
      <c r="B477" s="136" t="s">
        <v>706</v>
      </c>
      <c r="C477" s="136" t="s">
        <v>733</v>
      </c>
      <c r="D477" s="136" t="s">
        <v>136</v>
      </c>
      <c r="E477" s="136" t="s">
        <v>615</v>
      </c>
      <c r="F477" s="136">
        <v>186</v>
      </c>
      <c r="G477" s="137">
        <f t="shared" si="1"/>
        <v>4</v>
      </c>
      <c r="H477" s="137"/>
      <c r="I477" s="137"/>
      <c r="J477" s="135"/>
      <c r="K477" s="135"/>
      <c r="L477" s="135"/>
      <c r="M477" s="135"/>
      <c r="N477" s="135"/>
      <c r="O477" s="135"/>
      <c r="P477" s="135"/>
      <c r="Q477" s="135"/>
      <c r="R477" s="135"/>
      <c r="S477" s="135"/>
      <c r="T477" s="135"/>
      <c r="U477" s="135"/>
      <c r="V477" s="135"/>
      <c r="W477" s="135"/>
      <c r="X477" s="135"/>
      <c r="Y477" s="135"/>
      <c r="Z477" s="135"/>
    </row>
    <row r="478" spans="1:26" ht="12.75">
      <c r="A478" s="136" t="s">
        <v>7</v>
      </c>
      <c r="B478" s="136" t="s">
        <v>706</v>
      </c>
      <c r="C478" s="136" t="s">
        <v>733</v>
      </c>
      <c r="D478" s="136" t="s">
        <v>165</v>
      </c>
      <c r="E478" s="136" t="s">
        <v>615</v>
      </c>
      <c r="F478" s="136">
        <v>86</v>
      </c>
      <c r="G478" s="137">
        <f t="shared" si="1"/>
        <v>5</v>
      </c>
      <c r="H478" s="137"/>
      <c r="I478" s="137"/>
      <c r="J478" s="135"/>
      <c r="K478" s="135"/>
      <c r="L478" s="135"/>
      <c r="M478" s="135"/>
      <c r="N478" s="135"/>
      <c r="O478" s="135"/>
      <c r="P478" s="135"/>
      <c r="Q478" s="135"/>
      <c r="R478" s="135"/>
      <c r="S478" s="135"/>
      <c r="T478" s="135"/>
      <c r="U478" s="135"/>
      <c r="V478" s="135"/>
      <c r="W478" s="135"/>
      <c r="X478" s="135"/>
      <c r="Y478" s="135"/>
      <c r="Z478" s="135"/>
    </row>
    <row r="479" spans="1:26" ht="12.75">
      <c r="A479" s="136" t="s">
        <v>7</v>
      </c>
      <c r="B479" s="136" t="s">
        <v>706</v>
      </c>
      <c r="C479" s="136" t="s">
        <v>733</v>
      </c>
      <c r="D479" s="136" t="s">
        <v>38</v>
      </c>
      <c r="E479" s="136"/>
      <c r="F479" s="136">
        <v>65</v>
      </c>
      <c r="G479" s="137">
        <f t="shared" si="1"/>
        <v>6</v>
      </c>
      <c r="H479" s="137"/>
      <c r="I479" s="137"/>
      <c r="J479" s="135"/>
      <c r="K479" s="135"/>
      <c r="L479" s="135"/>
      <c r="M479" s="135"/>
      <c r="N479" s="135"/>
      <c r="O479" s="135"/>
      <c r="P479" s="135"/>
      <c r="Q479" s="135"/>
      <c r="R479" s="135"/>
      <c r="S479" s="135"/>
      <c r="T479" s="135"/>
      <c r="U479" s="135"/>
      <c r="V479" s="135"/>
      <c r="W479" s="135"/>
      <c r="X479" s="135"/>
      <c r="Y479" s="135"/>
      <c r="Z479" s="135"/>
    </row>
    <row r="480" spans="1:26" ht="12.75">
      <c r="A480" s="136" t="s">
        <v>7</v>
      </c>
      <c r="B480" s="136" t="s">
        <v>706</v>
      </c>
      <c r="C480" s="136" t="s">
        <v>733</v>
      </c>
      <c r="D480" s="136"/>
      <c r="E480" s="136"/>
      <c r="F480" s="136"/>
      <c r="G480" s="137">
        <f t="shared" si="1"/>
        <v>0</v>
      </c>
      <c r="H480" s="137"/>
      <c r="I480" s="137"/>
      <c r="J480" s="135"/>
      <c r="K480" s="135"/>
      <c r="L480" s="135"/>
      <c r="M480" s="135"/>
      <c r="N480" s="135"/>
      <c r="O480" s="135"/>
      <c r="P480" s="135"/>
      <c r="Q480" s="135"/>
      <c r="R480" s="135"/>
      <c r="S480" s="135"/>
      <c r="T480" s="135"/>
      <c r="U480" s="135"/>
      <c r="V480" s="135"/>
      <c r="W480" s="135"/>
      <c r="X480" s="135"/>
      <c r="Y480" s="135"/>
      <c r="Z480" s="135"/>
    </row>
    <row r="481" spans="1:26" ht="12.75">
      <c r="A481" s="136" t="s">
        <v>7</v>
      </c>
      <c r="B481" s="136" t="s">
        <v>706</v>
      </c>
      <c r="C481" s="136" t="s">
        <v>720</v>
      </c>
      <c r="D481" s="136" t="s">
        <v>139</v>
      </c>
      <c r="E481" s="136" t="s">
        <v>594</v>
      </c>
      <c r="F481" s="136">
        <v>3136</v>
      </c>
      <c r="G481" s="137">
        <f t="shared" si="1"/>
        <v>1</v>
      </c>
      <c r="H481" s="137"/>
      <c r="I481" s="137"/>
      <c r="J481" s="135"/>
      <c r="K481" s="135"/>
      <c r="L481" s="135"/>
      <c r="M481" s="135"/>
      <c r="N481" s="135"/>
      <c r="O481" s="135"/>
      <c r="P481" s="135"/>
      <c r="Q481" s="135"/>
      <c r="R481" s="135"/>
      <c r="S481" s="135"/>
      <c r="T481" s="135"/>
      <c r="U481" s="135"/>
      <c r="V481" s="135"/>
      <c r="W481" s="135"/>
      <c r="X481" s="135"/>
      <c r="Y481" s="135"/>
      <c r="Z481" s="135"/>
    </row>
    <row r="482" spans="1:26" ht="12.75">
      <c r="A482" s="136" t="s">
        <v>7</v>
      </c>
      <c r="B482" s="136" t="s">
        <v>706</v>
      </c>
      <c r="C482" s="136" t="s">
        <v>720</v>
      </c>
      <c r="D482" s="136" t="s">
        <v>165</v>
      </c>
      <c r="E482" s="136" t="s">
        <v>615</v>
      </c>
      <c r="F482" s="136">
        <v>1408</v>
      </c>
      <c r="G482" s="137">
        <f t="shared" si="1"/>
        <v>2</v>
      </c>
      <c r="H482" s="137"/>
      <c r="I482" s="137"/>
      <c r="J482" s="135"/>
      <c r="K482" s="135"/>
      <c r="L482" s="135"/>
      <c r="M482" s="135"/>
      <c r="N482" s="135"/>
      <c r="O482" s="135"/>
      <c r="P482" s="135"/>
      <c r="Q482" s="135"/>
      <c r="R482" s="135"/>
      <c r="S482" s="135"/>
      <c r="T482" s="135"/>
      <c r="U482" s="135"/>
      <c r="V482" s="135"/>
      <c r="W482" s="135"/>
      <c r="X482" s="135"/>
      <c r="Y482" s="135"/>
      <c r="Z482" s="135"/>
    </row>
    <row r="483" spans="1:26" ht="12.75">
      <c r="A483" s="136" t="s">
        <v>7</v>
      </c>
      <c r="B483" s="136" t="s">
        <v>706</v>
      </c>
      <c r="C483" s="136" t="s">
        <v>720</v>
      </c>
      <c r="D483" s="136" t="s">
        <v>38</v>
      </c>
      <c r="E483" s="136"/>
      <c r="F483" s="136">
        <v>250</v>
      </c>
      <c r="G483" s="137">
        <f t="shared" si="1"/>
        <v>3</v>
      </c>
      <c r="H483" s="137"/>
      <c r="I483" s="137"/>
      <c r="J483" s="135"/>
      <c r="K483" s="135"/>
      <c r="L483" s="135"/>
      <c r="M483" s="135"/>
      <c r="N483" s="135"/>
      <c r="O483" s="135"/>
      <c r="P483" s="135"/>
      <c r="Q483" s="135"/>
      <c r="R483" s="135"/>
      <c r="S483" s="135"/>
      <c r="T483" s="135"/>
      <c r="U483" s="135"/>
      <c r="V483" s="135"/>
      <c r="W483" s="135"/>
      <c r="X483" s="135"/>
      <c r="Y483" s="135"/>
      <c r="Z483" s="135"/>
    </row>
    <row r="484" spans="1:26" ht="12.75">
      <c r="A484" s="136" t="s">
        <v>7</v>
      </c>
      <c r="B484" s="136" t="s">
        <v>706</v>
      </c>
      <c r="C484" s="136" t="s">
        <v>720</v>
      </c>
      <c r="D484" s="136" t="s">
        <v>1626</v>
      </c>
      <c r="E484" s="136" t="s">
        <v>594</v>
      </c>
      <c r="F484" s="136">
        <v>160</v>
      </c>
      <c r="G484" s="137">
        <f t="shared" si="1"/>
        <v>4</v>
      </c>
      <c r="H484" s="137"/>
      <c r="I484" s="137"/>
      <c r="J484" s="135"/>
      <c r="K484" s="135"/>
      <c r="L484" s="135"/>
      <c r="M484" s="135"/>
      <c r="N484" s="135"/>
      <c r="O484" s="135"/>
      <c r="P484" s="135"/>
      <c r="Q484" s="135"/>
      <c r="R484" s="135"/>
      <c r="S484" s="135"/>
      <c r="T484" s="135"/>
      <c r="U484" s="135"/>
      <c r="V484" s="135"/>
      <c r="W484" s="135"/>
      <c r="X484" s="135"/>
      <c r="Y484" s="135"/>
      <c r="Z484" s="135"/>
    </row>
    <row r="485" spans="1:26" ht="12.75">
      <c r="A485" s="136" t="s">
        <v>7</v>
      </c>
      <c r="B485" s="136" t="s">
        <v>706</v>
      </c>
      <c r="C485" s="136" t="s">
        <v>720</v>
      </c>
      <c r="D485" s="136" t="s">
        <v>467</v>
      </c>
      <c r="E485" s="136" t="s">
        <v>85</v>
      </c>
      <c r="F485" s="136">
        <v>74</v>
      </c>
      <c r="G485" s="137">
        <f t="shared" si="1"/>
        <v>5</v>
      </c>
      <c r="H485" s="137"/>
      <c r="I485" s="137"/>
      <c r="J485" s="135"/>
      <c r="K485" s="135"/>
      <c r="L485" s="135"/>
      <c r="M485" s="135"/>
      <c r="N485" s="135"/>
      <c r="O485" s="135"/>
      <c r="P485" s="135"/>
      <c r="Q485" s="135"/>
      <c r="R485" s="135"/>
      <c r="S485" s="135"/>
      <c r="T485" s="135"/>
      <c r="U485" s="135"/>
      <c r="V485" s="135"/>
      <c r="W485" s="135"/>
      <c r="X485" s="135"/>
      <c r="Y485" s="135"/>
      <c r="Z485" s="135"/>
    </row>
    <row r="486" spans="1:26" ht="12.75">
      <c r="A486" s="136" t="s">
        <v>7</v>
      </c>
      <c r="B486" s="136" t="s">
        <v>706</v>
      </c>
      <c r="C486" s="136" t="s">
        <v>720</v>
      </c>
      <c r="D486" s="136" t="s">
        <v>114</v>
      </c>
      <c r="E486" s="136" t="s">
        <v>85</v>
      </c>
      <c r="F486" s="136">
        <v>47</v>
      </c>
      <c r="G486" s="137">
        <f t="shared" si="1"/>
        <v>6</v>
      </c>
      <c r="H486" s="137"/>
      <c r="I486" s="137"/>
      <c r="J486" s="135"/>
      <c r="K486" s="135"/>
      <c r="L486" s="135"/>
      <c r="M486" s="135"/>
      <c r="N486" s="135"/>
      <c r="O486" s="135"/>
      <c r="P486" s="135"/>
      <c r="Q486" s="135"/>
      <c r="R486" s="135"/>
      <c r="S486" s="135"/>
      <c r="T486" s="135"/>
      <c r="U486" s="135"/>
      <c r="V486" s="135"/>
      <c r="W486" s="135"/>
      <c r="X486" s="135"/>
      <c r="Y486" s="135"/>
      <c r="Z486" s="135"/>
    </row>
    <row r="487" spans="1:26" ht="12.75">
      <c r="A487" s="136" t="s">
        <v>7</v>
      </c>
      <c r="B487" s="136" t="s">
        <v>706</v>
      </c>
      <c r="C487" s="136" t="s">
        <v>737</v>
      </c>
      <c r="D487" s="136" t="s">
        <v>139</v>
      </c>
      <c r="E487" s="136" t="s">
        <v>594</v>
      </c>
      <c r="F487" s="136">
        <v>1671</v>
      </c>
      <c r="G487" s="137">
        <f t="shared" si="1"/>
        <v>1</v>
      </c>
      <c r="H487" s="137"/>
      <c r="I487" s="137"/>
      <c r="J487" s="135"/>
      <c r="K487" s="135"/>
      <c r="L487" s="135"/>
      <c r="M487" s="135"/>
      <c r="N487" s="135"/>
      <c r="O487" s="135"/>
      <c r="P487" s="135"/>
      <c r="Q487" s="135"/>
      <c r="R487" s="135"/>
      <c r="S487" s="135"/>
      <c r="T487" s="135"/>
      <c r="U487" s="135"/>
      <c r="V487" s="135"/>
      <c r="W487" s="135"/>
      <c r="X487" s="135"/>
      <c r="Y487" s="135"/>
      <c r="Z487" s="135"/>
    </row>
    <row r="488" spans="1:26" ht="12.75">
      <c r="A488" s="136" t="s">
        <v>7</v>
      </c>
      <c r="B488" s="136" t="s">
        <v>706</v>
      </c>
      <c r="C488" s="136" t="s">
        <v>737</v>
      </c>
      <c r="D488" s="136" t="s">
        <v>38</v>
      </c>
      <c r="E488" s="136"/>
      <c r="F488" s="136">
        <v>320</v>
      </c>
      <c r="G488" s="137">
        <f t="shared" si="1"/>
        <v>2</v>
      </c>
      <c r="H488" s="137"/>
      <c r="I488" s="137"/>
      <c r="J488" s="135"/>
      <c r="K488" s="135"/>
      <c r="L488" s="135"/>
      <c r="M488" s="135"/>
      <c r="N488" s="135"/>
      <c r="O488" s="135"/>
      <c r="P488" s="135"/>
      <c r="Q488" s="135"/>
      <c r="R488" s="135"/>
      <c r="S488" s="135"/>
      <c r="T488" s="135"/>
      <c r="U488" s="135"/>
      <c r="V488" s="135"/>
      <c r="W488" s="135"/>
      <c r="X488" s="135"/>
      <c r="Y488" s="135"/>
      <c r="Z488" s="135"/>
    </row>
    <row r="489" spans="1:26" ht="12.75">
      <c r="A489" s="136" t="s">
        <v>7</v>
      </c>
      <c r="B489" s="136" t="s">
        <v>706</v>
      </c>
      <c r="C489" s="136" t="s">
        <v>737</v>
      </c>
      <c r="D489" s="136" t="s">
        <v>467</v>
      </c>
      <c r="E489" s="136" t="s">
        <v>85</v>
      </c>
      <c r="F489" s="136">
        <v>36</v>
      </c>
      <c r="G489" s="137">
        <f t="shared" si="1"/>
        <v>3</v>
      </c>
      <c r="H489" s="137"/>
      <c r="I489" s="137"/>
      <c r="J489" s="135"/>
      <c r="K489" s="135"/>
      <c r="L489" s="135"/>
      <c r="M489" s="135"/>
      <c r="N489" s="135"/>
      <c r="O489" s="135"/>
      <c r="P489" s="135"/>
      <c r="Q489" s="135"/>
      <c r="R489" s="135"/>
      <c r="S489" s="135"/>
      <c r="T489" s="135"/>
      <c r="U489" s="135"/>
      <c r="V489" s="135"/>
      <c r="W489" s="135"/>
      <c r="X489" s="135"/>
      <c r="Y489" s="135"/>
      <c r="Z489" s="135"/>
    </row>
    <row r="490" spans="1:26" ht="12.75">
      <c r="A490" s="136" t="s">
        <v>7</v>
      </c>
      <c r="B490" s="136" t="s">
        <v>706</v>
      </c>
      <c r="C490" s="136" t="s">
        <v>737</v>
      </c>
      <c r="D490" s="136" t="s">
        <v>1626</v>
      </c>
      <c r="E490" s="136" t="s">
        <v>594</v>
      </c>
      <c r="F490" s="136">
        <v>10</v>
      </c>
      <c r="G490" s="137">
        <f t="shared" si="1"/>
        <v>4</v>
      </c>
      <c r="H490" s="137"/>
      <c r="I490" s="137"/>
      <c r="J490" s="135"/>
      <c r="K490" s="135"/>
      <c r="L490" s="135"/>
      <c r="M490" s="135"/>
      <c r="N490" s="135"/>
      <c r="O490" s="135"/>
      <c r="P490" s="135"/>
      <c r="Q490" s="135"/>
      <c r="R490" s="135"/>
      <c r="S490" s="135"/>
      <c r="T490" s="135"/>
      <c r="U490" s="135"/>
      <c r="V490" s="135"/>
      <c r="W490" s="135"/>
      <c r="X490" s="135"/>
      <c r="Y490" s="135"/>
      <c r="Z490" s="135"/>
    </row>
    <row r="491" spans="1:26" ht="12.75">
      <c r="A491" s="136" t="s">
        <v>7</v>
      </c>
      <c r="B491" s="136" t="s">
        <v>706</v>
      </c>
      <c r="C491" s="136" t="s">
        <v>737</v>
      </c>
      <c r="D491" s="136" t="s">
        <v>165</v>
      </c>
      <c r="E491" s="136" t="s">
        <v>615</v>
      </c>
      <c r="F491" s="136">
        <v>7</v>
      </c>
      <c r="G491" s="137">
        <f t="shared" si="1"/>
        <v>5</v>
      </c>
      <c r="H491" s="137"/>
      <c r="I491" s="137"/>
      <c r="J491" s="135"/>
      <c r="K491" s="135"/>
      <c r="L491" s="135"/>
      <c r="M491" s="135"/>
      <c r="N491" s="135"/>
      <c r="O491" s="135"/>
      <c r="P491" s="135"/>
      <c r="Q491" s="135"/>
      <c r="R491" s="135"/>
      <c r="S491" s="135"/>
      <c r="T491" s="135"/>
      <c r="U491" s="135"/>
      <c r="V491" s="135"/>
      <c r="W491" s="135"/>
      <c r="X491" s="135"/>
      <c r="Y491" s="135"/>
      <c r="Z491" s="135"/>
    </row>
    <row r="492" spans="1:26" ht="12.75">
      <c r="A492" s="136" t="s">
        <v>7</v>
      </c>
      <c r="B492" s="136" t="s">
        <v>706</v>
      </c>
      <c r="C492" s="136" t="s">
        <v>737</v>
      </c>
      <c r="D492" s="136" t="s">
        <v>114</v>
      </c>
      <c r="E492" s="136" t="s">
        <v>85</v>
      </c>
      <c r="F492" s="136">
        <v>4</v>
      </c>
      <c r="G492" s="137">
        <f t="shared" si="1"/>
        <v>6</v>
      </c>
      <c r="H492" s="137"/>
      <c r="I492" s="137"/>
      <c r="J492" s="135"/>
      <c r="K492" s="135"/>
      <c r="L492" s="135"/>
      <c r="M492" s="135"/>
      <c r="N492" s="135"/>
      <c r="O492" s="135"/>
      <c r="P492" s="135"/>
      <c r="Q492" s="135"/>
      <c r="R492" s="135"/>
      <c r="S492" s="135"/>
      <c r="T492" s="135"/>
      <c r="U492" s="135"/>
      <c r="V492" s="135"/>
      <c r="W492" s="135"/>
      <c r="X492" s="135"/>
      <c r="Y492" s="135"/>
      <c r="Z492" s="135"/>
    </row>
    <row r="493" spans="1:26" ht="12.75">
      <c r="A493" s="136" t="s">
        <v>7</v>
      </c>
      <c r="B493" s="136" t="s">
        <v>706</v>
      </c>
      <c r="C493" s="136" t="s">
        <v>7524</v>
      </c>
      <c r="D493" s="136" t="s">
        <v>139</v>
      </c>
      <c r="E493" s="136" t="s">
        <v>594</v>
      </c>
      <c r="F493" s="136">
        <v>2734</v>
      </c>
      <c r="G493" s="137">
        <f t="shared" si="1"/>
        <v>1</v>
      </c>
      <c r="H493" s="137"/>
      <c r="I493" s="137"/>
      <c r="J493" s="135"/>
      <c r="K493" s="135"/>
      <c r="L493" s="135"/>
      <c r="M493" s="135"/>
      <c r="N493" s="135"/>
      <c r="O493" s="135"/>
      <c r="P493" s="135"/>
      <c r="Q493" s="135"/>
      <c r="R493" s="135"/>
      <c r="S493" s="135"/>
      <c r="T493" s="135"/>
      <c r="U493" s="135"/>
      <c r="V493" s="135"/>
      <c r="W493" s="135"/>
      <c r="X493" s="135"/>
      <c r="Y493" s="135"/>
      <c r="Z493" s="135"/>
    </row>
    <row r="494" spans="1:26" ht="12.75">
      <c r="A494" s="136" t="s">
        <v>7</v>
      </c>
      <c r="B494" s="136" t="s">
        <v>706</v>
      </c>
      <c r="C494" s="136" t="s">
        <v>7524</v>
      </c>
      <c r="D494" s="136" t="s">
        <v>1626</v>
      </c>
      <c r="E494" s="136" t="s">
        <v>594</v>
      </c>
      <c r="F494" s="136">
        <v>1322</v>
      </c>
      <c r="G494" s="137">
        <f t="shared" si="1"/>
        <v>2</v>
      </c>
      <c r="H494" s="137"/>
      <c r="I494" s="137"/>
      <c r="J494" s="135"/>
      <c r="K494" s="135"/>
      <c r="L494" s="135"/>
      <c r="M494" s="135"/>
      <c r="N494" s="135"/>
      <c r="O494" s="135"/>
      <c r="P494" s="135"/>
      <c r="Q494" s="135"/>
      <c r="R494" s="135"/>
      <c r="S494" s="135"/>
      <c r="T494" s="135"/>
      <c r="U494" s="135"/>
      <c r="V494" s="135"/>
      <c r="W494" s="135"/>
      <c r="X494" s="135"/>
      <c r="Y494" s="135"/>
      <c r="Z494" s="135"/>
    </row>
    <row r="495" spans="1:26" ht="12.75">
      <c r="A495" s="136" t="s">
        <v>7</v>
      </c>
      <c r="B495" s="136" t="s">
        <v>706</v>
      </c>
      <c r="C495" s="136" t="s">
        <v>7524</v>
      </c>
      <c r="D495" s="136" t="s">
        <v>467</v>
      </c>
      <c r="E495" s="136" t="s">
        <v>85</v>
      </c>
      <c r="F495" s="136">
        <v>650</v>
      </c>
      <c r="G495" s="137">
        <f t="shared" si="1"/>
        <v>3</v>
      </c>
      <c r="H495" s="137"/>
      <c r="I495" s="137"/>
      <c r="J495" s="135"/>
      <c r="K495" s="135"/>
      <c r="L495" s="135"/>
      <c r="M495" s="135"/>
      <c r="N495" s="135"/>
      <c r="O495" s="135"/>
      <c r="P495" s="135"/>
      <c r="Q495" s="135"/>
      <c r="R495" s="135"/>
      <c r="S495" s="135"/>
      <c r="T495" s="135"/>
      <c r="U495" s="135"/>
      <c r="V495" s="135"/>
      <c r="W495" s="135"/>
      <c r="X495" s="135"/>
      <c r="Y495" s="135"/>
      <c r="Z495" s="135"/>
    </row>
    <row r="496" spans="1:26" ht="12.75">
      <c r="A496" s="136" t="s">
        <v>7</v>
      </c>
      <c r="B496" s="136" t="s">
        <v>706</v>
      </c>
      <c r="C496" s="136" t="s">
        <v>7524</v>
      </c>
      <c r="D496" s="136" t="s">
        <v>7512</v>
      </c>
      <c r="E496" s="136"/>
      <c r="F496" s="136">
        <v>142</v>
      </c>
      <c r="G496" s="137">
        <f t="shared" si="1"/>
        <v>4</v>
      </c>
      <c r="H496" s="137"/>
      <c r="I496" s="137"/>
      <c r="J496" s="135"/>
      <c r="K496" s="135"/>
      <c r="L496" s="135"/>
      <c r="M496" s="135"/>
      <c r="N496" s="135"/>
      <c r="O496" s="135"/>
      <c r="P496" s="135"/>
      <c r="Q496" s="135"/>
      <c r="R496" s="135"/>
      <c r="S496" s="135"/>
      <c r="T496" s="135"/>
      <c r="U496" s="135"/>
      <c r="V496" s="135"/>
      <c r="W496" s="135"/>
      <c r="X496" s="135"/>
      <c r="Y496" s="135"/>
      <c r="Z496" s="135"/>
    </row>
    <row r="497" spans="1:26" ht="12.75">
      <c r="A497" s="136" t="s">
        <v>7</v>
      </c>
      <c r="B497" s="136" t="s">
        <v>706</v>
      </c>
      <c r="C497" s="136" t="s">
        <v>7524</v>
      </c>
      <c r="D497" s="136" t="s">
        <v>165</v>
      </c>
      <c r="E497" s="136" t="s">
        <v>615</v>
      </c>
      <c r="F497" s="136">
        <v>141</v>
      </c>
      <c r="G497" s="137">
        <f t="shared" si="1"/>
        <v>5</v>
      </c>
      <c r="H497" s="137"/>
      <c r="I497" s="137"/>
      <c r="J497" s="135"/>
      <c r="K497" s="135"/>
      <c r="L497" s="135"/>
      <c r="M497" s="135"/>
      <c r="N497" s="135"/>
      <c r="O497" s="135"/>
      <c r="P497" s="135"/>
      <c r="Q497" s="135"/>
      <c r="R497" s="135"/>
      <c r="S497" s="135"/>
      <c r="T497" s="135"/>
      <c r="U497" s="135"/>
      <c r="V497" s="135"/>
      <c r="W497" s="135"/>
      <c r="X497" s="135"/>
      <c r="Y497" s="135"/>
      <c r="Z497" s="135"/>
    </row>
    <row r="498" spans="1:26" ht="12.75">
      <c r="A498" s="136" t="s">
        <v>7</v>
      </c>
      <c r="B498" s="136" t="s">
        <v>706</v>
      </c>
      <c r="C498" s="136" t="s">
        <v>7524</v>
      </c>
      <c r="D498" s="136" t="s">
        <v>114</v>
      </c>
      <c r="E498" s="136" t="s">
        <v>85</v>
      </c>
      <c r="F498" s="136">
        <v>22</v>
      </c>
      <c r="G498" s="137">
        <f t="shared" si="1"/>
        <v>6</v>
      </c>
      <c r="H498" s="137"/>
      <c r="I498" s="137"/>
      <c r="J498" s="135"/>
      <c r="K498" s="135"/>
      <c r="L498" s="135"/>
      <c r="M498" s="135"/>
      <c r="N498" s="135"/>
      <c r="O498" s="135"/>
      <c r="P498" s="135"/>
      <c r="Q498" s="135"/>
      <c r="R498" s="135"/>
      <c r="S498" s="135"/>
      <c r="T498" s="135"/>
      <c r="U498" s="135"/>
      <c r="V498" s="135"/>
      <c r="W498" s="135"/>
      <c r="X498" s="135"/>
      <c r="Y498" s="135"/>
      <c r="Z498" s="135"/>
    </row>
    <row r="499" spans="1:26" ht="12.75">
      <c r="A499" s="136" t="s">
        <v>7</v>
      </c>
      <c r="B499" s="136" t="s">
        <v>706</v>
      </c>
      <c r="C499" s="136" t="s">
        <v>735</v>
      </c>
      <c r="D499" s="136" t="s">
        <v>139</v>
      </c>
      <c r="E499" s="136" t="s">
        <v>594</v>
      </c>
      <c r="F499" s="136">
        <v>2375</v>
      </c>
      <c r="G499" s="137">
        <f t="shared" si="1"/>
        <v>1</v>
      </c>
      <c r="H499" s="137"/>
      <c r="I499" s="137"/>
      <c r="J499" s="135"/>
      <c r="K499" s="135"/>
      <c r="L499" s="135"/>
      <c r="M499" s="135"/>
      <c r="N499" s="135"/>
      <c r="O499" s="135"/>
      <c r="P499" s="135"/>
      <c r="Q499" s="135"/>
      <c r="R499" s="135"/>
      <c r="S499" s="135"/>
      <c r="T499" s="135"/>
      <c r="U499" s="135"/>
      <c r="V499" s="135"/>
      <c r="W499" s="135"/>
      <c r="X499" s="135"/>
      <c r="Y499" s="135"/>
      <c r="Z499" s="135"/>
    </row>
    <row r="500" spans="1:26" ht="12.75">
      <c r="A500" s="136" t="s">
        <v>7</v>
      </c>
      <c r="B500" s="136" t="s">
        <v>706</v>
      </c>
      <c r="C500" s="136" t="s">
        <v>735</v>
      </c>
      <c r="D500" s="136" t="s">
        <v>467</v>
      </c>
      <c r="E500" s="136" t="s">
        <v>85</v>
      </c>
      <c r="F500" s="136">
        <v>585</v>
      </c>
      <c r="G500" s="137">
        <f t="shared" si="1"/>
        <v>2</v>
      </c>
      <c r="H500" s="137"/>
      <c r="I500" s="137"/>
      <c r="J500" s="135"/>
      <c r="K500" s="135"/>
      <c r="L500" s="135"/>
      <c r="M500" s="135"/>
      <c r="N500" s="135"/>
      <c r="O500" s="135"/>
      <c r="P500" s="135"/>
      <c r="Q500" s="135"/>
      <c r="R500" s="135"/>
      <c r="S500" s="135"/>
      <c r="T500" s="135"/>
      <c r="U500" s="135"/>
      <c r="V500" s="135"/>
      <c r="W500" s="135"/>
      <c r="X500" s="135"/>
      <c r="Y500" s="135"/>
      <c r="Z500" s="135"/>
    </row>
    <row r="501" spans="1:26" ht="12.75">
      <c r="A501" s="136" t="s">
        <v>7</v>
      </c>
      <c r="B501" s="136" t="s">
        <v>706</v>
      </c>
      <c r="C501" s="136" t="s">
        <v>735</v>
      </c>
      <c r="D501" s="136" t="s">
        <v>38</v>
      </c>
      <c r="E501" s="136"/>
      <c r="F501" s="136">
        <v>401</v>
      </c>
      <c r="G501" s="137">
        <f t="shared" si="1"/>
        <v>3</v>
      </c>
      <c r="H501" s="137"/>
      <c r="I501" s="137"/>
      <c r="J501" s="135"/>
      <c r="K501" s="135"/>
      <c r="L501" s="135"/>
      <c r="M501" s="135"/>
      <c r="N501" s="135"/>
      <c r="O501" s="135"/>
      <c r="P501" s="135"/>
      <c r="Q501" s="135"/>
      <c r="R501" s="135"/>
      <c r="S501" s="135"/>
      <c r="T501" s="135"/>
      <c r="U501" s="135"/>
      <c r="V501" s="135"/>
      <c r="W501" s="135"/>
      <c r="X501" s="135"/>
      <c r="Y501" s="135"/>
      <c r="Z501" s="135"/>
    </row>
    <row r="502" spans="1:26" ht="12.75">
      <c r="A502" s="136" t="s">
        <v>7</v>
      </c>
      <c r="B502" s="136" t="s">
        <v>706</v>
      </c>
      <c r="C502" s="136" t="s">
        <v>735</v>
      </c>
      <c r="D502" s="136" t="s">
        <v>165</v>
      </c>
      <c r="E502" s="136" t="s">
        <v>615</v>
      </c>
      <c r="F502" s="136">
        <v>175</v>
      </c>
      <c r="G502" s="137">
        <f t="shared" si="1"/>
        <v>4</v>
      </c>
      <c r="H502" s="137"/>
      <c r="I502" s="137"/>
      <c r="J502" s="135"/>
      <c r="K502" s="135"/>
      <c r="L502" s="135"/>
      <c r="M502" s="135"/>
      <c r="N502" s="135"/>
      <c r="O502" s="135"/>
      <c r="P502" s="135"/>
      <c r="Q502" s="135"/>
      <c r="R502" s="135"/>
      <c r="S502" s="135"/>
      <c r="T502" s="135"/>
      <c r="U502" s="135"/>
      <c r="V502" s="135"/>
      <c r="W502" s="135"/>
      <c r="X502" s="135"/>
      <c r="Y502" s="135"/>
      <c r="Z502" s="135"/>
    </row>
    <row r="503" spans="1:26" ht="12.75">
      <c r="A503" s="136" t="s">
        <v>7</v>
      </c>
      <c r="B503" s="136" t="s">
        <v>706</v>
      </c>
      <c r="C503" s="136" t="s">
        <v>735</v>
      </c>
      <c r="D503" s="136" t="s">
        <v>114</v>
      </c>
      <c r="E503" s="136" t="s">
        <v>85</v>
      </c>
      <c r="F503" s="136">
        <v>43</v>
      </c>
      <c r="G503" s="137">
        <f t="shared" si="1"/>
        <v>5</v>
      </c>
      <c r="H503" s="137"/>
      <c r="I503" s="137"/>
      <c r="J503" s="135"/>
      <c r="K503" s="135"/>
      <c r="L503" s="135"/>
      <c r="M503" s="135"/>
      <c r="N503" s="135"/>
      <c r="O503" s="135"/>
      <c r="P503" s="135"/>
      <c r="Q503" s="135"/>
      <c r="R503" s="135"/>
      <c r="S503" s="135"/>
      <c r="T503" s="135"/>
      <c r="U503" s="135"/>
      <c r="V503" s="135"/>
      <c r="W503" s="135"/>
      <c r="X503" s="135"/>
      <c r="Y503" s="135"/>
      <c r="Z503" s="135"/>
    </row>
    <row r="504" spans="1:26" ht="12.75">
      <c r="A504" s="136" t="s">
        <v>7</v>
      </c>
      <c r="B504" s="136" t="s">
        <v>706</v>
      </c>
      <c r="C504" s="136" t="s">
        <v>735</v>
      </c>
      <c r="D504" s="136" t="s">
        <v>136</v>
      </c>
      <c r="E504" s="136" t="s">
        <v>615</v>
      </c>
      <c r="F504" s="136">
        <v>37</v>
      </c>
      <c r="G504" s="137">
        <f t="shared" si="1"/>
        <v>6</v>
      </c>
      <c r="H504" s="137"/>
      <c r="I504" s="137"/>
      <c r="J504" s="135"/>
      <c r="K504" s="135"/>
      <c r="L504" s="135"/>
      <c r="M504" s="135"/>
      <c r="N504" s="135"/>
      <c r="O504" s="135"/>
      <c r="P504" s="135"/>
      <c r="Q504" s="135"/>
      <c r="R504" s="135"/>
      <c r="S504" s="135"/>
      <c r="T504" s="135"/>
      <c r="U504" s="135"/>
      <c r="V504" s="135"/>
      <c r="W504" s="135"/>
      <c r="X504" s="135"/>
      <c r="Y504" s="135"/>
      <c r="Z504" s="135"/>
    </row>
    <row r="505" spans="1:26" ht="12.75">
      <c r="A505" s="136" t="s">
        <v>7</v>
      </c>
      <c r="B505" s="136" t="s">
        <v>706</v>
      </c>
      <c r="C505" s="136" t="s">
        <v>706</v>
      </c>
      <c r="D505" s="136" t="s">
        <v>139</v>
      </c>
      <c r="E505" s="136" t="s">
        <v>594</v>
      </c>
      <c r="F505" s="136">
        <v>2828</v>
      </c>
      <c r="G505" s="137">
        <f t="shared" si="1"/>
        <v>1</v>
      </c>
      <c r="H505" s="137"/>
      <c r="I505" s="137"/>
      <c r="J505" s="135"/>
      <c r="K505" s="135"/>
      <c r="L505" s="135"/>
      <c r="M505" s="135"/>
      <c r="N505" s="135"/>
      <c r="O505" s="135"/>
      <c r="P505" s="135"/>
      <c r="Q505" s="135"/>
      <c r="R505" s="135"/>
      <c r="S505" s="135"/>
      <c r="T505" s="135"/>
      <c r="U505" s="135"/>
      <c r="V505" s="135"/>
      <c r="W505" s="135"/>
      <c r="X505" s="135"/>
      <c r="Y505" s="135"/>
      <c r="Z505" s="135"/>
    </row>
    <row r="506" spans="1:26" ht="12.75">
      <c r="A506" s="136" t="s">
        <v>7</v>
      </c>
      <c r="B506" s="136" t="s">
        <v>706</v>
      </c>
      <c r="C506" s="136" t="s">
        <v>706</v>
      </c>
      <c r="D506" s="136" t="s">
        <v>467</v>
      </c>
      <c r="E506" s="136" t="s">
        <v>85</v>
      </c>
      <c r="F506" s="136">
        <v>1797</v>
      </c>
      <c r="G506" s="137">
        <f t="shared" si="1"/>
        <v>2</v>
      </c>
      <c r="H506" s="137"/>
      <c r="I506" s="137"/>
      <c r="J506" s="135"/>
      <c r="K506" s="135"/>
      <c r="L506" s="135"/>
      <c r="M506" s="135"/>
      <c r="N506" s="135"/>
      <c r="O506" s="135"/>
      <c r="P506" s="135"/>
      <c r="Q506" s="135"/>
      <c r="R506" s="135"/>
      <c r="S506" s="135"/>
      <c r="T506" s="135"/>
      <c r="U506" s="135"/>
      <c r="V506" s="135"/>
      <c r="W506" s="135"/>
      <c r="X506" s="135"/>
      <c r="Y506" s="135"/>
      <c r="Z506" s="135"/>
    </row>
    <row r="507" spans="1:26" ht="12.75">
      <c r="A507" s="136" t="s">
        <v>7</v>
      </c>
      <c r="B507" s="136" t="s">
        <v>706</v>
      </c>
      <c r="C507" s="136" t="s">
        <v>706</v>
      </c>
      <c r="D507" s="136" t="s">
        <v>136</v>
      </c>
      <c r="E507" s="136" t="s">
        <v>615</v>
      </c>
      <c r="F507" s="136">
        <v>1575</v>
      </c>
      <c r="G507" s="137">
        <f t="shared" si="1"/>
        <v>3</v>
      </c>
      <c r="H507" s="137"/>
      <c r="I507" s="137"/>
      <c r="J507" s="135"/>
      <c r="K507" s="135"/>
      <c r="L507" s="135"/>
      <c r="M507" s="135"/>
      <c r="N507" s="135"/>
      <c r="O507" s="135"/>
      <c r="P507" s="135"/>
      <c r="Q507" s="135"/>
      <c r="R507" s="135"/>
      <c r="S507" s="135"/>
      <c r="T507" s="135"/>
      <c r="U507" s="135"/>
      <c r="V507" s="135"/>
      <c r="W507" s="135"/>
      <c r="X507" s="135"/>
      <c r="Y507" s="135"/>
      <c r="Z507" s="135"/>
    </row>
    <row r="508" spans="1:26" ht="12.75">
      <c r="A508" s="136" t="s">
        <v>7</v>
      </c>
      <c r="B508" s="136" t="s">
        <v>706</v>
      </c>
      <c r="C508" s="136" t="s">
        <v>706</v>
      </c>
      <c r="D508" s="136" t="s">
        <v>38</v>
      </c>
      <c r="E508" s="136"/>
      <c r="F508" s="136">
        <v>350</v>
      </c>
      <c r="G508" s="137">
        <f t="shared" si="1"/>
        <v>4</v>
      </c>
      <c r="H508" s="137"/>
      <c r="I508" s="137"/>
      <c r="J508" s="135"/>
      <c r="K508" s="135"/>
      <c r="L508" s="135"/>
      <c r="M508" s="135"/>
      <c r="N508" s="135"/>
      <c r="O508" s="135"/>
      <c r="P508" s="135"/>
      <c r="Q508" s="135"/>
      <c r="R508" s="135"/>
      <c r="S508" s="135"/>
      <c r="T508" s="135"/>
      <c r="U508" s="135"/>
      <c r="V508" s="135"/>
      <c r="W508" s="135"/>
      <c r="X508" s="135"/>
      <c r="Y508" s="135"/>
      <c r="Z508" s="135"/>
    </row>
    <row r="509" spans="1:26" ht="12.75">
      <c r="A509" s="136" t="s">
        <v>7</v>
      </c>
      <c r="B509" s="136" t="s">
        <v>706</v>
      </c>
      <c r="C509" s="136" t="s">
        <v>706</v>
      </c>
      <c r="D509" s="136" t="s">
        <v>165</v>
      </c>
      <c r="E509" s="136" t="s">
        <v>615</v>
      </c>
      <c r="F509" s="136">
        <v>229</v>
      </c>
      <c r="G509" s="137">
        <f t="shared" si="1"/>
        <v>5</v>
      </c>
      <c r="H509" s="137"/>
      <c r="I509" s="137"/>
      <c r="J509" s="135"/>
      <c r="K509" s="135"/>
      <c r="L509" s="135"/>
      <c r="M509" s="135"/>
      <c r="N509" s="135"/>
      <c r="O509" s="135"/>
      <c r="P509" s="135"/>
      <c r="Q509" s="135"/>
      <c r="R509" s="135"/>
      <c r="S509" s="135"/>
      <c r="T509" s="135"/>
      <c r="U509" s="135"/>
      <c r="V509" s="135"/>
      <c r="W509" s="135"/>
      <c r="X509" s="135"/>
      <c r="Y509" s="135"/>
      <c r="Z509" s="135"/>
    </row>
    <row r="510" spans="1:26" ht="12.75">
      <c r="A510" s="136" t="s">
        <v>7</v>
      </c>
      <c r="B510" s="136" t="s">
        <v>706</v>
      </c>
      <c r="C510" s="136" t="s">
        <v>706</v>
      </c>
      <c r="D510" s="136" t="s">
        <v>7521</v>
      </c>
      <c r="E510" s="136" t="s">
        <v>594</v>
      </c>
      <c r="F510" s="136">
        <v>196</v>
      </c>
      <c r="G510" s="137">
        <f t="shared" si="1"/>
        <v>6</v>
      </c>
      <c r="H510" s="137"/>
      <c r="I510" s="137"/>
      <c r="J510" s="135"/>
      <c r="K510" s="135"/>
      <c r="L510" s="135"/>
      <c r="M510" s="135"/>
      <c r="N510" s="135"/>
      <c r="O510" s="135"/>
      <c r="P510" s="135"/>
      <c r="Q510" s="135"/>
      <c r="R510" s="135"/>
      <c r="S510" s="135"/>
      <c r="T510" s="135"/>
      <c r="U510" s="135"/>
      <c r="V510" s="135"/>
      <c r="W510" s="135"/>
      <c r="X510" s="135"/>
      <c r="Y510" s="135"/>
      <c r="Z510" s="135"/>
    </row>
    <row r="511" spans="1:26" ht="12.75">
      <c r="A511" s="136" t="s">
        <v>7</v>
      </c>
      <c r="B511" s="136" t="s">
        <v>706</v>
      </c>
      <c r="C511" s="136" t="s">
        <v>706</v>
      </c>
      <c r="D511" s="136" t="s">
        <v>114</v>
      </c>
      <c r="E511" s="136" t="s">
        <v>85</v>
      </c>
      <c r="F511" s="136">
        <v>40</v>
      </c>
      <c r="G511" s="137">
        <f t="shared" si="1"/>
        <v>7</v>
      </c>
      <c r="H511" s="137"/>
      <c r="I511" s="137"/>
      <c r="J511" s="135"/>
      <c r="K511" s="135"/>
      <c r="L511" s="135"/>
      <c r="M511" s="135"/>
      <c r="N511" s="135"/>
      <c r="O511" s="135"/>
      <c r="P511" s="135"/>
      <c r="Q511" s="135"/>
      <c r="R511" s="135"/>
      <c r="S511" s="135"/>
      <c r="T511" s="135"/>
      <c r="U511" s="135"/>
      <c r="V511" s="135"/>
      <c r="W511" s="135"/>
      <c r="X511" s="135"/>
      <c r="Y511" s="135"/>
      <c r="Z511" s="135"/>
    </row>
    <row r="512" spans="1:26" ht="12.75">
      <c r="A512" s="136" t="s">
        <v>7</v>
      </c>
      <c r="B512" s="136" t="s">
        <v>706</v>
      </c>
      <c r="C512" s="136" t="s">
        <v>746</v>
      </c>
      <c r="D512" s="136" t="s">
        <v>7472</v>
      </c>
      <c r="E512" s="136" t="s">
        <v>615</v>
      </c>
      <c r="F512" s="136">
        <v>2933</v>
      </c>
      <c r="G512" s="137">
        <f t="shared" ref="G512:G766" si="2">COUNTIFS($C:$C,C512,$F:$F,"&gt;"&amp;F512)
 + COUNTIFS($C$2:C512,C512,$F$2:F512,F512)</f>
        <v>1</v>
      </c>
      <c r="H512" s="137"/>
      <c r="I512" s="137"/>
      <c r="J512" s="135"/>
      <c r="K512" s="135"/>
      <c r="L512" s="135"/>
      <c r="M512" s="135"/>
      <c r="N512" s="135"/>
      <c r="O512" s="135"/>
      <c r="P512" s="135"/>
      <c r="Q512" s="135"/>
      <c r="R512" s="135"/>
      <c r="S512" s="135"/>
      <c r="T512" s="135"/>
      <c r="U512" s="135"/>
      <c r="V512" s="135"/>
      <c r="W512" s="135"/>
      <c r="X512" s="135"/>
      <c r="Y512" s="135"/>
      <c r="Z512" s="135"/>
    </row>
    <row r="513" spans="1:26" ht="12.75">
      <c r="A513" s="136" t="s">
        <v>7</v>
      </c>
      <c r="B513" s="136" t="s">
        <v>706</v>
      </c>
      <c r="C513" s="136" t="s">
        <v>746</v>
      </c>
      <c r="D513" s="136" t="s">
        <v>7497</v>
      </c>
      <c r="E513" s="136" t="s">
        <v>615</v>
      </c>
      <c r="F513" s="136">
        <v>487</v>
      </c>
      <c r="G513" s="137">
        <f t="shared" si="2"/>
        <v>2</v>
      </c>
      <c r="H513" s="137"/>
      <c r="I513" s="137"/>
      <c r="J513" s="135"/>
      <c r="K513" s="135"/>
      <c r="L513" s="135"/>
      <c r="M513" s="135"/>
      <c r="N513" s="135"/>
      <c r="O513" s="135"/>
      <c r="P513" s="135"/>
      <c r="Q513" s="135"/>
      <c r="R513" s="135"/>
      <c r="S513" s="135"/>
      <c r="T513" s="135"/>
      <c r="U513" s="135"/>
      <c r="V513" s="135"/>
      <c r="W513" s="135"/>
      <c r="X513" s="135"/>
      <c r="Y513" s="135"/>
      <c r="Z513" s="135"/>
    </row>
    <row r="514" spans="1:26" ht="12.75">
      <c r="A514" s="136" t="s">
        <v>7</v>
      </c>
      <c r="B514" s="136" t="s">
        <v>706</v>
      </c>
      <c r="C514" s="136" t="s">
        <v>746</v>
      </c>
      <c r="D514" s="136" t="s">
        <v>154</v>
      </c>
      <c r="E514" s="136" t="s">
        <v>615</v>
      </c>
      <c r="F514" s="136">
        <v>256</v>
      </c>
      <c r="G514" s="137">
        <f t="shared" si="2"/>
        <v>3</v>
      </c>
      <c r="H514" s="137"/>
      <c r="I514" s="137"/>
      <c r="J514" s="135"/>
      <c r="K514" s="135"/>
      <c r="L514" s="135"/>
      <c r="M514" s="135"/>
      <c r="N514" s="135"/>
      <c r="O514" s="135"/>
      <c r="P514" s="135"/>
      <c r="Q514" s="135"/>
      <c r="R514" s="135"/>
      <c r="S514" s="135"/>
      <c r="T514" s="135"/>
      <c r="U514" s="135"/>
      <c r="V514" s="135"/>
      <c r="W514" s="135"/>
      <c r="X514" s="135"/>
      <c r="Y514" s="135"/>
      <c r="Z514" s="135"/>
    </row>
    <row r="515" spans="1:26" ht="12.75">
      <c r="A515" s="136" t="s">
        <v>7</v>
      </c>
      <c r="B515" s="136" t="s">
        <v>706</v>
      </c>
      <c r="C515" s="136" t="s">
        <v>746</v>
      </c>
      <c r="D515" s="136" t="s">
        <v>114</v>
      </c>
      <c r="E515" s="136" t="s">
        <v>85</v>
      </c>
      <c r="F515" s="136">
        <v>144</v>
      </c>
      <c r="G515" s="137">
        <f t="shared" si="2"/>
        <v>4</v>
      </c>
      <c r="H515" s="137"/>
      <c r="I515" s="137"/>
      <c r="J515" s="135"/>
      <c r="K515" s="135"/>
      <c r="L515" s="135"/>
      <c r="M515" s="135"/>
      <c r="N515" s="135"/>
      <c r="O515" s="135"/>
      <c r="P515" s="135"/>
      <c r="Q515" s="135"/>
      <c r="R515" s="135"/>
      <c r="S515" s="135"/>
      <c r="T515" s="135"/>
      <c r="U515" s="135"/>
      <c r="V515" s="135"/>
      <c r="W515" s="135"/>
      <c r="X515" s="135"/>
      <c r="Y515" s="135"/>
      <c r="Z515" s="135"/>
    </row>
    <row r="516" spans="1:26" ht="12.75">
      <c r="A516" s="136" t="s">
        <v>7</v>
      </c>
      <c r="B516" s="136" t="s">
        <v>706</v>
      </c>
      <c r="C516" s="136" t="s">
        <v>746</v>
      </c>
      <c r="D516" s="136" t="s">
        <v>1665</v>
      </c>
      <c r="E516" s="136" t="s">
        <v>615</v>
      </c>
      <c r="F516" s="136">
        <v>88</v>
      </c>
      <c r="G516" s="137">
        <f t="shared" si="2"/>
        <v>5</v>
      </c>
      <c r="H516" s="137"/>
      <c r="I516" s="137"/>
      <c r="J516" s="135"/>
      <c r="K516" s="135"/>
      <c r="L516" s="135"/>
      <c r="M516" s="135"/>
      <c r="N516" s="135"/>
      <c r="O516" s="135"/>
      <c r="P516" s="135"/>
      <c r="Q516" s="135"/>
      <c r="R516" s="135"/>
      <c r="S516" s="135"/>
      <c r="T516" s="135"/>
      <c r="U516" s="135"/>
      <c r="V516" s="135"/>
      <c r="W516" s="135"/>
      <c r="X516" s="135"/>
      <c r="Y516" s="135"/>
      <c r="Z516" s="135"/>
    </row>
    <row r="517" spans="1:26" ht="12.75">
      <c r="A517" s="136" t="s">
        <v>7</v>
      </c>
      <c r="B517" s="136" t="s">
        <v>706</v>
      </c>
      <c r="C517" s="136" t="s">
        <v>746</v>
      </c>
      <c r="D517" s="136" t="s">
        <v>38</v>
      </c>
      <c r="E517" s="136"/>
      <c r="F517" s="136">
        <v>19</v>
      </c>
      <c r="G517" s="137">
        <f t="shared" si="2"/>
        <v>6</v>
      </c>
      <c r="H517" s="137"/>
      <c r="I517" s="137"/>
      <c r="J517" s="135"/>
      <c r="K517" s="135"/>
      <c r="L517" s="135"/>
      <c r="M517" s="135"/>
      <c r="N517" s="135"/>
      <c r="O517" s="135"/>
      <c r="P517" s="135"/>
      <c r="Q517" s="135"/>
      <c r="R517" s="135"/>
      <c r="S517" s="135"/>
      <c r="T517" s="135"/>
      <c r="U517" s="135"/>
      <c r="V517" s="135"/>
      <c r="W517" s="135"/>
      <c r="X517" s="135"/>
      <c r="Y517" s="135"/>
      <c r="Z517" s="135"/>
    </row>
    <row r="518" spans="1:26" ht="12.75">
      <c r="A518" s="136" t="s">
        <v>7</v>
      </c>
      <c r="B518" s="136" t="s">
        <v>706</v>
      </c>
      <c r="C518" s="136" t="s">
        <v>746</v>
      </c>
      <c r="D518" s="136" t="s">
        <v>7525</v>
      </c>
      <c r="E518" s="136" t="s">
        <v>594</v>
      </c>
      <c r="F518" s="136">
        <v>8</v>
      </c>
      <c r="G518" s="137">
        <f t="shared" si="2"/>
        <v>7</v>
      </c>
      <c r="H518" s="137"/>
      <c r="I518" s="137"/>
      <c r="J518" s="135"/>
      <c r="K518" s="135"/>
      <c r="L518" s="135"/>
      <c r="M518" s="135"/>
      <c r="N518" s="135"/>
      <c r="O518" s="135"/>
      <c r="P518" s="135"/>
      <c r="Q518" s="135"/>
      <c r="R518" s="135"/>
      <c r="S518" s="135"/>
      <c r="T518" s="135"/>
      <c r="U518" s="135"/>
      <c r="V518" s="135"/>
      <c r="W518" s="135"/>
      <c r="X518" s="135"/>
      <c r="Y518" s="135"/>
      <c r="Z518" s="135"/>
    </row>
    <row r="519" spans="1:26" ht="12.75">
      <c r="A519" s="136" t="s">
        <v>7</v>
      </c>
      <c r="B519" s="136" t="s">
        <v>706</v>
      </c>
      <c r="C519" s="136" t="s">
        <v>746</v>
      </c>
      <c r="D519" s="136" t="s">
        <v>1626</v>
      </c>
      <c r="E519" s="136" t="s">
        <v>594</v>
      </c>
      <c r="F519" s="136">
        <v>8</v>
      </c>
      <c r="G519" s="137">
        <f t="shared" si="2"/>
        <v>8</v>
      </c>
      <c r="H519" s="137"/>
      <c r="I519" s="137"/>
      <c r="J519" s="135"/>
      <c r="K519" s="135"/>
      <c r="L519" s="135"/>
      <c r="M519" s="135"/>
      <c r="N519" s="135"/>
      <c r="O519" s="135"/>
      <c r="P519" s="135"/>
      <c r="Q519" s="135"/>
      <c r="R519" s="135"/>
      <c r="S519" s="135"/>
      <c r="T519" s="135"/>
      <c r="U519" s="135"/>
      <c r="V519" s="135"/>
      <c r="W519" s="135"/>
      <c r="X519" s="135"/>
      <c r="Y519" s="135"/>
      <c r="Z519" s="135"/>
    </row>
    <row r="520" spans="1:26" ht="12.75">
      <c r="A520" s="136" t="s">
        <v>7</v>
      </c>
      <c r="B520" s="136" t="s">
        <v>706</v>
      </c>
      <c r="C520" s="136" t="s">
        <v>746</v>
      </c>
      <c r="D520" s="136" t="s">
        <v>7526</v>
      </c>
      <c r="E520" s="136" t="s">
        <v>615</v>
      </c>
      <c r="F520" s="136">
        <v>0</v>
      </c>
      <c r="G520" s="137">
        <f t="shared" si="2"/>
        <v>9</v>
      </c>
      <c r="H520" s="137"/>
      <c r="I520" s="137"/>
      <c r="J520" s="135"/>
      <c r="K520" s="135"/>
      <c r="L520" s="135"/>
      <c r="M520" s="135"/>
      <c r="N520" s="135"/>
      <c r="O520" s="135"/>
      <c r="P520" s="135"/>
      <c r="Q520" s="135"/>
      <c r="R520" s="135"/>
      <c r="S520" s="135"/>
      <c r="T520" s="135"/>
      <c r="U520" s="135"/>
      <c r="V520" s="135"/>
      <c r="W520" s="135"/>
      <c r="X520" s="135"/>
      <c r="Y520" s="135"/>
      <c r="Z520" s="135"/>
    </row>
    <row r="521" spans="1:26" ht="12.75">
      <c r="A521" s="136" t="s">
        <v>7</v>
      </c>
      <c r="B521" s="136" t="s">
        <v>706</v>
      </c>
      <c r="C521" s="136" t="s">
        <v>742</v>
      </c>
      <c r="D521" s="136" t="s">
        <v>7518</v>
      </c>
      <c r="E521" s="136" t="s">
        <v>615</v>
      </c>
      <c r="F521" s="136">
        <v>1824</v>
      </c>
      <c r="G521" s="137">
        <f t="shared" si="2"/>
        <v>1</v>
      </c>
      <c r="H521" s="137"/>
      <c r="I521" s="137"/>
      <c r="J521" s="135"/>
      <c r="K521" s="135"/>
      <c r="L521" s="135"/>
      <c r="M521" s="135"/>
      <c r="N521" s="135"/>
      <c r="O521" s="135"/>
      <c r="P521" s="135"/>
      <c r="Q521" s="135"/>
      <c r="R521" s="135"/>
      <c r="S521" s="135"/>
      <c r="T521" s="135"/>
      <c r="U521" s="135"/>
      <c r="V521" s="135"/>
      <c r="W521" s="135"/>
      <c r="X521" s="135"/>
      <c r="Y521" s="135"/>
      <c r="Z521" s="135"/>
    </row>
    <row r="522" spans="1:26" ht="12.75">
      <c r="A522" s="136" t="s">
        <v>7</v>
      </c>
      <c r="B522" s="136" t="s">
        <v>706</v>
      </c>
      <c r="C522" s="136" t="s">
        <v>742</v>
      </c>
      <c r="D522" s="136" t="s">
        <v>1669</v>
      </c>
      <c r="E522" s="136" t="s">
        <v>615</v>
      </c>
      <c r="F522" s="136">
        <v>1011</v>
      </c>
      <c r="G522" s="137">
        <f t="shared" si="2"/>
        <v>2</v>
      </c>
      <c r="H522" s="137"/>
      <c r="I522" s="137"/>
      <c r="J522" s="135"/>
      <c r="K522" s="135"/>
      <c r="L522" s="135"/>
      <c r="M522" s="135"/>
      <c r="N522" s="135"/>
      <c r="O522" s="135"/>
      <c r="P522" s="135"/>
      <c r="Q522" s="135"/>
      <c r="R522" s="135"/>
      <c r="S522" s="135"/>
      <c r="T522" s="135"/>
      <c r="U522" s="135"/>
      <c r="V522" s="135"/>
      <c r="W522" s="135"/>
      <c r="X522" s="135"/>
      <c r="Y522" s="135"/>
      <c r="Z522" s="135"/>
    </row>
    <row r="523" spans="1:26" ht="12.75">
      <c r="A523" s="136" t="s">
        <v>7</v>
      </c>
      <c r="B523" s="136" t="s">
        <v>706</v>
      </c>
      <c r="C523" s="136" t="s">
        <v>742</v>
      </c>
      <c r="D523" s="136" t="s">
        <v>1665</v>
      </c>
      <c r="E523" s="136" t="s">
        <v>615</v>
      </c>
      <c r="F523" s="136">
        <v>550</v>
      </c>
      <c r="G523" s="137">
        <f t="shared" si="2"/>
        <v>3</v>
      </c>
      <c r="H523" s="137"/>
      <c r="I523" s="137"/>
      <c r="J523" s="135"/>
      <c r="K523" s="135"/>
      <c r="L523" s="135"/>
      <c r="M523" s="135"/>
      <c r="N523" s="135"/>
      <c r="O523" s="135"/>
      <c r="P523" s="135"/>
      <c r="Q523" s="135"/>
      <c r="R523" s="135"/>
      <c r="S523" s="135"/>
      <c r="T523" s="135"/>
      <c r="U523" s="135"/>
      <c r="V523" s="135"/>
      <c r="W523" s="135"/>
      <c r="X523" s="135"/>
      <c r="Y523" s="135"/>
      <c r="Z523" s="135"/>
    </row>
    <row r="524" spans="1:26" ht="12.75">
      <c r="A524" s="136" t="s">
        <v>7</v>
      </c>
      <c r="B524" s="136" t="s">
        <v>706</v>
      </c>
      <c r="C524" s="136" t="s">
        <v>742</v>
      </c>
      <c r="D524" s="136" t="s">
        <v>1626</v>
      </c>
      <c r="E524" s="136" t="s">
        <v>594</v>
      </c>
      <c r="F524" s="136">
        <v>51</v>
      </c>
      <c r="G524" s="137">
        <f t="shared" si="2"/>
        <v>4</v>
      </c>
      <c r="H524" s="137"/>
      <c r="I524" s="137"/>
      <c r="J524" s="135"/>
      <c r="K524" s="135"/>
      <c r="L524" s="135"/>
      <c r="M524" s="135"/>
      <c r="N524" s="135"/>
      <c r="O524" s="135"/>
      <c r="P524" s="135"/>
      <c r="Q524" s="135"/>
      <c r="R524" s="135"/>
      <c r="S524" s="135"/>
      <c r="T524" s="135"/>
      <c r="U524" s="135"/>
      <c r="V524" s="135"/>
      <c r="W524" s="135"/>
      <c r="X524" s="135"/>
      <c r="Y524" s="135"/>
      <c r="Z524" s="135"/>
    </row>
    <row r="525" spans="1:26" ht="12.75">
      <c r="A525" s="136" t="s">
        <v>7</v>
      </c>
      <c r="B525" s="136" t="s">
        <v>706</v>
      </c>
      <c r="C525" s="136" t="s">
        <v>742</v>
      </c>
      <c r="D525" s="136" t="s">
        <v>7527</v>
      </c>
      <c r="E525" s="136" t="s">
        <v>615</v>
      </c>
      <c r="F525" s="136">
        <v>48</v>
      </c>
      <c r="G525" s="137">
        <f t="shared" si="2"/>
        <v>5</v>
      </c>
      <c r="H525" s="137"/>
      <c r="I525" s="137"/>
      <c r="J525" s="135"/>
      <c r="K525" s="135"/>
      <c r="L525" s="135"/>
      <c r="M525" s="135"/>
      <c r="N525" s="135"/>
      <c r="O525" s="135"/>
      <c r="P525" s="135"/>
      <c r="Q525" s="135"/>
      <c r="R525" s="135"/>
      <c r="S525" s="135"/>
      <c r="T525" s="135"/>
      <c r="U525" s="135"/>
      <c r="V525" s="135"/>
      <c r="W525" s="135"/>
      <c r="X525" s="135"/>
      <c r="Y525" s="135"/>
      <c r="Z525" s="135"/>
    </row>
    <row r="526" spans="1:26" ht="12.75">
      <c r="A526" s="136" t="s">
        <v>7</v>
      </c>
      <c r="B526" s="136" t="s">
        <v>706</v>
      </c>
      <c r="C526" s="136" t="s">
        <v>742</v>
      </c>
      <c r="D526" s="136" t="s">
        <v>7326</v>
      </c>
      <c r="E526" s="136" t="s">
        <v>85</v>
      </c>
      <c r="F526" s="136">
        <v>18</v>
      </c>
      <c r="G526" s="137">
        <f t="shared" si="2"/>
        <v>6</v>
      </c>
      <c r="H526" s="137"/>
      <c r="I526" s="137"/>
      <c r="J526" s="135"/>
      <c r="K526" s="135"/>
      <c r="L526" s="135"/>
      <c r="M526" s="135"/>
      <c r="N526" s="135"/>
      <c r="O526" s="135"/>
      <c r="P526" s="135"/>
      <c r="Q526" s="135"/>
      <c r="R526" s="135"/>
      <c r="S526" s="135"/>
      <c r="T526" s="135"/>
      <c r="U526" s="135"/>
      <c r="V526" s="135"/>
      <c r="W526" s="135"/>
      <c r="X526" s="135"/>
      <c r="Y526" s="135"/>
      <c r="Z526" s="135"/>
    </row>
    <row r="527" spans="1:26" ht="12.75">
      <c r="A527" s="136" t="s">
        <v>7</v>
      </c>
      <c r="B527" s="136" t="s">
        <v>706</v>
      </c>
      <c r="C527" s="136" t="s">
        <v>742</v>
      </c>
      <c r="D527" s="136" t="s">
        <v>38</v>
      </c>
      <c r="E527" s="136"/>
      <c r="F527" s="136">
        <v>15</v>
      </c>
      <c r="G527" s="137">
        <f t="shared" si="2"/>
        <v>7</v>
      </c>
      <c r="H527" s="137"/>
      <c r="I527" s="137"/>
      <c r="J527" s="135"/>
      <c r="K527" s="135"/>
      <c r="L527" s="135"/>
      <c r="M527" s="135"/>
      <c r="N527" s="135"/>
      <c r="O527" s="135"/>
      <c r="P527" s="135"/>
      <c r="Q527" s="135"/>
      <c r="R527" s="135"/>
      <c r="S527" s="135"/>
      <c r="T527" s="135"/>
      <c r="U527" s="135"/>
      <c r="V527" s="135"/>
      <c r="W527" s="135"/>
      <c r="X527" s="135"/>
      <c r="Y527" s="135"/>
      <c r="Z527" s="135"/>
    </row>
    <row r="528" spans="1:26" ht="12.75">
      <c r="A528" s="136" t="s">
        <v>7</v>
      </c>
      <c r="B528" s="136" t="s">
        <v>706</v>
      </c>
      <c r="C528" s="136" t="s">
        <v>742</v>
      </c>
      <c r="D528" s="136" t="s">
        <v>7525</v>
      </c>
      <c r="E528" s="136" t="s">
        <v>594</v>
      </c>
      <c r="F528" s="136">
        <v>6</v>
      </c>
      <c r="G528" s="137">
        <f t="shared" si="2"/>
        <v>8</v>
      </c>
      <c r="H528" s="137"/>
      <c r="I528" s="137"/>
      <c r="J528" s="135"/>
      <c r="K528" s="135"/>
      <c r="L528" s="135"/>
      <c r="M528" s="135"/>
      <c r="N528" s="135"/>
      <c r="O528" s="135"/>
      <c r="P528" s="135"/>
      <c r="Q528" s="135"/>
      <c r="R528" s="135"/>
      <c r="S528" s="135"/>
      <c r="T528" s="135"/>
      <c r="U528" s="135"/>
      <c r="V528" s="135"/>
      <c r="W528" s="135"/>
      <c r="X528" s="135"/>
      <c r="Y528" s="135"/>
      <c r="Z528" s="135"/>
    </row>
    <row r="529" spans="1:26" ht="12.75">
      <c r="A529" s="136" t="s">
        <v>7</v>
      </c>
      <c r="B529" s="136" t="s">
        <v>706</v>
      </c>
      <c r="C529" s="136" t="s">
        <v>742</v>
      </c>
      <c r="D529" s="136" t="s">
        <v>7528</v>
      </c>
      <c r="E529" s="136" t="s">
        <v>85</v>
      </c>
      <c r="F529" s="136">
        <v>5</v>
      </c>
      <c r="G529" s="137">
        <f t="shared" si="2"/>
        <v>9</v>
      </c>
      <c r="H529" s="137"/>
      <c r="I529" s="137"/>
      <c r="J529" s="135"/>
      <c r="K529" s="135"/>
      <c r="L529" s="135"/>
      <c r="M529" s="135"/>
      <c r="N529" s="135"/>
      <c r="O529" s="135"/>
      <c r="P529" s="135"/>
      <c r="Q529" s="135"/>
      <c r="R529" s="135"/>
      <c r="S529" s="135"/>
      <c r="T529" s="135"/>
      <c r="U529" s="135"/>
      <c r="V529" s="135"/>
      <c r="W529" s="135"/>
      <c r="X529" s="135"/>
      <c r="Y529" s="135"/>
      <c r="Z529" s="135"/>
    </row>
    <row r="530" spans="1:26" ht="12.75">
      <c r="A530" s="136" t="s">
        <v>8</v>
      </c>
      <c r="B530" s="136" t="s">
        <v>7529</v>
      </c>
      <c r="C530" s="136" t="s">
        <v>669</v>
      </c>
      <c r="D530" s="136" t="s">
        <v>139</v>
      </c>
      <c r="E530" s="136" t="s">
        <v>594</v>
      </c>
      <c r="F530" s="136">
        <v>1632</v>
      </c>
      <c r="G530" s="137">
        <f t="shared" si="2"/>
        <v>1</v>
      </c>
      <c r="H530" s="137"/>
      <c r="I530" s="137"/>
      <c r="J530" s="135"/>
      <c r="K530" s="135"/>
      <c r="L530" s="135"/>
      <c r="M530" s="135"/>
      <c r="N530" s="135"/>
      <c r="O530" s="135"/>
      <c r="P530" s="135"/>
      <c r="Q530" s="135"/>
      <c r="R530" s="135"/>
      <c r="S530" s="135"/>
      <c r="T530" s="135"/>
      <c r="U530" s="135"/>
      <c r="V530" s="135"/>
      <c r="W530" s="135"/>
      <c r="X530" s="135"/>
      <c r="Y530" s="135"/>
      <c r="Z530" s="135"/>
    </row>
    <row r="531" spans="1:26" ht="12.75">
      <c r="A531" s="136" t="s">
        <v>8</v>
      </c>
      <c r="B531" s="136" t="s">
        <v>7529</v>
      </c>
      <c r="C531" s="136" t="s">
        <v>669</v>
      </c>
      <c r="D531" s="136" t="s">
        <v>107</v>
      </c>
      <c r="E531" s="136" t="s">
        <v>615</v>
      </c>
      <c r="F531" s="136">
        <v>350</v>
      </c>
      <c r="G531" s="137">
        <f t="shared" si="2"/>
        <v>2</v>
      </c>
      <c r="H531" s="137"/>
      <c r="I531" s="137"/>
      <c r="J531" s="135"/>
      <c r="K531" s="135"/>
      <c r="L531" s="135"/>
      <c r="M531" s="135"/>
      <c r="N531" s="135"/>
      <c r="O531" s="135"/>
      <c r="P531" s="135"/>
      <c r="Q531" s="135"/>
      <c r="R531" s="135"/>
      <c r="S531" s="135"/>
      <c r="T531" s="135"/>
      <c r="U531" s="135"/>
      <c r="V531" s="135"/>
      <c r="W531" s="135"/>
      <c r="X531" s="135"/>
      <c r="Y531" s="135"/>
      <c r="Z531" s="135"/>
    </row>
    <row r="532" spans="1:26" ht="12.75">
      <c r="A532" s="136" t="s">
        <v>8</v>
      </c>
      <c r="B532" s="136" t="s">
        <v>7529</v>
      </c>
      <c r="C532" s="136" t="s">
        <v>669</v>
      </c>
      <c r="D532" s="136" t="s">
        <v>7530</v>
      </c>
      <c r="E532" s="136" t="s">
        <v>85</v>
      </c>
      <c r="F532" s="136">
        <v>291</v>
      </c>
      <c r="G532" s="137">
        <f t="shared" si="2"/>
        <v>3</v>
      </c>
      <c r="H532" s="137"/>
      <c r="I532" s="137"/>
      <c r="J532" s="135"/>
      <c r="K532" s="135"/>
      <c r="L532" s="135"/>
      <c r="M532" s="135"/>
      <c r="N532" s="135"/>
      <c r="O532" s="135"/>
      <c r="P532" s="135"/>
      <c r="Q532" s="135"/>
      <c r="R532" s="135"/>
      <c r="S532" s="135"/>
      <c r="T532" s="135"/>
      <c r="U532" s="135"/>
      <c r="V532" s="135"/>
      <c r="W532" s="135"/>
      <c r="X532" s="135"/>
      <c r="Y532" s="135"/>
      <c r="Z532" s="135"/>
    </row>
    <row r="533" spans="1:26" ht="12.75">
      <c r="A533" s="136" t="s">
        <v>8</v>
      </c>
      <c r="B533" s="136" t="s">
        <v>7529</v>
      </c>
      <c r="C533" s="136" t="s">
        <v>669</v>
      </c>
      <c r="D533" s="136" t="s">
        <v>467</v>
      </c>
      <c r="E533" s="136" t="s">
        <v>85</v>
      </c>
      <c r="F533" s="136">
        <v>175</v>
      </c>
      <c r="G533" s="137">
        <f t="shared" si="2"/>
        <v>4</v>
      </c>
      <c r="H533" s="137"/>
      <c r="I533" s="137"/>
      <c r="J533" s="135"/>
      <c r="K533" s="135"/>
      <c r="L533" s="135"/>
      <c r="M533" s="135"/>
      <c r="N533" s="135"/>
      <c r="O533" s="135"/>
      <c r="P533" s="135"/>
      <c r="Q533" s="135"/>
      <c r="R533" s="135"/>
      <c r="S533" s="135"/>
      <c r="T533" s="135"/>
      <c r="U533" s="135"/>
      <c r="V533" s="135"/>
      <c r="W533" s="135"/>
      <c r="X533" s="135"/>
      <c r="Y533" s="135"/>
      <c r="Z533" s="135"/>
    </row>
    <row r="534" spans="1:26" ht="12.75">
      <c r="A534" s="136" t="s">
        <v>8</v>
      </c>
      <c r="B534" s="136" t="s">
        <v>7529</v>
      </c>
      <c r="C534" s="136" t="s">
        <v>669</v>
      </c>
      <c r="D534" s="136" t="s">
        <v>1665</v>
      </c>
      <c r="E534" s="136" t="s">
        <v>615</v>
      </c>
      <c r="F534" s="136">
        <v>174</v>
      </c>
      <c r="G534" s="137">
        <f t="shared" si="2"/>
        <v>5</v>
      </c>
      <c r="H534" s="137"/>
      <c r="I534" s="137"/>
      <c r="J534" s="135"/>
      <c r="K534" s="135"/>
      <c r="L534" s="135"/>
      <c r="M534" s="135"/>
      <c r="N534" s="135"/>
      <c r="O534" s="135"/>
      <c r="P534" s="135"/>
      <c r="Q534" s="135"/>
      <c r="R534" s="135"/>
      <c r="S534" s="135"/>
      <c r="T534" s="135"/>
      <c r="U534" s="135"/>
      <c r="V534" s="135"/>
      <c r="W534" s="135"/>
      <c r="X534" s="135"/>
      <c r="Y534" s="135"/>
      <c r="Z534" s="135"/>
    </row>
    <row r="535" spans="1:26" ht="12.75">
      <c r="A535" s="136" t="s">
        <v>8</v>
      </c>
      <c r="B535" s="136" t="s">
        <v>7529</v>
      </c>
      <c r="C535" s="136" t="s">
        <v>669</v>
      </c>
      <c r="D535" s="136" t="s">
        <v>368</v>
      </c>
      <c r="E535" s="136" t="s">
        <v>594</v>
      </c>
      <c r="F535" s="136">
        <v>115</v>
      </c>
      <c r="G535" s="137">
        <f t="shared" si="2"/>
        <v>6</v>
      </c>
      <c r="H535" s="137"/>
      <c r="I535" s="137"/>
      <c r="J535" s="135"/>
      <c r="K535" s="135"/>
      <c r="L535" s="135"/>
      <c r="M535" s="135"/>
      <c r="N535" s="135"/>
      <c r="O535" s="135"/>
      <c r="P535" s="135"/>
      <c r="Q535" s="135"/>
      <c r="R535" s="135"/>
      <c r="S535" s="135"/>
      <c r="T535" s="135"/>
      <c r="U535" s="135"/>
      <c r="V535" s="135"/>
      <c r="W535" s="135"/>
      <c r="X535" s="135"/>
      <c r="Y535" s="135"/>
      <c r="Z535" s="135"/>
    </row>
    <row r="536" spans="1:26" ht="12.75">
      <c r="A536" s="136" t="s">
        <v>8</v>
      </c>
      <c r="B536" s="136" t="s">
        <v>7529</v>
      </c>
      <c r="C536" s="136" t="s">
        <v>669</v>
      </c>
      <c r="D536" s="136" t="s">
        <v>7531</v>
      </c>
      <c r="E536" s="136" t="s">
        <v>615</v>
      </c>
      <c r="F536" s="136">
        <v>100</v>
      </c>
      <c r="G536" s="137">
        <f t="shared" si="2"/>
        <v>7</v>
      </c>
      <c r="H536" s="137"/>
      <c r="I536" s="137"/>
      <c r="J536" s="135"/>
      <c r="K536" s="135"/>
      <c r="L536" s="135"/>
      <c r="M536" s="135"/>
      <c r="N536" s="135"/>
      <c r="O536" s="135"/>
      <c r="P536" s="135"/>
      <c r="Q536" s="135"/>
      <c r="R536" s="135"/>
      <c r="S536" s="135"/>
      <c r="T536" s="135"/>
      <c r="U536" s="135"/>
      <c r="V536" s="135"/>
      <c r="W536" s="135"/>
      <c r="X536" s="135"/>
      <c r="Y536" s="135"/>
      <c r="Z536" s="135"/>
    </row>
    <row r="537" spans="1:26" ht="12.75">
      <c r="A537" s="136" t="s">
        <v>8</v>
      </c>
      <c r="B537" s="136" t="s">
        <v>7529</v>
      </c>
      <c r="C537" s="136" t="s">
        <v>669</v>
      </c>
      <c r="D537" s="136" t="s">
        <v>136</v>
      </c>
      <c r="E537" s="136" t="s">
        <v>615</v>
      </c>
      <c r="F537" s="136">
        <v>90</v>
      </c>
      <c r="G537" s="137">
        <f t="shared" si="2"/>
        <v>8</v>
      </c>
      <c r="H537" s="137"/>
      <c r="I537" s="137"/>
      <c r="J537" s="135"/>
      <c r="K537" s="135"/>
      <c r="L537" s="135"/>
      <c r="M537" s="135"/>
      <c r="N537" s="135"/>
      <c r="O537" s="135"/>
      <c r="P537" s="135"/>
      <c r="Q537" s="135"/>
      <c r="R537" s="135"/>
      <c r="S537" s="135"/>
      <c r="T537" s="135"/>
      <c r="U537" s="135"/>
      <c r="V537" s="135"/>
      <c r="W537" s="135"/>
      <c r="X537" s="135"/>
      <c r="Y537" s="135"/>
      <c r="Z537" s="135"/>
    </row>
    <row r="538" spans="1:26" ht="12.75">
      <c r="A538" s="136" t="s">
        <v>8</v>
      </c>
      <c r="B538" s="136" t="s">
        <v>7529</v>
      </c>
      <c r="C538" s="136" t="s">
        <v>669</v>
      </c>
      <c r="D538" s="136" t="s">
        <v>7532</v>
      </c>
      <c r="E538" s="136" t="s">
        <v>615</v>
      </c>
      <c r="F538" s="136">
        <v>65</v>
      </c>
      <c r="G538" s="137">
        <f t="shared" si="2"/>
        <v>9</v>
      </c>
      <c r="H538" s="137"/>
      <c r="I538" s="137"/>
      <c r="J538" s="135"/>
      <c r="K538" s="135"/>
      <c r="L538" s="135"/>
      <c r="M538" s="135"/>
      <c r="N538" s="135"/>
      <c r="O538" s="135"/>
      <c r="P538" s="135"/>
      <c r="Q538" s="135"/>
      <c r="R538" s="135"/>
      <c r="S538" s="135"/>
      <c r="T538" s="135"/>
      <c r="U538" s="135"/>
      <c r="V538" s="135"/>
      <c r="W538" s="135"/>
      <c r="X538" s="135"/>
      <c r="Y538" s="135"/>
      <c r="Z538" s="135"/>
    </row>
    <row r="539" spans="1:26" ht="12.75">
      <c r="A539" s="136" t="s">
        <v>8</v>
      </c>
      <c r="B539" s="136" t="s">
        <v>7529</v>
      </c>
      <c r="C539" s="136" t="s">
        <v>669</v>
      </c>
      <c r="D539" s="136" t="s">
        <v>154</v>
      </c>
      <c r="E539" s="136" t="s">
        <v>615</v>
      </c>
      <c r="F539" s="136">
        <v>65</v>
      </c>
      <c r="G539" s="137">
        <f t="shared" si="2"/>
        <v>10</v>
      </c>
      <c r="H539" s="137"/>
      <c r="I539" s="137"/>
      <c r="J539" s="135"/>
      <c r="K539" s="135"/>
      <c r="L539" s="135"/>
      <c r="M539" s="135"/>
      <c r="N539" s="135"/>
      <c r="O539" s="135"/>
      <c r="P539" s="135"/>
      <c r="Q539" s="135"/>
      <c r="R539" s="135"/>
      <c r="S539" s="135"/>
      <c r="T539" s="135"/>
      <c r="U539" s="135"/>
      <c r="V539" s="135"/>
      <c r="W539" s="135"/>
      <c r="X539" s="135"/>
      <c r="Y539" s="135"/>
      <c r="Z539" s="135"/>
    </row>
    <row r="540" spans="1:26" ht="12.75">
      <c r="A540" s="136" t="s">
        <v>8</v>
      </c>
      <c r="B540" s="136" t="s">
        <v>7529</v>
      </c>
      <c r="C540" s="136" t="s">
        <v>669</v>
      </c>
      <c r="D540" s="136" t="s">
        <v>7491</v>
      </c>
      <c r="E540" s="136" t="s">
        <v>615</v>
      </c>
      <c r="F540" s="136">
        <v>60</v>
      </c>
      <c r="G540" s="137">
        <f t="shared" si="2"/>
        <v>11</v>
      </c>
      <c r="H540" s="137"/>
      <c r="I540" s="137"/>
      <c r="J540" s="135"/>
      <c r="K540" s="135"/>
      <c r="L540" s="135"/>
      <c r="M540" s="135"/>
      <c r="N540" s="135"/>
      <c r="O540" s="135"/>
      <c r="P540" s="135"/>
      <c r="Q540" s="135"/>
      <c r="R540" s="135"/>
      <c r="S540" s="135"/>
      <c r="T540" s="135"/>
      <c r="U540" s="135"/>
      <c r="V540" s="135"/>
      <c r="W540" s="135"/>
      <c r="X540" s="135"/>
      <c r="Y540" s="135"/>
      <c r="Z540" s="135"/>
    </row>
    <row r="541" spans="1:26" ht="12.75">
      <c r="A541" s="136" t="s">
        <v>8</v>
      </c>
      <c r="B541" s="136" t="s">
        <v>7529</v>
      </c>
      <c r="C541" s="136" t="s">
        <v>669</v>
      </c>
      <c r="D541" s="136" t="s">
        <v>7533</v>
      </c>
      <c r="E541" s="136" t="s">
        <v>594</v>
      </c>
      <c r="F541" s="136">
        <v>56</v>
      </c>
      <c r="G541" s="137">
        <f t="shared" si="2"/>
        <v>12</v>
      </c>
      <c r="H541" s="137"/>
      <c r="I541" s="137"/>
      <c r="J541" s="135"/>
      <c r="K541" s="135"/>
      <c r="L541" s="135"/>
      <c r="M541" s="135"/>
      <c r="N541" s="135"/>
      <c r="O541" s="135"/>
      <c r="P541" s="135"/>
      <c r="Q541" s="135"/>
      <c r="R541" s="135"/>
      <c r="S541" s="135"/>
      <c r="T541" s="135"/>
      <c r="U541" s="135"/>
      <c r="V541" s="135"/>
      <c r="W541" s="135"/>
      <c r="X541" s="135"/>
      <c r="Y541" s="135"/>
      <c r="Z541" s="135"/>
    </row>
    <row r="542" spans="1:26" ht="12.75">
      <c r="A542" s="136" t="s">
        <v>8</v>
      </c>
      <c r="B542" s="136" t="s">
        <v>7529</v>
      </c>
      <c r="C542" s="136" t="s">
        <v>669</v>
      </c>
      <c r="D542" s="136" t="s">
        <v>1626</v>
      </c>
      <c r="E542" s="136" t="s">
        <v>594</v>
      </c>
      <c r="F542" s="136">
        <v>45</v>
      </c>
      <c r="G542" s="137">
        <f t="shared" si="2"/>
        <v>13</v>
      </c>
      <c r="H542" s="137"/>
      <c r="I542" s="137"/>
      <c r="J542" s="135"/>
      <c r="K542" s="135"/>
      <c r="L542" s="135"/>
      <c r="M542" s="135"/>
      <c r="N542" s="135"/>
      <c r="O542" s="135"/>
      <c r="P542" s="135"/>
      <c r="Q542" s="135"/>
      <c r="R542" s="135"/>
      <c r="S542" s="135"/>
      <c r="T542" s="135"/>
      <c r="U542" s="135"/>
      <c r="V542" s="135"/>
      <c r="W542" s="135"/>
      <c r="X542" s="135"/>
      <c r="Y542" s="135"/>
      <c r="Z542" s="135"/>
    </row>
    <row r="543" spans="1:26" ht="12.75">
      <c r="A543" s="136" t="s">
        <v>8</v>
      </c>
      <c r="B543" s="136" t="s">
        <v>7529</v>
      </c>
      <c r="C543" s="136" t="s">
        <v>669</v>
      </c>
      <c r="D543" s="136" t="s">
        <v>165</v>
      </c>
      <c r="E543" s="136" t="s">
        <v>615</v>
      </c>
      <c r="F543" s="136">
        <v>30</v>
      </c>
      <c r="G543" s="137">
        <f t="shared" si="2"/>
        <v>14</v>
      </c>
      <c r="H543" s="137"/>
      <c r="I543" s="137"/>
      <c r="J543" s="135"/>
      <c r="K543" s="135"/>
      <c r="L543" s="135"/>
      <c r="M543" s="135"/>
      <c r="N543" s="135"/>
      <c r="O543" s="135"/>
      <c r="P543" s="135"/>
      <c r="Q543" s="135"/>
      <c r="R543" s="135"/>
      <c r="S543" s="135"/>
      <c r="T543" s="135"/>
      <c r="U543" s="135"/>
      <c r="V543" s="135"/>
      <c r="W543" s="135"/>
      <c r="X543" s="135"/>
      <c r="Y543" s="135"/>
      <c r="Z543" s="135"/>
    </row>
    <row r="544" spans="1:26" ht="12.75">
      <c r="A544" s="136" t="s">
        <v>8</v>
      </c>
      <c r="B544" s="136" t="s">
        <v>7529</v>
      </c>
      <c r="C544" s="136" t="s">
        <v>669</v>
      </c>
      <c r="D544" s="136" t="s">
        <v>7534</v>
      </c>
      <c r="E544" s="136" t="s">
        <v>594</v>
      </c>
      <c r="F544" s="136">
        <v>28</v>
      </c>
      <c r="G544" s="137">
        <f t="shared" si="2"/>
        <v>15</v>
      </c>
      <c r="H544" s="137"/>
      <c r="I544" s="137"/>
      <c r="J544" s="135"/>
      <c r="K544" s="135"/>
      <c r="L544" s="135"/>
      <c r="M544" s="135"/>
      <c r="N544" s="135"/>
      <c r="O544" s="135"/>
      <c r="P544" s="135"/>
      <c r="Q544" s="135"/>
      <c r="R544" s="135"/>
      <c r="S544" s="135"/>
      <c r="T544" s="135"/>
      <c r="U544" s="135"/>
      <c r="V544" s="135"/>
      <c r="W544" s="135"/>
      <c r="X544" s="135"/>
      <c r="Y544" s="135"/>
      <c r="Z544" s="135"/>
    </row>
    <row r="545" spans="1:26" ht="12.75">
      <c r="A545" s="136" t="s">
        <v>8</v>
      </c>
      <c r="B545" s="136" t="s">
        <v>7529</v>
      </c>
      <c r="C545" s="136" t="s">
        <v>669</v>
      </c>
      <c r="D545" s="136" t="s">
        <v>225</v>
      </c>
      <c r="E545" s="136" t="s">
        <v>615</v>
      </c>
      <c r="F545" s="136">
        <v>25</v>
      </c>
      <c r="G545" s="137">
        <f t="shared" si="2"/>
        <v>16</v>
      </c>
      <c r="H545" s="137"/>
      <c r="I545" s="137"/>
      <c r="J545" s="135"/>
      <c r="K545" s="135"/>
      <c r="L545" s="135"/>
      <c r="M545" s="135"/>
      <c r="N545" s="135"/>
      <c r="O545" s="135"/>
      <c r="P545" s="135"/>
      <c r="Q545" s="135"/>
      <c r="R545" s="135"/>
      <c r="S545" s="135"/>
      <c r="T545" s="135"/>
      <c r="U545" s="135"/>
      <c r="V545" s="135"/>
      <c r="W545" s="135"/>
      <c r="X545" s="135"/>
      <c r="Y545" s="135"/>
      <c r="Z545" s="135"/>
    </row>
    <row r="546" spans="1:26" ht="12.75">
      <c r="A546" s="136" t="s">
        <v>8</v>
      </c>
      <c r="B546" s="136" t="s">
        <v>7529</v>
      </c>
      <c r="C546" s="136" t="s">
        <v>669</v>
      </c>
      <c r="D546" s="136" t="s">
        <v>1666</v>
      </c>
      <c r="E546" s="136" t="s">
        <v>85</v>
      </c>
      <c r="F546" s="136">
        <v>23</v>
      </c>
      <c r="G546" s="137">
        <f t="shared" si="2"/>
        <v>17</v>
      </c>
      <c r="H546" s="137"/>
      <c r="I546" s="137"/>
      <c r="J546" s="135"/>
      <c r="K546" s="135"/>
      <c r="L546" s="135"/>
      <c r="M546" s="135"/>
      <c r="N546" s="135"/>
      <c r="O546" s="135"/>
      <c r="P546" s="135"/>
      <c r="Q546" s="135"/>
      <c r="R546" s="135"/>
      <c r="S546" s="135"/>
      <c r="T546" s="135"/>
      <c r="U546" s="135"/>
      <c r="V546" s="135"/>
      <c r="W546" s="135"/>
      <c r="X546" s="135"/>
      <c r="Y546" s="135"/>
      <c r="Z546" s="135"/>
    </row>
    <row r="547" spans="1:26" ht="12.75">
      <c r="A547" s="136" t="s">
        <v>8</v>
      </c>
      <c r="B547" s="136" t="s">
        <v>7529</v>
      </c>
      <c r="C547" s="136" t="s">
        <v>1545</v>
      </c>
      <c r="D547" s="136" t="s">
        <v>139</v>
      </c>
      <c r="E547" s="136" t="s">
        <v>594</v>
      </c>
      <c r="F547" s="136">
        <v>1185</v>
      </c>
      <c r="G547" s="137">
        <f t="shared" si="2"/>
        <v>1</v>
      </c>
      <c r="H547" s="137"/>
      <c r="I547" s="137"/>
      <c r="J547" s="135"/>
      <c r="K547" s="135"/>
      <c r="L547" s="135"/>
      <c r="M547" s="135"/>
      <c r="N547" s="135"/>
      <c r="O547" s="135"/>
      <c r="P547" s="135"/>
      <c r="Q547" s="135"/>
      <c r="R547" s="135"/>
      <c r="S547" s="135"/>
      <c r="T547" s="135"/>
      <c r="U547" s="135"/>
      <c r="V547" s="135"/>
      <c r="W547" s="135"/>
      <c r="X547" s="135"/>
      <c r="Y547" s="135"/>
      <c r="Z547" s="135"/>
    </row>
    <row r="548" spans="1:26" ht="12.75">
      <c r="A548" s="136" t="s">
        <v>8</v>
      </c>
      <c r="B548" s="136" t="s">
        <v>7529</v>
      </c>
      <c r="C548" s="136" t="s">
        <v>1545</v>
      </c>
      <c r="D548" s="136" t="s">
        <v>107</v>
      </c>
      <c r="E548" s="136" t="s">
        <v>615</v>
      </c>
      <c r="F548" s="136">
        <v>580</v>
      </c>
      <c r="G548" s="137">
        <f t="shared" si="2"/>
        <v>2</v>
      </c>
      <c r="H548" s="137"/>
      <c r="I548" s="137"/>
      <c r="J548" s="135"/>
      <c r="K548" s="135"/>
      <c r="L548" s="135"/>
      <c r="M548" s="135"/>
      <c r="N548" s="135"/>
      <c r="O548" s="135"/>
      <c r="P548" s="135"/>
      <c r="Q548" s="135"/>
      <c r="R548" s="135"/>
      <c r="S548" s="135"/>
      <c r="T548" s="135"/>
      <c r="U548" s="135"/>
      <c r="V548" s="135"/>
      <c r="W548" s="135"/>
      <c r="X548" s="135"/>
      <c r="Y548" s="135"/>
      <c r="Z548" s="135"/>
    </row>
    <row r="549" spans="1:26" ht="12.75">
      <c r="A549" s="136" t="s">
        <v>8</v>
      </c>
      <c r="B549" s="136" t="s">
        <v>7529</v>
      </c>
      <c r="C549" s="136" t="s">
        <v>1545</v>
      </c>
      <c r="D549" s="136" t="s">
        <v>7530</v>
      </c>
      <c r="E549" s="136" t="s">
        <v>85</v>
      </c>
      <c r="F549" s="136">
        <v>377</v>
      </c>
      <c r="G549" s="137">
        <f t="shared" si="2"/>
        <v>3</v>
      </c>
      <c r="H549" s="137"/>
      <c r="I549" s="137"/>
      <c r="J549" s="135"/>
      <c r="K549" s="135"/>
      <c r="L549" s="135"/>
      <c r="M549" s="135"/>
      <c r="N549" s="135"/>
      <c r="O549" s="135"/>
      <c r="P549" s="135"/>
      <c r="Q549" s="135"/>
      <c r="R549" s="135"/>
      <c r="S549" s="135"/>
      <c r="T549" s="135"/>
      <c r="U549" s="135"/>
      <c r="V549" s="135"/>
      <c r="W549" s="135"/>
      <c r="X549" s="135"/>
      <c r="Y549" s="135"/>
      <c r="Z549" s="135"/>
    </row>
    <row r="550" spans="1:26" ht="12.75">
      <c r="A550" s="136" t="s">
        <v>8</v>
      </c>
      <c r="B550" s="136" t="s">
        <v>7529</v>
      </c>
      <c r="C550" s="136" t="s">
        <v>1545</v>
      </c>
      <c r="D550" s="136" t="s">
        <v>154</v>
      </c>
      <c r="E550" s="136" t="s">
        <v>615</v>
      </c>
      <c r="F550" s="136">
        <v>320</v>
      </c>
      <c r="G550" s="137">
        <f t="shared" si="2"/>
        <v>4</v>
      </c>
      <c r="H550" s="137"/>
      <c r="I550" s="137"/>
      <c r="J550" s="135"/>
      <c r="K550" s="135"/>
      <c r="L550" s="135"/>
      <c r="M550" s="135"/>
      <c r="N550" s="135"/>
      <c r="O550" s="135"/>
      <c r="P550" s="135"/>
      <c r="Q550" s="135"/>
      <c r="R550" s="135"/>
      <c r="S550" s="135"/>
      <c r="T550" s="135"/>
      <c r="U550" s="135"/>
      <c r="V550" s="135"/>
      <c r="W550" s="135"/>
      <c r="X550" s="135"/>
      <c r="Y550" s="135"/>
      <c r="Z550" s="135"/>
    </row>
    <row r="551" spans="1:26" ht="12.75">
      <c r="A551" s="136" t="s">
        <v>8</v>
      </c>
      <c r="B551" s="136" t="s">
        <v>7529</v>
      </c>
      <c r="C551" s="136" t="s">
        <v>1545</v>
      </c>
      <c r="D551" s="136" t="s">
        <v>1665</v>
      </c>
      <c r="E551" s="136" t="s">
        <v>615</v>
      </c>
      <c r="F551" s="136">
        <v>300</v>
      </c>
      <c r="G551" s="137">
        <f t="shared" si="2"/>
        <v>5</v>
      </c>
      <c r="H551" s="137"/>
      <c r="I551" s="137"/>
      <c r="J551" s="135"/>
      <c r="K551" s="135"/>
      <c r="L551" s="135"/>
      <c r="M551" s="135"/>
      <c r="N551" s="135"/>
      <c r="O551" s="135"/>
      <c r="P551" s="135"/>
      <c r="Q551" s="135"/>
      <c r="R551" s="135"/>
      <c r="S551" s="135"/>
      <c r="T551" s="135"/>
      <c r="U551" s="135"/>
      <c r="V551" s="135"/>
      <c r="W551" s="135"/>
      <c r="X551" s="135"/>
      <c r="Y551" s="135"/>
      <c r="Z551" s="135"/>
    </row>
    <row r="552" spans="1:26" ht="12.75">
      <c r="A552" s="136" t="s">
        <v>8</v>
      </c>
      <c r="B552" s="136" t="s">
        <v>7529</v>
      </c>
      <c r="C552" s="136" t="s">
        <v>1545</v>
      </c>
      <c r="D552" s="136" t="s">
        <v>136</v>
      </c>
      <c r="E552" s="136" t="s">
        <v>615</v>
      </c>
      <c r="F552" s="136">
        <v>250</v>
      </c>
      <c r="G552" s="137">
        <f t="shared" si="2"/>
        <v>6</v>
      </c>
      <c r="H552" s="137"/>
      <c r="I552" s="137"/>
      <c r="J552" s="135"/>
      <c r="K552" s="135"/>
      <c r="L552" s="135"/>
      <c r="M552" s="135"/>
      <c r="N552" s="135"/>
      <c r="O552" s="135"/>
      <c r="P552" s="135"/>
      <c r="Q552" s="135"/>
      <c r="R552" s="135"/>
      <c r="S552" s="135"/>
      <c r="T552" s="135"/>
      <c r="U552" s="135"/>
      <c r="V552" s="135"/>
      <c r="W552" s="135"/>
      <c r="X552" s="135"/>
      <c r="Y552" s="135"/>
      <c r="Z552" s="135"/>
    </row>
    <row r="553" spans="1:26" ht="12.75">
      <c r="A553" s="136" t="s">
        <v>8</v>
      </c>
      <c r="B553" s="136" t="s">
        <v>7529</v>
      </c>
      <c r="C553" s="136" t="s">
        <v>1545</v>
      </c>
      <c r="D553" s="136" t="s">
        <v>467</v>
      </c>
      <c r="E553" s="136" t="s">
        <v>85</v>
      </c>
      <c r="F553" s="136">
        <v>184</v>
      </c>
      <c r="G553" s="137">
        <f t="shared" si="2"/>
        <v>7</v>
      </c>
      <c r="H553" s="137"/>
      <c r="I553" s="137"/>
      <c r="J553" s="135"/>
      <c r="K553" s="135"/>
      <c r="L553" s="135"/>
      <c r="M553" s="135"/>
      <c r="N553" s="135"/>
      <c r="O553" s="135"/>
      <c r="P553" s="135"/>
      <c r="Q553" s="135"/>
      <c r="R553" s="135"/>
      <c r="S553" s="135"/>
      <c r="T553" s="135"/>
      <c r="U553" s="135"/>
      <c r="V553" s="135"/>
      <c r="W553" s="135"/>
      <c r="X553" s="135"/>
      <c r="Y553" s="135"/>
      <c r="Z553" s="135"/>
    </row>
    <row r="554" spans="1:26" ht="12.75">
      <c r="A554" s="136" t="s">
        <v>8</v>
      </c>
      <c r="B554" s="136" t="s">
        <v>7529</v>
      </c>
      <c r="C554" s="136" t="s">
        <v>1545</v>
      </c>
      <c r="D554" s="136" t="s">
        <v>165</v>
      </c>
      <c r="E554" s="136" t="s">
        <v>615</v>
      </c>
      <c r="F554" s="136">
        <v>155</v>
      </c>
      <c r="G554" s="137">
        <f t="shared" si="2"/>
        <v>8</v>
      </c>
      <c r="H554" s="137"/>
      <c r="I554" s="137"/>
      <c r="J554" s="135"/>
      <c r="K554" s="135"/>
      <c r="L554" s="135"/>
      <c r="M554" s="135"/>
      <c r="N554" s="135"/>
      <c r="O554" s="135"/>
      <c r="P554" s="135"/>
      <c r="Q554" s="135"/>
      <c r="R554" s="135"/>
      <c r="S554" s="135"/>
      <c r="T554" s="135"/>
      <c r="U554" s="135"/>
      <c r="V554" s="135"/>
      <c r="W554" s="135"/>
      <c r="X554" s="135"/>
      <c r="Y554" s="135"/>
      <c r="Z554" s="135"/>
    </row>
    <row r="555" spans="1:26" ht="12.75">
      <c r="A555" s="136" t="s">
        <v>8</v>
      </c>
      <c r="B555" s="136" t="s">
        <v>7529</v>
      </c>
      <c r="C555" s="136" t="s">
        <v>1545</v>
      </c>
      <c r="D555" s="136" t="s">
        <v>7535</v>
      </c>
      <c r="E555" s="136" t="s">
        <v>615</v>
      </c>
      <c r="F555" s="136">
        <v>140</v>
      </c>
      <c r="G555" s="137">
        <f t="shared" si="2"/>
        <v>9</v>
      </c>
      <c r="H555" s="137"/>
      <c r="I555" s="137"/>
      <c r="J555" s="135"/>
      <c r="K555" s="135"/>
      <c r="L555" s="135"/>
      <c r="M555" s="135"/>
      <c r="N555" s="135"/>
      <c r="O555" s="135"/>
      <c r="P555" s="135"/>
      <c r="Q555" s="135"/>
      <c r="R555" s="135"/>
      <c r="S555" s="135"/>
      <c r="T555" s="135"/>
      <c r="U555" s="135"/>
      <c r="V555" s="135"/>
      <c r="W555" s="135"/>
      <c r="X555" s="135"/>
      <c r="Y555" s="135"/>
      <c r="Z555" s="135"/>
    </row>
    <row r="556" spans="1:26" ht="12.75">
      <c r="A556" s="136" t="s">
        <v>8</v>
      </c>
      <c r="B556" s="136" t="s">
        <v>7529</v>
      </c>
      <c r="C556" s="136" t="s">
        <v>1545</v>
      </c>
      <c r="D556" s="136" t="s">
        <v>368</v>
      </c>
      <c r="E556" s="136" t="s">
        <v>594</v>
      </c>
      <c r="F556" s="136">
        <v>135</v>
      </c>
      <c r="G556" s="137">
        <f t="shared" si="2"/>
        <v>10</v>
      </c>
      <c r="H556" s="137"/>
      <c r="I556" s="137"/>
      <c r="J556" s="135"/>
      <c r="K556" s="135"/>
      <c r="L556" s="135"/>
      <c r="M556" s="135"/>
      <c r="N556" s="135"/>
      <c r="O556" s="135"/>
      <c r="P556" s="135"/>
      <c r="Q556" s="135"/>
      <c r="R556" s="135"/>
      <c r="S556" s="135"/>
      <c r="T556" s="135"/>
      <c r="U556" s="135"/>
      <c r="V556" s="135"/>
      <c r="W556" s="135"/>
      <c r="X556" s="135"/>
      <c r="Y556" s="135"/>
      <c r="Z556" s="135"/>
    </row>
    <row r="557" spans="1:26" ht="12.75">
      <c r="A557" s="136" t="s">
        <v>8</v>
      </c>
      <c r="B557" s="136" t="s">
        <v>7529</v>
      </c>
      <c r="C557" s="136" t="s">
        <v>1545</v>
      </c>
      <c r="D557" s="136" t="s">
        <v>1626</v>
      </c>
      <c r="E557" s="136" t="s">
        <v>594</v>
      </c>
      <c r="F557" s="136">
        <v>135</v>
      </c>
      <c r="G557" s="137">
        <f t="shared" si="2"/>
        <v>11</v>
      </c>
      <c r="H557" s="137"/>
      <c r="I557" s="137"/>
      <c r="J557" s="135"/>
      <c r="K557" s="135"/>
      <c r="L557" s="135"/>
      <c r="M557" s="135"/>
      <c r="N557" s="135"/>
      <c r="O557" s="135"/>
      <c r="P557" s="135"/>
      <c r="Q557" s="135"/>
      <c r="R557" s="135"/>
      <c r="S557" s="135"/>
      <c r="T557" s="135"/>
      <c r="U557" s="135"/>
      <c r="V557" s="135"/>
      <c r="W557" s="135"/>
      <c r="X557" s="135"/>
      <c r="Y557" s="135"/>
      <c r="Z557" s="135"/>
    </row>
    <row r="558" spans="1:26" ht="12.75">
      <c r="A558" s="136" t="s">
        <v>8</v>
      </c>
      <c r="B558" s="136" t="s">
        <v>7529</v>
      </c>
      <c r="C558" s="136" t="s">
        <v>1545</v>
      </c>
      <c r="D558" s="136" t="s">
        <v>7480</v>
      </c>
      <c r="E558" s="136" t="s">
        <v>594</v>
      </c>
      <c r="F558" s="136">
        <v>130</v>
      </c>
      <c r="G558" s="137">
        <f t="shared" si="2"/>
        <v>12</v>
      </c>
      <c r="H558" s="137"/>
      <c r="I558" s="137"/>
      <c r="J558" s="135"/>
      <c r="K558" s="135"/>
      <c r="L558" s="135"/>
      <c r="M558" s="135"/>
      <c r="N558" s="135"/>
      <c r="O558" s="135"/>
      <c r="P558" s="135"/>
      <c r="Q558" s="135"/>
      <c r="R558" s="135"/>
      <c r="S558" s="135"/>
      <c r="T558" s="135"/>
      <c r="U558" s="135"/>
      <c r="V558" s="135"/>
      <c r="W558" s="135"/>
      <c r="X558" s="135"/>
      <c r="Y558" s="135"/>
      <c r="Z558" s="135"/>
    </row>
    <row r="559" spans="1:26" ht="12.75">
      <c r="A559" s="136" t="s">
        <v>8</v>
      </c>
      <c r="B559" s="136" t="s">
        <v>7529</v>
      </c>
      <c r="C559" s="136" t="s">
        <v>1545</v>
      </c>
      <c r="D559" s="136" t="s">
        <v>7531</v>
      </c>
      <c r="E559" s="136" t="s">
        <v>615</v>
      </c>
      <c r="F559" s="136">
        <v>115</v>
      </c>
      <c r="G559" s="137">
        <f t="shared" si="2"/>
        <v>13</v>
      </c>
      <c r="H559" s="137"/>
      <c r="I559" s="137"/>
      <c r="J559" s="135"/>
      <c r="K559" s="135"/>
      <c r="L559" s="135"/>
      <c r="M559" s="135"/>
      <c r="N559" s="135"/>
      <c r="O559" s="135"/>
      <c r="P559" s="135"/>
      <c r="Q559" s="135"/>
      <c r="R559" s="135"/>
      <c r="S559" s="135"/>
      <c r="T559" s="135"/>
      <c r="U559" s="135"/>
      <c r="V559" s="135"/>
      <c r="W559" s="135"/>
      <c r="X559" s="135"/>
      <c r="Y559" s="135"/>
      <c r="Z559" s="135"/>
    </row>
    <row r="560" spans="1:26" ht="12.75">
      <c r="A560" s="136" t="s">
        <v>8</v>
      </c>
      <c r="B560" s="136" t="s">
        <v>7529</v>
      </c>
      <c r="C560" s="136" t="s">
        <v>1545</v>
      </c>
      <c r="D560" s="136" t="s">
        <v>1666</v>
      </c>
      <c r="E560" s="136" t="s">
        <v>85</v>
      </c>
      <c r="F560" s="136">
        <v>110</v>
      </c>
      <c r="G560" s="137">
        <f t="shared" si="2"/>
        <v>14</v>
      </c>
      <c r="H560" s="137"/>
      <c r="I560" s="137"/>
      <c r="J560" s="135"/>
      <c r="K560" s="135"/>
      <c r="L560" s="135"/>
      <c r="M560" s="135"/>
      <c r="N560" s="135"/>
      <c r="O560" s="135"/>
      <c r="P560" s="135"/>
      <c r="Q560" s="135"/>
      <c r="R560" s="135"/>
      <c r="S560" s="135"/>
      <c r="T560" s="135"/>
      <c r="U560" s="135"/>
      <c r="V560" s="135"/>
      <c r="W560" s="135"/>
      <c r="X560" s="135"/>
      <c r="Y560" s="135"/>
      <c r="Z560" s="135"/>
    </row>
    <row r="561" spans="1:26" ht="12.75">
      <c r="A561" s="136" t="s">
        <v>8</v>
      </c>
      <c r="B561" s="136" t="s">
        <v>7529</v>
      </c>
      <c r="C561" s="136" t="s">
        <v>1545</v>
      </c>
      <c r="D561" s="136" t="s">
        <v>1669</v>
      </c>
      <c r="E561" s="136" t="s">
        <v>615</v>
      </c>
      <c r="F561" s="136">
        <v>90</v>
      </c>
      <c r="G561" s="137">
        <f t="shared" si="2"/>
        <v>15</v>
      </c>
      <c r="H561" s="137"/>
      <c r="I561" s="137"/>
      <c r="J561" s="135"/>
      <c r="K561" s="135"/>
      <c r="L561" s="135"/>
      <c r="M561" s="135"/>
      <c r="N561" s="135"/>
      <c r="O561" s="135"/>
      <c r="P561" s="135"/>
      <c r="Q561" s="135"/>
      <c r="R561" s="135"/>
      <c r="S561" s="135"/>
      <c r="T561" s="135"/>
      <c r="U561" s="135"/>
      <c r="V561" s="135"/>
      <c r="W561" s="135"/>
      <c r="X561" s="135"/>
      <c r="Y561" s="135"/>
      <c r="Z561" s="135"/>
    </row>
    <row r="562" spans="1:26" ht="12.75">
      <c r="A562" s="136" t="s">
        <v>8</v>
      </c>
      <c r="B562" s="136" t="s">
        <v>7529</v>
      </c>
      <c r="C562" s="136" t="s">
        <v>1545</v>
      </c>
      <c r="D562" s="136" t="s">
        <v>7533</v>
      </c>
      <c r="E562" s="136" t="s">
        <v>594</v>
      </c>
      <c r="F562" s="136">
        <v>85</v>
      </c>
      <c r="G562" s="137">
        <f t="shared" si="2"/>
        <v>16</v>
      </c>
      <c r="H562" s="137"/>
      <c r="I562" s="137"/>
      <c r="J562" s="135"/>
      <c r="K562" s="135"/>
      <c r="L562" s="135"/>
      <c r="M562" s="135"/>
      <c r="N562" s="135"/>
      <c r="O562" s="135"/>
      <c r="P562" s="135"/>
      <c r="Q562" s="135"/>
      <c r="R562" s="135"/>
      <c r="S562" s="135"/>
      <c r="T562" s="135"/>
      <c r="U562" s="135"/>
      <c r="V562" s="135"/>
      <c r="W562" s="135"/>
      <c r="X562" s="135"/>
      <c r="Y562" s="135"/>
      <c r="Z562" s="135"/>
    </row>
    <row r="563" spans="1:26" ht="12.75">
      <c r="A563" s="136" t="s">
        <v>8</v>
      </c>
      <c r="B563" s="136" t="s">
        <v>7529</v>
      </c>
      <c r="C563" s="136" t="s">
        <v>1545</v>
      </c>
      <c r="D563" s="136" t="s">
        <v>225</v>
      </c>
      <c r="E563" s="136" t="s">
        <v>615</v>
      </c>
      <c r="F563" s="136">
        <v>85</v>
      </c>
      <c r="G563" s="137">
        <f t="shared" si="2"/>
        <v>17</v>
      </c>
      <c r="H563" s="137"/>
      <c r="I563" s="137"/>
      <c r="J563" s="135"/>
      <c r="K563" s="135"/>
      <c r="L563" s="135"/>
      <c r="M563" s="135"/>
      <c r="N563" s="135"/>
      <c r="O563" s="135"/>
      <c r="P563" s="135"/>
      <c r="Q563" s="135"/>
      <c r="R563" s="135"/>
      <c r="S563" s="135"/>
      <c r="T563" s="135"/>
      <c r="U563" s="135"/>
      <c r="V563" s="135"/>
      <c r="W563" s="135"/>
      <c r="X563" s="135"/>
      <c r="Y563" s="135"/>
      <c r="Z563" s="135"/>
    </row>
    <row r="564" spans="1:26" ht="12.75">
      <c r="A564" s="136" t="s">
        <v>8</v>
      </c>
      <c r="B564" s="136" t="s">
        <v>7529</v>
      </c>
      <c r="C564" s="136" t="s">
        <v>1545</v>
      </c>
      <c r="D564" s="136" t="s">
        <v>7491</v>
      </c>
      <c r="E564" s="136" t="s">
        <v>615</v>
      </c>
      <c r="F564" s="136">
        <v>75</v>
      </c>
      <c r="G564" s="137">
        <f t="shared" si="2"/>
        <v>18</v>
      </c>
      <c r="H564" s="137"/>
      <c r="I564" s="137"/>
      <c r="J564" s="135"/>
      <c r="K564" s="135"/>
      <c r="L564" s="135"/>
      <c r="M564" s="135"/>
      <c r="N564" s="135"/>
      <c r="O564" s="135"/>
      <c r="P564" s="135"/>
      <c r="Q564" s="135"/>
      <c r="R564" s="135"/>
      <c r="S564" s="135"/>
      <c r="T564" s="135"/>
      <c r="U564" s="135"/>
      <c r="V564" s="135"/>
      <c r="W564" s="135"/>
      <c r="X564" s="135"/>
      <c r="Y564" s="135"/>
      <c r="Z564" s="135"/>
    </row>
    <row r="565" spans="1:26" ht="12.75">
      <c r="A565" s="136" t="s">
        <v>8</v>
      </c>
      <c r="B565" s="136" t="s">
        <v>7529</v>
      </c>
      <c r="C565" s="136" t="s">
        <v>1545</v>
      </c>
      <c r="D565" s="136" t="s">
        <v>7534</v>
      </c>
      <c r="E565" s="136" t="s">
        <v>594</v>
      </c>
      <c r="F565" s="136">
        <v>75</v>
      </c>
      <c r="G565" s="137">
        <f t="shared" si="2"/>
        <v>19</v>
      </c>
      <c r="H565" s="137"/>
      <c r="I565" s="137"/>
      <c r="J565" s="135"/>
      <c r="K565" s="135"/>
      <c r="L565" s="135"/>
      <c r="M565" s="135"/>
      <c r="N565" s="135"/>
      <c r="O565" s="135"/>
      <c r="P565" s="135"/>
      <c r="Q565" s="135"/>
      <c r="R565" s="135"/>
      <c r="S565" s="135"/>
      <c r="T565" s="135"/>
      <c r="U565" s="135"/>
      <c r="V565" s="135"/>
      <c r="W565" s="135"/>
      <c r="X565" s="135"/>
      <c r="Y565" s="135"/>
      <c r="Z565" s="135"/>
    </row>
    <row r="566" spans="1:26" ht="12.75">
      <c r="A566" s="136" t="s">
        <v>8</v>
      </c>
      <c r="B566" s="136" t="s">
        <v>7529</v>
      </c>
      <c r="C566" s="136" t="s">
        <v>1545</v>
      </c>
      <c r="D566" s="136" t="s">
        <v>120</v>
      </c>
      <c r="E566" s="136" t="s">
        <v>615</v>
      </c>
      <c r="F566" s="136">
        <v>75</v>
      </c>
      <c r="G566" s="137">
        <f t="shared" si="2"/>
        <v>20</v>
      </c>
      <c r="H566" s="137"/>
      <c r="I566" s="137"/>
      <c r="J566" s="135"/>
      <c r="K566" s="135"/>
      <c r="L566" s="135"/>
      <c r="M566" s="135"/>
      <c r="N566" s="135"/>
      <c r="O566" s="135"/>
      <c r="P566" s="135"/>
      <c r="Q566" s="135"/>
      <c r="R566" s="135"/>
      <c r="S566" s="135"/>
      <c r="T566" s="135"/>
      <c r="U566" s="135"/>
      <c r="V566" s="135"/>
      <c r="W566" s="135"/>
      <c r="X566" s="135"/>
      <c r="Y566" s="135"/>
      <c r="Z566" s="135"/>
    </row>
    <row r="567" spans="1:26" ht="12.75">
      <c r="A567" s="136" t="s">
        <v>8</v>
      </c>
      <c r="B567" s="136" t="s">
        <v>7529</v>
      </c>
      <c r="C567" s="136" t="s">
        <v>1545</v>
      </c>
      <c r="D567" s="136" t="s">
        <v>7532</v>
      </c>
      <c r="E567" s="136" t="s">
        <v>615</v>
      </c>
      <c r="F567" s="136">
        <v>50</v>
      </c>
      <c r="G567" s="137">
        <f t="shared" si="2"/>
        <v>21</v>
      </c>
      <c r="H567" s="137"/>
      <c r="I567" s="137"/>
      <c r="J567" s="135"/>
      <c r="K567" s="135"/>
      <c r="L567" s="135"/>
      <c r="M567" s="135"/>
      <c r="N567" s="135"/>
      <c r="O567" s="135"/>
      <c r="P567" s="135"/>
      <c r="Q567" s="135"/>
      <c r="R567" s="135"/>
      <c r="S567" s="135"/>
      <c r="T567" s="135"/>
      <c r="U567" s="135"/>
      <c r="V567" s="135"/>
      <c r="W567" s="135"/>
      <c r="X567" s="135"/>
      <c r="Y567" s="135"/>
      <c r="Z567" s="135"/>
    </row>
    <row r="568" spans="1:26" ht="12.75">
      <c r="A568" s="136" t="s">
        <v>8</v>
      </c>
      <c r="B568" s="136" t="s">
        <v>7529</v>
      </c>
      <c r="C568" s="136" t="s">
        <v>1545</v>
      </c>
      <c r="D568" s="136" t="s">
        <v>1646</v>
      </c>
      <c r="E568" s="136" t="s">
        <v>615</v>
      </c>
      <c r="F568" s="136">
        <v>15</v>
      </c>
      <c r="G568" s="137">
        <f t="shared" si="2"/>
        <v>22</v>
      </c>
      <c r="H568" s="137"/>
      <c r="I568" s="137"/>
      <c r="J568" s="135"/>
      <c r="K568" s="135"/>
      <c r="L568" s="135"/>
      <c r="M568" s="135"/>
      <c r="N568" s="135"/>
      <c r="O568" s="135"/>
      <c r="P568" s="135"/>
      <c r="Q568" s="135"/>
      <c r="R568" s="135"/>
      <c r="S568" s="135"/>
      <c r="T568" s="135"/>
      <c r="U568" s="135"/>
      <c r="V568" s="135"/>
      <c r="W568" s="135"/>
      <c r="X568" s="135"/>
      <c r="Y568" s="135"/>
      <c r="Z568" s="135"/>
    </row>
    <row r="569" spans="1:26" ht="12.75">
      <c r="A569" s="136" t="s">
        <v>8</v>
      </c>
      <c r="B569" s="136" t="s">
        <v>7529</v>
      </c>
      <c r="C569" s="136" t="s">
        <v>1545</v>
      </c>
      <c r="D569" s="136" t="s">
        <v>1682</v>
      </c>
      <c r="E569" s="136" t="s">
        <v>86</v>
      </c>
      <c r="F569" s="136">
        <v>6</v>
      </c>
      <c r="G569" s="137">
        <f t="shared" si="2"/>
        <v>23</v>
      </c>
      <c r="H569" s="137"/>
      <c r="I569" s="137"/>
      <c r="J569" s="135"/>
      <c r="K569" s="135"/>
      <c r="L569" s="135"/>
      <c r="M569" s="135"/>
      <c r="N569" s="135"/>
      <c r="O569" s="135"/>
      <c r="P569" s="135"/>
      <c r="Q569" s="135"/>
      <c r="R569" s="135"/>
      <c r="S569" s="135"/>
      <c r="T569" s="135"/>
      <c r="U569" s="135"/>
      <c r="V569" s="135"/>
      <c r="W569" s="135"/>
      <c r="X569" s="135"/>
      <c r="Y569" s="135"/>
      <c r="Z569" s="135"/>
    </row>
    <row r="570" spans="1:26" ht="12.75">
      <c r="A570" s="136" t="s">
        <v>8</v>
      </c>
      <c r="B570" s="136" t="s">
        <v>7529</v>
      </c>
      <c r="C570" s="136" t="s">
        <v>661</v>
      </c>
      <c r="D570" s="136" t="s">
        <v>139</v>
      </c>
      <c r="E570" s="136" t="s">
        <v>594</v>
      </c>
      <c r="F570" s="136">
        <v>291</v>
      </c>
      <c r="G570" s="137">
        <f t="shared" si="2"/>
        <v>1</v>
      </c>
      <c r="H570" s="137"/>
      <c r="I570" s="137"/>
      <c r="J570" s="135"/>
      <c r="K570" s="135"/>
      <c r="L570" s="135"/>
      <c r="M570" s="135"/>
      <c r="N570" s="135"/>
      <c r="O570" s="135"/>
      <c r="P570" s="135"/>
      <c r="Q570" s="135"/>
      <c r="R570" s="135"/>
      <c r="S570" s="135"/>
      <c r="T570" s="135"/>
      <c r="U570" s="135"/>
      <c r="V570" s="135"/>
      <c r="W570" s="135"/>
      <c r="X570" s="135"/>
      <c r="Y570" s="135"/>
      <c r="Z570" s="135"/>
    </row>
    <row r="571" spans="1:26" ht="12.75">
      <c r="A571" s="136" t="s">
        <v>8</v>
      </c>
      <c r="B571" s="136" t="s">
        <v>7529</v>
      </c>
      <c r="C571" s="136" t="s">
        <v>661</v>
      </c>
      <c r="D571" s="136" t="s">
        <v>7530</v>
      </c>
      <c r="E571" s="136" t="s">
        <v>85</v>
      </c>
      <c r="F571" s="136">
        <v>268</v>
      </c>
      <c r="G571" s="137">
        <f t="shared" si="2"/>
        <v>2</v>
      </c>
      <c r="H571" s="137"/>
      <c r="I571" s="137"/>
      <c r="J571" s="135"/>
      <c r="K571" s="135"/>
      <c r="L571" s="135"/>
      <c r="M571" s="135"/>
      <c r="N571" s="135"/>
      <c r="O571" s="135"/>
      <c r="P571" s="135"/>
      <c r="Q571" s="135"/>
      <c r="R571" s="135"/>
      <c r="S571" s="135"/>
      <c r="T571" s="135"/>
      <c r="U571" s="135"/>
      <c r="V571" s="135"/>
      <c r="W571" s="135"/>
      <c r="X571" s="135"/>
      <c r="Y571" s="135"/>
      <c r="Z571" s="135"/>
    </row>
    <row r="572" spans="1:26" ht="12.75">
      <c r="A572" s="136" t="s">
        <v>8</v>
      </c>
      <c r="B572" s="136" t="s">
        <v>7529</v>
      </c>
      <c r="C572" s="136" t="s">
        <v>661</v>
      </c>
      <c r="D572" s="136" t="s">
        <v>467</v>
      </c>
      <c r="E572" s="136" t="s">
        <v>85</v>
      </c>
      <c r="F572" s="136">
        <v>155</v>
      </c>
      <c r="G572" s="137">
        <f t="shared" si="2"/>
        <v>3</v>
      </c>
      <c r="H572" s="137"/>
      <c r="I572" s="137"/>
      <c r="J572" s="135"/>
      <c r="K572" s="135"/>
      <c r="L572" s="135"/>
      <c r="M572" s="135"/>
      <c r="N572" s="135"/>
      <c r="O572" s="135"/>
      <c r="P572" s="135"/>
      <c r="Q572" s="135"/>
      <c r="R572" s="135"/>
      <c r="S572" s="135"/>
      <c r="T572" s="135"/>
      <c r="U572" s="135"/>
      <c r="V572" s="135"/>
      <c r="W572" s="135"/>
      <c r="X572" s="135"/>
      <c r="Y572" s="135"/>
      <c r="Z572" s="135"/>
    </row>
    <row r="573" spans="1:26" ht="12.75">
      <c r="A573" s="136" t="s">
        <v>8</v>
      </c>
      <c r="B573" s="136" t="s">
        <v>7529</v>
      </c>
      <c r="C573" s="136" t="s">
        <v>661</v>
      </c>
      <c r="D573" s="136" t="s">
        <v>107</v>
      </c>
      <c r="E573" s="136" t="s">
        <v>615</v>
      </c>
      <c r="F573" s="136">
        <v>120</v>
      </c>
      <c r="G573" s="137">
        <f t="shared" si="2"/>
        <v>4</v>
      </c>
      <c r="H573" s="137"/>
      <c r="I573" s="137"/>
      <c r="J573" s="135"/>
      <c r="K573" s="135"/>
      <c r="L573" s="135"/>
      <c r="M573" s="135"/>
      <c r="N573" s="135"/>
      <c r="O573" s="135"/>
      <c r="P573" s="135"/>
      <c r="Q573" s="135"/>
      <c r="R573" s="135"/>
      <c r="S573" s="135"/>
      <c r="T573" s="135"/>
      <c r="U573" s="135"/>
      <c r="V573" s="135"/>
      <c r="W573" s="135"/>
      <c r="X573" s="135"/>
      <c r="Y573" s="135"/>
      <c r="Z573" s="135"/>
    </row>
    <row r="574" spans="1:26" ht="12.75">
      <c r="A574" s="136" t="s">
        <v>8</v>
      </c>
      <c r="B574" s="136" t="s">
        <v>7529</v>
      </c>
      <c r="C574" s="136" t="s">
        <v>661</v>
      </c>
      <c r="D574" s="136" t="s">
        <v>136</v>
      </c>
      <c r="E574" s="136" t="s">
        <v>615</v>
      </c>
      <c r="F574" s="136">
        <v>110</v>
      </c>
      <c r="G574" s="137">
        <f t="shared" si="2"/>
        <v>5</v>
      </c>
      <c r="H574" s="137"/>
      <c r="I574" s="137"/>
      <c r="J574" s="135"/>
      <c r="K574" s="135"/>
      <c r="L574" s="135"/>
      <c r="M574" s="135"/>
      <c r="N574" s="135"/>
      <c r="O574" s="135"/>
      <c r="P574" s="135"/>
      <c r="Q574" s="135"/>
      <c r="R574" s="135"/>
      <c r="S574" s="135"/>
      <c r="T574" s="135"/>
      <c r="U574" s="135"/>
      <c r="V574" s="135"/>
      <c r="W574" s="135"/>
      <c r="X574" s="135"/>
      <c r="Y574" s="135"/>
      <c r="Z574" s="135"/>
    </row>
    <row r="575" spans="1:26" ht="12.75">
      <c r="A575" s="136" t="s">
        <v>8</v>
      </c>
      <c r="B575" s="136" t="s">
        <v>7529</v>
      </c>
      <c r="C575" s="136" t="s">
        <v>661</v>
      </c>
      <c r="D575" s="136" t="s">
        <v>7536</v>
      </c>
      <c r="E575" s="136" t="s">
        <v>86</v>
      </c>
      <c r="F575" s="136">
        <v>105</v>
      </c>
      <c r="G575" s="137">
        <f t="shared" si="2"/>
        <v>6</v>
      </c>
      <c r="H575" s="137"/>
      <c r="I575" s="137"/>
      <c r="J575" s="135"/>
      <c r="K575" s="135"/>
      <c r="L575" s="135"/>
      <c r="M575" s="135"/>
      <c r="N575" s="135"/>
      <c r="O575" s="135"/>
      <c r="P575" s="135"/>
      <c r="Q575" s="135"/>
      <c r="R575" s="135"/>
      <c r="S575" s="135"/>
      <c r="T575" s="135"/>
      <c r="U575" s="135"/>
      <c r="V575" s="135"/>
      <c r="W575" s="135"/>
      <c r="X575" s="135"/>
      <c r="Y575" s="135"/>
      <c r="Z575" s="135"/>
    </row>
    <row r="576" spans="1:26" ht="12.75">
      <c r="A576" s="136" t="s">
        <v>8</v>
      </c>
      <c r="B576" s="136" t="s">
        <v>7529</v>
      </c>
      <c r="C576" s="136" t="s">
        <v>661</v>
      </c>
      <c r="D576" s="136" t="s">
        <v>154</v>
      </c>
      <c r="E576" s="136" t="s">
        <v>615</v>
      </c>
      <c r="F576" s="136">
        <v>65</v>
      </c>
      <c r="G576" s="137">
        <f t="shared" si="2"/>
        <v>7</v>
      </c>
      <c r="H576" s="137"/>
      <c r="I576" s="137"/>
      <c r="J576" s="135"/>
      <c r="K576" s="135"/>
      <c r="L576" s="135"/>
      <c r="M576" s="135"/>
      <c r="N576" s="135"/>
      <c r="O576" s="135"/>
      <c r="P576" s="135"/>
      <c r="Q576" s="135"/>
      <c r="R576" s="135"/>
      <c r="S576" s="135"/>
      <c r="T576" s="135"/>
      <c r="U576" s="135"/>
      <c r="V576" s="135"/>
      <c r="W576" s="135"/>
      <c r="X576" s="135"/>
      <c r="Y576" s="135"/>
      <c r="Z576" s="135"/>
    </row>
    <row r="577" spans="1:26" ht="12.75">
      <c r="A577" s="136" t="s">
        <v>8</v>
      </c>
      <c r="B577" s="136" t="s">
        <v>7529</v>
      </c>
      <c r="C577" s="136" t="s">
        <v>661</v>
      </c>
      <c r="D577" s="136" t="s">
        <v>1665</v>
      </c>
      <c r="E577" s="136" t="s">
        <v>615</v>
      </c>
      <c r="F577" s="136">
        <v>60</v>
      </c>
      <c r="G577" s="137">
        <f t="shared" si="2"/>
        <v>8</v>
      </c>
      <c r="H577" s="137"/>
      <c r="I577" s="137"/>
      <c r="J577" s="135"/>
      <c r="K577" s="135"/>
      <c r="L577" s="135"/>
      <c r="M577" s="135"/>
      <c r="N577" s="135"/>
      <c r="O577" s="135"/>
      <c r="P577" s="135"/>
      <c r="Q577" s="135"/>
      <c r="R577" s="135"/>
      <c r="S577" s="135"/>
      <c r="T577" s="135"/>
      <c r="U577" s="135"/>
      <c r="V577" s="135"/>
      <c r="W577" s="135"/>
      <c r="X577" s="135"/>
      <c r="Y577" s="135"/>
      <c r="Z577" s="135"/>
    </row>
    <row r="578" spans="1:26" ht="12.75">
      <c r="A578" s="136" t="s">
        <v>8</v>
      </c>
      <c r="B578" s="136" t="s">
        <v>7529</v>
      </c>
      <c r="C578" s="136" t="s">
        <v>661</v>
      </c>
      <c r="D578" s="136" t="s">
        <v>7537</v>
      </c>
      <c r="E578" s="136" t="s">
        <v>86</v>
      </c>
      <c r="F578" s="136">
        <v>54</v>
      </c>
      <c r="G578" s="137">
        <f t="shared" si="2"/>
        <v>9</v>
      </c>
      <c r="H578" s="137"/>
      <c r="I578" s="137"/>
      <c r="J578" s="135"/>
      <c r="K578" s="135"/>
      <c r="L578" s="135"/>
      <c r="M578" s="135"/>
      <c r="N578" s="135"/>
      <c r="O578" s="135"/>
      <c r="P578" s="135"/>
      <c r="Q578" s="135"/>
      <c r="R578" s="135"/>
      <c r="S578" s="135"/>
      <c r="T578" s="135"/>
      <c r="U578" s="135"/>
      <c r="V578" s="135"/>
      <c r="W578" s="135"/>
      <c r="X578" s="135"/>
      <c r="Y578" s="135"/>
      <c r="Z578" s="135"/>
    </row>
    <row r="579" spans="1:26" ht="12.75">
      <c r="A579" s="136" t="s">
        <v>8</v>
      </c>
      <c r="B579" s="136" t="s">
        <v>7529</v>
      </c>
      <c r="C579" s="136" t="s">
        <v>661</v>
      </c>
      <c r="D579" s="136" t="s">
        <v>7531</v>
      </c>
      <c r="E579" s="136" t="s">
        <v>615</v>
      </c>
      <c r="F579" s="136">
        <v>40</v>
      </c>
      <c r="G579" s="137">
        <f t="shared" si="2"/>
        <v>10</v>
      </c>
      <c r="H579" s="137"/>
      <c r="I579" s="137"/>
      <c r="J579" s="135"/>
      <c r="K579" s="135"/>
      <c r="L579" s="135"/>
      <c r="M579" s="135"/>
      <c r="N579" s="135"/>
      <c r="O579" s="135"/>
      <c r="P579" s="135"/>
      <c r="Q579" s="135"/>
      <c r="R579" s="135"/>
      <c r="S579" s="135"/>
      <c r="T579" s="135"/>
      <c r="U579" s="135"/>
      <c r="V579" s="135"/>
      <c r="W579" s="135"/>
      <c r="X579" s="135"/>
      <c r="Y579" s="135"/>
      <c r="Z579" s="135"/>
    </row>
    <row r="580" spans="1:26" ht="12.75">
      <c r="A580" s="136" t="s">
        <v>8</v>
      </c>
      <c r="B580" s="136" t="s">
        <v>7529</v>
      </c>
      <c r="C580" s="136" t="s">
        <v>661</v>
      </c>
      <c r="D580" s="136" t="s">
        <v>165</v>
      </c>
      <c r="E580" s="136" t="s">
        <v>615</v>
      </c>
      <c r="F580" s="136">
        <v>35</v>
      </c>
      <c r="G580" s="137">
        <f t="shared" si="2"/>
        <v>11</v>
      </c>
      <c r="H580" s="137"/>
      <c r="I580" s="137"/>
      <c r="J580" s="135"/>
      <c r="K580" s="135"/>
      <c r="L580" s="135"/>
      <c r="M580" s="135"/>
      <c r="N580" s="135"/>
      <c r="O580" s="135"/>
      <c r="P580" s="135"/>
      <c r="Q580" s="135"/>
      <c r="R580" s="135"/>
      <c r="S580" s="135"/>
      <c r="T580" s="135"/>
      <c r="U580" s="135"/>
      <c r="V580" s="135"/>
      <c r="W580" s="135"/>
      <c r="X580" s="135"/>
      <c r="Y580" s="135"/>
      <c r="Z580" s="135"/>
    </row>
    <row r="581" spans="1:26" ht="12.75">
      <c r="A581" s="136" t="s">
        <v>8</v>
      </c>
      <c r="B581" s="136" t="s">
        <v>7529</v>
      </c>
      <c r="C581" s="136" t="s">
        <v>661</v>
      </c>
      <c r="D581" s="136" t="s">
        <v>7532</v>
      </c>
      <c r="E581" s="136" t="s">
        <v>615</v>
      </c>
      <c r="F581" s="136">
        <v>30</v>
      </c>
      <c r="G581" s="137">
        <f t="shared" si="2"/>
        <v>12</v>
      </c>
      <c r="H581" s="137"/>
      <c r="I581" s="137"/>
      <c r="J581" s="135"/>
      <c r="K581" s="135"/>
      <c r="L581" s="135"/>
      <c r="M581" s="135"/>
      <c r="N581" s="135"/>
      <c r="O581" s="135"/>
      <c r="P581" s="135"/>
      <c r="Q581" s="135"/>
      <c r="R581" s="135"/>
      <c r="S581" s="135"/>
      <c r="T581" s="135"/>
      <c r="U581" s="135"/>
      <c r="V581" s="135"/>
      <c r="W581" s="135"/>
      <c r="X581" s="135"/>
      <c r="Y581" s="135"/>
      <c r="Z581" s="135"/>
    </row>
    <row r="582" spans="1:26" ht="12.75">
      <c r="A582" s="136" t="s">
        <v>8</v>
      </c>
      <c r="B582" s="136" t="s">
        <v>7529</v>
      </c>
      <c r="C582" s="136" t="s">
        <v>661</v>
      </c>
      <c r="D582" s="136" t="s">
        <v>1669</v>
      </c>
      <c r="E582" s="136" t="s">
        <v>615</v>
      </c>
      <c r="F582" s="136">
        <v>15</v>
      </c>
      <c r="G582" s="137">
        <f t="shared" si="2"/>
        <v>13</v>
      </c>
      <c r="H582" s="137"/>
      <c r="I582" s="137"/>
      <c r="J582" s="135"/>
      <c r="K582" s="135"/>
      <c r="L582" s="135"/>
      <c r="M582" s="135"/>
      <c r="N582" s="135"/>
      <c r="O582" s="135"/>
      <c r="P582" s="135"/>
      <c r="Q582" s="135"/>
      <c r="R582" s="135"/>
      <c r="S582" s="135"/>
      <c r="T582" s="135"/>
      <c r="U582" s="135"/>
      <c r="V582" s="135"/>
      <c r="W582" s="135"/>
      <c r="X582" s="135"/>
      <c r="Y582" s="135"/>
      <c r="Z582" s="135"/>
    </row>
    <row r="583" spans="1:26" ht="12.75">
      <c r="A583" s="136" t="s">
        <v>8</v>
      </c>
      <c r="B583" s="136" t="s">
        <v>7529</v>
      </c>
      <c r="C583" s="136" t="s">
        <v>661</v>
      </c>
      <c r="D583" s="136" t="s">
        <v>120</v>
      </c>
      <c r="E583" s="136" t="s">
        <v>615</v>
      </c>
      <c r="F583" s="136">
        <v>10</v>
      </c>
      <c r="G583" s="137">
        <f t="shared" si="2"/>
        <v>14</v>
      </c>
      <c r="H583" s="137"/>
      <c r="I583" s="137"/>
      <c r="J583" s="135"/>
      <c r="K583" s="135"/>
      <c r="L583" s="135"/>
      <c r="M583" s="135"/>
      <c r="N583" s="135"/>
      <c r="O583" s="135"/>
      <c r="P583" s="135"/>
      <c r="Q583" s="135"/>
      <c r="R583" s="135"/>
      <c r="S583" s="135"/>
      <c r="T583" s="135"/>
      <c r="U583" s="135"/>
      <c r="V583" s="135"/>
      <c r="W583" s="135"/>
      <c r="X583" s="135"/>
      <c r="Y583" s="135"/>
      <c r="Z583" s="135"/>
    </row>
    <row r="584" spans="1:26" ht="12.75">
      <c r="A584" s="136" t="s">
        <v>8</v>
      </c>
      <c r="B584" s="136" t="s">
        <v>7529</v>
      </c>
      <c r="C584" s="136" t="s">
        <v>661</v>
      </c>
      <c r="D584" s="136" t="s">
        <v>225</v>
      </c>
      <c r="E584" s="136" t="s">
        <v>615</v>
      </c>
      <c r="F584" s="136">
        <v>10</v>
      </c>
      <c r="G584" s="137">
        <f t="shared" si="2"/>
        <v>15</v>
      </c>
      <c r="H584" s="137"/>
      <c r="I584" s="137"/>
      <c r="J584" s="135"/>
      <c r="K584" s="135"/>
      <c r="L584" s="135"/>
      <c r="M584" s="135"/>
      <c r="N584" s="135"/>
      <c r="O584" s="135"/>
      <c r="P584" s="135"/>
      <c r="Q584" s="135"/>
      <c r="R584" s="135"/>
      <c r="S584" s="135"/>
      <c r="T584" s="135"/>
      <c r="U584" s="135"/>
      <c r="V584" s="135"/>
      <c r="W584" s="135"/>
      <c r="X584" s="135"/>
      <c r="Y584" s="135"/>
      <c r="Z584" s="135"/>
    </row>
    <row r="585" spans="1:26" ht="12.75">
      <c r="A585" s="136" t="s">
        <v>8</v>
      </c>
      <c r="B585" s="136" t="s">
        <v>7529</v>
      </c>
      <c r="C585" s="136" t="s">
        <v>664</v>
      </c>
      <c r="D585" s="136" t="s">
        <v>139</v>
      </c>
      <c r="E585" s="136" t="s">
        <v>594</v>
      </c>
      <c r="F585" s="136">
        <v>685</v>
      </c>
      <c r="G585" s="137">
        <f t="shared" si="2"/>
        <v>1</v>
      </c>
      <c r="H585" s="137"/>
      <c r="I585" s="137"/>
      <c r="J585" s="135"/>
      <c r="K585" s="135"/>
      <c r="L585" s="135"/>
      <c r="M585" s="135"/>
      <c r="N585" s="135"/>
      <c r="O585" s="135"/>
      <c r="P585" s="135"/>
      <c r="Q585" s="135"/>
      <c r="R585" s="135"/>
      <c r="S585" s="135"/>
      <c r="T585" s="135"/>
      <c r="U585" s="135"/>
      <c r="V585" s="135"/>
      <c r="W585" s="135"/>
      <c r="X585" s="135"/>
      <c r="Y585" s="135"/>
      <c r="Z585" s="135"/>
    </row>
    <row r="586" spans="1:26" ht="12.75">
      <c r="A586" s="136" t="s">
        <v>8</v>
      </c>
      <c r="B586" s="136" t="s">
        <v>7529</v>
      </c>
      <c r="C586" s="136" t="s">
        <v>664</v>
      </c>
      <c r="D586" s="136" t="s">
        <v>7530</v>
      </c>
      <c r="E586" s="136" t="s">
        <v>85</v>
      </c>
      <c r="F586" s="136">
        <v>316</v>
      </c>
      <c r="G586" s="137">
        <f t="shared" si="2"/>
        <v>2</v>
      </c>
      <c r="H586" s="137"/>
      <c r="I586" s="137"/>
      <c r="J586" s="135"/>
      <c r="K586" s="135"/>
      <c r="L586" s="135"/>
      <c r="M586" s="135"/>
      <c r="N586" s="135"/>
      <c r="O586" s="135"/>
      <c r="P586" s="135"/>
      <c r="Q586" s="135"/>
      <c r="R586" s="135"/>
      <c r="S586" s="135"/>
      <c r="T586" s="135"/>
      <c r="U586" s="135"/>
      <c r="V586" s="135"/>
      <c r="W586" s="135"/>
      <c r="X586" s="135"/>
      <c r="Y586" s="135"/>
      <c r="Z586" s="135"/>
    </row>
    <row r="587" spans="1:26" ht="12.75">
      <c r="A587" s="136" t="s">
        <v>8</v>
      </c>
      <c r="B587" s="136" t="s">
        <v>7529</v>
      </c>
      <c r="C587" s="136" t="s">
        <v>664</v>
      </c>
      <c r="D587" s="136" t="s">
        <v>7536</v>
      </c>
      <c r="E587" s="136" t="s">
        <v>86</v>
      </c>
      <c r="F587" s="136">
        <v>300</v>
      </c>
      <c r="G587" s="137">
        <f t="shared" si="2"/>
        <v>3</v>
      </c>
      <c r="H587" s="137"/>
      <c r="I587" s="137"/>
      <c r="J587" s="135"/>
      <c r="K587" s="135"/>
      <c r="L587" s="135"/>
      <c r="M587" s="135"/>
      <c r="N587" s="135"/>
      <c r="O587" s="135"/>
      <c r="P587" s="135"/>
      <c r="Q587" s="135"/>
      <c r="R587" s="135"/>
      <c r="S587" s="135"/>
      <c r="T587" s="135"/>
      <c r="U587" s="135"/>
      <c r="V587" s="135"/>
      <c r="W587" s="135"/>
      <c r="X587" s="135"/>
      <c r="Y587" s="135"/>
      <c r="Z587" s="135"/>
    </row>
    <row r="588" spans="1:26" ht="12.75">
      <c r="A588" s="136" t="s">
        <v>8</v>
      </c>
      <c r="B588" s="136" t="s">
        <v>7529</v>
      </c>
      <c r="C588" s="136" t="s">
        <v>664</v>
      </c>
      <c r="D588" s="136" t="s">
        <v>7537</v>
      </c>
      <c r="E588" s="136" t="s">
        <v>86</v>
      </c>
      <c r="F588" s="136">
        <v>245</v>
      </c>
      <c r="G588" s="137">
        <f t="shared" si="2"/>
        <v>4</v>
      </c>
      <c r="H588" s="137"/>
      <c r="I588" s="137"/>
      <c r="J588" s="135"/>
      <c r="K588" s="135"/>
      <c r="L588" s="135"/>
      <c r="M588" s="135"/>
      <c r="N588" s="135"/>
      <c r="O588" s="135"/>
      <c r="P588" s="135"/>
      <c r="Q588" s="135"/>
      <c r="R588" s="135"/>
      <c r="S588" s="135"/>
      <c r="T588" s="135"/>
      <c r="U588" s="135"/>
      <c r="V588" s="135"/>
      <c r="W588" s="135"/>
      <c r="X588" s="135"/>
      <c r="Y588" s="135"/>
      <c r="Z588" s="135"/>
    </row>
    <row r="589" spans="1:26" ht="12.75">
      <c r="A589" s="136" t="s">
        <v>8</v>
      </c>
      <c r="B589" s="136" t="s">
        <v>7529</v>
      </c>
      <c r="C589" s="136" t="s">
        <v>664</v>
      </c>
      <c r="D589" s="136" t="s">
        <v>107</v>
      </c>
      <c r="E589" s="136" t="s">
        <v>615</v>
      </c>
      <c r="F589" s="136">
        <v>170</v>
      </c>
      <c r="G589" s="137">
        <f t="shared" si="2"/>
        <v>5</v>
      </c>
      <c r="H589" s="137"/>
      <c r="I589" s="137"/>
      <c r="J589" s="135"/>
      <c r="K589" s="135"/>
      <c r="L589" s="135"/>
      <c r="M589" s="135"/>
      <c r="N589" s="135"/>
      <c r="O589" s="135"/>
      <c r="P589" s="135"/>
      <c r="Q589" s="135"/>
      <c r="R589" s="135"/>
      <c r="S589" s="135"/>
      <c r="T589" s="135"/>
      <c r="U589" s="135"/>
      <c r="V589" s="135"/>
      <c r="W589" s="135"/>
      <c r="X589" s="135"/>
      <c r="Y589" s="135"/>
      <c r="Z589" s="135"/>
    </row>
    <row r="590" spans="1:26" ht="12.75">
      <c r="A590" s="136" t="s">
        <v>8</v>
      </c>
      <c r="B590" s="136" t="s">
        <v>7529</v>
      </c>
      <c r="C590" s="136" t="s">
        <v>664</v>
      </c>
      <c r="D590" s="136" t="s">
        <v>1665</v>
      </c>
      <c r="E590" s="136" t="s">
        <v>615</v>
      </c>
      <c r="F590" s="136">
        <v>105</v>
      </c>
      <c r="G590" s="137">
        <f t="shared" si="2"/>
        <v>6</v>
      </c>
      <c r="H590" s="137"/>
      <c r="I590" s="137"/>
      <c r="J590" s="135"/>
      <c r="K590" s="135"/>
      <c r="L590" s="135"/>
      <c r="M590" s="135"/>
      <c r="N590" s="135"/>
      <c r="O590" s="135"/>
      <c r="P590" s="135"/>
      <c r="Q590" s="135"/>
      <c r="R590" s="135"/>
      <c r="S590" s="135"/>
      <c r="T590" s="135"/>
      <c r="U590" s="135"/>
      <c r="V590" s="135"/>
      <c r="W590" s="135"/>
      <c r="X590" s="135"/>
      <c r="Y590" s="135"/>
      <c r="Z590" s="135"/>
    </row>
    <row r="591" spans="1:26" ht="12.75">
      <c r="A591" s="136" t="s">
        <v>8</v>
      </c>
      <c r="B591" s="136" t="s">
        <v>7529</v>
      </c>
      <c r="C591" s="136" t="s">
        <v>664</v>
      </c>
      <c r="D591" s="136" t="s">
        <v>467</v>
      </c>
      <c r="E591" s="136" t="s">
        <v>85</v>
      </c>
      <c r="F591" s="136">
        <v>90</v>
      </c>
      <c r="G591" s="137">
        <f t="shared" si="2"/>
        <v>7</v>
      </c>
      <c r="H591" s="137"/>
      <c r="I591" s="137"/>
      <c r="J591" s="135"/>
      <c r="K591" s="135"/>
      <c r="L591" s="135"/>
      <c r="M591" s="135"/>
      <c r="N591" s="135"/>
      <c r="O591" s="135"/>
      <c r="P591" s="135"/>
      <c r="Q591" s="135"/>
      <c r="R591" s="135"/>
      <c r="S591" s="135"/>
      <c r="T591" s="135"/>
      <c r="U591" s="135"/>
      <c r="V591" s="135"/>
      <c r="W591" s="135"/>
      <c r="X591" s="135"/>
      <c r="Y591" s="135"/>
      <c r="Z591" s="135"/>
    </row>
    <row r="592" spans="1:26" ht="12.75">
      <c r="A592" s="136" t="s">
        <v>8</v>
      </c>
      <c r="B592" s="136" t="s">
        <v>7529</v>
      </c>
      <c r="C592" s="136" t="s">
        <v>664</v>
      </c>
      <c r="D592" s="136" t="s">
        <v>7531</v>
      </c>
      <c r="E592" s="136" t="s">
        <v>615</v>
      </c>
      <c r="F592" s="136">
        <v>85</v>
      </c>
      <c r="G592" s="137">
        <f t="shared" si="2"/>
        <v>8</v>
      </c>
      <c r="H592" s="137"/>
      <c r="I592" s="137"/>
      <c r="J592" s="135"/>
      <c r="K592" s="135"/>
      <c r="L592" s="135"/>
      <c r="M592" s="135"/>
      <c r="N592" s="135"/>
      <c r="O592" s="135"/>
      <c r="P592" s="135"/>
      <c r="Q592" s="135"/>
      <c r="R592" s="135"/>
      <c r="S592" s="135"/>
      <c r="T592" s="135"/>
      <c r="U592" s="135"/>
      <c r="V592" s="135"/>
      <c r="W592" s="135"/>
      <c r="X592" s="135"/>
      <c r="Y592" s="135"/>
      <c r="Z592" s="135"/>
    </row>
    <row r="593" spans="1:26" ht="12.75">
      <c r="A593" s="136" t="s">
        <v>8</v>
      </c>
      <c r="B593" s="136" t="s">
        <v>7529</v>
      </c>
      <c r="C593" s="136" t="s">
        <v>664</v>
      </c>
      <c r="D593" s="136" t="s">
        <v>136</v>
      </c>
      <c r="E593" s="136" t="s">
        <v>615</v>
      </c>
      <c r="F593" s="136">
        <v>80</v>
      </c>
      <c r="G593" s="137">
        <f t="shared" si="2"/>
        <v>9</v>
      </c>
      <c r="H593" s="137"/>
      <c r="I593" s="137"/>
      <c r="J593" s="135"/>
      <c r="K593" s="135"/>
      <c r="L593" s="135"/>
      <c r="M593" s="135"/>
      <c r="N593" s="135"/>
      <c r="O593" s="135"/>
      <c r="P593" s="135"/>
      <c r="Q593" s="135"/>
      <c r="R593" s="135"/>
      <c r="S593" s="135"/>
      <c r="T593" s="135"/>
      <c r="U593" s="135"/>
      <c r="V593" s="135"/>
      <c r="W593" s="135"/>
      <c r="X593" s="135"/>
      <c r="Y593" s="135"/>
      <c r="Z593" s="135"/>
    </row>
    <row r="594" spans="1:26" ht="12.75">
      <c r="A594" s="136" t="s">
        <v>8</v>
      </c>
      <c r="B594" s="136" t="s">
        <v>7529</v>
      </c>
      <c r="C594" s="136" t="s">
        <v>664</v>
      </c>
      <c r="D594" s="136" t="s">
        <v>165</v>
      </c>
      <c r="E594" s="136" t="s">
        <v>615</v>
      </c>
      <c r="F594" s="136">
        <v>65</v>
      </c>
      <c r="G594" s="137">
        <f t="shared" si="2"/>
        <v>10</v>
      </c>
      <c r="H594" s="137"/>
      <c r="I594" s="137"/>
      <c r="J594" s="135"/>
      <c r="K594" s="135"/>
      <c r="L594" s="135"/>
      <c r="M594" s="135"/>
      <c r="N594" s="135"/>
      <c r="O594" s="135"/>
      <c r="P594" s="135"/>
      <c r="Q594" s="135"/>
      <c r="R594" s="135"/>
      <c r="S594" s="135"/>
      <c r="T594" s="135"/>
      <c r="U594" s="135"/>
      <c r="V594" s="135"/>
      <c r="W594" s="135"/>
      <c r="X594" s="135"/>
      <c r="Y594" s="135"/>
      <c r="Z594" s="135"/>
    </row>
    <row r="595" spans="1:26" ht="12.75">
      <c r="A595" s="136" t="s">
        <v>8</v>
      </c>
      <c r="B595" s="136" t="s">
        <v>7529</v>
      </c>
      <c r="C595" s="136" t="s">
        <v>664</v>
      </c>
      <c r="D595" s="136" t="s">
        <v>7533</v>
      </c>
      <c r="E595" s="136" t="s">
        <v>594</v>
      </c>
      <c r="F595" s="136">
        <v>60</v>
      </c>
      <c r="G595" s="137">
        <f t="shared" si="2"/>
        <v>11</v>
      </c>
      <c r="H595" s="137"/>
      <c r="I595" s="137"/>
      <c r="J595" s="135"/>
      <c r="K595" s="135"/>
      <c r="L595" s="135"/>
      <c r="M595" s="135"/>
      <c r="N595" s="135"/>
      <c r="O595" s="135"/>
      <c r="P595" s="135"/>
      <c r="Q595" s="135"/>
      <c r="R595" s="135"/>
      <c r="S595" s="135"/>
      <c r="T595" s="135"/>
      <c r="U595" s="135"/>
      <c r="V595" s="135"/>
      <c r="W595" s="135"/>
      <c r="X595" s="135"/>
      <c r="Y595" s="135"/>
      <c r="Z595" s="135"/>
    </row>
    <row r="596" spans="1:26" ht="12.75">
      <c r="A596" s="136" t="s">
        <v>8</v>
      </c>
      <c r="B596" s="136" t="s">
        <v>7529</v>
      </c>
      <c r="C596" s="136" t="s">
        <v>664</v>
      </c>
      <c r="D596" s="136" t="s">
        <v>154</v>
      </c>
      <c r="E596" s="136" t="s">
        <v>615</v>
      </c>
      <c r="F596" s="136">
        <v>60</v>
      </c>
      <c r="G596" s="137">
        <f t="shared" si="2"/>
        <v>12</v>
      </c>
      <c r="H596" s="137"/>
      <c r="I596" s="137"/>
      <c r="J596" s="135"/>
      <c r="K596" s="135"/>
      <c r="L596" s="135"/>
      <c r="M596" s="135"/>
      <c r="N596" s="135"/>
      <c r="O596" s="135"/>
      <c r="P596" s="135"/>
      <c r="Q596" s="135"/>
      <c r="R596" s="135"/>
      <c r="S596" s="135"/>
      <c r="T596" s="135"/>
      <c r="U596" s="135"/>
      <c r="V596" s="135"/>
      <c r="W596" s="135"/>
      <c r="X596" s="135"/>
      <c r="Y596" s="135"/>
      <c r="Z596" s="135"/>
    </row>
    <row r="597" spans="1:26" ht="12.75">
      <c r="A597" s="136" t="s">
        <v>8</v>
      </c>
      <c r="B597" s="136" t="s">
        <v>7529</v>
      </c>
      <c r="C597" s="136" t="s">
        <v>664</v>
      </c>
      <c r="D597" s="136" t="s">
        <v>120</v>
      </c>
      <c r="E597" s="136" t="s">
        <v>615</v>
      </c>
      <c r="F597" s="136">
        <v>50</v>
      </c>
      <c r="G597" s="137">
        <f t="shared" si="2"/>
        <v>13</v>
      </c>
      <c r="H597" s="137"/>
      <c r="I597" s="137"/>
      <c r="J597" s="135"/>
      <c r="K597" s="135"/>
      <c r="L597" s="135"/>
      <c r="M597" s="135"/>
      <c r="N597" s="135"/>
      <c r="O597" s="135"/>
      <c r="P597" s="135"/>
      <c r="Q597" s="135"/>
      <c r="R597" s="135"/>
      <c r="S597" s="135"/>
      <c r="T597" s="135"/>
      <c r="U597" s="135"/>
      <c r="V597" s="135"/>
      <c r="W597" s="135"/>
      <c r="X597" s="135"/>
      <c r="Y597" s="135"/>
      <c r="Z597" s="135"/>
    </row>
    <row r="598" spans="1:26" ht="12.75">
      <c r="A598" s="136" t="s">
        <v>8</v>
      </c>
      <c r="B598" s="136" t="s">
        <v>7529</v>
      </c>
      <c r="C598" s="136" t="s">
        <v>664</v>
      </c>
      <c r="D598" s="136" t="s">
        <v>7491</v>
      </c>
      <c r="E598" s="136" t="s">
        <v>615</v>
      </c>
      <c r="F598" s="136">
        <v>30</v>
      </c>
      <c r="G598" s="137">
        <f t="shared" si="2"/>
        <v>14</v>
      </c>
      <c r="H598" s="137"/>
      <c r="I598" s="137"/>
      <c r="J598" s="135"/>
      <c r="K598" s="135"/>
      <c r="L598" s="135"/>
      <c r="M598" s="135"/>
      <c r="N598" s="135"/>
      <c r="O598" s="135"/>
      <c r="P598" s="135"/>
      <c r="Q598" s="135"/>
      <c r="R598" s="135"/>
      <c r="S598" s="135"/>
      <c r="T598" s="135"/>
      <c r="U598" s="135"/>
      <c r="V598" s="135"/>
      <c r="W598" s="135"/>
      <c r="X598" s="135"/>
      <c r="Y598" s="135"/>
      <c r="Z598" s="135"/>
    </row>
    <row r="599" spans="1:26" ht="12.75">
      <c r="A599" s="136" t="s">
        <v>8</v>
      </c>
      <c r="B599" s="136" t="s">
        <v>7529</v>
      </c>
      <c r="C599" s="136" t="s">
        <v>664</v>
      </c>
      <c r="D599" s="136" t="s">
        <v>368</v>
      </c>
      <c r="E599" s="136" t="s">
        <v>594</v>
      </c>
      <c r="F599" s="136">
        <v>30</v>
      </c>
      <c r="G599" s="137">
        <f t="shared" si="2"/>
        <v>15</v>
      </c>
      <c r="H599" s="137"/>
      <c r="I599" s="137"/>
      <c r="J599" s="135"/>
      <c r="K599" s="135"/>
      <c r="L599" s="135"/>
      <c r="M599" s="135"/>
      <c r="N599" s="135"/>
      <c r="O599" s="135"/>
      <c r="P599" s="135"/>
      <c r="Q599" s="135"/>
      <c r="R599" s="135"/>
      <c r="S599" s="135"/>
      <c r="T599" s="135"/>
      <c r="U599" s="135"/>
      <c r="V599" s="135"/>
      <c r="W599" s="135"/>
      <c r="X599" s="135"/>
      <c r="Y599" s="135"/>
      <c r="Z599" s="135"/>
    </row>
    <row r="600" spans="1:26" ht="12.75">
      <c r="A600" s="136" t="s">
        <v>8</v>
      </c>
      <c r="B600" s="136" t="s">
        <v>7529</v>
      </c>
      <c r="C600" s="136" t="s">
        <v>664</v>
      </c>
      <c r="D600" s="136" t="s">
        <v>225</v>
      </c>
      <c r="E600" s="136" t="s">
        <v>615</v>
      </c>
      <c r="F600" s="136">
        <v>25</v>
      </c>
      <c r="G600" s="137">
        <f t="shared" si="2"/>
        <v>16</v>
      </c>
      <c r="H600" s="137"/>
      <c r="I600" s="137"/>
      <c r="J600" s="135"/>
      <c r="K600" s="135"/>
      <c r="L600" s="135"/>
      <c r="M600" s="135"/>
      <c r="N600" s="135"/>
      <c r="O600" s="135"/>
      <c r="P600" s="135"/>
      <c r="Q600" s="135"/>
      <c r="R600" s="135"/>
      <c r="S600" s="135"/>
      <c r="T600" s="135"/>
      <c r="U600" s="135"/>
      <c r="V600" s="135"/>
      <c r="W600" s="135"/>
      <c r="X600" s="135"/>
      <c r="Y600" s="135"/>
      <c r="Z600" s="135"/>
    </row>
    <row r="601" spans="1:26" ht="12.75">
      <c r="A601" s="136" t="s">
        <v>8</v>
      </c>
      <c r="B601" s="136" t="s">
        <v>7529</v>
      </c>
      <c r="C601" s="136" t="s">
        <v>664</v>
      </c>
      <c r="D601" s="136" t="s">
        <v>7532</v>
      </c>
      <c r="E601" s="136" t="s">
        <v>615</v>
      </c>
      <c r="F601" s="136">
        <v>20</v>
      </c>
      <c r="G601" s="137">
        <f t="shared" si="2"/>
        <v>17</v>
      </c>
      <c r="H601" s="137"/>
      <c r="I601" s="137"/>
      <c r="J601" s="135"/>
      <c r="K601" s="135"/>
      <c r="L601" s="135"/>
      <c r="M601" s="135"/>
      <c r="N601" s="135"/>
      <c r="O601" s="135"/>
      <c r="P601" s="135"/>
      <c r="Q601" s="135"/>
      <c r="R601" s="135"/>
      <c r="S601" s="135"/>
      <c r="T601" s="135"/>
      <c r="U601" s="135"/>
      <c r="V601" s="135"/>
      <c r="W601" s="135"/>
      <c r="X601" s="135"/>
      <c r="Y601" s="135"/>
      <c r="Z601" s="135"/>
    </row>
    <row r="602" spans="1:26" ht="12.75">
      <c r="A602" s="136" t="s">
        <v>8</v>
      </c>
      <c r="B602" s="136" t="s">
        <v>7529</v>
      </c>
      <c r="C602" s="136" t="s">
        <v>664</v>
      </c>
      <c r="D602" s="136" t="s">
        <v>1669</v>
      </c>
      <c r="E602" s="136" t="s">
        <v>615</v>
      </c>
      <c r="F602" s="136">
        <v>15</v>
      </c>
      <c r="G602" s="137">
        <f t="shared" si="2"/>
        <v>18</v>
      </c>
      <c r="H602" s="137"/>
      <c r="I602" s="137"/>
      <c r="J602" s="135"/>
      <c r="K602" s="135"/>
      <c r="L602" s="135"/>
      <c r="M602" s="135"/>
      <c r="N602" s="135"/>
      <c r="O602" s="135"/>
      <c r="P602" s="135"/>
      <c r="Q602" s="135"/>
      <c r="R602" s="135"/>
      <c r="S602" s="135"/>
      <c r="T602" s="135"/>
      <c r="U602" s="135"/>
      <c r="V602" s="135"/>
      <c r="W602" s="135"/>
      <c r="X602" s="135"/>
      <c r="Y602" s="135"/>
      <c r="Z602" s="135"/>
    </row>
    <row r="603" spans="1:26" ht="12.75">
      <c r="A603" s="136" t="s">
        <v>8</v>
      </c>
      <c r="B603" s="136" t="s">
        <v>7529</v>
      </c>
      <c r="C603" s="136" t="s">
        <v>664</v>
      </c>
      <c r="D603" s="136" t="s">
        <v>1626</v>
      </c>
      <c r="E603" s="136" t="s">
        <v>594</v>
      </c>
      <c r="F603" s="136">
        <v>10</v>
      </c>
      <c r="G603" s="137">
        <f t="shared" si="2"/>
        <v>19</v>
      </c>
      <c r="H603" s="137"/>
      <c r="I603" s="137"/>
      <c r="J603" s="135"/>
      <c r="K603" s="135"/>
      <c r="L603" s="135"/>
      <c r="M603" s="135"/>
      <c r="N603" s="135"/>
      <c r="O603" s="135"/>
      <c r="P603" s="135"/>
      <c r="Q603" s="135"/>
      <c r="R603" s="135"/>
      <c r="S603" s="135"/>
      <c r="T603" s="135"/>
      <c r="U603" s="135"/>
      <c r="V603" s="135"/>
      <c r="W603" s="135"/>
      <c r="X603" s="135"/>
      <c r="Y603" s="135"/>
      <c r="Z603" s="135"/>
    </row>
    <row r="604" spans="1:26" ht="12.75">
      <c r="A604" s="136" t="s">
        <v>8</v>
      </c>
      <c r="B604" s="136" t="s">
        <v>7529</v>
      </c>
      <c r="C604" s="136" t="s">
        <v>7538</v>
      </c>
      <c r="D604" s="136" t="s">
        <v>139</v>
      </c>
      <c r="E604" s="136" t="s">
        <v>594</v>
      </c>
      <c r="F604" s="136">
        <v>915</v>
      </c>
      <c r="G604" s="137">
        <f t="shared" si="2"/>
        <v>1</v>
      </c>
      <c r="H604" s="137"/>
      <c r="I604" s="137"/>
      <c r="J604" s="135"/>
      <c r="K604" s="135"/>
      <c r="L604" s="135"/>
      <c r="M604" s="135"/>
      <c r="N604" s="135"/>
      <c r="O604" s="135"/>
      <c r="P604" s="135"/>
      <c r="Q604" s="135"/>
      <c r="R604" s="135"/>
      <c r="S604" s="135"/>
      <c r="T604" s="135"/>
      <c r="U604" s="135"/>
      <c r="V604" s="135"/>
      <c r="W604" s="135"/>
      <c r="X604" s="135"/>
      <c r="Y604" s="135"/>
      <c r="Z604" s="135"/>
    </row>
    <row r="605" spans="1:26" ht="12.75">
      <c r="A605" s="136" t="s">
        <v>8</v>
      </c>
      <c r="B605" s="136" t="s">
        <v>7529</v>
      </c>
      <c r="C605" s="136" t="s">
        <v>7538</v>
      </c>
      <c r="D605" s="136" t="s">
        <v>7530</v>
      </c>
      <c r="E605" s="136" t="s">
        <v>85</v>
      </c>
      <c r="F605" s="136">
        <v>305</v>
      </c>
      <c r="G605" s="137">
        <f t="shared" si="2"/>
        <v>2</v>
      </c>
      <c r="H605" s="137"/>
      <c r="I605" s="137"/>
      <c r="J605" s="135"/>
      <c r="K605" s="135"/>
      <c r="L605" s="135"/>
      <c r="M605" s="135"/>
      <c r="N605" s="135"/>
      <c r="O605" s="135"/>
      <c r="P605" s="135"/>
      <c r="Q605" s="135"/>
      <c r="R605" s="135"/>
      <c r="S605" s="135"/>
      <c r="T605" s="135"/>
      <c r="U605" s="135"/>
      <c r="V605" s="135"/>
      <c r="W605" s="135"/>
      <c r="X605" s="135"/>
      <c r="Y605" s="135"/>
      <c r="Z605" s="135"/>
    </row>
    <row r="606" spans="1:26" ht="12.75">
      <c r="A606" s="136" t="s">
        <v>8</v>
      </c>
      <c r="B606" s="136" t="s">
        <v>7529</v>
      </c>
      <c r="C606" s="136" t="s">
        <v>7538</v>
      </c>
      <c r="D606" s="136" t="s">
        <v>136</v>
      </c>
      <c r="E606" s="136" t="s">
        <v>615</v>
      </c>
      <c r="F606" s="136">
        <v>180</v>
      </c>
      <c r="G606" s="137">
        <f t="shared" si="2"/>
        <v>3</v>
      </c>
      <c r="H606" s="137"/>
      <c r="I606" s="137"/>
      <c r="J606" s="135"/>
      <c r="K606" s="135"/>
      <c r="L606" s="135"/>
      <c r="M606" s="135"/>
      <c r="N606" s="135"/>
      <c r="O606" s="135"/>
      <c r="P606" s="135"/>
      <c r="Q606" s="135"/>
      <c r="R606" s="135"/>
      <c r="S606" s="135"/>
      <c r="T606" s="135"/>
      <c r="U606" s="135"/>
      <c r="V606" s="135"/>
      <c r="W606" s="135"/>
      <c r="X606" s="135"/>
      <c r="Y606" s="135"/>
      <c r="Z606" s="135"/>
    </row>
    <row r="607" spans="1:26" ht="12.75">
      <c r="A607" s="136" t="s">
        <v>8</v>
      </c>
      <c r="B607" s="136" t="s">
        <v>7529</v>
      </c>
      <c r="C607" s="136" t="s">
        <v>7538</v>
      </c>
      <c r="D607" s="136" t="s">
        <v>107</v>
      </c>
      <c r="E607" s="136" t="s">
        <v>615</v>
      </c>
      <c r="F607" s="136">
        <v>175</v>
      </c>
      <c r="G607" s="137">
        <f t="shared" si="2"/>
        <v>4</v>
      </c>
      <c r="H607" s="137"/>
      <c r="I607" s="137"/>
      <c r="J607" s="135"/>
      <c r="K607" s="135"/>
      <c r="L607" s="135"/>
      <c r="M607" s="135"/>
      <c r="N607" s="135"/>
      <c r="O607" s="135"/>
      <c r="P607" s="135"/>
      <c r="Q607" s="135"/>
      <c r="R607" s="135"/>
      <c r="S607" s="135"/>
      <c r="T607" s="135"/>
      <c r="U607" s="135"/>
      <c r="V607" s="135"/>
      <c r="W607" s="135"/>
      <c r="X607" s="135"/>
      <c r="Y607" s="135"/>
      <c r="Z607" s="135"/>
    </row>
    <row r="608" spans="1:26" ht="12.75">
      <c r="A608" s="136" t="s">
        <v>8</v>
      </c>
      <c r="B608" s="136" t="s">
        <v>7529</v>
      </c>
      <c r="C608" s="136" t="s">
        <v>7538</v>
      </c>
      <c r="D608" s="136" t="s">
        <v>467</v>
      </c>
      <c r="E608" s="136" t="s">
        <v>85</v>
      </c>
      <c r="F608" s="136">
        <v>164</v>
      </c>
      <c r="G608" s="137">
        <f t="shared" si="2"/>
        <v>5</v>
      </c>
      <c r="H608" s="137"/>
      <c r="I608" s="137"/>
      <c r="J608" s="135"/>
      <c r="K608" s="135"/>
      <c r="L608" s="135"/>
      <c r="M608" s="135"/>
      <c r="N608" s="135"/>
      <c r="O608" s="135"/>
      <c r="P608" s="135"/>
      <c r="Q608" s="135"/>
      <c r="R608" s="135"/>
      <c r="S608" s="135"/>
      <c r="T608" s="135"/>
      <c r="U608" s="135"/>
      <c r="V608" s="135"/>
      <c r="W608" s="135"/>
      <c r="X608" s="135"/>
      <c r="Y608" s="135"/>
      <c r="Z608" s="135"/>
    </row>
    <row r="609" spans="1:26" ht="12.75">
      <c r="A609" s="136" t="s">
        <v>8</v>
      </c>
      <c r="B609" s="136" t="s">
        <v>7529</v>
      </c>
      <c r="C609" s="136" t="s">
        <v>7538</v>
      </c>
      <c r="D609" s="136" t="s">
        <v>154</v>
      </c>
      <c r="E609" s="136" t="s">
        <v>615</v>
      </c>
      <c r="F609" s="136">
        <v>130</v>
      </c>
      <c r="G609" s="137">
        <f t="shared" si="2"/>
        <v>6</v>
      </c>
      <c r="H609" s="137"/>
      <c r="I609" s="137"/>
      <c r="J609" s="135"/>
      <c r="K609" s="135"/>
      <c r="L609" s="135"/>
      <c r="M609" s="135"/>
      <c r="N609" s="135"/>
      <c r="O609" s="135"/>
      <c r="P609" s="135"/>
      <c r="Q609" s="135"/>
      <c r="R609" s="135"/>
      <c r="S609" s="135"/>
      <c r="T609" s="135"/>
      <c r="U609" s="135"/>
      <c r="V609" s="135"/>
      <c r="W609" s="135"/>
      <c r="X609" s="135"/>
      <c r="Y609" s="135"/>
      <c r="Z609" s="135"/>
    </row>
    <row r="610" spans="1:26" ht="12.75">
      <c r="A610" s="136" t="s">
        <v>8</v>
      </c>
      <c r="B610" s="136" t="s">
        <v>7529</v>
      </c>
      <c r="C610" s="136" t="s">
        <v>7538</v>
      </c>
      <c r="D610" s="136" t="s">
        <v>7531</v>
      </c>
      <c r="E610" s="136" t="s">
        <v>615</v>
      </c>
      <c r="F610" s="136">
        <v>125</v>
      </c>
      <c r="G610" s="137">
        <f t="shared" si="2"/>
        <v>7</v>
      </c>
      <c r="H610" s="137"/>
      <c r="I610" s="137"/>
      <c r="J610" s="135"/>
      <c r="K610" s="135"/>
      <c r="L610" s="135"/>
      <c r="M610" s="135"/>
      <c r="N610" s="135"/>
      <c r="O610" s="135"/>
      <c r="P610" s="135"/>
      <c r="Q610" s="135"/>
      <c r="R610" s="135"/>
      <c r="S610" s="135"/>
      <c r="T610" s="135"/>
      <c r="U610" s="135"/>
      <c r="V610" s="135"/>
      <c r="W610" s="135"/>
      <c r="X610" s="135"/>
      <c r="Y610" s="135"/>
      <c r="Z610" s="135"/>
    </row>
    <row r="611" spans="1:26" ht="12.75">
      <c r="A611" s="136" t="s">
        <v>8</v>
      </c>
      <c r="B611" s="136" t="s">
        <v>7529</v>
      </c>
      <c r="C611" s="136" t="s">
        <v>7538</v>
      </c>
      <c r="D611" s="136" t="s">
        <v>7536</v>
      </c>
      <c r="E611" s="136" t="s">
        <v>86</v>
      </c>
      <c r="F611" s="136">
        <v>123</v>
      </c>
      <c r="G611" s="137">
        <f t="shared" si="2"/>
        <v>8</v>
      </c>
      <c r="H611" s="137"/>
      <c r="I611" s="137"/>
      <c r="J611" s="135"/>
      <c r="K611" s="135"/>
      <c r="L611" s="135"/>
      <c r="M611" s="135"/>
      <c r="N611" s="135"/>
      <c r="O611" s="135"/>
      <c r="P611" s="135"/>
      <c r="Q611" s="135"/>
      <c r="R611" s="135"/>
      <c r="S611" s="135"/>
      <c r="T611" s="135"/>
      <c r="U611" s="135"/>
      <c r="V611" s="135"/>
      <c r="W611" s="135"/>
      <c r="X611" s="135"/>
      <c r="Y611" s="135"/>
      <c r="Z611" s="135"/>
    </row>
    <row r="612" spans="1:26" ht="12.75">
      <c r="A612" s="136" t="s">
        <v>8</v>
      </c>
      <c r="B612" s="136" t="s">
        <v>7529</v>
      </c>
      <c r="C612" s="136" t="s">
        <v>7538</v>
      </c>
      <c r="D612" s="136" t="s">
        <v>165</v>
      </c>
      <c r="E612" s="136" t="s">
        <v>615</v>
      </c>
      <c r="F612" s="136">
        <v>90</v>
      </c>
      <c r="G612" s="137">
        <f t="shared" si="2"/>
        <v>9</v>
      </c>
      <c r="H612" s="137"/>
      <c r="I612" s="137"/>
      <c r="J612" s="135"/>
      <c r="K612" s="135"/>
      <c r="L612" s="135"/>
      <c r="M612" s="135"/>
      <c r="N612" s="135"/>
      <c r="O612" s="135"/>
      <c r="P612" s="135"/>
      <c r="Q612" s="135"/>
      <c r="R612" s="135"/>
      <c r="S612" s="135"/>
      <c r="T612" s="135"/>
      <c r="U612" s="135"/>
      <c r="V612" s="135"/>
      <c r="W612" s="135"/>
      <c r="X612" s="135"/>
      <c r="Y612" s="135"/>
      <c r="Z612" s="135"/>
    </row>
    <row r="613" spans="1:26" ht="12.75">
      <c r="A613" s="136" t="s">
        <v>8</v>
      </c>
      <c r="B613" s="136" t="s">
        <v>7529</v>
      </c>
      <c r="C613" s="136" t="s">
        <v>7538</v>
      </c>
      <c r="D613" s="136" t="s">
        <v>7537</v>
      </c>
      <c r="E613" s="136" t="s">
        <v>86</v>
      </c>
      <c r="F613" s="136">
        <v>87</v>
      </c>
      <c r="G613" s="137">
        <f t="shared" si="2"/>
        <v>10</v>
      </c>
      <c r="H613" s="137"/>
      <c r="I613" s="137"/>
      <c r="J613" s="135"/>
      <c r="K613" s="135"/>
      <c r="L613" s="135"/>
      <c r="M613" s="135"/>
      <c r="N613" s="135"/>
      <c r="O613" s="135"/>
      <c r="P613" s="135"/>
      <c r="Q613" s="135"/>
      <c r="R613" s="135"/>
      <c r="S613" s="135"/>
      <c r="T613" s="135"/>
      <c r="U613" s="135"/>
      <c r="V613" s="135"/>
      <c r="W613" s="135"/>
      <c r="X613" s="135"/>
      <c r="Y613" s="135"/>
      <c r="Z613" s="135"/>
    </row>
    <row r="614" spans="1:26" ht="12.75">
      <c r="A614" s="136" t="s">
        <v>8</v>
      </c>
      <c r="B614" s="136" t="s">
        <v>7529</v>
      </c>
      <c r="C614" s="136" t="s">
        <v>7538</v>
      </c>
      <c r="D614" s="136" t="s">
        <v>1665</v>
      </c>
      <c r="E614" s="136" t="s">
        <v>615</v>
      </c>
      <c r="F614" s="136">
        <v>65</v>
      </c>
      <c r="G614" s="137">
        <f t="shared" si="2"/>
        <v>11</v>
      </c>
      <c r="H614" s="137"/>
      <c r="I614" s="137"/>
      <c r="J614" s="135"/>
      <c r="K614" s="135"/>
      <c r="L614" s="135"/>
      <c r="M614" s="135"/>
      <c r="N614" s="135"/>
      <c r="O614" s="135"/>
      <c r="P614" s="135"/>
      <c r="Q614" s="135"/>
      <c r="R614" s="135"/>
      <c r="S614" s="135"/>
      <c r="T614" s="135"/>
      <c r="U614" s="135"/>
      <c r="V614" s="135"/>
      <c r="W614" s="135"/>
      <c r="X614" s="135"/>
      <c r="Y614" s="135"/>
      <c r="Z614" s="135"/>
    </row>
    <row r="615" spans="1:26" ht="12.75">
      <c r="A615" s="136" t="s">
        <v>8</v>
      </c>
      <c r="B615" s="136" t="s">
        <v>7529</v>
      </c>
      <c r="C615" s="136" t="s">
        <v>7538</v>
      </c>
      <c r="D615" s="136" t="s">
        <v>1669</v>
      </c>
      <c r="E615" s="136" t="s">
        <v>615</v>
      </c>
      <c r="F615" s="136">
        <v>50</v>
      </c>
      <c r="G615" s="137">
        <f t="shared" si="2"/>
        <v>12</v>
      </c>
      <c r="H615" s="137"/>
      <c r="I615" s="137"/>
      <c r="J615" s="135"/>
      <c r="K615" s="135"/>
      <c r="L615" s="135"/>
      <c r="M615" s="135"/>
      <c r="N615" s="135"/>
      <c r="O615" s="135"/>
      <c r="P615" s="135"/>
      <c r="Q615" s="135"/>
      <c r="R615" s="135"/>
      <c r="S615" s="135"/>
      <c r="T615" s="135"/>
      <c r="U615" s="135"/>
      <c r="V615" s="135"/>
      <c r="W615" s="135"/>
      <c r="X615" s="135"/>
      <c r="Y615" s="135"/>
      <c r="Z615" s="135"/>
    </row>
    <row r="616" spans="1:26" ht="12.75">
      <c r="A616" s="136" t="s">
        <v>8</v>
      </c>
      <c r="B616" s="136" t="s">
        <v>7529</v>
      </c>
      <c r="C616" s="136" t="s">
        <v>7538</v>
      </c>
      <c r="D616" s="136" t="s">
        <v>7533</v>
      </c>
      <c r="E616" s="136" t="s">
        <v>594</v>
      </c>
      <c r="F616" s="136">
        <v>40</v>
      </c>
      <c r="G616" s="137">
        <f t="shared" si="2"/>
        <v>13</v>
      </c>
      <c r="H616" s="137"/>
      <c r="I616" s="137"/>
      <c r="J616" s="135"/>
      <c r="K616" s="135"/>
      <c r="L616" s="135"/>
      <c r="M616" s="135"/>
      <c r="N616" s="135"/>
      <c r="O616" s="135"/>
      <c r="P616" s="135"/>
      <c r="Q616" s="135"/>
      <c r="R616" s="135"/>
      <c r="S616" s="135"/>
      <c r="T616" s="135"/>
      <c r="U616" s="135"/>
      <c r="V616" s="135"/>
      <c r="W616" s="135"/>
      <c r="X616" s="135"/>
      <c r="Y616" s="135"/>
      <c r="Z616" s="135"/>
    </row>
    <row r="617" spans="1:26" ht="12.75">
      <c r="A617" s="136" t="s">
        <v>8</v>
      </c>
      <c r="B617" s="136" t="s">
        <v>7529</v>
      </c>
      <c r="C617" s="136" t="s">
        <v>7538</v>
      </c>
      <c r="D617" s="136" t="s">
        <v>120</v>
      </c>
      <c r="E617" s="136" t="s">
        <v>615</v>
      </c>
      <c r="F617" s="136">
        <v>40</v>
      </c>
      <c r="G617" s="137">
        <f t="shared" si="2"/>
        <v>14</v>
      </c>
      <c r="H617" s="137"/>
      <c r="I617" s="137"/>
      <c r="J617" s="135"/>
      <c r="K617" s="135"/>
      <c r="L617" s="135"/>
      <c r="M617" s="135"/>
      <c r="N617" s="135"/>
      <c r="O617" s="135"/>
      <c r="P617" s="135"/>
      <c r="Q617" s="135"/>
      <c r="R617" s="135"/>
      <c r="S617" s="135"/>
      <c r="T617" s="135"/>
      <c r="U617" s="135"/>
      <c r="V617" s="135"/>
      <c r="W617" s="135"/>
      <c r="X617" s="135"/>
      <c r="Y617" s="135"/>
      <c r="Z617" s="135"/>
    </row>
    <row r="618" spans="1:26" ht="12.75">
      <c r="A618" s="136" t="s">
        <v>8</v>
      </c>
      <c r="B618" s="136" t="s">
        <v>7529</v>
      </c>
      <c r="C618" s="136" t="s">
        <v>7538</v>
      </c>
      <c r="D618" s="136" t="s">
        <v>7491</v>
      </c>
      <c r="E618" s="136" t="s">
        <v>615</v>
      </c>
      <c r="F618" s="136">
        <v>38</v>
      </c>
      <c r="G618" s="137">
        <f t="shared" si="2"/>
        <v>15</v>
      </c>
      <c r="H618" s="137"/>
      <c r="I618" s="137"/>
      <c r="J618" s="135"/>
      <c r="K618" s="135"/>
      <c r="L618" s="135"/>
      <c r="M618" s="135"/>
      <c r="N618" s="135"/>
      <c r="O618" s="135"/>
      <c r="P618" s="135"/>
      <c r="Q618" s="135"/>
      <c r="R618" s="135"/>
      <c r="S618" s="135"/>
      <c r="T618" s="135"/>
      <c r="U618" s="135"/>
      <c r="V618" s="135"/>
      <c r="W618" s="135"/>
      <c r="X618" s="135"/>
      <c r="Y618" s="135"/>
      <c r="Z618" s="135"/>
    </row>
    <row r="619" spans="1:26" ht="12.75">
      <c r="A619" s="136" t="s">
        <v>8</v>
      </c>
      <c r="B619" s="136" t="s">
        <v>7529</v>
      </c>
      <c r="C619" s="136" t="s">
        <v>7538</v>
      </c>
      <c r="D619" s="136" t="s">
        <v>7532</v>
      </c>
      <c r="E619" s="136" t="s">
        <v>615</v>
      </c>
      <c r="F619" s="136">
        <v>35</v>
      </c>
      <c r="G619" s="137">
        <f t="shared" si="2"/>
        <v>16</v>
      </c>
      <c r="H619" s="137"/>
      <c r="I619" s="137"/>
      <c r="J619" s="135"/>
      <c r="K619" s="135"/>
      <c r="L619" s="135"/>
      <c r="M619" s="135"/>
      <c r="N619" s="135"/>
      <c r="O619" s="135"/>
      <c r="P619" s="135"/>
      <c r="Q619" s="135"/>
      <c r="R619" s="135"/>
      <c r="S619" s="135"/>
      <c r="T619" s="135"/>
      <c r="U619" s="135"/>
      <c r="V619" s="135"/>
      <c r="W619" s="135"/>
      <c r="X619" s="135"/>
      <c r="Y619" s="135"/>
      <c r="Z619" s="135"/>
    </row>
    <row r="620" spans="1:26" ht="12.75">
      <c r="A620" s="136" t="s">
        <v>8</v>
      </c>
      <c r="B620" s="136" t="s">
        <v>7529</v>
      </c>
      <c r="C620" s="136" t="s">
        <v>7538</v>
      </c>
      <c r="D620" s="136" t="s">
        <v>1626</v>
      </c>
      <c r="E620" s="136" t="s">
        <v>594</v>
      </c>
      <c r="F620" s="136">
        <v>20</v>
      </c>
      <c r="G620" s="137">
        <f t="shared" si="2"/>
        <v>17</v>
      </c>
      <c r="H620" s="137"/>
      <c r="I620" s="137"/>
      <c r="J620" s="135"/>
      <c r="K620" s="135"/>
      <c r="L620" s="135"/>
      <c r="M620" s="135"/>
      <c r="N620" s="135"/>
      <c r="O620" s="135"/>
      <c r="P620" s="135"/>
      <c r="Q620" s="135"/>
      <c r="R620" s="135"/>
      <c r="S620" s="135"/>
      <c r="T620" s="135"/>
      <c r="U620" s="135"/>
      <c r="V620" s="135"/>
      <c r="W620" s="135"/>
      <c r="X620" s="135"/>
      <c r="Y620" s="135"/>
      <c r="Z620" s="135"/>
    </row>
    <row r="621" spans="1:26" ht="12.75">
      <c r="A621" s="136" t="s">
        <v>8</v>
      </c>
      <c r="B621" s="136" t="s">
        <v>7529</v>
      </c>
      <c r="C621" s="136" t="s">
        <v>7539</v>
      </c>
      <c r="D621" s="136" t="s">
        <v>7530</v>
      </c>
      <c r="E621" s="136" t="s">
        <v>85</v>
      </c>
      <c r="F621" s="136">
        <v>290</v>
      </c>
      <c r="G621" s="137">
        <f t="shared" si="2"/>
        <v>1</v>
      </c>
      <c r="H621" s="137"/>
      <c r="I621" s="137"/>
      <c r="J621" s="135"/>
      <c r="K621" s="135"/>
      <c r="L621" s="135"/>
      <c r="M621" s="135"/>
      <c r="N621" s="135"/>
      <c r="O621" s="135"/>
      <c r="P621" s="135"/>
      <c r="Q621" s="135"/>
      <c r="R621" s="135"/>
      <c r="S621" s="135"/>
      <c r="T621" s="135"/>
      <c r="U621" s="135"/>
      <c r="V621" s="135"/>
      <c r="W621" s="135"/>
      <c r="X621" s="135"/>
      <c r="Y621" s="135"/>
      <c r="Z621" s="135"/>
    </row>
    <row r="622" spans="1:26" ht="12.75">
      <c r="A622" s="136" t="s">
        <v>8</v>
      </c>
      <c r="B622" s="136" t="s">
        <v>7529</v>
      </c>
      <c r="C622" s="136" t="s">
        <v>7539</v>
      </c>
      <c r="D622" s="136" t="s">
        <v>7536</v>
      </c>
      <c r="E622" s="136" t="s">
        <v>86</v>
      </c>
      <c r="F622" s="136">
        <v>179</v>
      </c>
      <c r="G622" s="137">
        <f t="shared" si="2"/>
        <v>2</v>
      </c>
      <c r="H622" s="137"/>
      <c r="I622" s="137"/>
      <c r="J622" s="135"/>
      <c r="K622" s="135"/>
      <c r="L622" s="135"/>
      <c r="M622" s="135"/>
      <c r="N622" s="135"/>
      <c r="O622" s="135"/>
      <c r="P622" s="135"/>
      <c r="Q622" s="135"/>
      <c r="R622" s="135"/>
      <c r="S622" s="135"/>
      <c r="T622" s="135"/>
      <c r="U622" s="135"/>
      <c r="V622" s="135"/>
      <c r="W622" s="135"/>
      <c r="X622" s="135"/>
      <c r="Y622" s="135"/>
      <c r="Z622" s="135"/>
    </row>
    <row r="623" spans="1:26" ht="12.75">
      <c r="A623" s="136" t="s">
        <v>8</v>
      </c>
      <c r="B623" s="136" t="s">
        <v>7529</v>
      </c>
      <c r="C623" s="136" t="s">
        <v>7539</v>
      </c>
      <c r="D623" s="136" t="s">
        <v>107</v>
      </c>
      <c r="E623" s="136" t="s">
        <v>615</v>
      </c>
      <c r="F623" s="136">
        <v>125</v>
      </c>
      <c r="G623" s="137">
        <f t="shared" si="2"/>
        <v>3</v>
      </c>
      <c r="H623" s="137"/>
      <c r="I623" s="137"/>
      <c r="J623" s="135"/>
      <c r="K623" s="135"/>
      <c r="L623" s="135"/>
      <c r="M623" s="135"/>
      <c r="N623" s="135"/>
      <c r="O623" s="135"/>
      <c r="P623" s="135"/>
      <c r="Q623" s="135"/>
      <c r="R623" s="135"/>
      <c r="S623" s="135"/>
      <c r="T623" s="135"/>
      <c r="U623" s="135"/>
      <c r="V623" s="135"/>
      <c r="W623" s="135"/>
      <c r="X623" s="135"/>
      <c r="Y623" s="135"/>
      <c r="Z623" s="135"/>
    </row>
    <row r="624" spans="1:26" ht="12.75">
      <c r="A624" s="136" t="s">
        <v>8</v>
      </c>
      <c r="B624" s="136" t="s">
        <v>7529</v>
      </c>
      <c r="C624" s="136" t="s">
        <v>7539</v>
      </c>
      <c r="D624" s="136" t="s">
        <v>7537</v>
      </c>
      <c r="E624" s="136" t="s">
        <v>86</v>
      </c>
      <c r="F624" s="136">
        <v>108</v>
      </c>
      <c r="G624" s="137">
        <f t="shared" si="2"/>
        <v>4</v>
      </c>
      <c r="H624" s="137"/>
      <c r="I624" s="137"/>
      <c r="J624" s="135"/>
      <c r="K624" s="135"/>
      <c r="L624" s="135"/>
      <c r="M624" s="135"/>
      <c r="N624" s="135"/>
      <c r="O624" s="135"/>
      <c r="P624" s="135"/>
      <c r="Q624" s="135"/>
      <c r="R624" s="135"/>
      <c r="S624" s="135"/>
      <c r="T624" s="135"/>
      <c r="U624" s="135"/>
      <c r="V624" s="135"/>
      <c r="W624" s="135"/>
      <c r="X624" s="135"/>
      <c r="Y624" s="135"/>
      <c r="Z624" s="135"/>
    </row>
    <row r="625" spans="1:26" ht="12.75">
      <c r="A625" s="136" t="s">
        <v>8</v>
      </c>
      <c r="B625" s="136" t="s">
        <v>7529</v>
      </c>
      <c r="C625" s="136" t="s">
        <v>7539</v>
      </c>
      <c r="D625" s="136" t="s">
        <v>467</v>
      </c>
      <c r="E625" s="136" t="s">
        <v>85</v>
      </c>
      <c r="F625" s="136">
        <v>91</v>
      </c>
      <c r="G625" s="137">
        <f t="shared" si="2"/>
        <v>5</v>
      </c>
      <c r="H625" s="137"/>
      <c r="I625" s="137"/>
      <c r="J625" s="135"/>
      <c r="K625" s="135"/>
      <c r="L625" s="135"/>
      <c r="M625" s="135"/>
      <c r="N625" s="135"/>
      <c r="O625" s="135"/>
      <c r="P625" s="135"/>
      <c r="Q625" s="135"/>
      <c r="R625" s="135"/>
      <c r="S625" s="135"/>
      <c r="T625" s="135"/>
      <c r="U625" s="135"/>
      <c r="V625" s="135"/>
      <c r="W625" s="135"/>
      <c r="X625" s="135"/>
      <c r="Y625" s="135"/>
      <c r="Z625" s="135"/>
    </row>
    <row r="626" spans="1:26" ht="12.75">
      <c r="A626" s="136" t="s">
        <v>8</v>
      </c>
      <c r="B626" s="136" t="s">
        <v>7529</v>
      </c>
      <c r="C626" s="136" t="s">
        <v>7539</v>
      </c>
      <c r="D626" s="136" t="s">
        <v>139</v>
      </c>
      <c r="E626" s="136" t="s">
        <v>594</v>
      </c>
      <c r="F626" s="136">
        <v>88</v>
      </c>
      <c r="G626" s="137">
        <f t="shared" si="2"/>
        <v>6</v>
      </c>
      <c r="H626" s="137"/>
      <c r="I626" s="137"/>
      <c r="J626" s="135"/>
      <c r="K626" s="135"/>
      <c r="L626" s="135"/>
      <c r="M626" s="135"/>
      <c r="N626" s="135"/>
      <c r="O626" s="135"/>
      <c r="P626" s="135"/>
      <c r="Q626" s="135"/>
      <c r="R626" s="135"/>
      <c r="S626" s="135"/>
      <c r="T626" s="135"/>
      <c r="U626" s="135"/>
      <c r="V626" s="135"/>
      <c r="W626" s="135"/>
      <c r="X626" s="135"/>
      <c r="Y626" s="135"/>
      <c r="Z626" s="135"/>
    </row>
    <row r="627" spans="1:26" ht="12.75">
      <c r="A627" s="136" t="s">
        <v>8</v>
      </c>
      <c r="B627" s="136" t="s">
        <v>7529</v>
      </c>
      <c r="C627" s="136" t="s">
        <v>7539</v>
      </c>
      <c r="D627" s="136" t="s">
        <v>136</v>
      </c>
      <c r="E627" s="136" t="s">
        <v>615</v>
      </c>
      <c r="F627" s="136">
        <v>60</v>
      </c>
      <c r="G627" s="137">
        <f t="shared" si="2"/>
        <v>7</v>
      </c>
      <c r="H627" s="137"/>
      <c r="I627" s="137"/>
      <c r="J627" s="135"/>
      <c r="K627" s="135"/>
      <c r="L627" s="135"/>
      <c r="M627" s="135"/>
      <c r="N627" s="135"/>
      <c r="O627" s="135"/>
      <c r="P627" s="135"/>
      <c r="Q627" s="135"/>
      <c r="R627" s="135"/>
      <c r="S627" s="135"/>
      <c r="T627" s="135"/>
      <c r="U627" s="135"/>
      <c r="V627" s="135"/>
      <c r="W627" s="135"/>
      <c r="X627" s="135"/>
      <c r="Y627" s="135"/>
      <c r="Z627" s="135"/>
    </row>
    <row r="628" spans="1:26" ht="12.75">
      <c r="A628" s="136" t="s">
        <v>8</v>
      </c>
      <c r="B628" s="136" t="s">
        <v>7529</v>
      </c>
      <c r="C628" s="136" t="s">
        <v>7539</v>
      </c>
      <c r="D628" s="136" t="s">
        <v>1665</v>
      </c>
      <c r="E628" s="136" t="s">
        <v>615</v>
      </c>
      <c r="F628" s="136">
        <v>60</v>
      </c>
      <c r="G628" s="137">
        <f t="shared" si="2"/>
        <v>8</v>
      </c>
      <c r="H628" s="137"/>
      <c r="I628" s="137"/>
      <c r="J628" s="135"/>
      <c r="K628" s="135"/>
      <c r="L628" s="135"/>
      <c r="M628" s="135"/>
      <c r="N628" s="135"/>
      <c r="O628" s="135"/>
      <c r="P628" s="135"/>
      <c r="Q628" s="135"/>
      <c r="R628" s="135"/>
      <c r="S628" s="135"/>
      <c r="T628" s="135"/>
      <c r="U628" s="135"/>
      <c r="V628" s="135"/>
      <c r="W628" s="135"/>
      <c r="X628" s="135"/>
      <c r="Y628" s="135"/>
      <c r="Z628" s="135"/>
    </row>
    <row r="629" spans="1:26" ht="12.75">
      <c r="A629" s="136" t="s">
        <v>8</v>
      </c>
      <c r="B629" s="136" t="s">
        <v>7529</v>
      </c>
      <c r="C629" s="136" t="s">
        <v>7539</v>
      </c>
      <c r="D629" s="136" t="s">
        <v>7531</v>
      </c>
      <c r="E629" s="136" t="s">
        <v>615</v>
      </c>
      <c r="F629" s="136">
        <v>30</v>
      </c>
      <c r="G629" s="137">
        <f t="shared" si="2"/>
        <v>9</v>
      </c>
      <c r="H629" s="137"/>
      <c r="I629" s="137"/>
      <c r="J629" s="135"/>
      <c r="K629" s="135"/>
      <c r="L629" s="135"/>
      <c r="M629" s="135"/>
      <c r="N629" s="135"/>
      <c r="O629" s="135"/>
      <c r="P629" s="135"/>
      <c r="Q629" s="135"/>
      <c r="R629" s="135"/>
      <c r="S629" s="135"/>
      <c r="T629" s="135"/>
      <c r="U629" s="135"/>
      <c r="V629" s="135"/>
      <c r="W629" s="135"/>
      <c r="X629" s="135"/>
      <c r="Y629" s="135"/>
      <c r="Z629" s="135"/>
    </row>
    <row r="630" spans="1:26" ht="12.75">
      <c r="A630" s="136" t="s">
        <v>8</v>
      </c>
      <c r="B630" s="136" t="s">
        <v>7529</v>
      </c>
      <c r="C630" s="136" t="s">
        <v>7539</v>
      </c>
      <c r="D630" s="136" t="s">
        <v>154</v>
      </c>
      <c r="E630" s="136" t="s">
        <v>615</v>
      </c>
      <c r="F630" s="136">
        <v>21</v>
      </c>
      <c r="G630" s="137">
        <f t="shared" si="2"/>
        <v>10</v>
      </c>
      <c r="H630" s="137"/>
      <c r="I630" s="137"/>
      <c r="J630" s="135"/>
      <c r="K630" s="135"/>
      <c r="L630" s="135"/>
      <c r="M630" s="135"/>
      <c r="N630" s="135"/>
      <c r="O630" s="135"/>
      <c r="P630" s="135"/>
      <c r="Q630" s="135"/>
      <c r="R630" s="135"/>
      <c r="S630" s="135"/>
      <c r="T630" s="135"/>
      <c r="U630" s="135"/>
      <c r="V630" s="135"/>
      <c r="W630" s="135"/>
      <c r="X630" s="135"/>
      <c r="Y630" s="135"/>
      <c r="Z630" s="135"/>
    </row>
    <row r="631" spans="1:26" ht="12.75">
      <c r="A631" s="136" t="s">
        <v>8</v>
      </c>
      <c r="B631" s="136" t="s">
        <v>7529</v>
      </c>
      <c r="C631" s="136" t="s">
        <v>7539</v>
      </c>
      <c r="D631" s="136" t="s">
        <v>7533</v>
      </c>
      <c r="E631" s="136" t="s">
        <v>594</v>
      </c>
      <c r="F631" s="136">
        <v>20</v>
      </c>
      <c r="G631" s="137">
        <f t="shared" si="2"/>
        <v>11</v>
      </c>
      <c r="H631" s="137"/>
      <c r="I631" s="137"/>
      <c r="J631" s="135"/>
      <c r="K631" s="135"/>
      <c r="L631" s="135"/>
      <c r="M631" s="135"/>
      <c r="N631" s="135"/>
      <c r="O631" s="135"/>
      <c r="P631" s="135"/>
      <c r="Q631" s="135"/>
      <c r="R631" s="135"/>
      <c r="S631" s="135"/>
      <c r="T631" s="135"/>
      <c r="U631" s="135"/>
      <c r="V631" s="135"/>
      <c r="W631" s="135"/>
      <c r="X631" s="135"/>
      <c r="Y631" s="135"/>
      <c r="Z631" s="135"/>
    </row>
    <row r="632" spans="1:26" ht="12.75">
      <c r="A632" s="136" t="s">
        <v>8</v>
      </c>
      <c r="B632" s="136" t="s">
        <v>7529</v>
      </c>
      <c r="C632" s="136" t="s">
        <v>7539</v>
      </c>
      <c r="D632" s="136" t="s">
        <v>7491</v>
      </c>
      <c r="E632" s="136" t="s">
        <v>615</v>
      </c>
      <c r="F632" s="136">
        <v>18</v>
      </c>
      <c r="G632" s="137">
        <f t="shared" si="2"/>
        <v>12</v>
      </c>
      <c r="H632" s="137"/>
      <c r="I632" s="137"/>
      <c r="J632" s="135"/>
      <c r="K632" s="135"/>
      <c r="L632" s="135"/>
      <c r="M632" s="135"/>
      <c r="N632" s="135"/>
      <c r="O632" s="135"/>
      <c r="P632" s="135"/>
      <c r="Q632" s="135"/>
      <c r="R632" s="135"/>
      <c r="S632" s="135"/>
      <c r="T632" s="135"/>
      <c r="U632" s="135"/>
      <c r="V632" s="135"/>
      <c r="W632" s="135"/>
      <c r="X632" s="135"/>
      <c r="Y632" s="135"/>
      <c r="Z632" s="135"/>
    </row>
    <row r="633" spans="1:26" ht="12.75">
      <c r="A633" s="136" t="s">
        <v>8</v>
      </c>
      <c r="B633" s="136" t="s">
        <v>7529</v>
      </c>
      <c r="C633" s="136" t="s">
        <v>7539</v>
      </c>
      <c r="D633" s="136" t="s">
        <v>7532</v>
      </c>
      <c r="E633" s="136" t="s">
        <v>615</v>
      </c>
      <c r="F633" s="136">
        <v>15</v>
      </c>
      <c r="G633" s="137">
        <f t="shared" si="2"/>
        <v>13</v>
      </c>
      <c r="H633" s="137"/>
      <c r="I633" s="137"/>
      <c r="J633" s="135"/>
      <c r="K633" s="135"/>
      <c r="L633" s="135"/>
      <c r="M633" s="135"/>
      <c r="N633" s="135"/>
      <c r="O633" s="135"/>
      <c r="P633" s="135"/>
      <c r="Q633" s="135"/>
      <c r="R633" s="135"/>
      <c r="S633" s="135"/>
      <c r="T633" s="135"/>
      <c r="U633" s="135"/>
      <c r="V633" s="135"/>
      <c r="W633" s="135"/>
      <c r="X633" s="135"/>
      <c r="Y633" s="135"/>
      <c r="Z633" s="135"/>
    </row>
    <row r="634" spans="1:26" ht="12.75">
      <c r="A634" s="136" t="s">
        <v>8</v>
      </c>
      <c r="B634" s="136" t="s">
        <v>7529</v>
      </c>
      <c r="C634" s="136" t="s">
        <v>7539</v>
      </c>
      <c r="D634" s="136" t="s">
        <v>165</v>
      </c>
      <c r="E634" s="136" t="s">
        <v>615</v>
      </c>
      <c r="F634" s="136">
        <v>10</v>
      </c>
      <c r="G634" s="137">
        <f t="shared" si="2"/>
        <v>14</v>
      </c>
      <c r="H634" s="137"/>
      <c r="I634" s="137"/>
      <c r="J634" s="135"/>
      <c r="K634" s="135"/>
      <c r="L634" s="135"/>
      <c r="M634" s="135"/>
      <c r="N634" s="135"/>
      <c r="O634" s="135"/>
      <c r="P634" s="135"/>
      <c r="Q634" s="135"/>
      <c r="R634" s="135"/>
      <c r="S634" s="135"/>
      <c r="T634" s="135"/>
      <c r="U634" s="135"/>
      <c r="V634" s="135"/>
      <c r="W634" s="135"/>
      <c r="X634" s="135"/>
      <c r="Y634" s="135"/>
      <c r="Z634" s="135"/>
    </row>
    <row r="635" spans="1:26" ht="12.75">
      <c r="A635" s="136" t="s">
        <v>8</v>
      </c>
      <c r="B635" s="136" t="s">
        <v>7529</v>
      </c>
      <c r="C635" s="136" t="s">
        <v>7539</v>
      </c>
      <c r="D635" s="136" t="s">
        <v>7535</v>
      </c>
      <c r="E635" s="136" t="s">
        <v>615</v>
      </c>
      <c r="F635" s="136">
        <v>10</v>
      </c>
      <c r="G635" s="137">
        <f t="shared" si="2"/>
        <v>15</v>
      </c>
      <c r="H635" s="137"/>
      <c r="I635" s="137"/>
      <c r="J635" s="135"/>
      <c r="K635" s="135"/>
      <c r="L635" s="135"/>
      <c r="M635" s="135"/>
      <c r="N635" s="135"/>
      <c r="O635" s="135"/>
      <c r="P635" s="135"/>
      <c r="Q635" s="135"/>
      <c r="R635" s="135"/>
      <c r="S635" s="135"/>
      <c r="T635" s="135"/>
      <c r="U635" s="135"/>
      <c r="V635" s="135"/>
      <c r="W635" s="135"/>
      <c r="X635" s="135"/>
      <c r="Y635" s="135"/>
      <c r="Z635" s="135"/>
    </row>
    <row r="636" spans="1:26" ht="12.75">
      <c r="A636" s="136" t="s">
        <v>8</v>
      </c>
      <c r="B636" s="136" t="s">
        <v>7529</v>
      </c>
      <c r="C636" s="136" t="s">
        <v>7539</v>
      </c>
      <c r="D636" s="136" t="s">
        <v>225</v>
      </c>
      <c r="E636" s="136" t="s">
        <v>615</v>
      </c>
      <c r="F636" s="136">
        <v>5</v>
      </c>
      <c r="G636" s="137">
        <f t="shared" si="2"/>
        <v>16</v>
      </c>
      <c r="H636" s="137"/>
      <c r="I636" s="137"/>
      <c r="J636" s="135"/>
      <c r="K636" s="135"/>
      <c r="L636" s="135"/>
      <c r="M636" s="135"/>
      <c r="N636" s="135"/>
      <c r="O636" s="135"/>
      <c r="P636" s="135"/>
      <c r="Q636" s="135"/>
      <c r="R636" s="135"/>
      <c r="S636" s="135"/>
      <c r="T636" s="135"/>
      <c r="U636" s="135"/>
      <c r="V636" s="135"/>
      <c r="W636" s="135"/>
      <c r="X636" s="135"/>
      <c r="Y636" s="135"/>
      <c r="Z636" s="135"/>
    </row>
    <row r="637" spans="1:26" ht="12.75">
      <c r="A637" s="136" t="s">
        <v>8</v>
      </c>
      <c r="B637" s="136" t="s">
        <v>7529</v>
      </c>
      <c r="C637" s="136" t="s">
        <v>7540</v>
      </c>
      <c r="D637" s="136" t="s">
        <v>139</v>
      </c>
      <c r="E637" s="136" t="s">
        <v>594</v>
      </c>
      <c r="F637" s="136">
        <v>400</v>
      </c>
      <c r="G637" s="137">
        <f t="shared" si="2"/>
        <v>1</v>
      </c>
      <c r="H637" s="137"/>
      <c r="I637" s="137"/>
      <c r="J637" s="135"/>
      <c r="K637" s="135"/>
      <c r="L637" s="135"/>
      <c r="M637" s="135"/>
      <c r="N637" s="135"/>
      <c r="O637" s="135"/>
      <c r="P637" s="135"/>
      <c r="Q637" s="135"/>
      <c r="R637" s="135"/>
      <c r="S637" s="135"/>
      <c r="T637" s="135"/>
      <c r="U637" s="135"/>
      <c r="V637" s="135"/>
      <c r="W637" s="135"/>
      <c r="X637" s="135"/>
      <c r="Y637" s="135"/>
      <c r="Z637" s="135"/>
    </row>
    <row r="638" spans="1:26" ht="12.75">
      <c r="A638" s="136" t="s">
        <v>8</v>
      </c>
      <c r="B638" s="136" t="s">
        <v>7529</v>
      </c>
      <c r="C638" s="136" t="s">
        <v>7540</v>
      </c>
      <c r="D638" s="136" t="s">
        <v>107</v>
      </c>
      <c r="E638" s="136" t="s">
        <v>615</v>
      </c>
      <c r="F638" s="136">
        <v>101</v>
      </c>
      <c r="G638" s="137">
        <f t="shared" si="2"/>
        <v>2</v>
      </c>
      <c r="H638" s="137"/>
      <c r="I638" s="137"/>
      <c r="J638" s="135"/>
      <c r="K638" s="135"/>
      <c r="L638" s="135"/>
      <c r="M638" s="135"/>
      <c r="N638" s="135"/>
      <c r="O638" s="135"/>
      <c r="P638" s="135"/>
      <c r="Q638" s="135"/>
      <c r="R638" s="135"/>
      <c r="S638" s="135"/>
      <c r="T638" s="135"/>
      <c r="U638" s="135"/>
      <c r="V638" s="135"/>
      <c r="W638" s="135"/>
      <c r="X638" s="135"/>
      <c r="Y638" s="135"/>
      <c r="Z638" s="135"/>
    </row>
    <row r="639" spans="1:26" ht="12.75">
      <c r="A639" s="136" t="s">
        <v>8</v>
      </c>
      <c r="B639" s="136" t="s">
        <v>7529</v>
      </c>
      <c r="C639" s="136" t="s">
        <v>7540</v>
      </c>
      <c r="D639" s="136" t="s">
        <v>1665</v>
      </c>
      <c r="E639" s="136" t="s">
        <v>615</v>
      </c>
      <c r="F639" s="136">
        <v>75</v>
      </c>
      <c r="G639" s="137">
        <f t="shared" si="2"/>
        <v>3</v>
      </c>
      <c r="H639" s="137"/>
      <c r="I639" s="137"/>
      <c r="J639" s="135"/>
      <c r="K639" s="135"/>
      <c r="L639" s="135"/>
      <c r="M639" s="135"/>
      <c r="N639" s="135"/>
      <c r="O639" s="135"/>
      <c r="P639" s="135"/>
      <c r="Q639" s="135"/>
      <c r="R639" s="135"/>
      <c r="S639" s="135"/>
      <c r="T639" s="135"/>
      <c r="U639" s="135"/>
      <c r="V639" s="135"/>
      <c r="W639" s="135"/>
      <c r="X639" s="135"/>
      <c r="Y639" s="135"/>
      <c r="Z639" s="135"/>
    </row>
    <row r="640" spans="1:26" ht="12.75">
      <c r="A640" s="136" t="s">
        <v>8</v>
      </c>
      <c r="B640" s="136" t="s">
        <v>7529</v>
      </c>
      <c r="C640" s="136" t="s">
        <v>7540</v>
      </c>
      <c r="D640" s="136" t="s">
        <v>165</v>
      </c>
      <c r="E640" s="136" t="s">
        <v>615</v>
      </c>
      <c r="F640" s="136">
        <v>70</v>
      </c>
      <c r="G640" s="137">
        <f t="shared" si="2"/>
        <v>4</v>
      </c>
      <c r="H640" s="137"/>
      <c r="I640" s="137"/>
      <c r="J640" s="135"/>
      <c r="K640" s="135"/>
      <c r="L640" s="135"/>
      <c r="M640" s="135"/>
      <c r="N640" s="135"/>
      <c r="O640" s="135"/>
      <c r="P640" s="135"/>
      <c r="Q640" s="135"/>
      <c r="R640" s="135"/>
      <c r="S640" s="135"/>
      <c r="T640" s="135"/>
      <c r="U640" s="135"/>
      <c r="V640" s="135"/>
      <c r="W640" s="135"/>
      <c r="X640" s="135"/>
      <c r="Y640" s="135"/>
      <c r="Z640" s="135"/>
    </row>
    <row r="641" spans="1:26" ht="12.75">
      <c r="A641" s="136" t="s">
        <v>8</v>
      </c>
      <c r="B641" s="136" t="s">
        <v>7529</v>
      </c>
      <c r="C641" s="136" t="s">
        <v>7540</v>
      </c>
      <c r="D641" s="136" t="s">
        <v>154</v>
      </c>
      <c r="E641" s="136" t="s">
        <v>615</v>
      </c>
      <c r="F641" s="136">
        <v>50</v>
      </c>
      <c r="G641" s="137">
        <f t="shared" si="2"/>
        <v>5</v>
      </c>
      <c r="H641" s="137"/>
      <c r="I641" s="137"/>
      <c r="J641" s="135"/>
      <c r="K641" s="135"/>
      <c r="L641" s="135"/>
      <c r="M641" s="135"/>
      <c r="N641" s="135"/>
      <c r="O641" s="135"/>
      <c r="P641" s="135"/>
      <c r="Q641" s="135"/>
      <c r="R641" s="135"/>
      <c r="S641" s="135"/>
      <c r="T641" s="135"/>
      <c r="U641" s="135"/>
      <c r="V641" s="135"/>
      <c r="W641" s="135"/>
      <c r="X641" s="135"/>
      <c r="Y641" s="135"/>
      <c r="Z641" s="135"/>
    </row>
    <row r="642" spans="1:26" ht="12.75">
      <c r="A642" s="136" t="s">
        <v>8</v>
      </c>
      <c r="B642" s="136" t="s">
        <v>7529</v>
      </c>
      <c r="C642" s="136" t="s">
        <v>7540</v>
      </c>
      <c r="D642" s="136" t="s">
        <v>7532</v>
      </c>
      <c r="E642" s="136" t="s">
        <v>615</v>
      </c>
      <c r="F642" s="136">
        <v>45</v>
      </c>
      <c r="G642" s="137">
        <f t="shared" si="2"/>
        <v>6</v>
      </c>
      <c r="H642" s="137"/>
      <c r="I642" s="137"/>
      <c r="J642" s="135"/>
      <c r="K642" s="135"/>
      <c r="L642" s="135"/>
      <c r="M642" s="135"/>
      <c r="N642" s="135"/>
      <c r="O642" s="135"/>
      <c r="P642" s="135"/>
      <c r="Q642" s="135"/>
      <c r="R642" s="135"/>
      <c r="S642" s="135"/>
      <c r="T642" s="135"/>
      <c r="U642" s="135"/>
      <c r="V642" s="135"/>
      <c r="W642" s="135"/>
      <c r="X642" s="135"/>
      <c r="Y642" s="135"/>
      <c r="Z642" s="135"/>
    </row>
    <row r="643" spans="1:26" ht="12.75">
      <c r="A643" s="136" t="s">
        <v>8</v>
      </c>
      <c r="B643" s="136" t="s">
        <v>7529</v>
      </c>
      <c r="C643" s="136" t="s">
        <v>7540</v>
      </c>
      <c r="D643" s="136" t="s">
        <v>7533</v>
      </c>
      <c r="E643" s="136" t="s">
        <v>594</v>
      </c>
      <c r="F643" s="136">
        <v>30</v>
      </c>
      <c r="G643" s="137">
        <f t="shared" si="2"/>
        <v>7</v>
      </c>
      <c r="H643" s="137"/>
      <c r="I643" s="137"/>
      <c r="J643" s="135"/>
      <c r="K643" s="135"/>
      <c r="L643" s="135"/>
      <c r="M643" s="135"/>
      <c r="N643" s="135"/>
      <c r="O643" s="135"/>
      <c r="P643" s="135"/>
      <c r="Q643" s="135"/>
      <c r="R643" s="135"/>
      <c r="S643" s="135"/>
      <c r="T643" s="135"/>
      <c r="U643" s="135"/>
      <c r="V643" s="135"/>
      <c r="W643" s="135"/>
      <c r="X643" s="135"/>
      <c r="Y643" s="135"/>
      <c r="Z643" s="135"/>
    </row>
    <row r="644" spans="1:26" ht="12.75">
      <c r="A644" s="136" t="s">
        <v>8</v>
      </c>
      <c r="B644" s="136" t="s">
        <v>7529</v>
      </c>
      <c r="C644" s="136" t="s">
        <v>7540</v>
      </c>
      <c r="D644" s="136" t="s">
        <v>7535</v>
      </c>
      <c r="E644" s="136" t="s">
        <v>615</v>
      </c>
      <c r="F644" s="136">
        <v>30</v>
      </c>
      <c r="G644" s="137">
        <f t="shared" si="2"/>
        <v>8</v>
      </c>
      <c r="H644" s="137"/>
      <c r="I644" s="137"/>
      <c r="J644" s="135"/>
      <c r="K644" s="135"/>
      <c r="L644" s="135"/>
      <c r="M644" s="135"/>
      <c r="N644" s="135"/>
      <c r="O644" s="135"/>
      <c r="P644" s="135"/>
      <c r="Q644" s="135"/>
      <c r="R644" s="135"/>
      <c r="S644" s="135"/>
      <c r="T644" s="135"/>
      <c r="U644" s="135"/>
      <c r="V644" s="135"/>
      <c r="W644" s="135"/>
      <c r="X644" s="135"/>
      <c r="Y644" s="135"/>
      <c r="Z644" s="135"/>
    </row>
    <row r="645" spans="1:26" ht="12.75">
      <c r="A645" s="136" t="s">
        <v>8</v>
      </c>
      <c r="B645" s="136" t="s">
        <v>7529</v>
      </c>
      <c r="C645" s="136" t="s">
        <v>7540</v>
      </c>
      <c r="D645" s="136" t="s">
        <v>7491</v>
      </c>
      <c r="E645" s="136" t="s">
        <v>615</v>
      </c>
      <c r="F645" s="136">
        <v>28</v>
      </c>
      <c r="G645" s="137">
        <f t="shared" si="2"/>
        <v>9</v>
      </c>
      <c r="H645" s="137"/>
      <c r="I645" s="137"/>
      <c r="J645" s="135"/>
      <c r="K645" s="135"/>
      <c r="L645" s="135"/>
      <c r="M645" s="135"/>
      <c r="N645" s="135"/>
      <c r="O645" s="135"/>
      <c r="P645" s="135"/>
      <c r="Q645" s="135"/>
      <c r="R645" s="135"/>
      <c r="S645" s="135"/>
      <c r="T645" s="135"/>
      <c r="U645" s="135"/>
      <c r="V645" s="135"/>
      <c r="W645" s="135"/>
      <c r="X645" s="135"/>
      <c r="Y645" s="135"/>
      <c r="Z645" s="135"/>
    </row>
    <row r="646" spans="1:26" ht="12.75">
      <c r="A646" s="136" t="s">
        <v>8</v>
      </c>
      <c r="B646" s="136" t="s">
        <v>7529</v>
      </c>
      <c r="C646" s="136" t="s">
        <v>7540</v>
      </c>
      <c r="D646" s="136" t="s">
        <v>7530</v>
      </c>
      <c r="E646" s="136" t="s">
        <v>85</v>
      </c>
      <c r="F646" s="136">
        <v>27</v>
      </c>
      <c r="G646" s="137">
        <f t="shared" si="2"/>
        <v>10</v>
      </c>
      <c r="H646" s="137"/>
      <c r="I646" s="137"/>
      <c r="J646" s="135"/>
      <c r="K646" s="135"/>
      <c r="L646" s="135"/>
      <c r="M646" s="135"/>
      <c r="N646" s="135"/>
      <c r="O646" s="135"/>
      <c r="P646" s="135"/>
      <c r="Q646" s="135"/>
      <c r="R646" s="135"/>
      <c r="S646" s="135"/>
      <c r="T646" s="135"/>
      <c r="U646" s="135"/>
      <c r="V646" s="135"/>
      <c r="W646" s="135"/>
      <c r="X646" s="135"/>
      <c r="Y646" s="135"/>
      <c r="Z646" s="135"/>
    </row>
    <row r="647" spans="1:26" ht="12.75">
      <c r="A647" s="136" t="s">
        <v>8</v>
      </c>
      <c r="B647" s="136" t="s">
        <v>7529</v>
      </c>
      <c r="C647" s="136" t="s">
        <v>7540</v>
      </c>
      <c r="D647" s="136" t="s">
        <v>1646</v>
      </c>
      <c r="E647" s="136" t="s">
        <v>615</v>
      </c>
      <c r="F647" s="136">
        <v>25</v>
      </c>
      <c r="G647" s="137">
        <f t="shared" si="2"/>
        <v>11</v>
      </c>
      <c r="H647" s="137"/>
      <c r="I647" s="137"/>
      <c r="J647" s="135"/>
      <c r="K647" s="135"/>
      <c r="L647" s="135"/>
      <c r="M647" s="135"/>
      <c r="N647" s="135"/>
      <c r="O647" s="135"/>
      <c r="P647" s="135"/>
      <c r="Q647" s="135"/>
      <c r="R647" s="135"/>
      <c r="S647" s="135"/>
      <c r="T647" s="135"/>
      <c r="U647" s="135"/>
      <c r="V647" s="135"/>
      <c r="W647" s="135"/>
      <c r="X647" s="135"/>
      <c r="Y647" s="135"/>
      <c r="Z647" s="135"/>
    </row>
    <row r="648" spans="1:26" ht="12.75">
      <c r="A648" s="136" t="s">
        <v>8</v>
      </c>
      <c r="B648" s="136" t="s">
        <v>7529</v>
      </c>
      <c r="C648" s="136" t="s">
        <v>7540</v>
      </c>
      <c r="D648" s="136" t="s">
        <v>120</v>
      </c>
      <c r="E648" s="136" t="s">
        <v>615</v>
      </c>
      <c r="F648" s="136">
        <v>15</v>
      </c>
      <c r="G648" s="137">
        <f t="shared" si="2"/>
        <v>12</v>
      </c>
      <c r="H648" s="137"/>
      <c r="I648" s="137"/>
      <c r="J648" s="135"/>
      <c r="K648" s="135"/>
      <c r="L648" s="135"/>
      <c r="M648" s="135"/>
      <c r="N648" s="135"/>
      <c r="O648" s="135"/>
      <c r="P648" s="135"/>
      <c r="Q648" s="135"/>
      <c r="R648" s="135"/>
      <c r="S648" s="135"/>
      <c r="T648" s="135"/>
      <c r="U648" s="135"/>
      <c r="V648" s="135"/>
      <c r="W648" s="135"/>
      <c r="X648" s="135"/>
      <c r="Y648" s="135"/>
      <c r="Z648" s="135"/>
    </row>
    <row r="649" spans="1:26" ht="12.75">
      <c r="A649" s="136" t="s">
        <v>8</v>
      </c>
      <c r="B649" s="136" t="s">
        <v>7529</v>
      </c>
      <c r="C649" s="136" t="s">
        <v>7540</v>
      </c>
      <c r="D649" s="136" t="s">
        <v>136</v>
      </c>
      <c r="E649" s="136" t="s">
        <v>615</v>
      </c>
      <c r="F649" s="136">
        <v>15</v>
      </c>
      <c r="G649" s="137">
        <f t="shared" si="2"/>
        <v>13</v>
      </c>
      <c r="H649" s="137"/>
      <c r="I649" s="137"/>
      <c r="J649" s="135"/>
      <c r="K649" s="135"/>
      <c r="L649" s="135"/>
      <c r="M649" s="135"/>
      <c r="N649" s="135"/>
      <c r="O649" s="135"/>
      <c r="P649" s="135"/>
      <c r="Q649" s="135"/>
      <c r="R649" s="135"/>
      <c r="S649" s="135"/>
      <c r="T649" s="135"/>
      <c r="U649" s="135"/>
      <c r="V649" s="135"/>
      <c r="W649" s="135"/>
      <c r="X649" s="135"/>
      <c r="Y649" s="135"/>
      <c r="Z649" s="135"/>
    </row>
    <row r="650" spans="1:26" ht="12.75">
      <c r="A650" s="136" t="s">
        <v>8</v>
      </c>
      <c r="B650" s="136" t="s">
        <v>7529</v>
      </c>
      <c r="C650" s="136" t="s">
        <v>7540</v>
      </c>
      <c r="D650" s="136" t="s">
        <v>7531</v>
      </c>
      <c r="E650" s="136" t="s">
        <v>615</v>
      </c>
      <c r="F650" s="136">
        <v>5</v>
      </c>
      <c r="G650" s="137">
        <f t="shared" si="2"/>
        <v>14</v>
      </c>
      <c r="H650" s="137"/>
      <c r="I650" s="137"/>
      <c r="J650" s="135"/>
      <c r="K650" s="135"/>
      <c r="L650" s="135"/>
      <c r="M650" s="135"/>
      <c r="N650" s="135"/>
      <c r="O650" s="135"/>
      <c r="P650" s="135"/>
      <c r="Q650" s="135"/>
      <c r="R650" s="135"/>
      <c r="S650" s="135"/>
      <c r="T650" s="135"/>
      <c r="U650" s="135"/>
      <c r="V650" s="135"/>
      <c r="W650" s="135"/>
      <c r="X650" s="135"/>
      <c r="Y650" s="135"/>
      <c r="Z650" s="135"/>
    </row>
    <row r="651" spans="1:26" ht="12.75">
      <c r="A651" s="136" t="s">
        <v>8</v>
      </c>
      <c r="B651" s="136" t="s">
        <v>7529</v>
      </c>
      <c r="C651" s="136" t="s">
        <v>7540</v>
      </c>
      <c r="D651" s="136" t="s">
        <v>7536</v>
      </c>
      <c r="E651" s="136" t="s">
        <v>86</v>
      </c>
      <c r="F651" s="136">
        <v>2</v>
      </c>
      <c r="G651" s="137">
        <f t="shared" si="2"/>
        <v>15</v>
      </c>
      <c r="H651" s="137"/>
      <c r="I651" s="137"/>
      <c r="J651" s="135"/>
      <c r="K651" s="135"/>
      <c r="L651" s="135"/>
      <c r="M651" s="135"/>
      <c r="N651" s="135"/>
      <c r="O651" s="135"/>
      <c r="P651" s="135"/>
      <c r="Q651" s="135"/>
      <c r="R651" s="135"/>
      <c r="S651" s="135"/>
      <c r="T651" s="135"/>
      <c r="U651" s="135"/>
      <c r="V651" s="135"/>
      <c r="W651" s="135"/>
      <c r="X651" s="135"/>
      <c r="Y651" s="135"/>
      <c r="Z651" s="135"/>
    </row>
    <row r="652" spans="1:26" ht="12.75">
      <c r="A652" s="136" t="s">
        <v>8</v>
      </c>
      <c r="B652" s="136" t="s">
        <v>7529</v>
      </c>
      <c r="C652" s="136" t="s">
        <v>325</v>
      </c>
      <c r="D652" s="136" t="s">
        <v>7530</v>
      </c>
      <c r="E652" s="136" t="s">
        <v>85</v>
      </c>
      <c r="F652" s="136">
        <v>873</v>
      </c>
      <c r="G652" s="137">
        <f t="shared" si="2"/>
        <v>1</v>
      </c>
      <c r="H652" s="137"/>
      <c r="I652" s="137"/>
      <c r="J652" s="135"/>
      <c r="K652" s="135"/>
      <c r="L652" s="135"/>
      <c r="M652" s="135"/>
      <c r="N652" s="135"/>
      <c r="O652" s="135"/>
      <c r="P652" s="135"/>
      <c r="Q652" s="135"/>
      <c r="R652" s="135"/>
      <c r="S652" s="135"/>
      <c r="T652" s="135"/>
      <c r="U652" s="135"/>
      <c r="V652" s="135"/>
      <c r="W652" s="135"/>
      <c r="X652" s="135"/>
      <c r="Y652" s="135"/>
      <c r="Z652" s="135"/>
    </row>
    <row r="653" spans="1:26" ht="12.75">
      <c r="A653" s="136" t="s">
        <v>8</v>
      </c>
      <c r="B653" s="136" t="s">
        <v>7529</v>
      </c>
      <c r="C653" s="136" t="s">
        <v>325</v>
      </c>
      <c r="D653" s="136" t="s">
        <v>107</v>
      </c>
      <c r="E653" s="136" t="s">
        <v>615</v>
      </c>
      <c r="F653" s="136">
        <v>500</v>
      </c>
      <c r="G653" s="137">
        <f t="shared" si="2"/>
        <v>3</v>
      </c>
      <c r="H653" s="137"/>
      <c r="I653" s="137"/>
      <c r="J653" s="135"/>
      <c r="K653" s="135"/>
      <c r="L653" s="135"/>
      <c r="M653" s="135"/>
      <c r="N653" s="135"/>
      <c r="O653" s="135"/>
      <c r="P653" s="135"/>
      <c r="Q653" s="135"/>
      <c r="R653" s="135"/>
      <c r="S653" s="135"/>
      <c r="T653" s="135"/>
      <c r="U653" s="135"/>
      <c r="V653" s="135"/>
      <c r="W653" s="135"/>
      <c r="X653" s="135"/>
      <c r="Y653" s="135"/>
      <c r="Z653" s="135"/>
    </row>
    <row r="654" spans="1:26" ht="12.75">
      <c r="A654" s="136" t="s">
        <v>8</v>
      </c>
      <c r="B654" s="136" t="s">
        <v>7529</v>
      </c>
      <c r="C654" s="136" t="s">
        <v>325</v>
      </c>
      <c r="D654" s="136" t="s">
        <v>154</v>
      </c>
      <c r="E654" s="136" t="s">
        <v>615</v>
      </c>
      <c r="F654" s="136">
        <v>325</v>
      </c>
      <c r="G654" s="137">
        <f t="shared" si="2"/>
        <v>4</v>
      </c>
      <c r="H654" s="137"/>
      <c r="I654" s="137"/>
      <c r="J654" s="135"/>
      <c r="K654" s="135"/>
      <c r="L654" s="135"/>
      <c r="M654" s="135"/>
      <c r="N654" s="135"/>
      <c r="O654" s="135"/>
      <c r="P654" s="135"/>
      <c r="Q654" s="135"/>
      <c r="R654" s="135"/>
      <c r="S654" s="135"/>
      <c r="T654" s="135"/>
      <c r="U654" s="135"/>
      <c r="V654" s="135"/>
      <c r="W654" s="135"/>
      <c r="X654" s="135"/>
      <c r="Y654" s="135"/>
      <c r="Z654" s="135"/>
    </row>
    <row r="655" spans="1:26" ht="12.75">
      <c r="A655" s="136" t="s">
        <v>8</v>
      </c>
      <c r="B655" s="136" t="s">
        <v>7529</v>
      </c>
      <c r="C655" s="136" t="s">
        <v>325</v>
      </c>
      <c r="D655" s="136" t="s">
        <v>467</v>
      </c>
      <c r="E655" s="136" t="s">
        <v>85</v>
      </c>
      <c r="F655" s="136">
        <v>294</v>
      </c>
      <c r="G655" s="137">
        <f t="shared" si="2"/>
        <v>5</v>
      </c>
      <c r="H655" s="137"/>
      <c r="I655" s="137"/>
      <c r="J655" s="135"/>
      <c r="K655" s="135"/>
      <c r="L655" s="135"/>
      <c r="M655" s="135"/>
      <c r="N655" s="135"/>
      <c r="O655" s="135"/>
      <c r="P655" s="135"/>
      <c r="Q655" s="135"/>
      <c r="R655" s="135"/>
      <c r="S655" s="135"/>
      <c r="T655" s="135"/>
      <c r="U655" s="135"/>
      <c r="V655" s="135"/>
      <c r="W655" s="135"/>
      <c r="X655" s="135"/>
      <c r="Y655" s="135"/>
      <c r="Z655" s="135"/>
    </row>
    <row r="656" spans="1:26" ht="12.75">
      <c r="A656" s="136" t="s">
        <v>8</v>
      </c>
      <c r="B656" s="136" t="s">
        <v>7529</v>
      </c>
      <c r="C656" s="136" t="s">
        <v>325</v>
      </c>
      <c r="D656" s="136" t="s">
        <v>1665</v>
      </c>
      <c r="E656" s="136" t="s">
        <v>615</v>
      </c>
      <c r="F656" s="136">
        <v>235</v>
      </c>
      <c r="G656" s="137">
        <f t="shared" si="2"/>
        <v>6</v>
      </c>
      <c r="H656" s="137"/>
      <c r="I656" s="137"/>
      <c r="J656" s="135"/>
      <c r="K656" s="135"/>
      <c r="L656" s="135"/>
      <c r="M656" s="135"/>
      <c r="N656" s="135"/>
      <c r="O656" s="135"/>
      <c r="P656" s="135"/>
      <c r="Q656" s="135"/>
      <c r="R656" s="135"/>
      <c r="S656" s="135"/>
      <c r="T656" s="135"/>
      <c r="U656" s="135"/>
      <c r="V656" s="135"/>
      <c r="W656" s="135"/>
      <c r="X656" s="135"/>
      <c r="Y656" s="135"/>
      <c r="Z656" s="135"/>
    </row>
    <row r="657" spans="1:26" ht="12.75">
      <c r="A657" s="136" t="s">
        <v>8</v>
      </c>
      <c r="B657" s="136" t="s">
        <v>7529</v>
      </c>
      <c r="C657" s="136" t="s">
        <v>325</v>
      </c>
      <c r="D657" s="136" t="s">
        <v>136</v>
      </c>
      <c r="E657" s="136" t="s">
        <v>615</v>
      </c>
      <c r="F657" s="136">
        <v>215</v>
      </c>
      <c r="G657" s="137">
        <f t="shared" si="2"/>
        <v>7</v>
      </c>
      <c r="H657" s="137"/>
      <c r="I657" s="137"/>
      <c r="J657" s="135"/>
      <c r="K657" s="135"/>
      <c r="L657" s="135"/>
      <c r="M657" s="135"/>
      <c r="N657" s="135"/>
      <c r="O657" s="135"/>
      <c r="P657" s="135"/>
      <c r="Q657" s="135"/>
      <c r="R657" s="135"/>
      <c r="S657" s="135"/>
      <c r="T657" s="135"/>
      <c r="U657" s="135"/>
      <c r="V657" s="135"/>
      <c r="W657" s="135"/>
      <c r="X657" s="135"/>
      <c r="Y657" s="135"/>
      <c r="Z657" s="135"/>
    </row>
    <row r="658" spans="1:26" ht="12.75">
      <c r="A658" s="136" t="s">
        <v>8</v>
      </c>
      <c r="B658" s="136" t="s">
        <v>7529</v>
      </c>
      <c r="C658" s="136" t="s">
        <v>325</v>
      </c>
      <c r="D658" s="136" t="s">
        <v>139</v>
      </c>
      <c r="E658" s="136" t="s">
        <v>594</v>
      </c>
      <c r="F658" s="136">
        <v>202</v>
      </c>
      <c r="G658" s="137">
        <f t="shared" si="2"/>
        <v>9</v>
      </c>
      <c r="H658" s="137"/>
      <c r="I658" s="137"/>
      <c r="J658" s="135"/>
      <c r="K658" s="135"/>
      <c r="L658" s="135"/>
      <c r="M658" s="135"/>
      <c r="N658" s="135"/>
      <c r="O658" s="135"/>
      <c r="P658" s="135"/>
      <c r="Q658" s="135"/>
      <c r="R658" s="135"/>
      <c r="S658" s="135"/>
      <c r="T658" s="135"/>
      <c r="U658" s="135"/>
      <c r="V658" s="135"/>
      <c r="W658" s="135"/>
      <c r="X658" s="135"/>
      <c r="Y658" s="135"/>
      <c r="Z658" s="135"/>
    </row>
    <row r="659" spans="1:26" ht="12.75">
      <c r="A659" s="136" t="s">
        <v>8</v>
      </c>
      <c r="B659" s="136" t="s">
        <v>7529</v>
      </c>
      <c r="C659" s="136" t="s">
        <v>325</v>
      </c>
      <c r="D659" s="136" t="s">
        <v>7535</v>
      </c>
      <c r="E659" s="136" t="s">
        <v>615</v>
      </c>
      <c r="F659" s="136">
        <v>187</v>
      </c>
      <c r="G659" s="137">
        <f t="shared" si="2"/>
        <v>10</v>
      </c>
      <c r="H659" s="137"/>
      <c r="I659" s="137"/>
      <c r="J659" s="135"/>
      <c r="K659" s="135"/>
      <c r="L659" s="135"/>
      <c r="M659" s="135"/>
      <c r="N659" s="135"/>
      <c r="O659" s="135"/>
      <c r="P659" s="135"/>
      <c r="Q659" s="135"/>
      <c r="R659" s="135"/>
      <c r="S659" s="135"/>
      <c r="T659" s="135"/>
      <c r="U659" s="135"/>
      <c r="V659" s="135"/>
      <c r="W659" s="135"/>
      <c r="X659" s="135"/>
      <c r="Y659" s="135"/>
      <c r="Z659" s="135"/>
    </row>
    <row r="660" spans="1:26" ht="12.75">
      <c r="A660" s="136" t="s">
        <v>8</v>
      </c>
      <c r="B660" s="136" t="s">
        <v>7529</v>
      </c>
      <c r="C660" s="136" t="s">
        <v>325</v>
      </c>
      <c r="D660" s="136" t="s">
        <v>1646</v>
      </c>
      <c r="E660" s="136" t="s">
        <v>615</v>
      </c>
      <c r="F660" s="136">
        <v>160</v>
      </c>
      <c r="G660" s="137">
        <f t="shared" si="2"/>
        <v>11</v>
      </c>
      <c r="H660" s="137"/>
      <c r="I660" s="137"/>
      <c r="J660" s="135"/>
      <c r="K660" s="135"/>
      <c r="L660" s="135"/>
      <c r="M660" s="135"/>
      <c r="N660" s="135"/>
      <c r="O660" s="135"/>
      <c r="P660" s="135"/>
      <c r="Q660" s="135"/>
      <c r="R660" s="135"/>
      <c r="S660" s="135"/>
      <c r="T660" s="135"/>
      <c r="U660" s="135"/>
      <c r="V660" s="135"/>
      <c r="W660" s="135"/>
      <c r="X660" s="135"/>
      <c r="Y660" s="135"/>
      <c r="Z660" s="135"/>
    </row>
    <row r="661" spans="1:26" ht="12.75">
      <c r="A661" s="136" t="s">
        <v>8</v>
      </c>
      <c r="B661" s="136" t="s">
        <v>7529</v>
      </c>
      <c r="C661" s="136" t="s">
        <v>325</v>
      </c>
      <c r="D661" s="136" t="s">
        <v>7531</v>
      </c>
      <c r="E661" s="136" t="s">
        <v>615</v>
      </c>
      <c r="F661" s="136">
        <v>70</v>
      </c>
      <c r="G661" s="137">
        <f t="shared" si="2"/>
        <v>15</v>
      </c>
      <c r="H661" s="137"/>
      <c r="I661" s="137"/>
      <c r="J661" s="135"/>
      <c r="K661" s="135"/>
      <c r="L661" s="135"/>
      <c r="M661" s="135"/>
      <c r="N661" s="135"/>
      <c r="O661" s="135"/>
      <c r="P661" s="135"/>
      <c r="Q661" s="135"/>
      <c r="R661" s="135"/>
      <c r="S661" s="135"/>
      <c r="T661" s="135"/>
      <c r="U661" s="135"/>
      <c r="V661" s="135"/>
      <c r="W661" s="135"/>
      <c r="X661" s="135"/>
      <c r="Y661" s="135"/>
      <c r="Z661" s="135"/>
    </row>
    <row r="662" spans="1:26" ht="12.75">
      <c r="A662" s="136" t="s">
        <v>8</v>
      </c>
      <c r="B662" s="136" t="s">
        <v>7529</v>
      </c>
      <c r="C662" s="136" t="s">
        <v>325</v>
      </c>
      <c r="D662" s="136" t="s">
        <v>120</v>
      </c>
      <c r="E662" s="136" t="s">
        <v>615</v>
      </c>
      <c r="F662" s="136">
        <v>65</v>
      </c>
      <c r="G662" s="137">
        <f t="shared" si="2"/>
        <v>16</v>
      </c>
      <c r="H662" s="137"/>
      <c r="I662" s="137"/>
      <c r="J662" s="135"/>
      <c r="K662" s="135"/>
      <c r="L662" s="135"/>
      <c r="M662" s="135"/>
      <c r="N662" s="135"/>
      <c r="O662" s="135"/>
      <c r="P662" s="135"/>
      <c r="Q662" s="135"/>
      <c r="R662" s="135"/>
      <c r="S662" s="135"/>
      <c r="T662" s="135"/>
      <c r="U662" s="135"/>
      <c r="V662" s="135"/>
      <c r="W662" s="135"/>
      <c r="X662" s="135"/>
      <c r="Y662" s="135"/>
      <c r="Z662" s="135"/>
    </row>
    <row r="663" spans="1:26" ht="12.75">
      <c r="A663" s="136" t="s">
        <v>8</v>
      </c>
      <c r="B663" s="136" t="s">
        <v>7529</v>
      </c>
      <c r="C663" s="136" t="s">
        <v>325</v>
      </c>
      <c r="D663" s="136" t="s">
        <v>7533</v>
      </c>
      <c r="E663" s="136" t="s">
        <v>594</v>
      </c>
      <c r="F663" s="136">
        <v>50</v>
      </c>
      <c r="G663" s="137">
        <f t="shared" si="2"/>
        <v>17</v>
      </c>
      <c r="H663" s="137"/>
      <c r="I663" s="137"/>
      <c r="J663" s="135"/>
      <c r="K663" s="135"/>
      <c r="L663" s="135"/>
      <c r="M663" s="135"/>
      <c r="N663" s="135"/>
      <c r="O663" s="135"/>
      <c r="P663" s="135"/>
      <c r="Q663" s="135"/>
      <c r="R663" s="135"/>
      <c r="S663" s="135"/>
      <c r="T663" s="135"/>
      <c r="U663" s="135"/>
      <c r="V663" s="135"/>
      <c r="W663" s="135"/>
      <c r="X663" s="135"/>
      <c r="Y663" s="135"/>
      <c r="Z663" s="135"/>
    </row>
    <row r="664" spans="1:26" ht="12.75">
      <c r="A664" s="136" t="s">
        <v>8</v>
      </c>
      <c r="B664" s="136" t="s">
        <v>7529</v>
      </c>
      <c r="C664" s="136" t="s">
        <v>325</v>
      </c>
      <c r="D664" s="136" t="s">
        <v>7532</v>
      </c>
      <c r="E664" s="136" t="s">
        <v>615</v>
      </c>
      <c r="F664" s="136">
        <v>50</v>
      </c>
      <c r="G664" s="137">
        <f t="shared" si="2"/>
        <v>18</v>
      </c>
      <c r="H664" s="137"/>
      <c r="I664" s="137"/>
      <c r="J664" s="135"/>
      <c r="K664" s="135"/>
      <c r="L664" s="135"/>
      <c r="M664" s="135"/>
      <c r="N664" s="135"/>
      <c r="O664" s="135"/>
      <c r="P664" s="135"/>
      <c r="Q664" s="135"/>
      <c r="R664" s="135"/>
      <c r="S664" s="135"/>
      <c r="T664" s="135"/>
      <c r="U664" s="135"/>
      <c r="V664" s="135"/>
      <c r="W664" s="135"/>
      <c r="X664" s="135"/>
      <c r="Y664" s="135"/>
      <c r="Z664" s="135"/>
    </row>
    <row r="665" spans="1:26" ht="12.75">
      <c r="A665" s="136" t="s">
        <v>8</v>
      </c>
      <c r="B665" s="136" t="s">
        <v>7529</v>
      </c>
      <c r="C665" s="136" t="s">
        <v>325</v>
      </c>
      <c r="D665" s="136" t="s">
        <v>165</v>
      </c>
      <c r="E665" s="136" t="s">
        <v>615</v>
      </c>
      <c r="F665" s="136">
        <v>30</v>
      </c>
      <c r="G665" s="137">
        <f t="shared" si="2"/>
        <v>19</v>
      </c>
      <c r="H665" s="137"/>
      <c r="I665" s="137"/>
      <c r="J665" s="135"/>
      <c r="K665" s="135"/>
      <c r="L665" s="135"/>
      <c r="M665" s="135"/>
      <c r="N665" s="135"/>
      <c r="O665" s="135"/>
      <c r="P665" s="135"/>
      <c r="Q665" s="135"/>
      <c r="R665" s="135"/>
      <c r="S665" s="135"/>
      <c r="T665" s="135"/>
      <c r="U665" s="135"/>
      <c r="V665" s="135"/>
      <c r="W665" s="135"/>
      <c r="X665" s="135"/>
      <c r="Y665" s="135"/>
      <c r="Z665" s="135"/>
    </row>
    <row r="666" spans="1:26" ht="12.75">
      <c r="A666" s="136" t="s">
        <v>8</v>
      </c>
      <c r="B666" s="136" t="s">
        <v>7529</v>
      </c>
      <c r="C666" s="136" t="s">
        <v>325</v>
      </c>
      <c r="D666" s="136" t="s">
        <v>7491</v>
      </c>
      <c r="E666" s="136" t="s">
        <v>615</v>
      </c>
      <c r="F666" s="136">
        <v>27</v>
      </c>
      <c r="G666" s="137">
        <f t="shared" si="2"/>
        <v>21</v>
      </c>
      <c r="H666" s="137"/>
      <c r="I666" s="137"/>
      <c r="J666" s="135"/>
      <c r="K666" s="135"/>
      <c r="L666" s="135"/>
      <c r="M666" s="135"/>
      <c r="N666" s="135"/>
      <c r="O666" s="135"/>
      <c r="P666" s="135"/>
      <c r="Q666" s="135"/>
      <c r="R666" s="135"/>
      <c r="S666" s="135"/>
      <c r="T666" s="135"/>
      <c r="U666" s="135"/>
      <c r="V666" s="135"/>
      <c r="W666" s="135"/>
      <c r="X666" s="135"/>
      <c r="Y666" s="135"/>
      <c r="Z666" s="135"/>
    </row>
    <row r="667" spans="1:26" ht="12.75">
      <c r="A667" s="136" t="s">
        <v>8</v>
      </c>
      <c r="B667" s="136" t="s">
        <v>7529</v>
      </c>
      <c r="C667" s="136" t="s">
        <v>325</v>
      </c>
      <c r="D667" s="136" t="s">
        <v>225</v>
      </c>
      <c r="E667" s="136" t="s">
        <v>615</v>
      </c>
      <c r="F667" s="136">
        <v>20</v>
      </c>
      <c r="G667" s="137">
        <f t="shared" si="2"/>
        <v>22</v>
      </c>
      <c r="H667" s="137"/>
      <c r="I667" s="137"/>
      <c r="J667" s="135"/>
      <c r="K667" s="135"/>
      <c r="L667" s="135"/>
      <c r="M667" s="135"/>
      <c r="N667" s="135"/>
      <c r="O667" s="135"/>
      <c r="P667" s="135"/>
      <c r="Q667" s="135"/>
      <c r="R667" s="135"/>
      <c r="S667" s="135"/>
      <c r="T667" s="135"/>
      <c r="U667" s="135"/>
      <c r="V667" s="135"/>
      <c r="W667" s="135"/>
      <c r="X667" s="135"/>
      <c r="Y667" s="135"/>
      <c r="Z667" s="135"/>
    </row>
    <row r="668" spans="1:26" ht="12.75">
      <c r="A668" s="136" t="s">
        <v>8</v>
      </c>
      <c r="B668" s="136" t="s">
        <v>7529</v>
      </c>
      <c r="C668" s="136" t="s">
        <v>325</v>
      </c>
      <c r="D668" s="136" t="s">
        <v>7536</v>
      </c>
      <c r="E668" s="136" t="s">
        <v>86</v>
      </c>
      <c r="F668" s="136">
        <v>19</v>
      </c>
      <c r="G668" s="137">
        <f t="shared" si="2"/>
        <v>23</v>
      </c>
      <c r="H668" s="137"/>
      <c r="I668" s="137"/>
      <c r="J668" s="135"/>
      <c r="K668" s="135"/>
      <c r="L668" s="135"/>
      <c r="M668" s="135"/>
      <c r="N668" s="135"/>
      <c r="O668" s="135"/>
      <c r="P668" s="135"/>
      <c r="Q668" s="135"/>
      <c r="R668" s="135"/>
      <c r="S668" s="135"/>
      <c r="T668" s="135"/>
      <c r="U668" s="135"/>
      <c r="V668" s="135"/>
      <c r="W668" s="135"/>
      <c r="X668" s="135"/>
      <c r="Y668" s="135"/>
      <c r="Z668" s="135"/>
    </row>
    <row r="669" spans="1:26" ht="12.75">
      <c r="A669" s="136" t="s">
        <v>8</v>
      </c>
      <c r="B669" s="136" t="s">
        <v>7529</v>
      </c>
      <c r="C669" s="136" t="s">
        <v>7541</v>
      </c>
      <c r="D669" s="136" t="s">
        <v>139</v>
      </c>
      <c r="E669" s="136" t="s">
        <v>594</v>
      </c>
      <c r="F669" s="136">
        <v>1020</v>
      </c>
      <c r="G669" s="137">
        <f t="shared" si="2"/>
        <v>1</v>
      </c>
      <c r="H669" s="137"/>
      <c r="I669" s="137"/>
      <c r="J669" s="135"/>
      <c r="K669" s="135"/>
      <c r="L669" s="135"/>
      <c r="M669" s="135"/>
      <c r="N669" s="135"/>
      <c r="O669" s="135"/>
      <c r="P669" s="135"/>
      <c r="Q669" s="135"/>
      <c r="R669" s="135"/>
      <c r="S669" s="135"/>
      <c r="T669" s="135"/>
      <c r="U669" s="135"/>
      <c r="V669" s="135"/>
      <c r="W669" s="135"/>
      <c r="X669" s="135"/>
      <c r="Y669" s="135"/>
      <c r="Z669" s="135"/>
    </row>
    <row r="670" spans="1:26" ht="12.75">
      <c r="A670" s="136" t="s">
        <v>8</v>
      </c>
      <c r="B670" s="136" t="s">
        <v>7529</v>
      </c>
      <c r="C670" s="136" t="s">
        <v>7541</v>
      </c>
      <c r="D670" s="136" t="s">
        <v>7530</v>
      </c>
      <c r="E670" s="136" t="s">
        <v>85</v>
      </c>
      <c r="F670" s="136">
        <v>350</v>
      </c>
      <c r="G670" s="137">
        <f t="shared" si="2"/>
        <v>2</v>
      </c>
      <c r="H670" s="137"/>
      <c r="I670" s="137"/>
      <c r="J670" s="135"/>
      <c r="K670" s="135"/>
      <c r="L670" s="135"/>
      <c r="M670" s="135"/>
      <c r="N670" s="135"/>
      <c r="O670" s="135"/>
      <c r="P670" s="135"/>
      <c r="Q670" s="135"/>
      <c r="R670" s="135"/>
      <c r="S670" s="135"/>
      <c r="T670" s="135"/>
      <c r="U670" s="135"/>
      <c r="V670" s="135"/>
      <c r="W670" s="135"/>
      <c r="X670" s="135"/>
      <c r="Y670" s="135"/>
      <c r="Z670" s="135"/>
    </row>
    <row r="671" spans="1:26" ht="12.75">
      <c r="A671" s="136" t="s">
        <v>8</v>
      </c>
      <c r="B671" s="136" t="s">
        <v>7529</v>
      </c>
      <c r="C671" s="136" t="s">
        <v>7541</v>
      </c>
      <c r="D671" s="136" t="s">
        <v>467</v>
      </c>
      <c r="E671" s="136" t="s">
        <v>85</v>
      </c>
      <c r="F671" s="136">
        <v>197</v>
      </c>
      <c r="G671" s="137">
        <f t="shared" si="2"/>
        <v>3</v>
      </c>
      <c r="H671" s="137"/>
      <c r="I671" s="137"/>
      <c r="J671" s="135"/>
      <c r="K671" s="135"/>
      <c r="L671" s="135"/>
      <c r="M671" s="135"/>
      <c r="N671" s="135"/>
      <c r="O671" s="135"/>
      <c r="P671" s="135"/>
      <c r="Q671" s="135"/>
      <c r="R671" s="135"/>
      <c r="S671" s="135"/>
      <c r="T671" s="135"/>
      <c r="U671" s="135"/>
      <c r="V671" s="135"/>
      <c r="W671" s="135"/>
      <c r="X671" s="135"/>
      <c r="Y671" s="135"/>
      <c r="Z671" s="135"/>
    </row>
    <row r="672" spans="1:26" ht="12.75">
      <c r="A672" s="136" t="s">
        <v>8</v>
      </c>
      <c r="B672" s="136" t="s">
        <v>7529</v>
      </c>
      <c r="C672" s="136" t="s">
        <v>7541</v>
      </c>
      <c r="D672" s="136" t="s">
        <v>154</v>
      </c>
      <c r="E672" s="136" t="s">
        <v>615</v>
      </c>
      <c r="F672" s="136">
        <v>113</v>
      </c>
      <c r="G672" s="137">
        <f t="shared" si="2"/>
        <v>4</v>
      </c>
      <c r="H672" s="137"/>
      <c r="I672" s="137"/>
      <c r="J672" s="135"/>
      <c r="K672" s="135"/>
      <c r="L672" s="135"/>
      <c r="M672" s="135"/>
      <c r="N672" s="135"/>
      <c r="O672" s="135"/>
      <c r="P672" s="135"/>
      <c r="Q672" s="135"/>
      <c r="R672" s="135"/>
      <c r="S672" s="135"/>
      <c r="T672" s="135"/>
      <c r="U672" s="135"/>
      <c r="V672" s="135"/>
      <c r="W672" s="135"/>
      <c r="X672" s="135"/>
      <c r="Y672" s="135"/>
      <c r="Z672" s="135"/>
    </row>
    <row r="673" spans="1:26" ht="12.75">
      <c r="A673" s="136" t="s">
        <v>8</v>
      </c>
      <c r="B673" s="136" t="s">
        <v>7529</v>
      </c>
      <c r="C673" s="136" t="s">
        <v>7541</v>
      </c>
      <c r="D673" s="136" t="s">
        <v>107</v>
      </c>
      <c r="E673" s="136" t="s">
        <v>615</v>
      </c>
      <c r="F673" s="136">
        <v>100</v>
      </c>
      <c r="G673" s="137">
        <f t="shared" si="2"/>
        <v>5</v>
      </c>
      <c r="H673" s="137"/>
      <c r="I673" s="137"/>
      <c r="J673" s="135"/>
      <c r="K673" s="135"/>
      <c r="L673" s="135"/>
      <c r="M673" s="135"/>
      <c r="N673" s="135"/>
      <c r="O673" s="135"/>
      <c r="P673" s="135"/>
      <c r="Q673" s="135"/>
      <c r="R673" s="135"/>
      <c r="S673" s="135"/>
      <c r="T673" s="135"/>
      <c r="U673" s="135"/>
      <c r="V673" s="135"/>
      <c r="W673" s="135"/>
      <c r="X673" s="135"/>
      <c r="Y673" s="135"/>
      <c r="Z673" s="135"/>
    </row>
    <row r="674" spans="1:26" ht="12.75">
      <c r="A674" s="136" t="s">
        <v>8</v>
      </c>
      <c r="B674" s="136" t="s">
        <v>7529</v>
      </c>
      <c r="C674" s="136" t="s">
        <v>7541</v>
      </c>
      <c r="D674" s="136" t="s">
        <v>368</v>
      </c>
      <c r="E674" s="136" t="s">
        <v>594</v>
      </c>
      <c r="F674" s="136">
        <v>65</v>
      </c>
      <c r="G674" s="137">
        <f t="shared" si="2"/>
        <v>6</v>
      </c>
      <c r="H674" s="137"/>
      <c r="I674" s="137"/>
      <c r="J674" s="135"/>
      <c r="K674" s="135"/>
      <c r="L674" s="135"/>
      <c r="M674" s="135"/>
      <c r="N674" s="135"/>
      <c r="O674" s="135"/>
      <c r="P674" s="135"/>
      <c r="Q674" s="135"/>
      <c r="R674" s="135"/>
      <c r="S674" s="135"/>
      <c r="T674" s="135"/>
      <c r="U674" s="135"/>
      <c r="V674" s="135"/>
      <c r="W674" s="135"/>
      <c r="X674" s="135"/>
      <c r="Y674" s="135"/>
      <c r="Z674" s="135"/>
    </row>
    <row r="675" spans="1:26" ht="12.75">
      <c r="A675" s="136" t="s">
        <v>8</v>
      </c>
      <c r="B675" s="136" t="s">
        <v>7529</v>
      </c>
      <c r="C675" s="136" t="s">
        <v>7541</v>
      </c>
      <c r="D675" s="136" t="s">
        <v>136</v>
      </c>
      <c r="E675" s="136" t="s">
        <v>615</v>
      </c>
      <c r="F675" s="136">
        <v>50</v>
      </c>
      <c r="G675" s="137">
        <f t="shared" si="2"/>
        <v>7</v>
      </c>
      <c r="H675" s="137"/>
      <c r="I675" s="137"/>
      <c r="J675" s="135"/>
      <c r="K675" s="135"/>
      <c r="L675" s="135"/>
      <c r="M675" s="135"/>
      <c r="N675" s="135"/>
      <c r="O675" s="135"/>
      <c r="P675" s="135"/>
      <c r="Q675" s="135"/>
      <c r="R675" s="135"/>
      <c r="S675" s="135"/>
      <c r="T675" s="135"/>
      <c r="U675" s="135"/>
      <c r="V675" s="135"/>
      <c r="W675" s="135"/>
      <c r="X675" s="135"/>
      <c r="Y675" s="135"/>
      <c r="Z675" s="135"/>
    </row>
    <row r="676" spans="1:26" ht="12.75">
      <c r="A676" s="136" t="s">
        <v>8</v>
      </c>
      <c r="B676" s="136" t="s">
        <v>7529</v>
      </c>
      <c r="C676" s="136" t="s">
        <v>7541</v>
      </c>
      <c r="D676" s="136" t="s">
        <v>1626</v>
      </c>
      <c r="E676" s="136" t="s">
        <v>594</v>
      </c>
      <c r="F676" s="136">
        <v>35</v>
      </c>
      <c r="G676" s="137">
        <f t="shared" si="2"/>
        <v>8</v>
      </c>
      <c r="H676" s="137"/>
      <c r="I676" s="137"/>
      <c r="J676" s="135"/>
      <c r="K676" s="135"/>
      <c r="L676" s="135"/>
      <c r="M676" s="135"/>
      <c r="N676" s="135"/>
      <c r="O676" s="135"/>
      <c r="P676" s="135"/>
      <c r="Q676" s="135"/>
      <c r="R676" s="135"/>
      <c r="S676" s="135"/>
      <c r="T676" s="135"/>
      <c r="U676" s="135"/>
      <c r="V676" s="135"/>
      <c r="W676" s="135"/>
      <c r="X676" s="135"/>
      <c r="Y676" s="135"/>
      <c r="Z676" s="135"/>
    </row>
    <row r="677" spans="1:26" ht="12.75">
      <c r="A677" s="136" t="s">
        <v>8</v>
      </c>
      <c r="B677" s="136" t="s">
        <v>7529</v>
      </c>
      <c r="C677" s="136" t="s">
        <v>7541</v>
      </c>
      <c r="D677" s="136" t="s">
        <v>1665</v>
      </c>
      <c r="E677" s="136" t="s">
        <v>615</v>
      </c>
      <c r="F677" s="136">
        <v>35</v>
      </c>
      <c r="G677" s="137">
        <f t="shared" si="2"/>
        <v>9</v>
      </c>
      <c r="H677" s="137"/>
      <c r="I677" s="137"/>
      <c r="J677" s="135"/>
      <c r="K677" s="135"/>
      <c r="L677" s="135"/>
      <c r="M677" s="135"/>
      <c r="N677" s="135"/>
      <c r="O677" s="135"/>
      <c r="P677" s="135"/>
      <c r="Q677" s="135"/>
      <c r="R677" s="135"/>
      <c r="S677" s="135"/>
      <c r="T677" s="135"/>
      <c r="U677" s="135"/>
      <c r="V677" s="135"/>
      <c r="W677" s="135"/>
      <c r="X677" s="135"/>
      <c r="Y677" s="135"/>
      <c r="Z677" s="135"/>
    </row>
    <row r="678" spans="1:26" ht="12.75">
      <c r="A678" s="136" t="s">
        <v>8</v>
      </c>
      <c r="B678" s="136" t="s">
        <v>7529</v>
      </c>
      <c r="C678" s="136" t="s">
        <v>7541</v>
      </c>
      <c r="D678" s="136" t="s">
        <v>7533</v>
      </c>
      <c r="E678" s="136" t="s">
        <v>594</v>
      </c>
      <c r="F678" s="136">
        <v>30</v>
      </c>
      <c r="G678" s="137">
        <f t="shared" si="2"/>
        <v>10</v>
      </c>
      <c r="H678" s="137"/>
      <c r="I678" s="137"/>
      <c r="J678" s="135"/>
      <c r="K678" s="135"/>
      <c r="L678" s="135"/>
      <c r="M678" s="135"/>
      <c r="N678" s="135"/>
      <c r="O678" s="135"/>
      <c r="P678" s="135"/>
      <c r="Q678" s="135"/>
      <c r="R678" s="135"/>
      <c r="S678" s="135"/>
      <c r="T678" s="135"/>
      <c r="U678" s="135"/>
      <c r="V678" s="135"/>
      <c r="W678" s="135"/>
      <c r="X678" s="135"/>
      <c r="Y678" s="135"/>
      <c r="Z678" s="135"/>
    </row>
    <row r="679" spans="1:26" ht="12.75">
      <c r="A679" s="136" t="s">
        <v>8</v>
      </c>
      <c r="B679" s="136" t="s">
        <v>7529</v>
      </c>
      <c r="C679" s="136" t="s">
        <v>7541</v>
      </c>
      <c r="D679" s="136" t="s">
        <v>7531</v>
      </c>
      <c r="E679" s="136" t="s">
        <v>615</v>
      </c>
      <c r="F679" s="136">
        <v>25</v>
      </c>
      <c r="G679" s="137">
        <f t="shared" si="2"/>
        <v>11</v>
      </c>
      <c r="H679" s="137"/>
      <c r="I679" s="137"/>
      <c r="J679" s="135"/>
      <c r="K679" s="135"/>
      <c r="L679" s="135"/>
      <c r="M679" s="135"/>
      <c r="N679" s="135"/>
      <c r="O679" s="135"/>
      <c r="P679" s="135"/>
      <c r="Q679" s="135"/>
      <c r="R679" s="135"/>
      <c r="S679" s="135"/>
      <c r="T679" s="135"/>
      <c r="U679" s="135"/>
      <c r="V679" s="135"/>
      <c r="W679" s="135"/>
      <c r="X679" s="135"/>
      <c r="Y679" s="135"/>
      <c r="Z679" s="135"/>
    </row>
    <row r="680" spans="1:26" ht="12.75">
      <c r="A680" s="136" t="s">
        <v>8</v>
      </c>
      <c r="B680" s="136" t="s">
        <v>7529</v>
      </c>
      <c r="C680" s="136" t="s">
        <v>7541</v>
      </c>
      <c r="D680" s="136" t="s">
        <v>7532</v>
      </c>
      <c r="E680" s="136" t="s">
        <v>615</v>
      </c>
      <c r="F680" s="136">
        <v>25</v>
      </c>
      <c r="G680" s="137">
        <f t="shared" si="2"/>
        <v>12</v>
      </c>
      <c r="H680" s="137"/>
      <c r="I680" s="137"/>
      <c r="J680" s="135"/>
      <c r="K680" s="135"/>
      <c r="L680" s="135"/>
      <c r="M680" s="135"/>
      <c r="N680" s="135"/>
      <c r="O680" s="135"/>
      <c r="P680" s="135"/>
      <c r="Q680" s="135"/>
      <c r="R680" s="135"/>
      <c r="S680" s="135"/>
      <c r="T680" s="135"/>
      <c r="U680" s="135"/>
      <c r="V680" s="135"/>
      <c r="W680" s="135"/>
      <c r="X680" s="135"/>
      <c r="Y680" s="135"/>
      <c r="Z680" s="135"/>
    </row>
    <row r="681" spans="1:26" ht="12.75">
      <c r="A681" s="136" t="s">
        <v>8</v>
      </c>
      <c r="B681" s="136" t="s">
        <v>7529</v>
      </c>
      <c r="C681" s="136" t="s">
        <v>7541</v>
      </c>
      <c r="D681" s="136" t="s">
        <v>7491</v>
      </c>
      <c r="E681" s="136" t="s">
        <v>615</v>
      </c>
      <c r="F681" s="136">
        <v>21</v>
      </c>
      <c r="G681" s="137">
        <f t="shared" si="2"/>
        <v>13</v>
      </c>
      <c r="H681" s="137"/>
      <c r="I681" s="137"/>
      <c r="J681" s="135"/>
      <c r="K681" s="135"/>
      <c r="L681" s="135"/>
      <c r="M681" s="135"/>
      <c r="N681" s="135"/>
      <c r="O681" s="135"/>
      <c r="P681" s="135"/>
      <c r="Q681" s="135"/>
      <c r="R681" s="135"/>
      <c r="S681" s="135"/>
      <c r="T681" s="135"/>
      <c r="U681" s="135"/>
      <c r="V681" s="135"/>
      <c r="W681" s="135"/>
      <c r="X681" s="135"/>
      <c r="Y681" s="135"/>
      <c r="Z681" s="135"/>
    </row>
    <row r="682" spans="1:26" ht="12.75">
      <c r="A682" s="136" t="s">
        <v>8</v>
      </c>
      <c r="B682" s="136" t="s">
        <v>7529</v>
      </c>
      <c r="C682" s="136" t="s">
        <v>7541</v>
      </c>
      <c r="D682" s="136" t="s">
        <v>165</v>
      </c>
      <c r="E682" s="136" t="s">
        <v>615</v>
      </c>
      <c r="F682" s="136">
        <v>15</v>
      </c>
      <c r="G682" s="137">
        <f t="shared" si="2"/>
        <v>14</v>
      </c>
      <c r="H682" s="137"/>
      <c r="I682" s="137"/>
      <c r="J682" s="135"/>
      <c r="K682" s="135"/>
      <c r="L682" s="135"/>
      <c r="M682" s="135"/>
      <c r="N682" s="135"/>
      <c r="O682" s="135"/>
      <c r="P682" s="135"/>
      <c r="Q682" s="135"/>
      <c r="R682" s="135"/>
      <c r="S682" s="135"/>
      <c r="T682" s="135"/>
      <c r="U682" s="135"/>
      <c r="V682" s="135"/>
      <c r="W682" s="135"/>
      <c r="X682" s="135"/>
      <c r="Y682" s="135"/>
      <c r="Z682" s="135"/>
    </row>
    <row r="683" spans="1:26" ht="12.75">
      <c r="A683" s="136" t="s">
        <v>8</v>
      </c>
      <c r="B683" s="136" t="s">
        <v>7529</v>
      </c>
      <c r="C683" s="136" t="s">
        <v>7541</v>
      </c>
      <c r="D683" s="136" t="s">
        <v>437</v>
      </c>
      <c r="E683" s="136" t="s">
        <v>594</v>
      </c>
      <c r="F683" s="136">
        <v>10</v>
      </c>
      <c r="G683" s="137">
        <f t="shared" si="2"/>
        <v>15</v>
      </c>
      <c r="H683" s="137"/>
      <c r="I683" s="137"/>
      <c r="J683" s="135"/>
      <c r="K683" s="135"/>
      <c r="L683" s="135"/>
      <c r="M683" s="135"/>
      <c r="N683" s="135"/>
      <c r="O683" s="135"/>
      <c r="P683" s="135"/>
      <c r="Q683" s="135"/>
      <c r="R683" s="135"/>
      <c r="S683" s="135"/>
      <c r="T683" s="135"/>
      <c r="U683" s="135"/>
      <c r="V683" s="135"/>
      <c r="W683" s="135"/>
      <c r="X683" s="135"/>
      <c r="Y683" s="135"/>
      <c r="Z683" s="135"/>
    </row>
    <row r="684" spans="1:26" ht="12.75">
      <c r="A684" s="136" t="s">
        <v>8</v>
      </c>
      <c r="B684" s="136" t="s">
        <v>7542</v>
      </c>
      <c r="C684" s="136" t="s">
        <v>7543</v>
      </c>
      <c r="D684" s="136" t="s">
        <v>139</v>
      </c>
      <c r="E684" s="136" t="s">
        <v>594</v>
      </c>
      <c r="F684" s="136">
        <v>1875</v>
      </c>
      <c r="G684" s="137">
        <f t="shared" si="2"/>
        <v>1</v>
      </c>
      <c r="H684" s="137"/>
      <c r="I684" s="137"/>
      <c r="J684" s="135"/>
      <c r="K684" s="135"/>
      <c r="L684" s="135"/>
      <c r="M684" s="135"/>
      <c r="N684" s="135"/>
      <c r="O684" s="135"/>
      <c r="P684" s="135"/>
      <c r="Q684" s="135"/>
      <c r="R684" s="135"/>
      <c r="S684" s="135"/>
      <c r="T684" s="135"/>
      <c r="U684" s="135"/>
      <c r="V684" s="135"/>
      <c r="W684" s="135"/>
      <c r="X684" s="135"/>
      <c r="Y684" s="135"/>
      <c r="Z684" s="135"/>
    </row>
    <row r="685" spans="1:26" ht="12.75">
      <c r="A685" s="136" t="s">
        <v>8</v>
      </c>
      <c r="B685" s="136" t="s">
        <v>7542</v>
      </c>
      <c r="C685" s="136" t="s">
        <v>7543</v>
      </c>
      <c r="D685" s="136" t="s">
        <v>107</v>
      </c>
      <c r="E685" s="136" t="s">
        <v>615</v>
      </c>
      <c r="F685" s="136">
        <v>386</v>
      </c>
      <c r="G685" s="137">
        <f t="shared" si="2"/>
        <v>2</v>
      </c>
      <c r="H685" s="137"/>
      <c r="I685" s="137"/>
      <c r="J685" s="135"/>
      <c r="K685" s="135"/>
      <c r="L685" s="135"/>
      <c r="M685" s="135"/>
      <c r="N685" s="135"/>
      <c r="O685" s="135"/>
      <c r="P685" s="135"/>
      <c r="Q685" s="135"/>
      <c r="R685" s="135"/>
      <c r="S685" s="135"/>
      <c r="T685" s="135"/>
      <c r="U685" s="135"/>
      <c r="V685" s="135"/>
      <c r="W685" s="135"/>
      <c r="X685" s="135"/>
      <c r="Y685" s="135"/>
      <c r="Z685" s="135"/>
    </row>
    <row r="686" spans="1:26" ht="12.75">
      <c r="A686" s="136" t="s">
        <v>8</v>
      </c>
      <c r="B686" s="136" t="s">
        <v>7542</v>
      </c>
      <c r="C686" s="136" t="s">
        <v>7543</v>
      </c>
      <c r="D686" s="136" t="s">
        <v>368</v>
      </c>
      <c r="E686" s="136" t="s">
        <v>594</v>
      </c>
      <c r="F686" s="136">
        <v>250</v>
      </c>
      <c r="G686" s="137">
        <f t="shared" si="2"/>
        <v>3</v>
      </c>
      <c r="H686" s="137"/>
      <c r="I686" s="137"/>
      <c r="J686" s="135"/>
      <c r="K686" s="135"/>
      <c r="L686" s="135"/>
      <c r="M686" s="135"/>
      <c r="N686" s="135"/>
      <c r="O686" s="135"/>
      <c r="P686" s="135"/>
      <c r="Q686" s="135"/>
      <c r="R686" s="135"/>
      <c r="S686" s="135"/>
      <c r="T686" s="135"/>
      <c r="U686" s="135"/>
      <c r="V686" s="135"/>
      <c r="W686" s="135"/>
      <c r="X686" s="135"/>
      <c r="Y686" s="135"/>
      <c r="Z686" s="135"/>
    </row>
    <row r="687" spans="1:26" ht="12.75">
      <c r="A687" s="136" t="s">
        <v>8</v>
      </c>
      <c r="B687" s="136" t="s">
        <v>7542</v>
      </c>
      <c r="C687" s="136" t="s">
        <v>7543</v>
      </c>
      <c r="D687" s="136" t="s">
        <v>7530</v>
      </c>
      <c r="E687" s="136" t="s">
        <v>85</v>
      </c>
      <c r="F687" s="136">
        <v>219</v>
      </c>
      <c r="G687" s="137">
        <f t="shared" si="2"/>
        <v>4</v>
      </c>
      <c r="H687" s="137"/>
      <c r="I687" s="137"/>
      <c r="J687" s="135"/>
      <c r="K687" s="135"/>
      <c r="L687" s="135"/>
      <c r="M687" s="135"/>
      <c r="N687" s="135"/>
      <c r="O687" s="135"/>
      <c r="P687" s="135"/>
      <c r="Q687" s="135"/>
      <c r="R687" s="135"/>
      <c r="S687" s="135"/>
      <c r="T687" s="135"/>
      <c r="U687" s="135"/>
      <c r="V687" s="135"/>
      <c r="W687" s="135"/>
      <c r="X687" s="135"/>
      <c r="Y687" s="135"/>
      <c r="Z687" s="135"/>
    </row>
    <row r="688" spans="1:26" ht="12.75">
      <c r="A688" s="136" t="s">
        <v>8</v>
      </c>
      <c r="B688" s="136" t="s">
        <v>7542</v>
      </c>
      <c r="C688" s="136" t="s">
        <v>7543</v>
      </c>
      <c r="D688" s="136" t="s">
        <v>1665</v>
      </c>
      <c r="E688" s="136" t="s">
        <v>615</v>
      </c>
      <c r="F688" s="136">
        <v>200</v>
      </c>
      <c r="G688" s="137">
        <f t="shared" si="2"/>
        <v>5</v>
      </c>
      <c r="H688" s="137"/>
      <c r="I688" s="137"/>
      <c r="J688" s="135"/>
      <c r="K688" s="135"/>
      <c r="L688" s="135"/>
      <c r="M688" s="135"/>
      <c r="N688" s="135"/>
      <c r="O688" s="135"/>
      <c r="P688" s="135"/>
      <c r="Q688" s="135"/>
      <c r="R688" s="135"/>
      <c r="S688" s="135"/>
      <c r="T688" s="135"/>
      <c r="U688" s="135"/>
      <c r="V688" s="135"/>
      <c r="W688" s="135"/>
      <c r="X688" s="135"/>
      <c r="Y688" s="135"/>
      <c r="Z688" s="135"/>
    </row>
    <row r="689" spans="1:26" ht="12.75">
      <c r="A689" s="136" t="s">
        <v>8</v>
      </c>
      <c r="B689" s="136" t="s">
        <v>7542</v>
      </c>
      <c r="C689" s="136" t="s">
        <v>7543</v>
      </c>
      <c r="D689" s="136" t="s">
        <v>7535</v>
      </c>
      <c r="E689" s="136" t="s">
        <v>615</v>
      </c>
      <c r="F689" s="136">
        <v>162</v>
      </c>
      <c r="G689" s="137">
        <f t="shared" si="2"/>
        <v>6</v>
      </c>
      <c r="H689" s="137"/>
      <c r="I689" s="137"/>
      <c r="J689" s="135"/>
      <c r="K689" s="135"/>
      <c r="L689" s="135"/>
      <c r="M689" s="135"/>
      <c r="N689" s="135"/>
      <c r="O689" s="135"/>
      <c r="P689" s="135"/>
      <c r="Q689" s="135"/>
      <c r="R689" s="135"/>
      <c r="S689" s="135"/>
      <c r="T689" s="135"/>
      <c r="U689" s="135"/>
      <c r="V689" s="135"/>
      <c r="W689" s="135"/>
      <c r="X689" s="135"/>
      <c r="Y689" s="135"/>
      <c r="Z689" s="135"/>
    </row>
    <row r="690" spans="1:26" ht="12.75">
      <c r="A690" s="136" t="s">
        <v>8</v>
      </c>
      <c r="B690" s="136" t="s">
        <v>7542</v>
      </c>
      <c r="C690" s="136" t="s">
        <v>7543</v>
      </c>
      <c r="D690" s="136" t="s">
        <v>467</v>
      </c>
      <c r="E690" s="136" t="s">
        <v>85</v>
      </c>
      <c r="F690" s="136">
        <v>143</v>
      </c>
      <c r="G690" s="137">
        <f t="shared" si="2"/>
        <v>7</v>
      </c>
      <c r="H690" s="137"/>
      <c r="I690" s="137"/>
      <c r="J690" s="135"/>
      <c r="K690" s="135"/>
      <c r="L690" s="135"/>
      <c r="M690" s="135"/>
      <c r="N690" s="135"/>
      <c r="O690" s="135"/>
      <c r="P690" s="135"/>
      <c r="Q690" s="135"/>
      <c r="R690" s="135"/>
      <c r="S690" s="135"/>
      <c r="T690" s="135"/>
      <c r="U690" s="135"/>
      <c r="V690" s="135"/>
      <c r="W690" s="135"/>
      <c r="X690" s="135"/>
      <c r="Y690" s="135"/>
      <c r="Z690" s="135"/>
    </row>
    <row r="691" spans="1:26" ht="12.75">
      <c r="A691" s="136" t="s">
        <v>8</v>
      </c>
      <c r="B691" s="136" t="s">
        <v>7542</v>
      </c>
      <c r="C691" s="136" t="s">
        <v>7543</v>
      </c>
      <c r="D691" s="136" t="s">
        <v>7533</v>
      </c>
      <c r="E691" s="136" t="s">
        <v>594</v>
      </c>
      <c r="F691" s="136">
        <v>142</v>
      </c>
      <c r="G691" s="137">
        <f t="shared" si="2"/>
        <v>8</v>
      </c>
      <c r="H691" s="137"/>
      <c r="I691" s="137"/>
      <c r="J691" s="135"/>
      <c r="K691" s="135"/>
      <c r="L691" s="135"/>
      <c r="M691" s="135"/>
      <c r="N691" s="135"/>
      <c r="O691" s="135"/>
      <c r="P691" s="135"/>
      <c r="Q691" s="135"/>
      <c r="R691" s="135"/>
      <c r="S691" s="135"/>
      <c r="T691" s="135"/>
      <c r="U691" s="135"/>
      <c r="V691" s="135"/>
      <c r="W691" s="135"/>
      <c r="X691" s="135"/>
      <c r="Y691" s="135"/>
      <c r="Z691" s="135"/>
    </row>
    <row r="692" spans="1:26" ht="12.75">
      <c r="A692" s="136" t="s">
        <v>8</v>
      </c>
      <c r="B692" s="136" t="s">
        <v>7542</v>
      </c>
      <c r="C692" s="136" t="s">
        <v>7543</v>
      </c>
      <c r="D692" s="136" t="s">
        <v>7531</v>
      </c>
      <c r="E692" s="136" t="s">
        <v>615</v>
      </c>
      <c r="F692" s="136">
        <v>130</v>
      </c>
      <c r="G692" s="137">
        <f t="shared" si="2"/>
        <v>9</v>
      </c>
      <c r="H692" s="137"/>
      <c r="I692" s="137"/>
      <c r="J692" s="135"/>
      <c r="K692" s="135"/>
      <c r="L692" s="135"/>
      <c r="M692" s="135"/>
      <c r="N692" s="135"/>
      <c r="O692" s="135"/>
      <c r="P692" s="135"/>
      <c r="Q692" s="135"/>
      <c r="R692" s="135"/>
      <c r="S692" s="135"/>
      <c r="T692" s="135"/>
      <c r="U692" s="135"/>
      <c r="V692" s="135"/>
      <c r="W692" s="135"/>
      <c r="X692" s="135"/>
      <c r="Y692" s="135"/>
      <c r="Z692" s="135"/>
    </row>
    <row r="693" spans="1:26" ht="12.75">
      <c r="A693" s="136" t="s">
        <v>8</v>
      </c>
      <c r="B693" s="136" t="s">
        <v>7542</v>
      </c>
      <c r="C693" s="136" t="s">
        <v>7543</v>
      </c>
      <c r="D693" s="136" t="s">
        <v>154</v>
      </c>
      <c r="E693" s="136" t="s">
        <v>615</v>
      </c>
      <c r="F693" s="136">
        <v>108</v>
      </c>
      <c r="G693" s="137">
        <f t="shared" si="2"/>
        <v>10</v>
      </c>
      <c r="H693" s="137"/>
      <c r="I693" s="137"/>
      <c r="J693" s="135"/>
      <c r="K693" s="135"/>
      <c r="L693" s="135"/>
      <c r="M693" s="135"/>
      <c r="N693" s="135"/>
      <c r="O693" s="135"/>
      <c r="P693" s="135"/>
      <c r="Q693" s="135"/>
      <c r="R693" s="135"/>
      <c r="S693" s="135"/>
      <c r="T693" s="135"/>
      <c r="U693" s="135"/>
      <c r="V693" s="135"/>
      <c r="W693" s="135"/>
      <c r="X693" s="135"/>
      <c r="Y693" s="135"/>
      <c r="Z693" s="135"/>
    </row>
    <row r="694" spans="1:26" ht="12.75">
      <c r="A694" s="136" t="s">
        <v>8</v>
      </c>
      <c r="B694" s="136" t="s">
        <v>7542</v>
      </c>
      <c r="C694" s="136" t="s">
        <v>7543</v>
      </c>
      <c r="D694" s="136" t="s">
        <v>7491</v>
      </c>
      <c r="E694" s="136" t="s">
        <v>615</v>
      </c>
      <c r="F694" s="136">
        <v>100</v>
      </c>
      <c r="G694" s="137">
        <f t="shared" si="2"/>
        <v>11</v>
      </c>
      <c r="H694" s="137"/>
      <c r="I694" s="137"/>
      <c r="J694" s="135"/>
      <c r="K694" s="135"/>
      <c r="L694" s="135"/>
      <c r="M694" s="135"/>
      <c r="N694" s="135"/>
      <c r="O694" s="135"/>
      <c r="P694" s="135"/>
      <c r="Q694" s="135"/>
      <c r="R694" s="135"/>
      <c r="S694" s="135"/>
      <c r="T694" s="135"/>
      <c r="U694" s="135"/>
      <c r="V694" s="135"/>
      <c r="W694" s="135"/>
      <c r="X694" s="135"/>
      <c r="Y694" s="135"/>
      <c r="Z694" s="135"/>
    </row>
    <row r="695" spans="1:26" ht="12.75">
      <c r="A695" s="136" t="s">
        <v>8</v>
      </c>
      <c r="B695" s="136" t="s">
        <v>7542</v>
      </c>
      <c r="C695" s="136" t="s">
        <v>7543</v>
      </c>
      <c r="D695" s="136" t="s">
        <v>1626</v>
      </c>
      <c r="E695" s="136" t="s">
        <v>594</v>
      </c>
      <c r="F695" s="136">
        <v>95</v>
      </c>
      <c r="G695" s="137">
        <f t="shared" si="2"/>
        <v>12</v>
      </c>
      <c r="H695" s="137"/>
      <c r="I695" s="137"/>
      <c r="J695" s="135"/>
      <c r="K695" s="135"/>
      <c r="L695" s="135"/>
      <c r="M695" s="135"/>
      <c r="N695" s="135"/>
      <c r="O695" s="135"/>
      <c r="P695" s="135"/>
      <c r="Q695" s="135"/>
      <c r="R695" s="135"/>
      <c r="S695" s="135"/>
      <c r="T695" s="135"/>
      <c r="U695" s="135"/>
      <c r="V695" s="135"/>
      <c r="W695" s="135"/>
      <c r="X695" s="135"/>
      <c r="Y695" s="135"/>
      <c r="Z695" s="135"/>
    </row>
    <row r="696" spans="1:26" ht="12.75">
      <c r="A696" s="136" t="s">
        <v>8</v>
      </c>
      <c r="B696" s="136" t="s">
        <v>7542</v>
      </c>
      <c r="C696" s="136" t="s">
        <v>7543</v>
      </c>
      <c r="D696" s="136" t="s">
        <v>7534</v>
      </c>
      <c r="E696" s="136" t="s">
        <v>594</v>
      </c>
      <c r="F696" s="136">
        <v>55</v>
      </c>
      <c r="G696" s="137">
        <f t="shared" si="2"/>
        <v>13</v>
      </c>
      <c r="H696" s="137"/>
      <c r="I696" s="137"/>
      <c r="J696" s="135"/>
      <c r="K696" s="135"/>
      <c r="L696" s="135"/>
      <c r="M696" s="135"/>
      <c r="N696" s="135"/>
      <c r="O696" s="135"/>
      <c r="P696" s="135"/>
      <c r="Q696" s="135"/>
      <c r="R696" s="135"/>
      <c r="S696" s="135"/>
      <c r="T696" s="135"/>
      <c r="U696" s="135"/>
      <c r="V696" s="135"/>
      <c r="W696" s="135"/>
      <c r="X696" s="135"/>
      <c r="Y696" s="135"/>
      <c r="Z696" s="135"/>
    </row>
    <row r="697" spans="1:26" ht="12.75">
      <c r="A697" s="136" t="s">
        <v>8</v>
      </c>
      <c r="B697" s="136" t="s">
        <v>7542</v>
      </c>
      <c r="C697" s="136" t="s">
        <v>7543</v>
      </c>
      <c r="D697" s="136" t="s">
        <v>7480</v>
      </c>
      <c r="E697" s="136" t="s">
        <v>594</v>
      </c>
      <c r="F697" s="136">
        <v>45</v>
      </c>
      <c r="G697" s="137">
        <f t="shared" si="2"/>
        <v>14</v>
      </c>
      <c r="H697" s="137"/>
      <c r="I697" s="137"/>
      <c r="J697" s="135"/>
      <c r="K697" s="135"/>
      <c r="L697" s="135"/>
      <c r="M697" s="135"/>
      <c r="N697" s="135"/>
      <c r="O697" s="135"/>
      <c r="P697" s="135"/>
      <c r="Q697" s="135"/>
      <c r="R697" s="135"/>
      <c r="S697" s="135"/>
      <c r="T697" s="135"/>
      <c r="U697" s="135"/>
      <c r="V697" s="135"/>
      <c r="W697" s="135"/>
      <c r="X697" s="135"/>
      <c r="Y697" s="135"/>
      <c r="Z697" s="135"/>
    </row>
    <row r="698" spans="1:26" ht="12.75">
      <c r="A698" s="136" t="s">
        <v>8</v>
      </c>
      <c r="B698" s="136" t="s">
        <v>7542</v>
      </c>
      <c r="C698" s="136" t="s">
        <v>7543</v>
      </c>
      <c r="D698" s="136" t="s">
        <v>1666</v>
      </c>
      <c r="E698" s="136" t="s">
        <v>85</v>
      </c>
      <c r="F698" s="136">
        <v>42</v>
      </c>
      <c r="G698" s="137">
        <f t="shared" si="2"/>
        <v>15</v>
      </c>
      <c r="H698" s="137"/>
      <c r="I698" s="137"/>
      <c r="J698" s="135"/>
      <c r="K698" s="135"/>
      <c r="L698" s="135"/>
      <c r="M698" s="135"/>
      <c r="N698" s="135"/>
      <c r="O698" s="135"/>
      <c r="P698" s="135"/>
      <c r="Q698" s="135"/>
      <c r="R698" s="135"/>
      <c r="S698" s="135"/>
      <c r="T698" s="135"/>
      <c r="U698" s="135"/>
      <c r="V698" s="135"/>
      <c r="W698" s="135"/>
      <c r="X698" s="135"/>
      <c r="Y698" s="135"/>
      <c r="Z698" s="135"/>
    </row>
    <row r="699" spans="1:26" ht="12.75">
      <c r="A699" s="136" t="s">
        <v>8</v>
      </c>
      <c r="B699" s="136" t="s">
        <v>7542</v>
      </c>
      <c r="C699" s="136" t="s">
        <v>7543</v>
      </c>
      <c r="D699" s="136" t="s">
        <v>225</v>
      </c>
      <c r="E699" s="136" t="s">
        <v>615</v>
      </c>
      <c r="F699" s="136">
        <v>40</v>
      </c>
      <c r="G699" s="137">
        <f t="shared" si="2"/>
        <v>16</v>
      </c>
      <c r="H699" s="137"/>
      <c r="I699" s="137"/>
      <c r="J699" s="135"/>
      <c r="K699" s="135"/>
      <c r="L699" s="135"/>
      <c r="M699" s="135"/>
      <c r="N699" s="135"/>
      <c r="O699" s="135"/>
      <c r="P699" s="135"/>
      <c r="Q699" s="135"/>
      <c r="R699" s="135"/>
      <c r="S699" s="135"/>
      <c r="T699" s="135"/>
      <c r="U699" s="135"/>
      <c r="V699" s="135"/>
      <c r="W699" s="135"/>
      <c r="X699" s="135"/>
      <c r="Y699" s="135"/>
      <c r="Z699" s="135"/>
    </row>
    <row r="700" spans="1:26" ht="12.75">
      <c r="A700" s="136" t="s">
        <v>8</v>
      </c>
      <c r="B700" s="136" t="s">
        <v>7542</v>
      </c>
      <c r="C700" s="136" t="s">
        <v>7543</v>
      </c>
      <c r="D700" s="136" t="s">
        <v>7532</v>
      </c>
      <c r="E700" s="136" t="s">
        <v>615</v>
      </c>
      <c r="F700" s="136">
        <v>35</v>
      </c>
      <c r="G700" s="137">
        <f t="shared" si="2"/>
        <v>17</v>
      </c>
      <c r="H700" s="137"/>
      <c r="I700" s="137"/>
      <c r="J700" s="135"/>
      <c r="K700" s="135"/>
      <c r="L700" s="135"/>
      <c r="M700" s="135"/>
      <c r="N700" s="135"/>
      <c r="O700" s="135"/>
      <c r="P700" s="135"/>
      <c r="Q700" s="135"/>
      <c r="R700" s="135"/>
      <c r="S700" s="135"/>
      <c r="T700" s="135"/>
      <c r="U700" s="135"/>
      <c r="V700" s="135"/>
      <c r="W700" s="135"/>
      <c r="X700" s="135"/>
      <c r="Y700" s="135"/>
      <c r="Z700" s="135"/>
    </row>
    <row r="701" spans="1:26" ht="12.75">
      <c r="A701" s="136" t="s">
        <v>8</v>
      </c>
      <c r="B701" s="136" t="s">
        <v>7529</v>
      </c>
      <c r="C701" s="136" t="s">
        <v>667</v>
      </c>
      <c r="D701" s="136" t="s">
        <v>7530</v>
      </c>
      <c r="E701" s="136" t="s">
        <v>85</v>
      </c>
      <c r="F701" s="136">
        <v>880</v>
      </c>
      <c r="G701" s="137">
        <f t="shared" si="2"/>
        <v>1</v>
      </c>
      <c r="H701" s="137"/>
      <c r="I701" s="137"/>
      <c r="J701" s="135"/>
      <c r="K701" s="135"/>
      <c r="L701" s="135"/>
      <c r="M701" s="135"/>
      <c r="N701" s="135"/>
      <c r="O701" s="135"/>
      <c r="P701" s="135"/>
      <c r="Q701" s="135"/>
      <c r="R701" s="135"/>
      <c r="S701" s="135"/>
      <c r="T701" s="135"/>
      <c r="U701" s="135"/>
      <c r="V701" s="135"/>
      <c r="W701" s="135"/>
      <c r="X701" s="135"/>
      <c r="Y701" s="135"/>
      <c r="Z701" s="135"/>
    </row>
    <row r="702" spans="1:26" ht="12.75">
      <c r="A702" s="136" t="s">
        <v>8</v>
      </c>
      <c r="B702" s="136" t="s">
        <v>7529</v>
      </c>
      <c r="C702" s="136" t="s">
        <v>667</v>
      </c>
      <c r="D702" s="136" t="s">
        <v>139</v>
      </c>
      <c r="E702" s="136" t="s">
        <v>594</v>
      </c>
      <c r="F702" s="136">
        <v>669</v>
      </c>
      <c r="G702" s="137">
        <f t="shared" si="2"/>
        <v>2</v>
      </c>
      <c r="H702" s="137"/>
      <c r="I702" s="137"/>
      <c r="J702" s="135"/>
      <c r="K702" s="135"/>
      <c r="L702" s="135"/>
      <c r="M702" s="135"/>
      <c r="N702" s="135"/>
      <c r="O702" s="135"/>
      <c r="P702" s="135"/>
      <c r="Q702" s="135"/>
      <c r="R702" s="135"/>
      <c r="S702" s="135"/>
      <c r="T702" s="135"/>
      <c r="U702" s="135"/>
      <c r="V702" s="135"/>
      <c r="W702" s="135"/>
      <c r="X702" s="135"/>
      <c r="Y702" s="135"/>
      <c r="Z702" s="135"/>
    </row>
    <row r="703" spans="1:26" ht="12.75">
      <c r="A703" s="136" t="s">
        <v>8</v>
      </c>
      <c r="B703" s="136" t="s">
        <v>7529</v>
      </c>
      <c r="C703" s="136" t="s">
        <v>667</v>
      </c>
      <c r="D703" s="136" t="s">
        <v>107</v>
      </c>
      <c r="E703" s="136" t="s">
        <v>615</v>
      </c>
      <c r="F703" s="136">
        <v>214</v>
      </c>
      <c r="G703" s="137">
        <f t="shared" si="2"/>
        <v>3</v>
      </c>
      <c r="H703" s="137"/>
      <c r="I703" s="137"/>
      <c r="J703" s="135"/>
      <c r="K703" s="135"/>
      <c r="L703" s="135"/>
      <c r="M703" s="135"/>
      <c r="N703" s="135"/>
      <c r="O703" s="135"/>
      <c r="P703" s="135"/>
      <c r="Q703" s="135"/>
      <c r="R703" s="135"/>
      <c r="S703" s="135"/>
      <c r="T703" s="135"/>
      <c r="U703" s="135"/>
      <c r="V703" s="135"/>
      <c r="W703" s="135"/>
      <c r="X703" s="135"/>
      <c r="Y703" s="135"/>
      <c r="Z703" s="135"/>
    </row>
    <row r="704" spans="1:26" ht="12.75">
      <c r="A704" s="136" t="s">
        <v>8</v>
      </c>
      <c r="B704" s="136" t="s">
        <v>7529</v>
      </c>
      <c r="C704" s="136" t="s">
        <v>667</v>
      </c>
      <c r="D704" s="136" t="s">
        <v>467</v>
      </c>
      <c r="E704" s="136" t="s">
        <v>85</v>
      </c>
      <c r="F704" s="136">
        <v>177</v>
      </c>
      <c r="G704" s="137">
        <f t="shared" si="2"/>
        <v>4</v>
      </c>
      <c r="H704" s="137"/>
      <c r="I704" s="137"/>
      <c r="J704" s="135"/>
      <c r="K704" s="135"/>
      <c r="L704" s="135"/>
      <c r="M704" s="135"/>
      <c r="N704" s="135"/>
      <c r="O704" s="135"/>
      <c r="P704" s="135"/>
      <c r="Q704" s="135"/>
      <c r="R704" s="135"/>
      <c r="S704" s="135"/>
      <c r="T704" s="135"/>
      <c r="U704" s="135"/>
      <c r="V704" s="135"/>
      <c r="W704" s="135"/>
      <c r="X704" s="135"/>
      <c r="Y704" s="135"/>
      <c r="Z704" s="135"/>
    </row>
    <row r="705" spans="1:26" ht="12.75">
      <c r="A705" s="136" t="s">
        <v>8</v>
      </c>
      <c r="B705" s="136" t="s">
        <v>7529</v>
      </c>
      <c r="C705" s="136" t="s">
        <v>667</v>
      </c>
      <c r="D705" s="136" t="s">
        <v>7544</v>
      </c>
      <c r="E705" s="136" t="s">
        <v>615</v>
      </c>
      <c r="F705" s="136">
        <v>170</v>
      </c>
      <c r="G705" s="137">
        <f t="shared" si="2"/>
        <v>5</v>
      </c>
      <c r="H705" s="137"/>
      <c r="I705" s="137"/>
      <c r="J705" s="135"/>
      <c r="K705" s="135"/>
      <c r="L705" s="135"/>
      <c r="M705" s="135"/>
      <c r="N705" s="135"/>
      <c r="O705" s="135"/>
      <c r="P705" s="135"/>
      <c r="Q705" s="135"/>
      <c r="R705" s="135"/>
      <c r="S705" s="135"/>
      <c r="T705" s="135"/>
      <c r="U705" s="135"/>
      <c r="V705" s="135"/>
      <c r="W705" s="135"/>
      <c r="X705" s="135"/>
      <c r="Y705" s="135"/>
      <c r="Z705" s="135"/>
    </row>
    <row r="706" spans="1:26" ht="12.75">
      <c r="A706" s="136" t="s">
        <v>8</v>
      </c>
      <c r="B706" s="136" t="s">
        <v>7529</v>
      </c>
      <c r="C706" s="136" t="s">
        <v>667</v>
      </c>
      <c r="D706" s="136" t="s">
        <v>7533</v>
      </c>
      <c r="E706" s="136" t="s">
        <v>594</v>
      </c>
      <c r="F706" s="136">
        <v>69</v>
      </c>
      <c r="G706" s="137">
        <f t="shared" si="2"/>
        <v>6</v>
      </c>
      <c r="H706" s="137"/>
      <c r="I706" s="137"/>
      <c r="J706" s="135"/>
      <c r="K706" s="135"/>
      <c r="L706" s="135"/>
      <c r="M706" s="135"/>
      <c r="N706" s="135"/>
      <c r="O706" s="135"/>
      <c r="P706" s="135"/>
      <c r="Q706" s="135"/>
      <c r="R706" s="135"/>
      <c r="S706" s="135"/>
      <c r="T706" s="135"/>
      <c r="U706" s="135"/>
      <c r="V706" s="135"/>
      <c r="W706" s="135"/>
      <c r="X706" s="135"/>
      <c r="Y706" s="135"/>
      <c r="Z706" s="135"/>
    </row>
    <row r="707" spans="1:26" ht="12.75">
      <c r="A707" s="136" t="s">
        <v>8</v>
      </c>
      <c r="B707" s="136" t="s">
        <v>7529</v>
      </c>
      <c r="C707" s="136" t="s">
        <v>667</v>
      </c>
      <c r="D707" s="136" t="s">
        <v>7491</v>
      </c>
      <c r="E707" s="136" t="s">
        <v>615</v>
      </c>
      <c r="F707" s="136">
        <v>60</v>
      </c>
      <c r="G707" s="137">
        <f t="shared" si="2"/>
        <v>7</v>
      </c>
      <c r="H707" s="137"/>
      <c r="I707" s="137"/>
      <c r="J707" s="135"/>
      <c r="K707" s="135"/>
      <c r="L707" s="135"/>
      <c r="M707" s="135"/>
      <c r="N707" s="135"/>
      <c r="O707" s="135"/>
      <c r="P707" s="135"/>
      <c r="Q707" s="135"/>
      <c r="R707" s="135"/>
      <c r="S707" s="135"/>
      <c r="T707" s="135"/>
      <c r="U707" s="135"/>
      <c r="V707" s="135"/>
      <c r="W707" s="135"/>
      <c r="X707" s="135"/>
      <c r="Y707" s="135"/>
      <c r="Z707" s="135"/>
    </row>
    <row r="708" spans="1:26" ht="12.75">
      <c r="A708" s="136" t="s">
        <v>8</v>
      </c>
      <c r="B708" s="136" t="s">
        <v>7529</v>
      </c>
      <c r="C708" s="136" t="s">
        <v>667</v>
      </c>
      <c r="D708" s="136" t="s">
        <v>154</v>
      </c>
      <c r="E708" s="136" t="s">
        <v>615</v>
      </c>
      <c r="F708" s="136">
        <v>40</v>
      </c>
      <c r="G708" s="137">
        <f t="shared" si="2"/>
        <v>8</v>
      </c>
      <c r="H708" s="137"/>
      <c r="I708" s="137"/>
      <c r="J708" s="135"/>
      <c r="K708" s="135"/>
      <c r="L708" s="135"/>
      <c r="M708" s="135"/>
      <c r="N708" s="135"/>
      <c r="O708" s="135"/>
      <c r="P708" s="135"/>
      <c r="Q708" s="135"/>
      <c r="R708" s="135"/>
      <c r="S708" s="135"/>
      <c r="T708" s="135"/>
      <c r="U708" s="135"/>
      <c r="V708" s="135"/>
      <c r="W708" s="135"/>
      <c r="X708" s="135"/>
      <c r="Y708" s="135"/>
      <c r="Z708" s="135"/>
    </row>
    <row r="709" spans="1:26" ht="12.75">
      <c r="A709" s="136" t="s">
        <v>8</v>
      </c>
      <c r="B709" s="136" t="s">
        <v>7529</v>
      </c>
      <c r="C709" s="136" t="s">
        <v>667</v>
      </c>
      <c r="D709" s="136" t="s">
        <v>165</v>
      </c>
      <c r="E709" s="136" t="s">
        <v>615</v>
      </c>
      <c r="F709" s="136">
        <v>30</v>
      </c>
      <c r="G709" s="137">
        <f t="shared" si="2"/>
        <v>9</v>
      </c>
      <c r="H709" s="137"/>
      <c r="I709" s="137"/>
      <c r="J709" s="135"/>
      <c r="K709" s="135"/>
      <c r="L709" s="135"/>
      <c r="M709" s="135"/>
      <c r="N709" s="135"/>
      <c r="O709" s="135"/>
      <c r="P709" s="135"/>
      <c r="Q709" s="135"/>
      <c r="R709" s="135"/>
      <c r="S709" s="135"/>
      <c r="T709" s="135"/>
      <c r="U709" s="135"/>
      <c r="V709" s="135"/>
      <c r="W709" s="135"/>
      <c r="X709" s="135"/>
      <c r="Y709" s="135"/>
      <c r="Z709" s="135"/>
    </row>
    <row r="710" spans="1:26" ht="12.75">
      <c r="A710" s="136" t="s">
        <v>8</v>
      </c>
      <c r="B710" s="136" t="s">
        <v>7529</v>
      </c>
      <c r="C710" s="136" t="s">
        <v>667</v>
      </c>
      <c r="D710" s="136" t="s">
        <v>368</v>
      </c>
      <c r="E710" s="136" t="s">
        <v>594</v>
      </c>
      <c r="F710" s="136">
        <v>20</v>
      </c>
      <c r="G710" s="137">
        <f t="shared" si="2"/>
        <v>10</v>
      </c>
      <c r="H710" s="137"/>
      <c r="I710" s="137"/>
      <c r="J710" s="135"/>
      <c r="K710" s="135"/>
      <c r="L710" s="135"/>
      <c r="M710" s="135"/>
      <c r="N710" s="135"/>
      <c r="O710" s="135"/>
      <c r="P710" s="135"/>
      <c r="Q710" s="135"/>
      <c r="R710" s="135"/>
      <c r="S710" s="135"/>
      <c r="T710" s="135"/>
      <c r="U710" s="135"/>
      <c r="V710" s="135"/>
      <c r="W710" s="135"/>
      <c r="X710" s="135"/>
      <c r="Y710" s="135"/>
      <c r="Z710" s="135"/>
    </row>
    <row r="711" spans="1:26" ht="12.75">
      <c r="A711" s="136" t="s">
        <v>8</v>
      </c>
      <c r="B711" s="136" t="s">
        <v>7529</v>
      </c>
      <c r="C711" s="136" t="s">
        <v>667</v>
      </c>
      <c r="D711" s="136" t="s">
        <v>1626</v>
      </c>
      <c r="E711" s="136" t="s">
        <v>594</v>
      </c>
      <c r="F711" s="136">
        <v>20</v>
      </c>
      <c r="G711" s="137">
        <f t="shared" si="2"/>
        <v>11</v>
      </c>
      <c r="H711" s="137"/>
      <c r="I711" s="137"/>
      <c r="J711" s="135"/>
      <c r="K711" s="135"/>
      <c r="L711" s="135"/>
      <c r="M711" s="135"/>
      <c r="N711" s="135"/>
      <c r="O711" s="135"/>
      <c r="P711" s="135"/>
      <c r="Q711" s="135"/>
      <c r="R711" s="135"/>
      <c r="S711" s="135"/>
      <c r="T711" s="135"/>
      <c r="U711" s="135"/>
      <c r="V711" s="135"/>
      <c r="W711" s="135"/>
      <c r="X711" s="135"/>
      <c r="Y711" s="135"/>
      <c r="Z711" s="135"/>
    </row>
    <row r="712" spans="1:26" ht="12.75">
      <c r="A712" s="136" t="s">
        <v>8</v>
      </c>
      <c r="B712" s="136" t="s">
        <v>7529</v>
      </c>
      <c r="C712" s="136" t="s">
        <v>667</v>
      </c>
      <c r="D712" s="136" t="s">
        <v>136</v>
      </c>
      <c r="E712" s="136" t="s">
        <v>615</v>
      </c>
      <c r="F712" s="136">
        <v>20</v>
      </c>
      <c r="G712" s="137">
        <f t="shared" si="2"/>
        <v>12</v>
      </c>
      <c r="H712" s="137"/>
      <c r="I712" s="137"/>
      <c r="J712" s="135"/>
      <c r="K712" s="135"/>
      <c r="L712" s="135"/>
      <c r="M712" s="135"/>
      <c r="N712" s="135"/>
      <c r="O712" s="135"/>
      <c r="P712" s="135"/>
      <c r="Q712" s="135"/>
      <c r="R712" s="135"/>
      <c r="S712" s="135"/>
      <c r="T712" s="135"/>
      <c r="U712" s="135"/>
      <c r="V712" s="135"/>
      <c r="W712" s="135"/>
      <c r="X712" s="135"/>
      <c r="Y712" s="135"/>
      <c r="Z712" s="135"/>
    </row>
    <row r="713" spans="1:26" ht="12.75">
      <c r="A713" s="136" t="s">
        <v>8</v>
      </c>
      <c r="B713" s="136" t="s">
        <v>7529</v>
      </c>
      <c r="C713" s="136" t="s">
        <v>667</v>
      </c>
      <c r="D713" s="136" t="s">
        <v>7531</v>
      </c>
      <c r="E713" s="136" t="s">
        <v>615</v>
      </c>
      <c r="F713" s="136">
        <v>20</v>
      </c>
      <c r="G713" s="137">
        <f t="shared" si="2"/>
        <v>13</v>
      </c>
      <c r="H713" s="137"/>
      <c r="I713" s="137"/>
      <c r="J713" s="135"/>
      <c r="K713" s="135"/>
      <c r="L713" s="135"/>
      <c r="M713" s="135"/>
      <c r="N713" s="135"/>
      <c r="O713" s="135"/>
      <c r="P713" s="135"/>
      <c r="Q713" s="135"/>
      <c r="R713" s="135"/>
      <c r="S713" s="135"/>
      <c r="T713" s="135"/>
      <c r="U713" s="135"/>
      <c r="V713" s="135"/>
      <c r="W713" s="135"/>
      <c r="X713" s="135"/>
      <c r="Y713" s="135"/>
      <c r="Z713" s="135"/>
    </row>
    <row r="714" spans="1:26" ht="12.75">
      <c r="A714" s="136" t="s">
        <v>8</v>
      </c>
      <c r="B714" s="136" t="s">
        <v>7529</v>
      </c>
      <c r="C714" s="136" t="s">
        <v>667</v>
      </c>
      <c r="D714" s="136" t="s">
        <v>1665</v>
      </c>
      <c r="E714" s="136" t="s">
        <v>615</v>
      </c>
      <c r="F714" s="136">
        <v>20</v>
      </c>
      <c r="G714" s="137">
        <f t="shared" si="2"/>
        <v>14</v>
      </c>
      <c r="H714" s="137"/>
      <c r="I714" s="137"/>
      <c r="J714" s="135"/>
      <c r="K714" s="135"/>
      <c r="L714" s="135"/>
      <c r="M714" s="135"/>
      <c r="N714" s="135"/>
      <c r="O714" s="135"/>
      <c r="P714" s="135"/>
      <c r="Q714" s="135"/>
      <c r="R714" s="135"/>
      <c r="S714" s="135"/>
      <c r="T714" s="135"/>
      <c r="U714" s="135"/>
      <c r="V714" s="135"/>
      <c r="W714" s="135"/>
      <c r="X714" s="135"/>
      <c r="Y714" s="135"/>
      <c r="Z714" s="135"/>
    </row>
    <row r="715" spans="1:26" ht="12.75">
      <c r="A715" s="136" t="s">
        <v>8</v>
      </c>
      <c r="B715" s="136" t="s">
        <v>7529</v>
      </c>
      <c r="C715" s="136" t="s">
        <v>667</v>
      </c>
      <c r="D715" s="136" t="s">
        <v>7545</v>
      </c>
      <c r="E715" s="136" t="s">
        <v>86</v>
      </c>
      <c r="F715" s="136">
        <v>2</v>
      </c>
      <c r="G715" s="137">
        <f t="shared" si="2"/>
        <v>15</v>
      </c>
      <c r="H715" s="137"/>
      <c r="I715" s="137"/>
      <c r="J715" s="135"/>
      <c r="K715" s="135"/>
      <c r="L715" s="135"/>
      <c r="M715" s="135"/>
      <c r="N715" s="135"/>
      <c r="O715" s="135"/>
      <c r="P715" s="135"/>
      <c r="Q715" s="135"/>
      <c r="R715" s="135"/>
      <c r="S715" s="135"/>
      <c r="T715" s="135"/>
      <c r="U715" s="135"/>
      <c r="V715" s="135"/>
      <c r="W715" s="135"/>
      <c r="X715" s="135"/>
      <c r="Y715" s="135"/>
      <c r="Z715" s="135"/>
    </row>
    <row r="716" spans="1:26" ht="12.75">
      <c r="A716" s="136" t="s">
        <v>8</v>
      </c>
      <c r="B716" s="136" t="s">
        <v>7529</v>
      </c>
      <c r="C716" s="136" t="s">
        <v>663</v>
      </c>
      <c r="D716" s="136" t="s">
        <v>139</v>
      </c>
      <c r="E716" s="136" t="s">
        <v>594</v>
      </c>
      <c r="F716" s="136">
        <v>3527</v>
      </c>
      <c r="G716" s="137">
        <f t="shared" si="2"/>
        <v>1</v>
      </c>
      <c r="H716" s="137"/>
      <c r="I716" s="137"/>
      <c r="J716" s="135"/>
      <c r="K716" s="135"/>
      <c r="L716" s="135"/>
      <c r="M716" s="135"/>
      <c r="N716" s="135"/>
      <c r="O716" s="135"/>
      <c r="P716" s="135"/>
      <c r="Q716" s="135"/>
      <c r="R716" s="135"/>
      <c r="S716" s="135"/>
      <c r="T716" s="135"/>
      <c r="U716" s="135"/>
      <c r="V716" s="135"/>
      <c r="W716" s="135"/>
      <c r="X716" s="135"/>
      <c r="Y716" s="135"/>
      <c r="Z716" s="135"/>
    </row>
    <row r="717" spans="1:26" ht="12.75">
      <c r="A717" s="136" t="s">
        <v>8</v>
      </c>
      <c r="B717" s="136" t="s">
        <v>7529</v>
      </c>
      <c r="C717" s="136" t="s">
        <v>663</v>
      </c>
      <c r="D717" s="136" t="s">
        <v>7530</v>
      </c>
      <c r="E717" s="136" t="s">
        <v>85</v>
      </c>
      <c r="F717" s="136">
        <v>1352</v>
      </c>
      <c r="G717" s="137">
        <f t="shared" si="2"/>
        <v>2</v>
      </c>
      <c r="H717" s="137"/>
      <c r="I717" s="137"/>
      <c r="J717" s="135"/>
      <c r="K717" s="135"/>
      <c r="L717" s="135"/>
      <c r="M717" s="135"/>
      <c r="N717" s="135"/>
      <c r="O717" s="135"/>
      <c r="P717" s="135"/>
      <c r="Q717" s="135"/>
      <c r="R717" s="135"/>
      <c r="S717" s="135"/>
      <c r="T717" s="135"/>
      <c r="U717" s="135"/>
      <c r="V717" s="135"/>
      <c r="W717" s="135"/>
      <c r="X717" s="135"/>
      <c r="Y717" s="135"/>
      <c r="Z717" s="135"/>
    </row>
    <row r="718" spans="1:26" ht="12.75">
      <c r="A718" s="136" t="s">
        <v>8</v>
      </c>
      <c r="B718" s="136" t="s">
        <v>7529</v>
      </c>
      <c r="C718" s="136" t="s">
        <v>663</v>
      </c>
      <c r="D718" s="136" t="s">
        <v>107</v>
      </c>
      <c r="E718" s="136" t="s">
        <v>615</v>
      </c>
      <c r="F718" s="136">
        <v>930</v>
      </c>
      <c r="G718" s="137">
        <f t="shared" si="2"/>
        <v>3</v>
      </c>
      <c r="H718" s="137"/>
      <c r="I718" s="137"/>
      <c r="J718" s="135"/>
      <c r="K718" s="135"/>
      <c r="L718" s="135"/>
      <c r="M718" s="135"/>
      <c r="N718" s="135"/>
      <c r="O718" s="135"/>
      <c r="P718" s="135"/>
      <c r="Q718" s="135"/>
      <c r="R718" s="135"/>
      <c r="S718" s="135"/>
      <c r="T718" s="135"/>
      <c r="U718" s="135"/>
      <c r="V718" s="135"/>
      <c r="W718" s="135"/>
      <c r="X718" s="135"/>
      <c r="Y718" s="135"/>
      <c r="Z718" s="135"/>
    </row>
    <row r="719" spans="1:26" ht="12.75">
      <c r="A719" s="136" t="s">
        <v>8</v>
      </c>
      <c r="B719" s="136" t="s">
        <v>7529</v>
      </c>
      <c r="C719" s="136" t="s">
        <v>663</v>
      </c>
      <c r="D719" s="136" t="s">
        <v>7544</v>
      </c>
      <c r="E719" s="136" t="s">
        <v>615</v>
      </c>
      <c r="F719" s="136">
        <v>645</v>
      </c>
      <c r="G719" s="137">
        <f t="shared" si="2"/>
        <v>4</v>
      </c>
      <c r="H719" s="137"/>
      <c r="I719" s="137"/>
      <c r="J719" s="135"/>
      <c r="K719" s="135"/>
      <c r="L719" s="135"/>
      <c r="M719" s="135"/>
      <c r="N719" s="135"/>
      <c r="O719" s="135"/>
      <c r="P719" s="135"/>
      <c r="Q719" s="135"/>
      <c r="R719" s="135"/>
      <c r="S719" s="135"/>
      <c r="T719" s="135"/>
      <c r="U719" s="135"/>
      <c r="V719" s="135"/>
      <c r="W719" s="135"/>
      <c r="X719" s="135"/>
      <c r="Y719" s="135"/>
      <c r="Z719" s="135"/>
    </row>
    <row r="720" spans="1:26" ht="12.75">
      <c r="A720" s="136" t="s">
        <v>8</v>
      </c>
      <c r="B720" s="136" t="s">
        <v>7529</v>
      </c>
      <c r="C720" s="136" t="s">
        <v>663</v>
      </c>
      <c r="D720" s="136" t="s">
        <v>7533</v>
      </c>
      <c r="E720" s="136" t="s">
        <v>594</v>
      </c>
      <c r="F720" s="136">
        <v>258</v>
      </c>
      <c r="G720" s="137">
        <f t="shared" si="2"/>
        <v>5</v>
      </c>
      <c r="H720" s="137"/>
      <c r="I720" s="137"/>
      <c r="J720" s="135"/>
      <c r="K720" s="135"/>
      <c r="L720" s="135"/>
      <c r="M720" s="135"/>
      <c r="N720" s="135"/>
      <c r="O720" s="135"/>
      <c r="P720" s="135"/>
      <c r="Q720" s="135"/>
      <c r="R720" s="135"/>
      <c r="S720" s="135"/>
      <c r="T720" s="135"/>
      <c r="U720" s="135"/>
      <c r="V720" s="135"/>
      <c r="W720" s="135"/>
      <c r="X720" s="135"/>
      <c r="Y720" s="135"/>
      <c r="Z720" s="135"/>
    </row>
    <row r="721" spans="1:26" ht="12.75">
      <c r="A721" s="136" t="s">
        <v>8</v>
      </c>
      <c r="B721" s="136" t="s">
        <v>7529</v>
      </c>
      <c r="C721" s="136" t="s">
        <v>663</v>
      </c>
      <c r="D721" s="136" t="s">
        <v>467</v>
      </c>
      <c r="E721" s="136" t="s">
        <v>85</v>
      </c>
      <c r="F721" s="136">
        <v>250</v>
      </c>
      <c r="G721" s="137">
        <f t="shared" si="2"/>
        <v>6</v>
      </c>
      <c r="H721" s="137"/>
      <c r="I721" s="137"/>
      <c r="J721" s="135"/>
      <c r="K721" s="135"/>
      <c r="L721" s="135"/>
      <c r="M721" s="135"/>
      <c r="N721" s="135"/>
      <c r="O721" s="135"/>
      <c r="P721" s="135"/>
      <c r="Q721" s="135"/>
      <c r="R721" s="135"/>
      <c r="S721" s="135"/>
      <c r="T721" s="135"/>
      <c r="U721" s="135"/>
      <c r="V721" s="135"/>
      <c r="W721" s="135"/>
      <c r="X721" s="135"/>
      <c r="Y721" s="135"/>
      <c r="Z721" s="135"/>
    </row>
    <row r="722" spans="1:26" ht="12.75">
      <c r="A722" s="136" t="s">
        <v>8</v>
      </c>
      <c r="B722" s="136" t="s">
        <v>7529</v>
      </c>
      <c r="C722" s="136" t="s">
        <v>663</v>
      </c>
      <c r="D722" s="136" t="s">
        <v>368</v>
      </c>
      <c r="E722" s="136" t="s">
        <v>594</v>
      </c>
      <c r="F722" s="136">
        <v>230</v>
      </c>
      <c r="G722" s="137">
        <f t="shared" si="2"/>
        <v>7</v>
      </c>
      <c r="H722" s="137"/>
      <c r="I722" s="137"/>
      <c r="J722" s="135"/>
      <c r="K722" s="135"/>
      <c r="L722" s="135"/>
      <c r="M722" s="135"/>
      <c r="N722" s="135"/>
      <c r="O722" s="135"/>
      <c r="P722" s="135"/>
      <c r="Q722" s="135"/>
      <c r="R722" s="135"/>
      <c r="S722" s="135"/>
      <c r="T722" s="135"/>
      <c r="U722" s="135"/>
      <c r="V722" s="135"/>
      <c r="W722" s="135"/>
      <c r="X722" s="135"/>
      <c r="Y722" s="135"/>
      <c r="Z722" s="135"/>
    </row>
    <row r="723" spans="1:26" ht="12.75">
      <c r="A723" s="136" t="s">
        <v>8</v>
      </c>
      <c r="B723" s="136" t="s">
        <v>7529</v>
      </c>
      <c r="C723" s="136" t="s">
        <v>663</v>
      </c>
      <c r="D723" s="136" t="s">
        <v>7491</v>
      </c>
      <c r="E723" s="136" t="s">
        <v>615</v>
      </c>
      <c r="F723" s="136">
        <v>200</v>
      </c>
      <c r="G723" s="137">
        <f t="shared" si="2"/>
        <v>8</v>
      </c>
      <c r="H723" s="137"/>
      <c r="I723" s="137"/>
      <c r="J723" s="135"/>
      <c r="K723" s="135"/>
      <c r="L723" s="135"/>
      <c r="M723" s="135"/>
      <c r="N723" s="135"/>
      <c r="O723" s="135"/>
      <c r="P723" s="135"/>
      <c r="Q723" s="135"/>
      <c r="R723" s="135"/>
      <c r="S723" s="135"/>
      <c r="T723" s="135"/>
      <c r="U723" s="135"/>
      <c r="V723" s="135"/>
      <c r="W723" s="135"/>
      <c r="X723" s="135"/>
      <c r="Y723" s="135"/>
      <c r="Z723" s="135"/>
    </row>
    <row r="724" spans="1:26" ht="12.75">
      <c r="A724" s="136" t="s">
        <v>8</v>
      </c>
      <c r="B724" s="136" t="s">
        <v>7529</v>
      </c>
      <c r="C724" s="136" t="s">
        <v>663</v>
      </c>
      <c r="D724" s="136" t="s">
        <v>165</v>
      </c>
      <c r="E724" s="136" t="s">
        <v>615</v>
      </c>
      <c r="F724" s="136">
        <v>160</v>
      </c>
      <c r="G724" s="137">
        <f t="shared" si="2"/>
        <v>9</v>
      </c>
      <c r="H724" s="137"/>
      <c r="I724" s="137"/>
      <c r="J724" s="135"/>
      <c r="K724" s="135"/>
      <c r="L724" s="135"/>
      <c r="M724" s="135"/>
      <c r="N724" s="135"/>
      <c r="O724" s="135"/>
      <c r="P724" s="135"/>
      <c r="Q724" s="135"/>
      <c r="R724" s="135"/>
      <c r="S724" s="135"/>
      <c r="T724" s="135"/>
      <c r="U724" s="135"/>
      <c r="V724" s="135"/>
      <c r="W724" s="135"/>
      <c r="X724" s="135"/>
      <c r="Y724" s="135"/>
      <c r="Z724" s="135"/>
    </row>
    <row r="725" spans="1:26" ht="12.75">
      <c r="A725" s="136" t="s">
        <v>8</v>
      </c>
      <c r="B725" s="136" t="s">
        <v>7529</v>
      </c>
      <c r="C725" s="136" t="s">
        <v>663</v>
      </c>
      <c r="D725" s="136" t="s">
        <v>1665</v>
      </c>
      <c r="E725" s="136" t="s">
        <v>615</v>
      </c>
      <c r="F725" s="136">
        <v>140</v>
      </c>
      <c r="G725" s="137">
        <f t="shared" si="2"/>
        <v>10</v>
      </c>
      <c r="H725" s="137"/>
      <c r="I725" s="137"/>
      <c r="J725" s="135"/>
      <c r="K725" s="135"/>
      <c r="L725" s="135"/>
      <c r="M725" s="135"/>
      <c r="N725" s="135"/>
      <c r="O725" s="135"/>
      <c r="P725" s="135"/>
      <c r="Q725" s="135"/>
      <c r="R725" s="135"/>
      <c r="S725" s="135"/>
      <c r="T725" s="135"/>
      <c r="U725" s="135"/>
      <c r="V725" s="135"/>
      <c r="W725" s="135"/>
      <c r="X725" s="135"/>
      <c r="Y725" s="135"/>
      <c r="Z725" s="135"/>
    </row>
    <row r="726" spans="1:26" ht="12.75">
      <c r="A726" s="136" t="s">
        <v>8</v>
      </c>
      <c r="B726" s="136" t="s">
        <v>7529</v>
      </c>
      <c r="C726" s="136" t="s">
        <v>663</v>
      </c>
      <c r="D726" s="136" t="s">
        <v>7545</v>
      </c>
      <c r="E726" s="136" t="s">
        <v>86</v>
      </c>
      <c r="F726" s="136">
        <v>125</v>
      </c>
      <c r="G726" s="137">
        <f t="shared" si="2"/>
        <v>11</v>
      </c>
      <c r="H726" s="137"/>
      <c r="I726" s="137"/>
      <c r="J726" s="135"/>
      <c r="K726" s="135"/>
      <c r="L726" s="135"/>
      <c r="M726" s="135"/>
      <c r="N726" s="135"/>
      <c r="O726" s="135"/>
      <c r="P726" s="135"/>
      <c r="Q726" s="135"/>
      <c r="R726" s="135"/>
      <c r="S726" s="135"/>
      <c r="T726" s="135"/>
      <c r="U726" s="135"/>
      <c r="V726" s="135"/>
      <c r="W726" s="135"/>
      <c r="X726" s="135"/>
      <c r="Y726" s="135"/>
      <c r="Z726" s="135"/>
    </row>
    <row r="727" spans="1:26" ht="12.75">
      <c r="A727" s="136" t="s">
        <v>8</v>
      </c>
      <c r="B727" s="136" t="s">
        <v>7529</v>
      </c>
      <c r="C727" s="136" t="s">
        <v>663</v>
      </c>
      <c r="D727" s="136" t="s">
        <v>136</v>
      </c>
      <c r="E727" s="136" t="s">
        <v>615</v>
      </c>
      <c r="F727" s="136">
        <v>120</v>
      </c>
      <c r="G727" s="137">
        <f t="shared" si="2"/>
        <v>12</v>
      </c>
      <c r="H727" s="137"/>
      <c r="I727" s="137"/>
      <c r="J727" s="135"/>
      <c r="K727" s="135"/>
      <c r="L727" s="135"/>
      <c r="M727" s="135"/>
      <c r="N727" s="135"/>
      <c r="O727" s="135"/>
      <c r="P727" s="135"/>
      <c r="Q727" s="135"/>
      <c r="R727" s="135"/>
      <c r="S727" s="135"/>
      <c r="T727" s="135"/>
      <c r="U727" s="135"/>
      <c r="V727" s="135"/>
      <c r="W727" s="135"/>
      <c r="X727" s="135"/>
      <c r="Y727" s="135"/>
      <c r="Z727" s="135"/>
    </row>
    <row r="728" spans="1:26" ht="12.75">
      <c r="A728" s="136" t="s">
        <v>8</v>
      </c>
      <c r="B728" s="136" t="s">
        <v>7529</v>
      </c>
      <c r="C728" s="136" t="s">
        <v>663</v>
      </c>
      <c r="D728" s="136" t="s">
        <v>1626</v>
      </c>
      <c r="E728" s="136" t="s">
        <v>594</v>
      </c>
      <c r="F728" s="136">
        <v>110</v>
      </c>
      <c r="G728" s="137">
        <f t="shared" si="2"/>
        <v>13</v>
      </c>
      <c r="H728" s="137"/>
      <c r="I728" s="137"/>
      <c r="J728" s="135"/>
      <c r="K728" s="135"/>
      <c r="L728" s="135"/>
      <c r="M728" s="135"/>
      <c r="N728" s="135"/>
      <c r="O728" s="135"/>
      <c r="P728" s="135"/>
      <c r="Q728" s="135"/>
      <c r="R728" s="135"/>
      <c r="S728" s="135"/>
      <c r="T728" s="135"/>
      <c r="U728" s="135"/>
      <c r="V728" s="135"/>
      <c r="W728" s="135"/>
      <c r="X728" s="135"/>
      <c r="Y728" s="135"/>
      <c r="Z728" s="135"/>
    </row>
    <row r="729" spans="1:26" ht="12.75">
      <c r="A729" s="136" t="s">
        <v>8</v>
      </c>
      <c r="B729" s="136" t="s">
        <v>7529</v>
      </c>
      <c r="C729" s="136" t="s">
        <v>663</v>
      </c>
      <c r="D729" s="136" t="s">
        <v>7546</v>
      </c>
      <c r="E729" s="136" t="s">
        <v>86</v>
      </c>
      <c r="F729" s="136">
        <v>100</v>
      </c>
      <c r="G729" s="137">
        <f t="shared" si="2"/>
        <v>14</v>
      </c>
      <c r="H729" s="137"/>
      <c r="I729" s="137"/>
      <c r="J729" s="135"/>
      <c r="K729" s="135"/>
      <c r="L729" s="135"/>
      <c r="M729" s="135"/>
      <c r="N729" s="135"/>
      <c r="O729" s="135"/>
      <c r="P729" s="135"/>
      <c r="Q729" s="135"/>
      <c r="R729" s="135"/>
      <c r="S729" s="135"/>
      <c r="T729" s="135"/>
      <c r="U729" s="135"/>
      <c r="V729" s="135"/>
      <c r="W729" s="135"/>
      <c r="X729" s="135"/>
      <c r="Y729" s="135"/>
      <c r="Z729" s="135"/>
    </row>
    <row r="730" spans="1:26" ht="12.75">
      <c r="A730" s="136" t="s">
        <v>8</v>
      </c>
      <c r="B730" s="136" t="s">
        <v>7529</v>
      </c>
      <c r="C730" s="136" t="s">
        <v>663</v>
      </c>
      <c r="D730" s="136" t="s">
        <v>7534</v>
      </c>
      <c r="E730" s="136" t="s">
        <v>594</v>
      </c>
      <c r="F730" s="136">
        <v>60</v>
      </c>
      <c r="G730" s="137">
        <f t="shared" si="2"/>
        <v>15</v>
      </c>
      <c r="H730" s="137"/>
      <c r="I730" s="137"/>
      <c r="J730" s="135"/>
      <c r="K730" s="135"/>
      <c r="L730" s="135"/>
      <c r="M730" s="135"/>
      <c r="N730" s="135"/>
      <c r="O730" s="135"/>
      <c r="P730" s="135"/>
      <c r="Q730" s="135"/>
      <c r="R730" s="135"/>
      <c r="S730" s="135"/>
      <c r="T730" s="135"/>
      <c r="U730" s="135"/>
      <c r="V730" s="135"/>
      <c r="W730" s="135"/>
      <c r="X730" s="135"/>
      <c r="Y730" s="135"/>
      <c r="Z730" s="135"/>
    </row>
    <row r="731" spans="1:26" ht="12.75">
      <c r="A731" s="136" t="s">
        <v>8</v>
      </c>
      <c r="B731" s="136" t="s">
        <v>7529</v>
      </c>
      <c r="C731" s="136" t="s">
        <v>663</v>
      </c>
      <c r="D731" s="136" t="s">
        <v>7531</v>
      </c>
      <c r="E731" s="136" t="s">
        <v>615</v>
      </c>
      <c r="F731" s="136">
        <v>30</v>
      </c>
      <c r="G731" s="137">
        <f t="shared" si="2"/>
        <v>16</v>
      </c>
      <c r="H731" s="137"/>
      <c r="I731" s="137"/>
      <c r="J731" s="135"/>
      <c r="K731" s="135"/>
      <c r="L731" s="135"/>
      <c r="M731" s="135"/>
      <c r="N731" s="135"/>
      <c r="O731" s="135"/>
      <c r="P731" s="135"/>
      <c r="Q731" s="135"/>
      <c r="R731" s="135"/>
      <c r="S731" s="135"/>
      <c r="T731" s="135"/>
      <c r="U731" s="135"/>
      <c r="V731" s="135"/>
      <c r="W731" s="135"/>
      <c r="X731" s="135"/>
      <c r="Y731" s="135"/>
      <c r="Z731" s="135"/>
    </row>
    <row r="732" spans="1:26" ht="12.75">
      <c r="A732" s="136" t="s">
        <v>8</v>
      </c>
      <c r="B732" s="136" t="s">
        <v>7547</v>
      </c>
      <c r="C732" s="136" t="s">
        <v>7548</v>
      </c>
      <c r="D732" s="136" t="s">
        <v>7544</v>
      </c>
      <c r="E732" s="136" t="s">
        <v>615</v>
      </c>
      <c r="F732" s="136">
        <v>1860</v>
      </c>
      <c r="G732" s="137">
        <f t="shared" si="2"/>
        <v>1</v>
      </c>
      <c r="H732" s="137"/>
      <c r="I732" s="137"/>
      <c r="J732" s="135"/>
      <c r="K732" s="135"/>
      <c r="L732" s="135"/>
      <c r="M732" s="135"/>
      <c r="N732" s="135"/>
      <c r="O732" s="135"/>
      <c r="P732" s="135"/>
      <c r="Q732" s="135"/>
      <c r="R732" s="135"/>
      <c r="S732" s="135"/>
      <c r="T732" s="135"/>
      <c r="U732" s="135"/>
      <c r="V732" s="135"/>
      <c r="W732" s="135"/>
      <c r="X732" s="135"/>
      <c r="Y732" s="135"/>
      <c r="Z732" s="135"/>
    </row>
    <row r="733" spans="1:26" ht="12.75">
      <c r="A733" s="136" t="s">
        <v>8</v>
      </c>
      <c r="B733" s="136" t="s">
        <v>7547</v>
      </c>
      <c r="C733" s="136" t="s">
        <v>7548</v>
      </c>
      <c r="D733" s="136" t="s">
        <v>7530</v>
      </c>
      <c r="E733" s="136" t="s">
        <v>85</v>
      </c>
      <c r="F733" s="136">
        <v>1281</v>
      </c>
      <c r="G733" s="137">
        <f t="shared" si="2"/>
        <v>2</v>
      </c>
      <c r="H733" s="137"/>
      <c r="I733" s="137"/>
      <c r="J733" s="135"/>
      <c r="K733" s="135"/>
      <c r="L733" s="135"/>
      <c r="M733" s="135"/>
      <c r="N733" s="135"/>
      <c r="O733" s="135"/>
      <c r="P733" s="135"/>
      <c r="Q733" s="135"/>
      <c r="R733" s="135"/>
      <c r="S733" s="135"/>
      <c r="T733" s="135"/>
      <c r="U733" s="135"/>
      <c r="V733" s="135"/>
      <c r="W733" s="135"/>
      <c r="X733" s="135"/>
      <c r="Y733" s="135"/>
      <c r="Z733" s="135"/>
    </row>
    <row r="734" spans="1:26" ht="12.75">
      <c r="A734" s="136" t="s">
        <v>8</v>
      </c>
      <c r="B734" s="136" t="s">
        <v>7547</v>
      </c>
      <c r="C734" s="136" t="s">
        <v>7548</v>
      </c>
      <c r="D734" s="136" t="s">
        <v>165</v>
      </c>
      <c r="E734" s="136" t="s">
        <v>615</v>
      </c>
      <c r="F734" s="136">
        <v>1155</v>
      </c>
      <c r="G734" s="137">
        <f t="shared" si="2"/>
        <v>3</v>
      </c>
      <c r="H734" s="137"/>
      <c r="I734" s="137"/>
      <c r="J734" s="135"/>
      <c r="K734" s="135"/>
      <c r="L734" s="135"/>
      <c r="M734" s="135"/>
      <c r="N734" s="135"/>
      <c r="O734" s="135"/>
      <c r="P734" s="135"/>
      <c r="Q734" s="135"/>
      <c r="R734" s="135"/>
      <c r="S734" s="135"/>
      <c r="T734" s="135"/>
      <c r="U734" s="135"/>
      <c r="V734" s="135"/>
      <c r="W734" s="135"/>
      <c r="X734" s="135"/>
      <c r="Y734" s="135"/>
      <c r="Z734" s="135"/>
    </row>
    <row r="735" spans="1:26" ht="12.75">
      <c r="A735" s="136" t="s">
        <v>8</v>
      </c>
      <c r="B735" s="136" t="s">
        <v>7547</v>
      </c>
      <c r="C735" s="136" t="s">
        <v>7548</v>
      </c>
      <c r="D735" s="136" t="s">
        <v>139</v>
      </c>
      <c r="E735" s="136" t="s">
        <v>594</v>
      </c>
      <c r="F735" s="136">
        <v>675</v>
      </c>
      <c r="G735" s="137">
        <f t="shared" si="2"/>
        <v>4</v>
      </c>
      <c r="H735" s="137"/>
      <c r="I735" s="137"/>
      <c r="J735" s="135"/>
      <c r="K735" s="135"/>
      <c r="L735" s="135"/>
      <c r="M735" s="135"/>
      <c r="N735" s="135"/>
      <c r="O735" s="135"/>
      <c r="P735" s="135"/>
      <c r="Q735" s="135"/>
      <c r="R735" s="135"/>
      <c r="S735" s="135"/>
      <c r="T735" s="135"/>
      <c r="U735" s="135"/>
      <c r="V735" s="135"/>
      <c r="W735" s="135"/>
      <c r="X735" s="135"/>
      <c r="Y735" s="135"/>
      <c r="Z735" s="135"/>
    </row>
    <row r="736" spans="1:26" ht="12.75">
      <c r="A736" s="136" t="s">
        <v>8</v>
      </c>
      <c r="B736" s="136" t="s">
        <v>7547</v>
      </c>
      <c r="C736" s="136" t="s">
        <v>7548</v>
      </c>
      <c r="D736" s="136" t="s">
        <v>467</v>
      </c>
      <c r="E736" s="136" t="s">
        <v>85</v>
      </c>
      <c r="F736" s="136">
        <v>498</v>
      </c>
      <c r="G736" s="137">
        <f t="shared" si="2"/>
        <v>5</v>
      </c>
      <c r="H736" s="137"/>
      <c r="I736" s="137"/>
      <c r="J736" s="135"/>
      <c r="K736" s="135"/>
      <c r="L736" s="135"/>
      <c r="M736" s="135"/>
      <c r="N736" s="135"/>
      <c r="O736" s="135"/>
      <c r="P736" s="135"/>
      <c r="Q736" s="135"/>
      <c r="R736" s="135"/>
      <c r="S736" s="135"/>
      <c r="T736" s="135"/>
      <c r="U736" s="135"/>
      <c r="V736" s="135"/>
      <c r="W736" s="135"/>
      <c r="X736" s="135"/>
      <c r="Y736" s="135"/>
      <c r="Z736" s="135"/>
    </row>
    <row r="737" spans="1:26" ht="12.75">
      <c r="A737" s="136" t="s">
        <v>8</v>
      </c>
      <c r="B737" s="136" t="s">
        <v>7547</v>
      </c>
      <c r="C737" s="136" t="s">
        <v>7548</v>
      </c>
      <c r="D737" s="136" t="s">
        <v>1665</v>
      </c>
      <c r="E737" s="136" t="s">
        <v>615</v>
      </c>
      <c r="F737" s="136">
        <v>480</v>
      </c>
      <c r="G737" s="137">
        <f t="shared" si="2"/>
        <v>6</v>
      </c>
      <c r="H737" s="137"/>
      <c r="I737" s="137"/>
      <c r="J737" s="135"/>
      <c r="K737" s="135"/>
      <c r="L737" s="135"/>
      <c r="M737" s="135"/>
      <c r="N737" s="135"/>
      <c r="O737" s="135"/>
      <c r="P737" s="135"/>
      <c r="Q737" s="135"/>
      <c r="R737" s="135"/>
      <c r="S737" s="135"/>
      <c r="T737" s="135"/>
      <c r="U737" s="135"/>
      <c r="V737" s="135"/>
      <c r="W737" s="135"/>
      <c r="X737" s="135"/>
      <c r="Y737" s="135"/>
      <c r="Z737" s="135"/>
    </row>
    <row r="738" spans="1:26" ht="12.75">
      <c r="A738" s="136" t="s">
        <v>8</v>
      </c>
      <c r="B738" s="136" t="s">
        <v>7547</v>
      </c>
      <c r="C738" s="136" t="s">
        <v>7548</v>
      </c>
      <c r="D738" s="136" t="s">
        <v>7531</v>
      </c>
      <c r="E738" s="136" t="s">
        <v>615</v>
      </c>
      <c r="F738" s="136">
        <v>320</v>
      </c>
      <c r="G738" s="137">
        <f t="shared" si="2"/>
        <v>7</v>
      </c>
      <c r="H738" s="137"/>
      <c r="I738" s="137"/>
      <c r="J738" s="135"/>
      <c r="K738" s="135"/>
      <c r="L738" s="135"/>
      <c r="M738" s="135"/>
      <c r="N738" s="135"/>
      <c r="O738" s="135"/>
      <c r="P738" s="135"/>
      <c r="Q738" s="135"/>
      <c r="R738" s="135"/>
      <c r="S738" s="135"/>
      <c r="T738" s="135"/>
      <c r="U738" s="135"/>
      <c r="V738" s="135"/>
      <c r="W738" s="135"/>
      <c r="X738" s="135"/>
      <c r="Y738" s="135"/>
      <c r="Z738" s="135"/>
    </row>
    <row r="739" spans="1:26" ht="12.75">
      <c r="A739" s="136" t="s">
        <v>8</v>
      </c>
      <c r="B739" s="136" t="s">
        <v>7547</v>
      </c>
      <c r="C739" s="136" t="s">
        <v>7548</v>
      </c>
      <c r="D739" s="136" t="s">
        <v>107</v>
      </c>
      <c r="E739" s="136" t="s">
        <v>615</v>
      </c>
      <c r="F739" s="136">
        <v>245</v>
      </c>
      <c r="G739" s="137">
        <f t="shared" si="2"/>
        <v>8</v>
      </c>
      <c r="H739" s="137"/>
      <c r="I739" s="137"/>
      <c r="J739" s="135"/>
      <c r="K739" s="135"/>
      <c r="L739" s="135"/>
      <c r="M739" s="135"/>
      <c r="N739" s="135"/>
      <c r="O739" s="135"/>
      <c r="P739" s="135"/>
      <c r="Q739" s="135"/>
      <c r="R739" s="135"/>
      <c r="S739" s="135"/>
      <c r="T739" s="135"/>
      <c r="U739" s="135"/>
      <c r="V739" s="135"/>
      <c r="W739" s="135"/>
      <c r="X739" s="135"/>
      <c r="Y739" s="135"/>
      <c r="Z739" s="135"/>
    </row>
    <row r="740" spans="1:26" ht="12.75">
      <c r="A740" s="136" t="s">
        <v>8</v>
      </c>
      <c r="B740" s="136" t="s">
        <v>7547</v>
      </c>
      <c r="C740" s="136" t="s">
        <v>7548</v>
      </c>
      <c r="D740" s="136" t="s">
        <v>136</v>
      </c>
      <c r="E740" s="136" t="s">
        <v>615</v>
      </c>
      <c r="F740" s="136">
        <v>222</v>
      </c>
      <c r="G740" s="137">
        <f t="shared" si="2"/>
        <v>9</v>
      </c>
      <c r="H740" s="137"/>
      <c r="I740" s="137"/>
      <c r="J740" s="135"/>
      <c r="K740" s="135"/>
      <c r="L740" s="135"/>
      <c r="M740" s="135"/>
      <c r="N740" s="135"/>
      <c r="O740" s="135"/>
      <c r="P740" s="135"/>
      <c r="Q740" s="135"/>
      <c r="R740" s="135"/>
      <c r="S740" s="135"/>
      <c r="T740" s="135"/>
      <c r="U740" s="135"/>
      <c r="V740" s="135"/>
      <c r="W740" s="135"/>
      <c r="X740" s="135"/>
      <c r="Y740" s="135"/>
      <c r="Z740" s="135"/>
    </row>
    <row r="741" spans="1:26" ht="12.75">
      <c r="A741" s="136" t="s">
        <v>8</v>
      </c>
      <c r="B741" s="136" t="s">
        <v>7547</v>
      </c>
      <c r="C741" s="136" t="s">
        <v>7548</v>
      </c>
      <c r="D741" s="136" t="s">
        <v>7532</v>
      </c>
      <c r="E741" s="136" t="s">
        <v>615</v>
      </c>
      <c r="F741" s="136">
        <v>180</v>
      </c>
      <c r="G741" s="137">
        <f t="shared" si="2"/>
        <v>10</v>
      </c>
      <c r="H741" s="137"/>
      <c r="I741" s="137"/>
      <c r="J741" s="135"/>
      <c r="K741" s="135"/>
      <c r="L741" s="135"/>
      <c r="M741" s="135"/>
      <c r="N741" s="135"/>
      <c r="O741" s="135"/>
      <c r="P741" s="135"/>
      <c r="Q741" s="135"/>
      <c r="R741" s="135"/>
      <c r="S741" s="135"/>
      <c r="T741" s="135"/>
      <c r="U741" s="135"/>
      <c r="V741" s="135"/>
      <c r="W741" s="135"/>
      <c r="X741" s="135"/>
      <c r="Y741" s="135"/>
      <c r="Z741" s="135"/>
    </row>
    <row r="742" spans="1:26" ht="12.75">
      <c r="A742" s="136" t="s">
        <v>8</v>
      </c>
      <c r="B742" s="136" t="s">
        <v>7547</v>
      </c>
      <c r="C742" s="136" t="s">
        <v>7548</v>
      </c>
      <c r="D742" s="136" t="s">
        <v>368</v>
      </c>
      <c r="E742" s="136" t="s">
        <v>594</v>
      </c>
      <c r="F742" s="136">
        <v>150</v>
      </c>
      <c r="G742" s="137">
        <f t="shared" si="2"/>
        <v>11</v>
      </c>
      <c r="H742" s="137"/>
      <c r="I742" s="137"/>
      <c r="J742" s="135"/>
      <c r="K742" s="135"/>
      <c r="L742" s="135"/>
      <c r="M742" s="135"/>
      <c r="N742" s="135"/>
      <c r="O742" s="135"/>
      <c r="P742" s="135"/>
      <c r="Q742" s="135"/>
      <c r="R742" s="135"/>
      <c r="S742" s="135"/>
      <c r="T742" s="135"/>
      <c r="U742" s="135"/>
      <c r="V742" s="135"/>
      <c r="W742" s="135"/>
      <c r="X742" s="135"/>
      <c r="Y742" s="135"/>
      <c r="Z742" s="135"/>
    </row>
    <row r="743" spans="1:26" ht="12.75">
      <c r="A743" s="136" t="s">
        <v>8</v>
      </c>
      <c r="B743" s="136" t="s">
        <v>7547</v>
      </c>
      <c r="C743" s="136" t="s">
        <v>7548</v>
      </c>
      <c r="D743" s="136" t="s">
        <v>154</v>
      </c>
      <c r="E743" s="136" t="s">
        <v>615</v>
      </c>
      <c r="F743" s="136">
        <v>142</v>
      </c>
      <c r="G743" s="137">
        <f t="shared" si="2"/>
        <v>12</v>
      </c>
      <c r="H743" s="137"/>
      <c r="I743" s="137"/>
      <c r="J743" s="135"/>
      <c r="K743" s="135"/>
      <c r="L743" s="135"/>
      <c r="M743" s="135"/>
      <c r="N743" s="135"/>
      <c r="O743" s="135"/>
      <c r="P743" s="135"/>
      <c r="Q743" s="135"/>
      <c r="R743" s="135"/>
      <c r="S743" s="135"/>
      <c r="T743" s="135"/>
      <c r="U743" s="135"/>
      <c r="V743" s="135"/>
      <c r="W743" s="135"/>
      <c r="X743" s="135"/>
      <c r="Y743" s="135"/>
      <c r="Z743" s="135"/>
    </row>
    <row r="744" spans="1:26" ht="12.75">
      <c r="A744" s="136" t="s">
        <v>8</v>
      </c>
      <c r="B744" s="136" t="s">
        <v>7547</v>
      </c>
      <c r="C744" s="136" t="s">
        <v>7548</v>
      </c>
      <c r="D744" s="136" t="s">
        <v>120</v>
      </c>
      <c r="E744" s="136" t="s">
        <v>615</v>
      </c>
      <c r="F744" s="136">
        <v>125</v>
      </c>
      <c r="G744" s="137">
        <f t="shared" si="2"/>
        <v>13</v>
      </c>
      <c r="H744" s="137"/>
      <c r="I744" s="137"/>
      <c r="J744" s="135"/>
      <c r="K744" s="135"/>
      <c r="L744" s="135"/>
      <c r="M744" s="135"/>
      <c r="N744" s="135"/>
      <c r="O744" s="135"/>
      <c r="P744" s="135"/>
      <c r="Q744" s="135"/>
      <c r="R744" s="135"/>
      <c r="S744" s="135"/>
      <c r="T744" s="135"/>
      <c r="U744" s="135"/>
      <c r="V744" s="135"/>
      <c r="W744" s="135"/>
      <c r="X744" s="135"/>
      <c r="Y744" s="135"/>
      <c r="Z744" s="135"/>
    </row>
    <row r="745" spans="1:26" ht="12.75">
      <c r="A745" s="136" t="s">
        <v>8</v>
      </c>
      <c r="B745" s="136" t="s">
        <v>7547</v>
      </c>
      <c r="C745" s="136" t="s">
        <v>7548</v>
      </c>
      <c r="D745" s="136" t="s">
        <v>7533</v>
      </c>
      <c r="E745" s="136" t="s">
        <v>594</v>
      </c>
      <c r="F745" s="136">
        <v>122</v>
      </c>
      <c r="G745" s="137">
        <f t="shared" si="2"/>
        <v>14</v>
      </c>
      <c r="H745" s="137"/>
      <c r="I745" s="137"/>
      <c r="J745" s="135"/>
      <c r="K745" s="135"/>
      <c r="L745" s="135"/>
      <c r="M745" s="135"/>
      <c r="N745" s="135"/>
      <c r="O745" s="135"/>
      <c r="P745" s="135"/>
      <c r="Q745" s="135"/>
      <c r="R745" s="135"/>
      <c r="S745" s="135"/>
      <c r="T745" s="135"/>
      <c r="U745" s="135"/>
      <c r="V745" s="135"/>
      <c r="W745" s="135"/>
      <c r="X745" s="135"/>
      <c r="Y745" s="135"/>
      <c r="Z745" s="135"/>
    </row>
    <row r="746" spans="1:26" ht="12.75">
      <c r="A746" s="136" t="s">
        <v>8</v>
      </c>
      <c r="B746" s="136" t="s">
        <v>7547</v>
      </c>
      <c r="C746" s="136" t="s">
        <v>7548</v>
      </c>
      <c r="D746" s="136" t="s">
        <v>7491</v>
      </c>
      <c r="E746" s="136" t="s">
        <v>615</v>
      </c>
      <c r="F746" s="136">
        <v>100</v>
      </c>
      <c r="G746" s="137">
        <f t="shared" si="2"/>
        <v>15</v>
      </c>
      <c r="H746" s="137"/>
      <c r="I746" s="137"/>
      <c r="J746" s="135"/>
      <c r="K746" s="135"/>
      <c r="L746" s="135"/>
      <c r="M746" s="135"/>
      <c r="N746" s="135"/>
      <c r="O746" s="135"/>
      <c r="P746" s="135"/>
      <c r="Q746" s="135"/>
      <c r="R746" s="135"/>
      <c r="S746" s="135"/>
      <c r="T746" s="135"/>
      <c r="U746" s="135"/>
      <c r="V746" s="135"/>
      <c r="W746" s="135"/>
      <c r="X746" s="135"/>
      <c r="Y746" s="135"/>
      <c r="Z746" s="135"/>
    </row>
    <row r="747" spans="1:26" ht="12.75">
      <c r="A747" s="136" t="s">
        <v>8</v>
      </c>
      <c r="B747" s="136" t="s">
        <v>7547</v>
      </c>
      <c r="C747" s="136" t="s">
        <v>7548</v>
      </c>
      <c r="D747" s="136" t="s">
        <v>1626</v>
      </c>
      <c r="E747" s="136" t="s">
        <v>594</v>
      </c>
      <c r="F747" s="136">
        <v>85</v>
      </c>
      <c r="G747" s="137">
        <f t="shared" si="2"/>
        <v>16</v>
      </c>
      <c r="H747" s="137"/>
      <c r="I747" s="137"/>
      <c r="J747" s="135"/>
      <c r="K747" s="135"/>
      <c r="L747" s="135"/>
      <c r="M747" s="135"/>
      <c r="N747" s="135"/>
      <c r="O747" s="135"/>
      <c r="P747" s="135"/>
      <c r="Q747" s="135"/>
      <c r="R747" s="135"/>
      <c r="S747" s="135"/>
      <c r="T747" s="135"/>
      <c r="U747" s="135"/>
      <c r="V747" s="135"/>
      <c r="W747" s="135"/>
      <c r="X747" s="135"/>
      <c r="Y747" s="135"/>
      <c r="Z747" s="135"/>
    </row>
    <row r="748" spans="1:26" ht="12.75">
      <c r="A748" s="136" t="s">
        <v>8</v>
      </c>
      <c r="B748" s="136" t="s">
        <v>7547</v>
      </c>
      <c r="C748" s="136" t="s">
        <v>7548</v>
      </c>
      <c r="D748" s="136" t="s">
        <v>225</v>
      </c>
      <c r="E748" s="136" t="s">
        <v>615</v>
      </c>
      <c r="F748" s="136">
        <v>50</v>
      </c>
      <c r="G748" s="137">
        <f t="shared" si="2"/>
        <v>17</v>
      </c>
      <c r="H748" s="137"/>
      <c r="I748" s="137"/>
      <c r="J748" s="135"/>
      <c r="K748" s="135"/>
      <c r="L748" s="135"/>
      <c r="M748" s="135"/>
      <c r="N748" s="135"/>
      <c r="O748" s="135"/>
      <c r="P748" s="135"/>
      <c r="Q748" s="135"/>
      <c r="R748" s="135"/>
      <c r="S748" s="135"/>
      <c r="T748" s="135"/>
      <c r="U748" s="135"/>
      <c r="V748" s="135"/>
      <c r="W748" s="135"/>
      <c r="X748" s="135"/>
      <c r="Y748" s="135"/>
      <c r="Z748" s="135"/>
    </row>
    <row r="749" spans="1:26" ht="12.75">
      <c r="A749" s="136" t="s">
        <v>8</v>
      </c>
      <c r="B749" s="136" t="s">
        <v>7547</v>
      </c>
      <c r="C749" s="136" t="s">
        <v>7548</v>
      </c>
      <c r="D749" s="136" t="s">
        <v>7480</v>
      </c>
      <c r="E749" s="136" t="s">
        <v>594</v>
      </c>
      <c r="F749" s="136">
        <v>20</v>
      </c>
      <c r="G749" s="137">
        <f t="shared" si="2"/>
        <v>18</v>
      </c>
      <c r="H749" s="137"/>
      <c r="I749" s="137"/>
      <c r="J749" s="135"/>
      <c r="K749" s="135"/>
      <c r="L749" s="135"/>
      <c r="M749" s="135"/>
      <c r="N749" s="135"/>
      <c r="O749" s="135"/>
      <c r="P749" s="135"/>
      <c r="Q749" s="135"/>
      <c r="R749" s="135"/>
      <c r="S749" s="135"/>
      <c r="T749" s="135"/>
      <c r="U749" s="135"/>
      <c r="V749" s="135"/>
      <c r="W749" s="135"/>
      <c r="X749" s="135"/>
      <c r="Y749" s="135"/>
      <c r="Z749" s="135"/>
    </row>
    <row r="750" spans="1:26" ht="12.75">
      <c r="A750" s="136" t="s">
        <v>8</v>
      </c>
      <c r="B750" s="136" t="s">
        <v>7547</v>
      </c>
      <c r="C750" s="136" t="s">
        <v>7548</v>
      </c>
      <c r="D750" s="136" t="s">
        <v>1646</v>
      </c>
      <c r="E750" s="136" t="s">
        <v>615</v>
      </c>
      <c r="F750" s="136">
        <v>20</v>
      </c>
      <c r="G750" s="137">
        <f t="shared" si="2"/>
        <v>19</v>
      </c>
      <c r="H750" s="137"/>
      <c r="I750" s="137"/>
      <c r="J750" s="135"/>
      <c r="K750" s="135"/>
      <c r="L750" s="135"/>
      <c r="M750" s="135"/>
      <c r="N750" s="135"/>
      <c r="O750" s="135"/>
      <c r="P750" s="135"/>
      <c r="Q750" s="135"/>
      <c r="R750" s="135"/>
      <c r="S750" s="135"/>
      <c r="T750" s="135"/>
      <c r="U750" s="135"/>
      <c r="V750" s="135"/>
      <c r="W750" s="135"/>
      <c r="X750" s="135"/>
      <c r="Y750" s="135"/>
      <c r="Z750" s="135"/>
    </row>
    <row r="751" spans="1:26" ht="12.75">
      <c r="A751" s="136" t="s">
        <v>8</v>
      </c>
      <c r="B751" s="136" t="s">
        <v>7547</v>
      </c>
      <c r="C751" s="136" t="s">
        <v>7548</v>
      </c>
      <c r="D751" s="136" t="s">
        <v>7536</v>
      </c>
      <c r="E751" s="136" t="s">
        <v>86</v>
      </c>
      <c r="F751" s="136">
        <v>14</v>
      </c>
      <c r="G751" s="137">
        <f t="shared" si="2"/>
        <v>20</v>
      </c>
      <c r="H751" s="137"/>
      <c r="I751" s="137"/>
      <c r="J751" s="135"/>
      <c r="K751" s="135"/>
      <c r="L751" s="135"/>
      <c r="M751" s="135"/>
      <c r="N751" s="135"/>
      <c r="O751" s="135"/>
      <c r="P751" s="135"/>
      <c r="Q751" s="135"/>
      <c r="R751" s="135"/>
      <c r="S751" s="135"/>
      <c r="T751" s="135"/>
      <c r="U751" s="135"/>
      <c r="V751" s="135"/>
      <c r="W751" s="135"/>
      <c r="X751" s="135"/>
      <c r="Y751" s="135"/>
      <c r="Z751" s="135"/>
    </row>
    <row r="752" spans="1:26" ht="12.75">
      <c r="A752" s="136" t="s">
        <v>8</v>
      </c>
      <c r="B752" s="136" t="s">
        <v>7547</v>
      </c>
      <c r="C752" s="136" t="s">
        <v>7548</v>
      </c>
      <c r="D752" s="136" t="s">
        <v>1682</v>
      </c>
      <c r="E752" s="136" t="s">
        <v>86</v>
      </c>
      <c r="F752" s="136">
        <v>7</v>
      </c>
      <c r="G752" s="137">
        <f t="shared" si="2"/>
        <v>21</v>
      </c>
      <c r="H752" s="137"/>
      <c r="I752" s="137"/>
      <c r="J752" s="135"/>
      <c r="K752" s="135"/>
      <c r="L752" s="135"/>
      <c r="M752" s="135"/>
      <c r="N752" s="135"/>
      <c r="O752" s="135"/>
      <c r="P752" s="135"/>
      <c r="Q752" s="135"/>
      <c r="R752" s="135"/>
      <c r="S752" s="135"/>
      <c r="T752" s="135"/>
      <c r="U752" s="135"/>
      <c r="V752" s="135"/>
      <c r="W752" s="135"/>
      <c r="X752" s="135"/>
      <c r="Y752" s="135"/>
      <c r="Z752" s="135"/>
    </row>
    <row r="753" spans="1:26" ht="12.75">
      <c r="A753" s="136" t="s">
        <v>8</v>
      </c>
      <c r="B753" s="136" t="s">
        <v>7547</v>
      </c>
      <c r="C753" s="136" t="s">
        <v>7548</v>
      </c>
      <c r="D753" s="136" t="s">
        <v>1646</v>
      </c>
      <c r="E753" s="136" t="s">
        <v>615</v>
      </c>
      <c r="F753" s="136">
        <v>5</v>
      </c>
      <c r="G753" s="137">
        <f t="shared" si="2"/>
        <v>22</v>
      </c>
      <c r="H753" s="137"/>
      <c r="I753" s="137"/>
      <c r="J753" s="135"/>
      <c r="K753" s="135"/>
      <c r="L753" s="135"/>
      <c r="M753" s="135"/>
      <c r="N753" s="135"/>
      <c r="O753" s="135"/>
      <c r="P753" s="135"/>
      <c r="Q753" s="135"/>
      <c r="R753" s="135"/>
      <c r="S753" s="135"/>
      <c r="T753" s="135"/>
      <c r="U753" s="135"/>
      <c r="V753" s="135"/>
      <c r="W753" s="135"/>
      <c r="X753" s="135"/>
      <c r="Y753" s="135"/>
      <c r="Z753" s="135"/>
    </row>
    <row r="754" spans="1:26" ht="12.75">
      <c r="A754" s="136" t="s">
        <v>8</v>
      </c>
      <c r="B754" s="136" t="s">
        <v>7547</v>
      </c>
      <c r="C754" s="136" t="s">
        <v>621</v>
      </c>
      <c r="D754" s="136" t="s">
        <v>7546</v>
      </c>
      <c r="E754" s="136" t="s">
        <v>86</v>
      </c>
      <c r="F754" s="136">
        <v>350</v>
      </c>
      <c r="G754" s="137">
        <f t="shared" si="2"/>
        <v>1</v>
      </c>
      <c r="H754" s="137"/>
      <c r="I754" s="137"/>
      <c r="J754" s="135"/>
      <c r="K754" s="135"/>
      <c r="L754" s="135"/>
      <c r="M754" s="135"/>
      <c r="N754" s="135"/>
      <c r="O754" s="135"/>
      <c r="P754" s="135"/>
      <c r="Q754" s="135"/>
      <c r="R754" s="135"/>
      <c r="S754" s="135"/>
      <c r="T754" s="135"/>
      <c r="U754" s="135"/>
      <c r="V754" s="135"/>
      <c r="W754" s="135"/>
      <c r="X754" s="135"/>
      <c r="Y754" s="135"/>
      <c r="Z754" s="135"/>
    </row>
    <row r="755" spans="1:26" ht="12.75">
      <c r="A755" s="136" t="s">
        <v>8</v>
      </c>
      <c r="B755" s="136" t="s">
        <v>7547</v>
      </c>
      <c r="C755" s="136" t="s">
        <v>621</v>
      </c>
      <c r="D755" s="136" t="s">
        <v>7545</v>
      </c>
      <c r="E755" s="136" t="s">
        <v>86</v>
      </c>
      <c r="F755" s="136">
        <v>285</v>
      </c>
      <c r="G755" s="137">
        <f t="shared" si="2"/>
        <v>2</v>
      </c>
      <c r="H755" s="137"/>
      <c r="I755" s="137"/>
      <c r="J755" s="135"/>
      <c r="K755" s="135"/>
      <c r="L755" s="135"/>
      <c r="M755" s="135"/>
      <c r="N755" s="135"/>
      <c r="O755" s="135"/>
      <c r="P755" s="135"/>
      <c r="Q755" s="135"/>
      <c r="R755" s="135"/>
      <c r="S755" s="135"/>
      <c r="T755" s="135"/>
      <c r="U755" s="135"/>
      <c r="V755" s="135"/>
      <c r="W755" s="135"/>
      <c r="X755" s="135"/>
      <c r="Y755" s="135"/>
      <c r="Z755" s="135"/>
    </row>
    <row r="756" spans="1:26" ht="12.75">
      <c r="A756" s="136" t="s">
        <v>8</v>
      </c>
      <c r="B756" s="136" t="s">
        <v>7547</v>
      </c>
      <c r="C756" s="136" t="s">
        <v>621</v>
      </c>
      <c r="D756" s="136" t="s">
        <v>7536</v>
      </c>
      <c r="E756" s="136" t="s">
        <v>86</v>
      </c>
      <c r="F756" s="136">
        <v>225</v>
      </c>
      <c r="G756" s="137">
        <f t="shared" si="2"/>
        <v>3</v>
      </c>
      <c r="H756" s="137"/>
      <c r="I756" s="137"/>
      <c r="J756" s="135"/>
      <c r="K756" s="135"/>
      <c r="L756" s="135"/>
      <c r="M756" s="135"/>
      <c r="N756" s="135"/>
      <c r="O756" s="135"/>
      <c r="P756" s="135"/>
      <c r="Q756" s="135"/>
      <c r="R756" s="135"/>
      <c r="S756" s="135"/>
      <c r="T756" s="135"/>
      <c r="U756" s="135"/>
      <c r="V756" s="135"/>
      <c r="W756" s="135"/>
      <c r="X756" s="135"/>
      <c r="Y756" s="135"/>
      <c r="Z756" s="135"/>
    </row>
    <row r="757" spans="1:26" ht="12.75">
      <c r="A757" s="136" t="s">
        <v>8</v>
      </c>
      <c r="B757" s="136" t="s">
        <v>7547</v>
      </c>
      <c r="C757" s="136" t="s">
        <v>621</v>
      </c>
      <c r="D757" s="136" t="s">
        <v>7537</v>
      </c>
      <c r="E757" s="136" t="s">
        <v>86</v>
      </c>
      <c r="F757" s="136">
        <v>170</v>
      </c>
      <c r="G757" s="137">
        <f t="shared" si="2"/>
        <v>4</v>
      </c>
      <c r="H757" s="137"/>
      <c r="I757" s="137"/>
      <c r="J757" s="135"/>
      <c r="K757" s="135"/>
      <c r="L757" s="135"/>
      <c r="M757" s="135"/>
      <c r="N757" s="135"/>
      <c r="O757" s="135"/>
      <c r="P757" s="135"/>
      <c r="Q757" s="135"/>
      <c r="R757" s="135"/>
      <c r="S757" s="135"/>
      <c r="T757" s="135"/>
      <c r="U757" s="135"/>
      <c r="V757" s="135"/>
      <c r="W757" s="135"/>
      <c r="X757" s="135"/>
      <c r="Y757" s="135"/>
      <c r="Z757" s="135"/>
    </row>
    <row r="758" spans="1:26" ht="12.75">
      <c r="A758" s="136" t="s">
        <v>8</v>
      </c>
      <c r="B758" s="136" t="s">
        <v>7547</v>
      </c>
      <c r="C758" s="136" t="s">
        <v>621</v>
      </c>
      <c r="D758" s="136" t="s">
        <v>7491</v>
      </c>
      <c r="E758" s="136" t="s">
        <v>615</v>
      </c>
      <c r="F758" s="136">
        <v>50</v>
      </c>
      <c r="G758" s="137">
        <f t="shared" si="2"/>
        <v>5</v>
      </c>
      <c r="H758" s="137"/>
      <c r="I758" s="137"/>
      <c r="J758" s="135"/>
      <c r="K758" s="135"/>
      <c r="L758" s="135"/>
      <c r="M758" s="135"/>
      <c r="N758" s="135"/>
      <c r="O758" s="135"/>
      <c r="P758" s="135"/>
      <c r="Q758" s="135"/>
      <c r="R758" s="135"/>
      <c r="S758" s="135"/>
      <c r="T758" s="135"/>
      <c r="U758" s="135"/>
      <c r="V758" s="135"/>
      <c r="W758" s="135"/>
      <c r="X758" s="135"/>
      <c r="Y758" s="135"/>
      <c r="Z758" s="135"/>
    </row>
    <row r="759" spans="1:26" ht="12.75">
      <c r="A759" s="136" t="s">
        <v>8</v>
      </c>
      <c r="B759" s="136" t="s">
        <v>7547</v>
      </c>
      <c r="C759" s="136" t="s">
        <v>621</v>
      </c>
      <c r="D759" s="136" t="s">
        <v>139</v>
      </c>
      <c r="E759" s="136" t="s">
        <v>594</v>
      </c>
      <c r="F759" s="136">
        <v>39</v>
      </c>
      <c r="G759" s="137">
        <f t="shared" si="2"/>
        <v>6</v>
      </c>
      <c r="H759" s="137"/>
      <c r="I759" s="137"/>
      <c r="J759" s="135"/>
      <c r="K759" s="135"/>
      <c r="L759" s="135"/>
      <c r="M759" s="135"/>
      <c r="N759" s="135"/>
      <c r="O759" s="135"/>
      <c r="P759" s="135"/>
      <c r="Q759" s="135"/>
      <c r="R759" s="135"/>
      <c r="S759" s="135"/>
      <c r="T759" s="135"/>
      <c r="U759" s="135"/>
      <c r="V759" s="135"/>
      <c r="W759" s="135"/>
      <c r="X759" s="135"/>
      <c r="Y759" s="135"/>
      <c r="Z759" s="135"/>
    </row>
    <row r="760" spans="1:26" ht="12.75">
      <c r="A760" s="136" t="s">
        <v>8</v>
      </c>
      <c r="B760" s="136" t="s">
        <v>7547</v>
      </c>
      <c r="C760" s="136" t="s">
        <v>621</v>
      </c>
      <c r="D760" s="136" t="s">
        <v>7533</v>
      </c>
      <c r="E760" s="136" t="s">
        <v>594</v>
      </c>
      <c r="F760" s="136">
        <v>38</v>
      </c>
      <c r="G760" s="137">
        <f t="shared" si="2"/>
        <v>7</v>
      </c>
      <c r="H760" s="137"/>
      <c r="I760" s="137"/>
      <c r="J760" s="135"/>
      <c r="K760" s="135"/>
      <c r="L760" s="135"/>
      <c r="M760" s="135"/>
      <c r="N760" s="135"/>
      <c r="O760" s="135"/>
      <c r="P760" s="135"/>
      <c r="Q760" s="135"/>
      <c r="R760" s="135"/>
      <c r="S760" s="135"/>
      <c r="T760" s="135"/>
      <c r="U760" s="135"/>
      <c r="V760" s="135"/>
      <c r="W760" s="135"/>
      <c r="X760" s="135"/>
      <c r="Y760" s="135"/>
      <c r="Z760" s="135"/>
    </row>
    <row r="761" spans="1:26" ht="12.75">
      <c r="A761" s="136" t="s">
        <v>8</v>
      </c>
      <c r="B761" s="136" t="s">
        <v>7547</v>
      </c>
      <c r="C761" s="136" t="s">
        <v>621</v>
      </c>
      <c r="D761" s="136" t="s">
        <v>1665</v>
      </c>
      <c r="E761" s="136" t="s">
        <v>615</v>
      </c>
      <c r="F761" s="136">
        <v>24</v>
      </c>
      <c r="G761" s="137">
        <f t="shared" si="2"/>
        <v>8</v>
      </c>
      <c r="H761" s="137"/>
      <c r="I761" s="137"/>
      <c r="J761" s="135"/>
      <c r="K761" s="135"/>
      <c r="L761" s="135"/>
      <c r="M761" s="135"/>
      <c r="N761" s="135"/>
      <c r="O761" s="135"/>
      <c r="P761" s="135"/>
      <c r="Q761" s="135"/>
      <c r="R761" s="135"/>
      <c r="S761" s="135"/>
      <c r="T761" s="135"/>
      <c r="U761" s="135"/>
      <c r="V761" s="135"/>
      <c r="W761" s="135"/>
      <c r="X761" s="135"/>
      <c r="Y761" s="135"/>
      <c r="Z761" s="135"/>
    </row>
    <row r="762" spans="1:26" ht="12.75">
      <c r="A762" s="136" t="s">
        <v>8</v>
      </c>
      <c r="B762" s="136" t="s">
        <v>7547</v>
      </c>
      <c r="C762" s="136" t="s">
        <v>621</v>
      </c>
      <c r="D762" s="136" t="s">
        <v>7530</v>
      </c>
      <c r="E762" s="136" t="s">
        <v>85</v>
      </c>
      <c r="F762" s="136">
        <v>22</v>
      </c>
      <c r="G762" s="137">
        <f t="shared" si="2"/>
        <v>9</v>
      </c>
      <c r="H762" s="137"/>
      <c r="I762" s="137"/>
      <c r="J762" s="135"/>
      <c r="K762" s="135"/>
      <c r="L762" s="135"/>
      <c r="M762" s="135"/>
      <c r="N762" s="135"/>
      <c r="O762" s="135"/>
      <c r="P762" s="135"/>
      <c r="Q762" s="135"/>
      <c r="R762" s="135"/>
      <c r="S762" s="135"/>
      <c r="T762" s="135"/>
      <c r="U762" s="135"/>
      <c r="V762" s="135"/>
      <c r="W762" s="135"/>
      <c r="X762" s="135"/>
      <c r="Y762" s="135"/>
      <c r="Z762" s="135"/>
    </row>
    <row r="763" spans="1:26" ht="12.75">
      <c r="A763" s="136" t="s">
        <v>8</v>
      </c>
      <c r="B763" s="136" t="s">
        <v>7547</v>
      </c>
      <c r="C763" s="136" t="s">
        <v>621</v>
      </c>
      <c r="D763" s="136" t="s">
        <v>7531</v>
      </c>
      <c r="E763" s="136" t="s">
        <v>615</v>
      </c>
      <c r="F763" s="136">
        <v>3</v>
      </c>
      <c r="G763" s="137">
        <f t="shared" si="2"/>
        <v>10</v>
      </c>
      <c r="H763" s="137"/>
      <c r="I763" s="137"/>
      <c r="J763" s="135"/>
      <c r="K763" s="135"/>
      <c r="L763" s="135"/>
      <c r="M763" s="135"/>
      <c r="N763" s="135"/>
      <c r="O763" s="135"/>
      <c r="P763" s="135"/>
      <c r="Q763" s="135"/>
      <c r="R763" s="135"/>
      <c r="S763" s="135"/>
      <c r="T763" s="135"/>
      <c r="U763" s="135"/>
      <c r="V763" s="135"/>
      <c r="W763" s="135"/>
      <c r="X763" s="135"/>
      <c r="Y763" s="135"/>
      <c r="Z763" s="135"/>
    </row>
    <row r="764" spans="1:26" ht="12.75">
      <c r="A764" s="136" t="s">
        <v>8</v>
      </c>
      <c r="B764" s="136" t="s">
        <v>7549</v>
      </c>
      <c r="C764" s="136" t="s">
        <v>617</v>
      </c>
      <c r="D764" s="136" t="s">
        <v>139</v>
      </c>
      <c r="E764" s="136" t="s">
        <v>594</v>
      </c>
      <c r="F764" s="136">
        <v>1026</v>
      </c>
      <c r="G764" s="137">
        <f t="shared" si="2"/>
        <v>1</v>
      </c>
      <c r="H764" s="137"/>
      <c r="I764" s="137"/>
      <c r="J764" s="135"/>
      <c r="K764" s="135"/>
      <c r="L764" s="135"/>
      <c r="M764" s="135"/>
      <c r="N764" s="135"/>
      <c r="O764" s="135"/>
      <c r="P764" s="135"/>
      <c r="Q764" s="135"/>
      <c r="R764" s="135"/>
      <c r="S764" s="135"/>
      <c r="T764" s="135"/>
      <c r="U764" s="135"/>
      <c r="V764" s="135"/>
      <c r="W764" s="135"/>
      <c r="X764" s="135"/>
      <c r="Y764" s="135"/>
      <c r="Z764" s="135"/>
    </row>
    <row r="765" spans="1:26" ht="12.75">
      <c r="A765" s="136" t="s">
        <v>8</v>
      </c>
      <c r="B765" s="136" t="s">
        <v>7549</v>
      </c>
      <c r="C765" s="136" t="s">
        <v>617</v>
      </c>
      <c r="D765" s="136" t="s">
        <v>7530</v>
      </c>
      <c r="E765" s="136" t="s">
        <v>85</v>
      </c>
      <c r="F765" s="136">
        <v>541</v>
      </c>
      <c r="G765" s="137">
        <f t="shared" si="2"/>
        <v>2</v>
      </c>
      <c r="H765" s="137"/>
      <c r="I765" s="137"/>
      <c r="J765" s="135"/>
      <c r="K765" s="135"/>
      <c r="L765" s="135"/>
      <c r="M765" s="135"/>
      <c r="N765" s="135"/>
      <c r="O765" s="135"/>
      <c r="P765" s="135"/>
      <c r="Q765" s="135"/>
      <c r="R765" s="135"/>
      <c r="S765" s="135"/>
      <c r="T765" s="135"/>
      <c r="U765" s="135"/>
      <c r="V765" s="135"/>
      <c r="W765" s="135"/>
      <c r="X765" s="135"/>
      <c r="Y765" s="135"/>
      <c r="Z765" s="135"/>
    </row>
    <row r="766" spans="1:26" ht="12.75">
      <c r="A766" s="136" t="s">
        <v>8</v>
      </c>
      <c r="B766" s="136" t="s">
        <v>7549</v>
      </c>
      <c r="C766" s="136" t="s">
        <v>617</v>
      </c>
      <c r="D766" s="136" t="s">
        <v>467</v>
      </c>
      <c r="E766" s="136" t="s">
        <v>85</v>
      </c>
      <c r="F766" s="136">
        <v>264</v>
      </c>
      <c r="G766" s="137">
        <f t="shared" si="2"/>
        <v>3</v>
      </c>
      <c r="H766" s="137"/>
      <c r="I766" s="137"/>
      <c r="J766" s="135"/>
      <c r="K766" s="135"/>
      <c r="L766" s="135"/>
      <c r="M766" s="135"/>
      <c r="N766" s="135"/>
      <c r="O766" s="135"/>
      <c r="P766" s="135"/>
      <c r="Q766" s="135"/>
      <c r="R766" s="135"/>
      <c r="S766" s="135"/>
      <c r="T766" s="135"/>
      <c r="U766" s="135"/>
      <c r="V766" s="135"/>
      <c r="W766" s="135"/>
      <c r="X766" s="135"/>
      <c r="Y766" s="135"/>
      <c r="Z766" s="135"/>
    </row>
    <row r="767" spans="1:26" ht="12.75">
      <c r="A767" s="136" t="s">
        <v>8</v>
      </c>
      <c r="B767" s="136" t="s">
        <v>7549</v>
      </c>
      <c r="C767" s="136" t="s">
        <v>617</v>
      </c>
      <c r="D767" s="136" t="s">
        <v>595</v>
      </c>
      <c r="E767" s="136" t="s">
        <v>594</v>
      </c>
      <c r="F767" s="136">
        <v>245</v>
      </c>
      <c r="G767" s="137">
        <f t="shared" ref="G767:G1021" si="3">COUNTIFS($C:$C,C767,$F:$F,"&gt;"&amp;F767)
 + COUNTIFS($C$2:C767,C767,$F$2:F767,F767)</f>
        <v>4</v>
      </c>
      <c r="H767" s="137"/>
      <c r="I767" s="137"/>
      <c r="J767" s="135"/>
      <c r="K767" s="135"/>
      <c r="L767" s="135"/>
      <c r="M767" s="135"/>
      <c r="N767" s="135"/>
      <c r="O767" s="135"/>
      <c r="P767" s="135"/>
      <c r="Q767" s="135"/>
      <c r="R767" s="135"/>
      <c r="S767" s="135"/>
      <c r="T767" s="135"/>
      <c r="U767" s="135"/>
      <c r="V767" s="135"/>
      <c r="W767" s="135"/>
      <c r="X767" s="135"/>
      <c r="Y767" s="135"/>
      <c r="Z767" s="135"/>
    </row>
    <row r="768" spans="1:26" ht="12.75">
      <c r="A768" s="136" t="s">
        <v>8</v>
      </c>
      <c r="B768" s="136" t="s">
        <v>7549</v>
      </c>
      <c r="C768" s="136" t="s">
        <v>617</v>
      </c>
      <c r="D768" s="136" t="s">
        <v>368</v>
      </c>
      <c r="E768" s="136" t="s">
        <v>594</v>
      </c>
      <c r="F768" s="136">
        <v>140</v>
      </c>
      <c r="G768" s="137">
        <f t="shared" si="3"/>
        <v>5</v>
      </c>
      <c r="H768" s="137"/>
      <c r="I768" s="137"/>
      <c r="J768" s="135"/>
      <c r="K768" s="135"/>
      <c r="L768" s="135"/>
      <c r="M768" s="135"/>
      <c r="N768" s="135"/>
      <c r="O768" s="135"/>
      <c r="P768" s="135"/>
      <c r="Q768" s="135"/>
      <c r="R768" s="135"/>
      <c r="S768" s="135"/>
      <c r="T768" s="135"/>
      <c r="U768" s="135"/>
      <c r="V768" s="135"/>
      <c r="W768" s="135"/>
      <c r="X768" s="135"/>
      <c r="Y768" s="135"/>
      <c r="Z768" s="135"/>
    </row>
    <row r="769" spans="1:26" ht="12.75">
      <c r="A769" s="136" t="s">
        <v>8</v>
      </c>
      <c r="B769" s="136" t="s">
        <v>7549</v>
      </c>
      <c r="C769" s="136" t="s">
        <v>617</v>
      </c>
      <c r="D769" s="136" t="s">
        <v>7550</v>
      </c>
      <c r="E769" s="136"/>
      <c r="F769" s="136">
        <v>126</v>
      </c>
      <c r="G769" s="137">
        <f t="shared" si="3"/>
        <v>6</v>
      </c>
      <c r="H769" s="137"/>
      <c r="I769" s="137"/>
      <c r="J769" s="135"/>
      <c r="K769" s="135"/>
      <c r="L769" s="135"/>
      <c r="M769" s="135"/>
      <c r="N769" s="135"/>
      <c r="O769" s="135"/>
      <c r="P769" s="135"/>
      <c r="Q769" s="135"/>
      <c r="R769" s="135"/>
      <c r="S769" s="135"/>
      <c r="T769" s="135"/>
      <c r="U769" s="135"/>
      <c r="V769" s="135"/>
      <c r="W769" s="135"/>
      <c r="X769" s="135"/>
      <c r="Y769" s="135"/>
      <c r="Z769" s="135"/>
    </row>
    <row r="770" spans="1:26" ht="12.75">
      <c r="A770" s="136" t="s">
        <v>8</v>
      </c>
      <c r="B770" s="136" t="s">
        <v>7549</v>
      </c>
      <c r="C770" s="136" t="s">
        <v>617</v>
      </c>
      <c r="D770" s="136" t="s">
        <v>1626</v>
      </c>
      <c r="E770" s="136" t="s">
        <v>594</v>
      </c>
      <c r="F770" s="136">
        <v>85</v>
      </c>
      <c r="G770" s="137">
        <f t="shared" si="3"/>
        <v>7</v>
      </c>
      <c r="H770" s="137"/>
      <c r="I770" s="137"/>
      <c r="J770" s="135"/>
      <c r="K770" s="135"/>
      <c r="L770" s="135"/>
      <c r="M770" s="135"/>
      <c r="N770" s="135"/>
      <c r="O770" s="135"/>
      <c r="P770" s="135"/>
      <c r="Q770" s="135"/>
      <c r="R770" s="135"/>
      <c r="S770" s="135"/>
      <c r="T770" s="135"/>
      <c r="U770" s="135"/>
      <c r="V770" s="135"/>
      <c r="W770" s="135"/>
      <c r="X770" s="135"/>
      <c r="Y770" s="135"/>
      <c r="Z770" s="135"/>
    </row>
    <row r="771" spans="1:26" ht="12.75">
      <c r="A771" s="136" t="s">
        <v>8</v>
      </c>
      <c r="B771" s="136" t="s">
        <v>7549</v>
      </c>
      <c r="C771" s="136" t="s">
        <v>617</v>
      </c>
      <c r="D771" s="136" t="s">
        <v>7544</v>
      </c>
      <c r="E771" s="136" t="s">
        <v>615</v>
      </c>
      <c r="F771" s="136">
        <v>51</v>
      </c>
      <c r="G771" s="137">
        <f t="shared" si="3"/>
        <v>8</v>
      </c>
      <c r="H771" s="137"/>
      <c r="I771" s="137"/>
      <c r="J771" s="135"/>
      <c r="K771" s="135"/>
      <c r="L771" s="135"/>
      <c r="M771" s="135"/>
      <c r="N771" s="135"/>
      <c r="O771" s="135"/>
      <c r="P771" s="135"/>
      <c r="Q771" s="135"/>
      <c r="R771" s="135"/>
      <c r="S771" s="135"/>
      <c r="T771" s="135"/>
      <c r="U771" s="135"/>
      <c r="V771" s="135"/>
      <c r="W771" s="135"/>
      <c r="X771" s="135"/>
      <c r="Y771" s="135"/>
      <c r="Z771" s="135"/>
    </row>
    <row r="772" spans="1:26" ht="12.75">
      <c r="A772" s="136" t="s">
        <v>8</v>
      </c>
      <c r="B772" s="136" t="s">
        <v>7549</v>
      </c>
      <c r="C772" s="136" t="s">
        <v>617</v>
      </c>
      <c r="D772" s="136" t="s">
        <v>165</v>
      </c>
      <c r="E772" s="136" t="s">
        <v>615</v>
      </c>
      <c r="F772" s="136">
        <v>25</v>
      </c>
      <c r="G772" s="137">
        <f t="shared" si="3"/>
        <v>9</v>
      </c>
      <c r="H772" s="137"/>
      <c r="I772" s="137"/>
      <c r="J772" s="135"/>
      <c r="K772" s="135"/>
      <c r="L772" s="135"/>
      <c r="M772" s="135"/>
      <c r="N772" s="135"/>
      <c r="O772" s="135"/>
      <c r="P772" s="135"/>
      <c r="Q772" s="135"/>
      <c r="R772" s="135"/>
      <c r="S772" s="135"/>
      <c r="T772" s="135"/>
      <c r="U772" s="135"/>
      <c r="V772" s="135"/>
      <c r="W772" s="135"/>
      <c r="X772" s="135"/>
      <c r="Y772" s="135"/>
      <c r="Z772" s="135"/>
    </row>
    <row r="773" spans="1:26" ht="12.75">
      <c r="A773" s="136" t="s">
        <v>8</v>
      </c>
      <c r="B773" s="136" t="s">
        <v>7549</v>
      </c>
      <c r="C773" s="136" t="s">
        <v>617</v>
      </c>
      <c r="D773" s="136" t="s">
        <v>1665</v>
      </c>
      <c r="E773" s="136" t="s">
        <v>615</v>
      </c>
      <c r="F773" s="136">
        <v>15</v>
      </c>
      <c r="G773" s="137">
        <f t="shared" si="3"/>
        <v>10</v>
      </c>
      <c r="H773" s="137"/>
      <c r="I773" s="137"/>
      <c r="J773" s="135"/>
      <c r="K773" s="135"/>
      <c r="L773" s="135"/>
      <c r="M773" s="135"/>
      <c r="N773" s="135"/>
      <c r="O773" s="135"/>
      <c r="P773" s="135"/>
      <c r="Q773" s="135"/>
      <c r="R773" s="135"/>
      <c r="S773" s="135"/>
      <c r="T773" s="135"/>
      <c r="U773" s="135"/>
      <c r="V773" s="135"/>
      <c r="W773" s="135"/>
      <c r="X773" s="135"/>
      <c r="Y773" s="135"/>
      <c r="Z773" s="135"/>
    </row>
    <row r="774" spans="1:26" ht="12.75">
      <c r="A774" s="136" t="s">
        <v>8</v>
      </c>
      <c r="B774" s="136" t="s">
        <v>7549</v>
      </c>
      <c r="C774" s="136" t="s">
        <v>617</v>
      </c>
      <c r="D774" s="136" t="s">
        <v>7546</v>
      </c>
      <c r="E774" s="136" t="s">
        <v>86</v>
      </c>
      <c r="F774" s="136">
        <v>5</v>
      </c>
      <c r="G774" s="137">
        <f t="shared" si="3"/>
        <v>11</v>
      </c>
      <c r="H774" s="137"/>
      <c r="I774" s="137"/>
      <c r="J774" s="135"/>
      <c r="K774" s="135"/>
      <c r="L774" s="135"/>
      <c r="M774" s="135"/>
      <c r="N774" s="135"/>
      <c r="O774" s="135"/>
      <c r="P774" s="135"/>
      <c r="Q774" s="135"/>
      <c r="R774" s="135"/>
      <c r="S774" s="135"/>
      <c r="T774" s="135"/>
      <c r="U774" s="135"/>
      <c r="V774" s="135"/>
      <c r="W774" s="135"/>
      <c r="X774" s="135"/>
      <c r="Y774" s="135"/>
      <c r="Z774" s="135"/>
    </row>
    <row r="775" spans="1:26" ht="12.75">
      <c r="A775" s="136" t="s">
        <v>8</v>
      </c>
      <c r="B775" s="136" t="s">
        <v>587</v>
      </c>
      <c r="C775" s="136" t="s">
        <v>631</v>
      </c>
      <c r="D775" s="136" t="s">
        <v>165</v>
      </c>
      <c r="E775" s="136" t="s">
        <v>615</v>
      </c>
      <c r="F775" s="136">
        <v>920</v>
      </c>
      <c r="G775" s="137">
        <f t="shared" si="3"/>
        <v>1</v>
      </c>
      <c r="H775" s="137"/>
      <c r="I775" s="137"/>
      <c r="J775" s="135"/>
      <c r="K775" s="135"/>
      <c r="L775" s="135"/>
      <c r="M775" s="135"/>
      <c r="N775" s="135"/>
      <c r="O775" s="135"/>
      <c r="P775" s="135"/>
      <c r="Q775" s="135"/>
      <c r="R775" s="135"/>
      <c r="S775" s="135"/>
      <c r="T775" s="135"/>
      <c r="U775" s="135"/>
      <c r="V775" s="135"/>
      <c r="W775" s="135"/>
      <c r="X775" s="135"/>
      <c r="Y775" s="135"/>
      <c r="Z775" s="135"/>
    </row>
    <row r="776" spans="1:26" ht="12.75">
      <c r="A776" s="136" t="s">
        <v>8</v>
      </c>
      <c r="B776" s="136" t="s">
        <v>587</v>
      </c>
      <c r="C776" s="136" t="s">
        <v>631</v>
      </c>
      <c r="D776" s="136" t="s">
        <v>139</v>
      </c>
      <c r="E776" s="136" t="s">
        <v>594</v>
      </c>
      <c r="F776" s="136">
        <v>840</v>
      </c>
      <c r="G776" s="137">
        <f t="shared" si="3"/>
        <v>2</v>
      </c>
      <c r="H776" s="137"/>
      <c r="I776" s="137"/>
      <c r="J776" s="135"/>
      <c r="K776" s="135"/>
      <c r="L776" s="135"/>
      <c r="M776" s="135"/>
      <c r="N776" s="135"/>
      <c r="O776" s="135"/>
      <c r="P776" s="135"/>
      <c r="Q776" s="135"/>
      <c r="R776" s="135"/>
      <c r="S776" s="135"/>
      <c r="T776" s="135"/>
      <c r="U776" s="135"/>
      <c r="V776" s="135"/>
      <c r="W776" s="135"/>
      <c r="X776" s="135"/>
      <c r="Y776" s="135"/>
      <c r="Z776" s="135"/>
    </row>
    <row r="777" spans="1:26" ht="12.75">
      <c r="A777" s="136" t="s">
        <v>8</v>
      </c>
      <c r="B777" s="136" t="s">
        <v>587</v>
      </c>
      <c r="C777" s="136" t="s">
        <v>631</v>
      </c>
      <c r="D777" s="136" t="s">
        <v>7530</v>
      </c>
      <c r="E777" s="136" t="s">
        <v>85</v>
      </c>
      <c r="F777" s="136">
        <v>496</v>
      </c>
      <c r="G777" s="137">
        <f t="shared" si="3"/>
        <v>3</v>
      </c>
      <c r="H777" s="137"/>
      <c r="I777" s="137"/>
      <c r="J777" s="135"/>
      <c r="K777" s="135"/>
      <c r="L777" s="135"/>
      <c r="M777" s="135"/>
      <c r="N777" s="135"/>
      <c r="O777" s="135"/>
      <c r="P777" s="135"/>
      <c r="Q777" s="135"/>
      <c r="R777" s="135"/>
      <c r="S777" s="135"/>
      <c r="T777" s="135"/>
      <c r="U777" s="135"/>
      <c r="V777" s="135"/>
      <c r="W777" s="135"/>
      <c r="X777" s="135"/>
      <c r="Y777" s="135"/>
      <c r="Z777" s="135"/>
    </row>
    <row r="778" spans="1:26" ht="12.75">
      <c r="A778" s="136" t="s">
        <v>8</v>
      </c>
      <c r="B778" s="136" t="s">
        <v>587</v>
      </c>
      <c r="C778" s="136" t="s">
        <v>631</v>
      </c>
      <c r="D778" s="136" t="s">
        <v>1665</v>
      </c>
      <c r="E778" s="136" t="s">
        <v>615</v>
      </c>
      <c r="F778" s="136">
        <v>170</v>
      </c>
      <c r="G778" s="137">
        <f t="shared" si="3"/>
        <v>4</v>
      </c>
      <c r="H778" s="137"/>
      <c r="I778" s="137"/>
      <c r="J778" s="135"/>
      <c r="K778" s="135"/>
      <c r="L778" s="135"/>
      <c r="M778" s="135"/>
      <c r="N778" s="135"/>
      <c r="O778" s="135"/>
      <c r="P778" s="135"/>
      <c r="Q778" s="135"/>
      <c r="R778" s="135"/>
      <c r="S778" s="135"/>
      <c r="T778" s="135"/>
      <c r="U778" s="135"/>
      <c r="V778" s="135"/>
      <c r="W778" s="135"/>
      <c r="X778" s="135"/>
      <c r="Y778" s="135"/>
      <c r="Z778" s="135"/>
    </row>
    <row r="779" spans="1:26" ht="12.75">
      <c r="A779" s="136" t="s">
        <v>8</v>
      </c>
      <c r="B779" s="136" t="s">
        <v>587</v>
      </c>
      <c r="C779" s="136" t="s">
        <v>631</v>
      </c>
      <c r="D779" s="136" t="s">
        <v>467</v>
      </c>
      <c r="E779" s="136" t="s">
        <v>85</v>
      </c>
      <c r="F779" s="136">
        <v>140</v>
      </c>
      <c r="G779" s="137">
        <f t="shared" si="3"/>
        <v>5</v>
      </c>
      <c r="H779" s="137"/>
      <c r="I779" s="137"/>
      <c r="J779" s="135"/>
      <c r="K779" s="135"/>
      <c r="L779" s="135"/>
      <c r="M779" s="135"/>
      <c r="N779" s="135"/>
      <c r="O779" s="135"/>
      <c r="P779" s="135"/>
      <c r="Q779" s="135"/>
      <c r="R779" s="135"/>
      <c r="S779" s="135"/>
      <c r="T779" s="135"/>
      <c r="U779" s="135"/>
      <c r="V779" s="135"/>
      <c r="W779" s="135"/>
      <c r="X779" s="135"/>
      <c r="Y779" s="135"/>
      <c r="Z779" s="135"/>
    </row>
    <row r="780" spans="1:26" ht="12.75">
      <c r="A780" s="136" t="s">
        <v>8</v>
      </c>
      <c r="B780" s="136" t="s">
        <v>587</v>
      </c>
      <c r="C780" s="136" t="s">
        <v>631</v>
      </c>
      <c r="D780" s="136" t="s">
        <v>368</v>
      </c>
      <c r="E780" s="136" t="s">
        <v>594</v>
      </c>
      <c r="F780" s="136">
        <v>100</v>
      </c>
      <c r="G780" s="137">
        <f t="shared" si="3"/>
        <v>6</v>
      </c>
      <c r="H780" s="137"/>
      <c r="I780" s="137"/>
      <c r="J780" s="135"/>
      <c r="K780" s="135"/>
      <c r="L780" s="135"/>
      <c r="M780" s="135"/>
      <c r="N780" s="135"/>
      <c r="O780" s="135"/>
      <c r="P780" s="135"/>
      <c r="Q780" s="135"/>
      <c r="R780" s="135"/>
      <c r="S780" s="135"/>
      <c r="T780" s="135"/>
      <c r="U780" s="135"/>
      <c r="V780" s="135"/>
      <c r="W780" s="135"/>
      <c r="X780" s="135"/>
      <c r="Y780" s="135"/>
      <c r="Z780" s="135"/>
    </row>
    <row r="781" spans="1:26" ht="12.75">
      <c r="A781" s="136" t="s">
        <v>8</v>
      </c>
      <c r="B781" s="136" t="s">
        <v>587</v>
      </c>
      <c r="C781" s="136" t="s">
        <v>631</v>
      </c>
      <c r="D781" s="136" t="s">
        <v>7551</v>
      </c>
      <c r="E781" s="136" t="s">
        <v>615</v>
      </c>
      <c r="F781" s="136">
        <v>90</v>
      </c>
      <c r="G781" s="137">
        <f t="shared" si="3"/>
        <v>7</v>
      </c>
      <c r="H781" s="137"/>
      <c r="I781" s="137"/>
      <c r="J781" s="135"/>
      <c r="K781" s="135"/>
      <c r="L781" s="135"/>
      <c r="M781" s="135"/>
      <c r="N781" s="135"/>
      <c r="O781" s="135"/>
      <c r="P781" s="135"/>
      <c r="Q781" s="135"/>
      <c r="R781" s="135"/>
      <c r="S781" s="135"/>
      <c r="T781" s="135"/>
      <c r="U781" s="135"/>
      <c r="V781" s="135"/>
      <c r="W781" s="135"/>
      <c r="X781" s="135"/>
      <c r="Y781" s="135"/>
      <c r="Z781" s="135"/>
    </row>
    <row r="782" spans="1:26" ht="12.75">
      <c r="A782" s="136" t="s">
        <v>8</v>
      </c>
      <c r="B782" s="136" t="s">
        <v>587</v>
      </c>
      <c r="C782" s="136" t="s">
        <v>631</v>
      </c>
      <c r="D782" s="136" t="s">
        <v>7491</v>
      </c>
      <c r="E782" s="136" t="s">
        <v>615</v>
      </c>
      <c r="F782" s="136">
        <v>80</v>
      </c>
      <c r="G782" s="137">
        <f t="shared" si="3"/>
        <v>8</v>
      </c>
      <c r="H782" s="137"/>
      <c r="I782" s="137"/>
      <c r="J782" s="135"/>
      <c r="K782" s="135"/>
      <c r="L782" s="135"/>
      <c r="M782" s="135"/>
      <c r="N782" s="135"/>
      <c r="O782" s="135"/>
      <c r="P782" s="135"/>
      <c r="Q782" s="135"/>
      <c r="R782" s="135"/>
      <c r="S782" s="135"/>
      <c r="T782" s="135"/>
      <c r="U782" s="135"/>
      <c r="V782" s="135"/>
      <c r="W782" s="135"/>
      <c r="X782" s="135"/>
      <c r="Y782" s="135"/>
      <c r="Z782" s="135"/>
    </row>
    <row r="783" spans="1:26" ht="12.75">
      <c r="A783" s="136" t="s">
        <v>8</v>
      </c>
      <c r="B783" s="136" t="s">
        <v>587</v>
      </c>
      <c r="C783" s="136" t="s">
        <v>631</v>
      </c>
      <c r="D783" s="136" t="s">
        <v>7544</v>
      </c>
      <c r="E783" s="136" t="s">
        <v>615</v>
      </c>
      <c r="F783" s="136">
        <v>60</v>
      </c>
      <c r="G783" s="137">
        <f t="shared" si="3"/>
        <v>9</v>
      </c>
      <c r="H783" s="137"/>
      <c r="I783" s="137"/>
      <c r="J783" s="135"/>
      <c r="K783" s="135"/>
      <c r="L783" s="135"/>
      <c r="M783" s="135"/>
      <c r="N783" s="135"/>
      <c r="O783" s="135"/>
      <c r="P783" s="135"/>
      <c r="Q783" s="135"/>
      <c r="R783" s="135"/>
      <c r="S783" s="135"/>
      <c r="T783" s="135"/>
      <c r="U783" s="135"/>
      <c r="V783" s="135"/>
      <c r="W783" s="135"/>
      <c r="X783" s="135"/>
      <c r="Y783" s="135"/>
      <c r="Z783" s="135"/>
    </row>
    <row r="784" spans="1:26" ht="12.75">
      <c r="A784" s="136" t="s">
        <v>8</v>
      </c>
      <c r="B784" s="136" t="s">
        <v>587</v>
      </c>
      <c r="C784" s="136" t="s">
        <v>631</v>
      </c>
      <c r="D784" s="136" t="s">
        <v>7531</v>
      </c>
      <c r="E784" s="136" t="s">
        <v>615</v>
      </c>
      <c r="F784" s="136">
        <v>55</v>
      </c>
      <c r="G784" s="137">
        <f t="shared" si="3"/>
        <v>10</v>
      </c>
      <c r="H784" s="137"/>
      <c r="I784" s="137"/>
      <c r="J784" s="135"/>
      <c r="K784" s="135"/>
      <c r="L784" s="135"/>
      <c r="M784" s="135"/>
      <c r="N784" s="135"/>
      <c r="O784" s="135"/>
      <c r="P784" s="135"/>
      <c r="Q784" s="135"/>
      <c r="R784" s="135"/>
      <c r="S784" s="135"/>
      <c r="T784" s="135"/>
      <c r="U784" s="135"/>
      <c r="V784" s="135"/>
      <c r="W784" s="135"/>
      <c r="X784" s="135"/>
      <c r="Y784" s="135"/>
      <c r="Z784" s="135"/>
    </row>
    <row r="785" spans="1:26" ht="12.75">
      <c r="A785" s="136" t="s">
        <v>8</v>
      </c>
      <c r="B785" s="136" t="s">
        <v>587</v>
      </c>
      <c r="C785" s="136" t="s">
        <v>631</v>
      </c>
      <c r="D785" s="136" t="s">
        <v>7533</v>
      </c>
      <c r="E785" s="136" t="s">
        <v>594</v>
      </c>
      <c r="F785" s="136">
        <v>52</v>
      </c>
      <c r="G785" s="137">
        <f t="shared" si="3"/>
        <v>11</v>
      </c>
      <c r="H785" s="137"/>
      <c r="I785" s="137"/>
      <c r="J785" s="135"/>
      <c r="K785" s="135"/>
      <c r="L785" s="135"/>
      <c r="M785" s="135"/>
      <c r="N785" s="135"/>
      <c r="O785" s="135"/>
      <c r="P785" s="135"/>
      <c r="Q785" s="135"/>
      <c r="R785" s="135"/>
      <c r="S785" s="135"/>
      <c r="T785" s="135"/>
      <c r="U785" s="135"/>
      <c r="V785" s="135"/>
      <c r="W785" s="135"/>
      <c r="X785" s="135"/>
      <c r="Y785" s="135"/>
      <c r="Z785" s="135"/>
    </row>
    <row r="786" spans="1:26" ht="12.75">
      <c r="A786" s="136" t="s">
        <v>8</v>
      </c>
      <c r="B786" s="136" t="s">
        <v>587</v>
      </c>
      <c r="C786" s="136" t="s">
        <v>631</v>
      </c>
      <c r="D786" s="136" t="s">
        <v>1626</v>
      </c>
      <c r="E786" s="136" t="s">
        <v>594</v>
      </c>
      <c r="F786" s="136">
        <v>40</v>
      </c>
      <c r="G786" s="137">
        <f t="shared" si="3"/>
        <v>12</v>
      </c>
      <c r="H786" s="137"/>
      <c r="I786" s="137"/>
      <c r="J786" s="135"/>
      <c r="K786" s="135"/>
      <c r="L786" s="135"/>
      <c r="M786" s="135"/>
      <c r="N786" s="135"/>
      <c r="O786" s="135"/>
      <c r="P786" s="135"/>
      <c r="Q786" s="135"/>
      <c r="R786" s="135"/>
      <c r="S786" s="135"/>
      <c r="T786" s="135"/>
      <c r="U786" s="135"/>
      <c r="V786" s="135"/>
      <c r="W786" s="135"/>
      <c r="X786" s="135"/>
      <c r="Y786" s="135"/>
      <c r="Z786" s="135"/>
    </row>
    <row r="787" spans="1:26" ht="12.75">
      <c r="A787" s="136" t="s">
        <v>8</v>
      </c>
      <c r="B787" s="136" t="s">
        <v>587</v>
      </c>
      <c r="C787" s="136" t="s">
        <v>631</v>
      </c>
      <c r="D787" s="136" t="s">
        <v>120</v>
      </c>
      <c r="E787" s="136" t="s">
        <v>615</v>
      </c>
      <c r="F787" s="136">
        <v>40</v>
      </c>
      <c r="G787" s="137">
        <f t="shared" si="3"/>
        <v>13</v>
      </c>
      <c r="H787" s="137"/>
      <c r="I787" s="137"/>
      <c r="J787" s="135"/>
      <c r="K787" s="135"/>
      <c r="L787" s="135"/>
      <c r="M787" s="135"/>
      <c r="N787" s="135"/>
      <c r="O787" s="135"/>
      <c r="P787" s="135"/>
      <c r="Q787" s="135"/>
      <c r="R787" s="135"/>
      <c r="S787" s="135"/>
      <c r="T787" s="135"/>
      <c r="U787" s="135"/>
      <c r="V787" s="135"/>
      <c r="W787" s="135"/>
      <c r="X787" s="135"/>
      <c r="Y787" s="135"/>
      <c r="Z787" s="135"/>
    </row>
    <row r="788" spans="1:26" ht="12.75">
      <c r="A788" s="136" t="s">
        <v>8</v>
      </c>
      <c r="B788" s="136" t="s">
        <v>587</v>
      </c>
      <c r="C788" s="136" t="s">
        <v>631</v>
      </c>
      <c r="D788" s="136" t="s">
        <v>7532</v>
      </c>
      <c r="E788" s="136" t="s">
        <v>615</v>
      </c>
      <c r="F788" s="136">
        <v>20</v>
      </c>
      <c r="G788" s="137">
        <f t="shared" si="3"/>
        <v>14</v>
      </c>
      <c r="H788" s="137"/>
      <c r="I788" s="137"/>
      <c r="J788" s="135"/>
      <c r="K788" s="135"/>
      <c r="L788" s="135"/>
      <c r="M788" s="135"/>
      <c r="N788" s="135"/>
      <c r="O788" s="135"/>
      <c r="P788" s="135"/>
      <c r="Q788" s="135"/>
      <c r="R788" s="135"/>
      <c r="S788" s="135"/>
      <c r="T788" s="135"/>
      <c r="U788" s="135"/>
      <c r="V788" s="135"/>
      <c r="W788" s="135"/>
      <c r="X788" s="135"/>
      <c r="Y788" s="135"/>
      <c r="Z788" s="135"/>
    </row>
    <row r="789" spans="1:26" ht="12.75">
      <c r="A789" s="136" t="s">
        <v>8</v>
      </c>
      <c r="B789" s="136" t="s">
        <v>587</v>
      </c>
      <c r="C789" s="136" t="s">
        <v>629</v>
      </c>
      <c r="D789" s="136" t="s">
        <v>7544</v>
      </c>
      <c r="E789" s="136" t="s">
        <v>615</v>
      </c>
      <c r="F789" s="136">
        <v>580</v>
      </c>
      <c r="G789" s="137">
        <f t="shared" si="3"/>
        <v>1</v>
      </c>
      <c r="H789" s="137"/>
      <c r="I789" s="137"/>
      <c r="J789" s="135"/>
      <c r="K789" s="135"/>
      <c r="L789" s="135"/>
      <c r="M789" s="135"/>
      <c r="N789" s="135"/>
      <c r="O789" s="135"/>
      <c r="P789" s="135"/>
      <c r="Q789" s="135"/>
      <c r="R789" s="135"/>
      <c r="S789" s="135"/>
      <c r="T789" s="135"/>
      <c r="U789" s="135"/>
      <c r="V789" s="135"/>
      <c r="W789" s="135"/>
      <c r="X789" s="135"/>
      <c r="Y789" s="135"/>
      <c r="Z789" s="135"/>
    </row>
    <row r="790" spans="1:26" ht="12.75">
      <c r="A790" s="136" t="s">
        <v>8</v>
      </c>
      <c r="B790" s="136" t="s">
        <v>587</v>
      </c>
      <c r="C790" s="136" t="s">
        <v>629</v>
      </c>
      <c r="D790" s="136" t="s">
        <v>165</v>
      </c>
      <c r="E790" s="136" t="s">
        <v>615</v>
      </c>
      <c r="F790" s="136">
        <v>495</v>
      </c>
      <c r="G790" s="137">
        <f t="shared" si="3"/>
        <v>2</v>
      </c>
      <c r="H790" s="137"/>
      <c r="I790" s="137"/>
      <c r="J790" s="135"/>
      <c r="K790" s="135"/>
      <c r="L790" s="135"/>
      <c r="M790" s="135"/>
      <c r="N790" s="135"/>
      <c r="O790" s="135"/>
      <c r="P790" s="135"/>
      <c r="Q790" s="135"/>
      <c r="R790" s="135"/>
      <c r="S790" s="135"/>
      <c r="T790" s="135"/>
      <c r="U790" s="135"/>
      <c r="V790" s="135"/>
      <c r="W790" s="135"/>
      <c r="X790" s="135"/>
      <c r="Y790" s="135"/>
      <c r="Z790" s="135"/>
    </row>
    <row r="791" spans="1:26" ht="12.75">
      <c r="A791" s="136" t="s">
        <v>8</v>
      </c>
      <c r="B791" s="136" t="s">
        <v>587</v>
      </c>
      <c r="C791" s="136" t="s">
        <v>629</v>
      </c>
      <c r="D791" s="136" t="s">
        <v>7546</v>
      </c>
      <c r="E791" s="136" t="s">
        <v>86</v>
      </c>
      <c r="F791" s="136">
        <v>195</v>
      </c>
      <c r="G791" s="137">
        <f t="shared" si="3"/>
        <v>3</v>
      </c>
      <c r="H791" s="137"/>
      <c r="I791" s="137"/>
      <c r="J791" s="135"/>
      <c r="K791" s="135"/>
      <c r="L791" s="135"/>
      <c r="M791" s="135"/>
      <c r="N791" s="135"/>
      <c r="O791" s="135"/>
      <c r="P791" s="135"/>
      <c r="Q791" s="135"/>
      <c r="R791" s="135"/>
      <c r="S791" s="135"/>
      <c r="T791" s="135"/>
      <c r="U791" s="135"/>
      <c r="V791" s="135"/>
      <c r="W791" s="135"/>
      <c r="X791" s="135"/>
      <c r="Y791" s="135"/>
      <c r="Z791" s="135"/>
    </row>
    <row r="792" spans="1:26" ht="12.75">
      <c r="A792" s="136" t="s">
        <v>8</v>
      </c>
      <c r="B792" s="136" t="s">
        <v>587</v>
      </c>
      <c r="C792" s="136" t="s">
        <v>629</v>
      </c>
      <c r="D792" s="136" t="s">
        <v>139</v>
      </c>
      <c r="E792" s="136" t="s">
        <v>594</v>
      </c>
      <c r="F792" s="136">
        <v>177</v>
      </c>
      <c r="G792" s="137">
        <f t="shared" si="3"/>
        <v>4</v>
      </c>
      <c r="H792" s="137"/>
      <c r="I792" s="137"/>
      <c r="J792" s="135"/>
      <c r="K792" s="135"/>
      <c r="L792" s="135"/>
      <c r="M792" s="135"/>
      <c r="N792" s="135"/>
      <c r="O792" s="135"/>
      <c r="P792" s="135"/>
      <c r="Q792" s="135"/>
      <c r="R792" s="135"/>
      <c r="S792" s="135"/>
      <c r="T792" s="135"/>
      <c r="U792" s="135"/>
      <c r="V792" s="135"/>
      <c r="W792" s="135"/>
      <c r="X792" s="135"/>
      <c r="Y792" s="135"/>
      <c r="Z792" s="135"/>
    </row>
    <row r="793" spans="1:26" ht="12.75">
      <c r="A793" s="136" t="s">
        <v>8</v>
      </c>
      <c r="B793" s="136" t="s">
        <v>587</v>
      </c>
      <c r="C793" s="136" t="s">
        <v>629</v>
      </c>
      <c r="D793" s="136" t="s">
        <v>1665</v>
      </c>
      <c r="E793" s="136" t="s">
        <v>615</v>
      </c>
      <c r="F793" s="136">
        <v>155</v>
      </c>
      <c r="G793" s="137">
        <f t="shared" si="3"/>
        <v>5</v>
      </c>
      <c r="H793" s="137"/>
      <c r="I793" s="137"/>
      <c r="J793" s="135"/>
      <c r="K793" s="135"/>
      <c r="L793" s="135"/>
      <c r="M793" s="135"/>
      <c r="N793" s="135"/>
      <c r="O793" s="135"/>
      <c r="P793" s="135"/>
      <c r="Q793" s="135"/>
      <c r="R793" s="135"/>
      <c r="S793" s="135"/>
      <c r="T793" s="135"/>
      <c r="U793" s="135"/>
      <c r="V793" s="135"/>
      <c r="W793" s="135"/>
      <c r="X793" s="135"/>
      <c r="Y793" s="135"/>
      <c r="Z793" s="135"/>
    </row>
    <row r="794" spans="1:26" ht="12.75">
      <c r="A794" s="136" t="s">
        <v>8</v>
      </c>
      <c r="B794" s="136" t="s">
        <v>587</v>
      </c>
      <c r="C794" s="136" t="s">
        <v>629</v>
      </c>
      <c r="D794" s="136" t="s">
        <v>7545</v>
      </c>
      <c r="E794" s="136" t="s">
        <v>86</v>
      </c>
      <c r="F794" s="136">
        <v>117</v>
      </c>
      <c r="G794" s="137">
        <f t="shared" si="3"/>
        <v>6</v>
      </c>
      <c r="H794" s="137"/>
      <c r="I794" s="137"/>
      <c r="J794" s="135"/>
      <c r="K794" s="135"/>
      <c r="L794" s="135"/>
      <c r="M794" s="135"/>
      <c r="N794" s="135"/>
      <c r="O794" s="135"/>
      <c r="P794" s="135"/>
      <c r="Q794" s="135"/>
      <c r="R794" s="135"/>
      <c r="S794" s="135"/>
      <c r="T794" s="135"/>
      <c r="U794" s="135"/>
      <c r="V794" s="135"/>
      <c r="W794" s="135"/>
      <c r="X794" s="135"/>
      <c r="Y794" s="135"/>
      <c r="Z794" s="135"/>
    </row>
    <row r="795" spans="1:26" ht="12.75">
      <c r="A795" s="136" t="s">
        <v>8</v>
      </c>
      <c r="B795" s="136" t="s">
        <v>587</v>
      </c>
      <c r="C795" s="136" t="s">
        <v>629</v>
      </c>
      <c r="D795" s="136" t="s">
        <v>7536</v>
      </c>
      <c r="E795" s="136" t="s">
        <v>86</v>
      </c>
      <c r="F795" s="136">
        <v>100</v>
      </c>
      <c r="G795" s="137">
        <f t="shared" si="3"/>
        <v>7</v>
      </c>
      <c r="H795" s="137"/>
      <c r="I795" s="137"/>
      <c r="J795" s="135"/>
      <c r="K795" s="135"/>
      <c r="L795" s="135"/>
      <c r="M795" s="135"/>
      <c r="N795" s="135"/>
      <c r="O795" s="135"/>
      <c r="P795" s="135"/>
      <c r="Q795" s="135"/>
      <c r="R795" s="135"/>
      <c r="S795" s="135"/>
      <c r="T795" s="135"/>
      <c r="U795" s="135"/>
      <c r="V795" s="135"/>
      <c r="W795" s="135"/>
      <c r="X795" s="135"/>
      <c r="Y795" s="135"/>
      <c r="Z795" s="135"/>
    </row>
    <row r="796" spans="1:26" ht="12.75">
      <c r="A796" s="136" t="s">
        <v>8</v>
      </c>
      <c r="B796" s="136" t="s">
        <v>587</v>
      </c>
      <c r="C796" s="136" t="s">
        <v>629</v>
      </c>
      <c r="D796" s="136" t="s">
        <v>368</v>
      </c>
      <c r="E796" s="136" t="s">
        <v>594</v>
      </c>
      <c r="F796" s="136">
        <v>96</v>
      </c>
      <c r="G796" s="137">
        <f t="shared" si="3"/>
        <v>8</v>
      </c>
      <c r="H796" s="137"/>
      <c r="I796" s="137"/>
      <c r="J796" s="135"/>
      <c r="K796" s="135"/>
      <c r="L796" s="135"/>
      <c r="M796" s="135"/>
      <c r="N796" s="135"/>
      <c r="O796" s="135"/>
      <c r="P796" s="135"/>
      <c r="Q796" s="135"/>
      <c r="R796" s="135"/>
      <c r="S796" s="135"/>
      <c r="T796" s="135"/>
      <c r="U796" s="135"/>
      <c r="V796" s="135"/>
      <c r="W796" s="135"/>
      <c r="X796" s="135"/>
      <c r="Y796" s="135"/>
      <c r="Z796" s="135"/>
    </row>
    <row r="797" spans="1:26" ht="12.75">
      <c r="A797" s="136" t="s">
        <v>8</v>
      </c>
      <c r="B797" s="136" t="s">
        <v>587</v>
      </c>
      <c r="C797" s="136" t="s">
        <v>629</v>
      </c>
      <c r="D797" s="136" t="s">
        <v>7491</v>
      </c>
      <c r="E797" s="136" t="s">
        <v>615</v>
      </c>
      <c r="F797" s="136">
        <v>70</v>
      </c>
      <c r="G797" s="137">
        <f t="shared" si="3"/>
        <v>9</v>
      </c>
      <c r="H797" s="137"/>
      <c r="I797" s="137"/>
      <c r="J797" s="135"/>
      <c r="K797" s="135"/>
      <c r="L797" s="135"/>
      <c r="M797" s="135"/>
      <c r="N797" s="135"/>
      <c r="O797" s="135"/>
      <c r="P797" s="135"/>
      <c r="Q797" s="135"/>
      <c r="R797" s="135"/>
      <c r="S797" s="135"/>
      <c r="T797" s="135"/>
      <c r="U797" s="135"/>
      <c r="V797" s="135"/>
      <c r="W797" s="135"/>
      <c r="X797" s="135"/>
      <c r="Y797" s="135"/>
      <c r="Z797" s="135"/>
    </row>
    <row r="798" spans="1:26" ht="12.75">
      <c r="A798" s="136" t="s">
        <v>8</v>
      </c>
      <c r="B798" s="136" t="s">
        <v>587</v>
      </c>
      <c r="C798" s="136" t="s">
        <v>629</v>
      </c>
      <c r="D798" s="136" t="s">
        <v>7531</v>
      </c>
      <c r="E798" s="136" t="s">
        <v>615</v>
      </c>
      <c r="F798" s="136">
        <v>70</v>
      </c>
      <c r="G798" s="137">
        <f t="shared" si="3"/>
        <v>10</v>
      </c>
      <c r="H798" s="137"/>
      <c r="I798" s="137"/>
      <c r="J798" s="135"/>
      <c r="K798" s="135"/>
      <c r="L798" s="135"/>
      <c r="M798" s="135"/>
      <c r="N798" s="135"/>
      <c r="O798" s="135"/>
      <c r="P798" s="135"/>
      <c r="Q798" s="135"/>
      <c r="R798" s="135"/>
      <c r="S798" s="135"/>
      <c r="T798" s="135"/>
      <c r="U798" s="135"/>
      <c r="V798" s="135"/>
      <c r="W798" s="135"/>
      <c r="X798" s="135"/>
      <c r="Y798" s="135"/>
      <c r="Z798" s="135"/>
    </row>
    <row r="799" spans="1:26" ht="12.75">
      <c r="A799" s="136" t="s">
        <v>8</v>
      </c>
      <c r="B799" s="136" t="s">
        <v>587</v>
      </c>
      <c r="C799" s="136" t="s">
        <v>629</v>
      </c>
      <c r="D799" s="136" t="s">
        <v>120</v>
      </c>
      <c r="E799" s="136" t="s">
        <v>615</v>
      </c>
      <c r="F799" s="136">
        <v>65</v>
      </c>
      <c r="G799" s="137">
        <f t="shared" si="3"/>
        <v>11</v>
      </c>
      <c r="H799" s="137"/>
      <c r="I799" s="137"/>
      <c r="J799" s="135"/>
      <c r="K799" s="135"/>
      <c r="L799" s="135"/>
      <c r="M799" s="135"/>
      <c r="N799" s="135"/>
      <c r="O799" s="135"/>
      <c r="P799" s="135"/>
      <c r="Q799" s="135"/>
      <c r="R799" s="135"/>
      <c r="S799" s="135"/>
      <c r="T799" s="135"/>
      <c r="U799" s="135"/>
      <c r="V799" s="135"/>
      <c r="W799" s="135"/>
      <c r="X799" s="135"/>
      <c r="Y799" s="135"/>
      <c r="Z799" s="135"/>
    </row>
    <row r="800" spans="1:26" ht="12.75">
      <c r="A800" s="136" t="s">
        <v>8</v>
      </c>
      <c r="B800" s="136" t="s">
        <v>587</v>
      </c>
      <c r="C800" s="136" t="s">
        <v>629</v>
      </c>
      <c r="D800" s="136" t="s">
        <v>7551</v>
      </c>
      <c r="E800" s="136" t="s">
        <v>615</v>
      </c>
      <c r="F800" s="136">
        <v>45</v>
      </c>
      <c r="G800" s="137">
        <f t="shared" si="3"/>
        <v>12</v>
      </c>
      <c r="H800" s="137"/>
      <c r="I800" s="137"/>
      <c r="J800" s="135"/>
      <c r="K800" s="135"/>
      <c r="L800" s="135"/>
      <c r="M800" s="135"/>
      <c r="N800" s="135"/>
      <c r="O800" s="135"/>
      <c r="P800" s="135"/>
      <c r="Q800" s="135"/>
      <c r="R800" s="135"/>
      <c r="S800" s="135"/>
      <c r="T800" s="135"/>
      <c r="U800" s="135"/>
      <c r="V800" s="135"/>
      <c r="W800" s="135"/>
      <c r="X800" s="135"/>
      <c r="Y800" s="135"/>
      <c r="Z800" s="135"/>
    </row>
    <row r="801" spans="1:26" ht="12.75">
      <c r="A801" s="136" t="s">
        <v>8</v>
      </c>
      <c r="B801" s="136" t="s">
        <v>587</v>
      </c>
      <c r="C801" s="136" t="s">
        <v>629</v>
      </c>
      <c r="D801" s="136" t="s">
        <v>7533</v>
      </c>
      <c r="E801" s="136" t="s">
        <v>594</v>
      </c>
      <c r="F801" s="136">
        <v>42</v>
      </c>
      <c r="G801" s="137">
        <f t="shared" si="3"/>
        <v>13</v>
      </c>
      <c r="H801" s="137"/>
      <c r="I801" s="137"/>
      <c r="J801" s="135"/>
      <c r="K801" s="135"/>
      <c r="L801" s="135"/>
      <c r="M801" s="135"/>
      <c r="N801" s="135"/>
      <c r="O801" s="135"/>
      <c r="P801" s="135"/>
      <c r="Q801" s="135"/>
      <c r="R801" s="135"/>
      <c r="S801" s="135"/>
      <c r="T801" s="135"/>
      <c r="U801" s="135"/>
      <c r="V801" s="135"/>
      <c r="W801" s="135"/>
      <c r="X801" s="135"/>
      <c r="Y801" s="135"/>
      <c r="Z801" s="135"/>
    </row>
    <row r="802" spans="1:26" ht="12.75">
      <c r="A802" s="136" t="s">
        <v>8</v>
      </c>
      <c r="B802" s="136" t="s">
        <v>587</v>
      </c>
      <c r="C802" s="136" t="s">
        <v>629</v>
      </c>
      <c r="D802" s="136" t="s">
        <v>7530</v>
      </c>
      <c r="E802" s="136" t="s">
        <v>85</v>
      </c>
      <c r="F802" s="136">
        <v>41</v>
      </c>
      <c r="G802" s="137">
        <f t="shared" si="3"/>
        <v>14</v>
      </c>
      <c r="H802" s="137"/>
      <c r="I802" s="137"/>
      <c r="J802" s="135"/>
      <c r="K802" s="135"/>
      <c r="L802" s="135"/>
      <c r="M802" s="135"/>
      <c r="N802" s="135"/>
      <c r="O802" s="135"/>
      <c r="P802" s="135"/>
      <c r="Q802" s="135"/>
      <c r="R802" s="135"/>
      <c r="S802" s="135"/>
      <c r="T802" s="135"/>
      <c r="U802" s="135"/>
      <c r="V802" s="135"/>
      <c r="W802" s="135"/>
      <c r="X802" s="135"/>
      <c r="Y802" s="135"/>
      <c r="Z802" s="135"/>
    </row>
    <row r="803" spans="1:26" ht="12.75">
      <c r="A803" s="136" t="s">
        <v>8</v>
      </c>
      <c r="B803" s="136" t="s">
        <v>587</v>
      </c>
      <c r="C803" s="136" t="s">
        <v>629</v>
      </c>
      <c r="D803" s="136" t="s">
        <v>7537</v>
      </c>
      <c r="E803" s="136" t="s">
        <v>86</v>
      </c>
      <c r="F803" s="136">
        <v>30</v>
      </c>
      <c r="G803" s="137">
        <f t="shared" si="3"/>
        <v>15</v>
      </c>
      <c r="H803" s="137"/>
      <c r="I803" s="137"/>
      <c r="J803" s="135"/>
      <c r="K803" s="135"/>
      <c r="L803" s="135"/>
      <c r="M803" s="135"/>
      <c r="N803" s="135"/>
      <c r="O803" s="135"/>
      <c r="P803" s="135"/>
      <c r="Q803" s="135"/>
      <c r="R803" s="135"/>
      <c r="S803" s="135"/>
      <c r="T803" s="135"/>
      <c r="U803" s="135"/>
      <c r="V803" s="135"/>
      <c r="W803" s="135"/>
      <c r="X803" s="135"/>
      <c r="Y803" s="135"/>
      <c r="Z803" s="135"/>
    </row>
    <row r="804" spans="1:26" ht="12.75">
      <c r="A804" s="136" t="s">
        <v>8</v>
      </c>
      <c r="B804" s="136" t="s">
        <v>587</v>
      </c>
      <c r="C804" s="136" t="s">
        <v>629</v>
      </c>
      <c r="D804" s="136" t="s">
        <v>467</v>
      </c>
      <c r="E804" s="136" t="s">
        <v>85</v>
      </c>
      <c r="F804" s="136">
        <v>29</v>
      </c>
      <c r="G804" s="137">
        <f t="shared" si="3"/>
        <v>16</v>
      </c>
      <c r="H804" s="137"/>
      <c r="I804" s="137"/>
      <c r="J804" s="135"/>
      <c r="K804" s="135"/>
      <c r="L804" s="135"/>
      <c r="M804" s="135"/>
      <c r="N804" s="135"/>
      <c r="O804" s="135"/>
      <c r="P804" s="135"/>
      <c r="Q804" s="135"/>
      <c r="R804" s="135"/>
      <c r="S804" s="135"/>
      <c r="T804" s="135"/>
      <c r="U804" s="135"/>
      <c r="V804" s="135"/>
      <c r="W804" s="135"/>
      <c r="X804" s="135"/>
      <c r="Y804" s="135"/>
      <c r="Z804" s="135"/>
    </row>
    <row r="805" spans="1:26" ht="12.75">
      <c r="A805" s="136" t="s">
        <v>8</v>
      </c>
      <c r="B805" s="136" t="s">
        <v>587</v>
      </c>
      <c r="C805" s="136" t="s">
        <v>629</v>
      </c>
      <c r="D805" s="136" t="s">
        <v>1626</v>
      </c>
      <c r="E805" s="136" t="s">
        <v>594</v>
      </c>
      <c r="F805" s="136">
        <v>20</v>
      </c>
      <c r="G805" s="137">
        <f t="shared" si="3"/>
        <v>17</v>
      </c>
      <c r="H805" s="137"/>
      <c r="I805" s="137"/>
      <c r="J805" s="135"/>
      <c r="K805" s="135"/>
      <c r="L805" s="135"/>
      <c r="M805" s="135"/>
      <c r="N805" s="135"/>
      <c r="O805" s="135"/>
      <c r="P805" s="135"/>
      <c r="Q805" s="135"/>
      <c r="R805" s="135"/>
      <c r="S805" s="135"/>
      <c r="T805" s="135"/>
      <c r="U805" s="135"/>
      <c r="V805" s="135"/>
      <c r="W805" s="135"/>
      <c r="X805" s="135"/>
      <c r="Y805" s="135"/>
      <c r="Z805" s="135"/>
    </row>
    <row r="806" spans="1:26" ht="12.75">
      <c r="A806" s="136" t="s">
        <v>8</v>
      </c>
      <c r="B806" s="136" t="s">
        <v>587</v>
      </c>
      <c r="C806" s="136" t="s">
        <v>629</v>
      </c>
      <c r="D806" s="136" t="s">
        <v>7532</v>
      </c>
      <c r="E806" s="136" t="s">
        <v>615</v>
      </c>
      <c r="F806" s="136">
        <v>20</v>
      </c>
      <c r="G806" s="137">
        <f t="shared" si="3"/>
        <v>18</v>
      </c>
      <c r="H806" s="137"/>
      <c r="I806" s="137"/>
      <c r="J806" s="135"/>
      <c r="K806" s="135"/>
      <c r="L806" s="135"/>
      <c r="M806" s="135"/>
      <c r="N806" s="135"/>
      <c r="O806" s="135"/>
      <c r="P806" s="135"/>
      <c r="Q806" s="135"/>
      <c r="R806" s="135"/>
      <c r="S806" s="135"/>
      <c r="T806" s="135"/>
      <c r="U806" s="135"/>
      <c r="V806" s="135"/>
      <c r="W806" s="135"/>
      <c r="X806" s="135"/>
      <c r="Y806" s="135"/>
      <c r="Z806" s="135"/>
    </row>
    <row r="807" spans="1:26" ht="12.75">
      <c r="A807" s="136" t="s">
        <v>8</v>
      </c>
      <c r="B807" s="136" t="s">
        <v>587</v>
      </c>
      <c r="C807" s="136" t="s">
        <v>612</v>
      </c>
      <c r="D807" s="136" t="s">
        <v>7544</v>
      </c>
      <c r="E807" s="136" t="s">
        <v>615</v>
      </c>
      <c r="F807" s="136">
        <v>1975</v>
      </c>
      <c r="G807" s="137">
        <f t="shared" si="3"/>
        <v>1</v>
      </c>
      <c r="H807" s="137"/>
      <c r="I807" s="137"/>
      <c r="J807" s="135"/>
      <c r="K807" s="135"/>
      <c r="L807" s="135"/>
      <c r="M807" s="135"/>
      <c r="N807" s="135"/>
      <c r="O807" s="135"/>
      <c r="P807" s="135"/>
      <c r="Q807" s="135"/>
      <c r="R807" s="135"/>
      <c r="S807" s="135"/>
      <c r="T807" s="135"/>
      <c r="U807" s="135"/>
      <c r="V807" s="135"/>
      <c r="W807" s="135"/>
      <c r="X807" s="135"/>
      <c r="Y807" s="135"/>
      <c r="Z807" s="135"/>
    </row>
    <row r="808" spans="1:26" ht="12.75">
      <c r="A808" s="136" t="s">
        <v>8</v>
      </c>
      <c r="B808" s="136" t="s">
        <v>587</v>
      </c>
      <c r="C808" s="136" t="s">
        <v>612</v>
      </c>
      <c r="D808" s="136" t="s">
        <v>139</v>
      </c>
      <c r="E808" s="136" t="s">
        <v>594</v>
      </c>
      <c r="F808" s="136">
        <v>491</v>
      </c>
      <c r="G808" s="137">
        <f t="shared" si="3"/>
        <v>2</v>
      </c>
      <c r="H808" s="137"/>
      <c r="I808" s="137"/>
      <c r="J808" s="135"/>
      <c r="K808" s="135"/>
      <c r="L808" s="135"/>
      <c r="M808" s="135"/>
      <c r="N808" s="135"/>
      <c r="O808" s="135"/>
      <c r="P808" s="135"/>
      <c r="Q808" s="135"/>
      <c r="R808" s="135"/>
      <c r="S808" s="135"/>
      <c r="T808" s="135"/>
      <c r="U808" s="135"/>
      <c r="V808" s="135"/>
      <c r="W808" s="135"/>
      <c r="X808" s="135"/>
      <c r="Y808" s="135"/>
      <c r="Z808" s="135"/>
    </row>
    <row r="809" spans="1:26" ht="12.75">
      <c r="A809" s="136" t="s">
        <v>8</v>
      </c>
      <c r="B809" s="136" t="s">
        <v>587</v>
      </c>
      <c r="C809" s="136" t="s">
        <v>612</v>
      </c>
      <c r="D809" s="136" t="s">
        <v>7530</v>
      </c>
      <c r="E809" s="136" t="s">
        <v>85</v>
      </c>
      <c r="F809" s="136">
        <v>485</v>
      </c>
      <c r="G809" s="137">
        <f t="shared" si="3"/>
        <v>3</v>
      </c>
      <c r="H809" s="137"/>
      <c r="I809" s="137"/>
      <c r="J809" s="135"/>
      <c r="K809" s="135"/>
      <c r="L809" s="135"/>
      <c r="M809" s="135"/>
      <c r="N809" s="135"/>
      <c r="O809" s="135"/>
      <c r="P809" s="135"/>
      <c r="Q809" s="135"/>
      <c r="R809" s="135"/>
      <c r="S809" s="135"/>
      <c r="T809" s="135"/>
      <c r="U809" s="135"/>
      <c r="V809" s="135"/>
      <c r="W809" s="135"/>
      <c r="X809" s="135"/>
      <c r="Y809" s="135"/>
      <c r="Z809" s="135"/>
    </row>
    <row r="810" spans="1:26" ht="12.75">
      <c r="A810" s="136" t="s">
        <v>8</v>
      </c>
      <c r="B810" s="136" t="s">
        <v>587</v>
      </c>
      <c r="C810" s="136" t="s">
        <v>612</v>
      </c>
      <c r="D810" s="136" t="s">
        <v>165</v>
      </c>
      <c r="E810" s="136" t="s">
        <v>615</v>
      </c>
      <c r="F810" s="136">
        <v>265</v>
      </c>
      <c r="G810" s="137">
        <f t="shared" si="3"/>
        <v>4</v>
      </c>
      <c r="H810" s="137"/>
      <c r="I810" s="137"/>
      <c r="J810" s="135"/>
      <c r="K810" s="135"/>
      <c r="L810" s="135"/>
      <c r="M810" s="135"/>
      <c r="N810" s="135"/>
      <c r="O810" s="135"/>
      <c r="P810" s="135"/>
      <c r="Q810" s="135"/>
      <c r="R810" s="135"/>
      <c r="S810" s="135"/>
      <c r="T810" s="135"/>
      <c r="U810" s="135"/>
      <c r="V810" s="135"/>
      <c r="W810" s="135"/>
      <c r="X810" s="135"/>
      <c r="Y810" s="135"/>
      <c r="Z810" s="135"/>
    </row>
    <row r="811" spans="1:26" ht="12.75">
      <c r="A811" s="136" t="s">
        <v>8</v>
      </c>
      <c r="B811" s="136" t="s">
        <v>587</v>
      </c>
      <c r="C811" s="136" t="s">
        <v>612</v>
      </c>
      <c r="D811" s="136" t="s">
        <v>1665</v>
      </c>
      <c r="E811" s="136" t="s">
        <v>615</v>
      </c>
      <c r="F811" s="136">
        <v>155</v>
      </c>
      <c r="G811" s="137">
        <f t="shared" si="3"/>
        <v>5</v>
      </c>
      <c r="H811" s="137"/>
      <c r="I811" s="137"/>
      <c r="J811" s="135"/>
      <c r="K811" s="135"/>
      <c r="L811" s="135"/>
      <c r="M811" s="135"/>
      <c r="N811" s="135"/>
      <c r="O811" s="135"/>
      <c r="P811" s="135"/>
      <c r="Q811" s="135"/>
      <c r="R811" s="135"/>
      <c r="S811" s="135"/>
      <c r="T811" s="135"/>
      <c r="U811" s="135"/>
      <c r="V811" s="135"/>
      <c r="W811" s="135"/>
      <c r="X811" s="135"/>
      <c r="Y811" s="135"/>
      <c r="Z811" s="135"/>
    </row>
    <row r="812" spans="1:26" ht="12.75">
      <c r="A812" s="136" t="s">
        <v>8</v>
      </c>
      <c r="B812" s="136" t="s">
        <v>587</v>
      </c>
      <c r="C812" s="136" t="s">
        <v>612</v>
      </c>
      <c r="D812" s="136" t="s">
        <v>120</v>
      </c>
      <c r="E812" s="136" t="s">
        <v>615</v>
      </c>
      <c r="F812" s="136">
        <v>80</v>
      </c>
      <c r="G812" s="137">
        <f t="shared" si="3"/>
        <v>6</v>
      </c>
      <c r="H812" s="137"/>
      <c r="I812" s="137"/>
      <c r="J812" s="135"/>
      <c r="K812" s="135"/>
      <c r="L812" s="135"/>
      <c r="M812" s="135"/>
      <c r="N812" s="135"/>
      <c r="O812" s="135"/>
      <c r="P812" s="135"/>
      <c r="Q812" s="135"/>
      <c r="R812" s="135"/>
      <c r="S812" s="135"/>
      <c r="T812" s="135"/>
      <c r="U812" s="135"/>
      <c r="V812" s="135"/>
      <c r="W812" s="135"/>
      <c r="X812" s="135"/>
      <c r="Y812" s="135"/>
      <c r="Z812" s="135"/>
    </row>
    <row r="813" spans="1:26" ht="12.75">
      <c r="A813" s="136" t="s">
        <v>8</v>
      </c>
      <c r="B813" s="136" t="s">
        <v>587</v>
      </c>
      <c r="C813" s="136" t="s">
        <v>612</v>
      </c>
      <c r="D813" s="136" t="s">
        <v>7491</v>
      </c>
      <c r="E813" s="136" t="s">
        <v>615</v>
      </c>
      <c r="F813" s="136">
        <v>70</v>
      </c>
      <c r="G813" s="137">
        <f t="shared" si="3"/>
        <v>7</v>
      </c>
      <c r="H813" s="137"/>
      <c r="I813" s="137"/>
      <c r="J813" s="135"/>
      <c r="K813" s="135"/>
      <c r="L813" s="135"/>
      <c r="M813" s="135"/>
      <c r="N813" s="135"/>
      <c r="O813" s="135"/>
      <c r="P813" s="135"/>
      <c r="Q813" s="135"/>
      <c r="R813" s="135"/>
      <c r="S813" s="135"/>
      <c r="T813" s="135"/>
      <c r="U813" s="135"/>
      <c r="V813" s="135"/>
      <c r="W813" s="135"/>
      <c r="X813" s="135"/>
      <c r="Y813" s="135"/>
      <c r="Z813" s="135"/>
    </row>
    <row r="814" spans="1:26" ht="12.75">
      <c r="A814" s="136" t="s">
        <v>8</v>
      </c>
      <c r="B814" s="136" t="s">
        <v>587</v>
      </c>
      <c r="C814" s="136" t="s">
        <v>612</v>
      </c>
      <c r="D814" s="136" t="s">
        <v>467</v>
      </c>
      <c r="E814" s="136" t="s">
        <v>85</v>
      </c>
      <c r="F814" s="136">
        <v>68</v>
      </c>
      <c r="G814" s="137">
        <f t="shared" si="3"/>
        <v>8</v>
      </c>
      <c r="H814" s="137"/>
      <c r="I814" s="137"/>
      <c r="J814" s="135"/>
      <c r="K814" s="135"/>
      <c r="L814" s="135"/>
      <c r="M814" s="135"/>
      <c r="N814" s="135"/>
      <c r="O814" s="135"/>
      <c r="P814" s="135"/>
      <c r="Q814" s="135"/>
      <c r="R814" s="135"/>
      <c r="S814" s="135"/>
      <c r="T814" s="135"/>
      <c r="U814" s="135"/>
      <c r="V814" s="135"/>
      <c r="W814" s="135"/>
      <c r="X814" s="135"/>
      <c r="Y814" s="135"/>
      <c r="Z814" s="135"/>
    </row>
    <row r="815" spans="1:26" ht="12.75">
      <c r="A815" s="136" t="s">
        <v>8</v>
      </c>
      <c r="B815" s="136" t="s">
        <v>587</v>
      </c>
      <c r="C815" s="136" t="s">
        <v>612</v>
      </c>
      <c r="D815" s="136" t="s">
        <v>7533</v>
      </c>
      <c r="E815" s="136" t="s">
        <v>594</v>
      </c>
      <c r="F815" s="136">
        <v>60</v>
      </c>
      <c r="G815" s="137">
        <f t="shared" si="3"/>
        <v>9</v>
      </c>
      <c r="H815" s="137"/>
      <c r="I815" s="137"/>
      <c r="J815" s="135"/>
      <c r="K815" s="135"/>
      <c r="L815" s="135"/>
      <c r="M815" s="135"/>
      <c r="N815" s="135"/>
      <c r="O815" s="135"/>
      <c r="P815" s="135"/>
      <c r="Q815" s="135"/>
      <c r="R815" s="135"/>
      <c r="S815" s="135"/>
      <c r="T815" s="135"/>
      <c r="U815" s="135"/>
      <c r="V815" s="135"/>
      <c r="W815" s="135"/>
      <c r="X815" s="135"/>
      <c r="Y815" s="135"/>
      <c r="Z815" s="135"/>
    </row>
    <row r="816" spans="1:26" ht="12.75">
      <c r="A816" s="136" t="s">
        <v>8</v>
      </c>
      <c r="B816" s="136" t="s">
        <v>587</v>
      </c>
      <c r="C816" s="136" t="s">
        <v>612</v>
      </c>
      <c r="D816" s="136" t="s">
        <v>7545</v>
      </c>
      <c r="E816" s="136" t="s">
        <v>86</v>
      </c>
      <c r="F816" s="136">
        <v>60</v>
      </c>
      <c r="G816" s="137">
        <f t="shared" si="3"/>
        <v>10</v>
      </c>
      <c r="H816" s="137"/>
      <c r="I816" s="137"/>
      <c r="J816" s="135"/>
      <c r="K816" s="135"/>
      <c r="L816" s="135"/>
      <c r="M816" s="135"/>
      <c r="N816" s="135"/>
      <c r="O816" s="135"/>
      <c r="P816" s="135"/>
      <c r="Q816" s="135"/>
      <c r="R816" s="135"/>
      <c r="S816" s="135"/>
      <c r="T816" s="135"/>
      <c r="U816" s="135"/>
      <c r="V816" s="135"/>
      <c r="W816" s="135"/>
      <c r="X816" s="135"/>
      <c r="Y816" s="135"/>
      <c r="Z816" s="135"/>
    </row>
    <row r="817" spans="1:26" ht="12.75">
      <c r="A817" s="136" t="s">
        <v>8</v>
      </c>
      <c r="B817" s="136" t="s">
        <v>587</v>
      </c>
      <c r="C817" s="136" t="s">
        <v>612</v>
      </c>
      <c r="D817" s="136" t="s">
        <v>7551</v>
      </c>
      <c r="E817" s="136" t="s">
        <v>615</v>
      </c>
      <c r="F817" s="136">
        <v>40</v>
      </c>
      <c r="G817" s="137">
        <f t="shared" si="3"/>
        <v>11</v>
      </c>
      <c r="H817" s="137"/>
      <c r="I817" s="137"/>
      <c r="J817" s="135"/>
      <c r="K817" s="135"/>
      <c r="L817" s="135"/>
      <c r="M817" s="135"/>
      <c r="N817" s="135"/>
      <c r="O817" s="135"/>
      <c r="P817" s="135"/>
      <c r="Q817" s="135"/>
      <c r="R817" s="135"/>
      <c r="S817" s="135"/>
      <c r="T817" s="135"/>
      <c r="U817" s="135"/>
      <c r="V817" s="135"/>
      <c r="W817" s="135"/>
      <c r="X817" s="135"/>
      <c r="Y817" s="135"/>
      <c r="Z817" s="135"/>
    </row>
    <row r="818" spans="1:26" ht="12.75">
      <c r="A818" s="136" t="s">
        <v>8</v>
      </c>
      <c r="B818" s="136" t="s">
        <v>587</v>
      </c>
      <c r="C818" s="136" t="s">
        <v>612</v>
      </c>
      <c r="D818" s="136" t="s">
        <v>7546</v>
      </c>
      <c r="E818" s="136" t="s">
        <v>86</v>
      </c>
      <c r="F818" s="136">
        <v>39</v>
      </c>
      <c r="G818" s="137">
        <f t="shared" si="3"/>
        <v>12</v>
      </c>
      <c r="H818" s="137"/>
      <c r="I818" s="137"/>
      <c r="J818" s="135"/>
      <c r="K818" s="135"/>
      <c r="L818" s="135"/>
      <c r="M818" s="135"/>
      <c r="N818" s="135"/>
      <c r="O818" s="135"/>
      <c r="P818" s="135"/>
      <c r="Q818" s="135"/>
      <c r="R818" s="135"/>
      <c r="S818" s="135"/>
      <c r="T818" s="135"/>
      <c r="U818" s="135"/>
      <c r="V818" s="135"/>
      <c r="W818" s="135"/>
      <c r="X818" s="135"/>
      <c r="Y818" s="135"/>
      <c r="Z818" s="135"/>
    </row>
    <row r="819" spans="1:26" ht="12.75">
      <c r="A819" s="136" t="s">
        <v>8</v>
      </c>
      <c r="B819" s="136" t="s">
        <v>587</v>
      </c>
      <c r="C819" s="136" t="s">
        <v>612</v>
      </c>
      <c r="D819" s="136" t="s">
        <v>595</v>
      </c>
      <c r="E819" s="136" t="s">
        <v>594</v>
      </c>
      <c r="F819" s="136">
        <v>15</v>
      </c>
      <c r="G819" s="137">
        <f t="shared" si="3"/>
        <v>13</v>
      </c>
      <c r="H819" s="137"/>
      <c r="I819" s="137"/>
      <c r="J819" s="135"/>
      <c r="K819" s="135"/>
      <c r="L819" s="135"/>
      <c r="M819" s="135"/>
      <c r="N819" s="135"/>
      <c r="O819" s="135"/>
      <c r="P819" s="135"/>
      <c r="Q819" s="135"/>
      <c r="R819" s="135"/>
      <c r="S819" s="135"/>
      <c r="T819" s="135"/>
      <c r="U819" s="135"/>
      <c r="V819" s="135"/>
      <c r="W819" s="135"/>
      <c r="X819" s="135"/>
      <c r="Y819" s="135"/>
      <c r="Z819" s="135"/>
    </row>
    <row r="820" spans="1:26" ht="12.75">
      <c r="A820" s="136" t="s">
        <v>8</v>
      </c>
      <c r="B820" s="136" t="s">
        <v>587</v>
      </c>
      <c r="C820" s="136" t="s">
        <v>7552</v>
      </c>
      <c r="D820" s="136" t="s">
        <v>7544</v>
      </c>
      <c r="E820" s="136" t="s">
        <v>615</v>
      </c>
      <c r="F820" s="136">
        <v>552</v>
      </c>
      <c r="G820" s="137">
        <f t="shared" si="3"/>
        <v>1</v>
      </c>
      <c r="H820" s="137"/>
      <c r="I820" s="137"/>
      <c r="J820" s="135"/>
      <c r="K820" s="135"/>
      <c r="L820" s="135"/>
      <c r="M820" s="135"/>
      <c r="N820" s="135"/>
      <c r="O820" s="135"/>
      <c r="P820" s="135"/>
      <c r="Q820" s="135"/>
      <c r="R820" s="135"/>
      <c r="S820" s="135"/>
      <c r="T820" s="135"/>
      <c r="U820" s="135"/>
      <c r="V820" s="135"/>
      <c r="W820" s="135"/>
      <c r="X820" s="135"/>
      <c r="Y820" s="135"/>
      <c r="Z820" s="135"/>
    </row>
    <row r="821" spans="1:26" ht="12.75">
      <c r="A821" s="136" t="s">
        <v>8</v>
      </c>
      <c r="B821" s="136" t="s">
        <v>587</v>
      </c>
      <c r="C821" s="136" t="s">
        <v>7552</v>
      </c>
      <c r="D821" s="136" t="s">
        <v>139</v>
      </c>
      <c r="E821" s="136" t="s">
        <v>594</v>
      </c>
      <c r="F821" s="136">
        <v>451</v>
      </c>
      <c r="G821" s="137">
        <f t="shared" si="3"/>
        <v>2</v>
      </c>
      <c r="H821" s="137"/>
      <c r="I821" s="137"/>
      <c r="J821" s="135"/>
      <c r="K821" s="135"/>
      <c r="L821" s="135"/>
      <c r="M821" s="135"/>
      <c r="N821" s="135"/>
      <c r="O821" s="135"/>
      <c r="P821" s="135"/>
      <c r="Q821" s="135"/>
      <c r="R821" s="135"/>
      <c r="S821" s="135"/>
      <c r="T821" s="135"/>
      <c r="U821" s="135"/>
      <c r="V821" s="135"/>
      <c r="W821" s="135"/>
      <c r="X821" s="135"/>
      <c r="Y821" s="135"/>
      <c r="Z821" s="135"/>
    </row>
    <row r="822" spans="1:26" ht="12.75">
      <c r="A822" s="136" t="s">
        <v>8</v>
      </c>
      <c r="B822" s="136" t="s">
        <v>587</v>
      </c>
      <c r="C822" s="136" t="s">
        <v>7552</v>
      </c>
      <c r="D822" s="136" t="s">
        <v>7530</v>
      </c>
      <c r="E822" s="136" t="s">
        <v>85</v>
      </c>
      <c r="F822" s="136">
        <v>400</v>
      </c>
      <c r="G822" s="137">
        <f t="shared" si="3"/>
        <v>3</v>
      </c>
      <c r="H822" s="137"/>
      <c r="I822" s="137"/>
      <c r="J822" s="135"/>
      <c r="K822" s="135"/>
      <c r="L822" s="135"/>
      <c r="M822" s="135"/>
      <c r="N822" s="135"/>
      <c r="O822" s="135"/>
      <c r="P822" s="135"/>
      <c r="Q822" s="135"/>
      <c r="R822" s="135"/>
      <c r="S822" s="135"/>
      <c r="T822" s="135"/>
      <c r="U822" s="135"/>
      <c r="V822" s="135"/>
      <c r="W822" s="135"/>
      <c r="X822" s="135"/>
      <c r="Y822" s="135"/>
      <c r="Z822" s="135"/>
    </row>
    <row r="823" spans="1:26" ht="12.75">
      <c r="A823" s="136" t="s">
        <v>8</v>
      </c>
      <c r="B823" s="136" t="s">
        <v>587</v>
      </c>
      <c r="C823" s="136" t="s">
        <v>7552</v>
      </c>
      <c r="D823" s="136" t="s">
        <v>595</v>
      </c>
      <c r="E823" s="136" t="s">
        <v>594</v>
      </c>
      <c r="F823" s="136">
        <v>233</v>
      </c>
      <c r="G823" s="137">
        <f t="shared" si="3"/>
        <v>4</v>
      </c>
      <c r="H823" s="137"/>
      <c r="I823" s="137"/>
      <c r="J823" s="135"/>
      <c r="K823" s="135"/>
      <c r="L823" s="135"/>
      <c r="M823" s="135"/>
      <c r="N823" s="135"/>
      <c r="O823" s="135"/>
      <c r="P823" s="135"/>
      <c r="Q823" s="135"/>
      <c r="R823" s="135"/>
      <c r="S823" s="135"/>
      <c r="T823" s="135"/>
      <c r="U823" s="135"/>
      <c r="V823" s="135"/>
      <c r="W823" s="135"/>
      <c r="X823" s="135"/>
      <c r="Y823" s="135"/>
      <c r="Z823" s="135"/>
    </row>
    <row r="824" spans="1:26" ht="12.75">
      <c r="A824" s="136" t="s">
        <v>8</v>
      </c>
      <c r="B824" s="136" t="s">
        <v>587</v>
      </c>
      <c r="C824" s="136" t="s">
        <v>7552</v>
      </c>
      <c r="D824" s="136" t="s">
        <v>165</v>
      </c>
      <c r="E824" s="136" t="s">
        <v>615</v>
      </c>
      <c r="F824" s="136">
        <v>205</v>
      </c>
      <c r="G824" s="137">
        <f t="shared" si="3"/>
        <v>5</v>
      </c>
      <c r="H824" s="137"/>
      <c r="I824" s="137"/>
      <c r="J824" s="135"/>
      <c r="K824" s="135"/>
      <c r="L824" s="135"/>
      <c r="M824" s="135"/>
      <c r="N824" s="135"/>
      <c r="O824" s="135"/>
      <c r="P824" s="135"/>
      <c r="Q824" s="135"/>
      <c r="R824" s="135"/>
      <c r="S824" s="135"/>
      <c r="T824" s="135"/>
      <c r="U824" s="135"/>
      <c r="V824" s="135"/>
      <c r="W824" s="135"/>
      <c r="X824" s="135"/>
      <c r="Y824" s="135"/>
      <c r="Z824" s="135"/>
    </row>
    <row r="825" spans="1:26" ht="12.75">
      <c r="A825" s="136" t="s">
        <v>8</v>
      </c>
      <c r="B825" s="136" t="s">
        <v>587</v>
      </c>
      <c r="C825" s="136" t="s">
        <v>7552</v>
      </c>
      <c r="D825" s="136" t="s">
        <v>7545</v>
      </c>
      <c r="E825" s="136" t="s">
        <v>86</v>
      </c>
      <c r="F825" s="136">
        <v>157</v>
      </c>
      <c r="G825" s="137">
        <f t="shared" si="3"/>
        <v>6</v>
      </c>
      <c r="H825" s="137"/>
      <c r="I825" s="137"/>
      <c r="J825" s="135"/>
      <c r="K825" s="135"/>
      <c r="L825" s="135"/>
      <c r="M825" s="135"/>
      <c r="N825" s="135"/>
      <c r="O825" s="135"/>
      <c r="P825" s="135"/>
      <c r="Q825" s="135"/>
      <c r="R825" s="135"/>
      <c r="S825" s="135"/>
      <c r="T825" s="135"/>
      <c r="U825" s="135"/>
      <c r="V825" s="135"/>
      <c r="W825" s="135"/>
      <c r="X825" s="135"/>
      <c r="Y825" s="135"/>
      <c r="Z825" s="135"/>
    </row>
    <row r="826" spans="1:26" ht="12.75">
      <c r="A826" s="136" t="s">
        <v>8</v>
      </c>
      <c r="B826" s="136" t="s">
        <v>587</v>
      </c>
      <c r="C826" s="136" t="s">
        <v>7552</v>
      </c>
      <c r="D826" s="136" t="s">
        <v>467</v>
      </c>
      <c r="E826" s="136" t="s">
        <v>85</v>
      </c>
      <c r="F826" s="136">
        <v>124</v>
      </c>
      <c r="G826" s="137">
        <f t="shared" si="3"/>
        <v>7</v>
      </c>
      <c r="H826" s="137"/>
      <c r="I826" s="137"/>
      <c r="J826" s="135"/>
      <c r="K826" s="135"/>
      <c r="L826" s="135"/>
      <c r="M826" s="135"/>
      <c r="N826" s="135"/>
      <c r="O826" s="135"/>
      <c r="P826" s="135"/>
      <c r="Q826" s="135"/>
      <c r="R826" s="135"/>
      <c r="S826" s="135"/>
      <c r="T826" s="135"/>
      <c r="U826" s="135"/>
      <c r="V826" s="135"/>
      <c r="W826" s="135"/>
      <c r="X826" s="135"/>
      <c r="Y826" s="135"/>
      <c r="Z826" s="135"/>
    </row>
    <row r="827" spans="1:26" ht="12.75">
      <c r="A827" s="136" t="s">
        <v>8</v>
      </c>
      <c r="B827" s="136" t="s">
        <v>587</v>
      </c>
      <c r="C827" s="136" t="s">
        <v>7552</v>
      </c>
      <c r="D827" s="136" t="s">
        <v>1665</v>
      </c>
      <c r="E827" s="136" t="s">
        <v>615</v>
      </c>
      <c r="F827" s="136">
        <v>120</v>
      </c>
      <c r="G827" s="137">
        <f t="shared" si="3"/>
        <v>8</v>
      </c>
      <c r="H827" s="137"/>
      <c r="I827" s="137"/>
      <c r="J827" s="135"/>
      <c r="K827" s="135"/>
      <c r="L827" s="135"/>
      <c r="M827" s="135"/>
      <c r="N827" s="135"/>
      <c r="O827" s="135"/>
      <c r="P827" s="135"/>
      <c r="Q827" s="135"/>
      <c r="R827" s="135"/>
      <c r="S827" s="135"/>
      <c r="T827" s="135"/>
      <c r="U827" s="135"/>
      <c r="V827" s="135"/>
      <c r="W827" s="135"/>
      <c r="X827" s="135"/>
      <c r="Y827" s="135"/>
      <c r="Z827" s="135"/>
    </row>
    <row r="828" spans="1:26" ht="12.75">
      <c r="A828" s="136" t="s">
        <v>8</v>
      </c>
      <c r="B828" s="136" t="s">
        <v>587</v>
      </c>
      <c r="C828" s="136" t="s">
        <v>7552</v>
      </c>
      <c r="D828" s="136" t="s">
        <v>7551</v>
      </c>
      <c r="E828" s="136" t="s">
        <v>615</v>
      </c>
      <c r="F828" s="136">
        <v>75</v>
      </c>
      <c r="G828" s="137">
        <f t="shared" si="3"/>
        <v>9</v>
      </c>
      <c r="H828" s="137"/>
      <c r="I828" s="137"/>
      <c r="J828" s="135"/>
      <c r="K828" s="135"/>
      <c r="L828" s="135"/>
      <c r="M828" s="135"/>
      <c r="N828" s="135"/>
      <c r="O828" s="135"/>
      <c r="P828" s="135"/>
      <c r="Q828" s="135"/>
      <c r="R828" s="135"/>
      <c r="S828" s="135"/>
      <c r="T828" s="135"/>
      <c r="U828" s="135"/>
      <c r="V828" s="135"/>
      <c r="W828" s="135"/>
      <c r="X828" s="135"/>
      <c r="Y828" s="135"/>
      <c r="Z828" s="135"/>
    </row>
    <row r="829" spans="1:26" ht="12.75">
      <c r="A829" s="136" t="s">
        <v>8</v>
      </c>
      <c r="B829" s="136" t="s">
        <v>587</v>
      </c>
      <c r="C829" s="136" t="s">
        <v>7552</v>
      </c>
      <c r="D829" s="136" t="s">
        <v>7546</v>
      </c>
      <c r="E829" s="136" t="s">
        <v>86</v>
      </c>
      <c r="F829" s="136">
        <v>71</v>
      </c>
      <c r="G829" s="137">
        <f t="shared" si="3"/>
        <v>10</v>
      </c>
      <c r="H829" s="137"/>
      <c r="I829" s="137"/>
      <c r="J829" s="135"/>
      <c r="K829" s="135"/>
      <c r="L829" s="135"/>
      <c r="M829" s="135"/>
      <c r="N829" s="135"/>
      <c r="O829" s="135"/>
      <c r="P829" s="135"/>
      <c r="Q829" s="135"/>
      <c r="R829" s="135"/>
      <c r="S829" s="135"/>
      <c r="T829" s="135"/>
      <c r="U829" s="135"/>
      <c r="V829" s="135"/>
      <c r="W829" s="135"/>
      <c r="X829" s="135"/>
      <c r="Y829" s="135"/>
      <c r="Z829" s="135"/>
    </row>
    <row r="830" spans="1:26" ht="12.75">
      <c r="A830" s="136" t="s">
        <v>8</v>
      </c>
      <c r="B830" s="136" t="s">
        <v>587</v>
      </c>
      <c r="C830" s="136" t="s">
        <v>7552</v>
      </c>
      <c r="D830" s="136" t="s">
        <v>7533</v>
      </c>
      <c r="E830" s="136" t="s">
        <v>594</v>
      </c>
      <c r="F830" s="136">
        <v>55</v>
      </c>
      <c r="G830" s="137">
        <f t="shared" si="3"/>
        <v>11</v>
      </c>
      <c r="H830" s="137"/>
      <c r="I830" s="137"/>
      <c r="J830" s="135"/>
      <c r="K830" s="135"/>
      <c r="L830" s="135"/>
      <c r="M830" s="135"/>
      <c r="N830" s="135"/>
      <c r="O830" s="135"/>
      <c r="P830" s="135"/>
      <c r="Q830" s="135"/>
      <c r="R830" s="135"/>
      <c r="S830" s="135"/>
      <c r="T830" s="135"/>
      <c r="U830" s="135"/>
      <c r="V830" s="135"/>
      <c r="W830" s="135"/>
      <c r="X830" s="135"/>
      <c r="Y830" s="135"/>
      <c r="Z830" s="135"/>
    </row>
    <row r="831" spans="1:26" ht="12.75">
      <c r="A831" s="136" t="s">
        <v>8</v>
      </c>
      <c r="B831" s="136" t="s">
        <v>587</v>
      </c>
      <c r="C831" s="136" t="s">
        <v>7552</v>
      </c>
      <c r="D831" s="136" t="s">
        <v>7491</v>
      </c>
      <c r="E831" s="136" t="s">
        <v>615</v>
      </c>
      <c r="F831" s="136">
        <v>40</v>
      </c>
      <c r="G831" s="137">
        <f t="shared" si="3"/>
        <v>12</v>
      </c>
      <c r="H831" s="137"/>
      <c r="I831" s="137"/>
      <c r="J831" s="135"/>
      <c r="K831" s="135"/>
      <c r="L831" s="135"/>
      <c r="M831" s="135"/>
      <c r="N831" s="135"/>
      <c r="O831" s="135"/>
      <c r="P831" s="135"/>
      <c r="Q831" s="135"/>
      <c r="R831" s="135"/>
      <c r="S831" s="135"/>
      <c r="T831" s="135"/>
      <c r="U831" s="135"/>
      <c r="V831" s="135"/>
      <c r="W831" s="135"/>
      <c r="X831" s="135"/>
      <c r="Y831" s="135"/>
      <c r="Z831" s="135"/>
    </row>
    <row r="832" spans="1:26" ht="12.75">
      <c r="A832" s="136" t="s">
        <v>8</v>
      </c>
      <c r="B832" s="136" t="s">
        <v>587</v>
      </c>
      <c r="C832" s="136" t="s">
        <v>7552</v>
      </c>
      <c r="D832" s="136" t="s">
        <v>7531</v>
      </c>
      <c r="E832" s="136" t="s">
        <v>615</v>
      </c>
      <c r="F832" s="136">
        <v>10</v>
      </c>
      <c r="G832" s="137">
        <f t="shared" si="3"/>
        <v>13</v>
      </c>
      <c r="H832" s="137"/>
      <c r="I832" s="137"/>
      <c r="J832" s="135"/>
      <c r="K832" s="135"/>
      <c r="L832" s="135"/>
      <c r="M832" s="135"/>
      <c r="N832" s="135"/>
      <c r="O832" s="135"/>
      <c r="P832" s="135"/>
      <c r="Q832" s="135"/>
      <c r="R832" s="135"/>
      <c r="S832" s="135"/>
      <c r="T832" s="135"/>
      <c r="U832" s="135"/>
      <c r="V832" s="135"/>
      <c r="W832" s="135"/>
      <c r="X832" s="135"/>
      <c r="Y832" s="135"/>
      <c r="Z832" s="135"/>
    </row>
    <row r="833" spans="1:26" ht="12.75">
      <c r="A833" s="136" t="s">
        <v>8</v>
      </c>
      <c r="B833" s="136" t="s">
        <v>587</v>
      </c>
      <c r="C833" s="136" t="s">
        <v>604</v>
      </c>
      <c r="D833" s="136" t="s">
        <v>7551</v>
      </c>
      <c r="E833" s="136" t="s">
        <v>615</v>
      </c>
      <c r="F833" s="136">
        <v>445</v>
      </c>
      <c r="G833" s="137">
        <f t="shared" si="3"/>
        <v>1</v>
      </c>
      <c r="H833" s="137"/>
      <c r="I833" s="137"/>
      <c r="J833" s="135"/>
      <c r="K833" s="135"/>
      <c r="L833" s="135"/>
      <c r="M833" s="135"/>
      <c r="N833" s="135"/>
      <c r="O833" s="135"/>
      <c r="P833" s="135"/>
      <c r="Q833" s="135"/>
      <c r="R833" s="135"/>
      <c r="S833" s="135"/>
      <c r="T833" s="135"/>
      <c r="U833" s="135"/>
      <c r="V833" s="135"/>
      <c r="W833" s="135"/>
      <c r="X833" s="135"/>
      <c r="Y833" s="135"/>
      <c r="Z833" s="135"/>
    </row>
    <row r="834" spans="1:26" ht="12.75">
      <c r="A834" s="136" t="s">
        <v>8</v>
      </c>
      <c r="B834" s="136" t="s">
        <v>587</v>
      </c>
      <c r="C834" s="136" t="s">
        <v>604</v>
      </c>
      <c r="D834" s="136" t="s">
        <v>139</v>
      </c>
      <c r="E834" s="136" t="s">
        <v>594</v>
      </c>
      <c r="F834" s="136">
        <v>430</v>
      </c>
      <c r="G834" s="137">
        <f t="shared" si="3"/>
        <v>2</v>
      </c>
      <c r="H834" s="137"/>
      <c r="I834" s="137"/>
      <c r="J834" s="135"/>
      <c r="K834" s="135"/>
      <c r="L834" s="135"/>
      <c r="M834" s="135"/>
      <c r="N834" s="135"/>
      <c r="O834" s="135"/>
      <c r="P834" s="135"/>
      <c r="Q834" s="135"/>
      <c r="R834" s="135"/>
      <c r="S834" s="135"/>
      <c r="T834" s="135"/>
      <c r="U834" s="135"/>
      <c r="V834" s="135"/>
      <c r="W834" s="135"/>
      <c r="X834" s="135"/>
      <c r="Y834" s="135"/>
      <c r="Z834" s="135"/>
    </row>
    <row r="835" spans="1:26" ht="12.75">
      <c r="A835" s="136" t="s">
        <v>8</v>
      </c>
      <c r="B835" s="136" t="s">
        <v>587</v>
      </c>
      <c r="C835" s="136" t="s">
        <v>604</v>
      </c>
      <c r="D835" s="136" t="s">
        <v>7530</v>
      </c>
      <c r="E835" s="136" t="s">
        <v>85</v>
      </c>
      <c r="F835" s="136">
        <v>100</v>
      </c>
      <c r="G835" s="137">
        <f t="shared" si="3"/>
        <v>3</v>
      </c>
      <c r="H835" s="137"/>
      <c r="I835" s="137"/>
      <c r="J835" s="135"/>
      <c r="K835" s="135"/>
      <c r="L835" s="135"/>
      <c r="M835" s="135"/>
      <c r="N835" s="135"/>
      <c r="O835" s="135"/>
      <c r="P835" s="135"/>
      <c r="Q835" s="135"/>
      <c r="R835" s="135"/>
      <c r="S835" s="135"/>
      <c r="T835" s="135"/>
      <c r="U835" s="135"/>
      <c r="V835" s="135"/>
      <c r="W835" s="135"/>
      <c r="X835" s="135"/>
      <c r="Y835" s="135"/>
      <c r="Z835" s="135"/>
    </row>
    <row r="836" spans="1:26" ht="12.75">
      <c r="A836" s="136" t="s">
        <v>8</v>
      </c>
      <c r="B836" s="136" t="s">
        <v>587</v>
      </c>
      <c r="C836" s="136" t="s">
        <v>604</v>
      </c>
      <c r="D836" s="136" t="s">
        <v>165</v>
      </c>
      <c r="E836" s="136" t="s">
        <v>615</v>
      </c>
      <c r="F836" s="136">
        <v>70</v>
      </c>
      <c r="G836" s="137">
        <f t="shared" si="3"/>
        <v>4</v>
      </c>
      <c r="H836" s="137"/>
      <c r="I836" s="137"/>
      <c r="J836" s="135"/>
      <c r="K836" s="135"/>
      <c r="L836" s="135"/>
      <c r="M836" s="135"/>
      <c r="N836" s="135"/>
      <c r="O836" s="135"/>
      <c r="P836" s="135"/>
      <c r="Q836" s="135"/>
      <c r="R836" s="135"/>
      <c r="S836" s="135"/>
      <c r="T836" s="135"/>
      <c r="U836" s="135"/>
      <c r="V836" s="135"/>
      <c r="W836" s="135"/>
      <c r="X836" s="135"/>
      <c r="Y836" s="135"/>
      <c r="Z836" s="135"/>
    </row>
    <row r="837" spans="1:26" ht="12.75">
      <c r="A837" s="136" t="s">
        <v>8</v>
      </c>
      <c r="B837" s="136" t="s">
        <v>587</v>
      </c>
      <c r="C837" s="136" t="s">
        <v>604</v>
      </c>
      <c r="D837" s="136" t="s">
        <v>7533</v>
      </c>
      <c r="E837" s="136" t="s">
        <v>594</v>
      </c>
      <c r="F837" s="136">
        <v>55</v>
      </c>
      <c r="G837" s="137">
        <f t="shared" si="3"/>
        <v>5</v>
      </c>
      <c r="H837" s="137"/>
      <c r="I837" s="137"/>
      <c r="J837" s="135"/>
      <c r="K837" s="135"/>
      <c r="L837" s="135"/>
      <c r="M837" s="135"/>
      <c r="N837" s="135"/>
      <c r="O837" s="135"/>
      <c r="P837" s="135"/>
      <c r="Q837" s="135"/>
      <c r="R837" s="135"/>
      <c r="S837" s="135"/>
      <c r="T837" s="135"/>
      <c r="U837" s="135"/>
      <c r="V837" s="135"/>
      <c r="W837" s="135"/>
      <c r="X837" s="135"/>
      <c r="Y837" s="135"/>
      <c r="Z837" s="135"/>
    </row>
    <row r="838" spans="1:26" ht="12.75">
      <c r="A838" s="136" t="s">
        <v>8</v>
      </c>
      <c r="B838" s="136" t="s">
        <v>587</v>
      </c>
      <c r="C838" s="136" t="s">
        <v>604</v>
      </c>
      <c r="D838" s="136" t="s">
        <v>1665</v>
      </c>
      <c r="E838" s="136" t="s">
        <v>615</v>
      </c>
      <c r="F838" s="136">
        <v>55</v>
      </c>
      <c r="G838" s="137">
        <f t="shared" si="3"/>
        <v>6</v>
      </c>
      <c r="H838" s="137"/>
      <c r="I838" s="137"/>
      <c r="J838" s="135"/>
      <c r="K838" s="135"/>
      <c r="L838" s="135"/>
      <c r="M838" s="135"/>
      <c r="N838" s="135"/>
      <c r="O838" s="135"/>
      <c r="P838" s="135"/>
      <c r="Q838" s="135"/>
      <c r="R838" s="135"/>
      <c r="S838" s="135"/>
      <c r="T838" s="135"/>
      <c r="U838" s="135"/>
      <c r="V838" s="135"/>
      <c r="W838" s="135"/>
      <c r="X838" s="135"/>
      <c r="Y838" s="135"/>
      <c r="Z838" s="135"/>
    </row>
    <row r="839" spans="1:26" ht="12.75">
      <c r="A839" s="136" t="s">
        <v>8</v>
      </c>
      <c r="B839" s="136" t="s">
        <v>587</v>
      </c>
      <c r="C839" s="136" t="s">
        <v>604</v>
      </c>
      <c r="D839" s="136" t="s">
        <v>7491</v>
      </c>
      <c r="E839" s="136" t="s">
        <v>615</v>
      </c>
      <c r="F839" s="136">
        <v>40</v>
      </c>
      <c r="G839" s="137">
        <f t="shared" si="3"/>
        <v>7</v>
      </c>
      <c r="H839" s="137"/>
      <c r="I839" s="137"/>
      <c r="J839" s="135"/>
      <c r="K839" s="135"/>
      <c r="L839" s="135"/>
      <c r="M839" s="135"/>
      <c r="N839" s="135"/>
      <c r="O839" s="135"/>
      <c r="P839" s="135"/>
      <c r="Q839" s="135"/>
      <c r="R839" s="135"/>
      <c r="S839" s="135"/>
      <c r="T839" s="135"/>
      <c r="U839" s="135"/>
      <c r="V839" s="135"/>
      <c r="W839" s="135"/>
      <c r="X839" s="135"/>
      <c r="Y839" s="135"/>
      <c r="Z839" s="135"/>
    </row>
    <row r="840" spans="1:26" ht="12.75">
      <c r="A840" s="136" t="s">
        <v>8</v>
      </c>
      <c r="B840" s="136" t="s">
        <v>587</v>
      </c>
      <c r="C840" s="136" t="s">
        <v>604</v>
      </c>
      <c r="D840" s="136" t="s">
        <v>107</v>
      </c>
      <c r="E840" s="136" t="s">
        <v>615</v>
      </c>
      <c r="F840" s="136">
        <v>38</v>
      </c>
      <c r="G840" s="137">
        <f t="shared" si="3"/>
        <v>8</v>
      </c>
      <c r="H840" s="137"/>
      <c r="I840" s="137"/>
      <c r="J840" s="135"/>
      <c r="K840" s="135"/>
      <c r="L840" s="135"/>
      <c r="M840" s="135"/>
      <c r="N840" s="135"/>
      <c r="O840" s="135"/>
      <c r="P840" s="135"/>
      <c r="Q840" s="135"/>
      <c r="R840" s="135"/>
      <c r="S840" s="135"/>
      <c r="T840" s="135"/>
      <c r="U840" s="135"/>
      <c r="V840" s="135"/>
      <c r="W840" s="135"/>
      <c r="X840" s="135"/>
      <c r="Y840" s="135"/>
      <c r="Z840" s="135"/>
    </row>
    <row r="841" spans="1:26" ht="12.75">
      <c r="A841" s="136" t="s">
        <v>8</v>
      </c>
      <c r="B841" s="136" t="s">
        <v>587</v>
      </c>
      <c r="C841" s="136" t="s">
        <v>604</v>
      </c>
      <c r="D841" s="136" t="s">
        <v>154</v>
      </c>
      <c r="E841" s="136" t="s">
        <v>615</v>
      </c>
      <c r="F841" s="136">
        <v>25</v>
      </c>
      <c r="G841" s="137">
        <f t="shared" si="3"/>
        <v>9</v>
      </c>
      <c r="H841" s="137"/>
      <c r="I841" s="137"/>
      <c r="J841" s="135"/>
      <c r="K841" s="135"/>
      <c r="L841" s="135"/>
      <c r="M841" s="135"/>
      <c r="N841" s="135"/>
      <c r="O841" s="135"/>
      <c r="P841" s="135"/>
      <c r="Q841" s="135"/>
      <c r="R841" s="135"/>
      <c r="S841" s="135"/>
      <c r="T841" s="135"/>
      <c r="U841" s="135"/>
      <c r="V841" s="135"/>
      <c r="W841" s="135"/>
      <c r="X841" s="135"/>
      <c r="Y841" s="135"/>
      <c r="Z841" s="135"/>
    </row>
    <row r="842" spans="1:26" ht="12.75">
      <c r="A842" s="136" t="s">
        <v>8</v>
      </c>
      <c r="B842" s="136" t="s">
        <v>587</v>
      </c>
      <c r="C842" s="136" t="s">
        <v>604</v>
      </c>
      <c r="D842" s="136" t="s">
        <v>467</v>
      </c>
      <c r="E842" s="136" t="s">
        <v>85</v>
      </c>
      <c r="F842" s="136">
        <v>17</v>
      </c>
      <c r="G842" s="137">
        <f t="shared" si="3"/>
        <v>10</v>
      </c>
      <c r="H842" s="137"/>
      <c r="I842" s="137"/>
      <c r="J842" s="135"/>
      <c r="K842" s="135"/>
      <c r="L842" s="135"/>
      <c r="M842" s="135"/>
      <c r="N842" s="135"/>
      <c r="O842" s="135"/>
      <c r="P842" s="135"/>
      <c r="Q842" s="135"/>
      <c r="R842" s="135"/>
      <c r="S842" s="135"/>
      <c r="T842" s="135"/>
      <c r="U842" s="135"/>
      <c r="V842" s="135"/>
      <c r="W842" s="135"/>
      <c r="X842" s="135"/>
      <c r="Y842" s="135"/>
      <c r="Z842" s="135"/>
    </row>
    <row r="843" spans="1:26" ht="12.75">
      <c r="A843" s="136" t="s">
        <v>8</v>
      </c>
      <c r="B843" s="136" t="s">
        <v>587</v>
      </c>
      <c r="C843" s="136" t="s">
        <v>604</v>
      </c>
      <c r="D843" s="136" t="s">
        <v>368</v>
      </c>
      <c r="E843" s="136" t="s">
        <v>594</v>
      </c>
      <c r="F843" s="136">
        <v>15</v>
      </c>
      <c r="G843" s="137">
        <f t="shared" si="3"/>
        <v>11</v>
      </c>
      <c r="H843" s="137"/>
      <c r="I843" s="137"/>
      <c r="J843" s="135"/>
      <c r="K843" s="135"/>
      <c r="L843" s="135"/>
      <c r="M843" s="135"/>
      <c r="N843" s="135"/>
      <c r="O843" s="135"/>
      <c r="P843" s="135"/>
      <c r="Q843" s="135"/>
      <c r="R843" s="135"/>
      <c r="S843" s="135"/>
      <c r="T843" s="135"/>
      <c r="U843" s="135"/>
      <c r="V843" s="135"/>
      <c r="W843" s="135"/>
      <c r="X843" s="135"/>
      <c r="Y843" s="135"/>
      <c r="Z843" s="135"/>
    </row>
    <row r="844" spans="1:26" ht="12.75">
      <c r="A844" s="136" t="s">
        <v>8</v>
      </c>
      <c r="B844" s="136" t="s">
        <v>587</v>
      </c>
      <c r="C844" s="136" t="s">
        <v>604</v>
      </c>
      <c r="D844" s="136" t="s">
        <v>7545</v>
      </c>
      <c r="E844" s="136" t="s">
        <v>86</v>
      </c>
      <c r="F844" s="136">
        <v>12</v>
      </c>
      <c r="G844" s="137">
        <f t="shared" si="3"/>
        <v>12</v>
      </c>
      <c r="H844" s="137"/>
      <c r="I844" s="137"/>
      <c r="J844" s="135"/>
      <c r="K844" s="135"/>
      <c r="L844" s="135"/>
      <c r="M844" s="135"/>
      <c r="N844" s="135"/>
      <c r="O844" s="135"/>
      <c r="P844" s="135"/>
      <c r="Q844" s="135"/>
      <c r="R844" s="135"/>
      <c r="S844" s="135"/>
      <c r="T844" s="135"/>
      <c r="U844" s="135"/>
      <c r="V844" s="135"/>
      <c r="W844" s="135"/>
      <c r="X844" s="135"/>
      <c r="Y844" s="135"/>
      <c r="Z844" s="135"/>
    </row>
    <row r="845" spans="1:26" ht="12.75">
      <c r="A845" s="136" t="s">
        <v>8</v>
      </c>
      <c r="B845" s="136" t="s">
        <v>587</v>
      </c>
      <c r="C845" s="136" t="s">
        <v>604</v>
      </c>
      <c r="D845" s="136" t="s">
        <v>7544</v>
      </c>
      <c r="E845" s="136" t="s">
        <v>615</v>
      </c>
      <c r="F845" s="136">
        <v>10</v>
      </c>
      <c r="G845" s="137">
        <f t="shared" si="3"/>
        <v>13</v>
      </c>
      <c r="H845" s="137"/>
      <c r="I845" s="137"/>
      <c r="J845" s="135"/>
      <c r="K845" s="135"/>
      <c r="L845" s="135"/>
      <c r="M845" s="135"/>
      <c r="N845" s="135"/>
      <c r="O845" s="135"/>
      <c r="P845" s="135"/>
      <c r="Q845" s="135"/>
      <c r="R845" s="135"/>
      <c r="S845" s="135"/>
      <c r="T845" s="135"/>
      <c r="U845" s="135"/>
      <c r="V845" s="135"/>
      <c r="W845" s="135"/>
      <c r="X845" s="135"/>
      <c r="Y845" s="135"/>
      <c r="Z845" s="135"/>
    </row>
    <row r="846" spans="1:26" ht="12.75">
      <c r="A846" s="136" t="s">
        <v>8</v>
      </c>
      <c r="B846" s="136" t="s">
        <v>587</v>
      </c>
      <c r="C846" s="136" t="s">
        <v>604</v>
      </c>
      <c r="D846" s="136" t="s">
        <v>7531</v>
      </c>
      <c r="E846" s="136" t="s">
        <v>615</v>
      </c>
      <c r="F846" s="136">
        <v>10</v>
      </c>
      <c r="G846" s="137">
        <f t="shared" si="3"/>
        <v>14</v>
      </c>
      <c r="H846" s="137"/>
      <c r="I846" s="137"/>
      <c r="J846" s="135"/>
      <c r="K846" s="135"/>
      <c r="L846" s="135"/>
      <c r="M846" s="135"/>
      <c r="N846" s="135"/>
      <c r="O846" s="135"/>
      <c r="P846" s="135"/>
      <c r="Q846" s="135"/>
      <c r="R846" s="135"/>
      <c r="S846" s="135"/>
      <c r="T846" s="135"/>
      <c r="U846" s="135"/>
      <c r="V846" s="135"/>
      <c r="W846" s="135"/>
      <c r="X846" s="135"/>
      <c r="Y846" s="135"/>
      <c r="Z846" s="135"/>
    </row>
    <row r="847" spans="1:26" ht="12.75">
      <c r="A847" s="136" t="s">
        <v>8</v>
      </c>
      <c r="B847" s="136" t="s">
        <v>587</v>
      </c>
      <c r="C847" s="136" t="s">
        <v>604</v>
      </c>
      <c r="D847" s="136" t="s">
        <v>7532</v>
      </c>
      <c r="E847" s="136" t="s">
        <v>615</v>
      </c>
      <c r="F847" s="136">
        <v>10</v>
      </c>
      <c r="G847" s="137">
        <f t="shared" si="3"/>
        <v>15</v>
      </c>
      <c r="H847" s="137"/>
      <c r="I847" s="137"/>
      <c r="J847" s="135"/>
      <c r="K847" s="135"/>
      <c r="L847" s="135"/>
      <c r="M847" s="135"/>
      <c r="N847" s="135"/>
      <c r="O847" s="135"/>
      <c r="P847" s="135"/>
      <c r="Q847" s="135"/>
      <c r="R847" s="135"/>
      <c r="S847" s="135"/>
      <c r="T847" s="135"/>
      <c r="U847" s="135"/>
      <c r="V847" s="135"/>
      <c r="W847" s="135"/>
      <c r="X847" s="135"/>
      <c r="Y847" s="135"/>
      <c r="Z847" s="135"/>
    </row>
    <row r="848" spans="1:26" ht="12.75">
      <c r="A848" s="136" t="s">
        <v>8</v>
      </c>
      <c r="B848" s="136" t="s">
        <v>587</v>
      </c>
      <c r="C848" s="136" t="s">
        <v>605</v>
      </c>
      <c r="D848" s="136" t="s">
        <v>7545</v>
      </c>
      <c r="E848" s="136" t="s">
        <v>86</v>
      </c>
      <c r="F848" s="136">
        <v>399</v>
      </c>
      <c r="G848" s="137">
        <f t="shared" si="3"/>
        <v>1</v>
      </c>
      <c r="H848" s="137"/>
      <c r="I848" s="137"/>
      <c r="J848" s="135"/>
      <c r="K848" s="135"/>
      <c r="L848" s="135"/>
      <c r="M848" s="135"/>
      <c r="N848" s="135"/>
      <c r="O848" s="135"/>
      <c r="P848" s="135"/>
      <c r="Q848" s="135"/>
      <c r="R848" s="135"/>
      <c r="S848" s="135"/>
      <c r="T848" s="135"/>
      <c r="U848" s="135"/>
      <c r="V848" s="135"/>
      <c r="W848" s="135"/>
      <c r="X848" s="135"/>
      <c r="Y848" s="135"/>
      <c r="Z848" s="135"/>
    </row>
    <row r="849" spans="1:26" ht="12.75">
      <c r="A849" s="136" t="s">
        <v>8</v>
      </c>
      <c r="B849" s="136" t="s">
        <v>587</v>
      </c>
      <c r="C849" s="136" t="s">
        <v>605</v>
      </c>
      <c r="D849" s="136" t="s">
        <v>7546</v>
      </c>
      <c r="E849" s="136" t="s">
        <v>86</v>
      </c>
      <c r="F849" s="136">
        <v>184</v>
      </c>
      <c r="G849" s="137">
        <f t="shared" si="3"/>
        <v>2</v>
      </c>
      <c r="H849" s="137"/>
      <c r="I849" s="137"/>
      <c r="J849" s="135"/>
      <c r="K849" s="135"/>
      <c r="L849" s="135"/>
      <c r="M849" s="135"/>
      <c r="N849" s="135"/>
      <c r="O849" s="135"/>
      <c r="P849" s="135"/>
      <c r="Q849" s="135"/>
      <c r="R849" s="135"/>
      <c r="S849" s="135"/>
      <c r="T849" s="135"/>
      <c r="U849" s="135"/>
      <c r="V849" s="135"/>
      <c r="W849" s="135"/>
      <c r="X849" s="135"/>
      <c r="Y849" s="135"/>
      <c r="Z849" s="135"/>
    </row>
    <row r="850" spans="1:26" ht="12.75">
      <c r="A850" s="136" t="s">
        <v>8</v>
      </c>
      <c r="B850" s="136" t="s">
        <v>587</v>
      </c>
      <c r="C850" s="136" t="s">
        <v>605</v>
      </c>
      <c r="D850" s="136" t="s">
        <v>7537</v>
      </c>
      <c r="E850" s="136" t="s">
        <v>86</v>
      </c>
      <c r="F850" s="136">
        <v>17</v>
      </c>
      <c r="G850" s="137">
        <f t="shared" si="3"/>
        <v>3</v>
      </c>
      <c r="H850" s="137"/>
      <c r="I850" s="137"/>
      <c r="J850" s="135"/>
      <c r="K850" s="135"/>
      <c r="L850" s="135"/>
      <c r="M850" s="135"/>
      <c r="N850" s="135"/>
      <c r="O850" s="135"/>
      <c r="P850" s="135"/>
      <c r="Q850" s="135"/>
      <c r="R850" s="135"/>
      <c r="S850" s="135"/>
      <c r="T850" s="135"/>
      <c r="U850" s="135"/>
      <c r="V850" s="135"/>
      <c r="W850" s="135"/>
      <c r="X850" s="135"/>
      <c r="Y850" s="135"/>
      <c r="Z850" s="135"/>
    </row>
    <row r="851" spans="1:26" ht="12.75">
      <c r="A851" s="136" t="s">
        <v>8</v>
      </c>
      <c r="B851" s="136" t="s">
        <v>587</v>
      </c>
      <c r="C851" s="136" t="s">
        <v>605</v>
      </c>
      <c r="D851" s="136" t="s">
        <v>7530</v>
      </c>
      <c r="E851" s="136" t="s">
        <v>85</v>
      </c>
      <c r="F851" s="136">
        <v>13</v>
      </c>
      <c r="G851" s="137">
        <f t="shared" si="3"/>
        <v>4</v>
      </c>
      <c r="H851" s="137"/>
      <c r="I851" s="137"/>
      <c r="J851" s="135"/>
      <c r="K851" s="135"/>
      <c r="L851" s="135"/>
      <c r="M851" s="135"/>
      <c r="N851" s="135"/>
      <c r="O851" s="135"/>
      <c r="P851" s="135"/>
      <c r="Q851" s="135"/>
      <c r="R851" s="135"/>
      <c r="S851" s="135"/>
      <c r="T851" s="135"/>
      <c r="U851" s="135"/>
      <c r="V851" s="135"/>
      <c r="W851" s="135"/>
      <c r="X851" s="135"/>
      <c r="Y851" s="135"/>
      <c r="Z851" s="135"/>
    </row>
    <row r="852" spans="1:26" ht="12.75">
      <c r="A852" s="136" t="s">
        <v>8</v>
      </c>
      <c r="B852" s="136" t="s">
        <v>587</v>
      </c>
      <c r="C852" s="136" t="s">
        <v>605</v>
      </c>
      <c r="D852" s="136" t="s">
        <v>1665</v>
      </c>
      <c r="E852" s="136" t="s">
        <v>615</v>
      </c>
      <c r="F852" s="136">
        <v>12</v>
      </c>
      <c r="G852" s="137">
        <f t="shared" si="3"/>
        <v>5</v>
      </c>
      <c r="H852" s="137"/>
      <c r="I852" s="137"/>
      <c r="J852" s="135"/>
      <c r="K852" s="135"/>
      <c r="L852" s="135"/>
      <c r="M852" s="135"/>
      <c r="N852" s="135"/>
      <c r="O852" s="135"/>
      <c r="P852" s="135"/>
      <c r="Q852" s="135"/>
      <c r="R852" s="135"/>
      <c r="S852" s="135"/>
      <c r="T852" s="135"/>
      <c r="U852" s="135"/>
      <c r="V852" s="135"/>
      <c r="W852" s="135"/>
      <c r="X852" s="135"/>
      <c r="Y852" s="135"/>
      <c r="Z852" s="135"/>
    </row>
    <row r="853" spans="1:26" ht="12.75">
      <c r="A853" s="136" t="s">
        <v>8</v>
      </c>
      <c r="B853" s="136" t="s">
        <v>587</v>
      </c>
      <c r="C853" s="136" t="s">
        <v>605</v>
      </c>
      <c r="D853" s="136" t="s">
        <v>139</v>
      </c>
      <c r="E853" s="136" t="s">
        <v>594</v>
      </c>
      <c r="F853" s="136">
        <v>10</v>
      </c>
      <c r="G853" s="137">
        <f t="shared" si="3"/>
        <v>6</v>
      </c>
      <c r="H853" s="137"/>
      <c r="I853" s="137"/>
      <c r="J853" s="135"/>
      <c r="K853" s="135"/>
      <c r="L853" s="135"/>
      <c r="M853" s="135"/>
      <c r="N853" s="135"/>
      <c r="O853" s="135"/>
      <c r="P853" s="135"/>
      <c r="Q853" s="135"/>
      <c r="R853" s="135"/>
      <c r="S853" s="135"/>
      <c r="T853" s="135"/>
      <c r="U853" s="135"/>
      <c r="V853" s="135"/>
      <c r="W853" s="135"/>
      <c r="X853" s="135"/>
      <c r="Y853" s="135"/>
      <c r="Z853" s="135"/>
    </row>
    <row r="854" spans="1:26" ht="12.75">
      <c r="A854" s="136" t="s">
        <v>8</v>
      </c>
      <c r="B854" s="136" t="s">
        <v>587</v>
      </c>
      <c r="C854" s="136" t="s">
        <v>605</v>
      </c>
      <c r="D854" s="136" t="s">
        <v>1646</v>
      </c>
      <c r="E854" s="136" t="s">
        <v>615</v>
      </c>
      <c r="F854" s="136">
        <v>4</v>
      </c>
      <c r="G854" s="137">
        <f t="shared" si="3"/>
        <v>7</v>
      </c>
      <c r="H854" s="137"/>
      <c r="I854" s="137"/>
      <c r="J854" s="135"/>
      <c r="K854" s="135"/>
      <c r="L854" s="135"/>
      <c r="M854" s="135"/>
      <c r="N854" s="135"/>
      <c r="O854" s="135"/>
      <c r="P854" s="135"/>
      <c r="Q854" s="135"/>
      <c r="R854" s="135"/>
      <c r="S854" s="135"/>
      <c r="T854" s="135"/>
      <c r="U854" s="135"/>
      <c r="V854" s="135"/>
      <c r="W854" s="135"/>
      <c r="X854" s="135"/>
      <c r="Y854" s="135"/>
      <c r="Z854" s="135"/>
    </row>
    <row r="855" spans="1:26" ht="12.75">
      <c r="A855" s="136" t="s">
        <v>8</v>
      </c>
      <c r="B855" s="136" t="s">
        <v>587</v>
      </c>
      <c r="C855" s="136" t="s">
        <v>623</v>
      </c>
      <c r="D855" s="136" t="s">
        <v>7544</v>
      </c>
      <c r="E855" s="136" t="s">
        <v>615</v>
      </c>
      <c r="F855" s="136">
        <v>400</v>
      </c>
      <c r="G855" s="137">
        <f t="shared" si="3"/>
        <v>1</v>
      </c>
      <c r="H855" s="137"/>
      <c r="I855" s="137"/>
      <c r="J855" s="135"/>
      <c r="K855" s="135"/>
      <c r="L855" s="135"/>
      <c r="M855" s="135"/>
      <c r="N855" s="135"/>
      <c r="O855" s="135"/>
      <c r="P855" s="135"/>
      <c r="Q855" s="135"/>
      <c r="R855" s="135"/>
      <c r="S855" s="135"/>
      <c r="T855" s="135"/>
      <c r="U855" s="135"/>
      <c r="V855" s="135"/>
      <c r="W855" s="135"/>
      <c r="X855" s="135"/>
      <c r="Y855" s="135"/>
      <c r="Z855" s="135"/>
    </row>
    <row r="856" spans="1:26" ht="12.75">
      <c r="A856" s="136" t="s">
        <v>8</v>
      </c>
      <c r="B856" s="136" t="s">
        <v>587</v>
      </c>
      <c r="C856" s="136" t="s">
        <v>623</v>
      </c>
      <c r="D856" s="136" t="s">
        <v>7530</v>
      </c>
      <c r="E856" s="136" t="s">
        <v>85</v>
      </c>
      <c r="F856" s="136">
        <v>161</v>
      </c>
      <c r="G856" s="137">
        <f t="shared" si="3"/>
        <v>2</v>
      </c>
      <c r="H856" s="137"/>
      <c r="I856" s="137"/>
      <c r="J856" s="135"/>
      <c r="K856" s="135"/>
      <c r="L856" s="135"/>
      <c r="M856" s="135"/>
      <c r="N856" s="135"/>
      <c r="O856" s="135"/>
      <c r="P856" s="135"/>
      <c r="Q856" s="135"/>
      <c r="R856" s="135"/>
      <c r="S856" s="135"/>
      <c r="T856" s="135"/>
      <c r="U856" s="135"/>
      <c r="V856" s="135"/>
      <c r="W856" s="135"/>
      <c r="X856" s="135"/>
      <c r="Y856" s="135"/>
      <c r="Z856" s="135"/>
    </row>
    <row r="857" spans="1:26" ht="12.75">
      <c r="A857" s="136" t="s">
        <v>8</v>
      </c>
      <c r="B857" s="136" t="s">
        <v>587</v>
      </c>
      <c r="C857" s="136" t="s">
        <v>623</v>
      </c>
      <c r="D857" s="136" t="s">
        <v>7545</v>
      </c>
      <c r="E857" s="136" t="s">
        <v>86</v>
      </c>
      <c r="F857" s="136">
        <v>62</v>
      </c>
      <c r="G857" s="137">
        <f t="shared" si="3"/>
        <v>3</v>
      </c>
      <c r="H857" s="137"/>
      <c r="I857" s="137"/>
      <c r="J857" s="135"/>
      <c r="K857" s="135"/>
      <c r="L857" s="135"/>
      <c r="M857" s="135"/>
      <c r="N857" s="135"/>
      <c r="O857" s="135"/>
      <c r="P857" s="135"/>
      <c r="Q857" s="135"/>
      <c r="R857" s="135"/>
      <c r="S857" s="135"/>
      <c r="T857" s="135"/>
      <c r="U857" s="135"/>
      <c r="V857" s="135"/>
      <c r="W857" s="135"/>
      <c r="X857" s="135"/>
      <c r="Y857" s="135"/>
      <c r="Z857" s="135"/>
    </row>
    <row r="858" spans="1:26" ht="12.75">
      <c r="A858" s="136" t="s">
        <v>8</v>
      </c>
      <c r="B858" s="136" t="s">
        <v>587</v>
      </c>
      <c r="C858" s="136" t="s">
        <v>623</v>
      </c>
      <c r="D858" s="136" t="s">
        <v>1665</v>
      </c>
      <c r="E858" s="136" t="s">
        <v>615</v>
      </c>
      <c r="F858" s="136">
        <v>54</v>
      </c>
      <c r="G858" s="137">
        <f t="shared" si="3"/>
        <v>4</v>
      </c>
      <c r="H858" s="137"/>
      <c r="I858" s="137"/>
      <c r="J858" s="135"/>
      <c r="K858" s="135"/>
      <c r="L858" s="135"/>
      <c r="M858" s="135"/>
      <c r="N858" s="135"/>
      <c r="O858" s="135"/>
      <c r="P858" s="135"/>
      <c r="Q858" s="135"/>
      <c r="R858" s="135"/>
      <c r="S858" s="135"/>
      <c r="T858" s="135"/>
      <c r="U858" s="135"/>
      <c r="V858" s="135"/>
      <c r="W858" s="135"/>
      <c r="X858" s="135"/>
      <c r="Y858" s="135"/>
      <c r="Z858" s="135"/>
    </row>
    <row r="859" spans="1:26" ht="12.75">
      <c r="A859" s="136" t="s">
        <v>8</v>
      </c>
      <c r="B859" s="136" t="s">
        <v>587</v>
      </c>
      <c r="C859" s="136" t="s">
        <v>623</v>
      </c>
      <c r="D859" s="136" t="s">
        <v>139</v>
      </c>
      <c r="E859" s="136" t="s">
        <v>594</v>
      </c>
      <c r="F859" s="136">
        <v>51</v>
      </c>
      <c r="G859" s="137">
        <f t="shared" si="3"/>
        <v>5</v>
      </c>
      <c r="H859" s="137"/>
      <c r="I859" s="137"/>
      <c r="J859" s="135"/>
      <c r="K859" s="135"/>
      <c r="L859" s="135"/>
      <c r="M859" s="135"/>
      <c r="N859" s="135"/>
      <c r="O859" s="135"/>
      <c r="P859" s="135"/>
      <c r="Q859" s="135"/>
      <c r="R859" s="135"/>
      <c r="S859" s="135"/>
      <c r="T859" s="135"/>
      <c r="U859" s="135"/>
      <c r="V859" s="135"/>
      <c r="W859" s="135"/>
      <c r="X859" s="135"/>
      <c r="Y859" s="135"/>
      <c r="Z859" s="135"/>
    </row>
    <row r="860" spans="1:26" ht="12.75">
      <c r="A860" s="136" t="s">
        <v>8</v>
      </c>
      <c r="B860" s="136" t="s">
        <v>587</v>
      </c>
      <c r="C860" s="136" t="s">
        <v>623</v>
      </c>
      <c r="D860" s="136" t="s">
        <v>7551</v>
      </c>
      <c r="E860" s="136" t="s">
        <v>615</v>
      </c>
      <c r="F860" s="136">
        <v>40</v>
      </c>
      <c r="G860" s="137">
        <f t="shared" si="3"/>
        <v>6</v>
      </c>
      <c r="H860" s="137"/>
      <c r="I860" s="137"/>
      <c r="J860" s="135"/>
      <c r="K860" s="135"/>
      <c r="L860" s="135"/>
      <c r="M860" s="135"/>
      <c r="N860" s="135"/>
      <c r="O860" s="135"/>
      <c r="P860" s="135"/>
      <c r="Q860" s="135"/>
      <c r="R860" s="135"/>
      <c r="S860" s="135"/>
      <c r="T860" s="135"/>
      <c r="U860" s="135"/>
      <c r="V860" s="135"/>
      <c r="W860" s="135"/>
      <c r="X860" s="135"/>
      <c r="Y860" s="135"/>
      <c r="Z860" s="135"/>
    </row>
    <row r="861" spans="1:26" ht="12.75">
      <c r="A861" s="136" t="s">
        <v>8</v>
      </c>
      <c r="B861" s="136" t="s">
        <v>587</v>
      </c>
      <c r="C861" s="136" t="s">
        <v>623</v>
      </c>
      <c r="D861" s="136" t="s">
        <v>165</v>
      </c>
      <c r="E861" s="136" t="s">
        <v>615</v>
      </c>
      <c r="F861" s="136">
        <v>40</v>
      </c>
      <c r="G861" s="137">
        <f t="shared" si="3"/>
        <v>7</v>
      </c>
      <c r="H861" s="137"/>
      <c r="I861" s="137"/>
      <c r="J861" s="135"/>
      <c r="K861" s="135"/>
      <c r="L861" s="135"/>
      <c r="M861" s="135"/>
      <c r="N861" s="135"/>
      <c r="O861" s="135"/>
      <c r="P861" s="135"/>
      <c r="Q861" s="135"/>
      <c r="R861" s="135"/>
      <c r="S861" s="135"/>
      <c r="T861" s="135"/>
      <c r="U861" s="135"/>
      <c r="V861" s="135"/>
      <c r="W861" s="135"/>
      <c r="X861" s="135"/>
      <c r="Y861" s="135"/>
      <c r="Z861" s="135"/>
    </row>
    <row r="862" spans="1:26" ht="12.75">
      <c r="A862" s="136" t="s">
        <v>8</v>
      </c>
      <c r="B862" s="136" t="s">
        <v>587</v>
      </c>
      <c r="C862" s="136" t="s">
        <v>623</v>
      </c>
      <c r="D862" s="136" t="s">
        <v>7533</v>
      </c>
      <c r="E862" s="136" t="s">
        <v>594</v>
      </c>
      <c r="F862" s="136">
        <v>28</v>
      </c>
      <c r="G862" s="137">
        <f t="shared" si="3"/>
        <v>8</v>
      </c>
      <c r="H862" s="137"/>
      <c r="I862" s="137"/>
      <c r="J862" s="135"/>
      <c r="K862" s="135"/>
      <c r="L862" s="135"/>
      <c r="M862" s="135"/>
      <c r="N862" s="135"/>
      <c r="O862" s="135"/>
      <c r="P862" s="135"/>
      <c r="Q862" s="135"/>
      <c r="R862" s="135"/>
      <c r="S862" s="135"/>
      <c r="T862" s="135"/>
      <c r="U862" s="135"/>
      <c r="V862" s="135"/>
      <c r="W862" s="135"/>
      <c r="X862" s="135"/>
      <c r="Y862" s="135"/>
      <c r="Z862" s="135"/>
    </row>
    <row r="863" spans="1:26" ht="12.75">
      <c r="A863" s="136" t="s">
        <v>8</v>
      </c>
      <c r="B863" s="136" t="s">
        <v>587</v>
      </c>
      <c r="C863" s="136" t="s">
        <v>623</v>
      </c>
      <c r="D863" s="136" t="s">
        <v>7546</v>
      </c>
      <c r="E863" s="136" t="s">
        <v>86</v>
      </c>
      <c r="F863" s="136">
        <v>22</v>
      </c>
      <c r="G863" s="137">
        <f t="shared" si="3"/>
        <v>9</v>
      </c>
      <c r="H863" s="137"/>
      <c r="I863" s="137"/>
      <c r="J863" s="135"/>
      <c r="K863" s="135"/>
      <c r="L863" s="135"/>
      <c r="M863" s="135"/>
      <c r="N863" s="135"/>
      <c r="O863" s="135"/>
      <c r="P863" s="135"/>
      <c r="Q863" s="135"/>
      <c r="R863" s="135"/>
      <c r="S863" s="135"/>
      <c r="T863" s="135"/>
      <c r="U863" s="135"/>
      <c r="V863" s="135"/>
      <c r="W863" s="135"/>
      <c r="X863" s="135"/>
      <c r="Y863" s="135"/>
      <c r="Z863" s="135"/>
    </row>
    <row r="864" spans="1:26" ht="12.75">
      <c r="A864" s="136" t="s">
        <v>8</v>
      </c>
      <c r="B864" s="136" t="s">
        <v>587</v>
      </c>
      <c r="C864" s="136" t="s">
        <v>623</v>
      </c>
      <c r="D864" s="136" t="s">
        <v>7491</v>
      </c>
      <c r="E864" s="136" t="s">
        <v>615</v>
      </c>
      <c r="F864" s="136">
        <v>20</v>
      </c>
      <c r="G864" s="137">
        <f t="shared" si="3"/>
        <v>10</v>
      </c>
      <c r="H864" s="137"/>
      <c r="I864" s="137"/>
      <c r="J864" s="135"/>
      <c r="K864" s="135"/>
      <c r="L864" s="135"/>
      <c r="M864" s="135"/>
      <c r="N864" s="135"/>
      <c r="O864" s="135"/>
      <c r="P864" s="135"/>
      <c r="Q864" s="135"/>
      <c r="R864" s="135"/>
      <c r="S864" s="135"/>
      <c r="T864" s="135"/>
      <c r="U864" s="135"/>
      <c r="V864" s="135"/>
      <c r="W864" s="135"/>
      <c r="X864" s="135"/>
      <c r="Y864" s="135"/>
      <c r="Z864" s="135"/>
    </row>
    <row r="865" spans="1:26" ht="12.75">
      <c r="A865" s="136" t="s">
        <v>8</v>
      </c>
      <c r="B865" s="136" t="s">
        <v>587</v>
      </c>
      <c r="C865" s="136" t="s">
        <v>623</v>
      </c>
      <c r="D865" s="136" t="s">
        <v>7537</v>
      </c>
      <c r="E865" s="136" t="s">
        <v>86</v>
      </c>
      <c r="F865" s="136">
        <v>20</v>
      </c>
      <c r="G865" s="137">
        <f t="shared" si="3"/>
        <v>11</v>
      </c>
      <c r="H865" s="137"/>
      <c r="I865" s="137"/>
      <c r="J865" s="135"/>
      <c r="K865" s="135"/>
      <c r="L865" s="135"/>
      <c r="M865" s="135"/>
      <c r="N865" s="135"/>
      <c r="O865" s="135"/>
      <c r="P865" s="135"/>
      <c r="Q865" s="135"/>
      <c r="R865" s="135"/>
      <c r="S865" s="135"/>
      <c r="T865" s="135"/>
      <c r="U865" s="135"/>
      <c r="V865" s="135"/>
      <c r="W865" s="135"/>
      <c r="X865" s="135"/>
      <c r="Y865" s="135"/>
      <c r="Z865" s="135"/>
    </row>
    <row r="866" spans="1:26" ht="12.75">
      <c r="A866" s="136" t="s">
        <v>8</v>
      </c>
      <c r="B866" s="136" t="s">
        <v>587</v>
      </c>
      <c r="C866" s="136" t="s">
        <v>623</v>
      </c>
      <c r="D866" s="136" t="s">
        <v>107</v>
      </c>
      <c r="E866" s="136" t="s">
        <v>615</v>
      </c>
      <c r="F866" s="136">
        <v>10</v>
      </c>
      <c r="G866" s="137">
        <f t="shared" si="3"/>
        <v>12</v>
      </c>
      <c r="H866" s="137"/>
      <c r="I866" s="137"/>
      <c r="J866" s="135"/>
      <c r="K866" s="135"/>
      <c r="L866" s="135"/>
      <c r="M866" s="135"/>
      <c r="N866" s="135"/>
      <c r="O866" s="135"/>
      <c r="P866" s="135"/>
      <c r="Q866" s="135"/>
      <c r="R866" s="135"/>
      <c r="S866" s="135"/>
      <c r="T866" s="135"/>
      <c r="U866" s="135"/>
      <c r="V866" s="135"/>
      <c r="W866" s="135"/>
      <c r="X866" s="135"/>
      <c r="Y866" s="135"/>
      <c r="Z866" s="135"/>
    </row>
    <row r="867" spans="1:26" ht="12.75">
      <c r="A867" s="136" t="s">
        <v>8</v>
      </c>
      <c r="B867" s="136" t="s">
        <v>587</v>
      </c>
      <c r="C867" s="136" t="s">
        <v>623</v>
      </c>
      <c r="D867" s="136" t="s">
        <v>7531</v>
      </c>
      <c r="E867" s="136" t="s">
        <v>615</v>
      </c>
      <c r="F867" s="136">
        <v>10</v>
      </c>
      <c r="G867" s="137">
        <f t="shared" si="3"/>
        <v>13</v>
      </c>
      <c r="H867" s="137"/>
      <c r="I867" s="137"/>
      <c r="J867" s="135"/>
      <c r="K867" s="135"/>
      <c r="L867" s="135"/>
      <c r="M867" s="135"/>
      <c r="N867" s="135"/>
      <c r="O867" s="135"/>
      <c r="P867" s="135"/>
      <c r="Q867" s="135"/>
      <c r="R867" s="135"/>
      <c r="S867" s="135"/>
      <c r="T867" s="135"/>
      <c r="U867" s="135"/>
      <c r="V867" s="135"/>
      <c r="W867" s="135"/>
      <c r="X867" s="135"/>
      <c r="Y867" s="135"/>
      <c r="Z867" s="135"/>
    </row>
    <row r="868" spans="1:26" ht="12.75">
      <c r="A868" s="136" t="s">
        <v>8</v>
      </c>
      <c r="B868" s="136" t="s">
        <v>587</v>
      </c>
      <c r="C868" s="136" t="s">
        <v>623</v>
      </c>
      <c r="D868" s="136" t="s">
        <v>595</v>
      </c>
      <c r="E868" s="136" t="s">
        <v>594</v>
      </c>
      <c r="F868" s="136">
        <v>5</v>
      </c>
      <c r="G868" s="137">
        <f t="shared" si="3"/>
        <v>14</v>
      </c>
      <c r="H868" s="137"/>
      <c r="I868" s="137"/>
      <c r="J868" s="135"/>
      <c r="K868" s="135"/>
      <c r="L868" s="135"/>
      <c r="M868" s="135"/>
      <c r="N868" s="135"/>
      <c r="O868" s="135"/>
      <c r="P868" s="135"/>
      <c r="Q868" s="135"/>
      <c r="R868" s="135"/>
      <c r="S868" s="135"/>
      <c r="T868" s="135"/>
      <c r="U868" s="135"/>
      <c r="V868" s="135"/>
      <c r="W868" s="135"/>
      <c r="X868" s="135"/>
      <c r="Y868" s="135"/>
      <c r="Z868" s="135"/>
    </row>
    <row r="869" spans="1:26" ht="12.75">
      <c r="A869" s="136" t="s">
        <v>8</v>
      </c>
      <c r="B869" s="136" t="s">
        <v>587</v>
      </c>
      <c r="C869" s="136" t="s">
        <v>554</v>
      </c>
      <c r="D869" s="136" t="s">
        <v>7545</v>
      </c>
      <c r="E869" s="136" t="s">
        <v>86</v>
      </c>
      <c r="F869" s="136">
        <v>436</v>
      </c>
      <c r="G869" s="137">
        <f t="shared" si="3"/>
        <v>1</v>
      </c>
      <c r="H869" s="137"/>
      <c r="I869" s="137"/>
      <c r="J869" s="135"/>
      <c r="K869" s="135"/>
      <c r="L869" s="135"/>
      <c r="M869" s="135"/>
      <c r="N869" s="135"/>
      <c r="O869" s="135"/>
      <c r="P869" s="135"/>
      <c r="Q869" s="135"/>
      <c r="R869" s="135"/>
      <c r="S869" s="135"/>
      <c r="T869" s="135"/>
      <c r="U869" s="135"/>
      <c r="V869" s="135"/>
      <c r="W869" s="135"/>
      <c r="X869" s="135"/>
      <c r="Y869" s="135"/>
      <c r="Z869" s="135"/>
    </row>
    <row r="870" spans="1:26" ht="12.75">
      <c r="A870" s="136" t="s">
        <v>8</v>
      </c>
      <c r="B870" s="136" t="s">
        <v>587</v>
      </c>
      <c r="C870" s="136" t="s">
        <v>554</v>
      </c>
      <c r="D870" s="136" t="s">
        <v>7546</v>
      </c>
      <c r="E870" s="136" t="s">
        <v>86</v>
      </c>
      <c r="F870" s="136">
        <v>110</v>
      </c>
      <c r="G870" s="137">
        <f t="shared" si="3"/>
        <v>2</v>
      </c>
      <c r="H870" s="137"/>
      <c r="I870" s="137"/>
      <c r="J870" s="135"/>
      <c r="K870" s="135"/>
      <c r="L870" s="135"/>
      <c r="M870" s="135"/>
      <c r="N870" s="135"/>
      <c r="O870" s="135"/>
      <c r="P870" s="135"/>
      <c r="Q870" s="135"/>
      <c r="R870" s="135"/>
      <c r="S870" s="135"/>
      <c r="T870" s="135"/>
      <c r="U870" s="135"/>
      <c r="V870" s="135"/>
      <c r="W870" s="135"/>
      <c r="X870" s="135"/>
      <c r="Y870" s="135"/>
      <c r="Z870" s="135"/>
    </row>
    <row r="871" spans="1:26" ht="12.75">
      <c r="A871" s="136" t="s">
        <v>8</v>
      </c>
      <c r="B871" s="136" t="s">
        <v>587</v>
      </c>
      <c r="C871" s="136" t="s">
        <v>554</v>
      </c>
      <c r="D871" s="136" t="s">
        <v>7544</v>
      </c>
      <c r="E871" s="136" t="s">
        <v>615</v>
      </c>
      <c r="F871" s="136">
        <v>57</v>
      </c>
      <c r="G871" s="137">
        <f t="shared" si="3"/>
        <v>3</v>
      </c>
      <c r="H871" s="137"/>
      <c r="I871" s="137"/>
      <c r="J871" s="135"/>
      <c r="K871" s="135"/>
      <c r="L871" s="135"/>
      <c r="M871" s="135"/>
      <c r="N871" s="135"/>
      <c r="O871" s="135"/>
      <c r="P871" s="135"/>
      <c r="Q871" s="135"/>
      <c r="R871" s="135"/>
      <c r="S871" s="135"/>
      <c r="T871" s="135"/>
      <c r="U871" s="135"/>
      <c r="V871" s="135"/>
      <c r="W871" s="135"/>
      <c r="X871" s="135"/>
      <c r="Y871" s="135"/>
      <c r="Z871" s="135"/>
    </row>
    <row r="872" spans="1:26" ht="12.75">
      <c r="A872" s="136" t="s">
        <v>8</v>
      </c>
      <c r="B872" s="136" t="s">
        <v>587</v>
      </c>
      <c r="C872" s="136" t="s">
        <v>554</v>
      </c>
      <c r="D872" s="136" t="s">
        <v>7530</v>
      </c>
      <c r="E872" s="136" t="s">
        <v>85</v>
      </c>
      <c r="F872" s="136">
        <v>54</v>
      </c>
      <c r="G872" s="137">
        <f t="shared" si="3"/>
        <v>4</v>
      </c>
      <c r="H872" s="137"/>
      <c r="I872" s="137"/>
      <c r="J872" s="135"/>
      <c r="K872" s="135"/>
      <c r="L872" s="135"/>
      <c r="M872" s="135"/>
      <c r="N872" s="135"/>
      <c r="O872" s="135"/>
      <c r="P872" s="135"/>
      <c r="Q872" s="135"/>
      <c r="R872" s="135"/>
      <c r="S872" s="135"/>
      <c r="T872" s="135"/>
      <c r="U872" s="135"/>
      <c r="V872" s="135"/>
      <c r="W872" s="135"/>
      <c r="X872" s="135"/>
      <c r="Y872" s="135"/>
      <c r="Z872" s="135"/>
    </row>
    <row r="873" spans="1:26" ht="12.75">
      <c r="A873" s="136" t="s">
        <v>8</v>
      </c>
      <c r="B873" s="136" t="s">
        <v>587</v>
      </c>
      <c r="C873" s="136" t="s">
        <v>554</v>
      </c>
      <c r="D873" s="136" t="s">
        <v>7551</v>
      </c>
      <c r="E873" s="136" t="s">
        <v>615</v>
      </c>
      <c r="F873" s="136">
        <v>35</v>
      </c>
      <c r="G873" s="137">
        <f t="shared" si="3"/>
        <v>5</v>
      </c>
      <c r="H873" s="137"/>
      <c r="I873" s="137"/>
      <c r="J873" s="135"/>
      <c r="K873" s="135"/>
      <c r="L873" s="135"/>
      <c r="M873" s="135"/>
      <c r="N873" s="135"/>
      <c r="O873" s="135"/>
      <c r="P873" s="135"/>
      <c r="Q873" s="135"/>
      <c r="R873" s="135"/>
      <c r="S873" s="135"/>
      <c r="T873" s="135"/>
      <c r="U873" s="135"/>
      <c r="V873" s="135"/>
      <c r="W873" s="135"/>
      <c r="X873" s="135"/>
      <c r="Y873" s="135"/>
      <c r="Z873" s="135"/>
    </row>
    <row r="874" spans="1:26" ht="12.75">
      <c r="A874" s="136" t="s">
        <v>8</v>
      </c>
      <c r="B874" s="136" t="s">
        <v>587</v>
      </c>
      <c r="C874" s="136" t="s">
        <v>554</v>
      </c>
      <c r="D874" s="136" t="s">
        <v>7531</v>
      </c>
      <c r="E874" s="136" t="s">
        <v>615</v>
      </c>
      <c r="F874" s="136">
        <v>20</v>
      </c>
      <c r="G874" s="137">
        <f t="shared" si="3"/>
        <v>6</v>
      </c>
      <c r="H874" s="137"/>
      <c r="I874" s="137"/>
      <c r="J874" s="135"/>
      <c r="K874" s="135"/>
      <c r="L874" s="135"/>
      <c r="M874" s="135"/>
      <c r="N874" s="135"/>
      <c r="O874" s="135"/>
      <c r="P874" s="135"/>
      <c r="Q874" s="135"/>
      <c r="R874" s="135"/>
      <c r="S874" s="135"/>
      <c r="T874" s="135"/>
      <c r="U874" s="135"/>
      <c r="V874" s="135"/>
      <c r="W874" s="135"/>
      <c r="X874" s="135"/>
      <c r="Y874" s="135"/>
      <c r="Z874" s="135"/>
    </row>
    <row r="875" spans="1:26" ht="12.75">
      <c r="A875" s="136" t="s">
        <v>8</v>
      </c>
      <c r="B875" s="136" t="s">
        <v>587</v>
      </c>
      <c r="C875" s="136" t="s">
        <v>554</v>
      </c>
      <c r="D875" s="136" t="s">
        <v>165</v>
      </c>
      <c r="E875" s="136" t="s">
        <v>615</v>
      </c>
      <c r="F875" s="136">
        <v>10</v>
      </c>
      <c r="G875" s="137">
        <f t="shared" si="3"/>
        <v>7</v>
      </c>
      <c r="H875" s="137"/>
      <c r="I875" s="137"/>
      <c r="J875" s="135"/>
      <c r="K875" s="135"/>
      <c r="L875" s="135"/>
      <c r="M875" s="135"/>
      <c r="N875" s="135"/>
      <c r="O875" s="135"/>
      <c r="P875" s="135"/>
      <c r="Q875" s="135"/>
      <c r="R875" s="135"/>
      <c r="S875" s="135"/>
      <c r="T875" s="135"/>
      <c r="U875" s="135"/>
      <c r="V875" s="135"/>
      <c r="W875" s="135"/>
      <c r="X875" s="135"/>
      <c r="Y875" s="135"/>
      <c r="Z875" s="135"/>
    </row>
    <row r="876" spans="1:26" ht="12.75">
      <c r="A876" s="136" t="s">
        <v>8</v>
      </c>
      <c r="B876" s="136" t="s">
        <v>587</v>
      </c>
      <c r="C876" s="136" t="s">
        <v>554</v>
      </c>
      <c r="D876" s="136" t="s">
        <v>7491</v>
      </c>
      <c r="E876" s="136" t="s">
        <v>615</v>
      </c>
      <c r="F876" s="136">
        <v>8</v>
      </c>
      <c r="G876" s="137">
        <f t="shared" si="3"/>
        <v>8</v>
      </c>
      <c r="H876" s="137"/>
      <c r="I876" s="137"/>
      <c r="J876" s="135"/>
      <c r="K876" s="135"/>
      <c r="L876" s="135"/>
      <c r="M876" s="135"/>
      <c r="N876" s="135"/>
      <c r="O876" s="135"/>
      <c r="P876" s="135"/>
      <c r="Q876" s="135"/>
      <c r="R876" s="135"/>
      <c r="S876" s="135"/>
      <c r="T876" s="135"/>
      <c r="U876" s="135"/>
      <c r="V876" s="135"/>
      <c r="W876" s="135"/>
      <c r="X876" s="135"/>
      <c r="Y876" s="135"/>
      <c r="Z876" s="135"/>
    </row>
    <row r="877" spans="1:26" ht="12.75">
      <c r="A877" s="136" t="s">
        <v>8</v>
      </c>
      <c r="B877" s="136" t="s">
        <v>587</v>
      </c>
      <c r="C877" s="136" t="s">
        <v>554</v>
      </c>
      <c r="D877" s="136" t="s">
        <v>7533</v>
      </c>
      <c r="E877" s="136" t="s">
        <v>594</v>
      </c>
      <c r="F877" s="136">
        <v>8</v>
      </c>
      <c r="G877" s="137">
        <f t="shared" si="3"/>
        <v>9</v>
      </c>
      <c r="H877" s="137"/>
      <c r="I877" s="137"/>
      <c r="J877" s="135"/>
      <c r="K877" s="135"/>
      <c r="L877" s="135"/>
      <c r="M877" s="135"/>
      <c r="N877" s="135"/>
      <c r="O877" s="135"/>
      <c r="P877" s="135"/>
      <c r="Q877" s="135"/>
      <c r="R877" s="135"/>
      <c r="S877" s="135"/>
      <c r="T877" s="135"/>
      <c r="U877" s="135"/>
      <c r="V877" s="135"/>
      <c r="W877" s="135"/>
      <c r="X877" s="135"/>
      <c r="Y877" s="135"/>
      <c r="Z877" s="135"/>
    </row>
    <row r="878" spans="1:26" ht="12.75">
      <c r="A878" s="136" t="s">
        <v>8</v>
      </c>
      <c r="B878" s="136" t="s">
        <v>587</v>
      </c>
      <c r="C878" s="136" t="s">
        <v>554</v>
      </c>
      <c r="D878" s="136" t="s">
        <v>1665</v>
      </c>
      <c r="E878" s="136" t="s">
        <v>615</v>
      </c>
      <c r="F878" s="136">
        <v>4</v>
      </c>
      <c r="G878" s="137">
        <f t="shared" si="3"/>
        <v>10</v>
      </c>
      <c r="H878" s="137"/>
      <c r="I878" s="137"/>
      <c r="J878" s="135"/>
      <c r="K878" s="135"/>
      <c r="L878" s="135"/>
      <c r="M878" s="135"/>
      <c r="N878" s="135"/>
      <c r="O878" s="135"/>
      <c r="P878" s="135"/>
      <c r="Q878" s="135"/>
      <c r="R878" s="135"/>
      <c r="S878" s="135"/>
      <c r="T878" s="135"/>
      <c r="U878" s="135"/>
      <c r="V878" s="135"/>
      <c r="W878" s="135"/>
      <c r="X878" s="135"/>
      <c r="Y878" s="135"/>
      <c r="Z878" s="135"/>
    </row>
    <row r="879" spans="1:26" ht="12.75">
      <c r="A879" s="136" t="s">
        <v>8</v>
      </c>
      <c r="B879" s="136" t="s">
        <v>587</v>
      </c>
      <c r="C879" s="136" t="s">
        <v>554</v>
      </c>
      <c r="D879" s="136" t="s">
        <v>139</v>
      </c>
      <c r="E879" s="136" t="s">
        <v>594</v>
      </c>
      <c r="F879" s="136">
        <v>3</v>
      </c>
      <c r="G879" s="137">
        <f t="shared" si="3"/>
        <v>11</v>
      </c>
      <c r="H879" s="137"/>
      <c r="I879" s="137"/>
      <c r="J879" s="135"/>
      <c r="K879" s="135"/>
      <c r="L879" s="135"/>
      <c r="M879" s="135"/>
      <c r="N879" s="135"/>
      <c r="O879" s="135"/>
      <c r="P879" s="135"/>
      <c r="Q879" s="135"/>
      <c r="R879" s="135"/>
      <c r="S879" s="135"/>
      <c r="T879" s="135"/>
      <c r="U879" s="135"/>
      <c r="V879" s="135"/>
      <c r="W879" s="135"/>
      <c r="X879" s="135"/>
      <c r="Y879" s="135"/>
      <c r="Z879" s="135"/>
    </row>
    <row r="880" spans="1:26" ht="12.75">
      <c r="A880" s="136" t="s">
        <v>8</v>
      </c>
      <c r="B880" s="136" t="s">
        <v>587</v>
      </c>
      <c r="C880" s="136" t="s">
        <v>598</v>
      </c>
      <c r="D880" s="136" t="s">
        <v>165</v>
      </c>
      <c r="E880" s="136" t="s">
        <v>615</v>
      </c>
      <c r="F880" s="136">
        <v>230</v>
      </c>
      <c r="G880" s="137">
        <f t="shared" si="3"/>
        <v>1</v>
      </c>
      <c r="H880" s="137"/>
      <c r="I880" s="137"/>
      <c r="J880" s="135"/>
      <c r="K880" s="135"/>
      <c r="L880" s="135"/>
      <c r="M880" s="135"/>
      <c r="N880" s="135"/>
      <c r="O880" s="135"/>
      <c r="P880" s="135"/>
      <c r="Q880" s="135"/>
      <c r="R880" s="135"/>
      <c r="S880" s="135"/>
      <c r="T880" s="135"/>
      <c r="U880" s="135"/>
      <c r="V880" s="135"/>
      <c r="W880" s="135"/>
      <c r="X880" s="135"/>
      <c r="Y880" s="135"/>
      <c r="Z880" s="135"/>
    </row>
    <row r="881" spans="1:26" ht="12.75">
      <c r="A881" s="136" t="s">
        <v>8</v>
      </c>
      <c r="B881" s="136" t="s">
        <v>587</v>
      </c>
      <c r="C881" s="136" t="s">
        <v>598</v>
      </c>
      <c r="D881" s="136" t="s">
        <v>98</v>
      </c>
      <c r="E881" s="136" t="s">
        <v>615</v>
      </c>
      <c r="F881" s="136">
        <v>190</v>
      </c>
      <c r="G881" s="137">
        <f t="shared" si="3"/>
        <v>2</v>
      </c>
      <c r="H881" s="137"/>
      <c r="I881" s="137"/>
      <c r="J881" s="135"/>
      <c r="K881" s="135"/>
      <c r="L881" s="135"/>
      <c r="M881" s="135"/>
      <c r="N881" s="135"/>
      <c r="O881" s="135"/>
      <c r="P881" s="135"/>
      <c r="Q881" s="135"/>
      <c r="R881" s="135"/>
      <c r="S881" s="135"/>
      <c r="T881" s="135"/>
      <c r="U881" s="135"/>
      <c r="V881" s="135"/>
      <c r="W881" s="135"/>
      <c r="X881" s="135"/>
      <c r="Y881" s="135"/>
      <c r="Z881" s="135"/>
    </row>
    <row r="882" spans="1:26" ht="12.75">
      <c r="A882" s="136" t="s">
        <v>8</v>
      </c>
      <c r="B882" s="136" t="s">
        <v>587</v>
      </c>
      <c r="C882" s="136" t="s">
        <v>598</v>
      </c>
      <c r="D882" s="136" t="s">
        <v>7551</v>
      </c>
      <c r="E882" s="136" t="s">
        <v>615</v>
      </c>
      <c r="F882" s="136">
        <v>110</v>
      </c>
      <c r="G882" s="137">
        <f t="shared" si="3"/>
        <v>3</v>
      </c>
      <c r="H882" s="137"/>
      <c r="I882" s="137"/>
      <c r="J882" s="135"/>
      <c r="K882" s="135"/>
      <c r="L882" s="135"/>
      <c r="M882" s="135"/>
      <c r="N882" s="135"/>
      <c r="O882" s="135"/>
      <c r="P882" s="135"/>
      <c r="Q882" s="135"/>
      <c r="R882" s="135"/>
      <c r="S882" s="135"/>
      <c r="T882" s="135"/>
      <c r="U882" s="135"/>
      <c r="V882" s="135"/>
      <c r="W882" s="135"/>
      <c r="X882" s="135"/>
      <c r="Y882" s="135"/>
      <c r="Z882" s="135"/>
    </row>
    <row r="883" spans="1:26" ht="12.75">
      <c r="A883" s="136" t="s">
        <v>8</v>
      </c>
      <c r="B883" s="136" t="s">
        <v>587</v>
      </c>
      <c r="C883" s="136" t="s">
        <v>598</v>
      </c>
      <c r="D883" s="136" t="s">
        <v>1665</v>
      </c>
      <c r="E883" s="136" t="s">
        <v>615</v>
      </c>
      <c r="F883" s="136">
        <v>60</v>
      </c>
      <c r="G883" s="137">
        <f t="shared" si="3"/>
        <v>4</v>
      </c>
      <c r="H883" s="137"/>
      <c r="I883" s="137"/>
      <c r="J883" s="135"/>
      <c r="K883" s="135"/>
      <c r="L883" s="135"/>
      <c r="M883" s="135"/>
      <c r="N883" s="135"/>
      <c r="O883" s="135"/>
      <c r="P883" s="135"/>
      <c r="Q883" s="135"/>
      <c r="R883" s="135"/>
      <c r="S883" s="135"/>
      <c r="T883" s="135"/>
      <c r="U883" s="135"/>
      <c r="V883" s="135"/>
      <c r="W883" s="135"/>
      <c r="X883" s="135"/>
      <c r="Y883" s="135"/>
      <c r="Z883" s="135"/>
    </row>
    <row r="884" spans="1:26" ht="12.75">
      <c r="A884" s="136" t="s">
        <v>8</v>
      </c>
      <c r="B884" s="136" t="s">
        <v>587</v>
      </c>
      <c r="C884" s="136" t="s">
        <v>598</v>
      </c>
      <c r="D884" s="136" t="s">
        <v>7491</v>
      </c>
      <c r="E884" s="136" t="s">
        <v>615</v>
      </c>
      <c r="F884" s="136">
        <v>50</v>
      </c>
      <c r="G884" s="137">
        <f t="shared" si="3"/>
        <v>5</v>
      </c>
      <c r="H884" s="137"/>
      <c r="I884" s="137"/>
      <c r="J884" s="135"/>
      <c r="K884" s="135"/>
      <c r="L884" s="135"/>
      <c r="M884" s="135"/>
      <c r="N884" s="135"/>
      <c r="O884" s="135"/>
      <c r="P884" s="135"/>
      <c r="Q884" s="135"/>
      <c r="R884" s="135"/>
      <c r="S884" s="135"/>
      <c r="T884" s="135"/>
      <c r="U884" s="135"/>
      <c r="V884" s="135"/>
      <c r="W884" s="135"/>
      <c r="X884" s="135"/>
      <c r="Y884" s="135"/>
      <c r="Z884" s="135"/>
    </row>
    <row r="885" spans="1:26" ht="12.75">
      <c r="A885" s="136" t="s">
        <v>8</v>
      </c>
      <c r="B885" s="136" t="s">
        <v>587</v>
      </c>
      <c r="C885" s="136" t="s">
        <v>598</v>
      </c>
      <c r="D885" s="136" t="s">
        <v>7533</v>
      </c>
      <c r="E885" s="136" t="s">
        <v>594</v>
      </c>
      <c r="F885" s="136">
        <v>44</v>
      </c>
      <c r="G885" s="137">
        <f t="shared" si="3"/>
        <v>6</v>
      </c>
      <c r="H885" s="137"/>
      <c r="I885" s="137"/>
      <c r="J885" s="135"/>
      <c r="K885" s="135"/>
      <c r="L885" s="135"/>
      <c r="M885" s="135"/>
      <c r="N885" s="135"/>
      <c r="O885" s="135"/>
      <c r="P885" s="135"/>
      <c r="Q885" s="135"/>
      <c r="R885" s="135"/>
      <c r="S885" s="135"/>
      <c r="T885" s="135"/>
      <c r="U885" s="135"/>
      <c r="V885" s="135"/>
      <c r="W885" s="135"/>
      <c r="X885" s="135"/>
      <c r="Y885" s="135"/>
      <c r="Z885" s="135"/>
    </row>
    <row r="886" spans="1:26" ht="12.75">
      <c r="A886" s="136" t="s">
        <v>8</v>
      </c>
      <c r="B886" s="136" t="s">
        <v>587</v>
      </c>
      <c r="C886" s="136" t="s">
        <v>598</v>
      </c>
      <c r="D886" s="136" t="s">
        <v>107</v>
      </c>
      <c r="E886" s="136" t="s">
        <v>615</v>
      </c>
      <c r="F886" s="136">
        <v>40</v>
      </c>
      <c r="G886" s="137">
        <f t="shared" si="3"/>
        <v>7</v>
      </c>
      <c r="H886" s="137"/>
      <c r="I886" s="137"/>
      <c r="J886" s="135"/>
      <c r="K886" s="135"/>
      <c r="L886" s="135"/>
      <c r="M886" s="135"/>
      <c r="N886" s="135"/>
      <c r="O886" s="135"/>
      <c r="P886" s="135"/>
      <c r="Q886" s="135"/>
      <c r="R886" s="135"/>
      <c r="S886" s="135"/>
      <c r="T886" s="135"/>
      <c r="U886" s="135"/>
      <c r="V886" s="135"/>
      <c r="W886" s="135"/>
      <c r="X886" s="135"/>
      <c r="Y886" s="135"/>
      <c r="Z886" s="135"/>
    </row>
    <row r="887" spans="1:26" ht="12.75">
      <c r="A887" s="136" t="s">
        <v>8</v>
      </c>
      <c r="B887" s="136" t="s">
        <v>587</v>
      </c>
      <c r="C887" s="136" t="s">
        <v>598</v>
      </c>
      <c r="D887" s="136" t="s">
        <v>7531</v>
      </c>
      <c r="E887" s="136" t="s">
        <v>615</v>
      </c>
      <c r="F887" s="136">
        <v>40</v>
      </c>
      <c r="G887" s="137">
        <f t="shared" si="3"/>
        <v>8</v>
      </c>
      <c r="H887" s="137"/>
      <c r="I887" s="137"/>
      <c r="J887" s="135"/>
      <c r="K887" s="135"/>
      <c r="L887" s="135"/>
      <c r="M887" s="135"/>
      <c r="N887" s="135"/>
      <c r="O887" s="135"/>
      <c r="P887" s="135"/>
      <c r="Q887" s="135"/>
      <c r="R887" s="135"/>
      <c r="S887" s="135"/>
      <c r="T887" s="135"/>
      <c r="U887" s="135"/>
      <c r="V887" s="135"/>
      <c r="W887" s="135"/>
      <c r="X887" s="135"/>
      <c r="Y887" s="135"/>
      <c r="Z887" s="135"/>
    </row>
    <row r="888" spans="1:26" ht="12.75">
      <c r="A888" s="136" t="s">
        <v>8</v>
      </c>
      <c r="B888" s="136" t="s">
        <v>587</v>
      </c>
      <c r="C888" s="136" t="s">
        <v>598</v>
      </c>
      <c r="D888" s="136" t="s">
        <v>139</v>
      </c>
      <c r="E888" s="136" t="s">
        <v>594</v>
      </c>
      <c r="F888" s="136">
        <v>5</v>
      </c>
      <c r="G888" s="137">
        <f t="shared" si="3"/>
        <v>9</v>
      </c>
      <c r="H888" s="137"/>
      <c r="I888" s="137"/>
      <c r="J888" s="135"/>
      <c r="K888" s="135"/>
      <c r="L888" s="135"/>
      <c r="M888" s="135"/>
      <c r="N888" s="135"/>
      <c r="O888" s="135"/>
      <c r="P888" s="135"/>
      <c r="Q888" s="135"/>
      <c r="R888" s="135"/>
      <c r="S888" s="135"/>
      <c r="T888" s="135"/>
      <c r="U888" s="135"/>
      <c r="V888" s="135"/>
      <c r="W888" s="135"/>
      <c r="X888" s="135"/>
      <c r="Y888" s="135"/>
      <c r="Z888" s="135"/>
    </row>
    <row r="889" spans="1:26" ht="12.75">
      <c r="A889" s="136" t="s">
        <v>8</v>
      </c>
      <c r="B889" s="136" t="s">
        <v>7553</v>
      </c>
      <c r="C889" s="136" t="s">
        <v>7554</v>
      </c>
      <c r="D889" s="136" t="s">
        <v>139</v>
      </c>
      <c r="E889" s="136" t="s">
        <v>594</v>
      </c>
      <c r="F889" s="136">
        <v>485</v>
      </c>
      <c r="G889" s="137">
        <f t="shared" si="3"/>
        <v>1</v>
      </c>
      <c r="H889" s="137"/>
      <c r="I889" s="137"/>
      <c r="J889" s="135"/>
      <c r="K889" s="135"/>
      <c r="L889" s="135"/>
      <c r="M889" s="135"/>
      <c r="N889" s="135"/>
      <c r="O889" s="135"/>
      <c r="P889" s="135"/>
      <c r="Q889" s="135"/>
      <c r="R889" s="135"/>
      <c r="S889" s="135"/>
      <c r="T889" s="135"/>
      <c r="U889" s="135"/>
      <c r="V889" s="135"/>
      <c r="W889" s="135"/>
      <c r="X889" s="135"/>
      <c r="Y889" s="135"/>
      <c r="Z889" s="135"/>
    </row>
    <row r="890" spans="1:26" ht="12.75">
      <c r="A890" s="136" t="s">
        <v>8</v>
      </c>
      <c r="B890" s="136" t="s">
        <v>7553</v>
      </c>
      <c r="C890" s="136" t="s">
        <v>7554</v>
      </c>
      <c r="D890" s="136" t="s">
        <v>7544</v>
      </c>
      <c r="E890" s="136" t="s">
        <v>615</v>
      </c>
      <c r="F890" s="136">
        <v>235</v>
      </c>
      <c r="G890" s="137">
        <f t="shared" si="3"/>
        <v>2</v>
      </c>
      <c r="H890" s="137"/>
      <c r="I890" s="137"/>
      <c r="J890" s="135"/>
      <c r="K890" s="135"/>
      <c r="L890" s="135"/>
      <c r="M890" s="135"/>
      <c r="N890" s="135"/>
      <c r="O890" s="135"/>
      <c r="P890" s="135"/>
      <c r="Q890" s="135"/>
      <c r="R890" s="135"/>
      <c r="S890" s="135"/>
      <c r="T890" s="135"/>
      <c r="U890" s="135"/>
      <c r="V890" s="135"/>
      <c r="W890" s="135"/>
      <c r="X890" s="135"/>
      <c r="Y890" s="135"/>
      <c r="Z890" s="135"/>
    </row>
    <row r="891" spans="1:26" ht="12.75">
      <c r="A891" s="136" t="s">
        <v>8</v>
      </c>
      <c r="B891" s="136" t="s">
        <v>7553</v>
      </c>
      <c r="C891" s="136" t="s">
        <v>7554</v>
      </c>
      <c r="D891" s="136" t="s">
        <v>7530</v>
      </c>
      <c r="E891" s="136" t="s">
        <v>85</v>
      </c>
      <c r="F891" s="136">
        <v>196</v>
      </c>
      <c r="G891" s="137">
        <f t="shared" si="3"/>
        <v>3</v>
      </c>
      <c r="H891" s="137"/>
      <c r="I891" s="137"/>
      <c r="J891" s="135"/>
      <c r="K891" s="135"/>
      <c r="L891" s="135"/>
      <c r="M891" s="135"/>
      <c r="N891" s="135"/>
      <c r="O891" s="135"/>
      <c r="P891" s="135"/>
      <c r="Q891" s="135"/>
      <c r="R891" s="135"/>
      <c r="S891" s="135"/>
      <c r="T891" s="135"/>
      <c r="U891" s="135"/>
      <c r="V891" s="135"/>
      <c r="W891" s="135"/>
      <c r="X891" s="135"/>
      <c r="Y891" s="135"/>
      <c r="Z891" s="135"/>
    </row>
    <row r="892" spans="1:26" ht="12.75">
      <c r="A892" s="136" t="s">
        <v>8</v>
      </c>
      <c r="B892" s="136" t="s">
        <v>7553</v>
      </c>
      <c r="C892" s="136" t="s">
        <v>7554</v>
      </c>
      <c r="D892" s="136" t="s">
        <v>165</v>
      </c>
      <c r="E892" s="136" t="s">
        <v>615</v>
      </c>
      <c r="F892" s="136">
        <v>195</v>
      </c>
      <c r="G892" s="137">
        <f t="shared" si="3"/>
        <v>4</v>
      </c>
      <c r="H892" s="137"/>
      <c r="I892" s="137"/>
      <c r="J892" s="135"/>
      <c r="K892" s="135"/>
      <c r="L892" s="135"/>
      <c r="M892" s="135"/>
      <c r="N892" s="135"/>
      <c r="O892" s="135"/>
      <c r="P892" s="135"/>
      <c r="Q892" s="135"/>
      <c r="R892" s="135"/>
      <c r="S892" s="135"/>
      <c r="T892" s="135"/>
      <c r="U892" s="135"/>
      <c r="V892" s="135"/>
      <c r="W892" s="135"/>
      <c r="X892" s="135"/>
      <c r="Y892" s="135"/>
      <c r="Z892" s="135"/>
    </row>
    <row r="893" spans="1:26" ht="12.75">
      <c r="A893" s="136" t="s">
        <v>8</v>
      </c>
      <c r="B893" s="136" t="s">
        <v>7553</v>
      </c>
      <c r="C893" s="136" t="s">
        <v>7554</v>
      </c>
      <c r="D893" s="136" t="s">
        <v>368</v>
      </c>
      <c r="E893" s="136" t="s">
        <v>594</v>
      </c>
      <c r="F893" s="136">
        <v>90</v>
      </c>
      <c r="G893" s="137">
        <f t="shared" si="3"/>
        <v>5</v>
      </c>
      <c r="H893" s="137"/>
      <c r="I893" s="137"/>
      <c r="J893" s="135"/>
      <c r="K893" s="135"/>
      <c r="L893" s="135"/>
      <c r="M893" s="135"/>
      <c r="N893" s="135"/>
      <c r="O893" s="135"/>
      <c r="P893" s="135"/>
      <c r="Q893" s="135"/>
      <c r="R893" s="135"/>
      <c r="S893" s="135"/>
      <c r="T893" s="135"/>
      <c r="U893" s="135"/>
      <c r="V893" s="135"/>
      <c r="W893" s="135"/>
      <c r="X893" s="135"/>
      <c r="Y893" s="135"/>
      <c r="Z893" s="135"/>
    </row>
    <row r="894" spans="1:26" ht="12.75">
      <c r="A894" s="136" t="s">
        <v>8</v>
      </c>
      <c r="B894" s="136" t="s">
        <v>7553</v>
      </c>
      <c r="C894" s="136" t="s">
        <v>7554</v>
      </c>
      <c r="D894" s="136" t="s">
        <v>1665</v>
      </c>
      <c r="E894" s="136" t="s">
        <v>615</v>
      </c>
      <c r="F894" s="136">
        <v>85</v>
      </c>
      <c r="G894" s="137">
        <f t="shared" si="3"/>
        <v>6</v>
      </c>
      <c r="H894" s="137"/>
      <c r="I894" s="137"/>
      <c r="J894" s="135"/>
      <c r="K894" s="135"/>
      <c r="L894" s="135"/>
      <c r="M894" s="135"/>
      <c r="N894" s="135"/>
      <c r="O894" s="135"/>
      <c r="P894" s="135"/>
      <c r="Q894" s="135"/>
      <c r="R894" s="135"/>
      <c r="S894" s="135"/>
      <c r="T894" s="135"/>
      <c r="U894" s="135"/>
      <c r="V894" s="135"/>
      <c r="W894" s="135"/>
      <c r="X894" s="135"/>
      <c r="Y894" s="135"/>
      <c r="Z894" s="135"/>
    </row>
    <row r="895" spans="1:26" ht="12.75">
      <c r="A895" s="136" t="s">
        <v>8</v>
      </c>
      <c r="B895" s="136" t="s">
        <v>7553</v>
      </c>
      <c r="C895" s="136" t="s">
        <v>7554</v>
      </c>
      <c r="D895" s="136" t="s">
        <v>7551</v>
      </c>
      <c r="E895" s="136" t="s">
        <v>615</v>
      </c>
      <c r="F895" s="136">
        <v>80</v>
      </c>
      <c r="G895" s="137">
        <f t="shared" si="3"/>
        <v>7</v>
      </c>
      <c r="H895" s="137"/>
      <c r="I895" s="137"/>
      <c r="J895" s="135"/>
      <c r="K895" s="135"/>
      <c r="L895" s="135"/>
      <c r="M895" s="135"/>
      <c r="N895" s="135"/>
      <c r="O895" s="135"/>
      <c r="P895" s="135"/>
      <c r="Q895" s="135"/>
      <c r="R895" s="135"/>
      <c r="S895" s="135"/>
      <c r="T895" s="135"/>
      <c r="U895" s="135"/>
      <c r="V895" s="135"/>
      <c r="W895" s="135"/>
      <c r="X895" s="135"/>
      <c r="Y895" s="135"/>
      <c r="Z895" s="135"/>
    </row>
    <row r="896" spans="1:26" ht="12.75">
      <c r="A896" s="136" t="s">
        <v>8</v>
      </c>
      <c r="B896" s="136" t="s">
        <v>7553</v>
      </c>
      <c r="C896" s="136" t="s">
        <v>7554</v>
      </c>
      <c r="D896" s="136" t="s">
        <v>7533</v>
      </c>
      <c r="E896" s="136" t="s">
        <v>594</v>
      </c>
      <c r="F896" s="136">
        <v>63</v>
      </c>
      <c r="G896" s="137">
        <f t="shared" si="3"/>
        <v>8</v>
      </c>
      <c r="H896" s="137"/>
      <c r="I896" s="137"/>
      <c r="J896" s="135"/>
      <c r="K896" s="135"/>
      <c r="L896" s="135"/>
      <c r="M896" s="135"/>
      <c r="N896" s="135"/>
      <c r="O896" s="135"/>
      <c r="P896" s="135"/>
      <c r="Q896" s="135"/>
      <c r="R896" s="135"/>
      <c r="S896" s="135"/>
      <c r="T896" s="135"/>
      <c r="U896" s="135"/>
      <c r="V896" s="135"/>
      <c r="W896" s="135"/>
      <c r="X896" s="135"/>
      <c r="Y896" s="135"/>
      <c r="Z896" s="135"/>
    </row>
    <row r="897" spans="1:26" ht="12.75">
      <c r="A897" s="136" t="s">
        <v>8</v>
      </c>
      <c r="B897" s="136" t="s">
        <v>7553</v>
      </c>
      <c r="C897" s="136" t="s">
        <v>7554</v>
      </c>
      <c r="D897" s="136" t="s">
        <v>7491</v>
      </c>
      <c r="E897" s="136" t="s">
        <v>615</v>
      </c>
      <c r="F897" s="136">
        <v>60</v>
      </c>
      <c r="G897" s="137">
        <f t="shared" si="3"/>
        <v>9</v>
      </c>
      <c r="H897" s="137"/>
      <c r="I897" s="137"/>
      <c r="J897" s="135"/>
      <c r="K897" s="135"/>
      <c r="L897" s="135"/>
      <c r="M897" s="135"/>
      <c r="N897" s="135"/>
      <c r="O897" s="135"/>
      <c r="P897" s="135"/>
      <c r="Q897" s="135"/>
      <c r="R897" s="135"/>
      <c r="S897" s="135"/>
      <c r="T897" s="135"/>
      <c r="U897" s="135"/>
      <c r="V897" s="135"/>
      <c r="W897" s="135"/>
      <c r="X897" s="135"/>
      <c r="Y897" s="135"/>
      <c r="Z897" s="135"/>
    </row>
    <row r="898" spans="1:26" ht="12.75">
      <c r="A898" s="136" t="s">
        <v>8</v>
      </c>
      <c r="B898" s="136" t="s">
        <v>7553</v>
      </c>
      <c r="C898" s="136" t="s">
        <v>7554</v>
      </c>
      <c r="D898" s="136" t="s">
        <v>1626</v>
      </c>
      <c r="E898" s="136" t="s">
        <v>594</v>
      </c>
      <c r="F898" s="136">
        <v>40</v>
      </c>
      <c r="G898" s="137">
        <f t="shared" si="3"/>
        <v>10</v>
      </c>
      <c r="H898" s="137"/>
      <c r="I898" s="137"/>
      <c r="J898" s="135"/>
      <c r="K898" s="135"/>
      <c r="L898" s="135"/>
      <c r="M898" s="135"/>
      <c r="N898" s="135"/>
      <c r="O898" s="135"/>
      <c r="P898" s="135"/>
      <c r="Q898" s="135"/>
      <c r="R898" s="135"/>
      <c r="S898" s="135"/>
      <c r="T898" s="135"/>
      <c r="U898" s="135"/>
      <c r="V898" s="135"/>
      <c r="W898" s="135"/>
      <c r="X898" s="135"/>
      <c r="Y898" s="135"/>
      <c r="Z898" s="135"/>
    </row>
    <row r="899" spans="1:26" ht="12.75">
      <c r="A899" s="136" t="s">
        <v>8</v>
      </c>
      <c r="B899" s="136" t="s">
        <v>7553</v>
      </c>
      <c r="C899" s="136" t="s">
        <v>7554</v>
      </c>
      <c r="D899" s="136" t="s">
        <v>7531</v>
      </c>
      <c r="E899" s="136" t="s">
        <v>615</v>
      </c>
      <c r="F899" s="136">
        <v>30</v>
      </c>
      <c r="G899" s="137">
        <f t="shared" si="3"/>
        <v>11</v>
      </c>
      <c r="H899" s="137"/>
      <c r="I899" s="137"/>
      <c r="J899" s="135"/>
      <c r="K899" s="135"/>
      <c r="L899" s="135"/>
      <c r="M899" s="135"/>
      <c r="N899" s="135"/>
      <c r="O899" s="135"/>
      <c r="P899" s="135"/>
      <c r="Q899" s="135"/>
      <c r="R899" s="135"/>
      <c r="S899" s="135"/>
      <c r="T899" s="135"/>
      <c r="U899" s="135"/>
      <c r="V899" s="135"/>
      <c r="W899" s="135"/>
      <c r="X899" s="135"/>
      <c r="Y899" s="135"/>
      <c r="Z899" s="135"/>
    </row>
    <row r="900" spans="1:26" ht="12.75">
      <c r="A900" s="136" t="s">
        <v>8</v>
      </c>
      <c r="B900" s="136" t="s">
        <v>587</v>
      </c>
      <c r="C900" s="136" t="s">
        <v>599</v>
      </c>
      <c r="D900" s="136" t="s">
        <v>7544</v>
      </c>
      <c r="E900" s="136" t="s">
        <v>615</v>
      </c>
      <c r="F900" s="136">
        <v>272</v>
      </c>
      <c r="G900" s="137">
        <f t="shared" si="3"/>
        <v>1</v>
      </c>
      <c r="H900" s="137"/>
      <c r="I900" s="137"/>
      <c r="J900" s="135"/>
      <c r="K900" s="135"/>
      <c r="L900" s="135"/>
      <c r="M900" s="135"/>
      <c r="N900" s="135"/>
      <c r="O900" s="135"/>
      <c r="P900" s="135"/>
      <c r="Q900" s="135"/>
      <c r="R900" s="135"/>
      <c r="S900" s="135"/>
      <c r="T900" s="135"/>
      <c r="U900" s="135"/>
      <c r="V900" s="135"/>
      <c r="W900" s="135"/>
      <c r="X900" s="135"/>
      <c r="Y900" s="135"/>
      <c r="Z900" s="135"/>
    </row>
    <row r="901" spans="1:26" ht="12.75">
      <c r="A901" s="136" t="s">
        <v>8</v>
      </c>
      <c r="B901" s="136" t="s">
        <v>587</v>
      </c>
      <c r="C901" s="136" t="s">
        <v>599</v>
      </c>
      <c r="D901" s="136" t="s">
        <v>139</v>
      </c>
      <c r="E901" s="136" t="s">
        <v>594</v>
      </c>
      <c r="F901" s="136">
        <v>258</v>
      </c>
      <c r="G901" s="137">
        <f t="shared" si="3"/>
        <v>2</v>
      </c>
      <c r="H901" s="137"/>
      <c r="I901" s="137"/>
      <c r="J901" s="135"/>
      <c r="K901" s="135"/>
      <c r="L901" s="135"/>
      <c r="M901" s="135"/>
      <c r="N901" s="135"/>
      <c r="O901" s="135"/>
      <c r="P901" s="135"/>
      <c r="Q901" s="135"/>
      <c r="R901" s="135"/>
      <c r="S901" s="135"/>
      <c r="T901" s="135"/>
      <c r="U901" s="135"/>
      <c r="V901" s="135"/>
      <c r="W901" s="135"/>
      <c r="X901" s="135"/>
      <c r="Y901" s="135"/>
      <c r="Z901" s="135"/>
    </row>
    <row r="902" spans="1:26" ht="12.75">
      <c r="A902" s="136" t="s">
        <v>8</v>
      </c>
      <c r="B902" s="136" t="s">
        <v>587</v>
      </c>
      <c r="C902" s="136" t="s">
        <v>599</v>
      </c>
      <c r="D902" s="136" t="s">
        <v>165</v>
      </c>
      <c r="E902" s="136" t="s">
        <v>615</v>
      </c>
      <c r="F902" s="136">
        <v>110</v>
      </c>
      <c r="G902" s="137">
        <f t="shared" si="3"/>
        <v>3</v>
      </c>
      <c r="H902" s="137"/>
      <c r="I902" s="137"/>
      <c r="J902" s="135"/>
      <c r="K902" s="135"/>
      <c r="L902" s="135"/>
      <c r="M902" s="135"/>
      <c r="N902" s="135"/>
      <c r="O902" s="135"/>
      <c r="P902" s="135"/>
      <c r="Q902" s="135"/>
      <c r="R902" s="135"/>
      <c r="S902" s="135"/>
      <c r="T902" s="135"/>
      <c r="U902" s="135"/>
      <c r="V902" s="135"/>
      <c r="W902" s="135"/>
      <c r="X902" s="135"/>
      <c r="Y902" s="135"/>
      <c r="Z902" s="135"/>
    </row>
    <row r="903" spans="1:26" ht="12.75">
      <c r="A903" s="136" t="s">
        <v>8</v>
      </c>
      <c r="B903" s="136" t="s">
        <v>587</v>
      </c>
      <c r="C903" s="136" t="s">
        <v>599</v>
      </c>
      <c r="D903" s="136" t="s">
        <v>7530</v>
      </c>
      <c r="E903" s="136" t="s">
        <v>85</v>
      </c>
      <c r="F903" s="136">
        <v>109</v>
      </c>
      <c r="G903" s="137">
        <f t="shared" si="3"/>
        <v>4</v>
      </c>
      <c r="H903" s="137"/>
      <c r="I903" s="137"/>
      <c r="J903" s="135"/>
      <c r="K903" s="135"/>
      <c r="L903" s="135"/>
      <c r="M903" s="135"/>
      <c r="N903" s="135"/>
      <c r="O903" s="135"/>
      <c r="P903" s="135"/>
      <c r="Q903" s="135"/>
      <c r="R903" s="135"/>
      <c r="S903" s="135"/>
      <c r="T903" s="135"/>
      <c r="U903" s="135"/>
      <c r="V903" s="135"/>
      <c r="W903" s="135"/>
      <c r="X903" s="135"/>
      <c r="Y903" s="135"/>
      <c r="Z903" s="135"/>
    </row>
    <row r="904" spans="1:26" ht="12.75">
      <c r="A904" s="136" t="s">
        <v>8</v>
      </c>
      <c r="B904" s="136" t="s">
        <v>587</v>
      </c>
      <c r="C904" s="136" t="s">
        <v>599</v>
      </c>
      <c r="D904" s="136" t="s">
        <v>7533</v>
      </c>
      <c r="E904" s="136" t="s">
        <v>594</v>
      </c>
      <c r="F904" s="136">
        <v>63</v>
      </c>
      <c r="G904" s="137">
        <f t="shared" si="3"/>
        <v>5</v>
      </c>
      <c r="H904" s="137"/>
      <c r="I904" s="137"/>
      <c r="J904" s="135"/>
      <c r="K904" s="135"/>
      <c r="L904" s="135"/>
      <c r="M904" s="135"/>
      <c r="N904" s="135"/>
      <c r="O904" s="135"/>
      <c r="P904" s="135"/>
      <c r="Q904" s="135"/>
      <c r="R904" s="135"/>
      <c r="S904" s="135"/>
      <c r="T904" s="135"/>
      <c r="U904" s="135"/>
      <c r="V904" s="135"/>
      <c r="W904" s="135"/>
      <c r="X904" s="135"/>
      <c r="Y904" s="135"/>
      <c r="Z904" s="135"/>
    </row>
    <row r="905" spans="1:26" ht="12.75">
      <c r="A905" s="136" t="s">
        <v>8</v>
      </c>
      <c r="B905" s="136" t="s">
        <v>587</v>
      </c>
      <c r="C905" s="136" t="s">
        <v>599</v>
      </c>
      <c r="D905" s="136" t="s">
        <v>1665</v>
      </c>
      <c r="E905" s="136" t="s">
        <v>615</v>
      </c>
      <c r="F905" s="136">
        <v>60</v>
      </c>
      <c r="G905" s="137">
        <f t="shared" si="3"/>
        <v>6</v>
      </c>
      <c r="H905" s="137"/>
      <c r="I905" s="137"/>
      <c r="J905" s="135"/>
      <c r="K905" s="135"/>
      <c r="L905" s="135"/>
      <c r="M905" s="135"/>
      <c r="N905" s="135"/>
      <c r="O905" s="135"/>
      <c r="P905" s="135"/>
      <c r="Q905" s="135"/>
      <c r="R905" s="135"/>
      <c r="S905" s="135"/>
      <c r="T905" s="135"/>
      <c r="U905" s="135"/>
      <c r="V905" s="135"/>
      <c r="W905" s="135"/>
      <c r="X905" s="135"/>
      <c r="Y905" s="135"/>
      <c r="Z905" s="135"/>
    </row>
    <row r="906" spans="1:26" ht="12.75">
      <c r="A906" s="136" t="s">
        <v>8</v>
      </c>
      <c r="B906" s="136" t="s">
        <v>587</v>
      </c>
      <c r="C906" s="136" t="s">
        <v>599</v>
      </c>
      <c r="D906" s="136" t="s">
        <v>595</v>
      </c>
      <c r="E906" s="136" t="s">
        <v>594</v>
      </c>
      <c r="F906" s="136">
        <v>45</v>
      </c>
      <c r="G906" s="137">
        <f t="shared" si="3"/>
        <v>7</v>
      </c>
      <c r="H906" s="137"/>
      <c r="I906" s="137"/>
      <c r="J906" s="135"/>
      <c r="K906" s="135"/>
      <c r="L906" s="135"/>
      <c r="M906" s="135"/>
      <c r="N906" s="135"/>
      <c r="O906" s="135"/>
      <c r="P906" s="135"/>
      <c r="Q906" s="135"/>
      <c r="R906" s="135"/>
      <c r="S906" s="135"/>
      <c r="T906" s="135"/>
      <c r="U906" s="135"/>
      <c r="V906" s="135"/>
      <c r="W906" s="135"/>
      <c r="X906" s="135"/>
      <c r="Y906" s="135"/>
      <c r="Z906" s="135"/>
    </row>
    <row r="907" spans="1:26" ht="12.75">
      <c r="A907" s="136" t="s">
        <v>8</v>
      </c>
      <c r="B907" s="136" t="s">
        <v>587</v>
      </c>
      <c r="C907" s="136" t="s">
        <v>599</v>
      </c>
      <c r="D907" s="136" t="s">
        <v>7551</v>
      </c>
      <c r="E907" s="136" t="s">
        <v>615</v>
      </c>
      <c r="F907" s="136">
        <v>45</v>
      </c>
      <c r="G907" s="137">
        <f t="shared" si="3"/>
        <v>8</v>
      </c>
      <c r="H907" s="137"/>
      <c r="I907" s="137"/>
      <c r="J907" s="135"/>
      <c r="K907" s="135"/>
      <c r="L907" s="135"/>
      <c r="M907" s="135"/>
      <c r="N907" s="135"/>
      <c r="O907" s="135"/>
      <c r="P907" s="135"/>
      <c r="Q907" s="135"/>
      <c r="R907" s="135"/>
      <c r="S907" s="135"/>
      <c r="T907" s="135"/>
      <c r="U907" s="135"/>
      <c r="V907" s="135"/>
      <c r="W907" s="135"/>
      <c r="X907" s="135"/>
      <c r="Y907" s="135"/>
      <c r="Z907" s="135"/>
    </row>
    <row r="908" spans="1:26" ht="12.75">
      <c r="A908" s="136" t="s">
        <v>8</v>
      </c>
      <c r="B908" s="136" t="s">
        <v>587</v>
      </c>
      <c r="C908" s="136" t="s">
        <v>599</v>
      </c>
      <c r="D908" s="136" t="s">
        <v>7491</v>
      </c>
      <c r="E908" s="136" t="s">
        <v>615</v>
      </c>
      <c r="F908" s="136">
        <v>40</v>
      </c>
      <c r="G908" s="137">
        <f t="shared" si="3"/>
        <v>9</v>
      </c>
      <c r="H908" s="137"/>
      <c r="I908" s="137"/>
      <c r="J908" s="135"/>
      <c r="K908" s="135"/>
      <c r="L908" s="135"/>
      <c r="M908" s="135"/>
      <c r="N908" s="135"/>
      <c r="O908" s="135"/>
      <c r="P908" s="135"/>
      <c r="Q908" s="135"/>
      <c r="R908" s="135"/>
      <c r="S908" s="135"/>
      <c r="T908" s="135"/>
      <c r="U908" s="135"/>
      <c r="V908" s="135"/>
      <c r="W908" s="135"/>
      <c r="X908" s="135"/>
      <c r="Y908" s="135"/>
      <c r="Z908" s="135"/>
    </row>
    <row r="909" spans="1:26" ht="12.75">
      <c r="A909" s="136" t="s">
        <v>8</v>
      </c>
      <c r="B909" s="136" t="s">
        <v>587</v>
      </c>
      <c r="C909" s="136" t="s">
        <v>618</v>
      </c>
      <c r="D909" s="136" t="s">
        <v>165</v>
      </c>
      <c r="E909" s="136" t="s">
        <v>615</v>
      </c>
      <c r="F909" s="136">
        <v>670</v>
      </c>
      <c r="G909" s="137">
        <f t="shared" si="3"/>
        <v>1</v>
      </c>
      <c r="H909" s="137"/>
      <c r="I909" s="137"/>
      <c r="J909" s="135"/>
      <c r="K909" s="135"/>
      <c r="L909" s="135"/>
      <c r="M909" s="135"/>
      <c r="N909" s="135"/>
      <c r="O909" s="135"/>
      <c r="P909" s="135"/>
      <c r="Q909" s="135"/>
      <c r="R909" s="135"/>
      <c r="S909" s="135"/>
      <c r="T909" s="135"/>
      <c r="U909" s="135"/>
      <c r="V909" s="135"/>
      <c r="W909" s="135"/>
      <c r="X909" s="135"/>
      <c r="Y909" s="135"/>
      <c r="Z909" s="135"/>
    </row>
    <row r="910" spans="1:26" ht="12.75">
      <c r="A910" s="136" t="s">
        <v>8</v>
      </c>
      <c r="B910" s="136" t="s">
        <v>587</v>
      </c>
      <c r="C910" s="136" t="s">
        <v>618</v>
      </c>
      <c r="D910" s="136" t="s">
        <v>7530</v>
      </c>
      <c r="E910" s="136" t="s">
        <v>85</v>
      </c>
      <c r="F910" s="136">
        <v>372</v>
      </c>
      <c r="G910" s="137">
        <f t="shared" si="3"/>
        <v>2</v>
      </c>
      <c r="H910" s="137"/>
      <c r="I910" s="137"/>
      <c r="J910" s="135"/>
      <c r="K910" s="135"/>
      <c r="L910" s="135"/>
      <c r="M910" s="135"/>
      <c r="N910" s="135"/>
      <c r="O910" s="135"/>
      <c r="P910" s="135"/>
      <c r="Q910" s="135"/>
      <c r="R910" s="135"/>
      <c r="S910" s="135"/>
      <c r="T910" s="135"/>
      <c r="U910" s="135"/>
      <c r="V910" s="135"/>
      <c r="W910" s="135"/>
      <c r="X910" s="135"/>
      <c r="Y910" s="135"/>
      <c r="Z910" s="135"/>
    </row>
    <row r="911" spans="1:26" ht="12.75">
      <c r="A911" s="136" t="s">
        <v>8</v>
      </c>
      <c r="B911" s="136" t="s">
        <v>587</v>
      </c>
      <c r="C911" s="136" t="s">
        <v>618</v>
      </c>
      <c r="D911" s="136" t="s">
        <v>7544</v>
      </c>
      <c r="E911" s="136" t="s">
        <v>615</v>
      </c>
      <c r="F911" s="136">
        <v>315</v>
      </c>
      <c r="G911" s="137">
        <f t="shared" si="3"/>
        <v>3</v>
      </c>
      <c r="H911" s="137"/>
      <c r="I911" s="137"/>
      <c r="J911" s="135"/>
      <c r="K911" s="135"/>
      <c r="L911" s="135"/>
      <c r="M911" s="135"/>
      <c r="N911" s="135"/>
      <c r="O911" s="135"/>
      <c r="P911" s="135"/>
      <c r="Q911" s="135"/>
      <c r="R911" s="135"/>
      <c r="S911" s="135"/>
      <c r="T911" s="135"/>
      <c r="U911" s="135"/>
      <c r="V911" s="135"/>
      <c r="W911" s="135"/>
      <c r="X911" s="135"/>
      <c r="Y911" s="135"/>
      <c r="Z911" s="135"/>
    </row>
    <row r="912" spans="1:26" ht="12.75">
      <c r="A912" s="136" t="s">
        <v>8</v>
      </c>
      <c r="B912" s="136" t="s">
        <v>587</v>
      </c>
      <c r="C912" s="136" t="s">
        <v>618</v>
      </c>
      <c r="D912" s="136" t="s">
        <v>139</v>
      </c>
      <c r="E912" s="136" t="s">
        <v>594</v>
      </c>
      <c r="F912" s="136">
        <v>245</v>
      </c>
      <c r="G912" s="137">
        <f t="shared" si="3"/>
        <v>4</v>
      </c>
      <c r="H912" s="137"/>
      <c r="I912" s="137"/>
      <c r="J912" s="135"/>
      <c r="K912" s="135"/>
      <c r="L912" s="135"/>
      <c r="M912" s="135"/>
      <c r="N912" s="135"/>
      <c r="O912" s="135"/>
      <c r="P912" s="135"/>
      <c r="Q912" s="135"/>
      <c r="R912" s="135"/>
      <c r="S912" s="135"/>
      <c r="T912" s="135"/>
      <c r="U912" s="135"/>
      <c r="V912" s="135"/>
      <c r="W912" s="135"/>
      <c r="X912" s="135"/>
      <c r="Y912" s="135"/>
      <c r="Z912" s="135"/>
    </row>
    <row r="913" spans="1:26" ht="12.75">
      <c r="A913" s="136" t="s">
        <v>8</v>
      </c>
      <c r="B913" s="136" t="s">
        <v>587</v>
      </c>
      <c r="C913" s="136" t="s">
        <v>618</v>
      </c>
      <c r="D913" s="136" t="s">
        <v>595</v>
      </c>
      <c r="E913" s="136" t="s">
        <v>594</v>
      </c>
      <c r="F913" s="136">
        <v>205</v>
      </c>
      <c r="G913" s="137">
        <f t="shared" si="3"/>
        <v>5</v>
      </c>
      <c r="H913" s="137"/>
      <c r="I913" s="137"/>
      <c r="J913" s="135"/>
      <c r="K913" s="135"/>
      <c r="L913" s="135"/>
      <c r="M913" s="135"/>
      <c r="N913" s="135"/>
      <c r="O913" s="135"/>
      <c r="P913" s="135"/>
      <c r="Q913" s="135"/>
      <c r="R913" s="135"/>
      <c r="S913" s="135"/>
      <c r="T913" s="135"/>
      <c r="U913" s="135"/>
      <c r="V913" s="135"/>
      <c r="W913" s="135"/>
      <c r="X913" s="135"/>
      <c r="Y913" s="135"/>
      <c r="Z913" s="135"/>
    </row>
    <row r="914" spans="1:26" ht="12.75">
      <c r="A914" s="136" t="s">
        <v>8</v>
      </c>
      <c r="B914" s="136" t="s">
        <v>587</v>
      </c>
      <c r="C914" s="136" t="s">
        <v>618</v>
      </c>
      <c r="D914" s="136" t="s">
        <v>7491</v>
      </c>
      <c r="E914" s="136" t="s">
        <v>615</v>
      </c>
      <c r="F914" s="136">
        <v>70</v>
      </c>
      <c r="G914" s="137">
        <f t="shared" si="3"/>
        <v>6</v>
      </c>
      <c r="H914" s="137"/>
      <c r="I914" s="137"/>
      <c r="J914" s="135"/>
      <c r="K914" s="135"/>
      <c r="L914" s="135"/>
      <c r="M914" s="135"/>
      <c r="N914" s="135"/>
      <c r="O914" s="135"/>
      <c r="P914" s="135"/>
      <c r="Q914" s="135"/>
      <c r="R914" s="135"/>
      <c r="S914" s="135"/>
      <c r="T914" s="135"/>
      <c r="U914" s="135"/>
      <c r="V914" s="135"/>
      <c r="W914" s="135"/>
      <c r="X914" s="135"/>
      <c r="Y914" s="135"/>
      <c r="Z914" s="135"/>
    </row>
    <row r="915" spans="1:26" ht="12.75">
      <c r="A915" s="136" t="s">
        <v>8</v>
      </c>
      <c r="B915" s="136" t="s">
        <v>587</v>
      </c>
      <c r="C915" s="136" t="s">
        <v>618</v>
      </c>
      <c r="D915" s="136" t="s">
        <v>7551</v>
      </c>
      <c r="E915" s="136" t="s">
        <v>615</v>
      </c>
      <c r="F915" s="136">
        <v>65</v>
      </c>
      <c r="G915" s="137">
        <f t="shared" si="3"/>
        <v>7</v>
      </c>
      <c r="H915" s="137"/>
      <c r="I915" s="137"/>
      <c r="J915" s="135"/>
      <c r="K915" s="135"/>
      <c r="L915" s="135"/>
      <c r="M915" s="135"/>
      <c r="N915" s="135"/>
      <c r="O915" s="135"/>
      <c r="P915" s="135"/>
      <c r="Q915" s="135"/>
      <c r="R915" s="135"/>
      <c r="S915" s="135"/>
      <c r="T915" s="135"/>
      <c r="U915" s="135"/>
      <c r="V915" s="135"/>
      <c r="W915" s="135"/>
      <c r="X915" s="135"/>
      <c r="Y915" s="135"/>
      <c r="Z915" s="135"/>
    </row>
    <row r="916" spans="1:26" ht="12.75">
      <c r="A916" s="136" t="s">
        <v>8</v>
      </c>
      <c r="B916" s="136" t="s">
        <v>587</v>
      </c>
      <c r="C916" s="136" t="s">
        <v>618</v>
      </c>
      <c r="D916" s="136" t="s">
        <v>1665</v>
      </c>
      <c r="E916" s="136" t="s">
        <v>615</v>
      </c>
      <c r="F916" s="136">
        <v>65</v>
      </c>
      <c r="G916" s="137">
        <f t="shared" si="3"/>
        <v>8</v>
      </c>
      <c r="H916" s="137"/>
      <c r="I916" s="137"/>
      <c r="J916" s="135"/>
      <c r="K916" s="135"/>
      <c r="L916" s="135"/>
      <c r="M916" s="135"/>
      <c r="N916" s="135"/>
      <c r="O916" s="135"/>
      <c r="P916" s="135"/>
      <c r="Q916" s="135"/>
      <c r="R916" s="135"/>
      <c r="S916" s="135"/>
      <c r="T916" s="135"/>
      <c r="U916" s="135"/>
      <c r="V916" s="135"/>
      <c r="W916" s="135"/>
      <c r="X916" s="135"/>
      <c r="Y916" s="135"/>
      <c r="Z916" s="135"/>
    </row>
    <row r="917" spans="1:26" ht="12.75">
      <c r="A917" s="136" t="s">
        <v>8</v>
      </c>
      <c r="B917" s="136" t="s">
        <v>587</v>
      </c>
      <c r="C917" s="136" t="s">
        <v>618</v>
      </c>
      <c r="D917" s="136" t="s">
        <v>7533</v>
      </c>
      <c r="E917" s="136" t="s">
        <v>594</v>
      </c>
      <c r="F917" s="136">
        <v>60</v>
      </c>
      <c r="G917" s="137">
        <f t="shared" si="3"/>
        <v>9</v>
      </c>
      <c r="H917" s="137"/>
      <c r="I917" s="137"/>
      <c r="J917" s="135"/>
      <c r="K917" s="135"/>
      <c r="L917" s="135"/>
      <c r="M917" s="135"/>
      <c r="N917" s="135"/>
      <c r="O917" s="135"/>
      <c r="P917" s="135"/>
      <c r="Q917" s="135"/>
      <c r="R917" s="135"/>
      <c r="S917" s="135"/>
      <c r="T917" s="135"/>
      <c r="U917" s="135"/>
      <c r="V917" s="135"/>
      <c r="W917" s="135"/>
      <c r="X917" s="135"/>
      <c r="Y917" s="135"/>
      <c r="Z917" s="135"/>
    </row>
    <row r="918" spans="1:26" ht="12.75">
      <c r="A918" s="136" t="s">
        <v>8</v>
      </c>
      <c r="B918" s="136" t="s">
        <v>587</v>
      </c>
      <c r="C918" s="136" t="s">
        <v>618</v>
      </c>
      <c r="D918" s="136" t="s">
        <v>368</v>
      </c>
      <c r="E918" s="136" t="s">
        <v>594</v>
      </c>
      <c r="F918" s="136">
        <v>40</v>
      </c>
      <c r="G918" s="137">
        <f t="shared" si="3"/>
        <v>10</v>
      </c>
      <c r="H918" s="137"/>
      <c r="I918" s="137"/>
      <c r="J918" s="135"/>
      <c r="K918" s="135"/>
      <c r="L918" s="135"/>
      <c r="M918" s="135"/>
      <c r="N918" s="135"/>
      <c r="O918" s="135"/>
      <c r="P918" s="135"/>
      <c r="Q918" s="135"/>
      <c r="R918" s="135"/>
      <c r="S918" s="135"/>
      <c r="T918" s="135"/>
      <c r="U918" s="135"/>
      <c r="V918" s="135"/>
      <c r="W918" s="135"/>
      <c r="X918" s="135"/>
      <c r="Y918" s="135"/>
      <c r="Z918" s="135"/>
    </row>
    <row r="919" spans="1:26" ht="12.75">
      <c r="A919" s="136" t="s">
        <v>8</v>
      </c>
      <c r="B919" s="136" t="s">
        <v>587</v>
      </c>
      <c r="C919" s="136" t="s">
        <v>618</v>
      </c>
      <c r="D919" s="136" t="s">
        <v>7545</v>
      </c>
      <c r="E919" s="136" t="s">
        <v>86</v>
      </c>
      <c r="F919" s="136">
        <v>23</v>
      </c>
      <c r="G919" s="137">
        <f t="shared" si="3"/>
        <v>11</v>
      </c>
      <c r="H919" s="137"/>
      <c r="I919" s="137"/>
      <c r="J919" s="135"/>
      <c r="K919" s="135"/>
      <c r="L919" s="135"/>
      <c r="M919" s="135"/>
      <c r="N919" s="135"/>
      <c r="O919" s="135"/>
      <c r="P919" s="135"/>
      <c r="Q919" s="135"/>
      <c r="R919" s="135"/>
      <c r="S919" s="135"/>
      <c r="T919" s="135"/>
      <c r="U919" s="135"/>
      <c r="V919" s="135"/>
      <c r="W919" s="135"/>
      <c r="X919" s="135"/>
      <c r="Y919" s="135"/>
      <c r="Z919" s="135"/>
    </row>
    <row r="920" spans="1:26" ht="12.75">
      <c r="A920" s="136" t="s">
        <v>8</v>
      </c>
      <c r="B920" s="136" t="s">
        <v>587</v>
      </c>
      <c r="C920" s="136" t="s">
        <v>602</v>
      </c>
      <c r="D920" s="136" t="s">
        <v>139</v>
      </c>
      <c r="E920" s="136" t="s">
        <v>594</v>
      </c>
      <c r="F920" s="136">
        <v>1057</v>
      </c>
      <c r="G920" s="137">
        <f t="shared" si="3"/>
        <v>1</v>
      </c>
      <c r="H920" s="137"/>
      <c r="I920" s="137"/>
      <c r="J920" s="135"/>
      <c r="K920" s="135"/>
      <c r="L920" s="135"/>
      <c r="M920" s="135"/>
      <c r="N920" s="135"/>
      <c r="O920" s="135"/>
      <c r="P920" s="135"/>
      <c r="Q920" s="135"/>
      <c r="R920" s="135"/>
      <c r="S920" s="135"/>
      <c r="T920" s="135"/>
      <c r="U920" s="135"/>
      <c r="V920" s="135"/>
      <c r="W920" s="135"/>
      <c r="X920" s="135"/>
      <c r="Y920" s="135"/>
      <c r="Z920" s="135"/>
    </row>
    <row r="921" spans="1:26" ht="12.75">
      <c r="A921" s="136" t="s">
        <v>8</v>
      </c>
      <c r="B921" s="136" t="s">
        <v>587</v>
      </c>
      <c r="C921" s="136" t="s">
        <v>602</v>
      </c>
      <c r="D921" s="136" t="s">
        <v>7530</v>
      </c>
      <c r="E921" s="136" t="s">
        <v>85</v>
      </c>
      <c r="F921" s="136">
        <v>547</v>
      </c>
      <c r="G921" s="137">
        <f t="shared" si="3"/>
        <v>2</v>
      </c>
      <c r="H921" s="137"/>
      <c r="I921" s="137"/>
      <c r="J921" s="135"/>
      <c r="K921" s="135"/>
      <c r="L921" s="135"/>
      <c r="M921" s="135"/>
      <c r="N921" s="135"/>
      <c r="O921" s="135"/>
      <c r="P921" s="135"/>
      <c r="Q921" s="135"/>
      <c r="R921" s="135"/>
      <c r="S921" s="135"/>
      <c r="T921" s="135"/>
      <c r="U921" s="135"/>
      <c r="V921" s="135"/>
      <c r="W921" s="135"/>
      <c r="X921" s="135"/>
      <c r="Y921" s="135"/>
      <c r="Z921" s="135"/>
    </row>
    <row r="922" spans="1:26" ht="12.75">
      <c r="A922" s="136" t="s">
        <v>8</v>
      </c>
      <c r="B922" s="136" t="s">
        <v>587</v>
      </c>
      <c r="C922" s="136" t="s">
        <v>602</v>
      </c>
      <c r="D922" s="136" t="s">
        <v>595</v>
      </c>
      <c r="E922" s="136" t="s">
        <v>594</v>
      </c>
      <c r="F922" s="136">
        <v>195</v>
      </c>
      <c r="G922" s="137">
        <f t="shared" si="3"/>
        <v>3</v>
      </c>
      <c r="H922" s="137"/>
      <c r="I922" s="137"/>
      <c r="J922" s="135"/>
      <c r="K922" s="135"/>
      <c r="L922" s="135"/>
      <c r="M922" s="135"/>
      <c r="N922" s="135"/>
      <c r="O922" s="135"/>
      <c r="P922" s="135"/>
      <c r="Q922" s="135"/>
      <c r="R922" s="135"/>
      <c r="S922" s="135"/>
      <c r="T922" s="135"/>
      <c r="U922" s="135"/>
      <c r="V922" s="135"/>
      <c r="W922" s="135"/>
      <c r="X922" s="135"/>
      <c r="Y922" s="135"/>
      <c r="Z922" s="135"/>
    </row>
    <row r="923" spans="1:26" ht="12.75">
      <c r="A923" s="136" t="s">
        <v>8</v>
      </c>
      <c r="B923" s="136" t="s">
        <v>587</v>
      </c>
      <c r="C923" s="136" t="s">
        <v>602</v>
      </c>
      <c r="D923" s="136" t="s">
        <v>368</v>
      </c>
      <c r="E923" s="136" t="s">
        <v>594</v>
      </c>
      <c r="F923" s="136">
        <v>90</v>
      </c>
      <c r="G923" s="137">
        <f t="shared" si="3"/>
        <v>4</v>
      </c>
      <c r="H923" s="137"/>
      <c r="I923" s="137"/>
      <c r="J923" s="135"/>
      <c r="K923" s="135"/>
      <c r="L923" s="135"/>
      <c r="M923" s="135"/>
      <c r="N923" s="135"/>
      <c r="O923" s="135"/>
      <c r="P923" s="135"/>
      <c r="Q923" s="135"/>
      <c r="R923" s="135"/>
      <c r="S923" s="135"/>
      <c r="T923" s="135"/>
      <c r="U923" s="135"/>
      <c r="V923" s="135"/>
      <c r="W923" s="135"/>
      <c r="X923" s="135"/>
      <c r="Y923" s="135"/>
      <c r="Z923" s="135"/>
    </row>
    <row r="924" spans="1:26" ht="12.75">
      <c r="A924" s="136" t="s">
        <v>8</v>
      </c>
      <c r="B924" s="136" t="s">
        <v>587</v>
      </c>
      <c r="C924" s="136" t="s">
        <v>602</v>
      </c>
      <c r="D924" s="136" t="s">
        <v>7544</v>
      </c>
      <c r="E924" s="136" t="s">
        <v>615</v>
      </c>
      <c r="F924" s="136">
        <v>60</v>
      </c>
      <c r="G924" s="137">
        <f t="shared" si="3"/>
        <v>5</v>
      </c>
      <c r="H924" s="137"/>
      <c r="I924" s="137"/>
      <c r="J924" s="135"/>
      <c r="K924" s="135"/>
      <c r="L924" s="135"/>
      <c r="M924" s="135"/>
      <c r="N924" s="135"/>
      <c r="O924" s="135"/>
      <c r="P924" s="135"/>
      <c r="Q924" s="135"/>
      <c r="R924" s="135"/>
      <c r="S924" s="135"/>
      <c r="T924" s="135"/>
      <c r="U924" s="135"/>
      <c r="V924" s="135"/>
      <c r="W924" s="135"/>
      <c r="X924" s="135"/>
      <c r="Y924" s="135"/>
      <c r="Z924" s="135"/>
    </row>
    <row r="925" spans="1:26" ht="12.75">
      <c r="A925" s="136" t="s">
        <v>8</v>
      </c>
      <c r="B925" s="136" t="s">
        <v>587</v>
      </c>
      <c r="C925" s="136" t="s">
        <v>602</v>
      </c>
      <c r="D925" s="136" t="s">
        <v>7533</v>
      </c>
      <c r="E925" s="136" t="s">
        <v>594</v>
      </c>
      <c r="F925" s="136">
        <v>55</v>
      </c>
      <c r="G925" s="137">
        <f t="shared" si="3"/>
        <v>6</v>
      </c>
      <c r="H925" s="137"/>
      <c r="I925" s="137"/>
      <c r="J925" s="135"/>
      <c r="K925" s="135"/>
      <c r="L925" s="135"/>
      <c r="M925" s="135"/>
      <c r="N925" s="135"/>
      <c r="O925" s="135"/>
      <c r="P925" s="135"/>
      <c r="Q925" s="135"/>
      <c r="R925" s="135"/>
      <c r="S925" s="135"/>
      <c r="T925" s="135"/>
      <c r="U925" s="135"/>
      <c r="V925" s="135"/>
      <c r="W925" s="135"/>
      <c r="X925" s="135"/>
      <c r="Y925" s="135"/>
      <c r="Z925" s="135"/>
    </row>
    <row r="926" spans="1:26" ht="12.75">
      <c r="A926" s="136" t="s">
        <v>8</v>
      </c>
      <c r="B926" s="136" t="s">
        <v>587</v>
      </c>
      <c r="C926" s="136" t="s">
        <v>602</v>
      </c>
      <c r="D926" s="136" t="s">
        <v>7491</v>
      </c>
      <c r="E926" s="136" t="s">
        <v>615</v>
      </c>
      <c r="F926" s="136">
        <v>40</v>
      </c>
      <c r="G926" s="137">
        <f t="shared" si="3"/>
        <v>7</v>
      </c>
      <c r="H926" s="137"/>
      <c r="I926" s="137"/>
      <c r="J926" s="135"/>
      <c r="K926" s="135"/>
      <c r="L926" s="135"/>
      <c r="M926" s="135"/>
      <c r="N926" s="135"/>
      <c r="O926" s="135"/>
      <c r="P926" s="135"/>
      <c r="Q926" s="135"/>
      <c r="R926" s="135"/>
      <c r="S926" s="135"/>
      <c r="T926" s="135"/>
      <c r="U926" s="135"/>
      <c r="V926" s="135"/>
      <c r="W926" s="135"/>
      <c r="X926" s="135"/>
      <c r="Y926" s="135"/>
      <c r="Z926" s="135"/>
    </row>
    <row r="927" spans="1:26" ht="12.75">
      <c r="A927" s="136" t="s">
        <v>8</v>
      </c>
      <c r="B927" s="136" t="s">
        <v>587</v>
      </c>
      <c r="C927" s="136" t="s">
        <v>602</v>
      </c>
      <c r="D927" s="136" t="s">
        <v>1665</v>
      </c>
      <c r="E927" s="136" t="s">
        <v>615</v>
      </c>
      <c r="F927" s="136">
        <v>13</v>
      </c>
      <c r="G927" s="137">
        <f t="shared" si="3"/>
        <v>8</v>
      </c>
      <c r="H927" s="137"/>
      <c r="I927" s="137"/>
      <c r="J927" s="135"/>
      <c r="K927" s="135"/>
      <c r="L927" s="135"/>
      <c r="M927" s="135"/>
      <c r="N927" s="135"/>
      <c r="O927" s="135"/>
      <c r="P927" s="135"/>
      <c r="Q927" s="135"/>
      <c r="R927" s="135"/>
      <c r="S927" s="135"/>
      <c r="T927" s="135"/>
      <c r="U927" s="135"/>
      <c r="V927" s="135"/>
      <c r="W927" s="135"/>
      <c r="X927" s="135"/>
      <c r="Y927" s="135"/>
      <c r="Z927" s="135"/>
    </row>
    <row r="928" spans="1:26" ht="12.75">
      <c r="A928" s="136" t="s">
        <v>8</v>
      </c>
      <c r="B928" s="136" t="s">
        <v>587</v>
      </c>
      <c r="C928" s="136" t="s">
        <v>602</v>
      </c>
      <c r="D928" s="136" t="s">
        <v>7531</v>
      </c>
      <c r="E928" s="136" t="s">
        <v>615</v>
      </c>
      <c r="F928" s="136">
        <v>10</v>
      </c>
      <c r="G928" s="137">
        <f t="shared" si="3"/>
        <v>9</v>
      </c>
      <c r="H928" s="137"/>
      <c r="I928" s="137"/>
      <c r="J928" s="135"/>
      <c r="K928" s="135"/>
      <c r="L928" s="135"/>
      <c r="M928" s="135"/>
      <c r="N928" s="135"/>
      <c r="O928" s="135"/>
      <c r="P928" s="135"/>
      <c r="Q928" s="135"/>
      <c r="R928" s="135"/>
      <c r="S928" s="135"/>
      <c r="T928" s="135"/>
      <c r="U928" s="135"/>
      <c r="V928" s="135"/>
      <c r="W928" s="135"/>
      <c r="X928" s="135"/>
      <c r="Y928" s="135"/>
      <c r="Z928" s="135"/>
    </row>
    <row r="929" spans="1:26" ht="12.75">
      <c r="A929" s="136" t="s">
        <v>8</v>
      </c>
      <c r="B929" s="136" t="s">
        <v>587</v>
      </c>
      <c r="C929" s="136" t="s">
        <v>596</v>
      </c>
      <c r="D929" s="136" t="s">
        <v>139</v>
      </c>
      <c r="E929" s="136" t="s">
        <v>594</v>
      </c>
      <c r="F929" s="136">
        <v>503</v>
      </c>
      <c r="G929" s="137">
        <f t="shared" si="3"/>
        <v>1</v>
      </c>
      <c r="H929" s="137"/>
      <c r="I929" s="137"/>
      <c r="J929" s="135"/>
      <c r="K929" s="135"/>
      <c r="L929" s="135"/>
      <c r="M929" s="135"/>
      <c r="N929" s="135"/>
      <c r="O929" s="135"/>
      <c r="P929" s="135"/>
      <c r="Q929" s="135"/>
      <c r="R929" s="135"/>
      <c r="S929" s="135"/>
      <c r="T929" s="135"/>
      <c r="U929" s="135"/>
      <c r="V929" s="135"/>
      <c r="W929" s="135"/>
      <c r="X929" s="135"/>
      <c r="Y929" s="135"/>
      <c r="Z929" s="135"/>
    </row>
    <row r="930" spans="1:26" ht="12.75">
      <c r="A930" s="136" t="s">
        <v>8</v>
      </c>
      <c r="B930" s="136" t="s">
        <v>587</v>
      </c>
      <c r="C930" s="136" t="s">
        <v>596</v>
      </c>
      <c r="D930" s="136" t="s">
        <v>165</v>
      </c>
      <c r="E930" s="136" t="s">
        <v>615</v>
      </c>
      <c r="F930" s="136">
        <v>166</v>
      </c>
      <c r="G930" s="137">
        <f t="shared" si="3"/>
        <v>2</v>
      </c>
      <c r="H930" s="137"/>
      <c r="I930" s="137"/>
      <c r="J930" s="135"/>
      <c r="K930" s="135"/>
      <c r="L930" s="135"/>
      <c r="M930" s="135"/>
      <c r="N930" s="135"/>
      <c r="O930" s="135"/>
      <c r="P930" s="135"/>
      <c r="Q930" s="135"/>
      <c r="R930" s="135"/>
      <c r="S930" s="135"/>
      <c r="T930" s="135"/>
      <c r="U930" s="135"/>
      <c r="V930" s="135"/>
      <c r="W930" s="135"/>
      <c r="X930" s="135"/>
      <c r="Y930" s="135"/>
      <c r="Z930" s="135"/>
    </row>
    <row r="931" spans="1:26" ht="12.75">
      <c r="A931" s="136" t="s">
        <v>8</v>
      </c>
      <c r="B931" s="136" t="s">
        <v>587</v>
      </c>
      <c r="C931" s="136" t="s">
        <v>596</v>
      </c>
      <c r="D931" s="136" t="s">
        <v>7530</v>
      </c>
      <c r="E931" s="136" t="s">
        <v>85</v>
      </c>
      <c r="F931" s="136">
        <v>86</v>
      </c>
      <c r="G931" s="137">
        <f t="shared" si="3"/>
        <v>3</v>
      </c>
      <c r="H931" s="137"/>
      <c r="I931" s="137"/>
      <c r="J931" s="135"/>
      <c r="K931" s="135"/>
      <c r="L931" s="135"/>
      <c r="M931" s="135"/>
      <c r="N931" s="135"/>
      <c r="O931" s="135"/>
      <c r="P931" s="135"/>
      <c r="Q931" s="135"/>
      <c r="R931" s="135"/>
      <c r="S931" s="135"/>
      <c r="T931" s="135"/>
      <c r="U931" s="135"/>
      <c r="V931" s="135"/>
      <c r="W931" s="135"/>
      <c r="X931" s="135"/>
      <c r="Y931" s="135"/>
      <c r="Z931" s="135"/>
    </row>
    <row r="932" spans="1:26" ht="12.75">
      <c r="A932" s="136" t="s">
        <v>8</v>
      </c>
      <c r="B932" s="136" t="s">
        <v>587</v>
      </c>
      <c r="C932" s="136" t="s">
        <v>596</v>
      </c>
      <c r="D932" s="136" t="s">
        <v>595</v>
      </c>
      <c r="E932" s="136" t="s">
        <v>594</v>
      </c>
      <c r="F932" s="136">
        <v>65</v>
      </c>
      <c r="G932" s="137">
        <f t="shared" si="3"/>
        <v>4</v>
      </c>
      <c r="H932" s="137"/>
      <c r="I932" s="137"/>
      <c r="J932" s="135"/>
      <c r="K932" s="135"/>
      <c r="L932" s="135"/>
      <c r="M932" s="135"/>
      <c r="N932" s="135"/>
      <c r="O932" s="135"/>
      <c r="P932" s="135"/>
      <c r="Q932" s="135"/>
      <c r="R932" s="135"/>
      <c r="S932" s="135"/>
      <c r="T932" s="135"/>
      <c r="U932" s="135"/>
      <c r="V932" s="135"/>
      <c r="W932" s="135"/>
      <c r="X932" s="135"/>
      <c r="Y932" s="135"/>
      <c r="Z932" s="135"/>
    </row>
    <row r="933" spans="1:26" ht="12.75">
      <c r="A933" s="136" t="s">
        <v>8</v>
      </c>
      <c r="B933" s="136" t="s">
        <v>587</v>
      </c>
      <c r="C933" s="136" t="s">
        <v>596</v>
      </c>
      <c r="D933" s="136" t="s">
        <v>7533</v>
      </c>
      <c r="E933" s="136" t="s">
        <v>594</v>
      </c>
      <c r="F933" s="136">
        <v>58</v>
      </c>
      <c r="G933" s="137">
        <f t="shared" si="3"/>
        <v>5</v>
      </c>
      <c r="H933" s="137"/>
      <c r="I933" s="137"/>
      <c r="J933" s="135"/>
      <c r="K933" s="135"/>
      <c r="L933" s="135"/>
      <c r="M933" s="135"/>
      <c r="N933" s="135"/>
      <c r="O933" s="135"/>
      <c r="P933" s="135"/>
      <c r="Q933" s="135"/>
      <c r="R933" s="135"/>
      <c r="S933" s="135"/>
      <c r="T933" s="135"/>
      <c r="U933" s="135"/>
      <c r="V933" s="135"/>
      <c r="W933" s="135"/>
      <c r="X933" s="135"/>
      <c r="Y933" s="135"/>
      <c r="Z933" s="135"/>
    </row>
    <row r="934" spans="1:26" ht="12.75">
      <c r="A934" s="136" t="s">
        <v>8</v>
      </c>
      <c r="B934" s="136" t="s">
        <v>587</v>
      </c>
      <c r="C934" s="136" t="s">
        <v>596</v>
      </c>
      <c r="D934" s="136" t="s">
        <v>7491</v>
      </c>
      <c r="E934" s="136" t="s">
        <v>615</v>
      </c>
      <c r="F934" s="136">
        <v>40</v>
      </c>
      <c r="G934" s="137">
        <f t="shared" si="3"/>
        <v>6</v>
      </c>
      <c r="H934" s="137"/>
      <c r="I934" s="137"/>
      <c r="J934" s="135"/>
      <c r="K934" s="135"/>
      <c r="L934" s="135"/>
      <c r="M934" s="135"/>
      <c r="N934" s="135"/>
      <c r="O934" s="135"/>
      <c r="P934" s="135"/>
      <c r="Q934" s="135"/>
      <c r="R934" s="135"/>
      <c r="S934" s="135"/>
      <c r="T934" s="135"/>
      <c r="U934" s="135"/>
      <c r="V934" s="135"/>
      <c r="W934" s="135"/>
      <c r="X934" s="135"/>
      <c r="Y934" s="135"/>
      <c r="Z934" s="135"/>
    </row>
    <row r="935" spans="1:26" ht="12.75">
      <c r="A935" s="136" t="s">
        <v>8</v>
      </c>
      <c r="B935" s="136" t="s">
        <v>587</v>
      </c>
      <c r="C935" s="136" t="s">
        <v>596</v>
      </c>
      <c r="D935" s="136" t="s">
        <v>1665</v>
      </c>
      <c r="E935" s="136" t="s">
        <v>615</v>
      </c>
      <c r="F935" s="136">
        <v>20</v>
      </c>
      <c r="G935" s="137">
        <f t="shared" si="3"/>
        <v>7</v>
      </c>
      <c r="H935" s="137"/>
      <c r="I935" s="137"/>
      <c r="J935" s="135"/>
      <c r="K935" s="135"/>
      <c r="L935" s="135"/>
      <c r="M935" s="135"/>
      <c r="N935" s="135"/>
      <c r="O935" s="135"/>
      <c r="P935" s="135"/>
      <c r="Q935" s="135"/>
      <c r="R935" s="135"/>
      <c r="S935" s="135"/>
      <c r="T935" s="135"/>
      <c r="U935" s="135"/>
      <c r="V935" s="135"/>
      <c r="W935" s="135"/>
      <c r="X935" s="135"/>
      <c r="Y935" s="135"/>
      <c r="Z935" s="135"/>
    </row>
    <row r="936" spans="1:26" ht="12.75">
      <c r="A936" s="136" t="s">
        <v>8</v>
      </c>
      <c r="B936" s="136" t="s">
        <v>587</v>
      </c>
      <c r="C936" s="136" t="s">
        <v>596</v>
      </c>
      <c r="D936" s="136" t="s">
        <v>7544</v>
      </c>
      <c r="E936" s="136" t="s">
        <v>615</v>
      </c>
      <c r="F936" s="136">
        <v>15</v>
      </c>
      <c r="G936" s="137">
        <f t="shared" si="3"/>
        <v>8</v>
      </c>
      <c r="H936" s="137"/>
      <c r="I936" s="137"/>
      <c r="J936" s="135"/>
      <c r="K936" s="135"/>
      <c r="L936" s="135"/>
      <c r="M936" s="135"/>
      <c r="N936" s="135"/>
      <c r="O936" s="135"/>
      <c r="P936" s="135"/>
      <c r="Q936" s="135"/>
      <c r="R936" s="135"/>
      <c r="S936" s="135"/>
      <c r="T936" s="135"/>
      <c r="U936" s="135"/>
      <c r="V936" s="135"/>
      <c r="W936" s="135"/>
      <c r="X936" s="135"/>
      <c r="Y936" s="135"/>
      <c r="Z936" s="135"/>
    </row>
    <row r="937" spans="1:26" ht="12.75">
      <c r="A937" s="136" t="s">
        <v>8</v>
      </c>
      <c r="B937" s="136" t="s">
        <v>587</v>
      </c>
      <c r="C937" s="136" t="s">
        <v>596</v>
      </c>
      <c r="D937" s="136" t="s">
        <v>7545</v>
      </c>
      <c r="E937" s="136" t="s">
        <v>86</v>
      </c>
      <c r="F937" s="136">
        <v>5</v>
      </c>
      <c r="G937" s="137">
        <f t="shared" si="3"/>
        <v>9</v>
      </c>
      <c r="H937" s="137"/>
      <c r="I937" s="137"/>
      <c r="J937" s="135"/>
      <c r="K937" s="135"/>
      <c r="L937" s="135"/>
      <c r="M937" s="135"/>
      <c r="N937" s="135"/>
      <c r="O937" s="135"/>
      <c r="P937" s="135"/>
      <c r="Q937" s="135"/>
      <c r="R937" s="135"/>
      <c r="S937" s="135"/>
      <c r="T937" s="135"/>
      <c r="U937" s="135"/>
      <c r="V937" s="135"/>
      <c r="W937" s="135"/>
      <c r="X937" s="135"/>
      <c r="Y937" s="135"/>
      <c r="Z937" s="135"/>
    </row>
    <row r="938" spans="1:26" ht="12.75">
      <c r="A938" s="136" t="s">
        <v>8</v>
      </c>
      <c r="B938" s="136" t="s">
        <v>587</v>
      </c>
      <c r="C938" s="136" t="s">
        <v>7555</v>
      </c>
      <c r="D938" s="136" t="s">
        <v>165</v>
      </c>
      <c r="E938" s="136" t="s">
        <v>615</v>
      </c>
      <c r="F938" s="136">
        <v>1450</v>
      </c>
      <c r="G938" s="137">
        <f t="shared" si="3"/>
        <v>1</v>
      </c>
      <c r="H938" s="137"/>
      <c r="I938" s="137"/>
      <c r="J938" s="135"/>
      <c r="K938" s="135"/>
      <c r="L938" s="135"/>
      <c r="M938" s="135"/>
      <c r="N938" s="135"/>
      <c r="O938" s="135"/>
      <c r="P938" s="135"/>
      <c r="Q938" s="135"/>
      <c r="R938" s="135"/>
      <c r="S938" s="135"/>
      <c r="T938" s="135"/>
      <c r="U938" s="135"/>
      <c r="V938" s="135"/>
      <c r="W938" s="135"/>
      <c r="X938" s="135"/>
      <c r="Y938" s="135"/>
      <c r="Z938" s="135"/>
    </row>
    <row r="939" spans="1:26" ht="12.75">
      <c r="A939" s="136" t="s">
        <v>8</v>
      </c>
      <c r="B939" s="136" t="s">
        <v>587</v>
      </c>
      <c r="C939" s="136" t="s">
        <v>7555</v>
      </c>
      <c r="D939" s="136" t="s">
        <v>98</v>
      </c>
      <c r="E939" s="136" t="s">
        <v>615</v>
      </c>
      <c r="F939" s="136">
        <v>575</v>
      </c>
      <c r="G939" s="137">
        <f t="shared" si="3"/>
        <v>2</v>
      </c>
      <c r="H939" s="137"/>
      <c r="I939" s="137"/>
      <c r="J939" s="135"/>
      <c r="K939" s="135"/>
      <c r="L939" s="135"/>
      <c r="M939" s="135"/>
      <c r="N939" s="135"/>
      <c r="O939" s="135"/>
      <c r="P939" s="135"/>
      <c r="Q939" s="135"/>
      <c r="R939" s="135"/>
      <c r="S939" s="135"/>
      <c r="T939" s="135"/>
      <c r="U939" s="135"/>
      <c r="V939" s="135"/>
      <c r="W939" s="135"/>
      <c r="X939" s="135"/>
      <c r="Y939" s="135"/>
      <c r="Z939" s="135"/>
    </row>
    <row r="940" spans="1:26" ht="12.75">
      <c r="A940" s="136" t="s">
        <v>8</v>
      </c>
      <c r="B940" s="136" t="s">
        <v>587</v>
      </c>
      <c r="C940" s="136" t="s">
        <v>7555</v>
      </c>
      <c r="D940" s="136" t="s">
        <v>7530</v>
      </c>
      <c r="E940" s="136" t="s">
        <v>85</v>
      </c>
      <c r="F940" s="136">
        <v>129</v>
      </c>
      <c r="G940" s="137">
        <f t="shared" si="3"/>
        <v>3</v>
      </c>
      <c r="H940" s="137"/>
      <c r="I940" s="137"/>
      <c r="J940" s="135"/>
      <c r="K940" s="135"/>
      <c r="L940" s="135"/>
      <c r="M940" s="135"/>
      <c r="N940" s="135"/>
      <c r="O940" s="135"/>
      <c r="P940" s="135"/>
      <c r="Q940" s="135"/>
      <c r="R940" s="135"/>
      <c r="S940" s="135"/>
      <c r="T940" s="135"/>
      <c r="U940" s="135"/>
      <c r="V940" s="135"/>
      <c r="W940" s="135"/>
      <c r="X940" s="135"/>
      <c r="Y940" s="135"/>
      <c r="Z940" s="135"/>
    </row>
    <row r="941" spans="1:26" ht="12.75">
      <c r="A941" s="136" t="s">
        <v>8</v>
      </c>
      <c r="B941" s="136" t="s">
        <v>587</v>
      </c>
      <c r="C941" s="136" t="s">
        <v>7555</v>
      </c>
      <c r="D941" s="136" t="s">
        <v>139</v>
      </c>
      <c r="E941" s="136" t="s">
        <v>594</v>
      </c>
      <c r="F941" s="136">
        <v>128</v>
      </c>
      <c r="G941" s="137">
        <f t="shared" si="3"/>
        <v>4</v>
      </c>
      <c r="H941" s="137"/>
      <c r="I941" s="137"/>
      <c r="J941" s="135"/>
      <c r="K941" s="135"/>
      <c r="L941" s="135"/>
      <c r="M941" s="135"/>
      <c r="N941" s="135"/>
      <c r="O941" s="135"/>
      <c r="P941" s="135"/>
      <c r="Q941" s="135"/>
      <c r="R941" s="135"/>
      <c r="S941" s="135"/>
      <c r="T941" s="135"/>
      <c r="U941" s="135"/>
      <c r="V941" s="135"/>
      <c r="W941" s="135"/>
      <c r="X941" s="135"/>
      <c r="Y941" s="135"/>
      <c r="Z941" s="135"/>
    </row>
    <row r="942" spans="1:26" ht="12.75">
      <c r="A942" s="136" t="s">
        <v>8</v>
      </c>
      <c r="B942" s="136" t="s">
        <v>587</v>
      </c>
      <c r="C942" s="136" t="s">
        <v>7555</v>
      </c>
      <c r="D942" s="136" t="s">
        <v>7551</v>
      </c>
      <c r="E942" s="136" t="s">
        <v>615</v>
      </c>
      <c r="F942" s="136">
        <v>110</v>
      </c>
      <c r="G942" s="137">
        <f t="shared" si="3"/>
        <v>5</v>
      </c>
      <c r="H942" s="137"/>
      <c r="I942" s="137"/>
      <c r="J942" s="135"/>
      <c r="K942" s="135"/>
      <c r="L942" s="135"/>
      <c r="M942" s="135"/>
      <c r="N942" s="135"/>
      <c r="O942" s="135"/>
      <c r="P942" s="135"/>
      <c r="Q942" s="135"/>
      <c r="R942" s="135"/>
      <c r="S942" s="135"/>
      <c r="T942" s="135"/>
      <c r="U942" s="135"/>
      <c r="V942" s="135"/>
      <c r="W942" s="135"/>
      <c r="X942" s="135"/>
      <c r="Y942" s="135"/>
      <c r="Z942" s="135"/>
    </row>
    <row r="943" spans="1:26" ht="12.75">
      <c r="A943" s="136" t="s">
        <v>8</v>
      </c>
      <c r="B943" s="136" t="s">
        <v>587</v>
      </c>
      <c r="C943" s="136" t="s">
        <v>7555</v>
      </c>
      <c r="D943" s="136" t="s">
        <v>1665</v>
      </c>
      <c r="E943" s="136" t="s">
        <v>615</v>
      </c>
      <c r="F943" s="136">
        <v>110</v>
      </c>
      <c r="G943" s="137">
        <f t="shared" si="3"/>
        <v>6</v>
      </c>
      <c r="H943" s="137"/>
      <c r="I943" s="137"/>
      <c r="J943" s="135"/>
      <c r="K943" s="135"/>
      <c r="L943" s="135"/>
      <c r="M943" s="135"/>
      <c r="N943" s="135"/>
      <c r="O943" s="135"/>
      <c r="P943" s="135"/>
      <c r="Q943" s="135"/>
      <c r="R943" s="135"/>
      <c r="S943" s="135"/>
      <c r="T943" s="135"/>
      <c r="U943" s="135"/>
      <c r="V943" s="135"/>
      <c r="W943" s="135"/>
      <c r="X943" s="135"/>
      <c r="Y943" s="135"/>
      <c r="Z943" s="135"/>
    </row>
    <row r="944" spans="1:26" ht="12.75">
      <c r="A944" s="136" t="s">
        <v>8</v>
      </c>
      <c r="B944" s="136" t="s">
        <v>587</v>
      </c>
      <c r="C944" s="136" t="s">
        <v>7555</v>
      </c>
      <c r="D944" s="136" t="s">
        <v>7533</v>
      </c>
      <c r="E944" s="136" t="s">
        <v>594</v>
      </c>
      <c r="F944" s="136">
        <v>70</v>
      </c>
      <c r="G944" s="137">
        <f t="shared" si="3"/>
        <v>7</v>
      </c>
      <c r="H944" s="137"/>
      <c r="I944" s="137"/>
      <c r="J944" s="135"/>
      <c r="K944" s="135"/>
      <c r="L944" s="135"/>
      <c r="M944" s="135"/>
      <c r="N944" s="135"/>
      <c r="O944" s="135"/>
      <c r="P944" s="135"/>
      <c r="Q944" s="135"/>
      <c r="R944" s="135"/>
      <c r="S944" s="135"/>
      <c r="T944" s="135"/>
      <c r="U944" s="135"/>
      <c r="V944" s="135"/>
      <c r="W944" s="135"/>
      <c r="X944" s="135"/>
      <c r="Y944" s="135"/>
      <c r="Z944" s="135"/>
    </row>
    <row r="945" spans="1:26" ht="12.75">
      <c r="A945" s="136" t="s">
        <v>8</v>
      </c>
      <c r="B945" s="136" t="s">
        <v>587</v>
      </c>
      <c r="C945" s="136" t="s">
        <v>7555</v>
      </c>
      <c r="D945" s="136" t="s">
        <v>7491</v>
      </c>
      <c r="E945" s="136" t="s">
        <v>615</v>
      </c>
      <c r="F945" s="136">
        <v>60</v>
      </c>
      <c r="G945" s="137">
        <f t="shared" si="3"/>
        <v>8</v>
      </c>
      <c r="H945" s="137"/>
      <c r="I945" s="137"/>
      <c r="J945" s="135"/>
      <c r="K945" s="135"/>
      <c r="L945" s="135"/>
      <c r="M945" s="135"/>
      <c r="N945" s="135"/>
      <c r="O945" s="135"/>
      <c r="P945" s="135"/>
      <c r="Q945" s="135"/>
      <c r="R945" s="135"/>
      <c r="S945" s="135"/>
      <c r="T945" s="135"/>
      <c r="U945" s="135"/>
      <c r="V945" s="135"/>
      <c r="W945" s="135"/>
      <c r="X945" s="135"/>
      <c r="Y945" s="135"/>
      <c r="Z945" s="135"/>
    </row>
    <row r="946" spans="1:26" ht="12.75">
      <c r="A946" s="136" t="s">
        <v>8</v>
      </c>
      <c r="B946" s="136" t="s">
        <v>587</v>
      </c>
      <c r="C946" s="136" t="s">
        <v>7555</v>
      </c>
      <c r="D946" s="136" t="s">
        <v>7531</v>
      </c>
      <c r="E946" s="136" t="s">
        <v>615</v>
      </c>
      <c r="F946" s="136">
        <v>20</v>
      </c>
      <c r="G946" s="137">
        <f t="shared" si="3"/>
        <v>9</v>
      </c>
      <c r="H946" s="137"/>
      <c r="I946" s="137"/>
      <c r="J946" s="135"/>
      <c r="K946" s="135"/>
      <c r="L946" s="135"/>
      <c r="M946" s="135"/>
      <c r="N946" s="135"/>
      <c r="O946" s="135"/>
      <c r="P946" s="135"/>
      <c r="Q946" s="135"/>
      <c r="R946" s="135"/>
      <c r="S946" s="135"/>
      <c r="T946" s="135"/>
      <c r="U946" s="135"/>
      <c r="V946" s="135"/>
      <c r="W946" s="135"/>
      <c r="X946" s="135"/>
      <c r="Y946" s="135"/>
      <c r="Z946" s="135"/>
    </row>
    <row r="947" spans="1:26" ht="12.75">
      <c r="A947" s="136" t="s">
        <v>8</v>
      </c>
      <c r="B947" s="136" t="s">
        <v>587</v>
      </c>
      <c r="C947" s="136" t="s">
        <v>613</v>
      </c>
      <c r="D947" s="136" t="s">
        <v>7544</v>
      </c>
      <c r="E947" s="136" t="s">
        <v>615</v>
      </c>
      <c r="F947" s="136">
        <v>985</v>
      </c>
      <c r="G947" s="137">
        <f t="shared" si="3"/>
        <v>1</v>
      </c>
      <c r="H947" s="137"/>
      <c r="I947" s="137"/>
      <c r="J947" s="135"/>
      <c r="K947" s="135"/>
      <c r="L947" s="135"/>
      <c r="M947" s="135"/>
      <c r="N947" s="135"/>
      <c r="O947" s="135"/>
      <c r="P947" s="135"/>
      <c r="Q947" s="135"/>
      <c r="R947" s="135"/>
      <c r="S947" s="135"/>
      <c r="T947" s="135"/>
      <c r="U947" s="135"/>
      <c r="V947" s="135"/>
      <c r="W947" s="135"/>
      <c r="X947" s="135"/>
      <c r="Y947" s="135"/>
      <c r="Z947" s="135"/>
    </row>
    <row r="948" spans="1:26" ht="12.75">
      <c r="A948" s="136" t="s">
        <v>8</v>
      </c>
      <c r="B948" s="136" t="s">
        <v>587</v>
      </c>
      <c r="C948" s="136" t="s">
        <v>613</v>
      </c>
      <c r="D948" s="136" t="s">
        <v>165</v>
      </c>
      <c r="E948" s="136" t="s">
        <v>615</v>
      </c>
      <c r="F948" s="136">
        <v>480</v>
      </c>
      <c r="G948" s="137">
        <f t="shared" si="3"/>
        <v>2</v>
      </c>
      <c r="H948" s="137"/>
      <c r="I948" s="137"/>
      <c r="J948" s="135"/>
      <c r="K948" s="135"/>
      <c r="L948" s="135"/>
      <c r="M948" s="135"/>
      <c r="N948" s="135"/>
      <c r="O948" s="135"/>
      <c r="P948" s="135"/>
      <c r="Q948" s="135"/>
      <c r="R948" s="135"/>
      <c r="S948" s="135"/>
      <c r="T948" s="135"/>
      <c r="U948" s="135"/>
      <c r="V948" s="135"/>
      <c r="W948" s="135"/>
      <c r="X948" s="135"/>
      <c r="Y948" s="135"/>
      <c r="Z948" s="135"/>
    </row>
    <row r="949" spans="1:26" ht="12.75">
      <c r="A949" s="136" t="s">
        <v>8</v>
      </c>
      <c r="B949" s="136" t="s">
        <v>587</v>
      </c>
      <c r="C949" s="136" t="s">
        <v>613</v>
      </c>
      <c r="D949" s="136" t="s">
        <v>7530</v>
      </c>
      <c r="E949" s="136" t="s">
        <v>85</v>
      </c>
      <c r="F949" s="136">
        <v>266</v>
      </c>
      <c r="G949" s="137">
        <f t="shared" si="3"/>
        <v>3</v>
      </c>
      <c r="H949" s="137"/>
      <c r="I949" s="137"/>
      <c r="J949" s="135"/>
      <c r="K949" s="135"/>
      <c r="L949" s="135"/>
      <c r="M949" s="135"/>
      <c r="N949" s="135"/>
      <c r="O949" s="135"/>
      <c r="P949" s="135"/>
      <c r="Q949" s="135"/>
      <c r="R949" s="135"/>
      <c r="S949" s="135"/>
      <c r="T949" s="135"/>
      <c r="U949" s="135"/>
      <c r="V949" s="135"/>
      <c r="W949" s="135"/>
      <c r="X949" s="135"/>
      <c r="Y949" s="135"/>
      <c r="Z949" s="135"/>
    </row>
    <row r="950" spans="1:26" ht="12.75">
      <c r="A950" s="136" t="s">
        <v>8</v>
      </c>
      <c r="B950" s="136" t="s">
        <v>587</v>
      </c>
      <c r="C950" s="136" t="s">
        <v>613</v>
      </c>
      <c r="D950" s="136" t="s">
        <v>139</v>
      </c>
      <c r="E950" s="136" t="s">
        <v>594</v>
      </c>
      <c r="F950" s="136">
        <v>180</v>
      </c>
      <c r="G950" s="137">
        <f t="shared" si="3"/>
        <v>4</v>
      </c>
      <c r="H950" s="137"/>
      <c r="I950" s="137"/>
      <c r="J950" s="135"/>
      <c r="K950" s="135"/>
      <c r="L950" s="135"/>
      <c r="M950" s="135"/>
      <c r="N950" s="135"/>
      <c r="O950" s="135"/>
      <c r="P950" s="135"/>
      <c r="Q950" s="135"/>
      <c r="R950" s="135"/>
      <c r="S950" s="135"/>
      <c r="T950" s="135"/>
      <c r="U950" s="135"/>
      <c r="V950" s="135"/>
      <c r="W950" s="135"/>
      <c r="X950" s="135"/>
      <c r="Y950" s="135"/>
      <c r="Z950" s="135"/>
    </row>
    <row r="951" spans="1:26" ht="12.75">
      <c r="A951" s="136" t="s">
        <v>8</v>
      </c>
      <c r="B951" s="136" t="s">
        <v>587</v>
      </c>
      <c r="C951" s="136" t="s">
        <v>613</v>
      </c>
      <c r="D951" s="136" t="s">
        <v>7545</v>
      </c>
      <c r="E951" s="136" t="s">
        <v>86</v>
      </c>
      <c r="F951" s="136">
        <v>144</v>
      </c>
      <c r="G951" s="137">
        <f t="shared" si="3"/>
        <v>5</v>
      </c>
      <c r="H951" s="137"/>
      <c r="I951" s="137"/>
      <c r="J951" s="135"/>
      <c r="K951" s="135"/>
      <c r="L951" s="135"/>
      <c r="M951" s="135"/>
      <c r="N951" s="135"/>
      <c r="O951" s="135"/>
      <c r="P951" s="135"/>
      <c r="Q951" s="135"/>
      <c r="R951" s="135"/>
      <c r="S951" s="135"/>
      <c r="T951" s="135"/>
      <c r="U951" s="135"/>
      <c r="V951" s="135"/>
      <c r="W951" s="135"/>
      <c r="X951" s="135"/>
      <c r="Y951" s="135"/>
      <c r="Z951" s="135"/>
    </row>
    <row r="952" spans="1:26" ht="12.75">
      <c r="A952" s="136" t="s">
        <v>8</v>
      </c>
      <c r="B952" s="136" t="s">
        <v>587</v>
      </c>
      <c r="C952" s="136" t="s">
        <v>613</v>
      </c>
      <c r="D952" s="136" t="s">
        <v>1665</v>
      </c>
      <c r="E952" s="136" t="s">
        <v>615</v>
      </c>
      <c r="F952" s="136">
        <v>105</v>
      </c>
      <c r="G952" s="137">
        <f t="shared" si="3"/>
        <v>6</v>
      </c>
      <c r="H952" s="137"/>
      <c r="I952" s="137"/>
      <c r="J952" s="135"/>
      <c r="K952" s="135"/>
      <c r="L952" s="135"/>
      <c r="M952" s="135"/>
      <c r="N952" s="135"/>
      <c r="O952" s="135"/>
      <c r="P952" s="135"/>
      <c r="Q952" s="135"/>
      <c r="R952" s="135"/>
      <c r="S952" s="135"/>
      <c r="T952" s="135"/>
      <c r="U952" s="135"/>
      <c r="V952" s="135"/>
      <c r="W952" s="135"/>
      <c r="X952" s="135"/>
      <c r="Y952" s="135"/>
      <c r="Z952" s="135"/>
    </row>
    <row r="953" spans="1:26" ht="12.75">
      <c r="A953" s="136" t="s">
        <v>8</v>
      </c>
      <c r="B953" s="136" t="s">
        <v>587</v>
      </c>
      <c r="C953" s="136" t="s">
        <v>613</v>
      </c>
      <c r="D953" s="136" t="s">
        <v>7533</v>
      </c>
      <c r="E953" s="136" t="s">
        <v>594</v>
      </c>
      <c r="F953" s="136">
        <v>90</v>
      </c>
      <c r="G953" s="137">
        <f t="shared" si="3"/>
        <v>7</v>
      </c>
      <c r="H953" s="137"/>
      <c r="I953" s="137"/>
      <c r="J953" s="135"/>
      <c r="K953" s="135"/>
      <c r="L953" s="135"/>
      <c r="M953" s="135"/>
      <c r="N953" s="135"/>
      <c r="O953" s="135"/>
      <c r="P953" s="135"/>
      <c r="Q953" s="135"/>
      <c r="R953" s="135"/>
      <c r="S953" s="135"/>
      <c r="T953" s="135"/>
      <c r="U953" s="135"/>
      <c r="V953" s="135"/>
      <c r="W953" s="135"/>
      <c r="X953" s="135"/>
      <c r="Y953" s="135"/>
      <c r="Z953" s="135"/>
    </row>
    <row r="954" spans="1:26" ht="12.75">
      <c r="A954" s="136" t="s">
        <v>8</v>
      </c>
      <c r="B954" s="136" t="s">
        <v>587</v>
      </c>
      <c r="C954" s="136" t="s">
        <v>613</v>
      </c>
      <c r="D954" s="136" t="s">
        <v>7491</v>
      </c>
      <c r="E954" s="136" t="s">
        <v>615</v>
      </c>
      <c r="F954" s="136">
        <v>80</v>
      </c>
      <c r="G954" s="137">
        <f t="shared" si="3"/>
        <v>8</v>
      </c>
      <c r="H954" s="137"/>
      <c r="I954" s="137"/>
      <c r="J954" s="135"/>
      <c r="K954" s="135"/>
      <c r="L954" s="135"/>
      <c r="M954" s="135"/>
      <c r="N954" s="135"/>
      <c r="O954" s="135"/>
      <c r="P954" s="135"/>
      <c r="Q954" s="135"/>
      <c r="R954" s="135"/>
      <c r="S954" s="135"/>
      <c r="T954" s="135"/>
      <c r="U954" s="135"/>
      <c r="V954" s="135"/>
      <c r="W954" s="135"/>
      <c r="X954" s="135"/>
      <c r="Y954" s="135"/>
      <c r="Z954" s="135"/>
    </row>
    <row r="955" spans="1:26" ht="12.75">
      <c r="A955" s="136" t="s">
        <v>8</v>
      </c>
      <c r="B955" s="136" t="s">
        <v>587</v>
      </c>
      <c r="C955" s="136" t="s">
        <v>613</v>
      </c>
      <c r="D955" s="136" t="s">
        <v>7551</v>
      </c>
      <c r="E955" s="136" t="s">
        <v>615</v>
      </c>
      <c r="F955" s="136">
        <v>80</v>
      </c>
      <c r="G955" s="137">
        <f t="shared" si="3"/>
        <v>9</v>
      </c>
      <c r="H955" s="137"/>
      <c r="I955" s="137"/>
      <c r="J955" s="135"/>
      <c r="K955" s="135"/>
      <c r="L955" s="135"/>
      <c r="M955" s="135"/>
      <c r="N955" s="135"/>
      <c r="O955" s="135"/>
      <c r="P955" s="135"/>
      <c r="Q955" s="135"/>
      <c r="R955" s="135"/>
      <c r="S955" s="135"/>
      <c r="T955" s="135"/>
      <c r="U955" s="135"/>
      <c r="V955" s="135"/>
      <c r="W955" s="135"/>
      <c r="X955" s="135"/>
      <c r="Y955" s="135"/>
      <c r="Z955" s="135"/>
    </row>
    <row r="956" spans="1:26" ht="12.75">
      <c r="A956" s="136" t="s">
        <v>8</v>
      </c>
      <c r="B956" s="136" t="s">
        <v>587</v>
      </c>
      <c r="C956" s="136" t="s">
        <v>613</v>
      </c>
      <c r="D956" s="136" t="s">
        <v>595</v>
      </c>
      <c r="E956" s="136" t="s">
        <v>594</v>
      </c>
      <c r="F956" s="136">
        <v>35</v>
      </c>
      <c r="G956" s="137">
        <f t="shared" si="3"/>
        <v>10</v>
      </c>
      <c r="H956" s="137"/>
      <c r="I956" s="137"/>
      <c r="J956" s="135"/>
      <c r="K956" s="135"/>
      <c r="L956" s="135"/>
      <c r="M956" s="135"/>
      <c r="N956" s="135"/>
      <c r="O956" s="135"/>
      <c r="P956" s="135"/>
      <c r="Q956" s="135"/>
      <c r="R956" s="135"/>
      <c r="S956" s="135"/>
      <c r="T956" s="135"/>
      <c r="U956" s="135"/>
      <c r="V956" s="135"/>
      <c r="W956" s="135"/>
      <c r="X956" s="135"/>
      <c r="Y956" s="135"/>
      <c r="Z956" s="135"/>
    </row>
    <row r="957" spans="1:26" ht="12.75">
      <c r="A957" s="136" t="s">
        <v>8</v>
      </c>
      <c r="B957" s="136" t="s">
        <v>587</v>
      </c>
      <c r="C957" s="136" t="s">
        <v>613</v>
      </c>
      <c r="D957" s="136" t="s">
        <v>7531</v>
      </c>
      <c r="E957" s="136" t="s">
        <v>615</v>
      </c>
      <c r="F957" s="136">
        <v>20</v>
      </c>
      <c r="G957" s="137">
        <f t="shared" si="3"/>
        <v>11</v>
      </c>
      <c r="H957" s="137"/>
      <c r="I957" s="137"/>
      <c r="J957" s="135"/>
      <c r="K957" s="135"/>
      <c r="L957" s="135"/>
      <c r="M957" s="135"/>
      <c r="N957" s="135"/>
      <c r="O957" s="135"/>
      <c r="P957" s="135"/>
      <c r="Q957" s="135"/>
      <c r="R957" s="135"/>
      <c r="S957" s="135"/>
      <c r="T957" s="135"/>
      <c r="U957" s="135"/>
      <c r="V957" s="135"/>
      <c r="W957" s="135"/>
      <c r="X957" s="135"/>
      <c r="Y957" s="135"/>
      <c r="Z957" s="135"/>
    </row>
    <row r="958" spans="1:26" ht="12.75">
      <c r="A958" s="136" t="s">
        <v>8</v>
      </c>
      <c r="B958" s="136" t="s">
        <v>587</v>
      </c>
      <c r="C958" s="136" t="s">
        <v>588</v>
      </c>
      <c r="D958" s="136" t="s">
        <v>7544</v>
      </c>
      <c r="E958" s="136" t="s">
        <v>615</v>
      </c>
      <c r="F958" s="136">
        <v>1499</v>
      </c>
      <c r="G958" s="137">
        <f t="shared" si="3"/>
        <v>1</v>
      </c>
      <c r="H958" s="137"/>
      <c r="I958" s="137"/>
      <c r="J958" s="135"/>
      <c r="K958" s="135"/>
      <c r="L958" s="135"/>
      <c r="M958" s="135"/>
      <c r="N958" s="135"/>
      <c r="O958" s="135"/>
      <c r="P958" s="135"/>
      <c r="Q958" s="135"/>
      <c r="R958" s="135"/>
      <c r="S958" s="135"/>
      <c r="T958" s="135"/>
      <c r="U958" s="135"/>
      <c r="V958" s="135"/>
      <c r="W958" s="135"/>
      <c r="X958" s="135"/>
      <c r="Y958" s="135"/>
      <c r="Z958" s="135"/>
    </row>
    <row r="959" spans="1:26" ht="12.75">
      <c r="A959" s="136" t="s">
        <v>8</v>
      </c>
      <c r="B959" s="136" t="s">
        <v>587</v>
      </c>
      <c r="C959" s="136" t="s">
        <v>588</v>
      </c>
      <c r="D959" s="136" t="s">
        <v>7530</v>
      </c>
      <c r="E959" s="136" t="s">
        <v>85</v>
      </c>
      <c r="F959" s="136">
        <v>322</v>
      </c>
      <c r="G959" s="137">
        <f t="shared" si="3"/>
        <v>2</v>
      </c>
      <c r="H959" s="137"/>
      <c r="I959" s="137"/>
      <c r="J959" s="135"/>
      <c r="K959" s="135"/>
      <c r="L959" s="135"/>
      <c r="M959" s="135"/>
      <c r="N959" s="135"/>
      <c r="O959" s="135"/>
      <c r="P959" s="135"/>
      <c r="Q959" s="135"/>
      <c r="R959" s="135"/>
      <c r="S959" s="135"/>
      <c r="T959" s="135"/>
      <c r="U959" s="135"/>
      <c r="V959" s="135"/>
      <c r="W959" s="135"/>
      <c r="X959" s="135"/>
      <c r="Y959" s="135"/>
      <c r="Z959" s="135"/>
    </row>
    <row r="960" spans="1:26" ht="12.75">
      <c r="A960" s="136" t="s">
        <v>8</v>
      </c>
      <c r="B960" s="136" t="s">
        <v>587</v>
      </c>
      <c r="C960" s="136" t="s">
        <v>588</v>
      </c>
      <c r="D960" s="136" t="s">
        <v>165</v>
      </c>
      <c r="E960" s="136" t="s">
        <v>615</v>
      </c>
      <c r="F960" s="136">
        <v>260</v>
      </c>
      <c r="G960" s="137">
        <f t="shared" si="3"/>
        <v>3</v>
      </c>
      <c r="H960" s="137"/>
      <c r="I960" s="137"/>
      <c r="J960" s="135"/>
      <c r="K960" s="135"/>
      <c r="L960" s="135"/>
      <c r="M960" s="135"/>
      <c r="N960" s="135"/>
      <c r="O960" s="135"/>
      <c r="P960" s="135"/>
      <c r="Q960" s="135"/>
      <c r="R960" s="135"/>
      <c r="S960" s="135"/>
      <c r="T960" s="135"/>
      <c r="U960" s="135"/>
      <c r="V960" s="135"/>
      <c r="W960" s="135"/>
      <c r="X960" s="135"/>
      <c r="Y960" s="135"/>
      <c r="Z960" s="135"/>
    </row>
    <row r="961" spans="1:26" ht="12.75">
      <c r="A961" s="136" t="s">
        <v>8</v>
      </c>
      <c r="B961" s="136" t="s">
        <v>587</v>
      </c>
      <c r="C961" s="136" t="s">
        <v>588</v>
      </c>
      <c r="D961" s="136" t="s">
        <v>139</v>
      </c>
      <c r="E961" s="136" t="s">
        <v>594</v>
      </c>
      <c r="F961" s="136">
        <v>157</v>
      </c>
      <c r="G961" s="137">
        <f t="shared" si="3"/>
        <v>4</v>
      </c>
      <c r="H961" s="137"/>
      <c r="I961" s="137"/>
      <c r="J961" s="135"/>
      <c r="K961" s="135"/>
      <c r="L961" s="135"/>
      <c r="M961" s="135"/>
      <c r="N961" s="135"/>
      <c r="O961" s="135"/>
      <c r="P961" s="135"/>
      <c r="Q961" s="135"/>
      <c r="R961" s="135"/>
      <c r="S961" s="135"/>
      <c r="T961" s="135"/>
      <c r="U961" s="135"/>
      <c r="V961" s="135"/>
      <c r="W961" s="135"/>
      <c r="X961" s="135"/>
      <c r="Y961" s="135"/>
      <c r="Z961" s="135"/>
    </row>
    <row r="962" spans="1:26" ht="12.75">
      <c r="A962" s="136" t="s">
        <v>8</v>
      </c>
      <c r="B962" s="136" t="s">
        <v>587</v>
      </c>
      <c r="C962" s="136" t="s">
        <v>588</v>
      </c>
      <c r="D962" s="136" t="s">
        <v>1665</v>
      </c>
      <c r="E962" s="136" t="s">
        <v>615</v>
      </c>
      <c r="F962" s="136">
        <v>85</v>
      </c>
      <c r="G962" s="137">
        <f t="shared" si="3"/>
        <v>5</v>
      </c>
      <c r="H962" s="137"/>
      <c r="I962" s="137"/>
      <c r="J962" s="135"/>
      <c r="K962" s="135"/>
      <c r="L962" s="135"/>
      <c r="M962" s="135"/>
      <c r="N962" s="135"/>
      <c r="O962" s="135"/>
      <c r="P962" s="135"/>
      <c r="Q962" s="135"/>
      <c r="R962" s="135"/>
      <c r="S962" s="135"/>
      <c r="T962" s="135"/>
      <c r="U962" s="135"/>
      <c r="V962" s="135"/>
      <c r="W962" s="135"/>
      <c r="X962" s="135"/>
      <c r="Y962" s="135"/>
      <c r="Z962" s="135"/>
    </row>
    <row r="963" spans="1:26" ht="12.75">
      <c r="A963" s="136" t="s">
        <v>8</v>
      </c>
      <c r="B963" s="136" t="s">
        <v>587</v>
      </c>
      <c r="C963" s="136" t="s">
        <v>588</v>
      </c>
      <c r="D963" s="136" t="s">
        <v>7533</v>
      </c>
      <c r="E963" s="136" t="s">
        <v>594</v>
      </c>
      <c r="F963" s="136">
        <v>62</v>
      </c>
      <c r="G963" s="137">
        <f t="shared" si="3"/>
        <v>6</v>
      </c>
      <c r="H963" s="137"/>
      <c r="I963" s="137"/>
      <c r="J963" s="135"/>
      <c r="K963" s="135"/>
      <c r="L963" s="135"/>
      <c r="M963" s="135"/>
      <c r="N963" s="135"/>
      <c r="O963" s="135"/>
      <c r="P963" s="135"/>
      <c r="Q963" s="135"/>
      <c r="R963" s="135"/>
      <c r="S963" s="135"/>
      <c r="T963" s="135"/>
      <c r="U963" s="135"/>
      <c r="V963" s="135"/>
      <c r="W963" s="135"/>
      <c r="X963" s="135"/>
      <c r="Y963" s="135"/>
      <c r="Z963" s="135"/>
    </row>
    <row r="964" spans="1:26" ht="12.75">
      <c r="A964" s="136" t="s">
        <v>8</v>
      </c>
      <c r="B964" s="136" t="s">
        <v>587</v>
      </c>
      <c r="C964" s="136" t="s">
        <v>588</v>
      </c>
      <c r="D964" s="136" t="s">
        <v>7491</v>
      </c>
      <c r="E964" s="136" t="s">
        <v>615</v>
      </c>
      <c r="F964" s="136">
        <v>40</v>
      </c>
      <c r="G964" s="137">
        <f t="shared" si="3"/>
        <v>7</v>
      </c>
      <c r="H964" s="137"/>
      <c r="I964" s="137"/>
      <c r="J964" s="135"/>
      <c r="K964" s="135"/>
      <c r="L964" s="135"/>
      <c r="M964" s="135"/>
      <c r="N964" s="135"/>
      <c r="O964" s="135"/>
      <c r="P964" s="135"/>
      <c r="Q964" s="135"/>
      <c r="R964" s="135"/>
      <c r="S964" s="135"/>
      <c r="T964" s="135"/>
      <c r="U964" s="135"/>
      <c r="V964" s="135"/>
      <c r="W964" s="135"/>
      <c r="X964" s="135"/>
      <c r="Y964" s="135"/>
      <c r="Z964" s="135"/>
    </row>
    <row r="965" spans="1:26" ht="12.75">
      <c r="A965" s="136" t="s">
        <v>8</v>
      </c>
      <c r="B965" s="136" t="s">
        <v>587</v>
      </c>
      <c r="C965" s="136" t="s">
        <v>588</v>
      </c>
      <c r="D965" s="136" t="s">
        <v>368</v>
      </c>
      <c r="E965" s="136" t="s">
        <v>594</v>
      </c>
      <c r="F965" s="136">
        <v>23</v>
      </c>
      <c r="G965" s="137">
        <f t="shared" si="3"/>
        <v>8</v>
      </c>
      <c r="H965" s="137"/>
      <c r="I965" s="137"/>
      <c r="J965" s="135"/>
      <c r="K965" s="135"/>
      <c r="L965" s="135"/>
      <c r="M965" s="135"/>
      <c r="N965" s="135"/>
      <c r="O965" s="135"/>
      <c r="P965" s="135"/>
      <c r="Q965" s="135"/>
      <c r="R965" s="135"/>
      <c r="S965" s="135"/>
      <c r="T965" s="135"/>
      <c r="U965" s="135"/>
      <c r="V965" s="135"/>
      <c r="W965" s="135"/>
      <c r="X965" s="135"/>
      <c r="Y965" s="135"/>
      <c r="Z965" s="135"/>
    </row>
    <row r="966" spans="1:26" ht="12.75">
      <c r="A966" s="136" t="s">
        <v>8</v>
      </c>
      <c r="B966" s="136" t="s">
        <v>7556</v>
      </c>
      <c r="C966" s="136" t="s">
        <v>645</v>
      </c>
      <c r="D966" s="136" t="s">
        <v>139</v>
      </c>
      <c r="E966" s="136" t="s">
        <v>594</v>
      </c>
      <c r="F966" s="136">
        <v>971</v>
      </c>
      <c r="G966" s="137">
        <f t="shared" si="3"/>
        <v>1</v>
      </c>
      <c r="H966" s="137"/>
      <c r="I966" s="137"/>
      <c r="J966" s="135"/>
      <c r="K966" s="135"/>
      <c r="L966" s="135"/>
      <c r="M966" s="135"/>
      <c r="N966" s="135"/>
      <c r="O966" s="135"/>
      <c r="P966" s="135"/>
      <c r="Q966" s="135"/>
      <c r="R966" s="135"/>
      <c r="S966" s="135"/>
      <c r="T966" s="135"/>
      <c r="U966" s="135"/>
      <c r="V966" s="135"/>
      <c r="W966" s="135"/>
      <c r="X966" s="135"/>
      <c r="Y966" s="135"/>
      <c r="Z966" s="135"/>
    </row>
    <row r="967" spans="1:26" ht="12.75">
      <c r="A967" s="136" t="s">
        <v>8</v>
      </c>
      <c r="B967" s="136" t="s">
        <v>7556</v>
      </c>
      <c r="C967" s="136" t="s">
        <v>645</v>
      </c>
      <c r="D967" s="136" t="s">
        <v>165</v>
      </c>
      <c r="E967" s="136" t="s">
        <v>615</v>
      </c>
      <c r="F967" s="136">
        <v>677</v>
      </c>
      <c r="G967" s="137">
        <f t="shared" si="3"/>
        <v>2</v>
      </c>
      <c r="H967" s="137"/>
      <c r="I967" s="137"/>
      <c r="J967" s="135"/>
      <c r="K967" s="135"/>
      <c r="L967" s="135"/>
      <c r="M967" s="135"/>
      <c r="N967" s="135"/>
      <c r="O967" s="135"/>
      <c r="P967" s="135"/>
      <c r="Q967" s="135"/>
      <c r="R967" s="135"/>
      <c r="S967" s="135"/>
      <c r="T967" s="135"/>
      <c r="U967" s="135"/>
      <c r="V967" s="135"/>
      <c r="W967" s="135"/>
      <c r="X967" s="135"/>
      <c r="Y967" s="135"/>
      <c r="Z967" s="135"/>
    </row>
    <row r="968" spans="1:26" ht="12.75">
      <c r="A968" s="136" t="s">
        <v>8</v>
      </c>
      <c r="B968" s="136" t="s">
        <v>7556</v>
      </c>
      <c r="C968" s="136" t="s">
        <v>645</v>
      </c>
      <c r="D968" s="136" t="s">
        <v>7530</v>
      </c>
      <c r="E968" s="136" t="s">
        <v>85</v>
      </c>
      <c r="F968" s="136">
        <v>269</v>
      </c>
      <c r="G968" s="137">
        <f t="shared" si="3"/>
        <v>3</v>
      </c>
      <c r="H968" s="137"/>
      <c r="I968" s="137"/>
      <c r="J968" s="135"/>
      <c r="K968" s="135"/>
      <c r="L968" s="135"/>
      <c r="M968" s="135"/>
      <c r="N968" s="135"/>
      <c r="O968" s="135"/>
      <c r="P968" s="135"/>
      <c r="Q968" s="135"/>
      <c r="R968" s="135"/>
      <c r="S968" s="135"/>
      <c r="T968" s="135"/>
      <c r="U968" s="135"/>
      <c r="V968" s="135"/>
      <c r="W968" s="135"/>
      <c r="X968" s="135"/>
      <c r="Y968" s="135"/>
      <c r="Z968" s="135"/>
    </row>
    <row r="969" spans="1:26" ht="12.75">
      <c r="A969" s="136" t="s">
        <v>8</v>
      </c>
      <c r="B969" s="136" t="s">
        <v>7556</v>
      </c>
      <c r="C969" s="136" t="s">
        <v>645</v>
      </c>
      <c r="D969" s="136" t="s">
        <v>7533</v>
      </c>
      <c r="E969" s="136" t="s">
        <v>594</v>
      </c>
      <c r="F969" s="136">
        <v>102</v>
      </c>
      <c r="G969" s="137">
        <f t="shared" si="3"/>
        <v>4</v>
      </c>
      <c r="H969" s="137"/>
      <c r="I969" s="137"/>
      <c r="J969" s="135"/>
      <c r="K969" s="135"/>
      <c r="L969" s="135"/>
      <c r="M969" s="135"/>
      <c r="N969" s="135"/>
      <c r="O969" s="135"/>
      <c r="P969" s="135"/>
      <c r="Q969" s="135"/>
      <c r="R969" s="135"/>
      <c r="S969" s="135"/>
      <c r="T969" s="135"/>
      <c r="U969" s="135"/>
      <c r="V969" s="135"/>
      <c r="W969" s="135"/>
      <c r="X969" s="135"/>
      <c r="Y969" s="135"/>
      <c r="Z969" s="135"/>
    </row>
    <row r="970" spans="1:26" ht="12.75">
      <c r="A970" s="136" t="s">
        <v>8</v>
      </c>
      <c r="B970" s="136" t="s">
        <v>7556</v>
      </c>
      <c r="C970" s="136" t="s">
        <v>645</v>
      </c>
      <c r="D970" s="136" t="s">
        <v>7491</v>
      </c>
      <c r="E970" s="136" t="s">
        <v>615</v>
      </c>
      <c r="F970" s="136">
        <v>100</v>
      </c>
      <c r="G970" s="137">
        <f t="shared" si="3"/>
        <v>5</v>
      </c>
      <c r="H970" s="137"/>
      <c r="I970" s="137"/>
      <c r="J970" s="135"/>
      <c r="K970" s="135"/>
      <c r="L970" s="135"/>
      <c r="M970" s="135"/>
      <c r="N970" s="135"/>
      <c r="O970" s="135"/>
      <c r="P970" s="135"/>
      <c r="Q970" s="135"/>
      <c r="R970" s="135"/>
      <c r="S970" s="135"/>
      <c r="T970" s="135"/>
      <c r="U970" s="135"/>
      <c r="V970" s="135"/>
      <c r="W970" s="135"/>
      <c r="X970" s="135"/>
      <c r="Y970" s="135"/>
      <c r="Z970" s="135"/>
    </row>
    <row r="971" spans="1:26" ht="12.75">
      <c r="A971" s="136" t="s">
        <v>8</v>
      </c>
      <c r="B971" s="136" t="s">
        <v>7556</v>
      </c>
      <c r="C971" s="136" t="s">
        <v>645</v>
      </c>
      <c r="D971" s="136" t="s">
        <v>7544</v>
      </c>
      <c r="E971" s="136" t="s">
        <v>615</v>
      </c>
      <c r="F971" s="136">
        <v>95</v>
      </c>
      <c r="G971" s="137">
        <f t="shared" si="3"/>
        <v>6</v>
      </c>
      <c r="H971" s="137"/>
      <c r="I971" s="137"/>
      <c r="J971" s="135"/>
      <c r="K971" s="135"/>
      <c r="L971" s="135"/>
      <c r="M971" s="135"/>
      <c r="N971" s="135"/>
      <c r="O971" s="135"/>
      <c r="P971" s="135"/>
      <c r="Q971" s="135"/>
      <c r="R971" s="135"/>
      <c r="S971" s="135"/>
      <c r="T971" s="135"/>
      <c r="U971" s="135"/>
      <c r="V971" s="135"/>
      <c r="W971" s="135"/>
      <c r="X971" s="135"/>
      <c r="Y971" s="135"/>
      <c r="Z971" s="135"/>
    </row>
    <row r="972" spans="1:26" ht="12.75">
      <c r="A972" s="136" t="s">
        <v>8</v>
      </c>
      <c r="B972" s="136" t="s">
        <v>7556</v>
      </c>
      <c r="C972" s="136" t="s">
        <v>645</v>
      </c>
      <c r="D972" s="136" t="s">
        <v>1665</v>
      </c>
      <c r="E972" s="136" t="s">
        <v>615</v>
      </c>
      <c r="F972" s="136">
        <v>80</v>
      </c>
      <c r="G972" s="137">
        <f t="shared" si="3"/>
        <v>7</v>
      </c>
      <c r="H972" s="137"/>
      <c r="I972" s="137"/>
      <c r="J972" s="135"/>
      <c r="K972" s="135"/>
      <c r="L972" s="135"/>
      <c r="M972" s="135"/>
      <c r="N972" s="135"/>
      <c r="O972" s="135"/>
      <c r="P972" s="135"/>
      <c r="Q972" s="135"/>
      <c r="R972" s="135"/>
      <c r="S972" s="135"/>
      <c r="T972" s="135"/>
      <c r="U972" s="135"/>
      <c r="V972" s="135"/>
      <c r="W972" s="135"/>
      <c r="X972" s="135"/>
      <c r="Y972" s="135"/>
      <c r="Z972" s="135"/>
    </row>
    <row r="973" spans="1:26" ht="12.75">
      <c r="A973" s="136" t="s">
        <v>8</v>
      </c>
      <c r="B973" s="136" t="s">
        <v>7556</v>
      </c>
      <c r="C973" s="136" t="s">
        <v>645</v>
      </c>
      <c r="D973" s="136" t="s">
        <v>7545</v>
      </c>
      <c r="E973" s="136" t="s">
        <v>86</v>
      </c>
      <c r="F973" s="136">
        <v>48</v>
      </c>
      <c r="G973" s="137">
        <f t="shared" si="3"/>
        <v>8</v>
      </c>
      <c r="H973" s="137"/>
      <c r="I973" s="137"/>
      <c r="J973" s="135"/>
      <c r="K973" s="135"/>
      <c r="L973" s="135"/>
      <c r="M973" s="135"/>
      <c r="N973" s="135"/>
      <c r="O973" s="135"/>
      <c r="P973" s="135"/>
      <c r="Q973" s="135"/>
      <c r="R973" s="135"/>
      <c r="S973" s="135"/>
      <c r="T973" s="135"/>
      <c r="U973" s="135"/>
      <c r="V973" s="135"/>
      <c r="W973" s="135"/>
      <c r="X973" s="135"/>
      <c r="Y973" s="135"/>
      <c r="Z973" s="135"/>
    </row>
    <row r="974" spans="1:26" ht="12.75">
      <c r="A974" s="136" t="s">
        <v>8</v>
      </c>
      <c r="B974" s="136" t="s">
        <v>7556</v>
      </c>
      <c r="C974" s="136" t="s">
        <v>645</v>
      </c>
      <c r="D974" s="136" t="s">
        <v>368</v>
      </c>
      <c r="E974" s="136" t="s">
        <v>594</v>
      </c>
      <c r="F974" s="136">
        <v>30</v>
      </c>
      <c r="G974" s="137">
        <f t="shared" si="3"/>
        <v>9</v>
      </c>
      <c r="H974" s="137"/>
      <c r="I974" s="137"/>
      <c r="J974" s="135"/>
      <c r="K974" s="135"/>
      <c r="L974" s="135"/>
      <c r="M974" s="135"/>
      <c r="N974" s="135"/>
      <c r="O974" s="135"/>
      <c r="P974" s="135"/>
      <c r="Q974" s="135"/>
      <c r="R974" s="135"/>
      <c r="S974" s="135"/>
      <c r="T974" s="135"/>
      <c r="U974" s="135"/>
      <c r="V974" s="135"/>
      <c r="W974" s="135"/>
      <c r="X974" s="135"/>
      <c r="Y974" s="135"/>
      <c r="Z974" s="135"/>
    </row>
    <row r="975" spans="1:26" ht="12.75">
      <c r="A975" s="136" t="s">
        <v>8</v>
      </c>
      <c r="B975" s="136" t="s">
        <v>7556</v>
      </c>
      <c r="C975" s="136" t="s">
        <v>645</v>
      </c>
      <c r="D975" s="136" t="s">
        <v>7531</v>
      </c>
      <c r="E975" s="136" t="s">
        <v>615</v>
      </c>
      <c r="F975" s="136">
        <v>30</v>
      </c>
      <c r="G975" s="137">
        <f t="shared" si="3"/>
        <v>10</v>
      </c>
      <c r="H975" s="137"/>
      <c r="I975" s="137"/>
      <c r="J975" s="135"/>
      <c r="K975" s="135"/>
      <c r="L975" s="135"/>
      <c r="M975" s="135"/>
      <c r="N975" s="135"/>
      <c r="O975" s="135"/>
      <c r="P975" s="135"/>
      <c r="Q975" s="135"/>
      <c r="R975" s="135"/>
      <c r="S975" s="135"/>
      <c r="T975" s="135"/>
      <c r="U975" s="135"/>
      <c r="V975" s="135"/>
      <c r="W975" s="135"/>
      <c r="X975" s="135"/>
      <c r="Y975" s="135"/>
      <c r="Z975" s="135"/>
    </row>
    <row r="976" spans="1:26" ht="12.75">
      <c r="A976" s="136" t="s">
        <v>8</v>
      </c>
      <c r="B976" s="136" t="s">
        <v>7556</v>
      </c>
      <c r="C976" s="136" t="s">
        <v>645</v>
      </c>
      <c r="D976" s="136" t="s">
        <v>154</v>
      </c>
      <c r="E976" s="136" t="s">
        <v>615</v>
      </c>
      <c r="F976" s="136">
        <v>20</v>
      </c>
      <c r="G976" s="137">
        <f t="shared" si="3"/>
        <v>11</v>
      </c>
      <c r="H976" s="137"/>
      <c r="I976" s="137"/>
      <c r="J976" s="135"/>
      <c r="K976" s="135"/>
      <c r="L976" s="135"/>
      <c r="M976" s="135"/>
      <c r="N976" s="135"/>
      <c r="O976" s="135"/>
      <c r="P976" s="135"/>
      <c r="Q976" s="135"/>
      <c r="R976" s="135"/>
      <c r="S976" s="135"/>
      <c r="T976" s="135"/>
      <c r="U976" s="135"/>
      <c r="V976" s="135"/>
      <c r="W976" s="135"/>
      <c r="X976" s="135"/>
      <c r="Y976" s="135"/>
      <c r="Z976" s="135"/>
    </row>
    <row r="977" spans="1:26" ht="12.75">
      <c r="A977" s="136" t="s">
        <v>8</v>
      </c>
      <c r="B977" s="136" t="s">
        <v>7556</v>
      </c>
      <c r="C977" s="136" t="s">
        <v>645</v>
      </c>
      <c r="D977" s="136" t="s">
        <v>467</v>
      </c>
      <c r="E977" s="136" t="s">
        <v>85</v>
      </c>
      <c r="F977" s="136">
        <v>20</v>
      </c>
      <c r="G977" s="137">
        <f t="shared" si="3"/>
        <v>12</v>
      </c>
      <c r="H977" s="137"/>
      <c r="I977" s="137"/>
      <c r="J977" s="135"/>
      <c r="K977" s="135"/>
      <c r="L977" s="135"/>
      <c r="M977" s="135"/>
      <c r="N977" s="135"/>
      <c r="O977" s="135"/>
      <c r="P977" s="135"/>
      <c r="Q977" s="135"/>
      <c r="R977" s="135"/>
      <c r="S977" s="135"/>
      <c r="T977" s="135"/>
      <c r="U977" s="135"/>
      <c r="V977" s="135"/>
      <c r="W977" s="135"/>
      <c r="X977" s="135"/>
      <c r="Y977" s="135"/>
      <c r="Z977" s="135"/>
    </row>
    <row r="978" spans="1:26" ht="12.75">
      <c r="A978" s="136" t="s">
        <v>8</v>
      </c>
      <c r="B978" s="136" t="s">
        <v>7556</v>
      </c>
      <c r="C978" s="136" t="s">
        <v>640</v>
      </c>
      <c r="D978" s="136" t="s">
        <v>139</v>
      </c>
      <c r="E978" s="136" t="s">
        <v>594</v>
      </c>
      <c r="F978" s="136">
        <v>743</v>
      </c>
      <c r="G978" s="137">
        <f t="shared" si="3"/>
        <v>1</v>
      </c>
      <c r="H978" s="137"/>
      <c r="I978" s="137"/>
      <c r="J978" s="135"/>
      <c r="K978" s="135"/>
      <c r="L978" s="135"/>
      <c r="M978" s="135"/>
      <c r="N978" s="135"/>
      <c r="O978" s="135"/>
      <c r="P978" s="135"/>
      <c r="Q978" s="135"/>
      <c r="R978" s="135"/>
      <c r="S978" s="135"/>
      <c r="T978" s="135"/>
      <c r="U978" s="135"/>
      <c r="V978" s="135"/>
      <c r="W978" s="135"/>
      <c r="X978" s="135"/>
      <c r="Y978" s="135"/>
      <c r="Z978" s="135"/>
    </row>
    <row r="979" spans="1:26" ht="12.75">
      <c r="A979" s="136" t="s">
        <v>8</v>
      </c>
      <c r="B979" s="136" t="s">
        <v>7556</v>
      </c>
      <c r="C979" s="136" t="s">
        <v>640</v>
      </c>
      <c r="D979" s="136" t="s">
        <v>7546</v>
      </c>
      <c r="E979" s="136" t="s">
        <v>86</v>
      </c>
      <c r="F979" s="136">
        <v>194</v>
      </c>
      <c r="G979" s="137">
        <f t="shared" si="3"/>
        <v>2</v>
      </c>
      <c r="H979" s="137"/>
      <c r="I979" s="137"/>
      <c r="J979" s="135"/>
      <c r="K979" s="135"/>
      <c r="L979" s="135"/>
      <c r="M979" s="135"/>
      <c r="N979" s="135"/>
      <c r="O979" s="135"/>
      <c r="P979" s="135"/>
      <c r="Q979" s="135"/>
      <c r="R979" s="135"/>
      <c r="S979" s="135"/>
      <c r="T979" s="135"/>
      <c r="U979" s="135"/>
      <c r="V979" s="135"/>
      <c r="W979" s="135"/>
      <c r="X979" s="135"/>
      <c r="Y979" s="135"/>
      <c r="Z979" s="135"/>
    </row>
    <row r="980" spans="1:26" ht="12.75">
      <c r="A980" s="136" t="s">
        <v>8</v>
      </c>
      <c r="B980" s="136" t="s">
        <v>7556</v>
      </c>
      <c r="C980" s="136" t="s">
        <v>640</v>
      </c>
      <c r="D980" s="136" t="s">
        <v>7536</v>
      </c>
      <c r="E980" s="136" t="s">
        <v>86</v>
      </c>
      <c r="F980" s="136">
        <v>125</v>
      </c>
      <c r="G980" s="137">
        <f t="shared" si="3"/>
        <v>3</v>
      </c>
      <c r="H980" s="137"/>
      <c r="I980" s="137"/>
      <c r="J980" s="135"/>
      <c r="K980" s="135"/>
      <c r="L980" s="135"/>
      <c r="M980" s="135"/>
      <c r="N980" s="135"/>
      <c r="O980" s="135"/>
      <c r="P980" s="135"/>
      <c r="Q980" s="135"/>
      <c r="R980" s="135"/>
      <c r="S980" s="135"/>
      <c r="T980" s="135"/>
      <c r="U980" s="135"/>
      <c r="V980" s="135"/>
      <c r="W980" s="135"/>
      <c r="X980" s="135"/>
      <c r="Y980" s="135"/>
      <c r="Z980" s="135"/>
    </row>
    <row r="981" spans="1:26" ht="12.75">
      <c r="A981" s="136" t="s">
        <v>8</v>
      </c>
      <c r="B981" s="136" t="s">
        <v>7556</v>
      </c>
      <c r="C981" s="136" t="s">
        <v>640</v>
      </c>
      <c r="D981" s="136" t="s">
        <v>7545</v>
      </c>
      <c r="E981" s="136" t="s">
        <v>86</v>
      </c>
      <c r="F981" s="136">
        <v>110</v>
      </c>
      <c r="G981" s="137">
        <f t="shared" si="3"/>
        <v>4</v>
      </c>
      <c r="H981" s="137"/>
      <c r="I981" s="137"/>
      <c r="J981" s="135"/>
      <c r="K981" s="135"/>
      <c r="L981" s="135"/>
      <c r="M981" s="135"/>
      <c r="N981" s="135"/>
      <c r="O981" s="135"/>
      <c r="P981" s="135"/>
      <c r="Q981" s="135"/>
      <c r="R981" s="135"/>
      <c r="S981" s="135"/>
      <c r="T981" s="135"/>
      <c r="U981" s="135"/>
      <c r="V981" s="135"/>
      <c r="W981" s="135"/>
      <c r="X981" s="135"/>
      <c r="Y981" s="135"/>
      <c r="Z981" s="135"/>
    </row>
    <row r="982" spans="1:26" ht="12.75">
      <c r="A982" s="136" t="s">
        <v>8</v>
      </c>
      <c r="B982" s="136" t="s">
        <v>7556</v>
      </c>
      <c r="C982" s="136" t="s">
        <v>640</v>
      </c>
      <c r="D982" s="136" t="s">
        <v>7537</v>
      </c>
      <c r="E982" s="136" t="s">
        <v>86</v>
      </c>
      <c r="F982" s="136">
        <v>92</v>
      </c>
      <c r="G982" s="137">
        <f t="shared" si="3"/>
        <v>5</v>
      </c>
      <c r="H982" s="137"/>
      <c r="I982" s="137"/>
      <c r="J982" s="135"/>
      <c r="K982" s="135"/>
      <c r="L982" s="135"/>
      <c r="M982" s="135"/>
      <c r="N982" s="135"/>
      <c r="O982" s="135"/>
      <c r="P982" s="135"/>
      <c r="Q982" s="135"/>
      <c r="R982" s="135"/>
      <c r="S982" s="135"/>
      <c r="T982" s="135"/>
      <c r="U982" s="135"/>
      <c r="V982" s="135"/>
      <c r="W982" s="135"/>
      <c r="X982" s="135"/>
      <c r="Y982" s="135"/>
      <c r="Z982" s="135"/>
    </row>
    <row r="983" spans="1:26" ht="12.75">
      <c r="A983" s="136" t="s">
        <v>8</v>
      </c>
      <c r="B983" s="136" t="s">
        <v>7556</v>
      </c>
      <c r="C983" s="136" t="s">
        <v>640</v>
      </c>
      <c r="D983" s="136" t="s">
        <v>7530</v>
      </c>
      <c r="E983" s="136" t="s">
        <v>85</v>
      </c>
      <c r="F983" s="136">
        <v>61</v>
      </c>
      <c r="G983" s="137">
        <f t="shared" si="3"/>
        <v>6</v>
      </c>
      <c r="H983" s="137"/>
      <c r="I983" s="137"/>
      <c r="J983" s="135"/>
      <c r="K983" s="135"/>
      <c r="L983" s="135"/>
      <c r="M983" s="135"/>
      <c r="N983" s="135"/>
      <c r="O983" s="135"/>
      <c r="P983" s="135"/>
      <c r="Q983" s="135"/>
      <c r="R983" s="135"/>
      <c r="S983" s="135"/>
      <c r="T983" s="135"/>
      <c r="U983" s="135"/>
      <c r="V983" s="135"/>
      <c r="W983" s="135"/>
      <c r="X983" s="135"/>
      <c r="Y983" s="135"/>
      <c r="Z983" s="135"/>
    </row>
    <row r="984" spans="1:26" ht="12.75">
      <c r="A984" s="136" t="s">
        <v>8</v>
      </c>
      <c r="B984" s="136" t="s">
        <v>7556</v>
      </c>
      <c r="C984" s="136" t="s">
        <v>640</v>
      </c>
      <c r="D984" s="136" t="s">
        <v>7533</v>
      </c>
      <c r="E984" s="136" t="s">
        <v>594</v>
      </c>
      <c r="F984" s="136">
        <v>30</v>
      </c>
      <c r="G984" s="137">
        <f t="shared" si="3"/>
        <v>7</v>
      </c>
      <c r="H984" s="137"/>
      <c r="I984" s="137"/>
      <c r="J984" s="135"/>
      <c r="K984" s="135"/>
      <c r="L984" s="135"/>
      <c r="M984" s="135"/>
      <c r="N984" s="135"/>
      <c r="O984" s="135"/>
      <c r="P984" s="135"/>
      <c r="Q984" s="135"/>
      <c r="R984" s="135"/>
      <c r="S984" s="135"/>
      <c r="T984" s="135"/>
      <c r="U984" s="135"/>
      <c r="V984" s="135"/>
      <c r="W984" s="135"/>
      <c r="X984" s="135"/>
      <c r="Y984" s="135"/>
      <c r="Z984" s="135"/>
    </row>
    <row r="985" spans="1:26" ht="12.75">
      <c r="A985" s="136" t="s">
        <v>8</v>
      </c>
      <c r="B985" s="136" t="s">
        <v>7556</v>
      </c>
      <c r="C985" s="136" t="s">
        <v>640</v>
      </c>
      <c r="D985" s="136" t="s">
        <v>7491</v>
      </c>
      <c r="E985" s="136" t="s">
        <v>615</v>
      </c>
      <c r="F985" s="136">
        <v>26</v>
      </c>
      <c r="G985" s="137">
        <f t="shared" si="3"/>
        <v>8</v>
      </c>
      <c r="H985" s="137"/>
      <c r="I985" s="137"/>
      <c r="J985" s="135"/>
      <c r="K985" s="135"/>
      <c r="L985" s="135"/>
      <c r="M985" s="135"/>
      <c r="N985" s="135"/>
      <c r="O985" s="135"/>
      <c r="P985" s="135"/>
      <c r="Q985" s="135"/>
      <c r="R985" s="135"/>
      <c r="S985" s="135"/>
      <c r="T985" s="135"/>
      <c r="U985" s="135"/>
      <c r="V985" s="135"/>
      <c r="W985" s="135"/>
      <c r="X985" s="135"/>
      <c r="Y985" s="135"/>
      <c r="Z985" s="135"/>
    </row>
    <row r="986" spans="1:26" ht="12.75">
      <c r="A986" s="136" t="s">
        <v>8</v>
      </c>
      <c r="B986" s="136" t="s">
        <v>7556</v>
      </c>
      <c r="C986" s="136" t="s">
        <v>640</v>
      </c>
      <c r="D986" s="136" t="s">
        <v>165</v>
      </c>
      <c r="E986" s="136" t="s">
        <v>615</v>
      </c>
      <c r="F986" s="136">
        <v>26</v>
      </c>
      <c r="G986" s="137">
        <f t="shared" si="3"/>
        <v>9</v>
      </c>
      <c r="H986" s="137"/>
      <c r="I986" s="137"/>
      <c r="J986" s="135"/>
      <c r="K986" s="135"/>
      <c r="L986" s="135"/>
      <c r="M986" s="135"/>
      <c r="N986" s="135"/>
      <c r="O986" s="135"/>
      <c r="P986" s="135"/>
      <c r="Q986" s="135"/>
      <c r="R986" s="135"/>
      <c r="S986" s="135"/>
      <c r="T986" s="135"/>
      <c r="U986" s="135"/>
      <c r="V986" s="135"/>
      <c r="W986" s="135"/>
      <c r="X986" s="135"/>
      <c r="Y986" s="135"/>
      <c r="Z986" s="135"/>
    </row>
    <row r="987" spans="1:26" ht="12.75">
      <c r="A987" s="136" t="s">
        <v>8</v>
      </c>
      <c r="B987" s="136" t="s">
        <v>7556</v>
      </c>
      <c r="C987" s="136" t="s">
        <v>640</v>
      </c>
      <c r="D987" s="136" t="s">
        <v>1626</v>
      </c>
      <c r="E987" s="136" t="s">
        <v>594</v>
      </c>
      <c r="F987" s="136">
        <v>15</v>
      </c>
      <c r="G987" s="137">
        <f t="shared" si="3"/>
        <v>10</v>
      </c>
      <c r="H987" s="137"/>
      <c r="I987" s="137"/>
      <c r="J987" s="135"/>
      <c r="K987" s="135"/>
      <c r="L987" s="135"/>
      <c r="M987" s="135"/>
      <c r="N987" s="135"/>
      <c r="O987" s="135"/>
      <c r="P987" s="135"/>
      <c r="Q987" s="135"/>
      <c r="R987" s="135"/>
      <c r="S987" s="135"/>
      <c r="T987" s="135"/>
      <c r="U987" s="135"/>
      <c r="V987" s="135"/>
      <c r="W987" s="135"/>
      <c r="X987" s="135"/>
      <c r="Y987" s="135"/>
      <c r="Z987" s="135"/>
    </row>
    <row r="988" spans="1:26" ht="12.75">
      <c r="A988" s="136" t="s">
        <v>8</v>
      </c>
      <c r="B988" s="136" t="s">
        <v>7556</v>
      </c>
      <c r="C988" s="136" t="s">
        <v>7557</v>
      </c>
      <c r="D988" s="136" t="s">
        <v>165</v>
      </c>
      <c r="E988" s="136" t="s">
        <v>615</v>
      </c>
      <c r="F988" s="136">
        <v>890</v>
      </c>
      <c r="G988" s="137">
        <f t="shared" si="3"/>
        <v>1</v>
      </c>
      <c r="H988" s="137"/>
      <c r="I988" s="137"/>
      <c r="J988" s="135"/>
      <c r="K988" s="135"/>
      <c r="L988" s="135"/>
      <c r="M988" s="135"/>
      <c r="N988" s="135"/>
      <c r="O988" s="135"/>
      <c r="P988" s="135"/>
      <c r="Q988" s="135"/>
      <c r="R988" s="135"/>
      <c r="S988" s="135"/>
      <c r="T988" s="135"/>
      <c r="U988" s="135"/>
      <c r="V988" s="135"/>
      <c r="W988" s="135"/>
      <c r="X988" s="135"/>
      <c r="Y988" s="135"/>
      <c r="Z988" s="135"/>
    </row>
    <row r="989" spans="1:26" ht="12.75">
      <c r="A989" s="136" t="s">
        <v>8</v>
      </c>
      <c r="B989" s="136" t="s">
        <v>7556</v>
      </c>
      <c r="C989" s="136" t="s">
        <v>7557</v>
      </c>
      <c r="D989" s="136" t="s">
        <v>7530</v>
      </c>
      <c r="E989" s="136" t="s">
        <v>85</v>
      </c>
      <c r="F989" s="136">
        <v>245</v>
      </c>
      <c r="G989" s="137">
        <f t="shared" si="3"/>
        <v>2</v>
      </c>
      <c r="H989" s="137"/>
      <c r="I989" s="137"/>
      <c r="J989" s="135"/>
      <c r="K989" s="135"/>
      <c r="L989" s="135"/>
      <c r="M989" s="135"/>
      <c r="N989" s="135"/>
      <c r="O989" s="135"/>
      <c r="P989" s="135"/>
      <c r="Q989" s="135"/>
      <c r="R989" s="135"/>
      <c r="S989" s="135"/>
      <c r="T989" s="135"/>
      <c r="U989" s="135"/>
      <c r="V989" s="135"/>
      <c r="W989" s="135"/>
      <c r="X989" s="135"/>
      <c r="Y989" s="135"/>
      <c r="Z989" s="135"/>
    </row>
    <row r="990" spans="1:26" ht="12.75">
      <c r="A990" s="136" t="s">
        <v>8</v>
      </c>
      <c r="B990" s="136" t="s">
        <v>7556</v>
      </c>
      <c r="C990" s="136" t="s">
        <v>7557</v>
      </c>
      <c r="D990" s="136" t="s">
        <v>1665</v>
      </c>
      <c r="E990" s="136" t="s">
        <v>615</v>
      </c>
      <c r="F990" s="136">
        <v>125</v>
      </c>
      <c r="G990" s="137">
        <f t="shared" si="3"/>
        <v>3</v>
      </c>
      <c r="H990" s="137"/>
      <c r="I990" s="137"/>
      <c r="J990" s="135"/>
      <c r="K990" s="135"/>
      <c r="L990" s="135"/>
      <c r="M990" s="135"/>
      <c r="N990" s="135"/>
      <c r="O990" s="135"/>
      <c r="P990" s="135"/>
      <c r="Q990" s="135"/>
      <c r="R990" s="135"/>
      <c r="S990" s="135"/>
      <c r="T990" s="135"/>
      <c r="U990" s="135"/>
      <c r="V990" s="135"/>
      <c r="W990" s="135"/>
      <c r="X990" s="135"/>
      <c r="Y990" s="135"/>
      <c r="Z990" s="135"/>
    </row>
    <row r="991" spans="1:26" ht="12.75">
      <c r="A991" s="136" t="s">
        <v>8</v>
      </c>
      <c r="B991" s="136" t="s">
        <v>7556</v>
      </c>
      <c r="C991" s="136" t="s">
        <v>7557</v>
      </c>
      <c r="D991" s="136" t="s">
        <v>139</v>
      </c>
      <c r="E991" s="136" t="s">
        <v>594</v>
      </c>
      <c r="F991" s="136">
        <v>117</v>
      </c>
      <c r="G991" s="137">
        <f t="shared" si="3"/>
        <v>4</v>
      </c>
      <c r="H991" s="137"/>
      <c r="I991" s="137"/>
      <c r="J991" s="135"/>
      <c r="K991" s="135"/>
      <c r="L991" s="135"/>
      <c r="M991" s="135"/>
      <c r="N991" s="135"/>
      <c r="O991" s="135"/>
      <c r="P991" s="135"/>
      <c r="Q991" s="135"/>
      <c r="R991" s="135"/>
      <c r="S991" s="135"/>
      <c r="T991" s="135"/>
      <c r="U991" s="135"/>
      <c r="V991" s="135"/>
      <c r="W991" s="135"/>
      <c r="X991" s="135"/>
      <c r="Y991" s="135"/>
      <c r="Z991" s="135"/>
    </row>
    <row r="992" spans="1:26" ht="12.75">
      <c r="A992" s="136" t="s">
        <v>8</v>
      </c>
      <c r="B992" s="136" t="s">
        <v>7556</v>
      </c>
      <c r="C992" s="136" t="s">
        <v>7557</v>
      </c>
      <c r="D992" s="136" t="s">
        <v>7544</v>
      </c>
      <c r="E992" s="136" t="s">
        <v>615</v>
      </c>
      <c r="F992" s="136">
        <v>110</v>
      </c>
      <c r="G992" s="137">
        <f t="shared" si="3"/>
        <v>5</v>
      </c>
      <c r="H992" s="137"/>
      <c r="I992" s="137"/>
      <c r="J992" s="135"/>
      <c r="K992" s="135"/>
      <c r="L992" s="135"/>
      <c r="M992" s="135"/>
      <c r="N992" s="135"/>
      <c r="O992" s="135"/>
      <c r="P992" s="135"/>
      <c r="Q992" s="135"/>
      <c r="R992" s="135"/>
      <c r="S992" s="135"/>
      <c r="T992" s="135"/>
      <c r="U992" s="135"/>
      <c r="V992" s="135"/>
      <c r="W992" s="135"/>
      <c r="X992" s="135"/>
      <c r="Y992" s="135"/>
      <c r="Z992" s="135"/>
    </row>
    <row r="993" spans="1:26" ht="12.75">
      <c r="A993" s="136" t="s">
        <v>8</v>
      </c>
      <c r="B993" s="136" t="s">
        <v>7556</v>
      </c>
      <c r="C993" s="136" t="s">
        <v>7557</v>
      </c>
      <c r="D993" s="136" t="s">
        <v>467</v>
      </c>
      <c r="E993" s="136" t="s">
        <v>85</v>
      </c>
      <c r="F993" s="136">
        <v>104</v>
      </c>
      <c r="G993" s="137">
        <f t="shared" si="3"/>
        <v>6</v>
      </c>
      <c r="H993" s="137"/>
      <c r="I993" s="137"/>
      <c r="J993" s="135"/>
      <c r="K993" s="135"/>
      <c r="L993" s="135"/>
      <c r="M993" s="135"/>
      <c r="N993" s="135"/>
      <c r="O993" s="135"/>
      <c r="P993" s="135"/>
      <c r="Q993" s="135"/>
      <c r="R993" s="135"/>
      <c r="S993" s="135"/>
      <c r="T993" s="135"/>
      <c r="U993" s="135"/>
      <c r="V993" s="135"/>
      <c r="W993" s="135"/>
      <c r="X993" s="135"/>
      <c r="Y993" s="135"/>
      <c r="Z993" s="135"/>
    </row>
    <row r="994" spans="1:26" ht="12.75">
      <c r="A994" s="136" t="s">
        <v>8</v>
      </c>
      <c r="B994" s="136" t="s">
        <v>7556</v>
      </c>
      <c r="C994" s="136" t="s">
        <v>7557</v>
      </c>
      <c r="D994" s="136" t="s">
        <v>7533</v>
      </c>
      <c r="E994" s="136" t="s">
        <v>594</v>
      </c>
      <c r="F994" s="136">
        <v>40</v>
      </c>
      <c r="G994" s="137">
        <f t="shared" si="3"/>
        <v>7</v>
      </c>
      <c r="H994" s="137"/>
      <c r="I994" s="137"/>
      <c r="J994" s="135"/>
      <c r="K994" s="135"/>
      <c r="L994" s="135"/>
      <c r="M994" s="135"/>
      <c r="N994" s="135"/>
      <c r="O994" s="135"/>
      <c r="P994" s="135"/>
      <c r="Q994" s="135"/>
      <c r="R994" s="135"/>
      <c r="S994" s="135"/>
      <c r="T994" s="135"/>
      <c r="U994" s="135"/>
      <c r="V994" s="135"/>
      <c r="W994" s="135"/>
      <c r="X994" s="135"/>
      <c r="Y994" s="135"/>
      <c r="Z994" s="135"/>
    </row>
    <row r="995" spans="1:26" ht="12.75">
      <c r="A995" s="136" t="s">
        <v>8</v>
      </c>
      <c r="B995" s="136" t="s">
        <v>7556</v>
      </c>
      <c r="C995" s="136" t="s">
        <v>7557</v>
      </c>
      <c r="D995" s="136" t="s">
        <v>7551</v>
      </c>
      <c r="E995" s="136" t="s">
        <v>615</v>
      </c>
      <c r="F995" s="136">
        <v>35</v>
      </c>
      <c r="G995" s="137">
        <f t="shared" si="3"/>
        <v>8</v>
      </c>
      <c r="H995" s="137"/>
      <c r="I995" s="137"/>
      <c r="J995" s="135"/>
      <c r="K995" s="135"/>
      <c r="L995" s="135"/>
      <c r="M995" s="135"/>
      <c r="N995" s="135"/>
      <c r="O995" s="135"/>
      <c r="P995" s="135"/>
      <c r="Q995" s="135"/>
      <c r="R995" s="135"/>
      <c r="S995" s="135"/>
      <c r="T995" s="135"/>
      <c r="U995" s="135"/>
      <c r="V995" s="135"/>
      <c r="W995" s="135"/>
      <c r="X995" s="135"/>
      <c r="Y995" s="135"/>
      <c r="Z995" s="135"/>
    </row>
    <row r="996" spans="1:26" ht="12.75">
      <c r="A996" s="136" t="s">
        <v>8</v>
      </c>
      <c r="B996" s="136" t="s">
        <v>7556</v>
      </c>
      <c r="C996" s="136" t="s">
        <v>7557</v>
      </c>
      <c r="D996" s="136" t="s">
        <v>7491</v>
      </c>
      <c r="E996" s="136" t="s">
        <v>615</v>
      </c>
      <c r="F996" s="136">
        <v>34</v>
      </c>
      <c r="G996" s="137">
        <f t="shared" si="3"/>
        <v>9</v>
      </c>
      <c r="H996" s="137"/>
      <c r="I996" s="137"/>
      <c r="J996" s="135"/>
      <c r="K996" s="135"/>
      <c r="L996" s="135"/>
      <c r="M996" s="135"/>
      <c r="N996" s="135"/>
      <c r="O996" s="135"/>
      <c r="P996" s="135"/>
      <c r="Q996" s="135"/>
      <c r="R996" s="135"/>
      <c r="S996" s="135"/>
      <c r="T996" s="135"/>
      <c r="U996" s="135"/>
      <c r="V996" s="135"/>
      <c r="W996" s="135"/>
      <c r="X996" s="135"/>
      <c r="Y996" s="135"/>
      <c r="Z996" s="135"/>
    </row>
    <row r="997" spans="1:26" ht="12.75">
      <c r="A997" s="136" t="s">
        <v>8</v>
      </c>
      <c r="B997" s="136" t="s">
        <v>7556</v>
      </c>
      <c r="C997" s="136" t="s">
        <v>7557</v>
      </c>
      <c r="D997" s="136" t="s">
        <v>154</v>
      </c>
      <c r="E997" s="136" t="s">
        <v>615</v>
      </c>
      <c r="F997" s="136">
        <v>30</v>
      </c>
      <c r="G997" s="137">
        <f t="shared" si="3"/>
        <v>10</v>
      </c>
      <c r="H997" s="137"/>
      <c r="I997" s="137"/>
      <c r="J997" s="135"/>
      <c r="K997" s="135"/>
      <c r="L997" s="135"/>
      <c r="M997" s="135"/>
      <c r="N997" s="135"/>
      <c r="O997" s="135"/>
      <c r="P997" s="135"/>
      <c r="Q997" s="135"/>
      <c r="R997" s="135"/>
      <c r="S997" s="135"/>
      <c r="T997" s="135"/>
      <c r="U997" s="135"/>
      <c r="V997" s="135"/>
      <c r="W997" s="135"/>
      <c r="X997" s="135"/>
      <c r="Y997" s="135"/>
      <c r="Z997" s="135"/>
    </row>
    <row r="998" spans="1:26" ht="12.75">
      <c r="A998" s="136" t="s">
        <v>8</v>
      </c>
      <c r="B998" s="136" t="s">
        <v>7556</v>
      </c>
      <c r="C998" s="136" t="s">
        <v>7557</v>
      </c>
      <c r="D998" s="136" t="s">
        <v>7531</v>
      </c>
      <c r="E998" s="136" t="s">
        <v>615</v>
      </c>
      <c r="F998" s="136">
        <v>20</v>
      </c>
      <c r="G998" s="137">
        <f t="shared" si="3"/>
        <v>11</v>
      </c>
      <c r="H998" s="137"/>
      <c r="I998" s="137"/>
      <c r="J998" s="135"/>
      <c r="K998" s="135"/>
      <c r="L998" s="135"/>
      <c r="M998" s="135"/>
      <c r="N998" s="135"/>
      <c r="O998" s="135"/>
      <c r="P998" s="135"/>
      <c r="Q998" s="135"/>
      <c r="R998" s="135"/>
      <c r="S998" s="135"/>
      <c r="T998" s="135"/>
      <c r="U998" s="135"/>
      <c r="V998" s="135"/>
      <c r="W998" s="135"/>
      <c r="X998" s="135"/>
      <c r="Y998" s="135"/>
      <c r="Z998" s="135"/>
    </row>
    <row r="999" spans="1:26" ht="12.75">
      <c r="A999" s="136" t="s">
        <v>8</v>
      </c>
      <c r="B999" s="136" t="s">
        <v>7556</v>
      </c>
      <c r="C999" s="136" t="s">
        <v>7557</v>
      </c>
      <c r="D999" s="136" t="s">
        <v>368</v>
      </c>
      <c r="E999" s="136" t="s">
        <v>594</v>
      </c>
      <c r="F999" s="136">
        <v>10</v>
      </c>
      <c r="G999" s="137">
        <f t="shared" si="3"/>
        <v>12</v>
      </c>
      <c r="H999" s="137"/>
      <c r="I999" s="137"/>
      <c r="J999" s="135"/>
      <c r="K999" s="135"/>
      <c r="L999" s="135"/>
      <c r="M999" s="135"/>
      <c r="N999" s="135"/>
      <c r="O999" s="135"/>
      <c r="P999" s="135"/>
      <c r="Q999" s="135"/>
      <c r="R999" s="135"/>
      <c r="S999" s="135"/>
      <c r="T999" s="135"/>
      <c r="U999" s="135"/>
      <c r="V999" s="135"/>
      <c r="W999" s="135"/>
      <c r="X999" s="135"/>
      <c r="Y999" s="135"/>
      <c r="Z999" s="135"/>
    </row>
    <row r="1000" spans="1:26" ht="12.75">
      <c r="A1000" s="136" t="s">
        <v>8</v>
      </c>
      <c r="B1000" s="136" t="s">
        <v>7556</v>
      </c>
      <c r="C1000" s="136" t="s">
        <v>7557</v>
      </c>
      <c r="D1000" s="136" t="s">
        <v>1626</v>
      </c>
      <c r="E1000" s="136" t="s">
        <v>594</v>
      </c>
      <c r="F1000" s="136">
        <v>10</v>
      </c>
      <c r="G1000" s="137">
        <f t="shared" si="3"/>
        <v>13</v>
      </c>
      <c r="H1000" s="137"/>
      <c r="I1000" s="137"/>
      <c r="J1000" s="135"/>
      <c r="K1000" s="135"/>
      <c r="L1000" s="135"/>
      <c r="M1000" s="135"/>
      <c r="N1000" s="135"/>
      <c r="O1000" s="135"/>
      <c r="P1000" s="135"/>
      <c r="Q1000" s="135"/>
      <c r="R1000" s="135"/>
      <c r="S1000" s="135"/>
      <c r="T1000" s="135"/>
      <c r="U1000" s="135"/>
      <c r="V1000" s="135"/>
      <c r="W1000" s="135"/>
      <c r="X1000" s="135"/>
      <c r="Y1000" s="135"/>
      <c r="Z1000" s="135"/>
    </row>
    <row r="1001" spans="1:26" ht="12.75">
      <c r="A1001" s="136" t="s">
        <v>8</v>
      </c>
      <c r="B1001" s="136" t="s">
        <v>7556</v>
      </c>
      <c r="C1001" s="136" t="s">
        <v>7557</v>
      </c>
      <c r="D1001" s="136" t="s">
        <v>120</v>
      </c>
      <c r="E1001" s="136" t="s">
        <v>615</v>
      </c>
      <c r="F1001" s="136">
        <v>10</v>
      </c>
      <c r="G1001" s="137">
        <f t="shared" si="3"/>
        <v>14</v>
      </c>
      <c r="H1001" s="137"/>
      <c r="I1001" s="137"/>
      <c r="J1001" s="135"/>
      <c r="K1001" s="135"/>
      <c r="L1001" s="135"/>
      <c r="M1001" s="135"/>
      <c r="N1001" s="135"/>
      <c r="O1001" s="135"/>
      <c r="P1001" s="135"/>
      <c r="Q1001" s="135"/>
      <c r="R1001" s="135"/>
      <c r="S1001" s="135"/>
      <c r="T1001" s="135"/>
      <c r="U1001" s="135"/>
      <c r="V1001" s="135"/>
      <c r="W1001" s="135"/>
      <c r="X1001" s="135"/>
      <c r="Y1001" s="135"/>
      <c r="Z1001" s="135"/>
    </row>
    <row r="1002" spans="1:26" ht="12.75">
      <c r="A1002" s="136" t="s">
        <v>8</v>
      </c>
      <c r="B1002" s="136" t="s">
        <v>7556</v>
      </c>
      <c r="C1002" s="136" t="s">
        <v>7557</v>
      </c>
      <c r="D1002" s="136" t="s">
        <v>7532</v>
      </c>
      <c r="E1002" s="136" t="s">
        <v>615</v>
      </c>
      <c r="F1002" s="136">
        <v>10</v>
      </c>
      <c r="G1002" s="137">
        <f t="shared" si="3"/>
        <v>15</v>
      </c>
      <c r="H1002" s="137"/>
      <c r="I1002" s="137"/>
      <c r="J1002" s="135"/>
      <c r="K1002" s="135"/>
      <c r="L1002" s="135"/>
      <c r="M1002" s="135"/>
      <c r="N1002" s="135"/>
      <c r="O1002" s="135"/>
      <c r="P1002" s="135"/>
      <c r="Q1002" s="135"/>
      <c r="R1002" s="135"/>
      <c r="S1002" s="135"/>
      <c r="T1002" s="135"/>
      <c r="U1002" s="135"/>
      <c r="V1002" s="135"/>
      <c r="W1002" s="135"/>
      <c r="X1002" s="135"/>
      <c r="Y1002" s="135"/>
      <c r="Z1002" s="135"/>
    </row>
    <row r="1003" spans="1:26" ht="12.75">
      <c r="A1003" s="136" t="s">
        <v>8</v>
      </c>
      <c r="B1003" s="136" t="s">
        <v>7558</v>
      </c>
      <c r="C1003" s="136" t="s">
        <v>643</v>
      </c>
      <c r="D1003" s="136" t="s">
        <v>139</v>
      </c>
      <c r="E1003" s="136" t="s">
        <v>594</v>
      </c>
      <c r="F1003" s="136">
        <v>3601</v>
      </c>
      <c r="G1003" s="137">
        <f t="shared" si="3"/>
        <v>1</v>
      </c>
      <c r="H1003" s="137"/>
      <c r="I1003" s="137"/>
      <c r="J1003" s="135"/>
      <c r="K1003" s="135"/>
      <c r="L1003" s="135"/>
      <c r="M1003" s="135"/>
      <c r="N1003" s="135"/>
      <c r="O1003" s="135"/>
      <c r="P1003" s="135"/>
      <c r="Q1003" s="135"/>
      <c r="R1003" s="135"/>
      <c r="S1003" s="135"/>
      <c r="T1003" s="135"/>
      <c r="U1003" s="135"/>
      <c r="V1003" s="135"/>
      <c r="W1003" s="135"/>
      <c r="X1003" s="135"/>
      <c r="Y1003" s="135"/>
      <c r="Z1003" s="135"/>
    </row>
    <row r="1004" spans="1:26" ht="12.75">
      <c r="A1004" s="136" t="s">
        <v>8</v>
      </c>
      <c r="B1004" s="136" t="s">
        <v>7558</v>
      </c>
      <c r="C1004" s="136" t="s">
        <v>643</v>
      </c>
      <c r="D1004" s="136" t="s">
        <v>165</v>
      </c>
      <c r="E1004" s="136" t="s">
        <v>615</v>
      </c>
      <c r="F1004" s="136">
        <v>1280</v>
      </c>
      <c r="G1004" s="137">
        <f t="shared" si="3"/>
        <v>2</v>
      </c>
      <c r="H1004" s="137"/>
      <c r="I1004" s="137"/>
      <c r="J1004" s="135"/>
      <c r="K1004" s="135"/>
      <c r="L1004" s="135"/>
      <c r="M1004" s="135"/>
      <c r="N1004" s="135"/>
      <c r="O1004" s="135"/>
      <c r="P1004" s="135"/>
      <c r="Q1004" s="135"/>
      <c r="R1004" s="135"/>
      <c r="S1004" s="135"/>
      <c r="T1004" s="135"/>
      <c r="U1004" s="135"/>
      <c r="V1004" s="135"/>
      <c r="W1004" s="135"/>
      <c r="X1004" s="135"/>
      <c r="Y1004" s="135"/>
      <c r="Z1004" s="135"/>
    </row>
    <row r="1005" spans="1:26" ht="12.75">
      <c r="A1005" s="136" t="s">
        <v>8</v>
      </c>
      <c r="B1005" s="136" t="s">
        <v>7558</v>
      </c>
      <c r="C1005" s="136" t="s">
        <v>643</v>
      </c>
      <c r="D1005" s="136" t="s">
        <v>7530</v>
      </c>
      <c r="E1005" s="136" t="s">
        <v>85</v>
      </c>
      <c r="F1005" s="136">
        <v>1012</v>
      </c>
      <c r="G1005" s="137">
        <f t="shared" si="3"/>
        <v>3</v>
      </c>
      <c r="H1005" s="137"/>
      <c r="I1005" s="137"/>
      <c r="J1005" s="135"/>
      <c r="K1005" s="135"/>
      <c r="L1005" s="135"/>
      <c r="M1005" s="135"/>
      <c r="N1005" s="135"/>
      <c r="O1005" s="135"/>
      <c r="P1005" s="135"/>
      <c r="Q1005" s="135"/>
      <c r="R1005" s="135"/>
      <c r="S1005" s="135"/>
      <c r="T1005" s="135"/>
      <c r="U1005" s="135"/>
      <c r="V1005" s="135"/>
      <c r="W1005" s="135"/>
      <c r="X1005" s="135"/>
      <c r="Y1005" s="135"/>
      <c r="Z1005" s="135"/>
    </row>
    <row r="1006" spans="1:26" ht="12.75">
      <c r="A1006" s="136" t="s">
        <v>8</v>
      </c>
      <c r="B1006" s="136" t="s">
        <v>7558</v>
      </c>
      <c r="C1006" s="136" t="s">
        <v>643</v>
      </c>
      <c r="D1006" s="136" t="s">
        <v>7544</v>
      </c>
      <c r="E1006" s="136" t="s">
        <v>615</v>
      </c>
      <c r="F1006" s="136">
        <v>720</v>
      </c>
      <c r="G1006" s="137">
        <f t="shared" si="3"/>
        <v>4</v>
      </c>
      <c r="H1006" s="137"/>
      <c r="I1006" s="137"/>
      <c r="J1006" s="135"/>
      <c r="K1006" s="135"/>
      <c r="L1006" s="135"/>
      <c r="M1006" s="135"/>
      <c r="N1006" s="135"/>
      <c r="O1006" s="135"/>
      <c r="P1006" s="135"/>
      <c r="Q1006" s="135"/>
      <c r="R1006" s="135"/>
      <c r="S1006" s="135"/>
      <c r="T1006" s="135"/>
      <c r="U1006" s="135"/>
      <c r="V1006" s="135"/>
      <c r="W1006" s="135"/>
      <c r="X1006" s="135"/>
      <c r="Y1006" s="135"/>
      <c r="Z1006" s="135"/>
    </row>
    <row r="1007" spans="1:26" ht="12.75">
      <c r="A1007" s="136" t="s">
        <v>8</v>
      </c>
      <c r="B1007" s="136" t="s">
        <v>7558</v>
      </c>
      <c r="C1007" s="136" t="s">
        <v>643</v>
      </c>
      <c r="D1007" s="136" t="s">
        <v>368</v>
      </c>
      <c r="E1007" s="136" t="s">
        <v>594</v>
      </c>
      <c r="F1007" s="136">
        <v>265</v>
      </c>
      <c r="G1007" s="137">
        <f t="shared" si="3"/>
        <v>5</v>
      </c>
      <c r="H1007" s="137"/>
      <c r="I1007" s="137"/>
      <c r="J1007" s="135"/>
      <c r="K1007" s="135"/>
      <c r="L1007" s="135"/>
      <c r="M1007" s="135"/>
      <c r="N1007" s="135"/>
      <c r="O1007" s="135"/>
      <c r="P1007" s="135"/>
      <c r="Q1007" s="135"/>
      <c r="R1007" s="135"/>
      <c r="S1007" s="135"/>
      <c r="T1007" s="135"/>
      <c r="U1007" s="135"/>
      <c r="V1007" s="135"/>
      <c r="W1007" s="135"/>
      <c r="X1007" s="135"/>
      <c r="Y1007" s="135"/>
      <c r="Z1007" s="135"/>
    </row>
    <row r="1008" spans="1:26" ht="12.75">
      <c r="A1008" s="136" t="s">
        <v>8</v>
      </c>
      <c r="B1008" s="136" t="s">
        <v>7558</v>
      </c>
      <c r="C1008" s="136" t="s">
        <v>643</v>
      </c>
      <c r="D1008" s="136" t="s">
        <v>107</v>
      </c>
      <c r="E1008" s="136" t="s">
        <v>615</v>
      </c>
      <c r="F1008" s="136">
        <v>250</v>
      </c>
      <c r="G1008" s="137">
        <f t="shared" si="3"/>
        <v>6</v>
      </c>
      <c r="H1008" s="137"/>
      <c r="I1008" s="137"/>
      <c r="J1008" s="135"/>
      <c r="K1008" s="135"/>
      <c r="L1008" s="135"/>
      <c r="M1008" s="135"/>
      <c r="N1008" s="135"/>
      <c r="O1008" s="135"/>
      <c r="P1008" s="135"/>
      <c r="Q1008" s="135"/>
      <c r="R1008" s="135"/>
      <c r="S1008" s="135"/>
      <c r="T1008" s="135"/>
      <c r="U1008" s="135"/>
      <c r="V1008" s="135"/>
      <c r="W1008" s="135"/>
      <c r="X1008" s="135"/>
      <c r="Y1008" s="135"/>
      <c r="Z1008" s="135"/>
    </row>
    <row r="1009" spans="1:26" ht="12.75">
      <c r="A1009" s="136" t="s">
        <v>8</v>
      </c>
      <c r="B1009" s="136" t="s">
        <v>7558</v>
      </c>
      <c r="C1009" s="136" t="s">
        <v>643</v>
      </c>
      <c r="D1009" s="136" t="s">
        <v>467</v>
      </c>
      <c r="E1009" s="136" t="s">
        <v>85</v>
      </c>
      <c r="F1009" s="136">
        <v>229</v>
      </c>
      <c r="G1009" s="137">
        <f t="shared" si="3"/>
        <v>7</v>
      </c>
      <c r="H1009" s="137"/>
      <c r="I1009" s="137"/>
      <c r="J1009" s="135"/>
      <c r="K1009" s="135"/>
      <c r="L1009" s="135"/>
      <c r="M1009" s="135"/>
      <c r="N1009" s="135"/>
      <c r="O1009" s="135"/>
      <c r="P1009" s="135"/>
      <c r="Q1009" s="135"/>
      <c r="R1009" s="135"/>
      <c r="S1009" s="135"/>
      <c r="T1009" s="135"/>
      <c r="U1009" s="135"/>
      <c r="V1009" s="135"/>
      <c r="W1009" s="135"/>
      <c r="X1009" s="135"/>
      <c r="Y1009" s="135"/>
      <c r="Z1009" s="135"/>
    </row>
    <row r="1010" spans="1:26" ht="12.75">
      <c r="A1010" s="136" t="s">
        <v>8</v>
      </c>
      <c r="B1010" s="136" t="s">
        <v>7558</v>
      </c>
      <c r="C1010" s="136" t="s">
        <v>643</v>
      </c>
      <c r="D1010" s="136" t="s">
        <v>7533</v>
      </c>
      <c r="E1010" s="136" t="s">
        <v>594</v>
      </c>
      <c r="F1010" s="136">
        <v>223</v>
      </c>
      <c r="G1010" s="137">
        <f t="shared" si="3"/>
        <v>8</v>
      </c>
      <c r="H1010" s="137"/>
      <c r="I1010" s="137"/>
      <c r="J1010" s="135"/>
      <c r="K1010" s="135"/>
      <c r="L1010" s="135"/>
      <c r="M1010" s="135"/>
      <c r="N1010" s="135"/>
      <c r="O1010" s="135"/>
      <c r="P1010" s="135"/>
      <c r="Q1010" s="135"/>
      <c r="R1010" s="135"/>
      <c r="S1010" s="135"/>
      <c r="T1010" s="135"/>
      <c r="U1010" s="135"/>
      <c r="V1010" s="135"/>
      <c r="W1010" s="135"/>
      <c r="X1010" s="135"/>
      <c r="Y1010" s="135"/>
      <c r="Z1010" s="135"/>
    </row>
    <row r="1011" spans="1:26" ht="12.75">
      <c r="A1011" s="136" t="s">
        <v>8</v>
      </c>
      <c r="B1011" s="136" t="s">
        <v>7558</v>
      </c>
      <c r="C1011" s="136" t="s">
        <v>643</v>
      </c>
      <c r="D1011" s="136" t="s">
        <v>7531</v>
      </c>
      <c r="E1011" s="136" t="s">
        <v>615</v>
      </c>
      <c r="F1011" s="136">
        <v>210</v>
      </c>
      <c r="G1011" s="137">
        <f t="shared" si="3"/>
        <v>9</v>
      </c>
      <c r="H1011" s="137"/>
      <c r="I1011" s="137"/>
      <c r="J1011" s="135"/>
      <c r="K1011" s="135"/>
      <c r="L1011" s="135"/>
      <c r="M1011" s="135"/>
      <c r="N1011" s="135"/>
      <c r="O1011" s="135"/>
      <c r="P1011" s="135"/>
      <c r="Q1011" s="135"/>
      <c r="R1011" s="135"/>
      <c r="S1011" s="135"/>
      <c r="T1011" s="135"/>
      <c r="U1011" s="135"/>
      <c r="V1011" s="135"/>
      <c r="W1011" s="135"/>
      <c r="X1011" s="135"/>
      <c r="Y1011" s="135"/>
      <c r="Z1011" s="135"/>
    </row>
    <row r="1012" spans="1:26" ht="12.75">
      <c r="A1012" s="136" t="s">
        <v>8</v>
      </c>
      <c r="B1012" s="136" t="s">
        <v>7558</v>
      </c>
      <c r="C1012" s="136" t="s">
        <v>643</v>
      </c>
      <c r="D1012" s="136" t="s">
        <v>1665</v>
      </c>
      <c r="E1012" s="136" t="s">
        <v>615</v>
      </c>
      <c r="F1012" s="136">
        <v>210</v>
      </c>
      <c r="G1012" s="137">
        <f t="shared" si="3"/>
        <v>10</v>
      </c>
      <c r="H1012" s="137"/>
      <c r="I1012" s="137"/>
      <c r="J1012" s="135"/>
      <c r="K1012" s="135"/>
      <c r="L1012" s="135"/>
      <c r="M1012" s="135"/>
      <c r="N1012" s="135"/>
      <c r="O1012" s="135"/>
      <c r="P1012" s="135"/>
      <c r="Q1012" s="135"/>
      <c r="R1012" s="135"/>
      <c r="S1012" s="135"/>
      <c r="T1012" s="135"/>
      <c r="U1012" s="135"/>
      <c r="V1012" s="135"/>
      <c r="W1012" s="135"/>
      <c r="X1012" s="135"/>
      <c r="Y1012" s="135"/>
      <c r="Z1012" s="135"/>
    </row>
    <row r="1013" spans="1:26" ht="12.75">
      <c r="A1013" s="136" t="s">
        <v>8</v>
      </c>
      <c r="B1013" s="136" t="s">
        <v>7558</v>
      </c>
      <c r="C1013" s="136" t="s">
        <v>643</v>
      </c>
      <c r="D1013" s="136" t="s">
        <v>7491</v>
      </c>
      <c r="E1013" s="136" t="s">
        <v>615</v>
      </c>
      <c r="F1013" s="136">
        <v>200</v>
      </c>
      <c r="G1013" s="137">
        <f t="shared" si="3"/>
        <v>11</v>
      </c>
      <c r="H1013" s="137"/>
      <c r="I1013" s="137"/>
      <c r="J1013" s="135"/>
      <c r="K1013" s="135"/>
      <c r="L1013" s="135"/>
      <c r="M1013" s="135"/>
      <c r="N1013" s="135"/>
      <c r="O1013" s="135"/>
      <c r="P1013" s="135"/>
      <c r="Q1013" s="135"/>
      <c r="R1013" s="135"/>
      <c r="S1013" s="135"/>
      <c r="T1013" s="135"/>
      <c r="U1013" s="135"/>
      <c r="V1013" s="135"/>
      <c r="W1013" s="135"/>
      <c r="X1013" s="135"/>
      <c r="Y1013" s="135"/>
      <c r="Z1013" s="135"/>
    </row>
    <row r="1014" spans="1:26" ht="12.75">
      <c r="A1014" s="136" t="s">
        <v>8</v>
      </c>
      <c r="B1014" s="136" t="s">
        <v>7558</v>
      </c>
      <c r="C1014" s="136" t="s">
        <v>643</v>
      </c>
      <c r="D1014" s="136" t="s">
        <v>595</v>
      </c>
      <c r="E1014" s="136" t="s">
        <v>594</v>
      </c>
      <c r="F1014" s="136">
        <v>195</v>
      </c>
      <c r="G1014" s="137">
        <f t="shared" si="3"/>
        <v>12</v>
      </c>
      <c r="H1014" s="137"/>
      <c r="I1014" s="137"/>
      <c r="J1014" s="135"/>
      <c r="K1014" s="135"/>
      <c r="L1014" s="135"/>
      <c r="M1014" s="135"/>
      <c r="N1014" s="135"/>
      <c r="O1014" s="135"/>
      <c r="P1014" s="135"/>
      <c r="Q1014" s="135"/>
      <c r="R1014" s="135"/>
      <c r="S1014" s="135"/>
      <c r="T1014" s="135"/>
      <c r="U1014" s="135"/>
      <c r="V1014" s="135"/>
      <c r="W1014" s="135"/>
      <c r="X1014" s="135"/>
      <c r="Y1014" s="135"/>
      <c r="Z1014" s="135"/>
    </row>
    <row r="1015" spans="1:26" ht="12.75">
      <c r="A1015" s="136" t="s">
        <v>8</v>
      </c>
      <c r="B1015" s="136" t="s">
        <v>7558</v>
      </c>
      <c r="C1015" s="136" t="s">
        <v>643</v>
      </c>
      <c r="D1015" s="136" t="s">
        <v>7551</v>
      </c>
      <c r="E1015" s="136" t="s">
        <v>615</v>
      </c>
      <c r="F1015" s="136">
        <v>170</v>
      </c>
      <c r="G1015" s="137">
        <f t="shared" si="3"/>
        <v>13</v>
      </c>
      <c r="H1015" s="137"/>
      <c r="I1015" s="137"/>
      <c r="J1015" s="135"/>
      <c r="K1015" s="135"/>
      <c r="L1015" s="135"/>
      <c r="M1015" s="135"/>
      <c r="N1015" s="135"/>
      <c r="O1015" s="135"/>
      <c r="P1015" s="135"/>
      <c r="Q1015" s="135"/>
      <c r="R1015" s="135"/>
      <c r="S1015" s="135"/>
      <c r="T1015" s="135"/>
      <c r="U1015" s="135"/>
      <c r="V1015" s="135"/>
      <c r="W1015" s="135"/>
      <c r="X1015" s="135"/>
      <c r="Y1015" s="135"/>
      <c r="Z1015" s="135"/>
    </row>
    <row r="1016" spans="1:26" ht="12.75">
      <c r="A1016" s="136" t="s">
        <v>8</v>
      </c>
      <c r="B1016" s="136" t="s">
        <v>7558</v>
      </c>
      <c r="C1016" s="136" t="s">
        <v>643</v>
      </c>
      <c r="D1016" s="136" t="s">
        <v>1626</v>
      </c>
      <c r="E1016" s="136" t="s">
        <v>594</v>
      </c>
      <c r="F1016" s="136">
        <v>165</v>
      </c>
      <c r="G1016" s="137">
        <f t="shared" si="3"/>
        <v>14</v>
      </c>
      <c r="H1016" s="137"/>
      <c r="I1016" s="137"/>
      <c r="J1016" s="135"/>
      <c r="K1016" s="135"/>
      <c r="L1016" s="135"/>
      <c r="M1016" s="135"/>
      <c r="N1016" s="135"/>
      <c r="O1016" s="135"/>
      <c r="P1016" s="135"/>
      <c r="Q1016" s="135"/>
      <c r="R1016" s="135"/>
      <c r="S1016" s="135"/>
      <c r="T1016" s="135"/>
      <c r="U1016" s="135"/>
      <c r="V1016" s="135"/>
      <c r="W1016" s="135"/>
      <c r="X1016" s="135"/>
      <c r="Y1016" s="135"/>
      <c r="Z1016" s="135"/>
    </row>
    <row r="1017" spans="1:26" ht="12.75">
      <c r="A1017" s="136" t="s">
        <v>8</v>
      </c>
      <c r="B1017" s="136" t="s">
        <v>7558</v>
      </c>
      <c r="C1017" s="136" t="s">
        <v>643</v>
      </c>
      <c r="D1017" s="136" t="s">
        <v>154</v>
      </c>
      <c r="E1017" s="136" t="s">
        <v>615</v>
      </c>
      <c r="F1017" s="136">
        <v>160</v>
      </c>
      <c r="G1017" s="137">
        <f t="shared" si="3"/>
        <v>15</v>
      </c>
      <c r="H1017" s="137"/>
      <c r="I1017" s="137"/>
      <c r="J1017" s="135"/>
      <c r="K1017" s="135"/>
      <c r="L1017" s="135"/>
      <c r="M1017" s="135"/>
      <c r="N1017" s="135"/>
      <c r="O1017" s="135"/>
      <c r="P1017" s="135"/>
      <c r="Q1017" s="135"/>
      <c r="R1017" s="135"/>
      <c r="S1017" s="135"/>
      <c r="T1017" s="135"/>
      <c r="U1017" s="135"/>
      <c r="V1017" s="135"/>
      <c r="W1017" s="135"/>
      <c r="X1017" s="135"/>
      <c r="Y1017" s="135"/>
      <c r="Z1017" s="135"/>
    </row>
    <row r="1018" spans="1:26" ht="12.75">
      <c r="A1018" s="136" t="s">
        <v>8</v>
      </c>
      <c r="B1018" s="136" t="s">
        <v>7558</v>
      </c>
      <c r="C1018" s="136" t="s">
        <v>643</v>
      </c>
      <c r="D1018" s="136" t="s">
        <v>7480</v>
      </c>
      <c r="E1018" s="136" t="s">
        <v>594</v>
      </c>
      <c r="F1018" s="136">
        <v>90</v>
      </c>
      <c r="G1018" s="137">
        <f t="shared" si="3"/>
        <v>16</v>
      </c>
      <c r="H1018" s="137"/>
      <c r="I1018" s="137"/>
      <c r="J1018" s="135"/>
      <c r="K1018" s="135"/>
      <c r="L1018" s="135"/>
      <c r="M1018" s="135"/>
      <c r="N1018" s="135"/>
      <c r="O1018" s="135"/>
      <c r="P1018" s="135"/>
      <c r="Q1018" s="135"/>
      <c r="R1018" s="135"/>
      <c r="S1018" s="135"/>
      <c r="T1018" s="135"/>
      <c r="U1018" s="135"/>
      <c r="V1018" s="135"/>
      <c r="W1018" s="135"/>
      <c r="X1018" s="135"/>
      <c r="Y1018" s="135"/>
      <c r="Z1018" s="135"/>
    </row>
    <row r="1019" spans="1:26" ht="12.75">
      <c r="A1019" s="136" t="s">
        <v>8</v>
      </c>
      <c r="B1019" s="136" t="s">
        <v>7558</v>
      </c>
      <c r="C1019" s="136" t="s">
        <v>643</v>
      </c>
      <c r="D1019" s="136" t="s">
        <v>7532</v>
      </c>
      <c r="E1019" s="136" t="s">
        <v>615</v>
      </c>
      <c r="F1019" s="136">
        <v>90</v>
      </c>
      <c r="G1019" s="137">
        <f t="shared" si="3"/>
        <v>17</v>
      </c>
      <c r="H1019" s="137"/>
      <c r="I1019" s="137"/>
      <c r="J1019" s="135"/>
      <c r="K1019" s="135"/>
      <c r="L1019" s="135"/>
      <c r="M1019" s="135"/>
      <c r="N1019" s="135"/>
      <c r="O1019" s="135"/>
      <c r="P1019" s="135"/>
      <c r="Q1019" s="135"/>
      <c r="R1019" s="135"/>
      <c r="S1019" s="135"/>
      <c r="T1019" s="135"/>
      <c r="U1019" s="135"/>
      <c r="V1019" s="135"/>
      <c r="W1019" s="135"/>
      <c r="X1019" s="135"/>
      <c r="Y1019" s="135"/>
      <c r="Z1019" s="135"/>
    </row>
    <row r="1020" spans="1:26" ht="12.75">
      <c r="A1020" s="136" t="s">
        <v>8</v>
      </c>
      <c r="B1020" s="136" t="s">
        <v>7558</v>
      </c>
      <c r="C1020" s="136" t="s">
        <v>643</v>
      </c>
      <c r="D1020" s="136" t="s">
        <v>7534</v>
      </c>
      <c r="E1020" s="136" t="s">
        <v>594</v>
      </c>
      <c r="F1020" s="136">
        <v>40</v>
      </c>
      <c r="G1020" s="137">
        <f t="shared" si="3"/>
        <v>18</v>
      </c>
      <c r="H1020" s="137"/>
      <c r="I1020" s="137"/>
      <c r="J1020" s="135"/>
      <c r="K1020" s="135"/>
      <c r="L1020" s="135"/>
      <c r="M1020" s="135"/>
      <c r="N1020" s="135"/>
      <c r="O1020" s="135"/>
      <c r="P1020" s="135"/>
      <c r="Q1020" s="135"/>
      <c r="R1020" s="135"/>
      <c r="S1020" s="135"/>
      <c r="T1020" s="135"/>
      <c r="U1020" s="135"/>
      <c r="V1020" s="135"/>
      <c r="W1020" s="135"/>
      <c r="X1020" s="135"/>
      <c r="Y1020" s="135"/>
      <c r="Z1020" s="135"/>
    </row>
    <row r="1021" spans="1:26" ht="12.75">
      <c r="A1021" s="136" t="s">
        <v>8</v>
      </c>
      <c r="B1021" s="136" t="s">
        <v>7558</v>
      </c>
      <c r="C1021" s="136" t="s">
        <v>643</v>
      </c>
      <c r="D1021" s="136" t="s">
        <v>1656</v>
      </c>
      <c r="E1021" s="136" t="s">
        <v>594</v>
      </c>
      <c r="F1021" s="136">
        <v>40</v>
      </c>
      <c r="G1021" s="137">
        <f t="shared" si="3"/>
        <v>19</v>
      </c>
      <c r="H1021" s="137"/>
      <c r="I1021" s="137"/>
      <c r="J1021" s="135"/>
      <c r="K1021" s="135"/>
      <c r="L1021" s="135"/>
      <c r="M1021" s="135"/>
      <c r="N1021" s="135"/>
      <c r="O1021" s="135"/>
      <c r="P1021" s="135"/>
      <c r="Q1021" s="135"/>
      <c r="R1021" s="135"/>
      <c r="S1021" s="135"/>
      <c r="T1021" s="135"/>
      <c r="U1021" s="135"/>
      <c r="V1021" s="135"/>
      <c r="W1021" s="135"/>
      <c r="X1021" s="135"/>
      <c r="Y1021" s="135"/>
      <c r="Z1021" s="135"/>
    </row>
    <row r="1022" spans="1:26" ht="12.75">
      <c r="A1022" s="136" t="s">
        <v>8</v>
      </c>
      <c r="B1022" s="136" t="s">
        <v>7558</v>
      </c>
      <c r="C1022" s="136" t="s">
        <v>643</v>
      </c>
      <c r="D1022" s="136" t="s">
        <v>1682</v>
      </c>
      <c r="E1022" s="136" t="s">
        <v>86</v>
      </c>
      <c r="F1022" s="136">
        <v>7</v>
      </c>
      <c r="G1022" s="137">
        <f t="shared" ref="G1022:G1276" si="4">COUNTIFS($C:$C,C1022,$F:$F,"&gt;"&amp;F1022)
 + COUNTIFS($C$2:C1022,C1022,$F$2:F1022,F1022)</f>
        <v>20</v>
      </c>
      <c r="H1022" s="137"/>
      <c r="I1022" s="137"/>
      <c r="J1022" s="135"/>
      <c r="K1022" s="135"/>
      <c r="L1022" s="135"/>
      <c r="M1022" s="135"/>
      <c r="N1022" s="135"/>
      <c r="O1022" s="135"/>
      <c r="P1022" s="135"/>
      <c r="Q1022" s="135"/>
      <c r="R1022" s="135"/>
      <c r="S1022" s="135"/>
      <c r="T1022" s="135"/>
      <c r="U1022" s="135"/>
      <c r="V1022" s="135"/>
      <c r="W1022" s="135"/>
      <c r="X1022" s="135"/>
      <c r="Y1022" s="135"/>
      <c r="Z1022" s="135"/>
    </row>
    <row r="1023" spans="1:26" ht="12.75">
      <c r="A1023" s="136" t="s">
        <v>8</v>
      </c>
      <c r="B1023" s="136" t="s">
        <v>7556</v>
      </c>
      <c r="C1023" s="136" t="s">
        <v>333</v>
      </c>
      <c r="D1023" s="136" t="s">
        <v>7546</v>
      </c>
      <c r="E1023" s="136" t="s">
        <v>86</v>
      </c>
      <c r="F1023" s="136">
        <v>387</v>
      </c>
      <c r="G1023" s="137">
        <f t="shared" si="4"/>
        <v>4</v>
      </c>
      <c r="H1023" s="137"/>
      <c r="I1023" s="137"/>
      <c r="J1023" s="135"/>
      <c r="K1023" s="135"/>
      <c r="L1023" s="135"/>
      <c r="M1023" s="135"/>
      <c r="N1023" s="135"/>
      <c r="O1023" s="135"/>
      <c r="P1023" s="135"/>
      <c r="Q1023" s="135"/>
      <c r="R1023" s="135"/>
      <c r="S1023" s="135"/>
      <c r="T1023" s="135"/>
      <c r="U1023" s="135"/>
      <c r="V1023" s="135"/>
      <c r="W1023" s="135"/>
      <c r="X1023" s="135"/>
      <c r="Y1023" s="135"/>
      <c r="Z1023" s="135"/>
    </row>
    <row r="1024" spans="1:26" ht="12.75">
      <c r="A1024" s="136" t="s">
        <v>8</v>
      </c>
      <c r="B1024" s="136" t="s">
        <v>7556</v>
      </c>
      <c r="C1024" s="136" t="s">
        <v>333</v>
      </c>
      <c r="D1024" s="136" t="s">
        <v>1676</v>
      </c>
      <c r="E1024" s="136" t="s">
        <v>86</v>
      </c>
      <c r="F1024" s="136">
        <v>377</v>
      </c>
      <c r="G1024" s="137">
        <f t="shared" si="4"/>
        <v>5</v>
      </c>
      <c r="H1024" s="137"/>
      <c r="I1024" s="137"/>
      <c r="J1024" s="135"/>
      <c r="K1024" s="135"/>
      <c r="L1024" s="135"/>
      <c r="M1024" s="135"/>
      <c r="N1024" s="135"/>
      <c r="O1024" s="135"/>
      <c r="P1024" s="135"/>
      <c r="Q1024" s="135"/>
      <c r="R1024" s="135"/>
      <c r="S1024" s="135"/>
      <c r="T1024" s="135"/>
      <c r="U1024" s="135"/>
      <c r="V1024" s="135"/>
      <c r="W1024" s="135"/>
      <c r="X1024" s="135"/>
      <c r="Y1024" s="135"/>
      <c r="Z1024" s="135"/>
    </row>
    <row r="1025" spans="1:26" ht="12.75">
      <c r="A1025" s="136" t="s">
        <v>8</v>
      </c>
      <c r="B1025" s="136" t="s">
        <v>7556</v>
      </c>
      <c r="C1025" s="136" t="s">
        <v>333</v>
      </c>
      <c r="D1025" s="136" t="s">
        <v>7545</v>
      </c>
      <c r="E1025" s="136" t="s">
        <v>86</v>
      </c>
      <c r="F1025" s="136">
        <v>341</v>
      </c>
      <c r="G1025" s="137">
        <f t="shared" si="4"/>
        <v>7</v>
      </c>
      <c r="H1025" s="137"/>
      <c r="I1025" s="137"/>
      <c r="J1025" s="135"/>
      <c r="K1025" s="135"/>
      <c r="L1025" s="135"/>
      <c r="M1025" s="135"/>
      <c r="N1025" s="135"/>
      <c r="O1025" s="135"/>
      <c r="P1025" s="135"/>
      <c r="Q1025" s="135"/>
      <c r="R1025" s="135"/>
      <c r="S1025" s="135"/>
      <c r="T1025" s="135"/>
      <c r="U1025" s="135"/>
      <c r="V1025" s="135"/>
      <c r="W1025" s="135"/>
      <c r="X1025" s="135"/>
      <c r="Y1025" s="135"/>
      <c r="Z1025" s="135"/>
    </row>
    <row r="1026" spans="1:26" ht="12.75">
      <c r="A1026" s="136" t="s">
        <v>8</v>
      </c>
      <c r="B1026" s="136" t="s">
        <v>7556</v>
      </c>
      <c r="C1026" s="136" t="s">
        <v>333</v>
      </c>
      <c r="D1026" s="136" t="s">
        <v>139</v>
      </c>
      <c r="E1026" s="136" t="s">
        <v>594</v>
      </c>
      <c r="F1026" s="136">
        <v>38</v>
      </c>
      <c r="G1026" s="137">
        <f t="shared" si="4"/>
        <v>17</v>
      </c>
      <c r="H1026" s="137"/>
      <c r="I1026" s="137"/>
      <c r="J1026" s="135"/>
      <c r="K1026" s="135"/>
      <c r="L1026" s="135"/>
      <c r="M1026" s="135"/>
      <c r="N1026" s="135"/>
      <c r="O1026" s="135"/>
      <c r="P1026" s="135"/>
      <c r="Q1026" s="135"/>
      <c r="R1026" s="135"/>
      <c r="S1026" s="135"/>
      <c r="T1026" s="135"/>
      <c r="U1026" s="135"/>
      <c r="V1026" s="135"/>
      <c r="W1026" s="135"/>
      <c r="X1026" s="135"/>
      <c r="Y1026" s="135"/>
      <c r="Z1026" s="135"/>
    </row>
    <row r="1027" spans="1:26" ht="12.75">
      <c r="A1027" s="136" t="s">
        <v>8</v>
      </c>
      <c r="B1027" s="136" t="s">
        <v>7556</v>
      </c>
      <c r="C1027" s="136" t="s">
        <v>333</v>
      </c>
      <c r="D1027" s="136" t="s">
        <v>7533</v>
      </c>
      <c r="E1027" s="136" t="s">
        <v>594</v>
      </c>
      <c r="F1027" s="136">
        <v>20</v>
      </c>
      <c r="G1027" s="137">
        <f t="shared" si="4"/>
        <v>21</v>
      </c>
      <c r="H1027" s="137"/>
      <c r="I1027" s="137"/>
      <c r="J1027" s="135"/>
      <c r="K1027" s="135"/>
      <c r="L1027" s="135"/>
      <c r="M1027" s="135"/>
      <c r="N1027" s="135"/>
      <c r="O1027" s="135"/>
      <c r="P1027" s="135"/>
      <c r="Q1027" s="135"/>
      <c r="R1027" s="135"/>
      <c r="S1027" s="135"/>
      <c r="T1027" s="135"/>
      <c r="U1027" s="135"/>
      <c r="V1027" s="135"/>
      <c r="W1027" s="135"/>
      <c r="X1027" s="135"/>
      <c r="Y1027" s="135"/>
      <c r="Z1027" s="135"/>
    </row>
    <row r="1028" spans="1:26" ht="12.75">
      <c r="A1028" s="136" t="s">
        <v>8</v>
      </c>
      <c r="B1028" s="136" t="s">
        <v>7556</v>
      </c>
      <c r="C1028" s="136" t="s">
        <v>333</v>
      </c>
      <c r="D1028" s="136" t="s">
        <v>7530</v>
      </c>
      <c r="E1028" s="136" t="s">
        <v>85</v>
      </c>
      <c r="F1028" s="136">
        <v>18</v>
      </c>
      <c r="G1028" s="137">
        <f t="shared" si="4"/>
        <v>22</v>
      </c>
      <c r="H1028" s="137"/>
      <c r="I1028" s="137"/>
      <c r="J1028" s="135"/>
      <c r="K1028" s="135"/>
      <c r="L1028" s="135"/>
      <c r="M1028" s="135"/>
      <c r="N1028" s="135"/>
      <c r="O1028" s="135"/>
      <c r="P1028" s="135"/>
      <c r="Q1028" s="135"/>
      <c r="R1028" s="135"/>
      <c r="S1028" s="135"/>
      <c r="T1028" s="135"/>
      <c r="U1028" s="135"/>
      <c r="V1028" s="135"/>
      <c r="W1028" s="135"/>
      <c r="X1028" s="135"/>
      <c r="Y1028" s="135"/>
      <c r="Z1028" s="135"/>
    </row>
    <row r="1029" spans="1:26" ht="12.75">
      <c r="A1029" s="136" t="s">
        <v>8</v>
      </c>
      <c r="B1029" s="136" t="s">
        <v>7556</v>
      </c>
      <c r="C1029" s="136" t="s">
        <v>333</v>
      </c>
      <c r="D1029" s="136" t="s">
        <v>7491</v>
      </c>
      <c r="E1029" s="136" t="s">
        <v>615</v>
      </c>
      <c r="F1029" s="136">
        <v>15</v>
      </c>
      <c r="G1029" s="137">
        <f t="shared" si="4"/>
        <v>23</v>
      </c>
      <c r="H1029" s="137"/>
      <c r="I1029" s="137"/>
      <c r="J1029" s="135"/>
      <c r="K1029" s="135"/>
      <c r="L1029" s="135"/>
      <c r="M1029" s="135"/>
      <c r="N1029" s="135"/>
      <c r="O1029" s="135"/>
      <c r="P1029" s="135"/>
      <c r="Q1029" s="135"/>
      <c r="R1029" s="135"/>
      <c r="S1029" s="135"/>
      <c r="T1029" s="135"/>
      <c r="U1029" s="135"/>
      <c r="V1029" s="135"/>
      <c r="W1029" s="135"/>
      <c r="X1029" s="135"/>
      <c r="Y1029" s="135"/>
      <c r="Z1029" s="135"/>
    </row>
    <row r="1030" spans="1:26" ht="12.75">
      <c r="A1030" s="136" t="s">
        <v>8</v>
      </c>
      <c r="B1030" s="136" t="s">
        <v>7556</v>
      </c>
      <c r="C1030" s="136" t="s">
        <v>333</v>
      </c>
      <c r="D1030" s="136" t="s">
        <v>165</v>
      </c>
      <c r="E1030" s="136" t="s">
        <v>615</v>
      </c>
      <c r="F1030" s="136">
        <v>9</v>
      </c>
      <c r="G1030" s="137">
        <f t="shared" si="4"/>
        <v>27</v>
      </c>
      <c r="H1030" s="137"/>
      <c r="I1030" s="137"/>
      <c r="J1030" s="135"/>
      <c r="K1030" s="135"/>
      <c r="L1030" s="135"/>
      <c r="M1030" s="135"/>
      <c r="N1030" s="135"/>
      <c r="O1030" s="135"/>
      <c r="P1030" s="135"/>
      <c r="Q1030" s="135"/>
      <c r="R1030" s="135"/>
      <c r="S1030" s="135"/>
      <c r="T1030" s="135"/>
      <c r="U1030" s="135"/>
      <c r="V1030" s="135"/>
      <c r="W1030" s="135"/>
      <c r="X1030" s="135"/>
      <c r="Y1030" s="135"/>
      <c r="Z1030" s="135"/>
    </row>
    <row r="1031" spans="1:26" ht="12.75">
      <c r="A1031" s="136" t="s">
        <v>8</v>
      </c>
      <c r="B1031" s="136" t="s">
        <v>7556</v>
      </c>
      <c r="C1031" s="136" t="s">
        <v>333</v>
      </c>
      <c r="D1031" s="136" t="s">
        <v>7544</v>
      </c>
      <c r="E1031" s="136" t="s">
        <v>615</v>
      </c>
      <c r="F1031" s="136">
        <v>4</v>
      </c>
      <c r="G1031" s="137">
        <f t="shared" si="4"/>
        <v>31</v>
      </c>
      <c r="H1031" s="137"/>
      <c r="I1031" s="137"/>
      <c r="J1031" s="135"/>
      <c r="K1031" s="135"/>
      <c r="L1031" s="135"/>
      <c r="M1031" s="135"/>
      <c r="N1031" s="135"/>
      <c r="O1031" s="135"/>
      <c r="P1031" s="135"/>
      <c r="Q1031" s="135"/>
      <c r="R1031" s="135"/>
      <c r="S1031" s="135"/>
      <c r="T1031" s="135"/>
      <c r="U1031" s="135"/>
      <c r="V1031" s="135"/>
      <c r="W1031" s="135"/>
      <c r="X1031" s="135"/>
      <c r="Y1031" s="135"/>
      <c r="Z1031" s="135"/>
    </row>
    <row r="1032" spans="1:26" ht="12.75">
      <c r="A1032" s="136" t="s">
        <v>8</v>
      </c>
      <c r="B1032" s="136" t="s">
        <v>7556</v>
      </c>
      <c r="C1032" s="136" t="s">
        <v>333</v>
      </c>
      <c r="D1032" s="136" t="s">
        <v>1665</v>
      </c>
      <c r="E1032" s="136" t="s">
        <v>615</v>
      </c>
      <c r="F1032" s="136">
        <v>3</v>
      </c>
      <c r="G1032" s="137">
        <f t="shared" si="4"/>
        <v>32</v>
      </c>
      <c r="H1032" s="137"/>
      <c r="I1032" s="137"/>
      <c r="J1032" s="135"/>
      <c r="K1032" s="135"/>
      <c r="L1032" s="135"/>
      <c r="M1032" s="135"/>
      <c r="N1032" s="135"/>
      <c r="O1032" s="135"/>
      <c r="P1032" s="135"/>
      <c r="Q1032" s="135"/>
      <c r="R1032" s="135"/>
      <c r="S1032" s="135"/>
      <c r="T1032" s="135"/>
      <c r="U1032" s="135"/>
      <c r="V1032" s="135"/>
      <c r="W1032" s="135"/>
      <c r="X1032" s="135"/>
      <c r="Y1032" s="135"/>
      <c r="Z1032" s="135"/>
    </row>
    <row r="1033" spans="1:26" ht="12.75">
      <c r="A1033" s="136" t="s">
        <v>8</v>
      </c>
      <c r="B1033" s="136" t="s">
        <v>8</v>
      </c>
      <c r="C1033" s="136" t="s">
        <v>581</v>
      </c>
      <c r="D1033" s="136" t="s">
        <v>139</v>
      </c>
      <c r="E1033" s="136" t="s">
        <v>594</v>
      </c>
      <c r="F1033" s="136">
        <v>1160</v>
      </c>
      <c r="G1033" s="137">
        <f t="shared" si="4"/>
        <v>1</v>
      </c>
      <c r="H1033" s="137"/>
      <c r="I1033" s="137"/>
      <c r="J1033" s="135"/>
      <c r="K1033" s="135"/>
      <c r="L1033" s="135"/>
      <c r="M1033" s="135"/>
      <c r="N1033" s="135"/>
      <c r="O1033" s="135"/>
      <c r="P1033" s="135"/>
      <c r="Q1033" s="135"/>
      <c r="R1033" s="135"/>
      <c r="S1033" s="135"/>
      <c r="T1033" s="135"/>
      <c r="U1033" s="135"/>
      <c r="V1033" s="135"/>
      <c r="W1033" s="135"/>
      <c r="X1033" s="135"/>
      <c r="Y1033" s="135"/>
      <c r="Z1033" s="135"/>
    </row>
    <row r="1034" spans="1:26" ht="12.75">
      <c r="A1034" s="136" t="s">
        <v>8</v>
      </c>
      <c r="B1034" s="136" t="s">
        <v>8</v>
      </c>
      <c r="C1034" s="136" t="s">
        <v>581</v>
      </c>
      <c r="D1034" s="136" t="s">
        <v>1674</v>
      </c>
      <c r="E1034" s="136" t="s">
        <v>615</v>
      </c>
      <c r="F1034" s="136">
        <v>560</v>
      </c>
      <c r="G1034" s="137">
        <f t="shared" si="4"/>
        <v>2</v>
      </c>
      <c r="H1034" s="137"/>
      <c r="I1034" s="137"/>
      <c r="J1034" s="135"/>
      <c r="K1034" s="135"/>
      <c r="L1034" s="135"/>
      <c r="M1034" s="135"/>
      <c r="N1034" s="135"/>
      <c r="O1034" s="135"/>
      <c r="P1034" s="135"/>
      <c r="Q1034" s="135"/>
      <c r="R1034" s="135"/>
      <c r="S1034" s="135"/>
      <c r="T1034" s="135"/>
      <c r="U1034" s="135"/>
      <c r="V1034" s="135"/>
      <c r="W1034" s="135"/>
      <c r="X1034" s="135"/>
      <c r="Y1034" s="135"/>
      <c r="Z1034" s="135"/>
    </row>
    <row r="1035" spans="1:26" ht="12.75">
      <c r="A1035" s="136" t="s">
        <v>8</v>
      </c>
      <c r="B1035" s="136" t="s">
        <v>8</v>
      </c>
      <c r="C1035" s="136" t="s">
        <v>581</v>
      </c>
      <c r="D1035" s="136" t="s">
        <v>165</v>
      </c>
      <c r="E1035" s="136" t="s">
        <v>615</v>
      </c>
      <c r="F1035" s="136">
        <v>180</v>
      </c>
      <c r="G1035" s="137">
        <f t="shared" si="4"/>
        <v>3</v>
      </c>
      <c r="H1035" s="137"/>
      <c r="I1035" s="137"/>
      <c r="J1035" s="135"/>
      <c r="K1035" s="135"/>
      <c r="L1035" s="135"/>
      <c r="M1035" s="135"/>
      <c r="N1035" s="135"/>
      <c r="O1035" s="135"/>
      <c r="P1035" s="135"/>
      <c r="Q1035" s="135"/>
      <c r="R1035" s="135"/>
      <c r="S1035" s="135"/>
      <c r="T1035" s="135"/>
      <c r="U1035" s="135"/>
      <c r="V1035" s="135"/>
      <c r="W1035" s="135"/>
      <c r="X1035" s="135"/>
      <c r="Y1035" s="135"/>
      <c r="Z1035" s="135"/>
    </row>
    <row r="1036" spans="1:26" ht="12.75">
      <c r="A1036" s="136" t="s">
        <v>8</v>
      </c>
      <c r="B1036" s="136" t="s">
        <v>8</v>
      </c>
      <c r="C1036" s="136" t="s">
        <v>581</v>
      </c>
      <c r="D1036" s="136" t="s">
        <v>7530</v>
      </c>
      <c r="E1036" s="136" t="s">
        <v>85</v>
      </c>
      <c r="F1036" s="136">
        <v>110</v>
      </c>
      <c r="G1036" s="137">
        <f t="shared" si="4"/>
        <v>4</v>
      </c>
      <c r="H1036" s="137"/>
      <c r="I1036" s="137"/>
      <c r="J1036" s="135"/>
      <c r="K1036" s="135"/>
      <c r="L1036" s="135"/>
      <c r="M1036" s="135"/>
      <c r="N1036" s="135"/>
      <c r="O1036" s="135"/>
      <c r="P1036" s="135"/>
      <c r="Q1036" s="135"/>
      <c r="R1036" s="135"/>
      <c r="S1036" s="135"/>
      <c r="T1036" s="135"/>
      <c r="U1036" s="135"/>
      <c r="V1036" s="135"/>
      <c r="W1036" s="135"/>
      <c r="X1036" s="135"/>
      <c r="Y1036" s="135"/>
      <c r="Z1036" s="135"/>
    </row>
    <row r="1037" spans="1:26" ht="12.75">
      <c r="A1037" s="136" t="s">
        <v>8</v>
      </c>
      <c r="B1037" s="136" t="s">
        <v>8</v>
      </c>
      <c r="C1037" s="136" t="s">
        <v>581</v>
      </c>
      <c r="D1037" s="136" t="s">
        <v>1665</v>
      </c>
      <c r="E1037" s="136" t="s">
        <v>615</v>
      </c>
      <c r="F1037" s="136">
        <v>105</v>
      </c>
      <c r="G1037" s="137">
        <f t="shared" si="4"/>
        <v>5</v>
      </c>
      <c r="H1037" s="137"/>
      <c r="I1037" s="137"/>
      <c r="J1037" s="135"/>
      <c r="K1037" s="135"/>
      <c r="L1037" s="135"/>
      <c r="M1037" s="135"/>
      <c r="N1037" s="135"/>
      <c r="O1037" s="135"/>
      <c r="P1037" s="135"/>
      <c r="Q1037" s="135"/>
      <c r="R1037" s="135"/>
      <c r="S1037" s="135"/>
      <c r="T1037" s="135"/>
      <c r="U1037" s="135"/>
      <c r="V1037" s="135"/>
      <c r="W1037" s="135"/>
      <c r="X1037" s="135"/>
      <c r="Y1037" s="135"/>
      <c r="Z1037" s="135"/>
    </row>
    <row r="1038" spans="1:26" ht="12.75">
      <c r="A1038" s="136" t="s">
        <v>8</v>
      </c>
      <c r="B1038" s="136" t="s">
        <v>8</v>
      </c>
      <c r="C1038" s="136" t="s">
        <v>581</v>
      </c>
      <c r="D1038" s="136" t="s">
        <v>7491</v>
      </c>
      <c r="E1038" s="136" t="s">
        <v>615</v>
      </c>
      <c r="F1038" s="136">
        <v>100</v>
      </c>
      <c r="G1038" s="137">
        <f t="shared" si="4"/>
        <v>6</v>
      </c>
      <c r="H1038" s="137"/>
      <c r="I1038" s="137"/>
      <c r="J1038" s="135"/>
      <c r="K1038" s="135"/>
      <c r="L1038" s="135"/>
      <c r="M1038" s="135"/>
      <c r="N1038" s="135"/>
      <c r="O1038" s="135"/>
      <c r="P1038" s="135"/>
      <c r="Q1038" s="135"/>
      <c r="R1038" s="135"/>
      <c r="S1038" s="135"/>
      <c r="T1038" s="135"/>
      <c r="U1038" s="135"/>
      <c r="V1038" s="135"/>
      <c r="W1038" s="135"/>
      <c r="X1038" s="135"/>
      <c r="Y1038" s="135"/>
      <c r="Z1038" s="135"/>
    </row>
    <row r="1039" spans="1:26" ht="12.75">
      <c r="A1039" s="136" t="s">
        <v>8</v>
      </c>
      <c r="B1039" s="136" t="s">
        <v>8</v>
      </c>
      <c r="C1039" s="136" t="s">
        <v>581</v>
      </c>
      <c r="D1039" s="136" t="s">
        <v>7544</v>
      </c>
      <c r="E1039" s="136" t="s">
        <v>615</v>
      </c>
      <c r="F1039" s="136">
        <v>90</v>
      </c>
      <c r="G1039" s="137">
        <f t="shared" si="4"/>
        <v>7</v>
      </c>
      <c r="H1039" s="137"/>
      <c r="I1039" s="137"/>
      <c r="J1039" s="135"/>
      <c r="K1039" s="135"/>
      <c r="L1039" s="135"/>
      <c r="M1039" s="135"/>
      <c r="N1039" s="135"/>
      <c r="O1039" s="135"/>
      <c r="P1039" s="135"/>
      <c r="Q1039" s="135"/>
      <c r="R1039" s="135"/>
      <c r="S1039" s="135"/>
      <c r="T1039" s="135"/>
      <c r="U1039" s="135"/>
      <c r="V1039" s="135"/>
      <c r="W1039" s="135"/>
      <c r="X1039" s="135"/>
      <c r="Y1039" s="135"/>
      <c r="Z1039" s="135"/>
    </row>
    <row r="1040" spans="1:26" ht="12.75">
      <c r="A1040" s="136" t="s">
        <v>8</v>
      </c>
      <c r="B1040" s="136" t="s">
        <v>8</v>
      </c>
      <c r="C1040" s="136" t="s">
        <v>581</v>
      </c>
      <c r="D1040" s="136" t="s">
        <v>7551</v>
      </c>
      <c r="E1040" s="136" t="s">
        <v>615</v>
      </c>
      <c r="F1040" s="136">
        <v>70</v>
      </c>
      <c r="G1040" s="137">
        <f t="shared" si="4"/>
        <v>8</v>
      </c>
      <c r="H1040" s="137"/>
      <c r="I1040" s="137"/>
      <c r="J1040" s="135"/>
      <c r="K1040" s="135"/>
      <c r="L1040" s="135"/>
      <c r="M1040" s="135"/>
      <c r="N1040" s="135"/>
      <c r="O1040" s="135"/>
      <c r="P1040" s="135"/>
      <c r="Q1040" s="135"/>
      <c r="R1040" s="135"/>
      <c r="S1040" s="135"/>
      <c r="T1040" s="135"/>
      <c r="U1040" s="135"/>
      <c r="V1040" s="135"/>
      <c r="W1040" s="135"/>
      <c r="X1040" s="135"/>
      <c r="Y1040" s="135"/>
      <c r="Z1040" s="135"/>
    </row>
    <row r="1041" spans="1:26" ht="12.75">
      <c r="A1041" s="136" t="s">
        <v>8</v>
      </c>
      <c r="B1041" s="136" t="s">
        <v>8</v>
      </c>
      <c r="C1041" s="136" t="s">
        <v>581</v>
      </c>
      <c r="D1041" s="136" t="s">
        <v>467</v>
      </c>
      <c r="E1041" s="136" t="s">
        <v>85</v>
      </c>
      <c r="F1041" s="136">
        <v>65</v>
      </c>
      <c r="G1041" s="137">
        <f t="shared" si="4"/>
        <v>9</v>
      </c>
      <c r="H1041" s="137"/>
      <c r="I1041" s="137"/>
      <c r="J1041" s="135"/>
      <c r="K1041" s="135"/>
      <c r="L1041" s="135"/>
      <c r="M1041" s="135"/>
      <c r="N1041" s="135"/>
      <c r="O1041" s="135"/>
      <c r="P1041" s="135"/>
      <c r="Q1041" s="135"/>
      <c r="R1041" s="135"/>
      <c r="S1041" s="135"/>
      <c r="T1041" s="135"/>
      <c r="U1041" s="135"/>
      <c r="V1041" s="135"/>
      <c r="W1041" s="135"/>
      <c r="X1041" s="135"/>
      <c r="Y1041" s="135"/>
      <c r="Z1041" s="135"/>
    </row>
    <row r="1042" spans="1:26" ht="12.75">
      <c r="A1042" s="136" t="s">
        <v>8</v>
      </c>
      <c r="B1042" s="136" t="s">
        <v>8</v>
      </c>
      <c r="C1042" s="136" t="s">
        <v>581</v>
      </c>
      <c r="D1042" s="136" t="s">
        <v>7533</v>
      </c>
      <c r="E1042" s="136" t="s">
        <v>594</v>
      </c>
      <c r="F1042" s="136">
        <v>51</v>
      </c>
      <c r="G1042" s="137">
        <f t="shared" si="4"/>
        <v>10</v>
      </c>
      <c r="H1042" s="137"/>
      <c r="I1042" s="137"/>
      <c r="J1042" s="135"/>
      <c r="K1042" s="135"/>
      <c r="L1042" s="135"/>
      <c r="M1042" s="135"/>
      <c r="N1042" s="135"/>
      <c r="O1042" s="135"/>
      <c r="P1042" s="135"/>
      <c r="Q1042" s="135"/>
      <c r="R1042" s="135"/>
      <c r="S1042" s="135"/>
      <c r="T1042" s="135"/>
      <c r="U1042" s="135"/>
      <c r="V1042" s="135"/>
      <c r="W1042" s="135"/>
      <c r="X1042" s="135"/>
      <c r="Y1042" s="135"/>
      <c r="Z1042" s="135"/>
    </row>
    <row r="1043" spans="1:26" ht="12.75">
      <c r="A1043" s="136" t="s">
        <v>8</v>
      </c>
      <c r="B1043" s="136" t="s">
        <v>8</v>
      </c>
      <c r="C1043" s="136" t="s">
        <v>581</v>
      </c>
      <c r="D1043" s="136" t="s">
        <v>368</v>
      </c>
      <c r="E1043" s="136" t="s">
        <v>594</v>
      </c>
      <c r="F1043" s="136">
        <v>10</v>
      </c>
      <c r="G1043" s="137">
        <f t="shared" si="4"/>
        <v>11</v>
      </c>
      <c r="H1043" s="137"/>
      <c r="I1043" s="137"/>
      <c r="J1043" s="135"/>
      <c r="K1043" s="135"/>
      <c r="L1043" s="135"/>
      <c r="M1043" s="135"/>
      <c r="N1043" s="135"/>
      <c r="O1043" s="135"/>
      <c r="P1043" s="135"/>
      <c r="Q1043" s="135"/>
      <c r="R1043" s="135"/>
      <c r="S1043" s="135"/>
      <c r="T1043" s="135"/>
      <c r="U1043" s="135"/>
      <c r="V1043" s="135"/>
      <c r="W1043" s="135"/>
      <c r="X1043" s="135"/>
      <c r="Y1043" s="135"/>
      <c r="Z1043" s="135"/>
    </row>
    <row r="1044" spans="1:26" ht="12.75">
      <c r="A1044" s="136" t="s">
        <v>8</v>
      </c>
      <c r="B1044" s="136" t="s">
        <v>8</v>
      </c>
      <c r="C1044" s="136" t="s">
        <v>581</v>
      </c>
      <c r="D1044" s="136" t="s">
        <v>1682</v>
      </c>
      <c r="E1044" s="136" t="s">
        <v>86</v>
      </c>
      <c r="F1044" s="136">
        <v>1</v>
      </c>
      <c r="G1044" s="137">
        <f t="shared" si="4"/>
        <v>12</v>
      </c>
      <c r="H1044" s="137"/>
      <c r="I1044" s="137"/>
      <c r="J1044" s="135"/>
      <c r="K1044" s="135"/>
      <c r="L1044" s="135"/>
      <c r="M1044" s="135"/>
      <c r="N1044" s="135"/>
      <c r="O1044" s="135"/>
      <c r="P1044" s="135"/>
      <c r="Q1044" s="135"/>
      <c r="R1044" s="135"/>
      <c r="S1044" s="135"/>
      <c r="T1044" s="135"/>
      <c r="U1044" s="135"/>
      <c r="V1044" s="135"/>
      <c r="W1044" s="135"/>
      <c r="X1044" s="135"/>
      <c r="Y1044" s="135"/>
      <c r="Z1044" s="135"/>
    </row>
    <row r="1045" spans="1:26" ht="12.75">
      <c r="A1045" s="136" t="s">
        <v>8</v>
      </c>
      <c r="B1045" s="136" t="s">
        <v>8</v>
      </c>
      <c r="C1045" s="136" t="s">
        <v>562</v>
      </c>
      <c r="D1045" s="136" t="s">
        <v>165</v>
      </c>
      <c r="E1045" s="136" t="s">
        <v>615</v>
      </c>
      <c r="F1045" s="136">
        <v>980</v>
      </c>
      <c r="G1045" s="137">
        <f t="shared" si="4"/>
        <v>1</v>
      </c>
      <c r="H1045" s="137"/>
      <c r="I1045" s="137"/>
      <c r="J1045" s="135"/>
      <c r="K1045" s="135"/>
      <c r="L1045" s="135"/>
      <c r="M1045" s="135"/>
      <c r="N1045" s="135"/>
      <c r="O1045" s="135"/>
      <c r="P1045" s="135"/>
      <c r="Q1045" s="135"/>
      <c r="R1045" s="135"/>
      <c r="S1045" s="135"/>
      <c r="T1045" s="135"/>
      <c r="U1045" s="135"/>
      <c r="V1045" s="135"/>
      <c r="W1045" s="135"/>
      <c r="X1045" s="135"/>
      <c r="Y1045" s="135"/>
      <c r="Z1045" s="135"/>
    </row>
    <row r="1046" spans="1:26" ht="12.75">
      <c r="A1046" s="136" t="s">
        <v>8</v>
      </c>
      <c r="B1046" s="136" t="s">
        <v>8</v>
      </c>
      <c r="C1046" s="136" t="s">
        <v>562</v>
      </c>
      <c r="D1046" s="136" t="s">
        <v>139</v>
      </c>
      <c r="E1046" s="136" t="s">
        <v>594</v>
      </c>
      <c r="F1046" s="136">
        <v>660</v>
      </c>
      <c r="G1046" s="137">
        <f t="shared" si="4"/>
        <v>2</v>
      </c>
      <c r="H1046" s="137"/>
      <c r="I1046" s="137"/>
      <c r="J1046" s="135"/>
      <c r="K1046" s="135"/>
      <c r="L1046" s="135"/>
      <c r="M1046" s="135"/>
      <c r="N1046" s="135"/>
      <c r="O1046" s="135"/>
      <c r="P1046" s="135"/>
      <c r="Q1046" s="135"/>
      <c r="R1046" s="135"/>
      <c r="S1046" s="135"/>
      <c r="T1046" s="135"/>
      <c r="U1046" s="135"/>
      <c r="V1046" s="135"/>
      <c r="W1046" s="135"/>
      <c r="X1046" s="135"/>
      <c r="Y1046" s="135"/>
      <c r="Z1046" s="135"/>
    </row>
    <row r="1047" spans="1:26" ht="12.75">
      <c r="A1047" s="136" t="s">
        <v>8</v>
      </c>
      <c r="B1047" s="136" t="s">
        <v>8</v>
      </c>
      <c r="C1047" s="136" t="s">
        <v>562</v>
      </c>
      <c r="D1047" s="136" t="s">
        <v>1669</v>
      </c>
      <c r="E1047" s="136" t="s">
        <v>615</v>
      </c>
      <c r="F1047" s="136">
        <v>520</v>
      </c>
      <c r="G1047" s="137">
        <f t="shared" si="4"/>
        <v>3</v>
      </c>
      <c r="H1047" s="137"/>
      <c r="I1047" s="137"/>
      <c r="J1047" s="135"/>
      <c r="K1047" s="135"/>
      <c r="L1047" s="135"/>
      <c r="M1047" s="135"/>
      <c r="N1047" s="135"/>
      <c r="O1047" s="135"/>
      <c r="P1047" s="135"/>
      <c r="Q1047" s="135"/>
      <c r="R1047" s="135"/>
      <c r="S1047" s="135"/>
      <c r="T1047" s="135"/>
      <c r="U1047" s="135"/>
      <c r="V1047" s="135"/>
      <c r="W1047" s="135"/>
      <c r="X1047" s="135"/>
      <c r="Y1047" s="135"/>
      <c r="Z1047" s="135"/>
    </row>
    <row r="1048" spans="1:26" ht="12.75">
      <c r="A1048" s="136" t="s">
        <v>8</v>
      </c>
      <c r="B1048" s="136" t="s">
        <v>8</v>
      </c>
      <c r="C1048" s="136" t="s">
        <v>562</v>
      </c>
      <c r="D1048" s="136" t="s">
        <v>7530</v>
      </c>
      <c r="E1048" s="136" t="s">
        <v>85</v>
      </c>
      <c r="F1048" s="136">
        <v>270</v>
      </c>
      <c r="G1048" s="137">
        <f t="shared" si="4"/>
        <v>4</v>
      </c>
      <c r="H1048" s="137"/>
      <c r="I1048" s="137"/>
      <c r="J1048" s="135"/>
      <c r="K1048" s="135"/>
      <c r="L1048" s="135"/>
      <c r="M1048" s="135"/>
      <c r="N1048" s="135"/>
      <c r="O1048" s="135"/>
      <c r="P1048" s="135"/>
      <c r="Q1048" s="135"/>
      <c r="R1048" s="135"/>
      <c r="S1048" s="135"/>
      <c r="T1048" s="135"/>
      <c r="U1048" s="135"/>
      <c r="V1048" s="135"/>
      <c r="W1048" s="135"/>
      <c r="X1048" s="135"/>
      <c r="Y1048" s="135"/>
      <c r="Z1048" s="135"/>
    </row>
    <row r="1049" spans="1:26" ht="12.75">
      <c r="A1049" s="136" t="s">
        <v>8</v>
      </c>
      <c r="B1049" s="136" t="s">
        <v>8</v>
      </c>
      <c r="C1049" s="136" t="s">
        <v>562</v>
      </c>
      <c r="D1049" s="136" t="s">
        <v>1665</v>
      </c>
      <c r="E1049" s="136" t="s">
        <v>615</v>
      </c>
      <c r="F1049" s="136">
        <v>140</v>
      </c>
      <c r="G1049" s="137">
        <f t="shared" si="4"/>
        <v>5</v>
      </c>
      <c r="H1049" s="137"/>
      <c r="I1049" s="137"/>
      <c r="J1049" s="135"/>
      <c r="K1049" s="135"/>
      <c r="L1049" s="135"/>
      <c r="M1049" s="135"/>
      <c r="N1049" s="135"/>
      <c r="O1049" s="135"/>
      <c r="P1049" s="135"/>
      <c r="Q1049" s="135"/>
      <c r="R1049" s="135"/>
      <c r="S1049" s="135"/>
      <c r="T1049" s="135"/>
      <c r="U1049" s="135"/>
      <c r="V1049" s="135"/>
      <c r="W1049" s="135"/>
      <c r="X1049" s="135"/>
      <c r="Y1049" s="135"/>
      <c r="Z1049" s="135"/>
    </row>
    <row r="1050" spans="1:26" ht="12.75">
      <c r="A1050" s="136" t="s">
        <v>8</v>
      </c>
      <c r="B1050" s="136" t="s">
        <v>8</v>
      </c>
      <c r="C1050" s="136" t="s">
        <v>562</v>
      </c>
      <c r="D1050" s="136" t="s">
        <v>7544</v>
      </c>
      <c r="E1050" s="136" t="s">
        <v>615</v>
      </c>
      <c r="F1050" s="136">
        <v>135</v>
      </c>
      <c r="G1050" s="137">
        <f t="shared" si="4"/>
        <v>6</v>
      </c>
      <c r="H1050" s="137"/>
      <c r="I1050" s="137"/>
      <c r="J1050" s="135"/>
      <c r="K1050" s="135"/>
      <c r="L1050" s="135"/>
      <c r="M1050" s="135"/>
      <c r="N1050" s="135"/>
      <c r="O1050" s="135"/>
      <c r="P1050" s="135"/>
      <c r="Q1050" s="135"/>
      <c r="R1050" s="135"/>
      <c r="S1050" s="135"/>
      <c r="T1050" s="135"/>
      <c r="U1050" s="135"/>
      <c r="V1050" s="135"/>
      <c r="W1050" s="135"/>
      <c r="X1050" s="135"/>
      <c r="Y1050" s="135"/>
      <c r="Z1050" s="135"/>
    </row>
    <row r="1051" spans="1:26" ht="12.75">
      <c r="A1051" s="136" t="s">
        <v>8</v>
      </c>
      <c r="B1051" s="136" t="s">
        <v>8</v>
      </c>
      <c r="C1051" s="136" t="s">
        <v>562</v>
      </c>
      <c r="D1051" s="136" t="s">
        <v>7551</v>
      </c>
      <c r="E1051" s="136" t="s">
        <v>615</v>
      </c>
      <c r="F1051" s="136">
        <v>110</v>
      </c>
      <c r="G1051" s="137">
        <f t="shared" si="4"/>
        <v>7</v>
      </c>
      <c r="H1051" s="137"/>
      <c r="I1051" s="137"/>
      <c r="J1051" s="135"/>
      <c r="K1051" s="135"/>
      <c r="L1051" s="135"/>
      <c r="M1051" s="135"/>
      <c r="N1051" s="135"/>
      <c r="O1051" s="135"/>
      <c r="P1051" s="135"/>
      <c r="Q1051" s="135"/>
      <c r="R1051" s="135"/>
      <c r="S1051" s="135"/>
      <c r="T1051" s="135"/>
      <c r="U1051" s="135"/>
      <c r="V1051" s="135"/>
      <c r="W1051" s="135"/>
      <c r="X1051" s="135"/>
      <c r="Y1051" s="135"/>
      <c r="Z1051" s="135"/>
    </row>
    <row r="1052" spans="1:26" ht="12.75">
      <c r="A1052" s="136" t="s">
        <v>8</v>
      </c>
      <c r="B1052" s="136" t="s">
        <v>8</v>
      </c>
      <c r="C1052" s="136" t="s">
        <v>562</v>
      </c>
      <c r="D1052" s="136" t="s">
        <v>7491</v>
      </c>
      <c r="E1052" s="136" t="s">
        <v>615</v>
      </c>
      <c r="F1052" s="136">
        <v>100</v>
      </c>
      <c r="G1052" s="137">
        <f t="shared" si="4"/>
        <v>8</v>
      </c>
      <c r="H1052" s="137"/>
      <c r="I1052" s="137"/>
      <c r="J1052" s="135"/>
      <c r="K1052" s="135"/>
      <c r="L1052" s="135"/>
      <c r="M1052" s="135"/>
      <c r="N1052" s="135"/>
      <c r="O1052" s="135"/>
      <c r="P1052" s="135"/>
      <c r="Q1052" s="135"/>
      <c r="R1052" s="135"/>
      <c r="S1052" s="135"/>
      <c r="T1052" s="135"/>
      <c r="U1052" s="135"/>
      <c r="V1052" s="135"/>
      <c r="W1052" s="135"/>
      <c r="X1052" s="135"/>
      <c r="Y1052" s="135"/>
      <c r="Z1052" s="135"/>
    </row>
    <row r="1053" spans="1:26" ht="12.75">
      <c r="A1053" s="136" t="s">
        <v>8</v>
      </c>
      <c r="B1053" s="136" t="s">
        <v>8</v>
      </c>
      <c r="C1053" s="136" t="s">
        <v>562</v>
      </c>
      <c r="D1053" s="136" t="s">
        <v>7533</v>
      </c>
      <c r="E1053" s="136" t="s">
        <v>594</v>
      </c>
      <c r="F1053" s="136">
        <v>99</v>
      </c>
      <c r="G1053" s="137">
        <f t="shared" si="4"/>
        <v>9</v>
      </c>
      <c r="H1053" s="137"/>
      <c r="I1053" s="137"/>
      <c r="J1053" s="135"/>
      <c r="K1053" s="135"/>
      <c r="L1053" s="135"/>
      <c r="M1053" s="135"/>
      <c r="N1053" s="135"/>
      <c r="O1053" s="135"/>
      <c r="P1053" s="135"/>
      <c r="Q1053" s="135"/>
      <c r="R1053" s="135"/>
      <c r="S1053" s="135"/>
      <c r="T1053" s="135"/>
      <c r="U1053" s="135"/>
      <c r="V1053" s="135"/>
      <c r="W1053" s="135"/>
      <c r="X1053" s="135"/>
      <c r="Y1053" s="135"/>
      <c r="Z1053" s="135"/>
    </row>
    <row r="1054" spans="1:26" ht="12.75">
      <c r="A1054" s="136" t="s">
        <v>8</v>
      </c>
      <c r="B1054" s="136" t="s">
        <v>8</v>
      </c>
      <c r="C1054" s="136" t="s">
        <v>562</v>
      </c>
      <c r="D1054" s="136" t="s">
        <v>467</v>
      </c>
      <c r="E1054" s="136" t="s">
        <v>85</v>
      </c>
      <c r="F1054" s="136">
        <v>68</v>
      </c>
      <c r="G1054" s="137">
        <f t="shared" si="4"/>
        <v>10</v>
      </c>
      <c r="H1054" s="137"/>
      <c r="I1054" s="137"/>
      <c r="J1054" s="135"/>
      <c r="K1054" s="135"/>
      <c r="L1054" s="135"/>
      <c r="M1054" s="135"/>
      <c r="N1054" s="135"/>
      <c r="O1054" s="135"/>
      <c r="P1054" s="135"/>
      <c r="Q1054" s="135"/>
      <c r="R1054" s="135"/>
      <c r="S1054" s="135"/>
      <c r="T1054" s="135"/>
      <c r="U1054" s="135"/>
      <c r="V1054" s="135"/>
      <c r="W1054" s="135"/>
      <c r="X1054" s="135"/>
      <c r="Y1054" s="135"/>
      <c r="Z1054" s="135"/>
    </row>
    <row r="1055" spans="1:26" ht="12.75">
      <c r="A1055" s="136" t="s">
        <v>8</v>
      </c>
      <c r="B1055" s="136" t="s">
        <v>8</v>
      </c>
      <c r="C1055" s="136" t="s">
        <v>562</v>
      </c>
      <c r="D1055" s="136" t="s">
        <v>107</v>
      </c>
      <c r="E1055" s="136" t="s">
        <v>615</v>
      </c>
      <c r="F1055" s="136">
        <v>60</v>
      </c>
      <c r="G1055" s="137">
        <f t="shared" si="4"/>
        <v>11</v>
      </c>
      <c r="H1055" s="137"/>
      <c r="I1055" s="137"/>
      <c r="J1055" s="135"/>
      <c r="K1055" s="135"/>
      <c r="L1055" s="135"/>
      <c r="M1055" s="135"/>
      <c r="N1055" s="135"/>
      <c r="O1055" s="135"/>
      <c r="P1055" s="135"/>
      <c r="Q1055" s="135"/>
      <c r="R1055" s="135"/>
      <c r="S1055" s="135"/>
      <c r="T1055" s="135"/>
      <c r="U1055" s="135"/>
      <c r="V1055" s="135"/>
      <c r="W1055" s="135"/>
      <c r="X1055" s="135"/>
      <c r="Y1055" s="135"/>
      <c r="Z1055" s="135"/>
    </row>
    <row r="1056" spans="1:26" ht="12.75">
      <c r="A1056" s="136" t="s">
        <v>8</v>
      </c>
      <c r="B1056" s="136" t="s">
        <v>8</v>
      </c>
      <c r="C1056" s="136" t="s">
        <v>562</v>
      </c>
      <c r="D1056" s="136" t="s">
        <v>1682</v>
      </c>
      <c r="E1056" s="136" t="s">
        <v>86</v>
      </c>
      <c r="F1056" s="136">
        <v>6</v>
      </c>
      <c r="G1056" s="137">
        <f t="shared" si="4"/>
        <v>12</v>
      </c>
      <c r="H1056" s="137"/>
      <c r="I1056" s="137"/>
      <c r="J1056" s="135"/>
      <c r="K1056" s="135"/>
      <c r="L1056" s="135"/>
      <c r="M1056" s="135"/>
      <c r="N1056" s="135"/>
      <c r="O1056" s="135"/>
      <c r="P1056" s="135"/>
      <c r="Q1056" s="135"/>
      <c r="R1056" s="135"/>
      <c r="S1056" s="135"/>
      <c r="T1056" s="135"/>
      <c r="U1056" s="135"/>
      <c r="V1056" s="135"/>
      <c r="W1056" s="135"/>
      <c r="X1056" s="135"/>
      <c r="Y1056" s="135"/>
      <c r="Z1056" s="135"/>
    </row>
    <row r="1057" spans="1:26" ht="12.75">
      <c r="A1057" s="136" t="s">
        <v>8</v>
      </c>
      <c r="B1057" s="136" t="s">
        <v>8</v>
      </c>
      <c r="C1057" s="136" t="s">
        <v>564</v>
      </c>
      <c r="D1057" s="136" t="s">
        <v>139</v>
      </c>
      <c r="E1057" s="136" t="s">
        <v>594</v>
      </c>
      <c r="F1057" s="136">
        <v>660</v>
      </c>
      <c r="G1057" s="137">
        <f t="shared" si="4"/>
        <v>1</v>
      </c>
      <c r="H1057" s="137"/>
      <c r="I1057" s="137"/>
      <c r="J1057" s="135"/>
      <c r="K1057" s="135"/>
      <c r="L1057" s="135"/>
      <c r="M1057" s="135"/>
      <c r="N1057" s="135"/>
      <c r="O1057" s="135"/>
      <c r="P1057" s="135"/>
      <c r="Q1057" s="135"/>
      <c r="R1057" s="135"/>
      <c r="S1057" s="135"/>
      <c r="T1057" s="135"/>
      <c r="U1057" s="135"/>
      <c r="V1057" s="135"/>
      <c r="W1057" s="135"/>
      <c r="X1057" s="135"/>
      <c r="Y1057" s="135"/>
      <c r="Z1057" s="135"/>
    </row>
    <row r="1058" spans="1:26" ht="12.75">
      <c r="A1058" s="136" t="s">
        <v>8</v>
      </c>
      <c r="B1058" s="136" t="s">
        <v>8</v>
      </c>
      <c r="C1058" s="136" t="s">
        <v>564</v>
      </c>
      <c r="D1058" s="136" t="s">
        <v>7530</v>
      </c>
      <c r="E1058" s="136" t="s">
        <v>85</v>
      </c>
      <c r="F1058" s="136">
        <v>621</v>
      </c>
      <c r="G1058" s="137">
        <f t="shared" si="4"/>
        <v>2</v>
      </c>
      <c r="H1058" s="137"/>
      <c r="I1058" s="137"/>
      <c r="J1058" s="135"/>
      <c r="K1058" s="135"/>
      <c r="L1058" s="135"/>
      <c r="M1058" s="135"/>
      <c r="N1058" s="135"/>
      <c r="O1058" s="135"/>
      <c r="P1058" s="135"/>
      <c r="Q1058" s="135"/>
      <c r="R1058" s="135"/>
      <c r="S1058" s="135"/>
      <c r="T1058" s="135"/>
      <c r="U1058" s="135"/>
      <c r="V1058" s="135"/>
      <c r="W1058" s="135"/>
      <c r="X1058" s="135"/>
      <c r="Y1058" s="135"/>
      <c r="Z1058" s="135"/>
    </row>
    <row r="1059" spans="1:26" ht="12.75">
      <c r="A1059" s="136" t="s">
        <v>8</v>
      </c>
      <c r="B1059" s="136" t="s">
        <v>8</v>
      </c>
      <c r="C1059" s="136" t="s">
        <v>564</v>
      </c>
      <c r="D1059" s="136" t="s">
        <v>165</v>
      </c>
      <c r="E1059" s="136" t="s">
        <v>615</v>
      </c>
      <c r="F1059" s="136">
        <v>453</v>
      </c>
      <c r="G1059" s="137">
        <f t="shared" si="4"/>
        <v>3</v>
      </c>
      <c r="H1059" s="137"/>
      <c r="I1059" s="137"/>
      <c r="J1059" s="135"/>
      <c r="K1059" s="135"/>
      <c r="L1059" s="135"/>
      <c r="M1059" s="135"/>
      <c r="N1059" s="135"/>
      <c r="O1059" s="135"/>
      <c r="P1059" s="135"/>
      <c r="Q1059" s="135"/>
      <c r="R1059" s="135"/>
      <c r="S1059" s="135"/>
      <c r="T1059" s="135"/>
      <c r="U1059" s="135"/>
      <c r="V1059" s="135"/>
      <c r="W1059" s="135"/>
      <c r="X1059" s="135"/>
      <c r="Y1059" s="135"/>
      <c r="Z1059" s="135"/>
    </row>
    <row r="1060" spans="1:26" ht="12.75">
      <c r="A1060" s="136" t="s">
        <v>8</v>
      </c>
      <c r="B1060" s="136" t="s">
        <v>8</v>
      </c>
      <c r="C1060" s="136" t="s">
        <v>564</v>
      </c>
      <c r="D1060" s="136" t="s">
        <v>467</v>
      </c>
      <c r="E1060" s="136" t="s">
        <v>85</v>
      </c>
      <c r="F1060" s="136">
        <v>282</v>
      </c>
      <c r="G1060" s="137">
        <f t="shared" si="4"/>
        <v>4</v>
      </c>
      <c r="H1060" s="137"/>
      <c r="I1060" s="137"/>
      <c r="J1060" s="135"/>
      <c r="K1060" s="135"/>
      <c r="L1060" s="135"/>
      <c r="M1060" s="135"/>
      <c r="N1060" s="135"/>
      <c r="O1060" s="135"/>
      <c r="P1060" s="135"/>
      <c r="Q1060" s="135"/>
      <c r="R1060" s="135"/>
      <c r="S1060" s="135"/>
      <c r="T1060" s="135"/>
      <c r="U1060" s="135"/>
      <c r="V1060" s="135"/>
      <c r="W1060" s="135"/>
      <c r="X1060" s="135"/>
      <c r="Y1060" s="135"/>
      <c r="Z1060" s="135"/>
    </row>
    <row r="1061" spans="1:26" ht="12.75">
      <c r="A1061" s="136" t="s">
        <v>8</v>
      </c>
      <c r="B1061" s="136" t="s">
        <v>8</v>
      </c>
      <c r="C1061" s="136" t="s">
        <v>564</v>
      </c>
      <c r="D1061" s="136" t="s">
        <v>7551</v>
      </c>
      <c r="E1061" s="136" t="s">
        <v>615</v>
      </c>
      <c r="F1061" s="136">
        <v>175</v>
      </c>
      <c r="G1061" s="137">
        <f t="shared" si="4"/>
        <v>5</v>
      </c>
      <c r="H1061" s="137"/>
      <c r="I1061" s="137"/>
      <c r="J1061" s="135"/>
      <c r="K1061" s="135"/>
      <c r="L1061" s="135"/>
      <c r="M1061" s="135"/>
      <c r="N1061" s="135"/>
      <c r="O1061" s="135"/>
      <c r="P1061" s="135"/>
      <c r="Q1061" s="135"/>
      <c r="R1061" s="135"/>
      <c r="S1061" s="135"/>
      <c r="T1061" s="135"/>
      <c r="U1061" s="135"/>
      <c r="V1061" s="135"/>
      <c r="W1061" s="135"/>
      <c r="X1061" s="135"/>
      <c r="Y1061" s="135"/>
      <c r="Z1061" s="135"/>
    </row>
    <row r="1062" spans="1:26" ht="12.75">
      <c r="A1062" s="136" t="s">
        <v>8</v>
      </c>
      <c r="B1062" s="136" t="s">
        <v>8</v>
      </c>
      <c r="C1062" s="136" t="s">
        <v>564</v>
      </c>
      <c r="D1062" s="136" t="s">
        <v>7544</v>
      </c>
      <c r="E1062" s="136" t="s">
        <v>615</v>
      </c>
      <c r="F1062" s="136">
        <v>115</v>
      </c>
      <c r="G1062" s="137">
        <f t="shared" si="4"/>
        <v>6</v>
      </c>
      <c r="H1062" s="137"/>
      <c r="I1062" s="137"/>
      <c r="J1062" s="135"/>
      <c r="K1062" s="135"/>
      <c r="L1062" s="135"/>
      <c r="M1062" s="135"/>
      <c r="N1062" s="135"/>
      <c r="O1062" s="135"/>
      <c r="P1062" s="135"/>
      <c r="Q1062" s="135"/>
      <c r="R1062" s="135"/>
      <c r="S1062" s="135"/>
      <c r="T1062" s="135"/>
      <c r="U1062" s="135"/>
      <c r="V1062" s="135"/>
      <c r="W1062" s="135"/>
      <c r="X1062" s="135"/>
      <c r="Y1062" s="135"/>
      <c r="Z1062" s="135"/>
    </row>
    <row r="1063" spans="1:26" ht="12.75">
      <c r="A1063" s="136" t="s">
        <v>8</v>
      </c>
      <c r="B1063" s="136" t="s">
        <v>8</v>
      </c>
      <c r="C1063" s="136" t="s">
        <v>564</v>
      </c>
      <c r="D1063" s="136" t="s">
        <v>7491</v>
      </c>
      <c r="E1063" s="136" t="s">
        <v>615</v>
      </c>
      <c r="F1063" s="136">
        <v>90</v>
      </c>
      <c r="G1063" s="137">
        <f t="shared" si="4"/>
        <v>7</v>
      </c>
      <c r="H1063" s="137"/>
      <c r="I1063" s="137"/>
      <c r="J1063" s="135"/>
      <c r="K1063" s="135"/>
      <c r="L1063" s="135"/>
      <c r="M1063" s="135"/>
      <c r="N1063" s="135"/>
      <c r="O1063" s="135"/>
      <c r="P1063" s="135"/>
      <c r="Q1063" s="135"/>
      <c r="R1063" s="135"/>
      <c r="S1063" s="135"/>
      <c r="T1063" s="135"/>
      <c r="U1063" s="135"/>
      <c r="V1063" s="135"/>
      <c r="W1063" s="135"/>
      <c r="X1063" s="135"/>
      <c r="Y1063" s="135"/>
      <c r="Z1063" s="135"/>
    </row>
    <row r="1064" spans="1:26" ht="12.75">
      <c r="A1064" s="136" t="s">
        <v>8</v>
      </c>
      <c r="B1064" s="136" t="s">
        <v>8</v>
      </c>
      <c r="C1064" s="136" t="s">
        <v>564</v>
      </c>
      <c r="D1064" s="136" t="s">
        <v>1665</v>
      </c>
      <c r="E1064" s="136" t="s">
        <v>615</v>
      </c>
      <c r="F1064" s="136">
        <v>90</v>
      </c>
      <c r="G1064" s="137">
        <f t="shared" si="4"/>
        <v>8</v>
      </c>
      <c r="H1064" s="137"/>
      <c r="I1064" s="137"/>
      <c r="J1064" s="135"/>
      <c r="K1064" s="135"/>
      <c r="L1064" s="135"/>
      <c r="M1064" s="135"/>
      <c r="N1064" s="135"/>
      <c r="O1064" s="135"/>
      <c r="P1064" s="135"/>
      <c r="Q1064" s="135"/>
      <c r="R1064" s="135"/>
      <c r="S1064" s="135"/>
      <c r="T1064" s="135"/>
      <c r="U1064" s="135"/>
      <c r="V1064" s="135"/>
      <c r="W1064" s="135"/>
      <c r="X1064" s="135"/>
      <c r="Y1064" s="135"/>
      <c r="Z1064" s="135"/>
    </row>
    <row r="1065" spans="1:26" ht="12.75">
      <c r="A1065" s="136" t="s">
        <v>8</v>
      </c>
      <c r="B1065" s="136" t="s">
        <v>8</v>
      </c>
      <c r="C1065" s="136" t="s">
        <v>564</v>
      </c>
      <c r="D1065" s="136" t="s">
        <v>7533</v>
      </c>
      <c r="E1065" s="136" t="s">
        <v>594</v>
      </c>
      <c r="F1065" s="136">
        <v>83</v>
      </c>
      <c r="G1065" s="137">
        <f t="shared" si="4"/>
        <v>9</v>
      </c>
      <c r="H1065" s="137"/>
      <c r="I1065" s="137"/>
      <c r="J1065" s="135"/>
      <c r="K1065" s="135"/>
      <c r="L1065" s="135"/>
      <c r="M1065" s="135"/>
      <c r="N1065" s="135"/>
      <c r="O1065" s="135"/>
      <c r="P1065" s="135"/>
      <c r="Q1065" s="135"/>
      <c r="R1065" s="135"/>
      <c r="S1065" s="135"/>
      <c r="T1065" s="135"/>
      <c r="U1065" s="135"/>
      <c r="V1065" s="135"/>
      <c r="W1065" s="135"/>
      <c r="X1065" s="135"/>
      <c r="Y1065" s="135"/>
      <c r="Z1065" s="135"/>
    </row>
    <row r="1066" spans="1:26" ht="12.75">
      <c r="A1066" s="136" t="s">
        <v>8</v>
      </c>
      <c r="B1066" s="136" t="s">
        <v>8</v>
      </c>
      <c r="C1066" s="136" t="s">
        <v>564</v>
      </c>
      <c r="D1066" s="136" t="s">
        <v>1669</v>
      </c>
      <c r="E1066" s="136" t="s">
        <v>615</v>
      </c>
      <c r="F1066" s="136">
        <v>40</v>
      </c>
      <c r="G1066" s="137">
        <f t="shared" si="4"/>
        <v>10</v>
      </c>
      <c r="H1066" s="137"/>
      <c r="I1066" s="137"/>
      <c r="J1066" s="135"/>
      <c r="K1066" s="135"/>
      <c r="L1066" s="135"/>
      <c r="M1066" s="135"/>
      <c r="N1066" s="135"/>
      <c r="O1066" s="135"/>
      <c r="P1066" s="135"/>
      <c r="Q1066" s="135"/>
      <c r="R1066" s="135"/>
      <c r="S1066" s="135"/>
      <c r="T1066" s="135"/>
      <c r="U1066" s="135"/>
      <c r="V1066" s="135"/>
      <c r="W1066" s="135"/>
      <c r="X1066" s="135"/>
      <c r="Y1066" s="135"/>
      <c r="Z1066" s="135"/>
    </row>
    <row r="1067" spans="1:26" ht="12.75">
      <c r="A1067" s="136" t="s">
        <v>8</v>
      </c>
      <c r="B1067" s="136" t="s">
        <v>8</v>
      </c>
      <c r="C1067" s="136" t="s">
        <v>564</v>
      </c>
      <c r="D1067" s="136" t="s">
        <v>107</v>
      </c>
      <c r="E1067" s="136" t="s">
        <v>615</v>
      </c>
      <c r="F1067" s="136">
        <v>30</v>
      </c>
      <c r="G1067" s="137">
        <f t="shared" si="4"/>
        <v>11</v>
      </c>
      <c r="H1067" s="137"/>
      <c r="I1067" s="137"/>
      <c r="J1067" s="135"/>
      <c r="K1067" s="135"/>
      <c r="L1067" s="135"/>
      <c r="M1067" s="135"/>
      <c r="N1067" s="135"/>
      <c r="O1067" s="135"/>
      <c r="P1067" s="135"/>
      <c r="Q1067" s="135"/>
      <c r="R1067" s="135"/>
      <c r="S1067" s="135"/>
      <c r="T1067" s="135"/>
      <c r="U1067" s="135"/>
      <c r="V1067" s="135"/>
      <c r="W1067" s="135"/>
      <c r="X1067" s="135"/>
      <c r="Y1067" s="135"/>
      <c r="Z1067" s="135"/>
    </row>
    <row r="1068" spans="1:26" ht="12.75">
      <c r="A1068" s="136" t="s">
        <v>8</v>
      </c>
      <c r="B1068" s="136" t="s">
        <v>8</v>
      </c>
      <c r="C1068" s="136" t="s">
        <v>7559</v>
      </c>
      <c r="D1068" s="136" t="s">
        <v>139</v>
      </c>
      <c r="E1068" s="136" t="s">
        <v>594</v>
      </c>
      <c r="F1068" s="136">
        <v>1635</v>
      </c>
      <c r="G1068" s="137">
        <f t="shared" si="4"/>
        <v>1</v>
      </c>
      <c r="H1068" s="137"/>
      <c r="I1068" s="137"/>
      <c r="J1068" s="135"/>
      <c r="K1068" s="135"/>
      <c r="L1068" s="135"/>
      <c r="M1068" s="135"/>
      <c r="N1068" s="135"/>
      <c r="O1068" s="135"/>
      <c r="P1068" s="135"/>
      <c r="Q1068" s="135"/>
      <c r="R1068" s="135"/>
      <c r="S1068" s="135"/>
      <c r="T1068" s="135"/>
      <c r="U1068" s="135"/>
      <c r="V1068" s="135"/>
      <c r="W1068" s="135"/>
      <c r="X1068" s="135"/>
      <c r="Y1068" s="135"/>
      <c r="Z1068" s="135"/>
    </row>
    <row r="1069" spans="1:26" ht="12.75">
      <c r="A1069" s="136" t="s">
        <v>8</v>
      </c>
      <c r="B1069" s="136" t="s">
        <v>8</v>
      </c>
      <c r="C1069" s="136" t="s">
        <v>7559</v>
      </c>
      <c r="D1069" s="136" t="s">
        <v>165</v>
      </c>
      <c r="E1069" s="136" t="s">
        <v>615</v>
      </c>
      <c r="F1069" s="136">
        <v>1070</v>
      </c>
      <c r="G1069" s="137">
        <f t="shared" si="4"/>
        <v>2</v>
      </c>
      <c r="H1069" s="137"/>
      <c r="I1069" s="137"/>
      <c r="J1069" s="135"/>
      <c r="K1069" s="135"/>
      <c r="L1069" s="135"/>
      <c r="M1069" s="135"/>
      <c r="N1069" s="135"/>
      <c r="O1069" s="135"/>
      <c r="P1069" s="135"/>
      <c r="Q1069" s="135"/>
      <c r="R1069" s="135"/>
      <c r="S1069" s="135"/>
      <c r="T1069" s="135"/>
      <c r="U1069" s="135"/>
      <c r="V1069" s="135"/>
      <c r="W1069" s="135"/>
      <c r="X1069" s="135"/>
      <c r="Y1069" s="135"/>
      <c r="Z1069" s="135"/>
    </row>
    <row r="1070" spans="1:26" ht="12.75">
      <c r="A1070" s="136" t="s">
        <v>8</v>
      </c>
      <c r="B1070" s="136" t="s">
        <v>8</v>
      </c>
      <c r="C1070" s="136" t="s">
        <v>7559</v>
      </c>
      <c r="D1070" s="136" t="s">
        <v>7530</v>
      </c>
      <c r="E1070" s="136" t="s">
        <v>85</v>
      </c>
      <c r="F1070" s="136">
        <v>473</v>
      </c>
      <c r="G1070" s="137">
        <f t="shared" si="4"/>
        <v>3</v>
      </c>
      <c r="H1070" s="137"/>
      <c r="I1070" s="137"/>
      <c r="J1070" s="135"/>
      <c r="K1070" s="135"/>
      <c r="L1070" s="135"/>
      <c r="M1070" s="135"/>
      <c r="N1070" s="135"/>
      <c r="O1070" s="135"/>
      <c r="P1070" s="135"/>
      <c r="Q1070" s="135"/>
      <c r="R1070" s="135"/>
      <c r="S1070" s="135"/>
      <c r="T1070" s="135"/>
      <c r="U1070" s="135"/>
      <c r="V1070" s="135"/>
      <c r="W1070" s="135"/>
      <c r="X1070" s="135"/>
      <c r="Y1070" s="135"/>
      <c r="Z1070" s="135"/>
    </row>
    <row r="1071" spans="1:26" ht="12.75">
      <c r="A1071" s="136" t="s">
        <v>8</v>
      </c>
      <c r="B1071" s="136" t="s">
        <v>8</v>
      </c>
      <c r="C1071" s="136" t="s">
        <v>7559</v>
      </c>
      <c r="D1071" s="136" t="s">
        <v>7480</v>
      </c>
      <c r="E1071" s="136" t="s">
        <v>594</v>
      </c>
      <c r="F1071" s="136">
        <v>250</v>
      </c>
      <c r="G1071" s="137">
        <f t="shared" si="4"/>
        <v>4</v>
      </c>
      <c r="H1071" s="137"/>
      <c r="I1071" s="137"/>
      <c r="J1071" s="135"/>
      <c r="K1071" s="135"/>
      <c r="L1071" s="135"/>
      <c r="M1071" s="135"/>
      <c r="N1071" s="135"/>
      <c r="O1071" s="135"/>
      <c r="P1071" s="135"/>
      <c r="Q1071" s="135"/>
      <c r="R1071" s="135"/>
      <c r="S1071" s="135"/>
      <c r="T1071" s="135"/>
      <c r="U1071" s="135"/>
      <c r="V1071" s="135"/>
      <c r="W1071" s="135"/>
      <c r="X1071" s="135"/>
      <c r="Y1071" s="135"/>
      <c r="Z1071" s="135"/>
    </row>
    <row r="1072" spans="1:26" ht="12.75">
      <c r="A1072" s="136" t="s">
        <v>8</v>
      </c>
      <c r="B1072" s="136" t="s">
        <v>8</v>
      </c>
      <c r="C1072" s="136" t="s">
        <v>7559</v>
      </c>
      <c r="D1072" s="136" t="s">
        <v>467</v>
      </c>
      <c r="E1072" s="136" t="s">
        <v>85</v>
      </c>
      <c r="F1072" s="136">
        <v>227</v>
      </c>
      <c r="G1072" s="137">
        <f t="shared" si="4"/>
        <v>5</v>
      </c>
      <c r="H1072" s="137"/>
      <c r="I1072" s="137"/>
      <c r="J1072" s="135"/>
      <c r="K1072" s="135"/>
      <c r="L1072" s="135"/>
      <c r="M1072" s="135"/>
      <c r="N1072" s="135"/>
      <c r="O1072" s="135"/>
      <c r="P1072" s="135"/>
      <c r="Q1072" s="135"/>
      <c r="R1072" s="135"/>
      <c r="S1072" s="135"/>
      <c r="T1072" s="135"/>
      <c r="U1072" s="135"/>
      <c r="V1072" s="135"/>
      <c r="W1072" s="135"/>
      <c r="X1072" s="135"/>
      <c r="Y1072" s="135"/>
      <c r="Z1072" s="135"/>
    </row>
    <row r="1073" spans="1:26" ht="12.75">
      <c r="A1073" s="136" t="s">
        <v>8</v>
      </c>
      <c r="B1073" s="136" t="s">
        <v>8</v>
      </c>
      <c r="C1073" s="136" t="s">
        <v>7559</v>
      </c>
      <c r="D1073" s="136" t="s">
        <v>7533</v>
      </c>
      <c r="E1073" s="136" t="s">
        <v>594</v>
      </c>
      <c r="F1073" s="136">
        <v>200</v>
      </c>
      <c r="G1073" s="137">
        <f t="shared" si="4"/>
        <v>6</v>
      </c>
      <c r="H1073" s="137"/>
      <c r="I1073" s="137"/>
      <c r="J1073" s="135"/>
      <c r="K1073" s="135"/>
      <c r="L1073" s="135"/>
      <c r="M1073" s="135"/>
      <c r="N1073" s="135"/>
      <c r="O1073" s="135"/>
      <c r="P1073" s="135"/>
      <c r="Q1073" s="135"/>
      <c r="R1073" s="135"/>
      <c r="S1073" s="135"/>
      <c r="T1073" s="135"/>
      <c r="U1073" s="135"/>
      <c r="V1073" s="135"/>
      <c r="W1073" s="135"/>
      <c r="X1073" s="135"/>
      <c r="Y1073" s="135"/>
      <c r="Z1073" s="135"/>
    </row>
    <row r="1074" spans="1:26" ht="12.75">
      <c r="A1074" s="136" t="s">
        <v>8</v>
      </c>
      <c r="B1074" s="136" t="s">
        <v>8</v>
      </c>
      <c r="C1074" s="136" t="s">
        <v>7559</v>
      </c>
      <c r="D1074" s="136" t="s">
        <v>1665</v>
      </c>
      <c r="E1074" s="136" t="s">
        <v>615</v>
      </c>
      <c r="F1074" s="136">
        <v>200</v>
      </c>
      <c r="G1074" s="137">
        <f t="shared" si="4"/>
        <v>7</v>
      </c>
      <c r="H1074" s="137"/>
      <c r="I1074" s="137"/>
      <c r="J1074" s="135"/>
      <c r="K1074" s="135"/>
      <c r="L1074" s="135"/>
      <c r="M1074" s="135"/>
      <c r="N1074" s="135"/>
      <c r="O1074" s="135"/>
      <c r="P1074" s="135"/>
      <c r="Q1074" s="135"/>
      <c r="R1074" s="135"/>
      <c r="S1074" s="135"/>
      <c r="T1074" s="135"/>
      <c r="U1074" s="135"/>
      <c r="V1074" s="135"/>
      <c r="W1074" s="135"/>
      <c r="X1074" s="135"/>
      <c r="Y1074" s="135"/>
      <c r="Z1074" s="135"/>
    </row>
    <row r="1075" spans="1:26" ht="12.75">
      <c r="A1075" s="136" t="s">
        <v>8</v>
      </c>
      <c r="B1075" s="136" t="s">
        <v>8</v>
      </c>
      <c r="C1075" s="136" t="s">
        <v>7559</v>
      </c>
      <c r="D1075" s="136" t="s">
        <v>7491</v>
      </c>
      <c r="E1075" s="136" t="s">
        <v>615</v>
      </c>
      <c r="F1075" s="136">
        <v>146</v>
      </c>
      <c r="G1075" s="137">
        <f t="shared" si="4"/>
        <v>8</v>
      </c>
      <c r="H1075" s="137"/>
      <c r="I1075" s="137"/>
      <c r="J1075" s="135"/>
      <c r="K1075" s="135"/>
      <c r="L1075" s="135"/>
      <c r="M1075" s="135"/>
      <c r="N1075" s="135"/>
      <c r="O1075" s="135"/>
      <c r="P1075" s="135"/>
      <c r="Q1075" s="135"/>
      <c r="R1075" s="135"/>
      <c r="S1075" s="135"/>
      <c r="T1075" s="135"/>
      <c r="U1075" s="135"/>
      <c r="V1075" s="135"/>
      <c r="W1075" s="135"/>
      <c r="X1075" s="135"/>
      <c r="Y1075" s="135"/>
      <c r="Z1075" s="135"/>
    </row>
    <row r="1076" spans="1:26" ht="12.75">
      <c r="A1076" s="136" t="s">
        <v>8</v>
      </c>
      <c r="B1076" s="136" t="s">
        <v>8</v>
      </c>
      <c r="C1076" s="136" t="s">
        <v>7559</v>
      </c>
      <c r="D1076" s="136" t="s">
        <v>7544</v>
      </c>
      <c r="E1076" s="136" t="s">
        <v>615</v>
      </c>
      <c r="F1076" s="136">
        <v>110</v>
      </c>
      <c r="G1076" s="137">
        <f t="shared" si="4"/>
        <v>9</v>
      </c>
      <c r="H1076" s="137"/>
      <c r="I1076" s="137"/>
      <c r="J1076" s="135"/>
      <c r="K1076" s="135"/>
      <c r="L1076" s="135"/>
      <c r="M1076" s="135"/>
      <c r="N1076" s="135"/>
      <c r="O1076" s="135"/>
      <c r="P1076" s="135"/>
      <c r="Q1076" s="135"/>
      <c r="R1076" s="135"/>
      <c r="S1076" s="135"/>
      <c r="T1076" s="135"/>
      <c r="U1076" s="135"/>
      <c r="V1076" s="135"/>
      <c r="W1076" s="135"/>
      <c r="X1076" s="135"/>
      <c r="Y1076" s="135"/>
      <c r="Z1076" s="135"/>
    </row>
    <row r="1077" spans="1:26" ht="12.75">
      <c r="A1077" s="136" t="s">
        <v>8</v>
      </c>
      <c r="B1077" s="136" t="s">
        <v>8</v>
      </c>
      <c r="C1077" s="136" t="s">
        <v>7559</v>
      </c>
      <c r="D1077" s="136" t="s">
        <v>7551</v>
      </c>
      <c r="E1077" s="136" t="s">
        <v>615</v>
      </c>
      <c r="F1077" s="136">
        <v>100</v>
      </c>
      <c r="G1077" s="137">
        <f t="shared" si="4"/>
        <v>10</v>
      </c>
      <c r="H1077" s="137"/>
      <c r="I1077" s="137"/>
      <c r="J1077" s="135"/>
      <c r="K1077" s="135"/>
      <c r="L1077" s="135"/>
      <c r="M1077" s="135"/>
      <c r="N1077" s="135"/>
      <c r="O1077" s="135"/>
      <c r="P1077" s="135"/>
      <c r="Q1077" s="135"/>
      <c r="R1077" s="135"/>
      <c r="S1077" s="135"/>
      <c r="T1077" s="135"/>
      <c r="U1077" s="135"/>
      <c r="V1077" s="135"/>
      <c r="W1077" s="135"/>
      <c r="X1077" s="135"/>
      <c r="Y1077" s="135"/>
      <c r="Z1077" s="135"/>
    </row>
    <row r="1078" spans="1:26" ht="12.75">
      <c r="A1078" s="136" t="s">
        <v>8</v>
      </c>
      <c r="B1078" s="136" t="s">
        <v>8</v>
      </c>
      <c r="C1078" s="136" t="s">
        <v>7559</v>
      </c>
      <c r="D1078" s="136" t="s">
        <v>107</v>
      </c>
      <c r="E1078" s="136" t="s">
        <v>615</v>
      </c>
      <c r="F1078" s="136">
        <v>40</v>
      </c>
      <c r="G1078" s="137">
        <f t="shared" si="4"/>
        <v>11</v>
      </c>
      <c r="H1078" s="137"/>
      <c r="I1078" s="137"/>
      <c r="J1078" s="135"/>
      <c r="K1078" s="135"/>
      <c r="L1078" s="135"/>
      <c r="M1078" s="135"/>
      <c r="N1078" s="135"/>
      <c r="O1078" s="135"/>
      <c r="P1078" s="135"/>
      <c r="Q1078" s="135"/>
      <c r="R1078" s="135"/>
      <c r="S1078" s="135"/>
      <c r="T1078" s="135"/>
      <c r="U1078" s="135"/>
      <c r="V1078" s="135"/>
      <c r="W1078" s="135"/>
      <c r="X1078" s="135"/>
      <c r="Y1078" s="135"/>
      <c r="Z1078" s="135"/>
    </row>
    <row r="1079" spans="1:26" ht="12.75">
      <c r="A1079" s="136" t="s">
        <v>8</v>
      </c>
      <c r="B1079" s="136" t="s">
        <v>8</v>
      </c>
      <c r="C1079" s="136" t="s">
        <v>7559</v>
      </c>
      <c r="D1079" s="136" t="s">
        <v>368</v>
      </c>
      <c r="E1079" s="136" t="s">
        <v>594</v>
      </c>
      <c r="F1079" s="136">
        <v>20</v>
      </c>
      <c r="G1079" s="137">
        <f t="shared" si="4"/>
        <v>12</v>
      </c>
      <c r="H1079" s="137"/>
      <c r="I1079" s="137"/>
      <c r="J1079" s="135"/>
      <c r="K1079" s="135"/>
      <c r="L1079" s="135"/>
      <c r="M1079" s="135"/>
      <c r="N1079" s="135"/>
      <c r="O1079" s="135"/>
      <c r="P1079" s="135"/>
      <c r="Q1079" s="135"/>
      <c r="R1079" s="135"/>
      <c r="S1079" s="135"/>
      <c r="T1079" s="135"/>
      <c r="U1079" s="135"/>
      <c r="V1079" s="135"/>
      <c r="W1079" s="135"/>
      <c r="X1079" s="135"/>
      <c r="Y1079" s="135"/>
      <c r="Z1079" s="135"/>
    </row>
    <row r="1080" spans="1:26" ht="12.75">
      <c r="A1080" s="136" t="s">
        <v>8</v>
      </c>
      <c r="B1080" s="136" t="s">
        <v>8</v>
      </c>
      <c r="C1080" s="136" t="s">
        <v>7559</v>
      </c>
      <c r="D1080" s="136" t="s">
        <v>7531</v>
      </c>
      <c r="E1080" s="136" t="s">
        <v>615</v>
      </c>
      <c r="F1080" s="136">
        <v>10</v>
      </c>
      <c r="G1080" s="137">
        <f t="shared" si="4"/>
        <v>13</v>
      </c>
      <c r="H1080" s="137"/>
      <c r="I1080" s="137"/>
      <c r="J1080" s="135"/>
      <c r="K1080" s="135"/>
      <c r="L1080" s="135"/>
      <c r="M1080" s="135"/>
      <c r="N1080" s="135"/>
      <c r="O1080" s="135"/>
      <c r="P1080" s="135"/>
      <c r="Q1080" s="135"/>
      <c r="R1080" s="135"/>
      <c r="S1080" s="135"/>
      <c r="T1080" s="135"/>
      <c r="U1080" s="135"/>
      <c r="V1080" s="135"/>
      <c r="W1080" s="135"/>
      <c r="X1080" s="135"/>
      <c r="Y1080" s="135"/>
      <c r="Z1080" s="135"/>
    </row>
    <row r="1081" spans="1:26" ht="12.75">
      <c r="A1081" s="136" t="s">
        <v>8</v>
      </c>
      <c r="B1081" s="136" t="s">
        <v>8</v>
      </c>
      <c r="C1081" s="136" t="s">
        <v>7559</v>
      </c>
      <c r="D1081" s="136" t="s">
        <v>7536</v>
      </c>
      <c r="E1081" s="136" t="s">
        <v>86</v>
      </c>
      <c r="F1081" s="136">
        <v>7</v>
      </c>
      <c r="G1081" s="137">
        <f t="shared" si="4"/>
        <v>14</v>
      </c>
      <c r="H1081" s="137"/>
      <c r="I1081" s="137"/>
      <c r="J1081" s="135"/>
      <c r="K1081" s="135"/>
      <c r="L1081" s="135"/>
      <c r="M1081" s="135"/>
      <c r="N1081" s="135"/>
      <c r="O1081" s="135"/>
      <c r="P1081" s="135"/>
      <c r="Q1081" s="135"/>
      <c r="R1081" s="135"/>
      <c r="S1081" s="135"/>
      <c r="T1081" s="135"/>
      <c r="U1081" s="135"/>
      <c r="V1081" s="135"/>
      <c r="W1081" s="135"/>
      <c r="X1081" s="135"/>
      <c r="Y1081" s="135"/>
      <c r="Z1081" s="135"/>
    </row>
    <row r="1082" spans="1:26" ht="12.75">
      <c r="A1082" s="136" t="s">
        <v>8</v>
      </c>
      <c r="B1082" s="136" t="s">
        <v>8</v>
      </c>
      <c r="C1082" s="136" t="s">
        <v>7559</v>
      </c>
      <c r="D1082" s="136" t="s">
        <v>1682</v>
      </c>
      <c r="E1082" s="136" t="s">
        <v>86</v>
      </c>
      <c r="F1082" s="136">
        <v>5</v>
      </c>
      <c r="G1082" s="137">
        <f t="shared" si="4"/>
        <v>15</v>
      </c>
      <c r="H1082" s="137"/>
      <c r="I1082" s="137"/>
      <c r="J1082" s="135"/>
      <c r="K1082" s="135"/>
      <c r="L1082" s="135"/>
      <c r="M1082" s="135"/>
      <c r="N1082" s="135"/>
      <c r="O1082" s="135"/>
      <c r="P1082" s="135"/>
      <c r="Q1082" s="135"/>
      <c r="R1082" s="135"/>
      <c r="S1082" s="135"/>
      <c r="T1082" s="135"/>
      <c r="U1082" s="135"/>
      <c r="V1082" s="135"/>
      <c r="W1082" s="135"/>
      <c r="X1082" s="135"/>
      <c r="Y1082" s="135"/>
      <c r="Z1082" s="135"/>
    </row>
    <row r="1083" spans="1:26" ht="12.75">
      <c r="A1083" s="136" t="s">
        <v>8</v>
      </c>
      <c r="B1083" s="136" t="s">
        <v>8</v>
      </c>
      <c r="C1083" s="136" t="s">
        <v>570</v>
      </c>
      <c r="D1083" s="136" t="s">
        <v>139</v>
      </c>
      <c r="E1083" s="136" t="s">
        <v>594</v>
      </c>
      <c r="F1083" s="136">
        <v>1010</v>
      </c>
      <c r="G1083" s="137">
        <f t="shared" si="4"/>
        <v>1</v>
      </c>
      <c r="H1083" s="137"/>
      <c r="I1083" s="137"/>
      <c r="J1083" s="135"/>
      <c r="K1083" s="135"/>
      <c r="L1083" s="135"/>
      <c r="M1083" s="135"/>
      <c r="N1083" s="135"/>
      <c r="O1083" s="135"/>
      <c r="P1083" s="135"/>
      <c r="Q1083" s="135"/>
      <c r="R1083" s="135"/>
      <c r="S1083" s="135"/>
      <c r="T1083" s="135"/>
      <c r="U1083" s="135"/>
      <c r="V1083" s="135"/>
      <c r="W1083" s="135"/>
      <c r="X1083" s="135"/>
      <c r="Y1083" s="135"/>
      <c r="Z1083" s="135"/>
    </row>
    <row r="1084" spans="1:26" ht="12.75">
      <c r="A1084" s="136" t="s">
        <v>8</v>
      </c>
      <c r="B1084" s="136" t="s">
        <v>8</v>
      </c>
      <c r="C1084" s="136" t="s">
        <v>570</v>
      </c>
      <c r="D1084" s="136" t="s">
        <v>165</v>
      </c>
      <c r="E1084" s="136" t="s">
        <v>615</v>
      </c>
      <c r="F1084" s="136">
        <v>305</v>
      </c>
      <c r="G1084" s="137">
        <f t="shared" si="4"/>
        <v>2</v>
      </c>
      <c r="H1084" s="137"/>
      <c r="I1084" s="137"/>
      <c r="J1084" s="135"/>
      <c r="K1084" s="135"/>
      <c r="L1084" s="135"/>
      <c r="M1084" s="135"/>
      <c r="N1084" s="135"/>
      <c r="O1084" s="135"/>
      <c r="P1084" s="135"/>
      <c r="Q1084" s="135"/>
      <c r="R1084" s="135"/>
      <c r="S1084" s="135"/>
      <c r="T1084" s="135"/>
      <c r="U1084" s="135"/>
      <c r="V1084" s="135"/>
      <c r="W1084" s="135"/>
      <c r="X1084" s="135"/>
      <c r="Y1084" s="135"/>
      <c r="Z1084" s="135"/>
    </row>
    <row r="1085" spans="1:26" ht="12.75">
      <c r="A1085" s="136" t="s">
        <v>8</v>
      </c>
      <c r="B1085" s="136" t="s">
        <v>8</v>
      </c>
      <c r="C1085" s="136" t="s">
        <v>570</v>
      </c>
      <c r="D1085" s="136" t="s">
        <v>7544</v>
      </c>
      <c r="E1085" s="136" t="s">
        <v>615</v>
      </c>
      <c r="F1085" s="136">
        <v>120</v>
      </c>
      <c r="G1085" s="137">
        <f t="shared" si="4"/>
        <v>3</v>
      </c>
      <c r="H1085" s="137"/>
      <c r="I1085" s="137"/>
      <c r="J1085" s="135"/>
      <c r="K1085" s="135"/>
      <c r="L1085" s="135"/>
      <c r="M1085" s="135"/>
      <c r="N1085" s="135"/>
      <c r="O1085" s="135"/>
      <c r="P1085" s="135"/>
      <c r="Q1085" s="135"/>
      <c r="R1085" s="135"/>
      <c r="S1085" s="135"/>
      <c r="T1085" s="135"/>
      <c r="U1085" s="135"/>
      <c r="V1085" s="135"/>
      <c r="W1085" s="135"/>
      <c r="X1085" s="135"/>
      <c r="Y1085" s="135"/>
      <c r="Z1085" s="135"/>
    </row>
    <row r="1086" spans="1:26" ht="12.75">
      <c r="A1086" s="136" t="s">
        <v>8</v>
      </c>
      <c r="B1086" s="136" t="s">
        <v>8</v>
      </c>
      <c r="C1086" s="136" t="s">
        <v>570</v>
      </c>
      <c r="D1086" s="136" t="s">
        <v>7551</v>
      </c>
      <c r="E1086" s="136" t="s">
        <v>615</v>
      </c>
      <c r="F1086" s="136">
        <v>120</v>
      </c>
      <c r="G1086" s="137">
        <f t="shared" si="4"/>
        <v>4</v>
      </c>
      <c r="H1086" s="137"/>
      <c r="I1086" s="137"/>
      <c r="J1086" s="135"/>
      <c r="K1086" s="135"/>
      <c r="L1086" s="135"/>
      <c r="M1086" s="135"/>
      <c r="N1086" s="135"/>
      <c r="O1086" s="135"/>
      <c r="P1086" s="135"/>
      <c r="Q1086" s="135"/>
      <c r="R1086" s="135"/>
      <c r="S1086" s="135"/>
      <c r="T1086" s="135"/>
      <c r="U1086" s="135"/>
      <c r="V1086" s="135"/>
      <c r="W1086" s="135"/>
      <c r="X1086" s="135"/>
      <c r="Y1086" s="135"/>
      <c r="Z1086" s="135"/>
    </row>
    <row r="1087" spans="1:26" ht="12.75">
      <c r="A1087" s="136" t="s">
        <v>8</v>
      </c>
      <c r="B1087" s="136" t="s">
        <v>8</v>
      </c>
      <c r="C1087" s="136" t="s">
        <v>570</v>
      </c>
      <c r="D1087" s="136" t="s">
        <v>7533</v>
      </c>
      <c r="E1087" s="136" t="s">
        <v>594</v>
      </c>
      <c r="F1087" s="136">
        <v>100</v>
      </c>
      <c r="G1087" s="137">
        <f t="shared" si="4"/>
        <v>5</v>
      </c>
      <c r="H1087" s="137"/>
      <c r="I1087" s="137"/>
      <c r="J1087" s="135"/>
      <c r="K1087" s="135"/>
      <c r="L1087" s="135"/>
      <c r="M1087" s="135"/>
      <c r="N1087" s="135"/>
      <c r="O1087" s="135"/>
      <c r="P1087" s="135"/>
      <c r="Q1087" s="135"/>
      <c r="R1087" s="135"/>
      <c r="S1087" s="135"/>
      <c r="T1087" s="135"/>
      <c r="U1087" s="135"/>
      <c r="V1087" s="135"/>
      <c r="W1087" s="135"/>
      <c r="X1087" s="135"/>
      <c r="Y1087" s="135"/>
      <c r="Z1087" s="135"/>
    </row>
    <row r="1088" spans="1:26" ht="12.75">
      <c r="A1088" s="136" t="s">
        <v>8</v>
      </c>
      <c r="B1088" s="136" t="s">
        <v>8</v>
      </c>
      <c r="C1088" s="136" t="s">
        <v>570</v>
      </c>
      <c r="D1088" s="136" t="s">
        <v>1665</v>
      </c>
      <c r="E1088" s="136" t="s">
        <v>615</v>
      </c>
      <c r="F1088" s="136">
        <v>85</v>
      </c>
      <c r="G1088" s="137">
        <f t="shared" si="4"/>
        <v>6</v>
      </c>
      <c r="H1088" s="137"/>
      <c r="I1088" s="137"/>
      <c r="J1088" s="135"/>
      <c r="K1088" s="135"/>
      <c r="L1088" s="135"/>
      <c r="M1088" s="135"/>
      <c r="N1088" s="135"/>
      <c r="O1088" s="135"/>
      <c r="P1088" s="135"/>
      <c r="Q1088" s="135"/>
      <c r="R1088" s="135"/>
      <c r="S1088" s="135"/>
      <c r="T1088" s="135"/>
      <c r="U1088" s="135"/>
      <c r="V1088" s="135"/>
      <c r="W1088" s="135"/>
      <c r="X1088" s="135"/>
      <c r="Y1088" s="135"/>
      <c r="Z1088" s="135"/>
    </row>
    <row r="1089" spans="1:26" ht="12.75">
      <c r="A1089" s="136" t="s">
        <v>8</v>
      </c>
      <c r="B1089" s="136" t="s">
        <v>8</v>
      </c>
      <c r="C1089" s="136" t="s">
        <v>570</v>
      </c>
      <c r="D1089" s="136" t="s">
        <v>7491</v>
      </c>
      <c r="E1089" s="136" t="s">
        <v>615</v>
      </c>
      <c r="F1089" s="136">
        <v>78</v>
      </c>
      <c r="G1089" s="137">
        <f t="shared" si="4"/>
        <v>7</v>
      </c>
      <c r="H1089" s="137"/>
      <c r="I1089" s="137"/>
      <c r="J1089" s="135"/>
      <c r="K1089" s="135"/>
      <c r="L1089" s="135"/>
      <c r="M1089" s="135"/>
      <c r="N1089" s="135"/>
      <c r="O1089" s="135"/>
      <c r="P1089" s="135"/>
      <c r="Q1089" s="135"/>
      <c r="R1089" s="135"/>
      <c r="S1089" s="135"/>
      <c r="T1089" s="135"/>
      <c r="U1089" s="135"/>
      <c r="V1089" s="135"/>
      <c r="W1089" s="135"/>
      <c r="X1089" s="135"/>
      <c r="Y1089" s="135"/>
      <c r="Z1089" s="135"/>
    </row>
    <row r="1090" spans="1:26" ht="12.75">
      <c r="A1090" s="136" t="s">
        <v>8</v>
      </c>
      <c r="B1090" s="136" t="s">
        <v>8</v>
      </c>
      <c r="C1090" s="136" t="s">
        <v>570</v>
      </c>
      <c r="D1090" s="136" t="s">
        <v>7531</v>
      </c>
      <c r="E1090" s="136" t="s">
        <v>615</v>
      </c>
      <c r="F1090" s="136">
        <v>40</v>
      </c>
      <c r="G1090" s="137">
        <f t="shared" si="4"/>
        <v>8</v>
      </c>
      <c r="H1090" s="137"/>
      <c r="I1090" s="137"/>
      <c r="J1090" s="135"/>
      <c r="K1090" s="135"/>
      <c r="L1090" s="135"/>
      <c r="M1090" s="135"/>
      <c r="N1090" s="135"/>
      <c r="O1090" s="135"/>
      <c r="P1090" s="135"/>
      <c r="Q1090" s="135"/>
      <c r="R1090" s="135"/>
      <c r="S1090" s="135"/>
      <c r="T1090" s="135"/>
      <c r="U1090" s="135"/>
      <c r="V1090" s="135"/>
      <c r="W1090" s="135"/>
      <c r="X1090" s="135"/>
      <c r="Y1090" s="135"/>
      <c r="Z1090" s="135"/>
    </row>
    <row r="1091" spans="1:26" ht="12.75">
      <c r="A1091" s="136" t="s">
        <v>8</v>
      </c>
      <c r="B1091" s="136" t="s">
        <v>8</v>
      </c>
      <c r="C1091" s="136" t="s">
        <v>570</v>
      </c>
      <c r="D1091" s="136" t="s">
        <v>7530</v>
      </c>
      <c r="E1091" s="136" t="s">
        <v>85</v>
      </c>
      <c r="F1091" s="136">
        <v>37</v>
      </c>
      <c r="G1091" s="137">
        <f t="shared" si="4"/>
        <v>9</v>
      </c>
      <c r="H1091" s="137"/>
      <c r="I1091" s="137"/>
      <c r="J1091" s="135"/>
      <c r="K1091" s="135"/>
      <c r="L1091" s="135"/>
      <c r="M1091" s="135"/>
      <c r="N1091" s="135"/>
      <c r="O1091" s="135"/>
      <c r="P1091" s="135"/>
      <c r="Q1091" s="135"/>
      <c r="R1091" s="135"/>
      <c r="S1091" s="135"/>
      <c r="T1091" s="135"/>
      <c r="U1091" s="135"/>
      <c r="V1091" s="135"/>
      <c r="W1091" s="135"/>
      <c r="X1091" s="135"/>
      <c r="Y1091" s="135"/>
      <c r="Z1091" s="135"/>
    </row>
    <row r="1092" spans="1:26" ht="12.75">
      <c r="A1092" s="136" t="s">
        <v>8</v>
      </c>
      <c r="B1092" s="136" t="s">
        <v>8</v>
      </c>
      <c r="C1092" s="136" t="s">
        <v>570</v>
      </c>
      <c r="D1092" s="136" t="s">
        <v>107</v>
      </c>
      <c r="E1092" s="136" t="s">
        <v>615</v>
      </c>
      <c r="F1092" s="136">
        <v>25</v>
      </c>
      <c r="G1092" s="137">
        <f t="shared" si="4"/>
        <v>10</v>
      </c>
      <c r="H1092" s="137"/>
      <c r="I1092" s="137"/>
      <c r="J1092" s="135"/>
      <c r="K1092" s="135"/>
      <c r="L1092" s="135"/>
      <c r="M1092" s="135"/>
      <c r="N1092" s="135"/>
      <c r="O1092" s="135"/>
      <c r="P1092" s="135"/>
      <c r="Q1092" s="135"/>
      <c r="R1092" s="135"/>
      <c r="S1092" s="135"/>
      <c r="T1092" s="135"/>
      <c r="U1092" s="135"/>
      <c r="V1092" s="135"/>
      <c r="W1092" s="135"/>
      <c r="X1092" s="135"/>
      <c r="Y1092" s="135"/>
      <c r="Z1092" s="135"/>
    </row>
    <row r="1093" spans="1:26" ht="12.75">
      <c r="A1093" s="136" t="s">
        <v>8</v>
      </c>
      <c r="B1093" s="136" t="s">
        <v>8</v>
      </c>
      <c r="C1093" s="136" t="s">
        <v>570</v>
      </c>
      <c r="D1093" s="136" t="s">
        <v>1682</v>
      </c>
      <c r="E1093" s="136" t="s">
        <v>86</v>
      </c>
      <c r="F1093" s="136">
        <v>6</v>
      </c>
      <c r="G1093" s="137">
        <f t="shared" si="4"/>
        <v>11</v>
      </c>
      <c r="H1093" s="137"/>
      <c r="I1093" s="137"/>
      <c r="J1093" s="135"/>
      <c r="K1093" s="135"/>
      <c r="L1093" s="135"/>
      <c r="M1093" s="135"/>
      <c r="N1093" s="135"/>
      <c r="O1093" s="135"/>
      <c r="P1093" s="135"/>
      <c r="Q1093" s="135"/>
      <c r="R1093" s="135"/>
      <c r="S1093" s="135"/>
      <c r="T1093" s="135"/>
      <c r="U1093" s="135"/>
      <c r="V1093" s="135"/>
      <c r="W1093" s="135"/>
      <c r="X1093" s="135"/>
      <c r="Y1093" s="135"/>
      <c r="Z1093" s="135"/>
    </row>
    <row r="1094" spans="1:26" ht="12.75">
      <c r="A1094" s="136" t="s">
        <v>8</v>
      </c>
      <c r="B1094" s="136" t="s">
        <v>8</v>
      </c>
      <c r="C1094" s="136" t="s">
        <v>7560</v>
      </c>
      <c r="D1094" s="136" t="s">
        <v>139</v>
      </c>
      <c r="E1094" s="136" t="s">
        <v>594</v>
      </c>
      <c r="F1094" s="136">
        <v>1105</v>
      </c>
      <c r="G1094" s="137">
        <f t="shared" si="4"/>
        <v>1</v>
      </c>
      <c r="H1094" s="137"/>
      <c r="I1094" s="137"/>
      <c r="J1094" s="135"/>
      <c r="K1094" s="135"/>
      <c r="L1094" s="135"/>
      <c r="M1094" s="135"/>
      <c r="N1094" s="135"/>
      <c r="O1094" s="135"/>
      <c r="P1094" s="135"/>
      <c r="Q1094" s="135"/>
      <c r="R1094" s="135"/>
      <c r="S1094" s="135"/>
      <c r="T1094" s="135"/>
      <c r="U1094" s="135"/>
      <c r="V1094" s="135"/>
      <c r="W1094" s="135"/>
      <c r="X1094" s="135"/>
      <c r="Y1094" s="135"/>
      <c r="Z1094" s="135"/>
    </row>
    <row r="1095" spans="1:26" ht="12.75">
      <c r="A1095" s="136" t="s">
        <v>8</v>
      </c>
      <c r="B1095" s="136" t="s">
        <v>8</v>
      </c>
      <c r="C1095" s="136" t="s">
        <v>7560</v>
      </c>
      <c r="D1095" s="136" t="s">
        <v>7530</v>
      </c>
      <c r="E1095" s="136" t="s">
        <v>85</v>
      </c>
      <c r="F1095" s="136">
        <v>242</v>
      </c>
      <c r="G1095" s="137">
        <f t="shared" si="4"/>
        <v>2</v>
      </c>
      <c r="H1095" s="137"/>
      <c r="I1095" s="137"/>
      <c r="J1095" s="135"/>
      <c r="K1095" s="135"/>
      <c r="L1095" s="135"/>
      <c r="M1095" s="135"/>
      <c r="N1095" s="135"/>
      <c r="O1095" s="135"/>
      <c r="P1095" s="135"/>
      <c r="Q1095" s="135"/>
      <c r="R1095" s="135"/>
      <c r="S1095" s="135"/>
      <c r="T1095" s="135"/>
      <c r="U1095" s="135"/>
      <c r="V1095" s="135"/>
      <c r="W1095" s="135"/>
      <c r="X1095" s="135"/>
      <c r="Y1095" s="135"/>
      <c r="Z1095" s="135"/>
    </row>
    <row r="1096" spans="1:26" ht="12.75">
      <c r="A1096" s="136" t="s">
        <v>8</v>
      </c>
      <c r="B1096" s="136" t="s">
        <v>8</v>
      </c>
      <c r="C1096" s="136" t="s">
        <v>7560</v>
      </c>
      <c r="D1096" s="136" t="s">
        <v>467</v>
      </c>
      <c r="E1096" s="136" t="s">
        <v>85</v>
      </c>
      <c r="F1096" s="136">
        <v>93</v>
      </c>
      <c r="G1096" s="137">
        <f t="shared" si="4"/>
        <v>3</v>
      </c>
      <c r="H1096" s="137"/>
      <c r="I1096" s="137"/>
      <c r="J1096" s="135"/>
      <c r="K1096" s="135"/>
      <c r="L1096" s="135"/>
      <c r="M1096" s="135"/>
      <c r="N1096" s="135"/>
      <c r="O1096" s="135"/>
      <c r="P1096" s="135"/>
      <c r="Q1096" s="135"/>
      <c r="R1096" s="135"/>
      <c r="S1096" s="135"/>
      <c r="T1096" s="135"/>
      <c r="U1096" s="135"/>
      <c r="V1096" s="135"/>
      <c r="W1096" s="135"/>
      <c r="X1096" s="135"/>
      <c r="Y1096" s="135"/>
      <c r="Z1096" s="135"/>
    </row>
    <row r="1097" spans="1:26" ht="12.75">
      <c r="A1097" s="136" t="s">
        <v>8</v>
      </c>
      <c r="B1097" s="136" t="s">
        <v>8</v>
      </c>
      <c r="C1097" s="136" t="s">
        <v>7560</v>
      </c>
      <c r="D1097" s="136" t="s">
        <v>7491</v>
      </c>
      <c r="E1097" s="136" t="s">
        <v>615</v>
      </c>
      <c r="F1097" s="136">
        <v>60</v>
      </c>
      <c r="G1097" s="137">
        <f t="shared" si="4"/>
        <v>4</v>
      </c>
      <c r="H1097" s="137"/>
      <c r="I1097" s="137"/>
      <c r="J1097" s="135"/>
      <c r="K1097" s="135"/>
      <c r="L1097" s="135"/>
      <c r="M1097" s="135"/>
      <c r="N1097" s="135"/>
      <c r="O1097" s="135"/>
      <c r="P1097" s="135"/>
      <c r="Q1097" s="135"/>
      <c r="R1097" s="135"/>
      <c r="S1097" s="135"/>
      <c r="T1097" s="135"/>
      <c r="U1097" s="135"/>
      <c r="V1097" s="135"/>
      <c r="W1097" s="135"/>
      <c r="X1097" s="135"/>
      <c r="Y1097" s="135"/>
      <c r="Z1097" s="135"/>
    </row>
    <row r="1098" spans="1:26" ht="12.75">
      <c r="A1098" s="136" t="s">
        <v>8</v>
      </c>
      <c r="B1098" s="136" t="s">
        <v>8</v>
      </c>
      <c r="C1098" s="136" t="s">
        <v>7560</v>
      </c>
      <c r="D1098" s="136" t="s">
        <v>7533</v>
      </c>
      <c r="E1098" s="136" t="s">
        <v>594</v>
      </c>
      <c r="F1098" s="136">
        <v>52</v>
      </c>
      <c r="G1098" s="137">
        <f t="shared" si="4"/>
        <v>5</v>
      </c>
      <c r="H1098" s="137"/>
      <c r="I1098" s="137"/>
      <c r="J1098" s="135"/>
      <c r="K1098" s="135"/>
      <c r="L1098" s="135"/>
      <c r="M1098" s="135"/>
      <c r="N1098" s="135"/>
      <c r="O1098" s="135"/>
      <c r="P1098" s="135"/>
      <c r="Q1098" s="135"/>
      <c r="R1098" s="135"/>
      <c r="S1098" s="135"/>
      <c r="T1098" s="135"/>
      <c r="U1098" s="135"/>
      <c r="V1098" s="135"/>
      <c r="W1098" s="135"/>
      <c r="X1098" s="135"/>
      <c r="Y1098" s="135"/>
      <c r="Z1098" s="135"/>
    </row>
    <row r="1099" spans="1:26" ht="12.75">
      <c r="A1099" s="136" t="s">
        <v>8</v>
      </c>
      <c r="B1099" s="136" t="s">
        <v>8</v>
      </c>
      <c r="C1099" s="136" t="s">
        <v>7560</v>
      </c>
      <c r="D1099" s="136" t="s">
        <v>368</v>
      </c>
      <c r="E1099" s="136" t="s">
        <v>594</v>
      </c>
      <c r="F1099" s="136">
        <v>30</v>
      </c>
      <c r="G1099" s="137">
        <f t="shared" si="4"/>
        <v>6</v>
      </c>
      <c r="H1099" s="137"/>
      <c r="I1099" s="137"/>
      <c r="J1099" s="135"/>
      <c r="K1099" s="135"/>
      <c r="L1099" s="135"/>
      <c r="M1099" s="135"/>
      <c r="N1099" s="135"/>
      <c r="O1099" s="135"/>
      <c r="P1099" s="135"/>
      <c r="Q1099" s="135"/>
      <c r="R1099" s="135"/>
      <c r="S1099" s="135"/>
      <c r="T1099" s="135"/>
      <c r="U1099" s="135"/>
      <c r="V1099" s="135"/>
      <c r="W1099" s="135"/>
      <c r="X1099" s="135"/>
      <c r="Y1099" s="135"/>
      <c r="Z1099" s="135"/>
    </row>
    <row r="1100" spans="1:26" ht="12.75">
      <c r="A1100" s="136" t="s">
        <v>8</v>
      </c>
      <c r="B1100" s="136" t="s">
        <v>8</v>
      </c>
      <c r="C1100" s="136" t="s">
        <v>7560</v>
      </c>
      <c r="D1100" s="136" t="s">
        <v>165</v>
      </c>
      <c r="E1100" s="136" t="s">
        <v>615</v>
      </c>
      <c r="F1100" s="136">
        <v>14</v>
      </c>
      <c r="G1100" s="137">
        <f t="shared" si="4"/>
        <v>7</v>
      </c>
      <c r="H1100" s="137"/>
      <c r="I1100" s="137"/>
      <c r="J1100" s="135"/>
      <c r="K1100" s="135"/>
      <c r="L1100" s="135"/>
      <c r="M1100" s="135"/>
      <c r="N1100" s="135"/>
      <c r="O1100" s="135"/>
      <c r="P1100" s="135"/>
      <c r="Q1100" s="135"/>
      <c r="R1100" s="135"/>
      <c r="S1100" s="135"/>
      <c r="T1100" s="135"/>
      <c r="U1100" s="135"/>
      <c r="V1100" s="135"/>
      <c r="W1100" s="135"/>
      <c r="X1100" s="135"/>
      <c r="Y1100" s="135"/>
      <c r="Z1100" s="135"/>
    </row>
    <row r="1101" spans="1:26" ht="12.75">
      <c r="A1101" s="136" t="s">
        <v>8</v>
      </c>
      <c r="B1101" s="136" t="s">
        <v>8</v>
      </c>
      <c r="C1101" s="136" t="s">
        <v>575</v>
      </c>
      <c r="D1101" s="136" t="s">
        <v>139</v>
      </c>
      <c r="E1101" s="136" t="s">
        <v>594</v>
      </c>
      <c r="F1101" s="136">
        <v>1501</v>
      </c>
      <c r="G1101" s="137">
        <f t="shared" si="4"/>
        <v>1</v>
      </c>
      <c r="H1101" s="137"/>
      <c r="I1101" s="137"/>
      <c r="J1101" s="135"/>
      <c r="K1101" s="135"/>
      <c r="L1101" s="135"/>
      <c r="M1101" s="135"/>
      <c r="N1101" s="135"/>
      <c r="O1101" s="135"/>
      <c r="P1101" s="135"/>
      <c r="Q1101" s="135"/>
      <c r="R1101" s="135"/>
      <c r="S1101" s="135"/>
      <c r="T1101" s="135"/>
      <c r="U1101" s="135"/>
      <c r="V1101" s="135"/>
      <c r="W1101" s="135"/>
      <c r="X1101" s="135"/>
      <c r="Y1101" s="135"/>
      <c r="Z1101" s="135"/>
    </row>
    <row r="1102" spans="1:26" ht="12.75">
      <c r="A1102" s="136" t="s">
        <v>8</v>
      </c>
      <c r="B1102" s="136" t="s">
        <v>8</v>
      </c>
      <c r="C1102" s="136" t="s">
        <v>575</v>
      </c>
      <c r="D1102" s="136" t="s">
        <v>165</v>
      </c>
      <c r="E1102" s="136" t="s">
        <v>615</v>
      </c>
      <c r="F1102" s="136">
        <v>560</v>
      </c>
      <c r="G1102" s="137">
        <f t="shared" si="4"/>
        <v>2</v>
      </c>
      <c r="H1102" s="137"/>
      <c r="I1102" s="137"/>
      <c r="J1102" s="135"/>
      <c r="K1102" s="135"/>
      <c r="L1102" s="135"/>
      <c r="M1102" s="135"/>
      <c r="N1102" s="135"/>
      <c r="O1102" s="135"/>
      <c r="P1102" s="135"/>
      <c r="Q1102" s="135"/>
      <c r="R1102" s="135"/>
      <c r="S1102" s="135"/>
      <c r="T1102" s="135"/>
      <c r="U1102" s="135"/>
      <c r="V1102" s="135"/>
      <c r="W1102" s="135"/>
      <c r="X1102" s="135"/>
      <c r="Y1102" s="135"/>
      <c r="Z1102" s="135"/>
    </row>
    <row r="1103" spans="1:26" ht="12.75">
      <c r="A1103" s="136" t="s">
        <v>8</v>
      </c>
      <c r="B1103" s="136" t="s">
        <v>8</v>
      </c>
      <c r="C1103" s="136" t="s">
        <v>575</v>
      </c>
      <c r="D1103" s="136" t="s">
        <v>7530</v>
      </c>
      <c r="E1103" s="136" t="s">
        <v>85</v>
      </c>
      <c r="F1103" s="136">
        <v>505</v>
      </c>
      <c r="G1103" s="137">
        <f t="shared" si="4"/>
        <v>3</v>
      </c>
      <c r="H1103" s="137"/>
      <c r="I1103" s="137"/>
      <c r="J1103" s="135"/>
      <c r="K1103" s="135"/>
      <c r="L1103" s="135"/>
      <c r="M1103" s="135"/>
      <c r="N1103" s="135"/>
      <c r="O1103" s="135"/>
      <c r="P1103" s="135"/>
      <c r="Q1103" s="135"/>
      <c r="R1103" s="135"/>
      <c r="S1103" s="135"/>
      <c r="T1103" s="135"/>
      <c r="U1103" s="135"/>
      <c r="V1103" s="135"/>
      <c r="W1103" s="135"/>
      <c r="X1103" s="135"/>
      <c r="Y1103" s="135"/>
      <c r="Z1103" s="135"/>
    </row>
    <row r="1104" spans="1:26" ht="12.75">
      <c r="A1104" s="136" t="s">
        <v>8</v>
      </c>
      <c r="B1104" s="136" t="s">
        <v>8</v>
      </c>
      <c r="C1104" s="136" t="s">
        <v>575</v>
      </c>
      <c r="D1104" s="136" t="s">
        <v>467</v>
      </c>
      <c r="E1104" s="136" t="s">
        <v>85</v>
      </c>
      <c r="F1104" s="136">
        <v>190</v>
      </c>
      <c r="G1104" s="137">
        <f t="shared" si="4"/>
        <v>4</v>
      </c>
      <c r="H1104" s="137"/>
      <c r="I1104" s="137"/>
      <c r="J1104" s="135"/>
      <c r="K1104" s="135"/>
      <c r="L1104" s="135"/>
      <c r="M1104" s="135"/>
      <c r="N1104" s="135"/>
      <c r="O1104" s="135"/>
      <c r="P1104" s="135"/>
      <c r="Q1104" s="135"/>
      <c r="R1104" s="135"/>
      <c r="S1104" s="135"/>
      <c r="T1104" s="135"/>
      <c r="U1104" s="135"/>
      <c r="V1104" s="135"/>
      <c r="W1104" s="135"/>
      <c r="X1104" s="135"/>
      <c r="Y1104" s="135"/>
      <c r="Z1104" s="135"/>
    </row>
    <row r="1105" spans="1:26" ht="12.75">
      <c r="A1105" s="136" t="s">
        <v>8</v>
      </c>
      <c r="B1105" s="136" t="s">
        <v>8</v>
      </c>
      <c r="C1105" s="136" t="s">
        <v>575</v>
      </c>
      <c r="D1105" s="136" t="s">
        <v>7533</v>
      </c>
      <c r="E1105" s="136" t="s">
        <v>594</v>
      </c>
      <c r="F1105" s="136">
        <v>118</v>
      </c>
      <c r="G1105" s="137">
        <f t="shared" si="4"/>
        <v>5</v>
      </c>
      <c r="H1105" s="137"/>
      <c r="I1105" s="137"/>
      <c r="J1105" s="135"/>
      <c r="K1105" s="135"/>
      <c r="L1105" s="135"/>
      <c r="M1105" s="135"/>
      <c r="N1105" s="135"/>
      <c r="O1105" s="135"/>
      <c r="P1105" s="135"/>
      <c r="Q1105" s="135"/>
      <c r="R1105" s="135"/>
      <c r="S1105" s="135"/>
      <c r="T1105" s="135"/>
      <c r="U1105" s="135"/>
      <c r="V1105" s="135"/>
      <c r="W1105" s="135"/>
      <c r="X1105" s="135"/>
      <c r="Y1105" s="135"/>
      <c r="Z1105" s="135"/>
    </row>
    <row r="1106" spans="1:26" ht="12.75">
      <c r="A1106" s="136" t="s">
        <v>8</v>
      </c>
      <c r="B1106" s="136" t="s">
        <v>8</v>
      </c>
      <c r="C1106" s="136" t="s">
        <v>575</v>
      </c>
      <c r="D1106" s="136" t="s">
        <v>7491</v>
      </c>
      <c r="E1106" s="136" t="s">
        <v>615</v>
      </c>
      <c r="F1106" s="136">
        <v>100</v>
      </c>
      <c r="G1106" s="137">
        <f t="shared" si="4"/>
        <v>6</v>
      </c>
      <c r="H1106" s="137"/>
      <c r="I1106" s="137"/>
      <c r="J1106" s="135"/>
      <c r="K1106" s="135"/>
      <c r="L1106" s="135"/>
      <c r="M1106" s="135"/>
      <c r="N1106" s="135"/>
      <c r="O1106" s="135"/>
      <c r="P1106" s="135"/>
      <c r="Q1106" s="135"/>
      <c r="R1106" s="135"/>
      <c r="S1106" s="135"/>
      <c r="T1106" s="135"/>
      <c r="U1106" s="135"/>
      <c r="V1106" s="135"/>
      <c r="W1106" s="135"/>
      <c r="X1106" s="135"/>
      <c r="Y1106" s="135"/>
      <c r="Z1106" s="135"/>
    </row>
    <row r="1107" spans="1:26" ht="12.75">
      <c r="A1107" s="136" t="s">
        <v>8</v>
      </c>
      <c r="B1107" s="136" t="s">
        <v>8</v>
      </c>
      <c r="C1107" s="136" t="s">
        <v>575</v>
      </c>
      <c r="D1107" s="136" t="s">
        <v>1665</v>
      </c>
      <c r="E1107" s="136" t="s">
        <v>615</v>
      </c>
      <c r="F1107" s="136">
        <v>75</v>
      </c>
      <c r="G1107" s="137">
        <f t="shared" si="4"/>
        <v>7</v>
      </c>
      <c r="H1107" s="137"/>
      <c r="I1107" s="137"/>
      <c r="J1107" s="135"/>
      <c r="K1107" s="135"/>
      <c r="L1107" s="135"/>
      <c r="M1107" s="135"/>
      <c r="N1107" s="135"/>
      <c r="O1107" s="135"/>
      <c r="P1107" s="135"/>
      <c r="Q1107" s="135"/>
      <c r="R1107" s="135"/>
      <c r="S1107" s="135"/>
      <c r="T1107" s="135"/>
      <c r="U1107" s="135"/>
      <c r="V1107" s="135"/>
      <c r="W1107" s="135"/>
      <c r="X1107" s="135"/>
      <c r="Y1107" s="135"/>
      <c r="Z1107" s="135"/>
    </row>
    <row r="1108" spans="1:26" ht="12.75">
      <c r="A1108" s="136" t="s">
        <v>8</v>
      </c>
      <c r="B1108" s="136" t="s">
        <v>8</v>
      </c>
      <c r="C1108" s="136" t="s">
        <v>575</v>
      </c>
      <c r="D1108" s="136" t="s">
        <v>7531</v>
      </c>
      <c r="E1108" s="136" t="s">
        <v>615</v>
      </c>
      <c r="F1108" s="136">
        <v>40</v>
      </c>
      <c r="G1108" s="137">
        <f t="shared" si="4"/>
        <v>8</v>
      </c>
      <c r="H1108" s="137"/>
      <c r="I1108" s="137"/>
      <c r="J1108" s="135"/>
      <c r="K1108" s="135"/>
      <c r="L1108" s="135"/>
      <c r="M1108" s="135"/>
      <c r="N1108" s="135"/>
      <c r="O1108" s="135"/>
      <c r="P1108" s="135"/>
      <c r="Q1108" s="135"/>
      <c r="R1108" s="135"/>
      <c r="S1108" s="135"/>
      <c r="T1108" s="135"/>
      <c r="U1108" s="135"/>
      <c r="V1108" s="135"/>
      <c r="W1108" s="135"/>
      <c r="X1108" s="135"/>
      <c r="Y1108" s="135"/>
      <c r="Z1108" s="135"/>
    </row>
    <row r="1109" spans="1:26" ht="12.75">
      <c r="A1109" s="136" t="s">
        <v>8</v>
      </c>
      <c r="B1109" s="136" t="s">
        <v>8</v>
      </c>
      <c r="C1109" s="136" t="s">
        <v>575</v>
      </c>
      <c r="D1109" s="136" t="s">
        <v>7551</v>
      </c>
      <c r="E1109" s="136" t="s">
        <v>615</v>
      </c>
      <c r="F1109" s="136">
        <v>30</v>
      </c>
      <c r="G1109" s="137">
        <f t="shared" si="4"/>
        <v>9</v>
      </c>
      <c r="H1109" s="137"/>
      <c r="I1109" s="137"/>
      <c r="J1109" s="135"/>
      <c r="K1109" s="135"/>
      <c r="L1109" s="135"/>
      <c r="M1109" s="135"/>
      <c r="N1109" s="135"/>
      <c r="O1109" s="135"/>
      <c r="P1109" s="135"/>
      <c r="Q1109" s="135"/>
      <c r="R1109" s="135"/>
      <c r="S1109" s="135"/>
      <c r="T1109" s="135"/>
      <c r="U1109" s="135"/>
      <c r="V1109" s="135"/>
      <c r="W1109" s="135"/>
      <c r="X1109" s="135"/>
      <c r="Y1109" s="135"/>
      <c r="Z1109" s="135"/>
    </row>
    <row r="1110" spans="1:26" ht="12.75">
      <c r="A1110" s="136" t="s">
        <v>8</v>
      </c>
      <c r="B1110" s="136" t="s">
        <v>8</v>
      </c>
      <c r="C1110" s="136" t="s">
        <v>575</v>
      </c>
      <c r="D1110" s="136" t="s">
        <v>107</v>
      </c>
      <c r="E1110" s="136" t="s">
        <v>615</v>
      </c>
      <c r="F1110" s="136">
        <v>25</v>
      </c>
      <c r="G1110" s="137">
        <f t="shared" si="4"/>
        <v>10</v>
      </c>
      <c r="H1110" s="137"/>
      <c r="I1110" s="137"/>
      <c r="J1110" s="135"/>
      <c r="K1110" s="135"/>
      <c r="L1110" s="135"/>
      <c r="M1110" s="135"/>
      <c r="N1110" s="135"/>
      <c r="O1110" s="135"/>
      <c r="P1110" s="135"/>
      <c r="Q1110" s="135"/>
      <c r="R1110" s="135"/>
      <c r="S1110" s="135"/>
      <c r="T1110" s="135"/>
      <c r="U1110" s="135"/>
      <c r="V1110" s="135"/>
      <c r="W1110" s="135"/>
      <c r="X1110" s="135"/>
      <c r="Y1110" s="135"/>
      <c r="Z1110" s="135"/>
    </row>
    <row r="1111" spans="1:26" ht="12.75">
      <c r="A1111" s="136" t="s">
        <v>8</v>
      </c>
      <c r="B1111" s="136" t="s">
        <v>8</v>
      </c>
      <c r="C1111" s="136" t="s">
        <v>575</v>
      </c>
      <c r="D1111" s="136" t="s">
        <v>368</v>
      </c>
      <c r="E1111" s="136" t="s">
        <v>594</v>
      </c>
      <c r="F1111" s="136">
        <v>20</v>
      </c>
      <c r="G1111" s="137">
        <f t="shared" si="4"/>
        <v>11</v>
      </c>
      <c r="H1111" s="137"/>
      <c r="I1111" s="137"/>
      <c r="J1111" s="135"/>
      <c r="K1111" s="135"/>
      <c r="L1111" s="135"/>
      <c r="M1111" s="135"/>
      <c r="N1111" s="135"/>
      <c r="O1111" s="135"/>
      <c r="P1111" s="135"/>
      <c r="Q1111" s="135"/>
      <c r="R1111" s="135"/>
      <c r="S1111" s="135"/>
      <c r="T1111" s="135"/>
      <c r="U1111" s="135"/>
      <c r="V1111" s="135"/>
      <c r="W1111" s="135"/>
      <c r="X1111" s="135"/>
      <c r="Y1111" s="135"/>
      <c r="Z1111" s="135"/>
    </row>
    <row r="1112" spans="1:26" ht="12.75">
      <c r="A1112" s="136" t="s">
        <v>8</v>
      </c>
      <c r="B1112" s="136" t="s">
        <v>8</v>
      </c>
      <c r="C1112" s="136" t="s">
        <v>575</v>
      </c>
      <c r="D1112" s="136" t="s">
        <v>7544</v>
      </c>
      <c r="E1112" s="136" t="s">
        <v>615</v>
      </c>
      <c r="F1112" s="136">
        <v>20</v>
      </c>
      <c r="G1112" s="137">
        <f t="shared" si="4"/>
        <v>12</v>
      </c>
      <c r="H1112" s="137"/>
      <c r="I1112" s="137"/>
      <c r="J1112" s="135"/>
      <c r="K1112" s="135"/>
      <c r="L1112" s="135"/>
      <c r="M1112" s="135"/>
      <c r="N1112" s="135"/>
      <c r="O1112" s="135"/>
      <c r="P1112" s="135"/>
      <c r="Q1112" s="135"/>
      <c r="R1112" s="135"/>
      <c r="S1112" s="135"/>
      <c r="T1112" s="135"/>
      <c r="U1112" s="135"/>
      <c r="V1112" s="135"/>
      <c r="W1112" s="135"/>
      <c r="X1112" s="135"/>
      <c r="Y1112" s="135"/>
      <c r="Z1112" s="135"/>
    </row>
    <row r="1113" spans="1:26" ht="12.75">
      <c r="A1113" s="136" t="s">
        <v>8</v>
      </c>
      <c r="B1113" s="136" t="s">
        <v>8</v>
      </c>
      <c r="C1113" s="136" t="s">
        <v>575</v>
      </c>
      <c r="D1113" s="136" t="s">
        <v>1682</v>
      </c>
      <c r="E1113" s="136" t="s">
        <v>86</v>
      </c>
      <c r="F1113" s="136">
        <v>11</v>
      </c>
      <c r="G1113" s="137">
        <f t="shared" si="4"/>
        <v>13</v>
      </c>
      <c r="H1113" s="137"/>
      <c r="I1113" s="137"/>
      <c r="J1113" s="135"/>
      <c r="K1113" s="135"/>
      <c r="L1113" s="135"/>
      <c r="M1113" s="135"/>
      <c r="N1113" s="135"/>
      <c r="O1113" s="135"/>
      <c r="P1113" s="135"/>
      <c r="Q1113" s="135"/>
      <c r="R1113" s="135"/>
      <c r="S1113" s="135"/>
      <c r="T1113" s="135"/>
      <c r="U1113" s="135"/>
      <c r="V1113" s="135"/>
      <c r="W1113" s="135"/>
      <c r="X1113" s="135"/>
      <c r="Y1113" s="135"/>
      <c r="Z1113" s="135"/>
    </row>
    <row r="1114" spans="1:26" ht="12.75">
      <c r="A1114" s="136" t="s">
        <v>8</v>
      </c>
      <c r="B1114" s="136" t="s">
        <v>8</v>
      </c>
      <c r="C1114" s="136" t="s">
        <v>575</v>
      </c>
      <c r="D1114" s="136" t="s">
        <v>7536</v>
      </c>
      <c r="E1114" s="136" t="s">
        <v>86</v>
      </c>
      <c r="F1114" s="136">
        <v>5</v>
      </c>
      <c r="G1114" s="137">
        <f t="shared" si="4"/>
        <v>14</v>
      </c>
      <c r="H1114" s="137"/>
      <c r="I1114" s="137"/>
      <c r="J1114" s="135"/>
      <c r="K1114" s="135"/>
      <c r="L1114" s="135"/>
      <c r="M1114" s="135"/>
      <c r="N1114" s="135"/>
      <c r="O1114" s="135"/>
      <c r="P1114" s="135"/>
      <c r="Q1114" s="135"/>
      <c r="R1114" s="135"/>
      <c r="S1114" s="135"/>
      <c r="T1114" s="135"/>
      <c r="U1114" s="135"/>
      <c r="V1114" s="135"/>
      <c r="W1114" s="135"/>
      <c r="X1114" s="135"/>
      <c r="Y1114" s="135"/>
      <c r="Z1114" s="135"/>
    </row>
    <row r="1115" spans="1:26" ht="12.75">
      <c r="A1115" s="136" t="s">
        <v>8</v>
      </c>
      <c r="B1115" s="136" t="s">
        <v>8</v>
      </c>
      <c r="C1115" s="136" t="s">
        <v>7561</v>
      </c>
      <c r="D1115" s="136" t="s">
        <v>139</v>
      </c>
      <c r="E1115" s="136" t="s">
        <v>594</v>
      </c>
      <c r="F1115" s="136">
        <v>307</v>
      </c>
      <c r="G1115" s="137">
        <f t="shared" si="4"/>
        <v>1</v>
      </c>
      <c r="H1115" s="137"/>
      <c r="I1115" s="137"/>
      <c r="J1115" s="135"/>
      <c r="K1115" s="135"/>
      <c r="L1115" s="135"/>
      <c r="M1115" s="135"/>
      <c r="N1115" s="135"/>
      <c r="O1115" s="135"/>
      <c r="P1115" s="135"/>
      <c r="Q1115" s="135"/>
      <c r="R1115" s="135"/>
      <c r="S1115" s="135"/>
      <c r="T1115" s="135"/>
      <c r="U1115" s="135"/>
      <c r="V1115" s="135"/>
      <c r="W1115" s="135"/>
      <c r="X1115" s="135"/>
      <c r="Y1115" s="135"/>
      <c r="Z1115" s="135"/>
    </row>
    <row r="1116" spans="1:26" ht="12.75">
      <c r="A1116" s="136" t="s">
        <v>8</v>
      </c>
      <c r="B1116" s="136" t="s">
        <v>8</v>
      </c>
      <c r="C1116" s="136" t="s">
        <v>7561</v>
      </c>
      <c r="D1116" s="136" t="s">
        <v>7536</v>
      </c>
      <c r="E1116" s="136" t="s">
        <v>86</v>
      </c>
      <c r="F1116" s="136">
        <v>133</v>
      </c>
      <c r="G1116" s="137">
        <f t="shared" si="4"/>
        <v>2</v>
      </c>
      <c r="H1116" s="137"/>
      <c r="I1116" s="137"/>
      <c r="J1116" s="135"/>
      <c r="K1116" s="135"/>
      <c r="L1116" s="135"/>
      <c r="M1116" s="135"/>
      <c r="N1116" s="135"/>
      <c r="O1116" s="135"/>
      <c r="P1116" s="135"/>
      <c r="Q1116" s="135"/>
      <c r="R1116" s="135"/>
      <c r="S1116" s="135"/>
      <c r="T1116" s="135"/>
      <c r="U1116" s="135"/>
      <c r="V1116" s="135"/>
      <c r="W1116" s="135"/>
      <c r="X1116" s="135"/>
      <c r="Y1116" s="135"/>
      <c r="Z1116" s="135"/>
    </row>
    <row r="1117" spans="1:26" ht="12.75">
      <c r="A1117" s="136" t="s">
        <v>8</v>
      </c>
      <c r="B1117" s="136" t="s">
        <v>8</v>
      </c>
      <c r="C1117" s="136" t="s">
        <v>7561</v>
      </c>
      <c r="D1117" s="136" t="s">
        <v>7546</v>
      </c>
      <c r="E1117" s="136" t="s">
        <v>86</v>
      </c>
      <c r="F1117" s="136">
        <v>108</v>
      </c>
      <c r="G1117" s="137">
        <f t="shared" si="4"/>
        <v>3</v>
      </c>
      <c r="H1117" s="137"/>
      <c r="I1117" s="137"/>
      <c r="J1117" s="135"/>
      <c r="K1117" s="135"/>
      <c r="L1117" s="135"/>
      <c r="M1117" s="135"/>
      <c r="N1117" s="135"/>
      <c r="O1117" s="135"/>
      <c r="P1117" s="135"/>
      <c r="Q1117" s="135"/>
      <c r="R1117" s="135"/>
      <c r="S1117" s="135"/>
      <c r="T1117" s="135"/>
      <c r="U1117" s="135"/>
      <c r="V1117" s="135"/>
      <c r="W1117" s="135"/>
      <c r="X1117" s="135"/>
      <c r="Y1117" s="135"/>
      <c r="Z1117" s="135"/>
    </row>
    <row r="1118" spans="1:26" ht="12.75">
      <c r="A1118" s="136" t="s">
        <v>8</v>
      </c>
      <c r="B1118" s="136" t="s">
        <v>8</v>
      </c>
      <c r="C1118" s="136" t="s">
        <v>7561</v>
      </c>
      <c r="D1118" s="136" t="s">
        <v>98</v>
      </c>
      <c r="E1118" s="136" t="s">
        <v>615</v>
      </c>
      <c r="F1118" s="136">
        <v>77</v>
      </c>
      <c r="G1118" s="137">
        <f t="shared" si="4"/>
        <v>4</v>
      </c>
      <c r="H1118" s="137"/>
      <c r="I1118" s="137"/>
      <c r="J1118" s="135"/>
      <c r="K1118" s="135"/>
      <c r="L1118" s="135"/>
      <c r="M1118" s="135"/>
      <c r="N1118" s="135"/>
      <c r="O1118" s="135"/>
      <c r="P1118" s="135"/>
      <c r="Q1118" s="135"/>
      <c r="R1118" s="135"/>
      <c r="S1118" s="135"/>
      <c r="T1118" s="135"/>
      <c r="U1118" s="135"/>
      <c r="V1118" s="135"/>
      <c r="W1118" s="135"/>
      <c r="X1118" s="135"/>
      <c r="Y1118" s="135"/>
      <c r="Z1118" s="135"/>
    </row>
    <row r="1119" spans="1:26" ht="12.75">
      <c r="A1119" s="136" t="s">
        <v>8</v>
      </c>
      <c r="B1119" s="136" t="s">
        <v>8</v>
      </c>
      <c r="C1119" s="136" t="s">
        <v>7561</v>
      </c>
      <c r="D1119" s="136" t="s">
        <v>165</v>
      </c>
      <c r="E1119" s="136" t="s">
        <v>615</v>
      </c>
      <c r="F1119" s="136">
        <v>65</v>
      </c>
      <c r="G1119" s="137">
        <f t="shared" si="4"/>
        <v>5</v>
      </c>
      <c r="H1119" s="137"/>
      <c r="I1119" s="137"/>
      <c r="J1119" s="135"/>
      <c r="K1119" s="135"/>
      <c r="L1119" s="135"/>
      <c r="M1119" s="135"/>
      <c r="N1119" s="135"/>
      <c r="O1119" s="135"/>
      <c r="P1119" s="135"/>
      <c r="Q1119" s="135"/>
      <c r="R1119" s="135"/>
      <c r="S1119" s="135"/>
      <c r="T1119" s="135"/>
      <c r="U1119" s="135"/>
      <c r="V1119" s="135"/>
      <c r="W1119" s="135"/>
      <c r="X1119" s="135"/>
      <c r="Y1119" s="135"/>
      <c r="Z1119" s="135"/>
    </row>
    <row r="1120" spans="1:26" ht="12.75">
      <c r="A1120" s="136" t="s">
        <v>8</v>
      </c>
      <c r="B1120" s="136" t="s">
        <v>8</v>
      </c>
      <c r="C1120" s="136" t="s">
        <v>7561</v>
      </c>
      <c r="D1120" s="136" t="s">
        <v>7491</v>
      </c>
      <c r="E1120" s="136" t="s">
        <v>615</v>
      </c>
      <c r="F1120" s="136">
        <v>60</v>
      </c>
      <c r="G1120" s="137">
        <f t="shared" si="4"/>
        <v>6</v>
      </c>
      <c r="H1120" s="137"/>
      <c r="I1120" s="137"/>
      <c r="J1120" s="135"/>
      <c r="K1120" s="135"/>
      <c r="L1120" s="135"/>
      <c r="M1120" s="135"/>
      <c r="N1120" s="135"/>
      <c r="O1120" s="135"/>
      <c r="P1120" s="135"/>
      <c r="Q1120" s="135"/>
      <c r="R1120" s="135"/>
      <c r="S1120" s="135"/>
      <c r="T1120" s="135"/>
      <c r="U1120" s="135"/>
      <c r="V1120" s="135"/>
      <c r="W1120" s="135"/>
      <c r="X1120" s="135"/>
      <c r="Y1120" s="135"/>
      <c r="Z1120" s="135"/>
    </row>
    <row r="1121" spans="1:26" ht="12.75">
      <c r="A1121" s="136" t="s">
        <v>8</v>
      </c>
      <c r="B1121" s="136" t="s">
        <v>8</v>
      </c>
      <c r="C1121" s="136" t="s">
        <v>7561</v>
      </c>
      <c r="D1121" s="136" t="s">
        <v>7533</v>
      </c>
      <c r="E1121" s="136" t="s">
        <v>594</v>
      </c>
      <c r="F1121" s="136">
        <v>50</v>
      </c>
      <c r="G1121" s="137">
        <f t="shared" si="4"/>
        <v>7</v>
      </c>
      <c r="H1121" s="137"/>
      <c r="I1121" s="137"/>
      <c r="J1121" s="135"/>
      <c r="K1121" s="135"/>
      <c r="L1121" s="135"/>
      <c r="M1121" s="135"/>
      <c r="N1121" s="135"/>
      <c r="O1121" s="135"/>
      <c r="P1121" s="135"/>
      <c r="Q1121" s="135"/>
      <c r="R1121" s="135"/>
      <c r="S1121" s="135"/>
      <c r="T1121" s="135"/>
      <c r="U1121" s="135"/>
      <c r="V1121" s="135"/>
      <c r="W1121" s="135"/>
      <c r="X1121" s="135"/>
      <c r="Y1121" s="135"/>
      <c r="Z1121" s="135"/>
    </row>
    <row r="1122" spans="1:26" ht="12.75">
      <c r="A1122" s="136" t="s">
        <v>8</v>
      </c>
      <c r="B1122" s="136" t="s">
        <v>8</v>
      </c>
      <c r="C1122" s="136" t="s">
        <v>7561</v>
      </c>
      <c r="D1122" s="136" t="s">
        <v>7530</v>
      </c>
      <c r="E1122" s="136" t="s">
        <v>85</v>
      </c>
      <c r="F1122" s="136">
        <v>35</v>
      </c>
      <c r="G1122" s="137">
        <f t="shared" si="4"/>
        <v>8</v>
      </c>
      <c r="H1122" s="137"/>
      <c r="I1122" s="137"/>
      <c r="J1122" s="135"/>
      <c r="K1122" s="135"/>
      <c r="L1122" s="135"/>
      <c r="M1122" s="135"/>
      <c r="N1122" s="135"/>
      <c r="O1122" s="135"/>
      <c r="P1122" s="135"/>
      <c r="Q1122" s="135"/>
      <c r="R1122" s="135"/>
      <c r="S1122" s="135"/>
      <c r="T1122" s="135"/>
      <c r="U1122" s="135"/>
      <c r="V1122" s="135"/>
      <c r="W1122" s="135"/>
      <c r="X1122" s="135"/>
      <c r="Y1122" s="135"/>
      <c r="Z1122" s="135"/>
    </row>
    <row r="1123" spans="1:26" ht="12.75">
      <c r="A1123" s="136" t="s">
        <v>8</v>
      </c>
      <c r="B1123" s="136" t="s">
        <v>8</v>
      </c>
      <c r="C1123" s="136" t="s">
        <v>7561</v>
      </c>
      <c r="D1123" s="136" t="s">
        <v>7544</v>
      </c>
      <c r="E1123" s="136" t="s">
        <v>615</v>
      </c>
      <c r="F1123" s="136">
        <v>20</v>
      </c>
      <c r="G1123" s="137">
        <f t="shared" si="4"/>
        <v>9</v>
      </c>
      <c r="H1123" s="137"/>
      <c r="I1123" s="137"/>
      <c r="J1123" s="135"/>
      <c r="K1123" s="135"/>
      <c r="L1123" s="135"/>
      <c r="M1123" s="135"/>
      <c r="N1123" s="135"/>
      <c r="O1123" s="135"/>
      <c r="P1123" s="135"/>
      <c r="Q1123" s="135"/>
      <c r="R1123" s="135"/>
      <c r="S1123" s="135"/>
      <c r="T1123" s="135"/>
      <c r="U1123" s="135"/>
      <c r="V1123" s="135"/>
      <c r="W1123" s="135"/>
      <c r="X1123" s="135"/>
      <c r="Y1123" s="135"/>
      <c r="Z1123" s="135"/>
    </row>
    <row r="1124" spans="1:26" ht="12.75">
      <c r="A1124" s="136" t="s">
        <v>8</v>
      </c>
      <c r="B1124" s="136" t="s">
        <v>8</v>
      </c>
      <c r="C1124" s="136" t="s">
        <v>7561</v>
      </c>
      <c r="D1124" s="136" t="s">
        <v>7551</v>
      </c>
      <c r="E1124" s="136" t="s">
        <v>615</v>
      </c>
      <c r="F1124" s="136">
        <v>20</v>
      </c>
      <c r="G1124" s="137">
        <f t="shared" si="4"/>
        <v>10</v>
      </c>
      <c r="H1124" s="137"/>
      <c r="I1124" s="137"/>
      <c r="J1124" s="135"/>
      <c r="K1124" s="135"/>
      <c r="L1124" s="135"/>
      <c r="M1124" s="135"/>
      <c r="N1124" s="135"/>
      <c r="O1124" s="135"/>
      <c r="P1124" s="135"/>
      <c r="Q1124" s="135"/>
      <c r="R1124" s="135"/>
      <c r="S1124" s="135"/>
      <c r="T1124" s="135"/>
      <c r="U1124" s="135"/>
      <c r="V1124" s="135"/>
      <c r="W1124" s="135"/>
      <c r="X1124" s="135"/>
      <c r="Y1124" s="135"/>
      <c r="Z1124" s="135"/>
    </row>
    <row r="1125" spans="1:26" ht="12.75">
      <c r="A1125" s="136" t="s">
        <v>8</v>
      </c>
      <c r="B1125" s="136" t="s">
        <v>8</v>
      </c>
      <c r="C1125" s="136" t="s">
        <v>7561</v>
      </c>
      <c r="D1125" s="136" t="s">
        <v>1665</v>
      </c>
      <c r="E1125" s="136" t="s">
        <v>615</v>
      </c>
      <c r="F1125" s="136">
        <v>20</v>
      </c>
      <c r="G1125" s="137">
        <f t="shared" si="4"/>
        <v>11</v>
      </c>
      <c r="H1125" s="137"/>
      <c r="I1125" s="137"/>
      <c r="J1125" s="135"/>
      <c r="K1125" s="135"/>
      <c r="L1125" s="135"/>
      <c r="M1125" s="135"/>
      <c r="N1125" s="135"/>
      <c r="O1125" s="135"/>
      <c r="P1125" s="135"/>
      <c r="Q1125" s="135"/>
      <c r="R1125" s="135"/>
      <c r="S1125" s="135"/>
      <c r="T1125" s="135"/>
      <c r="U1125" s="135"/>
      <c r="V1125" s="135"/>
      <c r="W1125" s="135"/>
      <c r="X1125" s="135"/>
      <c r="Y1125" s="135"/>
      <c r="Z1125" s="135"/>
    </row>
    <row r="1126" spans="1:26" ht="12.75">
      <c r="A1126" s="136" t="s">
        <v>8</v>
      </c>
      <c r="B1126" s="136" t="s">
        <v>8</v>
      </c>
      <c r="C1126" s="136" t="s">
        <v>7561</v>
      </c>
      <c r="D1126" s="136" t="s">
        <v>7531</v>
      </c>
      <c r="E1126" s="136" t="s">
        <v>615</v>
      </c>
      <c r="F1126" s="136">
        <v>1</v>
      </c>
      <c r="G1126" s="137">
        <f t="shared" si="4"/>
        <v>12</v>
      </c>
      <c r="H1126" s="137"/>
      <c r="I1126" s="137"/>
      <c r="J1126" s="135"/>
      <c r="K1126" s="135"/>
      <c r="L1126" s="135"/>
      <c r="M1126" s="135"/>
      <c r="N1126" s="135"/>
      <c r="O1126" s="135"/>
      <c r="P1126" s="135"/>
      <c r="Q1126" s="135"/>
      <c r="R1126" s="135"/>
      <c r="S1126" s="135"/>
      <c r="T1126" s="135"/>
      <c r="U1126" s="135"/>
      <c r="V1126" s="135"/>
      <c r="W1126" s="135"/>
      <c r="X1126" s="135"/>
      <c r="Y1126" s="135"/>
      <c r="Z1126" s="135"/>
    </row>
    <row r="1127" spans="1:26" ht="12.75">
      <c r="A1127" s="136" t="s">
        <v>8</v>
      </c>
      <c r="B1127" s="136" t="s">
        <v>8</v>
      </c>
      <c r="C1127" s="136" t="s">
        <v>7561</v>
      </c>
      <c r="D1127" s="136" t="s">
        <v>7546</v>
      </c>
      <c r="E1127" s="136" t="s">
        <v>86</v>
      </c>
      <c r="F1127" s="136">
        <v>1</v>
      </c>
      <c r="G1127" s="137">
        <f t="shared" si="4"/>
        <v>13</v>
      </c>
      <c r="H1127" s="137"/>
      <c r="I1127" s="137"/>
      <c r="J1127" s="135"/>
      <c r="K1127" s="135"/>
      <c r="L1127" s="135"/>
      <c r="M1127" s="135"/>
      <c r="N1127" s="135"/>
      <c r="O1127" s="135"/>
      <c r="P1127" s="135"/>
      <c r="Q1127" s="135"/>
      <c r="R1127" s="135"/>
      <c r="S1127" s="135"/>
      <c r="T1127" s="135"/>
      <c r="U1127" s="135"/>
      <c r="V1127" s="135"/>
      <c r="W1127" s="135"/>
      <c r="X1127" s="135"/>
      <c r="Y1127" s="135"/>
      <c r="Z1127" s="135"/>
    </row>
    <row r="1128" spans="1:26" ht="12.75">
      <c r="A1128" s="136" t="s">
        <v>8</v>
      </c>
      <c r="B1128" s="136" t="s">
        <v>8</v>
      </c>
      <c r="C1128" s="136" t="s">
        <v>7562</v>
      </c>
      <c r="D1128" s="136" t="s">
        <v>165</v>
      </c>
      <c r="E1128" s="136" t="s">
        <v>615</v>
      </c>
      <c r="F1128" s="136">
        <v>550</v>
      </c>
      <c r="G1128" s="137">
        <f t="shared" si="4"/>
        <v>1</v>
      </c>
      <c r="H1128" s="137"/>
      <c r="I1128" s="137"/>
      <c r="J1128" s="135"/>
      <c r="K1128" s="135"/>
      <c r="L1128" s="135"/>
      <c r="M1128" s="135"/>
      <c r="N1128" s="135"/>
      <c r="O1128" s="135"/>
      <c r="P1128" s="135"/>
      <c r="Q1128" s="135"/>
      <c r="R1128" s="135"/>
      <c r="S1128" s="135"/>
      <c r="T1128" s="135"/>
      <c r="U1128" s="135"/>
      <c r="V1128" s="135"/>
      <c r="W1128" s="135"/>
      <c r="X1128" s="135"/>
      <c r="Y1128" s="135"/>
      <c r="Z1128" s="135"/>
    </row>
    <row r="1129" spans="1:26" ht="12.75">
      <c r="A1129" s="136" t="s">
        <v>8</v>
      </c>
      <c r="B1129" s="136" t="s">
        <v>8</v>
      </c>
      <c r="C1129" s="136" t="s">
        <v>7562</v>
      </c>
      <c r="D1129" s="136" t="s">
        <v>7530</v>
      </c>
      <c r="E1129" s="136" t="s">
        <v>85</v>
      </c>
      <c r="F1129" s="136">
        <v>112</v>
      </c>
      <c r="G1129" s="137">
        <f t="shared" si="4"/>
        <v>2</v>
      </c>
      <c r="H1129" s="137"/>
      <c r="I1129" s="137"/>
      <c r="J1129" s="135"/>
      <c r="K1129" s="135"/>
      <c r="L1129" s="135"/>
      <c r="M1129" s="135"/>
      <c r="N1129" s="135"/>
      <c r="O1129" s="135"/>
      <c r="P1129" s="135"/>
      <c r="Q1129" s="135"/>
      <c r="R1129" s="135"/>
      <c r="S1129" s="135"/>
      <c r="T1129" s="135"/>
      <c r="U1129" s="135"/>
      <c r="V1129" s="135"/>
      <c r="W1129" s="135"/>
      <c r="X1129" s="135"/>
      <c r="Y1129" s="135"/>
      <c r="Z1129" s="135"/>
    </row>
    <row r="1130" spans="1:26" ht="12.75">
      <c r="A1130" s="136" t="s">
        <v>8</v>
      </c>
      <c r="B1130" s="136" t="s">
        <v>8</v>
      </c>
      <c r="C1130" s="136" t="s">
        <v>7562</v>
      </c>
      <c r="D1130" s="136" t="s">
        <v>7551</v>
      </c>
      <c r="E1130" s="136" t="s">
        <v>615</v>
      </c>
      <c r="F1130" s="136">
        <v>70</v>
      </c>
      <c r="G1130" s="137">
        <f t="shared" si="4"/>
        <v>3</v>
      </c>
      <c r="H1130" s="137"/>
      <c r="I1130" s="137"/>
      <c r="J1130" s="135"/>
      <c r="K1130" s="135"/>
      <c r="L1130" s="135"/>
      <c r="M1130" s="135"/>
      <c r="N1130" s="135"/>
      <c r="O1130" s="135"/>
      <c r="P1130" s="135"/>
      <c r="Q1130" s="135"/>
      <c r="R1130" s="135"/>
      <c r="S1130" s="135"/>
      <c r="T1130" s="135"/>
      <c r="U1130" s="135"/>
      <c r="V1130" s="135"/>
      <c r="W1130" s="135"/>
      <c r="X1130" s="135"/>
      <c r="Y1130" s="135"/>
      <c r="Z1130" s="135"/>
    </row>
    <row r="1131" spans="1:26" ht="12.75">
      <c r="A1131" s="136" t="s">
        <v>8</v>
      </c>
      <c r="B1131" s="136" t="s">
        <v>8</v>
      </c>
      <c r="C1131" s="136" t="s">
        <v>7562</v>
      </c>
      <c r="D1131" s="136" t="s">
        <v>1665</v>
      </c>
      <c r="E1131" s="136" t="s">
        <v>615</v>
      </c>
      <c r="F1131" s="136">
        <v>70</v>
      </c>
      <c r="G1131" s="137">
        <f t="shared" si="4"/>
        <v>4</v>
      </c>
      <c r="H1131" s="137"/>
      <c r="I1131" s="137"/>
      <c r="J1131" s="135"/>
      <c r="K1131" s="135"/>
      <c r="L1131" s="135"/>
      <c r="M1131" s="135"/>
      <c r="N1131" s="135"/>
      <c r="O1131" s="135"/>
      <c r="P1131" s="135"/>
      <c r="Q1131" s="135"/>
      <c r="R1131" s="135"/>
      <c r="S1131" s="135"/>
      <c r="T1131" s="135"/>
      <c r="U1131" s="135"/>
      <c r="V1131" s="135"/>
      <c r="W1131" s="135"/>
      <c r="X1131" s="135"/>
      <c r="Y1131" s="135"/>
      <c r="Z1131" s="135"/>
    </row>
    <row r="1132" spans="1:26" ht="12.75">
      <c r="A1132" s="136" t="s">
        <v>8</v>
      </c>
      <c r="B1132" s="136" t="s">
        <v>8</v>
      </c>
      <c r="C1132" s="136" t="s">
        <v>7562</v>
      </c>
      <c r="D1132" s="136" t="s">
        <v>7491</v>
      </c>
      <c r="E1132" s="136" t="s">
        <v>615</v>
      </c>
      <c r="F1132" s="136">
        <v>60</v>
      </c>
      <c r="G1132" s="137">
        <f t="shared" si="4"/>
        <v>5</v>
      </c>
      <c r="H1132" s="137"/>
      <c r="I1132" s="137"/>
      <c r="J1132" s="135"/>
      <c r="K1132" s="135"/>
      <c r="L1132" s="135"/>
      <c r="M1132" s="135"/>
      <c r="N1132" s="135"/>
      <c r="O1132" s="135"/>
      <c r="P1132" s="135"/>
      <c r="Q1132" s="135"/>
      <c r="R1132" s="135"/>
      <c r="S1132" s="135"/>
      <c r="T1132" s="135"/>
      <c r="U1132" s="135"/>
      <c r="V1132" s="135"/>
      <c r="W1132" s="135"/>
      <c r="X1132" s="135"/>
      <c r="Y1132" s="135"/>
      <c r="Z1132" s="135"/>
    </row>
    <row r="1133" spans="1:26" ht="12.75">
      <c r="A1133" s="136" t="s">
        <v>8</v>
      </c>
      <c r="B1133" s="136" t="s">
        <v>8</v>
      </c>
      <c r="C1133" s="136" t="s">
        <v>7562</v>
      </c>
      <c r="D1133" s="136" t="s">
        <v>7544</v>
      </c>
      <c r="E1133" s="136" t="s">
        <v>615</v>
      </c>
      <c r="F1133" s="136">
        <v>60</v>
      </c>
      <c r="G1133" s="137">
        <f t="shared" si="4"/>
        <v>6</v>
      </c>
      <c r="H1133" s="137"/>
      <c r="I1133" s="137"/>
      <c r="J1133" s="135"/>
      <c r="K1133" s="135"/>
      <c r="L1133" s="135"/>
      <c r="M1133" s="135"/>
      <c r="N1133" s="135"/>
      <c r="O1133" s="135"/>
      <c r="P1133" s="135"/>
      <c r="Q1133" s="135"/>
      <c r="R1133" s="135"/>
      <c r="S1133" s="135"/>
      <c r="T1133" s="135"/>
      <c r="U1133" s="135"/>
      <c r="V1133" s="135"/>
      <c r="W1133" s="135"/>
      <c r="X1133" s="135"/>
      <c r="Y1133" s="135"/>
      <c r="Z1133" s="135"/>
    </row>
    <row r="1134" spans="1:26" ht="12.75">
      <c r="A1134" s="136" t="s">
        <v>8</v>
      </c>
      <c r="B1134" s="136" t="s">
        <v>8</v>
      </c>
      <c r="C1134" s="136" t="s">
        <v>7562</v>
      </c>
      <c r="D1134" s="136" t="s">
        <v>7533</v>
      </c>
      <c r="E1134" s="136" t="s">
        <v>594</v>
      </c>
      <c r="F1134" s="136">
        <v>58</v>
      </c>
      <c r="G1134" s="137">
        <f t="shared" si="4"/>
        <v>7</v>
      </c>
      <c r="H1134" s="137"/>
      <c r="I1134" s="137"/>
      <c r="J1134" s="135"/>
      <c r="K1134" s="135"/>
      <c r="L1134" s="135"/>
      <c r="M1134" s="135"/>
      <c r="N1134" s="135"/>
      <c r="O1134" s="135"/>
      <c r="P1134" s="135"/>
      <c r="Q1134" s="135"/>
      <c r="R1134" s="135"/>
      <c r="S1134" s="135"/>
      <c r="T1134" s="135"/>
      <c r="U1134" s="135"/>
      <c r="V1134" s="135"/>
      <c r="W1134" s="135"/>
      <c r="X1134" s="135"/>
      <c r="Y1134" s="135"/>
      <c r="Z1134" s="135"/>
    </row>
    <row r="1135" spans="1:26" ht="12.75">
      <c r="A1135" s="136" t="s">
        <v>8</v>
      </c>
      <c r="B1135" s="136" t="s">
        <v>8</v>
      </c>
      <c r="C1135" s="136" t="s">
        <v>7562</v>
      </c>
      <c r="D1135" s="136" t="s">
        <v>467</v>
      </c>
      <c r="E1135" s="136" t="s">
        <v>85</v>
      </c>
      <c r="F1135" s="136">
        <v>35</v>
      </c>
      <c r="G1135" s="137">
        <f t="shared" si="4"/>
        <v>8</v>
      </c>
      <c r="H1135" s="137"/>
      <c r="I1135" s="137"/>
      <c r="J1135" s="135"/>
      <c r="K1135" s="135"/>
      <c r="L1135" s="135"/>
      <c r="M1135" s="135"/>
      <c r="N1135" s="135"/>
      <c r="O1135" s="135"/>
      <c r="P1135" s="135"/>
      <c r="Q1135" s="135"/>
      <c r="R1135" s="135"/>
      <c r="S1135" s="135"/>
      <c r="T1135" s="135"/>
      <c r="U1135" s="135"/>
      <c r="V1135" s="135"/>
      <c r="W1135" s="135"/>
      <c r="X1135" s="135"/>
      <c r="Y1135" s="135"/>
      <c r="Z1135" s="135"/>
    </row>
    <row r="1136" spans="1:26" ht="12.75">
      <c r="A1136" s="136" t="s">
        <v>8</v>
      </c>
      <c r="B1136" s="136" t="s">
        <v>8</v>
      </c>
      <c r="C1136" s="136" t="s">
        <v>7562</v>
      </c>
      <c r="D1136" s="136" t="s">
        <v>7531</v>
      </c>
      <c r="E1136" s="136" t="s">
        <v>615</v>
      </c>
      <c r="F1136" s="136">
        <v>20</v>
      </c>
      <c r="G1136" s="137">
        <f t="shared" si="4"/>
        <v>9</v>
      </c>
      <c r="H1136" s="137"/>
      <c r="I1136" s="137"/>
      <c r="J1136" s="135"/>
      <c r="K1136" s="135"/>
      <c r="L1136" s="135"/>
      <c r="M1136" s="135"/>
      <c r="N1136" s="135"/>
      <c r="O1136" s="135"/>
      <c r="P1136" s="135"/>
      <c r="Q1136" s="135"/>
      <c r="R1136" s="135"/>
      <c r="S1136" s="135"/>
      <c r="T1136" s="135"/>
      <c r="U1136" s="135"/>
      <c r="V1136" s="135"/>
      <c r="W1136" s="135"/>
      <c r="X1136" s="135"/>
      <c r="Y1136" s="135"/>
      <c r="Z1136" s="135"/>
    </row>
    <row r="1137" spans="1:26" ht="12.75">
      <c r="A1137" s="136" t="s">
        <v>8</v>
      </c>
      <c r="B1137" s="136" t="s">
        <v>8</v>
      </c>
      <c r="C1137" s="136" t="s">
        <v>7562</v>
      </c>
      <c r="D1137" s="136" t="s">
        <v>139</v>
      </c>
      <c r="E1137" s="136" t="s">
        <v>594</v>
      </c>
      <c r="F1137" s="136">
        <v>14</v>
      </c>
      <c r="G1137" s="137">
        <f t="shared" si="4"/>
        <v>10</v>
      </c>
      <c r="H1137" s="137"/>
      <c r="I1137" s="137"/>
      <c r="J1137" s="135"/>
      <c r="K1137" s="135"/>
      <c r="L1137" s="135"/>
      <c r="M1137" s="135"/>
      <c r="N1137" s="135"/>
      <c r="O1137" s="135"/>
      <c r="P1137" s="135"/>
      <c r="Q1137" s="135"/>
      <c r="R1137" s="135"/>
      <c r="S1137" s="135"/>
      <c r="T1137" s="135"/>
      <c r="U1137" s="135"/>
      <c r="V1137" s="135"/>
      <c r="W1137" s="135"/>
      <c r="X1137" s="135"/>
      <c r="Y1137" s="135"/>
      <c r="Z1137" s="135"/>
    </row>
    <row r="1138" spans="1:26" ht="12.75">
      <c r="A1138" s="136" t="s">
        <v>8</v>
      </c>
      <c r="B1138" s="136" t="s">
        <v>8</v>
      </c>
      <c r="C1138" s="136" t="s">
        <v>7562</v>
      </c>
      <c r="D1138" s="136" t="s">
        <v>1682</v>
      </c>
      <c r="E1138" s="136" t="s">
        <v>86</v>
      </c>
      <c r="F1138" s="136">
        <v>5</v>
      </c>
      <c r="G1138" s="137">
        <f t="shared" si="4"/>
        <v>11</v>
      </c>
      <c r="H1138" s="137"/>
      <c r="I1138" s="137"/>
      <c r="J1138" s="135"/>
      <c r="K1138" s="135"/>
      <c r="L1138" s="135"/>
      <c r="M1138" s="135"/>
      <c r="N1138" s="135"/>
      <c r="O1138" s="135"/>
      <c r="P1138" s="135"/>
      <c r="Q1138" s="135"/>
      <c r="R1138" s="135"/>
      <c r="S1138" s="135"/>
      <c r="T1138" s="135"/>
      <c r="U1138" s="135"/>
      <c r="V1138" s="135"/>
      <c r="W1138" s="135"/>
      <c r="X1138" s="135"/>
      <c r="Y1138" s="135"/>
      <c r="Z1138" s="135"/>
    </row>
    <row r="1139" spans="1:26" ht="12.75">
      <c r="A1139" s="136" t="s">
        <v>8</v>
      </c>
      <c r="B1139" s="136" t="s">
        <v>8</v>
      </c>
      <c r="C1139" s="136" t="s">
        <v>552</v>
      </c>
      <c r="D1139" s="136" t="s">
        <v>165</v>
      </c>
      <c r="E1139" s="136" t="s">
        <v>615</v>
      </c>
      <c r="F1139" s="136">
        <v>720</v>
      </c>
      <c r="G1139" s="137">
        <f t="shared" si="4"/>
        <v>1</v>
      </c>
      <c r="H1139" s="137"/>
      <c r="I1139" s="137"/>
      <c r="J1139" s="135"/>
      <c r="K1139" s="135"/>
      <c r="L1139" s="135"/>
      <c r="M1139" s="135"/>
      <c r="N1139" s="135"/>
      <c r="O1139" s="135"/>
      <c r="P1139" s="135"/>
      <c r="Q1139" s="135"/>
      <c r="R1139" s="135"/>
      <c r="S1139" s="135"/>
      <c r="T1139" s="135"/>
      <c r="U1139" s="135"/>
      <c r="V1139" s="135"/>
      <c r="W1139" s="135"/>
      <c r="X1139" s="135"/>
      <c r="Y1139" s="135"/>
      <c r="Z1139" s="135"/>
    </row>
    <row r="1140" spans="1:26" ht="12.75">
      <c r="A1140" s="136" t="s">
        <v>8</v>
      </c>
      <c r="B1140" s="136" t="s">
        <v>8</v>
      </c>
      <c r="C1140" s="136" t="s">
        <v>552</v>
      </c>
      <c r="D1140" s="136" t="s">
        <v>7530</v>
      </c>
      <c r="E1140" s="136" t="s">
        <v>85</v>
      </c>
      <c r="F1140" s="136">
        <v>609</v>
      </c>
      <c r="G1140" s="137">
        <f t="shared" si="4"/>
        <v>2</v>
      </c>
      <c r="H1140" s="137"/>
      <c r="I1140" s="137"/>
      <c r="J1140" s="135"/>
      <c r="K1140" s="135"/>
      <c r="L1140" s="135"/>
      <c r="M1140" s="135"/>
      <c r="N1140" s="135"/>
      <c r="O1140" s="135"/>
      <c r="P1140" s="135"/>
      <c r="Q1140" s="135"/>
      <c r="R1140" s="135"/>
      <c r="S1140" s="135"/>
      <c r="T1140" s="135"/>
      <c r="U1140" s="135"/>
      <c r="V1140" s="135"/>
      <c r="W1140" s="135"/>
      <c r="X1140" s="135"/>
      <c r="Y1140" s="135"/>
      <c r="Z1140" s="135"/>
    </row>
    <row r="1141" spans="1:26" ht="12.75">
      <c r="A1141" s="136" t="s">
        <v>8</v>
      </c>
      <c r="B1141" s="136" t="s">
        <v>8</v>
      </c>
      <c r="C1141" s="136" t="s">
        <v>552</v>
      </c>
      <c r="D1141" s="136" t="s">
        <v>467</v>
      </c>
      <c r="E1141" s="136" t="s">
        <v>85</v>
      </c>
      <c r="F1141" s="136">
        <v>425</v>
      </c>
      <c r="G1141" s="137">
        <f t="shared" si="4"/>
        <v>3</v>
      </c>
      <c r="H1141" s="137"/>
      <c r="I1141" s="137"/>
      <c r="J1141" s="135"/>
      <c r="K1141" s="135"/>
      <c r="L1141" s="135"/>
      <c r="M1141" s="135"/>
      <c r="N1141" s="135"/>
      <c r="O1141" s="135"/>
      <c r="P1141" s="135"/>
      <c r="Q1141" s="135"/>
      <c r="R1141" s="135"/>
      <c r="S1141" s="135"/>
      <c r="T1141" s="135"/>
      <c r="U1141" s="135"/>
      <c r="V1141" s="135"/>
      <c r="W1141" s="135"/>
      <c r="X1141" s="135"/>
      <c r="Y1141" s="135"/>
      <c r="Z1141" s="135"/>
    </row>
    <row r="1142" spans="1:26" ht="12.75">
      <c r="A1142" s="136" t="s">
        <v>8</v>
      </c>
      <c r="B1142" s="136" t="s">
        <v>8</v>
      </c>
      <c r="C1142" s="136" t="s">
        <v>552</v>
      </c>
      <c r="D1142" s="136" t="s">
        <v>1665</v>
      </c>
      <c r="E1142" s="136" t="s">
        <v>615</v>
      </c>
      <c r="F1142" s="136">
        <v>200</v>
      </c>
      <c r="G1142" s="137">
        <f t="shared" si="4"/>
        <v>4</v>
      </c>
      <c r="H1142" s="137"/>
      <c r="I1142" s="137"/>
      <c r="J1142" s="135"/>
      <c r="K1142" s="135"/>
      <c r="L1142" s="135"/>
      <c r="M1142" s="135"/>
      <c r="N1142" s="135"/>
      <c r="O1142" s="135"/>
      <c r="P1142" s="135"/>
      <c r="Q1142" s="135"/>
      <c r="R1142" s="135"/>
      <c r="S1142" s="135"/>
      <c r="T1142" s="135"/>
      <c r="U1142" s="135"/>
      <c r="V1142" s="135"/>
      <c r="W1142" s="135"/>
      <c r="X1142" s="135"/>
      <c r="Y1142" s="135"/>
      <c r="Z1142" s="135"/>
    </row>
    <row r="1143" spans="1:26" ht="12.75">
      <c r="A1143" s="136" t="s">
        <v>8</v>
      </c>
      <c r="B1143" s="136" t="s">
        <v>8</v>
      </c>
      <c r="C1143" s="136" t="s">
        <v>552</v>
      </c>
      <c r="D1143" s="136" t="s">
        <v>7551</v>
      </c>
      <c r="E1143" s="136" t="s">
        <v>615</v>
      </c>
      <c r="F1143" s="136">
        <v>140</v>
      </c>
      <c r="G1143" s="137">
        <f t="shared" si="4"/>
        <v>5</v>
      </c>
      <c r="H1143" s="137"/>
      <c r="I1143" s="137"/>
      <c r="J1143" s="135"/>
      <c r="K1143" s="135"/>
      <c r="L1143" s="135"/>
      <c r="M1143" s="135"/>
      <c r="N1143" s="135"/>
      <c r="O1143" s="135"/>
      <c r="P1143" s="135"/>
      <c r="Q1143" s="135"/>
      <c r="R1143" s="135"/>
      <c r="S1143" s="135"/>
      <c r="T1143" s="135"/>
      <c r="U1143" s="135"/>
      <c r="V1143" s="135"/>
      <c r="W1143" s="135"/>
      <c r="X1143" s="135"/>
      <c r="Y1143" s="135"/>
      <c r="Z1143" s="135"/>
    </row>
    <row r="1144" spans="1:26" ht="12.75">
      <c r="A1144" s="136" t="s">
        <v>8</v>
      </c>
      <c r="B1144" s="136" t="s">
        <v>8</v>
      </c>
      <c r="C1144" s="136" t="s">
        <v>552</v>
      </c>
      <c r="D1144" s="136" t="s">
        <v>7533</v>
      </c>
      <c r="E1144" s="136" t="s">
        <v>594</v>
      </c>
      <c r="F1144" s="136">
        <v>139</v>
      </c>
      <c r="G1144" s="137">
        <f t="shared" si="4"/>
        <v>6</v>
      </c>
      <c r="H1144" s="137"/>
      <c r="I1144" s="137"/>
      <c r="J1144" s="135"/>
      <c r="K1144" s="135"/>
      <c r="L1144" s="135"/>
      <c r="M1144" s="135"/>
      <c r="N1144" s="135"/>
      <c r="O1144" s="135"/>
      <c r="P1144" s="135"/>
      <c r="Q1144" s="135"/>
      <c r="R1144" s="135"/>
      <c r="S1144" s="135"/>
      <c r="T1144" s="135"/>
      <c r="U1144" s="135"/>
      <c r="V1144" s="135"/>
      <c r="W1144" s="135"/>
      <c r="X1144" s="135"/>
      <c r="Y1144" s="135"/>
      <c r="Z1144" s="135"/>
    </row>
    <row r="1145" spans="1:26" ht="12.75">
      <c r="A1145" s="136" t="s">
        <v>8</v>
      </c>
      <c r="B1145" s="136" t="s">
        <v>8</v>
      </c>
      <c r="C1145" s="136" t="s">
        <v>552</v>
      </c>
      <c r="D1145" s="136" t="s">
        <v>139</v>
      </c>
      <c r="E1145" s="136" t="s">
        <v>594</v>
      </c>
      <c r="F1145" s="136">
        <v>130</v>
      </c>
      <c r="G1145" s="137">
        <f t="shared" si="4"/>
        <v>7</v>
      </c>
      <c r="H1145" s="137"/>
      <c r="I1145" s="137"/>
      <c r="J1145" s="135"/>
      <c r="K1145" s="135"/>
      <c r="L1145" s="135"/>
      <c r="M1145" s="135"/>
      <c r="N1145" s="135"/>
      <c r="O1145" s="135"/>
      <c r="P1145" s="135"/>
      <c r="Q1145" s="135"/>
      <c r="R1145" s="135"/>
      <c r="S1145" s="135"/>
      <c r="T1145" s="135"/>
      <c r="U1145" s="135"/>
      <c r="V1145" s="135"/>
      <c r="W1145" s="135"/>
      <c r="X1145" s="135"/>
      <c r="Y1145" s="135"/>
      <c r="Z1145" s="135"/>
    </row>
    <row r="1146" spans="1:26" ht="12.75">
      <c r="A1146" s="136" t="s">
        <v>8</v>
      </c>
      <c r="B1146" s="136" t="s">
        <v>8</v>
      </c>
      <c r="C1146" s="136" t="s">
        <v>552</v>
      </c>
      <c r="D1146" s="136" t="s">
        <v>7544</v>
      </c>
      <c r="E1146" s="136" t="s">
        <v>615</v>
      </c>
      <c r="F1146" s="136">
        <v>110</v>
      </c>
      <c r="G1146" s="137">
        <f t="shared" si="4"/>
        <v>8</v>
      </c>
      <c r="H1146" s="137"/>
      <c r="I1146" s="137"/>
      <c r="J1146" s="135"/>
      <c r="K1146" s="135"/>
      <c r="L1146" s="135"/>
      <c r="M1146" s="135"/>
      <c r="N1146" s="135"/>
      <c r="O1146" s="135"/>
      <c r="P1146" s="135"/>
      <c r="Q1146" s="135"/>
      <c r="R1146" s="135"/>
      <c r="S1146" s="135"/>
      <c r="T1146" s="135"/>
      <c r="U1146" s="135"/>
      <c r="V1146" s="135"/>
      <c r="W1146" s="135"/>
      <c r="X1146" s="135"/>
      <c r="Y1146" s="135"/>
      <c r="Z1146" s="135"/>
    </row>
    <row r="1147" spans="1:26" ht="12.75">
      <c r="A1147" s="136" t="s">
        <v>8</v>
      </c>
      <c r="B1147" s="136" t="s">
        <v>8</v>
      </c>
      <c r="C1147" s="136" t="s">
        <v>552</v>
      </c>
      <c r="D1147" s="136" t="s">
        <v>7491</v>
      </c>
      <c r="E1147" s="136" t="s">
        <v>615</v>
      </c>
      <c r="F1147" s="136">
        <v>100</v>
      </c>
      <c r="G1147" s="137">
        <f t="shared" si="4"/>
        <v>9</v>
      </c>
      <c r="H1147" s="137"/>
      <c r="I1147" s="137"/>
      <c r="J1147" s="135"/>
      <c r="K1147" s="135"/>
      <c r="L1147" s="135"/>
      <c r="M1147" s="135"/>
      <c r="N1147" s="135"/>
      <c r="O1147" s="135"/>
      <c r="P1147" s="135"/>
      <c r="Q1147" s="135"/>
      <c r="R1147" s="135"/>
      <c r="S1147" s="135"/>
      <c r="T1147" s="135"/>
      <c r="U1147" s="135"/>
      <c r="V1147" s="135"/>
      <c r="W1147" s="135"/>
      <c r="X1147" s="135"/>
      <c r="Y1147" s="135"/>
      <c r="Z1147" s="135"/>
    </row>
    <row r="1148" spans="1:26" ht="12.75">
      <c r="A1148" s="136" t="s">
        <v>8</v>
      </c>
      <c r="B1148" s="136" t="s">
        <v>8</v>
      </c>
      <c r="C1148" s="136" t="s">
        <v>552</v>
      </c>
      <c r="D1148" s="136" t="s">
        <v>7531</v>
      </c>
      <c r="E1148" s="136" t="s">
        <v>615</v>
      </c>
      <c r="F1148" s="136">
        <v>60</v>
      </c>
      <c r="G1148" s="137">
        <f t="shared" si="4"/>
        <v>10</v>
      </c>
      <c r="H1148" s="137"/>
      <c r="I1148" s="137"/>
      <c r="J1148" s="135"/>
      <c r="K1148" s="135"/>
      <c r="L1148" s="135"/>
      <c r="M1148" s="135"/>
      <c r="N1148" s="135"/>
      <c r="O1148" s="135"/>
      <c r="P1148" s="135"/>
      <c r="Q1148" s="135"/>
      <c r="R1148" s="135"/>
      <c r="S1148" s="135"/>
      <c r="T1148" s="135"/>
      <c r="U1148" s="135"/>
      <c r="V1148" s="135"/>
      <c r="W1148" s="135"/>
      <c r="X1148" s="135"/>
      <c r="Y1148" s="135"/>
      <c r="Z1148" s="135"/>
    </row>
    <row r="1149" spans="1:26" ht="12.75">
      <c r="A1149" s="136" t="s">
        <v>8</v>
      </c>
      <c r="B1149" s="136" t="s">
        <v>8</v>
      </c>
      <c r="C1149" s="136" t="s">
        <v>552</v>
      </c>
      <c r="D1149" s="136" t="s">
        <v>107</v>
      </c>
      <c r="E1149" s="136" t="s">
        <v>615</v>
      </c>
      <c r="F1149" s="136">
        <v>20</v>
      </c>
      <c r="G1149" s="137">
        <f t="shared" si="4"/>
        <v>11</v>
      </c>
      <c r="H1149" s="137"/>
      <c r="I1149" s="137"/>
      <c r="J1149" s="135"/>
      <c r="K1149" s="135"/>
      <c r="L1149" s="135"/>
      <c r="M1149" s="135"/>
      <c r="N1149" s="135"/>
      <c r="O1149" s="135"/>
      <c r="P1149" s="135"/>
      <c r="Q1149" s="135"/>
      <c r="R1149" s="135"/>
      <c r="S1149" s="135"/>
      <c r="T1149" s="135"/>
      <c r="U1149" s="135"/>
      <c r="V1149" s="135"/>
      <c r="W1149" s="135"/>
      <c r="X1149" s="135"/>
      <c r="Y1149" s="135"/>
      <c r="Z1149" s="135"/>
    </row>
    <row r="1150" spans="1:26" ht="12.75">
      <c r="A1150" s="136" t="s">
        <v>8</v>
      </c>
      <c r="B1150" s="136" t="s">
        <v>8</v>
      </c>
      <c r="C1150" s="136" t="s">
        <v>147</v>
      </c>
      <c r="D1150" s="136" t="s">
        <v>165</v>
      </c>
      <c r="E1150" s="136" t="s">
        <v>615</v>
      </c>
      <c r="F1150" s="136">
        <v>414</v>
      </c>
      <c r="G1150" s="137">
        <f t="shared" si="4"/>
        <v>6</v>
      </c>
      <c r="H1150" s="137"/>
      <c r="I1150" s="137"/>
      <c r="J1150" s="135"/>
      <c r="K1150" s="135"/>
      <c r="L1150" s="135"/>
      <c r="M1150" s="135"/>
      <c r="N1150" s="135"/>
      <c r="O1150" s="135"/>
      <c r="P1150" s="135"/>
      <c r="Q1150" s="135"/>
      <c r="R1150" s="135"/>
      <c r="S1150" s="135"/>
      <c r="T1150" s="135"/>
      <c r="U1150" s="135"/>
      <c r="V1150" s="135"/>
      <c r="W1150" s="135"/>
      <c r="X1150" s="135"/>
      <c r="Y1150" s="135"/>
      <c r="Z1150" s="135"/>
    </row>
    <row r="1151" spans="1:26" ht="12.75">
      <c r="A1151" s="136" t="s">
        <v>8</v>
      </c>
      <c r="B1151" s="136" t="s">
        <v>8</v>
      </c>
      <c r="C1151" s="136" t="s">
        <v>147</v>
      </c>
      <c r="D1151" s="136" t="s">
        <v>7537</v>
      </c>
      <c r="E1151" s="136" t="s">
        <v>86</v>
      </c>
      <c r="F1151" s="136">
        <v>414</v>
      </c>
      <c r="G1151" s="137">
        <f t="shared" si="4"/>
        <v>7</v>
      </c>
      <c r="H1151" s="137"/>
      <c r="I1151" s="137"/>
      <c r="J1151" s="135"/>
      <c r="K1151" s="135"/>
      <c r="L1151" s="135"/>
      <c r="M1151" s="135"/>
      <c r="N1151" s="135"/>
      <c r="O1151" s="135"/>
      <c r="P1151" s="135"/>
      <c r="Q1151" s="135"/>
      <c r="R1151" s="135"/>
      <c r="S1151" s="135"/>
      <c r="T1151" s="135"/>
      <c r="U1151" s="135"/>
      <c r="V1151" s="135"/>
      <c r="W1151" s="135"/>
      <c r="X1151" s="135"/>
      <c r="Y1151" s="135"/>
      <c r="Z1151" s="135"/>
    </row>
    <row r="1152" spans="1:26" ht="12.75">
      <c r="A1152" s="136" t="s">
        <v>8</v>
      </c>
      <c r="B1152" s="136" t="s">
        <v>8</v>
      </c>
      <c r="C1152" s="136" t="s">
        <v>147</v>
      </c>
      <c r="D1152" s="136" t="s">
        <v>7546</v>
      </c>
      <c r="E1152" s="136" t="s">
        <v>86</v>
      </c>
      <c r="F1152" s="136">
        <v>385</v>
      </c>
      <c r="G1152" s="137">
        <f t="shared" si="4"/>
        <v>8</v>
      </c>
      <c r="H1152" s="137"/>
      <c r="I1152" s="137"/>
      <c r="J1152" s="135"/>
      <c r="K1152" s="135"/>
      <c r="L1152" s="135"/>
      <c r="M1152" s="135"/>
      <c r="N1152" s="135"/>
      <c r="O1152" s="135"/>
      <c r="P1152" s="135"/>
      <c r="Q1152" s="135"/>
      <c r="R1152" s="135"/>
      <c r="S1152" s="135"/>
      <c r="T1152" s="135"/>
      <c r="U1152" s="135"/>
      <c r="V1152" s="135"/>
      <c r="W1152" s="135"/>
      <c r="X1152" s="135"/>
      <c r="Y1152" s="135"/>
      <c r="Z1152" s="135"/>
    </row>
    <row r="1153" spans="1:26" ht="12.75">
      <c r="A1153" s="136" t="s">
        <v>8</v>
      </c>
      <c r="B1153" s="136" t="s">
        <v>8</v>
      </c>
      <c r="C1153" s="136" t="s">
        <v>147</v>
      </c>
      <c r="D1153" s="136" t="s">
        <v>7536</v>
      </c>
      <c r="E1153" s="136" t="s">
        <v>86</v>
      </c>
      <c r="F1153" s="136">
        <v>345</v>
      </c>
      <c r="G1153" s="137">
        <f t="shared" si="4"/>
        <v>10</v>
      </c>
      <c r="H1153" s="137"/>
      <c r="I1153" s="137"/>
      <c r="J1153" s="135"/>
      <c r="K1153" s="135"/>
      <c r="L1153" s="135"/>
      <c r="M1153" s="135"/>
      <c r="N1153" s="135"/>
      <c r="O1153" s="135"/>
      <c r="P1153" s="135"/>
      <c r="Q1153" s="135"/>
      <c r="R1153" s="135"/>
      <c r="S1153" s="135"/>
      <c r="T1153" s="135"/>
      <c r="U1153" s="135"/>
      <c r="V1153" s="135"/>
      <c r="W1153" s="135"/>
      <c r="X1153" s="135"/>
      <c r="Y1153" s="135"/>
      <c r="Z1153" s="135"/>
    </row>
    <row r="1154" spans="1:26" ht="12.75">
      <c r="A1154" s="136" t="s">
        <v>8</v>
      </c>
      <c r="B1154" s="136" t="s">
        <v>8</v>
      </c>
      <c r="C1154" s="136" t="s">
        <v>147</v>
      </c>
      <c r="D1154" s="136" t="s">
        <v>7491</v>
      </c>
      <c r="E1154" s="136" t="s">
        <v>615</v>
      </c>
      <c r="F1154" s="136">
        <v>90</v>
      </c>
      <c r="G1154" s="137">
        <f t="shared" si="4"/>
        <v>21</v>
      </c>
      <c r="H1154" s="137"/>
      <c r="I1154" s="137"/>
      <c r="J1154" s="135"/>
      <c r="K1154" s="135"/>
      <c r="L1154" s="135"/>
      <c r="M1154" s="135"/>
      <c r="N1154" s="135"/>
      <c r="O1154" s="135"/>
      <c r="P1154" s="135"/>
      <c r="Q1154" s="135"/>
      <c r="R1154" s="135"/>
      <c r="S1154" s="135"/>
      <c r="T1154" s="135"/>
      <c r="U1154" s="135"/>
      <c r="V1154" s="135"/>
      <c r="W1154" s="135"/>
      <c r="X1154" s="135"/>
      <c r="Y1154" s="135"/>
      <c r="Z1154" s="135"/>
    </row>
    <row r="1155" spans="1:26" ht="12.75">
      <c r="A1155" s="136" t="s">
        <v>8</v>
      </c>
      <c r="B1155" s="136" t="s">
        <v>8</v>
      </c>
      <c r="C1155" s="136" t="s">
        <v>147</v>
      </c>
      <c r="D1155" s="136" t="s">
        <v>7551</v>
      </c>
      <c r="E1155" s="136" t="s">
        <v>615</v>
      </c>
      <c r="F1155" s="136">
        <v>90</v>
      </c>
      <c r="G1155" s="137">
        <f t="shared" si="4"/>
        <v>22</v>
      </c>
      <c r="H1155" s="137"/>
      <c r="I1155" s="137"/>
      <c r="J1155" s="135"/>
      <c r="K1155" s="135"/>
      <c r="L1155" s="135"/>
      <c r="M1155" s="135"/>
      <c r="N1155" s="135"/>
      <c r="O1155" s="135"/>
      <c r="P1155" s="135"/>
      <c r="Q1155" s="135"/>
      <c r="R1155" s="135"/>
      <c r="S1155" s="135"/>
      <c r="T1155" s="135"/>
      <c r="U1155" s="135"/>
      <c r="V1155" s="135"/>
      <c r="W1155" s="135"/>
      <c r="X1155" s="135"/>
      <c r="Y1155" s="135"/>
      <c r="Z1155" s="135"/>
    </row>
    <row r="1156" spans="1:26" ht="12.75">
      <c r="A1156" s="136" t="s">
        <v>8</v>
      </c>
      <c r="B1156" s="136" t="s">
        <v>8</v>
      </c>
      <c r="C1156" s="136" t="s">
        <v>147</v>
      </c>
      <c r="D1156" s="136" t="s">
        <v>7533</v>
      </c>
      <c r="E1156" s="136" t="s">
        <v>594</v>
      </c>
      <c r="F1156" s="136">
        <v>78</v>
      </c>
      <c r="G1156" s="137">
        <f t="shared" si="4"/>
        <v>24</v>
      </c>
      <c r="H1156" s="137"/>
      <c r="I1156" s="137"/>
      <c r="J1156" s="135"/>
      <c r="K1156" s="135"/>
      <c r="L1156" s="135"/>
      <c r="M1156" s="135"/>
      <c r="N1156" s="135"/>
      <c r="O1156" s="135"/>
      <c r="P1156" s="135"/>
      <c r="Q1156" s="135"/>
      <c r="R1156" s="135"/>
      <c r="S1156" s="135"/>
      <c r="T1156" s="135"/>
      <c r="U1156" s="135"/>
      <c r="V1156" s="135"/>
      <c r="W1156" s="135"/>
      <c r="X1156" s="135"/>
      <c r="Y1156" s="135"/>
      <c r="Z1156" s="135"/>
    </row>
    <row r="1157" spans="1:26" ht="12.75">
      <c r="A1157" s="136" t="s">
        <v>8</v>
      </c>
      <c r="B1157" s="136" t="s">
        <v>8</v>
      </c>
      <c r="C1157" s="136" t="s">
        <v>147</v>
      </c>
      <c r="D1157" s="136" t="s">
        <v>1665</v>
      </c>
      <c r="E1157" s="136" t="s">
        <v>615</v>
      </c>
      <c r="F1157" s="136">
        <v>70</v>
      </c>
      <c r="G1157" s="137">
        <f t="shared" si="4"/>
        <v>25</v>
      </c>
      <c r="H1157" s="137"/>
      <c r="I1157" s="137"/>
      <c r="J1157" s="135"/>
      <c r="K1157" s="135"/>
      <c r="L1157" s="135"/>
      <c r="M1157" s="135"/>
      <c r="N1157" s="135"/>
      <c r="O1157" s="135"/>
      <c r="P1157" s="135"/>
      <c r="Q1157" s="135"/>
      <c r="R1157" s="135"/>
      <c r="S1157" s="135"/>
      <c r="T1157" s="135"/>
      <c r="U1157" s="135"/>
      <c r="V1157" s="135"/>
      <c r="W1157" s="135"/>
      <c r="X1157" s="135"/>
      <c r="Y1157" s="135"/>
      <c r="Z1157" s="135"/>
    </row>
    <row r="1158" spans="1:26" ht="12.75">
      <c r="A1158" s="136" t="s">
        <v>8</v>
      </c>
      <c r="B1158" s="136" t="s">
        <v>8</v>
      </c>
      <c r="C1158" s="136" t="s">
        <v>147</v>
      </c>
      <c r="D1158" s="136" t="s">
        <v>7544</v>
      </c>
      <c r="E1158" s="136" t="s">
        <v>615</v>
      </c>
      <c r="F1158" s="136">
        <v>60</v>
      </c>
      <c r="G1158" s="137">
        <f t="shared" si="4"/>
        <v>26</v>
      </c>
      <c r="H1158" s="137"/>
      <c r="I1158" s="137"/>
      <c r="J1158" s="135"/>
      <c r="K1158" s="135"/>
      <c r="L1158" s="135"/>
      <c r="M1158" s="135"/>
      <c r="N1158" s="135"/>
      <c r="O1158" s="135"/>
      <c r="P1158" s="135"/>
      <c r="Q1158" s="135"/>
      <c r="R1158" s="135"/>
      <c r="S1158" s="135"/>
      <c r="T1158" s="135"/>
      <c r="U1158" s="135"/>
      <c r="V1158" s="135"/>
      <c r="W1158" s="135"/>
      <c r="X1158" s="135"/>
      <c r="Y1158" s="135"/>
      <c r="Z1158" s="135"/>
    </row>
    <row r="1159" spans="1:26" ht="12.75">
      <c r="A1159" s="136" t="s">
        <v>8</v>
      </c>
      <c r="B1159" s="136" t="s">
        <v>8</v>
      </c>
      <c r="C1159" s="136" t="s">
        <v>147</v>
      </c>
      <c r="D1159" s="136" t="s">
        <v>7530</v>
      </c>
      <c r="E1159" s="136" t="s">
        <v>85</v>
      </c>
      <c r="F1159" s="136">
        <v>46</v>
      </c>
      <c r="G1159" s="137">
        <f t="shared" si="4"/>
        <v>27</v>
      </c>
      <c r="H1159" s="137"/>
      <c r="I1159" s="137"/>
      <c r="J1159" s="135"/>
      <c r="K1159" s="135"/>
      <c r="L1159" s="135"/>
      <c r="M1159" s="135"/>
      <c r="N1159" s="135"/>
      <c r="O1159" s="135"/>
      <c r="P1159" s="135"/>
      <c r="Q1159" s="135"/>
      <c r="R1159" s="135"/>
      <c r="S1159" s="135"/>
      <c r="T1159" s="135"/>
      <c r="U1159" s="135"/>
      <c r="V1159" s="135"/>
      <c r="W1159" s="135"/>
      <c r="X1159" s="135"/>
      <c r="Y1159" s="135"/>
      <c r="Z1159" s="135"/>
    </row>
    <row r="1160" spans="1:26" ht="12.75">
      <c r="A1160" s="136" t="s">
        <v>8</v>
      </c>
      <c r="B1160" s="136" t="s">
        <v>8</v>
      </c>
      <c r="C1160" s="136" t="s">
        <v>147</v>
      </c>
      <c r="D1160" s="136" t="s">
        <v>139</v>
      </c>
      <c r="E1160" s="136" t="s">
        <v>594</v>
      </c>
      <c r="F1160" s="136">
        <v>40</v>
      </c>
      <c r="G1160" s="137">
        <f t="shared" si="4"/>
        <v>28</v>
      </c>
      <c r="H1160" s="137"/>
      <c r="I1160" s="137"/>
      <c r="J1160" s="135"/>
      <c r="K1160" s="135"/>
      <c r="L1160" s="135"/>
      <c r="M1160" s="135"/>
      <c r="N1160" s="135"/>
      <c r="O1160" s="135"/>
      <c r="P1160" s="135"/>
      <c r="Q1160" s="135"/>
      <c r="R1160" s="135"/>
      <c r="S1160" s="135"/>
      <c r="T1160" s="135"/>
      <c r="U1160" s="135"/>
      <c r="V1160" s="135"/>
      <c r="W1160" s="135"/>
      <c r="X1160" s="135"/>
      <c r="Y1160" s="135"/>
      <c r="Z1160" s="135"/>
    </row>
    <row r="1161" spans="1:26" ht="12.75">
      <c r="A1161" s="136" t="s">
        <v>8</v>
      </c>
      <c r="B1161" s="136" t="s">
        <v>8</v>
      </c>
      <c r="C1161" s="136" t="s">
        <v>147</v>
      </c>
      <c r="D1161" s="136" t="s">
        <v>107</v>
      </c>
      <c r="E1161" s="136" t="s">
        <v>615</v>
      </c>
      <c r="F1161" s="136">
        <v>40</v>
      </c>
      <c r="G1161" s="137">
        <f t="shared" si="4"/>
        <v>29</v>
      </c>
      <c r="H1161" s="137"/>
      <c r="I1161" s="137"/>
      <c r="J1161" s="135"/>
      <c r="K1161" s="135"/>
      <c r="L1161" s="135"/>
      <c r="M1161" s="135"/>
      <c r="N1161" s="135"/>
      <c r="O1161" s="135"/>
      <c r="P1161" s="135"/>
      <c r="Q1161" s="135"/>
      <c r="R1161" s="135"/>
      <c r="S1161" s="135"/>
      <c r="T1161" s="135"/>
      <c r="U1161" s="135"/>
      <c r="V1161" s="135"/>
      <c r="W1161" s="135"/>
      <c r="X1161" s="135"/>
      <c r="Y1161" s="135"/>
      <c r="Z1161" s="135"/>
    </row>
    <row r="1162" spans="1:26" ht="12.75">
      <c r="A1162" s="136" t="s">
        <v>8</v>
      </c>
      <c r="B1162" s="136" t="s">
        <v>8</v>
      </c>
      <c r="C1162" s="136" t="s">
        <v>147</v>
      </c>
      <c r="D1162" s="136" t="s">
        <v>7531</v>
      </c>
      <c r="E1162" s="136" t="s">
        <v>615</v>
      </c>
      <c r="F1162" s="136">
        <v>30</v>
      </c>
      <c r="G1162" s="137">
        <f t="shared" si="4"/>
        <v>31</v>
      </c>
      <c r="H1162" s="137"/>
      <c r="I1162" s="137"/>
      <c r="J1162" s="135"/>
      <c r="K1162" s="135"/>
      <c r="L1162" s="135"/>
      <c r="M1162" s="135"/>
      <c r="N1162" s="135"/>
      <c r="O1162" s="135"/>
      <c r="P1162" s="135"/>
      <c r="Q1162" s="135"/>
      <c r="R1162" s="135"/>
      <c r="S1162" s="135"/>
      <c r="T1162" s="135"/>
      <c r="U1162" s="135"/>
      <c r="V1162" s="135"/>
      <c r="W1162" s="135"/>
      <c r="X1162" s="135"/>
      <c r="Y1162" s="135"/>
      <c r="Z1162" s="135"/>
    </row>
    <row r="1163" spans="1:26" ht="12.75">
      <c r="A1163" s="136" t="s">
        <v>8</v>
      </c>
      <c r="B1163" s="136" t="s">
        <v>8</v>
      </c>
      <c r="C1163" s="136" t="s">
        <v>560</v>
      </c>
      <c r="D1163" s="136" t="s">
        <v>139</v>
      </c>
      <c r="E1163" s="136" t="s">
        <v>594</v>
      </c>
      <c r="F1163" s="136">
        <v>560</v>
      </c>
      <c r="G1163" s="137">
        <f t="shared" si="4"/>
        <v>1</v>
      </c>
      <c r="H1163" s="137"/>
      <c r="I1163" s="137"/>
      <c r="J1163" s="135"/>
      <c r="K1163" s="135"/>
      <c r="L1163" s="135"/>
      <c r="M1163" s="135"/>
      <c r="N1163" s="135"/>
      <c r="O1163" s="135"/>
      <c r="P1163" s="135"/>
      <c r="Q1163" s="135"/>
      <c r="R1163" s="135"/>
      <c r="S1163" s="135"/>
      <c r="T1163" s="135"/>
      <c r="U1163" s="135"/>
      <c r="V1163" s="135"/>
      <c r="W1163" s="135"/>
      <c r="X1163" s="135"/>
      <c r="Y1163" s="135"/>
      <c r="Z1163" s="135"/>
    </row>
    <row r="1164" spans="1:26" ht="12.75">
      <c r="A1164" s="136" t="s">
        <v>8</v>
      </c>
      <c r="B1164" s="136" t="s">
        <v>8</v>
      </c>
      <c r="C1164" s="136" t="s">
        <v>560</v>
      </c>
      <c r="D1164" s="136" t="s">
        <v>7530</v>
      </c>
      <c r="E1164" s="136" t="s">
        <v>85</v>
      </c>
      <c r="F1164" s="136">
        <v>445</v>
      </c>
      <c r="G1164" s="137">
        <f t="shared" si="4"/>
        <v>2</v>
      </c>
      <c r="H1164" s="137"/>
      <c r="I1164" s="137"/>
      <c r="J1164" s="135"/>
      <c r="K1164" s="135"/>
      <c r="L1164" s="135"/>
      <c r="M1164" s="135"/>
      <c r="N1164" s="135"/>
      <c r="O1164" s="135"/>
      <c r="P1164" s="135"/>
      <c r="Q1164" s="135"/>
      <c r="R1164" s="135"/>
      <c r="S1164" s="135"/>
      <c r="T1164" s="135"/>
      <c r="U1164" s="135"/>
      <c r="V1164" s="135"/>
      <c r="W1164" s="135"/>
      <c r="X1164" s="135"/>
      <c r="Y1164" s="135"/>
      <c r="Z1164" s="135"/>
    </row>
    <row r="1165" spans="1:26" ht="12.75">
      <c r="A1165" s="136" t="s">
        <v>8</v>
      </c>
      <c r="B1165" s="136" t="s">
        <v>8</v>
      </c>
      <c r="C1165" s="136" t="s">
        <v>560</v>
      </c>
      <c r="D1165" s="136" t="s">
        <v>165</v>
      </c>
      <c r="E1165" s="136" t="s">
        <v>615</v>
      </c>
      <c r="F1165" s="136">
        <v>420</v>
      </c>
      <c r="G1165" s="137">
        <f t="shared" si="4"/>
        <v>3</v>
      </c>
      <c r="H1165" s="137"/>
      <c r="I1165" s="137"/>
      <c r="J1165" s="135"/>
      <c r="K1165" s="135"/>
      <c r="L1165" s="135"/>
      <c r="M1165" s="135"/>
      <c r="N1165" s="135"/>
      <c r="O1165" s="135"/>
      <c r="P1165" s="135"/>
      <c r="Q1165" s="135"/>
      <c r="R1165" s="135"/>
      <c r="S1165" s="135"/>
      <c r="T1165" s="135"/>
      <c r="U1165" s="135"/>
      <c r="V1165" s="135"/>
      <c r="W1165" s="135"/>
      <c r="X1165" s="135"/>
      <c r="Y1165" s="135"/>
      <c r="Z1165" s="135"/>
    </row>
    <row r="1166" spans="1:26" ht="12.75">
      <c r="A1166" s="136" t="s">
        <v>8</v>
      </c>
      <c r="B1166" s="136" t="s">
        <v>8</v>
      </c>
      <c r="C1166" s="136" t="s">
        <v>560</v>
      </c>
      <c r="D1166" s="136" t="s">
        <v>467</v>
      </c>
      <c r="E1166" s="136" t="s">
        <v>85</v>
      </c>
      <c r="F1166" s="136">
        <v>162</v>
      </c>
      <c r="G1166" s="137">
        <f t="shared" si="4"/>
        <v>4</v>
      </c>
      <c r="H1166" s="137"/>
      <c r="I1166" s="137"/>
      <c r="J1166" s="135"/>
      <c r="K1166" s="135"/>
      <c r="L1166" s="135"/>
      <c r="M1166" s="135"/>
      <c r="N1166" s="135"/>
      <c r="O1166" s="135"/>
      <c r="P1166" s="135"/>
      <c r="Q1166" s="135"/>
      <c r="R1166" s="135"/>
      <c r="S1166" s="135"/>
      <c r="T1166" s="135"/>
      <c r="U1166" s="135"/>
      <c r="V1166" s="135"/>
      <c r="W1166" s="135"/>
      <c r="X1166" s="135"/>
      <c r="Y1166" s="135"/>
      <c r="Z1166" s="135"/>
    </row>
    <row r="1167" spans="1:26" ht="12.75">
      <c r="A1167" s="136" t="s">
        <v>8</v>
      </c>
      <c r="B1167" s="136" t="s">
        <v>8</v>
      </c>
      <c r="C1167" s="136" t="s">
        <v>560</v>
      </c>
      <c r="D1167" s="136" t="s">
        <v>7533</v>
      </c>
      <c r="E1167" s="136" t="s">
        <v>594</v>
      </c>
      <c r="F1167" s="136">
        <v>137</v>
      </c>
      <c r="G1167" s="137">
        <f t="shared" si="4"/>
        <v>5</v>
      </c>
      <c r="H1167" s="137"/>
      <c r="I1167" s="137"/>
      <c r="J1167" s="135"/>
      <c r="K1167" s="135"/>
      <c r="L1167" s="135"/>
      <c r="M1167" s="135"/>
      <c r="N1167" s="135"/>
      <c r="O1167" s="135"/>
      <c r="P1167" s="135"/>
      <c r="Q1167" s="135"/>
      <c r="R1167" s="135"/>
      <c r="S1167" s="135"/>
      <c r="T1167" s="135"/>
      <c r="U1167" s="135"/>
      <c r="V1167" s="135"/>
      <c r="W1167" s="135"/>
      <c r="X1167" s="135"/>
      <c r="Y1167" s="135"/>
      <c r="Z1167" s="135"/>
    </row>
    <row r="1168" spans="1:26" ht="12.75">
      <c r="A1168" s="136" t="s">
        <v>8</v>
      </c>
      <c r="B1168" s="136" t="s">
        <v>8</v>
      </c>
      <c r="C1168" s="136" t="s">
        <v>560</v>
      </c>
      <c r="D1168" s="136" t="s">
        <v>7491</v>
      </c>
      <c r="E1168" s="136" t="s">
        <v>615</v>
      </c>
      <c r="F1168" s="136">
        <v>100</v>
      </c>
      <c r="G1168" s="137">
        <f t="shared" si="4"/>
        <v>6</v>
      </c>
      <c r="H1168" s="137"/>
      <c r="I1168" s="137"/>
      <c r="J1168" s="135"/>
      <c r="K1168" s="135"/>
      <c r="L1168" s="135"/>
      <c r="M1168" s="135"/>
      <c r="N1168" s="135"/>
      <c r="O1168" s="135"/>
      <c r="P1168" s="135"/>
      <c r="Q1168" s="135"/>
      <c r="R1168" s="135"/>
      <c r="S1168" s="135"/>
      <c r="T1168" s="135"/>
      <c r="U1168" s="135"/>
      <c r="V1168" s="135"/>
      <c r="W1168" s="135"/>
      <c r="X1168" s="135"/>
      <c r="Y1168" s="135"/>
      <c r="Z1168" s="135"/>
    </row>
    <row r="1169" spans="1:26" ht="12.75">
      <c r="A1169" s="136" t="s">
        <v>8</v>
      </c>
      <c r="B1169" s="136" t="s">
        <v>8</v>
      </c>
      <c r="C1169" s="136" t="s">
        <v>560</v>
      </c>
      <c r="D1169" s="136" t="s">
        <v>7551</v>
      </c>
      <c r="E1169" s="136" t="s">
        <v>615</v>
      </c>
      <c r="F1169" s="136">
        <v>90</v>
      </c>
      <c r="G1169" s="137">
        <f t="shared" si="4"/>
        <v>7</v>
      </c>
      <c r="H1169" s="137"/>
      <c r="I1169" s="137"/>
      <c r="J1169" s="135"/>
      <c r="K1169" s="135"/>
      <c r="L1169" s="135"/>
      <c r="M1169" s="135"/>
      <c r="N1169" s="135"/>
      <c r="O1169" s="135"/>
      <c r="P1169" s="135"/>
      <c r="Q1169" s="135"/>
      <c r="R1169" s="135"/>
      <c r="S1169" s="135"/>
      <c r="T1169" s="135"/>
      <c r="U1169" s="135"/>
      <c r="V1169" s="135"/>
      <c r="W1169" s="135"/>
      <c r="X1169" s="135"/>
      <c r="Y1169" s="135"/>
      <c r="Z1169" s="135"/>
    </row>
    <row r="1170" spans="1:26" ht="12.75">
      <c r="A1170" s="136" t="s">
        <v>8</v>
      </c>
      <c r="B1170" s="136" t="s">
        <v>8</v>
      </c>
      <c r="C1170" s="136" t="s">
        <v>560</v>
      </c>
      <c r="D1170" s="136" t="s">
        <v>1665</v>
      </c>
      <c r="E1170" s="136" t="s">
        <v>615</v>
      </c>
      <c r="F1170" s="136">
        <v>60</v>
      </c>
      <c r="G1170" s="137">
        <f t="shared" si="4"/>
        <v>8</v>
      </c>
      <c r="H1170" s="137"/>
      <c r="I1170" s="137"/>
      <c r="J1170" s="135"/>
      <c r="K1170" s="135"/>
      <c r="L1170" s="135"/>
      <c r="M1170" s="135"/>
      <c r="N1170" s="135"/>
      <c r="O1170" s="135"/>
      <c r="P1170" s="135"/>
      <c r="Q1170" s="135"/>
      <c r="R1170" s="135"/>
      <c r="S1170" s="135"/>
      <c r="T1170" s="135"/>
      <c r="U1170" s="135"/>
      <c r="V1170" s="135"/>
      <c r="W1170" s="135"/>
      <c r="X1170" s="135"/>
      <c r="Y1170" s="135"/>
      <c r="Z1170" s="135"/>
    </row>
    <row r="1171" spans="1:26" ht="12.75">
      <c r="A1171" s="136" t="s">
        <v>8</v>
      </c>
      <c r="B1171" s="136" t="s">
        <v>8</v>
      </c>
      <c r="C1171" s="136" t="s">
        <v>560</v>
      </c>
      <c r="D1171" s="136" t="s">
        <v>7544</v>
      </c>
      <c r="E1171" s="136" t="s">
        <v>615</v>
      </c>
      <c r="F1171" s="136">
        <v>40</v>
      </c>
      <c r="G1171" s="137">
        <f t="shared" si="4"/>
        <v>9</v>
      </c>
      <c r="H1171" s="137"/>
      <c r="I1171" s="137"/>
      <c r="J1171" s="135"/>
      <c r="K1171" s="135"/>
      <c r="L1171" s="135"/>
      <c r="M1171" s="135"/>
      <c r="N1171" s="135"/>
      <c r="O1171" s="135"/>
      <c r="P1171" s="135"/>
      <c r="Q1171" s="135"/>
      <c r="R1171" s="135"/>
      <c r="S1171" s="135"/>
      <c r="T1171" s="135"/>
      <c r="U1171" s="135"/>
      <c r="V1171" s="135"/>
      <c r="W1171" s="135"/>
      <c r="X1171" s="135"/>
      <c r="Y1171" s="135"/>
      <c r="Z1171" s="135"/>
    </row>
    <row r="1172" spans="1:26" ht="12.75">
      <c r="A1172" s="136" t="s">
        <v>8</v>
      </c>
      <c r="B1172" s="136" t="s">
        <v>8</v>
      </c>
      <c r="C1172" s="136" t="s">
        <v>560</v>
      </c>
      <c r="D1172" s="136" t="s">
        <v>368</v>
      </c>
      <c r="E1172" s="136" t="s">
        <v>594</v>
      </c>
      <c r="F1172" s="136">
        <v>30</v>
      </c>
      <c r="G1172" s="137">
        <f t="shared" si="4"/>
        <v>10</v>
      </c>
      <c r="H1172" s="137"/>
      <c r="I1172" s="137"/>
      <c r="J1172" s="135"/>
      <c r="K1172" s="135"/>
      <c r="L1172" s="135"/>
      <c r="M1172" s="135"/>
      <c r="N1172" s="135"/>
      <c r="O1172" s="135"/>
      <c r="P1172" s="135"/>
      <c r="Q1172" s="135"/>
      <c r="R1172" s="135"/>
      <c r="S1172" s="135"/>
      <c r="T1172" s="135"/>
      <c r="U1172" s="135"/>
      <c r="V1172" s="135"/>
      <c r="W1172" s="135"/>
      <c r="X1172" s="135"/>
      <c r="Y1172" s="135"/>
      <c r="Z1172" s="135"/>
    </row>
    <row r="1173" spans="1:26" ht="12.75">
      <c r="A1173" s="136" t="s">
        <v>8</v>
      </c>
      <c r="B1173" s="136" t="s">
        <v>8</v>
      </c>
      <c r="C1173" s="136" t="s">
        <v>560</v>
      </c>
      <c r="D1173" s="136" t="s">
        <v>107</v>
      </c>
      <c r="E1173" s="136" t="s">
        <v>615</v>
      </c>
      <c r="F1173" s="136">
        <v>20</v>
      </c>
      <c r="G1173" s="137">
        <f t="shared" si="4"/>
        <v>11</v>
      </c>
      <c r="H1173" s="137"/>
      <c r="I1173" s="137"/>
      <c r="J1173" s="135"/>
      <c r="K1173" s="135"/>
      <c r="L1173" s="135"/>
      <c r="M1173" s="135"/>
      <c r="N1173" s="135"/>
      <c r="O1173" s="135"/>
      <c r="P1173" s="135"/>
      <c r="Q1173" s="135"/>
      <c r="R1173" s="135"/>
      <c r="S1173" s="135"/>
      <c r="T1173" s="135"/>
      <c r="U1173" s="135"/>
      <c r="V1173" s="135"/>
      <c r="W1173" s="135"/>
      <c r="X1173" s="135"/>
      <c r="Y1173" s="135"/>
      <c r="Z1173" s="135"/>
    </row>
    <row r="1174" spans="1:26" ht="12.75">
      <c r="A1174" s="136" t="s">
        <v>8</v>
      </c>
      <c r="B1174" s="136" t="s">
        <v>8</v>
      </c>
      <c r="C1174" s="136" t="s">
        <v>560</v>
      </c>
      <c r="D1174" s="136" t="s">
        <v>7531</v>
      </c>
      <c r="E1174" s="136" t="s">
        <v>615</v>
      </c>
      <c r="F1174" s="136">
        <v>20</v>
      </c>
      <c r="G1174" s="137">
        <f t="shared" si="4"/>
        <v>12</v>
      </c>
      <c r="H1174" s="137"/>
      <c r="I1174" s="137"/>
      <c r="J1174" s="135"/>
      <c r="K1174" s="135"/>
      <c r="L1174" s="135"/>
      <c r="M1174" s="135"/>
      <c r="N1174" s="135"/>
      <c r="O1174" s="135"/>
      <c r="P1174" s="135"/>
      <c r="Q1174" s="135"/>
      <c r="R1174" s="135"/>
      <c r="S1174" s="135"/>
      <c r="T1174" s="135"/>
      <c r="U1174" s="135"/>
      <c r="V1174" s="135"/>
      <c r="W1174" s="135"/>
      <c r="X1174" s="135"/>
      <c r="Y1174" s="135"/>
      <c r="Z1174" s="135"/>
    </row>
    <row r="1175" spans="1:26" ht="12.75">
      <c r="A1175" s="136" t="s">
        <v>8</v>
      </c>
      <c r="B1175" s="136" t="s">
        <v>8</v>
      </c>
      <c r="C1175" s="136" t="s">
        <v>7563</v>
      </c>
      <c r="D1175" s="136" t="s">
        <v>139</v>
      </c>
      <c r="E1175" s="136" t="s">
        <v>594</v>
      </c>
      <c r="F1175" s="136">
        <v>950</v>
      </c>
      <c r="G1175" s="137">
        <f t="shared" si="4"/>
        <v>1</v>
      </c>
      <c r="H1175" s="137"/>
      <c r="I1175" s="137"/>
      <c r="J1175" s="135"/>
      <c r="K1175" s="135"/>
      <c r="L1175" s="135"/>
      <c r="M1175" s="135"/>
      <c r="N1175" s="135"/>
      <c r="O1175" s="135"/>
      <c r="P1175" s="135"/>
      <c r="Q1175" s="135"/>
      <c r="R1175" s="135"/>
      <c r="S1175" s="135"/>
      <c r="T1175" s="135"/>
      <c r="U1175" s="135"/>
      <c r="V1175" s="135"/>
      <c r="W1175" s="135"/>
      <c r="X1175" s="135"/>
      <c r="Y1175" s="135"/>
      <c r="Z1175" s="135"/>
    </row>
    <row r="1176" spans="1:26" ht="12.75">
      <c r="A1176" s="136" t="s">
        <v>8</v>
      </c>
      <c r="B1176" s="136" t="s">
        <v>8</v>
      </c>
      <c r="C1176" s="136" t="s">
        <v>7563</v>
      </c>
      <c r="D1176" s="136" t="s">
        <v>7530</v>
      </c>
      <c r="E1176" s="136" t="s">
        <v>85</v>
      </c>
      <c r="F1176" s="136">
        <v>346</v>
      </c>
      <c r="G1176" s="137">
        <f t="shared" si="4"/>
        <v>2</v>
      </c>
      <c r="H1176" s="137"/>
      <c r="I1176" s="137"/>
      <c r="J1176" s="135"/>
      <c r="K1176" s="135"/>
      <c r="L1176" s="135"/>
      <c r="M1176" s="135"/>
      <c r="N1176" s="135"/>
      <c r="O1176" s="135"/>
      <c r="P1176" s="135"/>
      <c r="Q1176" s="135"/>
      <c r="R1176" s="135"/>
      <c r="S1176" s="135"/>
      <c r="T1176" s="135"/>
      <c r="U1176" s="135"/>
      <c r="V1176" s="135"/>
      <c r="W1176" s="135"/>
      <c r="X1176" s="135"/>
      <c r="Y1176" s="135"/>
      <c r="Z1176" s="135"/>
    </row>
    <row r="1177" spans="1:26" ht="12.75">
      <c r="A1177" s="136" t="s">
        <v>8</v>
      </c>
      <c r="B1177" s="136" t="s">
        <v>8</v>
      </c>
      <c r="C1177" s="136" t="s">
        <v>7563</v>
      </c>
      <c r="D1177" s="136" t="s">
        <v>467</v>
      </c>
      <c r="E1177" s="136" t="s">
        <v>85</v>
      </c>
      <c r="F1177" s="136">
        <v>189</v>
      </c>
      <c r="G1177" s="137">
        <f t="shared" si="4"/>
        <v>3</v>
      </c>
      <c r="H1177" s="137"/>
      <c r="I1177" s="137"/>
      <c r="J1177" s="135"/>
      <c r="K1177" s="135"/>
      <c r="L1177" s="135"/>
      <c r="M1177" s="135"/>
      <c r="N1177" s="135"/>
      <c r="O1177" s="135"/>
      <c r="P1177" s="135"/>
      <c r="Q1177" s="135"/>
      <c r="R1177" s="135"/>
      <c r="S1177" s="135"/>
      <c r="T1177" s="135"/>
      <c r="U1177" s="135"/>
      <c r="V1177" s="135"/>
      <c r="W1177" s="135"/>
      <c r="X1177" s="135"/>
      <c r="Y1177" s="135"/>
      <c r="Z1177" s="135"/>
    </row>
    <row r="1178" spans="1:26" ht="12.75">
      <c r="A1178" s="136" t="s">
        <v>8</v>
      </c>
      <c r="B1178" s="136" t="s">
        <v>8</v>
      </c>
      <c r="C1178" s="136" t="s">
        <v>7563</v>
      </c>
      <c r="D1178" s="136" t="s">
        <v>7533</v>
      </c>
      <c r="E1178" s="136" t="s">
        <v>594</v>
      </c>
      <c r="F1178" s="136">
        <v>137</v>
      </c>
      <c r="G1178" s="137">
        <f t="shared" si="4"/>
        <v>4</v>
      </c>
      <c r="H1178" s="137"/>
      <c r="I1178" s="137"/>
      <c r="J1178" s="135"/>
      <c r="K1178" s="135"/>
      <c r="L1178" s="135"/>
      <c r="M1178" s="135"/>
      <c r="N1178" s="135"/>
      <c r="O1178" s="135"/>
      <c r="P1178" s="135"/>
      <c r="Q1178" s="135"/>
      <c r="R1178" s="135"/>
      <c r="S1178" s="135"/>
      <c r="T1178" s="135"/>
      <c r="U1178" s="135"/>
      <c r="V1178" s="135"/>
      <c r="W1178" s="135"/>
      <c r="X1178" s="135"/>
      <c r="Y1178" s="135"/>
      <c r="Z1178" s="135"/>
    </row>
    <row r="1179" spans="1:26" ht="12.75">
      <c r="A1179" s="136" t="s">
        <v>8</v>
      </c>
      <c r="B1179" s="136" t="s">
        <v>8</v>
      </c>
      <c r="C1179" s="136" t="s">
        <v>7563</v>
      </c>
      <c r="D1179" s="136" t="s">
        <v>7551</v>
      </c>
      <c r="E1179" s="136" t="s">
        <v>615</v>
      </c>
      <c r="F1179" s="136">
        <v>120</v>
      </c>
      <c r="G1179" s="137">
        <f t="shared" si="4"/>
        <v>5</v>
      </c>
      <c r="H1179" s="137"/>
      <c r="I1179" s="137"/>
      <c r="J1179" s="135"/>
      <c r="K1179" s="135"/>
      <c r="L1179" s="135"/>
      <c r="M1179" s="135"/>
      <c r="N1179" s="135"/>
      <c r="O1179" s="135"/>
      <c r="P1179" s="135"/>
      <c r="Q1179" s="135"/>
      <c r="R1179" s="135"/>
      <c r="S1179" s="135"/>
      <c r="T1179" s="135"/>
      <c r="U1179" s="135"/>
      <c r="V1179" s="135"/>
      <c r="W1179" s="135"/>
      <c r="X1179" s="135"/>
      <c r="Y1179" s="135"/>
      <c r="Z1179" s="135"/>
    </row>
    <row r="1180" spans="1:26" ht="12.75">
      <c r="A1180" s="136" t="s">
        <v>8</v>
      </c>
      <c r="B1180" s="136" t="s">
        <v>8</v>
      </c>
      <c r="C1180" s="136" t="s">
        <v>7563</v>
      </c>
      <c r="D1180" s="136" t="s">
        <v>165</v>
      </c>
      <c r="E1180" s="136" t="s">
        <v>615</v>
      </c>
      <c r="F1180" s="136">
        <v>110</v>
      </c>
      <c r="G1180" s="137">
        <f t="shared" si="4"/>
        <v>6</v>
      </c>
      <c r="H1180" s="137"/>
      <c r="I1180" s="137"/>
      <c r="J1180" s="135"/>
      <c r="K1180" s="135"/>
      <c r="L1180" s="135"/>
      <c r="M1180" s="135"/>
      <c r="N1180" s="135"/>
      <c r="O1180" s="135"/>
      <c r="P1180" s="135"/>
      <c r="Q1180" s="135"/>
      <c r="R1180" s="135"/>
      <c r="S1180" s="135"/>
      <c r="T1180" s="135"/>
      <c r="U1180" s="135"/>
      <c r="V1180" s="135"/>
      <c r="W1180" s="135"/>
      <c r="X1180" s="135"/>
      <c r="Y1180" s="135"/>
      <c r="Z1180" s="135"/>
    </row>
    <row r="1181" spans="1:26" ht="12.75">
      <c r="A1181" s="136" t="s">
        <v>8</v>
      </c>
      <c r="B1181" s="136" t="s">
        <v>8</v>
      </c>
      <c r="C1181" s="136" t="s">
        <v>7563</v>
      </c>
      <c r="D1181" s="136" t="s">
        <v>7491</v>
      </c>
      <c r="E1181" s="136" t="s">
        <v>615</v>
      </c>
      <c r="F1181" s="136">
        <v>100</v>
      </c>
      <c r="G1181" s="137">
        <f t="shared" si="4"/>
        <v>7</v>
      </c>
      <c r="H1181" s="137"/>
      <c r="I1181" s="137"/>
      <c r="J1181" s="135"/>
      <c r="K1181" s="135"/>
      <c r="L1181" s="135"/>
      <c r="M1181" s="135"/>
      <c r="N1181" s="135"/>
      <c r="O1181" s="135"/>
      <c r="P1181" s="135"/>
      <c r="Q1181" s="135"/>
      <c r="R1181" s="135"/>
      <c r="S1181" s="135"/>
      <c r="T1181" s="135"/>
      <c r="U1181" s="135"/>
      <c r="V1181" s="135"/>
      <c r="W1181" s="135"/>
      <c r="X1181" s="135"/>
      <c r="Y1181" s="135"/>
      <c r="Z1181" s="135"/>
    </row>
    <row r="1182" spans="1:26" ht="12.75">
      <c r="A1182" s="136" t="s">
        <v>8</v>
      </c>
      <c r="B1182" s="136" t="s">
        <v>8</v>
      </c>
      <c r="C1182" s="136" t="s">
        <v>7563</v>
      </c>
      <c r="D1182" s="136" t="s">
        <v>1665</v>
      </c>
      <c r="E1182" s="136" t="s">
        <v>615</v>
      </c>
      <c r="F1182" s="136">
        <v>60</v>
      </c>
      <c r="G1182" s="137">
        <f t="shared" si="4"/>
        <v>8</v>
      </c>
      <c r="H1182" s="137"/>
      <c r="I1182" s="137"/>
      <c r="J1182" s="135"/>
      <c r="K1182" s="135"/>
      <c r="L1182" s="135"/>
      <c r="M1182" s="135"/>
      <c r="N1182" s="135"/>
      <c r="O1182" s="135"/>
      <c r="P1182" s="135"/>
      <c r="Q1182" s="135"/>
      <c r="R1182" s="135"/>
      <c r="S1182" s="135"/>
      <c r="T1182" s="135"/>
      <c r="U1182" s="135"/>
      <c r="V1182" s="135"/>
      <c r="W1182" s="135"/>
      <c r="X1182" s="135"/>
      <c r="Y1182" s="135"/>
      <c r="Z1182" s="135"/>
    </row>
    <row r="1183" spans="1:26" ht="12.75">
      <c r="A1183" s="136" t="s">
        <v>8</v>
      </c>
      <c r="B1183" s="136" t="s">
        <v>8</v>
      </c>
      <c r="C1183" s="136" t="s">
        <v>7563</v>
      </c>
      <c r="D1183" s="136" t="s">
        <v>7544</v>
      </c>
      <c r="E1183" s="136" t="s">
        <v>615</v>
      </c>
      <c r="F1183" s="136">
        <v>50</v>
      </c>
      <c r="G1183" s="137">
        <f t="shared" si="4"/>
        <v>9</v>
      </c>
      <c r="H1183" s="137"/>
      <c r="I1183" s="137"/>
      <c r="J1183" s="135"/>
      <c r="K1183" s="135"/>
      <c r="L1183" s="135"/>
      <c r="M1183" s="135"/>
      <c r="N1183" s="135"/>
      <c r="O1183" s="135"/>
      <c r="P1183" s="135"/>
      <c r="Q1183" s="135"/>
      <c r="R1183" s="135"/>
      <c r="S1183" s="135"/>
      <c r="T1183" s="135"/>
      <c r="U1183" s="135"/>
      <c r="V1183" s="135"/>
      <c r="W1183" s="135"/>
      <c r="X1183" s="135"/>
      <c r="Y1183" s="135"/>
      <c r="Z1183" s="135"/>
    </row>
    <row r="1184" spans="1:26" ht="12.75">
      <c r="A1184" s="136" t="s">
        <v>8</v>
      </c>
      <c r="B1184" s="136" t="s">
        <v>8</v>
      </c>
      <c r="C1184" s="136" t="s">
        <v>7563</v>
      </c>
      <c r="D1184" s="136" t="s">
        <v>7531</v>
      </c>
      <c r="E1184" s="136" t="s">
        <v>615</v>
      </c>
      <c r="F1184" s="136">
        <v>50</v>
      </c>
      <c r="G1184" s="137">
        <f t="shared" si="4"/>
        <v>10</v>
      </c>
      <c r="H1184" s="137"/>
      <c r="I1184" s="137"/>
      <c r="J1184" s="135"/>
      <c r="K1184" s="135"/>
      <c r="L1184" s="135"/>
      <c r="M1184" s="135"/>
      <c r="N1184" s="135"/>
      <c r="O1184" s="135"/>
      <c r="P1184" s="135"/>
      <c r="Q1184" s="135"/>
      <c r="R1184" s="135"/>
      <c r="S1184" s="135"/>
      <c r="T1184" s="135"/>
      <c r="U1184" s="135"/>
      <c r="V1184" s="135"/>
      <c r="W1184" s="135"/>
      <c r="X1184" s="135"/>
      <c r="Y1184" s="135"/>
      <c r="Z1184" s="135"/>
    </row>
    <row r="1185" spans="1:26" ht="12.75">
      <c r="A1185" s="136" t="s">
        <v>8</v>
      </c>
      <c r="B1185" s="136" t="s">
        <v>8</v>
      </c>
      <c r="C1185" s="136" t="s">
        <v>7563</v>
      </c>
      <c r="D1185" s="136" t="s">
        <v>368</v>
      </c>
      <c r="E1185" s="136" t="s">
        <v>594</v>
      </c>
      <c r="F1185" s="136">
        <v>40</v>
      </c>
      <c r="G1185" s="137">
        <f t="shared" si="4"/>
        <v>11</v>
      </c>
      <c r="H1185" s="137"/>
      <c r="I1185" s="137"/>
      <c r="J1185" s="135"/>
      <c r="K1185" s="135"/>
      <c r="L1185" s="135"/>
      <c r="M1185" s="135"/>
      <c r="N1185" s="135"/>
      <c r="O1185" s="135"/>
      <c r="P1185" s="135"/>
      <c r="Q1185" s="135"/>
      <c r="R1185" s="135"/>
      <c r="S1185" s="135"/>
      <c r="T1185" s="135"/>
      <c r="U1185" s="135"/>
      <c r="V1185" s="135"/>
      <c r="W1185" s="135"/>
      <c r="X1185" s="135"/>
      <c r="Y1185" s="135"/>
      <c r="Z1185" s="135"/>
    </row>
    <row r="1186" spans="1:26" ht="12.75">
      <c r="A1186" s="136" t="s">
        <v>8</v>
      </c>
      <c r="B1186" s="136" t="s">
        <v>8</v>
      </c>
      <c r="C1186" s="136" t="s">
        <v>7563</v>
      </c>
      <c r="D1186" s="136" t="s">
        <v>7536</v>
      </c>
      <c r="E1186" s="136" t="s">
        <v>86</v>
      </c>
      <c r="F1186" s="136">
        <v>11</v>
      </c>
      <c r="G1186" s="137">
        <f t="shared" si="4"/>
        <v>12</v>
      </c>
      <c r="H1186" s="137"/>
      <c r="I1186" s="137"/>
      <c r="J1186" s="135"/>
      <c r="K1186" s="135"/>
      <c r="L1186" s="135"/>
      <c r="M1186" s="135"/>
      <c r="N1186" s="135"/>
      <c r="O1186" s="135"/>
      <c r="P1186" s="135"/>
      <c r="Q1186" s="135"/>
      <c r="R1186" s="135"/>
      <c r="S1186" s="135"/>
      <c r="T1186" s="135"/>
      <c r="U1186" s="135"/>
      <c r="V1186" s="135"/>
      <c r="W1186" s="135"/>
      <c r="X1186" s="135"/>
      <c r="Y1186" s="135"/>
      <c r="Z1186" s="135"/>
    </row>
    <row r="1187" spans="1:26" ht="12.75">
      <c r="A1187" s="136" t="s">
        <v>8</v>
      </c>
      <c r="B1187" s="136" t="s">
        <v>8</v>
      </c>
      <c r="C1187" s="136" t="s">
        <v>7563</v>
      </c>
      <c r="D1187" s="136" t="s">
        <v>107</v>
      </c>
      <c r="E1187" s="136" t="s">
        <v>615</v>
      </c>
      <c r="F1187" s="136">
        <v>10</v>
      </c>
      <c r="G1187" s="137">
        <f t="shared" si="4"/>
        <v>13</v>
      </c>
      <c r="H1187" s="137"/>
      <c r="I1187" s="137"/>
      <c r="J1187" s="135"/>
      <c r="K1187" s="135"/>
      <c r="L1187" s="135"/>
      <c r="M1187" s="135"/>
      <c r="N1187" s="135"/>
      <c r="O1187" s="135"/>
      <c r="P1187" s="135"/>
      <c r="Q1187" s="135"/>
      <c r="R1187" s="135"/>
      <c r="S1187" s="135"/>
      <c r="T1187" s="135"/>
      <c r="U1187" s="135"/>
      <c r="V1187" s="135"/>
      <c r="W1187" s="135"/>
      <c r="X1187" s="135"/>
      <c r="Y1187" s="135"/>
      <c r="Z1187" s="135"/>
    </row>
    <row r="1188" spans="1:26" ht="12.75">
      <c r="A1188" s="136" t="s">
        <v>8</v>
      </c>
      <c r="B1188" s="136" t="s">
        <v>8</v>
      </c>
      <c r="C1188" s="136" t="s">
        <v>9</v>
      </c>
      <c r="D1188" s="136" t="s">
        <v>1676</v>
      </c>
      <c r="E1188" s="136" t="s">
        <v>86</v>
      </c>
      <c r="F1188" s="136">
        <v>259</v>
      </c>
      <c r="G1188" s="137">
        <f t="shared" si="4"/>
        <v>1</v>
      </c>
      <c r="H1188" s="137"/>
      <c r="I1188" s="137"/>
      <c r="J1188" s="135"/>
      <c r="K1188" s="135"/>
      <c r="L1188" s="135"/>
      <c r="M1188" s="135"/>
      <c r="N1188" s="135"/>
      <c r="O1188" s="135"/>
      <c r="P1188" s="135"/>
      <c r="Q1188" s="135"/>
      <c r="R1188" s="135"/>
      <c r="S1188" s="135"/>
      <c r="T1188" s="135"/>
      <c r="U1188" s="135"/>
      <c r="V1188" s="135"/>
      <c r="W1188" s="135"/>
      <c r="X1188" s="135"/>
      <c r="Y1188" s="135"/>
      <c r="Z1188" s="135"/>
    </row>
    <row r="1189" spans="1:26" ht="12.75">
      <c r="A1189" s="136" t="s">
        <v>8</v>
      </c>
      <c r="B1189" s="136" t="s">
        <v>8</v>
      </c>
      <c r="C1189" s="136" t="s">
        <v>9</v>
      </c>
      <c r="D1189" s="136" t="s">
        <v>7546</v>
      </c>
      <c r="E1189" s="136" t="s">
        <v>86</v>
      </c>
      <c r="F1189" s="136">
        <v>257</v>
      </c>
      <c r="G1189" s="137">
        <f t="shared" si="4"/>
        <v>2</v>
      </c>
      <c r="H1189" s="137"/>
      <c r="I1189" s="137"/>
      <c r="J1189" s="135"/>
      <c r="K1189" s="135"/>
      <c r="L1189" s="135"/>
      <c r="M1189" s="135"/>
      <c r="N1189" s="135"/>
      <c r="O1189" s="135"/>
      <c r="P1189" s="135"/>
      <c r="Q1189" s="135"/>
      <c r="R1189" s="135"/>
      <c r="S1189" s="135"/>
      <c r="T1189" s="135"/>
      <c r="U1189" s="135"/>
      <c r="V1189" s="135"/>
      <c r="W1189" s="135"/>
      <c r="X1189" s="135"/>
      <c r="Y1189" s="135"/>
      <c r="Z1189" s="135"/>
    </row>
    <row r="1190" spans="1:26" ht="12.75">
      <c r="A1190" s="136" t="s">
        <v>8</v>
      </c>
      <c r="B1190" s="136" t="s">
        <v>8</v>
      </c>
      <c r="C1190" s="136" t="s">
        <v>9</v>
      </c>
      <c r="D1190" s="136" t="s">
        <v>7536</v>
      </c>
      <c r="E1190" s="136" t="s">
        <v>86</v>
      </c>
      <c r="F1190" s="136">
        <v>200</v>
      </c>
      <c r="G1190" s="137">
        <f t="shared" si="4"/>
        <v>3</v>
      </c>
      <c r="H1190" s="137"/>
      <c r="I1190" s="137"/>
      <c r="J1190" s="135"/>
      <c r="K1190" s="135"/>
      <c r="L1190" s="135"/>
      <c r="M1190" s="135"/>
      <c r="N1190" s="135"/>
      <c r="O1190" s="135"/>
      <c r="P1190" s="135"/>
      <c r="Q1190" s="135"/>
      <c r="R1190" s="135"/>
      <c r="S1190" s="135"/>
      <c r="T1190" s="135"/>
      <c r="U1190" s="135"/>
      <c r="V1190" s="135"/>
      <c r="W1190" s="135"/>
      <c r="X1190" s="135"/>
      <c r="Y1190" s="135"/>
      <c r="Z1190" s="135"/>
    </row>
    <row r="1191" spans="1:26" ht="12.75">
      <c r="A1191" s="136" t="s">
        <v>8</v>
      </c>
      <c r="B1191" s="136" t="s">
        <v>8</v>
      </c>
      <c r="C1191" s="136" t="s">
        <v>9</v>
      </c>
      <c r="D1191" s="136" t="s">
        <v>139</v>
      </c>
      <c r="E1191" s="136" t="s">
        <v>594</v>
      </c>
      <c r="F1191" s="136">
        <v>10</v>
      </c>
      <c r="G1191" s="137">
        <f t="shared" si="4"/>
        <v>4</v>
      </c>
      <c r="H1191" s="137"/>
      <c r="I1191" s="137"/>
      <c r="J1191" s="135"/>
      <c r="K1191" s="135"/>
      <c r="L1191" s="135"/>
      <c r="M1191" s="135"/>
      <c r="N1191" s="135"/>
      <c r="O1191" s="135"/>
      <c r="P1191" s="135"/>
      <c r="Q1191" s="135"/>
      <c r="R1191" s="135"/>
      <c r="S1191" s="135"/>
      <c r="T1191" s="135"/>
      <c r="U1191" s="135"/>
      <c r="V1191" s="135"/>
      <c r="W1191" s="135"/>
      <c r="X1191" s="135"/>
      <c r="Y1191" s="135"/>
      <c r="Z1191" s="135"/>
    </row>
    <row r="1192" spans="1:26" ht="12.75">
      <c r="A1192" s="136" t="s">
        <v>8</v>
      </c>
      <c r="B1192" s="136" t="s">
        <v>8</v>
      </c>
      <c r="C1192" s="136" t="s">
        <v>9</v>
      </c>
      <c r="D1192" s="136" t="s">
        <v>165</v>
      </c>
      <c r="E1192" s="136" t="s">
        <v>615</v>
      </c>
      <c r="F1192" s="136">
        <v>6</v>
      </c>
      <c r="G1192" s="137">
        <f t="shared" si="4"/>
        <v>5</v>
      </c>
      <c r="H1192" s="137"/>
      <c r="I1192" s="137"/>
      <c r="J1192" s="135"/>
      <c r="K1192" s="135"/>
      <c r="L1192" s="135"/>
      <c r="M1192" s="135"/>
      <c r="N1192" s="135"/>
      <c r="O1192" s="135"/>
      <c r="P1192" s="135"/>
      <c r="Q1192" s="135"/>
      <c r="R1192" s="135"/>
      <c r="S1192" s="135"/>
      <c r="T1192" s="135"/>
      <c r="U1192" s="135"/>
      <c r="V1192" s="135"/>
      <c r="W1192" s="135"/>
      <c r="X1192" s="135"/>
      <c r="Y1192" s="135"/>
      <c r="Z1192" s="135"/>
    </row>
    <row r="1193" spans="1:26" ht="12.75">
      <c r="A1193" s="136" t="s">
        <v>8</v>
      </c>
      <c r="B1193" s="136" t="s">
        <v>8</v>
      </c>
      <c r="C1193" s="136" t="s">
        <v>9</v>
      </c>
      <c r="D1193" s="136" t="s">
        <v>7491</v>
      </c>
      <c r="E1193" s="136" t="s">
        <v>615</v>
      </c>
      <c r="F1193" s="136">
        <v>4</v>
      </c>
      <c r="G1193" s="137">
        <f t="shared" si="4"/>
        <v>6</v>
      </c>
      <c r="H1193" s="137"/>
      <c r="I1193" s="137"/>
      <c r="J1193" s="135"/>
      <c r="K1193" s="135"/>
      <c r="L1193" s="135"/>
      <c r="M1193" s="135"/>
      <c r="N1193" s="135"/>
      <c r="O1193" s="135"/>
      <c r="P1193" s="135"/>
      <c r="Q1193" s="135"/>
      <c r="R1193" s="135"/>
      <c r="S1193" s="135"/>
      <c r="T1193" s="135"/>
      <c r="U1193" s="135"/>
      <c r="V1193" s="135"/>
      <c r="W1193" s="135"/>
      <c r="X1193" s="135"/>
      <c r="Y1193" s="135"/>
      <c r="Z1193" s="135"/>
    </row>
    <row r="1194" spans="1:26" ht="12.75">
      <c r="A1194" s="136" t="s">
        <v>8</v>
      </c>
      <c r="B1194" s="136" t="s">
        <v>8</v>
      </c>
      <c r="C1194" s="136" t="s">
        <v>9</v>
      </c>
      <c r="D1194" s="136" t="s">
        <v>7533</v>
      </c>
      <c r="E1194" s="136" t="s">
        <v>594</v>
      </c>
      <c r="F1194" s="136">
        <v>4</v>
      </c>
      <c r="G1194" s="137">
        <f t="shared" si="4"/>
        <v>7</v>
      </c>
      <c r="H1194" s="137"/>
      <c r="I1194" s="137"/>
      <c r="J1194" s="135"/>
      <c r="K1194" s="135"/>
      <c r="L1194" s="135"/>
      <c r="M1194" s="135"/>
      <c r="N1194" s="135"/>
      <c r="O1194" s="135"/>
      <c r="P1194" s="135"/>
      <c r="Q1194" s="135"/>
      <c r="R1194" s="135"/>
      <c r="S1194" s="135"/>
      <c r="T1194" s="135"/>
      <c r="U1194" s="135"/>
      <c r="V1194" s="135"/>
      <c r="W1194" s="135"/>
      <c r="X1194" s="135"/>
      <c r="Y1194" s="135"/>
      <c r="Z1194" s="135"/>
    </row>
    <row r="1195" spans="1:26" ht="12.75">
      <c r="A1195" s="136" t="s">
        <v>8</v>
      </c>
      <c r="B1195" s="136" t="s">
        <v>8</v>
      </c>
      <c r="C1195" s="136" t="s">
        <v>7564</v>
      </c>
      <c r="D1195" s="136" t="s">
        <v>7536</v>
      </c>
      <c r="E1195" s="136" t="s">
        <v>86</v>
      </c>
      <c r="F1195" s="136">
        <v>181</v>
      </c>
      <c r="G1195" s="137">
        <f t="shared" si="4"/>
        <v>1</v>
      </c>
      <c r="H1195" s="137"/>
      <c r="I1195" s="137"/>
      <c r="J1195" s="135"/>
      <c r="K1195" s="135"/>
      <c r="L1195" s="135"/>
      <c r="M1195" s="135"/>
      <c r="N1195" s="135"/>
      <c r="O1195" s="135"/>
      <c r="P1195" s="135"/>
      <c r="Q1195" s="135"/>
      <c r="R1195" s="135"/>
      <c r="S1195" s="135"/>
      <c r="T1195" s="135"/>
      <c r="U1195" s="135"/>
      <c r="V1195" s="135"/>
      <c r="W1195" s="135"/>
      <c r="X1195" s="135"/>
      <c r="Y1195" s="135"/>
      <c r="Z1195" s="135"/>
    </row>
    <row r="1196" spans="1:26" ht="12.75">
      <c r="A1196" s="136" t="s">
        <v>8</v>
      </c>
      <c r="B1196" s="136" t="s">
        <v>8</v>
      </c>
      <c r="C1196" s="136" t="s">
        <v>7564</v>
      </c>
      <c r="D1196" s="136" t="s">
        <v>7546</v>
      </c>
      <c r="E1196" s="136" t="s">
        <v>86</v>
      </c>
      <c r="F1196" s="136">
        <v>112</v>
      </c>
      <c r="G1196" s="137">
        <f t="shared" si="4"/>
        <v>2</v>
      </c>
      <c r="H1196" s="137"/>
      <c r="I1196" s="137"/>
      <c r="J1196" s="135"/>
      <c r="K1196" s="135"/>
      <c r="L1196" s="135"/>
      <c r="M1196" s="135"/>
      <c r="N1196" s="135"/>
      <c r="O1196" s="135"/>
      <c r="P1196" s="135"/>
      <c r="Q1196" s="135"/>
      <c r="R1196" s="135"/>
      <c r="S1196" s="135"/>
      <c r="T1196" s="135"/>
      <c r="U1196" s="135"/>
      <c r="V1196" s="135"/>
      <c r="W1196" s="135"/>
      <c r="X1196" s="135"/>
      <c r="Y1196" s="135"/>
      <c r="Z1196" s="135"/>
    </row>
    <row r="1197" spans="1:26" ht="12.75">
      <c r="A1197" s="136" t="s">
        <v>8</v>
      </c>
      <c r="B1197" s="136" t="s">
        <v>8</v>
      </c>
      <c r="C1197" s="136" t="s">
        <v>7564</v>
      </c>
      <c r="D1197" s="136" t="s">
        <v>7530</v>
      </c>
      <c r="E1197" s="136" t="s">
        <v>85</v>
      </c>
      <c r="F1197" s="136">
        <v>72</v>
      </c>
      <c r="G1197" s="137">
        <f t="shared" si="4"/>
        <v>3</v>
      </c>
      <c r="H1197" s="137"/>
      <c r="I1197" s="137"/>
      <c r="J1197" s="135"/>
      <c r="K1197" s="135"/>
      <c r="L1197" s="135"/>
      <c r="M1197" s="135"/>
      <c r="N1197" s="135"/>
      <c r="O1197" s="135"/>
      <c r="P1197" s="135"/>
      <c r="Q1197" s="135"/>
      <c r="R1197" s="135"/>
      <c r="S1197" s="135"/>
      <c r="T1197" s="135"/>
      <c r="U1197" s="135"/>
      <c r="V1197" s="135"/>
      <c r="W1197" s="135"/>
      <c r="X1197" s="135"/>
      <c r="Y1197" s="135"/>
      <c r="Z1197" s="135"/>
    </row>
    <row r="1198" spans="1:26" ht="12.75">
      <c r="A1198" s="136" t="s">
        <v>8</v>
      </c>
      <c r="B1198" s="136" t="s">
        <v>8</v>
      </c>
      <c r="C1198" s="136" t="s">
        <v>7564</v>
      </c>
      <c r="D1198" s="136" t="s">
        <v>1676</v>
      </c>
      <c r="E1198" s="136" t="s">
        <v>86</v>
      </c>
      <c r="F1198" s="136">
        <v>68</v>
      </c>
      <c r="G1198" s="137">
        <f t="shared" si="4"/>
        <v>4</v>
      </c>
      <c r="H1198" s="137"/>
      <c r="I1198" s="137"/>
      <c r="J1198" s="135"/>
      <c r="K1198" s="135"/>
      <c r="L1198" s="135"/>
      <c r="M1198" s="135"/>
      <c r="N1198" s="135"/>
      <c r="O1198" s="135"/>
      <c r="P1198" s="135"/>
      <c r="Q1198" s="135"/>
      <c r="R1198" s="135"/>
      <c r="S1198" s="135"/>
      <c r="T1198" s="135"/>
      <c r="U1198" s="135"/>
      <c r="V1198" s="135"/>
      <c r="W1198" s="135"/>
      <c r="X1198" s="135"/>
      <c r="Y1198" s="135"/>
      <c r="Z1198" s="135"/>
    </row>
    <row r="1199" spans="1:26" ht="12.75">
      <c r="A1199" s="136" t="s">
        <v>8</v>
      </c>
      <c r="B1199" s="136" t="s">
        <v>8</v>
      </c>
      <c r="C1199" s="136" t="s">
        <v>7564</v>
      </c>
      <c r="D1199" s="136" t="s">
        <v>139</v>
      </c>
      <c r="E1199" s="136" t="s">
        <v>594</v>
      </c>
      <c r="F1199" s="136">
        <v>55</v>
      </c>
      <c r="G1199" s="137">
        <f t="shared" si="4"/>
        <v>5</v>
      </c>
      <c r="H1199" s="137"/>
      <c r="I1199" s="137"/>
      <c r="J1199" s="135"/>
      <c r="K1199" s="135"/>
      <c r="L1199" s="135"/>
      <c r="M1199" s="135"/>
      <c r="N1199" s="135"/>
      <c r="O1199" s="135"/>
      <c r="P1199" s="135"/>
      <c r="Q1199" s="135"/>
      <c r="R1199" s="135"/>
      <c r="S1199" s="135"/>
      <c r="T1199" s="135"/>
      <c r="U1199" s="135"/>
      <c r="V1199" s="135"/>
      <c r="W1199" s="135"/>
      <c r="X1199" s="135"/>
      <c r="Y1199" s="135"/>
      <c r="Z1199" s="135"/>
    </row>
    <row r="1200" spans="1:26" ht="12.75">
      <c r="A1200" s="136" t="s">
        <v>8</v>
      </c>
      <c r="B1200" s="136" t="s">
        <v>8</v>
      </c>
      <c r="C1200" s="136" t="s">
        <v>7564</v>
      </c>
      <c r="D1200" s="136" t="s">
        <v>165</v>
      </c>
      <c r="E1200" s="136" t="s">
        <v>615</v>
      </c>
      <c r="F1200" s="136">
        <v>37</v>
      </c>
      <c r="G1200" s="137">
        <f t="shared" si="4"/>
        <v>6</v>
      </c>
      <c r="H1200" s="137"/>
      <c r="I1200" s="137"/>
      <c r="J1200" s="135"/>
      <c r="K1200" s="135"/>
      <c r="L1200" s="135"/>
      <c r="M1200" s="135"/>
      <c r="N1200" s="135"/>
      <c r="O1200" s="135"/>
      <c r="P1200" s="135"/>
      <c r="Q1200" s="135"/>
      <c r="R1200" s="135"/>
      <c r="S1200" s="135"/>
      <c r="T1200" s="135"/>
      <c r="U1200" s="135"/>
      <c r="V1200" s="135"/>
      <c r="W1200" s="135"/>
      <c r="X1200" s="135"/>
      <c r="Y1200" s="135"/>
      <c r="Z1200" s="135"/>
    </row>
    <row r="1201" spans="1:26" ht="12.75">
      <c r="A1201" s="136" t="s">
        <v>8</v>
      </c>
      <c r="B1201" s="136" t="s">
        <v>8</v>
      </c>
      <c r="C1201" s="136" t="s">
        <v>7564</v>
      </c>
      <c r="D1201" s="136" t="s">
        <v>7491</v>
      </c>
      <c r="E1201" s="136" t="s">
        <v>615</v>
      </c>
      <c r="F1201" s="136">
        <v>30</v>
      </c>
      <c r="G1201" s="137">
        <f t="shared" si="4"/>
        <v>7</v>
      </c>
      <c r="H1201" s="137"/>
      <c r="I1201" s="137"/>
      <c r="J1201" s="135"/>
      <c r="K1201" s="135"/>
      <c r="L1201" s="135"/>
      <c r="M1201" s="135"/>
      <c r="N1201" s="135"/>
      <c r="O1201" s="135"/>
      <c r="P1201" s="135"/>
      <c r="Q1201" s="135"/>
      <c r="R1201" s="135"/>
      <c r="S1201" s="135"/>
      <c r="T1201" s="135"/>
      <c r="U1201" s="135"/>
      <c r="V1201" s="135"/>
      <c r="W1201" s="135"/>
      <c r="X1201" s="135"/>
      <c r="Y1201" s="135"/>
      <c r="Z1201" s="135"/>
    </row>
    <row r="1202" spans="1:26" ht="12.75">
      <c r="A1202" s="136" t="s">
        <v>8</v>
      </c>
      <c r="B1202" s="136" t="s">
        <v>8</v>
      </c>
      <c r="C1202" s="136" t="s">
        <v>7564</v>
      </c>
      <c r="D1202" s="136" t="s">
        <v>7533</v>
      </c>
      <c r="E1202" s="136" t="s">
        <v>594</v>
      </c>
      <c r="F1202" s="136">
        <v>21</v>
      </c>
      <c r="G1202" s="137">
        <f t="shared" si="4"/>
        <v>8</v>
      </c>
      <c r="H1202" s="137"/>
      <c r="I1202" s="137"/>
      <c r="J1202" s="135"/>
      <c r="K1202" s="135"/>
      <c r="L1202" s="135"/>
      <c r="M1202" s="135"/>
      <c r="N1202" s="135"/>
      <c r="O1202" s="135"/>
      <c r="P1202" s="135"/>
      <c r="Q1202" s="135"/>
      <c r="R1202" s="135"/>
      <c r="S1202" s="135"/>
      <c r="T1202" s="135"/>
      <c r="U1202" s="135"/>
      <c r="V1202" s="135"/>
      <c r="W1202" s="135"/>
      <c r="X1202" s="135"/>
      <c r="Y1202" s="135"/>
      <c r="Z1202" s="135"/>
    </row>
    <row r="1203" spans="1:26" ht="12.75">
      <c r="A1203" s="136" t="s">
        <v>8</v>
      </c>
      <c r="B1203" s="136" t="s">
        <v>8</v>
      </c>
      <c r="C1203" s="136" t="s">
        <v>7564</v>
      </c>
      <c r="D1203" s="136" t="s">
        <v>7544</v>
      </c>
      <c r="E1203" s="136" t="s">
        <v>615</v>
      </c>
      <c r="F1203" s="136">
        <v>15</v>
      </c>
      <c r="G1203" s="137">
        <f t="shared" si="4"/>
        <v>9</v>
      </c>
      <c r="H1203" s="137"/>
      <c r="I1203" s="137"/>
      <c r="J1203" s="135"/>
      <c r="K1203" s="135"/>
      <c r="L1203" s="135"/>
      <c r="M1203" s="135"/>
      <c r="N1203" s="135"/>
      <c r="O1203" s="135"/>
      <c r="P1203" s="135"/>
      <c r="Q1203" s="135"/>
      <c r="R1203" s="135"/>
      <c r="S1203" s="135"/>
      <c r="T1203" s="135"/>
      <c r="U1203" s="135"/>
      <c r="V1203" s="135"/>
      <c r="W1203" s="135"/>
      <c r="X1203" s="135"/>
      <c r="Y1203" s="135"/>
      <c r="Z1203" s="135"/>
    </row>
    <row r="1204" spans="1:26" ht="12.75">
      <c r="A1204" s="136" t="s">
        <v>8</v>
      </c>
      <c r="B1204" s="136" t="s">
        <v>8</v>
      </c>
      <c r="C1204" s="136" t="s">
        <v>7564</v>
      </c>
      <c r="D1204" s="136" t="s">
        <v>467</v>
      </c>
      <c r="E1204" s="136" t="s">
        <v>85</v>
      </c>
      <c r="F1204" s="136">
        <v>13</v>
      </c>
      <c r="G1204" s="137">
        <f t="shared" si="4"/>
        <v>10</v>
      </c>
      <c r="H1204" s="137"/>
      <c r="I1204" s="137"/>
      <c r="J1204" s="135"/>
      <c r="K1204" s="135"/>
      <c r="L1204" s="135"/>
      <c r="M1204" s="135"/>
      <c r="N1204" s="135"/>
      <c r="O1204" s="135"/>
      <c r="P1204" s="135"/>
      <c r="Q1204" s="135"/>
      <c r="R1204" s="135"/>
      <c r="S1204" s="135"/>
      <c r="T1204" s="135"/>
      <c r="U1204" s="135"/>
      <c r="V1204" s="135"/>
      <c r="W1204" s="135"/>
      <c r="X1204" s="135"/>
      <c r="Y1204" s="135"/>
      <c r="Z1204" s="135"/>
    </row>
    <row r="1205" spans="1:26" ht="12.75">
      <c r="A1205" s="136" t="s">
        <v>8</v>
      </c>
      <c r="B1205" s="136" t="s">
        <v>8</v>
      </c>
      <c r="C1205" s="136" t="s">
        <v>7564</v>
      </c>
      <c r="D1205" s="136" t="s">
        <v>1665</v>
      </c>
      <c r="E1205" s="136" t="s">
        <v>615</v>
      </c>
      <c r="F1205" s="136">
        <v>10</v>
      </c>
      <c r="G1205" s="137">
        <f t="shared" si="4"/>
        <v>11</v>
      </c>
      <c r="H1205" s="137"/>
      <c r="I1205" s="137"/>
      <c r="J1205" s="135"/>
      <c r="K1205" s="135"/>
      <c r="L1205" s="135"/>
      <c r="M1205" s="135"/>
      <c r="N1205" s="135"/>
      <c r="O1205" s="135"/>
      <c r="P1205" s="135"/>
      <c r="Q1205" s="135"/>
      <c r="R1205" s="135"/>
      <c r="S1205" s="135"/>
      <c r="T1205" s="135"/>
      <c r="U1205" s="135"/>
      <c r="V1205" s="135"/>
      <c r="W1205" s="135"/>
      <c r="X1205" s="135"/>
      <c r="Y1205" s="135"/>
      <c r="Z1205" s="135"/>
    </row>
    <row r="1206" spans="1:26" ht="12.75">
      <c r="A1206" s="136" t="s">
        <v>8</v>
      </c>
      <c r="B1206" s="136" t="s">
        <v>8</v>
      </c>
      <c r="C1206" s="136" t="s">
        <v>7565</v>
      </c>
      <c r="D1206" s="136" t="s">
        <v>139</v>
      </c>
      <c r="E1206" s="136" t="s">
        <v>594</v>
      </c>
      <c r="F1206" s="136">
        <v>790</v>
      </c>
      <c r="G1206" s="137">
        <f t="shared" si="4"/>
        <v>1</v>
      </c>
      <c r="H1206" s="137"/>
      <c r="I1206" s="137"/>
      <c r="J1206" s="135"/>
      <c r="K1206" s="135"/>
      <c r="L1206" s="135"/>
      <c r="M1206" s="135"/>
      <c r="N1206" s="135"/>
      <c r="O1206" s="135"/>
      <c r="P1206" s="135"/>
      <c r="Q1206" s="135"/>
      <c r="R1206" s="135"/>
      <c r="S1206" s="135"/>
      <c r="T1206" s="135"/>
      <c r="U1206" s="135"/>
      <c r="V1206" s="135"/>
      <c r="W1206" s="135"/>
      <c r="X1206" s="135"/>
      <c r="Y1206" s="135"/>
      <c r="Z1206" s="135"/>
    </row>
    <row r="1207" spans="1:26" ht="12.75">
      <c r="A1207" s="136" t="s">
        <v>8</v>
      </c>
      <c r="B1207" s="136" t="s">
        <v>8</v>
      </c>
      <c r="C1207" s="136" t="s">
        <v>7565</v>
      </c>
      <c r="D1207" s="136" t="s">
        <v>1674</v>
      </c>
      <c r="E1207" s="136" t="s">
        <v>615</v>
      </c>
      <c r="F1207" s="136">
        <v>600</v>
      </c>
      <c r="G1207" s="137">
        <f t="shared" si="4"/>
        <v>2</v>
      </c>
      <c r="H1207" s="137"/>
      <c r="I1207" s="137"/>
      <c r="J1207" s="135"/>
      <c r="K1207" s="135"/>
      <c r="L1207" s="135"/>
      <c r="M1207" s="135"/>
      <c r="N1207" s="135"/>
      <c r="O1207" s="135"/>
      <c r="P1207" s="135"/>
      <c r="Q1207" s="135"/>
      <c r="R1207" s="135"/>
      <c r="S1207" s="135"/>
      <c r="T1207" s="135"/>
      <c r="U1207" s="135"/>
      <c r="V1207" s="135"/>
      <c r="W1207" s="135"/>
      <c r="X1207" s="135"/>
      <c r="Y1207" s="135"/>
      <c r="Z1207" s="135"/>
    </row>
    <row r="1208" spans="1:26" ht="12.75">
      <c r="A1208" s="136" t="s">
        <v>8</v>
      </c>
      <c r="B1208" s="136" t="s">
        <v>8</v>
      </c>
      <c r="C1208" s="136" t="s">
        <v>7565</v>
      </c>
      <c r="D1208" s="136" t="s">
        <v>7530</v>
      </c>
      <c r="E1208" s="136" t="s">
        <v>85</v>
      </c>
      <c r="F1208" s="136">
        <v>182</v>
      </c>
      <c r="G1208" s="137">
        <f t="shared" si="4"/>
        <v>3</v>
      </c>
      <c r="H1208" s="137"/>
      <c r="I1208" s="137"/>
      <c r="J1208" s="135"/>
      <c r="K1208" s="135"/>
      <c r="L1208" s="135"/>
      <c r="M1208" s="135"/>
      <c r="N1208" s="135"/>
      <c r="O1208" s="135"/>
      <c r="P1208" s="135"/>
      <c r="Q1208" s="135"/>
      <c r="R1208" s="135"/>
      <c r="S1208" s="135"/>
      <c r="T1208" s="135"/>
      <c r="U1208" s="135"/>
      <c r="V1208" s="135"/>
      <c r="W1208" s="135"/>
      <c r="X1208" s="135"/>
      <c r="Y1208" s="135"/>
      <c r="Z1208" s="135"/>
    </row>
    <row r="1209" spans="1:26" ht="12.75">
      <c r="A1209" s="136" t="s">
        <v>8</v>
      </c>
      <c r="B1209" s="136" t="s">
        <v>8</v>
      </c>
      <c r="C1209" s="136" t="s">
        <v>7565</v>
      </c>
      <c r="D1209" s="136" t="s">
        <v>7533</v>
      </c>
      <c r="E1209" s="136" t="s">
        <v>594</v>
      </c>
      <c r="F1209" s="136">
        <v>160</v>
      </c>
      <c r="G1209" s="137">
        <f t="shared" si="4"/>
        <v>4</v>
      </c>
      <c r="H1209" s="137"/>
      <c r="I1209" s="137"/>
      <c r="J1209" s="135"/>
      <c r="K1209" s="135"/>
      <c r="L1209" s="135"/>
      <c r="M1209" s="135"/>
      <c r="N1209" s="135"/>
      <c r="O1209" s="135"/>
      <c r="P1209" s="135"/>
      <c r="Q1209" s="135"/>
      <c r="R1209" s="135"/>
      <c r="S1209" s="135"/>
      <c r="T1209" s="135"/>
      <c r="U1209" s="135"/>
      <c r="V1209" s="135"/>
      <c r="W1209" s="135"/>
      <c r="X1209" s="135"/>
      <c r="Y1209" s="135"/>
      <c r="Z1209" s="135"/>
    </row>
    <row r="1210" spans="1:26" ht="12.75">
      <c r="A1210" s="136" t="s">
        <v>8</v>
      </c>
      <c r="B1210" s="136" t="s">
        <v>8</v>
      </c>
      <c r="C1210" s="136" t="s">
        <v>7565</v>
      </c>
      <c r="D1210" s="136" t="s">
        <v>165</v>
      </c>
      <c r="E1210" s="136" t="s">
        <v>615</v>
      </c>
      <c r="F1210" s="136">
        <v>160</v>
      </c>
      <c r="G1210" s="137">
        <f t="shared" si="4"/>
        <v>5</v>
      </c>
      <c r="H1210" s="137"/>
      <c r="I1210" s="137"/>
      <c r="J1210" s="135"/>
      <c r="K1210" s="135"/>
      <c r="L1210" s="135"/>
      <c r="M1210" s="135"/>
      <c r="N1210" s="135"/>
      <c r="O1210" s="135"/>
      <c r="P1210" s="135"/>
      <c r="Q1210" s="135"/>
      <c r="R1210" s="135"/>
      <c r="S1210" s="135"/>
      <c r="T1210" s="135"/>
      <c r="U1210" s="135"/>
      <c r="V1210" s="135"/>
      <c r="W1210" s="135"/>
      <c r="X1210" s="135"/>
      <c r="Y1210" s="135"/>
      <c r="Z1210" s="135"/>
    </row>
    <row r="1211" spans="1:26" ht="12.75">
      <c r="A1211" s="136" t="s">
        <v>8</v>
      </c>
      <c r="B1211" s="136" t="s">
        <v>8</v>
      </c>
      <c r="C1211" s="136" t="s">
        <v>7565</v>
      </c>
      <c r="D1211" s="136" t="s">
        <v>7491</v>
      </c>
      <c r="E1211" s="136" t="s">
        <v>615</v>
      </c>
      <c r="F1211" s="136">
        <v>100</v>
      </c>
      <c r="G1211" s="137">
        <f t="shared" si="4"/>
        <v>6</v>
      </c>
      <c r="H1211" s="137"/>
      <c r="I1211" s="137"/>
      <c r="J1211" s="135"/>
      <c r="K1211" s="135"/>
      <c r="L1211" s="135"/>
      <c r="M1211" s="135"/>
      <c r="N1211" s="135"/>
      <c r="O1211" s="135"/>
      <c r="P1211" s="135"/>
      <c r="Q1211" s="135"/>
      <c r="R1211" s="135"/>
      <c r="S1211" s="135"/>
      <c r="T1211" s="135"/>
      <c r="U1211" s="135"/>
      <c r="V1211" s="135"/>
      <c r="W1211" s="135"/>
      <c r="X1211" s="135"/>
      <c r="Y1211" s="135"/>
      <c r="Z1211" s="135"/>
    </row>
    <row r="1212" spans="1:26" ht="12.75">
      <c r="A1212" s="136" t="s">
        <v>8</v>
      </c>
      <c r="B1212" s="136" t="s">
        <v>8</v>
      </c>
      <c r="C1212" s="136" t="s">
        <v>7565</v>
      </c>
      <c r="D1212" s="136" t="s">
        <v>1665</v>
      </c>
      <c r="E1212" s="136" t="s">
        <v>615</v>
      </c>
      <c r="F1212" s="136">
        <v>80</v>
      </c>
      <c r="G1212" s="137">
        <f t="shared" si="4"/>
        <v>7</v>
      </c>
      <c r="H1212" s="137"/>
      <c r="I1212" s="137"/>
      <c r="J1212" s="135"/>
      <c r="K1212" s="135"/>
      <c r="L1212" s="135"/>
      <c r="M1212" s="135"/>
      <c r="N1212" s="135"/>
      <c r="O1212" s="135"/>
      <c r="P1212" s="135"/>
      <c r="Q1212" s="135"/>
      <c r="R1212" s="135"/>
      <c r="S1212" s="135"/>
      <c r="T1212" s="135"/>
      <c r="U1212" s="135"/>
      <c r="V1212" s="135"/>
      <c r="W1212" s="135"/>
      <c r="X1212" s="135"/>
      <c r="Y1212" s="135"/>
      <c r="Z1212" s="135"/>
    </row>
    <row r="1213" spans="1:26" ht="12.75">
      <c r="A1213" s="136" t="s">
        <v>8</v>
      </c>
      <c r="B1213" s="136" t="s">
        <v>8</v>
      </c>
      <c r="C1213" s="136" t="s">
        <v>7565</v>
      </c>
      <c r="D1213" s="136" t="s">
        <v>7544</v>
      </c>
      <c r="E1213" s="136" t="s">
        <v>615</v>
      </c>
      <c r="F1213" s="136">
        <v>70</v>
      </c>
      <c r="G1213" s="137">
        <f t="shared" si="4"/>
        <v>8</v>
      </c>
      <c r="H1213" s="137"/>
      <c r="I1213" s="137"/>
      <c r="J1213" s="135"/>
      <c r="K1213" s="135"/>
      <c r="L1213" s="135"/>
      <c r="M1213" s="135"/>
      <c r="N1213" s="135"/>
      <c r="O1213" s="135"/>
      <c r="P1213" s="135"/>
      <c r="Q1213" s="135"/>
      <c r="R1213" s="135"/>
      <c r="S1213" s="135"/>
      <c r="T1213" s="135"/>
      <c r="U1213" s="135"/>
      <c r="V1213" s="135"/>
      <c r="W1213" s="135"/>
      <c r="X1213" s="135"/>
      <c r="Y1213" s="135"/>
      <c r="Z1213" s="135"/>
    </row>
    <row r="1214" spans="1:26" ht="12.75">
      <c r="A1214" s="136" t="s">
        <v>8</v>
      </c>
      <c r="B1214" s="136" t="s">
        <v>8</v>
      </c>
      <c r="C1214" s="136" t="s">
        <v>7565</v>
      </c>
      <c r="D1214" s="136" t="s">
        <v>7551</v>
      </c>
      <c r="E1214" s="136" t="s">
        <v>615</v>
      </c>
      <c r="F1214" s="136">
        <v>60</v>
      </c>
      <c r="G1214" s="137">
        <f t="shared" si="4"/>
        <v>9</v>
      </c>
      <c r="H1214" s="137"/>
      <c r="I1214" s="137"/>
      <c r="J1214" s="135"/>
      <c r="K1214" s="135"/>
      <c r="L1214" s="135"/>
      <c r="M1214" s="135"/>
      <c r="N1214" s="135"/>
      <c r="O1214" s="135"/>
      <c r="P1214" s="135"/>
      <c r="Q1214" s="135"/>
      <c r="R1214" s="135"/>
      <c r="S1214" s="135"/>
      <c r="T1214" s="135"/>
      <c r="U1214" s="135"/>
      <c r="V1214" s="135"/>
      <c r="W1214" s="135"/>
      <c r="X1214" s="135"/>
      <c r="Y1214" s="135"/>
      <c r="Z1214" s="135"/>
    </row>
    <row r="1215" spans="1:26" ht="12.75">
      <c r="A1215" s="136" t="s">
        <v>8</v>
      </c>
      <c r="B1215" s="136" t="s">
        <v>8</v>
      </c>
      <c r="C1215" s="136" t="s">
        <v>7565</v>
      </c>
      <c r="D1215" s="136" t="s">
        <v>467</v>
      </c>
      <c r="E1215" s="136" t="s">
        <v>85</v>
      </c>
      <c r="F1215" s="136">
        <v>59</v>
      </c>
      <c r="G1215" s="137">
        <f t="shared" si="4"/>
        <v>10</v>
      </c>
      <c r="H1215" s="137"/>
      <c r="I1215" s="137"/>
      <c r="J1215" s="135"/>
      <c r="K1215" s="135"/>
      <c r="L1215" s="135"/>
      <c r="M1215" s="135"/>
      <c r="N1215" s="135"/>
      <c r="O1215" s="135"/>
      <c r="P1215" s="135"/>
      <c r="Q1215" s="135"/>
      <c r="R1215" s="135"/>
      <c r="S1215" s="135"/>
      <c r="T1215" s="135"/>
      <c r="U1215" s="135"/>
      <c r="V1215" s="135"/>
      <c r="W1215" s="135"/>
      <c r="X1215" s="135"/>
      <c r="Y1215" s="135"/>
      <c r="Z1215" s="135"/>
    </row>
    <row r="1216" spans="1:26" ht="12.75">
      <c r="A1216" s="136" t="s">
        <v>8</v>
      </c>
      <c r="B1216" s="136" t="s">
        <v>8</v>
      </c>
      <c r="C1216" s="136" t="s">
        <v>7565</v>
      </c>
      <c r="D1216" s="136" t="s">
        <v>368</v>
      </c>
      <c r="E1216" s="136" t="s">
        <v>594</v>
      </c>
      <c r="F1216" s="136">
        <v>20</v>
      </c>
      <c r="G1216" s="137">
        <f t="shared" si="4"/>
        <v>11</v>
      </c>
      <c r="H1216" s="137"/>
      <c r="I1216" s="137"/>
      <c r="J1216" s="135"/>
      <c r="K1216" s="135"/>
      <c r="L1216" s="135"/>
      <c r="M1216" s="135"/>
      <c r="N1216" s="135"/>
      <c r="O1216" s="135"/>
      <c r="P1216" s="135"/>
      <c r="Q1216" s="135"/>
      <c r="R1216" s="135"/>
      <c r="S1216" s="135"/>
      <c r="T1216" s="135"/>
      <c r="U1216" s="135"/>
      <c r="V1216" s="135"/>
      <c r="W1216" s="135"/>
      <c r="X1216" s="135"/>
      <c r="Y1216" s="135"/>
      <c r="Z1216" s="135"/>
    </row>
    <row r="1217" spans="1:26" ht="12.75">
      <c r="A1217" s="136" t="s">
        <v>8</v>
      </c>
      <c r="B1217" s="136" t="s">
        <v>8</v>
      </c>
      <c r="C1217" s="136" t="s">
        <v>7565</v>
      </c>
      <c r="D1217" s="136" t="s">
        <v>7531</v>
      </c>
      <c r="E1217" s="136" t="s">
        <v>615</v>
      </c>
      <c r="F1217" s="136">
        <v>20</v>
      </c>
      <c r="G1217" s="137">
        <f t="shared" si="4"/>
        <v>12</v>
      </c>
      <c r="H1217" s="137"/>
      <c r="I1217" s="137"/>
      <c r="J1217" s="135"/>
      <c r="K1217" s="135"/>
      <c r="L1217" s="135"/>
      <c r="M1217" s="135"/>
      <c r="N1217" s="135"/>
      <c r="O1217" s="135"/>
      <c r="P1217" s="135"/>
      <c r="Q1217" s="135"/>
      <c r="R1217" s="135"/>
      <c r="S1217" s="135"/>
      <c r="T1217" s="135"/>
      <c r="U1217" s="135"/>
      <c r="V1217" s="135"/>
      <c r="W1217" s="135"/>
      <c r="X1217" s="135"/>
      <c r="Y1217" s="135"/>
      <c r="Z1217" s="135"/>
    </row>
    <row r="1218" spans="1:26" ht="12.75">
      <c r="A1218" s="136" t="s">
        <v>8</v>
      </c>
      <c r="B1218" s="136" t="s">
        <v>8</v>
      </c>
      <c r="C1218" s="136" t="s">
        <v>7565</v>
      </c>
      <c r="D1218" s="136" t="s">
        <v>7536</v>
      </c>
      <c r="E1218" s="136" t="s">
        <v>86</v>
      </c>
      <c r="F1218" s="136">
        <v>5</v>
      </c>
      <c r="G1218" s="137">
        <f t="shared" si="4"/>
        <v>13</v>
      </c>
      <c r="H1218" s="137"/>
      <c r="I1218" s="137"/>
      <c r="J1218" s="135"/>
      <c r="K1218" s="135"/>
      <c r="L1218" s="135"/>
      <c r="M1218" s="135"/>
      <c r="N1218" s="135"/>
      <c r="O1218" s="135"/>
      <c r="P1218" s="135"/>
      <c r="Q1218" s="135"/>
      <c r="R1218" s="135"/>
      <c r="S1218" s="135"/>
      <c r="T1218" s="135"/>
      <c r="U1218" s="135"/>
      <c r="V1218" s="135"/>
      <c r="W1218" s="135"/>
      <c r="X1218" s="135"/>
      <c r="Y1218" s="135"/>
      <c r="Z1218" s="135"/>
    </row>
    <row r="1219" spans="1:26" ht="12.75">
      <c r="A1219" s="136" t="s">
        <v>8</v>
      </c>
      <c r="B1219" s="136" t="s">
        <v>8</v>
      </c>
      <c r="C1219" s="136" t="s">
        <v>7566</v>
      </c>
      <c r="D1219" s="136" t="s">
        <v>7530</v>
      </c>
      <c r="E1219" s="136" t="s">
        <v>85</v>
      </c>
      <c r="F1219" s="136">
        <v>573</v>
      </c>
      <c r="G1219" s="137">
        <f t="shared" si="4"/>
        <v>1</v>
      </c>
      <c r="H1219" s="137"/>
      <c r="I1219" s="137"/>
      <c r="J1219" s="135"/>
      <c r="K1219" s="135"/>
      <c r="L1219" s="135"/>
      <c r="M1219" s="135"/>
      <c r="N1219" s="135"/>
      <c r="O1219" s="135"/>
      <c r="P1219" s="135"/>
      <c r="Q1219" s="135"/>
      <c r="R1219" s="135"/>
      <c r="S1219" s="135"/>
      <c r="T1219" s="135"/>
      <c r="U1219" s="135"/>
      <c r="V1219" s="135"/>
      <c r="W1219" s="135"/>
      <c r="X1219" s="135"/>
      <c r="Y1219" s="135"/>
      <c r="Z1219" s="135"/>
    </row>
    <row r="1220" spans="1:26" ht="12.75">
      <c r="A1220" s="136" t="s">
        <v>8</v>
      </c>
      <c r="B1220" s="136" t="s">
        <v>8</v>
      </c>
      <c r="C1220" s="136" t="s">
        <v>7566</v>
      </c>
      <c r="D1220" s="136" t="s">
        <v>139</v>
      </c>
      <c r="E1220" s="136" t="s">
        <v>594</v>
      </c>
      <c r="F1220" s="136">
        <v>535</v>
      </c>
      <c r="G1220" s="137">
        <f t="shared" si="4"/>
        <v>2</v>
      </c>
      <c r="H1220" s="137"/>
      <c r="I1220" s="137"/>
      <c r="J1220" s="135"/>
      <c r="K1220" s="135"/>
      <c r="L1220" s="135"/>
      <c r="M1220" s="135"/>
      <c r="N1220" s="135"/>
      <c r="O1220" s="135"/>
      <c r="P1220" s="135"/>
      <c r="Q1220" s="135"/>
      <c r="R1220" s="135"/>
      <c r="S1220" s="135"/>
      <c r="T1220" s="135"/>
      <c r="U1220" s="135"/>
      <c r="V1220" s="135"/>
      <c r="W1220" s="135"/>
      <c r="X1220" s="135"/>
      <c r="Y1220" s="135"/>
      <c r="Z1220" s="135"/>
    </row>
    <row r="1221" spans="1:26" ht="12.75">
      <c r="A1221" s="136" t="s">
        <v>8</v>
      </c>
      <c r="B1221" s="136" t="s">
        <v>8</v>
      </c>
      <c r="C1221" s="136" t="s">
        <v>7566</v>
      </c>
      <c r="D1221" s="136" t="s">
        <v>165</v>
      </c>
      <c r="E1221" s="136" t="s">
        <v>615</v>
      </c>
      <c r="F1221" s="136">
        <v>400</v>
      </c>
      <c r="G1221" s="137">
        <f t="shared" si="4"/>
        <v>3</v>
      </c>
      <c r="H1221" s="137"/>
      <c r="I1221" s="137"/>
      <c r="J1221" s="135"/>
      <c r="K1221" s="135"/>
      <c r="L1221" s="135"/>
      <c r="M1221" s="135"/>
      <c r="N1221" s="135"/>
      <c r="O1221" s="135"/>
      <c r="P1221" s="135"/>
      <c r="Q1221" s="135"/>
      <c r="R1221" s="135"/>
      <c r="S1221" s="135"/>
      <c r="T1221" s="135"/>
      <c r="U1221" s="135"/>
      <c r="V1221" s="135"/>
      <c r="W1221" s="135"/>
      <c r="X1221" s="135"/>
      <c r="Y1221" s="135"/>
      <c r="Z1221" s="135"/>
    </row>
    <row r="1222" spans="1:26" ht="12.75">
      <c r="A1222" s="136" t="s">
        <v>8</v>
      </c>
      <c r="B1222" s="136" t="s">
        <v>8</v>
      </c>
      <c r="C1222" s="136" t="s">
        <v>7566</v>
      </c>
      <c r="D1222" s="136" t="s">
        <v>467</v>
      </c>
      <c r="E1222" s="136" t="s">
        <v>85</v>
      </c>
      <c r="F1222" s="136">
        <v>193</v>
      </c>
      <c r="G1222" s="137">
        <f t="shared" si="4"/>
        <v>4</v>
      </c>
      <c r="H1222" s="137"/>
      <c r="I1222" s="137"/>
      <c r="J1222" s="135"/>
      <c r="K1222" s="135"/>
      <c r="L1222" s="135"/>
      <c r="M1222" s="135"/>
      <c r="N1222" s="135"/>
      <c r="O1222" s="135"/>
      <c r="P1222" s="135"/>
      <c r="Q1222" s="135"/>
      <c r="R1222" s="135"/>
      <c r="S1222" s="135"/>
      <c r="T1222" s="135"/>
      <c r="U1222" s="135"/>
      <c r="V1222" s="135"/>
      <c r="W1222" s="135"/>
      <c r="X1222" s="135"/>
      <c r="Y1222" s="135"/>
      <c r="Z1222" s="135"/>
    </row>
    <row r="1223" spans="1:26" ht="12.75">
      <c r="A1223" s="136" t="s">
        <v>8</v>
      </c>
      <c r="B1223" s="136" t="s">
        <v>8</v>
      </c>
      <c r="C1223" s="136" t="s">
        <v>7566</v>
      </c>
      <c r="D1223" s="136" t="s">
        <v>7533</v>
      </c>
      <c r="E1223" s="136" t="s">
        <v>594</v>
      </c>
      <c r="F1223" s="136">
        <v>100</v>
      </c>
      <c r="G1223" s="137">
        <f t="shared" si="4"/>
        <v>5</v>
      </c>
      <c r="H1223" s="137"/>
      <c r="I1223" s="137"/>
      <c r="J1223" s="135"/>
      <c r="K1223" s="135"/>
      <c r="L1223" s="135"/>
      <c r="M1223" s="135"/>
      <c r="N1223" s="135"/>
      <c r="O1223" s="135"/>
      <c r="P1223" s="135"/>
      <c r="Q1223" s="135"/>
      <c r="R1223" s="135"/>
      <c r="S1223" s="135"/>
      <c r="T1223" s="135"/>
      <c r="U1223" s="135"/>
      <c r="V1223" s="135"/>
      <c r="W1223" s="135"/>
      <c r="X1223" s="135"/>
      <c r="Y1223" s="135"/>
      <c r="Z1223" s="135"/>
    </row>
    <row r="1224" spans="1:26" ht="12.75">
      <c r="A1224" s="136" t="s">
        <v>8</v>
      </c>
      <c r="B1224" s="136" t="s">
        <v>8</v>
      </c>
      <c r="C1224" s="136" t="s">
        <v>7566</v>
      </c>
      <c r="D1224" s="136" t="s">
        <v>7551</v>
      </c>
      <c r="E1224" s="136" t="s">
        <v>615</v>
      </c>
      <c r="F1224" s="136">
        <v>80</v>
      </c>
      <c r="G1224" s="137">
        <f t="shared" si="4"/>
        <v>6</v>
      </c>
      <c r="H1224" s="137"/>
      <c r="I1224" s="137"/>
      <c r="J1224" s="135"/>
      <c r="K1224" s="135"/>
      <c r="L1224" s="135"/>
      <c r="M1224" s="135"/>
      <c r="N1224" s="135"/>
      <c r="O1224" s="135"/>
      <c r="P1224" s="135"/>
      <c r="Q1224" s="135"/>
      <c r="R1224" s="135"/>
      <c r="S1224" s="135"/>
      <c r="T1224" s="135"/>
      <c r="U1224" s="135"/>
      <c r="V1224" s="135"/>
      <c r="W1224" s="135"/>
      <c r="X1224" s="135"/>
      <c r="Y1224" s="135"/>
      <c r="Z1224" s="135"/>
    </row>
    <row r="1225" spans="1:26" ht="12.75">
      <c r="A1225" s="136" t="s">
        <v>8</v>
      </c>
      <c r="B1225" s="136" t="s">
        <v>8</v>
      </c>
      <c r="C1225" s="136" t="s">
        <v>7566</v>
      </c>
      <c r="D1225" s="136" t="s">
        <v>7491</v>
      </c>
      <c r="E1225" s="136" t="s">
        <v>615</v>
      </c>
      <c r="F1225" s="136">
        <v>66</v>
      </c>
      <c r="G1225" s="137">
        <f t="shared" si="4"/>
        <v>7</v>
      </c>
      <c r="H1225" s="137"/>
      <c r="I1225" s="137"/>
      <c r="J1225" s="135"/>
      <c r="K1225" s="135"/>
      <c r="L1225" s="135"/>
      <c r="M1225" s="135"/>
      <c r="N1225" s="135"/>
      <c r="O1225" s="135"/>
      <c r="P1225" s="135"/>
      <c r="Q1225" s="135"/>
      <c r="R1225" s="135"/>
      <c r="S1225" s="135"/>
      <c r="T1225" s="135"/>
      <c r="U1225" s="135"/>
      <c r="V1225" s="135"/>
      <c r="W1225" s="135"/>
      <c r="X1225" s="135"/>
      <c r="Y1225" s="135"/>
      <c r="Z1225" s="135"/>
    </row>
    <row r="1226" spans="1:26" ht="12.75">
      <c r="A1226" s="136" t="s">
        <v>8</v>
      </c>
      <c r="B1226" s="136" t="s">
        <v>8</v>
      </c>
      <c r="C1226" s="136" t="s">
        <v>7566</v>
      </c>
      <c r="D1226" s="136" t="s">
        <v>7544</v>
      </c>
      <c r="E1226" s="136" t="s">
        <v>615</v>
      </c>
      <c r="F1226" s="136">
        <v>60</v>
      </c>
      <c r="G1226" s="137">
        <f t="shared" si="4"/>
        <v>8</v>
      </c>
      <c r="H1226" s="137"/>
      <c r="I1226" s="137"/>
      <c r="J1226" s="135"/>
      <c r="K1226" s="135"/>
      <c r="L1226" s="135"/>
      <c r="M1226" s="135"/>
      <c r="N1226" s="135"/>
      <c r="O1226" s="135"/>
      <c r="P1226" s="135"/>
      <c r="Q1226" s="135"/>
      <c r="R1226" s="135"/>
      <c r="S1226" s="135"/>
      <c r="T1226" s="135"/>
      <c r="U1226" s="135"/>
      <c r="V1226" s="135"/>
      <c r="W1226" s="135"/>
      <c r="X1226" s="135"/>
      <c r="Y1226" s="135"/>
      <c r="Z1226" s="135"/>
    </row>
    <row r="1227" spans="1:26" ht="12.75">
      <c r="A1227" s="136" t="s">
        <v>8</v>
      </c>
      <c r="B1227" s="136" t="s">
        <v>8</v>
      </c>
      <c r="C1227" s="136" t="s">
        <v>7566</v>
      </c>
      <c r="D1227" s="136" t="s">
        <v>1665</v>
      </c>
      <c r="E1227" s="136" t="s">
        <v>615</v>
      </c>
      <c r="F1227" s="136">
        <v>60</v>
      </c>
      <c r="G1227" s="137">
        <f t="shared" si="4"/>
        <v>9</v>
      </c>
      <c r="H1227" s="137"/>
      <c r="I1227" s="137"/>
      <c r="J1227" s="135"/>
      <c r="K1227" s="135"/>
      <c r="L1227" s="135"/>
      <c r="M1227" s="135"/>
      <c r="N1227" s="135"/>
      <c r="O1227" s="135"/>
      <c r="P1227" s="135"/>
      <c r="Q1227" s="135"/>
      <c r="R1227" s="135"/>
      <c r="S1227" s="135"/>
      <c r="T1227" s="135"/>
      <c r="U1227" s="135"/>
      <c r="V1227" s="135"/>
      <c r="W1227" s="135"/>
      <c r="X1227" s="135"/>
      <c r="Y1227" s="135"/>
      <c r="Z1227" s="135"/>
    </row>
    <row r="1228" spans="1:26" ht="12.75">
      <c r="A1228" s="136" t="s">
        <v>8</v>
      </c>
      <c r="B1228" s="136" t="s">
        <v>8</v>
      </c>
      <c r="C1228" s="136" t="s">
        <v>7566</v>
      </c>
      <c r="D1228" s="136" t="s">
        <v>368</v>
      </c>
      <c r="E1228" s="136" t="s">
        <v>594</v>
      </c>
      <c r="F1228" s="136">
        <v>35</v>
      </c>
      <c r="G1228" s="137">
        <f t="shared" si="4"/>
        <v>10</v>
      </c>
      <c r="H1228" s="137"/>
      <c r="I1228" s="137"/>
      <c r="J1228" s="135"/>
      <c r="K1228" s="135"/>
      <c r="L1228" s="135"/>
      <c r="M1228" s="135"/>
      <c r="N1228" s="135"/>
      <c r="O1228" s="135"/>
      <c r="P1228" s="135"/>
      <c r="Q1228" s="135"/>
      <c r="R1228" s="135"/>
      <c r="S1228" s="135"/>
      <c r="T1228" s="135"/>
      <c r="U1228" s="135"/>
      <c r="V1228" s="135"/>
      <c r="W1228" s="135"/>
      <c r="X1228" s="135"/>
      <c r="Y1228" s="135"/>
      <c r="Z1228" s="135"/>
    </row>
    <row r="1229" spans="1:26" ht="12.75">
      <c r="A1229" s="136" t="s">
        <v>8</v>
      </c>
      <c r="B1229" s="136" t="s">
        <v>8</v>
      </c>
      <c r="C1229" s="136" t="s">
        <v>7566</v>
      </c>
      <c r="D1229" s="136" t="s">
        <v>1682</v>
      </c>
      <c r="E1229" s="136" t="s">
        <v>86</v>
      </c>
      <c r="F1229" s="136">
        <v>1</v>
      </c>
      <c r="G1229" s="137">
        <f t="shared" si="4"/>
        <v>11</v>
      </c>
      <c r="H1229" s="137"/>
      <c r="I1229" s="137"/>
      <c r="J1229" s="135"/>
      <c r="K1229" s="135"/>
      <c r="L1229" s="135"/>
      <c r="M1229" s="135"/>
      <c r="N1229" s="135"/>
      <c r="O1229" s="135"/>
      <c r="P1229" s="135"/>
      <c r="Q1229" s="135"/>
      <c r="R1229" s="135"/>
      <c r="S1229" s="135"/>
      <c r="T1229" s="135"/>
      <c r="U1229" s="135"/>
      <c r="V1229" s="135"/>
      <c r="W1229" s="135"/>
      <c r="X1229" s="135"/>
      <c r="Y1229" s="135"/>
      <c r="Z1229" s="135"/>
    </row>
    <row r="1230" spans="1:26" ht="12.75">
      <c r="A1230" s="136" t="s">
        <v>8</v>
      </c>
      <c r="B1230" s="136" t="s">
        <v>8</v>
      </c>
      <c r="C1230" s="136" t="s">
        <v>550</v>
      </c>
      <c r="D1230" s="136" t="s">
        <v>139</v>
      </c>
      <c r="E1230" s="136" t="s">
        <v>594</v>
      </c>
      <c r="F1230" s="136">
        <v>4155</v>
      </c>
      <c r="G1230" s="137">
        <f t="shared" si="4"/>
        <v>1</v>
      </c>
      <c r="H1230" s="137"/>
      <c r="I1230" s="137"/>
      <c r="J1230" s="135"/>
      <c r="K1230" s="135"/>
      <c r="L1230" s="135"/>
      <c r="M1230" s="135"/>
      <c r="N1230" s="135"/>
      <c r="O1230" s="135"/>
      <c r="P1230" s="135"/>
      <c r="Q1230" s="135"/>
      <c r="R1230" s="135"/>
      <c r="S1230" s="135"/>
      <c r="T1230" s="135"/>
      <c r="U1230" s="135"/>
      <c r="V1230" s="135"/>
      <c r="W1230" s="135"/>
      <c r="X1230" s="135"/>
      <c r="Y1230" s="135"/>
      <c r="Z1230" s="135"/>
    </row>
    <row r="1231" spans="1:26" ht="12.75">
      <c r="A1231" s="136" t="s">
        <v>8</v>
      </c>
      <c r="B1231" s="136" t="s">
        <v>8</v>
      </c>
      <c r="C1231" s="136" t="s">
        <v>550</v>
      </c>
      <c r="D1231" s="136" t="s">
        <v>165</v>
      </c>
      <c r="E1231" s="136" t="s">
        <v>615</v>
      </c>
      <c r="F1231" s="136">
        <v>2060</v>
      </c>
      <c r="G1231" s="137">
        <f t="shared" si="4"/>
        <v>2</v>
      </c>
      <c r="H1231" s="137"/>
      <c r="I1231" s="137"/>
      <c r="J1231" s="135"/>
      <c r="K1231" s="135"/>
      <c r="L1231" s="135"/>
      <c r="M1231" s="135"/>
      <c r="N1231" s="135"/>
      <c r="O1231" s="135"/>
      <c r="P1231" s="135"/>
      <c r="Q1231" s="135"/>
      <c r="R1231" s="135"/>
      <c r="S1231" s="135"/>
      <c r="T1231" s="135"/>
      <c r="U1231" s="135"/>
      <c r="V1231" s="135"/>
      <c r="W1231" s="135"/>
      <c r="X1231" s="135"/>
      <c r="Y1231" s="135"/>
      <c r="Z1231" s="135"/>
    </row>
    <row r="1232" spans="1:26" ht="12.75">
      <c r="A1232" s="136" t="s">
        <v>8</v>
      </c>
      <c r="B1232" s="136" t="s">
        <v>8</v>
      </c>
      <c r="C1232" s="136" t="s">
        <v>550</v>
      </c>
      <c r="D1232" s="136" t="s">
        <v>7530</v>
      </c>
      <c r="E1232" s="136" t="s">
        <v>85</v>
      </c>
      <c r="F1232" s="136">
        <v>1209</v>
      </c>
      <c r="G1232" s="137">
        <f t="shared" si="4"/>
        <v>3</v>
      </c>
      <c r="H1232" s="137"/>
      <c r="I1232" s="137"/>
      <c r="J1232" s="135"/>
      <c r="K1232" s="135"/>
      <c r="L1232" s="135"/>
      <c r="M1232" s="135"/>
      <c r="N1232" s="135"/>
      <c r="O1232" s="135"/>
      <c r="P1232" s="135"/>
      <c r="Q1232" s="135"/>
      <c r="R1232" s="135"/>
      <c r="S1232" s="135"/>
      <c r="T1232" s="135"/>
      <c r="U1232" s="135"/>
      <c r="V1232" s="135"/>
      <c r="W1232" s="135"/>
      <c r="X1232" s="135"/>
      <c r="Y1232" s="135"/>
      <c r="Z1232" s="135"/>
    </row>
    <row r="1233" spans="1:26" ht="12.75">
      <c r="A1233" s="136" t="s">
        <v>8</v>
      </c>
      <c r="B1233" s="136" t="s">
        <v>8</v>
      </c>
      <c r="C1233" s="136" t="s">
        <v>550</v>
      </c>
      <c r="D1233" s="136" t="s">
        <v>467</v>
      </c>
      <c r="E1233" s="136" t="s">
        <v>85</v>
      </c>
      <c r="F1233" s="136">
        <v>416</v>
      </c>
      <c r="G1233" s="137">
        <f t="shared" si="4"/>
        <v>4</v>
      </c>
      <c r="H1233" s="137"/>
      <c r="I1233" s="137"/>
      <c r="J1233" s="135"/>
      <c r="K1233" s="135"/>
      <c r="L1233" s="135"/>
      <c r="M1233" s="135"/>
      <c r="N1233" s="135"/>
      <c r="O1233" s="135"/>
      <c r="P1233" s="135"/>
      <c r="Q1233" s="135"/>
      <c r="R1233" s="135"/>
      <c r="S1233" s="135"/>
      <c r="T1233" s="135"/>
      <c r="U1233" s="135"/>
      <c r="V1233" s="135"/>
      <c r="W1233" s="135"/>
      <c r="X1233" s="135"/>
      <c r="Y1233" s="135"/>
      <c r="Z1233" s="135"/>
    </row>
    <row r="1234" spans="1:26" ht="12.75">
      <c r="A1234" s="136" t="s">
        <v>8</v>
      </c>
      <c r="B1234" s="136" t="s">
        <v>8</v>
      </c>
      <c r="C1234" s="136" t="s">
        <v>550</v>
      </c>
      <c r="D1234" s="136" t="s">
        <v>7480</v>
      </c>
      <c r="E1234" s="136" t="s">
        <v>594</v>
      </c>
      <c r="F1234" s="136">
        <v>400</v>
      </c>
      <c r="G1234" s="137">
        <f t="shared" si="4"/>
        <v>5</v>
      </c>
      <c r="H1234" s="137"/>
      <c r="I1234" s="137"/>
      <c r="J1234" s="135"/>
      <c r="K1234" s="135"/>
      <c r="L1234" s="135"/>
      <c r="M1234" s="135"/>
      <c r="N1234" s="135"/>
      <c r="O1234" s="135"/>
      <c r="P1234" s="135"/>
      <c r="Q1234" s="135"/>
      <c r="R1234" s="135"/>
      <c r="S1234" s="135"/>
      <c r="T1234" s="135"/>
      <c r="U1234" s="135"/>
      <c r="V1234" s="135"/>
      <c r="W1234" s="135"/>
      <c r="X1234" s="135"/>
      <c r="Y1234" s="135"/>
      <c r="Z1234" s="135"/>
    </row>
    <row r="1235" spans="1:26" ht="12.75">
      <c r="A1235" s="136" t="s">
        <v>8</v>
      </c>
      <c r="B1235" s="136" t="s">
        <v>8</v>
      </c>
      <c r="C1235" s="136" t="s">
        <v>550</v>
      </c>
      <c r="D1235" s="136" t="s">
        <v>7551</v>
      </c>
      <c r="E1235" s="136" t="s">
        <v>615</v>
      </c>
      <c r="F1235" s="136">
        <v>320</v>
      </c>
      <c r="G1235" s="137">
        <f t="shared" si="4"/>
        <v>6</v>
      </c>
      <c r="H1235" s="137"/>
      <c r="I1235" s="137"/>
      <c r="J1235" s="135"/>
      <c r="K1235" s="135"/>
      <c r="L1235" s="135"/>
      <c r="M1235" s="135"/>
      <c r="N1235" s="135"/>
      <c r="O1235" s="135"/>
      <c r="P1235" s="135"/>
      <c r="Q1235" s="135"/>
      <c r="R1235" s="135"/>
      <c r="S1235" s="135"/>
      <c r="T1235" s="135"/>
      <c r="U1235" s="135"/>
      <c r="V1235" s="135"/>
      <c r="W1235" s="135"/>
      <c r="X1235" s="135"/>
      <c r="Y1235" s="135"/>
      <c r="Z1235" s="135"/>
    </row>
    <row r="1236" spans="1:26" ht="12.75">
      <c r="A1236" s="136" t="s">
        <v>8</v>
      </c>
      <c r="B1236" s="136" t="s">
        <v>8</v>
      </c>
      <c r="C1236" s="136" t="s">
        <v>550</v>
      </c>
      <c r="D1236" s="136" t="s">
        <v>7491</v>
      </c>
      <c r="E1236" s="136" t="s">
        <v>615</v>
      </c>
      <c r="F1236" s="136">
        <v>290</v>
      </c>
      <c r="G1236" s="137">
        <f t="shared" si="4"/>
        <v>7</v>
      </c>
      <c r="H1236" s="137"/>
      <c r="I1236" s="137"/>
      <c r="J1236" s="135"/>
      <c r="K1236" s="135"/>
      <c r="L1236" s="135"/>
      <c r="M1236" s="135"/>
      <c r="N1236" s="135"/>
      <c r="O1236" s="135"/>
      <c r="P1236" s="135"/>
      <c r="Q1236" s="135"/>
      <c r="R1236" s="135"/>
      <c r="S1236" s="135"/>
      <c r="T1236" s="135"/>
      <c r="U1236" s="135"/>
      <c r="V1236" s="135"/>
      <c r="W1236" s="135"/>
      <c r="X1236" s="135"/>
      <c r="Y1236" s="135"/>
      <c r="Z1236" s="135"/>
    </row>
    <row r="1237" spans="1:26" ht="12.75">
      <c r="A1237" s="136" t="s">
        <v>8</v>
      </c>
      <c r="B1237" s="136" t="s">
        <v>8</v>
      </c>
      <c r="C1237" s="136" t="s">
        <v>550</v>
      </c>
      <c r="D1237" s="136" t="s">
        <v>1665</v>
      </c>
      <c r="E1237" s="136" t="s">
        <v>615</v>
      </c>
      <c r="F1237" s="136">
        <v>230</v>
      </c>
      <c r="G1237" s="137">
        <f t="shared" si="4"/>
        <v>8</v>
      </c>
      <c r="H1237" s="137"/>
      <c r="I1237" s="137"/>
      <c r="J1237" s="135"/>
      <c r="K1237" s="135"/>
      <c r="L1237" s="135"/>
      <c r="M1237" s="135"/>
      <c r="N1237" s="135"/>
      <c r="O1237" s="135"/>
      <c r="P1237" s="135"/>
      <c r="Q1237" s="135"/>
      <c r="R1237" s="135"/>
      <c r="S1237" s="135"/>
      <c r="T1237" s="135"/>
      <c r="U1237" s="135"/>
      <c r="V1237" s="135"/>
      <c r="W1237" s="135"/>
      <c r="X1237" s="135"/>
      <c r="Y1237" s="135"/>
      <c r="Z1237" s="135"/>
    </row>
    <row r="1238" spans="1:26" ht="12.75">
      <c r="A1238" s="136" t="s">
        <v>8</v>
      </c>
      <c r="B1238" s="136" t="s">
        <v>8</v>
      </c>
      <c r="C1238" s="136" t="s">
        <v>550</v>
      </c>
      <c r="D1238" s="136" t="s">
        <v>7533</v>
      </c>
      <c r="E1238" s="136" t="s">
        <v>594</v>
      </c>
      <c r="F1238" s="136">
        <v>200</v>
      </c>
      <c r="G1238" s="137">
        <f t="shared" si="4"/>
        <v>9</v>
      </c>
      <c r="H1238" s="137"/>
      <c r="I1238" s="137"/>
      <c r="J1238" s="135"/>
      <c r="K1238" s="135"/>
      <c r="L1238" s="135"/>
      <c r="M1238" s="135"/>
      <c r="N1238" s="135"/>
      <c r="O1238" s="135"/>
      <c r="P1238" s="135"/>
      <c r="Q1238" s="135"/>
      <c r="R1238" s="135"/>
      <c r="S1238" s="135"/>
      <c r="T1238" s="135"/>
      <c r="U1238" s="135"/>
      <c r="V1238" s="135"/>
      <c r="W1238" s="135"/>
      <c r="X1238" s="135"/>
      <c r="Y1238" s="135"/>
      <c r="Z1238" s="135"/>
    </row>
    <row r="1239" spans="1:26" ht="12.75">
      <c r="A1239" s="136" t="s">
        <v>8</v>
      </c>
      <c r="B1239" s="136" t="s">
        <v>8</v>
      </c>
      <c r="C1239" s="136" t="s">
        <v>550</v>
      </c>
      <c r="D1239" s="136" t="s">
        <v>7544</v>
      </c>
      <c r="E1239" s="136" t="s">
        <v>615</v>
      </c>
      <c r="F1239" s="136">
        <v>180</v>
      </c>
      <c r="G1239" s="137">
        <f t="shared" si="4"/>
        <v>10</v>
      </c>
      <c r="H1239" s="137"/>
      <c r="I1239" s="137"/>
      <c r="J1239" s="135"/>
      <c r="K1239" s="135"/>
      <c r="L1239" s="135"/>
      <c r="M1239" s="135"/>
      <c r="N1239" s="135"/>
      <c r="O1239" s="135"/>
      <c r="P1239" s="135"/>
      <c r="Q1239" s="135"/>
      <c r="R1239" s="135"/>
      <c r="S1239" s="135"/>
      <c r="T1239" s="135"/>
      <c r="U1239" s="135"/>
      <c r="V1239" s="135"/>
      <c r="W1239" s="135"/>
      <c r="X1239" s="135"/>
      <c r="Y1239" s="135"/>
      <c r="Z1239" s="135"/>
    </row>
    <row r="1240" spans="1:26" ht="12.75">
      <c r="A1240" s="136" t="s">
        <v>8</v>
      </c>
      <c r="B1240" s="136" t="s">
        <v>8</v>
      </c>
      <c r="C1240" s="136" t="s">
        <v>550</v>
      </c>
      <c r="D1240" s="136" t="s">
        <v>368</v>
      </c>
      <c r="E1240" s="136" t="s">
        <v>594</v>
      </c>
      <c r="F1240" s="136">
        <v>170</v>
      </c>
      <c r="G1240" s="137">
        <f t="shared" si="4"/>
        <v>11</v>
      </c>
      <c r="H1240" s="137"/>
      <c r="I1240" s="137"/>
      <c r="J1240" s="135"/>
      <c r="K1240" s="135"/>
      <c r="L1240" s="135"/>
      <c r="M1240" s="135"/>
      <c r="N1240" s="135"/>
      <c r="O1240" s="135"/>
      <c r="P1240" s="135"/>
      <c r="Q1240" s="135"/>
      <c r="R1240" s="135"/>
      <c r="S1240" s="135"/>
      <c r="T1240" s="135"/>
      <c r="U1240" s="135"/>
      <c r="V1240" s="135"/>
      <c r="W1240" s="135"/>
      <c r="X1240" s="135"/>
      <c r="Y1240" s="135"/>
      <c r="Z1240" s="135"/>
    </row>
    <row r="1241" spans="1:26" ht="12.75">
      <c r="A1241" s="136" t="s">
        <v>8</v>
      </c>
      <c r="B1241" s="136" t="s">
        <v>8</v>
      </c>
      <c r="C1241" s="136" t="s">
        <v>550</v>
      </c>
      <c r="D1241" s="136" t="s">
        <v>7532</v>
      </c>
      <c r="E1241" s="136" t="s">
        <v>615</v>
      </c>
      <c r="F1241" s="136">
        <v>80</v>
      </c>
      <c r="G1241" s="137">
        <f t="shared" si="4"/>
        <v>12</v>
      </c>
      <c r="H1241" s="137"/>
      <c r="I1241" s="137"/>
      <c r="J1241" s="135"/>
      <c r="K1241" s="135"/>
      <c r="L1241" s="135"/>
      <c r="M1241" s="135"/>
      <c r="N1241" s="135"/>
      <c r="O1241" s="135"/>
      <c r="P1241" s="135"/>
      <c r="Q1241" s="135"/>
      <c r="R1241" s="135"/>
      <c r="S1241" s="135"/>
      <c r="T1241" s="135"/>
      <c r="U1241" s="135"/>
      <c r="V1241" s="135"/>
      <c r="W1241" s="135"/>
      <c r="X1241" s="135"/>
      <c r="Y1241" s="135"/>
      <c r="Z1241" s="135"/>
    </row>
    <row r="1242" spans="1:26" ht="12.75">
      <c r="A1242" s="136" t="s">
        <v>8</v>
      </c>
      <c r="B1242" s="136" t="s">
        <v>8</v>
      </c>
      <c r="C1242" s="136" t="s">
        <v>550</v>
      </c>
      <c r="D1242" s="136" t="s">
        <v>7531</v>
      </c>
      <c r="E1242" s="136" t="s">
        <v>615</v>
      </c>
      <c r="F1242" s="136">
        <v>60</v>
      </c>
      <c r="G1242" s="137">
        <f t="shared" si="4"/>
        <v>13</v>
      </c>
      <c r="H1242" s="137"/>
      <c r="I1242" s="137"/>
      <c r="J1242" s="135"/>
      <c r="K1242" s="135"/>
      <c r="L1242" s="135"/>
      <c r="M1242" s="135"/>
      <c r="N1242" s="135"/>
      <c r="O1242" s="135"/>
      <c r="P1242" s="135"/>
      <c r="Q1242" s="135"/>
      <c r="R1242" s="135"/>
      <c r="S1242" s="135"/>
      <c r="T1242" s="135"/>
      <c r="U1242" s="135"/>
      <c r="V1242" s="135"/>
      <c r="W1242" s="135"/>
      <c r="X1242" s="135"/>
      <c r="Y1242" s="135"/>
      <c r="Z1242" s="135"/>
    </row>
    <row r="1243" spans="1:26" ht="12.75">
      <c r="A1243" s="136" t="s">
        <v>8</v>
      </c>
      <c r="B1243" s="136" t="s">
        <v>8</v>
      </c>
      <c r="C1243" s="136" t="s">
        <v>550</v>
      </c>
      <c r="D1243" s="136" t="s">
        <v>7531</v>
      </c>
      <c r="E1243" s="136" t="s">
        <v>615</v>
      </c>
      <c r="F1243" s="136">
        <v>60</v>
      </c>
      <c r="G1243" s="137">
        <f t="shared" si="4"/>
        <v>14</v>
      </c>
      <c r="H1243" s="137"/>
      <c r="I1243" s="137"/>
      <c r="J1243" s="135"/>
      <c r="K1243" s="135"/>
      <c r="L1243" s="135"/>
      <c r="M1243" s="135"/>
      <c r="N1243" s="135"/>
      <c r="O1243" s="135"/>
      <c r="P1243" s="135"/>
      <c r="Q1243" s="135"/>
      <c r="R1243" s="135"/>
      <c r="S1243" s="135"/>
      <c r="T1243" s="135"/>
      <c r="U1243" s="135"/>
      <c r="V1243" s="135"/>
      <c r="W1243" s="135"/>
      <c r="X1243" s="135"/>
      <c r="Y1243" s="135"/>
      <c r="Z1243" s="135"/>
    </row>
    <row r="1244" spans="1:26" ht="12.75">
      <c r="A1244" s="136" t="s">
        <v>8</v>
      </c>
      <c r="B1244" s="136" t="s">
        <v>8</v>
      </c>
      <c r="C1244" s="136" t="s">
        <v>550</v>
      </c>
      <c r="D1244" s="136" t="s">
        <v>136</v>
      </c>
      <c r="E1244" s="136" t="s">
        <v>615</v>
      </c>
      <c r="F1244" s="136">
        <v>30</v>
      </c>
      <c r="G1244" s="137">
        <f t="shared" si="4"/>
        <v>15</v>
      </c>
      <c r="H1244" s="137"/>
      <c r="I1244" s="137"/>
      <c r="J1244" s="135"/>
      <c r="K1244" s="135"/>
      <c r="L1244" s="135"/>
      <c r="M1244" s="135"/>
      <c r="N1244" s="135"/>
      <c r="O1244" s="135"/>
      <c r="P1244" s="135"/>
      <c r="Q1244" s="135"/>
      <c r="R1244" s="135"/>
      <c r="S1244" s="135"/>
      <c r="T1244" s="135"/>
      <c r="U1244" s="135"/>
      <c r="V1244" s="135"/>
      <c r="W1244" s="135"/>
      <c r="X1244" s="135"/>
      <c r="Y1244" s="135"/>
      <c r="Z1244" s="135"/>
    </row>
    <row r="1245" spans="1:26" ht="12.75">
      <c r="A1245" s="136" t="s">
        <v>8</v>
      </c>
      <c r="B1245" s="136" t="s">
        <v>8</v>
      </c>
      <c r="C1245" s="136" t="s">
        <v>550</v>
      </c>
      <c r="D1245" s="136" t="s">
        <v>7546</v>
      </c>
      <c r="E1245" s="136" t="s">
        <v>86</v>
      </c>
      <c r="F1245" s="136">
        <v>13</v>
      </c>
      <c r="G1245" s="137">
        <f t="shared" si="4"/>
        <v>16</v>
      </c>
      <c r="H1245" s="137"/>
      <c r="I1245" s="137"/>
      <c r="J1245" s="135"/>
      <c r="K1245" s="135"/>
      <c r="L1245" s="135"/>
      <c r="M1245" s="135"/>
      <c r="N1245" s="135"/>
      <c r="O1245" s="135"/>
      <c r="P1245" s="135"/>
      <c r="Q1245" s="135"/>
      <c r="R1245" s="135"/>
      <c r="S1245" s="135"/>
      <c r="T1245" s="135"/>
      <c r="U1245" s="135"/>
      <c r="V1245" s="135"/>
      <c r="W1245" s="135"/>
      <c r="X1245" s="135"/>
      <c r="Y1245" s="135"/>
      <c r="Z1245" s="135"/>
    </row>
    <row r="1246" spans="1:26" ht="12.75">
      <c r="A1246" s="136" t="s">
        <v>8</v>
      </c>
      <c r="B1246" s="136" t="s">
        <v>8</v>
      </c>
      <c r="C1246" s="136" t="s">
        <v>550</v>
      </c>
      <c r="D1246" s="136" t="s">
        <v>1682</v>
      </c>
      <c r="E1246" s="136" t="s">
        <v>86</v>
      </c>
      <c r="F1246" s="136">
        <v>4</v>
      </c>
      <c r="G1246" s="137">
        <f t="shared" si="4"/>
        <v>17</v>
      </c>
      <c r="H1246" s="137"/>
      <c r="I1246" s="137"/>
      <c r="J1246" s="135"/>
      <c r="K1246" s="135"/>
      <c r="L1246" s="135"/>
      <c r="M1246" s="135"/>
      <c r="N1246" s="135"/>
      <c r="O1246" s="135"/>
      <c r="P1246" s="135"/>
      <c r="Q1246" s="135"/>
      <c r="R1246" s="135"/>
      <c r="S1246" s="135"/>
      <c r="T1246" s="135"/>
      <c r="U1246" s="135"/>
      <c r="V1246" s="135"/>
      <c r="W1246" s="135"/>
      <c r="X1246" s="135"/>
      <c r="Y1246" s="135"/>
      <c r="Z1246" s="135"/>
    </row>
    <row r="1247" spans="1:26" ht="12.75">
      <c r="A1247" s="136" t="s">
        <v>8</v>
      </c>
      <c r="B1247" s="136" t="s">
        <v>8</v>
      </c>
      <c r="C1247" s="136" t="s">
        <v>550</v>
      </c>
      <c r="D1247" s="136" t="s">
        <v>1676</v>
      </c>
      <c r="E1247" s="136" t="s">
        <v>86</v>
      </c>
      <c r="F1247" s="136">
        <v>1</v>
      </c>
      <c r="G1247" s="137">
        <f t="shared" si="4"/>
        <v>18</v>
      </c>
      <c r="H1247" s="137"/>
      <c r="I1247" s="137"/>
      <c r="J1247" s="135"/>
      <c r="K1247" s="135"/>
      <c r="L1247" s="135"/>
      <c r="M1247" s="135"/>
      <c r="N1247" s="135"/>
      <c r="O1247" s="135"/>
      <c r="P1247" s="135"/>
      <c r="Q1247" s="135"/>
      <c r="R1247" s="135"/>
      <c r="S1247" s="135"/>
      <c r="T1247" s="135"/>
      <c r="U1247" s="135"/>
      <c r="V1247" s="135"/>
      <c r="W1247" s="135"/>
      <c r="X1247" s="135"/>
      <c r="Y1247" s="135"/>
      <c r="Z1247" s="135"/>
    </row>
    <row r="1248" spans="1:26" ht="12.75">
      <c r="A1248" s="136" t="s">
        <v>8</v>
      </c>
      <c r="B1248" s="136" t="s">
        <v>8</v>
      </c>
      <c r="C1248" s="136" t="s">
        <v>8</v>
      </c>
      <c r="D1248" s="136" t="s">
        <v>7530</v>
      </c>
      <c r="E1248" s="136" t="s">
        <v>85</v>
      </c>
      <c r="F1248" s="136">
        <v>1523</v>
      </c>
      <c r="G1248" s="137">
        <f t="shared" si="4"/>
        <v>1</v>
      </c>
      <c r="H1248" s="137"/>
      <c r="I1248" s="137"/>
      <c r="J1248" s="135"/>
      <c r="K1248" s="135"/>
      <c r="L1248" s="135"/>
      <c r="M1248" s="135"/>
      <c r="N1248" s="135"/>
      <c r="O1248" s="135"/>
      <c r="P1248" s="135"/>
      <c r="Q1248" s="135"/>
      <c r="R1248" s="135"/>
      <c r="S1248" s="135"/>
      <c r="T1248" s="135"/>
      <c r="U1248" s="135"/>
      <c r="V1248" s="135"/>
      <c r="W1248" s="135"/>
      <c r="X1248" s="135"/>
      <c r="Y1248" s="135"/>
      <c r="Z1248" s="135"/>
    </row>
    <row r="1249" spans="1:26" ht="12.75">
      <c r="A1249" s="136" t="s">
        <v>8</v>
      </c>
      <c r="B1249" s="136" t="s">
        <v>8</v>
      </c>
      <c r="C1249" s="136" t="s">
        <v>8</v>
      </c>
      <c r="D1249" s="136" t="s">
        <v>139</v>
      </c>
      <c r="E1249" s="136" t="s">
        <v>594</v>
      </c>
      <c r="F1249" s="136">
        <v>1505</v>
      </c>
      <c r="G1249" s="137">
        <f t="shared" si="4"/>
        <v>2</v>
      </c>
      <c r="H1249" s="137"/>
      <c r="I1249" s="137"/>
      <c r="J1249" s="135"/>
      <c r="K1249" s="135"/>
      <c r="L1249" s="135"/>
      <c r="M1249" s="135"/>
      <c r="N1249" s="135"/>
      <c r="O1249" s="135"/>
      <c r="P1249" s="135"/>
      <c r="Q1249" s="135"/>
      <c r="R1249" s="135"/>
      <c r="S1249" s="135"/>
      <c r="T1249" s="135"/>
      <c r="U1249" s="135"/>
      <c r="V1249" s="135"/>
      <c r="W1249" s="135"/>
      <c r="X1249" s="135"/>
      <c r="Y1249" s="135"/>
      <c r="Z1249" s="135"/>
    </row>
    <row r="1250" spans="1:26" ht="12.75">
      <c r="A1250" s="136" t="s">
        <v>8</v>
      </c>
      <c r="B1250" s="136" t="s">
        <v>8</v>
      </c>
      <c r="C1250" s="136" t="s">
        <v>8</v>
      </c>
      <c r="D1250" s="136" t="s">
        <v>165</v>
      </c>
      <c r="E1250" s="136" t="s">
        <v>615</v>
      </c>
      <c r="F1250" s="136">
        <v>1335</v>
      </c>
      <c r="G1250" s="137">
        <f t="shared" si="4"/>
        <v>3</v>
      </c>
      <c r="H1250" s="137"/>
      <c r="I1250" s="137"/>
      <c r="J1250" s="135"/>
      <c r="K1250" s="135"/>
      <c r="L1250" s="135"/>
      <c r="M1250" s="135"/>
      <c r="N1250" s="135"/>
      <c r="O1250" s="135"/>
      <c r="P1250" s="135"/>
      <c r="Q1250" s="135"/>
      <c r="R1250" s="135"/>
      <c r="S1250" s="135"/>
      <c r="T1250" s="135"/>
      <c r="U1250" s="135"/>
      <c r="V1250" s="135"/>
      <c r="W1250" s="135"/>
      <c r="X1250" s="135"/>
      <c r="Y1250" s="135"/>
      <c r="Z1250" s="135"/>
    </row>
    <row r="1251" spans="1:26" ht="12.75">
      <c r="A1251" s="136" t="s">
        <v>8</v>
      </c>
      <c r="B1251" s="136" t="s">
        <v>8</v>
      </c>
      <c r="C1251" s="136" t="s">
        <v>8</v>
      </c>
      <c r="D1251" s="136" t="s">
        <v>7544</v>
      </c>
      <c r="E1251" s="136" t="s">
        <v>615</v>
      </c>
      <c r="F1251" s="136">
        <v>990</v>
      </c>
      <c r="G1251" s="137">
        <f t="shared" si="4"/>
        <v>4</v>
      </c>
      <c r="H1251" s="137"/>
      <c r="I1251" s="137"/>
      <c r="J1251" s="135"/>
      <c r="K1251" s="135"/>
      <c r="L1251" s="135"/>
      <c r="M1251" s="135"/>
      <c r="N1251" s="135"/>
      <c r="O1251" s="135"/>
      <c r="P1251" s="135"/>
      <c r="Q1251" s="135"/>
      <c r="R1251" s="135"/>
      <c r="S1251" s="135"/>
      <c r="T1251" s="135"/>
      <c r="U1251" s="135"/>
      <c r="V1251" s="135"/>
      <c r="W1251" s="135"/>
      <c r="X1251" s="135"/>
      <c r="Y1251" s="135"/>
      <c r="Z1251" s="135"/>
    </row>
    <row r="1252" spans="1:26" ht="12.75">
      <c r="A1252" s="136" t="s">
        <v>8</v>
      </c>
      <c r="B1252" s="136" t="s">
        <v>8</v>
      </c>
      <c r="C1252" s="136" t="s">
        <v>8</v>
      </c>
      <c r="D1252" s="136" t="s">
        <v>467</v>
      </c>
      <c r="E1252" s="136" t="s">
        <v>85</v>
      </c>
      <c r="F1252" s="136">
        <v>808</v>
      </c>
      <c r="G1252" s="137">
        <f t="shared" si="4"/>
        <v>5</v>
      </c>
      <c r="H1252" s="137"/>
      <c r="I1252" s="137"/>
      <c r="J1252" s="135"/>
      <c r="K1252" s="135"/>
      <c r="L1252" s="135"/>
      <c r="M1252" s="135"/>
      <c r="N1252" s="135"/>
      <c r="O1252" s="135"/>
      <c r="P1252" s="135"/>
      <c r="Q1252" s="135"/>
      <c r="R1252" s="135"/>
      <c r="S1252" s="135"/>
      <c r="T1252" s="135"/>
      <c r="U1252" s="135"/>
      <c r="V1252" s="135"/>
      <c r="W1252" s="135"/>
      <c r="X1252" s="135"/>
      <c r="Y1252" s="135"/>
      <c r="Z1252" s="135"/>
    </row>
    <row r="1253" spans="1:26" ht="12.75">
      <c r="A1253" s="136" t="s">
        <v>8</v>
      </c>
      <c r="B1253" s="136" t="s">
        <v>8</v>
      </c>
      <c r="C1253" s="136" t="s">
        <v>8</v>
      </c>
      <c r="D1253" s="136" t="s">
        <v>107</v>
      </c>
      <c r="E1253" s="136" t="s">
        <v>615</v>
      </c>
      <c r="F1253" s="136">
        <v>600</v>
      </c>
      <c r="G1253" s="137">
        <f t="shared" si="4"/>
        <v>6</v>
      </c>
      <c r="H1253" s="137"/>
      <c r="I1253" s="137"/>
      <c r="J1253" s="135"/>
      <c r="K1253" s="135"/>
      <c r="L1253" s="135"/>
      <c r="M1253" s="135"/>
      <c r="N1253" s="135"/>
      <c r="O1253" s="135"/>
      <c r="P1253" s="135"/>
      <c r="Q1253" s="135"/>
      <c r="R1253" s="135"/>
      <c r="S1253" s="135"/>
      <c r="T1253" s="135"/>
      <c r="U1253" s="135"/>
      <c r="V1253" s="135"/>
      <c r="W1253" s="135"/>
      <c r="X1253" s="135"/>
      <c r="Y1253" s="135"/>
      <c r="Z1253" s="135"/>
    </row>
    <row r="1254" spans="1:26" ht="12.75">
      <c r="A1254" s="136" t="s">
        <v>8</v>
      </c>
      <c r="B1254" s="136" t="s">
        <v>8</v>
      </c>
      <c r="C1254" s="136" t="s">
        <v>8</v>
      </c>
      <c r="D1254" s="136" t="s">
        <v>1665</v>
      </c>
      <c r="E1254" s="136" t="s">
        <v>615</v>
      </c>
      <c r="F1254" s="136">
        <v>530</v>
      </c>
      <c r="G1254" s="137">
        <f t="shared" si="4"/>
        <v>7</v>
      </c>
      <c r="H1254" s="137"/>
      <c r="I1254" s="137"/>
      <c r="J1254" s="135"/>
      <c r="K1254" s="135"/>
      <c r="L1254" s="135"/>
      <c r="M1254" s="135"/>
      <c r="N1254" s="135"/>
      <c r="O1254" s="135"/>
      <c r="P1254" s="135"/>
      <c r="Q1254" s="135"/>
      <c r="R1254" s="135"/>
      <c r="S1254" s="135"/>
      <c r="T1254" s="135"/>
      <c r="U1254" s="135"/>
      <c r="V1254" s="135"/>
      <c r="W1254" s="135"/>
      <c r="X1254" s="135"/>
      <c r="Y1254" s="135"/>
      <c r="Z1254" s="135"/>
    </row>
    <row r="1255" spans="1:26" ht="12.75">
      <c r="A1255" s="136" t="s">
        <v>8</v>
      </c>
      <c r="B1255" s="136" t="s">
        <v>8</v>
      </c>
      <c r="C1255" s="136" t="s">
        <v>8</v>
      </c>
      <c r="D1255" s="136" t="s">
        <v>7551</v>
      </c>
      <c r="E1255" s="136" t="s">
        <v>615</v>
      </c>
      <c r="F1255" s="136">
        <v>480</v>
      </c>
      <c r="G1255" s="137">
        <f t="shared" si="4"/>
        <v>8</v>
      </c>
      <c r="H1255" s="137"/>
      <c r="I1255" s="137"/>
      <c r="J1255" s="135"/>
      <c r="K1255" s="135"/>
      <c r="L1255" s="135"/>
      <c r="M1255" s="135"/>
      <c r="N1255" s="135"/>
      <c r="O1255" s="135"/>
      <c r="P1255" s="135"/>
      <c r="Q1255" s="135"/>
      <c r="R1255" s="135"/>
      <c r="S1255" s="135"/>
      <c r="T1255" s="135"/>
      <c r="U1255" s="135"/>
      <c r="V1255" s="135"/>
      <c r="W1255" s="135"/>
      <c r="X1255" s="135"/>
      <c r="Y1255" s="135"/>
      <c r="Z1255" s="135"/>
    </row>
    <row r="1256" spans="1:26" ht="12.75">
      <c r="A1256" s="136" t="s">
        <v>8</v>
      </c>
      <c r="B1256" s="136" t="s">
        <v>8</v>
      </c>
      <c r="C1256" s="136" t="s">
        <v>8</v>
      </c>
      <c r="D1256" s="136" t="s">
        <v>7491</v>
      </c>
      <c r="E1256" s="136" t="s">
        <v>615</v>
      </c>
      <c r="F1256" s="136">
        <v>400</v>
      </c>
      <c r="G1256" s="137">
        <f t="shared" si="4"/>
        <v>9</v>
      </c>
      <c r="H1256" s="137"/>
      <c r="I1256" s="137"/>
      <c r="J1256" s="135"/>
      <c r="K1256" s="135"/>
      <c r="L1256" s="135"/>
      <c r="M1256" s="135"/>
      <c r="N1256" s="135"/>
      <c r="O1256" s="135"/>
      <c r="P1256" s="135"/>
      <c r="Q1256" s="135"/>
      <c r="R1256" s="135"/>
      <c r="S1256" s="135"/>
      <c r="T1256" s="135"/>
      <c r="U1256" s="135"/>
      <c r="V1256" s="135"/>
      <c r="W1256" s="135"/>
      <c r="X1256" s="135"/>
      <c r="Y1256" s="135"/>
      <c r="Z1256" s="135"/>
    </row>
    <row r="1257" spans="1:26" ht="12.75">
      <c r="A1257" s="136" t="s">
        <v>8</v>
      </c>
      <c r="B1257" s="136" t="s">
        <v>8</v>
      </c>
      <c r="C1257" s="136" t="s">
        <v>8</v>
      </c>
      <c r="D1257" s="136" t="s">
        <v>7533</v>
      </c>
      <c r="E1257" s="136" t="s">
        <v>594</v>
      </c>
      <c r="F1257" s="136">
        <v>344</v>
      </c>
      <c r="G1257" s="137">
        <f t="shared" si="4"/>
        <v>10</v>
      </c>
      <c r="H1257" s="137"/>
      <c r="I1257" s="137"/>
      <c r="J1257" s="135"/>
      <c r="K1257" s="135"/>
      <c r="L1257" s="135"/>
      <c r="M1257" s="135"/>
      <c r="N1257" s="135"/>
      <c r="O1257" s="135"/>
      <c r="P1257" s="135"/>
      <c r="Q1257" s="135"/>
      <c r="R1257" s="135"/>
      <c r="S1257" s="135"/>
      <c r="T1257" s="135"/>
      <c r="U1257" s="135"/>
      <c r="V1257" s="135"/>
      <c r="W1257" s="135"/>
      <c r="X1257" s="135"/>
      <c r="Y1257" s="135"/>
      <c r="Z1257" s="135"/>
    </row>
    <row r="1258" spans="1:26" ht="12.75">
      <c r="A1258" s="136" t="s">
        <v>8</v>
      </c>
      <c r="B1258" s="136" t="s">
        <v>8</v>
      </c>
      <c r="C1258" s="136" t="s">
        <v>8</v>
      </c>
      <c r="D1258" s="136" t="s">
        <v>7531</v>
      </c>
      <c r="E1258" s="136" t="s">
        <v>615</v>
      </c>
      <c r="F1258" s="136">
        <v>250</v>
      </c>
      <c r="G1258" s="137">
        <f t="shared" si="4"/>
        <v>11</v>
      </c>
      <c r="H1258" s="137"/>
      <c r="I1258" s="137"/>
      <c r="J1258" s="135"/>
      <c r="K1258" s="135"/>
      <c r="L1258" s="135"/>
      <c r="M1258" s="135"/>
      <c r="N1258" s="135"/>
      <c r="O1258" s="135"/>
      <c r="P1258" s="135"/>
      <c r="Q1258" s="135"/>
      <c r="R1258" s="135"/>
      <c r="S1258" s="135"/>
      <c r="T1258" s="135"/>
      <c r="U1258" s="135"/>
      <c r="V1258" s="135"/>
      <c r="W1258" s="135"/>
      <c r="X1258" s="135"/>
      <c r="Y1258" s="135"/>
      <c r="Z1258" s="135"/>
    </row>
    <row r="1259" spans="1:26" ht="12.75">
      <c r="A1259" s="136" t="s">
        <v>8</v>
      </c>
      <c r="B1259" s="136" t="s">
        <v>8</v>
      </c>
      <c r="C1259" s="136" t="s">
        <v>8</v>
      </c>
      <c r="D1259" s="136" t="s">
        <v>7567</v>
      </c>
      <c r="E1259" s="136" t="s">
        <v>615</v>
      </c>
      <c r="F1259" s="136">
        <v>220</v>
      </c>
      <c r="G1259" s="137">
        <f t="shared" si="4"/>
        <v>12</v>
      </c>
      <c r="H1259" s="137"/>
      <c r="I1259" s="137"/>
      <c r="J1259" s="135"/>
      <c r="K1259" s="135"/>
      <c r="L1259" s="135"/>
      <c r="M1259" s="135"/>
      <c r="N1259" s="135"/>
      <c r="O1259" s="135"/>
      <c r="P1259" s="135"/>
      <c r="Q1259" s="135"/>
      <c r="R1259" s="135"/>
      <c r="S1259" s="135"/>
      <c r="T1259" s="135"/>
      <c r="U1259" s="135"/>
      <c r="V1259" s="135"/>
      <c r="W1259" s="135"/>
      <c r="X1259" s="135"/>
      <c r="Y1259" s="135"/>
      <c r="Z1259" s="135"/>
    </row>
    <row r="1260" spans="1:26" ht="12.75">
      <c r="A1260" s="136" t="s">
        <v>8</v>
      </c>
      <c r="B1260" s="136" t="s">
        <v>8</v>
      </c>
      <c r="C1260" s="136" t="s">
        <v>8</v>
      </c>
      <c r="D1260" s="136" t="s">
        <v>7532</v>
      </c>
      <c r="E1260" s="136" t="s">
        <v>615</v>
      </c>
      <c r="F1260" s="136">
        <v>210</v>
      </c>
      <c r="G1260" s="137">
        <f t="shared" si="4"/>
        <v>13</v>
      </c>
      <c r="H1260" s="137"/>
      <c r="I1260" s="137"/>
      <c r="J1260" s="135"/>
      <c r="K1260" s="135"/>
      <c r="L1260" s="135"/>
      <c r="M1260" s="135"/>
      <c r="N1260" s="135"/>
      <c r="O1260" s="135"/>
      <c r="P1260" s="135"/>
      <c r="Q1260" s="135"/>
      <c r="R1260" s="135"/>
      <c r="S1260" s="135"/>
      <c r="T1260" s="135"/>
      <c r="U1260" s="135"/>
      <c r="V1260" s="135"/>
      <c r="W1260" s="135"/>
      <c r="X1260" s="135"/>
      <c r="Y1260" s="135"/>
      <c r="Z1260" s="135"/>
    </row>
    <row r="1261" spans="1:26" ht="12.75">
      <c r="A1261" s="136" t="s">
        <v>8</v>
      </c>
      <c r="B1261" s="136" t="s">
        <v>8</v>
      </c>
      <c r="C1261" s="136" t="s">
        <v>8</v>
      </c>
      <c r="D1261" s="136" t="s">
        <v>368</v>
      </c>
      <c r="E1261" s="136" t="s">
        <v>594</v>
      </c>
      <c r="F1261" s="136">
        <v>200</v>
      </c>
      <c r="G1261" s="137">
        <f t="shared" si="4"/>
        <v>14</v>
      </c>
      <c r="H1261" s="137"/>
      <c r="I1261" s="137"/>
      <c r="J1261" s="135"/>
      <c r="K1261" s="135"/>
      <c r="L1261" s="135"/>
      <c r="M1261" s="135"/>
      <c r="N1261" s="135"/>
      <c r="O1261" s="135"/>
      <c r="P1261" s="135"/>
      <c r="Q1261" s="135"/>
      <c r="R1261" s="135"/>
      <c r="S1261" s="135"/>
      <c r="T1261" s="135"/>
      <c r="U1261" s="135"/>
      <c r="V1261" s="135"/>
      <c r="W1261" s="135"/>
      <c r="X1261" s="135"/>
      <c r="Y1261" s="135"/>
      <c r="Z1261" s="135"/>
    </row>
    <row r="1262" spans="1:26" ht="12.75">
      <c r="A1262" s="136" t="s">
        <v>8</v>
      </c>
      <c r="B1262" s="136" t="s">
        <v>8</v>
      </c>
      <c r="C1262" s="136" t="s">
        <v>8</v>
      </c>
      <c r="D1262" s="136" t="s">
        <v>154</v>
      </c>
      <c r="E1262" s="136" t="s">
        <v>615</v>
      </c>
      <c r="F1262" s="136">
        <v>140</v>
      </c>
      <c r="G1262" s="137">
        <f t="shared" si="4"/>
        <v>15</v>
      </c>
      <c r="H1262" s="137"/>
      <c r="I1262" s="137"/>
      <c r="J1262" s="135"/>
      <c r="K1262" s="135"/>
      <c r="L1262" s="135"/>
      <c r="M1262" s="135"/>
      <c r="N1262" s="135"/>
      <c r="O1262" s="135"/>
      <c r="P1262" s="135"/>
      <c r="Q1262" s="135"/>
      <c r="R1262" s="135"/>
      <c r="S1262" s="135"/>
      <c r="T1262" s="135"/>
      <c r="U1262" s="135"/>
      <c r="V1262" s="135"/>
      <c r="W1262" s="135"/>
      <c r="X1262" s="135"/>
      <c r="Y1262" s="135"/>
      <c r="Z1262" s="135"/>
    </row>
    <row r="1263" spans="1:26" ht="12.75">
      <c r="A1263" s="136" t="s">
        <v>8</v>
      </c>
      <c r="B1263" s="136" t="s">
        <v>8</v>
      </c>
      <c r="C1263" s="136" t="s">
        <v>8</v>
      </c>
      <c r="D1263" s="136" t="s">
        <v>1666</v>
      </c>
      <c r="E1263" s="136" t="s">
        <v>85</v>
      </c>
      <c r="F1263" s="136">
        <v>122</v>
      </c>
      <c r="G1263" s="137">
        <f t="shared" si="4"/>
        <v>16</v>
      </c>
      <c r="H1263" s="137"/>
      <c r="I1263" s="137"/>
      <c r="J1263" s="135"/>
      <c r="K1263" s="135"/>
      <c r="L1263" s="135"/>
      <c r="M1263" s="135"/>
      <c r="N1263" s="135"/>
      <c r="O1263" s="135"/>
      <c r="P1263" s="135"/>
      <c r="Q1263" s="135"/>
      <c r="R1263" s="135"/>
      <c r="S1263" s="135"/>
      <c r="T1263" s="135"/>
      <c r="U1263" s="135"/>
      <c r="V1263" s="135"/>
      <c r="W1263" s="135"/>
      <c r="X1263" s="135"/>
      <c r="Y1263" s="135"/>
      <c r="Z1263" s="135"/>
    </row>
    <row r="1264" spans="1:26" ht="12.75">
      <c r="A1264" s="136" t="s">
        <v>8</v>
      </c>
      <c r="B1264" s="136" t="s">
        <v>8</v>
      </c>
      <c r="C1264" s="136" t="s">
        <v>8</v>
      </c>
      <c r="D1264" s="136" t="s">
        <v>1682</v>
      </c>
      <c r="E1264" s="136" t="s">
        <v>86</v>
      </c>
      <c r="F1264" s="136">
        <v>77</v>
      </c>
      <c r="G1264" s="137">
        <f t="shared" si="4"/>
        <v>17</v>
      </c>
      <c r="H1264" s="137"/>
      <c r="I1264" s="137"/>
      <c r="J1264" s="135"/>
      <c r="K1264" s="135"/>
      <c r="L1264" s="135"/>
      <c r="M1264" s="135"/>
      <c r="N1264" s="135"/>
      <c r="O1264" s="135"/>
      <c r="P1264" s="135"/>
      <c r="Q1264" s="135"/>
      <c r="R1264" s="135"/>
      <c r="S1264" s="135"/>
      <c r="T1264" s="135"/>
      <c r="U1264" s="135"/>
      <c r="V1264" s="135"/>
      <c r="W1264" s="135"/>
      <c r="X1264" s="135"/>
      <c r="Y1264" s="135"/>
      <c r="Z1264" s="135"/>
    </row>
    <row r="1265" spans="1:26" ht="12.75">
      <c r="A1265" s="136" t="s">
        <v>8</v>
      </c>
      <c r="B1265" s="136" t="s">
        <v>8</v>
      </c>
      <c r="C1265" s="136" t="s">
        <v>8</v>
      </c>
      <c r="D1265" s="136" t="s">
        <v>1626</v>
      </c>
      <c r="E1265" s="136" t="s">
        <v>594</v>
      </c>
      <c r="F1265" s="136">
        <v>60</v>
      </c>
      <c r="G1265" s="137">
        <f t="shared" si="4"/>
        <v>18</v>
      </c>
      <c r="H1265" s="137"/>
      <c r="I1265" s="137"/>
      <c r="J1265" s="135"/>
      <c r="K1265" s="135"/>
      <c r="L1265" s="135"/>
      <c r="M1265" s="135"/>
      <c r="N1265" s="135"/>
      <c r="O1265" s="135"/>
      <c r="P1265" s="135"/>
      <c r="Q1265" s="135"/>
      <c r="R1265" s="135"/>
      <c r="S1265" s="135"/>
      <c r="T1265" s="135"/>
      <c r="U1265" s="135"/>
      <c r="V1265" s="135"/>
      <c r="W1265" s="135"/>
      <c r="X1265" s="135"/>
      <c r="Y1265" s="135"/>
      <c r="Z1265" s="135"/>
    </row>
    <row r="1266" spans="1:26" ht="12.75">
      <c r="A1266" s="136" t="s">
        <v>8</v>
      </c>
      <c r="B1266" s="136" t="s">
        <v>8</v>
      </c>
      <c r="C1266" s="136" t="s">
        <v>8</v>
      </c>
      <c r="D1266" s="136" t="s">
        <v>7534</v>
      </c>
      <c r="E1266" s="136" t="s">
        <v>594</v>
      </c>
      <c r="F1266" s="136">
        <v>60</v>
      </c>
      <c r="G1266" s="137">
        <f t="shared" si="4"/>
        <v>19</v>
      </c>
      <c r="H1266" s="137"/>
      <c r="I1266" s="137"/>
      <c r="J1266" s="135"/>
      <c r="K1266" s="135"/>
      <c r="L1266" s="135"/>
      <c r="M1266" s="135"/>
      <c r="N1266" s="135"/>
      <c r="O1266" s="135"/>
      <c r="P1266" s="135"/>
      <c r="Q1266" s="135"/>
      <c r="R1266" s="135"/>
      <c r="S1266" s="135"/>
      <c r="T1266" s="135"/>
      <c r="U1266" s="135"/>
      <c r="V1266" s="135"/>
      <c r="W1266" s="135"/>
      <c r="X1266" s="135"/>
      <c r="Y1266" s="135"/>
      <c r="Z1266" s="135"/>
    </row>
    <row r="1267" spans="1:26" ht="12.75">
      <c r="A1267" s="136" t="s">
        <v>8</v>
      </c>
      <c r="B1267" s="136" t="s">
        <v>8</v>
      </c>
      <c r="C1267" s="136" t="s">
        <v>8</v>
      </c>
      <c r="D1267" s="136" t="s">
        <v>7480</v>
      </c>
      <c r="E1267" s="136" t="s">
        <v>594</v>
      </c>
      <c r="F1267" s="136">
        <v>40</v>
      </c>
      <c r="G1267" s="137">
        <f t="shared" si="4"/>
        <v>20</v>
      </c>
      <c r="H1267" s="137"/>
      <c r="I1267" s="137"/>
      <c r="J1267" s="135"/>
      <c r="K1267" s="135"/>
      <c r="L1267" s="135"/>
      <c r="M1267" s="135"/>
      <c r="N1267" s="135"/>
      <c r="O1267" s="135"/>
      <c r="P1267" s="135"/>
      <c r="Q1267" s="135"/>
      <c r="R1267" s="135"/>
      <c r="S1267" s="135"/>
      <c r="T1267" s="135"/>
      <c r="U1267" s="135"/>
      <c r="V1267" s="135"/>
      <c r="W1267" s="135"/>
      <c r="X1267" s="135"/>
      <c r="Y1267" s="135"/>
      <c r="Z1267" s="135"/>
    </row>
    <row r="1268" spans="1:26" ht="12.75">
      <c r="A1268" s="136" t="s">
        <v>8</v>
      </c>
      <c r="B1268" s="136" t="s">
        <v>8</v>
      </c>
      <c r="C1268" s="136" t="s">
        <v>8</v>
      </c>
      <c r="D1268" s="136" t="s">
        <v>7545</v>
      </c>
      <c r="E1268" s="136" t="s">
        <v>86</v>
      </c>
      <c r="F1268" s="136">
        <v>31</v>
      </c>
      <c r="G1268" s="137">
        <f t="shared" si="4"/>
        <v>21</v>
      </c>
      <c r="H1268" s="137"/>
      <c r="I1268" s="137"/>
      <c r="J1268" s="135"/>
      <c r="K1268" s="135"/>
      <c r="L1268" s="135"/>
      <c r="M1268" s="135"/>
      <c r="N1268" s="135"/>
      <c r="O1268" s="135"/>
      <c r="P1268" s="135"/>
      <c r="Q1268" s="135"/>
      <c r="R1268" s="135"/>
      <c r="S1268" s="135"/>
      <c r="T1268" s="135"/>
      <c r="U1268" s="135"/>
      <c r="V1268" s="135"/>
      <c r="W1268" s="135"/>
      <c r="X1268" s="135"/>
      <c r="Y1268" s="135"/>
      <c r="Z1268" s="135"/>
    </row>
    <row r="1269" spans="1:26" ht="12.75">
      <c r="A1269" s="136" t="s">
        <v>8</v>
      </c>
      <c r="B1269" s="136" t="s">
        <v>8</v>
      </c>
      <c r="C1269" s="136" t="s">
        <v>8</v>
      </c>
      <c r="D1269" s="136" t="s">
        <v>7546</v>
      </c>
      <c r="E1269" s="136" t="s">
        <v>86</v>
      </c>
      <c r="F1269" s="136">
        <v>29</v>
      </c>
      <c r="G1269" s="137">
        <f t="shared" si="4"/>
        <v>22</v>
      </c>
      <c r="H1269" s="137"/>
      <c r="I1269" s="137"/>
      <c r="J1269" s="135"/>
      <c r="K1269" s="135"/>
      <c r="L1269" s="135"/>
      <c r="M1269" s="135"/>
      <c r="N1269" s="135"/>
      <c r="O1269" s="135"/>
      <c r="P1269" s="135"/>
      <c r="Q1269" s="135"/>
      <c r="R1269" s="135"/>
      <c r="S1269" s="135"/>
      <c r="T1269" s="135"/>
      <c r="U1269" s="135"/>
      <c r="V1269" s="135"/>
      <c r="W1269" s="135"/>
      <c r="X1269" s="135"/>
      <c r="Y1269" s="135"/>
      <c r="Z1269" s="135"/>
    </row>
    <row r="1270" spans="1:26" ht="12.75">
      <c r="A1270" s="136" t="s">
        <v>8</v>
      </c>
      <c r="B1270" s="136" t="s">
        <v>8</v>
      </c>
      <c r="C1270" s="136" t="s">
        <v>8</v>
      </c>
      <c r="D1270" s="136" t="s">
        <v>595</v>
      </c>
      <c r="E1270" s="136" t="s">
        <v>594</v>
      </c>
      <c r="F1270" s="136">
        <v>20</v>
      </c>
      <c r="G1270" s="137">
        <f t="shared" si="4"/>
        <v>23</v>
      </c>
      <c r="H1270" s="137"/>
      <c r="I1270" s="137"/>
      <c r="J1270" s="135"/>
      <c r="K1270" s="135"/>
      <c r="L1270" s="135"/>
      <c r="M1270" s="135"/>
      <c r="N1270" s="135"/>
      <c r="O1270" s="135"/>
      <c r="P1270" s="135"/>
      <c r="Q1270" s="135"/>
      <c r="R1270" s="135"/>
      <c r="S1270" s="135"/>
      <c r="T1270" s="135"/>
      <c r="U1270" s="135"/>
      <c r="V1270" s="135"/>
      <c r="W1270" s="135"/>
      <c r="X1270" s="135"/>
      <c r="Y1270" s="135"/>
      <c r="Z1270" s="135"/>
    </row>
    <row r="1271" spans="1:26" ht="12.75">
      <c r="A1271" s="136" t="s">
        <v>8</v>
      </c>
      <c r="B1271" s="136" t="s">
        <v>7568</v>
      </c>
      <c r="C1271" s="136" t="s">
        <v>635</v>
      </c>
      <c r="D1271" s="136" t="s">
        <v>139</v>
      </c>
      <c r="E1271" s="136" t="s">
        <v>594</v>
      </c>
      <c r="F1271" s="136">
        <v>2835</v>
      </c>
      <c r="G1271" s="137">
        <f t="shared" si="4"/>
        <v>1</v>
      </c>
      <c r="H1271" s="137"/>
      <c r="I1271" s="137"/>
      <c r="J1271" s="135"/>
      <c r="K1271" s="135"/>
      <c r="L1271" s="135"/>
      <c r="M1271" s="135"/>
      <c r="N1271" s="135"/>
      <c r="O1271" s="135"/>
      <c r="P1271" s="135"/>
      <c r="Q1271" s="135"/>
      <c r="R1271" s="135"/>
      <c r="S1271" s="135"/>
      <c r="T1271" s="135"/>
      <c r="U1271" s="135"/>
      <c r="V1271" s="135"/>
      <c r="W1271" s="135"/>
      <c r="X1271" s="135"/>
      <c r="Y1271" s="135"/>
      <c r="Z1271" s="135"/>
    </row>
    <row r="1272" spans="1:26" ht="12.75">
      <c r="A1272" s="136" t="s">
        <v>8</v>
      </c>
      <c r="B1272" s="136" t="s">
        <v>7568</v>
      </c>
      <c r="C1272" s="136" t="s">
        <v>635</v>
      </c>
      <c r="D1272" s="136" t="s">
        <v>7544</v>
      </c>
      <c r="E1272" s="136" t="s">
        <v>615</v>
      </c>
      <c r="F1272" s="136">
        <v>2030</v>
      </c>
      <c r="G1272" s="137">
        <f t="shared" si="4"/>
        <v>2</v>
      </c>
      <c r="H1272" s="137"/>
      <c r="I1272" s="137"/>
      <c r="J1272" s="135"/>
      <c r="K1272" s="135"/>
      <c r="L1272" s="135"/>
      <c r="M1272" s="135"/>
      <c r="N1272" s="135"/>
      <c r="O1272" s="135"/>
      <c r="P1272" s="135"/>
      <c r="Q1272" s="135"/>
      <c r="R1272" s="135"/>
      <c r="S1272" s="135"/>
      <c r="T1272" s="135"/>
      <c r="U1272" s="135"/>
      <c r="V1272" s="135"/>
      <c r="W1272" s="135"/>
      <c r="X1272" s="135"/>
      <c r="Y1272" s="135"/>
      <c r="Z1272" s="135"/>
    </row>
    <row r="1273" spans="1:26" ht="12.75">
      <c r="A1273" s="136" t="s">
        <v>8</v>
      </c>
      <c r="B1273" s="136" t="s">
        <v>7568</v>
      </c>
      <c r="C1273" s="136" t="s">
        <v>635</v>
      </c>
      <c r="D1273" s="136" t="s">
        <v>165</v>
      </c>
      <c r="E1273" s="136" t="s">
        <v>615</v>
      </c>
      <c r="F1273" s="136">
        <v>1040</v>
      </c>
      <c r="G1273" s="137">
        <f t="shared" si="4"/>
        <v>3</v>
      </c>
      <c r="H1273" s="137"/>
      <c r="I1273" s="137"/>
      <c r="J1273" s="135"/>
      <c r="K1273" s="135"/>
      <c r="L1273" s="135"/>
      <c r="M1273" s="135"/>
      <c r="N1273" s="135"/>
      <c r="O1273" s="135"/>
      <c r="P1273" s="135"/>
      <c r="Q1273" s="135"/>
      <c r="R1273" s="135"/>
      <c r="S1273" s="135"/>
      <c r="T1273" s="135"/>
      <c r="U1273" s="135"/>
      <c r="V1273" s="135"/>
      <c r="W1273" s="135"/>
      <c r="X1273" s="135"/>
      <c r="Y1273" s="135"/>
      <c r="Z1273" s="135"/>
    </row>
    <row r="1274" spans="1:26" ht="12.75">
      <c r="A1274" s="136" t="s">
        <v>8</v>
      </c>
      <c r="B1274" s="136" t="s">
        <v>7568</v>
      </c>
      <c r="C1274" s="136" t="s">
        <v>635</v>
      </c>
      <c r="D1274" s="136" t="s">
        <v>7530</v>
      </c>
      <c r="E1274" s="136" t="s">
        <v>85</v>
      </c>
      <c r="F1274" s="136">
        <v>952</v>
      </c>
      <c r="G1274" s="137">
        <f t="shared" si="4"/>
        <v>4</v>
      </c>
      <c r="H1274" s="137"/>
      <c r="I1274" s="137"/>
      <c r="J1274" s="135"/>
      <c r="K1274" s="135"/>
      <c r="L1274" s="135"/>
      <c r="M1274" s="135"/>
      <c r="N1274" s="135"/>
      <c r="O1274" s="135"/>
      <c r="P1274" s="135"/>
      <c r="Q1274" s="135"/>
      <c r="R1274" s="135"/>
      <c r="S1274" s="135"/>
      <c r="T1274" s="135"/>
      <c r="U1274" s="135"/>
      <c r="V1274" s="135"/>
      <c r="W1274" s="135"/>
      <c r="X1274" s="135"/>
      <c r="Y1274" s="135"/>
      <c r="Z1274" s="135"/>
    </row>
    <row r="1275" spans="1:26" ht="12.75">
      <c r="A1275" s="136" t="s">
        <v>8</v>
      </c>
      <c r="B1275" s="136" t="s">
        <v>7568</v>
      </c>
      <c r="C1275" s="136" t="s">
        <v>635</v>
      </c>
      <c r="D1275" s="136" t="s">
        <v>467</v>
      </c>
      <c r="E1275" s="136" t="s">
        <v>85</v>
      </c>
      <c r="F1275" s="136">
        <v>470</v>
      </c>
      <c r="G1275" s="137">
        <f t="shared" si="4"/>
        <v>5</v>
      </c>
      <c r="H1275" s="137"/>
      <c r="I1275" s="137"/>
      <c r="J1275" s="135"/>
      <c r="K1275" s="135"/>
      <c r="L1275" s="135"/>
      <c r="M1275" s="135"/>
      <c r="N1275" s="135"/>
      <c r="O1275" s="135"/>
      <c r="P1275" s="135"/>
      <c r="Q1275" s="135"/>
      <c r="R1275" s="135"/>
      <c r="S1275" s="135"/>
      <c r="T1275" s="135"/>
      <c r="U1275" s="135"/>
      <c r="V1275" s="135"/>
      <c r="W1275" s="135"/>
      <c r="X1275" s="135"/>
      <c r="Y1275" s="135"/>
      <c r="Z1275" s="135"/>
    </row>
    <row r="1276" spans="1:26" ht="12.75">
      <c r="A1276" s="136" t="s">
        <v>8</v>
      </c>
      <c r="B1276" s="136" t="s">
        <v>7568</v>
      </c>
      <c r="C1276" s="136" t="s">
        <v>635</v>
      </c>
      <c r="D1276" s="136" t="s">
        <v>1665</v>
      </c>
      <c r="E1276" s="136" t="s">
        <v>615</v>
      </c>
      <c r="F1276" s="136">
        <v>430</v>
      </c>
      <c r="G1276" s="137">
        <f t="shared" si="4"/>
        <v>6</v>
      </c>
      <c r="H1276" s="137"/>
      <c r="I1276" s="137"/>
      <c r="J1276" s="135"/>
      <c r="K1276" s="135"/>
      <c r="L1276" s="135"/>
      <c r="M1276" s="135"/>
      <c r="N1276" s="135"/>
      <c r="O1276" s="135"/>
      <c r="P1276" s="135"/>
      <c r="Q1276" s="135"/>
      <c r="R1276" s="135"/>
      <c r="S1276" s="135"/>
      <c r="T1276" s="135"/>
      <c r="U1276" s="135"/>
      <c r="V1276" s="135"/>
      <c r="W1276" s="135"/>
      <c r="X1276" s="135"/>
      <c r="Y1276" s="135"/>
      <c r="Z1276" s="135"/>
    </row>
    <row r="1277" spans="1:26" ht="12.75">
      <c r="A1277" s="136" t="s">
        <v>8</v>
      </c>
      <c r="B1277" s="136" t="s">
        <v>7568</v>
      </c>
      <c r="C1277" s="136" t="s">
        <v>635</v>
      </c>
      <c r="D1277" s="136" t="s">
        <v>1669</v>
      </c>
      <c r="E1277" s="136" t="s">
        <v>615</v>
      </c>
      <c r="F1277" s="136">
        <v>350</v>
      </c>
      <c r="G1277" s="137">
        <f t="shared" ref="G1277:G1531" si="5">COUNTIFS($C:$C,C1277,$F:$F,"&gt;"&amp;F1277)
 + COUNTIFS($C$2:C1277,C1277,$F$2:F1277,F1277)</f>
        <v>7</v>
      </c>
      <c r="H1277" s="137"/>
      <c r="I1277" s="137"/>
      <c r="J1277" s="135"/>
      <c r="K1277" s="135"/>
      <c r="L1277" s="135"/>
      <c r="M1277" s="135"/>
      <c r="N1277" s="135"/>
      <c r="O1277" s="135"/>
      <c r="P1277" s="135"/>
      <c r="Q1277" s="135"/>
      <c r="R1277" s="135"/>
      <c r="S1277" s="135"/>
      <c r="T1277" s="135"/>
      <c r="U1277" s="135"/>
      <c r="V1277" s="135"/>
      <c r="W1277" s="135"/>
      <c r="X1277" s="135"/>
      <c r="Y1277" s="135"/>
      <c r="Z1277" s="135"/>
    </row>
    <row r="1278" spans="1:26" ht="12.75">
      <c r="A1278" s="136" t="s">
        <v>8</v>
      </c>
      <c r="B1278" s="136" t="s">
        <v>7568</v>
      </c>
      <c r="C1278" s="136" t="s">
        <v>635</v>
      </c>
      <c r="D1278" s="136" t="s">
        <v>7531</v>
      </c>
      <c r="E1278" s="136" t="s">
        <v>615</v>
      </c>
      <c r="F1278" s="136">
        <v>340</v>
      </c>
      <c r="G1278" s="137">
        <f t="shared" si="5"/>
        <v>8</v>
      </c>
      <c r="H1278" s="137"/>
      <c r="I1278" s="137"/>
      <c r="J1278" s="135"/>
      <c r="K1278" s="135"/>
      <c r="L1278" s="135"/>
      <c r="M1278" s="135"/>
      <c r="N1278" s="135"/>
      <c r="O1278" s="135"/>
      <c r="P1278" s="135"/>
      <c r="Q1278" s="135"/>
      <c r="R1278" s="135"/>
      <c r="S1278" s="135"/>
      <c r="T1278" s="135"/>
      <c r="U1278" s="135"/>
      <c r="V1278" s="135"/>
      <c r="W1278" s="135"/>
      <c r="X1278" s="135"/>
      <c r="Y1278" s="135"/>
      <c r="Z1278" s="135"/>
    </row>
    <row r="1279" spans="1:26" ht="12.75">
      <c r="A1279" s="136" t="s">
        <v>8</v>
      </c>
      <c r="B1279" s="136" t="s">
        <v>7568</v>
      </c>
      <c r="C1279" s="136" t="s">
        <v>635</v>
      </c>
      <c r="D1279" s="136" t="s">
        <v>7533</v>
      </c>
      <c r="E1279" s="136" t="s">
        <v>594</v>
      </c>
      <c r="F1279" s="136">
        <v>335</v>
      </c>
      <c r="G1279" s="137">
        <f t="shared" si="5"/>
        <v>9</v>
      </c>
      <c r="H1279" s="137"/>
      <c r="I1279" s="137"/>
      <c r="J1279" s="135"/>
      <c r="K1279" s="135"/>
      <c r="L1279" s="135"/>
      <c r="M1279" s="135"/>
      <c r="N1279" s="135"/>
      <c r="O1279" s="135"/>
      <c r="P1279" s="135"/>
      <c r="Q1279" s="135"/>
      <c r="R1279" s="135"/>
      <c r="S1279" s="135"/>
      <c r="T1279" s="135"/>
      <c r="U1279" s="135"/>
      <c r="V1279" s="135"/>
      <c r="W1279" s="135"/>
      <c r="X1279" s="135"/>
      <c r="Y1279" s="135"/>
      <c r="Z1279" s="135"/>
    </row>
    <row r="1280" spans="1:26" ht="12.75">
      <c r="A1280" s="136" t="s">
        <v>8</v>
      </c>
      <c r="B1280" s="136" t="s">
        <v>7568</v>
      </c>
      <c r="C1280" s="136" t="s">
        <v>635</v>
      </c>
      <c r="D1280" s="136" t="s">
        <v>7491</v>
      </c>
      <c r="E1280" s="136" t="s">
        <v>615</v>
      </c>
      <c r="F1280" s="136">
        <v>300</v>
      </c>
      <c r="G1280" s="137">
        <f t="shared" si="5"/>
        <v>10</v>
      </c>
      <c r="H1280" s="137"/>
      <c r="I1280" s="137"/>
      <c r="J1280" s="135"/>
      <c r="K1280" s="135"/>
      <c r="L1280" s="135"/>
      <c r="M1280" s="135"/>
      <c r="N1280" s="135"/>
      <c r="O1280" s="135"/>
      <c r="P1280" s="135"/>
      <c r="Q1280" s="135"/>
      <c r="R1280" s="135"/>
      <c r="S1280" s="135"/>
      <c r="T1280" s="135"/>
      <c r="U1280" s="135"/>
      <c r="V1280" s="135"/>
      <c r="W1280" s="135"/>
      <c r="X1280" s="135"/>
      <c r="Y1280" s="135"/>
      <c r="Z1280" s="135"/>
    </row>
    <row r="1281" spans="1:26" ht="12.75">
      <c r="A1281" s="136" t="s">
        <v>8</v>
      </c>
      <c r="B1281" s="136" t="s">
        <v>7568</v>
      </c>
      <c r="C1281" s="136" t="s">
        <v>635</v>
      </c>
      <c r="D1281" s="136" t="s">
        <v>368</v>
      </c>
      <c r="E1281" s="136" t="s">
        <v>594</v>
      </c>
      <c r="F1281" s="136">
        <v>300</v>
      </c>
      <c r="G1281" s="137">
        <f t="shared" si="5"/>
        <v>11</v>
      </c>
      <c r="H1281" s="137"/>
      <c r="I1281" s="137"/>
      <c r="J1281" s="135"/>
      <c r="K1281" s="135"/>
      <c r="L1281" s="135"/>
      <c r="M1281" s="135"/>
      <c r="N1281" s="135"/>
      <c r="O1281" s="135"/>
      <c r="P1281" s="135"/>
      <c r="Q1281" s="135"/>
      <c r="R1281" s="135"/>
      <c r="S1281" s="135"/>
      <c r="T1281" s="135"/>
      <c r="U1281" s="135"/>
      <c r="V1281" s="135"/>
      <c r="W1281" s="135"/>
      <c r="X1281" s="135"/>
      <c r="Y1281" s="135"/>
      <c r="Z1281" s="135"/>
    </row>
    <row r="1282" spans="1:26" ht="12.75">
      <c r="A1282" s="136" t="s">
        <v>8</v>
      </c>
      <c r="B1282" s="136" t="s">
        <v>7568</v>
      </c>
      <c r="C1282" s="136" t="s">
        <v>635</v>
      </c>
      <c r="D1282" s="136" t="s">
        <v>7551</v>
      </c>
      <c r="E1282" s="136" t="s">
        <v>615</v>
      </c>
      <c r="F1282" s="136">
        <v>210</v>
      </c>
      <c r="G1282" s="137">
        <f t="shared" si="5"/>
        <v>12</v>
      </c>
      <c r="H1282" s="137"/>
      <c r="I1282" s="137"/>
      <c r="J1282" s="135"/>
      <c r="K1282" s="135"/>
      <c r="L1282" s="135"/>
      <c r="M1282" s="135"/>
      <c r="N1282" s="135"/>
      <c r="O1282" s="135"/>
      <c r="P1282" s="135"/>
      <c r="Q1282" s="135"/>
      <c r="R1282" s="135"/>
      <c r="S1282" s="135"/>
      <c r="T1282" s="135"/>
      <c r="U1282" s="135"/>
      <c r="V1282" s="135"/>
      <c r="W1282" s="135"/>
      <c r="X1282" s="135"/>
      <c r="Y1282" s="135"/>
      <c r="Z1282" s="135"/>
    </row>
    <row r="1283" spans="1:26" ht="12.75">
      <c r="A1283" s="136" t="s">
        <v>8</v>
      </c>
      <c r="B1283" s="136" t="s">
        <v>7568</v>
      </c>
      <c r="C1283" s="136" t="s">
        <v>635</v>
      </c>
      <c r="D1283" s="136" t="s">
        <v>1626</v>
      </c>
      <c r="E1283" s="136" t="s">
        <v>594</v>
      </c>
      <c r="F1283" s="136">
        <v>130</v>
      </c>
      <c r="G1283" s="137">
        <f t="shared" si="5"/>
        <v>13</v>
      </c>
      <c r="H1283" s="137"/>
      <c r="I1283" s="137"/>
      <c r="J1283" s="135"/>
      <c r="K1283" s="135"/>
      <c r="L1283" s="135"/>
      <c r="M1283" s="135"/>
      <c r="N1283" s="135"/>
      <c r="O1283" s="135"/>
      <c r="P1283" s="135"/>
      <c r="Q1283" s="135"/>
      <c r="R1283" s="135"/>
      <c r="S1283" s="135"/>
      <c r="T1283" s="135"/>
      <c r="U1283" s="135"/>
      <c r="V1283" s="135"/>
      <c r="W1283" s="135"/>
      <c r="X1283" s="135"/>
      <c r="Y1283" s="135"/>
      <c r="Z1283" s="135"/>
    </row>
    <row r="1284" spans="1:26" ht="12.75">
      <c r="A1284" s="136" t="s">
        <v>8</v>
      </c>
      <c r="B1284" s="136" t="s">
        <v>7568</v>
      </c>
      <c r="C1284" s="136" t="s">
        <v>635</v>
      </c>
      <c r="D1284" s="136" t="s">
        <v>107</v>
      </c>
      <c r="E1284" s="136" t="s">
        <v>615</v>
      </c>
      <c r="F1284" s="136">
        <v>130</v>
      </c>
      <c r="G1284" s="137">
        <f t="shared" si="5"/>
        <v>14</v>
      </c>
      <c r="H1284" s="137"/>
      <c r="I1284" s="137"/>
      <c r="J1284" s="135"/>
      <c r="K1284" s="135"/>
      <c r="L1284" s="135"/>
      <c r="M1284" s="135"/>
      <c r="N1284" s="135"/>
      <c r="O1284" s="135"/>
      <c r="P1284" s="135"/>
      <c r="Q1284" s="135"/>
      <c r="R1284" s="135"/>
      <c r="S1284" s="135"/>
      <c r="T1284" s="135"/>
      <c r="U1284" s="135"/>
      <c r="V1284" s="135"/>
      <c r="W1284" s="135"/>
      <c r="X1284" s="135"/>
      <c r="Y1284" s="135"/>
      <c r="Z1284" s="135"/>
    </row>
    <row r="1285" spans="1:26" ht="12.75">
      <c r="A1285" s="136" t="s">
        <v>8</v>
      </c>
      <c r="B1285" s="136" t="s">
        <v>7568</v>
      </c>
      <c r="C1285" s="136" t="s">
        <v>635</v>
      </c>
      <c r="D1285" s="136" t="s">
        <v>7532</v>
      </c>
      <c r="E1285" s="136" t="s">
        <v>615</v>
      </c>
      <c r="F1285" s="136">
        <v>80</v>
      </c>
      <c r="G1285" s="137">
        <f t="shared" si="5"/>
        <v>15</v>
      </c>
      <c r="H1285" s="137"/>
      <c r="I1285" s="137"/>
      <c r="J1285" s="135"/>
      <c r="K1285" s="135"/>
      <c r="L1285" s="135"/>
      <c r="M1285" s="135"/>
      <c r="N1285" s="135"/>
      <c r="O1285" s="135"/>
      <c r="P1285" s="135"/>
      <c r="Q1285" s="135"/>
      <c r="R1285" s="135"/>
      <c r="S1285" s="135"/>
      <c r="T1285" s="135"/>
      <c r="U1285" s="135"/>
      <c r="V1285" s="135"/>
      <c r="W1285" s="135"/>
      <c r="X1285" s="135"/>
      <c r="Y1285" s="135"/>
      <c r="Z1285" s="135"/>
    </row>
    <row r="1286" spans="1:26" ht="12.75">
      <c r="A1286" s="136" t="s">
        <v>8</v>
      </c>
      <c r="B1286" s="136" t="s">
        <v>7568</v>
      </c>
      <c r="C1286" s="136" t="s">
        <v>635</v>
      </c>
      <c r="D1286" s="136" t="s">
        <v>1682</v>
      </c>
      <c r="E1286" s="136" t="s">
        <v>86</v>
      </c>
      <c r="F1286" s="136">
        <v>29</v>
      </c>
      <c r="G1286" s="137">
        <f t="shared" si="5"/>
        <v>16</v>
      </c>
      <c r="H1286" s="137"/>
      <c r="I1286" s="137"/>
      <c r="J1286" s="135"/>
      <c r="K1286" s="135"/>
      <c r="L1286" s="135"/>
      <c r="M1286" s="135"/>
      <c r="N1286" s="135"/>
      <c r="O1286" s="135"/>
      <c r="P1286" s="135"/>
      <c r="Q1286" s="135"/>
      <c r="R1286" s="135"/>
      <c r="S1286" s="135"/>
      <c r="T1286" s="135"/>
      <c r="U1286" s="135"/>
      <c r="V1286" s="135"/>
      <c r="W1286" s="135"/>
      <c r="X1286" s="135"/>
      <c r="Y1286" s="135"/>
      <c r="Z1286" s="135"/>
    </row>
    <row r="1287" spans="1:26" ht="12.75">
      <c r="A1287" s="136" t="s">
        <v>8</v>
      </c>
      <c r="B1287" s="136" t="s">
        <v>7569</v>
      </c>
      <c r="C1287" s="136" t="s">
        <v>7556</v>
      </c>
      <c r="D1287" s="136" t="s">
        <v>139</v>
      </c>
      <c r="E1287" s="136" t="s">
        <v>594</v>
      </c>
      <c r="F1287" s="136">
        <v>4030</v>
      </c>
      <c r="G1287" s="137">
        <f t="shared" si="5"/>
        <v>1</v>
      </c>
      <c r="H1287" s="137"/>
      <c r="I1287" s="137"/>
      <c r="J1287" s="135"/>
      <c r="K1287" s="135"/>
      <c r="L1287" s="135"/>
      <c r="M1287" s="135"/>
      <c r="N1287" s="135"/>
      <c r="O1287" s="135"/>
      <c r="P1287" s="135"/>
      <c r="Q1287" s="135"/>
      <c r="R1287" s="135"/>
      <c r="S1287" s="135"/>
      <c r="T1287" s="135"/>
      <c r="U1287" s="135"/>
      <c r="V1287" s="135"/>
      <c r="W1287" s="135"/>
      <c r="X1287" s="135"/>
      <c r="Y1287" s="135"/>
      <c r="Z1287" s="135"/>
    </row>
    <row r="1288" spans="1:26" ht="12.75">
      <c r="A1288" s="136" t="s">
        <v>8</v>
      </c>
      <c r="B1288" s="136" t="s">
        <v>7569</v>
      </c>
      <c r="C1288" s="136" t="s">
        <v>7556</v>
      </c>
      <c r="D1288" s="136" t="s">
        <v>7530</v>
      </c>
      <c r="E1288" s="136" t="s">
        <v>85</v>
      </c>
      <c r="F1288" s="136">
        <v>1518</v>
      </c>
      <c r="G1288" s="137">
        <f t="shared" si="5"/>
        <v>2</v>
      </c>
      <c r="H1288" s="137"/>
      <c r="I1288" s="137"/>
      <c r="J1288" s="135"/>
      <c r="K1288" s="135"/>
      <c r="L1288" s="135"/>
      <c r="M1288" s="135"/>
      <c r="N1288" s="135"/>
      <c r="O1288" s="135"/>
      <c r="P1288" s="135"/>
      <c r="Q1288" s="135"/>
      <c r="R1288" s="135"/>
      <c r="S1288" s="135"/>
      <c r="T1288" s="135"/>
      <c r="U1288" s="135"/>
      <c r="V1288" s="135"/>
      <c r="W1288" s="135"/>
      <c r="X1288" s="135"/>
      <c r="Y1288" s="135"/>
      <c r="Z1288" s="135"/>
    </row>
    <row r="1289" spans="1:26" ht="12.75">
      <c r="A1289" s="136" t="s">
        <v>8</v>
      </c>
      <c r="B1289" s="136" t="s">
        <v>7569</v>
      </c>
      <c r="C1289" s="136" t="s">
        <v>7556</v>
      </c>
      <c r="D1289" s="136" t="s">
        <v>467</v>
      </c>
      <c r="E1289" s="136" t="s">
        <v>85</v>
      </c>
      <c r="F1289" s="136">
        <v>664</v>
      </c>
      <c r="G1289" s="137">
        <f t="shared" si="5"/>
        <v>3</v>
      </c>
      <c r="H1289" s="137"/>
      <c r="I1289" s="137"/>
      <c r="J1289" s="135"/>
      <c r="K1289" s="135"/>
      <c r="L1289" s="135"/>
      <c r="M1289" s="135"/>
      <c r="N1289" s="135"/>
      <c r="O1289" s="135"/>
      <c r="P1289" s="135"/>
      <c r="Q1289" s="135"/>
      <c r="R1289" s="135"/>
      <c r="S1289" s="135"/>
      <c r="T1289" s="135"/>
      <c r="U1289" s="135"/>
      <c r="V1289" s="135"/>
      <c r="W1289" s="135"/>
      <c r="X1289" s="135"/>
      <c r="Y1289" s="135"/>
      <c r="Z1289" s="135"/>
    </row>
    <row r="1290" spans="1:26" ht="12.75">
      <c r="A1290" s="136" t="s">
        <v>8</v>
      </c>
      <c r="B1290" s="136" t="s">
        <v>7569</v>
      </c>
      <c r="C1290" s="136" t="s">
        <v>7556</v>
      </c>
      <c r="D1290" s="136" t="s">
        <v>165</v>
      </c>
      <c r="E1290" s="136" t="s">
        <v>615</v>
      </c>
      <c r="F1290" s="136">
        <v>620</v>
      </c>
      <c r="G1290" s="137">
        <f t="shared" si="5"/>
        <v>4</v>
      </c>
      <c r="H1290" s="137"/>
      <c r="I1290" s="137"/>
      <c r="J1290" s="135"/>
      <c r="K1290" s="135"/>
      <c r="L1290" s="135"/>
      <c r="M1290" s="135"/>
      <c r="N1290" s="135"/>
      <c r="O1290" s="135"/>
      <c r="P1290" s="135"/>
      <c r="Q1290" s="135"/>
      <c r="R1290" s="135"/>
      <c r="S1290" s="135"/>
      <c r="T1290" s="135"/>
      <c r="U1290" s="135"/>
      <c r="V1290" s="135"/>
      <c r="W1290" s="135"/>
      <c r="X1290" s="135"/>
      <c r="Y1290" s="135"/>
      <c r="Z1290" s="135"/>
    </row>
    <row r="1291" spans="1:26" ht="12.75">
      <c r="A1291" s="136" t="s">
        <v>8</v>
      </c>
      <c r="B1291" s="136" t="s">
        <v>7569</v>
      </c>
      <c r="C1291" s="136" t="s">
        <v>7556</v>
      </c>
      <c r="D1291" s="136" t="s">
        <v>7544</v>
      </c>
      <c r="E1291" s="136" t="s">
        <v>615</v>
      </c>
      <c r="F1291" s="136">
        <v>460</v>
      </c>
      <c r="G1291" s="137">
        <f t="shared" si="5"/>
        <v>5</v>
      </c>
      <c r="H1291" s="137"/>
      <c r="I1291" s="137"/>
      <c r="J1291" s="135"/>
      <c r="K1291" s="135"/>
      <c r="L1291" s="135"/>
      <c r="M1291" s="135"/>
      <c r="N1291" s="135"/>
      <c r="O1291" s="135"/>
      <c r="P1291" s="135"/>
      <c r="Q1291" s="135"/>
      <c r="R1291" s="135"/>
      <c r="S1291" s="135"/>
      <c r="T1291" s="135"/>
      <c r="U1291" s="135"/>
      <c r="V1291" s="135"/>
      <c r="W1291" s="135"/>
      <c r="X1291" s="135"/>
      <c r="Y1291" s="135"/>
      <c r="Z1291" s="135"/>
    </row>
    <row r="1292" spans="1:26" ht="12.75">
      <c r="A1292" s="136" t="s">
        <v>8</v>
      </c>
      <c r="B1292" s="136" t="s">
        <v>7569</v>
      </c>
      <c r="C1292" s="136" t="s">
        <v>7556</v>
      </c>
      <c r="D1292" s="136" t="s">
        <v>7533</v>
      </c>
      <c r="E1292" s="136" t="s">
        <v>594</v>
      </c>
      <c r="F1292" s="136">
        <v>250</v>
      </c>
      <c r="G1292" s="137">
        <f t="shared" si="5"/>
        <v>6</v>
      </c>
      <c r="H1292" s="137"/>
      <c r="I1292" s="137"/>
      <c r="J1292" s="135"/>
      <c r="K1292" s="135"/>
      <c r="L1292" s="135"/>
      <c r="M1292" s="135"/>
      <c r="N1292" s="135"/>
      <c r="O1292" s="135"/>
      <c r="P1292" s="135"/>
      <c r="Q1292" s="135"/>
      <c r="R1292" s="135"/>
      <c r="S1292" s="135"/>
      <c r="T1292" s="135"/>
      <c r="U1292" s="135"/>
      <c r="V1292" s="135"/>
      <c r="W1292" s="135"/>
      <c r="X1292" s="135"/>
      <c r="Y1292" s="135"/>
      <c r="Z1292" s="135"/>
    </row>
    <row r="1293" spans="1:26" ht="12.75">
      <c r="A1293" s="136" t="s">
        <v>8</v>
      </c>
      <c r="B1293" s="136" t="s">
        <v>7569</v>
      </c>
      <c r="C1293" s="136" t="s">
        <v>7556</v>
      </c>
      <c r="D1293" s="136" t="s">
        <v>7491</v>
      </c>
      <c r="E1293" s="136" t="s">
        <v>615</v>
      </c>
      <c r="F1293" s="136">
        <v>200</v>
      </c>
      <c r="G1293" s="137">
        <f t="shared" si="5"/>
        <v>7</v>
      </c>
      <c r="H1293" s="137"/>
      <c r="I1293" s="137"/>
      <c r="J1293" s="135"/>
      <c r="K1293" s="135"/>
      <c r="L1293" s="135"/>
      <c r="M1293" s="135"/>
      <c r="N1293" s="135"/>
      <c r="O1293" s="135"/>
      <c r="P1293" s="135"/>
      <c r="Q1293" s="135"/>
      <c r="R1293" s="135"/>
      <c r="S1293" s="135"/>
      <c r="T1293" s="135"/>
      <c r="U1293" s="135"/>
      <c r="V1293" s="135"/>
      <c r="W1293" s="135"/>
      <c r="X1293" s="135"/>
      <c r="Y1293" s="135"/>
      <c r="Z1293" s="135"/>
    </row>
    <row r="1294" spans="1:26" ht="12.75">
      <c r="A1294" s="136" t="s">
        <v>8</v>
      </c>
      <c r="B1294" s="136" t="s">
        <v>7569</v>
      </c>
      <c r="C1294" s="136" t="s">
        <v>7556</v>
      </c>
      <c r="D1294" s="136" t="s">
        <v>1665</v>
      </c>
      <c r="E1294" s="136" t="s">
        <v>615</v>
      </c>
      <c r="F1294" s="136">
        <v>180</v>
      </c>
      <c r="G1294" s="137">
        <f t="shared" si="5"/>
        <v>8</v>
      </c>
      <c r="H1294" s="137"/>
      <c r="I1294" s="137"/>
      <c r="J1294" s="135"/>
      <c r="K1294" s="135"/>
      <c r="L1294" s="135"/>
      <c r="M1294" s="135"/>
      <c r="N1294" s="135"/>
      <c r="O1294" s="135"/>
      <c r="P1294" s="135"/>
      <c r="Q1294" s="135"/>
      <c r="R1294" s="135"/>
      <c r="S1294" s="135"/>
      <c r="T1294" s="135"/>
      <c r="U1294" s="135"/>
      <c r="V1294" s="135"/>
      <c r="W1294" s="135"/>
      <c r="X1294" s="135"/>
      <c r="Y1294" s="135"/>
      <c r="Z1294" s="135"/>
    </row>
    <row r="1295" spans="1:26" ht="12.75">
      <c r="A1295" s="136" t="s">
        <v>8</v>
      </c>
      <c r="B1295" s="136" t="s">
        <v>7569</v>
      </c>
      <c r="C1295" s="136" t="s">
        <v>7556</v>
      </c>
      <c r="D1295" s="136" t="s">
        <v>368</v>
      </c>
      <c r="E1295" s="136" t="s">
        <v>594</v>
      </c>
      <c r="F1295" s="136">
        <v>130</v>
      </c>
      <c r="G1295" s="137">
        <f t="shared" si="5"/>
        <v>9</v>
      </c>
      <c r="H1295" s="137"/>
      <c r="I1295" s="137"/>
      <c r="J1295" s="135"/>
      <c r="K1295" s="135"/>
      <c r="L1295" s="135"/>
      <c r="M1295" s="135"/>
      <c r="N1295" s="135"/>
      <c r="O1295" s="135"/>
      <c r="P1295" s="135"/>
      <c r="Q1295" s="135"/>
      <c r="R1295" s="135"/>
      <c r="S1295" s="135"/>
      <c r="T1295" s="135"/>
      <c r="U1295" s="135"/>
      <c r="V1295" s="135"/>
      <c r="W1295" s="135"/>
      <c r="X1295" s="135"/>
      <c r="Y1295" s="135"/>
      <c r="Z1295" s="135"/>
    </row>
    <row r="1296" spans="1:26" ht="12.75">
      <c r="A1296" s="136" t="s">
        <v>8</v>
      </c>
      <c r="B1296" s="136" t="s">
        <v>7569</v>
      </c>
      <c r="C1296" s="136" t="s">
        <v>7556</v>
      </c>
      <c r="D1296" s="136" t="s">
        <v>7551</v>
      </c>
      <c r="E1296" s="136" t="s">
        <v>615</v>
      </c>
      <c r="F1296" s="136">
        <v>120</v>
      </c>
      <c r="G1296" s="137">
        <f t="shared" si="5"/>
        <v>10</v>
      </c>
      <c r="H1296" s="137"/>
      <c r="I1296" s="137"/>
      <c r="J1296" s="135"/>
      <c r="K1296" s="135"/>
      <c r="L1296" s="135"/>
      <c r="M1296" s="135"/>
      <c r="N1296" s="135"/>
      <c r="O1296" s="135"/>
      <c r="P1296" s="135"/>
      <c r="Q1296" s="135"/>
      <c r="R1296" s="135"/>
      <c r="S1296" s="135"/>
      <c r="T1296" s="135"/>
      <c r="U1296" s="135"/>
      <c r="V1296" s="135"/>
      <c r="W1296" s="135"/>
      <c r="X1296" s="135"/>
      <c r="Y1296" s="135"/>
      <c r="Z1296" s="135"/>
    </row>
    <row r="1297" spans="1:26" ht="12.75">
      <c r="A1297" s="136" t="s">
        <v>8</v>
      </c>
      <c r="B1297" s="136" t="s">
        <v>7569</v>
      </c>
      <c r="C1297" s="136" t="s">
        <v>7556</v>
      </c>
      <c r="D1297" s="136" t="s">
        <v>7531</v>
      </c>
      <c r="E1297" s="136" t="s">
        <v>615</v>
      </c>
      <c r="F1297" s="136">
        <v>100</v>
      </c>
      <c r="G1297" s="137">
        <f t="shared" si="5"/>
        <v>11</v>
      </c>
      <c r="H1297" s="137"/>
      <c r="I1297" s="137"/>
      <c r="J1297" s="135"/>
      <c r="K1297" s="135"/>
      <c r="L1297" s="135"/>
      <c r="M1297" s="135"/>
      <c r="N1297" s="135"/>
      <c r="O1297" s="135"/>
      <c r="P1297" s="135"/>
      <c r="Q1297" s="135"/>
      <c r="R1297" s="135"/>
      <c r="S1297" s="135"/>
      <c r="T1297" s="135"/>
      <c r="U1297" s="135"/>
      <c r="V1297" s="135"/>
      <c r="W1297" s="135"/>
      <c r="X1297" s="135"/>
      <c r="Y1297" s="135"/>
      <c r="Z1297" s="135"/>
    </row>
    <row r="1298" spans="1:26" ht="12.75">
      <c r="A1298" s="136" t="s">
        <v>8</v>
      </c>
      <c r="B1298" s="136" t="s">
        <v>7569</v>
      </c>
      <c r="C1298" s="136" t="s">
        <v>7556</v>
      </c>
      <c r="D1298" s="136" t="s">
        <v>1626</v>
      </c>
      <c r="E1298" s="136" t="s">
        <v>594</v>
      </c>
      <c r="F1298" s="136">
        <v>60</v>
      </c>
      <c r="G1298" s="137">
        <f t="shared" si="5"/>
        <v>12</v>
      </c>
      <c r="H1298" s="137"/>
      <c r="I1298" s="137"/>
      <c r="J1298" s="135"/>
      <c r="K1298" s="135"/>
      <c r="L1298" s="135"/>
      <c r="M1298" s="135"/>
      <c r="N1298" s="135"/>
      <c r="O1298" s="135"/>
      <c r="P1298" s="135"/>
      <c r="Q1298" s="135"/>
      <c r="R1298" s="135"/>
      <c r="S1298" s="135"/>
      <c r="T1298" s="135"/>
      <c r="U1298" s="135"/>
      <c r="V1298" s="135"/>
      <c r="W1298" s="135"/>
      <c r="X1298" s="135"/>
      <c r="Y1298" s="135"/>
      <c r="Z1298" s="135"/>
    </row>
    <row r="1299" spans="1:26" ht="12.75">
      <c r="A1299" s="136" t="s">
        <v>8</v>
      </c>
      <c r="B1299" s="136" t="s">
        <v>7569</v>
      </c>
      <c r="C1299" s="136" t="s">
        <v>7556</v>
      </c>
      <c r="D1299" s="136" t="s">
        <v>107</v>
      </c>
      <c r="E1299" s="136" t="s">
        <v>615</v>
      </c>
      <c r="F1299" s="136">
        <v>40</v>
      </c>
      <c r="G1299" s="137">
        <f t="shared" si="5"/>
        <v>13</v>
      </c>
      <c r="H1299" s="137"/>
      <c r="I1299" s="137"/>
      <c r="J1299" s="135"/>
      <c r="K1299" s="135"/>
      <c r="L1299" s="135"/>
      <c r="M1299" s="135"/>
      <c r="N1299" s="135"/>
      <c r="O1299" s="135"/>
      <c r="P1299" s="135"/>
      <c r="Q1299" s="135"/>
      <c r="R1299" s="135"/>
      <c r="S1299" s="135"/>
      <c r="T1299" s="135"/>
      <c r="U1299" s="135"/>
      <c r="V1299" s="135"/>
      <c r="W1299" s="135"/>
      <c r="X1299" s="135"/>
      <c r="Y1299" s="135"/>
      <c r="Z1299" s="135"/>
    </row>
    <row r="1300" spans="1:26" ht="12.75">
      <c r="A1300" s="136" t="s">
        <v>8</v>
      </c>
      <c r="B1300" s="136" t="s">
        <v>7569</v>
      </c>
      <c r="C1300" s="136" t="s">
        <v>7556</v>
      </c>
      <c r="D1300" s="136" t="s">
        <v>120</v>
      </c>
      <c r="E1300" s="136" t="s">
        <v>615</v>
      </c>
      <c r="F1300" s="136">
        <v>40</v>
      </c>
      <c r="G1300" s="137">
        <f t="shared" si="5"/>
        <v>14</v>
      </c>
      <c r="H1300" s="137"/>
      <c r="I1300" s="137"/>
      <c r="J1300" s="135"/>
      <c r="K1300" s="135"/>
      <c r="L1300" s="135"/>
      <c r="M1300" s="135"/>
      <c r="N1300" s="135"/>
      <c r="O1300" s="135"/>
      <c r="P1300" s="135"/>
      <c r="Q1300" s="135"/>
      <c r="R1300" s="135"/>
      <c r="S1300" s="135"/>
      <c r="T1300" s="135"/>
      <c r="U1300" s="135"/>
      <c r="V1300" s="135"/>
      <c r="W1300" s="135"/>
      <c r="X1300" s="135"/>
      <c r="Y1300" s="135"/>
      <c r="Z1300" s="135"/>
    </row>
    <row r="1301" spans="1:26" ht="12.75">
      <c r="A1301" s="136" t="s">
        <v>8</v>
      </c>
      <c r="B1301" s="136" t="s">
        <v>7569</v>
      </c>
      <c r="C1301" s="136" t="s">
        <v>7556</v>
      </c>
      <c r="D1301" s="136" t="s">
        <v>7532</v>
      </c>
      <c r="E1301" s="136" t="s">
        <v>615</v>
      </c>
      <c r="F1301" s="136">
        <v>30</v>
      </c>
      <c r="G1301" s="137">
        <f t="shared" si="5"/>
        <v>15</v>
      </c>
      <c r="H1301" s="137"/>
      <c r="I1301" s="137"/>
      <c r="J1301" s="135"/>
      <c r="K1301" s="135"/>
      <c r="L1301" s="135"/>
      <c r="M1301" s="135"/>
      <c r="N1301" s="135"/>
      <c r="O1301" s="135"/>
      <c r="P1301" s="135"/>
      <c r="Q1301" s="135"/>
      <c r="R1301" s="135"/>
      <c r="S1301" s="135"/>
      <c r="T1301" s="135"/>
      <c r="U1301" s="135"/>
      <c r="V1301" s="135"/>
      <c r="W1301" s="135"/>
      <c r="X1301" s="135"/>
      <c r="Y1301" s="135"/>
      <c r="Z1301" s="135"/>
    </row>
    <row r="1302" spans="1:26" ht="12.75">
      <c r="A1302" s="136" t="s">
        <v>8</v>
      </c>
      <c r="B1302" s="136" t="s">
        <v>7569</v>
      </c>
      <c r="C1302" s="136" t="s">
        <v>7556</v>
      </c>
      <c r="D1302" s="136" t="s">
        <v>1682</v>
      </c>
      <c r="E1302" s="136" t="s">
        <v>86</v>
      </c>
      <c r="F1302" s="136">
        <v>2</v>
      </c>
      <c r="G1302" s="137">
        <f t="shared" si="5"/>
        <v>16</v>
      </c>
      <c r="H1302" s="137"/>
      <c r="I1302" s="137"/>
      <c r="J1302" s="135"/>
      <c r="K1302" s="135"/>
      <c r="L1302" s="135"/>
      <c r="M1302" s="135"/>
      <c r="N1302" s="135"/>
      <c r="O1302" s="135"/>
      <c r="P1302" s="135"/>
      <c r="Q1302" s="135"/>
      <c r="R1302" s="135"/>
      <c r="S1302" s="135"/>
      <c r="T1302" s="135"/>
      <c r="U1302" s="135"/>
      <c r="V1302" s="135"/>
      <c r="W1302" s="135"/>
      <c r="X1302" s="135"/>
      <c r="Y1302" s="135"/>
      <c r="Z1302" s="135"/>
    </row>
    <row r="1303" spans="1:26" ht="12.75">
      <c r="A1303" s="136" t="s">
        <v>8</v>
      </c>
      <c r="B1303" s="136" t="s">
        <v>7568</v>
      </c>
      <c r="C1303" s="136" t="s">
        <v>649</v>
      </c>
      <c r="D1303" s="136" t="s">
        <v>165</v>
      </c>
      <c r="E1303" s="136" t="s">
        <v>615</v>
      </c>
      <c r="F1303" s="136">
        <v>1320</v>
      </c>
      <c r="G1303" s="137">
        <f t="shared" si="5"/>
        <v>1</v>
      </c>
      <c r="H1303" s="137"/>
      <c r="I1303" s="137"/>
      <c r="J1303" s="135"/>
      <c r="K1303" s="135"/>
      <c r="L1303" s="135"/>
      <c r="M1303" s="135"/>
      <c r="N1303" s="135"/>
      <c r="O1303" s="135"/>
      <c r="P1303" s="135"/>
      <c r="Q1303" s="135"/>
      <c r="R1303" s="135"/>
      <c r="S1303" s="135"/>
      <c r="T1303" s="135"/>
      <c r="U1303" s="135"/>
      <c r="V1303" s="135"/>
      <c r="W1303" s="135"/>
      <c r="X1303" s="135"/>
      <c r="Y1303" s="135"/>
      <c r="Z1303" s="135"/>
    </row>
    <row r="1304" spans="1:26" ht="12.75">
      <c r="A1304" s="136" t="s">
        <v>8</v>
      </c>
      <c r="B1304" s="136" t="s">
        <v>7568</v>
      </c>
      <c r="C1304" s="136" t="s">
        <v>649</v>
      </c>
      <c r="D1304" s="136" t="s">
        <v>7530</v>
      </c>
      <c r="E1304" s="136" t="s">
        <v>85</v>
      </c>
      <c r="F1304" s="136">
        <v>586</v>
      </c>
      <c r="G1304" s="137">
        <f t="shared" si="5"/>
        <v>2</v>
      </c>
      <c r="H1304" s="137"/>
      <c r="I1304" s="137"/>
      <c r="J1304" s="135"/>
      <c r="K1304" s="135"/>
      <c r="L1304" s="135"/>
      <c r="M1304" s="135"/>
      <c r="N1304" s="135"/>
      <c r="O1304" s="135"/>
      <c r="P1304" s="135"/>
      <c r="Q1304" s="135"/>
      <c r="R1304" s="135"/>
      <c r="S1304" s="135"/>
      <c r="T1304" s="135"/>
      <c r="U1304" s="135"/>
      <c r="V1304" s="135"/>
      <c r="W1304" s="135"/>
      <c r="X1304" s="135"/>
      <c r="Y1304" s="135"/>
      <c r="Z1304" s="135"/>
    </row>
    <row r="1305" spans="1:26" ht="12.75">
      <c r="A1305" s="136" t="s">
        <v>8</v>
      </c>
      <c r="B1305" s="136" t="s">
        <v>7568</v>
      </c>
      <c r="C1305" s="136" t="s">
        <v>649</v>
      </c>
      <c r="D1305" s="136" t="s">
        <v>139</v>
      </c>
      <c r="E1305" s="136" t="s">
        <v>594</v>
      </c>
      <c r="F1305" s="136">
        <v>392</v>
      </c>
      <c r="G1305" s="137">
        <f t="shared" si="5"/>
        <v>3</v>
      </c>
      <c r="H1305" s="137"/>
      <c r="I1305" s="137"/>
      <c r="J1305" s="135"/>
      <c r="K1305" s="135"/>
      <c r="L1305" s="135"/>
      <c r="M1305" s="135"/>
      <c r="N1305" s="135"/>
      <c r="O1305" s="135"/>
      <c r="P1305" s="135"/>
      <c r="Q1305" s="135"/>
      <c r="R1305" s="135"/>
      <c r="S1305" s="135"/>
      <c r="T1305" s="135"/>
      <c r="U1305" s="135"/>
      <c r="V1305" s="135"/>
      <c r="W1305" s="135"/>
      <c r="X1305" s="135"/>
      <c r="Y1305" s="135"/>
      <c r="Z1305" s="135"/>
    </row>
    <row r="1306" spans="1:26" ht="12.75">
      <c r="A1306" s="136" t="s">
        <v>8</v>
      </c>
      <c r="B1306" s="136" t="s">
        <v>7568</v>
      </c>
      <c r="C1306" s="136" t="s">
        <v>649</v>
      </c>
      <c r="D1306" s="136" t="s">
        <v>595</v>
      </c>
      <c r="E1306" s="136" t="s">
        <v>594</v>
      </c>
      <c r="F1306" s="136">
        <v>180</v>
      </c>
      <c r="G1306" s="137">
        <f t="shared" si="5"/>
        <v>4</v>
      </c>
      <c r="H1306" s="137"/>
      <c r="I1306" s="137"/>
      <c r="J1306" s="135"/>
      <c r="K1306" s="135"/>
      <c r="L1306" s="135"/>
      <c r="M1306" s="135"/>
      <c r="N1306" s="135"/>
      <c r="O1306" s="135"/>
      <c r="P1306" s="135"/>
      <c r="Q1306" s="135"/>
      <c r="R1306" s="135"/>
      <c r="S1306" s="135"/>
      <c r="T1306" s="135"/>
      <c r="U1306" s="135"/>
      <c r="V1306" s="135"/>
      <c r="W1306" s="135"/>
      <c r="X1306" s="135"/>
      <c r="Y1306" s="135"/>
      <c r="Z1306" s="135"/>
    </row>
    <row r="1307" spans="1:26" ht="12.75">
      <c r="A1307" s="136" t="s">
        <v>8</v>
      </c>
      <c r="B1307" s="136" t="s">
        <v>7568</v>
      </c>
      <c r="C1307" s="136" t="s">
        <v>649</v>
      </c>
      <c r="D1307" s="136" t="s">
        <v>1665</v>
      </c>
      <c r="E1307" s="136" t="s">
        <v>615</v>
      </c>
      <c r="F1307" s="136">
        <v>155</v>
      </c>
      <c r="G1307" s="137">
        <f t="shared" si="5"/>
        <v>5</v>
      </c>
      <c r="H1307" s="137"/>
      <c r="I1307" s="137"/>
      <c r="J1307" s="135"/>
      <c r="K1307" s="135"/>
      <c r="L1307" s="135"/>
      <c r="M1307" s="135"/>
      <c r="N1307" s="135"/>
      <c r="O1307" s="135"/>
      <c r="P1307" s="135"/>
      <c r="Q1307" s="135"/>
      <c r="R1307" s="135"/>
      <c r="S1307" s="135"/>
      <c r="T1307" s="135"/>
      <c r="U1307" s="135"/>
      <c r="V1307" s="135"/>
      <c r="W1307" s="135"/>
      <c r="X1307" s="135"/>
      <c r="Y1307" s="135"/>
      <c r="Z1307" s="135"/>
    </row>
    <row r="1308" spans="1:26" ht="12.75">
      <c r="A1308" s="136" t="s">
        <v>8</v>
      </c>
      <c r="B1308" s="136" t="s">
        <v>7568</v>
      </c>
      <c r="C1308" s="136" t="s">
        <v>649</v>
      </c>
      <c r="D1308" s="136" t="s">
        <v>7544</v>
      </c>
      <c r="E1308" s="136" t="s">
        <v>615</v>
      </c>
      <c r="F1308" s="136">
        <v>145</v>
      </c>
      <c r="G1308" s="137">
        <f t="shared" si="5"/>
        <v>6</v>
      </c>
      <c r="H1308" s="137"/>
      <c r="I1308" s="137"/>
      <c r="J1308" s="135"/>
      <c r="K1308" s="135"/>
      <c r="L1308" s="135"/>
      <c r="M1308" s="135"/>
      <c r="N1308" s="135"/>
      <c r="O1308" s="135"/>
      <c r="P1308" s="135"/>
      <c r="Q1308" s="135"/>
      <c r="R1308" s="135"/>
      <c r="S1308" s="135"/>
      <c r="T1308" s="135"/>
      <c r="U1308" s="135"/>
      <c r="V1308" s="135"/>
      <c r="W1308" s="135"/>
      <c r="X1308" s="135"/>
      <c r="Y1308" s="135"/>
      <c r="Z1308" s="135"/>
    </row>
    <row r="1309" spans="1:26" ht="12.75">
      <c r="A1309" s="136" t="s">
        <v>8</v>
      </c>
      <c r="B1309" s="136" t="s">
        <v>7568</v>
      </c>
      <c r="C1309" s="136" t="s">
        <v>649</v>
      </c>
      <c r="D1309" s="136" t="s">
        <v>467</v>
      </c>
      <c r="E1309" s="136" t="s">
        <v>85</v>
      </c>
      <c r="F1309" s="136">
        <v>130</v>
      </c>
      <c r="G1309" s="137">
        <f t="shared" si="5"/>
        <v>7</v>
      </c>
      <c r="H1309" s="137"/>
      <c r="I1309" s="137"/>
      <c r="J1309" s="135"/>
      <c r="K1309" s="135"/>
      <c r="L1309" s="135"/>
      <c r="M1309" s="135"/>
      <c r="N1309" s="135"/>
      <c r="O1309" s="135"/>
      <c r="P1309" s="135"/>
      <c r="Q1309" s="135"/>
      <c r="R1309" s="135"/>
      <c r="S1309" s="135"/>
      <c r="T1309" s="135"/>
      <c r="U1309" s="135"/>
      <c r="V1309" s="135"/>
      <c r="W1309" s="135"/>
      <c r="X1309" s="135"/>
      <c r="Y1309" s="135"/>
      <c r="Z1309" s="135"/>
    </row>
    <row r="1310" spans="1:26" ht="12.75">
      <c r="A1310" s="136" t="s">
        <v>8</v>
      </c>
      <c r="B1310" s="136" t="s">
        <v>7568</v>
      </c>
      <c r="C1310" s="136" t="s">
        <v>649</v>
      </c>
      <c r="D1310" s="136" t="s">
        <v>7533</v>
      </c>
      <c r="E1310" s="136" t="s">
        <v>594</v>
      </c>
      <c r="F1310" s="136">
        <v>120</v>
      </c>
      <c r="G1310" s="137">
        <f t="shared" si="5"/>
        <v>8</v>
      </c>
      <c r="H1310" s="137"/>
      <c r="I1310" s="137"/>
      <c r="J1310" s="135"/>
      <c r="K1310" s="135"/>
      <c r="L1310" s="135"/>
      <c r="M1310" s="135"/>
      <c r="N1310" s="135"/>
      <c r="O1310" s="135"/>
      <c r="P1310" s="135"/>
      <c r="Q1310" s="135"/>
      <c r="R1310" s="135"/>
      <c r="S1310" s="135"/>
      <c r="T1310" s="135"/>
      <c r="U1310" s="135"/>
      <c r="V1310" s="135"/>
      <c r="W1310" s="135"/>
      <c r="X1310" s="135"/>
      <c r="Y1310" s="135"/>
      <c r="Z1310" s="135"/>
    </row>
    <row r="1311" spans="1:26" ht="12.75">
      <c r="A1311" s="136" t="s">
        <v>8</v>
      </c>
      <c r="B1311" s="136" t="s">
        <v>7568</v>
      </c>
      <c r="C1311" s="136" t="s">
        <v>649</v>
      </c>
      <c r="D1311" s="136" t="s">
        <v>7491</v>
      </c>
      <c r="E1311" s="136" t="s">
        <v>615</v>
      </c>
      <c r="F1311" s="136">
        <v>100</v>
      </c>
      <c r="G1311" s="137">
        <f t="shared" si="5"/>
        <v>9</v>
      </c>
      <c r="H1311" s="137"/>
      <c r="I1311" s="137"/>
      <c r="J1311" s="135"/>
      <c r="K1311" s="135"/>
      <c r="L1311" s="135"/>
      <c r="M1311" s="135"/>
      <c r="N1311" s="135"/>
      <c r="O1311" s="135"/>
      <c r="P1311" s="135"/>
      <c r="Q1311" s="135"/>
      <c r="R1311" s="135"/>
      <c r="S1311" s="135"/>
      <c r="T1311" s="135"/>
      <c r="U1311" s="135"/>
      <c r="V1311" s="135"/>
      <c r="W1311" s="135"/>
      <c r="X1311" s="135"/>
      <c r="Y1311" s="135"/>
      <c r="Z1311" s="135"/>
    </row>
    <row r="1312" spans="1:26" ht="12.75">
      <c r="A1312" s="136" t="s">
        <v>8</v>
      </c>
      <c r="B1312" s="136" t="s">
        <v>7568</v>
      </c>
      <c r="C1312" s="136" t="s">
        <v>649</v>
      </c>
      <c r="D1312" s="136" t="s">
        <v>107</v>
      </c>
      <c r="E1312" s="136" t="s">
        <v>615</v>
      </c>
      <c r="F1312" s="136">
        <v>50</v>
      </c>
      <c r="G1312" s="137">
        <f t="shared" si="5"/>
        <v>10</v>
      </c>
      <c r="H1312" s="137"/>
      <c r="I1312" s="137"/>
      <c r="J1312" s="135"/>
      <c r="K1312" s="135"/>
      <c r="L1312" s="135"/>
      <c r="M1312" s="135"/>
      <c r="N1312" s="135"/>
      <c r="O1312" s="135"/>
      <c r="P1312" s="135"/>
      <c r="Q1312" s="135"/>
      <c r="R1312" s="135"/>
      <c r="S1312" s="135"/>
      <c r="T1312" s="135"/>
      <c r="U1312" s="135"/>
      <c r="V1312" s="135"/>
      <c r="W1312" s="135"/>
      <c r="X1312" s="135"/>
      <c r="Y1312" s="135"/>
      <c r="Z1312" s="135"/>
    </row>
    <row r="1313" spans="1:26" ht="12.75">
      <c r="A1313" s="136" t="s">
        <v>8</v>
      </c>
      <c r="B1313" s="136" t="s">
        <v>7568</v>
      </c>
      <c r="C1313" s="136" t="s">
        <v>649</v>
      </c>
      <c r="D1313" s="136" t="s">
        <v>7551</v>
      </c>
      <c r="E1313" s="136" t="s">
        <v>615</v>
      </c>
      <c r="F1313" s="136">
        <v>40</v>
      </c>
      <c r="G1313" s="137">
        <f t="shared" si="5"/>
        <v>11</v>
      </c>
      <c r="H1313" s="137"/>
      <c r="I1313" s="137"/>
      <c r="J1313" s="135"/>
      <c r="K1313" s="135"/>
      <c r="L1313" s="135"/>
      <c r="M1313" s="135"/>
      <c r="N1313" s="135"/>
      <c r="O1313" s="135"/>
      <c r="P1313" s="135"/>
      <c r="Q1313" s="135"/>
      <c r="R1313" s="135"/>
      <c r="S1313" s="135"/>
      <c r="T1313" s="135"/>
      <c r="U1313" s="135"/>
      <c r="V1313" s="135"/>
      <c r="W1313" s="135"/>
      <c r="X1313" s="135"/>
      <c r="Y1313" s="135"/>
      <c r="Z1313" s="135"/>
    </row>
    <row r="1314" spans="1:26" ht="12.75">
      <c r="A1314" s="136" t="s">
        <v>8</v>
      </c>
      <c r="B1314" s="136" t="s">
        <v>7568</v>
      </c>
      <c r="C1314" s="136" t="s">
        <v>649</v>
      </c>
      <c r="D1314" s="136" t="s">
        <v>7531</v>
      </c>
      <c r="E1314" s="136" t="s">
        <v>615</v>
      </c>
      <c r="F1314" s="136">
        <v>40</v>
      </c>
      <c r="G1314" s="137">
        <f t="shared" si="5"/>
        <v>12</v>
      </c>
      <c r="H1314" s="137"/>
      <c r="I1314" s="137"/>
      <c r="J1314" s="135"/>
      <c r="K1314" s="135"/>
      <c r="L1314" s="135"/>
      <c r="M1314" s="135"/>
      <c r="N1314" s="135"/>
      <c r="O1314" s="135"/>
      <c r="P1314" s="135"/>
      <c r="Q1314" s="135"/>
      <c r="R1314" s="135"/>
      <c r="S1314" s="135"/>
      <c r="T1314" s="135"/>
      <c r="U1314" s="135"/>
      <c r="V1314" s="135"/>
      <c r="W1314" s="135"/>
      <c r="X1314" s="135"/>
      <c r="Y1314" s="135"/>
      <c r="Z1314" s="135"/>
    </row>
    <row r="1315" spans="1:26" ht="12.75">
      <c r="A1315" s="136" t="s">
        <v>8</v>
      </c>
      <c r="B1315" s="136" t="s">
        <v>7568</v>
      </c>
      <c r="C1315" s="136" t="s">
        <v>649</v>
      </c>
      <c r="D1315" s="136" t="s">
        <v>368</v>
      </c>
      <c r="E1315" s="136" t="s">
        <v>594</v>
      </c>
      <c r="F1315" s="136">
        <v>20</v>
      </c>
      <c r="G1315" s="137">
        <f t="shared" si="5"/>
        <v>13</v>
      </c>
      <c r="H1315" s="137"/>
      <c r="I1315" s="137"/>
      <c r="J1315" s="135"/>
      <c r="K1315" s="135"/>
      <c r="L1315" s="135"/>
      <c r="M1315" s="135"/>
      <c r="N1315" s="135"/>
      <c r="O1315" s="135"/>
      <c r="P1315" s="135"/>
      <c r="Q1315" s="135"/>
      <c r="R1315" s="135"/>
      <c r="S1315" s="135"/>
      <c r="T1315" s="135"/>
      <c r="U1315" s="135"/>
      <c r="V1315" s="135"/>
      <c r="W1315" s="135"/>
      <c r="X1315" s="135"/>
      <c r="Y1315" s="135"/>
      <c r="Z1315" s="135"/>
    </row>
    <row r="1316" spans="1:26" ht="12.75">
      <c r="A1316" s="136" t="s">
        <v>8</v>
      </c>
      <c r="B1316" s="136" t="s">
        <v>7568</v>
      </c>
      <c r="C1316" s="136" t="s">
        <v>649</v>
      </c>
      <c r="D1316" s="136" t="s">
        <v>7532</v>
      </c>
      <c r="E1316" s="136" t="s">
        <v>615</v>
      </c>
      <c r="F1316" s="136">
        <v>20</v>
      </c>
      <c r="G1316" s="137">
        <f t="shared" si="5"/>
        <v>14</v>
      </c>
      <c r="H1316" s="137"/>
      <c r="I1316" s="137"/>
      <c r="J1316" s="135"/>
      <c r="K1316" s="135"/>
      <c r="L1316" s="135"/>
      <c r="M1316" s="135"/>
      <c r="N1316" s="135"/>
      <c r="O1316" s="135"/>
      <c r="P1316" s="135"/>
      <c r="Q1316" s="135"/>
      <c r="R1316" s="135"/>
      <c r="S1316" s="135"/>
      <c r="T1316" s="135"/>
      <c r="U1316" s="135"/>
      <c r="V1316" s="135"/>
      <c r="W1316" s="135"/>
      <c r="X1316" s="135"/>
      <c r="Y1316" s="135"/>
      <c r="Z1316" s="135"/>
    </row>
    <row r="1317" spans="1:26" ht="12.75">
      <c r="A1317" s="136" t="s">
        <v>8</v>
      </c>
      <c r="B1317" s="136" t="s">
        <v>7568</v>
      </c>
      <c r="C1317" s="136" t="s">
        <v>647</v>
      </c>
      <c r="D1317" s="136" t="s">
        <v>139</v>
      </c>
      <c r="E1317" s="136" t="s">
        <v>594</v>
      </c>
      <c r="F1317" s="136">
        <v>890</v>
      </c>
      <c r="G1317" s="137">
        <f t="shared" si="5"/>
        <v>1</v>
      </c>
      <c r="H1317" s="137"/>
      <c r="I1317" s="137"/>
      <c r="J1317" s="135"/>
      <c r="K1317" s="135"/>
      <c r="L1317" s="135"/>
      <c r="M1317" s="135"/>
      <c r="N1317" s="135"/>
      <c r="O1317" s="135"/>
      <c r="P1317" s="135"/>
      <c r="Q1317" s="135"/>
      <c r="R1317" s="135"/>
      <c r="S1317" s="135"/>
      <c r="T1317" s="135"/>
      <c r="U1317" s="135"/>
      <c r="V1317" s="135"/>
      <c r="W1317" s="135"/>
      <c r="X1317" s="135"/>
      <c r="Y1317" s="135"/>
      <c r="Z1317" s="135"/>
    </row>
    <row r="1318" spans="1:26" ht="12.75">
      <c r="A1318" s="136" t="s">
        <v>8</v>
      </c>
      <c r="B1318" s="136" t="s">
        <v>7568</v>
      </c>
      <c r="C1318" s="136" t="s">
        <v>647</v>
      </c>
      <c r="D1318" s="136" t="s">
        <v>7544</v>
      </c>
      <c r="E1318" s="136" t="s">
        <v>615</v>
      </c>
      <c r="F1318" s="136">
        <v>586</v>
      </c>
      <c r="G1318" s="137">
        <f t="shared" si="5"/>
        <v>2</v>
      </c>
      <c r="H1318" s="137"/>
      <c r="I1318" s="137"/>
      <c r="J1318" s="135"/>
      <c r="K1318" s="135"/>
      <c r="L1318" s="135"/>
      <c r="M1318" s="135"/>
      <c r="N1318" s="135"/>
      <c r="O1318" s="135"/>
      <c r="P1318" s="135"/>
      <c r="Q1318" s="135"/>
      <c r="R1318" s="135"/>
      <c r="S1318" s="135"/>
      <c r="T1318" s="135"/>
      <c r="U1318" s="135"/>
      <c r="V1318" s="135"/>
      <c r="W1318" s="135"/>
      <c r="X1318" s="135"/>
      <c r="Y1318" s="135"/>
      <c r="Z1318" s="135"/>
    </row>
    <row r="1319" spans="1:26" ht="12.75">
      <c r="A1319" s="136" t="s">
        <v>8</v>
      </c>
      <c r="B1319" s="136" t="s">
        <v>7568</v>
      </c>
      <c r="C1319" s="136" t="s">
        <v>647</v>
      </c>
      <c r="D1319" s="136" t="s">
        <v>7530</v>
      </c>
      <c r="E1319" s="136" t="s">
        <v>85</v>
      </c>
      <c r="F1319" s="136">
        <v>530</v>
      </c>
      <c r="G1319" s="137">
        <f t="shared" si="5"/>
        <v>3</v>
      </c>
      <c r="H1319" s="137"/>
      <c r="I1319" s="137"/>
      <c r="J1319" s="135"/>
      <c r="K1319" s="135"/>
      <c r="L1319" s="135"/>
      <c r="M1319" s="135"/>
      <c r="N1319" s="135"/>
      <c r="O1319" s="135"/>
      <c r="P1319" s="135"/>
      <c r="Q1319" s="135"/>
      <c r="R1319" s="135"/>
      <c r="S1319" s="135"/>
      <c r="T1319" s="135"/>
      <c r="U1319" s="135"/>
      <c r="V1319" s="135"/>
      <c r="W1319" s="135"/>
      <c r="X1319" s="135"/>
      <c r="Y1319" s="135"/>
      <c r="Z1319" s="135"/>
    </row>
    <row r="1320" spans="1:26" ht="12.75">
      <c r="A1320" s="136" t="s">
        <v>8</v>
      </c>
      <c r="B1320" s="136" t="s">
        <v>7568</v>
      </c>
      <c r="C1320" s="136" t="s">
        <v>647</v>
      </c>
      <c r="D1320" s="136" t="s">
        <v>7545</v>
      </c>
      <c r="E1320" s="136" t="s">
        <v>86</v>
      </c>
      <c r="F1320" s="136">
        <v>243</v>
      </c>
      <c r="G1320" s="137">
        <f t="shared" si="5"/>
        <v>4</v>
      </c>
      <c r="H1320" s="137"/>
      <c r="I1320" s="137"/>
      <c r="J1320" s="135"/>
      <c r="K1320" s="135"/>
      <c r="L1320" s="135"/>
      <c r="M1320" s="135"/>
      <c r="N1320" s="135"/>
      <c r="O1320" s="135"/>
      <c r="P1320" s="135"/>
      <c r="Q1320" s="135"/>
      <c r="R1320" s="135"/>
      <c r="S1320" s="135"/>
      <c r="T1320" s="135"/>
      <c r="U1320" s="135"/>
      <c r="V1320" s="135"/>
      <c r="W1320" s="135"/>
      <c r="X1320" s="135"/>
      <c r="Y1320" s="135"/>
      <c r="Z1320" s="135"/>
    </row>
    <row r="1321" spans="1:26" ht="12.75">
      <c r="A1321" s="136" t="s">
        <v>8</v>
      </c>
      <c r="B1321" s="136" t="s">
        <v>7568</v>
      </c>
      <c r="C1321" s="136" t="s">
        <v>647</v>
      </c>
      <c r="D1321" s="136" t="s">
        <v>165</v>
      </c>
      <c r="E1321" s="136" t="s">
        <v>615</v>
      </c>
      <c r="F1321" s="136">
        <v>185</v>
      </c>
      <c r="G1321" s="137">
        <f t="shared" si="5"/>
        <v>5</v>
      </c>
      <c r="H1321" s="137"/>
      <c r="I1321" s="137"/>
      <c r="J1321" s="135"/>
      <c r="K1321" s="135"/>
      <c r="L1321" s="135"/>
      <c r="M1321" s="135"/>
      <c r="N1321" s="135"/>
      <c r="O1321" s="135"/>
      <c r="P1321" s="135"/>
      <c r="Q1321" s="135"/>
      <c r="R1321" s="135"/>
      <c r="S1321" s="135"/>
      <c r="T1321" s="135"/>
      <c r="U1321" s="135"/>
      <c r="V1321" s="135"/>
      <c r="W1321" s="135"/>
      <c r="X1321" s="135"/>
      <c r="Y1321" s="135"/>
      <c r="Z1321" s="135"/>
    </row>
    <row r="1322" spans="1:26" ht="12.75">
      <c r="A1322" s="136" t="s">
        <v>8</v>
      </c>
      <c r="B1322" s="136" t="s">
        <v>7568</v>
      </c>
      <c r="C1322" s="136" t="s">
        <v>647</v>
      </c>
      <c r="D1322" s="136" t="s">
        <v>7533</v>
      </c>
      <c r="E1322" s="136" t="s">
        <v>594</v>
      </c>
      <c r="F1322" s="136">
        <v>135</v>
      </c>
      <c r="G1322" s="137">
        <f t="shared" si="5"/>
        <v>6</v>
      </c>
      <c r="H1322" s="137"/>
      <c r="I1322" s="137"/>
      <c r="J1322" s="135"/>
      <c r="K1322" s="135"/>
      <c r="L1322" s="135"/>
      <c r="M1322" s="135"/>
      <c r="N1322" s="135"/>
      <c r="O1322" s="135"/>
      <c r="P1322" s="135"/>
      <c r="Q1322" s="135"/>
      <c r="R1322" s="135"/>
      <c r="S1322" s="135"/>
      <c r="T1322" s="135"/>
      <c r="U1322" s="135"/>
      <c r="V1322" s="135"/>
      <c r="W1322" s="135"/>
      <c r="X1322" s="135"/>
      <c r="Y1322" s="135"/>
      <c r="Z1322" s="135"/>
    </row>
    <row r="1323" spans="1:26" ht="12.75">
      <c r="A1323" s="136" t="s">
        <v>8</v>
      </c>
      <c r="B1323" s="136" t="s">
        <v>7568</v>
      </c>
      <c r="C1323" s="136" t="s">
        <v>647</v>
      </c>
      <c r="D1323" s="136" t="s">
        <v>467</v>
      </c>
      <c r="E1323" s="136" t="s">
        <v>85</v>
      </c>
      <c r="F1323" s="136">
        <v>129</v>
      </c>
      <c r="G1323" s="137">
        <f t="shared" si="5"/>
        <v>7</v>
      </c>
      <c r="H1323" s="137"/>
      <c r="I1323" s="137"/>
      <c r="J1323" s="135"/>
      <c r="K1323" s="135"/>
      <c r="L1323" s="135"/>
      <c r="M1323" s="135"/>
      <c r="N1323" s="135"/>
      <c r="O1323" s="135"/>
      <c r="P1323" s="135"/>
      <c r="Q1323" s="135"/>
      <c r="R1323" s="135"/>
      <c r="S1323" s="135"/>
      <c r="T1323" s="135"/>
      <c r="U1323" s="135"/>
      <c r="V1323" s="135"/>
      <c r="W1323" s="135"/>
      <c r="X1323" s="135"/>
      <c r="Y1323" s="135"/>
      <c r="Z1323" s="135"/>
    </row>
    <row r="1324" spans="1:26" ht="12.75">
      <c r="A1324" s="136" t="s">
        <v>8</v>
      </c>
      <c r="B1324" s="136" t="s">
        <v>7568</v>
      </c>
      <c r="C1324" s="136" t="s">
        <v>647</v>
      </c>
      <c r="D1324" s="136" t="s">
        <v>7546</v>
      </c>
      <c r="E1324" s="136" t="s">
        <v>86</v>
      </c>
      <c r="F1324" s="136">
        <v>116</v>
      </c>
      <c r="G1324" s="137">
        <f t="shared" si="5"/>
        <v>8</v>
      </c>
      <c r="H1324" s="137"/>
      <c r="I1324" s="137"/>
      <c r="J1324" s="135"/>
      <c r="K1324" s="135"/>
      <c r="L1324" s="135"/>
      <c r="M1324" s="135"/>
      <c r="N1324" s="135"/>
      <c r="O1324" s="135"/>
      <c r="P1324" s="135"/>
      <c r="Q1324" s="135"/>
      <c r="R1324" s="135"/>
      <c r="S1324" s="135"/>
      <c r="T1324" s="135"/>
      <c r="U1324" s="135"/>
      <c r="V1324" s="135"/>
      <c r="W1324" s="135"/>
      <c r="X1324" s="135"/>
      <c r="Y1324" s="135"/>
      <c r="Z1324" s="135"/>
    </row>
    <row r="1325" spans="1:26" ht="12.75">
      <c r="A1325" s="136" t="s">
        <v>8</v>
      </c>
      <c r="B1325" s="136" t="s">
        <v>7568</v>
      </c>
      <c r="C1325" s="136" t="s">
        <v>647</v>
      </c>
      <c r="D1325" s="136" t="s">
        <v>7491</v>
      </c>
      <c r="E1325" s="136" t="s">
        <v>615</v>
      </c>
      <c r="F1325" s="136">
        <v>100</v>
      </c>
      <c r="G1325" s="137">
        <f t="shared" si="5"/>
        <v>9</v>
      </c>
      <c r="H1325" s="137"/>
      <c r="I1325" s="137"/>
      <c r="J1325" s="135"/>
      <c r="K1325" s="135"/>
      <c r="L1325" s="135"/>
      <c r="M1325" s="135"/>
      <c r="N1325" s="135"/>
      <c r="O1325" s="135"/>
      <c r="P1325" s="135"/>
      <c r="Q1325" s="135"/>
      <c r="R1325" s="135"/>
      <c r="S1325" s="135"/>
      <c r="T1325" s="135"/>
      <c r="U1325" s="135"/>
      <c r="V1325" s="135"/>
      <c r="W1325" s="135"/>
      <c r="X1325" s="135"/>
      <c r="Y1325" s="135"/>
      <c r="Z1325" s="135"/>
    </row>
    <row r="1326" spans="1:26" ht="12.75">
      <c r="A1326" s="136" t="s">
        <v>8</v>
      </c>
      <c r="B1326" s="136" t="s">
        <v>7568</v>
      </c>
      <c r="C1326" s="136" t="s">
        <v>647</v>
      </c>
      <c r="D1326" s="136" t="s">
        <v>368</v>
      </c>
      <c r="E1326" s="136" t="s">
        <v>594</v>
      </c>
      <c r="F1326" s="136">
        <v>60</v>
      </c>
      <c r="G1326" s="137">
        <f t="shared" si="5"/>
        <v>10</v>
      </c>
      <c r="H1326" s="137"/>
      <c r="I1326" s="137"/>
      <c r="J1326" s="135"/>
      <c r="K1326" s="135"/>
      <c r="L1326" s="135"/>
      <c r="M1326" s="135"/>
      <c r="N1326" s="135"/>
      <c r="O1326" s="135"/>
      <c r="P1326" s="135"/>
      <c r="Q1326" s="135"/>
      <c r="R1326" s="135"/>
      <c r="S1326" s="135"/>
      <c r="T1326" s="135"/>
      <c r="U1326" s="135"/>
      <c r="V1326" s="135"/>
      <c r="W1326" s="135"/>
      <c r="X1326" s="135"/>
      <c r="Y1326" s="135"/>
      <c r="Z1326" s="135"/>
    </row>
    <row r="1327" spans="1:26" ht="12.75">
      <c r="A1327" s="136" t="s">
        <v>8</v>
      </c>
      <c r="B1327" s="136" t="s">
        <v>7568</v>
      </c>
      <c r="C1327" s="136" t="s">
        <v>647</v>
      </c>
      <c r="D1327" s="136" t="s">
        <v>595</v>
      </c>
      <c r="E1327" s="136" t="s">
        <v>594</v>
      </c>
      <c r="F1327" s="136">
        <v>40</v>
      </c>
      <c r="G1327" s="137">
        <f t="shared" si="5"/>
        <v>11</v>
      </c>
      <c r="H1327" s="137"/>
      <c r="I1327" s="137"/>
      <c r="J1327" s="135"/>
      <c r="K1327" s="135"/>
      <c r="L1327" s="135"/>
      <c r="M1327" s="135"/>
      <c r="N1327" s="135"/>
      <c r="O1327" s="135"/>
      <c r="P1327" s="135"/>
      <c r="Q1327" s="135"/>
      <c r="R1327" s="135"/>
      <c r="S1327" s="135"/>
      <c r="T1327" s="135"/>
      <c r="U1327" s="135"/>
      <c r="V1327" s="135"/>
      <c r="W1327" s="135"/>
      <c r="X1327" s="135"/>
      <c r="Y1327" s="135"/>
      <c r="Z1327" s="135"/>
    </row>
    <row r="1328" spans="1:26" ht="12.75">
      <c r="A1328" s="136" t="s">
        <v>8</v>
      </c>
      <c r="B1328" s="136" t="s">
        <v>7568</v>
      </c>
      <c r="C1328" s="136" t="s">
        <v>647</v>
      </c>
      <c r="D1328" s="136" t="s">
        <v>1626</v>
      </c>
      <c r="E1328" s="136" t="s">
        <v>594</v>
      </c>
      <c r="F1328" s="136">
        <v>30</v>
      </c>
      <c r="G1328" s="137">
        <f t="shared" si="5"/>
        <v>12</v>
      </c>
      <c r="H1328" s="137"/>
      <c r="I1328" s="137"/>
      <c r="J1328" s="135"/>
      <c r="K1328" s="135"/>
      <c r="L1328" s="135"/>
      <c r="M1328" s="135"/>
      <c r="N1328" s="135"/>
      <c r="O1328" s="135"/>
      <c r="P1328" s="135"/>
      <c r="Q1328" s="135"/>
      <c r="R1328" s="135"/>
      <c r="S1328" s="135"/>
      <c r="T1328" s="135"/>
      <c r="U1328" s="135"/>
      <c r="V1328" s="135"/>
      <c r="W1328" s="135"/>
      <c r="X1328" s="135"/>
      <c r="Y1328" s="135"/>
      <c r="Z1328" s="135"/>
    </row>
    <row r="1329" spans="1:26" ht="12.75">
      <c r="A1329" s="136" t="s">
        <v>8</v>
      </c>
      <c r="B1329" s="136" t="s">
        <v>7570</v>
      </c>
      <c r="C1329" s="136" t="s">
        <v>7571</v>
      </c>
      <c r="D1329" s="136" t="s">
        <v>139</v>
      </c>
      <c r="E1329" s="136" t="s">
        <v>594</v>
      </c>
      <c r="F1329" s="136">
        <v>376</v>
      </c>
      <c r="G1329" s="137">
        <f t="shared" si="5"/>
        <v>1</v>
      </c>
      <c r="H1329" s="137"/>
      <c r="I1329" s="137"/>
      <c r="J1329" s="135"/>
      <c r="K1329" s="135"/>
      <c r="L1329" s="135"/>
      <c r="M1329" s="135"/>
      <c r="N1329" s="135"/>
      <c r="O1329" s="135"/>
      <c r="P1329" s="135"/>
      <c r="Q1329" s="135"/>
      <c r="R1329" s="135"/>
      <c r="S1329" s="135"/>
      <c r="T1329" s="135"/>
      <c r="U1329" s="135"/>
      <c r="V1329" s="135"/>
      <c r="W1329" s="135"/>
      <c r="X1329" s="135"/>
      <c r="Y1329" s="135"/>
      <c r="Z1329" s="135"/>
    </row>
    <row r="1330" spans="1:26" ht="12.75">
      <c r="A1330" s="136" t="s">
        <v>8</v>
      </c>
      <c r="B1330" s="136" t="s">
        <v>7570</v>
      </c>
      <c r="C1330" s="136" t="s">
        <v>7571</v>
      </c>
      <c r="D1330" s="136" t="s">
        <v>7530</v>
      </c>
      <c r="E1330" s="136" t="s">
        <v>85</v>
      </c>
      <c r="F1330" s="136">
        <v>190</v>
      </c>
      <c r="G1330" s="137">
        <f t="shared" si="5"/>
        <v>2</v>
      </c>
      <c r="H1330" s="137"/>
      <c r="I1330" s="137"/>
      <c r="J1330" s="135"/>
      <c r="K1330" s="135"/>
      <c r="L1330" s="135"/>
      <c r="M1330" s="135"/>
      <c r="N1330" s="135"/>
      <c r="O1330" s="135"/>
      <c r="P1330" s="135"/>
      <c r="Q1330" s="135"/>
      <c r="R1330" s="135"/>
      <c r="S1330" s="135"/>
      <c r="T1330" s="135"/>
      <c r="U1330" s="135"/>
      <c r="V1330" s="135"/>
      <c r="W1330" s="135"/>
      <c r="X1330" s="135"/>
      <c r="Y1330" s="135"/>
      <c r="Z1330" s="135"/>
    </row>
    <row r="1331" spans="1:26" ht="12.75">
      <c r="A1331" s="136" t="s">
        <v>8</v>
      </c>
      <c r="B1331" s="136" t="s">
        <v>7570</v>
      </c>
      <c r="C1331" s="136" t="s">
        <v>7571</v>
      </c>
      <c r="D1331" s="136" t="s">
        <v>7491</v>
      </c>
      <c r="E1331" s="136" t="s">
        <v>615</v>
      </c>
      <c r="F1331" s="136">
        <v>109</v>
      </c>
      <c r="G1331" s="137">
        <f t="shared" si="5"/>
        <v>3</v>
      </c>
      <c r="H1331" s="137"/>
      <c r="I1331" s="137"/>
      <c r="J1331" s="135"/>
      <c r="K1331" s="135"/>
      <c r="L1331" s="135"/>
      <c r="M1331" s="135"/>
      <c r="N1331" s="135"/>
      <c r="O1331" s="135"/>
      <c r="P1331" s="135"/>
      <c r="Q1331" s="135"/>
      <c r="R1331" s="135"/>
      <c r="S1331" s="135"/>
      <c r="T1331" s="135"/>
      <c r="U1331" s="135"/>
      <c r="V1331" s="135"/>
      <c r="W1331" s="135"/>
      <c r="X1331" s="135"/>
      <c r="Y1331" s="135"/>
      <c r="Z1331" s="135"/>
    </row>
    <row r="1332" spans="1:26" ht="12.75">
      <c r="A1332" s="136" t="s">
        <v>8</v>
      </c>
      <c r="B1332" s="136" t="s">
        <v>7570</v>
      </c>
      <c r="C1332" s="136" t="s">
        <v>7571</v>
      </c>
      <c r="D1332" s="136" t="s">
        <v>1669</v>
      </c>
      <c r="E1332" s="136" t="s">
        <v>615</v>
      </c>
      <c r="F1332" s="136">
        <v>62</v>
      </c>
      <c r="G1332" s="137">
        <f t="shared" si="5"/>
        <v>4</v>
      </c>
      <c r="H1332" s="137"/>
      <c r="I1332" s="137"/>
      <c r="J1332" s="135"/>
      <c r="K1332" s="135"/>
      <c r="L1332" s="135"/>
      <c r="M1332" s="135"/>
      <c r="N1332" s="135"/>
      <c r="O1332" s="135"/>
      <c r="P1332" s="135"/>
      <c r="Q1332" s="135"/>
      <c r="R1332" s="135"/>
      <c r="S1332" s="135"/>
      <c r="T1332" s="135"/>
      <c r="U1332" s="135"/>
      <c r="V1332" s="135"/>
      <c r="W1332" s="135"/>
      <c r="X1332" s="135"/>
      <c r="Y1332" s="135"/>
      <c r="Z1332" s="135"/>
    </row>
    <row r="1333" spans="1:26" ht="12.75">
      <c r="A1333" s="136" t="s">
        <v>8</v>
      </c>
      <c r="B1333" s="136" t="s">
        <v>7570</v>
      </c>
      <c r="C1333" s="136" t="s">
        <v>7571</v>
      </c>
      <c r="D1333" s="136" t="s">
        <v>107</v>
      </c>
      <c r="E1333" s="136" t="s">
        <v>615</v>
      </c>
      <c r="F1333" s="136">
        <v>20</v>
      </c>
      <c r="G1333" s="137">
        <f t="shared" si="5"/>
        <v>5</v>
      </c>
      <c r="H1333" s="137"/>
      <c r="I1333" s="137"/>
      <c r="J1333" s="135"/>
      <c r="K1333" s="135"/>
      <c r="L1333" s="135"/>
      <c r="M1333" s="135"/>
      <c r="N1333" s="135"/>
      <c r="O1333" s="135"/>
      <c r="P1333" s="135"/>
      <c r="Q1333" s="135"/>
      <c r="R1333" s="135"/>
      <c r="S1333" s="135"/>
      <c r="T1333" s="135"/>
      <c r="U1333" s="135"/>
      <c r="V1333" s="135"/>
      <c r="W1333" s="135"/>
      <c r="X1333" s="135"/>
      <c r="Y1333" s="135"/>
      <c r="Z1333" s="135"/>
    </row>
    <row r="1334" spans="1:26" ht="12.75">
      <c r="A1334" s="136" t="s">
        <v>8</v>
      </c>
      <c r="B1334" s="136" t="s">
        <v>7570</v>
      </c>
      <c r="C1334" s="136" t="s">
        <v>7571</v>
      </c>
      <c r="D1334" s="136" t="s">
        <v>368</v>
      </c>
      <c r="E1334" s="136" t="s">
        <v>594</v>
      </c>
      <c r="F1334" s="136">
        <v>10</v>
      </c>
      <c r="G1334" s="137">
        <f t="shared" si="5"/>
        <v>6</v>
      </c>
      <c r="H1334" s="137"/>
      <c r="I1334" s="137"/>
      <c r="J1334" s="135"/>
      <c r="K1334" s="135"/>
      <c r="L1334" s="135"/>
      <c r="M1334" s="135"/>
      <c r="N1334" s="135"/>
      <c r="O1334" s="135"/>
      <c r="P1334" s="135"/>
      <c r="Q1334" s="135"/>
      <c r="R1334" s="135"/>
      <c r="S1334" s="135"/>
      <c r="T1334" s="135"/>
      <c r="U1334" s="135"/>
      <c r="V1334" s="135"/>
      <c r="W1334" s="135"/>
      <c r="X1334" s="135"/>
      <c r="Y1334" s="135"/>
      <c r="Z1334" s="135"/>
    </row>
    <row r="1335" spans="1:26" ht="12.75">
      <c r="A1335" s="136" t="s">
        <v>8</v>
      </c>
      <c r="B1335" s="136" t="s">
        <v>7570</v>
      </c>
      <c r="C1335" s="136" t="s">
        <v>7571</v>
      </c>
      <c r="D1335" s="136" t="s">
        <v>7544</v>
      </c>
      <c r="E1335" s="136" t="s">
        <v>615</v>
      </c>
      <c r="F1335" s="136">
        <v>10</v>
      </c>
      <c r="G1335" s="137">
        <f t="shared" si="5"/>
        <v>7</v>
      </c>
      <c r="H1335" s="137"/>
      <c r="I1335" s="137"/>
      <c r="J1335" s="135"/>
      <c r="K1335" s="135"/>
      <c r="L1335" s="135"/>
      <c r="M1335" s="135"/>
      <c r="N1335" s="135"/>
      <c r="O1335" s="135"/>
      <c r="P1335" s="135"/>
      <c r="Q1335" s="135"/>
      <c r="R1335" s="135"/>
      <c r="S1335" s="135"/>
      <c r="T1335" s="135"/>
      <c r="U1335" s="135"/>
      <c r="V1335" s="135"/>
      <c r="W1335" s="135"/>
      <c r="X1335" s="135"/>
      <c r="Y1335" s="135"/>
      <c r="Z1335" s="135"/>
    </row>
    <row r="1336" spans="1:26" ht="12.75">
      <c r="A1336" s="136" t="s">
        <v>8</v>
      </c>
      <c r="B1336" s="136" t="s">
        <v>7570</v>
      </c>
      <c r="C1336" s="136" t="s">
        <v>7571</v>
      </c>
      <c r="D1336" s="136" t="s">
        <v>7545</v>
      </c>
      <c r="E1336" s="136" t="s">
        <v>86</v>
      </c>
      <c r="F1336" s="136">
        <v>3</v>
      </c>
      <c r="G1336" s="137">
        <f t="shared" si="5"/>
        <v>8</v>
      </c>
      <c r="H1336" s="137"/>
      <c r="I1336" s="137"/>
      <c r="J1336" s="135"/>
      <c r="K1336" s="135"/>
      <c r="L1336" s="135"/>
      <c r="M1336" s="135"/>
      <c r="N1336" s="135"/>
      <c r="O1336" s="135"/>
      <c r="P1336" s="135"/>
      <c r="Q1336" s="135"/>
      <c r="R1336" s="135"/>
      <c r="S1336" s="135"/>
      <c r="T1336" s="135"/>
      <c r="U1336" s="135"/>
      <c r="V1336" s="135"/>
      <c r="W1336" s="135"/>
      <c r="X1336" s="135"/>
      <c r="Y1336" s="135"/>
      <c r="Z1336" s="135"/>
    </row>
    <row r="1337" spans="1:26" ht="12.75">
      <c r="A1337" s="136" t="s">
        <v>8</v>
      </c>
      <c r="B1337" s="136" t="s">
        <v>7570</v>
      </c>
      <c r="C1337" s="136" t="s">
        <v>7571</v>
      </c>
      <c r="D1337" s="136" t="s">
        <v>7533</v>
      </c>
      <c r="E1337" s="136" t="s">
        <v>594</v>
      </c>
      <c r="F1337" s="136"/>
      <c r="G1337" s="137">
        <f t="shared" si="5"/>
        <v>0</v>
      </c>
      <c r="H1337" s="137"/>
      <c r="I1337" s="137"/>
      <c r="J1337" s="135"/>
      <c r="K1337" s="135"/>
      <c r="L1337" s="135"/>
      <c r="M1337" s="135"/>
      <c r="N1337" s="135"/>
      <c r="O1337" s="135"/>
      <c r="P1337" s="135"/>
      <c r="Q1337" s="135"/>
      <c r="R1337" s="135"/>
      <c r="S1337" s="135"/>
      <c r="T1337" s="135"/>
      <c r="U1337" s="135"/>
      <c r="V1337" s="135"/>
      <c r="W1337" s="135"/>
      <c r="X1337" s="135"/>
      <c r="Y1337" s="135"/>
      <c r="Z1337" s="135"/>
    </row>
    <row r="1338" spans="1:26" ht="12.75">
      <c r="A1338" s="136" t="s">
        <v>8</v>
      </c>
      <c r="B1338" s="136" t="s">
        <v>7568</v>
      </c>
      <c r="C1338" s="136" t="s">
        <v>7572</v>
      </c>
      <c r="D1338" s="136" t="s">
        <v>7545</v>
      </c>
      <c r="E1338" s="136" t="s">
        <v>86</v>
      </c>
      <c r="F1338" s="136">
        <v>580</v>
      </c>
      <c r="G1338" s="137">
        <f t="shared" si="5"/>
        <v>1</v>
      </c>
      <c r="H1338" s="137"/>
      <c r="I1338" s="137"/>
      <c r="J1338" s="135"/>
      <c r="K1338" s="135"/>
      <c r="L1338" s="135"/>
      <c r="M1338" s="135"/>
      <c r="N1338" s="135"/>
      <c r="O1338" s="135"/>
      <c r="P1338" s="135"/>
      <c r="Q1338" s="135"/>
      <c r="R1338" s="135"/>
      <c r="S1338" s="135"/>
      <c r="T1338" s="135"/>
      <c r="U1338" s="135"/>
      <c r="V1338" s="135"/>
      <c r="W1338" s="135"/>
      <c r="X1338" s="135"/>
      <c r="Y1338" s="135"/>
      <c r="Z1338" s="135"/>
    </row>
    <row r="1339" spans="1:26" ht="12.75">
      <c r="A1339" s="136" t="s">
        <v>8</v>
      </c>
      <c r="B1339" s="136" t="s">
        <v>7568</v>
      </c>
      <c r="C1339" s="136" t="s">
        <v>7572</v>
      </c>
      <c r="D1339" s="136" t="s">
        <v>7546</v>
      </c>
      <c r="E1339" s="136" t="s">
        <v>86</v>
      </c>
      <c r="F1339" s="136">
        <v>450</v>
      </c>
      <c r="G1339" s="137">
        <f t="shared" si="5"/>
        <v>2</v>
      </c>
      <c r="H1339" s="137"/>
      <c r="I1339" s="137"/>
      <c r="J1339" s="135"/>
      <c r="K1339" s="135"/>
      <c r="L1339" s="135"/>
      <c r="M1339" s="135"/>
      <c r="N1339" s="135"/>
      <c r="O1339" s="135"/>
      <c r="P1339" s="135"/>
      <c r="Q1339" s="135"/>
      <c r="R1339" s="135"/>
      <c r="S1339" s="135"/>
      <c r="T1339" s="135"/>
      <c r="U1339" s="135"/>
      <c r="V1339" s="135"/>
      <c r="W1339" s="135"/>
      <c r="X1339" s="135"/>
      <c r="Y1339" s="135"/>
      <c r="Z1339" s="135"/>
    </row>
    <row r="1340" spans="1:26" ht="12.75">
      <c r="A1340" s="136" t="s">
        <v>8</v>
      </c>
      <c r="B1340" s="136" t="s">
        <v>7568</v>
      </c>
      <c r="C1340" s="136" t="s">
        <v>7572</v>
      </c>
      <c r="D1340" s="136" t="s">
        <v>1676</v>
      </c>
      <c r="E1340" s="136" t="s">
        <v>86</v>
      </c>
      <c r="F1340" s="136">
        <v>386</v>
      </c>
      <c r="G1340" s="137">
        <f t="shared" si="5"/>
        <v>3</v>
      </c>
      <c r="H1340" s="137"/>
      <c r="I1340" s="137"/>
      <c r="J1340" s="135"/>
      <c r="K1340" s="135"/>
      <c r="L1340" s="135"/>
      <c r="M1340" s="135"/>
      <c r="N1340" s="135"/>
      <c r="O1340" s="135"/>
      <c r="P1340" s="135"/>
      <c r="Q1340" s="135"/>
      <c r="R1340" s="135"/>
      <c r="S1340" s="135"/>
      <c r="T1340" s="135"/>
      <c r="U1340" s="135"/>
      <c r="V1340" s="135"/>
      <c r="W1340" s="135"/>
      <c r="X1340" s="135"/>
      <c r="Y1340" s="135"/>
      <c r="Z1340" s="135"/>
    </row>
    <row r="1341" spans="1:26" ht="12.75">
      <c r="A1341" s="136" t="s">
        <v>8</v>
      </c>
      <c r="B1341" s="136" t="s">
        <v>7568</v>
      </c>
      <c r="C1341" s="136" t="s">
        <v>7572</v>
      </c>
      <c r="D1341" s="136" t="s">
        <v>7544</v>
      </c>
      <c r="E1341" s="136" t="s">
        <v>615</v>
      </c>
      <c r="F1341" s="136">
        <v>123</v>
      </c>
      <c r="G1341" s="137">
        <f t="shared" si="5"/>
        <v>4</v>
      </c>
      <c r="H1341" s="137"/>
      <c r="I1341" s="137"/>
      <c r="J1341" s="135"/>
      <c r="K1341" s="135"/>
      <c r="L1341" s="135"/>
      <c r="M1341" s="135"/>
      <c r="N1341" s="135"/>
      <c r="O1341" s="135"/>
      <c r="P1341" s="135"/>
      <c r="Q1341" s="135"/>
      <c r="R1341" s="135"/>
      <c r="S1341" s="135"/>
      <c r="T1341" s="135"/>
      <c r="U1341" s="135"/>
      <c r="V1341" s="135"/>
      <c r="W1341" s="135"/>
      <c r="X1341" s="135"/>
      <c r="Y1341" s="135"/>
      <c r="Z1341" s="135"/>
    </row>
    <row r="1342" spans="1:26" ht="12.75">
      <c r="A1342" s="136" t="s">
        <v>8</v>
      </c>
      <c r="B1342" s="136" t="s">
        <v>7568</v>
      </c>
      <c r="C1342" s="136" t="s">
        <v>7572</v>
      </c>
      <c r="D1342" s="136" t="s">
        <v>165</v>
      </c>
      <c r="E1342" s="136" t="s">
        <v>615</v>
      </c>
      <c r="F1342" s="136">
        <v>80</v>
      </c>
      <c r="G1342" s="137">
        <f t="shared" si="5"/>
        <v>5</v>
      </c>
      <c r="H1342" s="137"/>
      <c r="I1342" s="137"/>
      <c r="J1342" s="135"/>
      <c r="K1342" s="135"/>
      <c r="L1342" s="135"/>
      <c r="M1342" s="135"/>
      <c r="N1342" s="135"/>
      <c r="O1342" s="135"/>
      <c r="P1342" s="135"/>
      <c r="Q1342" s="135"/>
      <c r="R1342" s="135"/>
      <c r="S1342" s="135"/>
      <c r="T1342" s="135"/>
      <c r="U1342" s="135"/>
      <c r="V1342" s="135"/>
      <c r="W1342" s="135"/>
      <c r="X1342" s="135"/>
      <c r="Y1342" s="135"/>
      <c r="Z1342" s="135"/>
    </row>
    <row r="1343" spans="1:26" ht="12.75">
      <c r="A1343" s="136" t="s">
        <v>8</v>
      </c>
      <c r="B1343" s="136" t="s">
        <v>7568</v>
      </c>
      <c r="C1343" s="136" t="s">
        <v>7572</v>
      </c>
      <c r="D1343" s="136" t="s">
        <v>139</v>
      </c>
      <c r="E1343" s="136" t="s">
        <v>594</v>
      </c>
      <c r="F1343" s="136">
        <v>72</v>
      </c>
      <c r="G1343" s="137">
        <f t="shared" si="5"/>
        <v>6</v>
      </c>
      <c r="H1343" s="137"/>
      <c r="I1343" s="137"/>
      <c r="J1343" s="135"/>
      <c r="K1343" s="135"/>
      <c r="L1343" s="135"/>
      <c r="M1343" s="135"/>
      <c r="N1343" s="135"/>
      <c r="O1343" s="135"/>
      <c r="P1343" s="135"/>
      <c r="Q1343" s="135"/>
      <c r="R1343" s="135"/>
      <c r="S1343" s="135"/>
      <c r="T1343" s="135"/>
      <c r="U1343" s="135"/>
      <c r="V1343" s="135"/>
      <c r="W1343" s="135"/>
      <c r="X1343" s="135"/>
      <c r="Y1343" s="135"/>
      <c r="Z1343" s="135"/>
    </row>
    <row r="1344" spans="1:26" ht="12.75">
      <c r="A1344" s="136" t="s">
        <v>8</v>
      </c>
      <c r="B1344" s="136" t="s">
        <v>7568</v>
      </c>
      <c r="C1344" s="136" t="s">
        <v>7572</v>
      </c>
      <c r="D1344" s="136" t="s">
        <v>7530</v>
      </c>
      <c r="E1344" s="136" t="s">
        <v>85</v>
      </c>
      <c r="F1344" s="136">
        <v>66</v>
      </c>
      <c r="G1344" s="137">
        <f t="shared" si="5"/>
        <v>7</v>
      </c>
      <c r="H1344" s="137"/>
      <c r="I1344" s="137"/>
      <c r="J1344" s="135"/>
      <c r="K1344" s="135"/>
      <c r="L1344" s="135"/>
      <c r="M1344" s="135"/>
      <c r="N1344" s="135"/>
      <c r="O1344" s="135"/>
      <c r="P1344" s="135"/>
      <c r="Q1344" s="135"/>
      <c r="R1344" s="135"/>
      <c r="S1344" s="135"/>
      <c r="T1344" s="135"/>
      <c r="U1344" s="135"/>
      <c r="V1344" s="135"/>
      <c r="W1344" s="135"/>
      <c r="X1344" s="135"/>
      <c r="Y1344" s="135"/>
      <c r="Z1344" s="135"/>
    </row>
    <row r="1345" spans="1:26" ht="12.75">
      <c r="A1345" s="136" t="s">
        <v>8</v>
      </c>
      <c r="B1345" s="136" t="s">
        <v>7568</v>
      </c>
      <c r="C1345" s="136" t="s">
        <v>7572</v>
      </c>
      <c r="D1345" s="136" t="s">
        <v>7491</v>
      </c>
      <c r="E1345" s="136" t="s">
        <v>615</v>
      </c>
      <c r="F1345" s="136">
        <v>33</v>
      </c>
      <c r="G1345" s="137">
        <f t="shared" si="5"/>
        <v>8</v>
      </c>
      <c r="H1345" s="137"/>
      <c r="I1345" s="137"/>
      <c r="J1345" s="135"/>
      <c r="K1345" s="135"/>
      <c r="L1345" s="135"/>
      <c r="M1345" s="135"/>
      <c r="N1345" s="135"/>
      <c r="O1345" s="135"/>
      <c r="P1345" s="135"/>
      <c r="Q1345" s="135"/>
      <c r="R1345" s="135"/>
      <c r="S1345" s="135"/>
      <c r="T1345" s="135"/>
      <c r="U1345" s="135"/>
      <c r="V1345" s="135"/>
      <c r="W1345" s="135"/>
      <c r="X1345" s="135"/>
      <c r="Y1345" s="135"/>
      <c r="Z1345" s="135"/>
    </row>
    <row r="1346" spans="1:26" ht="12.75">
      <c r="A1346" s="136" t="s">
        <v>8</v>
      </c>
      <c r="B1346" s="136" t="s">
        <v>7568</v>
      </c>
      <c r="C1346" s="136" t="s">
        <v>7572</v>
      </c>
      <c r="D1346" s="136" t="s">
        <v>7533</v>
      </c>
      <c r="E1346" s="136" t="s">
        <v>594</v>
      </c>
      <c r="F1346" s="136">
        <v>33</v>
      </c>
      <c r="G1346" s="137">
        <f t="shared" si="5"/>
        <v>9</v>
      </c>
      <c r="H1346" s="137"/>
      <c r="I1346" s="137"/>
      <c r="J1346" s="135"/>
      <c r="K1346" s="135"/>
      <c r="L1346" s="135"/>
      <c r="M1346" s="135"/>
      <c r="N1346" s="135"/>
      <c r="O1346" s="135"/>
      <c r="P1346" s="135"/>
      <c r="Q1346" s="135"/>
      <c r="R1346" s="135"/>
      <c r="S1346" s="135"/>
      <c r="T1346" s="135"/>
      <c r="U1346" s="135"/>
      <c r="V1346" s="135"/>
      <c r="W1346" s="135"/>
      <c r="X1346" s="135"/>
      <c r="Y1346" s="135"/>
      <c r="Z1346" s="135"/>
    </row>
    <row r="1347" spans="1:26" ht="12.75">
      <c r="A1347" s="136" t="s">
        <v>8</v>
      </c>
      <c r="B1347" s="136" t="s">
        <v>7568</v>
      </c>
      <c r="C1347" s="136" t="s">
        <v>7572</v>
      </c>
      <c r="D1347" s="136" t="s">
        <v>1665</v>
      </c>
      <c r="E1347" s="136" t="s">
        <v>615</v>
      </c>
      <c r="F1347" s="136">
        <v>25</v>
      </c>
      <c r="G1347" s="137">
        <f t="shared" si="5"/>
        <v>10</v>
      </c>
      <c r="H1347" s="137"/>
      <c r="I1347" s="137"/>
      <c r="J1347" s="135"/>
      <c r="K1347" s="135"/>
      <c r="L1347" s="135"/>
      <c r="M1347" s="135"/>
      <c r="N1347" s="135"/>
      <c r="O1347" s="135"/>
      <c r="P1347" s="135"/>
      <c r="Q1347" s="135"/>
      <c r="R1347" s="135"/>
      <c r="S1347" s="135"/>
      <c r="T1347" s="135"/>
      <c r="U1347" s="135"/>
      <c r="V1347" s="135"/>
      <c r="W1347" s="135"/>
      <c r="X1347" s="135"/>
      <c r="Y1347" s="135"/>
      <c r="Z1347" s="135"/>
    </row>
    <row r="1348" spans="1:26" ht="12.75">
      <c r="A1348" s="136" t="s">
        <v>8</v>
      </c>
      <c r="B1348" s="136" t="s">
        <v>7568</v>
      </c>
      <c r="C1348" s="136" t="s">
        <v>19</v>
      </c>
      <c r="D1348" s="136" t="s">
        <v>165</v>
      </c>
      <c r="E1348" s="136" t="s">
        <v>615</v>
      </c>
      <c r="F1348" s="136">
        <v>350</v>
      </c>
      <c r="G1348" s="137">
        <f t="shared" si="5"/>
        <v>10</v>
      </c>
      <c r="H1348" s="137"/>
      <c r="I1348" s="137"/>
      <c r="J1348" s="135"/>
      <c r="K1348" s="135"/>
      <c r="L1348" s="135"/>
      <c r="M1348" s="135"/>
      <c r="N1348" s="135"/>
      <c r="O1348" s="135"/>
      <c r="P1348" s="135"/>
      <c r="Q1348" s="135"/>
      <c r="R1348" s="135"/>
      <c r="S1348" s="135"/>
      <c r="T1348" s="135"/>
      <c r="U1348" s="135"/>
      <c r="V1348" s="135"/>
      <c r="W1348" s="135"/>
      <c r="X1348" s="135"/>
      <c r="Y1348" s="135"/>
      <c r="Z1348" s="135"/>
    </row>
    <row r="1349" spans="1:26" ht="12.75">
      <c r="A1349" s="136" t="s">
        <v>8</v>
      </c>
      <c r="B1349" s="136" t="s">
        <v>7568</v>
      </c>
      <c r="C1349" s="136" t="s">
        <v>19</v>
      </c>
      <c r="D1349" s="136" t="s">
        <v>139</v>
      </c>
      <c r="E1349" s="136" t="s">
        <v>594</v>
      </c>
      <c r="F1349" s="136">
        <v>237</v>
      </c>
      <c r="G1349" s="137">
        <f t="shared" si="5"/>
        <v>12</v>
      </c>
      <c r="H1349" s="137"/>
      <c r="I1349" s="137"/>
      <c r="J1349" s="135"/>
      <c r="K1349" s="135"/>
      <c r="L1349" s="135"/>
      <c r="M1349" s="135"/>
      <c r="N1349" s="135"/>
      <c r="O1349" s="135"/>
      <c r="P1349" s="135"/>
      <c r="Q1349" s="135"/>
      <c r="R1349" s="135"/>
      <c r="S1349" s="135"/>
      <c r="T1349" s="135"/>
      <c r="U1349" s="135"/>
      <c r="V1349" s="135"/>
      <c r="W1349" s="135"/>
      <c r="X1349" s="135"/>
      <c r="Y1349" s="135"/>
      <c r="Z1349" s="135"/>
    </row>
    <row r="1350" spans="1:26" ht="12.75">
      <c r="A1350" s="136" t="s">
        <v>8</v>
      </c>
      <c r="B1350" s="136" t="s">
        <v>7568</v>
      </c>
      <c r="C1350" s="136" t="s">
        <v>19</v>
      </c>
      <c r="D1350" s="136" t="s">
        <v>7530</v>
      </c>
      <c r="E1350" s="136" t="s">
        <v>85</v>
      </c>
      <c r="F1350" s="136">
        <v>204</v>
      </c>
      <c r="G1350" s="137">
        <f t="shared" si="5"/>
        <v>15</v>
      </c>
      <c r="H1350" s="137"/>
      <c r="I1350" s="137"/>
      <c r="J1350" s="135"/>
      <c r="K1350" s="135"/>
      <c r="L1350" s="135"/>
      <c r="M1350" s="135"/>
      <c r="N1350" s="135"/>
      <c r="O1350" s="135"/>
      <c r="P1350" s="135"/>
      <c r="Q1350" s="135"/>
      <c r="R1350" s="135"/>
      <c r="S1350" s="135"/>
      <c r="T1350" s="135"/>
      <c r="U1350" s="135"/>
      <c r="V1350" s="135"/>
      <c r="W1350" s="135"/>
      <c r="X1350" s="135"/>
      <c r="Y1350" s="135"/>
      <c r="Z1350" s="135"/>
    </row>
    <row r="1351" spans="1:26" ht="12.75">
      <c r="A1351" s="136" t="s">
        <v>8</v>
      </c>
      <c r="B1351" s="136" t="s">
        <v>7568</v>
      </c>
      <c r="C1351" s="136" t="s">
        <v>19</v>
      </c>
      <c r="D1351" s="136" t="s">
        <v>7491</v>
      </c>
      <c r="E1351" s="136" t="s">
        <v>615</v>
      </c>
      <c r="F1351" s="136">
        <v>103</v>
      </c>
      <c r="G1351" s="137">
        <f t="shared" si="5"/>
        <v>22</v>
      </c>
      <c r="H1351" s="137"/>
      <c r="I1351" s="137"/>
      <c r="J1351" s="135"/>
      <c r="K1351" s="135"/>
      <c r="L1351" s="135"/>
      <c r="M1351" s="135"/>
      <c r="N1351" s="135"/>
      <c r="O1351" s="135"/>
      <c r="P1351" s="135"/>
      <c r="Q1351" s="135"/>
      <c r="R1351" s="135"/>
      <c r="S1351" s="135"/>
      <c r="T1351" s="135"/>
      <c r="U1351" s="135"/>
      <c r="V1351" s="135"/>
      <c r="W1351" s="135"/>
      <c r="X1351" s="135"/>
      <c r="Y1351" s="135"/>
      <c r="Z1351" s="135"/>
    </row>
    <row r="1352" spans="1:26" ht="12.75">
      <c r="A1352" s="136" t="s">
        <v>8</v>
      </c>
      <c r="B1352" s="136" t="s">
        <v>7568</v>
      </c>
      <c r="C1352" s="136" t="s">
        <v>19</v>
      </c>
      <c r="D1352" s="136" t="s">
        <v>7544</v>
      </c>
      <c r="E1352" s="136" t="s">
        <v>615</v>
      </c>
      <c r="F1352" s="136">
        <v>80</v>
      </c>
      <c r="G1352" s="137">
        <f t="shared" si="5"/>
        <v>23</v>
      </c>
      <c r="H1352" s="137"/>
      <c r="I1352" s="137"/>
      <c r="J1352" s="135"/>
      <c r="K1352" s="135"/>
      <c r="L1352" s="135"/>
      <c r="M1352" s="135"/>
      <c r="N1352" s="135"/>
      <c r="O1352" s="135"/>
      <c r="P1352" s="135"/>
      <c r="Q1352" s="135"/>
      <c r="R1352" s="135"/>
      <c r="S1352" s="135"/>
      <c r="T1352" s="135"/>
      <c r="U1352" s="135"/>
      <c r="V1352" s="135"/>
      <c r="W1352" s="135"/>
      <c r="X1352" s="135"/>
      <c r="Y1352" s="135"/>
      <c r="Z1352" s="135"/>
    </row>
    <row r="1353" spans="1:26" ht="12.75">
      <c r="A1353" s="136" t="s">
        <v>8</v>
      </c>
      <c r="B1353" s="136" t="s">
        <v>7568</v>
      </c>
      <c r="C1353" s="136" t="s">
        <v>19</v>
      </c>
      <c r="D1353" s="136" t="s">
        <v>595</v>
      </c>
      <c r="E1353" s="136" t="s">
        <v>594</v>
      </c>
      <c r="F1353" s="136">
        <v>55</v>
      </c>
      <c r="G1353" s="137">
        <f t="shared" si="5"/>
        <v>25</v>
      </c>
      <c r="H1353" s="137"/>
      <c r="I1353" s="137"/>
      <c r="J1353" s="135"/>
      <c r="K1353" s="135"/>
      <c r="L1353" s="135"/>
      <c r="M1353" s="135"/>
      <c r="N1353" s="135"/>
      <c r="O1353" s="135"/>
      <c r="P1353" s="135"/>
      <c r="Q1353" s="135"/>
      <c r="R1353" s="135"/>
      <c r="S1353" s="135"/>
      <c r="T1353" s="135"/>
      <c r="U1353" s="135"/>
      <c r="V1353" s="135"/>
      <c r="W1353" s="135"/>
      <c r="X1353" s="135"/>
      <c r="Y1353" s="135"/>
      <c r="Z1353" s="135"/>
    </row>
    <row r="1354" spans="1:26" ht="12.75">
      <c r="A1354" s="136" t="s">
        <v>8</v>
      </c>
      <c r="B1354" s="136" t="s">
        <v>7568</v>
      </c>
      <c r="C1354" s="136" t="s">
        <v>19</v>
      </c>
      <c r="D1354" s="136" t="s">
        <v>1665</v>
      </c>
      <c r="E1354" s="136" t="s">
        <v>615</v>
      </c>
      <c r="F1354" s="136">
        <v>45</v>
      </c>
      <c r="G1354" s="137">
        <f t="shared" si="5"/>
        <v>26</v>
      </c>
      <c r="H1354" s="137"/>
      <c r="I1354" s="137"/>
      <c r="J1354" s="135"/>
      <c r="K1354" s="135"/>
      <c r="L1354" s="135"/>
      <c r="M1354" s="135"/>
      <c r="N1354" s="135"/>
      <c r="O1354" s="135"/>
      <c r="P1354" s="135"/>
      <c r="Q1354" s="135"/>
      <c r="R1354" s="135"/>
      <c r="S1354" s="135"/>
      <c r="T1354" s="135"/>
      <c r="U1354" s="135"/>
      <c r="V1354" s="135"/>
      <c r="W1354" s="135"/>
      <c r="X1354" s="135"/>
      <c r="Y1354" s="135"/>
      <c r="Z1354" s="135"/>
    </row>
    <row r="1355" spans="1:26" ht="12.75">
      <c r="A1355" s="136" t="s">
        <v>8</v>
      </c>
      <c r="B1355" s="136" t="s">
        <v>7568</v>
      </c>
      <c r="C1355" s="136" t="s">
        <v>19</v>
      </c>
      <c r="D1355" s="136" t="s">
        <v>7545</v>
      </c>
      <c r="E1355" s="136" t="s">
        <v>86</v>
      </c>
      <c r="F1355" s="136">
        <v>3</v>
      </c>
      <c r="G1355" s="137">
        <f t="shared" si="5"/>
        <v>27</v>
      </c>
      <c r="H1355" s="137"/>
      <c r="I1355" s="137"/>
      <c r="J1355" s="135"/>
      <c r="K1355" s="135"/>
      <c r="L1355" s="135"/>
      <c r="M1355" s="135"/>
      <c r="N1355" s="135"/>
      <c r="O1355" s="135"/>
      <c r="P1355" s="135"/>
      <c r="Q1355" s="135"/>
      <c r="R1355" s="135"/>
      <c r="S1355" s="135"/>
      <c r="T1355" s="135"/>
      <c r="U1355" s="135"/>
      <c r="V1355" s="135"/>
      <c r="W1355" s="135"/>
      <c r="X1355" s="135"/>
      <c r="Y1355" s="135"/>
      <c r="Z1355" s="135"/>
    </row>
    <row r="1356" spans="1:26" ht="12.75">
      <c r="A1356" s="136" t="s">
        <v>8</v>
      </c>
      <c r="B1356" s="136" t="s">
        <v>8</v>
      </c>
      <c r="C1356" s="136" t="s">
        <v>583</v>
      </c>
      <c r="D1356" s="136" t="s">
        <v>139</v>
      </c>
      <c r="E1356" s="136" t="s">
        <v>594</v>
      </c>
      <c r="F1356" s="136">
        <v>1265</v>
      </c>
      <c r="G1356" s="137">
        <f t="shared" si="5"/>
        <v>1</v>
      </c>
      <c r="H1356" s="137"/>
      <c r="I1356" s="137"/>
      <c r="J1356" s="135"/>
      <c r="K1356" s="135"/>
      <c r="L1356" s="135"/>
      <c r="M1356" s="135"/>
      <c r="N1356" s="135"/>
      <c r="O1356" s="135"/>
      <c r="P1356" s="135"/>
      <c r="Q1356" s="135"/>
      <c r="R1356" s="135"/>
      <c r="S1356" s="135"/>
      <c r="T1356" s="135"/>
      <c r="U1356" s="135"/>
      <c r="V1356" s="135"/>
      <c r="W1356" s="135"/>
      <c r="X1356" s="135"/>
      <c r="Y1356" s="135"/>
      <c r="Z1356" s="135"/>
    </row>
    <row r="1357" spans="1:26" ht="12.75">
      <c r="A1357" s="136" t="s">
        <v>8</v>
      </c>
      <c r="B1357" s="136" t="s">
        <v>8</v>
      </c>
      <c r="C1357" s="136" t="s">
        <v>583</v>
      </c>
      <c r="D1357" s="136" t="s">
        <v>7530</v>
      </c>
      <c r="E1357" s="136" t="s">
        <v>85</v>
      </c>
      <c r="F1357" s="136">
        <v>714</v>
      </c>
      <c r="G1357" s="137">
        <f t="shared" si="5"/>
        <v>2</v>
      </c>
      <c r="H1357" s="137"/>
      <c r="I1357" s="137"/>
      <c r="J1357" s="135"/>
      <c r="K1357" s="135"/>
      <c r="L1357" s="135"/>
      <c r="M1357" s="135"/>
      <c r="N1357" s="135"/>
      <c r="O1357" s="135"/>
      <c r="P1357" s="135"/>
      <c r="Q1357" s="135"/>
      <c r="R1357" s="135"/>
      <c r="S1357" s="135"/>
      <c r="T1357" s="135"/>
      <c r="U1357" s="135"/>
      <c r="V1357" s="135"/>
      <c r="W1357" s="135"/>
      <c r="X1357" s="135"/>
      <c r="Y1357" s="135"/>
      <c r="Z1357" s="135"/>
    </row>
    <row r="1358" spans="1:26" ht="12.75">
      <c r="A1358" s="136" t="s">
        <v>8</v>
      </c>
      <c r="B1358" s="136" t="s">
        <v>8</v>
      </c>
      <c r="C1358" s="136" t="s">
        <v>583</v>
      </c>
      <c r="D1358" s="136" t="s">
        <v>467</v>
      </c>
      <c r="E1358" s="136" t="s">
        <v>85</v>
      </c>
      <c r="F1358" s="136">
        <v>462</v>
      </c>
      <c r="G1358" s="137">
        <f t="shared" si="5"/>
        <v>3</v>
      </c>
      <c r="H1358" s="137"/>
      <c r="I1358" s="137"/>
      <c r="J1358" s="135"/>
      <c r="K1358" s="135"/>
      <c r="L1358" s="135"/>
      <c r="M1358" s="135"/>
      <c r="N1358" s="135"/>
      <c r="O1358" s="135"/>
      <c r="P1358" s="135"/>
      <c r="Q1358" s="135"/>
      <c r="R1358" s="135"/>
      <c r="S1358" s="135"/>
      <c r="T1358" s="135"/>
      <c r="U1358" s="135"/>
      <c r="V1358" s="135"/>
      <c r="W1358" s="135"/>
      <c r="X1358" s="135"/>
      <c r="Y1358" s="135"/>
      <c r="Z1358" s="135"/>
    </row>
    <row r="1359" spans="1:26" ht="12.75">
      <c r="A1359" s="136" t="s">
        <v>8</v>
      </c>
      <c r="B1359" s="136" t="s">
        <v>8</v>
      </c>
      <c r="C1359" s="136" t="s">
        <v>583</v>
      </c>
      <c r="D1359" s="136" t="s">
        <v>165</v>
      </c>
      <c r="E1359" s="136" t="s">
        <v>615</v>
      </c>
      <c r="F1359" s="136">
        <v>415</v>
      </c>
      <c r="G1359" s="137">
        <f t="shared" si="5"/>
        <v>4</v>
      </c>
      <c r="H1359" s="137"/>
      <c r="I1359" s="137"/>
      <c r="J1359" s="135"/>
      <c r="K1359" s="135"/>
      <c r="L1359" s="135"/>
      <c r="M1359" s="135"/>
      <c r="N1359" s="135"/>
      <c r="O1359" s="135"/>
      <c r="P1359" s="135"/>
      <c r="Q1359" s="135"/>
      <c r="R1359" s="135"/>
      <c r="S1359" s="135"/>
      <c r="T1359" s="135"/>
      <c r="U1359" s="135"/>
      <c r="V1359" s="135"/>
      <c r="W1359" s="135"/>
      <c r="X1359" s="135"/>
      <c r="Y1359" s="135"/>
      <c r="Z1359" s="135"/>
    </row>
    <row r="1360" spans="1:26" ht="12.75">
      <c r="A1360" s="136" t="s">
        <v>8</v>
      </c>
      <c r="B1360" s="136" t="s">
        <v>8</v>
      </c>
      <c r="C1360" s="136" t="s">
        <v>583</v>
      </c>
      <c r="D1360" s="136" t="s">
        <v>7544</v>
      </c>
      <c r="E1360" s="136" t="s">
        <v>615</v>
      </c>
      <c r="F1360" s="136">
        <v>330</v>
      </c>
      <c r="G1360" s="137">
        <f t="shared" si="5"/>
        <v>5</v>
      </c>
      <c r="H1360" s="137"/>
      <c r="I1360" s="137"/>
      <c r="J1360" s="135"/>
      <c r="K1360" s="135"/>
      <c r="L1360" s="135"/>
      <c r="M1360" s="135"/>
      <c r="N1360" s="135"/>
      <c r="O1360" s="135"/>
      <c r="P1360" s="135"/>
      <c r="Q1360" s="135"/>
      <c r="R1360" s="135"/>
      <c r="S1360" s="135"/>
      <c r="T1360" s="135"/>
      <c r="U1360" s="135"/>
      <c r="V1360" s="135"/>
      <c r="W1360" s="135"/>
      <c r="X1360" s="135"/>
      <c r="Y1360" s="135"/>
      <c r="Z1360" s="135"/>
    </row>
    <row r="1361" spans="1:26" ht="12.75">
      <c r="A1361" s="136" t="s">
        <v>8</v>
      </c>
      <c r="B1361" s="136" t="s">
        <v>8</v>
      </c>
      <c r="C1361" s="136" t="s">
        <v>583</v>
      </c>
      <c r="D1361" s="136" t="s">
        <v>7533</v>
      </c>
      <c r="E1361" s="136" t="s">
        <v>594</v>
      </c>
      <c r="F1361" s="136">
        <v>164</v>
      </c>
      <c r="G1361" s="137">
        <f t="shared" si="5"/>
        <v>6</v>
      </c>
      <c r="H1361" s="137"/>
      <c r="I1361" s="137"/>
      <c r="J1361" s="135"/>
      <c r="K1361" s="135"/>
      <c r="L1361" s="135"/>
      <c r="M1361" s="135"/>
      <c r="N1361" s="135"/>
      <c r="O1361" s="135"/>
      <c r="P1361" s="135"/>
      <c r="Q1361" s="135"/>
      <c r="R1361" s="135"/>
      <c r="S1361" s="135"/>
      <c r="T1361" s="135"/>
      <c r="U1361" s="135"/>
      <c r="V1361" s="135"/>
      <c r="W1361" s="135"/>
      <c r="X1361" s="135"/>
      <c r="Y1361" s="135"/>
      <c r="Z1361" s="135"/>
    </row>
    <row r="1362" spans="1:26" ht="12.75">
      <c r="A1362" s="136" t="s">
        <v>8</v>
      </c>
      <c r="B1362" s="136" t="s">
        <v>8</v>
      </c>
      <c r="C1362" s="136" t="s">
        <v>583</v>
      </c>
      <c r="D1362" s="136" t="s">
        <v>1665</v>
      </c>
      <c r="E1362" s="136" t="s">
        <v>615</v>
      </c>
      <c r="F1362" s="136">
        <v>105</v>
      </c>
      <c r="G1362" s="137">
        <f t="shared" si="5"/>
        <v>7</v>
      </c>
      <c r="H1362" s="137"/>
      <c r="I1362" s="137"/>
      <c r="J1362" s="135"/>
      <c r="K1362" s="135"/>
      <c r="L1362" s="135"/>
      <c r="M1362" s="135"/>
      <c r="N1362" s="135"/>
      <c r="O1362" s="135"/>
      <c r="P1362" s="135"/>
      <c r="Q1362" s="135"/>
      <c r="R1362" s="135"/>
      <c r="S1362" s="135"/>
      <c r="T1362" s="135"/>
      <c r="U1362" s="135"/>
      <c r="V1362" s="135"/>
      <c r="W1362" s="135"/>
      <c r="X1362" s="135"/>
      <c r="Y1362" s="135"/>
      <c r="Z1362" s="135"/>
    </row>
    <row r="1363" spans="1:26" ht="12.75">
      <c r="A1363" s="136" t="s">
        <v>8</v>
      </c>
      <c r="B1363" s="136" t="s">
        <v>8</v>
      </c>
      <c r="C1363" s="136" t="s">
        <v>583</v>
      </c>
      <c r="D1363" s="136" t="s">
        <v>7491</v>
      </c>
      <c r="E1363" s="136" t="s">
        <v>615</v>
      </c>
      <c r="F1363" s="136">
        <v>100</v>
      </c>
      <c r="G1363" s="137">
        <f t="shared" si="5"/>
        <v>8</v>
      </c>
      <c r="H1363" s="137"/>
      <c r="I1363" s="137"/>
      <c r="J1363" s="135"/>
      <c r="K1363" s="135"/>
      <c r="L1363" s="135"/>
      <c r="M1363" s="135"/>
      <c r="N1363" s="135"/>
      <c r="O1363" s="135"/>
      <c r="P1363" s="135"/>
      <c r="Q1363" s="135"/>
      <c r="R1363" s="135"/>
      <c r="S1363" s="135"/>
      <c r="T1363" s="135"/>
      <c r="U1363" s="135"/>
      <c r="V1363" s="135"/>
      <c r="W1363" s="135"/>
      <c r="X1363" s="135"/>
      <c r="Y1363" s="135"/>
      <c r="Z1363" s="135"/>
    </row>
    <row r="1364" spans="1:26" ht="12.75">
      <c r="A1364" s="136" t="s">
        <v>8</v>
      </c>
      <c r="B1364" s="136" t="s">
        <v>8</v>
      </c>
      <c r="C1364" s="136" t="s">
        <v>583</v>
      </c>
      <c r="D1364" s="136" t="s">
        <v>7551</v>
      </c>
      <c r="E1364" s="136" t="s">
        <v>615</v>
      </c>
      <c r="F1364" s="136">
        <v>100</v>
      </c>
      <c r="G1364" s="137">
        <f t="shared" si="5"/>
        <v>9</v>
      </c>
      <c r="H1364" s="137"/>
      <c r="I1364" s="137"/>
      <c r="J1364" s="135"/>
      <c r="K1364" s="135"/>
      <c r="L1364" s="135"/>
      <c r="M1364" s="135"/>
      <c r="N1364" s="135"/>
      <c r="O1364" s="135"/>
      <c r="P1364" s="135"/>
      <c r="Q1364" s="135"/>
      <c r="R1364" s="135"/>
      <c r="S1364" s="135"/>
      <c r="T1364" s="135"/>
      <c r="U1364" s="135"/>
      <c r="V1364" s="135"/>
      <c r="W1364" s="135"/>
      <c r="X1364" s="135"/>
      <c r="Y1364" s="135"/>
      <c r="Z1364" s="135"/>
    </row>
    <row r="1365" spans="1:26" ht="12.75">
      <c r="A1365" s="136" t="s">
        <v>8</v>
      </c>
      <c r="B1365" s="136" t="s">
        <v>8</v>
      </c>
      <c r="C1365" s="136" t="s">
        <v>583</v>
      </c>
      <c r="D1365" s="136" t="s">
        <v>107</v>
      </c>
      <c r="E1365" s="136" t="s">
        <v>615</v>
      </c>
      <c r="F1365" s="136">
        <v>60</v>
      </c>
      <c r="G1365" s="137">
        <f t="shared" si="5"/>
        <v>10</v>
      </c>
      <c r="H1365" s="137"/>
      <c r="I1365" s="137"/>
      <c r="J1365" s="135"/>
      <c r="K1365" s="135"/>
      <c r="L1365" s="135"/>
      <c r="M1365" s="135"/>
      <c r="N1365" s="135"/>
      <c r="O1365" s="135"/>
      <c r="P1365" s="135"/>
      <c r="Q1365" s="135"/>
      <c r="R1365" s="135"/>
      <c r="S1365" s="135"/>
      <c r="T1365" s="135"/>
      <c r="U1365" s="135"/>
      <c r="V1365" s="135"/>
      <c r="W1365" s="135"/>
      <c r="X1365" s="135"/>
      <c r="Y1365" s="135"/>
      <c r="Z1365" s="135"/>
    </row>
    <row r="1366" spans="1:26" ht="12.75">
      <c r="A1366" s="136" t="s">
        <v>8</v>
      </c>
      <c r="B1366" s="136" t="s">
        <v>8</v>
      </c>
      <c r="C1366" s="136" t="s">
        <v>583</v>
      </c>
      <c r="D1366" s="136" t="s">
        <v>7545</v>
      </c>
      <c r="E1366" s="136" t="s">
        <v>86</v>
      </c>
      <c r="F1366" s="136">
        <v>13</v>
      </c>
      <c r="G1366" s="137">
        <f t="shared" si="5"/>
        <v>11</v>
      </c>
      <c r="H1366" s="137"/>
      <c r="I1366" s="137"/>
      <c r="J1366" s="135"/>
      <c r="K1366" s="135"/>
      <c r="L1366" s="135"/>
      <c r="M1366" s="135"/>
      <c r="N1366" s="135"/>
      <c r="O1366" s="135"/>
      <c r="P1366" s="135"/>
      <c r="Q1366" s="135"/>
      <c r="R1366" s="135"/>
      <c r="S1366" s="135"/>
      <c r="T1366" s="135"/>
      <c r="U1366" s="135"/>
      <c r="V1366" s="135"/>
      <c r="W1366" s="135"/>
      <c r="X1366" s="135"/>
      <c r="Y1366" s="135"/>
      <c r="Z1366" s="135"/>
    </row>
    <row r="1367" spans="1:26" ht="25.5">
      <c r="A1367" s="136" t="s">
        <v>8</v>
      </c>
      <c r="B1367" s="136" t="s">
        <v>7573</v>
      </c>
      <c r="C1367" s="136" t="s">
        <v>7574</v>
      </c>
      <c r="D1367" s="136" t="s">
        <v>7575</v>
      </c>
      <c r="E1367" s="136" t="s">
        <v>85</v>
      </c>
      <c r="F1367" s="136">
        <v>700</v>
      </c>
      <c r="G1367" s="137">
        <f t="shared" si="5"/>
        <v>1</v>
      </c>
      <c r="H1367" s="137"/>
      <c r="I1367" s="137"/>
      <c r="J1367" s="135"/>
      <c r="K1367" s="135"/>
      <c r="L1367" s="135"/>
      <c r="M1367" s="135"/>
      <c r="N1367" s="135"/>
      <c r="O1367" s="135"/>
      <c r="P1367" s="135"/>
      <c r="Q1367" s="135"/>
      <c r="R1367" s="135"/>
      <c r="S1367" s="135"/>
      <c r="T1367" s="135"/>
      <c r="U1367" s="135"/>
      <c r="V1367" s="135"/>
      <c r="W1367" s="135"/>
      <c r="X1367" s="135"/>
      <c r="Y1367" s="135"/>
      <c r="Z1367" s="135"/>
    </row>
    <row r="1368" spans="1:26" ht="25.5">
      <c r="A1368" s="136" t="s">
        <v>8</v>
      </c>
      <c r="B1368" s="136" t="s">
        <v>7573</v>
      </c>
      <c r="C1368" s="136" t="s">
        <v>7574</v>
      </c>
      <c r="D1368" s="136" t="s">
        <v>7576</v>
      </c>
      <c r="E1368" s="136" t="s">
        <v>594</v>
      </c>
      <c r="F1368" s="136">
        <v>300</v>
      </c>
      <c r="G1368" s="137">
        <f t="shared" si="5"/>
        <v>2</v>
      </c>
      <c r="H1368" s="137"/>
      <c r="I1368" s="137"/>
      <c r="J1368" s="135"/>
      <c r="K1368" s="135"/>
      <c r="L1368" s="135"/>
      <c r="M1368" s="135"/>
      <c r="N1368" s="135"/>
      <c r="O1368" s="135"/>
      <c r="P1368" s="135"/>
      <c r="Q1368" s="135"/>
      <c r="R1368" s="135"/>
      <c r="S1368" s="135"/>
      <c r="T1368" s="135"/>
      <c r="U1368" s="135"/>
      <c r="V1368" s="135"/>
      <c r="W1368" s="135"/>
      <c r="X1368" s="135"/>
      <c r="Y1368" s="135"/>
      <c r="Z1368" s="135"/>
    </row>
    <row r="1369" spans="1:26" ht="25.5">
      <c r="A1369" s="136" t="s">
        <v>8</v>
      </c>
      <c r="B1369" s="136" t="s">
        <v>7573</v>
      </c>
      <c r="C1369" s="136" t="s">
        <v>7574</v>
      </c>
      <c r="D1369" s="136" t="s">
        <v>7577</v>
      </c>
      <c r="E1369" s="136" t="s">
        <v>615</v>
      </c>
      <c r="F1369" s="136">
        <v>100</v>
      </c>
      <c r="G1369" s="137">
        <f t="shared" si="5"/>
        <v>3</v>
      </c>
      <c r="H1369" s="137"/>
      <c r="I1369" s="137"/>
      <c r="J1369" s="135"/>
      <c r="K1369" s="135"/>
      <c r="L1369" s="135"/>
      <c r="M1369" s="135"/>
      <c r="N1369" s="135"/>
      <c r="O1369" s="135"/>
      <c r="P1369" s="135"/>
      <c r="Q1369" s="135"/>
      <c r="R1369" s="135"/>
      <c r="S1369" s="135"/>
      <c r="T1369" s="135"/>
      <c r="U1369" s="135"/>
      <c r="V1369" s="135"/>
      <c r="W1369" s="135"/>
      <c r="X1369" s="135"/>
      <c r="Y1369" s="135"/>
      <c r="Z1369" s="135"/>
    </row>
    <row r="1370" spans="1:26" ht="25.5">
      <c r="A1370" s="136" t="s">
        <v>8</v>
      </c>
      <c r="B1370" s="136" t="s">
        <v>7573</v>
      </c>
      <c r="C1370" s="136" t="s">
        <v>7574</v>
      </c>
      <c r="D1370" s="136" t="s">
        <v>7578</v>
      </c>
      <c r="E1370" s="136" t="s">
        <v>615</v>
      </c>
      <c r="F1370" s="136">
        <v>100</v>
      </c>
      <c r="G1370" s="137">
        <f t="shared" si="5"/>
        <v>4</v>
      </c>
      <c r="H1370" s="137"/>
      <c r="I1370" s="137"/>
      <c r="J1370" s="135"/>
      <c r="K1370" s="135"/>
      <c r="L1370" s="135"/>
      <c r="M1370" s="135"/>
      <c r="N1370" s="135"/>
      <c r="O1370" s="135"/>
      <c r="P1370" s="135"/>
      <c r="Q1370" s="135"/>
      <c r="R1370" s="135"/>
      <c r="S1370" s="135"/>
      <c r="T1370" s="135"/>
      <c r="U1370" s="135"/>
      <c r="V1370" s="135"/>
      <c r="W1370" s="135"/>
      <c r="X1370" s="135"/>
      <c r="Y1370" s="135"/>
      <c r="Z1370" s="135"/>
    </row>
    <row r="1371" spans="1:26" ht="25.5">
      <c r="A1371" s="136" t="s">
        <v>8</v>
      </c>
      <c r="B1371" s="136" t="s">
        <v>7573</v>
      </c>
      <c r="C1371" s="136" t="s">
        <v>7574</v>
      </c>
      <c r="D1371" s="136" t="s">
        <v>7491</v>
      </c>
      <c r="E1371" s="136" t="s">
        <v>615</v>
      </c>
      <c r="F1371" s="136">
        <v>7</v>
      </c>
      <c r="G1371" s="137">
        <f t="shared" si="5"/>
        <v>5</v>
      </c>
      <c r="H1371" s="137"/>
      <c r="I1371" s="137"/>
      <c r="J1371" s="135"/>
      <c r="K1371" s="135"/>
      <c r="L1371" s="135"/>
      <c r="M1371" s="135"/>
      <c r="N1371" s="135"/>
      <c r="O1371" s="135"/>
      <c r="P1371" s="135"/>
      <c r="Q1371" s="135"/>
      <c r="R1371" s="135"/>
      <c r="S1371" s="135"/>
      <c r="T1371" s="135"/>
      <c r="U1371" s="135"/>
      <c r="V1371" s="135"/>
      <c r="W1371" s="135"/>
      <c r="X1371" s="135"/>
      <c r="Y1371" s="135"/>
      <c r="Z1371" s="135"/>
    </row>
    <row r="1372" spans="1:26" ht="25.5">
      <c r="A1372" s="136" t="s">
        <v>8</v>
      </c>
      <c r="B1372" s="136" t="s">
        <v>7573</v>
      </c>
      <c r="C1372" s="136" t="s">
        <v>7574</v>
      </c>
      <c r="D1372" s="136" t="s">
        <v>7533</v>
      </c>
      <c r="E1372" s="136" t="s">
        <v>594</v>
      </c>
      <c r="F1372" s="136">
        <v>7</v>
      </c>
      <c r="G1372" s="137">
        <f t="shared" si="5"/>
        <v>6</v>
      </c>
      <c r="H1372" s="137"/>
      <c r="I1372" s="137"/>
      <c r="J1372" s="135"/>
      <c r="K1372" s="135"/>
      <c r="L1372" s="135"/>
      <c r="M1372" s="135"/>
      <c r="N1372" s="135"/>
      <c r="O1372" s="135"/>
      <c r="P1372" s="135"/>
      <c r="Q1372" s="135"/>
      <c r="R1372" s="135"/>
      <c r="S1372" s="135"/>
      <c r="T1372" s="135"/>
      <c r="U1372" s="135"/>
      <c r="V1372" s="135"/>
      <c r="W1372" s="135"/>
      <c r="X1372" s="135"/>
      <c r="Y1372" s="135"/>
      <c r="Z1372" s="135"/>
    </row>
    <row r="1373" spans="1:26" ht="25.5">
      <c r="A1373" s="136" t="s">
        <v>8</v>
      </c>
      <c r="B1373" s="136" t="s">
        <v>7573</v>
      </c>
      <c r="C1373" s="136" t="s">
        <v>7579</v>
      </c>
      <c r="D1373" s="136" t="s">
        <v>7576</v>
      </c>
      <c r="E1373" s="136" t="s">
        <v>594</v>
      </c>
      <c r="F1373" s="136">
        <v>650</v>
      </c>
      <c r="G1373" s="137">
        <f t="shared" si="5"/>
        <v>1</v>
      </c>
      <c r="H1373" s="137"/>
      <c r="I1373" s="137"/>
      <c r="J1373" s="135"/>
      <c r="K1373" s="135"/>
      <c r="L1373" s="135"/>
      <c r="M1373" s="135"/>
      <c r="N1373" s="135"/>
      <c r="O1373" s="135"/>
      <c r="P1373" s="135"/>
      <c r="Q1373" s="135"/>
      <c r="R1373" s="135"/>
      <c r="S1373" s="135"/>
      <c r="T1373" s="135"/>
      <c r="U1373" s="135"/>
      <c r="V1373" s="135"/>
      <c r="W1373" s="135"/>
      <c r="X1373" s="135"/>
      <c r="Y1373" s="135"/>
      <c r="Z1373" s="135"/>
    </row>
    <row r="1374" spans="1:26" ht="25.5">
      <c r="A1374" s="136" t="s">
        <v>8</v>
      </c>
      <c r="B1374" s="136" t="s">
        <v>7573</v>
      </c>
      <c r="C1374" s="136" t="s">
        <v>7579</v>
      </c>
      <c r="D1374" s="136" t="s">
        <v>7580</v>
      </c>
      <c r="E1374" s="136" t="s">
        <v>594</v>
      </c>
      <c r="F1374" s="136">
        <v>200</v>
      </c>
      <c r="G1374" s="137">
        <f t="shared" si="5"/>
        <v>2</v>
      </c>
      <c r="H1374" s="137"/>
      <c r="I1374" s="137"/>
      <c r="J1374" s="135"/>
      <c r="K1374" s="135"/>
      <c r="L1374" s="135"/>
      <c r="M1374" s="135"/>
      <c r="N1374" s="135"/>
      <c r="O1374" s="135"/>
      <c r="P1374" s="135"/>
      <c r="Q1374" s="135"/>
      <c r="R1374" s="135"/>
      <c r="S1374" s="135"/>
      <c r="T1374" s="135"/>
      <c r="U1374" s="135"/>
      <c r="V1374" s="135"/>
      <c r="W1374" s="135"/>
      <c r="X1374" s="135"/>
      <c r="Y1374" s="135"/>
      <c r="Z1374" s="135"/>
    </row>
    <row r="1375" spans="1:26" ht="25.5">
      <c r="A1375" s="136" t="s">
        <v>8</v>
      </c>
      <c r="B1375" s="136" t="s">
        <v>7573</v>
      </c>
      <c r="C1375" s="136" t="s">
        <v>7579</v>
      </c>
      <c r="D1375" s="136" t="s">
        <v>7581</v>
      </c>
      <c r="E1375" s="136" t="s">
        <v>615</v>
      </c>
      <c r="F1375" s="136">
        <v>100</v>
      </c>
      <c r="G1375" s="137">
        <f t="shared" si="5"/>
        <v>3</v>
      </c>
      <c r="H1375" s="137"/>
      <c r="I1375" s="137"/>
      <c r="J1375" s="135"/>
      <c r="K1375" s="135"/>
      <c r="L1375" s="135"/>
      <c r="M1375" s="135"/>
      <c r="N1375" s="135"/>
      <c r="O1375" s="135"/>
      <c r="P1375" s="135"/>
      <c r="Q1375" s="135"/>
      <c r="R1375" s="135"/>
      <c r="S1375" s="135"/>
      <c r="T1375" s="135"/>
      <c r="U1375" s="135"/>
      <c r="V1375" s="135"/>
      <c r="W1375" s="135"/>
      <c r="X1375" s="135"/>
      <c r="Y1375" s="135"/>
      <c r="Z1375" s="135"/>
    </row>
    <row r="1376" spans="1:26" ht="25.5">
      <c r="A1376" s="136" t="s">
        <v>8</v>
      </c>
      <c r="B1376" s="136" t="s">
        <v>7573</v>
      </c>
      <c r="C1376" s="136" t="s">
        <v>7579</v>
      </c>
      <c r="D1376" s="136" t="s">
        <v>7491</v>
      </c>
      <c r="E1376" s="136" t="s">
        <v>615</v>
      </c>
      <c r="F1376" s="136">
        <v>100</v>
      </c>
      <c r="G1376" s="137">
        <f t="shared" si="5"/>
        <v>4</v>
      </c>
      <c r="H1376" s="137"/>
      <c r="I1376" s="137"/>
      <c r="J1376" s="135"/>
      <c r="K1376" s="135"/>
      <c r="L1376" s="135"/>
      <c r="M1376" s="135"/>
      <c r="N1376" s="135"/>
      <c r="O1376" s="135"/>
      <c r="P1376" s="135"/>
      <c r="Q1376" s="135"/>
      <c r="R1376" s="135"/>
      <c r="S1376" s="135"/>
      <c r="T1376" s="135"/>
      <c r="U1376" s="135"/>
      <c r="V1376" s="135"/>
      <c r="W1376" s="135"/>
      <c r="X1376" s="135"/>
      <c r="Y1376" s="135"/>
      <c r="Z1376" s="135"/>
    </row>
    <row r="1377" spans="1:26" ht="25.5">
      <c r="A1377" s="136" t="s">
        <v>8</v>
      </c>
      <c r="B1377" s="136" t="s">
        <v>7573</v>
      </c>
      <c r="C1377" s="136" t="s">
        <v>7579</v>
      </c>
      <c r="D1377" s="136" t="s">
        <v>7533</v>
      </c>
      <c r="E1377" s="136" t="s">
        <v>594</v>
      </c>
      <c r="F1377" s="136">
        <v>97</v>
      </c>
      <c r="G1377" s="137">
        <f t="shared" si="5"/>
        <v>5</v>
      </c>
      <c r="H1377" s="137"/>
      <c r="I1377" s="137"/>
      <c r="J1377" s="135"/>
      <c r="K1377" s="135"/>
      <c r="L1377" s="135"/>
      <c r="M1377" s="135"/>
      <c r="N1377" s="135"/>
      <c r="O1377" s="135"/>
      <c r="P1377" s="135"/>
      <c r="Q1377" s="135"/>
      <c r="R1377" s="135"/>
      <c r="S1377" s="135"/>
      <c r="T1377" s="135"/>
      <c r="U1377" s="135"/>
      <c r="V1377" s="135"/>
      <c r="W1377" s="135"/>
      <c r="X1377" s="135"/>
      <c r="Y1377" s="135"/>
      <c r="Z1377" s="135"/>
    </row>
    <row r="1378" spans="1:26" ht="25.5">
      <c r="A1378" s="136" t="s">
        <v>8</v>
      </c>
      <c r="B1378" s="136" t="s">
        <v>7573</v>
      </c>
      <c r="C1378" s="136" t="s">
        <v>7582</v>
      </c>
      <c r="D1378" s="136" t="s">
        <v>7576</v>
      </c>
      <c r="E1378" s="136" t="s">
        <v>594</v>
      </c>
      <c r="F1378" s="136">
        <v>500</v>
      </c>
      <c r="G1378" s="137">
        <f t="shared" si="5"/>
        <v>1</v>
      </c>
      <c r="H1378" s="137"/>
      <c r="I1378" s="137"/>
      <c r="J1378" s="135"/>
      <c r="K1378" s="135"/>
      <c r="L1378" s="135"/>
      <c r="M1378" s="135"/>
      <c r="N1378" s="135"/>
      <c r="O1378" s="135"/>
      <c r="P1378" s="135"/>
      <c r="Q1378" s="135"/>
      <c r="R1378" s="135"/>
      <c r="S1378" s="135"/>
      <c r="T1378" s="135"/>
      <c r="U1378" s="135"/>
      <c r="V1378" s="135"/>
      <c r="W1378" s="135"/>
      <c r="X1378" s="135"/>
      <c r="Y1378" s="135"/>
      <c r="Z1378" s="135"/>
    </row>
    <row r="1379" spans="1:26" ht="25.5">
      <c r="A1379" s="136" t="s">
        <v>8</v>
      </c>
      <c r="B1379" s="136" t="s">
        <v>7573</v>
      </c>
      <c r="C1379" s="136" t="s">
        <v>7582</v>
      </c>
      <c r="D1379" s="136" t="s">
        <v>7583</v>
      </c>
      <c r="E1379" s="136" t="s">
        <v>615</v>
      </c>
      <c r="F1379" s="136">
        <v>200</v>
      </c>
      <c r="G1379" s="137">
        <f t="shared" si="5"/>
        <v>2</v>
      </c>
      <c r="H1379" s="137"/>
      <c r="I1379" s="137"/>
      <c r="J1379" s="135"/>
      <c r="K1379" s="135"/>
      <c r="L1379" s="135"/>
      <c r="M1379" s="135"/>
      <c r="N1379" s="135"/>
      <c r="O1379" s="135"/>
      <c r="P1379" s="135"/>
      <c r="Q1379" s="135"/>
      <c r="R1379" s="135"/>
      <c r="S1379" s="135"/>
      <c r="T1379" s="135"/>
      <c r="U1379" s="135"/>
      <c r="V1379" s="135"/>
      <c r="W1379" s="135"/>
      <c r="X1379" s="135"/>
      <c r="Y1379" s="135"/>
      <c r="Z1379" s="135"/>
    </row>
    <row r="1380" spans="1:26" ht="25.5">
      <c r="A1380" s="136" t="s">
        <v>8</v>
      </c>
      <c r="B1380" s="136" t="s">
        <v>7573</v>
      </c>
      <c r="C1380" s="136" t="s">
        <v>7582</v>
      </c>
      <c r="D1380" s="136" t="s">
        <v>7575</v>
      </c>
      <c r="E1380" s="136" t="s">
        <v>85</v>
      </c>
      <c r="F1380" s="136">
        <v>200</v>
      </c>
      <c r="G1380" s="137">
        <f t="shared" si="5"/>
        <v>3</v>
      </c>
      <c r="H1380" s="137"/>
      <c r="I1380" s="137"/>
      <c r="J1380" s="135"/>
      <c r="K1380" s="135"/>
      <c r="L1380" s="135"/>
      <c r="M1380" s="135"/>
      <c r="N1380" s="135"/>
      <c r="O1380" s="135"/>
      <c r="P1380" s="135"/>
      <c r="Q1380" s="135"/>
      <c r="R1380" s="135"/>
      <c r="S1380" s="135"/>
      <c r="T1380" s="135"/>
      <c r="U1380" s="135"/>
      <c r="V1380" s="135"/>
      <c r="W1380" s="135"/>
      <c r="X1380" s="135"/>
      <c r="Y1380" s="135"/>
      <c r="Z1380" s="135"/>
    </row>
    <row r="1381" spans="1:26" ht="25.5">
      <c r="A1381" s="136" t="s">
        <v>8</v>
      </c>
      <c r="B1381" s="136" t="s">
        <v>7573</v>
      </c>
      <c r="C1381" s="136" t="s">
        <v>7582</v>
      </c>
      <c r="D1381" s="136" t="s">
        <v>7491</v>
      </c>
      <c r="E1381" s="136" t="s">
        <v>615</v>
      </c>
      <c r="F1381" s="136">
        <v>90</v>
      </c>
      <c r="G1381" s="137">
        <f t="shared" si="5"/>
        <v>4</v>
      </c>
      <c r="H1381" s="137"/>
      <c r="I1381" s="137"/>
      <c r="J1381" s="135"/>
      <c r="K1381" s="135"/>
      <c r="L1381" s="135"/>
      <c r="M1381" s="135"/>
      <c r="N1381" s="135"/>
      <c r="O1381" s="135"/>
      <c r="P1381" s="135"/>
      <c r="Q1381" s="135"/>
      <c r="R1381" s="135"/>
      <c r="S1381" s="135"/>
      <c r="T1381" s="135"/>
      <c r="U1381" s="135"/>
      <c r="V1381" s="135"/>
      <c r="W1381" s="135"/>
      <c r="X1381" s="135"/>
      <c r="Y1381" s="135"/>
      <c r="Z1381" s="135"/>
    </row>
    <row r="1382" spans="1:26" ht="25.5">
      <c r="A1382" s="136" t="s">
        <v>8</v>
      </c>
      <c r="B1382" s="136" t="s">
        <v>7573</v>
      </c>
      <c r="C1382" s="136" t="s">
        <v>7582</v>
      </c>
      <c r="D1382" s="136" t="s">
        <v>7533</v>
      </c>
      <c r="E1382" s="136" t="s">
        <v>594</v>
      </c>
      <c r="F1382" s="136">
        <v>61</v>
      </c>
      <c r="G1382" s="137">
        <f t="shared" si="5"/>
        <v>5</v>
      </c>
      <c r="H1382" s="137"/>
      <c r="I1382" s="137"/>
      <c r="J1382" s="135"/>
      <c r="K1382" s="135"/>
      <c r="L1382" s="135"/>
      <c r="M1382" s="135"/>
      <c r="N1382" s="135"/>
      <c r="O1382" s="135"/>
      <c r="P1382" s="135"/>
      <c r="Q1382" s="135"/>
      <c r="R1382" s="135"/>
      <c r="S1382" s="135"/>
      <c r="T1382" s="135"/>
      <c r="U1382" s="135"/>
      <c r="V1382" s="135"/>
      <c r="W1382" s="135"/>
      <c r="X1382" s="135"/>
      <c r="Y1382" s="135"/>
      <c r="Z1382" s="135"/>
    </row>
    <row r="1383" spans="1:26" ht="25.5">
      <c r="A1383" s="136" t="s">
        <v>8</v>
      </c>
      <c r="B1383" s="136" t="s">
        <v>7573</v>
      </c>
      <c r="C1383" s="136" t="s">
        <v>7582</v>
      </c>
      <c r="D1383" s="136" t="s">
        <v>7580</v>
      </c>
      <c r="E1383" s="136" t="s">
        <v>594</v>
      </c>
      <c r="F1383" s="136">
        <v>50</v>
      </c>
      <c r="G1383" s="137">
        <f t="shared" si="5"/>
        <v>6</v>
      </c>
      <c r="H1383" s="137"/>
      <c r="I1383" s="137"/>
      <c r="J1383" s="135"/>
      <c r="K1383" s="135"/>
      <c r="L1383" s="135"/>
      <c r="M1383" s="135"/>
      <c r="N1383" s="135"/>
      <c r="O1383" s="135"/>
      <c r="P1383" s="135"/>
      <c r="Q1383" s="135"/>
      <c r="R1383" s="135"/>
      <c r="S1383" s="135"/>
      <c r="T1383" s="135"/>
      <c r="U1383" s="135"/>
      <c r="V1383" s="135"/>
      <c r="W1383" s="135"/>
      <c r="X1383" s="135"/>
      <c r="Y1383" s="135"/>
      <c r="Z1383" s="135"/>
    </row>
    <row r="1384" spans="1:26" ht="25.5">
      <c r="A1384" s="136" t="s">
        <v>8</v>
      </c>
      <c r="B1384" s="136" t="s">
        <v>7573</v>
      </c>
      <c r="C1384" s="136" t="s">
        <v>7582</v>
      </c>
      <c r="D1384" s="136" t="s">
        <v>7581</v>
      </c>
      <c r="E1384" s="136" t="s">
        <v>615</v>
      </c>
      <c r="F1384" s="136">
        <v>50</v>
      </c>
      <c r="G1384" s="137">
        <f t="shared" si="5"/>
        <v>7</v>
      </c>
      <c r="H1384" s="137"/>
      <c r="I1384" s="137"/>
      <c r="J1384" s="135"/>
      <c r="K1384" s="135"/>
      <c r="L1384" s="135"/>
      <c r="M1384" s="135"/>
      <c r="N1384" s="135"/>
      <c r="O1384" s="135"/>
      <c r="P1384" s="135"/>
      <c r="Q1384" s="135"/>
      <c r="R1384" s="135"/>
      <c r="S1384" s="135"/>
      <c r="T1384" s="135"/>
      <c r="U1384" s="135"/>
      <c r="V1384" s="135"/>
      <c r="W1384" s="135"/>
      <c r="X1384" s="135"/>
      <c r="Y1384" s="135"/>
      <c r="Z1384" s="135"/>
    </row>
    <row r="1385" spans="1:26" ht="25.5">
      <c r="A1385" s="136" t="s">
        <v>8</v>
      </c>
      <c r="B1385" s="136" t="s">
        <v>7573</v>
      </c>
      <c r="C1385" s="136" t="s">
        <v>7584</v>
      </c>
      <c r="D1385" s="136" t="s">
        <v>7575</v>
      </c>
      <c r="E1385" s="136" t="s">
        <v>85</v>
      </c>
      <c r="F1385" s="136">
        <v>400</v>
      </c>
      <c r="G1385" s="137">
        <f t="shared" si="5"/>
        <v>1</v>
      </c>
      <c r="H1385" s="137"/>
      <c r="I1385" s="137"/>
      <c r="J1385" s="135"/>
      <c r="K1385" s="135"/>
      <c r="L1385" s="135"/>
      <c r="M1385" s="135"/>
      <c r="N1385" s="135"/>
      <c r="O1385" s="135"/>
      <c r="P1385" s="135"/>
      <c r="Q1385" s="135"/>
      <c r="R1385" s="135"/>
      <c r="S1385" s="135"/>
      <c r="T1385" s="135"/>
      <c r="U1385" s="135"/>
      <c r="V1385" s="135"/>
      <c r="W1385" s="135"/>
      <c r="X1385" s="135"/>
      <c r="Y1385" s="135"/>
      <c r="Z1385" s="135"/>
    </row>
    <row r="1386" spans="1:26" ht="25.5">
      <c r="A1386" s="136" t="s">
        <v>8</v>
      </c>
      <c r="B1386" s="136" t="s">
        <v>7573</v>
      </c>
      <c r="C1386" s="136" t="s">
        <v>7584</v>
      </c>
      <c r="D1386" s="136" t="s">
        <v>7576</v>
      </c>
      <c r="E1386" s="136" t="s">
        <v>594</v>
      </c>
      <c r="F1386" s="136">
        <v>300</v>
      </c>
      <c r="G1386" s="137">
        <f t="shared" si="5"/>
        <v>2</v>
      </c>
      <c r="H1386" s="137"/>
      <c r="I1386" s="137"/>
      <c r="J1386" s="135"/>
      <c r="K1386" s="135"/>
      <c r="L1386" s="135"/>
      <c r="M1386" s="135"/>
      <c r="N1386" s="135"/>
      <c r="O1386" s="135"/>
      <c r="P1386" s="135"/>
      <c r="Q1386" s="135"/>
      <c r="R1386" s="135"/>
      <c r="S1386" s="135"/>
      <c r="T1386" s="135"/>
      <c r="U1386" s="135"/>
      <c r="V1386" s="135"/>
      <c r="W1386" s="135"/>
      <c r="X1386" s="135"/>
      <c r="Y1386" s="135"/>
      <c r="Z1386" s="135"/>
    </row>
    <row r="1387" spans="1:26" ht="25.5">
      <c r="A1387" s="136" t="s">
        <v>8</v>
      </c>
      <c r="B1387" s="136" t="s">
        <v>7573</v>
      </c>
      <c r="C1387" s="136" t="s">
        <v>7584</v>
      </c>
      <c r="D1387" s="136" t="s">
        <v>7585</v>
      </c>
      <c r="E1387" s="136" t="s">
        <v>615</v>
      </c>
      <c r="F1387" s="136">
        <v>200</v>
      </c>
      <c r="G1387" s="137">
        <f t="shared" si="5"/>
        <v>3</v>
      </c>
      <c r="H1387" s="137"/>
      <c r="I1387" s="137"/>
      <c r="J1387" s="135"/>
      <c r="K1387" s="135"/>
      <c r="L1387" s="135"/>
      <c r="M1387" s="135"/>
      <c r="N1387" s="135"/>
      <c r="O1387" s="135"/>
      <c r="P1387" s="135"/>
      <c r="Q1387" s="135"/>
      <c r="R1387" s="135"/>
      <c r="S1387" s="135"/>
      <c r="T1387" s="135"/>
      <c r="U1387" s="135"/>
      <c r="V1387" s="135"/>
      <c r="W1387" s="135"/>
      <c r="X1387" s="135"/>
      <c r="Y1387" s="135"/>
      <c r="Z1387" s="135"/>
    </row>
    <row r="1388" spans="1:26" ht="25.5">
      <c r="A1388" s="136" t="s">
        <v>8</v>
      </c>
      <c r="B1388" s="136" t="s">
        <v>7573</v>
      </c>
      <c r="C1388" s="136" t="s">
        <v>7584</v>
      </c>
      <c r="D1388" s="136" t="s">
        <v>7586</v>
      </c>
      <c r="E1388" s="136" t="s">
        <v>615</v>
      </c>
      <c r="F1388" s="136">
        <v>150</v>
      </c>
      <c r="G1388" s="137">
        <f t="shared" si="5"/>
        <v>4</v>
      </c>
      <c r="H1388" s="137"/>
      <c r="I1388" s="137"/>
      <c r="J1388" s="135"/>
      <c r="K1388" s="135"/>
      <c r="L1388" s="135"/>
      <c r="M1388" s="135"/>
      <c r="N1388" s="135"/>
      <c r="O1388" s="135"/>
      <c r="P1388" s="135"/>
      <c r="Q1388" s="135"/>
      <c r="R1388" s="135"/>
      <c r="S1388" s="135"/>
      <c r="T1388" s="135"/>
      <c r="U1388" s="135"/>
      <c r="V1388" s="135"/>
      <c r="W1388" s="135"/>
      <c r="X1388" s="135"/>
      <c r="Y1388" s="135"/>
      <c r="Z1388" s="135"/>
    </row>
    <row r="1389" spans="1:26" ht="25.5">
      <c r="A1389" s="136" t="s">
        <v>8</v>
      </c>
      <c r="B1389" s="136" t="s">
        <v>7573</v>
      </c>
      <c r="C1389" s="136" t="s">
        <v>7584</v>
      </c>
      <c r="D1389" s="136" t="s">
        <v>7491</v>
      </c>
      <c r="E1389" s="136" t="s">
        <v>615</v>
      </c>
      <c r="F1389" s="136">
        <v>40</v>
      </c>
      <c r="G1389" s="137">
        <f t="shared" si="5"/>
        <v>5</v>
      </c>
      <c r="H1389" s="137"/>
      <c r="I1389" s="137"/>
      <c r="J1389" s="135"/>
      <c r="K1389" s="135"/>
      <c r="L1389" s="135"/>
      <c r="M1389" s="135"/>
      <c r="N1389" s="135"/>
      <c r="O1389" s="135"/>
      <c r="P1389" s="135"/>
      <c r="Q1389" s="135"/>
      <c r="R1389" s="135"/>
      <c r="S1389" s="135"/>
      <c r="T1389" s="135"/>
      <c r="U1389" s="135"/>
      <c r="V1389" s="135"/>
      <c r="W1389" s="135"/>
      <c r="X1389" s="135"/>
      <c r="Y1389" s="135"/>
      <c r="Z1389" s="135"/>
    </row>
    <row r="1390" spans="1:26" ht="25.5">
      <c r="A1390" s="136" t="s">
        <v>8</v>
      </c>
      <c r="B1390" s="136" t="s">
        <v>7573</v>
      </c>
      <c r="C1390" s="136" t="s">
        <v>7584</v>
      </c>
      <c r="D1390" s="136" t="s">
        <v>7533</v>
      </c>
      <c r="E1390" s="136" t="s">
        <v>594</v>
      </c>
      <c r="F1390" s="136">
        <v>30</v>
      </c>
      <c r="G1390" s="137">
        <f t="shared" si="5"/>
        <v>6</v>
      </c>
      <c r="H1390" s="137"/>
      <c r="I1390" s="137"/>
      <c r="J1390" s="135"/>
      <c r="K1390" s="135"/>
      <c r="L1390" s="135"/>
      <c r="M1390" s="135"/>
      <c r="N1390" s="135"/>
      <c r="O1390" s="135"/>
      <c r="P1390" s="135"/>
      <c r="Q1390" s="135"/>
      <c r="R1390" s="135"/>
      <c r="S1390" s="135"/>
      <c r="T1390" s="135"/>
      <c r="U1390" s="135"/>
      <c r="V1390" s="135"/>
      <c r="W1390" s="135"/>
      <c r="X1390" s="135"/>
      <c r="Y1390" s="135"/>
      <c r="Z1390" s="135"/>
    </row>
    <row r="1391" spans="1:26" ht="25.5">
      <c r="A1391" s="136" t="s">
        <v>8</v>
      </c>
      <c r="B1391" s="136" t="s">
        <v>7573</v>
      </c>
      <c r="C1391" s="136" t="s">
        <v>7587</v>
      </c>
      <c r="D1391" s="136" t="s">
        <v>7575</v>
      </c>
      <c r="E1391" s="136" t="s">
        <v>85</v>
      </c>
      <c r="F1391" s="136">
        <v>200</v>
      </c>
      <c r="G1391" s="137">
        <f t="shared" si="5"/>
        <v>1</v>
      </c>
      <c r="H1391" s="137"/>
      <c r="I1391" s="137"/>
      <c r="J1391" s="135"/>
      <c r="K1391" s="135"/>
      <c r="L1391" s="135"/>
      <c r="M1391" s="135"/>
      <c r="N1391" s="135"/>
      <c r="O1391" s="135"/>
      <c r="P1391" s="135"/>
      <c r="Q1391" s="135"/>
      <c r="R1391" s="135"/>
      <c r="S1391" s="135"/>
      <c r="T1391" s="135"/>
      <c r="U1391" s="135"/>
      <c r="V1391" s="135"/>
      <c r="W1391" s="135"/>
      <c r="X1391" s="135"/>
      <c r="Y1391" s="135"/>
      <c r="Z1391" s="135"/>
    </row>
    <row r="1392" spans="1:26" ht="25.5">
      <c r="A1392" s="136" t="s">
        <v>8</v>
      </c>
      <c r="B1392" s="136" t="s">
        <v>7573</v>
      </c>
      <c r="C1392" s="136" t="s">
        <v>7587</v>
      </c>
      <c r="D1392" s="136" t="s">
        <v>7588</v>
      </c>
      <c r="E1392" s="136" t="s">
        <v>86</v>
      </c>
      <c r="F1392" s="136">
        <v>200</v>
      </c>
      <c r="G1392" s="137">
        <f t="shared" si="5"/>
        <v>2</v>
      </c>
      <c r="H1392" s="137"/>
      <c r="I1392" s="137"/>
      <c r="J1392" s="135"/>
      <c r="K1392" s="135"/>
      <c r="L1392" s="135"/>
      <c r="M1392" s="135"/>
      <c r="N1392" s="135"/>
      <c r="O1392" s="135"/>
      <c r="P1392" s="135"/>
      <c r="Q1392" s="135"/>
      <c r="R1392" s="135"/>
      <c r="S1392" s="135"/>
      <c r="T1392" s="135"/>
      <c r="U1392" s="135"/>
      <c r="V1392" s="135"/>
      <c r="W1392" s="135"/>
      <c r="X1392" s="135"/>
      <c r="Y1392" s="135"/>
      <c r="Z1392" s="135"/>
    </row>
    <row r="1393" spans="1:26" ht="25.5">
      <c r="A1393" s="136" t="s">
        <v>8</v>
      </c>
      <c r="B1393" s="136" t="s">
        <v>7573</v>
      </c>
      <c r="C1393" s="136" t="s">
        <v>7587</v>
      </c>
      <c r="D1393" s="136" t="s">
        <v>7589</v>
      </c>
      <c r="E1393" s="136" t="s">
        <v>615</v>
      </c>
      <c r="F1393" s="136">
        <v>200</v>
      </c>
      <c r="G1393" s="137">
        <f t="shared" si="5"/>
        <v>3</v>
      </c>
      <c r="H1393" s="137"/>
      <c r="I1393" s="137"/>
      <c r="J1393" s="135"/>
      <c r="K1393" s="135"/>
      <c r="L1393" s="135"/>
      <c r="M1393" s="135"/>
      <c r="N1393" s="135"/>
      <c r="O1393" s="135"/>
      <c r="P1393" s="135"/>
      <c r="Q1393" s="135"/>
      <c r="R1393" s="135"/>
      <c r="S1393" s="135"/>
      <c r="T1393" s="135"/>
      <c r="U1393" s="135"/>
      <c r="V1393" s="135"/>
      <c r="W1393" s="135"/>
      <c r="X1393" s="135"/>
      <c r="Y1393" s="135"/>
      <c r="Z1393" s="135"/>
    </row>
    <row r="1394" spans="1:26" ht="25.5">
      <c r="A1394" s="136" t="s">
        <v>8</v>
      </c>
      <c r="B1394" s="136" t="s">
        <v>7573</v>
      </c>
      <c r="C1394" s="136" t="s">
        <v>7587</v>
      </c>
      <c r="D1394" s="136" t="s">
        <v>7491</v>
      </c>
      <c r="E1394" s="136" t="s">
        <v>615</v>
      </c>
      <c r="F1394" s="136">
        <v>200</v>
      </c>
      <c r="G1394" s="137">
        <f t="shared" si="5"/>
        <v>4</v>
      </c>
      <c r="H1394" s="137"/>
      <c r="I1394" s="137"/>
      <c r="J1394" s="135"/>
      <c r="K1394" s="135"/>
      <c r="L1394" s="135"/>
      <c r="M1394" s="135"/>
      <c r="N1394" s="135"/>
      <c r="O1394" s="135"/>
      <c r="P1394" s="135"/>
      <c r="Q1394" s="135"/>
      <c r="R1394" s="135"/>
      <c r="S1394" s="135"/>
      <c r="T1394" s="135"/>
      <c r="U1394" s="135"/>
      <c r="V1394" s="135"/>
      <c r="W1394" s="135"/>
      <c r="X1394" s="135"/>
      <c r="Y1394" s="135"/>
      <c r="Z1394" s="135"/>
    </row>
    <row r="1395" spans="1:26" ht="25.5">
      <c r="A1395" s="136" t="s">
        <v>8</v>
      </c>
      <c r="B1395" s="136" t="s">
        <v>7573</v>
      </c>
      <c r="C1395" s="136" t="s">
        <v>7587</v>
      </c>
      <c r="D1395" s="136" t="s">
        <v>7576</v>
      </c>
      <c r="E1395" s="136" t="s">
        <v>594</v>
      </c>
      <c r="F1395" s="136">
        <v>150</v>
      </c>
      <c r="G1395" s="137">
        <f t="shared" si="5"/>
        <v>5</v>
      </c>
      <c r="H1395" s="137"/>
      <c r="I1395" s="137"/>
      <c r="J1395" s="135"/>
      <c r="K1395" s="135"/>
      <c r="L1395" s="135"/>
      <c r="M1395" s="135"/>
      <c r="N1395" s="135"/>
      <c r="O1395" s="135"/>
      <c r="P1395" s="135"/>
      <c r="Q1395" s="135"/>
      <c r="R1395" s="135"/>
      <c r="S1395" s="135"/>
      <c r="T1395" s="135"/>
      <c r="U1395" s="135"/>
      <c r="V1395" s="135"/>
      <c r="W1395" s="135"/>
      <c r="X1395" s="135"/>
      <c r="Y1395" s="135"/>
      <c r="Z1395" s="135"/>
    </row>
    <row r="1396" spans="1:26" ht="25.5">
      <c r="A1396" s="136" t="s">
        <v>8</v>
      </c>
      <c r="B1396" s="136" t="s">
        <v>7573</v>
      </c>
      <c r="C1396" s="136" t="s">
        <v>7587</v>
      </c>
      <c r="D1396" s="136" t="s">
        <v>7533</v>
      </c>
      <c r="E1396" s="136" t="s">
        <v>594</v>
      </c>
      <c r="F1396" s="136">
        <v>121</v>
      </c>
      <c r="G1396" s="137">
        <f t="shared" si="5"/>
        <v>6</v>
      </c>
      <c r="H1396" s="137"/>
      <c r="I1396" s="137"/>
      <c r="J1396" s="135"/>
      <c r="K1396" s="135"/>
      <c r="L1396" s="135"/>
      <c r="M1396" s="135"/>
      <c r="N1396" s="135"/>
      <c r="O1396" s="135"/>
      <c r="P1396" s="135"/>
      <c r="Q1396" s="135"/>
      <c r="R1396" s="135"/>
      <c r="S1396" s="135"/>
      <c r="T1396" s="135"/>
      <c r="U1396" s="135"/>
      <c r="V1396" s="135"/>
      <c r="W1396" s="135"/>
      <c r="X1396" s="135"/>
      <c r="Y1396" s="135"/>
      <c r="Z1396" s="135"/>
    </row>
    <row r="1397" spans="1:26" ht="25.5">
      <c r="A1397" s="136" t="s">
        <v>8</v>
      </c>
      <c r="B1397" s="136" t="s">
        <v>7573</v>
      </c>
      <c r="C1397" s="136" t="s">
        <v>7587</v>
      </c>
      <c r="D1397" s="136" t="s">
        <v>7586</v>
      </c>
      <c r="E1397" s="136" t="s">
        <v>615</v>
      </c>
      <c r="F1397" s="136">
        <v>100</v>
      </c>
      <c r="G1397" s="137">
        <f t="shared" si="5"/>
        <v>7</v>
      </c>
      <c r="H1397" s="137"/>
      <c r="I1397" s="137"/>
      <c r="J1397" s="135"/>
      <c r="K1397" s="135"/>
      <c r="L1397" s="135"/>
      <c r="M1397" s="135"/>
      <c r="N1397" s="135"/>
      <c r="O1397" s="135"/>
      <c r="P1397" s="135"/>
      <c r="Q1397" s="135"/>
      <c r="R1397" s="135"/>
      <c r="S1397" s="135"/>
      <c r="T1397" s="135"/>
      <c r="U1397" s="135"/>
      <c r="V1397" s="135"/>
      <c r="W1397" s="135"/>
      <c r="X1397" s="135"/>
      <c r="Y1397" s="135"/>
      <c r="Z1397" s="135"/>
    </row>
    <row r="1398" spans="1:26" ht="25.5">
      <c r="A1398" s="136" t="s">
        <v>8</v>
      </c>
      <c r="B1398" s="136" t="s">
        <v>7573</v>
      </c>
      <c r="C1398" s="136" t="s">
        <v>7590</v>
      </c>
      <c r="D1398" s="136" t="s">
        <v>7575</v>
      </c>
      <c r="E1398" s="136" t="s">
        <v>85</v>
      </c>
      <c r="F1398" s="136">
        <v>580</v>
      </c>
      <c r="G1398" s="137">
        <f t="shared" si="5"/>
        <v>1</v>
      </c>
      <c r="H1398" s="137"/>
      <c r="I1398" s="137"/>
      <c r="J1398" s="135"/>
      <c r="K1398" s="135"/>
      <c r="L1398" s="135"/>
      <c r="M1398" s="135"/>
      <c r="N1398" s="135"/>
      <c r="O1398" s="135"/>
      <c r="P1398" s="135"/>
      <c r="Q1398" s="135"/>
      <c r="R1398" s="135"/>
      <c r="S1398" s="135"/>
      <c r="T1398" s="135"/>
      <c r="U1398" s="135"/>
      <c r="V1398" s="135"/>
      <c r="W1398" s="135"/>
      <c r="X1398" s="135"/>
      <c r="Y1398" s="135"/>
      <c r="Z1398" s="135"/>
    </row>
    <row r="1399" spans="1:26" ht="25.5">
      <c r="A1399" s="136" t="s">
        <v>8</v>
      </c>
      <c r="B1399" s="136" t="s">
        <v>7573</v>
      </c>
      <c r="C1399" s="136" t="s">
        <v>7590</v>
      </c>
      <c r="D1399" s="136" t="s">
        <v>7576</v>
      </c>
      <c r="E1399" s="136" t="s">
        <v>594</v>
      </c>
      <c r="F1399" s="136">
        <v>150</v>
      </c>
      <c r="G1399" s="137">
        <f t="shared" si="5"/>
        <v>2</v>
      </c>
      <c r="H1399" s="137"/>
      <c r="I1399" s="137"/>
      <c r="J1399" s="135"/>
      <c r="K1399" s="135"/>
      <c r="L1399" s="135"/>
      <c r="M1399" s="135"/>
      <c r="N1399" s="135"/>
      <c r="O1399" s="135"/>
      <c r="P1399" s="135"/>
      <c r="Q1399" s="135"/>
      <c r="R1399" s="135"/>
      <c r="S1399" s="135"/>
      <c r="T1399" s="135"/>
      <c r="U1399" s="135"/>
      <c r="V1399" s="135"/>
      <c r="W1399" s="135"/>
      <c r="X1399" s="135"/>
      <c r="Y1399" s="135"/>
      <c r="Z1399" s="135"/>
    </row>
    <row r="1400" spans="1:26" ht="25.5">
      <c r="A1400" s="136" t="s">
        <v>8</v>
      </c>
      <c r="B1400" s="136" t="s">
        <v>7573</v>
      </c>
      <c r="C1400" s="136" t="s">
        <v>7590</v>
      </c>
      <c r="D1400" s="136" t="s">
        <v>7583</v>
      </c>
      <c r="E1400" s="136" t="s">
        <v>615</v>
      </c>
      <c r="F1400" s="136">
        <v>150</v>
      </c>
      <c r="G1400" s="137">
        <f t="shared" si="5"/>
        <v>3</v>
      </c>
      <c r="H1400" s="137"/>
      <c r="I1400" s="137"/>
      <c r="J1400" s="135"/>
      <c r="K1400" s="135"/>
      <c r="L1400" s="135"/>
      <c r="M1400" s="135"/>
      <c r="N1400" s="135"/>
      <c r="O1400" s="135"/>
      <c r="P1400" s="135"/>
      <c r="Q1400" s="135"/>
      <c r="R1400" s="135"/>
      <c r="S1400" s="135"/>
      <c r="T1400" s="135"/>
      <c r="U1400" s="135"/>
      <c r="V1400" s="135"/>
      <c r="W1400" s="135"/>
      <c r="X1400" s="135"/>
      <c r="Y1400" s="135"/>
      <c r="Z1400" s="135"/>
    </row>
    <row r="1401" spans="1:26" ht="25.5">
      <c r="A1401" s="136" t="s">
        <v>8</v>
      </c>
      <c r="B1401" s="136" t="s">
        <v>7573</v>
      </c>
      <c r="C1401" s="136" t="s">
        <v>7590</v>
      </c>
      <c r="D1401" s="136" t="s">
        <v>7591</v>
      </c>
      <c r="E1401" s="136" t="s">
        <v>85</v>
      </c>
      <c r="F1401" s="136">
        <v>100</v>
      </c>
      <c r="G1401" s="137">
        <f t="shared" si="5"/>
        <v>4</v>
      </c>
      <c r="H1401" s="137"/>
      <c r="I1401" s="137"/>
      <c r="J1401" s="135"/>
      <c r="K1401" s="135"/>
      <c r="L1401" s="135"/>
      <c r="M1401" s="135"/>
      <c r="N1401" s="135"/>
      <c r="O1401" s="135"/>
      <c r="P1401" s="135"/>
      <c r="Q1401" s="135"/>
      <c r="R1401" s="135"/>
      <c r="S1401" s="135"/>
      <c r="T1401" s="135"/>
      <c r="U1401" s="135"/>
      <c r="V1401" s="135"/>
      <c r="W1401" s="135"/>
      <c r="X1401" s="135"/>
      <c r="Y1401" s="135"/>
      <c r="Z1401" s="135"/>
    </row>
    <row r="1402" spans="1:26" ht="25.5">
      <c r="A1402" s="136" t="s">
        <v>8</v>
      </c>
      <c r="B1402" s="136" t="s">
        <v>7573</v>
      </c>
      <c r="C1402" s="136" t="s">
        <v>7590</v>
      </c>
      <c r="D1402" s="136" t="s">
        <v>7580</v>
      </c>
      <c r="E1402" s="136" t="s">
        <v>594</v>
      </c>
      <c r="F1402" s="136">
        <v>100</v>
      </c>
      <c r="G1402" s="137">
        <f t="shared" si="5"/>
        <v>5</v>
      </c>
      <c r="H1402" s="137"/>
      <c r="I1402" s="137"/>
      <c r="J1402" s="135"/>
      <c r="K1402" s="135"/>
      <c r="L1402" s="135"/>
      <c r="M1402" s="135"/>
      <c r="N1402" s="135"/>
      <c r="O1402" s="135"/>
      <c r="P1402" s="135"/>
      <c r="Q1402" s="135"/>
      <c r="R1402" s="135"/>
      <c r="S1402" s="135"/>
      <c r="T1402" s="135"/>
      <c r="U1402" s="135"/>
      <c r="V1402" s="135"/>
      <c r="W1402" s="135"/>
      <c r="X1402" s="135"/>
      <c r="Y1402" s="135"/>
      <c r="Z1402" s="135"/>
    </row>
    <row r="1403" spans="1:26" ht="25.5">
      <c r="A1403" s="136" t="s">
        <v>8</v>
      </c>
      <c r="B1403" s="136" t="s">
        <v>7573</v>
      </c>
      <c r="C1403" s="136" t="s">
        <v>7590</v>
      </c>
      <c r="D1403" s="136" t="s">
        <v>7491</v>
      </c>
      <c r="E1403" s="136" t="s">
        <v>615</v>
      </c>
      <c r="F1403" s="136">
        <v>50</v>
      </c>
      <c r="G1403" s="137">
        <f t="shared" si="5"/>
        <v>6</v>
      </c>
      <c r="H1403" s="137"/>
      <c r="I1403" s="137"/>
      <c r="J1403" s="135"/>
      <c r="K1403" s="135"/>
      <c r="L1403" s="135"/>
      <c r="M1403" s="135"/>
      <c r="N1403" s="135"/>
      <c r="O1403" s="135"/>
      <c r="P1403" s="135"/>
      <c r="Q1403" s="135"/>
      <c r="R1403" s="135"/>
      <c r="S1403" s="135"/>
      <c r="T1403" s="135"/>
      <c r="U1403" s="135"/>
      <c r="V1403" s="135"/>
      <c r="W1403" s="135"/>
      <c r="X1403" s="135"/>
      <c r="Y1403" s="135"/>
      <c r="Z1403" s="135"/>
    </row>
    <row r="1404" spans="1:26" ht="25.5">
      <c r="A1404" s="136" t="s">
        <v>8</v>
      </c>
      <c r="B1404" s="136" t="s">
        <v>7573</v>
      </c>
      <c r="C1404" s="136" t="s">
        <v>7590</v>
      </c>
      <c r="D1404" s="136" t="s">
        <v>7533</v>
      </c>
      <c r="E1404" s="136" t="s">
        <v>594</v>
      </c>
      <c r="F1404" s="136">
        <v>48</v>
      </c>
      <c r="G1404" s="137">
        <f t="shared" si="5"/>
        <v>7</v>
      </c>
      <c r="H1404" s="137"/>
      <c r="I1404" s="137"/>
      <c r="J1404" s="135"/>
      <c r="K1404" s="135"/>
      <c r="L1404" s="135"/>
      <c r="M1404" s="135"/>
      <c r="N1404" s="135"/>
      <c r="O1404" s="135"/>
      <c r="P1404" s="135"/>
      <c r="Q1404" s="135"/>
      <c r="R1404" s="135"/>
      <c r="S1404" s="135"/>
      <c r="T1404" s="135"/>
      <c r="U1404" s="135"/>
      <c r="V1404" s="135"/>
      <c r="W1404" s="135"/>
      <c r="X1404" s="135"/>
      <c r="Y1404" s="135"/>
      <c r="Z1404" s="135"/>
    </row>
    <row r="1405" spans="1:26" ht="25.5">
      <c r="A1405" s="136" t="s">
        <v>8</v>
      </c>
      <c r="B1405" s="136" t="s">
        <v>7573</v>
      </c>
      <c r="C1405" s="136" t="s">
        <v>31</v>
      </c>
      <c r="D1405" s="136"/>
      <c r="E1405" s="136"/>
      <c r="F1405" s="136">
        <v>1178</v>
      </c>
      <c r="G1405" s="137">
        <f t="shared" si="5"/>
        <v>1</v>
      </c>
      <c r="H1405" s="137"/>
      <c r="I1405" s="137"/>
      <c r="J1405" s="135"/>
      <c r="K1405" s="135"/>
      <c r="L1405" s="135"/>
      <c r="M1405" s="135"/>
      <c r="N1405" s="135"/>
      <c r="O1405" s="135"/>
      <c r="P1405" s="135"/>
      <c r="Q1405" s="135"/>
      <c r="R1405" s="135"/>
      <c r="S1405" s="135"/>
      <c r="T1405" s="135"/>
      <c r="U1405" s="135"/>
      <c r="V1405" s="135"/>
      <c r="W1405" s="135"/>
      <c r="X1405" s="135"/>
      <c r="Y1405" s="135"/>
      <c r="Z1405" s="135"/>
    </row>
    <row r="1406" spans="1:26" ht="25.5">
      <c r="A1406" s="136" t="s">
        <v>8</v>
      </c>
      <c r="B1406" s="136" t="s">
        <v>7573</v>
      </c>
      <c r="C1406" s="136" t="s">
        <v>7592</v>
      </c>
      <c r="D1406" s="136" t="s">
        <v>7583</v>
      </c>
      <c r="E1406" s="136" t="s">
        <v>615</v>
      </c>
      <c r="F1406" s="136">
        <v>650</v>
      </c>
      <c r="G1406" s="137">
        <f t="shared" si="5"/>
        <v>1</v>
      </c>
      <c r="H1406" s="137"/>
      <c r="I1406" s="137"/>
      <c r="J1406" s="135"/>
      <c r="K1406" s="135"/>
      <c r="L1406" s="135"/>
      <c r="M1406" s="135"/>
      <c r="N1406" s="135"/>
      <c r="O1406" s="135"/>
      <c r="P1406" s="135"/>
      <c r="Q1406" s="135"/>
      <c r="R1406" s="135"/>
      <c r="S1406" s="135"/>
      <c r="T1406" s="135"/>
      <c r="U1406" s="135"/>
      <c r="V1406" s="135"/>
      <c r="W1406" s="135"/>
      <c r="X1406" s="135"/>
      <c r="Y1406" s="135"/>
      <c r="Z1406" s="135"/>
    </row>
    <row r="1407" spans="1:26" ht="25.5">
      <c r="A1407" s="136" t="s">
        <v>8</v>
      </c>
      <c r="B1407" s="136" t="s">
        <v>7573</v>
      </c>
      <c r="C1407" s="136" t="s">
        <v>7592</v>
      </c>
      <c r="D1407" s="136" t="s">
        <v>7576</v>
      </c>
      <c r="E1407" s="136" t="s">
        <v>594</v>
      </c>
      <c r="F1407" s="136">
        <v>450</v>
      </c>
      <c r="G1407" s="137">
        <f t="shared" si="5"/>
        <v>2</v>
      </c>
      <c r="H1407" s="137"/>
      <c r="I1407" s="137"/>
      <c r="J1407" s="135"/>
      <c r="K1407" s="135"/>
      <c r="L1407" s="135"/>
      <c r="M1407" s="135"/>
      <c r="N1407" s="135"/>
      <c r="O1407" s="135"/>
      <c r="P1407" s="135"/>
      <c r="Q1407" s="135"/>
      <c r="R1407" s="135"/>
      <c r="S1407" s="135"/>
      <c r="T1407" s="135"/>
      <c r="U1407" s="135"/>
      <c r="V1407" s="135"/>
      <c r="W1407" s="135"/>
      <c r="X1407" s="135"/>
      <c r="Y1407" s="135"/>
      <c r="Z1407" s="135"/>
    </row>
    <row r="1408" spans="1:26" ht="25.5">
      <c r="A1408" s="136" t="s">
        <v>8</v>
      </c>
      <c r="B1408" s="136" t="s">
        <v>7573</v>
      </c>
      <c r="C1408" s="136" t="s">
        <v>7592</v>
      </c>
      <c r="D1408" s="136" t="s">
        <v>7575</v>
      </c>
      <c r="E1408" s="136" t="s">
        <v>85</v>
      </c>
      <c r="F1408" s="136">
        <v>150</v>
      </c>
      <c r="G1408" s="137">
        <f t="shared" si="5"/>
        <v>3</v>
      </c>
      <c r="H1408" s="137"/>
      <c r="I1408" s="137"/>
      <c r="J1408" s="135"/>
      <c r="K1408" s="135"/>
      <c r="L1408" s="135"/>
      <c r="M1408" s="135"/>
      <c r="N1408" s="135"/>
      <c r="O1408" s="135"/>
      <c r="P1408" s="135"/>
      <c r="Q1408" s="135"/>
      <c r="R1408" s="135"/>
      <c r="S1408" s="135"/>
      <c r="T1408" s="135"/>
      <c r="U1408" s="135"/>
      <c r="V1408" s="135"/>
      <c r="W1408" s="135"/>
      <c r="X1408" s="135"/>
      <c r="Y1408" s="135"/>
      <c r="Z1408" s="135"/>
    </row>
    <row r="1409" spans="1:26" ht="25.5">
      <c r="A1409" s="136" t="s">
        <v>8</v>
      </c>
      <c r="B1409" s="136" t="s">
        <v>7573</v>
      </c>
      <c r="C1409" s="136" t="s">
        <v>7592</v>
      </c>
      <c r="D1409" s="136" t="s">
        <v>7581</v>
      </c>
      <c r="E1409" s="136" t="s">
        <v>615</v>
      </c>
      <c r="F1409" s="136">
        <v>100</v>
      </c>
      <c r="G1409" s="137">
        <f t="shared" si="5"/>
        <v>4</v>
      </c>
      <c r="H1409" s="137"/>
      <c r="I1409" s="137"/>
      <c r="J1409" s="135"/>
      <c r="K1409" s="135"/>
      <c r="L1409" s="135"/>
      <c r="M1409" s="135"/>
      <c r="N1409" s="135"/>
      <c r="O1409" s="135"/>
      <c r="P1409" s="135"/>
      <c r="Q1409" s="135"/>
      <c r="R1409" s="135"/>
      <c r="S1409" s="135"/>
      <c r="T1409" s="135"/>
      <c r="U1409" s="135"/>
      <c r="V1409" s="135"/>
      <c r="W1409" s="135"/>
      <c r="X1409" s="135"/>
      <c r="Y1409" s="135"/>
      <c r="Z1409" s="135"/>
    </row>
    <row r="1410" spans="1:26" ht="25.5">
      <c r="A1410" s="136" t="s">
        <v>8</v>
      </c>
      <c r="B1410" s="136" t="s">
        <v>7573</v>
      </c>
      <c r="C1410" s="136" t="s">
        <v>7592</v>
      </c>
      <c r="D1410" s="136" t="s">
        <v>7491</v>
      </c>
      <c r="E1410" s="136" t="s">
        <v>615</v>
      </c>
      <c r="F1410" s="136">
        <v>30</v>
      </c>
      <c r="G1410" s="137">
        <f t="shared" si="5"/>
        <v>5</v>
      </c>
      <c r="H1410" s="137"/>
      <c r="I1410" s="137"/>
      <c r="J1410" s="135"/>
      <c r="K1410" s="135"/>
      <c r="L1410" s="135"/>
      <c r="M1410" s="135"/>
      <c r="N1410" s="135"/>
      <c r="O1410" s="135"/>
      <c r="P1410" s="135"/>
      <c r="Q1410" s="135"/>
      <c r="R1410" s="135"/>
      <c r="S1410" s="135"/>
      <c r="T1410" s="135"/>
      <c r="U1410" s="135"/>
      <c r="V1410" s="135"/>
      <c r="W1410" s="135"/>
      <c r="X1410" s="135"/>
      <c r="Y1410" s="135"/>
      <c r="Z1410" s="135"/>
    </row>
    <row r="1411" spans="1:26" ht="25.5">
      <c r="A1411" s="136" t="s">
        <v>8</v>
      </c>
      <c r="B1411" s="136" t="s">
        <v>7573</v>
      </c>
      <c r="C1411" s="136" t="s">
        <v>7592</v>
      </c>
      <c r="D1411" s="136" t="s">
        <v>7533</v>
      </c>
      <c r="E1411" s="136" t="s">
        <v>594</v>
      </c>
      <c r="F1411" s="136">
        <v>21</v>
      </c>
      <c r="G1411" s="137">
        <f t="shared" si="5"/>
        <v>6</v>
      </c>
      <c r="H1411" s="137"/>
      <c r="I1411" s="137"/>
      <c r="J1411" s="135"/>
      <c r="K1411" s="135"/>
      <c r="L1411" s="135"/>
      <c r="M1411" s="135"/>
      <c r="N1411" s="135"/>
      <c r="O1411" s="135"/>
      <c r="P1411" s="135"/>
      <c r="Q1411" s="135"/>
      <c r="R1411" s="135"/>
      <c r="S1411" s="135"/>
      <c r="T1411" s="135"/>
      <c r="U1411" s="135"/>
      <c r="V1411" s="135"/>
      <c r="W1411" s="135"/>
      <c r="X1411" s="135"/>
      <c r="Y1411" s="135"/>
      <c r="Z1411" s="135"/>
    </row>
    <row r="1412" spans="1:26" ht="25.5">
      <c r="A1412" s="136" t="s">
        <v>8</v>
      </c>
      <c r="B1412" s="136" t="s">
        <v>7573</v>
      </c>
      <c r="C1412" s="136" t="s">
        <v>7593</v>
      </c>
      <c r="D1412" s="136" t="s">
        <v>7576</v>
      </c>
      <c r="E1412" s="136" t="s">
        <v>594</v>
      </c>
      <c r="F1412" s="136">
        <v>325</v>
      </c>
      <c r="G1412" s="137">
        <f t="shared" si="5"/>
        <v>1</v>
      </c>
      <c r="H1412" s="137"/>
      <c r="I1412" s="137"/>
      <c r="J1412" s="135"/>
      <c r="K1412" s="135"/>
      <c r="L1412" s="135"/>
      <c r="M1412" s="135"/>
      <c r="N1412" s="135"/>
      <c r="O1412" s="135"/>
      <c r="P1412" s="135"/>
      <c r="Q1412" s="135"/>
      <c r="R1412" s="135"/>
      <c r="S1412" s="135"/>
      <c r="T1412" s="135"/>
      <c r="U1412" s="135"/>
      <c r="V1412" s="135"/>
      <c r="W1412" s="135"/>
      <c r="X1412" s="135"/>
      <c r="Y1412" s="135"/>
      <c r="Z1412" s="135"/>
    </row>
    <row r="1413" spans="1:26" ht="25.5">
      <c r="A1413" s="136" t="s">
        <v>8</v>
      </c>
      <c r="B1413" s="136" t="s">
        <v>7573</v>
      </c>
      <c r="C1413" s="136" t="s">
        <v>7593</v>
      </c>
      <c r="D1413" s="136" t="s">
        <v>7594</v>
      </c>
      <c r="E1413" s="136" t="s">
        <v>615</v>
      </c>
      <c r="F1413" s="136">
        <v>305</v>
      </c>
      <c r="G1413" s="137">
        <f t="shared" si="5"/>
        <v>2</v>
      </c>
      <c r="H1413" s="137"/>
      <c r="I1413" s="137"/>
      <c r="J1413" s="135"/>
      <c r="K1413" s="135"/>
      <c r="L1413" s="135"/>
      <c r="M1413" s="135"/>
      <c r="N1413" s="135"/>
      <c r="O1413" s="135"/>
      <c r="P1413" s="135"/>
      <c r="Q1413" s="135"/>
      <c r="R1413" s="135"/>
      <c r="S1413" s="135"/>
      <c r="T1413" s="135"/>
      <c r="U1413" s="135"/>
      <c r="V1413" s="135"/>
      <c r="W1413" s="135"/>
      <c r="X1413" s="135"/>
      <c r="Y1413" s="135"/>
      <c r="Z1413" s="135"/>
    </row>
    <row r="1414" spans="1:26" ht="25.5">
      <c r="A1414" s="136" t="s">
        <v>8</v>
      </c>
      <c r="B1414" s="136" t="s">
        <v>7573</v>
      </c>
      <c r="C1414" s="136" t="s">
        <v>7593</v>
      </c>
      <c r="D1414" s="136" t="s">
        <v>7575</v>
      </c>
      <c r="E1414" s="136" t="s">
        <v>85</v>
      </c>
      <c r="F1414" s="136">
        <v>300</v>
      </c>
      <c r="G1414" s="137">
        <f t="shared" si="5"/>
        <v>3</v>
      </c>
      <c r="H1414" s="137"/>
      <c r="I1414" s="137"/>
      <c r="J1414" s="135"/>
      <c r="K1414" s="135"/>
      <c r="L1414" s="135"/>
      <c r="M1414" s="135"/>
      <c r="N1414" s="135"/>
      <c r="O1414" s="135"/>
      <c r="P1414" s="135"/>
      <c r="Q1414" s="135"/>
      <c r="R1414" s="135"/>
      <c r="S1414" s="135"/>
      <c r="T1414" s="135"/>
      <c r="U1414" s="135"/>
      <c r="V1414" s="135"/>
      <c r="W1414" s="135"/>
      <c r="X1414" s="135"/>
      <c r="Y1414" s="135"/>
      <c r="Z1414" s="135"/>
    </row>
    <row r="1415" spans="1:26" ht="25.5">
      <c r="A1415" s="136" t="s">
        <v>8</v>
      </c>
      <c r="B1415" s="136" t="s">
        <v>7573</v>
      </c>
      <c r="C1415" s="136" t="s">
        <v>7593</v>
      </c>
      <c r="D1415" s="136" t="s">
        <v>7591</v>
      </c>
      <c r="E1415" s="136" t="s">
        <v>85</v>
      </c>
      <c r="F1415" s="136">
        <v>100</v>
      </c>
      <c r="G1415" s="137">
        <f t="shared" si="5"/>
        <v>4</v>
      </c>
      <c r="H1415" s="137"/>
      <c r="I1415" s="137"/>
      <c r="J1415" s="135"/>
      <c r="K1415" s="135"/>
      <c r="L1415" s="135"/>
      <c r="M1415" s="135"/>
      <c r="N1415" s="135"/>
      <c r="O1415" s="135"/>
      <c r="P1415" s="135"/>
      <c r="Q1415" s="135"/>
      <c r="R1415" s="135"/>
      <c r="S1415" s="135"/>
      <c r="T1415" s="135"/>
      <c r="U1415" s="135"/>
      <c r="V1415" s="135"/>
      <c r="W1415" s="135"/>
      <c r="X1415" s="135"/>
      <c r="Y1415" s="135"/>
      <c r="Z1415" s="135"/>
    </row>
    <row r="1416" spans="1:26" ht="25.5">
      <c r="A1416" s="136" t="s">
        <v>8</v>
      </c>
      <c r="B1416" s="136" t="s">
        <v>7573</v>
      </c>
      <c r="C1416" s="136" t="s">
        <v>7593</v>
      </c>
      <c r="D1416" s="136" t="s">
        <v>7580</v>
      </c>
      <c r="E1416" s="136" t="s">
        <v>594</v>
      </c>
      <c r="F1416" s="136">
        <v>100</v>
      </c>
      <c r="G1416" s="137">
        <f t="shared" si="5"/>
        <v>5</v>
      </c>
      <c r="H1416" s="137"/>
      <c r="I1416" s="137"/>
      <c r="J1416" s="135"/>
      <c r="K1416" s="135"/>
      <c r="L1416" s="135"/>
      <c r="M1416" s="135"/>
      <c r="N1416" s="135"/>
      <c r="O1416" s="135"/>
      <c r="P1416" s="135"/>
      <c r="Q1416" s="135"/>
      <c r="R1416" s="135"/>
      <c r="S1416" s="135"/>
      <c r="T1416" s="135"/>
      <c r="U1416" s="135"/>
      <c r="V1416" s="135"/>
      <c r="W1416" s="135"/>
      <c r="X1416" s="135"/>
      <c r="Y1416" s="135"/>
      <c r="Z1416" s="135"/>
    </row>
    <row r="1417" spans="1:26" ht="25.5">
      <c r="A1417" s="136" t="s">
        <v>8</v>
      </c>
      <c r="B1417" s="136" t="s">
        <v>7573</v>
      </c>
      <c r="C1417" s="136" t="s">
        <v>7593</v>
      </c>
      <c r="D1417" s="136" t="s">
        <v>7533</v>
      </c>
      <c r="E1417" s="136" t="s">
        <v>594</v>
      </c>
      <c r="F1417" s="136">
        <v>23</v>
      </c>
      <c r="G1417" s="137">
        <f t="shared" si="5"/>
        <v>6</v>
      </c>
      <c r="H1417" s="137"/>
      <c r="I1417" s="137"/>
      <c r="J1417" s="135"/>
      <c r="K1417" s="135"/>
      <c r="L1417" s="135"/>
      <c r="M1417" s="135"/>
      <c r="N1417" s="135"/>
      <c r="O1417" s="135"/>
      <c r="P1417" s="135"/>
      <c r="Q1417" s="135"/>
      <c r="R1417" s="135"/>
      <c r="S1417" s="135"/>
      <c r="T1417" s="135"/>
      <c r="U1417" s="135"/>
      <c r="V1417" s="135"/>
      <c r="W1417" s="135"/>
      <c r="X1417" s="135"/>
      <c r="Y1417" s="135"/>
      <c r="Z1417" s="135"/>
    </row>
    <row r="1418" spans="1:26" ht="25.5">
      <c r="A1418" s="136" t="s">
        <v>8</v>
      </c>
      <c r="B1418" s="136" t="s">
        <v>7573</v>
      </c>
      <c r="C1418" s="136" t="s">
        <v>7593</v>
      </c>
      <c r="D1418" s="136" t="s">
        <v>7491</v>
      </c>
      <c r="E1418" s="136" t="s">
        <v>615</v>
      </c>
      <c r="F1418" s="136">
        <v>20</v>
      </c>
      <c r="G1418" s="137">
        <f t="shared" si="5"/>
        <v>7</v>
      </c>
      <c r="H1418" s="137"/>
      <c r="I1418" s="137"/>
      <c r="J1418" s="135"/>
      <c r="K1418" s="135"/>
      <c r="L1418" s="135"/>
      <c r="M1418" s="135"/>
      <c r="N1418" s="135"/>
      <c r="O1418" s="135"/>
      <c r="P1418" s="135"/>
      <c r="Q1418" s="135"/>
      <c r="R1418" s="135"/>
      <c r="S1418" s="135"/>
      <c r="T1418" s="135"/>
      <c r="U1418" s="135"/>
      <c r="V1418" s="135"/>
      <c r="W1418" s="135"/>
      <c r="X1418" s="135"/>
      <c r="Y1418" s="135"/>
      <c r="Z1418" s="135"/>
    </row>
    <row r="1419" spans="1:26" ht="25.5">
      <c r="A1419" s="136" t="s">
        <v>8</v>
      </c>
      <c r="B1419" s="136" t="s">
        <v>7573</v>
      </c>
      <c r="C1419" s="136" t="s">
        <v>7595</v>
      </c>
      <c r="D1419" s="136" t="s">
        <v>7586</v>
      </c>
      <c r="E1419" s="136" t="s">
        <v>615</v>
      </c>
      <c r="F1419" s="136">
        <v>400</v>
      </c>
      <c r="G1419" s="137">
        <f t="shared" si="5"/>
        <v>1</v>
      </c>
      <c r="H1419" s="137"/>
      <c r="I1419" s="137"/>
      <c r="J1419" s="135"/>
      <c r="K1419" s="135"/>
      <c r="L1419" s="135"/>
      <c r="M1419" s="135"/>
      <c r="N1419" s="135"/>
      <c r="O1419" s="135"/>
      <c r="P1419" s="135"/>
      <c r="Q1419" s="135"/>
      <c r="R1419" s="135"/>
      <c r="S1419" s="135"/>
      <c r="T1419" s="135"/>
      <c r="U1419" s="135"/>
      <c r="V1419" s="135"/>
      <c r="W1419" s="135"/>
      <c r="X1419" s="135"/>
      <c r="Y1419" s="135"/>
      <c r="Z1419" s="135"/>
    </row>
    <row r="1420" spans="1:26" ht="25.5">
      <c r="A1420" s="136" t="s">
        <v>8</v>
      </c>
      <c r="B1420" s="136" t="s">
        <v>7573</v>
      </c>
      <c r="C1420" s="136" t="s">
        <v>7595</v>
      </c>
      <c r="D1420" s="136" t="s">
        <v>7594</v>
      </c>
      <c r="E1420" s="136" t="s">
        <v>615</v>
      </c>
      <c r="F1420" s="136">
        <v>200</v>
      </c>
      <c r="G1420" s="137">
        <f t="shared" si="5"/>
        <v>2</v>
      </c>
      <c r="H1420" s="137"/>
      <c r="I1420" s="137"/>
      <c r="J1420" s="135"/>
      <c r="K1420" s="135"/>
      <c r="L1420" s="135"/>
      <c r="M1420" s="135"/>
      <c r="N1420" s="135"/>
      <c r="O1420" s="135"/>
      <c r="P1420" s="135"/>
      <c r="Q1420" s="135"/>
      <c r="R1420" s="135"/>
      <c r="S1420" s="135"/>
      <c r="T1420" s="135"/>
      <c r="U1420" s="135"/>
      <c r="V1420" s="135"/>
      <c r="W1420" s="135"/>
      <c r="X1420" s="135"/>
      <c r="Y1420" s="135"/>
      <c r="Z1420" s="135"/>
    </row>
    <row r="1421" spans="1:26" ht="25.5">
      <c r="A1421" s="136" t="s">
        <v>8</v>
      </c>
      <c r="B1421" s="136" t="s">
        <v>7573</v>
      </c>
      <c r="C1421" s="136" t="s">
        <v>7595</v>
      </c>
      <c r="D1421" s="136" t="s">
        <v>7580</v>
      </c>
      <c r="E1421" s="136" t="s">
        <v>594</v>
      </c>
      <c r="F1421" s="136">
        <v>200</v>
      </c>
      <c r="G1421" s="137">
        <f t="shared" si="5"/>
        <v>3</v>
      </c>
      <c r="H1421" s="137"/>
      <c r="I1421" s="137"/>
      <c r="J1421" s="135"/>
      <c r="K1421" s="135"/>
      <c r="L1421" s="135"/>
      <c r="M1421" s="135"/>
      <c r="N1421" s="135"/>
      <c r="O1421" s="135"/>
      <c r="P1421" s="135"/>
      <c r="Q1421" s="135"/>
      <c r="R1421" s="135"/>
      <c r="S1421" s="135"/>
      <c r="T1421" s="135"/>
      <c r="U1421" s="135"/>
      <c r="V1421" s="135"/>
      <c r="W1421" s="135"/>
      <c r="X1421" s="135"/>
      <c r="Y1421" s="135"/>
      <c r="Z1421" s="135"/>
    </row>
    <row r="1422" spans="1:26" ht="25.5">
      <c r="A1422" s="136" t="s">
        <v>8</v>
      </c>
      <c r="B1422" s="136" t="s">
        <v>7573</v>
      </c>
      <c r="C1422" s="136" t="s">
        <v>7595</v>
      </c>
      <c r="D1422" s="136" t="s">
        <v>7596</v>
      </c>
      <c r="E1422" s="136" t="s">
        <v>615</v>
      </c>
      <c r="F1422" s="136">
        <v>200</v>
      </c>
      <c r="G1422" s="137">
        <f t="shared" si="5"/>
        <v>4</v>
      </c>
      <c r="H1422" s="137"/>
      <c r="I1422" s="137"/>
      <c r="J1422" s="135"/>
      <c r="K1422" s="135"/>
      <c r="L1422" s="135"/>
      <c r="M1422" s="135"/>
      <c r="N1422" s="135"/>
      <c r="O1422" s="135"/>
      <c r="P1422" s="135"/>
      <c r="Q1422" s="135"/>
      <c r="R1422" s="135"/>
      <c r="S1422" s="135"/>
      <c r="T1422" s="135"/>
      <c r="U1422" s="135"/>
      <c r="V1422" s="135"/>
      <c r="W1422" s="135"/>
      <c r="X1422" s="135"/>
      <c r="Y1422" s="135"/>
      <c r="Z1422" s="135"/>
    </row>
    <row r="1423" spans="1:26" ht="25.5">
      <c r="A1423" s="136" t="s">
        <v>8</v>
      </c>
      <c r="B1423" s="136" t="s">
        <v>7573</v>
      </c>
      <c r="C1423" s="136" t="s">
        <v>7595</v>
      </c>
      <c r="D1423" s="136" t="s">
        <v>7491</v>
      </c>
      <c r="E1423" s="136" t="s">
        <v>615</v>
      </c>
      <c r="F1423" s="136">
        <v>50</v>
      </c>
      <c r="G1423" s="137">
        <f t="shared" si="5"/>
        <v>5</v>
      </c>
      <c r="H1423" s="137"/>
      <c r="I1423" s="137"/>
      <c r="J1423" s="135"/>
      <c r="K1423" s="135"/>
      <c r="L1423" s="135"/>
      <c r="M1423" s="135"/>
      <c r="N1423" s="135"/>
      <c r="O1423" s="135"/>
      <c r="P1423" s="135"/>
      <c r="Q1423" s="135"/>
      <c r="R1423" s="135"/>
      <c r="S1423" s="135"/>
      <c r="T1423" s="135"/>
      <c r="U1423" s="135"/>
      <c r="V1423" s="135"/>
      <c r="W1423" s="135"/>
      <c r="X1423" s="135"/>
      <c r="Y1423" s="135"/>
      <c r="Z1423" s="135"/>
    </row>
    <row r="1424" spans="1:26" ht="25.5">
      <c r="A1424" s="136" t="s">
        <v>8</v>
      </c>
      <c r="B1424" s="136" t="s">
        <v>7573</v>
      </c>
      <c r="C1424" s="136" t="s">
        <v>7595</v>
      </c>
      <c r="D1424" s="136" t="s">
        <v>7533</v>
      </c>
      <c r="E1424" s="136" t="s">
        <v>594</v>
      </c>
      <c r="F1424" s="136">
        <v>21</v>
      </c>
      <c r="G1424" s="137">
        <f t="shared" si="5"/>
        <v>6</v>
      </c>
      <c r="H1424" s="137"/>
      <c r="I1424" s="137"/>
      <c r="J1424" s="135"/>
      <c r="K1424" s="135"/>
      <c r="L1424" s="135"/>
      <c r="M1424" s="135"/>
      <c r="N1424" s="135"/>
      <c r="O1424" s="135"/>
      <c r="P1424" s="135"/>
      <c r="Q1424" s="135"/>
      <c r="R1424" s="135"/>
      <c r="S1424" s="135"/>
      <c r="T1424" s="135"/>
      <c r="U1424" s="135"/>
      <c r="V1424" s="135"/>
      <c r="W1424" s="135"/>
      <c r="X1424" s="135"/>
      <c r="Y1424" s="135"/>
      <c r="Z1424" s="135"/>
    </row>
    <row r="1425" spans="1:26" ht="25.5">
      <c r="A1425" s="136" t="s">
        <v>8</v>
      </c>
      <c r="B1425" s="136" t="s">
        <v>7573</v>
      </c>
      <c r="C1425" s="136" t="s">
        <v>7597</v>
      </c>
      <c r="D1425" s="136" t="s">
        <v>7586</v>
      </c>
      <c r="E1425" s="136" t="s">
        <v>615</v>
      </c>
      <c r="F1425" s="136">
        <v>520</v>
      </c>
      <c r="G1425" s="137">
        <f t="shared" si="5"/>
        <v>1</v>
      </c>
      <c r="H1425" s="137"/>
      <c r="I1425" s="137"/>
      <c r="J1425" s="135"/>
      <c r="K1425" s="135"/>
      <c r="L1425" s="135"/>
      <c r="M1425" s="135"/>
      <c r="N1425" s="135"/>
      <c r="O1425" s="135"/>
      <c r="P1425" s="135"/>
      <c r="Q1425" s="135"/>
      <c r="R1425" s="135"/>
      <c r="S1425" s="135"/>
      <c r="T1425" s="135"/>
      <c r="U1425" s="135"/>
      <c r="V1425" s="135"/>
      <c r="W1425" s="135"/>
      <c r="X1425" s="135"/>
      <c r="Y1425" s="135"/>
      <c r="Z1425" s="135"/>
    </row>
    <row r="1426" spans="1:26" ht="25.5">
      <c r="A1426" s="136" t="s">
        <v>8</v>
      </c>
      <c r="B1426" s="136" t="s">
        <v>7573</v>
      </c>
      <c r="C1426" s="136" t="s">
        <v>7597</v>
      </c>
      <c r="D1426" s="136" t="s">
        <v>7598</v>
      </c>
      <c r="E1426" s="136" t="s">
        <v>615</v>
      </c>
      <c r="F1426" s="136">
        <v>240</v>
      </c>
      <c r="G1426" s="137">
        <f t="shared" si="5"/>
        <v>2</v>
      </c>
      <c r="H1426" s="137"/>
      <c r="I1426" s="137"/>
      <c r="J1426" s="135"/>
      <c r="K1426" s="135"/>
      <c r="L1426" s="135"/>
      <c r="M1426" s="135"/>
      <c r="N1426" s="135"/>
      <c r="O1426" s="135"/>
      <c r="P1426" s="135"/>
      <c r="Q1426" s="135"/>
      <c r="R1426" s="135"/>
      <c r="S1426" s="135"/>
      <c r="T1426" s="135"/>
      <c r="U1426" s="135"/>
      <c r="V1426" s="135"/>
      <c r="W1426" s="135"/>
      <c r="X1426" s="135"/>
      <c r="Y1426" s="135"/>
      <c r="Z1426" s="135"/>
    </row>
    <row r="1427" spans="1:26" ht="25.5">
      <c r="A1427" s="136" t="s">
        <v>8</v>
      </c>
      <c r="B1427" s="136" t="s">
        <v>7573</v>
      </c>
      <c r="C1427" s="136" t="s">
        <v>7597</v>
      </c>
      <c r="D1427" s="136" t="s">
        <v>7599</v>
      </c>
      <c r="E1427" s="136" t="s">
        <v>615</v>
      </c>
      <c r="F1427" s="136">
        <v>220</v>
      </c>
      <c r="G1427" s="137">
        <f t="shared" si="5"/>
        <v>3</v>
      </c>
      <c r="H1427" s="137"/>
      <c r="I1427" s="137"/>
      <c r="J1427" s="135"/>
      <c r="K1427" s="135"/>
      <c r="L1427" s="135"/>
      <c r="M1427" s="135"/>
      <c r="N1427" s="135"/>
      <c r="O1427" s="135"/>
      <c r="P1427" s="135"/>
      <c r="Q1427" s="135"/>
      <c r="R1427" s="135"/>
      <c r="S1427" s="135"/>
      <c r="T1427" s="135"/>
      <c r="U1427" s="135"/>
      <c r="V1427" s="135"/>
      <c r="W1427" s="135"/>
      <c r="X1427" s="135"/>
      <c r="Y1427" s="135"/>
      <c r="Z1427" s="135"/>
    </row>
    <row r="1428" spans="1:26" ht="25.5">
      <c r="A1428" s="136" t="s">
        <v>8</v>
      </c>
      <c r="B1428" s="136" t="s">
        <v>7573</v>
      </c>
      <c r="C1428" s="136" t="s">
        <v>7597</v>
      </c>
      <c r="D1428" s="136" t="s">
        <v>7533</v>
      </c>
      <c r="E1428" s="136" t="s">
        <v>594</v>
      </c>
      <c r="F1428" s="136">
        <v>200</v>
      </c>
      <c r="G1428" s="137">
        <f t="shared" si="5"/>
        <v>4</v>
      </c>
      <c r="H1428" s="137"/>
      <c r="I1428" s="137"/>
      <c r="J1428" s="135"/>
      <c r="K1428" s="135"/>
      <c r="L1428" s="135"/>
      <c r="M1428" s="135"/>
      <c r="N1428" s="135"/>
      <c r="O1428" s="135"/>
      <c r="P1428" s="135"/>
      <c r="Q1428" s="135"/>
      <c r="R1428" s="135"/>
      <c r="S1428" s="135"/>
      <c r="T1428" s="135"/>
      <c r="U1428" s="135"/>
      <c r="V1428" s="135"/>
      <c r="W1428" s="135"/>
      <c r="X1428" s="135"/>
      <c r="Y1428" s="135"/>
      <c r="Z1428" s="135"/>
    </row>
    <row r="1429" spans="1:26" ht="25.5">
      <c r="A1429" s="136" t="s">
        <v>8</v>
      </c>
      <c r="B1429" s="136" t="s">
        <v>7573</v>
      </c>
      <c r="C1429" s="136" t="s">
        <v>7597</v>
      </c>
      <c r="D1429" s="136" t="s">
        <v>7491</v>
      </c>
      <c r="E1429" s="136" t="s">
        <v>615</v>
      </c>
      <c r="F1429" s="136">
        <v>138</v>
      </c>
      <c r="G1429" s="137">
        <f t="shared" si="5"/>
        <v>5</v>
      </c>
      <c r="H1429" s="137"/>
      <c r="I1429" s="137"/>
      <c r="J1429" s="135"/>
      <c r="K1429" s="135"/>
      <c r="L1429" s="135"/>
      <c r="M1429" s="135"/>
      <c r="N1429" s="135"/>
      <c r="O1429" s="135"/>
      <c r="P1429" s="135"/>
      <c r="Q1429" s="135"/>
      <c r="R1429" s="135"/>
      <c r="S1429" s="135"/>
      <c r="T1429" s="135"/>
      <c r="U1429" s="135"/>
      <c r="V1429" s="135"/>
      <c r="W1429" s="135"/>
      <c r="X1429" s="135"/>
      <c r="Y1429" s="135"/>
      <c r="Z1429" s="135"/>
    </row>
    <row r="1430" spans="1:26" ht="25.5">
      <c r="A1430" s="136" t="s">
        <v>8</v>
      </c>
      <c r="B1430" s="136" t="s">
        <v>7573</v>
      </c>
      <c r="C1430" s="136" t="s">
        <v>7600</v>
      </c>
      <c r="D1430" s="136" t="s">
        <v>7575</v>
      </c>
      <c r="E1430" s="136" t="s">
        <v>85</v>
      </c>
      <c r="F1430" s="136">
        <v>440</v>
      </c>
      <c r="G1430" s="137">
        <f t="shared" si="5"/>
        <v>1</v>
      </c>
      <c r="H1430" s="137"/>
      <c r="I1430" s="137"/>
      <c r="J1430" s="135"/>
      <c r="K1430" s="135"/>
      <c r="L1430" s="135"/>
      <c r="M1430" s="135"/>
      <c r="N1430" s="135"/>
      <c r="O1430" s="135"/>
      <c r="P1430" s="135"/>
      <c r="Q1430" s="135"/>
      <c r="R1430" s="135"/>
      <c r="S1430" s="135"/>
      <c r="T1430" s="135"/>
      <c r="U1430" s="135"/>
      <c r="V1430" s="135"/>
      <c r="W1430" s="135"/>
      <c r="X1430" s="135"/>
      <c r="Y1430" s="135"/>
      <c r="Z1430" s="135"/>
    </row>
    <row r="1431" spans="1:26" ht="25.5">
      <c r="A1431" s="136" t="s">
        <v>8</v>
      </c>
      <c r="B1431" s="136" t="s">
        <v>7573</v>
      </c>
      <c r="C1431" s="136" t="s">
        <v>7600</v>
      </c>
      <c r="D1431" s="136" t="s">
        <v>7586</v>
      </c>
      <c r="E1431" s="136" t="s">
        <v>615</v>
      </c>
      <c r="F1431" s="136">
        <v>300</v>
      </c>
      <c r="G1431" s="137">
        <f t="shared" si="5"/>
        <v>2</v>
      </c>
      <c r="H1431" s="137"/>
      <c r="I1431" s="137"/>
      <c r="J1431" s="135"/>
      <c r="K1431" s="135"/>
      <c r="L1431" s="135"/>
      <c r="M1431" s="135"/>
      <c r="N1431" s="135"/>
      <c r="O1431" s="135"/>
      <c r="P1431" s="135"/>
      <c r="Q1431" s="135"/>
      <c r="R1431" s="135"/>
      <c r="S1431" s="135"/>
      <c r="T1431" s="135"/>
      <c r="U1431" s="135"/>
      <c r="V1431" s="135"/>
      <c r="W1431" s="135"/>
      <c r="X1431" s="135"/>
      <c r="Y1431" s="135"/>
      <c r="Z1431" s="135"/>
    </row>
    <row r="1432" spans="1:26" ht="25.5">
      <c r="A1432" s="136" t="s">
        <v>8</v>
      </c>
      <c r="B1432" s="136" t="s">
        <v>7573</v>
      </c>
      <c r="C1432" s="136" t="s">
        <v>7600</v>
      </c>
      <c r="D1432" s="136" t="s">
        <v>7591</v>
      </c>
      <c r="E1432" s="136" t="s">
        <v>85</v>
      </c>
      <c r="F1432" s="136">
        <v>200</v>
      </c>
      <c r="G1432" s="137">
        <f t="shared" si="5"/>
        <v>3</v>
      </c>
      <c r="H1432" s="137"/>
      <c r="I1432" s="137"/>
      <c r="J1432" s="135"/>
      <c r="K1432" s="135"/>
      <c r="L1432" s="135"/>
      <c r="M1432" s="135"/>
      <c r="N1432" s="135"/>
      <c r="O1432" s="135"/>
      <c r="P1432" s="135"/>
      <c r="Q1432" s="135"/>
      <c r="R1432" s="135"/>
      <c r="S1432" s="135"/>
      <c r="T1432" s="135"/>
      <c r="U1432" s="135"/>
      <c r="V1432" s="135"/>
      <c r="W1432" s="135"/>
      <c r="X1432" s="135"/>
      <c r="Y1432" s="135"/>
      <c r="Z1432" s="135"/>
    </row>
    <row r="1433" spans="1:26" ht="25.5">
      <c r="A1433" s="136" t="s">
        <v>8</v>
      </c>
      <c r="B1433" s="136" t="s">
        <v>7573</v>
      </c>
      <c r="C1433" s="136" t="s">
        <v>7600</v>
      </c>
      <c r="D1433" s="136" t="s">
        <v>7601</v>
      </c>
      <c r="E1433" s="136" t="s">
        <v>615</v>
      </c>
      <c r="F1433" s="136">
        <v>100</v>
      </c>
      <c r="G1433" s="137">
        <f t="shared" si="5"/>
        <v>4</v>
      </c>
      <c r="H1433" s="137"/>
      <c r="I1433" s="137"/>
      <c r="J1433" s="135"/>
      <c r="K1433" s="135"/>
      <c r="L1433" s="135"/>
      <c r="M1433" s="135"/>
      <c r="N1433" s="135"/>
      <c r="O1433" s="135"/>
      <c r="P1433" s="135"/>
      <c r="Q1433" s="135"/>
      <c r="R1433" s="135"/>
      <c r="S1433" s="135"/>
      <c r="T1433" s="135"/>
      <c r="U1433" s="135"/>
      <c r="V1433" s="135"/>
      <c r="W1433" s="135"/>
      <c r="X1433" s="135"/>
      <c r="Y1433" s="135"/>
      <c r="Z1433" s="135"/>
    </row>
    <row r="1434" spans="1:26" ht="25.5">
      <c r="A1434" s="136" t="s">
        <v>8</v>
      </c>
      <c r="B1434" s="136" t="s">
        <v>7573</v>
      </c>
      <c r="C1434" s="136" t="s">
        <v>7600</v>
      </c>
      <c r="D1434" s="136" t="s">
        <v>7491</v>
      </c>
      <c r="E1434" s="136" t="s">
        <v>615</v>
      </c>
      <c r="F1434" s="136">
        <v>40</v>
      </c>
      <c r="G1434" s="137">
        <f t="shared" si="5"/>
        <v>5</v>
      </c>
      <c r="H1434" s="137"/>
      <c r="I1434" s="137"/>
      <c r="J1434" s="135"/>
      <c r="K1434" s="135"/>
      <c r="L1434" s="135"/>
      <c r="M1434" s="135"/>
      <c r="N1434" s="135"/>
      <c r="O1434" s="135"/>
      <c r="P1434" s="135"/>
      <c r="Q1434" s="135"/>
      <c r="R1434" s="135"/>
      <c r="S1434" s="135"/>
      <c r="T1434" s="135"/>
      <c r="U1434" s="135"/>
      <c r="V1434" s="135"/>
      <c r="W1434" s="135"/>
      <c r="X1434" s="135"/>
      <c r="Y1434" s="135"/>
      <c r="Z1434" s="135"/>
    </row>
    <row r="1435" spans="1:26" ht="25.5">
      <c r="A1435" s="136" t="s">
        <v>8</v>
      </c>
      <c r="B1435" s="136" t="s">
        <v>7573</v>
      </c>
      <c r="C1435" s="136" t="s">
        <v>7600</v>
      </c>
      <c r="D1435" s="136" t="s">
        <v>7533</v>
      </c>
      <c r="E1435" s="136" t="s">
        <v>594</v>
      </c>
      <c r="F1435" s="136">
        <v>40</v>
      </c>
      <c r="G1435" s="137">
        <f t="shared" si="5"/>
        <v>6</v>
      </c>
      <c r="H1435" s="137"/>
      <c r="I1435" s="137"/>
      <c r="J1435" s="135"/>
      <c r="K1435" s="135"/>
      <c r="L1435" s="135"/>
      <c r="M1435" s="135"/>
      <c r="N1435" s="135"/>
      <c r="O1435" s="135"/>
      <c r="P1435" s="135"/>
      <c r="Q1435" s="135"/>
      <c r="R1435" s="135"/>
      <c r="S1435" s="135"/>
      <c r="T1435" s="135"/>
      <c r="U1435" s="135"/>
      <c r="V1435" s="135"/>
      <c r="W1435" s="135"/>
      <c r="X1435" s="135"/>
      <c r="Y1435" s="135"/>
      <c r="Z1435" s="135"/>
    </row>
    <row r="1436" spans="1:26" ht="25.5">
      <c r="A1436" s="136" t="s">
        <v>8</v>
      </c>
      <c r="B1436" s="136" t="s">
        <v>7573</v>
      </c>
      <c r="C1436" s="136" t="s">
        <v>7602</v>
      </c>
      <c r="D1436" s="136" t="s">
        <v>7586</v>
      </c>
      <c r="E1436" s="136" t="s">
        <v>615</v>
      </c>
      <c r="F1436" s="136">
        <v>430</v>
      </c>
      <c r="G1436" s="137">
        <f t="shared" si="5"/>
        <v>1</v>
      </c>
      <c r="H1436" s="137"/>
      <c r="I1436" s="137"/>
      <c r="J1436" s="135"/>
      <c r="K1436" s="135"/>
      <c r="L1436" s="135"/>
      <c r="M1436" s="135"/>
      <c r="N1436" s="135"/>
      <c r="O1436" s="135"/>
      <c r="P1436" s="135"/>
      <c r="Q1436" s="135"/>
      <c r="R1436" s="135"/>
      <c r="S1436" s="135"/>
      <c r="T1436" s="135"/>
      <c r="U1436" s="135"/>
      <c r="V1436" s="135"/>
      <c r="W1436" s="135"/>
      <c r="X1436" s="135"/>
      <c r="Y1436" s="135"/>
      <c r="Z1436" s="135"/>
    </row>
    <row r="1437" spans="1:26" ht="25.5">
      <c r="A1437" s="136" t="s">
        <v>8</v>
      </c>
      <c r="B1437" s="136" t="s">
        <v>7573</v>
      </c>
      <c r="C1437" s="136" t="s">
        <v>7602</v>
      </c>
      <c r="D1437" s="136" t="s">
        <v>7576</v>
      </c>
      <c r="E1437" s="136" t="s">
        <v>594</v>
      </c>
      <c r="F1437" s="136">
        <v>210</v>
      </c>
      <c r="G1437" s="137">
        <f t="shared" si="5"/>
        <v>2</v>
      </c>
      <c r="H1437" s="137"/>
      <c r="I1437" s="137"/>
      <c r="J1437" s="135"/>
      <c r="K1437" s="135"/>
      <c r="L1437" s="135"/>
      <c r="M1437" s="135"/>
      <c r="N1437" s="135"/>
      <c r="O1437" s="135"/>
      <c r="P1437" s="135"/>
      <c r="Q1437" s="135"/>
      <c r="R1437" s="135"/>
      <c r="S1437" s="135"/>
      <c r="T1437" s="135"/>
      <c r="U1437" s="135"/>
      <c r="V1437" s="135"/>
      <c r="W1437" s="135"/>
      <c r="X1437" s="135"/>
      <c r="Y1437" s="135"/>
      <c r="Z1437" s="135"/>
    </row>
    <row r="1438" spans="1:26" ht="25.5">
      <c r="A1438" s="136" t="s">
        <v>8</v>
      </c>
      <c r="B1438" s="136" t="s">
        <v>7573</v>
      </c>
      <c r="C1438" s="136" t="s">
        <v>7602</v>
      </c>
      <c r="D1438" s="136" t="s">
        <v>7603</v>
      </c>
      <c r="E1438" s="136" t="s">
        <v>615</v>
      </c>
      <c r="F1438" s="136">
        <v>150</v>
      </c>
      <c r="G1438" s="137">
        <f t="shared" si="5"/>
        <v>3</v>
      </c>
      <c r="H1438" s="137"/>
      <c r="I1438" s="137"/>
      <c r="J1438" s="135"/>
      <c r="K1438" s="135"/>
      <c r="L1438" s="135"/>
      <c r="M1438" s="135"/>
      <c r="N1438" s="135"/>
      <c r="O1438" s="135"/>
      <c r="P1438" s="135"/>
      <c r="Q1438" s="135"/>
      <c r="R1438" s="135"/>
      <c r="S1438" s="135"/>
      <c r="T1438" s="135"/>
      <c r="U1438" s="135"/>
      <c r="V1438" s="135"/>
      <c r="W1438" s="135"/>
      <c r="X1438" s="135"/>
      <c r="Y1438" s="135"/>
      <c r="Z1438" s="135"/>
    </row>
    <row r="1439" spans="1:26" ht="25.5">
      <c r="A1439" s="136" t="s">
        <v>8</v>
      </c>
      <c r="B1439" s="136" t="s">
        <v>7573</v>
      </c>
      <c r="C1439" s="136" t="s">
        <v>7602</v>
      </c>
      <c r="D1439" s="136" t="s">
        <v>7580</v>
      </c>
      <c r="E1439" s="136" t="s">
        <v>594</v>
      </c>
      <c r="F1439" s="136">
        <v>100</v>
      </c>
      <c r="G1439" s="137">
        <f t="shared" si="5"/>
        <v>4</v>
      </c>
      <c r="H1439" s="137"/>
      <c r="I1439" s="137"/>
      <c r="J1439" s="135"/>
      <c r="K1439" s="135"/>
      <c r="L1439" s="135"/>
      <c r="M1439" s="135"/>
      <c r="N1439" s="135"/>
      <c r="O1439" s="135"/>
      <c r="P1439" s="135"/>
      <c r="Q1439" s="135"/>
      <c r="R1439" s="135"/>
      <c r="S1439" s="135"/>
      <c r="T1439" s="135"/>
      <c r="U1439" s="135"/>
      <c r="V1439" s="135"/>
      <c r="W1439" s="135"/>
      <c r="X1439" s="135"/>
      <c r="Y1439" s="135"/>
      <c r="Z1439" s="135"/>
    </row>
    <row r="1440" spans="1:26" ht="25.5">
      <c r="A1440" s="136" t="s">
        <v>8</v>
      </c>
      <c r="B1440" s="136" t="s">
        <v>7573</v>
      </c>
      <c r="C1440" s="136" t="s">
        <v>7602</v>
      </c>
      <c r="D1440" s="136" t="s">
        <v>7575</v>
      </c>
      <c r="E1440" s="136" t="s">
        <v>85</v>
      </c>
      <c r="F1440" s="136">
        <v>100</v>
      </c>
      <c r="G1440" s="137">
        <f t="shared" si="5"/>
        <v>5</v>
      </c>
      <c r="H1440" s="137"/>
      <c r="I1440" s="137"/>
      <c r="J1440" s="135"/>
      <c r="K1440" s="135"/>
      <c r="L1440" s="135"/>
      <c r="M1440" s="135"/>
      <c r="N1440" s="135"/>
      <c r="O1440" s="135"/>
      <c r="P1440" s="135"/>
      <c r="Q1440" s="135"/>
      <c r="R1440" s="135"/>
      <c r="S1440" s="135"/>
      <c r="T1440" s="135"/>
      <c r="U1440" s="135"/>
      <c r="V1440" s="135"/>
      <c r="W1440" s="135"/>
      <c r="X1440" s="135"/>
      <c r="Y1440" s="135"/>
      <c r="Z1440" s="135"/>
    </row>
    <row r="1441" spans="1:26" ht="25.5">
      <c r="A1441" s="136" t="s">
        <v>8</v>
      </c>
      <c r="B1441" s="136" t="s">
        <v>7573</v>
      </c>
      <c r="C1441" s="136" t="s">
        <v>7602</v>
      </c>
      <c r="D1441" s="136" t="s">
        <v>7491</v>
      </c>
      <c r="E1441" s="136" t="s">
        <v>615</v>
      </c>
      <c r="F1441" s="136">
        <v>60</v>
      </c>
      <c r="G1441" s="137">
        <f t="shared" si="5"/>
        <v>6</v>
      </c>
      <c r="H1441" s="137"/>
      <c r="I1441" s="137"/>
      <c r="J1441" s="135"/>
      <c r="K1441" s="135"/>
      <c r="L1441" s="135"/>
      <c r="M1441" s="135"/>
      <c r="N1441" s="135"/>
      <c r="O1441" s="135"/>
      <c r="P1441" s="135"/>
      <c r="Q1441" s="135"/>
      <c r="R1441" s="135"/>
      <c r="S1441" s="135"/>
      <c r="T1441" s="135"/>
      <c r="U1441" s="135"/>
      <c r="V1441" s="135"/>
      <c r="W1441" s="135"/>
      <c r="X1441" s="135"/>
      <c r="Y1441" s="135"/>
      <c r="Z1441" s="135"/>
    </row>
    <row r="1442" spans="1:26" ht="25.5">
      <c r="A1442" s="136" t="s">
        <v>8</v>
      </c>
      <c r="B1442" s="136" t="s">
        <v>7573</v>
      </c>
      <c r="C1442" s="136" t="s">
        <v>7602</v>
      </c>
      <c r="D1442" s="136" t="s">
        <v>7533</v>
      </c>
      <c r="E1442" s="136" t="s">
        <v>594</v>
      </c>
      <c r="F1442" s="136">
        <v>53</v>
      </c>
      <c r="G1442" s="137">
        <f t="shared" si="5"/>
        <v>7</v>
      </c>
      <c r="H1442" s="137"/>
      <c r="I1442" s="137"/>
      <c r="J1442" s="135"/>
      <c r="K1442" s="135"/>
      <c r="L1442" s="135"/>
      <c r="M1442" s="135"/>
      <c r="N1442" s="135"/>
      <c r="O1442" s="135"/>
      <c r="P1442" s="135"/>
      <c r="Q1442" s="135"/>
      <c r="R1442" s="135"/>
      <c r="S1442" s="135"/>
      <c r="T1442" s="135"/>
      <c r="U1442" s="135"/>
      <c r="V1442" s="135"/>
      <c r="W1442" s="135"/>
      <c r="X1442" s="135"/>
      <c r="Y1442" s="135"/>
      <c r="Z1442" s="135"/>
    </row>
    <row r="1443" spans="1:26" ht="25.5">
      <c r="A1443" s="136" t="s">
        <v>8</v>
      </c>
      <c r="B1443" s="136" t="s">
        <v>7573</v>
      </c>
      <c r="C1443" s="136" t="s">
        <v>7604</v>
      </c>
      <c r="D1443" s="136" t="s">
        <v>7605</v>
      </c>
      <c r="E1443" s="136" t="s">
        <v>85</v>
      </c>
      <c r="F1443" s="136">
        <v>430</v>
      </c>
      <c r="G1443" s="137">
        <f t="shared" si="5"/>
        <v>1</v>
      </c>
      <c r="H1443" s="137"/>
      <c r="I1443" s="137"/>
      <c r="J1443" s="135"/>
      <c r="K1443" s="135"/>
      <c r="L1443" s="135"/>
      <c r="M1443" s="135"/>
      <c r="N1443" s="135"/>
      <c r="O1443" s="135"/>
      <c r="P1443" s="135"/>
      <c r="Q1443" s="135"/>
      <c r="R1443" s="135"/>
      <c r="S1443" s="135"/>
      <c r="T1443" s="135"/>
      <c r="U1443" s="135"/>
      <c r="V1443" s="135"/>
      <c r="W1443" s="135"/>
      <c r="X1443" s="135"/>
      <c r="Y1443" s="135"/>
      <c r="Z1443" s="135"/>
    </row>
    <row r="1444" spans="1:26" ht="25.5">
      <c r="A1444" s="136" t="s">
        <v>8</v>
      </c>
      <c r="B1444" s="136" t="s">
        <v>7573</v>
      </c>
      <c r="C1444" s="136" t="s">
        <v>7604</v>
      </c>
      <c r="D1444" s="136" t="s">
        <v>7586</v>
      </c>
      <c r="E1444" s="136" t="s">
        <v>615</v>
      </c>
      <c r="F1444" s="136">
        <v>310</v>
      </c>
      <c r="G1444" s="137">
        <f t="shared" si="5"/>
        <v>2</v>
      </c>
      <c r="H1444" s="137"/>
      <c r="I1444" s="137"/>
      <c r="J1444" s="135"/>
      <c r="K1444" s="135"/>
      <c r="L1444" s="135"/>
      <c r="M1444" s="135"/>
      <c r="N1444" s="135"/>
      <c r="O1444" s="135"/>
      <c r="P1444" s="135"/>
      <c r="Q1444" s="135"/>
      <c r="R1444" s="135"/>
      <c r="S1444" s="135"/>
      <c r="T1444" s="135"/>
      <c r="U1444" s="135"/>
      <c r="V1444" s="135"/>
      <c r="W1444" s="135"/>
      <c r="X1444" s="135"/>
      <c r="Y1444" s="135"/>
      <c r="Z1444" s="135"/>
    </row>
    <row r="1445" spans="1:26" ht="25.5">
      <c r="A1445" s="136" t="s">
        <v>8</v>
      </c>
      <c r="B1445" s="136" t="s">
        <v>7573</v>
      </c>
      <c r="C1445" s="136" t="s">
        <v>7604</v>
      </c>
      <c r="D1445" s="136" t="s">
        <v>7581</v>
      </c>
      <c r="E1445" s="136" t="s">
        <v>615</v>
      </c>
      <c r="F1445" s="136">
        <v>205</v>
      </c>
      <c r="G1445" s="137">
        <f t="shared" si="5"/>
        <v>3</v>
      </c>
      <c r="H1445" s="137"/>
      <c r="I1445" s="137"/>
      <c r="J1445" s="135"/>
      <c r="K1445" s="135"/>
      <c r="L1445" s="135"/>
      <c r="M1445" s="135"/>
      <c r="N1445" s="135"/>
      <c r="O1445" s="135"/>
      <c r="P1445" s="135"/>
      <c r="Q1445" s="135"/>
      <c r="R1445" s="135"/>
      <c r="S1445" s="135"/>
      <c r="T1445" s="135"/>
      <c r="U1445" s="135"/>
      <c r="V1445" s="135"/>
      <c r="W1445" s="135"/>
      <c r="X1445" s="135"/>
      <c r="Y1445" s="135"/>
      <c r="Z1445" s="135"/>
    </row>
    <row r="1446" spans="1:26" ht="25.5">
      <c r="A1446" s="136" t="s">
        <v>8</v>
      </c>
      <c r="B1446" s="136" t="s">
        <v>7573</v>
      </c>
      <c r="C1446" s="136" t="s">
        <v>7604</v>
      </c>
      <c r="D1446" s="136" t="s">
        <v>7601</v>
      </c>
      <c r="E1446" s="136" t="s">
        <v>615</v>
      </c>
      <c r="F1446" s="136">
        <v>100</v>
      </c>
      <c r="G1446" s="137">
        <f t="shared" si="5"/>
        <v>4</v>
      </c>
      <c r="H1446" s="137"/>
      <c r="I1446" s="137"/>
      <c r="J1446" s="135"/>
      <c r="K1446" s="135"/>
      <c r="L1446" s="135"/>
      <c r="M1446" s="135"/>
      <c r="N1446" s="135"/>
      <c r="O1446" s="135"/>
      <c r="P1446" s="135"/>
      <c r="Q1446" s="135"/>
      <c r="R1446" s="135"/>
      <c r="S1446" s="135"/>
      <c r="T1446" s="135"/>
      <c r="U1446" s="135"/>
      <c r="V1446" s="135"/>
      <c r="W1446" s="135"/>
      <c r="X1446" s="135"/>
      <c r="Y1446" s="135"/>
      <c r="Z1446" s="135"/>
    </row>
    <row r="1447" spans="1:26" ht="25.5">
      <c r="A1447" s="136" t="s">
        <v>8</v>
      </c>
      <c r="B1447" s="136" t="s">
        <v>7573</v>
      </c>
      <c r="C1447" s="136" t="s">
        <v>7604</v>
      </c>
      <c r="D1447" s="136" t="s">
        <v>7533</v>
      </c>
      <c r="E1447" s="136" t="s">
        <v>594</v>
      </c>
      <c r="F1447" s="136">
        <v>56</v>
      </c>
      <c r="G1447" s="137">
        <f t="shared" si="5"/>
        <v>5</v>
      </c>
      <c r="H1447" s="137"/>
      <c r="I1447" s="137"/>
      <c r="J1447" s="135"/>
      <c r="K1447" s="135"/>
      <c r="L1447" s="135"/>
      <c r="M1447" s="135"/>
      <c r="N1447" s="135"/>
      <c r="O1447" s="135"/>
      <c r="P1447" s="135"/>
      <c r="Q1447" s="135"/>
      <c r="R1447" s="135"/>
      <c r="S1447" s="135"/>
      <c r="T1447" s="135"/>
      <c r="U1447" s="135"/>
      <c r="V1447" s="135"/>
      <c r="W1447" s="135"/>
      <c r="X1447" s="135"/>
      <c r="Y1447" s="135"/>
      <c r="Z1447" s="135"/>
    </row>
    <row r="1448" spans="1:26" ht="25.5">
      <c r="A1448" s="136" t="s">
        <v>8</v>
      </c>
      <c r="B1448" s="136" t="s">
        <v>7573</v>
      </c>
      <c r="C1448" s="136" t="s">
        <v>7604</v>
      </c>
      <c r="D1448" s="136" t="s">
        <v>7491</v>
      </c>
      <c r="E1448" s="136" t="s">
        <v>615</v>
      </c>
      <c r="F1448" s="136">
        <v>50</v>
      </c>
      <c r="G1448" s="137">
        <f t="shared" si="5"/>
        <v>6</v>
      </c>
      <c r="H1448" s="137"/>
      <c r="I1448" s="137"/>
      <c r="J1448" s="135"/>
      <c r="K1448" s="135"/>
      <c r="L1448" s="135"/>
      <c r="M1448" s="135"/>
      <c r="N1448" s="135"/>
      <c r="O1448" s="135"/>
      <c r="P1448" s="135"/>
      <c r="Q1448" s="135"/>
      <c r="R1448" s="135"/>
      <c r="S1448" s="135"/>
      <c r="T1448" s="135"/>
      <c r="U1448" s="135"/>
      <c r="V1448" s="135"/>
      <c r="W1448" s="135"/>
      <c r="X1448" s="135"/>
      <c r="Y1448" s="135"/>
      <c r="Z1448" s="135"/>
    </row>
    <row r="1449" spans="1:26" ht="25.5">
      <c r="A1449" s="136" t="s">
        <v>8</v>
      </c>
      <c r="B1449" s="136" t="s">
        <v>7573</v>
      </c>
      <c r="C1449" s="136" t="s">
        <v>7606</v>
      </c>
      <c r="D1449" s="136" t="s">
        <v>7586</v>
      </c>
      <c r="E1449" s="136" t="s">
        <v>615</v>
      </c>
      <c r="F1449" s="136">
        <v>510</v>
      </c>
      <c r="G1449" s="137">
        <f t="shared" si="5"/>
        <v>1</v>
      </c>
      <c r="H1449" s="137"/>
      <c r="I1449" s="137"/>
      <c r="J1449" s="135"/>
      <c r="K1449" s="135"/>
      <c r="L1449" s="135"/>
      <c r="M1449" s="135"/>
      <c r="N1449" s="135"/>
      <c r="O1449" s="135"/>
      <c r="P1449" s="135"/>
      <c r="Q1449" s="135"/>
      <c r="R1449" s="135"/>
      <c r="S1449" s="135"/>
      <c r="T1449" s="135"/>
      <c r="U1449" s="135"/>
      <c r="V1449" s="135"/>
      <c r="W1449" s="135"/>
      <c r="X1449" s="135"/>
      <c r="Y1449" s="135"/>
      <c r="Z1449" s="135"/>
    </row>
    <row r="1450" spans="1:26" ht="25.5">
      <c r="A1450" s="136" t="s">
        <v>8</v>
      </c>
      <c r="B1450" s="136" t="s">
        <v>7573</v>
      </c>
      <c r="C1450" s="136" t="s">
        <v>7606</v>
      </c>
      <c r="D1450" s="136" t="s">
        <v>7577</v>
      </c>
      <c r="E1450" s="136" t="s">
        <v>615</v>
      </c>
      <c r="F1450" s="136">
        <v>200</v>
      </c>
      <c r="G1450" s="137">
        <f t="shared" si="5"/>
        <v>2</v>
      </c>
      <c r="H1450" s="137"/>
      <c r="I1450" s="137"/>
      <c r="J1450" s="135"/>
      <c r="K1450" s="135"/>
      <c r="L1450" s="135"/>
      <c r="M1450" s="135"/>
      <c r="N1450" s="135"/>
      <c r="O1450" s="135"/>
      <c r="P1450" s="135"/>
      <c r="Q1450" s="135"/>
      <c r="R1450" s="135"/>
      <c r="S1450" s="135"/>
      <c r="T1450" s="135"/>
      <c r="U1450" s="135"/>
      <c r="V1450" s="135"/>
      <c r="W1450" s="135"/>
      <c r="X1450" s="135"/>
      <c r="Y1450" s="135"/>
      <c r="Z1450" s="135"/>
    </row>
    <row r="1451" spans="1:26" ht="25.5">
      <c r="A1451" s="136" t="s">
        <v>8</v>
      </c>
      <c r="B1451" s="136" t="s">
        <v>7573</v>
      </c>
      <c r="C1451" s="136" t="s">
        <v>7606</v>
      </c>
      <c r="D1451" s="136" t="s">
        <v>7576</v>
      </c>
      <c r="E1451" s="136" t="s">
        <v>594</v>
      </c>
      <c r="F1451" s="136">
        <v>200</v>
      </c>
      <c r="G1451" s="137">
        <f t="shared" si="5"/>
        <v>3</v>
      </c>
      <c r="H1451" s="137"/>
      <c r="I1451" s="137"/>
      <c r="J1451" s="135"/>
      <c r="K1451" s="135"/>
      <c r="L1451" s="135"/>
      <c r="M1451" s="135"/>
      <c r="N1451" s="135"/>
      <c r="O1451" s="135"/>
      <c r="P1451" s="135"/>
      <c r="Q1451" s="135"/>
      <c r="R1451" s="135"/>
      <c r="S1451" s="135"/>
      <c r="T1451" s="135"/>
      <c r="U1451" s="135"/>
      <c r="V1451" s="135"/>
      <c r="W1451" s="135"/>
      <c r="X1451" s="135"/>
      <c r="Y1451" s="135"/>
      <c r="Z1451" s="135"/>
    </row>
    <row r="1452" spans="1:26" ht="25.5">
      <c r="A1452" s="136" t="s">
        <v>8</v>
      </c>
      <c r="B1452" s="136" t="s">
        <v>7573</v>
      </c>
      <c r="C1452" s="136" t="s">
        <v>7606</v>
      </c>
      <c r="D1452" s="136" t="s">
        <v>7580</v>
      </c>
      <c r="E1452" s="136" t="s">
        <v>594</v>
      </c>
      <c r="F1452" s="136">
        <v>100</v>
      </c>
      <c r="G1452" s="137">
        <f t="shared" si="5"/>
        <v>4</v>
      </c>
      <c r="H1452" s="137"/>
      <c r="I1452" s="137"/>
      <c r="J1452" s="135"/>
      <c r="K1452" s="135"/>
      <c r="L1452" s="135"/>
      <c r="M1452" s="135"/>
      <c r="N1452" s="135"/>
      <c r="O1452" s="135"/>
      <c r="P1452" s="135"/>
      <c r="Q1452" s="135"/>
      <c r="R1452" s="135"/>
      <c r="S1452" s="135"/>
      <c r="T1452" s="135"/>
      <c r="U1452" s="135"/>
      <c r="V1452" s="135"/>
      <c r="W1452" s="135"/>
      <c r="X1452" s="135"/>
      <c r="Y1452" s="135"/>
      <c r="Z1452" s="135"/>
    </row>
    <row r="1453" spans="1:26" ht="25.5">
      <c r="A1453" s="136" t="s">
        <v>8</v>
      </c>
      <c r="B1453" s="136" t="s">
        <v>7573</v>
      </c>
      <c r="C1453" s="136" t="s">
        <v>7606</v>
      </c>
      <c r="D1453" s="136" t="s">
        <v>7581</v>
      </c>
      <c r="E1453" s="136" t="s">
        <v>615</v>
      </c>
      <c r="F1453" s="136">
        <v>50</v>
      </c>
      <c r="G1453" s="137">
        <f t="shared" si="5"/>
        <v>5</v>
      </c>
      <c r="H1453" s="137"/>
      <c r="I1453" s="137"/>
      <c r="J1453" s="135"/>
      <c r="K1453" s="135"/>
      <c r="L1453" s="135"/>
      <c r="M1453" s="135"/>
      <c r="N1453" s="135"/>
      <c r="O1453" s="135"/>
      <c r="P1453" s="135"/>
      <c r="Q1453" s="135"/>
      <c r="R1453" s="135"/>
      <c r="S1453" s="135"/>
      <c r="T1453" s="135"/>
      <c r="U1453" s="135"/>
      <c r="V1453" s="135"/>
      <c r="W1453" s="135"/>
      <c r="X1453" s="135"/>
      <c r="Y1453" s="135"/>
      <c r="Z1453" s="135"/>
    </row>
    <row r="1454" spans="1:26" ht="25.5">
      <c r="A1454" s="136" t="s">
        <v>8</v>
      </c>
      <c r="B1454" s="136" t="s">
        <v>7573</v>
      </c>
      <c r="C1454" s="136" t="s">
        <v>7606</v>
      </c>
      <c r="D1454" s="136" t="s">
        <v>7533</v>
      </c>
      <c r="E1454" s="136" t="s">
        <v>594</v>
      </c>
      <c r="F1454" s="136">
        <v>50</v>
      </c>
      <c r="G1454" s="137">
        <f t="shared" si="5"/>
        <v>6</v>
      </c>
      <c r="H1454" s="137"/>
      <c r="I1454" s="137"/>
      <c r="J1454" s="135"/>
      <c r="K1454" s="135"/>
      <c r="L1454" s="135"/>
      <c r="M1454" s="135"/>
      <c r="N1454" s="135"/>
      <c r="O1454" s="135"/>
      <c r="P1454" s="135"/>
      <c r="Q1454" s="135"/>
      <c r="R1454" s="135"/>
      <c r="S1454" s="135"/>
      <c r="T1454" s="135"/>
      <c r="U1454" s="135"/>
      <c r="V1454" s="135"/>
      <c r="W1454" s="135"/>
      <c r="X1454" s="135"/>
      <c r="Y1454" s="135"/>
      <c r="Z1454" s="135"/>
    </row>
    <row r="1455" spans="1:26" ht="25.5">
      <c r="A1455" s="136" t="s">
        <v>8</v>
      </c>
      <c r="B1455" s="136" t="s">
        <v>7573</v>
      </c>
      <c r="C1455" s="136" t="s">
        <v>7606</v>
      </c>
      <c r="D1455" s="136" t="s">
        <v>7491</v>
      </c>
      <c r="E1455" s="136" t="s">
        <v>615</v>
      </c>
      <c r="F1455" s="136">
        <v>48</v>
      </c>
      <c r="G1455" s="137">
        <f t="shared" si="5"/>
        <v>7</v>
      </c>
      <c r="H1455" s="137"/>
      <c r="I1455" s="137"/>
      <c r="J1455" s="135"/>
      <c r="K1455" s="135"/>
      <c r="L1455" s="135"/>
      <c r="M1455" s="135"/>
      <c r="N1455" s="135"/>
      <c r="O1455" s="135"/>
      <c r="P1455" s="135"/>
      <c r="Q1455" s="135"/>
      <c r="R1455" s="135"/>
      <c r="S1455" s="135"/>
      <c r="T1455" s="135"/>
      <c r="U1455" s="135"/>
      <c r="V1455" s="135"/>
      <c r="W1455" s="135"/>
      <c r="X1455" s="135"/>
      <c r="Y1455" s="135"/>
      <c r="Z1455" s="135"/>
    </row>
    <row r="1456" spans="1:26" ht="25.5">
      <c r="A1456" s="136" t="s">
        <v>8</v>
      </c>
      <c r="B1456" s="136" t="s">
        <v>7573</v>
      </c>
      <c r="C1456" s="136" t="s">
        <v>7607</v>
      </c>
      <c r="D1456" s="136" t="s">
        <v>7586</v>
      </c>
      <c r="E1456" s="136" t="s">
        <v>615</v>
      </c>
      <c r="F1456" s="136">
        <v>515</v>
      </c>
      <c r="G1456" s="137">
        <f t="shared" si="5"/>
        <v>1</v>
      </c>
      <c r="H1456" s="137"/>
      <c r="I1456" s="137"/>
      <c r="J1456" s="135"/>
      <c r="K1456" s="135"/>
      <c r="L1456" s="135"/>
      <c r="M1456" s="135"/>
      <c r="N1456" s="135"/>
      <c r="O1456" s="135"/>
      <c r="P1456" s="135"/>
      <c r="Q1456" s="135"/>
      <c r="R1456" s="135"/>
      <c r="S1456" s="135"/>
      <c r="T1456" s="135"/>
      <c r="U1456" s="135"/>
      <c r="V1456" s="135"/>
      <c r="W1456" s="135"/>
      <c r="X1456" s="135"/>
      <c r="Y1456" s="135"/>
      <c r="Z1456" s="135"/>
    </row>
    <row r="1457" spans="1:26" ht="25.5">
      <c r="A1457" s="136" t="s">
        <v>8</v>
      </c>
      <c r="B1457" s="136" t="s">
        <v>7573</v>
      </c>
      <c r="C1457" s="136" t="s">
        <v>7607</v>
      </c>
      <c r="D1457" s="136" t="s">
        <v>7598</v>
      </c>
      <c r="E1457" s="136" t="s">
        <v>615</v>
      </c>
      <c r="F1457" s="136">
        <v>250</v>
      </c>
      <c r="G1457" s="137">
        <f t="shared" si="5"/>
        <v>2</v>
      </c>
      <c r="H1457" s="137"/>
      <c r="I1457" s="137"/>
      <c r="J1457" s="135"/>
      <c r="K1457" s="135"/>
      <c r="L1457" s="135"/>
      <c r="M1457" s="135"/>
      <c r="N1457" s="135"/>
      <c r="O1457" s="135"/>
      <c r="P1457" s="135"/>
      <c r="Q1457" s="135"/>
      <c r="R1457" s="135"/>
      <c r="S1457" s="135"/>
      <c r="T1457" s="135"/>
      <c r="U1457" s="135"/>
      <c r="V1457" s="135"/>
      <c r="W1457" s="135"/>
      <c r="X1457" s="135"/>
      <c r="Y1457" s="135"/>
      <c r="Z1457" s="135"/>
    </row>
    <row r="1458" spans="1:26" ht="25.5">
      <c r="A1458" s="136" t="s">
        <v>8</v>
      </c>
      <c r="B1458" s="136" t="s">
        <v>7573</v>
      </c>
      <c r="C1458" s="136" t="s">
        <v>7607</v>
      </c>
      <c r="D1458" s="136" t="s">
        <v>7594</v>
      </c>
      <c r="E1458" s="136" t="s">
        <v>615</v>
      </c>
      <c r="F1458" s="136">
        <v>200</v>
      </c>
      <c r="G1458" s="137">
        <f t="shared" si="5"/>
        <v>3</v>
      </c>
      <c r="H1458" s="137"/>
      <c r="I1458" s="137"/>
      <c r="J1458" s="135"/>
      <c r="K1458" s="135"/>
      <c r="L1458" s="135"/>
      <c r="M1458" s="135"/>
      <c r="N1458" s="135"/>
      <c r="O1458" s="135"/>
      <c r="P1458" s="135"/>
      <c r="Q1458" s="135"/>
      <c r="R1458" s="135"/>
      <c r="S1458" s="135"/>
      <c r="T1458" s="135"/>
      <c r="U1458" s="135"/>
      <c r="V1458" s="135"/>
      <c r="W1458" s="135"/>
      <c r="X1458" s="135"/>
      <c r="Y1458" s="135"/>
      <c r="Z1458" s="135"/>
    </row>
    <row r="1459" spans="1:26" ht="25.5">
      <c r="A1459" s="136" t="s">
        <v>8</v>
      </c>
      <c r="B1459" s="136" t="s">
        <v>7573</v>
      </c>
      <c r="C1459" s="136" t="s">
        <v>7607</v>
      </c>
      <c r="D1459" s="136" t="s">
        <v>7585</v>
      </c>
      <c r="E1459" s="136" t="s">
        <v>615</v>
      </c>
      <c r="F1459" s="136">
        <v>100</v>
      </c>
      <c r="G1459" s="137">
        <f t="shared" si="5"/>
        <v>4</v>
      </c>
      <c r="H1459" s="137"/>
      <c r="I1459" s="137"/>
      <c r="J1459" s="135"/>
      <c r="K1459" s="135"/>
      <c r="L1459" s="135"/>
      <c r="M1459" s="135"/>
      <c r="N1459" s="135"/>
      <c r="O1459" s="135"/>
      <c r="P1459" s="135"/>
      <c r="Q1459" s="135"/>
      <c r="R1459" s="135"/>
      <c r="S1459" s="135"/>
      <c r="T1459" s="135"/>
      <c r="U1459" s="135"/>
      <c r="V1459" s="135"/>
      <c r="W1459" s="135"/>
      <c r="X1459" s="135"/>
      <c r="Y1459" s="135"/>
      <c r="Z1459" s="135"/>
    </row>
    <row r="1460" spans="1:26" ht="25.5">
      <c r="A1460" s="136" t="s">
        <v>8</v>
      </c>
      <c r="B1460" s="136" t="s">
        <v>7573</v>
      </c>
      <c r="C1460" s="136" t="s">
        <v>7607</v>
      </c>
      <c r="D1460" s="136" t="s">
        <v>7576</v>
      </c>
      <c r="E1460" s="136" t="s">
        <v>594</v>
      </c>
      <c r="F1460" s="136">
        <v>50</v>
      </c>
      <c r="G1460" s="137">
        <f t="shared" si="5"/>
        <v>5</v>
      </c>
      <c r="H1460" s="137"/>
      <c r="I1460" s="137"/>
      <c r="J1460" s="135"/>
      <c r="K1460" s="135"/>
      <c r="L1460" s="135"/>
      <c r="M1460" s="135"/>
      <c r="N1460" s="135"/>
      <c r="O1460" s="135"/>
      <c r="P1460" s="135"/>
      <c r="Q1460" s="135"/>
      <c r="R1460" s="135"/>
      <c r="S1460" s="135"/>
      <c r="T1460" s="135"/>
      <c r="U1460" s="135"/>
      <c r="V1460" s="135"/>
      <c r="W1460" s="135"/>
      <c r="X1460" s="135"/>
      <c r="Y1460" s="135"/>
      <c r="Z1460" s="135"/>
    </row>
    <row r="1461" spans="1:26" ht="25.5">
      <c r="A1461" s="136" t="s">
        <v>8</v>
      </c>
      <c r="B1461" s="136" t="s">
        <v>7573</v>
      </c>
      <c r="C1461" s="136" t="s">
        <v>7607</v>
      </c>
      <c r="D1461" s="136" t="s">
        <v>7491</v>
      </c>
      <c r="E1461" s="136" t="s">
        <v>615</v>
      </c>
      <c r="F1461" s="136">
        <v>40</v>
      </c>
      <c r="G1461" s="137">
        <f t="shared" si="5"/>
        <v>6</v>
      </c>
      <c r="H1461" s="137"/>
      <c r="I1461" s="137"/>
      <c r="J1461" s="135"/>
      <c r="K1461" s="135"/>
      <c r="L1461" s="135"/>
      <c r="M1461" s="135"/>
      <c r="N1461" s="135"/>
      <c r="O1461" s="135"/>
      <c r="P1461" s="135"/>
      <c r="Q1461" s="135"/>
      <c r="R1461" s="135"/>
      <c r="S1461" s="135"/>
      <c r="T1461" s="135"/>
      <c r="U1461" s="135"/>
      <c r="V1461" s="135"/>
      <c r="W1461" s="135"/>
      <c r="X1461" s="135"/>
      <c r="Y1461" s="135"/>
      <c r="Z1461" s="135"/>
    </row>
    <row r="1462" spans="1:26" ht="25.5">
      <c r="A1462" s="136" t="s">
        <v>8</v>
      </c>
      <c r="B1462" s="136" t="s">
        <v>7573</v>
      </c>
      <c r="C1462" s="136" t="s">
        <v>7607</v>
      </c>
      <c r="D1462" s="136" t="s">
        <v>7533</v>
      </c>
      <c r="E1462" s="136" t="s">
        <v>594</v>
      </c>
      <c r="F1462" s="136">
        <v>40</v>
      </c>
      <c r="G1462" s="137">
        <f t="shared" si="5"/>
        <v>7</v>
      </c>
      <c r="H1462" s="137"/>
      <c r="I1462" s="137"/>
      <c r="J1462" s="135"/>
      <c r="K1462" s="135"/>
      <c r="L1462" s="135"/>
      <c r="M1462" s="135"/>
      <c r="N1462" s="135"/>
      <c r="O1462" s="135"/>
      <c r="P1462" s="135"/>
      <c r="Q1462" s="135"/>
      <c r="R1462" s="135"/>
      <c r="S1462" s="135"/>
      <c r="T1462" s="135"/>
      <c r="U1462" s="135"/>
      <c r="V1462" s="135"/>
      <c r="W1462" s="135"/>
      <c r="X1462" s="135"/>
      <c r="Y1462" s="135"/>
      <c r="Z1462" s="135"/>
    </row>
    <row r="1463" spans="1:26" ht="25.5">
      <c r="A1463" s="136" t="s">
        <v>8</v>
      </c>
      <c r="B1463" s="136" t="s">
        <v>7573</v>
      </c>
      <c r="C1463" s="136" t="s">
        <v>7608</v>
      </c>
      <c r="D1463" s="136" t="s">
        <v>7586</v>
      </c>
      <c r="E1463" s="136" t="s">
        <v>615</v>
      </c>
      <c r="F1463" s="136">
        <v>460</v>
      </c>
      <c r="G1463" s="137">
        <f t="shared" si="5"/>
        <v>1</v>
      </c>
      <c r="H1463" s="137"/>
      <c r="I1463" s="137"/>
      <c r="J1463" s="135"/>
      <c r="K1463" s="135"/>
      <c r="L1463" s="135"/>
      <c r="M1463" s="135"/>
      <c r="N1463" s="135"/>
      <c r="O1463" s="135"/>
      <c r="P1463" s="135"/>
      <c r="Q1463" s="135"/>
      <c r="R1463" s="135"/>
      <c r="S1463" s="135"/>
      <c r="T1463" s="135"/>
      <c r="U1463" s="135"/>
      <c r="V1463" s="135"/>
      <c r="W1463" s="135"/>
      <c r="X1463" s="135"/>
      <c r="Y1463" s="135"/>
      <c r="Z1463" s="135"/>
    </row>
    <row r="1464" spans="1:26" ht="25.5">
      <c r="A1464" s="136" t="s">
        <v>8</v>
      </c>
      <c r="B1464" s="136" t="s">
        <v>7573</v>
      </c>
      <c r="C1464" s="136" t="s">
        <v>7608</v>
      </c>
      <c r="D1464" s="136" t="s">
        <v>7598</v>
      </c>
      <c r="E1464" s="136" t="s">
        <v>615</v>
      </c>
      <c r="F1464" s="136">
        <v>200</v>
      </c>
      <c r="G1464" s="137">
        <f t="shared" si="5"/>
        <v>2</v>
      </c>
      <c r="H1464" s="137"/>
      <c r="I1464" s="137"/>
      <c r="J1464" s="135"/>
      <c r="K1464" s="135"/>
      <c r="L1464" s="135"/>
      <c r="M1464" s="135"/>
      <c r="N1464" s="135"/>
      <c r="O1464" s="135"/>
      <c r="P1464" s="135"/>
      <c r="Q1464" s="135"/>
      <c r="R1464" s="135"/>
      <c r="S1464" s="135"/>
      <c r="T1464" s="135"/>
      <c r="U1464" s="135"/>
      <c r="V1464" s="135"/>
      <c r="W1464" s="135"/>
      <c r="X1464" s="135"/>
      <c r="Y1464" s="135"/>
      <c r="Z1464" s="135"/>
    </row>
    <row r="1465" spans="1:26" ht="25.5">
      <c r="A1465" s="136" t="s">
        <v>8</v>
      </c>
      <c r="B1465" s="136" t="s">
        <v>7573</v>
      </c>
      <c r="C1465" s="136" t="s">
        <v>7608</v>
      </c>
      <c r="D1465" s="136" t="s">
        <v>7581</v>
      </c>
      <c r="E1465" s="136" t="s">
        <v>615</v>
      </c>
      <c r="F1465" s="136">
        <v>200</v>
      </c>
      <c r="G1465" s="137">
        <f t="shared" si="5"/>
        <v>3</v>
      </c>
      <c r="H1465" s="137"/>
      <c r="I1465" s="137"/>
      <c r="J1465" s="135"/>
      <c r="K1465" s="135"/>
      <c r="L1465" s="135"/>
      <c r="M1465" s="135"/>
      <c r="N1465" s="135"/>
      <c r="O1465" s="135"/>
      <c r="P1465" s="135"/>
      <c r="Q1465" s="135"/>
      <c r="R1465" s="135"/>
      <c r="S1465" s="135"/>
      <c r="T1465" s="135"/>
      <c r="U1465" s="135"/>
      <c r="V1465" s="135"/>
      <c r="W1465" s="135"/>
      <c r="X1465" s="135"/>
      <c r="Y1465" s="135"/>
      <c r="Z1465" s="135"/>
    </row>
    <row r="1466" spans="1:26" ht="25.5">
      <c r="A1466" s="136" t="s">
        <v>8</v>
      </c>
      <c r="B1466" s="136" t="s">
        <v>7573</v>
      </c>
      <c r="C1466" s="136" t="s">
        <v>7608</v>
      </c>
      <c r="D1466" s="136" t="s">
        <v>7594</v>
      </c>
      <c r="E1466" s="136" t="s">
        <v>615</v>
      </c>
      <c r="F1466" s="136">
        <v>150</v>
      </c>
      <c r="G1466" s="137">
        <f t="shared" si="5"/>
        <v>4</v>
      </c>
      <c r="H1466" s="137"/>
      <c r="I1466" s="137"/>
      <c r="J1466" s="135"/>
      <c r="K1466" s="135"/>
      <c r="L1466" s="135"/>
      <c r="M1466" s="135"/>
      <c r="N1466" s="135"/>
      <c r="O1466" s="135"/>
      <c r="P1466" s="135"/>
      <c r="Q1466" s="135"/>
      <c r="R1466" s="135"/>
      <c r="S1466" s="135"/>
      <c r="T1466" s="135"/>
      <c r="U1466" s="135"/>
      <c r="V1466" s="135"/>
      <c r="W1466" s="135"/>
      <c r="X1466" s="135"/>
      <c r="Y1466" s="135"/>
      <c r="Z1466" s="135"/>
    </row>
    <row r="1467" spans="1:26" ht="25.5">
      <c r="A1467" s="136" t="s">
        <v>8</v>
      </c>
      <c r="B1467" s="136" t="s">
        <v>7573</v>
      </c>
      <c r="C1467" s="136" t="s">
        <v>7608</v>
      </c>
      <c r="D1467" s="136" t="s">
        <v>7585</v>
      </c>
      <c r="E1467" s="136" t="s">
        <v>615</v>
      </c>
      <c r="F1467" s="136">
        <v>50</v>
      </c>
      <c r="G1467" s="137">
        <f t="shared" si="5"/>
        <v>5</v>
      </c>
      <c r="H1467" s="137"/>
      <c r="I1467" s="137"/>
      <c r="J1467" s="135"/>
      <c r="K1467" s="135"/>
      <c r="L1467" s="135"/>
      <c r="M1467" s="135"/>
      <c r="N1467" s="135"/>
      <c r="O1467" s="135"/>
      <c r="P1467" s="135"/>
      <c r="Q1467" s="135"/>
      <c r="R1467" s="135"/>
      <c r="S1467" s="135"/>
      <c r="T1467" s="135"/>
      <c r="U1467" s="135"/>
      <c r="V1467" s="135"/>
      <c r="W1467" s="135"/>
      <c r="X1467" s="135"/>
      <c r="Y1467" s="135"/>
      <c r="Z1467" s="135"/>
    </row>
    <row r="1468" spans="1:26" ht="25.5">
      <c r="A1468" s="136" t="s">
        <v>8</v>
      </c>
      <c r="B1468" s="136" t="s">
        <v>7573</v>
      </c>
      <c r="C1468" s="136" t="s">
        <v>7608</v>
      </c>
      <c r="D1468" s="136" t="s">
        <v>7491</v>
      </c>
      <c r="E1468" s="136" t="s">
        <v>615</v>
      </c>
      <c r="F1468" s="136">
        <v>30</v>
      </c>
      <c r="G1468" s="137">
        <f t="shared" si="5"/>
        <v>6</v>
      </c>
      <c r="H1468" s="137"/>
      <c r="I1468" s="137"/>
      <c r="J1468" s="135"/>
      <c r="K1468" s="135"/>
      <c r="L1468" s="135"/>
      <c r="M1468" s="135"/>
      <c r="N1468" s="135"/>
      <c r="O1468" s="135"/>
      <c r="P1468" s="135"/>
      <c r="Q1468" s="135"/>
      <c r="R1468" s="135"/>
      <c r="S1468" s="135"/>
      <c r="T1468" s="135"/>
      <c r="U1468" s="135"/>
      <c r="V1468" s="135"/>
      <c r="W1468" s="135"/>
      <c r="X1468" s="135"/>
      <c r="Y1468" s="135"/>
      <c r="Z1468" s="135"/>
    </row>
    <row r="1469" spans="1:26" ht="25.5">
      <c r="A1469" s="136" t="s">
        <v>8</v>
      </c>
      <c r="B1469" s="136" t="s">
        <v>7573</v>
      </c>
      <c r="C1469" s="136" t="s">
        <v>7608</v>
      </c>
      <c r="D1469" s="136" t="s">
        <v>7533</v>
      </c>
      <c r="E1469" s="136" t="s">
        <v>594</v>
      </c>
      <c r="F1469" s="136">
        <v>30</v>
      </c>
      <c r="G1469" s="137">
        <f t="shared" si="5"/>
        <v>7</v>
      </c>
      <c r="H1469" s="137"/>
      <c r="I1469" s="137"/>
      <c r="J1469" s="135"/>
      <c r="K1469" s="135"/>
      <c r="L1469" s="135"/>
      <c r="M1469" s="135"/>
      <c r="N1469" s="135"/>
      <c r="O1469" s="135"/>
      <c r="P1469" s="135"/>
      <c r="Q1469" s="135"/>
      <c r="R1469" s="135"/>
      <c r="S1469" s="135"/>
      <c r="T1469" s="135"/>
      <c r="U1469" s="135"/>
      <c r="V1469" s="135"/>
      <c r="W1469" s="135"/>
      <c r="X1469" s="135"/>
      <c r="Y1469" s="135"/>
      <c r="Z1469" s="135"/>
    </row>
    <row r="1470" spans="1:26" ht="25.5">
      <c r="A1470" s="136" t="s">
        <v>8</v>
      </c>
      <c r="B1470" s="136" t="s">
        <v>7573</v>
      </c>
      <c r="C1470" s="136" t="s">
        <v>7609</v>
      </c>
      <c r="D1470" s="136" t="s">
        <v>7583</v>
      </c>
      <c r="E1470" s="136" t="s">
        <v>615</v>
      </c>
      <c r="F1470" s="136">
        <v>460</v>
      </c>
      <c r="G1470" s="137">
        <f t="shared" si="5"/>
        <v>1</v>
      </c>
      <c r="H1470" s="137"/>
      <c r="I1470" s="137"/>
      <c r="J1470" s="135"/>
      <c r="K1470" s="135"/>
      <c r="L1470" s="135"/>
      <c r="M1470" s="135"/>
      <c r="N1470" s="135"/>
      <c r="O1470" s="135"/>
      <c r="P1470" s="135"/>
      <c r="Q1470" s="135"/>
      <c r="R1470" s="135"/>
      <c r="S1470" s="135"/>
      <c r="T1470" s="135"/>
      <c r="U1470" s="135"/>
      <c r="V1470" s="135"/>
      <c r="W1470" s="135"/>
      <c r="X1470" s="135"/>
      <c r="Y1470" s="135"/>
      <c r="Z1470" s="135"/>
    </row>
    <row r="1471" spans="1:26" ht="25.5">
      <c r="A1471" s="136" t="s">
        <v>8</v>
      </c>
      <c r="B1471" s="136" t="s">
        <v>7573</v>
      </c>
      <c r="C1471" s="136" t="s">
        <v>7609</v>
      </c>
      <c r="D1471" s="136" t="s">
        <v>7575</v>
      </c>
      <c r="E1471" s="136" t="s">
        <v>85</v>
      </c>
      <c r="F1471" s="136">
        <v>360</v>
      </c>
      <c r="G1471" s="137">
        <f t="shared" si="5"/>
        <v>2</v>
      </c>
      <c r="H1471" s="137"/>
      <c r="I1471" s="137"/>
      <c r="J1471" s="135"/>
      <c r="K1471" s="135"/>
      <c r="L1471" s="135"/>
      <c r="M1471" s="135"/>
      <c r="N1471" s="135"/>
      <c r="O1471" s="135"/>
      <c r="P1471" s="135"/>
      <c r="Q1471" s="135"/>
      <c r="R1471" s="135"/>
      <c r="S1471" s="135"/>
      <c r="T1471" s="135"/>
      <c r="U1471" s="135"/>
      <c r="V1471" s="135"/>
      <c r="W1471" s="135"/>
      <c r="X1471" s="135"/>
      <c r="Y1471" s="135"/>
      <c r="Z1471" s="135"/>
    </row>
    <row r="1472" spans="1:26" ht="25.5">
      <c r="A1472" s="136" t="s">
        <v>8</v>
      </c>
      <c r="B1472" s="136" t="s">
        <v>7573</v>
      </c>
      <c r="C1472" s="136" t="s">
        <v>7609</v>
      </c>
      <c r="D1472" s="136" t="s">
        <v>7576</v>
      </c>
      <c r="E1472" s="136" t="s">
        <v>594</v>
      </c>
      <c r="F1472" s="136">
        <v>300</v>
      </c>
      <c r="G1472" s="137">
        <f t="shared" si="5"/>
        <v>3</v>
      </c>
      <c r="H1472" s="137"/>
      <c r="I1472" s="137"/>
      <c r="J1472" s="135"/>
      <c r="K1472" s="135"/>
      <c r="L1472" s="135"/>
      <c r="M1472" s="135"/>
      <c r="N1472" s="135"/>
      <c r="O1472" s="135"/>
      <c r="P1472" s="135"/>
      <c r="Q1472" s="135"/>
      <c r="R1472" s="135"/>
      <c r="S1472" s="135"/>
      <c r="T1472" s="135"/>
      <c r="U1472" s="135"/>
      <c r="V1472" s="135"/>
      <c r="W1472" s="135"/>
      <c r="X1472" s="135"/>
      <c r="Y1472" s="135"/>
      <c r="Z1472" s="135"/>
    </row>
    <row r="1473" spans="1:26" ht="25.5">
      <c r="A1473" s="136" t="s">
        <v>8</v>
      </c>
      <c r="B1473" s="136" t="s">
        <v>7573</v>
      </c>
      <c r="C1473" s="136" t="s">
        <v>7609</v>
      </c>
      <c r="D1473" s="136" t="s">
        <v>7533</v>
      </c>
      <c r="E1473" s="136" t="s">
        <v>594</v>
      </c>
      <c r="F1473" s="136">
        <v>30</v>
      </c>
      <c r="G1473" s="137">
        <f t="shared" si="5"/>
        <v>4</v>
      </c>
      <c r="H1473" s="137"/>
      <c r="I1473" s="137"/>
      <c r="J1473" s="135"/>
      <c r="K1473" s="135"/>
      <c r="L1473" s="135"/>
      <c r="M1473" s="135"/>
      <c r="N1473" s="135"/>
      <c r="O1473" s="135"/>
      <c r="P1473" s="135"/>
      <c r="Q1473" s="135"/>
      <c r="R1473" s="135"/>
      <c r="S1473" s="135"/>
      <c r="T1473" s="135"/>
      <c r="U1473" s="135"/>
      <c r="V1473" s="135"/>
      <c r="W1473" s="135"/>
      <c r="X1473" s="135"/>
      <c r="Y1473" s="135"/>
      <c r="Z1473" s="135"/>
    </row>
    <row r="1474" spans="1:26" ht="25.5">
      <c r="A1474" s="136" t="s">
        <v>8</v>
      </c>
      <c r="B1474" s="136" t="s">
        <v>7573</v>
      </c>
      <c r="C1474" s="136" t="s">
        <v>7609</v>
      </c>
      <c r="D1474" s="136" t="s">
        <v>7491</v>
      </c>
      <c r="E1474" s="136" t="s">
        <v>615</v>
      </c>
      <c r="F1474" s="136">
        <v>26</v>
      </c>
      <c r="G1474" s="137">
        <f t="shared" si="5"/>
        <v>5</v>
      </c>
      <c r="H1474" s="137"/>
      <c r="I1474" s="137"/>
      <c r="J1474" s="135"/>
      <c r="K1474" s="135"/>
      <c r="L1474" s="135"/>
      <c r="M1474" s="135"/>
      <c r="N1474" s="135"/>
      <c r="O1474" s="135"/>
      <c r="P1474" s="135"/>
      <c r="Q1474" s="135"/>
      <c r="R1474" s="135"/>
      <c r="S1474" s="135"/>
      <c r="T1474" s="135"/>
      <c r="U1474" s="135"/>
      <c r="V1474" s="135"/>
      <c r="W1474" s="135"/>
      <c r="X1474" s="135"/>
      <c r="Y1474" s="135"/>
      <c r="Z1474" s="135"/>
    </row>
    <row r="1475" spans="1:26" ht="25.5">
      <c r="A1475" s="136" t="s">
        <v>8</v>
      </c>
      <c r="B1475" s="136" t="s">
        <v>7573</v>
      </c>
      <c r="C1475" s="136" t="s">
        <v>7610</v>
      </c>
      <c r="D1475" s="136" t="s">
        <v>7605</v>
      </c>
      <c r="E1475" s="136" t="s">
        <v>85</v>
      </c>
      <c r="F1475" s="136">
        <v>320</v>
      </c>
      <c r="G1475" s="137">
        <f t="shared" si="5"/>
        <v>1</v>
      </c>
      <c r="H1475" s="137"/>
      <c r="I1475" s="137"/>
      <c r="J1475" s="135"/>
      <c r="K1475" s="135"/>
      <c r="L1475" s="135"/>
      <c r="M1475" s="135"/>
      <c r="N1475" s="135"/>
      <c r="O1475" s="135"/>
      <c r="P1475" s="135"/>
      <c r="Q1475" s="135"/>
      <c r="R1475" s="135"/>
      <c r="S1475" s="135"/>
      <c r="T1475" s="135"/>
      <c r="U1475" s="135"/>
      <c r="V1475" s="135"/>
      <c r="W1475" s="135"/>
      <c r="X1475" s="135"/>
      <c r="Y1475" s="135"/>
      <c r="Z1475" s="135"/>
    </row>
    <row r="1476" spans="1:26" ht="25.5">
      <c r="A1476" s="136" t="s">
        <v>8</v>
      </c>
      <c r="B1476" s="136" t="s">
        <v>7573</v>
      </c>
      <c r="C1476" s="136" t="s">
        <v>7610</v>
      </c>
      <c r="D1476" s="136" t="s">
        <v>7576</v>
      </c>
      <c r="E1476" s="136" t="s">
        <v>594</v>
      </c>
      <c r="F1476" s="136">
        <v>200</v>
      </c>
      <c r="G1476" s="137">
        <f t="shared" si="5"/>
        <v>2</v>
      </c>
      <c r="H1476" s="137"/>
      <c r="I1476" s="137"/>
      <c r="J1476" s="135"/>
      <c r="K1476" s="135"/>
      <c r="L1476" s="135"/>
      <c r="M1476" s="135"/>
      <c r="N1476" s="135"/>
      <c r="O1476" s="135"/>
      <c r="P1476" s="135"/>
      <c r="Q1476" s="135"/>
      <c r="R1476" s="135"/>
      <c r="S1476" s="135"/>
      <c r="T1476" s="135"/>
      <c r="U1476" s="135"/>
      <c r="V1476" s="135"/>
      <c r="W1476" s="135"/>
      <c r="X1476" s="135"/>
      <c r="Y1476" s="135"/>
      <c r="Z1476" s="135"/>
    </row>
    <row r="1477" spans="1:26" ht="25.5">
      <c r="A1477" s="136" t="s">
        <v>8</v>
      </c>
      <c r="B1477" s="136" t="s">
        <v>7573</v>
      </c>
      <c r="C1477" s="136" t="s">
        <v>7610</v>
      </c>
      <c r="D1477" s="136" t="s">
        <v>7581</v>
      </c>
      <c r="E1477" s="136" t="s">
        <v>615</v>
      </c>
      <c r="F1477" s="136">
        <v>200</v>
      </c>
      <c r="G1477" s="137">
        <f t="shared" si="5"/>
        <v>3</v>
      </c>
      <c r="H1477" s="137"/>
      <c r="I1477" s="137"/>
      <c r="J1477" s="135"/>
      <c r="K1477" s="135"/>
      <c r="L1477" s="135"/>
      <c r="M1477" s="135"/>
      <c r="N1477" s="135"/>
      <c r="O1477" s="135"/>
      <c r="P1477" s="135"/>
      <c r="Q1477" s="135"/>
      <c r="R1477" s="135"/>
      <c r="S1477" s="135"/>
      <c r="T1477" s="135"/>
      <c r="U1477" s="135"/>
      <c r="V1477" s="135"/>
      <c r="W1477" s="135"/>
      <c r="X1477" s="135"/>
      <c r="Y1477" s="135"/>
      <c r="Z1477" s="135"/>
    </row>
    <row r="1478" spans="1:26" ht="25.5">
      <c r="A1478" s="136" t="s">
        <v>8</v>
      </c>
      <c r="B1478" s="136" t="s">
        <v>7573</v>
      </c>
      <c r="C1478" s="136" t="s">
        <v>7610</v>
      </c>
      <c r="D1478" s="136" t="s">
        <v>7586</v>
      </c>
      <c r="E1478" s="136" t="s">
        <v>615</v>
      </c>
      <c r="F1478" s="136">
        <v>150</v>
      </c>
      <c r="G1478" s="137">
        <f t="shared" si="5"/>
        <v>4</v>
      </c>
      <c r="H1478" s="137"/>
      <c r="I1478" s="137"/>
      <c r="J1478" s="135"/>
      <c r="K1478" s="135"/>
      <c r="L1478" s="135"/>
      <c r="M1478" s="135"/>
      <c r="N1478" s="135"/>
      <c r="O1478" s="135"/>
      <c r="P1478" s="135"/>
      <c r="Q1478" s="135"/>
      <c r="R1478" s="135"/>
      <c r="S1478" s="135"/>
      <c r="T1478" s="135"/>
      <c r="U1478" s="135"/>
      <c r="V1478" s="135"/>
      <c r="W1478" s="135"/>
      <c r="X1478" s="135"/>
      <c r="Y1478" s="135"/>
      <c r="Z1478" s="135"/>
    </row>
    <row r="1479" spans="1:26" ht="25.5">
      <c r="A1479" s="136" t="s">
        <v>8</v>
      </c>
      <c r="B1479" s="136" t="s">
        <v>7573</v>
      </c>
      <c r="C1479" s="136" t="s">
        <v>7610</v>
      </c>
      <c r="D1479" s="136" t="s">
        <v>7591</v>
      </c>
      <c r="E1479" s="136" t="s">
        <v>85</v>
      </c>
      <c r="F1479" s="136">
        <v>150</v>
      </c>
      <c r="G1479" s="137">
        <f t="shared" si="5"/>
        <v>5</v>
      </c>
      <c r="H1479" s="137"/>
      <c r="I1479" s="137"/>
      <c r="J1479" s="135"/>
      <c r="K1479" s="135"/>
      <c r="L1479" s="135"/>
      <c r="M1479" s="135"/>
      <c r="N1479" s="135"/>
      <c r="O1479" s="135"/>
      <c r="P1479" s="135"/>
      <c r="Q1479" s="135"/>
      <c r="R1479" s="135"/>
      <c r="S1479" s="135"/>
      <c r="T1479" s="135"/>
      <c r="U1479" s="135"/>
      <c r="V1479" s="135"/>
      <c r="W1479" s="135"/>
      <c r="X1479" s="135"/>
      <c r="Y1479" s="135"/>
      <c r="Z1479" s="135"/>
    </row>
    <row r="1480" spans="1:26" ht="25.5">
      <c r="A1480" s="136" t="s">
        <v>8</v>
      </c>
      <c r="B1480" s="136" t="s">
        <v>7573</v>
      </c>
      <c r="C1480" s="136" t="s">
        <v>7610</v>
      </c>
      <c r="D1480" s="136" t="s">
        <v>7575</v>
      </c>
      <c r="E1480" s="136" t="s">
        <v>85</v>
      </c>
      <c r="F1480" s="136">
        <v>150</v>
      </c>
      <c r="G1480" s="137">
        <f t="shared" si="5"/>
        <v>6</v>
      </c>
      <c r="H1480" s="137"/>
      <c r="I1480" s="137"/>
      <c r="J1480" s="135"/>
      <c r="K1480" s="135"/>
      <c r="L1480" s="135"/>
      <c r="M1480" s="135"/>
      <c r="N1480" s="135"/>
      <c r="O1480" s="135"/>
      <c r="P1480" s="135"/>
      <c r="Q1480" s="135"/>
      <c r="R1480" s="135"/>
      <c r="S1480" s="135"/>
      <c r="T1480" s="135"/>
      <c r="U1480" s="135"/>
      <c r="V1480" s="135"/>
      <c r="W1480" s="135"/>
      <c r="X1480" s="135"/>
      <c r="Y1480" s="135"/>
      <c r="Z1480" s="135"/>
    </row>
    <row r="1481" spans="1:26" ht="25.5">
      <c r="A1481" s="136" t="s">
        <v>8</v>
      </c>
      <c r="B1481" s="136" t="s">
        <v>7573</v>
      </c>
      <c r="C1481" s="136" t="s">
        <v>7610</v>
      </c>
      <c r="D1481" s="136" t="s">
        <v>7491</v>
      </c>
      <c r="E1481" s="136" t="s">
        <v>615</v>
      </c>
      <c r="F1481" s="136">
        <v>20</v>
      </c>
      <c r="G1481" s="137">
        <f t="shared" si="5"/>
        <v>7</v>
      </c>
      <c r="H1481" s="137"/>
      <c r="I1481" s="137"/>
      <c r="J1481" s="135"/>
      <c r="K1481" s="135"/>
      <c r="L1481" s="135"/>
      <c r="M1481" s="135"/>
      <c r="N1481" s="135"/>
      <c r="O1481" s="135"/>
      <c r="P1481" s="135"/>
      <c r="Q1481" s="135"/>
      <c r="R1481" s="135"/>
      <c r="S1481" s="135"/>
      <c r="T1481" s="135"/>
      <c r="U1481" s="135"/>
      <c r="V1481" s="135"/>
      <c r="W1481" s="135"/>
      <c r="X1481" s="135"/>
      <c r="Y1481" s="135"/>
      <c r="Z1481" s="135"/>
    </row>
    <row r="1482" spans="1:26" ht="25.5">
      <c r="A1482" s="136" t="s">
        <v>8</v>
      </c>
      <c r="B1482" s="136" t="s">
        <v>7573</v>
      </c>
      <c r="C1482" s="136" t="s">
        <v>7610</v>
      </c>
      <c r="D1482" s="136" t="s">
        <v>7533</v>
      </c>
      <c r="E1482" s="136" t="s">
        <v>594</v>
      </c>
      <c r="F1482" s="136">
        <v>14</v>
      </c>
      <c r="G1482" s="137">
        <f t="shared" si="5"/>
        <v>8</v>
      </c>
      <c r="H1482" s="137"/>
      <c r="I1482" s="137"/>
      <c r="J1482" s="135"/>
      <c r="K1482" s="135"/>
      <c r="L1482" s="135"/>
      <c r="M1482" s="135"/>
      <c r="N1482" s="135"/>
      <c r="O1482" s="135"/>
      <c r="P1482" s="135"/>
      <c r="Q1482" s="135"/>
      <c r="R1482" s="135"/>
      <c r="S1482" s="135"/>
      <c r="T1482" s="135"/>
      <c r="U1482" s="135"/>
      <c r="V1482" s="135"/>
      <c r="W1482" s="135"/>
      <c r="X1482" s="135"/>
      <c r="Y1482" s="135"/>
      <c r="Z1482" s="135"/>
    </row>
    <row r="1483" spans="1:26" ht="25.5">
      <c r="A1483" s="136" t="s">
        <v>8</v>
      </c>
      <c r="B1483" s="136" t="s">
        <v>7573</v>
      </c>
      <c r="C1483" s="136" t="s">
        <v>7611</v>
      </c>
      <c r="D1483" s="136" t="s">
        <v>7586</v>
      </c>
      <c r="E1483" s="136" t="s">
        <v>615</v>
      </c>
      <c r="F1483" s="136">
        <v>430</v>
      </c>
      <c r="G1483" s="137">
        <f t="shared" si="5"/>
        <v>1</v>
      </c>
      <c r="H1483" s="137"/>
      <c r="I1483" s="137"/>
      <c r="J1483" s="135"/>
      <c r="K1483" s="135"/>
      <c r="L1483" s="135"/>
      <c r="M1483" s="135"/>
      <c r="N1483" s="135"/>
      <c r="O1483" s="135"/>
      <c r="P1483" s="135"/>
      <c r="Q1483" s="135"/>
      <c r="R1483" s="135"/>
      <c r="S1483" s="135"/>
      <c r="T1483" s="135"/>
      <c r="U1483" s="135"/>
      <c r="V1483" s="135"/>
      <c r="W1483" s="135"/>
      <c r="X1483" s="135"/>
      <c r="Y1483" s="135"/>
      <c r="Z1483" s="135"/>
    </row>
    <row r="1484" spans="1:26" ht="25.5">
      <c r="A1484" s="136" t="s">
        <v>8</v>
      </c>
      <c r="B1484" s="136" t="s">
        <v>7573</v>
      </c>
      <c r="C1484" s="136" t="s">
        <v>7611</v>
      </c>
      <c r="D1484" s="136" t="s">
        <v>7576</v>
      </c>
      <c r="E1484" s="136" t="s">
        <v>594</v>
      </c>
      <c r="F1484" s="136">
        <v>250</v>
      </c>
      <c r="G1484" s="137">
        <f t="shared" si="5"/>
        <v>2</v>
      </c>
      <c r="H1484" s="137"/>
      <c r="I1484" s="137"/>
      <c r="J1484" s="135"/>
      <c r="K1484" s="135"/>
      <c r="L1484" s="135"/>
      <c r="M1484" s="135"/>
      <c r="N1484" s="135"/>
      <c r="O1484" s="135"/>
      <c r="P1484" s="135"/>
      <c r="Q1484" s="135"/>
      <c r="R1484" s="135"/>
      <c r="S1484" s="135"/>
      <c r="T1484" s="135"/>
      <c r="U1484" s="135"/>
      <c r="V1484" s="135"/>
      <c r="W1484" s="135"/>
      <c r="X1484" s="135"/>
      <c r="Y1484" s="135"/>
      <c r="Z1484" s="135"/>
    </row>
    <row r="1485" spans="1:26" ht="25.5">
      <c r="A1485" s="136" t="s">
        <v>8</v>
      </c>
      <c r="B1485" s="136" t="s">
        <v>7573</v>
      </c>
      <c r="C1485" s="136" t="s">
        <v>7611</v>
      </c>
      <c r="D1485" s="136" t="s">
        <v>7581</v>
      </c>
      <c r="E1485" s="136" t="s">
        <v>615</v>
      </c>
      <c r="F1485" s="136">
        <v>220</v>
      </c>
      <c r="G1485" s="137">
        <f t="shared" si="5"/>
        <v>3</v>
      </c>
      <c r="H1485" s="137"/>
      <c r="I1485" s="137"/>
      <c r="J1485" s="135"/>
      <c r="K1485" s="135"/>
      <c r="L1485" s="135"/>
      <c r="M1485" s="135"/>
      <c r="N1485" s="135"/>
      <c r="O1485" s="135"/>
      <c r="P1485" s="135"/>
      <c r="Q1485" s="135"/>
      <c r="R1485" s="135"/>
      <c r="S1485" s="135"/>
      <c r="T1485" s="135"/>
      <c r="U1485" s="135"/>
      <c r="V1485" s="135"/>
      <c r="W1485" s="135"/>
      <c r="X1485" s="135"/>
      <c r="Y1485" s="135"/>
      <c r="Z1485" s="135"/>
    </row>
    <row r="1486" spans="1:26" ht="25.5">
      <c r="A1486" s="136" t="s">
        <v>8</v>
      </c>
      <c r="B1486" s="136" t="s">
        <v>7573</v>
      </c>
      <c r="C1486" s="136" t="s">
        <v>7611</v>
      </c>
      <c r="D1486" s="136" t="s">
        <v>7575</v>
      </c>
      <c r="E1486" s="136" t="s">
        <v>85</v>
      </c>
      <c r="F1486" s="136">
        <v>200</v>
      </c>
      <c r="G1486" s="137">
        <f t="shared" si="5"/>
        <v>4</v>
      </c>
      <c r="H1486" s="137"/>
      <c r="I1486" s="137"/>
      <c r="J1486" s="135"/>
      <c r="K1486" s="135"/>
      <c r="L1486" s="135"/>
      <c r="M1486" s="135"/>
      <c r="N1486" s="135"/>
      <c r="O1486" s="135"/>
      <c r="P1486" s="135"/>
      <c r="Q1486" s="135"/>
      <c r="R1486" s="135"/>
      <c r="S1486" s="135"/>
      <c r="T1486" s="135"/>
      <c r="U1486" s="135"/>
      <c r="V1486" s="135"/>
      <c r="W1486" s="135"/>
      <c r="X1486" s="135"/>
      <c r="Y1486" s="135"/>
      <c r="Z1486" s="135"/>
    </row>
    <row r="1487" spans="1:26" ht="25.5">
      <c r="A1487" s="136" t="s">
        <v>8</v>
      </c>
      <c r="B1487" s="136" t="s">
        <v>7573</v>
      </c>
      <c r="C1487" s="136" t="s">
        <v>7611</v>
      </c>
      <c r="D1487" s="136" t="s">
        <v>7601</v>
      </c>
      <c r="E1487" s="136" t="s">
        <v>615</v>
      </c>
      <c r="F1487" s="136">
        <v>150</v>
      </c>
      <c r="G1487" s="137">
        <f t="shared" si="5"/>
        <v>5</v>
      </c>
      <c r="H1487" s="137"/>
      <c r="I1487" s="137"/>
      <c r="J1487" s="135"/>
      <c r="K1487" s="135"/>
      <c r="L1487" s="135"/>
      <c r="M1487" s="135"/>
      <c r="N1487" s="135"/>
      <c r="O1487" s="135"/>
      <c r="P1487" s="135"/>
      <c r="Q1487" s="135"/>
      <c r="R1487" s="135"/>
      <c r="S1487" s="135"/>
      <c r="T1487" s="135"/>
      <c r="U1487" s="135"/>
      <c r="V1487" s="135"/>
      <c r="W1487" s="135"/>
      <c r="X1487" s="135"/>
      <c r="Y1487" s="135"/>
      <c r="Z1487" s="135"/>
    </row>
    <row r="1488" spans="1:26" ht="25.5">
      <c r="A1488" s="136" t="s">
        <v>8</v>
      </c>
      <c r="B1488" s="136" t="s">
        <v>7573</v>
      </c>
      <c r="C1488" s="136" t="s">
        <v>7611</v>
      </c>
      <c r="D1488" s="136" t="s">
        <v>7533</v>
      </c>
      <c r="E1488" s="136" t="s">
        <v>594</v>
      </c>
      <c r="F1488" s="136">
        <v>40</v>
      </c>
      <c r="G1488" s="137">
        <f t="shared" si="5"/>
        <v>6</v>
      </c>
      <c r="H1488" s="137"/>
      <c r="I1488" s="137"/>
      <c r="J1488" s="135"/>
      <c r="K1488" s="135"/>
      <c r="L1488" s="135"/>
      <c r="M1488" s="135"/>
      <c r="N1488" s="135"/>
      <c r="O1488" s="135"/>
      <c r="P1488" s="135"/>
      <c r="Q1488" s="135"/>
      <c r="R1488" s="135"/>
      <c r="S1488" s="135"/>
      <c r="T1488" s="135"/>
      <c r="U1488" s="135"/>
      <c r="V1488" s="135"/>
      <c r="W1488" s="135"/>
      <c r="X1488" s="135"/>
      <c r="Y1488" s="135"/>
      <c r="Z1488" s="135"/>
    </row>
    <row r="1489" spans="1:26" ht="25.5">
      <c r="A1489" s="136" t="s">
        <v>8</v>
      </c>
      <c r="B1489" s="136" t="s">
        <v>7573</v>
      </c>
      <c r="C1489" s="136" t="s">
        <v>7611</v>
      </c>
      <c r="D1489" s="136" t="s">
        <v>7491</v>
      </c>
      <c r="E1489" s="136" t="s">
        <v>615</v>
      </c>
      <c r="F1489" s="136">
        <v>37</v>
      </c>
      <c r="G1489" s="137">
        <f t="shared" si="5"/>
        <v>7</v>
      </c>
      <c r="H1489" s="137"/>
      <c r="I1489" s="137"/>
      <c r="J1489" s="135"/>
      <c r="K1489" s="135"/>
      <c r="L1489" s="135"/>
      <c r="M1489" s="135"/>
      <c r="N1489" s="135"/>
      <c r="O1489" s="135"/>
      <c r="P1489" s="135"/>
      <c r="Q1489" s="135"/>
      <c r="R1489" s="135"/>
      <c r="S1489" s="135"/>
      <c r="T1489" s="135"/>
      <c r="U1489" s="135"/>
      <c r="V1489" s="135"/>
      <c r="W1489" s="135"/>
      <c r="X1489" s="135"/>
      <c r="Y1489" s="135"/>
      <c r="Z1489" s="135"/>
    </row>
    <row r="1490" spans="1:26" ht="25.5">
      <c r="A1490" s="136" t="s">
        <v>8</v>
      </c>
      <c r="B1490" s="136" t="s">
        <v>7573</v>
      </c>
      <c r="C1490" s="136" t="s">
        <v>7612</v>
      </c>
      <c r="D1490" s="136" t="s">
        <v>7605</v>
      </c>
      <c r="E1490" s="136" t="s">
        <v>85</v>
      </c>
      <c r="F1490" s="136">
        <v>320</v>
      </c>
      <c r="G1490" s="137">
        <f t="shared" si="5"/>
        <v>1</v>
      </c>
      <c r="H1490" s="137"/>
      <c r="I1490" s="137"/>
      <c r="J1490" s="135"/>
      <c r="K1490" s="135"/>
      <c r="L1490" s="135"/>
      <c r="M1490" s="135"/>
      <c r="N1490" s="135"/>
      <c r="O1490" s="135"/>
      <c r="P1490" s="135"/>
      <c r="Q1490" s="135"/>
      <c r="R1490" s="135"/>
      <c r="S1490" s="135"/>
      <c r="T1490" s="135"/>
      <c r="U1490" s="135"/>
      <c r="V1490" s="135"/>
      <c r="W1490" s="135"/>
      <c r="X1490" s="135"/>
      <c r="Y1490" s="135"/>
      <c r="Z1490" s="135"/>
    </row>
    <row r="1491" spans="1:26" ht="25.5">
      <c r="A1491" s="136" t="s">
        <v>8</v>
      </c>
      <c r="B1491" s="136" t="s">
        <v>7573</v>
      </c>
      <c r="C1491" s="136" t="s">
        <v>7612</v>
      </c>
      <c r="D1491" s="136" t="s">
        <v>7586</v>
      </c>
      <c r="E1491" s="136" t="s">
        <v>615</v>
      </c>
      <c r="F1491" s="136">
        <v>309</v>
      </c>
      <c r="G1491" s="137">
        <f t="shared" si="5"/>
        <v>2</v>
      </c>
      <c r="H1491" s="137"/>
      <c r="I1491" s="137"/>
      <c r="J1491" s="135"/>
      <c r="K1491" s="135"/>
      <c r="L1491" s="135"/>
      <c r="M1491" s="135"/>
      <c r="N1491" s="135"/>
      <c r="O1491" s="135"/>
      <c r="P1491" s="135"/>
      <c r="Q1491" s="135"/>
      <c r="R1491" s="135"/>
      <c r="S1491" s="135"/>
      <c r="T1491" s="135"/>
      <c r="U1491" s="135"/>
      <c r="V1491" s="135"/>
      <c r="W1491" s="135"/>
      <c r="X1491" s="135"/>
      <c r="Y1491" s="135"/>
      <c r="Z1491" s="135"/>
    </row>
    <row r="1492" spans="1:26" ht="25.5">
      <c r="A1492" s="136" t="s">
        <v>8</v>
      </c>
      <c r="B1492" s="136" t="s">
        <v>7573</v>
      </c>
      <c r="C1492" s="136" t="s">
        <v>7612</v>
      </c>
      <c r="D1492" s="136" t="s">
        <v>7575</v>
      </c>
      <c r="E1492" s="136" t="s">
        <v>85</v>
      </c>
      <c r="F1492" s="136">
        <v>300</v>
      </c>
      <c r="G1492" s="137">
        <f t="shared" si="5"/>
        <v>3</v>
      </c>
      <c r="H1492" s="137"/>
      <c r="I1492" s="137"/>
      <c r="J1492" s="135"/>
      <c r="K1492" s="135"/>
      <c r="L1492" s="135"/>
      <c r="M1492" s="135"/>
      <c r="N1492" s="135"/>
      <c r="O1492" s="135"/>
      <c r="P1492" s="135"/>
      <c r="Q1492" s="135"/>
      <c r="R1492" s="135"/>
      <c r="S1492" s="135"/>
      <c r="T1492" s="135"/>
      <c r="U1492" s="135"/>
      <c r="V1492" s="135"/>
      <c r="W1492" s="135"/>
      <c r="X1492" s="135"/>
      <c r="Y1492" s="135"/>
      <c r="Z1492" s="135"/>
    </row>
    <row r="1493" spans="1:26" ht="25.5">
      <c r="A1493" s="136" t="s">
        <v>8</v>
      </c>
      <c r="B1493" s="136" t="s">
        <v>7573</v>
      </c>
      <c r="C1493" s="136" t="s">
        <v>7612</v>
      </c>
      <c r="D1493" s="136" t="s">
        <v>7591</v>
      </c>
      <c r="E1493" s="136" t="s">
        <v>85</v>
      </c>
      <c r="F1493" s="136">
        <v>150</v>
      </c>
      <c r="G1493" s="137">
        <f t="shared" si="5"/>
        <v>4</v>
      </c>
      <c r="H1493" s="137"/>
      <c r="I1493" s="137"/>
      <c r="J1493" s="135"/>
      <c r="K1493" s="135"/>
      <c r="L1493" s="135"/>
      <c r="M1493" s="135"/>
      <c r="N1493" s="135"/>
      <c r="O1493" s="135"/>
      <c r="P1493" s="135"/>
      <c r="Q1493" s="135"/>
      <c r="R1493" s="135"/>
      <c r="S1493" s="135"/>
      <c r="T1493" s="135"/>
      <c r="U1493" s="135"/>
      <c r="V1493" s="135"/>
      <c r="W1493" s="135"/>
      <c r="X1493" s="135"/>
      <c r="Y1493" s="135"/>
      <c r="Z1493" s="135"/>
    </row>
    <row r="1494" spans="1:26" ht="25.5">
      <c r="A1494" s="136" t="s">
        <v>8</v>
      </c>
      <c r="B1494" s="136" t="s">
        <v>7573</v>
      </c>
      <c r="C1494" s="136" t="s">
        <v>7612</v>
      </c>
      <c r="D1494" s="136" t="s">
        <v>7533</v>
      </c>
      <c r="E1494" s="136" t="s">
        <v>594</v>
      </c>
      <c r="F1494" s="136">
        <v>136</v>
      </c>
      <c r="G1494" s="137">
        <f t="shared" si="5"/>
        <v>5</v>
      </c>
      <c r="H1494" s="137"/>
      <c r="I1494" s="137"/>
      <c r="J1494" s="135"/>
      <c r="K1494" s="135"/>
      <c r="L1494" s="135"/>
      <c r="M1494" s="135"/>
      <c r="N1494" s="135"/>
      <c r="O1494" s="135"/>
      <c r="P1494" s="135"/>
      <c r="Q1494" s="135"/>
      <c r="R1494" s="135"/>
      <c r="S1494" s="135"/>
      <c r="T1494" s="135"/>
      <c r="U1494" s="135"/>
      <c r="V1494" s="135"/>
      <c r="W1494" s="135"/>
      <c r="X1494" s="135"/>
      <c r="Y1494" s="135"/>
      <c r="Z1494" s="135"/>
    </row>
    <row r="1495" spans="1:26" ht="25.5">
      <c r="A1495" s="136" t="s">
        <v>8</v>
      </c>
      <c r="B1495" s="136" t="s">
        <v>7573</v>
      </c>
      <c r="C1495" s="136" t="s">
        <v>7612</v>
      </c>
      <c r="D1495" s="136" t="s">
        <v>7491</v>
      </c>
      <c r="E1495" s="136" t="s">
        <v>615</v>
      </c>
      <c r="F1495" s="136">
        <v>100</v>
      </c>
      <c r="G1495" s="137">
        <f t="shared" si="5"/>
        <v>6</v>
      </c>
      <c r="H1495" s="137"/>
      <c r="I1495" s="137"/>
      <c r="J1495" s="135"/>
      <c r="K1495" s="135"/>
      <c r="L1495" s="135"/>
      <c r="M1495" s="135"/>
      <c r="N1495" s="135"/>
      <c r="O1495" s="135"/>
      <c r="P1495" s="135"/>
      <c r="Q1495" s="135"/>
      <c r="R1495" s="135"/>
      <c r="S1495" s="135"/>
      <c r="T1495" s="135"/>
      <c r="U1495" s="135"/>
      <c r="V1495" s="135"/>
      <c r="W1495" s="135"/>
      <c r="X1495" s="135"/>
      <c r="Y1495" s="135"/>
      <c r="Z1495" s="135"/>
    </row>
    <row r="1496" spans="1:26" ht="12.75">
      <c r="A1496" s="136" t="s">
        <v>19</v>
      </c>
      <c r="B1496" s="136" t="s">
        <v>147</v>
      </c>
      <c r="C1496" s="136" t="s">
        <v>148</v>
      </c>
      <c r="D1496" s="136" t="s">
        <v>139</v>
      </c>
      <c r="E1496" s="136" t="s">
        <v>594</v>
      </c>
      <c r="F1496" s="136">
        <v>857</v>
      </c>
      <c r="G1496" s="137">
        <f t="shared" si="5"/>
        <v>1</v>
      </c>
      <c r="H1496" s="137"/>
      <c r="I1496" s="137"/>
      <c r="J1496" s="135"/>
      <c r="K1496" s="135"/>
      <c r="L1496" s="135"/>
      <c r="M1496" s="135"/>
      <c r="N1496" s="135"/>
      <c r="O1496" s="135"/>
      <c r="P1496" s="135"/>
      <c r="Q1496" s="135"/>
      <c r="R1496" s="135"/>
      <c r="S1496" s="135"/>
      <c r="T1496" s="135"/>
      <c r="U1496" s="135"/>
      <c r="V1496" s="135"/>
      <c r="W1496" s="135"/>
      <c r="X1496" s="135"/>
      <c r="Y1496" s="135"/>
      <c r="Z1496" s="135"/>
    </row>
    <row r="1497" spans="1:26" ht="12.75">
      <c r="A1497" s="136" t="s">
        <v>19</v>
      </c>
      <c r="B1497" s="136" t="s">
        <v>147</v>
      </c>
      <c r="C1497" s="136" t="s">
        <v>148</v>
      </c>
      <c r="D1497" s="136" t="s">
        <v>7613</v>
      </c>
      <c r="E1497" s="136" t="s">
        <v>85</v>
      </c>
      <c r="F1497" s="136">
        <v>528</v>
      </c>
      <c r="G1497" s="137">
        <f t="shared" si="5"/>
        <v>2</v>
      </c>
      <c r="H1497" s="137"/>
      <c r="I1497" s="137"/>
      <c r="J1497" s="135"/>
      <c r="K1497" s="135"/>
      <c r="L1497" s="135"/>
      <c r="M1497" s="135"/>
      <c r="N1497" s="135"/>
      <c r="O1497" s="135"/>
      <c r="P1497" s="135"/>
      <c r="Q1497" s="135"/>
      <c r="R1497" s="135"/>
      <c r="S1497" s="135"/>
      <c r="T1497" s="135"/>
      <c r="U1497" s="135"/>
      <c r="V1497" s="135"/>
      <c r="W1497" s="135"/>
      <c r="X1497" s="135"/>
      <c r="Y1497" s="135"/>
      <c r="Z1497" s="135"/>
    </row>
    <row r="1498" spans="1:26" ht="12.75">
      <c r="A1498" s="136" t="s">
        <v>19</v>
      </c>
      <c r="B1498" s="136" t="s">
        <v>147</v>
      </c>
      <c r="C1498" s="136" t="s">
        <v>148</v>
      </c>
      <c r="D1498" s="136" t="s">
        <v>107</v>
      </c>
      <c r="E1498" s="136" t="s">
        <v>615</v>
      </c>
      <c r="F1498" s="136">
        <v>169</v>
      </c>
      <c r="G1498" s="137">
        <f t="shared" si="5"/>
        <v>3</v>
      </c>
      <c r="H1498" s="137"/>
      <c r="I1498" s="137"/>
      <c r="J1498" s="135"/>
      <c r="K1498" s="135"/>
      <c r="L1498" s="135"/>
      <c r="M1498" s="135"/>
      <c r="N1498" s="135"/>
      <c r="O1498" s="135"/>
      <c r="P1498" s="135"/>
      <c r="Q1498" s="135"/>
      <c r="R1498" s="135"/>
      <c r="S1498" s="135"/>
      <c r="T1498" s="135"/>
      <c r="U1498" s="135"/>
      <c r="V1498" s="135"/>
      <c r="W1498" s="135"/>
      <c r="X1498" s="135"/>
      <c r="Y1498" s="135"/>
      <c r="Z1498" s="135"/>
    </row>
    <row r="1499" spans="1:26" ht="12.75">
      <c r="A1499" s="136" t="s">
        <v>19</v>
      </c>
      <c r="B1499" s="136" t="s">
        <v>147</v>
      </c>
      <c r="C1499" s="136" t="s">
        <v>148</v>
      </c>
      <c r="D1499" s="136" t="s">
        <v>467</v>
      </c>
      <c r="E1499" s="136" t="s">
        <v>85</v>
      </c>
      <c r="F1499" s="136">
        <v>163</v>
      </c>
      <c r="G1499" s="137">
        <f t="shared" si="5"/>
        <v>4</v>
      </c>
      <c r="H1499" s="137"/>
      <c r="I1499" s="137"/>
      <c r="J1499" s="135"/>
      <c r="K1499" s="135"/>
      <c r="L1499" s="135"/>
      <c r="M1499" s="135"/>
      <c r="N1499" s="135"/>
      <c r="O1499" s="135"/>
      <c r="P1499" s="135"/>
      <c r="Q1499" s="135"/>
      <c r="R1499" s="135"/>
      <c r="S1499" s="135"/>
      <c r="T1499" s="135"/>
      <c r="U1499" s="135"/>
      <c r="V1499" s="135"/>
      <c r="W1499" s="135"/>
      <c r="X1499" s="135"/>
      <c r="Y1499" s="135"/>
      <c r="Z1499" s="135"/>
    </row>
    <row r="1500" spans="1:26" ht="12.75">
      <c r="A1500" s="136" t="s">
        <v>19</v>
      </c>
      <c r="B1500" s="136" t="s">
        <v>147</v>
      </c>
      <c r="C1500" s="136" t="s">
        <v>148</v>
      </c>
      <c r="D1500" s="136" t="s">
        <v>7614</v>
      </c>
      <c r="E1500" s="136" t="s">
        <v>7614</v>
      </c>
      <c r="F1500" s="136">
        <v>52</v>
      </c>
      <c r="G1500" s="137">
        <f t="shared" si="5"/>
        <v>5</v>
      </c>
      <c r="H1500" s="137"/>
      <c r="I1500" s="137"/>
      <c r="J1500" s="135"/>
      <c r="K1500" s="135"/>
      <c r="L1500" s="135"/>
      <c r="M1500" s="135"/>
      <c r="N1500" s="135"/>
      <c r="O1500" s="135"/>
      <c r="P1500" s="135"/>
      <c r="Q1500" s="135"/>
      <c r="R1500" s="135"/>
      <c r="S1500" s="135"/>
      <c r="T1500" s="135"/>
      <c r="U1500" s="135"/>
      <c r="V1500" s="135"/>
      <c r="W1500" s="135"/>
      <c r="X1500" s="135"/>
      <c r="Y1500" s="135"/>
      <c r="Z1500" s="135"/>
    </row>
    <row r="1501" spans="1:26" ht="12.75">
      <c r="A1501" s="136" t="s">
        <v>19</v>
      </c>
      <c r="B1501" s="136" t="s">
        <v>147</v>
      </c>
      <c r="C1501" s="136" t="s">
        <v>148</v>
      </c>
      <c r="D1501" s="136" t="s">
        <v>7615</v>
      </c>
      <c r="E1501" s="136" t="s">
        <v>7615</v>
      </c>
      <c r="F1501" s="136">
        <v>49</v>
      </c>
      <c r="G1501" s="137">
        <f t="shared" si="5"/>
        <v>6</v>
      </c>
      <c r="H1501" s="137"/>
      <c r="I1501" s="137"/>
      <c r="J1501" s="135"/>
      <c r="K1501" s="135"/>
      <c r="L1501" s="135"/>
      <c r="M1501" s="135"/>
      <c r="N1501" s="135"/>
      <c r="O1501" s="135"/>
      <c r="P1501" s="135"/>
      <c r="Q1501" s="135"/>
      <c r="R1501" s="135"/>
      <c r="S1501" s="135"/>
      <c r="T1501" s="135"/>
      <c r="U1501" s="135"/>
      <c r="V1501" s="135"/>
      <c r="W1501" s="135"/>
      <c r="X1501" s="135"/>
      <c r="Y1501" s="135"/>
      <c r="Z1501" s="135"/>
    </row>
    <row r="1502" spans="1:26" ht="12.75">
      <c r="A1502" s="136" t="s">
        <v>19</v>
      </c>
      <c r="B1502" s="136" t="s">
        <v>147</v>
      </c>
      <c r="C1502" s="136" t="s">
        <v>147</v>
      </c>
      <c r="D1502" s="136" t="s">
        <v>139</v>
      </c>
      <c r="E1502" s="136" t="s">
        <v>594</v>
      </c>
      <c r="F1502" s="136">
        <v>4710</v>
      </c>
      <c r="G1502" s="137">
        <f t="shared" si="5"/>
        <v>1</v>
      </c>
      <c r="H1502" s="137"/>
      <c r="I1502" s="137"/>
      <c r="J1502" s="135"/>
      <c r="K1502" s="135"/>
      <c r="L1502" s="135"/>
      <c r="M1502" s="135"/>
      <c r="N1502" s="135"/>
      <c r="O1502" s="135"/>
      <c r="P1502" s="135"/>
      <c r="Q1502" s="135"/>
      <c r="R1502" s="135"/>
      <c r="S1502" s="135"/>
      <c r="T1502" s="135"/>
      <c r="U1502" s="135"/>
      <c r="V1502" s="135"/>
      <c r="W1502" s="135"/>
      <c r="X1502" s="135"/>
      <c r="Y1502" s="135"/>
      <c r="Z1502" s="135"/>
    </row>
    <row r="1503" spans="1:26" ht="12.75">
      <c r="A1503" s="136" t="s">
        <v>19</v>
      </c>
      <c r="B1503" s="136" t="s">
        <v>147</v>
      </c>
      <c r="C1503" s="136" t="s">
        <v>147</v>
      </c>
      <c r="D1503" s="136" t="s">
        <v>7613</v>
      </c>
      <c r="E1503" s="136" t="s">
        <v>85</v>
      </c>
      <c r="F1503" s="136">
        <v>1379</v>
      </c>
      <c r="G1503" s="137">
        <f t="shared" si="5"/>
        <v>2</v>
      </c>
      <c r="H1503" s="137"/>
      <c r="I1503" s="137"/>
      <c r="J1503" s="135"/>
      <c r="K1503" s="135"/>
      <c r="L1503" s="135"/>
      <c r="M1503" s="135"/>
      <c r="N1503" s="135"/>
      <c r="O1503" s="135"/>
      <c r="P1503" s="135"/>
      <c r="Q1503" s="135"/>
      <c r="R1503" s="135"/>
      <c r="S1503" s="135"/>
      <c r="T1503" s="135"/>
      <c r="U1503" s="135"/>
      <c r="V1503" s="135"/>
      <c r="W1503" s="135"/>
      <c r="X1503" s="135"/>
      <c r="Y1503" s="135"/>
      <c r="Z1503" s="135"/>
    </row>
    <row r="1504" spans="1:26" ht="12.75">
      <c r="A1504" s="136" t="s">
        <v>19</v>
      </c>
      <c r="B1504" s="136" t="s">
        <v>147</v>
      </c>
      <c r="C1504" s="136" t="s">
        <v>147</v>
      </c>
      <c r="D1504" s="136" t="s">
        <v>107</v>
      </c>
      <c r="E1504" s="136" t="s">
        <v>594</v>
      </c>
      <c r="F1504" s="136">
        <v>1160</v>
      </c>
      <c r="G1504" s="137">
        <f t="shared" si="5"/>
        <v>3</v>
      </c>
      <c r="H1504" s="137"/>
      <c r="I1504" s="137"/>
      <c r="J1504" s="135"/>
      <c r="K1504" s="135"/>
      <c r="L1504" s="135"/>
      <c r="M1504" s="135"/>
      <c r="N1504" s="135"/>
      <c r="O1504" s="135"/>
      <c r="P1504" s="135"/>
      <c r="Q1504" s="135"/>
      <c r="R1504" s="135"/>
      <c r="S1504" s="135"/>
      <c r="T1504" s="135"/>
      <c r="U1504" s="135"/>
      <c r="V1504" s="135"/>
      <c r="W1504" s="135"/>
      <c r="X1504" s="135"/>
      <c r="Y1504" s="135"/>
      <c r="Z1504" s="135"/>
    </row>
    <row r="1505" spans="1:26" ht="12.75">
      <c r="A1505" s="136" t="s">
        <v>19</v>
      </c>
      <c r="B1505" s="136" t="s">
        <v>147</v>
      </c>
      <c r="C1505" s="136" t="s">
        <v>147</v>
      </c>
      <c r="D1505" s="136" t="s">
        <v>7544</v>
      </c>
      <c r="E1505" s="136" t="s">
        <v>615</v>
      </c>
      <c r="F1505" s="136">
        <v>741</v>
      </c>
      <c r="G1505" s="137">
        <f t="shared" si="5"/>
        <v>4</v>
      </c>
      <c r="H1505" s="137"/>
      <c r="I1505" s="137"/>
      <c r="J1505" s="135"/>
      <c r="K1505" s="135"/>
      <c r="L1505" s="135"/>
      <c r="M1505" s="135"/>
      <c r="N1505" s="135"/>
      <c r="O1505" s="135"/>
      <c r="P1505" s="135"/>
      <c r="Q1505" s="135"/>
      <c r="R1505" s="135"/>
      <c r="S1505" s="135"/>
      <c r="T1505" s="135"/>
      <c r="U1505" s="135"/>
      <c r="V1505" s="135"/>
      <c r="W1505" s="135"/>
      <c r="X1505" s="135"/>
      <c r="Y1505" s="135"/>
      <c r="Z1505" s="135"/>
    </row>
    <row r="1506" spans="1:26" ht="12.75">
      <c r="A1506" s="136" t="s">
        <v>19</v>
      </c>
      <c r="B1506" s="136" t="s">
        <v>147</v>
      </c>
      <c r="C1506" s="136" t="s">
        <v>147</v>
      </c>
      <c r="D1506" s="136" t="s">
        <v>368</v>
      </c>
      <c r="E1506" s="136" t="s">
        <v>594</v>
      </c>
      <c r="F1506" s="136">
        <v>625</v>
      </c>
      <c r="G1506" s="137">
        <f t="shared" si="5"/>
        <v>5</v>
      </c>
      <c r="H1506" s="137"/>
      <c r="I1506" s="137"/>
      <c r="J1506" s="135"/>
      <c r="K1506" s="135"/>
      <c r="L1506" s="135"/>
      <c r="M1506" s="135"/>
      <c r="N1506" s="135"/>
      <c r="O1506" s="135"/>
      <c r="P1506" s="135"/>
      <c r="Q1506" s="135"/>
      <c r="R1506" s="135"/>
      <c r="S1506" s="135"/>
      <c r="T1506" s="135"/>
      <c r="U1506" s="135"/>
      <c r="V1506" s="135"/>
      <c r="W1506" s="135"/>
      <c r="X1506" s="135"/>
      <c r="Y1506" s="135"/>
      <c r="Z1506" s="135"/>
    </row>
    <row r="1507" spans="1:26" ht="12.75">
      <c r="A1507" s="136" t="s">
        <v>19</v>
      </c>
      <c r="B1507" s="136" t="s">
        <v>147</v>
      </c>
      <c r="C1507" s="136" t="s">
        <v>147</v>
      </c>
      <c r="D1507" s="136" t="s">
        <v>1642</v>
      </c>
      <c r="E1507" s="136" t="s">
        <v>615</v>
      </c>
      <c r="F1507" s="136">
        <v>376</v>
      </c>
      <c r="G1507" s="137">
        <f t="shared" si="5"/>
        <v>9</v>
      </c>
      <c r="H1507" s="137"/>
      <c r="I1507" s="137"/>
      <c r="J1507" s="135"/>
      <c r="K1507" s="135"/>
      <c r="L1507" s="135"/>
      <c r="M1507" s="135"/>
      <c r="N1507" s="135"/>
      <c r="O1507" s="135"/>
      <c r="P1507" s="135"/>
      <c r="Q1507" s="135"/>
      <c r="R1507" s="135"/>
      <c r="S1507" s="135"/>
      <c r="T1507" s="135"/>
      <c r="U1507" s="135"/>
      <c r="V1507" s="135"/>
      <c r="W1507" s="135"/>
      <c r="X1507" s="135"/>
      <c r="Y1507" s="135"/>
      <c r="Z1507" s="135"/>
    </row>
    <row r="1508" spans="1:26" ht="12.75">
      <c r="A1508" s="136" t="s">
        <v>19</v>
      </c>
      <c r="B1508" s="136" t="s">
        <v>147</v>
      </c>
      <c r="C1508" s="136" t="s">
        <v>147</v>
      </c>
      <c r="D1508" s="136" t="s">
        <v>7616</v>
      </c>
      <c r="E1508" s="136" t="s">
        <v>615</v>
      </c>
      <c r="F1508" s="136">
        <v>344</v>
      </c>
      <c r="G1508" s="137">
        <f t="shared" si="5"/>
        <v>11</v>
      </c>
      <c r="H1508" s="137"/>
      <c r="I1508" s="137"/>
      <c r="J1508" s="135"/>
      <c r="K1508" s="135"/>
      <c r="L1508" s="135"/>
      <c r="M1508" s="135"/>
      <c r="N1508" s="135"/>
      <c r="O1508" s="135"/>
      <c r="P1508" s="135"/>
      <c r="Q1508" s="135"/>
      <c r="R1508" s="135"/>
      <c r="S1508" s="135"/>
      <c r="T1508" s="135"/>
      <c r="U1508" s="135"/>
      <c r="V1508" s="135"/>
      <c r="W1508" s="135"/>
      <c r="X1508" s="135"/>
      <c r="Y1508" s="135"/>
      <c r="Z1508" s="135"/>
    </row>
    <row r="1509" spans="1:26" ht="12.75">
      <c r="A1509" s="136" t="s">
        <v>19</v>
      </c>
      <c r="B1509" s="136" t="s">
        <v>147</v>
      </c>
      <c r="C1509" s="136" t="s">
        <v>147</v>
      </c>
      <c r="D1509" s="136" t="s">
        <v>467</v>
      </c>
      <c r="E1509" s="136" t="s">
        <v>85</v>
      </c>
      <c r="F1509" s="136">
        <v>339</v>
      </c>
      <c r="G1509" s="137">
        <f t="shared" si="5"/>
        <v>12</v>
      </c>
      <c r="H1509" s="137"/>
      <c r="I1509" s="137"/>
      <c r="J1509" s="135"/>
      <c r="K1509" s="135"/>
      <c r="L1509" s="135"/>
      <c r="M1509" s="135"/>
      <c r="N1509" s="135"/>
      <c r="O1509" s="135"/>
      <c r="P1509" s="135"/>
      <c r="Q1509" s="135"/>
      <c r="R1509" s="135"/>
      <c r="S1509" s="135"/>
      <c r="T1509" s="135"/>
      <c r="U1509" s="135"/>
      <c r="V1509" s="135"/>
      <c r="W1509" s="135"/>
      <c r="X1509" s="135"/>
      <c r="Y1509" s="135"/>
      <c r="Z1509" s="135"/>
    </row>
    <row r="1510" spans="1:26" ht="12.75">
      <c r="A1510" s="136" t="s">
        <v>19</v>
      </c>
      <c r="B1510" s="136" t="s">
        <v>147</v>
      </c>
      <c r="C1510" s="136" t="s">
        <v>147</v>
      </c>
      <c r="D1510" s="136" t="s">
        <v>7617</v>
      </c>
      <c r="E1510" s="136" t="s">
        <v>615</v>
      </c>
      <c r="F1510" s="136">
        <v>302</v>
      </c>
      <c r="G1510" s="137">
        <f t="shared" si="5"/>
        <v>13</v>
      </c>
      <c r="H1510" s="137"/>
      <c r="I1510" s="137"/>
      <c r="J1510" s="135"/>
      <c r="K1510" s="135"/>
      <c r="L1510" s="135"/>
      <c r="M1510" s="135"/>
      <c r="N1510" s="135"/>
      <c r="O1510" s="135"/>
      <c r="P1510" s="135"/>
      <c r="Q1510" s="135"/>
      <c r="R1510" s="135"/>
      <c r="S1510" s="135"/>
      <c r="T1510" s="135"/>
      <c r="U1510" s="135"/>
      <c r="V1510" s="135"/>
      <c r="W1510" s="135"/>
      <c r="X1510" s="135"/>
      <c r="Y1510" s="135"/>
      <c r="Z1510" s="135"/>
    </row>
    <row r="1511" spans="1:26" ht="12.75">
      <c r="A1511" s="136" t="s">
        <v>19</v>
      </c>
      <c r="B1511" s="136" t="s">
        <v>147</v>
      </c>
      <c r="C1511" s="136" t="s">
        <v>147</v>
      </c>
      <c r="D1511" s="136" t="s">
        <v>103</v>
      </c>
      <c r="E1511" s="136" t="s">
        <v>594</v>
      </c>
      <c r="F1511" s="136">
        <v>252</v>
      </c>
      <c r="G1511" s="137">
        <f t="shared" si="5"/>
        <v>14</v>
      </c>
      <c r="H1511" s="137"/>
      <c r="I1511" s="137"/>
      <c r="J1511" s="135"/>
      <c r="K1511" s="135"/>
      <c r="L1511" s="135"/>
      <c r="M1511" s="135"/>
      <c r="N1511" s="135"/>
      <c r="O1511" s="135"/>
      <c r="P1511" s="135"/>
      <c r="Q1511" s="135"/>
      <c r="R1511" s="135"/>
      <c r="S1511" s="135"/>
      <c r="T1511" s="135"/>
      <c r="U1511" s="135"/>
      <c r="V1511" s="135"/>
      <c r="W1511" s="135"/>
      <c r="X1511" s="135"/>
      <c r="Y1511" s="135"/>
      <c r="Z1511" s="135"/>
    </row>
    <row r="1512" spans="1:26" ht="12.75">
      <c r="A1512" s="136" t="s">
        <v>19</v>
      </c>
      <c r="B1512" s="136" t="s">
        <v>147</v>
      </c>
      <c r="C1512" s="136" t="s">
        <v>147</v>
      </c>
      <c r="D1512" s="136" t="s">
        <v>1656</v>
      </c>
      <c r="E1512" s="136" t="s">
        <v>615</v>
      </c>
      <c r="F1512" s="136">
        <v>207</v>
      </c>
      <c r="G1512" s="137">
        <f t="shared" si="5"/>
        <v>15</v>
      </c>
      <c r="H1512" s="137"/>
      <c r="I1512" s="137"/>
      <c r="J1512" s="135"/>
      <c r="K1512" s="135"/>
      <c r="L1512" s="135"/>
      <c r="M1512" s="135"/>
      <c r="N1512" s="135"/>
      <c r="O1512" s="135"/>
      <c r="P1512" s="135"/>
      <c r="Q1512" s="135"/>
      <c r="R1512" s="135"/>
      <c r="S1512" s="135"/>
      <c r="T1512" s="135"/>
      <c r="U1512" s="135"/>
      <c r="V1512" s="135"/>
      <c r="W1512" s="135"/>
      <c r="X1512" s="135"/>
      <c r="Y1512" s="135"/>
      <c r="Z1512" s="135"/>
    </row>
    <row r="1513" spans="1:26" ht="12.75">
      <c r="A1513" s="136" t="s">
        <v>19</v>
      </c>
      <c r="B1513" s="136" t="s">
        <v>147</v>
      </c>
      <c r="C1513" s="136" t="s">
        <v>147</v>
      </c>
      <c r="D1513" s="136" t="s">
        <v>7618</v>
      </c>
      <c r="E1513" s="136" t="s">
        <v>86</v>
      </c>
      <c r="F1513" s="136">
        <v>198</v>
      </c>
      <c r="G1513" s="137">
        <f t="shared" si="5"/>
        <v>16</v>
      </c>
      <c r="H1513" s="137"/>
      <c r="I1513" s="137"/>
      <c r="J1513" s="135"/>
      <c r="K1513" s="135"/>
      <c r="L1513" s="135"/>
      <c r="M1513" s="135"/>
      <c r="N1513" s="135"/>
      <c r="O1513" s="135"/>
      <c r="P1513" s="135"/>
      <c r="Q1513" s="135"/>
      <c r="R1513" s="135"/>
      <c r="S1513" s="135"/>
      <c r="T1513" s="135"/>
      <c r="U1513" s="135"/>
      <c r="V1513" s="135"/>
      <c r="W1513" s="135"/>
      <c r="X1513" s="135"/>
      <c r="Y1513" s="135"/>
      <c r="Z1513" s="135"/>
    </row>
    <row r="1514" spans="1:26" ht="12.75">
      <c r="A1514" s="136" t="s">
        <v>19</v>
      </c>
      <c r="B1514" s="136" t="s">
        <v>147</v>
      </c>
      <c r="C1514" s="136" t="s">
        <v>147</v>
      </c>
      <c r="D1514" s="136" t="s">
        <v>7615</v>
      </c>
      <c r="E1514" s="136" t="s">
        <v>7615</v>
      </c>
      <c r="F1514" s="136">
        <v>143</v>
      </c>
      <c r="G1514" s="137">
        <f t="shared" si="5"/>
        <v>17</v>
      </c>
      <c r="H1514" s="137"/>
      <c r="I1514" s="137"/>
      <c r="J1514" s="135"/>
      <c r="K1514" s="135"/>
      <c r="L1514" s="135"/>
      <c r="M1514" s="135"/>
      <c r="N1514" s="135"/>
      <c r="O1514" s="135"/>
      <c r="P1514" s="135"/>
      <c r="Q1514" s="135"/>
      <c r="R1514" s="135"/>
      <c r="S1514" s="135"/>
      <c r="T1514" s="135"/>
      <c r="U1514" s="135"/>
      <c r="V1514" s="135"/>
      <c r="W1514" s="135"/>
      <c r="X1514" s="135"/>
      <c r="Y1514" s="135"/>
      <c r="Z1514" s="135"/>
    </row>
    <row r="1515" spans="1:26" ht="12.75">
      <c r="A1515" s="136" t="s">
        <v>19</v>
      </c>
      <c r="B1515" s="136" t="s">
        <v>147</v>
      </c>
      <c r="C1515" s="136" t="s">
        <v>147</v>
      </c>
      <c r="D1515" s="136" t="s">
        <v>7614</v>
      </c>
      <c r="E1515" s="136" t="s">
        <v>7614</v>
      </c>
      <c r="F1515" s="136">
        <v>134</v>
      </c>
      <c r="G1515" s="137">
        <f t="shared" si="5"/>
        <v>18</v>
      </c>
      <c r="H1515" s="137"/>
      <c r="I1515" s="137"/>
      <c r="J1515" s="135"/>
      <c r="K1515" s="135"/>
      <c r="L1515" s="135"/>
      <c r="M1515" s="135"/>
      <c r="N1515" s="135"/>
      <c r="O1515" s="135"/>
      <c r="P1515" s="135"/>
      <c r="Q1515" s="135"/>
      <c r="R1515" s="135"/>
      <c r="S1515" s="135"/>
      <c r="T1515" s="135"/>
      <c r="U1515" s="135"/>
      <c r="V1515" s="135"/>
      <c r="W1515" s="135"/>
      <c r="X1515" s="135"/>
      <c r="Y1515" s="135"/>
      <c r="Z1515" s="135"/>
    </row>
    <row r="1516" spans="1:26" ht="12.75">
      <c r="A1516" s="136" t="s">
        <v>19</v>
      </c>
      <c r="B1516" s="136" t="s">
        <v>147</v>
      </c>
      <c r="C1516" s="136" t="s">
        <v>147</v>
      </c>
      <c r="D1516" s="136" t="s">
        <v>7619</v>
      </c>
      <c r="E1516" s="136" t="s">
        <v>615</v>
      </c>
      <c r="F1516" s="136">
        <v>117</v>
      </c>
      <c r="G1516" s="137">
        <f t="shared" si="5"/>
        <v>19</v>
      </c>
      <c r="H1516" s="137"/>
      <c r="I1516" s="137"/>
      <c r="J1516" s="135"/>
      <c r="K1516" s="135"/>
      <c r="L1516" s="135"/>
      <c r="M1516" s="135"/>
      <c r="N1516" s="135"/>
      <c r="O1516" s="135"/>
      <c r="P1516" s="135"/>
      <c r="Q1516" s="135"/>
      <c r="R1516" s="135"/>
      <c r="S1516" s="135"/>
      <c r="T1516" s="135"/>
      <c r="U1516" s="135"/>
      <c r="V1516" s="135"/>
      <c r="W1516" s="135"/>
      <c r="X1516" s="135"/>
      <c r="Y1516" s="135"/>
      <c r="Z1516" s="135"/>
    </row>
    <row r="1517" spans="1:26" ht="12.75">
      <c r="A1517" s="136" t="s">
        <v>19</v>
      </c>
      <c r="B1517" s="136" t="s">
        <v>147</v>
      </c>
      <c r="C1517" s="136" t="s">
        <v>147</v>
      </c>
      <c r="D1517" s="136" t="s">
        <v>7534</v>
      </c>
      <c r="E1517" s="136" t="s">
        <v>594</v>
      </c>
      <c r="F1517" s="136">
        <v>111</v>
      </c>
      <c r="G1517" s="137">
        <f t="shared" si="5"/>
        <v>20</v>
      </c>
      <c r="H1517" s="137"/>
      <c r="I1517" s="137"/>
      <c r="J1517" s="135"/>
      <c r="K1517" s="135"/>
      <c r="L1517" s="135"/>
      <c r="M1517" s="135"/>
      <c r="N1517" s="135"/>
      <c r="O1517" s="135"/>
      <c r="P1517" s="135"/>
      <c r="Q1517" s="135"/>
      <c r="R1517" s="135"/>
      <c r="S1517" s="135"/>
      <c r="T1517" s="135"/>
      <c r="U1517" s="135"/>
      <c r="V1517" s="135"/>
      <c r="W1517" s="135"/>
      <c r="X1517" s="135"/>
      <c r="Y1517" s="135"/>
      <c r="Z1517" s="135"/>
    </row>
    <row r="1518" spans="1:26" ht="12.75">
      <c r="A1518" s="136" t="s">
        <v>19</v>
      </c>
      <c r="B1518" s="136" t="s">
        <v>147</v>
      </c>
      <c r="C1518" s="136" t="s">
        <v>147</v>
      </c>
      <c r="D1518" s="136" t="s">
        <v>7620</v>
      </c>
      <c r="E1518" s="136" t="s">
        <v>615</v>
      </c>
      <c r="F1518" s="136">
        <v>89</v>
      </c>
      <c r="G1518" s="137">
        <f t="shared" si="5"/>
        <v>23</v>
      </c>
      <c r="H1518" s="137"/>
      <c r="I1518" s="137"/>
      <c r="J1518" s="135"/>
      <c r="K1518" s="135"/>
      <c r="L1518" s="135"/>
      <c r="M1518" s="135"/>
      <c r="N1518" s="135"/>
      <c r="O1518" s="135"/>
      <c r="P1518" s="135"/>
      <c r="Q1518" s="135"/>
      <c r="R1518" s="135"/>
      <c r="S1518" s="135"/>
      <c r="T1518" s="135"/>
      <c r="U1518" s="135"/>
      <c r="V1518" s="135"/>
      <c r="W1518" s="135"/>
      <c r="X1518" s="135"/>
      <c r="Y1518" s="135"/>
      <c r="Z1518" s="135"/>
    </row>
    <row r="1519" spans="1:26" ht="12.75">
      <c r="A1519" s="136" t="s">
        <v>19</v>
      </c>
      <c r="B1519" s="136" t="s">
        <v>147</v>
      </c>
      <c r="C1519" s="136" t="s">
        <v>147</v>
      </c>
      <c r="D1519" s="136" t="s">
        <v>1626</v>
      </c>
      <c r="E1519" s="136" t="s">
        <v>594</v>
      </c>
      <c r="F1519" s="136">
        <v>38</v>
      </c>
      <c r="G1519" s="137">
        <f t="shared" si="5"/>
        <v>30</v>
      </c>
      <c r="H1519" s="137"/>
      <c r="I1519" s="137"/>
      <c r="J1519" s="135"/>
      <c r="K1519" s="135"/>
      <c r="L1519" s="135"/>
      <c r="M1519" s="135"/>
      <c r="N1519" s="135"/>
      <c r="O1519" s="135"/>
      <c r="P1519" s="135"/>
      <c r="Q1519" s="135"/>
      <c r="R1519" s="135"/>
      <c r="S1519" s="135"/>
      <c r="T1519" s="135"/>
      <c r="U1519" s="135"/>
      <c r="V1519" s="135"/>
      <c r="W1519" s="135"/>
      <c r="X1519" s="135"/>
      <c r="Y1519" s="135"/>
      <c r="Z1519" s="135"/>
    </row>
    <row r="1520" spans="1:26" ht="12.75">
      <c r="A1520" s="136" t="s">
        <v>19</v>
      </c>
      <c r="B1520" s="136" t="s">
        <v>147</v>
      </c>
      <c r="C1520" s="136" t="s">
        <v>150</v>
      </c>
      <c r="D1520" s="136" t="s">
        <v>139</v>
      </c>
      <c r="E1520" s="136" t="s">
        <v>594</v>
      </c>
      <c r="F1520" s="136">
        <v>500</v>
      </c>
      <c r="G1520" s="137">
        <f t="shared" si="5"/>
        <v>1</v>
      </c>
      <c r="H1520" s="137"/>
      <c r="I1520" s="137"/>
      <c r="J1520" s="135"/>
      <c r="K1520" s="135"/>
      <c r="L1520" s="135"/>
      <c r="M1520" s="135"/>
      <c r="N1520" s="135"/>
      <c r="O1520" s="135"/>
      <c r="P1520" s="135"/>
      <c r="Q1520" s="135"/>
      <c r="R1520" s="135"/>
      <c r="S1520" s="135"/>
      <c r="T1520" s="135"/>
      <c r="U1520" s="135"/>
      <c r="V1520" s="135"/>
      <c r="W1520" s="135"/>
      <c r="X1520" s="135"/>
      <c r="Y1520" s="135"/>
      <c r="Z1520" s="135"/>
    </row>
    <row r="1521" spans="1:26" ht="12.75">
      <c r="A1521" s="136" t="s">
        <v>19</v>
      </c>
      <c r="B1521" s="136" t="s">
        <v>147</v>
      </c>
      <c r="C1521" s="136" t="s">
        <v>150</v>
      </c>
      <c r="D1521" s="136" t="s">
        <v>7613</v>
      </c>
      <c r="E1521" s="136" t="s">
        <v>85</v>
      </c>
      <c r="F1521" s="136">
        <v>223</v>
      </c>
      <c r="G1521" s="137">
        <f t="shared" si="5"/>
        <v>2</v>
      </c>
      <c r="H1521" s="137"/>
      <c r="I1521" s="137"/>
      <c r="J1521" s="135"/>
      <c r="K1521" s="135"/>
      <c r="L1521" s="135"/>
      <c r="M1521" s="135"/>
      <c r="N1521" s="135"/>
      <c r="O1521" s="135"/>
      <c r="P1521" s="135"/>
      <c r="Q1521" s="135"/>
      <c r="R1521" s="135"/>
      <c r="S1521" s="135"/>
      <c r="T1521" s="135"/>
      <c r="U1521" s="135"/>
      <c r="V1521" s="135"/>
      <c r="W1521" s="135"/>
      <c r="X1521" s="135"/>
      <c r="Y1521" s="135"/>
      <c r="Z1521" s="135"/>
    </row>
    <row r="1522" spans="1:26" ht="12.75">
      <c r="A1522" s="136" t="s">
        <v>19</v>
      </c>
      <c r="B1522" s="136" t="s">
        <v>147</v>
      </c>
      <c r="C1522" s="136" t="s">
        <v>150</v>
      </c>
      <c r="D1522" s="136" t="s">
        <v>1669</v>
      </c>
      <c r="E1522" s="136" t="s">
        <v>615</v>
      </c>
      <c r="F1522" s="136">
        <v>123</v>
      </c>
      <c r="G1522" s="137">
        <f t="shared" si="5"/>
        <v>3</v>
      </c>
      <c r="H1522" s="137"/>
      <c r="I1522" s="137"/>
      <c r="J1522" s="135"/>
      <c r="K1522" s="135"/>
      <c r="L1522" s="135"/>
      <c r="M1522" s="135"/>
      <c r="N1522" s="135"/>
      <c r="O1522" s="135"/>
      <c r="P1522" s="135"/>
      <c r="Q1522" s="135"/>
      <c r="R1522" s="135"/>
      <c r="S1522" s="135"/>
      <c r="T1522" s="135"/>
      <c r="U1522" s="135"/>
      <c r="V1522" s="135"/>
      <c r="W1522" s="135"/>
      <c r="X1522" s="135"/>
      <c r="Y1522" s="135"/>
      <c r="Z1522" s="135"/>
    </row>
    <row r="1523" spans="1:26" ht="12.75">
      <c r="A1523" s="136" t="s">
        <v>19</v>
      </c>
      <c r="B1523" s="136" t="s">
        <v>147</v>
      </c>
      <c r="C1523" s="136" t="s">
        <v>150</v>
      </c>
      <c r="D1523" s="136" t="s">
        <v>7614</v>
      </c>
      <c r="E1523" s="136" t="s">
        <v>7614</v>
      </c>
      <c r="F1523" s="136">
        <v>71</v>
      </c>
      <c r="G1523" s="137">
        <f t="shared" si="5"/>
        <v>4</v>
      </c>
      <c r="H1523" s="137"/>
      <c r="I1523" s="137"/>
      <c r="J1523" s="135"/>
      <c r="K1523" s="135"/>
      <c r="L1523" s="135"/>
      <c r="M1523" s="135"/>
      <c r="N1523" s="135"/>
      <c r="O1523" s="135"/>
      <c r="P1523" s="135"/>
      <c r="Q1523" s="135"/>
      <c r="R1523" s="135"/>
      <c r="S1523" s="135"/>
      <c r="T1523" s="135"/>
      <c r="U1523" s="135"/>
      <c r="V1523" s="135"/>
      <c r="W1523" s="135"/>
      <c r="X1523" s="135"/>
      <c r="Y1523" s="135"/>
      <c r="Z1523" s="135"/>
    </row>
    <row r="1524" spans="1:26" ht="12.75">
      <c r="A1524" s="136" t="s">
        <v>19</v>
      </c>
      <c r="B1524" s="136" t="s">
        <v>147</v>
      </c>
      <c r="C1524" s="136" t="s">
        <v>150</v>
      </c>
      <c r="D1524" s="136" t="s">
        <v>1665</v>
      </c>
      <c r="E1524" s="136" t="s">
        <v>615</v>
      </c>
      <c r="F1524" s="136">
        <v>67</v>
      </c>
      <c r="G1524" s="137">
        <f t="shared" si="5"/>
        <v>5</v>
      </c>
      <c r="H1524" s="137"/>
      <c r="I1524" s="137"/>
      <c r="J1524" s="135"/>
      <c r="K1524" s="135"/>
      <c r="L1524" s="135"/>
      <c r="M1524" s="135"/>
      <c r="N1524" s="135"/>
      <c r="O1524" s="135"/>
      <c r="P1524" s="135"/>
      <c r="Q1524" s="135"/>
      <c r="R1524" s="135"/>
      <c r="S1524" s="135"/>
      <c r="T1524" s="135"/>
      <c r="U1524" s="135"/>
      <c r="V1524" s="135"/>
      <c r="W1524" s="135"/>
      <c r="X1524" s="135"/>
      <c r="Y1524" s="135"/>
      <c r="Z1524" s="135"/>
    </row>
    <row r="1525" spans="1:26" ht="12.75">
      <c r="A1525" s="136" t="s">
        <v>19</v>
      </c>
      <c r="B1525" s="136" t="s">
        <v>147</v>
      </c>
      <c r="C1525" s="136" t="s">
        <v>150</v>
      </c>
      <c r="D1525" s="136" t="s">
        <v>467</v>
      </c>
      <c r="E1525" s="136" t="s">
        <v>85</v>
      </c>
      <c r="F1525" s="136">
        <v>47</v>
      </c>
      <c r="G1525" s="137">
        <f t="shared" si="5"/>
        <v>6</v>
      </c>
      <c r="H1525" s="137"/>
      <c r="I1525" s="137"/>
      <c r="J1525" s="135"/>
      <c r="K1525" s="135"/>
      <c r="L1525" s="135"/>
      <c r="M1525" s="135"/>
      <c r="N1525" s="135"/>
      <c r="O1525" s="135"/>
      <c r="P1525" s="135"/>
      <c r="Q1525" s="135"/>
      <c r="R1525" s="135"/>
      <c r="S1525" s="135"/>
      <c r="T1525" s="135"/>
      <c r="U1525" s="135"/>
      <c r="V1525" s="135"/>
      <c r="W1525" s="135"/>
      <c r="X1525" s="135"/>
      <c r="Y1525" s="135"/>
      <c r="Z1525" s="135"/>
    </row>
    <row r="1526" spans="1:26" ht="12.75">
      <c r="A1526" s="136" t="s">
        <v>19</v>
      </c>
      <c r="B1526" s="136" t="s">
        <v>147</v>
      </c>
      <c r="C1526" s="136" t="s">
        <v>150</v>
      </c>
      <c r="D1526" s="136" t="s">
        <v>7621</v>
      </c>
      <c r="E1526" s="136" t="s">
        <v>7621</v>
      </c>
      <c r="F1526" s="136">
        <v>28</v>
      </c>
      <c r="G1526" s="137">
        <f t="shared" si="5"/>
        <v>7</v>
      </c>
      <c r="H1526" s="137"/>
      <c r="I1526" s="137"/>
      <c r="J1526" s="135"/>
      <c r="K1526" s="135"/>
      <c r="L1526" s="135"/>
      <c r="M1526" s="135"/>
      <c r="N1526" s="135"/>
      <c r="O1526" s="135"/>
      <c r="P1526" s="135"/>
      <c r="Q1526" s="135"/>
      <c r="R1526" s="135"/>
      <c r="S1526" s="135"/>
      <c r="T1526" s="135"/>
      <c r="U1526" s="135"/>
      <c r="V1526" s="135"/>
      <c r="W1526" s="135"/>
      <c r="X1526" s="135"/>
      <c r="Y1526" s="135"/>
      <c r="Z1526" s="135"/>
    </row>
    <row r="1527" spans="1:26" ht="25.5">
      <c r="A1527" s="136" t="s">
        <v>19</v>
      </c>
      <c r="B1527" s="136" t="s">
        <v>147</v>
      </c>
      <c r="C1527" s="136" t="s">
        <v>150</v>
      </c>
      <c r="D1527" s="136" t="s">
        <v>7622</v>
      </c>
      <c r="E1527" s="136" t="s">
        <v>86</v>
      </c>
      <c r="F1527" s="136">
        <v>16</v>
      </c>
      <c r="G1527" s="137">
        <f t="shared" si="5"/>
        <v>8</v>
      </c>
      <c r="H1527" s="137"/>
      <c r="I1527" s="137"/>
      <c r="J1527" s="135"/>
      <c r="K1527" s="135"/>
      <c r="L1527" s="135"/>
      <c r="M1527" s="135"/>
      <c r="N1527" s="135"/>
      <c r="O1527" s="135"/>
      <c r="P1527" s="135"/>
      <c r="Q1527" s="135"/>
      <c r="R1527" s="135"/>
      <c r="S1527" s="135"/>
      <c r="T1527" s="135"/>
      <c r="U1527" s="135"/>
      <c r="V1527" s="135"/>
      <c r="W1527" s="135"/>
      <c r="X1527" s="135"/>
      <c r="Y1527" s="135"/>
      <c r="Z1527" s="135"/>
    </row>
    <row r="1528" spans="1:26" ht="12.75">
      <c r="A1528" s="136" t="s">
        <v>19</v>
      </c>
      <c r="B1528" s="136" t="s">
        <v>147</v>
      </c>
      <c r="C1528" s="136" t="s">
        <v>7623</v>
      </c>
      <c r="D1528" s="136" t="s">
        <v>7624</v>
      </c>
      <c r="E1528" s="136" t="s">
        <v>86</v>
      </c>
      <c r="F1528" s="136">
        <v>397</v>
      </c>
      <c r="G1528" s="137">
        <f t="shared" si="5"/>
        <v>1</v>
      </c>
      <c r="H1528" s="137"/>
      <c r="I1528" s="137"/>
      <c r="J1528" s="135"/>
      <c r="K1528" s="135"/>
      <c r="L1528" s="135"/>
      <c r="M1528" s="135"/>
      <c r="N1528" s="135"/>
      <c r="O1528" s="135"/>
      <c r="P1528" s="135"/>
      <c r="Q1528" s="135"/>
      <c r="R1528" s="135"/>
      <c r="S1528" s="135"/>
      <c r="T1528" s="135"/>
      <c r="U1528" s="135"/>
      <c r="V1528" s="135"/>
      <c r="W1528" s="135"/>
      <c r="X1528" s="135"/>
      <c r="Y1528" s="135"/>
      <c r="Z1528" s="135"/>
    </row>
    <row r="1529" spans="1:26" ht="12.75">
      <c r="A1529" s="136" t="s">
        <v>19</v>
      </c>
      <c r="B1529" s="136" t="s">
        <v>147</v>
      </c>
      <c r="C1529" s="136" t="s">
        <v>7623</v>
      </c>
      <c r="D1529" s="136" t="s">
        <v>107</v>
      </c>
      <c r="E1529" s="136" t="s">
        <v>615</v>
      </c>
      <c r="F1529" s="136">
        <v>324</v>
      </c>
      <c r="G1529" s="137">
        <f t="shared" si="5"/>
        <v>2</v>
      </c>
      <c r="H1529" s="137"/>
      <c r="I1529" s="137"/>
      <c r="J1529" s="135"/>
      <c r="K1529" s="135"/>
      <c r="L1529" s="135"/>
      <c r="M1529" s="135"/>
      <c r="N1529" s="135"/>
      <c r="O1529" s="135"/>
      <c r="P1529" s="135"/>
      <c r="Q1529" s="135"/>
      <c r="R1529" s="135"/>
      <c r="S1529" s="135"/>
      <c r="T1529" s="135"/>
      <c r="U1529" s="135"/>
      <c r="V1529" s="135"/>
      <c r="W1529" s="135"/>
      <c r="X1529" s="135"/>
      <c r="Y1529" s="135"/>
      <c r="Z1529" s="135"/>
    </row>
    <row r="1530" spans="1:26" ht="12.75">
      <c r="A1530" s="136" t="s">
        <v>19</v>
      </c>
      <c r="B1530" s="136" t="s">
        <v>147</v>
      </c>
      <c r="C1530" s="136" t="s">
        <v>7623</v>
      </c>
      <c r="D1530" s="136" t="s">
        <v>139</v>
      </c>
      <c r="E1530" s="136" t="s">
        <v>594</v>
      </c>
      <c r="F1530" s="136">
        <v>240</v>
      </c>
      <c r="G1530" s="137">
        <f t="shared" si="5"/>
        <v>3</v>
      </c>
      <c r="H1530" s="137"/>
      <c r="I1530" s="137"/>
      <c r="J1530" s="135"/>
      <c r="K1530" s="135"/>
      <c r="L1530" s="135"/>
      <c r="M1530" s="135"/>
      <c r="N1530" s="135"/>
      <c r="O1530" s="135"/>
      <c r="P1530" s="135"/>
      <c r="Q1530" s="135"/>
      <c r="R1530" s="135"/>
      <c r="S1530" s="135"/>
      <c r="T1530" s="135"/>
      <c r="U1530" s="135"/>
      <c r="V1530" s="135"/>
      <c r="W1530" s="135"/>
      <c r="X1530" s="135"/>
      <c r="Y1530" s="135"/>
      <c r="Z1530" s="135"/>
    </row>
    <row r="1531" spans="1:26" ht="12.75">
      <c r="A1531" s="136" t="s">
        <v>19</v>
      </c>
      <c r="B1531" s="136" t="s">
        <v>147</v>
      </c>
      <c r="C1531" s="136" t="s">
        <v>7623</v>
      </c>
      <c r="D1531" s="136" t="s">
        <v>154</v>
      </c>
      <c r="E1531" s="136" t="s">
        <v>615</v>
      </c>
      <c r="F1531" s="136">
        <v>230</v>
      </c>
      <c r="G1531" s="137">
        <f t="shared" si="5"/>
        <v>4</v>
      </c>
      <c r="H1531" s="137"/>
      <c r="I1531" s="137"/>
      <c r="J1531" s="135"/>
      <c r="K1531" s="135"/>
      <c r="L1531" s="135"/>
      <c r="M1531" s="135"/>
      <c r="N1531" s="135"/>
      <c r="O1531" s="135"/>
      <c r="P1531" s="135"/>
      <c r="Q1531" s="135"/>
      <c r="R1531" s="135"/>
      <c r="S1531" s="135"/>
      <c r="T1531" s="135"/>
      <c r="U1531" s="135"/>
      <c r="V1531" s="135"/>
      <c r="W1531" s="135"/>
      <c r="X1531" s="135"/>
      <c r="Y1531" s="135"/>
      <c r="Z1531" s="135"/>
    </row>
    <row r="1532" spans="1:26" ht="12.75">
      <c r="A1532" s="136" t="s">
        <v>19</v>
      </c>
      <c r="B1532" s="136" t="s">
        <v>147</v>
      </c>
      <c r="C1532" s="136" t="s">
        <v>7623</v>
      </c>
      <c r="D1532" s="136" t="s">
        <v>38</v>
      </c>
      <c r="E1532" s="136" t="s">
        <v>38</v>
      </c>
      <c r="F1532" s="136">
        <v>209</v>
      </c>
      <c r="G1532" s="137">
        <f t="shared" ref="G1532:G1786" si="6">COUNTIFS($C:$C,C1532,$F:$F,"&gt;"&amp;F1532)
 + COUNTIFS($C$2:C1532,C1532,$F$2:F1532,F1532)</f>
        <v>5</v>
      </c>
      <c r="H1532" s="137"/>
      <c r="I1532" s="137"/>
      <c r="J1532" s="135"/>
      <c r="K1532" s="135"/>
      <c r="L1532" s="135"/>
      <c r="M1532" s="135"/>
      <c r="N1532" s="135"/>
      <c r="O1532" s="135"/>
      <c r="P1532" s="135"/>
      <c r="Q1532" s="135"/>
      <c r="R1532" s="135"/>
      <c r="S1532" s="135"/>
      <c r="T1532" s="135"/>
      <c r="U1532" s="135"/>
      <c r="V1532" s="135"/>
      <c r="W1532" s="135"/>
      <c r="X1532" s="135"/>
      <c r="Y1532" s="135"/>
      <c r="Z1532" s="135"/>
    </row>
    <row r="1533" spans="1:26" ht="12.75">
      <c r="A1533" s="136" t="s">
        <v>19</v>
      </c>
      <c r="B1533" s="136" t="s">
        <v>147</v>
      </c>
      <c r="C1533" s="136" t="s">
        <v>7623</v>
      </c>
      <c r="D1533" s="136" t="s">
        <v>1674</v>
      </c>
      <c r="E1533" s="136" t="s">
        <v>615</v>
      </c>
      <c r="F1533" s="136">
        <v>160</v>
      </c>
      <c r="G1533" s="137">
        <f t="shared" si="6"/>
        <v>6</v>
      </c>
      <c r="H1533" s="137"/>
      <c r="I1533" s="137"/>
      <c r="J1533" s="135"/>
      <c r="K1533" s="135"/>
      <c r="L1533" s="135"/>
      <c r="M1533" s="135"/>
      <c r="N1533" s="135"/>
      <c r="O1533" s="135"/>
      <c r="P1533" s="135"/>
      <c r="Q1533" s="135"/>
      <c r="R1533" s="135"/>
      <c r="S1533" s="135"/>
      <c r="T1533" s="135"/>
      <c r="U1533" s="135"/>
      <c r="V1533" s="135"/>
      <c r="W1533" s="135"/>
      <c r="X1533" s="135"/>
      <c r="Y1533" s="135"/>
      <c r="Z1533" s="135"/>
    </row>
    <row r="1534" spans="1:26" ht="12.75">
      <c r="A1534" s="136" t="s">
        <v>19</v>
      </c>
      <c r="B1534" s="136" t="s">
        <v>147</v>
      </c>
      <c r="C1534" s="136" t="s">
        <v>7623</v>
      </c>
      <c r="D1534" s="136" t="s">
        <v>7534</v>
      </c>
      <c r="E1534" s="136" t="s">
        <v>594</v>
      </c>
      <c r="F1534" s="136">
        <v>50</v>
      </c>
      <c r="G1534" s="137">
        <f t="shared" si="6"/>
        <v>7</v>
      </c>
      <c r="H1534" s="137"/>
      <c r="I1534" s="137"/>
      <c r="J1534" s="135"/>
      <c r="K1534" s="135"/>
      <c r="L1534" s="135"/>
      <c r="M1534" s="135"/>
      <c r="N1534" s="135"/>
      <c r="O1534" s="135"/>
      <c r="P1534" s="135"/>
      <c r="Q1534" s="135"/>
      <c r="R1534" s="135"/>
      <c r="S1534" s="135"/>
      <c r="T1534" s="135"/>
      <c r="U1534" s="135"/>
      <c r="V1534" s="135"/>
      <c r="W1534" s="135"/>
      <c r="X1534" s="135"/>
      <c r="Y1534" s="135"/>
      <c r="Z1534" s="135"/>
    </row>
    <row r="1535" spans="1:26" ht="12.75">
      <c r="A1535" s="136" t="s">
        <v>19</v>
      </c>
      <c r="B1535" s="136" t="s">
        <v>147</v>
      </c>
      <c r="C1535" s="136" t="s">
        <v>7623</v>
      </c>
      <c r="D1535" s="136" t="s">
        <v>7617</v>
      </c>
      <c r="E1535" s="136" t="s">
        <v>615</v>
      </c>
      <c r="F1535" s="136">
        <v>30</v>
      </c>
      <c r="G1535" s="137">
        <f t="shared" si="6"/>
        <v>8</v>
      </c>
      <c r="H1535" s="137"/>
      <c r="I1535" s="137"/>
      <c r="J1535" s="135"/>
      <c r="K1535" s="135"/>
      <c r="L1535" s="135"/>
      <c r="M1535" s="135"/>
      <c r="N1535" s="135"/>
      <c r="O1535" s="135"/>
      <c r="P1535" s="135"/>
      <c r="Q1535" s="135"/>
      <c r="R1535" s="135"/>
      <c r="S1535" s="135"/>
      <c r="T1535" s="135"/>
      <c r="U1535" s="135"/>
      <c r="V1535" s="135"/>
      <c r="W1535" s="135"/>
      <c r="X1535" s="135"/>
      <c r="Y1535" s="135"/>
      <c r="Z1535" s="135"/>
    </row>
    <row r="1536" spans="1:26" ht="12.75">
      <c r="A1536" s="136" t="s">
        <v>19</v>
      </c>
      <c r="B1536" s="136" t="s">
        <v>147</v>
      </c>
      <c r="C1536" s="136" t="s">
        <v>7623</v>
      </c>
      <c r="D1536" s="136" t="s">
        <v>467</v>
      </c>
      <c r="E1536" s="136" t="s">
        <v>85</v>
      </c>
      <c r="F1536" s="136">
        <v>25</v>
      </c>
      <c r="G1536" s="137">
        <f t="shared" si="6"/>
        <v>9</v>
      </c>
      <c r="H1536" s="137"/>
      <c r="I1536" s="137"/>
      <c r="J1536" s="135"/>
      <c r="K1536" s="135"/>
      <c r="L1536" s="135"/>
      <c r="M1536" s="135"/>
      <c r="N1536" s="135"/>
      <c r="O1536" s="135"/>
      <c r="P1536" s="135"/>
      <c r="Q1536" s="135"/>
      <c r="R1536" s="135"/>
      <c r="S1536" s="135"/>
      <c r="T1536" s="135"/>
      <c r="U1536" s="135"/>
      <c r="V1536" s="135"/>
      <c r="W1536" s="135"/>
      <c r="X1536" s="135"/>
      <c r="Y1536" s="135"/>
      <c r="Z1536" s="135"/>
    </row>
    <row r="1537" spans="1:26" ht="12.75">
      <c r="A1537" s="136" t="s">
        <v>19</v>
      </c>
      <c r="B1537" s="136" t="s">
        <v>147</v>
      </c>
      <c r="C1537" s="136" t="s">
        <v>7623</v>
      </c>
      <c r="D1537" s="136" t="s">
        <v>114</v>
      </c>
      <c r="E1537" s="136" t="s">
        <v>85</v>
      </c>
      <c r="F1537" s="136">
        <v>5</v>
      </c>
      <c r="G1537" s="137">
        <f t="shared" si="6"/>
        <v>10</v>
      </c>
      <c r="H1537" s="137"/>
      <c r="I1537" s="137"/>
      <c r="J1537" s="135"/>
      <c r="K1537" s="135"/>
      <c r="L1537" s="135"/>
      <c r="M1537" s="135"/>
      <c r="N1537" s="135"/>
      <c r="O1537" s="135"/>
      <c r="P1537" s="135"/>
      <c r="Q1537" s="135"/>
      <c r="R1537" s="135"/>
      <c r="S1537" s="135"/>
      <c r="T1537" s="135"/>
      <c r="U1537" s="135"/>
      <c r="V1537" s="135"/>
      <c r="W1537" s="135"/>
      <c r="X1537" s="135"/>
      <c r="Y1537" s="135"/>
      <c r="Z1537" s="135"/>
    </row>
    <row r="1538" spans="1:26" ht="12.75">
      <c r="A1538" s="136" t="s">
        <v>19</v>
      </c>
      <c r="B1538" s="136" t="s">
        <v>147</v>
      </c>
      <c r="C1538" s="136" t="s">
        <v>7625</v>
      </c>
      <c r="D1538" s="136" t="s">
        <v>154</v>
      </c>
      <c r="E1538" s="136" t="s">
        <v>615</v>
      </c>
      <c r="F1538" s="136">
        <v>572</v>
      </c>
      <c r="G1538" s="137">
        <f t="shared" si="6"/>
        <v>1</v>
      </c>
      <c r="H1538" s="137"/>
      <c r="I1538" s="137"/>
      <c r="J1538" s="135"/>
      <c r="K1538" s="135"/>
      <c r="L1538" s="135"/>
      <c r="M1538" s="135"/>
      <c r="N1538" s="135"/>
      <c r="O1538" s="135"/>
      <c r="P1538" s="135"/>
      <c r="Q1538" s="135"/>
      <c r="R1538" s="135"/>
      <c r="S1538" s="135"/>
      <c r="T1538" s="135"/>
      <c r="U1538" s="135"/>
      <c r="V1538" s="135"/>
      <c r="W1538" s="135"/>
      <c r="X1538" s="135"/>
      <c r="Y1538" s="135"/>
      <c r="Z1538" s="135"/>
    </row>
    <row r="1539" spans="1:26" ht="12.75">
      <c r="A1539" s="136" t="s">
        <v>19</v>
      </c>
      <c r="B1539" s="136" t="s">
        <v>147</v>
      </c>
      <c r="C1539" s="136" t="s">
        <v>7625</v>
      </c>
      <c r="D1539" s="136" t="s">
        <v>1669</v>
      </c>
      <c r="E1539" s="136" t="s">
        <v>615</v>
      </c>
      <c r="F1539" s="136">
        <v>426</v>
      </c>
      <c r="G1539" s="137">
        <f t="shared" si="6"/>
        <v>2</v>
      </c>
      <c r="H1539" s="137"/>
      <c r="I1539" s="137"/>
      <c r="J1539" s="135"/>
      <c r="K1539" s="135"/>
      <c r="L1539" s="135"/>
      <c r="M1539" s="135"/>
      <c r="N1539" s="135"/>
      <c r="O1539" s="135"/>
      <c r="P1539" s="135"/>
      <c r="Q1539" s="135"/>
      <c r="R1539" s="135"/>
      <c r="S1539" s="135"/>
      <c r="T1539" s="135"/>
      <c r="U1539" s="135"/>
      <c r="V1539" s="135"/>
      <c r="W1539" s="135"/>
      <c r="X1539" s="135"/>
      <c r="Y1539" s="135"/>
      <c r="Z1539" s="135"/>
    </row>
    <row r="1540" spans="1:26" ht="12.75">
      <c r="A1540" s="136" t="s">
        <v>19</v>
      </c>
      <c r="B1540" s="136" t="s">
        <v>147</v>
      </c>
      <c r="C1540" s="136" t="s">
        <v>7625</v>
      </c>
      <c r="D1540" s="136" t="s">
        <v>114</v>
      </c>
      <c r="E1540" s="136" t="s">
        <v>85</v>
      </c>
      <c r="F1540" s="136">
        <v>260</v>
      </c>
      <c r="G1540" s="137">
        <f t="shared" si="6"/>
        <v>3</v>
      </c>
      <c r="H1540" s="137"/>
      <c r="I1540" s="137"/>
      <c r="J1540" s="135"/>
      <c r="K1540" s="135"/>
      <c r="L1540" s="135"/>
      <c r="M1540" s="135"/>
      <c r="N1540" s="135"/>
      <c r="O1540" s="135"/>
      <c r="P1540" s="135"/>
      <c r="Q1540" s="135"/>
      <c r="R1540" s="135"/>
      <c r="S1540" s="135"/>
      <c r="T1540" s="135"/>
      <c r="U1540" s="135"/>
      <c r="V1540" s="135"/>
      <c r="W1540" s="135"/>
      <c r="X1540" s="135"/>
      <c r="Y1540" s="135"/>
      <c r="Z1540" s="135"/>
    </row>
    <row r="1541" spans="1:26" ht="12.75">
      <c r="A1541" s="136" t="s">
        <v>19</v>
      </c>
      <c r="B1541" s="136" t="s">
        <v>147</v>
      </c>
      <c r="C1541" s="136" t="s">
        <v>7625</v>
      </c>
      <c r="D1541" s="136" t="s">
        <v>139</v>
      </c>
      <c r="E1541" s="136" t="s">
        <v>594</v>
      </c>
      <c r="F1541" s="136">
        <v>180</v>
      </c>
      <c r="G1541" s="137">
        <f t="shared" si="6"/>
        <v>4</v>
      </c>
      <c r="H1541" s="137"/>
      <c r="I1541" s="137"/>
      <c r="J1541" s="135"/>
      <c r="K1541" s="135"/>
      <c r="L1541" s="135"/>
      <c r="M1541" s="135"/>
      <c r="N1541" s="135"/>
      <c r="O1541" s="135"/>
      <c r="P1541" s="135"/>
      <c r="Q1541" s="135"/>
      <c r="R1541" s="135"/>
      <c r="S1541" s="135"/>
      <c r="T1541" s="135"/>
      <c r="U1541" s="135"/>
      <c r="V1541" s="135"/>
      <c r="W1541" s="135"/>
      <c r="X1541" s="135"/>
      <c r="Y1541" s="135"/>
      <c r="Z1541" s="135"/>
    </row>
    <row r="1542" spans="1:26" ht="12.75">
      <c r="A1542" s="136" t="s">
        <v>19</v>
      </c>
      <c r="B1542" s="136" t="s">
        <v>147</v>
      </c>
      <c r="C1542" s="136" t="s">
        <v>7625</v>
      </c>
      <c r="D1542" s="136" t="s">
        <v>7626</v>
      </c>
      <c r="E1542" s="136" t="s">
        <v>615</v>
      </c>
      <c r="F1542" s="136">
        <v>117</v>
      </c>
      <c r="G1542" s="137">
        <f t="shared" si="6"/>
        <v>5</v>
      </c>
      <c r="H1542" s="137"/>
      <c r="I1542" s="137"/>
      <c r="J1542" s="135"/>
      <c r="K1542" s="135"/>
      <c r="L1542" s="135"/>
      <c r="M1542" s="135"/>
      <c r="N1542" s="135"/>
      <c r="O1542" s="135"/>
      <c r="P1542" s="135"/>
      <c r="Q1542" s="135"/>
      <c r="R1542" s="135"/>
      <c r="S1542" s="135"/>
      <c r="T1542" s="135"/>
      <c r="U1542" s="135"/>
      <c r="V1542" s="135"/>
      <c r="W1542" s="135"/>
      <c r="X1542" s="135"/>
      <c r="Y1542" s="135"/>
      <c r="Z1542" s="135"/>
    </row>
    <row r="1543" spans="1:26" ht="12.75">
      <c r="A1543" s="136" t="s">
        <v>19</v>
      </c>
      <c r="B1543" s="136" t="s">
        <v>147</v>
      </c>
      <c r="C1543" s="136" t="s">
        <v>7625</v>
      </c>
      <c r="D1543" s="136" t="s">
        <v>1665</v>
      </c>
      <c r="E1543" s="136" t="s">
        <v>615</v>
      </c>
      <c r="F1543" s="136">
        <v>109</v>
      </c>
      <c r="G1543" s="137">
        <f t="shared" si="6"/>
        <v>6</v>
      </c>
      <c r="H1543" s="137"/>
      <c r="I1543" s="137"/>
      <c r="J1543" s="135"/>
      <c r="K1543" s="135"/>
      <c r="L1543" s="135"/>
      <c r="M1543" s="135"/>
      <c r="N1543" s="135"/>
      <c r="O1543" s="135"/>
      <c r="P1543" s="135"/>
      <c r="Q1543" s="135"/>
      <c r="R1543" s="135"/>
      <c r="S1543" s="135"/>
      <c r="T1543" s="135"/>
      <c r="U1543" s="135"/>
      <c r="V1543" s="135"/>
      <c r="W1543" s="135"/>
      <c r="X1543" s="135"/>
      <c r="Y1543" s="135"/>
      <c r="Z1543" s="135"/>
    </row>
    <row r="1544" spans="1:26" ht="12.75">
      <c r="A1544" s="136" t="s">
        <v>19</v>
      </c>
      <c r="B1544" s="136" t="s">
        <v>147</v>
      </c>
      <c r="C1544" s="136" t="s">
        <v>7625</v>
      </c>
      <c r="D1544" s="136" t="s">
        <v>467</v>
      </c>
      <c r="E1544" s="136" t="s">
        <v>85</v>
      </c>
      <c r="F1544" s="136">
        <v>78</v>
      </c>
      <c r="G1544" s="137">
        <f t="shared" si="6"/>
        <v>7</v>
      </c>
      <c r="H1544" s="137"/>
      <c r="I1544" s="137"/>
      <c r="J1544" s="135"/>
      <c r="K1544" s="135"/>
      <c r="L1544" s="135"/>
      <c r="M1544" s="135"/>
      <c r="N1544" s="135"/>
      <c r="O1544" s="135"/>
      <c r="P1544" s="135"/>
      <c r="Q1544" s="135"/>
      <c r="R1544" s="135"/>
      <c r="S1544" s="135"/>
      <c r="T1544" s="135"/>
      <c r="U1544" s="135"/>
      <c r="V1544" s="135"/>
      <c r="W1544" s="135"/>
      <c r="X1544" s="135"/>
      <c r="Y1544" s="135"/>
      <c r="Z1544" s="135"/>
    </row>
    <row r="1545" spans="1:26" ht="12.75">
      <c r="A1545" s="136" t="s">
        <v>19</v>
      </c>
      <c r="B1545" s="136" t="s">
        <v>147</v>
      </c>
      <c r="C1545" s="136" t="s">
        <v>7625</v>
      </c>
      <c r="D1545" s="136" t="s">
        <v>7617</v>
      </c>
      <c r="E1545" s="136" t="s">
        <v>615</v>
      </c>
      <c r="F1545" s="136">
        <v>23</v>
      </c>
      <c r="G1545" s="137">
        <f t="shared" si="6"/>
        <v>8</v>
      </c>
      <c r="H1545" s="137"/>
      <c r="I1545" s="137"/>
      <c r="J1545" s="135"/>
      <c r="K1545" s="135"/>
      <c r="L1545" s="135"/>
      <c r="M1545" s="135"/>
      <c r="N1545" s="135"/>
      <c r="O1545" s="135"/>
      <c r="P1545" s="135"/>
      <c r="Q1545" s="135"/>
      <c r="R1545" s="135"/>
      <c r="S1545" s="135"/>
      <c r="T1545" s="135"/>
      <c r="U1545" s="135"/>
      <c r="V1545" s="135"/>
      <c r="W1545" s="135"/>
      <c r="X1545" s="135"/>
      <c r="Y1545" s="135"/>
      <c r="Z1545" s="135"/>
    </row>
    <row r="1546" spans="1:26" ht="12.75">
      <c r="A1546" s="136" t="s">
        <v>19</v>
      </c>
      <c r="B1546" s="136" t="s">
        <v>147</v>
      </c>
      <c r="C1546" s="136" t="s">
        <v>7627</v>
      </c>
      <c r="D1546" s="136" t="s">
        <v>1669</v>
      </c>
      <c r="E1546" s="136" t="s">
        <v>615</v>
      </c>
      <c r="F1546" s="136">
        <v>725</v>
      </c>
      <c r="G1546" s="137">
        <f t="shared" si="6"/>
        <v>1</v>
      </c>
      <c r="H1546" s="137"/>
      <c r="I1546" s="137"/>
      <c r="J1546" s="135"/>
      <c r="K1546" s="135"/>
      <c r="L1546" s="135"/>
      <c r="M1546" s="135"/>
      <c r="N1546" s="135"/>
      <c r="O1546" s="135"/>
      <c r="P1546" s="135"/>
      <c r="Q1546" s="135"/>
      <c r="R1546" s="135"/>
      <c r="S1546" s="135"/>
      <c r="T1546" s="135"/>
      <c r="U1546" s="135"/>
      <c r="V1546" s="135"/>
      <c r="W1546" s="135"/>
      <c r="X1546" s="135"/>
      <c r="Y1546" s="135"/>
      <c r="Z1546" s="135"/>
    </row>
    <row r="1547" spans="1:26" ht="12.75">
      <c r="A1547" s="136" t="s">
        <v>19</v>
      </c>
      <c r="B1547" s="136" t="s">
        <v>147</v>
      </c>
      <c r="C1547" s="136" t="s">
        <v>7627</v>
      </c>
      <c r="D1547" s="136" t="s">
        <v>114</v>
      </c>
      <c r="E1547" s="136" t="s">
        <v>85</v>
      </c>
      <c r="F1547" s="136">
        <v>288</v>
      </c>
      <c r="G1547" s="137">
        <f t="shared" si="6"/>
        <v>2</v>
      </c>
      <c r="H1547" s="137"/>
      <c r="I1547" s="137"/>
      <c r="J1547" s="135"/>
      <c r="K1547" s="135"/>
      <c r="L1547" s="135"/>
      <c r="M1547" s="135"/>
      <c r="N1547" s="135"/>
      <c r="O1547" s="135"/>
      <c r="P1547" s="135"/>
      <c r="Q1547" s="135"/>
      <c r="R1547" s="135"/>
      <c r="S1547" s="135"/>
      <c r="T1547" s="135"/>
      <c r="U1547" s="135"/>
      <c r="V1547" s="135"/>
      <c r="W1547" s="135"/>
      <c r="X1547" s="135"/>
      <c r="Y1547" s="135"/>
      <c r="Z1547" s="135"/>
    </row>
    <row r="1548" spans="1:26" ht="12.75">
      <c r="A1548" s="136" t="s">
        <v>19</v>
      </c>
      <c r="B1548" s="136" t="s">
        <v>147</v>
      </c>
      <c r="C1548" s="136" t="s">
        <v>7627</v>
      </c>
      <c r="D1548" s="136" t="s">
        <v>7628</v>
      </c>
      <c r="E1548" s="136" t="s">
        <v>594</v>
      </c>
      <c r="F1548" s="136">
        <v>150</v>
      </c>
      <c r="G1548" s="137">
        <f t="shared" si="6"/>
        <v>3</v>
      </c>
      <c r="H1548" s="137"/>
      <c r="I1548" s="137"/>
      <c r="J1548" s="135"/>
      <c r="K1548" s="135"/>
      <c r="L1548" s="135"/>
      <c r="M1548" s="135"/>
      <c r="N1548" s="135"/>
      <c r="O1548" s="135"/>
      <c r="P1548" s="135"/>
      <c r="Q1548" s="135"/>
      <c r="R1548" s="135"/>
      <c r="S1548" s="135"/>
      <c r="T1548" s="135"/>
      <c r="U1548" s="135"/>
      <c r="V1548" s="135"/>
      <c r="W1548" s="135"/>
      <c r="X1548" s="135"/>
      <c r="Y1548" s="135"/>
      <c r="Z1548" s="135"/>
    </row>
    <row r="1549" spans="1:26" ht="12.75">
      <c r="A1549" s="136" t="s">
        <v>19</v>
      </c>
      <c r="B1549" s="136" t="s">
        <v>147</v>
      </c>
      <c r="C1549" s="136" t="s">
        <v>7627</v>
      </c>
      <c r="D1549" s="136" t="s">
        <v>7629</v>
      </c>
      <c r="E1549" s="136" t="s">
        <v>615</v>
      </c>
      <c r="F1549" s="136">
        <v>150</v>
      </c>
      <c r="G1549" s="137">
        <f t="shared" si="6"/>
        <v>4</v>
      </c>
      <c r="H1549" s="137"/>
      <c r="I1549" s="137"/>
      <c r="J1549" s="135"/>
      <c r="K1549" s="135"/>
      <c r="L1549" s="135"/>
      <c r="M1549" s="135"/>
      <c r="N1549" s="135"/>
      <c r="O1549" s="135"/>
      <c r="P1549" s="135"/>
      <c r="Q1549" s="135"/>
      <c r="R1549" s="135"/>
      <c r="S1549" s="135"/>
      <c r="T1549" s="135"/>
      <c r="U1549" s="135"/>
      <c r="V1549" s="135"/>
      <c r="W1549" s="135"/>
      <c r="X1549" s="135"/>
      <c r="Y1549" s="135"/>
      <c r="Z1549" s="135"/>
    </row>
    <row r="1550" spans="1:26" ht="12.75">
      <c r="A1550" s="136" t="s">
        <v>19</v>
      </c>
      <c r="B1550" s="136" t="s">
        <v>147</v>
      </c>
      <c r="C1550" s="136" t="s">
        <v>7627</v>
      </c>
      <c r="D1550" s="136" t="s">
        <v>467</v>
      </c>
      <c r="E1550" s="136" t="s">
        <v>85</v>
      </c>
      <c r="F1550" s="136">
        <v>50</v>
      </c>
      <c r="G1550" s="137">
        <f t="shared" si="6"/>
        <v>5</v>
      </c>
      <c r="H1550" s="137"/>
      <c r="I1550" s="137"/>
      <c r="J1550" s="135"/>
      <c r="K1550" s="135"/>
      <c r="L1550" s="135"/>
      <c r="M1550" s="135"/>
      <c r="N1550" s="135"/>
      <c r="O1550" s="135"/>
      <c r="P1550" s="135"/>
      <c r="Q1550" s="135"/>
      <c r="R1550" s="135"/>
      <c r="S1550" s="135"/>
      <c r="T1550" s="135"/>
      <c r="U1550" s="135"/>
      <c r="V1550" s="135"/>
      <c r="W1550" s="135"/>
      <c r="X1550" s="135"/>
      <c r="Y1550" s="135"/>
      <c r="Z1550" s="135"/>
    </row>
    <row r="1551" spans="1:26" ht="12.75">
      <c r="A1551" s="136" t="s">
        <v>19</v>
      </c>
      <c r="B1551" s="136" t="s">
        <v>147</v>
      </c>
      <c r="C1551" s="136" t="s">
        <v>7627</v>
      </c>
      <c r="D1551" s="136" t="s">
        <v>1665</v>
      </c>
      <c r="E1551" s="136" t="s">
        <v>615</v>
      </c>
      <c r="F1551" s="136">
        <v>47</v>
      </c>
      <c r="G1551" s="137">
        <f t="shared" si="6"/>
        <v>6</v>
      </c>
      <c r="H1551" s="137"/>
      <c r="I1551" s="137"/>
      <c r="J1551" s="135"/>
      <c r="K1551" s="135"/>
      <c r="L1551" s="135"/>
      <c r="M1551" s="135"/>
      <c r="N1551" s="135"/>
      <c r="O1551" s="135"/>
      <c r="P1551" s="135"/>
      <c r="Q1551" s="135"/>
      <c r="R1551" s="135"/>
      <c r="S1551" s="135"/>
      <c r="T1551" s="135"/>
      <c r="U1551" s="135"/>
      <c r="V1551" s="135"/>
      <c r="W1551" s="135"/>
      <c r="X1551" s="135"/>
      <c r="Y1551" s="135"/>
      <c r="Z1551" s="135"/>
    </row>
    <row r="1552" spans="1:26" ht="12.75">
      <c r="A1552" s="136" t="s">
        <v>19</v>
      </c>
      <c r="B1552" s="136" t="s">
        <v>147</v>
      </c>
      <c r="C1552" s="136" t="s">
        <v>7627</v>
      </c>
      <c r="D1552" s="136" t="s">
        <v>368</v>
      </c>
      <c r="E1552" s="136" t="s">
        <v>594</v>
      </c>
      <c r="F1552" s="136">
        <v>38</v>
      </c>
      <c r="G1552" s="137">
        <f t="shared" si="6"/>
        <v>7</v>
      </c>
      <c r="H1552" s="137"/>
      <c r="I1552" s="137"/>
      <c r="J1552" s="135"/>
      <c r="K1552" s="135"/>
      <c r="L1552" s="135"/>
      <c r="M1552" s="135"/>
      <c r="N1552" s="135"/>
      <c r="O1552" s="135"/>
      <c r="P1552" s="135"/>
      <c r="Q1552" s="135"/>
      <c r="R1552" s="135"/>
      <c r="S1552" s="135"/>
      <c r="T1552" s="135"/>
      <c r="U1552" s="135"/>
      <c r="V1552" s="135"/>
      <c r="W1552" s="135"/>
      <c r="X1552" s="135"/>
      <c r="Y1552" s="135"/>
      <c r="Z1552" s="135"/>
    </row>
    <row r="1553" spans="1:26" ht="12.75">
      <c r="A1553" s="136" t="s">
        <v>19</v>
      </c>
      <c r="B1553" s="136" t="s">
        <v>147</v>
      </c>
      <c r="C1553" s="136" t="s">
        <v>7627</v>
      </c>
      <c r="D1553" s="136" t="s">
        <v>1626</v>
      </c>
      <c r="E1553" s="136" t="s">
        <v>594</v>
      </c>
      <c r="F1553" s="136">
        <v>33</v>
      </c>
      <c r="G1553" s="137">
        <f t="shared" si="6"/>
        <v>8</v>
      </c>
      <c r="H1553" s="137"/>
      <c r="I1553" s="137"/>
      <c r="J1553" s="135"/>
      <c r="K1553" s="135"/>
      <c r="L1553" s="135"/>
      <c r="M1553" s="135"/>
      <c r="N1553" s="135"/>
      <c r="O1553" s="135"/>
      <c r="P1553" s="135"/>
      <c r="Q1553" s="135"/>
      <c r="R1553" s="135"/>
      <c r="S1553" s="135"/>
      <c r="T1553" s="135"/>
      <c r="U1553" s="135"/>
      <c r="V1553" s="135"/>
      <c r="W1553" s="135"/>
      <c r="X1553" s="135"/>
      <c r="Y1553" s="135"/>
      <c r="Z1553" s="135"/>
    </row>
    <row r="1554" spans="1:26" ht="12.75">
      <c r="A1554" s="136" t="s">
        <v>19</v>
      </c>
      <c r="B1554" s="136" t="s">
        <v>147</v>
      </c>
      <c r="C1554" s="136" t="s">
        <v>7627</v>
      </c>
      <c r="D1554" s="136" t="s">
        <v>7630</v>
      </c>
      <c r="E1554" s="136" t="s">
        <v>615</v>
      </c>
      <c r="F1554" s="136">
        <v>19</v>
      </c>
      <c r="G1554" s="137">
        <f t="shared" si="6"/>
        <v>9</v>
      </c>
      <c r="H1554" s="137"/>
      <c r="I1554" s="137"/>
      <c r="J1554" s="135"/>
      <c r="K1554" s="135"/>
      <c r="L1554" s="135"/>
      <c r="M1554" s="135"/>
      <c r="N1554" s="135"/>
      <c r="O1554" s="135"/>
      <c r="P1554" s="135"/>
      <c r="Q1554" s="135"/>
      <c r="R1554" s="135"/>
      <c r="S1554" s="135"/>
      <c r="T1554" s="135"/>
      <c r="U1554" s="135"/>
      <c r="V1554" s="135"/>
      <c r="W1554" s="135"/>
      <c r="X1554" s="135"/>
      <c r="Y1554" s="135"/>
      <c r="Z1554" s="135"/>
    </row>
    <row r="1555" spans="1:26" ht="12.75">
      <c r="A1555" s="136" t="s">
        <v>19</v>
      </c>
      <c r="B1555" s="136" t="s">
        <v>147</v>
      </c>
      <c r="C1555" s="136" t="s">
        <v>7631</v>
      </c>
      <c r="D1555" s="136" t="s">
        <v>1669</v>
      </c>
      <c r="E1555" s="136" t="s">
        <v>615</v>
      </c>
      <c r="F1555" s="136">
        <v>2189</v>
      </c>
      <c r="G1555" s="137">
        <f t="shared" si="6"/>
        <v>1</v>
      </c>
      <c r="H1555" s="137"/>
      <c r="I1555" s="137"/>
      <c r="J1555" s="135"/>
      <c r="K1555" s="135"/>
      <c r="L1555" s="135"/>
      <c r="M1555" s="135"/>
      <c r="N1555" s="135"/>
      <c r="O1555" s="135"/>
      <c r="P1555" s="135"/>
      <c r="Q1555" s="135"/>
      <c r="R1555" s="135"/>
      <c r="S1555" s="135"/>
      <c r="T1555" s="135"/>
      <c r="U1555" s="135"/>
      <c r="V1555" s="135"/>
      <c r="W1555" s="135"/>
      <c r="X1555" s="135"/>
      <c r="Y1555" s="135"/>
      <c r="Z1555" s="135"/>
    </row>
    <row r="1556" spans="1:26" ht="12.75">
      <c r="A1556" s="136" t="s">
        <v>19</v>
      </c>
      <c r="B1556" s="136" t="s">
        <v>147</v>
      </c>
      <c r="C1556" s="136" t="s">
        <v>7631</v>
      </c>
      <c r="D1556" s="136" t="s">
        <v>107</v>
      </c>
      <c r="E1556" s="136" t="s">
        <v>594</v>
      </c>
      <c r="F1556" s="136">
        <v>1051</v>
      </c>
      <c r="G1556" s="137">
        <f t="shared" si="6"/>
        <v>2</v>
      </c>
      <c r="H1556" s="137"/>
      <c r="I1556" s="137"/>
      <c r="J1556" s="135"/>
      <c r="K1556" s="135"/>
      <c r="L1556" s="135"/>
      <c r="M1556" s="135"/>
      <c r="N1556" s="135"/>
      <c r="O1556" s="135"/>
      <c r="P1556" s="135"/>
      <c r="Q1556" s="135"/>
      <c r="R1556" s="135"/>
      <c r="S1556" s="135"/>
      <c r="T1556" s="135"/>
      <c r="U1556" s="135"/>
      <c r="V1556" s="135"/>
      <c r="W1556" s="135"/>
      <c r="X1556" s="135"/>
      <c r="Y1556" s="135"/>
      <c r="Z1556" s="135"/>
    </row>
    <row r="1557" spans="1:26" ht="12.75">
      <c r="A1557" s="136" t="s">
        <v>19</v>
      </c>
      <c r="B1557" s="136" t="s">
        <v>147</v>
      </c>
      <c r="C1557" s="136" t="s">
        <v>7631</v>
      </c>
      <c r="D1557" s="136" t="s">
        <v>7632</v>
      </c>
      <c r="E1557" s="136" t="s">
        <v>615</v>
      </c>
      <c r="F1557" s="136">
        <v>658</v>
      </c>
      <c r="G1557" s="137">
        <f t="shared" si="6"/>
        <v>3</v>
      </c>
      <c r="H1557" s="137"/>
      <c r="I1557" s="137"/>
      <c r="J1557" s="135"/>
      <c r="K1557" s="135"/>
      <c r="L1557" s="135"/>
      <c r="M1557" s="135"/>
      <c r="N1557" s="135"/>
      <c r="O1557" s="135"/>
      <c r="P1557" s="135"/>
      <c r="Q1557" s="135"/>
      <c r="R1557" s="135"/>
      <c r="S1557" s="135"/>
      <c r="T1557" s="135"/>
      <c r="U1557" s="135"/>
      <c r="V1557" s="135"/>
      <c r="W1557" s="135"/>
      <c r="X1557" s="135"/>
      <c r="Y1557" s="135"/>
      <c r="Z1557" s="135"/>
    </row>
    <row r="1558" spans="1:26" ht="12.75">
      <c r="A1558" s="136" t="s">
        <v>19</v>
      </c>
      <c r="B1558" s="136" t="s">
        <v>147</v>
      </c>
      <c r="C1558" s="136" t="s">
        <v>7631</v>
      </c>
      <c r="D1558" s="136" t="s">
        <v>165</v>
      </c>
      <c r="E1558" s="136" t="s">
        <v>615</v>
      </c>
      <c r="F1558" s="136">
        <v>606</v>
      </c>
      <c r="G1558" s="137">
        <f t="shared" si="6"/>
        <v>4</v>
      </c>
      <c r="H1558" s="137"/>
      <c r="I1558" s="137"/>
      <c r="J1558" s="135"/>
      <c r="K1558" s="135"/>
      <c r="L1558" s="135"/>
      <c r="M1558" s="135"/>
      <c r="N1558" s="135"/>
      <c r="O1558" s="135"/>
      <c r="P1558" s="135"/>
      <c r="Q1558" s="135"/>
      <c r="R1558" s="135"/>
      <c r="S1558" s="135"/>
      <c r="T1558" s="135"/>
      <c r="U1558" s="135"/>
      <c r="V1558" s="135"/>
      <c r="W1558" s="135"/>
      <c r="X1558" s="135"/>
      <c r="Y1558" s="135"/>
      <c r="Z1558" s="135"/>
    </row>
    <row r="1559" spans="1:26" ht="12.75">
      <c r="A1559" s="136" t="s">
        <v>19</v>
      </c>
      <c r="B1559" s="136" t="s">
        <v>147</v>
      </c>
      <c r="C1559" s="136" t="s">
        <v>7631</v>
      </c>
      <c r="D1559" s="136" t="s">
        <v>114</v>
      </c>
      <c r="E1559" s="136" t="s">
        <v>85</v>
      </c>
      <c r="F1559" s="136">
        <v>408</v>
      </c>
      <c r="G1559" s="137">
        <f t="shared" si="6"/>
        <v>5</v>
      </c>
      <c r="H1559" s="137"/>
      <c r="I1559" s="137"/>
      <c r="J1559" s="135"/>
      <c r="K1559" s="135"/>
      <c r="L1559" s="135"/>
      <c r="M1559" s="135"/>
      <c r="N1559" s="135"/>
      <c r="O1559" s="135"/>
      <c r="P1559" s="135"/>
      <c r="Q1559" s="135"/>
      <c r="R1559" s="135"/>
      <c r="S1559" s="135"/>
      <c r="T1559" s="135"/>
      <c r="U1559" s="135"/>
      <c r="V1559" s="135"/>
      <c r="W1559" s="135"/>
      <c r="X1559" s="135"/>
      <c r="Y1559" s="135"/>
      <c r="Z1559" s="135"/>
    </row>
    <row r="1560" spans="1:26" ht="12.75">
      <c r="A1560" s="136" t="s">
        <v>19</v>
      </c>
      <c r="B1560" s="136" t="s">
        <v>147</v>
      </c>
      <c r="C1560" s="136" t="s">
        <v>7631</v>
      </c>
      <c r="D1560" s="136" t="s">
        <v>139</v>
      </c>
      <c r="E1560" s="136" t="s">
        <v>594</v>
      </c>
      <c r="F1560" s="136">
        <v>285</v>
      </c>
      <c r="G1560" s="137">
        <f t="shared" si="6"/>
        <v>6</v>
      </c>
      <c r="H1560" s="137"/>
      <c r="I1560" s="137"/>
      <c r="J1560" s="135"/>
      <c r="K1560" s="135"/>
      <c r="L1560" s="135"/>
      <c r="M1560" s="135"/>
      <c r="N1560" s="135"/>
      <c r="O1560" s="135"/>
      <c r="P1560" s="135"/>
      <c r="Q1560" s="135"/>
      <c r="R1560" s="135"/>
      <c r="S1560" s="135"/>
      <c r="T1560" s="135"/>
      <c r="U1560" s="135"/>
      <c r="V1560" s="135"/>
      <c r="W1560" s="135"/>
      <c r="X1560" s="135"/>
      <c r="Y1560" s="135"/>
      <c r="Z1560" s="135"/>
    </row>
    <row r="1561" spans="1:26" ht="12.75">
      <c r="A1561" s="136" t="s">
        <v>19</v>
      </c>
      <c r="B1561" s="136" t="s">
        <v>147</v>
      </c>
      <c r="C1561" s="136" t="s">
        <v>7631</v>
      </c>
      <c r="D1561" s="136" t="s">
        <v>7617</v>
      </c>
      <c r="E1561" s="136" t="s">
        <v>615</v>
      </c>
      <c r="F1561" s="136">
        <v>184</v>
      </c>
      <c r="G1561" s="137">
        <f t="shared" si="6"/>
        <v>7</v>
      </c>
      <c r="H1561" s="137"/>
      <c r="I1561" s="137"/>
      <c r="J1561" s="135"/>
      <c r="K1561" s="135"/>
      <c r="L1561" s="135"/>
      <c r="M1561" s="135"/>
      <c r="N1561" s="135"/>
      <c r="O1561" s="135"/>
      <c r="P1561" s="135"/>
      <c r="Q1561" s="135"/>
      <c r="R1561" s="135"/>
      <c r="S1561" s="135"/>
      <c r="T1561" s="135"/>
      <c r="U1561" s="135"/>
      <c r="V1561" s="135"/>
      <c r="W1561" s="135"/>
      <c r="X1561" s="135"/>
      <c r="Y1561" s="135"/>
      <c r="Z1561" s="135"/>
    </row>
    <row r="1562" spans="1:26" ht="12.75">
      <c r="A1562" s="136" t="s">
        <v>19</v>
      </c>
      <c r="B1562" s="136" t="s">
        <v>147</v>
      </c>
      <c r="C1562" s="136" t="s">
        <v>7631</v>
      </c>
      <c r="D1562" s="136" t="s">
        <v>86</v>
      </c>
      <c r="E1562" s="136" t="s">
        <v>86</v>
      </c>
      <c r="F1562" s="136">
        <v>132</v>
      </c>
      <c r="G1562" s="137">
        <f t="shared" si="6"/>
        <v>8</v>
      </c>
      <c r="H1562" s="137"/>
      <c r="I1562" s="137"/>
      <c r="J1562" s="135"/>
      <c r="K1562" s="135"/>
      <c r="L1562" s="135"/>
      <c r="M1562" s="135"/>
      <c r="N1562" s="135"/>
      <c r="O1562" s="135"/>
      <c r="P1562" s="135"/>
      <c r="Q1562" s="135"/>
      <c r="R1562" s="135"/>
      <c r="S1562" s="135"/>
      <c r="T1562" s="135"/>
      <c r="U1562" s="135"/>
      <c r="V1562" s="135"/>
      <c r="W1562" s="135"/>
      <c r="X1562" s="135"/>
      <c r="Y1562" s="135"/>
      <c r="Z1562" s="135"/>
    </row>
    <row r="1563" spans="1:26" ht="12.75">
      <c r="A1563" s="136" t="s">
        <v>19</v>
      </c>
      <c r="B1563" s="136" t="s">
        <v>147</v>
      </c>
      <c r="C1563" s="136" t="s">
        <v>7631</v>
      </c>
      <c r="D1563" s="136" t="s">
        <v>7491</v>
      </c>
      <c r="E1563" s="136" t="s">
        <v>615</v>
      </c>
      <c r="F1563" s="136">
        <v>64</v>
      </c>
      <c r="G1563" s="137">
        <f t="shared" si="6"/>
        <v>9</v>
      </c>
      <c r="H1563" s="137"/>
      <c r="I1563" s="137"/>
      <c r="J1563" s="135"/>
      <c r="K1563" s="135"/>
      <c r="L1563" s="135"/>
      <c r="M1563" s="135"/>
      <c r="N1563" s="135"/>
      <c r="O1563" s="135"/>
      <c r="P1563" s="135"/>
      <c r="Q1563" s="135"/>
      <c r="R1563" s="135"/>
      <c r="S1563" s="135"/>
      <c r="T1563" s="135"/>
      <c r="U1563" s="135"/>
      <c r="V1563" s="135"/>
      <c r="W1563" s="135"/>
      <c r="X1563" s="135"/>
      <c r="Y1563" s="135"/>
      <c r="Z1563" s="135"/>
    </row>
    <row r="1564" spans="1:26" ht="12.75">
      <c r="A1564" s="136" t="s">
        <v>19</v>
      </c>
      <c r="B1564" s="136" t="s">
        <v>147</v>
      </c>
      <c r="C1564" s="136" t="s">
        <v>7631</v>
      </c>
      <c r="D1564" s="136" t="s">
        <v>7633</v>
      </c>
      <c r="E1564" s="136" t="s">
        <v>7633</v>
      </c>
      <c r="F1564" s="136">
        <v>48</v>
      </c>
      <c r="G1564" s="137">
        <f t="shared" si="6"/>
        <v>10</v>
      </c>
      <c r="H1564" s="137"/>
      <c r="I1564" s="137"/>
      <c r="J1564" s="135"/>
      <c r="K1564" s="135"/>
      <c r="L1564" s="135"/>
      <c r="M1564" s="135"/>
      <c r="N1564" s="135"/>
      <c r="O1564" s="135"/>
      <c r="P1564" s="135"/>
      <c r="Q1564" s="135"/>
      <c r="R1564" s="135"/>
      <c r="S1564" s="135"/>
      <c r="T1564" s="135"/>
      <c r="U1564" s="135"/>
      <c r="V1564" s="135"/>
      <c r="W1564" s="135"/>
      <c r="X1564" s="135"/>
      <c r="Y1564" s="135"/>
      <c r="Z1564" s="135"/>
    </row>
    <row r="1565" spans="1:26" ht="12.75">
      <c r="A1565" s="136" t="s">
        <v>19</v>
      </c>
      <c r="B1565" s="136" t="s">
        <v>147</v>
      </c>
      <c r="C1565" s="136" t="s">
        <v>7631</v>
      </c>
      <c r="D1565" s="136" t="s">
        <v>467</v>
      </c>
      <c r="E1565" s="136" t="s">
        <v>85</v>
      </c>
      <c r="F1565" s="136">
        <v>37</v>
      </c>
      <c r="G1565" s="137">
        <f t="shared" si="6"/>
        <v>11</v>
      </c>
      <c r="H1565" s="137"/>
      <c r="I1565" s="137"/>
      <c r="J1565" s="135"/>
      <c r="K1565" s="135"/>
      <c r="L1565" s="135"/>
      <c r="M1565" s="135"/>
      <c r="N1565" s="135"/>
      <c r="O1565" s="135"/>
      <c r="P1565" s="135"/>
      <c r="Q1565" s="135"/>
      <c r="R1565" s="135"/>
      <c r="S1565" s="135"/>
      <c r="T1565" s="135"/>
      <c r="U1565" s="135"/>
      <c r="V1565" s="135"/>
      <c r="W1565" s="135"/>
      <c r="X1565" s="135"/>
      <c r="Y1565" s="135"/>
      <c r="Z1565" s="135"/>
    </row>
    <row r="1566" spans="1:26" ht="12.75">
      <c r="A1566" s="136" t="s">
        <v>19</v>
      </c>
      <c r="B1566" s="136" t="s">
        <v>147</v>
      </c>
      <c r="C1566" s="136" t="s">
        <v>7631</v>
      </c>
      <c r="D1566" s="136" t="s">
        <v>368</v>
      </c>
      <c r="E1566" s="136" t="s">
        <v>594</v>
      </c>
      <c r="F1566" s="136">
        <v>33</v>
      </c>
      <c r="G1566" s="137">
        <f t="shared" si="6"/>
        <v>12</v>
      </c>
      <c r="H1566" s="137"/>
      <c r="I1566" s="137"/>
      <c r="J1566" s="135"/>
      <c r="K1566" s="135"/>
      <c r="L1566" s="135"/>
      <c r="M1566" s="135"/>
      <c r="N1566" s="135"/>
      <c r="O1566" s="135"/>
      <c r="P1566" s="135"/>
      <c r="Q1566" s="135"/>
      <c r="R1566" s="135"/>
      <c r="S1566" s="135"/>
      <c r="T1566" s="135"/>
      <c r="U1566" s="135"/>
      <c r="V1566" s="135"/>
      <c r="W1566" s="135"/>
      <c r="X1566" s="135"/>
      <c r="Y1566" s="135"/>
      <c r="Z1566" s="135"/>
    </row>
    <row r="1567" spans="1:26" ht="12.75">
      <c r="A1567" s="136" t="s">
        <v>19</v>
      </c>
      <c r="B1567" s="136" t="s">
        <v>147</v>
      </c>
      <c r="C1567" s="136" t="s">
        <v>7634</v>
      </c>
      <c r="D1567" s="136" t="s">
        <v>139</v>
      </c>
      <c r="E1567" s="136" t="s">
        <v>594</v>
      </c>
      <c r="F1567" s="136">
        <v>2870</v>
      </c>
      <c r="G1567" s="137">
        <f t="shared" si="6"/>
        <v>1</v>
      </c>
      <c r="H1567" s="137"/>
      <c r="I1567" s="137"/>
      <c r="J1567" s="135"/>
      <c r="K1567" s="135"/>
      <c r="L1567" s="135"/>
      <c r="M1567" s="135"/>
      <c r="N1567" s="135"/>
      <c r="O1567" s="135"/>
      <c r="P1567" s="135"/>
      <c r="Q1567" s="135"/>
      <c r="R1567" s="135"/>
      <c r="S1567" s="135"/>
      <c r="T1567" s="135"/>
      <c r="U1567" s="135"/>
      <c r="V1567" s="135"/>
      <c r="W1567" s="135"/>
      <c r="X1567" s="135"/>
      <c r="Y1567" s="135"/>
      <c r="Z1567" s="135"/>
    </row>
    <row r="1568" spans="1:26" ht="12.75">
      <c r="A1568" s="136" t="s">
        <v>19</v>
      </c>
      <c r="B1568" s="136" t="s">
        <v>147</v>
      </c>
      <c r="C1568" s="136" t="s">
        <v>7634</v>
      </c>
      <c r="D1568" s="136" t="s">
        <v>1669</v>
      </c>
      <c r="E1568" s="136" t="s">
        <v>615</v>
      </c>
      <c r="F1568" s="136">
        <v>665</v>
      </c>
      <c r="G1568" s="137">
        <f t="shared" si="6"/>
        <v>2</v>
      </c>
      <c r="H1568" s="137"/>
      <c r="I1568" s="137"/>
      <c r="J1568" s="135"/>
      <c r="K1568" s="135"/>
      <c r="L1568" s="135"/>
      <c r="M1568" s="135"/>
      <c r="N1568" s="135"/>
      <c r="O1568" s="135"/>
      <c r="P1568" s="135"/>
      <c r="Q1568" s="135"/>
      <c r="R1568" s="135"/>
      <c r="S1568" s="135"/>
      <c r="T1568" s="135"/>
      <c r="U1568" s="135"/>
      <c r="V1568" s="135"/>
      <c r="W1568" s="135"/>
      <c r="X1568" s="135"/>
      <c r="Y1568" s="135"/>
      <c r="Z1568" s="135"/>
    </row>
    <row r="1569" spans="1:26" ht="12.75">
      <c r="A1569" s="136" t="s">
        <v>19</v>
      </c>
      <c r="B1569" s="136" t="s">
        <v>147</v>
      </c>
      <c r="C1569" s="136" t="s">
        <v>7634</v>
      </c>
      <c r="D1569" s="136" t="s">
        <v>7472</v>
      </c>
      <c r="E1569" s="136" t="s">
        <v>615</v>
      </c>
      <c r="F1569" s="136">
        <v>662</v>
      </c>
      <c r="G1569" s="137">
        <f t="shared" si="6"/>
        <v>3</v>
      </c>
      <c r="H1569" s="137"/>
      <c r="I1569" s="137"/>
      <c r="J1569" s="135"/>
      <c r="K1569" s="135"/>
      <c r="L1569" s="135"/>
      <c r="M1569" s="135"/>
      <c r="N1569" s="135"/>
      <c r="O1569" s="135"/>
      <c r="P1569" s="135"/>
      <c r="Q1569" s="135"/>
      <c r="R1569" s="135"/>
      <c r="S1569" s="135"/>
      <c r="T1569" s="135"/>
      <c r="U1569" s="135"/>
      <c r="V1569" s="135"/>
      <c r="W1569" s="135"/>
      <c r="X1569" s="135"/>
      <c r="Y1569" s="135"/>
      <c r="Z1569" s="135"/>
    </row>
    <row r="1570" spans="1:26" ht="12.75">
      <c r="A1570" s="136" t="s">
        <v>19</v>
      </c>
      <c r="B1570" s="136" t="s">
        <v>147</v>
      </c>
      <c r="C1570" s="136" t="s">
        <v>7634</v>
      </c>
      <c r="D1570" s="136" t="s">
        <v>7635</v>
      </c>
      <c r="E1570" s="136" t="s">
        <v>615</v>
      </c>
      <c r="F1570" s="136">
        <v>413</v>
      </c>
      <c r="G1570" s="137">
        <f t="shared" si="6"/>
        <v>4</v>
      </c>
      <c r="H1570" s="137"/>
      <c r="I1570" s="137"/>
      <c r="J1570" s="135"/>
      <c r="K1570" s="135"/>
      <c r="L1570" s="135"/>
      <c r="M1570" s="135"/>
      <c r="N1570" s="135"/>
      <c r="O1570" s="135"/>
      <c r="P1570" s="135"/>
      <c r="Q1570" s="135"/>
      <c r="R1570" s="135"/>
      <c r="S1570" s="135"/>
      <c r="T1570" s="135"/>
      <c r="U1570" s="135"/>
      <c r="V1570" s="135"/>
      <c r="W1570" s="135"/>
      <c r="X1570" s="135"/>
      <c r="Y1570" s="135"/>
      <c r="Z1570" s="135"/>
    </row>
    <row r="1571" spans="1:26" ht="12.75">
      <c r="A1571" s="136" t="s">
        <v>19</v>
      </c>
      <c r="B1571" s="136" t="s">
        <v>147</v>
      </c>
      <c r="C1571" s="136" t="s">
        <v>7634</v>
      </c>
      <c r="D1571" s="136" t="s">
        <v>7636</v>
      </c>
      <c r="E1571" s="136" t="s">
        <v>85</v>
      </c>
      <c r="F1571" s="136">
        <v>347</v>
      </c>
      <c r="G1571" s="137">
        <f t="shared" si="6"/>
        <v>5</v>
      </c>
      <c r="H1571" s="137"/>
      <c r="I1571" s="137"/>
      <c r="J1571" s="135"/>
      <c r="K1571" s="135"/>
      <c r="L1571" s="135"/>
      <c r="M1571" s="135"/>
      <c r="N1571" s="135"/>
      <c r="O1571" s="135"/>
      <c r="P1571" s="135"/>
      <c r="Q1571" s="135"/>
      <c r="R1571" s="135"/>
      <c r="S1571" s="135"/>
      <c r="T1571" s="135"/>
      <c r="U1571" s="135"/>
      <c r="V1571" s="135"/>
      <c r="W1571" s="135"/>
      <c r="X1571" s="135"/>
      <c r="Y1571" s="135"/>
      <c r="Z1571" s="135"/>
    </row>
    <row r="1572" spans="1:26" ht="12.75">
      <c r="A1572" s="136" t="s">
        <v>19</v>
      </c>
      <c r="B1572" s="136" t="s">
        <v>147</v>
      </c>
      <c r="C1572" s="136" t="s">
        <v>7634</v>
      </c>
      <c r="D1572" s="136" t="s">
        <v>98</v>
      </c>
      <c r="E1572" s="136" t="s">
        <v>615</v>
      </c>
      <c r="F1572" s="136">
        <v>335</v>
      </c>
      <c r="G1572" s="137">
        <f t="shared" si="6"/>
        <v>6</v>
      </c>
      <c r="H1572" s="137"/>
      <c r="I1572" s="137"/>
      <c r="J1572" s="135"/>
      <c r="K1572" s="135"/>
      <c r="L1572" s="135"/>
      <c r="M1572" s="135"/>
      <c r="N1572" s="135"/>
      <c r="O1572" s="135"/>
      <c r="P1572" s="135"/>
      <c r="Q1572" s="135"/>
      <c r="R1572" s="135"/>
      <c r="S1572" s="135"/>
      <c r="T1572" s="135"/>
      <c r="U1572" s="135"/>
      <c r="V1572" s="135"/>
      <c r="W1572" s="135"/>
      <c r="X1572" s="135"/>
      <c r="Y1572" s="135"/>
      <c r="Z1572" s="135"/>
    </row>
    <row r="1573" spans="1:26" ht="25.5">
      <c r="A1573" s="136" t="s">
        <v>19</v>
      </c>
      <c r="B1573" s="136" t="s">
        <v>147</v>
      </c>
      <c r="C1573" s="136" t="s">
        <v>7634</v>
      </c>
      <c r="D1573" s="136" t="s">
        <v>7637</v>
      </c>
      <c r="E1573" s="136" t="s">
        <v>86</v>
      </c>
      <c r="F1573" s="136">
        <v>281</v>
      </c>
      <c r="G1573" s="137">
        <f t="shared" si="6"/>
        <v>7</v>
      </c>
      <c r="H1573" s="137"/>
      <c r="I1573" s="137"/>
      <c r="J1573" s="135"/>
      <c r="K1573" s="135"/>
      <c r="L1573" s="135"/>
      <c r="M1573" s="135"/>
      <c r="N1573" s="135"/>
      <c r="O1573" s="135"/>
      <c r="P1573" s="135"/>
      <c r="Q1573" s="135"/>
      <c r="R1573" s="135"/>
      <c r="S1573" s="135"/>
      <c r="T1573" s="135"/>
      <c r="U1573" s="135"/>
      <c r="V1573" s="135"/>
      <c r="W1573" s="135"/>
      <c r="X1573" s="135"/>
      <c r="Y1573" s="135"/>
      <c r="Z1573" s="135"/>
    </row>
    <row r="1574" spans="1:26" ht="12.75">
      <c r="A1574" s="136" t="s">
        <v>19</v>
      </c>
      <c r="B1574" s="136" t="s">
        <v>147</v>
      </c>
      <c r="C1574" s="136" t="s">
        <v>7634</v>
      </c>
      <c r="D1574" s="136" t="s">
        <v>368</v>
      </c>
      <c r="E1574" s="136" t="s">
        <v>594</v>
      </c>
      <c r="F1574" s="136">
        <v>137</v>
      </c>
      <c r="G1574" s="137">
        <f t="shared" si="6"/>
        <v>8</v>
      </c>
      <c r="H1574" s="137"/>
      <c r="I1574" s="137"/>
      <c r="J1574" s="135"/>
      <c r="K1574" s="135"/>
      <c r="L1574" s="135"/>
      <c r="M1574" s="135"/>
      <c r="N1574" s="135"/>
      <c r="O1574" s="135"/>
      <c r="P1574" s="135"/>
      <c r="Q1574" s="135"/>
      <c r="R1574" s="135"/>
      <c r="S1574" s="135"/>
      <c r="T1574" s="135"/>
      <c r="U1574" s="135"/>
      <c r="V1574" s="135"/>
      <c r="W1574" s="135"/>
      <c r="X1574" s="135"/>
      <c r="Y1574" s="135"/>
      <c r="Z1574" s="135"/>
    </row>
    <row r="1575" spans="1:26" ht="12.75">
      <c r="A1575" s="136" t="s">
        <v>19</v>
      </c>
      <c r="B1575" s="136" t="s">
        <v>147</v>
      </c>
      <c r="C1575" s="136" t="s">
        <v>7634</v>
      </c>
      <c r="D1575" s="136" t="s">
        <v>7638</v>
      </c>
      <c r="E1575" s="136" t="s">
        <v>85</v>
      </c>
      <c r="F1575" s="136">
        <v>118</v>
      </c>
      <c r="G1575" s="137">
        <f t="shared" si="6"/>
        <v>9</v>
      </c>
      <c r="H1575" s="137"/>
      <c r="I1575" s="137"/>
      <c r="J1575" s="135"/>
      <c r="K1575" s="135"/>
      <c r="L1575" s="135"/>
      <c r="M1575" s="135"/>
      <c r="N1575" s="135"/>
      <c r="O1575" s="135"/>
      <c r="P1575" s="135"/>
      <c r="Q1575" s="135"/>
      <c r="R1575" s="135"/>
      <c r="S1575" s="135"/>
      <c r="T1575" s="135"/>
      <c r="U1575" s="135"/>
      <c r="V1575" s="135"/>
      <c r="W1575" s="135"/>
      <c r="X1575" s="135"/>
      <c r="Y1575" s="135"/>
      <c r="Z1575" s="135"/>
    </row>
    <row r="1576" spans="1:26" ht="12.75">
      <c r="A1576" s="136" t="s">
        <v>19</v>
      </c>
      <c r="B1576" s="136" t="s">
        <v>147</v>
      </c>
      <c r="C1576" s="136" t="s">
        <v>7634</v>
      </c>
      <c r="D1576" s="136" t="s">
        <v>7621</v>
      </c>
      <c r="E1576" s="136" t="s">
        <v>7621</v>
      </c>
      <c r="F1576" s="136">
        <v>108</v>
      </c>
      <c r="G1576" s="137">
        <f t="shared" si="6"/>
        <v>10</v>
      </c>
      <c r="H1576" s="137"/>
      <c r="I1576" s="137"/>
      <c r="J1576" s="135"/>
      <c r="K1576" s="135"/>
      <c r="L1576" s="135"/>
      <c r="M1576" s="135"/>
      <c r="N1576" s="135"/>
      <c r="O1576" s="135"/>
      <c r="P1576" s="135"/>
      <c r="Q1576" s="135"/>
      <c r="R1576" s="135"/>
      <c r="S1576" s="135"/>
      <c r="T1576" s="135"/>
      <c r="U1576" s="135"/>
      <c r="V1576" s="135"/>
      <c r="W1576" s="135"/>
      <c r="X1576" s="135"/>
      <c r="Y1576" s="135"/>
      <c r="Z1576" s="135"/>
    </row>
    <row r="1577" spans="1:26" ht="12.75">
      <c r="A1577" s="136" t="s">
        <v>19</v>
      </c>
      <c r="B1577" s="136" t="s">
        <v>147</v>
      </c>
      <c r="C1577" s="136" t="s">
        <v>7634</v>
      </c>
      <c r="D1577" s="136" t="s">
        <v>7633</v>
      </c>
      <c r="E1577" s="136" t="s">
        <v>7633</v>
      </c>
      <c r="F1577" s="136">
        <v>79</v>
      </c>
      <c r="G1577" s="137">
        <f t="shared" si="6"/>
        <v>11</v>
      </c>
      <c r="H1577" s="137"/>
      <c r="I1577" s="137"/>
      <c r="J1577" s="135"/>
      <c r="K1577" s="135"/>
      <c r="L1577" s="135"/>
      <c r="M1577" s="135"/>
      <c r="N1577" s="135"/>
      <c r="O1577" s="135"/>
      <c r="P1577" s="135"/>
      <c r="Q1577" s="135"/>
      <c r="R1577" s="135"/>
      <c r="S1577" s="135"/>
      <c r="T1577" s="135"/>
      <c r="U1577" s="135"/>
      <c r="V1577" s="135"/>
      <c r="W1577" s="135"/>
      <c r="X1577" s="135"/>
      <c r="Y1577" s="135"/>
      <c r="Z1577" s="135"/>
    </row>
    <row r="1578" spans="1:26" ht="12.75">
      <c r="A1578" s="136" t="s">
        <v>19</v>
      </c>
      <c r="B1578" s="136" t="s">
        <v>147</v>
      </c>
      <c r="C1578" s="136" t="s">
        <v>7639</v>
      </c>
      <c r="D1578" s="136" t="s">
        <v>7640</v>
      </c>
      <c r="E1578" s="136" t="s">
        <v>85</v>
      </c>
      <c r="F1578" s="136">
        <v>730</v>
      </c>
      <c r="G1578" s="137">
        <f t="shared" si="6"/>
        <v>1</v>
      </c>
      <c r="H1578" s="137"/>
      <c r="I1578" s="137"/>
      <c r="J1578" s="135"/>
      <c r="K1578" s="135"/>
      <c r="L1578" s="135"/>
      <c r="M1578" s="135"/>
      <c r="N1578" s="135"/>
      <c r="O1578" s="135"/>
      <c r="P1578" s="135"/>
      <c r="Q1578" s="135"/>
      <c r="R1578" s="135"/>
      <c r="S1578" s="135"/>
      <c r="T1578" s="135"/>
      <c r="U1578" s="135"/>
      <c r="V1578" s="135"/>
      <c r="W1578" s="135"/>
      <c r="X1578" s="135"/>
      <c r="Y1578" s="135"/>
      <c r="Z1578" s="135"/>
    </row>
    <row r="1579" spans="1:26" ht="25.5">
      <c r="A1579" s="136" t="s">
        <v>19</v>
      </c>
      <c r="B1579" s="136" t="s">
        <v>147</v>
      </c>
      <c r="C1579" s="136" t="s">
        <v>7639</v>
      </c>
      <c r="D1579" s="136" t="s">
        <v>7641</v>
      </c>
      <c r="E1579" s="136" t="s">
        <v>86</v>
      </c>
      <c r="F1579" s="136">
        <v>690</v>
      </c>
      <c r="G1579" s="137">
        <f t="shared" si="6"/>
        <v>2</v>
      </c>
      <c r="H1579" s="137"/>
      <c r="I1579" s="137"/>
      <c r="J1579" s="135"/>
      <c r="K1579" s="135"/>
      <c r="L1579" s="135"/>
      <c r="M1579" s="135"/>
      <c r="N1579" s="135"/>
      <c r="O1579" s="135"/>
      <c r="P1579" s="135"/>
      <c r="Q1579" s="135"/>
      <c r="R1579" s="135"/>
      <c r="S1579" s="135"/>
      <c r="T1579" s="135"/>
      <c r="U1579" s="135"/>
      <c r="V1579" s="135"/>
      <c r="W1579" s="135"/>
      <c r="X1579" s="135"/>
      <c r="Y1579" s="135"/>
      <c r="Z1579" s="135"/>
    </row>
    <row r="1580" spans="1:26" ht="12.75">
      <c r="A1580" s="136" t="s">
        <v>19</v>
      </c>
      <c r="B1580" s="136" t="s">
        <v>147</v>
      </c>
      <c r="C1580" s="136" t="s">
        <v>7639</v>
      </c>
      <c r="D1580" s="136" t="s">
        <v>139</v>
      </c>
      <c r="E1580" s="136" t="s">
        <v>594</v>
      </c>
      <c r="F1580" s="136">
        <v>420</v>
      </c>
      <c r="G1580" s="137">
        <f t="shared" si="6"/>
        <v>3</v>
      </c>
      <c r="H1580" s="137"/>
      <c r="I1580" s="137"/>
      <c r="J1580" s="135"/>
      <c r="K1580" s="135"/>
      <c r="L1580" s="135"/>
      <c r="M1580" s="135"/>
      <c r="N1580" s="135"/>
      <c r="O1580" s="135"/>
      <c r="P1580" s="135"/>
      <c r="Q1580" s="135"/>
      <c r="R1580" s="135"/>
      <c r="S1580" s="135"/>
      <c r="T1580" s="135"/>
      <c r="U1580" s="135"/>
      <c r="V1580" s="135"/>
      <c r="W1580" s="135"/>
      <c r="X1580" s="135"/>
      <c r="Y1580" s="135"/>
      <c r="Z1580" s="135"/>
    </row>
    <row r="1581" spans="1:26" ht="12.75">
      <c r="A1581" s="136" t="s">
        <v>19</v>
      </c>
      <c r="B1581" s="136" t="s">
        <v>147</v>
      </c>
      <c r="C1581" s="136" t="s">
        <v>7639</v>
      </c>
      <c r="D1581" s="136" t="s">
        <v>120</v>
      </c>
      <c r="E1581" s="136" t="s">
        <v>615</v>
      </c>
      <c r="F1581" s="136">
        <v>180</v>
      </c>
      <c r="G1581" s="137">
        <f t="shared" si="6"/>
        <v>4</v>
      </c>
      <c r="H1581" s="137"/>
      <c r="I1581" s="137"/>
      <c r="J1581" s="135"/>
      <c r="K1581" s="135"/>
      <c r="L1581" s="135"/>
      <c r="M1581" s="135"/>
      <c r="N1581" s="135"/>
      <c r="O1581" s="135"/>
      <c r="P1581" s="135"/>
      <c r="Q1581" s="135"/>
      <c r="R1581" s="135"/>
      <c r="S1581" s="135"/>
      <c r="T1581" s="135"/>
      <c r="U1581" s="135"/>
      <c r="V1581" s="135"/>
      <c r="W1581" s="135"/>
      <c r="X1581" s="135"/>
      <c r="Y1581" s="135"/>
      <c r="Z1581" s="135"/>
    </row>
    <row r="1582" spans="1:26" ht="12.75">
      <c r="A1582" s="136" t="s">
        <v>19</v>
      </c>
      <c r="B1582" s="136" t="s">
        <v>147</v>
      </c>
      <c r="C1582" s="136" t="s">
        <v>7639</v>
      </c>
      <c r="D1582" s="136" t="s">
        <v>1669</v>
      </c>
      <c r="E1582" s="136" t="s">
        <v>615</v>
      </c>
      <c r="F1582" s="136">
        <v>161</v>
      </c>
      <c r="G1582" s="137">
        <f t="shared" si="6"/>
        <v>5</v>
      </c>
      <c r="H1582" s="137"/>
      <c r="I1582" s="137"/>
      <c r="J1582" s="135"/>
      <c r="K1582" s="135"/>
      <c r="L1582" s="135"/>
      <c r="M1582" s="135"/>
      <c r="N1582" s="135"/>
      <c r="O1582" s="135"/>
      <c r="P1582" s="135"/>
      <c r="Q1582" s="135"/>
      <c r="R1582" s="135"/>
      <c r="S1582" s="135"/>
      <c r="T1582" s="135"/>
      <c r="U1582" s="135"/>
      <c r="V1582" s="135"/>
      <c r="W1582" s="135"/>
      <c r="X1582" s="135"/>
      <c r="Y1582" s="135"/>
      <c r="Z1582" s="135"/>
    </row>
    <row r="1583" spans="1:26" ht="12.75">
      <c r="A1583" s="136" t="s">
        <v>19</v>
      </c>
      <c r="B1583" s="136" t="s">
        <v>147</v>
      </c>
      <c r="C1583" s="136" t="s">
        <v>7639</v>
      </c>
      <c r="D1583" s="136" t="s">
        <v>7621</v>
      </c>
      <c r="E1583" s="136" t="s">
        <v>7621</v>
      </c>
      <c r="F1583" s="136">
        <v>70</v>
      </c>
      <c r="G1583" s="137">
        <f t="shared" si="6"/>
        <v>6</v>
      </c>
      <c r="H1583" s="137"/>
      <c r="I1583" s="137"/>
      <c r="J1583" s="135"/>
      <c r="K1583" s="135"/>
      <c r="L1583" s="135"/>
      <c r="M1583" s="135"/>
      <c r="N1583" s="135"/>
      <c r="O1583" s="135"/>
      <c r="P1583" s="135"/>
      <c r="Q1583" s="135"/>
      <c r="R1583" s="135"/>
      <c r="S1583" s="135"/>
      <c r="T1583" s="135"/>
      <c r="U1583" s="135"/>
      <c r="V1583" s="135"/>
      <c r="W1583" s="135"/>
      <c r="X1583" s="135"/>
      <c r="Y1583" s="135"/>
      <c r="Z1583" s="135"/>
    </row>
    <row r="1584" spans="1:26" ht="12.75">
      <c r="A1584" s="136" t="s">
        <v>19</v>
      </c>
      <c r="B1584" s="136" t="s">
        <v>147</v>
      </c>
      <c r="C1584" s="136" t="s">
        <v>7639</v>
      </c>
      <c r="D1584" s="136" t="s">
        <v>7633</v>
      </c>
      <c r="E1584" s="136" t="s">
        <v>7633</v>
      </c>
      <c r="F1584" s="136">
        <v>59</v>
      </c>
      <c r="G1584" s="137">
        <f t="shared" si="6"/>
        <v>7</v>
      </c>
      <c r="H1584" s="137"/>
      <c r="I1584" s="137"/>
      <c r="J1584" s="135"/>
      <c r="K1584" s="135"/>
      <c r="L1584" s="135"/>
      <c r="M1584" s="135"/>
      <c r="N1584" s="135"/>
      <c r="O1584" s="135"/>
      <c r="P1584" s="135"/>
      <c r="Q1584" s="135"/>
      <c r="R1584" s="135"/>
      <c r="S1584" s="135"/>
      <c r="T1584" s="135"/>
      <c r="U1584" s="135"/>
      <c r="V1584" s="135"/>
      <c r="W1584" s="135"/>
      <c r="X1584" s="135"/>
      <c r="Y1584" s="135"/>
      <c r="Z1584" s="135"/>
    </row>
    <row r="1585" spans="1:26" ht="12.75">
      <c r="A1585" s="136" t="s">
        <v>19</v>
      </c>
      <c r="B1585" s="136" t="s">
        <v>147</v>
      </c>
      <c r="C1585" s="136" t="s">
        <v>170</v>
      </c>
      <c r="D1585" s="136" t="s">
        <v>107</v>
      </c>
      <c r="E1585" s="136" t="s">
        <v>594</v>
      </c>
      <c r="F1585" s="136">
        <v>3057</v>
      </c>
      <c r="G1585" s="137">
        <f t="shared" si="6"/>
        <v>1</v>
      </c>
      <c r="H1585" s="137"/>
      <c r="I1585" s="137"/>
      <c r="J1585" s="135"/>
      <c r="K1585" s="135"/>
      <c r="L1585" s="135"/>
      <c r="M1585" s="135"/>
      <c r="N1585" s="135"/>
      <c r="O1585" s="135"/>
      <c r="P1585" s="135"/>
      <c r="Q1585" s="135"/>
      <c r="R1585" s="135"/>
      <c r="S1585" s="135"/>
      <c r="T1585" s="135"/>
      <c r="U1585" s="135"/>
      <c r="V1585" s="135"/>
      <c r="W1585" s="135"/>
      <c r="X1585" s="135"/>
      <c r="Y1585" s="135"/>
      <c r="Z1585" s="135"/>
    </row>
    <row r="1586" spans="1:26" ht="12.75">
      <c r="A1586" s="136" t="s">
        <v>19</v>
      </c>
      <c r="B1586" s="136" t="s">
        <v>147</v>
      </c>
      <c r="C1586" s="136" t="s">
        <v>170</v>
      </c>
      <c r="D1586" s="136" t="s">
        <v>114</v>
      </c>
      <c r="E1586" s="136" t="s">
        <v>85</v>
      </c>
      <c r="F1586" s="136">
        <v>810</v>
      </c>
      <c r="G1586" s="137">
        <f t="shared" si="6"/>
        <v>2</v>
      </c>
      <c r="H1586" s="137"/>
      <c r="I1586" s="137"/>
      <c r="J1586" s="135"/>
      <c r="K1586" s="135"/>
      <c r="L1586" s="135"/>
      <c r="M1586" s="135"/>
      <c r="N1586" s="135"/>
      <c r="O1586" s="135"/>
      <c r="P1586" s="135"/>
      <c r="Q1586" s="135"/>
      <c r="R1586" s="135"/>
      <c r="S1586" s="135"/>
      <c r="T1586" s="135"/>
      <c r="U1586" s="135"/>
      <c r="V1586" s="135"/>
      <c r="W1586" s="135"/>
      <c r="X1586" s="135"/>
      <c r="Y1586" s="135"/>
      <c r="Z1586" s="135"/>
    </row>
    <row r="1587" spans="1:26" ht="12.75">
      <c r="A1587" s="136" t="s">
        <v>19</v>
      </c>
      <c r="B1587" s="136" t="s">
        <v>147</v>
      </c>
      <c r="C1587" s="136" t="s">
        <v>170</v>
      </c>
      <c r="D1587" s="136" t="s">
        <v>545</v>
      </c>
      <c r="E1587" s="136" t="s">
        <v>86</v>
      </c>
      <c r="F1587" s="136">
        <v>150</v>
      </c>
      <c r="G1587" s="137">
        <f t="shared" si="6"/>
        <v>3</v>
      </c>
      <c r="H1587" s="137"/>
      <c r="I1587" s="137"/>
      <c r="J1587" s="135"/>
      <c r="K1587" s="135"/>
      <c r="L1587" s="135"/>
      <c r="M1587" s="135"/>
      <c r="N1587" s="135"/>
      <c r="O1587" s="135"/>
      <c r="P1587" s="135"/>
      <c r="Q1587" s="135"/>
      <c r="R1587" s="135"/>
      <c r="S1587" s="135"/>
      <c r="T1587" s="135"/>
      <c r="U1587" s="135"/>
      <c r="V1587" s="135"/>
      <c r="W1587" s="135"/>
      <c r="X1587" s="135"/>
      <c r="Y1587" s="135"/>
      <c r="Z1587" s="135"/>
    </row>
    <row r="1588" spans="1:26" ht="12.75">
      <c r="A1588" s="136" t="s">
        <v>19</v>
      </c>
      <c r="B1588" s="136" t="s">
        <v>147</v>
      </c>
      <c r="C1588" s="136" t="s">
        <v>170</v>
      </c>
      <c r="D1588" s="136" t="s">
        <v>368</v>
      </c>
      <c r="E1588" s="136" t="s">
        <v>594</v>
      </c>
      <c r="F1588" s="136">
        <v>98</v>
      </c>
      <c r="G1588" s="137">
        <f t="shared" si="6"/>
        <v>4</v>
      </c>
      <c r="H1588" s="137"/>
      <c r="I1588" s="137"/>
      <c r="J1588" s="135"/>
      <c r="K1588" s="135"/>
      <c r="L1588" s="135"/>
      <c r="M1588" s="135"/>
      <c r="N1588" s="135"/>
      <c r="O1588" s="135"/>
      <c r="P1588" s="135"/>
      <c r="Q1588" s="135"/>
      <c r="R1588" s="135"/>
      <c r="S1588" s="135"/>
      <c r="T1588" s="135"/>
      <c r="U1588" s="135"/>
      <c r="V1588" s="135"/>
      <c r="W1588" s="135"/>
      <c r="X1588" s="135"/>
      <c r="Y1588" s="135"/>
      <c r="Z1588" s="135"/>
    </row>
    <row r="1589" spans="1:26" ht="12.75">
      <c r="A1589" s="136" t="s">
        <v>19</v>
      </c>
      <c r="B1589" s="136" t="s">
        <v>147</v>
      </c>
      <c r="C1589" s="136" t="s">
        <v>170</v>
      </c>
      <c r="D1589" s="136" t="s">
        <v>7621</v>
      </c>
      <c r="E1589" s="136" t="s">
        <v>7621</v>
      </c>
      <c r="F1589" s="136">
        <v>30</v>
      </c>
      <c r="G1589" s="137">
        <f t="shared" si="6"/>
        <v>10</v>
      </c>
      <c r="H1589" s="137"/>
      <c r="I1589" s="137"/>
      <c r="J1589" s="135"/>
      <c r="K1589" s="135"/>
      <c r="L1589" s="135"/>
      <c r="M1589" s="135"/>
      <c r="N1589" s="135"/>
      <c r="O1589" s="135"/>
      <c r="P1589" s="135"/>
      <c r="Q1589" s="135"/>
      <c r="R1589" s="135"/>
      <c r="S1589" s="135"/>
      <c r="T1589" s="135"/>
      <c r="U1589" s="135"/>
      <c r="V1589" s="135"/>
      <c r="W1589" s="135"/>
      <c r="X1589" s="135"/>
      <c r="Y1589" s="135"/>
      <c r="Z1589" s="135"/>
    </row>
    <row r="1590" spans="1:26" ht="12.75">
      <c r="A1590" s="136" t="s">
        <v>19</v>
      </c>
      <c r="B1590" s="136" t="s">
        <v>147</v>
      </c>
      <c r="C1590" s="136" t="s">
        <v>170</v>
      </c>
      <c r="D1590" s="136" t="s">
        <v>7633</v>
      </c>
      <c r="E1590" s="136" t="s">
        <v>7633</v>
      </c>
      <c r="F1590" s="136">
        <v>35</v>
      </c>
      <c r="G1590" s="137">
        <f t="shared" si="6"/>
        <v>9</v>
      </c>
      <c r="H1590" s="137"/>
      <c r="I1590" s="137"/>
      <c r="J1590" s="135"/>
      <c r="K1590" s="135"/>
      <c r="L1590" s="135"/>
      <c r="M1590" s="135"/>
      <c r="N1590" s="135"/>
      <c r="O1590" s="135"/>
      <c r="P1590" s="135"/>
      <c r="Q1590" s="135"/>
      <c r="R1590" s="135"/>
      <c r="S1590" s="135"/>
      <c r="T1590" s="135"/>
      <c r="U1590" s="135"/>
      <c r="V1590" s="135"/>
      <c r="W1590" s="135"/>
      <c r="X1590" s="135"/>
      <c r="Y1590" s="135"/>
      <c r="Z1590" s="135"/>
    </row>
    <row r="1591" spans="1:26" ht="12.75">
      <c r="A1591" s="136" t="s">
        <v>19</v>
      </c>
      <c r="B1591" s="136" t="s">
        <v>147</v>
      </c>
      <c r="C1591" s="136" t="s">
        <v>170</v>
      </c>
      <c r="D1591" s="136" t="s">
        <v>1669</v>
      </c>
      <c r="E1591" s="136" t="s">
        <v>615</v>
      </c>
      <c r="F1591" s="136">
        <v>54</v>
      </c>
      <c r="G1591" s="137">
        <f t="shared" si="6"/>
        <v>5</v>
      </c>
      <c r="H1591" s="137"/>
      <c r="I1591" s="137"/>
      <c r="J1591" s="135"/>
      <c r="K1591" s="135"/>
      <c r="L1591" s="135"/>
      <c r="M1591" s="135"/>
      <c r="N1591" s="135"/>
      <c r="O1591" s="135"/>
      <c r="P1591" s="135"/>
      <c r="Q1591" s="135"/>
      <c r="R1591" s="135"/>
      <c r="S1591" s="135"/>
      <c r="T1591" s="135"/>
      <c r="U1591" s="135"/>
      <c r="V1591" s="135"/>
      <c r="W1591" s="135"/>
      <c r="X1591" s="135"/>
      <c r="Y1591" s="135"/>
      <c r="Z1591" s="135"/>
    </row>
    <row r="1592" spans="1:26" ht="12.75">
      <c r="A1592" s="136" t="s">
        <v>19</v>
      </c>
      <c r="B1592" s="136" t="s">
        <v>147</v>
      </c>
      <c r="C1592" s="136" t="s">
        <v>170</v>
      </c>
      <c r="D1592" s="136" t="s">
        <v>7527</v>
      </c>
      <c r="E1592" s="136" t="s">
        <v>615</v>
      </c>
      <c r="F1592" s="136">
        <v>50</v>
      </c>
      <c r="G1592" s="137">
        <f t="shared" si="6"/>
        <v>6</v>
      </c>
      <c r="H1592" s="137"/>
      <c r="I1592" s="137"/>
      <c r="J1592" s="135"/>
      <c r="K1592" s="135"/>
      <c r="L1592" s="135"/>
      <c r="M1592" s="135"/>
      <c r="N1592" s="135"/>
      <c r="O1592" s="135"/>
      <c r="P1592" s="135"/>
      <c r="Q1592" s="135"/>
      <c r="R1592" s="135"/>
      <c r="S1592" s="135"/>
      <c r="T1592" s="135"/>
      <c r="U1592" s="135"/>
      <c r="V1592" s="135"/>
      <c r="W1592" s="135"/>
      <c r="X1592" s="135"/>
      <c r="Y1592" s="135"/>
      <c r="Z1592" s="135"/>
    </row>
    <row r="1593" spans="1:26" ht="12.75">
      <c r="A1593" s="136" t="s">
        <v>19</v>
      </c>
      <c r="B1593" s="136" t="s">
        <v>147</v>
      </c>
      <c r="C1593" s="136" t="s">
        <v>170</v>
      </c>
      <c r="D1593" s="136" t="s">
        <v>7642</v>
      </c>
      <c r="E1593" s="136" t="s">
        <v>615</v>
      </c>
      <c r="F1593" s="136">
        <v>40</v>
      </c>
      <c r="G1593" s="137">
        <f t="shared" si="6"/>
        <v>7</v>
      </c>
      <c r="H1593" s="137"/>
      <c r="I1593" s="137"/>
      <c r="J1593" s="135"/>
      <c r="K1593" s="135"/>
      <c r="L1593" s="135"/>
      <c r="M1593" s="135"/>
      <c r="N1593" s="135"/>
      <c r="O1593" s="135"/>
      <c r="P1593" s="135"/>
      <c r="Q1593" s="135"/>
      <c r="R1593" s="135"/>
      <c r="S1593" s="135"/>
      <c r="T1593" s="135"/>
      <c r="U1593" s="135"/>
      <c r="V1593" s="135"/>
      <c r="W1593" s="135"/>
      <c r="X1593" s="135"/>
      <c r="Y1593" s="135"/>
      <c r="Z1593" s="135"/>
    </row>
    <row r="1594" spans="1:26" ht="12.75">
      <c r="A1594" s="136" t="s">
        <v>19</v>
      </c>
      <c r="B1594" s="136" t="s">
        <v>147</v>
      </c>
      <c r="C1594" s="136" t="s">
        <v>170</v>
      </c>
      <c r="D1594" s="136" t="s">
        <v>7643</v>
      </c>
      <c r="E1594" s="136" t="s">
        <v>615</v>
      </c>
      <c r="F1594" s="136">
        <v>38</v>
      </c>
      <c r="G1594" s="137">
        <f t="shared" si="6"/>
        <v>8</v>
      </c>
      <c r="H1594" s="137"/>
      <c r="I1594" s="137"/>
      <c r="J1594" s="135"/>
      <c r="K1594" s="135"/>
      <c r="L1594" s="135"/>
      <c r="M1594" s="135"/>
      <c r="N1594" s="135"/>
      <c r="O1594" s="135"/>
      <c r="P1594" s="135"/>
      <c r="Q1594" s="135"/>
      <c r="R1594" s="135"/>
      <c r="S1594" s="135"/>
      <c r="T1594" s="135"/>
      <c r="U1594" s="135"/>
      <c r="V1594" s="135"/>
      <c r="W1594" s="135"/>
      <c r="X1594" s="135"/>
      <c r="Y1594" s="135"/>
      <c r="Z1594" s="135"/>
    </row>
    <row r="1595" spans="1:26" ht="12.75">
      <c r="A1595" s="136" t="s">
        <v>19</v>
      </c>
      <c r="B1595" s="136" t="s">
        <v>147</v>
      </c>
      <c r="C1595" s="136" t="s">
        <v>170</v>
      </c>
      <c r="D1595" s="136" t="s">
        <v>7644</v>
      </c>
      <c r="E1595" s="136" t="s">
        <v>615</v>
      </c>
      <c r="F1595" s="136">
        <v>30</v>
      </c>
      <c r="G1595" s="137">
        <f t="shared" si="6"/>
        <v>11</v>
      </c>
      <c r="H1595" s="137"/>
      <c r="I1595" s="137"/>
      <c r="J1595" s="135"/>
      <c r="K1595" s="135"/>
      <c r="L1595" s="135"/>
      <c r="M1595" s="135"/>
      <c r="N1595" s="135"/>
      <c r="O1595" s="135"/>
      <c r="P1595" s="135"/>
      <c r="Q1595" s="135"/>
      <c r="R1595" s="135"/>
      <c r="S1595" s="135"/>
      <c r="T1595" s="135"/>
      <c r="U1595" s="135"/>
      <c r="V1595" s="135"/>
      <c r="W1595" s="135"/>
      <c r="X1595" s="135"/>
      <c r="Y1595" s="135"/>
      <c r="Z1595" s="135"/>
    </row>
    <row r="1596" spans="1:26" ht="12.75">
      <c r="A1596" s="136" t="s">
        <v>19</v>
      </c>
      <c r="B1596" s="136" t="s">
        <v>147</v>
      </c>
      <c r="C1596" s="136" t="s">
        <v>170</v>
      </c>
      <c r="D1596" s="136" t="s">
        <v>1665</v>
      </c>
      <c r="E1596" s="136" t="s">
        <v>615</v>
      </c>
      <c r="F1596" s="136">
        <v>30</v>
      </c>
      <c r="G1596" s="137">
        <f t="shared" si="6"/>
        <v>12</v>
      </c>
      <c r="H1596" s="137"/>
      <c r="I1596" s="137"/>
      <c r="J1596" s="135"/>
      <c r="K1596" s="135"/>
      <c r="L1596" s="135"/>
      <c r="M1596" s="135"/>
      <c r="N1596" s="135"/>
      <c r="O1596" s="135"/>
      <c r="P1596" s="135"/>
      <c r="Q1596" s="135"/>
      <c r="R1596" s="135"/>
      <c r="S1596" s="135"/>
      <c r="T1596" s="135"/>
      <c r="U1596" s="135"/>
      <c r="V1596" s="135"/>
      <c r="W1596" s="135"/>
      <c r="X1596" s="135"/>
      <c r="Y1596" s="135"/>
      <c r="Z1596" s="135"/>
    </row>
    <row r="1597" spans="1:26" ht="12.75">
      <c r="A1597" s="136" t="s">
        <v>19</v>
      </c>
      <c r="B1597" s="136" t="s">
        <v>147</v>
      </c>
      <c r="C1597" s="136" t="s">
        <v>170</v>
      </c>
      <c r="D1597" s="136" t="s">
        <v>467</v>
      </c>
      <c r="E1597" s="136" t="s">
        <v>85</v>
      </c>
      <c r="F1597" s="136">
        <v>29</v>
      </c>
      <c r="G1597" s="137">
        <f t="shared" si="6"/>
        <v>13</v>
      </c>
      <c r="H1597" s="137"/>
      <c r="I1597" s="137"/>
      <c r="J1597" s="135"/>
      <c r="K1597" s="135"/>
      <c r="L1597" s="135"/>
      <c r="M1597" s="135"/>
      <c r="N1597" s="135"/>
      <c r="O1597" s="135"/>
      <c r="P1597" s="135"/>
      <c r="Q1597" s="135"/>
      <c r="R1597" s="135"/>
      <c r="S1597" s="135"/>
      <c r="T1597" s="135"/>
      <c r="U1597" s="135"/>
      <c r="V1597" s="135"/>
      <c r="W1597" s="135"/>
      <c r="X1597" s="135"/>
      <c r="Y1597" s="135"/>
      <c r="Z1597" s="135"/>
    </row>
    <row r="1598" spans="1:26" ht="12.75">
      <c r="A1598" s="136" t="s">
        <v>19</v>
      </c>
      <c r="B1598" s="136" t="s">
        <v>147</v>
      </c>
      <c r="C1598" s="136" t="s">
        <v>170</v>
      </c>
      <c r="D1598" s="136" t="s">
        <v>120</v>
      </c>
      <c r="E1598" s="136" t="s">
        <v>615</v>
      </c>
      <c r="F1598" s="136">
        <v>20</v>
      </c>
      <c r="G1598" s="137">
        <f t="shared" si="6"/>
        <v>14</v>
      </c>
      <c r="H1598" s="137"/>
      <c r="I1598" s="137"/>
      <c r="J1598" s="135"/>
      <c r="K1598" s="135"/>
      <c r="L1598" s="135"/>
      <c r="M1598" s="135"/>
      <c r="N1598" s="135"/>
      <c r="O1598" s="135"/>
      <c r="P1598" s="135"/>
      <c r="Q1598" s="135"/>
      <c r="R1598" s="135"/>
      <c r="S1598" s="135"/>
      <c r="T1598" s="135"/>
      <c r="U1598" s="135"/>
      <c r="V1598" s="135"/>
      <c r="W1598" s="135"/>
      <c r="X1598" s="135"/>
      <c r="Y1598" s="135"/>
      <c r="Z1598" s="135"/>
    </row>
    <row r="1599" spans="1:26" ht="12.75">
      <c r="A1599" s="136" t="s">
        <v>19</v>
      </c>
      <c r="B1599" s="136" t="s">
        <v>147</v>
      </c>
      <c r="C1599" s="136" t="s">
        <v>170</v>
      </c>
      <c r="D1599" s="136" t="s">
        <v>139</v>
      </c>
      <c r="E1599" s="136" t="s">
        <v>594</v>
      </c>
      <c r="F1599" s="136">
        <v>20</v>
      </c>
      <c r="G1599" s="137">
        <f t="shared" si="6"/>
        <v>15</v>
      </c>
      <c r="H1599" s="137"/>
      <c r="I1599" s="137"/>
      <c r="J1599" s="135"/>
      <c r="K1599" s="135"/>
      <c r="L1599" s="135"/>
      <c r="M1599" s="135"/>
      <c r="N1599" s="135"/>
      <c r="O1599" s="135"/>
      <c r="P1599" s="135"/>
      <c r="Q1599" s="135"/>
      <c r="R1599" s="135"/>
      <c r="S1599" s="135"/>
      <c r="T1599" s="135"/>
      <c r="U1599" s="135"/>
      <c r="V1599" s="135"/>
      <c r="W1599" s="135"/>
      <c r="X1599" s="135"/>
      <c r="Y1599" s="135"/>
      <c r="Z1599" s="135"/>
    </row>
    <row r="1600" spans="1:26" ht="12.75">
      <c r="A1600" s="136" t="s">
        <v>19</v>
      </c>
      <c r="B1600" s="136" t="s">
        <v>147</v>
      </c>
      <c r="C1600" s="136" t="s">
        <v>170</v>
      </c>
      <c r="D1600" s="136" t="s">
        <v>165</v>
      </c>
      <c r="E1600" s="136" t="s">
        <v>615</v>
      </c>
      <c r="F1600" s="136">
        <v>10</v>
      </c>
      <c r="G1600" s="137">
        <f t="shared" si="6"/>
        <v>16</v>
      </c>
      <c r="H1600" s="137"/>
      <c r="I1600" s="137"/>
      <c r="J1600" s="135"/>
      <c r="K1600" s="135"/>
      <c r="L1600" s="135"/>
      <c r="M1600" s="135"/>
      <c r="N1600" s="135"/>
      <c r="O1600" s="135"/>
      <c r="P1600" s="135"/>
      <c r="Q1600" s="135"/>
      <c r="R1600" s="135"/>
      <c r="S1600" s="135"/>
      <c r="T1600" s="135"/>
      <c r="U1600" s="135"/>
      <c r="V1600" s="135"/>
      <c r="W1600" s="135"/>
      <c r="X1600" s="135"/>
      <c r="Y1600" s="135"/>
      <c r="Z1600" s="135"/>
    </row>
    <row r="1601" spans="1:26" ht="12.75">
      <c r="A1601" s="136" t="s">
        <v>19</v>
      </c>
      <c r="B1601" s="136" t="s">
        <v>147</v>
      </c>
      <c r="C1601" s="136" t="s">
        <v>7645</v>
      </c>
      <c r="D1601" s="136" t="s">
        <v>139</v>
      </c>
      <c r="E1601" s="136" t="s">
        <v>594</v>
      </c>
      <c r="F1601" s="136">
        <v>1664</v>
      </c>
      <c r="G1601" s="137">
        <f t="shared" si="6"/>
        <v>1</v>
      </c>
      <c r="H1601" s="137"/>
      <c r="I1601" s="137"/>
      <c r="J1601" s="135"/>
      <c r="K1601" s="135"/>
      <c r="L1601" s="135"/>
      <c r="M1601" s="135"/>
      <c r="N1601" s="135"/>
      <c r="O1601" s="135"/>
      <c r="P1601" s="135"/>
      <c r="Q1601" s="135"/>
      <c r="R1601" s="135"/>
      <c r="S1601" s="135"/>
      <c r="T1601" s="135"/>
      <c r="U1601" s="135"/>
      <c r="V1601" s="135"/>
      <c r="W1601" s="135"/>
      <c r="X1601" s="135"/>
      <c r="Y1601" s="135"/>
      <c r="Z1601" s="135"/>
    </row>
    <row r="1602" spans="1:26" ht="12.75">
      <c r="A1602" s="136" t="s">
        <v>19</v>
      </c>
      <c r="B1602" s="136" t="s">
        <v>147</v>
      </c>
      <c r="C1602" s="136" t="s">
        <v>7645</v>
      </c>
      <c r="D1602" s="136" t="s">
        <v>1669</v>
      </c>
      <c r="E1602" s="136" t="s">
        <v>615</v>
      </c>
      <c r="F1602" s="136">
        <v>1283</v>
      </c>
      <c r="G1602" s="137">
        <f t="shared" si="6"/>
        <v>2</v>
      </c>
      <c r="H1602" s="137"/>
      <c r="I1602" s="137"/>
      <c r="J1602" s="135"/>
      <c r="K1602" s="135"/>
      <c r="L1602" s="135"/>
      <c r="M1602" s="135"/>
      <c r="N1602" s="135"/>
      <c r="O1602" s="135"/>
      <c r="P1602" s="135"/>
      <c r="Q1602" s="135"/>
      <c r="R1602" s="135"/>
      <c r="S1602" s="135"/>
      <c r="T1602" s="135"/>
      <c r="U1602" s="135"/>
      <c r="V1602" s="135"/>
      <c r="W1602" s="135"/>
      <c r="X1602" s="135"/>
      <c r="Y1602" s="135"/>
      <c r="Z1602" s="135"/>
    </row>
    <row r="1603" spans="1:26" ht="12.75">
      <c r="A1603" s="136" t="s">
        <v>19</v>
      </c>
      <c r="B1603" s="136" t="s">
        <v>147</v>
      </c>
      <c r="C1603" s="136" t="s">
        <v>7645</v>
      </c>
      <c r="D1603" s="136" t="s">
        <v>107</v>
      </c>
      <c r="E1603" s="136" t="s">
        <v>594</v>
      </c>
      <c r="F1603" s="136">
        <v>864</v>
      </c>
      <c r="G1603" s="137">
        <f t="shared" si="6"/>
        <v>3</v>
      </c>
      <c r="H1603" s="137"/>
      <c r="I1603" s="137"/>
      <c r="J1603" s="135"/>
      <c r="K1603" s="135"/>
      <c r="L1603" s="135"/>
      <c r="M1603" s="135"/>
      <c r="N1603" s="135"/>
      <c r="O1603" s="135"/>
      <c r="P1603" s="135"/>
      <c r="Q1603" s="135"/>
      <c r="R1603" s="135"/>
      <c r="S1603" s="135"/>
      <c r="T1603" s="135"/>
      <c r="U1603" s="135"/>
      <c r="V1603" s="135"/>
      <c r="W1603" s="135"/>
      <c r="X1603" s="135"/>
      <c r="Y1603" s="135"/>
      <c r="Z1603" s="135"/>
    </row>
    <row r="1604" spans="1:26" ht="12.75">
      <c r="A1604" s="136" t="s">
        <v>19</v>
      </c>
      <c r="B1604" s="136" t="s">
        <v>147</v>
      </c>
      <c r="C1604" s="136" t="s">
        <v>7645</v>
      </c>
      <c r="D1604" s="136" t="s">
        <v>114</v>
      </c>
      <c r="E1604" s="136" t="s">
        <v>85</v>
      </c>
      <c r="F1604" s="136">
        <v>734</v>
      </c>
      <c r="G1604" s="137">
        <f t="shared" si="6"/>
        <v>4</v>
      </c>
      <c r="H1604" s="137"/>
      <c r="I1604" s="137"/>
      <c r="J1604" s="135"/>
      <c r="K1604" s="135"/>
      <c r="L1604" s="135"/>
      <c r="M1604" s="135"/>
      <c r="N1604" s="135"/>
      <c r="O1604" s="135"/>
      <c r="P1604" s="135"/>
      <c r="Q1604" s="135"/>
      <c r="R1604" s="135"/>
      <c r="S1604" s="135"/>
      <c r="T1604" s="135"/>
      <c r="U1604" s="135"/>
      <c r="V1604" s="135"/>
      <c r="W1604" s="135"/>
      <c r="X1604" s="135"/>
      <c r="Y1604" s="135"/>
      <c r="Z1604" s="135"/>
    </row>
    <row r="1605" spans="1:26" ht="12.75">
      <c r="A1605" s="136" t="s">
        <v>19</v>
      </c>
      <c r="B1605" s="136" t="s">
        <v>147</v>
      </c>
      <c r="C1605" s="136" t="s">
        <v>7645</v>
      </c>
      <c r="D1605" s="136" t="s">
        <v>467</v>
      </c>
      <c r="E1605" s="136" t="s">
        <v>85</v>
      </c>
      <c r="F1605" s="136">
        <v>379</v>
      </c>
      <c r="G1605" s="137">
        <f t="shared" si="6"/>
        <v>5</v>
      </c>
      <c r="H1605" s="137"/>
      <c r="I1605" s="137"/>
      <c r="J1605" s="135"/>
      <c r="K1605" s="135"/>
      <c r="L1605" s="135"/>
      <c r="M1605" s="135"/>
      <c r="N1605" s="135"/>
      <c r="O1605" s="135"/>
      <c r="P1605" s="135"/>
      <c r="Q1605" s="135"/>
      <c r="R1605" s="135"/>
      <c r="S1605" s="135"/>
      <c r="T1605" s="135"/>
      <c r="U1605" s="135"/>
      <c r="V1605" s="135"/>
      <c r="W1605" s="135"/>
      <c r="X1605" s="135"/>
      <c r="Y1605" s="135"/>
      <c r="Z1605" s="135"/>
    </row>
    <row r="1606" spans="1:26" ht="12.75">
      <c r="A1606" s="136" t="s">
        <v>19</v>
      </c>
      <c r="B1606" s="136" t="s">
        <v>147</v>
      </c>
      <c r="C1606" s="136" t="s">
        <v>7645</v>
      </c>
      <c r="D1606" s="136" t="s">
        <v>7621</v>
      </c>
      <c r="E1606" s="136" t="s">
        <v>7621</v>
      </c>
      <c r="F1606" s="136">
        <v>150</v>
      </c>
      <c r="G1606" s="137">
        <f t="shared" si="6"/>
        <v>6</v>
      </c>
      <c r="H1606" s="137"/>
      <c r="I1606" s="137"/>
      <c r="J1606" s="135"/>
      <c r="K1606" s="135"/>
      <c r="L1606" s="135"/>
      <c r="M1606" s="135"/>
      <c r="N1606" s="135"/>
      <c r="O1606" s="135"/>
      <c r="P1606" s="135"/>
      <c r="Q1606" s="135"/>
      <c r="R1606" s="135"/>
      <c r="S1606" s="135"/>
      <c r="T1606" s="135"/>
      <c r="U1606" s="135"/>
      <c r="V1606" s="135"/>
      <c r="W1606" s="135"/>
      <c r="X1606" s="135"/>
      <c r="Y1606" s="135"/>
      <c r="Z1606" s="135"/>
    </row>
    <row r="1607" spans="1:26" ht="12.75">
      <c r="A1607" s="136" t="s">
        <v>19</v>
      </c>
      <c r="B1607" s="136" t="s">
        <v>147</v>
      </c>
      <c r="C1607" s="136" t="s">
        <v>7645</v>
      </c>
      <c r="D1607" s="136" t="s">
        <v>7633</v>
      </c>
      <c r="E1607" s="136" t="s">
        <v>7633</v>
      </c>
      <c r="F1607" s="136">
        <v>133</v>
      </c>
      <c r="G1607" s="137">
        <f t="shared" si="6"/>
        <v>7</v>
      </c>
      <c r="H1607" s="137"/>
      <c r="I1607" s="137"/>
      <c r="J1607" s="135"/>
      <c r="K1607" s="135"/>
      <c r="L1607" s="135"/>
      <c r="M1607" s="135"/>
      <c r="N1607" s="135"/>
      <c r="O1607" s="135"/>
      <c r="P1607" s="135"/>
      <c r="Q1607" s="135"/>
      <c r="R1607" s="135"/>
      <c r="S1607" s="135"/>
      <c r="T1607" s="135"/>
      <c r="U1607" s="135"/>
      <c r="V1607" s="135"/>
      <c r="W1607" s="135"/>
      <c r="X1607" s="135"/>
      <c r="Y1607" s="135"/>
      <c r="Z1607" s="135"/>
    </row>
    <row r="1608" spans="1:26" ht="12.75">
      <c r="A1608" s="136" t="s">
        <v>19</v>
      </c>
      <c r="B1608" s="136" t="s">
        <v>147</v>
      </c>
      <c r="C1608" s="136" t="s">
        <v>7646</v>
      </c>
      <c r="D1608" s="136" t="s">
        <v>139</v>
      </c>
      <c r="E1608" s="136" t="s">
        <v>594</v>
      </c>
      <c r="F1608" s="136">
        <v>1297</v>
      </c>
      <c r="G1608" s="137">
        <f t="shared" si="6"/>
        <v>1</v>
      </c>
      <c r="H1608" s="137"/>
      <c r="I1608" s="137"/>
      <c r="J1608" s="135"/>
      <c r="K1608" s="135"/>
      <c r="L1608" s="135"/>
      <c r="M1608" s="135"/>
      <c r="N1608" s="135"/>
      <c r="O1608" s="135"/>
      <c r="P1608" s="135"/>
      <c r="Q1608" s="135"/>
      <c r="R1608" s="135"/>
      <c r="S1608" s="135"/>
      <c r="T1608" s="135"/>
      <c r="U1608" s="135"/>
      <c r="V1608" s="135"/>
      <c r="W1608" s="135"/>
      <c r="X1608" s="135"/>
      <c r="Y1608" s="135"/>
      <c r="Z1608" s="135"/>
    </row>
    <row r="1609" spans="1:26" ht="12.75">
      <c r="A1609" s="136" t="s">
        <v>19</v>
      </c>
      <c r="B1609" s="136" t="s">
        <v>147</v>
      </c>
      <c r="C1609" s="136" t="s">
        <v>7646</v>
      </c>
      <c r="D1609" s="136" t="s">
        <v>1669</v>
      </c>
      <c r="E1609" s="136" t="s">
        <v>615</v>
      </c>
      <c r="F1609" s="136">
        <v>995</v>
      </c>
      <c r="G1609" s="137">
        <f t="shared" si="6"/>
        <v>2</v>
      </c>
      <c r="H1609" s="137"/>
      <c r="I1609" s="137"/>
      <c r="J1609" s="135"/>
      <c r="K1609" s="135"/>
      <c r="L1609" s="135"/>
      <c r="M1609" s="135"/>
      <c r="N1609" s="135"/>
      <c r="O1609" s="135"/>
      <c r="P1609" s="135"/>
      <c r="Q1609" s="135"/>
      <c r="R1609" s="135"/>
      <c r="S1609" s="135"/>
      <c r="T1609" s="135"/>
      <c r="U1609" s="135"/>
      <c r="V1609" s="135"/>
      <c r="W1609" s="135"/>
      <c r="X1609" s="135"/>
      <c r="Y1609" s="135"/>
      <c r="Z1609" s="135"/>
    </row>
    <row r="1610" spans="1:26" ht="12.75">
      <c r="A1610" s="136" t="s">
        <v>19</v>
      </c>
      <c r="B1610" s="136" t="s">
        <v>147</v>
      </c>
      <c r="C1610" s="136" t="s">
        <v>7646</v>
      </c>
      <c r="D1610" s="136" t="s">
        <v>7647</v>
      </c>
      <c r="E1610" s="136" t="s">
        <v>7648</v>
      </c>
      <c r="F1610" s="136">
        <v>729</v>
      </c>
      <c r="G1610" s="137">
        <f t="shared" si="6"/>
        <v>3</v>
      </c>
      <c r="H1610" s="137"/>
      <c r="I1610" s="137"/>
      <c r="J1610" s="135"/>
      <c r="K1610" s="135"/>
      <c r="L1610" s="135"/>
      <c r="M1610" s="135"/>
      <c r="N1610" s="135"/>
      <c r="O1610" s="135"/>
      <c r="P1610" s="135"/>
      <c r="Q1610" s="135"/>
      <c r="R1610" s="135"/>
      <c r="S1610" s="135"/>
      <c r="T1610" s="135"/>
      <c r="U1610" s="135"/>
      <c r="V1610" s="135"/>
      <c r="W1610" s="135"/>
      <c r="X1610" s="135"/>
      <c r="Y1610" s="135"/>
      <c r="Z1610" s="135"/>
    </row>
    <row r="1611" spans="1:26" ht="12.75">
      <c r="A1611" s="136" t="s">
        <v>19</v>
      </c>
      <c r="B1611" s="136" t="s">
        <v>147</v>
      </c>
      <c r="C1611" s="136" t="s">
        <v>7646</v>
      </c>
      <c r="D1611" s="136" t="s">
        <v>7621</v>
      </c>
      <c r="E1611" s="136" t="s">
        <v>7621</v>
      </c>
      <c r="F1611" s="136">
        <v>110</v>
      </c>
      <c r="G1611" s="137">
        <f t="shared" si="6"/>
        <v>5</v>
      </c>
      <c r="H1611" s="137"/>
      <c r="I1611" s="137"/>
      <c r="J1611" s="135"/>
      <c r="K1611" s="135"/>
      <c r="L1611" s="135"/>
      <c r="M1611" s="135"/>
      <c r="N1611" s="135"/>
      <c r="O1611" s="135"/>
      <c r="P1611" s="135"/>
      <c r="Q1611" s="135"/>
      <c r="R1611" s="135"/>
      <c r="S1611" s="135"/>
      <c r="T1611" s="135"/>
      <c r="U1611" s="135"/>
      <c r="V1611" s="135"/>
      <c r="W1611" s="135"/>
      <c r="X1611" s="135"/>
      <c r="Y1611" s="135"/>
      <c r="Z1611" s="135"/>
    </row>
    <row r="1612" spans="1:26" ht="12.75">
      <c r="A1612" s="136" t="s">
        <v>19</v>
      </c>
      <c r="B1612" s="136" t="s">
        <v>147</v>
      </c>
      <c r="C1612" s="136" t="s">
        <v>7646</v>
      </c>
      <c r="D1612" s="136" t="s">
        <v>7633</v>
      </c>
      <c r="E1612" s="136" t="s">
        <v>7633</v>
      </c>
      <c r="F1612" s="136">
        <v>140</v>
      </c>
      <c r="G1612" s="137">
        <f t="shared" si="6"/>
        <v>4</v>
      </c>
      <c r="H1612" s="137"/>
      <c r="I1612" s="137"/>
      <c r="J1612" s="135"/>
      <c r="K1612" s="135"/>
      <c r="L1612" s="135"/>
      <c r="M1612" s="135"/>
      <c r="N1612" s="135"/>
      <c r="O1612" s="135"/>
      <c r="P1612" s="135"/>
      <c r="Q1612" s="135"/>
      <c r="R1612" s="135"/>
      <c r="S1612" s="135"/>
      <c r="T1612" s="135"/>
      <c r="U1612" s="135"/>
      <c r="V1612" s="135"/>
      <c r="W1612" s="135"/>
      <c r="X1612" s="135"/>
      <c r="Y1612" s="135"/>
      <c r="Z1612" s="135"/>
    </row>
    <row r="1613" spans="1:26" ht="12.75">
      <c r="A1613" s="136" t="s">
        <v>19</v>
      </c>
      <c r="B1613" s="136" t="s">
        <v>147</v>
      </c>
      <c r="C1613" s="136" t="s">
        <v>7646</v>
      </c>
      <c r="D1613" s="136" t="s">
        <v>86</v>
      </c>
      <c r="E1613" s="136" t="s">
        <v>86</v>
      </c>
      <c r="F1613" s="136">
        <v>97</v>
      </c>
      <c r="G1613" s="137">
        <f t="shared" si="6"/>
        <v>6</v>
      </c>
      <c r="H1613" s="137"/>
      <c r="I1613" s="137"/>
      <c r="J1613" s="135"/>
      <c r="K1613" s="135"/>
      <c r="L1613" s="135"/>
      <c r="M1613" s="135"/>
      <c r="N1613" s="135"/>
      <c r="O1613" s="135"/>
      <c r="P1613" s="135"/>
      <c r="Q1613" s="135"/>
      <c r="R1613" s="135"/>
      <c r="S1613" s="135"/>
      <c r="T1613" s="135"/>
      <c r="U1613" s="135"/>
      <c r="V1613" s="135"/>
      <c r="W1613" s="135"/>
      <c r="X1613" s="135"/>
      <c r="Y1613" s="135"/>
      <c r="Z1613" s="135"/>
    </row>
    <row r="1614" spans="1:26" ht="12.75">
      <c r="A1614" s="136" t="s">
        <v>19</v>
      </c>
      <c r="B1614" s="136" t="s">
        <v>147</v>
      </c>
      <c r="C1614" s="136" t="s">
        <v>7649</v>
      </c>
      <c r="D1614" s="136" t="s">
        <v>139</v>
      </c>
      <c r="E1614" s="136" t="s">
        <v>594</v>
      </c>
      <c r="F1614" s="136">
        <v>1054</v>
      </c>
      <c r="G1614" s="137">
        <f t="shared" si="6"/>
        <v>1</v>
      </c>
      <c r="H1614" s="137"/>
      <c r="I1614" s="137"/>
      <c r="J1614" s="135"/>
      <c r="K1614" s="135"/>
      <c r="L1614" s="135"/>
      <c r="M1614" s="135"/>
      <c r="N1614" s="135"/>
      <c r="O1614" s="135"/>
      <c r="P1614" s="135"/>
      <c r="Q1614" s="135"/>
      <c r="R1614" s="135"/>
      <c r="S1614" s="135"/>
      <c r="T1614" s="135"/>
      <c r="U1614" s="135"/>
      <c r="V1614" s="135"/>
      <c r="W1614" s="135"/>
      <c r="X1614" s="135"/>
      <c r="Y1614" s="135"/>
      <c r="Z1614" s="135"/>
    </row>
    <row r="1615" spans="1:26" ht="12.75">
      <c r="A1615" s="136" t="s">
        <v>19</v>
      </c>
      <c r="B1615" s="136" t="s">
        <v>147</v>
      </c>
      <c r="C1615" s="136" t="s">
        <v>7649</v>
      </c>
      <c r="D1615" s="136" t="s">
        <v>1669</v>
      </c>
      <c r="E1615" s="136" t="s">
        <v>615</v>
      </c>
      <c r="F1615" s="136">
        <v>715</v>
      </c>
      <c r="G1615" s="137">
        <f t="shared" si="6"/>
        <v>2</v>
      </c>
      <c r="H1615" s="137"/>
      <c r="I1615" s="137"/>
      <c r="J1615" s="135"/>
      <c r="K1615" s="135"/>
      <c r="L1615" s="135"/>
      <c r="M1615" s="135"/>
      <c r="N1615" s="135"/>
      <c r="O1615" s="135"/>
      <c r="P1615" s="135"/>
      <c r="Q1615" s="135"/>
      <c r="R1615" s="135"/>
      <c r="S1615" s="135"/>
      <c r="T1615" s="135"/>
      <c r="U1615" s="135"/>
      <c r="V1615" s="135"/>
      <c r="W1615" s="135"/>
      <c r="X1615" s="135"/>
      <c r="Y1615" s="135"/>
      <c r="Z1615" s="135"/>
    </row>
    <row r="1616" spans="1:26" ht="12.75">
      <c r="A1616" s="136" t="s">
        <v>19</v>
      </c>
      <c r="B1616" s="136" t="s">
        <v>147</v>
      </c>
      <c r="C1616" s="136" t="s">
        <v>7649</v>
      </c>
      <c r="D1616" s="136" t="s">
        <v>107</v>
      </c>
      <c r="E1616" s="136" t="s">
        <v>594</v>
      </c>
      <c r="F1616" s="136">
        <v>457</v>
      </c>
      <c r="G1616" s="137">
        <f t="shared" si="6"/>
        <v>3</v>
      </c>
      <c r="H1616" s="137"/>
      <c r="I1616" s="137"/>
      <c r="J1616" s="135"/>
      <c r="K1616" s="135"/>
      <c r="L1616" s="135"/>
      <c r="M1616" s="135"/>
      <c r="N1616" s="135"/>
      <c r="O1616" s="135"/>
      <c r="P1616" s="135"/>
      <c r="Q1616" s="135"/>
      <c r="R1616" s="135"/>
      <c r="S1616" s="135"/>
      <c r="T1616" s="135"/>
      <c r="U1616" s="135"/>
      <c r="V1616" s="135"/>
      <c r="W1616" s="135"/>
      <c r="X1616" s="135"/>
      <c r="Y1616" s="135"/>
      <c r="Z1616" s="135"/>
    </row>
    <row r="1617" spans="1:26" ht="12.75">
      <c r="A1617" s="136" t="s">
        <v>19</v>
      </c>
      <c r="B1617" s="136" t="s">
        <v>147</v>
      </c>
      <c r="C1617" s="136" t="s">
        <v>7649</v>
      </c>
      <c r="D1617" s="136" t="s">
        <v>7621</v>
      </c>
      <c r="E1617" s="136" t="s">
        <v>7621</v>
      </c>
      <c r="F1617" s="136">
        <v>100</v>
      </c>
      <c r="G1617" s="137">
        <f t="shared" si="6"/>
        <v>6</v>
      </c>
      <c r="H1617" s="137"/>
      <c r="I1617" s="137"/>
      <c r="J1617" s="135"/>
      <c r="K1617" s="135"/>
      <c r="L1617" s="135"/>
      <c r="M1617" s="135"/>
      <c r="N1617" s="135"/>
      <c r="O1617" s="135"/>
      <c r="P1617" s="135"/>
      <c r="Q1617" s="135"/>
      <c r="R1617" s="135"/>
      <c r="S1617" s="135"/>
      <c r="T1617" s="135"/>
      <c r="U1617" s="135"/>
      <c r="V1617" s="135"/>
      <c r="W1617" s="135"/>
      <c r="X1617" s="135"/>
      <c r="Y1617" s="135"/>
      <c r="Z1617" s="135"/>
    </row>
    <row r="1618" spans="1:26" ht="12.75">
      <c r="A1618" s="136" t="s">
        <v>19</v>
      </c>
      <c r="B1618" s="136" t="s">
        <v>147</v>
      </c>
      <c r="C1618" s="136" t="s">
        <v>7649</v>
      </c>
      <c r="D1618" s="136" t="s">
        <v>7633</v>
      </c>
      <c r="E1618" s="136" t="s">
        <v>7633</v>
      </c>
      <c r="F1618" s="136">
        <v>103</v>
      </c>
      <c r="G1618" s="137">
        <f t="shared" si="6"/>
        <v>5</v>
      </c>
      <c r="H1618" s="137"/>
      <c r="I1618" s="137"/>
      <c r="J1618" s="135"/>
      <c r="K1618" s="135"/>
      <c r="L1618" s="135"/>
      <c r="M1618" s="135"/>
      <c r="N1618" s="135"/>
      <c r="O1618" s="135"/>
      <c r="P1618" s="135"/>
      <c r="Q1618" s="135"/>
      <c r="R1618" s="135"/>
      <c r="S1618" s="135"/>
      <c r="T1618" s="135"/>
      <c r="U1618" s="135"/>
      <c r="V1618" s="135"/>
      <c r="W1618" s="135"/>
      <c r="X1618" s="135"/>
      <c r="Y1618" s="135"/>
      <c r="Z1618" s="135"/>
    </row>
    <row r="1619" spans="1:26" ht="12.75">
      <c r="A1619" s="136" t="s">
        <v>19</v>
      </c>
      <c r="B1619" s="136" t="s">
        <v>147</v>
      </c>
      <c r="C1619" s="136" t="s">
        <v>7649</v>
      </c>
      <c r="D1619" s="136" t="s">
        <v>114</v>
      </c>
      <c r="E1619" s="136" t="s">
        <v>85</v>
      </c>
      <c r="F1619" s="136">
        <v>171</v>
      </c>
      <c r="G1619" s="137">
        <f t="shared" si="6"/>
        <v>4</v>
      </c>
      <c r="H1619" s="137"/>
      <c r="I1619" s="137"/>
      <c r="J1619" s="135"/>
      <c r="K1619" s="135"/>
      <c r="L1619" s="135"/>
      <c r="M1619" s="135"/>
      <c r="N1619" s="135"/>
      <c r="O1619" s="135"/>
      <c r="P1619" s="135"/>
      <c r="Q1619" s="135"/>
      <c r="R1619" s="135"/>
      <c r="S1619" s="135"/>
      <c r="T1619" s="135"/>
      <c r="U1619" s="135"/>
      <c r="V1619" s="135"/>
      <c r="W1619" s="135"/>
      <c r="X1619" s="135"/>
      <c r="Y1619" s="135"/>
      <c r="Z1619" s="135"/>
    </row>
    <row r="1620" spans="1:26" ht="12.75">
      <c r="A1620" s="136" t="s">
        <v>19</v>
      </c>
      <c r="B1620" s="136" t="s">
        <v>147</v>
      </c>
      <c r="C1620" s="136" t="s">
        <v>7649</v>
      </c>
      <c r="D1620" s="136" t="s">
        <v>467</v>
      </c>
      <c r="E1620" s="136" t="s">
        <v>85</v>
      </c>
      <c r="F1620" s="136">
        <v>71</v>
      </c>
      <c r="G1620" s="137">
        <f t="shared" si="6"/>
        <v>7</v>
      </c>
      <c r="H1620" s="137"/>
      <c r="I1620" s="137"/>
      <c r="J1620" s="135"/>
      <c r="K1620" s="135"/>
      <c r="L1620" s="135"/>
      <c r="M1620" s="135"/>
      <c r="N1620" s="135"/>
      <c r="O1620" s="135"/>
      <c r="P1620" s="135"/>
      <c r="Q1620" s="135"/>
      <c r="R1620" s="135"/>
      <c r="S1620" s="135"/>
      <c r="T1620" s="135"/>
      <c r="U1620" s="135"/>
      <c r="V1620" s="135"/>
      <c r="W1620" s="135"/>
      <c r="X1620" s="135"/>
      <c r="Y1620" s="135"/>
      <c r="Z1620" s="135"/>
    </row>
    <row r="1621" spans="1:26" ht="12.75">
      <c r="A1621" s="136" t="s">
        <v>19</v>
      </c>
      <c r="B1621" s="136" t="s">
        <v>147</v>
      </c>
      <c r="C1621" s="136" t="s">
        <v>7649</v>
      </c>
      <c r="D1621" s="136" t="s">
        <v>1665</v>
      </c>
      <c r="E1621" s="136" t="s">
        <v>615</v>
      </c>
      <c r="F1621" s="136">
        <v>61</v>
      </c>
      <c r="G1621" s="137">
        <f t="shared" si="6"/>
        <v>8</v>
      </c>
      <c r="H1621" s="137"/>
      <c r="I1621" s="137"/>
      <c r="J1621" s="135"/>
      <c r="K1621" s="135"/>
      <c r="L1621" s="135"/>
      <c r="M1621" s="135"/>
      <c r="N1621" s="135"/>
      <c r="O1621" s="135"/>
      <c r="P1621" s="135"/>
      <c r="Q1621" s="135"/>
      <c r="R1621" s="135"/>
      <c r="S1621" s="135"/>
      <c r="T1621" s="135"/>
      <c r="U1621" s="135"/>
      <c r="V1621" s="135"/>
      <c r="W1621" s="135"/>
      <c r="X1621" s="135"/>
      <c r="Y1621" s="135"/>
      <c r="Z1621" s="135"/>
    </row>
    <row r="1622" spans="1:26" ht="12.75">
      <c r="A1622" s="136" t="s">
        <v>19</v>
      </c>
      <c r="B1622" s="136" t="s">
        <v>147</v>
      </c>
      <c r="C1622" s="136" t="s">
        <v>179</v>
      </c>
      <c r="D1622" s="136" t="s">
        <v>107</v>
      </c>
      <c r="E1622" s="136" t="s">
        <v>594</v>
      </c>
      <c r="F1622" s="136">
        <v>624</v>
      </c>
      <c r="G1622" s="137">
        <f t="shared" si="6"/>
        <v>1</v>
      </c>
      <c r="H1622" s="137"/>
      <c r="I1622" s="137"/>
      <c r="J1622" s="135"/>
      <c r="K1622" s="135"/>
      <c r="L1622" s="135"/>
      <c r="M1622" s="135"/>
      <c r="N1622" s="135"/>
      <c r="O1622" s="135"/>
      <c r="P1622" s="135"/>
      <c r="Q1622" s="135"/>
      <c r="R1622" s="135"/>
      <c r="S1622" s="135"/>
      <c r="T1622" s="135"/>
      <c r="U1622" s="135"/>
      <c r="V1622" s="135"/>
      <c r="W1622" s="135"/>
      <c r="X1622" s="135"/>
      <c r="Y1622" s="135"/>
      <c r="Z1622" s="135"/>
    </row>
    <row r="1623" spans="1:26" ht="12.75">
      <c r="A1623" s="136" t="s">
        <v>19</v>
      </c>
      <c r="B1623" s="136" t="s">
        <v>147</v>
      </c>
      <c r="C1623" s="136" t="s">
        <v>179</v>
      </c>
      <c r="D1623" s="136" t="s">
        <v>98</v>
      </c>
      <c r="E1623" s="136" t="s">
        <v>615</v>
      </c>
      <c r="F1623" s="136">
        <v>414</v>
      </c>
      <c r="G1623" s="137">
        <f t="shared" si="6"/>
        <v>2</v>
      </c>
      <c r="H1623" s="137"/>
      <c r="I1623" s="137"/>
      <c r="J1623" s="135"/>
      <c r="K1623" s="135"/>
      <c r="L1623" s="135"/>
      <c r="M1623" s="135"/>
      <c r="N1623" s="135"/>
      <c r="O1623" s="135"/>
      <c r="P1623" s="135"/>
      <c r="Q1623" s="135"/>
      <c r="R1623" s="135"/>
      <c r="S1623" s="135"/>
      <c r="T1623" s="135"/>
      <c r="U1623" s="135"/>
      <c r="V1623" s="135"/>
      <c r="W1623" s="135"/>
      <c r="X1623" s="135"/>
      <c r="Y1623" s="135"/>
      <c r="Z1623" s="135"/>
    </row>
    <row r="1624" spans="1:26" ht="12.75">
      <c r="A1624" s="136" t="s">
        <v>19</v>
      </c>
      <c r="B1624" s="136" t="s">
        <v>147</v>
      </c>
      <c r="C1624" s="136" t="s">
        <v>179</v>
      </c>
      <c r="D1624" s="136" t="s">
        <v>7628</v>
      </c>
      <c r="E1624" s="136" t="s">
        <v>594</v>
      </c>
      <c r="F1624" s="136">
        <v>408</v>
      </c>
      <c r="G1624" s="137">
        <f t="shared" si="6"/>
        <v>3</v>
      </c>
      <c r="H1624" s="137"/>
      <c r="I1624" s="137"/>
      <c r="J1624" s="135"/>
      <c r="K1624" s="135"/>
      <c r="L1624" s="135"/>
      <c r="M1624" s="135"/>
      <c r="N1624" s="135"/>
      <c r="O1624" s="135"/>
      <c r="P1624" s="135"/>
      <c r="Q1624" s="135"/>
      <c r="R1624" s="135"/>
      <c r="S1624" s="135"/>
      <c r="T1624" s="135"/>
      <c r="U1624" s="135"/>
      <c r="V1624" s="135"/>
      <c r="W1624" s="135"/>
      <c r="X1624" s="135"/>
      <c r="Y1624" s="135"/>
      <c r="Z1624" s="135"/>
    </row>
    <row r="1625" spans="1:26" ht="12.75">
      <c r="A1625" s="136" t="s">
        <v>19</v>
      </c>
      <c r="B1625" s="136" t="s">
        <v>147</v>
      </c>
      <c r="C1625" s="136" t="s">
        <v>179</v>
      </c>
      <c r="D1625" s="136" t="s">
        <v>467</v>
      </c>
      <c r="E1625" s="136" t="s">
        <v>85</v>
      </c>
      <c r="F1625" s="136">
        <v>258</v>
      </c>
      <c r="G1625" s="137">
        <f t="shared" si="6"/>
        <v>4</v>
      </c>
      <c r="H1625" s="137"/>
      <c r="I1625" s="137"/>
      <c r="J1625" s="135"/>
      <c r="K1625" s="135"/>
      <c r="L1625" s="135"/>
      <c r="M1625" s="135"/>
      <c r="N1625" s="135"/>
      <c r="O1625" s="135"/>
      <c r="P1625" s="135"/>
      <c r="Q1625" s="135"/>
      <c r="R1625" s="135"/>
      <c r="S1625" s="135"/>
      <c r="T1625" s="135"/>
      <c r="U1625" s="135"/>
      <c r="V1625" s="135"/>
      <c r="W1625" s="135"/>
      <c r="X1625" s="135"/>
      <c r="Y1625" s="135"/>
      <c r="Z1625" s="135"/>
    </row>
    <row r="1626" spans="1:26" ht="12.75">
      <c r="A1626" s="136" t="s">
        <v>19</v>
      </c>
      <c r="B1626" s="136" t="s">
        <v>147</v>
      </c>
      <c r="C1626" s="136" t="s">
        <v>179</v>
      </c>
      <c r="D1626" s="136" t="s">
        <v>7621</v>
      </c>
      <c r="E1626" s="136" t="s">
        <v>7621</v>
      </c>
      <c r="F1626" s="136">
        <v>50</v>
      </c>
      <c r="G1626" s="137">
        <f t="shared" si="6"/>
        <v>8</v>
      </c>
      <c r="H1626" s="137"/>
      <c r="I1626" s="137"/>
      <c r="J1626" s="135"/>
      <c r="K1626" s="135"/>
      <c r="L1626" s="135"/>
      <c r="M1626" s="135"/>
      <c r="N1626" s="135"/>
      <c r="O1626" s="135"/>
      <c r="P1626" s="135"/>
      <c r="Q1626" s="135"/>
      <c r="R1626" s="135"/>
      <c r="S1626" s="135"/>
      <c r="T1626" s="135"/>
      <c r="U1626" s="135"/>
      <c r="V1626" s="135"/>
      <c r="W1626" s="135"/>
      <c r="X1626" s="135"/>
      <c r="Y1626" s="135"/>
      <c r="Z1626" s="135"/>
    </row>
    <row r="1627" spans="1:26" ht="12.75">
      <c r="A1627" s="136" t="s">
        <v>19</v>
      </c>
      <c r="B1627" s="136" t="s">
        <v>147</v>
      </c>
      <c r="C1627" s="136" t="s">
        <v>179</v>
      </c>
      <c r="D1627" s="136" t="s">
        <v>7633</v>
      </c>
      <c r="E1627" s="136" t="s">
        <v>7633</v>
      </c>
      <c r="F1627" s="136">
        <v>60</v>
      </c>
      <c r="G1627" s="137">
        <f t="shared" si="6"/>
        <v>7</v>
      </c>
      <c r="H1627" s="137"/>
      <c r="I1627" s="137"/>
      <c r="J1627" s="135"/>
      <c r="K1627" s="135"/>
      <c r="L1627" s="135"/>
      <c r="M1627" s="135"/>
      <c r="N1627" s="135"/>
      <c r="O1627" s="135"/>
      <c r="P1627" s="135"/>
      <c r="Q1627" s="135"/>
      <c r="R1627" s="135"/>
      <c r="S1627" s="135"/>
      <c r="T1627" s="135"/>
      <c r="U1627" s="135"/>
      <c r="V1627" s="135"/>
      <c r="W1627" s="135"/>
      <c r="X1627" s="135"/>
      <c r="Y1627" s="135"/>
      <c r="Z1627" s="135"/>
    </row>
    <row r="1628" spans="1:26" ht="12.75">
      <c r="A1628" s="136" t="s">
        <v>19</v>
      </c>
      <c r="B1628" s="136" t="s">
        <v>147</v>
      </c>
      <c r="C1628" s="136" t="s">
        <v>179</v>
      </c>
      <c r="D1628" s="136" t="s">
        <v>1669</v>
      </c>
      <c r="E1628" s="136" t="s">
        <v>615</v>
      </c>
      <c r="F1628" s="136">
        <v>99</v>
      </c>
      <c r="G1628" s="137">
        <f t="shared" si="6"/>
        <v>5</v>
      </c>
      <c r="H1628" s="137"/>
      <c r="I1628" s="137"/>
      <c r="J1628" s="135"/>
      <c r="K1628" s="135"/>
      <c r="L1628" s="135"/>
      <c r="M1628" s="135"/>
      <c r="N1628" s="135"/>
      <c r="O1628" s="135"/>
      <c r="P1628" s="135"/>
      <c r="Q1628" s="135"/>
      <c r="R1628" s="135"/>
      <c r="S1628" s="135"/>
      <c r="T1628" s="135"/>
      <c r="U1628" s="135"/>
      <c r="V1628" s="135"/>
      <c r="W1628" s="135"/>
      <c r="X1628" s="135"/>
      <c r="Y1628" s="135"/>
      <c r="Z1628" s="135"/>
    </row>
    <row r="1629" spans="1:26" ht="12.75">
      <c r="A1629" s="136" t="s">
        <v>19</v>
      </c>
      <c r="B1629" s="136" t="s">
        <v>147</v>
      </c>
      <c r="C1629" s="136" t="s">
        <v>179</v>
      </c>
      <c r="D1629" s="136" t="s">
        <v>1665</v>
      </c>
      <c r="E1629" s="136" t="s">
        <v>615</v>
      </c>
      <c r="F1629" s="136">
        <v>87</v>
      </c>
      <c r="G1629" s="137">
        <f t="shared" si="6"/>
        <v>6</v>
      </c>
      <c r="H1629" s="137"/>
      <c r="I1629" s="137"/>
      <c r="J1629" s="135"/>
      <c r="K1629" s="135"/>
      <c r="L1629" s="135"/>
      <c r="M1629" s="135"/>
      <c r="N1629" s="135"/>
      <c r="O1629" s="135"/>
      <c r="P1629" s="135"/>
      <c r="Q1629" s="135"/>
      <c r="R1629" s="135"/>
      <c r="S1629" s="135"/>
      <c r="T1629" s="135"/>
      <c r="U1629" s="135"/>
      <c r="V1629" s="135"/>
      <c r="W1629" s="135"/>
      <c r="X1629" s="135"/>
      <c r="Y1629" s="135"/>
      <c r="Z1629" s="135"/>
    </row>
    <row r="1630" spans="1:26" ht="12.75">
      <c r="A1630" s="136" t="s">
        <v>19</v>
      </c>
      <c r="B1630" s="136" t="s">
        <v>147</v>
      </c>
      <c r="C1630" s="136" t="s">
        <v>179</v>
      </c>
      <c r="D1630" s="136" t="s">
        <v>368</v>
      </c>
      <c r="E1630" s="136" t="s">
        <v>594</v>
      </c>
      <c r="F1630" s="136">
        <v>29</v>
      </c>
      <c r="G1630" s="137">
        <f t="shared" si="6"/>
        <v>9</v>
      </c>
      <c r="H1630" s="137"/>
      <c r="I1630" s="137"/>
      <c r="J1630" s="135"/>
      <c r="K1630" s="135"/>
      <c r="L1630" s="135"/>
      <c r="M1630" s="135"/>
      <c r="N1630" s="135"/>
      <c r="O1630" s="135"/>
      <c r="P1630" s="135"/>
      <c r="Q1630" s="135"/>
      <c r="R1630" s="135"/>
      <c r="S1630" s="135"/>
      <c r="T1630" s="135"/>
      <c r="U1630" s="135"/>
      <c r="V1630" s="135"/>
      <c r="W1630" s="135"/>
      <c r="X1630" s="135"/>
      <c r="Y1630" s="135"/>
      <c r="Z1630" s="135"/>
    </row>
    <row r="1631" spans="1:26" ht="12.75">
      <c r="A1631" s="136" t="s">
        <v>19</v>
      </c>
      <c r="B1631" s="136" t="s">
        <v>147</v>
      </c>
      <c r="C1631" s="136" t="s">
        <v>179</v>
      </c>
      <c r="D1631" s="136" t="s">
        <v>114</v>
      </c>
      <c r="E1631" s="136" t="s">
        <v>85</v>
      </c>
      <c r="F1631" s="136">
        <v>6</v>
      </c>
      <c r="G1631" s="137">
        <f t="shared" si="6"/>
        <v>10</v>
      </c>
      <c r="H1631" s="137"/>
      <c r="I1631" s="137"/>
      <c r="J1631" s="135"/>
      <c r="K1631" s="135"/>
      <c r="L1631" s="135"/>
      <c r="M1631" s="135"/>
      <c r="N1631" s="135"/>
      <c r="O1631" s="135"/>
      <c r="P1631" s="135"/>
      <c r="Q1631" s="135"/>
      <c r="R1631" s="135"/>
      <c r="S1631" s="135"/>
      <c r="T1631" s="135"/>
      <c r="U1631" s="135"/>
      <c r="V1631" s="135"/>
      <c r="W1631" s="135"/>
      <c r="X1631" s="135"/>
      <c r="Y1631" s="135"/>
      <c r="Z1631" s="135"/>
    </row>
    <row r="1632" spans="1:26" ht="12.75">
      <c r="A1632" s="136" t="s">
        <v>19</v>
      </c>
      <c r="B1632" s="136" t="s">
        <v>990</v>
      </c>
      <c r="C1632" s="136" t="s">
        <v>990</v>
      </c>
      <c r="D1632" s="136" t="s">
        <v>1669</v>
      </c>
      <c r="E1632" s="136" t="s">
        <v>615</v>
      </c>
      <c r="F1632" s="136">
        <v>2364</v>
      </c>
      <c r="G1632" s="137">
        <f t="shared" si="6"/>
        <v>1</v>
      </c>
      <c r="H1632" s="137"/>
      <c r="I1632" s="137"/>
      <c r="J1632" s="135"/>
      <c r="K1632" s="135"/>
      <c r="L1632" s="135"/>
      <c r="M1632" s="135"/>
      <c r="N1632" s="135"/>
      <c r="O1632" s="135"/>
      <c r="P1632" s="135"/>
      <c r="Q1632" s="135"/>
      <c r="R1632" s="135"/>
      <c r="S1632" s="135"/>
      <c r="T1632" s="135"/>
      <c r="U1632" s="135"/>
      <c r="V1632" s="135"/>
      <c r="W1632" s="135"/>
      <c r="X1632" s="135"/>
      <c r="Y1632" s="135"/>
      <c r="Z1632" s="135"/>
    </row>
    <row r="1633" spans="1:26" ht="12.75">
      <c r="A1633" s="136" t="s">
        <v>19</v>
      </c>
      <c r="B1633" s="136" t="s">
        <v>990</v>
      </c>
      <c r="C1633" s="136" t="s">
        <v>990</v>
      </c>
      <c r="D1633" s="136" t="s">
        <v>114</v>
      </c>
      <c r="E1633" s="136" t="s">
        <v>85</v>
      </c>
      <c r="F1633" s="136">
        <v>610</v>
      </c>
      <c r="G1633" s="137">
        <f t="shared" si="6"/>
        <v>2</v>
      </c>
      <c r="H1633" s="137"/>
      <c r="I1633" s="137"/>
      <c r="J1633" s="135"/>
      <c r="K1633" s="135"/>
      <c r="L1633" s="135"/>
      <c r="M1633" s="135"/>
      <c r="N1633" s="135"/>
      <c r="O1633" s="135"/>
      <c r="P1633" s="135"/>
      <c r="Q1633" s="135"/>
      <c r="R1633" s="135"/>
      <c r="S1633" s="135"/>
      <c r="T1633" s="135"/>
      <c r="U1633" s="135"/>
      <c r="V1633" s="135"/>
      <c r="W1633" s="135"/>
      <c r="X1633" s="135"/>
      <c r="Y1633" s="135"/>
      <c r="Z1633" s="135"/>
    </row>
    <row r="1634" spans="1:26" ht="12.75">
      <c r="A1634" s="136" t="s">
        <v>19</v>
      </c>
      <c r="B1634" s="136" t="s">
        <v>990</v>
      </c>
      <c r="C1634" s="136" t="s">
        <v>990</v>
      </c>
      <c r="D1634" s="136" t="s">
        <v>103</v>
      </c>
      <c r="E1634" s="136" t="s">
        <v>594</v>
      </c>
      <c r="F1634" s="136">
        <v>438</v>
      </c>
      <c r="G1634" s="137">
        <f t="shared" si="6"/>
        <v>3</v>
      </c>
      <c r="H1634" s="137"/>
      <c r="I1634" s="137"/>
      <c r="J1634" s="135"/>
      <c r="K1634" s="135"/>
      <c r="L1634" s="135"/>
      <c r="M1634" s="135"/>
      <c r="N1634" s="135"/>
      <c r="O1634" s="135"/>
      <c r="P1634" s="135"/>
      <c r="Q1634" s="135"/>
      <c r="R1634" s="135"/>
      <c r="S1634" s="135"/>
      <c r="T1634" s="135"/>
      <c r="U1634" s="135"/>
      <c r="V1634" s="135"/>
      <c r="W1634" s="135"/>
      <c r="X1634" s="135"/>
      <c r="Y1634" s="135"/>
      <c r="Z1634" s="135"/>
    </row>
    <row r="1635" spans="1:26" ht="12.75">
      <c r="A1635" s="136" t="s">
        <v>19</v>
      </c>
      <c r="B1635" s="136" t="s">
        <v>990</v>
      </c>
      <c r="C1635" s="136" t="s">
        <v>990</v>
      </c>
      <c r="D1635" s="136" t="s">
        <v>139</v>
      </c>
      <c r="E1635" s="136" t="s">
        <v>594</v>
      </c>
      <c r="F1635" s="136">
        <v>400</v>
      </c>
      <c r="G1635" s="137">
        <f t="shared" si="6"/>
        <v>4</v>
      </c>
      <c r="H1635" s="137"/>
      <c r="I1635" s="137"/>
      <c r="J1635" s="135"/>
      <c r="K1635" s="135"/>
      <c r="L1635" s="135"/>
      <c r="M1635" s="135"/>
      <c r="N1635" s="135"/>
      <c r="O1635" s="135"/>
      <c r="P1635" s="135"/>
      <c r="Q1635" s="135"/>
      <c r="R1635" s="135"/>
      <c r="S1635" s="135"/>
      <c r="T1635" s="135"/>
      <c r="U1635" s="135"/>
      <c r="V1635" s="135"/>
      <c r="W1635" s="135"/>
      <c r="X1635" s="135"/>
      <c r="Y1635" s="135"/>
      <c r="Z1635" s="135"/>
    </row>
    <row r="1636" spans="1:26" ht="12.75">
      <c r="A1636" s="136" t="s">
        <v>19</v>
      </c>
      <c r="B1636" s="136" t="s">
        <v>990</v>
      </c>
      <c r="C1636" s="136" t="s">
        <v>990</v>
      </c>
      <c r="D1636" s="136" t="s">
        <v>7491</v>
      </c>
      <c r="E1636" s="136" t="s">
        <v>615</v>
      </c>
      <c r="F1636" s="136">
        <v>116</v>
      </c>
      <c r="G1636" s="137">
        <f t="shared" si="6"/>
        <v>5</v>
      </c>
      <c r="H1636" s="137"/>
      <c r="I1636" s="137"/>
      <c r="J1636" s="135"/>
      <c r="K1636" s="135"/>
      <c r="L1636" s="135"/>
      <c r="M1636" s="135"/>
      <c r="N1636" s="135"/>
      <c r="O1636" s="135"/>
      <c r="P1636" s="135"/>
      <c r="Q1636" s="135"/>
      <c r="R1636" s="135"/>
      <c r="S1636" s="135"/>
      <c r="T1636" s="135"/>
      <c r="U1636" s="135"/>
      <c r="V1636" s="135"/>
      <c r="W1636" s="135"/>
      <c r="X1636" s="135"/>
      <c r="Y1636" s="135"/>
      <c r="Z1636" s="135"/>
    </row>
    <row r="1637" spans="1:26" ht="12.75">
      <c r="A1637" s="136" t="s">
        <v>19</v>
      </c>
      <c r="B1637" s="136" t="s">
        <v>990</v>
      </c>
      <c r="C1637" s="136" t="s">
        <v>990</v>
      </c>
      <c r="D1637" s="136" t="s">
        <v>7614</v>
      </c>
      <c r="E1637" s="136" t="s">
        <v>7614</v>
      </c>
      <c r="F1637" s="136">
        <v>66</v>
      </c>
      <c r="G1637" s="137">
        <f t="shared" si="6"/>
        <v>6</v>
      </c>
      <c r="H1637" s="137"/>
      <c r="I1637" s="137"/>
      <c r="J1637" s="135"/>
      <c r="K1637" s="135"/>
      <c r="L1637" s="135"/>
      <c r="M1637" s="135"/>
      <c r="N1637" s="135"/>
      <c r="O1637" s="135"/>
      <c r="P1637" s="135"/>
      <c r="Q1637" s="135"/>
      <c r="R1637" s="135"/>
      <c r="S1637" s="135"/>
      <c r="T1637" s="135"/>
      <c r="U1637" s="135"/>
      <c r="V1637" s="135"/>
      <c r="W1637" s="135"/>
      <c r="X1637" s="135"/>
      <c r="Y1637" s="135"/>
      <c r="Z1637" s="135"/>
    </row>
    <row r="1638" spans="1:26" ht="12.75">
      <c r="A1638" s="136" t="s">
        <v>19</v>
      </c>
      <c r="B1638" s="136" t="s">
        <v>990</v>
      </c>
      <c r="C1638" s="136" t="s">
        <v>990</v>
      </c>
      <c r="D1638" s="136" t="s">
        <v>98</v>
      </c>
      <c r="E1638" s="136" t="s">
        <v>615</v>
      </c>
      <c r="F1638" s="136">
        <v>62</v>
      </c>
      <c r="G1638" s="137">
        <f t="shared" si="6"/>
        <v>7</v>
      </c>
      <c r="H1638" s="137"/>
      <c r="I1638" s="137"/>
      <c r="J1638" s="135"/>
      <c r="K1638" s="135"/>
      <c r="L1638" s="135"/>
      <c r="M1638" s="135"/>
      <c r="N1638" s="135"/>
      <c r="O1638" s="135"/>
      <c r="P1638" s="135"/>
      <c r="Q1638" s="135"/>
      <c r="R1638" s="135"/>
      <c r="S1638" s="135"/>
      <c r="T1638" s="135"/>
      <c r="U1638" s="135"/>
      <c r="V1638" s="135"/>
      <c r="W1638" s="135"/>
      <c r="X1638" s="135"/>
      <c r="Y1638" s="135"/>
      <c r="Z1638" s="135"/>
    </row>
    <row r="1639" spans="1:26" ht="12.75">
      <c r="A1639" s="136" t="s">
        <v>19</v>
      </c>
      <c r="B1639" s="136" t="s">
        <v>990</v>
      </c>
      <c r="C1639" s="136" t="s">
        <v>990</v>
      </c>
      <c r="D1639" s="136" t="s">
        <v>7534</v>
      </c>
      <c r="E1639" s="136" t="s">
        <v>594</v>
      </c>
      <c r="F1639" s="136">
        <v>36</v>
      </c>
      <c r="G1639" s="137">
        <f t="shared" si="6"/>
        <v>8</v>
      </c>
      <c r="H1639" s="137"/>
      <c r="I1639" s="137"/>
      <c r="J1639" s="135"/>
      <c r="K1639" s="135"/>
      <c r="L1639" s="135"/>
      <c r="M1639" s="135"/>
      <c r="N1639" s="135"/>
      <c r="O1639" s="135"/>
      <c r="P1639" s="135"/>
      <c r="Q1639" s="135"/>
      <c r="R1639" s="135"/>
      <c r="S1639" s="135"/>
      <c r="T1639" s="135"/>
      <c r="U1639" s="135"/>
      <c r="V1639" s="135"/>
      <c r="W1639" s="135"/>
      <c r="X1639" s="135"/>
      <c r="Y1639" s="135"/>
      <c r="Z1639" s="135"/>
    </row>
    <row r="1640" spans="1:26" ht="12.75">
      <c r="A1640" s="136" t="s">
        <v>19</v>
      </c>
      <c r="B1640" s="136" t="s">
        <v>990</v>
      </c>
      <c r="C1640" s="136" t="s">
        <v>990</v>
      </c>
      <c r="D1640" s="136" t="s">
        <v>7619</v>
      </c>
      <c r="E1640" s="136" t="s">
        <v>615</v>
      </c>
      <c r="F1640" s="136">
        <v>3</v>
      </c>
      <c r="G1640" s="137">
        <f t="shared" si="6"/>
        <v>9</v>
      </c>
      <c r="H1640" s="137"/>
      <c r="I1640" s="137"/>
      <c r="J1640" s="135"/>
      <c r="K1640" s="135"/>
      <c r="L1640" s="135"/>
      <c r="M1640" s="135"/>
      <c r="N1640" s="135"/>
      <c r="O1640" s="135"/>
      <c r="P1640" s="135"/>
      <c r="Q1640" s="135"/>
      <c r="R1640" s="135"/>
      <c r="S1640" s="135"/>
      <c r="T1640" s="135"/>
      <c r="U1640" s="135"/>
      <c r="V1640" s="135"/>
      <c r="W1640" s="135"/>
      <c r="X1640" s="135"/>
      <c r="Y1640" s="135"/>
      <c r="Z1640" s="135"/>
    </row>
    <row r="1641" spans="1:26" ht="12.75">
      <c r="A1641" s="136" t="s">
        <v>19</v>
      </c>
      <c r="B1641" s="136" t="s">
        <v>990</v>
      </c>
      <c r="C1641" s="136" t="s">
        <v>89</v>
      </c>
      <c r="D1641" s="136" t="s">
        <v>7484</v>
      </c>
      <c r="E1641" s="136" t="s">
        <v>615</v>
      </c>
      <c r="F1641" s="136">
        <v>638</v>
      </c>
      <c r="G1641" s="137">
        <f t="shared" si="6"/>
        <v>1</v>
      </c>
      <c r="H1641" s="137"/>
      <c r="I1641" s="137"/>
      <c r="J1641" s="135"/>
      <c r="K1641" s="135"/>
      <c r="L1641" s="135"/>
      <c r="M1641" s="135"/>
      <c r="N1641" s="135"/>
      <c r="O1641" s="135"/>
      <c r="P1641" s="135"/>
      <c r="Q1641" s="135"/>
      <c r="R1641" s="135"/>
      <c r="S1641" s="135"/>
      <c r="T1641" s="135"/>
      <c r="U1641" s="135"/>
      <c r="V1641" s="135"/>
      <c r="W1641" s="135"/>
      <c r="X1641" s="135"/>
      <c r="Y1641" s="135"/>
      <c r="Z1641" s="135"/>
    </row>
    <row r="1642" spans="1:26" ht="12.75">
      <c r="A1642" s="136" t="s">
        <v>19</v>
      </c>
      <c r="B1642" s="136" t="s">
        <v>990</v>
      </c>
      <c r="C1642" s="136" t="s">
        <v>89</v>
      </c>
      <c r="D1642" s="136" t="s">
        <v>1665</v>
      </c>
      <c r="E1642" s="136" t="s">
        <v>615</v>
      </c>
      <c r="F1642" s="136">
        <v>200</v>
      </c>
      <c r="G1642" s="137">
        <f t="shared" si="6"/>
        <v>2</v>
      </c>
      <c r="H1642" s="137"/>
      <c r="I1642" s="137"/>
      <c r="J1642" s="135"/>
      <c r="K1642" s="135"/>
      <c r="L1642" s="135"/>
      <c r="M1642" s="135"/>
      <c r="N1642" s="135"/>
      <c r="O1642" s="135"/>
      <c r="P1642" s="135"/>
      <c r="Q1642" s="135"/>
      <c r="R1642" s="135"/>
      <c r="S1642" s="135"/>
      <c r="T1642" s="135"/>
      <c r="U1642" s="135"/>
      <c r="V1642" s="135"/>
      <c r="W1642" s="135"/>
      <c r="X1642" s="135"/>
      <c r="Y1642" s="135"/>
      <c r="Z1642" s="135"/>
    </row>
    <row r="1643" spans="1:26" ht="12.75">
      <c r="A1643" s="136" t="s">
        <v>19</v>
      </c>
      <c r="B1643" s="136" t="s">
        <v>990</v>
      </c>
      <c r="C1643" s="136" t="s">
        <v>89</v>
      </c>
      <c r="D1643" s="136" t="s">
        <v>7650</v>
      </c>
      <c r="E1643" s="136" t="s">
        <v>85</v>
      </c>
      <c r="F1643" s="136">
        <v>67</v>
      </c>
      <c r="G1643" s="137">
        <f t="shared" si="6"/>
        <v>3</v>
      </c>
      <c r="H1643" s="137"/>
      <c r="I1643" s="137"/>
      <c r="J1643" s="135"/>
      <c r="K1643" s="135"/>
      <c r="L1643" s="135"/>
      <c r="M1643" s="135"/>
      <c r="N1643" s="135"/>
      <c r="O1643" s="135"/>
      <c r="P1643" s="135"/>
      <c r="Q1643" s="135"/>
      <c r="R1643" s="135"/>
      <c r="S1643" s="135"/>
      <c r="T1643" s="135"/>
      <c r="U1643" s="135"/>
      <c r="V1643" s="135"/>
      <c r="W1643" s="135"/>
      <c r="X1643" s="135"/>
      <c r="Y1643" s="135"/>
      <c r="Z1643" s="135"/>
    </row>
    <row r="1644" spans="1:26" ht="12.75">
      <c r="A1644" s="136" t="s">
        <v>19</v>
      </c>
      <c r="B1644" s="136" t="s">
        <v>990</v>
      </c>
      <c r="C1644" s="136" t="s">
        <v>89</v>
      </c>
      <c r="D1644" s="136" t="s">
        <v>7621</v>
      </c>
      <c r="E1644" s="136" t="s">
        <v>7621</v>
      </c>
      <c r="F1644" s="136">
        <v>16</v>
      </c>
      <c r="G1644" s="137">
        <f t="shared" si="6"/>
        <v>4</v>
      </c>
      <c r="H1644" s="137"/>
      <c r="I1644" s="137"/>
      <c r="J1644" s="135"/>
      <c r="K1644" s="135"/>
      <c r="L1644" s="135"/>
      <c r="M1644" s="135"/>
      <c r="N1644" s="135"/>
      <c r="O1644" s="135"/>
      <c r="P1644" s="135"/>
      <c r="Q1644" s="135"/>
      <c r="R1644" s="135"/>
      <c r="S1644" s="135"/>
      <c r="T1644" s="135"/>
      <c r="U1644" s="135"/>
      <c r="V1644" s="135"/>
      <c r="W1644" s="135"/>
      <c r="X1644" s="135"/>
      <c r="Y1644" s="135"/>
      <c r="Z1644" s="135"/>
    </row>
    <row r="1645" spans="1:26" ht="12.75">
      <c r="A1645" s="136" t="s">
        <v>19</v>
      </c>
      <c r="B1645" s="136" t="s">
        <v>990</v>
      </c>
      <c r="C1645" s="136" t="s">
        <v>89</v>
      </c>
      <c r="D1645" s="136" t="s">
        <v>7633</v>
      </c>
      <c r="E1645" s="136" t="s">
        <v>7633</v>
      </c>
      <c r="F1645" s="136">
        <v>15</v>
      </c>
      <c r="G1645" s="137">
        <f t="shared" si="6"/>
        <v>5</v>
      </c>
      <c r="H1645" s="137"/>
      <c r="I1645" s="137"/>
      <c r="J1645" s="135"/>
      <c r="K1645" s="135"/>
      <c r="L1645" s="135"/>
      <c r="M1645" s="135"/>
      <c r="N1645" s="135"/>
      <c r="O1645" s="135"/>
      <c r="P1645" s="135"/>
      <c r="Q1645" s="135"/>
      <c r="R1645" s="135"/>
      <c r="S1645" s="135"/>
      <c r="T1645" s="135"/>
      <c r="U1645" s="135"/>
      <c r="V1645" s="135"/>
      <c r="W1645" s="135"/>
      <c r="X1645" s="135"/>
      <c r="Y1645" s="135"/>
      <c r="Z1645" s="135"/>
    </row>
    <row r="1646" spans="1:26" ht="12.75">
      <c r="A1646" s="136" t="s">
        <v>19</v>
      </c>
      <c r="B1646" s="136" t="s">
        <v>990</v>
      </c>
      <c r="C1646" s="136" t="s">
        <v>89</v>
      </c>
      <c r="D1646" s="136" t="s">
        <v>467</v>
      </c>
      <c r="E1646" s="136" t="s">
        <v>85</v>
      </c>
      <c r="F1646" s="136">
        <v>5</v>
      </c>
      <c r="G1646" s="137">
        <f t="shared" si="6"/>
        <v>6</v>
      </c>
      <c r="H1646" s="137"/>
      <c r="I1646" s="137"/>
      <c r="J1646" s="135"/>
      <c r="K1646" s="135"/>
      <c r="L1646" s="135"/>
      <c r="M1646" s="135"/>
      <c r="N1646" s="135"/>
      <c r="O1646" s="135"/>
      <c r="P1646" s="135"/>
      <c r="Q1646" s="135"/>
      <c r="R1646" s="135"/>
      <c r="S1646" s="135"/>
      <c r="T1646" s="135"/>
      <c r="U1646" s="135"/>
      <c r="V1646" s="135"/>
      <c r="W1646" s="135"/>
      <c r="X1646" s="135"/>
      <c r="Y1646" s="135"/>
      <c r="Z1646" s="135"/>
    </row>
    <row r="1647" spans="1:26" ht="12.75">
      <c r="A1647" s="136" t="s">
        <v>19</v>
      </c>
      <c r="B1647" s="136" t="s">
        <v>990</v>
      </c>
      <c r="C1647" s="136" t="s">
        <v>104</v>
      </c>
      <c r="D1647" s="136" t="s">
        <v>107</v>
      </c>
      <c r="E1647" s="136" t="s">
        <v>615</v>
      </c>
      <c r="F1647" s="136">
        <v>670</v>
      </c>
      <c r="G1647" s="137">
        <f t="shared" si="6"/>
        <v>1</v>
      </c>
      <c r="H1647" s="137"/>
      <c r="I1647" s="137"/>
      <c r="J1647" s="135"/>
      <c r="K1647" s="135"/>
      <c r="L1647" s="135"/>
      <c r="M1647" s="135"/>
      <c r="N1647" s="135"/>
      <c r="O1647" s="135"/>
      <c r="P1647" s="135"/>
      <c r="Q1647" s="135"/>
      <c r="R1647" s="135"/>
      <c r="S1647" s="135"/>
      <c r="T1647" s="135"/>
      <c r="U1647" s="135"/>
      <c r="V1647" s="135"/>
      <c r="W1647" s="135"/>
      <c r="X1647" s="135"/>
      <c r="Y1647" s="135"/>
      <c r="Z1647" s="135"/>
    </row>
    <row r="1648" spans="1:26" ht="12.75">
      <c r="A1648" s="136" t="s">
        <v>19</v>
      </c>
      <c r="B1648" s="136" t="s">
        <v>990</v>
      </c>
      <c r="C1648" s="136" t="s">
        <v>104</v>
      </c>
      <c r="D1648" s="136" t="s">
        <v>7651</v>
      </c>
      <c r="E1648" s="136" t="s">
        <v>7651</v>
      </c>
      <c r="F1648" s="136">
        <v>252</v>
      </c>
      <c r="G1648" s="137">
        <f t="shared" si="6"/>
        <v>2</v>
      </c>
      <c r="H1648" s="137"/>
      <c r="I1648" s="137"/>
      <c r="J1648" s="135"/>
      <c r="K1648" s="135"/>
      <c r="L1648" s="135"/>
      <c r="M1648" s="135"/>
      <c r="N1648" s="135"/>
      <c r="O1648" s="135"/>
      <c r="P1648" s="135"/>
      <c r="Q1648" s="135"/>
      <c r="R1648" s="135"/>
      <c r="S1648" s="135"/>
      <c r="T1648" s="135"/>
      <c r="U1648" s="135"/>
      <c r="V1648" s="135"/>
      <c r="W1648" s="135"/>
      <c r="X1648" s="135"/>
      <c r="Y1648" s="135"/>
      <c r="Z1648" s="135"/>
    </row>
    <row r="1649" spans="1:26" ht="12.75">
      <c r="A1649" s="136" t="s">
        <v>19</v>
      </c>
      <c r="B1649" s="136" t="s">
        <v>990</v>
      </c>
      <c r="C1649" s="136" t="s">
        <v>104</v>
      </c>
      <c r="D1649" s="136" t="s">
        <v>467</v>
      </c>
      <c r="E1649" s="136" t="s">
        <v>85</v>
      </c>
      <c r="F1649" s="136">
        <v>167</v>
      </c>
      <c r="G1649" s="137">
        <f t="shared" si="6"/>
        <v>3</v>
      </c>
      <c r="H1649" s="137"/>
      <c r="I1649" s="137"/>
      <c r="J1649" s="135"/>
      <c r="K1649" s="135"/>
      <c r="L1649" s="135"/>
      <c r="M1649" s="135"/>
      <c r="N1649" s="135"/>
      <c r="O1649" s="135"/>
      <c r="P1649" s="135"/>
      <c r="Q1649" s="135"/>
      <c r="R1649" s="135"/>
      <c r="S1649" s="135"/>
      <c r="T1649" s="135"/>
      <c r="U1649" s="135"/>
      <c r="V1649" s="135"/>
      <c r="W1649" s="135"/>
      <c r="X1649" s="135"/>
      <c r="Y1649" s="135"/>
      <c r="Z1649" s="135"/>
    </row>
    <row r="1650" spans="1:26" ht="12.75">
      <c r="A1650" s="136" t="s">
        <v>19</v>
      </c>
      <c r="B1650" s="136" t="s">
        <v>990</v>
      </c>
      <c r="C1650" s="136" t="s">
        <v>104</v>
      </c>
      <c r="D1650" s="136" t="s">
        <v>7621</v>
      </c>
      <c r="E1650" s="136" t="s">
        <v>7621</v>
      </c>
      <c r="F1650" s="136">
        <v>80</v>
      </c>
      <c r="G1650" s="137">
        <f t="shared" si="6"/>
        <v>4</v>
      </c>
      <c r="H1650" s="137"/>
      <c r="I1650" s="137"/>
      <c r="J1650" s="135"/>
      <c r="K1650" s="135"/>
      <c r="L1650" s="135"/>
      <c r="M1650" s="135"/>
      <c r="N1650" s="135"/>
      <c r="O1650" s="135"/>
      <c r="P1650" s="135"/>
      <c r="Q1650" s="135"/>
      <c r="R1650" s="135"/>
      <c r="S1650" s="135"/>
      <c r="T1650" s="135"/>
      <c r="U1650" s="135"/>
      <c r="V1650" s="135"/>
      <c r="W1650" s="135"/>
      <c r="X1650" s="135"/>
      <c r="Y1650" s="135"/>
      <c r="Z1650" s="135"/>
    </row>
    <row r="1651" spans="1:26" ht="12.75">
      <c r="A1651" s="136" t="s">
        <v>19</v>
      </c>
      <c r="B1651" s="136" t="s">
        <v>990</v>
      </c>
      <c r="C1651" s="136" t="s">
        <v>104</v>
      </c>
      <c r="D1651" s="136" t="s">
        <v>7633</v>
      </c>
      <c r="E1651" s="136" t="s">
        <v>7633</v>
      </c>
      <c r="F1651" s="136">
        <v>79</v>
      </c>
      <c r="G1651" s="137">
        <f t="shared" si="6"/>
        <v>5</v>
      </c>
      <c r="H1651" s="137"/>
      <c r="I1651" s="137"/>
      <c r="J1651" s="135"/>
      <c r="K1651" s="135"/>
      <c r="L1651" s="135"/>
      <c r="M1651" s="135"/>
      <c r="N1651" s="135"/>
      <c r="O1651" s="135"/>
      <c r="P1651" s="135"/>
      <c r="Q1651" s="135"/>
      <c r="R1651" s="135"/>
      <c r="S1651" s="135"/>
      <c r="T1651" s="135"/>
      <c r="U1651" s="135"/>
      <c r="V1651" s="135"/>
      <c r="W1651" s="135"/>
      <c r="X1651" s="135"/>
      <c r="Y1651" s="135"/>
      <c r="Z1651" s="135"/>
    </row>
    <row r="1652" spans="1:26" ht="12.75">
      <c r="A1652" s="136" t="s">
        <v>19</v>
      </c>
      <c r="B1652" s="136" t="s">
        <v>990</v>
      </c>
      <c r="C1652" s="136" t="s">
        <v>104</v>
      </c>
      <c r="D1652" s="136" t="s">
        <v>1665</v>
      </c>
      <c r="E1652" s="136" t="s">
        <v>615</v>
      </c>
      <c r="F1652" s="136">
        <v>65</v>
      </c>
      <c r="G1652" s="137">
        <f t="shared" si="6"/>
        <v>6</v>
      </c>
      <c r="H1652" s="137"/>
      <c r="I1652" s="137"/>
      <c r="J1652" s="135"/>
      <c r="K1652" s="135"/>
      <c r="L1652" s="135"/>
      <c r="M1652" s="135"/>
      <c r="N1652" s="135"/>
      <c r="O1652" s="135"/>
      <c r="P1652" s="135"/>
      <c r="Q1652" s="135"/>
      <c r="R1652" s="135"/>
      <c r="S1652" s="135"/>
      <c r="T1652" s="135"/>
      <c r="U1652" s="135"/>
      <c r="V1652" s="135"/>
      <c r="W1652" s="135"/>
      <c r="X1652" s="135"/>
      <c r="Y1652" s="135"/>
      <c r="Z1652" s="135"/>
    </row>
    <row r="1653" spans="1:26" ht="12.75">
      <c r="A1653" s="136" t="s">
        <v>19</v>
      </c>
      <c r="B1653" s="136" t="s">
        <v>990</v>
      </c>
      <c r="C1653" s="136" t="s">
        <v>104</v>
      </c>
      <c r="D1653" s="136" t="s">
        <v>1626</v>
      </c>
      <c r="E1653" s="136" t="s">
        <v>594</v>
      </c>
      <c r="F1653" s="136">
        <v>41</v>
      </c>
      <c r="G1653" s="137">
        <f t="shared" si="6"/>
        <v>7</v>
      </c>
      <c r="H1653" s="137"/>
      <c r="I1653" s="137"/>
      <c r="J1653" s="135"/>
      <c r="K1653" s="135"/>
      <c r="L1653" s="135"/>
      <c r="M1653" s="135"/>
      <c r="N1653" s="135"/>
      <c r="O1653" s="135"/>
      <c r="P1653" s="135"/>
      <c r="Q1653" s="135"/>
      <c r="R1653" s="135"/>
      <c r="S1653" s="135"/>
      <c r="T1653" s="135"/>
      <c r="U1653" s="135"/>
      <c r="V1653" s="135"/>
      <c r="W1653" s="135"/>
      <c r="X1653" s="135"/>
      <c r="Y1653" s="135"/>
      <c r="Z1653" s="135"/>
    </row>
    <row r="1654" spans="1:26" ht="12.75">
      <c r="A1654" s="136" t="s">
        <v>19</v>
      </c>
      <c r="B1654" s="136" t="s">
        <v>990</v>
      </c>
      <c r="C1654" s="136" t="s">
        <v>104</v>
      </c>
      <c r="D1654" s="136" t="s">
        <v>139</v>
      </c>
      <c r="E1654" s="136" t="s">
        <v>594</v>
      </c>
      <c r="F1654" s="136">
        <v>28</v>
      </c>
      <c r="G1654" s="137">
        <f t="shared" si="6"/>
        <v>8</v>
      </c>
      <c r="H1654" s="137"/>
      <c r="I1654" s="137"/>
      <c r="J1654" s="135"/>
      <c r="K1654" s="135"/>
      <c r="L1654" s="135"/>
      <c r="M1654" s="135"/>
      <c r="N1654" s="135"/>
      <c r="O1654" s="135"/>
      <c r="P1654" s="135"/>
      <c r="Q1654" s="135"/>
      <c r="R1654" s="135"/>
      <c r="S1654" s="135"/>
      <c r="T1654" s="135"/>
      <c r="U1654" s="135"/>
      <c r="V1654" s="135"/>
      <c r="W1654" s="135"/>
      <c r="X1654" s="135"/>
      <c r="Y1654" s="135"/>
      <c r="Z1654" s="135"/>
    </row>
    <row r="1655" spans="1:26" ht="12.75">
      <c r="A1655" s="136" t="s">
        <v>19</v>
      </c>
      <c r="B1655" s="136" t="s">
        <v>990</v>
      </c>
      <c r="C1655" s="136" t="s">
        <v>1008</v>
      </c>
      <c r="D1655" s="136" t="s">
        <v>103</v>
      </c>
      <c r="E1655" s="136" t="s">
        <v>594</v>
      </c>
      <c r="F1655" s="136">
        <v>285</v>
      </c>
      <c r="G1655" s="137">
        <f t="shared" si="6"/>
        <v>1</v>
      </c>
      <c r="H1655" s="137"/>
      <c r="I1655" s="137"/>
      <c r="J1655" s="135"/>
      <c r="K1655" s="135"/>
      <c r="L1655" s="135"/>
      <c r="M1655" s="135"/>
      <c r="N1655" s="135"/>
      <c r="O1655" s="135"/>
      <c r="P1655" s="135"/>
      <c r="Q1655" s="135"/>
      <c r="R1655" s="135"/>
      <c r="S1655" s="135"/>
      <c r="T1655" s="135"/>
      <c r="U1655" s="135"/>
      <c r="V1655" s="135"/>
      <c r="W1655" s="135"/>
      <c r="X1655" s="135"/>
      <c r="Y1655" s="135"/>
      <c r="Z1655" s="135"/>
    </row>
    <row r="1656" spans="1:26" ht="12.75">
      <c r="A1656" s="136" t="s">
        <v>19</v>
      </c>
      <c r="B1656" s="136" t="s">
        <v>990</v>
      </c>
      <c r="C1656" s="136" t="s">
        <v>1008</v>
      </c>
      <c r="D1656" s="136" t="s">
        <v>467</v>
      </c>
      <c r="E1656" s="136" t="s">
        <v>85</v>
      </c>
      <c r="F1656" s="136">
        <v>209</v>
      </c>
      <c r="G1656" s="137">
        <f t="shared" si="6"/>
        <v>2</v>
      </c>
      <c r="H1656" s="137"/>
      <c r="I1656" s="137"/>
      <c r="J1656" s="135"/>
      <c r="K1656" s="135"/>
      <c r="L1656" s="135"/>
      <c r="M1656" s="135"/>
      <c r="N1656" s="135"/>
      <c r="O1656" s="135"/>
      <c r="P1656" s="135"/>
      <c r="Q1656" s="135"/>
      <c r="R1656" s="135"/>
      <c r="S1656" s="135"/>
      <c r="T1656" s="135"/>
      <c r="U1656" s="135"/>
      <c r="V1656" s="135"/>
      <c r="W1656" s="135"/>
      <c r="X1656" s="135"/>
      <c r="Y1656" s="135"/>
      <c r="Z1656" s="135"/>
    </row>
    <row r="1657" spans="1:26" ht="12.75">
      <c r="A1657" s="136" t="s">
        <v>19</v>
      </c>
      <c r="B1657" s="136" t="s">
        <v>990</v>
      </c>
      <c r="C1657" s="136" t="s">
        <v>1008</v>
      </c>
      <c r="D1657" s="136" t="s">
        <v>114</v>
      </c>
      <c r="E1657" s="136" t="s">
        <v>85</v>
      </c>
      <c r="F1657" s="136">
        <v>141</v>
      </c>
      <c r="G1657" s="137">
        <f t="shared" si="6"/>
        <v>3</v>
      </c>
      <c r="H1657" s="137"/>
      <c r="I1657" s="137"/>
      <c r="J1657" s="135"/>
      <c r="K1657" s="135"/>
      <c r="L1657" s="135"/>
      <c r="M1657" s="135"/>
      <c r="N1657" s="135"/>
      <c r="O1657" s="135"/>
      <c r="P1657" s="135"/>
      <c r="Q1657" s="135"/>
      <c r="R1657" s="135"/>
      <c r="S1657" s="135"/>
      <c r="T1657" s="135"/>
      <c r="U1657" s="135"/>
      <c r="V1657" s="135"/>
      <c r="W1657" s="135"/>
      <c r="X1657" s="135"/>
      <c r="Y1657" s="135"/>
      <c r="Z1657" s="135"/>
    </row>
    <row r="1658" spans="1:26" ht="12.75">
      <c r="A1658" s="136" t="s">
        <v>19</v>
      </c>
      <c r="B1658" s="136" t="s">
        <v>990</v>
      </c>
      <c r="C1658" s="136" t="s">
        <v>1008</v>
      </c>
      <c r="D1658" s="136" t="s">
        <v>7621</v>
      </c>
      <c r="E1658" s="136" t="s">
        <v>7621</v>
      </c>
      <c r="F1658" s="136">
        <v>50</v>
      </c>
      <c r="G1658" s="137">
        <f t="shared" si="6"/>
        <v>5</v>
      </c>
      <c r="H1658" s="137"/>
      <c r="I1658" s="137"/>
      <c r="J1658" s="135"/>
      <c r="K1658" s="135"/>
      <c r="L1658" s="135"/>
      <c r="M1658" s="135"/>
      <c r="N1658" s="135"/>
      <c r="O1658" s="135"/>
      <c r="P1658" s="135"/>
      <c r="Q1658" s="135"/>
      <c r="R1658" s="135"/>
      <c r="S1658" s="135"/>
      <c r="T1658" s="135"/>
      <c r="U1658" s="135"/>
      <c r="V1658" s="135"/>
      <c r="W1658" s="135"/>
      <c r="X1658" s="135"/>
      <c r="Y1658" s="135"/>
      <c r="Z1658" s="135"/>
    </row>
    <row r="1659" spans="1:26" ht="12.75">
      <c r="A1659" s="136" t="s">
        <v>19</v>
      </c>
      <c r="B1659" s="136" t="s">
        <v>990</v>
      </c>
      <c r="C1659" s="136" t="s">
        <v>1008</v>
      </c>
      <c r="D1659" s="136" t="s">
        <v>7633</v>
      </c>
      <c r="E1659" s="136" t="s">
        <v>7633</v>
      </c>
      <c r="F1659" s="136">
        <v>37</v>
      </c>
      <c r="G1659" s="137">
        <f t="shared" si="6"/>
        <v>6</v>
      </c>
      <c r="H1659" s="137"/>
      <c r="I1659" s="137"/>
      <c r="J1659" s="135"/>
      <c r="K1659" s="135"/>
      <c r="L1659" s="135"/>
      <c r="M1659" s="135"/>
      <c r="N1659" s="135"/>
      <c r="O1659" s="135"/>
      <c r="P1659" s="135"/>
      <c r="Q1659" s="135"/>
      <c r="R1659" s="135"/>
      <c r="S1659" s="135"/>
      <c r="T1659" s="135"/>
      <c r="U1659" s="135"/>
      <c r="V1659" s="135"/>
      <c r="W1659" s="135"/>
      <c r="X1659" s="135"/>
      <c r="Y1659" s="135"/>
      <c r="Z1659" s="135"/>
    </row>
    <row r="1660" spans="1:26" ht="12.75">
      <c r="A1660" s="136" t="s">
        <v>19</v>
      </c>
      <c r="B1660" s="136" t="s">
        <v>990</v>
      </c>
      <c r="C1660" s="136" t="s">
        <v>1008</v>
      </c>
      <c r="D1660" s="136" t="s">
        <v>139</v>
      </c>
      <c r="E1660" s="136" t="s">
        <v>594</v>
      </c>
      <c r="F1660" s="136">
        <v>54</v>
      </c>
      <c r="G1660" s="137">
        <f t="shared" si="6"/>
        <v>4</v>
      </c>
      <c r="H1660" s="137"/>
      <c r="I1660" s="137"/>
      <c r="J1660" s="135"/>
      <c r="K1660" s="135"/>
      <c r="L1660" s="135"/>
      <c r="M1660" s="135"/>
      <c r="N1660" s="135"/>
      <c r="O1660" s="135"/>
      <c r="P1660" s="135"/>
      <c r="Q1660" s="135"/>
      <c r="R1660" s="135"/>
      <c r="S1660" s="135"/>
      <c r="T1660" s="135"/>
      <c r="U1660" s="135"/>
      <c r="V1660" s="135"/>
      <c r="W1660" s="135"/>
      <c r="X1660" s="135"/>
      <c r="Y1660" s="135"/>
      <c r="Z1660" s="135"/>
    </row>
    <row r="1661" spans="1:26" ht="12.75">
      <c r="A1661" s="136" t="s">
        <v>19</v>
      </c>
      <c r="B1661" s="136" t="s">
        <v>990</v>
      </c>
      <c r="C1661" s="136" t="s">
        <v>108</v>
      </c>
      <c r="D1661" s="136" t="s">
        <v>107</v>
      </c>
      <c r="E1661" s="136" t="s">
        <v>594</v>
      </c>
      <c r="F1661" s="136">
        <v>1588</v>
      </c>
      <c r="G1661" s="137">
        <f t="shared" si="6"/>
        <v>1</v>
      </c>
      <c r="H1661" s="137"/>
      <c r="I1661" s="137"/>
      <c r="J1661" s="135"/>
      <c r="K1661" s="135"/>
      <c r="L1661" s="135"/>
      <c r="M1661" s="135"/>
      <c r="N1661" s="135"/>
      <c r="O1661" s="135"/>
      <c r="P1661" s="135"/>
      <c r="Q1661" s="135"/>
      <c r="R1661" s="135"/>
      <c r="S1661" s="135"/>
      <c r="T1661" s="135"/>
      <c r="U1661" s="135"/>
      <c r="V1661" s="135"/>
      <c r="W1661" s="135"/>
      <c r="X1661" s="135"/>
      <c r="Y1661" s="135"/>
      <c r="Z1661" s="135"/>
    </row>
    <row r="1662" spans="1:26" ht="12.75">
      <c r="A1662" s="136" t="s">
        <v>19</v>
      </c>
      <c r="B1662" s="136" t="s">
        <v>990</v>
      </c>
      <c r="C1662" s="136" t="s">
        <v>108</v>
      </c>
      <c r="D1662" s="136" t="s">
        <v>139</v>
      </c>
      <c r="E1662" s="136" t="s">
        <v>594</v>
      </c>
      <c r="F1662" s="136">
        <v>1385</v>
      </c>
      <c r="G1662" s="137">
        <f t="shared" si="6"/>
        <v>2</v>
      </c>
      <c r="H1662" s="137"/>
      <c r="I1662" s="137"/>
      <c r="J1662" s="135"/>
      <c r="K1662" s="135"/>
      <c r="L1662" s="135"/>
      <c r="M1662" s="135"/>
      <c r="N1662" s="135"/>
      <c r="O1662" s="135"/>
      <c r="P1662" s="135"/>
      <c r="Q1662" s="135"/>
      <c r="R1662" s="135"/>
      <c r="S1662" s="135"/>
      <c r="T1662" s="135"/>
      <c r="U1662" s="135"/>
      <c r="V1662" s="135"/>
      <c r="W1662" s="135"/>
      <c r="X1662" s="135"/>
      <c r="Y1662" s="135"/>
      <c r="Z1662" s="135"/>
    </row>
    <row r="1663" spans="1:26" ht="12.75">
      <c r="A1663" s="136" t="s">
        <v>19</v>
      </c>
      <c r="B1663" s="136" t="s">
        <v>990</v>
      </c>
      <c r="C1663" s="136" t="s">
        <v>108</v>
      </c>
      <c r="D1663" s="136" t="s">
        <v>94</v>
      </c>
      <c r="E1663" s="136" t="s">
        <v>615</v>
      </c>
      <c r="F1663" s="136">
        <v>840</v>
      </c>
      <c r="G1663" s="137">
        <f t="shared" si="6"/>
        <v>3</v>
      </c>
      <c r="H1663" s="137"/>
      <c r="I1663" s="137"/>
      <c r="J1663" s="135"/>
      <c r="K1663" s="135"/>
      <c r="L1663" s="135"/>
      <c r="M1663" s="135"/>
      <c r="N1663" s="135"/>
      <c r="O1663" s="135"/>
      <c r="P1663" s="135"/>
      <c r="Q1663" s="135"/>
      <c r="R1663" s="135"/>
      <c r="S1663" s="135"/>
      <c r="T1663" s="135"/>
      <c r="U1663" s="135"/>
      <c r="V1663" s="135"/>
      <c r="W1663" s="135"/>
      <c r="X1663" s="135"/>
      <c r="Y1663" s="135"/>
      <c r="Z1663" s="135"/>
    </row>
    <row r="1664" spans="1:26" ht="12.75">
      <c r="A1664" s="136" t="s">
        <v>19</v>
      </c>
      <c r="B1664" s="136" t="s">
        <v>990</v>
      </c>
      <c r="C1664" s="136" t="s">
        <v>108</v>
      </c>
      <c r="D1664" s="136" t="s">
        <v>114</v>
      </c>
      <c r="E1664" s="136" t="s">
        <v>85</v>
      </c>
      <c r="F1664" s="136">
        <v>420</v>
      </c>
      <c r="G1664" s="137">
        <f t="shared" si="6"/>
        <v>4</v>
      </c>
      <c r="H1664" s="137"/>
      <c r="I1664" s="137"/>
      <c r="J1664" s="135"/>
      <c r="K1664" s="135"/>
      <c r="L1664" s="135"/>
      <c r="M1664" s="135"/>
      <c r="N1664" s="135"/>
      <c r="O1664" s="135"/>
      <c r="P1664" s="135"/>
      <c r="Q1664" s="135"/>
      <c r="R1664" s="135"/>
      <c r="S1664" s="135"/>
      <c r="T1664" s="135"/>
      <c r="U1664" s="135"/>
      <c r="V1664" s="135"/>
      <c r="W1664" s="135"/>
      <c r="X1664" s="135"/>
      <c r="Y1664" s="135"/>
      <c r="Z1664" s="135"/>
    </row>
    <row r="1665" spans="1:26" ht="12.75">
      <c r="A1665" s="136" t="s">
        <v>19</v>
      </c>
      <c r="B1665" s="136" t="s">
        <v>990</v>
      </c>
      <c r="C1665" s="136" t="s">
        <v>108</v>
      </c>
      <c r="D1665" s="136" t="s">
        <v>467</v>
      </c>
      <c r="E1665" s="136" t="s">
        <v>85</v>
      </c>
      <c r="F1665" s="136">
        <v>192</v>
      </c>
      <c r="G1665" s="137">
        <f t="shared" si="6"/>
        <v>5</v>
      </c>
      <c r="H1665" s="137"/>
      <c r="I1665" s="137"/>
      <c r="J1665" s="135"/>
      <c r="K1665" s="135"/>
      <c r="L1665" s="135"/>
      <c r="M1665" s="135"/>
      <c r="N1665" s="135"/>
      <c r="O1665" s="135"/>
      <c r="P1665" s="135"/>
      <c r="Q1665" s="135"/>
      <c r="R1665" s="135"/>
      <c r="S1665" s="135"/>
      <c r="T1665" s="135"/>
      <c r="U1665" s="135"/>
      <c r="V1665" s="135"/>
      <c r="W1665" s="135"/>
      <c r="X1665" s="135"/>
      <c r="Y1665" s="135"/>
      <c r="Z1665" s="135"/>
    </row>
    <row r="1666" spans="1:26" ht="12.75">
      <c r="A1666" s="136" t="s">
        <v>19</v>
      </c>
      <c r="B1666" s="136" t="s">
        <v>990</v>
      </c>
      <c r="C1666" s="136" t="s">
        <v>108</v>
      </c>
      <c r="D1666" s="136" t="s">
        <v>7621</v>
      </c>
      <c r="E1666" s="136" t="s">
        <v>7621</v>
      </c>
      <c r="F1666" s="136">
        <v>60</v>
      </c>
      <c r="G1666" s="137">
        <f t="shared" si="6"/>
        <v>7</v>
      </c>
      <c r="H1666" s="137"/>
      <c r="I1666" s="137"/>
      <c r="J1666" s="135"/>
      <c r="K1666" s="135"/>
      <c r="L1666" s="135"/>
      <c r="M1666" s="135"/>
      <c r="N1666" s="135"/>
      <c r="O1666" s="135"/>
      <c r="P1666" s="135"/>
      <c r="Q1666" s="135"/>
      <c r="R1666" s="135"/>
      <c r="S1666" s="135"/>
      <c r="T1666" s="135"/>
      <c r="U1666" s="135"/>
      <c r="V1666" s="135"/>
      <c r="W1666" s="135"/>
      <c r="X1666" s="135"/>
      <c r="Y1666" s="135"/>
      <c r="Z1666" s="135"/>
    </row>
    <row r="1667" spans="1:26" ht="12.75">
      <c r="A1667" s="136" t="s">
        <v>19</v>
      </c>
      <c r="B1667" s="136" t="s">
        <v>990</v>
      </c>
      <c r="C1667" s="136" t="s">
        <v>108</v>
      </c>
      <c r="D1667" s="136" t="s">
        <v>7633</v>
      </c>
      <c r="E1667" s="136" t="s">
        <v>7633</v>
      </c>
      <c r="F1667" s="136">
        <v>64</v>
      </c>
      <c r="G1667" s="137">
        <f t="shared" si="6"/>
        <v>6</v>
      </c>
      <c r="H1667" s="137"/>
      <c r="I1667" s="137"/>
      <c r="J1667" s="135"/>
      <c r="K1667" s="135"/>
      <c r="L1667" s="135"/>
      <c r="M1667" s="135"/>
      <c r="N1667" s="135"/>
      <c r="O1667" s="135"/>
      <c r="P1667" s="135"/>
      <c r="Q1667" s="135"/>
      <c r="R1667" s="135"/>
      <c r="S1667" s="135"/>
      <c r="T1667" s="135"/>
      <c r="U1667" s="135"/>
      <c r="V1667" s="135"/>
      <c r="W1667" s="135"/>
      <c r="X1667" s="135"/>
      <c r="Y1667" s="135"/>
      <c r="Z1667" s="135"/>
    </row>
    <row r="1668" spans="1:26" ht="12.75">
      <c r="A1668" s="136" t="s">
        <v>19</v>
      </c>
      <c r="B1668" s="136" t="s">
        <v>990</v>
      </c>
      <c r="C1668" s="136" t="s">
        <v>108</v>
      </c>
      <c r="D1668" s="136" t="s">
        <v>86</v>
      </c>
      <c r="E1668" s="136" t="s">
        <v>86</v>
      </c>
      <c r="F1668" s="136">
        <v>27</v>
      </c>
      <c r="G1668" s="137">
        <f t="shared" si="6"/>
        <v>8</v>
      </c>
      <c r="H1668" s="137"/>
      <c r="I1668" s="137"/>
      <c r="J1668" s="135"/>
      <c r="K1668" s="135"/>
      <c r="L1668" s="135"/>
      <c r="M1668" s="135"/>
      <c r="N1668" s="135"/>
      <c r="O1668" s="135"/>
      <c r="P1668" s="135"/>
      <c r="Q1668" s="135"/>
      <c r="R1668" s="135"/>
      <c r="S1668" s="135"/>
      <c r="T1668" s="135"/>
      <c r="U1668" s="135"/>
      <c r="V1668" s="135"/>
      <c r="W1668" s="135"/>
      <c r="X1668" s="135"/>
      <c r="Y1668" s="135"/>
      <c r="Z1668" s="135"/>
    </row>
    <row r="1669" spans="1:26" ht="12.75">
      <c r="A1669" s="136" t="s">
        <v>19</v>
      </c>
      <c r="B1669" s="136" t="s">
        <v>990</v>
      </c>
      <c r="C1669" s="136" t="s">
        <v>111</v>
      </c>
      <c r="D1669" s="136" t="s">
        <v>103</v>
      </c>
      <c r="E1669" s="136" t="s">
        <v>594</v>
      </c>
      <c r="F1669" s="136">
        <v>1865</v>
      </c>
      <c r="G1669" s="137">
        <f t="shared" si="6"/>
        <v>1</v>
      </c>
      <c r="H1669" s="137"/>
      <c r="I1669" s="137"/>
      <c r="J1669" s="135"/>
      <c r="K1669" s="135"/>
      <c r="L1669" s="135"/>
      <c r="M1669" s="135"/>
      <c r="N1669" s="135"/>
      <c r="O1669" s="135"/>
      <c r="P1669" s="135"/>
      <c r="Q1669" s="135"/>
      <c r="R1669" s="135"/>
      <c r="S1669" s="135"/>
      <c r="T1669" s="135"/>
      <c r="U1669" s="135"/>
      <c r="V1669" s="135"/>
      <c r="W1669" s="135"/>
      <c r="X1669" s="135"/>
      <c r="Y1669" s="135"/>
      <c r="Z1669" s="135"/>
    </row>
    <row r="1670" spans="1:26" ht="12.75">
      <c r="A1670" s="136" t="s">
        <v>19</v>
      </c>
      <c r="B1670" s="136" t="s">
        <v>990</v>
      </c>
      <c r="C1670" s="136" t="s">
        <v>111</v>
      </c>
      <c r="D1670" s="136" t="s">
        <v>139</v>
      </c>
      <c r="E1670" s="136" t="s">
        <v>594</v>
      </c>
      <c r="F1670" s="136">
        <v>997</v>
      </c>
      <c r="G1670" s="137">
        <f t="shared" si="6"/>
        <v>2</v>
      </c>
      <c r="H1670" s="137"/>
      <c r="I1670" s="137"/>
      <c r="J1670" s="135"/>
      <c r="K1670" s="135"/>
      <c r="L1670" s="135"/>
      <c r="M1670" s="135"/>
      <c r="N1670" s="135"/>
      <c r="O1670" s="135"/>
      <c r="P1670" s="135"/>
      <c r="Q1670" s="135"/>
      <c r="R1670" s="135"/>
      <c r="S1670" s="135"/>
      <c r="T1670" s="135"/>
      <c r="U1670" s="135"/>
      <c r="V1670" s="135"/>
      <c r="W1670" s="135"/>
      <c r="X1670" s="135"/>
      <c r="Y1670" s="135"/>
      <c r="Z1670" s="135"/>
    </row>
    <row r="1671" spans="1:26" ht="12.75">
      <c r="A1671" s="136" t="s">
        <v>19</v>
      </c>
      <c r="B1671" s="136" t="s">
        <v>990</v>
      </c>
      <c r="C1671" s="136" t="s">
        <v>111</v>
      </c>
      <c r="D1671" s="136" t="s">
        <v>114</v>
      </c>
      <c r="E1671" s="136" t="s">
        <v>85</v>
      </c>
      <c r="F1671" s="136">
        <v>872</v>
      </c>
      <c r="G1671" s="137">
        <f t="shared" si="6"/>
        <v>3</v>
      </c>
      <c r="H1671" s="137"/>
      <c r="I1671" s="137"/>
      <c r="J1671" s="135"/>
      <c r="K1671" s="135"/>
      <c r="L1671" s="135"/>
      <c r="M1671" s="135"/>
      <c r="N1671" s="135"/>
      <c r="O1671" s="135"/>
      <c r="P1671" s="135"/>
      <c r="Q1671" s="135"/>
      <c r="R1671" s="135"/>
      <c r="S1671" s="135"/>
      <c r="T1671" s="135"/>
      <c r="U1671" s="135"/>
      <c r="V1671" s="135"/>
      <c r="W1671" s="135"/>
      <c r="X1671" s="135"/>
      <c r="Y1671" s="135"/>
      <c r="Z1671" s="135"/>
    </row>
    <row r="1672" spans="1:26" ht="12.75">
      <c r="A1672" s="136" t="s">
        <v>19</v>
      </c>
      <c r="B1672" s="136" t="s">
        <v>990</v>
      </c>
      <c r="C1672" s="136" t="s">
        <v>111</v>
      </c>
      <c r="D1672" s="136" t="s">
        <v>107</v>
      </c>
      <c r="E1672" s="136" t="s">
        <v>594</v>
      </c>
      <c r="F1672" s="136">
        <v>445</v>
      </c>
      <c r="G1672" s="137">
        <f t="shared" si="6"/>
        <v>4</v>
      </c>
      <c r="H1672" s="137"/>
      <c r="I1672" s="137"/>
      <c r="J1672" s="135"/>
      <c r="K1672" s="135"/>
      <c r="L1672" s="135"/>
      <c r="M1672" s="135"/>
      <c r="N1672" s="135"/>
      <c r="O1672" s="135"/>
      <c r="P1672" s="135"/>
      <c r="Q1672" s="135"/>
      <c r="R1672" s="135"/>
      <c r="S1672" s="135"/>
      <c r="T1672" s="135"/>
      <c r="U1672" s="135"/>
      <c r="V1672" s="135"/>
      <c r="W1672" s="135"/>
      <c r="X1672" s="135"/>
      <c r="Y1672" s="135"/>
      <c r="Z1672" s="135"/>
    </row>
    <row r="1673" spans="1:26" ht="12.75">
      <c r="A1673" s="136" t="s">
        <v>19</v>
      </c>
      <c r="B1673" s="136" t="s">
        <v>990</v>
      </c>
      <c r="C1673" s="136" t="s">
        <v>111</v>
      </c>
      <c r="D1673" s="136" t="s">
        <v>467</v>
      </c>
      <c r="E1673" s="136" t="s">
        <v>85</v>
      </c>
      <c r="F1673" s="136">
        <v>347</v>
      </c>
      <c r="G1673" s="137">
        <f t="shared" si="6"/>
        <v>5</v>
      </c>
      <c r="H1673" s="137"/>
      <c r="I1673" s="137"/>
      <c r="J1673" s="135"/>
      <c r="K1673" s="135"/>
      <c r="L1673" s="135"/>
      <c r="M1673" s="135"/>
      <c r="N1673" s="135"/>
      <c r="O1673" s="135"/>
      <c r="P1673" s="135"/>
      <c r="Q1673" s="135"/>
      <c r="R1673" s="135"/>
      <c r="S1673" s="135"/>
      <c r="T1673" s="135"/>
      <c r="U1673" s="135"/>
      <c r="V1673" s="135"/>
      <c r="W1673" s="135"/>
      <c r="X1673" s="135"/>
      <c r="Y1673" s="135"/>
      <c r="Z1673" s="135"/>
    </row>
    <row r="1674" spans="1:26" ht="12.75">
      <c r="A1674" s="136" t="s">
        <v>19</v>
      </c>
      <c r="B1674" s="136" t="s">
        <v>990</v>
      </c>
      <c r="C1674" s="136" t="s">
        <v>111</v>
      </c>
      <c r="D1674" s="136" t="s">
        <v>7619</v>
      </c>
      <c r="E1674" s="136" t="s">
        <v>615</v>
      </c>
      <c r="F1674" s="136">
        <v>299</v>
      </c>
      <c r="G1674" s="137">
        <f t="shared" si="6"/>
        <v>6</v>
      </c>
      <c r="H1674" s="137"/>
      <c r="I1674" s="137"/>
      <c r="J1674" s="135"/>
      <c r="K1674" s="135"/>
      <c r="L1674" s="135"/>
      <c r="M1674" s="135"/>
      <c r="N1674" s="135"/>
      <c r="O1674" s="135"/>
      <c r="P1674" s="135"/>
      <c r="Q1674" s="135"/>
      <c r="R1674" s="135"/>
      <c r="S1674" s="135"/>
      <c r="T1674" s="135"/>
      <c r="U1674" s="135"/>
      <c r="V1674" s="135"/>
      <c r="W1674" s="135"/>
      <c r="X1674" s="135"/>
      <c r="Y1674" s="135"/>
      <c r="Z1674" s="135"/>
    </row>
    <row r="1675" spans="1:26" ht="12.75">
      <c r="A1675" s="136" t="s">
        <v>19</v>
      </c>
      <c r="B1675" s="136" t="s">
        <v>990</v>
      </c>
      <c r="C1675" s="136" t="s">
        <v>111</v>
      </c>
      <c r="D1675" s="136" t="s">
        <v>1669</v>
      </c>
      <c r="E1675" s="136" t="s">
        <v>615</v>
      </c>
      <c r="F1675" s="136">
        <v>281</v>
      </c>
      <c r="G1675" s="137">
        <f t="shared" si="6"/>
        <v>7</v>
      </c>
      <c r="H1675" s="137"/>
      <c r="I1675" s="137"/>
      <c r="J1675" s="135"/>
      <c r="K1675" s="135"/>
      <c r="L1675" s="135"/>
      <c r="M1675" s="135"/>
      <c r="N1675" s="135"/>
      <c r="O1675" s="135"/>
      <c r="P1675" s="135"/>
      <c r="Q1675" s="135"/>
      <c r="R1675" s="135"/>
      <c r="S1675" s="135"/>
      <c r="T1675" s="135"/>
      <c r="U1675" s="135"/>
      <c r="V1675" s="135"/>
      <c r="W1675" s="135"/>
      <c r="X1675" s="135"/>
      <c r="Y1675" s="135"/>
      <c r="Z1675" s="135"/>
    </row>
    <row r="1676" spans="1:26" ht="12.75">
      <c r="A1676" s="136" t="s">
        <v>19</v>
      </c>
      <c r="B1676" s="136" t="s">
        <v>990</v>
      </c>
      <c r="C1676" s="136" t="s">
        <v>111</v>
      </c>
      <c r="D1676" s="136" t="s">
        <v>7621</v>
      </c>
      <c r="E1676" s="136" t="s">
        <v>7621</v>
      </c>
      <c r="F1676" s="136">
        <v>100</v>
      </c>
      <c r="G1676" s="137">
        <f t="shared" si="6"/>
        <v>8</v>
      </c>
      <c r="H1676" s="137"/>
      <c r="I1676" s="137"/>
      <c r="J1676" s="135"/>
      <c r="K1676" s="135"/>
      <c r="L1676" s="135"/>
      <c r="M1676" s="135"/>
      <c r="N1676" s="135"/>
      <c r="O1676" s="135"/>
      <c r="P1676" s="135"/>
      <c r="Q1676" s="135"/>
      <c r="R1676" s="135"/>
      <c r="S1676" s="135"/>
      <c r="T1676" s="135"/>
      <c r="U1676" s="135"/>
      <c r="V1676" s="135"/>
      <c r="W1676" s="135"/>
      <c r="X1676" s="135"/>
      <c r="Y1676" s="135"/>
      <c r="Z1676" s="135"/>
    </row>
    <row r="1677" spans="1:26" ht="12.75">
      <c r="A1677" s="136" t="s">
        <v>19</v>
      </c>
      <c r="B1677" s="136" t="s">
        <v>990</v>
      </c>
      <c r="C1677" s="136" t="s">
        <v>111</v>
      </c>
      <c r="D1677" s="136" t="s">
        <v>7633</v>
      </c>
      <c r="E1677" s="136" t="s">
        <v>7633</v>
      </c>
      <c r="F1677" s="136">
        <v>94</v>
      </c>
      <c r="G1677" s="137">
        <f t="shared" si="6"/>
        <v>9</v>
      </c>
      <c r="H1677" s="137"/>
      <c r="I1677" s="137"/>
      <c r="J1677" s="135"/>
      <c r="K1677" s="135"/>
      <c r="L1677" s="135"/>
      <c r="M1677" s="135"/>
      <c r="N1677" s="135"/>
      <c r="O1677" s="135"/>
      <c r="P1677" s="135"/>
      <c r="Q1677" s="135"/>
      <c r="R1677" s="135"/>
      <c r="S1677" s="135"/>
      <c r="T1677" s="135"/>
      <c r="U1677" s="135"/>
      <c r="V1677" s="135"/>
      <c r="W1677" s="135"/>
      <c r="X1677" s="135"/>
      <c r="Y1677" s="135"/>
      <c r="Z1677" s="135"/>
    </row>
    <row r="1678" spans="1:26" ht="12.75">
      <c r="A1678" s="136" t="s">
        <v>19</v>
      </c>
      <c r="B1678" s="136" t="s">
        <v>990</v>
      </c>
      <c r="C1678" s="136" t="s">
        <v>115</v>
      </c>
      <c r="D1678" s="136" t="s">
        <v>1669</v>
      </c>
      <c r="E1678" s="136" t="s">
        <v>615</v>
      </c>
      <c r="F1678" s="136">
        <v>530</v>
      </c>
      <c r="G1678" s="137">
        <f t="shared" si="6"/>
        <v>1</v>
      </c>
      <c r="H1678" s="137"/>
      <c r="I1678" s="137"/>
      <c r="J1678" s="135"/>
      <c r="K1678" s="135"/>
      <c r="L1678" s="135"/>
      <c r="M1678" s="135"/>
      <c r="N1678" s="135"/>
      <c r="O1678" s="135"/>
      <c r="P1678" s="135"/>
      <c r="Q1678" s="135"/>
      <c r="R1678" s="135"/>
      <c r="S1678" s="135"/>
      <c r="T1678" s="135"/>
      <c r="U1678" s="135"/>
      <c r="V1678" s="135"/>
      <c r="W1678" s="135"/>
      <c r="X1678" s="135"/>
      <c r="Y1678" s="135"/>
      <c r="Z1678" s="135"/>
    </row>
    <row r="1679" spans="1:26" ht="12.75">
      <c r="A1679" s="136" t="s">
        <v>19</v>
      </c>
      <c r="B1679" s="136" t="s">
        <v>990</v>
      </c>
      <c r="C1679" s="136" t="s">
        <v>115</v>
      </c>
      <c r="D1679" s="136" t="s">
        <v>165</v>
      </c>
      <c r="E1679" s="136" t="s">
        <v>615</v>
      </c>
      <c r="F1679" s="136">
        <v>311</v>
      </c>
      <c r="G1679" s="137">
        <f t="shared" si="6"/>
        <v>2</v>
      </c>
      <c r="H1679" s="137"/>
      <c r="I1679" s="137"/>
      <c r="J1679" s="135"/>
      <c r="K1679" s="135"/>
      <c r="L1679" s="135"/>
      <c r="M1679" s="135"/>
      <c r="N1679" s="135"/>
      <c r="O1679" s="135"/>
      <c r="P1679" s="135"/>
      <c r="Q1679" s="135"/>
      <c r="R1679" s="135"/>
      <c r="S1679" s="135"/>
      <c r="T1679" s="135"/>
      <c r="U1679" s="135"/>
      <c r="V1679" s="135"/>
      <c r="W1679" s="135"/>
      <c r="X1679" s="135"/>
      <c r="Y1679" s="135"/>
      <c r="Z1679" s="135"/>
    </row>
    <row r="1680" spans="1:26" ht="12.75">
      <c r="A1680" s="136" t="s">
        <v>19</v>
      </c>
      <c r="B1680" s="136" t="s">
        <v>990</v>
      </c>
      <c r="C1680" s="136" t="s">
        <v>115</v>
      </c>
      <c r="D1680" s="136" t="s">
        <v>114</v>
      </c>
      <c r="E1680" s="136" t="s">
        <v>85</v>
      </c>
      <c r="F1680" s="136">
        <v>221</v>
      </c>
      <c r="G1680" s="137">
        <f t="shared" si="6"/>
        <v>3</v>
      </c>
      <c r="H1680" s="137"/>
      <c r="I1680" s="137"/>
      <c r="J1680" s="135"/>
      <c r="K1680" s="135"/>
      <c r="L1680" s="135"/>
      <c r="M1680" s="135"/>
      <c r="N1680" s="135"/>
      <c r="O1680" s="135"/>
      <c r="P1680" s="135"/>
      <c r="Q1680" s="135"/>
      <c r="R1680" s="135"/>
      <c r="S1680" s="135"/>
      <c r="T1680" s="135"/>
      <c r="U1680" s="135"/>
      <c r="V1680" s="135"/>
      <c r="W1680" s="135"/>
      <c r="X1680" s="135"/>
      <c r="Y1680" s="135"/>
      <c r="Z1680" s="135"/>
    </row>
    <row r="1681" spans="1:26" ht="12.75">
      <c r="A1681" s="136" t="s">
        <v>19</v>
      </c>
      <c r="B1681" s="136" t="s">
        <v>990</v>
      </c>
      <c r="C1681" s="136" t="s">
        <v>115</v>
      </c>
      <c r="D1681" s="136" t="s">
        <v>103</v>
      </c>
      <c r="E1681" s="136" t="s">
        <v>594</v>
      </c>
      <c r="F1681" s="136">
        <v>196</v>
      </c>
      <c r="G1681" s="137">
        <f t="shared" si="6"/>
        <v>4</v>
      </c>
      <c r="H1681" s="137"/>
      <c r="I1681" s="137"/>
      <c r="J1681" s="135"/>
      <c r="K1681" s="135"/>
      <c r="L1681" s="135"/>
      <c r="M1681" s="135"/>
      <c r="N1681" s="135"/>
      <c r="O1681" s="135"/>
      <c r="P1681" s="135"/>
      <c r="Q1681" s="135"/>
      <c r="R1681" s="135"/>
      <c r="S1681" s="135"/>
      <c r="T1681" s="135"/>
      <c r="U1681" s="135"/>
      <c r="V1681" s="135"/>
      <c r="W1681" s="135"/>
      <c r="X1681" s="135"/>
      <c r="Y1681" s="135"/>
      <c r="Z1681" s="135"/>
    </row>
    <row r="1682" spans="1:26" ht="12.75">
      <c r="A1682" s="136" t="s">
        <v>19</v>
      </c>
      <c r="B1682" s="136" t="s">
        <v>990</v>
      </c>
      <c r="C1682" s="136" t="s">
        <v>115</v>
      </c>
      <c r="D1682" s="136" t="s">
        <v>467</v>
      </c>
      <c r="E1682" s="136" t="s">
        <v>85</v>
      </c>
      <c r="F1682" s="136">
        <v>90</v>
      </c>
      <c r="G1682" s="137">
        <f t="shared" si="6"/>
        <v>5</v>
      </c>
      <c r="H1682" s="137"/>
      <c r="I1682" s="137"/>
      <c r="J1682" s="135"/>
      <c r="K1682" s="135"/>
      <c r="L1682" s="135"/>
      <c r="M1682" s="135"/>
      <c r="N1682" s="135"/>
      <c r="O1682" s="135"/>
      <c r="P1682" s="135"/>
      <c r="Q1682" s="135"/>
      <c r="R1682" s="135"/>
      <c r="S1682" s="135"/>
      <c r="T1682" s="135"/>
      <c r="U1682" s="135"/>
      <c r="V1682" s="135"/>
      <c r="W1682" s="135"/>
      <c r="X1682" s="135"/>
      <c r="Y1682" s="135"/>
      <c r="Z1682" s="135"/>
    </row>
    <row r="1683" spans="1:26" ht="12.75">
      <c r="A1683" s="136" t="s">
        <v>19</v>
      </c>
      <c r="B1683" s="136" t="s">
        <v>990</v>
      </c>
      <c r="C1683" s="136" t="s">
        <v>115</v>
      </c>
      <c r="D1683" s="136" t="s">
        <v>7621</v>
      </c>
      <c r="E1683" s="136" t="s">
        <v>7621</v>
      </c>
      <c r="F1683" s="136">
        <v>30</v>
      </c>
      <c r="G1683" s="137">
        <f t="shared" si="6"/>
        <v>7</v>
      </c>
      <c r="H1683" s="137"/>
      <c r="I1683" s="137"/>
      <c r="J1683" s="135"/>
      <c r="K1683" s="135"/>
      <c r="L1683" s="135"/>
      <c r="M1683" s="135"/>
      <c r="N1683" s="135"/>
      <c r="O1683" s="135"/>
      <c r="P1683" s="135"/>
      <c r="Q1683" s="135"/>
      <c r="R1683" s="135"/>
      <c r="S1683" s="135"/>
      <c r="T1683" s="135"/>
      <c r="U1683" s="135"/>
      <c r="V1683" s="135"/>
      <c r="W1683" s="135"/>
      <c r="X1683" s="135"/>
      <c r="Y1683" s="135"/>
      <c r="Z1683" s="135"/>
    </row>
    <row r="1684" spans="1:26" ht="12.75">
      <c r="A1684" s="136" t="s">
        <v>19</v>
      </c>
      <c r="B1684" s="136" t="s">
        <v>990</v>
      </c>
      <c r="C1684" s="136" t="s">
        <v>115</v>
      </c>
      <c r="D1684" s="136" t="s">
        <v>7633</v>
      </c>
      <c r="E1684" s="136" t="s">
        <v>7633</v>
      </c>
      <c r="F1684" s="136">
        <v>37</v>
      </c>
      <c r="G1684" s="137">
        <f t="shared" si="6"/>
        <v>6</v>
      </c>
      <c r="H1684" s="137"/>
      <c r="I1684" s="137"/>
      <c r="J1684" s="135"/>
      <c r="K1684" s="135"/>
      <c r="L1684" s="135"/>
      <c r="M1684" s="135"/>
      <c r="N1684" s="135"/>
      <c r="O1684" s="135"/>
      <c r="P1684" s="135"/>
      <c r="Q1684" s="135"/>
      <c r="R1684" s="135"/>
      <c r="S1684" s="135"/>
      <c r="T1684" s="135"/>
      <c r="U1684" s="135"/>
      <c r="V1684" s="135"/>
      <c r="W1684" s="135"/>
      <c r="X1684" s="135"/>
      <c r="Y1684" s="135"/>
      <c r="Z1684" s="135"/>
    </row>
    <row r="1685" spans="1:26" ht="12.75">
      <c r="A1685" s="136" t="s">
        <v>19</v>
      </c>
      <c r="B1685" s="136" t="s">
        <v>990</v>
      </c>
      <c r="C1685" s="136" t="s">
        <v>1034</v>
      </c>
      <c r="D1685" s="136" t="s">
        <v>103</v>
      </c>
      <c r="E1685" s="136" t="s">
        <v>594</v>
      </c>
      <c r="F1685" s="136">
        <v>440</v>
      </c>
      <c r="G1685" s="137">
        <f t="shared" si="6"/>
        <v>1</v>
      </c>
      <c r="H1685" s="137"/>
      <c r="I1685" s="137"/>
      <c r="J1685" s="135"/>
      <c r="K1685" s="135"/>
      <c r="L1685" s="135"/>
      <c r="M1685" s="135"/>
      <c r="N1685" s="135"/>
      <c r="O1685" s="135"/>
      <c r="P1685" s="135"/>
      <c r="Q1685" s="135"/>
      <c r="R1685" s="135"/>
      <c r="S1685" s="135"/>
      <c r="T1685" s="135"/>
      <c r="U1685" s="135"/>
      <c r="V1685" s="135"/>
      <c r="W1685" s="135"/>
      <c r="X1685" s="135"/>
      <c r="Y1685" s="135"/>
      <c r="Z1685" s="135"/>
    </row>
    <row r="1686" spans="1:26" ht="12.75">
      <c r="A1686" s="136" t="s">
        <v>19</v>
      </c>
      <c r="B1686" s="136" t="s">
        <v>990</v>
      </c>
      <c r="C1686" s="136" t="s">
        <v>1034</v>
      </c>
      <c r="D1686" s="136" t="s">
        <v>1669</v>
      </c>
      <c r="E1686" s="136" t="s">
        <v>615</v>
      </c>
      <c r="F1686" s="136">
        <v>388</v>
      </c>
      <c r="G1686" s="137">
        <f t="shared" si="6"/>
        <v>2</v>
      </c>
      <c r="H1686" s="137"/>
      <c r="I1686" s="137"/>
      <c r="J1686" s="135"/>
      <c r="K1686" s="135"/>
      <c r="L1686" s="135"/>
      <c r="M1686" s="135"/>
      <c r="N1686" s="135"/>
      <c r="O1686" s="135"/>
      <c r="P1686" s="135"/>
      <c r="Q1686" s="135"/>
      <c r="R1686" s="135"/>
      <c r="S1686" s="135"/>
      <c r="T1686" s="135"/>
      <c r="U1686" s="135"/>
      <c r="V1686" s="135"/>
      <c r="W1686" s="135"/>
      <c r="X1686" s="135"/>
      <c r="Y1686" s="135"/>
      <c r="Z1686" s="135"/>
    </row>
    <row r="1687" spans="1:26" ht="12.75">
      <c r="A1687" s="136" t="s">
        <v>19</v>
      </c>
      <c r="B1687" s="136" t="s">
        <v>990</v>
      </c>
      <c r="C1687" s="136" t="s">
        <v>1034</v>
      </c>
      <c r="D1687" s="136" t="s">
        <v>139</v>
      </c>
      <c r="E1687" s="136" t="s">
        <v>594</v>
      </c>
      <c r="F1687" s="136">
        <v>271</v>
      </c>
      <c r="G1687" s="137">
        <f t="shared" si="6"/>
        <v>3</v>
      </c>
      <c r="H1687" s="137"/>
      <c r="I1687" s="137"/>
      <c r="J1687" s="135"/>
      <c r="K1687" s="135"/>
      <c r="L1687" s="135"/>
      <c r="M1687" s="135"/>
      <c r="N1687" s="135"/>
      <c r="O1687" s="135"/>
      <c r="P1687" s="135"/>
      <c r="Q1687" s="135"/>
      <c r="R1687" s="135"/>
      <c r="S1687" s="135"/>
      <c r="T1687" s="135"/>
      <c r="U1687" s="135"/>
      <c r="V1687" s="135"/>
      <c r="W1687" s="135"/>
      <c r="X1687" s="135"/>
      <c r="Y1687" s="135"/>
      <c r="Z1687" s="135"/>
    </row>
    <row r="1688" spans="1:26" ht="12.75">
      <c r="A1688" s="136" t="s">
        <v>19</v>
      </c>
      <c r="B1688" s="136" t="s">
        <v>990</v>
      </c>
      <c r="C1688" s="136" t="s">
        <v>1034</v>
      </c>
      <c r="D1688" s="136" t="s">
        <v>114</v>
      </c>
      <c r="E1688" s="136" t="s">
        <v>85</v>
      </c>
      <c r="F1688" s="136">
        <v>251</v>
      </c>
      <c r="G1688" s="137">
        <f t="shared" si="6"/>
        <v>4</v>
      </c>
      <c r="H1688" s="137"/>
      <c r="I1688" s="137"/>
      <c r="J1688" s="135"/>
      <c r="K1688" s="135"/>
      <c r="L1688" s="135"/>
      <c r="M1688" s="135"/>
      <c r="N1688" s="135"/>
      <c r="O1688" s="135"/>
      <c r="P1688" s="135"/>
      <c r="Q1688" s="135"/>
      <c r="R1688" s="135"/>
      <c r="S1688" s="135"/>
      <c r="T1688" s="135"/>
      <c r="U1688" s="135"/>
      <c r="V1688" s="135"/>
      <c r="W1688" s="135"/>
      <c r="X1688" s="135"/>
      <c r="Y1688" s="135"/>
      <c r="Z1688" s="135"/>
    </row>
    <row r="1689" spans="1:26" ht="12.75">
      <c r="A1689" s="136" t="s">
        <v>19</v>
      </c>
      <c r="B1689" s="136" t="s">
        <v>990</v>
      </c>
      <c r="C1689" s="136" t="s">
        <v>1034</v>
      </c>
      <c r="D1689" s="136" t="s">
        <v>7621</v>
      </c>
      <c r="E1689" s="136" t="s">
        <v>7621</v>
      </c>
      <c r="F1689" s="136">
        <v>100</v>
      </c>
      <c r="G1689" s="137">
        <f t="shared" si="6"/>
        <v>6</v>
      </c>
      <c r="H1689" s="137"/>
      <c r="I1689" s="137"/>
      <c r="J1689" s="135"/>
      <c r="K1689" s="135"/>
      <c r="L1689" s="135"/>
      <c r="M1689" s="135"/>
      <c r="N1689" s="135"/>
      <c r="O1689" s="135"/>
      <c r="P1689" s="135"/>
      <c r="Q1689" s="135"/>
      <c r="R1689" s="135"/>
      <c r="S1689" s="135"/>
      <c r="T1689" s="135"/>
      <c r="U1689" s="135"/>
      <c r="V1689" s="135"/>
      <c r="W1689" s="135"/>
      <c r="X1689" s="135"/>
      <c r="Y1689" s="135"/>
      <c r="Z1689" s="135"/>
    </row>
    <row r="1690" spans="1:26" ht="12.75">
      <c r="A1690" s="136" t="s">
        <v>19</v>
      </c>
      <c r="B1690" s="136" t="s">
        <v>990</v>
      </c>
      <c r="C1690" s="136" t="s">
        <v>1034</v>
      </c>
      <c r="D1690" s="136" t="s">
        <v>7633</v>
      </c>
      <c r="E1690" s="136" t="s">
        <v>7633</v>
      </c>
      <c r="F1690" s="136">
        <v>70</v>
      </c>
      <c r="G1690" s="137">
        <f t="shared" si="6"/>
        <v>7</v>
      </c>
      <c r="H1690" s="137"/>
      <c r="I1690" s="137"/>
      <c r="J1690" s="135"/>
      <c r="K1690" s="135"/>
      <c r="L1690" s="135"/>
      <c r="M1690" s="135"/>
      <c r="N1690" s="135"/>
      <c r="O1690" s="135"/>
      <c r="P1690" s="135"/>
      <c r="Q1690" s="135"/>
      <c r="R1690" s="135"/>
      <c r="S1690" s="135"/>
      <c r="T1690" s="135"/>
      <c r="U1690" s="135"/>
      <c r="V1690" s="135"/>
      <c r="W1690" s="135"/>
      <c r="X1690" s="135"/>
      <c r="Y1690" s="135"/>
      <c r="Z1690" s="135"/>
    </row>
    <row r="1691" spans="1:26" ht="12.75">
      <c r="A1691" s="136" t="s">
        <v>19</v>
      </c>
      <c r="B1691" s="136" t="s">
        <v>990</v>
      </c>
      <c r="C1691" s="136" t="s">
        <v>1034</v>
      </c>
      <c r="D1691" s="136" t="s">
        <v>467</v>
      </c>
      <c r="E1691" s="136" t="s">
        <v>85</v>
      </c>
      <c r="F1691" s="136">
        <v>119</v>
      </c>
      <c r="G1691" s="137">
        <f t="shared" si="6"/>
        <v>5</v>
      </c>
      <c r="H1691" s="137"/>
      <c r="I1691" s="137"/>
      <c r="J1691" s="135"/>
      <c r="K1691" s="135"/>
      <c r="L1691" s="135"/>
      <c r="M1691" s="135"/>
      <c r="N1691" s="135"/>
      <c r="O1691" s="135"/>
      <c r="P1691" s="135"/>
      <c r="Q1691" s="135"/>
      <c r="R1691" s="135"/>
      <c r="S1691" s="135"/>
      <c r="T1691" s="135"/>
      <c r="U1691" s="135"/>
      <c r="V1691" s="135"/>
      <c r="W1691" s="135"/>
      <c r="X1691" s="135"/>
      <c r="Y1691" s="135"/>
      <c r="Z1691" s="135"/>
    </row>
    <row r="1692" spans="1:26" ht="12.75">
      <c r="A1692" s="136" t="s">
        <v>19</v>
      </c>
      <c r="B1692" s="136" t="s">
        <v>990</v>
      </c>
      <c r="C1692" s="136" t="s">
        <v>1034</v>
      </c>
      <c r="D1692" s="136" t="s">
        <v>7652</v>
      </c>
      <c r="E1692" s="136" t="s">
        <v>615</v>
      </c>
      <c r="F1692" s="136">
        <v>51</v>
      </c>
      <c r="G1692" s="137">
        <f t="shared" si="6"/>
        <v>8</v>
      </c>
      <c r="H1692" s="137"/>
      <c r="I1692" s="137"/>
      <c r="J1692" s="135"/>
      <c r="K1692" s="135"/>
      <c r="L1692" s="135"/>
      <c r="M1692" s="135"/>
      <c r="N1692" s="135"/>
      <c r="O1692" s="135"/>
      <c r="P1692" s="135"/>
      <c r="Q1692" s="135"/>
      <c r="R1692" s="135"/>
      <c r="S1692" s="135"/>
      <c r="T1692" s="135"/>
      <c r="U1692" s="135"/>
      <c r="V1692" s="135"/>
      <c r="W1692" s="135"/>
      <c r="X1692" s="135"/>
      <c r="Y1692" s="135"/>
      <c r="Z1692" s="135"/>
    </row>
    <row r="1693" spans="1:26" ht="12.75">
      <c r="A1693" s="136" t="s">
        <v>19</v>
      </c>
      <c r="B1693" s="136" t="s">
        <v>990</v>
      </c>
      <c r="C1693" s="136" t="s">
        <v>127</v>
      </c>
      <c r="D1693" s="136" t="s">
        <v>107</v>
      </c>
      <c r="E1693" s="136" t="s">
        <v>594</v>
      </c>
      <c r="F1693" s="136">
        <v>897</v>
      </c>
      <c r="G1693" s="137">
        <f t="shared" si="6"/>
        <v>1</v>
      </c>
      <c r="H1693" s="137"/>
      <c r="I1693" s="137"/>
      <c r="J1693" s="135"/>
      <c r="K1693" s="135"/>
      <c r="L1693" s="135"/>
      <c r="M1693" s="135"/>
      <c r="N1693" s="135"/>
      <c r="O1693" s="135"/>
      <c r="P1693" s="135"/>
      <c r="Q1693" s="135"/>
      <c r="R1693" s="135"/>
      <c r="S1693" s="135"/>
      <c r="T1693" s="135"/>
      <c r="U1693" s="135"/>
      <c r="V1693" s="135"/>
      <c r="W1693" s="135"/>
      <c r="X1693" s="135"/>
      <c r="Y1693" s="135"/>
      <c r="Z1693" s="135"/>
    </row>
    <row r="1694" spans="1:26" ht="12.75">
      <c r="A1694" s="136" t="s">
        <v>19</v>
      </c>
      <c r="B1694" s="136" t="s">
        <v>990</v>
      </c>
      <c r="C1694" s="136" t="s">
        <v>127</v>
      </c>
      <c r="D1694" s="136" t="s">
        <v>368</v>
      </c>
      <c r="E1694" s="136" t="s">
        <v>594</v>
      </c>
      <c r="F1694" s="136">
        <v>23</v>
      </c>
      <c r="G1694" s="137">
        <f t="shared" si="6"/>
        <v>2</v>
      </c>
      <c r="H1694" s="137"/>
      <c r="I1694" s="137"/>
      <c r="J1694" s="135"/>
      <c r="K1694" s="135"/>
      <c r="L1694" s="135"/>
      <c r="M1694" s="135"/>
      <c r="N1694" s="135"/>
      <c r="O1694" s="135"/>
      <c r="P1694" s="135"/>
      <c r="Q1694" s="135"/>
      <c r="R1694" s="135"/>
      <c r="S1694" s="135"/>
      <c r="T1694" s="135"/>
      <c r="U1694" s="135"/>
      <c r="V1694" s="135"/>
      <c r="W1694" s="135"/>
      <c r="X1694" s="135"/>
      <c r="Y1694" s="135"/>
      <c r="Z1694" s="135"/>
    </row>
    <row r="1695" spans="1:26" ht="12.75">
      <c r="A1695" s="136" t="s">
        <v>19</v>
      </c>
      <c r="B1695" s="136" t="s">
        <v>990</v>
      </c>
      <c r="C1695" s="136" t="s">
        <v>127</v>
      </c>
      <c r="D1695" s="136" t="s">
        <v>1665</v>
      </c>
      <c r="E1695" s="136" t="s">
        <v>615</v>
      </c>
      <c r="F1695" s="136">
        <v>20</v>
      </c>
      <c r="G1695" s="137">
        <f t="shared" si="6"/>
        <v>3</v>
      </c>
      <c r="H1695" s="137"/>
      <c r="I1695" s="137"/>
      <c r="J1695" s="135"/>
      <c r="K1695" s="135"/>
      <c r="L1695" s="135"/>
      <c r="M1695" s="135"/>
      <c r="N1695" s="135"/>
      <c r="O1695" s="135"/>
      <c r="P1695" s="135"/>
      <c r="Q1695" s="135"/>
      <c r="R1695" s="135"/>
      <c r="S1695" s="135"/>
      <c r="T1695" s="135"/>
      <c r="U1695" s="135"/>
      <c r="V1695" s="135"/>
      <c r="W1695" s="135"/>
      <c r="X1695" s="135"/>
      <c r="Y1695" s="135"/>
      <c r="Z1695" s="135"/>
    </row>
    <row r="1696" spans="1:26" ht="12.75">
      <c r="A1696" s="136" t="s">
        <v>19</v>
      </c>
      <c r="B1696" s="136" t="s">
        <v>990</v>
      </c>
      <c r="C1696" s="136" t="s">
        <v>127</v>
      </c>
      <c r="D1696" s="136" t="s">
        <v>7617</v>
      </c>
      <c r="E1696" s="136" t="s">
        <v>615</v>
      </c>
      <c r="F1696" s="136">
        <v>15</v>
      </c>
      <c r="G1696" s="137">
        <f t="shared" si="6"/>
        <v>4</v>
      </c>
      <c r="H1696" s="137"/>
      <c r="I1696" s="137"/>
      <c r="J1696" s="135"/>
      <c r="K1696" s="135"/>
      <c r="L1696" s="135"/>
      <c r="M1696" s="135"/>
      <c r="N1696" s="135"/>
      <c r="O1696" s="135"/>
      <c r="P1696" s="135"/>
      <c r="Q1696" s="135"/>
      <c r="R1696" s="135"/>
      <c r="S1696" s="135"/>
      <c r="T1696" s="135"/>
      <c r="U1696" s="135"/>
      <c r="V1696" s="135"/>
      <c r="W1696" s="135"/>
      <c r="X1696" s="135"/>
      <c r="Y1696" s="135"/>
      <c r="Z1696" s="135"/>
    </row>
    <row r="1697" spans="1:26" ht="12.75">
      <c r="A1697" s="136" t="s">
        <v>19</v>
      </c>
      <c r="B1697" s="136" t="s">
        <v>990</v>
      </c>
      <c r="C1697" s="136" t="s">
        <v>7653</v>
      </c>
      <c r="D1697" s="136" t="s">
        <v>205</v>
      </c>
      <c r="E1697" s="136" t="s">
        <v>615</v>
      </c>
      <c r="F1697" s="136">
        <v>1808</v>
      </c>
      <c r="G1697" s="137">
        <f t="shared" si="6"/>
        <v>1</v>
      </c>
      <c r="H1697" s="137"/>
      <c r="I1697" s="137"/>
      <c r="J1697" s="135"/>
      <c r="K1697" s="135"/>
      <c r="L1697" s="135"/>
      <c r="M1697" s="135"/>
      <c r="N1697" s="135"/>
      <c r="O1697" s="135"/>
      <c r="P1697" s="135"/>
      <c r="Q1697" s="135"/>
      <c r="R1697" s="135"/>
      <c r="S1697" s="135"/>
      <c r="T1697" s="135"/>
      <c r="U1697" s="135"/>
      <c r="V1697" s="135"/>
      <c r="W1697" s="135"/>
      <c r="X1697" s="135"/>
      <c r="Y1697" s="135"/>
      <c r="Z1697" s="135"/>
    </row>
    <row r="1698" spans="1:26" ht="12.75">
      <c r="A1698" s="136" t="s">
        <v>19</v>
      </c>
      <c r="B1698" s="136" t="s">
        <v>990</v>
      </c>
      <c r="C1698" s="136" t="s">
        <v>7653</v>
      </c>
      <c r="D1698" s="136" t="s">
        <v>139</v>
      </c>
      <c r="E1698" s="136" t="s">
        <v>594</v>
      </c>
      <c r="F1698" s="136">
        <v>1045</v>
      </c>
      <c r="G1698" s="137">
        <f t="shared" si="6"/>
        <v>2</v>
      </c>
      <c r="H1698" s="137"/>
      <c r="I1698" s="137"/>
      <c r="J1698" s="135"/>
      <c r="K1698" s="135"/>
      <c r="L1698" s="135"/>
      <c r="M1698" s="135"/>
      <c r="N1698" s="135"/>
      <c r="O1698" s="135"/>
      <c r="P1698" s="135"/>
      <c r="Q1698" s="135"/>
      <c r="R1698" s="135"/>
      <c r="S1698" s="135"/>
      <c r="T1698" s="135"/>
      <c r="U1698" s="135"/>
      <c r="V1698" s="135"/>
      <c r="W1698" s="135"/>
      <c r="X1698" s="135"/>
      <c r="Y1698" s="135"/>
      <c r="Z1698" s="135"/>
    </row>
    <row r="1699" spans="1:26" ht="12.75">
      <c r="A1699" s="136" t="s">
        <v>19</v>
      </c>
      <c r="B1699" s="136" t="s">
        <v>990</v>
      </c>
      <c r="C1699" s="136" t="s">
        <v>7653</v>
      </c>
      <c r="D1699" s="136" t="s">
        <v>165</v>
      </c>
      <c r="E1699" s="136" t="s">
        <v>615</v>
      </c>
      <c r="F1699" s="136">
        <v>711</v>
      </c>
      <c r="G1699" s="137">
        <f t="shared" si="6"/>
        <v>3</v>
      </c>
      <c r="H1699" s="137"/>
      <c r="I1699" s="137"/>
      <c r="J1699" s="135"/>
      <c r="K1699" s="135"/>
      <c r="L1699" s="135"/>
      <c r="M1699" s="135"/>
      <c r="N1699" s="135"/>
      <c r="O1699" s="135"/>
      <c r="P1699" s="135"/>
      <c r="Q1699" s="135"/>
      <c r="R1699" s="135"/>
      <c r="S1699" s="135"/>
      <c r="T1699" s="135"/>
      <c r="U1699" s="135"/>
      <c r="V1699" s="135"/>
      <c r="W1699" s="135"/>
      <c r="X1699" s="135"/>
      <c r="Y1699" s="135"/>
      <c r="Z1699" s="135"/>
    </row>
    <row r="1700" spans="1:26" ht="12.75">
      <c r="A1700" s="136" t="s">
        <v>19</v>
      </c>
      <c r="B1700" s="136" t="s">
        <v>990</v>
      </c>
      <c r="C1700" s="136" t="s">
        <v>7653</v>
      </c>
      <c r="D1700" s="136" t="s">
        <v>114</v>
      </c>
      <c r="E1700" s="136" t="s">
        <v>85</v>
      </c>
      <c r="F1700" s="136">
        <v>406</v>
      </c>
      <c r="G1700" s="137">
        <f t="shared" si="6"/>
        <v>4</v>
      </c>
      <c r="H1700" s="137"/>
      <c r="I1700" s="137"/>
      <c r="J1700" s="135"/>
      <c r="K1700" s="135"/>
      <c r="L1700" s="135"/>
      <c r="M1700" s="135"/>
      <c r="N1700" s="135"/>
      <c r="O1700" s="135"/>
      <c r="P1700" s="135"/>
      <c r="Q1700" s="135"/>
      <c r="R1700" s="135"/>
      <c r="S1700" s="135"/>
      <c r="T1700" s="135"/>
      <c r="U1700" s="135"/>
      <c r="V1700" s="135"/>
      <c r="W1700" s="135"/>
      <c r="X1700" s="135"/>
      <c r="Y1700" s="135"/>
      <c r="Z1700" s="135"/>
    </row>
    <row r="1701" spans="1:26" ht="12.75">
      <c r="A1701" s="136" t="s">
        <v>19</v>
      </c>
      <c r="B1701" s="136" t="s">
        <v>990</v>
      </c>
      <c r="C1701" s="136" t="s">
        <v>7653</v>
      </c>
      <c r="D1701" s="136" t="s">
        <v>103</v>
      </c>
      <c r="E1701" s="136" t="s">
        <v>594</v>
      </c>
      <c r="F1701" s="136">
        <v>274</v>
      </c>
      <c r="G1701" s="137">
        <f t="shared" si="6"/>
        <v>5</v>
      </c>
      <c r="H1701" s="137"/>
      <c r="I1701" s="137"/>
      <c r="J1701" s="135"/>
      <c r="K1701" s="135"/>
      <c r="L1701" s="135"/>
      <c r="M1701" s="135"/>
      <c r="N1701" s="135"/>
      <c r="O1701" s="135"/>
      <c r="P1701" s="135"/>
      <c r="Q1701" s="135"/>
      <c r="R1701" s="135"/>
      <c r="S1701" s="135"/>
      <c r="T1701" s="135"/>
      <c r="U1701" s="135"/>
      <c r="V1701" s="135"/>
      <c r="W1701" s="135"/>
      <c r="X1701" s="135"/>
      <c r="Y1701" s="135"/>
      <c r="Z1701" s="135"/>
    </row>
    <row r="1702" spans="1:26" ht="12.75">
      <c r="A1702" s="136" t="s">
        <v>19</v>
      </c>
      <c r="B1702" s="136" t="s">
        <v>990</v>
      </c>
      <c r="C1702" s="136" t="s">
        <v>7653</v>
      </c>
      <c r="D1702" s="136" t="s">
        <v>7621</v>
      </c>
      <c r="E1702" s="136" t="s">
        <v>7621</v>
      </c>
      <c r="F1702" s="136">
        <v>80</v>
      </c>
      <c r="G1702" s="137">
        <f t="shared" si="6"/>
        <v>7</v>
      </c>
      <c r="H1702" s="137"/>
      <c r="I1702" s="137"/>
      <c r="J1702" s="135"/>
      <c r="K1702" s="135"/>
      <c r="L1702" s="135"/>
      <c r="M1702" s="135"/>
      <c r="N1702" s="135"/>
      <c r="O1702" s="135"/>
      <c r="P1702" s="135"/>
      <c r="Q1702" s="135"/>
      <c r="R1702" s="135"/>
      <c r="S1702" s="135"/>
      <c r="T1702" s="135"/>
      <c r="U1702" s="135"/>
      <c r="V1702" s="135"/>
      <c r="W1702" s="135"/>
      <c r="X1702" s="135"/>
      <c r="Y1702" s="135"/>
      <c r="Z1702" s="135"/>
    </row>
    <row r="1703" spans="1:26" ht="12.75">
      <c r="A1703" s="136" t="s">
        <v>19</v>
      </c>
      <c r="B1703" s="136" t="s">
        <v>990</v>
      </c>
      <c r="C1703" s="136" t="s">
        <v>7653</v>
      </c>
      <c r="D1703" s="136" t="s">
        <v>7633</v>
      </c>
      <c r="E1703" s="136" t="s">
        <v>7633</v>
      </c>
      <c r="F1703" s="136">
        <v>85</v>
      </c>
      <c r="G1703" s="137">
        <f t="shared" si="6"/>
        <v>6</v>
      </c>
      <c r="H1703" s="137"/>
      <c r="I1703" s="137"/>
      <c r="J1703" s="135"/>
      <c r="K1703" s="135"/>
      <c r="L1703" s="135"/>
      <c r="M1703" s="135"/>
      <c r="N1703" s="135"/>
      <c r="O1703" s="135"/>
      <c r="P1703" s="135"/>
      <c r="Q1703" s="135"/>
      <c r="R1703" s="135"/>
      <c r="S1703" s="135"/>
      <c r="T1703" s="135"/>
      <c r="U1703" s="135"/>
      <c r="V1703" s="135"/>
      <c r="W1703" s="135"/>
      <c r="X1703" s="135"/>
      <c r="Y1703" s="135"/>
      <c r="Z1703" s="135"/>
    </row>
    <row r="1704" spans="1:26" ht="12.75">
      <c r="A1704" s="136" t="s">
        <v>19</v>
      </c>
      <c r="B1704" s="136" t="s">
        <v>990</v>
      </c>
      <c r="C1704" s="136" t="s">
        <v>7654</v>
      </c>
      <c r="D1704" s="136" t="s">
        <v>107</v>
      </c>
      <c r="E1704" s="136" t="s">
        <v>615</v>
      </c>
      <c r="F1704" s="136">
        <v>870</v>
      </c>
      <c r="G1704" s="137">
        <f t="shared" si="6"/>
        <v>1</v>
      </c>
      <c r="H1704" s="137"/>
      <c r="I1704" s="137"/>
      <c r="J1704" s="135"/>
      <c r="K1704" s="135"/>
      <c r="L1704" s="135"/>
      <c r="M1704" s="135"/>
      <c r="N1704" s="135"/>
      <c r="O1704" s="135"/>
      <c r="P1704" s="135"/>
      <c r="Q1704" s="135"/>
      <c r="R1704" s="135"/>
      <c r="S1704" s="135"/>
      <c r="T1704" s="135"/>
      <c r="U1704" s="135"/>
      <c r="V1704" s="135"/>
      <c r="W1704" s="135"/>
      <c r="X1704" s="135"/>
      <c r="Y1704" s="135"/>
      <c r="Z1704" s="135"/>
    </row>
    <row r="1705" spans="1:26" ht="12.75">
      <c r="A1705" s="136" t="s">
        <v>19</v>
      </c>
      <c r="B1705" s="136" t="s">
        <v>990</v>
      </c>
      <c r="C1705" s="136" t="s">
        <v>7654</v>
      </c>
      <c r="D1705" s="136" t="s">
        <v>1665</v>
      </c>
      <c r="E1705" s="136" t="s">
        <v>615</v>
      </c>
      <c r="F1705" s="136">
        <v>15</v>
      </c>
      <c r="G1705" s="137">
        <f t="shared" si="6"/>
        <v>2</v>
      </c>
      <c r="H1705" s="137"/>
      <c r="I1705" s="137"/>
      <c r="J1705" s="135"/>
      <c r="K1705" s="135"/>
      <c r="L1705" s="135"/>
      <c r="M1705" s="135"/>
      <c r="N1705" s="135"/>
      <c r="O1705" s="135"/>
      <c r="P1705" s="135"/>
      <c r="Q1705" s="135"/>
      <c r="R1705" s="135"/>
      <c r="S1705" s="135"/>
      <c r="T1705" s="135"/>
      <c r="U1705" s="135"/>
      <c r="V1705" s="135"/>
      <c r="W1705" s="135"/>
      <c r="X1705" s="135"/>
      <c r="Y1705" s="135"/>
      <c r="Z1705" s="135"/>
    </row>
    <row r="1706" spans="1:26" ht="12.75">
      <c r="A1706" s="136" t="s">
        <v>19</v>
      </c>
      <c r="B1706" s="136" t="s">
        <v>990</v>
      </c>
      <c r="C1706" s="136" t="s">
        <v>7654</v>
      </c>
      <c r="D1706" s="136" t="s">
        <v>7617</v>
      </c>
      <c r="E1706" s="136" t="s">
        <v>615</v>
      </c>
      <c r="F1706" s="136">
        <v>10</v>
      </c>
      <c r="G1706" s="137">
        <f t="shared" si="6"/>
        <v>3</v>
      </c>
      <c r="H1706" s="137"/>
      <c r="I1706" s="137"/>
      <c r="J1706" s="135"/>
      <c r="K1706" s="135"/>
      <c r="L1706" s="135"/>
      <c r="M1706" s="135"/>
      <c r="N1706" s="135"/>
      <c r="O1706" s="135"/>
      <c r="P1706" s="135"/>
      <c r="Q1706" s="135"/>
      <c r="R1706" s="135"/>
      <c r="S1706" s="135"/>
      <c r="T1706" s="135"/>
      <c r="U1706" s="135"/>
      <c r="V1706" s="135"/>
      <c r="W1706" s="135"/>
      <c r="X1706" s="135"/>
      <c r="Y1706" s="135"/>
      <c r="Z1706" s="135"/>
    </row>
    <row r="1707" spans="1:26" ht="12.75">
      <c r="A1707" s="136" t="s">
        <v>19</v>
      </c>
      <c r="B1707" s="136" t="s">
        <v>990</v>
      </c>
      <c r="C1707" s="136" t="s">
        <v>7654</v>
      </c>
      <c r="D1707" s="136" t="s">
        <v>7621</v>
      </c>
      <c r="E1707" s="136" t="s">
        <v>7621</v>
      </c>
      <c r="F1707" s="136">
        <v>5</v>
      </c>
      <c r="G1707" s="137">
        <f t="shared" si="6"/>
        <v>4</v>
      </c>
      <c r="H1707" s="137"/>
      <c r="I1707" s="137"/>
      <c r="J1707" s="135"/>
      <c r="K1707" s="135"/>
      <c r="L1707" s="135"/>
      <c r="M1707" s="135"/>
      <c r="N1707" s="135"/>
      <c r="O1707" s="135"/>
      <c r="P1707" s="135"/>
      <c r="Q1707" s="135"/>
      <c r="R1707" s="135"/>
      <c r="S1707" s="135"/>
      <c r="T1707" s="135"/>
      <c r="U1707" s="135"/>
      <c r="V1707" s="135"/>
      <c r="W1707" s="135"/>
      <c r="X1707" s="135"/>
      <c r="Y1707" s="135"/>
      <c r="Z1707" s="135"/>
    </row>
    <row r="1708" spans="1:26" ht="12.75">
      <c r="A1708" s="136" t="s">
        <v>19</v>
      </c>
      <c r="B1708" s="136" t="s">
        <v>990</v>
      </c>
      <c r="C1708" s="136" t="s">
        <v>7654</v>
      </c>
      <c r="D1708" s="136" t="s">
        <v>7633</v>
      </c>
      <c r="E1708" s="136" t="s">
        <v>7633</v>
      </c>
      <c r="F1708" s="136">
        <v>4</v>
      </c>
      <c r="G1708" s="137">
        <f t="shared" si="6"/>
        <v>5</v>
      </c>
      <c r="H1708" s="137"/>
      <c r="I1708" s="137"/>
      <c r="J1708" s="135"/>
      <c r="K1708" s="135"/>
      <c r="L1708" s="135"/>
      <c r="M1708" s="135"/>
      <c r="N1708" s="135"/>
      <c r="O1708" s="135"/>
      <c r="P1708" s="135"/>
      <c r="Q1708" s="135"/>
      <c r="R1708" s="135"/>
      <c r="S1708" s="135"/>
      <c r="T1708" s="135"/>
      <c r="U1708" s="135"/>
      <c r="V1708" s="135"/>
      <c r="W1708" s="135"/>
      <c r="X1708" s="135"/>
      <c r="Y1708" s="135"/>
      <c r="Z1708" s="135"/>
    </row>
    <row r="1709" spans="1:26" ht="12.75">
      <c r="A1709" s="136" t="s">
        <v>19</v>
      </c>
      <c r="B1709" s="136" t="s">
        <v>990</v>
      </c>
      <c r="C1709" s="136" t="s">
        <v>1051</v>
      </c>
      <c r="D1709" s="136" t="s">
        <v>139</v>
      </c>
      <c r="E1709" s="136" t="s">
        <v>594</v>
      </c>
      <c r="F1709" s="136">
        <v>1185</v>
      </c>
      <c r="G1709" s="137">
        <f t="shared" si="6"/>
        <v>1</v>
      </c>
      <c r="H1709" s="137"/>
      <c r="I1709" s="137"/>
      <c r="J1709" s="135"/>
      <c r="K1709" s="135"/>
      <c r="L1709" s="135"/>
      <c r="M1709" s="135"/>
      <c r="N1709" s="135"/>
      <c r="O1709" s="135"/>
      <c r="P1709" s="135"/>
      <c r="Q1709" s="135"/>
      <c r="R1709" s="135"/>
      <c r="S1709" s="135"/>
      <c r="T1709" s="135"/>
      <c r="U1709" s="135"/>
      <c r="V1709" s="135"/>
      <c r="W1709" s="135"/>
      <c r="X1709" s="135"/>
      <c r="Y1709" s="135"/>
      <c r="Z1709" s="135"/>
    </row>
    <row r="1710" spans="1:26" ht="12.75">
      <c r="A1710" s="136" t="s">
        <v>19</v>
      </c>
      <c r="B1710" s="136" t="s">
        <v>990</v>
      </c>
      <c r="C1710" s="136" t="s">
        <v>1051</v>
      </c>
      <c r="D1710" s="136" t="s">
        <v>1669</v>
      </c>
      <c r="E1710" s="136" t="s">
        <v>615</v>
      </c>
      <c r="F1710" s="136">
        <v>971</v>
      </c>
      <c r="G1710" s="137">
        <f t="shared" si="6"/>
        <v>2</v>
      </c>
      <c r="H1710" s="137"/>
      <c r="I1710" s="137"/>
      <c r="J1710" s="135"/>
      <c r="K1710" s="135"/>
      <c r="L1710" s="135"/>
      <c r="M1710" s="135"/>
      <c r="N1710" s="135"/>
      <c r="O1710" s="135"/>
      <c r="P1710" s="135"/>
      <c r="Q1710" s="135"/>
      <c r="R1710" s="135"/>
      <c r="S1710" s="135"/>
      <c r="T1710" s="135"/>
      <c r="U1710" s="135"/>
      <c r="V1710" s="135"/>
      <c r="W1710" s="135"/>
      <c r="X1710" s="135"/>
      <c r="Y1710" s="135"/>
      <c r="Z1710" s="135"/>
    </row>
    <row r="1711" spans="1:26" ht="12.75">
      <c r="A1711" s="136" t="s">
        <v>19</v>
      </c>
      <c r="B1711" s="136" t="s">
        <v>990</v>
      </c>
      <c r="C1711" s="136" t="s">
        <v>1051</v>
      </c>
      <c r="D1711" s="136" t="s">
        <v>114</v>
      </c>
      <c r="E1711" s="136" t="s">
        <v>85</v>
      </c>
      <c r="F1711" s="136">
        <v>409</v>
      </c>
      <c r="G1711" s="137">
        <f t="shared" si="6"/>
        <v>3</v>
      </c>
      <c r="H1711" s="137"/>
      <c r="I1711" s="137"/>
      <c r="J1711" s="135"/>
      <c r="K1711" s="135"/>
      <c r="L1711" s="135"/>
      <c r="M1711" s="135"/>
      <c r="N1711" s="135"/>
      <c r="O1711" s="135"/>
      <c r="P1711" s="135"/>
      <c r="Q1711" s="135"/>
      <c r="R1711" s="135"/>
      <c r="S1711" s="135"/>
      <c r="T1711" s="135"/>
      <c r="U1711" s="135"/>
      <c r="V1711" s="135"/>
      <c r="W1711" s="135"/>
      <c r="X1711" s="135"/>
      <c r="Y1711" s="135"/>
      <c r="Z1711" s="135"/>
    </row>
    <row r="1712" spans="1:26" ht="12.75">
      <c r="A1712" s="136" t="s">
        <v>19</v>
      </c>
      <c r="B1712" s="136" t="s">
        <v>990</v>
      </c>
      <c r="C1712" s="136" t="s">
        <v>1051</v>
      </c>
      <c r="D1712" s="136" t="s">
        <v>7621</v>
      </c>
      <c r="E1712" s="136" t="s">
        <v>7621</v>
      </c>
      <c r="F1712" s="136">
        <v>100</v>
      </c>
      <c r="G1712" s="137">
        <f t="shared" si="6"/>
        <v>5</v>
      </c>
      <c r="H1712" s="137"/>
      <c r="I1712" s="137"/>
      <c r="J1712" s="135"/>
      <c r="K1712" s="135"/>
      <c r="L1712" s="135"/>
      <c r="M1712" s="135"/>
      <c r="N1712" s="135"/>
      <c r="O1712" s="135"/>
      <c r="P1712" s="135"/>
      <c r="Q1712" s="135"/>
      <c r="R1712" s="135"/>
      <c r="S1712" s="135"/>
      <c r="T1712" s="135"/>
      <c r="U1712" s="135"/>
      <c r="V1712" s="135"/>
      <c r="W1712" s="135"/>
      <c r="X1712" s="135"/>
      <c r="Y1712" s="135"/>
      <c r="Z1712" s="135"/>
    </row>
    <row r="1713" spans="1:26" ht="12.75">
      <c r="A1713" s="136" t="s">
        <v>19</v>
      </c>
      <c r="B1713" s="136" t="s">
        <v>990</v>
      </c>
      <c r="C1713" s="136" t="s">
        <v>1051</v>
      </c>
      <c r="D1713" s="136" t="s">
        <v>7633</v>
      </c>
      <c r="E1713" s="136" t="s">
        <v>7633</v>
      </c>
      <c r="F1713" s="136">
        <v>86</v>
      </c>
      <c r="G1713" s="137">
        <f t="shared" si="6"/>
        <v>6</v>
      </c>
      <c r="H1713" s="137"/>
      <c r="I1713" s="137"/>
      <c r="J1713" s="135"/>
      <c r="K1713" s="135"/>
      <c r="L1713" s="135"/>
      <c r="M1713" s="135"/>
      <c r="N1713" s="135"/>
      <c r="O1713" s="135"/>
      <c r="P1713" s="135"/>
      <c r="Q1713" s="135"/>
      <c r="R1713" s="135"/>
      <c r="S1713" s="135"/>
      <c r="T1713" s="135"/>
      <c r="U1713" s="135"/>
      <c r="V1713" s="135"/>
      <c r="W1713" s="135"/>
      <c r="X1713" s="135"/>
      <c r="Y1713" s="135"/>
      <c r="Z1713" s="135"/>
    </row>
    <row r="1714" spans="1:26" ht="12.75">
      <c r="A1714" s="136" t="s">
        <v>19</v>
      </c>
      <c r="B1714" s="136" t="s">
        <v>990</v>
      </c>
      <c r="C1714" s="136" t="s">
        <v>1051</v>
      </c>
      <c r="D1714" s="136" t="s">
        <v>467</v>
      </c>
      <c r="E1714" s="136" t="s">
        <v>85</v>
      </c>
      <c r="F1714" s="136">
        <v>148</v>
      </c>
      <c r="G1714" s="137">
        <f t="shared" si="6"/>
        <v>4</v>
      </c>
      <c r="H1714" s="137"/>
      <c r="I1714" s="137"/>
      <c r="J1714" s="135"/>
      <c r="K1714" s="135"/>
      <c r="L1714" s="135"/>
      <c r="M1714" s="135"/>
      <c r="N1714" s="135"/>
      <c r="O1714" s="135"/>
      <c r="P1714" s="135"/>
      <c r="Q1714" s="135"/>
      <c r="R1714" s="135"/>
      <c r="S1714" s="135"/>
      <c r="T1714" s="135"/>
      <c r="U1714" s="135"/>
      <c r="V1714" s="135"/>
      <c r="W1714" s="135"/>
      <c r="X1714" s="135"/>
      <c r="Y1714" s="135"/>
      <c r="Z1714" s="135"/>
    </row>
    <row r="1715" spans="1:26" ht="12.75">
      <c r="A1715" s="136" t="s">
        <v>19</v>
      </c>
      <c r="B1715" s="136" t="s">
        <v>990</v>
      </c>
      <c r="C1715" s="136" t="s">
        <v>1051</v>
      </c>
      <c r="D1715" s="136" t="s">
        <v>368</v>
      </c>
      <c r="E1715" s="136" t="s">
        <v>594</v>
      </c>
      <c r="F1715" s="136">
        <v>41</v>
      </c>
      <c r="G1715" s="137">
        <f t="shared" si="6"/>
        <v>7</v>
      </c>
      <c r="H1715" s="137"/>
      <c r="I1715" s="137"/>
      <c r="J1715" s="135"/>
      <c r="K1715" s="135"/>
      <c r="L1715" s="135"/>
      <c r="M1715" s="135"/>
      <c r="N1715" s="135"/>
      <c r="O1715" s="135"/>
      <c r="P1715" s="135"/>
      <c r="Q1715" s="135"/>
      <c r="R1715" s="135"/>
      <c r="S1715" s="135"/>
      <c r="T1715" s="135"/>
      <c r="U1715" s="135"/>
      <c r="V1715" s="135"/>
      <c r="W1715" s="135"/>
      <c r="X1715" s="135"/>
      <c r="Y1715" s="135"/>
      <c r="Z1715" s="135"/>
    </row>
    <row r="1716" spans="1:26" ht="12.75">
      <c r="A1716" s="136" t="s">
        <v>19</v>
      </c>
      <c r="B1716" s="136" t="s">
        <v>990</v>
      </c>
      <c r="C1716" s="136" t="s">
        <v>1051</v>
      </c>
      <c r="D1716" s="136" t="s">
        <v>1626</v>
      </c>
      <c r="E1716" s="136" t="s">
        <v>594</v>
      </c>
      <c r="F1716" s="136">
        <v>33</v>
      </c>
      <c r="G1716" s="137">
        <f t="shared" si="6"/>
        <v>8</v>
      </c>
      <c r="H1716" s="137"/>
      <c r="I1716" s="137"/>
      <c r="J1716" s="135"/>
      <c r="K1716" s="135"/>
      <c r="L1716" s="135"/>
      <c r="M1716" s="135"/>
      <c r="N1716" s="135"/>
      <c r="O1716" s="135"/>
      <c r="P1716" s="135"/>
      <c r="Q1716" s="135"/>
      <c r="R1716" s="135"/>
      <c r="S1716" s="135"/>
      <c r="T1716" s="135"/>
      <c r="U1716" s="135"/>
      <c r="V1716" s="135"/>
      <c r="W1716" s="135"/>
      <c r="X1716" s="135"/>
      <c r="Y1716" s="135"/>
      <c r="Z1716" s="135"/>
    </row>
    <row r="1717" spans="1:26" ht="12.75">
      <c r="A1717" s="136" t="s">
        <v>19</v>
      </c>
      <c r="B1717" s="136" t="s">
        <v>990</v>
      </c>
      <c r="C1717" s="136" t="s">
        <v>129</v>
      </c>
      <c r="D1717" s="136" t="s">
        <v>7544</v>
      </c>
      <c r="E1717" s="136" t="s">
        <v>7655</v>
      </c>
      <c r="F1717" s="136">
        <v>276</v>
      </c>
      <c r="G1717" s="137">
        <f t="shared" si="6"/>
        <v>1</v>
      </c>
      <c r="H1717" s="137"/>
      <c r="I1717" s="137"/>
      <c r="J1717" s="135"/>
      <c r="K1717" s="135"/>
      <c r="L1717" s="135"/>
      <c r="M1717" s="135"/>
      <c r="N1717" s="135"/>
      <c r="O1717" s="135"/>
      <c r="P1717" s="135"/>
      <c r="Q1717" s="135"/>
      <c r="R1717" s="135"/>
      <c r="S1717" s="135"/>
      <c r="T1717" s="135"/>
      <c r="U1717" s="135"/>
      <c r="V1717" s="135"/>
      <c r="W1717" s="135"/>
      <c r="X1717" s="135"/>
      <c r="Y1717" s="135"/>
      <c r="Z1717" s="135"/>
    </row>
    <row r="1718" spans="1:26" ht="12.75">
      <c r="A1718" s="136" t="s">
        <v>19</v>
      </c>
      <c r="B1718" s="136" t="s">
        <v>990</v>
      </c>
      <c r="C1718" s="136" t="s">
        <v>129</v>
      </c>
      <c r="D1718" s="136" t="s">
        <v>7650</v>
      </c>
      <c r="E1718" s="136" t="s">
        <v>85</v>
      </c>
      <c r="F1718" s="136">
        <v>258</v>
      </c>
      <c r="G1718" s="137">
        <f t="shared" si="6"/>
        <v>2</v>
      </c>
      <c r="H1718" s="137"/>
      <c r="I1718" s="137"/>
      <c r="J1718" s="135"/>
      <c r="K1718" s="135"/>
      <c r="L1718" s="135"/>
      <c r="M1718" s="135"/>
      <c r="N1718" s="135"/>
      <c r="O1718" s="135"/>
      <c r="P1718" s="135"/>
      <c r="Q1718" s="135"/>
      <c r="R1718" s="135"/>
      <c r="S1718" s="135"/>
      <c r="T1718" s="135"/>
      <c r="U1718" s="135"/>
      <c r="V1718" s="135"/>
      <c r="W1718" s="135"/>
      <c r="X1718" s="135"/>
      <c r="Y1718" s="135"/>
      <c r="Z1718" s="135"/>
    </row>
    <row r="1719" spans="1:26" ht="12.75">
      <c r="A1719" s="136" t="s">
        <v>19</v>
      </c>
      <c r="B1719" s="136" t="s">
        <v>990</v>
      </c>
      <c r="C1719" s="136" t="s">
        <v>129</v>
      </c>
      <c r="D1719" s="136" t="s">
        <v>7656</v>
      </c>
      <c r="E1719" s="136" t="s">
        <v>594</v>
      </c>
      <c r="F1719" s="136">
        <v>139</v>
      </c>
      <c r="G1719" s="137">
        <f t="shared" si="6"/>
        <v>3</v>
      </c>
      <c r="H1719" s="137"/>
      <c r="I1719" s="137"/>
      <c r="J1719" s="135"/>
      <c r="K1719" s="135"/>
      <c r="L1719" s="135"/>
      <c r="M1719" s="135"/>
      <c r="N1719" s="135"/>
      <c r="O1719" s="135"/>
      <c r="P1719" s="135"/>
      <c r="Q1719" s="135"/>
      <c r="R1719" s="135"/>
      <c r="S1719" s="135"/>
      <c r="T1719" s="135"/>
      <c r="U1719" s="135"/>
      <c r="V1719" s="135"/>
      <c r="W1719" s="135"/>
      <c r="X1719" s="135"/>
      <c r="Y1719" s="135"/>
      <c r="Z1719" s="135"/>
    </row>
    <row r="1720" spans="1:26" ht="12.75">
      <c r="A1720" s="136" t="s">
        <v>19</v>
      </c>
      <c r="B1720" s="136" t="s">
        <v>990</v>
      </c>
      <c r="C1720" s="136" t="s">
        <v>129</v>
      </c>
      <c r="D1720" s="136" t="s">
        <v>7657</v>
      </c>
      <c r="E1720" s="136" t="s">
        <v>85</v>
      </c>
      <c r="F1720" s="136">
        <v>56</v>
      </c>
      <c r="G1720" s="137">
        <f t="shared" si="6"/>
        <v>4</v>
      </c>
      <c r="H1720" s="137"/>
      <c r="I1720" s="137"/>
      <c r="J1720" s="135"/>
      <c r="K1720" s="135"/>
      <c r="L1720" s="135"/>
      <c r="M1720" s="135"/>
      <c r="N1720" s="135"/>
      <c r="O1720" s="135"/>
      <c r="P1720" s="135"/>
      <c r="Q1720" s="135"/>
      <c r="R1720" s="135"/>
      <c r="S1720" s="135"/>
      <c r="T1720" s="135"/>
      <c r="U1720" s="135"/>
      <c r="V1720" s="135"/>
      <c r="W1720" s="135"/>
      <c r="X1720" s="135"/>
      <c r="Y1720" s="135"/>
      <c r="Z1720" s="135"/>
    </row>
    <row r="1721" spans="1:26" ht="12.75">
      <c r="A1721" s="136" t="s">
        <v>19</v>
      </c>
      <c r="B1721" s="136" t="s">
        <v>990</v>
      </c>
      <c r="C1721" s="136" t="s">
        <v>129</v>
      </c>
      <c r="D1721" s="136" t="s">
        <v>103</v>
      </c>
      <c r="E1721" s="136" t="s">
        <v>594</v>
      </c>
      <c r="F1721" s="136">
        <v>38</v>
      </c>
      <c r="G1721" s="137">
        <f t="shared" si="6"/>
        <v>5</v>
      </c>
      <c r="H1721" s="137"/>
      <c r="I1721" s="137"/>
      <c r="J1721" s="135"/>
      <c r="K1721" s="135"/>
      <c r="L1721" s="135"/>
      <c r="M1721" s="135"/>
      <c r="N1721" s="135"/>
      <c r="O1721" s="135"/>
      <c r="P1721" s="135"/>
      <c r="Q1721" s="135"/>
      <c r="R1721" s="135"/>
      <c r="S1721" s="135"/>
      <c r="T1721" s="135"/>
      <c r="U1721" s="135"/>
      <c r="V1721" s="135"/>
      <c r="W1721" s="135"/>
      <c r="X1721" s="135"/>
      <c r="Y1721" s="135"/>
      <c r="Z1721" s="135"/>
    </row>
    <row r="1722" spans="1:26" ht="12.75">
      <c r="A1722" s="136" t="s">
        <v>19</v>
      </c>
      <c r="B1722" s="136" t="s">
        <v>990</v>
      </c>
      <c r="C1722" s="136" t="s">
        <v>129</v>
      </c>
      <c r="D1722" s="136" t="s">
        <v>7621</v>
      </c>
      <c r="E1722" s="136" t="s">
        <v>7621</v>
      </c>
      <c r="F1722" s="136">
        <v>14</v>
      </c>
      <c r="G1722" s="137">
        <f t="shared" si="6"/>
        <v>6</v>
      </c>
      <c r="H1722" s="137"/>
      <c r="I1722" s="137"/>
      <c r="J1722" s="135"/>
      <c r="K1722" s="135"/>
      <c r="L1722" s="135"/>
      <c r="M1722" s="135"/>
      <c r="N1722" s="135"/>
      <c r="O1722" s="135"/>
      <c r="P1722" s="135"/>
      <c r="Q1722" s="135"/>
      <c r="R1722" s="135"/>
      <c r="S1722" s="135"/>
      <c r="T1722" s="135"/>
      <c r="U1722" s="135"/>
      <c r="V1722" s="135"/>
      <c r="W1722" s="135"/>
      <c r="X1722" s="135"/>
      <c r="Y1722" s="135"/>
      <c r="Z1722" s="135"/>
    </row>
    <row r="1723" spans="1:26" ht="12.75">
      <c r="A1723" s="136" t="s">
        <v>19</v>
      </c>
      <c r="B1723" s="136" t="s">
        <v>990</v>
      </c>
      <c r="C1723" s="136" t="s">
        <v>129</v>
      </c>
      <c r="D1723" s="136" t="s">
        <v>7633</v>
      </c>
      <c r="E1723" s="136" t="s">
        <v>7633</v>
      </c>
      <c r="F1723" s="136">
        <v>14</v>
      </c>
      <c r="G1723" s="137">
        <f t="shared" si="6"/>
        <v>7</v>
      </c>
      <c r="H1723" s="137"/>
      <c r="I1723" s="137"/>
      <c r="J1723" s="135"/>
      <c r="K1723" s="135"/>
      <c r="L1723" s="135"/>
      <c r="M1723" s="135"/>
      <c r="N1723" s="135"/>
      <c r="O1723" s="135"/>
      <c r="P1723" s="135"/>
      <c r="Q1723" s="135"/>
      <c r="R1723" s="135"/>
      <c r="S1723" s="135"/>
      <c r="T1723" s="135"/>
      <c r="U1723" s="135"/>
      <c r="V1723" s="135"/>
      <c r="W1723" s="135"/>
      <c r="X1723" s="135"/>
      <c r="Y1723" s="135"/>
      <c r="Z1723" s="135"/>
    </row>
    <row r="1724" spans="1:26" ht="12.75">
      <c r="A1724" s="136" t="s">
        <v>19</v>
      </c>
      <c r="B1724" s="136" t="s">
        <v>990</v>
      </c>
      <c r="C1724" s="136" t="s">
        <v>7488</v>
      </c>
      <c r="D1724" s="136" t="s">
        <v>7619</v>
      </c>
      <c r="E1724" s="136" t="s">
        <v>615</v>
      </c>
      <c r="F1724" s="136">
        <v>676</v>
      </c>
      <c r="G1724" s="137">
        <f t="shared" si="6"/>
        <v>3</v>
      </c>
      <c r="H1724" s="137"/>
      <c r="I1724" s="137"/>
      <c r="J1724" s="135"/>
      <c r="K1724" s="135"/>
      <c r="L1724" s="135"/>
      <c r="M1724" s="135"/>
      <c r="N1724" s="135"/>
      <c r="O1724" s="135"/>
      <c r="P1724" s="135"/>
      <c r="Q1724" s="135"/>
      <c r="R1724" s="135"/>
      <c r="S1724" s="135"/>
      <c r="T1724" s="135"/>
      <c r="U1724" s="135"/>
      <c r="V1724" s="135"/>
      <c r="W1724" s="135"/>
      <c r="X1724" s="135"/>
      <c r="Y1724" s="135"/>
      <c r="Z1724" s="135"/>
    </row>
    <row r="1725" spans="1:26" ht="12.75">
      <c r="A1725" s="136" t="s">
        <v>19</v>
      </c>
      <c r="B1725" s="136" t="s">
        <v>990</v>
      </c>
      <c r="C1725" s="136" t="s">
        <v>7488</v>
      </c>
      <c r="D1725" s="136" t="s">
        <v>103</v>
      </c>
      <c r="E1725" s="136" t="s">
        <v>594</v>
      </c>
      <c r="F1725" s="136">
        <v>605</v>
      </c>
      <c r="G1725" s="137">
        <f t="shared" si="6"/>
        <v>5</v>
      </c>
      <c r="H1725" s="137"/>
      <c r="I1725" s="137"/>
      <c r="J1725" s="135"/>
      <c r="K1725" s="135"/>
      <c r="L1725" s="135"/>
      <c r="M1725" s="135"/>
      <c r="N1725" s="135"/>
      <c r="O1725" s="135"/>
      <c r="P1725" s="135"/>
      <c r="Q1725" s="135"/>
      <c r="R1725" s="135"/>
      <c r="S1725" s="135"/>
      <c r="T1725" s="135"/>
      <c r="U1725" s="135"/>
      <c r="V1725" s="135"/>
      <c r="W1725" s="135"/>
      <c r="X1725" s="135"/>
      <c r="Y1725" s="135"/>
      <c r="Z1725" s="135"/>
    </row>
    <row r="1726" spans="1:26" ht="12.75">
      <c r="A1726" s="136" t="s">
        <v>19</v>
      </c>
      <c r="B1726" s="136" t="s">
        <v>990</v>
      </c>
      <c r="C1726" s="136" t="s">
        <v>7488</v>
      </c>
      <c r="D1726" s="136" t="s">
        <v>114</v>
      </c>
      <c r="E1726" s="136" t="s">
        <v>85</v>
      </c>
      <c r="F1726" s="136">
        <v>518</v>
      </c>
      <c r="G1726" s="137">
        <f t="shared" si="6"/>
        <v>7</v>
      </c>
      <c r="H1726" s="137"/>
      <c r="I1726" s="137"/>
      <c r="J1726" s="135"/>
      <c r="K1726" s="135"/>
      <c r="L1726" s="135"/>
      <c r="M1726" s="135"/>
      <c r="N1726" s="135"/>
      <c r="O1726" s="135"/>
      <c r="P1726" s="135"/>
      <c r="Q1726" s="135"/>
      <c r="R1726" s="135"/>
      <c r="S1726" s="135"/>
      <c r="T1726" s="135"/>
      <c r="U1726" s="135"/>
      <c r="V1726" s="135"/>
      <c r="W1726" s="135"/>
      <c r="X1726" s="135"/>
      <c r="Y1726" s="135"/>
      <c r="Z1726" s="135"/>
    </row>
    <row r="1727" spans="1:26" ht="12.75">
      <c r="A1727" s="136" t="s">
        <v>19</v>
      </c>
      <c r="B1727" s="136" t="s">
        <v>990</v>
      </c>
      <c r="C1727" s="136" t="s">
        <v>7488</v>
      </c>
      <c r="D1727" s="136" t="s">
        <v>136</v>
      </c>
      <c r="E1727" s="136" t="s">
        <v>615</v>
      </c>
      <c r="F1727" s="136">
        <v>445</v>
      </c>
      <c r="G1727" s="137">
        <f t="shared" si="6"/>
        <v>9</v>
      </c>
      <c r="H1727" s="137"/>
      <c r="I1727" s="137"/>
      <c r="J1727" s="135"/>
      <c r="K1727" s="135"/>
      <c r="L1727" s="135"/>
      <c r="M1727" s="135"/>
      <c r="N1727" s="135"/>
      <c r="O1727" s="135"/>
      <c r="P1727" s="135"/>
      <c r="Q1727" s="135"/>
      <c r="R1727" s="135"/>
      <c r="S1727" s="135"/>
      <c r="T1727" s="135"/>
      <c r="U1727" s="135"/>
      <c r="V1727" s="135"/>
      <c r="W1727" s="135"/>
      <c r="X1727" s="135"/>
      <c r="Y1727" s="135"/>
      <c r="Z1727" s="135"/>
    </row>
    <row r="1728" spans="1:26" ht="12.75">
      <c r="A1728" s="136" t="s">
        <v>19</v>
      </c>
      <c r="B1728" s="136" t="s">
        <v>990</v>
      </c>
      <c r="C1728" s="136" t="s">
        <v>7488</v>
      </c>
      <c r="D1728" s="136" t="s">
        <v>158</v>
      </c>
      <c r="E1728" s="136" t="s">
        <v>7658</v>
      </c>
      <c r="F1728" s="136">
        <v>185</v>
      </c>
      <c r="G1728" s="137">
        <f t="shared" si="6"/>
        <v>14</v>
      </c>
      <c r="H1728" s="137"/>
      <c r="I1728" s="137"/>
      <c r="J1728" s="135"/>
      <c r="K1728" s="135"/>
      <c r="L1728" s="135"/>
      <c r="M1728" s="135"/>
      <c r="N1728" s="135"/>
      <c r="O1728" s="135"/>
      <c r="P1728" s="135"/>
      <c r="Q1728" s="135"/>
      <c r="R1728" s="135"/>
      <c r="S1728" s="135"/>
      <c r="T1728" s="135"/>
      <c r="U1728" s="135"/>
      <c r="V1728" s="135"/>
      <c r="W1728" s="135"/>
      <c r="X1728" s="135"/>
      <c r="Y1728" s="135"/>
      <c r="Z1728" s="135"/>
    </row>
    <row r="1729" spans="1:26" ht="12.75">
      <c r="A1729" s="136" t="s">
        <v>19</v>
      </c>
      <c r="B1729" s="136" t="s">
        <v>990</v>
      </c>
      <c r="C1729" s="136" t="s">
        <v>7488</v>
      </c>
      <c r="D1729" s="136" t="s">
        <v>139</v>
      </c>
      <c r="E1729" s="136" t="s">
        <v>594</v>
      </c>
      <c r="F1729" s="136">
        <v>165</v>
      </c>
      <c r="G1729" s="137">
        <f t="shared" si="6"/>
        <v>15</v>
      </c>
      <c r="H1729" s="137"/>
      <c r="I1729" s="137"/>
      <c r="J1729" s="135"/>
      <c r="K1729" s="135"/>
      <c r="L1729" s="135"/>
      <c r="M1729" s="135"/>
      <c r="N1729" s="135"/>
      <c r="O1729" s="135"/>
      <c r="P1729" s="135"/>
      <c r="Q1729" s="135"/>
      <c r="R1729" s="135"/>
      <c r="S1729" s="135"/>
      <c r="T1729" s="135"/>
      <c r="U1729" s="135"/>
      <c r="V1729" s="135"/>
      <c r="W1729" s="135"/>
      <c r="X1729" s="135"/>
      <c r="Y1729" s="135"/>
      <c r="Z1729" s="135"/>
    </row>
    <row r="1730" spans="1:26" ht="12.75">
      <c r="A1730" s="136" t="s">
        <v>19</v>
      </c>
      <c r="B1730" s="136" t="s">
        <v>990</v>
      </c>
      <c r="C1730" s="136" t="s">
        <v>7488</v>
      </c>
      <c r="D1730" s="136" t="s">
        <v>467</v>
      </c>
      <c r="E1730" s="136" t="s">
        <v>85</v>
      </c>
      <c r="F1730" s="136">
        <v>143</v>
      </c>
      <c r="G1730" s="137">
        <f t="shared" si="6"/>
        <v>16</v>
      </c>
      <c r="H1730" s="137"/>
      <c r="I1730" s="137"/>
      <c r="J1730" s="135"/>
      <c r="K1730" s="135"/>
      <c r="L1730" s="135"/>
      <c r="M1730" s="135"/>
      <c r="N1730" s="135"/>
      <c r="O1730" s="135"/>
      <c r="P1730" s="135"/>
      <c r="Q1730" s="135"/>
      <c r="R1730" s="135"/>
      <c r="S1730" s="135"/>
      <c r="T1730" s="135"/>
      <c r="U1730" s="135"/>
      <c r="V1730" s="135"/>
      <c r="W1730" s="135"/>
      <c r="X1730" s="135"/>
      <c r="Y1730" s="135"/>
      <c r="Z1730" s="135"/>
    </row>
    <row r="1731" spans="1:26" ht="12.75">
      <c r="A1731" s="136" t="s">
        <v>19</v>
      </c>
      <c r="B1731" s="136" t="s">
        <v>990</v>
      </c>
      <c r="C1731" s="136" t="s">
        <v>7488</v>
      </c>
      <c r="D1731" s="136" t="s">
        <v>107</v>
      </c>
      <c r="E1731" s="136" t="s">
        <v>615</v>
      </c>
      <c r="F1731" s="136">
        <v>134</v>
      </c>
      <c r="G1731" s="137">
        <f t="shared" si="6"/>
        <v>17</v>
      </c>
      <c r="H1731" s="137"/>
      <c r="I1731" s="137"/>
      <c r="J1731" s="135"/>
      <c r="K1731" s="135"/>
      <c r="L1731" s="135"/>
      <c r="M1731" s="135"/>
      <c r="N1731" s="135"/>
      <c r="O1731" s="135"/>
      <c r="P1731" s="135"/>
      <c r="Q1731" s="135"/>
      <c r="R1731" s="135"/>
      <c r="S1731" s="135"/>
      <c r="T1731" s="135"/>
      <c r="U1731" s="135"/>
      <c r="V1731" s="135"/>
      <c r="W1731" s="135"/>
      <c r="X1731" s="135"/>
      <c r="Y1731" s="135"/>
      <c r="Z1731" s="135"/>
    </row>
    <row r="1732" spans="1:26" ht="12.75">
      <c r="A1732" s="136" t="s">
        <v>19</v>
      </c>
      <c r="B1732" s="136" t="s">
        <v>990</v>
      </c>
      <c r="C1732" s="136" t="s">
        <v>7488</v>
      </c>
      <c r="D1732" s="136" t="s">
        <v>1669</v>
      </c>
      <c r="E1732" s="136" t="s">
        <v>615</v>
      </c>
      <c r="F1732" s="136">
        <v>96</v>
      </c>
      <c r="G1732" s="137">
        <f t="shared" si="6"/>
        <v>18</v>
      </c>
      <c r="H1732" s="137"/>
      <c r="I1732" s="137"/>
      <c r="J1732" s="135"/>
      <c r="K1732" s="135"/>
      <c r="L1732" s="135"/>
      <c r="M1732" s="135"/>
      <c r="N1732" s="135"/>
      <c r="O1732" s="135"/>
      <c r="P1732" s="135"/>
      <c r="Q1732" s="135"/>
      <c r="R1732" s="135"/>
      <c r="S1732" s="135"/>
      <c r="T1732" s="135"/>
      <c r="U1732" s="135"/>
      <c r="V1732" s="135"/>
      <c r="W1732" s="135"/>
      <c r="X1732" s="135"/>
      <c r="Y1732" s="135"/>
      <c r="Z1732" s="135"/>
    </row>
    <row r="1733" spans="1:26" ht="12.75">
      <c r="A1733" s="136" t="s">
        <v>19</v>
      </c>
      <c r="B1733" s="136" t="s">
        <v>990</v>
      </c>
      <c r="C1733" s="136" t="s">
        <v>7488</v>
      </c>
      <c r="D1733" s="136" t="s">
        <v>7621</v>
      </c>
      <c r="E1733" s="136" t="s">
        <v>7621</v>
      </c>
      <c r="F1733" s="136">
        <v>25</v>
      </c>
      <c r="G1733" s="137">
        <f t="shared" si="6"/>
        <v>24</v>
      </c>
      <c r="H1733" s="137"/>
      <c r="I1733" s="137"/>
      <c r="J1733" s="135"/>
      <c r="K1733" s="135"/>
      <c r="L1733" s="135"/>
      <c r="M1733" s="135"/>
      <c r="N1733" s="135"/>
      <c r="O1733" s="135"/>
      <c r="P1733" s="135"/>
      <c r="Q1733" s="135"/>
      <c r="R1733" s="135"/>
      <c r="S1733" s="135"/>
      <c r="T1733" s="135"/>
      <c r="U1733" s="135"/>
      <c r="V1733" s="135"/>
      <c r="W1733" s="135"/>
      <c r="X1733" s="135"/>
      <c r="Y1733" s="135"/>
      <c r="Z1733" s="135"/>
    </row>
    <row r="1734" spans="1:26" ht="12.75">
      <c r="A1734" s="136" t="s">
        <v>19</v>
      </c>
      <c r="B1734" s="136" t="s">
        <v>990</v>
      </c>
      <c r="C1734" s="136" t="s">
        <v>7488</v>
      </c>
      <c r="D1734" s="136" t="s">
        <v>7633</v>
      </c>
      <c r="E1734" s="136" t="s">
        <v>7633</v>
      </c>
      <c r="F1734" s="136">
        <v>28</v>
      </c>
      <c r="G1734" s="137">
        <f t="shared" si="6"/>
        <v>22</v>
      </c>
      <c r="H1734" s="137"/>
      <c r="I1734" s="137"/>
      <c r="J1734" s="135"/>
      <c r="K1734" s="135"/>
      <c r="L1734" s="135"/>
      <c r="M1734" s="135"/>
      <c r="N1734" s="135"/>
      <c r="O1734" s="135"/>
      <c r="P1734" s="135"/>
      <c r="Q1734" s="135"/>
      <c r="R1734" s="135"/>
      <c r="S1734" s="135"/>
      <c r="T1734" s="135"/>
      <c r="U1734" s="135"/>
      <c r="V1734" s="135"/>
      <c r="W1734" s="135"/>
      <c r="X1734" s="135"/>
      <c r="Y1734" s="135"/>
      <c r="Z1734" s="135"/>
    </row>
    <row r="1735" spans="1:26" ht="12.75">
      <c r="A1735" s="136" t="s">
        <v>19</v>
      </c>
      <c r="B1735" s="136" t="s">
        <v>990</v>
      </c>
      <c r="C1735" s="136" t="s">
        <v>7488</v>
      </c>
      <c r="D1735" s="136" t="s">
        <v>1626</v>
      </c>
      <c r="E1735" s="136" t="s">
        <v>594</v>
      </c>
      <c r="F1735" s="136">
        <v>31</v>
      </c>
      <c r="G1735" s="137">
        <f t="shared" si="6"/>
        <v>21</v>
      </c>
      <c r="H1735" s="137"/>
      <c r="I1735" s="137"/>
      <c r="J1735" s="135"/>
      <c r="K1735" s="135"/>
      <c r="L1735" s="135"/>
      <c r="M1735" s="135"/>
      <c r="N1735" s="135"/>
      <c r="O1735" s="135"/>
      <c r="P1735" s="135"/>
      <c r="Q1735" s="135"/>
      <c r="R1735" s="135"/>
      <c r="S1735" s="135"/>
      <c r="T1735" s="135"/>
      <c r="U1735" s="135"/>
      <c r="V1735" s="135"/>
      <c r="W1735" s="135"/>
      <c r="X1735" s="135"/>
      <c r="Y1735" s="135"/>
      <c r="Z1735" s="135"/>
    </row>
    <row r="1736" spans="1:26" ht="12.75">
      <c r="A1736" s="136" t="s">
        <v>19</v>
      </c>
      <c r="B1736" s="136" t="s">
        <v>990</v>
      </c>
      <c r="C1736" s="136" t="s">
        <v>137</v>
      </c>
      <c r="D1736" s="136" t="s">
        <v>139</v>
      </c>
      <c r="E1736" s="136" t="s">
        <v>594</v>
      </c>
      <c r="F1736" s="136">
        <v>1532</v>
      </c>
      <c r="G1736" s="137">
        <f t="shared" si="6"/>
        <v>1</v>
      </c>
      <c r="H1736" s="137"/>
      <c r="I1736" s="137"/>
      <c r="J1736" s="135"/>
      <c r="K1736" s="135"/>
      <c r="L1736" s="135"/>
      <c r="M1736" s="135"/>
      <c r="N1736" s="135"/>
      <c r="O1736" s="135"/>
      <c r="P1736" s="135"/>
      <c r="Q1736" s="135"/>
      <c r="R1736" s="135"/>
      <c r="S1736" s="135"/>
      <c r="T1736" s="135"/>
      <c r="U1736" s="135"/>
      <c r="V1736" s="135"/>
      <c r="W1736" s="135"/>
      <c r="X1736" s="135"/>
      <c r="Y1736" s="135"/>
      <c r="Z1736" s="135"/>
    </row>
    <row r="1737" spans="1:26" ht="12.75">
      <c r="A1737" s="136" t="s">
        <v>19</v>
      </c>
      <c r="B1737" s="136" t="s">
        <v>990</v>
      </c>
      <c r="C1737" s="136" t="s">
        <v>137</v>
      </c>
      <c r="D1737" s="136" t="s">
        <v>1669</v>
      </c>
      <c r="E1737" s="136" t="s">
        <v>615</v>
      </c>
      <c r="F1737" s="136">
        <v>1042</v>
      </c>
      <c r="G1737" s="137">
        <f t="shared" si="6"/>
        <v>2</v>
      </c>
      <c r="H1737" s="137"/>
      <c r="I1737" s="137"/>
      <c r="J1737" s="135"/>
      <c r="K1737" s="135"/>
      <c r="L1737" s="135"/>
      <c r="M1737" s="135"/>
      <c r="N1737" s="135"/>
      <c r="O1737" s="135"/>
      <c r="P1737" s="135"/>
      <c r="Q1737" s="135"/>
      <c r="R1737" s="135"/>
      <c r="S1737" s="135"/>
      <c r="T1737" s="135"/>
      <c r="U1737" s="135"/>
      <c r="V1737" s="135"/>
      <c r="W1737" s="135"/>
      <c r="X1737" s="135"/>
      <c r="Y1737" s="135"/>
      <c r="Z1737" s="135"/>
    </row>
    <row r="1738" spans="1:26" ht="12.75">
      <c r="A1738" s="136" t="s">
        <v>19</v>
      </c>
      <c r="B1738" s="136" t="s">
        <v>990</v>
      </c>
      <c r="C1738" s="136" t="s">
        <v>137</v>
      </c>
      <c r="D1738" s="136" t="s">
        <v>114</v>
      </c>
      <c r="E1738" s="136" t="s">
        <v>85</v>
      </c>
      <c r="F1738" s="136">
        <v>594</v>
      </c>
      <c r="G1738" s="137">
        <f t="shared" si="6"/>
        <v>3</v>
      </c>
      <c r="H1738" s="137"/>
      <c r="I1738" s="137"/>
      <c r="J1738" s="135"/>
      <c r="K1738" s="135"/>
      <c r="L1738" s="135"/>
      <c r="M1738" s="135"/>
      <c r="N1738" s="135"/>
      <c r="O1738" s="135"/>
      <c r="P1738" s="135"/>
      <c r="Q1738" s="135"/>
      <c r="R1738" s="135"/>
      <c r="S1738" s="135"/>
      <c r="T1738" s="135"/>
      <c r="U1738" s="135"/>
      <c r="V1738" s="135"/>
      <c r="W1738" s="135"/>
      <c r="X1738" s="135"/>
      <c r="Y1738" s="135"/>
      <c r="Z1738" s="135"/>
    </row>
    <row r="1739" spans="1:26" ht="12.75">
      <c r="A1739" s="136" t="s">
        <v>19</v>
      </c>
      <c r="B1739" s="136" t="s">
        <v>990</v>
      </c>
      <c r="C1739" s="136" t="s">
        <v>137</v>
      </c>
      <c r="D1739" s="136" t="s">
        <v>467</v>
      </c>
      <c r="E1739" s="136" t="s">
        <v>85</v>
      </c>
      <c r="F1739" s="136">
        <v>36</v>
      </c>
      <c r="G1739" s="137">
        <f t="shared" si="6"/>
        <v>4</v>
      </c>
      <c r="H1739" s="137"/>
      <c r="I1739" s="137"/>
      <c r="J1739" s="135"/>
      <c r="K1739" s="135"/>
      <c r="L1739" s="135"/>
      <c r="M1739" s="135"/>
      <c r="N1739" s="135"/>
      <c r="O1739" s="135"/>
      <c r="P1739" s="135"/>
      <c r="Q1739" s="135"/>
      <c r="R1739" s="135"/>
      <c r="S1739" s="135"/>
      <c r="T1739" s="135"/>
      <c r="U1739" s="135"/>
      <c r="V1739" s="135"/>
      <c r="W1739" s="135"/>
      <c r="X1739" s="135"/>
      <c r="Y1739" s="135"/>
      <c r="Z1739" s="135"/>
    </row>
    <row r="1740" spans="1:26" ht="12.75">
      <c r="A1740" s="136" t="s">
        <v>19</v>
      </c>
      <c r="B1740" s="136" t="s">
        <v>990</v>
      </c>
      <c r="C1740" s="136" t="s">
        <v>140</v>
      </c>
      <c r="D1740" s="136" t="s">
        <v>1669</v>
      </c>
      <c r="E1740" s="136" t="s">
        <v>615</v>
      </c>
      <c r="F1740" s="136">
        <v>652</v>
      </c>
      <c r="G1740" s="137">
        <f t="shared" si="6"/>
        <v>1</v>
      </c>
      <c r="H1740" s="137"/>
      <c r="I1740" s="137"/>
      <c r="J1740" s="135"/>
      <c r="K1740" s="135"/>
      <c r="L1740" s="135"/>
      <c r="M1740" s="135"/>
      <c r="N1740" s="135"/>
      <c r="O1740" s="135"/>
      <c r="P1740" s="135"/>
      <c r="Q1740" s="135"/>
      <c r="R1740" s="135"/>
      <c r="S1740" s="135"/>
      <c r="T1740" s="135"/>
      <c r="U1740" s="135"/>
      <c r="V1740" s="135"/>
      <c r="W1740" s="135"/>
      <c r="X1740" s="135"/>
      <c r="Y1740" s="135"/>
      <c r="Z1740" s="135"/>
    </row>
    <row r="1741" spans="1:26" ht="12.75">
      <c r="A1741" s="136" t="s">
        <v>19</v>
      </c>
      <c r="B1741" s="136" t="s">
        <v>990</v>
      </c>
      <c r="C1741" s="136" t="s">
        <v>140</v>
      </c>
      <c r="D1741" s="136" t="s">
        <v>103</v>
      </c>
      <c r="E1741" s="136" t="s">
        <v>594</v>
      </c>
      <c r="F1741" s="136">
        <v>540</v>
      </c>
      <c r="G1741" s="137">
        <f t="shared" si="6"/>
        <v>2</v>
      </c>
      <c r="H1741" s="137"/>
      <c r="I1741" s="137"/>
      <c r="J1741" s="135"/>
      <c r="K1741" s="135"/>
      <c r="L1741" s="135"/>
      <c r="M1741" s="135"/>
      <c r="N1741" s="135"/>
      <c r="O1741" s="135"/>
      <c r="P1741" s="135"/>
      <c r="Q1741" s="135"/>
      <c r="R1741" s="135"/>
      <c r="S1741" s="135"/>
      <c r="T1741" s="135"/>
      <c r="U1741" s="135"/>
      <c r="V1741" s="135"/>
      <c r="W1741" s="135"/>
      <c r="X1741" s="135"/>
      <c r="Y1741" s="135"/>
      <c r="Z1741" s="135"/>
    </row>
    <row r="1742" spans="1:26" ht="12.75">
      <c r="A1742" s="136" t="s">
        <v>19</v>
      </c>
      <c r="B1742" s="136" t="s">
        <v>990</v>
      </c>
      <c r="C1742" s="136" t="s">
        <v>140</v>
      </c>
      <c r="D1742" s="136" t="s">
        <v>114</v>
      </c>
      <c r="E1742" s="136" t="s">
        <v>85</v>
      </c>
      <c r="F1742" s="136">
        <v>472</v>
      </c>
      <c r="G1742" s="137">
        <f t="shared" si="6"/>
        <v>3</v>
      </c>
      <c r="H1742" s="137"/>
      <c r="I1742" s="137"/>
      <c r="J1742" s="135"/>
      <c r="K1742" s="135"/>
      <c r="L1742" s="135"/>
      <c r="M1742" s="135"/>
      <c r="N1742" s="135"/>
      <c r="O1742" s="135"/>
      <c r="P1742" s="135"/>
      <c r="Q1742" s="135"/>
      <c r="R1742" s="135"/>
      <c r="S1742" s="135"/>
      <c r="T1742" s="135"/>
      <c r="U1742" s="135"/>
      <c r="V1742" s="135"/>
      <c r="W1742" s="135"/>
      <c r="X1742" s="135"/>
      <c r="Y1742" s="135"/>
      <c r="Z1742" s="135"/>
    </row>
    <row r="1743" spans="1:26" ht="12.75">
      <c r="A1743" s="136" t="s">
        <v>19</v>
      </c>
      <c r="B1743" s="136" t="s">
        <v>990</v>
      </c>
      <c r="C1743" s="136" t="s">
        <v>140</v>
      </c>
      <c r="D1743" s="136" t="s">
        <v>139</v>
      </c>
      <c r="E1743" s="136" t="s">
        <v>594</v>
      </c>
      <c r="F1743" s="136">
        <v>340</v>
      </c>
      <c r="G1743" s="137">
        <f t="shared" si="6"/>
        <v>4</v>
      </c>
      <c r="H1743" s="137"/>
      <c r="I1743" s="137"/>
      <c r="J1743" s="135"/>
      <c r="K1743" s="135"/>
      <c r="L1743" s="135"/>
      <c r="M1743" s="135"/>
      <c r="N1743" s="135"/>
      <c r="O1743" s="135"/>
      <c r="P1743" s="135"/>
      <c r="Q1743" s="135"/>
      <c r="R1743" s="135"/>
      <c r="S1743" s="135"/>
      <c r="T1743" s="135"/>
      <c r="U1743" s="135"/>
      <c r="V1743" s="135"/>
      <c r="W1743" s="135"/>
      <c r="X1743" s="135"/>
      <c r="Y1743" s="135"/>
      <c r="Z1743" s="135"/>
    </row>
    <row r="1744" spans="1:26" ht="12.75">
      <c r="A1744" s="136" t="s">
        <v>19</v>
      </c>
      <c r="B1744" s="136" t="s">
        <v>990</v>
      </c>
      <c r="C1744" s="136" t="s">
        <v>140</v>
      </c>
      <c r="D1744" s="136" t="s">
        <v>467</v>
      </c>
      <c r="E1744" s="136" t="s">
        <v>85</v>
      </c>
      <c r="F1744" s="136">
        <v>213</v>
      </c>
      <c r="G1744" s="137">
        <f t="shared" si="6"/>
        <v>5</v>
      </c>
      <c r="H1744" s="137"/>
      <c r="I1744" s="137"/>
      <c r="J1744" s="135"/>
      <c r="K1744" s="135"/>
      <c r="L1744" s="135"/>
      <c r="M1744" s="135"/>
      <c r="N1744" s="135"/>
      <c r="O1744" s="135"/>
      <c r="P1744" s="135"/>
      <c r="Q1744" s="135"/>
      <c r="R1744" s="135"/>
      <c r="S1744" s="135"/>
      <c r="T1744" s="135"/>
      <c r="U1744" s="135"/>
      <c r="V1744" s="135"/>
      <c r="W1744" s="135"/>
      <c r="X1744" s="135"/>
      <c r="Y1744" s="135"/>
      <c r="Z1744" s="135"/>
    </row>
    <row r="1745" spans="1:26" ht="12.75">
      <c r="A1745" s="136" t="s">
        <v>19</v>
      </c>
      <c r="B1745" s="136" t="s">
        <v>990</v>
      </c>
      <c r="C1745" s="136" t="s">
        <v>140</v>
      </c>
      <c r="D1745" s="136" t="s">
        <v>7659</v>
      </c>
      <c r="E1745" s="136" t="s">
        <v>615</v>
      </c>
      <c r="F1745" s="136">
        <v>84</v>
      </c>
      <c r="G1745" s="137">
        <f t="shared" si="6"/>
        <v>6</v>
      </c>
      <c r="H1745" s="137"/>
      <c r="I1745" s="137"/>
      <c r="J1745" s="135"/>
      <c r="K1745" s="135"/>
      <c r="L1745" s="135"/>
      <c r="M1745" s="135"/>
      <c r="N1745" s="135"/>
      <c r="O1745" s="135"/>
      <c r="P1745" s="135"/>
      <c r="Q1745" s="135"/>
      <c r="R1745" s="135"/>
      <c r="S1745" s="135"/>
      <c r="T1745" s="135"/>
      <c r="U1745" s="135"/>
      <c r="V1745" s="135"/>
      <c r="W1745" s="135"/>
      <c r="X1745" s="135"/>
      <c r="Y1745" s="135"/>
      <c r="Z1745" s="135"/>
    </row>
    <row r="1746" spans="1:26" ht="12.75">
      <c r="A1746" s="136" t="s">
        <v>19</v>
      </c>
      <c r="B1746" s="136" t="s">
        <v>990</v>
      </c>
      <c r="C1746" s="136" t="s">
        <v>140</v>
      </c>
      <c r="D1746" s="136" t="s">
        <v>165</v>
      </c>
      <c r="E1746" s="136" t="s">
        <v>615</v>
      </c>
      <c r="F1746" s="136">
        <v>79</v>
      </c>
      <c r="G1746" s="137">
        <f t="shared" si="6"/>
        <v>7</v>
      </c>
      <c r="H1746" s="137"/>
      <c r="I1746" s="137"/>
      <c r="J1746" s="135"/>
      <c r="K1746" s="135"/>
      <c r="L1746" s="135"/>
      <c r="M1746" s="135"/>
      <c r="N1746" s="135"/>
      <c r="O1746" s="135"/>
      <c r="P1746" s="135"/>
      <c r="Q1746" s="135"/>
      <c r="R1746" s="135"/>
      <c r="S1746" s="135"/>
      <c r="T1746" s="135"/>
      <c r="U1746" s="135"/>
      <c r="V1746" s="135"/>
      <c r="W1746" s="135"/>
      <c r="X1746" s="135"/>
      <c r="Y1746" s="135"/>
      <c r="Z1746" s="135"/>
    </row>
    <row r="1747" spans="1:26" ht="12.75">
      <c r="A1747" s="136" t="s">
        <v>19</v>
      </c>
      <c r="B1747" s="136" t="s">
        <v>990</v>
      </c>
      <c r="C1747" s="136" t="s">
        <v>140</v>
      </c>
      <c r="D1747" s="136" t="s">
        <v>7621</v>
      </c>
      <c r="E1747" s="136" t="s">
        <v>7621</v>
      </c>
      <c r="F1747" s="136">
        <v>30</v>
      </c>
      <c r="G1747" s="137">
        <f t="shared" si="6"/>
        <v>9</v>
      </c>
      <c r="H1747" s="137"/>
      <c r="I1747" s="137"/>
      <c r="J1747" s="135"/>
      <c r="K1747" s="135"/>
      <c r="L1747" s="135"/>
      <c r="M1747" s="135"/>
      <c r="N1747" s="135"/>
      <c r="O1747" s="135"/>
      <c r="P1747" s="135"/>
      <c r="Q1747" s="135"/>
      <c r="R1747" s="135"/>
      <c r="S1747" s="135"/>
      <c r="T1747" s="135"/>
      <c r="U1747" s="135"/>
      <c r="V1747" s="135"/>
      <c r="W1747" s="135"/>
      <c r="X1747" s="135"/>
      <c r="Y1747" s="135"/>
      <c r="Z1747" s="135"/>
    </row>
    <row r="1748" spans="1:26" ht="12.75">
      <c r="A1748" s="136" t="s">
        <v>19</v>
      </c>
      <c r="B1748" s="136" t="s">
        <v>990</v>
      </c>
      <c r="C1748" s="136" t="s">
        <v>140</v>
      </c>
      <c r="D1748" s="136" t="s">
        <v>7633</v>
      </c>
      <c r="E1748" s="136" t="s">
        <v>7633</v>
      </c>
      <c r="F1748" s="136">
        <v>38</v>
      </c>
      <c r="G1748" s="137">
        <f t="shared" si="6"/>
        <v>8</v>
      </c>
      <c r="H1748" s="137"/>
      <c r="I1748" s="137"/>
      <c r="J1748" s="135"/>
      <c r="K1748" s="135"/>
      <c r="L1748" s="135"/>
      <c r="M1748" s="135"/>
      <c r="N1748" s="135"/>
      <c r="O1748" s="135"/>
      <c r="P1748" s="135"/>
      <c r="Q1748" s="135"/>
      <c r="R1748" s="135"/>
      <c r="S1748" s="135"/>
      <c r="T1748" s="135"/>
      <c r="U1748" s="135"/>
      <c r="V1748" s="135"/>
      <c r="W1748" s="135"/>
      <c r="X1748" s="135"/>
      <c r="Y1748" s="135"/>
      <c r="Z1748" s="135"/>
    </row>
    <row r="1749" spans="1:26" ht="12.75">
      <c r="A1749" s="136" t="s">
        <v>19</v>
      </c>
      <c r="B1749" s="136" t="s">
        <v>990</v>
      </c>
      <c r="C1749" s="136" t="s">
        <v>143</v>
      </c>
      <c r="D1749" s="136" t="s">
        <v>114</v>
      </c>
      <c r="E1749" s="136" t="s">
        <v>85</v>
      </c>
      <c r="F1749" s="136">
        <v>584</v>
      </c>
      <c r="G1749" s="137">
        <f t="shared" si="6"/>
        <v>1</v>
      </c>
      <c r="H1749" s="137"/>
      <c r="I1749" s="137"/>
      <c r="J1749" s="135"/>
      <c r="K1749" s="135"/>
      <c r="L1749" s="135"/>
      <c r="M1749" s="135"/>
      <c r="N1749" s="135"/>
      <c r="O1749" s="135"/>
      <c r="P1749" s="135"/>
      <c r="Q1749" s="135"/>
      <c r="R1749" s="135"/>
      <c r="S1749" s="135"/>
      <c r="T1749" s="135"/>
      <c r="U1749" s="135"/>
      <c r="V1749" s="135"/>
      <c r="W1749" s="135"/>
      <c r="X1749" s="135"/>
      <c r="Y1749" s="135"/>
      <c r="Z1749" s="135"/>
    </row>
    <row r="1750" spans="1:26" ht="12.75">
      <c r="A1750" s="136" t="s">
        <v>19</v>
      </c>
      <c r="B1750" s="136" t="s">
        <v>990</v>
      </c>
      <c r="C1750" s="136" t="s">
        <v>143</v>
      </c>
      <c r="D1750" s="136" t="s">
        <v>103</v>
      </c>
      <c r="E1750" s="136" t="s">
        <v>594</v>
      </c>
      <c r="F1750" s="136">
        <v>461</v>
      </c>
      <c r="G1750" s="137">
        <f t="shared" si="6"/>
        <v>2</v>
      </c>
      <c r="H1750" s="137"/>
      <c r="I1750" s="137"/>
      <c r="J1750" s="135"/>
      <c r="K1750" s="135"/>
      <c r="L1750" s="135"/>
      <c r="M1750" s="135"/>
      <c r="N1750" s="135"/>
      <c r="O1750" s="135"/>
      <c r="P1750" s="135"/>
      <c r="Q1750" s="135"/>
      <c r="R1750" s="135"/>
      <c r="S1750" s="135"/>
      <c r="T1750" s="135"/>
      <c r="U1750" s="135"/>
      <c r="V1750" s="135"/>
      <c r="W1750" s="135"/>
      <c r="X1750" s="135"/>
      <c r="Y1750" s="135"/>
      <c r="Z1750" s="135"/>
    </row>
    <row r="1751" spans="1:26" ht="12.75">
      <c r="A1751" s="136" t="s">
        <v>19</v>
      </c>
      <c r="B1751" s="136" t="s">
        <v>990</v>
      </c>
      <c r="C1751" s="136" t="s">
        <v>143</v>
      </c>
      <c r="D1751" s="136" t="s">
        <v>136</v>
      </c>
      <c r="E1751" s="136" t="s">
        <v>615</v>
      </c>
      <c r="F1751" s="136">
        <v>144</v>
      </c>
      <c r="G1751" s="137">
        <f t="shared" si="6"/>
        <v>3</v>
      </c>
      <c r="H1751" s="137"/>
      <c r="I1751" s="137"/>
      <c r="J1751" s="135"/>
      <c r="K1751" s="135"/>
      <c r="L1751" s="135"/>
      <c r="M1751" s="135"/>
      <c r="N1751" s="135"/>
      <c r="O1751" s="135"/>
      <c r="P1751" s="135"/>
      <c r="Q1751" s="135"/>
      <c r="R1751" s="135"/>
      <c r="S1751" s="135"/>
      <c r="T1751" s="135"/>
      <c r="U1751" s="135"/>
      <c r="V1751" s="135"/>
      <c r="W1751" s="135"/>
      <c r="X1751" s="135"/>
      <c r="Y1751" s="135"/>
      <c r="Z1751" s="135"/>
    </row>
    <row r="1752" spans="1:26" ht="12.75">
      <c r="A1752" s="136" t="s">
        <v>19</v>
      </c>
      <c r="B1752" s="136" t="s">
        <v>990</v>
      </c>
      <c r="C1752" s="136" t="s">
        <v>143</v>
      </c>
      <c r="D1752" s="136" t="s">
        <v>467</v>
      </c>
      <c r="E1752" s="136" t="s">
        <v>85</v>
      </c>
      <c r="F1752" s="136">
        <v>54</v>
      </c>
      <c r="G1752" s="137">
        <f t="shared" si="6"/>
        <v>4</v>
      </c>
      <c r="H1752" s="137"/>
      <c r="I1752" s="137"/>
      <c r="J1752" s="135"/>
      <c r="K1752" s="135"/>
      <c r="L1752" s="135"/>
      <c r="M1752" s="135"/>
      <c r="N1752" s="135"/>
      <c r="O1752" s="135"/>
      <c r="P1752" s="135"/>
      <c r="Q1752" s="135"/>
      <c r="R1752" s="135"/>
      <c r="S1752" s="135"/>
      <c r="T1752" s="135"/>
      <c r="U1752" s="135"/>
      <c r="V1752" s="135"/>
      <c r="W1752" s="135"/>
      <c r="X1752" s="135"/>
      <c r="Y1752" s="135"/>
      <c r="Z1752" s="135"/>
    </row>
    <row r="1753" spans="1:26" ht="12.75">
      <c r="A1753" s="136" t="s">
        <v>19</v>
      </c>
      <c r="B1753" s="136" t="s">
        <v>990</v>
      </c>
      <c r="C1753" s="136" t="s">
        <v>143</v>
      </c>
      <c r="D1753" s="136" t="s">
        <v>7621</v>
      </c>
      <c r="E1753" s="136" t="s">
        <v>7621</v>
      </c>
      <c r="F1753" s="136">
        <v>20</v>
      </c>
      <c r="G1753" s="137">
        <f t="shared" si="6"/>
        <v>6</v>
      </c>
      <c r="H1753" s="137"/>
      <c r="I1753" s="137"/>
      <c r="J1753" s="135"/>
      <c r="K1753" s="135"/>
      <c r="L1753" s="135"/>
      <c r="M1753" s="135"/>
      <c r="N1753" s="135"/>
      <c r="O1753" s="135"/>
      <c r="P1753" s="135"/>
      <c r="Q1753" s="135"/>
      <c r="R1753" s="135"/>
      <c r="S1753" s="135"/>
      <c r="T1753" s="135"/>
      <c r="U1753" s="135"/>
      <c r="V1753" s="135"/>
      <c r="W1753" s="135"/>
      <c r="X1753" s="135"/>
      <c r="Y1753" s="135"/>
      <c r="Z1753" s="135"/>
    </row>
    <row r="1754" spans="1:26" ht="12.75">
      <c r="A1754" s="136" t="s">
        <v>19</v>
      </c>
      <c r="B1754" s="136" t="s">
        <v>990</v>
      </c>
      <c r="C1754" s="136" t="s">
        <v>143</v>
      </c>
      <c r="D1754" s="136" t="s">
        <v>7633</v>
      </c>
      <c r="E1754" s="136" t="s">
        <v>7633</v>
      </c>
      <c r="F1754" s="136">
        <v>18</v>
      </c>
      <c r="G1754" s="137">
        <f t="shared" si="6"/>
        <v>8</v>
      </c>
      <c r="H1754" s="137"/>
      <c r="I1754" s="137"/>
      <c r="J1754" s="135"/>
      <c r="K1754" s="135"/>
      <c r="L1754" s="135"/>
      <c r="M1754" s="135"/>
      <c r="N1754" s="135"/>
      <c r="O1754" s="135"/>
      <c r="P1754" s="135"/>
      <c r="Q1754" s="135"/>
      <c r="R1754" s="135"/>
      <c r="S1754" s="135"/>
      <c r="T1754" s="135"/>
      <c r="U1754" s="135"/>
      <c r="V1754" s="135"/>
      <c r="W1754" s="135"/>
      <c r="X1754" s="135"/>
      <c r="Y1754" s="135"/>
      <c r="Z1754" s="135"/>
    </row>
    <row r="1755" spans="1:26" ht="12.75">
      <c r="A1755" s="136" t="s">
        <v>19</v>
      </c>
      <c r="B1755" s="136" t="s">
        <v>990</v>
      </c>
      <c r="C1755" s="136" t="s">
        <v>143</v>
      </c>
      <c r="D1755" s="136" t="s">
        <v>139</v>
      </c>
      <c r="E1755" s="136" t="s">
        <v>594</v>
      </c>
      <c r="F1755" s="136">
        <v>29</v>
      </c>
      <c r="G1755" s="137">
        <f t="shared" si="6"/>
        <v>5</v>
      </c>
      <c r="H1755" s="137"/>
      <c r="I1755" s="137"/>
      <c r="J1755" s="135"/>
      <c r="K1755" s="135"/>
      <c r="L1755" s="135"/>
      <c r="M1755" s="135"/>
      <c r="N1755" s="135"/>
      <c r="O1755" s="135"/>
      <c r="P1755" s="135"/>
      <c r="Q1755" s="135"/>
      <c r="R1755" s="135"/>
      <c r="S1755" s="135"/>
      <c r="T1755" s="135"/>
      <c r="U1755" s="135"/>
      <c r="V1755" s="135"/>
      <c r="W1755" s="135"/>
      <c r="X1755" s="135"/>
      <c r="Y1755" s="135"/>
      <c r="Z1755" s="135"/>
    </row>
    <row r="1756" spans="1:26" ht="12.75">
      <c r="A1756" s="136" t="s">
        <v>19</v>
      </c>
      <c r="B1756" s="136" t="s">
        <v>990</v>
      </c>
      <c r="C1756" s="136" t="s">
        <v>143</v>
      </c>
      <c r="D1756" s="136" t="s">
        <v>368</v>
      </c>
      <c r="E1756" s="136" t="s">
        <v>594</v>
      </c>
      <c r="F1756" s="136">
        <v>19</v>
      </c>
      <c r="G1756" s="137">
        <f t="shared" si="6"/>
        <v>7</v>
      </c>
      <c r="H1756" s="137"/>
      <c r="I1756" s="137"/>
      <c r="J1756" s="135"/>
      <c r="K1756" s="135"/>
      <c r="L1756" s="135"/>
      <c r="M1756" s="135"/>
      <c r="N1756" s="135"/>
      <c r="O1756" s="135"/>
      <c r="P1756" s="135"/>
      <c r="Q1756" s="135"/>
      <c r="R1756" s="135"/>
      <c r="S1756" s="135"/>
      <c r="T1756" s="135"/>
      <c r="U1756" s="135"/>
      <c r="V1756" s="135"/>
      <c r="W1756" s="135"/>
      <c r="X1756" s="135"/>
      <c r="Y1756" s="135"/>
      <c r="Z1756" s="135"/>
    </row>
    <row r="1757" spans="1:26" ht="12.75">
      <c r="A1757" s="136" t="s">
        <v>19</v>
      </c>
      <c r="B1757" s="136" t="s">
        <v>990</v>
      </c>
      <c r="C1757" s="136" t="s">
        <v>143</v>
      </c>
      <c r="D1757" s="136" t="s">
        <v>86</v>
      </c>
      <c r="E1757" s="136" t="s">
        <v>86</v>
      </c>
      <c r="F1757" s="136">
        <v>12</v>
      </c>
      <c r="G1757" s="137">
        <f t="shared" si="6"/>
        <v>9</v>
      </c>
      <c r="H1757" s="137"/>
      <c r="I1757" s="137"/>
      <c r="J1757" s="135"/>
      <c r="K1757" s="135"/>
      <c r="L1757" s="135"/>
      <c r="M1757" s="135"/>
      <c r="N1757" s="135"/>
      <c r="O1757" s="135"/>
      <c r="P1757" s="135"/>
      <c r="Q1757" s="135"/>
      <c r="R1757" s="135"/>
      <c r="S1757" s="135"/>
      <c r="T1757" s="135"/>
      <c r="U1757" s="135"/>
      <c r="V1757" s="135"/>
      <c r="W1757" s="135"/>
      <c r="X1757" s="135"/>
      <c r="Y1757" s="135"/>
      <c r="Z1757" s="135"/>
    </row>
    <row r="1758" spans="1:26" ht="12.75">
      <c r="A1758" s="136" t="s">
        <v>19</v>
      </c>
      <c r="B1758" s="136" t="s">
        <v>990</v>
      </c>
      <c r="C1758" s="136" t="s">
        <v>143</v>
      </c>
      <c r="D1758" s="136" t="s">
        <v>1626</v>
      </c>
      <c r="E1758" s="136" t="s">
        <v>594</v>
      </c>
      <c r="F1758" s="136">
        <v>7</v>
      </c>
      <c r="G1758" s="137">
        <f t="shared" si="6"/>
        <v>10</v>
      </c>
      <c r="H1758" s="137"/>
      <c r="I1758" s="137"/>
      <c r="J1758" s="135"/>
      <c r="K1758" s="135"/>
      <c r="L1758" s="135"/>
      <c r="M1758" s="135"/>
      <c r="N1758" s="135"/>
      <c r="O1758" s="135"/>
      <c r="P1758" s="135"/>
      <c r="Q1758" s="135"/>
      <c r="R1758" s="135"/>
      <c r="S1758" s="135"/>
      <c r="T1758" s="135"/>
      <c r="U1758" s="135"/>
      <c r="V1758" s="135"/>
      <c r="W1758" s="135"/>
      <c r="X1758" s="135"/>
      <c r="Y1758" s="135"/>
      <c r="Z1758" s="135"/>
    </row>
    <row r="1759" spans="1:26" ht="12.75">
      <c r="A1759" s="136" t="s">
        <v>19</v>
      </c>
      <c r="B1759" s="136" t="s">
        <v>990</v>
      </c>
      <c r="C1759" s="136" t="s">
        <v>143</v>
      </c>
      <c r="D1759" s="136" t="s">
        <v>1665</v>
      </c>
      <c r="E1759" s="136" t="s">
        <v>615</v>
      </c>
      <c r="F1759" s="136">
        <v>7</v>
      </c>
      <c r="G1759" s="137">
        <f t="shared" si="6"/>
        <v>11</v>
      </c>
      <c r="H1759" s="137"/>
      <c r="I1759" s="137"/>
      <c r="J1759" s="135"/>
      <c r="K1759" s="135"/>
      <c r="L1759" s="135"/>
      <c r="M1759" s="135"/>
      <c r="N1759" s="135"/>
      <c r="O1759" s="135"/>
      <c r="P1759" s="135"/>
      <c r="Q1759" s="135"/>
      <c r="R1759" s="135"/>
      <c r="S1759" s="135"/>
      <c r="T1759" s="135"/>
      <c r="U1759" s="135"/>
      <c r="V1759" s="135"/>
      <c r="W1759" s="135"/>
      <c r="X1759" s="135"/>
      <c r="Y1759" s="135"/>
      <c r="Z1759" s="135"/>
    </row>
    <row r="1760" spans="1:26" ht="12.75">
      <c r="A1760" s="136" t="s">
        <v>19</v>
      </c>
      <c r="B1760" s="136" t="s">
        <v>990</v>
      </c>
      <c r="C1760" s="136" t="s">
        <v>143</v>
      </c>
      <c r="D1760" s="136" t="s">
        <v>1669</v>
      </c>
      <c r="E1760" s="136" t="s">
        <v>615</v>
      </c>
      <c r="F1760" s="136">
        <v>5</v>
      </c>
      <c r="G1760" s="137">
        <f t="shared" si="6"/>
        <v>12</v>
      </c>
      <c r="H1760" s="137"/>
      <c r="I1760" s="137"/>
      <c r="J1760" s="135"/>
      <c r="K1760" s="135"/>
      <c r="L1760" s="135"/>
      <c r="M1760" s="135"/>
      <c r="N1760" s="135"/>
      <c r="O1760" s="135"/>
      <c r="P1760" s="135"/>
      <c r="Q1760" s="135"/>
      <c r="R1760" s="135"/>
      <c r="S1760" s="135"/>
      <c r="T1760" s="135"/>
      <c r="U1760" s="135"/>
      <c r="V1760" s="135"/>
      <c r="W1760" s="135"/>
      <c r="X1760" s="135"/>
      <c r="Y1760" s="135"/>
      <c r="Z1760" s="135"/>
    </row>
    <row r="1761" spans="1:26" ht="12.75">
      <c r="A1761" s="136" t="s">
        <v>19</v>
      </c>
      <c r="B1761" s="136" t="s">
        <v>990</v>
      </c>
      <c r="C1761" s="136" t="s">
        <v>145</v>
      </c>
      <c r="D1761" s="136" t="s">
        <v>467</v>
      </c>
      <c r="E1761" s="136" t="s">
        <v>85</v>
      </c>
      <c r="F1761" s="136">
        <v>670</v>
      </c>
      <c r="G1761" s="137">
        <f t="shared" si="6"/>
        <v>1</v>
      </c>
      <c r="H1761" s="137"/>
      <c r="I1761" s="137"/>
      <c r="J1761" s="135"/>
      <c r="K1761" s="135"/>
      <c r="L1761" s="135"/>
      <c r="M1761" s="135"/>
      <c r="N1761" s="135"/>
      <c r="O1761" s="135"/>
      <c r="P1761" s="135"/>
      <c r="Q1761" s="135"/>
      <c r="R1761" s="135"/>
      <c r="S1761" s="135"/>
      <c r="T1761" s="135"/>
      <c r="U1761" s="135"/>
      <c r="V1761" s="135"/>
      <c r="W1761" s="135"/>
      <c r="X1761" s="135"/>
      <c r="Y1761" s="135"/>
      <c r="Z1761" s="135"/>
    </row>
    <row r="1762" spans="1:26" ht="12.75">
      <c r="A1762" s="136" t="s">
        <v>19</v>
      </c>
      <c r="B1762" s="136" t="s">
        <v>990</v>
      </c>
      <c r="C1762" s="136" t="s">
        <v>145</v>
      </c>
      <c r="D1762" s="136" t="s">
        <v>7660</v>
      </c>
      <c r="E1762" s="136" t="s">
        <v>615</v>
      </c>
      <c r="F1762" s="136">
        <v>264</v>
      </c>
      <c r="G1762" s="137">
        <f t="shared" si="6"/>
        <v>2</v>
      </c>
      <c r="H1762" s="137"/>
      <c r="I1762" s="137"/>
      <c r="J1762" s="135"/>
      <c r="K1762" s="135"/>
      <c r="L1762" s="135"/>
      <c r="M1762" s="135"/>
      <c r="N1762" s="135"/>
      <c r="O1762" s="135"/>
      <c r="P1762" s="135"/>
      <c r="Q1762" s="135"/>
      <c r="R1762" s="135"/>
      <c r="S1762" s="135"/>
      <c r="T1762" s="135"/>
      <c r="U1762" s="135"/>
      <c r="V1762" s="135"/>
      <c r="W1762" s="135"/>
      <c r="X1762" s="135"/>
      <c r="Y1762" s="135"/>
      <c r="Z1762" s="135"/>
    </row>
    <row r="1763" spans="1:26" ht="12.75">
      <c r="A1763" s="136" t="s">
        <v>19</v>
      </c>
      <c r="B1763" s="136" t="s">
        <v>990</v>
      </c>
      <c r="C1763" s="136" t="s">
        <v>145</v>
      </c>
      <c r="D1763" s="136" t="s">
        <v>103</v>
      </c>
      <c r="E1763" s="136" t="s">
        <v>594</v>
      </c>
      <c r="F1763" s="136">
        <v>227</v>
      </c>
      <c r="G1763" s="137">
        <f t="shared" si="6"/>
        <v>3</v>
      </c>
      <c r="H1763" s="137"/>
      <c r="I1763" s="137"/>
      <c r="J1763" s="135"/>
      <c r="K1763" s="135"/>
      <c r="L1763" s="135"/>
      <c r="M1763" s="135"/>
      <c r="N1763" s="135"/>
      <c r="O1763" s="135"/>
      <c r="P1763" s="135"/>
      <c r="Q1763" s="135"/>
      <c r="R1763" s="135"/>
      <c r="S1763" s="135"/>
      <c r="T1763" s="135"/>
      <c r="U1763" s="135"/>
      <c r="V1763" s="135"/>
      <c r="W1763" s="135"/>
      <c r="X1763" s="135"/>
      <c r="Y1763" s="135"/>
      <c r="Z1763" s="135"/>
    </row>
    <row r="1764" spans="1:26" ht="12.75">
      <c r="A1764" s="136" t="s">
        <v>19</v>
      </c>
      <c r="B1764" s="136" t="s">
        <v>990</v>
      </c>
      <c r="C1764" s="136" t="s">
        <v>145</v>
      </c>
      <c r="D1764" s="136" t="s">
        <v>139</v>
      </c>
      <c r="E1764" s="136" t="s">
        <v>594</v>
      </c>
      <c r="F1764" s="136">
        <v>187</v>
      </c>
      <c r="G1764" s="137">
        <f t="shared" si="6"/>
        <v>4</v>
      </c>
      <c r="H1764" s="137"/>
      <c r="I1764" s="137"/>
      <c r="J1764" s="135"/>
      <c r="K1764" s="135"/>
      <c r="L1764" s="135"/>
      <c r="M1764" s="135"/>
      <c r="N1764" s="135"/>
      <c r="O1764" s="135"/>
      <c r="P1764" s="135"/>
      <c r="Q1764" s="135"/>
      <c r="R1764" s="135"/>
      <c r="S1764" s="135"/>
      <c r="T1764" s="135"/>
      <c r="U1764" s="135"/>
      <c r="V1764" s="135"/>
      <c r="W1764" s="135"/>
      <c r="X1764" s="135"/>
      <c r="Y1764" s="135"/>
      <c r="Z1764" s="135"/>
    </row>
    <row r="1765" spans="1:26" ht="12.75">
      <c r="A1765" s="136" t="s">
        <v>19</v>
      </c>
      <c r="B1765" s="136" t="s">
        <v>990</v>
      </c>
      <c r="C1765" s="136" t="s">
        <v>145</v>
      </c>
      <c r="D1765" s="136" t="s">
        <v>7551</v>
      </c>
      <c r="E1765" s="136" t="s">
        <v>615</v>
      </c>
      <c r="F1765" s="136">
        <v>171</v>
      </c>
      <c r="G1765" s="137">
        <f t="shared" si="6"/>
        <v>5</v>
      </c>
      <c r="H1765" s="137"/>
      <c r="I1765" s="137"/>
      <c r="J1765" s="135"/>
      <c r="K1765" s="135"/>
      <c r="L1765" s="135"/>
      <c r="M1765" s="135"/>
      <c r="N1765" s="135"/>
      <c r="O1765" s="135"/>
      <c r="P1765" s="135"/>
      <c r="Q1765" s="135"/>
      <c r="R1765" s="135"/>
      <c r="S1765" s="135"/>
      <c r="T1765" s="135"/>
      <c r="U1765" s="135"/>
      <c r="V1765" s="135"/>
      <c r="W1765" s="135"/>
      <c r="X1765" s="135"/>
      <c r="Y1765" s="135"/>
      <c r="Z1765" s="135"/>
    </row>
    <row r="1766" spans="1:26" ht="12.75">
      <c r="A1766" s="136" t="s">
        <v>19</v>
      </c>
      <c r="B1766" s="136" t="s">
        <v>990</v>
      </c>
      <c r="C1766" s="136" t="s">
        <v>145</v>
      </c>
      <c r="D1766" s="136" t="s">
        <v>7621</v>
      </c>
      <c r="E1766" s="136" t="s">
        <v>7621</v>
      </c>
      <c r="F1766" s="136">
        <v>25</v>
      </c>
      <c r="G1766" s="137">
        <f t="shared" si="6"/>
        <v>6</v>
      </c>
      <c r="H1766" s="137"/>
      <c r="I1766" s="137"/>
      <c r="J1766" s="135"/>
      <c r="K1766" s="135"/>
      <c r="L1766" s="135"/>
      <c r="M1766" s="135"/>
      <c r="N1766" s="135"/>
      <c r="O1766" s="135"/>
      <c r="P1766" s="135"/>
      <c r="Q1766" s="135"/>
      <c r="R1766" s="135"/>
      <c r="S1766" s="135"/>
      <c r="T1766" s="135"/>
      <c r="U1766" s="135"/>
      <c r="V1766" s="135"/>
      <c r="W1766" s="135"/>
      <c r="X1766" s="135"/>
      <c r="Y1766" s="135"/>
      <c r="Z1766" s="135"/>
    </row>
    <row r="1767" spans="1:26" ht="12.75">
      <c r="A1767" s="136" t="s">
        <v>19</v>
      </c>
      <c r="B1767" s="136" t="s">
        <v>990</v>
      </c>
      <c r="C1767" s="136" t="s">
        <v>145</v>
      </c>
      <c r="D1767" s="136" t="s">
        <v>7633</v>
      </c>
      <c r="E1767" s="136" t="s">
        <v>7633</v>
      </c>
      <c r="F1767" s="136">
        <v>20</v>
      </c>
      <c r="G1767" s="137">
        <f t="shared" si="6"/>
        <v>7</v>
      </c>
      <c r="H1767" s="137"/>
      <c r="I1767" s="137"/>
      <c r="J1767" s="135"/>
      <c r="K1767" s="135"/>
      <c r="L1767" s="135"/>
      <c r="M1767" s="135"/>
      <c r="N1767" s="135"/>
      <c r="O1767" s="135"/>
      <c r="P1767" s="135"/>
      <c r="Q1767" s="135"/>
      <c r="R1767" s="135"/>
      <c r="S1767" s="135"/>
      <c r="T1767" s="135"/>
      <c r="U1767" s="135"/>
      <c r="V1767" s="135"/>
      <c r="W1767" s="135"/>
      <c r="X1767" s="135"/>
      <c r="Y1767" s="135"/>
      <c r="Z1767" s="135"/>
    </row>
    <row r="1768" spans="1:26" ht="12.75">
      <c r="A1768" s="136" t="s">
        <v>19</v>
      </c>
      <c r="B1768" s="136" t="s">
        <v>19</v>
      </c>
      <c r="C1768" s="136" t="s">
        <v>19</v>
      </c>
      <c r="D1768" s="136" t="s">
        <v>107</v>
      </c>
      <c r="E1768" s="136" t="s">
        <v>615</v>
      </c>
      <c r="F1768" s="136">
        <v>5438</v>
      </c>
      <c r="G1768" s="137">
        <f t="shared" si="6"/>
        <v>1</v>
      </c>
      <c r="H1768" s="137"/>
      <c r="I1768" s="137"/>
      <c r="J1768" s="135"/>
      <c r="K1768" s="135"/>
      <c r="L1768" s="135"/>
      <c r="M1768" s="135"/>
      <c r="N1768" s="135"/>
      <c r="O1768" s="135"/>
      <c r="P1768" s="135"/>
      <c r="Q1768" s="135"/>
      <c r="R1768" s="135"/>
      <c r="S1768" s="135"/>
      <c r="T1768" s="135"/>
      <c r="U1768" s="135"/>
      <c r="V1768" s="135"/>
      <c r="W1768" s="135"/>
      <c r="X1768" s="135"/>
      <c r="Y1768" s="135"/>
      <c r="Z1768" s="135"/>
    </row>
    <row r="1769" spans="1:26" ht="12.75">
      <c r="A1769" s="136" t="s">
        <v>19</v>
      </c>
      <c r="B1769" s="136" t="s">
        <v>19</v>
      </c>
      <c r="C1769" s="136" t="s">
        <v>19</v>
      </c>
      <c r="D1769" s="136" t="s">
        <v>139</v>
      </c>
      <c r="E1769" s="136" t="s">
        <v>594</v>
      </c>
      <c r="F1769" s="136">
        <v>2855</v>
      </c>
      <c r="G1769" s="137">
        <f t="shared" si="6"/>
        <v>2</v>
      </c>
      <c r="H1769" s="137"/>
      <c r="I1769" s="137"/>
      <c r="J1769" s="135"/>
      <c r="K1769" s="135"/>
      <c r="L1769" s="135"/>
      <c r="M1769" s="135"/>
      <c r="N1769" s="135"/>
      <c r="O1769" s="135"/>
      <c r="P1769" s="135"/>
      <c r="Q1769" s="135"/>
      <c r="R1769" s="135"/>
      <c r="S1769" s="135"/>
      <c r="T1769" s="135"/>
      <c r="U1769" s="135"/>
      <c r="V1769" s="135"/>
      <c r="W1769" s="135"/>
      <c r="X1769" s="135"/>
      <c r="Y1769" s="135"/>
      <c r="Z1769" s="135"/>
    </row>
    <row r="1770" spans="1:26" ht="12.75">
      <c r="A1770" s="136" t="s">
        <v>19</v>
      </c>
      <c r="B1770" s="136" t="s">
        <v>19</v>
      </c>
      <c r="C1770" s="136" t="s">
        <v>19</v>
      </c>
      <c r="D1770" s="136" t="s">
        <v>1669</v>
      </c>
      <c r="E1770" s="136" t="s">
        <v>615</v>
      </c>
      <c r="F1770" s="136">
        <v>1535</v>
      </c>
      <c r="G1770" s="137">
        <f t="shared" si="6"/>
        <v>3</v>
      </c>
      <c r="H1770" s="137"/>
      <c r="I1770" s="137"/>
      <c r="J1770" s="135"/>
      <c r="K1770" s="135"/>
      <c r="L1770" s="135"/>
      <c r="M1770" s="135"/>
      <c r="N1770" s="135"/>
      <c r="O1770" s="135"/>
      <c r="P1770" s="135"/>
      <c r="Q1770" s="135"/>
      <c r="R1770" s="135"/>
      <c r="S1770" s="135"/>
      <c r="T1770" s="135"/>
      <c r="U1770" s="135"/>
      <c r="V1770" s="135"/>
      <c r="W1770" s="135"/>
      <c r="X1770" s="135"/>
      <c r="Y1770" s="135"/>
      <c r="Z1770" s="135"/>
    </row>
    <row r="1771" spans="1:26" ht="12.75">
      <c r="A1771" s="136" t="s">
        <v>19</v>
      </c>
      <c r="B1771" s="136" t="s">
        <v>19</v>
      </c>
      <c r="C1771" s="136" t="s">
        <v>19</v>
      </c>
      <c r="D1771" s="136" t="s">
        <v>7613</v>
      </c>
      <c r="E1771" s="136" t="s">
        <v>85</v>
      </c>
      <c r="F1771" s="136">
        <v>1260</v>
      </c>
      <c r="G1771" s="137">
        <f t="shared" si="6"/>
        <v>4</v>
      </c>
      <c r="H1771" s="137"/>
      <c r="I1771" s="137"/>
      <c r="J1771" s="135"/>
      <c r="K1771" s="135"/>
      <c r="L1771" s="135"/>
      <c r="M1771" s="135"/>
      <c r="N1771" s="135"/>
      <c r="O1771" s="135"/>
      <c r="P1771" s="135"/>
      <c r="Q1771" s="135"/>
      <c r="R1771" s="135"/>
      <c r="S1771" s="135"/>
      <c r="T1771" s="135"/>
      <c r="U1771" s="135"/>
      <c r="V1771" s="135"/>
      <c r="W1771" s="135"/>
      <c r="X1771" s="135"/>
      <c r="Y1771" s="135"/>
      <c r="Z1771" s="135"/>
    </row>
    <row r="1772" spans="1:26" ht="12.75">
      <c r="A1772" s="136" t="s">
        <v>19</v>
      </c>
      <c r="B1772" s="136" t="s">
        <v>19</v>
      </c>
      <c r="C1772" s="136" t="s">
        <v>19</v>
      </c>
      <c r="D1772" s="136" t="s">
        <v>103</v>
      </c>
      <c r="E1772" s="136" t="s">
        <v>594</v>
      </c>
      <c r="F1772" s="136">
        <v>770</v>
      </c>
      <c r="G1772" s="137">
        <f t="shared" si="6"/>
        <v>5</v>
      </c>
      <c r="H1772" s="137"/>
      <c r="I1772" s="137"/>
      <c r="J1772" s="135"/>
      <c r="K1772" s="135"/>
      <c r="L1772" s="135"/>
      <c r="M1772" s="135"/>
      <c r="N1772" s="135"/>
      <c r="O1772" s="135"/>
      <c r="P1772" s="135"/>
      <c r="Q1772" s="135"/>
      <c r="R1772" s="135"/>
      <c r="S1772" s="135"/>
      <c r="T1772" s="135"/>
      <c r="U1772" s="135"/>
      <c r="V1772" s="135"/>
      <c r="W1772" s="135"/>
      <c r="X1772" s="135"/>
      <c r="Y1772" s="135"/>
      <c r="Z1772" s="135"/>
    </row>
    <row r="1773" spans="1:26" ht="12.75">
      <c r="A1773" s="136" t="s">
        <v>19</v>
      </c>
      <c r="B1773" s="136" t="s">
        <v>19</v>
      </c>
      <c r="C1773" s="136" t="s">
        <v>19</v>
      </c>
      <c r="D1773" s="136" t="s">
        <v>467</v>
      </c>
      <c r="E1773" s="136" t="s">
        <v>85</v>
      </c>
      <c r="F1773" s="136">
        <v>620</v>
      </c>
      <c r="G1773" s="137">
        <f t="shared" si="6"/>
        <v>6</v>
      </c>
      <c r="H1773" s="137"/>
      <c r="I1773" s="137"/>
      <c r="J1773" s="135"/>
      <c r="K1773" s="135"/>
      <c r="L1773" s="135"/>
      <c r="M1773" s="135"/>
      <c r="N1773" s="135"/>
      <c r="O1773" s="135"/>
      <c r="P1773" s="135"/>
      <c r="Q1773" s="135"/>
      <c r="R1773" s="135"/>
      <c r="S1773" s="135"/>
      <c r="T1773" s="135"/>
      <c r="U1773" s="135"/>
      <c r="V1773" s="135"/>
      <c r="W1773" s="135"/>
      <c r="X1773" s="135"/>
      <c r="Y1773" s="135"/>
      <c r="Z1773" s="135"/>
    </row>
    <row r="1774" spans="1:26" ht="12.75">
      <c r="A1774" s="136" t="s">
        <v>19</v>
      </c>
      <c r="B1774" s="136" t="s">
        <v>19</v>
      </c>
      <c r="C1774" s="136" t="s">
        <v>19</v>
      </c>
      <c r="D1774" s="136" t="s">
        <v>165</v>
      </c>
      <c r="E1774" s="136" t="s">
        <v>615</v>
      </c>
      <c r="F1774" s="136">
        <v>525</v>
      </c>
      <c r="G1774" s="137">
        <f t="shared" si="6"/>
        <v>7</v>
      </c>
      <c r="H1774" s="137"/>
      <c r="I1774" s="137"/>
      <c r="J1774" s="135"/>
      <c r="K1774" s="135"/>
      <c r="L1774" s="135"/>
      <c r="M1774" s="135"/>
      <c r="N1774" s="135"/>
      <c r="O1774" s="135"/>
      <c r="P1774" s="135"/>
      <c r="Q1774" s="135"/>
      <c r="R1774" s="135"/>
      <c r="S1774" s="135"/>
      <c r="T1774" s="135"/>
      <c r="U1774" s="135"/>
      <c r="V1774" s="135"/>
      <c r="W1774" s="135"/>
      <c r="X1774" s="135"/>
      <c r="Y1774" s="135"/>
      <c r="Z1774" s="135"/>
    </row>
    <row r="1775" spans="1:26" ht="12.75">
      <c r="A1775" s="136" t="s">
        <v>19</v>
      </c>
      <c r="B1775" s="136" t="s">
        <v>19</v>
      </c>
      <c r="C1775" s="136" t="s">
        <v>19</v>
      </c>
      <c r="D1775" s="136" t="s">
        <v>131</v>
      </c>
      <c r="E1775" s="136" t="s">
        <v>594</v>
      </c>
      <c r="F1775" s="136">
        <v>513</v>
      </c>
      <c r="G1775" s="137">
        <f t="shared" si="6"/>
        <v>8</v>
      </c>
      <c r="H1775" s="137"/>
      <c r="I1775" s="137"/>
      <c r="J1775" s="135"/>
      <c r="K1775" s="135"/>
      <c r="L1775" s="135"/>
      <c r="M1775" s="135"/>
      <c r="N1775" s="135"/>
      <c r="O1775" s="135"/>
      <c r="P1775" s="135"/>
      <c r="Q1775" s="135"/>
      <c r="R1775" s="135"/>
      <c r="S1775" s="135"/>
      <c r="T1775" s="135"/>
      <c r="U1775" s="135"/>
      <c r="V1775" s="135"/>
      <c r="W1775" s="135"/>
      <c r="X1775" s="135"/>
      <c r="Y1775" s="135"/>
      <c r="Z1775" s="135"/>
    </row>
    <row r="1776" spans="1:26" ht="12.75">
      <c r="A1776" s="136" t="s">
        <v>19</v>
      </c>
      <c r="B1776" s="136" t="s">
        <v>19</v>
      </c>
      <c r="C1776" s="136" t="s">
        <v>19</v>
      </c>
      <c r="D1776" s="136" t="s">
        <v>7615</v>
      </c>
      <c r="E1776" s="136" t="s">
        <v>7615</v>
      </c>
      <c r="F1776" s="136">
        <v>450</v>
      </c>
      <c r="G1776" s="137">
        <f t="shared" si="6"/>
        <v>9</v>
      </c>
      <c r="H1776" s="137"/>
      <c r="I1776" s="137"/>
      <c r="J1776" s="135"/>
      <c r="K1776" s="135"/>
      <c r="L1776" s="135"/>
      <c r="M1776" s="135"/>
      <c r="N1776" s="135"/>
      <c r="O1776" s="135"/>
      <c r="P1776" s="135"/>
      <c r="Q1776" s="135"/>
      <c r="R1776" s="135"/>
      <c r="S1776" s="135"/>
      <c r="T1776" s="135"/>
      <c r="U1776" s="135"/>
      <c r="V1776" s="135"/>
      <c r="W1776" s="135"/>
      <c r="X1776" s="135"/>
      <c r="Y1776" s="135"/>
      <c r="Z1776" s="135"/>
    </row>
    <row r="1777" spans="1:26" ht="12.75">
      <c r="A1777" s="136" t="s">
        <v>19</v>
      </c>
      <c r="B1777" s="136" t="s">
        <v>19</v>
      </c>
      <c r="C1777" s="136" t="s">
        <v>19</v>
      </c>
      <c r="D1777" s="136" t="s">
        <v>7525</v>
      </c>
      <c r="E1777" s="136" t="s">
        <v>594</v>
      </c>
      <c r="F1777" s="136">
        <v>252</v>
      </c>
      <c r="G1777" s="137">
        <f t="shared" si="6"/>
        <v>11</v>
      </c>
      <c r="H1777" s="137"/>
      <c r="I1777" s="137"/>
      <c r="J1777" s="135"/>
      <c r="K1777" s="135"/>
      <c r="L1777" s="135"/>
      <c r="M1777" s="135"/>
      <c r="N1777" s="135"/>
      <c r="O1777" s="135"/>
      <c r="P1777" s="135"/>
      <c r="Q1777" s="135"/>
      <c r="R1777" s="135"/>
      <c r="S1777" s="135"/>
      <c r="T1777" s="135"/>
      <c r="U1777" s="135"/>
      <c r="V1777" s="135"/>
      <c r="W1777" s="135"/>
      <c r="X1777" s="135"/>
      <c r="Y1777" s="135"/>
      <c r="Z1777" s="135"/>
    </row>
    <row r="1778" spans="1:26" ht="12.75">
      <c r="A1778" s="136" t="s">
        <v>19</v>
      </c>
      <c r="B1778" s="136" t="s">
        <v>19</v>
      </c>
      <c r="C1778" s="136" t="s">
        <v>19</v>
      </c>
      <c r="D1778" s="136" t="s">
        <v>7534</v>
      </c>
      <c r="E1778" s="136" t="s">
        <v>594</v>
      </c>
      <c r="F1778" s="136">
        <v>225</v>
      </c>
      <c r="G1778" s="137">
        <f t="shared" si="6"/>
        <v>13</v>
      </c>
      <c r="H1778" s="137"/>
      <c r="I1778" s="137"/>
      <c r="J1778" s="135"/>
      <c r="K1778" s="135"/>
      <c r="L1778" s="135"/>
      <c r="M1778" s="135"/>
      <c r="N1778" s="135"/>
      <c r="O1778" s="135"/>
      <c r="P1778" s="135"/>
      <c r="Q1778" s="135"/>
      <c r="R1778" s="135"/>
      <c r="S1778" s="135"/>
      <c r="T1778" s="135"/>
      <c r="U1778" s="135"/>
      <c r="V1778" s="135"/>
      <c r="W1778" s="135"/>
      <c r="X1778" s="135"/>
      <c r="Y1778" s="135"/>
      <c r="Z1778" s="135"/>
    </row>
    <row r="1779" spans="1:26" ht="12.75">
      <c r="A1779" s="136" t="s">
        <v>19</v>
      </c>
      <c r="B1779" s="136" t="s">
        <v>19</v>
      </c>
      <c r="C1779" s="136" t="s">
        <v>19</v>
      </c>
      <c r="D1779" s="136" t="s">
        <v>1665</v>
      </c>
      <c r="E1779" s="136" t="s">
        <v>615</v>
      </c>
      <c r="F1779" s="136">
        <v>213</v>
      </c>
      <c r="G1779" s="137">
        <f t="shared" si="6"/>
        <v>14</v>
      </c>
      <c r="H1779" s="137"/>
      <c r="I1779" s="137"/>
      <c r="J1779" s="135"/>
      <c r="K1779" s="135"/>
      <c r="L1779" s="135"/>
      <c r="M1779" s="135"/>
      <c r="N1779" s="135"/>
      <c r="O1779" s="135"/>
      <c r="P1779" s="135"/>
      <c r="Q1779" s="135"/>
      <c r="R1779" s="135"/>
      <c r="S1779" s="135"/>
      <c r="T1779" s="135"/>
      <c r="U1779" s="135"/>
      <c r="V1779" s="135"/>
      <c r="W1779" s="135"/>
      <c r="X1779" s="135"/>
      <c r="Y1779" s="135"/>
      <c r="Z1779" s="135"/>
    </row>
    <row r="1780" spans="1:26" ht="12.75">
      <c r="A1780" s="136" t="s">
        <v>19</v>
      </c>
      <c r="B1780" s="136" t="s">
        <v>19</v>
      </c>
      <c r="C1780" s="136" t="s">
        <v>19</v>
      </c>
      <c r="D1780" s="136" t="s">
        <v>154</v>
      </c>
      <c r="E1780" s="136" t="s">
        <v>615</v>
      </c>
      <c r="F1780" s="136">
        <v>200</v>
      </c>
      <c r="G1780" s="137">
        <f t="shared" si="6"/>
        <v>16</v>
      </c>
      <c r="H1780" s="137"/>
      <c r="I1780" s="137"/>
      <c r="J1780" s="135"/>
      <c r="K1780" s="135"/>
      <c r="L1780" s="135"/>
      <c r="M1780" s="135"/>
      <c r="N1780" s="135"/>
      <c r="O1780" s="135"/>
      <c r="P1780" s="135"/>
      <c r="Q1780" s="135"/>
      <c r="R1780" s="135"/>
      <c r="S1780" s="135"/>
      <c r="T1780" s="135"/>
      <c r="U1780" s="135"/>
      <c r="V1780" s="135"/>
      <c r="W1780" s="135"/>
      <c r="X1780" s="135"/>
      <c r="Y1780" s="135"/>
      <c r="Z1780" s="135"/>
    </row>
    <row r="1781" spans="1:26" ht="12.75">
      <c r="A1781" s="136" t="s">
        <v>19</v>
      </c>
      <c r="B1781" s="136" t="s">
        <v>19</v>
      </c>
      <c r="C1781" s="136" t="s">
        <v>19</v>
      </c>
      <c r="D1781" s="136" t="s">
        <v>7661</v>
      </c>
      <c r="E1781" s="136" t="s">
        <v>86</v>
      </c>
      <c r="F1781" s="136">
        <v>190</v>
      </c>
      <c r="G1781" s="137">
        <f t="shared" si="6"/>
        <v>17</v>
      </c>
      <c r="H1781" s="137"/>
      <c r="I1781" s="137"/>
      <c r="J1781" s="135"/>
      <c r="K1781" s="135"/>
      <c r="L1781" s="135"/>
      <c r="M1781" s="135"/>
      <c r="N1781" s="135"/>
      <c r="O1781" s="135"/>
      <c r="P1781" s="135"/>
      <c r="Q1781" s="135"/>
      <c r="R1781" s="135"/>
      <c r="S1781" s="135"/>
      <c r="T1781" s="135"/>
      <c r="U1781" s="135"/>
      <c r="V1781" s="135"/>
      <c r="W1781" s="135"/>
      <c r="X1781" s="135"/>
      <c r="Y1781" s="135"/>
      <c r="Z1781" s="135"/>
    </row>
    <row r="1782" spans="1:26" ht="12.75">
      <c r="A1782" s="136" t="s">
        <v>19</v>
      </c>
      <c r="B1782" s="136" t="s">
        <v>19</v>
      </c>
      <c r="C1782" s="136" t="s">
        <v>19</v>
      </c>
      <c r="D1782" s="136" t="s">
        <v>7484</v>
      </c>
      <c r="E1782" s="136" t="s">
        <v>615</v>
      </c>
      <c r="F1782" s="136">
        <v>185</v>
      </c>
      <c r="G1782" s="137">
        <f t="shared" si="6"/>
        <v>18</v>
      </c>
      <c r="H1782" s="137"/>
      <c r="I1782" s="137"/>
      <c r="J1782" s="135"/>
      <c r="K1782" s="135"/>
      <c r="L1782" s="135"/>
      <c r="M1782" s="135"/>
      <c r="N1782" s="135"/>
      <c r="O1782" s="135"/>
      <c r="P1782" s="135"/>
      <c r="Q1782" s="135"/>
      <c r="R1782" s="135"/>
      <c r="S1782" s="135"/>
      <c r="T1782" s="135"/>
      <c r="U1782" s="135"/>
      <c r="V1782" s="135"/>
      <c r="W1782" s="135"/>
      <c r="X1782" s="135"/>
      <c r="Y1782" s="135"/>
      <c r="Z1782" s="135"/>
    </row>
    <row r="1783" spans="1:26" ht="12.75">
      <c r="A1783" s="136" t="s">
        <v>19</v>
      </c>
      <c r="B1783" s="136" t="s">
        <v>19</v>
      </c>
      <c r="C1783" s="136" t="s">
        <v>19</v>
      </c>
      <c r="D1783" s="136" t="s">
        <v>1656</v>
      </c>
      <c r="E1783" s="136" t="s">
        <v>615</v>
      </c>
      <c r="F1783" s="136">
        <v>150</v>
      </c>
      <c r="G1783" s="137">
        <f t="shared" si="6"/>
        <v>19</v>
      </c>
      <c r="H1783" s="137"/>
      <c r="I1783" s="137"/>
      <c r="J1783" s="135"/>
      <c r="K1783" s="135"/>
      <c r="L1783" s="135"/>
      <c r="M1783" s="135"/>
      <c r="N1783" s="135"/>
      <c r="O1783" s="135"/>
      <c r="P1783" s="135"/>
      <c r="Q1783" s="135"/>
      <c r="R1783" s="135"/>
      <c r="S1783" s="135"/>
      <c r="T1783" s="135"/>
      <c r="U1783" s="135"/>
      <c r="V1783" s="135"/>
      <c r="W1783" s="135"/>
      <c r="X1783" s="135"/>
      <c r="Y1783" s="135"/>
      <c r="Z1783" s="135"/>
    </row>
    <row r="1784" spans="1:26" ht="12.75">
      <c r="A1784" s="136" t="s">
        <v>19</v>
      </c>
      <c r="B1784" s="136" t="s">
        <v>19</v>
      </c>
      <c r="C1784" s="136" t="s">
        <v>19</v>
      </c>
      <c r="D1784" s="136" t="s">
        <v>7617</v>
      </c>
      <c r="E1784" s="136" t="s">
        <v>615</v>
      </c>
      <c r="F1784" s="136">
        <v>148</v>
      </c>
      <c r="G1784" s="137">
        <f t="shared" si="6"/>
        <v>20</v>
      </c>
      <c r="H1784" s="137"/>
      <c r="I1784" s="137"/>
      <c r="J1784" s="135"/>
      <c r="K1784" s="135"/>
      <c r="L1784" s="135"/>
      <c r="M1784" s="135"/>
      <c r="N1784" s="135"/>
      <c r="O1784" s="135"/>
      <c r="P1784" s="135"/>
      <c r="Q1784" s="135"/>
      <c r="R1784" s="135"/>
      <c r="S1784" s="135"/>
      <c r="T1784" s="135"/>
      <c r="U1784" s="135"/>
      <c r="V1784" s="135"/>
      <c r="W1784" s="135"/>
      <c r="X1784" s="135"/>
      <c r="Y1784" s="135"/>
      <c r="Z1784" s="135"/>
    </row>
    <row r="1785" spans="1:26" ht="12.75">
      <c r="A1785" s="136" t="s">
        <v>19</v>
      </c>
      <c r="B1785" s="136" t="s">
        <v>19</v>
      </c>
      <c r="C1785" s="136" t="s">
        <v>19</v>
      </c>
      <c r="D1785" s="136" t="s">
        <v>7614</v>
      </c>
      <c r="E1785" s="136" t="s">
        <v>7614</v>
      </c>
      <c r="F1785" s="136">
        <v>126</v>
      </c>
      <c r="G1785" s="137">
        <f t="shared" si="6"/>
        <v>21</v>
      </c>
      <c r="H1785" s="137"/>
      <c r="I1785" s="137"/>
      <c r="J1785" s="135"/>
      <c r="K1785" s="135"/>
      <c r="L1785" s="135"/>
      <c r="M1785" s="135"/>
      <c r="N1785" s="135"/>
      <c r="O1785" s="135"/>
      <c r="P1785" s="135"/>
      <c r="Q1785" s="135"/>
      <c r="R1785" s="135"/>
      <c r="S1785" s="135"/>
      <c r="T1785" s="135"/>
      <c r="U1785" s="135"/>
      <c r="V1785" s="135"/>
      <c r="W1785" s="135"/>
      <c r="X1785" s="135"/>
      <c r="Y1785" s="135"/>
      <c r="Z1785" s="135"/>
    </row>
    <row r="1786" spans="1:26" ht="12.75">
      <c r="A1786" s="136" t="s">
        <v>19</v>
      </c>
      <c r="B1786" s="136" t="s">
        <v>19</v>
      </c>
      <c r="C1786" s="136" t="s">
        <v>19</v>
      </c>
      <c r="D1786" s="136" t="s">
        <v>7527</v>
      </c>
      <c r="E1786" s="136" t="s">
        <v>615</v>
      </c>
      <c r="F1786" s="136">
        <v>75</v>
      </c>
      <c r="G1786" s="137">
        <f t="shared" si="6"/>
        <v>24</v>
      </c>
      <c r="H1786" s="137"/>
      <c r="I1786" s="137"/>
      <c r="J1786" s="135"/>
      <c r="K1786" s="135"/>
      <c r="L1786" s="135"/>
      <c r="M1786" s="135"/>
      <c r="N1786" s="135"/>
      <c r="O1786" s="135"/>
      <c r="P1786" s="135"/>
      <c r="Q1786" s="135"/>
      <c r="R1786" s="135"/>
      <c r="S1786" s="135"/>
      <c r="T1786" s="135"/>
      <c r="U1786" s="135"/>
      <c r="V1786" s="135"/>
      <c r="W1786" s="135"/>
      <c r="X1786" s="135"/>
      <c r="Y1786" s="135"/>
      <c r="Z1786" s="135"/>
    </row>
    <row r="1787" spans="1:26" ht="12.75">
      <c r="A1787" s="136" t="s">
        <v>19</v>
      </c>
      <c r="B1787" s="136" t="s">
        <v>19</v>
      </c>
      <c r="C1787" s="136" t="s">
        <v>182</v>
      </c>
      <c r="D1787" s="136" t="s">
        <v>1669</v>
      </c>
      <c r="E1787" s="136" t="s">
        <v>615</v>
      </c>
      <c r="F1787" s="136">
        <v>400</v>
      </c>
      <c r="G1787" s="137">
        <f t="shared" ref="G1787:G2041" si="7">COUNTIFS($C:$C,C1787,$F:$F,"&gt;"&amp;F1787)
 + COUNTIFS($C$2:C1787,C1787,$F$2:F1787,F1787)</f>
        <v>1</v>
      </c>
      <c r="H1787" s="137"/>
      <c r="I1787" s="137"/>
      <c r="J1787" s="135"/>
      <c r="K1787" s="135"/>
      <c r="L1787" s="135"/>
      <c r="M1787" s="135"/>
      <c r="N1787" s="135"/>
      <c r="O1787" s="135"/>
      <c r="P1787" s="135"/>
      <c r="Q1787" s="135"/>
      <c r="R1787" s="135"/>
      <c r="S1787" s="135"/>
      <c r="T1787" s="135"/>
      <c r="U1787" s="135"/>
      <c r="V1787" s="135"/>
      <c r="W1787" s="135"/>
      <c r="X1787" s="135"/>
      <c r="Y1787" s="135"/>
      <c r="Z1787" s="135"/>
    </row>
    <row r="1788" spans="1:26" ht="12.75">
      <c r="A1788" s="136" t="s">
        <v>19</v>
      </c>
      <c r="B1788" s="136" t="s">
        <v>19</v>
      </c>
      <c r="C1788" s="136" t="s">
        <v>182</v>
      </c>
      <c r="D1788" s="136" t="s">
        <v>7619</v>
      </c>
      <c r="E1788" s="136" t="s">
        <v>615</v>
      </c>
      <c r="F1788" s="136">
        <v>211</v>
      </c>
      <c r="G1788" s="137">
        <f t="shared" si="7"/>
        <v>2</v>
      </c>
      <c r="H1788" s="137"/>
      <c r="I1788" s="137"/>
      <c r="J1788" s="135"/>
      <c r="K1788" s="135"/>
      <c r="L1788" s="135"/>
      <c r="M1788" s="135"/>
      <c r="N1788" s="135"/>
      <c r="O1788" s="135"/>
      <c r="P1788" s="135"/>
      <c r="Q1788" s="135"/>
      <c r="R1788" s="135"/>
      <c r="S1788" s="135"/>
      <c r="T1788" s="135"/>
      <c r="U1788" s="135"/>
      <c r="V1788" s="135"/>
      <c r="W1788" s="135"/>
      <c r="X1788" s="135"/>
      <c r="Y1788" s="135"/>
      <c r="Z1788" s="135"/>
    </row>
    <row r="1789" spans="1:26" ht="12.75">
      <c r="A1789" s="136" t="s">
        <v>19</v>
      </c>
      <c r="B1789" s="136" t="s">
        <v>19</v>
      </c>
      <c r="C1789" s="136" t="s">
        <v>182</v>
      </c>
      <c r="D1789" s="136" t="s">
        <v>7662</v>
      </c>
      <c r="E1789" s="136" t="s">
        <v>594</v>
      </c>
      <c r="F1789" s="136">
        <v>174</v>
      </c>
      <c r="G1789" s="137">
        <f t="shared" si="7"/>
        <v>3</v>
      </c>
      <c r="H1789" s="137"/>
      <c r="I1789" s="137"/>
      <c r="J1789" s="135"/>
      <c r="K1789" s="135"/>
      <c r="L1789" s="135"/>
      <c r="M1789" s="135"/>
      <c r="N1789" s="135"/>
      <c r="O1789" s="135"/>
      <c r="P1789" s="135"/>
      <c r="Q1789" s="135"/>
      <c r="R1789" s="135"/>
      <c r="S1789" s="135"/>
      <c r="T1789" s="135"/>
      <c r="U1789" s="135"/>
      <c r="V1789" s="135"/>
      <c r="W1789" s="135"/>
      <c r="X1789" s="135"/>
      <c r="Y1789" s="135"/>
      <c r="Z1789" s="135"/>
    </row>
    <row r="1790" spans="1:26" ht="12.75">
      <c r="A1790" s="136" t="s">
        <v>19</v>
      </c>
      <c r="B1790" s="136" t="s">
        <v>19</v>
      </c>
      <c r="C1790" s="136" t="s">
        <v>182</v>
      </c>
      <c r="D1790" s="136" t="s">
        <v>1674</v>
      </c>
      <c r="E1790" s="136" t="s">
        <v>615</v>
      </c>
      <c r="F1790" s="136">
        <v>156</v>
      </c>
      <c r="G1790" s="137">
        <f t="shared" si="7"/>
        <v>4</v>
      </c>
      <c r="H1790" s="137"/>
      <c r="I1790" s="137"/>
      <c r="J1790" s="135"/>
      <c r="K1790" s="135"/>
      <c r="L1790" s="135"/>
      <c r="M1790" s="135"/>
      <c r="N1790" s="135"/>
      <c r="O1790" s="135"/>
      <c r="P1790" s="135"/>
      <c r="Q1790" s="135"/>
      <c r="R1790" s="135"/>
      <c r="S1790" s="135"/>
      <c r="T1790" s="135"/>
      <c r="U1790" s="135"/>
      <c r="V1790" s="135"/>
      <c r="W1790" s="135"/>
      <c r="X1790" s="135"/>
      <c r="Y1790" s="135"/>
      <c r="Z1790" s="135"/>
    </row>
    <row r="1791" spans="1:26" ht="12.75">
      <c r="A1791" s="136" t="s">
        <v>19</v>
      </c>
      <c r="B1791" s="136" t="s">
        <v>19</v>
      </c>
      <c r="C1791" s="136" t="s">
        <v>182</v>
      </c>
      <c r="D1791" s="136" t="s">
        <v>114</v>
      </c>
      <c r="E1791" s="136" t="s">
        <v>85</v>
      </c>
      <c r="F1791" s="136">
        <v>98</v>
      </c>
      <c r="G1791" s="137">
        <f t="shared" si="7"/>
        <v>5</v>
      </c>
      <c r="H1791" s="137"/>
      <c r="I1791" s="137"/>
      <c r="J1791" s="135"/>
      <c r="K1791" s="135"/>
      <c r="L1791" s="135"/>
      <c r="M1791" s="135"/>
      <c r="N1791" s="135"/>
      <c r="O1791" s="135"/>
      <c r="P1791" s="135"/>
      <c r="Q1791" s="135"/>
      <c r="R1791" s="135"/>
      <c r="S1791" s="135"/>
      <c r="T1791" s="135"/>
      <c r="U1791" s="135"/>
      <c r="V1791" s="135"/>
      <c r="W1791" s="135"/>
      <c r="X1791" s="135"/>
      <c r="Y1791" s="135"/>
      <c r="Z1791" s="135"/>
    </row>
    <row r="1792" spans="1:26" ht="12.75">
      <c r="A1792" s="136" t="s">
        <v>19</v>
      </c>
      <c r="B1792" s="136" t="s">
        <v>19</v>
      </c>
      <c r="C1792" s="136" t="s">
        <v>182</v>
      </c>
      <c r="D1792" s="136" t="s">
        <v>107</v>
      </c>
      <c r="E1792" s="136" t="s">
        <v>594</v>
      </c>
      <c r="F1792" s="136">
        <v>92</v>
      </c>
      <c r="G1792" s="137">
        <f t="shared" si="7"/>
        <v>6</v>
      </c>
      <c r="H1792" s="137"/>
      <c r="I1792" s="137"/>
      <c r="J1792" s="135"/>
      <c r="K1792" s="135"/>
      <c r="L1792" s="135"/>
      <c r="M1792" s="135"/>
      <c r="N1792" s="135"/>
      <c r="O1792" s="135"/>
      <c r="P1792" s="135"/>
      <c r="Q1792" s="135"/>
      <c r="R1792" s="135"/>
      <c r="S1792" s="135"/>
      <c r="T1792" s="135"/>
      <c r="U1792" s="135"/>
      <c r="V1792" s="135"/>
      <c r="W1792" s="135"/>
      <c r="X1792" s="135"/>
      <c r="Y1792" s="135"/>
      <c r="Z1792" s="135"/>
    </row>
    <row r="1793" spans="1:26" ht="12.75">
      <c r="A1793" s="136" t="s">
        <v>19</v>
      </c>
      <c r="B1793" s="136" t="s">
        <v>19</v>
      </c>
      <c r="C1793" s="136" t="s">
        <v>182</v>
      </c>
      <c r="D1793" s="136" t="s">
        <v>7621</v>
      </c>
      <c r="E1793" s="136" t="s">
        <v>7621</v>
      </c>
      <c r="F1793" s="136">
        <v>22</v>
      </c>
      <c r="G1793" s="137">
        <f t="shared" si="7"/>
        <v>7</v>
      </c>
      <c r="H1793" s="137"/>
      <c r="I1793" s="137"/>
      <c r="J1793" s="135"/>
      <c r="K1793" s="135"/>
      <c r="L1793" s="135"/>
      <c r="M1793" s="135"/>
      <c r="N1793" s="135"/>
      <c r="O1793" s="135"/>
      <c r="P1793" s="135"/>
      <c r="Q1793" s="135"/>
      <c r="R1793" s="135"/>
      <c r="S1793" s="135"/>
      <c r="T1793" s="135"/>
      <c r="U1793" s="135"/>
      <c r="V1793" s="135"/>
      <c r="W1793" s="135"/>
      <c r="X1793" s="135"/>
      <c r="Y1793" s="135"/>
      <c r="Z1793" s="135"/>
    </row>
    <row r="1794" spans="1:26" ht="12.75">
      <c r="A1794" s="136" t="s">
        <v>19</v>
      </c>
      <c r="B1794" s="136" t="s">
        <v>19</v>
      </c>
      <c r="C1794" s="136" t="s">
        <v>182</v>
      </c>
      <c r="D1794" s="136" t="s">
        <v>7633</v>
      </c>
      <c r="E1794" s="136" t="s">
        <v>7633</v>
      </c>
      <c r="F1794" s="136">
        <v>20</v>
      </c>
      <c r="G1794" s="137">
        <f t="shared" si="7"/>
        <v>8</v>
      </c>
      <c r="H1794" s="137"/>
      <c r="I1794" s="137"/>
      <c r="J1794" s="135"/>
      <c r="K1794" s="135"/>
      <c r="L1794" s="135"/>
      <c r="M1794" s="135"/>
      <c r="N1794" s="135"/>
      <c r="O1794" s="135"/>
      <c r="P1794" s="135"/>
      <c r="Q1794" s="135"/>
      <c r="R1794" s="135"/>
      <c r="S1794" s="135"/>
      <c r="T1794" s="135"/>
      <c r="U1794" s="135"/>
      <c r="V1794" s="135"/>
      <c r="W1794" s="135"/>
      <c r="X1794" s="135"/>
      <c r="Y1794" s="135"/>
      <c r="Z1794" s="135"/>
    </row>
    <row r="1795" spans="1:26" ht="12.75">
      <c r="A1795" s="136" t="s">
        <v>19</v>
      </c>
      <c r="B1795" s="136" t="s">
        <v>19</v>
      </c>
      <c r="C1795" s="136" t="s">
        <v>182</v>
      </c>
      <c r="D1795" s="136" t="s">
        <v>467</v>
      </c>
      <c r="E1795" s="136" t="s">
        <v>85</v>
      </c>
      <c r="F1795" s="136">
        <v>5</v>
      </c>
      <c r="G1795" s="137">
        <f t="shared" si="7"/>
        <v>9</v>
      </c>
      <c r="H1795" s="137"/>
      <c r="I1795" s="137"/>
      <c r="J1795" s="135"/>
      <c r="K1795" s="135"/>
      <c r="L1795" s="135"/>
      <c r="M1795" s="135"/>
      <c r="N1795" s="135"/>
      <c r="O1795" s="135"/>
      <c r="P1795" s="135"/>
      <c r="Q1795" s="135"/>
      <c r="R1795" s="135"/>
      <c r="S1795" s="135"/>
      <c r="T1795" s="135"/>
      <c r="U1795" s="135"/>
      <c r="V1795" s="135"/>
      <c r="W1795" s="135"/>
      <c r="X1795" s="135"/>
      <c r="Y1795" s="135"/>
      <c r="Z1795" s="135"/>
    </row>
    <row r="1796" spans="1:26" ht="12.75">
      <c r="A1796" s="136" t="s">
        <v>19</v>
      </c>
      <c r="B1796" s="136" t="s">
        <v>19</v>
      </c>
      <c r="C1796" s="136" t="s">
        <v>182</v>
      </c>
      <c r="D1796" s="136" t="s">
        <v>86</v>
      </c>
      <c r="E1796" s="136" t="s">
        <v>86</v>
      </c>
      <c r="F1796" s="136">
        <v>5</v>
      </c>
      <c r="G1796" s="137">
        <f t="shared" si="7"/>
        <v>10</v>
      </c>
      <c r="H1796" s="137"/>
      <c r="I1796" s="137"/>
      <c r="J1796" s="135"/>
      <c r="K1796" s="135"/>
      <c r="L1796" s="135"/>
      <c r="M1796" s="135"/>
      <c r="N1796" s="135"/>
      <c r="O1796" s="135"/>
      <c r="P1796" s="135"/>
      <c r="Q1796" s="135"/>
      <c r="R1796" s="135"/>
      <c r="S1796" s="135"/>
      <c r="T1796" s="135"/>
      <c r="U1796" s="135"/>
      <c r="V1796" s="135"/>
      <c r="W1796" s="135"/>
      <c r="X1796" s="135"/>
      <c r="Y1796" s="135"/>
      <c r="Z1796" s="135"/>
    </row>
    <row r="1797" spans="1:26" ht="12.75">
      <c r="A1797" s="136" t="s">
        <v>19</v>
      </c>
      <c r="B1797" s="136" t="s">
        <v>19</v>
      </c>
      <c r="C1797" s="136" t="s">
        <v>184</v>
      </c>
      <c r="D1797" s="136" t="s">
        <v>139</v>
      </c>
      <c r="E1797" s="136" t="s">
        <v>594</v>
      </c>
      <c r="F1797" s="136">
        <v>507</v>
      </c>
      <c r="G1797" s="137">
        <f t="shared" si="7"/>
        <v>1</v>
      </c>
      <c r="H1797" s="137"/>
      <c r="I1797" s="137"/>
      <c r="J1797" s="135"/>
      <c r="K1797" s="135"/>
      <c r="L1797" s="135"/>
      <c r="M1797" s="135"/>
      <c r="N1797" s="135"/>
      <c r="O1797" s="135"/>
      <c r="P1797" s="135"/>
      <c r="Q1797" s="135"/>
      <c r="R1797" s="135"/>
      <c r="S1797" s="135"/>
      <c r="T1797" s="135"/>
      <c r="U1797" s="135"/>
      <c r="V1797" s="135"/>
      <c r="W1797" s="135"/>
      <c r="X1797" s="135"/>
      <c r="Y1797" s="135"/>
      <c r="Z1797" s="135"/>
    </row>
    <row r="1798" spans="1:26" ht="25.5">
      <c r="A1798" s="136" t="s">
        <v>19</v>
      </c>
      <c r="B1798" s="136" t="s">
        <v>19</v>
      </c>
      <c r="C1798" s="136" t="s">
        <v>184</v>
      </c>
      <c r="D1798" s="136" t="s">
        <v>7663</v>
      </c>
      <c r="E1798" s="136" t="s">
        <v>86</v>
      </c>
      <c r="F1798" s="136">
        <v>348</v>
      </c>
      <c r="G1798" s="137">
        <f t="shared" si="7"/>
        <v>2</v>
      </c>
      <c r="H1798" s="137"/>
      <c r="I1798" s="137"/>
      <c r="J1798" s="135"/>
      <c r="K1798" s="135"/>
      <c r="L1798" s="135"/>
      <c r="M1798" s="135"/>
      <c r="N1798" s="135"/>
      <c r="O1798" s="135"/>
      <c r="P1798" s="135"/>
      <c r="Q1798" s="135"/>
      <c r="R1798" s="135"/>
      <c r="S1798" s="135"/>
      <c r="T1798" s="135"/>
      <c r="U1798" s="135"/>
      <c r="V1798" s="135"/>
      <c r="W1798" s="135"/>
      <c r="X1798" s="135"/>
      <c r="Y1798" s="135"/>
      <c r="Z1798" s="135"/>
    </row>
    <row r="1799" spans="1:26" ht="12.75">
      <c r="A1799" s="136" t="s">
        <v>19</v>
      </c>
      <c r="B1799" s="136" t="s">
        <v>19</v>
      </c>
      <c r="C1799" s="136" t="s">
        <v>184</v>
      </c>
      <c r="D1799" s="136" t="s">
        <v>7619</v>
      </c>
      <c r="E1799" s="136" t="s">
        <v>615</v>
      </c>
      <c r="F1799" s="136">
        <v>291</v>
      </c>
      <c r="G1799" s="137">
        <f t="shared" si="7"/>
        <v>3</v>
      </c>
      <c r="H1799" s="137"/>
      <c r="I1799" s="137"/>
      <c r="J1799" s="135"/>
      <c r="K1799" s="135"/>
      <c r="L1799" s="135"/>
      <c r="M1799" s="135"/>
      <c r="N1799" s="135"/>
      <c r="O1799" s="135"/>
      <c r="P1799" s="135"/>
      <c r="Q1799" s="135"/>
      <c r="R1799" s="135"/>
      <c r="S1799" s="135"/>
      <c r="T1799" s="135"/>
      <c r="U1799" s="135"/>
      <c r="V1799" s="135"/>
      <c r="W1799" s="135"/>
      <c r="X1799" s="135"/>
      <c r="Y1799" s="135"/>
      <c r="Z1799" s="135"/>
    </row>
    <row r="1800" spans="1:26" ht="12.75">
      <c r="A1800" s="136" t="s">
        <v>19</v>
      </c>
      <c r="B1800" s="136" t="s">
        <v>19</v>
      </c>
      <c r="C1800" s="136" t="s">
        <v>184</v>
      </c>
      <c r="D1800" s="136" t="s">
        <v>7657</v>
      </c>
      <c r="E1800" s="136" t="s">
        <v>85</v>
      </c>
      <c r="F1800" s="136">
        <v>170</v>
      </c>
      <c r="G1800" s="137">
        <f t="shared" si="7"/>
        <v>4</v>
      </c>
      <c r="H1800" s="137"/>
      <c r="I1800" s="137"/>
      <c r="J1800" s="135"/>
      <c r="K1800" s="135"/>
      <c r="L1800" s="135"/>
      <c r="M1800" s="135"/>
      <c r="N1800" s="135"/>
      <c r="O1800" s="135"/>
      <c r="P1800" s="135"/>
      <c r="Q1800" s="135"/>
      <c r="R1800" s="135"/>
      <c r="S1800" s="135"/>
      <c r="T1800" s="135"/>
      <c r="U1800" s="135"/>
      <c r="V1800" s="135"/>
      <c r="W1800" s="135"/>
      <c r="X1800" s="135"/>
      <c r="Y1800" s="135"/>
      <c r="Z1800" s="135"/>
    </row>
    <row r="1801" spans="1:26" ht="12.75">
      <c r="A1801" s="136" t="s">
        <v>19</v>
      </c>
      <c r="B1801" s="136" t="s">
        <v>19</v>
      </c>
      <c r="C1801" s="136" t="s">
        <v>184</v>
      </c>
      <c r="D1801" s="136" t="s">
        <v>107</v>
      </c>
      <c r="E1801" s="136" t="s">
        <v>615</v>
      </c>
      <c r="F1801" s="136">
        <v>101</v>
      </c>
      <c r="G1801" s="137">
        <f t="shared" si="7"/>
        <v>5</v>
      </c>
      <c r="H1801" s="137"/>
      <c r="I1801" s="137"/>
      <c r="J1801" s="135"/>
      <c r="K1801" s="135"/>
      <c r="L1801" s="135"/>
      <c r="M1801" s="135"/>
      <c r="N1801" s="135"/>
      <c r="O1801" s="135"/>
      <c r="P1801" s="135"/>
      <c r="Q1801" s="135"/>
      <c r="R1801" s="135"/>
      <c r="S1801" s="135"/>
      <c r="T1801" s="135"/>
      <c r="U1801" s="135"/>
      <c r="V1801" s="135"/>
      <c r="W1801" s="135"/>
      <c r="X1801" s="135"/>
      <c r="Y1801" s="135"/>
      <c r="Z1801" s="135"/>
    </row>
    <row r="1802" spans="1:26" ht="12.75">
      <c r="A1802" s="136" t="s">
        <v>19</v>
      </c>
      <c r="B1802" s="136" t="s">
        <v>19</v>
      </c>
      <c r="C1802" s="136" t="s">
        <v>184</v>
      </c>
      <c r="D1802" s="136" t="s">
        <v>7621</v>
      </c>
      <c r="E1802" s="136" t="s">
        <v>7621</v>
      </c>
      <c r="F1802" s="136">
        <v>27</v>
      </c>
      <c r="G1802" s="137">
        <f t="shared" si="7"/>
        <v>6</v>
      </c>
      <c r="H1802" s="137"/>
      <c r="I1802" s="137"/>
      <c r="J1802" s="135"/>
      <c r="K1802" s="135"/>
      <c r="L1802" s="135"/>
      <c r="M1802" s="135"/>
      <c r="N1802" s="135"/>
      <c r="O1802" s="135"/>
      <c r="P1802" s="135"/>
      <c r="Q1802" s="135"/>
      <c r="R1802" s="135"/>
      <c r="S1802" s="135"/>
      <c r="T1802" s="135"/>
      <c r="U1802" s="135"/>
      <c r="V1802" s="135"/>
      <c r="W1802" s="135"/>
      <c r="X1802" s="135"/>
      <c r="Y1802" s="135"/>
      <c r="Z1802" s="135"/>
    </row>
    <row r="1803" spans="1:26" ht="12.75">
      <c r="A1803" s="136" t="s">
        <v>19</v>
      </c>
      <c r="B1803" s="136" t="s">
        <v>19</v>
      </c>
      <c r="C1803" s="136" t="s">
        <v>184</v>
      </c>
      <c r="D1803" s="136" t="s">
        <v>7633</v>
      </c>
      <c r="E1803" s="136" t="s">
        <v>7633</v>
      </c>
      <c r="F1803" s="136">
        <v>20</v>
      </c>
      <c r="G1803" s="137">
        <f t="shared" si="7"/>
        <v>7</v>
      </c>
      <c r="H1803" s="137"/>
      <c r="I1803" s="137"/>
      <c r="J1803" s="135"/>
      <c r="K1803" s="135"/>
      <c r="L1803" s="135"/>
      <c r="M1803" s="135"/>
      <c r="N1803" s="135"/>
      <c r="O1803" s="135"/>
      <c r="P1803" s="135"/>
      <c r="Q1803" s="135"/>
      <c r="R1803" s="135"/>
      <c r="S1803" s="135"/>
      <c r="T1803" s="135"/>
      <c r="U1803" s="135"/>
      <c r="V1803" s="135"/>
      <c r="W1803" s="135"/>
      <c r="X1803" s="135"/>
      <c r="Y1803" s="135"/>
      <c r="Z1803" s="135"/>
    </row>
    <row r="1804" spans="1:26" ht="12.75">
      <c r="A1804" s="136" t="s">
        <v>19</v>
      </c>
      <c r="B1804" s="136" t="s">
        <v>19</v>
      </c>
      <c r="C1804" s="136" t="s">
        <v>184</v>
      </c>
      <c r="D1804" s="136" t="s">
        <v>114</v>
      </c>
      <c r="E1804" s="136" t="s">
        <v>85</v>
      </c>
      <c r="F1804" s="136">
        <v>10</v>
      </c>
      <c r="G1804" s="137">
        <f t="shared" si="7"/>
        <v>8</v>
      </c>
      <c r="H1804" s="137"/>
      <c r="I1804" s="137"/>
      <c r="J1804" s="135"/>
      <c r="K1804" s="135"/>
      <c r="L1804" s="135"/>
      <c r="M1804" s="135"/>
      <c r="N1804" s="135"/>
      <c r="O1804" s="135"/>
      <c r="P1804" s="135"/>
      <c r="Q1804" s="135"/>
      <c r="R1804" s="135"/>
      <c r="S1804" s="135"/>
      <c r="T1804" s="135"/>
      <c r="U1804" s="135"/>
      <c r="V1804" s="135"/>
      <c r="W1804" s="135"/>
      <c r="X1804" s="135"/>
      <c r="Y1804" s="135"/>
      <c r="Z1804" s="135"/>
    </row>
    <row r="1805" spans="1:26" ht="12.75">
      <c r="A1805" s="136" t="s">
        <v>19</v>
      </c>
      <c r="B1805" s="136" t="s">
        <v>19</v>
      </c>
      <c r="C1805" s="136" t="s">
        <v>7664</v>
      </c>
      <c r="D1805" s="136" t="s">
        <v>205</v>
      </c>
      <c r="E1805" s="136" t="s">
        <v>615</v>
      </c>
      <c r="F1805" s="136">
        <v>1650</v>
      </c>
      <c r="G1805" s="137">
        <f t="shared" si="7"/>
        <v>1</v>
      </c>
      <c r="H1805" s="137"/>
      <c r="I1805" s="137"/>
      <c r="J1805" s="135"/>
      <c r="K1805" s="135"/>
      <c r="L1805" s="135"/>
      <c r="M1805" s="135"/>
      <c r="N1805" s="135"/>
      <c r="O1805" s="135"/>
      <c r="P1805" s="135"/>
      <c r="Q1805" s="135"/>
      <c r="R1805" s="135"/>
      <c r="S1805" s="135"/>
      <c r="T1805" s="135"/>
      <c r="U1805" s="135"/>
      <c r="V1805" s="135"/>
      <c r="W1805" s="135"/>
      <c r="X1805" s="135"/>
      <c r="Y1805" s="135"/>
      <c r="Z1805" s="135"/>
    </row>
    <row r="1806" spans="1:26" ht="12.75">
      <c r="A1806" s="136" t="s">
        <v>19</v>
      </c>
      <c r="B1806" s="136" t="s">
        <v>19</v>
      </c>
      <c r="C1806" s="136" t="s">
        <v>7664</v>
      </c>
      <c r="D1806" s="136" t="s">
        <v>139</v>
      </c>
      <c r="E1806" s="136" t="s">
        <v>594</v>
      </c>
      <c r="F1806" s="136">
        <v>815</v>
      </c>
      <c r="G1806" s="137">
        <f t="shared" si="7"/>
        <v>2</v>
      </c>
      <c r="H1806" s="137"/>
      <c r="I1806" s="137"/>
      <c r="J1806" s="135"/>
      <c r="K1806" s="135"/>
      <c r="L1806" s="135"/>
      <c r="M1806" s="135"/>
      <c r="N1806" s="135"/>
      <c r="O1806" s="135"/>
      <c r="P1806" s="135"/>
      <c r="Q1806" s="135"/>
      <c r="R1806" s="135"/>
      <c r="S1806" s="135"/>
      <c r="T1806" s="135"/>
      <c r="U1806" s="135"/>
      <c r="V1806" s="135"/>
      <c r="W1806" s="135"/>
      <c r="X1806" s="135"/>
      <c r="Y1806" s="135"/>
      <c r="Z1806" s="135"/>
    </row>
    <row r="1807" spans="1:26" ht="12.75">
      <c r="A1807" s="136" t="s">
        <v>19</v>
      </c>
      <c r="B1807" s="136" t="s">
        <v>19</v>
      </c>
      <c r="C1807" s="136" t="s">
        <v>7664</v>
      </c>
      <c r="D1807" s="136" t="s">
        <v>7613</v>
      </c>
      <c r="E1807" s="136" t="s">
        <v>85</v>
      </c>
      <c r="F1807" s="136">
        <v>279</v>
      </c>
      <c r="G1807" s="137">
        <f t="shared" si="7"/>
        <v>3</v>
      </c>
      <c r="H1807" s="137"/>
      <c r="I1807" s="137"/>
      <c r="J1807" s="135"/>
      <c r="K1807" s="135"/>
      <c r="L1807" s="135"/>
      <c r="M1807" s="135"/>
      <c r="N1807" s="135"/>
      <c r="O1807" s="135"/>
      <c r="P1807" s="135"/>
      <c r="Q1807" s="135"/>
      <c r="R1807" s="135"/>
      <c r="S1807" s="135"/>
      <c r="T1807" s="135"/>
      <c r="U1807" s="135"/>
      <c r="V1807" s="135"/>
      <c r="W1807" s="135"/>
      <c r="X1807" s="135"/>
      <c r="Y1807" s="135"/>
      <c r="Z1807" s="135"/>
    </row>
    <row r="1808" spans="1:26" ht="12.75">
      <c r="A1808" s="136" t="s">
        <v>19</v>
      </c>
      <c r="B1808" s="136" t="s">
        <v>19</v>
      </c>
      <c r="C1808" s="136" t="s">
        <v>7664</v>
      </c>
      <c r="D1808" s="136" t="s">
        <v>7544</v>
      </c>
      <c r="E1808" s="136" t="s">
        <v>615</v>
      </c>
      <c r="F1808" s="136">
        <v>185</v>
      </c>
      <c r="G1808" s="137">
        <f t="shared" si="7"/>
        <v>4</v>
      </c>
      <c r="H1808" s="137"/>
      <c r="I1808" s="137"/>
      <c r="J1808" s="135"/>
      <c r="K1808" s="135"/>
      <c r="L1808" s="135"/>
      <c r="M1808" s="135"/>
      <c r="N1808" s="135"/>
      <c r="O1808" s="135"/>
      <c r="P1808" s="135"/>
      <c r="Q1808" s="135"/>
      <c r="R1808" s="135"/>
      <c r="S1808" s="135"/>
      <c r="T1808" s="135"/>
      <c r="U1808" s="135"/>
      <c r="V1808" s="135"/>
      <c r="W1808" s="135"/>
      <c r="X1808" s="135"/>
      <c r="Y1808" s="135"/>
      <c r="Z1808" s="135"/>
    </row>
    <row r="1809" spans="1:26" ht="12.75">
      <c r="A1809" s="136" t="s">
        <v>19</v>
      </c>
      <c r="B1809" s="136" t="s">
        <v>19</v>
      </c>
      <c r="C1809" s="136" t="s">
        <v>7664</v>
      </c>
      <c r="D1809" s="136" t="s">
        <v>7615</v>
      </c>
      <c r="E1809" s="136" t="s">
        <v>7615</v>
      </c>
      <c r="F1809" s="136">
        <v>68</v>
      </c>
      <c r="G1809" s="137">
        <f t="shared" si="7"/>
        <v>5</v>
      </c>
      <c r="H1809" s="137"/>
      <c r="I1809" s="137"/>
      <c r="J1809" s="135"/>
      <c r="K1809" s="135"/>
      <c r="L1809" s="135"/>
      <c r="M1809" s="135"/>
      <c r="N1809" s="135"/>
      <c r="O1809" s="135"/>
      <c r="P1809" s="135"/>
      <c r="Q1809" s="135"/>
      <c r="R1809" s="135"/>
      <c r="S1809" s="135"/>
      <c r="T1809" s="135"/>
      <c r="U1809" s="135"/>
      <c r="V1809" s="135"/>
      <c r="W1809" s="135"/>
      <c r="X1809" s="135"/>
      <c r="Y1809" s="135"/>
      <c r="Z1809" s="135"/>
    </row>
    <row r="1810" spans="1:26" ht="12.75">
      <c r="A1810" s="136" t="s">
        <v>19</v>
      </c>
      <c r="B1810" s="136" t="s">
        <v>19</v>
      </c>
      <c r="C1810" s="136" t="s">
        <v>7664</v>
      </c>
      <c r="D1810" s="136" t="s">
        <v>7619</v>
      </c>
      <c r="E1810" s="136" t="s">
        <v>615</v>
      </c>
      <c r="F1810" s="136">
        <v>63</v>
      </c>
      <c r="G1810" s="137">
        <f t="shared" si="7"/>
        <v>6</v>
      </c>
      <c r="H1810" s="137"/>
      <c r="I1810" s="137"/>
      <c r="J1810" s="135"/>
      <c r="K1810" s="135"/>
      <c r="L1810" s="135"/>
      <c r="M1810" s="135"/>
      <c r="N1810" s="135"/>
      <c r="O1810" s="135"/>
      <c r="P1810" s="135"/>
      <c r="Q1810" s="135"/>
      <c r="R1810" s="135"/>
      <c r="S1810" s="135"/>
      <c r="T1810" s="135"/>
      <c r="U1810" s="135"/>
      <c r="V1810" s="135"/>
      <c r="W1810" s="135"/>
      <c r="X1810" s="135"/>
      <c r="Y1810" s="135"/>
      <c r="Z1810" s="135"/>
    </row>
    <row r="1811" spans="1:26" ht="12.75">
      <c r="A1811" s="136" t="s">
        <v>19</v>
      </c>
      <c r="B1811" s="136" t="s">
        <v>19</v>
      </c>
      <c r="C1811" s="136" t="s">
        <v>7664</v>
      </c>
      <c r="D1811" s="136" t="s">
        <v>7614</v>
      </c>
      <c r="E1811" s="136" t="s">
        <v>7614</v>
      </c>
      <c r="F1811" s="136">
        <v>58</v>
      </c>
      <c r="G1811" s="137">
        <f t="shared" si="7"/>
        <v>7</v>
      </c>
      <c r="H1811" s="137"/>
      <c r="I1811" s="137"/>
      <c r="J1811" s="135"/>
      <c r="K1811" s="135"/>
      <c r="L1811" s="135"/>
      <c r="M1811" s="135"/>
      <c r="N1811" s="135"/>
      <c r="O1811" s="135"/>
      <c r="P1811" s="135"/>
      <c r="Q1811" s="135"/>
      <c r="R1811" s="135"/>
      <c r="S1811" s="135"/>
      <c r="T1811" s="135"/>
      <c r="U1811" s="135"/>
      <c r="V1811" s="135"/>
      <c r="W1811" s="135"/>
      <c r="X1811" s="135"/>
      <c r="Y1811" s="135"/>
      <c r="Z1811" s="135"/>
    </row>
    <row r="1812" spans="1:26" ht="12.75">
      <c r="A1812" s="136" t="s">
        <v>19</v>
      </c>
      <c r="B1812" s="136" t="s">
        <v>19</v>
      </c>
      <c r="C1812" s="136" t="s">
        <v>7664</v>
      </c>
      <c r="D1812" s="136" t="s">
        <v>7665</v>
      </c>
      <c r="E1812" s="136" t="s">
        <v>615</v>
      </c>
      <c r="F1812" s="136">
        <v>44</v>
      </c>
      <c r="G1812" s="137">
        <f t="shared" si="7"/>
        <v>8</v>
      </c>
      <c r="H1812" s="137"/>
      <c r="I1812" s="137"/>
      <c r="J1812" s="135"/>
      <c r="K1812" s="135"/>
      <c r="L1812" s="135"/>
      <c r="M1812" s="135"/>
      <c r="N1812" s="135"/>
      <c r="O1812" s="135"/>
      <c r="P1812" s="135"/>
      <c r="Q1812" s="135"/>
      <c r="R1812" s="135"/>
      <c r="S1812" s="135"/>
      <c r="T1812" s="135"/>
      <c r="U1812" s="135"/>
      <c r="V1812" s="135"/>
      <c r="W1812" s="135"/>
      <c r="X1812" s="135"/>
      <c r="Y1812" s="135"/>
      <c r="Z1812" s="135"/>
    </row>
    <row r="1813" spans="1:26" ht="12.75">
      <c r="A1813" s="136" t="s">
        <v>19</v>
      </c>
      <c r="B1813" s="136" t="s">
        <v>19</v>
      </c>
      <c r="C1813" s="136" t="s">
        <v>7664</v>
      </c>
      <c r="D1813" s="136" t="s">
        <v>467</v>
      </c>
      <c r="E1813" s="136" t="s">
        <v>85</v>
      </c>
      <c r="F1813" s="136">
        <v>42</v>
      </c>
      <c r="G1813" s="137">
        <f t="shared" si="7"/>
        <v>9</v>
      </c>
      <c r="H1813" s="137"/>
      <c r="I1813" s="137"/>
      <c r="J1813" s="135"/>
      <c r="K1813" s="135"/>
      <c r="L1813" s="135"/>
      <c r="M1813" s="135"/>
      <c r="N1813" s="135"/>
      <c r="O1813" s="135"/>
      <c r="P1813" s="135"/>
      <c r="Q1813" s="135"/>
      <c r="R1813" s="135"/>
      <c r="S1813" s="135"/>
      <c r="T1813" s="135"/>
      <c r="U1813" s="135"/>
      <c r="V1813" s="135"/>
      <c r="W1813" s="135"/>
      <c r="X1813" s="135"/>
      <c r="Y1813" s="135"/>
      <c r="Z1813" s="135"/>
    </row>
    <row r="1814" spans="1:26" ht="12.75">
      <c r="A1814" s="136" t="s">
        <v>19</v>
      </c>
      <c r="B1814" s="136" t="s">
        <v>19</v>
      </c>
      <c r="C1814" s="136" t="s">
        <v>7664</v>
      </c>
      <c r="D1814" s="136" t="s">
        <v>1665</v>
      </c>
      <c r="E1814" s="136" t="s">
        <v>615</v>
      </c>
      <c r="F1814" s="136">
        <v>37</v>
      </c>
      <c r="G1814" s="137">
        <f t="shared" si="7"/>
        <v>10</v>
      </c>
      <c r="H1814" s="137"/>
      <c r="I1814" s="137"/>
      <c r="J1814" s="135"/>
      <c r="K1814" s="135"/>
      <c r="L1814" s="135"/>
      <c r="M1814" s="135"/>
      <c r="N1814" s="135"/>
      <c r="O1814" s="135"/>
      <c r="P1814" s="135"/>
      <c r="Q1814" s="135"/>
      <c r="R1814" s="135"/>
      <c r="S1814" s="135"/>
      <c r="T1814" s="135"/>
      <c r="U1814" s="135"/>
      <c r="V1814" s="135"/>
      <c r="W1814" s="135"/>
      <c r="X1814" s="135"/>
      <c r="Y1814" s="135"/>
      <c r="Z1814" s="135"/>
    </row>
    <row r="1815" spans="1:26" ht="12.75">
      <c r="A1815" s="136" t="s">
        <v>19</v>
      </c>
      <c r="B1815" s="136" t="s">
        <v>19</v>
      </c>
      <c r="C1815" s="136" t="s">
        <v>7664</v>
      </c>
      <c r="D1815" s="136" t="s">
        <v>7666</v>
      </c>
      <c r="E1815" s="136" t="s">
        <v>594</v>
      </c>
      <c r="F1815" s="136">
        <v>24</v>
      </c>
      <c r="G1815" s="137">
        <f t="shared" si="7"/>
        <v>11</v>
      </c>
      <c r="H1815" s="137"/>
      <c r="I1815" s="137"/>
      <c r="J1815" s="135"/>
      <c r="K1815" s="135"/>
      <c r="L1815" s="135"/>
      <c r="M1815" s="135"/>
      <c r="N1815" s="135"/>
      <c r="O1815" s="135"/>
      <c r="P1815" s="135"/>
      <c r="Q1815" s="135"/>
      <c r="R1815" s="135"/>
      <c r="S1815" s="135"/>
      <c r="T1815" s="135"/>
      <c r="U1815" s="135"/>
      <c r="V1815" s="135"/>
      <c r="W1815" s="135"/>
      <c r="X1815" s="135"/>
      <c r="Y1815" s="135"/>
      <c r="Z1815" s="135"/>
    </row>
    <row r="1816" spans="1:26" ht="12.75">
      <c r="A1816" s="136" t="s">
        <v>19</v>
      </c>
      <c r="B1816" s="136" t="s">
        <v>19</v>
      </c>
      <c r="C1816" s="136" t="s">
        <v>7667</v>
      </c>
      <c r="D1816" s="136" t="s">
        <v>107</v>
      </c>
      <c r="E1816" s="136" t="s">
        <v>594</v>
      </c>
      <c r="F1816" s="136">
        <v>1288</v>
      </c>
      <c r="G1816" s="137">
        <f t="shared" si="7"/>
        <v>1</v>
      </c>
      <c r="H1816" s="137"/>
      <c r="I1816" s="137"/>
      <c r="J1816" s="135"/>
      <c r="K1816" s="135"/>
      <c r="L1816" s="135"/>
      <c r="M1816" s="135"/>
      <c r="N1816" s="135"/>
      <c r="O1816" s="135"/>
      <c r="P1816" s="135"/>
      <c r="Q1816" s="135"/>
      <c r="R1816" s="135"/>
      <c r="S1816" s="135"/>
      <c r="T1816" s="135"/>
      <c r="U1816" s="135"/>
      <c r="V1816" s="135"/>
      <c r="W1816" s="135"/>
      <c r="X1816" s="135"/>
      <c r="Y1816" s="135"/>
      <c r="Z1816" s="135"/>
    </row>
    <row r="1817" spans="1:26" ht="12.75">
      <c r="A1817" s="136" t="s">
        <v>19</v>
      </c>
      <c r="B1817" s="136" t="s">
        <v>19</v>
      </c>
      <c r="C1817" s="136" t="s">
        <v>7667</v>
      </c>
      <c r="D1817" s="136" t="s">
        <v>139</v>
      </c>
      <c r="E1817" s="136" t="s">
        <v>594</v>
      </c>
      <c r="F1817" s="136">
        <v>591</v>
      </c>
      <c r="G1817" s="137">
        <f t="shared" si="7"/>
        <v>2</v>
      </c>
      <c r="H1817" s="137"/>
      <c r="I1817" s="137"/>
      <c r="J1817" s="135"/>
      <c r="K1817" s="135"/>
      <c r="L1817" s="135"/>
      <c r="M1817" s="135"/>
      <c r="N1817" s="135"/>
      <c r="O1817" s="135"/>
      <c r="P1817" s="135"/>
      <c r="Q1817" s="135"/>
      <c r="R1817" s="135"/>
      <c r="S1817" s="135"/>
      <c r="T1817" s="135"/>
      <c r="U1817" s="135"/>
      <c r="V1817" s="135"/>
      <c r="W1817" s="135"/>
      <c r="X1817" s="135"/>
      <c r="Y1817" s="135"/>
      <c r="Z1817" s="135"/>
    </row>
    <row r="1818" spans="1:26" ht="12.75">
      <c r="A1818" s="136" t="s">
        <v>19</v>
      </c>
      <c r="B1818" s="136" t="s">
        <v>19</v>
      </c>
      <c r="C1818" s="136" t="s">
        <v>7667</v>
      </c>
      <c r="D1818" s="136" t="s">
        <v>7551</v>
      </c>
      <c r="E1818" s="136" t="s">
        <v>615</v>
      </c>
      <c r="F1818" s="136">
        <v>279</v>
      </c>
      <c r="G1818" s="137">
        <f t="shared" si="7"/>
        <v>3</v>
      </c>
      <c r="H1818" s="137"/>
      <c r="I1818" s="137"/>
      <c r="J1818" s="135"/>
      <c r="K1818" s="135"/>
      <c r="L1818" s="135"/>
      <c r="M1818" s="135"/>
      <c r="N1818" s="135"/>
      <c r="O1818" s="135"/>
      <c r="P1818" s="135"/>
      <c r="Q1818" s="135"/>
      <c r="R1818" s="135"/>
      <c r="S1818" s="135"/>
      <c r="T1818" s="135"/>
      <c r="U1818" s="135"/>
      <c r="V1818" s="135"/>
      <c r="W1818" s="135"/>
      <c r="X1818" s="135"/>
      <c r="Y1818" s="135"/>
      <c r="Z1818" s="135"/>
    </row>
    <row r="1819" spans="1:26" ht="12.75">
      <c r="A1819" s="136" t="s">
        <v>19</v>
      </c>
      <c r="B1819" s="136" t="s">
        <v>19</v>
      </c>
      <c r="C1819" s="136" t="s">
        <v>7667</v>
      </c>
      <c r="D1819" s="136" t="s">
        <v>467</v>
      </c>
      <c r="E1819" s="136" t="s">
        <v>85</v>
      </c>
      <c r="F1819" s="136">
        <v>234</v>
      </c>
      <c r="G1819" s="137">
        <f t="shared" si="7"/>
        <v>4</v>
      </c>
      <c r="H1819" s="137"/>
      <c r="I1819" s="137"/>
      <c r="J1819" s="135"/>
      <c r="K1819" s="135"/>
      <c r="L1819" s="135"/>
      <c r="M1819" s="135"/>
      <c r="N1819" s="135"/>
      <c r="O1819" s="135"/>
      <c r="P1819" s="135"/>
      <c r="Q1819" s="135"/>
      <c r="R1819" s="135"/>
      <c r="S1819" s="135"/>
      <c r="T1819" s="135"/>
      <c r="U1819" s="135"/>
      <c r="V1819" s="135"/>
      <c r="W1819" s="135"/>
      <c r="X1819" s="135"/>
      <c r="Y1819" s="135"/>
      <c r="Z1819" s="135"/>
    </row>
    <row r="1820" spans="1:26" ht="12.75">
      <c r="A1820" s="136" t="s">
        <v>19</v>
      </c>
      <c r="B1820" s="136" t="s">
        <v>19</v>
      </c>
      <c r="C1820" s="136" t="s">
        <v>7667</v>
      </c>
      <c r="D1820" s="136" t="s">
        <v>7621</v>
      </c>
      <c r="E1820" s="136" t="s">
        <v>7621</v>
      </c>
      <c r="F1820" s="136">
        <v>121</v>
      </c>
      <c r="G1820" s="137">
        <f t="shared" si="7"/>
        <v>5</v>
      </c>
      <c r="H1820" s="137"/>
      <c r="I1820" s="137"/>
      <c r="J1820" s="135"/>
      <c r="K1820" s="135"/>
      <c r="L1820" s="135"/>
      <c r="M1820" s="135"/>
      <c r="N1820" s="135"/>
      <c r="O1820" s="135"/>
      <c r="P1820" s="135"/>
      <c r="Q1820" s="135"/>
      <c r="R1820" s="135"/>
      <c r="S1820" s="135"/>
      <c r="T1820" s="135"/>
      <c r="U1820" s="135"/>
      <c r="V1820" s="135"/>
      <c r="W1820" s="135"/>
      <c r="X1820" s="135"/>
      <c r="Y1820" s="135"/>
      <c r="Z1820" s="135"/>
    </row>
    <row r="1821" spans="1:26" ht="12.75">
      <c r="A1821" s="136" t="s">
        <v>19</v>
      </c>
      <c r="B1821" s="136" t="s">
        <v>19</v>
      </c>
      <c r="C1821" s="136" t="s">
        <v>7667</v>
      </c>
      <c r="D1821" s="136" t="s">
        <v>7633</v>
      </c>
      <c r="E1821" s="136" t="s">
        <v>7633</v>
      </c>
      <c r="F1821" s="136"/>
      <c r="G1821" s="137">
        <f t="shared" si="7"/>
        <v>0</v>
      </c>
      <c r="H1821" s="137"/>
      <c r="I1821" s="137"/>
      <c r="J1821" s="135"/>
      <c r="K1821" s="135"/>
      <c r="L1821" s="135"/>
      <c r="M1821" s="135"/>
      <c r="N1821" s="135"/>
      <c r="O1821" s="135"/>
      <c r="P1821" s="135"/>
      <c r="Q1821" s="135"/>
      <c r="R1821" s="135"/>
      <c r="S1821" s="135"/>
      <c r="T1821" s="135"/>
      <c r="U1821" s="135"/>
      <c r="V1821" s="135"/>
      <c r="W1821" s="135"/>
      <c r="X1821" s="135"/>
      <c r="Y1821" s="135"/>
      <c r="Z1821" s="135"/>
    </row>
    <row r="1822" spans="1:26" ht="12.75">
      <c r="A1822" s="136" t="s">
        <v>19</v>
      </c>
      <c r="B1822" s="136" t="s">
        <v>19</v>
      </c>
      <c r="C1822" s="136" t="s">
        <v>7667</v>
      </c>
      <c r="D1822" s="136" t="s">
        <v>114</v>
      </c>
      <c r="E1822" s="136" t="s">
        <v>85</v>
      </c>
      <c r="F1822" s="136">
        <v>110</v>
      </c>
      <c r="G1822" s="137">
        <f t="shared" si="7"/>
        <v>6</v>
      </c>
      <c r="H1822" s="137"/>
      <c r="I1822" s="137"/>
      <c r="J1822" s="135"/>
      <c r="K1822" s="135"/>
      <c r="L1822" s="135"/>
      <c r="M1822" s="135"/>
      <c r="N1822" s="135"/>
      <c r="O1822" s="135"/>
      <c r="P1822" s="135"/>
      <c r="Q1822" s="135"/>
      <c r="R1822" s="135"/>
      <c r="S1822" s="135"/>
      <c r="T1822" s="135"/>
      <c r="U1822" s="135"/>
      <c r="V1822" s="135"/>
      <c r="W1822" s="135"/>
      <c r="X1822" s="135"/>
      <c r="Y1822" s="135"/>
      <c r="Z1822" s="135"/>
    </row>
    <row r="1823" spans="1:26" ht="12.75">
      <c r="A1823" s="136" t="s">
        <v>19</v>
      </c>
      <c r="B1823" s="136" t="s">
        <v>19</v>
      </c>
      <c r="C1823" s="136" t="s">
        <v>7667</v>
      </c>
      <c r="D1823" s="136" t="s">
        <v>368</v>
      </c>
      <c r="E1823" s="136" t="s">
        <v>594</v>
      </c>
      <c r="F1823" s="136">
        <v>15</v>
      </c>
      <c r="G1823" s="137">
        <f t="shared" si="7"/>
        <v>7</v>
      </c>
      <c r="H1823" s="137"/>
      <c r="I1823" s="137"/>
      <c r="J1823" s="135"/>
      <c r="K1823" s="135"/>
      <c r="L1823" s="135"/>
      <c r="M1823" s="135"/>
      <c r="N1823" s="135"/>
      <c r="O1823" s="135"/>
      <c r="P1823" s="135"/>
      <c r="Q1823" s="135"/>
      <c r="R1823" s="135"/>
      <c r="S1823" s="135"/>
      <c r="T1823" s="135"/>
      <c r="U1823" s="135"/>
      <c r="V1823" s="135"/>
      <c r="W1823" s="135"/>
      <c r="X1823" s="135"/>
      <c r="Y1823" s="135"/>
      <c r="Z1823" s="135"/>
    </row>
    <row r="1824" spans="1:26" ht="12.75">
      <c r="A1824" s="136" t="s">
        <v>19</v>
      </c>
      <c r="B1824" s="136" t="s">
        <v>19</v>
      </c>
      <c r="C1824" s="136" t="s">
        <v>7667</v>
      </c>
      <c r="D1824" s="136" t="s">
        <v>1626</v>
      </c>
      <c r="E1824" s="136" t="s">
        <v>594</v>
      </c>
      <c r="F1824" s="136">
        <v>12</v>
      </c>
      <c r="G1824" s="137">
        <f t="shared" si="7"/>
        <v>8</v>
      </c>
      <c r="H1824" s="137"/>
      <c r="I1824" s="137"/>
      <c r="J1824" s="135"/>
      <c r="K1824" s="135"/>
      <c r="L1824" s="135"/>
      <c r="M1824" s="135"/>
      <c r="N1824" s="135"/>
      <c r="O1824" s="135"/>
      <c r="P1824" s="135"/>
      <c r="Q1824" s="135"/>
      <c r="R1824" s="135"/>
      <c r="S1824" s="135"/>
      <c r="T1824" s="135"/>
      <c r="U1824" s="135"/>
      <c r="V1824" s="135"/>
      <c r="W1824" s="135"/>
      <c r="X1824" s="135"/>
      <c r="Y1824" s="135"/>
      <c r="Z1824" s="135"/>
    </row>
    <row r="1825" spans="1:26" ht="12.75">
      <c r="A1825" s="136" t="s">
        <v>19</v>
      </c>
      <c r="B1825" s="136" t="s">
        <v>19</v>
      </c>
      <c r="C1825" s="136" t="s">
        <v>191</v>
      </c>
      <c r="D1825" s="136" t="s">
        <v>139</v>
      </c>
      <c r="E1825" s="136" t="s">
        <v>594</v>
      </c>
      <c r="F1825" s="136">
        <v>1396</v>
      </c>
      <c r="G1825" s="137">
        <f t="shared" si="7"/>
        <v>1</v>
      </c>
      <c r="H1825" s="137"/>
      <c r="I1825" s="137"/>
      <c r="J1825" s="135"/>
      <c r="K1825" s="135"/>
      <c r="L1825" s="135"/>
      <c r="M1825" s="135"/>
      <c r="N1825" s="135"/>
      <c r="O1825" s="135"/>
      <c r="P1825" s="135"/>
      <c r="Q1825" s="135"/>
      <c r="R1825" s="135"/>
      <c r="S1825" s="135"/>
      <c r="T1825" s="135"/>
      <c r="U1825" s="135"/>
      <c r="V1825" s="135"/>
      <c r="W1825" s="135"/>
      <c r="X1825" s="135"/>
      <c r="Y1825" s="135"/>
      <c r="Z1825" s="135"/>
    </row>
    <row r="1826" spans="1:26" ht="12.75">
      <c r="A1826" s="136" t="s">
        <v>19</v>
      </c>
      <c r="B1826" s="136" t="s">
        <v>19</v>
      </c>
      <c r="C1826" s="136" t="s">
        <v>191</v>
      </c>
      <c r="D1826" s="136" t="s">
        <v>1669</v>
      </c>
      <c r="E1826" s="136" t="s">
        <v>615</v>
      </c>
      <c r="F1826" s="136">
        <v>402</v>
      </c>
      <c r="G1826" s="137">
        <f t="shared" si="7"/>
        <v>2</v>
      </c>
      <c r="H1826" s="137"/>
      <c r="I1826" s="137"/>
      <c r="J1826" s="135"/>
      <c r="K1826" s="135"/>
      <c r="L1826" s="135"/>
      <c r="M1826" s="135"/>
      <c r="N1826" s="135"/>
      <c r="O1826" s="135"/>
      <c r="P1826" s="135"/>
      <c r="Q1826" s="135"/>
      <c r="R1826" s="135"/>
      <c r="S1826" s="135"/>
      <c r="T1826" s="135"/>
      <c r="U1826" s="135"/>
      <c r="V1826" s="135"/>
      <c r="W1826" s="135"/>
      <c r="X1826" s="135"/>
      <c r="Y1826" s="135"/>
      <c r="Z1826" s="135"/>
    </row>
    <row r="1827" spans="1:26" ht="12.75">
      <c r="A1827" s="136" t="s">
        <v>19</v>
      </c>
      <c r="B1827" s="136" t="s">
        <v>19</v>
      </c>
      <c r="C1827" s="136" t="s">
        <v>191</v>
      </c>
      <c r="D1827" s="136" t="s">
        <v>7613</v>
      </c>
      <c r="E1827" s="136" t="s">
        <v>85</v>
      </c>
      <c r="F1827" s="136">
        <v>394</v>
      </c>
      <c r="G1827" s="137">
        <f t="shared" si="7"/>
        <v>3</v>
      </c>
      <c r="H1827" s="137"/>
      <c r="I1827" s="137"/>
      <c r="J1827" s="135"/>
      <c r="K1827" s="135"/>
      <c r="L1827" s="135"/>
      <c r="M1827" s="135"/>
      <c r="N1827" s="135"/>
      <c r="O1827" s="135"/>
      <c r="P1827" s="135"/>
      <c r="Q1827" s="135"/>
      <c r="R1827" s="135"/>
      <c r="S1827" s="135"/>
      <c r="T1827" s="135"/>
      <c r="U1827" s="135"/>
      <c r="V1827" s="135"/>
      <c r="W1827" s="135"/>
      <c r="X1827" s="135"/>
      <c r="Y1827" s="135"/>
      <c r="Z1827" s="135"/>
    </row>
    <row r="1828" spans="1:26" ht="12.75">
      <c r="A1828" s="136" t="s">
        <v>19</v>
      </c>
      <c r="B1828" s="136" t="s">
        <v>19</v>
      </c>
      <c r="C1828" s="136" t="s">
        <v>191</v>
      </c>
      <c r="D1828" s="136" t="s">
        <v>7621</v>
      </c>
      <c r="E1828" s="136" t="s">
        <v>7621</v>
      </c>
      <c r="F1828" s="136">
        <v>60</v>
      </c>
      <c r="G1828" s="137">
        <f t="shared" si="7"/>
        <v>6</v>
      </c>
      <c r="H1828" s="137"/>
      <c r="I1828" s="137"/>
      <c r="J1828" s="135"/>
      <c r="K1828" s="135"/>
      <c r="L1828" s="135"/>
      <c r="M1828" s="135"/>
      <c r="N1828" s="135"/>
      <c r="O1828" s="135"/>
      <c r="P1828" s="135"/>
      <c r="Q1828" s="135"/>
      <c r="R1828" s="135"/>
      <c r="S1828" s="135"/>
      <c r="T1828" s="135"/>
      <c r="U1828" s="135"/>
      <c r="V1828" s="135"/>
      <c r="W1828" s="135"/>
      <c r="X1828" s="135"/>
      <c r="Y1828" s="135"/>
      <c r="Z1828" s="135"/>
    </row>
    <row r="1829" spans="1:26" ht="12.75">
      <c r="A1829" s="136" t="s">
        <v>19</v>
      </c>
      <c r="B1829" s="136" t="s">
        <v>19</v>
      </c>
      <c r="C1829" s="136" t="s">
        <v>191</v>
      </c>
      <c r="D1829" s="136" t="s">
        <v>7633</v>
      </c>
      <c r="E1829" s="136" t="s">
        <v>7633</v>
      </c>
      <c r="F1829" s="136">
        <v>58</v>
      </c>
      <c r="G1829" s="137">
        <f t="shared" si="7"/>
        <v>7</v>
      </c>
      <c r="H1829" s="137"/>
      <c r="I1829" s="137"/>
      <c r="J1829" s="135"/>
      <c r="K1829" s="135"/>
      <c r="L1829" s="135"/>
      <c r="M1829" s="135"/>
      <c r="N1829" s="135"/>
      <c r="O1829" s="135"/>
      <c r="P1829" s="135"/>
      <c r="Q1829" s="135"/>
      <c r="R1829" s="135"/>
      <c r="S1829" s="135"/>
      <c r="T1829" s="135"/>
      <c r="U1829" s="135"/>
      <c r="V1829" s="135"/>
      <c r="W1829" s="135"/>
      <c r="X1829" s="135"/>
      <c r="Y1829" s="135"/>
      <c r="Z1829" s="135"/>
    </row>
    <row r="1830" spans="1:26" ht="12.75">
      <c r="A1830" s="136" t="s">
        <v>19</v>
      </c>
      <c r="B1830" s="136" t="s">
        <v>19</v>
      </c>
      <c r="C1830" s="136" t="s">
        <v>191</v>
      </c>
      <c r="D1830" s="136" t="s">
        <v>467</v>
      </c>
      <c r="E1830" s="136" t="s">
        <v>85</v>
      </c>
      <c r="F1830" s="136">
        <v>66</v>
      </c>
      <c r="G1830" s="137">
        <f t="shared" si="7"/>
        <v>4</v>
      </c>
      <c r="H1830" s="137"/>
      <c r="I1830" s="137"/>
      <c r="J1830" s="135"/>
      <c r="K1830" s="135"/>
      <c r="L1830" s="135"/>
      <c r="M1830" s="135"/>
      <c r="N1830" s="135"/>
      <c r="O1830" s="135"/>
      <c r="P1830" s="135"/>
      <c r="Q1830" s="135"/>
      <c r="R1830" s="135"/>
      <c r="S1830" s="135"/>
      <c r="T1830" s="135"/>
      <c r="U1830" s="135"/>
      <c r="V1830" s="135"/>
      <c r="W1830" s="135"/>
      <c r="X1830" s="135"/>
      <c r="Y1830" s="135"/>
      <c r="Z1830" s="135"/>
    </row>
    <row r="1831" spans="1:26" ht="12.75">
      <c r="A1831" s="136" t="s">
        <v>19</v>
      </c>
      <c r="B1831" s="136" t="s">
        <v>19</v>
      </c>
      <c r="C1831" s="136" t="s">
        <v>191</v>
      </c>
      <c r="D1831" s="136" t="s">
        <v>1665</v>
      </c>
      <c r="E1831" s="136" t="s">
        <v>615</v>
      </c>
      <c r="F1831" s="136">
        <v>62</v>
      </c>
      <c r="G1831" s="137">
        <f t="shared" si="7"/>
        <v>5</v>
      </c>
      <c r="H1831" s="137"/>
      <c r="I1831" s="137"/>
      <c r="J1831" s="135"/>
      <c r="K1831" s="135"/>
      <c r="L1831" s="135"/>
      <c r="M1831" s="135"/>
      <c r="N1831" s="135"/>
      <c r="O1831" s="135"/>
      <c r="P1831" s="135"/>
      <c r="Q1831" s="135"/>
      <c r="R1831" s="135"/>
      <c r="S1831" s="135"/>
      <c r="T1831" s="135"/>
      <c r="U1831" s="135"/>
      <c r="V1831" s="135"/>
      <c r="W1831" s="135"/>
      <c r="X1831" s="135"/>
      <c r="Y1831" s="135"/>
      <c r="Z1831" s="135"/>
    </row>
    <row r="1832" spans="1:26" ht="12.75">
      <c r="A1832" s="136" t="s">
        <v>19</v>
      </c>
      <c r="B1832" s="136" t="s">
        <v>19</v>
      </c>
      <c r="C1832" s="136" t="s">
        <v>191</v>
      </c>
      <c r="D1832" s="136" t="s">
        <v>368</v>
      </c>
      <c r="E1832" s="136" t="s">
        <v>594</v>
      </c>
      <c r="F1832" s="136">
        <v>23</v>
      </c>
      <c r="G1832" s="137">
        <f t="shared" si="7"/>
        <v>8</v>
      </c>
      <c r="H1832" s="137"/>
      <c r="I1832" s="137"/>
      <c r="J1832" s="135"/>
      <c r="K1832" s="135"/>
      <c r="L1832" s="135"/>
      <c r="M1832" s="135"/>
      <c r="N1832" s="135"/>
      <c r="O1832" s="135"/>
      <c r="P1832" s="135"/>
      <c r="Q1832" s="135"/>
      <c r="R1832" s="135"/>
      <c r="S1832" s="135"/>
      <c r="T1832" s="135"/>
      <c r="U1832" s="135"/>
      <c r="V1832" s="135"/>
      <c r="W1832" s="135"/>
      <c r="X1832" s="135"/>
      <c r="Y1832" s="135"/>
      <c r="Z1832" s="135"/>
    </row>
    <row r="1833" spans="1:26" ht="12.75">
      <c r="A1833" s="136" t="s">
        <v>19</v>
      </c>
      <c r="B1833" s="136" t="s">
        <v>19</v>
      </c>
      <c r="C1833" s="136" t="s">
        <v>195</v>
      </c>
      <c r="D1833" s="136" t="s">
        <v>139</v>
      </c>
      <c r="E1833" s="136" t="s">
        <v>594</v>
      </c>
      <c r="F1833" s="136">
        <v>2166</v>
      </c>
      <c r="G1833" s="137">
        <f t="shared" si="7"/>
        <v>1</v>
      </c>
      <c r="H1833" s="137"/>
      <c r="I1833" s="137"/>
      <c r="J1833" s="135"/>
      <c r="K1833" s="135"/>
      <c r="L1833" s="135"/>
      <c r="M1833" s="135"/>
      <c r="N1833" s="135"/>
      <c r="O1833" s="135"/>
      <c r="P1833" s="135"/>
      <c r="Q1833" s="135"/>
      <c r="R1833" s="135"/>
      <c r="S1833" s="135"/>
      <c r="T1833" s="135"/>
      <c r="U1833" s="135"/>
      <c r="V1833" s="135"/>
      <c r="W1833" s="135"/>
      <c r="X1833" s="135"/>
      <c r="Y1833" s="135"/>
      <c r="Z1833" s="135"/>
    </row>
    <row r="1834" spans="1:26" ht="12.75">
      <c r="A1834" s="136" t="s">
        <v>19</v>
      </c>
      <c r="B1834" s="136" t="s">
        <v>19</v>
      </c>
      <c r="C1834" s="136" t="s">
        <v>195</v>
      </c>
      <c r="D1834" s="136" t="s">
        <v>114</v>
      </c>
      <c r="E1834" s="136" t="s">
        <v>85</v>
      </c>
      <c r="F1834" s="136">
        <v>328</v>
      </c>
      <c r="G1834" s="137">
        <f t="shared" si="7"/>
        <v>2</v>
      </c>
      <c r="H1834" s="137"/>
      <c r="I1834" s="137"/>
      <c r="J1834" s="135"/>
      <c r="K1834" s="135"/>
      <c r="L1834" s="135"/>
      <c r="M1834" s="135"/>
      <c r="N1834" s="135"/>
      <c r="O1834" s="135"/>
      <c r="P1834" s="135"/>
      <c r="Q1834" s="135"/>
      <c r="R1834" s="135"/>
      <c r="S1834" s="135"/>
      <c r="T1834" s="135"/>
      <c r="U1834" s="135"/>
      <c r="V1834" s="135"/>
      <c r="W1834" s="135"/>
      <c r="X1834" s="135"/>
      <c r="Y1834" s="135"/>
      <c r="Z1834" s="135"/>
    </row>
    <row r="1835" spans="1:26" ht="12.75">
      <c r="A1835" s="136" t="s">
        <v>19</v>
      </c>
      <c r="B1835" s="136" t="s">
        <v>19</v>
      </c>
      <c r="C1835" s="136" t="s">
        <v>195</v>
      </c>
      <c r="D1835" s="136" t="s">
        <v>7617</v>
      </c>
      <c r="E1835" s="136" t="s">
        <v>615</v>
      </c>
      <c r="F1835" s="136">
        <v>228</v>
      </c>
      <c r="G1835" s="137">
        <f t="shared" si="7"/>
        <v>3</v>
      </c>
      <c r="H1835" s="137"/>
      <c r="I1835" s="137"/>
      <c r="J1835" s="135"/>
      <c r="K1835" s="135"/>
      <c r="L1835" s="135"/>
      <c r="M1835" s="135"/>
      <c r="N1835" s="135"/>
      <c r="O1835" s="135"/>
      <c r="P1835" s="135"/>
      <c r="Q1835" s="135"/>
      <c r="R1835" s="135"/>
      <c r="S1835" s="135"/>
      <c r="T1835" s="135"/>
      <c r="U1835" s="135"/>
      <c r="V1835" s="135"/>
      <c r="W1835" s="135"/>
      <c r="X1835" s="135"/>
      <c r="Y1835" s="135"/>
      <c r="Z1835" s="135"/>
    </row>
    <row r="1836" spans="1:26" ht="12.75">
      <c r="A1836" s="136" t="s">
        <v>19</v>
      </c>
      <c r="B1836" s="136" t="s">
        <v>19</v>
      </c>
      <c r="C1836" s="136" t="s">
        <v>195</v>
      </c>
      <c r="D1836" s="136" t="s">
        <v>136</v>
      </c>
      <c r="E1836" s="136" t="s">
        <v>615</v>
      </c>
      <c r="F1836" s="136">
        <v>182</v>
      </c>
      <c r="G1836" s="137">
        <f t="shared" si="7"/>
        <v>4</v>
      </c>
      <c r="H1836" s="137"/>
      <c r="I1836" s="137"/>
      <c r="J1836" s="135"/>
      <c r="K1836" s="135"/>
      <c r="L1836" s="135"/>
      <c r="M1836" s="135"/>
      <c r="N1836" s="135"/>
      <c r="O1836" s="135"/>
      <c r="P1836" s="135"/>
      <c r="Q1836" s="135"/>
      <c r="R1836" s="135"/>
      <c r="S1836" s="135"/>
      <c r="T1836" s="135"/>
      <c r="U1836" s="135"/>
      <c r="V1836" s="135"/>
      <c r="W1836" s="135"/>
      <c r="X1836" s="135"/>
      <c r="Y1836" s="135"/>
      <c r="Z1836" s="135"/>
    </row>
    <row r="1837" spans="1:26" ht="12.75">
      <c r="A1837" s="136" t="s">
        <v>19</v>
      </c>
      <c r="B1837" s="136" t="s">
        <v>19</v>
      </c>
      <c r="C1837" s="136" t="s">
        <v>195</v>
      </c>
      <c r="D1837" s="136" t="s">
        <v>7614</v>
      </c>
      <c r="E1837" s="136" t="s">
        <v>7614</v>
      </c>
      <c r="F1837" s="136">
        <v>140</v>
      </c>
      <c r="G1837" s="137">
        <f t="shared" si="7"/>
        <v>5</v>
      </c>
      <c r="H1837" s="137"/>
      <c r="I1837" s="137"/>
      <c r="J1837" s="135"/>
      <c r="K1837" s="135"/>
      <c r="L1837" s="135"/>
      <c r="M1837" s="135"/>
      <c r="N1837" s="135"/>
      <c r="O1837" s="135"/>
      <c r="P1837" s="135"/>
      <c r="Q1837" s="135"/>
      <c r="R1837" s="135"/>
      <c r="S1837" s="135"/>
      <c r="T1837" s="135"/>
      <c r="U1837" s="135"/>
      <c r="V1837" s="135"/>
      <c r="W1837" s="135"/>
      <c r="X1837" s="135"/>
      <c r="Y1837" s="135"/>
      <c r="Z1837" s="135"/>
    </row>
    <row r="1838" spans="1:26" ht="12.75">
      <c r="A1838" s="136" t="s">
        <v>19</v>
      </c>
      <c r="B1838" s="136" t="s">
        <v>19</v>
      </c>
      <c r="C1838" s="136" t="s">
        <v>195</v>
      </c>
      <c r="D1838" s="136" t="s">
        <v>467</v>
      </c>
      <c r="E1838" s="136" t="s">
        <v>85</v>
      </c>
      <c r="F1838" s="136">
        <v>138</v>
      </c>
      <c r="G1838" s="137">
        <f t="shared" si="7"/>
        <v>6</v>
      </c>
      <c r="H1838" s="137"/>
      <c r="I1838" s="137"/>
      <c r="J1838" s="135"/>
      <c r="K1838" s="135"/>
      <c r="L1838" s="135"/>
      <c r="M1838" s="135"/>
      <c r="N1838" s="135"/>
      <c r="O1838" s="135"/>
      <c r="P1838" s="135"/>
      <c r="Q1838" s="135"/>
      <c r="R1838" s="135"/>
      <c r="S1838" s="135"/>
      <c r="T1838" s="135"/>
      <c r="U1838" s="135"/>
      <c r="V1838" s="135"/>
      <c r="W1838" s="135"/>
      <c r="X1838" s="135"/>
      <c r="Y1838" s="135"/>
      <c r="Z1838" s="135"/>
    </row>
    <row r="1839" spans="1:26" ht="12.75">
      <c r="A1839" s="136" t="s">
        <v>19</v>
      </c>
      <c r="B1839" s="136" t="s">
        <v>19</v>
      </c>
      <c r="C1839" s="136" t="s">
        <v>195</v>
      </c>
      <c r="D1839" s="136" t="s">
        <v>1669</v>
      </c>
      <c r="E1839" s="136" t="s">
        <v>615</v>
      </c>
      <c r="F1839" s="136">
        <v>130</v>
      </c>
      <c r="G1839" s="137">
        <f t="shared" si="7"/>
        <v>7</v>
      </c>
      <c r="H1839" s="137"/>
      <c r="I1839" s="137"/>
      <c r="J1839" s="135"/>
      <c r="K1839" s="135"/>
      <c r="L1839" s="135"/>
      <c r="M1839" s="135"/>
      <c r="N1839" s="135"/>
      <c r="O1839" s="135"/>
      <c r="P1839" s="135"/>
      <c r="Q1839" s="135"/>
      <c r="R1839" s="135"/>
      <c r="S1839" s="135"/>
      <c r="T1839" s="135"/>
      <c r="U1839" s="135"/>
      <c r="V1839" s="135"/>
      <c r="W1839" s="135"/>
      <c r="X1839" s="135"/>
      <c r="Y1839" s="135"/>
      <c r="Z1839" s="135"/>
    </row>
    <row r="1840" spans="1:26" ht="12.75">
      <c r="A1840" s="136" t="s">
        <v>19</v>
      </c>
      <c r="B1840" s="136" t="s">
        <v>19</v>
      </c>
      <c r="C1840" s="136" t="s">
        <v>195</v>
      </c>
      <c r="D1840" s="136" t="s">
        <v>1665</v>
      </c>
      <c r="E1840" s="136" t="s">
        <v>615</v>
      </c>
      <c r="F1840" s="136">
        <v>122</v>
      </c>
      <c r="G1840" s="137">
        <f t="shared" si="7"/>
        <v>8</v>
      </c>
      <c r="H1840" s="137"/>
      <c r="I1840" s="137"/>
      <c r="J1840" s="135"/>
      <c r="K1840" s="135"/>
      <c r="L1840" s="135"/>
      <c r="M1840" s="135"/>
      <c r="N1840" s="135"/>
      <c r="O1840" s="135"/>
      <c r="P1840" s="135"/>
      <c r="Q1840" s="135"/>
      <c r="R1840" s="135"/>
      <c r="S1840" s="135"/>
      <c r="T1840" s="135"/>
      <c r="U1840" s="135"/>
      <c r="V1840" s="135"/>
      <c r="W1840" s="135"/>
      <c r="X1840" s="135"/>
      <c r="Y1840" s="135"/>
      <c r="Z1840" s="135"/>
    </row>
    <row r="1841" spans="1:26" ht="12.75">
      <c r="A1841" s="136" t="s">
        <v>19</v>
      </c>
      <c r="B1841" s="136" t="s">
        <v>19</v>
      </c>
      <c r="C1841" s="136" t="s">
        <v>195</v>
      </c>
      <c r="D1841" s="136" t="s">
        <v>7615</v>
      </c>
      <c r="E1841" s="136" t="s">
        <v>7615</v>
      </c>
      <c r="F1841" s="136">
        <v>92</v>
      </c>
      <c r="G1841" s="137">
        <f t="shared" si="7"/>
        <v>9</v>
      </c>
      <c r="H1841" s="137"/>
      <c r="I1841" s="137"/>
      <c r="J1841" s="135"/>
      <c r="K1841" s="135"/>
      <c r="L1841" s="135"/>
      <c r="M1841" s="135"/>
      <c r="N1841" s="135"/>
      <c r="O1841" s="135"/>
      <c r="P1841" s="135"/>
      <c r="Q1841" s="135"/>
      <c r="R1841" s="135"/>
      <c r="S1841" s="135"/>
      <c r="T1841" s="135"/>
      <c r="U1841" s="135"/>
      <c r="V1841" s="135"/>
      <c r="W1841" s="135"/>
      <c r="X1841" s="135"/>
      <c r="Y1841" s="135"/>
      <c r="Z1841" s="135"/>
    </row>
    <row r="1842" spans="1:26" ht="12.75">
      <c r="A1842" s="136" t="s">
        <v>19</v>
      </c>
      <c r="B1842" s="136" t="s">
        <v>19</v>
      </c>
      <c r="C1842" s="136" t="s">
        <v>7668</v>
      </c>
      <c r="D1842" s="136" t="s">
        <v>139</v>
      </c>
      <c r="E1842" s="136" t="s">
        <v>594</v>
      </c>
      <c r="F1842" s="136">
        <v>3630</v>
      </c>
      <c r="G1842" s="137">
        <f t="shared" si="7"/>
        <v>1</v>
      </c>
      <c r="H1842" s="137"/>
      <c r="I1842" s="137"/>
      <c r="J1842" s="135"/>
      <c r="K1842" s="135"/>
      <c r="L1842" s="135"/>
      <c r="M1842" s="135"/>
      <c r="N1842" s="135"/>
      <c r="O1842" s="135"/>
      <c r="P1842" s="135"/>
      <c r="Q1842" s="135"/>
      <c r="R1842" s="135"/>
      <c r="S1842" s="135"/>
      <c r="T1842" s="135"/>
      <c r="U1842" s="135"/>
      <c r="V1842" s="135"/>
      <c r="W1842" s="135"/>
      <c r="X1842" s="135"/>
      <c r="Y1842" s="135"/>
      <c r="Z1842" s="135"/>
    </row>
    <row r="1843" spans="1:26" ht="12.75">
      <c r="A1843" s="136" t="s">
        <v>19</v>
      </c>
      <c r="B1843" s="136" t="s">
        <v>19</v>
      </c>
      <c r="C1843" s="136" t="s">
        <v>7668</v>
      </c>
      <c r="D1843" s="136" t="s">
        <v>1669</v>
      </c>
      <c r="E1843" s="136" t="s">
        <v>615</v>
      </c>
      <c r="F1843" s="136">
        <v>1097</v>
      </c>
      <c r="G1843" s="137">
        <f t="shared" si="7"/>
        <v>2</v>
      </c>
      <c r="H1843" s="137"/>
      <c r="I1843" s="137"/>
      <c r="J1843" s="135"/>
      <c r="K1843" s="135"/>
      <c r="L1843" s="135"/>
      <c r="M1843" s="135"/>
      <c r="N1843" s="135"/>
      <c r="O1843" s="135"/>
      <c r="P1843" s="135"/>
      <c r="Q1843" s="135"/>
      <c r="R1843" s="135"/>
      <c r="S1843" s="135"/>
      <c r="T1843" s="135"/>
      <c r="U1843" s="135"/>
      <c r="V1843" s="135"/>
      <c r="W1843" s="135"/>
      <c r="X1843" s="135"/>
      <c r="Y1843" s="135"/>
      <c r="Z1843" s="135"/>
    </row>
    <row r="1844" spans="1:26" ht="12.75">
      <c r="A1844" s="136" t="s">
        <v>19</v>
      </c>
      <c r="B1844" s="136" t="s">
        <v>19</v>
      </c>
      <c r="C1844" s="136" t="s">
        <v>7668</v>
      </c>
      <c r="D1844" s="136" t="s">
        <v>103</v>
      </c>
      <c r="E1844" s="136" t="s">
        <v>594</v>
      </c>
      <c r="F1844" s="136">
        <v>739</v>
      </c>
      <c r="G1844" s="137">
        <f t="shared" si="7"/>
        <v>3</v>
      </c>
      <c r="H1844" s="137"/>
      <c r="I1844" s="137"/>
      <c r="J1844" s="135"/>
      <c r="K1844" s="135"/>
      <c r="L1844" s="135"/>
      <c r="M1844" s="135"/>
      <c r="N1844" s="135"/>
      <c r="O1844" s="135"/>
      <c r="P1844" s="135"/>
      <c r="Q1844" s="135"/>
      <c r="R1844" s="135"/>
      <c r="S1844" s="135"/>
      <c r="T1844" s="135"/>
      <c r="U1844" s="135"/>
      <c r="V1844" s="135"/>
      <c r="W1844" s="135"/>
      <c r="X1844" s="135"/>
      <c r="Y1844" s="135"/>
      <c r="Z1844" s="135"/>
    </row>
    <row r="1845" spans="1:26" ht="12.75">
      <c r="A1845" s="136" t="s">
        <v>19</v>
      </c>
      <c r="B1845" s="136" t="s">
        <v>19</v>
      </c>
      <c r="C1845" s="136" t="s">
        <v>7668</v>
      </c>
      <c r="D1845" s="136" t="s">
        <v>136</v>
      </c>
      <c r="E1845" s="136" t="s">
        <v>615</v>
      </c>
      <c r="F1845" s="136">
        <v>726</v>
      </c>
      <c r="G1845" s="137">
        <f t="shared" si="7"/>
        <v>4</v>
      </c>
      <c r="H1845" s="137"/>
      <c r="I1845" s="137"/>
      <c r="J1845" s="135"/>
      <c r="K1845" s="135"/>
      <c r="L1845" s="135"/>
      <c r="M1845" s="135"/>
      <c r="N1845" s="135"/>
      <c r="O1845" s="135"/>
      <c r="P1845" s="135"/>
      <c r="Q1845" s="135"/>
      <c r="R1845" s="135"/>
      <c r="S1845" s="135"/>
      <c r="T1845" s="135"/>
      <c r="U1845" s="135"/>
      <c r="V1845" s="135"/>
      <c r="W1845" s="135"/>
      <c r="X1845" s="135"/>
      <c r="Y1845" s="135"/>
      <c r="Z1845" s="135"/>
    </row>
    <row r="1846" spans="1:26" ht="12.75">
      <c r="A1846" s="136" t="s">
        <v>19</v>
      </c>
      <c r="B1846" s="136" t="s">
        <v>19</v>
      </c>
      <c r="C1846" s="136" t="s">
        <v>7668</v>
      </c>
      <c r="D1846" s="136" t="s">
        <v>7613</v>
      </c>
      <c r="E1846" s="136" t="s">
        <v>85</v>
      </c>
      <c r="F1846" s="136">
        <v>628</v>
      </c>
      <c r="G1846" s="137">
        <f t="shared" si="7"/>
        <v>5</v>
      </c>
      <c r="H1846" s="137"/>
      <c r="I1846" s="137"/>
      <c r="J1846" s="135"/>
      <c r="K1846" s="135"/>
      <c r="L1846" s="135"/>
      <c r="M1846" s="135"/>
      <c r="N1846" s="135"/>
      <c r="O1846" s="135"/>
      <c r="P1846" s="135"/>
      <c r="Q1846" s="135"/>
      <c r="R1846" s="135"/>
      <c r="S1846" s="135"/>
      <c r="T1846" s="135"/>
      <c r="U1846" s="135"/>
      <c r="V1846" s="135"/>
      <c r="W1846" s="135"/>
      <c r="X1846" s="135"/>
      <c r="Y1846" s="135"/>
      <c r="Z1846" s="135"/>
    </row>
    <row r="1847" spans="1:26" ht="12.75">
      <c r="A1847" s="136" t="s">
        <v>19</v>
      </c>
      <c r="B1847" s="136" t="s">
        <v>19</v>
      </c>
      <c r="C1847" s="136" t="s">
        <v>7668</v>
      </c>
      <c r="D1847" s="136" t="s">
        <v>165</v>
      </c>
      <c r="E1847" s="136" t="s">
        <v>615</v>
      </c>
      <c r="F1847" s="136">
        <v>492</v>
      </c>
      <c r="G1847" s="137">
        <f t="shared" si="7"/>
        <v>6</v>
      </c>
      <c r="H1847" s="137"/>
      <c r="I1847" s="137"/>
      <c r="J1847" s="135"/>
      <c r="K1847" s="135"/>
      <c r="L1847" s="135"/>
      <c r="M1847" s="135"/>
      <c r="N1847" s="135"/>
      <c r="O1847" s="135"/>
      <c r="P1847" s="135"/>
      <c r="Q1847" s="135"/>
      <c r="R1847" s="135"/>
      <c r="S1847" s="135"/>
      <c r="T1847" s="135"/>
      <c r="U1847" s="135"/>
      <c r="V1847" s="135"/>
      <c r="W1847" s="135"/>
      <c r="X1847" s="135"/>
      <c r="Y1847" s="135"/>
      <c r="Z1847" s="135"/>
    </row>
    <row r="1848" spans="1:26" ht="12.75">
      <c r="A1848" s="136" t="s">
        <v>19</v>
      </c>
      <c r="B1848" s="136" t="s">
        <v>19</v>
      </c>
      <c r="C1848" s="136" t="s">
        <v>7668</v>
      </c>
      <c r="D1848" s="136" t="s">
        <v>467</v>
      </c>
      <c r="E1848" s="136" t="s">
        <v>85</v>
      </c>
      <c r="F1848" s="136">
        <v>291</v>
      </c>
      <c r="G1848" s="137">
        <f t="shared" si="7"/>
        <v>7</v>
      </c>
      <c r="H1848" s="137"/>
      <c r="I1848" s="137"/>
      <c r="J1848" s="135"/>
      <c r="K1848" s="135"/>
      <c r="L1848" s="135"/>
      <c r="M1848" s="135"/>
      <c r="N1848" s="135"/>
      <c r="O1848" s="135"/>
      <c r="P1848" s="135"/>
      <c r="Q1848" s="135"/>
      <c r="R1848" s="135"/>
      <c r="S1848" s="135"/>
      <c r="T1848" s="135"/>
      <c r="U1848" s="135"/>
      <c r="V1848" s="135"/>
      <c r="W1848" s="135"/>
      <c r="X1848" s="135"/>
      <c r="Y1848" s="135"/>
      <c r="Z1848" s="135"/>
    </row>
    <row r="1849" spans="1:26" ht="12.75">
      <c r="A1849" s="136" t="s">
        <v>19</v>
      </c>
      <c r="B1849" s="136" t="s">
        <v>19</v>
      </c>
      <c r="C1849" s="136" t="s">
        <v>7668</v>
      </c>
      <c r="D1849" s="136" t="s">
        <v>107</v>
      </c>
      <c r="E1849" s="136" t="s">
        <v>594</v>
      </c>
      <c r="F1849" s="136">
        <v>273</v>
      </c>
      <c r="G1849" s="137">
        <f t="shared" si="7"/>
        <v>8</v>
      </c>
      <c r="H1849" s="137"/>
      <c r="I1849" s="137"/>
      <c r="J1849" s="135"/>
      <c r="K1849" s="135"/>
      <c r="L1849" s="135"/>
      <c r="M1849" s="135"/>
      <c r="N1849" s="135"/>
      <c r="O1849" s="135"/>
      <c r="P1849" s="135"/>
      <c r="Q1849" s="135"/>
      <c r="R1849" s="135"/>
      <c r="S1849" s="135"/>
      <c r="T1849" s="135"/>
      <c r="U1849" s="135"/>
      <c r="V1849" s="135"/>
      <c r="W1849" s="135"/>
      <c r="X1849" s="135"/>
      <c r="Y1849" s="135"/>
      <c r="Z1849" s="135"/>
    </row>
    <row r="1850" spans="1:26" ht="12.75">
      <c r="A1850" s="136" t="s">
        <v>19</v>
      </c>
      <c r="B1850" s="136" t="s">
        <v>19</v>
      </c>
      <c r="C1850" s="136" t="s">
        <v>7668</v>
      </c>
      <c r="D1850" s="136" t="s">
        <v>7614</v>
      </c>
      <c r="E1850" s="136" t="s">
        <v>7614</v>
      </c>
      <c r="F1850" s="136">
        <v>82</v>
      </c>
      <c r="G1850" s="137">
        <f t="shared" si="7"/>
        <v>9</v>
      </c>
      <c r="H1850" s="137"/>
      <c r="I1850" s="137"/>
      <c r="J1850" s="135"/>
      <c r="K1850" s="135"/>
      <c r="L1850" s="135"/>
      <c r="M1850" s="135"/>
      <c r="N1850" s="135"/>
      <c r="O1850" s="135"/>
      <c r="P1850" s="135"/>
      <c r="Q1850" s="135"/>
      <c r="R1850" s="135"/>
      <c r="S1850" s="135"/>
      <c r="T1850" s="135"/>
      <c r="U1850" s="135"/>
      <c r="V1850" s="135"/>
      <c r="W1850" s="135"/>
      <c r="X1850" s="135"/>
      <c r="Y1850" s="135"/>
      <c r="Z1850" s="135"/>
    </row>
    <row r="1851" spans="1:26" ht="12.75">
      <c r="A1851" s="136" t="s">
        <v>19</v>
      </c>
      <c r="B1851" s="136" t="s">
        <v>19</v>
      </c>
      <c r="C1851" s="136" t="s">
        <v>7668</v>
      </c>
      <c r="D1851" s="136" t="s">
        <v>368</v>
      </c>
      <c r="E1851" s="136" t="s">
        <v>594</v>
      </c>
      <c r="F1851" s="136">
        <v>74</v>
      </c>
      <c r="G1851" s="137">
        <f t="shared" si="7"/>
        <v>10</v>
      </c>
      <c r="H1851" s="137"/>
      <c r="I1851" s="137"/>
      <c r="J1851" s="135"/>
      <c r="K1851" s="135"/>
      <c r="L1851" s="135"/>
      <c r="M1851" s="135"/>
      <c r="N1851" s="135"/>
      <c r="O1851" s="135"/>
      <c r="P1851" s="135"/>
      <c r="Q1851" s="135"/>
      <c r="R1851" s="135"/>
      <c r="S1851" s="135"/>
      <c r="T1851" s="135"/>
      <c r="U1851" s="135"/>
      <c r="V1851" s="135"/>
      <c r="W1851" s="135"/>
      <c r="X1851" s="135"/>
      <c r="Y1851" s="135"/>
      <c r="Z1851" s="135"/>
    </row>
    <row r="1852" spans="1:26" ht="12.75">
      <c r="A1852" s="136" t="s">
        <v>19</v>
      </c>
      <c r="B1852" s="136" t="s">
        <v>19</v>
      </c>
      <c r="C1852" s="136" t="s">
        <v>7668</v>
      </c>
      <c r="D1852" s="136" t="s">
        <v>7615</v>
      </c>
      <c r="E1852" s="136" t="s">
        <v>7615</v>
      </c>
      <c r="F1852" s="136">
        <v>71</v>
      </c>
      <c r="G1852" s="137">
        <f t="shared" si="7"/>
        <v>11</v>
      </c>
      <c r="H1852" s="137"/>
      <c r="I1852" s="137"/>
      <c r="J1852" s="135"/>
      <c r="K1852" s="135"/>
      <c r="L1852" s="135"/>
      <c r="M1852" s="135"/>
      <c r="N1852" s="135"/>
      <c r="O1852" s="135"/>
      <c r="P1852" s="135"/>
      <c r="Q1852" s="135"/>
      <c r="R1852" s="135"/>
      <c r="S1852" s="135"/>
      <c r="T1852" s="135"/>
      <c r="U1852" s="135"/>
      <c r="V1852" s="135"/>
      <c r="W1852" s="135"/>
      <c r="X1852" s="135"/>
      <c r="Y1852" s="135"/>
      <c r="Z1852" s="135"/>
    </row>
    <row r="1853" spans="1:26" ht="12.75">
      <c r="A1853" s="136" t="s">
        <v>19</v>
      </c>
      <c r="B1853" s="136" t="s">
        <v>19</v>
      </c>
      <c r="C1853" s="136" t="s">
        <v>7668</v>
      </c>
      <c r="D1853" s="136" t="s">
        <v>1665</v>
      </c>
      <c r="E1853" s="136" t="s">
        <v>615</v>
      </c>
      <c r="F1853" s="136">
        <v>51</v>
      </c>
      <c r="G1853" s="137">
        <f t="shared" si="7"/>
        <v>12</v>
      </c>
      <c r="H1853" s="137"/>
      <c r="I1853" s="137"/>
      <c r="J1853" s="135"/>
      <c r="K1853" s="135"/>
      <c r="L1853" s="135"/>
      <c r="M1853" s="135"/>
      <c r="N1853" s="135"/>
      <c r="O1853" s="135"/>
      <c r="P1853" s="135"/>
      <c r="Q1853" s="135"/>
      <c r="R1853" s="135"/>
      <c r="S1853" s="135"/>
      <c r="T1853" s="135"/>
      <c r="U1853" s="135"/>
      <c r="V1853" s="135"/>
      <c r="W1853" s="135"/>
      <c r="X1853" s="135"/>
      <c r="Y1853" s="135"/>
      <c r="Z1853" s="135"/>
    </row>
    <row r="1854" spans="1:26" ht="12.75">
      <c r="A1854" s="136" t="s">
        <v>19</v>
      </c>
      <c r="B1854" s="136" t="s">
        <v>19</v>
      </c>
      <c r="C1854" s="136" t="s">
        <v>7668</v>
      </c>
      <c r="D1854" s="136" t="s">
        <v>1626</v>
      </c>
      <c r="E1854" s="136" t="s">
        <v>594</v>
      </c>
      <c r="F1854" s="136">
        <v>34</v>
      </c>
      <c r="G1854" s="137">
        <f t="shared" si="7"/>
        <v>13</v>
      </c>
      <c r="H1854" s="137"/>
      <c r="I1854" s="137"/>
      <c r="J1854" s="135"/>
      <c r="K1854" s="135"/>
      <c r="L1854" s="135"/>
      <c r="M1854" s="135"/>
      <c r="N1854" s="135"/>
      <c r="O1854" s="135"/>
      <c r="P1854" s="135"/>
      <c r="Q1854" s="135"/>
      <c r="R1854" s="135"/>
      <c r="S1854" s="135"/>
      <c r="T1854" s="135"/>
      <c r="U1854" s="135"/>
      <c r="V1854" s="135"/>
      <c r="W1854" s="135"/>
      <c r="X1854" s="135"/>
      <c r="Y1854" s="135"/>
      <c r="Z1854" s="135"/>
    </row>
    <row r="1855" spans="1:26" ht="12.75">
      <c r="A1855" s="136" t="s">
        <v>19</v>
      </c>
      <c r="B1855" s="136" t="s">
        <v>19</v>
      </c>
      <c r="C1855" s="136" t="s">
        <v>7668</v>
      </c>
      <c r="D1855" s="136" t="s">
        <v>7669</v>
      </c>
      <c r="E1855" s="136" t="s">
        <v>86</v>
      </c>
      <c r="F1855" s="136">
        <v>29</v>
      </c>
      <c r="G1855" s="137">
        <f t="shared" si="7"/>
        <v>14</v>
      </c>
      <c r="H1855" s="137"/>
      <c r="I1855" s="137"/>
      <c r="J1855" s="135"/>
      <c r="K1855" s="135"/>
      <c r="L1855" s="135"/>
      <c r="M1855" s="135"/>
      <c r="N1855" s="135"/>
      <c r="O1855" s="135"/>
      <c r="P1855" s="135"/>
      <c r="Q1855" s="135"/>
      <c r="R1855" s="135"/>
      <c r="S1855" s="135"/>
      <c r="T1855" s="135"/>
      <c r="U1855" s="135"/>
      <c r="V1855" s="135"/>
      <c r="W1855" s="135"/>
      <c r="X1855" s="135"/>
      <c r="Y1855" s="135"/>
      <c r="Z1855" s="135"/>
    </row>
    <row r="1856" spans="1:26" ht="12.75">
      <c r="A1856" s="136" t="s">
        <v>19</v>
      </c>
      <c r="B1856" s="136" t="s">
        <v>19</v>
      </c>
      <c r="C1856" s="136" t="s">
        <v>199</v>
      </c>
      <c r="D1856" s="136" t="s">
        <v>107</v>
      </c>
      <c r="E1856" s="136" t="s">
        <v>594</v>
      </c>
      <c r="F1856" s="136">
        <v>1255</v>
      </c>
      <c r="G1856" s="137">
        <f t="shared" si="7"/>
        <v>1</v>
      </c>
      <c r="H1856" s="137"/>
      <c r="I1856" s="137"/>
      <c r="J1856" s="135"/>
      <c r="K1856" s="135"/>
      <c r="L1856" s="135"/>
      <c r="M1856" s="135"/>
      <c r="N1856" s="135"/>
      <c r="O1856" s="135"/>
      <c r="P1856" s="135"/>
      <c r="Q1856" s="135"/>
      <c r="R1856" s="135"/>
      <c r="S1856" s="135"/>
      <c r="T1856" s="135"/>
      <c r="U1856" s="135"/>
      <c r="V1856" s="135"/>
      <c r="W1856" s="135"/>
      <c r="X1856" s="135"/>
      <c r="Y1856" s="135"/>
      <c r="Z1856" s="135"/>
    </row>
    <row r="1857" spans="1:26" ht="12.75">
      <c r="A1857" s="136" t="s">
        <v>19</v>
      </c>
      <c r="B1857" s="136" t="s">
        <v>19</v>
      </c>
      <c r="C1857" s="136" t="s">
        <v>199</v>
      </c>
      <c r="D1857" s="136" t="s">
        <v>139</v>
      </c>
      <c r="E1857" s="136" t="s">
        <v>594</v>
      </c>
      <c r="F1857" s="136">
        <v>931</v>
      </c>
      <c r="G1857" s="137">
        <f t="shared" si="7"/>
        <v>2</v>
      </c>
      <c r="H1857" s="137"/>
      <c r="I1857" s="137"/>
      <c r="J1857" s="135"/>
      <c r="K1857" s="135"/>
      <c r="L1857" s="135"/>
      <c r="M1857" s="135"/>
      <c r="N1857" s="135"/>
      <c r="O1857" s="135"/>
      <c r="P1857" s="135"/>
      <c r="Q1857" s="135"/>
      <c r="R1857" s="135"/>
      <c r="S1857" s="135"/>
      <c r="T1857" s="135"/>
      <c r="U1857" s="135"/>
      <c r="V1857" s="135"/>
      <c r="W1857" s="135"/>
      <c r="X1857" s="135"/>
      <c r="Y1857" s="135"/>
      <c r="Z1857" s="135"/>
    </row>
    <row r="1858" spans="1:26" ht="12.75">
      <c r="A1858" s="136" t="s">
        <v>19</v>
      </c>
      <c r="B1858" s="136" t="s">
        <v>19</v>
      </c>
      <c r="C1858" s="136" t="s">
        <v>199</v>
      </c>
      <c r="D1858" s="136" t="s">
        <v>7613</v>
      </c>
      <c r="E1858" s="136" t="s">
        <v>85</v>
      </c>
      <c r="F1858" s="136">
        <v>470</v>
      </c>
      <c r="G1858" s="137">
        <f t="shared" si="7"/>
        <v>3</v>
      </c>
      <c r="H1858" s="137"/>
      <c r="I1858" s="137"/>
      <c r="J1858" s="135"/>
      <c r="K1858" s="135"/>
      <c r="L1858" s="135"/>
      <c r="M1858" s="135"/>
      <c r="N1858" s="135"/>
      <c r="O1858" s="135"/>
      <c r="P1858" s="135"/>
      <c r="Q1858" s="135"/>
      <c r="R1858" s="135"/>
      <c r="S1858" s="135"/>
      <c r="T1858" s="135"/>
      <c r="U1858" s="135"/>
      <c r="V1858" s="135"/>
      <c r="W1858" s="135"/>
      <c r="X1858" s="135"/>
      <c r="Y1858" s="135"/>
      <c r="Z1858" s="135"/>
    </row>
    <row r="1859" spans="1:26" ht="12.75">
      <c r="A1859" s="136" t="s">
        <v>19</v>
      </c>
      <c r="B1859" s="136" t="s">
        <v>19</v>
      </c>
      <c r="C1859" s="136" t="s">
        <v>199</v>
      </c>
      <c r="D1859" s="136" t="s">
        <v>1669</v>
      </c>
      <c r="E1859" s="136" t="s">
        <v>615</v>
      </c>
      <c r="F1859" s="136">
        <v>401</v>
      </c>
      <c r="G1859" s="137">
        <f t="shared" si="7"/>
        <v>4</v>
      </c>
      <c r="H1859" s="137"/>
      <c r="I1859" s="137"/>
      <c r="J1859" s="135"/>
      <c r="K1859" s="135"/>
      <c r="L1859" s="135"/>
      <c r="M1859" s="135"/>
      <c r="N1859" s="135"/>
      <c r="O1859" s="135"/>
      <c r="P1859" s="135"/>
      <c r="Q1859" s="135"/>
      <c r="R1859" s="135"/>
      <c r="S1859" s="135"/>
      <c r="T1859" s="135"/>
      <c r="U1859" s="135"/>
      <c r="V1859" s="135"/>
      <c r="W1859" s="135"/>
      <c r="X1859" s="135"/>
      <c r="Y1859" s="135"/>
      <c r="Z1859" s="135"/>
    </row>
    <row r="1860" spans="1:26" ht="12.75">
      <c r="A1860" s="136" t="s">
        <v>19</v>
      </c>
      <c r="B1860" s="136" t="s">
        <v>19</v>
      </c>
      <c r="C1860" s="136" t="s">
        <v>199</v>
      </c>
      <c r="D1860" s="136" t="s">
        <v>7621</v>
      </c>
      <c r="E1860" s="136" t="s">
        <v>7621</v>
      </c>
      <c r="F1860" s="136">
        <v>127</v>
      </c>
      <c r="G1860" s="137">
        <f t="shared" si="7"/>
        <v>5</v>
      </c>
      <c r="H1860" s="137"/>
      <c r="I1860" s="137"/>
      <c r="J1860" s="135"/>
      <c r="K1860" s="135"/>
      <c r="L1860" s="135"/>
      <c r="M1860" s="135"/>
      <c r="N1860" s="135"/>
      <c r="O1860" s="135"/>
      <c r="P1860" s="135"/>
      <c r="Q1860" s="135"/>
      <c r="R1860" s="135"/>
      <c r="S1860" s="135"/>
      <c r="T1860" s="135"/>
      <c r="U1860" s="135"/>
      <c r="V1860" s="135"/>
      <c r="W1860" s="135"/>
      <c r="X1860" s="135"/>
      <c r="Y1860" s="135"/>
      <c r="Z1860" s="135"/>
    </row>
    <row r="1861" spans="1:26" ht="12.75">
      <c r="A1861" s="136" t="s">
        <v>19</v>
      </c>
      <c r="B1861" s="136" t="s">
        <v>19</v>
      </c>
      <c r="C1861" s="136" t="s">
        <v>199</v>
      </c>
      <c r="D1861" s="136" t="s">
        <v>7614</v>
      </c>
      <c r="E1861" s="136" t="s">
        <v>7614</v>
      </c>
      <c r="F1861" s="136">
        <v>100</v>
      </c>
      <c r="G1861" s="137">
        <f t="shared" si="7"/>
        <v>6</v>
      </c>
      <c r="H1861" s="137"/>
      <c r="I1861" s="137"/>
      <c r="J1861" s="135"/>
      <c r="K1861" s="135"/>
      <c r="L1861" s="135"/>
      <c r="M1861" s="135"/>
      <c r="N1861" s="135"/>
      <c r="O1861" s="135"/>
      <c r="P1861" s="135"/>
      <c r="Q1861" s="135"/>
      <c r="R1861" s="135"/>
      <c r="S1861" s="135"/>
      <c r="T1861" s="135"/>
      <c r="U1861" s="135"/>
      <c r="V1861" s="135"/>
      <c r="W1861" s="135"/>
      <c r="X1861" s="135"/>
      <c r="Y1861" s="135"/>
      <c r="Z1861" s="135"/>
    </row>
    <row r="1862" spans="1:26" ht="12.75">
      <c r="A1862" s="136" t="s">
        <v>19</v>
      </c>
      <c r="B1862" s="136" t="s">
        <v>19</v>
      </c>
      <c r="C1862" s="136" t="s">
        <v>199</v>
      </c>
      <c r="D1862" s="136" t="s">
        <v>467</v>
      </c>
      <c r="E1862" s="136" t="s">
        <v>85</v>
      </c>
      <c r="F1862" s="136">
        <v>91</v>
      </c>
      <c r="G1862" s="137">
        <f t="shared" si="7"/>
        <v>7</v>
      </c>
      <c r="H1862" s="137"/>
      <c r="I1862" s="137"/>
      <c r="J1862" s="135"/>
      <c r="K1862" s="135"/>
      <c r="L1862" s="135"/>
      <c r="M1862" s="135"/>
      <c r="N1862" s="135"/>
      <c r="O1862" s="135"/>
      <c r="P1862" s="135"/>
      <c r="Q1862" s="135"/>
      <c r="R1862" s="135"/>
      <c r="S1862" s="135"/>
      <c r="T1862" s="135"/>
      <c r="U1862" s="135"/>
      <c r="V1862" s="135"/>
      <c r="W1862" s="135"/>
      <c r="X1862" s="135"/>
      <c r="Y1862" s="135"/>
      <c r="Z1862" s="135"/>
    </row>
    <row r="1863" spans="1:26" ht="12.75">
      <c r="A1863" s="136" t="s">
        <v>19</v>
      </c>
      <c r="B1863" s="136" t="s">
        <v>19</v>
      </c>
      <c r="C1863" s="136" t="s">
        <v>199</v>
      </c>
      <c r="D1863" s="136" t="s">
        <v>7670</v>
      </c>
      <c r="E1863" s="136" t="s">
        <v>86</v>
      </c>
      <c r="F1863" s="136">
        <v>31</v>
      </c>
      <c r="G1863" s="137">
        <f t="shared" si="7"/>
        <v>8</v>
      </c>
      <c r="H1863" s="137"/>
      <c r="I1863" s="137"/>
      <c r="J1863" s="135"/>
      <c r="K1863" s="135"/>
      <c r="L1863" s="135"/>
      <c r="M1863" s="135"/>
      <c r="N1863" s="135"/>
      <c r="O1863" s="135"/>
      <c r="P1863" s="135"/>
      <c r="Q1863" s="135"/>
      <c r="R1863" s="135"/>
      <c r="S1863" s="135"/>
      <c r="T1863" s="135"/>
      <c r="U1863" s="135"/>
      <c r="V1863" s="135"/>
      <c r="W1863" s="135"/>
      <c r="X1863" s="135"/>
      <c r="Y1863" s="135"/>
      <c r="Z1863" s="135"/>
    </row>
    <row r="1864" spans="1:26" ht="12.75">
      <c r="A1864" s="136" t="s">
        <v>19</v>
      </c>
      <c r="B1864" s="136" t="s">
        <v>19</v>
      </c>
      <c r="C1864" s="136" t="s">
        <v>201</v>
      </c>
      <c r="D1864" s="136" t="s">
        <v>154</v>
      </c>
      <c r="E1864" s="136" t="s">
        <v>615</v>
      </c>
      <c r="F1864" s="136">
        <v>1313</v>
      </c>
      <c r="G1864" s="137">
        <f t="shared" si="7"/>
        <v>1</v>
      </c>
      <c r="H1864" s="137"/>
      <c r="I1864" s="137"/>
      <c r="J1864" s="135"/>
      <c r="K1864" s="135"/>
      <c r="L1864" s="135"/>
      <c r="M1864" s="135"/>
      <c r="N1864" s="135"/>
      <c r="O1864" s="135"/>
      <c r="P1864" s="135"/>
      <c r="Q1864" s="135"/>
      <c r="R1864" s="135"/>
      <c r="S1864" s="135"/>
      <c r="T1864" s="135"/>
      <c r="U1864" s="135"/>
      <c r="V1864" s="135"/>
      <c r="W1864" s="135"/>
      <c r="X1864" s="135"/>
      <c r="Y1864" s="135"/>
      <c r="Z1864" s="135"/>
    </row>
    <row r="1865" spans="1:26" ht="12.75">
      <c r="A1865" s="136" t="s">
        <v>19</v>
      </c>
      <c r="B1865" s="136" t="s">
        <v>19</v>
      </c>
      <c r="C1865" s="136" t="s">
        <v>201</v>
      </c>
      <c r="D1865" s="136" t="s">
        <v>139</v>
      </c>
      <c r="E1865" s="136" t="s">
        <v>594</v>
      </c>
      <c r="F1865" s="136">
        <v>217</v>
      </c>
      <c r="G1865" s="137">
        <f t="shared" si="7"/>
        <v>2</v>
      </c>
      <c r="H1865" s="137"/>
      <c r="I1865" s="137"/>
      <c r="J1865" s="135"/>
      <c r="K1865" s="135"/>
      <c r="L1865" s="135"/>
      <c r="M1865" s="135"/>
      <c r="N1865" s="135"/>
      <c r="O1865" s="135"/>
      <c r="P1865" s="135"/>
      <c r="Q1865" s="135"/>
      <c r="R1865" s="135"/>
      <c r="S1865" s="135"/>
      <c r="T1865" s="135"/>
      <c r="U1865" s="135"/>
      <c r="V1865" s="135"/>
      <c r="W1865" s="135"/>
      <c r="X1865" s="135"/>
      <c r="Y1865" s="135"/>
      <c r="Z1865" s="135"/>
    </row>
    <row r="1866" spans="1:26" ht="12.75">
      <c r="A1866" s="136" t="s">
        <v>19</v>
      </c>
      <c r="B1866" s="136" t="s">
        <v>19</v>
      </c>
      <c r="C1866" s="136" t="s">
        <v>201</v>
      </c>
      <c r="D1866" s="136" t="s">
        <v>7613</v>
      </c>
      <c r="E1866" s="136" t="s">
        <v>85</v>
      </c>
      <c r="F1866" s="136">
        <v>188</v>
      </c>
      <c r="G1866" s="137">
        <f t="shared" si="7"/>
        <v>3</v>
      </c>
      <c r="H1866" s="137"/>
      <c r="I1866" s="137"/>
      <c r="J1866" s="135"/>
      <c r="K1866" s="135"/>
      <c r="L1866" s="135"/>
      <c r="M1866" s="135"/>
      <c r="N1866" s="135"/>
      <c r="O1866" s="135"/>
      <c r="P1866" s="135"/>
      <c r="Q1866" s="135"/>
      <c r="R1866" s="135"/>
      <c r="S1866" s="135"/>
      <c r="T1866" s="135"/>
      <c r="U1866" s="135"/>
      <c r="V1866" s="135"/>
      <c r="W1866" s="135"/>
      <c r="X1866" s="135"/>
      <c r="Y1866" s="135"/>
      <c r="Z1866" s="135"/>
    </row>
    <row r="1867" spans="1:26" ht="12.75">
      <c r="A1867" s="136" t="s">
        <v>19</v>
      </c>
      <c r="B1867" s="136" t="s">
        <v>19</v>
      </c>
      <c r="C1867" s="136" t="s">
        <v>201</v>
      </c>
      <c r="D1867" s="136" t="s">
        <v>7619</v>
      </c>
      <c r="E1867" s="136" t="s">
        <v>615</v>
      </c>
      <c r="F1867" s="136">
        <v>166</v>
      </c>
      <c r="G1867" s="137">
        <f t="shared" si="7"/>
        <v>4</v>
      </c>
      <c r="H1867" s="137"/>
      <c r="I1867" s="137"/>
      <c r="J1867" s="135"/>
      <c r="K1867" s="135"/>
      <c r="L1867" s="135"/>
      <c r="M1867" s="135"/>
      <c r="N1867" s="135"/>
      <c r="O1867" s="135"/>
      <c r="P1867" s="135"/>
      <c r="Q1867" s="135"/>
      <c r="R1867" s="135"/>
      <c r="S1867" s="135"/>
      <c r="T1867" s="135"/>
      <c r="U1867" s="135"/>
      <c r="V1867" s="135"/>
      <c r="W1867" s="135"/>
      <c r="X1867" s="135"/>
      <c r="Y1867" s="135"/>
      <c r="Z1867" s="135"/>
    </row>
    <row r="1868" spans="1:26" ht="12.75">
      <c r="A1868" s="136" t="s">
        <v>19</v>
      </c>
      <c r="B1868" s="136" t="s">
        <v>19</v>
      </c>
      <c r="C1868" s="136" t="s">
        <v>201</v>
      </c>
      <c r="D1868" s="136" t="s">
        <v>136</v>
      </c>
      <c r="E1868" s="136" t="s">
        <v>615</v>
      </c>
      <c r="F1868" s="136">
        <v>156</v>
      </c>
      <c r="G1868" s="137">
        <f t="shared" si="7"/>
        <v>5</v>
      </c>
      <c r="H1868" s="137"/>
      <c r="I1868" s="137"/>
      <c r="J1868" s="135"/>
      <c r="K1868" s="135"/>
      <c r="L1868" s="135"/>
      <c r="M1868" s="135"/>
      <c r="N1868" s="135"/>
      <c r="O1868" s="135"/>
      <c r="P1868" s="135"/>
      <c r="Q1868" s="135"/>
      <c r="R1868" s="135"/>
      <c r="S1868" s="135"/>
      <c r="T1868" s="135"/>
      <c r="U1868" s="135"/>
      <c r="V1868" s="135"/>
      <c r="W1868" s="135"/>
      <c r="X1868" s="135"/>
      <c r="Y1868" s="135"/>
      <c r="Z1868" s="135"/>
    </row>
    <row r="1869" spans="1:26" ht="12.75">
      <c r="A1869" s="136" t="s">
        <v>19</v>
      </c>
      <c r="B1869" s="136" t="s">
        <v>19</v>
      </c>
      <c r="C1869" s="136" t="s">
        <v>201</v>
      </c>
      <c r="D1869" s="136" t="s">
        <v>1669</v>
      </c>
      <c r="E1869" s="136" t="s">
        <v>615</v>
      </c>
      <c r="F1869" s="136">
        <v>85</v>
      </c>
      <c r="G1869" s="137">
        <f t="shared" si="7"/>
        <v>6</v>
      </c>
      <c r="H1869" s="137"/>
      <c r="I1869" s="137"/>
      <c r="J1869" s="135"/>
      <c r="K1869" s="135"/>
      <c r="L1869" s="135"/>
      <c r="M1869" s="135"/>
      <c r="N1869" s="135"/>
      <c r="O1869" s="135"/>
      <c r="P1869" s="135"/>
      <c r="Q1869" s="135"/>
      <c r="R1869" s="135"/>
      <c r="S1869" s="135"/>
      <c r="T1869" s="135"/>
      <c r="U1869" s="135"/>
      <c r="V1869" s="135"/>
      <c r="W1869" s="135"/>
      <c r="X1869" s="135"/>
      <c r="Y1869" s="135"/>
      <c r="Z1869" s="135"/>
    </row>
    <row r="1870" spans="1:26" ht="12.75">
      <c r="A1870" s="136" t="s">
        <v>19</v>
      </c>
      <c r="B1870" s="136" t="s">
        <v>19</v>
      </c>
      <c r="C1870" s="136" t="s">
        <v>201</v>
      </c>
      <c r="D1870" s="136" t="s">
        <v>467</v>
      </c>
      <c r="E1870" s="136" t="s">
        <v>85</v>
      </c>
      <c r="F1870" s="136">
        <v>42</v>
      </c>
      <c r="G1870" s="137">
        <f t="shared" si="7"/>
        <v>7</v>
      </c>
      <c r="H1870" s="137"/>
      <c r="I1870" s="137"/>
      <c r="J1870" s="135"/>
      <c r="K1870" s="135"/>
      <c r="L1870" s="135"/>
      <c r="M1870" s="135"/>
      <c r="N1870" s="135"/>
      <c r="O1870" s="135"/>
      <c r="P1870" s="135"/>
      <c r="Q1870" s="135"/>
      <c r="R1870" s="135"/>
      <c r="S1870" s="135"/>
      <c r="T1870" s="135"/>
      <c r="U1870" s="135"/>
      <c r="V1870" s="135"/>
      <c r="W1870" s="135"/>
      <c r="X1870" s="135"/>
      <c r="Y1870" s="135"/>
      <c r="Z1870" s="135"/>
    </row>
    <row r="1871" spans="1:26" ht="12.75">
      <c r="A1871" s="136" t="s">
        <v>19</v>
      </c>
      <c r="B1871" s="136" t="s">
        <v>19</v>
      </c>
      <c r="C1871" s="136" t="s">
        <v>201</v>
      </c>
      <c r="D1871" s="136" t="s">
        <v>7615</v>
      </c>
      <c r="E1871" s="136" t="s">
        <v>7615</v>
      </c>
      <c r="F1871" s="136">
        <v>41</v>
      </c>
      <c r="G1871" s="137">
        <f t="shared" si="7"/>
        <v>8</v>
      </c>
      <c r="H1871" s="137"/>
      <c r="I1871" s="137"/>
      <c r="J1871" s="135"/>
      <c r="K1871" s="135"/>
      <c r="L1871" s="135"/>
      <c r="M1871" s="135"/>
      <c r="N1871" s="135"/>
      <c r="O1871" s="135"/>
      <c r="P1871" s="135"/>
      <c r="Q1871" s="135"/>
      <c r="R1871" s="135"/>
      <c r="S1871" s="135"/>
      <c r="T1871" s="135"/>
      <c r="U1871" s="135"/>
      <c r="V1871" s="135"/>
      <c r="W1871" s="135"/>
      <c r="X1871" s="135"/>
      <c r="Y1871" s="135"/>
      <c r="Z1871" s="135"/>
    </row>
    <row r="1872" spans="1:26" ht="12.75">
      <c r="A1872" s="136" t="s">
        <v>19</v>
      </c>
      <c r="B1872" s="136" t="s">
        <v>19</v>
      </c>
      <c r="C1872" s="136" t="s">
        <v>201</v>
      </c>
      <c r="D1872" s="136" t="s">
        <v>7614</v>
      </c>
      <c r="E1872" s="136" t="s">
        <v>7614</v>
      </c>
      <c r="F1872" s="136">
        <v>39</v>
      </c>
      <c r="G1872" s="137">
        <f t="shared" si="7"/>
        <v>9</v>
      </c>
      <c r="H1872" s="137"/>
      <c r="I1872" s="137"/>
      <c r="J1872" s="135"/>
      <c r="K1872" s="135"/>
      <c r="L1872" s="135"/>
      <c r="M1872" s="135"/>
      <c r="N1872" s="135"/>
      <c r="O1872" s="135"/>
      <c r="P1872" s="135"/>
      <c r="Q1872" s="135"/>
      <c r="R1872" s="135"/>
      <c r="S1872" s="135"/>
      <c r="T1872" s="135"/>
      <c r="U1872" s="135"/>
      <c r="V1872" s="135"/>
      <c r="W1872" s="135"/>
      <c r="X1872" s="135"/>
      <c r="Y1872" s="135"/>
      <c r="Z1872" s="135"/>
    </row>
    <row r="1873" spans="1:26" ht="12.75">
      <c r="A1873" s="136" t="s">
        <v>19</v>
      </c>
      <c r="B1873" s="136" t="s">
        <v>19</v>
      </c>
      <c r="C1873" s="136" t="s">
        <v>7671</v>
      </c>
      <c r="D1873" s="136" t="s">
        <v>205</v>
      </c>
      <c r="E1873" s="136" t="s">
        <v>615</v>
      </c>
      <c r="F1873" s="136">
        <v>939</v>
      </c>
      <c r="G1873" s="137">
        <f t="shared" si="7"/>
        <v>1</v>
      </c>
      <c r="H1873" s="137"/>
      <c r="I1873" s="137"/>
      <c r="J1873" s="135"/>
      <c r="K1873" s="135"/>
      <c r="L1873" s="135"/>
      <c r="M1873" s="135"/>
      <c r="N1873" s="135"/>
      <c r="O1873" s="135"/>
      <c r="P1873" s="135"/>
      <c r="Q1873" s="135"/>
      <c r="R1873" s="135"/>
      <c r="S1873" s="135"/>
      <c r="T1873" s="135"/>
      <c r="U1873" s="135"/>
      <c r="V1873" s="135"/>
      <c r="W1873" s="135"/>
      <c r="X1873" s="135"/>
      <c r="Y1873" s="135"/>
      <c r="Z1873" s="135"/>
    </row>
    <row r="1874" spans="1:26" ht="12.75">
      <c r="A1874" s="136" t="s">
        <v>19</v>
      </c>
      <c r="B1874" s="136" t="s">
        <v>19</v>
      </c>
      <c r="C1874" s="136" t="s">
        <v>7671</v>
      </c>
      <c r="D1874" s="136" t="s">
        <v>7619</v>
      </c>
      <c r="E1874" s="136" t="s">
        <v>615</v>
      </c>
      <c r="F1874" s="136">
        <v>295</v>
      </c>
      <c r="G1874" s="137">
        <f t="shared" si="7"/>
        <v>2</v>
      </c>
      <c r="H1874" s="137"/>
      <c r="I1874" s="137"/>
      <c r="J1874" s="135"/>
      <c r="K1874" s="135"/>
      <c r="L1874" s="135"/>
      <c r="M1874" s="135"/>
      <c r="N1874" s="135"/>
      <c r="O1874" s="135"/>
      <c r="P1874" s="135"/>
      <c r="Q1874" s="135"/>
      <c r="R1874" s="135"/>
      <c r="S1874" s="135"/>
      <c r="T1874" s="135"/>
      <c r="U1874" s="135"/>
      <c r="V1874" s="135"/>
      <c r="W1874" s="135"/>
      <c r="X1874" s="135"/>
      <c r="Y1874" s="135"/>
      <c r="Z1874" s="135"/>
    </row>
    <row r="1875" spans="1:26" ht="12.75">
      <c r="A1875" s="136" t="s">
        <v>19</v>
      </c>
      <c r="B1875" s="136" t="s">
        <v>19</v>
      </c>
      <c r="C1875" s="136" t="s">
        <v>7671</v>
      </c>
      <c r="D1875" s="136" t="s">
        <v>7544</v>
      </c>
      <c r="E1875" s="136" t="s">
        <v>615</v>
      </c>
      <c r="F1875" s="136">
        <v>198</v>
      </c>
      <c r="G1875" s="137">
        <f t="shared" si="7"/>
        <v>3</v>
      </c>
      <c r="H1875" s="137"/>
      <c r="I1875" s="137"/>
      <c r="J1875" s="135"/>
      <c r="K1875" s="135"/>
      <c r="L1875" s="135"/>
      <c r="M1875" s="135"/>
      <c r="N1875" s="135"/>
      <c r="O1875" s="135"/>
      <c r="P1875" s="135"/>
      <c r="Q1875" s="135"/>
      <c r="R1875" s="135"/>
      <c r="S1875" s="135"/>
      <c r="T1875" s="135"/>
      <c r="U1875" s="135"/>
      <c r="V1875" s="135"/>
      <c r="W1875" s="135"/>
      <c r="X1875" s="135"/>
      <c r="Y1875" s="135"/>
      <c r="Z1875" s="135"/>
    </row>
    <row r="1876" spans="1:26" ht="12.75">
      <c r="A1876" s="136" t="s">
        <v>19</v>
      </c>
      <c r="B1876" s="136" t="s">
        <v>19</v>
      </c>
      <c r="C1876" s="136" t="s">
        <v>7671</v>
      </c>
      <c r="D1876" s="136" t="s">
        <v>139</v>
      </c>
      <c r="E1876" s="136" t="s">
        <v>594</v>
      </c>
      <c r="F1876" s="136">
        <v>165</v>
      </c>
      <c r="G1876" s="137">
        <f t="shared" si="7"/>
        <v>4</v>
      </c>
      <c r="H1876" s="137"/>
      <c r="I1876" s="137"/>
      <c r="J1876" s="135"/>
      <c r="K1876" s="135"/>
      <c r="L1876" s="135"/>
      <c r="M1876" s="135"/>
      <c r="N1876" s="135"/>
      <c r="O1876" s="135"/>
      <c r="P1876" s="135"/>
      <c r="Q1876" s="135"/>
      <c r="R1876" s="135"/>
      <c r="S1876" s="135"/>
      <c r="T1876" s="135"/>
      <c r="U1876" s="135"/>
      <c r="V1876" s="135"/>
      <c r="W1876" s="135"/>
      <c r="X1876" s="135"/>
      <c r="Y1876" s="135"/>
      <c r="Z1876" s="135"/>
    </row>
    <row r="1877" spans="1:26" ht="12.75">
      <c r="A1877" s="136" t="s">
        <v>19</v>
      </c>
      <c r="B1877" s="136" t="s">
        <v>19</v>
      </c>
      <c r="C1877" s="136" t="s">
        <v>7671</v>
      </c>
      <c r="D1877" s="136" t="s">
        <v>7657</v>
      </c>
      <c r="E1877" s="136" t="s">
        <v>85</v>
      </c>
      <c r="F1877" s="136">
        <v>135</v>
      </c>
      <c r="G1877" s="137">
        <f t="shared" si="7"/>
        <v>5</v>
      </c>
      <c r="H1877" s="137"/>
      <c r="I1877" s="137"/>
      <c r="J1877" s="135"/>
      <c r="K1877" s="135"/>
      <c r="L1877" s="135"/>
      <c r="M1877" s="135"/>
      <c r="N1877" s="135"/>
      <c r="O1877" s="135"/>
      <c r="P1877" s="135"/>
      <c r="Q1877" s="135"/>
      <c r="R1877" s="135"/>
      <c r="S1877" s="135"/>
      <c r="T1877" s="135"/>
      <c r="U1877" s="135"/>
      <c r="V1877" s="135"/>
      <c r="W1877" s="135"/>
      <c r="X1877" s="135"/>
      <c r="Y1877" s="135"/>
      <c r="Z1877" s="135"/>
    </row>
    <row r="1878" spans="1:26" ht="12.75">
      <c r="A1878" s="136" t="s">
        <v>19</v>
      </c>
      <c r="B1878" s="136" t="s">
        <v>19</v>
      </c>
      <c r="C1878" s="136" t="s">
        <v>7671</v>
      </c>
      <c r="D1878" s="136" t="s">
        <v>1669</v>
      </c>
      <c r="E1878" s="136" t="s">
        <v>615</v>
      </c>
      <c r="F1878" s="136">
        <v>134</v>
      </c>
      <c r="G1878" s="137">
        <f t="shared" si="7"/>
        <v>6</v>
      </c>
      <c r="H1878" s="137"/>
      <c r="I1878" s="137"/>
      <c r="J1878" s="135"/>
      <c r="K1878" s="135"/>
      <c r="L1878" s="135"/>
      <c r="M1878" s="135"/>
      <c r="N1878" s="135"/>
      <c r="O1878" s="135"/>
      <c r="P1878" s="135"/>
      <c r="Q1878" s="135"/>
      <c r="R1878" s="135"/>
      <c r="S1878" s="135"/>
      <c r="T1878" s="135"/>
      <c r="U1878" s="135"/>
      <c r="V1878" s="135"/>
      <c r="W1878" s="135"/>
      <c r="X1878" s="135"/>
      <c r="Y1878" s="135"/>
      <c r="Z1878" s="135"/>
    </row>
    <row r="1879" spans="1:26" ht="12.75">
      <c r="A1879" s="136" t="s">
        <v>19</v>
      </c>
      <c r="B1879" s="136" t="s">
        <v>19</v>
      </c>
      <c r="C1879" s="136" t="s">
        <v>7671</v>
      </c>
      <c r="D1879" s="136" t="s">
        <v>7615</v>
      </c>
      <c r="E1879" s="136" t="s">
        <v>7615</v>
      </c>
      <c r="F1879" s="136">
        <v>124</v>
      </c>
      <c r="G1879" s="137">
        <f t="shared" si="7"/>
        <v>7</v>
      </c>
      <c r="H1879" s="137"/>
      <c r="I1879" s="137"/>
      <c r="J1879" s="135"/>
      <c r="K1879" s="135"/>
      <c r="L1879" s="135"/>
      <c r="M1879" s="135"/>
      <c r="N1879" s="135"/>
      <c r="O1879" s="135"/>
      <c r="P1879" s="135"/>
      <c r="Q1879" s="135"/>
      <c r="R1879" s="135"/>
      <c r="S1879" s="135"/>
      <c r="T1879" s="135"/>
      <c r="U1879" s="135"/>
      <c r="V1879" s="135"/>
      <c r="W1879" s="135"/>
      <c r="X1879" s="135"/>
      <c r="Y1879" s="135"/>
      <c r="Z1879" s="135"/>
    </row>
    <row r="1880" spans="1:26" ht="12.75">
      <c r="A1880" s="136" t="s">
        <v>19</v>
      </c>
      <c r="B1880" s="136" t="s">
        <v>19</v>
      </c>
      <c r="C1880" s="136" t="s">
        <v>7671</v>
      </c>
      <c r="D1880" s="136" t="s">
        <v>1665</v>
      </c>
      <c r="E1880" s="136" t="s">
        <v>615</v>
      </c>
      <c r="F1880" s="136">
        <v>105</v>
      </c>
      <c r="G1880" s="137">
        <f t="shared" si="7"/>
        <v>8</v>
      </c>
      <c r="H1880" s="137"/>
      <c r="I1880" s="137"/>
      <c r="J1880" s="135"/>
      <c r="K1880" s="135"/>
      <c r="L1880" s="135"/>
      <c r="M1880" s="135"/>
      <c r="N1880" s="135"/>
      <c r="O1880" s="135"/>
      <c r="P1880" s="135"/>
      <c r="Q1880" s="135"/>
      <c r="R1880" s="135"/>
      <c r="S1880" s="135"/>
      <c r="T1880" s="135"/>
      <c r="U1880" s="135"/>
      <c r="V1880" s="135"/>
      <c r="W1880" s="135"/>
      <c r="X1880" s="135"/>
      <c r="Y1880" s="135"/>
      <c r="Z1880" s="135"/>
    </row>
    <row r="1881" spans="1:26" ht="12.75">
      <c r="A1881" s="136" t="s">
        <v>19</v>
      </c>
      <c r="B1881" s="136" t="s">
        <v>19</v>
      </c>
      <c r="C1881" s="136" t="s">
        <v>7671</v>
      </c>
      <c r="D1881" s="136" t="s">
        <v>368</v>
      </c>
      <c r="E1881" s="136" t="s">
        <v>594</v>
      </c>
      <c r="F1881" s="136">
        <v>35</v>
      </c>
      <c r="G1881" s="137">
        <f t="shared" si="7"/>
        <v>9</v>
      </c>
      <c r="H1881" s="137"/>
      <c r="I1881" s="137"/>
      <c r="J1881" s="135"/>
      <c r="K1881" s="135"/>
      <c r="L1881" s="135"/>
      <c r="M1881" s="135"/>
      <c r="N1881" s="135"/>
      <c r="O1881" s="135"/>
      <c r="P1881" s="135"/>
      <c r="Q1881" s="135"/>
      <c r="R1881" s="135"/>
      <c r="S1881" s="135"/>
      <c r="T1881" s="135"/>
      <c r="U1881" s="135"/>
      <c r="V1881" s="135"/>
      <c r="W1881" s="135"/>
      <c r="X1881" s="135"/>
      <c r="Y1881" s="135"/>
      <c r="Z1881" s="135"/>
    </row>
    <row r="1882" spans="1:26" ht="12.75">
      <c r="A1882" s="136" t="s">
        <v>19</v>
      </c>
      <c r="B1882" s="136" t="s">
        <v>19</v>
      </c>
      <c r="C1882" s="136" t="s">
        <v>7671</v>
      </c>
      <c r="D1882" s="136" t="s">
        <v>7614</v>
      </c>
      <c r="E1882" s="136" t="s">
        <v>7614</v>
      </c>
      <c r="F1882" s="136">
        <v>21</v>
      </c>
      <c r="G1882" s="137">
        <f t="shared" si="7"/>
        <v>10</v>
      </c>
      <c r="H1882" s="137"/>
      <c r="I1882" s="137"/>
      <c r="J1882" s="135"/>
      <c r="K1882" s="135"/>
      <c r="L1882" s="135"/>
      <c r="M1882" s="135"/>
      <c r="N1882" s="135"/>
      <c r="O1882" s="135"/>
      <c r="P1882" s="135"/>
      <c r="Q1882" s="135"/>
      <c r="R1882" s="135"/>
      <c r="S1882" s="135"/>
      <c r="T1882" s="135"/>
      <c r="U1882" s="135"/>
      <c r="V1882" s="135"/>
      <c r="W1882" s="135"/>
      <c r="X1882" s="135"/>
      <c r="Y1882" s="135"/>
      <c r="Z1882" s="135"/>
    </row>
    <row r="1883" spans="1:26" ht="12.75">
      <c r="A1883" s="136" t="s">
        <v>19</v>
      </c>
      <c r="B1883" s="136" t="s">
        <v>19</v>
      </c>
      <c r="C1883" s="136" t="s">
        <v>7671</v>
      </c>
      <c r="D1883" s="136" t="s">
        <v>114</v>
      </c>
      <c r="E1883" s="136" t="s">
        <v>85</v>
      </c>
      <c r="F1883" s="136">
        <v>20</v>
      </c>
      <c r="G1883" s="137">
        <f t="shared" si="7"/>
        <v>11</v>
      </c>
      <c r="H1883" s="137"/>
      <c r="I1883" s="137"/>
      <c r="J1883" s="135"/>
      <c r="K1883" s="135"/>
      <c r="L1883" s="135"/>
      <c r="M1883" s="135"/>
      <c r="N1883" s="135"/>
      <c r="O1883" s="135"/>
      <c r="P1883" s="135"/>
      <c r="Q1883" s="135"/>
      <c r="R1883" s="135"/>
      <c r="S1883" s="135"/>
      <c r="T1883" s="135"/>
      <c r="U1883" s="135"/>
      <c r="V1883" s="135"/>
      <c r="W1883" s="135"/>
      <c r="X1883" s="135"/>
      <c r="Y1883" s="135"/>
      <c r="Z1883" s="135"/>
    </row>
    <row r="1884" spans="1:26" ht="12.75">
      <c r="A1884" s="136" t="s">
        <v>19</v>
      </c>
      <c r="B1884" s="136" t="s">
        <v>19</v>
      </c>
      <c r="C1884" s="136" t="s">
        <v>206</v>
      </c>
      <c r="D1884" s="136" t="s">
        <v>139</v>
      </c>
      <c r="E1884" s="136" t="s">
        <v>594</v>
      </c>
      <c r="F1884" s="136">
        <v>493</v>
      </c>
      <c r="G1884" s="137">
        <f t="shared" si="7"/>
        <v>1</v>
      </c>
      <c r="H1884" s="137"/>
      <c r="I1884" s="137"/>
      <c r="J1884" s="135"/>
      <c r="K1884" s="135"/>
      <c r="L1884" s="135"/>
      <c r="M1884" s="135"/>
      <c r="N1884" s="135"/>
      <c r="O1884" s="135"/>
      <c r="P1884" s="135"/>
      <c r="Q1884" s="135"/>
      <c r="R1884" s="135"/>
      <c r="S1884" s="135"/>
      <c r="T1884" s="135"/>
      <c r="U1884" s="135"/>
      <c r="V1884" s="135"/>
      <c r="W1884" s="135"/>
      <c r="X1884" s="135"/>
      <c r="Y1884" s="135"/>
      <c r="Z1884" s="135"/>
    </row>
    <row r="1885" spans="1:26" ht="12.75">
      <c r="A1885" s="136" t="s">
        <v>19</v>
      </c>
      <c r="B1885" s="136" t="s">
        <v>19</v>
      </c>
      <c r="C1885" s="136" t="s">
        <v>206</v>
      </c>
      <c r="D1885" s="136" t="s">
        <v>7544</v>
      </c>
      <c r="E1885" s="136" t="s">
        <v>615</v>
      </c>
      <c r="F1885" s="136">
        <v>366</v>
      </c>
      <c r="G1885" s="137">
        <f t="shared" si="7"/>
        <v>2</v>
      </c>
      <c r="H1885" s="137"/>
      <c r="I1885" s="137"/>
      <c r="J1885" s="135"/>
      <c r="K1885" s="135"/>
      <c r="L1885" s="135"/>
      <c r="M1885" s="135"/>
      <c r="N1885" s="135"/>
      <c r="O1885" s="135"/>
      <c r="P1885" s="135"/>
      <c r="Q1885" s="135"/>
      <c r="R1885" s="135"/>
      <c r="S1885" s="135"/>
      <c r="T1885" s="135"/>
      <c r="U1885" s="135"/>
      <c r="V1885" s="135"/>
      <c r="W1885" s="135"/>
      <c r="X1885" s="135"/>
      <c r="Y1885" s="135"/>
      <c r="Z1885" s="135"/>
    </row>
    <row r="1886" spans="1:26" ht="12.75">
      <c r="A1886" s="136" t="s">
        <v>19</v>
      </c>
      <c r="B1886" s="136" t="s">
        <v>19</v>
      </c>
      <c r="C1886" s="136" t="s">
        <v>206</v>
      </c>
      <c r="D1886" s="136" t="s">
        <v>7613</v>
      </c>
      <c r="E1886" s="136" t="s">
        <v>85</v>
      </c>
      <c r="F1886" s="136">
        <v>277</v>
      </c>
      <c r="G1886" s="137">
        <f t="shared" si="7"/>
        <v>3</v>
      </c>
      <c r="H1886" s="137"/>
      <c r="I1886" s="137"/>
      <c r="J1886" s="135"/>
      <c r="K1886" s="135"/>
      <c r="L1886" s="135"/>
      <c r="M1886" s="135"/>
      <c r="N1886" s="135"/>
      <c r="O1886" s="135"/>
      <c r="P1886" s="135"/>
      <c r="Q1886" s="135"/>
      <c r="R1886" s="135"/>
      <c r="S1886" s="135"/>
      <c r="T1886" s="135"/>
      <c r="U1886" s="135"/>
      <c r="V1886" s="135"/>
      <c r="W1886" s="135"/>
      <c r="X1886" s="135"/>
      <c r="Y1886" s="135"/>
      <c r="Z1886" s="135"/>
    </row>
    <row r="1887" spans="1:26" ht="12.75">
      <c r="A1887" s="136" t="s">
        <v>19</v>
      </c>
      <c r="B1887" s="136" t="s">
        <v>19</v>
      </c>
      <c r="C1887" s="136" t="s">
        <v>206</v>
      </c>
      <c r="D1887" s="136" t="s">
        <v>7619</v>
      </c>
      <c r="E1887" s="136" t="s">
        <v>615</v>
      </c>
      <c r="F1887" s="136">
        <v>72</v>
      </c>
      <c r="G1887" s="137">
        <f t="shared" si="7"/>
        <v>4</v>
      </c>
      <c r="H1887" s="137"/>
      <c r="I1887" s="137"/>
      <c r="J1887" s="135"/>
      <c r="K1887" s="135"/>
      <c r="L1887" s="135"/>
      <c r="M1887" s="135"/>
      <c r="N1887" s="135"/>
      <c r="O1887" s="135"/>
      <c r="P1887" s="135"/>
      <c r="Q1887" s="135"/>
      <c r="R1887" s="135"/>
      <c r="S1887" s="135"/>
      <c r="T1887" s="135"/>
      <c r="U1887" s="135"/>
      <c r="V1887" s="135"/>
      <c r="W1887" s="135"/>
      <c r="X1887" s="135"/>
      <c r="Y1887" s="135"/>
      <c r="Z1887" s="135"/>
    </row>
    <row r="1888" spans="1:26" ht="12.75">
      <c r="A1888" s="136" t="s">
        <v>19</v>
      </c>
      <c r="B1888" s="136" t="s">
        <v>19</v>
      </c>
      <c r="C1888" s="136" t="s">
        <v>206</v>
      </c>
      <c r="D1888" s="136" t="s">
        <v>1669</v>
      </c>
      <c r="E1888" s="136" t="s">
        <v>615</v>
      </c>
      <c r="F1888" s="136">
        <v>63</v>
      </c>
      <c r="G1888" s="137">
        <f t="shared" si="7"/>
        <v>5</v>
      </c>
      <c r="H1888" s="137"/>
      <c r="I1888" s="137"/>
      <c r="J1888" s="135"/>
      <c r="K1888" s="135"/>
      <c r="L1888" s="135"/>
      <c r="M1888" s="135"/>
      <c r="N1888" s="135"/>
      <c r="O1888" s="135"/>
      <c r="P1888" s="135"/>
      <c r="Q1888" s="135"/>
      <c r="R1888" s="135"/>
      <c r="S1888" s="135"/>
      <c r="T1888" s="135"/>
      <c r="U1888" s="135"/>
      <c r="V1888" s="135"/>
      <c r="W1888" s="135"/>
      <c r="X1888" s="135"/>
      <c r="Y1888" s="135"/>
      <c r="Z1888" s="135"/>
    </row>
    <row r="1889" spans="1:26" ht="12.75">
      <c r="A1889" s="136" t="s">
        <v>19</v>
      </c>
      <c r="B1889" s="136" t="s">
        <v>19</v>
      </c>
      <c r="C1889" s="136" t="s">
        <v>206</v>
      </c>
      <c r="D1889" s="136" t="s">
        <v>467</v>
      </c>
      <c r="E1889" s="136" t="s">
        <v>85</v>
      </c>
      <c r="F1889" s="136">
        <v>50</v>
      </c>
      <c r="G1889" s="137">
        <f t="shared" si="7"/>
        <v>6</v>
      </c>
      <c r="H1889" s="137"/>
      <c r="I1889" s="137"/>
      <c r="J1889" s="135"/>
      <c r="K1889" s="135"/>
      <c r="L1889" s="135"/>
      <c r="M1889" s="135"/>
      <c r="N1889" s="135"/>
      <c r="O1889" s="135"/>
      <c r="P1889" s="135"/>
      <c r="Q1889" s="135"/>
      <c r="R1889" s="135"/>
      <c r="S1889" s="135"/>
      <c r="T1889" s="135"/>
      <c r="U1889" s="135"/>
      <c r="V1889" s="135"/>
      <c r="W1889" s="135"/>
      <c r="X1889" s="135"/>
      <c r="Y1889" s="135"/>
      <c r="Z1889" s="135"/>
    </row>
    <row r="1890" spans="1:26" ht="12.75">
      <c r="A1890" s="136" t="s">
        <v>19</v>
      </c>
      <c r="B1890" s="136" t="s">
        <v>19</v>
      </c>
      <c r="C1890" s="136" t="s">
        <v>206</v>
      </c>
      <c r="D1890" s="136" t="s">
        <v>7614</v>
      </c>
      <c r="E1890" s="136" t="s">
        <v>7614</v>
      </c>
      <c r="F1890" s="136">
        <v>32</v>
      </c>
      <c r="G1890" s="137">
        <f t="shared" si="7"/>
        <v>7</v>
      </c>
      <c r="H1890" s="137"/>
      <c r="I1890" s="137"/>
      <c r="J1890" s="135"/>
      <c r="K1890" s="135"/>
      <c r="L1890" s="135"/>
      <c r="M1890" s="135"/>
      <c r="N1890" s="135"/>
      <c r="O1890" s="135"/>
      <c r="P1890" s="135"/>
      <c r="Q1890" s="135"/>
      <c r="R1890" s="135"/>
      <c r="S1890" s="135"/>
      <c r="T1890" s="135"/>
      <c r="U1890" s="135"/>
      <c r="V1890" s="135"/>
      <c r="W1890" s="135"/>
      <c r="X1890" s="135"/>
      <c r="Y1890" s="135"/>
      <c r="Z1890" s="135"/>
    </row>
    <row r="1891" spans="1:26" ht="12.75">
      <c r="A1891" s="136" t="s">
        <v>19</v>
      </c>
      <c r="B1891" s="136" t="s">
        <v>19</v>
      </c>
      <c r="C1891" s="136" t="s">
        <v>206</v>
      </c>
      <c r="D1891" s="136" t="s">
        <v>131</v>
      </c>
      <c r="E1891" s="136" t="s">
        <v>594</v>
      </c>
      <c r="F1891" s="136">
        <v>30</v>
      </c>
      <c r="G1891" s="137">
        <f t="shared" si="7"/>
        <v>8</v>
      </c>
      <c r="H1891" s="137"/>
      <c r="I1891" s="137"/>
      <c r="J1891" s="135"/>
      <c r="K1891" s="135"/>
      <c r="L1891" s="135"/>
      <c r="M1891" s="135"/>
      <c r="N1891" s="135"/>
      <c r="O1891" s="135"/>
      <c r="P1891" s="135"/>
      <c r="Q1891" s="135"/>
      <c r="R1891" s="135"/>
      <c r="S1891" s="135"/>
      <c r="T1891" s="135"/>
      <c r="U1891" s="135"/>
      <c r="V1891" s="135"/>
      <c r="W1891" s="135"/>
      <c r="X1891" s="135"/>
      <c r="Y1891" s="135"/>
      <c r="Z1891" s="135"/>
    </row>
    <row r="1892" spans="1:26" ht="12.75">
      <c r="A1892" s="136" t="s">
        <v>19</v>
      </c>
      <c r="B1892" s="136" t="s">
        <v>19</v>
      </c>
      <c r="C1892" s="136" t="s">
        <v>206</v>
      </c>
      <c r="D1892" s="136" t="s">
        <v>7615</v>
      </c>
      <c r="E1892" s="136" t="s">
        <v>7615</v>
      </c>
      <c r="F1892" s="136">
        <v>19</v>
      </c>
      <c r="G1892" s="137">
        <f t="shared" si="7"/>
        <v>9</v>
      </c>
      <c r="H1892" s="137"/>
      <c r="I1892" s="137"/>
      <c r="J1892" s="135"/>
      <c r="K1892" s="135"/>
      <c r="L1892" s="135"/>
      <c r="M1892" s="135"/>
      <c r="N1892" s="135"/>
      <c r="O1892" s="135"/>
      <c r="P1892" s="135"/>
      <c r="Q1892" s="135"/>
      <c r="R1892" s="135"/>
      <c r="S1892" s="135"/>
      <c r="T1892" s="135"/>
      <c r="U1892" s="135"/>
      <c r="V1892" s="135"/>
      <c r="W1892" s="135"/>
      <c r="X1892" s="135"/>
      <c r="Y1892" s="135"/>
      <c r="Z1892" s="135"/>
    </row>
    <row r="1893" spans="1:26" ht="12.75">
      <c r="A1893" s="136" t="s">
        <v>19</v>
      </c>
      <c r="B1893" s="136" t="s">
        <v>19</v>
      </c>
      <c r="C1893" s="136" t="s">
        <v>206</v>
      </c>
      <c r="D1893" s="136" t="s">
        <v>1626</v>
      </c>
      <c r="E1893" s="136" t="s">
        <v>594</v>
      </c>
      <c r="F1893" s="136">
        <v>11</v>
      </c>
      <c r="G1893" s="137">
        <f t="shared" si="7"/>
        <v>10</v>
      </c>
      <c r="H1893" s="137"/>
      <c r="I1893" s="137"/>
      <c r="J1893" s="135"/>
      <c r="K1893" s="135"/>
      <c r="L1893" s="135"/>
      <c r="M1893" s="135"/>
      <c r="N1893" s="135"/>
      <c r="O1893" s="135"/>
      <c r="P1893" s="135"/>
      <c r="Q1893" s="135"/>
      <c r="R1893" s="135"/>
      <c r="S1893" s="135"/>
      <c r="T1893" s="135"/>
      <c r="U1893" s="135"/>
      <c r="V1893" s="135"/>
      <c r="W1893" s="135"/>
      <c r="X1893" s="135"/>
      <c r="Y1893" s="135"/>
      <c r="Z1893" s="135"/>
    </row>
    <row r="1894" spans="1:26" ht="12.75">
      <c r="A1894" s="136" t="s">
        <v>19</v>
      </c>
      <c r="B1894" s="136" t="s">
        <v>19</v>
      </c>
      <c r="C1894" s="136" t="s">
        <v>206</v>
      </c>
      <c r="D1894" s="136" t="s">
        <v>38</v>
      </c>
      <c r="E1894" s="136" t="s">
        <v>38</v>
      </c>
      <c r="F1894" s="136">
        <v>4</v>
      </c>
      <c r="G1894" s="137">
        <f t="shared" si="7"/>
        <v>11</v>
      </c>
      <c r="H1894" s="137"/>
      <c r="I1894" s="137"/>
      <c r="J1894" s="135"/>
      <c r="K1894" s="135"/>
      <c r="L1894" s="135"/>
      <c r="M1894" s="135"/>
      <c r="N1894" s="135"/>
      <c r="O1894" s="135"/>
      <c r="P1894" s="135"/>
      <c r="Q1894" s="135"/>
      <c r="R1894" s="135"/>
      <c r="S1894" s="135"/>
      <c r="T1894" s="135"/>
      <c r="U1894" s="135"/>
      <c r="V1894" s="135"/>
      <c r="W1894" s="135"/>
      <c r="X1894" s="135"/>
      <c r="Y1894" s="135"/>
      <c r="Z1894" s="135"/>
    </row>
    <row r="1895" spans="1:26" ht="12.75">
      <c r="A1895" s="136" t="s">
        <v>19</v>
      </c>
      <c r="B1895" s="136" t="s">
        <v>19</v>
      </c>
      <c r="C1895" s="136" t="s">
        <v>7672</v>
      </c>
      <c r="D1895" s="136" t="s">
        <v>139</v>
      </c>
      <c r="E1895" s="136" t="s">
        <v>594</v>
      </c>
      <c r="F1895" s="136">
        <v>1268</v>
      </c>
      <c r="G1895" s="137">
        <f t="shared" si="7"/>
        <v>1</v>
      </c>
      <c r="H1895" s="137"/>
      <c r="I1895" s="137"/>
      <c r="J1895" s="135"/>
      <c r="K1895" s="135"/>
      <c r="L1895" s="135"/>
      <c r="M1895" s="135"/>
      <c r="N1895" s="135"/>
      <c r="O1895" s="135"/>
      <c r="P1895" s="135"/>
      <c r="Q1895" s="135"/>
      <c r="R1895" s="135"/>
      <c r="S1895" s="135"/>
      <c r="T1895" s="135"/>
      <c r="U1895" s="135"/>
      <c r="V1895" s="135"/>
      <c r="W1895" s="135"/>
      <c r="X1895" s="135"/>
      <c r="Y1895" s="135"/>
      <c r="Z1895" s="135"/>
    </row>
    <row r="1896" spans="1:26" ht="12.75">
      <c r="A1896" s="136" t="s">
        <v>19</v>
      </c>
      <c r="B1896" s="136" t="s">
        <v>19</v>
      </c>
      <c r="C1896" s="136" t="s">
        <v>7672</v>
      </c>
      <c r="D1896" s="136" t="s">
        <v>7613</v>
      </c>
      <c r="E1896" s="136" t="s">
        <v>85</v>
      </c>
      <c r="F1896" s="136">
        <v>492</v>
      </c>
      <c r="G1896" s="137">
        <f t="shared" si="7"/>
        <v>2</v>
      </c>
      <c r="H1896" s="137"/>
      <c r="I1896" s="137"/>
      <c r="J1896" s="135"/>
      <c r="K1896" s="135"/>
      <c r="L1896" s="135"/>
      <c r="M1896" s="135"/>
      <c r="N1896" s="135"/>
      <c r="O1896" s="135"/>
      <c r="P1896" s="135"/>
      <c r="Q1896" s="135"/>
      <c r="R1896" s="135"/>
      <c r="S1896" s="135"/>
      <c r="T1896" s="135"/>
      <c r="U1896" s="135"/>
      <c r="V1896" s="135"/>
      <c r="W1896" s="135"/>
      <c r="X1896" s="135"/>
      <c r="Y1896" s="135"/>
      <c r="Z1896" s="135"/>
    </row>
    <row r="1897" spans="1:26" ht="12.75">
      <c r="A1897" s="136" t="s">
        <v>19</v>
      </c>
      <c r="B1897" s="136" t="s">
        <v>19</v>
      </c>
      <c r="C1897" s="136" t="s">
        <v>7672</v>
      </c>
      <c r="D1897" s="136" t="s">
        <v>467</v>
      </c>
      <c r="E1897" s="136" t="s">
        <v>85</v>
      </c>
      <c r="F1897" s="136">
        <v>269</v>
      </c>
      <c r="G1897" s="137">
        <f t="shared" si="7"/>
        <v>3</v>
      </c>
      <c r="H1897" s="137"/>
      <c r="I1897" s="137"/>
      <c r="J1897" s="135"/>
      <c r="K1897" s="135"/>
      <c r="L1897" s="135"/>
      <c r="M1897" s="135"/>
      <c r="N1897" s="135"/>
      <c r="O1897" s="135"/>
      <c r="P1897" s="135"/>
      <c r="Q1897" s="135"/>
      <c r="R1897" s="135"/>
      <c r="S1897" s="135"/>
      <c r="T1897" s="135"/>
      <c r="U1897" s="135"/>
      <c r="V1897" s="135"/>
      <c r="W1897" s="135"/>
      <c r="X1897" s="135"/>
      <c r="Y1897" s="135"/>
      <c r="Z1897" s="135"/>
    </row>
    <row r="1898" spans="1:26" ht="12.75">
      <c r="A1898" s="136" t="s">
        <v>19</v>
      </c>
      <c r="B1898" s="136" t="s">
        <v>19</v>
      </c>
      <c r="C1898" s="136" t="s">
        <v>7672</v>
      </c>
      <c r="D1898" s="136" t="s">
        <v>1669</v>
      </c>
      <c r="E1898" s="136" t="s">
        <v>615</v>
      </c>
      <c r="F1898" s="136">
        <v>219</v>
      </c>
      <c r="G1898" s="137">
        <f t="shared" si="7"/>
        <v>4</v>
      </c>
      <c r="H1898" s="137"/>
      <c r="I1898" s="137"/>
      <c r="J1898" s="135"/>
      <c r="K1898" s="135"/>
      <c r="L1898" s="135"/>
      <c r="M1898" s="135"/>
      <c r="N1898" s="135"/>
      <c r="O1898" s="135"/>
      <c r="P1898" s="135"/>
      <c r="Q1898" s="135"/>
      <c r="R1898" s="135"/>
      <c r="S1898" s="135"/>
      <c r="T1898" s="135"/>
      <c r="U1898" s="135"/>
      <c r="V1898" s="135"/>
      <c r="W1898" s="135"/>
      <c r="X1898" s="135"/>
      <c r="Y1898" s="135"/>
      <c r="Z1898" s="135"/>
    </row>
    <row r="1899" spans="1:26" ht="12.75">
      <c r="A1899" s="136" t="s">
        <v>19</v>
      </c>
      <c r="B1899" s="136" t="s">
        <v>19</v>
      </c>
      <c r="C1899" s="136" t="s">
        <v>7672</v>
      </c>
      <c r="D1899" s="136" t="s">
        <v>7621</v>
      </c>
      <c r="E1899" s="136" t="s">
        <v>7621</v>
      </c>
      <c r="F1899" s="136">
        <v>117</v>
      </c>
      <c r="G1899" s="137">
        <f t="shared" si="7"/>
        <v>5</v>
      </c>
      <c r="H1899" s="137"/>
      <c r="I1899" s="137"/>
      <c r="J1899" s="135"/>
      <c r="K1899" s="135"/>
      <c r="L1899" s="135"/>
      <c r="M1899" s="135"/>
      <c r="N1899" s="135"/>
      <c r="O1899" s="135"/>
      <c r="P1899" s="135"/>
      <c r="Q1899" s="135"/>
      <c r="R1899" s="135"/>
      <c r="S1899" s="135"/>
      <c r="T1899" s="135"/>
      <c r="U1899" s="135"/>
      <c r="V1899" s="135"/>
      <c r="W1899" s="135"/>
      <c r="X1899" s="135"/>
      <c r="Y1899" s="135"/>
      <c r="Z1899" s="135"/>
    </row>
    <row r="1900" spans="1:26" ht="12.75">
      <c r="A1900" s="136" t="s">
        <v>19</v>
      </c>
      <c r="B1900" s="136" t="s">
        <v>19</v>
      </c>
      <c r="C1900" s="136" t="s">
        <v>7672</v>
      </c>
      <c r="D1900" s="136" t="s">
        <v>86</v>
      </c>
      <c r="E1900" s="136" t="s">
        <v>86</v>
      </c>
      <c r="F1900" s="136">
        <v>108</v>
      </c>
      <c r="G1900" s="137">
        <f t="shared" si="7"/>
        <v>6</v>
      </c>
      <c r="H1900" s="137"/>
      <c r="I1900" s="137"/>
      <c r="J1900" s="135"/>
      <c r="K1900" s="135"/>
      <c r="L1900" s="135"/>
      <c r="M1900" s="135"/>
      <c r="N1900" s="135"/>
      <c r="O1900" s="135"/>
      <c r="P1900" s="135"/>
      <c r="Q1900" s="135"/>
      <c r="R1900" s="135"/>
      <c r="S1900" s="135"/>
      <c r="T1900" s="135"/>
      <c r="U1900" s="135"/>
      <c r="V1900" s="135"/>
      <c r="W1900" s="135"/>
      <c r="X1900" s="135"/>
      <c r="Y1900" s="135"/>
      <c r="Z1900" s="135"/>
    </row>
    <row r="1901" spans="1:26" ht="12.75">
      <c r="A1901" s="136" t="s">
        <v>19</v>
      </c>
      <c r="B1901" s="136" t="s">
        <v>19</v>
      </c>
      <c r="C1901" s="136" t="s">
        <v>7672</v>
      </c>
      <c r="D1901" s="136" t="s">
        <v>136</v>
      </c>
      <c r="E1901" s="136" t="s">
        <v>615</v>
      </c>
      <c r="F1901" s="136">
        <v>101</v>
      </c>
      <c r="G1901" s="137">
        <f t="shared" si="7"/>
        <v>7</v>
      </c>
      <c r="H1901" s="137"/>
      <c r="I1901" s="137"/>
      <c r="J1901" s="135"/>
      <c r="K1901" s="135"/>
      <c r="L1901" s="135"/>
      <c r="M1901" s="135"/>
      <c r="N1901" s="135"/>
      <c r="O1901" s="135"/>
      <c r="P1901" s="135"/>
      <c r="Q1901" s="135"/>
      <c r="R1901" s="135"/>
      <c r="S1901" s="135"/>
      <c r="T1901" s="135"/>
      <c r="U1901" s="135"/>
      <c r="V1901" s="135"/>
      <c r="W1901" s="135"/>
      <c r="X1901" s="135"/>
      <c r="Y1901" s="135"/>
      <c r="Z1901" s="135"/>
    </row>
    <row r="1902" spans="1:26" ht="12.75">
      <c r="A1902" s="136" t="s">
        <v>19</v>
      </c>
      <c r="B1902" s="136" t="s">
        <v>19</v>
      </c>
      <c r="C1902" s="136" t="s">
        <v>7672</v>
      </c>
      <c r="D1902" s="136" t="s">
        <v>7614</v>
      </c>
      <c r="E1902" s="136" t="s">
        <v>7614</v>
      </c>
      <c r="F1902" s="136">
        <v>62</v>
      </c>
      <c r="G1902" s="137">
        <f t="shared" si="7"/>
        <v>8</v>
      </c>
      <c r="H1902" s="137"/>
      <c r="I1902" s="137"/>
      <c r="J1902" s="135"/>
      <c r="K1902" s="135"/>
      <c r="L1902" s="135"/>
      <c r="M1902" s="135"/>
      <c r="N1902" s="135"/>
      <c r="O1902" s="135"/>
      <c r="P1902" s="135"/>
      <c r="Q1902" s="135"/>
      <c r="R1902" s="135"/>
      <c r="S1902" s="135"/>
      <c r="T1902" s="135"/>
      <c r="U1902" s="135"/>
      <c r="V1902" s="135"/>
      <c r="W1902" s="135"/>
      <c r="X1902" s="135"/>
      <c r="Y1902" s="135"/>
      <c r="Z1902" s="135"/>
    </row>
    <row r="1903" spans="1:26" ht="12.75">
      <c r="A1903" s="136" t="s">
        <v>19</v>
      </c>
      <c r="B1903" s="136" t="s">
        <v>19</v>
      </c>
      <c r="C1903" s="136" t="s">
        <v>7672</v>
      </c>
      <c r="D1903" s="136" t="s">
        <v>368</v>
      </c>
      <c r="E1903" s="136" t="s">
        <v>594</v>
      </c>
      <c r="F1903" s="136">
        <v>11</v>
      </c>
      <c r="G1903" s="137">
        <f t="shared" si="7"/>
        <v>9</v>
      </c>
      <c r="H1903" s="137"/>
      <c r="I1903" s="137"/>
      <c r="J1903" s="135"/>
      <c r="K1903" s="135"/>
      <c r="L1903" s="135"/>
      <c r="M1903" s="135"/>
      <c r="N1903" s="135"/>
      <c r="O1903" s="135"/>
      <c r="P1903" s="135"/>
      <c r="Q1903" s="135"/>
      <c r="R1903" s="135"/>
      <c r="S1903" s="135"/>
      <c r="T1903" s="135"/>
      <c r="U1903" s="135"/>
      <c r="V1903" s="135"/>
      <c r="W1903" s="135"/>
      <c r="X1903" s="135"/>
      <c r="Y1903" s="135"/>
      <c r="Z1903" s="135"/>
    </row>
    <row r="1904" spans="1:26" ht="12.75">
      <c r="A1904" s="136" t="s">
        <v>19</v>
      </c>
      <c r="B1904" s="136" t="s">
        <v>19</v>
      </c>
      <c r="C1904" s="136" t="s">
        <v>211</v>
      </c>
      <c r="D1904" s="136" t="s">
        <v>107</v>
      </c>
      <c r="E1904" s="136" t="s">
        <v>594</v>
      </c>
      <c r="F1904" s="136">
        <v>1654</v>
      </c>
      <c r="G1904" s="137">
        <f t="shared" si="7"/>
        <v>1</v>
      </c>
      <c r="H1904" s="137"/>
      <c r="I1904" s="137"/>
      <c r="J1904" s="135"/>
      <c r="K1904" s="135"/>
      <c r="L1904" s="135"/>
      <c r="M1904" s="135"/>
      <c r="N1904" s="135"/>
      <c r="O1904" s="135"/>
      <c r="P1904" s="135"/>
      <c r="Q1904" s="135"/>
      <c r="R1904" s="135"/>
      <c r="S1904" s="135"/>
      <c r="T1904" s="135"/>
      <c r="U1904" s="135"/>
      <c r="V1904" s="135"/>
      <c r="W1904" s="135"/>
      <c r="X1904" s="135"/>
      <c r="Y1904" s="135"/>
      <c r="Z1904" s="135"/>
    </row>
    <row r="1905" spans="1:26" ht="12.75">
      <c r="A1905" s="136" t="s">
        <v>19</v>
      </c>
      <c r="B1905" s="136" t="s">
        <v>19</v>
      </c>
      <c r="C1905" s="136" t="s">
        <v>211</v>
      </c>
      <c r="D1905" s="136" t="s">
        <v>1674</v>
      </c>
      <c r="E1905" s="136" t="s">
        <v>615</v>
      </c>
      <c r="F1905" s="136">
        <v>1550</v>
      </c>
      <c r="G1905" s="137">
        <f t="shared" si="7"/>
        <v>2</v>
      </c>
      <c r="H1905" s="137"/>
      <c r="I1905" s="137"/>
      <c r="J1905" s="135"/>
      <c r="K1905" s="135"/>
      <c r="L1905" s="135"/>
      <c r="M1905" s="135"/>
      <c r="N1905" s="135"/>
      <c r="O1905" s="135"/>
      <c r="P1905" s="135"/>
      <c r="Q1905" s="135"/>
      <c r="R1905" s="135"/>
      <c r="S1905" s="135"/>
      <c r="T1905" s="135"/>
      <c r="U1905" s="135"/>
      <c r="V1905" s="135"/>
      <c r="W1905" s="135"/>
      <c r="X1905" s="135"/>
      <c r="Y1905" s="135"/>
      <c r="Z1905" s="135"/>
    </row>
    <row r="1906" spans="1:26" ht="12.75">
      <c r="A1906" s="136" t="s">
        <v>19</v>
      </c>
      <c r="B1906" s="136" t="s">
        <v>19</v>
      </c>
      <c r="C1906" s="136" t="s">
        <v>211</v>
      </c>
      <c r="D1906" s="136" t="s">
        <v>139</v>
      </c>
      <c r="E1906" s="136" t="s">
        <v>594</v>
      </c>
      <c r="F1906" s="136">
        <v>835</v>
      </c>
      <c r="G1906" s="137">
        <f t="shared" si="7"/>
        <v>3</v>
      </c>
      <c r="H1906" s="137"/>
      <c r="I1906" s="137"/>
      <c r="J1906" s="135"/>
      <c r="K1906" s="135"/>
      <c r="L1906" s="135"/>
      <c r="M1906" s="135"/>
      <c r="N1906" s="135"/>
      <c r="O1906" s="135"/>
      <c r="P1906" s="135"/>
      <c r="Q1906" s="135"/>
      <c r="R1906" s="135"/>
      <c r="S1906" s="135"/>
      <c r="T1906" s="135"/>
      <c r="U1906" s="135"/>
      <c r="V1906" s="135"/>
      <c r="W1906" s="135"/>
      <c r="X1906" s="135"/>
      <c r="Y1906" s="135"/>
      <c r="Z1906" s="135"/>
    </row>
    <row r="1907" spans="1:26" ht="12.75">
      <c r="A1907" s="136" t="s">
        <v>19</v>
      </c>
      <c r="B1907" s="136" t="s">
        <v>19</v>
      </c>
      <c r="C1907" s="136" t="s">
        <v>211</v>
      </c>
      <c r="D1907" s="136" t="s">
        <v>7660</v>
      </c>
      <c r="E1907" s="136" t="s">
        <v>615</v>
      </c>
      <c r="F1907" s="136">
        <v>627</v>
      </c>
      <c r="G1907" s="137">
        <f t="shared" si="7"/>
        <v>4</v>
      </c>
      <c r="H1907" s="137"/>
      <c r="I1907" s="137"/>
      <c r="J1907" s="135"/>
      <c r="K1907" s="135"/>
      <c r="L1907" s="135"/>
      <c r="M1907" s="135"/>
      <c r="N1907" s="135"/>
      <c r="O1907" s="135"/>
      <c r="P1907" s="135"/>
      <c r="Q1907" s="135"/>
      <c r="R1907" s="135"/>
      <c r="S1907" s="135"/>
      <c r="T1907" s="135"/>
      <c r="U1907" s="135"/>
      <c r="V1907" s="135"/>
      <c r="W1907" s="135"/>
      <c r="X1907" s="135"/>
      <c r="Y1907" s="135"/>
      <c r="Z1907" s="135"/>
    </row>
    <row r="1908" spans="1:26" ht="12.75">
      <c r="A1908" s="136" t="s">
        <v>19</v>
      </c>
      <c r="B1908" s="136" t="s">
        <v>19</v>
      </c>
      <c r="C1908" s="136" t="s">
        <v>211</v>
      </c>
      <c r="D1908" s="136" t="s">
        <v>7613</v>
      </c>
      <c r="E1908" s="136" t="s">
        <v>85</v>
      </c>
      <c r="F1908" s="136">
        <v>425</v>
      </c>
      <c r="G1908" s="137">
        <f t="shared" si="7"/>
        <v>5</v>
      </c>
      <c r="H1908" s="137"/>
      <c r="I1908" s="137"/>
      <c r="J1908" s="135"/>
      <c r="K1908" s="135"/>
      <c r="L1908" s="135"/>
      <c r="M1908" s="135"/>
      <c r="N1908" s="135"/>
      <c r="O1908" s="135"/>
      <c r="P1908" s="135"/>
      <c r="Q1908" s="135"/>
      <c r="R1908" s="135"/>
      <c r="S1908" s="135"/>
      <c r="T1908" s="135"/>
      <c r="U1908" s="135"/>
      <c r="V1908" s="135"/>
      <c r="W1908" s="135"/>
      <c r="X1908" s="135"/>
      <c r="Y1908" s="135"/>
      <c r="Z1908" s="135"/>
    </row>
    <row r="1909" spans="1:26" ht="12.75">
      <c r="A1909" s="136" t="s">
        <v>19</v>
      </c>
      <c r="B1909" s="136" t="s">
        <v>19</v>
      </c>
      <c r="C1909" s="136" t="s">
        <v>211</v>
      </c>
      <c r="D1909" s="136" t="s">
        <v>38</v>
      </c>
      <c r="E1909" s="136" t="s">
        <v>38</v>
      </c>
      <c r="F1909" s="136">
        <v>136</v>
      </c>
      <c r="G1909" s="137">
        <f t="shared" si="7"/>
        <v>6</v>
      </c>
      <c r="H1909" s="137"/>
      <c r="I1909" s="137"/>
      <c r="J1909" s="135"/>
      <c r="K1909" s="135"/>
      <c r="L1909" s="135"/>
      <c r="M1909" s="135"/>
      <c r="N1909" s="135"/>
      <c r="O1909" s="135"/>
      <c r="P1909" s="135"/>
      <c r="Q1909" s="135"/>
      <c r="R1909" s="135"/>
      <c r="S1909" s="135"/>
      <c r="T1909" s="135"/>
      <c r="U1909" s="135"/>
      <c r="V1909" s="135"/>
      <c r="W1909" s="135"/>
      <c r="X1909" s="135"/>
      <c r="Y1909" s="135"/>
      <c r="Z1909" s="135"/>
    </row>
    <row r="1910" spans="1:26" ht="12.75">
      <c r="A1910" s="136" t="s">
        <v>19</v>
      </c>
      <c r="B1910" s="136" t="s">
        <v>19</v>
      </c>
      <c r="C1910" s="136" t="s">
        <v>211</v>
      </c>
      <c r="D1910" s="136" t="s">
        <v>467</v>
      </c>
      <c r="E1910" s="136" t="s">
        <v>85</v>
      </c>
      <c r="F1910" s="136">
        <v>110</v>
      </c>
      <c r="G1910" s="137">
        <f t="shared" si="7"/>
        <v>7</v>
      </c>
      <c r="H1910" s="137"/>
      <c r="I1910" s="137"/>
      <c r="J1910" s="135"/>
      <c r="K1910" s="135"/>
      <c r="L1910" s="135"/>
      <c r="M1910" s="135"/>
      <c r="N1910" s="135"/>
      <c r="O1910" s="135"/>
      <c r="P1910" s="135"/>
      <c r="Q1910" s="135"/>
      <c r="R1910" s="135"/>
      <c r="S1910" s="135"/>
      <c r="T1910" s="135"/>
      <c r="U1910" s="135"/>
      <c r="V1910" s="135"/>
      <c r="W1910" s="135"/>
      <c r="X1910" s="135"/>
      <c r="Y1910" s="135"/>
      <c r="Z1910" s="135"/>
    </row>
    <row r="1911" spans="1:26" ht="12.75">
      <c r="A1911" s="136" t="s">
        <v>19</v>
      </c>
      <c r="B1911" s="136" t="s">
        <v>19</v>
      </c>
      <c r="C1911" s="136" t="s">
        <v>211</v>
      </c>
      <c r="D1911" s="136" t="s">
        <v>103</v>
      </c>
      <c r="E1911" s="136" t="s">
        <v>594</v>
      </c>
      <c r="F1911" s="136">
        <v>92</v>
      </c>
      <c r="G1911" s="137">
        <f t="shared" si="7"/>
        <v>8</v>
      </c>
      <c r="H1911" s="137"/>
      <c r="I1911" s="137"/>
      <c r="J1911" s="135"/>
      <c r="K1911" s="135"/>
      <c r="L1911" s="135"/>
      <c r="M1911" s="135"/>
      <c r="N1911" s="135"/>
      <c r="O1911" s="135"/>
      <c r="P1911" s="135"/>
      <c r="Q1911" s="135"/>
      <c r="R1911" s="135"/>
      <c r="S1911" s="135"/>
      <c r="T1911" s="135"/>
      <c r="U1911" s="135"/>
      <c r="V1911" s="135"/>
      <c r="W1911" s="135"/>
      <c r="X1911" s="135"/>
      <c r="Y1911" s="135"/>
      <c r="Z1911" s="135"/>
    </row>
    <row r="1912" spans="1:26" ht="12.75">
      <c r="A1912" s="136" t="s">
        <v>19</v>
      </c>
      <c r="B1912" s="136" t="s">
        <v>19</v>
      </c>
      <c r="C1912" s="136" t="s">
        <v>211</v>
      </c>
      <c r="D1912" s="136" t="s">
        <v>131</v>
      </c>
      <c r="E1912" s="136" t="s">
        <v>594</v>
      </c>
      <c r="F1912" s="136">
        <v>80</v>
      </c>
      <c r="G1912" s="137">
        <f t="shared" si="7"/>
        <v>9</v>
      </c>
      <c r="H1912" s="137"/>
      <c r="I1912" s="137"/>
      <c r="J1912" s="135"/>
      <c r="K1912" s="135"/>
      <c r="L1912" s="135"/>
      <c r="M1912" s="135"/>
      <c r="N1912" s="135"/>
      <c r="O1912" s="135"/>
      <c r="P1912" s="135"/>
      <c r="Q1912" s="135"/>
      <c r="R1912" s="135"/>
      <c r="S1912" s="135"/>
      <c r="T1912" s="135"/>
      <c r="U1912" s="135"/>
      <c r="V1912" s="135"/>
      <c r="W1912" s="135"/>
      <c r="X1912" s="135"/>
      <c r="Y1912" s="135"/>
      <c r="Z1912" s="135"/>
    </row>
    <row r="1913" spans="1:26" ht="12.75">
      <c r="A1913" s="136" t="s">
        <v>19</v>
      </c>
      <c r="B1913" s="136" t="s">
        <v>19</v>
      </c>
      <c r="C1913" s="136" t="s">
        <v>211</v>
      </c>
      <c r="D1913" s="136" t="s">
        <v>1665</v>
      </c>
      <c r="E1913" s="136" t="s">
        <v>615</v>
      </c>
      <c r="F1913" s="136">
        <v>56</v>
      </c>
      <c r="G1913" s="137">
        <f t="shared" si="7"/>
        <v>10</v>
      </c>
      <c r="H1913" s="137"/>
      <c r="I1913" s="137"/>
      <c r="J1913" s="135"/>
      <c r="K1913" s="135"/>
      <c r="L1913" s="135"/>
      <c r="M1913" s="135"/>
      <c r="N1913" s="135"/>
      <c r="O1913" s="135"/>
      <c r="P1913" s="135"/>
      <c r="Q1913" s="135"/>
      <c r="R1913" s="135"/>
      <c r="S1913" s="135"/>
      <c r="T1913" s="135"/>
      <c r="U1913" s="135"/>
      <c r="V1913" s="135"/>
      <c r="W1913" s="135"/>
      <c r="X1913" s="135"/>
      <c r="Y1913" s="135"/>
      <c r="Z1913" s="135"/>
    </row>
    <row r="1914" spans="1:26" ht="12.75">
      <c r="A1914" s="136" t="s">
        <v>19</v>
      </c>
      <c r="B1914" s="136" t="s">
        <v>19</v>
      </c>
      <c r="C1914" s="136" t="s">
        <v>211</v>
      </c>
      <c r="D1914" s="136" t="s">
        <v>368</v>
      </c>
      <c r="E1914" s="136" t="s">
        <v>594</v>
      </c>
      <c r="F1914" s="136">
        <v>49</v>
      </c>
      <c r="G1914" s="137">
        <f t="shared" si="7"/>
        <v>11</v>
      </c>
      <c r="H1914" s="137"/>
      <c r="I1914" s="137"/>
      <c r="J1914" s="135"/>
      <c r="K1914" s="135"/>
      <c r="L1914" s="135"/>
      <c r="M1914" s="135"/>
      <c r="N1914" s="135"/>
      <c r="O1914" s="135"/>
      <c r="P1914" s="135"/>
      <c r="Q1914" s="135"/>
      <c r="R1914" s="135"/>
      <c r="S1914" s="135"/>
      <c r="T1914" s="135"/>
      <c r="U1914" s="135"/>
      <c r="V1914" s="135"/>
      <c r="W1914" s="135"/>
      <c r="X1914" s="135"/>
      <c r="Y1914" s="135"/>
      <c r="Z1914" s="135"/>
    </row>
    <row r="1915" spans="1:26" ht="12.75">
      <c r="A1915" s="136" t="s">
        <v>19</v>
      </c>
      <c r="B1915" s="136" t="s">
        <v>19</v>
      </c>
      <c r="C1915" s="136" t="s">
        <v>211</v>
      </c>
      <c r="D1915" s="136" t="s">
        <v>7673</v>
      </c>
      <c r="E1915" s="136" t="s">
        <v>615</v>
      </c>
      <c r="F1915" s="136">
        <v>34</v>
      </c>
      <c r="G1915" s="137">
        <f t="shared" si="7"/>
        <v>12</v>
      </c>
      <c r="H1915" s="137"/>
      <c r="I1915" s="137"/>
      <c r="J1915" s="135"/>
      <c r="K1915" s="135"/>
      <c r="L1915" s="135"/>
      <c r="M1915" s="135"/>
      <c r="N1915" s="135"/>
      <c r="O1915" s="135"/>
      <c r="P1915" s="135"/>
      <c r="Q1915" s="135"/>
      <c r="R1915" s="135"/>
      <c r="S1915" s="135"/>
      <c r="T1915" s="135"/>
      <c r="U1915" s="135"/>
      <c r="V1915" s="135"/>
      <c r="W1915" s="135"/>
      <c r="X1915" s="135"/>
      <c r="Y1915" s="135"/>
      <c r="Z1915" s="135"/>
    </row>
    <row r="1916" spans="1:26" ht="12.75">
      <c r="A1916" s="136" t="s">
        <v>19</v>
      </c>
      <c r="B1916" s="136" t="s">
        <v>19</v>
      </c>
      <c r="C1916" s="136" t="s">
        <v>211</v>
      </c>
      <c r="D1916" s="136" t="s">
        <v>7674</v>
      </c>
      <c r="E1916" s="136" t="s">
        <v>86</v>
      </c>
      <c r="F1916" s="136">
        <v>22</v>
      </c>
      <c r="G1916" s="137">
        <f t="shared" si="7"/>
        <v>13</v>
      </c>
      <c r="H1916" s="137"/>
      <c r="I1916" s="137"/>
      <c r="J1916" s="135"/>
      <c r="K1916" s="135"/>
      <c r="L1916" s="135"/>
      <c r="M1916" s="135"/>
      <c r="N1916" s="135"/>
      <c r="O1916" s="135"/>
      <c r="P1916" s="135"/>
      <c r="Q1916" s="135"/>
      <c r="R1916" s="135"/>
      <c r="S1916" s="135"/>
      <c r="T1916" s="135"/>
      <c r="U1916" s="135"/>
      <c r="V1916" s="135"/>
      <c r="W1916" s="135"/>
      <c r="X1916" s="135"/>
      <c r="Y1916" s="135"/>
      <c r="Z1916" s="135"/>
    </row>
    <row r="1917" spans="1:26" ht="12.75">
      <c r="A1917" s="136" t="s">
        <v>19</v>
      </c>
      <c r="B1917" s="136" t="s">
        <v>19</v>
      </c>
      <c r="C1917" s="136" t="s">
        <v>211</v>
      </c>
      <c r="D1917" s="136" t="s">
        <v>1626</v>
      </c>
      <c r="E1917" s="136" t="s">
        <v>594</v>
      </c>
      <c r="F1917" s="136">
        <v>18</v>
      </c>
      <c r="G1917" s="137">
        <f t="shared" si="7"/>
        <v>14</v>
      </c>
      <c r="H1917" s="137"/>
      <c r="I1917" s="137"/>
      <c r="J1917" s="135"/>
      <c r="K1917" s="135"/>
      <c r="L1917" s="135"/>
      <c r="M1917" s="135"/>
      <c r="N1917" s="135"/>
      <c r="O1917" s="135"/>
      <c r="P1917" s="135"/>
      <c r="Q1917" s="135"/>
      <c r="R1917" s="135"/>
      <c r="S1917" s="135"/>
      <c r="T1917" s="135"/>
      <c r="U1917" s="135"/>
      <c r="V1917" s="135"/>
      <c r="W1917" s="135"/>
      <c r="X1917" s="135"/>
      <c r="Y1917" s="135"/>
      <c r="Z1917" s="135"/>
    </row>
    <row r="1918" spans="1:26" ht="12.75">
      <c r="A1918" s="136" t="s">
        <v>19</v>
      </c>
      <c r="B1918" s="136" t="s">
        <v>19</v>
      </c>
      <c r="C1918" s="136" t="s">
        <v>216</v>
      </c>
      <c r="D1918" s="136" t="s">
        <v>139</v>
      </c>
      <c r="E1918" s="136" t="s">
        <v>594</v>
      </c>
      <c r="F1918" s="136">
        <v>2149</v>
      </c>
      <c r="G1918" s="137">
        <f t="shared" si="7"/>
        <v>1</v>
      </c>
      <c r="H1918" s="137"/>
      <c r="I1918" s="137"/>
      <c r="J1918" s="135"/>
      <c r="K1918" s="135"/>
      <c r="L1918" s="135"/>
      <c r="M1918" s="135"/>
      <c r="N1918" s="135"/>
      <c r="O1918" s="135"/>
      <c r="P1918" s="135"/>
      <c r="Q1918" s="135"/>
      <c r="R1918" s="135"/>
      <c r="S1918" s="135"/>
      <c r="T1918" s="135"/>
      <c r="U1918" s="135"/>
      <c r="V1918" s="135"/>
      <c r="W1918" s="135"/>
      <c r="X1918" s="135"/>
      <c r="Y1918" s="135"/>
      <c r="Z1918" s="135"/>
    </row>
    <row r="1919" spans="1:26" ht="12.75">
      <c r="A1919" s="136" t="s">
        <v>19</v>
      </c>
      <c r="B1919" s="136" t="s">
        <v>19</v>
      </c>
      <c r="C1919" s="136" t="s">
        <v>216</v>
      </c>
      <c r="D1919" s="136" t="s">
        <v>205</v>
      </c>
      <c r="E1919" s="136" t="s">
        <v>615</v>
      </c>
      <c r="F1919" s="136">
        <v>932</v>
      </c>
      <c r="G1919" s="137">
        <f t="shared" si="7"/>
        <v>2</v>
      </c>
      <c r="H1919" s="137"/>
      <c r="I1919" s="137"/>
      <c r="J1919" s="135"/>
      <c r="K1919" s="135"/>
      <c r="L1919" s="135"/>
      <c r="M1919" s="135"/>
      <c r="N1919" s="135"/>
      <c r="O1919" s="135"/>
      <c r="P1919" s="135"/>
      <c r="Q1919" s="135"/>
      <c r="R1919" s="135"/>
      <c r="S1919" s="135"/>
      <c r="T1919" s="135"/>
      <c r="U1919" s="135"/>
      <c r="V1919" s="135"/>
      <c r="W1919" s="135"/>
      <c r="X1919" s="135"/>
      <c r="Y1919" s="135"/>
      <c r="Z1919" s="135"/>
    </row>
    <row r="1920" spans="1:26" ht="12.75">
      <c r="A1920" s="136" t="s">
        <v>19</v>
      </c>
      <c r="B1920" s="136" t="s">
        <v>19</v>
      </c>
      <c r="C1920" s="136" t="s">
        <v>216</v>
      </c>
      <c r="D1920" s="136" t="s">
        <v>7613</v>
      </c>
      <c r="E1920" s="136" t="s">
        <v>85</v>
      </c>
      <c r="F1920" s="136">
        <v>410</v>
      </c>
      <c r="G1920" s="137">
        <f t="shared" si="7"/>
        <v>3</v>
      </c>
      <c r="H1920" s="137"/>
      <c r="I1920" s="137"/>
      <c r="J1920" s="135"/>
      <c r="K1920" s="135"/>
      <c r="L1920" s="135"/>
      <c r="M1920" s="135"/>
      <c r="N1920" s="135"/>
      <c r="O1920" s="135"/>
      <c r="P1920" s="135"/>
      <c r="Q1920" s="135"/>
      <c r="R1920" s="135"/>
      <c r="S1920" s="135"/>
      <c r="T1920" s="135"/>
      <c r="U1920" s="135"/>
      <c r="V1920" s="135"/>
      <c r="W1920" s="135"/>
      <c r="X1920" s="135"/>
      <c r="Y1920" s="135"/>
      <c r="Z1920" s="135"/>
    </row>
    <row r="1921" spans="1:26" ht="12.75">
      <c r="A1921" s="136" t="s">
        <v>19</v>
      </c>
      <c r="B1921" s="136" t="s">
        <v>19</v>
      </c>
      <c r="C1921" s="136" t="s">
        <v>216</v>
      </c>
      <c r="D1921" s="136" t="s">
        <v>7619</v>
      </c>
      <c r="E1921" s="136" t="s">
        <v>615</v>
      </c>
      <c r="F1921" s="136">
        <v>156</v>
      </c>
      <c r="G1921" s="137">
        <f t="shared" si="7"/>
        <v>4</v>
      </c>
      <c r="H1921" s="137"/>
      <c r="I1921" s="137"/>
      <c r="J1921" s="135"/>
      <c r="K1921" s="135"/>
      <c r="L1921" s="135"/>
      <c r="M1921" s="135"/>
      <c r="N1921" s="135"/>
      <c r="O1921" s="135"/>
      <c r="P1921" s="135"/>
      <c r="Q1921" s="135"/>
      <c r="R1921" s="135"/>
      <c r="S1921" s="135"/>
      <c r="T1921" s="135"/>
      <c r="U1921" s="135"/>
      <c r="V1921" s="135"/>
      <c r="W1921" s="135"/>
      <c r="X1921" s="135"/>
      <c r="Y1921" s="135"/>
      <c r="Z1921" s="135"/>
    </row>
    <row r="1922" spans="1:26" ht="12.75">
      <c r="A1922" s="136" t="s">
        <v>19</v>
      </c>
      <c r="B1922" s="136" t="s">
        <v>19</v>
      </c>
      <c r="C1922" s="136" t="s">
        <v>216</v>
      </c>
      <c r="D1922" s="136" t="s">
        <v>467</v>
      </c>
      <c r="E1922" s="136" t="s">
        <v>85</v>
      </c>
      <c r="F1922" s="136">
        <v>100</v>
      </c>
      <c r="G1922" s="137">
        <f t="shared" si="7"/>
        <v>5</v>
      </c>
      <c r="H1922" s="137"/>
      <c r="I1922" s="137"/>
      <c r="J1922" s="135"/>
      <c r="K1922" s="135"/>
      <c r="L1922" s="135"/>
      <c r="M1922" s="135"/>
      <c r="N1922" s="135"/>
      <c r="O1922" s="135"/>
      <c r="P1922" s="135"/>
      <c r="Q1922" s="135"/>
      <c r="R1922" s="135"/>
      <c r="S1922" s="135"/>
      <c r="T1922" s="135"/>
      <c r="U1922" s="135"/>
      <c r="V1922" s="135"/>
      <c r="W1922" s="135"/>
      <c r="X1922" s="135"/>
      <c r="Y1922" s="135"/>
      <c r="Z1922" s="135"/>
    </row>
    <row r="1923" spans="1:26" ht="12.75">
      <c r="A1923" s="136" t="s">
        <v>19</v>
      </c>
      <c r="B1923" s="136" t="s">
        <v>19</v>
      </c>
      <c r="C1923" s="136" t="s">
        <v>216</v>
      </c>
      <c r="D1923" s="136" t="s">
        <v>7614</v>
      </c>
      <c r="E1923" s="136" t="s">
        <v>7614</v>
      </c>
      <c r="F1923" s="136">
        <v>84</v>
      </c>
      <c r="G1923" s="137">
        <f t="shared" si="7"/>
        <v>6</v>
      </c>
      <c r="H1923" s="137"/>
      <c r="I1923" s="137"/>
      <c r="J1923" s="135"/>
      <c r="K1923" s="135"/>
      <c r="L1923" s="135"/>
      <c r="M1923" s="135"/>
      <c r="N1923" s="135"/>
      <c r="O1923" s="135"/>
      <c r="P1923" s="135"/>
      <c r="Q1923" s="135"/>
      <c r="R1923" s="135"/>
      <c r="S1923" s="135"/>
      <c r="T1923" s="135"/>
      <c r="U1923" s="135"/>
      <c r="V1923" s="135"/>
      <c r="W1923" s="135"/>
      <c r="X1923" s="135"/>
      <c r="Y1923" s="135"/>
      <c r="Z1923" s="135"/>
    </row>
    <row r="1924" spans="1:26" ht="12.75">
      <c r="A1924" s="136" t="s">
        <v>19</v>
      </c>
      <c r="B1924" s="136" t="s">
        <v>19</v>
      </c>
      <c r="C1924" s="136" t="s">
        <v>216</v>
      </c>
      <c r="D1924" s="136" t="s">
        <v>86</v>
      </c>
      <c r="E1924" s="136" t="s">
        <v>86</v>
      </c>
      <c r="F1924" s="136">
        <v>77</v>
      </c>
      <c r="G1924" s="137">
        <f t="shared" si="7"/>
        <v>7</v>
      </c>
      <c r="H1924" s="137"/>
      <c r="I1924" s="137"/>
      <c r="J1924" s="135"/>
      <c r="K1924" s="135"/>
      <c r="L1924" s="135"/>
      <c r="M1924" s="135"/>
      <c r="N1924" s="135"/>
      <c r="O1924" s="135"/>
      <c r="P1924" s="135"/>
      <c r="Q1924" s="135"/>
      <c r="R1924" s="135"/>
      <c r="S1924" s="135"/>
      <c r="T1924" s="135"/>
      <c r="U1924" s="135"/>
      <c r="V1924" s="135"/>
      <c r="W1924" s="135"/>
      <c r="X1924" s="135"/>
      <c r="Y1924" s="135"/>
      <c r="Z1924" s="135"/>
    </row>
    <row r="1925" spans="1:26" ht="12.75">
      <c r="A1925" s="136" t="s">
        <v>19</v>
      </c>
      <c r="B1925" s="136" t="s">
        <v>19</v>
      </c>
      <c r="C1925" s="136" t="s">
        <v>216</v>
      </c>
      <c r="D1925" s="136" t="s">
        <v>7675</v>
      </c>
      <c r="E1925" s="136" t="s">
        <v>615</v>
      </c>
      <c r="F1925" s="136">
        <v>52</v>
      </c>
      <c r="G1925" s="137">
        <f t="shared" si="7"/>
        <v>8</v>
      </c>
      <c r="H1925" s="137"/>
      <c r="I1925" s="137"/>
      <c r="J1925" s="135"/>
      <c r="K1925" s="135"/>
      <c r="L1925" s="135"/>
      <c r="M1925" s="135"/>
      <c r="N1925" s="135"/>
      <c r="O1925" s="135"/>
      <c r="P1925" s="135"/>
      <c r="Q1925" s="135"/>
      <c r="R1925" s="135"/>
      <c r="S1925" s="135"/>
      <c r="T1925" s="135"/>
      <c r="U1925" s="135"/>
      <c r="V1925" s="135"/>
      <c r="W1925" s="135"/>
      <c r="X1925" s="135"/>
      <c r="Y1925" s="135"/>
      <c r="Z1925" s="135"/>
    </row>
    <row r="1926" spans="1:26" ht="12.75">
      <c r="A1926" s="136" t="s">
        <v>19</v>
      </c>
      <c r="B1926" s="136" t="s">
        <v>19</v>
      </c>
      <c r="C1926" s="136" t="s">
        <v>216</v>
      </c>
      <c r="D1926" s="136" t="s">
        <v>131</v>
      </c>
      <c r="E1926" s="136" t="s">
        <v>594</v>
      </c>
      <c r="F1926" s="136">
        <v>37</v>
      </c>
      <c r="G1926" s="137">
        <f t="shared" si="7"/>
        <v>9</v>
      </c>
      <c r="H1926" s="137"/>
      <c r="I1926" s="137"/>
      <c r="J1926" s="135"/>
      <c r="K1926" s="135"/>
      <c r="L1926" s="135"/>
      <c r="M1926" s="135"/>
      <c r="N1926" s="135"/>
      <c r="O1926" s="135"/>
      <c r="P1926" s="135"/>
      <c r="Q1926" s="135"/>
      <c r="R1926" s="135"/>
      <c r="S1926" s="135"/>
      <c r="T1926" s="135"/>
      <c r="U1926" s="135"/>
      <c r="V1926" s="135"/>
      <c r="W1926" s="135"/>
      <c r="X1926" s="135"/>
      <c r="Y1926" s="135"/>
      <c r="Z1926" s="135"/>
    </row>
    <row r="1927" spans="1:26" ht="12.75">
      <c r="A1927" s="136" t="s">
        <v>19</v>
      </c>
      <c r="B1927" s="136" t="s">
        <v>19</v>
      </c>
      <c r="C1927" s="136" t="s">
        <v>216</v>
      </c>
      <c r="D1927" s="136" t="s">
        <v>1665</v>
      </c>
      <c r="E1927" s="136" t="s">
        <v>615</v>
      </c>
      <c r="F1927" s="136">
        <v>33</v>
      </c>
      <c r="G1927" s="137">
        <f t="shared" si="7"/>
        <v>10</v>
      </c>
      <c r="H1927" s="137"/>
      <c r="I1927" s="137"/>
      <c r="J1927" s="135"/>
      <c r="K1927" s="135"/>
      <c r="L1927" s="135"/>
      <c r="M1927" s="135"/>
      <c r="N1927" s="135"/>
      <c r="O1927" s="135"/>
      <c r="P1927" s="135"/>
      <c r="Q1927" s="135"/>
      <c r="R1927" s="135"/>
      <c r="S1927" s="135"/>
      <c r="T1927" s="135"/>
      <c r="U1927" s="135"/>
      <c r="V1927" s="135"/>
      <c r="W1927" s="135"/>
      <c r="X1927" s="135"/>
      <c r="Y1927" s="135"/>
      <c r="Z1927" s="135"/>
    </row>
    <row r="1928" spans="1:26" ht="12.75">
      <c r="A1928" s="136" t="s">
        <v>19</v>
      </c>
      <c r="B1928" s="136" t="s">
        <v>19</v>
      </c>
      <c r="C1928" s="136" t="s">
        <v>216</v>
      </c>
      <c r="D1928" s="136" t="s">
        <v>7617</v>
      </c>
      <c r="E1928" s="136" t="s">
        <v>615</v>
      </c>
      <c r="F1928" s="136">
        <v>29</v>
      </c>
      <c r="G1928" s="137">
        <f t="shared" si="7"/>
        <v>11</v>
      </c>
      <c r="H1928" s="137"/>
      <c r="I1928" s="137"/>
      <c r="J1928" s="135"/>
      <c r="K1928" s="135"/>
      <c r="L1928" s="135"/>
      <c r="M1928" s="135"/>
      <c r="N1928" s="135"/>
      <c r="O1928" s="135"/>
      <c r="P1928" s="135"/>
      <c r="Q1928" s="135"/>
      <c r="R1928" s="135"/>
      <c r="S1928" s="135"/>
      <c r="T1928" s="135"/>
      <c r="U1928" s="135"/>
      <c r="V1928" s="135"/>
      <c r="W1928" s="135"/>
      <c r="X1928" s="135"/>
      <c r="Y1928" s="135"/>
      <c r="Z1928" s="135"/>
    </row>
    <row r="1929" spans="1:26" ht="12.75">
      <c r="A1929" s="136" t="s">
        <v>19</v>
      </c>
      <c r="B1929" s="136" t="s">
        <v>19</v>
      </c>
      <c r="C1929" s="136" t="s">
        <v>216</v>
      </c>
      <c r="D1929" s="136" t="s">
        <v>7626</v>
      </c>
      <c r="E1929" s="136" t="s">
        <v>615</v>
      </c>
      <c r="F1929" s="136">
        <v>27</v>
      </c>
      <c r="G1929" s="137">
        <f t="shared" si="7"/>
        <v>12</v>
      </c>
      <c r="H1929" s="137"/>
      <c r="I1929" s="137"/>
      <c r="J1929" s="135"/>
      <c r="K1929" s="135"/>
      <c r="L1929" s="135"/>
      <c r="M1929" s="135"/>
      <c r="N1929" s="135"/>
      <c r="O1929" s="135"/>
      <c r="P1929" s="135"/>
      <c r="Q1929" s="135"/>
      <c r="R1929" s="135"/>
      <c r="S1929" s="135"/>
      <c r="T1929" s="135"/>
      <c r="U1929" s="135"/>
      <c r="V1929" s="135"/>
      <c r="W1929" s="135"/>
      <c r="X1929" s="135"/>
      <c r="Y1929" s="135"/>
      <c r="Z1929" s="135"/>
    </row>
    <row r="1930" spans="1:26" ht="12.75">
      <c r="A1930" s="136" t="s">
        <v>19</v>
      </c>
      <c r="B1930" s="136" t="s">
        <v>19</v>
      </c>
      <c r="C1930" s="136" t="s">
        <v>216</v>
      </c>
      <c r="D1930" s="136" t="s">
        <v>7621</v>
      </c>
      <c r="E1930" s="136" t="s">
        <v>7621</v>
      </c>
      <c r="F1930" s="136">
        <v>14</v>
      </c>
      <c r="G1930" s="137">
        <f t="shared" si="7"/>
        <v>13</v>
      </c>
      <c r="H1930" s="137"/>
      <c r="I1930" s="137"/>
      <c r="J1930" s="135"/>
      <c r="K1930" s="135"/>
      <c r="L1930" s="135"/>
      <c r="M1930" s="135"/>
      <c r="N1930" s="135"/>
      <c r="O1930" s="135"/>
      <c r="P1930" s="135"/>
      <c r="Q1930" s="135"/>
      <c r="R1930" s="135"/>
      <c r="S1930" s="135"/>
      <c r="T1930" s="135"/>
      <c r="U1930" s="135"/>
      <c r="V1930" s="135"/>
      <c r="W1930" s="135"/>
      <c r="X1930" s="135"/>
      <c r="Y1930" s="135"/>
      <c r="Z1930" s="135"/>
    </row>
    <row r="1931" spans="1:26" ht="12.75">
      <c r="A1931" s="136" t="s">
        <v>19</v>
      </c>
      <c r="B1931" s="136" t="s">
        <v>19</v>
      </c>
      <c r="C1931" s="136" t="s">
        <v>7676</v>
      </c>
      <c r="D1931" s="136" t="s">
        <v>107</v>
      </c>
      <c r="E1931" s="136" t="s">
        <v>594</v>
      </c>
      <c r="F1931" s="136">
        <v>1010</v>
      </c>
      <c r="G1931" s="137">
        <f t="shared" si="7"/>
        <v>1</v>
      </c>
      <c r="H1931" s="137"/>
      <c r="I1931" s="137"/>
      <c r="J1931" s="135"/>
      <c r="K1931" s="135"/>
      <c r="L1931" s="135"/>
      <c r="M1931" s="135"/>
      <c r="N1931" s="135"/>
      <c r="O1931" s="135"/>
      <c r="P1931" s="135"/>
      <c r="Q1931" s="135"/>
      <c r="R1931" s="135"/>
      <c r="S1931" s="135"/>
      <c r="T1931" s="135"/>
      <c r="U1931" s="135"/>
      <c r="V1931" s="135"/>
      <c r="W1931" s="135"/>
      <c r="X1931" s="135"/>
      <c r="Y1931" s="135"/>
      <c r="Z1931" s="135"/>
    </row>
    <row r="1932" spans="1:26" ht="12.75">
      <c r="A1932" s="136" t="s">
        <v>19</v>
      </c>
      <c r="B1932" s="136" t="s">
        <v>19</v>
      </c>
      <c r="C1932" s="136" t="s">
        <v>7676</v>
      </c>
      <c r="D1932" s="136" t="s">
        <v>7615</v>
      </c>
      <c r="E1932" s="136" t="s">
        <v>7615</v>
      </c>
      <c r="F1932" s="136">
        <v>67</v>
      </c>
      <c r="G1932" s="137">
        <f t="shared" si="7"/>
        <v>2</v>
      </c>
      <c r="H1932" s="137"/>
      <c r="I1932" s="137"/>
      <c r="J1932" s="135"/>
      <c r="K1932" s="135"/>
      <c r="L1932" s="135"/>
      <c r="M1932" s="135"/>
      <c r="N1932" s="135"/>
      <c r="O1932" s="135"/>
      <c r="P1932" s="135"/>
      <c r="Q1932" s="135"/>
      <c r="R1932" s="135"/>
      <c r="S1932" s="135"/>
      <c r="T1932" s="135"/>
      <c r="U1932" s="135"/>
      <c r="V1932" s="135"/>
      <c r="W1932" s="135"/>
      <c r="X1932" s="135"/>
      <c r="Y1932" s="135"/>
      <c r="Z1932" s="135"/>
    </row>
    <row r="1933" spans="1:26" ht="12.75">
      <c r="A1933" s="136" t="s">
        <v>19</v>
      </c>
      <c r="B1933" s="136" t="s">
        <v>19</v>
      </c>
      <c r="C1933" s="136" t="s">
        <v>7676</v>
      </c>
      <c r="D1933" s="136" t="s">
        <v>139</v>
      </c>
      <c r="E1933" s="136" t="s">
        <v>594</v>
      </c>
      <c r="F1933" s="136">
        <v>8</v>
      </c>
      <c r="G1933" s="137">
        <f t="shared" si="7"/>
        <v>3</v>
      </c>
      <c r="H1933" s="137"/>
      <c r="I1933" s="137"/>
      <c r="J1933" s="135"/>
      <c r="K1933" s="135"/>
      <c r="L1933" s="135"/>
      <c r="M1933" s="135"/>
      <c r="N1933" s="135"/>
      <c r="O1933" s="135"/>
      <c r="P1933" s="135"/>
      <c r="Q1933" s="135"/>
      <c r="R1933" s="135"/>
      <c r="S1933" s="135"/>
      <c r="T1933" s="135"/>
      <c r="U1933" s="135"/>
      <c r="V1933" s="135"/>
      <c r="W1933" s="135"/>
      <c r="X1933" s="135"/>
      <c r="Y1933" s="135"/>
      <c r="Z1933" s="135"/>
    </row>
    <row r="1934" spans="1:26" ht="12.75">
      <c r="A1934" s="136" t="s">
        <v>19</v>
      </c>
      <c r="B1934" s="136" t="s">
        <v>19</v>
      </c>
      <c r="C1934" s="136" t="s">
        <v>7676</v>
      </c>
      <c r="D1934" s="136" t="s">
        <v>7614</v>
      </c>
      <c r="E1934" s="136" t="s">
        <v>7614</v>
      </c>
      <c r="F1934" s="136">
        <v>5</v>
      </c>
      <c r="G1934" s="137">
        <f t="shared" si="7"/>
        <v>4</v>
      </c>
      <c r="H1934" s="137"/>
      <c r="I1934" s="137"/>
      <c r="J1934" s="135"/>
      <c r="K1934" s="135"/>
      <c r="L1934" s="135"/>
      <c r="M1934" s="135"/>
      <c r="N1934" s="135"/>
      <c r="O1934" s="135"/>
      <c r="P1934" s="135"/>
      <c r="Q1934" s="135"/>
      <c r="R1934" s="135"/>
      <c r="S1934" s="135"/>
      <c r="T1934" s="135"/>
      <c r="U1934" s="135"/>
      <c r="V1934" s="135"/>
      <c r="W1934" s="135"/>
      <c r="X1934" s="135"/>
      <c r="Y1934" s="135"/>
      <c r="Z1934" s="135"/>
    </row>
    <row r="1935" spans="1:26" ht="12.75">
      <c r="A1935" s="136" t="s">
        <v>19</v>
      </c>
      <c r="B1935" s="136" t="s">
        <v>19</v>
      </c>
      <c r="C1935" s="136" t="s">
        <v>7676</v>
      </c>
      <c r="D1935" s="136" t="s">
        <v>7613</v>
      </c>
      <c r="E1935" s="136" t="s">
        <v>85</v>
      </c>
      <c r="F1935" s="136">
        <v>4</v>
      </c>
      <c r="G1935" s="137">
        <f t="shared" si="7"/>
        <v>5</v>
      </c>
      <c r="H1935" s="137"/>
      <c r="I1935" s="137"/>
      <c r="J1935" s="135"/>
      <c r="K1935" s="135"/>
      <c r="L1935" s="135"/>
      <c r="M1935" s="135"/>
      <c r="N1935" s="135"/>
      <c r="O1935" s="135"/>
      <c r="P1935" s="135"/>
      <c r="Q1935" s="135"/>
      <c r="R1935" s="135"/>
      <c r="S1935" s="135"/>
      <c r="T1935" s="135"/>
      <c r="U1935" s="135"/>
      <c r="V1935" s="135"/>
      <c r="W1935" s="135"/>
      <c r="X1935" s="135"/>
      <c r="Y1935" s="135"/>
      <c r="Z1935" s="135"/>
    </row>
    <row r="1936" spans="1:26" ht="12.75">
      <c r="A1936" s="136" t="s">
        <v>19</v>
      </c>
      <c r="B1936" s="136" t="s">
        <v>19</v>
      </c>
      <c r="C1936" s="136" t="s">
        <v>7676</v>
      </c>
      <c r="D1936" s="136" t="s">
        <v>467</v>
      </c>
      <c r="E1936" s="136" t="s">
        <v>85</v>
      </c>
      <c r="F1936" s="136">
        <v>1</v>
      </c>
      <c r="G1936" s="137">
        <f t="shared" si="7"/>
        <v>6</v>
      </c>
      <c r="H1936" s="137"/>
      <c r="I1936" s="137"/>
      <c r="J1936" s="135"/>
      <c r="K1936" s="135"/>
      <c r="L1936" s="135"/>
      <c r="M1936" s="135"/>
      <c r="N1936" s="135"/>
      <c r="O1936" s="135"/>
      <c r="P1936" s="135"/>
      <c r="Q1936" s="135"/>
      <c r="R1936" s="135"/>
      <c r="S1936" s="135"/>
      <c r="T1936" s="135"/>
      <c r="U1936" s="135"/>
      <c r="V1936" s="135"/>
      <c r="W1936" s="135"/>
      <c r="X1936" s="135"/>
      <c r="Y1936" s="135"/>
      <c r="Z1936" s="135"/>
    </row>
    <row r="1937" spans="1:26" ht="12.75">
      <c r="A1937" s="136" t="s">
        <v>19</v>
      </c>
      <c r="B1937" s="136" t="s">
        <v>220</v>
      </c>
      <c r="C1937" s="136" t="s">
        <v>230</v>
      </c>
      <c r="D1937" s="136" t="s">
        <v>154</v>
      </c>
      <c r="E1937" s="136" t="s">
        <v>615</v>
      </c>
      <c r="F1937" s="136">
        <v>9874</v>
      </c>
      <c r="G1937" s="137">
        <f t="shared" si="7"/>
        <v>1</v>
      </c>
      <c r="H1937" s="137"/>
      <c r="I1937" s="137"/>
      <c r="J1937" s="135"/>
      <c r="K1937" s="135"/>
      <c r="L1937" s="135"/>
      <c r="M1937" s="135"/>
      <c r="N1937" s="135"/>
      <c r="O1937" s="135"/>
      <c r="P1937" s="135"/>
      <c r="Q1937" s="135"/>
      <c r="R1937" s="135"/>
      <c r="S1937" s="135"/>
      <c r="T1937" s="135"/>
      <c r="U1937" s="135"/>
      <c r="V1937" s="135"/>
      <c r="W1937" s="135"/>
      <c r="X1937" s="135"/>
      <c r="Y1937" s="135"/>
      <c r="Z1937" s="135"/>
    </row>
    <row r="1938" spans="1:26" ht="12.75">
      <c r="A1938" s="136" t="s">
        <v>19</v>
      </c>
      <c r="B1938" s="136" t="s">
        <v>220</v>
      </c>
      <c r="C1938" s="136" t="s">
        <v>230</v>
      </c>
      <c r="D1938" s="136" t="s">
        <v>139</v>
      </c>
      <c r="E1938" s="136" t="s">
        <v>594</v>
      </c>
      <c r="F1938" s="136">
        <v>7910</v>
      </c>
      <c r="G1938" s="137">
        <f t="shared" si="7"/>
        <v>2</v>
      </c>
      <c r="H1938" s="137"/>
      <c r="I1938" s="137"/>
      <c r="J1938" s="135"/>
      <c r="K1938" s="135"/>
      <c r="L1938" s="135"/>
      <c r="M1938" s="135"/>
      <c r="N1938" s="135"/>
      <c r="O1938" s="135"/>
      <c r="P1938" s="135"/>
      <c r="Q1938" s="135"/>
      <c r="R1938" s="135"/>
      <c r="S1938" s="135"/>
      <c r="T1938" s="135"/>
      <c r="U1938" s="135"/>
      <c r="V1938" s="135"/>
      <c r="W1938" s="135"/>
      <c r="X1938" s="135"/>
      <c r="Y1938" s="135"/>
      <c r="Z1938" s="135"/>
    </row>
    <row r="1939" spans="1:26" ht="12.75">
      <c r="A1939" s="136" t="s">
        <v>19</v>
      </c>
      <c r="B1939" s="136" t="s">
        <v>220</v>
      </c>
      <c r="C1939" s="136" t="s">
        <v>230</v>
      </c>
      <c r="D1939" s="136" t="s">
        <v>1669</v>
      </c>
      <c r="E1939" s="136" t="s">
        <v>615</v>
      </c>
      <c r="F1939" s="136">
        <v>2824</v>
      </c>
      <c r="G1939" s="137">
        <f t="shared" si="7"/>
        <v>3</v>
      </c>
      <c r="H1939" s="137"/>
      <c r="I1939" s="137"/>
      <c r="J1939" s="135"/>
      <c r="K1939" s="135"/>
      <c r="L1939" s="135"/>
      <c r="M1939" s="135"/>
      <c r="N1939" s="135"/>
      <c r="O1939" s="135"/>
      <c r="P1939" s="135"/>
      <c r="Q1939" s="135"/>
      <c r="R1939" s="135"/>
      <c r="S1939" s="135"/>
      <c r="T1939" s="135"/>
      <c r="U1939" s="135"/>
      <c r="V1939" s="135"/>
      <c r="W1939" s="135"/>
      <c r="X1939" s="135"/>
      <c r="Y1939" s="135"/>
      <c r="Z1939" s="135"/>
    </row>
    <row r="1940" spans="1:26" ht="12.75">
      <c r="A1940" s="136" t="s">
        <v>19</v>
      </c>
      <c r="B1940" s="136" t="s">
        <v>220</v>
      </c>
      <c r="C1940" s="136" t="s">
        <v>230</v>
      </c>
      <c r="D1940" s="136" t="s">
        <v>114</v>
      </c>
      <c r="E1940" s="136" t="s">
        <v>85</v>
      </c>
      <c r="F1940" s="136">
        <v>2308</v>
      </c>
      <c r="G1940" s="137">
        <f t="shared" si="7"/>
        <v>4</v>
      </c>
      <c r="H1940" s="137"/>
      <c r="I1940" s="137"/>
      <c r="J1940" s="135"/>
      <c r="K1940" s="135"/>
      <c r="L1940" s="135"/>
      <c r="M1940" s="135"/>
      <c r="N1940" s="135"/>
      <c r="O1940" s="135"/>
      <c r="P1940" s="135"/>
      <c r="Q1940" s="135"/>
      <c r="R1940" s="135"/>
      <c r="S1940" s="135"/>
      <c r="T1940" s="135"/>
      <c r="U1940" s="135"/>
      <c r="V1940" s="135"/>
      <c r="W1940" s="135"/>
      <c r="X1940" s="135"/>
      <c r="Y1940" s="135"/>
      <c r="Z1940" s="135"/>
    </row>
    <row r="1941" spans="1:26" ht="12.75">
      <c r="A1941" s="136" t="s">
        <v>19</v>
      </c>
      <c r="B1941" s="136" t="s">
        <v>220</v>
      </c>
      <c r="C1941" s="136" t="s">
        <v>230</v>
      </c>
      <c r="D1941" s="136" t="s">
        <v>467</v>
      </c>
      <c r="E1941" s="136" t="s">
        <v>85</v>
      </c>
      <c r="F1941" s="136">
        <v>1190</v>
      </c>
      <c r="G1941" s="137">
        <f t="shared" si="7"/>
        <v>5</v>
      </c>
      <c r="H1941" s="137"/>
      <c r="I1941" s="137"/>
      <c r="J1941" s="135"/>
      <c r="K1941" s="135"/>
      <c r="L1941" s="135"/>
      <c r="M1941" s="135"/>
      <c r="N1941" s="135"/>
      <c r="O1941" s="135"/>
      <c r="P1941" s="135"/>
      <c r="Q1941" s="135"/>
      <c r="R1941" s="135"/>
      <c r="S1941" s="135"/>
      <c r="T1941" s="135"/>
      <c r="U1941" s="135"/>
      <c r="V1941" s="135"/>
      <c r="W1941" s="135"/>
      <c r="X1941" s="135"/>
      <c r="Y1941" s="135"/>
      <c r="Z1941" s="135"/>
    </row>
    <row r="1942" spans="1:26" ht="12.75">
      <c r="A1942" s="136" t="s">
        <v>19</v>
      </c>
      <c r="B1942" s="136" t="s">
        <v>220</v>
      </c>
      <c r="C1942" s="136" t="s">
        <v>230</v>
      </c>
      <c r="D1942" s="136" t="s">
        <v>595</v>
      </c>
      <c r="E1942" s="136" t="s">
        <v>594</v>
      </c>
      <c r="F1942" s="136">
        <v>834</v>
      </c>
      <c r="G1942" s="137">
        <f t="shared" si="7"/>
        <v>6</v>
      </c>
      <c r="H1942" s="137"/>
      <c r="I1942" s="137"/>
      <c r="J1942" s="135"/>
      <c r="K1942" s="135"/>
      <c r="L1942" s="135"/>
      <c r="M1942" s="135"/>
      <c r="N1942" s="135"/>
      <c r="O1942" s="135"/>
      <c r="P1942" s="135"/>
      <c r="Q1942" s="135"/>
      <c r="R1942" s="135"/>
      <c r="S1942" s="135"/>
      <c r="T1942" s="135"/>
      <c r="U1942" s="135"/>
      <c r="V1942" s="135"/>
      <c r="W1942" s="135"/>
      <c r="X1942" s="135"/>
      <c r="Y1942" s="135"/>
      <c r="Z1942" s="135"/>
    </row>
    <row r="1943" spans="1:26" ht="12.75">
      <c r="A1943" s="136" t="s">
        <v>19</v>
      </c>
      <c r="B1943" s="136" t="s">
        <v>220</v>
      </c>
      <c r="C1943" s="136" t="s">
        <v>230</v>
      </c>
      <c r="D1943" s="136" t="s">
        <v>1656</v>
      </c>
      <c r="E1943" s="136" t="s">
        <v>615</v>
      </c>
      <c r="F1943" s="136">
        <v>570</v>
      </c>
      <c r="G1943" s="137">
        <f t="shared" si="7"/>
        <v>7</v>
      </c>
      <c r="H1943" s="137"/>
      <c r="I1943" s="137"/>
      <c r="J1943" s="135"/>
      <c r="K1943" s="135"/>
      <c r="L1943" s="135"/>
      <c r="M1943" s="135"/>
      <c r="N1943" s="135"/>
      <c r="O1943" s="135"/>
      <c r="P1943" s="135"/>
      <c r="Q1943" s="135"/>
      <c r="R1943" s="135"/>
      <c r="S1943" s="135"/>
      <c r="T1943" s="135"/>
      <c r="U1943" s="135"/>
      <c r="V1943" s="135"/>
      <c r="W1943" s="135"/>
      <c r="X1943" s="135"/>
      <c r="Y1943" s="135"/>
      <c r="Z1943" s="135"/>
    </row>
    <row r="1944" spans="1:26" ht="12.75">
      <c r="A1944" s="136" t="s">
        <v>19</v>
      </c>
      <c r="B1944" s="136" t="s">
        <v>220</v>
      </c>
      <c r="C1944" s="136" t="s">
        <v>230</v>
      </c>
      <c r="D1944" s="136" t="s">
        <v>1665</v>
      </c>
      <c r="E1944" s="136" t="s">
        <v>615</v>
      </c>
      <c r="F1944" s="136">
        <v>380</v>
      </c>
      <c r="G1944" s="137">
        <f t="shared" si="7"/>
        <v>8</v>
      </c>
      <c r="H1944" s="137"/>
      <c r="I1944" s="137"/>
      <c r="J1944" s="135"/>
      <c r="K1944" s="135"/>
      <c r="L1944" s="135"/>
      <c r="M1944" s="135"/>
      <c r="N1944" s="135"/>
      <c r="O1944" s="135"/>
      <c r="P1944" s="135"/>
      <c r="Q1944" s="135"/>
      <c r="R1944" s="135"/>
      <c r="S1944" s="135"/>
      <c r="T1944" s="135"/>
      <c r="U1944" s="135"/>
      <c r="V1944" s="135"/>
      <c r="W1944" s="135"/>
      <c r="X1944" s="135"/>
      <c r="Y1944" s="135"/>
      <c r="Z1944" s="135"/>
    </row>
    <row r="1945" spans="1:26" ht="12.75">
      <c r="A1945" s="136" t="s">
        <v>19</v>
      </c>
      <c r="B1945" s="136" t="s">
        <v>220</v>
      </c>
      <c r="C1945" s="136" t="s">
        <v>230</v>
      </c>
      <c r="D1945" s="136" t="s">
        <v>7617</v>
      </c>
      <c r="E1945" s="136" t="s">
        <v>615</v>
      </c>
      <c r="F1945" s="136">
        <v>362</v>
      </c>
      <c r="G1945" s="137">
        <f t="shared" si="7"/>
        <v>9</v>
      </c>
      <c r="H1945" s="137"/>
      <c r="I1945" s="137"/>
      <c r="J1945" s="135"/>
      <c r="K1945" s="135"/>
      <c r="L1945" s="135"/>
      <c r="M1945" s="135"/>
      <c r="N1945" s="135"/>
      <c r="O1945" s="135"/>
      <c r="P1945" s="135"/>
      <c r="Q1945" s="135"/>
      <c r="R1945" s="135"/>
      <c r="S1945" s="135"/>
      <c r="T1945" s="135"/>
      <c r="U1945" s="135"/>
      <c r="V1945" s="135"/>
      <c r="W1945" s="135"/>
      <c r="X1945" s="135"/>
      <c r="Y1945" s="135"/>
      <c r="Z1945" s="135"/>
    </row>
    <row r="1946" spans="1:26" ht="12.75">
      <c r="A1946" s="136" t="s">
        <v>19</v>
      </c>
      <c r="B1946" s="136" t="s">
        <v>220</v>
      </c>
      <c r="C1946" s="136" t="s">
        <v>230</v>
      </c>
      <c r="D1946" s="136" t="s">
        <v>7633</v>
      </c>
      <c r="E1946" s="136" t="s">
        <v>7633</v>
      </c>
      <c r="F1946" s="136">
        <v>358</v>
      </c>
      <c r="G1946" s="137">
        <f t="shared" si="7"/>
        <v>10</v>
      </c>
      <c r="H1946" s="137"/>
      <c r="I1946" s="137"/>
      <c r="J1946" s="135"/>
      <c r="K1946" s="135"/>
      <c r="L1946" s="135"/>
      <c r="M1946" s="135"/>
      <c r="N1946" s="135"/>
      <c r="O1946" s="135"/>
      <c r="P1946" s="135"/>
      <c r="Q1946" s="135"/>
      <c r="R1946" s="135"/>
      <c r="S1946" s="135"/>
      <c r="T1946" s="135"/>
      <c r="U1946" s="135"/>
      <c r="V1946" s="135"/>
      <c r="W1946" s="135"/>
      <c r="X1946" s="135"/>
      <c r="Y1946" s="135"/>
      <c r="Z1946" s="135"/>
    </row>
    <row r="1947" spans="1:26" ht="12.75">
      <c r="A1947" s="136" t="s">
        <v>19</v>
      </c>
      <c r="B1947" s="136" t="s">
        <v>220</v>
      </c>
      <c r="C1947" s="136" t="s">
        <v>230</v>
      </c>
      <c r="D1947" s="136" t="s">
        <v>7615</v>
      </c>
      <c r="E1947" s="136" t="s">
        <v>7615</v>
      </c>
      <c r="F1947" s="136">
        <v>244</v>
      </c>
      <c r="G1947" s="137">
        <f t="shared" si="7"/>
        <v>11</v>
      </c>
      <c r="H1947" s="137"/>
      <c r="I1947" s="137"/>
      <c r="J1947" s="135"/>
      <c r="K1947" s="135"/>
      <c r="L1947" s="135"/>
      <c r="M1947" s="135"/>
      <c r="N1947" s="135"/>
      <c r="O1947" s="135"/>
      <c r="P1947" s="135"/>
      <c r="Q1947" s="135"/>
      <c r="R1947" s="135"/>
      <c r="S1947" s="135"/>
      <c r="T1947" s="135"/>
      <c r="U1947" s="135"/>
      <c r="V1947" s="135"/>
      <c r="W1947" s="135"/>
      <c r="X1947" s="135"/>
      <c r="Y1947" s="135"/>
      <c r="Z1947" s="135"/>
    </row>
    <row r="1948" spans="1:26" ht="12.75">
      <c r="A1948" s="136" t="s">
        <v>19</v>
      </c>
      <c r="B1948" s="136" t="s">
        <v>220</v>
      </c>
      <c r="C1948" s="136" t="s">
        <v>230</v>
      </c>
      <c r="D1948" s="136" t="s">
        <v>368</v>
      </c>
      <c r="E1948" s="136" t="s">
        <v>594</v>
      </c>
      <c r="F1948" s="136">
        <v>234</v>
      </c>
      <c r="G1948" s="137">
        <f t="shared" si="7"/>
        <v>12</v>
      </c>
      <c r="H1948" s="137"/>
      <c r="I1948" s="137"/>
      <c r="J1948" s="135"/>
      <c r="K1948" s="135"/>
      <c r="L1948" s="135"/>
      <c r="M1948" s="135"/>
      <c r="N1948" s="135"/>
      <c r="O1948" s="135"/>
      <c r="P1948" s="135"/>
      <c r="Q1948" s="135"/>
      <c r="R1948" s="135"/>
      <c r="S1948" s="135"/>
      <c r="T1948" s="135"/>
      <c r="U1948" s="135"/>
      <c r="V1948" s="135"/>
      <c r="W1948" s="135"/>
      <c r="X1948" s="135"/>
      <c r="Y1948" s="135"/>
      <c r="Z1948" s="135"/>
    </row>
    <row r="1949" spans="1:26" ht="12.75">
      <c r="A1949" s="136" t="s">
        <v>19</v>
      </c>
      <c r="B1949" s="136" t="s">
        <v>220</v>
      </c>
      <c r="C1949" s="136" t="s">
        <v>230</v>
      </c>
      <c r="D1949" s="136" t="s">
        <v>1626</v>
      </c>
      <c r="E1949" s="136" t="s">
        <v>594</v>
      </c>
      <c r="F1949" s="136">
        <v>80</v>
      </c>
      <c r="G1949" s="137">
        <f t="shared" si="7"/>
        <v>13</v>
      </c>
      <c r="H1949" s="137"/>
      <c r="I1949" s="137"/>
      <c r="J1949" s="135"/>
      <c r="K1949" s="135"/>
      <c r="L1949" s="135"/>
      <c r="M1949" s="135"/>
      <c r="N1949" s="135"/>
      <c r="O1949" s="135"/>
      <c r="P1949" s="135"/>
      <c r="Q1949" s="135"/>
      <c r="R1949" s="135"/>
      <c r="S1949" s="135"/>
      <c r="T1949" s="135"/>
      <c r="U1949" s="135"/>
      <c r="V1949" s="135"/>
      <c r="W1949" s="135"/>
      <c r="X1949" s="135"/>
      <c r="Y1949" s="135"/>
      <c r="Z1949" s="135"/>
    </row>
    <row r="1950" spans="1:26" ht="12.75">
      <c r="A1950" s="136" t="s">
        <v>19</v>
      </c>
      <c r="B1950" s="136" t="s">
        <v>220</v>
      </c>
      <c r="C1950" s="136" t="s">
        <v>230</v>
      </c>
      <c r="D1950" s="136" t="s">
        <v>7677</v>
      </c>
      <c r="E1950" s="136" t="s">
        <v>86</v>
      </c>
      <c r="F1950" s="136">
        <v>62</v>
      </c>
      <c r="G1950" s="137">
        <f t="shared" si="7"/>
        <v>14</v>
      </c>
      <c r="H1950" s="137"/>
      <c r="I1950" s="137"/>
      <c r="J1950" s="135"/>
      <c r="K1950" s="135"/>
      <c r="L1950" s="135"/>
      <c r="M1950" s="135"/>
      <c r="N1950" s="135"/>
      <c r="O1950" s="135"/>
      <c r="P1950" s="135"/>
      <c r="Q1950" s="135"/>
      <c r="R1950" s="135"/>
      <c r="S1950" s="135"/>
      <c r="T1950" s="135"/>
      <c r="U1950" s="135"/>
      <c r="V1950" s="135"/>
      <c r="W1950" s="135"/>
      <c r="X1950" s="135"/>
      <c r="Y1950" s="135"/>
      <c r="Z1950" s="135"/>
    </row>
    <row r="1951" spans="1:26" ht="12.75">
      <c r="A1951" s="136" t="s">
        <v>19</v>
      </c>
      <c r="B1951" s="136" t="s">
        <v>220</v>
      </c>
      <c r="C1951" s="136" t="s">
        <v>7678</v>
      </c>
      <c r="D1951" s="136" t="s">
        <v>139</v>
      </c>
      <c r="E1951" s="136" t="s">
        <v>594</v>
      </c>
      <c r="F1951" s="136">
        <v>463</v>
      </c>
      <c r="G1951" s="137">
        <f t="shared" si="7"/>
        <v>1</v>
      </c>
      <c r="H1951" s="137"/>
      <c r="I1951" s="137"/>
      <c r="J1951" s="135"/>
      <c r="K1951" s="135"/>
      <c r="L1951" s="135"/>
      <c r="M1951" s="135"/>
      <c r="N1951" s="135"/>
      <c r="O1951" s="135"/>
      <c r="P1951" s="135"/>
      <c r="Q1951" s="135"/>
      <c r="R1951" s="135"/>
      <c r="S1951" s="135"/>
      <c r="T1951" s="135"/>
      <c r="U1951" s="135"/>
      <c r="V1951" s="135"/>
      <c r="W1951" s="135"/>
      <c r="X1951" s="135"/>
      <c r="Y1951" s="135"/>
      <c r="Z1951" s="135"/>
    </row>
    <row r="1952" spans="1:26" ht="12.75">
      <c r="A1952" s="136" t="s">
        <v>19</v>
      </c>
      <c r="B1952" s="136" t="s">
        <v>220</v>
      </c>
      <c r="C1952" s="136" t="s">
        <v>7678</v>
      </c>
      <c r="D1952" s="136" t="s">
        <v>7484</v>
      </c>
      <c r="E1952" s="136" t="s">
        <v>615</v>
      </c>
      <c r="F1952" s="136">
        <v>380</v>
      </c>
      <c r="G1952" s="137">
        <f t="shared" si="7"/>
        <v>2</v>
      </c>
      <c r="H1952" s="137"/>
      <c r="I1952" s="137"/>
      <c r="J1952" s="135"/>
      <c r="K1952" s="135"/>
      <c r="L1952" s="135"/>
      <c r="M1952" s="135"/>
      <c r="N1952" s="135"/>
      <c r="O1952" s="135"/>
      <c r="P1952" s="135"/>
      <c r="Q1952" s="135"/>
      <c r="R1952" s="135"/>
      <c r="S1952" s="135"/>
      <c r="T1952" s="135"/>
      <c r="U1952" s="135"/>
      <c r="V1952" s="135"/>
      <c r="W1952" s="135"/>
      <c r="X1952" s="135"/>
      <c r="Y1952" s="135"/>
      <c r="Z1952" s="135"/>
    </row>
    <row r="1953" spans="1:26" ht="12.75">
      <c r="A1953" s="136" t="s">
        <v>19</v>
      </c>
      <c r="B1953" s="136" t="s">
        <v>220</v>
      </c>
      <c r="C1953" s="136" t="s">
        <v>7678</v>
      </c>
      <c r="D1953" s="136" t="s">
        <v>7613</v>
      </c>
      <c r="E1953" s="136" t="s">
        <v>85</v>
      </c>
      <c r="F1953" s="136">
        <v>244</v>
      </c>
      <c r="G1953" s="137">
        <f t="shared" si="7"/>
        <v>3</v>
      </c>
      <c r="H1953" s="137"/>
      <c r="I1953" s="137"/>
      <c r="J1953" s="135"/>
      <c r="K1953" s="135"/>
      <c r="L1953" s="135"/>
      <c r="M1953" s="135"/>
      <c r="N1953" s="135"/>
      <c r="O1953" s="135"/>
      <c r="P1953" s="135"/>
      <c r="Q1953" s="135"/>
      <c r="R1953" s="135"/>
      <c r="S1953" s="135"/>
      <c r="T1953" s="135"/>
      <c r="U1953" s="135"/>
      <c r="V1953" s="135"/>
      <c r="W1953" s="135"/>
      <c r="X1953" s="135"/>
      <c r="Y1953" s="135"/>
      <c r="Z1953" s="135"/>
    </row>
    <row r="1954" spans="1:26" ht="12.75">
      <c r="A1954" s="136" t="s">
        <v>19</v>
      </c>
      <c r="B1954" s="136" t="s">
        <v>220</v>
      </c>
      <c r="C1954" s="136" t="s">
        <v>7678</v>
      </c>
      <c r="D1954" s="136" t="s">
        <v>7544</v>
      </c>
      <c r="E1954" s="136" t="s">
        <v>615</v>
      </c>
      <c r="F1954" s="136">
        <v>63</v>
      </c>
      <c r="G1954" s="137">
        <f t="shared" si="7"/>
        <v>4</v>
      </c>
      <c r="H1954" s="137"/>
      <c r="I1954" s="137"/>
      <c r="J1954" s="135"/>
      <c r="K1954" s="135"/>
      <c r="L1954" s="135"/>
      <c r="M1954" s="135"/>
      <c r="N1954" s="135"/>
      <c r="O1954" s="135"/>
      <c r="P1954" s="135"/>
      <c r="Q1954" s="135"/>
      <c r="R1954" s="135"/>
      <c r="S1954" s="135"/>
      <c r="T1954" s="135"/>
      <c r="U1954" s="135"/>
      <c r="V1954" s="135"/>
      <c r="W1954" s="135"/>
      <c r="X1954" s="135"/>
      <c r="Y1954" s="135"/>
      <c r="Z1954" s="135"/>
    </row>
    <row r="1955" spans="1:26" ht="12.75">
      <c r="A1955" s="136" t="s">
        <v>19</v>
      </c>
      <c r="B1955" s="136" t="s">
        <v>220</v>
      </c>
      <c r="C1955" s="136" t="s">
        <v>7678</v>
      </c>
      <c r="D1955" s="136" t="s">
        <v>7633</v>
      </c>
      <c r="E1955" s="136" t="s">
        <v>7633</v>
      </c>
      <c r="F1955" s="136">
        <v>55</v>
      </c>
      <c r="G1955" s="137">
        <f t="shared" si="7"/>
        <v>5</v>
      </c>
      <c r="H1955" s="137"/>
      <c r="I1955" s="137"/>
      <c r="J1955" s="135"/>
      <c r="K1955" s="135"/>
      <c r="L1955" s="135"/>
      <c r="M1955" s="135"/>
      <c r="N1955" s="135"/>
      <c r="O1955" s="135"/>
      <c r="P1955" s="135"/>
      <c r="Q1955" s="135"/>
      <c r="R1955" s="135"/>
      <c r="S1955" s="135"/>
      <c r="T1955" s="135"/>
      <c r="U1955" s="135"/>
      <c r="V1955" s="135"/>
      <c r="W1955" s="135"/>
      <c r="X1955" s="135"/>
      <c r="Y1955" s="135"/>
      <c r="Z1955" s="135"/>
    </row>
    <row r="1956" spans="1:26" ht="12.75">
      <c r="A1956" s="136" t="s">
        <v>19</v>
      </c>
      <c r="B1956" s="136" t="s">
        <v>220</v>
      </c>
      <c r="C1956" s="136" t="s">
        <v>7678</v>
      </c>
      <c r="D1956" s="136" t="s">
        <v>467</v>
      </c>
      <c r="E1956" s="136" t="s">
        <v>85</v>
      </c>
      <c r="F1956" s="136">
        <v>50</v>
      </c>
      <c r="G1956" s="137">
        <f t="shared" si="7"/>
        <v>6</v>
      </c>
      <c r="H1956" s="137"/>
      <c r="I1956" s="137"/>
      <c r="J1956" s="135"/>
      <c r="K1956" s="135"/>
      <c r="L1956" s="135"/>
      <c r="M1956" s="135"/>
      <c r="N1956" s="135"/>
      <c r="O1956" s="135"/>
      <c r="P1956" s="135"/>
      <c r="Q1956" s="135"/>
      <c r="R1956" s="135"/>
      <c r="S1956" s="135"/>
      <c r="T1956" s="135"/>
      <c r="U1956" s="135"/>
      <c r="V1956" s="135"/>
      <c r="W1956" s="135"/>
      <c r="X1956" s="135"/>
      <c r="Y1956" s="135"/>
      <c r="Z1956" s="135"/>
    </row>
    <row r="1957" spans="1:26" ht="12.75">
      <c r="A1957" s="136" t="s">
        <v>19</v>
      </c>
      <c r="B1957" s="136" t="s">
        <v>220</v>
      </c>
      <c r="C1957" s="136" t="s">
        <v>7678</v>
      </c>
      <c r="D1957" s="136" t="s">
        <v>7615</v>
      </c>
      <c r="E1957" s="136" t="s">
        <v>7615</v>
      </c>
      <c r="F1957" s="136">
        <v>46</v>
      </c>
      <c r="G1957" s="137">
        <f t="shared" si="7"/>
        <v>7</v>
      </c>
      <c r="H1957" s="137"/>
      <c r="I1957" s="137"/>
      <c r="J1957" s="135"/>
      <c r="K1957" s="135"/>
      <c r="L1957" s="135"/>
      <c r="M1957" s="135"/>
      <c r="N1957" s="135"/>
      <c r="O1957" s="135"/>
      <c r="P1957" s="135"/>
      <c r="Q1957" s="135"/>
      <c r="R1957" s="135"/>
      <c r="S1957" s="135"/>
      <c r="T1957" s="135"/>
      <c r="U1957" s="135"/>
      <c r="V1957" s="135"/>
      <c r="W1957" s="135"/>
      <c r="X1957" s="135"/>
      <c r="Y1957" s="135"/>
      <c r="Z1957" s="135"/>
    </row>
    <row r="1958" spans="1:26" ht="12.75">
      <c r="A1958" s="136" t="s">
        <v>19</v>
      </c>
      <c r="B1958" s="136" t="s">
        <v>220</v>
      </c>
      <c r="C1958" s="136" t="s">
        <v>7679</v>
      </c>
      <c r="D1958" s="136" t="s">
        <v>139</v>
      </c>
      <c r="E1958" s="136" t="s">
        <v>594</v>
      </c>
      <c r="F1958" s="136">
        <v>2952</v>
      </c>
      <c r="G1958" s="137">
        <f t="shared" si="7"/>
        <v>1</v>
      </c>
      <c r="H1958" s="137"/>
      <c r="I1958" s="137"/>
      <c r="J1958" s="135"/>
      <c r="K1958" s="135"/>
      <c r="L1958" s="135"/>
      <c r="M1958" s="135"/>
      <c r="N1958" s="135"/>
      <c r="O1958" s="135"/>
      <c r="P1958" s="135"/>
      <c r="Q1958" s="135"/>
      <c r="R1958" s="135"/>
      <c r="S1958" s="135"/>
      <c r="T1958" s="135"/>
      <c r="U1958" s="135"/>
      <c r="V1958" s="135"/>
      <c r="W1958" s="135"/>
      <c r="X1958" s="135"/>
      <c r="Y1958" s="135"/>
      <c r="Z1958" s="135"/>
    </row>
    <row r="1959" spans="1:26" ht="25.5">
      <c r="A1959" s="136" t="s">
        <v>19</v>
      </c>
      <c r="B1959" s="136" t="s">
        <v>220</v>
      </c>
      <c r="C1959" s="136" t="s">
        <v>7679</v>
      </c>
      <c r="D1959" s="136" t="s">
        <v>7680</v>
      </c>
      <c r="E1959" s="136" t="s">
        <v>615</v>
      </c>
      <c r="F1959" s="136">
        <v>424</v>
      </c>
      <c r="G1959" s="137">
        <f t="shared" si="7"/>
        <v>2</v>
      </c>
      <c r="H1959" s="137"/>
      <c r="I1959" s="137"/>
      <c r="J1959" s="135"/>
      <c r="K1959" s="135"/>
      <c r="L1959" s="135"/>
      <c r="M1959" s="135"/>
      <c r="N1959" s="135"/>
      <c r="O1959" s="135"/>
      <c r="P1959" s="135"/>
      <c r="Q1959" s="135"/>
      <c r="R1959" s="135"/>
      <c r="S1959" s="135"/>
      <c r="T1959" s="135"/>
      <c r="U1959" s="135"/>
      <c r="V1959" s="135"/>
      <c r="W1959" s="135"/>
      <c r="X1959" s="135"/>
      <c r="Y1959" s="135"/>
      <c r="Z1959" s="135"/>
    </row>
    <row r="1960" spans="1:26" ht="12.75">
      <c r="A1960" s="136" t="s">
        <v>19</v>
      </c>
      <c r="B1960" s="136" t="s">
        <v>220</v>
      </c>
      <c r="C1960" s="136" t="s">
        <v>7679</v>
      </c>
      <c r="D1960" s="136" t="s">
        <v>7613</v>
      </c>
      <c r="E1960" s="136" t="s">
        <v>85</v>
      </c>
      <c r="F1960" s="136">
        <v>248</v>
      </c>
      <c r="G1960" s="137">
        <f t="shared" si="7"/>
        <v>3</v>
      </c>
      <c r="H1960" s="137"/>
      <c r="I1960" s="137"/>
      <c r="J1960" s="135"/>
      <c r="K1960" s="135"/>
      <c r="L1960" s="135"/>
      <c r="M1960" s="135"/>
      <c r="N1960" s="135"/>
      <c r="O1960" s="135"/>
      <c r="P1960" s="135"/>
      <c r="Q1960" s="135"/>
      <c r="R1960" s="135"/>
      <c r="S1960" s="135"/>
      <c r="T1960" s="135"/>
      <c r="U1960" s="135"/>
      <c r="V1960" s="135"/>
      <c r="W1960" s="135"/>
      <c r="X1960" s="135"/>
      <c r="Y1960" s="135"/>
      <c r="Z1960" s="135"/>
    </row>
    <row r="1961" spans="1:26" ht="12.75">
      <c r="A1961" s="136" t="s">
        <v>19</v>
      </c>
      <c r="B1961" s="136" t="s">
        <v>220</v>
      </c>
      <c r="C1961" s="136" t="s">
        <v>7679</v>
      </c>
      <c r="D1961" s="136" t="s">
        <v>1665</v>
      </c>
      <c r="E1961" s="136" t="s">
        <v>615</v>
      </c>
      <c r="F1961" s="136">
        <v>125</v>
      </c>
      <c r="G1961" s="137">
        <f t="shared" si="7"/>
        <v>4</v>
      </c>
      <c r="H1961" s="137"/>
      <c r="I1961" s="137"/>
      <c r="J1961" s="135"/>
      <c r="K1961" s="135"/>
      <c r="L1961" s="135"/>
      <c r="M1961" s="135"/>
      <c r="N1961" s="135"/>
      <c r="O1961" s="135"/>
      <c r="P1961" s="135"/>
      <c r="Q1961" s="135"/>
      <c r="R1961" s="135"/>
      <c r="S1961" s="135"/>
      <c r="T1961" s="135"/>
      <c r="U1961" s="135"/>
      <c r="V1961" s="135"/>
      <c r="W1961" s="135"/>
      <c r="X1961" s="135"/>
      <c r="Y1961" s="135"/>
      <c r="Z1961" s="135"/>
    </row>
    <row r="1962" spans="1:26" ht="12.75">
      <c r="A1962" s="136" t="s">
        <v>19</v>
      </c>
      <c r="B1962" s="136" t="s">
        <v>220</v>
      </c>
      <c r="C1962" s="136" t="s">
        <v>7679</v>
      </c>
      <c r="D1962" s="136" t="s">
        <v>136</v>
      </c>
      <c r="E1962" s="136" t="s">
        <v>615</v>
      </c>
      <c r="F1962" s="136">
        <v>110</v>
      </c>
      <c r="G1962" s="137">
        <f t="shared" si="7"/>
        <v>5</v>
      </c>
      <c r="H1962" s="137"/>
      <c r="I1962" s="137"/>
      <c r="J1962" s="135"/>
      <c r="K1962" s="135"/>
      <c r="L1962" s="135"/>
      <c r="M1962" s="135"/>
      <c r="N1962" s="135"/>
      <c r="O1962" s="135"/>
      <c r="P1962" s="135"/>
      <c r="Q1962" s="135"/>
      <c r="R1962" s="135"/>
      <c r="S1962" s="135"/>
      <c r="T1962" s="135"/>
      <c r="U1962" s="135"/>
      <c r="V1962" s="135"/>
      <c r="W1962" s="135"/>
      <c r="X1962" s="135"/>
      <c r="Y1962" s="135"/>
      <c r="Z1962" s="135"/>
    </row>
    <row r="1963" spans="1:26" ht="12.75">
      <c r="A1963" s="136" t="s">
        <v>19</v>
      </c>
      <c r="B1963" s="136" t="s">
        <v>220</v>
      </c>
      <c r="C1963" s="136" t="s">
        <v>7679</v>
      </c>
      <c r="D1963" s="136" t="s">
        <v>7614</v>
      </c>
      <c r="E1963" s="136" t="s">
        <v>7614</v>
      </c>
      <c r="F1963" s="136">
        <v>105</v>
      </c>
      <c r="G1963" s="137">
        <f t="shared" si="7"/>
        <v>6</v>
      </c>
      <c r="H1963" s="137"/>
      <c r="I1963" s="137"/>
      <c r="J1963" s="135"/>
      <c r="K1963" s="135"/>
      <c r="L1963" s="135"/>
      <c r="M1963" s="135"/>
      <c r="N1963" s="135"/>
      <c r="O1963" s="135"/>
      <c r="P1963" s="135"/>
      <c r="Q1963" s="135"/>
      <c r="R1963" s="135"/>
      <c r="S1963" s="135"/>
      <c r="T1963" s="135"/>
      <c r="U1963" s="135"/>
      <c r="V1963" s="135"/>
      <c r="W1963" s="135"/>
      <c r="X1963" s="135"/>
      <c r="Y1963" s="135"/>
      <c r="Z1963" s="135"/>
    </row>
    <row r="1964" spans="1:26" ht="12.75">
      <c r="A1964" s="136" t="s">
        <v>19</v>
      </c>
      <c r="B1964" s="136" t="s">
        <v>220</v>
      </c>
      <c r="C1964" s="136" t="s">
        <v>7679</v>
      </c>
      <c r="D1964" s="136" t="s">
        <v>7615</v>
      </c>
      <c r="E1964" s="136" t="s">
        <v>7615</v>
      </c>
      <c r="F1964" s="136">
        <v>87</v>
      </c>
      <c r="G1964" s="137">
        <f t="shared" si="7"/>
        <v>7</v>
      </c>
      <c r="H1964" s="137"/>
      <c r="I1964" s="137"/>
      <c r="J1964" s="135"/>
      <c r="K1964" s="135"/>
      <c r="L1964" s="135"/>
      <c r="M1964" s="135"/>
      <c r="N1964" s="135"/>
      <c r="O1964" s="135"/>
      <c r="P1964" s="135"/>
      <c r="Q1964" s="135"/>
      <c r="R1964" s="135"/>
      <c r="S1964" s="135"/>
      <c r="T1964" s="135"/>
      <c r="U1964" s="135"/>
      <c r="V1964" s="135"/>
      <c r="W1964" s="135"/>
      <c r="X1964" s="135"/>
      <c r="Y1964" s="135"/>
      <c r="Z1964" s="135"/>
    </row>
    <row r="1965" spans="1:26" ht="12.75">
      <c r="A1965" s="136" t="s">
        <v>19</v>
      </c>
      <c r="B1965" s="136" t="s">
        <v>220</v>
      </c>
      <c r="C1965" s="136" t="s">
        <v>7679</v>
      </c>
      <c r="D1965" s="136" t="s">
        <v>7619</v>
      </c>
      <c r="E1965" s="136" t="s">
        <v>615</v>
      </c>
      <c r="F1965" s="136">
        <v>81</v>
      </c>
      <c r="G1965" s="137">
        <f t="shared" si="7"/>
        <v>8</v>
      </c>
      <c r="H1965" s="137"/>
      <c r="I1965" s="137"/>
      <c r="J1965" s="135"/>
      <c r="K1965" s="135"/>
      <c r="L1965" s="135"/>
      <c r="M1965" s="135"/>
      <c r="N1965" s="135"/>
      <c r="O1965" s="135"/>
      <c r="P1965" s="135"/>
      <c r="Q1965" s="135"/>
      <c r="R1965" s="135"/>
      <c r="S1965" s="135"/>
      <c r="T1965" s="135"/>
      <c r="U1965" s="135"/>
      <c r="V1965" s="135"/>
      <c r="W1965" s="135"/>
      <c r="X1965" s="135"/>
      <c r="Y1965" s="135"/>
      <c r="Z1965" s="135"/>
    </row>
    <row r="1966" spans="1:26" ht="12.75">
      <c r="A1966" s="136" t="s">
        <v>19</v>
      </c>
      <c r="B1966" s="136" t="s">
        <v>220</v>
      </c>
      <c r="C1966" s="136" t="s">
        <v>7679</v>
      </c>
      <c r="D1966" s="136" t="s">
        <v>467</v>
      </c>
      <c r="E1966" s="136" t="s">
        <v>85</v>
      </c>
      <c r="F1966" s="136">
        <v>53</v>
      </c>
      <c r="G1966" s="137">
        <f t="shared" si="7"/>
        <v>9</v>
      </c>
      <c r="H1966" s="137"/>
      <c r="I1966" s="137"/>
      <c r="J1966" s="135"/>
      <c r="K1966" s="135"/>
      <c r="L1966" s="135"/>
      <c r="M1966" s="135"/>
      <c r="N1966" s="135"/>
      <c r="O1966" s="135"/>
      <c r="P1966" s="135"/>
      <c r="Q1966" s="135"/>
      <c r="R1966" s="135"/>
      <c r="S1966" s="135"/>
      <c r="T1966" s="135"/>
      <c r="U1966" s="135"/>
      <c r="V1966" s="135"/>
      <c r="W1966" s="135"/>
      <c r="X1966" s="135"/>
      <c r="Y1966" s="135"/>
      <c r="Z1966" s="135"/>
    </row>
    <row r="1967" spans="1:26" ht="12.75">
      <c r="A1967" s="136" t="s">
        <v>19</v>
      </c>
      <c r="B1967" s="136" t="s">
        <v>220</v>
      </c>
      <c r="C1967" s="136" t="s">
        <v>7679</v>
      </c>
      <c r="D1967" s="136" t="s">
        <v>7620</v>
      </c>
      <c r="E1967" s="136" t="s">
        <v>615</v>
      </c>
      <c r="F1967" s="136">
        <v>41</v>
      </c>
      <c r="G1967" s="137">
        <f t="shared" si="7"/>
        <v>10</v>
      </c>
      <c r="H1967" s="137"/>
      <c r="I1967" s="137"/>
      <c r="J1967" s="135"/>
      <c r="K1967" s="135"/>
      <c r="L1967" s="135"/>
      <c r="M1967" s="135"/>
      <c r="N1967" s="135"/>
      <c r="O1967" s="135"/>
      <c r="P1967" s="135"/>
      <c r="Q1967" s="135"/>
      <c r="R1967" s="135"/>
      <c r="S1967" s="135"/>
      <c r="T1967" s="135"/>
      <c r="U1967" s="135"/>
      <c r="V1967" s="135"/>
      <c r="W1967" s="135"/>
      <c r="X1967" s="135"/>
      <c r="Y1967" s="135"/>
      <c r="Z1967" s="135"/>
    </row>
    <row r="1968" spans="1:26" ht="12.75">
      <c r="A1968" s="136" t="s">
        <v>19</v>
      </c>
      <c r="B1968" s="136" t="s">
        <v>220</v>
      </c>
      <c r="C1968" s="136" t="s">
        <v>1156</v>
      </c>
      <c r="D1968" s="136" t="s">
        <v>139</v>
      </c>
      <c r="E1968" s="136" t="s">
        <v>594</v>
      </c>
      <c r="F1968" s="136">
        <v>1060</v>
      </c>
      <c r="G1968" s="137">
        <f t="shared" si="7"/>
        <v>1</v>
      </c>
      <c r="H1968" s="137"/>
      <c r="I1968" s="137"/>
      <c r="J1968" s="135"/>
      <c r="K1968" s="135"/>
      <c r="L1968" s="135"/>
      <c r="M1968" s="135"/>
      <c r="N1968" s="135"/>
      <c r="O1968" s="135"/>
      <c r="P1968" s="135"/>
      <c r="Q1968" s="135"/>
      <c r="R1968" s="135"/>
      <c r="S1968" s="135"/>
      <c r="T1968" s="135"/>
      <c r="U1968" s="135"/>
      <c r="V1968" s="135"/>
      <c r="W1968" s="135"/>
      <c r="X1968" s="135"/>
      <c r="Y1968" s="135"/>
      <c r="Z1968" s="135"/>
    </row>
    <row r="1969" spans="1:26" ht="12.75">
      <c r="A1969" s="136" t="s">
        <v>19</v>
      </c>
      <c r="B1969" s="136" t="s">
        <v>220</v>
      </c>
      <c r="C1969" s="136" t="s">
        <v>1156</v>
      </c>
      <c r="D1969" s="136" t="s">
        <v>154</v>
      </c>
      <c r="E1969" s="136" t="s">
        <v>615</v>
      </c>
      <c r="F1969" s="136">
        <v>812</v>
      </c>
      <c r="G1969" s="137">
        <f t="shared" si="7"/>
        <v>2</v>
      </c>
      <c r="H1969" s="137"/>
      <c r="I1969" s="137"/>
      <c r="J1969" s="135"/>
      <c r="K1969" s="135"/>
      <c r="L1969" s="135"/>
      <c r="M1969" s="135"/>
      <c r="N1969" s="135"/>
      <c r="O1969" s="135"/>
      <c r="P1969" s="135"/>
      <c r="Q1969" s="135"/>
      <c r="R1969" s="135"/>
      <c r="S1969" s="135"/>
      <c r="T1969" s="135"/>
      <c r="U1969" s="135"/>
      <c r="V1969" s="135"/>
      <c r="W1969" s="135"/>
      <c r="X1969" s="135"/>
      <c r="Y1969" s="135"/>
      <c r="Z1969" s="135"/>
    </row>
    <row r="1970" spans="1:26" ht="12.75">
      <c r="A1970" s="136" t="s">
        <v>19</v>
      </c>
      <c r="B1970" s="136" t="s">
        <v>220</v>
      </c>
      <c r="C1970" s="136" t="s">
        <v>1156</v>
      </c>
      <c r="D1970" s="136" t="s">
        <v>205</v>
      </c>
      <c r="E1970" s="136" t="s">
        <v>615</v>
      </c>
      <c r="F1970" s="136">
        <v>429</v>
      </c>
      <c r="G1970" s="137">
        <f t="shared" si="7"/>
        <v>3</v>
      </c>
      <c r="H1970" s="137"/>
      <c r="I1970" s="137"/>
      <c r="J1970" s="135"/>
      <c r="K1970" s="135"/>
      <c r="L1970" s="135"/>
      <c r="M1970" s="135"/>
      <c r="N1970" s="135"/>
      <c r="O1970" s="135"/>
      <c r="P1970" s="135"/>
      <c r="Q1970" s="135"/>
      <c r="R1970" s="135"/>
      <c r="S1970" s="135"/>
      <c r="T1970" s="135"/>
      <c r="U1970" s="135"/>
      <c r="V1970" s="135"/>
      <c r="W1970" s="135"/>
      <c r="X1970" s="135"/>
      <c r="Y1970" s="135"/>
      <c r="Z1970" s="135"/>
    </row>
    <row r="1971" spans="1:26" ht="12.75">
      <c r="A1971" s="136" t="s">
        <v>19</v>
      </c>
      <c r="B1971" s="136" t="s">
        <v>220</v>
      </c>
      <c r="C1971" s="136" t="s">
        <v>1156</v>
      </c>
      <c r="D1971" s="136" t="s">
        <v>7613</v>
      </c>
      <c r="E1971" s="136" t="s">
        <v>85</v>
      </c>
      <c r="F1971" s="136">
        <v>284</v>
      </c>
      <c r="G1971" s="137">
        <f t="shared" si="7"/>
        <v>4</v>
      </c>
      <c r="H1971" s="137"/>
      <c r="I1971" s="137"/>
      <c r="J1971" s="135"/>
      <c r="K1971" s="135"/>
      <c r="L1971" s="135"/>
      <c r="M1971" s="135"/>
      <c r="N1971" s="135"/>
      <c r="O1971" s="135"/>
      <c r="P1971" s="135"/>
      <c r="Q1971" s="135"/>
      <c r="R1971" s="135"/>
      <c r="S1971" s="135"/>
      <c r="T1971" s="135"/>
      <c r="U1971" s="135"/>
      <c r="V1971" s="135"/>
      <c r="W1971" s="135"/>
      <c r="X1971" s="135"/>
      <c r="Y1971" s="135"/>
      <c r="Z1971" s="135"/>
    </row>
    <row r="1972" spans="1:26" ht="12.75">
      <c r="A1972" s="136" t="s">
        <v>19</v>
      </c>
      <c r="B1972" s="136" t="s">
        <v>220</v>
      </c>
      <c r="C1972" s="136" t="s">
        <v>1156</v>
      </c>
      <c r="D1972" s="136" t="s">
        <v>7619</v>
      </c>
      <c r="E1972" s="136" t="s">
        <v>615</v>
      </c>
      <c r="F1972" s="136">
        <v>248</v>
      </c>
      <c r="G1972" s="137">
        <f t="shared" si="7"/>
        <v>5</v>
      </c>
      <c r="H1972" s="137"/>
      <c r="I1972" s="137"/>
      <c r="J1972" s="135"/>
      <c r="K1972" s="135"/>
      <c r="L1972" s="135"/>
      <c r="M1972" s="135"/>
      <c r="N1972" s="135"/>
      <c r="O1972" s="135"/>
      <c r="P1972" s="135"/>
      <c r="Q1972" s="135"/>
      <c r="R1972" s="135"/>
      <c r="S1972" s="135"/>
      <c r="T1972" s="135"/>
      <c r="U1972" s="135"/>
      <c r="V1972" s="135"/>
      <c r="W1972" s="135"/>
      <c r="X1972" s="135"/>
      <c r="Y1972" s="135"/>
      <c r="Z1972" s="135"/>
    </row>
    <row r="1973" spans="1:26" ht="12.75">
      <c r="A1973" s="136" t="s">
        <v>19</v>
      </c>
      <c r="B1973" s="136" t="s">
        <v>220</v>
      </c>
      <c r="C1973" s="136" t="s">
        <v>1156</v>
      </c>
      <c r="D1973" s="136" t="s">
        <v>1665</v>
      </c>
      <c r="E1973" s="136" t="s">
        <v>615</v>
      </c>
      <c r="F1973" s="136">
        <v>144</v>
      </c>
      <c r="G1973" s="137">
        <f t="shared" si="7"/>
        <v>6</v>
      </c>
      <c r="H1973" s="137"/>
      <c r="I1973" s="137"/>
      <c r="J1973" s="135"/>
      <c r="K1973" s="135"/>
      <c r="L1973" s="135"/>
      <c r="M1973" s="135"/>
      <c r="N1973" s="135"/>
      <c r="O1973" s="135"/>
      <c r="P1973" s="135"/>
      <c r="Q1973" s="135"/>
      <c r="R1973" s="135"/>
      <c r="S1973" s="135"/>
      <c r="T1973" s="135"/>
      <c r="U1973" s="135"/>
      <c r="V1973" s="135"/>
      <c r="W1973" s="135"/>
      <c r="X1973" s="135"/>
      <c r="Y1973" s="135"/>
      <c r="Z1973" s="135"/>
    </row>
    <row r="1974" spans="1:26" ht="12.75">
      <c r="A1974" s="136" t="s">
        <v>19</v>
      </c>
      <c r="B1974" s="136" t="s">
        <v>220</v>
      </c>
      <c r="C1974" s="136" t="s">
        <v>1156</v>
      </c>
      <c r="D1974" s="136" t="s">
        <v>7681</v>
      </c>
      <c r="E1974" s="136" t="s">
        <v>615</v>
      </c>
      <c r="F1974" s="136">
        <v>127</v>
      </c>
      <c r="G1974" s="137">
        <f t="shared" si="7"/>
        <v>7</v>
      </c>
      <c r="H1974" s="137"/>
      <c r="I1974" s="137"/>
      <c r="J1974" s="135"/>
      <c r="K1974" s="135"/>
      <c r="L1974" s="135"/>
      <c r="M1974" s="135"/>
      <c r="N1974" s="135"/>
      <c r="O1974" s="135"/>
      <c r="P1974" s="135"/>
      <c r="Q1974" s="135"/>
      <c r="R1974" s="135"/>
      <c r="S1974" s="135"/>
      <c r="T1974" s="135"/>
      <c r="U1974" s="135"/>
      <c r="V1974" s="135"/>
      <c r="W1974" s="135"/>
      <c r="X1974" s="135"/>
      <c r="Y1974" s="135"/>
      <c r="Z1974" s="135"/>
    </row>
    <row r="1975" spans="1:26" ht="12.75">
      <c r="A1975" s="136" t="s">
        <v>19</v>
      </c>
      <c r="B1975" s="136" t="s">
        <v>220</v>
      </c>
      <c r="C1975" s="136" t="s">
        <v>1156</v>
      </c>
      <c r="D1975" s="136" t="s">
        <v>131</v>
      </c>
      <c r="E1975" s="136" t="s">
        <v>594</v>
      </c>
      <c r="F1975" s="136">
        <v>126</v>
      </c>
      <c r="G1975" s="137">
        <f t="shared" si="7"/>
        <v>8</v>
      </c>
      <c r="H1975" s="137"/>
      <c r="I1975" s="137"/>
      <c r="J1975" s="135"/>
      <c r="K1975" s="135"/>
      <c r="L1975" s="135"/>
      <c r="M1975" s="135"/>
      <c r="N1975" s="135"/>
      <c r="O1975" s="135"/>
      <c r="P1975" s="135"/>
      <c r="Q1975" s="135"/>
      <c r="R1975" s="135"/>
      <c r="S1975" s="135"/>
      <c r="T1975" s="135"/>
      <c r="U1975" s="135"/>
      <c r="V1975" s="135"/>
      <c r="W1975" s="135"/>
      <c r="X1975" s="135"/>
      <c r="Y1975" s="135"/>
      <c r="Z1975" s="135"/>
    </row>
    <row r="1976" spans="1:26" ht="12.75">
      <c r="A1976" s="136" t="s">
        <v>19</v>
      </c>
      <c r="B1976" s="136" t="s">
        <v>220</v>
      </c>
      <c r="C1976" s="136" t="s">
        <v>1156</v>
      </c>
      <c r="D1976" s="136" t="s">
        <v>1669</v>
      </c>
      <c r="E1976" s="136" t="s">
        <v>615</v>
      </c>
      <c r="F1976" s="136">
        <v>93</v>
      </c>
      <c r="G1976" s="137">
        <f t="shared" si="7"/>
        <v>9</v>
      </c>
      <c r="H1976" s="137"/>
      <c r="I1976" s="137"/>
      <c r="J1976" s="135"/>
      <c r="K1976" s="135"/>
      <c r="L1976" s="135"/>
      <c r="M1976" s="135"/>
      <c r="N1976" s="135"/>
      <c r="O1976" s="135"/>
      <c r="P1976" s="135"/>
      <c r="Q1976" s="135"/>
      <c r="R1976" s="135"/>
      <c r="S1976" s="135"/>
      <c r="T1976" s="135"/>
      <c r="U1976" s="135"/>
      <c r="V1976" s="135"/>
      <c r="W1976" s="135"/>
      <c r="X1976" s="135"/>
      <c r="Y1976" s="135"/>
      <c r="Z1976" s="135"/>
    </row>
    <row r="1977" spans="1:26" ht="12.75">
      <c r="A1977" s="136" t="s">
        <v>19</v>
      </c>
      <c r="B1977" s="136" t="s">
        <v>220</v>
      </c>
      <c r="C1977" s="136" t="s">
        <v>1156</v>
      </c>
      <c r="D1977" s="136" t="s">
        <v>7614</v>
      </c>
      <c r="E1977" s="136" t="s">
        <v>7614</v>
      </c>
      <c r="F1977" s="136">
        <v>84</v>
      </c>
      <c r="G1977" s="137">
        <f t="shared" si="7"/>
        <v>10</v>
      </c>
      <c r="H1977" s="137"/>
      <c r="I1977" s="137"/>
      <c r="J1977" s="135"/>
      <c r="K1977" s="135"/>
      <c r="L1977" s="135"/>
      <c r="M1977" s="135"/>
      <c r="N1977" s="135"/>
      <c r="O1977" s="135"/>
      <c r="P1977" s="135"/>
      <c r="Q1977" s="135"/>
      <c r="R1977" s="135"/>
      <c r="S1977" s="135"/>
      <c r="T1977" s="135"/>
      <c r="U1977" s="135"/>
      <c r="V1977" s="135"/>
      <c r="W1977" s="135"/>
      <c r="X1977" s="135"/>
      <c r="Y1977" s="135"/>
      <c r="Z1977" s="135"/>
    </row>
    <row r="1978" spans="1:26" ht="12.75">
      <c r="A1978" s="136" t="s">
        <v>19</v>
      </c>
      <c r="B1978" s="136" t="s">
        <v>220</v>
      </c>
      <c r="C1978" s="136" t="s">
        <v>1156</v>
      </c>
      <c r="D1978" s="136" t="s">
        <v>467</v>
      </c>
      <c r="E1978" s="136" t="s">
        <v>85</v>
      </c>
      <c r="F1978" s="136">
        <v>66</v>
      </c>
      <c r="G1978" s="137">
        <f t="shared" si="7"/>
        <v>11</v>
      </c>
      <c r="H1978" s="137"/>
      <c r="I1978" s="137"/>
      <c r="J1978" s="135"/>
      <c r="K1978" s="135"/>
      <c r="L1978" s="135"/>
      <c r="M1978" s="135"/>
      <c r="N1978" s="135"/>
      <c r="O1978" s="135"/>
      <c r="P1978" s="135"/>
      <c r="Q1978" s="135"/>
      <c r="R1978" s="135"/>
      <c r="S1978" s="135"/>
      <c r="T1978" s="135"/>
      <c r="U1978" s="135"/>
      <c r="V1978" s="135"/>
      <c r="W1978" s="135"/>
      <c r="X1978" s="135"/>
      <c r="Y1978" s="135"/>
      <c r="Z1978" s="135"/>
    </row>
    <row r="1979" spans="1:26" ht="12.75">
      <c r="A1979" s="136" t="s">
        <v>19</v>
      </c>
      <c r="B1979" s="136" t="s">
        <v>220</v>
      </c>
      <c r="C1979" s="136" t="s">
        <v>1156</v>
      </c>
      <c r="D1979" s="136" t="s">
        <v>7615</v>
      </c>
      <c r="E1979" s="136" t="s">
        <v>7615</v>
      </c>
      <c r="F1979" s="136">
        <v>43</v>
      </c>
      <c r="G1979" s="137">
        <f t="shared" si="7"/>
        <v>12</v>
      </c>
      <c r="H1979" s="137"/>
      <c r="I1979" s="137"/>
      <c r="J1979" s="135"/>
      <c r="K1979" s="135"/>
      <c r="L1979" s="135"/>
      <c r="M1979" s="135"/>
      <c r="N1979" s="135"/>
      <c r="O1979" s="135"/>
      <c r="P1979" s="135"/>
      <c r="Q1979" s="135"/>
      <c r="R1979" s="135"/>
      <c r="S1979" s="135"/>
      <c r="T1979" s="135"/>
      <c r="U1979" s="135"/>
      <c r="V1979" s="135"/>
      <c r="W1979" s="135"/>
      <c r="X1979" s="135"/>
      <c r="Y1979" s="135"/>
      <c r="Z1979" s="135"/>
    </row>
    <row r="1980" spans="1:26" ht="12.75">
      <c r="A1980" s="136" t="s">
        <v>19</v>
      </c>
      <c r="B1980" s="136" t="s">
        <v>220</v>
      </c>
      <c r="C1980" s="136" t="s">
        <v>228</v>
      </c>
      <c r="D1980" s="136" t="s">
        <v>139</v>
      </c>
      <c r="E1980" s="136" t="s">
        <v>594</v>
      </c>
      <c r="F1980" s="136">
        <v>2370</v>
      </c>
      <c r="G1980" s="137">
        <f t="shared" si="7"/>
        <v>1</v>
      </c>
      <c r="H1980" s="137"/>
      <c r="I1980" s="137"/>
      <c r="J1980" s="135"/>
      <c r="K1980" s="135"/>
      <c r="L1980" s="135"/>
      <c r="M1980" s="135"/>
      <c r="N1980" s="135"/>
      <c r="O1980" s="135"/>
      <c r="P1980" s="135"/>
      <c r="Q1980" s="135"/>
      <c r="R1980" s="135"/>
      <c r="S1980" s="135"/>
      <c r="T1980" s="135"/>
      <c r="U1980" s="135"/>
      <c r="V1980" s="135"/>
      <c r="W1980" s="135"/>
      <c r="X1980" s="135"/>
      <c r="Y1980" s="135"/>
      <c r="Z1980" s="135"/>
    </row>
    <row r="1981" spans="1:26" ht="12.75">
      <c r="A1981" s="136" t="s">
        <v>19</v>
      </c>
      <c r="B1981" s="136" t="s">
        <v>220</v>
      </c>
      <c r="C1981" s="136" t="s">
        <v>228</v>
      </c>
      <c r="D1981" s="136" t="s">
        <v>7613</v>
      </c>
      <c r="E1981" s="136" t="s">
        <v>85</v>
      </c>
      <c r="F1981" s="136">
        <v>406</v>
      </c>
      <c r="G1981" s="137">
        <f t="shared" si="7"/>
        <v>2</v>
      </c>
      <c r="H1981" s="137"/>
      <c r="I1981" s="137"/>
      <c r="J1981" s="135"/>
      <c r="K1981" s="135"/>
      <c r="L1981" s="135"/>
      <c r="M1981" s="135"/>
      <c r="N1981" s="135"/>
      <c r="O1981" s="135"/>
      <c r="P1981" s="135"/>
      <c r="Q1981" s="135"/>
      <c r="R1981" s="135"/>
      <c r="S1981" s="135"/>
      <c r="T1981" s="135"/>
      <c r="U1981" s="135"/>
      <c r="V1981" s="135"/>
      <c r="W1981" s="135"/>
      <c r="X1981" s="135"/>
      <c r="Y1981" s="135"/>
      <c r="Z1981" s="135"/>
    </row>
    <row r="1982" spans="1:26" ht="12.75">
      <c r="A1982" s="136" t="s">
        <v>19</v>
      </c>
      <c r="B1982" s="136" t="s">
        <v>220</v>
      </c>
      <c r="C1982" s="136" t="s">
        <v>228</v>
      </c>
      <c r="D1982" s="136" t="s">
        <v>7617</v>
      </c>
      <c r="E1982" s="136" t="s">
        <v>615</v>
      </c>
      <c r="F1982" s="136">
        <v>184</v>
      </c>
      <c r="G1982" s="137">
        <f t="shared" si="7"/>
        <v>3</v>
      </c>
      <c r="H1982" s="137"/>
      <c r="I1982" s="137"/>
      <c r="J1982" s="135"/>
      <c r="K1982" s="135"/>
      <c r="L1982" s="135"/>
      <c r="M1982" s="135"/>
      <c r="N1982" s="135"/>
      <c r="O1982" s="135"/>
      <c r="P1982" s="135"/>
      <c r="Q1982" s="135"/>
      <c r="R1982" s="135"/>
      <c r="S1982" s="135"/>
      <c r="T1982" s="135"/>
      <c r="U1982" s="135"/>
      <c r="V1982" s="135"/>
      <c r="W1982" s="135"/>
      <c r="X1982" s="135"/>
      <c r="Y1982" s="135"/>
      <c r="Z1982" s="135"/>
    </row>
    <row r="1983" spans="1:26" ht="12.75">
      <c r="A1983" s="136" t="s">
        <v>19</v>
      </c>
      <c r="B1983" s="136" t="s">
        <v>220</v>
      </c>
      <c r="C1983" s="136" t="s">
        <v>228</v>
      </c>
      <c r="D1983" s="136" t="s">
        <v>1665</v>
      </c>
      <c r="E1983" s="136" t="s">
        <v>615</v>
      </c>
      <c r="F1983" s="136">
        <v>82</v>
      </c>
      <c r="G1983" s="137">
        <f t="shared" si="7"/>
        <v>4</v>
      </c>
      <c r="H1983" s="137"/>
      <c r="I1983" s="137"/>
      <c r="J1983" s="135"/>
      <c r="K1983" s="135"/>
      <c r="L1983" s="135"/>
      <c r="M1983" s="135"/>
      <c r="N1983" s="135"/>
      <c r="O1983" s="135"/>
      <c r="P1983" s="135"/>
      <c r="Q1983" s="135"/>
      <c r="R1983" s="135"/>
      <c r="S1983" s="135"/>
      <c r="T1983" s="135"/>
      <c r="U1983" s="135"/>
      <c r="V1983" s="135"/>
      <c r="W1983" s="135"/>
      <c r="X1983" s="135"/>
      <c r="Y1983" s="135"/>
      <c r="Z1983" s="135"/>
    </row>
    <row r="1984" spans="1:26" ht="12.75">
      <c r="A1984" s="136" t="s">
        <v>19</v>
      </c>
      <c r="B1984" s="136" t="s">
        <v>220</v>
      </c>
      <c r="C1984" s="136" t="s">
        <v>228</v>
      </c>
      <c r="D1984" s="136" t="s">
        <v>1669</v>
      </c>
      <c r="E1984" s="136" t="s">
        <v>615</v>
      </c>
      <c r="F1984" s="136">
        <v>56</v>
      </c>
      <c r="G1984" s="137">
        <f t="shared" si="7"/>
        <v>5</v>
      </c>
      <c r="H1984" s="137"/>
      <c r="I1984" s="137"/>
      <c r="J1984" s="135"/>
      <c r="K1984" s="135"/>
      <c r="L1984" s="135"/>
      <c r="M1984" s="135"/>
      <c r="N1984" s="135"/>
      <c r="O1984" s="135"/>
      <c r="P1984" s="135"/>
      <c r="Q1984" s="135"/>
      <c r="R1984" s="135"/>
      <c r="S1984" s="135"/>
      <c r="T1984" s="135"/>
      <c r="U1984" s="135"/>
      <c r="V1984" s="135"/>
      <c r="W1984" s="135"/>
      <c r="X1984" s="135"/>
      <c r="Y1984" s="135"/>
      <c r="Z1984" s="135"/>
    </row>
    <row r="1985" spans="1:26" ht="12.75">
      <c r="A1985" s="136" t="s">
        <v>19</v>
      </c>
      <c r="B1985" s="136" t="s">
        <v>220</v>
      </c>
      <c r="C1985" s="136" t="s">
        <v>228</v>
      </c>
      <c r="D1985" s="136" t="s">
        <v>1673</v>
      </c>
      <c r="E1985" s="136" t="s">
        <v>615</v>
      </c>
      <c r="F1985" s="136">
        <v>56</v>
      </c>
      <c r="G1985" s="137">
        <f t="shared" si="7"/>
        <v>6</v>
      </c>
      <c r="H1985" s="137"/>
      <c r="I1985" s="137"/>
      <c r="J1985" s="135"/>
      <c r="K1985" s="135"/>
      <c r="L1985" s="135"/>
      <c r="M1985" s="135"/>
      <c r="N1985" s="135"/>
      <c r="O1985" s="135"/>
      <c r="P1985" s="135"/>
      <c r="Q1985" s="135"/>
      <c r="R1985" s="135"/>
      <c r="S1985" s="135"/>
      <c r="T1985" s="135"/>
      <c r="U1985" s="135"/>
      <c r="V1985" s="135"/>
      <c r="W1985" s="135"/>
      <c r="X1985" s="135"/>
      <c r="Y1985" s="135"/>
      <c r="Z1985" s="135"/>
    </row>
    <row r="1986" spans="1:26" ht="12.75">
      <c r="A1986" s="136" t="s">
        <v>19</v>
      </c>
      <c r="B1986" s="136" t="s">
        <v>220</v>
      </c>
      <c r="C1986" s="136" t="s">
        <v>228</v>
      </c>
      <c r="D1986" s="136" t="s">
        <v>467</v>
      </c>
      <c r="E1986" s="136" t="s">
        <v>85</v>
      </c>
      <c r="F1986" s="136">
        <v>54</v>
      </c>
      <c r="G1986" s="137">
        <f t="shared" si="7"/>
        <v>7</v>
      </c>
      <c r="H1986" s="137"/>
      <c r="I1986" s="137"/>
      <c r="J1986" s="135"/>
      <c r="K1986" s="135"/>
      <c r="L1986" s="135"/>
      <c r="M1986" s="135"/>
      <c r="N1986" s="135"/>
      <c r="O1986" s="135"/>
      <c r="P1986" s="135"/>
      <c r="Q1986" s="135"/>
      <c r="R1986" s="135"/>
      <c r="S1986" s="135"/>
      <c r="T1986" s="135"/>
      <c r="U1986" s="135"/>
      <c r="V1986" s="135"/>
      <c r="W1986" s="135"/>
      <c r="X1986" s="135"/>
      <c r="Y1986" s="135"/>
      <c r="Z1986" s="135"/>
    </row>
    <row r="1987" spans="1:26" ht="12.75">
      <c r="A1987" s="136" t="s">
        <v>19</v>
      </c>
      <c r="B1987" s="136" t="s">
        <v>220</v>
      </c>
      <c r="C1987" s="136" t="s">
        <v>228</v>
      </c>
      <c r="D1987" s="136" t="s">
        <v>7633</v>
      </c>
      <c r="E1987" s="136" t="s">
        <v>7633</v>
      </c>
      <c r="F1987" s="136">
        <v>53</v>
      </c>
      <c r="G1987" s="137">
        <f t="shared" si="7"/>
        <v>8</v>
      </c>
      <c r="H1987" s="137"/>
      <c r="I1987" s="137"/>
      <c r="J1987" s="135"/>
      <c r="K1987" s="135"/>
      <c r="L1987" s="135"/>
      <c r="M1987" s="135"/>
      <c r="N1987" s="135"/>
      <c r="O1987" s="135"/>
      <c r="P1987" s="135"/>
      <c r="Q1987" s="135"/>
      <c r="R1987" s="135"/>
      <c r="S1987" s="135"/>
      <c r="T1987" s="135"/>
      <c r="U1987" s="135"/>
      <c r="V1987" s="135"/>
      <c r="W1987" s="135"/>
      <c r="X1987" s="135"/>
      <c r="Y1987" s="135"/>
      <c r="Z1987" s="135"/>
    </row>
    <row r="1988" spans="1:26" ht="12.75">
      <c r="A1988" s="136" t="s">
        <v>19</v>
      </c>
      <c r="B1988" s="136" t="s">
        <v>220</v>
      </c>
      <c r="C1988" s="136" t="s">
        <v>228</v>
      </c>
      <c r="D1988" s="136" t="s">
        <v>7615</v>
      </c>
      <c r="E1988" s="136" t="s">
        <v>7615</v>
      </c>
      <c r="F1988" s="136">
        <v>48</v>
      </c>
      <c r="G1988" s="137">
        <f t="shared" si="7"/>
        <v>9</v>
      </c>
      <c r="H1988" s="137"/>
      <c r="I1988" s="137"/>
      <c r="J1988" s="135"/>
      <c r="K1988" s="135"/>
      <c r="L1988" s="135"/>
      <c r="M1988" s="135"/>
      <c r="N1988" s="135"/>
      <c r="O1988" s="135"/>
      <c r="P1988" s="135"/>
      <c r="Q1988" s="135"/>
      <c r="R1988" s="135"/>
      <c r="S1988" s="135"/>
      <c r="T1988" s="135"/>
      <c r="U1988" s="135"/>
      <c r="V1988" s="135"/>
      <c r="W1988" s="135"/>
      <c r="X1988" s="135"/>
      <c r="Y1988" s="135"/>
      <c r="Z1988" s="135"/>
    </row>
    <row r="1989" spans="1:26" ht="12.75">
      <c r="A1989" s="136" t="s">
        <v>19</v>
      </c>
      <c r="B1989" s="136" t="s">
        <v>220</v>
      </c>
      <c r="C1989" s="136" t="s">
        <v>228</v>
      </c>
      <c r="D1989" s="136" t="s">
        <v>368</v>
      </c>
      <c r="E1989" s="136" t="s">
        <v>594</v>
      </c>
      <c r="F1989" s="136">
        <v>35</v>
      </c>
      <c r="G1989" s="137">
        <f t="shared" si="7"/>
        <v>10</v>
      </c>
      <c r="H1989" s="137"/>
      <c r="I1989" s="137"/>
      <c r="J1989" s="135"/>
      <c r="K1989" s="135"/>
      <c r="L1989" s="135"/>
      <c r="M1989" s="135"/>
      <c r="N1989" s="135"/>
      <c r="O1989" s="135"/>
      <c r="P1989" s="135"/>
      <c r="Q1989" s="135"/>
      <c r="R1989" s="135"/>
      <c r="S1989" s="135"/>
      <c r="T1989" s="135"/>
      <c r="U1989" s="135"/>
      <c r="V1989" s="135"/>
      <c r="W1989" s="135"/>
      <c r="X1989" s="135"/>
      <c r="Y1989" s="135"/>
      <c r="Z1989" s="135"/>
    </row>
    <row r="1990" spans="1:26" ht="12.75">
      <c r="A1990" s="136" t="s">
        <v>19</v>
      </c>
      <c r="B1990" s="136" t="s">
        <v>220</v>
      </c>
      <c r="C1990" s="136" t="s">
        <v>228</v>
      </c>
      <c r="D1990" s="136" t="s">
        <v>38</v>
      </c>
      <c r="E1990" s="136" t="s">
        <v>38</v>
      </c>
      <c r="F1990" s="136">
        <v>32</v>
      </c>
      <c r="G1990" s="137">
        <f t="shared" si="7"/>
        <v>11</v>
      </c>
      <c r="H1990" s="137"/>
      <c r="I1990" s="137"/>
      <c r="J1990" s="135"/>
      <c r="K1990" s="135"/>
      <c r="L1990" s="135"/>
      <c r="M1990" s="135"/>
      <c r="N1990" s="135"/>
      <c r="O1990" s="135"/>
      <c r="P1990" s="135"/>
      <c r="Q1990" s="135"/>
      <c r="R1990" s="135"/>
      <c r="S1990" s="135"/>
      <c r="T1990" s="135"/>
      <c r="U1990" s="135"/>
      <c r="V1990" s="135"/>
      <c r="W1990" s="135"/>
      <c r="X1990" s="135"/>
      <c r="Y1990" s="135"/>
      <c r="Z1990" s="135"/>
    </row>
    <row r="1991" spans="1:26" ht="12.75">
      <c r="A1991" s="136" t="s">
        <v>19</v>
      </c>
      <c r="B1991" s="136" t="s">
        <v>220</v>
      </c>
      <c r="C1991" s="136" t="s">
        <v>228</v>
      </c>
      <c r="D1991" s="136" t="s">
        <v>7682</v>
      </c>
      <c r="E1991" s="136" t="s">
        <v>86</v>
      </c>
      <c r="F1991" s="136">
        <v>29</v>
      </c>
      <c r="G1991" s="137">
        <f t="shared" si="7"/>
        <v>12</v>
      </c>
      <c r="H1991" s="137"/>
      <c r="I1991" s="137"/>
      <c r="J1991" s="135"/>
      <c r="K1991" s="135"/>
      <c r="L1991" s="135"/>
      <c r="M1991" s="135"/>
      <c r="N1991" s="135"/>
      <c r="O1991" s="135"/>
      <c r="P1991" s="135"/>
      <c r="Q1991" s="135"/>
      <c r="R1991" s="135"/>
      <c r="S1991" s="135"/>
      <c r="T1991" s="135"/>
      <c r="U1991" s="135"/>
      <c r="V1991" s="135"/>
      <c r="W1991" s="135"/>
      <c r="X1991" s="135"/>
      <c r="Y1991" s="135"/>
      <c r="Z1991" s="135"/>
    </row>
    <row r="1992" spans="1:26" ht="12.75">
      <c r="A1992" s="136" t="s">
        <v>19</v>
      </c>
      <c r="B1992" s="136" t="s">
        <v>220</v>
      </c>
      <c r="C1992" s="136" t="s">
        <v>228</v>
      </c>
      <c r="D1992" s="136" t="s">
        <v>1626</v>
      </c>
      <c r="E1992" s="136" t="s">
        <v>594</v>
      </c>
      <c r="F1992" s="136">
        <v>26</v>
      </c>
      <c r="G1992" s="137">
        <f t="shared" si="7"/>
        <v>13</v>
      </c>
      <c r="H1992" s="137"/>
      <c r="I1992" s="137"/>
      <c r="J1992" s="135"/>
      <c r="K1992" s="135"/>
      <c r="L1992" s="135"/>
      <c r="M1992" s="135"/>
      <c r="N1992" s="135"/>
      <c r="O1992" s="135"/>
      <c r="P1992" s="135"/>
      <c r="Q1992" s="135"/>
      <c r="R1992" s="135"/>
      <c r="S1992" s="135"/>
      <c r="T1992" s="135"/>
      <c r="U1992" s="135"/>
      <c r="V1992" s="135"/>
      <c r="W1992" s="135"/>
      <c r="X1992" s="135"/>
      <c r="Y1992" s="135"/>
      <c r="Z1992" s="135"/>
    </row>
    <row r="1993" spans="1:26" ht="12.75">
      <c r="A1993" s="136" t="s">
        <v>19</v>
      </c>
      <c r="B1993" s="136" t="s">
        <v>220</v>
      </c>
      <c r="C1993" s="136" t="s">
        <v>233</v>
      </c>
      <c r="D1993" s="136" t="s">
        <v>139</v>
      </c>
      <c r="E1993" s="136" t="s">
        <v>594</v>
      </c>
      <c r="F1993" s="136">
        <v>1478</v>
      </c>
      <c r="G1993" s="137">
        <f t="shared" si="7"/>
        <v>1</v>
      </c>
      <c r="H1993" s="137"/>
      <c r="I1993" s="137"/>
      <c r="J1993" s="135"/>
      <c r="K1993" s="135"/>
      <c r="L1993" s="135"/>
      <c r="M1993" s="135"/>
      <c r="N1993" s="135"/>
      <c r="O1993" s="135"/>
      <c r="P1993" s="135"/>
      <c r="Q1993" s="135"/>
      <c r="R1993" s="135"/>
      <c r="S1993" s="135"/>
      <c r="T1993" s="135"/>
      <c r="U1993" s="135"/>
      <c r="V1993" s="135"/>
      <c r="W1993" s="135"/>
      <c r="X1993" s="135"/>
      <c r="Y1993" s="135"/>
      <c r="Z1993" s="135"/>
    </row>
    <row r="1994" spans="1:26" ht="12.75">
      <c r="A1994" s="136" t="s">
        <v>19</v>
      </c>
      <c r="B1994" s="136" t="s">
        <v>220</v>
      </c>
      <c r="C1994" s="136" t="s">
        <v>233</v>
      </c>
      <c r="D1994" s="136" t="s">
        <v>7613</v>
      </c>
      <c r="E1994" s="136" t="s">
        <v>85</v>
      </c>
      <c r="F1994" s="136">
        <v>142</v>
      </c>
      <c r="G1994" s="137">
        <f t="shared" si="7"/>
        <v>2</v>
      </c>
      <c r="H1994" s="137"/>
      <c r="I1994" s="137"/>
      <c r="J1994" s="135"/>
      <c r="K1994" s="135"/>
      <c r="L1994" s="135"/>
      <c r="M1994" s="135"/>
      <c r="N1994" s="135"/>
      <c r="O1994" s="135"/>
      <c r="P1994" s="135"/>
      <c r="Q1994" s="135"/>
      <c r="R1994" s="135"/>
      <c r="S1994" s="135"/>
      <c r="T1994" s="135"/>
      <c r="U1994" s="135"/>
      <c r="V1994" s="135"/>
      <c r="W1994" s="135"/>
      <c r="X1994" s="135"/>
      <c r="Y1994" s="135"/>
      <c r="Z1994" s="135"/>
    </row>
    <row r="1995" spans="1:26" ht="12.75">
      <c r="A1995" s="136" t="s">
        <v>19</v>
      </c>
      <c r="B1995" s="136" t="s">
        <v>220</v>
      </c>
      <c r="C1995" s="136" t="s">
        <v>233</v>
      </c>
      <c r="D1995" s="136" t="s">
        <v>467</v>
      </c>
      <c r="E1995" s="136" t="s">
        <v>85</v>
      </c>
      <c r="F1995" s="136">
        <v>45</v>
      </c>
      <c r="G1995" s="137">
        <f t="shared" si="7"/>
        <v>3</v>
      </c>
      <c r="H1995" s="137"/>
      <c r="I1995" s="137"/>
      <c r="J1995" s="135"/>
      <c r="K1995" s="135"/>
      <c r="L1995" s="135"/>
      <c r="M1995" s="135"/>
      <c r="N1995" s="135"/>
      <c r="O1995" s="135"/>
      <c r="P1995" s="135"/>
      <c r="Q1995" s="135"/>
      <c r="R1995" s="135"/>
      <c r="S1995" s="135"/>
      <c r="T1995" s="135"/>
      <c r="U1995" s="135"/>
      <c r="V1995" s="135"/>
      <c r="W1995" s="135"/>
      <c r="X1995" s="135"/>
      <c r="Y1995" s="135"/>
      <c r="Z1995" s="135"/>
    </row>
    <row r="1996" spans="1:26" ht="12.75">
      <c r="A1996" s="136" t="s">
        <v>19</v>
      </c>
      <c r="B1996" s="136" t="s">
        <v>220</v>
      </c>
      <c r="C1996" s="136" t="s">
        <v>233</v>
      </c>
      <c r="D1996" s="136" t="s">
        <v>1669</v>
      </c>
      <c r="E1996" s="136" t="s">
        <v>615</v>
      </c>
      <c r="F1996" s="136">
        <v>41</v>
      </c>
      <c r="G1996" s="137">
        <f t="shared" si="7"/>
        <v>5</v>
      </c>
      <c r="H1996" s="137"/>
      <c r="I1996" s="137"/>
      <c r="J1996" s="135"/>
      <c r="K1996" s="135"/>
      <c r="L1996" s="135"/>
      <c r="M1996" s="135"/>
      <c r="N1996" s="135"/>
      <c r="O1996" s="135"/>
      <c r="P1996" s="135"/>
      <c r="Q1996" s="135"/>
      <c r="R1996" s="135"/>
      <c r="S1996" s="135"/>
      <c r="T1996" s="135"/>
      <c r="U1996" s="135"/>
      <c r="V1996" s="135"/>
      <c r="W1996" s="135"/>
      <c r="X1996" s="135"/>
      <c r="Y1996" s="135"/>
      <c r="Z1996" s="135"/>
    </row>
    <row r="1997" spans="1:26" ht="12.75">
      <c r="A1997" s="136" t="s">
        <v>19</v>
      </c>
      <c r="B1997" s="136" t="s">
        <v>220</v>
      </c>
      <c r="C1997" s="136" t="s">
        <v>233</v>
      </c>
      <c r="D1997" s="136" t="s">
        <v>7633</v>
      </c>
      <c r="E1997" s="136" t="s">
        <v>7633</v>
      </c>
      <c r="F1997" s="136">
        <v>42</v>
      </c>
      <c r="G1997" s="137">
        <f t="shared" si="7"/>
        <v>4</v>
      </c>
      <c r="H1997" s="137"/>
      <c r="I1997" s="137"/>
      <c r="J1997" s="135"/>
      <c r="K1997" s="135"/>
      <c r="L1997" s="135"/>
      <c r="M1997" s="135"/>
      <c r="N1997" s="135"/>
      <c r="O1997" s="135"/>
      <c r="P1997" s="135"/>
      <c r="Q1997" s="135"/>
      <c r="R1997" s="135"/>
      <c r="S1997" s="135"/>
      <c r="T1997" s="135"/>
      <c r="U1997" s="135"/>
      <c r="V1997" s="135"/>
      <c r="W1997" s="135"/>
      <c r="X1997" s="135"/>
      <c r="Y1997" s="135"/>
      <c r="Z1997" s="135"/>
    </row>
    <row r="1998" spans="1:26" ht="12.75">
      <c r="A1998" s="136" t="s">
        <v>19</v>
      </c>
      <c r="B1998" s="136" t="s">
        <v>220</v>
      </c>
      <c r="C1998" s="136" t="s">
        <v>233</v>
      </c>
      <c r="D1998" s="136" t="s">
        <v>368</v>
      </c>
      <c r="E1998" s="136" t="s">
        <v>594</v>
      </c>
      <c r="F1998" s="136">
        <v>20</v>
      </c>
      <c r="G1998" s="137">
        <f t="shared" si="7"/>
        <v>6</v>
      </c>
      <c r="H1998" s="137"/>
      <c r="I1998" s="137"/>
      <c r="J1998" s="135"/>
      <c r="K1998" s="135"/>
      <c r="L1998" s="135"/>
      <c r="M1998" s="135"/>
      <c r="N1998" s="135"/>
      <c r="O1998" s="135"/>
      <c r="P1998" s="135"/>
      <c r="Q1998" s="135"/>
      <c r="R1998" s="135"/>
      <c r="S1998" s="135"/>
      <c r="T1998" s="135"/>
      <c r="U1998" s="135"/>
      <c r="V1998" s="135"/>
      <c r="W1998" s="135"/>
      <c r="X1998" s="135"/>
      <c r="Y1998" s="135"/>
      <c r="Z1998" s="135"/>
    </row>
    <row r="1999" spans="1:26" ht="12.75">
      <c r="A1999" s="136" t="s">
        <v>19</v>
      </c>
      <c r="B1999" s="136" t="s">
        <v>220</v>
      </c>
      <c r="C1999" s="136" t="s">
        <v>233</v>
      </c>
      <c r="D1999" s="136" t="s">
        <v>1626</v>
      </c>
      <c r="E1999" s="136" t="s">
        <v>594</v>
      </c>
      <c r="F1999" s="136">
        <v>16</v>
      </c>
      <c r="G1999" s="137">
        <f t="shared" si="7"/>
        <v>7</v>
      </c>
      <c r="H1999" s="137"/>
      <c r="I1999" s="137"/>
      <c r="J1999" s="135"/>
      <c r="K1999" s="135"/>
      <c r="L1999" s="135"/>
      <c r="M1999" s="135"/>
      <c r="N1999" s="135"/>
      <c r="O1999" s="135"/>
      <c r="P1999" s="135"/>
      <c r="Q1999" s="135"/>
      <c r="R1999" s="135"/>
      <c r="S1999" s="135"/>
      <c r="T1999" s="135"/>
      <c r="U1999" s="135"/>
      <c r="V1999" s="135"/>
      <c r="W1999" s="135"/>
      <c r="X1999" s="135"/>
      <c r="Y1999" s="135"/>
      <c r="Z1999" s="135"/>
    </row>
    <row r="2000" spans="1:26" ht="12.75">
      <c r="A2000" s="136" t="s">
        <v>19</v>
      </c>
      <c r="B2000" s="136" t="s">
        <v>220</v>
      </c>
      <c r="C2000" s="136" t="s">
        <v>233</v>
      </c>
      <c r="D2000" s="136" t="s">
        <v>1665</v>
      </c>
      <c r="E2000" s="136" t="s">
        <v>615</v>
      </c>
      <c r="F2000" s="136">
        <v>13</v>
      </c>
      <c r="G2000" s="137">
        <f t="shared" si="7"/>
        <v>8</v>
      </c>
      <c r="H2000" s="137"/>
      <c r="I2000" s="137"/>
      <c r="J2000" s="135"/>
      <c r="K2000" s="135"/>
      <c r="L2000" s="135"/>
      <c r="M2000" s="135"/>
      <c r="N2000" s="135"/>
      <c r="O2000" s="135"/>
      <c r="P2000" s="135"/>
      <c r="Q2000" s="135"/>
      <c r="R2000" s="135"/>
      <c r="S2000" s="135"/>
      <c r="T2000" s="135"/>
      <c r="U2000" s="135"/>
      <c r="V2000" s="135"/>
      <c r="W2000" s="135"/>
      <c r="X2000" s="135"/>
      <c r="Y2000" s="135"/>
      <c r="Z2000" s="135"/>
    </row>
    <row r="2001" spans="1:26" ht="12.75">
      <c r="A2001" s="136" t="s">
        <v>19</v>
      </c>
      <c r="B2001" s="136" t="s">
        <v>220</v>
      </c>
      <c r="C2001" s="136" t="s">
        <v>233</v>
      </c>
      <c r="D2001" s="136" t="s">
        <v>7615</v>
      </c>
      <c r="E2001" s="136" t="s">
        <v>7615</v>
      </c>
      <c r="F2001" s="136">
        <v>12</v>
      </c>
      <c r="G2001" s="137">
        <f t="shared" si="7"/>
        <v>9</v>
      </c>
      <c r="H2001" s="137"/>
      <c r="I2001" s="137"/>
      <c r="J2001" s="135"/>
      <c r="K2001" s="135"/>
      <c r="L2001" s="135"/>
      <c r="M2001" s="135"/>
      <c r="N2001" s="135"/>
      <c r="O2001" s="135"/>
      <c r="P2001" s="135"/>
      <c r="Q2001" s="135"/>
      <c r="R2001" s="135"/>
      <c r="S2001" s="135"/>
      <c r="T2001" s="135"/>
      <c r="U2001" s="135"/>
      <c r="V2001" s="135"/>
      <c r="W2001" s="135"/>
      <c r="X2001" s="135"/>
      <c r="Y2001" s="135"/>
      <c r="Z2001" s="135"/>
    </row>
    <row r="2002" spans="1:26" ht="12.75">
      <c r="A2002" s="136" t="s">
        <v>19</v>
      </c>
      <c r="B2002" s="136" t="s">
        <v>220</v>
      </c>
      <c r="C2002" s="136" t="s">
        <v>233</v>
      </c>
      <c r="D2002" s="136" t="s">
        <v>7527</v>
      </c>
      <c r="E2002" s="136" t="s">
        <v>615</v>
      </c>
      <c r="F2002" s="136">
        <v>7</v>
      </c>
      <c r="G2002" s="137">
        <f t="shared" si="7"/>
        <v>10</v>
      </c>
      <c r="H2002" s="137"/>
      <c r="I2002" s="137"/>
      <c r="J2002" s="135"/>
      <c r="K2002" s="135"/>
      <c r="L2002" s="135"/>
      <c r="M2002" s="135"/>
      <c r="N2002" s="135"/>
      <c r="O2002" s="135"/>
      <c r="P2002" s="135"/>
      <c r="Q2002" s="135"/>
      <c r="R2002" s="135"/>
      <c r="S2002" s="135"/>
      <c r="T2002" s="135"/>
      <c r="U2002" s="135"/>
      <c r="V2002" s="135"/>
      <c r="W2002" s="135"/>
      <c r="X2002" s="135"/>
      <c r="Y2002" s="135"/>
      <c r="Z2002" s="135"/>
    </row>
    <row r="2003" spans="1:26" ht="12.75">
      <c r="A2003" s="136" t="s">
        <v>19</v>
      </c>
      <c r="B2003" s="136" t="s">
        <v>220</v>
      </c>
      <c r="C2003" s="136" t="s">
        <v>235</v>
      </c>
      <c r="D2003" s="136" t="s">
        <v>139</v>
      </c>
      <c r="E2003" s="136" t="s">
        <v>594</v>
      </c>
      <c r="F2003" s="136">
        <v>888</v>
      </c>
      <c r="G2003" s="137">
        <f t="shared" si="7"/>
        <v>1</v>
      </c>
      <c r="H2003" s="137"/>
      <c r="I2003" s="137"/>
      <c r="J2003" s="135"/>
      <c r="K2003" s="135"/>
      <c r="L2003" s="135"/>
      <c r="M2003" s="135"/>
      <c r="N2003" s="135"/>
      <c r="O2003" s="135"/>
      <c r="P2003" s="135"/>
      <c r="Q2003" s="135"/>
      <c r="R2003" s="135"/>
      <c r="S2003" s="135"/>
      <c r="T2003" s="135"/>
      <c r="U2003" s="135"/>
      <c r="V2003" s="135"/>
      <c r="W2003" s="135"/>
      <c r="X2003" s="135"/>
      <c r="Y2003" s="135"/>
      <c r="Z2003" s="135"/>
    </row>
    <row r="2004" spans="1:26" ht="12.75">
      <c r="A2004" s="136" t="s">
        <v>19</v>
      </c>
      <c r="B2004" s="136" t="s">
        <v>220</v>
      </c>
      <c r="C2004" s="136" t="s">
        <v>235</v>
      </c>
      <c r="D2004" s="136" t="s">
        <v>7683</v>
      </c>
      <c r="E2004" s="136" t="s">
        <v>615</v>
      </c>
      <c r="F2004" s="136">
        <v>437</v>
      </c>
      <c r="G2004" s="137">
        <f t="shared" si="7"/>
        <v>2</v>
      </c>
      <c r="H2004" s="137"/>
      <c r="I2004" s="137"/>
      <c r="J2004" s="135"/>
      <c r="K2004" s="135"/>
      <c r="L2004" s="135"/>
      <c r="M2004" s="135"/>
      <c r="N2004" s="135"/>
      <c r="O2004" s="135"/>
      <c r="P2004" s="135"/>
      <c r="Q2004" s="135"/>
      <c r="R2004" s="135"/>
      <c r="S2004" s="135"/>
      <c r="T2004" s="135"/>
      <c r="U2004" s="135"/>
      <c r="V2004" s="135"/>
      <c r="W2004" s="135"/>
      <c r="X2004" s="135"/>
      <c r="Y2004" s="135"/>
      <c r="Z2004" s="135"/>
    </row>
    <row r="2005" spans="1:26" ht="12.75">
      <c r="A2005" s="136" t="s">
        <v>19</v>
      </c>
      <c r="B2005" s="136" t="s">
        <v>220</v>
      </c>
      <c r="C2005" s="136" t="s">
        <v>235</v>
      </c>
      <c r="D2005" s="136" t="s">
        <v>7613</v>
      </c>
      <c r="E2005" s="136" t="s">
        <v>85</v>
      </c>
      <c r="F2005" s="136">
        <v>216</v>
      </c>
      <c r="G2005" s="137">
        <f t="shared" si="7"/>
        <v>3</v>
      </c>
      <c r="H2005" s="137"/>
      <c r="I2005" s="137"/>
      <c r="J2005" s="135"/>
      <c r="K2005" s="135"/>
      <c r="L2005" s="135"/>
      <c r="M2005" s="135"/>
      <c r="N2005" s="135"/>
      <c r="O2005" s="135"/>
      <c r="P2005" s="135"/>
      <c r="Q2005" s="135"/>
      <c r="R2005" s="135"/>
      <c r="S2005" s="135"/>
      <c r="T2005" s="135"/>
      <c r="U2005" s="135"/>
      <c r="V2005" s="135"/>
      <c r="W2005" s="135"/>
      <c r="X2005" s="135"/>
      <c r="Y2005" s="135"/>
      <c r="Z2005" s="135"/>
    </row>
    <row r="2006" spans="1:26" ht="12.75">
      <c r="A2006" s="136" t="s">
        <v>19</v>
      </c>
      <c r="B2006" s="136" t="s">
        <v>220</v>
      </c>
      <c r="C2006" s="136" t="s">
        <v>235</v>
      </c>
      <c r="D2006" s="136" t="s">
        <v>38</v>
      </c>
      <c r="E2006" s="136" t="s">
        <v>38</v>
      </c>
      <c r="F2006" s="136">
        <v>83</v>
      </c>
      <c r="G2006" s="137">
        <f t="shared" si="7"/>
        <v>4</v>
      </c>
      <c r="H2006" s="137"/>
      <c r="I2006" s="137"/>
      <c r="J2006" s="135"/>
      <c r="K2006" s="135"/>
      <c r="L2006" s="135"/>
      <c r="M2006" s="135"/>
      <c r="N2006" s="135"/>
      <c r="O2006" s="135"/>
      <c r="P2006" s="135"/>
      <c r="Q2006" s="135"/>
      <c r="R2006" s="135"/>
      <c r="S2006" s="135"/>
      <c r="T2006" s="135"/>
      <c r="U2006" s="135"/>
      <c r="V2006" s="135"/>
      <c r="W2006" s="135"/>
      <c r="X2006" s="135"/>
      <c r="Y2006" s="135"/>
      <c r="Z2006" s="135"/>
    </row>
    <row r="2007" spans="1:26" ht="12.75">
      <c r="A2007" s="136" t="s">
        <v>19</v>
      </c>
      <c r="B2007" s="136" t="s">
        <v>220</v>
      </c>
      <c r="C2007" s="136" t="s">
        <v>235</v>
      </c>
      <c r="D2007" s="136" t="s">
        <v>467</v>
      </c>
      <c r="E2007" s="136" t="s">
        <v>85</v>
      </c>
      <c r="F2007" s="136">
        <v>53</v>
      </c>
      <c r="G2007" s="137">
        <f t="shared" si="7"/>
        <v>5</v>
      </c>
      <c r="H2007" s="137"/>
      <c r="I2007" s="137"/>
      <c r="J2007" s="135"/>
      <c r="K2007" s="135"/>
      <c r="L2007" s="135"/>
      <c r="M2007" s="135"/>
      <c r="N2007" s="135"/>
      <c r="O2007" s="135"/>
      <c r="P2007" s="135"/>
      <c r="Q2007" s="135"/>
      <c r="R2007" s="135"/>
      <c r="S2007" s="135"/>
      <c r="T2007" s="135"/>
      <c r="U2007" s="135"/>
      <c r="V2007" s="135"/>
      <c r="W2007" s="135"/>
      <c r="X2007" s="135"/>
      <c r="Y2007" s="135"/>
      <c r="Z2007" s="135"/>
    </row>
    <row r="2008" spans="1:26" ht="12.75">
      <c r="A2008" s="136" t="s">
        <v>19</v>
      </c>
      <c r="B2008" s="136" t="s">
        <v>220</v>
      </c>
      <c r="C2008" s="136" t="s">
        <v>235</v>
      </c>
      <c r="D2008" s="136" t="s">
        <v>7617</v>
      </c>
      <c r="E2008" s="136" t="s">
        <v>615</v>
      </c>
      <c r="F2008" s="136">
        <v>36</v>
      </c>
      <c r="G2008" s="137">
        <f t="shared" si="7"/>
        <v>6</v>
      </c>
      <c r="H2008" s="137"/>
      <c r="I2008" s="137"/>
      <c r="J2008" s="135"/>
      <c r="K2008" s="135"/>
      <c r="L2008" s="135"/>
      <c r="M2008" s="135"/>
      <c r="N2008" s="135"/>
      <c r="O2008" s="135"/>
      <c r="P2008" s="135"/>
      <c r="Q2008" s="135"/>
      <c r="R2008" s="135"/>
      <c r="S2008" s="135"/>
      <c r="T2008" s="135"/>
      <c r="U2008" s="135"/>
      <c r="V2008" s="135"/>
      <c r="W2008" s="135"/>
      <c r="X2008" s="135"/>
      <c r="Y2008" s="135"/>
      <c r="Z2008" s="135"/>
    </row>
    <row r="2009" spans="1:26" ht="12.75">
      <c r="A2009" s="136" t="s">
        <v>19</v>
      </c>
      <c r="B2009" s="136" t="s">
        <v>220</v>
      </c>
      <c r="C2009" s="136" t="s">
        <v>235</v>
      </c>
      <c r="D2009" s="136" t="s">
        <v>131</v>
      </c>
      <c r="E2009" s="136" t="s">
        <v>594</v>
      </c>
      <c r="F2009" s="136">
        <v>33</v>
      </c>
      <c r="G2009" s="137">
        <f t="shared" si="7"/>
        <v>7</v>
      </c>
      <c r="H2009" s="137"/>
      <c r="I2009" s="137"/>
      <c r="J2009" s="135"/>
      <c r="K2009" s="135"/>
      <c r="L2009" s="135"/>
      <c r="M2009" s="135"/>
      <c r="N2009" s="135"/>
      <c r="O2009" s="135"/>
      <c r="P2009" s="135"/>
      <c r="Q2009" s="135"/>
      <c r="R2009" s="135"/>
      <c r="S2009" s="135"/>
      <c r="T2009" s="135"/>
      <c r="U2009" s="135"/>
      <c r="V2009" s="135"/>
      <c r="W2009" s="135"/>
      <c r="X2009" s="135"/>
      <c r="Y2009" s="135"/>
      <c r="Z2009" s="135"/>
    </row>
    <row r="2010" spans="1:26" ht="12.75">
      <c r="A2010" s="136" t="s">
        <v>19</v>
      </c>
      <c r="B2010" s="136" t="s">
        <v>220</v>
      </c>
      <c r="C2010" s="136" t="s">
        <v>235</v>
      </c>
      <c r="D2010" s="136" t="s">
        <v>1665</v>
      </c>
      <c r="E2010" s="136" t="s">
        <v>615</v>
      </c>
      <c r="F2010" s="136">
        <v>32</v>
      </c>
      <c r="G2010" s="137">
        <f t="shared" si="7"/>
        <v>8</v>
      </c>
      <c r="H2010" s="137"/>
      <c r="I2010" s="137"/>
      <c r="J2010" s="135"/>
      <c r="K2010" s="135"/>
      <c r="L2010" s="135"/>
      <c r="M2010" s="135"/>
      <c r="N2010" s="135"/>
      <c r="O2010" s="135"/>
      <c r="P2010" s="135"/>
      <c r="Q2010" s="135"/>
      <c r="R2010" s="135"/>
      <c r="S2010" s="135"/>
      <c r="T2010" s="135"/>
      <c r="U2010" s="135"/>
      <c r="V2010" s="135"/>
      <c r="W2010" s="135"/>
      <c r="X2010" s="135"/>
      <c r="Y2010" s="135"/>
      <c r="Z2010" s="135"/>
    </row>
    <row r="2011" spans="1:26" ht="12.75">
      <c r="A2011" s="136" t="s">
        <v>19</v>
      </c>
      <c r="B2011" s="136" t="s">
        <v>220</v>
      </c>
      <c r="C2011" s="136" t="s">
        <v>235</v>
      </c>
      <c r="D2011" s="136" t="s">
        <v>86</v>
      </c>
      <c r="E2011" s="136" t="s">
        <v>86</v>
      </c>
      <c r="F2011" s="136">
        <v>5</v>
      </c>
      <c r="G2011" s="137">
        <f t="shared" si="7"/>
        <v>9</v>
      </c>
      <c r="H2011" s="137"/>
      <c r="I2011" s="137"/>
      <c r="J2011" s="135"/>
      <c r="K2011" s="135"/>
      <c r="L2011" s="135"/>
      <c r="M2011" s="135"/>
      <c r="N2011" s="135"/>
      <c r="O2011" s="135"/>
      <c r="P2011" s="135"/>
      <c r="Q2011" s="135"/>
      <c r="R2011" s="135"/>
      <c r="S2011" s="135"/>
      <c r="T2011" s="135"/>
      <c r="U2011" s="135"/>
      <c r="V2011" s="135"/>
      <c r="W2011" s="135"/>
      <c r="X2011" s="135"/>
      <c r="Y2011" s="135"/>
      <c r="Z2011" s="135"/>
    </row>
    <row r="2012" spans="1:26" ht="12.75">
      <c r="A2012" s="136" t="s">
        <v>19</v>
      </c>
      <c r="B2012" s="136" t="s">
        <v>220</v>
      </c>
      <c r="C2012" s="136" t="s">
        <v>237</v>
      </c>
      <c r="D2012" s="136" t="s">
        <v>139</v>
      </c>
      <c r="E2012" s="136" t="s">
        <v>594</v>
      </c>
      <c r="F2012" s="136">
        <v>807</v>
      </c>
      <c r="G2012" s="137">
        <f t="shared" si="7"/>
        <v>1</v>
      </c>
      <c r="H2012" s="137"/>
      <c r="I2012" s="137"/>
      <c r="J2012" s="135"/>
      <c r="K2012" s="135"/>
      <c r="L2012" s="135"/>
      <c r="M2012" s="135"/>
      <c r="N2012" s="135"/>
      <c r="O2012" s="135"/>
      <c r="P2012" s="135"/>
      <c r="Q2012" s="135"/>
      <c r="R2012" s="135"/>
      <c r="S2012" s="135"/>
      <c r="T2012" s="135"/>
      <c r="U2012" s="135"/>
      <c r="V2012" s="135"/>
      <c r="W2012" s="135"/>
      <c r="X2012" s="135"/>
      <c r="Y2012" s="135"/>
      <c r="Z2012" s="135"/>
    </row>
    <row r="2013" spans="1:26" ht="12.75">
      <c r="A2013" s="136" t="s">
        <v>19</v>
      </c>
      <c r="B2013" s="136" t="s">
        <v>220</v>
      </c>
      <c r="C2013" s="136" t="s">
        <v>237</v>
      </c>
      <c r="D2013" s="136" t="s">
        <v>154</v>
      </c>
      <c r="E2013" s="136" t="s">
        <v>615</v>
      </c>
      <c r="F2013" s="136">
        <v>301</v>
      </c>
      <c r="G2013" s="137">
        <f t="shared" si="7"/>
        <v>2</v>
      </c>
      <c r="H2013" s="137"/>
      <c r="I2013" s="137"/>
      <c r="J2013" s="135"/>
      <c r="K2013" s="135"/>
      <c r="L2013" s="135"/>
      <c r="M2013" s="135"/>
      <c r="N2013" s="135"/>
      <c r="O2013" s="135"/>
      <c r="P2013" s="135"/>
      <c r="Q2013" s="135"/>
      <c r="R2013" s="135"/>
      <c r="S2013" s="135"/>
      <c r="T2013" s="135"/>
      <c r="U2013" s="135"/>
      <c r="V2013" s="135"/>
      <c r="W2013" s="135"/>
      <c r="X2013" s="135"/>
      <c r="Y2013" s="135"/>
      <c r="Z2013" s="135"/>
    </row>
    <row r="2014" spans="1:26" ht="12.75">
      <c r="A2014" s="136" t="s">
        <v>19</v>
      </c>
      <c r="B2014" s="136" t="s">
        <v>220</v>
      </c>
      <c r="C2014" s="136" t="s">
        <v>237</v>
      </c>
      <c r="D2014" s="136" t="s">
        <v>38</v>
      </c>
      <c r="E2014" s="136" t="s">
        <v>38</v>
      </c>
      <c r="F2014" s="136">
        <v>51</v>
      </c>
      <c r="G2014" s="137">
        <f t="shared" si="7"/>
        <v>3</v>
      </c>
      <c r="H2014" s="137"/>
      <c r="I2014" s="137"/>
      <c r="J2014" s="135"/>
      <c r="K2014" s="135"/>
      <c r="L2014" s="135"/>
      <c r="M2014" s="135"/>
      <c r="N2014" s="135"/>
      <c r="O2014" s="135"/>
      <c r="P2014" s="135"/>
      <c r="Q2014" s="135"/>
      <c r="R2014" s="135"/>
      <c r="S2014" s="135"/>
      <c r="T2014" s="135"/>
      <c r="U2014" s="135"/>
      <c r="V2014" s="135"/>
      <c r="W2014" s="135"/>
      <c r="X2014" s="135"/>
      <c r="Y2014" s="135"/>
      <c r="Z2014" s="135"/>
    </row>
    <row r="2015" spans="1:26" ht="12.75">
      <c r="A2015" s="136" t="s">
        <v>19</v>
      </c>
      <c r="B2015" s="136" t="s">
        <v>220</v>
      </c>
      <c r="C2015" s="136" t="s">
        <v>237</v>
      </c>
      <c r="D2015" s="136" t="s">
        <v>7613</v>
      </c>
      <c r="E2015" s="136" t="s">
        <v>85</v>
      </c>
      <c r="F2015" s="136">
        <v>48</v>
      </c>
      <c r="G2015" s="137">
        <f t="shared" si="7"/>
        <v>4</v>
      </c>
      <c r="H2015" s="137"/>
      <c r="I2015" s="137"/>
      <c r="J2015" s="135"/>
      <c r="K2015" s="135"/>
      <c r="L2015" s="135"/>
      <c r="M2015" s="135"/>
      <c r="N2015" s="135"/>
      <c r="O2015" s="135"/>
      <c r="P2015" s="135"/>
      <c r="Q2015" s="135"/>
      <c r="R2015" s="135"/>
      <c r="S2015" s="135"/>
      <c r="T2015" s="135"/>
      <c r="U2015" s="135"/>
      <c r="V2015" s="135"/>
      <c r="W2015" s="135"/>
      <c r="X2015" s="135"/>
      <c r="Y2015" s="135"/>
      <c r="Z2015" s="135"/>
    </row>
    <row r="2016" spans="1:26" ht="12.75">
      <c r="A2016" s="136" t="s">
        <v>19</v>
      </c>
      <c r="B2016" s="136" t="s">
        <v>220</v>
      </c>
      <c r="C2016" s="136" t="s">
        <v>237</v>
      </c>
      <c r="D2016" s="136" t="s">
        <v>7684</v>
      </c>
      <c r="E2016" s="136" t="s">
        <v>594</v>
      </c>
      <c r="F2016" s="136">
        <v>37</v>
      </c>
      <c r="G2016" s="137">
        <f t="shared" si="7"/>
        <v>5</v>
      </c>
      <c r="H2016" s="137"/>
      <c r="I2016" s="137"/>
      <c r="J2016" s="135"/>
      <c r="K2016" s="135"/>
      <c r="L2016" s="135"/>
      <c r="M2016" s="135"/>
      <c r="N2016" s="135"/>
      <c r="O2016" s="135"/>
      <c r="P2016" s="135"/>
      <c r="Q2016" s="135"/>
      <c r="R2016" s="135"/>
      <c r="S2016" s="135"/>
      <c r="T2016" s="135"/>
      <c r="U2016" s="135"/>
      <c r="V2016" s="135"/>
      <c r="W2016" s="135"/>
      <c r="X2016" s="135"/>
      <c r="Y2016" s="135"/>
      <c r="Z2016" s="135"/>
    </row>
    <row r="2017" spans="1:26" ht="12.75">
      <c r="A2017" s="136" t="s">
        <v>19</v>
      </c>
      <c r="B2017" s="136" t="s">
        <v>220</v>
      </c>
      <c r="C2017" s="136" t="s">
        <v>237</v>
      </c>
      <c r="D2017" s="136" t="s">
        <v>368</v>
      </c>
      <c r="E2017" s="136" t="s">
        <v>594</v>
      </c>
      <c r="F2017" s="136">
        <v>26</v>
      </c>
      <c r="G2017" s="137">
        <f t="shared" si="7"/>
        <v>6</v>
      </c>
      <c r="H2017" s="137"/>
      <c r="I2017" s="137"/>
      <c r="J2017" s="135"/>
      <c r="K2017" s="135"/>
      <c r="L2017" s="135"/>
      <c r="M2017" s="135"/>
      <c r="N2017" s="135"/>
      <c r="O2017" s="135"/>
      <c r="P2017" s="135"/>
      <c r="Q2017" s="135"/>
      <c r="R2017" s="135"/>
      <c r="S2017" s="135"/>
      <c r="T2017" s="135"/>
      <c r="U2017" s="135"/>
      <c r="V2017" s="135"/>
      <c r="W2017" s="135"/>
      <c r="X2017" s="135"/>
      <c r="Y2017" s="135"/>
      <c r="Z2017" s="135"/>
    </row>
    <row r="2018" spans="1:26" ht="12.75">
      <c r="A2018" s="136" t="s">
        <v>19</v>
      </c>
      <c r="B2018" s="136" t="s">
        <v>220</v>
      </c>
      <c r="C2018" s="136" t="s">
        <v>237</v>
      </c>
      <c r="D2018" s="136" t="s">
        <v>1626</v>
      </c>
      <c r="E2018" s="136" t="s">
        <v>594</v>
      </c>
      <c r="F2018" s="136">
        <v>8</v>
      </c>
      <c r="G2018" s="137">
        <f t="shared" si="7"/>
        <v>7</v>
      </c>
      <c r="H2018" s="137"/>
      <c r="I2018" s="137"/>
      <c r="J2018" s="135"/>
      <c r="K2018" s="135"/>
      <c r="L2018" s="135"/>
      <c r="M2018" s="135"/>
      <c r="N2018" s="135"/>
      <c r="O2018" s="135"/>
      <c r="P2018" s="135"/>
      <c r="Q2018" s="135"/>
      <c r="R2018" s="135"/>
      <c r="S2018" s="135"/>
      <c r="T2018" s="135"/>
      <c r="U2018" s="135"/>
      <c r="V2018" s="135"/>
      <c r="W2018" s="135"/>
      <c r="X2018" s="135"/>
      <c r="Y2018" s="135"/>
      <c r="Z2018" s="135"/>
    </row>
    <row r="2019" spans="1:26" ht="12.75">
      <c r="A2019" s="136" t="s">
        <v>19</v>
      </c>
      <c r="B2019" s="136" t="s">
        <v>220</v>
      </c>
      <c r="C2019" s="136" t="s">
        <v>237</v>
      </c>
      <c r="D2019" s="136" t="s">
        <v>467</v>
      </c>
      <c r="E2019" s="136" t="s">
        <v>85</v>
      </c>
      <c r="F2019" s="136">
        <v>6</v>
      </c>
      <c r="G2019" s="137">
        <f t="shared" si="7"/>
        <v>8</v>
      </c>
      <c r="H2019" s="137"/>
      <c r="I2019" s="137"/>
      <c r="J2019" s="135"/>
      <c r="K2019" s="135"/>
      <c r="L2019" s="135"/>
      <c r="M2019" s="135"/>
      <c r="N2019" s="135"/>
      <c r="O2019" s="135"/>
      <c r="P2019" s="135"/>
      <c r="Q2019" s="135"/>
      <c r="R2019" s="135"/>
      <c r="S2019" s="135"/>
      <c r="T2019" s="135"/>
      <c r="U2019" s="135"/>
      <c r="V2019" s="135"/>
      <c r="W2019" s="135"/>
      <c r="X2019" s="135"/>
      <c r="Y2019" s="135"/>
      <c r="Z2019" s="135"/>
    </row>
    <row r="2020" spans="1:26" ht="12.75">
      <c r="A2020" s="136" t="s">
        <v>19</v>
      </c>
      <c r="B2020" s="136" t="s">
        <v>220</v>
      </c>
      <c r="C2020" s="136" t="s">
        <v>237</v>
      </c>
      <c r="D2020" s="136" t="s">
        <v>86</v>
      </c>
      <c r="E2020" s="136" t="s">
        <v>86</v>
      </c>
      <c r="F2020" s="136">
        <v>6</v>
      </c>
      <c r="G2020" s="137">
        <f t="shared" si="7"/>
        <v>9</v>
      </c>
      <c r="H2020" s="137"/>
      <c r="I2020" s="137"/>
      <c r="J2020" s="135"/>
      <c r="K2020" s="135"/>
      <c r="L2020" s="135"/>
      <c r="M2020" s="135"/>
      <c r="N2020" s="135"/>
      <c r="O2020" s="135"/>
      <c r="P2020" s="135"/>
      <c r="Q2020" s="135"/>
      <c r="R2020" s="135"/>
      <c r="S2020" s="135"/>
      <c r="T2020" s="135"/>
      <c r="U2020" s="135"/>
      <c r="V2020" s="135"/>
      <c r="W2020" s="135"/>
      <c r="X2020" s="135"/>
      <c r="Y2020" s="135"/>
      <c r="Z2020" s="135"/>
    </row>
    <row r="2021" spans="1:26" ht="12.75">
      <c r="A2021" s="136" t="s">
        <v>19</v>
      </c>
      <c r="B2021" s="136" t="s">
        <v>220</v>
      </c>
      <c r="C2021" s="136" t="s">
        <v>239</v>
      </c>
      <c r="D2021" s="136" t="s">
        <v>7484</v>
      </c>
      <c r="E2021" s="136" t="s">
        <v>615</v>
      </c>
      <c r="F2021" s="136">
        <v>517</v>
      </c>
      <c r="G2021" s="137">
        <f t="shared" si="7"/>
        <v>1</v>
      </c>
      <c r="H2021" s="137"/>
      <c r="I2021" s="137"/>
      <c r="J2021" s="135"/>
      <c r="K2021" s="135"/>
      <c r="L2021" s="135"/>
      <c r="M2021" s="135"/>
      <c r="N2021" s="135"/>
      <c r="O2021" s="135"/>
      <c r="P2021" s="135"/>
      <c r="Q2021" s="135"/>
      <c r="R2021" s="135"/>
      <c r="S2021" s="135"/>
      <c r="T2021" s="135"/>
      <c r="U2021" s="135"/>
      <c r="V2021" s="135"/>
      <c r="W2021" s="135"/>
      <c r="X2021" s="135"/>
      <c r="Y2021" s="135"/>
      <c r="Z2021" s="135"/>
    </row>
    <row r="2022" spans="1:26" ht="12.75">
      <c r="A2022" s="136" t="s">
        <v>19</v>
      </c>
      <c r="B2022" s="136" t="s">
        <v>220</v>
      </c>
      <c r="C2022" s="136" t="s">
        <v>239</v>
      </c>
      <c r="D2022" s="136" t="s">
        <v>139</v>
      </c>
      <c r="E2022" s="136" t="s">
        <v>594</v>
      </c>
      <c r="F2022" s="136">
        <v>436</v>
      </c>
      <c r="G2022" s="137">
        <f t="shared" si="7"/>
        <v>2</v>
      </c>
      <c r="H2022" s="137"/>
      <c r="I2022" s="137"/>
      <c r="J2022" s="135"/>
      <c r="K2022" s="135"/>
      <c r="L2022" s="135"/>
      <c r="M2022" s="135"/>
      <c r="N2022" s="135"/>
      <c r="O2022" s="135"/>
      <c r="P2022" s="135"/>
      <c r="Q2022" s="135"/>
      <c r="R2022" s="135"/>
      <c r="S2022" s="135"/>
      <c r="T2022" s="135"/>
      <c r="U2022" s="135"/>
      <c r="V2022" s="135"/>
      <c r="W2022" s="135"/>
      <c r="X2022" s="135"/>
      <c r="Y2022" s="135"/>
      <c r="Z2022" s="135"/>
    </row>
    <row r="2023" spans="1:26" ht="12.75">
      <c r="A2023" s="136" t="s">
        <v>19</v>
      </c>
      <c r="B2023" s="136" t="s">
        <v>220</v>
      </c>
      <c r="C2023" s="136" t="s">
        <v>239</v>
      </c>
      <c r="D2023" s="136" t="s">
        <v>7613</v>
      </c>
      <c r="E2023" s="136" t="s">
        <v>85</v>
      </c>
      <c r="F2023" s="136">
        <v>387</v>
      </c>
      <c r="G2023" s="137">
        <f t="shared" si="7"/>
        <v>3</v>
      </c>
      <c r="H2023" s="137"/>
      <c r="I2023" s="137"/>
      <c r="J2023" s="135"/>
      <c r="K2023" s="135"/>
      <c r="L2023" s="135"/>
      <c r="M2023" s="135"/>
      <c r="N2023" s="135"/>
      <c r="O2023" s="135"/>
      <c r="P2023" s="135"/>
      <c r="Q2023" s="135"/>
      <c r="R2023" s="135"/>
      <c r="S2023" s="135"/>
      <c r="T2023" s="135"/>
      <c r="U2023" s="135"/>
      <c r="V2023" s="135"/>
      <c r="W2023" s="135"/>
      <c r="X2023" s="135"/>
      <c r="Y2023" s="135"/>
      <c r="Z2023" s="135"/>
    </row>
    <row r="2024" spans="1:26" ht="12.75">
      <c r="A2024" s="136" t="s">
        <v>19</v>
      </c>
      <c r="B2024" s="136" t="s">
        <v>220</v>
      </c>
      <c r="C2024" s="136" t="s">
        <v>239</v>
      </c>
      <c r="D2024" s="136" t="s">
        <v>1674</v>
      </c>
      <c r="E2024" s="136" t="s">
        <v>615</v>
      </c>
      <c r="F2024" s="136">
        <v>138</v>
      </c>
      <c r="G2024" s="137">
        <f t="shared" si="7"/>
        <v>4</v>
      </c>
      <c r="H2024" s="137"/>
      <c r="I2024" s="137"/>
      <c r="J2024" s="135"/>
      <c r="K2024" s="135"/>
      <c r="L2024" s="135"/>
      <c r="M2024" s="135"/>
      <c r="N2024" s="135"/>
      <c r="O2024" s="135"/>
      <c r="P2024" s="135"/>
      <c r="Q2024" s="135"/>
      <c r="R2024" s="135"/>
      <c r="S2024" s="135"/>
      <c r="T2024" s="135"/>
      <c r="U2024" s="135"/>
      <c r="V2024" s="135"/>
      <c r="W2024" s="135"/>
      <c r="X2024" s="135"/>
      <c r="Y2024" s="135"/>
      <c r="Z2024" s="135"/>
    </row>
    <row r="2025" spans="1:26" ht="12.75">
      <c r="A2025" s="136" t="s">
        <v>19</v>
      </c>
      <c r="B2025" s="136" t="s">
        <v>220</v>
      </c>
      <c r="C2025" s="136" t="s">
        <v>239</v>
      </c>
      <c r="D2025" s="136" t="s">
        <v>467</v>
      </c>
      <c r="E2025" s="136" t="s">
        <v>85</v>
      </c>
      <c r="F2025" s="136">
        <v>99</v>
      </c>
      <c r="G2025" s="137">
        <f t="shared" si="7"/>
        <v>5</v>
      </c>
      <c r="H2025" s="137"/>
      <c r="I2025" s="137"/>
      <c r="J2025" s="135"/>
      <c r="K2025" s="135"/>
      <c r="L2025" s="135"/>
      <c r="M2025" s="135"/>
      <c r="N2025" s="135"/>
      <c r="O2025" s="135"/>
      <c r="P2025" s="135"/>
      <c r="Q2025" s="135"/>
      <c r="R2025" s="135"/>
      <c r="S2025" s="135"/>
      <c r="T2025" s="135"/>
      <c r="U2025" s="135"/>
      <c r="V2025" s="135"/>
      <c r="W2025" s="135"/>
      <c r="X2025" s="135"/>
      <c r="Y2025" s="135"/>
      <c r="Z2025" s="135"/>
    </row>
    <row r="2026" spans="1:26" ht="12.75">
      <c r="A2026" s="136" t="s">
        <v>19</v>
      </c>
      <c r="B2026" s="136" t="s">
        <v>220</v>
      </c>
      <c r="C2026" s="136" t="s">
        <v>239</v>
      </c>
      <c r="D2026" s="136" t="s">
        <v>7615</v>
      </c>
      <c r="E2026" s="136" t="s">
        <v>7615</v>
      </c>
      <c r="F2026" s="136">
        <v>59</v>
      </c>
      <c r="G2026" s="137">
        <f t="shared" si="7"/>
        <v>6</v>
      </c>
      <c r="H2026" s="137"/>
      <c r="I2026" s="137"/>
      <c r="J2026" s="135"/>
      <c r="K2026" s="135"/>
      <c r="L2026" s="135"/>
      <c r="M2026" s="135"/>
      <c r="N2026" s="135"/>
      <c r="O2026" s="135"/>
      <c r="P2026" s="135"/>
      <c r="Q2026" s="135"/>
      <c r="R2026" s="135"/>
      <c r="S2026" s="135"/>
      <c r="T2026" s="135"/>
      <c r="U2026" s="135"/>
      <c r="V2026" s="135"/>
      <c r="W2026" s="135"/>
      <c r="X2026" s="135"/>
      <c r="Y2026" s="135"/>
      <c r="Z2026" s="135"/>
    </row>
    <row r="2027" spans="1:26" ht="12.75">
      <c r="A2027" s="136" t="s">
        <v>19</v>
      </c>
      <c r="B2027" s="136" t="s">
        <v>220</v>
      </c>
      <c r="C2027" s="136" t="s">
        <v>239</v>
      </c>
      <c r="D2027" s="136" t="s">
        <v>38</v>
      </c>
      <c r="E2027" s="136" t="s">
        <v>38</v>
      </c>
      <c r="F2027" s="136">
        <v>49</v>
      </c>
      <c r="G2027" s="137">
        <f t="shared" si="7"/>
        <v>7</v>
      </c>
      <c r="H2027" s="137"/>
      <c r="I2027" s="137"/>
      <c r="J2027" s="135"/>
      <c r="K2027" s="135"/>
      <c r="L2027" s="135"/>
      <c r="M2027" s="135"/>
      <c r="N2027" s="135"/>
      <c r="O2027" s="135"/>
      <c r="P2027" s="135"/>
      <c r="Q2027" s="135"/>
      <c r="R2027" s="135"/>
      <c r="S2027" s="135"/>
      <c r="T2027" s="135"/>
      <c r="U2027" s="135"/>
      <c r="V2027" s="135"/>
      <c r="W2027" s="135"/>
      <c r="X2027" s="135"/>
      <c r="Y2027" s="135"/>
      <c r="Z2027" s="135"/>
    </row>
    <row r="2028" spans="1:26" ht="12.75">
      <c r="A2028" s="136" t="s">
        <v>19</v>
      </c>
      <c r="B2028" s="136" t="s">
        <v>220</v>
      </c>
      <c r="C2028" s="136" t="s">
        <v>239</v>
      </c>
      <c r="D2028" s="136" t="s">
        <v>368</v>
      </c>
      <c r="E2028" s="136" t="s">
        <v>594</v>
      </c>
      <c r="F2028" s="136">
        <v>11</v>
      </c>
      <c r="G2028" s="137">
        <f t="shared" si="7"/>
        <v>8</v>
      </c>
      <c r="H2028" s="137"/>
      <c r="I2028" s="137"/>
      <c r="J2028" s="135"/>
      <c r="K2028" s="135"/>
      <c r="L2028" s="135"/>
      <c r="M2028" s="135"/>
      <c r="N2028" s="135"/>
      <c r="O2028" s="135"/>
      <c r="P2028" s="135"/>
      <c r="Q2028" s="135"/>
      <c r="R2028" s="135"/>
      <c r="S2028" s="135"/>
      <c r="T2028" s="135"/>
      <c r="U2028" s="135"/>
      <c r="V2028" s="135"/>
      <c r="W2028" s="135"/>
      <c r="X2028" s="135"/>
      <c r="Y2028" s="135"/>
      <c r="Z2028" s="135"/>
    </row>
    <row r="2029" spans="1:26" ht="12.75">
      <c r="A2029" s="136" t="s">
        <v>19</v>
      </c>
      <c r="B2029" s="136" t="s">
        <v>220</v>
      </c>
      <c r="C2029" s="136" t="s">
        <v>239</v>
      </c>
      <c r="D2029" s="136" t="s">
        <v>1626</v>
      </c>
      <c r="E2029" s="136" t="s">
        <v>594</v>
      </c>
      <c r="F2029" s="136">
        <v>8</v>
      </c>
      <c r="G2029" s="137">
        <f t="shared" si="7"/>
        <v>9</v>
      </c>
      <c r="H2029" s="137"/>
      <c r="I2029" s="137"/>
      <c r="J2029" s="135"/>
      <c r="K2029" s="135"/>
      <c r="L2029" s="135"/>
      <c r="M2029" s="135"/>
      <c r="N2029" s="135"/>
      <c r="O2029" s="135"/>
      <c r="P2029" s="135"/>
      <c r="Q2029" s="135"/>
      <c r="R2029" s="135"/>
      <c r="S2029" s="135"/>
      <c r="T2029" s="135"/>
      <c r="U2029" s="135"/>
      <c r="V2029" s="135"/>
      <c r="W2029" s="135"/>
      <c r="X2029" s="135"/>
      <c r="Y2029" s="135"/>
      <c r="Z2029" s="135"/>
    </row>
    <row r="2030" spans="1:26" ht="12.75">
      <c r="A2030" s="136" t="s">
        <v>19</v>
      </c>
      <c r="B2030" s="136" t="s">
        <v>220</v>
      </c>
      <c r="C2030" s="136" t="s">
        <v>1193</v>
      </c>
      <c r="D2030" s="136" t="s">
        <v>139</v>
      </c>
      <c r="E2030" s="136" t="s">
        <v>594</v>
      </c>
      <c r="F2030" s="136">
        <v>945</v>
      </c>
      <c r="G2030" s="137">
        <f t="shared" si="7"/>
        <v>1</v>
      </c>
      <c r="H2030" s="137"/>
      <c r="I2030" s="137"/>
      <c r="J2030" s="135"/>
      <c r="K2030" s="135"/>
      <c r="L2030" s="135"/>
      <c r="M2030" s="135"/>
      <c r="N2030" s="135"/>
      <c r="O2030" s="135"/>
      <c r="P2030" s="135"/>
      <c r="Q2030" s="135"/>
      <c r="R2030" s="135"/>
      <c r="S2030" s="135"/>
      <c r="T2030" s="135"/>
      <c r="U2030" s="135"/>
      <c r="V2030" s="135"/>
      <c r="W2030" s="135"/>
      <c r="X2030" s="135"/>
      <c r="Y2030" s="135"/>
      <c r="Z2030" s="135"/>
    </row>
    <row r="2031" spans="1:26" ht="12.75">
      <c r="A2031" s="136" t="s">
        <v>19</v>
      </c>
      <c r="B2031" s="136" t="s">
        <v>220</v>
      </c>
      <c r="C2031" s="136" t="s">
        <v>1193</v>
      </c>
      <c r="D2031" s="136" t="s">
        <v>136</v>
      </c>
      <c r="E2031" s="136" t="s">
        <v>615</v>
      </c>
      <c r="F2031" s="136">
        <v>222</v>
      </c>
      <c r="G2031" s="137">
        <f t="shared" si="7"/>
        <v>2</v>
      </c>
      <c r="H2031" s="137"/>
      <c r="I2031" s="137"/>
      <c r="J2031" s="135"/>
      <c r="K2031" s="135"/>
      <c r="L2031" s="135"/>
      <c r="M2031" s="135"/>
      <c r="N2031" s="135"/>
      <c r="O2031" s="135"/>
      <c r="P2031" s="135"/>
      <c r="Q2031" s="135"/>
      <c r="R2031" s="135"/>
      <c r="S2031" s="135"/>
      <c r="T2031" s="135"/>
      <c r="U2031" s="135"/>
      <c r="V2031" s="135"/>
      <c r="W2031" s="135"/>
      <c r="X2031" s="135"/>
      <c r="Y2031" s="135"/>
      <c r="Z2031" s="135"/>
    </row>
    <row r="2032" spans="1:26" ht="12.75">
      <c r="A2032" s="136" t="s">
        <v>19</v>
      </c>
      <c r="B2032" s="136" t="s">
        <v>220</v>
      </c>
      <c r="C2032" s="136" t="s">
        <v>1193</v>
      </c>
      <c r="D2032" s="136" t="s">
        <v>467</v>
      </c>
      <c r="E2032" s="136" t="s">
        <v>85</v>
      </c>
      <c r="F2032" s="136">
        <v>168</v>
      </c>
      <c r="G2032" s="137">
        <f t="shared" si="7"/>
        <v>3</v>
      </c>
      <c r="H2032" s="137"/>
      <c r="I2032" s="137"/>
      <c r="J2032" s="135"/>
      <c r="K2032" s="135"/>
      <c r="L2032" s="135"/>
      <c r="M2032" s="135"/>
      <c r="N2032" s="135"/>
      <c r="O2032" s="135"/>
      <c r="P2032" s="135"/>
      <c r="Q2032" s="135"/>
      <c r="R2032" s="135"/>
      <c r="S2032" s="135"/>
      <c r="T2032" s="135"/>
      <c r="U2032" s="135"/>
      <c r="V2032" s="135"/>
      <c r="W2032" s="135"/>
      <c r="X2032" s="135"/>
      <c r="Y2032" s="135"/>
      <c r="Z2032" s="135"/>
    </row>
    <row r="2033" spans="1:26" ht="12.75">
      <c r="A2033" s="136" t="s">
        <v>19</v>
      </c>
      <c r="B2033" s="136" t="s">
        <v>220</v>
      </c>
      <c r="C2033" s="136" t="s">
        <v>1193</v>
      </c>
      <c r="D2033" s="136" t="s">
        <v>7613</v>
      </c>
      <c r="E2033" s="136" t="s">
        <v>85</v>
      </c>
      <c r="F2033" s="136">
        <v>45</v>
      </c>
      <c r="G2033" s="137">
        <f t="shared" si="7"/>
        <v>5</v>
      </c>
      <c r="H2033" s="137"/>
      <c r="I2033" s="137"/>
      <c r="J2033" s="135"/>
      <c r="K2033" s="135"/>
      <c r="L2033" s="135"/>
      <c r="M2033" s="135"/>
      <c r="N2033" s="135"/>
      <c r="O2033" s="135"/>
      <c r="P2033" s="135"/>
      <c r="Q2033" s="135"/>
      <c r="R2033" s="135"/>
      <c r="S2033" s="135"/>
      <c r="T2033" s="135"/>
      <c r="U2033" s="135"/>
      <c r="V2033" s="135"/>
      <c r="W2033" s="135"/>
      <c r="X2033" s="135"/>
      <c r="Y2033" s="135"/>
      <c r="Z2033" s="135"/>
    </row>
    <row r="2034" spans="1:26" ht="12.75">
      <c r="A2034" s="136" t="s">
        <v>19</v>
      </c>
      <c r="B2034" s="136" t="s">
        <v>220</v>
      </c>
      <c r="C2034" s="136" t="s">
        <v>1193</v>
      </c>
      <c r="D2034" s="136" t="s">
        <v>7614</v>
      </c>
      <c r="E2034" s="136" t="s">
        <v>7614</v>
      </c>
      <c r="F2034" s="136">
        <v>64</v>
      </c>
      <c r="G2034" s="137">
        <f t="shared" si="7"/>
        <v>4</v>
      </c>
      <c r="H2034" s="137"/>
      <c r="I2034" s="137"/>
      <c r="J2034" s="135"/>
      <c r="K2034" s="135"/>
      <c r="L2034" s="135"/>
      <c r="M2034" s="135"/>
      <c r="N2034" s="135"/>
      <c r="O2034" s="135"/>
      <c r="P2034" s="135"/>
      <c r="Q2034" s="135"/>
      <c r="R2034" s="135"/>
      <c r="S2034" s="135"/>
      <c r="T2034" s="135"/>
      <c r="U2034" s="135"/>
      <c r="V2034" s="135"/>
      <c r="W2034" s="135"/>
      <c r="X2034" s="135"/>
      <c r="Y2034" s="135"/>
      <c r="Z2034" s="135"/>
    </row>
    <row r="2035" spans="1:26" ht="12.75">
      <c r="A2035" s="136" t="s">
        <v>19</v>
      </c>
      <c r="B2035" s="136" t="s">
        <v>220</v>
      </c>
      <c r="C2035" s="136" t="s">
        <v>1193</v>
      </c>
      <c r="D2035" s="136" t="s">
        <v>1665</v>
      </c>
      <c r="E2035" s="136" t="s">
        <v>615</v>
      </c>
      <c r="F2035" s="136">
        <v>39</v>
      </c>
      <c r="G2035" s="137">
        <f t="shared" si="7"/>
        <v>6</v>
      </c>
      <c r="H2035" s="137"/>
      <c r="I2035" s="137"/>
      <c r="J2035" s="135"/>
      <c r="K2035" s="135"/>
      <c r="L2035" s="135"/>
      <c r="M2035" s="135"/>
      <c r="N2035" s="135"/>
      <c r="O2035" s="135"/>
      <c r="P2035" s="135"/>
      <c r="Q2035" s="135"/>
      <c r="R2035" s="135"/>
      <c r="S2035" s="135"/>
      <c r="T2035" s="135"/>
      <c r="U2035" s="135"/>
      <c r="V2035" s="135"/>
      <c r="W2035" s="135"/>
      <c r="X2035" s="135"/>
      <c r="Y2035" s="135"/>
      <c r="Z2035" s="135"/>
    </row>
    <row r="2036" spans="1:26" ht="12.75">
      <c r="A2036" s="136" t="s">
        <v>19</v>
      </c>
      <c r="B2036" s="136" t="s">
        <v>220</v>
      </c>
      <c r="C2036" s="136" t="s">
        <v>1193</v>
      </c>
      <c r="D2036" s="136" t="s">
        <v>7626</v>
      </c>
      <c r="E2036" s="136" t="s">
        <v>615</v>
      </c>
      <c r="F2036" s="136">
        <v>22</v>
      </c>
      <c r="G2036" s="137">
        <f t="shared" si="7"/>
        <v>7</v>
      </c>
      <c r="H2036" s="137"/>
      <c r="I2036" s="137"/>
      <c r="J2036" s="135"/>
      <c r="K2036" s="135"/>
      <c r="L2036" s="135"/>
      <c r="M2036" s="135"/>
      <c r="N2036" s="135"/>
      <c r="O2036" s="135"/>
      <c r="P2036" s="135"/>
      <c r="Q2036" s="135"/>
      <c r="R2036" s="135"/>
      <c r="S2036" s="135"/>
      <c r="T2036" s="135"/>
      <c r="U2036" s="135"/>
      <c r="V2036" s="135"/>
      <c r="W2036" s="135"/>
      <c r="X2036" s="135"/>
      <c r="Y2036" s="135"/>
      <c r="Z2036" s="135"/>
    </row>
    <row r="2037" spans="1:26" ht="12.75">
      <c r="A2037" s="136" t="s">
        <v>19</v>
      </c>
      <c r="B2037" s="136" t="s">
        <v>220</v>
      </c>
      <c r="C2037" s="136" t="s">
        <v>1193</v>
      </c>
      <c r="D2037" s="136" t="s">
        <v>1626</v>
      </c>
      <c r="E2037" s="136" t="s">
        <v>594</v>
      </c>
      <c r="F2037" s="136">
        <v>16</v>
      </c>
      <c r="G2037" s="137">
        <f t="shared" si="7"/>
        <v>8</v>
      </c>
      <c r="H2037" s="137"/>
      <c r="I2037" s="137"/>
      <c r="J2037" s="135"/>
      <c r="K2037" s="135"/>
      <c r="L2037" s="135"/>
      <c r="M2037" s="135"/>
      <c r="N2037" s="135"/>
      <c r="O2037" s="135"/>
      <c r="P2037" s="135"/>
      <c r="Q2037" s="135"/>
      <c r="R2037" s="135"/>
      <c r="S2037" s="135"/>
      <c r="T2037" s="135"/>
      <c r="U2037" s="135"/>
      <c r="V2037" s="135"/>
      <c r="W2037" s="135"/>
      <c r="X2037" s="135"/>
      <c r="Y2037" s="135"/>
      <c r="Z2037" s="135"/>
    </row>
    <row r="2038" spans="1:26" ht="12.75">
      <c r="A2038" s="136" t="s">
        <v>19</v>
      </c>
      <c r="B2038" s="136" t="s">
        <v>220</v>
      </c>
      <c r="C2038" s="136" t="s">
        <v>1193</v>
      </c>
      <c r="D2038" s="136" t="s">
        <v>7615</v>
      </c>
      <c r="E2038" s="136" t="s">
        <v>7615</v>
      </c>
      <c r="F2038" s="136">
        <v>15</v>
      </c>
      <c r="G2038" s="137">
        <f t="shared" si="7"/>
        <v>9</v>
      </c>
      <c r="H2038" s="137"/>
      <c r="I2038" s="137"/>
      <c r="J2038" s="135"/>
      <c r="K2038" s="135"/>
      <c r="L2038" s="135"/>
      <c r="M2038" s="135"/>
      <c r="N2038" s="135"/>
      <c r="O2038" s="135"/>
      <c r="P2038" s="135"/>
      <c r="Q2038" s="135"/>
      <c r="R2038" s="135"/>
      <c r="S2038" s="135"/>
      <c r="T2038" s="135"/>
      <c r="U2038" s="135"/>
      <c r="V2038" s="135"/>
      <c r="W2038" s="135"/>
      <c r="X2038" s="135"/>
      <c r="Y2038" s="135"/>
      <c r="Z2038" s="135"/>
    </row>
    <row r="2039" spans="1:26" ht="12.75">
      <c r="A2039" s="136" t="s">
        <v>19</v>
      </c>
      <c r="B2039" s="136" t="s">
        <v>220</v>
      </c>
      <c r="C2039" s="136" t="s">
        <v>1193</v>
      </c>
      <c r="D2039" s="136" t="s">
        <v>86</v>
      </c>
      <c r="E2039" s="136" t="s">
        <v>86</v>
      </c>
      <c r="F2039" s="136">
        <v>4</v>
      </c>
      <c r="G2039" s="137">
        <f t="shared" si="7"/>
        <v>10</v>
      </c>
      <c r="H2039" s="137"/>
      <c r="I2039" s="137"/>
      <c r="J2039" s="135"/>
      <c r="K2039" s="135"/>
      <c r="L2039" s="135"/>
      <c r="M2039" s="135"/>
      <c r="N2039" s="135"/>
      <c r="O2039" s="135"/>
      <c r="P2039" s="135"/>
      <c r="Q2039" s="135"/>
      <c r="R2039" s="135"/>
      <c r="S2039" s="135"/>
      <c r="T2039" s="135"/>
      <c r="U2039" s="135"/>
      <c r="V2039" s="135"/>
      <c r="W2039" s="135"/>
      <c r="X2039" s="135"/>
      <c r="Y2039" s="135"/>
      <c r="Z2039" s="135"/>
    </row>
    <row r="2040" spans="1:26" ht="12.75">
      <c r="A2040" s="136" t="s">
        <v>19</v>
      </c>
      <c r="B2040" s="136" t="s">
        <v>220</v>
      </c>
      <c r="C2040" s="136" t="s">
        <v>243</v>
      </c>
      <c r="D2040" s="136" t="s">
        <v>7484</v>
      </c>
      <c r="E2040" s="136" t="s">
        <v>615</v>
      </c>
      <c r="F2040" s="136">
        <v>470</v>
      </c>
      <c r="G2040" s="137">
        <f t="shared" si="7"/>
        <v>1</v>
      </c>
      <c r="H2040" s="137"/>
      <c r="I2040" s="137"/>
      <c r="J2040" s="135"/>
      <c r="K2040" s="135"/>
      <c r="L2040" s="135"/>
      <c r="M2040" s="135"/>
      <c r="N2040" s="135"/>
      <c r="O2040" s="135"/>
      <c r="P2040" s="135"/>
      <c r="Q2040" s="135"/>
      <c r="R2040" s="135"/>
      <c r="S2040" s="135"/>
      <c r="T2040" s="135"/>
      <c r="U2040" s="135"/>
      <c r="V2040" s="135"/>
      <c r="W2040" s="135"/>
      <c r="X2040" s="135"/>
      <c r="Y2040" s="135"/>
      <c r="Z2040" s="135"/>
    </row>
    <row r="2041" spans="1:26" ht="12.75">
      <c r="A2041" s="136" t="s">
        <v>19</v>
      </c>
      <c r="B2041" s="136" t="s">
        <v>220</v>
      </c>
      <c r="C2041" s="136" t="s">
        <v>243</v>
      </c>
      <c r="D2041" s="136" t="s">
        <v>7613</v>
      </c>
      <c r="E2041" s="136" t="s">
        <v>85</v>
      </c>
      <c r="F2041" s="136">
        <v>296</v>
      </c>
      <c r="G2041" s="137">
        <f t="shared" si="7"/>
        <v>2</v>
      </c>
      <c r="H2041" s="137"/>
      <c r="I2041" s="137"/>
      <c r="J2041" s="135"/>
      <c r="K2041" s="135"/>
      <c r="L2041" s="135"/>
      <c r="M2041" s="135"/>
      <c r="N2041" s="135"/>
      <c r="O2041" s="135"/>
      <c r="P2041" s="135"/>
      <c r="Q2041" s="135"/>
      <c r="R2041" s="135"/>
      <c r="S2041" s="135"/>
      <c r="T2041" s="135"/>
      <c r="U2041" s="135"/>
      <c r="V2041" s="135"/>
      <c r="W2041" s="135"/>
      <c r="X2041" s="135"/>
      <c r="Y2041" s="135"/>
      <c r="Z2041" s="135"/>
    </row>
    <row r="2042" spans="1:26" ht="12.75">
      <c r="A2042" s="136" t="s">
        <v>19</v>
      </c>
      <c r="B2042" s="136" t="s">
        <v>220</v>
      </c>
      <c r="C2042" s="136" t="s">
        <v>243</v>
      </c>
      <c r="D2042" s="136" t="s">
        <v>467</v>
      </c>
      <c r="E2042" s="136" t="s">
        <v>85</v>
      </c>
      <c r="F2042" s="136">
        <v>75</v>
      </c>
      <c r="G2042" s="137">
        <f t="shared" ref="G2042:G2296" si="8">COUNTIFS($C:$C,C2042,$F:$F,"&gt;"&amp;F2042)
 + COUNTIFS($C$2:C2042,C2042,$F$2:F2042,F2042)</f>
        <v>3</v>
      </c>
      <c r="H2042" s="137"/>
      <c r="I2042" s="137"/>
      <c r="J2042" s="135"/>
      <c r="K2042" s="135"/>
      <c r="L2042" s="135"/>
      <c r="M2042" s="135"/>
      <c r="N2042" s="135"/>
      <c r="O2042" s="135"/>
      <c r="P2042" s="135"/>
      <c r="Q2042" s="135"/>
      <c r="R2042" s="135"/>
      <c r="S2042" s="135"/>
      <c r="T2042" s="135"/>
      <c r="U2042" s="135"/>
      <c r="V2042" s="135"/>
      <c r="W2042" s="135"/>
      <c r="X2042" s="135"/>
      <c r="Y2042" s="135"/>
      <c r="Z2042" s="135"/>
    </row>
    <row r="2043" spans="1:26" ht="12.75">
      <c r="A2043" s="136" t="s">
        <v>19</v>
      </c>
      <c r="B2043" s="136" t="s">
        <v>220</v>
      </c>
      <c r="C2043" s="136" t="s">
        <v>243</v>
      </c>
      <c r="D2043" s="136" t="s">
        <v>7615</v>
      </c>
      <c r="E2043" s="136" t="s">
        <v>7615</v>
      </c>
      <c r="F2043" s="136">
        <v>69</v>
      </c>
      <c r="G2043" s="137">
        <f t="shared" si="8"/>
        <v>4</v>
      </c>
      <c r="H2043" s="137"/>
      <c r="I2043" s="137"/>
      <c r="J2043" s="135"/>
      <c r="K2043" s="135"/>
      <c r="L2043" s="135"/>
      <c r="M2043" s="135"/>
      <c r="N2043" s="135"/>
      <c r="O2043" s="135"/>
      <c r="P2043" s="135"/>
      <c r="Q2043" s="135"/>
      <c r="R2043" s="135"/>
      <c r="S2043" s="135"/>
      <c r="T2043" s="135"/>
      <c r="U2043" s="135"/>
      <c r="V2043" s="135"/>
      <c r="W2043" s="135"/>
      <c r="X2043" s="135"/>
      <c r="Y2043" s="135"/>
      <c r="Z2043" s="135"/>
    </row>
    <row r="2044" spans="1:26" ht="12.75">
      <c r="A2044" s="136" t="s">
        <v>19</v>
      </c>
      <c r="B2044" s="136" t="s">
        <v>220</v>
      </c>
      <c r="C2044" s="136" t="s">
        <v>243</v>
      </c>
      <c r="D2044" s="136" t="s">
        <v>7626</v>
      </c>
      <c r="E2044" s="136" t="s">
        <v>615</v>
      </c>
      <c r="F2044" s="136">
        <v>39</v>
      </c>
      <c r="G2044" s="137">
        <f t="shared" si="8"/>
        <v>5</v>
      </c>
      <c r="H2044" s="137"/>
      <c r="I2044" s="137"/>
      <c r="J2044" s="135"/>
      <c r="K2044" s="135"/>
      <c r="L2044" s="135"/>
      <c r="M2044" s="135"/>
      <c r="N2044" s="135"/>
      <c r="O2044" s="135"/>
      <c r="P2044" s="135"/>
      <c r="Q2044" s="135"/>
      <c r="R2044" s="135"/>
      <c r="S2044" s="135"/>
      <c r="T2044" s="135"/>
      <c r="U2044" s="135"/>
      <c r="V2044" s="135"/>
      <c r="W2044" s="135"/>
      <c r="X2044" s="135"/>
      <c r="Y2044" s="135"/>
      <c r="Z2044" s="135"/>
    </row>
    <row r="2045" spans="1:26" ht="12.75">
      <c r="A2045" s="136" t="s">
        <v>19</v>
      </c>
      <c r="B2045" s="136" t="s">
        <v>220</v>
      </c>
      <c r="C2045" s="136" t="s">
        <v>243</v>
      </c>
      <c r="D2045" s="136" t="s">
        <v>1665</v>
      </c>
      <c r="E2045" s="136" t="s">
        <v>615</v>
      </c>
      <c r="F2045" s="136">
        <v>35</v>
      </c>
      <c r="G2045" s="137">
        <f t="shared" si="8"/>
        <v>6</v>
      </c>
      <c r="H2045" s="137"/>
      <c r="I2045" s="137"/>
      <c r="J2045" s="135"/>
      <c r="K2045" s="135"/>
      <c r="L2045" s="135"/>
      <c r="M2045" s="135"/>
      <c r="N2045" s="135"/>
      <c r="O2045" s="135"/>
      <c r="P2045" s="135"/>
      <c r="Q2045" s="135"/>
      <c r="R2045" s="135"/>
      <c r="S2045" s="135"/>
      <c r="T2045" s="135"/>
      <c r="U2045" s="135"/>
      <c r="V2045" s="135"/>
      <c r="W2045" s="135"/>
      <c r="X2045" s="135"/>
      <c r="Y2045" s="135"/>
      <c r="Z2045" s="135"/>
    </row>
    <row r="2046" spans="1:26" ht="12.75">
      <c r="A2046" s="136" t="s">
        <v>19</v>
      </c>
      <c r="B2046" s="136" t="s">
        <v>220</v>
      </c>
      <c r="C2046" s="136" t="s">
        <v>243</v>
      </c>
      <c r="D2046" s="136" t="s">
        <v>139</v>
      </c>
      <c r="E2046" s="136" t="s">
        <v>594</v>
      </c>
      <c r="F2046" s="136">
        <v>32</v>
      </c>
      <c r="G2046" s="137">
        <f t="shared" si="8"/>
        <v>7</v>
      </c>
      <c r="H2046" s="137"/>
      <c r="I2046" s="137"/>
      <c r="J2046" s="135"/>
      <c r="K2046" s="135"/>
      <c r="L2046" s="135"/>
      <c r="M2046" s="135"/>
      <c r="N2046" s="135"/>
      <c r="O2046" s="135"/>
      <c r="P2046" s="135"/>
      <c r="Q2046" s="135"/>
      <c r="R2046" s="135"/>
      <c r="S2046" s="135"/>
      <c r="T2046" s="135"/>
      <c r="U2046" s="135"/>
      <c r="V2046" s="135"/>
      <c r="W2046" s="135"/>
      <c r="X2046" s="135"/>
      <c r="Y2046" s="135"/>
      <c r="Z2046" s="135"/>
    </row>
    <row r="2047" spans="1:26" ht="12.75">
      <c r="A2047" s="136" t="s">
        <v>19</v>
      </c>
      <c r="B2047" s="136" t="s">
        <v>220</v>
      </c>
      <c r="C2047" s="136" t="s">
        <v>243</v>
      </c>
      <c r="D2047" s="136" t="s">
        <v>7614</v>
      </c>
      <c r="E2047" s="136" t="s">
        <v>7614</v>
      </c>
      <c r="F2047" s="136">
        <v>17</v>
      </c>
      <c r="G2047" s="137">
        <f t="shared" si="8"/>
        <v>8</v>
      </c>
      <c r="H2047" s="137"/>
      <c r="I2047" s="137"/>
      <c r="J2047" s="135"/>
      <c r="K2047" s="135"/>
      <c r="L2047" s="135"/>
      <c r="M2047" s="135"/>
      <c r="N2047" s="135"/>
      <c r="O2047" s="135"/>
      <c r="P2047" s="135"/>
      <c r="Q2047" s="135"/>
      <c r="R2047" s="135"/>
      <c r="S2047" s="135"/>
      <c r="T2047" s="135"/>
      <c r="U2047" s="135"/>
      <c r="V2047" s="135"/>
      <c r="W2047" s="135"/>
      <c r="X2047" s="135"/>
      <c r="Y2047" s="135"/>
      <c r="Z2047" s="135"/>
    </row>
    <row r="2048" spans="1:26" ht="12.75">
      <c r="A2048" s="136" t="s">
        <v>19</v>
      </c>
      <c r="B2048" s="136" t="s">
        <v>220</v>
      </c>
      <c r="C2048" s="136" t="s">
        <v>243</v>
      </c>
      <c r="D2048" s="136" t="s">
        <v>368</v>
      </c>
      <c r="E2048" s="136" t="s">
        <v>594</v>
      </c>
      <c r="F2048" s="136">
        <v>5</v>
      </c>
      <c r="G2048" s="137">
        <f t="shared" si="8"/>
        <v>9</v>
      </c>
      <c r="H2048" s="137"/>
      <c r="I2048" s="137"/>
      <c r="J2048" s="135"/>
      <c r="K2048" s="135"/>
      <c r="L2048" s="135"/>
      <c r="M2048" s="135"/>
      <c r="N2048" s="135"/>
      <c r="O2048" s="135"/>
      <c r="P2048" s="135"/>
      <c r="Q2048" s="135"/>
      <c r="R2048" s="135"/>
      <c r="S2048" s="135"/>
      <c r="T2048" s="135"/>
      <c r="U2048" s="135"/>
      <c r="V2048" s="135"/>
      <c r="W2048" s="135"/>
      <c r="X2048" s="135"/>
      <c r="Y2048" s="135"/>
      <c r="Z2048" s="135"/>
    </row>
    <row r="2049" spans="1:26" ht="12.75">
      <c r="A2049" s="136" t="s">
        <v>19</v>
      </c>
      <c r="B2049" s="136" t="s">
        <v>220</v>
      </c>
      <c r="C2049" s="136" t="s">
        <v>245</v>
      </c>
      <c r="D2049" s="136" t="s">
        <v>205</v>
      </c>
      <c r="E2049" s="136" t="s">
        <v>615</v>
      </c>
      <c r="F2049" s="136">
        <v>517</v>
      </c>
      <c r="G2049" s="137">
        <f t="shared" si="8"/>
        <v>1</v>
      </c>
      <c r="H2049" s="137"/>
      <c r="I2049" s="137"/>
      <c r="J2049" s="135"/>
      <c r="K2049" s="135"/>
      <c r="L2049" s="135"/>
      <c r="M2049" s="135"/>
      <c r="N2049" s="135"/>
      <c r="O2049" s="135"/>
      <c r="P2049" s="135"/>
      <c r="Q2049" s="135"/>
      <c r="R2049" s="135"/>
      <c r="S2049" s="135"/>
      <c r="T2049" s="135"/>
      <c r="U2049" s="135"/>
      <c r="V2049" s="135"/>
      <c r="W2049" s="135"/>
      <c r="X2049" s="135"/>
      <c r="Y2049" s="135"/>
      <c r="Z2049" s="135"/>
    </row>
    <row r="2050" spans="1:26" ht="12.75">
      <c r="A2050" s="136" t="s">
        <v>19</v>
      </c>
      <c r="B2050" s="136" t="s">
        <v>220</v>
      </c>
      <c r="C2050" s="136" t="s">
        <v>245</v>
      </c>
      <c r="D2050" s="136" t="s">
        <v>7613</v>
      </c>
      <c r="E2050" s="136" t="s">
        <v>85</v>
      </c>
      <c r="F2050" s="136">
        <v>371</v>
      </c>
      <c r="G2050" s="137">
        <f t="shared" si="8"/>
        <v>2</v>
      </c>
      <c r="H2050" s="137"/>
      <c r="I2050" s="137"/>
      <c r="J2050" s="135"/>
      <c r="K2050" s="135"/>
      <c r="L2050" s="135"/>
      <c r="M2050" s="135"/>
      <c r="N2050" s="135"/>
      <c r="O2050" s="135"/>
      <c r="P2050" s="135"/>
      <c r="Q2050" s="135"/>
      <c r="R2050" s="135"/>
      <c r="S2050" s="135"/>
      <c r="T2050" s="135"/>
      <c r="U2050" s="135"/>
      <c r="V2050" s="135"/>
      <c r="W2050" s="135"/>
      <c r="X2050" s="135"/>
      <c r="Y2050" s="135"/>
      <c r="Z2050" s="135"/>
    </row>
    <row r="2051" spans="1:26" ht="12.75">
      <c r="A2051" s="136" t="s">
        <v>19</v>
      </c>
      <c r="B2051" s="136" t="s">
        <v>220</v>
      </c>
      <c r="C2051" s="136" t="s">
        <v>245</v>
      </c>
      <c r="D2051" s="136" t="s">
        <v>139</v>
      </c>
      <c r="E2051" s="136" t="s">
        <v>594</v>
      </c>
      <c r="F2051" s="136">
        <v>234</v>
      </c>
      <c r="G2051" s="137">
        <f t="shared" si="8"/>
        <v>3</v>
      </c>
      <c r="H2051" s="137"/>
      <c r="I2051" s="137"/>
      <c r="J2051" s="135"/>
      <c r="K2051" s="135"/>
      <c r="L2051" s="135"/>
      <c r="M2051" s="135"/>
      <c r="N2051" s="135"/>
      <c r="O2051" s="135"/>
      <c r="P2051" s="135"/>
      <c r="Q2051" s="135"/>
      <c r="R2051" s="135"/>
      <c r="S2051" s="135"/>
      <c r="T2051" s="135"/>
      <c r="U2051" s="135"/>
      <c r="V2051" s="135"/>
      <c r="W2051" s="135"/>
      <c r="X2051" s="135"/>
      <c r="Y2051" s="135"/>
      <c r="Z2051" s="135"/>
    </row>
    <row r="2052" spans="1:26" ht="12.75">
      <c r="A2052" s="136" t="s">
        <v>19</v>
      </c>
      <c r="B2052" s="136" t="s">
        <v>220</v>
      </c>
      <c r="C2052" s="136" t="s">
        <v>245</v>
      </c>
      <c r="D2052" s="136" t="s">
        <v>7484</v>
      </c>
      <c r="E2052" s="136" t="s">
        <v>615</v>
      </c>
      <c r="F2052" s="136">
        <v>116</v>
      </c>
      <c r="G2052" s="137">
        <f t="shared" si="8"/>
        <v>4</v>
      </c>
      <c r="H2052" s="137"/>
      <c r="I2052" s="137"/>
      <c r="J2052" s="135"/>
      <c r="K2052" s="135"/>
      <c r="L2052" s="135"/>
      <c r="M2052" s="135"/>
      <c r="N2052" s="135"/>
      <c r="O2052" s="135"/>
      <c r="P2052" s="135"/>
      <c r="Q2052" s="135"/>
      <c r="R2052" s="135"/>
      <c r="S2052" s="135"/>
      <c r="T2052" s="135"/>
      <c r="U2052" s="135"/>
      <c r="V2052" s="135"/>
      <c r="W2052" s="135"/>
      <c r="X2052" s="135"/>
      <c r="Y2052" s="135"/>
      <c r="Z2052" s="135"/>
    </row>
    <row r="2053" spans="1:26" ht="12.75">
      <c r="A2053" s="136" t="s">
        <v>19</v>
      </c>
      <c r="B2053" s="136" t="s">
        <v>220</v>
      </c>
      <c r="C2053" s="136" t="s">
        <v>245</v>
      </c>
      <c r="D2053" s="136" t="s">
        <v>1669</v>
      </c>
      <c r="E2053" s="136" t="s">
        <v>615</v>
      </c>
      <c r="F2053" s="136">
        <v>78</v>
      </c>
      <c r="G2053" s="137">
        <f t="shared" si="8"/>
        <v>5</v>
      </c>
      <c r="H2053" s="137"/>
      <c r="I2053" s="137"/>
      <c r="J2053" s="135"/>
      <c r="K2053" s="135"/>
      <c r="L2053" s="135"/>
      <c r="M2053" s="135"/>
      <c r="N2053" s="135"/>
      <c r="O2053" s="135"/>
      <c r="P2053" s="135"/>
      <c r="Q2053" s="135"/>
      <c r="R2053" s="135"/>
      <c r="S2053" s="135"/>
      <c r="T2053" s="135"/>
      <c r="U2053" s="135"/>
      <c r="V2053" s="135"/>
      <c r="W2053" s="135"/>
      <c r="X2053" s="135"/>
      <c r="Y2053" s="135"/>
      <c r="Z2053" s="135"/>
    </row>
    <row r="2054" spans="1:26" ht="12.75">
      <c r="A2054" s="136" t="s">
        <v>19</v>
      </c>
      <c r="B2054" s="136" t="s">
        <v>220</v>
      </c>
      <c r="C2054" s="136" t="s">
        <v>245</v>
      </c>
      <c r="D2054" s="136" t="s">
        <v>467</v>
      </c>
      <c r="E2054" s="136" t="s">
        <v>85</v>
      </c>
      <c r="F2054" s="136">
        <v>51</v>
      </c>
      <c r="G2054" s="137">
        <f t="shared" si="8"/>
        <v>6</v>
      </c>
      <c r="H2054" s="137"/>
      <c r="I2054" s="137"/>
      <c r="J2054" s="135"/>
      <c r="K2054" s="135"/>
      <c r="L2054" s="135"/>
      <c r="M2054" s="135"/>
      <c r="N2054" s="135"/>
      <c r="O2054" s="135"/>
      <c r="P2054" s="135"/>
      <c r="Q2054" s="135"/>
      <c r="R2054" s="135"/>
      <c r="S2054" s="135"/>
      <c r="T2054" s="135"/>
      <c r="U2054" s="135"/>
      <c r="V2054" s="135"/>
      <c r="W2054" s="135"/>
      <c r="X2054" s="135"/>
      <c r="Y2054" s="135"/>
      <c r="Z2054" s="135"/>
    </row>
    <row r="2055" spans="1:26" ht="12.75">
      <c r="A2055" s="136" t="s">
        <v>19</v>
      </c>
      <c r="B2055" s="136" t="s">
        <v>220</v>
      </c>
      <c r="C2055" s="136" t="s">
        <v>245</v>
      </c>
      <c r="D2055" s="136" t="s">
        <v>7491</v>
      </c>
      <c r="E2055" s="136" t="s">
        <v>615</v>
      </c>
      <c r="F2055" s="136">
        <v>22</v>
      </c>
      <c r="G2055" s="137">
        <f t="shared" si="8"/>
        <v>7</v>
      </c>
      <c r="H2055" s="137"/>
      <c r="I2055" s="137"/>
      <c r="J2055" s="135"/>
      <c r="K2055" s="135"/>
      <c r="L2055" s="135"/>
      <c r="M2055" s="135"/>
      <c r="N2055" s="135"/>
      <c r="O2055" s="135"/>
      <c r="P2055" s="135"/>
      <c r="Q2055" s="135"/>
      <c r="R2055" s="135"/>
      <c r="S2055" s="135"/>
      <c r="T2055" s="135"/>
      <c r="U2055" s="135"/>
      <c r="V2055" s="135"/>
      <c r="W2055" s="135"/>
      <c r="X2055" s="135"/>
      <c r="Y2055" s="135"/>
      <c r="Z2055" s="135"/>
    </row>
    <row r="2056" spans="1:26" ht="12.75">
      <c r="A2056" s="136" t="s">
        <v>19</v>
      </c>
      <c r="B2056" s="136" t="s">
        <v>220</v>
      </c>
      <c r="C2056" s="136" t="s">
        <v>245</v>
      </c>
      <c r="D2056" s="136" t="s">
        <v>7685</v>
      </c>
      <c r="E2056" s="136" t="s">
        <v>594</v>
      </c>
      <c r="F2056" s="136">
        <v>20</v>
      </c>
      <c r="G2056" s="137">
        <f t="shared" si="8"/>
        <v>8</v>
      </c>
      <c r="H2056" s="137"/>
      <c r="I2056" s="137"/>
      <c r="J2056" s="135"/>
      <c r="K2056" s="135"/>
      <c r="L2056" s="135"/>
      <c r="M2056" s="135"/>
      <c r="N2056" s="135"/>
      <c r="O2056" s="135"/>
      <c r="P2056" s="135"/>
      <c r="Q2056" s="135"/>
      <c r="R2056" s="135"/>
      <c r="S2056" s="135"/>
      <c r="T2056" s="135"/>
      <c r="U2056" s="135"/>
      <c r="V2056" s="135"/>
      <c r="W2056" s="135"/>
      <c r="X2056" s="135"/>
      <c r="Y2056" s="135"/>
      <c r="Z2056" s="135"/>
    </row>
    <row r="2057" spans="1:26" ht="12.75">
      <c r="A2057" s="136" t="s">
        <v>19</v>
      </c>
      <c r="B2057" s="136" t="s">
        <v>220</v>
      </c>
      <c r="C2057" s="136" t="s">
        <v>245</v>
      </c>
      <c r="D2057" s="136" t="s">
        <v>368</v>
      </c>
      <c r="E2057" s="136" t="s">
        <v>594</v>
      </c>
      <c r="F2057" s="136">
        <v>20</v>
      </c>
      <c r="G2057" s="137">
        <f t="shared" si="8"/>
        <v>9</v>
      </c>
      <c r="H2057" s="137"/>
      <c r="I2057" s="137"/>
      <c r="J2057" s="135"/>
      <c r="K2057" s="135"/>
      <c r="L2057" s="135"/>
      <c r="M2057" s="135"/>
      <c r="N2057" s="135"/>
      <c r="O2057" s="135"/>
      <c r="P2057" s="135"/>
      <c r="Q2057" s="135"/>
      <c r="R2057" s="135"/>
      <c r="S2057" s="135"/>
      <c r="T2057" s="135"/>
      <c r="U2057" s="135"/>
      <c r="V2057" s="135"/>
      <c r="W2057" s="135"/>
      <c r="X2057" s="135"/>
      <c r="Y2057" s="135"/>
      <c r="Z2057" s="135"/>
    </row>
    <row r="2058" spans="1:26" ht="12.75">
      <c r="A2058" s="136" t="s">
        <v>19</v>
      </c>
      <c r="B2058" s="136" t="s">
        <v>220</v>
      </c>
      <c r="C2058" s="136" t="s">
        <v>245</v>
      </c>
      <c r="D2058" s="136" t="s">
        <v>7686</v>
      </c>
      <c r="E2058" s="136" t="s">
        <v>86</v>
      </c>
      <c r="F2058" s="136">
        <v>12</v>
      </c>
      <c r="G2058" s="137">
        <f t="shared" si="8"/>
        <v>10</v>
      </c>
      <c r="H2058" s="137"/>
      <c r="I2058" s="137"/>
      <c r="J2058" s="135"/>
      <c r="K2058" s="135"/>
      <c r="L2058" s="135"/>
      <c r="M2058" s="135"/>
      <c r="N2058" s="135"/>
      <c r="O2058" s="135"/>
      <c r="P2058" s="135"/>
      <c r="Q2058" s="135"/>
      <c r="R2058" s="135"/>
      <c r="S2058" s="135"/>
      <c r="T2058" s="135"/>
      <c r="U2058" s="135"/>
      <c r="V2058" s="135"/>
      <c r="W2058" s="135"/>
      <c r="X2058" s="135"/>
      <c r="Y2058" s="135"/>
      <c r="Z2058" s="135"/>
    </row>
    <row r="2059" spans="1:26" ht="12.75">
      <c r="A2059" s="136" t="s">
        <v>19</v>
      </c>
      <c r="B2059" s="136" t="s">
        <v>220</v>
      </c>
      <c r="C2059" s="136" t="s">
        <v>245</v>
      </c>
      <c r="D2059" s="136" t="s">
        <v>1626</v>
      </c>
      <c r="E2059" s="136" t="s">
        <v>594</v>
      </c>
      <c r="F2059" s="136">
        <v>9</v>
      </c>
      <c r="G2059" s="137">
        <f t="shared" si="8"/>
        <v>11</v>
      </c>
      <c r="H2059" s="137"/>
      <c r="I2059" s="137"/>
      <c r="J2059" s="135"/>
      <c r="K2059" s="135"/>
      <c r="L2059" s="135"/>
      <c r="M2059" s="135"/>
      <c r="N2059" s="135"/>
      <c r="O2059" s="135"/>
      <c r="P2059" s="135"/>
      <c r="Q2059" s="135"/>
      <c r="R2059" s="135"/>
      <c r="S2059" s="135"/>
      <c r="T2059" s="135"/>
      <c r="U2059" s="135"/>
      <c r="V2059" s="135"/>
      <c r="W2059" s="135"/>
      <c r="X2059" s="135"/>
      <c r="Y2059" s="135"/>
      <c r="Z2059" s="135"/>
    </row>
    <row r="2060" spans="1:26" ht="12.75">
      <c r="A2060" s="136" t="s">
        <v>19</v>
      </c>
      <c r="B2060" s="136" t="s">
        <v>220</v>
      </c>
      <c r="C2060" s="136" t="s">
        <v>1203</v>
      </c>
      <c r="D2060" s="136" t="s">
        <v>139</v>
      </c>
      <c r="E2060" s="136" t="s">
        <v>594</v>
      </c>
      <c r="F2060" s="136">
        <v>1345</v>
      </c>
      <c r="G2060" s="137">
        <f t="shared" si="8"/>
        <v>1</v>
      </c>
      <c r="H2060" s="137"/>
      <c r="I2060" s="137"/>
      <c r="J2060" s="135"/>
      <c r="K2060" s="135"/>
      <c r="L2060" s="135"/>
      <c r="M2060" s="135"/>
      <c r="N2060" s="135"/>
      <c r="O2060" s="135"/>
      <c r="P2060" s="135"/>
      <c r="Q2060" s="135"/>
      <c r="R2060" s="135"/>
      <c r="S2060" s="135"/>
      <c r="T2060" s="135"/>
      <c r="U2060" s="135"/>
      <c r="V2060" s="135"/>
      <c r="W2060" s="135"/>
      <c r="X2060" s="135"/>
      <c r="Y2060" s="135"/>
      <c r="Z2060" s="135"/>
    </row>
    <row r="2061" spans="1:26" ht="12.75">
      <c r="A2061" s="136" t="s">
        <v>19</v>
      </c>
      <c r="B2061" s="136" t="s">
        <v>220</v>
      </c>
      <c r="C2061" s="136" t="s">
        <v>1203</v>
      </c>
      <c r="D2061" s="136" t="s">
        <v>136</v>
      </c>
      <c r="E2061" s="136" t="s">
        <v>615</v>
      </c>
      <c r="F2061" s="136">
        <v>304</v>
      </c>
      <c r="G2061" s="137">
        <f t="shared" si="8"/>
        <v>2</v>
      </c>
      <c r="H2061" s="137"/>
      <c r="I2061" s="137"/>
      <c r="J2061" s="135"/>
      <c r="K2061" s="135"/>
      <c r="L2061" s="135"/>
      <c r="M2061" s="135"/>
      <c r="N2061" s="135"/>
      <c r="O2061" s="135"/>
      <c r="P2061" s="135"/>
      <c r="Q2061" s="135"/>
      <c r="R2061" s="135"/>
      <c r="S2061" s="135"/>
      <c r="T2061" s="135"/>
      <c r="U2061" s="135"/>
      <c r="V2061" s="135"/>
      <c r="W2061" s="135"/>
      <c r="X2061" s="135"/>
      <c r="Y2061" s="135"/>
      <c r="Z2061" s="135"/>
    </row>
    <row r="2062" spans="1:26" ht="12.75">
      <c r="A2062" s="136" t="s">
        <v>19</v>
      </c>
      <c r="B2062" s="136" t="s">
        <v>220</v>
      </c>
      <c r="C2062" s="136" t="s">
        <v>1203</v>
      </c>
      <c r="D2062" s="136" t="s">
        <v>1669</v>
      </c>
      <c r="E2062" s="136" t="s">
        <v>615</v>
      </c>
      <c r="F2062" s="136">
        <v>87</v>
      </c>
      <c r="G2062" s="137">
        <f t="shared" si="8"/>
        <v>3</v>
      </c>
      <c r="H2062" s="137"/>
      <c r="I2062" s="137"/>
      <c r="J2062" s="135"/>
      <c r="K2062" s="135"/>
      <c r="L2062" s="135"/>
      <c r="M2062" s="135"/>
      <c r="N2062" s="135"/>
      <c r="O2062" s="135"/>
      <c r="P2062" s="135"/>
      <c r="Q2062" s="135"/>
      <c r="R2062" s="135"/>
      <c r="S2062" s="135"/>
      <c r="T2062" s="135"/>
      <c r="U2062" s="135"/>
      <c r="V2062" s="135"/>
      <c r="W2062" s="135"/>
      <c r="X2062" s="135"/>
      <c r="Y2062" s="135"/>
      <c r="Z2062" s="135"/>
    </row>
    <row r="2063" spans="1:26" ht="12.75">
      <c r="A2063" s="136" t="s">
        <v>19</v>
      </c>
      <c r="B2063" s="136" t="s">
        <v>220</v>
      </c>
      <c r="C2063" s="136" t="s">
        <v>1203</v>
      </c>
      <c r="D2063" s="136" t="s">
        <v>7619</v>
      </c>
      <c r="E2063" s="136" t="s">
        <v>615</v>
      </c>
      <c r="F2063" s="136">
        <v>79</v>
      </c>
      <c r="G2063" s="137">
        <f t="shared" si="8"/>
        <v>4</v>
      </c>
      <c r="H2063" s="137"/>
      <c r="I2063" s="137"/>
      <c r="J2063" s="135"/>
      <c r="K2063" s="135"/>
      <c r="L2063" s="135"/>
      <c r="M2063" s="135"/>
      <c r="N2063" s="135"/>
      <c r="O2063" s="135"/>
      <c r="P2063" s="135"/>
      <c r="Q2063" s="135"/>
      <c r="R2063" s="135"/>
      <c r="S2063" s="135"/>
      <c r="T2063" s="135"/>
      <c r="U2063" s="135"/>
      <c r="V2063" s="135"/>
      <c r="W2063" s="135"/>
      <c r="X2063" s="135"/>
      <c r="Y2063" s="135"/>
      <c r="Z2063" s="135"/>
    </row>
    <row r="2064" spans="1:26" ht="12.75">
      <c r="A2064" s="136" t="s">
        <v>19</v>
      </c>
      <c r="B2064" s="136" t="s">
        <v>220</v>
      </c>
      <c r="C2064" s="136" t="s">
        <v>1203</v>
      </c>
      <c r="D2064" s="136" t="s">
        <v>114</v>
      </c>
      <c r="E2064" s="136" t="s">
        <v>85</v>
      </c>
      <c r="F2064" s="136">
        <v>74</v>
      </c>
      <c r="G2064" s="137">
        <f t="shared" si="8"/>
        <v>5</v>
      </c>
      <c r="H2064" s="137"/>
      <c r="I2064" s="137"/>
      <c r="J2064" s="135"/>
      <c r="K2064" s="135"/>
      <c r="L2064" s="135"/>
      <c r="M2064" s="135"/>
      <c r="N2064" s="135"/>
      <c r="O2064" s="135"/>
      <c r="P2064" s="135"/>
      <c r="Q2064" s="135"/>
      <c r="R2064" s="135"/>
      <c r="S2064" s="135"/>
      <c r="T2064" s="135"/>
      <c r="U2064" s="135"/>
      <c r="V2064" s="135"/>
      <c r="W2064" s="135"/>
      <c r="X2064" s="135"/>
      <c r="Y2064" s="135"/>
      <c r="Z2064" s="135"/>
    </row>
    <row r="2065" spans="1:26" ht="12.75">
      <c r="A2065" s="136" t="s">
        <v>19</v>
      </c>
      <c r="B2065" s="136" t="s">
        <v>220</v>
      </c>
      <c r="C2065" s="136" t="s">
        <v>1203</v>
      </c>
      <c r="D2065" s="136" t="s">
        <v>7615</v>
      </c>
      <c r="E2065" s="136" t="s">
        <v>7615</v>
      </c>
      <c r="F2065" s="136">
        <v>69</v>
      </c>
      <c r="G2065" s="137">
        <f t="shared" si="8"/>
        <v>6</v>
      </c>
      <c r="H2065" s="137"/>
      <c r="I2065" s="137"/>
      <c r="J2065" s="135"/>
      <c r="K2065" s="135"/>
      <c r="L2065" s="135"/>
      <c r="M2065" s="135"/>
      <c r="N2065" s="135"/>
      <c r="O2065" s="135"/>
      <c r="P2065" s="135"/>
      <c r="Q2065" s="135"/>
      <c r="R2065" s="135"/>
      <c r="S2065" s="135"/>
      <c r="T2065" s="135"/>
      <c r="U2065" s="135"/>
      <c r="V2065" s="135"/>
      <c r="W2065" s="135"/>
      <c r="X2065" s="135"/>
      <c r="Y2065" s="135"/>
      <c r="Z2065" s="135"/>
    </row>
    <row r="2066" spans="1:26" ht="12.75">
      <c r="A2066" s="136" t="s">
        <v>19</v>
      </c>
      <c r="B2066" s="136" t="s">
        <v>220</v>
      </c>
      <c r="C2066" s="136" t="s">
        <v>1203</v>
      </c>
      <c r="D2066" s="136" t="s">
        <v>7633</v>
      </c>
      <c r="E2066" s="136" t="s">
        <v>7633</v>
      </c>
      <c r="F2066" s="136">
        <v>64</v>
      </c>
      <c r="G2066" s="137">
        <f t="shared" si="8"/>
        <v>7</v>
      </c>
      <c r="H2066" s="137"/>
      <c r="I2066" s="137"/>
      <c r="J2066" s="135"/>
      <c r="K2066" s="135"/>
      <c r="L2066" s="135"/>
      <c r="M2066" s="135"/>
      <c r="N2066" s="135"/>
      <c r="O2066" s="135"/>
      <c r="P2066" s="135"/>
      <c r="Q2066" s="135"/>
      <c r="R2066" s="135"/>
      <c r="S2066" s="135"/>
      <c r="T2066" s="135"/>
      <c r="U2066" s="135"/>
      <c r="V2066" s="135"/>
      <c r="W2066" s="135"/>
      <c r="X2066" s="135"/>
      <c r="Y2066" s="135"/>
      <c r="Z2066" s="135"/>
    </row>
    <row r="2067" spans="1:26" ht="12.75">
      <c r="A2067" s="136" t="s">
        <v>19</v>
      </c>
      <c r="B2067" s="136" t="s">
        <v>220</v>
      </c>
      <c r="C2067" s="136" t="s">
        <v>1203</v>
      </c>
      <c r="D2067" s="136" t="s">
        <v>467</v>
      </c>
      <c r="E2067" s="136" t="s">
        <v>85</v>
      </c>
      <c r="F2067" s="136">
        <v>20</v>
      </c>
      <c r="G2067" s="137">
        <f t="shared" si="8"/>
        <v>8</v>
      </c>
      <c r="H2067" s="137"/>
      <c r="I2067" s="137"/>
      <c r="J2067" s="135"/>
      <c r="K2067" s="135"/>
      <c r="L2067" s="135"/>
      <c r="M2067" s="135"/>
      <c r="N2067" s="135"/>
      <c r="O2067" s="135"/>
      <c r="P2067" s="135"/>
      <c r="Q2067" s="135"/>
      <c r="R2067" s="135"/>
      <c r="S2067" s="135"/>
      <c r="T2067" s="135"/>
      <c r="U2067" s="135"/>
      <c r="V2067" s="135"/>
      <c r="W2067" s="135"/>
      <c r="X2067" s="135"/>
      <c r="Y2067" s="135"/>
      <c r="Z2067" s="135"/>
    </row>
    <row r="2068" spans="1:26" ht="12.75">
      <c r="A2068" s="136" t="s">
        <v>19</v>
      </c>
      <c r="B2068" s="136" t="s">
        <v>220</v>
      </c>
      <c r="C2068" s="136" t="s">
        <v>7687</v>
      </c>
      <c r="D2068" s="136" t="s">
        <v>154</v>
      </c>
      <c r="E2068" s="136" t="s">
        <v>615</v>
      </c>
      <c r="F2068" s="136">
        <v>853</v>
      </c>
      <c r="G2068" s="137">
        <f t="shared" si="8"/>
        <v>1</v>
      </c>
      <c r="H2068" s="137"/>
      <c r="I2068" s="137"/>
      <c r="J2068" s="135"/>
      <c r="K2068" s="135"/>
      <c r="L2068" s="135"/>
      <c r="M2068" s="135"/>
      <c r="N2068" s="135"/>
      <c r="O2068" s="135"/>
      <c r="P2068" s="135"/>
      <c r="Q2068" s="135"/>
      <c r="R2068" s="135"/>
      <c r="S2068" s="135"/>
      <c r="T2068" s="135"/>
      <c r="U2068" s="135"/>
      <c r="V2068" s="135"/>
      <c r="W2068" s="135"/>
      <c r="X2068" s="135"/>
      <c r="Y2068" s="135"/>
      <c r="Z2068" s="135"/>
    </row>
    <row r="2069" spans="1:26" ht="12.75">
      <c r="A2069" s="136" t="s">
        <v>19</v>
      </c>
      <c r="B2069" s="136" t="s">
        <v>220</v>
      </c>
      <c r="C2069" s="136" t="s">
        <v>7687</v>
      </c>
      <c r="D2069" s="136" t="s">
        <v>139</v>
      </c>
      <c r="E2069" s="136" t="s">
        <v>594</v>
      </c>
      <c r="F2069" s="136">
        <v>120</v>
      </c>
      <c r="G2069" s="137">
        <f t="shared" si="8"/>
        <v>2</v>
      </c>
      <c r="H2069" s="137"/>
      <c r="I2069" s="137"/>
      <c r="J2069" s="135"/>
      <c r="K2069" s="135"/>
      <c r="L2069" s="135"/>
      <c r="M2069" s="135"/>
      <c r="N2069" s="135"/>
      <c r="O2069" s="135"/>
      <c r="P2069" s="135"/>
      <c r="Q2069" s="135"/>
      <c r="R2069" s="135"/>
      <c r="S2069" s="135"/>
      <c r="T2069" s="135"/>
      <c r="U2069" s="135"/>
      <c r="V2069" s="135"/>
      <c r="W2069" s="135"/>
      <c r="X2069" s="135"/>
      <c r="Y2069" s="135"/>
      <c r="Z2069" s="135"/>
    </row>
    <row r="2070" spans="1:26" ht="12.75">
      <c r="A2070" s="136" t="s">
        <v>19</v>
      </c>
      <c r="B2070" s="136" t="s">
        <v>220</v>
      </c>
      <c r="C2070" s="136" t="s">
        <v>7687</v>
      </c>
      <c r="D2070" s="136" t="s">
        <v>7551</v>
      </c>
      <c r="E2070" s="136" t="s">
        <v>615</v>
      </c>
      <c r="F2070" s="136">
        <v>75</v>
      </c>
      <c r="G2070" s="137">
        <f t="shared" si="8"/>
        <v>3</v>
      </c>
      <c r="H2070" s="137"/>
      <c r="I2070" s="137"/>
      <c r="J2070" s="135"/>
      <c r="K2070" s="135"/>
      <c r="L2070" s="135"/>
      <c r="M2070" s="135"/>
      <c r="N2070" s="135"/>
      <c r="O2070" s="135"/>
      <c r="P2070" s="135"/>
      <c r="Q2070" s="135"/>
      <c r="R2070" s="135"/>
      <c r="S2070" s="135"/>
      <c r="T2070" s="135"/>
      <c r="U2070" s="135"/>
      <c r="V2070" s="135"/>
      <c r="W2070" s="135"/>
      <c r="X2070" s="135"/>
      <c r="Y2070" s="135"/>
      <c r="Z2070" s="135"/>
    </row>
    <row r="2071" spans="1:26" ht="12.75">
      <c r="A2071" s="136" t="s">
        <v>19</v>
      </c>
      <c r="B2071" s="136" t="s">
        <v>220</v>
      </c>
      <c r="C2071" s="136" t="s">
        <v>7687</v>
      </c>
      <c r="D2071" s="136" t="s">
        <v>7615</v>
      </c>
      <c r="E2071" s="136" t="s">
        <v>7615</v>
      </c>
      <c r="F2071" s="136">
        <v>64</v>
      </c>
      <c r="G2071" s="137">
        <f t="shared" si="8"/>
        <v>4</v>
      </c>
      <c r="H2071" s="137"/>
      <c r="I2071" s="137"/>
      <c r="J2071" s="135"/>
      <c r="K2071" s="135"/>
      <c r="L2071" s="135"/>
      <c r="M2071" s="135"/>
      <c r="N2071" s="135"/>
      <c r="O2071" s="135"/>
      <c r="P2071" s="135"/>
      <c r="Q2071" s="135"/>
      <c r="R2071" s="135"/>
      <c r="S2071" s="135"/>
      <c r="T2071" s="135"/>
      <c r="U2071" s="135"/>
      <c r="V2071" s="135"/>
      <c r="W2071" s="135"/>
      <c r="X2071" s="135"/>
      <c r="Y2071" s="135"/>
      <c r="Z2071" s="135"/>
    </row>
    <row r="2072" spans="1:26" ht="12.75">
      <c r="A2072" s="136" t="s">
        <v>19</v>
      </c>
      <c r="B2072" s="136" t="s">
        <v>220</v>
      </c>
      <c r="C2072" s="136" t="s">
        <v>7687</v>
      </c>
      <c r="D2072" s="136" t="s">
        <v>114</v>
      </c>
      <c r="E2072" s="136" t="s">
        <v>85</v>
      </c>
      <c r="F2072" s="136">
        <v>26</v>
      </c>
      <c r="G2072" s="137">
        <f t="shared" si="8"/>
        <v>5</v>
      </c>
      <c r="H2072" s="137"/>
      <c r="I2072" s="137"/>
      <c r="J2072" s="135"/>
      <c r="K2072" s="135"/>
      <c r="L2072" s="135"/>
      <c r="M2072" s="135"/>
      <c r="N2072" s="135"/>
      <c r="O2072" s="135"/>
      <c r="P2072" s="135"/>
      <c r="Q2072" s="135"/>
      <c r="R2072" s="135"/>
      <c r="S2072" s="135"/>
      <c r="T2072" s="135"/>
      <c r="U2072" s="135"/>
      <c r="V2072" s="135"/>
      <c r="W2072" s="135"/>
      <c r="X2072" s="135"/>
      <c r="Y2072" s="135"/>
      <c r="Z2072" s="135"/>
    </row>
    <row r="2073" spans="1:26" ht="12.75">
      <c r="A2073" s="136" t="s">
        <v>19</v>
      </c>
      <c r="B2073" s="136" t="s">
        <v>220</v>
      </c>
      <c r="C2073" s="136" t="s">
        <v>7687</v>
      </c>
      <c r="D2073" s="136" t="s">
        <v>7633</v>
      </c>
      <c r="E2073" s="136" t="s">
        <v>7633</v>
      </c>
      <c r="F2073" s="136">
        <v>25</v>
      </c>
      <c r="G2073" s="137">
        <f t="shared" si="8"/>
        <v>6</v>
      </c>
      <c r="H2073" s="137"/>
      <c r="I2073" s="137"/>
      <c r="J2073" s="135"/>
      <c r="K2073" s="135"/>
      <c r="L2073" s="135"/>
      <c r="M2073" s="135"/>
      <c r="N2073" s="135"/>
      <c r="O2073" s="135"/>
      <c r="P2073" s="135"/>
      <c r="Q2073" s="135"/>
      <c r="R2073" s="135"/>
      <c r="S2073" s="135"/>
      <c r="T2073" s="135"/>
      <c r="U2073" s="135"/>
      <c r="V2073" s="135"/>
      <c r="W2073" s="135"/>
      <c r="X2073" s="135"/>
      <c r="Y2073" s="135"/>
      <c r="Z2073" s="135"/>
    </row>
    <row r="2074" spans="1:26" ht="12.75">
      <c r="A2074" s="136" t="s">
        <v>19</v>
      </c>
      <c r="B2074" s="136" t="s">
        <v>220</v>
      </c>
      <c r="C2074" s="136" t="s">
        <v>251</v>
      </c>
      <c r="D2074" s="136" t="s">
        <v>139</v>
      </c>
      <c r="E2074" s="136" t="s">
        <v>594</v>
      </c>
      <c r="F2074" s="136">
        <v>1930</v>
      </c>
      <c r="G2074" s="137">
        <f t="shared" si="8"/>
        <v>1</v>
      </c>
      <c r="H2074" s="137"/>
      <c r="I2074" s="137"/>
      <c r="J2074" s="135"/>
      <c r="K2074" s="135"/>
      <c r="L2074" s="135"/>
      <c r="M2074" s="135"/>
      <c r="N2074" s="135"/>
      <c r="O2074" s="135"/>
      <c r="P2074" s="135"/>
      <c r="Q2074" s="135"/>
      <c r="R2074" s="135"/>
      <c r="S2074" s="135"/>
      <c r="T2074" s="135"/>
      <c r="U2074" s="135"/>
      <c r="V2074" s="135"/>
      <c r="W2074" s="135"/>
      <c r="X2074" s="135"/>
      <c r="Y2074" s="135"/>
      <c r="Z2074" s="135"/>
    </row>
    <row r="2075" spans="1:26" ht="12.75">
      <c r="A2075" s="136" t="s">
        <v>19</v>
      </c>
      <c r="B2075" s="136" t="s">
        <v>220</v>
      </c>
      <c r="C2075" s="136" t="s">
        <v>251</v>
      </c>
      <c r="D2075" s="136" t="s">
        <v>7660</v>
      </c>
      <c r="E2075" s="136" t="s">
        <v>615</v>
      </c>
      <c r="F2075" s="136">
        <v>284</v>
      </c>
      <c r="G2075" s="137">
        <f t="shared" si="8"/>
        <v>2</v>
      </c>
      <c r="H2075" s="137"/>
      <c r="I2075" s="137"/>
      <c r="J2075" s="135"/>
      <c r="K2075" s="135"/>
      <c r="L2075" s="135"/>
      <c r="M2075" s="135"/>
      <c r="N2075" s="135"/>
      <c r="O2075" s="135"/>
      <c r="P2075" s="135"/>
      <c r="Q2075" s="135"/>
      <c r="R2075" s="135"/>
      <c r="S2075" s="135"/>
      <c r="T2075" s="135"/>
      <c r="U2075" s="135"/>
      <c r="V2075" s="135"/>
      <c r="W2075" s="135"/>
      <c r="X2075" s="135"/>
      <c r="Y2075" s="135"/>
      <c r="Z2075" s="135"/>
    </row>
    <row r="2076" spans="1:26" ht="12.75">
      <c r="A2076" s="136" t="s">
        <v>19</v>
      </c>
      <c r="B2076" s="136" t="s">
        <v>220</v>
      </c>
      <c r="C2076" s="136" t="s">
        <v>251</v>
      </c>
      <c r="D2076" s="136" t="s">
        <v>1673</v>
      </c>
      <c r="E2076" s="136" t="s">
        <v>615</v>
      </c>
      <c r="F2076" s="136">
        <v>156</v>
      </c>
      <c r="G2076" s="137">
        <f t="shared" si="8"/>
        <v>3</v>
      </c>
      <c r="H2076" s="137"/>
      <c r="I2076" s="137"/>
      <c r="J2076" s="135"/>
      <c r="K2076" s="135"/>
      <c r="L2076" s="135"/>
      <c r="M2076" s="135"/>
      <c r="N2076" s="135"/>
      <c r="O2076" s="135"/>
      <c r="P2076" s="135"/>
      <c r="Q2076" s="135"/>
      <c r="R2076" s="135"/>
      <c r="S2076" s="135"/>
      <c r="T2076" s="135"/>
      <c r="U2076" s="135"/>
      <c r="V2076" s="135"/>
      <c r="W2076" s="135"/>
      <c r="X2076" s="135"/>
      <c r="Y2076" s="135"/>
      <c r="Z2076" s="135"/>
    </row>
    <row r="2077" spans="1:26" ht="12.75">
      <c r="A2077" s="136" t="s">
        <v>19</v>
      </c>
      <c r="B2077" s="136" t="s">
        <v>220</v>
      </c>
      <c r="C2077" s="136" t="s">
        <v>251</v>
      </c>
      <c r="D2077" s="136" t="s">
        <v>7613</v>
      </c>
      <c r="E2077" s="136" t="s">
        <v>85</v>
      </c>
      <c r="F2077" s="136">
        <v>148</v>
      </c>
      <c r="G2077" s="137">
        <f t="shared" si="8"/>
        <v>4</v>
      </c>
      <c r="H2077" s="137"/>
      <c r="I2077" s="137"/>
      <c r="J2077" s="135"/>
      <c r="K2077" s="135"/>
      <c r="L2077" s="135"/>
      <c r="M2077" s="135"/>
      <c r="N2077" s="135"/>
      <c r="O2077" s="135"/>
      <c r="P2077" s="135"/>
      <c r="Q2077" s="135"/>
      <c r="R2077" s="135"/>
      <c r="S2077" s="135"/>
      <c r="T2077" s="135"/>
      <c r="U2077" s="135"/>
      <c r="V2077" s="135"/>
      <c r="W2077" s="135"/>
      <c r="X2077" s="135"/>
      <c r="Y2077" s="135"/>
      <c r="Z2077" s="135"/>
    </row>
    <row r="2078" spans="1:26" ht="12.75">
      <c r="A2078" s="136" t="s">
        <v>19</v>
      </c>
      <c r="B2078" s="136" t="s">
        <v>220</v>
      </c>
      <c r="C2078" s="136" t="s">
        <v>251</v>
      </c>
      <c r="D2078" s="136" t="s">
        <v>467</v>
      </c>
      <c r="E2078" s="136" t="s">
        <v>85</v>
      </c>
      <c r="F2078" s="136">
        <v>140</v>
      </c>
      <c r="G2078" s="137">
        <f t="shared" si="8"/>
        <v>5</v>
      </c>
      <c r="H2078" s="137"/>
      <c r="I2078" s="137"/>
      <c r="J2078" s="135"/>
      <c r="K2078" s="135"/>
      <c r="L2078" s="135"/>
      <c r="M2078" s="135"/>
      <c r="N2078" s="135"/>
      <c r="O2078" s="135"/>
      <c r="P2078" s="135"/>
      <c r="Q2078" s="135"/>
      <c r="R2078" s="135"/>
      <c r="S2078" s="135"/>
      <c r="T2078" s="135"/>
      <c r="U2078" s="135"/>
      <c r="V2078" s="135"/>
      <c r="W2078" s="135"/>
      <c r="X2078" s="135"/>
      <c r="Y2078" s="135"/>
      <c r="Z2078" s="135"/>
    </row>
    <row r="2079" spans="1:26" ht="12.75">
      <c r="A2079" s="136" t="s">
        <v>19</v>
      </c>
      <c r="B2079" s="136" t="s">
        <v>220</v>
      </c>
      <c r="C2079" s="136" t="s">
        <v>251</v>
      </c>
      <c r="D2079" s="136" t="s">
        <v>1669</v>
      </c>
      <c r="E2079" s="136" t="s">
        <v>615</v>
      </c>
      <c r="F2079" s="136">
        <v>89</v>
      </c>
      <c r="G2079" s="137">
        <f t="shared" si="8"/>
        <v>6</v>
      </c>
      <c r="H2079" s="137"/>
      <c r="I2079" s="137"/>
      <c r="J2079" s="135"/>
      <c r="K2079" s="135"/>
      <c r="L2079" s="135"/>
      <c r="M2079" s="135"/>
      <c r="N2079" s="135"/>
      <c r="O2079" s="135"/>
      <c r="P2079" s="135"/>
      <c r="Q2079" s="135"/>
      <c r="R2079" s="135"/>
      <c r="S2079" s="135"/>
      <c r="T2079" s="135"/>
      <c r="U2079" s="135"/>
      <c r="V2079" s="135"/>
      <c r="W2079" s="135"/>
      <c r="X2079" s="135"/>
      <c r="Y2079" s="135"/>
      <c r="Z2079" s="135"/>
    </row>
    <row r="2080" spans="1:26" ht="12.75">
      <c r="A2080" s="136" t="s">
        <v>19</v>
      </c>
      <c r="B2080" s="136" t="s">
        <v>220</v>
      </c>
      <c r="C2080" s="136" t="s">
        <v>251</v>
      </c>
      <c r="D2080" s="136" t="s">
        <v>7614</v>
      </c>
      <c r="E2080" s="136" t="s">
        <v>7614</v>
      </c>
      <c r="F2080" s="136">
        <v>72</v>
      </c>
      <c r="G2080" s="137">
        <f t="shared" si="8"/>
        <v>7</v>
      </c>
      <c r="H2080" s="137"/>
      <c r="I2080" s="137"/>
      <c r="J2080" s="135"/>
      <c r="K2080" s="135"/>
      <c r="L2080" s="135"/>
      <c r="M2080" s="135"/>
      <c r="N2080" s="135"/>
      <c r="O2080" s="135"/>
      <c r="P2080" s="135"/>
      <c r="Q2080" s="135"/>
      <c r="R2080" s="135"/>
      <c r="S2080" s="135"/>
      <c r="T2080" s="135"/>
      <c r="U2080" s="135"/>
      <c r="V2080" s="135"/>
      <c r="W2080" s="135"/>
      <c r="X2080" s="135"/>
      <c r="Y2080" s="135"/>
      <c r="Z2080" s="135"/>
    </row>
    <row r="2081" spans="1:26" ht="12.75">
      <c r="A2081" s="136" t="s">
        <v>19</v>
      </c>
      <c r="B2081" s="136" t="s">
        <v>220</v>
      </c>
      <c r="C2081" s="136" t="s">
        <v>251</v>
      </c>
      <c r="D2081" s="136" t="s">
        <v>7615</v>
      </c>
      <c r="E2081" s="136" t="s">
        <v>7615</v>
      </c>
      <c r="F2081" s="136">
        <v>48</v>
      </c>
      <c r="G2081" s="137">
        <f t="shared" si="8"/>
        <v>8</v>
      </c>
      <c r="H2081" s="137"/>
      <c r="I2081" s="137"/>
      <c r="J2081" s="135"/>
      <c r="K2081" s="135"/>
      <c r="L2081" s="135"/>
      <c r="M2081" s="135"/>
      <c r="N2081" s="135"/>
      <c r="O2081" s="135"/>
      <c r="P2081" s="135"/>
      <c r="Q2081" s="135"/>
      <c r="R2081" s="135"/>
      <c r="S2081" s="135"/>
      <c r="T2081" s="135"/>
      <c r="U2081" s="135"/>
      <c r="V2081" s="135"/>
      <c r="W2081" s="135"/>
      <c r="X2081" s="135"/>
      <c r="Y2081" s="135"/>
      <c r="Z2081" s="135"/>
    </row>
    <row r="2082" spans="1:26" ht="12.75">
      <c r="A2082" s="136" t="s">
        <v>19</v>
      </c>
      <c r="B2082" s="136" t="s">
        <v>220</v>
      </c>
      <c r="C2082" s="136" t="s">
        <v>251</v>
      </c>
      <c r="D2082" s="136" t="s">
        <v>368</v>
      </c>
      <c r="E2082" s="136" t="s">
        <v>594</v>
      </c>
      <c r="F2082" s="136">
        <v>41</v>
      </c>
      <c r="G2082" s="137">
        <f t="shared" si="8"/>
        <v>9</v>
      </c>
      <c r="H2082" s="137"/>
      <c r="I2082" s="137"/>
      <c r="J2082" s="135"/>
      <c r="K2082" s="135"/>
      <c r="L2082" s="135"/>
      <c r="M2082" s="135"/>
      <c r="N2082" s="135"/>
      <c r="O2082" s="135"/>
      <c r="P2082" s="135"/>
      <c r="Q2082" s="135"/>
      <c r="R2082" s="135"/>
      <c r="S2082" s="135"/>
      <c r="T2082" s="135"/>
      <c r="U2082" s="135"/>
      <c r="V2082" s="135"/>
      <c r="W2082" s="135"/>
      <c r="X2082" s="135"/>
      <c r="Y2082" s="135"/>
      <c r="Z2082" s="135"/>
    </row>
    <row r="2083" spans="1:26" ht="12.75">
      <c r="A2083" s="136" t="s">
        <v>19</v>
      </c>
      <c r="B2083" s="136" t="s">
        <v>220</v>
      </c>
      <c r="C2083" s="136" t="s">
        <v>251</v>
      </c>
      <c r="D2083" s="136" t="s">
        <v>131</v>
      </c>
      <c r="E2083" s="136" t="s">
        <v>594</v>
      </c>
      <c r="F2083" s="136">
        <v>35</v>
      </c>
      <c r="G2083" s="137">
        <f t="shared" si="8"/>
        <v>10</v>
      </c>
      <c r="H2083" s="137"/>
      <c r="I2083" s="137"/>
      <c r="J2083" s="135"/>
      <c r="K2083" s="135"/>
      <c r="L2083" s="135"/>
      <c r="M2083" s="135"/>
      <c r="N2083" s="135"/>
      <c r="O2083" s="135"/>
      <c r="P2083" s="135"/>
      <c r="Q2083" s="135"/>
      <c r="R2083" s="135"/>
      <c r="S2083" s="135"/>
      <c r="T2083" s="135"/>
      <c r="U2083" s="135"/>
      <c r="V2083" s="135"/>
      <c r="W2083" s="135"/>
      <c r="X2083" s="135"/>
      <c r="Y2083" s="135"/>
      <c r="Z2083" s="135"/>
    </row>
    <row r="2084" spans="1:26" ht="12.75">
      <c r="A2084" s="136" t="s">
        <v>19</v>
      </c>
      <c r="B2084" s="136" t="s">
        <v>220</v>
      </c>
      <c r="C2084" s="136" t="s">
        <v>251</v>
      </c>
      <c r="D2084" s="136" t="s">
        <v>1626</v>
      </c>
      <c r="E2084" s="136" t="s">
        <v>594</v>
      </c>
      <c r="F2084" s="136">
        <v>29</v>
      </c>
      <c r="G2084" s="137">
        <f t="shared" si="8"/>
        <v>11</v>
      </c>
      <c r="H2084" s="137"/>
      <c r="I2084" s="137"/>
      <c r="J2084" s="135"/>
      <c r="K2084" s="135"/>
      <c r="L2084" s="135"/>
      <c r="M2084" s="135"/>
      <c r="N2084" s="135"/>
      <c r="O2084" s="135"/>
      <c r="P2084" s="135"/>
      <c r="Q2084" s="135"/>
      <c r="R2084" s="135"/>
      <c r="S2084" s="135"/>
      <c r="T2084" s="135"/>
      <c r="U2084" s="135"/>
      <c r="V2084" s="135"/>
      <c r="W2084" s="135"/>
      <c r="X2084" s="135"/>
      <c r="Y2084" s="135"/>
      <c r="Z2084" s="135"/>
    </row>
    <row r="2085" spans="1:26" ht="12.75">
      <c r="A2085" s="136" t="s">
        <v>19</v>
      </c>
      <c r="B2085" s="136" t="s">
        <v>220</v>
      </c>
      <c r="C2085" s="136" t="s">
        <v>251</v>
      </c>
      <c r="D2085" s="136" t="s">
        <v>103</v>
      </c>
      <c r="E2085" s="136" t="s">
        <v>594</v>
      </c>
      <c r="F2085" s="136">
        <v>15</v>
      </c>
      <c r="G2085" s="137">
        <f t="shared" si="8"/>
        <v>12</v>
      </c>
      <c r="H2085" s="137"/>
      <c r="I2085" s="137"/>
      <c r="J2085" s="135"/>
      <c r="K2085" s="135"/>
      <c r="L2085" s="135"/>
      <c r="M2085" s="135"/>
      <c r="N2085" s="135"/>
      <c r="O2085" s="135"/>
      <c r="P2085" s="135"/>
      <c r="Q2085" s="135"/>
      <c r="R2085" s="135"/>
      <c r="S2085" s="135"/>
      <c r="T2085" s="135"/>
      <c r="U2085" s="135"/>
      <c r="V2085" s="135"/>
      <c r="W2085" s="135"/>
      <c r="X2085" s="135"/>
      <c r="Y2085" s="135"/>
      <c r="Z2085" s="135"/>
    </row>
    <row r="2086" spans="1:26" ht="12.75">
      <c r="A2086" s="136" t="s">
        <v>19</v>
      </c>
      <c r="B2086" s="136" t="s">
        <v>220</v>
      </c>
      <c r="C2086" s="136" t="s">
        <v>253</v>
      </c>
      <c r="D2086" s="136" t="s">
        <v>139</v>
      </c>
      <c r="E2086" s="136" t="s">
        <v>594</v>
      </c>
      <c r="F2086" s="136">
        <v>1186</v>
      </c>
      <c r="G2086" s="137">
        <f t="shared" si="8"/>
        <v>1</v>
      </c>
      <c r="H2086" s="137"/>
      <c r="I2086" s="137"/>
      <c r="J2086" s="135"/>
      <c r="K2086" s="135"/>
      <c r="L2086" s="135"/>
      <c r="M2086" s="135"/>
      <c r="N2086" s="135"/>
      <c r="O2086" s="135"/>
      <c r="P2086" s="135"/>
      <c r="Q2086" s="135"/>
      <c r="R2086" s="135"/>
      <c r="S2086" s="135"/>
      <c r="T2086" s="135"/>
      <c r="U2086" s="135"/>
      <c r="V2086" s="135"/>
      <c r="W2086" s="135"/>
      <c r="X2086" s="135"/>
      <c r="Y2086" s="135"/>
      <c r="Z2086" s="135"/>
    </row>
    <row r="2087" spans="1:26" ht="12.75">
      <c r="A2087" s="136" t="s">
        <v>19</v>
      </c>
      <c r="B2087" s="136" t="s">
        <v>220</v>
      </c>
      <c r="C2087" s="136" t="s">
        <v>253</v>
      </c>
      <c r="D2087" s="136" t="s">
        <v>7484</v>
      </c>
      <c r="E2087" s="136" t="s">
        <v>615</v>
      </c>
      <c r="F2087" s="136">
        <v>535</v>
      </c>
      <c r="G2087" s="137">
        <f t="shared" si="8"/>
        <v>2</v>
      </c>
      <c r="H2087" s="137"/>
      <c r="I2087" s="137"/>
      <c r="J2087" s="135"/>
      <c r="K2087" s="135"/>
      <c r="L2087" s="135"/>
      <c r="M2087" s="135"/>
      <c r="N2087" s="135"/>
      <c r="O2087" s="135"/>
      <c r="P2087" s="135"/>
      <c r="Q2087" s="135"/>
      <c r="R2087" s="135"/>
      <c r="S2087" s="135"/>
      <c r="T2087" s="135"/>
      <c r="U2087" s="135"/>
      <c r="V2087" s="135"/>
      <c r="W2087" s="135"/>
      <c r="X2087" s="135"/>
      <c r="Y2087" s="135"/>
      <c r="Z2087" s="135"/>
    </row>
    <row r="2088" spans="1:26" ht="12.75">
      <c r="A2088" s="136" t="s">
        <v>19</v>
      </c>
      <c r="B2088" s="136" t="s">
        <v>220</v>
      </c>
      <c r="C2088" s="136" t="s">
        <v>253</v>
      </c>
      <c r="D2088" s="136" t="s">
        <v>7613</v>
      </c>
      <c r="E2088" s="136" t="s">
        <v>85</v>
      </c>
      <c r="F2088" s="136">
        <v>138</v>
      </c>
      <c r="G2088" s="137">
        <f t="shared" si="8"/>
        <v>3</v>
      </c>
      <c r="H2088" s="137"/>
      <c r="I2088" s="137"/>
      <c r="J2088" s="135"/>
      <c r="K2088" s="135"/>
      <c r="L2088" s="135"/>
      <c r="M2088" s="135"/>
      <c r="N2088" s="135"/>
      <c r="O2088" s="135"/>
      <c r="P2088" s="135"/>
      <c r="Q2088" s="135"/>
      <c r="R2088" s="135"/>
      <c r="S2088" s="135"/>
      <c r="T2088" s="135"/>
      <c r="U2088" s="135"/>
      <c r="V2088" s="135"/>
      <c r="W2088" s="135"/>
      <c r="X2088" s="135"/>
      <c r="Y2088" s="135"/>
      <c r="Z2088" s="135"/>
    </row>
    <row r="2089" spans="1:26" ht="12.75">
      <c r="A2089" s="136" t="s">
        <v>19</v>
      </c>
      <c r="B2089" s="136" t="s">
        <v>220</v>
      </c>
      <c r="C2089" s="136" t="s">
        <v>253</v>
      </c>
      <c r="D2089" s="136" t="s">
        <v>1669</v>
      </c>
      <c r="E2089" s="136" t="s">
        <v>615</v>
      </c>
      <c r="F2089" s="136">
        <v>106</v>
      </c>
      <c r="G2089" s="137">
        <f t="shared" si="8"/>
        <v>4</v>
      </c>
      <c r="H2089" s="137"/>
      <c r="I2089" s="137"/>
      <c r="J2089" s="135"/>
      <c r="K2089" s="135"/>
      <c r="L2089" s="135"/>
      <c r="M2089" s="135"/>
      <c r="N2089" s="135"/>
      <c r="O2089" s="135"/>
      <c r="P2089" s="135"/>
      <c r="Q2089" s="135"/>
      <c r="R2089" s="135"/>
      <c r="S2089" s="135"/>
      <c r="T2089" s="135"/>
      <c r="U2089" s="135"/>
      <c r="V2089" s="135"/>
      <c r="W2089" s="135"/>
      <c r="X2089" s="135"/>
      <c r="Y2089" s="135"/>
      <c r="Z2089" s="135"/>
    </row>
    <row r="2090" spans="1:26" ht="12.75">
      <c r="A2090" s="136" t="s">
        <v>19</v>
      </c>
      <c r="B2090" s="136" t="s">
        <v>220</v>
      </c>
      <c r="C2090" s="136" t="s">
        <v>253</v>
      </c>
      <c r="D2090" s="136" t="s">
        <v>7614</v>
      </c>
      <c r="E2090" s="136" t="s">
        <v>7614</v>
      </c>
      <c r="F2090" s="136">
        <v>40</v>
      </c>
      <c r="G2090" s="137">
        <f t="shared" si="8"/>
        <v>6</v>
      </c>
      <c r="H2090" s="137"/>
      <c r="I2090" s="137"/>
      <c r="J2090" s="135"/>
      <c r="K2090" s="135"/>
      <c r="L2090" s="135"/>
      <c r="M2090" s="135"/>
      <c r="N2090" s="135"/>
      <c r="O2090" s="135"/>
      <c r="P2090" s="135"/>
      <c r="Q2090" s="135"/>
      <c r="R2090" s="135"/>
      <c r="S2090" s="135"/>
      <c r="T2090" s="135"/>
      <c r="U2090" s="135"/>
      <c r="V2090" s="135"/>
      <c r="W2090" s="135"/>
      <c r="X2090" s="135"/>
      <c r="Y2090" s="135"/>
      <c r="Z2090" s="135"/>
    </row>
    <row r="2091" spans="1:26" ht="12.75">
      <c r="A2091" s="136" t="s">
        <v>19</v>
      </c>
      <c r="B2091" s="136" t="s">
        <v>220</v>
      </c>
      <c r="C2091" s="136" t="s">
        <v>253</v>
      </c>
      <c r="D2091" s="136" t="s">
        <v>7615</v>
      </c>
      <c r="E2091" s="136" t="s">
        <v>7615</v>
      </c>
      <c r="F2091" s="136">
        <v>39</v>
      </c>
      <c r="G2091" s="137">
        <f t="shared" si="8"/>
        <v>7</v>
      </c>
      <c r="H2091" s="137"/>
      <c r="I2091" s="137"/>
      <c r="J2091" s="135"/>
      <c r="K2091" s="135"/>
      <c r="L2091" s="135"/>
      <c r="M2091" s="135"/>
      <c r="N2091" s="135"/>
      <c r="O2091" s="135"/>
      <c r="P2091" s="135"/>
      <c r="Q2091" s="135"/>
      <c r="R2091" s="135"/>
      <c r="S2091" s="135"/>
      <c r="T2091" s="135"/>
      <c r="U2091" s="135"/>
      <c r="V2091" s="135"/>
      <c r="W2091" s="135"/>
      <c r="X2091" s="135"/>
      <c r="Y2091" s="135"/>
      <c r="Z2091" s="135"/>
    </row>
    <row r="2092" spans="1:26" ht="12.75">
      <c r="A2092" s="136" t="s">
        <v>19</v>
      </c>
      <c r="B2092" s="136" t="s">
        <v>220</v>
      </c>
      <c r="C2092" s="136" t="s">
        <v>253</v>
      </c>
      <c r="D2092" s="136" t="s">
        <v>467</v>
      </c>
      <c r="E2092" s="136" t="s">
        <v>85</v>
      </c>
      <c r="F2092" s="136">
        <v>51</v>
      </c>
      <c r="G2092" s="137">
        <f t="shared" si="8"/>
        <v>5</v>
      </c>
      <c r="H2092" s="137"/>
      <c r="I2092" s="137"/>
      <c r="J2092" s="135"/>
      <c r="K2092" s="135"/>
      <c r="L2092" s="135"/>
      <c r="M2092" s="135"/>
      <c r="N2092" s="135"/>
      <c r="O2092" s="135"/>
      <c r="P2092" s="135"/>
      <c r="Q2092" s="135"/>
      <c r="R2092" s="135"/>
      <c r="S2092" s="135"/>
      <c r="T2092" s="135"/>
      <c r="U2092" s="135"/>
      <c r="V2092" s="135"/>
      <c r="W2092" s="135"/>
      <c r="X2092" s="135"/>
      <c r="Y2092" s="135"/>
      <c r="Z2092" s="135"/>
    </row>
    <row r="2093" spans="1:26" ht="12.75">
      <c r="A2093" s="136" t="s">
        <v>19</v>
      </c>
      <c r="B2093" s="136" t="s">
        <v>220</v>
      </c>
      <c r="C2093" s="136" t="s">
        <v>253</v>
      </c>
      <c r="D2093" s="136" t="s">
        <v>7626</v>
      </c>
      <c r="E2093" s="136" t="s">
        <v>615</v>
      </c>
      <c r="F2093" s="136">
        <v>15</v>
      </c>
      <c r="G2093" s="137">
        <f t="shared" si="8"/>
        <v>8</v>
      </c>
      <c r="H2093" s="137"/>
      <c r="I2093" s="137"/>
      <c r="J2093" s="135"/>
      <c r="K2093" s="135"/>
      <c r="L2093" s="135"/>
      <c r="M2093" s="135"/>
      <c r="N2093" s="135"/>
      <c r="O2093" s="135"/>
      <c r="P2093" s="135"/>
      <c r="Q2093" s="135"/>
      <c r="R2093" s="135"/>
      <c r="S2093" s="135"/>
      <c r="T2093" s="135"/>
      <c r="U2093" s="135"/>
      <c r="V2093" s="135"/>
      <c r="W2093" s="135"/>
      <c r="X2093" s="135"/>
      <c r="Y2093" s="135"/>
      <c r="Z2093" s="135"/>
    </row>
    <row r="2094" spans="1:26" ht="12.75">
      <c r="A2094" s="136" t="s">
        <v>19</v>
      </c>
      <c r="B2094" s="136" t="s">
        <v>220</v>
      </c>
      <c r="C2094" s="136" t="s">
        <v>253</v>
      </c>
      <c r="D2094" s="136" t="s">
        <v>7688</v>
      </c>
      <c r="E2094" s="136" t="s">
        <v>594</v>
      </c>
      <c r="F2094" s="136">
        <v>10</v>
      </c>
      <c r="G2094" s="137">
        <f t="shared" si="8"/>
        <v>9</v>
      </c>
      <c r="H2094" s="137"/>
      <c r="I2094" s="137"/>
      <c r="J2094" s="135"/>
      <c r="K2094" s="135"/>
      <c r="L2094" s="135"/>
      <c r="M2094" s="135"/>
      <c r="N2094" s="135"/>
      <c r="O2094" s="135"/>
      <c r="P2094" s="135"/>
      <c r="Q2094" s="135"/>
      <c r="R2094" s="135"/>
      <c r="S2094" s="135"/>
      <c r="T2094" s="135"/>
      <c r="U2094" s="135"/>
      <c r="V2094" s="135"/>
      <c r="W2094" s="135"/>
      <c r="X2094" s="135"/>
      <c r="Y2094" s="135"/>
      <c r="Z2094" s="135"/>
    </row>
    <row r="2095" spans="1:26" ht="12.75">
      <c r="A2095" s="136" t="s">
        <v>19</v>
      </c>
      <c r="B2095" s="136" t="s">
        <v>220</v>
      </c>
      <c r="C2095" s="136" t="s">
        <v>253</v>
      </c>
      <c r="D2095" s="136" t="s">
        <v>368</v>
      </c>
      <c r="E2095" s="136" t="s">
        <v>594</v>
      </c>
      <c r="F2095" s="136">
        <v>10</v>
      </c>
      <c r="G2095" s="137">
        <f t="shared" si="8"/>
        <v>10</v>
      </c>
      <c r="H2095" s="137"/>
      <c r="I2095" s="137"/>
      <c r="J2095" s="135"/>
      <c r="K2095" s="135"/>
      <c r="L2095" s="135"/>
      <c r="M2095" s="135"/>
      <c r="N2095" s="135"/>
      <c r="O2095" s="135"/>
      <c r="P2095" s="135"/>
      <c r="Q2095" s="135"/>
      <c r="R2095" s="135"/>
      <c r="S2095" s="135"/>
      <c r="T2095" s="135"/>
      <c r="U2095" s="135"/>
      <c r="V2095" s="135"/>
      <c r="W2095" s="135"/>
      <c r="X2095" s="135"/>
      <c r="Y2095" s="135"/>
      <c r="Z2095" s="135"/>
    </row>
    <row r="2096" spans="1:26" ht="12.75">
      <c r="A2096" s="136" t="s">
        <v>19</v>
      </c>
      <c r="B2096" s="136" t="s">
        <v>220</v>
      </c>
      <c r="C2096" s="136" t="s">
        <v>255</v>
      </c>
      <c r="D2096" s="136" t="s">
        <v>139</v>
      </c>
      <c r="E2096" s="136" t="s">
        <v>594</v>
      </c>
      <c r="F2096" s="136">
        <v>1950</v>
      </c>
      <c r="G2096" s="137">
        <f t="shared" si="8"/>
        <v>1</v>
      </c>
      <c r="H2096" s="137"/>
      <c r="I2096" s="137"/>
      <c r="J2096" s="135"/>
      <c r="K2096" s="135"/>
      <c r="L2096" s="135"/>
      <c r="M2096" s="135"/>
      <c r="N2096" s="135"/>
      <c r="O2096" s="135"/>
      <c r="P2096" s="135"/>
      <c r="Q2096" s="135"/>
      <c r="R2096" s="135"/>
      <c r="S2096" s="135"/>
      <c r="T2096" s="135"/>
      <c r="U2096" s="135"/>
      <c r="V2096" s="135"/>
      <c r="W2096" s="135"/>
      <c r="X2096" s="135"/>
      <c r="Y2096" s="135"/>
      <c r="Z2096" s="135"/>
    </row>
    <row r="2097" spans="1:26" ht="12.75">
      <c r="A2097" s="136" t="s">
        <v>19</v>
      </c>
      <c r="B2097" s="136" t="s">
        <v>220</v>
      </c>
      <c r="C2097" s="136" t="s">
        <v>255</v>
      </c>
      <c r="D2097" s="136" t="s">
        <v>114</v>
      </c>
      <c r="E2097" s="136" t="s">
        <v>85</v>
      </c>
      <c r="F2097" s="136">
        <v>96</v>
      </c>
      <c r="G2097" s="137">
        <f t="shared" si="8"/>
        <v>2</v>
      </c>
      <c r="H2097" s="137"/>
      <c r="I2097" s="137"/>
      <c r="J2097" s="135"/>
      <c r="K2097" s="135"/>
      <c r="L2097" s="135"/>
      <c r="M2097" s="135"/>
      <c r="N2097" s="135"/>
      <c r="O2097" s="135"/>
      <c r="P2097" s="135"/>
      <c r="Q2097" s="135"/>
      <c r="R2097" s="135"/>
      <c r="S2097" s="135"/>
      <c r="T2097" s="135"/>
      <c r="U2097" s="135"/>
      <c r="V2097" s="135"/>
      <c r="W2097" s="135"/>
      <c r="X2097" s="135"/>
      <c r="Y2097" s="135"/>
      <c r="Z2097" s="135"/>
    </row>
    <row r="2098" spans="1:26" ht="12.75">
      <c r="A2098" s="136" t="s">
        <v>19</v>
      </c>
      <c r="B2098" s="136" t="s">
        <v>220</v>
      </c>
      <c r="C2098" s="136" t="s">
        <v>255</v>
      </c>
      <c r="D2098" s="136" t="s">
        <v>7615</v>
      </c>
      <c r="E2098" s="136" t="s">
        <v>7615</v>
      </c>
      <c r="F2098" s="136">
        <v>86</v>
      </c>
      <c r="G2098" s="137">
        <f t="shared" si="8"/>
        <v>3</v>
      </c>
      <c r="H2098" s="137"/>
      <c r="I2098" s="137"/>
      <c r="J2098" s="135"/>
      <c r="K2098" s="135"/>
      <c r="L2098" s="135"/>
      <c r="M2098" s="135"/>
      <c r="N2098" s="135"/>
      <c r="O2098" s="135"/>
      <c r="P2098" s="135"/>
      <c r="Q2098" s="135"/>
      <c r="R2098" s="135"/>
      <c r="S2098" s="135"/>
      <c r="T2098" s="135"/>
      <c r="U2098" s="135"/>
      <c r="V2098" s="135"/>
      <c r="W2098" s="135"/>
      <c r="X2098" s="135"/>
      <c r="Y2098" s="135"/>
      <c r="Z2098" s="135"/>
    </row>
    <row r="2099" spans="1:26" ht="12.75">
      <c r="A2099" s="136" t="s">
        <v>19</v>
      </c>
      <c r="B2099" s="136" t="s">
        <v>220</v>
      </c>
      <c r="C2099" s="136" t="s">
        <v>255</v>
      </c>
      <c r="D2099" s="136" t="s">
        <v>1665</v>
      </c>
      <c r="E2099" s="136" t="s">
        <v>615</v>
      </c>
      <c r="F2099" s="136">
        <v>82</v>
      </c>
      <c r="G2099" s="137">
        <f t="shared" si="8"/>
        <v>4</v>
      </c>
      <c r="H2099" s="137"/>
      <c r="I2099" s="137"/>
      <c r="J2099" s="135"/>
      <c r="K2099" s="135"/>
      <c r="L2099" s="135"/>
      <c r="M2099" s="135"/>
      <c r="N2099" s="135"/>
      <c r="O2099" s="135"/>
      <c r="P2099" s="135"/>
      <c r="Q2099" s="135"/>
      <c r="R2099" s="135"/>
      <c r="S2099" s="135"/>
      <c r="T2099" s="135"/>
      <c r="U2099" s="135"/>
      <c r="V2099" s="135"/>
      <c r="W2099" s="135"/>
      <c r="X2099" s="135"/>
      <c r="Y2099" s="135"/>
      <c r="Z2099" s="135"/>
    </row>
    <row r="2100" spans="1:26" ht="12.75">
      <c r="A2100" s="136" t="s">
        <v>19</v>
      </c>
      <c r="B2100" s="136" t="s">
        <v>220</v>
      </c>
      <c r="C2100" s="136" t="s">
        <v>255</v>
      </c>
      <c r="D2100" s="136" t="s">
        <v>7633</v>
      </c>
      <c r="E2100" s="136" t="s">
        <v>7633</v>
      </c>
      <c r="F2100" s="136">
        <v>81</v>
      </c>
      <c r="G2100" s="137">
        <f t="shared" si="8"/>
        <v>5</v>
      </c>
      <c r="H2100" s="137"/>
      <c r="I2100" s="137"/>
      <c r="J2100" s="135"/>
      <c r="K2100" s="135"/>
      <c r="L2100" s="135"/>
      <c r="M2100" s="135"/>
      <c r="N2100" s="135"/>
      <c r="O2100" s="135"/>
      <c r="P2100" s="135"/>
      <c r="Q2100" s="135"/>
      <c r="R2100" s="135"/>
      <c r="S2100" s="135"/>
      <c r="T2100" s="135"/>
      <c r="U2100" s="135"/>
      <c r="V2100" s="135"/>
      <c r="W2100" s="135"/>
      <c r="X2100" s="135"/>
      <c r="Y2100" s="135"/>
      <c r="Z2100" s="135"/>
    </row>
    <row r="2101" spans="1:26" ht="12.75">
      <c r="A2101" s="136" t="s">
        <v>19</v>
      </c>
      <c r="B2101" s="136" t="s">
        <v>220</v>
      </c>
      <c r="C2101" s="136" t="s">
        <v>255</v>
      </c>
      <c r="D2101" s="136" t="s">
        <v>1669</v>
      </c>
      <c r="E2101" s="136" t="s">
        <v>615</v>
      </c>
      <c r="F2101" s="136">
        <v>65</v>
      </c>
      <c r="G2101" s="137">
        <f t="shared" si="8"/>
        <v>6</v>
      </c>
      <c r="H2101" s="137"/>
      <c r="I2101" s="137"/>
      <c r="J2101" s="135"/>
      <c r="K2101" s="135"/>
      <c r="L2101" s="135"/>
      <c r="M2101" s="135"/>
      <c r="N2101" s="135"/>
      <c r="O2101" s="135"/>
      <c r="P2101" s="135"/>
      <c r="Q2101" s="135"/>
      <c r="R2101" s="135"/>
      <c r="S2101" s="135"/>
      <c r="T2101" s="135"/>
      <c r="U2101" s="135"/>
      <c r="V2101" s="135"/>
      <c r="W2101" s="135"/>
      <c r="X2101" s="135"/>
      <c r="Y2101" s="135"/>
      <c r="Z2101" s="135"/>
    </row>
    <row r="2102" spans="1:26" ht="12.75">
      <c r="A2102" s="136" t="s">
        <v>19</v>
      </c>
      <c r="B2102" s="136" t="s">
        <v>220</v>
      </c>
      <c r="C2102" s="136" t="s">
        <v>255</v>
      </c>
      <c r="D2102" s="136" t="s">
        <v>7617</v>
      </c>
      <c r="E2102" s="136" t="s">
        <v>615</v>
      </c>
      <c r="F2102" s="136">
        <v>57</v>
      </c>
      <c r="G2102" s="137">
        <f t="shared" si="8"/>
        <v>7</v>
      </c>
      <c r="H2102" s="137"/>
      <c r="I2102" s="137"/>
      <c r="J2102" s="135"/>
      <c r="K2102" s="135"/>
      <c r="L2102" s="135"/>
      <c r="M2102" s="135"/>
      <c r="N2102" s="135"/>
      <c r="O2102" s="135"/>
      <c r="P2102" s="135"/>
      <c r="Q2102" s="135"/>
      <c r="R2102" s="135"/>
      <c r="S2102" s="135"/>
      <c r="T2102" s="135"/>
      <c r="U2102" s="135"/>
      <c r="V2102" s="135"/>
      <c r="W2102" s="135"/>
      <c r="X2102" s="135"/>
      <c r="Y2102" s="135"/>
      <c r="Z2102" s="135"/>
    </row>
    <row r="2103" spans="1:26" ht="12.75">
      <c r="A2103" s="136" t="s">
        <v>19</v>
      </c>
      <c r="B2103" s="136" t="s">
        <v>220</v>
      </c>
      <c r="C2103" s="136" t="s">
        <v>255</v>
      </c>
      <c r="D2103" s="136" t="s">
        <v>467</v>
      </c>
      <c r="E2103" s="136" t="s">
        <v>85</v>
      </c>
      <c r="F2103" s="136">
        <v>22</v>
      </c>
      <c r="G2103" s="137">
        <f t="shared" si="8"/>
        <v>8</v>
      </c>
      <c r="H2103" s="137"/>
      <c r="I2103" s="137"/>
      <c r="J2103" s="135"/>
      <c r="K2103" s="135"/>
      <c r="L2103" s="135"/>
      <c r="M2103" s="135"/>
      <c r="N2103" s="135"/>
      <c r="O2103" s="135"/>
      <c r="P2103" s="135"/>
      <c r="Q2103" s="135"/>
      <c r="R2103" s="135"/>
      <c r="S2103" s="135"/>
      <c r="T2103" s="135"/>
      <c r="U2103" s="135"/>
      <c r="V2103" s="135"/>
      <c r="W2103" s="135"/>
      <c r="X2103" s="135"/>
      <c r="Y2103" s="135"/>
      <c r="Z2103" s="135"/>
    </row>
    <row r="2104" spans="1:26" ht="12.75">
      <c r="A2104" s="136" t="s">
        <v>19</v>
      </c>
      <c r="B2104" s="136" t="s">
        <v>220</v>
      </c>
      <c r="C2104" s="136" t="s">
        <v>255</v>
      </c>
      <c r="D2104" s="136" t="s">
        <v>368</v>
      </c>
      <c r="E2104" s="136" t="s">
        <v>594</v>
      </c>
      <c r="F2104" s="136">
        <v>21</v>
      </c>
      <c r="G2104" s="137">
        <f t="shared" si="8"/>
        <v>9</v>
      </c>
      <c r="H2104" s="137"/>
      <c r="I2104" s="137"/>
      <c r="J2104" s="135"/>
      <c r="K2104" s="135"/>
      <c r="L2104" s="135"/>
      <c r="M2104" s="135"/>
      <c r="N2104" s="135"/>
      <c r="O2104" s="135"/>
      <c r="P2104" s="135"/>
      <c r="Q2104" s="135"/>
      <c r="R2104" s="135"/>
      <c r="S2104" s="135"/>
      <c r="T2104" s="135"/>
      <c r="U2104" s="135"/>
      <c r="V2104" s="135"/>
      <c r="W2104" s="135"/>
      <c r="X2104" s="135"/>
      <c r="Y2104" s="135"/>
      <c r="Z2104" s="135"/>
    </row>
    <row r="2105" spans="1:26" ht="12.75">
      <c r="A2105" s="136" t="s">
        <v>19</v>
      </c>
      <c r="B2105" s="136" t="s">
        <v>220</v>
      </c>
      <c r="C2105" s="136" t="s">
        <v>257</v>
      </c>
      <c r="D2105" s="136" t="s">
        <v>139</v>
      </c>
      <c r="E2105" s="136" t="s">
        <v>594</v>
      </c>
      <c r="F2105" s="136">
        <v>2740</v>
      </c>
      <c r="G2105" s="137">
        <f t="shared" si="8"/>
        <v>1</v>
      </c>
      <c r="H2105" s="137"/>
      <c r="I2105" s="137"/>
      <c r="J2105" s="135"/>
      <c r="K2105" s="135"/>
      <c r="L2105" s="135"/>
      <c r="M2105" s="135"/>
      <c r="N2105" s="135"/>
      <c r="O2105" s="135"/>
      <c r="P2105" s="135"/>
      <c r="Q2105" s="135"/>
      <c r="R2105" s="135"/>
      <c r="S2105" s="135"/>
      <c r="T2105" s="135"/>
      <c r="U2105" s="135"/>
      <c r="V2105" s="135"/>
      <c r="W2105" s="135"/>
      <c r="X2105" s="135"/>
      <c r="Y2105" s="135"/>
      <c r="Z2105" s="135"/>
    </row>
    <row r="2106" spans="1:26" ht="12.75">
      <c r="A2106" s="136" t="s">
        <v>19</v>
      </c>
      <c r="B2106" s="136" t="s">
        <v>220</v>
      </c>
      <c r="C2106" s="136" t="s">
        <v>257</v>
      </c>
      <c r="D2106" s="136" t="s">
        <v>7613</v>
      </c>
      <c r="E2106" s="136" t="s">
        <v>85</v>
      </c>
      <c r="F2106" s="136">
        <v>595</v>
      </c>
      <c r="G2106" s="137">
        <f t="shared" si="8"/>
        <v>2</v>
      </c>
      <c r="H2106" s="137"/>
      <c r="I2106" s="137"/>
      <c r="J2106" s="135"/>
      <c r="K2106" s="135"/>
      <c r="L2106" s="135"/>
      <c r="M2106" s="135"/>
      <c r="N2106" s="135"/>
      <c r="O2106" s="135"/>
      <c r="P2106" s="135"/>
      <c r="Q2106" s="135"/>
      <c r="R2106" s="135"/>
      <c r="S2106" s="135"/>
      <c r="T2106" s="135"/>
      <c r="U2106" s="135"/>
      <c r="V2106" s="135"/>
      <c r="W2106" s="135"/>
      <c r="X2106" s="135"/>
      <c r="Y2106" s="135"/>
      <c r="Z2106" s="135"/>
    </row>
    <row r="2107" spans="1:26" ht="12.75">
      <c r="A2107" s="136" t="s">
        <v>19</v>
      </c>
      <c r="B2107" s="136" t="s">
        <v>220</v>
      </c>
      <c r="C2107" s="136" t="s">
        <v>257</v>
      </c>
      <c r="D2107" s="136" t="s">
        <v>98</v>
      </c>
      <c r="E2107" s="136" t="s">
        <v>615</v>
      </c>
      <c r="F2107" s="136">
        <v>266</v>
      </c>
      <c r="G2107" s="137">
        <f t="shared" si="8"/>
        <v>3</v>
      </c>
      <c r="H2107" s="137"/>
      <c r="I2107" s="137"/>
      <c r="J2107" s="135"/>
      <c r="K2107" s="135"/>
      <c r="L2107" s="135"/>
      <c r="M2107" s="135"/>
      <c r="N2107" s="135"/>
      <c r="O2107" s="135"/>
      <c r="P2107" s="135"/>
      <c r="Q2107" s="135"/>
      <c r="R2107" s="135"/>
      <c r="S2107" s="135"/>
      <c r="T2107" s="135"/>
      <c r="U2107" s="135"/>
      <c r="V2107" s="135"/>
      <c r="W2107" s="135"/>
      <c r="X2107" s="135"/>
      <c r="Y2107" s="135"/>
      <c r="Z2107" s="135"/>
    </row>
    <row r="2108" spans="1:26" ht="12.75">
      <c r="A2108" s="136" t="s">
        <v>19</v>
      </c>
      <c r="B2108" s="136" t="s">
        <v>220</v>
      </c>
      <c r="C2108" s="136" t="s">
        <v>257</v>
      </c>
      <c r="D2108" s="136" t="s">
        <v>136</v>
      </c>
      <c r="E2108" s="136" t="s">
        <v>615</v>
      </c>
      <c r="F2108" s="136">
        <v>148</v>
      </c>
      <c r="G2108" s="137">
        <f t="shared" si="8"/>
        <v>4</v>
      </c>
      <c r="H2108" s="137"/>
      <c r="I2108" s="137"/>
      <c r="J2108" s="135"/>
      <c r="K2108" s="135"/>
      <c r="L2108" s="135"/>
      <c r="M2108" s="135"/>
      <c r="N2108" s="135"/>
      <c r="O2108" s="135"/>
      <c r="P2108" s="135"/>
      <c r="Q2108" s="135"/>
      <c r="R2108" s="135"/>
      <c r="S2108" s="135"/>
      <c r="T2108" s="135"/>
      <c r="U2108" s="135"/>
      <c r="V2108" s="135"/>
      <c r="W2108" s="135"/>
      <c r="X2108" s="135"/>
      <c r="Y2108" s="135"/>
      <c r="Z2108" s="135"/>
    </row>
    <row r="2109" spans="1:26" ht="12.75">
      <c r="A2109" s="136" t="s">
        <v>19</v>
      </c>
      <c r="B2109" s="136" t="s">
        <v>220</v>
      </c>
      <c r="C2109" s="136" t="s">
        <v>257</v>
      </c>
      <c r="D2109" s="136" t="s">
        <v>1665</v>
      </c>
      <c r="E2109" s="136" t="s">
        <v>615</v>
      </c>
      <c r="F2109" s="136">
        <v>132</v>
      </c>
      <c r="G2109" s="137">
        <f t="shared" si="8"/>
        <v>5</v>
      </c>
      <c r="H2109" s="137"/>
      <c r="I2109" s="137"/>
      <c r="J2109" s="135"/>
      <c r="K2109" s="135"/>
      <c r="L2109" s="135"/>
      <c r="M2109" s="135"/>
      <c r="N2109" s="135"/>
      <c r="O2109" s="135"/>
      <c r="P2109" s="135"/>
      <c r="Q2109" s="135"/>
      <c r="R2109" s="135"/>
      <c r="S2109" s="135"/>
      <c r="T2109" s="135"/>
      <c r="U2109" s="135"/>
      <c r="V2109" s="135"/>
      <c r="W2109" s="135"/>
      <c r="X2109" s="135"/>
      <c r="Y2109" s="135"/>
      <c r="Z2109" s="135"/>
    </row>
    <row r="2110" spans="1:26" ht="12.75">
      <c r="A2110" s="136" t="s">
        <v>19</v>
      </c>
      <c r="B2110" s="136" t="s">
        <v>220</v>
      </c>
      <c r="C2110" s="136" t="s">
        <v>257</v>
      </c>
      <c r="D2110" s="136" t="s">
        <v>7620</v>
      </c>
      <c r="E2110" s="136" t="s">
        <v>615</v>
      </c>
      <c r="F2110" s="136">
        <v>104</v>
      </c>
      <c r="G2110" s="137">
        <f t="shared" si="8"/>
        <v>6</v>
      </c>
      <c r="H2110" s="137"/>
      <c r="I2110" s="137"/>
      <c r="J2110" s="135"/>
      <c r="K2110" s="135"/>
      <c r="L2110" s="135"/>
      <c r="M2110" s="135"/>
      <c r="N2110" s="135"/>
      <c r="O2110" s="135"/>
      <c r="P2110" s="135"/>
      <c r="Q2110" s="135"/>
      <c r="R2110" s="135"/>
      <c r="S2110" s="135"/>
      <c r="T2110" s="135"/>
      <c r="U2110" s="135"/>
      <c r="V2110" s="135"/>
      <c r="W2110" s="135"/>
      <c r="X2110" s="135"/>
      <c r="Y2110" s="135"/>
      <c r="Z2110" s="135"/>
    </row>
    <row r="2111" spans="1:26" ht="12.75">
      <c r="A2111" s="136" t="s">
        <v>19</v>
      </c>
      <c r="B2111" s="136" t="s">
        <v>220</v>
      </c>
      <c r="C2111" s="136" t="s">
        <v>257</v>
      </c>
      <c r="D2111" s="136" t="s">
        <v>7491</v>
      </c>
      <c r="E2111" s="136" t="s">
        <v>615</v>
      </c>
      <c r="F2111" s="136">
        <v>50</v>
      </c>
      <c r="G2111" s="137">
        <f t="shared" si="8"/>
        <v>8</v>
      </c>
      <c r="H2111" s="137"/>
      <c r="I2111" s="137"/>
      <c r="J2111" s="135"/>
      <c r="K2111" s="135"/>
      <c r="L2111" s="135"/>
      <c r="M2111" s="135"/>
      <c r="N2111" s="135"/>
      <c r="O2111" s="135"/>
      <c r="P2111" s="135"/>
      <c r="Q2111" s="135"/>
      <c r="R2111" s="135"/>
      <c r="S2111" s="135"/>
      <c r="T2111" s="135"/>
      <c r="U2111" s="135"/>
      <c r="V2111" s="135"/>
      <c r="W2111" s="135"/>
      <c r="X2111" s="135"/>
      <c r="Y2111" s="135"/>
      <c r="Z2111" s="135"/>
    </row>
    <row r="2112" spans="1:26" ht="12.75">
      <c r="A2112" s="136" t="s">
        <v>19</v>
      </c>
      <c r="B2112" s="136" t="s">
        <v>220</v>
      </c>
      <c r="C2112" s="136" t="s">
        <v>257</v>
      </c>
      <c r="D2112" s="136" t="s">
        <v>433</v>
      </c>
      <c r="E2112" s="136" t="s">
        <v>594</v>
      </c>
      <c r="F2112" s="136">
        <v>48</v>
      </c>
      <c r="G2112" s="137">
        <f t="shared" si="8"/>
        <v>9</v>
      </c>
      <c r="H2112" s="137"/>
      <c r="I2112" s="137"/>
      <c r="J2112" s="135"/>
      <c r="K2112" s="135"/>
      <c r="L2112" s="135"/>
      <c r="M2112" s="135"/>
      <c r="N2112" s="135"/>
      <c r="O2112" s="135"/>
      <c r="P2112" s="135"/>
      <c r="Q2112" s="135"/>
      <c r="R2112" s="135"/>
      <c r="S2112" s="135"/>
      <c r="T2112" s="135"/>
      <c r="U2112" s="135"/>
      <c r="V2112" s="135"/>
      <c r="W2112" s="135"/>
      <c r="X2112" s="135"/>
      <c r="Y2112" s="135"/>
      <c r="Z2112" s="135"/>
    </row>
    <row r="2113" spans="1:26" ht="12.75">
      <c r="A2113" s="136" t="s">
        <v>19</v>
      </c>
      <c r="B2113" s="136" t="s">
        <v>220</v>
      </c>
      <c r="C2113" s="136" t="s">
        <v>257</v>
      </c>
      <c r="D2113" s="136" t="s">
        <v>467</v>
      </c>
      <c r="E2113" s="136" t="s">
        <v>85</v>
      </c>
      <c r="F2113" s="136">
        <v>61</v>
      </c>
      <c r="G2113" s="137">
        <f t="shared" si="8"/>
        <v>7</v>
      </c>
      <c r="H2113" s="137"/>
      <c r="I2113" s="137"/>
      <c r="J2113" s="135"/>
      <c r="K2113" s="135"/>
      <c r="L2113" s="135"/>
      <c r="M2113" s="135"/>
      <c r="N2113" s="135"/>
      <c r="O2113" s="135"/>
      <c r="P2113" s="135"/>
      <c r="Q2113" s="135"/>
      <c r="R2113" s="135"/>
      <c r="S2113" s="135"/>
      <c r="T2113" s="135"/>
      <c r="U2113" s="135"/>
      <c r="V2113" s="135"/>
      <c r="W2113" s="135"/>
      <c r="X2113" s="135"/>
      <c r="Y2113" s="135"/>
      <c r="Z2113" s="135"/>
    </row>
    <row r="2114" spans="1:26" ht="12.75">
      <c r="A2114" s="136" t="s">
        <v>19</v>
      </c>
      <c r="B2114" s="136" t="s">
        <v>220</v>
      </c>
      <c r="C2114" s="136" t="s">
        <v>257</v>
      </c>
      <c r="D2114" s="136" t="s">
        <v>7534</v>
      </c>
      <c r="E2114" s="136" t="s">
        <v>594</v>
      </c>
      <c r="F2114" s="136">
        <v>39</v>
      </c>
      <c r="G2114" s="137">
        <f t="shared" si="8"/>
        <v>10</v>
      </c>
      <c r="H2114" s="137"/>
      <c r="I2114" s="137"/>
      <c r="J2114" s="135"/>
      <c r="K2114" s="135"/>
      <c r="L2114" s="135"/>
      <c r="M2114" s="135"/>
      <c r="N2114" s="135"/>
      <c r="O2114" s="135"/>
      <c r="P2114" s="135"/>
      <c r="Q2114" s="135"/>
      <c r="R2114" s="135"/>
      <c r="S2114" s="135"/>
      <c r="T2114" s="135"/>
      <c r="U2114" s="135"/>
      <c r="V2114" s="135"/>
      <c r="W2114" s="135"/>
      <c r="X2114" s="135"/>
      <c r="Y2114" s="135"/>
      <c r="Z2114" s="135"/>
    </row>
    <row r="2115" spans="1:26" ht="12.75">
      <c r="A2115" s="136" t="s">
        <v>19</v>
      </c>
      <c r="B2115" s="136" t="s">
        <v>220</v>
      </c>
      <c r="C2115" s="136" t="s">
        <v>257</v>
      </c>
      <c r="D2115" s="136" t="s">
        <v>7689</v>
      </c>
      <c r="E2115" s="136" t="s">
        <v>594</v>
      </c>
      <c r="F2115" s="136">
        <v>35</v>
      </c>
      <c r="G2115" s="137">
        <f t="shared" si="8"/>
        <v>11</v>
      </c>
      <c r="H2115" s="137"/>
      <c r="I2115" s="137"/>
      <c r="J2115" s="135"/>
      <c r="K2115" s="135"/>
      <c r="L2115" s="135"/>
      <c r="M2115" s="135"/>
      <c r="N2115" s="135"/>
      <c r="O2115" s="135"/>
      <c r="P2115" s="135"/>
      <c r="Q2115" s="135"/>
      <c r="R2115" s="135"/>
      <c r="S2115" s="135"/>
      <c r="T2115" s="135"/>
      <c r="U2115" s="135"/>
      <c r="V2115" s="135"/>
      <c r="W2115" s="135"/>
      <c r="X2115" s="135"/>
      <c r="Y2115" s="135"/>
      <c r="Z2115" s="135"/>
    </row>
    <row r="2116" spans="1:26" ht="12.75">
      <c r="A2116" s="136" t="s">
        <v>19</v>
      </c>
      <c r="B2116" s="136" t="s">
        <v>220</v>
      </c>
      <c r="C2116" s="136" t="s">
        <v>259</v>
      </c>
      <c r="D2116" s="136" t="s">
        <v>139</v>
      </c>
      <c r="E2116" s="136" t="s">
        <v>594</v>
      </c>
      <c r="F2116" s="136">
        <v>1297</v>
      </c>
      <c r="G2116" s="137">
        <f t="shared" si="8"/>
        <v>1</v>
      </c>
      <c r="H2116" s="137"/>
      <c r="I2116" s="137"/>
      <c r="J2116" s="135"/>
      <c r="K2116" s="135"/>
      <c r="L2116" s="135"/>
      <c r="M2116" s="135"/>
      <c r="N2116" s="135"/>
      <c r="O2116" s="135"/>
      <c r="P2116" s="135"/>
      <c r="Q2116" s="135"/>
      <c r="R2116" s="135"/>
      <c r="S2116" s="135"/>
      <c r="T2116" s="135"/>
      <c r="U2116" s="135"/>
      <c r="V2116" s="135"/>
      <c r="W2116" s="135"/>
      <c r="X2116" s="135"/>
      <c r="Y2116" s="135"/>
      <c r="Z2116" s="135"/>
    </row>
    <row r="2117" spans="1:26" ht="12.75">
      <c r="A2117" s="136" t="s">
        <v>19</v>
      </c>
      <c r="B2117" s="136" t="s">
        <v>220</v>
      </c>
      <c r="C2117" s="136" t="s">
        <v>259</v>
      </c>
      <c r="D2117" s="136" t="s">
        <v>7619</v>
      </c>
      <c r="E2117" s="136" t="s">
        <v>615</v>
      </c>
      <c r="F2117" s="136">
        <v>546</v>
      </c>
      <c r="G2117" s="137">
        <f t="shared" si="8"/>
        <v>2</v>
      </c>
      <c r="H2117" s="137"/>
      <c r="I2117" s="137"/>
      <c r="J2117" s="135"/>
      <c r="K2117" s="135"/>
      <c r="L2117" s="135"/>
      <c r="M2117" s="135"/>
      <c r="N2117" s="135"/>
      <c r="O2117" s="135"/>
      <c r="P2117" s="135"/>
      <c r="Q2117" s="135"/>
      <c r="R2117" s="135"/>
      <c r="S2117" s="135"/>
      <c r="T2117" s="135"/>
      <c r="U2117" s="135"/>
      <c r="V2117" s="135"/>
      <c r="W2117" s="135"/>
      <c r="X2117" s="135"/>
      <c r="Y2117" s="135"/>
      <c r="Z2117" s="135"/>
    </row>
    <row r="2118" spans="1:26" ht="12.75">
      <c r="A2118" s="136" t="s">
        <v>19</v>
      </c>
      <c r="B2118" s="136" t="s">
        <v>220</v>
      </c>
      <c r="C2118" s="136" t="s">
        <v>259</v>
      </c>
      <c r="D2118" s="136" t="s">
        <v>205</v>
      </c>
      <c r="E2118" s="136" t="s">
        <v>615</v>
      </c>
      <c r="F2118" s="136">
        <v>329</v>
      </c>
      <c r="G2118" s="137">
        <f t="shared" si="8"/>
        <v>3</v>
      </c>
      <c r="H2118" s="137"/>
      <c r="I2118" s="137"/>
      <c r="J2118" s="135"/>
      <c r="K2118" s="135"/>
      <c r="L2118" s="135"/>
      <c r="M2118" s="135"/>
      <c r="N2118" s="135"/>
      <c r="O2118" s="135"/>
      <c r="P2118" s="135"/>
      <c r="Q2118" s="135"/>
      <c r="R2118" s="135"/>
      <c r="S2118" s="135"/>
      <c r="T2118" s="135"/>
      <c r="U2118" s="135"/>
      <c r="V2118" s="135"/>
      <c r="W2118" s="135"/>
      <c r="X2118" s="135"/>
      <c r="Y2118" s="135"/>
      <c r="Z2118" s="135"/>
    </row>
    <row r="2119" spans="1:26" ht="12.75">
      <c r="A2119" s="136" t="s">
        <v>19</v>
      </c>
      <c r="B2119" s="136" t="s">
        <v>220</v>
      </c>
      <c r="C2119" s="136" t="s">
        <v>259</v>
      </c>
      <c r="D2119" s="136" t="s">
        <v>114</v>
      </c>
      <c r="E2119" s="136" t="s">
        <v>85</v>
      </c>
      <c r="F2119" s="136">
        <v>301</v>
      </c>
      <c r="G2119" s="137">
        <f t="shared" si="8"/>
        <v>4</v>
      </c>
      <c r="H2119" s="137"/>
      <c r="I2119" s="137"/>
      <c r="J2119" s="135"/>
      <c r="K2119" s="135"/>
      <c r="L2119" s="135"/>
      <c r="M2119" s="135"/>
      <c r="N2119" s="135"/>
      <c r="O2119" s="135"/>
      <c r="P2119" s="135"/>
      <c r="Q2119" s="135"/>
      <c r="R2119" s="135"/>
      <c r="S2119" s="135"/>
      <c r="T2119" s="135"/>
      <c r="U2119" s="135"/>
      <c r="V2119" s="135"/>
      <c r="W2119" s="135"/>
      <c r="X2119" s="135"/>
      <c r="Y2119" s="135"/>
      <c r="Z2119" s="135"/>
    </row>
    <row r="2120" spans="1:26" ht="12.75">
      <c r="A2120" s="136" t="s">
        <v>19</v>
      </c>
      <c r="B2120" s="136" t="s">
        <v>220</v>
      </c>
      <c r="C2120" s="136" t="s">
        <v>259</v>
      </c>
      <c r="D2120" s="136" t="s">
        <v>1669</v>
      </c>
      <c r="E2120" s="136" t="s">
        <v>615</v>
      </c>
      <c r="F2120" s="136">
        <v>180</v>
      </c>
      <c r="G2120" s="137">
        <f t="shared" si="8"/>
        <v>5</v>
      </c>
      <c r="H2120" s="137"/>
      <c r="I2120" s="137"/>
      <c r="J2120" s="135"/>
      <c r="K2120" s="135"/>
      <c r="L2120" s="135"/>
      <c r="M2120" s="135"/>
      <c r="N2120" s="135"/>
      <c r="O2120" s="135"/>
      <c r="P2120" s="135"/>
      <c r="Q2120" s="135"/>
      <c r="R2120" s="135"/>
      <c r="S2120" s="135"/>
      <c r="T2120" s="135"/>
      <c r="U2120" s="135"/>
      <c r="V2120" s="135"/>
      <c r="W2120" s="135"/>
      <c r="X2120" s="135"/>
      <c r="Y2120" s="135"/>
      <c r="Z2120" s="135"/>
    </row>
    <row r="2121" spans="1:26" ht="12.75">
      <c r="A2121" s="136" t="s">
        <v>19</v>
      </c>
      <c r="B2121" s="136" t="s">
        <v>220</v>
      </c>
      <c r="C2121" s="136" t="s">
        <v>259</v>
      </c>
      <c r="D2121" s="136" t="s">
        <v>7615</v>
      </c>
      <c r="E2121" s="136" t="s">
        <v>7615</v>
      </c>
      <c r="F2121" s="136">
        <v>158</v>
      </c>
      <c r="G2121" s="137">
        <f t="shared" si="8"/>
        <v>6</v>
      </c>
      <c r="H2121" s="137"/>
      <c r="I2121" s="137"/>
      <c r="J2121" s="135"/>
      <c r="K2121" s="135"/>
      <c r="L2121" s="135"/>
      <c r="M2121" s="135"/>
      <c r="N2121" s="135"/>
      <c r="O2121" s="135"/>
      <c r="P2121" s="135"/>
      <c r="Q2121" s="135"/>
      <c r="R2121" s="135"/>
      <c r="S2121" s="135"/>
      <c r="T2121" s="135"/>
      <c r="U2121" s="135"/>
      <c r="V2121" s="135"/>
      <c r="W2121" s="135"/>
      <c r="X2121" s="135"/>
      <c r="Y2121" s="135"/>
      <c r="Z2121" s="135"/>
    </row>
    <row r="2122" spans="1:26" ht="12.75">
      <c r="A2122" s="136" t="s">
        <v>19</v>
      </c>
      <c r="B2122" s="136" t="s">
        <v>220</v>
      </c>
      <c r="C2122" s="136" t="s">
        <v>259</v>
      </c>
      <c r="D2122" s="136" t="s">
        <v>7614</v>
      </c>
      <c r="E2122" s="136" t="s">
        <v>7614</v>
      </c>
      <c r="F2122" s="136">
        <v>107</v>
      </c>
      <c r="G2122" s="137">
        <f t="shared" si="8"/>
        <v>7</v>
      </c>
      <c r="H2122" s="137"/>
      <c r="I2122" s="137"/>
      <c r="J2122" s="135"/>
      <c r="K2122" s="135"/>
      <c r="L2122" s="135"/>
      <c r="M2122" s="135"/>
      <c r="N2122" s="135"/>
      <c r="O2122" s="135"/>
      <c r="P2122" s="135"/>
      <c r="Q2122" s="135"/>
      <c r="R2122" s="135"/>
      <c r="S2122" s="135"/>
      <c r="T2122" s="135"/>
      <c r="U2122" s="135"/>
      <c r="V2122" s="135"/>
      <c r="W2122" s="135"/>
      <c r="X2122" s="135"/>
      <c r="Y2122" s="135"/>
      <c r="Z2122" s="135"/>
    </row>
    <row r="2123" spans="1:26" ht="12.75">
      <c r="A2123" s="136" t="s">
        <v>19</v>
      </c>
      <c r="B2123" s="136" t="s">
        <v>220</v>
      </c>
      <c r="C2123" s="136" t="s">
        <v>259</v>
      </c>
      <c r="D2123" s="136" t="s">
        <v>467</v>
      </c>
      <c r="E2123" s="136" t="s">
        <v>85</v>
      </c>
      <c r="F2123" s="136">
        <v>56</v>
      </c>
      <c r="G2123" s="137">
        <f t="shared" si="8"/>
        <v>8</v>
      </c>
      <c r="H2123" s="137"/>
      <c r="I2123" s="137"/>
      <c r="J2123" s="135"/>
      <c r="K2123" s="135"/>
      <c r="L2123" s="135"/>
      <c r="M2123" s="135"/>
      <c r="N2123" s="135"/>
      <c r="O2123" s="135"/>
      <c r="P2123" s="135"/>
      <c r="Q2123" s="135"/>
      <c r="R2123" s="135"/>
      <c r="S2123" s="135"/>
      <c r="T2123" s="135"/>
      <c r="U2123" s="135"/>
      <c r="V2123" s="135"/>
      <c r="W2123" s="135"/>
      <c r="X2123" s="135"/>
      <c r="Y2123" s="135"/>
      <c r="Z2123" s="135"/>
    </row>
    <row r="2124" spans="1:26" ht="12.75">
      <c r="A2124" s="136" t="s">
        <v>19</v>
      </c>
      <c r="B2124" s="136" t="s">
        <v>220</v>
      </c>
      <c r="C2124" s="136" t="s">
        <v>259</v>
      </c>
      <c r="D2124" s="136" t="s">
        <v>86</v>
      </c>
      <c r="E2124" s="136" t="s">
        <v>86</v>
      </c>
      <c r="F2124" s="136">
        <v>8</v>
      </c>
      <c r="G2124" s="137">
        <f t="shared" si="8"/>
        <v>9</v>
      </c>
      <c r="H2124" s="137"/>
      <c r="I2124" s="137"/>
      <c r="J2124" s="135"/>
      <c r="K2124" s="135"/>
      <c r="L2124" s="135"/>
      <c r="M2124" s="135"/>
      <c r="N2124" s="135"/>
      <c r="O2124" s="135"/>
      <c r="P2124" s="135"/>
      <c r="Q2124" s="135"/>
      <c r="R2124" s="135"/>
      <c r="S2124" s="135"/>
      <c r="T2124" s="135"/>
      <c r="U2124" s="135"/>
      <c r="V2124" s="135"/>
      <c r="W2124" s="135"/>
      <c r="X2124" s="135"/>
      <c r="Y2124" s="135"/>
      <c r="Z2124" s="135"/>
    </row>
    <row r="2125" spans="1:26" ht="12.75">
      <c r="A2125" s="136" t="s">
        <v>15</v>
      </c>
      <c r="B2125" s="136" t="s">
        <v>7690</v>
      </c>
      <c r="C2125" s="136" t="s">
        <v>7691</v>
      </c>
      <c r="D2125" s="136" t="s">
        <v>139</v>
      </c>
      <c r="E2125" s="136" t="s">
        <v>594</v>
      </c>
      <c r="F2125" s="136">
        <v>1319</v>
      </c>
      <c r="G2125" s="137">
        <f t="shared" si="8"/>
        <v>2</v>
      </c>
      <c r="H2125" s="137"/>
      <c r="I2125" s="137"/>
      <c r="J2125" s="135"/>
      <c r="K2125" s="135"/>
      <c r="L2125" s="135"/>
      <c r="M2125" s="135"/>
      <c r="N2125" s="135"/>
      <c r="O2125" s="135"/>
      <c r="P2125" s="135"/>
      <c r="Q2125" s="135"/>
      <c r="R2125" s="135"/>
      <c r="S2125" s="135"/>
      <c r="T2125" s="135"/>
      <c r="U2125" s="135"/>
      <c r="V2125" s="135"/>
      <c r="W2125" s="135"/>
      <c r="X2125" s="135"/>
      <c r="Y2125" s="135"/>
      <c r="Z2125" s="135"/>
    </row>
    <row r="2126" spans="1:26" ht="12.75">
      <c r="A2126" s="136" t="s">
        <v>15</v>
      </c>
      <c r="B2126" s="136" t="s">
        <v>7690</v>
      </c>
      <c r="C2126" s="136" t="s">
        <v>7691</v>
      </c>
      <c r="D2126" s="136" t="s">
        <v>114</v>
      </c>
      <c r="E2126" s="136" t="s">
        <v>85</v>
      </c>
      <c r="F2126" s="136">
        <v>625</v>
      </c>
      <c r="G2126" s="137">
        <f t="shared" si="8"/>
        <v>3</v>
      </c>
      <c r="H2126" s="137"/>
      <c r="I2126" s="137"/>
      <c r="J2126" s="135"/>
      <c r="K2126" s="135"/>
      <c r="L2126" s="135"/>
      <c r="M2126" s="135"/>
      <c r="N2126" s="135"/>
      <c r="O2126" s="135"/>
      <c r="P2126" s="135"/>
      <c r="Q2126" s="135"/>
      <c r="R2126" s="135"/>
      <c r="S2126" s="135"/>
      <c r="T2126" s="135"/>
      <c r="U2126" s="135"/>
      <c r="V2126" s="135"/>
      <c r="W2126" s="135"/>
      <c r="X2126" s="135"/>
      <c r="Y2126" s="135"/>
      <c r="Z2126" s="135"/>
    </row>
    <row r="2127" spans="1:26" ht="12.75">
      <c r="A2127" s="136" t="s">
        <v>15</v>
      </c>
      <c r="B2127" s="136" t="s">
        <v>7690</v>
      </c>
      <c r="C2127" s="136" t="s">
        <v>7691</v>
      </c>
      <c r="D2127" s="136" t="s">
        <v>467</v>
      </c>
      <c r="E2127" s="136" t="s">
        <v>85</v>
      </c>
      <c r="F2127" s="136">
        <v>284</v>
      </c>
      <c r="G2127" s="137">
        <f t="shared" si="8"/>
        <v>4</v>
      </c>
      <c r="H2127" s="137"/>
      <c r="I2127" s="137"/>
      <c r="J2127" s="135"/>
      <c r="K2127" s="135"/>
      <c r="L2127" s="135"/>
      <c r="M2127" s="135"/>
      <c r="N2127" s="135"/>
      <c r="O2127" s="135"/>
      <c r="P2127" s="135"/>
      <c r="Q2127" s="135"/>
      <c r="R2127" s="135"/>
      <c r="S2127" s="135"/>
      <c r="T2127" s="135"/>
      <c r="U2127" s="135"/>
      <c r="V2127" s="135"/>
      <c r="W2127" s="135"/>
      <c r="X2127" s="135"/>
      <c r="Y2127" s="135"/>
      <c r="Z2127" s="135"/>
    </row>
    <row r="2128" spans="1:26" ht="12.75">
      <c r="A2128" s="136" t="s">
        <v>15</v>
      </c>
      <c r="B2128" s="136" t="s">
        <v>7690</v>
      </c>
      <c r="C2128" s="136" t="s">
        <v>7691</v>
      </c>
      <c r="D2128" s="136" t="s">
        <v>7692</v>
      </c>
      <c r="E2128" s="136" t="s">
        <v>615</v>
      </c>
      <c r="F2128" s="136">
        <v>166</v>
      </c>
      <c r="G2128" s="137">
        <f t="shared" si="8"/>
        <v>5</v>
      </c>
      <c r="H2128" s="137"/>
      <c r="I2128" s="137"/>
      <c r="J2128" s="135"/>
      <c r="K2128" s="135"/>
      <c r="L2128" s="135"/>
      <c r="M2128" s="135"/>
      <c r="N2128" s="135"/>
      <c r="O2128" s="135"/>
      <c r="P2128" s="135"/>
      <c r="Q2128" s="135"/>
      <c r="R2128" s="135"/>
      <c r="S2128" s="135"/>
      <c r="T2128" s="135"/>
      <c r="U2128" s="135"/>
      <c r="V2128" s="135"/>
      <c r="W2128" s="135"/>
      <c r="X2128" s="135"/>
      <c r="Y2128" s="135"/>
      <c r="Z2128" s="135"/>
    </row>
    <row r="2129" spans="1:26" ht="12.75">
      <c r="A2129" s="136" t="s">
        <v>15</v>
      </c>
      <c r="B2129" s="136" t="s">
        <v>7690</v>
      </c>
      <c r="C2129" s="136" t="s">
        <v>7691</v>
      </c>
      <c r="D2129" s="136" t="s">
        <v>1669</v>
      </c>
      <c r="E2129" s="136" t="s">
        <v>615</v>
      </c>
      <c r="F2129" s="136">
        <v>116</v>
      </c>
      <c r="G2129" s="137">
        <f t="shared" si="8"/>
        <v>6</v>
      </c>
      <c r="H2129" s="137"/>
      <c r="I2129" s="137"/>
      <c r="J2129" s="135"/>
      <c r="K2129" s="135"/>
      <c r="L2129" s="135"/>
      <c r="M2129" s="135"/>
      <c r="N2129" s="135"/>
      <c r="O2129" s="135"/>
      <c r="P2129" s="135"/>
      <c r="Q2129" s="135"/>
      <c r="R2129" s="135"/>
      <c r="S2129" s="135"/>
      <c r="T2129" s="135"/>
      <c r="U2129" s="135"/>
      <c r="V2129" s="135"/>
      <c r="W2129" s="135"/>
      <c r="X2129" s="135"/>
      <c r="Y2129" s="135"/>
      <c r="Z2129" s="135"/>
    </row>
    <row r="2130" spans="1:26" ht="25.5">
      <c r="A2130" s="136" t="s">
        <v>15</v>
      </c>
      <c r="B2130" s="136" t="s">
        <v>7690</v>
      </c>
      <c r="C2130" s="136" t="s">
        <v>7691</v>
      </c>
      <c r="D2130" s="136" t="s">
        <v>1680</v>
      </c>
      <c r="E2130" s="136" t="s">
        <v>615</v>
      </c>
      <c r="F2130" s="136">
        <v>71</v>
      </c>
      <c r="G2130" s="137">
        <f t="shared" si="8"/>
        <v>7</v>
      </c>
      <c r="H2130" s="137"/>
      <c r="I2130" s="137"/>
      <c r="J2130" s="135"/>
      <c r="K2130" s="135"/>
      <c r="L2130" s="135"/>
      <c r="M2130" s="135"/>
      <c r="N2130" s="135"/>
      <c r="O2130" s="135"/>
      <c r="P2130" s="135"/>
      <c r="Q2130" s="135"/>
      <c r="R2130" s="135"/>
      <c r="S2130" s="135"/>
      <c r="T2130" s="135"/>
      <c r="U2130" s="135"/>
      <c r="V2130" s="135"/>
      <c r="W2130" s="135"/>
      <c r="X2130" s="135"/>
      <c r="Y2130" s="135"/>
      <c r="Z2130" s="135"/>
    </row>
    <row r="2131" spans="1:26" ht="12.75">
      <c r="A2131" s="136" t="s">
        <v>15</v>
      </c>
      <c r="B2131" s="136" t="s">
        <v>7690</v>
      </c>
      <c r="C2131" s="136" t="s">
        <v>7691</v>
      </c>
      <c r="D2131" s="136" t="s">
        <v>7491</v>
      </c>
      <c r="E2131" s="136" t="s">
        <v>615</v>
      </c>
      <c r="F2131" s="136">
        <v>40</v>
      </c>
      <c r="G2131" s="137">
        <f t="shared" si="8"/>
        <v>8</v>
      </c>
      <c r="H2131" s="137"/>
      <c r="I2131" s="137"/>
      <c r="J2131" s="135"/>
      <c r="K2131" s="135"/>
      <c r="L2131" s="135"/>
      <c r="M2131" s="135"/>
      <c r="N2131" s="135"/>
      <c r="O2131" s="135"/>
      <c r="P2131" s="135"/>
      <c r="Q2131" s="135"/>
      <c r="R2131" s="135"/>
      <c r="S2131" s="135"/>
      <c r="T2131" s="135"/>
      <c r="U2131" s="135"/>
      <c r="V2131" s="135"/>
      <c r="W2131" s="135"/>
      <c r="X2131" s="135"/>
      <c r="Y2131" s="135"/>
      <c r="Z2131" s="135"/>
    </row>
    <row r="2132" spans="1:26" ht="12.75">
      <c r="A2132" s="136" t="s">
        <v>15</v>
      </c>
      <c r="B2132" s="136" t="s">
        <v>7690</v>
      </c>
      <c r="C2132" s="136" t="s">
        <v>7691</v>
      </c>
      <c r="D2132" s="136" t="s">
        <v>1665</v>
      </c>
      <c r="E2132" s="136" t="s">
        <v>615</v>
      </c>
      <c r="F2132" s="136">
        <v>25</v>
      </c>
      <c r="G2132" s="137">
        <f t="shared" si="8"/>
        <v>9</v>
      </c>
      <c r="H2132" s="137"/>
      <c r="I2132" s="137"/>
      <c r="J2132" s="135"/>
      <c r="K2132" s="135"/>
      <c r="L2132" s="135"/>
      <c r="M2132" s="135"/>
      <c r="N2132" s="135"/>
      <c r="O2132" s="135"/>
      <c r="P2132" s="135"/>
      <c r="Q2132" s="135"/>
      <c r="R2132" s="135"/>
      <c r="S2132" s="135"/>
      <c r="T2132" s="135"/>
      <c r="U2132" s="135"/>
      <c r="V2132" s="135"/>
      <c r="W2132" s="135"/>
      <c r="X2132" s="135"/>
      <c r="Y2132" s="135"/>
      <c r="Z2132" s="135"/>
    </row>
    <row r="2133" spans="1:26" ht="12.75">
      <c r="A2133" s="136" t="s">
        <v>15</v>
      </c>
      <c r="B2133" s="136" t="s">
        <v>7690</v>
      </c>
      <c r="C2133" s="136" t="s">
        <v>7691</v>
      </c>
      <c r="D2133" s="136"/>
      <c r="E2133" s="136" t="s">
        <v>7693</v>
      </c>
      <c r="F2133" s="136">
        <v>2646</v>
      </c>
      <c r="G2133" s="137">
        <f t="shared" si="8"/>
        <v>1</v>
      </c>
      <c r="H2133" s="137"/>
      <c r="I2133" s="137"/>
      <c r="J2133" s="135"/>
      <c r="K2133" s="135"/>
      <c r="L2133" s="135"/>
      <c r="M2133" s="135"/>
      <c r="N2133" s="135"/>
      <c r="O2133" s="135"/>
      <c r="P2133" s="135"/>
      <c r="Q2133" s="135"/>
      <c r="R2133" s="135"/>
      <c r="S2133" s="135"/>
      <c r="T2133" s="135"/>
      <c r="U2133" s="135"/>
      <c r="V2133" s="135"/>
      <c r="W2133" s="135"/>
      <c r="X2133" s="135"/>
      <c r="Y2133" s="135"/>
      <c r="Z2133" s="135"/>
    </row>
    <row r="2134" spans="1:26" ht="12.75">
      <c r="A2134" s="136" t="s">
        <v>15</v>
      </c>
      <c r="B2134" s="136" t="s">
        <v>7690</v>
      </c>
      <c r="C2134" s="136" t="s">
        <v>7694</v>
      </c>
      <c r="D2134" s="136" t="s">
        <v>139</v>
      </c>
      <c r="E2134" s="136" t="s">
        <v>594</v>
      </c>
      <c r="F2134" s="136">
        <v>1460</v>
      </c>
      <c r="G2134" s="137">
        <f t="shared" si="8"/>
        <v>2</v>
      </c>
      <c r="H2134" s="137"/>
      <c r="I2134" s="137"/>
      <c r="J2134" s="135"/>
      <c r="K2134" s="135"/>
      <c r="L2134" s="135"/>
      <c r="M2134" s="135"/>
      <c r="N2134" s="135"/>
      <c r="O2134" s="135"/>
      <c r="P2134" s="135"/>
      <c r="Q2134" s="135"/>
      <c r="R2134" s="135"/>
      <c r="S2134" s="135"/>
      <c r="T2134" s="135"/>
      <c r="U2134" s="135"/>
      <c r="V2134" s="135"/>
      <c r="W2134" s="135"/>
      <c r="X2134" s="135"/>
      <c r="Y2134" s="135"/>
      <c r="Z2134" s="135"/>
    </row>
    <row r="2135" spans="1:26" ht="12.75">
      <c r="A2135" s="136" t="s">
        <v>15</v>
      </c>
      <c r="B2135" s="136" t="s">
        <v>7690</v>
      </c>
      <c r="C2135" s="136" t="s">
        <v>7694</v>
      </c>
      <c r="D2135" s="136" t="s">
        <v>1669</v>
      </c>
      <c r="E2135" s="136" t="s">
        <v>615</v>
      </c>
      <c r="F2135" s="136">
        <v>86</v>
      </c>
      <c r="G2135" s="137">
        <f t="shared" si="8"/>
        <v>3</v>
      </c>
      <c r="H2135" s="137"/>
      <c r="I2135" s="137"/>
      <c r="J2135" s="135"/>
      <c r="K2135" s="135"/>
      <c r="L2135" s="135"/>
      <c r="M2135" s="135"/>
      <c r="N2135" s="135"/>
      <c r="O2135" s="135"/>
      <c r="P2135" s="135"/>
      <c r="Q2135" s="135"/>
      <c r="R2135" s="135"/>
      <c r="S2135" s="135"/>
      <c r="T2135" s="135"/>
      <c r="U2135" s="135"/>
      <c r="V2135" s="135"/>
      <c r="W2135" s="135"/>
      <c r="X2135" s="135"/>
      <c r="Y2135" s="135"/>
      <c r="Z2135" s="135"/>
    </row>
    <row r="2136" spans="1:26" ht="12.75">
      <c r="A2136" s="136" t="s">
        <v>15</v>
      </c>
      <c r="B2136" s="136" t="s">
        <v>7690</v>
      </c>
      <c r="C2136" s="136" t="s">
        <v>7694</v>
      </c>
      <c r="D2136" s="136" t="s">
        <v>103</v>
      </c>
      <c r="E2136" s="136" t="s">
        <v>594</v>
      </c>
      <c r="F2136" s="136">
        <v>83</v>
      </c>
      <c r="G2136" s="137">
        <f t="shared" si="8"/>
        <v>4</v>
      </c>
      <c r="H2136" s="137"/>
      <c r="I2136" s="137"/>
      <c r="J2136" s="135"/>
      <c r="K2136" s="135"/>
      <c r="L2136" s="135"/>
      <c r="M2136" s="135"/>
      <c r="N2136" s="135"/>
      <c r="O2136" s="135"/>
      <c r="P2136" s="135"/>
      <c r="Q2136" s="135"/>
      <c r="R2136" s="135"/>
      <c r="S2136" s="135"/>
      <c r="T2136" s="135"/>
      <c r="U2136" s="135"/>
      <c r="V2136" s="135"/>
      <c r="W2136" s="135"/>
      <c r="X2136" s="135"/>
      <c r="Y2136" s="135"/>
      <c r="Z2136" s="135"/>
    </row>
    <row r="2137" spans="1:26" ht="12.75">
      <c r="A2137" s="136" t="s">
        <v>15</v>
      </c>
      <c r="B2137" s="136" t="s">
        <v>7690</v>
      </c>
      <c r="C2137" s="136" t="s">
        <v>7694</v>
      </c>
      <c r="D2137" s="136" t="s">
        <v>7491</v>
      </c>
      <c r="E2137" s="136" t="s">
        <v>615</v>
      </c>
      <c r="F2137" s="136">
        <v>53</v>
      </c>
      <c r="G2137" s="137">
        <f t="shared" si="8"/>
        <v>5</v>
      </c>
      <c r="H2137" s="137"/>
      <c r="I2137" s="137"/>
      <c r="J2137" s="135"/>
      <c r="K2137" s="135"/>
      <c r="L2137" s="135"/>
      <c r="M2137" s="135"/>
      <c r="N2137" s="135"/>
      <c r="O2137" s="135"/>
      <c r="P2137" s="135"/>
      <c r="Q2137" s="135"/>
      <c r="R2137" s="135"/>
      <c r="S2137" s="135"/>
      <c r="T2137" s="135"/>
      <c r="U2137" s="135"/>
      <c r="V2137" s="135"/>
      <c r="W2137" s="135"/>
      <c r="X2137" s="135"/>
      <c r="Y2137" s="135"/>
      <c r="Z2137" s="135"/>
    </row>
    <row r="2138" spans="1:26" ht="12.75">
      <c r="A2138" s="136" t="s">
        <v>15</v>
      </c>
      <c r="B2138" s="136" t="s">
        <v>7690</v>
      </c>
      <c r="C2138" s="136" t="s">
        <v>7694</v>
      </c>
      <c r="D2138" s="136" t="s">
        <v>1614</v>
      </c>
      <c r="E2138" s="136" t="s">
        <v>615</v>
      </c>
      <c r="F2138" s="136">
        <v>51</v>
      </c>
      <c r="G2138" s="137">
        <f t="shared" si="8"/>
        <v>6</v>
      </c>
      <c r="H2138" s="137"/>
      <c r="I2138" s="137"/>
      <c r="J2138" s="135"/>
      <c r="K2138" s="135"/>
      <c r="L2138" s="135"/>
      <c r="M2138" s="135"/>
      <c r="N2138" s="135"/>
      <c r="O2138" s="135"/>
      <c r="P2138" s="135"/>
      <c r="Q2138" s="135"/>
      <c r="R2138" s="135"/>
      <c r="S2138" s="135"/>
      <c r="T2138" s="135"/>
      <c r="U2138" s="135"/>
      <c r="V2138" s="135"/>
      <c r="W2138" s="135"/>
      <c r="X2138" s="135"/>
      <c r="Y2138" s="135"/>
      <c r="Z2138" s="135"/>
    </row>
    <row r="2139" spans="1:26" ht="12.75">
      <c r="A2139" s="136" t="s">
        <v>15</v>
      </c>
      <c r="B2139" s="136" t="s">
        <v>7690</v>
      </c>
      <c r="C2139" s="136" t="s">
        <v>7694</v>
      </c>
      <c r="D2139" s="136" t="s">
        <v>7695</v>
      </c>
      <c r="E2139" s="136" t="s">
        <v>615</v>
      </c>
      <c r="F2139" s="136">
        <v>20</v>
      </c>
      <c r="G2139" s="137">
        <f t="shared" si="8"/>
        <v>7</v>
      </c>
      <c r="H2139" s="137"/>
      <c r="I2139" s="137"/>
      <c r="J2139" s="135"/>
      <c r="K2139" s="135"/>
      <c r="L2139" s="135"/>
      <c r="M2139" s="135"/>
      <c r="N2139" s="135"/>
      <c r="O2139" s="135"/>
      <c r="P2139" s="135"/>
      <c r="Q2139" s="135"/>
      <c r="R2139" s="135"/>
      <c r="S2139" s="135"/>
      <c r="T2139" s="135"/>
      <c r="U2139" s="135"/>
      <c r="V2139" s="135"/>
      <c r="W2139" s="135"/>
      <c r="X2139" s="135"/>
      <c r="Y2139" s="135"/>
      <c r="Z2139" s="135"/>
    </row>
    <row r="2140" spans="1:26" ht="12.75">
      <c r="A2140" s="136" t="s">
        <v>15</v>
      </c>
      <c r="B2140" s="136" t="s">
        <v>7690</v>
      </c>
      <c r="C2140" s="136" t="s">
        <v>7694</v>
      </c>
      <c r="D2140" s="136" t="s">
        <v>1665</v>
      </c>
      <c r="E2140" s="136" t="s">
        <v>615</v>
      </c>
      <c r="F2140" s="136">
        <v>15</v>
      </c>
      <c r="G2140" s="137">
        <f t="shared" si="8"/>
        <v>8</v>
      </c>
      <c r="H2140" s="137"/>
      <c r="I2140" s="137"/>
      <c r="J2140" s="135"/>
      <c r="K2140" s="135"/>
      <c r="L2140" s="135"/>
      <c r="M2140" s="135"/>
      <c r="N2140" s="135"/>
      <c r="O2140" s="135"/>
      <c r="P2140" s="135"/>
      <c r="Q2140" s="135"/>
      <c r="R2140" s="135"/>
      <c r="S2140" s="135"/>
      <c r="T2140" s="135"/>
      <c r="U2140" s="135"/>
      <c r="V2140" s="135"/>
      <c r="W2140" s="135"/>
      <c r="X2140" s="135"/>
      <c r="Y2140" s="135"/>
      <c r="Z2140" s="135"/>
    </row>
    <row r="2141" spans="1:26" ht="12.75">
      <c r="A2141" s="136" t="s">
        <v>15</v>
      </c>
      <c r="B2141" s="136" t="s">
        <v>7690</v>
      </c>
      <c r="C2141" s="136" t="s">
        <v>7694</v>
      </c>
      <c r="D2141" s="136"/>
      <c r="E2141" s="136" t="s">
        <v>7693</v>
      </c>
      <c r="F2141" s="136">
        <v>1768</v>
      </c>
      <c r="G2141" s="137">
        <f t="shared" si="8"/>
        <v>1</v>
      </c>
      <c r="H2141" s="137"/>
      <c r="I2141" s="137"/>
      <c r="J2141" s="135"/>
      <c r="K2141" s="135"/>
      <c r="L2141" s="135"/>
      <c r="M2141" s="135"/>
      <c r="N2141" s="135"/>
      <c r="O2141" s="135"/>
      <c r="P2141" s="135"/>
      <c r="Q2141" s="135"/>
      <c r="R2141" s="135"/>
      <c r="S2141" s="135"/>
      <c r="T2141" s="135"/>
      <c r="U2141" s="135"/>
      <c r="V2141" s="135"/>
      <c r="W2141" s="135"/>
      <c r="X2141" s="135"/>
      <c r="Y2141" s="135"/>
      <c r="Z2141" s="135"/>
    </row>
    <row r="2142" spans="1:26" ht="12.75">
      <c r="A2142" s="136" t="s">
        <v>15</v>
      </c>
      <c r="B2142" s="136" t="s">
        <v>7690</v>
      </c>
      <c r="C2142" s="136" t="s">
        <v>7696</v>
      </c>
      <c r="D2142" s="136" t="s">
        <v>139</v>
      </c>
      <c r="E2142" s="136" t="s">
        <v>594</v>
      </c>
      <c r="F2142" s="136">
        <v>844</v>
      </c>
      <c r="G2142" s="137">
        <f t="shared" si="8"/>
        <v>2</v>
      </c>
      <c r="H2142" s="137"/>
      <c r="I2142" s="137"/>
      <c r="J2142" s="135"/>
      <c r="K2142" s="135"/>
      <c r="L2142" s="135"/>
      <c r="M2142" s="135"/>
      <c r="N2142" s="135"/>
      <c r="O2142" s="135"/>
      <c r="P2142" s="135"/>
      <c r="Q2142" s="135"/>
      <c r="R2142" s="135"/>
      <c r="S2142" s="135"/>
      <c r="T2142" s="135"/>
      <c r="U2142" s="135"/>
      <c r="V2142" s="135"/>
      <c r="W2142" s="135"/>
      <c r="X2142" s="135"/>
      <c r="Y2142" s="135"/>
      <c r="Z2142" s="135"/>
    </row>
    <row r="2143" spans="1:26" ht="12.75">
      <c r="A2143" s="136" t="s">
        <v>15</v>
      </c>
      <c r="B2143" s="136" t="s">
        <v>7690</v>
      </c>
      <c r="C2143" s="136" t="s">
        <v>7696</v>
      </c>
      <c r="D2143" s="136" t="s">
        <v>7697</v>
      </c>
      <c r="E2143" s="136" t="s">
        <v>594</v>
      </c>
      <c r="F2143" s="136">
        <v>345</v>
      </c>
      <c r="G2143" s="137">
        <f t="shared" si="8"/>
        <v>3</v>
      </c>
      <c r="H2143" s="137"/>
      <c r="I2143" s="137"/>
      <c r="J2143" s="135"/>
      <c r="K2143" s="135"/>
      <c r="L2143" s="135"/>
      <c r="M2143" s="135"/>
      <c r="N2143" s="135"/>
      <c r="O2143" s="135"/>
      <c r="P2143" s="135"/>
      <c r="Q2143" s="135"/>
      <c r="R2143" s="135"/>
      <c r="S2143" s="135"/>
      <c r="T2143" s="135"/>
      <c r="U2143" s="135"/>
      <c r="V2143" s="135"/>
      <c r="W2143" s="135"/>
      <c r="X2143" s="135"/>
      <c r="Y2143" s="135"/>
      <c r="Z2143" s="135"/>
    </row>
    <row r="2144" spans="1:26" ht="12.75">
      <c r="A2144" s="136" t="s">
        <v>15</v>
      </c>
      <c r="B2144" s="136" t="s">
        <v>7690</v>
      </c>
      <c r="C2144" s="136" t="s">
        <v>7696</v>
      </c>
      <c r="D2144" s="136" t="s">
        <v>136</v>
      </c>
      <c r="E2144" s="136" t="s">
        <v>615</v>
      </c>
      <c r="F2144" s="136">
        <v>65</v>
      </c>
      <c r="G2144" s="137">
        <f t="shared" si="8"/>
        <v>4</v>
      </c>
      <c r="H2144" s="137"/>
      <c r="I2144" s="137"/>
      <c r="J2144" s="135"/>
      <c r="K2144" s="135"/>
      <c r="L2144" s="135"/>
      <c r="M2144" s="135"/>
      <c r="N2144" s="135"/>
      <c r="O2144" s="135"/>
      <c r="P2144" s="135"/>
      <c r="Q2144" s="135"/>
      <c r="R2144" s="135"/>
      <c r="S2144" s="135"/>
      <c r="T2144" s="135"/>
      <c r="U2144" s="135"/>
      <c r="V2144" s="135"/>
      <c r="W2144" s="135"/>
      <c r="X2144" s="135"/>
      <c r="Y2144" s="135"/>
      <c r="Z2144" s="135"/>
    </row>
    <row r="2145" spans="1:26" ht="12.75">
      <c r="A2145" s="136" t="s">
        <v>15</v>
      </c>
      <c r="B2145" s="136" t="s">
        <v>7690</v>
      </c>
      <c r="C2145" s="136" t="s">
        <v>7696</v>
      </c>
      <c r="D2145" s="136" t="s">
        <v>1669</v>
      </c>
      <c r="E2145" s="136" t="s">
        <v>615</v>
      </c>
      <c r="F2145" s="136">
        <v>61</v>
      </c>
      <c r="G2145" s="137">
        <f t="shared" si="8"/>
        <v>5</v>
      </c>
      <c r="H2145" s="137"/>
      <c r="I2145" s="137"/>
      <c r="J2145" s="135"/>
      <c r="K2145" s="135"/>
      <c r="L2145" s="135"/>
      <c r="M2145" s="135"/>
      <c r="N2145" s="135"/>
      <c r="O2145" s="135"/>
      <c r="P2145" s="135"/>
      <c r="Q2145" s="135"/>
      <c r="R2145" s="135"/>
      <c r="S2145" s="135"/>
      <c r="T2145" s="135"/>
      <c r="U2145" s="135"/>
      <c r="V2145" s="135"/>
      <c r="W2145" s="135"/>
      <c r="X2145" s="135"/>
      <c r="Y2145" s="135"/>
      <c r="Z2145" s="135"/>
    </row>
    <row r="2146" spans="1:26" ht="12.75">
      <c r="A2146" s="136" t="s">
        <v>15</v>
      </c>
      <c r="B2146" s="136" t="s">
        <v>7690</v>
      </c>
      <c r="C2146" s="136" t="s">
        <v>7696</v>
      </c>
      <c r="D2146" s="136" t="s">
        <v>7491</v>
      </c>
      <c r="E2146" s="136" t="s">
        <v>615</v>
      </c>
      <c r="F2146" s="136">
        <v>58</v>
      </c>
      <c r="G2146" s="137">
        <f t="shared" si="8"/>
        <v>6</v>
      </c>
      <c r="H2146" s="137"/>
      <c r="I2146" s="137"/>
      <c r="J2146" s="135"/>
      <c r="K2146" s="135"/>
      <c r="L2146" s="135"/>
      <c r="M2146" s="135"/>
      <c r="N2146" s="135"/>
      <c r="O2146" s="135"/>
      <c r="P2146" s="135"/>
      <c r="Q2146" s="135"/>
      <c r="R2146" s="135"/>
      <c r="S2146" s="135"/>
      <c r="T2146" s="135"/>
      <c r="U2146" s="135"/>
      <c r="V2146" s="135"/>
      <c r="W2146" s="135"/>
      <c r="X2146" s="135"/>
      <c r="Y2146" s="135"/>
      <c r="Z2146" s="135"/>
    </row>
    <row r="2147" spans="1:26" ht="12.75">
      <c r="A2147" s="136" t="s">
        <v>15</v>
      </c>
      <c r="B2147" s="136" t="s">
        <v>7690</v>
      </c>
      <c r="C2147" s="136" t="s">
        <v>7696</v>
      </c>
      <c r="D2147" s="136" t="s">
        <v>7698</v>
      </c>
      <c r="E2147" s="136" t="s">
        <v>615</v>
      </c>
      <c r="F2147" s="136">
        <v>48</v>
      </c>
      <c r="G2147" s="137">
        <f t="shared" si="8"/>
        <v>7</v>
      </c>
      <c r="H2147" s="137"/>
      <c r="I2147" s="137"/>
      <c r="J2147" s="135"/>
      <c r="K2147" s="135"/>
      <c r="L2147" s="135"/>
      <c r="M2147" s="135"/>
      <c r="N2147" s="135"/>
      <c r="O2147" s="135"/>
      <c r="P2147" s="135"/>
      <c r="Q2147" s="135"/>
      <c r="R2147" s="135"/>
      <c r="S2147" s="135"/>
      <c r="T2147" s="135"/>
      <c r="U2147" s="135"/>
      <c r="V2147" s="135"/>
      <c r="W2147" s="135"/>
      <c r="X2147" s="135"/>
      <c r="Y2147" s="135"/>
      <c r="Z2147" s="135"/>
    </row>
    <row r="2148" spans="1:26" ht="12.75">
      <c r="A2148" s="136" t="s">
        <v>15</v>
      </c>
      <c r="B2148" s="136" t="s">
        <v>7690</v>
      </c>
      <c r="C2148" s="136" t="s">
        <v>7696</v>
      </c>
      <c r="D2148" s="136" t="s">
        <v>7699</v>
      </c>
      <c r="E2148" s="136" t="s">
        <v>615</v>
      </c>
      <c r="F2148" s="136">
        <v>36</v>
      </c>
      <c r="G2148" s="137">
        <f t="shared" si="8"/>
        <v>8</v>
      </c>
      <c r="H2148" s="137"/>
      <c r="I2148" s="137"/>
      <c r="J2148" s="135"/>
      <c r="K2148" s="135"/>
      <c r="L2148" s="135"/>
      <c r="M2148" s="135"/>
      <c r="N2148" s="135"/>
      <c r="O2148" s="135"/>
      <c r="P2148" s="135"/>
      <c r="Q2148" s="135"/>
      <c r="R2148" s="135"/>
      <c r="S2148" s="135"/>
      <c r="T2148" s="135"/>
      <c r="U2148" s="135"/>
      <c r="V2148" s="135"/>
      <c r="W2148" s="135"/>
      <c r="X2148" s="135"/>
      <c r="Y2148" s="135"/>
      <c r="Z2148" s="135"/>
    </row>
    <row r="2149" spans="1:26" ht="12.75">
      <c r="A2149" s="136" t="s">
        <v>15</v>
      </c>
      <c r="B2149" s="136" t="s">
        <v>7690</v>
      </c>
      <c r="C2149" s="136" t="s">
        <v>7696</v>
      </c>
      <c r="D2149" s="136" t="s">
        <v>1626</v>
      </c>
      <c r="E2149" s="136" t="s">
        <v>594</v>
      </c>
      <c r="F2149" s="136">
        <v>29</v>
      </c>
      <c r="G2149" s="137">
        <f t="shared" si="8"/>
        <v>9</v>
      </c>
      <c r="H2149" s="137"/>
      <c r="I2149" s="137"/>
      <c r="J2149" s="135"/>
      <c r="K2149" s="135"/>
      <c r="L2149" s="135"/>
      <c r="M2149" s="135"/>
      <c r="N2149" s="135"/>
      <c r="O2149" s="135"/>
      <c r="P2149" s="135"/>
      <c r="Q2149" s="135"/>
      <c r="R2149" s="135"/>
      <c r="S2149" s="135"/>
      <c r="T2149" s="135"/>
      <c r="U2149" s="135"/>
      <c r="V2149" s="135"/>
      <c r="W2149" s="135"/>
      <c r="X2149" s="135"/>
      <c r="Y2149" s="135"/>
      <c r="Z2149" s="135"/>
    </row>
    <row r="2150" spans="1:26" ht="12.75">
      <c r="A2150" s="136" t="s">
        <v>15</v>
      </c>
      <c r="B2150" s="136" t="s">
        <v>7690</v>
      </c>
      <c r="C2150" s="136" t="s">
        <v>7696</v>
      </c>
      <c r="D2150" s="136" t="s">
        <v>7695</v>
      </c>
      <c r="E2150" s="136" t="s">
        <v>615</v>
      </c>
      <c r="F2150" s="136">
        <v>15</v>
      </c>
      <c r="G2150" s="137">
        <f t="shared" si="8"/>
        <v>10</v>
      </c>
      <c r="H2150" s="137"/>
      <c r="I2150" s="137"/>
      <c r="J2150" s="135"/>
      <c r="K2150" s="135"/>
      <c r="L2150" s="135"/>
      <c r="M2150" s="135"/>
      <c r="N2150" s="135"/>
      <c r="O2150" s="135"/>
      <c r="P2150" s="135"/>
      <c r="Q2150" s="135"/>
      <c r="R2150" s="135"/>
      <c r="S2150" s="135"/>
      <c r="T2150" s="135"/>
      <c r="U2150" s="135"/>
      <c r="V2150" s="135"/>
      <c r="W2150" s="135"/>
      <c r="X2150" s="135"/>
      <c r="Y2150" s="135"/>
      <c r="Z2150" s="135"/>
    </row>
    <row r="2151" spans="1:26" ht="12.75">
      <c r="A2151" s="136" t="s">
        <v>15</v>
      </c>
      <c r="B2151" s="136" t="s">
        <v>7690</v>
      </c>
      <c r="C2151" s="136" t="s">
        <v>7696</v>
      </c>
      <c r="D2151" s="136"/>
      <c r="E2151" s="136" t="s">
        <v>7693</v>
      </c>
      <c r="F2151" s="136">
        <v>1501</v>
      </c>
      <c r="G2151" s="137">
        <f t="shared" si="8"/>
        <v>1</v>
      </c>
      <c r="H2151" s="137"/>
      <c r="I2151" s="137"/>
      <c r="J2151" s="135"/>
      <c r="K2151" s="135"/>
      <c r="L2151" s="135"/>
      <c r="M2151" s="135"/>
      <c r="N2151" s="135"/>
      <c r="O2151" s="135"/>
      <c r="P2151" s="135"/>
      <c r="Q2151" s="135"/>
      <c r="R2151" s="135"/>
      <c r="S2151" s="135"/>
      <c r="T2151" s="135"/>
      <c r="U2151" s="135"/>
      <c r="V2151" s="135"/>
      <c r="W2151" s="135"/>
      <c r="X2151" s="135"/>
      <c r="Y2151" s="135"/>
      <c r="Z2151" s="135"/>
    </row>
    <row r="2152" spans="1:26" ht="12.75">
      <c r="A2152" s="136" t="s">
        <v>15</v>
      </c>
      <c r="B2152" s="136" t="s">
        <v>7690</v>
      </c>
      <c r="C2152" s="136" t="s">
        <v>7700</v>
      </c>
      <c r="D2152" s="136" t="s">
        <v>139</v>
      </c>
      <c r="E2152" s="136" t="s">
        <v>594</v>
      </c>
      <c r="F2152" s="136">
        <v>1556</v>
      </c>
      <c r="G2152" s="137">
        <f t="shared" si="8"/>
        <v>2</v>
      </c>
      <c r="H2152" s="137"/>
      <c r="I2152" s="137"/>
      <c r="J2152" s="135"/>
      <c r="K2152" s="135"/>
      <c r="L2152" s="135"/>
      <c r="M2152" s="135"/>
      <c r="N2152" s="135"/>
      <c r="O2152" s="135"/>
      <c r="P2152" s="135"/>
      <c r="Q2152" s="135"/>
      <c r="R2152" s="135"/>
      <c r="S2152" s="135"/>
      <c r="T2152" s="135"/>
      <c r="U2152" s="135"/>
      <c r="V2152" s="135"/>
      <c r="W2152" s="135"/>
      <c r="X2152" s="135"/>
      <c r="Y2152" s="135"/>
      <c r="Z2152" s="135"/>
    </row>
    <row r="2153" spans="1:26" ht="12.75">
      <c r="A2153" s="136" t="s">
        <v>15</v>
      </c>
      <c r="B2153" s="136" t="s">
        <v>7690</v>
      </c>
      <c r="C2153" s="136" t="s">
        <v>7700</v>
      </c>
      <c r="D2153" s="136" t="s">
        <v>1669</v>
      </c>
      <c r="E2153" s="136" t="s">
        <v>615</v>
      </c>
      <c r="F2153" s="136">
        <v>208</v>
      </c>
      <c r="G2153" s="137">
        <f t="shared" si="8"/>
        <v>3</v>
      </c>
      <c r="H2153" s="137"/>
      <c r="I2153" s="137"/>
      <c r="J2153" s="135"/>
      <c r="K2153" s="135"/>
      <c r="L2153" s="135"/>
      <c r="M2153" s="135"/>
      <c r="N2153" s="135"/>
      <c r="O2153" s="135"/>
      <c r="P2153" s="135"/>
      <c r="Q2153" s="135"/>
      <c r="R2153" s="135"/>
      <c r="S2153" s="135"/>
      <c r="T2153" s="135"/>
      <c r="U2153" s="135"/>
      <c r="V2153" s="135"/>
      <c r="W2153" s="135"/>
      <c r="X2153" s="135"/>
      <c r="Y2153" s="135"/>
      <c r="Z2153" s="135"/>
    </row>
    <row r="2154" spans="1:26" ht="12.75">
      <c r="A2154" s="136" t="s">
        <v>15</v>
      </c>
      <c r="B2154" s="136" t="s">
        <v>7690</v>
      </c>
      <c r="C2154" s="136" t="s">
        <v>7700</v>
      </c>
      <c r="D2154" s="136" t="s">
        <v>114</v>
      </c>
      <c r="E2154" s="136" t="s">
        <v>85</v>
      </c>
      <c r="F2154" s="136">
        <v>170</v>
      </c>
      <c r="G2154" s="137">
        <f t="shared" si="8"/>
        <v>4</v>
      </c>
      <c r="H2154" s="137"/>
      <c r="I2154" s="137"/>
      <c r="J2154" s="135"/>
      <c r="K2154" s="135"/>
      <c r="L2154" s="135"/>
      <c r="M2154" s="135"/>
      <c r="N2154" s="135"/>
      <c r="O2154" s="135"/>
      <c r="P2154" s="135"/>
      <c r="Q2154" s="135"/>
      <c r="R2154" s="135"/>
      <c r="S2154" s="135"/>
      <c r="T2154" s="135"/>
      <c r="U2154" s="135"/>
      <c r="V2154" s="135"/>
      <c r="W2154" s="135"/>
      <c r="X2154" s="135"/>
      <c r="Y2154" s="135"/>
      <c r="Z2154" s="135"/>
    </row>
    <row r="2155" spans="1:26" ht="12.75">
      <c r="A2155" s="136" t="s">
        <v>15</v>
      </c>
      <c r="B2155" s="136" t="s">
        <v>7690</v>
      </c>
      <c r="C2155" s="136" t="s">
        <v>7700</v>
      </c>
      <c r="D2155" s="136" t="s">
        <v>7491</v>
      </c>
      <c r="E2155" s="136" t="s">
        <v>615</v>
      </c>
      <c r="F2155" s="136">
        <v>46</v>
      </c>
      <c r="G2155" s="137">
        <f t="shared" si="8"/>
        <v>5</v>
      </c>
      <c r="H2155" s="137"/>
      <c r="I2155" s="137"/>
      <c r="J2155" s="135"/>
      <c r="K2155" s="135"/>
      <c r="L2155" s="135"/>
      <c r="M2155" s="135"/>
      <c r="N2155" s="135"/>
      <c r="O2155" s="135"/>
      <c r="P2155" s="135"/>
      <c r="Q2155" s="135"/>
      <c r="R2155" s="135"/>
      <c r="S2155" s="135"/>
      <c r="T2155" s="135"/>
      <c r="U2155" s="135"/>
      <c r="V2155" s="135"/>
      <c r="W2155" s="135"/>
      <c r="X2155" s="135"/>
      <c r="Y2155" s="135"/>
      <c r="Z2155" s="135"/>
    </row>
    <row r="2156" spans="1:26" ht="12.75">
      <c r="A2156" s="136" t="s">
        <v>15</v>
      </c>
      <c r="B2156" s="136" t="s">
        <v>7690</v>
      </c>
      <c r="C2156" s="136" t="s">
        <v>7700</v>
      </c>
      <c r="D2156" s="136" t="s">
        <v>467</v>
      </c>
      <c r="E2156" s="136" t="s">
        <v>85</v>
      </c>
      <c r="F2156" s="136">
        <v>36</v>
      </c>
      <c r="G2156" s="137">
        <f t="shared" si="8"/>
        <v>6</v>
      </c>
      <c r="H2156" s="137"/>
      <c r="I2156" s="137"/>
      <c r="J2156" s="135"/>
      <c r="K2156" s="135"/>
      <c r="L2156" s="135"/>
      <c r="M2156" s="135"/>
      <c r="N2156" s="135"/>
      <c r="O2156" s="135"/>
      <c r="P2156" s="135"/>
      <c r="Q2156" s="135"/>
      <c r="R2156" s="135"/>
      <c r="S2156" s="135"/>
      <c r="T2156" s="135"/>
      <c r="U2156" s="135"/>
      <c r="V2156" s="135"/>
      <c r="W2156" s="135"/>
      <c r="X2156" s="135"/>
      <c r="Y2156" s="135"/>
      <c r="Z2156" s="135"/>
    </row>
    <row r="2157" spans="1:26" ht="12.75">
      <c r="A2157" s="136" t="s">
        <v>15</v>
      </c>
      <c r="B2157" s="136" t="s">
        <v>7690</v>
      </c>
      <c r="C2157" s="136" t="s">
        <v>7700</v>
      </c>
      <c r="D2157" s="136" t="s">
        <v>7701</v>
      </c>
      <c r="E2157" s="136" t="s">
        <v>615</v>
      </c>
      <c r="F2157" s="136">
        <v>27</v>
      </c>
      <c r="G2157" s="137">
        <f t="shared" si="8"/>
        <v>7</v>
      </c>
      <c r="H2157" s="137"/>
      <c r="I2157" s="137"/>
      <c r="J2157" s="135"/>
      <c r="K2157" s="135"/>
      <c r="L2157" s="135"/>
      <c r="M2157" s="135"/>
      <c r="N2157" s="135"/>
      <c r="O2157" s="135"/>
      <c r="P2157" s="135"/>
      <c r="Q2157" s="135"/>
      <c r="R2157" s="135"/>
      <c r="S2157" s="135"/>
      <c r="T2157" s="135"/>
      <c r="U2157" s="135"/>
      <c r="V2157" s="135"/>
      <c r="W2157" s="135"/>
      <c r="X2157" s="135"/>
      <c r="Y2157" s="135"/>
      <c r="Z2157" s="135"/>
    </row>
    <row r="2158" spans="1:26" ht="12.75">
      <c r="A2158" s="136" t="s">
        <v>15</v>
      </c>
      <c r="B2158" s="136" t="s">
        <v>7690</v>
      </c>
      <c r="C2158" s="136" t="s">
        <v>7700</v>
      </c>
      <c r="D2158" s="136"/>
      <c r="E2158" s="136" t="s">
        <v>7693</v>
      </c>
      <c r="F2158" s="136">
        <v>2043</v>
      </c>
      <c r="G2158" s="137">
        <f t="shared" si="8"/>
        <v>1</v>
      </c>
      <c r="H2158" s="137"/>
      <c r="I2158" s="137"/>
      <c r="J2158" s="135"/>
      <c r="K2158" s="135"/>
      <c r="L2158" s="135"/>
      <c r="M2158" s="135"/>
      <c r="N2158" s="135"/>
      <c r="O2158" s="135"/>
      <c r="P2158" s="135"/>
      <c r="Q2158" s="135"/>
      <c r="R2158" s="135"/>
      <c r="S2158" s="135"/>
      <c r="T2158" s="135"/>
      <c r="U2158" s="135"/>
      <c r="V2158" s="135"/>
      <c r="W2158" s="135"/>
      <c r="X2158" s="135"/>
      <c r="Y2158" s="135"/>
      <c r="Z2158" s="135"/>
    </row>
    <row r="2159" spans="1:26" ht="12.75">
      <c r="A2159" s="136" t="s">
        <v>15</v>
      </c>
      <c r="B2159" s="136" t="s">
        <v>7690</v>
      </c>
      <c r="C2159" s="136" t="s">
        <v>7702</v>
      </c>
      <c r="D2159" s="136" t="s">
        <v>139</v>
      </c>
      <c r="E2159" s="136" t="s">
        <v>594</v>
      </c>
      <c r="F2159" s="136">
        <v>2223</v>
      </c>
      <c r="G2159" s="137">
        <f t="shared" si="8"/>
        <v>2</v>
      </c>
      <c r="H2159" s="137"/>
      <c r="I2159" s="137"/>
      <c r="J2159" s="135"/>
      <c r="K2159" s="135"/>
      <c r="L2159" s="135"/>
      <c r="M2159" s="135"/>
      <c r="N2159" s="135"/>
      <c r="O2159" s="135"/>
      <c r="P2159" s="135"/>
      <c r="Q2159" s="135"/>
      <c r="R2159" s="135"/>
      <c r="S2159" s="135"/>
      <c r="T2159" s="135"/>
      <c r="U2159" s="135"/>
      <c r="V2159" s="135"/>
      <c r="W2159" s="135"/>
      <c r="X2159" s="135"/>
      <c r="Y2159" s="135"/>
      <c r="Z2159" s="135"/>
    </row>
    <row r="2160" spans="1:26" ht="12.75">
      <c r="A2160" s="136" t="s">
        <v>15</v>
      </c>
      <c r="B2160" s="136" t="s">
        <v>7690</v>
      </c>
      <c r="C2160" s="136" t="s">
        <v>7702</v>
      </c>
      <c r="D2160" s="136" t="s">
        <v>114</v>
      </c>
      <c r="E2160" s="136" t="s">
        <v>85</v>
      </c>
      <c r="F2160" s="136">
        <v>466</v>
      </c>
      <c r="G2160" s="137">
        <f t="shared" si="8"/>
        <v>3</v>
      </c>
      <c r="H2160" s="137"/>
      <c r="I2160" s="137"/>
      <c r="J2160" s="135"/>
      <c r="K2160" s="135"/>
      <c r="L2160" s="135"/>
      <c r="M2160" s="135"/>
      <c r="N2160" s="135"/>
      <c r="O2160" s="135"/>
      <c r="P2160" s="135"/>
      <c r="Q2160" s="135"/>
      <c r="R2160" s="135"/>
      <c r="S2160" s="135"/>
      <c r="T2160" s="135"/>
      <c r="U2160" s="135"/>
      <c r="V2160" s="135"/>
      <c r="W2160" s="135"/>
      <c r="X2160" s="135"/>
      <c r="Y2160" s="135"/>
      <c r="Z2160" s="135"/>
    </row>
    <row r="2161" spans="1:26" ht="12.75">
      <c r="A2161" s="136" t="s">
        <v>15</v>
      </c>
      <c r="B2161" s="136" t="s">
        <v>7690</v>
      </c>
      <c r="C2161" s="136" t="s">
        <v>7702</v>
      </c>
      <c r="D2161" s="136" t="s">
        <v>467</v>
      </c>
      <c r="E2161" s="136" t="s">
        <v>85</v>
      </c>
      <c r="F2161" s="136">
        <v>192</v>
      </c>
      <c r="G2161" s="137">
        <f t="shared" si="8"/>
        <v>4</v>
      </c>
      <c r="H2161" s="137"/>
      <c r="I2161" s="137"/>
      <c r="J2161" s="135"/>
      <c r="K2161" s="135"/>
      <c r="L2161" s="135"/>
      <c r="M2161" s="135"/>
      <c r="N2161" s="135"/>
      <c r="O2161" s="135"/>
      <c r="P2161" s="135"/>
      <c r="Q2161" s="135"/>
      <c r="R2161" s="135"/>
      <c r="S2161" s="135"/>
      <c r="T2161" s="135"/>
      <c r="U2161" s="135"/>
      <c r="V2161" s="135"/>
      <c r="W2161" s="135"/>
      <c r="X2161" s="135"/>
      <c r="Y2161" s="135"/>
      <c r="Z2161" s="135"/>
    </row>
    <row r="2162" spans="1:26" ht="12.75">
      <c r="A2162" s="136" t="s">
        <v>15</v>
      </c>
      <c r="B2162" s="136" t="s">
        <v>7690</v>
      </c>
      <c r="C2162" s="136" t="s">
        <v>7702</v>
      </c>
      <c r="D2162" s="136" t="s">
        <v>165</v>
      </c>
      <c r="E2162" s="136" t="s">
        <v>615</v>
      </c>
      <c r="F2162" s="136">
        <v>188</v>
      </c>
      <c r="G2162" s="137">
        <f t="shared" si="8"/>
        <v>5</v>
      </c>
      <c r="H2162" s="137"/>
      <c r="I2162" s="137"/>
      <c r="J2162" s="135"/>
      <c r="K2162" s="135"/>
      <c r="L2162" s="135"/>
      <c r="M2162" s="135"/>
      <c r="N2162" s="135"/>
      <c r="O2162" s="135"/>
      <c r="P2162" s="135"/>
      <c r="Q2162" s="135"/>
      <c r="R2162" s="135"/>
      <c r="S2162" s="135"/>
      <c r="T2162" s="135"/>
      <c r="U2162" s="135"/>
      <c r="V2162" s="135"/>
      <c r="W2162" s="135"/>
      <c r="X2162" s="135"/>
      <c r="Y2162" s="135"/>
      <c r="Z2162" s="135"/>
    </row>
    <row r="2163" spans="1:26" ht="12.75">
      <c r="A2163" s="136" t="s">
        <v>15</v>
      </c>
      <c r="B2163" s="136" t="s">
        <v>7690</v>
      </c>
      <c r="C2163" s="136" t="s">
        <v>7702</v>
      </c>
      <c r="D2163" s="136" t="s">
        <v>368</v>
      </c>
      <c r="E2163" s="136" t="s">
        <v>594</v>
      </c>
      <c r="F2163" s="136">
        <v>121</v>
      </c>
      <c r="G2163" s="137">
        <f t="shared" si="8"/>
        <v>6</v>
      </c>
      <c r="H2163" s="137"/>
      <c r="I2163" s="137"/>
      <c r="J2163" s="135"/>
      <c r="K2163" s="135"/>
      <c r="L2163" s="135"/>
      <c r="M2163" s="135"/>
      <c r="N2163" s="135"/>
      <c r="O2163" s="135"/>
      <c r="P2163" s="135"/>
      <c r="Q2163" s="135"/>
      <c r="R2163" s="135"/>
      <c r="S2163" s="135"/>
      <c r="T2163" s="135"/>
      <c r="U2163" s="135"/>
      <c r="V2163" s="135"/>
      <c r="W2163" s="135"/>
      <c r="X2163" s="135"/>
      <c r="Y2163" s="135"/>
      <c r="Z2163" s="135"/>
    </row>
    <row r="2164" spans="1:26" ht="12.75">
      <c r="A2164" s="136" t="s">
        <v>15</v>
      </c>
      <c r="B2164" s="136" t="s">
        <v>7690</v>
      </c>
      <c r="C2164" s="136" t="s">
        <v>7702</v>
      </c>
      <c r="D2164" s="136" t="s">
        <v>1669</v>
      </c>
      <c r="E2164" s="136" t="s">
        <v>615</v>
      </c>
      <c r="F2164" s="136">
        <v>114</v>
      </c>
      <c r="G2164" s="137">
        <f t="shared" si="8"/>
        <v>7</v>
      </c>
      <c r="H2164" s="137"/>
      <c r="I2164" s="137"/>
      <c r="J2164" s="135"/>
      <c r="K2164" s="135"/>
      <c r="L2164" s="135"/>
      <c r="M2164" s="135"/>
      <c r="N2164" s="135"/>
      <c r="O2164" s="135"/>
      <c r="P2164" s="135"/>
      <c r="Q2164" s="135"/>
      <c r="R2164" s="135"/>
      <c r="S2164" s="135"/>
      <c r="T2164" s="135"/>
      <c r="U2164" s="135"/>
      <c r="V2164" s="135"/>
      <c r="W2164" s="135"/>
      <c r="X2164" s="135"/>
      <c r="Y2164" s="135"/>
      <c r="Z2164" s="135"/>
    </row>
    <row r="2165" spans="1:26" ht="12.75">
      <c r="A2165" s="136" t="s">
        <v>15</v>
      </c>
      <c r="B2165" s="136" t="s">
        <v>7690</v>
      </c>
      <c r="C2165" s="136" t="s">
        <v>7702</v>
      </c>
      <c r="D2165" s="136" t="s">
        <v>1626</v>
      </c>
      <c r="E2165" s="136" t="s">
        <v>594</v>
      </c>
      <c r="F2165" s="136">
        <v>106</v>
      </c>
      <c r="G2165" s="137">
        <f t="shared" si="8"/>
        <v>8</v>
      </c>
      <c r="H2165" s="137"/>
      <c r="I2165" s="137"/>
      <c r="J2165" s="135"/>
      <c r="K2165" s="135"/>
      <c r="L2165" s="135"/>
      <c r="M2165" s="135"/>
      <c r="N2165" s="135"/>
      <c r="O2165" s="135"/>
      <c r="P2165" s="135"/>
      <c r="Q2165" s="135"/>
      <c r="R2165" s="135"/>
      <c r="S2165" s="135"/>
      <c r="T2165" s="135"/>
      <c r="U2165" s="135"/>
      <c r="V2165" s="135"/>
      <c r="W2165" s="135"/>
      <c r="X2165" s="135"/>
      <c r="Y2165" s="135"/>
      <c r="Z2165" s="135"/>
    </row>
    <row r="2166" spans="1:26" ht="12.75">
      <c r="A2166" s="136" t="s">
        <v>15</v>
      </c>
      <c r="B2166" s="136" t="s">
        <v>7690</v>
      </c>
      <c r="C2166" s="136" t="s">
        <v>7702</v>
      </c>
      <c r="D2166" s="136" t="s">
        <v>1665</v>
      </c>
      <c r="E2166" s="136" t="s">
        <v>615</v>
      </c>
      <c r="F2166" s="136">
        <v>106</v>
      </c>
      <c r="G2166" s="137">
        <f t="shared" si="8"/>
        <v>9</v>
      </c>
      <c r="H2166" s="137"/>
      <c r="I2166" s="137"/>
      <c r="J2166" s="135"/>
      <c r="K2166" s="135"/>
      <c r="L2166" s="135"/>
      <c r="M2166" s="135"/>
      <c r="N2166" s="135"/>
      <c r="O2166" s="135"/>
      <c r="P2166" s="135"/>
      <c r="Q2166" s="135"/>
      <c r="R2166" s="135"/>
      <c r="S2166" s="135"/>
      <c r="T2166" s="135"/>
      <c r="U2166" s="135"/>
      <c r="V2166" s="135"/>
      <c r="W2166" s="135"/>
      <c r="X2166" s="135"/>
      <c r="Y2166" s="135"/>
      <c r="Z2166" s="135"/>
    </row>
    <row r="2167" spans="1:26" ht="12.75">
      <c r="A2167" s="136" t="s">
        <v>15</v>
      </c>
      <c r="B2167" s="136" t="s">
        <v>7690</v>
      </c>
      <c r="C2167" s="136" t="s">
        <v>7702</v>
      </c>
      <c r="D2167" s="136" t="s">
        <v>7491</v>
      </c>
      <c r="E2167" s="136" t="s">
        <v>615</v>
      </c>
      <c r="F2167" s="136">
        <v>87</v>
      </c>
      <c r="G2167" s="137">
        <f t="shared" si="8"/>
        <v>10</v>
      </c>
      <c r="H2167" s="137"/>
      <c r="I2167" s="137"/>
      <c r="J2167" s="135"/>
      <c r="K2167" s="135"/>
      <c r="L2167" s="135"/>
      <c r="M2167" s="135"/>
      <c r="N2167" s="135"/>
      <c r="O2167" s="135"/>
      <c r="P2167" s="135"/>
      <c r="Q2167" s="135"/>
      <c r="R2167" s="135"/>
      <c r="S2167" s="135"/>
      <c r="T2167" s="135"/>
      <c r="U2167" s="135"/>
      <c r="V2167" s="135"/>
      <c r="W2167" s="135"/>
      <c r="X2167" s="135"/>
      <c r="Y2167" s="135"/>
      <c r="Z2167" s="135"/>
    </row>
    <row r="2168" spans="1:26" ht="12.75">
      <c r="A2168" s="136" t="s">
        <v>15</v>
      </c>
      <c r="B2168" s="136" t="s">
        <v>7690</v>
      </c>
      <c r="C2168" s="136" t="s">
        <v>7702</v>
      </c>
      <c r="D2168" s="136" t="s">
        <v>225</v>
      </c>
      <c r="E2168" s="136" t="s">
        <v>615</v>
      </c>
      <c r="F2168" s="136">
        <v>56</v>
      </c>
      <c r="G2168" s="137">
        <f t="shared" si="8"/>
        <v>11</v>
      </c>
      <c r="H2168" s="137"/>
      <c r="I2168" s="137"/>
      <c r="J2168" s="135"/>
      <c r="K2168" s="135"/>
      <c r="L2168" s="135"/>
      <c r="M2168" s="135"/>
      <c r="N2168" s="135"/>
      <c r="O2168" s="135"/>
      <c r="P2168" s="135"/>
      <c r="Q2168" s="135"/>
      <c r="R2168" s="135"/>
      <c r="S2168" s="135"/>
      <c r="T2168" s="135"/>
      <c r="U2168" s="135"/>
      <c r="V2168" s="135"/>
      <c r="W2168" s="135"/>
      <c r="X2168" s="135"/>
      <c r="Y2168" s="135"/>
      <c r="Z2168" s="135"/>
    </row>
    <row r="2169" spans="1:26" ht="12.75">
      <c r="A2169" s="136" t="s">
        <v>15</v>
      </c>
      <c r="B2169" s="136" t="s">
        <v>7690</v>
      </c>
      <c r="C2169" s="136" t="s">
        <v>7702</v>
      </c>
      <c r="D2169" s="136"/>
      <c r="E2169" s="136" t="s">
        <v>7693</v>
      </c>
      <c r="F2169" s="136">
        <v>3659</v>
      </c>
      <c r="G2169" s="137">
        <f t="shared" si="8"/>
        <v>1</v>
      </c>
      <c r="H2169" s="137"/>
      <c r="I2169" s="137"/>
      <c r="J2169" s="135"/>
      <c r="K2169" s="135"/>
      <c r="L2169" s="135"/>
      <c r="M2169" s="135"/>
      <c r="N2169" s="135"/>
      <c r="O2169" s="135"/>
      <c r="P2169" s="135"/>
      <c r="Q2169" s="135"/>
      <c r="R2169" s="135"/>
      <c r="S2169" s="135"/>
      <c r="T2169" s="135"/>
      <c r="U2169" s="135"/>
      <c r="V2169" s="135"/>
      <c r="W2169" s="135"/>
      <c r="X2169" s="135"/>
      <c r="Y2169" s="135"/>
      <c r="Z2169" s="135"/>
    </row>
    <row r="2170" spans="1:26" ht="12.75">
      <c r="A2170" s="136" t="s">
        <v>15</v>
      </c>
      <c r="B2170" s="136" t="s">
        <v>7690</v>
      </c>
      <c r="C2170" s="136" t="s">
        <v>7703</v>
      </c>
      <c r="D2170" s="136" t="s">
        <v>139</v>
      </c>
      <c r="E2170" s="136" t="s">
        <v>594</v>
      </c>
      <c r="F2170" s="136">
        <v>1395</v>
      </c>
      <c r="G2170" s="137">
        <f t="shared" si="8"/>
        <v>2</v>
      </c>
      <c r="H2170" s="137"/>
      <c r="I2170" s="137"/>
      <c r="J2170" s="135"/>
      <c r="K2170" s="135"/>
      <c r="L2170" s="135"/>
      <c r="M2170" s="135"/>
      <c r="N2170" s="135"/>
      <c r="O2170" s="135"/>
      <c r="P2170" s="135"/>
      <c r="Q2170" s="135"/>
      <c r="R2170" s="135"/>
      <c r="S2170" s="135"/>
      <c r="T2170" s="135"/>
      <c r="U2170" s="135"/>
      <c r="V2170" s="135"/>
      <c r="W2170" s="135"/>
      <c r="X2170" s="135"/>
      <c r="Y2170" s="135"/>
      <c r="Z2170" s="135"/>
    </row>
    <row r="2171" spans="1:26" ht="12.75">
      <c r="A2171" s="136" t="s">
        <v>15</v>
      </c>
      <c r="B2171" s="136" t="s">
        <v>7690</v>
      </c>
      <c r="C2171" s="136" t="s">
        <v>7703</v>
      </c>
      <c r="D2171" s="136" t="s">
        <v>114</v>
      </c>
      <c r="E2171" s="136" t="s">
        <v>85</v>
      </c>
      <c r="F2171" s="136">
        <v>799</v>
      </c>
      <c r="G2171" s="137">
        <f t="shared" si="8"/>
        <v>3</v>
      </c>
      <c r="H2171" s="137"/>
      <c r="I2171" s="137"/>
      <c r="J2171" s="135"/>
      <c r="K2171" s="135"/>
      <c r="L2171" s="135"/>
      <c r="M2171" s="135"/>
      <c r="N2171" s="135"/>
      <c r="O2171" s="135"/>
      <c r="P2171" s="135"/>
      <c r="Q2171" s="135"/>
      <c r="R2171" s="135"/>
      <c r="S2171" s="135"/>
      <c r="T2171" s="135"/>
      <c r="U2171" s="135"/>
      <c r="V2171" s="135"/>
      <c r="W2171" s="135"/>
      <c r="X2171" s="135"/>
      <c r="Y2171" s="135"/>
      <c r="Z2171" s="135"/>
    </row>
    <row r="2172" spans="1:26" ht="12.75">
      <c r="A2172" s="136" t="s">
        <v>15</v>
      </c>
      <c r="B2172" s="136" t="s">
        <v>7690</v>
      </c>
      <c r="C2172" s="136" t="s">
        <v>7703</v>
      </c>
      <c r="D2172" s="136" t="s">
        <v>103</v>
      </c>
      <c r="E2172" s="136" t="s">
        <v>594</v>
      </c>
      <c r="F2172" s="136">
        <v>611</v>
      </c>
      <c r="G2172" s="137">
        <f t="shared" si="8"/>
        <v>4</v>
      </c>
      <c r="H2172" s="137"/>
      <c r="I2172" s="137"/>
      <c r="J2172" s="135"/>
      <c r="K2172" s="135"/>
      <c r="L2172" s="135"/>
      <c r="M2172" s="135"/>
      <c r="N2172" s="135"/>
      <c r="O2172" s="135"/>
      <c r="P2172" s="135"/>
      <c r="Q2172" s="135"/>
      <c r="R2172" s="135"/>
      <c r="S2172" s="135"/>
      <c r="T2172" s="135"/>
      <c r="U2172" s="135"/>
      <c r="V2172" s="135"/>
      <c r="W2172" s="135"/>
      <c r="X2172" s="135"/>
      <c r="Y2172" s="135"/>
      <c r="Z2172" s="135"/>
    </row>
    <row r="2173" spans="1:26" ht="12.75">
      <c r="A2173" s="136" t="s">
        <v>15</v>
      </c>
      <c r="B2173" s="136" t="s">
        <v>7690</v>
      </c>
      <c r="C2173" s="136" t="s">
        <v>7703</v>
      </c>
      <c r="D2173" s="136" t="s">
        <v>7704</v>
      </c>
      <c r="E2173" s="136" t="s">
        <v>615</v>
      </c>
      <c r="F2173" s="136">
        <v>370</v>
      </c>
      <c r="G2173" s="137">
        <f t="shared" si="8"/>
        <v>5</v>
      </c>
      <c r="H2173" s="137"/>
      <c r="I2173" s="137"/>
      <c r="J2173" s="135"/>
      <c r="K2173" s="135"/>
      <c r="L2173" s="135"/>
      <c r="M2173" s="135"/>
      <c r="N2173" s="135"/>
      <c r="O2173" s="135"/>
      <c r="P2173" s="135"/>
      <c r="Q2173" s="135"/>
      <c r="R2173" s="135"/>
      <c r="S2173" s="135"/>
      <c r="T2173" s="135"/>
      <c r="U2173" s="135"/>
      <c r="V2173" s="135"/>
      <c r="W2173" s="135"/>
      <c r="X2173" s="135"/>
      <c r="Y2173" s="135"/>
      <c r="Z2173" s="135"/>
    </row>
    <row r="2174" spans="1:26" ht="12.75">
      <c r="A2174" s="136" t="s">
        <v>15</v>
      </c>
      <c r="B2174" s="136" t="s">
        <v>7690</v>
      </c>
      <c r="C2174" s="136" t="s">
        <v>7703</v>
      </c>
      <c r="D2174" s="136" t="s">
        <v>7705</v>
      </c>
      <c r="E2174" s="136" t="s">
        <v>615</v>
      </c>
      <c r="F2174" s="136">
        <v>335</v>
      </c>
      <c r="G2174" s="137">
        <f t="shared" si="8"/>
        <v>6</v>
      </c>
      <c r="H2174" s="137"/>
      <c r="I2174" s="137"/>
      <c r="J2174" s="135"/>
      <c r="K2174" s="135"/>
      <c r="L2174" s="135"/>
      <c r="M2174" s="135"/>
      <c r="N2174" s="135"/>
      <c r="O2174" s="135"/>
      <c r="P2174" s="135"/>
      <c r="Q2174" s="135"/>
      <c r="R2174" s="135"/>
      <c r="S2174" s="135"/>
      <c r="T2174" s="135"/>
      <c r="U2174" s="135"/>
      <c r="V2174" s="135"/>
      <c r="W2174" s="135"/>
      <c r="X2174" s="135"/>
      <c r="Y2174" s="135"/>
      <c r="Z2174" s="135"/>
    </row>
    <row r="2175" spans="1:26" ht="12.75">
      <c r="A2175" s="136" t="s">
        <v>15</v>
      </c>
      <c r="B2175" s="136" t="s">
        <v>7690</v>
      </c>
      <c r="C2175" s="136" t="s">
        <v>7703</v>
      </c>
      <c r="D2175" s="136" t="s">
        <v>7491</v>
      </c>
      <c r="E2175" s="136" t="s">
        <v>615</v>
      </c>
      <c r="F2175" s="136">
        <v>166</v>
      </c>
      <c r="G2175" s="137">
        <f t="shared" si="8"/>
        <v>7</v>
      </c>
      <c r="H2175" s="137"/>
      <c r="I2175" s="137"/>
      <c r="J2175" s="135"/>
      <c r="K2175" s="135"/>
      <c r="L2175" s="135"/>
      <c r="M2175" s="135"/>
      <c r="N2175" s="135"/>
      <c r="O2175" s="135"/>
      <c r="P2175" s="135"/>
      <c r="Q2175" s="135"/>
      <c r="R2175" s="135"/>
      <c r="S2175" s="135"/>
      <c r="T2175" s="135"/>
      <c r="U2175" s="135"/>
      <c r="V2175" s="135"/>
      <c r="W2175" s="135"/>
      <c r="X2175" s="135"/>
      <c r="Y2175" s="135"/>
      <c r="Z2175" s="135"/>
    </row>
    <row r="2176" spans="1:26" ht="12.75">
      <c r="A2176" s="136" t="s">
        <v>15</v>
      </c>
      <c r="B2176" s="136" t="s">
        <v>7690</v>
      </c>
      <c r="C2176" s="136" t="s">
        <v>7703</v>
      </c>
      <c r="D2176" s="136" t="s">
        <v>1669</v>
      </c>
      <c r="E2176" s="136" t="s">
        <v>615</v>
      </c>
      <c r="F2176" s="136">
        <v>96</v>
      </c>
      <c r="G2176" s="137">
        <f t="shared" si="8"/>
        <v>8</v>
      </c>
      <c r="H2176" s="137"/>
      <c r="I2176" s="137"/>
      <c r="J2176" s="135"/>
      <c r="K2176" s="135"/>
      <c r="L2176" s="135"/>
      <c r="M2176" s="135"/>
      <c r="N2176" s="135"/>
      <c r="O2176" s="135"/>
      <c r="P2176" s="135"/>
      <c r="Q2176" s="135"/>
      <c r="R2176" s="135"/>
      <c r="S2176" s="135"/>
      <c r="T2176" s="135"/>
      <c r="U2176" s="135"/>
      <c r="V2176" s="135"/>
      <c r="W2176" s="135"/>
      <c r="X2176" s="135"/>
      <c r="Y2176" s="135"/>
      <c r="Z2176" s="135"/>
    </row>
    <row r="2177" spans="1:26" ht="12.75">
      <c r="A2177" s="136" t="s">
        <v>15</v>
      </c>
      <c r="B2177" s="136" t="s">
        <v>7690</v>
      </c>
      <c r="C2177" s="136" t="s">
        <v>7703</v>
      </c>
      <c r="D2177" s="136" t="s">
        <v>467</v>
      </c>
      <c r="E2177" s="136" t="s">
        <v>85</v>
      </c>
      <c r="F2177" s="136">
        <v>64</v>
      </c>
      <c r="G2177" s="137">
        <f t="shared" si="8"/>
        <v>9</v>
      </c>
      <c r="H2177" s="137"/>
      <c r="I2177" s="137"/>
      <c r="J2177" s="135"/>
      <c r="K2177" s="135"/>
      <c r="L2177" s="135"/>
      <c r="M2177" s="135"/>
      <c r="N2177" s="135"/>
      <c r="O2177" s="135"/>
      <c r="P2177" s="135"/>
      <c r="Q2177" s="135"/>
      <c r="R2177" s="135"/>
      <c r="S2177" s="135"/>
      <c r="T2177" s="135"/>
      <c r="U2177" s="135"/>
      <c r="V2177" s="135"/>
      <c r="W2177" s="135"/>
      <c r="X2177" s="135"/>
      <c r="Y2177" s="135"/>
      <c r="Z2177" s="135"/>
    </row>
    <row r="2178" spans="1:26" ht="12.75">
      <c r="A2178" s="136" t="s">
        <v>15</v>
      </c>
      <c r="B2178" s="136" t="s">
        <v>7690</v>
      </c>
      <c r="C2178" s="136" t="s">
        <v>7703</v>
      </c>
      <c r="D2178" s="136"/>
      <c r="E2178" s="136" t="s">
        <v>7693</v>
      </c>
      <c r="F2178" s="136">
        <v>3836</v>
      </c>
      <c r="G2178" s="137">
        <f t="shared" si="8"/>
        <v>1</v>
      </c>
      <c r="H2178" s="137"/>
      <c r="I2178" s="137"/>
      <c r="J2178" s="135"/>
      <c r="K2178" s="135"/>
      <c r="L2178" s="135"/>
      <c r="M2178" s="135"/>
      <c r="N2178" s="135"/>
      <c r="O2178" s="135"/>
      <c r="P2178" s="135"/>
      <c r="Q2178" s="135"/>
      <c r="R2178" s="135"/>
      <c r="S2178" s="135"/>
      <c r="T2178" s="135"/>
      <c r="U2178" s="135"/>
      <c r="V2178" s="135"/>
      <c r="W2178" s="135"/>
      <c r="X2178" s="135"/>
      <c r="Y2178" s="135"/>
      <c r="Z2178" s="135"/>
    </row>
    <row r="2179" spans="1:26" ht="12.75">
      <c r="A2179" s="136" t="s">
        <v>15</v>
      </c>
      <c r="B2179" s="136" t="s">
        <v>7690</v>
      </c>
      <c r="C2179" s="136" t="s">
        <v>7706</v>
      </c>
      <c r="D2179" s="136" t="s">
        <v>139</v>
      </c>
      <c r="E2179" s="136" t="s">
        <v>594</v>
      </c>
      <c r="F2179" s="136">
        <v>2290</v>
      </c>
      <c r="G2179" s="137">
        <f t="shared" si="8"/>
        <v>2</v>
      </c>
      <c r="H2179" s="137"/>
      <c r="I2179" s="137"/>
      <c r="J2179" s="135"/>
      <c r="K2179" s="135"/>
      <c r="L2179" s="135"/>
      <c r="M2179" s="135"/>
      <c r="N2179" s="135"/>
      <c r="O2179" s="135"/>
      <c r="P2179" s="135"/>
      <c r="Q2179" s="135"/>
      <c r="R2179" s="135"/>
      <c r="S2179" s="135"/>
      <c r="T2179" s="135"/>
      <c r="U2179" s="135"/>
      <c r="V2179" s="135"/>
      <c r="W2179" s="135"/>
      <c r="X2179" s="135"/>
      <c r="Y2179" s="135"/>
      <c r="Z2179" s="135"/>
    </row>
    <row r="2180" spans="1:26" ht="12.75">
      <c r="A2180" s="136" t="s">
        <v>15</v>
      </c>
      <c r="B2180" s="136" t="s">
        <v>7690</v>
      </c>
      <c r="C2180" s="136" t="s">
        <v>7706</v>
      </c>
      <c r="D2180" s="136" t="s">
        <v>114</v>
      </c>
      <c r="E2180" s="136" t="s">
        <v>85</v>
      </c>
      <c r="F2180" s="136">
        <v>263</v>
      </c>
      <c r="G2180" s="137">
        <f t="shared" si="8"/>
        <v>3</v>
      </c>
      <c r="H2180" s="137"/>
      <c r="I2180" s="137"/>
      <c r="J2180" s="135"/>
      <c r="K2180" s="135"/>
      <c r="L2180" s="135"/>
      <c r="M2180" s="135"/>
      <c r="N2180" s="135"/>
      <c r="O2180" s="135"/>
      <c r="P2180" s="135"/>
      <c r="Q2180" s="135"/>
      <c r="R2180" s="135"/>
      <c r="S2180" s="135"/>
      <c r="T2180" s="135"/>
      <c r="U2180" s="135"/>
      <c r="V2180" s="135"/>
      <c r="W2180" s="135"/>
      <c r="X2180" s="135"/>
      <c r="Y2180" s="135"/>
      <c r="Z2180" s="135"/>
    </row>
    <row r="2181" spans="1:26" ht="12.75">
      <c r="A2181" s="136" t="s">
        <v>15</v>
      </c>
      <c r="B2181" s="136" t="s">
        <v>7690</v>
      </c>
      <c r="C2181" s="136" t="s">
        <v>7706</v>
      </c>
      <c r="D2181" s="136" t="s">
        <v>1669</v>
      </c>
      <c r="E2181" s="136" t="s">
        <v>615</v>
      </c>
      <c r="F2181" s="136">
        <v>138</v>
      </c>
      <c r="G2181" s="137">
        <f t="shared" si="8"/>
        <v>4</v>
      </c>
      <c r="H2181" s="137"/>
      <c r="I2181" s="137"/>
      <c r="J2181" s="135"/>
      <c r="K2181" s="135"/>
      <c r="L2181" s="135"/>
      <c r="M2181" s="135"/>
      <c r="N2181" s="135"/>
      <c r="O2181" s="135"/>
      <c r="P2181" s="135"/>
      <c r="Q2181" s="135"/>
      <c r="R2181" s="135"/>
      <c r="S2181" s="135"/>
      <c r="T2181" s="135"/>
      <c r="U2181" s="135"/>
      <c r="V2181" s="135"/>
      <c r="W2181" s="135"/>
      <c r="X2181" s="135"/>
      <c r="Y2181" s="135"/>
      <c r="Z2181" s="135"/>
    </row>
    <row r="2182" spans="1:26" ht="12.75">
      <c r="A2182" s="136" t="s">
        <v>15</v>
      </c>
      <c r="B2182" s="136" t="s">
        <v>7690</v>
      </c>
      <c r="C2182" s="136" t="s">
        <v>7706</v>
      </c>
      <c r="D2182" s="136" t="s">
        <v>467</v>
      </c>
      <c r="E2182" s="136" t="s">
        <v>85</v>
      </c>
      <c r="F2182" s="136">
        <v>95</v>
      </c>
      <c r="G2182" s="137">
        <f t="shared" si="8"/>
        <v>5</v>
      </c>
      <c r="H2182" s="137"/>
      <c r="I2182" s="137"/>
      <c r="J2182" s="135"/>
      <c r="K2182" s="135"/>
      <c r="L2182" s="135"/>
      <c r="M2182" s="135"/>
      <c r="N2182" s="135"/>
      <c r="O2182" s="135"/>
      <c r="P2182" s="135"/>
      <c r="Q2182" s="135"/>
      <c r="R2182" s="135"/>
      <c r="S2182" s="135"/>
      <c r="T2182" s="135"/>
      <c r="U2182" s="135"/>
      <c r="V2182" s="135"/>
      <c r="W2182" s="135"/>
      <c r="X2182" s="135"/>
      <c r="Y2182" s="135"/>
      <c r="Z2182" s="135"/>
    </row>
    <row r="2183" spans="1:26" ht="12.75">
      <c r="A2183" s="136" t="s">
        <v>15</v>
      </c>
      <c r="B2183" s="136" t="s">
        <v>7690</v>
      </c>
      <c r="C2183" s="136" t="s">
        <v>7706</v>
      </c>
      <c r="D2183" s="136" t="s">
        <v>7491</v>
      </c>
      <c r="E2183" s="136" t="s">
        <v>615</v>
      </c>
      <c r="F2183" s="136">
        <v>81</v>
      </c>
      <c r="G2183" s="137">
        <f t="shared" si="8"/>
        <v>6</v>
      </c>
      <c r="H2183" s="137"/>
      <c r="I2183" s="137"/>
      <c r="J2183" s="135"/>
      <c r="K2183" s="135"/>
      <c r="L2183" s="135"/>
      <c r="M2183" s="135"/>
      <c r="N2183" s="135"/>
      <c r="O2183" s="135"/>
      <c r="P2183" s="135"/>
      <c r="Q2183" s="135"/>
      <c r="R2183" s="135"/>
      <c r="S2183" s="135"/>
      <c r="T2183" s="135"/>
      <c r="U2183" s="135"/>
      <c r="V2183" s="135"/>
      <c r="W2183" s="135"/>
      <c r="X2183" s="135"/>
      <c r="Y2183" s="135"/>
      <c r="Z2183" s="135"/>
    </row>
    <row r="2184" spans="1:26" ht="12.75">
      <c r="A2184" s="136" t="s">
        <v>15</v>
      </c>
      <c r="B2184" s="136" t="s">
        <v>7690</v>
      </c>
      <c r="C2184" s="136" t="s">
        <v>7706</v>
      </c>
      <c r="D2184" s="136" t="s">
        <v>7698</v>
      </c>
      <c r="E2184" s="136" t="s">
        <v>615</v>
      </c>
      <c r="F2184" s="136">
        <v>73</v>
      </c>
      <c r="G2184" s="137">
        <f t="shared" si="8"/>
        <v>7</v>
      </c>
      <c r="H2184" s="137"/>
      <c r="I2184" s="137"/>
      <c r="J2184" s="135"/>
      <c r="K2184" s="135"/>
      <c r="L2184" s="135"/>
      <c r="M2184" s="135"/>
      <c r="N2184" s="135"/>
      <c r="O2184" s="135"/>
      <c r="P2184" s="135"/>
      <c r="Q2184" s="135"/>
      <c r="R2184" s="135"/>
      <c r="S2184" s="135"/>
      <c r="T2184" s="135"/>
      <c r="U2184" s="135"/>
      <c r="V2184" s="135"/>
      <c r="W2184" s="135"/>
      <c r="X2184" s="135"/>
      <c r="Y2184" s="135"/>
      <c r="Z2184" s="135"/>
    </row>
    <row r="2185" spans="1:26" ht="12.75">
      <c r="A2185" s="136" t="s">
        <v>15</v>
      </c>
      <c r="B2185" s="136" t="s">
        <v>7690</v>
      </c>
      <c r="C2185" s="136" t="s">
        <v>7706</v>
      </c>
      <c r="D2185" s="136" t="s">
        <v>7617</v>
      </c>
      <c r="E2185" s="136" t="s">
        <v>615</v>
      </c>
      <c r="F2185" s="136">
        <v>31</v>
      </c>
      <c r="G2185" s="137">
        <f t="shared" si="8"/>
        <v>8</v>
      </c>
      <c r="H2185" s="137"/>
      <c r="I2185" s="137"/>
      <c r="J2185" s="135"/>
      <c r="K2185" s="135"/>
      <c r="L2185" s="135"/>
      <c r="M2185" s="135"/>
      <c r="N2185" s="135"/>
      <c r="O2185" s="135"/>
      <c r="P2185" s="135"/>
      <c r="Q2185" s="135"/>
      <c r="R2185" s="135"/>
      <c r="S2185" s="135"/>
      <c r="T2185" s="135"/>
      <c r="U2185" s="135"/>
      <c r="V2185" s="135"/>
      <c r="W2185" s="135"/>
      <c r="X2185" s="135"/>
      <c r="Y2185" s="135"/>
      <c r="Z2185" s="135"/>
    </row>
    <row r="2186" spans="1:26" ht="12.75">
      <c r="A2186" s="136" t="s">
        <v>15</v>
      </c>
      <c r="B2186" s="136" t="s">
        <v>7690</v>
      </c>
      <c r="C2186" s="136" t="s">
        <v>7706</v>
      </c>
      <c r="D2186" s="136" t="s">
        <v>7707</v>
      </c>
      <c r="E2186" s="136" t="s">
        <v>615</v>
      </c>
      <c r="F2186" s="136">
        <v>14</v>
      </c>
      <c r="G2186" s="137">
        <f t="shared" si="8"/>
        <v>9</v>
      </c>
      <c r="H2186" s="137"/>
      <c r="I2186" s="137"/>
      <c r="J2186" s="135"/>
      <c r="K2186" s="135"/>
      <c r="L2186" s="135"/>
      <c r="M2186" s="135"/>
      <c r="N2186" s="135"/>
      <c r="O2186" s="135"/>
      <c r="P2186" s="135"/>
      <c r="Q2186" s="135"/>
      <c r="R2186" s="135"/>
      <c r="S2186" s="135"/>
      <c r="T2186" s="135"/>
      <c r="U2186" s="135"/>
      <c r="V2186" s="135"/>
      <c r="W2186" s="135"/>
      <c r="X2186" s="135"/>
      <c r="Y2186" s="135"/>
      <c r="Z2186" s="135"/>
    </row>
    <row r="2187" spans="1:26" ht="12.75">
      <c r="A2187" s="136" t="s">
        <v>15</v>
      </c>
      <c r="B2187" s="136" t="s">
        <v>7690</v>
      </c>
      <c r="C2187" s="136" t="s">
        <v>7706</v>
      </c>
      <c r="D2187" s="136" t="s">
        <v>7708</v>
      </c>
      <c r="E2187" s="136" t="s">
        <v>594</v>
      </c>
      <c r="F2187" s="136">
        <v>11</v>
      </c>
      <c r="G2187" s="137">
        <f t="shared" si="8"/>
        <v>10</v>
      </c>
      <c r="H2187" s="137"/>
      <c r="I2187" s="137"/>
      <c r="J2187" s="135"/>
      <c r="K2187" s="135"/>
      <c r="L2187" s="135"/>
      <c r="M2187" s="135"/>
      <c r="N2187" s="135"/>
      <c r="O2187" s="135"/>
      <c r="P2187" s="135"/>
      <c r="Q2187" s="135"/>
      <c r="R2187" s="135"/>
      <c r="S2187" s="135"/>
      <c r="T2187" s="135"/>
      <c r="U2187" s="135"/>
      <c r="V2187" s="135"/>
      <c r="W2187" s="135"/>
      <c r="X2187" s="135"/>
      <c r="Y2187" s="135"/>
      <c r="Z2187" s="135"/>
    </row>
    <row r="2188" spans="1:26" ht="12.75">
      <c r="A2188" s="136" t="s">
        <v>15</v>
      </c>
      <c r="B2188" s="136" t="s">
        <v>7690</v>
      </c>
      <c r="C2188" s="136" t="s">
        <v>7706</v>
      </c>
      <c r="D2188" s="136"/>
      <c r="E2188" s="136" t="s">
        <v>7693</v>
      </c>
      <c r="F2188" s="136">
        <v>2996</v>
      </c>
      <c r="G2188" s="137">
        <f t="shared" si="8"/>
        <v>1</v>
      </c>
      <c r="H2188" s="137"/>
      <c r="I2188" s="137"/>
      <c r="J2188" s="135"/>
      <c r="K2188" s="135"/>
      <c r="L2188" s="135"/>
      <c r="M2188" s="135"/>
      <c r="N2188" s="135"/>
      <c r="O2188" s="135"/>
      <c r="P2188" s="135"/>
      <c r="Q2188" s="135"/>
      <c r="R2188" s="135"/>
      <c r="S2188" s="135"/>
      <c r="T2188" s="135"/>
      <c r="U2188" s="135"/>
      <c r="V2188" s="135"/>
      <c r="W2188" s="135"/>
      <c r="X2188" s="135"/>
      <c r="Y2188" s="135"/>
      <c r="Z2188" s="135"/>
    </row>
    <row r="2189" spans="1:26" ht="12.75">
      <c r="A2189" s="136" t="s">
        <v>15</v>
      </c>
      <c r="B2189" s="136" t="s">
        <v>7690</v>
      </c>
      <c r="C2189" s="136" t="s">
        <v>7709</v>
      </c>
      <c r="D2189" s="136" t="s">
        <v>103</v>
      </c>
      <c r="E2189" s="136" t="s">
        <v>594</v>
      </c>
      <c r="F2189" s="136">
        <v>1442</v>
      </c>
      <c r="G2189" s="137">
        <f t="shared" si="8"/>
        <v>2</v>
      </c>
      <c r="H2189" s="137"/>
      <c r="I2189" s="137"/>
      <c r="J2189" s="135"/>
      <c r="K2189" s="135"/>
      <c r="L2189" s="135"/>
      <c r="M2189" s="135"/>
      <c r="N2189" s="135"/>
      <c r="O2189" s="135"/>
      <c r="P2189" s="135"/>
      <c r="Q2189" s="135"/>
      <c r="R2189" s="135"/>
      <c r="S2189" s="135"/>
      <c r="T2189" s="135"/>
      <c r="U2189" s="135"/>
      <c r="V2189" s="135"/>
      <c r="W2189" s="135"/>
      <c r="X2189" s="135"/>
      <c r="Y2189" s="135"/>
      <c r="Z2189" s="135"/>
    </row>
    <row r="2190" spans="1:26" ht="12.75">
      <c r="A2190" s="136" t="s">
        <v>15</v>
      </c>
      <c r="B2190" s="136" t="s">
        <v>7690</v>
      </c>
      <c r="C2190" s="136" t="s">
        <v>7709</v>
      </c>
      <c r="D2190" s="136" t="s">
        <v>1669</v>
      </c>
      <c r="E2190" s="136" t="s">
        <v>615</v>
      </c>
      <c r="F2190" s="136">
        <v>553</v>
      </c>
      <c r="G2190" s="137">
        <f t="shared" si="8"/>
        <v>3</v>
      </c>
      <c r="H2190" s="137"/>
      <c r="I2190" s="137"/>
      <c r="J2190" s="135"/>
      <c r="K2190" s="135"/>
      <c r="L2190" s="135"/>
      <c r="M2190" s="135"/>
      <c r="N2190" s="135"/>
      <c r="O2190" s="135"/>
      <c r="P2190" s="135"/>
      <c r="Q2190" s="135"/>
      <c r="R2190" s="135"/>
      <c r="S2190" s="135"/>
      <c r="T2190" s="135"/>
      <c r="U2190" s="135"/>
      <c r="V2190" s="135"/>
      <c r="W2190" s="135"/>
      <c r="X2190" s="135"/>
      <c r="Y2190" s="135"/>
      <c r="Z2190" s="135"/>
    </row>
    <row r="2191" spans="1:26" ht="12.75">
      <c r="A2191" s="136" t="s">
        <v>15</v>
      </c>
      <c r="B2191" s="136" t="s">
        <v>7690</v>
      </c>
      <c r="C2191" s="136" t="s">
        <v>7709</v>
      </c>
      <c r="D2191" s="136" t="s">
        <v>114</v>
      </c>
      <c r="E2191" s="136" t="s">
        <v>85</v>
      </c>
      <c r="F2191" s="136">
        <v>309</v>
      </c>
      <c r="G2191" s="137">
        <f t="shared" si="8"/>
        <v>4</v>
      </c>
      <c r="H2191" s="137"/>
      <c r="I2191" s="137"/>
      <c r="J2191" s="135"/>
      <c r="K2191" s="135"/>
      <c r="L2191" s="135"/>
      <c r="M2191" s="135"/>
      <c r="N2191" s="135"/>
      <c r="O2191" s="135"/>
      <c r="P2191" s="135"/>
      <c r="Q2191" s="135"/>
      <c r="R2191" s="135"/>
      <c r="S2191" s="135"/>
      <c r="T2191" s="135"/>
      <c r="U2191" s="135"/>
      <c r="V2191" s="135"/>
      <c r="W2191" s="135"/>
      <c r="X2191" s="135"/>
      <c r="Y2191" s="135"/>
      <c r="Z2191" s="135"/>
    </row>
    <row r="2192" spans="1:26" ht="12.75">
      <c r="A2192" s="136" t="s">
        <v>15</v>
      </c>
      <c r="B2192" s="136" t="s">
        <v>7690</v>
      </c>
      <c r="C2192" s="136" t="s">
        <v>7709</v>
      </c>
      <c r="D2192" s="136" t="s">
        <v>139</v>
      </c>
      <c r="E2192" s="136" t="s">
        <v>594</v>
      </c>
      <c r="F2192" s="136">
        <v>209</v>
      </c>
      <c r="G2192" s="137">
        <f t="shared" si="8"/>
        <v>5</v>
      </c>
      <c r="H2192" s="137"/>
      <c r="I2192" s="137"/>
      <c r="J2192" s="135"/>
      <c r="K2192" s="135"/>
      <c r="L2192" s="135"/>
      <c r="M2192" s="135"/>
      <c r="N2192" s="135"/>
      <c r="O2192" s="135"/>
      <c r="P2192" s="135"/>
      <c r="Q2192" s="135"/>
      <c r="R2192" s="135"/>
      <c r="S2192" s="135"/>
      <c r="T2192" s="135"/>
      <c r="U2192" s="135"/>
      <c r="V2192" s="135"/>
      <c r="W2192" s="135"/>
      <c r="X2192" s="135"/>
      <c r="Y2192" s="135"/>
      <c r="Z2192" s="135"/>
    </row>
    <row r="2193" spans="1:26" ht="12.75">
      <c r="A2193" s="136" t="s">
        <v>15</v>
      </c>
      <c r="B2193" s="136" t="s">
        <v>7690</v>
      </c>
      <c r="C2193" s="136" t="s">
        <v>7709</v>
      </c>
      <c r="D2193" s="136" t="s">
        <v>154</v>
      </c>
      <c r="E2193" s="136" t="s">
        <v>615</v>
      </c>
      <c r="F2193" s="136">
        <v>204</v>
      </c>
      <c r="G2193" s="137">
        <f t="shared" si="8"/>
        <v>6</v>
      </c>
      <c r="H2193" s="137"/>
      <c r="I2193" s="137"/>
      <c r="J2193" s="135"/>
      <c r="K2193" s="135"/>
      <c r="L2193" s="135"/>
      <c r="M2193" s="135"/>
      <c r="N2193" s="135"/>
      <c r="O2193" s="135"/>
      <c r="P2193" s="135"/>
      <c r="Q2193" s="135"/>
      <c r="R2193" s="135"/>
      <c r="S2193" s="135"/>
      <c r="T2193" s="135"/>
      <c r="U2193" s="135"/>
      <c r="V2193" s="135"/>
      <c r="W2193" s="135"/>
      <c r="X2193" s="135"/>
      <c r="Y2193" s="135"/>
      <c r="Z2193" s="135"/>
    </row>
    <row r="2194" spans="1:26" ht="12.75">
      <c r="A2194" s="136" t="s">
        <v>15</v>
      </c>
      <c r="B2194" s="136" t="s">
        <v>7690</v>
      </c>
      <c r="C2194" s="136" t="s">
        <v>7709</v>
      </c>
      <c r="D2194" s="136" t="s">
        <v>1665</v>
      </c>
      <c r="E2194" s="136" t="s">
        <v>615</v>
      </c>
      <c r="F2194" s="136">
        <v>174</v>
      </c>
      <c r="G2194" s="137">
        <f t="shared" si="8"/>
        <v>7</v>
      </c>
      <c r="H2194" s="137"/>
      <c r="I2194" s="137"/>
      <c r="J2194" s="135"/>
      <c r="K2194" s="135"/>
      <c r="L2194" s="135"/>
      <c r="M2194" s="135"/>
      <c r="N2194" s="135"/>
      <c r="O2194" s="135"/>
      <c r="P2194" s="135"/>
      <c r="Q2194" s="135"/>
      <c r="R2194" s="135"/>
      <c r="S2194" s="135"/>
      <c r="T2194" s="135"/>
      <c r="U2194" s="135"/>
      <c r="V2194" s="135"/>
      <c r="W2194" s="135"/>
      <c r="X2194" s="135"/>
      <c r="Y2194" s="135"/>
      <c r="Z2194" s="135"/>
    </row>
    <row r="2195" spans="1:26" ht="12.75">
      <c r="A2195" s="136" t="s">
        <v>15</v>
      </c>
      <c r="B2195" s="136" t="s">
        <v>7690</v>
      </c>
      <c r="C2195" s="136" t="s">
        <v>7709</v>
      </c>
      <c r="D2195" s="136" t="s">
        <v>467</v>
      </c>
      <c r="E2195" s="136" t="s">
        <v>85</v>
      </c>
      <c r="F2195" s="136">
        <v>143</v>
      </c>
      <c r="G2195" s="137">
        <f t="shared" si="8"/>
        <v>8</v>
      </c>
      <c r="H2195" s="137"/>
      <c r="I2195" s="137"/>
      <c r="J2195" s="135"/>
      <c r="K2195" s="135"/>
      <c r="L2195" s="135"/>
      <c r="M2195" s="135"/>
      <c r="N2195" s="135"/>
      <c r="O2195" s="135"/>
      <c r="P2195" s="135"/>
      <c r="Q2195" s="135"/>
      <c r="R2195" s="135"/>
      <c r="S2195" s="135"/>
      <c r="T2195" s="135"/>
      <c r="U2195" s="135"/>
      <c r="V2195" s="135"/>
      <c r="W2195" s="135"/>
      <c r="X2195" s="135"/>
      <c r="Y2195" s="135"/>
      <c r="Z2195" s="135"/>
    </row>
    <row r="2196" spans="1:26" ht="12.75">
      <c r="A2196" s="136" t="s">
        <v>15</v>
      </c>
      <c r="B2196" s="136" t="s">
        <v>7690</v>
      </c>
      <c r="C2196" s="136" t="s">
        <v>7709</v>
      </c>
      <c r="D2196" s="136" t="s">
        <v>7491</v>
      </c>
      <c r="E2196" s="136" t="s">
        <v>615</v>
      </c>
      <c r="F2196" s="136">
        <v>125</v>
      </c>
      <c r="G2196" s="137">
        <f t="shared" si="8"/>
        <v>9</v>
      </c>
      <c r="H2196" s="137"/>
      <c r="I2196" s="137"/>
      <c r="J2196" s="135"/>
      <c r="K2196" s="135"/>
      <c r="L2196" s="135"/>
      <c r="M2196" s="135"/>
      <c r="N2196" s="135"/>
      <c r="O2196" s="135"/>
      <c r="P2196" s="135"/>
      <c r="Q2196" s="135"/>
      <c r="R2196" s="135"/>
      <c r="S2196" s="135"/>
      <c r="T2196" s="135"/>
      <c r="U2196" s="135"/>
      <c r="V2196" s="135"/>
      <c r="W2196" s="135"/>
      <c r="X2196" s="135"/>
      <c r="Y2196" s="135"/>
      <c r="Z2196" s="135"/>
    </row>
    <row r="2197" spans="1:26" ht="12.75">
      <c r="A2197" s="136" t="s">
        <v>15</v>
      </c>
      <c r="B2197" s="136" t="s">
        <v>7690</v>
      </c>
      <c r="C2197" s="136" t="s">
        <v>7709</v>
      </c>
      <c r="D2197" s="136" t="s">
        <v>1686</v>
      </c>
      <c r="E2197" s="136" t="s">
        <v>615</v>
      </c>
      <c r="F2197" s="136">
        <v>65</v>
      </c>
      <c r="G2197" s="137">
        <f t="shared" si="8"/>
        <v>10</v>
      </c>
      <c r="H2197" s="137"/>
      <c r="I2197" s="137"/>
      <c r="J2197" s="135"/>
      <c r="K2197" s="135"/>
      <c r="L2197" s="135"/>
      <c r="M2197" s="135"/>
      <c r="N2197" s="135"/>
      <c r="O2197" s="135"/>
      <c r="P2197" s="135"/>
      <c r="Q2197" s="135"/>
      <c r="R2197" s="135"/>
      <c r="S2197" s="135"/>
      <c r="T2197" s="135"/>
      <c r="U2197" s="135"/>
      <c r="V2197" s="135"/>
      <c r="W2197" s="135"/>
      <c r="X2197" s="135"/>
      <c r="Y2197" s="135"/>
      <c r="Z2197" s="135"/>
    </row>
    <row r="2198" spans="1:26" ht="12.75">
      <c r="A2198" s="136" t="s">
        <v>15</v>
      </c>
      <c r="B2198" s="136" t="s">
        <v>7690</v>
      </c>
      <c r="C2198" s="136" t="s">
        <v>7709</v>
      </c>
      <c r="D2198" s="136"/>
      <c r="E2198" s="136" t="s">
        <v>7693</v>
      </c>
      <c r="F2198" s="136">
        <v>3224</v>
      </c>
      <c r="G2198" s="137">
        <f t="shared" si="8"/>
        <v>1</v>
      </c>
      <c r="H2198" s="137"/>
      <c r="I2198" s="137"/>
      <c r="J2198" s="135"/>
      <c r="K2198" s="135"/>
      <c r="L2198" s="135"/>
      <c r="M2198" s="135"/>
      <c r="N2198" s="135"/>
      <c r="O2198" s="135"/>
      <c r="P2198" s="135"/>
      <c r="Q2198" s="135"/>
      <c r="R2198" s="135"/>
      <c r="S2198" s="135"/>
      <c r="T2198" s="135"/>
      <c r="U2198" s="135"/>
      <c r="V2198" s="135"/>
      <c r="W2198" s="135"/>
      <c r="X2198" s="135"/>
      <c r="Y2198" s="135"/>
      <c r="Z2198" s="135"/>
    </row>
    <row r="2199" spans="1:26" ht="12.75">
      <c r="A2199" s="136" t="s">
        <v>15</v>
      </c>
      <c r="B2199" s="136" t="s">
        <v>7690</v>
      </c>
      <c r="C2199" s="136" t="s">
        <v>7710</v>
      </c>
      <c r="D2199" s="136" t="s">
        <v>139</v>
      </c>
      <c r="E2199" s="136" t="s">
        <v>594</v>
      </c>
      <c r="F2199" s="136">
        <v>2707</v>
      </c>
      <c r="G2199" s="137">
        <f t="shared" si="8"/>
        <v>2</v>
      </c>
      <c r="H2199" s="137"/>
      <c r="I2199" s="137"/>
      <c r="J2199" s="135"/>
      <c r="K2199" s="135"/>
      <c r="L2199" s="135"/>
      <c r="M2199" s="135"/>
      <c r="N2199" s="135"/>
      <c r="O2199" s="135"/>
      <c r="P2199" s="135"/>
      <c r="Q2199" s="135"/>
      <c r="R2199" s="135"/>
      <c r="S2199" s="135"/>
      <c r="T2199" s="135"/>
      <c r="U2199" s="135"/>
      <c r="V2199" s="135"/>
      <c r="W2199" s="135"/>
      <c r="X2199" s="135"/>
      <c r="Y2199" s="135"/>
      <c r="Z2199" s="135"/>
    </row>
    <row r="2200" spans="1:26" ht="12.75">
      <c r="A2200" s="136" t="s">
        <v>15</v>
      </c>
      <c r="B2200" s="136" t="s">
        <v>7690</v>
      </c>
      <c r="C2200" s="136" t="s">
        <v>7710</v>
      </c>
      <c r="D2200" s="136" t="s">
        <v>114</v>
      </c>
      <c r="E2200" s="136" t="s">
        <v>85</v>
      </c>
      <c r="F2200" s="136">
        <v>420</v>
      </c>
      <c r="G2200" s="137">
        <f t="shared" si="8"/>
        <v>3</v>
      </c>
      <c r="H2200" s="137"/>
      <c r="I2200" s="137"/>
      <c r="J2200" s="135"/>
      <c r="K2200" s="135"/>
      <c r="L2200" s="135"/>
      <c r="M2200" s="135"/>
      <c r="N2200" s="135"/>
      <c r="O2200" s="135"/>
      <c r="P2200" s="135"/>
      <c r="Q2200" s="135"/>
      <c r="R2200" s="135"/>
      <c r="S2200" s="135"/>
      <c r="T2200" s="135"/>
      <c r="U2200" s="135"/>
      <c r="V2200" s="135"/>
      <c r="W2200" s="135"/>
      <c r="X2200" s="135"/>
      <c r="Y2200" s="135"/>
      <c r="Z2200" s="135"/>
    </row>
    <row r="2201" spans="1:26" ht="12.75">
      <c r="A2201" s="136" t="s">
        <v>15</v>
      </c>
      <c r="B2201" s="136" t="s">
        <v>7690</v>
      </c>
      <c r="C2201" s="136" t="s">
        <v>7710</v>
      </c>
      <c r="D2201" s="136" t="s">
        <v>7711</v>
      </c>
      <c r="E2201" s="136" t="s">
        <v>615</v>
      </c>
      <c r="F2201" s="136">
        <v>310</v>
      </c>
      <c r="G2201" s="137">
        <f t="shared" si="8"/>
        <v>4</v>
      </c>
      <c r="H2201" s="137"/>
      <c r="I2201" s="137"/>
      <c r="J2201" s="135"/>
      <c r="K2201" s="135"/>
      <c r="L2201" s="135"/>
      <c r="M2201" s="135"/>
      <c r="N2201" s="135"/>
      <c r="O2201" s="135"/>
      <c r="P2201" s="135"/>
      <c r="Q2201" s="135"/>
      <c r="R2201" s="135"/>
      <c r="S2201" s="135"/>
      <c r="T2201" s="135"/>
      <c r="U2201" s="135"/>
      <c r="V2201" s="135"/>
      <c r="W2201" s="135"/>
      <c r="X2201" s="135"/>
      <c r="Y2201" s="135"/>
      <c r="Z2201" s="135"/>
    </row>
    <row r="2202" spans="1:26" ht="12.75">
      <c r="A2202" s="136" t="s">
        <v>15</v>
      </c>
      <c r="B2202" s="136" t="s">
        <v>7690</v>
      </c>
      <c r="C2202" s="136" t="s">
        <v>7710</v>
      </c>
      <c r="D2202" s="136" t="s">
        <v>7491</v>
      </c>
      <c r="E2202" s="136" t="s">
        <v>615</v>
      </c>
      <c r="F2202" s="136">
        <v>119</v>
      </c>
      <c r="G2202" s="137">
        <f t="shared" si="8"/>
        <v>5</v>
      </c>
      <c r="H2202" s="137"/>
      <c r="I2202" s="137"/>
      <c r="J2202" s="135"/>
      <c r="K2202" s="135"/>
      <c r="L2202" s="135"/>
      <c r="M2202" s="135"/>
      <c r="N2202" s="135"/>
      <c r="O2202" s="135"/>
      <c r="P2202" s="135"/>
      <c r="Q2202" s="135"/>
      <c r="R2202" s="135"/>
      <c r="S2202" s="135"/>
      <c r="T2202" s="135"/>
      <c r="U2202" s="135"/>
      <c r="V2202" s="135"/>
      <c r="W2202" s="135"/>
      <c r="X2202" s="135"/>
      <c r="Y2202" s="135"/>
      <c r="Z2202" s="135"/>
    </row>
    <row r="2203" spans="1:26" ht="12.75">
      <c r="A2203" s="136" t="s">
        <v>15</v>
      </c>
      <c r="B2203" s="136" t="s">
        <v>7690</v>
      </c>
      <c r="C2203" s="136" t="s">
        <v>7710</v>
      </c>
      <c r="D2203" s="136" t="s">
        <v>225</v>
      </c>
      <c r="E2203" s="136" t="s">
        <v>615</v>
      </c>
      <c r="F2203" s="136">
        <v>94</v>
      </c>
      <c r="G2203" s="137">
        <f t="shared" si="8"/>
        <v>6</v>
      </c>
      <c r="H2203" s="137"/>
      <c r="I2203" s="137"/>
      <c r="J2203" s="135"/>
      <c r="K2203" s="135"/>
      <c r="L2203" s="135"/>
      <c r="M2203" s="135"/>
      <c r="N2203" s="135"/>
      <c r="O2203" s="135"/>
      <c r="P2203" s="135"/>
      <c r="Q2203" s="135"/>
      <c r="R2203" s="135"/>
      <c r="S2203" s="135"/>
      <c r="T2203" s="135"/>
      <c r="U2203" s="135"/>
      <c r="V2203" s="135"/>
      <c r="W2203" s="135"/>
      <c r="X2203" s="135"/>
      <c r="Y2203" s="135"/>
      <c r="Z2203" s="135"/>
    </row>
    <row r="2204" spans="1:26" ht="12.75">
      <c r="A2204" s="136" t="s">
        <v>15</v>
      </c>
      <c r="B2204" s="136" t="s">
        <v>7690</v>
      </c>
      <c r="C2204" s="136" t="s">
        <v>7710</v>
      </c>
      <c r="D2204" s="136" t="s">
        <v>1665</v>
      </c>
      <c r="E2204" s="136" t="s">
        <v>615</v>
      </c>
      <c r="F2204" s="136">
        <v>90</v>
      </c>
      <c r="G2204" s="137">
        <f t="shared" si="8"/>
        <v>7</v>
      </c>
      <c r="H2204" s="137"/>
      <c r="I2204" s="137"/>
      <c r="J2204" s="135"/>
      <c r="K2204" s="135"/>
      <c r="L2204" s="135"/>
      <c r="M2204" s="135"/>
      <c r="N2204" s="135"/>
      <c r="O2204" s="135"/>
      <c r="P2204" s="135"/>
      <c r="Q2204" s="135"/>
      <c r="R2204" s="135"/>
      <c r="S2204" s="135"/>
      <c r="T2204" s="135"/>
      <c r="U2204" s="135"/>
      <c r="V2204" s="135"/>
      <c r="W2204" s="135"/>
      <c r="X2204" s="135"/>
      <c r="Y2204" s="135"/>
      <c r="Z2204" s="135"/>
    </row>
    <row r="2205" spans="1:26" ht="12.75">
      <c r="A2205" s="136" t="s">
        <v>15</v>
      </c>
      <c r="B2205" s="136" t="s">
        <v>7690</v>
      </c>
      <c r="C2205" s="136" t="s">
        <v>7710</v>
      </c>
      <c r="D2205" s="136" t="s">
        <v>1669</v>
      </c>
      <c r="E2205" s="136" t="s">
        <v>615</v>
      </c>
      <c r="F2205" s="136">
        <v>49</v>
      </c>
      <c r="G2205" s="137">
        <f t="shared" si="8"/>
        <v>8</v>
      </c>
      <c r="H2205" s="137"/>
      <c r="I2205" s="137"/>
      <c r="J2205" s="135"/>
      <c r="K2205" s="135"/>
      <c r="L2205" s="135"/>
      <c r="M2205" s="135"/>
      <c r="N2205" s="135"/>
      <c r="O2205" s="135"/>
      <c r="P2205" s="135"/>
      <c r="Q2205" s="135"/>
      <c r="R2205" s="135"/>
      <c r="S2205" s="135"/>
      <c r="T2205" s="135"/>
      <c r="U2205" s="135"/>
      <c r="V2205" s="135"/>
      <c r="W2205" s="135"/>
      <c r="X2205" s="135"/>
      <c r="Y2205" s="135"/>
      <c r="Z2205" s="135"/>
    </row>
    <row r="2206" spans="1:26" ht="12.75">
      <c r="A2206" s="136" t="s">
        <v>15</v>
      </c>
      <c r="B2206" s="136" t="s">
        <v>7690</v>
      </c>
      <c r="C2206" s="136" t="s">
        <v>7710</v>
      </c>
      <c r="D2206" s="136"/>
      <c r="E2206" s="136" t="s">
        <v>7693</v>
      </c>
      <c r="F2206" s="136">
        <v>3789</v>
      </c>
      <c r="G2206" s="137">
        <f t="shared" si="8"/>
        <v>1</v>
      </c>
      <c r="H2206" s="137"/>
      <c r="I2206" s="137"/>
      <c r="J2206" s="135"/>
      <c r="K2206" s="135"/>
      <c r="L2206" s="135"/>
      <c r="M2206" s="135"/>
      <c r="N2206" s="135"/>
      <c r="O2206" s="135"/>
      <c r="P2206" s="135"/>
      <c r="Q2206" s="135"/>
      <c r="R2206" s="135"/>
      <c r="S2206" s="135"/>
      <c r="T2206" s="135"/>
      <c r="U2206" s="135"/>
      <c r="V2206" s="135"/>
      <c r="W2206" s="135"/>
      <c r="X2206" s="135"/>
      <c r="Y2206" s="135"/>
      <c r="Z2206" s="135"/>
    </row>
    <row r="2207" spans="1:26" ht="12.75">
      <c r="A2207" s="136" t="s">
        <v>15</v>
      </c>
      <c r="B2207" s="136" t="s">
        <v>7690</v>
      </c>
      <c r="C2207" s="136" t="s">
        <v>7712</v>
      </c>
      <c r="D2207" s="136" t="s">
        <v>139</v>
      </c>
      <c r="E2207" s="136" t="s">
        <v>594</v>
      </c>
      <c r="F2207" s="136">
        <v>3884</v>
      </c>
      <c r="G2207" s="137">
        <f t="shared" si="8"/>
        <v>2</v>
      </c>
      <c r="H2207" s="137"/>
      <c r="I2207" s="137"/>
      <c r="J2207" s="135"/>
      <c r="K2207" s="135"/>
      <c r="L2207" s="135"/>
      <c r="M2207" s="135"/>
      <c r="N2207" s="135"/>
      <c r="O2207" s="135"/>
      <c r="P2207" s="135"/>
      <c r="Q2207" s="135"/>
      <c r="R2207" s="135"/>
      <c r="S2207" s="135"/>
      <c r="T2207" s="135"/>
      <c r="U2207" s="135"/>
      <c r="V2207" s="135"/>
      <c r="W2207" s="135"/>
      <c r="X2207" s="135"/>
      <c r="Y2207" s="135"/>
      <c r="Z2207" s="135"/>
    </row>
    <row r="2208" spans="1:26" ht="12.75">
      <c r="A2208" s="136" t="s">
        <v>15</v>
      </c>
      <c r="B2208" s="136" t="s">
        <v>7690</v>
      </c>
      <c r="C2208" s="136" t="s">
        <v>7712</v>
      </c>
      <c r="D2208" s="136" t="s">
        <v>114</v>
      </c>
      <c r="E2208" s="136" t="s">
        <v>85</v>
      </c>
      <c r="F2208" s="136">
        <v>852</v>
      </c>
      <c r="G2208" s="137">
        <f t="shared" si="8"/>
        <v>3</v>
      </c>
      <c r="H2208" s="137"/>
      <c r="I2208" s="137"/>
      <c r="J2208" s="135"/>
      <c r="K2208" s="135"/>
      <c r="L2208" s="135"/>
      <c r="M2208" s="135"/>
      <c r="N2208" s="135"/>
      <c r="O2208" s="135"/>
      <c r="P2208" s="135"/>
      <c r="Q2208" s="135"/>
      <c r="R2208" s="135"/>
      <c r="S2208" s="135"/>
      <c r="T2208" s="135"/>
      <c r="U2208" s="135"/>
      <c r="V2208" s="135"/>
      <c r="W2208" s="135"/>
      <c r="X2208" s="135"/>
      <c r="Y2208" s="135"/>
      <c r="Z2208" s="135"/>
    </row>
    <row r="2209" spans="1:26" ht="12.75">
      <c r="A2209" s="136" t="s">
        <v>15</v>
      </c>
      <c r="B2209" s="136" t="s">
        <v>7690</v>
      </c>
      <c r="C2209" s="136" t="s">
        <v>7712</v>
      </c>
      <c r="D2209" s="136" t="s">
        <v>103</v>
      </c>
      <c r="E2209" s="136" t="s">
        <v>594</v>
      </c>
      <c r="F2209" s="136">
        <v>461</v>
      </c>
      <c r="G2209" s="137">
        <f t="shared" si="8"/>
        <v>4</v>
      </c>
      <c r="H2209" s="137"/>
      <c r="I2209" s="137"/>
      <c r="J2209" s="135"/>
      <c r="K2209" s="135"/>
      <c r="L2209" s="135"/>
      <c r="M2209" s="135"/>
      <c r="N2209" s="135"/>
      <c r="O2209" s="135"/>
      <c r="P2209" s="135"/>
      <c r="Q2209" s="135"/>
      <c r="R2209" s="135"/>
      <c r="S2209" s="135"/>
      <c r="T2209" s="135"/>
      <c r="U2209" s="135"/>
      <c r="V2209" s="135"/>
      <c r="W2209" s="135"/>
      <c r="X2209" s="135"/>
      <c r="Y2209" s="135"/>
      <c r="Z2209" s="135"/>
    </row>
    <row r="2210" spans="1:26" ht="12.75">
      <c r="A2210" s="136" t="s">
        <v>15</v>
      </c>
      <c r="B2210" s="136" t="s">
        <v>7690</v>
      </c>
      <c r="C2210" s="136" t="s">
        <v>7712</v>
      </c>
      <c r="D2210" s="136" t="s">
        <v>1672</v>
      </c>
      <c r="E2210" s="136" t="s">
        <v>615</v>
      </c>
      <c r="F2210" s="136">
        <v>405</v>
      </c>
      <c r="G2210" s="137">
        <f t="shared" si="8"/>
        <v>5</v>
      </c>
      <c r="H2210" s="137"/>
      <c r="I2210" s="137"/>
      <c r="J2210" s="135"/>
      <c r="K2210" s="135"/>
      <c r="L2210" s="135"/>
      <c r="M2210" s="135"/>
      <c r="N2210" s="135"/>
      <c r="O2210" s="135"/>
      <c r="P2210" s="135"/>
      <c r="Q2210" s="135"/>
      <c r="R2210" s="135"/>
      <c r="S2210" s="135"/>
      <c r="T2210" s="135"/>
      <c r="U2210" s="135"/>
      <c r="V2210" s="135"/>
      <c r="W2210" s="135"/>
      <c r="X2210" s="135"/>
      <c r="Y2210" s="135"/>
      <c r="Z2210" s="135"/>
    </row>
    <row r="2211" spans="1:26" ht="12.75">
      <c r="A2211" s="136" t="s">
        <v>15</v>
      </c>
      <c r="B2211" s="136" t="s">
        <v>7690</v>
      </c>
      <c r="C2211" s="136" t="s">
        <v>7712</v>
      </c>
      <c r="D2211" s="136" t="s">
        <v>225</v>
      </c>
      <c r="E2211" s="136" t="s">
        <v>615</v>
      </c>
      <c r="F2211" s="136">
        <v>403</v>
      </c>
      <c r="G2211" s="137">
        <f t="shared" si="8"/>
        <v>6</v>
      </c>
      <c r="H2211" s="137"/>
      <c r="I2211" s="137"/>
      <c r="J2211" s="135"/>
      <c r="K2211" s="135"/>
      <c r="L2211" s="135"/>
      <c r="M2211" s="135"/>
      <c r="N2211" s="135"/>
      <c r="O2211" s="135"/>
      <c r="P2211" s="135"/>
      <c r="Q2211" s="135"/>
      <c r="R2211" s="135"/>
      <c r="S2211" s="135"/>
      <c r="T2211" s="135"/>
      <c r="U2211" s="135"/>
      <c r="V2211" s="135"/>
      <c r="W2211" s="135"/>
      <c r="X2211" s="135"/>
      <c r="Y2211" s="135"/>
      <c r="Z2211" s="135"/>
    </row>
    <row r="2212" spans="1:26" ht="12.75">
      <c r="A2212" s="136" t="s">
        <v>15</v>
      </c>
      <c r="B2212" s="136" t="s">
        <v>7690</v>
      </c>
      <c r="C2212" s="136" t="s">
        <v>7712</v>
      </c>
      <c r="D2212" s="136" t="s">
        <v>7713</v>
      </c>
      <c r="E2212" s="136" t="s">
        <v>615</v>
      </c>
      <c r="F2212" s="136">
        <v>230</v>
      </c>
      <c r="G2212" s="137">
        <f t="shared" si="8"/>
        <v>7</v>
      </c>
      <c r="H2212" s="137"/>
      <c r="I2212" s="137"/>
      <c r="J2212" s="135"/>
      <c r="K2212" s="135"/>
      <c r="L2212" s="135"/>
      <c r="M2212" s="135"/>
      <c r="N2212" s="135"/>
      <c r="O2212" s="135"/>
      <c r="P2212" s="135"/>
      <c r="Q2212" s="135"/>
      <c r="R2212" s="135"/>
      <c r="S2212" s="135"/>
      <c r="T2212" s="135"/>
      <c r="U2212" s="135"/>
      <c r="V2212" s="135"/>
      <c r="W2212" s="135"/>
      <c r="X2212" s="135"/>
      <c r="Y2212" s="135"/>
      <c r="Z2212" s="135"/>
    </row>
    <row r="2213" spans="1:26" ht="12.75">
      <c r="A2213" s="136" t="s">
        <v>15</v>
      </c>
      <c r="B2213" s="136" t="s">
        <v>7690</v>
      </c>
      <c r="C2213" s="136" t="s">
        <v>7712</v>
      </c>
      <c r="D2213" s="136" t="s">
        <v>1665</v>
      </c>
      <c r="E2213" s="136" t="s">
        <v>615</v>
      </c>
      <c r="F2213" s="136">
        <v>162</v>
      </c>
      <c r="G2213" s="137">
        <f t="shared" si="8"/>
        <v>8</v>
      </c>
      <c r="H2213" s="137"/>
      <c r="I2213" s="137"/>
      <c r="J2213" s="135"/>
      <c r="K2213" s="135"/>
      <c r="L2213" s="135"/>
      <c r="M2213" s="135"/>
      <c r="N2213" s="135"/>
      <c r="O2213" s="135"/>
      <c r="P2213" s="135"/>
      <c r="Q2213" s="135"/>
      <c r="R2213" s="135"/>
      <c r="S2213" s="135"/>
      <c r="T2213" s="135"/>
      <c r="U2213" s="135"/>
      <c r="V2213" s="135"/>
      <c r="W2213" s="135"/>
      <c r="X2213" s="135"/>
      <c r="Y2213" s="135"/>
      <c r="Z2213" s="135"/>
    </row>
    <row r="2214" spans="1:26" ht="12.75">
      <c r="A2214" s="136" t="s">
        <v>15</v>
      </c>
      <c r="B2214" s="136" t="s">
        <v>7690</v>
      </c>
      <c r="C2214" s="136" t="s">
        <v>7712</v>
      </c>
      <c r="D2214" s="136" t="s">
        <v>7491</v>
      </c>
      <c r="E2214" s="136" t="s">
        <v>615</v>
      </c>
      <c r="F2214" s="136">
        <v>131</v>
      </c>
      <c r="G2214" s="137">
        <f t="shared" si="8"/>
        <v>9</v>
      </c>
      <c r="H2214" s="137"/>
      <c r="I2214" s="137"/>
      <c r="J2214" s="135"/>
      <c r="K2214" s="135"/>
      <c r="L2214" s="135"/>
      <c r="M2214" s="135"/>
      <c r="N2214" s="135"/>
      <c r="O2214" s="135"/>
      <c r="P2214" s="135"/>
      <c r="Q2214" s="135"/>
      <c r="R2214" s="135"/>
      <c r="S2214" s="135"/>
      <c r="T2214" s="135"/>
      <c r="U2214" s="135"/>
      <c r="V2214" s="135"/>
      <c r="W2214" s="135"/>
      <c r="X2214" s="135"/>
      <c r="Y2214" s="135"/>
      <c r="Z2214" s="135"/>
    </row>
    <row r="2215" spans="1:26" ht="12.75">
      <c r="A2215" s="136" t="s">
        <v>15</v>
      </c>
      <c r="B2215" s="136" t="s">
        <v>7690</v>
      </c>
      <c r="C2215" s="136" t="s">
        <v>7712</v>
      </c>
      <c r="D2215" s="136" t="s">
        <v>1626</v>
      </c>
      <c r="E2215" s="136" t="s">
        <v>594</v>
      </c>
      <c r="F2215" s="136">
        <v>111</v>
      </c>
      <c r="G2215" s="137">
        <f t="shared" si="8"/>
        <v>10</v>
      </c>
      <c r="H2215" s="137"/>
      <c r="I2215" s="137"/>
      <c r="J2215" s="135"/>
      <c r="K2215" s="135"/>
      <c r="L2215" s="135"/>
      <c r="M2215" s="135"/>
      <c r="N2215" s="135"/>
      <c r="O2215" s="135"/>
      <c r="P2215" s="135"/>
      <c r="Q2215" s="135"/>
      <c r="R2215" s="135"/>
      <c r="S2215" s="135"/>
      <c r="T2215" s="135"/>
      <c r="U2215" s="135"/>
      <c r="V2215" s="135"/>
      <c r="W2215" s="135"/>
      <c r="X2215" s="135"/>
      <c r="Y2215" s="135"/>
      <c r="Z2215" s="135"/>
    </row>
    <row r="2216" spans="1:26" ht="12.75">
      <c r="A2216" s="136" t="s">
        <v>15</v>
      </c>
      <c r="B2216" s="136" t="s">
        <v>7690</v>
      </c>
      <c r="C2216" s="136" t="s">
        <v>7712</v>
      </c>
      <c r="D2216" s="136" t="s">
        <v>467</v>
      </c>
      <c r="E2216" s="136" t="s">
        <v>85</v>
      </c>
      <c r="F2216" s="136">
        <v>62</v>
      </c>
      <c r="G2216" s="137">
        <f t="shared" si="8"/>
        <v>11</v>
      </c>
      <c r="H2216" s="137"/>
      <c r="I2216" s="137"/>
      <c r="J2216" s="135"/>
      <c r="K2216" s="135"/>
      <c r="L2216" s="135"/>
      <c r="M2216" s="135"/>
      <c r="N2216" s="135"/>
      <c r="O2216" s="135"/>
      <c r="P2216" s="135"/>
      <c r="Q2216" s="135"/>
      <c r="R2216" s="135"/>
      <c r="S2216" s="135"/>
      <c r="T2216" s="135"/>
      <c r="U2216" s="135"/>
      <c r="V2216" s="135"/>
      <c r="W2216" s="135"/>
      <c r="X2216" s="135"/>
      <c r="Y2216" s="135"/>
      <c r="Z2216" s="135"/>
    </row>
    <row r="2217" spans="1:26" ht="12.75">
      <c r="A2217" s="136" t="s">
        <v>15</v>
      </c>
      <c r="B2217" s="136" t="s">
        <v>7690</v>
      </c>
      <c r="C2217" s="136" t="s">
        <v>7712</v>
      </c>
      <c r="D2217" s="136" t="s">
        <v>7704</v>
      </c>
      <c r="E2217" s="136" t="s">
        <v>615</v>
      </c>
      <c r="F2217" s="136">
        <v>48</v>
      </c>
      <c r="G2217" s="137">
        <f t="shared" si="8"/>
        <v>12</v>
      </c>
      <c r="H2217" s="137"/>
      <c r="I2217" s="137"/>
      <c r="J2217" s="135"/>
      <c r="K2217" s="135"/>
      <c r="L2217" s="135"/>
      <c r="M2217" s="135"/>
      <c r="N2217" s="135"/>
      <c r="O2217" s="135"/>
      <c r="P2217" s="135"/>
      <c r="Q2217" s="135"/>
      <c r="R2217" s="135"/>
      <c r="S2217" s="135"/>
      <c r="T2217" s="135"/>
      <c r="U2217" s="135"/>
      <c r="V2217" s="135"/>
      <c r="W2217" s="135"/>
      <c r="X2217" s="135"/>
      <c r="Y2217" s="135"/>
      <c r="Z2217" s="135"/>
    </row>
    <row r="2218" spans="1:26" ht="12.75">
      <c r="A2218" s="136" t="s">
        <v>15</v>
      </c>
      <c r="B2218" s="136" t="s">
        <v>7690</v>
      </c>
      <c r="C2218" s="136" t="s">
        <v>7712</v>
      </c>
      <c r="D2218" s="136"/>
      <c r="E2218" s="136" t="s">
        <v>7693</v>
      </c>
      <c r="F2218" s="136">
        <v>6749</v>
      </c>
      <c r="G2218" s="137">
        <f t="shared" si="8"/>
        <v>1</v>
      </c>
      <c r="H2218" s="137"/>
      <c r="I2218" s="137"/>
      <c r="J2218" s="135"/>
      <c r="K2218" s="135"/>
      <c r="L2218" s="135"/>
      <c r="M2218" s="135"/>
      <c r="N2218" s="135"/>
      <c r="O2218" s="135"/>
      <c r="P2218" s="135"/>
      <c r="Q2218" s="135"/>
      <c r="R2218" s="135"/>
      <c r="S2218" s="135"/>
      <c r="T2218" s="135"/>
      <c r="U2218" s="135"/>
      <c r="V2218" s="135"/>
      <c r="W2218" s="135"/>
      <c r="X2218" s="135"/>
      <c r="Y2218" s="135"/>
      <c r="Z2218" s="135"/>
    </row>
    <row r="2219" spans="1:26" ht="12.75">
      <c r="A2219" s="136" t="s">
        <v>15</v>
      </c>
      <c r="B2219" s="136" t="s">
        <v>7690</v>
      </c>
      <c r="C2219" s="136" t="s">
        <v>7714</v>
      </c>
      <c r="D2219" s="136" t="s">
        <v>139</v>
      </c>
      <c r="E2219" s="136" t="s">
        <v>594</v>
      </c>
      <c r="F2219" s="136">
        <v>1502</v>
      </c>
      <c r="G2219" s="137">
        <f t="shared" si="8"/>
        <v>2</v>
      </c>
      <c r="H2219" s="137"/>
      <c r="I2219" s="137"/>
      <c r="J2219" s="135"/>
      <c r="K2219" s="135"/>
      <c r="L2219" s="135"/>
      <c r="M2219" s="135"/>
      <c r="N2219" s="135"/>
      <c r="O2219" s="135"/>
      <c r="P2219" s="135"/>
      <c r="Q2219" s="135"/>
      <c r="R2219" s="135"/>
      <c r="S2219" s="135"/>
      <c r="T2219" s="135"/>
      <c r="U2219" s="135"/>
      <c r="V2219" s="135"/>
      <c r="W2219" s="135"/>
      <c r="X2219" s="135"/>
      <c r="Y2219" s="135"/>
      <c r="Z2219" s="135"/>
    </row>
    <row r="2220" spans="1:26" ht="12.75">
      <c r="A2220" s="136" t="s">
        <v>15</v>
      </c>
      <c r="B2220" s="136" t="s">
        <v>7690</v>
      </c>
      <c r="C2220" s="136" t="s">
        <v>7714</v>
      </c>
      <c r="D2220" s="136" t="s">
        <v>114</v>
      </c>
      <c r="E2220" s="136" t="s">
        <v>85</v>
      </c>
      <c r="F2220" s="136">
        <v>283</v>
      </c>
      <c r="G2220" s="137">
        <f t="shared" si="8"/>
        <v>3</v>
      </c>
      <c r="H2220" s="137"/>
      <c r="I2220" s="137"/>
      <c r="J2220" s="135"/>
      <c r="K2220" s="135"/>
      <c r="L2220" s="135"/>
      <c r="M2220" s="135"/>
      <c r="N2220" s="135"/>
      <c r="O2220" s="135"/>
      <c r="P2220" s="135"/>
      <c r="Q2220" s="135"/>
      <c r="R2220" s="135"/>
      <c r="S2220" s="135"/>
      <c r="T2220" s="135"/>
      <c r="U2220" s="135"/>
      <c r="V2220" s="135"/>
      <c r="W2220" s="135"/>
      <c r="X2220" s="135"/>
      <c r="Y2220" s="135"/>
      <c r="Z2220" s="135"/>
    </row>
    <row r="2221" spans="1:26" ht="12.75">
      <c r="A2221" s="136" t="s">
        <v>15</v>
      </c>
      <c r="B2221" s="136" t="s">
        <v>7690</v>
      </c>
      <c r="C2221" s="136" t="s">
        <v>7714</v>
      </c>
      <c r="D2221" s="136" t="s">
        <v>165</v>
      </c>
      <c r="E2221" s="136" t="s">
        <v>615</v>
      </c>
      <c r="F2221" s="136">
        <v>154</v>
      </c>
      <c r="G2221" s="137">
        <f t="shared" si="8"/>
        <v>4</v>
      </c>
      <c r="H2221" s="137"/>
      <c r="I2221" s="137"/>
      <c r="J2221" s="135"/>
      <c r="K2221" s="135"/>
      <c r="L2221" s="135"/>
      <c r="M2221" s="135"/>
      <c r="N2221" s="135"/>
      <c r="O2221" s="135"/>
      <c r="P2221" s="135"/>
      <c r="Q2221" s="135"/>
      <c r="R2221" s="135"/>
      <c r="S2221" s="135"/>
      <c r="T2221" s="135"/>
      <c r="U2221" s="135"/>
      <c r="V2221" s="135"/>
      <c r="W2221" s="135"/>
      <c r="X2221" s="135"/>
      <c r="Y2221" s="135"/>
      <c r="Z2221" s="135"/>
    </row>
    <row r="2222" spans="1:26" ht="12.75">
      <c r="A2222" s="136" t="s">
        <v>15</v>
      </c>
      <c r="B2222" s="136" t="s">
        <v>7690</v>
      </c>
      <c r="C2222" s="136" t="s">
        <v>7714</v>
      </c>
      <c r="D2222" s="136" t="s">
        <v>467</v>
      </c>
      <c r="E2222" s="136" t="s">
        <v>85</v>
      </c>
      <c r="F2222" s="136">
        <v>99</v>
      </c>
      <c r="G2222" s="137">
        <f t="shared" si="8"/>
        <v>5</v>
      </c>
      <c r="H2222" s="137"/>
      <c r="I2222" s="137"/>
      <c r="J2222" s="135"/>
      <c r="K2222" s="135"/>
      <c r="L2222" s="135"/>
      <c r="M2222" s="135"/>
      <c r="N2222" s="135"/>
      <c r="O2222" s="135"/>
      <c r="P2222" s="135"/>
      <c r="Q2222" s="135"/>
      <c r="R2222" s="135"/>
      <c r="S2222" s="135"/>
      <c r="T2222" s="135"/>
      <c r="U2222" s="135"/>
      <c r="V2222" s="135"/>
      <c r="W2222" s="135"/>
      <c r="X2222" s="135"/>
      <c r="Y2222" s="135"/>
      <c r="Z2222" s="135"/>
    </row>
    <row r="2223" spans="1:26" ht="25.5">
      <c r="A2223" s="136" t="s">
        <v>15</v>
      </c>
      <c r="B2223" s="136" t="s">
        <v>7690</v>
      </c>
      <c r="C2223" s="136" t="s">
        <v>7714</v>
      </c>
      <c r="D2223" s="136" t="s">
        <v>1680</v>
      </c>
      <c r="E2223" s="136" t="s">
        <v>615</v>
      </c>
      <c r="F2223" s="136">
        <v>57</v>
      </c>
      <c r="G2223" s="137">
        <f t="shared" si="8"/>
        <v>6</v>
      </c>
      <c r="H2223" s="137"/>
      <c r="I2223" s="137"/>
      <c r="J2223" s="135"/>
      <c r="K2223" s="135"/>
      <c r="L2223" s="135"/>
      <c r="M2223" s="135"/>
      <c r="N2223" s="135"/>
      <c r="O2223" s="135"/>
      <c r="P2223" s="135"/>
      <c r="Q2223" s="135"/>
      <c r="R2223" s="135"/>
      <c r="S2223" s="135"/>
      <c r="T2223" s="135"/>
      <c r="U2223" s="135"/>
      <c r="V2223" s="135"/>
      <c r="W2223" s="135"/>
      <c r="X2223" s="135"/>
      <c r="Y2223" s="135"/>
      <c r="Z2223" s="135"/>
    </row>
    <row r="2224" spans="1:26" ht="12.75">
      <c r="A2224" s="136" t="s">
        <v>15</v>
      </c>
      <c r="B2224" s="136" t="s">
        <v>7690</v>
      </c>
      <c r="C2224" s="136" t="s">
        <v>7714</v>
      </c>
      <c r="D2224" s="136" t="s">
        <v>1669</v>
      </c>
      <c r="E2224" s="136" t="s">
        <v>615</v>
      </c>
      <c r="F2224" s="136">
        <v>45</v>
      </c>
      <c r="G2224" s="137">
        <f t="shared" si="8"/>
        <v>7</v>
      </c>
      <c r="H2224" s="137"/>
      <c r="I2224" s="137"/>
      <c r="J2224" s="135"/>
      <c r="K2224" s="135"/>
      <c r="L2224" s="135"/>
      <c r="M2224" s="135"/>
      <c r="N2224" s="135"/>
      <c r="O2224" s="135"/>
      <c r="P2224" s="135"/>
      <c r="Q2224" s="135"/>
      <c r="R2224" s="135"/>
      <c r="S2224" s="135"/>
      <c r="T2224" s="135"/>
      <c r="U2224" s="135"/>
      <c r="V2224" s="135"/>
      <c r="W2224" s="135"/>
      <c r="X2224" s="135"/>
      <c r="Y2224" s="135"/>
      <c r="Z2224" s="135"/>
    </row>
    <row r="2225" spans="1:26" ht="12.75">
      <c r="A2225" s="136" t="s">
        <v>15</v>
      </c>
      <c r="B2225" s="136" t="s">
        <v>7690</v>
      </c>
      <c r="C2225" s="136" t="s">
        <v>7714</v>
      </c>
      <c r="D2225" s="136" t="s">
        <v>7491</v>
      </c>
      <c r="E2225" s="136" t="s">
        <v>615</v>
      </c>
      <c r="F2225" s="136">
        <v>26</v>
      </c>
      <c r="G2225" s="137">
        <f t="shared" si="8"/>
        <v>8</v>
      </c>
      <c r="H2225" s="137"/>
      <c r="I2225" s="137"/>
      <c r="J2225" s="135"/>
      <c r="K2225" s="135"/>
      <c r="L2225" s="135"/>
      <c r="M2225" s="135"/>
      <c r="N2225" s="135"/>
      <c r="O2225" s="135"/>
      <c r="P2225" s="135"/>
      <c r="Q2225" s="135"/>
      <c r="R2225" s="135"/>
      <c r="S2225" s="135"/>
      <c r="T2225" s="135"/>
      <c r="U2225" s="135"/>
      <c r="V2225" s="135"/>
      <c r="W2225" s="135"/>
      <c r="X2225" s="135"/>
      <c r="Y2225" s="135"/>
      <c r="Z2225" s="135"/>
    </row>
    <row r="2226" spans="1:26" ht="12.75">
      <c r="A2226" s="136" t="s">
        <v>15</v>
      </c>
      <c r="B2226" s="136" t="s">
        <v>7690</v>
      </c>
      <c r="C2226" s="136" t="s">
        <v>7714</v>
      </c>
      <c r="D2226" s="136" t="s">
        <v>1665</v>
      </c>
      <c r="E2226" s="136" t="s">
        <v>615</v>
      </c>
      <c r="F2226" s="136">
        <v>23</v>
      </c>
      <c r="G2226" s="137">
        <f t="shared" si="8"/>
        <v>9</v>
      </c>
      <c r="H2226" s="137"/>
      <c r="I2226" s="137"/>
      <c r="J2226" s="135"/>
      <c r="K2226" s="135"/>
      <c r="L2226" s="135"/>
      <c r="M2226" s="135"/>
      <c r="N2226" s="135"/>
      <c r="O2226" s="135"/>
      <c r="P2226" s="135"/>
      <c r="Q2226" s="135"/>
      <c r="R2226" s="135"/>
      <c r="S2226" s="135"/>
      <c r="T2226" s="135"/>
      <c r="U2226" s="135"/>
      <c r="V2226" s="135"/>
      <c r="W2226" s="135"/>
      <c r="X2226" s="135"/>
      <c r="Y2226" s="135"/>
      <c r="Z2226" s="135"/>
    </row>
    <row r="2227" spans="1:26" ht="12.75">
      <c r="A2227" s="136" t="s">
        <v>15</v>
      </c>
      <c r="B2227" s="136" t="s">
        <v>7690</v>
      </c>
      <c r="C2227" s="136" t="s">
        <v>7714</v>
      </c>
      <c r="D2227" s="136"/>
      <c r="E2227" s="136" t="s">
        <v>7693</v>
      </c>
      <c r="F2227" s="136">
        <v>2189</v>
      </c>
      <c r="G2227" s="137">
        <f t="shared" si="8"/>
        <v>1</v>
      </c>
      <c r="H2227" s="137"/>
      <c r="I2227" s="137"/>
      <c r="J2227" s="135"/>
      <c r="K2227" s="135"/>
      <c r="L2227" s="135"/>
      <c r="M2227" s="135"/>
      <c r="N2227" s="135"/>
      <c r="O2227" s="135"/>
      <c r="P2227" s="135"/>
      <c r="Q2227" s="135"/>
      <c r="R2227" s="135"/>
      <c r="S2227" s="135"/>
      <c r="T2227" s="135"/>
      <c r="U2227" s="135"/>
      <c r="V2227" s="135"/>
      <c r="W2227" s="135"/>
      <c r="X2227" s="135"/>
      <c r="Y2227" s="135"/>
      <c r="Z2227" s="135"/>
    </row>
    <row r="2228" spans="1:26" ht="12.75">
      <c r="A2228" s="136" t="s">
        <v>15</v>
      </c>
      <c r="B2228" s="136" t="s">
        <v>7690</v>
      </c>
      <c r="C2228" s="136" t="s">
        <v>1277</v>
      </c>
      <c r="D2228" s="136" t="s">
        <v>139</v>
      </c>
      <c r="E2228" s="136" t="s">
        <v>594</v>
      </c>
      <c r="F2228" s="136">
        <v>1764</v>
      </c>
      <c r="G2228" s="137">
        <f t="shared" si="8"/>
        <v>2</v>
      </c>
      <c r="H2228" s="137"/>
      <c r="I2228" s="137"/>
      <c r="J2228" s="135"/>
      <c r="K2228" s="135"/>
      <c r="L2228" s="135"/>
      <c r="M2228" s="135"/>
      <c r="N2228" s="135"/>
      <c r="O2228" s="135"/>
      <c r="P2228" s="135"/>
      <c r="Q2228" s="135"/>
      <c r="R2228" s="135"/>
      <c r="S2228" s="135"/>
      <c r="T2228" s="135"/>
      <c r="U2228" s="135"/>
      <c r="V2228" s="135"/>
      <c r="W2228" s="135"/>
      <c r="X2228" s="135"/>
      <c r="Y2228" s="135"/>
      <c r="Z2228" s="135"/>
    </row>
    <row r="2229" spans="1:26" ht="12.75">
      <c r="A2229" s="136" t="s">
        <v>15</v>
      </c>
      <c r="B2229" s="136" t="s">
        <v>7690</v>
      </c>
      <c r="C2229" s="136" t="s">
        <v>1277</v>
      </c>
      <c r="D2229" s="136" t="s">
        <v>7715</v>
      </c>
      <c r="E2229" s="136" t="s">
        <v>615</v>
      </c>
      <c r="F2229" s="136">
        <v>132</v>
      </c>
      <c r="G2229" s="137">
        <f t="shared" si="8"/>
        <v>3</v>
      </c>
      <c r="H2229" s="137"/>
      <c r="I2229" s="137"/>
      <c r="J2229" s="135"/>
      <c r="K2229" s="135"/>
      <c r="L2229" s="135"/>
      <c r="M2229" s="135"/>
      <c r="N2229" s="135"/>
      <c r="O2229" s="135"/>
      <c r="P2229" s="135"/>
      <c r="Q2229" s="135"/>
      <c r="R2229" s="135"/>
      <c r="S2229" s="135"/>
      <c r="T2229" s="135"/>
      <c r="U2229" s="135"/>
      <c r="V2229" s="135"/>
      <c r="W2229" s="135"/>
      <c r="X2229" s="135"/>
      <c r="Y2229" s="135"/>
      <c r="Z2229" s="135"/>
    </row>
    <row r="2230" spans="1:26" ht="12.75">
      <c r="A2230" s="136" t="s">
        <v>15</v>
      </c>
      <c r="B2230" s="136" t="s">
        <v>7690</v>
      </c>
      <c r="C2230" s="136" t="s">
        <v>1277</v>
      </c>
      <c r="D2230" s="136" t="s">
        <v>114</v>
      </c>
      <c r="E2230" s="136" t="s">
        <v>85</v>
      </c>
      <c r="F2230" s="136">
        <v>125</v>
      </c>
      <c r="G2230" s="137">
        <f t="shared" si="8"/>
        <v>4</v>
      </c>
      <c r="H2230" s="137"/>
      <c r="I2230" s="137"/>
      <c r="J2230" s="135"/>
      <c r="K2230" s="135"/>
      <c r="L2230" s="135"/>
      <c r="M2230" s="135"/>
      <c r="N2230" s="135"/>
      <c r="O2230" s="135"/>
      <c r="P2230" s="135"/>
      <c r="Q2230" s="135"/>
      <c r="R2230" s="135"/>
      <c r="S2230" s="135"/>
      <c r="T2230" s="135"/>
      <c r="U2230" s="135"/>
      <c r="V2230" s="135"/>
      <c r="W2230" s="135"/>
      <c r="X2230" s="135"/>
      <c r="Y2230" s="135"/>
      <c r="Z2230" s="135"/>
    </row>
    <row r="2231" spans="1:26" ht="12.75">
      <c r="A2231" s="136" t="s">
        <v>15</v>
      </c>
      <c r="B2231" s="136" t="s">
        <v>7690</v>
      </c>
      <c r="C2231" s="136" t="s">
        <v>1277</v>
      </c>
      <c r="D2231" s="136" t="s">
        <v>7716</v>
      </c>
      <c r="E2231" s="136" t="s">
        <v>615</v>
      </c>
      <c r="F2231" s="136">
        <v>78</v>
      </c>
      <c r="G2231" s="137">
        <f t="shared" si="8"/>
        <v>5</v>
      </c>
      <c r="H2231" s="137"/>
      <c r="I2231" s="137"/>
      <c r="J2231" s="135"/>
      <c r="K2231" s="135"/>
      <c r="L2231" s="135"/>
      <c r="M2231" s="135"/>
      <c r="N2231" s="135"/>
      <c r="O2231" s="135"/>
      <c r="P2231" s="135"/>
      <c r="Q2231" s="135"/>
      <c r="R2231" s="135"/>
      <c r="S2231" s="135"/>
      <c r="T2231" s="135"/>
      <c r="U2231" s="135"/>
      <c r="V2231" s="135"/>
      <c r="W2231" s="135"/>
      <c r="X2231" s="135"/>
      <c r="Y2231" s="135"/>
      <c r="Z2231" s="135"/>
    </row>
    <row r="2232" spans="1:26" ht="12.75">
      <c r="A2232" s="136" t="s">
        <v>15</v>
      </c>
      <c r="B2232" s="136" t="s">
        <v>7690</v>
      </c>
      <c r="C2232" s="136" t="s">
        <v>1277</v>
      </c>
      <c r="D2232" s="136" t="s">
        <v>7491</v>
      </c>
      <c r="E2232" s="136" t="s">
        <v>615</v>
      </c>
      <c r="F2232" s="136">
        <v>64</v>
      </c>
      <c r="G2232" s="137">
        <f t="shared" si="8"/>
        <v>6</v>
      </c>
      <c r="H2232" s="137"/>
      <c r="I2232" s="137"/>
      <c r="J2232" s="135"/>
      <c r="K2232" s="135"/>
      <c r="L2232" s="135"/>
      <c r="M2232" s="135"/>
      <c r="N2232" s="135"/>
      <c r="O2232" s="135"/>
      <c r="P2232" s="135"/>
      <c r="Q2232" s="135"/>
      <c r="R2232" s="135"/>
      <c r="S2232" s="135"/>
      <c r="T2232" s="135"/>
      <c r="U2232" s="135"/>
      <c r="V2232" s="135"/>
      <c r="W2232" s="135"/>
      <c r="X2232" s="135"/>
      <c r="Y2232" s="135"/>
      <c r="Z2232" s="135"/>
    </row>
    <row r="2233" spans="1:26" ht="12.75">
      <c r="A2233" s="136" t="s">
        <v>15</v>
      </c>
      <c r="B2233" s="136" t="s">
        <v>7690</v>
      </c>
      <c r="C2233" s="136" t="s">
        <v>1277</v>
      </c>
      <c r="D2233" s="136" t="s">
        <v>7717</v>
      </c>
      <c r="E2233" s="136" t="s">
        <v>615</v>
      </c>
      <c r="F2233" s="136">
        <v>15</v>
      </c>
      <c r="G2233" s="137">
        <f t="shared" si="8"/>
        <v>7</v>
      </c>
      <c r="H2233" s="137"/>
      <c r="I2233" s="137"/>
      <c r="J2233" s="135"/>
      <c r="K2233" s="135"/>
      <c r="L2233" s="135"/>
      <c r="M2233" s="135"/>
      <c r="N2233" s="135"/>
      <c r="O2233" s="135"/>
      <c r="P2233" s="135"/>
      <c r="Q2233" s="135"/>
      <c r="R2233" s="135"/>
      <c r="S2233" s="135"/>
      <c r="T2233" s="135"/>
      <c r="U2233" s="135"/>
      <c r="V2233" s="135"/>
      <c r="W2233" s="135"/>
      <c r="X2233" s="135"/>
      <c r="Y2233" s="135"/>
      <c r="Z2233" s="135"/>
    </row>
    <row r="2234" spans="1:26" ht="12.75">
      <c r="A2234" s="136" t="s">
        <v>15</v>
      </c>
      <c r="B2234" s="136" t="s">
        <v>7690</v>
      </c>
      <c r="C2234" s="136" t="s">
        <v>1277</v>
      </c>
      <c r="D2234" s="136" t="s">
        <v>7630</v>
      </c>
      <c r="E2234" s="136" t="s">
        <v>615</v>
      </c>
      <c r="F2234" s="136">
        <v>9</v>
      </c>
      <c r="G2234" s="137">
        <f t="shared" si="8"/>
        <v>8</v>
      </c>
      <c r="H2234" s="137"/>
      <c r="I2234" s="137"/>
      <c r="J2234" s="135"/>
      <c r="K2234" s="135"/>
      <c r="L2234" s="135"/>
      <c r="M2234" s="135"/>
      <c r="N2234" s="135"/>
      <c r="O2234" s="135"/>
      <c r="P2234" s="135"/>
      <c r="Q2234" s="135"/>
      <c r="R2234" s="135"/>
      <c r="S2234" s="135"/>
      <c r="T2234" s="135"/>
      <c r="U2234" s="135"/>
      <c r="V2234" s="135"/>
      <c r="W2234" s="135"/>
      <c r="X2234" s="135"/>
      <c r="Y2234" s="135"/>
      <c r="Z2234" s="135"/>
    </row>
    <row r="2235" spans="1:26" ht="12.75">
      <c r="A2235" s="136" t="s">
        <v>15</v>
      </c>
      <c r="B2235" s="136" t="s">
        <v>7690</v>
      </c>
      <c r="C2235" s="136" t="s">
        <v>1277</v>
      </c>
      <c r="D2235" s="136"/>
      <c r="E2235" s="136" t="s">
        <v>7693</v>
      </c>
      <c r="F2235" s="136">
        <v>2187</v>
      </c>
      <c r="G2235" s="137">
        <f t="shared" si="8"/>
        <v>1</v>
      </c>
      <c r="H2235" s="137"/>
      <c r="I2235" s="137"/>
      <c r="J2235" s="135"/>
      <c r="K2235" s="135"/>
      <c r="L2235" s="135"/>
      <c r="M2235" s="135"/>
      <c r="N2235" s="135"/>
      <c r="O2235" s="135"/>
      <c r="P2235" s="135"/>
      <c r="Q2235" s="135"/>
      <c r="R2235" s="135"/>
      <c r="S2235" s="135"/>
      <c r="T2235" s="135"/>
      <c r="U2235" s="135"/>
      <c r="V2235" s="135"/>
      <c r="W2235" s="135"/>
      <c r="X2235" s="135"/>
      <c r="Y2235" s="135"/>
      <c r="Z2235" s="135"/>
    </row>
    <row r="2236" spans="1:26" ht="12.75">
      <c r="A2236" s="136" t="s">
        <v>15</v>
      </c>
      <c r="B2236" s="136" t="s">
        <v>7690</v>
      </c>
      <c r="C2236" s="136" t="s">
        <v>7718</v>
      </c>
      <c r="D2236" s="136" t="s">
        <v>139</v>
      </c>
      <c r="E2236" s="136" t="s">
        <v>594</v>
      </c>
      <c r="F2236" s="136">
        <v>1523</v>
      </c>
      <c r="G2236" s="137">
        <f t="shared" si="8"/>
        <v>2</v>
      </c>
      <c r="H2236" s="137"/>
      <c r="I2236" s="137"/>
      <c r="J2236" s="135"/>
      <c r="K2236" s="135"/>
      <c r="L2236" s="135"/>
      <c r="M2236" s="135"/>
      <c r="N2236" s="135"/>
      <c r="O2236" s="135"/>
      <c r="P2236" s="135"/>
      <c r="Q2236" s="135"/>
      <c r="R2236" s="135"/>
      <c r="S2236" s="135"/>
      <c r="T2236" s="135"/>
      <c r="U2236" s="135"/>
      <c r="V2236" s="135"/>
      <c r="W2236" s="135"/>
      <c r="X2236" s="135"/>
      <c r="Y2236" s="135"/>
      <c r="Z2236" s="135"/>
    </row>
    <row r="2237" spans="1:26" ht="12.75">
      <c r="A2237" s="136" t="s">
        <v>15</v>
      </c>
      <c r="B2237" s="136" t="s">
        <v>7690</v>
      </c>
      <c r="C2237" s="136" t="s">
        <v>7718</v>
      </c>
      <c r="D2237" s="136" t="s">
        <v>114</v>
      </c>
      <c r="E2237" s="136" t="s">
        <v>85</v>
      </c>
      <c r="F2237" s="136">
        <v>580</v>
      </c>
      <c r="G2237" s="137">
        <f t="shared" si="8"/>
        <v>3</v>
      </c>
      <c r="H2237" s="137"/>
      <c r="I2237" s="137"/>
      <c r="J2237" s="135"/>
      <c r="K2237" s="135"/>
      <c r="L2237" s="135"/>
      <c r="M2237" s="135"/>
      <c r="N2237" s="135"/>
      <c r="O2237" s="135"/>
      <c r="P2237" s="135"/>
      <c r="Q2237" s="135"/>
      <c r="R2237" s="135"/>
      <c r="S2237" s="135"/>
      <c r="T2237" s="135"/>
      <c r="U2237" s="135"/>
      <c r="V2237" s="135"/>
      <c r="W2237" s="135"/>
      <c r="X2237" s="135"/>
      <c r="Y2237" s="135"/>
      <c r="Z2237" s="135"/>
    </row>
    <row r="2238" spans="1:26" ht="12.75">
      <c r="A2238" s="136" t="s">
        <v>15</v>
      </c>
      <c r="B2238" s="136" t="s">
        <v>7690</v>
      </c>
      <c r="C2238" s="136" t="s">
        <v>7718</v>
      </c>
      <c r="D2238" s="136" t="s">
        <v>154</v>
      </c>
      <c r="E2238" s="136" t="s">
        <v>615</v>
      </c>
      <c r="F2238" s="136">
        <v>228</v>
      </c>
      <c r="G2238" s="137">
        <f t="shared" si="8"/>
        <v>4</v>
      </c>
      <c r="H2238" s="137"/>
      <c r="I2238" s="137"/>
      <c r="J2238" s="135"/>
      <c r="K2238" s="135"/>
      <c r="L2238" s="135"/>
      <c r="M2238" s="135"/>
      <c r="N2238" s="135"/>
      <c r="O2238" s="135"/>
      <c r="P2238" s="135"/>
      <c r="Q2238" s="135"/>
      <c r="R2238" s="135"/>
      <c r="S2238" s="135"/>
      <c r="T2238" s="135"/>
      <c r="U2238" s="135"/>
      <c r="V2238" s="135"/>
      <c r="W2238" s="135"/>
      <c r="X2238" s="135"/>
      <c r="Y2238" s="135"/>
      <c r="Z2238" s="135"/>
    </row>
    <row r="2239" spans="1:26" ht="12.75">
      <c r="A2239" s="136" t="s">
        <v>15</v>
      </c>
      <c r="B2239" s="136" t="s">
        <v>7690</v>
      </c>
      <c r="C2239" s="136" t="s">
        <v>7718</v>
      </c>
      <c r="D2239" s="136" t="s">
        <v>7711</v>
      </c>
      <c r="E2239" s="136" t="s">
        <v>615</v>
      </c>
      <c r="F2239" s="136">
        <v>162</v>
      </c>
      <c r="G2239" s="137">
        <f t="shared" si="8"/>
        <v>5</v>
      </c>
      <c r="H2239" s="137"/>
      <c r="I2239" s="137"/>
      <c r="J2239" s="135"/>
      <c r="K2239" s="135"/>
      <c r="L2239" s="135"/>
      <c r="M2239" s="135"/>
      <c r="N2239" s="135"/>
      <c r="O2239" s="135"/>
      <c r="P2239" s="135"/>
      <c r="Q2239" s="135"/>
      <c r="R2239" s="135"/>
      <c r="S2239" s="135"/>
      <c r="T2239" s="135"/>
      <c r="U2239" s="135"/>
      <c r="V2239" s="135"/>
      <c r="W2239" s="135"/>
      <c r="X2239" s="135"/>
      <c r="Y2239" s="135"/>
      <c r="Z2239" s="135"/>
    </row>
    <row r="2240" spans="1:26" ht="12.75">
      <c r="A2240" s="136" t="s">
        <v>15</v>
      </c>
      <c r="B2240" s="136" t="s">
        <v>7690</v>
      </c>
      <c r="C2240" s="136" t="s">
        <v>7718</v>
      </c>
      <c r="D2240" s="136" t="s">
        <v>467</v>
      </c>
      <c r="E2240" s="136" t="s">
        <v>85</v>
      </c>
      <c r="F2240" s="136">
        <v>150</v>
      </c>
      <c r="G2240" s="137">
        <f t="shared" si="8"/>
        <v>6</v>
      </c>
      <c r="H2240" s="137"/>
      <c r="I2240" s="137"/>
      <c r="J2240" s="135"/>
      <c r="K2240" s="135"/>
      <c r="L2240" s="135"/>
      <c r="M2240" s="135"/>
      <c r="N2240" s="135"/>
      <c r="O2240" s="135"/>
      <c r="P2240" s="135"/>
      <c r="Q2240" s="135"/>
      <c r="R2240" s="135"/>
      <c r="S2240" s="135"/>
      <c r="T2240" s="135"/>
      <c r="U2240" s="135"/>
      <c r="V2240" s="135"/>
      <c r="W2240" s="135"/>
      <c r="X2240" s="135"/>
      <c r="Y2240" s="135"/>
      <c r="Z2240" s="135"/>
    </row>
    <row r="2241" spans="1:26" ht="12.75">
      <c r="A2241" s="136" t="s">
        <v>15</v>
      </c>
      <c r="B2241" s="136" t="s">
        <v>7690</v>
      </c>
      <c r="C2241" s="136" t="s">
        <v>7718</v>
      </c>
      <c r="D2241" s="136" t="s">
        <v>7491</v>
      </c>
      <c r="E2241" s="136" t="s">
        <v>615</v>
      </c>
      <c r="F2241" s="136">
        <v>143</v>
      </c>
      <c r="G2241" s="137">
        <f t="shared" si="8"/>
        <v>7</v>
      </c>
      <c r="H2241" s="137"/>
      <c r="I2241" s="137"/>
      <c r="J2241" s="135"/>
      <c r="K2241" s="135"/>
      <c r="L2241" s="135"/>
      <c r="M2241" s="135"/>
      <c r="N2241" s="135"/>
      <c r="O2241" s="135"/>
      <c r="P2241" s="135"/>
      <c r="Q2241" s="135"/>
      <c r="R2241" s="135"/>
      <c r="S2241" s="135"/>
      <c r="T2241" s="135"/>
      <c r="U2241" s="135"/>
      <c r="V2241" s="135"/>
      <c r="W2241" s="135"/>
      <c r="X2241" s="135"/>
      <c r="Y2241" s="135"/>
      <c r="Z2241" s="135"/>
    </row>
    <row r="2242" spans="1:26" ht="12.75">
      <c r="A2242" s="136" t="s">
        <v>15</v>
      </c>
      <c r="B2242" s="136" t="s">
        <v>7690</v>
      </c>
      <c r="C2242" s="136" t="s">
        <v>7718</v>
      </c>
      <c r="D2242" s="136" t="s">
        <v>1665</v>
      </c>
      <c r="E2242" s="136" t="s">
        <v>615</v>
      </c>
      <c r="F2242" s="136">
        <v>40</v>
      </c>
      <c r="G2242" s="137">
        <f t="shared" si="8"/>
        <v>8</v>
      </c>
      <c r="H2242" s="137"/>
      <c r="I2242" s="137"/>
      <c r="J2242" s="135"/>
      <c r="K2242" s="135"/>
      <c r="L2242" s="135"/>
      <c r="M2242" s="135"/>
      <c r="N2242" s="135"/>
      <c r="O2242" s="135"/>
      <c r="P2242" s="135"/>
      <c r="Q2242" s="135"/>
      <c r="R2242" s="135"/>
      <c r="S2242" s="135"/>
      <c r="T2242" s="135"/>
      <c r="U2242" s="135"/>
      <c r="V2242" s="135"/>
      <c r="W2242" s="135"/>
      <c r="X2242" s="135"/>
      <c r="Y2242" s="135"/>
      <c r="Z2242" s="135"/>
    </row>
    <row r="2243" spans="1:26" ht="12.75">
      <c r="A2243" s="136" t="s">
        <v>15</v>
      </c>
      <c r="B2243" s="136" t="s">
        <v>7690</v>
      </c>
      <c r="C2243" s="136" t="s">
        <v>7718</v>
      </c>
      <c r="D2243" s="136" t="s">
        <v>368</v>
      </c>
      <c r="E2243" s="136" t="s">
        <v>594</v>
      </c>
      <c r="F2243" s="136">
        <v>40</v>
      </c>
      <c r="G2243" s="137">
        <f t="shared" si="8"/>
        <v>9</v>
      </c>
      <c r="H2243" s="137"/>
      <c r="I2243" s="137"/>
      <c r="J2243" s="135"/>
      <c r="K2243" s="135"/>
      <c r="L2243" s="135"/>
      <c r="M2243" s="135"/>
      <c r="N2243" s="135"/>
      <c r="O2243" s="135"/>
      <c r="P2243" s="135"/>
      <c r="Q2243" s="135"/>
      <c r="R2243" s="135"/>
      <c r="S2243" s="135"/>
      <c r="T2243" s="135"/>
      <c r="U2243" s="135"/>
      <c r="V2243" s="135"/>
      <c r="W2243" s="135"/>
      <c r="X2243" s="135"/>
      <c r="Y2243" s="135"/>
      <c r="Z2243" s="135"/>
    </row>
    <row r="2244" spans="1:26" ht="12.75">
      <c r="A2244" s="136" t="s">
        <v>15</v>
      </c>
      <c r="B2244" s="136" t="s">
        <v>7690</v>
      </c>
      <c r="C2244" s="136" t="s">
        <v>7718</v>
      </c>
      <c r="D2244" s="136"/>
      <c r="E2244" s="136" t="s">
        <v>7693</v>
      </c>
      <c r="F2244" s="136">
        <v>2866</v>
      </c>
      <c r="G2244" s="137">
        <f t="shared" si="8"/>
        <v>1</v>
      </c>
      <c r="H2244" s="137"/>
      <c r="I2244" s="137"/>
      <c r="J2244" s="135"/>
      <c r="K2244" s="135"/>
      <c r="L2244" s="135"/>
      <c r="M2244" s="135"/>
      <c r="N2244" s="135"/>
      <c r="O2244" s="135"/>
      <c r="P2244" s="135"/>
      <c r="Q2244" s="135"/>
      <c r="R2244" s="135"/>
      <c r="S2244" s="135"/>
      <c r="T2244" s="135"/>
      <c r="U2244" s="135"/>
      <c r="V2244" s="135"/>
      <c r="W2244" s="135"/>
      <c r="X2244" s="135"/>
      <c r="Y2244" s="135"/>
      <c r="Z2244" s="135"/>
    </row>
    <row r="2245" spans="1:26" ht="12.75">
      <c r="A2245" s="136" t="s">
        <v>15</v>
      </c>
      <c r="B2245" s="136" t="s">
        <v>7690</v>
      </c>
      <c r="C2245" s="136" t="s">
        <v>7719</v>
      </c>
      <c r="D2245" s="136" t="s">
        <v>467</v>
      </c>
      <c r="E2245" s="136" t="s">
        <v>85</v>
      </c>
      <c r="F2245" s="136">
        <v>813</v>
      </c>
      <c r="G2245" s="137">
        <f t="shared" si="8"/>
        <v>2</v>
      </c>
      <c r="H2245" s="137"/>
      <c r="I2245" s="137"/>
      <c r="J2245" s="135"/>
      <c r="K2245" s="135"/>
      <c r="L2245" s="135"/>
      <c r="M2245" s="135"/>
      <c r="N2245" s="135"/>
      <c r="O2245" s="135"/>
      <c r="P2245" s="135"/>
      <c r="Q2245" s="135"/>
      <c r="R2245" s="135"/>
      <c r="S2245" s="135"/>
      <c r="T2245" s="135"/>
      <c r="U2245" s="135"/>
      <c r="V2245" s="135"/>
      <c r="W2245" s="135"/>
      <c r="X2245" s="135"/>
      <c r="Y2245" s="135"/>
      <c r="Z2245" s="135"/>
    </row>
    <row r="2246" spans="1:26" ht="12.75">
      <c r="A2246" s="136" t="s">
        <v>15</v>
      </c>
      <c r="B2246" s="136" t="s">
        <v>7690</v>
      </c>
      <c r="C2246" s="136" t="s">
        <v>7719</v>
      </c>
      <c r="D2246" s="136" t="s">
        <v>103</v>
      </c>
      <c r="E2246" s="136" t="s">
        <v>594</v>
      </c>
      <c r="F2246" s="136">
        <v>717</v>
      </c>
      <c r="G2246" s="137">
        <f t="shared" si="8"/>
        <v>3</v>
      </c>
      <c r="H2246" s="137"/>
      <c r="I2246" s="137"/>
      <c r="J2246" s="135"/>
      <c r="K2246" s="135"/>
      <c r="L2246" s="135"/>
      <c r="M2246" s="135"/>
      <c r="N2246" s="135"/>
      <c r="O2246" s="135"/>
      <c r="P2246" s="135"/>
      <c r="Q2246" s="135"/>
      <c r="R2246" s="135"/>
      <c r="S2246" s="135"/>
      <c r="T2246" s="135"/>
      <c r="U2246" s="135"/>
      <c r="V2246" s="135"/>
      <c r="W2246" s="135"/>
      <c r="X2246" s="135"/>
      <c r="Y2246" s="135"/>
      <c r="Z2246" s="135"/>
    </row>
    <row r="2247" spans="1:26" ht="12.75">
      <c r="A2247" s="136" t="s">
        <v>15</v>
      </c>
      <c r="B2247" s="136" t="s">
        <v>7690</v>
      </c>
      <c r="C2247" s="136" t="s">
        <v>7719</v>
      </c>
      <c r="D2247" s="136" t="s">
        <v>165</v>
      </c>
      <c r="E2247" s="136" t="s">
        <v>615</v>
      </c>
      <c r="F2247" s="136">
        <v>386</v>
      </c>
      <c r="G2247" s="137">
        <f t="shared" si="8"/>
        <v>4</v>
      </c>
      <c r="H2247" s="137"/>
      <c r="I2247" s="137"/>
      <c r="J2247" s="135"/>
      <c r="K2247" s="135"/>
      <c r="L2247" s="135"/>
      <c r="M2247" s="135"/>
      <c r="N2247" s="135"/>
      <c r="O2247" s="135"/>
      <c r="P2247" s="135"/>
      <c r="Q2247" s="135"/>
      <c r="R2247" s="135"/>
      <c r="S2247" s="135"/>
      <c r="T2247" s="135"/>
      <c r="U2247" s="135"/>
      <c r="V2247" s="135"/>
      <c r="W2247" s="135"/>
      <c r="X2247" s="135"/>
      <c r="Y2247" s="135"/>
      <c r="Z2247" s="135"/>
    </row>
    <row r="2248" spans="1:26" ht="12.75">
      <c r="A2248" s="136" t="s">
        <v>15</v>
      </c>
      <c r="B2248" s="136" t="s">
        <v>7690</v>
      </c>
      <c r="C2248" s="136" t="s">
        <v>7719</v>
      </c>
      <c r="D2248" s="136" t="s">
        <v>7720</v>
      </c>
      <c r="E2248" s="136" t="s">
        <v>615</v>
      </c>
      <c r="F2248" s="136">
        <v>310</v>
      </c>
      <c r="G2248" s="137">
        <f t="shared" si="8"/>
        <v>5</v>
      </c>
      <c r="H2248" s="137"/>
      <c r="I2248" s="137"/>
      <c r="J2248" s="135"/>
      <c r="K2248" s="135"/>
      <c r="L2248" s="135"/>
      <c r="M2248" s="135"/>
      <c r="N2248" s="135"/>
      <c r="O2248" s="135"/>
      <c r="P2248" s="135"/>
      <c r="Q2248" s="135"/>
      <c r="R2248" s="135"/>
      <c r="S2248" s="135"/>
      <c r="T2248" s="135"/>
      <c r="U2248" s="135"/>
      <c r="V2248" s="135"/>
      <c r="W2248" s="135"/>
      <c r="X2248" s="135"/>
      <c r="Y2248" s="135"/>
      <c r="Z2248" s="135"/>
    </row>
    <row r="2249" spans="1:26" ht="12.75">
      <c r="A2249" s="136" t="s">
        <v>15</v>
      </c>
      <c r="B2249" s="136" t="s">
        <v>7690</v>
      </c>
      <c r="C2249" s="136" t="s">
        <v>7719</v>
      </c>
      <c r="D2249" s="136" t="s">
        <v>114</v>
      </c>
      <c r="E2249" s="136" t="s">
        <v>85</v>
      </c>
      <c r="F2249" s="136">
        <v>164</v>
      </c>
      <c r="G2249" s="137">
        <f t="shared" si="8"/>
        <v>6</v>
      </c>
      <c r="H2249" s="137"/>
      <c r="I2249" s="137"/>
      <c r="J2249" s="135"/>
      <c r="K2249" s="135"/>
      <c r="L2249" s="135"/>
      <c r="M2249" s="135"/>
      <c r="N2249" s="135"/>
      <c r="O2249" s="135"/>
      <c r="P2249" s="135"/>
      <c r="Q2249" s="135"/>
      <c r="R2249" s="135"/>
      <c r="S2249" s="135"/>
      <c r="T2249" s="135"/>
      <c r="U2249" s="135"/>
      <c r="V2249" s="135"/>
      <c r="W2249" s="135"/>
      <c r="X2249" s="135"/>
      <c r="Y2249" s="135"/>
      <c r="Z2249" s="135"/>
    </row>
    <row r="2250" spans="1:26" ht="12.75">
      <c r="A2250" s="136" t="s">
        <v>15</v>
      </c>
      <c r="B2250" s="136" t="s">
        <v>7690</v>
      </c>
      <c r="C2250" s="136" t="s">
        <v>7719</v>
      </c>
      <c r="D2250" s="136" t="s">
        <v>7491</v>
      </c>
      <c r="E2250" s="136" t="s">
        <v>615</v>
      </c>
      <c r="F2250" s="136">
        <v>143</v>
      </c>
      <c r="G2250" s="137">
        <f t="shared" si="8"/>
        <v>7</v>
      </c>
      <c r="H2250" s="137"/>
      <c r="I2250" s="137"/>
      <c r="J2250" s="135"/>
      <c r="K2250" s="135"/>
      <c r="L2250" s="135"/>
      <c r="M2250" s="135"/>
      <c r="N2250" s="135"/>
      <c r="O2250" s="135"/>
      <c r="P2250" s="135"/>
      <c r="Q2250" s="135"/>
      <c r="R2250" s="135"/>
      <c r="S2250" s="135"/>
      <c r="T2250" s="135"/>
      <c r="U2250" s="135"/>
      <c r="V2250" s="135"/>
      <c r="W2250" s="135"/>
      <c r="X2250" s="135"/>
      <c r="Y2250" s="135"/>
      <c r="Z2250" s="135"/>
    </row>
    <row r="2251" spans="1:26" ht="12.75">
      <c r="A2251" s="136" t="s">
        <v>15</v>
      </c>
      <c r="B2251" s="136" t="s">
        <v>7690</v>
      </c>
      <c r="C2251" s="136" t="s">
        <v>7719</v>
      </c>
      <c r="D2251" s="136" t="s">
        <v>1669</v>
      </c>
      <c r="E2251" s="136" t="s">
        <v>615</v>
      </c>
      <c r="F2251" s="136">
        <v>138</v>
      </c>
      <c r="G2251" s="137">
        <f t="shared" si="8"/>
        <v>8</v>
      </c>
      <c r="H2251" s="137"/>
      <c r="I2251" s="137"/>
      <c r="J2251" s="135"/>
      <c r="K2251" s="135"/>
      <c r="L2251" s="135"/>
      <c r="M2251" s="135"/>
      <c r="N2251" s="135"/>
      <c r="O2251" s="135"/>
      <c r="P2251" s="135"/>
      <c r="Q2251" s="135"/>
      <c r="R2251" s="135"/>
      <c r="S2251" s="135"/>
      <c r="T2251" s="135"/>
      <c r="U2251" s="135"/>
      <c r="V2251" s="135"/>
      <c r="W2251" s="135"/>
      <c r="X2251" s="135"/>
      <c r="Y2251" s="135"/>
      <c r="Z2251" s="135"/>
    </row>
    <row r="2252" spans="1:26" ht="12.75">
      <c r="A2252" s="136" t="s">
        <v>15</v>
      </c>
      <c r="B2252" s="136" t="s">
        <v>7690</v>
      </c>
      <c r="C2252" s="136" t="s">
        <v>7719</v>
      </c>
      <c r="D2252" s="136" t="s">
        <v>1673</v>
      </c>
      <c r="E2252" s="136" t="s">
        <v>615</v>
      </c>
      <c r="F2252" s="136">
        <v>61</v>
      </c>
      <c r="G2252" s="137">
        <f t="shared" si="8"/>
        <v>9</v>
      </c>
      <c r="H2252" s="137"/>
      <c r="I2252" s="137"/>
      <c r="J2252" s="135"/>
      <c r="K2252" s="135"/>
      <c r="L2252" s="135"/>
      <c r="M2252" s="135"/>
      <c r="N2252" s="135"/>
      <c r="O2252" s="135"/>
      <c r="P2252" s="135"/>
      <c r="Q2252" s="135"/>
      <c r="R2252" s="135"/>
      <c r="S2252" s="135"/>
      <c r="T2252" s="135"/>
      <c r="U2252" s="135"/>
      <c r="V2252" s="135"/>
      <c r="W2252" s="135"/>
      <c r="X2252" s="135"/>
      <c r="Y2252" s="135"/>
      <c r="Z2252" s="135"/>
    </row>
    <row r="2253" spans="1:26" ht="12.75">
      <c r="A2253" s="136" t="s">
        <v>15</v>
      </c>
      <c r="B2253" s="136" t="s">
        <v>7690</v>
      </c>
      <c r="C2253" s="136" t="s">
        <v>7719</v>
      </c>
      <c r="D2253" s="136" t="s">
        <v>7721</v>
      </c>
      <c r="E2253" s="136" t="s">
        <v>615</v>
      </c>
      <c r="F2253" s="136">
        <v>19</v>
      </c>
      <c r="G2253" s="137">
        <f t="shared" si="8"/>
        <v>10</v>
      </c>
      <c r="H2253" s="137"/>
      <c r="I2253" s="137"/>
      <c r="J2253" s="135"/>
      <c r="K2253" s="135"/>
      <c r="L2253" s="135"/>
      <c r="M2253" s="135"/>
      <c r="N2253" s="135"/>
      <c r="O2253" s="135"/>
      <c r="P2253" s="135"/>
      <c r="Q2253" s="135"/>
      <c r="R2253" s="135"/>
      <c r="S2253" s="135"/>
      <c r="T2253" s="135"/>
      <c r="U2253" s="135"/>
      <c r="V2253" s="135"/>
      <c r="W2253" s="135"/>
      <c r="X2253" s="135"/>
      <c r="Y2253" s="135"/>
      <c r="Z2253" s="135"/>
    </row>
    <row r="2254" spans="1:26" ht="12.75">
      <c r="A2254" s="136" t="s">
        <v>15</v>
      </c>
      <c r="B2254" s="136" t="s">
        <v>7690</v>
      </c>
      <c r="C2254" s="136" t="s">
        <v>7719</v>
      </c>
      <c r="D2254" s="136"/>
      <c r="E2254" s="136" t="s">
        <v>7693</v>
      </c>
      <c r="F2254" s="136">
        <v>2751</v>
      </c>
      <c r="G2254" s="137">
        <f t="shared" si="8"/>
        <v>1</v>
      </c>
      <c r="H2254" s="137"/>
      <c r="I2254" s="137"/>
      <c r="J2254" s="135"/>
      <c r="K2254" s="135"/>
      <c r="L2254" s="135"/>
      <c r="M2254" s="135"/>
      <c r="N2254" s="135"/>
      <c r="O2254" s="135"/>
      <c r="P2254" s="135"/>
      <c r="Q2254" s="135"/>
      <c r="R2254" s="135"/>
      <c r="S2254" s="135"/>
      <c r="T2254" s="135"/>
      <c r="U2254" s="135"/>
      <c r="V2254" s="135"/>
      <c r="W2254" s="135"/>
      <c r="X2254" s="135"/>
      <c r="Y2254" s="135"/>
      <c r="Z2254" s="135"/>
    </row>
    <row r="2255" spans="1:26" ht="12.75">
      <c r="A2255" s="136" t="s">
        <v>15</v>
      </c>
      <c r="B2255" s="136" t="s">
        <v>7690</v>
      </c>
      <c r="C2255" s="136" t="s">
        <v>7722</v>
      </c>
      <c r="D2255" s="136" t="s">
        <v>103</v>
      </c>
      <c r="E2255" s="136" t="s">
        <v>594</v>
      </c>
      <c r="F2255" s="136">
        <v>1508</v>
      </c>
      <c r="G2255" s="137">
        <f t="shared" si="8"/>
        <v>2</v>
      </c>
      <c r="H2255" s="137"/>
      <c r="I2255" s="137"/>
      <c r="J2255" s="135"/>
      <c r="K2255" s="135"/>
      <c r="L2255" s="135"/>
      <c r="M2255" s="135"/>
      <c r="N2255" s="135"/>
      <c r="O2255" s="135"/>
      <c r="P2255" s="135"/>
      <c r="Q2255" s="135"/>
      <c r="R2255" s="135"/>
      <c r="S2255" s="135"/>
      <c r="T2255" s="135"/>
      <c r="U2255" s="135"/>
      <c r="V2255" s="135"/>
      <c r="W2255" s="135"/>
      <c r="X2255" s="135"/>
      <c r="Y2255" s="135"/>
      <c r="Z2255" s="135"/>
    </row>
    <row r="2256" spans="1:26" ht="12.75">
      <c r="A2256" s="136" t="s">
        <v>15</v>
      </c>
      <c r="B2256" s="136" t="s">
        <v>7690</v>
      </c>
      <c r="C2256" s="136" t="s">
        <v>7722</v>
      </c>
      <c r="D2256" s="136" t="s">
        <v>114</v>
      </c>
      <c r="E2256" s="136" t="s">
        <v>85</v>
      </c>
      <c r="F2256" s="136">
        <v>709</v>
      </c>
      <c r="G2256" s="137">
        <f t="shared" si="8"/>
        <v>3</v>
      </c>
      <c r="H2256" s="137"/>
      <c r="I2256" s="137"/>
      <c r="J2256" s="135"/>
      <c r="K2256" s="135"/>
      <c r="L2256" s="135"/>
      <c r="M2256" s="135"/>
      <c r="N2256" s="135"/>
      <c r="O2256" s="135"/>
      <c r="P2256" s="135"/>
      <c r="Q2256" s="135"/>
      <c r="R2256" s="135"/>
      <c r="S2256" s="135"/>
      <c r="T2256" s="135"/>
      <c r="U2256" s="135"/>
      <c r="V2256" s="135"/>
      <c r="W2256" s="135"/>
      <c r="X2256" s="135"/>
      <c r="Y2256" s="135"/>
      <c r="Z2256" s="135"/>
    </row>
    <row r="2257" spans="1:26" ht="12.75">
      <c r="A2257" s="136" t="s">
        <v>15</v>
      </c>
      <c r="B2257" s="136" t="s">
        <v>7690</v>
      </c>
      <c r="C2257" s="136" t="s">
        <v>7722</v>
      </c>
      <c r="D2257" s="136" t="s">
        <v>139</v>
      </c>
      <c r="E2257" s="136" t="s">
        <v>594</v>
      </c>
      <c r="F2257" s="136">
        <v>299</v>
      </c>
      <c r="G2257" s="137">
        <f t="shared" si="8"/>
        <v>4</v>
      </c>
      <c r="H2257" s="137"/>
      <c r="I2257" s="137"/>
      <c r="J2257" s="135"/>
      <c r="K2257" s="135"/>
      <c r="L2257" s="135"/>
      <c r="M2257" s="135"/>
      <c r="N2257" s="135"/>
      <c r="O2257" s="135"/>
      <c r="P2257" s="135"/>
      <c r="Q2257" s="135"/>
      <c r="R2257" s="135"/>
      <c r="S2257" s="135"/>
      <c r="T2257" s="135"/>
      <c r="U2257" s="135"/>
      <c r="V2257" s="135"/>
      <c r="W2257" s="135"/>
      <c r="X2257" s="135"/>
      <c r="Y2257" s="135"/>
      <c r="Z2257" s="135"/>
    </row>
    <row r="2258" spans="1:26" ht="12.75">
      <c r="A2258" s="136" t="s">
        <v>15</v>
      </c>
      <c r="B2258" s="136" t="s">
        <v>7690</v>
      </c>
      <c r="C2258" s="136" t="s">
        <v>7722</v>
      </c>
      <c r="D2258" s="136" t="s">
        <v>165</v>
      </c>
      <c r="E2258" s="136" t="s">
        <v>615</v>
      </c>
      <c r="F2258" s="136">
        <v>220</v>
      </c>
      <c r="G2258" s="137">
        <f t="shared" si="8"/>
        <v>5</v>
      </c>
      <c r="H2258" s="137"/>
      <c r="I2258" s="137"/>
      <c r="J2258" s="135"/>
      <c r="K2258" s="135"/>
      <c r="L2258" s="135"/>
      <c r="M2258" s="135"/>
      <c r="N2258" s="135"/>
      <c r="O2258" s="135"/>
      <c r="P2258" s="135"/>
      <c r="Q2258" s="135"/>
      <c r="R2258" s="135"/>
      <c r="S2258" s="135"/>
      <c r="T2258" s="135"/>
      <c r="U2258" s="135"/>
      <c r="V2258" s="135"/>
      <c r="W2258" s="135"/>
      <c r="X2258" s="135"/>
      <c r="Y2258" s="135"/>
      <c r="Z2258" s="135"/>
    </row>
    <row r="2259" spans="1:26" ht="12.75">
      <c r="A2259" s="136" t="s">
        <v>15</v>
      </c>
      <c r="B2259" s="136" t="s">
        <v>7690</v>
      </c>
      <c r="C2259" s="136" t="s">
        <v>7722</v>
      </c>
      <c r="D2259" s="136" t="s">
        <v>1669</v>
      </c>
      <c r="E2259" s="136" t="s">
        <v>615</v>
      </c>
      <c r="F2259" s="136">
        <v>182</v>
      </c>
      <c r="G2259" s="137">
        <f t="shared" si="8"/>
        <v>6</v>
      </c>
      <c r="H2259" s="137"/>
      <c r="I2259" s="137"/>
      <c r="J2259" s="135"/>
      <c r="K2259" s="135"/>
      <c r="L2259" s="135"/>
      <c r="M2259" s="135"/>
      <c r="N2259" s="135"/>
      <c r="O2259" s="135"/>
      <c r="P2259" s="135"/>
      <c r="Q2259" s="135"/>
      <c r="R2259" s="135"/>
      <c r="S2259" s="135"/>
      <c r="T2259" s="135"/>
      <c r="U2259" s="135"/>
      <c r="V2259" s="135"/>
      <c r="W2259" s="135"/>
      <c r="X2259" s="135"/>
      <c r="Y2259" s="135"/>
      <c r="Z2259" s="135"/>
    </row>
    <row r="2260" spans="1:26" ht="12.75">
      <c r="A2260" s="136" t="s">
        <v>15</v>
      </c>
      <c r="B2260" s="136" t="s">
        <v>7690</v>
      </c>
      <c r="C2260" s="136" t="s">
        <v>7722</v>
      </c>
      <c r="D2260" s="136" t="s">
        <v>1665</v>
      </c>
      <c r="E2260" s="136" t="s">
        <v>615</v>
      </c>
      <c r="F2260" s="136">
        <v>150</v>
      </c>
      <c r="G2260" s="137">
        <f t="shared" si="8"/>
        <v>7</v>
      </c>
      <c r="H2260" s="137"/>
      <c r="I2260" s="137"/>
      <c r="J2260" s="135"/>
      <c r="K2260" s="135"/>
      <c r="L2260" s="135"/>
      <c r="M2260" s="135"/>
      <c r="N2260" s="135"/>
      <c r="O2260" s="135"/>
      <c r="P2260" s="135"/>
      <c r="Q2260" s="135"/>
      <c r="R2260" s="135"/>
      <c r="S2260" s="135"/>
      <c r="T2260" s="135"/>
      <c r="U2260" s="135"/>
      <c r="V2260" s="135"/>
      <c r="W2260" s="135"/>
      <c r="X2260" s="135"/>
      <c r="Y2260" s="135"/>
      <c r="Z2260" s="135"/>
    </row>
    <row r="2261" spans="1:26" ht="12.75">
      <c r="A2261" s="136" t="s">
        <v>15</v>
      </c>
      <c r="B2261" s="136" t="s">
        <v>7690</v>
      </c>
      <c r="C2261" s="136" t="s">
        <v>7722</v>
      </c>
      <c r="D2261" s="136" t="s">
        <v>7491</v>
      </c>
      <c r="E2261" s="136" t="s">
        <v>615</v>
      </c>
      <c r="F2261" s="136">
        <v>150</v>
      </c>
      <c r="G2261" s="137">
        <f t="shared" si="8"/>
        <v>8</v>
      </c>
      <c r="H2261" s="137"/>
      <c r="I2261" s="137"/>
      <c r="J2261" s="135"/>
      <c r="K2261" s="135"/>
      <c r="L2261" s="135"/>
      <c r="M2261" s="135"/>
      <c r="N2261" s="135"/>
      <c r="O2261" s="135"/>
      <c r="P2261" s="135"/>
      <c r="Q2261" s="135"/>
      <c r="R2261" s="135"/>
      <c r="S2261" s="135"/>
      <c r="T2261" s="135"/>
      <c r="U2261" s="135"/>
      <c r="V2261" s="135"/>
      <c r="W2261" s="135"/>
      <c r="X2261" s="135"/>
      <c r="Y2261" s="135"/>
      <c r="Z2261" s="135"/>
    </row>
    <row r="2262" spans="1:26" ht="12.75">
      <c r="A2262" s="136" t="s">
        <v>15</v>
      </c>
      <c r="B2262" s="136" t="s">
        <v>7690</v>
      </c>
      <c r="C2262" s="136" t="s">
        <v>7722</v>
      </c>
      <c r="D2262" s="136" t="s">
        <v>1614</v>
      </c>
      <c r="E2262" s="136" t="s">
        <v>615</v>
      </c>
      <c r="F2262" s="136">
        <v>123</v>
      </c>
      <c r="G2262" s="137">
        <f t="shared" si="8"/>
        <v>9</v>
      </c>
      <c r="H2262" s="137"/>
      <c r="I2262" s="137"/>
      <c r="J2262" s="135"/>
      <c r="K2262" s="135"/>
      <c r="L2262" s="135"/>
      <c r="M2262" s="135"/>
      <c r="N2262" s="135"/>
      <c r="O2262" s="135"/>
      <c r="P2262" s="135"/>
      <c r="Q2262" s="135"/>
      <c r="R2262" s="135"/>
      <c r="S2262" s="135"/>
      <c r="T2262" s="135"/>
      <c r="U2262" s="135"/>
      <c r="V2262" s="135"/>
      <c r="W2262" s="135"/>
      <c r="X2262" s="135"/>
      <c r="Y2262" s="135"/>
      <c r="Z2262" s="135"/>
    </row>
    <row r="2263" spans="1:26" ht="12.75">
      <c r="A2263" s="136" t="s">
        <v>15</v>
      </c>
      <c r="B2263" s="136" t="s">
        <v>7690</v>
      </c>
      <c r="C2263" s="136" t="s">
        <v>7722</v>
      </c>
      <c r="D2263" s="136"/>
      <c r="E2263" s="136" t="s">
        <v>7693</v>
      </c>
      <c r="F2263" s="136">
        <v>3341</v>
      </c>
      <c r="G2263" s="137">
        <f t="shared" si="8"/>
        <v>1</v>
      </c>
      <c r="H2263" s="137"/>
      <c r="I2263" s="137"/>
      <c r="J2263" s="135"/>
      <c r="K2263" s="135"/>
      <c r="L2263" s="135"/>
      <c r="M2263" s="135"/>
      <c r="N2263" s="135"/>
      <c r="O2263" s="135"/>
      <c r="P2263" s="135"/>
      <c r="Q2263" s="135"/>
      <c r="R2263" s="135"/>
      <c r="S2263" s="135"/>
      <c r="T2263" s="135"/>
      <c r="U2263" s="135"/>
      <c r="V2263" s="135"/>
      <c r="W2263" s="135"/>
      <c r="X2263" s="135"/>
      <c r="Y2263" s="135"/>
      <c r="Z2263" s="135"/>
    </row>
    <row r="2264" spans="1:26" ht="12.75">
      <c r="A2264" s="136" t="s">
        <v>15</v>
      </c>
      <c r="B2264" s="136" t="s">
        <v>7690</v>
      </c>
      <c r="C2264" s="136" t="s">
        <v>358</v>
      </c>
      <c r="D2264" s="136" t="s">
        <v>139</v>
      </c>
      <c r="E2264" s="136" t="s">
        <v>594</v>
      </c>
      <c r="F2264" s="136">
        <v>1110</v>
      </c>
      <c r="G2264" s="137">
        <f t="shared" si="8"/>
        <v>2</v>
      </c>
      <c r="H2264" s="137"/>
      <c r="I2264" s="137"/>
      <c r="J2264" s="135"/>
      <c r="K2264" s="135"/>
      <c r="L2264" s="135"/>
      <c r="M2264" s="135"/>
      <c r="N2264" s="135"/>
      <c r="O2264" s="135"/>
      <c r="P2264" s="135"/>
      <c r="Q2264" s="135"/>
      <c r="R2264" s="135"/>
      <c r="S2264" s="135"/>
      <c r="T2264" s="135"/>
      <c r="U2264" s="135"/>
      <c r="V2264" s="135"/>
      <c r="W2264" s="135"/>
      <c r="X2264" s="135"/>
      <c r="Y2264" s="135"/>
      <c r="Z2264" s="135"/>
    </row>
    <row r="2265" spans="1:26" ht="12.75">
      <c r="A2265" s="136" t="s">
        <v>15</v>
      </c>
      <c r="B2265" s="136" t="s">
        <v>7690</v>
      </c>
      <c r="C2265" s="136" t="s">
        <v>358</v>
      </c>
      <c r="D2265" s="136" t="s">
        <v>7491</v>
      </c>
      <c r="E2265" s="136" t="s">
        <v>615</v>
      </c>
      <c r="F2265" s="136">
        <v>173</v>
      </c>
      <c r="G2265" s="137">
        <f t="shared" si="8"/>
        <v>3</v>
      </c>
      <c r="H2265" s="137"/>
      <c r="I2265" s="137"/>
      <c r="J2265" s="135"/>
      <c r="K2265" s="135"/>
      <c r="L2265" s="135"/>
      <c r="M2265" s="135"/>
      <c r="N2265" s="135"/>
      <c r="O2265" s="135"/>
      <c r="P2265" s="135"/>
      <c r="Q2265" s="135"/>
      <c r="R2265" s="135"/>
      <c r="S2265" s="135"/>
      <c r="T2265" s="135"/>
      <c r="U2265" s="135"/>
      <c r="V2265" s="135"/>
      <c r="W2265" s="135"/>
      <c r="X2265" s="135"/>
      <c r="Y2265" s="135"/>
      <c r="Z2265" s="135"/>
    </row>
    <row r="2266" spans="1:26" ht="12.75">
      <c r="A2266" s="136" t="s">
        <v>15</v>
      </c>
      <c r="B2266" s="136" t="s">
        <v>7690</v>
      </c>
      <c r="C2266" s="136" t="s">
        <v>358</v>
      </c>
      <c r="D2266" s="136" t="s">
        <v>114</v>
      </c>
      <c r="E2266" s="136" t="s">
        <v>85</v>
      </c>
      <c r="F2266" s="136">
        <v>125</v>
      </c>
      <c r="G2266" s="137">
        <f t="shared" si="8"/>
        <v>4</v>
      </c>
      <c r="H2266" s="137"/>
      <c r="I2266" s="137"/>
      <c r="J2266" s="135"/>
      <c r="K2266" s="135"/>
      <c r="L2266" s="135"/>
      <c r="M2266" s="135"/>
      <c r="N2266" s="135"/>
      <c r="O2266" s="135"/>
      <c r="P2266" s="135"/>
      <c r="Q2266" s="135"/>
      <c r="R2266" s="135"/>
      <c r="S2266" s="135"/>
      <c r="T2266" s="135"/>
      <c r="U2266" s="135"/>
      <c r="V2266" s="135"/>
      <c r="W2266" s="135"/>
      <c r="X2266" s="135"/>
      <c r="Y2266" s="135"/>
      <c r="Z2266" s="135"/>
    </row>
    <row r="2267" spans="1:26" ht="12.75">
      <c r="A2267" s="136" t="s">
        <v>15</v>
      </c>
      <c r="B2267" s="136" t="s">
        <v>7690</v>
      </c>
      <c r="C2267" s="136" t="s">
        <v>358</v>
      </c>
      <c r="D2267" s="136"/>
      <c r="E2267" s="136" t="s">
        <v>7693</v>
      </c>
      <c r="F2267" s="136">
        <v>1408</v>
      </c>
      <c r="G2267" s="137">
        <f t="shared" si="8"/>
        <v>1</v>
      </c>
      <c r="H2267" s="137"/>
      <c r="I2267" s="137"/>
      <c r="J2267" s="135"/>
      <c r="K2267" s="135"/>
      <c r="L2267" s="135"/>
      <c r="M2267" s="135"/>
      <c r="N2267" s="135"/>
      <c r="O2267" s="135"/>
      <c r="P2267" s="135"/>
      <c r="Q2267" s="135"/>
      <c r="R2267" s="135"/>
      <c r="S2267" s="135"/>
      <c r="T2267" s="135"/>
      <c r="U2267" s="135"/>
      <c r="V2267" s="135"/>
      <c r="W2267" s="135"/>
      <c r="X2267" s="135"/>
      <c r="Y2267" s="135"/>
      <c r="Z2267" s="135"/>
    </row>
    <row r="2268" spans="1:26" ht="12.75">
      <c r="A2268" s="136" t="s">
        <v>15</v>
      </c>
      <c r="B2268" s="136" t="s">
        <v>7690</v>
      </c>
      <c r="C2268" s="136" t="s">
        <v>376</v>
      </c>
      <c r="D2268" s="136" t="s">
        <v>139</v>
      </c>
      <c r="E2268" s="136" t="s">
        <v>594</v>
      </c>
      <c r="F2268" s="136">
        <v>797</v>
      </c>
      <c r="G2268" s="137">
        <f t="shared" si="8"/>
        <v>2</v>
      </c>
      <c r="H2268" s="137"/>
      <c r="I2268" s="137"/>
      <c r="J2268" s="135"/>
      <c r="K2268" s="135"/>
      <c r="L2268" s="135"/>
      <c r="M2268" s="135"/>
      <c r="N2268" s="135"/>
      <c r="O2268" s="135"/>
      <c r="P2268" s="135"/>
      <c r="Q2268" s="135"/>
      <c r="R2268" s="135"/>
      <c r="S2268" s="135"/>
      <c r="T2268" s="135"/>
      <c r="U2268" s="135"/>
      <c r="V2268" s="135"/>
      <c r="W2268" s="135"/>
      <c r="X2268" s="135"/>
      <c r="Y2268" s="135"/>
      <c r="Z2268" s="135"/>
    </row>
    <row r="2269" spans="1:26" ht="12.75">
      <c r="A2269" s="136" t="s">
        <v>15</v>
      </c>
      <c r="B2269" s="136" t="s">
        <v>7690</v>
      </c>
      <c r="C2269" s="136" t="s">
        <v>376</v>
      </c>
      <c r="D2269" s="136" t="s">
        <v>114</v>
      </c>
      <c r="E2269" s="136" t="s">
        <v>85</v>
      </c>
      <c r="F2269" s="136">
        <v>105</v>
      </c>
      <c r="G2269" s="137">
        <f t="shared" si="8"/>
        <v>3</v>
      </c>
      <c r="H2269" s="137"/>
      <c r="I2269" s="137"/>
      <c r="J2269" s="135"/>
      <c r="K2269" s="135"/>
      <c r="L2269" s="135"/>
      <c r="M2269" s="135"/>
      <c r="N2269" s="135"/>
      <c r="O2269" s="135"/>
      <c r="P2269" s="135"/>
      <c r="Q2269" s="135"/>
      <c r="R2269" s="135"/>
      <c r="S2269" s="135"/>
      <c r="T2269" s="135"/>
      <c r="U2269" s="135"/>
      <c r="V2269" s="135"/>
      <c r="W2269" s="135"/>
      <c r="X2269" s="135"/>
      <c r="Y2269" s="135"/>
      <c r="Z2269" s="135"/>
    </row>
    <row r="2270" spans="1:26" ht="12.75">
      <c r="A2270" s="136" t="s">
        <v>15</v>
      </c>
      <c r="B2270" s="136" t="s">
        <v>7690</v>
      </c>
      <c r="C2270" s="136" t="s">
        <v>376</v>
      </c>
      <c r="D2270" s="136" t="s">
        <v>7491</v>
      </c>
      <c r="E2270" s="136" t="s">
        <v>615</v>
      </c>
      <c r="F2270" s="136">
        <v>64</v>
      </c>
      <c r="G2270" s="137">
        <f t="shared" si="8"/>
        <v>4</v>
      </c>
      <c r="H2270" s="137"/>
      <c r="I2270" s="137"/>
      <c r="J2270" s="135"/>
      <c r="K2270" s="135"/>
      <c r="L2270" s="135"/>
      <c r="M2270" s="135"/>
      <c r="N2270" s="135"/>
      <c r="O2270" s="135"/>
      <c r="P2270" s="135"/>
      <c r="Q2270" s="135"/>
      <c r="R2270" s="135"/>
      <c r="S2270" s="135"/>
      <c r="T2270" s="135"/>
      <c r="U2270" s="135"/>
      <c r="V2270" s="135"/>
      <c r="W2270" s="135"/>
      <c r="X2270" s="135"/>
      <c r="Y2270" s="135"/>
      <c r="Z2270" s="135"/>
    </row>
    <row r="2271" spans="1:26" ht="12.75">
      <c r="A2271" s="136" t="s">
        <v>15</v>
      </c>
      <c r="B2271" s="136" t="s">
        <v>7690</v>
      </c>
      <c r="C2271" s="136" t="s">
        <v>376</v>
      </c>
      <c r="D2271" s="136" t="s">
        <v>107</v>
      </c>
      <c r="E2271" s="136" t="s">
        <v>615</v>
      </c>
      <c r="F2271" s="136">
        <v>60</v>
      </c>
      <c r="G2271" s="137">
        <f t="shared" si="8"/>
        <v>5</v>
      </c>
      <c r="H2271" s="137"/>
      <c r="I2271" s="137"/>
      <c r="J2271" s="135"/>
      <c r="K2271" s="135"/>
      <c r="L2271" s="135"/>
      <c r="M2271" s="135"/>
      <c r="N2271" s="135"/>
      <c r="O2271" s="135"/>
      <c r="P2271" s="135"/>
      <c r="Q2271" s="135"/>
      <c r="R2271" s="135"/>
      <c r="S2271" s="135"/>
      <c r="T2271" s="135"/>
      <c r="U2271" s="135"/>
      <c r="V2271" s="135"/>
      <c r="W2271" s="135"/>
      <c r="X2271" s="135"/>
      <c r="Y2271" s="135"/>
      <c r="Z2271" s="135"/>
    </row>
    <row r="2272" spans="1:26" ht="12.75">
      <c r="A2272" s="136" t="s">
        <v>15</v>
      </c>
      <c r="B2272" s="136" t="s">
        <v>7690</v>
      </c>
      <c r="C2272" s="136" t="s">
        <v>376</v>
      </c>
      <c r="D2272" s="136"/>
      <c r="E2272" s="136" t="s">
        <v>7693</v>
      </c>
      <c r="F2272" s="136">
        <v>1026</v>
      </c>
      <c r="G2272" s="137">
        <f t="shared" si="8"/>
        <v>1</v>
      </c>
      <c r="H2272" s="137"/>
      <c r="I2272" s="137"/>
      <c r="J2272" s="135"/>
      <c r="K2272" s="135"/>
      <c r="L2272" s="135"/>
      <c r="M2272" s="135"/>
      <c r="N2272" s="135"/>
      <c r="O2272" s="135"/>
      <c r="P2272" s="135"/>
      <c r="Q2272" s="135"/>
      <c r="R2272" s="135"/>
      <c r="S2272" s="135"/>
      <c r="T2272" s="135"/>
      <c r="U2272" s="135"/>
      <c r="V2272" s="135"/>
      <c r="W2272" s="135"/>
      <c r="X2272" s="135"/>
      <c r="Y2272" s="135"/>
      <c r="Z2272" s="135"/>
    </row>
    <row r="2273" spans="1:26" ht="12.75">
      <c r="A2273" s="136" t="s">
        <v>15</v>
      </c>
      <c r="B2273" s="136" t="s">
        <v>7690</v>
      </c>
      <c r="C2273" s="136" t="s">
        <v>378</v>
      </c>
      <c r="D2273" s="136" t="s">
        <v>139</v>
      </c>
      <c r="E2273" s="136" t="s">
        <v>594</v>
      </c>
      <c r="F2273" s="136">
        <v>1386</v>
      </c>
      <c r="G2273" s="137">
        <f t="shared" si="8"/>
        <v>3</v>
      </c>
      <c r="H2273" s="137"/>
      <c r="I2273" s="137"/>
      <c r="J2273" s="135"/>
      <c r="K2273" s="135"/>
      <c r="L2273" s="135"/>
      <c r="M2273" s="135"/>
      <c r="N2273" s="135"/>
      <c r="O2273" s="135"/>
      <c r="P2273" s="135"/>
      <c r="Q2273" s="135"/>
      <c r="R2273" s="135"/>
      <c r="S2273" s="135"/>
      <c r="T2273" s="135"/>
      <c r="U2273" s="135"/>
      <c r="V2273" s="135"/>
      <c r="W2273" s="135"/>
      <c r="X2273" s="135"/>
      <c r="Y2273" s="135"/>
      <c r="Z2273" s="135"/>
    </row>
    <row r="2274" spans="1:26" ht="12.75">
      <c r="A2274" s="136" t="s">
        <v>15</v>
      </c>
      <c r="B2274" s="136" t="s">
        <v>7690</v>
      </c>
      <c r="C2274" s="136" t="s">
        <v>378</v>
      </c>
      <c r="D2274" s="136" t="s">
        <v>7491</v>
      </c>
      <c r="E2274" s="136" t="s">
        <v>615</v>
      </c>
      <c r="F2274" s="136">
        <v>328</v>
      </c>
      <c r="G2274" s="137">
        <f t="shared" si="8"/>
        <v>7</v>
      </c>
      <c r="H2274" s="137"/>
      <c r="I2274" s="137"/>
      <c r="J2274" s="135"/>
      <c r="K2274" s="135"/>
      <c r="L2274" s="135"/>
      <c r="M2274" s="135"/>
      <c r="N2274" s="135"/>
      <c r="O2274" s="135"/>
      <c r="P2274" s="135"/>
      <c r="Q2274" s="135"/>
      <c r="R2274" s="135"/>
      <c r="S2274" s="135"/>
      <c r="T2274" s="135"/>
      <c r="U2274" s="135"/>
      <c r="V2274" s="135"/>
      <c r="W2274" s="135"/>
      <c r="X2274" s="135"/>
      <c r="Y2274" s="135"/>
      <c r="Z2274" s="135"/>
    </row>
    <row r="2275" spans="1:26" ht="12.75">
      <c r="A2275" s="136" t="s">
        <v>15</v>
      </c>
      <c r="B2275" s="136" t="s">
        <v>7690</v>
      </c>
      <c r="C2275" s="136" t="s">
        <v>378</v>
      </c>
      <c r="D2275" s="136" t="s">
        <v>114</v>
      </c>
      <c r="E2275" s="136" t="s">
        <v>85</v>
      </c>
      <c r="F2275" s="136">
        <v>155</v>
      </c>
      <c r="G2275" s="137">
        <f t="shared" si="8"/>
        <v>10</v>
      </c>
      <c r="H2275" s="137"/>
      <c r="I2275" s="137"/>
      <c r="J2275" s="135"/>
      <c r="K2275" s="135"/>
      <c r="L2275" s="135"/>
      <c r="M2275" s="135"/>
      <c r="N2275" s="135"/>
      <c r="O2275" s="135"/>
      <c r="P2275" s="135"/>
      <c r="Q2275" s="135"/>
      <c r="R2275" s="135"/>
      <c r="S2275" s="135"/>
      <c r="T2275" s="135"/>
      <c r="U2275" s="135"/>
      <c r="V2275" s="135"/>
      <c r="W2275" s="135"/>
      <c r="X2275" s="135"/>
      <c r="Y2275" s="135"/>
      <c r="Z2275" s="135"/>
    </row>
    <row r="2276" spans="1:26" ht="12.75">
      <c r="A2276" s="136" t="s">
        <v>15</v>
      </c>
      <c r="B2276" s="136" t="s">
        <v>7690</v>
      </c>
      <c r="C2276" s="136" t="s">
        <v>378</v>
      </c>
      <c r="D2276" s="136" t="s">
        <v>467</v>
      </c>
      <c r="E2276" s="136" t="s">
        <v>85</v>
      </c>
      <c r="F2276" s="136">
        <v>150</v>
      </c>
      <c r="G2276" s="137">
        <f t="shared" si="8"/>
        <v>11</v>
      </c>
      <c r="H2276" s="137"/>
      <c r="I2276" s="137"/>
      <c r="J2276" s="135"/>
      <c r="K2276" s="135"/>
      <c r="L2276" s="135"/>
      <c r="M2276" s="135"/>
      <c r="N2276" s="135"/>
      <c r="O2276" s="135"/>
      <c r="P2276" s="135"/>
      <c r="Q2276" s="135"/>
      <c r="R2276" s="135"/>
      <c r="S2276" s="135"/>
      <c r="T2276" s="135"/>
      <c r="U2276" s="135"/>
      <c r="V2276" s="135"/>
      <c r="W2276" s="135"/>
      <c r="X2276" s="135"/>
      <c r="Y2276" s="135"/>
      <c r="Z2276" s="135"/>
    </row>
    <row r="2277" spans="1:26" ht="12.75">
      <c r="A2277" s="136" t="s">
        <v>15</v>
      </c>
      <c r="B2277" s="136" t="s">
        <v>7690</v>
      </c>
      <c r="C2277" s="136" t="s">
        <v>378</v>
      </c>
      <c r="D2277" s="136"/>
      <c r="E2277" s="136" t="s">
        <v>7693</v>
      </c>
      <c r="F2277" s="136">
        <v>2019</v>
      </c>
      <c r="G2277" s="137">
        <f t="shared" si="8"/>
        <v>2</v>
      </c>
      <c r="H2277" s="137"/>
      <c r="I2277" s="137"/>
      <c r="J2277" s="135"/>
      <c r="K2277" s="135"/>
      <c r="L2277" s="135"/>
      <c r="M2277" s="135"/>
      <c r="N2277" s="135"/>
      <c r="O2277" s="135"/>
      <c r="P2277" s="135"/>
      <c r="Q2277" s="135"/>
      <c r="R2277" s="135"/>
      <c r="S2277" s="135"/>
      <c r="T2277" s="135"/>
      <c r="U2277" s="135"/>
      <c r="V2277" s="135"/>
      <c r="W2277" s="135"/>
      <c r="X2277" s="135"/>
      <c r="Y2277" s="135"/>
      <c r="Z2277" s="135"/>
    </row>
    <row r="2278" spans="1:26" ht="12.75">
      <c r="A2278" s="136" t="s">
        <v>15</v>
      </c>
      <c r="B2278" s="136" t="s">
        <v>7690</v>
      </c>
      <c r="C2278" s="136" t="s">
        <v>7723</v>
      </c>
      <c r="D2278" s="136" t="s">
        <v>139</v>
      </c>
      <c r="E2278" s="136" t="s">
        <v>594</v>
      </c>
      <c r="F2278" s="136">
        <v>1619</v>
      </c>
      <c r="G2278" s="137">
        <f t="shared" si="8"/>
        <v>2</v>
      </c>
      <c r="H2278" s="137"/>
      <c r="I2278" s="137"/>
      <c r="J2278" s="135"/>
      <c r="K2278" s="135"/>
      <c r="L2278" s="135"/>
      <c r="M2278" s="135"/>
      <c r="N2278" s="135"/>
      <c r="O2278" s="135"/>
      <c r="P2278" s="135"/>
      <c r="Q2278" s="135"/>
      <c r="R2278" s="135"/>
      <c r="S2278" s="135"/>
      <c r="T2278" s="135"/>
      <c r="U2278" s="135"/>
      <c r="V2278" s="135"/>
      <c r="W2278" s="135"/>
      <c r="X2278" s="135"/>
      <c r="Y2278" s="135"/>
      <c r="Z2278" s="135"/>
    </row>
    <row r="2279" spans="1:26" ht="12.75">
      <c r="A2279" s="136" t="s">
        <v>15</v>
      </c>
      <c r="B2279" s="136" t="s">
        <v>7690</v>
      </c>
      <c r="C2279" s="136" t="s">
        <v>7723</v>
      </c>
      <c r="D2279" s="136" t="s">
        <v>114</v>
      </c>
      <c r="E2279" s="136" t="s">
        <v>85</v>
      </c>
      <c r="F2279" s="136">
        <v>587</v>
      </c>
      <c r="G2279" s="137">
        <f t="shared" si="8"/>
        <v>3</v>
      </c>
      <c r="H2279" s="137"/>
      <c r="I2279" s="137"/>
      <c r="J2279" s="135"/>
      <c r="K2279" s="135"/>
      <c r="L2279" s="135"/>
      <c r="M2279" s="135"/>
      <c r="N2279" s="135"/>
      <c r="O2279" s="135"/>
      <c r="P2279" s="135"/>
      <c r="Q2279" s="135"/>
      <c r="R2279" s="135"/>
      <c r="S2279" s="135"/>
      <c r="T2279" s="135"/>
      <c r="U2279" s="135"/>
      <c r="V2279" s="135"/>
      <c r="W2279" s="135"/>
      <c r="X2279" s="135"/>
      <c r="Y2279" s="135"/>
      <c r="Z2279" s="135"/>
    </row>
    <row r="2280" spans="1:26" ht="12.75">
      <c r="A2280" s="136" t="s">
        <v>15</v>
      </c>
      <c r="B2280" s="136" t="s">
        <v>7690</v>
      </c>
      <c r="C2280" s="136" t="s">
        <v>7723</v>
      </c>
      <c r="D2280" s="136" t="s">
        <v>7491</v>
      </c>
      <c r="E2280" s="136" t="s">
        <v>615</v>
      </c>
      <c r="F2280" s="136">
        <v>270</v>
      </c>
      <c r="G2280" s="137">
        <f t="shared" si="8"/>
        <v>4</v>
      </c>
      <c r="H2280" s="137"/>
      <c r="I2280" s="137"/>
      <c r="J2280" s="135"/>
      <c r="K2280" s="135"/>
      <c r="L2280" s="135"/>
      <c r="M2280" s="135"/>
      <c r="N2280" s="135"/>
      <c r="O2280" s="135"/>
      <c r="P2280" s="135"/>
      <c r="Q2280" s="135"/>
      <c r="R2280" s="135"/>
      <c r="S2280" s="135"/>
      <c r="T2280" s="135"/>
      <c r="U2280" s="135"/>
      <c r="V2280" s="135"/>
      <c r="W2280" s="135"/>
      <c r="X2280" s="135"/>
      <c r="Y2280" s="135"/>
      <c r="Z2280" s="135"/>
    </row>
    <row r="2281" spans="1:26" ht="12.75">
      <c r="A2281" s="136" t="s">
        <v>15</v>
      </c>
      <c r="B2281" s="136" t="s">
        <v>7690</v>
      </c>
      <c r="C2281" s="136" t="s">
        <v>7723</v>
      </c>
      <c r="D2281" s="136" t="s">
        <v>103</v>
      </c>
      <c r="E2281" s="136" t="s">
        <v>594</v>
      </c>
      <c r="F2281" s="136">
        <v>85</v>
      </c>
      <c r="G2281" s="137">
        <f t="shared" si="8"/>
        <v>5</v>
      </c>
      <c r="H2281" s="137"/>
      <c r="I2281" s="137"/>
      <c r="J2281" s="135"/>
      <c r="K2281" s="135"/>
      <c r="L2281" s="135"/>
      <c r="M2281" s="135"/>
      <c r="N2281" s="135"/>
      <c r="O2281" s="135"/>
      <c r="P2281" s="135"/>
      <c r="Q2281" s="135"/>
      <c r="R2281" s="135"/>
      <c r="S2281" s="135"/>
      <c r="T2281" s="135"/>
      <c r="U2281" s="135"/>
      <c r="V2281" s="135"/>
      <c r="W2281" s="135"/>
      <c r="X2281" s="135"/>
      <c r="Y2281" s="135"/>
      <c r="Z2281" s="135"/>
    </row>
    <row r="2282" spans="1:26" ht="12.75">
      <c r="A2282" s="136" t="s">
        <v>15</v>
      </c>
      <c r="B2282" s="136" t="s">
        <v>7690</v>
      </c>
      <c r="C2282" s="136" t="s">
        <v>7723</v>
      </c>
      <c r="D2282" s="136"/>
      <c r="E2282" s="136" t="s">
        <v>7693</v>
      </c>
      <c r="F2282" s="136">
        <v>2561</v>
      </c>
      <c r="G2282" s="137">
        <f t="shared" si="8"/>
        <v>1</v>
      </c>
      <c r="H2282" s="137"/>
      <c r="I2282" s="137"/>
      <c r="J2282" s="135"/>
      <c r="K2282" s="135"/>
      <c r="L2282" s="135"/>
      <c r="M2282" s="135"/>
      <c r="N2282" s="135"/>
      <c r="O2282" s="135"/>
      <c r="P2282" s="135"/>
      <c r="Q2282" s="135"/>
      <c r="R2282" s="135"/>
      <c r="S2282" s="135"/>
      <c r="T2282" s="135"/>
      <c r="U2282" s="135"/>
      <c r="V2282" s="135"/>
      <c r="W2282" s="135"/>
      <c r="X2282" s="135"/>
      <c r="Y2282" s="135"/>
      <c r="Z2282" s="135"/>
    </row>
    <row r="2283" spans="1:26" ht="12.75">
      <c r="A2283" s="136" t="s">
        <v>15</v>
      </c>
      <c r="B2283" s="136" t="s">
        <v>7690</v>
      </c>
      <c r="C2283" s="136" t="s">
        <v>7724</v>
      </c>
      <c r="D2283" s="136" t="s">
        <v>139</v>
      </c>
      <c r="E2283" s="136" t="s">
        <v>594</v>
      </c>
      <c r="F2283" s="136">
        <v>976</v>
      </c>
      <c r="G2283" s="137">
        <f t="shared" si="8"/>
        <v>2</v>
      </c>
      <c r="H2283" s="137"/>
      <c r="I2283" s="137"/>
      <c r="J2283" s="135"/>
      <c r="K2283" s="135"/>
      <c r="L2283" s="135"/>
      <c r="M2283" s="135"/>
      <c r="N2283" s="135"/>
      <c r="O2283" s="135"/>
      <c r="P2283" s="135"/>
      <c r="Q2283" s="135"/>
      <c r="R2283" s="135"/>
      <c r="S2283" s="135"/>
      <c r="T2283" s="135"/>
      <c r="U2283" s="135"/>
      <c r="V2283" s="135"/>
      <c r="W2283" s="135"/>
      <c r="X2283" s="135"/>
      <c r="Y2283" s="135"/>
      <c r="Z2283" s="135"/>
    </row>
    <row r="2284" spans="1:26" ht="12.75">
      <c r="A2284" s="136" t="s">
        <v>15</v>
      </c>
      <c r="B2284" s="136" t="s">
        <v>7690</v>
      </c>
      <c r="C2284" s="136" t="s">
        <v>7724</v>
      </c>
      <c r="D2284" s="136" t="s">
        <v>7491</v>
      </c>
      <c r="E2284" s="136" t="s">
        <v>615</v>
      </c>
      <c r="F2284" s="136">
        <v>66</v>
      </c>
      <c r="G2284" s="137">
        <f t="shared" si="8"/>
        <v>3</v>
      </c>
      <c r="H2284" s="137"/>
      <c r="I2284" s="137"/>
      <c r="J2284" s="135"/>
      <c r="K2284" s="135"/>
      <c r="L2284" s="135"/>
      <c r="M2284" s="135"/>
      <c r="N2284" s="135"/>
      <c r="O2284" s="135"/>
      <c r="P2284" s="135"/>
      <c r="Q2284" s="135"/>
      <c r="R2284" s="135"/>
      <c r="S2284" s="135"/>
      <c r="T2284" s="135"/>
      <c r="U2284" s="135"/>
      <c r="V2284" s="135"/>
      <c r="W2284" s="135"/>
      <c r="X2284" s="135"/>
      <c r="Y2284" s="135"/>
      <c r="Z2284" s="135"/>
    </row>
    <row r="2285" spans="1:26" ht="12.75">
      <c r="A2285" s="136" t="s">
        <v>15</v>
      </c>
      <c r="B2285" s="136" t="s">
        <v>7690</v>
      </c>
      <c r="C2285" s="136" t="s">
        <v>7724</v>
      </c>
      <c r="D2285" s="136"/>
      <c r="E2285" s="136" t="s">
        <v>7693</v>
      </c>
      <c r="F2285" s="136">
        <v>1042</v>
      </c>
      <c r="G2285" s="137">
        <f t="shared" si="8"/>
        <v>1</v>
      </c>
      <c r="H2285" s="137"/>
      <c r="I2285" s="137"/>
      <c r="J2285" s="135"/>
      <c r="K2285" s="135"/>
      <c r="L2285" s="135"/>
      <c r="M2285" s="135"/>
      <c r="N2285" s="135"/>
      <c r="O2285" s="135"/>
      <c r="P2285" s="135"/>
      <c r="Q2285" s="135"/>
      <c r="R2285" s="135"/>
      <c r="S2285" s="135"/>
      <c r="T2285" s="135"/>
      <c r="U2285" s="135"/>
      <c r="V2285" s="135"/>
      <c r="W2285" s="135"/>
      <c r="X2285" s="135"/>
      <c r="Y2285" s="135"/>
      <c r="Z2285" s="135"/>
    </row>
    <row r="2286" spans="1:26" ht="12.75">
      <c r="A2286" s="136" t="s">
        <v>15</v>
      </c>
      <c r="B2286" s="136" t="s">
        <v>7690</v>
      </c>
      <c r="C2286" s="136" t="s">
        <v>383</v>
      </c>
      <c r="D2286" s="136" t="s">
        <v>139</v>
      </c>
      <c r="E2286" s="136" t="s">
        <v>594</v>
      </c>
      <c r="F2286" s="136">
        <v>1235</v>
      </c>
      <c r="G2286" s="137">
        <f t="shared" si="8"/>
        <v>2</v>
      </c>
      <c r="H2286" s="137"/>
      <c r="I2286" s="137"/>
      <c r="J2286" s="135"/>
      <c r="K2286" s="135"/>
      <c r="L2286" s="135"/>
      <c r="M2286" s="135"/>
      <c r="N2286" s="135"/>
      <c r="O2286" s="135"/>
      <c r="P2286" s="135"/>
      <c r="Q2286" s="135"/>
      <c r="R2286" s="135"/>
      <c r="S2286" s="135"/>
      <c r="T2286" s="135"/>
      <c r="U2286" s="135"/>
      <c r="V2286" s="135"/>
      <c r="W2286" s="135"/>
      <c r="X2286" s="135"/>
      <c r="Y2286" s="135"/>
      <c r="Z2286" s="135"/>
    </row>
    <row r="2287" spans="1:26" ht="12.75">
      <c r="A2287" s="136" t="s">
        <v>15</v>
      </c>
      <c r="B2287" s="136" t="s">
        <v>7690</v>
      </c>
      <c r="C2287" s="136" t="s">
        <v>383</v>
      </c>
      <c r="D2287" s="136" t="s">
        <v>7491</v>
      </c>
      <c r="E2287" s="136" t="s">
        <v>615</v>
      </c>
      <c r="F2287" s="136">
        <v>324</v>
      </c>
      <c r="G2287" s="137">
        <f t="shared" si="8"/>
        <v>3</v>
      </c>
      <c r="H2287" s="137"/>
      <c r="I2287" s="137"/>
      <c r="J2287" s="135"/>
      <c r="K2287" s="135"/>
      <c r="L2287" s="135"/>
      <c r="M2287" s="135"/>
      <c r="N2287" s="135"/>
      <c r="O2287" s="135"/>
      <c r="P2287" s="135"/>
      <c r="Q2287" s="135"/>
      <c r="R2287" s="135"/>
      <c r="S2287" s="135"/>
      <c r="T2287" s="135"/>
      <c r="U2287" s="135"/>
      <c r="V2287" s="135"/>
      <c r="W2287" s="135"/>
      <c r="X2287" s="135"/>
      <c r="Y2287" s="135"/>
      <c r="Z2287" s="135"/>
    </row>
    <row r="2288" spans="1:26" ht="12.75">
      <c r="A2288" s="136" t="s">
        <v>15</v>
      </c>
      <c r="B2288" s="136" t="s">
        <v>7690</v>
      </c>
      <c r="C2288" s="136" t="s">
        <v>383</v>
      </c>
      <c r="D2288" s="136" t="s">
        <v>114</v>
      </c>
      <c r="E2288" s="136" t="s">
        <v>85</v>
      </c>
      <c r="F2288" s="136">
        <v>110</v>
      </c>
      <c r="G2288" s="137">
        <f t="shared" si="8"/>
        <v>4</v>
      </c>
      <c r="H2288" s="137"/>
      <c r="I2288" s="137"/>
      <c r="J2288" s="135"/>
      <c r="K2288" s="135"/>
      <c r="L2288" s="135"/>
      <c r="M2288" s="135"/>
      <c r="N2288" s="135"/>
      <c r="O2288" s="135"/>
      <c r="P2288" s="135"/>
      <c r="Q2288" s="135"/>
      <c r="R2288" s="135"/>
      <c r="S2288" s="135"/>
      <c r="T2288" s="135"/>
      <c r="U2288" s="135"/>
      <c r="V2288" s="135"/>
      <c r="W2288" s="135"/>
      <c r="X2288" s="135"/>
      <c r="Y2288" s="135"/>
      <c r="Z2288" s="135"/>
    </row>
    <row r="2289" spans="1:26" ht="12.75">
      <c r="A2289" s="136" t="s">
        <v>15</v>
      </c>
      <c r="B2289" s="136" t="s">
        <v>7690</v>
      </c>
      <c r="C2289" s="136" t="s">
        <v>383</v>
      </c>
      <c r="D2289" s="136"/>
      <c r="E2289" s="136" t="s">
        <v>7693</v>
      </c>
      <c r="F2289" s="136">
        <v>1669</v>
      </c>
      <c r="G2289" s="137">
        <f t="shared" si="8"/>
        <v>1</v>
      </c>
      <c r="H2289" s="137"/>
      <c r="I2289" s="137"/>
      <c r="J2289" s="135"/>
      <c r="K2289" s="135"/>
      <c r="L2289" s="135"/>
      <c r="M2289" s="135"/>
      <c r="N2289" s="135"/>
      <c r="O2289" s="135"/>
      <c r="P2289" s="135"/>
      <c r="Q2289" s="135"/>
      <c r="R2289" s="135"/>
      <c r="S2289" s="135"/>
      <c r="T2289" s="135"/>
      <c r="U2289" s="135"/>
      <c r="V2289" s="135"/>
      <c r="W2289" s="135"/>
      <c r="X2289" s="135"/>
      <c r="Y2289" s="135"/>
      <c r="Z2289" s="135"/>
    </row>
    <row r="2290" spans="1:26" ht="12.75">
      <c r="A2290" s="136" t="s">
        <v>15</v>
      </c>
      <c r="B2290" s="136" t="s">
        <v>7690</v>
      </c>
      <c r="C2290" s="136" t="s">
        <v>385</v>
      </c>
      <c r="D2290" s="136" t="s">
        <v>139</v>
      </c>
      <c r="E2290" s="136" t="s">
        <v>594</v>
      </c>
      <c r="F2290" s="136">
        <v>664</v>
      </c>
      <c r="G2290" s="137">
        <f t="shared" si="8"/>
        <v>2</v>
      </c>
      <c r="H2290" s="137"/>
      <c r="I2290" s="137"/>
      <c r="J2290" s="135"/>
      <c r="K2290" s="135"/>
      <c r="L2290" s="135"/>
      <c r="M2290" s="135"/>
      <c r="N2290" s="135"/>
      <c r="O2290" s="135"/>
      <c r="P2290" s="135"/>
      <c r="Q2290" s="135"/>
      <c r="R2290" s="135"/>
      <c r="S2290" s="135"/>
      <c r="T2290" s="135"/>
      <c r="U2290" s="135"/>
      <c r="V2290" s="135"/>
      <c r="W2290" s="135"/>
      <c r="X2290" s="135"/>
      <c r="Y2290" s="135"/>
      <c r="Z2290" s="135"/>
    </row>
    <row r="2291" spans="1:26" ht="12.75">
      <c r="A2291" s="136" t="s">
        <v>15</v>
      </c>
      <c r="B2291" s="136" t="s">
        <v>7690</v>
      </c>
      <c r="C2291" s="136" t="s">
        <v>385</v>
      </c>
      <c r="D2291" s="136" t="s">
        <v>103</v>
      </c>
      <c r="E2291" s="136" t="s">
        <v>594</v>
      </c>
      <c r="F2291" s="136">
        <v>550</v>
      </c>
      <c r="G2291" s="137">
        <f t="shared" si="8"/>
        <v>3</v>
      </c>
      <c r="H2291" s="137"/>
      <c r="I2291" s="137"/>
      <c r="J2291" s="135"/>
      <c r="K2291" s="135"/>
      <c r="L2291" s="135"/>
      <c r="M2291" s="135"/>
      <c r="N2291" s="135"/>
      <c r="O2291" s="135"/>
      <c r="P2291" s="135"/>
      <c r="Q2291" s="135"/>
      <c r="R2291" s="135"/>
      <c r="S2291" s="135"/>
      <c r="T2291" s="135"/>
      <c r="U2291" s="135"/>
      <c r="V2291" s="135"/>
      <c r="W2291" s="135"/>
      <c r="X2291" s="135"/>
      <c r="Y2291" s="135"/>
      <c r="Z2291" s="135"/>
    </row>
    <row r="2292" spans="1:26" ht="12.75">
      <c r="A2292" s="136" t="s">
        <v>15</v>
      </c>
      <c r="B2292" s="136" t="s">
        <v>7690</v>
      </c>
      <c r="C2292" s="136" t="s">
        <v>385</v>
      </c>
      <c r="D2292" s="136" t="s">
        <v>114</v>
      </c>
      <c r="E2292" s="136" t="s">
        <v>85</v>
      </c>
      <c r="F2292" s="136">
        <v>481</v>
      </c>
      <c r="G2292" s="137">
        <f t="shared" si="8"/>
        <v>4</v>
      </c>
      <c r="H2292" s="137"/>
      <c r="I2292" s="137"/>
      <c r="J2292" s="135"/>
      <c r="K2292" s="135"/>
      <c r="L2292" s="135"/>
      <c r="M2292" s="135"/>
      <c r="N2292" s="135"/>
      <c r="O2292" s="135"/>
      <c r="P2292" s="135"/>
      <c r="Q2292" s="135"/>
      <c r="R2292" s="135"/>
      <c r="S2292" s="135"/>
      <c r="T2292" s="135"/>
      <c r="U2292" s="135"/>
      <c r="V2292" s="135"/>
      <c r="W2292" s="135"/>
      <c r="X2292" s="135"/>
      <c r="Y2292" s="135"/>
      <c r="Z2292" s="135"/>
    </row>
    <row r="2293" spans="1:26" ht="12.75">
      <c r="A2293" s="136" t="s">
        <v>15</v>
      </c>
      <c r="B2293" s="136" t="s">
        <v>7690</v>
      </c>
      <c r="C2293" s="136" t="s">
        <v>385</v>
      </c>
      <c r="D2293" s="136" t="s">
        <v>136</v>
      </c>
      <c r="E2293" s="136" t="s">
        <v>615</v>
      </c>
      <c r="F2293" s="136">
        <v>214</v>
      </c>
      <c r="G2293" s="137">
        <f t="shared" si="8"/>
        <v>5</v>
      </c>
      <c r="H2293" s="137"/>
      <c r="I2293" s="137"/>
      <c r="J2293" s="135"/>
      <c r="K2293" s="135"/>
      <c r="L2293" s="135"/>
      <c r="M2293" s="135"/>
      <c r="N2293" s="135"/>
      <c r="O2293" s="135"/>
      <c r="P2293" s="135"/>
      <c r="Q2293" s="135"/>
      <c r="R2293" s="135"/>
      <c r="S2293" s="135"/>
      <c r="T2293" s="135"/>
      <c r="U2293" s="135"/>
      <c r="V2293" s="135"/>
      <c r="W2293" s="135"/>
      <c r="X2293" s="135"/>
      <c r="Y2293" s="135"/>
      <c r="Z2293" s="135"/>
    </row>
    <row r="2294" spans="1:26" ht="12.75">
      <c r="A2294" s="136" t="s">
        <v>15</v>
      </c>
      <c r="B2294" s="136" t="s">
        <v>7690</v>
      </c>
      <c r="C2294" s="136" t="s">
        <v>385</v>
      </c>
      <c r="D2294" s="136" t="s">
        <v>467</v>
      </c>
      <c r="E2294" s="136" t="s">
        <v>85</v>
      </c>
      <c r="F2294" s="136">
        <v>160</v>
      </c>
      <c r="G2294" s="137">
        <f t="shared" si="8"/>
        <v>6</v>
      </c>
      <c r="H2294" s="137"/>
      <c r="I2294" s="137"/>
      <c r="J2294" s="135"/>
      <c r="K2294" s="135"/>
      <c r="L2294" s="135"/>
      <c r="M2294" s="135"/>
      <c r="N2294" s="135"/>
      <c r="O2294" s="135"/>
      <c r="P2294" s="135"/>
      <c r="Q2294" s="135"/>
      <c r="R2294" s="135"/>
      <c r="S2294" s="135"/>
      <c r="T2294" s="135"/>
      <c r="U2294" s="135"/>
      <c r="V2294" s="135"/>
      <c r="W2294" s="135"/>
      <c r="X2294" s="135"/>
      <c r="Y2294" s="135"/>
      <c r="Z2294" s="135"/>
    </row>
    <row r="2295" spans="1:26" ht="12.75">
      <c r="A2295" s="136" t="s">
        <v>15</v>
      </c>
      <c r="B2295" s="136" t="s">
        <v>7690</v>
      </c>
      <c r="C2295" s="136" t="s">
        <v>385</v>
      </c>
      <c r="D2295" s="136" t="s">
        <v>7491</v>
      </c>
      <c r="E2295" s="136" t="s">
        <v>615</v>
      </c>
      <c r="F2295" s="136">
        <v>158</v>
      </c>
      <c r="G2295" s="137">
        <f t="shared" si="8"/>
        <v>7</v>
      </c>
      <c r="H2295" s="137"/>
      <c r="I2295" s="137"/>
      <c r="J2295" s="135"/>
      <c r="K2295" s="135"/>
      <c r="L2295" s="135"/>
      <c r="M2295" s="135"/>
      <c r="N2295" s="135"/>
      <c r="O2295" s="135"/>
      <c r="P2295" s="135"/>
      <c r="Q2295" s="135"/>
      <c r="R2295" s="135"/>
      <c r="S2295" s="135"/>
      <c r="T2295" s="135"/>
      <c r="U2295" s="135"/>
      <c r="V2295" s="135"/>
      <c r="W2295" s="135"/>
      <c r="X2295" s="135"/>
      <c r="Y2295" s="135"/>
      <c r="Z2295" s="135"/>
    </row>
    <row r="2296" spans="1:26" ht="12.75">
      <c r="A2296" s="136" t="s">
        <v>15</v>
      </c>
      <c r="B2296" s="136" t="s">
        <v>7690</v>
      </c>
      <c r="C2296" s="136" t="s">
        <v>385</v>
      </c>
      <c r="D2296" s="136" t="s">
        <v>7725</v>
      </c>
      <c r="E2296" s="136" t="s">
        <v>615</v>
      </c>
      <c r="F2296" s="136">
        <v>100</v>
      </c>
      <c r="G2296" s="137">
        <f t="shared" si="8"/>
        <v>8</v>
      </c>
      <c r="H2296" s="137"/>
      <c r="I2296" s="137"/>
      <c r="J2296" s="135"/>
      <c r="K2296" s="135"/>
      <c r="L2296" s="135"/>
      <c r="M2296" s="135"/>
      <c r="N2296" s="135"/>
      <c r="O2296" s="135"/>
      <c r="P2296" s="135"/>
      <c r="Q2296" s="135"/>
      <c r="R2296" s="135"/>
      <c r="S2296" s="135"/>
      <c r="T2296" s="135"/>
      <c r="U2296" s="135"/>
      <c r="V2296" s="135"/>
      <c r="W2296" s="135"/>
      <c r="X2296" s="135"/>
      <c r="Y2296" s="135"/>
      <c r="Z2296" s="135"/>
    </row>
    <row r="2297" spans="1:26" ht="12.75">
      <c r="A2297" s="136" t="s">
        <v>15</v>
      </c>
      <c r="B2297" s="136" t="s">
        <v>7690</v>
      </c>
      <c r="C2297" s="136" t="s">
        <v>385</v>
      </c>
      <c r="D2297" s="136"/>
      <c r="E2297" s="136" t="s">
        <v>7693</v>
      </c>
      <c r="F2297" s="136">
        <v>2327</v>
      </c>
      <c r="G2297" s="137">
        <f t="shared" ref="G2297:G2551" si="9">COUNTIFS($C:$C,C2297,$F:$F,"&gt;"&amp;F2297)
 + COUNTIFS($C$2:C2297,C2297,$F$2:F2297,F2297)</f>
        <v>1</v>
      </c>
      <c r="H2297" s="137"/>
      <c r="I2297" s="137"/>
      <c r="J2297" s="135"/>
      <c r="K2297" s="135"/>
      <c r="L2297" s="135"/>
      <c r="M2297" s="135"/>
      <c r="N2297" s="135"/>
      <c r="O2297" s="135"/>
      <c r="P2297" s="135"/>
      <c r="Q2297" s="135"/>
      <c r="R2297" s="135"/>
      <c r="S2297" s="135"/>
      <c r="T2297" s="135"/>
      <c r="U2297" s="135"/>
      <c r="V2297" s="135"/>
      <c r="W2297" s="135"/>
      <c r="X2297" s="135"/>
      <c r="Y2297" s="135"/>
      <c r="Z2297" s="135"/>
    </row>
    <row r="2298" spans="1:26" ht="12.75">
      <c r="A2298" s="136" t="s">
        <v>15</v>
      </c>
      <c r="B2298" s="136" t="s">
        <v>7690</v>
      </c>
      <c r="C2298" s="136" t="s">
        <v>387</v>
      </c>
      <c r="D2298" s="136" t="s">
        <v>114</v>
      </c>
      <c r="E2298" s="136" t="s">
        <v>85</v>
      </c>
      <c r="F2298" s="136">
        <v>921</v>
      </c>
      <c r="G2298" s="137">
        <f t="shared" si="9"/>
        <v>2</v>
      </c>
      <c r="H2298" s="137"/>
      <c r="I2298" s="137"/>
      <c r="J2298" s="135"/>
      <c r="K2298" s="135"/>
      <c r="L2298" s="135"/>
      <c r="M2298" s="135"/>
      <c r="N2298" s="135"/>
      <c r="O2298" s="135"/>
      <c r="P2298" s="135"/>
      <c r="Q2298" s="135"/>
      <c r="R2298" s="135"/>
      <c r="S2298" s="135"/>
      <c r="T2298" s="135"/>
      <c r="U2298" s="135"/>
      <c r="V2298" s="135"/>
      <c r="W2298" s="135"/>
      <c r="X2298" s="135"/>
      <c r="Y2298" s="135"/>
      <c r="Z2298" s="135"/>
    </row>
    <row r="2299" spans="1:26" ht="12.75">
      <c r="A2299" s="136" t="s">
        <v>15</v>
      </c>
      <c r="B2299" s="136" t="s">
        <v>7690</v>
      </c>
      <c r="C2299" s="136" t="s">
        <v>387</v>
      </c>
      <c r="D2299" s="136" t="s">
        <v>7726</v>
      </c>
      <c r="E2299" s="136" t="s">
        <v>615</v>
      </c>
      <c r="F2299" s="136">
        <v>159</v>
      </c>
      <c r="G2299" s="137">
        <f t="shared" si="9"/>
        <v>3</v>
      </c>
      <c r="H2299" s="137"/>
      <c r="I2299" s="137"/>
      <c r="J2299" s="135"/>
      <c r="K2299" s="135"/>
      <c r="L2299" s="135"/>
      <c r="M2299" s="135"/>
      <c r="N2299" s="135"/>
      <c r="O2299" s="135"/>
      <c r="P2299" s="135"/>
      <c r="Q2299" s="135"/>
      <c r="R2299" s="135"/>
      <c r="S2299" s="135"/>
      <c r="T2299" s="135"/>
      <c r="U2299" s="135"/>
      <c r="V2299" s="135"/>
      <c r="W2299" s="135"/>
      <c r="X2299" s="135"/>
      <c r="Y2299" s="135"/>
      <c r="Z2299" s="135"/>
    </row>
    <row r="2300" spans="1:26" ht="12.75">
      <c r="A2300" s="136" t="s">
        <v>15</v>
      </c>
      <c r="B2300" s="136" t="s">
        <v>7690</v>
      </c>
      <c r="C2300" s="136" t="s">
        <v>387</v>
      </c>
      <c r="D2300" s="136" t="s">
        <v>7491</v>
      </c>
      <c r="E2300" s="136" t="s">
        <v>615</v>
      </c>
      <c r="F2300" s="136">
        <v>58</v>
      </c>
      <c r="G2300" s="137">
        <f t="shared" si="9"/>
        <v>4</v>
      </c>
      <c r="H2300" s="137"/>
      <c r="I2300" s="137"/>
      <c r="J2300" s="135"/>
      <c r="K2300" s="135"/>
      <c r="L2300" s="135"/>
      <c r="M2300" s="135"/>
      <c r="N2300" s="135"/>
      <c r="O2300" s="135"/>
      <c r="P2300" s="135"/>
      <c r="Q2300" s="135"/>
      <c r="R2300" s="135"/>
      <c r="S2300" s="135"/>
      <c r="T2300" s="135"/>
      <c r="U2300" s="135"/>
      <c r="V2300" s="135"/>
      <c r="W2300" s="135"/>
      <c r="X2300" s="135"/>
      <c r="Y2300" s="135"/>
      <c r="Z2300" s="135"/>
    </row>
    <row r="2301" spans="1:26" ht="12.75">
      <c r="A2301" s="136" t="s">
        <v>15</v>
      </c>
      <c r="B2301" s="136" t="s">
        <v>7690</v>
      </c>
      <c r="C2301" s="136" t="s">
        <v>387</v>
      </c>
      <c r="D2301" s="136"/>
      <c r="E2301" s="136" t="s">
        <v>7693</v>
      </c>
      <c r="F2301" s="136">
        <v>1138</v>
      </c>
      <c r="G2301" s="137">
        <f t="shared" si="9"/>
        <v>1</v>
      </c>
      <c r="H2301" s="137"/>
      <c r="I2301" s="137"/>
      <c r="J2301" s="135"/>
      <c r="K2301" s="135"/>
      <c r="L2301" s="135"/>
      <c r="M2301" s="135"/>
      <c r="N2301" s="135"/>
      <c r="O2301" s="135"/>
      <c r="P2301" s="135"/>
      <c r="Q2301" s="135"/>
      <c r="R2301" s="135"/>
      <c r="S2301" s="135"/>
      <c r="T2301" s="135"/>
      <c r="U2301" s="135"/>
      <c r="V2301" s="135"/>
      <c r="W2301" s="135"/>
      <c r="X2301" s="135"/>
      <c r="Y2301" s="135"/>
      <c r="Z2301" s="135"/>
    </row>
    <row r="2302" spans="1:26" ht="12.75">
      <c r="A2302" s="136" t="s">
        <v>15</v>
      </c>
      <c r="B2302" s="136" t="s">
        <v>7727</v>
      </c>
      <c r="C2302" s="136" t="s">
        <v>7728</v>
      </c>
      <c r="D2302" s="136" t="s">
        <v>139</v>
      </c>
      <c r="E2302" s="136" t="s">
        <v>594</v>
      </c>
      <c r="F2302" s="136">
        <v>2121</v>
      </c>
      <c r="G2302" s="137">
        <f t="shared" si="9"/>
        <v>2</v>
      </c>
      <c r="H2302" s="137"/>
      <c r="I2302" s="137"/>
      <c r="J2302" s="135"/>
      <c r="K2302" s="135"/>
      <c r="L2302" s="135"/>
      <c r="M2302" s="135"/>
      <c r="N2302" s="135"/>
      <c r="O2302" s="135"/>
      <c r="P2302" s="135"/>
      <c r="Q2302" s="135"/>
      <c r="R2302" s="135"/>
      <c r="S2302" s="135"/>
      <c r="T2302" s="135"/>
      <c r="U2302" s="135"/>
      <c r="V2302" s="135"/>
      <c r="W2302" s="135"/>
      <c r="X2302" s="135"/>
      <c r="Y2302" s="135"/>
      <c r="Z2302" s="135"/>
    </row>
    <row r="2303" spans="1:26" ht="12.75">
      <c r="A2303" s="136" t="s">
        <v>15</v>
      </c>
      <c r="B2303" s="136" t="s">
        <v>7727</v>
      </c>
      <c r="C2303" s="136" t="s">
        <v>7728</v>
      </c>
      <c r="D2303" s="136" t="s">
        <v>114</v>
      </c>
      <c r="E2303" s="136" t="s">
        <v>85</v>
      </c>
      <c r="F2303" s="136">
        <v>382</v>
      </c>
      <c r="G2303" s="137">
        <f t="shared" si="9"/>
        <v>3</v>
      </c>
      <c r="H2303" s="137"/>
      <c r="I2303" s="137"/>
      <c r="J2303" s="135"/>
      <c r="K2303" s="135"/>
      <c r="L2303" s="135"/>
      <c r="M2303" s="135"/>
      <c r="N2303" s="135"/>
      <c r="O2303" s="135"/>
      <c r="P2303" s="135"/>
      <c r="Q2303" s="135"/>
      <c r="R2303" s="135"/>
      <c r="S2303" s="135"/>
      <c r="T2303" s="135"/>
      <c r="U2303" s="135"/>
      <c r="V2303" s="135"/>
      <c r="W2303" s="135"/>
      <c r="X2303" s="135"/>
      <c r="Y2303" s="135"/>
      <c r="Z2303" s="135"/>
    </row>
    <row r="2304" spans="1:26" ht="12.75">
      <c r="A2304" s="136" t="s">
        <v>15</v>
      </c>
      <c r="B2304" s="136" t="s">
        <v>7727</v>
      </c>
      <c r="C2304" s="136" t="s">
        <v>7728</v>
      </c>
      <c r="D2304" s="136" t="s">
        <v>1669</v>
      </c>
      <c r="E2304" s="136" t="s">
        <v>615</v>
      </c>
      <c r="F2304" s="136">
        <v>287</v>
      </c>
      <c r="G2304" s="137">
        <f t="shared" si="9"/>
        <v>4</v>
      </c>
      <c r="H2304" s="137"/>
      <c r="I2304" s="137"/>
      <c r="J2304" s="135"/>
      <c r="K2304" s="135"/>
      <c r="L2304" s="135"/>
      <c r="M2304" s="135"/>
      <c r="N2304" s="135"/>
      <c r="O2304" s="135"/>
      <c r="P2304" s="135"/>
      <c r="Q2304" s="135"/>
      <c r="R2304" s="135"/>
      <c r="S2304" s="135"/>
      <c r="T2304" s="135"/>
      <c r="U2304" s="135"/>
      <c r="V2304" s="135"/>
      <c r="W2304" s="135"/>
      <c r="X2304" s="135"/>
      <c r="Y2304" s="135"/>
      <c r="Z2304" s="135"/>
    </row>
    <row r="2305" spans="1:26" ht="12.75">
      <c r="A2305" s="136" t="s">
        <v>15</v>
      </c>
      <c r="B2305" s="136" t="s">
        <v>7727</v>
      </c>
      <c r="C2305" s="136" t="s">
        <v>7728</v>
      </c>
      <c r="D2305" s="136" t="s">
        <v>7544</v>
      </c>
      <c r="E2305" s="136" t="s">
        <v>615</v>
      </c>
      <c r="F2305" s="136">
        <v>131</v>
      </c>
      <c r="G2305" s="137">
        <f t="shared" si="9"/>
        <v>5</v>
      </c>
      <c r="H2305" s="137"/>
      <c r="I2305" s="137"/>
      <c r="J2305" s="135"/>
      <c r="K2305" s="135"/>
      <c r="L2305" s="135"/>
      <c r="M2305" s="135"/>
      <c r="N2305" s="135"/>
      <c r="O2305" s="135"/>
      <c r="P2305" s="135"/>
      <c r="Q2305" s="135"/>
      <c r="R2305" s="135"/>
      <c r="S2305" s="135"/>
      <c r="T2305" s="135"/>
      <c r="U2305" s="135"/>
      <c r="V2305" s="135"/>
      <c r="W2305" s="135"/>
      <c r="X2305" s="135"/>
      <c r="Y2305" s="135"/>
      <c r="Z2305" s="135"/>
    </row>
    <row r="2306" spans="1:26" ht="12.75">
      <c r="A2306" s="136" t="s">
        <v>15</v>
      </c>
      <c r="B2306" s="136" t="s">
        <v>7727</v>
      </c>
      <c r="C2306" s="136" t="s">
        <v>7728</v>
      </c>
      <c r="D2306" s="136" t="s">
        <v>7491</v>
      </c>
      <c r="E2306" s="136" t="s">
        <v>615</v>
      </c>
      <c r="F2306" s="136">
        <v>126</v>
      </c>
      <c r="G2306" s="137">
        <f t="shared" si="9"/>
        <v>6</v>
      </c>
      <c r="H2306" s="137"/>
      <c r="I2306" s="137"/>
      <c r="J2306" s="135"/>
      <c r="K2306" s="135"/>
      <c r="L2306" s="135"/>
      <c r="M2306" s="135"/>
      <c r="N2306" s="135"/>
      <c r="O2306" s="135"/>
      <c r="P2306" s="135"/>
      <c r="Q2306" s="135"/>
      <c r="R2306" s="135"/>
      <c r="S2306" s="135"/>
      <c r="T2306" s="135"/>
      <c r="U2306" s="135"/>
      <c r="V2306" s="135"/>
      <c r="W2306" s="135"/>
      <c r="X2306" s="135"/>
      <c r="Y2306" s="135"/>
      <c r="Z2306" s="135"/>
    </row>
    <row r="2307" spans="1:26" ht="12.75">
      <c r="A2307" s="136" t="s">
        <v>15</v>
      </c>
      <c r="B2307" s="136" t="s">
        <v>7727</v>
      </c>
      <c r="C2307" s="136" t="s">
        <v>7728</v>
      </c>
      <c r="D2307" s="136" t="s">
        <v>467</v>
      </c>
      <c r="E2307" s="136" t="s">
        <v>85</v>
      </c>
      <c r="F2307" s="136">
        <v>60</v>
      </c>
      <c r="G2307" s="137">
        <f t="shared" si="9"/>
        <v>7</v>
      </c>
      <c r="H2307" s="137"/>
      <c r="I2307" s="137"/>
      <c r="J2307" s="135"/>
      <c r="K2307" s="135"/>
      <c r="L2307" s="135"/>
      <c r="M2307" s="135"/>
      <c r="N2307" s="135"/>
      <c r="O2307" s="135"/>
      <c r="P2307" s="135"/>
      <c r="Q2307" s="135"/>
      <c r="R2307" s="135"/>
      <c r="S2307" s="135"/>
      <c r="T2307" s="135"/>
      <c r="U2307" s="135"/>
      <c r="V2307" s="135"/>
      <c r="W2307" s="135"/>
      <c r="X2307" s="135"/>
      <c r="Y2307" s="135"/>
      <c r="Z2307" s="135"/>
    </row>
    <row r="2308" spans="1:26" ht="12.75">
      <c r="A2308" s="136" t="s">
        <v>15</v>
      </c>
      <c r="B2308" s="136" t="s">
        <v>7727</v>
      </c>
      <c r="C2308" s="136" t="s">
        <v>7728</v>
      </c>
      <c r="D2308" s="136" t="s">
        <v>136</v>
      </c>
      <c r="E2308" s="136" t="s">
        <v>615</v>
      </c>
      <c r="F2308" s="136">
        <v>29</v>
      </c>
      <c r="G2308" s="137">
        <f t="shared" si="9"/>
        <v>8</v>
      </c>
      <c r="H2308" s="137"/>
      <c r="I2308" s="137"/>
      <c r="J2308" s="135"/>
      <c r="K2308" s="135"/>
      <c r="L2308" s="135"/>
      <c r="M2308" s="135"/>
      <c r="N2308" s="135"/>
      <c r="O2308" s="135"/>
      <c r="P2308" s="135"/>
      <c r="Q2308" s="135"/>
      <c r="R2308" s="135"/>
      <c r="S2308" s="135"/>
      <c r="T2308" s="135"/>
      <c r="U2308" s="135"/>
      <c r="V2308" s="135"/>
      <c r="W2308" s="135"/>
      <c r="X2308" s="135"/>
      <c r="Y2308" s="135"/>
      <c r="Z2308" s="135"/>
    </row>
    <row r="2309" spans="1:26" ht="12.75">
      <c r="A2309" s="136" t="s">
        <v>15</v>
      </c>
      <c r="B2309" s="136" t="s">
        <v>7727</v>
      </c>
      <c r="C2309" s="136" t="s">
        <v>7728</v>
      </c>
      <c r="D2309" s="136" t="s">
        <v>1665</v>
      </c>
      <c r="E2309" s="136" t="s">
        <v>615</v>
      </c>
      <c r="F2309" s="136">
        <v>29</v>
      </c>
      <c r="G2309" s="137">
        <f t="shared" si="9"/>
        <v>9</v>
      </c>
      <c r="H2309" s="137"/>
      <c r="I2309" s="137"/>
      <c r="J2309" s="135"/>
      <c r="K2309" s="135"/>
      <c r="L2309" s="135"/>
      <c r="M2309" s="135"/>
      <c r="N2309" s="135"/>
      <c r="O2309" s="135"/>
      <c r="P2309" s="135"/>
      <c r="Q2309" s="135"/>
      <c r="R2309" s="135"/>
      <c r="S2309" s="135"/>
      <c r="T2309" s="135"/>
      <c r="U2309" s="135"/>
      <c r="V2309" s="135"/>
      <c r="W2309" s="135"/>
      <c r="X2309" s="135"/>
      <c r="Y2309" s="135"/>
      <c r="Z2309" s="135"/>
    </row>
    <row r="2310" spans="1:26" ht="12.75">
      <c r="A2310" s="136" t="s">
        <v>15</v>
      </c>
      <c r="B2310" s="136" t="s">
        <v>7727</v>
      </c>
      <c r="C2310" s="136" t="s">
        <v>7728</v>
      </c>
      <c r="D2310" s="136" t="s">
        <v>1626</v>
      </c>
      <c r="E2310" s="136" t="s">
        <v>594</v>
      </c>
      <c r="F2310" s="136">
        <v>22</v>
      </c>
      <c r="G2310" s="137">
        <f t="shared" si="9"/>
        <v>10</v>
      </c>
      <c r="H2310" s="137"/>
      <c r="I2310" s="137"/>
      <c r="J2310" s="135"/>
      <c r="K2310" s="135"/>
      <c r="L2310" s="135"/>
      <c r="M2310" s="135"/>
      <c r="N2310" s="135"/>
      <c r="O2310" s="135"/>
      <c r="P2310" s="135"/>
      <c r="Q2310" s="135"/>
      <c r="R2310" s="135"/>
      <c r="S2310" s="135"/>
      <c r="T2310" s="135"/>
      <c r="U2310" s="135"/>
      <c r="V2310" s="135"/>
      <c r="W2310" s="135"/>
      <c r="X2310" s="135"/>
      <c r="Y2310" s="135"/>
      <c r="Z2310" s="135"/>
    </row>
    <row r="2311" spans="1:26" ht="12.75">
      <c r="A2311" s="136" t="s">
        <v>15</v>
      </c>
      <c r="B2311" s="136" t="s">
        <v>7727</v>
      </c>
      <c r="C2311" s="136" t="s">
        <v>7728</v>
      </c>
      <c r="D2311" s="136"/>
      <c r="E2311" s="136" t="s">
        <v>7693</v>
      </c>
      <c r="F2311" s="136">
        <v>3187</v>
      </c>
      <c r="G2311" s="137">
        <f t="shared" si="9"/>
        <v>1</v>
      </c>
      <c r="H2311" s="137"/>
      <c r="I2311" s="137"/>
      <c r="J2311" s="135"/>
      <c r="K2311" s="135"/>
      <c r="L2311" s="135"/>
      <c r="M2311" s="135"/>
      <c r="N2311" s="135"/>
      <c r="O2311" s="135"/>
      <c r="P2311" s="135"/>
      <c r="Q2311" s="135"/>
      <c r="R2311" s="135"/>
      <c r="S2311" s="135"/>
      <c r="T2311" s="135"/>
      <c r="U2311" s="135"/>
      <c r="V2311" s="135"/>
      <c r="W2311" s="135"/>
      <c r="X2311" s="135"/>
      <c r="Y2311" s="135"/>
      <c r="Z2311" s="135"/>
    </row>
    <row r="2312" spans="1:26" ht="12.75">
      <c r="A2312" s="136" t="s">
        <v>15</v>
      </c>
      <c r="B2312" s="136" t="s">
        <v>7727</v>
      </c>
      <c r="C2312" s="136" t="s">
        <v>922</v>
      </c>
      <c r="D2312" s="136" t="s">
        <v>7729</v>
      </c>
      <c r="E2312" s="136" t="s">
        <v>615</v>
      </c>
      <c r="F2312" s="136">
        <v>991</v>
      </c>
      <c r="G2312" s="137">
        <f t="shared" si="9"/>
        <v>2</v>
      </c>
      <c r="H2312" s="137"/>
      <c r="I2312" s="137"/>
      <c r="J2312" s="135"/>
      <c r="K2312" s="135"/>
      <c r="L2312" s="135"/>
      <c r="M2312" s="135"/>
      <c r="N2312" s="135"/>
      <c r="O2312" s="135"/>
      <c r="P2312" s="135"/>
      <c r="Q2312" s="135"/>
      <c r="R2312" s="135"/>
      <c r="S2312" s="135"/>
      <c r="T2312" s="135"/>
      <c r="U2312" s="135"/>
      <c r="V2312" s="135"/>
      <c r="W2312" s="135"/>
      <c r="X2312" s="135"/>
      <c r="Y2312" s="135"/>
      <c r="Z2312" s="135"/>
    </row>
    <row r="2313" spans="1:26" ht="12.75">
      <c r="A2313" s="136" t="s">
        <v>15</v>
      </c>
      <c r="B2313" s="136" t="s">
        <v>7727</v>
      </c>
      <c r="C2313" s="136" t="s">
        <v>922</v>
      </c>
      <c r="D2313" s="136" t="s">
        <v>467</v>
      </c>
      <c r="E2313" s="136" t="s">
        <v>85</v>
      </c>
      <c r="F2313" s="136">
        <v>80</v>
      </c>
      <c r="G2313" s="137">
        <f t="shared" si="9"/>
        <v>3</v>
      </c>
      <c r="H2313" s="137"/>
      <c r="I2313" s="137"/>
      <c r="J2313" s="135"/>
      <c r="K2313" s="135"/>
      <c r="L2313" s="135"/>
      <c r="M2313" s="135"/>
      <c r="N2313" s="135"/>
      <c r="O2313" s="135"/>
      <c r="P2313" s="135"/>
      <c r="Q2313" s="135"/>
      <c r="R2313" s="135"/>
      <c r="S2313" s="135"/>
      <c r="T2313" s="135"/>
      <c r="U2313" s="135"/>
      <c r="V2313" s="135"/>
      <c r="W2313" s="135"/>
      <c r="X2313" s="135"/>
      <c r="Y2313" s="135"/>
      <c r="Z2313" s="135"/>
    </row>
    <row r="2314" spans="1:26" ht="12.75">
      <c r="A2314" s="136" t="s">
        <v>15</v>
      </c>
      <c r="B2314" s="136" t="s">
        <v>7727</v>
      </c>
      <c r="C2314" s="136" t="s">
        <v>922</v>
      </c>
      <c r="D2314" s="136" t="s">
        <v>1665</v>
      </c>
      <c r="E2314" s="136" t="s">
        <v>615</v>
      </c>
      <c r="F2314" s="136">
        <v>33</v>
      </c>
      <c r="G2314" s="137">
        <f t="shared" si="9"/>
        <v>4</v>
      </c>
      <c r="H2314" s="137"/>
      <c r="I2314" s="137"/>
      <c r="J2314" s="135"/>
      <c r="K2314" s="135"/>
      <c r="L2314" s="135"/>
      <c r="M2314" s="135"/>
      <c r="N2314" s="135"/>
      <c r="O2314" s="135"/>
      <c r="P2314" s="135"/>
      <c r="Q2314" s="135"/>
      <c r="R2314" s="135"/>
      <c r="S2314" s="135"/>
      <c r="T2314" s="135"/>
      <c r="U2314" s="135"/>
      <c r="V2314" s="135"/>
      <c r="W2314" s="135"/>
      <c r="X2314" s="135"/>
      <c r="Y2314" s="135"/>
      <c r="Z2314" s="135"/>
    </row>
    <row r="2315" spans="1:26" ht="12.75">
      <c r="A2315" s="136" t="s">
        <v>15</v>
      </c>
      <c r="B2315" s="136" t="s">
        <v>7727</v>
      </c>
      <c r="C2315" s="136" t="s">
        <v>922</v>
      </c>
      <c r="D2315" s="136" t="s">
        <v>7491</v>
      </c>
      <c r="E2315" s="136" t="s">
        <v>615</v>
      </c>
      <c r="F2315" s="136">
        <v>11</v>
      </c>
      <c r="G2315" s="137">
        <f t="shared" si="9"/>
        <v>5</v>
      </c>
      <c r="H2315" s="137"/>
      <c r="I2315" s="137"/>
      <c r="J2315" s="135"/>
      <c r="K2315" s="135"/>
      <c r="L2315" s="135"/>
      <c r="M2315" s="135"/>
      <c r="N2315" s="135"/>
      <c r="O2315" s="135"/>
      <c r="P2315" s="135"/>
      <c r="Q2315" s="135"/>
      <c r="R2315" s="135"/>
      <c r="S2315" s="135"/>
      <c r="T2315" s="135"/>
      <c r="U2315" s="135"/>
      <c r="V2315" s="135"/>
      <c r="W2315" s="135"/>
      <c r="X2315" s="135"/>
      <c r="Y2315" s="135"/>
      <c r="Z2315" s="135"/>
    </row>
    <row r="2316" spans="1:26" ht="25.5">
      <c r="A2316" s="136" t="s">
        <v>15</v>
      </c>
      <c r="B2316" s="136" t="s">
        <v>7727</v>
      </c>
      <c r="C2316" s="136" t="s">
        <v>922</v>
      </c>
      <c r="D2316" s="136" t="s">
        <v>7730</v>
      </c>
      <c r="E2316" s="136" t="s">
        <v>615</v>
      </c>
      <c r="F2316" s="136">
        <v>10</v>
      </c>
      <c r="G2316" s="137">
        <f t="shared" si="9"/>
        <v>6</v>
      </c>
      <c r="H2316" s="137"/>
      <c r="I2316" s="137"/>
      <c r="J2316" s="135"/>
      <c r="K2316" s="135"/>
      <c r="L2316" s="135"/>
      <c r="M2316" s="135"/>
      <c r="N2316" s="135"/>
      <c r="O2316" s="135"/>
      <c r="P2316" s="135"/>
      <c r="Q2316" s="135"/>
      <c r="R2316" s="135"/>
      <c r="S2316" s="135"/>
      <c r="T2316" s="135"/>
      <c r="U2316" s="135"/>
      <c r="V2316" s="135"/>
      <c r="W2316" s="135"/>
      <c r="X2316" s="135"/>
      <c r="Y2316" s="135"/>
      <c r="Z2316" s="135"/>
    </row>
    <row r="2317" spans="1:26" ht="12.75">
      <c r="A2317" s="136" t="s">
        <v>15</v>
      </c>
      <c r="B2317" s="136" t="s">
        <v>7727</v>
      </c>
      <c r="C2317" s="136" t="s">
        <v>922</v>
      </c>
      <c r="D2317" s="136"/>
      <c r="E2317" s="136" t="s">
        <v>7693</v>
      </c>
      <c r="F2317" s="136">
        <v>1125</v>
      </c>
      <c r="G2317" s="137">
        <f t="shared" si="9"/>
        <v>1</v>
      </c>
      <c r="H2317" s="137"/>
      <c r="I2317" s="137"/>
      <c r="J2317" s="135"/>
      <c r="K2317" s="135"/>
      <c r="L2317" s="135"/>
      <c r="M2317" s="135"/>
      <c r="N2317" s="135"/>
      <c r="O2317" s="135"/>
      <c r="P2317" s="135"/>
      <c r="Q2317" s="135"/>
      <c r="R2317" s="135"/>
      <c r="S2317" s="135"/>
      <c r="T2317" s="135"/>
      <c r="U2317" s="135"/>
      <c r="V2317" s="135"/>
      <c r="W2317" s="135"/>
      <c r="X2317" s="135"/>
      <c r="Y2317" s="135"/>
      <c r="Z2317" s="135"/>
    </row>
    <row r="2318" spans="1:26" ht="12.75">
      <c r="A2318" s="136" t="s">
        <v>15</v>
      </c>
      <c r="B2318" s="136" t="s">
        <v>7727</v>
      </c>
      <c r="C2318" s="136" t="s">
        <v>7731</v>
      </c>
      <c r="D2318" s="136" t="s">
        <v>139</v>
      </c>
      <c r="E2318" s="136" t="s">
        <v>594</v>
      </c>
      <c r="F2318" s="136">
        <v>1938</v>
      </c>
      <c r="G2318" s="137">
        <f t="shared" si="9"/>
        <v>2</v>
      </c>
      <c r="H2318" s="137"/>
      <c r="I2318" s="137"/>
      <c r="J2318" s="135"/>
      <c r="K2318" s="135"/>
      <c r="L2318" s="135"/>
      <c r="M2318" s="135"/>
      <c r="N2318" s="135"/>
      <c r="O2318" s="135"/>
      <c r="P2318" s="135"/>
      <c r="Q2318" s="135"/>
      <c r="R2318" s="135"/>
      <c r="S2318" s="135"/>
      <c r="T2318" s="135"/>
      <c r="U2318" s="135"/>
      <c r="V2318" s="135"/>
      <c r="W2318" s="135"/>
      <c r="X2318" s="135"/>
      <c r="Y2318" s="135"/>
      <c r="Z2318" s="135"/>
    </row>
    <row r="2319" spans="1:26" ht="12.75">
      <c r="A2319" s="136" t="s">
        <v>15</v>
      </c>
      <c r="B2319" s="136" t="s">
        <v>7727</v>
      </c>
      <c r="C2319" s="136" t="s">
        <v>7731</v>
      </c>
      <c r="D2319" s="136" t="s">
        <v>1674</v>
      </c>
      <c r="E2319" s="136" t="s">
        <v>615</v>
      </c>
      <c r="F2319" s="136">
        <v>589</v>
      </c>
      <c r="G2319" s="137">
        <f t="shared" si="9"/>
        <v>3</v>
      </c>
      <c r="H2319" s="137"/>
      <c r="I2319" s="137"/>
      <c r="J2319" s="135"/>
      <c r="K2319" s="135"/>
      <c r="L2319" s="135"/>
      <c r="M2319" s="135"/>
      <c r="N2319" s="135"/>
      <c r="O2319" s="135"/>
      <c r="P2319" s="135"/>
      <c r="Q2319" s="135"/>
      <c r="R2319" s="135"/>
      <c r="S2319" s="135"/>
      <c r="T2319" s="135"/>
      <c r="U2319" s="135"/>
      <c r="V2319" s="135"/>
      <c r="W2319" s="135"/>
      <c r="X2319" s="135"/>
      <c r="Y2319" s="135"/>
      <c r="Z2319" s="135"/>
    </row>
    <row r="2320" spans="1:26" ht="12.75">
      <c r="A2320" s="136" t="s">
        <v>15</v>
      </c>
      <c r="B2320" s="136" t="s">
        <v>7727</v>
      </c>
      <c r="C2320" s="136" t="s">
        <v>7731</v>
      </c>
      <c r="D2320" s="136" t="s">
        <v>114</v>
      </c>
      <c r="E2320" s="136" t="s">
        <v>85</v>
      </c>
      <c r="F2320" s="136">
        <v>431</v>
      </c>
      <c r="G2320" s="137">
        <f t="shared" si="9"/>
        <v>4</v>
      </c>
      <c r="H2320" s="137"/>
      <c r="I2320" s="137"/>
      <c r="J2320" s="135"/>
      <c r="K2320" s="135"/>
      <c r="L2320" s="135"/>
      <c r="M2320" s="135"/>
      <c r="N2320" s="135"/>
      <c r="O2320" s="135"/>
      <c r="P2320" s="135"/>
      <c r="Q2320" s="135"/>
      <c r="R2320" s="135"/>
      <c r="S2320" s="135"/>
      <c r="T2320" s="135"/>
      <c r="U2320" s="135"/>
      <c r="V2320" s="135"/>
      <c r="W2320" s="135"/>
      <c r="X2320" s="135"/>
      <c r="Y2320" s="135"/>
      <c r="Z2320" s="135"/>
    </row>
    <row r="2321" spans="1:26" ht="12.75">
      <c r="A2321" s="136" t="s">
        <v>15</v>
      </c>
      <c r="B2321" s="136" t="s">
        <v>7727</v>
      </c>
      <c r="C2321" s="136" t="s">
        <v>7731</v>
      </c>
      <c r="D2321" s="136" t="s">
        <v>1669</v>
      </c>
      <c r="E2321" s="136" t="s">
        <v>615</v>
      </c>
      <c r="F2321" s="136">
        <v>223</v>
      </c>
      <c r="G2321" s="137">
        <f t="shared" si="9"/>
        <v>5</v>
      </c>
      <c r="H2321" s="137"/>
      <c r="I2321" s="137"/>
      <c r="J2321" s="135"/>
      <c r="K2321" s="135"/>
      <c r="L2321" s="135"/>
      <c r="M2321" s="135"/>
      <c r="N2321" s="135"/>
      <c r="O2321" s="135"/>
      <c r="P2321" s="135"/>
      <c r="Q2321" s="135"/>
      <c r="R2321" s="135"/>
      <c r="S2321" s="135"/>
      <c r="T2321" s="135"/>
      <c r="U2321" s="135"/>
      <c r="V2321" s="135"/>
      <c r="W2321" s="135"/>
      <c r="X2321" s="135"/>
      <c r="Y2321" s="135"/>
      <c r="Z2321" s="135"/>
    </row>
    <row r="2322" spans="1:26" ht="12.75">
      <c r="A2322" s="136" t="s">
        <v>15</v>
      </c>
      <c r="B2322" s="136" t="s">
        <v>7727</v>
      </c>
      <c r="C2322" s="136" t="s">
        <v>7731</v>
      </c>
      <c r="D2322" s="136" t="s">
        <v>467</v>
      </c>
      <c r="E2322" s="136" t="s">
        <v>85</v>
      </c>
      <c r="F2322" s="136">
        <v>110</v>
      </c>
      <c r="G2322" s="137">
        <f t="shared" si="9"/>
        <v>6</v>
      </c>
      <c r="H2322" s="137"/>
      <c r="I2322" s="137"/>
      <c r="J2322" s="135"/>
      <c r="K2322" s="135"/>
      <c r="L2322" s="135"/>
      <c r="M2322" s="135"/>
      <c r="N2322" s="135"/>
      <c r="O2322" s="135"/>
      <c r="P2322" s="135"/>
      <c r="Q2322" s="135"/>
      <c r="R2322" s="135"/>
      <c r="S2322" s="135"/>
      <c r="T2322" s="135"/>
      <c r="U2322" s="135"/>
      <c r="V2322" s="135"/>
      <c r="W2322" s="135"/>
      <c r="X2322" s="135"/>
      <c r="Y2322" s="135"/>
      <c r="Z2322" s="135"/>
    </row>
    <row r="2323" spans="1:26" ht="12.75">
      <c r="A2323" s="136" t="s">
        <v>15</v>
      </c>
      <c r="B2323" s="136" t="s">
        <v>7727</v>
      </c>
      <c r="C2323" s="136" t="s">
        <v>7731</v>
      </c>
      <c r="D2323" s="136" t="s">
        <v>7491</v>
      </c>
      <c r="E2323" s="136" t="s">
        <v>615</v>
      </c>
      <c r="F2323" s="136">
        <v>95</v>
      </c>
      <c r="G2323" s="137">
        <f t="shared" si="9"/>
        <v>7</v>
      </c>
      <c r="H2323" s="137"/>
      <c r="I2323" s="137"/>
      <c r="J2323" s="135"/>
      <c r="K2323" s="135"/>
      <c r="L2323" s="135"/>
      <c r="M2323" s="135"/>
      <c r="N2323" s="135"/>
      <c r="O2323" s="135"/>
      <c r="P2323" s="135"/>
      <c r="Q2323" s="135"/>
      <c r="R2323" s="135"/>
      <c r="S2323" s="135"/>
      <c r="T2323" s="135"/>
      <c r="U2323" s="135"/>
      <c r="V2323" s="135"/>
      <c r="W2323" s="135"/>
      <c r="X2323" s="135"/>
      <c r="Y2323" s="135"/>
      <c r="Z2323" s="135"/>
    </row>
    <row r="2324" spans="1:26" ht="12.75">
      <c r="A2324" s="136" t="s">
        <v>15</v>
      </c>
      <c r="B2324" s="136" t="s">
        <v>7727</v>
      </c>
      <c r="C2324" s="136" t="s">
        <v>7731</v>
      </c>
      <c r="D2324" s="136" t="s">
        <v>1665</v>
      </c>
      <c r="E2324" s="136" t="s">
        <v>615</v>
      </c>
      <c r="F2324" s="136">
        <v>67</v>
      </c>
      <c r="G2324" s="137">
        <f t="shared" si="9"/>
        <v>8</v>
      </c>
      <c r="H2324" s="137"/>
      <c r="I2324" s="137"/>
      <c r="J2324" s="135"/>
      <c r="K2324" s="135"/>
      <c r="L2324" s="135"/>
      <c r="M2324" s="135"/>
      <c r="N2324" s="135"/>
      <c r="O2324" s="135"/>
      <c r="P2324" s="135"/>
      <c r="Q2324" s="135"/>
      <c r="R2324" s="135"/>
      <c r="S2324" s="135"/>
      <c r="T2324" s="135"/>
      <c r="U2324" s="135"/>
      <c r="V2324" s="135"/>
      <c r="W2324" s="135"/>
      <c r="X2324" s="135"/>
      <c r="Y2324" s="135"/>
      <c r="Z2324" s="135"/>
    </row>
    <row r="2325" spans="1:26" ht="12.75">
      <c r="A2325" s="136" t="s">
        <v>15</v>
      </c>
      <c r="B2325" s="136" t="s">
        <v>7727</v>
      </c>
      <c r="C2325" s="136" t="s">
        <v>7731</v>
      </c>
      <c r="D2325" s="136" t="s">
        <v>136</v>
      </c>
      <c r="E2325" s="136" t="s">
        <v>615</v>
      </c>
      <c r="F2325" s="136">
        <v>59</v>
      </c>
      <c r="G2325" s="137">
        <f t="shared" si="9"/>
        <v>9</v>
      </c>
      <c r="H2325" s="137"/>
      <c r="I2325" s="137"/>
      <c r="J2325" s="135"/>
      <c r="K2325" s="135"/>
      <c r="L2325" s="135"/>
      <c r="M2325" s="135"/>
      <c r="N2325" s="135"/>
      <c r="O2325" s="135"/>
      <c r="P2325" s="135"/>
      <c r="Q2325" s="135"/>
      <c r="R2325" s="135"/>
      <c r="S2325" s="135"/>
      <c r="T2325" s="135"/>
      <c r="U2325" s="135"/>
      <c r="V2325" s="135"/>
      <c r="W2325" s="135"/>
      <c r="X2325" s="135"/>
      <c r="Y2325" s="135"/>
      <c r="Z2325" s="135"/>
    </row>
    <row r="2326" spans="1:26" ht="12.75">
      <c r="A2326" s="136" t="s">
        <v>15</v>
      </c>
      <c r="B2326" s="136" t="s">
        <v>7727</v>
      </c>
      <c r="C2326" s="136" t="s">
        <v>7731</v>
      </c>
      <c r="D2326" s="136" t="s">
        <v>1635</v>
      </c>
      <c r="E2326" s="136" t="s">
        <v>615</v>
      </c>
      <c r="F2326" s="136">
        <v>30</v>
      </c>
      <c r="G2326" s="137">
        <f t="shared" si="9"/>
        <v>10</v>
      </c>
      <c r="H2326" s="137"/>
      <c r="I2326" s="137"/>
      <c r="J2326" s="135"/>
      <c r="K2326" s="135"/>
      <c r="L2326" s="135"/>
      <c r="M2326" s="135"/>
      <c r="N2326" s="135"/>
      <c r="O2326" s="135"/>
      <c r="P2326" s="135"/>
      <c r="Q2326" s="135"/>
      <c r="R2326" s="135"/>
      <c r="S2326" s="135"/>
      <c r="T2326" s="135"/>
      <c r="U2326" s="135"/>
      <c r="V2326" s="135"/>
      <c r="W2326" s="135"/>
      <c r="X2326" s="135"/>
      <c r="Y2326" s="135"/>
      <c r="Z2326" s="135"/>
    </row>
    <row r="2327" spans="1:26" ht="12.75">
      <c r="A2327" s="136" t="s">
        <v>15</v>
      </c>
      <c r="B2327" s="136" t="s">
        <v>7727</v>
      </c>
      <c r="C2327" s="136" t="s">
        <v>7731</v>
      </c>
      <c r="D2327" s="136" t="s">
        <v>7732</v>
      </c>
      <c r="E2327" s="136" t="s">
        <v>615</v>
      </c>
      <c r="F2327" s="136">
        <v>20</v>
      </c>
      <c r="G2327" s="137">
        <f t="shared" si="9"/>
        <v>11</v>
      </c>
      <c r="H2327" s="137"/>
      <c r="I2327" s="137"/>
      <c r="J2327" s="135"/>
      <c r="K2327" s="135"/>
      <c r="L2327" s="135"/>
      <c r="M2327" s="135"/>
      <c r="N2327" s="135"/>
      <c r="O2327" s="135"/>
      <c r="P2327" s="135"/>
      <c r="Q2327" s="135"/>
      <c r="R2327" s="135"/>
      <c r="S2327" s="135"/>
      <c r="T2327" s="135"/>
      <c r="U2327" s="135"/>
      <c r="V2327" s="135"/>
      <c r="W2327" s="135"/>
      <c r="X2327" s="135"/>
      <c r="Y2327" s="135"/>
      <c r="Z2327" s="135"/>
    </row>
    <row r="2328" spans="1:26" ht="12.75">
      <c r="A2328" s="136" t="s">
        <v>15</v>
      </c>
      <c r="B2328" s="136" t="s">
        <v>7727</v>
      </c>
      <c r="C2328" s="136" t="s">
        <v>7731</v>
      </c>
      <c r="D2328" s="136"/>
      <c r="E2328" s="136" t="s">
        <v>7693</v>
      </c>
      <c r="F2328" s="136">
        <v>3562</v>
      </c>
      <c r="G2328" s="137">
        <f t="shared" si="9"/>
        <v>1</v>
      </c>
      <c r="H2328" s="137"/>
      <c r="I2328" s="137"/>
      <c r="J2328" s="135"/>
      <c r="K2328" s="135"/>
      <c r="L2328" s="135"/>
      <c r="M2328" s="135"/>
      <c r="N2328" s="135"/>
      <c r="O2328" s="135"/>
      <c r="P2328" s="135"/>
      <c r="Q2328" s="135"/>
      <c r="R2328" s="135"/>
      <c r="S2328" s="135"/>
      <c r="T2328" s="135"/>
      <c r="U2328" s="135"/>
      <c r="V2328" s="135"/>
      <c r="W2328" s="135"/>
      <c r="X2328" s="135"/>
      <c r="Y2328" s="135"/>
      <c r="Z2328" s="135"/>
    </row>
    <row r="2329" spans="1:26" ht="12.75">
      <c r="A2329" s="136" t="s">
        <v>15</v>
      </c>
      <c r="B2329" s="136" t="s">
        <v>7727</v>
      </c>
      <c r="C2329" s="136" t="s">
        <v>7733</v>
      </c>
      <c r="D2329" s="136" t="s">
        <v>139</v>
      </c>
      <c r="E2329" s="136" t="s">
        <v>594</v>
      </c>
      <c r="F2329" s="136">
        <v>488</v>
      </c>
      <c r="G2329" s="137">
        <f t="shared" si="9"/>
        <v>2</v>
      </c>
      <c r="H2329" s="137"/>
      <c r="I2329" s="137"/>
      <c r="J2329" s="135"/>
      <c r="K2329" s="135"/>
      <c r="L2329" s="135"/>
      <c r="M2329" s="135"/>
      <c r="N2329" s="135"/>
      <c r="O2329" s="135"/>
      <c r="P2329" s="135"/>
      <c r="Q2329" s="135"/>
      <c r="R2329" s="135"/>
      <c r="S2329" s="135"/>
      <c r="T2329" s="135"/>
      <c r="U2329" s="135"/>
      <c r="V2329" s="135"/>
      <c r="W2329" s="135"/>
      <c r="X2329" s="135"/>
      <c r="Y2329" s="135"/>
      <c r="Z2329" s="135"/>
    </row>
    <row r="2330" spans="1:26" ht="12.75">
      <c r="A2330" s="136" t="s">
        <v>15</v>
      </c>
      <c r="B2330" s="136" t="s">
        <v>7727</v>
      </c>
      <c r="C2330" s="136" t="s">
        <v>7733</v>
      </c>
      <c r="D2330" s="136" t="s">
        <v>114</v>
      </c>
      <c r="E2330" s="136" t="s">
        <v>85</v>
      </c>
      <c r="F2330" s="136">
        <v>241</v>
      </c>
      <c r="G2330" s="137">
        <f t="shared" si="9"/>
        <v>3</v>
      </c>
      <c r="H2330" s="137"/>
      <c r="I2330" s="137"/>
      <c r="J2330" s="135"/>
      <c r="K2330" s="135"/>
      <c r="L2330" s="135"/>
      <c r="M2330" s="135"/>
      <c r="N2330" s="135"/>
      <c r="O2330" s="135"/>
      <c r="P2330" s="135"/>
      <c r="Q2330" s="135"/>
      <c r="R2330" s="135"/>
      <c r="S2330" s="135"/>
      <c r="T2330" s="135"/>
      <c r="U2330" s="135"/>
      <c r="V2330" s="135"/>
      <c r="W2330" s="135"/>
      <c r="X2330" s="135"/>
      <c r="Y2330" s="135"/>
      <c r="Z2330" s="135"/>
    </row>
    <row r="2331" spans="1:26" ht="12.75">
      <c r="A2331" s="136" t="s">
        <v>15</v>
      </c>
      <c r="B2331" s="136" t="s">
        <v>7727</v>
      </c>
      <c r="C2331" s="136" t="s">
        <v>7733</v>
      </c>
      <c r="D2331" s="136" t="s">
        <v>103</v>
      </c>
      <c r="E2331" s="136" t="s">
        <v>594</v>
      </c>
      <c r="F2331" s="136">
        <v>55</v>
      </c>
      <c r="G2331" s="137">
        <f t="shared" si="9"/>
        <v>4</v>
      </c>
      <c r="H2331" s="137"/>
      <c r="I2331" s="137"/>
      <c r="J2331" s="135"/>
      <c r="K2331" s="135"/>
      <c r="L2331" s="135"/>
      <c r="M2331" s="135"/>
      <c r="N2331" s="135"/>
      <c r="O2331" s="135"/>
      <c r="P2331" s="135"/>
      <c r="Q2331" s="135"/>
      <c r="R2331" s="135"/>
      <c r="S2331" s="135"/>
      <c r="T2331" s="135"/>
      <c r="U2331" s="135"/>
      <c r="V2331" s="135"/>
      <c r="W2331" s="135"/>
      <c r="X2331" s="135"/>
      <c r="Y2331" s="135"/>
      <c r="Z2331" s="135"/>
    </row>
    <row r="2332" spans="1:26" ht="12.75">
      <c r="A2332" s="136" t="s">
        <v>15</v>
      </c>
      <c r="B2332" s="136" t="s">
        <v>7727</v>
      </c>
      <c r="C2332" s="136" t="s">
        <v>7733</v>
      </c>
      <c r="D2332" s="136" t="s">
        <v>1674</v>
      </c>
      <c r="E2332" s="136" t="s">
        <v>615</v>
      </c>
      <c r="F2332" s="136">
        <v>24</v>
      </c>
      <c r="G2332" s="137">
        <f t="shared" si="9"/>
        <v>5</v>
      </c>
      <c r="H2332" s="137"/>
      <c r="I2332" s="137"/>
      <c r="J2332" s="135"/>
      <c r="K2332" s="135"/>
      <c r="L2332" s="135"/>
      <c r="M2332" s="135"/>
      <c r="N2332" s="135"/>
      <c r="O2332" s="135"/>
      <c r="P2332" s="135"/>
      <c r="Q2332" s="135"/>
      <c r="R2332" s="135"/>
      <c r="S2332" s="135"/>
      <c r="T2332" s="135"/>
      <c r="U2332" s="135"/>
      <c r="V2332" s="135"/>
      <c r="W2332" s="135"/>
      <c r="X2332" s="135"/>
      <c r="Y2332" s="135"/>
      <c r="Z2332" s="135"/>
    </row>
    <row r="2333" spans="1:26" ht="12.75">
      <c r="A2333" s="136" t="s">
        <v>15</v>
      </c>
      <c r="B2333" s="136" t="s">
        <v>7727</v>
      </c>
      <c r="C2333" s="136" t="s">
        <v>7733</v>
      </c>
      <c r="D2333" s="136" t="s">
        <v>7491</v>
      </c>
      <c r="E2333" s="136" t="s">
        <v>615</v>
      </c>
      <c r="F2333" s="136">
        <v>21</v>
      </c>
      <c r="G2333" s="137">
        <f t="shared" si="9"/>
        <v>6</v>
      </c>
      <c r="H2333" s="137"/>
      <c r="I2333" s="137"/>
      <c r="J2333" s="135"/>
      <c r="K2333" s="135"/>
      <c r="L2333" s="135"/>
      <c r="M2333" s="135"/>
      <c r="N2333" s="135"/>
      <c r="O2333" s="135"/>
      <c r="P2333" s="135"/>
      <c r="Q2333" s="135"/>
      <c r="R2333" s="135"/>
      <c r="S2333" s="135"/>
      <c r="T2333" s="135"/>
      <c r="U2333" s="135"/>
      <c r="V2333" s="135"/>
      <c r="W2333" s="135"/>
      <c r="X2333" s="135"/>
      <c r="Y2333" s="135"/>
      <c r="Z2333" s="135"/>
    </row>
    <row r="2334" spans="1:26" ht="12.75">
      <c r="A2334" s="136" t="s">
        <v>15</v>
      </c>
      <c r="B2334" s="136" t="s">
        <v>7727</v>
      </c>
      <c r="C2334" s="136" t="s">
        <v>7733</v>
      </c>
      <c r="D2334" s="136"/>
      <c r="E2334" s="136" t="s">
        <v>7693</v>
      </c>
      <c r="F2334" s="136">
        <v>829</v>
      </c>
      <c r="G2334" s="137">
        <f t="shared" si="9"/>
        <v>1</v>
      </c>
      <c r="H2334" s="137"/>
      <c r="I2334" s="137"/>
      <c r="J2334" s="135"/>
      <c r="K2334" s="135"/>
      <c r="L2334" s="135"/>
      <c r="M2334" s="135"/>
      <c r="N2334" s="135"/>
      <c r="O2334" s="135"/>
      <c r="P2334" s="135"/>
      <c r="Q2334" s="135"/>
      <c r="R2334" s="135"/>
      <c r="S2334" s="135"/>
      <c r="T2334" s="135"/>
      <c r="U2334" s="135"/>
      <c r="V2334" s="135"/>
      <c r="W2334" s="135"/>
      <c r="X2334" s="135"/>
      <c r="Y2334" s="135"/>
      <c r="Z2334" s="135"/>
    </row>
    <row r="2335" spans="1:26" ht="12.75">
      <c r="A2335" s="136" t="s">
        <v>15</v>
      </c>
      <c r="B2335" s="136" t="s">
        <v>7727</v>
      </c>
      <c r="C2335" s="136" t="s">
        <v>7734</v>
      </c>
      <c r="D2335" s="136" t="s">
        <v>213</v>
      </c>
      <c r="E2335" s="136" t="s">
        <v>615</v>
      </c>
      <c r="F2335" s="136">
        <v>3204</v>
      </c>
      <c r="G2335" s="137">
        <f t="shared" si="9"/>
        <v>2</v>
      </c>
      <c r="H2335" s="137"/>
      <c r="I2335" s="137"/>
      <c r="J2335" s="135"/>
      <c r="K2335" s="135"/>
      <c r="L2335" s="135"/>
      <c r="M2335" s="135"/>
      <c r="N2335" s="135"/>
      <c r="O2335" s="135"/>
      <c r="P2335" s="135"/>
      <c r="Q2335" s="135"/>
      <c r="R2335" s="135"/>
      <c r="S2335" s="135"/>
      <c r="T2335" s="135"/>
      <c r="U2335" s="135"/>
      <c r="V2335" s="135"/>
      <c r="W2335" s="135"/>
      <c r="X2335" s="135"/>
      <c r="Y2335" s="135"/>
      <c r="Z2335" s="135"/>
    </row>
    <row r="2336" spans="1:26" ht="12.75">
      <c r="A2336" s="136" t="s">
        <v>15</v>
      </c>
      <c r="B2336" s="136" t="s">
        <v>7727</v>
      </c>
      <c r="C2336" s="136" t="s">
        <v>7734</v>
      </c>
      <c r="D2336" s="136" t="s">
        <v>103</v>
      </c>
      <c r="E2336" s="136" t="s">
        <v>594</v>
      </c>
      <c r="F2336" s="136">
        <v>1733</v>
      </c>
      <c r="G2336" s="137">
        <f t="shared" si="9"/>
        <v>3</v>
      </c>
      <c r="H2336" s="137"/>
      <c r="I2336" s="137"/>
      <c r="J2336" s="135"/>
      <c r="K2336" s="135"/>
      <c r="L2336" s="135"/>
      <c r="M2336" s="135"/>
      <c r="N2336" s="135"/>
      <c r="O2336" s="135"/>
      <c r="P2336" s="135"/>
      <c r="Q2336" s="135"/>
      <c r="R2336" s="135"/>
      <c r="S2336" s="135"/>
      <c r="T2336" s="135"/>
      <c r="U2336" s="135"/>
      <c r="V2336" s="135"/>
      <c r="W2336" s="135"/>
      <c r="X2336" s="135"/>
      <c r="Y2336" s="135"/>
      <c r="Z2336" s="135"/>
    </row>
    <row r="2337" spans="1:26" ht="12.75">
      <c r="A2337" s="136" t="s">
        <v>15</v>
      </c>
      <c r="B2337" s="136" t="s">
        <v>7727</v>
      </c>
      <c r="C2337" s="136" t="s">
        <v>7734</v>
      </c>
      <c r="D2337" s="136" t="s">
        <v>139</v>
      </c>
      <c r="E2337" s="136" t="s">
        <v>594</v>
      </c>
      <c r="F2337" s="136">
        <v>754</v>
      </c>
      <c r="G2337" s="137">
        <f t="shared" si="9"/>
        <v>4</v>
      </c>
      <c r="H2337" s="137"/>
      <c r="I2337" s="137"/>
      <c r="J2337" s="135"/>
      <c r="K2337" s="135"/>
      <c r="L2337" s="135"/>
      <c r="M2337" s="135"/>
      <c r="N2337" s="135"/>
      <c r="O2337" s="135"/>
      <c r="P2337" s="135"/>
      <c r="Q2337" s="135"/>
      <c r="R2337" s="135"/>
      <c r="S2337" s="135"/>
      <c r="T2337" s="135"/>
      <c r="U2337" s="135"/>
      <c r="V2337" s="135"/>
      <c r="W2337" s="135"/>
      <c r="X2337" s="135"/>
      <c r="Y2337" s="135"/>
      <c r="Z2337" s="135"/>
    </row>
    <row r="2338" spans="1:26" ht="12.75">
      <c r="A2338" s="136" t="s">
        <v>15</v>
      </c>
      <c r="B2338" s="136" t="s">
        <v>7727</v>
      </c>
      <c r="C2338" s="136" t="s">
        <v>7734</v>
      </c>
      <c r="D2338" s="136" t="s">
        <v>114</v>
      </c>
      <c r="E2338" s="136" t="s">
        <v>85</v>
      </c>
      <c r="F2338" s="136">
        <v>401</v>
      </c>
      <c r="G2338" s="137">
        <f t="shared" si="9"/>
        <v>5</v>
      </c>
      <c r="H2338" s="137"/>
      <c r="I2338" s="137"/>
      <c r="J2338" s="135"/>
      <c r="K2338" s="135"/>
      <c r="L2338" s="135"/>
      <c r="M2338" s="135"/>
      <c r="N2338" s="135"/>
      <c r="O2338" s="135"/>
      <c r="P2338" s="135"/>
      <c r="Q2338" s="135"/>
      <c r="R2338" s="135"/>
      <c r="S2338" s="135"/>
      <c r="T2338" s="135"/>
      <c r="U2338" s="135"/>
      <c r="V2338" s="135"/>
      <c r="W2338" s="135"/>
      <c r="X2338" s="135"/>
      <c r="Y2338" s="135"/>
      <c r="Z2338" s="135"/>
    </row>
    <row r="2339" spans="1:26" ht="12.75">
      <c r="A2339" s="136" t="s">
        <v>15</v>
      </c>
      <c r="B2339" s="136" t="s">
        <v>7727</v>
      </c>
      <c r="C2339" s="136" t="s">
        <v>7734</v>
      </c>
      <c r="D2339" s="136" t="s">
        <v>467</v>
      </c>
      <c r="E2339" s="136" t="s">
        <v>85</v>
      </c>
      <c r="F2339" s="136">
        <v>318</v>
      </c>
      <c r="G2339" s="137">
        <f t="shared" si="9"/>
        <v>6</v>
      </c>
      <c r="H2339" s="137"/>
      <c r="I2339" s="137"/>
      <c r="J2339" s="135"/>
      <c r="K2339" s="135"/>
      <c r="L2339" s="135"/>
      <c r="M2339" s="135"/>
      <c r="N2339" s="135"/>
      <c r="O2339" s="135"/>
      <c r="P2339" s="135"/>
      <c r="Q2339" s="135"/>
      <c r="R2339" s="135"/>
      <c r="S2339" s="135"/>
      <c r="T2339" s="135"/>
      <c r="U2339" s="135"/>
      <c r="V2339" s="135"/>
      <c r="W2339" s="135"/>
      <c r="X2339" s="135"/>
      <c r="Y2339" s="135"/>
      <c r="Z2339" s="135"/>
    </row>
    <row r="2340" spans="1:26" ht="12.75">
      <c r="A2340" s="136" t="s">
        <v>15</v>
      </c>
      <c r="B2340" s="136" t="s">
        <v>7727</v>
      </c>
      <c r="C2340" s="136" t="s">
        <v>7734</v>
      </c>
      <c r="D2340" s="136" t="s">
        <v>1669</v>
      </c>
      <c r="E2340" s="136" t="s">
        <v>615</v>
      </c>
      <c r="F2340" s="136">
        <v>222</v>
      </c>
      <c r="G2340" s="137">
        <f t="shared" si="9"/>
        <v>7</v>
      </c>
      <c r="H2340" s="137"/>
      <c r="I2340" s="137"/>
      <c r="J2340" s="135"/>
      <c r="K2340" s="135"/>
      <c r="L2340" s="135"/>
      <c r="M2340" s="135"/>
      <c r="N2340" s="135"/>
      <c r="O2340" s="135"/>
      <c r="P2340" s="135"/>
      <c r="Q2340" s="135"/>
      <c r="R2340" s="135"/>
      <c r="S2340" s="135"/>
      <c r="T2340" s="135"/>
      <c r="U2340" s="135"/>
      <c r="V2340" s="135"/>
      <c r="W2340" s="135"/>
      <c r="X2340" s="135"/>
      <c r="Y2340" s="135"/>
      <c r="Z2340" s="135"/>
    </row>
    <row r="2341" spans="1:26" ht="12.75">
      <c r="A2341" s="136" t="s">
        <v>15</v>
      </c>
      <c r="B2341" s="136" t="s">
        <v>7727</v>
      </c>
      <c r="C2341" s="136" t="s">
        <v>7734</v>
      </c>
      <c r="D2341" s="136" t="s">
        <v>136</v>
      </c>
      <c r="E2341" s="136" t="s">
        <v>615</v>
      </c>
      <c r="F2341" s="136">
        <v>138</v>
      </c>
      <c r="G2341" s="137">
        <f t="shared" si="9"/>
        <v>8</v>
      </c>
      <c r="H2341" s="137"/>
      <c r="I2341" s="137"/>
      <c r="J2341" s="135"/>
      <c r="K2341" s="135"/>
      <c r="L2341" s="135"/>
      <c r="M2341" s="135"/>
      <c r="N2341" s="135"/>
      <c r="O2341" s="135"/>
      <c r="P2341" s="135"/>
      <c r="Q2341" s="135"/>
      <c r="R2341" s="135"/>
      <c r="S2341" s="135"/>
      <c r="T2341" s="135"/>
      <c r="U2341" s="135"/>
      <c r="V2341" s="135"/>
      <c r="W2341" s="135"/>
      <c r="X2341" s="135"/>
      <c r="Y2341" s="135"/>
      <c r="Z2341" s="135"/>
    </row>
    <row r="2342" spans="1:26" ht="12.75">
      <c r="A2342" s="136" t="s">
        <v>15</v>
      </c>
      <c r="B2342" s="136" t="s">
        <v>7727</v>
      </c>
      <c r="C2342" s="136" t="s">
        <v>7734</v>
      </c>
      <c r="D2342" s="136" t="s">
        <v>7491</v>
      </c>
      <c r="E2342" s="136" t="s">
        <v>615</v>
      </c>
      <c r="F2342" s="136">
        <v>110</v>
      </c>
      <c r="G2342" s="137">
        <f t="shared" si="9"/>
        <v>9</v>
      </c>
      <c r="H2342" s="137"/>
      <c r="I2342" s="137"/>
      <c r="J2342" s="135"/>
      <c r="K2342" s="135"/>
      <c r="L2342" s="135"/>
      <c r="M2342" s="135"/>
      <c r="N2342" s="135"/>
      <c r="O2342" s="135"/>
      <c r="P2342" s="135"/>
      <c r="Q2342" s="135"/>
      <c r="R2342" s="135"/>
      <c r="S2342" s="135"/>
      <c r="T2342" s="135"/>
      <c r="U2342" s="135"/>
      <c r="V2342" s="135"/>
      <c r="W2342" s="135"/>
      <c r="X2342" s="135"/>
      <c r="Y2342" s="135"/>
      <c r="Z2342" s="135"/>
    </row>
    <row r="2343" spans="1:26" ht="12.75">
      <c r="A2343" s="136" t="s">
        <v>15</v>
      </c>
      <c r="B2343" s="136" t="s">
        <v>7727</v>
      </c>
      <c r="C2343" s="136" t="s">
        <v>7734</v>
      </c>
      <c r="D2343" s="136" t="s">
        <v>7735</v>
      </c>
      <c r="E2343" s="136" t="s">
        <v>615</v>
      </c>
      <c r="F2343" s="136">
        <v>103</v>
      </c>
      <c r="G2343" s="137">
        <f t="shared" si="9"/>
        <v>10</v>
      </c>
      <c r="H2343" s="137"/>
      <c r="I2343" s="137"/>
      <c r="J2343" s="135"/>
      <c r="K2343" s="135"/>
      <c r="L2343" s="135"/>
      <c r="M2343" s="135"/>
      <c r="N2343" s="135"/>
      <c r="O2343" s="135"/>
      <c r="P2343" s="135"/>
      <c r="Q2343" s="135"/>
      <c r="R2343" s="135"/>
      <c r="S2343" s="135"/>
      <c r="T2343" s="135"/>
      <c r="U2343" s="135"/>
      <c r="V2343" s="135"/>
      <c r="W2343" s="135"/>
      <c r="X2343" s="135"/>
      <c r="Y2343" s="135"/>
      <c r="Z2343" s="135"/>
    </row>
    <row r="2344" spans="1:26" ht="12.75">
      <c r="A2344" s="136" t="s">
        <v>15</v>
      </c>
      <c r="B2344" s="136" t="s">
        <v>7727</v>
      </c>
      <c r="C2344" s="136" t="s">
        <v>7734</v>
      </c>
      <c r="D2344" s="136" t="s">
        <v>1665</v>
      </c>
      <c r="E2344" s="136" t="s">
        <v>615</v>
      </c>
      <c r="F2344" s="136">
        <v>86</v>
      </c>
      <c r="G2344" s="137">
        <f t="shared" si="9"/>
        <v>11</v>
      </c>
      <c r="H2344" s="137"/>
      <c r="I2344" s="137"/>
      <c r="J2344" s="135"/>
      <c r="K2344" s="135"/>
      <c r="L2344" s="135"/>
      <c r="M2344" s="135"/>
      <c r="N2344" s="135"/>
      <c r="O2344" s="135"/>
      <c r="P2344" s="135"/>
      <c r="Q2344" s="135"/>
      <c r="R2344" s="135"/>
      <c r="S2344" s="135"/>
      <c r="T2344" s="135"/>
      <c r="U2344" s="135"/>
      <c r="V2344" s="135"/>
      <c r="W2344" s="135"/>
      <c r="X2344" s="135"/>
      <c r="Y2344" s="135"/>
      <c r="Z2344" s="135"/>
    </row>
    <row r="2345" spans="1:26" ht="12.75">
      <c r="A2345" s="136" t="s">
        <v>15</v>
      </c>
      <c r="B2345" s="136" t="s">
        <v>7727</v>
      </c>
      <c r="C2345" s="136" t="s">
        <v>7734</v>
      </c>
      <c r="D2345" s="136" t="s">
        <v>7695</v>
      </c>
      <c r="E2345" s="136" t="s">
        <v>615</v>
      </c>
      <c r="F2345" s="136">
        <v>70</v>
      </c>
      <c r="G2345" s="137">
        <f t="shared" si="9"/>
        <v>12</v>
      </c>
      <c r="H2345" s="137"/>
      <c r="I2345" s="137"/>
      <c r="J2345" s="135"/>
      <c r="K2345" s="135"/>
      <c r="L2345" s="135"/>
      <c r="M2345" s="135"/>
      <c r="N2345" s="135"/>
      <c r="O2345" s="135"/>
      <c r="P2345" s="135"/>
      <c r="Q2345" s="135"/>
      <c r="R2345" s="135"/>
      <c r="S2345" s="135"/>
      <c r="T2345" s="135"/>
      <c r="U2345" s="135"/>
      <c r="V2345" s="135"/>
      <c r="W2345" s="135"/>
      <c r="X2345" s="135"/>
      <c r="Y2345" s="135"/>
      <c r="Z2345" s="135"/>
    </row>
    <row r="2346" spans="1:26" ht="12.75">
      <c r="A2346" s="136" t="s">
        <v>15</v>
      </c>
      <c r="B2346" s="136" t="s">
        <v>7727</v>
      </c>
      <c r="C2346" s="136" t="s">
        <v>7734</v>
      </c>
      <c r="D2346" s="136" t="s">
        <v>7736</v>
      </c>
      <c r="E2346" s="136" t="s">
        <v>615</v>
      </c>
      <c r="F2346" s="136">
        <v>62</v>
      </c>
      <c r="G2346" s="137">
        <f t="shared" si="9"/>
        <v>13</v>
      </c>
      <c r="H2346" s="137"/>
      <c r="I2346" s="137"/>
      <c r="J2346" s="135"/>
      <c r="K2346" s="135"/>
      <c r="L2346" s="135"/>
      <c r="M2346" s="135"/>
      <c r="N2346" s="135"/>
      <c r="O2346" s="135"/>
      <c r="P2346" s="135"/>
      <c r="Q2346" s="135"/>
      <c r="R2346" s="135"/>
      <c r="S2346" s="135"/>
      <c r="T2346" s="135"/>
      <c r="U2346" s="135"/>
      <c r="V2346" s="135"/>
      <c r="W2346" s="135"/>
      <c r="X2346" s="135"/>
      <c r="Y2346" s="135"/>
      <c r="Z2346" s="135"/>
    </row>
    <row r="2347" spans="1:26" ht="12.75">
      <c r="A2347" s="136" t="s">
        <v>15</v>
      </c>
      <c r="B2347" s="136" t="s">
        <v>7727</v>
      </c>
      <c r="C2347" s="136" t="s">
        <v>7734</v>
      </c>
      <c r="D2347" s="136" t="s">
        <v>1626</v>
      </c>
      <c r="E2347" s="136" t="s">
        <v>594</v>
      </c>
      <c r="F2347" s="136">
        <v>35</v>
      </c>
      <c r="G2347" s="137">
        <f t="shared" si="9"/>
        <v>14</v>
      </c>
      <c r="H2347" s="137"/>
      <c r="I2347" s="137"/>
      <c r="J2347" s="135"/>
      <c r="K2347" s="135"/>
      <c r="L2347" s="135"/>
      <c r="M2347" s="135"/>
      <c r="N2347" s="135"/>
      <c r="O2347" s="135"/>
      <c r="P2347" s="135"/>
      <c r="Q2347" s="135"/>
      <c r="R2347" s="135"/>
      <c r="S2347" s="135"/>
      <c r="T2347" s="135"/>
      <c r="U2347" s="135"/>
      <c r="V2347" s="135"/>
      <c r="W2347" s="135"/>
      <c r="X2347" s="135"/>
      <c r="Y2347" s="135"/>
      <c r="Z2347" s="135"/>
    </row>
    <row r="2348" spans="1:26" ht="12.75">
      <c r="A2348" s="136" t="s">
        <v>15</v>
      </c>
      <c r="B2348" s="136" t="s">
        <v>7727</v>
      </c>
      <c r="C2348" s="136" t="s">
        <v>7734</v>
      </c>
      <c r="D2348" s="136" t="s">
        <v>7721</v>
      </c>
      <c r="E2348" s="136" t="s">
        <v>615</v>
      </c>
      <c r="F2348" s="136">
        <v>30</v>
      </c>
      <c r="G2348" s="137">
        <f t="shared" si="9"/>
        <v>15</v>
      </c>
      <c r="H2348" s="137"/>
      <c r="I2348" s="137"/>
      <c r="J2348" s="135"/>
      <c r="K2348" s="135"/>
      <c r="L2348" s="135"/>
      <c r="M2348" s="135"/>
      <c r="N2348" s="135"/>
      <c r="O2348" s="135"/>
      <c r="P2348" s="135"/>
      <c r="Q2348" s="135"/>
      <c r="R2348" s="135"/>
      <c r="S2348" s="135"/>
      <c r="T2348" s="135"/>
      <c r="U2348" s="135"/>
      <c r="V2348" s="135"/>
      <c r="W2348" s="135"/>
      <c r="X2348" s="135"/>
      <c r="Y2348" s="135"/>
      <c r="Z2348" s="135"/>
    </row>
    <row r="2349" spans="1:26" ht="12.75">
      <c r="A2349" s="136" t="s">
        <v>15</v>
      </c>
      <c r="B2349" s="136" t="s">
        <v>7727</v>
      </c>
      <c r="C2349" s="136" t="s">
        <v>7734</v>
      </c>
      <c r="D2349" s="136" t="s">
        <v>368</v>
      </c>
      <c r="E2349" s="136" t="s">
        <v>594</v>
      </c>
      <c r="F2349" s="136">
        <v>25</v>
      </c>
      <c r="G2349" s="137">
        <f t="shared" si="9"/>
        <v>16</v>
      </c>
      <c r="H2349" s="137"/>
      <c r="I2349" s="137"/>
      <c r="J2349" s="135"/>
      <c r="K2349" s="135"/>
      <c r="L2349" s="135"/>
      <c r="M2349" s="135"/>
      <c r="N2349" s="135"/>
      <c r="O2349" s="135"/>
      <c r="P2349" s="135"/>
      <c r="Q2349" s="135"/>
      <c r="R2349" s="135"/>
      <c r="S2349" s="135"/>
      <c r="T2349" s="135"/>
      <c r="U2349" s="135"/>
      <c r="V2349" s="135"/>
      <c r="W2349" s="135"/>
      <c r="X2349" s="135"/>
      <c r="Y2349" s="135"/>
      <c r="Z2349" s="135"/>
    </row>
    <row r="2350" spans="1:26" ht="12.75">
      <c r="A2350" s="136" t="s">
        <v>15</v>
      </c>
      <c r="B2350" s="136" t="s">
        <v>7727</v>
      </c>
      <c r="C2350" s="136" t="s">
        <v>7734</v>
      </c>
      <c r="D2350" s="136"/>
      <c r="E2350" s="136" t="s">
        <v>7693</v>
      </c>
      <c r="F2350" s="136">
        <v>7291</v>
      </c>
      <c r="G2350" s="137">
        <f t="shared" si="9"/>
        <v>1</v>
      </c>
      <c r="H2350" s="137"/>
      <c r="I2350" s="137"/>
      <c r="J2350" s="135"/>
      <c r="K2350" s="135"/>
      <c r="L2350" s="135"/>
      <c r="M2350" s="135"/>
      <c r="N2350" s="135"/>
      <c r="O2350" s="135"/>
      <c r="P2350" s="135"/>
      <c r="Q2350" s="135"/>
      <c r="R2350" s="135"/>
      <c r="S2350" s="135"/>
      <c r="T2350" s="135"/>
      <c r="U2350" s="135"/>
      <c r="V2350" s="135"/>
      <c r="W2350" s="135"/>
      <c r="X2350" s="135"/>
      <c r="Y2350" s="135"/>
      <c r="Z2350" s="135"/>
    </row>
    <row r="2351" spans="1:26" ht="12.75">
      <c r="A2351" s="136" t="s">
        <v>15</v>
      </c>
      <c r="B2351" s="136" t="s">
        <v>7727</v>
      </c>
      <c r="C2351" s="136" t="s">
        <v>7737</v>
      </c>
      <c r="D2351" s="136" t="s">
        <v>139</v>
      </c>
      <c r="E2351" s="136" t="s">
        <v>594</v>
      </c>
      <c r="F2351" s="136">
        <v>1496</v>
      </c>
      <c r="G2351" s="137">
        <f t="shared" si="9"/>
        <v>2</v>
      </c>
      <c r="H2351" s="137"/>
      <c r="I2351" s="137"/>
      <c r="J2351" s="135"/>
      <c r="K2351" s="135"/>
      <c r="L2351" s="135"/>
      <c r="M2351" s="135"/>
      <c r="N2351" s="135"/>
      <c r="O2351" s="135"/>
      <c r="P2351" s="135"/>
      <c r="Q2351" s="135"/>
      <c r="R2351" s="135"/>
      <c r="S2351" s="135"/>
      <c r="T2351" s="135"/>
      <c r="U2351" s="135"/>
      <c r="V2351" s="135"/>
      <c r="W2351" s="135"/>
      <c r="X2351" s="135"/>
      <c r="Y2351" s="135"/>
      <c r="Z2351" s="135"/>
    </row>
    <row r="2352" spans="1:26" ht="12.75">
      <c r="A2352" s="136" t="s">
        <v>15</v>
      </c>
      <c r="B2352" s="136" t="s">
        <v>7727</v>
      </c>
      <c r="C2352" s="136" t="s">
        <v>7737</v>
      </c>
      <c r="D2352" s="136" t="s">
        <v>114</v>
      </c>
      <c r="E2352" s="136" t="s">
        <v>85</v>
      </c>
      <c r="F2352" s="136">
        <v>371</v>
      </c>
      <c r="G2352" s="137">
        <f t="shared" si="9"/>
        <v>3</v>
      </c>
      <c r="H2352" s="137"/>
      <c r="I2352" s="137"/>
      <c r="J2352" s="135"/>
      <c r="K2352" s="135"/>
      <c r="L2352" s="135"/>
      <c r="M2352" s="135"/>
      <c r="N2352" s="135"/>
      <c r="O2352" s="135"/>
      <c r="P2352" s="135"/>
      <c r="Q2352" s="135"/>
      <c r="R2352" s="135"/>
      <c r="S2352" s="135"/>
      <c r="T2352" s="135"/>
      <c r="U2352" s="135"/>
      <c r="V2352" s="135"/>
      <c r="W2352" s="135"/>
      <c r="X2352" s="135"/>
      <c r="Y2352" s="135"/>
      <c r="Z2352" s="135"/>
    </row>
    <row r="2353" spans="1:26" ht="12.75">
      <c r="A2353" s="136" t="s">
        <v>15</v>
      </c>
      <c r="B2353" s="136" t="s">
        <v>7727</v>
      </c>
      <c r="C2353" s="136" t="s">
        <v>7737</v>
      </c>
      <c r="D2353" s="136" t="s">
        <v>467</v>
      </c>
      <c r="E2353" s="136" t="s">
        <v>85</v>
      </c>
      <c r="F2353" s="136">
        <v>351</v>
      </c>
      <c r="G2353" s="137">
        <f t="shared" si="9"/>
        <v>4</v>
      </c>
      <c r="H2353" s="137"/>
      <c r="I2353" s="137"/>
      <c r="J2353" s="135"/>
      <c r="K2353" s="135"/>
      <c r="L2353" s="135"/>
      <c r="M2353" s="135"/>
      <c r="N2353" s="135"/>
      <c r="O2353" s="135"/>
      <c r="P2353" s="135"/>
      <c r="Q2353" s="135"/>
      <c r="R2353" s="135"/>
      <c r="S2353" s="135"/>
      <c r="T2353" s="135"/>
      <c r="U2353" s="135"/>
      <c r="V2353" s="135"/>
      <c r="W2353" s="135"/>
      <c r="X2353" s="135"/>
      <c r="Y2353" s="135"/>
      <c r="Z2353" s="135"/>
    </row>
    <row r="2354" spans="1:26" ht="12.75">
      <c r="A2354" s="136" t="s">
        <v>15</v>
      </c>
      <c r="B2354" s="136" t="s">
        <v>7727</v>
      </c>
      <c r="C2354" s="136" t="s">
        <v>7737</v>
      </c>
      <c r="D2354" s="136" t="s">
        <v>1669</v>
      </c>
      <c r="E2354" s="136" t="s">
        <v>615</v>
      </c>
      <c r="F2354" s="136">
        <v>64</v>
      </c>
      <c r="G2354" s="137">
        <f t="shared" si="9"/>
        <v>5</v>
      </c>
      <c r="H2354" s="137"/>
      <c r="I2354" s="137"/>
      <c r="J2354" s="135"/>
      <c r="K2354" s="135"/>
      <c r="L2354" s="135"/>
      <c r="M2354" s="135"/>
      <c r="N2354" s="135"/>
      <c r="O2354" s="135"/>
      <c r="P2354" s="135"/>
      <c r="Q2354" s="135"/>
      <c r="R2354" s="135"/>
      <c r="S2354" s="135"/>
      <c r="T2354" s="135"/>
      <c r="U2354" s="135"/>
      <c r="V2354" s="135"/>
      <c r="W2354" s="135"/>
      <c r="X2354" s="135"/>
      <c r="Y2354" s="135"/>
      <c r="Z2354" s="135"/>
    </row>
    <row r="2355" spans="1:26" ht="12.75">
      <c r="A2355" s="136" t="s">
        <v>15</v>
      </c>
      <c r="B2355" s="136" t="s">
        <v>7727</v>
      </c>
      <c r="C2355" s="136" t="s">
        <v>7737</v>
      </c>
      <c r="D2355" s="136" t="s">
        <v>7491</v>
      </c>
      <c r="E2355" s="136" t="s">
        <v>615</v>
      </c>
      <c r="F2355" s="136">
        <v>49</v>
      </c>
      <c r="G2355" s="137">
        <f t="shared" si="9"/>
        <v>6</v>
      </c>
      <c r="H2355" s="137"/>
      <c r="I2355" s="137"/>
      <c r="J2355" s="135"/>
      <c r="K2355" s="135"/>
      <c r="L2355" s="135"/>
      <c r="M2355" s="135"/>
      <c r="N2355" s="135"/>
      <c r="O2355" s="135"/>
      <c r="P2355" s="135"/>
      <c r="Q2355" s="135"/>
      <c r="R2355" s="135"/>
      <c r="S2355" s="135"/>
      <c r="T2355" s="135"/>
      <c r="U2355" s="135"/>
      <c r="V2355" s="135"/>
      <c r="W2355" s="135"/>
      <c r="X2355" s="135"/>
      <c r="Y2355" s="135"/>
      <c r="Z2355" s="135"/>
    </row>
    <row r="2356" spans="1:26" ht="25.5">
      <c r="A2356" s="136" t="s">
        <v>15</v>
      </c>
      <c r="B2356" s="136" t="s">
        <v>7727</v>
      </c>
      <c r="C2356" s="136" t="s">
        <v>7737</v>
      </c>
      <c r="D2356" s="136" t="s">
        <v>1680</v>
      </c>
      <c r="E2356" s="136" t="s">
        <v>615</v>
      </c>
      <c r="F2356" s="136">
        <v>25</v>
      </c>
      <c r="G2356" s="137">
        <f t="shared" si="9"/>
        <v>7</v>
      </c>
      <c r="H2356" s="137"/>
      <c r="I2356" s="137"/>
      <c r="J2356" s="135"/>
      <c r="K2356" s="135"/>
      <c r="L2356" s="135"/>
      <c r="M2356" s="135"/>
      <c r="N2356" s="135"/>
      <c r="O2356" s="135"/>
      <c r="P2356" s="135"/>
      <c r="Q2356" s="135"/>
      <c r="R2356" s="135"/>
      <c r="S2356" s="135"/>
      <c r="T2356" s="135"/>
      <c r="U2356" s="135"/>
      <c r="V2356" s="135"/>
      <c r="W2356" s="135"/>
      <c r="X2356" s="135"/>
      <c r="Y2356" s="135"/>
      <c r="Z2356" s="135"/>
    </row>
    <row r="2357" spans="1:26" ht="12.75">
      <c r="A2357" s="136" t="s">
        <v>15</v>
      </c>
      <c r="B2357" s="136" t="s">
        <v>7727</v>
      </c>
      <c r="C2357" s="136" t="s">
        <v>7737</v>
      </c>
      <c r="D2357" s="136" t="s">
        <v>1665</v>
      </c>
      <c r="E2357" s="136" t="s">
        <v>615</v>
      </c>
      <c r="F2357" s="136">
        <v>25</v>
      </c>
      <c r="G2357" s="137">
        <f t="shared" si="9"/>
        <v>8</v>
      </c>
      <c r="H2357" s="137"/>
      <c r="I2357" s="137"/>
      <c r="J2357" s="135"/>
      <c r="K2357" s="135"/>
      <c r="L2357" s="135"/>
      <c r="M2357" s="135"/>
      <c r="N2357" s="135"/>
      <c r="O2357" s="135"/>
      <c r="P2357" s="135"/>
      <c r="Q2357" s="135"/>
      <c r="R2357" s="135"/>
      <c r="S2357" s="135"/>
      <c r="T2357" s="135"/>
      <c r="U2357" s="135"/>
      <c r="V2357" s="135"/>
      <c r="W2357" s="135"/>
      <c r="X2357" s="135"/>
      <c r="Y2357" s="135"/>
      <c r="Z2357" s="135"/>
    </row>
    <row r="2358" spans="1:26" ht="12.75">
      <c r="A2358" s="136" t="s">
        <v>15</v>
      </c>
      <c r="B2358" s="136" t="s">
        <v>7727</v>
      </c>
      <c r="C2358" s="136" t="s">
        <v>7737</v>
      </c>
      <c r="D2358" s="136" t="s">
        <v>7695</v>
      </c>
      <c r="E2358" s="136" t="s">
        <v>615</v>
      </c>
      <c r="F2358" s="136">
        <v>10</v>
      </c>
      <c r="G2358" s="137">
        <f t="shared" si="9"/>
        <v>9</v>
      </c>
      <c r="H2358" s="137"/>
      <c r="I2358" s="137"/>
      <c r="J2358" s="135"/>
      <c r="K2358" s="135"/>
      <c r="L2358" s="135"/>
      <c r="M2358" s="135"/>
      <c r="N2358" s="135"/>
      <c r="O2358" s="135"/>
      <c r="P2358" s="135"/>
      <c r="Q2358" s="135"/>
      <c r="R2358" s="135"/>
      <c r="S2358" s="135"/>
      <c r="T2358" s="135"/>
      <c r="U2358" s="135"/>
      <c r="V2358" s="135"/>
      <c r="W2358" s="135"/>
      <c r="X2358" s="135"/>
      <c r="Y2358" s="135"/>
      <c r="Z2358" s="135"/>
    </row>
    <row r="2359" spans="1:26" ht="12.75">
      <c r="A2359" s="136" t="s">
        <v>15</v>
      </c>
      <c r="B2359" s="136" t="s">
        <v>7727</v>
      </c>
      <c r="C2359" s="136" t="s">
        <v>7737</v>
      </c>
      <c r="D2359" s="136"/>
      <c r="E2359" s="136" t="s">
        <v>7693</v>
      </c>
      <c r="F2359" s="136">
        <v>2391</v>
      </c>
      <c r="G2359" s="137">
        <f t="shared" si="9"/>
        <v>1</v>
      </c>
      <c r="H2359" s="137"/>
      <c r="I2359" s="137"/>
      <c r="J2359" s="135"/>
      <c r="K2359" s="135"/>
      <c r="L2359" s="135"/>
      <c r="M2359" s="135"/>
      <c r="N2359" s="135"/>
      <c r="O2359" s="135"/>
      <c r="P2359" s="135"/>
      <c r="Q2359" s="135"/>
      <c r="R2359" s="135"/>
      <c r="S2359" s="135"/>
      <c r="T2359" s="135"/>
      <c r="U2359" s="135"/>
      <c r="V2359" s="135"/>
      <c r="W2359" s="135"/>
      <c r="X2359" s="135"/>
      <c r="Y2359" s="135"/>
      <c r="Z2359" s="135"/>
    </row>
    <row r="2360" spans="1:26" ht="12.75">
      <c r="A2360" s="136" t="s">
        <v>15</v>
      </c>
      <c r="B2360" s="136" t="s">
        <v>7727</v>
      </c>
      <c r="C2360" s="136" t="s">
        <v>7738</v>
      </c>
      <c r="D2360" s="136" t="s">
        <v>139</v>
      </c>
      <c r="E2360" s="136" t="s">
        <v>594</v>
      </c>
      <c r="F2360" s="136">
        <v>1459</v>
      </c>
      <c r="G2360" s="137">
        <f t="shared" si="9"/>
        <v>2</v>
      </c>
      <c r="H2360" s="137"/>
      <c r="I2360" s="137"/>
      <c r="J2360" s="135"/>
      <c r="K2360" s="135"/>
      <c r="L2360" s="135"/>
      <c r="M2360" s="135"/>
      <c r="N2360" s="135"/>
      <c r="O2360" s="135"/>
      <c r="P2360" s="135"/>
      <c r="Q2360" s="135"/>
      <c r="R2360" s="135"/>
      <c r="S2360" s="135"/>
      <c r="T2360" s="135"/>
      <c r="U2360" s="135"/>
      <c r="V2360" s="135"/>
      <c r="W2360" s="135"/>
      <c r="X2360" s="135"/>
      <c r="Y2360" s="135"/>
      <c r="Z2360" s="135"/>
    </row>
    <row r="2361" spans="1:26" ht="12.75">
      <c r="A2361" s="136" t="s">
        <v>15</v>
      </c>
      <c r="B2361" s="136" t="s">
        <v>7727</v>
      </c>
      <c r="C2361" s="136" t="s">
        <v>7738</v>
      </c>
      <c r="D2361" s="136" t="s">
        <v>114</v>
      </c>
      <c r="E2361" s="136" t="s">
        <v>85</v>
      </c>
      <c r="F2361" s="136">
        <v>712</v>
      </c>
      <c r="G2361" s="137">
        <f t="shared" si="9"/>
        <v>3</v>
      </c>
      <c r="H2361" s="137"/>
      <c r="I2361" s="137"/>
      <c r="J2361" s="135"/>
      <c r="K2361" s="135"/>
      <c r="L2361" s="135"/>
      <c r="M2361" s="135"/>
      <c r="N2361" s="135"/>
      <c r="O2361" s="135"/>
      <c r="P2361" s="135"/>
      <c r="Q2361" s="135"/>
      <c r="R2361" s="135"/>
      <c r="S2361" s="135"/>
      <c r="T2361" s="135"/>
      <c r="U2361" s="135"/>
      <c r="V2361" s="135"/>
      <c r="W2361" s="135"/>
      <c r="X2361" s="135"/>
      <c r="Y2361" s="135"/>
      <c r="Z2361" s="135"/>
    </row>
    <row r="2362" spans="1:26" ht="12.75">
      <c r="A2362" s="136" t="s">
        <v>15</v>
      </c>
      <c r="B2362" s="136" t="s">
        <v>7727</v>
      </c>
      <c r="C2362" s="136" t="s">
        <v>7738</v>
      </c>
      <c r="D2362" s="136" t="s">
        <v>1669</v>
      </c>
      <c r="E2362" s="136" t="s">
        <v>615</v>
      </c>
      <c r="F2362" s="136">
        <v>265</v>
      </c>
      <c r="G2362" s="137">
        <f t="shared" si="9"/>
        <v>4</v>
      </c>
      <c r="H2362" s="137"/>
      <c r="I2362" s="137"/>
      <c r="J2362" s="135"/>
      <c r="K2362" s="135"/>
      <c r="L2362" s="135"/>
      <c r="M2362" s="135"/>
      <c r="N2362" s="135"/>
      <c r="O2362" s="135"/>
      <c r="P2362" s="135"/>
      <c r="Q2362" s="135"/>
      <c r="R2362" s="135"/>
      <c r="S2362" s="135"/>
      <c r="T2362" s="135"/>
      <c r="U2362" s="135"/>
      <c r="V2362" s="135"/>
      <c r="W2362" s="135"/>
      <c r="X2362" s="135"/>
      <c r="Y2362" s="135"/>
      <c r="Z2362" s="135"/>
    </row>
    <row r="2363" spans="1:26" ht="12.75">
      <c r="A2363" s="136" t="s">
        <v>15</v>
      </c>
      <c r="B2363" s="136" t="s">
        <v>7727</v>
      </c>
      <c r="C2363" s="136" t="s">
        <v>7738</v>
      </c>
      <c r="D2363" s="136" t="s">
        <v>1665</v>
      </c>
      <c r="E2363" s="136" t="s">
        <v>615</v>
      </c>
      <c r="F2363" s="136">
        <v>10</v>
      </c>
      <c r="G2363" s="137">
        <f t="shared" si="9"/>
        <v>7</v>
      </c>
      <c r="H2363" s="137"/>
      <c r="I2363" s="137"/>
      <c r="J2363" s="135"/>
      <c r="K2363" s="135"/>
      <c r="L2363" s="135"/>
      <c r="M2363" s="135"/>
      <c r="N2363" s="135"/>
      <c r="O2363" s="135"/>
      <c r="P2363" s="135"/>
      <c r="Q2363" s="135"/>
      <c r="R2363" s="135"/>
      <c r="S2363" s="135"/>
      <c r="T2363" s="135"/>
      <c r="U2363" s="135"/>
      <c r="V2363" s="135"/>
      <c r="W2363" s="135"/>
      <c r="X2363" s="135"/>
      <c r="Y2363" s="135"/>
      <c r="Z2363" s="135"/>
    </row>
    <row r="2364" spans="1:26" ht="12.75">
      <c r="A2364" s="136" t="s">
        <v>15</v>
      </c>
      <c r="B2364" s="136" t="s">
        <v>7727</v>
      </c>
      <c r="C2364" s="136" t="s">
        <v>7738</v>
      </c>
      <c r="D2364" s="136" t="s">
        <v>103</v>
      </c>
      <c r="E2364" s="136" t="s">
        <v>594</v>
      </c>
      <c r="F2364" s="136">
        <v>32</v>
      </c>
      <c r="G2364" s="137">
        <f t="shared" si="9"/>
        <v>5</v>
      </c>
      <c r="H2364" s="137"/>
      <c r="I2364" s="137"/>
      <c r="J2364" s="135"/>
      <c r="K2364" s="135"/>
      <c r="L2364" s="135"/>
      <c r="M2364" s="135"/>
      <c r="N2364" s="135"/>
      <c r="O2364" s="135"/>
      <c r="P2364" s="135"/>
      <c r="Q2364" s="135"/>
      <c r="R2364" s="135"/>
      <c r="S2364" s="135"/>
      <c r="T2364" s="135"/>
      <c r="U2364" s="135"/>
      <c r="V2364" s="135"/>
      <c r="W2364" s="135"/>
      <c r="X2364" s="135"/>
      <c r="Y2364" s="135"/>
      <c r="Z2364" s="135"/>
    </row>
    <row r="2365" spans="1:26" ht="12.75">
      <c r="A2365" s="136" t="s">
        <v>15</v>
      </c>
      <c r="B2365" s="136" t="s">
        <v>7727</v>
      </c>
      <c r="C2365" s="136" t="s">
        <v>7738</v>
      </c>
      <c r="D2365" s="136" t="s">
        <v>7721</v>
      </c>
      <c r="E2365" s="136" t="s">
        <v>615</v>
      </c>
      <c r="F2365" s="136">
        <v>10</v>
      </c>
      <c r="G2365" s="137">
        <f t="shared" si="9"/>
        <v>8</v>
      </c>
      <c r="H2365" s="137"/>
      <c r="I2365" s="137"/>
      <c r="J2365" s="135"/>
      <c r="K2365" s="135"/>
      <c r="L2365" s="135"/>
      <c r="M2365" s="135"/>
      <c r="N2365" s="135"/>
      <c r="O2365" s="135"/>
      <c r="P2365" s="135"/>
      <c r="Q2365" s="135"/>
      <c r="R2365" s="135"/>
      <c r="S2365" s="135"/>
      <c r="T2365" s="135"/>
      <c r="U2365" s="135"/>
      <c r="V2365" s="135"/>
      <c r="W2365" s="135"/>
      <c r="X2365" s="135"/>
      <c r="Y2365" s="135"/>
      <c r="Z2365" s="135"/>
    </row>
    <row r="2366" spans="1:26" ht="12.75">
      <c r="A2366" s="136" t="s">
        <v>15</v>
      </c>
      <c r="B2366" s="136" t="s">
        <v>7727</v>
      </c>
      <c r="C2366" s="136" t="s">
        <v>7738</v>
      </c>
      <c r="D2366" s="136" t="s">
        <v>7491</v>
      </c>
      <c r="E2366" s="136" t="s">
        <v>615</v>
      </c>
      <c r="F2366" s="136">
        <v>23</v>
      </c>
      <c r="G2366" s="137">
        <f t="shared" si="9"/>
        <v>6</v>
      </c>
      <c r="H2366" s="137"/>
      <c r="I2366" s="137"/>
      <c r="J2366" s="135"/>
      <c r="K2366" s="135"/>
      <c r="L2366" s="135"/>
      <c r="M2366" s="135"/>
      <c r="N2366" s="135"/>
      <c r="O2366" s="135"/>
      <c r="P2366" s="135"/>
      <c r="Q2366" s="135"/>
      <c r="R2366" s="135"/>
      <c r="S2366" s="135"/>
      <c r="T2366" s="135"/>
      <c r="U2366" s="135"/>
      <c r="V2366" s="135"/>
      <c r="W2366" s="135"/>
      <c r="X2366" s="135"/>
      <c r="Y2366" s="135"/>
      <c r="Z2366" s="135"/>
    </row>
    <row r="2367" spans="1:26" ht="12.75">
      <c r="A2367" s="136" t="s">
        <v>15</v>
      </c>
      <c r="B2367" s="136" t="s">
        <v>7727</v>
      </c>
      <c r="C2367" s="136" t="s">
        <v>7738</v>
      </c>
      <c r="D2367" s="136"/>
      <c r="E2367" s="136" t="s">
        <v>7693</v>
      </c>
      <c r="F2367" s="136">
        <v>2511</v>
      </c>
      <c r="G2367" s="137">
        <f t="shared" si="9"/>
        <v>1</v>
      </c>
      <c r="H2367" s="137"/>
      <c r="I2367" s="137"/>
      <c r="J2367" s="135"/>
      <c r="K2367" s="135"/>
      <c r="L2367" s="135"/>
      <c r="M2367" s="135"/>
      <c r="N2367" s="135"/>
      <c r="O2367" s="135"/>
      <c r="P2367" s="135"/>
      <c r="Q2367" s="135"/>
      <c r="R2367" s="135"/>
      <c r="S2367" s="135"/>
      <c r="T2367" s="135"/>
      <c r="U2367" s="135"/>
      <c r="V2367" s="135"/>
      <c r="W2367" s="135"/>
      <c r="X2367" s="135"/>
      <c r="Y2367" s="135"/>
      <c r="Z2367" s="135"/>
    </row>
    <row r="2368" spans="1:26" ht="12.75">
      <c r="A2368" s="136" t="s">
        <v>15</v>
      </c>
      <c r="B2368" s="136" t="s">
        <v>7727</v>
      </c>
      <c r="C2368" s="136" t="s">
        <v>7739</v>
      </c>
      <c r="D2368" s="136" t="s">
        <v>139</v>
      </c>
      <c r="E2368" s="136" t="s">
        <v>594</v>
      </c>
      <c r="F2368" s="136">
        <v>597</v>
      </c>
      <c r="G2368" s="137">
        <f t="shared" si="9"/>
        <v>2</v>
      </c>
      <c r="H2368" s="137"/>
      <c r="I2368" s="137"/>
      <c r="J2368" s="135"/>
      <c r="K2368" s="135"/>
      <c r="L2368" s="135"/>
      <c r="M2368" s="135"/>
      <c r="N2368" s="135"/>
      <c r="O2368" s="135"/>
      <c r="P2368" s="135"/>
      <c r="Q2368" s="135"/>
      <c r="R2368" s="135"/>
      <c r="S2368" s="135"/>
      <c r="T2368" s="135"/>
      <c r="U2368" s="135"/>
      <c r="V2368" s="135"/>
      <c r="W2368" s="135"/>
      <c r="X2368" s="135"/>
      <c r="Y2368" s="135"/>
      <c r="Z2368" s="135"/>
    </row>
    <row r="2369" spans="1:26" ht="12.75">
      <c r="A2369" s="136" t="s">
        <v>15</v>
      </c>
      <c r="B2369" s="136" t="s">
        <v>7727</v>
      </c>
      <c r="C2369" s="136" t="s">
        <v>7739</v>
      </c>
      <c r="D2369" s="136" t="s">
        <v>114</v>
      </c>
      <c r="E2369" s="136" t="s">
        <v>85</v>
      </c>
      <c r="F2369" s="136">
        <v>213</v>
      </c>
      <c r="G2369" s="137">
        <f t="shared" si="9"/>
        <v>3</v>
      </c>
      <c r="H2369" s="137"/>
      <c r="I2369" s="137"/>
      <c r="J2369" s="135"/>
      <c r="K2369" s="135"/>
      <c r="L2369" s="135"/>
      <c r="M2369" s="135"/>
      <c r="N2369" s="135"/>
      <c r="O2369" s="135"/>
      <c r="P2369" s="135"/>
      <c r="Q2369" s="135"/>
      <c r="R2369" s="135"/>
      <c r="S2369" s="135"/>
      <c r="T2369" s="135"/>
      <c r="U2369" s="135"/>
      <c r="V2369" s="135"/>
      <c r="W2369" s="135"/>
      <c r="X2369" s="135"/>
      <c r="Y2369" s="135"/>
      <c r="Z2369" s="135"/>
    </row>
    <row r="2370" spans="1:26" ht="12.75">
      <c r="A2370" s="136" t="s">
        <v>15</v>
      </c>
      <c r="B2370" s="136" t="s">
        <v>7727</v>
      </c>
      <c r="C2370" s="136" t="s">
        <v>7739</v>
      </c>
      <c r="D2370" s="136" t="s">
        <v>467</v>
      </c>
      <c r="E2370" s="136" t="s">
        <v>85</v>
      </c>
      <c r="F2370" s="136">
        <v>95</v>
      </c>
      <c r="G2370" s="137">
        <f t="shared" si="9"/>
        <v>4</v>
      </c>
      <c r="H2370" s="137"/>
      <c r="I2370" s="137"/>
      <c r="J2370" s="135"/>
      <c r="K2370" s="135"/>
      <c r="L2370" s="135"/>
      <c r="M2370" s="135"/>
      <c r="N2370" s="135"/>
      <c r="O2370" s="135"/>
      <c r="P2370" s="135"/>
      <c r="Q2370" s="135"/>
      <c r="R2370" s="135"/>
      <c r="S2370" s="135"/>
      <c r="T2370" s="135"/>
      <c r="U2370" s="135"/>
      <c r="V2370" s="135"/>
      <c r="W2370" s="135"/>
      <c r="X2370" s="135"/>
      <c r="Y2370" s="135"/>
      <c r="Z2370" s="135"/>
    </row>
    <row r="2371" spans="1:26" ht="12.75">
      <c r="A2371" s="136" t="s">
        <v>15</v>
      </c>
      <c r="B2371" s="136" t="s">
        <v>7727</v>
      </c>
      <c r="C2371" s="136" t="s">
        <v>7739</v>
      </c>
      <c r="D2371" s="136" t="s">
        <v>165</v>
      </c>
      <c r="E2371" s="136" t="s">
        <v>615</v>
      </c>
      <c r="F2371" s="136">
        <v>63</v>
      </c>
      <c r="G2371" s="137">
        <f t="shared" si="9"/>
        <v>5</v>
      </c>
      <c r="H2371" s="137"/>
      <c r="I2371" s="137"/>
      <c r="J2371" s="135"/>
      <c r="K2371" s="135"/>
      <c r="L2371" s="135"/>
      <c r="M2371" s="135"/>
      <c r="N2371" s="135"/>
      <c r="O2371" s="135"/>
      <c r="P2371" s="135"/>
      <c r="Q2371" s="135"/>
      <c r="R2371" s="135"/>
      <c r="S2371" s="135"/>
      <c r="T2371" s="135"/>
      <c r="U2371" s="135"/>
      <c r="V2371" s="135"/>
      <c r="W2371" s="135"/>
      <c r="X2371" s="135"/>
      <c r="Y2371" s="135"/>
      <c r="Z2371" s="135"/>
    </row>
    <row r="2372" spans="1:26" ht="12.75">
      <c r="A2372" s="136" t="s">
        <v>15</v>
      </c>
      <c r="B2372" s="136" t="s">
        <v>7727</v>
      </c>
      <c r="C2372" s="136" t="s">
        <v>7739</v>
      </c>
      <c r="D2372" s="136" t="s">
        <v>1669</v>
      </c>
      <c r="E2372" s="136" t="s">
        <v>615</v>
      </c>
      <c r="F2372" s="136">
        <v>50</v>
      </c>
      <c r="G2372" s="137">
        <f t="shared" si="9"/>
        <v>6</v>
      </c>
      <c r="H2372" s="137"/>
      <c r="I2372" s="137"/>
      <c r="J2372" s="135"/>
      <c r="K2372" s="135"/>
      <c r="L2372" s="135"/>
      <c r="M2372" s="135"/>
      <c r="N2372" s="135"/>
      <c r="O2372" s="135"/>
      <c r="P2372" s="135"/>
      <c r="Q2372" s="135"/>
      <c r="R2372" s="135"/>
      <c r="S2372" s="135"/>
      <c r="T2372" s="135"/>
      <c r="U2372" s="135"/>
      <c r="V2372" s="135"/>
      <c r="W2372" s="135"/>
      <c r="X2372" s="135"/>
      <c r="Y2372" s="135"/>
      <c r="Z2372" s="135"/>
    </row>
    <row r="2373" spans="1:26" ht="12.75">
      <c r="A2373" s="136" t="s">
        <v>15</v>
      </c>
      <c r="B2373" s="136" t="s">
        <v>7727</v>
      </c>
      <c r="C2373" s="136" t="s">
        <v>7739</v>
      </c>
      <c r="D2373" s="136" t="s">
        <v>1626</v>
      </c>
      <c r="E2373" s="136" t="s">
        <v>594</v>
      </c>
      <c r="F2373" s="136">
        <v>20</v>
      </c>
      <c r="G2373" s="137">
        <f t="shared" si="9"/>
        <v>7</v>
      </c>
      <c r="H2373" s="137"/>
      <c r="I2373" s="137"/>
      <c r="J2373" s="135"/>
      <c r="K2373" s="135"/>
      <c r="L2373" s="135"/>
      <c r="M2373" s="135"/>
      <c r="N2373" s="135"/>
      <c r="O2373" s="135"/>
      <c r="P2373" s="135"/>
      <c r="Q2373" s="135"/>
      <c r="R2373" s="135"/>
      <c r="S2373" s="135"/>
      <c r="T2373" s="135"/>
      <c r="U2373" s="135"/>
      <c r="V2373" s="135"/>
      <c r="W2373" s="135"/>
      <c r="X2373" s="135"/>
      <c r="Y2373" s="135"/>
      <c r="Z2373" s="135"/>
    </row>
    <row r="2374" spans="1:26" ht="12.75">
      <c r="A2374" s="136" t="s">
        <v>15</v>
      </c>
      <c r="B2374" s="136" t="s">
        <v>7727</v>
      </c>
      <c r="C2374" s="136" t="s">
        <v>7739</v>
      </c>
      <c r="D2374" s="136" t="s">
        <v>213</v>
      </c>
      <c r="E2374" s="136" t="s">
        <v>615</v>
      </c>
      <c r="F2374" s="136">
        <v>17</v>
      </c>
      <c r="G2374" s="137">
        <f t="shared" si="9"/>
        <v>8</v>
      </c>
      <c r="H2374" s="137"/>
      <c r="I2374" s="137"/>
      <c r="J2374" s="135"/>
      <c r="K2374" s="135"/>
      <c r="L2374" s="135"/>
      <c r="M2374" s="135"/>
      <c r="N2374" s="135"/>
      <c r="O2374" s="135"/>
      <c r="P2374" s="135"/>
      <c r="Q2374" s="135"/>
      <c r="R2374" s="135"/>
      <c r="S2374" s="135"/>
      <c r="T2374" s="135"/>
      <c r="U2374" s="135"/>
      <c r="V2374" s="135"/>
      <c r="W2374" s="135"/>
      <c r="X2374" s="135"/>
      <c r="Y2374" s="135"/>
      <c r="Z2374" s="135"/>
    </row>
    <row r="2375" spans="1:26" ht="12.75">
      <c r="A2375" s="136" t="s">
        <v>15</v>
      </c>
      <c r="B2375" s="136" t="s">
        <v>7727</v>
      </c>
      <c r="C2375" s="136" t="s">
        <v>7739</v>
      </c>
      <c r="D2375" s="136" t="s">
        <v>7491</v>
      </c>
      <c r="E2375" s="136" t="s">
        <v>615</v>
      </c>
      <c r="F2375" s="136">
        <v>12</v>
      </c>
      <c r="G2375" s="137">
        <f t="shared" si="9"/>
        <v>9</v>
      </c>
      <c r="H2375" s="137"/>
      <c r="I2375" s="137"/>
      <c r="J2375" s="135"/>
      <c r="K2375" s="135"/>
      <c r="L2375" s="135"/>
      <c r="M2375" s="135"/>
      <c r="N2375" s="135"/>
      <c r="O2375" s="135"/>
      <c r="P2375" s="135"/>
      <c r="Q2375" s="135"/>
      <c r="R2375" s="135"/>
      <c r="S2375" s="135"/>
      <c r="T2375" s="135"/>
      <c r="U2375" s="135"/>
      <c r="V2375" s="135"/>
      <c r="W2375" s="135"/>
      <c r="X2375" s="135"/>
      <c r="Y2375" s="135"/>
      <c r="Z2375" s="135"/>
    </row>
    <row r="2376" spans="1:26" ht="12.75">
      <c r="A2376" s="136" t="s">
        <v>15</v>
      </c>
      <c r="B2376" s="136" t="s">
        <v>7727</v>
      </c>
      <c r="C2376" s="136" t="s">
        <v>7739</v>
      </c>
      <c r="D2376" s="136"/>
      <c r="E2376" s="136" t="s">
        <v>7693</v>
      </c>
      <c r="F2376" s="136">
        <v>1067</v>
      </c>
      <c r="G2376" s="137">
        <f t="shared" si="9"/>
        <v>1</v>
      </c>
      <c r="H2376" s="137"/>
      <c r="I2376" s="137"/>
      <c r="J2376" s="135"/>
      <c r="K2376" s="135"/>
      <c r="L2376" s="135"/>
      <c r="M2376" s="135"/>
      <c r="N2376" s="135"/>
      <c r="O2376" s="135"/>
      <c r="P2376" s="135"/>
      <c r="Q2376" s="135"/>
      <c r="R2376" s="135"/>
      <c r="S2376" s="135"/>
      <c r="T2376" s="135"/>
      <c r="U2376" s="135"/>
      <c r="V2376" s="135"/>
      <c r="W2376" s="135"/>
      <c r="X2376" s="135"/>
      <c r="Y2376" s="135"/>
      <c r="Z2376" s="135"/>
    </row>
    <row r="2377" spans="1:26" ht="12.75">
      <c r="A2377" s="136" t="s">
        <v>15</v>
      </c>
      <c r="B2377" s="136" t="s">
        <v>7727</v>
      </c>
      <c r="C2377" s="136" t="s">
        <v>7740</v>
      </c>
      <c r="D2377" s="136" t="s">
        <v>1669</v>
      </c>
      <c r="E2377" s="136" t="s">
        <v>615</v>
      </c>
      <c r="F2377" s="136">
        <v>1569</v>
      </c>
      <c r="G2377" s="137">
        <f t="shared" si="9"/>
        <v>2</v>
      </c>
      <c r="H2377" s="137"/>
      <c r="I2377" s="137"/>
      <c r="J2377" s="135"/>
      <c r="K2377" s="135"/>
      <c r="L2377" s="135"/>
      <c r="M2377" s="135"/>
      <c r="N2377" s="135"/>
      <c r="O2377" s="135"/>
      <c r="P2377" s="135"/>
      <c r="Q2377" s="135"/>
      <c r="R2377" s="135"/>
      <c r="S2377" s="135"/>
      <c r="T2377" s="135"/>
      <c r="U2377" s="135"/>
      <c r="V2377" s="135"/>
      <c r="W2377" s="135"/>
      <c r="X2377" s="135"/>
      <c r="Y2377" s="135"/>
      <c r="Z2377" s="135"/>
    </row>
    <row r="2378" spans="1:26" ht="12.75">
      <c r="A2378" s="136" t="s">
        <v>15</v>
      </c>
      <c r="B2378" s="136" t="s">
        <v>7727</v>
      </c>
      <c r="C2378" s="136" t="s">
        <v>7740</v>
      </c>
      <c r="D2378" s="136" t="s">
        <v>7741</v>
      </c>
      <c r="E2378" s="136" t="s">
        <v>615</v>
      </c>
      <c r="F2378" s="136">
        <v>709</v>
      </c>
      <c r="G2378" s="137">
        <f t="shared" si="9"/>
        <v>3</v>
      </c>
      <c r="H2378" s="137"/>
      <c r="I2378" s="137"/>
      <c r="J2378" s="135"/>
      <c r="K2378" s="135"/>
      <c r="L2378" s="135"/>
      <c r="M2378" s="135"/>
      <c r="N2378" s="135"/>
      <c r="O2378" s="135"/>
      <c r="P2378" s="135"/>
      <c r="Q2378" s="135"/>
      <c r="R2378" s="135"/>
      <c r="S2378" s="135"/>
      <c r="T2378" s="135"/>
      <c r="U2378" s="135"/>
      <c r="V2378" s="135"/>
      <c r="W2378" s="135"/>
      <c r="X2378" s="135"/>
      <c r="Y2378" s="135"/>
      <c r="Z2378" s="135"/>
    </row>
    <row r="2379" spans="1:26" ht="12.75">
      <c r="A2379" s="136" t="s">
        <v>15</v>
      </c>
      <c r="B2379" s="136" t="s">
        <v>7727</v>
      </c>
      <c r="C2379" s="136" t="s">
        <v>7740</v>
      </c>
      <c r="D2379" s="136" t="s">
        <v>139</v>
      </c>
      <c r="E2379" s="136" t="s">
        <v>594</v>
      </c>
      <c r="F2379" s="136">
        <v>513</v>
      </c>
      <c r="G2379" s="137">
        <f t="shared" si="9"/>
        <v>4</v>
      </c>
      <c r="H2379" s="137"/>
      <c r="I2379" s="137"/>
      <c r="J2379" s="135"/>
      <c r="K2379" s="135"/>
      <c r="L2379" s="135"/>
      <c r="M2379" s="135"/>
      <c r="N2379" s="135"/>
      <c r="O2379" s="135"/>
      <c r="P2379" s="135"/>
      <c r="Q2379" s="135"/>
      <c r="R2379" s="135"/>
      <c r="S2379" s="135"/>
      <c r="T2379" s="135"/>
      <c r="U2379" s="135"/>
      <c r="V2379" s="135"/>
      <c r="W2379" s="135"/>
      <c r="X2379" s="135"/>
      <c r="Y2379" s="135"/>
      <c r="Z2379" s="135"/>
    </row>
    <row r="2380" spans="1:26" ht="12.75">
      <c r="A2380" s="136" t="s">
        <v>15</v>
      </c>
      <c r="B2380" s="136" t="s">
        <v>7727</v>
      </c>
      <c r="C2380" s="136" t="s">
        <v>7740</v>
      </c>
      <c r="D2380" s="136" t="s">
        <v>114</v>
      </c>
      <c r="E2380" s="136" t="s">
        <v>85</v>
      </c>
      <c r="F2380" s="136">
        <v>487</v>
      </c>
      <c r="G2380" s="137">
        <f t="shared" si="9"/>
        <v>5</v>
      </c>
      <c r="H2380" s="137"/>
      <c r="I2380" s="137"/>
      <c r="J2380" s="135"/>
      <c r="K2380" s="135"/>
      <c r="L2380" s="135"/>
      <c r="M2380" s="135"/>
      <c r="N2380" s="135"/>
      <c r="O2380" s="135"/>
      <c r="P2380" s="135"/>
      <c r="Q2380" s="135"/>
      <c r="R2380" s="135"/>
      <c r="S2380" s="135"/>
      <c r="T2380" s="135"/>
      <c r="U2380" s="135"/>
      <c r="V2380" s="135"/>
      <c r="W2380" s="135"/>
      <c r="X2380" s="135"/>
      <c r="Y2380" s="135"/>
      <c r="Z2380" s="135"/>
    </row>
    <row r="2381" spans="1:26" ht="12.75">
      <c r="A2381" s="136" t="s">
        <v>15</v>
      </c>
      <c r="B2381" s="136" t="s">
        <v>7727</v>
      </c>
      <c r="C2381" s="136" t="s">
        <v>7740</v>
      </c>
      <c r="D2381" s="136" t="s">
        <v>7491</v>
      </c>
      <c r="E2381" s="136" t="s">
        <v>615</v>
      </c>
      <c r="F2381" s="136">
        <v>314</v>
      </c>
      <c r="G2381" s="137">
        <f t="shared" si="9"/>
        <v>6</v>
      </c>
      <c r="H2381" s="137"/>
      <c r="I2381" s="137"/>
      <c r="J2381" s="135"/>
      <c r="K2381" s="135"/>
      <c r="L2381" s="135"/>
      <c r="M2381" s="135"/>
      <c r="N2381" s="135"/>
      <c r="O2381" s="135"/>
      <c r="P2381" s="135"/>
      <c r="Q2381" s="135"/>
      <c r="R2381" s="135"/>
      <c r="S2381" s="135"/>
      <c r="T2381" s="135"/>
      <c r="U2381" s="135"/>
      <c r="V2381" s="135"/>
      <c r="W2381" s="135"/>
      <c r="X2381" s="135"/>
      <c r="Y2381" s="135"/>
      <c r="Z2381" s="135"/>
    </row>
    <row r="2382" spans="1:26" ht="12.75">
      <c r="A2382" s="136" t="s">
        <v>15</v>
      </c>
      <c r="B2382" s="136" t="s">
        <v>7727</v>
      </c>
      <c r="C2382" s="136" t="s">
        <v>7740</v>
      </c>
      <c r="D2382" s="136" t="s">
        <v>1626</v>
      </c>
      <c r="E2382" s="136" t="s">
        <v>594</v>
      </c>
      <c r="F2382" s="136">
        <v>101</v>
      </c>
      <c r="G2382" s="137">
        <f t="shared" si="9"/>
        <v>7</v>
      </c>
      <c r="H2382" s="137"/>
      <c r="I2382" s="137"/>
      <c r="J2382" s="135"/>
      <c r="K2382" s="135"/>
      <c r="L2382" s="135"/>
      <c r="M2382" s="135"/>
      <c r="N2382" s="135"/>
      <c r="O2382" s="135"/>
      <c r="P2382" s="135"/>
      <c r="Q2382" s="135"/>
      <c r="R2382" s="135"/>
      <c r="S2382" s="135"/>
      <c r="T2382" s="135"/>
      <c r="U2382" s="135"/>
      <c r="V2382" s="135"/>
      <c r="W2382" s="135"/>
      <c r="X2382" s="135"/>
      <c r="Y2382" s="135"/>
      <c r="Z2382" s="135"/>
    </row>
    <row r="2383" spans="1:26" ht="25.5">
      <c r="A2383" s="136" t="s">
        <v>15</v>
      </c>
      <c r="B2383" s="136" t="s">
        <v>7727</v>
      </c>
      <c r="C2383" s="136" t="s">
        <v>7740</v>
      </c>
      <c r="D2383" s="136" t="s">
        <v>1680</v>
      </c>
      <c r="E2383" s="136" t="s">
        <v>615</v>
      </c>
      <c r="F2383" s="136">
        <v>98</v>
      </c>
      <c r="G2383" s="137">
        <f t="shared" si="9"/>
        <v>8</v>
      </c>
      <c r="H2383" s="137"/>
      <c r="I2383" s="137"/>
      <c r="J2383" s="135"/>
      <c r="K2383" s="135"/>
      <c r="L2383" s="135"/>
      <c r="M2383" s="135"/>
      <c r="N2383" s="135"/>
      <c r="O2383" s="135"/>
      <c r="P2383" s="135"/>
      <c r="Q2383" s="135"/>
      <c r="R2383" s="135"/>
      <c r="S2383" s="135"/>
      <c r="T2383" s="135"/>
      <c r="U2383" s="135"/>
      <c r="V2383" s="135"/>
      <c r="W2383" s="135"/>
      <c r="X2383" s="135"/>
      <c r="Y2383" s="135"/>
      <c r="Z2383" s="135"/>
    </row>
    <row r="2384" spans="1:26" ht="12.75">
      <c r="A2384" s="136" t="s">
        <v>15</v>
      </c>
      <c r="B2384" s="136" t="s">
        <v>7727</v>
      </c>
      <c r="C2384" s="136" t="s">
        <v>7740</v>
      </c>
      <c r="D2384" s="136" t="s">
        <v>7742</v>
      </c>
      <c r="E2384" s="136" t="s">
        <v>615</v>
      </c>
      <c r="F2384" s="136">
        <v>73</v>
      </c>
      <c r="G2384" s="137">
        <f t="shared" si="9"/>
        <v>9</v>
      </c>
      <c r="H2384" s="137"/>
      <c r="I2384" s="137"/>
      <c r="J2384" s="135"/>
      <c r="K2384" s="135"/>
      <c r="L2384" s="135"/>
      <c r="M2384" s="135"/>
      <c r="N2384" s="135"/>
      <c r="O2384" s="135"/>
      <c r="P2384" s="135"/>
      <c r="Q2384" s="135"/>
      <c r="R2384" s="135"/>
      <c r="S2384" s="135"/>
      <c r="T2384" s="135"/>
      <c r="U2384" s="135"/>
      <c r="V2384" s="135"/>
      <c r="W2384" s="135"/>
      <c r="X2384" s="135"/>
      <c r="Y2384" s="135"/>
      <c r="Z2384" s="135"/>
    </row>
    <row r="2385" spans="1:26" ht="12.75">
      <c r="A2385" s="136" t="s">
        <v>15</v>
      </c>
      <c r="B2385" s="136" t="s">
        <v>7727</v>
      </c>
      <c r="C2385" s="136" t="s">
        <v>7740</v>
      </c>
      <c r="D2385" s="136" t="s">
        <v>1665</v>
      </c>
      <c r="E2385" s="136" t="s">
        <v>615</v>
      </c>
      <c r="F2385" s="136">
        <v>61</v>
      </c>
      <c r="G2385" s="137">
        <f t="shared" si="9"/>
        <v>10</v>
      </c>
      <c r="H2385" s="137"/>
      <c r="I2385" s="137"/>
      <c r="J2385" s="135"/>
      <c r="K2385" s="135"/>
      <c r="L2385" s="135"/>
      <c r="M2385" s="135"/>
      <c r="N2385" s="135"/>
      <c r="O2385" s="135"/>
      <c r="P2385" s="135"/>
      <c r="Q2385" s="135"/>
      <c r="R2385" s="135"/>
      <c r="S2385" s="135"/>
      <c r="T2385" s="135"/>
      <c r="U2385" s="135"/>
      <c r="V2385" s="135"/>
      <c r="W2385" s="135"/>
      <c r="X2385" s="135"/>
      <c r="Y2385" s="135"/>
      <c r="Z2385" s="135"/>
    </row>
    <row r="2386" spans="1:26" ht="12.75">
      <c r="A2386" s="136" t="s">
        <v>15</v>
      </c>
      <c r="B2386" s="136" t="s">
        <v>7727</v>
      </c>
      <c r="C2386" s="136" t="s">
        <v>7740</v>
      </c>
      <c r="D2386" s="136" t="s">
        <v>7743</v>
      </c>
      <c r="E2386" s="136" t="s">
        <v>594</v>
      </c>
      <c r="F2386" s="136">
        <v>35</v>
      </c>
      <c r="G2386" s="137">
        <f t="shared" si="9"/>
        <v>11</v>
      </c>
      <c r="H2386" s="137"/>
      <c r="I2386" s="137"/>
      <c r="J2386" s="135"/>
      <c r="K2386" s="135"/>
      <c r="L2386" s="135"/>
      <c r="M2386" s="135"/>
      <c r="N2386" s="135"/>
      <c r="O2386" s="135"/>
      <c r="P2386" s="135"/>
      <c r="Q2386" s="135"/>
      <c r="R2386" s="135"/>
      <c r="S2386" s="135"/>
      <c r="T2386" s="135"/>
      <c r="U2386" s="135"/>
      <c r="V2386" s="135"/>
      <c r="W2386" s="135"/>
      <c r="X2386" s="135"/>
      <c r="Y2386" s="135"/>
      <c r="Z2386" s="135"/>
    </row>
    <row r="2387" spans="1:26" ht="12.75">
      <c r="A2387" s="136" t="s">
        <v>15</v>
      </c>
      <c r="B2387" s="136" t="s">
        <v>7727</v>
      </c>
      <c r="C2387" s="136" t="s">
        <v>7740</v>
      </c>
      <c r="D2387" s="136"/>
      <c r="E2387" s="136" t="s">
        <v>7693</v>
      </c>
      <c r="F2387" s="136">
        <v>3960</v>
      </c>
      <c r="G2387" s="137">
        <f t="shared" si="9"/>
        <v>1</v>
      </c>
      <c r="H2387" s="137"/>
      <c r="I2387" s="137"/>
      <c r="J2387" s="135"/>
      <c r="K2387" s="135"/>
      <c r="L2387" s="135"/>
      <c r="M2387" s="135"/>
      <c r="N2387" s="135"/>
      <c r="O2387" s="135"/>
      <c r="P2387" s="135"/>
      <c r="Q2387" s="135"/>
      <c r="R2387" s="135"/>
      <c r="S2387" s="135"/>
      <c r="T2387" s="135"/>
      <c r="U2387" s="135"/>
      <c r="V2387" s="135"/>
      <c r="W2387" s="135"/>
      <c r="X2387" s="135"/>
      <c r="Y2387" s="135"/>
      <c r="Z2387" s="135"/>
    </row>
    <row r="2388" spans="1:26" ht="12.75">
      <c r="A2388" s="136" t="s">
        <v>15</v>
      </c>
      <c r="B2388" s="136" t="s">
        <v>7727</v>
      </c>
      <c r="C2388" s="136" t="s">
        <v>936</v>
      </c>
      <c r="D2388" s="136" t="s">
        <v>139</v>
      </c>
      <c r="E2388" s="136" t="s">
        <v>594</v>
      </c>
      <c r="F2388" s="136">
        <v>2225</v>
      </c>
      <c r="G2388" s="137">
        <f t="shared" si="9"/>
        <v>2</v>
      </c>
      <c r="H2388" s="137"/>
      <c r="I2388" s="137"/>
      <c r="J2388" s="135"/>
      <c r="K2388" s="135"/>
      <c r="L2388" s="135"/>
      <c r="M2388" s="135"/>
      <c r="N2388" s="135"/>
      <c r="O2388" s="135"/>
      <c r="P2388" s="135"/>
      <c r="Q2388" s="135"/>
      <c r="R2388" s="135"/>
      <c r="S2388" s="135"/>
      <c r="T2388" s="135"/>
      <c r="U2388" s="135"/>
      <c r="V2388" s="135"/>
      <c r="W2388" s="135"/>
      <c r="X2388" s="135"/>
      <c r="Y2388" s="135"/>
      <c r="Z2388" s="135"/>
    </row>
    <row r="2389" spans="1:26" ht="12.75">
      <c r="A2389" s="136" t="s">
        <v>15</v>
      </c>
      <c r="B2389" s="136" t="s">
        <v>7727</v>
      </c>
      <c r="C2389" s="136" t="s">
        <v>936</v>
      </c>
      <c r="D2389" s="136" t="s">
        <v>114</v>
      </c>
      <c r="E2389" s="136" t="s">
        <v>85</v>
      </c>
      <c r="F2389" s="136">
        <v>283</v>
      </c>
      <c r="G2389" s="137">
        <f t="shared" si="9"/>
        <v>3</v>
      </c>
      <c r="H2389" s="137"/>
      <c r="I2389" s="137"/>
      <c r="J2389" s="135"/>
      <c r="K2389" s="135"/>
      <c r="L2389" s="135"/>
      <c r="M2389" s="135"/>
      <c r="N2389" s="135"/>
      <c r="O2389" s="135"/>
      <c r="P2389" s="135"/>
      <c r="Q2389" s="135"/>
      <c r="R2389" s="135"/>
      <c r="S2389" s="135"/>
      <c r="T2389" s="135"/>
      <c r="U2389" s="135"/>
      <c r="V2389" s="135"/>
      <c r="W2389" s="135"/>
      <c r="X2389" s="135"/>
      <c r="Y2389" s="135"/>
      <c r="Z2389" s="135"/>
    </row>
    <row r="2390" spans="1:26" ht="12.75">
      <c r="A2390" s="136" t="s">
        <v>15</v>
      </c>
      <c r="B2390" s="136" t="s">
        <v>7727</v>
      </c>
      <c r="C2390" s="136" t="s">
        <v>936</v>
      </c>
      <c r="D2390" s="136" t="s">
        <v>1669</v>
      </c>
      <c r="E2390" s="136" t="s">
        <v>615</v>
      </c>
      <c r="F2390" s="136">
        <v>167</v>
      </c>
      <c r="G2390" s="137">
        <f t="shared" si="9"/>
        <v>4</v>
      </c>
      <c r="H2390" s="137"/>
      <c r="I2390" s="137"/>
      <c r="J2390" s="135"/>
      <c r="K2390" s="135"/>
      <c r="L2390" s="135"/>
      <c r="M2390" s="135"/>
      <c r="N2390" s="135"/>
      <c r="O2390" s="135"/>
      <c r="P2390" s="135"/>
      <c r="Q2390" s="135"/>
      <c r="R2390" s="135"/>
      <c r="S2390" s="135"/>
      <c r="T2390" s="135"/>
      <c r="U2390" s="135"/>
      <c r="V2390" s="135"/>
      <c r="W2390" s="135"/>
      <c r="X2390" s="135"/>
      <c r="Y2390" s="135"/>
      <c r="Z2390" s="135"/>
    </row>
    <row r="2391" spans="1:26" ht="12.75">
      <c r="A2391" s="136" t="s">
        <v>15</v>
      </c>
      <c r="B2391" s="136" t="s">
        <v>7727</v>
      </c>
      <c r="C2391" s="136" t="s">
        <v>936</v>
      </c>
      <c r="D2391" s="136" t="s">
        <v>467</v>
      </c>
      <c r="E2391" s="136" t="s">
        <v>85</v>
      </c>
      <c r="F2391" s="136">
        <v>110</v>
      </c>
      <c r="G2391" s="137">
        <f t="shared" si="9"/>
        <v>5</v>
      </c>
      <c r="H2391" s="137"/>
      <c r="I2391" s="137"/>
      <c r="J2391" s="135"/>
      <c r="K2391" s="135"/>
      <c r="L2391" s="135"/>
      <c r="M2391" s="135"/>
      <c r="N2391" s="135"/>
      <c r="O2391" s="135"/>
      <c r="P2391" s="135"/>
      <c r="Q2391" s="135"/>
      <c r="R2391" s="135"/>
      <c r="S2391" s="135"/>
      <c r="T2391" s="135"/>
      <c r="U2391" s="135"/>
      <c r="V2391" s="135"/>
      <c r="W2391" s="135"/>
      <c r="X2391" s="135"/>
      <c r="Y2391" s="135"/>
      <c r="Z2391" s="135"/>
    </row>
    <row r="2392" spans="1:26" ht="12.75">
      <c r="A2392" s="136" t="s">
        <v>15</v>
      </c>
      <c r="B2392" s="136" t="s">
        <v>7727</v>
      </c>
      <c r="C2392" s="136" t="s">
        <v>936</v>
      </c>
      <c r="D2392" s="136" t="s">
        <v>7491</v>
      </c>
      <c r="E2392" s="136" t="s">
        <v>615</v>
      </c>
      <c r="F2392" s="136">
        <v>102</v>
      </c>
      <c r="G2392" s="137">
        <f t="shared" si="9"/>
        <v>6</v>
      </c>
      <c r="H2392" s="137"/>
      <c r="I2392" s="137"/>
      <c r="J2392" s="135"/>
      <c r="K2392" s="135"/>
      <c r="L2392" s="135"/>
      <c r="M2392" s="135"/>
      <c r="N2392" s="135"/>
      <c r="O2392" s="135"/>
      <c r="P2392" s="135"/>
      <c r="Q2392" s="135"/>
      <c r="R2392" s="135"/>
      <c r="S2392" s="135"/>
      <c r="T2392" s="135"/>
      <c r="U2392" s="135"/>
      <c r="V2392" s="135"/>
      <c r="W2392" s="135"/>
      <c r="X2392" s="135"/>
      <c r="Y2392" s="135"/>
      <c r="Z2392" s="135"/>
    </row>
    <row r="2393" spans="1:26" ht="12.75">
      <c r="A2393" s="136" t="s">
        <v>15</v>
      </c>
      <c r="B2393" s="136" t="s">
        <v>7727</v>
      </c>
      <c r="C2393" s="136" t="s">
        <v>936</v>
      </c>
      <c r="D2393" s="136" t="s">
        <v>7721</v>
      </c>
      <c r="E2393" s="136" t="s">
        <v>615</v>
      </c>
      <c r="F2393" s="136">
        <v>42</v>
      </c>
      <c r="G2393" s="137">
        <f t="shared" si="9"/>
        <v>7</v>
      </c>
      <c r="H2393" s="137"/>
      <c r="I2393" s="137"/>
      <c r="J2393" s="135"/>
      <c r="K2393" s="135"/>
      <c r="L2393" s="135"/>
      <c r="M2393" s="135"/>
      <c r="N2393" s="135"/>
      <c r="O2393" s="135"/>
      <c r="P2393" s="135"/>
      <c r="Q2393" s="135"/>
      <c r="R2393" s="135"/>
      <c r="S2393" s="135"/>
      <c r="T2393" s="135"/>
      <c r="U2393" s="135"/>
      <c r="V2393" s="135"/>
      <c r="W2393" s="135"/>
      <c r="X2393" s="135"/>
      <c r="Y2393" s="135"/>
      <c r="Z2393" s="135"/>
    </row>
    <row r="2394" spans="1:26" ht="12.75">
      <c r="A2394" s="136" t="s">
        <v>15</v>
      </c>
      <c r="B2394" s="136" t="s">
        <v>7727</v>
      </c>
      <c r="C2394" s="136" t="s">
        <v>936</v>
      </c>
      <c r="D2394" s="136" t="s">
        <v>368</v>
      </c>
      <c r="E2394" s="136" t="s">
        <v>594</v>
      </c>
      <c r="F2394" s="136">
        <v>34</v>
      </c>
      <c r="G2394" s="137">
        <f t="shared" si="9"/>
        <v>8</v>
      </c>
      <c r="H2394" s="137"/>
      <c r="I2394" s="137"/>
      <c r="J2394" s="135"/>
      <c r="K2394" s="135"/>
      <c r="L2394" s="135"/>
      <c r="M2394" s="135"/>
      <c r="N2394" s="135"/>
      <c r="O2394" s="135"/>
      <c r="P2394" s="135"/>
      <c r="Q2394" s="135"/>
      <c r="R2394" s="135"/>
      <c r="S2394" s="135"/>
      <c r="T2394" s="135"/>
      <c r="U2394" s="135"/>
      <c r="V2394" s="135"/>
      <c r="W2394" s="135"/>
      <c r="X2394" s="135"/>
      <c r="Y2394" s="135"/>
      <c r="Z2394" s="135"/>
    </row>
    <row r="2395" spans="1:26" ht="12.75">
      <c r="A2395" s="136" t="s">
        <v>15</v>
      </c>
      <c r="B2395" s="136" t="s">
        <v>7727</v>
      </c>
      <c r="C2395" s="136" t="s">
        <v>936</v>
      </c>
      <c r="D2395" s="136" t="s">
        <v>1665</v>
      </c>
      <c r="E2395" s="136" t="s">
        <v>615</v>
      </c>
      <c r="F2395" s="136">
        <v>33</v>
      </c>
      <c r="G2395" s="137">
        <f t="shared" si="9"/>
        <v>9</v>
      </c>
      <c r="H2395" s="137"/>
      <c r="I2395" s="137"/>
      <c r="J2395" s="135"/>
      <c r="K2395" s="135"/>
      <c r="L2395" s="135"/>
      <c r="M2395" s="135"/>
      <c r="N2395" s="135"/>
      <c r="O2395" s="135"/>
      <c r="P2395" s="135"/>
      <c r="Q2395" s="135"/>
      <c r="R2395" s="135"/>
      <c r="S2395" s="135"/>
      <c r="T2395" s="135"/>
      <c r="U2395" s="135"/>
      <c r="V2395" s="135"/>
      <c r="W2395" s="135"/>
      <c r="X2395" s="135"/>
      <c r="Y2395" s="135"/>
      <c r="Z2395" s="135"/>
    </row>
    <row r="2396" spans="1:26" ht="12.75">
      <c r="A2396" s="136" t="s">
        <v>15</v>
      </c>
      <c r="B2396" s="136" t="s">
        <v>7727</v>
      </c>
      <c r="C2396" s="136" t="s">
        <v>936</v>
      </c>
      <c r="D2396" s="136"/>
      <c r="E2396" s="136" t="s">
        <v>7693</v>
      </c>
      <c r="F2396" s="136">
        <v>2996</v>
      </c>
      <c r="G2396" s="137">
        <f t="shared" si="9"/>
        <v>1</v>
      </c>
      <c r="H2396" s="137"/>
      <c r="I2396" s="137"/>
      <c r="J2396" s="135"/>
      <c r="K2396" s="135"/>
      <c r="L2396" s="135"/>
      <c r="M2396" s="135"/>
      <c r="N2396" s="135"/>
      <c r="O2396" s="135"/>
      <c r="P2396" s="135"/>
      <c r="Q2396" s="135"/>
      <c r="R2396" s="135"/>
      <c r="S2396" s="135"/>
      <c r="T2396" s="135"/>
      <c r="U2396" s="135"/>
      <c r="V2396" s="135"/>
      <c r="W2396" s="135"/>
      <c r="X2396" s="135"/>
      <c r="Y2396" s="135"/>
      <c r="Z2396" s="135"/>
    </row>
    <row r="2397" spans="1:26" ht="12.75">
      <c r="A2397" s="136" t="s">
        <v>15</v>
      </c>
      <c r="B2397" s="136" t="s">
        <v>7727</v>
      </c>
      <c r="C2397" s="136" t="s">
        <v>7744</v>
      </c>
      <c r="D2397" s="136" t="s">
        <v>139</v>
      </c>
      <c r="E2397" s="136" t="s">
        <v>594</v>
      </c>
      <c r="F2397" s="136">
        <v>1700</v>
      </c>
      <c r="G2397" s="137">
        <f t="shared" si="9"/>
        <v>2</v>
      </c>
      <c r="H2397" s="137"/>
      <c r="I2397" s="137"/>
      <c r="J2397" s="135"/>
      <c r="K2397" s="135"/>
      <c r="L2397" s="135"/>
      <c r="M2397" s="135"/>
      <c r="N2397" s="135"/>
      <c r="O2397" s="135"/>
      <c r="P2397" s="135"/>
      <c r="Q2397" s="135"/>
      <c r="R2397" s="135"/>
      <c r="S2397" s="135"/>
      <c r="T2397" s="135"/>
      <c r="U2397" s="135"/>
      <c r="V2397" s="135"/>
      <c r="W2397" s="135"/>
      <c r="X2397" s="135"/>
      <c r="Y2397" s="135"/>
      <c r="Z2397" s="135"/>
    </row>
    <row r="2398" spans="1:26" ht="12.75">
      <c r="A2398" s="136" t="s">
        <v>15</v>
      </c>
      <c r="B2398" s="136" t="s">
        <v>7727</v>
      </c>
      <c r="C2398" s="136" t="s">
        <v>7744</v>
      </c>
      <c r="D2398" s="136" t="s">
        <v>114</v>
      </c>
      <c r="E2398" s="136" t="s">
        <v>85</v>
      </c>
      <c r="F2398" s="136">
        <v>75</v>
      </c>
      <c r="G2398" s="137">
        <f t="shared" si="9"/>
        <v>3</v>
      </c>
      <c r="H2398" s="137"/>
      <c r="I2398" s="137"/>
      <c r="J2398" s="135"/>
      <c r="K2398" s="135"/>
      <c r="L2398" s="135"/>
      <c r="M2398" s="135"/>
      <c r="N2398" s="135"/>
      <c r="O2398" s="135"/>
      <c r="P2398" s="135"/>
      <c r="Q2398" s="135"/>
      <c r="R2398" s="135"/>
      <c r="S2398" s="135"/>
      <c r="T2398" s="135"/>
      <c r="U2398" s="135"/>
      <c r="V2398" s="135"/>
      <c r="W2398" s="135"/>
      <c r="X2398" s="135"/>
      <c r="Y2398" s="135"/>
      <c r="Z2398" s="135"/>
    </row>
    <row r="2399" spans="1:26" ht="12.75">
      <c r="A2399" s="136" t="s">
        <v>15</v>
      </c>
      <c r="B2399" s="136" t="s">
        <v>7727</v>
      </c>
      <c r="C2399" s="136" t="s">
        <v>7744</v>
      </c>
      <c r="D2399" s="136" t="s">
        <v>1669</v>
      </c>
      <c r="E2399" s="136" t="s">
        <v>615</v>
      </c>
      <c r="F2399" s="136">
        <v>65</v>
      </c>
      <c r="G2399" s="137">
        <f t="shared" si="9"/>
        <v>4</v>
      </c>
      <c r="H2399" s="137"/>
      <c r="I2399" s="137"/>
      <c r="J2399" s="135"/>
      <c r="K2399" s="135"/>
      <c r="L2399" s="135"/>
      <c r="M2399" s="135"/>
      <c r="N2399" s="135"/>
      <c r="O2399" s="135"/>
      <c r="P2399" s="135"/>
      <c r="Q2399" s="135"/>
      <c r="R2399" s="135"/>
      <c r="S2399" s="135"/>
      <c r="T2399" s="135"/>
      <c r="U2399" s="135"/>
      <c r="V2399" s="135"/>
      <c r="W2399" s="135"/>
      <c r="X2399" s="135"/>
      <c r="Y2399" s="135"/>
      <c r="Z2399" s="135"/>
    </row>
    <row r="2400" spans="1:26" ht="12.75">
      <c r="A2400" s="136" t="s">
        <v>15</v>
      </c>
      <c r="B2400" s="136" t="s">
        <v>7727</v>
      </c>
      <c r="C2400" s="136" t="s">
        <v>7744</v>
      </c>
      <c r="D2400" s="136" t="s">
        <v>467</v>
      </c>
      <c r="E2400" s="136" t="s">
        <v>85</v>
      </c>
      <c r="F2400" s="136">
        <v>61</v>
      </c>
      <c r="G2400" s="137">
        <f t="shared" si="9"/>
        <v>5</v>
      </c>
      <c r="H2400" s="137"/>
      <c r="I2400" s="137"/>
      <c r="J2400" s="135"/>
      <c r="K2400" s="135"/>
      <c r="L2400" s="135"/>
      <c r="M2400" s="135"/>
      <c r="N2400" s="135"/>
      <c r="O2400" s="135"/>
      <c r="P2400" s="135"/>
      <c r="Q2400" s="135"/>
      <c r="R2400" s="135"/>
      <c r="S2400" s="135"/>
      <c r="T2400" s="135"/>
      <c r="U2400" s="135"/>
      <c r="V2400" s="135"/>
      <c r="W2400" s="135"/>
      <c r="X2400" s="135"/>
      <c r="Y2400" s="135"/>
      <c r="Z2400" s="135"/>
    </row>
    <row r="2401" spans="1:26" ht="12.75">
      <c r="A2401" s="136" t="s">
        <v>15</v>
      </c>
      <c r="B2401" s="136" t="s">
        <v>7727</v>
      </c>
      <c r="C2401" s="136" t="s">
        <v>7744</v>
      </c>
      <c r="D2401" s="136" t="s">
        <v>1665</v>
      </c>
      <c r="E2401" s="136" t="s">
        <v>615</v>
      </c>
      <c r="F2401" s="136">
        <v>48</v>
      </c>
      <c r="G2401" s="137">
        <f t="shared" si="9"/>
        <v>6</v>
      </c>
      <c r="H2401" s="137"/>
      <c r="I2401" s="137"/>
      <c r="J2401" s="135"/>
      <c r="K2401" s="135"/>
      <c r="L2401" s="135"/>
      <c r="M2401" s="135"/>
      <c r="N2401" s="135"/>
      <c r="O2401" s="135"/>
      <c r="P2401" s="135"/>
      <c r="Q2401" s="135"/>
      <c r="R2401" s="135"/>
      <c r="S2401" s="135"/>
      <c r="T2401" s="135"/>
      <c r="U2401" s="135"/>
      <c r="V2401" s="135"/>
      <c r="W2401" s="135"/>
      <c r="X2401" s="135"/>
      <c r="Y2401" s="135"/>
      <c r="Z2401" s="135"/>
    </row>
    <row r="2402" spans="1:26" ht="12.75">
      <c r="A2402" s="136" t="s">
        <v>15</v>
      </c>
      <c r="B2402" s="136" t="s">
        <v>7727</v>
      </c>
      <c r="C2402" s="136" t="s">
        <v>7744</v>
      </c>
      <c r="D2402" s="136" t="s">
        <v>7491</v>
      </c>
      <c r="E2402" s="136" t="s">
        <v>615</v>
      </c>
      <c r="F2402" s="136">
        <v>47</v>
      </c>
      <c r="G2402" s="137">
        <f t="shared" si="9"/>
        <v>7</v>
      </c>
      <c r="H2402" s="137"/>
      <c r="I2402" s="137"/>
      <c r="J2402" s="135"/>
      <c r="K2402" s="135"/>
      <c r="L2402" s="135"/>
      <c r="M2402" s="135"/>
      <c r="N2402" s="135"/>
      <c r="O2402" s="135"/>
      <c r="P2402" s="135"/>
      <c r="Q2402" s="135"/>
      <c r="R2402" s="135"/>
      <c r="S2402" s="135"/>
      <c r="T2402" s="135"/>
      <c r="U2402" s="135"/>
      <c r="V2402" s="135"/>
      <c r="W2402" s="135"/>
      <c r="X2402" s="135"/>
      <c r="Y2402" s="135"/>
      <c r="Z2402" s="135"/>
    </row>
    <row r="2403" spans="1:26" ht="12.75">
      <c r="A2403" s="136" t="s">
        <v>15</v>
      </c>
      <c r="B2403" s="136" t="s">
        <v>7727</v>
      </c>
      <c r="C2403" s="136" t="s">
        <v>7744</v>
      </c>
      <c r="D2403" s="136" t="s">
        <v>7695</v>
      </c>
      <c r="E2403" s="136" t="s">
        <v>615</v>
      </c>
      <c r="F2403" s="136">
        <v>18</v>
      </c>
      <c r="G2403" s="137">
        <f t="shared" si="9"/>
        <v>8</v>
      </c>
      <c r="H2403" s="137"/>
      <c r="I2403" s="137"/>
      <c r="J2403" s="135"/>
      <c r="K2403" s="135"/>
      <c r="L2403" s="135"/>
      <c r="M2403" s="135"/>
      <c r="N2403" s="135"/>
      <c r="O2403" s="135"/>
      <c r="P2403" s="135"/>
      <c r="Q2403" s="135"/>
      <c r="R2403" s="135"/>
      <c r="S2403" s="135"/>
      <c r="T2403" s="135"/>
      <c r="U2403" s="135"/>
      <c r="V2403" s="135"/>
      <c r="W2403" s="135"/>
      <c r="X2403" s="135"/>
      <c r="Y2403" s="135"/>
      <c r="Z2403" s="135"/>
    </row>
    <row r="2404" spans="1:26" ht="12.75">
      <c r="A2404" s="136" t="s">
        <v>15</v>
      </c>
      <c r="B2404" s="136" t="s">
        <v>7727</v>
      </c>
      <c r="C2404" s="136" t="s">
        <v>7744</v>
      </c>
      <c r="D2404" s="136"/>
      <c r="E2404" s="136" t="s">
        <v>7693</v>
      </c>
      <c r="F2404" s="136">
        <v>2014</v>
      </c>
      <c r="G2404" s="137">
        <f t="shared" si="9"/>
        <v>1</v>
      </c>
      <c r="H2404" s="137"/>
      <c r="I2404" s="137"/>
      <c r="J2404" s="135"/>
      <c r="K2404" s="135"/>
      <c r="L2404" s="135"/>
      <c r="M2404" s="135"/>
      <c r="N2404" s="135"/>
      <c r="O2404" s="135"/>
      <c r="P2404" s="135"/>
      <c r="Q2404" s="135"/>
      <c r="R2404" s="135"/>
      <c r="S2404" s="135"/>
      <c r="T2404" s="135"/>
      <c r="U2404" s="135"/>
      <c r="V2404" s="135"/>
      <c r="W2404" s="135"/>
      <c r="X2404" s="135"/>
      <c r="Y2404" s="135"/>
      <c r="Z2404" s="135"/>
    </row>
    <row r="2405" spans="1:26" ht="12.75">
      <c r="A2405" s="136" t="s">
        <v>15</v>
      </c>
      <c r="B2405" s="136" t="s">
        <v>7727</v>
      </c>
      <c r="C2405" s="136" t="s">
        <v>940</v>
      </c>
      <c r="D2405" s="136" t="s">
        <v>139</v>
      </c>
      <c r="E2405" s="136" t="s">
        <v>594</v>
      </c>
      <c r="F2405" s="136">
        <v>1262</v>
      </c>
      <c r="G2405" s="137">
        <f t="shared" si="9"/>
        <v>2</v>
      </c>
      <c r="H2405" s="137"/>
      <c r="I2405" s="137"/>
      <c r="J2405" s="135"/>
      <c r="K2405" s="135"/>
      <c r="L2405" s="135"/>
      <c r="M2405" s="135"/>
      <c r="N2405" s="135"/>
      <c r="O2405" s="135"/>
      <c r="P2405" s="135"/>
      <c r="Q2405" s="135"/>
      <c r="R2405" s="135"/>
      <c r="S2405" s="135"/>
      <c r="T2405" s="135"/>
      <c r="U2405" s="135"/>
      <c r="V2405" s="135"/>
      <c r="W2405" s="135"/>
      <c r="X2405" s="135"/>
      <c r="Y2405" s="135"/>
      <c r="Z2405" s="135"/>
    </row>
    <row r="2406" spans="1:26" ht="12.75">
      <c r="A2406" s="136" t="s">
        <v>15</v>
      </c>
      <c r="B2406" s="136" t="s">
        <v>7727</v>
      </c>
      <c r="C2406" s="136" t="s">
        <v>940</v>
      </c>
      <c r="D2406" s="136" t="s">
        <v>1669</v>
      </c>
      <c r="E2406" s="136" t="s">
        <v>615</v>
      </c>
      <c r="F2406" s="136">
        <v>1163</v>
      </c>
      <c r="G2406" s="137">
        <f t="shared" si="9"/>
        <v>3</v>
      </c>
      <c r="H2406" s="137"/>
      <c r="I2406" s="137"/>
      <c r="J2406" s="135"/>
      <c r="K2406" s="135"/>
      <c r="L2406" s="135"/>
      <c r="M2406" s="135"/>
      <c r="N2406" s="135"/>
      <c r="O2406" s="135"/>
      <c r="P2406" s="135"/>
      <c r="Q2406" s="135"/>
      <c r="R2406" s="135"/>
      <c r="S2406" s="135"/>
      <c r="T2406" s="135"/>
      <c r="U2406" s="135"/>
      <c r="V2406" s="135"/>
      <c r="W2406" s="135"/>
      <c r="X2406" s="135"/>
      <c r="Y2406" s="135"/>
      <c r="Z2406" s="135"/>
    </row>
    <row r="2407" spans="1:26" ht="12.75">
      <c r="A2407" s="136" t="s">
        <v>15</v>
      </c>
      <c r="B2407" s="136" t="s">
        <v>7727</v>
      </c>
      <c r="C2407" s="136" t="s">
        <v>940</v>
      </c>
      <c r="D2407" s="136" t="s">
        <v>7491</v>
      </c>
      <c r="E2407" s="136" t="s">
        <v>615</v>
      </c>
      <c r="F2407" s="136">
        <v>176</v>
      </c>
      <c r="G2407" s="137">
        <f t="shared" si="9"/>
        <v>4</v>
      </c>
      <c r="H2407" s="137"/>
      <c r="I2407" s="137"/>
      <c r="J2407" s="135"/>
      <c r="K2407" s="135"/>
      <c r="L2407" s="135"/>
      <c r="M2407" s="135"/>
      <c r="N2407" s="135"/>
      <c r="O2407" s="135"/>
      <c r="P2407" s="135"/>
      <c r="Q2407" s="135"/>
      <c r="R2407" s="135"/>
      <c r="S2407" s="135"/>
      <c r="T2407" s="135"/>
      <c r="U2407" s="135"/>
      <c r="V2407" s="135"/>
      <c r="W2407" s="135"/>
      <c r="X2407" s="135"/>
      <c r="Y2407" s="135"/>
      <c r="Z2407" s="135"/>
    </row>
    <row r="2408" spans="1:26" ht="12.75">
      <c r="A2408" s="136" t="s">
        <v>15</v>
      </c>
      <c r="B2408" s="136" t="s">
        <v>7727</v>
      </c>
      <c r="C2408" s="136" t="s">
        <v>940</v>
      </c>
      <c r="D2408" s="136" t="s">
        <v>165</v>
      </c>
      <c r="E2408" s="136" t="s">
        <v>615</v>
      </c>
      <c r="F2408" s="136">
        <v>147</v>
      </c>
      <c r="G2408" s="137">
        <f t="shared" si="9"/>
        <v>5</v>
      </c>
      <c r="H2408" s="137"/>
      <c r="I2408" s="137"/>
      <c r="J2408" s="135"/>
      <c r="K2408" s="135"/>
      <c r="L2408" s="135"/>
      <c r="M2408" s="135"/>
      <c r="N2408" s="135"/>
      <c r="O2408" s="135"/>
      <c r="P2408" s="135"/>
      <c r="Q2408" s="135"/>
      <c r="R2408" s="135"/>
      <c r="S2408" s="135"/>
      <c r="T2408" s="135"/>
      <c r="U2408" s="135"/>
      <c r="V2408" s="135"/>
      <c r="W2408" s="135"/>
      <c r="X2408" s="135"/>
      <c r="Y2408" s="135"/>
      <c r="Z2408" s="135"/>
    </row>
    <row r="2409" spans="1:26" ht="12.75">
      <c r="A2409" s="136" t="s">
        <v>15</v>
      </c>
      <c r="B2409" s="136" t="s">
        <v>7727</v>
      </c>
      <c r="C2409" s="136" t="s">
        <v>940</v>
      </c>
      <c r="D2409" s="136" t="s">
        <v>120</v>
      </c>
      <c r="E2409" s="136" t="s">
        <v>615</v>
      </c>
      <c r="F2409" s="136">
        <v>94</v>
      </c>
      <c r="G2409" s="137">
        <f t="shared" si="9"/>
        <v>6</v>
      </c>
      <c r="H2409" s="137"/>
      <c r="I2409" s="137"/>
      <c r="J2409" s="135"/>
      <c r="K2409" s="135"/>
      <c r="L2409" s="135"/>
      <c r="M2409" s="135"/>
      <c r="N2409" s="135"/>
      <c r="O2409" s="135"/>
      <c r="P2409" s="135"/>
      <c r="Q2409" s="135"/>
      <c r="R2409" s="135"/>
      <c r="S2409" s="135"/>
      <c r="T2409" s="135"/>
      <c r="U2409" s="135"/>
      <c r="V2409" s="135"/>
      <c r="W2409" s="135"/>
      <c r="X2409" s="135"/>
      <c r="Y2409" s="135"/>
      <c r="Z2409" s="135"/>
    </row>
    <row r="2410" spans="1:26" ht="12.75">
      <c r="A2410" s="136" t="s">
        <v>15</v>
      </c>
      <c r="B2410" s="136" t="s">
        <v>7727</v>
      </c>
      <c r="C2410" s="136" t="s">
        <v>940</v>
      </c>
      <c r="D2410" s="136" t="s">
        <v>1665</v>
      </c>
      <c r="E2410" s="136" t="s">
        <v>615</v>
      </c>
      <c r="F2410" s="136">
        <v>38</v>
      </c>
      <c r="G2410" s="137">
        <f t="shared" si="9"/>
        <v>7</v>
      </c>
      <c r="H2410" s="137"/>
      <c r="I2410" s="137"/>
      <c r="J2410" s="135"/>
      <c r="K2410" s="135"/>
      <c r="L2410" s="135"/>
      <c r="M2410" s="135"/>
      <c r="N2410" s="135"/>
      <c r="O2410" s="135"/>
      <c r="P2410" s="135"/>
      <c r="Q2410" s="135"/>
      <c r="R2410" s="135"/>
      <c r="S2410" s="135"/>
      <c r="T2410" s="135"/>
      <c r="U2410" s="135"/>
      <c r="V2410" s="135"/>
      <c r="W2410" s="135"/>
      <c r="X2410" s="135"/>
      <c r="Y2410" s="135"/>
      <c r="Z2410" s="135"/>
    </row>
    <row r="2411" spans="1:26" ht="12.75">
      <c r="A2411" s="136" t="s">
        <v>15</v>
      </c>
      <c r="B2411" s="136" t="s">
        <v>7727</v>
      </c>
      <c r="C2411" s="136" t="s">
        <v>940</v>
      </c>
      <c r="D2411" s="136" t="s">
        <v>368</v>
      </c>
      <c r="E2411" s="136" t="s">
        <v>594</v>
      </c>
      <c r="F2411" s="136">
        <v>25</v>
      </c>
      <c r="G2411" s="137">
        <f t="shared" si="9"/>
        <v>8</v>
      </c>
      <c r="H2411" s="137"/>
      <c r="I2411" s="137"/>
      <c r="J2411" s="135"/>
      <c r="K2411" s="135"/>
      <c r="L2411" s="135"/>
      <c r="M2411" s="135"/>
      <c r="N2411" s="135"/>
      <c r="O2411" s="135"/>
      <c r="P2411" s="135"/>
      <c r="Q2411" s="135"/>
      <c r="R2411" s="135"/>
      <c r="S2411" s="135"/>
      <c r="T2411" s="135"/>
      <c r="U2411" s="135"/>
      <c r="V2411" s="135"/>
      <c r="W2411" s="135"/>
      <c r="X2411" s="135"/>
      <c r="Y2411" s="135"/>
      <c r="Z2411" s="135"/>
    </row>
    <row r="2412" spans="1:26" ht="12.75">
      <c r="A2412" s="136" t="s">
        <v>15</v>
      </c>
      <c r="B2412" s="136" t="s">
        <v>7727</v>
      </c>
      <c r="C2412" s="136" t="s">
        <v>940</v>
      </c>
      <c r="D2412" s="136" t="s">
        <v>1626</v>
      </c>
      <c r="E2412" s="136" t="s">
        <v>594</v>
      </c>
      <c r="F2412" s="136">
        <v>25</v>
      </c>
      <c r="G2412" s="137">
        <f t="shared" si="9"/>
        <v>9</v>
      </c>
      <c r="H2412" s="137"/>
      <c r="I2412" s="137"/>
      <c r="J2412" s="135"/>
      <c r="K2412" s="135"/>
      <c r="L2412" s="135"/>
      <c r="M2412" s="135"/>
      <c r="N2412" s="135"/>
      <c r="O2412" s="135"/>
      <c r="P2412" s="135"/>
      <c r="Q2412" s="135"/>
      <c r="R2412" s="135"/>
      <c r="S2412" s="135"/>
      <c r="T2412" s="135"/>
      <c r="U2412" s="135"/>
      <c r="V2412" s="135"/>
      <c r="W2412" s="135"/>
      <c r="X2412" s="135"/>
      <c r="Y2412" s="135"/>
      <c r="Z2412" s="135"/>
    </row>
    <row r="2413" spans="1:26" ht="25.5">
      <c r="A2413" s="136" t="s">
        <v>15</v>
      </c>
      <c r="B2413" s="136" t="s">
        <v>7727</v>
      </c>
      <c r="C2413" s="136" t="s">
        <v>940</v>
      </c>
      <c r="D2413" s="136" t="s">
        <v>1680</v>
      </c>
      <c r="E2413" s="136" t="s">
        <v>615</v>
      </c>
      <c r="F2413" s="136">
        <v>20</v>
      </c>
      <c r="G2413" s="137">
        <f t="shared" si="9"/>
        <v>10</v>
      </c>
      <c r="H2413" s="137"/>
      <c r="I2413" s="137"/>
      <c r="J2413" s="135"/>
      <c r="K2413" s="135"/>
      <c r="L2413" s="135"/>
      <c r="M2413" s="135"/>
      <c r="N2413" s="135"/>
      <c r="O2413" s="135"/>
      <c r="P2413" s="135"/>
      <c r="Q2413" s="135"/>
      <c r="R2413" s="135"/>
      <c r="S2413" s="135"/>
      <c r="T2413" s="135"/>
      <c r="U2413" s="135"/>
      <c r="V2413" s="135"/>
      <c r="W2413" s="135"/>
      <c r="X2413" s="135"/>
      <c r="Y2413" s="135"/>
      <c r="Z2413" s="135"/>
    </row>
    <row r="2414" spans="1:26" ht="12.75">
      <c r="A2414" s="136" t="s">
        <v>15</v>
      </c>
      <c r="B2414" s="136" t="s">
        <v>7727</v>
      </c>
      <c r="C2414" s="136" t="s">
        <v>940</v>
      </c>
      <c r="D2414" s="136"/>
      <c r="E2414" s="136" t="s">
        <v>7693</v>
      </c>
      <c r="F2414" s="136">
        <v>2950</v>
      </c>
      <c r="G2414" s="137">
        <f t="shared" si="9"/>
        <v>1</v>
      </c>
      <c r="H2414" s="137"/>
      <c r="I2414" s="137"/>
      <c r="J2414" s="135"/>
      <c r="K2414" s="135"/>
      <c r="L2414" s="135"/>
      <c r="M2414" s="135"/>
      <c r="N2414" s="135"/>
      <c r="O2414" s="135"/>
      <c r="P2414" s="135"/>
      <c r="Q2414" s="135"/>
      <c r="R2414" s="135"/>
      <c r="S2414" s="135"/>
      <c r="T2414" s="135"/>
      <c r="U2414" s="135"/>
      <c r="V2414" s="135"/>
      <c r="W2414" s="135"/>
      <c r="X2414" s="135"/>
      <c r="Y2414" s="135"/>
      <c r="Z2414" s="135"/>
    </row>
    <row r="2415" spans="1:26" ht="12.75">
      <c r="A2415" s="136" t="s">
        <v>15</v>
      </c>
      <c r="B2415" s="136" t="s">
        <v>7727</v>
      </c>
      <c r="C2415" s="136" t="s">
        <v>7745</v>
      </c>
      <c r="D2415" s="136" t="s">
        <v>7746</v>
      </c>
      <c r="E2415" s="136" t="s">
        <v>615</v>
      </c>
      <c r="F2415" s="136">
        <v>912</v>
      </c>
      <c r="G2415" s="137">
        <f t="shared" si="9"/>
        <v>2</v>
      </c>
      <c r="H2415" s="137"/>
      <c r="I2415" s="137"/>
      <c r="J2415" s="135"/>
      <c r="K2415" s="135"/>
      <c r="L2415" s="135"/>
      <c r="M2415" s="135"/>
      <c r="N2415" s="135"/>
      <c r="O2415" s="135"/>
      <c r="P2415" s="135"/>
      <c r="Q2415" s="135"/>
      <c r="R2415" s="135"/>
      <c r="S2415" s="135"/>
      <c r="T2415" s="135"/>
      <c r="U2415" s="135"/>
      <c r="V2415" s="135"/>
      <c r="W2415" s="135"/>
      <c r="X2415" s="135"/>
      <c r="Y2415" s="135"/>
      <c r="Z2415" s="135"/>
    </row>
    <row r="2416" spans="1:26" ht="12.75">
      <c r="A2416" s="136" t="s">
        <v>15</v>
      </c>
      <c r="B2416" s="136" t="s">
        <v>7727</v>
      </c>
      <c r="C2416" s="136" t="s">
        <v>7745</v>
      </c>
      <c r="D2416" s="136" t="s">
        <v>114</v>
      </c>
      <c r="E2416" s="136" t="s">
        <v>85</v>
      </c>
      <c r="F2416" s="136">
        <v>33</v>
      </c>
      <c r="G2416" s="137">
        <f t="shared" si="9"/>
        <v>3</v>
      </c>
      <c r="H2416" s="137"/>
      <c r="I2416" s="137"/>
      <c r="J2416" s="135"/>
      <c r="K2416" s="135"/>
      <c r="L2416" s="135"/>
      <c r="M2416" s="135"/>
      <c r="N2416" s="135"/>
      <c r="O2416" s="135"/>
      <c r="P2416" s="135"/>
      <c r="Q2416" s="135"/>
      <c r="R2416" s="135"/>
      <c r="S2416" s="135"/>
      <c r="T2416" s="135"/>
      <c r="U2416" s="135"/>
      <c r="V2416" s="135"/>
      <c r="W2416" s="135"/>
      <c r="X2416" s="135"/>
      <c r="Y2416" s="135"/>
      <c r="Z2416" s="135"/>
    </row>
    <row r="2417" spans="1:26" ht="12.75">
      <c r="A2417" s="136" t="s">
        <v>15</v>
      </c>
      <c r="B2417" s="136" t="s">
        <v>7727</v>
      </c>
      <c r="C2417" s="136" t="s">
        <v>7745</v>
      </c>
      <c r="D2417" s="136" t="s">
        <v>1665</v>
      </c>
      <c r="E2417" s="136" t="s">
        <v>615</v>
      </c>
      <c r="F2417" s="136">
        <v>20</v>
      </c>
      <c r="G2417" s="137">
        <f t="shared" si="9"/>
        <v>4</v>
      </c>
      <c r="H2417" s="137"/>
      <c r="I2417" s="137"/>
      <c r="J2417" s="135"/>
      <c r="K2417" s="135"/>
      <c r="L2417" s="135"/>
      <c r="M2417" s="135"/>
      <c r="N2417" s="135"/>
      <c r="O2417" s="135"/>
      <c r="P2417" s="135"/>
      <c r="Q2417" s="135"/>
      <c r="R2417" s="135"/>
      <c r="S2417" s="135"/>
      <c r="T2417" s="135"/>
      <c r="U2417" s="135"/>
      <c r="V2417" s="135"/>
      <c r="W2417" s="135"/>
      <c r="X2417" s="135"/>
      <c r="Y2417" s="135"/>
      <c r="Z2417" s="135"/>
    </row>
    <row r="2418" spans="1:26" ht="12.75">
      <c r="A2418" s="136" t="s">
        <v>15</v>
      </c>
      <c r="B2418" s="136" t="s">
        <v>7727</v>
      </c>
      <c r="C2418" s="136" t="s">
        <v>7745</v>
      </c>
      <c r="D2418" s="136" t="s">
        <v>467</v>
      </c>
      <c r="E2418" s="136" t="s">
        <v>85</v>
      </c>
      <c r="F2418" s="136">
        <v>11</v>
      </c>
      <c r="G2418" s="137">
        <f t="shared" si="9"/>
        <v>5</v>
      </c>
      <c r="H2418" s="137"/>
      <c r="I2418" s="137"/>
      <c r="J2418" s="135"/>
      <c r="K2418" s="135"/>
      <c r="L2418" s="135"/>
      <c r="M2418" s="135"/>
      <c r="N2418" s="135"/>
      <c r="O2418" s="135"/>
      <c r="P2418" s="135"/>
      <c r="Q2418" s="135"/>
      <c r="R2418" s="135"/>
      <c r="S2418" s="135"/>
      <c r="T2418" s="135"/>
      <c r="U2418" s="135"/>
      <c r="V2418" s="135"/>
      <c r="W2418" s="135"/>
      <c r="X2418" s="135"/>
      <c r="Y2418" s="135"/>
      <c r="Z2418" s="135"/>
    </row>
    <row r="2419" spans="1:26" ht="12.75">
      <c r="A2419" s="136" t="s">
        <v>15</v>
      </c>
      <c r="B2419" s="136" t="s">
        <v>7727</v>
      </c>
      <c r="C2419" s="136" t="s">
        <v>7745</v>
      </c>
      <c r="D2419" s="136"/>
      <c r="E2419" s="136" t="s">
        <v>7693</v>
      </c>
      <c r="F2419" s="136">
        <v>976</v>
      </c>
      <c r="G2419" s="137">
        <f t="shared" si="9"/>
        <v>1</v>
      </c>
      <c r="H2419" s="137"/>
      <c r="I2419" s="137"/>
      <c r="J2419" s="135"/>
      <c r="K2419" s="135"/>
      <c r="L2419" s="135"/>
      <c r="M2419" s="135"/>
      <c r="N2419" s="135"/>
      <c r="O2419" s="135"/>
      <c r="P2419" s="135"/>
      <c r="Q2419" s="135"/>
      <c r="R2419" s="135"/>
      <c r="S2419" s="135"/>
      <c r="T2419" s="135"/>
      <c r="U2419" s="135"/>
      <c r="V2419" s="135"/>
      <c r="W2419" s="135"/>
      <c r="X2419" s="135"/>
      <c r="Y2419" s="135"/>
      <c r="Z2419" s="135"/>
    </row>
    <row r="2420" spans="1:26" ht="12.75">
      <c r="A2420" s="136" t="s">
        <v>15</v>
      </c>
      <c r="B2420" s="136" t="s">
        <v>7727</v>
      </c>
      <c r="C2420" s="136" t="s">
        <v>944</v>
      </c>
      <c r="D2420" s="136" t="s">
        <v>114</v>
      </c>
      <c r="E2420" s="136" t="s">
        <v>85</v>
      </c>
      <c r="F2420" s="136">
        <v>862</v>
      </c>
      <c r="G2420" s="137">
        <f t="shared" si="9"/>
        <v>2</v>
      </c>
      <c r="H2420" s="137"/>
      <c r="I2420" s="137"/>
      <c r="J2420" s="135"/>
      <c r="K2420" s="135"/>
      <c r="L2420" s="135"/>
      <c r="M2420" s="135"/>
      <c r="N2420" s="135"/>
      <c r="O2420" s="135"/>
      <c r="P2420" s="135"/>
      <c r="Q2420" s="135"/>
      <c r="R2420" s="135"/>
      <c r="S2420" s="135"/>
      <c r="T2420" s="135"/>
      <c r="U2420" s="135"/>
      <c r="V2420" s="135"/>
      <c r="W2420" s="135"/>
      <c r="X2420" s="135"/>
      <c r="Y2420" s="135"/>
      <c r="Z2420" s="135"/>
    </row>
    <row r="2421" spans="1:26" ht="12.75">
      <c r="A2421" s="136" t="s">
        <v>15</v>
      </c>
      <c r="B2421" s="136" t="s">
        <v>7727</v>
      </c>
      <c r="C2421" s="136" t="s">
        <v>944</v>
      </c>
      <c r="D2421" s="136" t="s">
        <v>7747</v>
      </c>
      <c r="E2421" s="136" t="s">
        <v>615</v>
      </c>
      <c r="F2421" s="136">
        <v>429</v>
      </c>
      <c r="G2421" s="137">
        <f t="shared" si="9"/>
        <v>3</v>
      </c>
      <c r="H2421" s="137"/>
      <c r="I2421" s="137"/>
      <c r="J2421" s="135"/>
      <c r="K2421" s="135"/>
      <c r="L2421" s="135"/>
      <c r="M2421" s="135"/>
      <c r="N2421" s="135"/>
      <c r="O2421" s="135"/>
      <c r="P2421" s="135"/>
      <c r="Q2421" s="135"/>
      <c r="R2421" s="135"/>
      <c r="S2421" s="135"/>
      <c r="T2421" s="135"/>
      <c r="U2421" s="135"/>
      <c r="V2421" s="135"/>
      <c r="W2421" s="135"/>
      <c r="X2421" s="135"/>
      <c r="Y2421" s="135"/>
      <c r="Z2421" s="135"/>
    </row>
    <row r="2422" spans="1:26" ht="12.75">
      <c r="A2422" s="136" t="s">
        <v>15</v>
      </c>
      <c r="B2422" s="136" t="s">
        <v>7727</v>
      </c>
      <c r="C2422" s="136" t="s">
        <v>944</v>
      </c>
      <c r="D2422" s="136" t="s">
        <v>139</v>
      </c>
      <c r="E2422" s="136" t="s">
        <v>594</v>
      </c>
      <c r="F2422" s="136">
        <v>411</v>
      </c>
      <c r="G2422" s="137">
        <f t="shared" si="9"/>
        <v>4</v>
      </c>
      <c r="H2422" s="137"/>
      <c r="I2422" s="137"/>
      <c r="J2422" s="135"/>
      <c r="K2422" s="135"/>
      <c r="L2422" s="135"/>
      <c r="M2422" s="135"/>
      <c r="N2422" s="135"/>
      <c r="O2422" s="135"/>
      <c r="P2422" s="135"/>
      <c r="Q2422" s="135"/>
      <c r="R2422" s="135"/>
      <c r="S2422" s="135"/>
      <c r="T2422" s="135"/>
      <c r="U2422" s="135"/>
      <c r="V2422" s="135"/>
      <c r="W2422" s="135"/>
      <c r="X2422" s="135"/>
      <c r="Y2422" s="135"/>
      <c r="Z2422" s="135"/>
    </row>
    <row r="2423" spans="1:26" ht="12.75">
      <c r="A2423" s="136" t="s">
        <v>15</v>
      </c>
      <c r="B2423" s="136" t="s">
        <v>7727</v>
      </c>
      <c r="C2423" s="136" t="s">
        <v>944</v>
      </c>
      <c r="D2423" s="136" t="s">
        <v>1669</v>
      </c>
      <c r="E2423" s="136" t="s">
        <v>615</v>
      </c>
      <c r="F2423" s="136">
        <v>115</v>
      </c>
      <c r="G2423" s="137">
        <f t="shared" si="9"/>
        <v>5</v>
      </c>
      <c r="H2423" s="137"/>
      <c r="I2423" s="137"/>
      <c r="J2423" s="135"/>
      <c r="K2423" s="135"/>
      <c r="L2423" s="135"/>
      <c r="M2423" s="135"/>
      <c r="N2423" s="135"/>
      <c r="O2423" s="135"/>
      <c r="P2423" s="135"/>
      <c r="Q2423" s="135"/>
      <c r="R2423" s="135"/>
      <c r="S2423" s="135"/>
      <c r="T2423" s="135"/>
      <c r="U2423" s="135"/>
      <c r="V2423" s="135"/>
      <c r="W2423" s="135"/>
      <c r="X2423" s="135"/>
      <c r="Y2423" s="135"/>
      <c r="Z2423" s="135"/>
    </row>
    <row r="2424" spans="1:26" ht="12.75">
      <c r="A2424" s="136" t="s">
        <v>15</v>
      </c>
      <c r="B2424" s="136" t="s">
        <v>7727</v>
      </c>
      <c r="C2424" s="136" t="s">
        <v>944</v>
      </c>
      <c r="D2424" s="136" t="s">
        <v>467</v>
      </c>
      <c r="E2424" s="136" t="s">
        <v>85</v>
      </c>
      <c r="F2424" s="136">
        <v>87</v>
      </c>
      <c r="G2424" s="137">
        <f t="shared" si="9"/>
        <v>6</v>
      </c>
      <c r="H2424" s="137"/>
      <c r="I2424" s="137"/>
      <c r="J2424" s="135"/>
      <c r="K2424" s="135"/>
      <c r="L2424" s="135"/>
      <c r="M2424" s="135"/>
      <c r="N2424" s="135"/>
      <c r="O2424" s="135"/>
      <c r="P2424" s="135"/>
      <c r="Q2424" s="135"/>
      <c r="R2424" s="135"/>
      <c r="S2424" s="135"/>
      <c r="T2424" s="135"/>
      <c r="U2424" s="135"/>
      <c r="V2424" s="135"/>
      <c r="W2424" s="135"/>
      <c r="X2424" s="135"/>
      <c r="Y2424" s="135"/>
      <c r="Z2424" s="135"/>
    </row>
    <row r="2425" spans="1:26" ht="12.75">
      <c r="A2425" s="136" t="s">
        <v>15</v>
      </c>
      <c r="B2425" s="136" t="s">
        <v>7727</v>
      </c>
      <c r="C2425" s="136" t="s">
        <v>944</v>
      </c>
      <c r="D2425" s="136" t="s">
        <v>7491</v>
      </c>
      <c r="E2425" s="136" t="s">
        <v>615</v>
      </c>
      <c r="F2425" s="136">
        <v>42</v>
      </c>
      <c r="G2425" s="137">
        <f t="shared" si="9"/>
        <v>7</v>
      </c>
      <c r="H2425" s="137"/>
      <c r="I2425" s="137"/>
      <c r="J2425" s="135"/>
      <c r="K2425" s="135"/>
      <c r="L2425" s="135"/>
      <c r="M2425" s="135"/>
      <c r="N2425" s="135"/>
      <c r="O2425" s="135"/>
      <c r="P2425" s="135"/>
      <c r="Q2425" s="135"/>
      <c r="R2425" s="135"/>
      <c r="S2425" s="135"/>
      <c r="T2425" s="135"/>
      <c r="U2425" s="135"/>
      <c r="V2425" s="135"/>
      <c r="W2425" s="135"/>
      <c r="X2425" s="135"/>
      <c r="Y2425" s="135"/>
      <c r="Z2425" s="135"/>
    </row>
    <row r="2426" spans="1:26" ht="12.75">
      <c r="A2426" s="136" t="s">
        <v>15</v>
      </c>
      <c r="B2426" s="136" t="s">
        <v>7727</v>
      </c>
      <c r="C2426" s="136" t="s">
        <v>944</v>
      </c>
      <c r="D2426" s="136" t="s">
        <v>1626</v>
      </c>
      <c r="E2426" s="136" t="s">
        <v>594</v>
      </c>
      <c r="F2426" s="136">
        <v>40</v>
      </c>
      <c r="G2426" s="137">
        <f t="shared" si="9"/>
        <v>8</v>
      </c>
      <c r="H2426" s="137"/>
      <c r="I2426" s="137"/>
      <c r="J2426" s="135"/>
      <c r="K2426" s="135"/>
      <c r="L2426" s="135"/>
      <c r="M2426" s="135"/>
      <c r="N2426" s="135"/>
      <c r="O2426" s="135"/>
      <c r="P2426" s="135"/>
      <c r="Q2426" s="135"/>
      <c r="R2426" s="135"/>
      <c r="S2426" s="135"/>
      <c r="T2426" s="135"/>
      <c r="U2426" s="135"/>
      <c r="V2426" s="135"/>
      <c r="W2426" s="135"/>
      <c r="X2426" s="135"/>
      <c r="Y2426" s="135"/>
      <c r="Z2426" s="135"/>
    </row>
    <row r="2427" spans="1:26" ht="12.75">
      <c r="A2427" s="136" t="s">
        <v>15</v>
      </c>
      <c r="B2427" s="136" t="s">
        <v>7727</v>
      </c>
      <c r="C2427" s="136" t="s">
        <v>944</v>
      </c>
      <c r="D2427" s="136" t="s">
        <v>1665</v>
      </c>
      <c r="E2427" s="136" t="s">
        <v>615</v>
      </c>
      <c r="F2427" s="136">
        <v>38</v>
      </c>
      <c r="G2427" s="137">
        <f t="shared" si="9"/>
        <v>9</v>
      </c>
      <c r="H2427" s="137"/>
      <c r="I2427" s="137"/>
      <c r="J2427" s="135"/>
      <c r="K2427" s="135"/>
      <c r="L2427" s="135"/>
      <c r="M2427" s="135"/>
      <c r="N2427" s="135"/>
      <c r="O2427" s="135"/>
      <c r="P2427" s="135"/>
      <c r="Q2427" s="135"/>
      <c r="R2427" s="135"/>
      <c r="S2427" s="135"/>
      <c r="T2427" s="135"/>
      <c r="U2427" s="135"/>
      <c r="V2427" s="135"/>
      <c r="W2427" s="135"/>
      <c r="X2427" s="135"/>
      <c r="Y2427" s="135"/>
      <c r="Z2427" s="135"/>
    </row>
    <row r="2428" spans="1:26" ht="25.5">
      <c r="A2428" s="136" t="s">
        <v>15</v>
      </c>
      <c r="B2428" s="136" t="s">
        <v>7727</v>
      </c>
      <c r="C2428" s="136" t="s">
        <v>944</v>
      </c>
      <c r="D2428" s="136" t="s">
        <v>1680</v>
      </c>
      <c r="E2428" s="136" t="s">
        <v>615</v>
      </c>
      <c r="F2428" s="136">
        <v>20</v>
      </c>
      <c r="G2428" s="137">
        <f t="shared" si="9"/>
        <v>10</v>
      </c>
      <c r="H2428" s="137"/>
      <c r="I2428" s="137"/>
      <c r="J2428" s="135"/>
      <c r="K2428" s="135"/>
      <c r="L2428" s="135"/>
      <c r="M2428" s="135"/>
      <c r="N2428" s="135"/>
      <c r="O2428" s="135"/>
      <c r="P2428" s="135"/>
      <c r="Q2428" s="135"/>
      <c r="R2428" s="135"/>
      <c r="S2428" s="135"/>
      <c r="T2428" s="135"/>
      <c r="U2428" s="135"/>
      <c r="V2428" s="135"/>
      <c r="W2428" s="135"/>
      <c r="X2428" s="135"/>
      <c r="Y2428" s="135"/>
      <c r="Z2428" s="135"/>
    </row>
    <row r="2429" spans="1:26" ht="12.75">
      <c r="A2429" s="136" t="s">
        <v>15</v>
      </c>
      <c r="B2429" s="136" t="s">
        <v>7727</v>
      </c>
      <c r="C2429" s="136" t="s">
        <v>944</v>
      </c>
      <c r="D2429" s="136" t="s">
        <v>165</v>
      </c>
      <c r="E2429" s="136" t="s">
        <v>615</v>
      </c>
      <c r="F2429" s="136">
        <v>12</v>
      </c>
      <c r="G2429" s="137">
        <f t="shared" si="9"/>
        <v>11</v>
      </c>
      <c r="H2429" s="137"/>
      <c r="I2429" s="137"/>
      <c r="J2429" s="135"/>
      <c r="K2429" s="135"/>
      <c r="L2429" s="135"/>
      <c r="M2429" s="135"/>
      <c r="N2429" s="135"/>
      <c r="O2429" s="135"/>
      <c r="P2429" s="135"/>
      <c r="Q2429" s="135"/>
      <c r="R2429" s="135"/>
      <c r="S2429" s="135"/>
      <c r="T2429" s="135"/>
      <c r="U2429" s="135"/>
      <c r="V2429" s="135"/>
      <c r="W2429" s="135"/>
      <c r="X2429" s="135"/>
      <c r="Y2429" s="135"/>
      <c r="Z2429" s="135"/>
    </row>
    <row r="2430" spans="1:26" ht="12.75">
      <c r="A2430" s="136" t="s">
        <v>15</v>
      </c>
      <c r="B2430" s="136" t="s">
        <v>7727</v>
      </c>
      <c r="C2430" s="136" t="s">
        <v>944</v>
      </c>
      <c r="D2430" s="136" t="s">
        <v>7695</v>
      </c>
      <c r="E2430" s="136" t="s">
        <v>615</v>
      </c>
      <c r="F2430" s="136">
        <v>10</v>
      </c>
      <c r="G2430" s="137">
        <f t="shared" si="9"/>
        <v>12</v>
      </c>
      <c r="H2430" s="137"/>
      <c r="I2430" s="137"/>
      <c r="J2430" s="135"/>
      <c r="K2430" s="135"/>
      <c r="L2430" s="135"/>
      <c r="M2430" s="135"/>
      <c r="N2430" s="135"/>
      <c r="O2430" s="135"/>
      <c r="P2430" s="135"/>
      <c r="Q2430" s="135"/>
      <c r="R2430" s="135"/>
      <c r="S2430" s="135"/>
      <c r="T2430" s="135"/>
      <c r="U2430" s="135"/>
      <c r="V2430" s="135"/>
      <c r="W2430" s="135"/>
      <c r="X2430" s="135"/>
      <c r="Y2430" s="135"/>
      <c r="Z2430" s="135"/>
    </row>
    <row r="2431" spans="1:26" ht="12.75">
      <c r="A2431" s="136" t="s">
        <v>15</v>
      </c>
      <c r="B2431" s="136" t="s">
        <v>7727</v>
      </c>
      <c r="C2431" s="136" t="s">
        <v>944</v>
      </c>
      <c r="D2431" s="136"/>
      <c r="E2431" s="136" t="s">
        <v>7693</v>
      </c>
      <c r="F2431" s="136">
        <v>2066</v>
      </c>
      <c r="G2431" s="137">
        <f t="shared" si="9"/>
        <v>1</v>
      </c>
      <c r="H2431" s="137"/>
      <c r="I2431" s="137"/>
      <c r="J2431" s="135"/>
      <c r="K2431" s="135"/>
      <c r="L2431" s="135"/>
      <c r="M2431" s="135"/>
      <c r="N2431" s="135"/>
      <c r="O2431" s="135"/>
      <c r="P2431" s="135"/>
      <c r="Q2431" s="135"/>
      <c r="R2431" s="135"/>
      <c r="S2431" s="135"/>
      <c r="T2431" s="135"/>
      <c r="U2431" s="135"/>
      <c r="V2431" s="135"/>
      <c r="W2431" s="135"/>
      <c r="X2431" s="135"/>
      <c r="Y2431" s="135"/>
      <c r="Z2431" s="135"/>
    </row>
    <row r="2432" spans="1:26" ht="12.75">
      <c r="A2432" s="136" t="s">
        <v>15</v>
      </c>
      <c r="B2432" s="136" t="s">
        <v>7727</v>
      </c>
      <c r="C2432" s="136" t="s">
        <v>7748</v>
      </c>
      <c r="D2432" s="136" t="s">
        <v>139</v>
      </c>
      <c r="E2432" s="136" t="s">
        <v>594</v>
      </c>
      <c r="F2432" s="136">
        <v>3813</v>
      </c>
      <c r="G2432" s="137">
        <f t="shared" si="9"/>
        <v>2</v>
      </c>
      <c r="H2432" s="137"/>
      <c r="I2432" s="137"/>
      <c r="J2432" s="135"/>
      <c r="K2432" s="135"/>
      <c r="L2432" s="135"/>
      <c r="M2432" s="135"/>
      <c r="N2432" s="135"/>
      <c r="O2432" s="135"/>
      <c r="P2432" s="135"/>
      <c r="Q2432" s="135"/>
      <c r="R2432" s="135"/>
      <c r="S2432" s="135"/>
      <c r="T2432" s="135"/>
      <c r="U2432" s="135"/>
      <c r="V2432" s="135"/>
      <c r="W2432" s="135"/>
      <c r="X2432" s="135"/>
      <c r="Y2432" s="135"/>
      <c r="Z2432" s="135"/>
    </row>
    <row r="2433" spans="1:26" ht="12.75">
      <c r="A2433" s="136" t="s">
        <v>15</v>
      </c>
      <c r="B2433" s="136" t="s">
        <v>7727</v>
      </c>
      <c r="C2433" s="136" t="s">
        <v>7748</v>
      </c>
      <c r="D2433" s="136" t="s">
        <v>165</v>
      </c>
      <c r="E2433" s="136" t="s">
        <v>615</v>
      </c>
      <c r="F2433" s="136">
        <v>429</v>
      </c>
      <c r="G2433" s="137">
        <f t="shared" si="9"/>
        <v>3</v>
      </c>
      <c r="H2433" s="137"/>
      <c r="I2433" s="137"/>
      <c r="J2433" s="135"/>
      <c r="K2433" s="135"/>
      <c r="L2433" s="135"/>
      <c r="M2433" s="135"/>
      <c r="N2433" s="135"/>
      <c r="O2433" s="135"/>
      <c r="P2433" s="135"/>
      <c r="Q2433" s="135"/>
      <c r="R2433" s="135"/>
      <c r="S2433" s="135"/>
      <c r="T2433" s="135"/>
      <c r="U2433" s="135"/>
      <c r="V2433" s="135"/>
      <c r="W2433" s="135"/>
      <c r="X2433" s="135"/>
      <c r="Y2433" s="135"/>
      <c r="Z2433" s="135"/>
    </row>
    <row r="2434" spans="1:26" ht="12.75">
      <c r="A2434" s="136" t="s">
        <v>15</v>
      </c>
      <c r="B2434" s="136" t="s">
        <v>7727</v>
      </c>
      <c r="C2434" s="136" t="s">
        <v>7748</v>
      </c>
      <c r="D2434" s="136" t="s">
        <v>467</v>
      </c>
      <c r="E2434" s="136" t="s">
        <v>85</v>
      </c>
      <c r="F2434" s="136">
        <v>422</v>
      </c>
      <c r="G2434" s="137">
        <f t="shared" si="9"/>
        <v>4</v>
      </c>
      <c r="H2434" s="137"/>
      <c r="I2434" s="137"/>
      <c r="J2434" s="135"/>
      <c r="K2434" s="135"/>
      <c r="L2434" s="135"/>
      <c r="M2434" s="135"/>
      <c r="N2434" s="135"/>
      <c r="O2434" s="135"/>
      <c r="P2434" s="135"/>
      <c r="Q2434" s="135"/>
      <c r="R2434" s="135"/>
      <c r="S2434" s="135"/>
      <c r="T2434" s="135"/>
      <c r="U2434" s="135"/>
      <c r="V2434" s="135"/>
      <c r="W2434" s="135"/>
      <c r="X2434" s="135"/>
      <c r="Y2434" s="135"/>
      <c r="Z2434" s="135"/>
    </row>
    <row r="2435" spans="1:26" ht="12.75">
      <c r="A2435" s="136" t="s">
        <v>15</v>
      </c>
      <c r="B2435" s="136" t="s">
        <v>7727</v>
      </c>
      <c r="C2435" s="136" t="s">
        <v>7748</v>
      </c>
      <c r="D2435" s="136" t="s">
        <v>7749</v>
      </c>
      <c r="E2435" s="136" t="s">
        <v>615</v>
      </c>
      <c r="F2435" s="136">
        <v>402</v>
      </c>
      <c r="G2435" s="137">
        <f t="shared" si="9"/>
        <v>5</v>
      </c>
      <c r="H2435" s="137"/>
      <c r="I2435" s="137"/>
      <c r="J2435" s="135"/>
      <c r="K2435" s="135"/>
      <c r="L2435" s="135"/>
      <c r="M2435" s="135"/>
      <c r="N2435" s="135"/>
      <c r="O2435" s="135"/>
      <c r="P2435" s="135"/>
      <c r="Q2435" s="135"/>
      <c r="R2435" s="135"/>
      <c r="S2435" s="135"/>
      <c r="T2435" s="135"/>
      <c r="U2435" s="135"/>
      <c r="V2435" s="135"/>
      <c r="W2435" s="135"/>
      <c r="X2435" s="135"/>
      <c r="Y2435" s="135"/>
      <c r="Z2435" s="135"/>
    </row>
    <row r="2436" spans="1:26" ht="12.75">
      <c r="A2436" s="136" t="s">
        <v>15</v>
      </c>
      <c r="B2436" s="136" t="s">
        <v>7727</v>
      </c>
      <c r="C2436" s="136" t="s">
        <v>7748</v>
      </c>
      <c r="D2436" s="136" t="s">
        <v>1669</v>
      </c>
      <c r="E2436" s="136" t="s">
        <v>615</v>
      </c>
      <c r="F2436" s="136">
        <v>300</v>
      </c>
      <c r="G2436" s="137">
        <f t="shared" si="9"/>
        <v>6</v>
      </c>
      <c r="H2436" s="137"/>
      <c r="I2436" s="137"/>
      <c r="J2436" s="135"/>
      <c r="K2436" s="135"/>
      <c r="L2436" s="135"/>
      <c r="M2436" s="135"/>
      <c r="N2436" s="135"/>
      <c r="O2436" s="135"/>
      <c r="P2436" s="135"/>
      <c r="Q2436" s="135"/>
      <c r="R2436" s="135"/>
      <c r="S2436" s="135"/>
      <c r="T2436" s="135"/>
      <c r="U2436" s="135"/>
      <c r="V2436" s="135"/>
      <c r="W2436" s="135"/>
      <c r="X2436" s="135"/>
      <c r="Y2436" s="135"/>
      <c r="Z2436" s="135"/>
    </row>
    <row r="2437" spans="1:26" ht="12.75">
      <c r="A2437" s="136" t="s">
        <v>15</v>
      </c>
      <c r="B2437" s="136" t="s">
        <v>7727</v>
      </c>
      <c r="C2437" s="136" t="s">
        <v>7748</v>
      </c>
      <c r="D2437" s="136" t="s">
        <v>114</v>
      </c>
      <c r="E2437" s="136" t="s">
        <v>85</v>
      </c>
      <c r="F2437" s="136">
        <v>244</v>
      </c>
      <c r="G2437" s="137">
        <f t="shared" si="9"/>
        <v>7</v>
      </c>
      <c r="H2437" s="137"/>
      <c r="I2437" s="137"/>
      <c r="J2437" s="135"/>
      <c r="K2437" s="135"/>
      <c r="L2437" s="135"/>
      <c r="M2437" s="135"/>
      <c r="N2437" s="135"/>
      <c r="O2437" s="135"/>
      <c r="P2437" s="135"/>
      <c r="Q2437" s="135"/>
      <c r="R2437" s="135"/>
      <c r="S2437" s="135"/>
      <c r="T2437" s="135"/>
      <c r="U2437" s="135"/>
      <c r="V2437" s="135"/>
      <c r="W2437" s="135"/>
      <c r="X2437" s="135"/>
      <c r="Y2437" s="135"/>
      <c r="Z2437" s="135"/>
    </row>
    <row r="2438" spans="1:26" ht="12.75">
      <c r="A2438" s="136" t="s">
        <v>15</v>
      </c>
      <c r="B2438" s="136" t="s">
        <v>7727</v>
      </c>
      <c r="C2438" s="136" t="s">
        <v>7748</v>
      </c>
      <c r="D2438" s="136" t="s">
        <v>7491</v>
      </c>
      <c r="E2438" s="136" t="s">
        <v>615</v>
      </c>
      <c r="F2438" s="136">
        <v>243</v>
      </c>
      <c r="G2438" s="137">
        <f t="shared" si="9"/>
        <v>8</v>
      </c>
      <c r="H2438" s="137"/>
      <c r="I2438" s="137"/>
      <c r="J2438" s="135"/>
      <c r="K2438" s="135"/>
      <c r="L2438" s="135"/>
      <c r="M2438" s="135"/>
      <c r="N2438" s="135"/>
      <c r="O2438" s="135"/>
      <c r="P2438" s="135"/>
      <c r="Q2438" s="135"/>
      <c r="R2438" s="135"/>
      <c r="S2438" s="135"/>
      <c r="T2438" s="135"/>
      <c r="U2438" s="135"/>
      <c r="V2438" s="135"/>
      <c r="W2438" s="135"/>
      <c r="X2438" s="135"/>
      <c r="Y2438" s="135"/>
      <c r="Z2438" s="135"/>
    </row>
    <row r="2439" spans="1:26" ht="12.75">
      <c r="A2439" s="136" t="s">
        <v>15</v>
      </c>
      <c r="B2439" s="136" t="s">
        <v>7727</v>
      </c>
      <c r="C2439" s="136" t="s">
        <v>7748</v>
      </c>
      <c r="D2439" s="136" t="s">
        <v>103</v>
      </c>
      <c r="E2439" s="136" t="s">
        <v>594</v>
      </c>
      <c r="F2439" s="136">
        <v>107</v>
      </c>
      <c r="G2439" s="137">
        <f t="shared" si="9"/>
        <v>9</v>
      </c>
      <c r="H2439" s="137"/>
      <c r="I2439" s="137"/>
      <c r="J2439" s="135"/>
      <c r="K2439" s="135"/>
      <c r="L2439" s="135"/>
      <c r="M2439" s="135"/>
      <c r="N2439" s="135"/>
      <c r="O2439" s="135"/>
      <c r="P2439" s="135"/>
      <c r="Q2439" s="135"/>
      <c r="R2439" s="135"/>
      <c r="S2439" s="135"/>
      <c r="T2439" s="135"/>
      <c r="U2439" s="135"/>
      <c r="V2439" s="135"/>
      <c r="W2439" s="135"/>
      <c r="X2439" s="135"/>
      <c r="Y2439" s="135"/>
      <c r="Z2439" s="135"/>
    </row>
    <row r="2440" spans="1:26" ht="12.75">
      <c r="A2440" s="136" t="s">
        <v>15</v>
      </c>
      <c r="B2440" s="136" t="s">
        <v>7727</v>
      </c>
      <c r="C2440" s="136" t="s">
        <v>7748</v>
      </c>
      <c r="D2440" s="136" t="s">
        <v>1665</v>
      </c>
      <c r="E2440" s="136" t="s">
        <v>615</v>
      </c>
      <c r="F2440" s="136">
        <v>102</v>
      </c>
      <c r="G2440" s="137">
        <f t="shared" si="9"/>
        <v>10</v>
      </c>
      <c r="H2440" s="137"/>
      <c r="I2440" s="137"/>
      <c r="J2440" s="135"/>
      <c r="K2440" s="135"/>
      <c r="L2440" s="135"/>
      <c r="M2440" s="135"/>
      <c r="N2440" s="135"/>
      <c r="O2440" s="135"/>
      <c r="P2440" s="135"/>
      <c r="Q2440" s="135"/>
      <c r="R2440" s="135"/>
      <c r="S2440" s="135"/>
      <c r="T2440" s="135"/>
      <c r="U2440" s="135"/>
      <c r="V2440" s="135"/>
      <c r="W2440" s="135"/>
      <c r="X2440" s="135"/>
      <c r="Y2440" s="135"/>
      <c r="Z2440" s="135"/>
    </row>
    <row r="2441" spans="1:26" ht="12.75">
      <c r="A2441" s="136" t="s">
        <v>15</v>
      </c>
      <c r="B2441" s="136" t="s">
        <v>7727</v>
      </c>
      <c r="C2441" s="136" t="s">
        <v>7748</v>
      </c>
      <c r="D2441" s="136" t="s">
        <v>136</v>
      </c>
      <c r="E2441" s="136" t="s">
        <v>615</v>
      </c>
      <c r="F2441" s="136">
        <v>80</v>
      </c>
      <c r="G2441" s="137">
        <f t="shared" si="9"/>
        <v>11</v>
      </c>
      <c r="H2441" s="137"/>
      <c r="I2441" s="137"/>
      <c r="J2441" s="135"/>
      <c r="K2441" s="135"/>
      <c r="L2441" s="135"/>
      <c r="M2441" s="135"/>
      <c r="N2441" s="135"/>
      <c r="O2441" s="135"/>
      <c r="P2441" s="135"/>
      <c r="Q2441" s="135"/>
      <c r="R2441" s="135"/>
      <c r="S2441" s="135"/>
      <c r="T2441" s="135"/>
      <c r="U2441" s="135"/>
      <c r="V2441" s="135"/>
      <c r="W2441" s="135"/>
      <c r="X2441" s="135"/>
      <c r="Y2441" s="135"/>
      <c r="Z2441" s="135"/>
    </row>
    <row r="2442" spans="1:26" ht="12.75">
      <c r="A2442" s="136" t="s">
        <v>15</v>
      </c>
      <c r="B2442" s="136" t="s">
        <v>7727</v>
      </c>
      <c r="C2442" s="136" t="s">
        <v>7748</v>
      </c>
      <c r="D2442" s="136" t="s">
        <v>213</v>
      </c>
      <c r="E2442" s="136" t="s">
        <v>615</v>
      </c>
      <c r="F2442" s="136">
        <v>76</v>
      </c>
      <c r="G2442" s="137">
        <f t="shared" si="9"/>
        <v>12</v>
      </c>
      <c r="H2442" s="137"/>
      <c r="I2442" s="137"/>
      <c r="J2442" s="135"/>
      <c r="K2442" s="135"/>
      <c r="L2442" s="135"/>
      <c r="M2442" s="135"/>
      <c r="N2442" s="135"/>
      <c r="O2442" s="135"/>
      <c r="P2442" s="135"/>
      <c r="Q2442" s="135"/>
      <c r="R2442" s="135"/>
      <c r="S2442" s="135"/>
      <c r="T2442" s="135"/>
      <c r="U2442" s="135"/>
      <c r="V2442" s="135"/>
      <c r="W2442" s="135"/>
      <c r="X2442" s="135"/>
      <c r="Y2442" s="135"/>
      <c r="Z2442" s="135"/>
    </row>
    <row r="2443" spans="1:26" ht="12.75">
      <c r="A2443" s="136" t="s">
        <v>15</v>
      </c>
      <c r="B2443" s="136" t="s">
        <v>7727</v>
      </c>
      <c r="C2443" s="136" t="s">
        <v>7748</v>
      </c>
      <c r="D2443" s="136" t="s">
        <v>131</v>
      </c>
      <c r="E2443" s="136" t="s">
        <v>594</v>
      </c>
      <c r="F2443" s="136">
        <v>20</v>
      </c>
      <c r="G2443" s="137">
        <f t="shared" si="9"/>
        <v>13</v>
      </c>
      <c r="H2443" s="137"/>
      <c r="I2443" s="137"/>
      <c r="J2443" s="135"/>
      <c r="K2443" s="135"/>
      <c r="L2443" s="135"/>
      <c r="M2443" s="135"/>
      <c r="N2443" s="135"/>
      <c r="O2443" s="135"/>
      <c r="P2443" s="135"/>
      <c r="Q2443" s="135"/>
      <c r="R2443" s="135"/>
      <c r="S2443" s="135"/>
      <c r="T2443" s="135"/>
      <c r="U2443" s="135"/>
      <c r="V2443" s="135"/>
      <c r="W2443" s="135"/>
      <c r="X2443" s="135"/>
      <c r="Y2443" s="135"/>
      <c r="Z2443" s="135"/>
    </row>
    <row r="2444" spans="1:26" ht="12.75">
      <c r="A2444" s="136" t="s">
        <v>15</v>
      </c>
      <c r="B2444" s="136" t="s">
        <v>7727</v>
      </c>
      <c r="C2444" s="136" t="s">
        <v>7748</v>
      </c>
      <c r="D2444" s="136"/>
      <c r="E2444" s="136" t="s">
        <v>7693</v>
      </c>
      <c r="F2444" s="136">
        <v>6238</v>
      </c>
      <c r="G2444" s="137">
        <f t="shared" si="9"/>
        <v>1</v>
      </c>
      <c r="H2444" s="137"/>
      <c r="I2444" s="137"/>
      <c r="J2444" s="135"/>
      <c r="K2444" s="135"/>
      <c r="L2444" s="135"/>
      <c r="M2444" s="135"/>
      <c r="N2444" s="135"/>
      <c r="O2444" s="135"/>
      <c r="P2444" s="135"/>
      <c r="Q2444" s="135"/>
      <c r="R2444" s="135"/>
      <c r="S2444" s="135"/>
      <c r="T2444" s="135"/>
      <c r="U2444" s="135"/>
      <c r="V2444" s="135"/>
      <c r="W2444" s="135"/>
      <c r="X2444" s="135"/>
      <c r="Y2444" s="135"/>
      <c r="Z2444" s="135"/>
    </row>
    <row r="2445" spans="1:26" ht="12.75">
      <c r="A2445" s="136" t="s">
        <v>15</v>
      </c>
      <c r="B2445" s="136" t="s">
        <v>7727</v>
      </c>
      <c r="C2445" s="136" t="s">
        <v>948</v>
      </c>
      <c r="D2445" s="136" t="s">
        <v>139</v>
      </c>
      <c r="E2445" s="136" t="s">
        <v>594</v>
      </c>
      <c r="F2445" s="136">
        <v>2358</v>
      </c>
      <c r="G2445" s="137">
        <f t="shared" si="9"/>
        <v>2</v>
      </c>
      <c r="H2445" s="137"/>
      <c r="I2445" s="137"/>
      <c r="J2445" s="135"/>
      <c r="K2445" s="135"/>
      <c r="L2445" s="135"/>
      <c r="M2445" s="135"/>
      <c r="N2445" s="135"/>
      <c r="O2445" s="135"/>
      <c r="P2445" s="135"/>
      <c r="Q2445" s="135"/>
      <c r="R2445" s="135"/>
      <c r="S2445" s="135"/>
      <c r="T2445" s="135"/>
      <c r="U2445" s="135"/>
      <c r="V2445" s="135"/>
      <c r="W2445" s="135"/>
      <c r="X2445" s="135"/>
      <c r="Y2445" s="135"/>
      <c r="Z2445" s="135"/>
    </row>
    <row r="2446" spans="1:26" ht="12.75">
      <c r="A2446" s="136" t="s">
        <v>15</v>
      </c>
      <c r="B2446" s="136" t="s">
        <v>7727</v>
      </c>
      <c r="C2446" s="136" t="s">
        <v>948</v>
      </c>
      <c r="D2446" s="136" t="s">
        <v>114</v>
      </c>
      <c r="E2446" s="136" t="s">
        <v>85</v>
      </c>
      <c r="F2446" s="136">
        <v>1260</v>
      </c>
      <c r="G2446" s="137">
        <f t="shared" si="9"/>
        <v>3</v>
      </c>
      <c r="H2446" s="137"/>
      <c r="I2446" s="137"/>
      <c r="J2446" s="135"/>
      <c r="K2446" s="135"/>
      <c r="L2446" s="135"/>
      <c r="M2446" s="135"/>
      <c r="N2446" s="135"/>
      <c r="O2446" s="135"/>
      <c r="P2446" s="135"/>
      <c r="Q2446" s="135"/>
      <c r="R2446" s="135"/>
      <c r="S2446" s="135"/>
      <c r="T2446" s="135"/>
      <c r="U2446" s="135"/>
      <c r="V2446" s="135"/>
      <c r="W2446" s="135"/>
      <c r="X2446" s="135"/>
      <c r="Y2446" s="135"/>
      <c r="Z2446" s="135"/>
    </row>
    <row r="2447" spans="1:26" ht="12.75">
      <c r="A2447" s="136" t="s">
        <v>15</v>
      </c>
      <c r="B2447" s="136" t="s">
        <v>7727</v>
      </c>
      <c r="C2447" s="136" t="s">
        <v>948</v>
      </c>
      <c r="D2447" s="136" t="s">
        <v>1669</v>
      </c>
      <c r="E2447" s="136" t="s">
        <v>615</v>
      </c>
      <c r="F2447" s="136">
        <v>299</v>
      </c>
      <c r="G2447" s="137">
        <f t="shared" si="9"/>
        <v>4</v>
      </c>
      <c r="H2447" s="137"/>
      <c r="I2447" s="137"/>
      <c r="J2447" s="135"/>
      <c r="K2447" s="135"/>
      <c r="L2447" s="135"/>
      <c r="M2447" s="135"/>
      <c r="N2447" s="135"/>
      <c r="O2447" s="135"/>
      <c r="P2447" s="135"/>
      <c r="Q2447" s="135"/>
      <c r="R2447" s="135"/>
      <c r="S2447" s="135"/>
      <c r="T2447" s="135"/>
      <c r="U2447" s="135"/>
      <c r="V2447" s="135"/>
      <c r="W2447" s="135"/>
      <c r="X2447" s="135"/>
      <c r="Y2447" s="135"/>
      <c r="Z2447" s="135"/>
    </row>
    <row r="2448" spans="1:26" ht="12.75">
      <c r="A2448" s="136" t="s">
        <v>15</v>
      </c>
      <c r="B2448" s="136" t="s">
        <v>7727</v>
      </c>
      <c r="C2448" s="136" t="s">
        <v>948</v>
      </c>
      <c r="D2448" s="136" t="s">
        <v>7491</v>
      </c>
      <c r="E2448" s="136" t="s">
        <v>615</v>
      </c>
      <c r="F2448" s="136">
        <v>226</v>
      </c>
      <c r="G2448" s="137">
        <f t="shared" si="9"/>
        <v>5</v>
      </c>
      <c r="H2448" s="137"/>
      <c r="I2448" s="137"/>
      <c r="J2448" s="135"/>
      <c r="K2448" s="135"/>
      <c r="L2448" s="135"/>
      <c r="M2448" s="135"/>
      <c r="N2448" s="135"/>
      <c r="O2448" s="135"/>
      <c r="P2448" s="135"/>
      <c r="Q2448" s="135"/>
      <c r="R2448" s="135"/>
      <c r="S2448" s="135"/>
      <c r="T2448" s="135"/>
      <c r="U2448" s="135"/>
      <c r="V2448" s="135"/>
      <c r="W2448" s="135"/>
      <c r="X2448" s="135"/>
      <c r="Y2448" s="135"/>
      <c r="Z2448" s="135"/>
    </row>
    <row r="2449" spans="1:26" ht="12.75">
      <c r="A2449" s="136" t="s">
        <v>15</v>
      </c>
      <c r="B2449" s="136" t="s">
        <v>7727</v>
      </c>
      <c r="C2449" s="136" t="s">
        <v>948</v>
      </c>
      <c r="D2449" s="136" t="s">
        <v>213</v>
      </c>
      <c r="E2449" s="136" t="s">
        <v>615</v>
      </c>
      <c r="F2449" s="136">
        <v>221</v>
      </c>
      <c r="G2449" s="137">
        <f t="shared" si="9"/>
        <v>6</v>
      </c>
      <c r="H2449" s="137"/>
      <c r="I2449" s="137"/>
      <c r="J2449" s="135"/>
      <c r="K2449" s="135"/>
      <c r="L2449" s="135"/>
      <c r="M2449" s="135"/>
      <c r="N2449" s="135"/>
      <c r="O2449" s="135"/>
      <c r="P2449" s="135"/>
      <c r="Q2449" s="135"/>
      <c r="R2449" s="135"/>
      <c r="S2449" s="135"/>
      <c r="T2449" s="135"/>
      <c r="U2449" s="135"/>
      <c r="V2449" s="135"/>
      <c r="W2449" s="135"/>
      <c r="X2449" s="135"/>
      <c r="Y2449" s="135"/>
      <c r="Z2449" s="135"/>
    </row>
    <row r="2450" spans="1:26" ht="12.75">
      <c r="A2450" s="136" t="s">
        <v>15</v>
      </c>
      <c r="B2450" s="136" t="s">
        <v>7727</v>
      </c>
      <c r="C2450" s="136" t="s">
        <v>948</v>
      </c>
      <c r="D2450" s="136" t="s">
        <v>1665</v>
      </c>
      <c r="E2450" s="136" t="s">
        <v>615</v>
      </c>
      <c r="F2450" s="136">
        <v>131</v>
      </c>
      <c r="G2450" s="137">
        <f t="shared" si="9"/>
        <v>7</v>
      </c>
      <c r="H2450" s="137"/>
      <c r="I2450" s="137"/>
      <c r="J2450" s="135"/>
      <c r="K2450" s="135"/>
      <c r="L2450" s="135"/>
      <c r="M2450" s="135"/>
      <c r="N2450" s="135"/>
      <c r="O2450" s="135"/>
      <c r="P2450" s="135"/>
      <c r="Q2450" s="135"/>
      <c r="R2450" s="135"/>
      <c r="S2450" s="135"/>
      <c r="T2450" s="135"/>
      <c r="U2450" s="135"/>
      <c r="V2450" s="135"/>
      <c r="W2450" s="135"/>
      <c r="X2450" s="135"/>
      <c r="Y2450" s="135"/>
      <c r="Z2450" s="135"/>
    </row>
    <row r="2451" spans="1:26" ht="12.75">
      <c r="A2451" s="136" t="s">
        <v>15</v>
      </c>
      <c r="B2451" s="136" t="s">
        <v>7727</v>
      </c>
      <c r="C2451" s="136" t="s">
        <v>948</v>
      </c>
      <c r="D2451" s="136" t="s">
        <v>467</v>
      </c>
      <c r="E2451" s="136" t="s">
        <v>85</v>
      </c>
      <c r="F2451" s="136">
        <v>122</v>
      </c>
      <c r="G2451" s="137">
        <f t="shared" si="9"/>
        <v>8</v>
      </c>
      <c r="H2451" s="137"/>
      <c r="I2451" s="137"/>
      <c r="J2451" s="135"/>
      <c r="K2451" s="135"/>
      <c r="L2451" s="135"/>
      <c r="M2451" s="135"/>
      <c r="N2451" s="135"/>
      <c r="O2451" s="135"/>
      <c r="P2451" s="135"/>
      <c r="Q2451" s="135"/>
      <c r="R2451" s="135"/>
      <c r="S2451" s="135"/>
      <c r="T2451" s="135"/>
      <c r="U2451" s="135"/>
      <c r="V2451" s="135"/>
      <c r="W2451" s="135"/>
      <c r="X2451" s="135"/>
      <c r="Y2451" s="135"/>
      <c r="Z2451" s="135"/>
    </row>
    <row r="2452" spans="1:26" ht="12.75">
      <c r="A2452" s="136" t="s">
        <v>15</v>
      </c>
      <c r="B2452" s="136" t="s">
        <v>7727</v>
      </c>
      <c r="C2452" s="136" t="s">
        <v>948</v>
      </c>
      <c r="D2452" s="136" t="s">
        <v>98</v>
      </c>
      <c r="E2452" s="136" t="s">
        <v>615</v>
      </c>
      <c r="F2452" s="136">
        <v>56</v>
      </c>
      <c r="G2452" s="137">
        <f t="shared" si="9"/>
        <v>9</v>
      </c>
      <c r="H2452" s="137"/>
      <c r="I2452" s="137"/>
      <c r="J2452" s="135"/>
      <c r="K2452" s="135"/>
      <c r="L2452" s="135"/>
      <c r="M2452" s="135"/>
      <c r="N2452" s="135"/>
      <c r="O2452" s="135"/>
      <c r="P2452" s="135"/>
      <c r="Q2452" s="135"/>
      <c r="R2452" s="135"/>
      <c r="S2452" s="135"/>
      <c r="T2452" s="135"/>
      <c r="U2452" s="135"/>
      <c r="V2452" s="135"/>
      <c r="W2452" s="135"/>
      <c r="X2452" s="135"/>
      <c r="Y2452" s="135"/>
      <c r="Z2452" s="135"/>
    </row>
    <row r="2453" spans="1:26" ht="12.75">
      <c r="A2453" s="136" t="s">
        <v>15</v>
      </c>
      <c r="B2453" s="136" t="s">
        <v>7727</v>
      </c>
      <c r="C2453" s="136" t="s">
        <v>948</v>
      </c>
      <c r="D2453" s="136" t="s">
        <v>7695</v>
      </c>
      <c r="E2453" s="136" t="s">
        <v>615</v>
      </c>
      <c r="F2453" s="136">
        <v>46</v>
      </c>
      <c r="G2453" s="137">
        <f t="shared" si="9"/>
        <v>10</v>
      </c>
      <c r="H2453" s="137"/>
      <c r="I2453" s="137"/>
      <c r="J2453" s="135"/>
      <c r="K2453" s="135"/>
      <c r="L2453" s="135"/>
      <c r="M2453" s="135"/>
      <c r="N2453" s="135"/>
      <c r="O2453" s="135"/>
      <c r="P2453" s="135"/>
      <c r="Q2453" s="135"/>
      <c r="R2453" s="135"/>
      <c r="S2453" s="135"/>
      <c r="T2453" s="135"/>
      <c r="U2453" s="135"/>
      <c r="V2453" s="135"/>
      <c r="W2453" s="135"/>
      <c r="X2453" s="135"/>
      <c r="Y2453" s="135"/>
      <c r="Z2453" s="135"/>
    </row>
    <row r="2454" spans="1:26" ht="12.75">
      <c r="A2454" s="136" t="s">
        <v>15</v>
      </c>
      <c r="B2454" s="136" t="s">
        <v>7727</v>
      </c>
      <c r="C2454" s="136" t="s">
        <v>948</v>
      </c>
      <c r="D2454" s="136" t="s">
        <v>368</v>
      </c>
      <c r="E2454" s="136" t="s">
        <v>594</v>
      </c>
      <c r="F2454" s="136">
        <v>42</v>
      </c>
      <c r="G2454" s="137">
        <f t="shared" si="9"/>
        <v>11</v>
      </c>
      <c r="H2454" s="137"/>
      <c r="I2454" s="137"/>
      <c r="J2454" s="135"/>
      <c r="K2454" s="135"/>
      <c r="L2454" s="135"/>
      <c r="M2454" s="135"/>
      <c r="N2454" s="135"/>
      <c r="O2454" s="135"/>
      <c r="P2454" s="135"/>
      <c r="Q2454" s="135"/>
      <c r="R2454" s="135"/>
      <c r="S2454" s="135"/>
      <c r="T2454" s="135"/>
      <c r="U2454" s="135"/>
      <c r="V2454" s="135"/>
      <c r="W2454" s="135"/>
      <c r="X2454" s="135"/>
      <c r="Y2454" s="135"/>
      <c r="Z2454" s="135"/>
    </row>
    <row r="2455" spans="1:26" ht="25.5">
      <c r="A2455" s="136" t="s">
        <v>15</v>
      </c>
      <c r="B2455" s="136" t="s">
        <v>7727</v>
      </c>
      <c r="C2455" s="136" t="s">
        <v>948</v>
      </c>
      <c r="D2455" s="136" t="s">
        <v>1680</v>
      </c>
      <c r="E2455" s="136" t="s">
        <v>615</v>
      </c>
      <c r="F2455" s="136">
        <v>36</v>
      </c>
      <c r="G2455" s="137">
        <f t="shared" si="9"/>
        <v>12</v>
      </c>
      <c r="H2455" s="137"/>
      <c r="I2455" s="137"/>
      <c r="J2455" s="135"/>
      <c r="K2455" s="135"/>
      <c r="L2455" s="135"/>
      <c r="M2455" s="135"/>
      <c r="N2455" s="135"/>
      <c r="O2455" s="135"/>
      <c r="P2455" s="135"/>
      <c r="Q2455" s="135"/>
      <c r="R2455" s="135"/>
      <c r="S2455" s="135"/>
      <c r="T2455" s="135"/>
      <c r="U2455" s="135"/>
      <c r="V2455" s="135"/>
      <c r="W2455" s="135"/>
      <c r="X2455" s="135"/>
      <c r="Y2455" s="135"/>
      <c r="Z2455" s="135"/>
    </row>
    <row r="2456" spans="1:26" ht="12.75">
      <c r="A2456" s="136" t="s">
        <v>15</v>
      </c>
      <c r="B2456" s="136" t="s">
        <v>7727</v>
      </c>
      <c r="C2456" s="136" t="s">
        <v>948</v>
      </c>
      <c r="D2456" s="136"/>
      <c r="E2456" s="136" t="s">
        <v>7693</v>
      </c>
      <c r="F2456" s="136">
        <v>4797</v>
      </c>
      <c r="G2456" s="137">
        <f t="shared" si="9"/>
        <v>1</v>
      </c>
      <c r="H2456" s="137"/>
      <c r="I2456" s="137"/>
      <c r="J2456" s="135"/>
      <c r="K2456" s="135"/>
      <c r="L2456" s="135"/>
      <c r="M2456" s="135"/>
      <c r="N2456" s="135"/>
      <c r="O2456" s="135"/>
      <c r="P2456" s="135"/>
      <c r="Q2456" s="135"/>
      <c r="R2456" s="135"/>
      <c r="S2456" s="135"/>
      <c r="T2456" s="135"/>
      <c r="U2456" s="135"/>
      <c r="V2456" s="135"/>
      <c r="W2456" s="135"/>
      <c r="X2456" s="135"/>
      <c r="Y2456" s="135"/>
      <c r="Z2456" s="135"/>
    </row>
    <row r="2457" spans="1:26" ht="12.75">
      <c r="A2457" s="136" t="s">
        <v>15</v>
      </c>
      <c r="B2457" s="136" t="s">
        <v>7727</v>
      </c>
      <c r="C2457" s="136" t="s">
        <v>7750</v>
      </c>
      <c r="D2457" s="136" t="s">
        <v>139</v>
      </c>
      <c r="E2457" s="136" t="s">
        <v>594</v>
      </c>
      <c r="F2457" s="136">
        <v>2287</v>
      </c>
      <c r="G2457" s="137">
        <f t="shared" si="9"/>
        <v>2</v>
      </c>
      <c r="H2457" s="137"/>
      <c r="I2457" s="137"/>
      <c r="J2457" s="135"/>
      <c r="K2457" s="135"/>
      <c r="L2457" s="135"/>
      <c r="M2457" s="135"/>
      <c r="N2457" s="135"/>
      <c r="O2457" s="135"/>
      <c r="P2457" s="135"/>
      <c r="Q2457" s="135"/>
      <c r="R2457" s="135"/>
      <c r="S2457" s="135"/>
      <c r="T2457" s="135"/>
      <c r="U2457" s="135"/>
      <c r="V2457" s="135"/>
      <c r="W2457" s="135"/>
      <c r="X2457" s="135"/>
      <c r="Y2457" s="135"/>
      <c r="Z2457" s="135"/>
    </row>
    <row r="2458" spans="1:26" ht="12.75">
      <c r="A2458" s="136" t="s">
        <v>15</v>
      </c>
      <c r="B2458" s="136" t="s">
        <v>7727</v>
      </c>
      <c r="C2458" s="136" t="s">
        <v>7750</v>
      </c>
      <c r="D2458" s="136" t="s">
        <v>114</v>
      </c>
      <c r="E2458" s="136" t="s">
        <v>85</v>
      </c>
      <c r="F2458" s="136">
        <v>1374</v>
      </c>
      <c r="G2458" s="137">
        <f t="shared" si="9"/>
        <v>3</v>
      </c>
      <c r="H2458" s="137"/>
      <c r="I2458" s="137"/>
      <c r="J2458" s="135"/>
      <c r="K2458" s="135"/>
      <c r="L2458" s="135"/>
      <c r="M2458" s="135"/>
      <c r="N2458" s="135"/>
      <c r="O2458" s="135"/>
      <c r="P2458" s="135"/>
      <c r="Q2458" s="135"/>
      <c r="R2458" s="135"/>
      <c r="S2458" s="135"/>
      <c r="T2458" s="135"/>
      <c r="U2458" s="135"/>
      <c r="V2458" s="135"/>
      <c r="W2458" s="135"/>
      <c r="X2458" s="135"/>
      <c r="Y2458" s="135"/>
      <c r="Z2458" s="135"/>
    </row>
    <row r="2459" spans="1:26" ht="12.75">
      <c r="A2459" s="136" t="s">
        <v>15</v>
      </c>
      <c r="B2459" s="136" t="s">
        <v>7727</v>
      </c>
      <c r="C2459" s="136" t="s">
        <v>7750</v>
      </c>
      <c r="D2459" s="136" t="s">
        <v>467</v>
      </c>
      <c r="E2459" s="136" t="s">
        <v>85</v>
      </c>
      <c r="F2459" s="136">
        <v>532</v>
      </c>
      <c r="G2459" s="137">
        <f t="shared" si="9"/>
        <v>4</v>
      </c>
      <c r="H2459" s="137"/>
      <c r="I2459" s="137"/>
      <c r="J2459" s="135"/>
      <c r="K2459" s="135"/>
      <c r="L2459" s="135"/>
      <c r="M2459" s="135"/>
      <c r="N2459" s="135"/>
      <c r="O2459" s="135"/>
      <c r="P2459" s="135"/>
      <c r="Q2459" s="135"/>
      <c r="R2459" s="135"/>
      <c r="S2459" s="135"/>
      <c r="T2459" s="135"/>
      <c r="U2459" s="135"/>
      <c r="V2459" s="135"/>
      <c r="W2459" s="135"/>
      <c r="X2459" s="135"/>
      <c r="Y2459" s="135"/>
      <c r="Z2459" s="135"/>
    </row>
    <row r="2460" spans="1:26" ht="12.75">
      <c r="A2460" s="136" t="s">
        <v>15</v>
      </c>
      <c r="B2460" s="136" t="s">
        <v>7727</v>
      </c>
      <c r="C2460" s="136" t="s">
        <v>7750</v>
      </c>
      <c r="D2460" s="136" t="s">
        <v>1669</v>
      </c>
      <c r="E2460" s="136" t="s">
        <v>615</v>
      </c>
      <c r="F2460" s="136">
        <v>263</v>
      </c>
      <c r="G2460" s="137">
        <f t="shared" si="9"/>
        <v>5</v>
      </c>
      <c r="H2460" s="137"/>
      <c r="I2460" s="137"/>
      <c r="J2460" s="135"/>
      <c r="K2460" s="135"/>
      <c r="L2460" s="135"/>
      <c r="M2460" s="135"/>
      <c r="N2460" s="135"/>
      <c r="O2460" s="135"/>
      <c r="P2460" s="135"/>
      <c r="Q2460" s="135"/>
      <c r="R2460" s="135"/>
      <c r="S2460" s="135"/>
      <c r="T2460" s="135"/>
      <c r="U2460" s="135"/>
      <c r="V2460" s="135"/>
      <c r="W2460" s="135"/>
      <c r="X2460" s="135"/>
      <c r="Y2460" s="135"/>
      <c r="Z2460" s="135"/>
    </row>
    <row r="2461" spans="1:26" ht="12.75">
      <c r="A2461" s="136" t="s">
        <v>15</v>
      </c>
      <c r="B2461" s="136" t="s">
        <v>7727</v>
      </c>
      <c r="C2461" s="136" t="s">
        <v>7750</v>
      </c>
      <c r="D2461" s="136" t="s">
        <v>7491</v>
      </c>
      <c r="E2461" s="136" t="s">
        <v>615</v>
      </c>
      <c r="F2461" s="136">
        <v>160</v>
      </c>
      <c r="G2461" s="137">
        <f t="shared" si="9"/>
        <v>6</v>
      </c>
      <c r="H2461" s="137"/>
      <c r="I2461" s="137"/>
      <c r="J2461" s="135"/>
      <c r="K2461" s="135"/>
      <c r="L2461" s="135"/>
      <c r="M2461" s="135"/>
      <c r="N2461" s="135"/>
      <c r="O2461" s="135"/>
      <c r="P2461" s="135"/>
      <c r="Q2461" s="135"/>
      <c r="R2461" s="135"/>
      <c r="S2461" s="135"/>
      <c r="T2461" s="135"/>
      <c r="U2461" s="135"/>
      <c r="V2461" s="135"/>
      <c r="W2461" s="135"/>
      <c r="X2461" s="135"/>
      <c r="Y2461" s="135"/>
      <c r="Z2461" s="135"/>
    </row>
    <row r="2462" spans="1:26" ht="12.75">
      <c r="A2462" s="136" t="s">
        <v>15</v>
      </c>
      <c r="B2462" s="136" t="s">
        <v>7727</v>
      </c>
      <c r="C2462" s="136" t="s">
        <v>7750</v>
      </c>
      <c r="D2462" s="136" t="s">
        <v>1665</v>
      </c>
      <c r="E2462" s="136" t="s">
        <v>615</v>
      </c>
      <c r="F2462" s="136">
        <v>62</v>
      </c>
      <c r="G2462" s="137">
        <f t="shared" si="9"/>
        <v>7</v>
      </c>
      <c r="H2462" s="137"/>
      <c r="I2462" s="137"/>
      <c r="J2462" s="135"/>
      <c r="K2462" s="135"/>
      <c r="L2462" s="135"/>
      <c r="M2462" s="135"/>
      <c r="N2462" s="135"/>
      <c r="O2462" s="135"/>
      <c r="P2462" s="135"/>
      <c r="Q2462" s="135"/>
      <c r="R2462" s="135"/>
      <c r="S2462" s="135"/>
      <c r="T2462" s="135"/>
      <c r="U2462" s="135"/>
      <c r="V2462" s="135"/>
      <c r="W2462" s="135"/>
      <c r="X2462" s="135"/>
      <c r="Y2462" s="135"/>
      <c r="Z2462" s="135"/>
    </row>
    <row r="2463" spans="1:26" ht="12.75">
      <c r="A2463" s="136" t="s">
        <v>15</v>
      </c>
      <c r="B2463" s="136" t="s">
        <v>7727</v>
      </c>
      <c r="C2463" s="136" t="s">
        <v>7750</v>
      </c>
      <c r="D2463" s="136" t="s">
        <v>7695</v>
      </c>
      <c r="E2463" s="136" t="s">
        <v>615</v>
      </c>
      <c r="F2463" s="136">
        <v>40</v>
      </c>
      <c r="G2463" s="137">
        <f t="shared" si="9"/>
        <v>8</v>
      </c>
      <c r="H2463" s="137"/>
      <c r="I2463" s="137"/>
      <c r="J2463" s="135"/>
      <c r="K2463" s="135"/>
      <c r="L2463" s="135"/>
      <c r="M2463" s="135"/>
      <c r="N2463" s="135"/>
      <c r="O2463" s="135"/>
      <c r="P2463" s="135"/>
      <c r="Q2463" s="135"/>
      <c r="R2463" s="135"/>
      <c r="S2463" s="135"/>
      <c r="T2463" s="135"/>
      <c r="U2463" s="135"/>
      <c r="V2463" s="135"/>
      <c r="W2463" s="135"/>
      <c r="X2463" s="135"/>
      <c r="Y2463" s="135"/>
      <c r="Z2463" s="135"/>
    </row>
    <row r="2464" spans="1:26" ht="12.75">
      <c r="A2464" s="136" t="s">
        <v>15</v>
      </c>
      <c r="B2464" s="136" t="s">
        <v>7727</v>
      </c>
      <c r="C2464" s="136" t="s">
        <v>7750</v>
      </c>
      <c r="D2464" s="136" t="s">
        <v>213</v>
      </c>
      <c r="E2464" s="136" t="s">
        <v>615</v>
      </c>
      <c r="F2464" s="136">
        <v>28</v>
      </c>
      <c r="G2464" s="137">
        <f t="shared" si="9"/>
        <v>9</v>
      </c>
      <c r="H2464" s="137"/>
      <c r="I2464" s="137"/>
      <c r="J2464" s="135"/>
      <c r="K2464" s="135"/>
      <c r="L2464" s="135"/>
      <c r="M2464" s="135"/>
      <c r="N2464" s="135"/>
      <c r="O2464" s="135"/>
      <c r="P2464" s="135"/>
      <c r="Q2464" s="135"/>
      <c r="R2464" s="135"/>
      <c r="S2464" s="135"/>
      <c r="T2464" s="135"/>
      <c r="U2464" s="135"/>
      <c r="V2464" s="135"/>
      <c r="W2464" s="135"/>
      <c r="X2464" s="135"/>
      <c r="Y2464" s="135"/>
      <c r="Z2464" s="135"/>
    </row>
    <row r="2465" spans="1:26" ht="25.5">
      <c r="A2465" s="136" t="s">
        <v>15</v>
      </c>
      <c r="B2465" s="136" t="s">
        <v>7727</v>
      </c>
      <c r="C2465" s="136" t="s">
        <v>7750</v>
      </c>
      <c r="D2465" s="136" t="s">
        <v>1680</v>
      </c>
      <c r="E2465" s="136" t="s">
        <v>615</v>
      </c>
      <c r="F2465" s="136">
        <v>27</v>
      </c>
      <c r="G2465" s="137">
        <f t="shared" si="9"/>
        <v>10</v>
      </c>
      <c r="H2465" s="137"/>
      <c r="I2465" s="137"/>
      <c r="J2465" s="135"/>
      <c r="K2465" s="135"/>
      <c r="L2465" s="135"/>
      <c r="M2465" s="135"/>
      <c r="N2465" s="135"/>
      <c r="O2465" s="135"/>
      <c r="P2465" s="135"/>
      <c r="Q2465" s="135"/>
      <c r="R2465" s="135"/>
      <c r="S2465" s="135"/>
      <c r="T2465" s="135"/>
      <c r="U2465" s="135"/>
      <c r="V2465" s="135"/>
      <c r="W2465" s="135"/>
      <c r="X2465" s="135"/>
      <c r="Y2465" s="135"/>
      <c r="Z2465" s="135"/>
    </row>
    <row r="2466" spans="1:26" ht="12.75">
      <c r="A2466" s="136" t="s">
        <v>15</v>
      </c>
      <c r="B2466" s="136" t="s">
        <v>7727</v>
      </c>
      <c r="C2466" s="136" t="s">
        <v>7750</v>
      </c>
      <c r="D2466" s="136" t="s">
        <v>1665</v>
      </c>
      <c r="E2466" s="136" t="s">
        <v>615</v>
      </c>
      <c r="F2466" s="136">
        <v>23</v>
      </c>
      <c r="G2466" s="137">
        <f t="shared" si="9"/>
        <v>11</v>
      </c>
      <c r="H2466" s="137"/>
      <c r="I2466" s="137"/>
      <c r="J2466" s="135"/>
      <c r="K2466" s="135"/>
      <c r="L2466" s="135"/>
      <c r="M2466" s="135"/>
      <c r="N2466" s="135"/>
      <c r="O2466" s="135"/>
      <c r="P2466" s="135"/>
      <c r="Q2466" s="135"/>
      <c r="R2466" s="135"/>
      <c r="S2466" s="135"/>
      <c r="T2466" s="135"/>
      <c r="U2466" s="135"/>
      <c r="V2466" s="135"/>
      <c r="W2466" s="135"/>
      <c r="X2466" s="135"/>
      <c r="Y2466" s="135"/>
      <c r="Z2466" s="135"/>
    </row>
    <row r="2467" spans="1:26" ht="12.75">
      <c r="A2467" s="136" t="s">
        <v>15</v>
      </c>
      <c r="B2467" s="136" t="s">
        <v>7727</v>
      </c>
      <c r="C2467" s="136" t="s">
        <v>7750</v>
      </c>
      <c r="D2467" s="136" t="s">
        <v>368</v>
      </c>
      <c r="E2467" s="136" t="s">
        <v>594</v>
      </c>
      <c r="F2467" s="136">
        <v>10</v>
      </c>
      <c r="G2467" s="137">
        <f t="shared" si="9"/>
        <v>12</v>
      </c>
      <c r="H2467" s="137"/>
      <c r="I2467" s="137"/>
      <c r="J2467" s="135"/>
      <c r="K2467" s="135"/>
      <c r="L2467" s="135"/>
      <c r="M2467" s="135"/>
      <c r="N2467" s="135"/>
      <c r="O2467" s="135"/>
      <c r="P2467" s="135"/>
      <c r="Q2467" s="135"/>
      <c r="R2467" s="135"/>
      <c r="S2467" s="135"/>
      <c r="T2467" s="135"/>
      <c r="U2467" s="135"/>
      <c r="V2467" s="135"/>
      <c r="W2467" s="135"/>
      <c r="X2467" s="135"/>
      <c r="Y2467" s="135"/>
      <c r="Z2467" s="135"/>
    </row>
    <row r="2468" spans="1:26" ht="12.75">
      <c r="A2468" s="136" t="s">
        <v>15</v>
      </c>
      <c r="B2468" s="136" t="s">
        <v>7727</v>
      </c>
      <c r="C2468" s="136" t="s">
        <v>7750</v>
      </c>
      <c r="D2468" s="136"/>
      <c r="E2468" s="136" t="s">
        <v>7693</v>
      </c>
      <c r="F2468" s="136">
        <v>4806</v>
      </c>
      <c r="G2468" s="137">
        <f t="shared" si="9"/>
        <v>1</v>
      </c>
      <c r="H2468" s="137"/>
      <c r="I2468" s="137"/>
      <c r="J2468" s="135"/>
      <c r="K2468" s="135"/>
      <c r="L2468" s="135"/>
      <c r="M2468" s="135"/>
      <c r="N2468" s="135"/>
      <c r="O2468" s="135"/>
      <c r="P2468" s="135"/>
      <c r="Q2468" s="135"/>
      <c r="R2468" s="135"/>
      <c r="S2468" s="135"/>
      <c r="T2468" s="135"/>
      <c r="U2468" s="135"/>
      <c r="V2468" s="135"/>
      <c r="W2468" s="135"/>
      <c r="X2468" s="135"/>
      <c r="Y2468" s="135"/>
      <c r="Z2468" s="135"/>
    </row>
    <row r="2469" spans="1:26" ht="12.75">
      <c r="A2469" s="136" t="s">
        <v>15</v>
      </c>
      <c r="B2469" s="136" t="s">
        <v>7727</v>
      </c>
      <c r="C2469" s="136" t="s">
        <v>952</v>
      </c>
      <c r="D2469" s="136" t="s">
        <v>103</v>
      </c>
      <c r="E2469" s="136" t="s">
        <v>594</v>
      </c>
      <c r="F2469" s="136">
        <v>4490</v>
      </c>
      <c r="G2469" s="137">
        <f t="shared" si="9"/>
        <v>2</v>
      </c>
      <c r="H2469" s="137"/>
      <c r="I2469" s="137"/>
      <c r="J2469" s="135"/>
      <c r="K2469" s="135"/>
      <c r="L2469" s="135"/>
      <c r="M2469" s="135"/>
      <c r="N2469" s="135"/>
      <c r="O2469" s="135"/>
      <c r="P2469" s="135"/>
      <c r="Q2469" s="135"/>
      <c r="R2469" s="135"/>
      <c r="S2469" s="135"/>
      <c r="T2469" s="135"/>
      <c r="U2469" s="135"/>
      <c r="V2469" s="135"/>
      <c r="W2469" s="135"/>
      <c r="X2469" s="135"/>
      <c r="Y2469" s="135"/>
      <c r="Z2469" s="135"/>
    </row>
    <row r="2470" spans="1:26" ht="12.75">
      <c r="A2470" s="136" t="s">
        <v>15</v>
      </c>
      <c r="B2470" s="136" t="s">
        <v>7727</v>
      </c>
      <c r="C2470" s="136" t="s">
        <v>952</v>
      </c>
      <c r="D2470" s="136" t="s">
        <v>1669</v>
      </c>
      <c r="E2470" s="136" t="s">
        <v>615</v>
      </c>
      <c r="F2470" s="136">
        <v>1660</v>
      </c>
      <c r="G2470" s="137">
        <f t="shared" si="9"/>
        <v>3</v>
      </c>
      <c r="H2470" s="137"/>
      <c r="I2470" s="137"/>
      <c r="J2470" s="135"/>
      <c r="K2470" s="135"/>
      <c r="L2470" s="135"/>
      <c r="M2470" s="135"/>
      <c r="N2470" s="135"/>
      <c r="O2470" s="135"/>
      <c r="P2470" s="135"/>
      <c r="Q2470" s="135"/>
      <c r="R2470" s="135"/>
      <c r="S2470" s="135"/>
      <c r="T2470" s="135"/>
      <c r="U2470" s="135"/>
      <c r="V2470" s="135"/>
      <c r="W2470" s="135"/>
      <c r="X2470" s="135"/>
      <c r="Y2470" s="135"/>
      <c r="Z2470" s="135"/>
    </row>
    <row r="2471" spans="1:26" ht="12.75">
      <c r="A2471" s="136" t="s">
        <v>15</v>
      </c>
      <c r="B2471" s="136" t="s">
        <v>7727</v>
      </c>
      <c r="C2471" s="136" t="s">
        <v>952</v>
      </c>
      <c r="D2471" s="136" t="s">
        <v>114</v>
      </c>
      <c r="E2471" s="136" t="s">
        <v>85</v>
      </c>
      <c r="F2471" s="136">
        <v>1513</v>
      </c>
      <c r="G2471" s="137">
        <f t="shared" si="9"/>
        <v>4</v>
      </c>
      <c r="H2471" s="137"/>
      <c r="I2471" s="137"/>
      <c r="J2471" s="135"/>
      <c r="K2471" s="135"/>
      <c r="L2471" s="135"/>
      <c r="M2471" s="135"/>
      <c r="N2471" s="135"/>
      <c r="O2471" s="135"/>
      <c r="P2471" s="135"/>
      <c r="Q2471" s="135"/>
      <c r="R2471" s="135"/>
      <c r="S2471" s="135"/>
      <c r="T2471" s="135"/>
      <c r="U2471" s="135"/>
      <c r="V2471" s="135"/>
      <c r="W2471" s="135"/>
      <c r="X2471" s="135"/>
      <c r="Y2471" s="135"/>
      <c r="Z2471" s="135"/>
    </row>
    <row r="2472" spans="1:26" ht="12.75">
      <c r="A2472" s="136" t="s">
        <v>15</v>
      </c>
      <c r="B2472" s="136" t="s">
        <v>7727</v>
      </c>
      <c r="C2472" s="136" t="s">
        <v>952</v>
      </c>
      <c r="D2472" s="136" t="s">
        <v>213</v>
      </c>
      <c r="E2472" s="136" t="s">
        <v>615</v>
      </c>
      <c r="F2472" s="136">
        <v>1439</v>
      </c>
      <c r="G2472" s="137">
        <f t="shared" si="9"/>
        <v>5</v>
      </c>
      <c r="H2472" s="137"/>
      <c r="I2472" s="137"/>
      <c r="J2472" s="135"/>
      <c r="K2472" s="135"/>
      <c r="L2472" s="135"/>
      <c r="M2472" s="135"/>
      <c r="N2472" s="135"/>
      <c r="O2472" s="135"/>
      <c r="P2472" s="135"/>
      <c r="Q2472" s="135"/>
      <c r="R2472" s="135"/>
      <c r="S2472" s="135"/>
      <c r="T2472" s="135"/>
      <c r="U2472" s="135"/>
      <c r="V2472" s="135"/>
      <c r="W2472" s="135"/>
      <c r="X2472" s="135"/>
      <c r="Y2472" s="135"/>
      <c r="Z2472" s="135"/>
    </row>
    <row r="2473" spans="1:26" ht="12.75">
      <c r="A2473" s="136" t="s">
        <v>15</v>
      </c>
      <c r="B2473" s="136" t="s">
        <v>7727</v>
      </c>
      <c r="C2473" s="136" t="s">
        <v>952</v>
      </c>
      <c r="D2473" s="136" t="s">
        <v>467</v>
      </c>
      <c r="E2473" s="136" t="s">
        <v>85</v>
      </c>
      <c r="F2473" s="136">
        <v>989</v>
      </c>
      <c r="G2473" s="137">
        <f t="shared" si="9"/>
        <v>6</v>
      </c>
      <c r="H2473" s="137"/>
      <c r="I2473" s="137"/>
      <c r="J2473" s="135"/>
      <c r="K2473" s="135"/>
      <c r="L2473" s="135"/>
      <c r="M2473" s="135"/>
      <c r="N2473" s="135"/>
      <c r="O2473" s="135"/>
      <c r="P2473" s="135"/>
      <c r="Q2473" s="135"/>
      <c r="R2473" s="135"/>
      <c r="S2473" s="135"/>
      <c r="T2473" s="135"/>
      <c r="U2473" s="135"/>
      <c r="V2473" s="135"/>
      <c r="W2473" s="135"/>
      <c r="X2473" s="135"/>
      <c r="Y2473" s="135"/>
      <c r="Z2473" s="135"/>
    </row>
    <row r="2474" spans="1:26" ht="12.75">
      <c r="A2474" s="136" t="s">
        <v>15</v>
      </c>
      <c r="B2474" s="136" t="s">
        <v>7727</v>
      </c>
      <c r="C2474" s="136" t="s">
        <v>952</v>
      </c>
      <c r="D2474" s="136" t="s">
        <v>139</v>
      </c>
      <c r="E2474" s="136" t="s">
        <v>594</v>
      </c>
      <c r="F2474" s="136">
        <v>984</v>
      </c>
      <c r="G2474" s="137">
        <f t="shared" si="9"/>
        <v>7</v>
      </c>
      <c r="H2474" s="137"/>
      <c r="I2474" s="137"/>
      <c r="J2474" s="135"/>
      <c r="K2474" s="135"/>
      <c r="L2474" s="135"/>
      <c r="M2474" s="135"/>
      <c r="N2474" s="135"/>
      <c r="O2474" s="135"/>
      <c r="P2474" s="135"/>
      <c r="Q2474" s="135"/>
      <c r="R2474" s="135"/>
      <c r="S2474" s="135"/>
      <c r="T2474" s="135"/>
      <c r="U2474" s="135"/>
      <c r="V2474" s="135"/>
      <c r="W2474" s="135"/>
      <c r="X2474" s="135"/>
      <c r="Y2474" s="135"/>
      <c r="Z2474" s="135"/>
    </row>
    <row r="2475" spans="1:26" ht="12.75">
      <c r="A2475" s="136" t="s">
        <v>15</v>
      </c>
      <c r="B2475" s="136" t="s">
        <v>7727</v>
      </c>
      <c r="C2475" s="136" t="s">
        <v>952</v>
      </c>
      <c r="D2475" s="136" t="s">
        <v>136</v>
      </c>
      <c r="E2475" s="136" t="s">
        <v>615</v>
      </c>
      <c r="F2475" s="136">
        <v>551</v>
      </c>
      <c r="G2475" s="137">
        <f t="shared" si="9"/>
        <v>8</v>
      </c>
      <c r="H2475" s="137"/>
      <c r="I2475" s="137"/>
      <c r="J2475" s="135"/>
      <c r="K2475" s="135"/>
      <c r="L2475" s="135"/>
      <c r="M2475" s="135"/>
      <c r="N2475" s="135"/>
      <c r="O2475" s="135"/>
      <c r="P2475" s="135"/>
      <c r="Q2475" s="135"/>
      <c r="R2475" s="135"/>
      <c r="S2475" s="135"/>
      <c r="T2475" s="135"/>
      <c r="U2475" s="135"/>
      <c r="V2475" s="135"/>
      <c r="W2475" s="135"/>
      <c r="X2475" s="135"/>
      <c r="Y2475" s="135"/>
      <c r="Z2475" s="135"/>
    </row>
    <row r="2476" spans="1:26" ht="12.75">
      <c r="A2476" s="136" t="s">
        <v>15</v>
      </c>
      <c r="B2476" s="136" t="s">
        <v>7727</v>
      </c>
      <c r="C2476" s="136" t="s">
        <v>952</v>
      </c>
      <c r="D2476" s="136" t="s">
        <v>7551</v>
      </c>
      <c r="E2476" s="136" t="s">
        <v>615</v>
      </c>
      <c r="F2476" s="136">
        <v>347</v>
      </c>
      <c r="G2476" s="137">
        <f t="shared" si="9"/>
        <v>9</v>
      </c>
      <c r="H2476" s="137"/>
      <c r="I2476" s="137"/>
      <c r="J2476" s="135"/>
      <c r="K2476" s="135"/>
      <c r="L2476" s="135"/>
      <c r="M2476" s="135"/>
      <c r="N2476" s="135"/>
      <c r="O2476" s="135"/>
      <c r="P2476" s="135"/>
      <c r="Q2476" s="135"/>
      <c r="R2476" s="135"/>
      <c r="S2476" s="135"/>
      <c r="T2476" s="135"/>
      <c r="U2476" s="135"/>
      <c r="V2476" s="135"/>
      <c r="W2476" s="135"/>
      <c r="X2476" s="135"/>
      <c r="Y2476" s="135"/>
      <c r="Z2476" s="135"/>
    </row>
    <row r="2477" spans="1:26" ht="12.75">
      <c r="A2477" s="136" t="s">
        <v>15</v>
      </c>
      <c r="B2477" s="136" t="s">
        <v>7727</v>
      </c>
      <c r="C2477" s="136" t="s">
        <v>952</v>
      </c>
      <c r="D2477" s="136" t="s">
        <v>7491</v>
      </c>
      <c r="E2477" s="136" t="s">
        <v>615</v>
      </c>
      <c r="F2477" s="136">
        <v>306</v>
      </c>
      <c r="G2477" s="137">
        <f t="shared" si="9"/>
        <v>10</v>
      </c>
      <c r="H2477" s="137"/>
      <c r="I2477" s="137"/>
      <c r="J2477" s="135"/>
      <c r="K2477" s="135"/>
      <c r="L2477" s="135"/>
      <c r="M2477" s="135"/>
      <c r="N2477" s="135"/>
      <c r="O2477" s="135"/>
      <c r="P2477" s="135"/>
      <c r="Q2477" s="135"/>
      <c r="R2477" s="135"/>
      <c r="S2477" s="135"/>
      <c r="T2477" s="135"/>
      <c r="U2477" s="135"/>
      <c r="V2477" s="135"/>
      <c r="W2477" s="135"/>
      <c r="X2477" s="135"/>
      <c r="Y2477" s="135"/>
      <c r="Z2477" s="135"/>
    </row>
    <row r="2478" spans="1:26" ht="12.75">
      <c r="A2478" s="136" t="s">
        <v>15</v>
      </c>
      <c r="B2478" s="136" t="s">
        <v>7727</v>
      </c>
      <c r="C2478" s="136" t="s">
        <v>952</v>
      </c>
      <c r="D2478" s="136" t="s">
        <v>7751</v>
      </c>
      <c r="E2478" s="136" t="s">
        <v>615</v>
      </c>
      <c r="F2478" s="136">
        <v>247</v>
      </c>
      <c r="G2478" s="137">
        <f t="shared" si="9"/>
        <v>11</v>
      </c>
      <c r="H2478" s="137"/>
      <c r="I2478" s="137"/>
      <c r="J2478" s="135"/>
      <c r="K2478" s="135"/>
      <c r="L2478" s="135"/>
      <c r="M2478" s="135"/>
      <c r="N2478" s="135"/>
      <c r="O2478" s="135"/>
      <c r="P2478" s="135"/>
      <c r="Q2478" s="135"/>
      <c r="R2478" s="135"/>
      <c r="S2478" s="135"/>
      <c r="T2478" s="135"/>
      <c r="U2478" s="135"/>
      <c r="V2478" s="135"/>
      <c r="W2478" s="135"/>
      <c r="X2478" s="135"/>
      <c r="Y2478" s="135"/>
      <c r="Z2478" s="135"/>
    </row>
    <row r="2479" spans="1:26" ht="12.75">
      <c r="A2479" s="136" t="s">
        <v>15</v>
      </c>
      <c r="B2479" s="136" t="s">
        <v>7727</v>
      </c>
      <c r="C2479" s="136" t="s">
        <v>952</v>
      </c>
      <c r="D2479" s="136" t="s">
        <v>1626</v>
      </c>
      <c r="E2479" s="136" t="s">
        <v>594</v>
      </c>
      <c r="F2479" s="136">
        <v>228</v>
      </c>
      <c r="G2479" s="137">
        <f t="shared" si="9"/>
        <v>12</v>
      </c>
      <c r="H2479" s="137"/>
      <c r="I2479" s="137"/>
      <c r="J2479" s="135"/>
      <c r="K2479" s="135"/>
      <c r="L2479" s="135"/>
      <c r="M2479" s="135"/>
      <c r="N2479" s="135"/>
      <c r="O2479" s="135"/>
      <c r="P2479" s="135"/>
      <c r="Q2479" s="135"/>
      <c r="R2479" s="135"/>
      <c r="S2479" s="135"/>
      <c r="T2479" s="135"/>
      <c r="U2479" s="135"/>
      <c r="V2479" s="135"/>
      <c r="W2479" s="135"/>
      <c r="X2479" s="135"/>
      <c r="Y2479" s="135"/>
      <c r="Z2479" s="135"/>
    </row>
    <row r="2480" spans="1:26" ht="12.75">
      <c r="A2480" s="136" t="s">
        <v>15</v>
      </c>
      <c r="B2480" s="136" t="s">
        <v>7727</v>
      </c>
      <c r="C2480" s="136" t="s">
        <v>952</v>
      </c>
      <c r="D2480" s="136" t="s">
        <v>7698</v>
      </c>
      <c r="E2480" s="136" t="s">
        <v>615</v>
      </c>
      <c r="F2480" s="136">
        <v>209</v>
      </c>
      <c r="G2480" s="137">
        <f t="shared" si="9"/>
        <v>13</v>
      </c>
      <c r="H2480" s="137"/>
      <c r="I2480" s="137"/>
      <c r="J2480" s="135"/>
      <c r="K2480" s="135"/>
      <c r="L2480" s="135"/>
      <c r="M2480" s="135"/>
      <c r="N2480" s="135"/>
      <c r="O2480" s="135"/>
      <c r="P2480" s="135"/>
      <c r="Q2480" s="135"/>
      <c r="R2480" s="135"/>
      <c r="S2480" s="135"/>
      <c r="T2480" s="135"/>
      <c r="U2480" s="135"/>
      <c r="V2480" s="135"/>
      <c r="W2480" s="135"/>
      <c r="X2480" s="135"/>
      <c r="Y2480" s="135"/>
      <c r="Z2480" s="135"/>
    </row>
    <row r="2481" spans="1:26" ht="12.75">
      <c r="A2481" s="136" t="s">
        <v>15</v>
      </c>
      <c r="B2481" s="136" t="s">
        <v>7727</v>
      </c>
      <c r="C2481" s="136" t="s">
        <v>952</v>
      </c>
      <c r="D2481" s="136" t="s">
        <v>7752</v>
      </c>
      <c r="E2481" s="136" t="s">
        <v>615</v>
      </c>
      <c r="F2481" s="136">
        <v>192</v>
      </c>
      <c r="G2481" s="137">
        <f t="shared" si="9"/>
        <v>14</v>
      </c>
      <c r="H2481" s="137"/>
      <c r="I2481" s="137"/>
      <c r="J2481" s="135"/>
      <c r="K2481" s="135"/>
      <c r="L2481" s="135"/>
      <c r="M2481" s="135"/>
      <c r="N2481" s="135"/>
      <c r="O2481" s="135"/>
      <c r="P2481" s="135"/>
      <c r="Q2481" s="135"/>
      <c r="R2481" s="135"/>
      <c r="S2481" s="135"/>
      <c r="T2481" s="135"/>
      <c r="U2481" s="135"/>
      <c r="V2481" s="135"/>
      <c r="W2481" s="135"/>
      <c r="X2481" s="135"/>
      <c r="Y2481" s="135"/>
      <c r="Z2481" s="135"/>
    </row>
    <row r="2482" spans="1:26" ht="12.75">
      <c r="A2482" s="136" t="s">
        <v>15</v>
      </c>
      <c r="B2482" s="136" t="s">
        <v>7727</v>
      </c>
      <c r="C2482" s="136" t="s">
        <v>952</v>
      </c>
      <c r="D2482" s="136" t="s">
        <v>368</v>
      </c>
      <c r="E2482" s="136" t="s">
        <v>594</v>
      </c>
      <c r="F2482" s="136">
        <v>180</v>
      </c>
      <c r="G2482" s="137">
        <f t="shared" si="9"/>
        <v>15</v>
      </c>
      <c r="H2482" s="137"/>
      <c r="I2482" s="137"/>
      <c r="J2482" s="135"/>
      <c r="K2482" s="135"/>
      <c r="L2482" s="135"/>
      <c r="M2482" s="135"/>
      <c r="N2482" s="135"/>
      <c r="O2482" s="135"/>
      <c r="P2482" s="135"/>
      <c r="Q2482" s="135"/>
      <c r="R2482" s="135"/>
      <c r="S2482" s="135"/>
      <c r="T2482" s="135"/>
      <c r="U2482" s="135"/>
      <c r="V2482" s="135"/>
      <c r="W2482" s="135"/>
      <c r="X2482" s="135"/>
      <c r="Y2482" s="135"/>
      <c r="Z2482" s="135"/>
    </row>
    <row r="2483" spans="1:26" ht="12.75">
      <c r="A2483" s="136" t="s">
        <v>15</v>
      </c>
      <c r="B2483" s="136" t="s">
        <v>7727</v>
      </c>
      <c r="C2483" s="136" t="s">
        <v>952</v>
      </c>
      <c r="D2483" s="136" t="s">
        <v>7704</v>
      </c>
      <c r="E2483" s="136" t="s">
        <v>615</v>
      </c>
      <c r="F2483" s="136">
        <v>180</v>
      </c>
      <c r="G2483" s="137">
        <f t="shared" si="9"/>
        <v>16</v>
      </c>
      <c r="H2483" s="137"/>
      <c r="I2483" s="137"/>
      <c r="J2483" s="135"/>
      <c r="K2483" s="135"/>
      <c r="L2483" s="135"/>
      <c r="M2483" s="135"/>
      <c r="N2483" s="135"/>
      <c r="O2483" s="135"/>
      <c r="P2483" s="135"/>
      <c r="Q2483" s="135"/>
      <c r="R2483" s="135"/>
      <c r="S2483" s="135"/>
      <c r="T2483" s="135"/>
      <c r="U2483" s="135"/>
      <c r="V2483" s="135"/>
      <c r="W2483" s="135"/>
      <c r="X2483" s="135"/>
      <c r="Y2483" s="135"/>
      <c r="Z2483" s="135"/>
    </row>
    <row r="2484" spans="1:26" ht="12.75">
      <c r="A2484" s="136" t="s">
        <v>15</v>
      </c>
      <c r="B2484" s="136" t="s">
        <v>7727</v>
      </c>
      <c r="C2484" s="136" t="s">
        <v>952</v>
      </c>
      <c r="D2484" s="136" t="s">
        <v>165</v>
      </c>
      <c r="E2484" s="136" t="s">
        <v>615</v>
      </c>
      <c r="F2484" s="136">
        <v>163</v>
      </c>
      <c r="G2484" s="137">
        <f t="shared" si="9"/>
        <v>17</v>
      </c>
      <c r="H2484" s="137"/>
      <c r="I2484" s="137"/>
      <c r="J2484" s="135"/>
      <c r="K2484" s="135"/>
      <c r="L2484" s="135"/>
      <c r="M2484" s="135"/>
      <c r="N2484" s="135"/>
      <c r="O2484" s="135"/>
      <c r="P2484" s="135"/>
      <c r="Q2484" s="135"/>
      <c r="R2484" s="135"/>
      <c r="S2484" s="135"/>
      <c r="T2484" s="135"/>
      <c r="U2484" s="135"/>
      <c r="V2484" s="135"/>
      <c r="W2484" s="135"/>
      <c r="X2484" s="135"/>
      <c r="Y2484" s="135"/>
      <c r="Z2484" s="135"/>
    </row>
    <row r="2485" spans="1:26" ht="12.75">
      <c r="A2485" s="136" t="s">
        <v>15</v>
      </c>
      <c r="B2485" s="136" t="s">
        <v>7727</v>
      </c>
      <c r="C2485" s="136" t="s">
        <v>952</v>
      </c>
      <c r="D2485" s="136"/>
      <c r="E2485" s="136" t="s">
        <v>7693</v>
      </c>
      <c r="F2485" s="136">
        <v>13678</v>
      </c>
      <c r="G2485" s="137">
        <f t="shared" si="9"/>
        <v>1</v>
      </c>
      <c r="H2485" s="137"/>
      <c r="I2485" s="137"/>
      <c r="J2485" s="135"/>
      <c r="K2485" s="135"/>
      <c r="L2485" s="135"/>
      <c r="M2485" s="135"/>
      <c r="N2485" s="135"/>
      <c r="O2485" s="135"/>
      <c r="P2485" s="135"/>
      <c r="Q2485" s="135"/>
      <c r="R2485" s="135"/>
      <c r="S2485" s="135"/>
      <c r="T2485" s="135"/>
      <c r="U2485" s="135"/>
      <c r="V2485" s="135"/>
      <c r="W2485" s="135"/>
      <c r="X2485" s="135"/>
      <c r="Y2485" s="135"/>
      <c r="Z2485" s="135"/>
    </row>
    <row r="2486" spans="1:26" ht="12.75">
      <c r="A2486" s="136" t="s">
        <v>15</v>
      </c>
      <c r="B2486" s="136" t="s">
        <v>7753</v>
      </c>
      <c r="C2486" s="136" t="s">
        <v>7754</v>
      </c>
      <c r="D2486" s="136" t="s">
        <v>114</v>
      </c>
      <c r="E2486" s="136" t="s">
        <v>85</v>
      </c>
      <c r="F2486" s="136">
        <v>660</v>
      </c>
      <c r="G2486" s="137">
        <f t="shared" si="9"/>
        <v>2</v>
      </c>
      <c r="H2486" s="137"/>
      <c r="I2486" s="137"/>
      <c r="J2486" s="135"/>
      <c r="K2486" s="135"/>
      <c r="L2486" s="135"/>
      <c r="M2486" s="135"/>
      <c r="N2486" s="135"/>
      <c r="O2486" s="135"/>
      <c r="P2486" s="135"/>
      <c r="Q2486" s="135"/>
      <c r="R2486" s="135"/>
      <c r="S2486" s="135"/>
      <c r="T2486" s="135"/>
      <c r="U2486" s="135"/>
      <c r="V2486" s="135"/>
      <c r="W2486" s="135"/>
      <c r="X2486" s="135"/>
      <c r="Y2486" s="135"/>
      <c r="Z2486" s="135"/>
    </row>
    <row r="2487" spans="1:26" ht="12.75">
      <c r="A2487" s="136" t="s">
        <v>15</v>
      </c>
      <c r="B2487" s="136" t="s">
        <v>7753</v>
      </c>
      <c r="C2487" s="136" t="s">
        <v>7754</v>
      </c>
      <c r="D2487" s="136" t="s">
        <v>139</v>
      </c>
      <c r="E2487" s="136" t="s">
        <v>594</v>
      </c>
      <c r="F2487" s="136">
        <v>509</v>
      </c>
      <c r="G2487" s="137">
        <f t="shared" si="9"/>
        <v>3</v>
      </c>
      <c r="H2487" s="137"/>
      <c r="I2487" s="137"/>
      <c r="J2487" s="135"/>
      <c r="K2487" s="135"/>
      <c r="L2487" s="135"/>
      <c r="M2487" s="135"/>
      <c r="N2487" s="135"/>
      <c r="O2487" s="135"/>
      <c r="P2487" s="135"/>
      <c r="Q2487" s="135"/>
      <c r="R2487" s="135"/>
      <c r="S2487" s="135"/>
      <c r="T2487" s="135"/>
      <c r="U2487" s="135"/>
      <c r="V2487" s="135"/>
      <c r="W2487" s="135"/>
      <c r="X2487" s="135"/>
      <c r="Y2487" s="135"/>
      <c r="Z2487" s="135"/>
    </row>
    <row r="2488" spans="1:26" ht="12.75">
      <c r="A2488" s="136" t="s">
        <v>15</v>
      </c>
      <c r="B2488" s="136" t="s">
        <v>7753</v>
      </c>
      <c r="C2488" s="136" t="s">
        <v>7754</v>
      </c>
      <c r="D2488" s="136" t="s">
        <v>467</v>
      </c>
      <c r="E2488" s="136" t="s">
        <v>85</v>
      </c>
      <c r="F2488" s="136">
        <v>198</v>
      </c>
      <c r="G2488" s="137">
        <f t="shared" si="9"/>
        <v>4</v>
      </c>
      <c r="H2488" s="137"/>
      <c r="I2488" s="137"/>
      <c r="J2488" s="135"/>
      <c r="K2488" s="135"/>
      <c r="L2488" s="135"/>
      <c r="M2488" s="135"/>
      <c r="N2488" s="135"/>
      <c r="O2488" s="135"/>
      <c r="P2488" s="135"/>
      <c r="Q2488" s="135"/>
      <c r="R2488" s="135"/>
      <c r="S2488" s="135"/>
      <c r="T2488" s="135"/>
      <c r="U2488" s="135"/>
      <c r="V2488" s="135"/>
      <c r="W2488" s="135"/>
      <c r="X2488" s="135"/>
      <c r="Y2488" s="135"/>
      <c r="Z2488" s="135"/>
    </row>
    <row r="2489" spans="1:26" ht="12.75">
      <c r="A2489" s="136" t="s">
        <v>15</v>
      </c>
      <c r="B2489" s="136" t="s">
        <v>7753</v>
      </c>
      <c r="C2489" s="136" t="s">
        <v>7754</v>
      </c>
      <c r="D2489" s="136" t="s">
        <v>368</v>
      </c>
      <c r="E2489" s="136" t="s">
        <v>594</v>
      </c>
      <c r="F2489" s="136">
        <v>65</v>
      </c>
      <c r="G2489" s="137">
        <f t="shared" si="9"/>
        <v>5</v>
      </c>
      <c r="H2489" s="137"/>
      <c r="I2489" s="137"/>
      <c r="J2489" s="135"/>
      <c r="K2489" s="135"/>
      <c r="L2489" s="135"/>
      <c r="M2489" s="135"/>
      <c r="N2489" s="135"/>
      <c r="O2489" s="135"/>
      <c r="P2489" s="135"/>
      <c r="Q2489" s="135"/>
      <c r="R2489" s="135"/>
      <c r="S2489" s="135"/>
      <c r="T2489" s="135"/>
      <c r="U2489" s="135"/>
      <c r="V2489" s="135"/>
      <c r="W2489" s="135"/>
      <c r="X2489" s="135"/>
      <c r="Y2489" s="135"/>
      <c r="Z2489" s="135"/>
    </row>
    <row r="2490" spans="1:26" ht="12.75">
      <c r="A2490" s="136" t="s">
        <v>15</v>
      </c>
      <c r="B2490" s="136" t="s">
        <v>7753</v>
      </c>
      <c r="C2490" s="136" t="s">
        <v>7754</v>
      </c>
      <c r="D2490" s="136" t="s">
        <v>7755</v>
      </c>
      <c r="E2490" s="136" t="s">
        <v>615</v>
      </c>
      <c r="F2490" s="136">
        <v>65</v>
      </c>
      <c r="G2490" s="137">
        <f t="shared" si="9"/>
        <v>6</v>
      </c>
      <c r="H2490" s="137"/>
      <c r="I2490" s="137"/>
      <c r="J2490" s="135"/>
      <c r="K2490" s="135"/>
      <c r="L2490" s="135"/>
      <c r="M2490" s="135"/>
      <c r="N2490" s="135"/>
      <c r="O2490" s="135"/>
      <c r="P2490" s="135"/>
      <c r="Q2490" s="135"/>
      <c r="R2490" s="135"/>
      <c r="S2490" s="135"/>
      <c r="T2490" s="135"/>
      <c r="U2490" s="135"/>
      <c r="V2490" s="135"/>
      <c r="W2490" s="135"/>
      <c r="X2490" s="135"/>
      <c r="Y2490" s="135"/>
      <c r="Z2490" s="135"/>
    </row>
    <row r="2491" spans="1:26" ht="12.75">
      <c r="A2491" s="136" t="s">
        <v>15</v>
      </c>
      <c r="B2491" s="136" t="s">
        <v>7753</v>
      </c>
      <c r="C2491" s="136" t="s">
        <v>7754</v>
      </c>
      <c r="D2491" s="136" t="s">
        <v>7491</v>
      </c>
      <c r="E2491" s="136" t="s">
        <v>615</v>
      </c>
      <c r="F2491" s="136">
        <v>55</v>
      </c>
      <c r="G2491" s="137">
        <f t="shared" si="9"/>
        <v>7</v>
      </c>
      <c r="H2491" s="137"/>
      <c r="I2491" s="137"/>
      <c r="J2491" s="135"/>
      <c r="K2491" s="135"/>
      <c r="L2491" s="135"/>
      <c r="M2491" s="135"/>
      <c r="N2491" s="135"/>
      <c r="O2491" s="135"/>
      <c r="P2491" s="135"/>
      <c r="Q2491" s="135"/>
      <c r="R2491" s="135"/>
      <c r="S2491" s="135"/>
      <c r="T2491" s="135"/>
      <c r="U2491" s="135"/>
      <c r="V2491" s="135"/>
      <c r="W2491" s="135"/>
      <c r="X2491" s="135"/>
      <c r="Y2491" s="135"/>
      <c r="Z2491" s="135"/>
    </row>
    <row r="2492" spans="1:26" ht="12.75">
      <c r="A2492" s="136" t="s">
        <v>15</v>
      </c>
      <c r="B2492" s="136" t="s">
        <v>7753</v>
      </c>
      <c r="C2492" s="136" t="s">
        <v>7754</v>
      </c>
      <c r="D2492" s="136"/>
      <c r="E2492" s="136" t="s">
        <v>7693</v>
      </c>
      <c r="F2492" s="136">
        <v>1552</v>
      </c>
      <c r="G2492" s="137">
        <f t="shared" si="9"/>
        <v>1</v>
      </c>
      <c r="H2492" s="137"/>
      <c r="I2492" s="137"/>
      <c r="J2492" s="135"/>
      <c r="K2492" s="135"/>
      <c r="L2492" s="135"/>
      <c r="M2492" s="135"/>
      <c r="N2492" s="135"/>
      <c r="O2492" s="135"/>
      <c r="P2492" s="135"/>
      <c r="Q2492" s="135"/>
      <c r="R2492" s="135"/>
      <c r="S2492" s="135"/>
      <c r="T2492" s="135"/>
      <c r="U2492" s="135"/>
      <c r="V2492" s="135"/>
      <c r="W2492" s="135"/>
      <c r="X2492" s="135"/>
      <c r="Y2492" s="135"/>
      <c r="Z2492" s="135"/>
    </row>
    <row r="2493" spans="1:26" ht="12.75">
      <c r="A2493" s="136" t="s">
        <v>15</v>
      </c>
      <c r="B2493" s="136" t="s">
        <v>7753</v>
      </c>
      <c r="C2493" s="136" t="s">
        <v>7756</v>
      </c>
      <c r="D2493" s="136" t="s">
        <v>7757</v>
      </c>
      <c r="E2493" s="136" t="s">
        <v>615</v>
      </c>
      <c r="F2493" s="136">
        <v>779</v>
      </c>
      <c r="G2493" s="137">
        <f t="shared" si="9"/>
        <v>2</v>
      </c>
      <c r="H2493" s="137"/>
      <c r="I2493" s="137"/>
      <c r="J2493" s="135"/>
      <c r="K2493" s="135"/>
      <c r="L2493" s="135"/>
      <c r="M2493" s="135"/>
      <c r="N2493" s="135"/>
      <c r="O2493" s="135"/>
      <c r="P2493" s="135"/>
      <c r="Q2493" s="135"/>
      <c r="R2493" s="135"/>
      <c r="S2493" s="135"/>
      <c r="T2493" s="135"/>
      <c r="U2493" s="135"/>
      <c r="V2493" s="135"/>
      <c r="W2493" s="135"/>
      <c r="X2493" s="135"/>
      <c r="Y2493" s="135"/>
      <c r="Z2493" s="135"/>
    </row>
    <row r="2494" spans="1:26" ht="12.75">
      <c r="A2494" s="136" t="s">
        <v>15</v>
      </c>
      <c r="B2494" s="136" t="s">
        <v>7753</v>
      </c>
      <c r="C2494" s="136" t="s">
        <v>7756</v>
      </c>
      <c r="D2494" s="136" t="s">
        <v>1669</v>
      </c>
      <c r="E2494" s="136" t="s">
        <v>615</v>
      </c>
      <c r="F2494" s="136">
        <v>195</v>
      </c>
      <c r="G2494" s="137">
        <f t="shared" si="9"/>
        <v>3</v>
      </c>
      <c r="H2494" s="137"/>
      <c r="I2494" s="137"/>
      <c r="J2494" s="135"/>
      <c r="K2494" s="135"/>
      <c r="L2494" s="135"/>
      <c r="M2494" s="135"/>
      <c r="N2494" s="135"/>
      <c r="O2494" s="135"/>
      <c r="P2494" s="135"/>
      <c r="Q2494" s="135"/>
      <c r="R2494" s="135"/>
      <c r="S2494" s="135"/>
      <c r="T2494" s="135"/>
      <c r="U2494" s="135"/>
      <c r="V2494" s="135"/>
      <c r="W2494" s="135"/>
      <c r="X2494" s="135"/>
      <c r="Y2494" s="135"/>
      <c r="Z2494" s="135"/>
    </row>
    <row r="2495" spans="1:26" ht="12.75">
      <c r="A2495" s="136" t="s">
        <v>15</v>
      </c>
      <c r="B2495" s="136" t="s">
        <v>7753</v>
      </c>
      <c r="C2495" s="136" t="s">
        <v>7756</v>
      </c>
      <c r="D2495" s="136" t="s">
        <v>7544</v>
      </c>
      <c r="E2495" s="136" t="s">
        <v>615</v>
      </c>
      <c r="F2495" s="136">
        <v>165</v>
      </c>
      <c r="G2495" s="137">
        <f t="shared" si="9"/>
        <v>4</v>
      </c>
      <c r="H2495" s="137"/>
      <c r="I2495" s="137"/>
      <c r="J2495" s="135"/>
      <c r="K2495" s="135"/>
      <c r="L2495" s="135"/>
      <c r="M2495" s="135"/>
      <c r="N2495" s="135"/>
      <c r="O2495" s="135"/>
      <c r="P2495" s="135"/>
      <c r="Q2495" s="135"/>
      <c r="R2495" s="135"/>
      <c r="S2495" s="135"/>
      <c r="T2495" s="135"/>
      <c r="U2495" s="135"/>
      <c r="V2495" s="135"/>
      <c r="W2495" s="135"/>
      <c r="X2495" s="135"/>
      <c r="Y2495" s="135"/>
      <c r="Z2495" s="135"/>
    </row>
    <row r="2496" spans="1:26" ht="12.75">
      <c r="A2496" s="136" t="s">
        <v>15</v>
      </c>
      <c r="B2496" s="136" t="s">
        <v>7753</v>
      </c>
      <c r="C2496" s="136" t="s">
        <v>7756</v>
      </c>
      <c r="D2496" s="136" t="s">
        <v>139</v>
      </c>
      <c r="E2496" s="136" t="s">
        <v>594</v>
      </c>
      <c r="F2496" s="136">
        <v>125</v>
      </c>
      <c r="G2496" s="137">
        <f t="shared" si="9"/>
        <v>5</v>
      </c>
      <c r="H2496" s="137"/>
      <c r="I2496" s="137"/>
      <c r="J2496" s="135"/>
      <c r="K2496" s="135"/>
      <c r="L2496" s="135"/>
      <c r="M2496" s="135"/>
      <c r="N2496" s="135"/>
      <c r="O2496" s="135"/>
      <c r="P2496" s="135"/>
      <c r="Q2496" s="135"/>
      <c r="R2496" s="135"/>
      <c r="S2496" s="135"/>
      <c r="T2496" s="135"/>
      <c r="U2496" s="135"/>
      <c r="V2496" s="135"/>
      <c r="W2496" s="135"/>
      <c r="X2496" s="135"/>
      <c r="Y2496" s="135"/>
      <c r="Z2496" s="135"/>
    </row>
    <row r="2497" spans="1:26" ht="12.75">
      <c r="A2497" s="136" t="s">
        <v>15</v>
      </c>
      <c r="B2497" s="136" t="s">
        <v>7753</v>
      </c>
      <c r="C2497" s="136" t="s">
        <v>7756</v>
      </c>
      <c r="D2497" s="136" t="s">
        <v>7491</v>
      </c>
      <c r="E2497" s="136" t="s">
        <v>615</v>
      </c>
      <c r="F2497" s="136">
        <v>118</v>
      </c>
      <c r="G2497" s="137">
        <f t="shared" si="9"/>
        <v>6</v>
      </c>
      <c r="H2497" s="137"/>
      <c r="I2497" s="137"/>
      <c r="J2497" s="135"/>
      <c r="K2497" s="135"/>
      <c r="L2497" s="135"/>
      <c r="M2497" s="135"/>
      <c r="N2497" s="135"/>
      <c r="O2497" s="135"/>
      <c r="P2497" s="135"/>
      <c r="Q2497" s="135"/>
      <c r="R2497" s="135"/>
      <c r="S2497" s="135"/>
      <c r="T2497" s="135"/>
      <c r="U2497" s="135"/>
      <c r="V2497" s="135"/>
      <c r="W2497" s="135"/>
      <c r="X2497" s="135"/>
      <c r="Y2497" s="135"/>
      <c r="Z2497" s="135"/>
    </row>
    <row r="2498" spans="1:26" ht="12.75">
      <c r="A2498" s="136" t="s">
        <v>15</v>
      </c>
      <c r="B2498" s="136" t="s">
        <v>7753</v>
      </c>
      <c r="C2498" s="136" t="s">
        <v>7756</v>
      </c>
      <c r="D2498" s="136" t="s">
        <v>1672</v>
      </c>
      <c r="E2498" s="136" t="s">
        <v>615</v>
      </c>
      <c r="F2498" s="136">
        <v>65</v>
      </c>
      <c r="G2498" s="137">
        <f t="shared" si="9"/>
        <v>7</v>
      </c>
      <c r="H2498" s="137"/>
      <c r="I2498" s="137"/>
      <c r="J2498" s="135"/>
      <c r="K2498" s="135"/>
      <c r="L2498" s="135"/>
      <c r="M2498" s="135"/>
      <c r="N2498" s="135"/>
      <c r="O2498" s="135"/>
      <c r="P2498" s="135"/>
      <c r="Q2498" s="135"/>
      <c r="R2498" s="135"/>
      <c r="S2498" s="135"/>
      <c r="T2498" s="135"/>
      <c r="U2498" s="135"/>
      <c r="V2498" s="135"/>
      <c r="W2498" s="135"/>
      <c r="X2498" s="135"/>
      <c r="Y2498" s="135"/>
      <c r="Z2498" s="135"/>
    </row>
    <row r="2499" spans="1:26" ht="12.75">
      <c r="A2499" s="136" t="s">
        <v>15</v>
      </c>
      <c r="B2499" s="136" t="s">
        <v>7753</v>
      </c>
      <c r="C2499" s="136" t="s">
        <v>7756</v>
      </c>
      <c r="D2499" s="136"/>
      <c r="E2499" s="136" t="s">
        <v>7693</v>
      </c>
      <c r="F2499" s="136">
        <v>1447</v>
      </c>
      <c r="G2499" s="137">
        <f t="shared" si="9"/>
        <v>1</v>
      </c>
      <c r="H2499" s="137"/>
      <c r="I2499" s="137"/>
      <c r="J2499" s="135"/>
      <c r="K2499" s="135"/>
      <c r="L2499" s="135"/>
      <c r="M2499" s="135"/>
      <c r="N2499" s="135"/>
      <c r="O2499" s="135"/>
      <c r="P2499" s="135"/>
      <c r="Q2499" s="135"/>
      <c r="R2499" s="135"/>
      <c r="S2499" s="135"/>
      <c r="T2499" s="135"/>
      <c r="U2499" s="135"/>
      <c r="V2499" s="135"/>
      <c r="W2499" s="135"/>
      <c r="X2499" s="135"/>
      <c r="Y2499" s="135"/>
      <c r="Z2499" s="135"/>
    </row>
    <row r="2500" spans="1:26" ht="12.75">
      <c r="A2500" s="136" t="s">
        <v>15</v>
      </c>
      <c r="B2500" s="136" t="s">
        <v>7753</v>
      </c>
      <c r="C2500" s="136" t="s">
        <v>7758</v>
      </c>
      <c r="D2500" s="136" t="s">
        <v>139</v>
      </c>
      <c r="E2500" s="136" t="s">
        <v>594</v>
      </c>
      <c r="F2500" s="136">
        <v>533</v>
      </c>
      <c r="G2500" s="137">
        <f t="shared" si="9"/>
        <v>2</v>
      </c>
      <c r="H2500" s="137"/>
      <c r="I2500" s="137"/>
      <c r="J2500" s="135"/>
      <c r="K2500" s="135"/>
      <c r="L2500" s="135"/>
      <c r="M2500" s="135"/>
      <c r="N2500" s="135"/>
      <c r="O2500" s="135"/>
      <c r="P2500" s="135"/>
      <c r="Q2500" s="135"/>
      <c r="R2500" s="135"/>
      <c r="S2500" s="135"/>
      <c r="T2500" s="135"/>
      <c r="U2500" s="135"/>
      <c r="V2500" s="135"/>
      <c r="W2500" s="135"/>
      <c r="X2500" s="135"/>
      <c r="Y2500" s="135"/>
      <c r="Z2500" s="135"/>
    </row>
    <row r="2501" spans="1:26" ht="12.75">
      <c r="A2501" s="136" t="s">
        <v>15</v>
      </c>
      <c r="B2501" s="136" t="s">
        <v>7753</v>
      </c>
      <c r="C2501" s="136" t="s">
        <v>7758</v>
      </c>
      <c r="D2501" s="136" t="s">
        <v>7544</v>
      </c>
      <c r="E2501" s="136" t="s">
        <v>615</v>
      </c>
      <c r="F2501" s="136">
        <v>465</v>
      </c>
      <c r="G2501" s="137">
        <f t="shared" si="9"/>
        <v>3</v>
      </c>
      <c r="H2501" s="137"/>
      <c r="I2501" s="137"/>
      <c r="J2501" s="135"/>
      <c r="K2501" s="135"/>
      <c r="L2501" s="135"/>
      <c r="M2501" s="135"/>
      <c r="N2501" s="135"/>
      <c r="O2501" s="135"/>
      <c r="P2501" s="135"/>
      <c r="Q2501" s="135"/>
      <c r="R2501" s="135"/>
      <c r="S2501" s="135"/>
      <c r="T2501" s="135"/>
      <c r="U2501" s="135"/>
      <c r="V2501" s="135"/>
      <c r="W2501" s="135"/>
      <c r="X2501" s="135"/>
      <c r="Y2501" s="135"/>
      <c r="Z2501" s="135"/>
    </row>
    <row r="2502" spans="1:26" ht="12.75">
      <c r="A2502" s="136" t="s">
        <v>15</v>
      </c>
      <c r="B2502" s="136" t="s">
        <v>7753</v>
      </c>
      <c r="C2502" s="136" t="s">
        <v>7758</v>
      </c>
      <c r="D2502" s="136" t="s">
        <v>1666</v>
      </c>
      <c r="E2502" s="136" t="s">
        <v>85</v>
      </c>
      <c r="F2502" s="136">
        <v>145</v>
      </c>
      <c r="G2502" s="137">
        <f t="shared" si="9"/>
        <v>4</v>
      </c>
      <c r="H2502" s="137"/>
      <c r="I2502" s="137"/>
      <c r="J2502" s="135"/>
      <c r="K2502" s="135"/>
      <c r="L2502" s="135"/>
      <c r="M2502" s="135"/>
      <c r="N2502" s="135"/>
      <c r="O2502" s="135"/>
      <c r="P2502" s="135"/>
      <c r="Q2502" s="135"/>
      <c r="R2502" s="135"/>
      <c r="S2502" s="135"/>
      <c r="T2502" s="135"/>
      <c r="U2502" s="135"/>
      <c r="V2502" s="135"/>
      <c r="W2502" s="135"/>
      <c r="X2502" s="135"/>
      <c r="Y2502" s="135"/>
      <c r="Z2502" s="135"/>
    </row>
    <row r="2503" spans="1:26" ht="12.75">
      <c r="A2503" s="136" t="s">
        <v>15</v>
      </c>
      <c r="B2503" s="136" t="s">
        <v>7753</v>
      </c>
      <c r="C2503" s="136" t="s">
        <v>7758</v>
      </c>
      <c r="D2503" s="136" t="s">
        <v>7759</v>
      </c>
      <c r="E2503" s="136" t="s">
        <v>615</v>
      </c>
      <c r="F2503" s="136">
        <v>144</v>
      </c>
      <c r="G2503" s="137">
        <f t="shared" si="9"/>
        <v>5</v>
      </c>
      <c r="H2503" s="137"/>
      <c r="I2503" s="137"/>
      <c r="J2503" s="135"/>
      <c r="K2503" s="135"/>
      <c r="L2503" s="135"/>
      <c r="M2503" s="135"/>
      <c r="N2503" s="135"/>
      <c r="O2503" s="135"/>
      <c r="P2503" s="135"/>
      <c r="Q2503" s="135"/>
      <c r="R2503" s="135"/>
      <c r="S2503" s="135"/>
      <c r="T2503" s="135"/>
      <c r="U2503" s="135"/>
      <c r="V2503" s="135"/>
      <c r="W2503" s="135"/>
      <c r="X2503" s="135"/>
      <c r="Y2503" s="135"/>
      <c r="Z2503" s="135"/>
    </row>
    <row r="2504" spans="1:26" ht="12.75">
      <c r="A2504" s="136" t="s">
        <v>15</v>
      </c>
      <c r="B2504" s="136" t="s">
        <v>7753</v>
      </c>
      <c r="C2504" s="136" t="s">
        <v>7758</v>
      </c>
      <c r="D2504" s="136" t="s">
        <v>165</v>
      </c>
      <c r="E2504" s="136" t="s">
        <v>615</v>
      </c>
      <c r="F2504" s="136">
        <v>140</v>
      </c>
      <c r="G2504" s="137">
        <f t="shared" si="9"/>
        <v>6</v>
      </c>
      <c r="H2504" s="137"/>
      <c r="I2504" s="137"/>
      <c r="J2504" s="135"/>
      <c r="K2504" s="135"/>
      <c r="L2504" s="135"/>
      <c r="M2504" s="135"/>
      <c r="N2504" s="135"/>
      <c r="O2504" s="135"/>
      <c r="P2504" s="135"/>
      <c r="Q2504" s="135"/>
      <c r="R2504" s="135"/>
      <c r="S2504" s="135"/>
      <c r="T2504" s="135"/>
      <c r="U2504" s="135"/>
      <c r="V2504" s="135"/>
      <c r="W2504" s="135"/>
      <c r="X2504" s="135"/>
      <c r="Y2504" s="135"/>
      <c r="Z2504" s="135"/>
    </row>
    <row r="2505" spans="1:26" ht="12.75">
      <c r="A2505" s="136" t="s">
        <v>15</v>
      </c>
      <c r="B2505" s="136" t="s">
        <v>7753</v>
      </c>
      <c r="C2505" s="136" t="s">
        <v>7758</v>
      </c>
      <c r="D2505" s="136" t="s">
        <v>7760</v>
      </c>
      <c r="E2505" s="136" t="s">
        <v>615</v>
      </c>
      <c r="F2505" s="136">
        <v>122</v>
      </c>
      <c r="G2505" s="137">
        <f t="shared" si="9"/>
        <v>7</v>
      </c>
      <c r="H2505" s="137"/>
      <c r="I2505" s="137"/>
      <c r="J2505" s="135"/>
      <c r="K2505" s="135"/>
      <c r="L2505" s="135"/>
      <c r="M2505" s="135"/>
      <c r="N2505" s="135"/>
      <c r="O2505" s="135"/>
      <c r="P2505" s="135"/>
      <c r="Q2505" s="135"/>
      <c r="R2505" s="135"/>
      <c r="S2505" s="135"/>
      <c r="T2505" s="135"/>
      <c r="U2505" s="135"/>
      <c r="V2505" s="135"/>
      <c r="W2505" s="135"/>
      <c r="X2505" s="135"/>
      <c r="Y2505" s="135"/>
      <c r="Z2505" s="135"/>
    </row>
    <row r="2506" spans="1:26" ht="12.75">
      <c r="A2506" s="136" t="s">
        <v>15</v>
      </c>
      <c r="B2506" s="136" t="s">
        <v>7753</v>
      </c>
      <c r="C2506" s="136" t="s">
        <v>7758</v>
      </c>
      <c r="D2506" s="136" t="s">
        <v>7491</v>
      </c>
      <c r="E2506" s="136" t="s">
        <v>615</v>
      </c>
      <c r="F2506" s="136">
        <v>117</v>
      </c>
      <c r="G2506" s="137">
        <f t="shared" si="9"/>
        <v>8</v>
      </c>
      <c r="H2506" s="137"/>
      <c r="I2506" s="137"/>
      <c r="J2506" s="135"/>
      <c r="K2506" s="135"/>
      <c r="L2506" s="135"/>
      <c r="M2506" s="135"/>
      <c r="N2506" s="135"/>
      <c r="O2506" s="135"/>
      <c r="P2506" s="135"/>
      <c r="Q2506" s="135"/>
      <c r="R2506" s="135"/>
      <c r="S2506" s="135"/>
      <c r="T2506" s="135"/>
      <c r="U2506" s="135"/>
      <c r="V2506" s="135"/>
      <c r="W2506" s="135"/>
      <c r="X2506" s="135"/>
      <c r="Y2506" s="135"/>
      <c r="Z2506" s="135"/>
    </row>
    <row r="2507" spans="1:26" ht="12.75">
      <c r="A2507" s="136" t="s">
        <v>15</v>
      </c>
      <c r="B2507" s="136" t="s">
        <v>7753</v>
      </c>
      <c r="C2507" s="136" t="s">
        <v>7758</v>
      </c>
      <c r="D2507" s="136" t="s">
        <v>1665</v>
      </c>
      <c r="E2507" s="136" t="s">
        <v>615</v>
      </c>
      <c r="F2507" s="136">
        <v>55</v>
      </c>
      <c r="G2507" s="137">
        <f t="shared" si="9"/>
        <v>9</v>
      </c>
      <c r="H2507" s="137"/>
      <c r="I2507" s="137"/>
      <c r="J2507" s="135"/>
      <c r="K2507" s="135"/>
      <c r="L2507" s="135"/>
      <c r="M2507" s="135"/>
      <c r="N2507" s="135"/>
      <c r="O2507" s="135"/>
      <c r="P2507" s="135"/>
      <c r="Q2507" s="135"/>
      <c r="R2507" s="135"/>
      <c r="S2507" s="135"/>
      <c r="T2507" s="135"/>
      <c r="U2507" s="135"/>
      <c r="V2507" s="135"/>
      <c r="W2507" s="135"/>
      <c r="X2507" s="135"/>
      <c r="Y2507" s="135"/>
      <c r="Z2507" s="135"/>
    </row>
    <row r="2508" spans="1:26" ht="12.75">
      <c r="A2508" s="136" t="s">
        <v>15</v>
      </c>
      <c r="B2508" s="136" t="s">
        <v>7753</v>
      </c>
      <c r="C2508" s="136" t="s">
        <v>7758</v>
      </c>
      <c r="D2508" s="136"/>
      <c r="E2508" s="136" t="s">
        <v>7693</v>
      </c>
      <c r="F2508" s="136">
        <v>1721</v>
      </c>
      <c r="G2508" s="137">
        <f t="shared" si="9"/>
        <v>1</v>
      </c>
      <c r="H2508" s="137"/>
      <c r="I2508" s="137"/>
      <c r="J2508" s="135"/>
      <c r="K2508" s="135"/>
      <c r="L2508" s="135"/>
      <c r="M2508" s="135"/>
      <c r="N2508" s="135"/>
      <c r="O2508" s="135"/>
      <c r="P2508" s="135"/>
      <c r="Q2508" s="135"/>
      <c r="R2508" s="135"/>
      <c r="S2508" s="135"/>
      <c r="T2508" s="135"/>
      <c r="U2508" s="135"/>
      <c r="V2508" s="135"/>
      <c r="W2508" s="135"/>
      <c r="X2508" s="135"/>
      <c r="Y2508" s="135"/>
      <c r="Z2508" s="135"/>
    </row>
    <row r="2509" spans="1:26" ht="12.75">
      <c r="A2509" s="136" t="s">
        <v>15</v>
      </c>
      <c r="B2509" s="136" t="s">
        <v>7753</v>
      </c>
      <c r="C2509" s="136" t="s">
        <v>7761</v>
      </c>
      <c r="D2509" s="136" t="s">
        <v>7544</v>
      </c>
      <c r="E2509" s="136" t="s">
        <v>615</v>
      </c>
      <c r="F2509" s="136">
        <v>505</v>
      </c>
      <c r="G2509" s="137">
        <f t="shared" si="9"/>
        <v>2</v>
      </c>
      <c r="H2509" s="137"/>
      <c r="I2509" s="137"/>
      <c r="J2509" s="135"/>
      <c r="K2509" s="135"/>
      <c r="L2509" s="135"/>
      <c r="M2509" s="135"/>
      <c r="N2509" s="135"/>
      <c r="O2509" s="135"/>
      <c r="P2509" s="135"/>
      <c r="Q2509" s="135"/>
      <c r="R2509" s="135"/>
      <c r="S2509" s="135"/>
      <c r="T2509" s="135"/>
      <c r="U2509" s="135"/>
      <c r="V2509" s="135"/>
      <c r="W2509" s="135"/>
      <c r="X2509" s="135"/>
      <c r="Y2509" s="135"/>
      <c r="Z2509" s="135"/>
    </row>
    <row r="2510" spans="1:26" ht="12.75">
      <c r="A2510" s="136" t="s">
        <v>15</v>
      </c>
      <c r="B2510" s="136" t="s">
        <v>7753</v>
      </c>
      <c r="C2510" s="136" t="s">
        <v>7761</v>
      </c>
      <c r="D2510" s="136" t="s">
        <v>1669</v>
      </c>
      <c r="E2510" s="136" t="s">
        <v>615</v>
      </c>
      <c r="F2510" s="136">
        <v>208</v>
      </c>
      <c r="G2510" s="137">
        <f t="shared" si="9"/>
        <v>3</v>
      </c>
      <c r="H2510" s="137"/>
      <c r="I2510" s="137"/>
      <c r="J2510" s="135"/>
      <c r="K2510" s="135"/>
      <c r="L2510" s="135"/>
      <c r="M2510" s="135"/>
      <c r="N2510" s="135"/>
      <c r="O2510" s="135"/>
      <c r="P2510" s="135"/>
      <c r="Q2510" s="135"/>
      <c r="R2510" s="135"/>
      <c r="S2510" s="135"/>
      <c r="T2510" s="135"/>
      <c r="U2510" s="135"/>
      <c r="V2510" s="135"/>
      <c r="W2510" s="135"/>
      <c r="X2510" s="135"/>
      <c r="Y2510" s="135"/>
      <c r="Z2510" s="135"/>
    </row>
    <row r="2511" spans="1:26" ht="12.75">
      <c r="A2511" s="136" t="s">
        <v>15</v>
      </c>
      <c r="B2511" s="136" t="s">
        <v>7753</v>
      </c>
      <c r="C2511" s="136" t="s">
        <v>7761</v>
      </c>
      <c r="D2511" s="136" t="s">
        <v>7491</v>
      </c>
      <c r="E2511" s="136" t="s">
        <v>615</v>
      </c>
      <c r="F2511" s="136">
        <v>192</v>
      </c>
      <c r="G2511" s="137">
        <f t="shared" si="9"/>
        <v>4</v>
      </c>
      <c r="H2511" s="137"/>
      <c r="I2511" s="137"/>
      <c r="J2511" s="135"/>
      <c r="K2511" s="135"/>
      <c r="L2511" s="135"/>
      <c r="M2511" s="135"/>
      <c r="N2511" s="135"/>
      <c r="O2511" s="135"/>
      <c r="P2511" s="135"/>
      <c r="Q2511" s="135"/>
      <c r="R2511" s="135"/>
      <c r="S2511" s="135"/>
      <c r="T2511" s="135"/>
      <c r="U2511" s="135"/>
      <c r="V2511" s="135"/>
      <c r="W2511" s="135"/>
      <c r="X2511" s="135"/>
      <c r="Y2511" s="135"/>
      <c r="Z2511" s="135"/>
    </row>
    <row r="2512" spans="1:26" ht="12.75">
      <c r="A2512" s="136" t="s">
        <v>15</v>
      </c>
      <c r="B2512" s="136" t="s">
        <v>7753</v>
      </c>
      <c r="C2512" s="136" t="s">
        <v>7761</v>
      </c>
      <c r="D2512" s="136" t="s">
        <v>165</v>
      </c>
      <c r="E2512" s="136" t="s">
        <v>615</v>
      </c>
      <c r="F2512" s="136">
        <v>185</v>
      </c>
      <c r="G2512" s="137">
        <f t="shared" si="9"/>
        <v>5</v>
      </c>
      <c r="H2512" s="137"/>
      <c r="I2512" s="137"/>
      <c r="J2512" s="135"/>
      <c r="K2512" s="135"/>
      <c r="L2512" s="135"/>
      <c r="M2512" s="135"/>
      <c r="N2512" s="135"/>
      <c r="O2512" s="135"/>
      <c r="P2512" s="135"/>
      <c r="Q2512" s="135"/>
      <c r="R2512" s="135"/>
      <c r="S2512" s="135"/>
      <c r="T2512" s="135"/>
      <c r="U2512" s="135"/>
      <c r="V2512" s="135"/>
      <c r="W2512" s="135"/>
      <c r="X2512" s="135"/>
      <c r="Y2512" s="135"/>
      <c r="Z2512" s="135"/>
    </row>
    <row r="2513" spans="1:26" ht="12.75">
      <c r="A2513" s="136" t="s">
        <v>15</v>
      </c>
      <c r="B2513" s="136" t="s">
        <v>7753</v>
      </c>
      <c r="C2513" s="136" t="s">
        <v>7761</v>
      </c>
      <c r="D2513" s="136" t="s">
        <v>7762</v>
      </c>
      <c r="E2513" s="136" t="s">
        <v>615</v>
      </c>
      <c r="F2513" s="136">
        <v>145</v>
      </c>
      <c r="G2513" s="137">
        <f t="shared" si="9"/>
        <v>6</v>
      </c>
      <c r="H2513" s="137"/>
      <c r="I2513" s="137"/>
      <c r="J2513" s="135"/>
      <c r="K2513" s="135"/>
      <c r="L2513" s="135"/>
      <c r="M2513" s="135"/>
      <c r="N2513" s="135"/>
      <c r="O2513" s="135"/>
      <c r="P2513" s="135"/>
      <c r="Q2513" s="135"/>
      <c r="R2513" s="135"/>
      <c r="S2513" s="135"/>
      <c r="T2513" s="135"/>
      <c r="U2513" s="135"/>
      <c r="V2513" s="135"/>
      <c r="W2513" s="135"/>
      <c r="X2513" s="135"/>
      <c r="Y2513" s="135"/>
      <c r="Z2513" s="135"/>
    </row>
    <row r="2514" spans="1:26" ht="12.75">
      <c r="A2514" s="136" t="s">
        <v>15</v>
      </c>
      <c r="B2514" s="136" t="s">
        <v>7753</v>
      </c>
      <c r="C2514" s="136" t="s">
        <v>7761</v>
      </c>
      <c r="D2514" s="136" t="s">
        <v>139</v>
      </c>
      <c r="E2514" s="136" t="s">
        <v>594</v>
      </c>
      <c r="F2514" s="136">
        <v>122</v>
      </c>
      <c r="G2514" s="137">
        <f t="shared" si="9"/>
        <v>7</v>
      </c>
      <c r="H2514" s="137"/>
      <c r="I2514" s="137"/>
      <c r="J2514" s="135"/>
      <c r="K2514" s="135"/>
      <c r="L2514" s="135"/>
      <c r="M2514" s="135"/>
      <c r="N2514" s="135"/>
      <c r="O2514" s="135"/>
      <c r="P2514" s="135"/>
      <c r="Q2514" s="135"/>
      <c r="R2514" s="135"/>
      <c r="S2514" s="135"/>
      <c r="T2514" s="135"/>
      <c r="U2514" s="135"/>
      <c r="V2514" s="135"/>
      <c r="W2514" s="135"/>
      <c r="X2514" s="135"/>
      <c r="Y2514" s="135"/>
      <c r="Z2514" s="135"/>
    </row>
    <row r="2515" spans="1:26" ht="12.75">
      <c r="A2515" s="136" t="s">
        <v>15</v>
      </c>
      <c r="B2515" s="136" t="s">
        <v>7753</v>
      </c>
      <c r="C2515" s="136" t="s">
        <v>7761</v>
      </c>
      <c r="D2515" s="136" t="s">
        <v>7760</v>
      </c>
      <c r="E2515" s="136" t="s">
        <v>615</v>
      </c>
      <c r="F2515" s="136">
        <v>100</v>
      </c>
      <c r="G2515" s="137">
        <f t="shared" si="9"/>
        <v>8</v>
      </c>
      <c r="H2515" s="137"/>
      <c r="I2515" s="137"/>
      <c r="J2515" s="135"/>
      <c r="K2515" s="135"/>
      <c r="L2515" s="135"/>
      <c r="M2515" s="135"/>
      <c r="N2515" s="135"/>
      <c r="O2515" s="135"/>
      <c r="P2515" s="135"/>
      <c r="Q2515" s="135"/>
      <c r="R2515" s="135"/>
      <c r="S2515" s="135"/>
      <c r="T2515" s="135"/>
      <c r="U2515" s="135"/>
      <c r="V2515" s="135"/>
      <c r="W2515" s="135"/>
      <c r="X2515" s="135"/>
      <c r="Y2515" s="135"/>
      <c r="Z2515" s="135"/>
    </row>
    <row r="2516" spans="1:26" ht="12.75">
      <c r="A2516" s="136" t="s">
        <v>15</v>
      </c>
      <c r="B2516" s="136" t="s">
        <v>7753</v>
      </c>
      <c r="C2516" s="136" t="s">
        <v>7761</v>
      </c>
      <c r="D2516" s="136" t="s">
        <v>114</v>
      </c>
      <c r="E2516" s="136" t="s">
        <v>85</v>
      </c>
      <c r="F2516" s="136">
        <v>70</v>
      </c>
      <c r="G2516" s="137">
        <f t="shared" si="9"/>
        <v>9</v>
      </c>
      <c r="H2516" s="137"/>
      <c r="I2516" s="137"/>
      <c r="J2516" s="135"/>
      <c r="K2516" s="135"/>
      <c r="L2516" s="135"/>
      <c r="M2516" s="135"/>
      <c r="N2516" s="135"/>
      <c r="O2516" s="135"/>
      <c r="P2516" s="135"/>
      <c r="Q2516" s="135"/>
      <c r="R2516" s="135"/>
      <c r="S2516" s="135"/>
      <c r="T2516" s="135"/>
      <c r="U2516" s="135"/>
      <c r="V2516" s="135"/>
      <c r="W2516" s="135"/>
      <c r="X2516" s="135"/>
      <c r="Y2516" s="135"/>
      <c r="Z2516" s="135"/>
    </row>
    <row r="2517" spans="1:26" ht="12.75">
      <c r="A2517" s="136" t="s">
        <v>15</v>
      </c>
      <c r="B2517" s="136" t="s">
        <v>7753</v>
      </c>
      <c r="C2517" s="136" t="s">
        <v>7761</v>
      </c>
      <c r="D2517" s="136" t="s">
        <v>368</v>
      </c>
      <c r="E2517" s="136" t="s">
        <v>594</v>
      </c>
      <c r="F2517" s="136">
        <v>44</v>
      </c>
      <c r="G2517" s="137">
        <f t="shared" si="9"/>
        <v>10</v>
      </c>
      <c r="H2517" s="137"/>
      <c r="I2517" s="137"/>
      <c r="J2517" s="135"/>
      <c r="K2517" s="135"/>
      <c r="L2517" s="135"/>
      <c r="M2517" s="135"/>
      <c r="N2517" s="135"/>
      <c r="O2517" s="135"/>
      <c r="P2517" s="135"/>
      <c r="Q2517" s="135"/>
      <c r="R2517" s="135"/>
      <c r="S2517" s="135"/>
      <c r="T2517" s="135"/>
      <c r="U2517" s="135"/>
      <c r="V2517" s="135"/>
      <c r="W2517" s="135"/>
      <c r="X2517" s="135"/>
      <c r="Y2517" s="135"/>
      <c r="Z2517" s="135"/>
    </row>
    <row r="2518" spans="1:26" ht="12.75">
      <c r="A2518" s="136" t="s">
        <v>15</v>
      </c>
      <c r="B2518" s="136" t="s">
        <v>7753</v>
      </c>
      <c r="C2518" s="136" t="s">
        <v>7761</v>
      </c>
      <c r="D2518" s="136"/>
      <c r="E2518" s="136" t="s">
        <v>7693</v>
      </c>
      <c r="F2518" s="136">
        <v>1571</v>
      </c>
      <c r="G2518" s="137">
        <f t="shared" si="9"/>
        <v>1</v>
      </c>
      <c r="H2518" s="137"/>
      <c r="I2518" s="137"/>
      <c r="J2518" s="135"/>
      <c r="K2518" s="135"/>
      <c r="L2518" s="135"/>
      <c r="M2518" s="135"/>
      <c r="N2518" s="135"/>
      <c r="O2518" s="135"/>
      <c r="P2518" s="135"/>
      <c r="Q2518" s="135"/>
      <c r="R2518" s="135"/>
      <c r="S2518" s="135"/>
      <c r="T2518" s="135"/>
      <c r="U2518" s="135"/>
      <c r="V2518" s="135"/>
      <c r="W2518" s="135"/>
      <c r="X2518" s="135"/>
      <c r="Y2518" s="135"/>
      <c r="Z2518" s="135"/>
    </row>
    <row r="2519" spans="1:26" ht="12.75">
      <c r="A2519" s="136" t="s">
        <v>15</v>
      </c>
      <c r="B2519" s="136" t="s">
        <v>7753</v>
      </c>
      <c r="C2519" s="136" t="s">
        <v>7763</v>
      </c>
      <c r="D2519" s="136" t="s">
        <v>7544</v>
      </c>
      <c r="E2519" s="136" t="s">
        <v>615</v>
      </c>
      <c r="F2519" s="136">
        <v>645</v>
      </c>
      <c r="G2519" s="137">
        <f t="shared" si="9"/>
        <v>2</v>
      </c>
      <c r="H2519" s="137"/>
      <c r="I2519" s="137"/>
      <c r="J2519" s="135"/>
      <c r="K2519" s="135"/>
      <c r="L2519" s="135"/>
      <c r="M2519" s="135"/>
      <c r="N2519" s="135"/>
      <c r="O2519" s="135"/>
      <c r="P2519" s="135"/>
      <c r="Q2519" s="135"/>
      <c r="R2519" s="135"/>
      <c r="S2519" s="135"/>
      <c r="T2519" s="135"/>
      <c r="U2519" s="135"/>
      <c r="V2519" s="135"/>
      <c r="W2519" s="135"/>
      <c r="X2519" s="135"/>
      <c r="Y2519" s="135"/>
      <c r="Z2519" s="135"/>
    </row>
    <row r="2520" spans="1:26" ht="12.75">
      <c r="A2520" s="136" t="s">
        <v>15</v>
      </c>
      <c r="B2520" s="136" t="s">
        <v>7753</v>
      </c>
      <c r="C2520" s="136" t="s">
        <v>7763</v>
      </c>
      <c r="D2520" s="136" t="s">
        <v>1669</v>
      </c>
      <c r="E2520" s="136" t="s">
        <v>615</v>
      </c>
      <c r="F2520" s="136">
        <v>244</v>
      </c>
      <c r="G2520" s="137">
        <f t="shared" si="9"/>
        <v>3</v>
      </c>
      <c r="H2520" s="137"/>
      <c r="I2520" s="137"/>
      <c r="J2520" s="135"/>
      <c r="K2520" s="135"/>
      <c r="L2520" s="135"/>
      <c r="M2520" s="135"/>
      <c r="N2520" s="135"/>
      <c r="O2520" s="135"/>
      <c r="P2520" s="135"/>
      <c r="Q2520" s="135"/>
      <c r="R2520" s="135"/>
      <c r="S2520" s="135"/>
      <c r="T2520" s="135"/>
      <c r="U2520" s="135"/>
      <c r="V2520" s="135"/>
      <c r="W2520" s="135"/>
      <c r="X2520" s="135"/>
      <c r="Y2520" s="135"/>
      <c r="Z2520" s="135"/>
    </row>
    <row r="2521" spans="1:26" ht="12.75">
      <c r="A2521" s="136" t="s">
        <v>15</v>
      </c>
      <c r="B2521" s="136" t="s">
        <v>7753</v>
      </c>
      <c r="C2521" s="136" t="s">
        <v>7763</v>
      </c>
      <c r="D2521" s="136" t="s">
        <v>368</v>
      </c>
      <c r="E2521" s="136" t="s">
        <v>594</v>
      </c>
      <c r="F2521" s="136">
        <v>222</v>
      </c>
      <c r="G2521" s="137">
        <f t="shared" si="9"/>
        <v>4</v>
      </c>
      <c r="H2521" s="137"/>
      <c r="I2521" s="137"/>
      <c r="J2521" s="135"/>
      <c r="K2521" s="135"/>
      <c r="L2521" s="135"/>
      <c r="M2521" s="135"/>
      <c r="N2521" s="135"/>
      <c r="O2521" s="135"/>
      <c r="P2521" s="135"/>
      <c r="Q2521" s="135"/>
      <c r="R2521" s="135"/>
      <c r="S2521" s="135"/>
      <c r="T2521" s="135"/>
      <c r="U2521" s="135"/>
      <c r="V2521" s="135"/>
      <c r="W2521" s="135"/>
      <c r="X2521" s="135"/>
      <c r="Y2521" s="135"/>
      <c r="Z2521" s="135"/>
    </row>
    <row r="2522" spans="1:26" ht="12.75">
      <c r="A2522" s="136" t="s">
        <v>15</v>
      </c>
      <c r="B2522" s="136" t="s">
        <v>7753</v>
      </c>
      <c r="C2522" s="136" t="s">
        <v>7763</v>
      </c>
      <c r="D2522" s="136" t="s">
        <v>165</v>
      </c>
      <c r="E2522" s="136" t="s">
        <v>615</v>
      </c>
      <c r="F2522" s="136">
        <v>165</v>
      </c>
      <c r="G2522" s="137">
        <f t="shared" si="9"/>
        <v>5</v>
      </c>
      <c r="H2522" s="137"/>
      <c r="I2522" s="137"/>
      <c r="J2522" s="135"/>
      <c r="K2522" s="135"/>
      <c r="L2522" s="135"/>
      <c r="M2522" s="135"/>
      <c r="N2522" s="135"/>
      <c r="O2522" s="135"/>
      <c r="P2522" s="135"/>
      <c r="Q2522" s="135"/>
      <c r="R2522" s="135"/>
      <c r="S2522" s="135"/>
      <c r="T2522" s="135"/>
      <c r="U2522" s="135"/>
      <c r="V2522" s="135"/>
      <c r="W2522" s="135"/>
      <c r="X2522" s="135"/>
      <c r="Y2522" s="135"/>
      <c r="Z2522" s="135"/>
    </row>
    <row r="2523" spans="1:26" ht="12.75">
      <c r="A2523" s="136" t="s">
        <v>15</v>
      </c>
      <c r="B2523" s="136" t="s">
        <v>7753</v>
      </c>
      <c r="C2523" s="136" t="s">
        <v>7763</v>
      </c>
      <c r="D2523" s="136" t="s">
        <v>7491</v>
      </c>
      <c r="E2523" s="136" t="s">
        <v>615</v>
      </c>
      <c r="F2523" s="136">
        <v>127</v>
      </c>
      <c r="G2523" s="137">
        <f t="shared" si="9"/>
        <v>6</v>
      </c>
      <c r="H2523" s="137"/>
      <c r="I2523" s="137"/>
      <c r="J2523" s="135"/>
      <c r="K2523" s="135"/>
      <c r="L2523" s="135"/>
      <c r="M2523" s="135"/>
      <c r="N2523" s="135"/>
      <c r="O2523" s="135"/>
      <c r="P2523" s="135"/>
      <c r="Q2523" s="135"/>
      <c r="R2523" s="135"/>
      <c r="S2523" s="135"/>
      <c r="T2523" s="135"/>
      <c r="U2523" s="135"/>
      <c r="V2523" s="135"/>
      <c r="W2523" s="135"/>
      <c r="X2523" s="135"/>
      <c r="Y2523" s="135"/>
      <c r="Z2523" s="135"/>
    </row>
    <row r="2524" spans="1:26" ht="12.75">
      <c r="A2524" s="136" t="s">
        <v>15</v>
      </c>
      <c r="B2524" s="136" t="s">
        <v>7753</v>
      </c>
      <c r="C2524" s="136" t="s">
        <v>7763</v>
      </c>
      <c r="D2524" s="136" t="s">
        <v>139</v>
      </c>
      <c r="E2524" s="136" t="s">
        <v>594</v>
      </c>
      <c r="F2524" s="136">
        <v>122</v>
      </c>
      <c r="G2524" s="137">
        <f t="shared" si="9"/>
        <v>7</v>
      </c>
      <c r="H2524" s="137"/>
      <c r="I2524" s="137"/>
      <c r="J2524" s="135"/>
      <c r="K2524" s="135"/>
      <c r="L2524" s="135"/>
      <c r="M2524" s="135"/>
      <c r="N2524" s="135"/>
      <c r="O2524" s="135"/>
      <c r="P2524" s="135"/>
      <c r="Q2524" s="135"/>
      <c r="R2524" s="135"/>
      <c r="S2524" s="135"/>
      <c r="T2524" s="135"/>
      <c r="U2524" s="135"/>
      <c r="V2524" s="135"/>
      <c r="W2524" s="135"/>
      <c r="X2524" s="135"/>
      <c r="Y2524" s="135"/>
      <c r="Z2524" s="135"/>
    </row>
    <row r="2525" spans="1:26" ht="12.75">
      <c r="A2525" s="136" t="s">
        <v>15</v>
      </c>
      <c r="B2525" s="136" t="s">
        <v>7753</v>
      </c>
      <c r="C2525" s="136" t="s">
        <v>7763</v>
      </c>
      <c r="D2525" s="136"/>
      <c r="E2525" s="136" t="s">
        <v>7693</v>
      </c>
      <c r="F2525" s="136">
        <v>1525</v>
      </c>
      <c r="G2525" s="137">
        <f t="shared" si="9"/>
        <v>1</v>
      </c>
      <c r="H2525" s="137"/>
      <c r="I2525" s="137"/>
      <c r="J2525" s="135"/>
      <c r="K2525" s="135"/>
      <c r="L2525" s="135"/>
      <c r="M2525" s="135"/>
      <c r="N2525" s="135"/>
      <c r="O2525" s="135"/>
      <c r="P2525" s="135"/>
      <c r="Q2525" s="135"/>
      <c r="R2525" s="135"/>
      <c r="S2525" s="135"/>
      <c r="T2525" s="135"/>
      <c r="U2525" s="135"/>
      <c r="V2525" s="135"/>
      <c r="W2525" s="135"/>
      <c r="X2525" s="135"/>
      <c r="Y2525" s="135"/>
      <c r="Z2525" s="135"/>
    </row>
    <row r="2526" spans="1:26" ht="12.75">
      <c r="A2526" s="136" t="s">
        <v>15</v>
      </c>
      <c r="B2526" s="136" t="s">
        <v>7753</v>
      </c>
      <c r="C2526" s="136" t="s">
        <v>7764</v>
      </c>
      <c r="D2526" s="136" t="s">
        <v>368</v>
      </c>
      <c r="E2526" s="136" t="s">
        <v>594</v>
      </c>
      <c r="F2526" s="136">
        <v>450</v>
      </c>
      <c r="G2526" s="137">
        <f t="shared" si="9"/>
        <v>2</v>
      </c>
      <c r="H2526" s="137"/>
      <c r="I2526" s="137"/>
      <c r="J2526" s="135"/>
      <c r="K2526" s="135"/>
      <c r="L2526" s="135"/>
      <c r="M2526" s="135"/>
      <c r="N2526" s="135"/>
      <c r="O2526" s="135"/>
      <c r="P2526" s="135"/>
      <c r="Q2526" s="135"/>
      <c r="R2526" s="135"/>
      <c r="S2526" s="135"/>
      <c r="T2526" s="135"/>
      <c r="U2526" s="135"/>
      <c r="V2526" s="135"/>
      <c r="W2526" s="135"/>
      <c r="X2526" s="135"/>
      <c r="Y2526" s="135"/>
      <c r="Z2526" s="135"/>
    </row>
    <row r="2527" spans="1:26" ht="12.75">
      <c r="A2527" s="136" t="s">
        <v>15</v>
      </c>
      <c r="B2527" s="136" t="s">
        <v>7753</v>
      </c>
      <c r="C2527" s="136" t="s">
        <v>7764</v>
      </c>
      <c r="D2527" s="136" t="s">
        <v>7544</v>
      </c>
      <c r="E2527" s="136" t="s">
        <v>615</v>
      </c>
      <c r="F2527" s="136">
        <v>445</v>
      </c>
      <c r="G2527" s="137">
        <f t="shared" si="9"/>
        <v>3</v>
      </c>
      <c r="H2527" s="137"/>
      <c r="I2527" s="137"/>
      <c r="J2527" s="135"/>
      <c r="K2527" s="135"/>
      <c r="L2527" s="135"/>
      <c r="M2527" s="135"/>
      <c r="N2527" s="135"/>
      <c r="O2527" s="135"/>
      <c r="P2527" s="135"/>
      <c r="Q2527" s="135"/>
      <c r="R2527" s="135"/>
      <c r="S2527" s="135"/>
      <c r="T2527" s="135"/>
      <c r="U2527" s="135"/>
      <c r="V2527" s="135"/>
      <c r="W2527" s="135"/>
      <c r="X2527" s="135"/>
      <c r="Y2527" s="135"/>
      <c r="Z2527" s="135"/>
    </row>
    <row r="2528" spans="1:26" ht="12.75">
      <c r="A2528" s="136" t="s">
        <v>15</v>
      </c>
      <c r="B2528" s="136" t="s">
        <v>7753</v>
      </c>
      <c r="C2528" s="136" t="s">
        <v>7764</v>
      </c>
      <c r="D2528" s="136" t="s">
        <v>7765</v>
      </c>
      <c r="E2528" s="136" t="s">
        <v>615</v>
      </c>
      <c r="F2528" s="136">
        <v>330</v>
      </c>
      <c r="G2528" s="137">
        <f t="shared" si="9"/>
        <v>4</v>
      </c>
      <c r="H2528" s="137"/>
      <c r="I2528" s="137"/>
      <c r="J2528" s="135"/>
      <c r="K2528" s="135"/>
      <c r="L2528" s="135"/>
      <c r="M2528" s="135"/>
      <c r="N2528" s="135"/>
      <c r="O2528" s="135"/>
      <c r="P2528" s="135"/>
      <c r="Q2528" s="135"/>
      <c r="R2528" s="135"/>
      <c r="S2528" s="135"/>
      <c r="T2528" s="135"/>
      <c r="U2528" s="135"/>
      <c r="V2528" s="135"/>
      <c r="W2528" s="135"/>
      <c r="X2528" s="135"/>
      <c r="Y2528" s="135"/>
      <c r="Z2528" s="135"/>
    </row>
    <row r="2529" spans="1:26" ht="12.75">
      <c r="A2529" s="136" t="s">
        <v>15</v>
      </c>
      <c r="B2529" s="136" t="s">
        <v>7753</v>
      </c>
      <c r="C2529" s="136" t="s">
        <v>7764</v>
      </c>
      <c r="D2529" s="136" t="s">
        <v>165</v>
      </c>
      <c r="E2529" s="136" t="s">
        <v>615</v>
      </c>
      <c r="F2529" s="136">
        <v>128</v>
      </c>
      <c r="G2529" s="137">
        <f t="shared" si="9"/>
        <v>5</v>
      </c>
      <c r="H2529" s="137"/>
      <c r="I2529" s="137"/>
      <c r="J2529" s="135"/>
      <c r="K2529" s="135"/>
      <c r="L2529" s="135"/>
      <c r="M2529" s="135"/>
      <c r="N2529" s="135"/>
      <c r="O2529" s="135"/>
      <c r="P2529" s="135"/>
      <c r="Q2529" s="135"/>
      <c r="R2529" s="135"/>
      <c r="S2529" s="135"/>
      <c r="T2529" s="135"/>
      <c r="U2529" s="135"/>
      <c r="V2529" s="135"/>
      <c r="W2529" s="135"/>
      <c r="X2529" s="135"/>
      <c r="Y2529" s="135"/>
      <c r="Z2529" s="135"/>
    </row>
    <row r="2530" spans="1:26" ht="12.75">
      <c r="A2530" s="136" t="s">
        <v>15</v>
      </c>
      <c r="B2530" s="136" t="s">
        <v>7753</v>
      </c>
      <c r="C2530" s="136" t="s">
        <v>7764</v>
      </c>
      <c r="D2530" s="136" t="s">
        <v>7491</v>
      </c>
      <c r="E2530" s="136" t="s">
        <v>615</v>
      </c>
      <c r="F2530" s="136">
        <v>74</v>
      </c>
      <c r="G2530" s="137">
        <f t="shared" si="9"/>
        <v>6</v>
      </c>
      <c r="H2530" s="137"/>
      <c r="I2530" s="137"/>
      <c r="J2530" s="135"/>
      <c r="K2530" s="135"/>
      <c r="L2530" s="135"/>
      <c r="M2530" s="135"/>
      <c r="N2530" s="135"/>
      <c r="O2530" s="135"/>
      <c r="P2530" s="135"/>
      <c r="Q2530" s="135"/>
      <c r="R2530" s="135"/>
      <c r="S2530" s="135"/>
      <c r="T2530" s="135"/>
      <c r="U2530" s="135"/>
      <c r="V2530" s="135"/>
      <c r="W2530" s="135"/>
      <c r="X2530" s="135"/>
      <c r="Y2530" s="135"/>
      <c r="Z2530" s="135"/>
    </row>
    <row r="2531" spans="1:26" ht="12.75">
      <c r="A2531" s="136" t="s">
        <v>15</v>
      </c>
      <c r="B2531" s="136" t="s">
        <v>7753</v>
      </c>
      <c r="C2531" s="136" t="s">
        <v>7764</v>
      </c>
      <c r="D2531" s="136" t="s">
        <v>7766</v>
      </c>
      <c r="E2531" s="136" t="s">
        <v>594</v>
      </c>
      <c r="F2531" s="136">
        <v>70</v>
      </c>
      <c r="G2531" s="137">
        <f t="shared" si="9"/>
        <v>7</v>
      </c>
      <c r="H2531" s="137"/>
      <c r="I2531" s="137"/>
      <c r="J2531" s="135"/>
      <c r="K2531" s="135"/>
      <c r="L2531" s="135"/>
      <c r="M2531" s="135"/>
      <c r="N2531" s="135"/>
      <c r="O2531" s="135"/>
      <c r="P2531" s="135"/>
      <c r="Q2531" s="135"/>
      <c r="R2531" s="135"/>
      <c r="S2531" s="135"/>
      <c r="T2531" s="135"/>
      <c r="U2531" s="135"/>
      <c r="V2531" s="135"/>
      <c r="W2531" s="135"/>
      <c r="X2531" s="135"/>
      <c r="Y2531" s="135"/>
      <c r="Z2531" s="135"/>
    </row>
    <row r="2532" spans="1:26" ht="12.75">
      <c r="A2532" s="136" t="s">
        <v>15</v>
      </c>
      <c r="B2532" s="136" t="s">
        <v>7753</v>
      </c>
      <c r="C2532" s="136" t="s">
        <v>7764</v>
      </c>
      <c r="D2532" s="136" t="s">
        <v>7767</v>
      </c>
      <c r="E2532" s="136" t="s">
        <v>594</v>
      </c>
      <c r="F2532" s="136">
        <v>60</v>
      </c>
      <c r="G2532" s="137">
        <f t="shared" si="9"/>
        <v>8</v>
      </c>
      <c r="H2532" s="137"/>
      <c r="I2532" s="137"/>
      <c r="J2532" s="135"/>
      <c r="K2532" s="135"/>
      <c r="L2532" s="135"/>
      <c r="M2532" s="135"/>
      <c r="N2532" s="135"/>
      <c r="O2532" s="135"/>
      <c r="P2532" s="135"/>
      <c r="Q2532" s="135"/>
      <c r="R2532" s="135"/>
      <c r="S2532" s="135"/>
      <c r="T2532" s="135"/>
      <c r="U2532" s="135"/>
      <c r="V2532" s="135"/>
      <c r="W2532" s="135"/>
      <c r="X2532" s="135"/>
      <c r="Y2532" s="135"/>
      <c r="Z2532" s="135"/>
    </row>
    <row r="2533" spans="1:26" ht="12.75">
      <c r="A2533" s="136" t="s">
        <v>15</v>
      </c>
      <c r="B2533" s="136" t="s">
        <v>7753</v>
      </c>
      <c r="C2533" s="136" t="s">
        <v>7764</v>
      </c>
      <c r="D2533" s="136" t="s">
        <v>139</v>
      </c>
      <c r="E2533" s="136" t="s">
        <v>594</v>
      </c>
      <c r="F2533" s="136">
        <v>50</v>
      </c>
      <c r="G2533" s="137">
        <f t="shared" si="9"/>
        <v>9</v>
      </c>
      <c r="H2533" s="137"/>
      <c r="I2533" s="137"/>
      <c r="J2533" s="135"/>
      <c r="K2533" s="135"/>
      <c r="L2533" s="135"/>
      <c r="M2533" s="135"/>
      <c r="N2533" s="135"/>
      <c r="O2533" s="135"/>
      <c r="P2533" s="135"/>
      <c r="Q2533" s="135"/>
      <c r="R2533" s="135"/>
      <c r="S2533" s="135"/>
      <c r="T2533" s="135"/>
      <c r="U2533" s="135"/>
      <c r="V2533" s="135"/>
      <c r="W2533" s="135"/>
      <c r="X2533" s="135"/>
      <c r="Y2533" s="135"/>
      <c r="Z2533" s="135"/>
    </row>
    <row r="2534" spans="1:26" ht="12.75">
      <c r="A2534" s="136" t="s">
        <v>15</v>
      </c>
      <c r="B2534" s="136" t="s">
        <v>7753</v>
      </c>
      <c r="C2534" s="136" t="s">
        <v>7764</v>
      </c>
      <c r="D2534" s="136"/>
      <c r="E2534" s="136" t="s">
        <v>7693</v>
      </c>
      <c r="F2534" s="136">
        <v>1607</v>
      </c>
      <c r="G2534" s="137">
        <f t="shared" si="9"/>
        <v>1</v>
      </c>
      <c r="H2534" s="137"/>
      <c r="I2534" s="137"/>
      <c r="J2534" s="135"/>
      <c r="K2534" s="135"/>
      <c r="L2534" s="135"/>
      <c r="M2534" s="135"/>
      <c r="N2534" s="135"/>
      <c r="O2534" s="135"/>
      <c r="P2534" s="135"/>
      <c r="Q2534" s="135"/>
      <c r="R2534" s="135"/>
      <c r="S2534" s="135"/>
      <c r="T2534" s="135"/>
      <c r="U2534" s="135"/>
      <c r="V2534" s="135"/>
      <c r="W2534" s="135"/>
      <c r="X2534" s="135"/>
      <c r="Y2534" s="135"/>
      <c r="Z2534" s="135"/>
    </row>
    <row r="2535" spans="1:26" ht="12.75">
      <c r="A2535" s="136" t="s">
        <v>15</v>
      </c>
      <c r="B2535" s="136" t="s">
        <v>7753</v>
      </c>
      <c r="C2535" s="136" t="s">
        <v>7768</v>
      </c>
      <c r="D2535" s="136" t="s">
        <v>7743</v>
      </c>
      <c r="E2535" s="136" t="s">
        <v>594</v>
      </c>
      <c r="F2535" s="136">
        <v>444</v>
      </c>
      <c r="G2535" s="137">
        <f t="shared" si="9"/>
        <v>2</v>
      </c>
      <c r="H2535" s="137"/>
      <c r="I2535" s="137"/>
      <c r="J2535" s="135"/>
      <c r="K2535" s="135"/>
      <c r="L2535" s="135"/>
      <c r="M2535" s="135"/>
      <c r="N2535" s="135"/>
      <c r="O2535" s="135"/>
      <c r="P2535" s="135"/>
      <c r="Q2535" s="135"/>
      <c r="R2535" s="135"/>
      <c r="S2535" s="135"/>
      <c r="T2535" s="135"/>
      <c r="U2535" s="135"/>
      <c r="V2535" s="135"/>
      <c r="W2535" s="135"/>
      <c r="X2535" s="135"/>
      <c r="Y2535" s="135"/>
      <c r="Z2535" s="135"/>
    </row>
    <row r="2536" spans="1:26" ht="12.75">
      <c r="A2536" s="136" t="s">
        <v>15</v>
      </c>
      <c r="B2536" s="136" t="s">
        <v>7753</v>
      </c>
      <c r="C2536" s="136" t="s">
        <v>7768</v>
      </c>
      <c r="D2536" s="136" t="s">
        <v>7721</v>
      </c>
      <c r="E2536" s="136" t="s">
        <v>615</v>
      </c>
      <c r="F2536" s="136">
        <v>337</v>
      </c>
      <c r="G2536" s="137">
        <f t="shared" si="9"/>
        <v>3</v>
      </c>
      <c r="H2536" s="137"/>
      <c r="I2536" s="137"/>
      <c r="J2536" s="135"/>
      <c r="K2536" s="135"/>
      <c r="L2536" s="135"/>
      <c r="M2536" s="135"/>
      <c r="N2536" s="135"/>
      <c r="O2536" s="135"/>
      <c r="P2536" s="135"/>
      <c r="Q2536" s="135"/>
      <c r="R2536" s="135"/>
      <c r="S2536" s="135"/>
      <c r="T2536" s="135"/>
      <c r="U2536" s="135"/>
      <c r="V2536" s="135"/>
      <c r="W2536" s="135"/>
      <c r="X2536" s="135"/>
      <c r="Y2536" s="135"/>
      <c r="Z2536" s="135"/>
    </row>
    <row r="2537" spans="1:26" ht="12.75">
      <c r="A2537" s="136" t="s">
        <v>15</v>
      </c>
      <c r="B2537" s="136" t="s">
        <v>7753</v>
      </c>
      <c r="C2537" s="136" t="s">
        <v>7768</v>
      </c>
      <c r="D2537" s="136" t="s">
        <v>7491</v>
      </c>
      <c r="E2537" s="136" t="s">
        <v>615</v>
      </c>
      <c r="F2537" s="136">
        <v>196</v>
      </c>
      <c r="G2537" s="137">
        <f t="shared" si="9"/>
        <v>4</v>
      </c>
      <c r="H2537" s="137"/>
      <c r="I2537" s="137"/>
      <c r="J2537" s="135"/>
      <c r="K2537" s="135"/>
      <c r="L2537" s="135"/>
      <c r="M2537" s="135"/>
      <c r="N2537" s="135"/>
      <c r="O2537" s="135"/>
      <c r="P2537" s="135"/>
      <c r="Q2537" s="135"/>
      <c r="R2537" s="135"/>
      <c r="S2537" s="135"/>
      <c r="T2537" s="135"/>
      <c r="U2537" s="135"/>
      <c r="V2537" s="135"/>
      <c r="W2537" s="135"/>
      <c r="X2537" s="135"/>
      <c r="Y2537" s="135"/>
      <c r="Z2537" s="135"/>
    </row>
    <row r="2538" spans="1:26" ht="12.75">
      <c r="A2538" s="136" t="s">
        <v>15</v>
      </c>
      <c r="B2538" s="136" t="s">
        <v>7753</v>
      </c>
      <c r="C2538" s="136" t="s">
        <v>7768</v>
      </c>
      <c r="D2538" s="136" t="s">
        <v>103</v>
      </c>
      <c r="E2538" s="136" t="s">
        <v>594</v>
      </c>
      <c r="F2538" s="136">
        <v>150</v>
      </c>
      <c r="G2538" s="137">
        <f t="shared" si="9"/>
        <v>5</v>
      </c>
      <c r="H2538" s="137"/>
      <c r="I2538" s="137"/>
      <c r="J2538" s="135"/>
      <c r="K2538" s="135"/>
      <c r="L2538" s="135"/>
      <c r="M2538" s="135"/>
      <c r="N2538" s="135"/>
      <c r="O2538" s="135"/>
      <c r="P2538" s="135"/>
      <c r="Q2538" s="135"/>
      <c r="R2538" s="135"/>
      <c r="S2538" s="135"/>
      <c r="T2538" s="135"/>
      <c r="U2538" s="135"/>
      <c r="V2538" s="135"/>
      <c r="W2538" s="135"/>
      <c r="X2538" s="135"/>
      <c r="Y2538" s="135"/>
      <c r="Z2538" s="135"/>
    </row>
    <row r="2539" spans="1:26" ht="12.75">
      <c r="A2539" s="136" t="s">
        <v>15</v>
      </c>
      <c r="B2539" s="136" t="s">
        <v>7753</v>
      </c>
      <c r="C2539" s="136" t="s">
        <v>7768</v>
      </c>
      <c r="D2539" s="136" t="s">
        <v>165</v>
      </c>
      <c r="E2539" s="136" t="s">
        <v>615</v>
      </c>
      <c r="F2539" s="136">
        <v>120</v>
      </c>
      <c r="G2539" s="137">
        <f t="shared" si="9"/>
        <v>6</v>
      </c>
      <c r="H2539" s="137"/>
      <c r="I2539" s="137"/>
      <c r="J2539" s="135"/>
      <c r="K2539" s="135"/>
      <c r="L2539" s="135"/>
      <c r="M2539" s="135"/>
      <c r="N2539" s="135"/>
      <c r="O2539" s="135"/>
      <c r="P2539" s="135"/>
      <c r="Q2539" s="135"/>
      <c r="R2539" s="135"/>
      <c r="S2539" s="135"/>
      <c r="T2539" s="135"/>
      <c r="U2539" s="135"/>
      <c r="V2539" s="135"/>
      <c r="W2539" s="135"/>
      <c r="X2539" s="135"/>
      <c r="Y2539" s="135"/>
      <c r="Z2539" s="135"/>
    </row>
    <row r="2540" spans="1:26" ht="12.75">
      <c r="A2540" s="136" t="s">
        <v>15</v>
      </c>
      <c r="B2540" s="136" t="s">
        <v>7753</v>
      </c>
      <c r="C2540" s="136" t="s">
        <v>7768</v>
      </c>
      <c r="D2540" s="136" t="s">
        <v>7521</v>
      </c>
      <c r="E2540" s="136" t="s">
        <v>594</v>
      </c>
      <c r="F2540" s="136">
        <v>70</v>
      </c>
      <c r="G2540" s="137">
        <f t="shared" si="9"/>
        <v>7</v>
      </c>
      <c r="H2540" s="137"/>
      <c r="I2540" s="137"/>
      <c r="J2540" s="135"/>
      <c r="K2540" s="135"/>
      <c r="L2540" s="135"/>
      <c r="M2540" s="135"/>
      <c r="N2540" s="135"/>
      <c r="O2540" s="135"/>
      <c r="P2540" s="135"/>
      <c r="Q2540" s="135"/>
      <c r="R2540" s="135"/>
      <c r="S2540" s="135"/>
      <c r="T2540" s="135"/>
      <c r="U2540" s="135"/>
      <c r="V2540" s="135"/>
      <c r="W2540" s="135"/>
      <c r="X2540" s="135"/>
      <c r="Y2540" s="135"/>
      <c r="Z2540" s="135"/>
    </row>
    <row r="2541" spans="1:26" ht="12.75">
      <c r="A2541" s="136" t="s">
        <v>15</v>
      </c>
      <c r="B2541" s="136" t="s">
        <v>7753</v>
      </c>
      <c r="C2541" s="136" t="s">
        <v>7768</v>
      </c>
      <c r="D2541" s="136" t="s">
        <v>1665</v>
      </c>
      <c r="E2541" s="136" t="s">
        <v>615</v>
      </c>
      <c r="F2541" s="136">
        <v>65</v>
      </c>
      <c r="G2541" s="137">
        <f t="shared" si="9"/>
        <v>8</v>
      </c>
      <c r="H2541" s="137"/>
      <c r="I2541" s="137"/>
      <c r="J2541" s="135"/>
      <c r="K2541" s="135"/>
      <c r="L2541" s="135"/>
      <c r="M2541" s="135"/>
      <c r="N2541" s="135"/>
      <c r="O2541" s="135"/>
      <c r="P2541" s="135"/>
      <c r="Q2541" s="135"/>
      <c r="R2541" s="135"/>
      <c r="S2541" s="135"/>
      <c r="T2541" s="135"/>
      <c r="U2541" s="135"/>
      <c r="V2541" s="135"/>
      <c r="W2541" s="135"/>
      <c r="X2541" s="135"/>
      <c r="Y2541" s="135"/>
      <c r="Z2541" s="135"/>
    </row>
    <row r="2542" spans="1:26" ht="12.75">
      <c r="A2542" s="136" t="s">
        <v>15</v>
      </c>
      <c r="B2542" s="136" t="s">
        <v>7753</v>
      </c>
      <c r="C2542" s="136" t="s">
        <v>7768</v>
      </c>
      <c r="D2542" s="136" t="s">
        <v>7769</v>
      </c>
      <c r="E2542" s="136" t="s">
        <v>594</v>
      </c>
      <c r="F2542" s="136">
        <v>60</v>
      </c>
      <c r="G2542" s="137">
        <f t="shared" si="9"/>
        <v>9</v>
      </c>
      <c r="H2542" s="137"/>
      <c r="I2542" s="137"/>
      <c r="J2542" s="135"/>
      <c r="K2542" s="135"/>
      <c r="L2542" s="135"/>
      <c r="M2542" s="135"/>
      <c r="N2542" s="135"/>
      <c r="O2542" s="135"/>
      <c r="P2542" s="135"/>
      <c r="Q2542" s="135"/>
      <c r="R2542" s="135"/>
      <c r="S2542" s="135"/>
      <c r="T2542" s="135"/>
      <c r="U2542" s="135"/>
      <c r="V2542" s="135"/>
      <c r="W2542" s="135"/>
      <c r="X2542" s="135"/>
      <c r="Y2542" s="135"/>
      <c r="Z2542" s="135"/>
    </row>
    <row r="2543" spans="1:26" ht="12.75">
      <c r="A2543" s="136" t="s">
        <v>15</v>
      </c>
      <c r="B2543" s="136" t="s">
        <v>7753</v>
      </c>
      <c r="C2543" s="136" t="s">
        <v>7768</v>
      </c>
      <c r="D2543" s="136"/>
      <c r="E2543" s="136" t="s">
        <v>7693</v>
      </c>
      <c r="F2543" s="136">
        <v>1442</v>
      </c>
      <c r="G2543" s="137">
        <f t="shared" si="9"/>
        <v>1</v>
      </c>
      <c r="H2543" s="137"/>
      <c r="I2543" s="137"/>
      <c r="J2543" s="135"/>
      <c r="K2543" s="135"/>
      <c r="L2543" s="135"/>
      <c r="M2543" s="135"/>
      <c r="N2543" s="135"/>
      <c r="O2543" s="135"/>
      <c r="P2543" s="135"/>
      <c r="Q2543" s="135"/>
      <c r="R2543" s="135"/>
      <c r="S2543" s="135"/>
      <c r="T2543" s="135"/>
      <c r="U2543" s="135"/>
      <c r="V2543" s="135"/>
      <c r="W2543" s="135"/>
      <c r="X2543" s="135"/>
      <c r="Y2543" s="135"/>
      <c r="Z2543" s="135"/>
    </row>
    <row r="2544" spans="1:26" ht="12.75">
      <c r="A2544" s="136" t="s">
        <v>15</v>
      </c>
      <c r="B2544" s="136" t="s">
        <v>7753</v>
      </c>
      <c r="C2544" s="136" t="s">
        <v>7770</v>
      </c>
      <c r="D2544" s="136" t="s">
        <v>7721</v>
      </c>
      <c r="E2544" s="136" t="s">
        <v>615</v>
      </c>
      <c r="F2544" s="136">
        <v>575</v>
      </c>
      <c r="G2544" s="137">
        <f t="shared" si="9"/>
        <v>2</v>
      </c>
      <c r="H2544" s="137"/>
      <c r="I2544" s="137"/>
      <c r="J2544" s="135"/>
      <c r="K2544" s="135"/>
      <c r="L2544" s="135"/>
      <c r="M2544" s="135"/>
      <c r="N2544" s="135"/>
      <c r="O2544" s="135"/>
      <c r="P2544" s="135"/>
      <c r="Q2544" s="135"/>
      <c r="R2544" s="135"/>
      <c r="S2544" s="135"/>
      <c r="T2544" s="135"/>
      <c r="U2544" s="135"/>
      <c r="V2544" s="135"/>
      <c r="W2544" s="135"/>
      <c r="X2544" s="135"/>
      <c r="Y2544" s="135"/>
      <c r="Z2544" s="135"/>
    </row>
    <row r="2545" spans="1:26" ht="12.75">
      <c r="A2545" s="136" t="s">
        <v>15</v>
      </c>
      <c r="B2545" s="136" t="s">
        <v>7753</v>
      </c>
      <c r="C2545" s="136" t="s">
        <v>7770</v>
      </c>
      <c r="D2545" s="136" t="s">
        <v>103</v>
      </c>
      <c r="E2545" s="136" t="s">
        <v>594</v>
      </c>
      <c r="F2545" s="136">
        <v>275</v>
      </c>
      <c r="G2545" s="137">
        <f t="shared" si="9"/>
        <v>3</v>
      </c>
      <c r="H2545" s="137"/>
      <c r="I2545" s="137"/>
      <c r="J2545" s="135"/>
      <c r="K2545" s="135"/>
      <c r="L2545" s="135"/>
      <c r="M2545" s="135"/>
      <c r="N2545" s="135"/>
      <c r="O2545" s="135"/>
      <c r="P2545" s="135"/>
      <c r="Q2545" s="135"/>
      <c r="R2545" s="135"/>
      <c r="S2545" s="135"/>
      <c r="T2545" s="135"/>
      <c r="U2545" s="135"/>
      <c r="V2545" s="135"/>
      <c r="W2545" s="135"/>
      <c r="X2545" s="135"/>
      <c r="Y2545" s="135"/>
      <c r="Z2545" s="135"/>
    </row>
    <row r="2546" spans="1:26" ht="12.75">
      <c r="A2546" s="136" t="s">
        <v>15</v>
      </c>
      <c r="B2546" s="136" t="s">
        <v>7753</v>
      </c>
      <c r="C2546" s="136" t="s">
        <v>7770</v>
      </c>
      <c r="D2546" s="136" t="s">
        <v>7544</v>
      </c>
      <c r="E2546" s="136" t="s">
        <v>615</v>
      </c>
      <c r="F2546" s="136">
        <v>215</v>
      </c>
      <c r="G2546" s="137">
        <f t="shared" si="9"/>
        <v>4</v>
      </c>
      <c r="H2546" s="137"/>
      <c r="I2546" s="137"/>
      <c r="J2546" s="135"/>
      <c r="K2546" s="135"/>
      <c r="L2546" s="135"/>
      <c r="M2546" s="135"/>
      <c r="N2546" s="135"/>
      <c r="O2546" s="135"/>
      <c r="P2546" s="135"/>
      <c r="Q2546" s="135"/>
      <c r="R2546" s="135"/>
      <c r="S2546" s="135"/>
      <c r="T2546" s="135"/>
      <c r="U2546" s="135"/>
      <c r="V2546" s="135"/>
      <c r="W2546" s="135"/>
      <c r="X2546" s="135"/>
      <c r="Y2546" s="135"/>
      <c r="Z2546" s="135"/>
    </row>
    <row r="2547" spans="1:26" ht="12.75">
      <c r="A2547" s="136" t="s">
        <v>15</v>
      </c>
      <c r="B2547" s="136" t="s">
        <v>7753</v>
      </c>
      <c r="C2547" s="136" t="s">
        <v>7770</v>
      </c>
      <c r="D2547" s="136" t="s">
        <v>139</v>
      </c>
      <c r="E2547" s="136" t="s">
        <v>594</v>
      </c>
      <c r="F2547" s="136">
        <v>187</v>
      </c>
      <c r="G2547" s="137">
        <f t="shared" si="9"/>
        <v>5</v>
      </c>
      <c r="H2547" s="137"/>
      <c r="I2547" s="137"/>
      <c r="J2547" s="135"/>
      <c r="K2547" s="135"/>
      <c r="L2547" s="135"/>
      <c r="M2547" s="135"/>
      <c r="N2547" s="135"/>
      <c r="O2547" s="135"/>
      <c r="P2547" s="135"/>
      <c r="Q2547" s="135"/>
      <c r="R2547" s="135"/>
      <c r="S2547" s="135"/>
      <c r="T2547" s="135"/>
      <c r="U2547" s="135"/>
      <c r="V2547" s="135"/>
      <c r="W2547" s="135"/>
      <c r="X2547" s="135"/>
      <c r="Y2547" s="135"/>
      <c r="Z2547" s="135"/>
    </row>
    <row r="2548" spans="1:26" ht="12.75">
      <c r="A2548" s="136" t="s">
        <v>15</v>
      </c>
      <c r="B2548" s="136" t="s">
        <v>7753</v>
      </c>
      <c r="C2548" s="136" t="s">
        <v>7770</v>
      </c>
      <c r="D2548" s="136" t="s">
        <v>7491</v>
      </c>
      <c r="E2548" s="136" t="s">
        <v>615</v>
      </c>
      <c r="F2548" s="136">
        <v>143</v>
      </c>
      <c r="G2548" s="137">
        <f t="shared" si="9"/>
        <v>6</v>
      </c>
      <c r="H2548" s="137"/>
      <c r="I2548" s="137"/>
      <c r="J2548" s="135"/>
      <c r="K2548" s="135"/>
      <c r="L2548" s="135"/>
      <c r="M2548" s="135"/>
      <c r="N2548" s="135"/>
      <c r="O2548" s="135"/>
      <c r="P2548" s="135"/>
      <c r="Q2548" s="135"/>
      <c r="R2548" s="135"/>
      <c r="S2548" s="135"/>
      <c r="T2548" s="135"/>
      <c r="U2548" s="135"/>
      <c r="V2548" s="135"/>
      <c r="W2548" s="135"/>
      <c r="X2548" s="135"/>
      <c r="Y2548" s="135"/>
      <c r="Z2548" s="135"/>
    </row>
    <row r="2549" spans="1:26" ht="12.75">
      <c r="A2549" s="136" t="s">
        <v>15</v>
      </c>
      <c r="B2549" s="136" t="s">
        <v>7753</v>
      </c>
      <c r="C2549" s="136" t="s">
        <v>7770</v>
      </c>
      <c r="D2549" s="136" t="s">
        <v>368</v>
      </c>
      <c r="E2549" s="136" t="s">
        <v>594</v>
      </c>
      <c r="F2549" s="136">
        <v>65</v>
      </c>
      <c r="G2549" s="137">
        <f t="shared" si="9"/>
        <v>7</v>
      </c>
      <c r="H2549" s="137"/>
      <c r="I2549" s="137"/>
      <c r="J2549" s="135"/>
      <c r="K2549" s="135"/>
      <c r="L2549" s="135"/>
      <c r="M2549" s="135"/>
      <c r="N2549" s="135"/>
      <c r="O2549" s="135"/>
      <c r="P2549" s="135"/>
      <c r="Q2549" s="135"/>
      <c r="R2549" s="135"/>
      <c r="S2549" s="135"/>
      <c r="T2549" s="135"/>
      <c r="U2549" s="135"/>
      <c r="V2549" s="135"/>
      <c r="W2549" s="135"/>
      <c r="X2549" s="135"/>
      <c r="Y2549" s="135"/>
      <c r="Z2549" s="135"/>
    </row>
    <row r="2550" spans="1:26" ht="12.75">
      <c r="A2550" s="136" t="s">
        <v>15</v>
      </c>
      <c r="B2550" s="136" t="s">
        <v>7753</v>
      </c>
      <c r="C2550" s="136" t="s">
        <v>7770</v>
      </c>
      <c r="D2550" s="136"/>
      <c r="E2550" s="136" t="s">
        <v>7693</v>
      </c>
      <c r="F2550" s="136">
        <v>1460</v>
      </c>
      <c r="G2550" s="137">
        <f t="shared" si="9"/>
        <v>1</v>
      </c>
      <c r="H2550" s="137"/>
      <c r="I2550" s="137"/>
      <c r="J2550" s="135"/>
      <c r="K2550" s="135"/>
      <c r="L2550" s="135"/>
      <c r="M2550" s="135"/>
      <c r="N2550" s="135"/>
      <c r="O2550" s="135"/>
      <c r="P2550" s="135"/>
      <c r="Q2550" s="135"/>
      <c r="R2550" s="135"/>
      <c r="S2550" s="135"/>
      <c r="T2550" s="135"/>
      <c r="U2550" s="135"/>
      <c r="V2550" s="135"/>
      <c r="W2550" s="135"/>
      <c r="X2550" s="135"/>
      <c r="Y2550" s="135"/>
      <c r="Z2550" s="135"/>
    </row>
    <row r="2551" spans="1:26" ht="12.75">
      <c r="A2551" s="136" t="s">
        <v>15</v>
      </c>
      <c r="B2551" s="136" t="s">
        <v>7753</v>
      </c>
      <c r="C2551" s="136" t="s">
        <v>7771</v>
      </c>
      <c r="D2551" s="136" t="s">
        <v>139</v>
      </c>
      <c r="E2551" s="136" t="s">
        <v>594</v>
      </c>
      <c r="F2551" s="136">
        <v>570</v>
      </c>
      <c r="G2551" s="137">
        <f t="shared" si="9"/>
        <v>2</v>
      </c>
      <c r="H2551" s="137"/>
      <c r="I2551" s="137"/>
      <c r="J2551" s="135"/>
      <c r="K2551" s="135"/>
      <c r="L2551" s="135"/>
      <c r="M2551" s="135"/>
      <c r="N2551" s="135"/>
      <c r="O2551" s="135"/>
      <c r="P2551" s="135"/>
      <c r="Q2551" s="135"/>
      <c r="R2551" s="135"/>
      <c r="S2551" s="135"/>
      <c r="T2551" s="135"/>
      <c r="U2551" s="135"/>
      <c r="V2551" s="135"/>
      <c r="W2551" s="135"/>
      <c r="X2551" s="135"/>
      <c r="Y2551" s="135"/>
      <c r="Z2551" s="135"/>
    </row>
    <row r="2552" spans="1:26" ht="12.75">
      <c r="A2552" s="136" t="s">
        <v>15</v>
      </c>
      <c r="B2552" s="136" t="s">
        <v>7753</v>
      </c>
      <c r="C2552" s="136" t="s">
        <v>7771</v>
      </c>
      <c r="D2552" s="136" t="s">
        <v>7762</v>
      </c>
      <c r="E2552" s="136" t="s">
        <v>615</v>
      </c>
      <c r="F2552" s="136">
        <v>350</v>
      </c>
      <c r="G2552" s="137">
        <f t="shared" ref="G2552:G2806" si="10">COUNTIFS($C:$C,C2552,$F:$F,"&gt;"&amp;F2552)
 + COUNTIFS($C$2:C2552,C2552,$F$2:F2552,F2552)</f>
        <v>3</v>
      </c>
      <c r="H2552" s="137"/>
      <c r="I2552" s="137"/>
      <c r="J2552" s="135"/>
      <c r="K2552" s="135"/>
      <c r="L2552" s="135"/>
      <c r="M2552" s="135"/>
      <c r="N2552" s="135"/>
      <c r="O2552" s="135"/>
      <c r="P2552" s="135"/>
      <c r="Q2552" s="135"/>
      <c r="R2552" s="135"/>
      <c r="S2552" s="135"/>
      <c r="T2552" s="135"/>
      <c r="U2552" s="135"/>
      <c r="V2552" s="135"/>
      <c r="W2552" s="135"/>
      <c r="X2552" s="135"/>
      <c r="Y2552" s="135"/>
      <c r="Z2552" s="135"/>
    </row>
    <row r="2553" spans="1:26" ht="12.75">
      <c r="A2553" s="136" t="s">
        <v>15</v>
      </c>
      <c r="B2553" s="136" t="s">
        <v>7753</v>
      </c>
      <c r="C2553" s="136" t="s">
        <v>7771</v>
      </c>
      <c r="D2553" s="136" t="s">
        <v>225</v>
      </c>
      <c r="E2553" s="136" t="s">
        <v>615</v>
      </c>
      <c r="F2553" s="136">
        <v>165</v>
      </c>
      <c r="G2553" s="137">
        <f t="shared" si="10"/>
        <v>4</v>
      </c>
      <c r="H2553" s="137"/>
      <c r="I2553" s="137"/>
      <c r="J2553" s="135"/>
      <c r="K2553" s="135"/>
      <c r="L2553" s="135"/>
      <c r="M2553" s="135"/>
      <c r="N2553" s="135"/>
      <c r="O2553" s="135"/>
      <c r="P2553" s="135"/>
      <c r="Q2553" s="135"/>
      <c r="R2553" s="135"/>
      <c r="S2553" s="135"/>
      <c r="T2553" s="135"/>
      <c r="U2553" s="135"/>
      <c r="V2553" s="135"/>
      <c r="W2553" s="135"/>
      <c r="X2553" s="135"/>
      <c r="Y2553" s="135"/>
      <c r="Z2553" s="135"/>
    </row>
    <row r="2554" spans="1:26" ht="12.75">
      <c r="A2554" s="136" t="s">
        <v>15</v>
      </c>
      <c r="B2554" s="136" t="s">
        <v>7753</v>
      </c>
      <c r="C2554" s="136" t="s">
        <v>7771</v>
      </c>
      <c r="D2554" s="136" t="s">
        <v>467</v>
      </c>
      <c r="E2554" s="136" t="s">
        <v>85</v>
      </c>
      <c r="F2554" s="136">
        <v>141</v>
      </c>
      <c r="G2554" s="137">
        <f t="shared" si="10"/>
        <v>5</v>
      </c>
      <c r="H2554" s="137"/>
      <c r="I2554" s="137"/>
      <c r="J2554" s="135"/>
      <c r="K2554" s="135"/>
      <c r="L2554" s="135"/>
      <c r="M2554" s="135"/>
      <c r="N2554" s="135"/>
      <c r="O2554" s="135"/>
      <c r="P2554" s="135"/>
      <c r="Q2554" s="135"/>
      <c r="R2554" s="135"/>
      <c r="S2554" s="135"/>
      <c r="T2554" s="135"/>
      <c r="U2554" s="135"/>
      <c r="V2554" s="135"/>
      <c r="W2554" s="135"/>
      <c r="X2554" s="135"/>
      <c r="Y2554" s="135"/>
      <c r="Z2554" s="135"/>
    </row>
    <row r="2555" spans="1:26" ht="12.75">
      <c r="A2555" s="136" t="s">
        <v>15</v>
      </c>
      <c r="B2555" s="136" t="s">
        <v>7753</v>
      </c>
      <c r="C2555" s="136" t="s">
        <v>7771</v>
      </c>
      <c r="D2555" s="136" t="s">
        <v>7772</v>
      </c>
      <c r="E2555" s="136" t="s">
        <v>615</v>
      </c>
      <c r="F2555" s="136">
        <v>136</v>
      </c>
      <c r="G2555" s="137">
        <f t="shared" si="10"/>
        <v>6</v>
      </c>
      <c r="H2555" s="137"/>
      <c r="I2555" s="137"/>
      <c r="J2555" s="135"/>
      <c r="K2555" s="135"/>
      <c r="L2555" s="135"/>
      <c r="M2555" s="135"/>
      <c r="N2555" s="135"/>
      <c r="O2555" s="135"/>
      <c r="P2555" s="135"/>
      <c r="Q2555" s="135"/>
      <c r="R2555" s="135"/>
      <c r="S2555" s="135"/>
      <c r="T2555" s="135"/>
      <c r="U2555" s="135"/>
      <c r="V2555" s="135"/>
      <c r="W2555" s="135"/>
      <c r="X2555" s="135"/>
      <c r="Y2555" s="135"/>
      <c r="Z2555" s="135"/>
    </row>
    <row r="2556" spans="1:26" ht="12.75">
      <c r="A2556" s="136" t="s">
        <v>15</v>
      </c>
      <c r="B2556" s="136" t="s">
        <v>7753</v>
      </c>
      <c r="C2556" s="136" t="s">
        <v>7771</v>
      </c>
      <c r="D2556" s="136" t="s">
        <v>136</v>
      </c>
      <c r="E2556" s="136" t="s">
        <v>615</v>
      </c>
      <c r="F2556" s="136">
        <v>100</v>
      </c>
      <c r="G2556" s="137">
        <f t="shared" si="10"/>
        <v>7</v>
      </c>
      <c r="H2556" s="137"/>
      <c r="I2556" s="137"/>
      <c r="J2556" s="135"/>
      <c r="K2556" s="135"/>
      <c r="L2556" s="135"/>
      <c r="M2556" s="135"/>
      <c r="N2556" s="135"/>
      <c r="O2556" s="135"/>
      <c r="P2556" s="135"/>
      <c r="Q2556" s="135"/>
      <c r="R2556" s="135"/>
      <c r="S2556" s="135"/>
      <c r="T2556" s="135"/>
      <c r="U2556" s="135"/>
      <c r="V2556" s="135"/>
      <c r="W2556" s="135"/>
      <c r="X2556" s="135"/>
      <c r="Y2556" s="135"/>
      <c r="Z2556" s="135"/>
    </row>
    <row r="2557" spans="1:26" ht="12.75">
      <c r="A2557" s="136" t="s">
        <v>15</v>
      </c>
      <c r="B2557" s="136" t="s">
        <v>7753</v>
      </c>
      <c r="C2557" s="136" t="s">
        <v>7771</v>
      </c>
      <c r="D2557" s="136" t="s">
        <v>7773</v>
      </c>
      <c r="E2557" s="136" t="s">
        <v>615</v>
      </c>
      <c r="F2557" s="136">
        <v>100</v>
      </c>
      <c r="G2557" s="137">
        <f t="shared" si="10"/>
        <v>8</v>
      </c>
      <c r="H2557" s="137"/>
      <c r="I2557" s="137"/>
      <c r="J2557" s="135"/>
      <c r="K2557" s="135"/>
      <c r="L2557" s="135"/>
      <c r="M2557" s="135"/>
      <c r="N2557" s="135"/>
      <c r="O2557" s="135"/>
      <c r="P2557" s="135"/>
      <c r="Q2557" s="135"/>
      <c r="R2557" s="135"/>
      <c r="S2557" s="135"/>
      <c r="T2557" s="135"/>
      <c r="U2557" s="135"/>
      <c r="V2557" s="135"/>
      <c r="W2557" s="135"/>
      <c r="X2557" s="135"/>
      <c r="Y2557" s="135"/>
      <c r="Z2557" s="135"/>
    </row>
    <row r="2558" spans="1:26" ht="12.75">
      <c r="A2558" s="136" t="s">
        <v>15</v>
      </c>
      <c r="B2558" s="136" t="s">
        <v>7753</v>
      </c>
      <c r="C2558" s="136" t="s">
        <v>7771</v>
      </c>
      <c r="D2558" s="136" t="s">
        <v>103</v>
      </c>
      <c r="E2558" s="136" t="s">
        <v>594</v>
      </c>
      <c r="F2558" s="136">
        <v>50</v>
      </c>
      <c r="G2558" s="137">
        <f t="shared" si="10"/>
        <v>9</v>
      </c>
      <c r="H2558" s="137"/>
      <c r="I2558" s="137"/>
      <c r="J2558" s="135"/>
      <c r="K2558" s="135"/>
      <c r="L2558" s="135"/>
      <c r="M2558" s="135"/>
      <c r="N2558" s="135"/>
      <c r="O2558" s="135"/>
      <c r="P2558" s="135"/>
      <c r="Q2558" s="135"/>
      <c r="R2558" s="135"/>
      <c r="S2558" s="135"/>
      <c r="T2558" s="135"/>
      <c r="U2558" s="135"/>
      <c r="V2558" s="135"/>
      <c r="W2558" s="135"/>
      <c r="X2558" s="135"/>
      <c r="Y2558" s="135"/>
      <c r="Z2558" s="135"/>
    </row>
    <row r="2559" spans="1:26" ht="12.75">
      <c r="A2559" s="136" t="s">
        <v>15</v>
      </c>
      <c r="B2559" s="136" t="s">
        <v>7753</v>
      </c>
      <c r="C2559" s="136" t="s">
        <v>7771</v>
      </c>
      <c r="D2559" s="136" t="s">
        <v>7491</v>
      </c>
      <c r="E2559" s="136" t="s">
        <v>615</v>
      </c>
      <c r="F2559" s="136">
        <v>37</v>
      </c>
      <c r="G2559" s="137">
        <f t="shared" si="10"/>
        <v>10</v>
      </c>
      <c r="H2559" s="137"/>
      <c r="I2559" s="137"/>
      <c r="J2559" s="135"/>
      <c r="K2559" s="135"/>
      <c r="L2559" s="135"/>
      <c r="M2559" s="135"/>
      <c r="N2559" s="135"/>
      <c r="O2559" s="135"/>
      <c r="P2559" s="135"/>
      <c r="Q2559" s="135"/>
      <c r="R2559" s="135"/>
      <c r="S2559" s="135"/>
      <c r="T2559" s="135"/>
      <c r="U2559" s="135"/>
      <c r="V2559" s="135"/>
      <c r="W2559" s="135"/>
      <c r="X2559" s="135"/>
      <c r="Y2559" s="135"/>
      <c r="Z2559" s="135"/>
    </row>
    <row r="2560" spans="1:26" ht="12.75">
      <c r="A2560" s="136" t="s">
        <v>15</v>
      </c>
      <c r="B2560" s="136" t="s">
        <v>7753</v>
      </c>
      <c r="C2560" s="136" t="s">
        <v>7771</v>
      </c>
      <c r="D2560" s="136"/>
      <c r="E2560" s="136" t="s">
        <v>7693</v>
      </c>
      <c r="F2560" s="136">
        <v>1649</v>
      </c>
      <c r="G2560" s="137">
        <f t="shared" si="10"/>
        <v>1</v>
      </c>
      <c r="H2560" s="137"/>
      <c r="I2560" s="137"/>
      <c r="J2560" s="135"/>
      <c r="K2560" s="135"/>
      <c r="L2560" s="135"/>
      <c r="M2560" s="135"/>
      <c r="N2560" s="135"/>
      <c r="O2560" s="135"/>
      <c r="P2560" s="135"/>
      <c r="Q2560" s="135"/>
      <c r="R2560" s="135"/>
      <c r="S2560" s="135"/>
      <c r="T2560" s="135"/>
      <c r="U2560" s="135"/>
      <c r="V2560" s="135"/>
      <c r="W2560" s="135"/>
      <c r="X2560" s="135"/>
      <c r="Y2560" s="135"/>
      <c r="Z2560" s="135"/>
    </row>
    <row r="2561" spans="1:26" ht="12.75">
      <c r="A2561" s="136" t="s">
        <v>15</v>
      </c>
      <c r="B2561" s="136" t="s">
        <v>7753</v>
      </c>
      <c r="C2561" s="136" t="s">
        <v>7774</v>
      </c>
      <c r="D2561" s="136" t="s">
        <v>139</v>
      </c>
      <c r="E2561" s="136" t="s">
        <v>594</v>
      </c>
      <c r="F2561" s="136">
        <v>500</v>
      </c>
      <c r="G2561" s="137">
        <f t="shared" si="10"/>
        <v>3</v>
      </c>
      <c r="H2561" s="137"/>
      <c r="I2561" s="137"/>
      <c r="J2561" s="135"/>
      <c r="K2561" s="135"/>
      <c r="L2561" s="135"/>
      <c r="M2561" s="135"/>
      <c r="N2561" s="135"/>
      <c r="O2561" s="135"/>
      <c r="P2561" s="135"/>
      <c r="Q2561" s="135"/>
      <c r="R2561" s="135"/>
      <c r="S2561" s="135"/>
      <c r="T2561" s="135"/>
      <c r="U2561" s="135"/>
      <c r="V2561" s="135"/>
      <c r="W2561" s="135"/>
      <c r="X2561" s="135"/>
      <c r="Y2561" s="135"/>
      <c r="Z2561" s="135"/>
    </row>
    <row r="2562" spans="1:26" ht="12.75">
      <c r="A2562" s="136" t="s">
        <v>15</v>
      </c>
      <c r="B2562" s="136" t="s">
        <v>7753</v>
      </c>
      <c r="C2562" s="136" t="s">
        <v>7774</v>
      </c>
      <c r="D2562" s="136" t="s">
        <v>103</v>
      </c>
      <c r="E2562" s="136" t="s">
        <v>594</v>
      </c>
      <c r="F2562" s="136">
        <v>225</v>
      </c>
      <c r="G2562" s="137">
        <f t="shared" si="10"/>
        <v>6</v>
      </c>
      <c r="H2562" s="137"/>
      <c r="I2562" s="137"/>
      <c r="J2562" s="135"/>
      <c r="K2562" s="135"/>
      <c r="L2562" s="135"/>
      <c r="M2562" s="135"/>
      <c r="N2562" s="135"/>
      <c r="O2562" s="135"/>
      <c r="P2562" s="135"/>
      <c r="Q2562" s="135"/>
      <c r="R2562" s="135"/>
      <c r="S2562" s="135"/>
      <c r="T2562" s="135"/>
      <c r="U2562" s="135"/>
      <c r="V2562" s="135"/>
      <c r="W2562" s="135"/>
      <c r="X2562" s="135"/>
      <c r="Y2562" s="135"/>
      <c r="Z2562" s="135"/>
    </row>
    <row r="2563" spans="1:26" ht="12.75">
      <c r="A2563" s="136" t="s">
        <v>15</v>
      </c>
      <c r="B2563" s="136" t="s">
        <v>7753</v>
      </c>
      <c r="C2563" s="136" t="s">
        <v>7774</v>
      </c>
      <c r="D2563" s="136" t="s">
        <v>467</v>
      </c>
      <c r="E2563" s="136" t="s">
        <v>85</v>
      </c>
      <c r="F2563" s="136">
        <v>225</v>
      </c>
      <c r="G2563" s="137">
        <f t="shared" si="10"/>
        <v>7</v>
      </c>
      <c r="H2563" s="137"/>
      <c r="I2563" s="137"/>
      <c r="J2563" s="135"/>
      <c r="K2563" s="135"/>
      <c r="L2563" s="135"/>
      <c r="M2563" s="135"/>
      <c r="N2563" s="135"/>
      <c r="O2563" s="135"/>
      <c r="P2563" s="135"/>
      <c r="Q2563" s="135"/>
      <c r="R2563" s="135"/>
      <c r="S2563" s="135"/>
      <c r="T2563" s="135"/>
      <c r="U2563" s="135"/>
      <c r="V2563" s="135"/>
      <c r="W2563" s="135"/>
      <c r="X2563" s="135"/>
      <c r="Y2563" s="135"/>
      <c r="Z2563" s="135"/>
    </row>
    <row r="2564" spans="1:26" ht="12.75">
      <c r="A2564" s="136" t="s">
        <v>15</v>
      </c>
      <c r="B2564" s="136" t="s">
        <v>7753</v>
      </c>
      <c r="C2564" s="136" t="s">
        <v>7774</v>
      </c>
      <c r="D2564" s="136" t="s">
        <v>7773</v>
      </c>
      <c r="E2564" s="136" t="s">
        <v>615</v>
      </c>
      <c r="F2564" s="136">
        <v>150</v>
      </c>
      <c r="G2564" s="137">
        <f t="shared" si="10"/>
        <v>9</v>
      </c>
      <c r="H2564" s="137"/>
      <c r="I2564" s="137"/>
      <c r="J2564" s="135"/>
      <c r="K2564" s="135"/>
      <c r="L2564" s="135"/>
      <c r="M2564" s="135"/>
      <c r="N2564" s="135"/>
      <c r="O2564" s="135"/>
      <c r="P2564" s="135"/>
      <c r="Q2564" s="135"/>
      <c r="R2564" s="135"/>
      <c r="S2564" s="135"/>
      <c r="T2564" s="135"/>
      <c r="U2564" s="135"/>
      <c r="V2564" s="135"/>
      <c r="W2564" s="135"/>
      <c r="X2564" s="135"/>
      <c r="Y2564" s="135"/>
      <c r="Z2564" s="135"/>
    </row>
    <row r="2565" spans="1:26" ht="12.75">
      <c r="A2565" s="136" t="s">
        <v>15</v>
      </c>
      <c r="B2565" s="136" t="s">
        <v>7753</v>
      </c>
      <c r="C2565" s="136" t="s">
        <v>7774</v>
      </c>
      <c r="D2565" s="136" t="s">
        <v>7491</v>
      </c>
      <c r="E2565" s="136" t="s">
        <v>615</v>
      </c>
      <c r="F2565" s="136">
        <v>129</v>
      </c>
      <c r="G2565" s="137">
        <f t="shared" si="10"/>
        <v>11</v>
      </c>
      <c r="H2565" s="137"/>
      <c r="I2565" s="137"/>
      <c r="J2565" s="135"/>
      <c r="K2565" s="135"/>
      <c r="L2565" s="135"/>
      <c r="M2565" s="135"/>
      <c r="N2565" s="135"/>
      <c r="O2565" s="135"/>
      <c r="P2565" s="135"/>
      <c r="Q2565" s="135"/>
      <c r="R2565" s="135"/>
      <c r="S2565" s="135"/>
      <c r="T2565" s="135"/>
      <c r="U2565" s="135"/>
      <c r="V2565" s="135"/>
      <c r="W2565" s="135"/>
      <c r="X2565" s="135"/>
      <c r="Y2565" s="135"/>
      <c r="Z2565" s="135"/>
    </row>
    <row r="2566" spans="1:26" ht="12.75">
      <c r="A2566" s="136" t="s">
        <v>15</v>
      </c>
      <c r="B2566" s="136" t="s">
        <v>7753</v>
      </c>
      <c r="C2566" s="136" t="s">
        <v>7774</v>
      </c>
      <c r="D2566" s="136" t="s">
        <v>7772</v>
      </c>
      <c r="E2566" s="136" t="s">
        <v>615</v>
      </c>
      <c r="F2566" s="136">
        <v>125</v>
      </c>
      <c r="G2566" s="137">
        <f t="shared" si="10"/>
        <v>13</v>
      </c>
      <c r="H2566" s="137"/>
      <c r="I2566" s="137"/>
      <c r="J2566" s="135"/>
      <c r="K2566" s="135"/>
      <c r="L2566" s="135"/>
      <c r="M2566" s="135"/>
      <c r="N2566" s="135"/>
      <c r="O2566" s="135"/>
      <c r="P2566" s="135"/>
      <c r="Q2566" s="135"/>
      <c r="R2566" s="135"/>
      <c r="S2566" s="135"/>
      <c r="T2566" s="135"/>
      <c r="U2566" s="135"/>
      <c r="V2566" s="135"/>
      <c r="W2566" s="135"/>
      <c r="X2566" s="135"/>
      <c r="Y2566" s="135"/>
      <c r="Z2566" s="135"/>
    </row>
    <row r="2567" spans="1:26" ht="12.75">
      <c r="A2567" s="136" t="s">
        <v>15</v>
      </c>
      <c r="B2567" s="136" t="s">
        <v>7753</v>
      </c>
      <c r="C2567" s="136" t="s">
        <v>7774</v>
      </c>
      <c r="D2567" s="136" t="s">
        <v>7775</v>
      </c>
      <c r="E2567" s="136" t="s">
        <v>615</v>
      </c>
      <c r="F2567" s="136">
        <v>60</v>
      </c>
      <c r="G2567" s="137">
        <f t="shared" si="10"/>
        <v>16</v>
      </c>
      <c r="H2567" s="137"/>
      <c r="I2567" s="137"/>
      <c r="J2567" s="135"/>
      <c r="K2567" s="135"/>
      <c r="L2567" s="135"/>
      <c r="M2567" s="135"/>
      <c r="N2567" s="135"/>
      <c r="O2567" s="135"/>
      <c r="P2567" s="135"/>
      <c r="Q2567" s="135"/>
      <c r="R2567" s="135"/>
      <c r="S2567" s="135"/>
      <c r="T2567" s="135"/>
      <c r="U2567" s="135"/>
      <c r="V2567" s="135"/>
      <c r="W2567" s="135"/>
      <c r="X2567" s="135"/>
      <c r="Y2567" s="135"/>
      <c r="Z2567" s="135"/>
    </row>
    <row r="2568" spans="1:26" ht="12.75">
      <c r="A2568" s="136" t="s">
        <v>15</v>
      </c>
      <c r="B2568" s="136" t="s">
        <v>7753</v>
      </c>
      <c r="C2568" s="136" t="s">
        <v>7774</v>
      </c>
      <c r="D2568" s="136"/>
      <c r="E2568" s="136" t="s">
        <v>7693</v>
      </c>
      <c r="F2568" s="136">
        <v>1414</v>
      </c>
      <c r="G2568" s="137">
        <f t="shared" si="10"/>
        <v>1</v>
      </c>
      <c r="H2568" s="137"/>
      <c r="I2568" s="137"/>
      <c r="J2568" s="135"/>
      <c r="K2568" s="135"/>
      <c r="L2568" s="135"/>
      <c r="M2568" s="135"/>
      <c r="N2568" s="135"/>
      <c r="O2568" s="135"/>
      <c r="P2568" s="135"/>
      <c r="Q2568" s="135"/>
      <c r="R2568" s="135"/>
      <c r="S2568" s="135"/>
      <c r="T2568" s="135"/>
      <c r="U2568" s="135"/>
      <c r="V2568" s="135"/>
      <c r="W2568" s="135"/>
      <c r="X2568" s="135"/>
      <c r="Y2568" s="135"/>
      <c r="Z2568" s="135"/>
    </row>
    <row r="2569" spans="1:26" ht="12.75">
      <c r="A2569" s="136" t="s">
        <v>15</v>
      </c>
      <c r="B2569" s="136" t="s">
        <v>7753</v>
      </c>
      <c r="C2569" s="136" t="s">
        <v>7776</v>
      </c>
      <c r="D2569" s="136" t="s">
        <v>114</v>
      </c>
      <c r="E2569" s="136" t="s">
        <v>85</v>
      </c>
      <c r="F2569" s="136">
        <v>590</v>
      </c>
      <c r="G2569" s="137">
        <f t="shared" si="10"/>
        <v>2</v>
      </c>
      <c r="H2569" s="137"/>
      <c r="I2569" s="137"/>
      <c r="J2569" s="135"/>
      <c r="K2569" s="135"/>
      <c r="L2569" s="135"/>
      <c r="M2569" s="135"/>
      <c r="N2569" s="135"/>
      <c r="O2569" s="135"/>
      <c r="P2569" s="135"/>
      <c r="Q2569" s="135"/>
      <c r="R2569" s="135"/>
      <c r="S2569" s="135"/>
      <c r="T2569" s="135"/>
      <c r="U2569" s="135"/>
      <c r="V2569" s="135"/>
      <c r="W2569" s="135"/>
      <c r="X2569" s="135"/>
      <c r="Y2569" s="135"/>
      <c r="Z2569" s="135"/>
    </row>
    <row r="2570" spans="1:26" ht="12.75">
      <c r="A2570" s="136" t="s">
        <v>15</v>
      </c>
      <c r="B2570" s="136" t="s">
        <v>7753</v>
      </c>
      <c r="C2570" s="136" t="s">
        <v>7776</v>
      </c>
      <c r="D2570" s="136" t="s">
        <v>467</v>
      </c>
      <c r="E2570" s="136" t="s">
        <v>85</v>
      </c>
      <c r="F2570" s="136">
        <v>345</v>
      </c>
      <c r="G2570" s="137">
        <f t="shared" si="10"/>
        <v>4</v>
      </c>
      <c r="H2570" s="137"/>
      <c r="I2570" s="137"/>
      <c r="J2570" s="135"/>
      <c r="K2570" s="135"/>
      <c r="L2570" s="135"/>
      <c r="M2570" s="135"/>
      <c r="N2570" s="135"/>
      <c r="O2570" s="135"/>
      <c r="P2570" s="135"/>
      <c r="Q2570" s="135"/>
      <c r="R2570" s="135"/>
      <c r="S2570" s="135"/>
      <c r="T2570" s="135"/>
      <c r="U2570" s="135"/>
      <c r="V2570" s="135"/>
      <c r="W2570" s="135"/>
      <c r="X2570" s="135"/>
      <c r="Y2570" s="135"/>
      <c r="Z2570" s="135"/>
    </row>
    <row r="2571" spans="1:26" ht="12.75">
      <c r="A2571" s="136" t="s">
        <v>15</v>
      </c>
      <c r="B2571" s="136" t="s">
        <v>7753</v>
      </c>
      <c r="C2571" s="136" t="s">
        <v>7776</v>
      </c>
      <c r="D2571" s="136" t="s">
        <v>7773</v>
      </c>
      <c r="E2571" s="136" t="s">
        <v>615</v>
      </c>
      <c r="F2571" s="136">
        <v>155</v>
      </c>
      <c r="G2571" s="137">
        <f t="shared" si="10"/>
        <v>7</v>
      </c>
      <c r="H2571" s="137"/>
      <c r="I2571" s="137"/>
      <c r="J2571" s="135"/>
      <c r="K2571" s="135"/>
      <c r="L2571" s="135"/>
      <c r="M2571" s="135"/>
      <c r="N2571" s="135"/>
      <c r="O2571" s="135"/>
      <c r="P2571" s="135"/>
      <c r="Q2571" s="135"/>
      <c r="R2571" s="135"/>
      <c r="S2571" s="135"/>
      <c r="T2571" s="135"/>
      <c r="U2571" s="135"/>
      <c r="V2571" s="135"/>
      <c r="W2571" s="135"/>
      <c r="X2571" s="135"/>
      <c r="Y2571" s="135"/>
      <c r="Z2571" s="135"/>
    </row>
    <row r="2572" spans="1:26" ht="12.75">
      <c r="A2572" s="136" t="s">
        <v>15</v>
      </c>
      <c r="B2572" s="136" t="s">
        <v>7753</v>
      </c>
      <c r="C2572" s="136" t="s">
        <v>7776</v>
      </c>
      <c r="D2572" s="136" t="s">
        <v>139</v>
      </c>
      <c r="E2572" s="136" t="s">
        <v>594</v>
      </c>
      <c r="F2572" s="136">
        <v>125</v>
      </c>
      <c r="G2572" s="137">
        <f t="shared" si="10"/>
        <v>9</v>
      </c>
      <c r="H2572" s="137"/>
      <c r="I2572" s="137"/>
      <c r="J2572" s="135"/>
      <c r="K2572" s="135"/>
      <c r="L2572" s="135"/>
      <c r="M2572" s="135"/>
      <c r="N2572" s="135"/>
      <c r="O2572" s="135"/>
      <c r="P2572" s="135"/>
      <c r="Q2572" s="135"/>
      <c r="R2572" s="135"/>
      <c r="S2572" s="135"/>
      <c r="T2572" s="135"/>
      <c r="U2572" s="135"/>
      <c r="V2572" s="135"/>
      <c r="W2572" s="135"/>
      <c r="X2572" s="135"/>
      <c r="Y2572" s="135"/>
      <c r="Z2572" s="135"/>
    </row>
    <row r="2573" spans="1:26" ht="12.75">
      <c r="A2573" s="136" t="s">
        <v>15</v>
      </c>
      <c r="B2573" s="136" t="s">
        <v>7753</v>
      </c>
      <c r="C2573" s="136" t="s">
        <v>7776</v>
      </c>
      <c r="D2573" s="136" t="s">
        <v>1681</v>
      </c>
      <c r="E2573" s="136" t="s">
        <v>615</v>
      </c>
      <c r="F2573" s="136">
        <v>125</v>
      </c>
      <c r="G2573" s="137">
        <f t="shared" si="10"/>
        <v>10</v>
      </c>
      <c r="H2573" s="137"/>
      <c r="I2573" s="137"/>
      <c r="J2573" s="135"/>
      <c r="K2573" s="135"/>
      <c r="L2573" s="135"/>
      <c r="M2573" s="135"/>
      <c r="N2573" s="135"/>
      <c r="O2573" s="135"/>
      <c r="P2573" s="135"/>
      <c r="Q2573" s="135"/>
      <c r="R2573" s="135"/>
      <c r="S2573" s="135"/>
      <c r="T2573" s="135"/>
      <c r="U2573" s="135"/>
      <c r="V2573" s="135"/>
      <c r="W2573" s="135"/>
      <c r="X2573" s="135"/>
      <c r="Y2573" s="135"/>
      <c r="Z2573" s="135"/>
    </row>
    <row r="2574" spans="1:26" ht="12.75">
      <c r="A2574" s="136" t="s">
        <v>15</v>
      </c>
      <c r="B2574" s="136" t="s">
        <v>7753</v>
      </c>
      <c r="C2574" s="136" t="s">
        <v>7776</v>
      </c>
      <c r="D2574" s="136" t="s">
        <v>103</v>
      </c>
      <c r="E2574" s="136" t="s">
        <v>594</v>
      </c>
      <c r="F2574" s="136">
        <v>80</v>
      </c>
      <c r="G2574" s="137">
        <f t="shared" si="10"/>
        <v>12</v>
      </c>
      <c r="H2574" s="137"/>
      <c r="I2574" s="137"/>
      <c r="J2574" s="135"/>
      <c r="K2574" s="135"/>
      <c r="L2574" s="135"/>
      <c r="M2574" s="135"/>
      <c r="N2574" s="135"/>
      <c r="O2574" s="135"/>
      <c r="P2574" s="135"/>
      <c r="Q2574" s="135"/>
      <c r="R2574" s="135"/>
      <c r="S2574" s="135"/>
      <c r="T2574" s="135"/>
      <c r="U2574" s="135"/>
      <c r="V2574" s="135"/>
      <c r="W2574" s="135"/>
      <c r="X2574" s="135"/>
      <c r="Y2574" s="135"/>
      <c r="Z2574" s="135"/>
    </row>
    <row r="2575" spans="1:26" ht="12.75">
      <c r="A2575" s="136" t="s">
        <v>15</v>
      </c>
      <c r="B2575" s="136" t="s">
        <v>7753</v>
      </c>
      <c r="C2575" s="136" t="s">
        <v>7776</v>
      </c>
      <c r="D2575" s="136" t="s">
        <v>7491</v>
      </c>
      <c r="E2575" s="136" t="s">
        <v>615</v>
      </c>
      <c r="F2575" s="136">
        <v>75</v>
      </c>
      <c r="G2575" s="137">
        <f t="shared" si="10"/>
        <v>13</v>
      </c>
      <c r="H2575" s="137"/>
      <c r="I2575" s="137"/>
      <c r="J2575" s="135"/>
      <c r="K2575" s="135"/>
      <c r="L2575" s="135"/>
      <c r="M2575" s="135"/>
      <c r="N2575" s="135"/>
      <c r="O2575" s="135"/>
      <c r="P2575" s="135"/>
      <c r="Q2575" s="135"/>
      <c r="R2575" s="135"/>
      <c r="S2575" s="135"/>
      <c r="T2575" s="135"/>
      <c r="U2575" s="135"/>
      <c r="V2575" s="135"/>
      <c r="W2575" s="135"/>
      <c r="X2575" s="135"/>
      <c r="Y2575" s="135"/>
      <c r="Z2575" s="135"/>
    </row>
    <row r="2576" spans="1:26" ht="12.75">
      <c r="A2576" s="136" t="s">
        <v>15</v>
      </c>
      <c r="B2576" s="136" t="s">
        <v>7753</v>
      </c>
      <c r="C2576" s="136" t="s">
        <v>7776</v>
      </c>
      <c r="D2576" s="136" t="s">
        <v>165</v>
      </c>
      <c r="E2576" s="136" t="s">
        <v>615</v>
      </c>
      <c r="F2576" s="136">
        <v>65</v>
      </c>
      <c r="G2576" s="137">
        <f t="shared" si="10"/>
        <v>14</v>
      </c>
      <c r="H2576" s="137"/>
      <c r="I2576" s="137"/>
      <c r="J2576" s="135"/>
      <c r="K2576" s="135"/>
      <c r="L2576" s="135"/>
      <c r="M2576" s="135"/>
      <c r="N2576" s="135"/>
      <c r="O2576" s="135"/>
      <c r="P2576" s="135"/>
      <c r="Q2576" s="135"/>
      <c r="R2576" s="135"/>
      <c r="S2576" s="135"/>
      <c r="T2576" s="135"/>
      <c r="U2576" s="135"/>
      <c r="V2576" s="135"/>
      <c r="W2576" s="135"/>
      <c r="X2576" s="135"/>
      <c r="Y2576" s="135"/>
      <c r="Z2576" s="135"/>
    </row>
    <row r="2577" spans="1:26" ht="12.75">
      <c r="A2577" s="136" t="s">
        <v>15</v>
      </c>
      <c r="B2577" s="136" t="s">
        <v>7753</v>
      </c>
      <c r="C2577" s="136" t="s">
        <v>7776</v>
      </c>
      <c r="D2577" s="136"/>
      <c r="E2577" s="136" t="s">
        <v>7693</v>
      </c>
      <c r="F2577" s="136">
        <v>1560</v>
      </c>
      <c r="G2577" s="137">
        <f t="shared" si="10"/>
        <v>1</v>
      </c>
      <c r="H2577" s="137"/>
      <c r="I2577" s="137"/>
      <c r="J2577" s="135"/>
      <c r="K2577" s="135"/>
      <c r="L2577" s="135"/>
      <c r="M2577" s="135"/>
      <c r="N2577" s="135"/>
      <c r="O2577" s="135"/>
      <c r="P2577" s="135"/>
      <c r="Q2577" s="135"/>
      <c r="R2577" s="135"/>
      <c r="S2577" s="135"/>
      <c r="T2577" s="135"/>
      <c r="U2577" s="135"/>
      <c r="V2577" s="135"/>
      <c r="W2577" s="135"/>
      <c r="X2577" s="135"/>
      <c r="Y2577" s="135"/>
      <c r="Z2577" s="135"/>
    </row>
    <row r="2578" spans="1:26" ht="25.5">
      <c r="A2578" s="136" t="s">
        <v>15</v>
      </c>
      <c r="B2578" s="136" t="s">
        <v>7753</v>
      </c>
      <c r="C2578" s="136" t="s">
        <v>7777</v>
      </c>
      <c r="D2578" s="136" t="s">
        <v>7778</v>
      </c>
      <c r="E2578" s="136" t="s">
        <v>85</v>
      </c>
      <c r="F2578" s="136">
        <v>650</v>
      </c>
      <c r="G2578" s="137">
        <f t="shared" si="10"/>
        <v>4</v>
      </c>
      <c r="H2578" s="137"/>
      <c r="I2578" s="137"/>
      <c r="J2578" s="135"/>
      <c r="K2578" s="135"/>
      <c r="L2578" s="135"/>
      <c r="M2578" s="135"/>
      <c r="N2578" s="135"/>
      <c r="O2578" s="135"/>
      <c r="P2578" s="135"/>
      <c r="Q2578" s="135"/>
      <c r="R2578" s="135"/>
      <c r="S2578" s="135"/>
      <c r="T2578" s="135"/>
      <c r="U2578" s="135"/>
      <c r="V2578" s="135"/>
      <c r="W2578" s="135"/>
      <c r="X2578" s="135"/>
      <c r="Y2578" s="135"/>
      <c r="Z2578" s="135"/>
    </row>
    <row r="2579" spans="1:26" ht="12.75">
      <c r="A2579" s="136" t="s">
        <v>15</v>
      </c>
      <c r="B2579" s="136" t="s">
        <v>7753</v>
      </c>
      <c r="C2579" s="136" t="s">
        <v>7777</v>
      </c>
      <c r="D2579" s="136" t="s">
        <v>139</v>
      </c>
      <c r="E2579" s="136" t="s">
        <v>594</v>
      </c>
      <c r="F2579" s="136">
        <v>325</v>
      </c>
      <c r="G2579" s="137">
        <f t="shared" si="10"/>
        <v>5</v>
      </c>
      <c r="H2579" s="137"/>
      <c r="I2579" s="137"/>
      <c r="J2579" s="135"/>
      <c r="K2579" s="135"/>
      <c r="L2579" s="135"/>
      <c r="M2579" s="135"/>
      <c r="N2579" s="135"/>
      <c r="O2579" s="135"/>
      <c r="P2579" s="135"/>
      <c r="Q2579" s="135"/>
      <c r="R2579" s="135"/>
      <c r="S2579" s="135"/>
      <c r="T2579" s="135"/>
      <c r="U2579" s="135"/>
      <c r="V2579" s="135"/>
      <c r="W2579" s="135"/>
      <c r="X2579" s="135"/>
      <c r="Y2579" s="135"/>
      <c r="Z2579" s="135"/>
    </row>
    <row r="2580" spans="1:26" ht="12.75">
      <c r="A2580" s="136" t="s">
        <v>15</v>
      </c>
      <c r="B2580" s="136" t="s">
        <v>7753</v>
      </c>
      <c r="C2580" s="136" t="s">
        <v>7777</v>
      </c>
      <c r="D2580" s="136" t="s">
        <v>7491</v>
      </c>
      <c r="E2580" s="136" t="s">
        <v>615</v>
      </c>
      <c r="F2580" s="136">
        <v>175</v>
      </c>
      <c r="G2580" s="137">
        <f t="shared" si="10"/>
        <v>6</v>
      </c>
      <c r="H2580" s="137"/>
      <c r="I2580" s="137"/>
      <c r="J2580" s="135"/>
      <c r="K2580" s="135"/>
      <c r="L2580" s="135"/>
      <c r="M2580" s="135"/>
      <c r="N2580" s="135"/>
      <c r="O2580" s="135"/>
      <c r="P2580" s="135"/>
      <c r="Q2580" s="135"/>
      <c r="R2580" s="135"/>
      <c r="S2580" s="135"/>
      <c r="T2580" s="135"/>
      <c r="U2580" s="135"/>
      <c r="V2580" s="135"/>
      <c r="W2580" s="135"/>
      <c r="X2580" s="135"/>
      <c r="Y2580" s="135"/>
      <c r="Z2580" s="135"/>
    </row>
    <row r="2581" spans="1:26" ht="12.75">
      <c r="A2581" s="136" t="s">
        <v>15</v>
      </c>
      <c r="B2581" s="136" t="s">
        <v>7753</v>
      </c>
      <c r="C2581" s="136" t="s">
        <v>7777</v>
      </c>
      <c r="D2581" s="136" t="s">
        <v>103</v>
      </c>
      <c r="E2581" s="136" t="s">
        <v>594</v>
      </c>
      <c r="F2581" s="136">
        <v>150</v>
      </c>
      <c r="G2581" s="137">
        <f t="shared" si="10"/>
        <v>8</v>
      </c>
      <c r="H2581" s="137"/>
      <c r="I2581" s="137"/>
      <c r="J2581" s="135"/>
      <c r="K2581" s="135"/>
      <c r="L2581" s="135"/>
      <c r="M2581" s="135"/>
      <c r="N2581" s="135"/>
      <c r="O2581" s="135"/>
      <c r="P2581" s="135"/>
      <c r="Q2581" s="135"/>
      <c r="R2581" s="135"/>
      <c r="S2581" s="135"/>
      <c r="T2581" s="135"/>
      <c r="U2581" s="135"/>
      <c r="V2581" s="135"/>
      <c r="W2581" s="135"/>
      <c r="X2581" s="135"/>
      <c r="Y2581" s="135"/>
      <c r="Z2581" s="135"/>
    </row>
    <row r="2582" spans="1:26" ht="12.75">
      <c r="A2582" s="136" t="s">
        <v>15</v>
      </c>
      <c r="B2582" s="136" t="s">
        <v>7753</v>
      </c>
      <c r="C2582" s="136" t="s">
        <v>7777</v>
      </c>
      <c r="D2582" s="136" t="s">
        <v>1626</v>
      </c>
      <c r="E2582" s="136" t="s">
        <v>594</v>
      </c>
      <c r="F2582" s="136">
        <v>68</v>
      </c>
      <c r="G2582" s="137">
        <f t="shared" si="10"/>
        <v>9</v>
      </c>
      <c r="H2582" s="137"/>
      <c r="I2582" s="137"/>
      <c r="J2582" s="135"/>
      <c r="K2582" s="135"/>
      <c r="L2582" s="135"/>
      <c r="M2582" s="135"/>
      <c r="N2582" s="135"/>
      <c r="O2582" s="135"/>
      <c r="P2582" s="135"/>
      <c r="Q2582" s="135"/>
      <c r="R2582" s="135"/>
      <c r="S2582" s="135"/>
      <c r="T2582" s="135"/>
      <c r="U2582" s="135"/>
      <c r="V2582" s="135"/>
      <c r="W2582" s="135"/>
      <c r="X2582" s="135"/>
      <c r="Y2582" s="135"/>
      <c r="Z2582" s="135"/>
    </row>
    <row r="2583" spans="1:26" ht="12.75">
      <c r="A2583" s="136" t="s">
        <v>15</v>
      </c>
      <c r="B2583" s="136" t="s">
        <v>7753</v>
      </c>
      <c r="C2583" s="136" t="s">
        <v>7777</v>
      </c>
      <c r="D2583" s="136" t="s">
        <v>7762</v>
      </c>
      <c r="E2583" s="136" t="s">
        <v>615</v>
      </c>
      <c r="F2583" s="136">
        <v>65</v>
      </c>
      <c r="G2583" s="137">
        <f t="shared" si="10"/>
        <v>10</v>
      </c>
      <c r="H2583" s="137"/>
      <c r="I2583" s="137"/>
      <c r="J2583" s="135"/>
      <c r="K2583" s="135"/>
      <c r="L2583" s="135"/>
      <c r="M2583" s="135"/>
      <c r="N2583" s="135"/>
      <c r="O2583" s="135"/>
      <c r="P2583" s="135"/>
      <c r="Q2583" s="135"/>
      <c r="R2583" s="135"/>
      <c r="S2583" s="135"/>
      <c r="T2583" s="135"/>
      <c r="U2583" s="135"/>
      <c r="V2583" s="135"/>
      <c r="W2583" s="135"/>
      <c r="X2583" s="135"/>
      <c r="Y2583" s="135"/>
      <c r="Z2583" s="135"/>
    </row>
    <row r="2584" spans="1:26" ht="12.75">
      <c r="A2584" s="136" t="s">
        <v>15</v>
      </c>
      <c r="B2584" s="136" t="s">
        <v>7753</v>
      </c>
      <c r="C2584" s="136" t="s">
        <v>7777</v>
      </c>
      <c r="D2584" s="136" t="s">
        <v>7773</v>
      </c>
      <c r="E2584" s="136" t="s">
        <v>615</v>
      </c>
      <c r="F2584" s="136">
        <v>65</v>
      </c>
      <c r="G2584" s="137">
        <f t="shared" si="10"/>
        <v>11</v>
      </c>
      <c r="H2584" s="137"/>
      <c r="I2584" s="137"/>
      <c r="J2584" s="135"/>
      <c r="K2584" s="135"/>
      <c r="L2584" s="135"/>
      <c r="M2584" s="135"/>
      <c r="N2584" s="135"/>
      <c r="O2584" s="135"/>
      <c r="P2584" s="135"/>
      <c r="Q2584" s="135"/>
      <c r="R2584" s="135"/>
      <c r="S2584" s="135"/>
      <c r="T2584" s="135"/>
      <c r="U2584" s="135"/>
      <c r="V2584" s="135"/>
      <c r="W2584" s="135"/>
      <c r="X2584" s="135"/>
      <c r="Y2584" s="135"/>
      <c r="Z2584" s="135"/>
    </row>
    <row r="2585" spans="1:26" ht="12.75">
      <c r="A2585" s="136" t="s">
        <v>15</v>
      </c>
      <c r="B2585" s="136" t="s">
        <v>7753</v>
      </c>
      <c r="C2585" s="136" t="s">
        <v>7777</v>
      </c>
      <c r="D2585" s="136" t="s">
        <v>368</v>
      </c>
      <c r="E2585" s="136" t="s">
        <v>594</v>
      </c>
      <c r="F2585" s="136">
        <v>50</v>
      </c>
      <c r="G2585" s="137">
        <f t="shared" si="10"/>
        <v>12</v>
      </c>
      <c r="H2585" s="137"/>
      <c r="I2585" s="137"/>
      <c r="J2585" s="135"/>
      <c r="K2585" s="135"/>
      <c r="L2585" s="135"/>
      <c r="M2585" s="135"/>
      <c r="N2585" s="135"/>
      <c r="O2585" s="135"/>
      <c r="P2585" s="135"/>
      <c r="Q2585" s="135"/>
      <c r="R2585" s="135"/>
      <c r="S2585" s="135"/>
      <c r="T2585" s="135"/>
      <c r="U2585" s="135"/>
      <c r="V2585" s="135"/>
      <c r="W2585" s="135"/>
      <c r="X2585" s="135"/>
      <c r="Y2585" s="135"/>
      <c r="Z2585" s="135"/>
    </row>
    <row r="2586" spans="1:26" ht="12.75">
      <c r="A2586" s="136" t="s">
        <v>15</v>
      </c>
      <c r="B2586" s="136" t="s">
        <v>7753</v>
      </c>
      <c r="C2586" s="136" t="s">
        <v>7777</v>
      </c>
      <c r="D2586" s="136" t="s">
        <v>7698</v>
      </c>
      <c r="E2586" s="136" t="s">
        <v>615</v>
      </c>
      <c r="F2586" s="136">
        <v>50</v>
      </c>
      <c r="G2586" s="137">
        <f t="shared" si="10"/>
        <v>13</v>
      </c>
      <c r="H2586" s="137"/>
      <c r="I2586" s="137"/>
      <c r="J2586" s="135"/>
      <c r="K2586" s="135"/>
      <c r="L2586" s="135"/>
      <c r="M2586" s="135"/>
      <c r="N2586" s="135"/>
      <c r="O2586" s="135"/>
      <c r="P2586" s="135"/>
      <c r="Q2586" s="135"/>
      <c r="R2586" s="135"/>
      <c r="S2586" s="135"/>
      <c r="T2586" s="135"/>
      <c r="U2586" s="135"/>
      <c r="V2586" s="135"/>
      <c r="W2586" s="135"/>
      <c r="X2586" s="135"/>
      <c r="Y2586" s="135"/>
      <c r="Z2586" s="135"/>
    </row>
    <row r="2587" spans="1:26" ht="12.75">
      <c r="A2587" s="136" t="s">
        <v>15</v>
      </c>
      <c r="B2587" s="136" t="s">
        <v>7753</v>
      </c>
      <c r="C2587" s="136" t="s">
        <v>7777</v>
      </c>
      <c r="D2587" s="136"/>
      <c r="E2587" s="136" t="s">
        <v>7693</v>
      </c>
      <c r="F2587" s="136">
        <v>1598</v>
      </c>
      <c r="G2587" s="137">
        <f t="shared" si="10"/>
        <v>1</v>
      </c>
      <c r="H2587" s="137"/>
      <c r="I2587" s="137"/>
      <c r="J2587" s="135"/>
      <c r="K2587" s="135"/>
      <c r="L2587" s="135"/>
      <c r="M2587" s="135"/>
      <c r="N2587" s="135"/>
      <c r="O2587" s="135"/>
      <c r="P2587" s="135"/>
      <c r="Q2587" s="135"/>
      <c r="R2587" s="135"/>
      <c r="S2587" s="135"/>
      <c r="T2587" s="135"/>
      <c r="U2587" s="135"/>
      <c r="V2587" s="135"/>
      <c r="W2587" s="135"/>
      <c r="X2587" s="135"/>
      <c r="Y2587" s="135"/>
      <c r="Z2587" s="135"/>
    </row>
    <row r="2588" spans="1:26" ht="12.75">
      <c r="A2588" s="136" t="s">
        <v>15</v>
      </c>
      <c r="B2588" s="136" t="s">
        <v>7753</v>
      </c>
      <c r="C2588" s="136" t="s">
        <v>7779</v>
      </c>
      <c r="D2588" s="136" t="s">
        <v>139</v>
      </c>
      <c r="E2588" s="136" t="s">
        <v>594</v>
      </c>
      <c r="F2588" s="136">
        <v>625</v>
      </c>
      <c r="G2588" s="137">
        <f t="shared" si="10"/>
        <v>4</v>
      </c>
      <c r="H2588" s="137"/>
      <c r="I2588" s="137"/>
      <c r="J2588" s="135"/>
      <c r="K2588" s="135"/>
      <c r="L2588" s="135"/>
      <c r="M2588" s="135"/>
      <c r="N2588" s="135"/>
      <c r="O2588" s="135"/>
      <c r="P2588" s="135"/>
      <c r="Q2588" s="135"/>
      <c r="R2588" s="135"/>
      <c r="S2588" s="135"/>
      <c r="T2588" s="135"/>
      <c r="U2588" s="135"/>
      <c r="V2588" s="135"/>
      <c r="W2588" s="135"/>
      <c r="X2588" s="135"/>
      <c r="Y2588" s="135"/>
      <c r="Z2588" s="135"/>
    </row>
    <row r="2589" spans="1:26" ht="12.75">
      <c r="A2589" s="136" t="s">
        <v>15</v>
      </c>
      <c r="B2589" s="136" t="s">
        <v>7753</v>
      </c>
      <c r="C2589" s="136" t="s">
        <v>7779</v>
      </c>
      <c r="D2589" s="136" t="s">
        <v>103</v>
      </c>
      <c r="E2589" s="136" t="s">
        <v>594</v>
      </c>
      <c r="F2589" s="136">
        <v>250</v>
      </c>
      <c r="G2589" s="137">
        <f t="shared" si="10"/>
        <v>5</v>
      </c>
      <c r="H2589" s="137"/>
      <c r="I2589" s="137"/>
      <c r="J2589" s="135"/>
      <c r="K2589" s="135"/>
      <c r="L2589" s="135"/>
      <c r="M2589" s="135"/>
      <c r="N2589" s="135"/>
      <c r="O2589" s="135"/>
      <c r="P2589" s="135"/>
      <c r="Q2589" s="135"/>
      <c r="R2589" s="135"/>
      <c r="S2589" s="135"/>
      <c r="T2589" s="135"/>
      <c r="U2589" s="135"/>
      <c r="V2589" s="135"/>
      <c r="W2589" s="135"/>
      <c r="X2589" s="135"/>
      <c r="Y2589" s="135"/>
      <c r="Z2589" s="135"/>
    </row>
    <row r="2590" spans="1:26" ht="12.75">
      <c r="A2590" s="136" t="s">
        <v>15</v>
      </c>
      <c r="B2590" s="136" t="s">
        <v>7753</v>
      </c>
      <c r="C2590" s="136" t="s">
        <v>7779</v>
      </c>
      <c r="D2590" s="136" t="s">
        <v>7780</v>
      </c>
      <c r="E2590" s="136" t="s">
        <v>615</v>
      </c>
      <c r="F2590" s="136">
        <v>150</v>
      </c>
      <c r="G2590" s="137">
        <f t="shared" si="10"/>
        <v>6</v>
      </c>
      <c r="H2590" s="137"/>
      <c r="I2590" s="137"/>
      <c r="J2590" s="135"/>
      <c r="K2590" s="135"/>
      <c r="L2590" s="135"/>
      <c r="M2590" s="135"/>
      <c r="N2590" s="135"/>
      <c r="O2590" s="135"/>
      <c r="P2590" s="135"/>
      <c r="Q2590" s="135"/>
      <c r="R2590" s="135"/>
      <c r="S2590" s="135"/>
      <c r="T2590" s="135"/>
      <c r="U2590" s="135"/>
      <c r="V2590" s="135"/>
      <c r="W2590" s="135"/>
      <c r="X2590" s="135"/>
      <c r="Y2590" s="135"/>
      <c r="Z2590" s="135"/>
    </row>
    <row r="2591" spans="1:26" ht="12.75">
      <c r="A2591" s="136" t="s">
        <v>15</v>
      </c>
      <c r="B2591" s="136" t="s">
        <v>7753</v>
      </c>
      <c r="C2591" s="136" t="s">
        <v>7779</v>
      </c>
      <c r="D2591" s="136" t="s">
        <v>7491</v>
      </c>
      <c r="E2591" s="136" t="s">
        <v>615</v>
      </c>
      <c r="F2591" s="136">
        <v>135</v>
      </c>
      <c r="G2591" s="137">
        <f t="shared" si="10"/>
        <v>7</v>
      </c>
      <c r="H2591" s="137"/>
      <c r="I2591" s="137"/>
      <c r="J2591" s="135"/>
      <c r="K2591" s="135"/>
      <c r="L2591" s="135"/>
      <c r="M2591" s="135"/>
      <c r="N2591" s="135"/>
      <c r="O2591" s="135"/>
      <c r="P2591" s="135"/>
      <c r="Q2591" s="135"/>
      <c r="R2591" s="135"/>
      <c r="S2591" s="135"/>
      <c r="T2591" s="135"/>
      <c r="U2591" s="135"/>
      <c r="V2591" s="135"/>
      <c r="W2591" s="135"/>
      <c r="X2591" s="135"/>
      <c r="Y2591" s="135"/>
      <c r="Z2591" s="135"/>
    </row>
    <row r="2592" spans="1:26" ht="12.75">
      <c r="A2592" s="136" t="s">
        <v>15</v>
      </c>
      <c r="B2592" s="136" t="s">
        <v>7753</v>
      </c>
      <c r="C2592" s="136" t="s">
        <v>7779</v>
      </c>
      <c r="D2592" s="136" t="s">
        <v>114</v>
      </c>
      <c r="E2592" s="136" t="s">
        <v>85</v>
      </c>
      <c r="F2592" s="136">
        <v>75</v>
      </c>
      <c r="G2592" s="137">
        <f t="shared" si="10"/>
        <v>11</v>
      </c>
      <c r="H2592" s="137"/>
      <c r="I2592" s="137"/>
      <c r="J2592" s="135"/>
      <c r="K2592" s="135"/>
      <c r="L2592" s="135"/>
      <c r="M2592" s="135"/>
      <c r="N2592" s="135"/>
      <c r="O2592" s="135"/>
      <c r="P2592" s="135"/>
      <c r="Q2592" s="135"/>
      <c r="R2592" s="135"/>
      <c r="S2592" s="135"/>
      <c r="T2592" s="135"/>
      <c r="U2592" s="135"/>
      <c r="V2592" s="135"/>
      <c r="W2592" s="135"/>
      <c r="X2592" s="135"/>
      <c r="Y2592" s="135"/>
      <c r="Z2592" s="135"/>
    </row>
    <row r="2593" spans="1:26" ht="12.75">
      <c r="A2593" s="136" t="s">
        <v>15</v>
      </c>
      <c r="B2593" s="136" t="s">
        <v>7753</v>
      </c>
      <c r="C2593" s="136" t="s">
        <v>7779</v>
      </c>
      <c r="D2593" s="136" t="s">
        <v>7698</v>
      </c>
      <c r="E2593" s="136" t="s">
        <v>615</v>
      </c>
      <c r="F2593" s="136">
        <v>65</v>
      </c>
      <c r="G2593" s="137">
        <f t="shared" si="10"/>
        <v>13</v>
      </c>
      <c r="H2593" s="137"/>
      <c r="I2593" s="137"/>
      <c r="J2593" s="135"/>
      <c r="K2593" s="135"/>
      <c r="L2593" s="135"/>
      <c r="M2593" s="135"/>
      <c r="N2593" s="135"/>
      <c r="O2593" s="135"/>
      <c r="P2593" s="135"/>
      <c r="Q2593" s="135"/>
      <c r="R2593" s="135"/>
      <c r="S2593" s="135"/>
      <c r="T2593" s="135"/>
      <c r="U2593" s="135"/>
      <c r="V2593" s="135"/>
      <c r="W2593" s="135"/>
      <c r="X2593" s="135"/>
      <c r="Y2593" s="135"/>
      <c r="Z2593" s="135"/>
    </row>
    <row r="2594" spans="1:26" ht="12.75">
      <c r="A2594" s="136" t="s">
        <v>15</v>
      </c>
      <c r="B2594" s="136" t="s">
        <v>7753</v>
      </c>
      <c r="C2594" s="136" t="s">
        <v>7779</v>
      </c>
      <c r="D2594" s="136" t="s">
        <v>368</v>
      </c>
      <c r="E2594" s="136" t="s">
        <v>594</v>
      </c>
      <c r="F2594" s="136">
        <v>50</v>
      </c>
      <c r="G2594" s="137">
        <f t="shared" si="10"/>
        <v>15</v>
      </c>
      <c r="H2594" s="137"/>
      <c r="I2594" s="137"/>
      <c r="J2594" s="135"/>
      <c r="K2594" s="135"/>
      <c r="L2594" s="135"/>
      <c r="M2594" s="135"/>
      <c r="N2594" s="135"/>
      <c r="O2594" s="135"/>
      <c r="P2594" s="135"/>
      <c r="Q2594" s="135"/>
      <c r="R2594" s="135"/>
      <c r="S2594" s="135"/>
      <c r="T2594" s="135"/>
      <c r="U2594" s="135"/>
      <c r="V2594" s="135"/>
      <c r="W2594" s="135"/>
      <c r="X2594" s="135"/>
      <c r="Y2594" s="135"/>
      <c r="Z2594" s="135"/>
    </row>
    <row r="2595" spans="1:26" ht="12.75">
      <c r="A2595" s="136" t="s">
        <v>15</v>
      </c>
      <c r="B2595" s="136" t="s">
        <v>7753</v>
      </c>
      <c r="C2595" s="136" t="s">
        <v>7779</v>
      </c>
      <c r="D2595" s="136" t="s">
        <v>7781</v>
      </c>
      <c r="E2595" s="136" t="s">
        <v>615</v>
      </c>
      <c r="F2595" s="136">
        <v>50</v>
      </c>
      <c r="G2595" s="137">
        <f t="shared" si="10"/>
        <v>16</v>
      </c>
      <c r="H2595" s="137"/>
      <c r="I2595" s="137"/>
      <c r="J2595" s="135"/>
      <c r="K2595" s="135"/>
      <c r="L2595" s="135"/>
      <c r="M2595" s="135"/>
      <c r="N2595" s="135"/>
      <c r="O2595" s="135"/>
      <c r="P2595" s="135"/>
      <c r="Q2595" s="135"/>
      <c r="R2595" s="135"/>
      <c r="S2595" s="135"/>
      <c r="T2595" s="135"/>
      <c r="U2595" s="135"/>
      <c r="V2595" s="135"/>
      <c r="W2595" s="135"/>
      <c r="X2595" s="135"/>
      <c r="Y2595" s="135"/>
      <c r="Z2595" s="135"/>
    </row>
    <row r="2596" spans="1:26" ht="12.75">
      <c r="A2596" s="136" t="s">
        <v>15</v>
      </c>
      <c r="B2596" s="136" t="s">
        <v>7753</v>
      </c>
      <c r="C2596" s="136" t="s">
        <v>7779</v>
      </c>
      <c r="D2596" s="136" t="s">
        <v>7544</v>
      </c>
      <c r="E2596" s="136" t="s">
        <v>615</v>
      </c>
      <c r="F2596" s="136">
        <v>50</v>
      </c>
      <c r="G2596" s="137">
        <f t="shared" si="10"/>
        <v>17</v>
      </c>
      <c r="H2596" s="137"/>
      <c r="I2596" s="137"/>
      <c r="J2596" s="135"/>
      <c r="K2596" s="135"/>
      <c r="L2596" s="135"/>
      <c r="M2596" s="135"/>
      <c r="N2596" s="135"/>
      <c r="O2596" s="135"/>
      <c r="P2596" s="135"/>
      <c r="Q2596" s="135"/>
      <c r="R2596" s="135"/>
      <c r="S2596" s="135"/>
      <c r="T2596" s="135"/>
      <c r="U2596" s="135"/>
      <c r="V2596" s="135"/>
      <c r="W2596" s="135"/>
      <c r="X2596" s="135"/>
      <c r="Y2596" s="135"/>
      <c r="Z2596" s="135"/>
    </row>
    <row r="2597" spans="1:26" ht="12.75">
      <c r="A2597" s="136" t="s">
        <v>15</v>
      </c>
      <c r="B2597" s="136" t="s">
        <v>7753</v>
      </c>
      <c r="C2597" s="136" t="s">
        <v>7779</v>
      </c>
      <c r="D2597" s="136" t="s">
        <v>1626</v>
      </c>
      <c r="E2597" s="136" t="s">
        <v>594</v>
      </c>
      <c r="F2597" s="136">
        <v>40</v>
      </c>
      <c r="G2597" s="137">
        <f t="shared" si="10"/>
        <v>20</v>
      </c>
      <c r="H2597" s="137"/>
      <c r="I2597" s="137"/>
      <c r="J2597" s="135"/>
      <c r="K2597" s="135"/>
      <c r="L2597" s="135"/>
      <c r="M2597" s="135"/>
      <c r="N2597" s="135"/>
      <c r="O2597" s="135"/>
      <c r="P2597" s="135"/>
      <c r="Q2597" s="135"/>
      <c r="R2597" s="135"/>
      <c r="S2597" s="135"/>
      <c r="T2597" s="135"/>
      <c r="U2597" s="135"/>
      <c r="V2597" s="135"/>
      <c r="W2597" s="135"/>
      <c r="X2597" s="135"/>
      <c r="Y2597" s="135"/>
      <c r="Z2597" s="135"/>
    </row>
    <row r="2598" spans="1:26" ht="12.75">
      <c r="A2598" s="136" t="s">
        <v>15</v>
      </c>
      <c r="B2598" s="136" t="s">
        <v>7753</v>
      </c>
      <c r="C2598" s="136" t="s">
        <v>7779</v>
      </c>
      <c r="D2598" s="136"/>
      <c r="E2598" s="136" t="s">
        <v>7693</v>
      </c>
      <c r="F2598" s="136">
        <v>1490</v>
      </c>
      <c r="G2598" s="137">
        <f t="shared" si="10"/>
        <v>1</v>
      </c>
      <c r="H2598" s="137"/>
      <c r="I2598" s="137"/>
      <c r="J2598" s="135"/>
      <c r="K2598" s="135"/>
      <c r="L2598" s="135"/>
      <c r="M2598" s="135"/>
      <c r="N2598" s="135"/>
      <c r="O2598" s="135"/>
      <c r="P2598" s="135"/>
      <c r="Q2598" s="135"/>
      <c r="R2598" s="135"/>
      <c r="S2598" s="135"/>
      <c r="T2598" s="135"/>
      <c r="U2598" s="135"/>
      <c r="V2598" s="135"/>
      <c r="W2598" s="135"/>
      <c r="X2598" s="135"/>
      <c r="Y2598" s="135"/>
      <c r="Z2598" s="135"/>
    </row>
    <row r="2599" spans="1:26" ht="12.75">
      <c r="A2599" s="136" t="s">
        <v>15</v>
      </c>
      <c r="B2599" s="136" t="s">
        <v>7753</v>
      </c>
      <c r="C2599" s="136" t="s">
        <v>7782</v>
      </c>
      <c r="D2599" s="136" t="s">
        <v>1626</v>
      </c>
      <c r="E2599" s="136" t="s">
        <v>594</v>
      </c>
      <c r="F2599" s="136">
        <v>405</v>
      </c>
      <c r="G2599" s="137">
        <f t="shared" si="10"/>
        <v>4</v>
      </c>
      <c r="H2599" s="137"/>
      <c r="I2599" s="137"/>
      <c r="J2599" s="135"/>
      <c r="K2599" s="135"/>
      <c r="L2599" s="135"/>
      <c r="M2599" s="135"/>
      <c r="N2599" s="135"/>
      <c r="O2599" s="135"/>
      <c r="P2599" s="135"/>
      <c r="Q2599" s="135"/>
      <c r="R2599" s="135"/>
      <c r="S2599" s="135"/>
      <c r="T2599" s="135"/>
      <c r="U2599" s="135"/>
      <c r="V2599" s="135"/>
      <c r="W2599" s="135"/>
      <c r="X2599" s="135"/>
      <c r="Y2599" s="135"/>
      <c r="Z2599" s="135"/>
    </row>
    <row r="2600" spans="1:26" ht="12.75">
      <c r="A2600" s="136" t="s">
        <v>15</v>
      </c>
      <c r="B2600" s="136" t="s">
        <v>7753</v>
      </c>
      <c r="C2600" s="136" t="s">
        <v>7782</v>
      </c>
      <c r="D2600" s="136" t="s">
        <v>139</v>
      </c>
      <c r="E2600" s="136" t="s">
        <v>594</v>
      </c>
      <c r="F2600" s="136">
        <v>265</v>
      </c>
      <c r="G2600" s="137">
        <f t="shared" si="10"/>
        <v>5</v>
      </c>
      <c r="H2600" s="137"/>
      <c r="I2600" s="137"/>
      <c r="J2600" s="135"/>
      <c r="K2600" s="135"/>
      <c r="L2600" s="135"/>
      <c r="M2600" s="135"/>
      <c r="N2600" s="135"/>
      <c r="O2600" s="135"/>
      <c r="P2600" s="135"/>
      <c r="Q2600" s="135"/>
      <c r="R2600" s="135"/>
      <c r="S2600" s="135"/>
      <c r="T2600" s="135"/>
      <c r="U2600" s="135"/>
      <c r="V2600" s="135"/>
      <c r="W2600" s="135"/>
      <c r="X2600" s="135"/>
      <c r="Y2600" s="135"/>
      <c r="Z2600" s="135"/>
    </row>
    <row r="2601" spans="1:26" ht="12.75">
      <c r="A2601" s="136" t="s">
        <v>15</v>
      </c>
      <c r="B2601" s="136" t="s">
        <v>7753</v>
      </c>
      <c r="C2601" s="136" t="s">
        <v>7782</v>
      </c>
      <c r="D2601" s="136" t="s">
        <v>7491</v>
      </c>
      <c r="E2601" s="136" t="s">
        <v>615</v>
      </c>
      <c r="F2601" s="136">
        <v>254</v>
      </c>
      <c r="G2601" s="137">
        <f t="shared" si="10"/>
        <v>6</v>
      </c>
      <c r="H2601" s="137"/>
      <c r="I2601" s="137"/>
      <c r="J2601" s="135"/>
      <c r="K2601" s="135"/>
      <c r="L2601" s="135"/>
      <c r="M2601" s="135"/>
      <c r="N2601" s="135"/>
      <c r="O2601" s="135"/>
      <c r="P2601" s="135"/>
      <c r="Q2601" s="135"/>
      <c r="R2601" s="135"/>
      <c r="S2601" s="135"/>
      <c r="T2601" s="135"/>
      <c r="U2601" s="135"/>
      <c r="V2601" s="135"/>
      <c r="W2601" s="135"/>
      <c r="X2601" s="135"/>
      <c r="Y2601" s="135"/>
      <c r="Z2601" s="135"/>
    </row>
    <row r="2602" spans="1:26" ht="12.75">
      <c r="A2602" s="136" t="s">
        <v>15</v>
      </c>
      <c r="B2602" s="136" t="s">
        <v>7753</v>
      </c>
      <c r="C2602" s="136" t="s">
        <v>7782</v>
      </c>
      <c r="D2602" s="136" t="s">
        <v>103</v>
      </c>
      <c r="E2602" s="136" t="s">
        <v>594</v>
      </c>
      <c r="F2602" s="136">
        <v>250</v>
      </c>
      <c r="G2602" s="137">
        <f t="shared" si="10"/>
        <v>7</v>
      </c>
      <c r="H2602" s="137"/>
      <c r="I2602" s="137"/>
      <c r="J2602" s="135"/>
      <c r="K2602" s="135"/>
      <c r="L2602" s="135"/>
      <c r="M2602" s="135"/>
      <c r="N2602" s="135"/>
      <c r="O2602" s="135"/>
      <c r="P2602" s="135"/>
      <c r="Q2602" s="135"/>
      <c r="R2602" s="135"/>
      <c r="S2602" s="135"/>
      <c r="T2602" s="135"/>
      <c r="U2602" s="135"/>
      <c r="V2602" s="135"/>
      <c r="W2602" s="135"/>
      <c r="X2602" s="135"/>
      <c r="Y2602" s="135"/>
      <c r="Z2602" s="135"/>
    </row>
    <row r="2603" spans="1:26" ht="12.75">
      <c r="A2603" s="136" t="s">
        <v>15</v>
      </c>
      <c r="B2603" s="136" t="s">
        <v>7753</v>
      </c>
      <c r="C2603" s="136" t="s">
        <v>7782</v>
      </c>
      <c r="D2603" s="136" t="s">
        <v>7783</v>
      </c>
      <c r="E2603" s="136" t="s">
        <v>615</v>
      </c>
      <c r="F2603" s="136">
        <v>225</v>
      </c>
      <c r="G2603" s="137">
        <f t="shared" si="10"/>
        <v>8</v>
      </c>
      <c r="H2603" s="137"/>
      <c r="I2603" s="137"/>
      <c r="J2603" s="135"/>
      <c r="K2603" s="135"/>
      <c r="L2603" s="135"/>
      <c r="M2603" s="135"/>
      <c r="N2603" s="135"/>
      <c r="O2603" s="135"/>
      <c r="P2603" s="135"/>
      <c r="Q2603" s="135"/>
      <c r="R2603" s="135"/>
      <c r="S2603" s="135"/>
      <c r="T2603" s="135"/>
      <c r="U2603" s="135"/>
      <c r="V2603" s="135"/>
      <c r="W2603" s="135"/>
      <c r="X2603" s="135"/>
      <c r="Y2603" s="135"/>
      <c r="Z2603" s="135"/>
    </row>
    <row r="2604" spans="1:26" ht="12.75">
      <c r="A2604" s="136" t="s">
        <v>15</v>
      </c>
      <c r="B2604" s="136" t="s">
        <v>7753</v>
      </c>
      <c r="C2604" s="136" t="s">
        <v>7782</v>
      </c>
      <c r="D2604" s="136" t="s">
        <v>368</v>
      </c>
      <c r="E2604" s="136" t="s">
        <v>594</v>
      </c>
      <c r="F2604" s="136">
        <v>150</v>
      </c>
      <c r="G2604" s="137">
        <f t="shared" si="10"/>
        <v>9</v>
      </c>
      <c r="H2604" s="137"/>
      <c r="I2604" s="137"/>
      <c r="J2604" s="135"/>
      <c r="K2604" s="135"/>
      <c r="L2604" s="135"/>
      <c r="M2604" s="135"/>
      <c r="N2604" s="135"/>
      <c r="O2604" s="135"/>
      <c r="P2604" s="135"/>
      <c r="Q2604" s="135"/>
      <c r="R2604" s="135"/>
      <c r="S2604" s="135"/>
      <c r="T2604" s="135"/>
      <c r="U2604" s="135"/>
      <c r="V2604" s="135"/>
      <c r="W2604" s="135"/>
      <c r="X2604" s="135"/>
      <c r="Y2604" s="135"/>
      <c r="Z2604" s="135"/>
    </row>
    <row r="2605" spans="1:26" ht="12.75">
      <c r="A2605" s="136" t="s">
        <v>15</v>
      </c>
      <c r="B2605" s="136" t="s">
        <v>7753</v>
      </c>
      <c r="C2605" s="136" t="s">
        <v>7782</v>
      </c>
      <c r="D2605" s="136" t="s">
        <v>225</v>
      </c>
      <c r="E2605" s="136" t="s">
        <v>615</v>
      </c>
      <c r="F2605" s="136">
        <v>100</v>
      </c>
      <c r="G2605" s="137">
        <f t="shared" si="10"/>
        <v>13</v>
      </c>
      <c r="H2605" s="137"/>
      <c r="I2605" s="137"/>
      <c r="J2605" s="135"/>
      <c r="K2605" s="135"/>
      <c r="L2605" s="135"/>
      <c r="M2605" s="135"/>
      <c r="N2605" s="135"/>
      <c r="O2605" s="135"/>
      <c r="P2605" s="135"/>
      <c r="Q2605" s="135"/>
      <c r="R2605" s="135"/>
      <c r="S2605" s="135"/>
      <c r="T2605" s="135"/>
      <c r="U2605" s="135"/>
      <c r="V2605" s="135"/>
      <c r="W2605" s="135"/>
      <c r="X2605" s="135"/>
      <c r="Y2605" s="135"/>
      <c r="Z2605" s="135"/>
    </row>
    <row r="2606" spans="1:26" ht="12.75">
      <c r="A2606" s="136" t="s">
        <v>15</v>
      </c>
      <c r="B2606" s="136" t="s">
        <v>7753</v>
      </c>
      <c r="C2606" s="136" t="s">
        <v>7782</v>
      </c>
      <c r="D2606" s="136"/>
      <c r="E2606" s="136" t="s">
        <v>7693</v>
      </c>
      <c r="F2606" s="136">
        <v>1649</v>
      </c>
      <c r="G2606" s="137">
        <f t="shared" si="10"/>
        <v>1</v>
      </c>
      <c r="H2606" s="137"/>
      <c r="I2606" s="137"/>
      <c r="J2606" s="135"/>
      <c r="K2606" s="135"/>
      <c r="L2606" s="135"/>
      <c r="M2606" s="135"/>
      <c r="N2606" s="135"/>
      <c r="O2606" s="135"/>
      <c r="P2606" s="135"/>
      <c r="Q2606" s="135"/>
      <c r="R2606" s="135"/>
      <c r="S2606" s="135"/>
      <c r="T2606" s="135"/>
      <c r="U2606" s="135"/>
      <c r="V2606" s="135"/>
      <c r="W2606" s="135"/>
      <c r="X2606" s="135"/>
      <c r="Y2606" s="135"/>
      <c r="Z2606" s="135"/>
    </row>
    <row r="2607" spans="1:26" ht="12.75">
      <c r="A2607" s="136" t="s">
        <v>15</v>
      </c>
      <c r="B2607" s="136" t="s">
        <v>7753</v>
      </c>
      <c r="C2607" s="136" t="s">
        <v>7784</v>
      </c>
      <c r="D2607" s="136" t="s">
        <v>7783</v>
      </c>
      <c r="E2607" s="136" t="s">
        <v>615</v>
      </c>
      <c r="F2607" s="136">
        <v>700</v>
      </c>
      <c r="G2607" s="137">
        <f t="shared" si="10"/>
        <v>3</v>
      </c>
      <c r="H2607" s="137"/>
      <c r="I2607" s="137"/>
      <c r="J2607" s="135"/>
      <c r="K2607" s="135"/>
      <c r="L2607" s="135"/>
      <c r="M2607" s="135"/>
      <c r="N2607" s="135"/>
      <c r="O2607" s="135"/>
      <c r="P2607" s="135"/>
      <c r="Q2607" s="135"/>
      <c r="R2607" s="135"/>
      <c r="S2607" s="135"/>
      <c r="T2607" s="135"/>
      <c r="U2607" s="135"/>
      <c r="V2607" s="135"/>
      <c r="W2607" s="135"/>
      <c r="X2607" s="135"/>
      <c r="Y2607" s="135"/>
      <c r="Z2607" s="135"/>
    </row>
    <row r="2608" spans="1:26" ht="12.75">
      <c r="A2608" s="136" t="s">
        <v>15</v>
      </c>
      <c r="B2608" s="136" t="s">
        <v>7753</v>
      </c>
      <c r="C2608" s="136" t="s">
        <v>7784</v>
      </c>
      <c r="D2608" s="136" t="s">
        <v>7721</v>
      </c>
      <c r="E2608" s="136" t="s">
        <v>615</v>
      </c>
      <c r="F2608" s="136">
        <v>250</v>
      </c>
      <c r="G2608" s="137">
        <f t="shared" si="10"/>
        <v>6</v>
      </c>
      <c r="H2608" s="137"/>
      <c r="I2608" s="137"/>
      <c r="J2608" s="135"/>
      <c r="K2608" s="135"/>
      <c r="L2608" s="135"/>
      <c r="M2608" s="135"/>
      <c r="N2608" s="135"/>
      <c r="O2608" s="135"/>
      <c r="P2608" s="135"/>
      <c r="Q2608" s="135"/>
      <c r="R2608" s="135"/>
      <c r="S2608" s="135"/>
      <c r="T2608" s="135"/>
      <c r="U2608" s="135"/>
      <c r="V2608" s="135"/>
      <c r="W2608" s="135"/>
      <c r="X2608" s="135"/>
      <c r="Y2608" s="135"/>
      <c r="Z2608" s="135"/>
    </row>
    <row r="2609" spans="1:26" ht="12.75">
      <c r="A2609" s="136" t="s">
        <v>15</v>
      </c>
      <c r="B2609" s="136" t="s">
        <v>7753</v>
      </c>
      <c r="C2609" s="136" t="s">
        <v>7784</v>
      </c>
      <c r="D2609" s="136" t="s">
        <v>7491</v>
      </c>
      <c r="E2609" s="136" t="s">
        <v>615</v>
      </c>
      <c r="F2609" s="136">
        <v>156</v>
      </c>
      <c r="G2609" s="137">
        <f t="shared" si="10"/>
        <v>7</v>
      </c>
      <c r="H2609" s="137"/>
      <c r="I2609" s="137"/>
      <c r="J2609" s="135"/>
      <c r="K2609" s="135"/>
      <c r="L2609" s="135"/>
      <c r="M2609" s="135"/>
      <c r="N2609" s="135"/>
      <c r="O2609" s="135"/>
      <c r="P2609" s="135"/>
      <c r="Q2609" s="135"/>
      <c r="R2609" s="135"/>
      <c r="S2609" s="135"/>
      <c r="T2609" s="135"/>
      <c r="U2609" s="135"/>
      <c r="V2609" s="135"/>
      <c r="W2609" s="135"/>
      <c r="X2609" s="135"/>
      <c r="Y2609" s="135"/>
      <c r="Z2609" s="135"/>
    </row>
    <row r="2610" spans="1:26" ht="12.75">
      <c r="A2610" s="136" t="s">
        <v>15</v>
      </c>
      <c r="B2610" s="136" t="s">
        <v>7753</v>
      </c>
      <c r="C2610" s="136" t="s">
        <v>7784</v>
      </c>
      <c r="D2610" s="136" t="s">
        <v>225</v>
      </c>
      <c r="E2610" s="136" t="s">
        <v>615</v>
      </c>
      <c r="F2610" s="136">
        <v>100</v>
      </c>
      <c r="G2610" s="137">
        <f t="shared" si="10"/>
        <v>9</v>
      </c>
      <c r="H2610" s="137"/>
      <c r="I2610" s="137"/>
      <c r="J2610" s="135"/>
      <c r="K2610" s="135"/>
      <c r="L2610" s="135"/>
      <c r="M2610" s="135"/>
      <c r="N2610" s="135"/>
      <c r="O2610" s="135"/>
      <c r="P2610" s="135"/>
      <c r="Q2610" s="135"/>
      <c r="R2610" s="135"/>
      <c r="S2610" s="135"/>
      <c r="T2610" s="135"/>
      <c r="U2610" s="135"/>
      <c r="V2610" s="135"/>
      <c r="W2610" s="135"/>
      <c r="X2610" s="135"/>
      <c r="Y2610" s="135"/>
      <c r="Z2610" s="135"/>
    </row>
    <row r="2611" spans="1:26" ht="12.75">
      <c r="A2611" s="136" t="s">
        <v>15</v>
      </c>
      <c r="B2611" s="136" t="s">
        <v>7753</v>
      </c>
      <c r="C2611" s="136" t="s">
        <v>7784</v>
      </c>
      <c r="D2611" s="136" t="s">
        <v>368</v>
      </c>
      <c r="E2611" s="136" t="s">
        <v>594</v>
      </c>
      <c r="F2611" s="136">
        <v>100</v>
      </c>
      <c r="G2611" s="137">
        <f t="shared" si="10"/>
        <v>10</v>
      </c>
      <c r="H2611" s="137"/>
      <c r="I2611" s="137"/>
      <c r="J2611" s="135"/>
      <c r="K2611" s="135"/>
      <c r="L2611" s="135"/>
      <c r="M2611" s="135"/>
      <c r="N2611" s="135"/>
      <c r="O2611" s="135"/>
      <c r="P2611" s="135"/>
      <c r="Q2611" s="135"/>
      <c r="R2611" s="135"/>
      <c r="S2611" s="135"/>
      <c r="T2611" s="135"/>
      <c r="U2611" s="135"/>
      <c r="V2611" s="135"/>
      <c r="W2611" s="135"/>
      <c r="X2611" s="135"/>
      <c r="Y2611" s="135"/>
      <c r="Z2611" s="135"/>
    </row>
    <row r="2612" spans="1:26" ht="12.75">
      <c r="A2612" s="136" t="s">
        <v>15</v>
      </c>
      <c r="B2612" s="136" t="s">
        <v>7753</v>
      </c>
      <c r="C2612" s="136" t="s">
        <v>7784</v>
      </c>
      <c r="D2612" s="136" t="s">
        <v>139</v>
      </c>
      <c r="E2612" s="136" t="s">
        <v>594</v>
      </c>
      <c r="F2612" s="136">
        <v>100</v>
      </c>
      <c r="G2612" s="137">
        <f t="shared" si="10"/>
        <v>11</v>
      </c>
      <c r="H2612" s="137"/>
      <c r="I2612" s="137"/>
      <c r="J2612" s="135"/>
      <c r="K2612" s="135"/>
      <c r="L2612" s="135"/>
      <c r="M2612" s="135"/>
      <c r="N2612" s="135"/>
      <c r="O2612" s="135"/>
      <c r="P2612" s="135"/>
      <c r="Q2612" s="135"/>
      <c r="R2612" s="135"/>
      <c r="S2612" s="135"/>
      <c r="T2612" s="135"/>
      <c r="U2612" s="135"/>
      <c r="V2612" s="135"/>
      <c r="W2612" s="135"/>
      <c r="X2612" s="135"/>
      <c r="Y2612" s="135"/>
      <c r="Z2612" s="135"/>
    </row>
    <row r="2613" spans="1:26" ht="12.75">
      <c r="A2613" s="136" t="s">
        <v>15</v>
      </c>
      <c r="B2613" s="136" t="s">
        <v>7753</v>
      </c>
      <c r="C2613" s="136" t="s">
        <v>7784</v>
      </c>
      <c r="D2613" s="136" t="s">
        <v>1626</v>
      </c>
      <c r="E2613" s="136" t="s">
        <v>594</v>
      </c>
      <c r="F2613" s="136">
        <v>75</v>
      </c>
      <c r="G2613" s="137">
        <f t="shared" si="10"/>
        <v>13</v>
      </c>
      <c r="H2613" s="137"/>
      <c r="I2613" s="137"/>
      <c r="J2613" s="135"/>
      <c r="K2613" s="135"/>
      <c r="L2613" s="135"/>
      <c r="M2613" s="135"/>
      <c r="N2613" s="135"/>
      <c r="O2613" s="135"/>
      <c r="P2613" s="135"/>
      <c r="Q2613" s="135"/>
      <c r="R2613" s="135"/>
      <c r="S2613" s="135"/>
      <c r="T2613" s="135"/>
      <c r="U2613" s="135"/>
      <c r="V2613" s="135"/>
      <c r="W2613" s="135"/>
      <c r="X2613" s="135"/>
      <c r="Y2613" s="135"/>
      <c r="Z2613" s="135"/>
    </row>
    <row r="2614" spans="1:26" ht="12.75">
      <c r="A2614" s="136" t="s">
        <v>15</v>
      </c>
      <c r="B2614" s="136" t="s">
        <v>7753</v>
      </c>
      <c r="C2614" s="136" t="s">
        <v>7784</v>
      </c>
      <c r="D2614" s="136"/>
      <c r="E2614" s="136" t="s">
        <v>7693</v>
      </c>
      <c r="F2614" s="136">
        <v>1481</v>
      </c>
      <c r="G2614" s="137">
        <f t="shared" si="10"/>
        <v>1</v>
      </c>
      <c r="H2614" s="137"/>
      <c r="I2614" s="137"/>
      <c r="J2614" s="135"/>
      <c r="K2614" s="135"/>
      <c r="L2614" s="135"/>
      <c r="M2614" s="135"/>
      <c r="N2614" s="135"/>
      <c r="O2614" s="135"/>
      <c r="P2614" s="135"/>
      <c r="Q2614" s="135"/>
      <c r="R2614" s="135"/>
      <c r="S2614" s="135"/>
      <c r="T2614" s="135"/>
      <c r="U2614" s="135"/>
      <c r="V2614" s="135"/>
      <c r="W2614" s="135"/>
      <c r="X2614" s="135"/>
      <c r="Y2614" s="135"/>
      <c r="Z2614" s="135"/>
    </row>
    <row r="2615" spans="1:26" ht="12.75">
      <c r="A2615" s="136" t="s">
        <v>15</v>
      </c>
      <c r="B2615" s="136" t="s">
        <v>7753</v>
      </c>
      <c r="C2615" s="136" t="s">
        <v>7785</v>
      </c>
      <c r="D2615" s="136" t="s">
        <v>1656</v>
      </c>
      <c r="E2615" s="136" t="s">
        <v>615</v>
      </c>
      <c r="F2615" s="136">
        <v>366</v>
      </c>
      <c r="G2615" s="137">
        <f t="shared" si="10"/>
        <v>4</v>
      </c>
      <c r="H2615" s="137"/>
      <c r="I2615" s="137"/>
      <c r="J2615" s="135"/>
      <c r="K2615" s="135"/>
      <c r="L2615" s="135"/>
      <c r="M2615" s="135"/>
      <c r="N2615" s="135"/>
      <c r="O2615" s="135"/>
      <c r="P2615" s="135"/>
      <c r="Q2615" s="135"/>
      <c r="R2615" s="135"/>
      <c r="S2615" s="135"/>
      <c r="T2615" s="135"/>
      <c r="U2615" s="135"/>
      <c r="V2615" s="135"/>
      <c r="W2615" s="135"/>
      <c r="X2615" s="135"/>
      <c r="Y2615" s="135"/>
      <c r="Z2615" s="135"/>
    </row>
    <row r="2616" spans="1:26" ht="12.75">
      <c r="A2616" s="136" t="s">
        <v>15</v>
      </c>
      <c r="B2616" s="136" t="s">
        <v>7753</v>
      </c>
      <c r="C2616" s="136" t="s">
        <v>7785</v>
      </c>
      <c r="D2616" s="136" t="s">
        <v>7721</v>
      </c>
      <c r="E2616" s="136" t="s">
        <v>615</v>
      </c>
      <c r="F2616" s="136">
        <v>326</v>
      </c>
      <c r="G2616" s="137">
        <f t="shared" si="10"/>
        <v>5</v>
      </c>
      <c r="H2616" s="137"/>
      <c r="I2616" s="137"/>
      <c r="J2616" s="135"/>
      <c r="K2616" s="135"/>
      <c r="L2616" s="135"/>
      <c r="M2616" s="135"/>
      <c r="N2616" s="135"/>
      <c r="O2616" s="135"/>
      <c r="P2616" s="135"/>
      <c r="Q2616" s="135"/>
      <c r="R2616" s="135"/>
      <c r="S2616" s="135"/>
      <c r="T2616" s="135"/>
      <c r="U2616" s="135"/>
      <c r="V2616" s="135"/>
      <c r="W2616" s="135"/>
      <c r="X2616" s="135"/>
      <c r="Y2616" s="135"/>
      <c r="Z2616" s="135"/>
    </row>
    <row r="2617" spans="1:26" ht="12.75">
      <c r="A2617" s="136" t="s">
        <v>15</v>
      </c>
      <c r="B2617" s="136" t="s">
        <v>7753</v>
      </c>
      <c r="C2617" s="136" t="s">
        <v>7785</v>
      </c>
      <c r="D2617" s="136" t="s">
        <v>7544</v>
      </c>
      <c r="E2617" s="136" t="s">
        <v>615</v>
      </c>
      <c r="F2617" s="136">
        <v>325</v>
      </c>
      <c r="G2617" s="137">
        <f t="shared" si="10"/>
        <v>6</v>
      </c>
      <c r="H2617" s="137"/>
      <c r="I2617" s="137"/>
      <c r="J2617" s="135"/>
      <c r="K2617" s="135"/>
      <c r="L2617" s="135"/>
      <c r="M2617" s="135"/>
      <c r="N2617" s="135"/>
      <c r="O2617" s="135"/>
      <c r="P2617" s="135"/>
      <c r="Q2617" s="135"/>
      <c r="R2617" s="135"/>
      <c r="S2617" s="135"/>
      <c r="T2617" s="135"/>
      <c r="U2617" s="135"/>
      <c r="V2617" s="135"/>
      <c r="W2617" s="135"/>
      <c r="X2617" s="135"/>
      <c r="Y2617" s="135"/>
      <c r="Z2617" s="135"/>
    </row>
    <row r="2618" spans="1:26" ht="12.75">
      <c r="A2618" s="136" t="s">
        <v>15</v>
      </c>
      <c r="B2618" s="136" t="s">
        <v>7753</v>
      </c>
      <c r="C2618" s="136" t="s">
        <v>7785</v>
      </c>
      <c r="D2618" s="136" t="s">
        <v>1626</v>
      </c>
      <c r="E2618" s="136" t="s">
        <v>594</v>
      </c>
      <c r="F2618" s="136">
        <v>170</v>
      </c>
      <c r="G2618" s="137">
        <f t="shared" si="10"/>
        <v>9</v>
      </c>
      <c r="H2618" s="137"/>
      <c r="I2618" s="137"/>
      <c r="J2618" s="135"/>
      <c r="K2618" s="135"/>
      <c r="L2618" s="135"/>
      <c r="M2618" s="135"/>
      <c r="N2618" s="135"/>
      <c r="O2618" s="135"/>
      <c r="P2618" s="135"/>
      <c r="Q2618" s="135"/>
      <c r="R2618" s="135"/>
      <c r="S2618" s="135"/>
      <c r="T2618" s="135"/>
      <c r="U2618" s="135"/>
      <c r="V2618" s="135"/>
      <c r="W2618" s="135"/>
      <c r="X2618" s="135"/>
      <c r="Y2618" s="135"/>
      <c r="Z2618" s="135"/>
    </row>
    <row r="2619" spans="1:26" ht="12.75">
      <c r="A2619" s="136" t="s">
        <v>15</v>
      </c>
      <c r="B2619" s="136" t="s">
        <v>7753</v>
      </c>
      <c r="C2619" s="136" t="s">
        <v>7785</v>
      </c>
      <c r="D2619" s="136" t="s">
        <v>368</v>
      </c>
      <c r="E2619" s="136" t="s">
        <v>594</v>
      </c>
      <c r="F2619" s="136">
        <v>126</v>
      </c>
      <c r="G2619" s="137">
        <f t="shared" si="10"/>
        <v>10</v>
      </c>
      <c r="H2619" s="137"/>
      <c r="I2619" s="137"/>
      <c r="J2619" s="135"/>
      <c r="K2619" s="135"/>
      <c r="L2619" s="135"/>
      <c r="M2619" s="135"/>
      <c r="N2619" s="135"/>
      <c r="O2619" s="135"/>
      <c r="P2619" s="135"/>
      <c r="Q2619" s="135"/>
      <c r="R2619" s="135"/>
      <c r="S2619" s="135"/>
      <c r="T2619" s="135"/>
      <c r="U2619" s="135"/>
      <c r="V2619" s="135"/>
      <c r="W2619" s="135"/>
      <c r="X2619" s="135"/>
      <c r="Y2619" s="135"/>
      <c r="Z2619" s="135"/>
    </row>
    <row r="2620" spans="1:26" ht="12.75">
      <c r="A2620" s="136" t="s">
        <v>15</v>
      </c>
      <c r="B2620" s="136" t="s">
        <v>7753</v>
      </c>
      <c r="C2620" s="136" t="s">
        <v>7785</v>
      </c>
      <c r="D2620" s="136" t="s">
        <v>103</v>
      </c>
      <c r="E2620" s="136" t="s">
        <v>594</v>
      </c>
      <c r="F2620" s="136">
        <v>108</v>
      </c>
      <c r="G2620" s="137">
        <f t="shared" si="10"/>
        <v>11</v>
      </c>
      <c r="H2620" s="137"/>
      <c r="I2620" s="137"/>
      <c r="J2620" s="135"/>
      <c r="K2620" s="135"/>
      <c r="L2620" s="135"/>
      <c r="M2620" s="135"/>
      <c r="N2620" s="135"/>
      <c r="O2620" s="135"/>
      <c r="P2620" s="135"/>
      <c r="Q2620" s="135"/>
      <c r="R2620" s="135"/>
      <c r="S2620" s="135"/>
      <c r="T2620" s="135"/>
      <c r="U2620" s="135"/>
      <c r="V2620" s="135"/>
      <c r="W2620" s="135"/>
      <c r="X2620" s="135"/>
      <c r="Y2620" s="135"/>
      <c r="Z2620" s="135"/>
    </row>
    <row r="2621" spans="1:26" ht="12.75">
      <c r="A2621" s="136" t="s">
        <v>15</v>
      </c>
      <c r="B2621" s="136" t="s">
        <v>7753</v>
      </c>
      <c r="C2621" s="136" t="s">
        <v>7785</v>
      </c>
      <c r="D2621" s="136" t="s">
        <v>139</v>
      </c>
      <c r="E2621" s="136" t="s">
        <v>594</v>
      </c>
      <c r="F2621" s="136">
        <v>104</v>
      </c>
      <c r="G2621" s="137">
        <f t="shared" si="10"/>
        <v>13</v>
      </c>
      <c r="H2621" s="137"/>
      <c r="I2621" s="137"/>
      <c r="J2621" s="135"/>
      <c r="K2621" s="135"/>
      <c r="L2621" s="135"/>
      <c r="M2621" s="135"/>
      <c r="N2621" s="135"/>
      <c r="O2621" s="135"/>
      <c r="P2621" s="135"/>
      <c r="Q2621" s="135"/>
      <c r="R2621" s="135"/>
      <c r="S2621" s="135"/>
      <c r="T2621" s="135"/>
      <c r="U2621" s="135"/>
      <c r="V2621" s="135"/>
      <c r="W2621" s="135"/>
      <c r="X2621" s="135"/>
      <c r="Y2621" s="135"/>
      <c r="Z2621" s="135"/>
    </row>
    <row r="2622" spans="1:26" ht="12.75">
      <c r="A2622" s="136" t="s">
        <v>15</v>
      </c>
      <c r="B2622" s="136" t="s">
        <v>7753</v>
      </c>
      <c r="C2622" s="136" t="s">
        <v>7785</v>
      </c>
      <c r="D2622" s="136" t="s">
        <v>7786</v>
      </c>
      <c r="E2622" s="136" t="s">
        <v>615</v>
      </c>
      <c r="F2622" s="136">
        <v>76</v>
      </c>
      <c r="G2622" s="137">
        <f t="shared" si="10"/>
        <v>14</v>
      </c>
      <c r="H2622" s="137"/>
      <c r="I2622" s="137"/>
      <c r="J2622" s="135"/>
      <c r="K2622" s="135"/>
      <c r="L2622" s="135"/>
      <c r="M2622" s="135"/>
      <c r="N2622" s="135"/>
      <c r="O2622" s="135"/>
      <c r="P2622" s="135"/>
      <c r="Q2622" s="135"/>
      <c r="R2622" s="135"/>
      <c r="S2622" s="135"/>
      <c r="T2622" s="135"/>
      <c r="U2622" s="135"/>
      <c r="V2622" s="135"/>
      <c r="W2622" s="135"/>
      <c r="X2622" s="135"/>
      <c r="Y2622" s="135"/>
      <c r="Z2622" s="135"/>
    </row>
    <row r="2623" spans="1:26" ht="12.75">
      <c r="A2623" s="136" t="s">
        <v>15</v>
      </c>
      <c r="B2623" s="136" t="s">
        <v>7753</v>
      </c>
      <c r="C2623" s="136" t="s">
        <v>7785</v>
      </c>
      <c r="D2623" s="136" t="s">
        <v>225</v>
      </c>
      <c r="E2623" s="136" t="s">
        <v>615</v>
      </c>
      <c r="F2623" s="136">
        <v>75</v>
      </c>
      <c r="G2623" s="137">
        <f t="shared" si="10"/>
        <v>15</v>
      </c>
      <c r="H2623" s="137"/>
      <c r="I2623" s="137"/>
      <c r="J2623" s="135"/>
      <c r="K2623" s="135"/>
      <c r="L2623" s="135"/>
      <c r="M2623" s="135"/>
      <c r="N2623" s="135"/>
      <c r="O2623" s="135"/>
      <c r="P2623" s="135"/>
      <c r="Q2623" s="135"/>
      <c r="R2623" s="135"/>
      <c r="S2623" s="135"/>
      <c r="T2623" s="135"/>
      <c r="U2623" s="135"/>
      <c r="V2623" s="135"/>
      <c r="W2623" s="135"/>
      <c r="X2623" s="135"/>
      <c r="Y2623" s="135"/>
      <c r="Z2623" s="135"/>
    </row>
    <row r="2624" spans="1:26" ht="12.75">
      <c r="A2624" s="136" t="s">
        <v>15</v>
      </c>
      <c r="B2624" s="136" t="s">
        <v>7753</v>
      </c>
      <c r="C2624" s="136" t="s">
        <v>7785</v>
      </c>
      <c r="D2624" s="136" t="s">
        <v>7491</v>
      </c>
      <c r="E2624" s="136" t="s">
        <v>615</v>
      </c>
      <c r="F2624" s="136">
        <v>33</v>
      </c>
      <c r="G2624" s="137">
        <f t="shared" si="10"/>
        <v>17</v>
      </c>
      <c r="H2624" s="137"/>
      <c r="I2624" s="137"/>
      <c r="J2624" s="135"/>
      <c r="K2624" s="135"/>
      <c r="L2624" s="135"/>
      <c r="M2624" s="135"/>
      <c r="N2624" s="135"/>
      <c r="O2624" s="135"/>
      <c r="P2624" s="135"/>
      <c r="Q2624" s="135"/>
      <c r="R2624" s="135"/>
      <c r="S2624" s="135"/>
      <c r="T2624" s="135"/>
      <c r="U2624" s="135"/>
      <c r="V2624" s="135"/>
      <c r="W2624" s="135"/>
      <c r="X2624" s="135"/>
      <c r="Y2624" s="135"/>
      <c r="Z2624" s="135"/>
    </row>
    <row r="2625" spans="1:26" ht="12.75">
      <c r="A2625" s="136" t="s">
        <v>15</v>
      </c>
      <c r="B2625" s="136" t="s">
        <v>7753</v>
      </c>
      <c r="C2625" s="136" t="s">
        <v>7785</v>
      </c>
      <c r="D2625" s="136"/>
      <c r="E2625" s="136" t="s">
        <v>7693</v>
      </c>
      <c r="F2625" s="136">
        <v>1709</v>
      </c>
      <c r="G2625" s="137">
        <f t="shared" si="10"/>
        <v>1</v>
      </c>
      <c r="H2625" s="137"/>
      <c r="I2625" s="137"/>
      <c r="J2625" s="135"/>
      <c r="K2625" s="135"/>
      <c r="L2625" s="135"/>
      <c r="M2625" s="135"/>
      <c r="N2625" s="135"/>
      <c r="O2625" s="135"/>
      <c r="P2625" s="135"/>
      <c r="Q2625" s="135"/>
      <c r="R2625" s="135"/>
      <c r="S2625" s="135"/>
      <c r="T2625" s="135"/>
      <c r="U2625" s="135"/>
      <c r="V2625" s="135"/>
      <c r="W2625" s="135"/>
      <c r="X2625" s="135"/>
      <c r="Y2625" s="135"/>
      <c r="Z2625" s="135"/>
    </row>
    <row r="2626" spans="1:26" ht="12.75">
      <c r="A2626" s="136" t="s">
        <v>15</v>
      </c>
      <c r="B2626" s="136" t="s">
        <v>7753</v>
      </c>
      <c r="C2626" s="136" t="s">
        <v>7787</v>
      </c>
      <c r="D2626" s="136" t="s">
        <v>1626</v>
      </c>
      <c r="E2626" s="136" t="s">
        <v>594</v>
      </c>
      <c r="F2626" s="136">
        <v>355</v>
      </c>
      <c r="G2626" s="137">
        <f t="shared" si="10"/>
        <v>4</v>
      </c>
      <c r="H2626" s="137"/>
      <c r="I2626" s="137"/>
      <c r="J2626" s="135"/>
      <c r="K2626" s="135"/>
      <c r="L2626" s="135"/>
      <c r="M2626" s="135"/>
      <c r="N2626" s="135"/>
      <c r="O2626" s="135"/>
      <c r="P2626" s="135"/>
      <c r="Q2626" s="135"/>
      <c r="R2626" s="135"/>
      <c r="S2626" s="135"/>
      <c r="T2626" s="135"/>
      <c r="U2626" s="135"/>
      <c r="V2626" s="135"/>
      <c r="W2626" s="135"/>
      <c r="X2626" s="135"/>
      <c r="Y2626" s="135"/>
      <c r="Z2626" s="135"/>
    </row>
    <row r="2627" spans="1:26" ht="12.75">
      <c r="A2627" s="136" t="s">
        <v>15</v>
      </c>
      <c r="B2627" s="136" t="s">
        <v>7753</v>
      </c>
      <c r="C2627" s="136" t="s">
        <v>7787</v>
      </c>
      <c r="D2627" s="136" t="s">
        <v>368</v>
      </c>
      <c r="E2627" s="136" t="s">
        <v>594</v>
      </c>
      <c r="F2627" s="136">
        <v>350</v>
      </c>
      <c r="G2627" s="137">
        <f t="shared" si="10"/>
        <v>5</v>
      </c>
      <c r="H2627" s="137"/>
      <c r="I2627" s="137"/>
      <c r="J2627" s="135"/>
      <c r="K2627" s="135"/>
      <c r="L2627" s="135"/>
      <c r="M2627" s="135"/>
      <c r="N2627" s="135"/>
      <c r="O2627" s="135"/>
      <c r="P2627" s="135"/>
      <c r="Q2627" s="135"/>
      <c r="R2627" s="135"/>
      <c r="S2627" s="135"/>
      <c r="T2627" s="135"/>
      <c r="U2627" s="135"/>
      <c r="V2627" s="135"/>
      <c r="W2627" s="135"/>
      <c r="X2627" s="135"/>
      <c r="Y2627" s="135"/>
      <c r="Z2627" s="135"/>
    </row>
    <row r="2628" spans="1:26" ht="12.75">
      <c r="A2628" s="136" t="s">
        <v>15</v>
      </c>
      <c r="B2628" s="136" t="s">
        <v>7753</v>
      </c>
      <c r="C2628" s="136" t="s">
        <v>7787</v>
      </c>
      <c r="D2628" s="136" t="s">
        <v>1665</v>
      </c>
      <c r="E2628" s="136" t="s">
        <v>615</v>
      </c>
      <c r="F2628" s="136">
        <v>158</v>
      </c>
      <c r="G2628" s="137">
        <f t="shared" si="10"/>
        <v>8</v>
      </c>
      <c r="H2628" s="137"/>
      <c r="I2628" s="137"/>
      <c r="J2628" s="135"/>
      <c r="K2628" s="135"/>
      <c r="L2628" s="135"/>
      <c r="M2628" s="135"/>
      <c r="N2628" s="135"/>
      <c r="O2628" s="135"/>
      <c r="P2628" s="135"/>
      <c r="Q2628" s="135"/>
      <c r="R2628" s="135"/>
      <c r="S2628" s="135"/>
      <c r="T2628" s="135"/>
      <c r="U2628" s="135"/>
      <c r="V2628" s="135"/>
      <c r="W2628" s="135"/>
      <c r="X2628" s="135"/>
      <c r="Y2628" s="135"/>
      <c r="Z2628" s="135"/>
    </row>
    <row r="2629" spans="1:26" ht="12.75">
      <c r="A2629" s="136" t="s">
        <v>15</v>
      </c>
      <c r="B2629" s="136" t="s">
        <v>7753</v>
      </c>
      <c r="C2629" s="136" t="s">
        <v>7787</v>
      </c>
      <c r="D2629" s="136" t="s">
        <v>225</v>
      </c>
      <c r="E2629" s="136" t="s">
        <v>615</v>
      </c>
      <c r="F2629" s="136">
        <v>150</v>
      </c>
      <c r="G2629" s="137">
        <f t="shared" si="10"/>
        <v>9</v>
      </c>
      <c r="H2629" s="137"/>
      <c r="I2629" s="137"/>
      <c r="J2629" s="135"/>
      <c r="K2629" s="135"/>
      <c r="L2629" s="135"/>
      <c r="M2629" s="135"/>
      <c r="N2629" s="135"/>
      <c r="O2629" s="135"/>
      <c r="P2629" s="135"/>
      <c r="Q2629" s="135"/>
      <c r="R2629" s="135"/>
      <c r="S2629" s="135"/>
      <c r="T2629" s="135"/>
      <c r="U2629" s="135"/>
      <c r="V2629" s="135"/>
      <c r="W2629" s="135"/>
      <c r="X2629" s="135"/>
      <c r="Y2629" s="135"/>
      <c r="Z2629" s="135"/>
    </row>
    <row r="2630" spans="1:26" ht="12.75">
      <c r="A2630" s="136" t="s">
        <v>15</v>
      </c>
      <c r="B2630" s="136" t="s">
        <v>7753</v>
      </c>
      <c r="C2630" s="136" t="s">
        <v>7787</v>
      </c>
      <c r="D2630" s="136" t="s">
        <v>7788</v>
      </c>
      <c r="E2630" s="136" t="s">
        <v>615</v>
      </c>
      <c r="F2630" s="136">
        <v>145</v>
      </c>
      <c r="G2630" s="137">
        <f t="shared" si="10"/>
        <v>10</v>
      </c>
      <c r="H2630" s="137"/>
      <c r="I2630" s="137"/>
      <c r="J2630" s="135"/>
      <c r="K2630" s="135"/>
      <c r="L2630" s="135"/>
      <c r="M2630" s="135"/>
      <c r="N2630" s="135"/>
      <c r="O2630" s="135"/>
      <c r="P2630" s="135"/>
      <c r="Q2630" s="135"/>
      <c r="R2630" s="135"/>
      <c r="S2630" s="135"/>
      <c r="T2630" s="135"/>
      <c r="U2630" s="135"/>
      <c r="V2630" s="135"/>
      <c r="W2630" s="135"/>
      <c r="X2630" s="135"/>
      <c r="Y2630" s="135"/>
      <c r="Z2630" s="135"/>
    </row>
    <row r="2631" spans="1:26" ht="12.75">
      <c r="A2631" s="136" t="s">
        <v>15</v>
      </c>
      <c r="B2631" s="136" t="s">
        <v>7753</v>
      </c>
      <c r="C2631" s="136" t="s">
        <v>7787</v>
      </c>
      <c r="D2631" s="136" t="s">
        <v>139</v>
      </c>
      <c r="E2631" s="136" t="s">
        <v>594</v>
      </c>
      <c r="F2631" s="136">
        <v>125</v>
      </c>
      <c r="G2631" s="137">
        <f t="shared" si="10"/>
        <v>11</v>
      </c>
      <c r="H2631" s="137"/>
      <c r="I2631" s="137"/>
      <c r="J2631" s="135"/>
      <c r="K2631" s="135"/>
      <c r="L2631" s="135"/>
      <c r="M2631" s="135"/>
      <c r="N2631" s="135"/>
      <c r="O2631" s="135"/>
      <c r="P2631" s="135"/>
      <c r="Q2631" s="135"/>
      <c r="R2631" s="135"/>
      <c r="S2631" s="135"/>
      <c r="T2631" s="135"/>
      <c r="U2631" s="135"/>
      <c r="V2631" s="135"/>
      <c r="W2631" s="135"/>
      <c r="X2631" s="135"/>
      <c r="Y2631" s="135"/>
      <c r="Z2631" s="135"/>
    </row>
    <row r="2632" spans="1:26" ht="12.75">
      <c r="A2632" s="136" t="s">
        <v>15</v>
      </c>
      <c r="B2632" s="136" t="s">
        <v>7753</v>
      </c>
      <c r="C2632" s="136" t="s">
        <v>7787</v>
      </c>
      <c r="D2632" s="136" t="s">
        <v>103</v>
      </c>
      <c r="E2632" s="136" t="s">
        <v>594</v>
      </c>
      <c r="F2632" s="136">
        <v>125</v>
      </c>
      <c r="G2632" s="137">
        <f t="shared" si="10"/>
        <v>12</v>
      </c>
      <c r="H2632" s="137"/>
      <c r="I2632" s="137"/>
      <c r="J2632" s="135"/>
      <c r="K2632" s="135"/>
      <c r="L2632" s="135"/>
      <c r="M2632" s="135"/>
      <c r="N2632" s="135"/>
      <c r="O2632" s="135"/>
      <c r="P2632" s="135"/>
      <c r="Q2632" s="135"/>
      <c r="R2632" s="135"/>
      <c r="S2632" s="135"/>
      <c r="T2632" s="135"/>
      <c r="U2632" s="135"/>
      <c r="V2632" s="135"/>
      <c r="W2632" s="135"/>
      <c r="X2632" s="135"/>
      <c r="Y2632" s="135"/>
      <c r="Z2632" s="135"/>
    </row>
    <row r="2633" spans="1:26" ht="12.75">
      <c r="A2633" s="136" t="s">
        <v>15</v>
      </c>
      <c r="B2633" s="136" t="s">
        <v>7753</v>
      </c>
      <c r="C2633" s="136" t="s">
        <v>7787</v>
      </c>
      <c r="D2633" s="136" t="s">
        <v>7491</v>
      </c>
      <c r="E2633" s="136" t="s">
        <v>615</v>
      </c>
      <c r="F2633" s="136">
        <v>99</v>
      </c>
      <c r="G2633" s="137">
        <f t="shared" si="10"/>
        <v>13</v>
      </c>
      <c r="H2633" s="137"/>
      <c r="I2633" s="137"/>
      <c r="J2633" s="135"/>
      <c r="K2633" s="135"/>
      <c r="L2633" s="135"/>
      <c r="M2633" s="135"/>
      <c r="N2633" s="135"/>
      <c r="O2633" s="135"/>
      <c r="P2633" s="135"/>
      <c r="Q2633" s="135"/>
      <c r="R2633" s="135"/>
      <c r="S2633" s="135"/>
      <c r="T2633" s="135"/>
      <c r="U2633" s="135"/>
      <c r="V2633" s="135"/>
      <c r="W2633" s="135"/>
      <c r="X2633" s="135"/>
      <c r="Y2633" s="135"/>
      <c r="Z2633" s="135"/>
    </row>
    <row r="2634" spans="1:26" ht="12.75">
      <c r="A2634" s="136" t="s">
        <v>15</v>
      </c>
      <c r="B2634" s="136" t="s">
        <v>7753</v>
      </c>
      <c r="C2634" s="136" t="s">
        <v>7787</v>
      </c>
      <c r="D2634" s="136" t="s">
        <v>7544</v>
      </c>
      <c r="E2634" s="136" t="s">
        <v>615</v>
      </c>
      <c r="F2634" s="136">
        <v>85</v>
      </c>
      <c r="G2634" s="137">
        <f t="shared" si="10"/>
        <v>14</v>
      </c>
      <c r="H2634" s="137"/>
      <c r="I2634" s="137"/>
      <c r="J2634" s="135"/>
      <c r="K2634" s="135"/>
      <c r="L2634" s="135"/>
      <c r="M2634" s="135"/>
      <c r="N2634" s="135"/>
      <c r="O2634" s="135"/>
      <c r="P2634" s="135"/>
      <c r="Q2634" s="135"/>
      <c r="R2634" s="135"/>
      <c r="S2634" s="135"/>
      <c r="T2634" s="135"/>
      <c r="U2634" s="135"/>
      <c r="V2634" s="135"/>
      <c r="W2634" s="135"/>
      <c r="X2634" s="135"/>
      <c r="Y2634" s="135"/>
      <c r="Z2634" s="135"/>
    </row>
    <row r="2635" spans="1:26" ht="12.75">
      <c r="A2635" s="136" t="s">
        <v>15</v>
      </c>
      <c r="B2635" s="136" t="s">
        <v>7753</v>
      </c>
      <c r="C2635" s="136" t="s">
        <v>7787</v>
      </c>
      <c r="D2635" s="136" t="s">
        <v>7781</v>
      </c>
      <c r="E2635" s="136" t="s">
        <v>615</v>
      </c>
      <c r="F2635" s="136">
        <v>65</v>
      </c>
      <c r="G2635" s="137">
        <f t="shared" si="10"/>
        <v>15</v>
      </c>
      <c r="H2635" s="137"/>
      <c r="I2635" s="137"/>
      <c r="J2635" s="135"/>
      <c r="K2635" s="135"/>
      <c r="L2635" s="135"/>
      <c r="M2635" s="135"/>
      <c r="N2635" s="135"/>
      <c r="O2635" s="135"/>
      <c r="P2635" s="135"/>
      <c r="Q2635" s="135"/>
      <c r="R2635" s="135"/>
      <c r="S2635" s="135"/>
      <c r="T2635" s="135"/>
      <c r="U2635" s="135"/>
      <c r="V2635" s="135"/>
      <c r="W2635" s="135"/>
      <c r="X2635" s="135"/>
      <c r="Y2635" s="135"/>
      <c r="Z2635" s="135"/>
    </row>
    <row r="2636" spans="1:26" ht="12.75">
      <c r="A2636" s="136" t="s">
        <v>15</v>
      </c>
      <c r="B2636" s="136" t="s">
        <v>7753</v>
      </c>
      <c r="C2636" s="136" t="s">
        <v>7787</v>
      </c>
      <c r="D2636" s="136"/>
      <c r="E2636" s="136" t="s">
        <v>7693</v>
      </c>
      <c r="F2636" s="136">
        <v>1657</v>
      </c>
      <c r="G2636" s="137">
        <f t="shared" si="10"/>
        <v>1</v>
      </c>
      <c r="H2636" s="137"/>
      <c r="I2636" s="137"/>
      <c r="J2636" s="135"/>
      <c r="K2636" s="135"/>
      <c r="L2636" s="135"/>
      <c r="M2636" s="135"/>
      <c r="N2636" s="135"/>
      <c r="O2636" s="135"/>
      <c r="P2636" s="135"/>
      <c r="Q2636" s="135"/>
      <c r="R2636" s="135"/>
      <c r="S2636" s="135"/>
      <c r="T2636" s="135"/>
      <c r="U2636" s="135"/>
      <c r="V2636" s="135"/>
      <c r="W2636" s="135"/>
      <c r="X2636" s="135"/>
      <c r="Y2636" s="135"/>
      <c r="Z2636" s="135"/>
    </row>
    <row r="2637" spans="1:26" ht="12.75">
      <c r="A2637" s="136" t="s">
        <v>15</v>
      </c>
      <c r="B2637" s="136" t="s">
        <v>7753</v>
      </c>
      <c r="C2637" s="136" t="s">
        <v>7789</v>
      </c>
      <c r="D2637" s="136" t="s">
        <v>7783</v>
      </c>
      <c r="E2637" s="136" t="s">
        <v>615</v>
      </c>
      <c r="F2637" s="136">
        <v>550</v>
      </c>
      <c r="G2637" s="137">
        <f t="shared" si="10"/>
        <v>4</v>
      </c>
      <c r="H2637" s="137"/>
      <c r="I2637" s="137"/>
      <c r="J2637" s="135"/>
      <c r="K2637" s="135"/>
      <c r="L2637" s="135"/>
      <c r="M2637" s="135"/>
      <c r="N2637" s="135"/>
      <c r="O2637" s="135"/>
      <c r="P2637" s="135"/>
      <c r="Q2637" s="135"/>
      <c r="R2637" s="135"/>
      <c r="S2637" s="135"/>
      <c r="T2637" s="135"/>
      <c r="U2637" s="135"/>
      <c r="V2637" s="135"/>
      <c r="W2637" s="135"/>
      <c r="X2637" s="135"/>
      <c r="Y2637" s="135"/>
      <c r="Z2637" s="135"/>
    </row>
    <row r="2638" spans="1:26" ht="12.75">
      <c r="A2638" s="136" t="s">
        <v>15</v>
      </c>
      <c r="B2638" s="136" t="s">
        <v>7753</v>
      </c>
      <c r="C2638" s="136" t="s">
        <v>7789</v>
      </c>
      <c r="D2638" s="136" t="s">
        <v>7721</v>
      </c>
      <c r="E2638" s="136" t="s">
        <v>615</v>
      </c>
      <c r="F2638" s="136">
        <v>365</v>
      </c>
      <c r="G2638" s="137">
        <f t="shared" si="10"/>
        <v>5</v>
      </c>
      <c r="H2638" s="137"/>
      <c r="I2638" s="137"/>
      <c r="J2638" s="135"/>
      <c r="K2638" s="135"/>
      <c r="L2638" s="135"/>
      <c r="M2638" s="135"/>
      <c r="N2638" s="135"/>
      <c r="O2638" s="135"/>
      <c r="P2638" s="135"/>
      <c r="Q2638" s="135"/>
      <c r="R2638" s="135"/>
      <c r="S2638" s="135"/>
      <c r="T2638" s="135"/>
      <c r="U2638" s="135"/>
      <c r="V2638" s="135"/>
      <c r="W2638" s="135"/>
      <c r="X2638" s="135"/>
      <c r="Y2638" s="135"/>
      <c r="Z2638" s="135"/>
    </row>
    <row r="2639" spans="1:26" ht="12.75">
      <c r="A2639" s="136" t="s">
        <v>15</v>
      </c>
      <c r="B2639" s="136" t="s">
        <v>7753</v>
      </c>
      <c r="C2639" s="136" t="s">
        <v>7789</v>
      </c>
      <c r="D2639" s="136" t="s">
        <v>225</v>
      </c>
      <c r="E2639" s="136" t="s">
        <v>615</v>
      </c>
      <c r="F2639" s="136">
        <v>150</v>
      </c>
      <c r="G2639" s="137">
        <f t="shared" si="10"/>
        <v>7</v>
      </c>
      <c r="H2639" s="137"/>
      <c r="I2639" s="137"/>
      <c r="J2639" s="135"/>
      <c r="K2639" s="135"/>
      <c r="L2639" s="135"/>
      <c r="M2639" s="135"/>
      <c r="N2639" s="135"/>
      <c r="O2639" s="135"/>
      <c r="P2639" s="135"/>
      <c r="Q2639" s="135"/>
      <c r="R2639" s="135"/>
      <c r="S2639" s="135"/>
      <c r="T2639" s="135"/>
      <c r="U2639" s="135"/>
      <c r="V2639" s="135"/>
      <c r="W2639" s="135"/>
      <c r="X2639" s="135"/>
      <c r="Y2639" s="135"/>
      <c r="Z2639" s="135"/>
    </row>
    <row r="2640" spans="1:26" ht="12.75">
      <c r="A2640" s="136" t="s">
        <v>15</v>
      </c>
      <c r="B2640" s="136" t="s">
        <v>7753</v>
      </c>
      <c r="C2640" s="136" t="s">
        <v>7789</v>
      </c>
      <c r="D2640" s="136" t="s">
        <v>7790</v>
      </c>
      <c r="E2640" s="136" t="s">
        <v>615</v>
      </c>
      <c r="F2640" s="136">
        <v>145</v>
      </c>
      <c r="G2640" s="137">
        <f t="shared" si="10"/>
        <v>8</v>
      </c>
      <c r="H2640" s="137"/>
      <c r="I2640" s="137"/>
      <c r="J2640" s="135"/>
      <c r="K2640" s="135"/>
      <c r="L2640" s="135"/>
      <c r="M2640" s="135"/>
      <c r="N2640" s="135"/>
      <c r="O2640" s="135"/>
      <c r="P2640" s="135"/>
      <c r="Q2640" s="135"/>
      <c r="R2640" s="135"/>
      <c r="S2640" s="135"/>
      <c r="T2640" s="135"/>
      <c r="U2640" s="135"/>
      <c r="V2640" s="135"/>
      <c r="W2640" s="135"/>
      <c r="X2640" s="135"/>
      <c r="Y2640" s="135"/>
      <c r="Z2640" s="135"/>
    </row>
    <row r="2641" spans="1:26" ht="12.75">
      <c r="A2641" s="136" t="s">
        <v>15</v>
      </c>
      <c r="B2641" s="136" t="s">
        <v>7753</v>
      </c>
      <c r="C2641" s="136" t="s">
        <v>7789</v>
      </c>
      <c r="D2641" s="136" t="s">
        <v>7743</v>
      </c>
      <c r="E2641" s="136" t="s">
        <v>594</v>
      </c>
      <c r="F2641" s="136">
        <v>105</v>
      </c>
      <c r="G2641" s="137">
        <f t="shared" si="10"/>
        <v>9</v>
      </c>
      <c r="H2641" s="137"/>
      <c r="I2641" s="137"/>
      <c r="J2641" s="135"/>
      <c r="K2641" s="135"/>
      <c r="L2641" s="135"/>
      <c r="M2641" s="135"/>
      <c r="N2641" s="135"/>
      <c r="O2641" s="135"/>
      <c r="P2641" s="135"/>
      <c r="Q2641" s="135"/>
      <c r="R2641" s="135"/>
      <c r="S2641" s="135"/>
      <c r="T2641" s="135"/>
      <c r="U2641" s="135"/>
      <c r="V2641" s="135"/>
      <c r="W2641" s="135"/>
      <c r="X2641" s="135"/>
      <c r="Y2641" s="135"/>
      <c r="Z2641" s="135"/>
    </row>
    <row r="2642" spans="1:26" ht="12.75">
      <c r="A2642" s="136" t="s">
        <v>15</v>
      </c>
      <c r="B2642" s="136" t="s">
        <v>7753</v>
      </c>
      <c r="C2642" s="136" t="s">
        <v>7789</v>
      </c>
      <c r="D2642" s="136" t="s">
        <v>139</v>
      </c>
      <c r="E2642" s="136" t="s">
        <v>594</v>
      </c>
      <c r="F2642" s="136">
        <v>100</v>
      </c>
      <c r="G2642" s="137">
        <f t="shared" si="10"/>
        <v>10</v>
      </c>
      <c r="H2642" s="137"/>
      <c r="I2642" s="137"/>
      <c r="J2642" s="135"/>
      <c r="K2642" s="135"/>
      <c r="L2642" s="135"/>
      <c r="M2642" s="135"/>
      <c r="N2642" s="135"/>
      <c r="O2642" s="135"/>
      <c r="P2642" s="135"/>
      <c r="Q2642" s="135"/>
      <c r="R2642" s="135"/>
      <c r="S2642" s="135"/>
      <c r="T2642" s="135"/>
      <c r="U2642" s="135"/>
      <c r="V2642" s="135"/>
      <c r="W2642" s="135"/>
      <c r="X2642" s="135"/>
      <c r="Y2642" s="135"/>
      <c r="Z2642" s="135"/>
    </row>
    <row r="2643" spans="1:26" ht="12.75">
      <c r="A2643" s="136" t="s">
        <v>15</v>
      </c>
      <c r="B2643" s="136" t="s">
        <v>7753</v>
      </c>
      <c r="C2643" s="136" t="s">
        <v>7789</v>
      </c>
      <c r="D2643" s="136" t="s">
        <v>7766</v>
      </c>
      <c r="E2643" s="136" t="s">
        <v>594</v>
      </c>
      <c r="F2643" s="136">
        <v>67</v>
      </c>
      <c r="G2643" s="137">
        <f t="shared" si="10"/>
        <v>11</v>
      </c>
      <c r="H2643" s="137"/>
      <c r="I2643" s="137"/>
      <c r="J2643" s="135"/>
      <c r="K2643" s="135"/>
      <c r="L2643" s="135"/>
      <c r="M2643" s="135"/>
      <c r="N2643" s="135"/>
      <c r="O2643" s="135"/>
      <c r="P2643" s="135"/>
      <c r="Q2643" s="135"/>
      <c r="R2643" s="135"/>
      <c r="S2643" s="135"/>
      <c r="T2643" s="135"/>
      <c r="U2643" s="135"/>
      <c r="V2643" s="135"/>
      <c r="W2643" s="135"/>
      <c r="X2643" s="135"/>
      <c r="Y2643" s="135"/>
      <c r="Z2643" s="135"/>
    </row>
    <row r="2644" spans="1:26" ht="12.75">
      <c r="A2644" s="136" t="s">
        <v>15</v>
      </c>
      <c r="B2644" s="136" t="s">
        <v>7753</v>
      </c>
      <c r="C2644" s="136" t="s">
        <v>7789</v>
      </c>
      <c r="D2644" s="136" t="s">
        <v>7791</v>
      </c>
      <c r="E2644" s="136" t="s">
        <v>615</v>
      </c>
      <c r="F2644" s="136">
        <v>60</v>
      </c>
      <c r="G2644" s="137">
        <f t="shared" si="10"/>
        <v>13</v>
      </c>
      <c r="H2644" s="137"/>
      <c r="I2644" s="137"/>
      <c r="J2644" s="135"/>
      <c r="K2644" s="135"/>
      <c r="L2644" s="135"/>
      <c r="M2644" s="135"/>
      <c r="N2644" s="135"/>
      <c r="O2644" s="135"/>
      <c r="P2644" s="135"/>
      <c r="Q2644" s="135"/>
      <c r="R2644" s="135"/>
      <c r="S2644" s="135"/>
      <c r="T2644" s="135"/>
      <c r="U2644" s="135"/>
      <c r="V2644" s="135"/>
      <c r="W2644" s="135"/>
      <c r="X2644" s="135"/>
      <c r="Y2644" s="135"/>
      <c r="Z2644" s="135"/>
    </row>
    <row r="2645" spans="1:26" ht="12.75">
      <c r="A2645" s="136" t="s">
        <v>15</v>
      </c>
      <c r="B2645" s="136" t="s">
        <v>7753</v>
      </c>
      <c r="C2645" s="136" t="s">
        <v>7789</v>
      </c>
      <c r="D2645" s="136" t="s">
        <v>7491</v>
      </c>
      <c r="E2645" s="136" t="s">
        <v>615</v>
      </c>
      <c r="F2645" s="136">
        <v>42</v>
      </c>
      <c r="G2645" s="137">
        <f t="shared" si="10"/>
        <v>17</v>
      </c>
      <c r="H2645" s="137"/>
      <c r="I2645" s="137"/>
      <c r="J2645" s="135"/>
      <c r="K2645" s="135"/>
      <c r="L2645" s="135"/>
      <c r="M2645" s="135"/>
      <c r="N2645" s="135"/>
      <c r="O2645" s="135"/>
      <c r="P2645" s="135"/>
      <c r="Q2645" s="135"/>
      <c r="R2645" s="135"/>
      <c r="S2645" s="135"/>
      <c r="T2645" s="135"/>
      <c r="U2645" s="135"/>
      <c r="V2645" s="135"/>
      <c r="W2645" s="135"/>
      <c r="X2645" s="135"/>
      <c r="Y2645" s="135"/>
      <c r="Z2645" s="135"/>
    </row>
    <row r="2646" spans="1:26" ht="12.75">
      <c r="A2646" s="136" t="s">
        <v>15</v>
      </c>
      <c r="B2646" s="136" t="s">
        <v>7753</v>
      </c>
      <c r="C2646" s="136" t="s">
        <v>7789</v>
      </c>
      <c r="D2646" s="136"/>
      <c r="E2646" s="136" t="s">
        <v>7693</v>
      </c>
      <c r="F2646" s="136">
        <v>1584</v>
      </c>
      <c r="G2646" s="137">
        <f t="shared" si="10"/>
        <v>1</v>
      </c>
      <c r="H2646" s="137"/>
      <c r="I2646" s="137"/>
      <c r="J2646" s="135"/>
      <c r="K2646" s="135"/>
      <c r="L2646" s="135"/>
      <c r="M2646" s="135"/>
      <c r="N2646" s="135"/>
      <c r="O2646" s="135"/>
      <c r="P2646" s="135"/>
      <c r="Q2646" s="135"/>
      <c r="R2646" s="135"/>
      <c r="S2646" s="135"/>
      <c r="T2646" s="135"/>
      <c r="U2646" s="135"/>
      <c r="V2646" s="135"/>
      <c r="W2646" s="135"/>
      <c r="X2646" s="135"/>
      <c r="Y2646" s="135"/>
      <c r="Z2646" s="135"/>
    </row>
    <row r="2647" spans="1:26" ht="12.75">
      <c r="A2647" s="136" t="s">
        <v>15</v>
      </c>
      <c r="B2647" s="136" t="s">
        <v>7753</v>
      </c>
      <c r="C2647" s="136" t="s">
        <v>7792</v>
      </c>
      <c r="D2647" s="136" t="s">
        <v>225</v>
      </c>
      <c r="E2647" s="136" t="s">
        <v>615</v>
      </c>
      <c r="F2647" s="136">
        <v>575</v>
      </c>
      <c r="G2647" s="137">
        <f t="shared" si="10"/>
        <v>3</v>
      </c>
      <c r="H2647" s="137"/>
      <c r="I2647" s="137"/>
      <c r="J2647" s="135"/>
      <c r="K2647" s="135"/>
      <c r="L2647" s="135"/>
      <c r="M2647" s="135"/>
      <c r="N2647" s="135"/>
      <c r="O2647" s="135"/>
      <c r="P2647" s="135"/>
      <c r="Q2647" s="135"/>
      <c r="R2647" s="135"/>
      <c r="S2647" s="135"/>
      <c r="T2647" s="135"/>
      <c r="U2647" s="135"/>
      <c r="V2647" s="135"/>
      <c r="W2647" s="135"/>
      <c r="X2647" s="135"/>
      <c r="Y2647" s="135"/>
      <c r="Z2647" s="135"/>
    </row>
    <row r="2648" spans="1:26" ht="12.75">
      <c r="A2648" s="136" t="s">
        <v>15</v>
      </c>
      <c r="B2648" s="136" t="s">
        <v>7753</v>
      </c>
      <c r="C2648" s="136" t="s">
        <v>7792</v>
      </c>
      <c r="D2648" s="136" t="s">
        <v>1665</v>
      </c>
      <c r="E2648" s="136" t="s">
        <v>615</v>
      </c>
      <c r="F2648" s="136">
        <v>366</v>
      </c>
      <c r="G2648" s="137">
        <f t="shared" si="10"/>
        <v>6</v>
      </c>
      <c r="H2648" s="137"/>
      <c r="I2648" s="137"/>
      <c r="J2648" s="135"/>
      <c r="K2648" s="135"/>
      <c r="L2648" s="135"/>
      <c r="M2648" s="135"/>
      <c r="N2648" s="135"/>
      <c r="O2648" s="135"/>
      <c r="P2648" s="135"/>
      <c r="Q2648" s="135"/>
      <c r="R2648" s="135"/>
      <c r="S2648" s="135"/>
      <c r="T2648" s="135"/>
      <c r="U2648" s="135"/>
      <c r="V2648" s="135"/>
      <c r="W2648" s="135"/>
      <c r="X2648" s="135"/>
      <c r="Y2648" s="135"/>
      <c r="Z2648" s="135"/>
    </row>
    <row r="2649" spans="1:26" ht="12.75">
      <c r="A2649" s="136" t="s">
        <v>15</v>
      </c>
      <c r="B2649" s="136" t="s">
        <v>7753</v>
      </c>
      <c r="C2649" s="136" t="s">
        <v>7792</v>
      </c>
      <c r="D2649" s="136" t="s">
        <v>7762</v>
      </c>
      <c r="E2649" s="136" t="s">
        <v>615</v>
      </c>
      <c r="F2649" s="136">
        <v>128</v>
      </c>
      <c r="G2649" s="137">
        <f t="shared" si="10"/>
        <v>7</v>
      </c>
      <c r="H2649" s="137"/>
      <c r="I2649" s="137"/>
      <c r="J2649" s="135"/>
      <c r="K2649" s="135"/>
      <c r="L2649" s="135"/>
      <c r="M2649" s="135"/>
      <c r="N2649" s="135"/>
      <c r="O2649" s="135"/>
      <c r="P2649" s="135"/>
      <c r="Q2649" s="135"/>
      <c r="R2649" s="135"/>
      <c r="S2649" s="135"/>
      <c r="T2649" s="135"/>
      <c r="U2649" s="135"/>
      <c r="V2649" s="135"/>
      <c r="W2649" s="135"/>
      <c r="X2649" s="135"/>
      <c r="Y2649" s="135"/>
      <c r="Z2649" s="135"/>
    </row>
    <row r="2650" spans="1:26" ht="12.75">
      <c r="A2650" s="136" t="s">
        <v>15</v>
      </c>
      <c r="B2650" s="136" t="s">
        <v>7753</v>
      </c>
      <c r="C2650" s="136" t="s">
        <v>7792</v>
      </c>
      <c r="D2650" s="136" t="s">
        <v>7544</v>
      </c>
      <c r="E2650" s="136" t="s">
        <v>615</v>
      </c>
      <c r="F2650" s="136">
        <v>125</v>
      </c>
      <c r="G2650" s="137">
        <f t="shared" si="10"/>
        <v>8</v>
      </c>
      <c r="H2650" s="137"/>
      <c r="I2650" s="137"/>
      <c r="J2650" s="135"/>
      <c r="K2650" s="135"/>
      <c r="L2650" s="135"/>
      <c r="M2650" s="135"/>
      <c r="N2650" s="135"/>
      <c r="O2650" s="135"/>
      <c r="P2650" s="135"/>
      <c r="Q2650" s="135"/>
      <c r="R2650" s="135"/>
      <c r="S2650" s="135"/>
      <c r="T2650" s="135"/>
      <c r="U2650" s="135"/>
      <c r="V2650" s="135"/>
      <c r="W2650" s="135"/>
      <c r="X2650" s="135"/>
      <c r="Y2650" s="135"/>
      <c r="Z2650" s="135"/>
    </row>
    <row r="2651" spans="1:26" ht="12.75">
      <c r="A2651" s="136" t="s">
        <v>15</v>
      </c>
      <c r="B2651" s="136" t="s">
        <v>7753</v>
      </c>
      <c r="C2651" s="136" t="s">
        <v>7792</v>
      </c>
      <c r="D2651" s="136" t="s">
        <v>165</v>
      </c>
      <c r="E2651" s="136" t="s">
        <v>615</v>
      </c>
      <c r="F2651" s="136">
        <v>105</v>
      </c>
      <c r="G2651" s="137">
        <f t="shared" si="10"/>
        <v>9</v>
      </c>
      <c r="H2651" s="137"/>
      <c r="I2651" s="137"/>
      <c r="J2651" s="135"/>
      <c r="K2651" s="135"/>
      <c r="L2651" s="135"/>
      <c r="M2651" s="135"/>
      <c r="N2651" s="135"/>
      <c r="O2651" s="135"/>
      <c r="P2651" s="135"/>
      <c r="Q2651" s="135"/>
      <c r="R2651" s="135"/>
      <c r="S2651" s="135"/>
      <c r="T2651" s="135"/>
      <c r="U2651" s="135"/>
      <c r="V2651" s="135"/>
      <c r="W2651" s="135"/>
      <c r="X2651" s="135"/>
      <c r="Y2651" s="135"/>
      <c r="Z2651" s="135"/>
    </row>
    <row r="2652" spans="1:26" ht="12.75">
      <c r="A2652" s="136" t="s">
        <v>15</v>
      </c>
      <c r="B2652" s="136" t="s">
        <v>7753</v>
      </c>
      <c r="C2652" s="136" t="s">
        <v>7792</v>
      </c>
      <c r="D2652" s="136" t="s">
        <v>1669</v>
      </c>
      <c r="E2652" s="136" t="s">
        <v>615</v>
      </c>
      <c r="F2652" s="136">
        <v>105</v>
      </c>
      <c r="G2652" s="137">
        <f t="shared" si="10"/>
        <v>10</v>
      </c>
      <c r="H2652" s="137"/>
      <c r="I2652" s="137"/>
      <c r="J2652" s="135"/>
      <c r="K2652" s="135"/>
      <c r="L2652" s="135"/>
      <c r="M2652" s="135"/>
      <c r="N2652" s="135"/>
      <c r="O2652" s="135"/>
      <c r="P2652" s="135"/>
      <c r="Q2652" s="135"/>
      <c r="R2652" s="135"/>
      <c r="S2652" s="135"/>
      <c r="T2652" s="135"/>
      <c r="U2652" s="135"/>
      <c r="V2652" s="135"/>
      <c r="W2652" s="135"/>
      <c r="X2652" s="135"/>
      <c r="Y2652" s="135"/>
      <c r="Z2652" s="135"/>
    </row>
    <row r="2653" spans="1:26" ht="12.75">
      <c r="A2653" s="136" t="s">
        <v>15</v>
      </c>
      <c r="B2653" s="136" t="s">
        <v>7753</v>
      </c>
      <c r="C2653" s="136" t="s">
        <v>7792</v>
      </c>
      <c r="D2653" s="136" t="s">
        <v>368</v>
      </c>
      <c r="E2653" s="136" t="s">
        <v>594</v>
      </c>
      <c r="F2653" s="136">
        <v>77</v>
      </c>
      <c r="G2653" s="137">
        <f t="shared" si="10"/>
        <v>11</v>
      </c>
      <c r="H2653" s="137"/>
      <c r="I2653" s="137"/>
      <c r="J2653" s="135"/>
      <c r="K2653" s="135"/>
      <c r="L2653" s="135"/>
      <c r="M2653" s="135"/>
      <c r="N2653" s="135"/>
      <c r="O2653" s="135"/>
      <c r="P2653" s="135"/>
      <c r="Q2653" s="135"/>
      <c r="R2653" s="135"/>
      <c r="S2653" s="135"/>
      <c r="T2653" s="135"/>
      <c r="U2653" s="135"/>
      <c r="V2653" s="135"/>
      <c r="W2653" s="135"/>
      <c r="X2653" s="135"/>
      <c r="Y2653" s="135"/>
      <c r="Z2653" s="135"/>
    </row>
    <row r="2654" spans="1:26" ht="12.75">
      <c r="A2654" s="136" t="s">
        <v>15</v>
      </c>
      <c r="B2654" s="136" t="s">
        <v>7753</v>
      </c>
      <c r="C2654" s="136" t="s">
        <v>7792</v>
      </c>
      <c r="D2654" s="136" t="s">
        <v>1626</v>
      </c>
      <c r="E2654" s="136" t="s">
        <v>594</v>
      </c>
      <c r="F2654" s="136">
        <v>50</v>
      </c>
      <c r="G2654" s="137">
        <f t="shared" si="10"/>
        <v>12</v>
      </c>
      <c r="H2654" s="137"/>
      <c r="I2654" s="137"/>
      <c r="J2654" s="135"/>
      <c r="K2654" s="135"/>
      <c r="L2654" s="135"/>
      <c r="M2654" s="135"/>
      <c r="N2654" s="135"/>
      <c r="O2654" s="135"/>
      <c r="P2654" s="135"/>
      <c r="Q2654" s="135"/>
      <c r="R2654" s="135"/>
      <c r="S2654" s="135"/>
      <c r="T2654" s="135"/>
      <c r="U2654" s="135"/>
      <c r="V2654" s="135"/>
      <c r="W2654" s="135"/>
      <c r="X2654" s="135"/>
      <c r="Y2654" s="135"/>
      <c r="Z2654" s="135"/>
    </row>
    <row r="2655" spans="1:26" ht="12.75">
      <c r="A2655" s="136" t="s">
        <v>15</v>
      </c>
      <c r="B2655" s="136" t="s">
        <v>7753</v>
      </c>
      <c r="C2655" s="136" t="s">
        <v>7792</v>
      </c>
      <c r="D2655" s="136" t="s">
        <v>7491</v>
      </c>
      <c r="E2655" s="136" t="s">
        <v>615</v>
      </c>
      <c r="F2655" s="136">
        <v>37</v>
      </c>
      <c r="G2655" s="137">
        <f t="shared" si="10"/>
        <v>16</v>
      </c>
      <c r="H2655" s="137"/>
      <c r="I2655" s="137"/>
      <c r="J2655" s="135"/>
      <c r="K2655" s="135"/>
      <c r="L2655" s="135"/>
      <c r="M2655" s="135"/>
      <c r="N2655" s="135"/>
      <c r="O2655" s="135"/>
      <c r="P2655" s="135"/>
      <c r="Q2655" s="135"/>
      <c r="R2655" s="135"/>
      <c r="S2655" s="135"/>
      <c r="T2655" s="135"/>
      <c r="U2655" s="135"/>
      <c r="V2655" s="135"/>
      <c r="W2655" s="135"/>
      <c r="X2655" s="135"/>
      <c r="Y2655" s="135"/>
      <c r="Z2655" s="135"/>
    </row>
    <row r="2656" spans="1:26" ht="12.75">
      <c r="A2656" s="136" t="s">
        <v>15</v>
      </c>
      <c r="B2656" s="136" t="s">
        <v>7753</v>
      </c>
      <c r="C2656" s="136" t="s">
        <v>7792</v>
      </c>
      <c r="D2656" s="136"/>
      <c r="E2656" s="136" t="s">
        <v>7693</v>
      </c>
      <c r="F2656" s="136">
        <v>1568</v>
      </c>
      <c r="G2656" s="137">
        <f t="shared" si="10"/>
        <v>1</v>
      </c>
      <c r="H2656" s="137"/>
      <c r="I2656" s="137"/>
      <c r="J2656" s="135"/>
      <c r="K2656" s="135"/>
      <c r="L2656" s="135"/>
      <c r="M2656" s="135"/>
      <c r="N2656" s="135"/>
      <c r="O2656" s="135"/>
      <c r="P2656" s="135"/>
      <c r="Q2656" s="135"/>
      <c r="R2656" s="135"/>
      <c r="S2656" s="135"/>
      <c r="T2656" s="135"/>
      <c r="U2656" s="135"/>
      <c r="V2656" s="135"/>
      <c r="W2656" s="135"/>
      <c r="X2656" s="135"/>
      <c r="Y2656" s="135"/>
      <c r="Z2656" s="135"/>
    </row>
    <row r="2657" spans="1:26" ht="12.75">
      <c r="A2657" s="136" t="s">
        <v>15</v>
      </c>
      <c r="B2657" s="136" t="s">
        <v>7753</v>
      </c>
      <c r="C2657" s="136" t="s">
        <v>7793</v>
      </c>
      <c r="D2657" s="136" t="s">
        <v>225</v>
      </c>
      <c r="E2657" s="136" t="s">
        <v>615</v>
      </c>
      <c r="F2657" s="136">
        <v>755</v>
      </c>
      <c r="G2657" s="137">
        <f t="shared" si="10"/>
        <v>3</v>
      </c>
      <c r="H2657" s="137"/>
      <c r="I2657" s="137"/>
      <c r="J2657" s="135"/>
      <c r="K2657" s="135"/>
      <c r="L2657" s="135"/>
      <c r="M2657" s="135"/>
      <c r="N2657" s="135"/>
      <c r="O2657" s="135"/>
      <c r="P2657" s="135"/>
      <c r="Q2657" s="135"/>
      <c r="R2657" s="135"/>
      <c r="S2657" s="135"/>
      <c r="T2657" s="135"/>
      <c r="U2657" s="135"/>
      <c r="V2657" s="135"/>
      <c r="W2657" s="135"/>
      <c r="X2657" s="135"/>
      <c r="Y2657" s="135"/>
      <c r="Z2657" s="135"/>
    </row>
    <row r="2658" spans="1:26" ht="12.75">
      <c r="A2658" s="136" t="s">
        <v>15</v>
      </c>
      <c r="B2658" s="136" t="s">
        <v>7753</v>
      </c>
      <c r="C2658" s="136" t="s">
        <v>7793</v>
      </c>
      <c r="D2658" s="136" t="s">
        <v>139</v>
      </c>
      <c r="E2658" s="136" t="s">
        <v>594</v>
      </c>
      <c r="F2658" s="136">
        <v>400</v>
      </c>
      <c r="G2658" s="137">
        <f t="shared" si="10"/>
        <v>4</v>
      </c>
      <c r="H2658" s="137"/>
      <c r="I2658" s="137"/>
      <c r="J2658" s="135"/>
      <c r="K2658" s="135"/>
      <c r="L2658" s="135"/>
      <c r="M2658" s="135"/>
      <c r="N2658" s="135"/>
      <c r="O2658" s="135"/>
      <c r="P2658" s="135"/>
      <c r="Q2658" s="135"/>
      <c r="R2658" s="135"/>
      <c r="S2658" s="135"/>
      <c r="T2658" s="135"/>
      <c r="U2658" s="135"/>
      <c r="V2658" s="135"/>
      <c r="W2658" s="135"/>
      <c r="X2658" s="135"/>
      <c r="Y2658" s="135"/>
      <c r="Z2658" s="135"/>
    </row>
    <row r="2659" spans="1:26" ht="12.75">
      <c r="A2659" s="136" t="s">
        <v>15</v>
      </c>
      <c r="B2659" s="136" t="s">
        <v>7753</v>
      </c>
      <c r="C2659" s="136" t="s">
        <v>7793</v>
      </c>
      <c r="D2659" s="136" t="s">
        <v>7762</v>
      </c>
      <c r="E2659" s="136" t="s">
        <v>615</v>
      </c>
      <c r="F2659" s="136">
        <v>205</v>
      </c>
      <c r="G2659" s="137">
        <f t="shared" si="10"/>
        <v>7</v>
      </c>
      <c r="H2659" s="137"/>
      <c r="I2659" s="137"/>
      <c r="J2659" s="135"/>
      <c r="K2659" s="135"/>
      <c r="L2659" s="135"/>
      <c r="M2659" s="135"/>
      <c r="N2659" s="135"/>
      <c r="O2659" s="135"/>
      <c r="P2659" s="135"/>
      <c r="Q2659" s="135"/>
      <c r="R2659" s="135"/>
      <c r="S2659" s="135"/>
      <c r="T2659" s="135"/>
      <c r="U2659" s="135"/>
      <c r="V2659" s="135"/>
      <c r="W2659" s="135"/>
      <c r="X2659" s="135"/>
      <c r="Y2659" s="135"/>
      <c r="Z2659" s="135"/>
    </row>
    <row r="2660" spans="1:26" ht="12.75">
      <c r="A2660" s="136" t="s">
        <v>15</v>
      </c>
      <c r="B2660" s="136" t="s">
        <v>7753</v>
      </c>
      <c r="C2660" s="136" t="s">
        <v>7793</v>
      </c>
      <c r="D2660" s="136" t="s">
        <v>368</v>
      </c>
      <c r="E2660" s="136" t="s">
        <v>594</v>
      </c>
      <c r="F2660" s="136">
        <v>95</v>
      </c>
      <c r="G2660" s="137">
        <f t="shared" si="10"/>
        <v>13</v>
      </c>
      <c r="H2660" s="137"/>
      <c r="I2660" s="137"/>
      <c r="J2660" s="135"/>
      <c r="K2660" s="135"/>
      <c r="L2660" s="135"/>
      <c r="M2660" s="135"/>
      <c r="N2660" s="135"/>
      <c r="O2660" s="135"/>
      <c r="P2660" s="135"/>
      <c r="Q2660" s="135"/>
      <c r="R2660" s="135"/>
      <c r="S2660" s="135"/>
      <c r="T2660" s="135"/>
      <c r="U2660" s="135"/>
      <c r="V2660" s="135"/>
      <c r="W2660" s="135"/>
      <c r="X2660" s="135"/>
      <c r="Y2660" s="135"/>
      <c r="Z2660" s="135"/>
    </row>
    <row r="2661" spans="1:26" ht="12.75">
      <c r="A2661" s="136" t="s">
        <v>15</v>
      </c>
      <c r="B2661" s="136" t="s">
        <v>7753</v>
      </c>
      <c r="C2661" s="136" t="s">
        <v>7793</v>
      </c>
      <c r="D2661" s="136" t="s">
        <v>7788</v>
      </c>
      <c r="E2661" s="136" t="s">
        <v>615</v>
      </c>
      <c r="F2661" s="136">
        <v>65</v>
      </c>
      <c r="G2661" s="137">
        <f t="shared" si="10"/>
        <v>14</v>
      </c>
      <c r="H2661" s="137"/>
      <c r="I2661" s="137"/>
      <c r="J2661" s="135"/>
      <c r="K2661" s="135"/>
      <c r="L2661" s="135"/>
      <c r="M2661" s="135"/>
      <c r="N2661" s="135"/>
      <c r="O2661" s="135"/>
      <c r="P2661" s="135"/>
      <c r="Q2661" s="135"/>
      <c r="R2661" s="135"/>
      <c r="S2661" s="135"/>
      <c r="T2661" s="135"/>
      <c r="U2661" s="135"/>
      <c r="V2661" s="135"/>
      <c r="W2661" s="135"/>
      <c r="X2661" s="135"/>
      <c r="Y2661" s="135"/>
      <c r="Z2661" s="135"/>
    </row>
    <row r="2662" spans="1:26" ht="12.75">
      <c r="A2662" s="136" t="s">
        <v>15</v>
      </c>
      <c r="B2662" s="136" t="s">
        <v>7753</v>
      </c>
      <c r="C2662" s="136" t="s">
        <v>7793</v>
      </c>
      <c r="D2662" s="136" t="s">
        <v>7772</v>
      </c>
      <c r="E2662" s="136" t="s">
        <v>615</v>
      </c>
      <c r="F2662" s="136">
        <v>50</v>
      </c>
      <c r="G2662" s="137">
        <f t="shared" si="10"/>
        <v>17</v>
      </c>
      <c r="H2662" s="137"/>
      <c r="I2662" s="137"/>
      <c r="J2662" s="135"/>
      <c r="K2662" s="135"/>
      <c r="L2662" s="135"/>
      <c r="M2662" s="135"/>
      <c r="N2662" s="135"/>
      <c r="O2662" s="135"/>
      <c r="P2662" s="135"/>
      <c r="Q2662" s="135"/>
      <c r="R2662" s="135"/>
      <c r="S2662" s="135"/>
      <c r="T2662" s="135"/>
      <c r="U2662" s="135"/>
      <c r="V2662" s="135"/>
      <c r="W2662" s="135"/>
      <c r="X2662" s="135"/>
      <c r="Y2662" s="135"/>
      <c r="Z2662" s="135"/>
    </row>
    <row r="2663" spans="1:26" ht="12.75">
      <c r="A2663" s="136" t="s">
        <v>15</v>
      </c>
      <c r="B2663" s="136" t="s">
        <v>7753</v>
      </c>
      <c r="C2663" s="136" t="s">
        <v>7793</v>
      </c>
      <c r="D2663" s="136" t="s">
        <v>1626</v>
      </c>
      <c r="E2663" s="136" t="s">
        <v>594</v>
      </c>
      <c r="F2663" s="136">
        <v>50</v>
      </c>
      <c r="G2663" s="137">
        <f t="shared" si="10"/>
        <v>18</v>
      </c>
      <c r="H2663" s="137"/>
      <c r="I2663" s="137"/>
      <c r="J2663" s="135"/>
      <c r="K2663" s="135"/>
      <c r="L2663" s="135"/>
      <c r="M2663" s="135"/>
      <c r="N2663" s="135"/>
      <c r="O2663" s="135"/>
      <c r="P2663" s="135"/>
      <c r="Q2663" s="135"/>
      <c r="R2663" s="135"/>
      <c r="S2663" s="135"/>
      <c r="T2663" s="135"/>
      <c r="U2663" s="135"/>
      <c r="V2663" s="135"/>
      <c r="W2663" s="135"/>
      <c r="X2663" s="135"/>
      <c r="Y2663" s="135"/>
      <c r="Z2663" s="135"/>
    </row>
    <row r="2664" spans="1:26" ht="12.75">
      <c r="A2664" s="136" t="s">
        <v>15</v>
      </c>
      <c r="B2664" s="136" t="s">
        <v>7753</v>
      </c>
      <c r="C2664" s="136" t="s">
        <v>7793</v>
      </c>
      <c r="D2664" s="136" t="s">
        <v>38</v>
      </c>
      <c r="E2664" s="136" t="s">
        <v>615</v>
      </c>
      <c r="F2664" s="136">
        <v>35</v>
      </c>
      <c r="G2664" s="137">
        <f t="shared" si="10"/>
        <v>20</v>
      </c>
      <c r="H2664" s="137"/>
      <c r="I2664" s="137"/>
      <c r="J2664" s="135"/>
      <c r="K2664" s="135"/>
      <c r="L2664" s="135"/>
      <c r="M2664" s="135"/>
      <c r="N2664" s="135"/>
      <c r="O2664" s="135"/>
      <c r="P2664" s="135"/>
      <c r="Q2664" s="135"/>
      <c r="R2664" s="135"/>
      <c r="S2664" s="135"/>
      <c r="T2664" s="135"/>
      <c r="U2664" s="135"/>
      <c r="V2664" s="135"/>
      <c r="W2664" s="135"/>
      <c r="X2664" s="135"/>
      <c r="Y2664" s="135"/>
      <c r="Z2664" s="135"/>
    </row>
    <row r="2665" spans="1:26" ht="12.75">
      <c r="A2665" s="136" t="s">
        <v>15</v>
      </c>
      <c r="B2665" s="136" t="s">
        <v>7753</v>
      </c>
      <c r="C2665" s="136" t="s">
        <v>7793</v>
      </c>
      <c r="D2665" s="136"/>
      <c r="E2665" s="136" t="s">
        <v>7693</v>
      </c>
      <c r="F2665" s="136">
        <v>1655</v>
      </c>
      <c r="G2665" s="137">
        <f t="shared" si="10"/>
        <v>1</v>
      </c>
      <c r="H2665" s="137"/>
      <c r="I2665" s="137"/>
      <c r="J2665" s="135"/>
      <c r="K2665" s="135"/>
      <c r="L2665" s="135"/>
      <c r="M2665" s="135"/>
      <c r="N2665" s="135"/>
      <c r="O2665" s="135"/>
      <c r="P2665" s="135"/>
      <c r="Q2665" s="135"/>
      <c r="R2665" s="135"/>
      <c r="S2665" s="135"/>
      <c r="T2665" s="135"/>
      <c r="U2665" s="135"/>
      <c r="V2665" s="135"/>
      <c r="W2665" s="135"/>
      <c r="X2665" s="135"/>
      <c r="Y2665" s="135"/>
      <c r="Z2665" s="135"/>
    </row>
    <row r="2666" spans="1:26" ht="12.75">
      <c r="A2666" s="136" t="s">
        <v>15</v>
      </c>
      <c r="B2666" s="136" t="s">
        <v>7753</v>
      </c>
      <c r="C2666" s="136" t="s">
        <v>7794</v>
      </c>
      <c r="D2666" s="136" t="s">
        <v>225</v>
      </c>
      <c r="E2666" s="136" t="s">
        <v>615</v>
      </c>
      <c r="F2666" s="136">
        <v>655</v>
      </c>
      <c r="G2666" s="137">
        <f t="shared" si="10"/>
        <v>3</v>
      </c>
      <c r="H2666" s="137"/>
      <c r="I2666" s="137"/>
      <c r="J2666" s="135"/>
      <c r="K2666" s="135"/>
      <c r="L2666" s="135"/>
      <c r="M2666" s="135"/>
      <c r="N2666" s="135"/>
      <c r="O2666" s="135"/>
      <c r="P2666" s="135"/>
      <c r="Q2666" s="135"/>
      <c r="R2666" s="135"/>
      <c r="S2666" s="135"/>
      <c r="T2666" s="135"/>
      <c r="U2666" s="135"/>
      <c r="V2666" s="135"/>
      <c r="W2666" s="135"/>
      <c r="X2666" s="135"/>
      <c r="Y2666" s="135"/>
      <c r="Z2666" s="135"/>
    </row>
    <row r="2667" spans="1:26" ht="12.75">
      <c r="A2667" s="136" t="s">
        <v>15</v>
      </c>
      <c r="B2667" s="136" t="s">
        <v>7753</v>
      </c>
      <c r="C2667" s="136" t="s">
        <v>7794</v>
      </c>
      <c r="D2667" s="136" t="s">
        <v>368</v>
      </c>
      <c r="E2667" s="136" t="s">
        <v>594</v>
      </c>
      <c r="F2667" s="136">
        <v>258</v>
      </c>
      <c r="G2667" s="137">
        <f t="shared" si="10"/>
        <v>5</v>
      </c>
      <c r="H2667" s="137"/>
      <c r="I2667" s="137"/>
      <c r="J2667" s="135"/>
      <c r="K2667" s="135"/>
      <c r="L2667" s="135"/>
      <c r="M2667" s="135"/>
      <c r="N2667" s="135"/>
      <c r="O2667" s="135"/>
      <c r="P2667" s="135"/>
      <c r="Q2667" s="135"/>
      <c r="R2667" s="135"/>
      <c r="S2667" s="135"/>
      <c r="T2667" s="135"/>
      <c r="U2667" s="135"/>
      <c r="V2667" s="135"/>
      <c r="W2667" s="135"/>
      <c r="X2667" s="135"/>
      <c r="Y2667" s="135"/>
      <c r="Z2667" s="135"/>
    </row>
    <row r="2668" spans="1:26" ht="12.75">
      <c r="A2668" s="136" t="s">
        <v>15</v>
      </c>
      <c r="B2668" s="136" t="s">
        <v>7753</v>
      </c>
      <c r="C2668" s="136" t="s">
        <v>7794</v>
      </c>
      <c r="D2668" s="136" t="s">
        <v>7491</v>
      </c>
      <c r="E2668" s="136" t="s">
        <v>615</v>
      </c>
      <c r="F2668" s="136">
        <v>186</v>
      </c>
      <c r="G2668" s="137">
        <f t="shared" si="10"/>
        <v>7</v>
      </c>
      <c r="H2668" s="137"/>
      <c r="I2668" s="137"/>
      <c r="J2668" s="135"/>
      <c r="K2668" s="135"/>
      <c r="L2668" s="135"/>
      <c r="M2668" s="135"/>
      <c r="N2668" s="135"/>
      <c r="O2668" s="135"/>
      <c r="P2668" s="135"/>
      <c r="Q2668" s="135"/>
      <c r="R2668" s="135"/>
      <c r="S2668" s="135"/>
      <c r="T2668" s="135"/>
      <c r="U2668" s="135"/>
      <c r="V2668" s="135"/>
      <c r="W2668" s="135"/>
      <c r="X2668" s="135"/>
      <c r="Y2668" s="135"/>
      <c r="Z2668" s="135"/>
    </row>
    <row r="2669" spans="1:26" ht="12.75">
      <c r="A2669" s="136" t="s">
        <v>15</v>
      </c>
      <c r="B2669" s="136" t="s">
        <v>7753</v>
      </c>
      <c r="C2669" s="136" t="s">
        <v>7794</v>
      </c>
      <c r="D2669" s="136" t="s">
        <v>165</v>
      </c>
      <c r="E2669" s="136" t="s">
        <v>615</v>
      </c>
      <c r="F2669" s="136">
        <v>125</v>
      </c>
      <c r="G2669" s="137">
        <f t="shared" si="10"/>
        <v>8</v>
      </c>
      <c r="H2669" s="137"/>
      <c r="I2669" s="137"/>
      <c r="J2669" s="135"/>
      <c r="K2669" s="135"/>
      <c r="L2669" s="135"/>
      <c r="M2669" s="135"/>
      <c r="N2669" s="135"/>
      <c r="O2669" s="135"/>
      <c r="P2669" s="135"/>
      <c r="Q2669" s="135"/>
      <c r="R2669" s="135"/>
      <c r="S2669" s="135"/>
      <c r="T2669" s="135"/>
      <c r="U2669" s="135"/>
      <c r="V2669" s="135"/>
      <c r="W2669" s="135"/>
      <c r="X2669" s="135"/>
      <c r="Y2669" s="135"/>
      <c r="Z2669" s="135"/>
    </row>
    <row r="2670" spans="1:26" ht="12.75">
      <c r="A2670" s="136" t="s">
        <v>15</v>
      </c>
      <c r="B2670" s="136" t="s">
        <v>7753</v>
      </c>
      <c r="C2670" s="136" t="s">
        <v>7794</v>
      </c>
      <c r="D2670" s="136" t="s">
        <v>139</v>
      </c>
      <c r="E2670" s="136" t="s">
        <v>594</v>
      </c>
      <c r="F2670" s="136">
        <v>125</v>
      </c>
      <c r="G2670" s="137">
        <f t="shared" si="10"/>
        <v>9</v>
      </c>
      <c r="H2670" s="137"/>
      <c r="I2670" s="137"/>
      <c r="J2670" s="135"/>
      <c r="K2670" s="135"/>
      <c r="L2670" s="135"/>
      <c r="M2670" s="135"/>
      <c r="N2670" s="135"/>
      <c r="O2670" s="135"/>
      <c r="P2670" s="135"/>
      <c r="Q2670" s="135"/>
      <c r="R2670" s="135"/>
      <c r="S2670" s="135"/>
      <c r="T2670" s="135"/>
      <c r="U2670" s="135"/>
      <c r="V2670" s="135"/>
      <c r="W2670" s="135"/>
      <c r="X2670" s="135"/>
      <c r="Y2670" s="135"/>
      <c r="Z2670" s="135"/>
    </row>
    <row r="2671" spans="1:26" ht="12.75">
      <c r="A2671" s="136" t="s">
        <v>15</v>
      </c>
      <c r="B2671" s="136" t="s">
        <v>7753</v>
      </c>
      <c r="C2671" s="136" t="s">
        <v>7794</v>
      </c>
      <c r="D2671" s="136" t="s">
        <v>7766</v>
      </c>
      <c r="E2671" s="136" t="s">
        <v>594</v>
      </c>
      <c r="F2671" s="136">
        <v>118</v>
      </c>
      <c r="G2671" s="137">
        <f t="shared" si="10"/>
        <v>10</v>
      </c>
      <c r="H2671" s="137"/>
      <c r="I2671" s="137"/>
      <c r="J2671" s="135"/>
      <c r="K2671" s="135"/>
      <c r="L2671" s="135"/>
      <c r="M2671" s="135"/>
      <c r="N2671" s="135"/>
      <c r="O2671" s="135"/>
      <c r="P2671" s="135"/>
      <c r="Q2671" s="135"/>
      <c r="R2671" s="135"/>
      <c r="S2671" s="135"/>
      <c r="T2671" s="135"/>
      <c r="U2671" s="135"/>
      <c r="V2671" s="135"/>
      <c r="W2671" s="135"/>
      <c r="X2671" s="135"/>
      <c r="Y2671" s="135"/>
      <c r="Z2671" s="135"/>
    </row>
    <row r="2672" spans="1:26" ht="12.75">
      <c r="A2672" s="136" t="s">
        <v>15</v>
      </c>
      <c r="B2672" s="136" t="s">
        <v>7753</v>
      </c>
      <c r="C2672" s="136" t="s">
        <v>7794</v>
      </c>
      <c r="D2672" s="136" t="s">
        <v>7762</v>
      </c>
      <c r="E2672" s="136" t="s">
        <v>615</v>
      </c>
      <c r="F2672" s="136">
        <v>105</v>
      </c>
      <c r="G2672" s="137">
        <f t="shared" si="10"/>
        <v>11</v>
      </c>
      <c r="H2672" s="137"/>
      <c r="I2672" s="137"/>
      <c r="J2672" s="135"/>
      <c r="K2672" s="135"/>
      <c r="L2672" s="135"/>
      <c r="M2672" s="135"/>
      <c r="N2672" s="135"/>
      <c r="O2672" s="135"/>
      <c r="P2672" s="135"/>
      <c r="Q2672" s="135"/>
      <c r="R2672" s="135"/>
      <c r="S2672" s="135"/>
      <c r="T2672" s="135"/>
      <c r="U2672" s="135"/>
      <c r="V2672" s="135"/>
      <c r="W2672" s="135"/>
      <c r="X2672" s="135"/>
      <c r="Y2672" s="135"/>
      <c r="Z2672" s="135"/>
    </row>
    <row r="2673" spans="1:26" ht="12.75">
      <c r="A2673" s="136" t="s">
        <v>15</v>
      </c>
      <c r="B2673" s="136" t="s">
        <v>7753</v>
      </c>
      <c r="C2673" s="136" t="s">
        <v>7794</v>
      </c>
      <c r="D2673" s="136"/>
      <c r="E2673" s="136" t="s">
        <v>7693</v>
      </c>
      <c r="F2673" s="136">
        <v>1572</v>
      </c>
      <c r="G2673" s="137">
        <f t="shared" si="10"/>
        <v>1</v>
      </c>
      <c r="H2673" s="137"/>
      <c r="I2673" s="137"/>
      <c r="J2673" s="135"/>
      <c r="K2673" s="135"/>
      <c r="L2673" s="135"/>
      <c r="M2673" s="135"/>
      <c r="N2673" s="135"/>
      <c r="O2673" s="135"/>
      <c r="P2673" s="135"/>
      <c r="Q2673" s="135"/>
      <c r="R2673" s="135"/>
      <c r="S2673" s="135"/>
      <c r="T2673" s="135"/>
      <c r="U2673" s="135"/>
      <c r="V2673" s="135"/>
      <c r="W2673" s="135"/>
      <c r="X2673" s="135"/>
      <c r="Y2673" s="135"/>
      <c r="Z2673" s="135"/>
    </row>
    <row r="2674" spans="1:26" ht="12.75">
      <c r="A2674" s="136" t="s">
        <v>15</v>
      </c>
      <c r="B2674" s="136" t="s">
        <v>7753</v>
      </c>
      <c r="C2674" s="136" t="s">
        <v>7795</v>
      </c>
      <c r="D2674" s="136" t="s">
        <v>165</v>
      </c>
      <c r="E2674" s="136" t="s">
        <v>615</v>
      </c>
      <c r="F2674" s="136">
        <v>675</v>
      </c>
      <c r="G2674" s="137">
        <f t="shared" si="10"/>
        <v>4</v>
      </c>
      <c r="H2674" s="137"/>
      <c r="I2674" s="137"/>
      <c r="J2674" s="135"/>
      <c r="K2674" s="135"/>
      <c r="L2674" s="135"/>
      <c r="M2674" s="135"/>
      <c r="N2674" s="135"/>
      <c r="O2674" s="135"/>
      <c r="P2674" s="135"/>
      <c r="Q2674" s="135"/>
      <c r="R2674" s="135"/>
      <c r="S2674" s="135"/>
      <c r="T2674" s="135"/>
      <c r="U2674" s="135"/>
      <c r="V2674" s="135"/>
      <c r="W2674" s="135"/>
      <c r="X2674" s="135"/>
      <c r="Y2674" s="135"/>
      <c r="Z2674" s="135"/>
    </row>
    <row r="2675" spans="1:26" ht="12.75">
      <c r="A2675" s="136" t="s">
        <v>15</v>
      </c>
      <c r="B2675" s="136" t="s">
        <v>7753</v>
      </c>
      <c r="C2675" s="136" t="s">
        <v>7795</v>
      </c>
      <c r="D2675" s="136" t="s">
        <v>7762</v>
      </c>
      <c r="E2675" s="136" t="s">
        <v>615</v>
      </c>
      <c r="F2675" s="136">
        <v>275</v>
      </c>
      <c r="G2675" s="137">
        <f t="shared" si="10"/>
        <v>6</v>
      </c>
      <c r="H2675" s="137"/>
      <c r="I2675" s="137"/>
      <c r="J2675" s="135"/>
      <c r="K2675" s="135"/>
      <c r="L2675" s="135"/>
      <c r="M2675" s="135"/>
      <c r="N2675" s="135"/>
      <c r="O2675" s="135"/>
      <c r="P2675" s="135"/>
      <c r="Q2675" s="135"/>
      <c r="R2675" s="135"/>
      <c r="S2675" s="135"/>
      <c r="T2675" s="135"/>
      <c r="U2675" s="135"/>
      <c r="V2675" s="135"/>
      <c r="W2675" s="135"/>
      <c r="X2675" s="135"/>
      <c r="Y2675" s="135"/>
      <c r="Z2675" s="135"/>
    </row>
    <row r="2676" spans="1:26" ht="12.75">
      <c r="A2676" s="136" t="s">
        <v>15</v>
      </c>
      <c r="B2676" s="136" t="s">
        <v>7753</v>
      </c>
      <c r="C2676" s="136" t="s">
        <v>7795</v>
      </c>
      <c r="D2676" s="136" t="s">
        <v>225</v>
      </c>
      <c r="E2676" s="136" t="s">
        <v>615</v>
      </c>
      <c r="F2676" s="136">
        <v>195</v>
      </c>
      <c r="G2676" s="137">
        <f t="shared" si="10"/>
        <v>8</v>
      </c>
      <c r="H2676" s="137"/>
      <c r="I2676" s="137"/>
      <c r="J2676" s="135"/>
      <c r="K2676" s="135"/>
      <c r="L2676" s="135"/>
      <c r="M2676" s="135"/>
      <c r="N2676" s="135"/>
      <c r="O2676" s="135"/>
      <c r="P2676" s="135"/>
      <c r="Q2676" s="135"/>
      <c r="R2676" s="135"/>
      <c r="S2676" s="135"/>
      <c r="T2676" s="135"/>
      <c r="U2676" s="135"/>
      <c r="V2676" s="135"/>
      <c r="W2676" s="135"/>
      <c r="X2676" s="135"/>
      <c r="Y2676" s="135"/>
      <c r="Z2676" s="135"/>
    </row>
    <row r="2677" spans="1:26" ht="12.75">
      <c r="A2677" s="136" t="s">
        <v>15</v>
      </c>
      <c r="B2677" s="136" t="s">
        <v>7753</v>
      </c>
      <c r="C2677" s="136" t="s">
        <v>7795</v>
      </c>
      <c r="D2677" s="136" t="s">
        <v>139</v>
      </c>
      <c r="E2677" s="136" t="s">
        <v>594</v>
      </c>
      <c r="F2677" s="136">
        <v>175</v>
      </c>
      <c r="G2677" s="137">
        <f t="shared" si="10"/>
        <v>9</v>
      </c>
      <c r="H2677" s="137"/>
      <c r="I2677" s="137"/>
      <c r="J2677" s="135"/>
      <c r="K2677" s="135"/>
      <c r="L2677" s="135"/>
      <c r="M2677" s="135"/>
      <c r="N2677" s="135"/>
      <c r="O2677" s="135"/>
      <c r="P2677" s="135"/>
      <c r="Q2677" s="135"/>
      <c r="R2677" s="135"/>
      <c r="S2677" s="135"/>
      <c r="T2677" s="135"/>
      <c r="U2677" s="135"/>
      <c r="V2677" s="135"/>
      <c r="W2677" s="135"/>
      <c r="X2677" s="135"/>
      <c r="Y2677" s="135"/>
      <c r="Z2677" s="135"/>
    </row>
    <row r="2678" spans="1:26" ht="12.75">
      <c r="A2678" s="136" t="s">
        <v>15</v>
      </c>
      <c r="B2678" s="136" t="s">
        <v>7753</v>
      </c>
      <c r="C2678" s="136" t="s">
        <v>7795</v>
      </c>
      <c r="D2678" s="136" t="s">
        <v>38</v>
      </c>
      <c r="E2678" s="136" t="s">
        <v>615</v>
      </c>
      <c r="F2678" s="136">
        <v>69</v>
      </c>
      <c r="G2678" s="137">
        <f t="shared" si="10"/>
        <v>12</v>
      </c>
      <c r="H2678" s="137"/>
      <c r="I2678" s="137"/>
      <c r="J2678" s="135"/>
      <c r="K2678" s="135"/>
      <c r="L2678" s="135"/>
      <c r="M2678" s="135"/>
      <c r="N2678" s="135"/>
      <c r="O2678" s="135"/>
      <c r="P2678" s="135"/>
      <c r="Q2678" s="135"/>
      <c r="R2678" s="135"/>
      <c r="S2678" s="135"/>
      <c r="T2678" s="135"/>
      <c r="U2678" s="135"/>
      <c r="V2678" s="135"/>
      <c r="W2678" s="135"/>
      <c r="X2678" s="135"/>
      <c r="Y2678" s="135"/>
      <c r="Z2678" s="135"/>
    </row>
    <row r="2679" spans="1:26" ht="12.75">
      <c r="A2679" s="136" t="s">
        <v>15</v>
      </c>
      <c r="B2679" s="136" t="s">
        <v>7753</v>
      </c>
      <c r="C2679" s="136" t="s">
        <v>7795</v>
      </c>
      <c r="D2679" s="136"/>
      <c r="E2679" s="136" t="s">
        <v>7693</v>
      </c>
      <c r="F2679" s="136">
        <v>1389</v>
      </c>
      <c r="G2679" s="137">
        <f t="shared" si="10"/>
        <v>2</v>
      </c>
      <c r="H2679" s="137"/>
      <c r="I2679" s="137"/>
      <c r="J2679" s="135"/>
      <c r="K2679" s="135"/>
      <c r="L2679" s="135"/>
      <c r="M2679" s="135"/>
      <c r="N2679" s="135"/>
      <c r="O2679" s="135"/>
      <c r="P2679" s="135"/>
      <c r="Q2679" s="135"/>
      <c r="R2679" s="135"/>
      <c r="S2679" s="135"/>
      <c r="T2679" s="135"/>
      <c r="U2679" s="135"/>
      <c r="V2679" s="135"/>
      <c r="W2679" s="135"/>
      <c r="X2679" s="135"/>
      <c r="Y2679" s="135"/>
      <c r="Z2679" s="135"/>
    </row>
    <row r="2680" spans="1:26" ht="12.75">
      <c r="A2680" s="136" t="s">
        <v>15</v>
      </c>
      <c r="B2680" s="136" t="s">
        <v>7753</v>
      </c>
      <c r="C2680" s="136" t="s">
        <v>7796</v>
      </c>
      <c r="D2680" s="136" t="s">
        <v>225</v>
      </c>
      <c r="E2680" s="136" t="s">
        <v>615</v>
      </c>
      <c r="F2680" s="136">
        <v>575</v>
      </c>
      <c r="G2680" s="137">
        <f t="shared" si="10"/>
        <v>3</v>
      </c>
      <c r="H2680" s="137"/>
      <c r="I2680" s="137"/>
      <c r="J2680" s="135"/>
      <c r="K2680" s="135"/>
      <c r="L2680" s="135"/>
      <c r="M2680" s="135"/>
      <c r="N2680" s="135"/>
      <c r="O2680" s="135"/>
      <c r="P2680" s="135"/>
      <c r="Q2680" s="135"/>
      <c r="R2680" s="135"/>
      <c r="S2680" s="135"/>
      <c r="T2680" s="135"/>
      <c r="U2680" s="135"/>
      <c r="V2680" s="135"/>
      <c r="W2680" s="135"/>
      <c r="X2680" s="135"/>
      <c r="Y2680" s="135"/>
      <c r="Z2680" s="135"/>
    </row>
    <row r="2681" spans="1:26" ht="12.75">
      <c r="A2681" s="136" t="s">
        <v>15</v>
      </c>
      <c r="B2681" s="136" t="s">
        <v>7753</v>
      </c>
      <c r="C2681" s="136" t="s">
        <v>7796</v>
      </c>
      <c r="D2681" s="136" t="s">
        <v>7491</v>
      </c>
      <c r="E2681" s="136" t="s">
        <v>615</v>
      </c>
      <c r="F2681" s="136">
        <v>193</v>
      </c>
      <c r="G2681" s="137">
        <f t="shared" si="10"/>
        <v>5</v>
      </c>
      <c r="H2681" s="137"/>
      <c r="I2681" s="137"/>
      <c r="J2681" s="135"/>
      <c r="K2681" s="135"/>
      <c r="L2681" s="135"/>
      <c r="M2681" s="135"/>
      <c r="N2681" s="135"/>
      <c r="O2681" s="135"/>
      <c r="P2681" s="135"/>
      <c r="Q2681" s="135"/>
      <c r="R2681" s="135"/>
      <c r="S2681" s="135"/>
      <c r="T2681" s="135"/>
      <c r="U2681" s="135"/>
      <c r="V2681" s="135"/>
      <c r="W2681" s="135"/>
      <c r="X2681" s="135"/>
      <c r="Y2681" s="135"/>
      <c r="Z2681" s="135"/>
    </row>
    <row r="2682" spans="1:26" ht="12.75">
      <c r="A2682" s="136" t="s">
        <v>15</v>
      </c>
      <c r="B2682" s="136" t="s">
        <v>7753</v>
      </c>
      <c r="C2682" s="136" t="s">
        <v>7796</v>
      </c>
      <c r="D2682" s="136" t="s">
        <v>7762</v>
      </c>
      <c r="E2682" s="136" t="s">
        <v>615</v>
      </c>
      <c r="F2682" s="136">
        <v>175</v>
      </c>
      <c r="G2682" s="137">
        <f t="shared" si="10"/>
        <v>6</v>
      </c>
      <c r="H2682" s="137"/>
      <c r="I2682" s="137"/>
      <c r="J2682" s="135"/>
      <c r="K2682" s="135"/>
      <c r="L2682" s="135"/>
      <c r="M2682" s="135"/>
      <c r="N2682" s="135"/>
      <c r="O2682" s="135"/>
      <c r="P2682" s="135"/>
      <c r="Q2682" s="135"/>
      <c r="R2682" s="135"/>
      <c r="S2682" s="135"/>
      <c r="T2682" s="135"/>
      <c r="U2682" s="135"/>
      <c r="V2682" s="135"/>
      <c r="W2682" s="135"/>
      <c r="X2682" s="135"/>
      <c r="Y2682" s="135"/>
      <c r="Z2682" s="135"/>
    </row>
    <row r="2683" spans="1:26" ht="12.75">
      <c r="A2683" s="136" t="s">
        <v>15</v>
      </c>
      <c r="B2683" s="136" t="s">
        <v>7753</v>
      </c>
      <c r="C2683" s="136" t="s">
        <v>7796</v>
      </c>
      <c r="D2683" s="136" t="s">
        <v>1669</v>
      </c>
      <c r="E2683" s="136" t="s">
        <v>615</v>
      </c>
      <c r="F2683" s="136">
        <v>165</v>
      </c>
      <c r="G2683" s="137">
        <f t="shared" si="10"/>
        <v>7</v>
      </c>
      <c r="H2683" s="137"/>
      <c r="I2683" s="137"/>
      <c r="J2683" s="135"/>
      <c r="K2683" s="135"/>
      <c r="L2683" s="135"/>
      <c r="M2683" s="135"/>
      <c r="N2683" s="135"/>
      <c r="O2683" s="135"/>
      <c r="P2683" s="135"/>
      <c r="Q2683" s="135"/>
      <c r="R2683" s="135"/>
      <c r="S2683" s="135"/>
      <c r="T2683" s="135"/>
      <c r="U2683" s="135"/>
      <c r="V2683" s="135"/>
      <c r="W2683" s="135"/>
      <c r="X2683" s="135"/>
      <c r="Y2683" s="135"/>
      <c r="Z2683" s="135"/>
    </row>
    <row r="2684" spans="1:26" ht="12.75">
      <c r="A2684" s="136" t="s">
        <v>15</v>
      </c>
      <c r="B2684" s="136" t="s">
        <v>7753</v>
      </c>
      <c r="C2684" s="136" t="s">
        <v>7796</v>
      </c>
      <c r="D2684" s="136" t="s">
        <v>7544</v>
      </c>
      <c r="E2684" s="136" t="s">
        <v>615</v>
      </c>
      <c r="F2684" s="136">
        <v>115</v>
      </c>
      <c r="G2684" s="137">
        <f t="shared" si="10"/>
        <v>9</v>
      </c>
      <c r="H2684" s="137"/>
      <c r="I2684" s="137"/>
      <c r="J2684" s="135"/>
      <c r="K2684" s="135"/>
      <c r="L2684" s="135"/>
      <c r="M2684" s="135"/>
      <c r="N2684" s="135"/>
      <c r="O2684" s="135"/>
      <c r="P2684" s="135"/>
      <c r="Q2684" s="135"/>
      <c r="R2684" s="135"/>
      <c r="S2684" s="135"/>
      <c r="T2684" s="135"/>
      <c r="U2684" s="135"/>
      <c r="V2684" s="135"/>
      <c r="W2684" s="135"/>
      <c r="X2684" s="135"/>
      <c r="Y2684" s="135"/>
      <c r="Z2684" s="135"/>
    </row>
    <row r="2685" spans="1:26" ht="12.75">
      <c r="A2685" s="136" t="s">
        <v>15</v>
      </c>
      <c r="B2685" s="136" t="s">
        <v>7753</v>
      </c>
      <c r="C2685" s="136" t="s">
        <v>7796</v>
      </c>
      <c r="D2685" s="136" t="s">
        <v>165</v>
      </c>
      <c r="E2685" s="136" t="s">
        <v>615</v>
      </c>
      <c r="F2685" s="136">
        <v>100</v>
      </c>
      <c r="G2685" s="137">
        <f t="shared" si="10"/>
        <v>11</v>
      </c>
      <c r="H2685" s="137"/>
      <c r="I2685" s="137"/>
      <c r="J2685" s="135"/>
      <c r="K2685" s="135"/>
      <c r="L2685" s="135"/>
      <c r="M2685" s="135"/>
      <c r="N2685" s="135"/>
      <c r="O2685" s="135"/>
      <c r="P2685" s="135"/>
      <c r="Q2685" s="135"/>
      <c r="R2685" s="135"/>
      <c r="S2685" s="135"/>
      <c r="T2685" s="135"/>
      <c r="U2685" s="135"/>
      <c r="V2685" s="135"/>
      <c r="W2685" s="135"/>
      <c r="X2685" s="135"/>
      <c r="Y2685" s="135"/>
      <c r="Z2685" s="135"/>
    </row>
    <row r="2686" spans="1:26" ht="12.75">
      <c r="A2686" s="136" t="s">
        <v>15</v>
      </c>
      <c r="B2686" s="136" t="s">
        <v>7753</v>
      </c>
      <c r="C2686" s="136" t="s">
        <v>7796</v>
      </c>
      <c r="D2686" s="136" t="s">
        <v>139</v>
      </c>
      <c r="E2686" s="136" t="s">
        <v>594</v>
      </c>
      <c r="F2686" s="136">
        <v>50</v>
      </c>
      <c r="G2686" s="137">
        <f t="shared" si="10"/>
        <v>12</v>
      </c>
      <c r="H2686" s="137"/>
      <c r="I2686" s="137"/>
      <c r="J2686" s="135"/>
      <c r="K2686" s="135"/>
      <c r="L2686" s="135"/>
      <c r="M2686" s="135"/>
      <c r="N2686" s="135"/>
      <c r="O2686" s="135"/>
      <c r="P2686" s="135"/>
      <c r="Q2686" s="135"/>
      <c r="R2686" s="135"/>
      <c r="S2686" s="135"/>
      <c r="T2686" s="135"/>
      <c r="U2686" s="135"/>
      <c r="V2686" s="135"/>
      <c r="W2686" s="135"/>
      <c r="X2686" s="135"/>
      <c r="Y2686" s="135"/>
      <c r="Z2686" s="135"/>
    </row>
    <row r="2687" spans="1:26" ht="12.75">
      <c r="A2687" s="136" t="s">
        <v>15</v>
      </c>
      <c r="B2687" s="136" t="s">
        <v>7753</v>
      </c>
      <c r="C2687" s="136" t="s">
        <v>7796</v>
      </c>
      <c r="D2687" s="136" t="s">
        <v>368</v>
      </c>
      <c r="E2687" s="136" t="s">
        <v>594</v>
      </c>
      <c r="F2687" s="136">
        <v>50</v>
      </c>
      <c r="G2687" s="137">
        <f t="shared" si="10"/>
        <v>13</v>
      </c>
      <c r="H2687" s="137"/>
      <c r="I2687" s="137"/>
      <c r="J2687" s="135"/>
      <c r="K2687" s="135"/>
      <c r="L2687" s="135"/>
      <c r="M2687" s="135"/>
      <c r="N2687" s="135"/>
      <c r="O2687" s="135"/>
      <c r="P2687" s="135"/>
      <c r="Q2687" s="135"/>
      <c r="R2687" s="135"/>
      <c r="S2687" s="135"/>
      <c r="T2687" s="135"/>
      <c r="U2687" s="135"/>
      <c r="V2687" s="135"/>
      <c r="W2687" s="135"/>
      <c r="X2687" s="135"/>
      <c r="Y2687" s="135"/>
      <c r="Z2687" s="135"/>
    </row>
    <row r="2688" spans="1:26" ht="12.75">
      <c r="A2688" s="136" t="s">
        <v>15</v>
      </c>
      <c r="B2688" s="136" t="s">
        <v>7753</v>
      </c>
      <c r="C2688" s="136" t="s">
        <v>7796</v>
      </c>
      <c r="D2688" s="136"/>
      <c r="E2688" s="136" t="s">
        <v>7693</v>
      </c>
      <c r="F2688" s="136">
        <v>1423</v>
      </c>
      <c r="G2688" s="137">
        <f t="shared" si="10"/>
        <v>1</v>
      </c>
      <c r="H2688" s="137"/>
      <c r="I2688" s="137"/>
      <c r="J2688" s="135"/>
      <c r="K2688" s="135"/>
      <c r="L2688" s="135"/>
      <c r="M2688" s="135"/>
      <c r="N2688" s="135"/>
      <c r="O2688" s="135"/>
      <c r="P2688" s="135"/>
      <c r="Q2688" s="135"/>
      <c r="R2688" s="135"/>
      <c r="S2688" s="135"/>
      <c r="T2688" s="135"/>
      <c r="U2688" s="135"/>
      <c r="V2688" s="135"/>
      <c r="W2688" s="135"/>
      <c r="X2688" s="135"/>
      <c r="Y2688" s="135"/>
      <c r="Z2688" s="135"/>
    </row>
    <row r="2689" spans="1:26" ht="12.75">
      <c r="A2689" s="136" t="s">
        <v>15</v>
      </c>
      <c r="B2689" s="136" t="s">
        <v>7753</v>
      </c>
      <c r="C2689" s="136" t="s">
        <v>7797</v>
      </c>
      <c r="D2689" s="136" t="s">
        <v>225</v>
      </c>
      <c r="E2689" s="136" t="s">
        <v>615</v>
      </c>
      <c r="F2689" s="136">
        <v>587</v>
      </c>
      <c r="G2689" s="137">
        <f t="shared" si="10"/>
        <v>4</v>
      </c>
      <c r="H2689" s="137"/>
      <c r="I2689" s="137"/>
      <c r="J2689" s="135"/>
      <c r="K2689" s="135"/>
      <c r="L2689" s="135"/>
      <c r="M2689" s="135"/>
      <c r="N2689" s="135"/>
      <c r="O2689" s="135"/>
      <c r="P2689" s="135"/>
      <c r="Q2689" s="135"/>
      <c r="R2689" s="135"/>
      <c r="S2689" s="135"/>
      <c r="T2689" s="135"/>
      <c r="U2689" s="135"/>
      <c r="V2689" s="135"/>
      <c r="W2689" s="135"/>
      <c r="X2689" s="135"/>
      <c r="Y2689" s="135"/>
      <c r="Z2689" s="135"/>
    </row>
    <row r="2690" spans="1:26" ht="12.75">
      <c r="A2690" s="136" t="s">
        <v>15</v>
      </c>
      <c r="B2690" s="136" t="s">
        <v>7753</v>
      </c>
      <c r="C2690" s="136" t="s">
        <v>7797</v>
      </c>
      <c r="D2690" s="136" t="s">
        <v>7544</v>
      </c>
      <c r="E2690" s="136" t="s">
        <v>615</v>
      </c>
      <c r="F2690" s="136">
        <v>295</v>
      </c>
      <c r="G2690" s="137">
        <f t="shared" si="10"/>
        <v>5</v>
      </c>
      <c r="H2690" s="137"/>
      <c r="I2690" s="137"/>
      <c r="J2690" s="135"/>
      <c r="K2690" s="135"/>
      <c r="L2690" s="135"/>
      <c r="M2690" s="135"/>
      <c r="N2690" s="135"/>
      <c r="O2690" s="135"/>
      <c r="P2690" s="135"/>
      <c r="Q2690" s="135"/>
      <c r="R2690" s="135"/>
      <c r="S2690" s="135"/>
      <c r="T2690" s="135"/>
      <c r="U2690" s="135"/>
      <c r="V2690" s="135"/>
      <c r="W2690" s="135"/>
      <c r="X2690" s="135"/>
      <c r="Y2690" s="135"/>
      <c r="Z2690" s="135"/>
    </row>
    <row r="2691" spans="1:26" ht="12.75">
      <c r="A2691" s="136" t="s">
        <v>15</v>
      </c>
      <c r="B2691" s="136" t="s">
        <v>7753</v>
      </c>
      <c r="C2691" s="136" t="s">
        <v>7797</v>
      </c>
      <c r="D2691" s="136" t="s">
        <v>7491</v>
      </c>
      <c r="E2691" s="136" t="s">
        <v>615</v>
      </c>
      <c r="F2691" s="136">
        <v>161</v>
      </c>
      <c r="G2691" s="137">
        <f t="shared" si="10"/>
        <v>6</v>
      </c>
      <c r="H2691" s="137"/>
      <c r="I2691" s="137"/>
      <c r="J2691" s="135"/>
      <c r="K2691" s="135"/>
      <c r="L2691" s="135"/>
      <c r="M2691" s="135"/>
      <c r="N2691" s="135"/>
      <c r="O2691" s="135"/>
      <c r="P2691" s="135"/>
      <c r="Q2691" s="135"/>
      <c r="R2691" s="135"/>
      <c r="S2691" s="135"/>
      <c r="T2691" s="135"/>
      <c r="U2691" s="135"/>
      <c r="V2691" s="135"/>
      <c r="W2691" s="135"/>
      <c r="X2691" s="135"/>
      <c r="Y2691" s="135"/>
      <c r="Z2691" s="135"/>
    </row>
    <row r="2692" spans="1:26" ht="12.75">
      <c r="A2692" s="136" t="s">
        <v>15</v>
      </c>
      <c r="B2692" s="136" t="s">
        <v>7753</v>
      </c>
      <c r="C2692" s="136" t="s">
        <v>7797</v>
      </c>
      <c r="D2692" s="136" t="s">
        <v>139</v>
      </c>
      <c r="E2692" s="136" t="s">
        <v>594</v>
      </c>
      <c r="F2692" s="136">
        <v>145</v>
      </c>
      <c r="G2692" s="137">
        <f t="shared" si="10"/>
        <v>8</v>
      </c>
      <c r="H2692" s="137"/>
      <c r="I2692" s="137"/>
      <c r="J2692" s="135"/>
      <c r="K2692" s="135"/>
      <c r="L2692" s="135"/>
      <c r="M2692" s="135"/>
      <c r="N2692" s="135"/>
      <c r="O2692" s="135"/>
      <c r="P2692" s="135"/>
      <c r="Q2692" s="135"/>
      <c r="R2692" s="135"/>
      <c r="S2692" s="135"/>
      <c r="T2692" s="135"/>
      <c r="U2692" s="135"/>
      <c r="V2692" s="135"/>
      <c r="W2692" s="135"/>
      <c r="X2692" s="135"/>
      <c r="Y2692" s="135"/>
      <c r="Z2692" s="135"/>
    </row>
    <row r="2693" spans="1:26" ht="12.75">
      <c r="A2693" s="136" t="s">
        <v>15</v>
      </c>
      <c r="B2693" s="136" t="s">
        <v>7753</v>
      </c>
      <c r="C2693" s="136" t="s">
        <v>7797</v>
      </c>
      <c r="D2693" s="136" t="s">
        <v>1669</v>
      </c>
      <c r="E2693" s="136" t="s">
        <v>615</v>
      </c>
      <c r="F2693" s="136">
        <v>115</v>
      </c>
      <c r="G2693" s="137">
        <f t="shared" si="10"/>
        <v>10</v>
      </c>
      <c r="H2693" s="137"/>
      <c r="I2693" s="137"/>
      <c r="J2693" s="135"/>
      <c r="K2693" s="135"/>
      <c r="L2693" s="135"/>
      <c r="M2693" s="135"/>
      <c r="N2693" s="135"/>
      <c r="O2693" s="135"/>
      <c r="P2693" s="135"/>
      <c r="Q2693" s="135"/>
      <c r="R2693" s="135"/>
      <c r="S2693" s="135"/>
      <c r="T2693" s="135"/>
      <c r="U2693" s="135"/>
      <c r="V2693" s="135"/>
      <c r="W2693" s="135"/>
      <c r="X2693" s="135"/>
      <c r="Y2693" s="135"/>
      <c r="Z2693" s="135"/>
    </row>
    <row r="2694" spans="1:26" ht="12.75">
      <c r="A2694" s="136" t="s">
        <v>15</v>
      </c>
      <c r="B2694" s="136" t="s">
        <v>7753</v>
      </c>
      <c r="C2694" s="136" t="s">
        <v>7797</v>
      </c>
      <c r="D2694" s="136" t="s">
        <v>165</v>
      </c>
      <c r="E2694" s="136" t="s">
        <v>615</v>
      </c>
      <c r="F2694" s="136">
        <v>100</v>
      </c>
      <c r="G2694" s="137">
        <f t="shared" si="10"/>
        <v>11</v>
      </c>
      <c r="H2694" s="137"/>
      <c r="I2694" s="137"/>
      <c r="J2694" s="135"/>
      <c r="K2694" s="135"/>
      <c r="L2694" s="135"/>
      <c r="M2694" s="135"/>
      <c r="N2694" s="135"/>
      <c r="O2694" s="135"/>
      <c r="P2694" s="135"/>
      <c r="Q2694" s="135"/>
      <c r="R2694" s="135"/>
      <c r="S2694" s="135"/>
      <c r="T2694" s="135"/>
      <c r="U2694" s="135"/>
      <c r="V2694" s="135"/>
      <c r="W2694" s="135"/>
      <c r="X2694" s="135"/>
      <c r="Y2694" s="135"/>
      <c r="Z2694" s="135"/>
    </row>
    <row r="2695" spans="1:26" ht="12.75">
      <c r="A2695" s="136" t="s">
        <v>15</v>
      </c>
      <c r="B2695" s="136" t="s">
        <v>7753</v>
      </c>
      <c r="C2695" s="136" t="s">
        <v>7797</v>
      </c>
      <c r="D2695" s="136" t="s">
        <v>7760</v>
      </c>
      <c r="E2695" s="136" t="s">
        <v>615</v>
      </c>
      <c r="F2695" s="136">
        <v>50</v>
      </c>
      <c r="G2695" s="137">
        <f t="shared" si="10"/>
        <v>14</v>
      </c>
      <c r="H2695" s="137"/>
      <c r="I2695" s="137"/>
      <c r="J2695" s="135"/>
      <c r="K2695" s="135"/>
      <c r="L2695" s="135"/>
      <c r="M2695" s="135"/>
      <c r="N2695" s="135"/>
      <c r="O2695" s="135"/>
      <c r="P2695" s="135"/>
      <c r="Q2695" s="135"/>
      <c r="R2695" s="135"/>
      <c r="S2695" s="135"/>
      <c r="T2695" s="135"/>
      <c r="U2695" s="135"/>
      <c r="V2695" s="135"/>
      <c r="W2695" s="135"/>
      <c r="X2695" s="135"/>
      <c r="Y2695" s="135"/>
      <c r="Z2695" s="135"/>
    </row>
    <row r="2696" spans="1:26" ht="12.75">
      <c r="A2696" s="136" t="s">
        <v>15</v>
      </c>
      <c r="B2696" s="136" t="s">
        <v>7753</v>
      </c>
      <c r="C2696" s="136" t="s">
        <v>7797</v>
      </c>
      <c r="D2696" s="136"/>
      <c r="E2696" s="136" t="s">
        <v>7693</v>
      </c>
      <c r="F2696" s="136">
        <v>1453</v>
      </c>
      <c r="G2696" s="137">
        <f t="shared" si="10"/>
        <v>1</v>
      </c>
      <c r="H2696" s="137"/>
      <c r="I2696" s="137"/>
      <c r="J2696" s="135"/>
      <c r="K2696" s="135"/>
      <c r="L2696" s="135"/>
      <c r="M2696" s="135"/>
      <c r="N2696" s="135"/>
      <c r="O2696" s="135"/>
      <c r="P2696" s="135"/>
      <c r="Q2696" s="135"/>
      <c r="R2696" s="135"/>
      <c r="S2696" s="135"/>
      <c r="T2696" s="135"/>
      <c r="U2696" s="135"/>
      <c r="V2696" s="135"/>
      <c r="W2696" s="135"/>
      <c r="X2696" s="135"/>
      <c r="Y2696" s="135"/>
      <c r="Z2696" s="135"/>
    </row>
    <row r="2697" spans="1:26" ht="12.75">
      <c r="A2697" s="136" t="s">
        <v>15</v>
      </c>
      <c r="B2697" s="136" t="s">
        <v>7753</v>
      </c>
      <c r="C2697" s="136" t="s">
        <v>7798</v>
      </c>
      <c r="D2697" s="136" t="s">
        <v>225</v>
      </c>
      <c r="E2697" s="136" t="s">
        <v>615</v>
      </c>
      <c r="F2697" s="136">
        <v>455</v>
      </c>
      <c r="G2697" s="137">
        <f t="shared" si="10"/>
        <v>3</v>
      </c>
      <c r="H2697" s="137"/>
      <c r="I2697" s="137"/>
      <c r="J2697" s="135"/>
      <c r="K2697" s="135"/>
      <c r="L2697" s="135"/>
      <c r="M2697" s="135"/>
      <c r="N2697" s="135"/>
      <c r="O2697" s="135"/>
      <c r="P2697" s="135"/>
      <c r="Q2697" s="135"/>
      <c r="R2697" s="135"/>
      <c r="S2697" s="135"/>
      <c r="T2697" s="135"/>
      <c r="U2697" s="135"/>
      <c r="V2697" s="135"/>
      <c r="W2697" s="135"/>
      <c r="X2697" s="135"/>
      <c r="Y2697" s="135"/>
      <c r="Z2697" s="135"/>
    </row>
    <row r="2698" spans="1:26" ht="12.75">
      <c r="A2698" s="136" t="s">
        <v>15</v>
      </c>
      <c r="B2698" s="136" t="s">
        <v>7753</v>
      </c>
      <c r="C2698" s="136" t="s">
        <v>7798</v>
      </c>
      <c r="D2698" s="136" t="s">
        <v>165</v>
      </c>
      <c r="E2698" s="136" t="s">
        <v>615</v>
      </c>
      <c r="F2698" s="136">
        <v>184</v>
      </c>
      <c r="G2698" s="137">
        <f t="shared" si="10"/>
        <v>7</v>
      </c>
      <c r="H2698" s="137"/>
      <c r="I2698" s="137"/>
      <c r="J2698" s="135"/>
      <c r="K2698" s="135"/>
      <c r="L2698" s="135"/>
      <c r="M2698" s="135"/>
      <c r="N2698" s="135"/>
      <c r="O2698" s="135"/>
      <c r="P2698" s="135"/>
      <c r="Q2698" s="135"/>
      <c r="R2698" s="135"/>
      <c r="S2698" s="135"/>
      <c r="T2698" s="135"/>
      <c r="U2698" s="135"/>
      <c r="V2698" s="135"/>
      <c r="W2698" s="135"/>
      <c r="X2698" s="135"/>
      <c r="Y2698" s="135"/>
      <c r="Z2698" s="135"/>
    </row>
    <row r="2699" spans="1:26" ht="12.75">
      <c r="A2699" s="136" t="s">
        <v>15</v>
      </c>
      <c r="B2699" s="136" t="s">
        <v>7753</v>
      </c>
      <c r="C2699" s="136" t="s">
        <v>7798</v>
      </c>
      <c r="D2699" s="136" t="s">
        <v>1669</v>
      </c>
      <c r="E2699" s="136" t="s">
        <v>615</v>
      </c>
      <c r="F2699" s="136">
        <v>172</v>
      </c>
      <c r="G2699" s="137">
        <f t="shared" si="10"/>
        <v>8</v>
      </c>
      <c r="H2699" s="137"/>
      <c r="I2699" s="137"/>
      <c r="J2699" s="135"/>
      <c r="K2699" s="135"/>
      <c r="L2699" s="135"/>
      <c r="M2699" s="135"/>
      <c r="N2699" s="135"/>
      <c r="O2699" s="135"/>
      <c r="P2699" s="135"/>
      <c r="Q2699" s="135"/>
      <c r="R2699" s="135"/>
      <c r="S2699" s="135"/>
      <c r="T2699" s="135"/>
      <c r="U2699" s="135"/>
      <c r="V2699" s="135"/>
      <c r="W2699" s="135"/>
      <c r="X2699" s="135"/>
      <c r="Y2699" s="135"/>
      <c r="Z2699" s="135"/>
    </row>
    <row r="2700" spans="1:26" ht="12.75">
      <c r="A2700" s="136" t="s">
        <v>15</v>
      </c>
      <c r="B2700" s="136" t="s">
        <v>7753</v>
      </c>
      <c r="C2700" s="136" t="s">
        <v>7798</v>
      </c>
      <c r="D2700" s="136" t="s">
        <v>7544</v>
      </c>
      <c r="E2700" s="136" t="s">
        <v>615</v>
      </c>
      <c r="F2700" s="136">
        <v>154</v>
      </c>
      <c r="G2700" s="137">
        <f t="shared" si="10"/>
        <v>9</v>
      </c>
      <c r="H2700" s="137"/>
      <c r="I2700" s="137"/>
      <c r="J2700" s="135"/>
      <c r="K2700" s="135"/>
      <c r="L2700" s="135"/>
      <c r="M2700" s="135"/>
      <c r="N2700" s="135"/>
      <c r="O2700" s="135"/>
      <c r="P2700" s="135"/>
      <c r="Q2700" s="135"/>
      <c r="R2700" s="135"/>
      <c r="S2700" s="135"/>
      <c r="T2700" s="135"/>
      <c r="U2700" s="135"/>
      <c r="V2700" s="135"/>
      <c r="W2700" s="135"/>
      <c r="X2700" s="135"/>
      <c r="Y2700" s="135"/>
      <c r="Z2700" s="135"/>
    </row>
    <row r="2701" spans="1:26" ht="12.75">
      <c r="A2701" s="136" t="s">
        <v>15</v>
      </c>
      <c r="B2701" s="136" t="s">
        <v>7753</v>
      </c>
      <c r="C2701" s="136" t="s">
        <v>7798</v>
      </c>
      <c r="D2701" s="136" t="s">
        <v>1665</v>
      </c>
      <c r="E2701" s="136" t="s">
        <v>615</v>
      </c>
      <c r="F2701" s="136">
        <v>150</v>
      </c>
      <c r="G2701" s="137">
        <f t="shared" si="10"/>
        <v>10</v>
      </c>
      <c r="H2701" s="137"/>
      <c r="I2701" s="137"/>
      <c r="J2701" s="135"/>
      <c r="K2701" s="135"/>
      <c r="L2701" s="135"/>
      <c r="M2701" s="135"/>
      <c r="N2701" s="135"/>
      <c r="O2701" s="135"/>
      <c r="P2701" s="135"/>
      <c r="Q2701" s="135"/>
      <c r="R2701" s="135"/>
      <c r="S2701" s="135"/>
      <c r="T2701" s="135"/>
      <c r="U2701" s="135"/>
      <c r="V2701" s="135"/>
      <c r="W2701" s="135"/>
      <c r="X2701" s="135"/>
      <c r="Y2701" s="135"/>
      <c r="Z2701" s="135"/>
    </row>
    <row r="2702" spans="1:26" ht="12.75">
      <c r="A2702" s="136" t="s">
        <v>15</v>
      </c>
      <c r="B2702" s="136" t="s">
        <v>7753</v>
      </c>
      <c r="C2702" s="136" t="s">
        <v>7798</v>
      </c>
      <c r="D2702" s="136" t="s">
        <v>7721</v>
      </c>
      <c r="E2702" s="136" t="s">
        <v>615</v>
      </c>
      <c r="F2702" s="136">
        <v>125</v>
      </c>
      <c r="G2702" s="137">
        <f t="shared" si="10"/>
        <v>12</v>
      </c>
      <c r="H2702" s="137"/>
      <c r="I2702" s="137"/>
      <c r="J2702" s="135"/>
      <c r="K2702" s="135"/>
      <c r="L2702" s="135"/>
      <c r="M2702" s="135"/>
      <c r="N2702" s="135"/>
      <c r="O2702" s="135"/>
      <c r="P2702" s="135"/>
      <c r="Q2702" s="135"/>
      <c r="R2702" s="135"/>
      <c r="S2702" s="135"/>
      <c r="T2702" s="135"/>
      <c r="U2702" s="135"/>
      <c r="V2702" s="135"/>
      <c r="W2702" s="135"/>
      <c r="X2702" s="135"/>
      <c r="Y2702" s="135"/>
      <c r="Z2702" s="135"/>
    </row>
    <row r="2703" spans="1:26" ht="12.75">
      <c r="A2703" s="136" t="s">
        <v>15</v>
      </c>
      <c r="B2703" s="136" t="s">
        <v>7753</v>
      </c>
      <c r="C2703" s="136" t="s">
        <v>7798</v>
      </c>
      <c r="D2703" s="136" t="s">
        <v>7491</v>
      </c>
      <c r="E2703" s="136" t="s">
        <v>615</v>
      </c>
      <c r="F2703" s="136">
        <v>83</v>
      </c>
      <c r="G2703" s="137">
        <f t="shared" si="10"/>
        <v>15</v>
      </c>
      <c r="H2703" s="137"/>
      <c r="I2703" s="137"/>
      <c r="J2703" s="135"/>
      <c r="K2703" s="135"/>
      <c r="L2703" s="135"/>
      <c r="M2703" s="135"/>
      <c r="N2703" s="135"/>
      <c r="O2703" s="135"/>
      <c r="P2703" s="135"/>
      <c r="Q2703" s="135"/>
      <c r="R2703" s="135"/>
      <c r="S2703" s="135"/>
      <c r="T2703" s="135"/>
      <c r="U2703" s="135"/>
      <c r="V2703" s="135"/>
      <c r="W2703" s="135"/>
      <c r="X2703" s="135"/>
      <c r="Y2703" s="135"/>
      <c r="Z2703" s="135"/>
    </row>
    <row r="2704" spans="1:26" ht="12.75">
      <c r="A2704" s="136" t="s">
        <v>15</v>
      </c>
      <c r="B2704" s="136" t="s">
        <v>7753</v>
      </c>
      <c r="C2704" s="136" t="s">
        <v>7798</v>
      </c>
      <c r="D2704" s="136" t="s">
        <v>7799</v>
      </c>
      <c r="E2704" s="136" t="s">
        <v>86</v>
      </c>
      <c r="F2704" s="136">
        <v>70</v>
      </c>
      <c r="G2704" s="137">
        <f t="shared" si="10"/>
        <v>17</v>
      </c>
      <c r="H2704" s="137"/>
      <c r="I2704" s="137"/>
      <c r="J2704" s="135"/>
      <c r="K2704" s="135"/>
      <c r="L2704" s="135"/>
      <c r="M2704" s="135"/>
      <c r="N2704" s="135"/>
      <c r="O2704" s="135"/>
      <c r="P2704" s="135"/>
      <c r="Q2704" s="135"/>
      <c r="R2704" s="135"/>
      <c r="S2704" s="135"/>
      <c r="T2704" s="135"/>
      <c r="U2704" s="135"/>
      <c r="V2704" s="135"/>
      <c r="W2704" s="135"/>
      <c r="X2704" s="135"/>
      <c r="Y2704" s="135"/>
      <c r="Z2704" s="135"/>
    </row>
    <row r="2705" spans="1:26" ht="12.75">
      <c r="A2705" s="136" t="s">
        <v>15</v>
      </c>
      <c r="B2705" s="136" t="s">
        <v>7753</v>
      </c>
      <c r="C2705" s="136" t="s">
        <v>7798</v>
      </c>
      <c r="D2705" s="136" t="s">
        <v>139</v>
      </c>
      <c r="E2705" s="136" t="s">
        <v>594</v>
      </c>
      <c r="F2705" s="136">
        <v>65</v>
      </c>
      <c r="G2705" s="137">
        <f t="shared" si="10"/>
        <v>18</v>
      </c>
      <c r="H2705" s="137"/>
      <c r="I2705" s="137"/>
      <c r="J2705" s="135"/>
      <c r="K2705" s="135"/>
      <c r="L2705" s="135"/>
      <c r="M2705" s="135"/>
      <c r="N2705" s="135"/>
      <c r="O2705" s="135"/>
      <c r="P2705" s="135"/>
      <c r="Q2705" s="135"/>
      <c r="R2705" s="135"/>
      <c r="S2705" s="135"/>
      <c r="T2705" s="135"/>
      <c r="U2705" s="135"/>
      <c r="V2705" s="135"/>
      <c r="W2705" s="135"/>
      <c r="X2705" s="135"/>
      <c r="Y2705" s="135"/>
      <c r="Z2705" s="135"/>
    </row>
    <row r="2706" spans="1:26" ht="12.75">
      <c r="A2706" s="136" t="s">
        <v>15</v>
      </c>
      <c r="B2706" s="136" t="s">
        <v>7753</v>
      </c>
      <c r="C2706" s="136" t="s">
        <v>7798</v>
      </c>
      <c r="D2706" s="136"/>
      <c r="E2706" s="136" t="s">
        <v>7693</v>
      </c>
      <c r="F2706" s="136">
        <v>1458</v>
      </c>
      <c r="G2706" s="137">
        <f t="shared" si="10"/>
        <v>1</v>
      </c>
      <c r="H2706" s="137"/>
      <c r="I2706" s="137"/>
      <c r="J2706" s="135"/>
      <c r="K2706" s="135"/>
      <c r="L2706" s="135"/>
      <c r="M2706" s="135"/>
      <c r="N2706" s="135"/>
      <c r="O2706" s="135"/>
      <c r="P2706" s="135"/>
      <c r="Q2706" s="135"/>
      <c r="R2706" s="135"/>
      <c r="S2706" s="135"/>
      <c r="T2706" s="135"/>
      <c r="U2706" s="135"/>
      <c r="V2706" s="135"/>
      <c r="W2706" s="135"/>
      <c r="X2706" s="135"/>
      <c r="Y2706" s="135"/>
      <c r="Z2706" s="135"/>
    </row>
    <row r="2707" spans="1:26" ht="12.75">
      <c r="A2707" s="136" t="s">
        <v>15</v>
      </c>
      <c r="B2707" s="136" t="s">
        <v>7753</v>
      </c>
      <c r="C2707" s="136" t="s">
        <v>7800</v>
      </c>
      <c r="D2707" s="136" t="s">
        <v>7544</v>
      </c>
      <c r="E2707" s="136" t="s">
        <v>615</v>
      </c>
      <c r="F2707" s="136">
        <v>356</v>
      </c>
      <c r="G2707" s="137">
        <f t="shared" si="10"/>
        <v>4</v>
      </c>
      <c r="H2707" s="137"/>
      <c r="I2707" s="137"/>
      <c r="J2707" s="135"/>
      <c r="K2707" s="135"/>
      <c r="L2707" s="135"/>
      <c r="M2707" s="135"/>
      <c r="N2707" s="135"/>
      <c r="O2707" s="135"/>
      <c r="P2707" s="135"/>
      <c r="Q2707" s="135"/>
      <c r="R2707" s="135"/>
      <c r="S2707" s="135"/>
      <c r="T2707" s="135"/>
      <c r="U2707" s="135"/>
      <c r="V2707" s="135"/>
      <c r="W2707" s="135"/>
      <c r="X2707" s="135"/>
      <c r="Y2707" s="135"/>
      <c r="Z2707" s="135"/>
    </row>
    <row r="2708" spans="1:26" ht="12.75">
      <c r="A2708" s="136" t="s">
        <v>15</v>
      </c>
      <c r="B2708" s="136" t="s">
        <v>7753</v>
      </c>
      <c r="C2708" s="136" t="s">
        <v>7800</v>
      </c>
      <c r="D2708" s="136" t="s">
        <v>1656</v>
      </c>
      <c r="E2708" s="136" t="s">
        <v>615</v>
      </c>
      <c r="F2708" s="136">
        <v>285</v>
      </c>
      <c r="G2708" s="137">
        <f t="shared" si="10"/>
        <v>6</v>
      </c>
      <c r="H2708" s="137"/>
      <c r="I2708" s="137"/>
      <c r="J2708" s="135"/>
      <c r="K2708" s="135"/>
      <c r="L2708" s="135"/>
      <c r="M2708" s="135"/>
      <c r="N2708" s="135"/>
      <c r="O2708" s="135"/>
      <c r="P2708" s="135"/>
      <c r="Q2708" s="135"/>
      <c r="R2708" s="135"/>
      <c r="S2708" s="135"/>
      <c r="T2708" s="135"/>
      <c r="U2708" s="135"/>
      <c r="V2708" s="135"/>
      <c r="W2708" s="135"/>
      <c r="X2708" s="135"/>
      <c r="Y2708" s="135"/>
      <c r="Z2708" s="135"/>
    </row>
    <row r="2709" spans="1:26" ht="12.75">
      <c r="A2709" s="136" t="s">
        <v>15</v>
      </c>
      <c r="B2709" s="136" t="s">
        <v>7753</v>
      </c>
      <c r="C2709" s="136" t="s">
        <v>7800</v>
      </c>
      <c r="D2709" s="136" t="s">
        <v>139</v>
      </c>
      <c r="E2709" s="136" t="s">
        <v>594</v>
      </c>
      <c r="F2709" s="136">
        <v>275</v>
      </c>
      <c r="G2709" s="137">
        <f t="shared" si="10"/>
        <v>7</v>
      </c>
      <c r="H2709" s="137"/>
      <c r="I2709" s="137"/>
      <c r="J2709" s="135"/>
      <c r="K2709" s="135"/>
      <c r="L2709" s="135"/>
      <c r="M2709" s="135"/>
      <c r="N2709" s="135"/>
      <c r="O2709" s="135"/>
      <c r="P2709" s="135"/>
      <c r="Q2709" s="135"/>
      <c r="R2709" s="135"/>
      <c r="S2709" s="135"/>
      <c r="T2709" s="135"/>
      <c r="U2709" s="135"/>
      <c r="V2709" s="135"/>
      <c r="W2709" s="135"/>
      <c r="X2709" s="135"/>
      <c r="Y2709" s="135"/>
      <c r="Z2709" s="135"/>
    </row>
    <row r="2710" spans="1:26" ht="12.75">
      <c r="A2710" s="136" t="s">
        <v>15</v>
      </c>
      <c r="B2710" s="136" t="s">
        <v>7753</v>
      </c>
      <c r="C2710" s="136" t="s">
        <v>7800</v>
      </c>
      <c r="D2710" s="136" t="s">
        <v>7721</v>
      </c>
      <c r="E2710" s="136" t="s">
        <v>615</v>
      </c>
      <c r="F2710" s="136">
        <v>125</v>
      </c>
      <c r="G2710" s="137">
        <f t="shared" si="10"/>
        <v>9</v>
      </c>
      <c r="H2710" s="137"/>
      <c r="I2710" s="137"/>
      <c r="J2710" s="135"/>
      <c r="K2710" s="135"/>
      <c r="L2710" s="135"/>
      <c r="M2710" s="135"/>
      <c r="N2710" s="135"/>
      <c r="O2710" s="135"/>
      <c r="P2710" s="135"/>
      <c r="Q2710" s="135"/>
      <c r="R2710" s="135"/>
      <c r="S2710" s="135"/>
      <c r="T2710" s="135"/>
      <c r="U2710" s="135"/>
      <c r="V2710" s="135"/>
      <c r="W2710" s="135"/>
      <c r="X2710" s="135"/>
      <c r="Y2710" s="135"/>
      <c r="Z2710" s="135"/>
    </row>
    <row r="2711" spans="1:26" ht="12.75">
      <c r="A2711" s="136" t="s">
        <v>15</v>
      </c>
      <c r="B2711" s="136" t="s">
        <v>7753</v>
      </c>
      <c r="C2711" s="136" t="s">
        <v>7800</v>
      </c>
      <c r="D2711" s="136" t="s">
        <v>1669</v>
      </c>
      <c r="E2711" s="136" t="s">
        <v>615</v>
      </c>
      <c r="F2711" s="136">
        <v>120</v>
      </c>
      <c r="G2711" s="137">
        <f t="shared" si="10"/>
        <v>10</v>
      </c>
      <c r="H2711" s="137"/>
      <c r="I2711" s="137"/>
      <c r="J2711" s="135"/>
      <c r="K2711" s="135"/>
      <c r="L2711" s="135"/>
      <c r="M2711" s="135"/>
      <c r="N2711" s="135"/>
      <c r="O2711" s="135"/>
      <c r="P2711" s="135"/>
      <c r="Q2711" s="135"/>
      <c r="R2711" s="135"/>
      <c r="S2711" s="135"/>
      <c r="T2711" s="135"/>
      <c r="U2711" s="135"/>
      <c r="V2711" s="135"/>
      <c r="W2711" s="135"/>
      <c r="X2711" s="135"/>
      <c r="Y2711" s="135"/>
      <c r="Z2711" s="135"/>
    </row>
    <row r="2712" spans="1:26" ht="12.75">
      <c r="A2712" s="136" t="s">
        <v>15</v>
      </c>
      <c r="B2712" s="136" t="s">
        <v>7753</v>
      </c>
      <c r="C2712" s="136" t="s">
        <v>7800</v>
      </c>
      <c r="D2712" s="136" t="s">
        <v>7801</v>
      </c>
      <c r="E2712" s="136" t="s">
        <v>615</v>
      </c>
      <c r="F2712" s="136">
        <v>115</v>
      </c>
      <c r="G2712" s="137">
        <f t="shared" si="10"/>
        <v>11</v>
      </c>
      <c r="H2712" s="137"/>
      <c r="I2712" s="137"/>
      <c r="J2712" s="135"/>
      <c r="K2712" s="135"/>
      <c r="L2712" s="135"/>
      <c r="M2712" s="135"/>
      <c r="N2712" s="135"/>
      <c r="O2712" s="135"/>
      <c r="P2712" s="135"/>
      <c r="Q2712" s="135"/>
      <c r="R2712" s="135"/>
      <c r="S2712" s="135"/>
      <c r="T2712" s="135"/>
      <c r="U2712" s="135"/>
      <c r="V2712" s="135"/>
      <c r="W2712" s="135"/>
      <c r="X2712" s="135"/>
      <c r="Y2712" s="135"/>
      <c r="Z2712" s="135"/>
    </row>
    <row r="2713" spans="1:26" ht="12.75">
      <c r="A2713" s="136" t="s">
        <v>15</v>
      </c>
      <c r="B2713" s="136" t="s">
        <v>7753</v>
      </c>
      <c r="C2713" s="136" t="s">
        <v>7800</v>
      </c>
      <c r="D2713" s="136" t="s">
        <v>165</v>
      </c>
      <c r="E2713" s="136" t="s">
        <v>615</v>
      </c>
      <c r="F2713" s="136">
        <v>108</v>
      </c>
      <c r="G2713" s="137">
        <f t="shared" si="10"/>
        <v>12</v>
      </c>
      <c r="H2713" s="137"/>
      <c r="I2713" s="137"/>
      <c r="J2713" s="135"/>
      <c r="K2713" s="135"/>
      <c r="L2713" s="135"/>
      <c r="M2713" s="135"/>
      <c r="N2713" s="135"/>
      <c r="O2713" s="135"/>
      <c r="P2713" s="135"/>
      <c r="Q2713" s="135"/>
      <c r="R2713" s="135"/>
      <c r="S2713" s="135"/>
      <c r="T2713" s="135"/>
      <c r="U2713" s="135"/>
      <c r="V2713" s="135"/>
      <c r="W2713" s="135"/>
      <c r="X2713" s="135"/>
      <c r="Y2713" s="135"/>
      <c r="Z2713" s="135"/>
    </row>
    <row r="2714" spans="1:26" ht="12.75">
      <c r="A2714" s="136" t="s">
        <v>15</v>
      </c>
      <c r="B2714" s="136" t="s">
        <v>7753</v>
      </c>
      <c r="C2714" s="136" t="s">
        <v>7800</v>
      </c>
      <c r="D2714" s="136" t="s">
        <v>368</v>
      </c>
      <c r="E2714" s="136" t="s">
        <v>594</v>
      </c>
      <c r="F2714" s="136">
        <v>95</v>
      </c>
      <c r="G2714" s="137">
        <f t="shared" si="10"/>
        <v>13</v>
      </c>
      <c r="H2714" s="137"/>
      <c r="I2714" s="137"/>
      <c r="J2714" s="135"/>
      <c r="K2714" s="135"/>
      <c r="L2714" s="135"/>
      <c r="M2714" s="135"/>
      <c r="N2714" s="135"/>
      <c r="O2714" s="135"/>
      <c r="P2714" s="135"/>
      <c r="Q2714" s="135"/>
      <c r="R2714" s="135"/>
      <c r="S2714" s="135"/>
      <c r="T2714" s="135"/>
      <c r="U2714" s="135"/>
      <c r="V2714" s="135"/>
      <c r="W2714" s="135"/>
      <c r="X2714" s="135"/>
      <c r="Y2714" s="135"/>
      <c r="Z2714" s="135"/>
    </row>
    <row r="2715" spans="1:26" ht="12.75">
      <c r="A2715" s="136" t="s">
        <v>15</v>
      </c>
      <c r="B2715" s="136" t="s">
        <v>7753</v>
      </c>
      <c r="C2715" s="136" t="s">
        <v>7800</v>
      </c>
      <c r="D2715" s="136" t="s">
        <v>7491</v>
      </c>
      <c r="E2715" s="136" t="s">
        <v>615</v>
      </c>
      <c r="F2715" s="136">
        <v>78</v>
      </c>
      <c r="G2715" s="137">
        <f t="shared" si="10"/>
        <v>14</v>
      </c>
      <c r="H2715" s="137"/>
      <c r="I2715" s="137"/>
      <c r="J2715" s="135"/>
      <c r="K2715" s="135"/>
      <c r="L2715" s="135"/>
      <c r="M2715" s="135"/>
      <c r="N2715" s="135"/>
      <c r="O2715" s="135"/>
      <c r="P2715" s="135"/>
      <c r="Q2715" s="135"/>
      <c r="R2715" s="135"/>
      <c r="S2715" s="135"/>
      <c r="T2715" s="135"/>
      <c r="U2715" s="135"/>
      <c r="V2715" s="135"/>
      <c r="W2715" s="135"/>
      <c r="X2715" s="135"/>
      <c r="Y2715" s="135"/>
      <c r="Z2715" s="135"/>
    </row>
    <row r="2716" spans="1:26" ht="12.75">
      <c r="A2716" s="136" t="s">
        <v>15</v>
      </c>
      <c r="B2716" s="136" t="s">
        <v>7753</v>
      </c>
      <c r="C2716" s="136" t="s">
        <v>7800</v>
      </c>
      <c r="D2716" s="136" t="s">
        <v>1626</v>
      </c>
      <c r="E2716" s="136" t="s">
        <v>594</v>
      </c>
      <c r="F2716" s="136">
        <v>67</v>
      </c>
      <c r="G2716" s="137">
        <f t="shared" si="10"/>
        <v>16</v>
      </c>
      <c r="H2716" s="137"/>
      <c r="I2716" s="137"/>
      <c r="J2716" s="135"/>
      <c r="K2716" s="135"/>
      <c r="L2716" s="135"/>
      <c r="M2716" s="135"/>
      <c r="N2716" s="135"/>
      <c r="O2716" s="135"/>
      <c r="P2716" s="135"/>
      <c r="Q2716" s="135"/>
      <c r="R2716" s="135"/>
      <c r="S2716" s="135"/>
      <c r="T2716" s="135"/>
      <c r="U2716" s="135"/>
      <c r="V2716" s="135"/>
      <c r="W2716" s="135"/>
      <c r="X2716" s="135"/>
      <c r="Y2716" s="135"/>
      <c r="Z2716" s="135"/>
    </row>
    <row r="2717" spans="1:26" ht="12.75">
      <c r="A2717" s="136" t="s">
        <v>15</v>
      </c>
      <c r="B2717" s="136" t="s">
        <v>7753</v>
      </c>
      <c r="C2717" s="136" t="s">
        <v>7800</v>
      </c>
      <c r="D2717" s="136"/>
      <c r="E2717" s="136" t="s">
        <v>7693</v>
      </c>
      <c r="F2717" s="136">
        <v>1624</v>
      </c>
      <c r="G2717" s="137">
        <f t="shared" si="10"/>
        <v>1</v>
      </c>
      <c r="H2717" s="137"/>
      <c r="I2717" s="137"/>
      <c r="J2717" s="135"/>
      <c r="K2717" s="135"/>
      <c r="L2717" s="135"/>
      <c r="M2717" s="135"/>
      <c r="N2717" s="135"/>
      <c r="O2717" s="135"/>
      <c r="P2717" s="135"/>
      <c r="Q2717" s="135"/>
      <c r="R2717" s="135"/>
      <c r="S2717" s="135"/>
      <c r="T2717" s="135"/>
      <c r="U2717" s="135"/>
      <c r="V2717" s="135"/>
      <c r="W2717" s="135"/>
      <c r="X2717" s="135"/>
      <c r="Y2717" s="135"/>
      <c r="Z2717" s="135"/>
    </row>
    <row r="2718" spans="1:26" ht="12.75">
      <c r="A2718" s="136" t="s">
        <v>15</v>
      </c>
      <c r="B2718" s="136" t="s">
        <v>7753</v>
      </c>
      <c r="C2718" s="136" t="s">
        <v>7802</v>
      </c>
      <c r="D2718" s="136" t="s">
        <v>7772</v>
      </c>
      <c r="E2718" s="136" t="s">
        <v>615</v>
      </c>
      <c r="F2718" s="136">
        <v>385</v>
      </c>
      <c r="G2718" s="137">
        <f t="shared" si="10"/>
        <v>4</v>
      </c>
      <c r="H2718" s="137"/>
      <c r="I2718" s="137"/>
      <c r="J2718" s="135"/>
      <c r="K2718" s="135"/>
      <c r="L2718" s="135"/>
      <c r="M2718" s="135"/>
      <c r="N2718" s="135"/>
      <c r="O2718" s="135"/>
      <c r="P2718" s="135"/>
      <c r="Q2718" s="135"/>
      <c r="R2718" s="135"/>
      <c r="S2718" s="135"/>
      <c r="T2718" s="135"/>
      <c r="U2718" s="135"/>
      <c r="V2718" s="135"/>
      <c r="W2718" s="135"/>
      <c r="X2718" s="135"/>
      <c r="Y2718" s="135"/>
      <c r="Z2718" s="135"/>
    </row>
    <row r="2719" spans="1:26" ht="12.75">
      <c r="A2719" s="136" t="s">
        <v>15</v>
      </c>
      <c r="B2719" s="136" t="s">
        <v>7753</v>
      </c>
      <c r="C2719" s="136" t="s">
        <v>7802</v>
      </c>
      <c r="D2719" s="136" t="s">
        <v>1672</v>
      </c>
      <c r="E2719" s="136" t="s">
        <v>615</v>
      </c>
      <c r="F2719" s="136">
        <v>265</v>
      </c>
      <c r="G2719" s="137">
        <f t="shared" si="10"/>
        <v>5</v>
      </c>
      <c r="H2719" s="137"/>
      <c r="I2719" s="137"/>
      <c r="J2719" s="135"/>
      <c r="K2719" s="135"/>
      <c r="L2719" s="135"/>
      <c r="M2719" s="135"/>
      <c r="N2719" s="135"/>
      <c r="O2719" s="135"/>
      <c r="P2719" s="135"/>
      <c r="Q2719" s="135"/>
      <c r="R2719" s="135"/>
      <c r="S2719" s="135"/>
      <c r="T2719" s="135"/>
      <c r="U2719" s="135"/>
      <c r="V2719" s="135"/>
      <c r="W2719" s="135"/>
      <c r="X2719" s="135"/>
      <c r="Y2719" s="135"/>
      <c r="Z2719" s="135"/>
    </row>
    <row r="2720" spans="1:26" ht="12.75">
      <c r="A2720" s="136" t="s">
        <v>15</v>
      </c>
      <c r="B2720" s="136" t="s">
        <v>7753</v>
      </c>
      <c r="C2720" s="136" t="s">
        <v>7802</v>
      </c>
      <c r="D2720" s="136" t="s">
        <v>7544</v>
      </c>
      <c r="E2720" s="136" t="s">
        <v>615</v>
      </c>
      <c r="F2720" s="136">
        <v>261</v>
      </c>
      <c r="G2720" s="137">
        <f t="shared" si="10"/>
        <v>6</v>
      </c>
      <c r="H2720" s="137"/>
      <c r="I2720" s="137"/>
      <c r="J2720" s="135"/>
      <c r="K2720" s="135"/>
      <c r="L2720" s="135"/>
      <c r="M2720" s="135"/>
      <c r="N2720" s="135"/>
      <c r="O2720" s="135"/>
      <c r="P2720" s="135"/>
      <c r="Q2720" s="135"/>
      <c r="R2720" s="135"/>
      <c r="S2720" s="135"/>
      <c r="T2720" s="135"/>
      <c r="U2720" s="135"/>
      <c r="V2720" s="135"/>
      <c r="W2720" s="135"/>
      <c r="X2720" s="135"/>
      <c r="Y2720" s="135"/>
      <c r="Z2720" s="135"/>
    </row>
    <row r="2721" spans="1:26" ht="12.75">
      <c r="A2721" s="136" t="s">
        <v>15</v>
      </c>
      <c r="B2721" s="136" t="s">
        <v>7753</v>
      </c>
      <c r="C2721" s="136" t="s">
        <v>7802</v>
      </c>
      <c r="D2721" s="136" t="s">
        <v>7803</v>
      </c>
      <c r="E2721" s="136" t="s">
        <v>615</v>
      </c>
      <c r="F2721" s="136">
        <v>200</v>
      </c>
      <c r="G2721" s="137">
        <f t="shared" si="10"/>
        <v>8</v>
      </c>
      <c r="H2721" s="137"/>
      <c r="I2721" s="137"/>
      <c r="J2721" s="135"/>
      <c r="K2721" s="135"/>
      <c r="L2721" s="135"/>
      <c r="M2721" s="135"/>
      <c r="N2721" s="135"/>
      <c r="O2721" s="135"/>
      <c r="P2721" s="135"/>
      <c r="Q2721" s="135"/>
      <c r="R2721" s="135"/>
      <c r="S2721" s="135"/>
      <c r="T2721" s="135"/>
      <c r="U2721" s="135"/>
      <c r="V2721" s="135"/>
      <c r="W2721" s="135"/>
      <c r="X2721" s="135"/>
      <c r="Y2721" s="135"/>
      <c r="Z2721" s="135"/>
    </row>
    <row r="2722" spans="1:26" ht="12.75">
      <c r="A2722" s="136" t="s">
        <v>15</v>
      </c>
      <c r="B2722" s="136" t="s">
        <v>7753</v>
      </c>
      <c r="C2722" s="136" t="s">
        <v>7802</v>
      </c>
      <c r="D2722" s="136" t="s">
        <v>7491</v>
      </c>
      <c r="E2722" s="136" t="s">
        <v>615</v>
      </c>
      <c r="F2722" s="136">
        <v>158</v>
      </c>
      <c r="G2722" s="137">
        <f t="shared" si="10"/>
        <v>10</v>
      </c>
      <c r="H2722" s="137"/>
      <c r="I2722" s="137"/>
      <c r="J2722" s="135"/>
      <c r="K2722" s="135"/>
      <c r="L2722" s="135"/>
      <c r="M2722" s="135"/>
      <c r="N2722" s="135"/>
      <c r="O2722" s="135"/>
      <c r="P2722" s="135"/>
      <c r="Q2722" s="135"/>
      <c r="R2722" s="135"/>
      <c r="S2722" s="135"/>
      <c r="T2722" s="135"/>
      <c r="U2722" s="135"/>
      <c r="V2722" s="135"/>
      <c r="W2722" s="135"/>
      <c r="X2722" s="135"/>
      <c r="Y2722" s="135"/>
      <c r="Z2722" s="135"/>
    </row>
    <row r="2723" spans="1:26" ht="12.75">
      <c r="A2723" s="136" t="s">
        <v>15</v>
      </c>
      <c r="B2723" s="136" t="s">
        <v>7753</v>
      </c>
      <c r="C2723" s="136" t="s">
        <v>7802</v>
      </c>
      <c r="D2723" s="136" t="s">
        <v>139</v>
      </c>
      <c r="E2723" s="136" t="s">
        <v>594</v>
      </c>
      <c r="F2723" s="136">
        <v>133</v>
      </c>
      <c r="G2723" s="137">
        <f t="shared" si="10"/>
        <v>11</v>
      </c>
      <c r="H2723" s="137"/>
      <c r="I2723" s="137"/>
      <c r="J2723" s="135"/>
      <c r="K2723" s="135"/>
      <c r="L2723" s="135"/>
      <c r="M2723" s="135"/>
      <c r="N2723" s="135"/>
      <c r="O2723" s="135"/>
      <c r="P2723" s="135"/>
      <c r="Q2723" s="135"/>
      <c r="R2723" s="135"/>
      <c r="S2723" s="135"/>
      <c r="T2723" s="135"/>
      <c r="U2723" s="135"/>
      <c r="V2723" s="135"/>
      <c r="W2723" s="135"/>
      <c r="X2723" s="135"/>
      <c r="Y2723" s="135"/>
      <c r="Z2723" s="135"/>
    </row>
    <row r="2724" spans="1:26" ht="12.75">
      <c r="A2724" s="136" t="s">
        <v>15</v>
      </c>
      <c r="B2724" s="136" t="s">
        <v>7753</v>
      </c>
      <c r="C2724" s="136" t="s">
        <v>7802</v>
      </c>
      <c r="D2724" s="136" t="s">
        <v>1656</v>
      </c>
      <c r="E2724" s="136" t="s">
        <v>615</v>
      </c>
      <c r="F2724" s="136">
        <v>128</v>
      </c>
      <c r="G2724" s="137">
        <f t="shared" si="10"/>
        <v>12</v>
      </c>
      <c r="H2724" s="137"/>
      <c r="I2724" s="137"/>
      <c r="J2724" s="135"/>
      <c r="K2724" s="135"/>
      <c r="L2724" s="135"/>
      <c r="M2724" s="135"/>
      <c r="N2724" s="135"/>
      <c r="O2724" s="135"/>
      <c r="P2724" s="135"/>
      <c r="Q2724" s="135"/>
      <c r="R2724" s="135"/>
      <c r="S2724" s="135"/>
      <c r="T2724" s="135"/>
      <c r="U2724" s="135"/>
      <c r="V2724" s="135"/>
      <c r="W2724" s="135"/>
      <c r="X2724" s="135"/>
      <c r="Y2724" s="135"/>
      <c r="Z2724" s="135"/>
    </row>
    <row r="2725" spans="1:26" ht="12.75">
      <c r="A2725" s="136" t="s">
        <v>15</v>
      </c>
      <c r="B2725" s="136" t="s">
        <v>7753</v>
      </c>
      <c r="C2725" s="136" t="s">
        <v>7802</v>
      </c>
      <c r="D2725" s="136" t="s">
        <v>7762</v>
      </c>
      <c r="E2725" s="136" t="s">
        <v>615</v>
      </c>
      <c r="F2725" s="136">
        <v>125</v>
      </c>
      <c r="G2725" s="137">
        <f t="shared" si="10"/>
        <v>13</v>
      </c>
      <c r="H2725" s="137"/>
      <c r="I2725" s="137"/>
      <c r="J2725" s="135"/>
      <c r="K2725" s="135"/>
      <c r="L2725" s="135"/>
      <c r="M2725" s="135"/>
      <c r="N2725" s="135"/>
      <c r="O2725" s="135"/>
      <c r="P2725" s="135"/>
      <c r="Q2725" s="135"/>
      <c r="R2725" s="135"/>
      <c r="S2725" s="135"/>
      <c r="T2725" s="135"/>
      <c r="U2725" s="135"/>
      <c r="V2725" s="135"/>
      <c r="W2725" s="135"/>
      <c r="X2725" s="135"/>
      <c r="Y2725" s="135"/>
      <c r="Z2725" s="135"/>
    </row>
    <row r="2726" spans="1:26" ht="12.75">
      <c r="A2726" s="136" t="s">
        <v>15</v>
      </c>
      <c r="B2726" s="136" t="s">
        <v>7753</v>
      </c>
      <c r="C2726" s="136" t="s">
        <v>7802</v>
      </c>
      <c r="D2726" s="136"/>
      <c r="E2726" s="136" t="s">
        <v>7693</v>
      </c>
      <c r="F2726" s="136">
        <v>1270</v>
      </c>
      <c r="G2726" s="137">
        <f t="shared" si="10"/>
        <v>1</v>
      </c>
      <c r="H2726" s="137"/>
      <c r="I2726" s="137"/>
      <c r="J2726" s="135"/>
      <c r="K2726" s="135"/>
      <c r="L2726" s="135"/>
      <c r="M2726" s="135"/>
      <c r="N2726" s="135"/>
      <c r="O2726" s="135"/>
      <c r="P2726" s="135"/>
      <c r="Q2726" s="135"/>
      <c r="R2726" s="135"/>
      <c r="S2726" s="135"/>
      <c r="T2726" s="135"/>
      <c r="U2726" s="135"/>
      <c r="V2726" s="135"/>
      <c r="W2726" s="135"/>
      <c r="X2726" s="135"/>
      <c r="Y2726" s="135"/>
      <c r="Z2726" s="135"/>
    </row>
    <row r="2727" spans="1:26" ht="12.75">
      <c r="A2727" s="136" t="s">
        <v>15</v>
      </c>
      <c r="B2727" s="136" t="s">
        <v>7753</v>
      </c>
      <c r="C2727" s="136" t="s">
        <v>7804</v>
      </c>
      <c r="D2727" s="136" t="s">
        <v>7544</v>
      </c>
      <c r="E2727" s="136" t="s">
        <v>615</v>
      </c>
      <c r="F2727" s="136">
        <v>755</v>
      </c>
      <c r="G2727" s="137">
        <f t="shared" si="10"/>
        <v>3</v>
      </c>
      <c r="H2727" s="137"/>
      <c r="I2727" s="137"/>
      <c r="J2727" s="135"/>
      <c r="K2727" s="135"/>
      <c r="L2727" s="135"/>
      <c r="M2727" s="135"/>
      <c r="N2727" s="135"/>
      <c r="O2727" s="135"/>
      <c r="P2727" s="135"/>
      <c r="Q2727" s="135"/>
      <c r="R2727" s="135"/>
      <c r="S2727" s="135"/>
      <c r="T2727" s="135"/>
      <c r="U2727" s="135"/>
      <c r="V2727" s="135"/>
      <c r="W2727" s="135"/>
      <c r="X2727" s="135"/>
      <c r="Y2727" s="135"/>
      <c r="Z2727" s="135"/>
    </row>
    <row r="2728" spans="1:26" ht="12.75">
      <c r="A2728" s="136" t="s">
        <v>15</v>
      </c>
      <c r="B2728" s="136" t="s">
        <v>7753</v>
      </c>
      <c r="C2728" s="136" t="s">
        <v>7804</v>
      </c>
      <c r="D2728" s="136" t="s">
        <v>165</v>
      </c>
      <c r="E2728" s="136" t="s">
        <v>615</v>
      </c>
      <c r="F2728" s="136">
        <v>345</v>
      </c>
      <c r="G2728" s="137">
        <f t="shared" si="10"/>
        <v>6</v>
      </c>
      <c r="H2728" s="137"/>
      <c r="I2728" s="137"/>
      <c r="J2728" s="135"/>
      <c r="K2728" s="135"/>
      <c r="L2728" s="135"/>
      <c r="M2728" s="135"/>
      <c r="N2728" s="135"/>
      <c r="O2728" s="135"/>
      <c r="P2728" s="135"/>
      <c r="Q2728" s="135"/>
      <c r="R2728" s="135"/>
      <c r="S2728" s="135"/>
      <c r="T2728" s="135"/>
      <c r="U2728" s="135"/>
      <c r="V2728" s="135"/>
      <c r="W2728" s="135"/>
      <c r="X2728" s="135"/>
      <c r="Y2728" s="135"/>
      <c r="Z2728" s="135"/>
    </row>
    <row r="2729" spans="1:26" ht="12.75">
      <c r="A2729" s="136" t="s">
        <v>15</v>
      </c>
      <c r="B2729" s="136" t="s">
        <v>7753</v>
      </c>
      <c r="C2729" s="136" t="s">
        <v>7804</v>
      </c>
      <c r="D2729" s="136" t="s">
        <v>1665</v>
      </c>
      <c r="E2729" s="136" t="s">
        <v>615</v>
      </c>
      <c r="F2729" s="136">
        <v>112</v>
      </c>
      <c r="G2729" s="137">
        <f t="shared" si="10"/>
        <v>8</v>
      </c>
      <c r="H2729" s="137"/>
      <c r="I2729" s="137"/>
      <c r="J2729" s="135"/>
      <c r="K2729" s="135"/>
      <c r="L2729" s="135"/>
      <c r="M2729" s="135"/>
      <c r="N2729" s="135"/>
      <c r="O2729" s="135"/>
      <c r="P2729" s="135"/>
      <c r="Q2729" s="135"/>
      <c r="R2729" s="135"/>
      <c r="S2729" s="135"/>
      <c r="T2729" s="135"/>
      <c r="U2729" s="135"/>
      <c r="V2729" s="135"/>
      <c r="W2729" s="135"/>
      <c r="X2729" s="135"/>
      <c r="Y2729" s="135"/>
      <c r="Z2729" s="135"/>
    </row>
    <row r="2730" spans="1:26" ht="12.75">
      <c r="A2730" s="136" t="s">
        <v>15</v>
      </c>
      <c r="B2730" s="136" t="s">
        <v>7753</v>
      </c>
      <c r="C2730" s="136" t="s">
        <v>7804</v>
      </c>
      <c r="D2730" s="136" t="s">
        <v>1656</v>
      </c>
      <c r="E2730" s="136" t="s">
        <v>615</v>
      </c>
      <c r="F2730" s="136">
        <v>65</v>
      </c>
      <c r="G2730" s="137">
        <f t="shared" si="10"/>
        <v>11</v>
      </c>
      <c r="H2730" s="137"/>
      <c r="I2730" s="137"/>
      <c r="J2730" s="135"/>
      <c r="K2730" s="135"/>
      <c r="L2730" s="135"/>
      <c r="M2730" s="135"/>
      <c r="N2730" s="135"/>
      <c r="O2730" s="135"/>
      <c r="P2730" s="135"/>
      <c r="Q2730" s="135"/>
      <c r="R2730" s="135"/>
      <c r="S2730" s="135"/>
      <c r="T2730" s="135"/>
      <c r="U2730" s="135"/>
      <c r="V2730" s="135"/>
      <c r="W2730" s="135"/>
      <c r="X2730" s="135"/>
      <c r="Y2730" s="135"/>
      <c r="Z2730" s="135"/>
    </row>
    <row r="2731" spans="1:26" ht="12.75">
      <c r="A2731" s="136" t="s">
        <v>15</v>
      </c>
      <c r="B2731" s="136" t="s">
        <v>7753</v>
      </c>
      <c r="C2731" s="136" t="s">
        <v>7804</v>
      </c>
      <c r="D2731" s="136" t="s">
        <v>368</v>
      </c>
      <c r="E2731" s="136" t="s">
        <v>594</v>
      </c>
      <c r="F2731" s="136">
        <v>65</v>
      </c>
      <c r="G2731" s="137">
        <f t="shared" si="10"/>
        <v>12</v>
      </c>
      <c r="H2731" s="137"/>
      <c r="I2731" s="137"/>
      <c r="J2731" s="135"/>
      <c r="K2731" s="135"/>
      <c r="L2731" s="135"/>
      <c r="M2731" s="135"/>
      <c r="N2731" s="135"/>
      <c r="O2731" s="135"/>
      <c r="P2731" s="135"/>
      <c r="Q2731" s="135"/>
      <c r="R2731" s="135"/>
      <c r="S2731" s="135"/>
      <c r="T2731" s="135"/>
      <c r="U2731" s="135"/>
      <c r="V2731" s="135"/>
      <c r="W2731" s="135"/>
      <c r="X2731" s="135"/>
      <c r="Y2731" s="135"/>
      <c r="Z2731" s="135"/>
    </row>
    <row r="2732" spans="1:26" ht="12.75">
      <c r="A2732" s="136" t="s">
        <v>15</v>
      </c>
      <c r="B2732" s="136" t="s">
        <v>7753</v>
      </c>
      <c r="C2732" s="136" t="s">
        <v>7804</v>
      </c>
      <c r="D2732" s="136" t="s">
        <v>7491</v>
      </c>
      <c r="E2732" s="136" t="s">
        <v>615</v>
      </c>
      <c r="F2732" s="136">
        <v>65</v>
      </c>
      <c r="G2732" s="137">
        <f t="shared" si="10"/>
        <v>13</v>
      </c>
      <c r="H2732" s="137"/>
      <c r="I2732" s="137"/>
      <c r="J2732" s="135"/>
      <c r="K2732" s="135"/>
      <c r="L2732" s="135"/>
      <c r="M2732" s="135"/>
      <c r="N2732" s="135"/>
      <c r="O2732" s="135"/>
      <c r="P2732" s="135"/>
      <c r="Q2732" s="135"/>
      <c r="R2732" s="135"/>
      <c r="S2732" s="135"/>
      <c r="T2732" s="135"/>
      <c r="U2732" s="135"/>
      <c r="V2732" s="135"/>
      <c r="W2732" s="135"/>
      <c r="X2732" s="135"/>
      <c r="Y2732" s="135"/>
      <c r="Z2732" s="135"/>
    </row>
    <row r="2733" spans="1:26" ht="12.75">
      <c r="A2733" s="136" t="s">
        <v>15</v>
      </c>
      <c r="B2733" s="136" t="s">
        <v>7753</v>
      </c>
      <c r="C2733" s="136" t="s">
        <v>7804</v>
      </c>
      <c r="D2733" s="136"/>
      <c r="E2733" s="136" t="s">
        <v>7693</v>
      </c>
      <c r="F2733" s="136">
        <v>1407</v>
      </c>
      <c r="G2733" s="137">
        <f t="shared" si="10"/>
        <v>2</v>
      </c>
      <c r="H2733" s="137"/>
      <c r="I2733" s="137"/>
      <c r="J2733" s="135"/>
      <c r="K2733" s="135"/>
      <c r="L2733" s="135"/>
      <c r="M2733" s="135"/>
      <c r="N2733" s="135"/>
      <c r="O2733" s="135"/>
      <c r="P2733" s="135"/>
      <c r="Q2733" s="135"/>
      <c r="R2733" s="135"/>
      <c r="S2733" s="135"/>
      <c r="T2733" s="135"/>
      <c r="U2733" s="135"/>
      <c r="V2733" s="135"/>
      <c r="W2733" s="135"/>
      <c r="X2733" s="135"/>
      <c r="Y2733" s="135"/>
      <c r="Z2733" s="135"/>
    </row>
    <row r="2734" spans="1:26" ht="12.75">
      <c r="A2734" s="136" t="s">
        <v>15</v>
      </c>
      <c r="B2734" s="136" t="s">
        <v>7805</v>
      </c>
      <c r="C2734" s="136" t="s">
        <v>7806</v>
      </c>
      <c r="D2734" s="136" t="s">
        <v>1669</v>
      </c>
      <c r="E2734" s="136" t="s">
        <v>615</v>
      </c>
      <c r="F2734" s="136">
        <v>450</v>
      </c>
      <c r="G2734" s="137">
        <f t="shared" si="10"/>
        <v>4</v>
      </c>
      <c r="H2734" s="137"/>
      <c r="I2734" s="137"/>
      <c r="J2734" s="135"/>
      <c r="K2734" s="135"/>
      <c r="L2734" s="135"/>
      <c r="M2734" s="135"/>
      <c r="N2734" s="135"/>
      <c r="O2734" s="135"/>
      <c r="P2734" s="135"/>
      <c r="Q2734" s="135"/>
      <c r="R2734" s="135"/>
      <c r="S2734" s="135"/>
      <c r="T2734" s="135"/>
      <c r="U2734" s="135"/>
      <c r="V2734" s="135"/>
      <c r="W2734" s="135"/>
      <c r="X2734" s="135"/>
      <c r="Y2734" s="135"/>
      <c r="Z2734" s="135"/>
    </row>
    <row r="2735" spans="1:26" ht="12.75">
      <c r="A2735" s="136" t="s">
        <v>15</v>
      </c>
      <c r="B2735" s="136" t="s">
        <v>7805</v>
      </c>
      <c r="C2735" s="136" t="s">
        <v>7806</v>
      </c>
      <c r="D2735" s="136" t="s">
        <v>1672</v>
      </c>
      <c r="E2735" s="136" t="s">
        <v>615</v>
      </c>
      <c r="F2735" s="136">
        <v>375</v>
      </c>
      <c r="G2735" s="137">
        <f t="shared" si="10"/>
        <v>5</v>
      </c>
      <c r="H2735" s="137"/>
      <c r="I2735" s="137"/>
      <c r="J2735" s="135"/>
      <c r="K2735" s="135"/>
      <c r="L2735" s="135"/>
      <c r="M2735" s="135"/>
      <c r="N2735" s="135"/>
      <c r="O2735" s="135"/>
      <c r="P2735" s="135"/>
      <c r="Q2735" s="135"/>
      <c r="R2735" s="135"/>
      <c r="S2735" s="135"/>
      <c r="T2735" s="135"/>
      <c r="U2735" s="135"/>
      <c r="V2735" s="135"/>
      <c r="W2735" s="135"/>
      <c r="X2735" s="135"/>
      <c r="Y2735" s="135"/>
      <c r="Z2735" s="135"/>
    </row>
    <row r="2736" spans="1:26" ht="12.75">
      <c r="A2736" s="136" t="s">
        <v>15</v>
      </c>
      <c r="B2736" s="136" t="s">
        <v>7805</v>
      </c>
      <c r="C2736" s="136" t="s">
        <v>7806</v>
      </c>
      <c r="D2736" s="136" t="s">
        <v>7772</v>
      </c>
      <c r="E2736" s="136" t="s">
        <v>615</v>
      </c>
      <c r="F2736" s="136">
        <v>205</v>
      </c>
      <c r="G2736" s="137">
        <f t="shared" si="10"/>
        <v>8</v>
      </c>
      <c r="H2736" s="137"/>
      <c r="I2736" s="137"/>
      <c r="J2736" s="135"/>
      <c r="K2736" s="135"/>
      <c r="L2736" s="135"/>
      <c r="M2736" s="135"/>
      <c r="N2736" s="135"/>
      <c r="O2736" s="135"/>
      <c r="P2736" s="135"/>
      <c r="Q2736" s="135"/>
      <c r="R2736" s="135"/>
      <c r="S2736" s="135"/>
      <c r="T2736" s="135"/>
      <c r="U2736" s="135"/>
      <c r="V2736" s="135"/>
      <c r="W2736" s="135"/>
      <c r="X2736" s="135"/>
      <c r="Y2736" s="135"/>
      <c r="Z2736" s="135"/>
    </row>
    <row r="2737" spans="1:26" ht="12.75">
      <c r="A2737" s="136" t="s">
        <v>15</v>
      </c>
      <c r="B2737" s="136" t="s">
        <v>7805</v>
      </c>
      <c r="C2737" s="136" t="s">
        <v>7806</v>
      </c>
      <c r="D2737" s="136" t="s">
        <v>7807</v>
      </c>
      <c r="E2737" s="136" t="s">
        <v>615</v>
      </c>
      <c r="F2737" s="136">
        <v>125</v>
      </c>
      <c r="G2737" s="137">
        <f t="shared" si="10"/>
        <v>9</v>
      </c>
      <c r="H2737" s="137"/>
      <c r="I2737" s="137"/>
      <c r="J2737" s="135"/>
      <c r="K2737" s="135"/>
      <c r="L2737" s="135"/>
      <c r="M2737" s="135"/>
      <c r="N2737" s="135"/>
      <c r="O2737" s="135"/>
      <c r="P2737" s="135"/>
      <c r="Q2737" s="135"/>
      <c r="R2737" s="135"/>
      <c r="S2737" s="135"/>
      <c r="T2737" s="135"/>
      <c r="U2737" s="135"/>
      <c r="V2737" s="135"/>
      <c r="W2737" s="135"/>
      <c r="X2737" s="135"/>
      <c r="Y2737" s="135"/>
      <c r="Z2737" s="135"/>
    </row>
    <row r="2738" spans="1:26" ht="12.75">
      <c r="A2738" s="136" t="s">
        <v>15</v>
      </c>
      <c r="B2738" s="136" t="s">
        <v>7805</v>
      </c>
      <c r="C2738" s="136" t="s">
        <v>7806</v>
      </c>
      <c r="D2738" s="136" t="s">
        <v>7760</v>
      </c>
      <c r="E2738" s="136" t="s">
        <v>615</v>
      </c>
      <c r="F2738" s="136">
        <v>125</v>
      </c>
      <c r="G2738" s="137">
        <f t="shared" si="10"/>
        <v>10</v>
      </c>
      <c r="H2738" s="137"/>
      <c r="I2738" s="137"/>
      <c r="J2738" s="135"/>
      <c r="K2738" s="135"/>
      <c r="L2738" s="135"/>
      <c r="M2738" s="135"/>
      <c r="N2738" s="135"/>
      <c r="O2738" s="135"/>
      <c r="P2738" s="135"/>
      <c r="Q2738" s="135"/>
      <c r="R2738" s="135"/>
      <c r="S2738" s="135"/>
      <c r="T2738" s="135"/>
      <c r="U2738" s="135"/>
      <c r="V2738" s="135"/>
      <c r="W2738" s="135"/>
      <c r="X2738" s="135"/>
      <c r="Y2738" s="135"/>
      <c r="Z2738" s="135"/>
    </row>
    <row r="2739" spans="1:26" ht="12.75">
      <c r="A2739" s="136" t="s">
        <v>15</v>
      </c>
      <c r="B2739" s="136" t="s">
        <v>7805</v>
      </c>
      <c r="C2739" s="136" t="s">
        <v>7806</v>
      </c>
      <c r="D2739" s="136" t="s">
        <v>7481</v>
      </c>
      <c r="E2739" s="136" t="s">
        <v>615</v>
      </c>
      <c r="F2739" s="136">
        <v>89</v>
      </c>
      <c r="G2739" s="137">
        <f t="shared" si="10"/>
        <v>14</v>
      </c>
      <c r="H2739" s="137"/>
      <c r="I2739" s="137"/>
      <c r="J2739" s="135"/>
      <c r="K2739" s="135"/>
      <c r="L2739" s="135"/>
      <c r="M2739" s="135"/>
      <c r="N2739" s="135"/>
      <c r="O2739" s="135"/>
      <c r="P2739" s="135"/>
      <c r="Q2739" s="135"/>
      <c r="R2739" s="135"/>
      <c r="S2739" s="135"/>
      <c r="T2739" s="135"/>
      <c r="U2739" s="135"/>
      <c r="V2739" s="135"/>
      <c r="W2739" s="135"/>
      <c r="X2739" s="135"/>
      <c r="Y2739" s="135"/>
      <c r="Z2739" s="135"/>
    </row>
    <row r="2740" spans="1:26" ht="12.75">
      <c r="A2740" s="136" t="s">
        <v>15</v>
      </c>
      <c r="B2740" s="136" t="s">
        <v>7805</v>
      </c>
      <c r="C2740" s="136" t="s">
        <v>7806</v>
      </c>
      <c r="D2740" s="136" t="s">
        <v>7808</v>
      </c>
      <c r="E2740" s="136" t="s">
        <v>594</v>
      </c>
      <c r="F2740" s="136">
        <v>75</v>
      </c>
      <c r="G2740" s="137">
        <f t="shared" si="10"/>
        <v>15</v>
      </c>
      <c r="H2740" s="137"/>
      <c r="I2740" s="137"/>
      <c r="J2740" s="135"/>
      <c r="K2740" s="135"/>
      <c r="L2740" s="135"/>
      <c r="M2740" s="135"/>
      <c r="N2740" s="135"/>
      <c r="O2740" s="135"/>
      <c r="P2740" s="135"/>
      <c r="Q2740" s="135"/>
      <c r="R2740" s="135"/>
      <c r="S2740" s="135"/>
      <c r="T2740" s="135"/>
      <c r="U2740" s="135"/>
      <c r="V2740" s="135"/>
      <c r="W2740" s="135"/>
      <c r="X2740" s="135"/>
      <c r="Y2740" s="135"/>
      <c r="Z2740" s="135"/>
    </row>
    <row r="2741" spans="1:26" ht="12.75">
      <c r="A2741" s="136" t="s">
        <v>15</v>
      </c>
      <c r="B2741" s="136" t="s">
        <v>7805</v>
      </c>
      <c r="C2741" s="136" t="s">
        <v>7806</v>
      </c>
      <c r="D2741" s="136" t="s">
        <v>7743</v>
      </c>
      <c r="E2741" s="136" t="s">
        <v>594</v>
      </c>
      <c r="F2741" s="136">
        <v>50</v>
      </c>
      <c r="G2741" s="137">
        <f t="shared" si="10"/>
        <v>17</v>
      </c>
      <c r="H2741" s="137"/>
      <c r="I2741" s="137"/>
      <c r="J2741" s="135"/>
      <c r="K2741" s="135"/>
      <c r="L2741" s="135"/>
      <c r="M2741" s="135"/>
      <c r="N2741" s="135"/>
      <c r="O2741" s="135"/>
      <c r="P2741" s="135"/>
      <c r="Q2741" s="135"/>
      <c r="R2741" s="135"/>
      <c r="S2741" s="135"/>
      <c r="T2741" s="135"/>
      <c r="U2741" s="135"/>
      <c r="V2741" s="135"/>
      <c r="W2741" s="135"/>
      <c r="X2741" s="135"/>
      <c r="Y2741" s="135"/>
      <c r="Z2741" s="135"/>
    </row>
    <row r="2742" spans="1:26" ht="12.75">
      <c r="A2742" s="136" t="s">
        <v>15</v>
      </c>
      <c r="B2742" s="136" t="s">
        <v>7805</v>
      </c>
      <c r="C2742" s="136" t="s">
        <v>7806</v>
      </c>
      <c r="D2742" s="136"/>
      <c r="E2742" s="136" t="s">
        <v>7693</v>
      </c>
      <c r="F2742" s="136">
        <v>1494</v>
      </c>
      <c r="G2742" s="137">
        <f t="shared" si="10"/>
        <v>2</v>
      </c>
      <c r="H2742" s="137"/>
      <c r="I2742" s="137"/>
      <c r="J2742" s="135"/>
      <c r="K2742" s="135"/>
      <c r="L2742" s="135"/>
      <c r="M2742" s="135"/>
      <c r="N2742" s="135"/>
      <c r="O2742" s="135"/>
      <c r="P2742" s="135"/>
      <c r="Q2742" s="135"/>
      <c r="R2742" s="135"/>
      <c r="S2742" s="135"/>
      <c r="T2742" s="135"/>
      <c r="U2742" s="135"/>
      <c r="V2742" s="135"/>
      <c r="W2742" s="135"/>
      <c r="X2742" s="135"/>
      <c r="Y2742" s="135"/>
      <c r="Z2742" s="135"/>
    </row>
    <row r="2743" spans="1:26" ht="12.75">
      <c r="A2743" s="136" t="s">
        <v>15</v>
      </c>
      <c r="B2743" s="136" t="s">
        <v>7809</v>
      </c>
      <c r="C2743" s="136" t="s">
        <v>7810</v>
      </c>
      <c r="D2743" s="136" t="s">
        <v>114</v>
      </c>
      <c r="E2743" s="136" t="s">
        <v>85</v>
      </c>
      <c r="F2743" s="136">
        <v>400</v>
      </c>
      <c r="G2743" s="137">
        <f t="shared" si="10"/>
        <v>1</v>
      </c>
      <c r="H2743" s="137"/>
      <c r="I2743" s="137"/>
      <c r="J2743" s="135"/>
      <c r="K2743" s="135"/>
      <c r="L2743" s="135"/>
      <c r="M2743" s="135"/>
      <c r="N2743" s="135"/>
      <c r="O2743" s="135"/>
      <c r="P2743" s="135"/>
      <c r="Q2743" s="135"/>
      <c r="R2743" s="135"/>
      <c r="S2743" s="135"/>
      <c r="T2743" s="135"/>
      <c r="U2743" s="135"/>
      <c r="V2743" s="135"/>
      <c r="W2743" s="135"/>
      <c r="X2743" s="135"/>
      <c r="Y2743" s="135"/>
      <c r="Z2743" s="135"/>
    </row>
    <row r="2744" spans="1:26" ht="12.75">
      <c r="A2744" s="136" t="s">
        <v>15</v>
      </c>
      <c r="B2744" s="136" t="s">
        <v>7809</v>
      </c>
      <c r="C2744" s="136" t="s">
        <v>7810</v>
      </c>
      <c r="D2744" s="136" t="s">
        <v>7762</v>
      </c>
      <c r="E2744" s="136" t="s">
        <v>615</v>
      </c>
      <c r="F2744" s="136">
        <v>178</v>
      </c>
      <c r="G2744" s="137">
        <f t="shared" si="10"/>
        <v>2</v>
      </c>
      <c r="H2744" s="137"/>
      <c r="I2744" s="137"/>
      <c r="J2744" s="135"/>
      <c r="K2744" s="135"/>
      <c r="L2744" s="135"/>
      <c r="M2744" s="135"/>
      <c r="N2744" s="135"/>
      <c r="O2744" s="135"/>
      <c r="P2744" s="135"/>
      <c r="Q2744" s="135"/>
      <c r="R2744" s="135"/>
      <c r="S2744" s="135"/>
      <c r="T2744" s="135"/>
      <c r="U2744" s="135"/>
      <c r="V2744" s="135"/>
      <c r="W2744" s="135"/>
      <c r="X2744" s="135"/>
      <c r="Y2744" s="135"/>
      <c r="Z2744" s="135"/>
    </row>
    <row r="2745" spans="1:26" ht="12.75">
      <c r="A2745" s="136" t="s">
        <v>15</v>
      </c>
      <c r="B2745" s="136" t="s">
        <v>7809</v>
      </c>
      <c r="C2745" s="136" t="s">
        <v>7810</v>
      </c>
      <c r="D2745" s="136" t="s">
        <v>165</v>
      </c>
      <c r="E2745" s="136" t="s">
        <v>615</v>
      </c>
      <c r="F2745" s="136">
        <v>154</v>
      </c>
      <c r="G2745" s="137">
        <f t="shared" si="10"/>
        <v>3</v>
      </c>
      <c r="H2745" s="137"/>
      <c r="I2745" s="137"/>
      <c r="J2745" s="135"/>
      <c r="K2745" s="135"/>
      <c r="L2745" s="135"/>
      <c r="M2745" s="135"/>
      <c r="N2745" s="135"/>
      <c r="O2745" s="135"/>
      <c r="P2745" s="135"/>
      <c r="Q2745" s="135"/>
      <c r="R2745" s="135"/>
      <c r="S2745" s="135"/>
      <c r="T2745" s="135"/>
      <c r="U2745" s="135"/>
      <c r="V2745" s="135"/>
      <c r="W2745" s="135"/>
      <c r="X2745" s="135"/>
      <c r="Y2745" s="135"/>
      <c r="Z2745" s="135"/>
    </row>
    <row r="2746" spans="1:26" ht="12.75">
      <c r="A2746" s="136" t="s">
        <v>15</v>
      </c>
      <c r="B2746" s="136" t="s">
        <v>7809</v>
      </c>
      <c r="C2746" s="136" t="s">
        <v>7810</v>
      </c>
      <c r="D2746" s="136" t="s">
        <v>7491</v>
      </c>
      <c r="E2746" s="136" t="s">
        <v>615</v>
      </c>
      <c r="F2746" s="136">
        <v>136</v>
      </c>
      <c r="G2746" s="137">
        <f t="shared" si="10"/>
        <v>4</v>
      </c>
      <c r="H2746" s="137"/>
      <c r="I2746" s="137"/>
      <c r="J2746" s="135"/>
      <c r="K2746" s="135"/>
      <c r="L2746" s="135"/>
      <c r="M2746" s="135"/>
      <c r="N2746" s="135"/>
      <c r="O2746" s="135"/>
      <c r="P2746" s="135"/>
      <c r="Q2746" s="135"/>
      <c r="R2746" s="135"/>
      <c r="S2746" s="135"/>
      <c r="T2746" s="135"/>
      <c r="U2746" s="135"/>
      <c r="V2746" s="135"/>
      <c r="W2746" s="135"/>
      <c r="X2746" s="135"/>
      <c r="Y2746" s="135"/>
      <c r="Z2746" s="135"/>
    </row>
    <row r="2747" spans="1:26" ht="12.75">
      <c r="A2747" s="136" t="s">
        <v>15</v>
      </c>
      <c r="B2747" s="136" t="s">
        <v>7809</v>
      </c>
      <c r="C2747" s="136" t="s">
        <v>7810</v>
      </c>
      <c r="D2747" s="136" t="s">
        <v>103</v>
      </c>
      <c r="E2747" s="136" t="s">
        <v>594</v>
      </c>
      <c r="F2747" s="136">
        <v>128</v>
      </c>
      <c r="G2747" s="137">
        <f t="shared" si="10"/>
        <v>5</v>
      </c>
      <c r="H2747" s="137"/>
      <c r="I2747" s="137"/>
      <c r="J2747" s="135"/>
      <c r="K2747" s="135"/>
      <c r="L2747" s="135"/>
      <c r="M2747" s="135"/>
      <c r="N2747" s="135"/>
      <c r="O2747" s="135"/>
      <c r="P2747" s="135"/>
      <c r="Q2747" s="135"/>
      <c r="R2747" s="135"/>
      <c r="S2747" s="135"/>
      <c r="T2747" s="135"/>
      <c r="U2747" s="135"/>
      <c r="V2747" s="135"/>
      <c r="W2747" s="135"/>
      <c r="X2747" s="135"/>
      <c r="Y2747" s="135"/>
      <c r="Z2747" s="135"/>
    </row>
    <row r="2748" spans="1:26" ht="12.75">
      <c r="A2748" s="136" t="s">
        <v>15</v>
      </c>
      <c r="B2748" s="136" t="s">
        <v>7809</v>
      </c>
      <c r="C2748" s="136" t="s">
        <v>7810</v>
      </c>
      <c r="D2748" s="136" t="s">
        <v>1669</v>
      </c>
      <c r="E2748" s="136" t="s">
        <v>615</v>
      </c>
      <c r="F2748" s="136">
        <v>125</v>
      </c>
      <c r="G2748" s="137">
        <f t="shared" si="10"/>
        <v>6</v>
      </c>
      <c r="H2748" s="137"/>
      <c r="I2748" s="137"/>
      <c r="J2748" s="135"/>
      <c r="K2748" s="135"/>
      <c r="L2748" s="135"/>
      <c r="M2748" s="135"/>
      <c r="N2748" s="135"/>
      <c r="O2748" s="135"/>
      <c r="P2748" s="135"/>
      <c r="Q2748" s="135"/>
      <c r="R2748" s="135"/>
      <c r="S2748" s="135"/>
      <c r="T2748" s="135"/>
      <c r="U2748" s="135"/>
      <c r="V2748" s="135"/>
      <c r="W2748" s="135"/>
      <c r="X2748" s="135"/>
      <c r="Y2748" s="135"/>
      <c r="Z2748" s="135"/>
    </row>
    <row r="2749" spans="1:26" ht="12.75">
      <c r="A2749" s="136" t="s">
        <v>15</v>
      </c>
      <c r="B2749" s="136" t="s">
        <v>7809</v>
      </c>
      <c r="C2749" s="136" t="s">
        <v>7810</v>
      </c>
      <c r="D2749" s="136" t="s">
        <v>139</v>
      </c>
      <c r="E2749" s="136" t="s">
        <v>594</v>
      </c>
      <c r="F2749" s="136">
        <v>120</v>
      </c>
      <c r="G2749" s="137">
        <f t="shared" si="10"/>
        <v>7</v>
      </c>
      <c r="H2749" s="137"/>
      <c r="I2749" s="137"/>
      <c r="J2749" s="135"/>
      <c r="K2749" s="135"/>
      <c r="L2749" s="135"/>
      <c r="M2749" s="135"/>
      <c r="N2749" s="135"/>
      <c r="O2749" s="135"/>
      <c r="P2749" s="135"/>
      <c r="Q2749" s="135"/>
      <c r="R2749" s="135"/>
      <c r="S2749" s="135"/>
      <c r="T2749" s="135"/>
      <c r="U2749" s="135"/>
      <c r="V2749" s="135"/>
      <c r="W2749" s="135"/>
      <c r="X2749" s="135"/>
      <c r="Y2749" s="135"/>
      <c r="Z2749" s="135"/>
    </row>
    <row r="2750" spans="1:26" ht="12.75">
      <c r="A2750" s="136" t="s">
        <v>15</v>
      </c>
      <c r="B2750" s="136" t="s">
        <v>7809</v>
      </c>
      <c r="C2750" s="136" t="s">
        <v>7810</v>
      </c>
      <c r="D2750" s="136" t="s">
        <v>1682</v>
      </c>
      <c r="E2750" s="136" t="s">
        <v>86</v>
      </c>
      <c r="F2750" s="136">
        <v>90</v>
      </c>
      <c r="G2750" s="137">
        <f t="shared" si="10"/>
        <v>8</v>
      </c>
      <c r="H2750" s="137"/>
      <c r="I2750" s="137"/>
      <c r="J2750" s="135"/>
      <c r="K2750" s="135"/>
      <c r="L2750" s="135"/>
      <c r="M2750" s="135"/>
      <c r="N2750" s="135"/>
      <c r="O2750" s="135"/>
      <c r="P2750" s="135"/>
      <c r="Q2750" s="135"/>
      <c r="R2750" s="135"/>
      <c r="S2750" s="135"/>
      <c r="T2750" s="135"/>
      <c r="U2750" s="135"/>
      <c r="V2750" s="135"/>
      <c r="W2750" s="135"/>
      <c r="X2750" s="135"/>
      <c r="Y2750" s="135"/>
      <c r="Z2750" s="135"/>
    </row>
    <row r="2751" spans="1:26" ht="12.75">
      <c r="A2751" s="136" t="s">
        <v>15</v>
      </c>
      <c r="B2751" s="136" t="s">
        <v>7809</v>
      </c>
      <c r="C2751" s="136" t="s">
        <v>7810</v>
      </c>
      <c r="D2751" s="136" t="s">
        <v>467</v>
      </c>
      <c r="E2751" s="136" t="s">
        <v>85</v>
      </c>
      <c r="F2751" s="136">
        <v>75</v>
      </c>
      <c r="G2751" s="137">
        <f t="shared" si="10"/>
        <v>9</v>
      </c>
      <c r="H2751" s="137"/>
      <c r="I2751" s="137"/>
      <c r="J2751" s="135"/>
      <c r="K2751" s="135"/>
      <c r="L2751" s="135"/>
      <c r="M2751" s="135"/>
      <c r="N2751" s="135"/>
      <c r="O2751" s="135"/>
      <c r="P2751" s="135"/>
      <c r="Q2751" s="135"/>
      <c r="R2751" s="135"/>
      <c r="S2751" s="135"/>
      <c r="T2751" s="135"/>
      <c r="U2751" s="135"/>
      <c r="V2751" s="135"/>
      <c r="W2751" s="135"/>
      <c r="X2751" s="135"/>
      <c r="Y2751" s="135"/>
      <c r="Z2751" s="135"/>
    </row>
    <row r="2752" spans="1:26" ht="12.75">
      <c r="A2752" s="136" t="s">
        <v>15</v>
      </c>
      <c r="B2752" s="136" t="s">
        <v>7809</v>
      </c>
      <c r="C2752" s="136" t="s">
        <v>7810</v>
      </c>
      <c r="D2752" s="136" t="s">
        <v>7698</v>
      </c>
      <c r="E2752" s="136" t="s">
        <v>615</v>
      </c>
      <c r="F2752" s="136">
        <v>63</v>
      </c>
      <c r="G2752" s="137">
        <f t="shared" si="10"/>
        <v>10</v>
      </c>
      <c r="H2752" s="137"/>
      <c r="I2752" s="137"/>
      <c r="J2752" s="135"/>
      <c r="K2752" s="135"/>
      <c r="L2752" s="135"/>
      <c r="M2752" s="135"/>
      <c r="N2752" s="135"/>
      <c r="O2752" s="135"/>
      <c r="P2752" s="135"/>
      <c r="Q2752" s="135"/>
      <c r="R2752" s="135"/>
      <c r="S2752" s="135"/>
      <c r="T2752" s="135"/>
      <c r="U2752" s="135"/>
      <c r="V2752" s="135"/>
      <c r="W2752" s="135"/>
      <c r="X2752" s="135"/>
      <c r="Y2752" s="135"/>
      <c r="Z2752" s="135"/>
    </row>
    <row r="2753" spans="1:26" ht="12.75">
      <c r="A2753" s="136" t="s">
        <v>15</v>
      </c>
      <c r="B2753" s="136" t="s">
        <v>7809</v>
      </c>
      <c r="C2753" s="136" t="s">
        <v>7811</v>
      </c>
      <c r="D2753" s="136" t="s">
        <v>114</v>
      </c>
      <c r="E2753" s="136" t="s">
        <v>85</v>
      </c>
      <c r="F2753" s="136">
        <v>780</v>
      </c>
      <c r="G2753" s="137">
        <f t="shared" si="10"/>
        <v>1</v>
      </c>
      <c r="H2753" s="137"/>
      <c r="I2753" s="137"/>
      <c r="J2753" s="135"/>
      <c r="K2753" s="135"/>
      <c r="L2753" s="135"/>
      <c r="M2753" s="135"/>
      <c r="N2753" s="135"/>
      <c r="O2753" s="135"/>
      <c r="P2753" s="135"/>
      <c r="Q2753" s="135"/>
      <c r="R2753" s="135"/>
      <c r="S2753" s="135"/>
      <c r="T2753" s="135"/>
      <c r="U2753" s="135"/>
      <c r="V2753" s="135"/>
      <c r="W2753" s="135"/>
      <c r="X2753" s="135"/>
      <c r="Y2753" s="135"/>
      <c r="Z2753" s="135"/>
    </row>
    <row r="2754" spans="1:26" ht="12.75">
      <c r="A2754" s="136" t="s">
        <v>15</v>
      </c>
      <c r="B2754" s="136" t="s">
        <v>7809</v>
      </c>
      <c r="C2754" s="136" t="s">
        <v>7811</v>
      </c>
      <c r="D2754" s="136" t="s">
        <v>1669</v>
      </c>
      <c r="E2754" s="136" t="s">
        <v>615</v>
      </c>
      <c r="F2754" s="136">
        <v>165</v>
      </c>
      <c r="G2754" s="137">
        <f t="shared" si="10"/>
        <v>2</v>
      </c>
      <c r="H2754" s="137"/>
      <c r="I2754" s="137"/>
      <c r="J2754" s="135"/>
      <c r="K2754" s="135"/>
      <c r="L2754" s="135"/>
      <c r="M2754" s="135"/>
      <c r="N2754" s="135"/>
      <c r="O2754" s="135"/>
      <c r="P2754" s="135"/>
      <c r="Q2754" s="135"/>
      <c r="R2754" s="135"/>
      <c r="S2754" s="135"/>
      <c r="T2754" s="135"/>
      <c r="U2754" s="135"/>
      <c r="V2754" s="135"/>
      <c r="W2754" s="135"/>
      <c r="X2754" s="135"/>
      <c r="Y2754" s="135"/>
      <c r="Z2754" s="135"/>
    </row>
    <row r="2755" spans="1:26" ht="12.75">
      <c r="A2755" s="136" t="s">
        <v>15</v>
      </c>
      <c r="B2755" s="136" t="s">
        <v>7809</v>
      </c>
      <c r="C2755" s="136" t="s">
        <v>7811</v>
      </c>
      <c r="D2755" s="136" t="s">
        <v>139</v>
      </c>
      <c r="E2755" s="136" t="s">
        <v>594</v>
      </c>
      <c r="F2755" s="136">
        <v>125</v>
      </c>
      <c r="G2755" s="137">
        <f t="shared" si="10"/>
        <v>3</v>
      </c>
      <c r="H2755" s="137"/>
      <c r="I2755" s="137"/>
      <c r="J2755" s="135"/>
      <c r="K2755" s="135"/>
      <c r="L2755" s="135"/>
      <c r="M2755" s="135"/>
      <c r="N2755" s="135"/>
      <c r="O2755" s="135"/>
      <c r="P2755" s="135"/>
      <c r="Q2755" s="135"/>
      <c r="R2755" s="135"/>
      <c r="S2755" s="135"/>
      <c r="T2755" s="135"/>
      <c r="U2755" s="135"/>
      <c r="V2755" s="135"/>
      <c r="W2755" s="135"/>
      <c r="X2755" s="135"/>
      <c r="Y2755" s="135"/>
      <c r="Z2755" s="135"/>
    </row>
    <row r="2756" spans="1:26" ht="12.75">
      <c r="A2756" s="136" t="s">
        <v>15</v>
      </c>
      <c r="B2756" s="136" t="s">
        <v>7809</v>
      </c>
      <c r="C2756" s="136" t="s">
        <v>7811</v>
      </c>
      <c r="D2756" s="136" t="s">
        <v>7772</v>
      </c>
      <c r="E2756" s="136" t="s">
        <v>615</v>
      </c>
      <c r="F2756" s="136">
        <v>100</v>
      </c>
      <c r="G2756" s="137">
        <f t="shared" si="10"/>
        <v>4</v>
      </c>
      <c r="H2756" s="137"/>
      <c r="I2756" s="137"/>
      <c r="J2756" s="135"/>
      <c r="K2756" s="135"/>
      <c r="L2756" s="135"/>
      <c r="M2756" s="135"/>
      <c r="N2756" s="135"/>
      <c r="O2756" s="135"/>
      <c r="P2756" s="135"/>
      <c r="Q2756" s="135"/>
      <c r="R2756" s="135"/>
      <c r="S2756" s="135"/>
      <c r="T2756" s="135"/>
      <c r="U2756" s="135"/>
      <c r="V2756" s="135"/>
      <c r="W2756" s="135"/>
      <c r="X2756" s="135"/>
      <c r="Y2756" s="135"/>
      <c r="Z2756" s="135"/>
    </row>
    <row r="2757" spans="1:26" ht="12.75">
      <c r="A2757" s="136" t="s">
        <v>15</v>
      </c>
      <c r="B2757" s="136" t="s">
        <v>7809</v>
      </c>
      <c r="C2757" s="136" t="s">
        <v>7811</v>
      </c>
      <c r="D2757" s="136" t="s">
        <v>7762</v>
      </c>
      <c r="E2757" s="136" t="s">
        <v>615</v>
      </c>
      <c r="F2757" s="136">
        <v>95</v>
      </c>
      <c r="G2757" s="137">
        <f t="shared" si="10"/>
        <v>5</v>
      </c>
      <c r="H2757" s="137"/>
      <c r="I2757" s="137"/>
      <c r="J2757" s="135"/>
      <c r="K2757" s="135"/>
      <c r="L2757" s="135"/>
      <c r="M2757" s="135"/>
      <c r="N2757" s="135"/>
      <c r="O2757" s="135"/>
      <c r="P2757" s="135"/>
      <c r="Q2757" s="135"/>
      <c r="R2757" s="135"/>
      <c r="S2757" s="135"/>
      <c r="T2757" s="135"/>
      <c r="U2757" s="135"/>
      <c r="V2757" s="135"/>
      <c r="W2757" s="135"/>
      <c r="X2757" s="135"/>
      <c r="Y2757" s="135"/>
      <c r="Z2757" s="135"/>
    </row>
    <row r="2758" spans="1:26" ht="12.75">
      <c r="A2758" s="136" t="s">
        <v>15</v>
      </c>
      <c r="B2758" s="136" t="s">
        <v>7809</v>
      </c>
      <c r="C2758" s="136" t="s">
        <v>7811</v>
      </c>
      <c r="D2758" s="136" t="s">
        <v>467</v>
      </c>
      <c r="E2758" s="136" t="s">
        <v>85</v>
      </c>
      <c r="F2758" s="136">
        <v>80</v>
      </c>
      <c r="G2758" s="137">
        <f t="shared" si="10"/>
        <v>6</v>
      </c>
      <c r="H2758" s="137"/>
      <c r="I2758" s="137"/>
      <c r="J2758" s="135"/>
      <c r="K2758" s="135"/>
      <c r="L2758" s="135"/>
      <c r="M2758" s="135"/>
      <c r="N2758" s="135"/>
      <c r="O2758" s="135"/>
      <c r="P2758" s="135"/>
      <c r="Q2758" s="135"/>
      <c r="R2758" s="135"/>
      <c r="S2758" s="135"/>
      <c r="T2758" s="135"/>
      <c r="U2758" s="135"/>
      <c r="V2758" s="135"/>
      <c r="W2758" s="135"/>
      <c r="X2758" s="135"/>
      <c r="Y2758" s="135"/>
      <c r="Z2758" s="135"/>
    </row>
    <row r="2759" spans="1:26" ht="12.75">
      <c r="A2759" s="136" t="s">
        <v>15</v>
      </c>
      <c r="B2759" s="136" t="s">
        <v>7809</v>
      </c>
      <c r="C2759" s="136" t="s">
        <v>7811</v>
      </c>
      <c r="D2759" s="136" t="s">
        <v>103</v>
      </c>
      <c r="E2759" s="136" t="s">
        <v>594</v>
      </c>
      <c r="F2759" s="136">
        <v>55</v>
      </c>
      <c r="G2759" s="137">
        <f t="shared" si="10"/>
        <v>7</v>
      </c>
      <c r="H2759" s="137"/>
      <c r="I2759" s="137"/>
      <c r="J2759" s="135"/>
      <c r="K2759" s="135"/>
      <c r="L2759" s="135"/>
      <c r="M2759" s="135"/>
      <c r="N2759" s="135"/>
      <c r="O2759" s="135"/>
      <c r="P2759" s="135"/>
      <c r="Q2759" s="135"/>
      <c r="R2759" s="135"/>
      <c r="S2759" s="135"/>
      <c r="T2759" s="135"/>
      <c r="U2759" s="135"/>
      <c r="V2759" s="135"/>
      <c r="W2759" s="135"/>
      <c r="X2759" s="135"/>
      <c r="Y2759" s="135"/>
      <c r="Z2759" s="135"/>
    </row>
    <row r="2760" spans="1:26" ht="12.75">
      <c r="A2760" s="136" t="s">
        <v>15</v>
      </c>
      <c r="B2760" s="136" t="s">
        <v>7809</v>
      </c>
      <c r="C2760" s="136" t="s">
        <v>7811</v>
      </c>
      <c r="D2760" s="136" t="s">
        <v>7491</v>
      </c>
      <c r="E2760" s="136" t="s">
        <v>615</v>
      </c>
      <c r="F2760" s="136">
        <v>50</v>
      </c>
      <c r="G2760" s="137">
        <f t="shared" si="10"/>
        <v>8</v>
      </c>
      <c r="H2760" s="137"/>
      <c r="I2760" s="137"/>
      <c r="J2760" s="135"/>
      <c r="K2760" s="135"/>
      <c r="L2760" s="135"/>
      <c r="M2760" s="135"/>
      <c r="N2760" s="135"/>
      <c r="O2760" s="135"/>
      <c r="P2760" s="135"/>
      <c r="Q2760" s="135"/>
      <c r="R2760" s="135"/>
      <c r="S2760" s="135"/>
      <c r="T2760" s="135"/>
      <c r="U2760" s="135"/>
      <c r="V2760" s="135"/>
      <c r="W2760" s="135"/>
      <c r="X2760" s="135"/>
      <c r="Y2760" s="135"/>
      <c r="Z2760" s="135"/>
    </row>
    <row r="2761" spans="1:26" ht="12.75">
      <c r="A2761" s="136" t="s">
        <v>15</v>
      </c>
      <c r="B2761" s="136" t="s">
        <v>7809</v>
      </c>
      <c r="C2761" s="136" t="s">
        <v>7812</v>
      </c>
      <c r="D2761" s="136" t="s">
        <v>114</v>
      </c>
      <c r="E2761" s="136" t="s">
        <v>85</v>
      </c>
      <c r="F2761" s="136">
        <v>820</v>
      </c>
      <c r="G2761" s="137">
        <f t="shared" si="10"/>
        <v>1</v>
      </c>
      <c r="H2761" s="137"/>
      <c r="I2761" s="137"/>
      <c r="J2761" s="135"/>
      <c r="K2761" s="135"/>
      <c r="L2761" s="135"/>
      <c r="M2761" s="135"/>
      <c r="N2761" s="135"/>
      <c r="O2761" s="135"/>
      <c r="P2761" s="135"/>
      <c r="Q2761" s="135"/>
      <c r="R2761" s="135"/>
      <c r="S2761" s="135"/>
      <c r="T2761" s="135"/>
      <c r="U2761" s="135"/>
      <c r="V2761" s="135"/>
      <c r="W2761" s="135"/>
      <c r="X2761" s="135"/>
      <c r="Y2761" s="135"/>
      <c r="Z2761" s="135"/>
    </row>
    <row r="2762" spans="1:26" ht="12.75">
      <c r="A2762" s="136" t="s">
        <v>15</v>
      </c>
      <c r="B2762" s="136" t="s">
        <v>7809</v>
      </c>
      <c r="C2762" s="136" t="s">
        <v>7812</v>
      </c>
      <c r="D2762" s="136" t="s">
        <v>467</v>
      </c>
      <c r="E2762" s="136" t="s">
        <v>85</v>
      </c>
      <c r="F2762" s="136">
        <v>200</v>
      </c>
      <c r="G2762" s="137">
        <f t="shared" si="10"/>
        <v>2</v>
      </c>
      <c r="H2762" s="137"/>
      <c r="I2762" s="137"/>
      <c r="J2762" s="135"/>
      <c r="K2762" s="135"/>
      <c r="L2762" s="135"/>
      <c r="M2762" s="135"/>
      <c r="N2762" s="135"/>
      <c r="O2762" s="135"/>
      <c r="P2762" s="135"/>
      <c r="Q2762" s="135"/>
      <c r="R2762" s="135"/>
      <c r="S2762" s="135"/>
      <c r="T2762" s="135"/>
      <c r="U2762" s="135"/>
      <c r="V2762" s="135"/>
      <c r="W2762" s="135"/>
      <c r="X2762" s="135"/>
      <c r="Y2762" s="135"/>
      <c r="Z2762" s="135"/>
    </row>
    <row r="2763" spans="1:26" ht="12.75">
      <c r="A2763" s="136" t="s">
        <v>15</v>
      </c>
      <c r="B2763" s="136" t="s">
        <v>7809</v>
      </c>
      <c r="C2763" s="136" t="s">
        <v>7812</v>
      </c>
      <c r="D2763" s="136" t="s">
        <v>1682</v>
      </c>
      <c r="E2763" s="136" t="s">
        <v>86</v>
      </c>
      <c r="F2763" s="136">
        <v>130</v>
      </c>
      <c r="G2763" s="137">
        <f t="shared" si="10"/>
        <v>3</v>
      </c>
      <c r="H2763" s="137"/>
      <c r="I2763" s="137"/>
      <c r="J2763" s="135"/>
      <c r="K2763" s="135"/>
      <c r="L2763" s="135"/>
      <c r="M2763" s="135"/>
      <c r="N2763" s="135"/>
      <c r="O2763" s="135"/>
      <c r="P2763" s="135"/>
      <c r="Q2763" s="135"/>
      <c r="R2763" s="135"/>
      <c r="S2763" s="135"/>
      <c r="T2763" s="135"/>
      <c r="U2763" s="135"/>
      <c r="V2763" s="135"/>
      <c r="W2763" s="135"/>
      <c r="X2763" s="135"/>
      <c r="Y2763" s="135"/>
      <c r="Z2763" s="135"/>
    </row>
    <row r="2764" spans="1:26" ht="12.75">
      <c r="A2764" s="136" t="s">
        <v>15</v>
      </c>
      <c r="B2764" s="136" t="s">
        <v>7809</v>
      </c>
      <c r="C2764" s="136" t="s">
        <v>7812</v>
      </c>
      <c r="D2764" s="136" t="s">
        <v>136</v>
      </c>
      <c r="E2764" s="136" t="s">
        <v>615</v>
      </c>
      <c r="F2764" s="136">
        <v>86</v>
      </c>
      <c r="G2764" s="137">
        <f t="shared" si="10"/>
        <v>4</v>
      </c>
      <c r="H2764" s="137"/>
      <c r="I2764" s="137"/>
      <c r="J2764" s="135"/>
      <c r="K2764" s="135"/>
      <c r="L2764" s="135"/>
      <c r="M2764" s="135"/>
      <c r="N2764" s="135"/>
      <c r="O2764" s="135"/>
      <c r="P2764" s="135"/>
      <c r="Q2764" s="135"/>
      <c r="R2764" s="135"/>
      <c r="S2764" s="135"/>
      <c r="T2764" s="135"/>
      <c r="U2764" s="135"/>
      <c r="V2764" s="135"/>
      <c r="W2764" s="135"/>
      <c r="X2764" s="135"/>
      <c r="Y2764" s="135"/>
      <c r="Z2764" s="135"/>
    </row>
    <row r="2765" spans="1:26" ht="12.75">
      <c r="A2765" s="136" t="s">
        <v>15</v>
      </c>
      <c r="B2765" s="136" t="s">
        <v>7809</v>
      </c>
      <c r="C2765" s="136" t="s">
        <v>7812</v>
      </c>
      <c r="D2765" s="136" t="s">
        <v>368</v>
      </c>
      <c r="E2765" s="136" t="s">
        <v>594</v>
      </c>
      <c r="F2765" s="136">
        <v>50</v>
      </c>
      <c r="G2765" s="137">
        <f t="shared" si="10"/>
        <v>5</v>
      </c>
      <c r="H2765" s="137"/>
      <c r="I2765" s="137"/>
      <c r="J2765" s="135"/>
      <c r="K2765" s="135"/>
      <c r="L2765" s="135"/>
      <c r="M2765" s="135"/>
      <c r="N2765" s="135"/>
      <c r="O2765" s="135"/>
      <c r="P2765" s="135"/>
      <c r="Q2765" s="135"/>
      <c r="R2765" s="135"/>
      <c r="S2765" s="135"/>
      <c r="T2765" s="135"/>
      <c r="U2765" s="135"/>
      <c r="V2765" s="135"/>
      <c r="W2765" s="135"/>
      <c r="X2765" s="135"/>
      <c r="Y2765" s="135"/>
      <c r="Z2765" s="135"/>
    </row>
    <row r="2766" spans="1:26" ht="12.75">
      <c r="A2766" s="136" t="s">
        <v>15</v>
      </c>
      <c r="B2766" s="136" t="s">
        <v>7809</v>
      </c>
      <c r="C2766" s="136" t="s">
        <v>7812</v>
      </c>
      <c r="D2766" s="136" t="s">
        <v>7491</v>
      </c>
      <c r="E2766" s="136" t="s">
        <v>615</v>
      </c>
      <c r="F2766" s="136">
        <v>37</v>
      </c>
      <c r="G2766" s="137">
        <f t="shared" si="10"/>
        <v>6</v>
      </c>
      <c r="H2766" s="137"/>
      <c r="I2766" s="137"/>
      <c r="J2766" s="135"/>
      <c r="K2766" s="135"/>
      <c r="L2766" s="135"/>
      <c r="M2766" s="135"/>
      <c r="N2766" s="135"/>
      <c r="O2766" s="135"/>
      <c r="P2766" s="135"/>
      <c r="Q2766" s="135"/>
      <c r="R2766" s="135"/>
      <c r="S2766" s="135"/>
      <c r="T2766" s="135"/>
      <c r="U2766" s="135"/>
      <c r="V2766" s="135"/>
      <c r="W2766" s="135"/>
      <c r="X2766" s="135"/>
      <c r="Y2766" s="135"/>
      <c r="Z2766" s="135"/>
    </row>
    <row r="2767" spans="1:26" ht="12.75">
      <c r="A2767" s="136" t="s">
        <v>15</v>
      </c>
      <c r="B2767" s="136" t="s">
        <v>7809</v>
      </c>
      <c r="C2767" s="136" t="s">
        <v>7813</v>
      </c>
      <c r="D2767" s="136" t="s">
        <v>114</v>
      </c>
      <c r="E2767" s="136" t="s">
        <v>85</v>
      </c>
      <c r="F2767" s="136">
        <v>767</v>
      </c>
      <c r="G2767" s="137">
        <f t="shared" si="10"/>
        <v>1</v>
      </c>
      <c r="H2767" s="137"/>
      <c r="I2767" s="137"/>
      <c r="J2767" s="135"/>
      <c r="K2767" s="135"/>
      <c r="L2767" s="135"/>
      <c r="M2767" s="135"/>
      <c r="N2767" s="135"/>
      <c r="O2767" s="135"/>
      <c r="P2767" s="135"/>
      <c r="Q2767" s="135"/>
      <c r="R2767" s="135"/>
      <c r="S2767" s="135"/>
      <c r="T2767" s="135"/>
      <c r="U2767" s="135"/>
      <c r="V2767" s="135"/>
      <c r="W2767" s="135"/>
      <c r="X2767" s="135"/>
      <c r="Y2767" s="135"/>
      <c r="Z2767" s="135"/>
    </row>
    <row r="2768" spans="1:26" ht="12.75">
      <c r="A2768" s="136" t="s">
        <v>15</v>
      </c>
      <c r="B2768" s="136" t="s">
        <v>7809</v>
      </c>
      <c r="C2768" s="136" t="s">
        <v>7813</v>
      </c>
      <c r="D2768" s="136" t="s">
        <v>1656</v>
      </c>
      <c r="E2768" s="136" t="s">
        <v>615</v>
      </c>
      <c r="F2768" s="136">
        <v>152</v>
      </c>
      <c r="G2768" s="137">
        <f t="shared" si="10"/>
        <v>2</v>
      </c>
      <c r="H2768" s="137"/>
      <c r="I2768" s="137"/>
      <c r="J2768" s="135"/>
      <c r="K2768" s="135"/>
      <c r="L2768" s="135"/>
      <c r="M2768" s="135"/>
      <c r="N2768" s="135"/>
      <c r="O2768" s="135"/>
      <c r="P2768" s="135"/>
      <c r="Q2768" s="135"/>
      <c r="R2768" s="135"/>
      <c r="S2768" s="135"/>
      <c r="T2768" s="135"/>
      <c r="U2768" s="135"/>
      <c r="V2768" s="135"/>
      <c r="W2768" s="135"/>
      <c r="X2768" s="135"/>
      <c r="Y2768" s="135"/>
      <c r="Z2768" s="135"/>
    </row>
    <row r="2769" spans="1:26" ht="12.75">
      <c r="A2769" s="136" t="s">
        <v>15</v>
      </c>
      <c r="B2769" s="136" t="s">
        <v>7809</v>
      </c>
      <c r="C2769" s="136" t="s">
        <v>7813</v>
      </c>
      <c r="D2769" s="136" t="s">
        <v>1669</v>
      </c>
      <c r="E2769" s="136" t="s">
        <v>615</v>
      </c>
      <c r="F2769" s="136">
        <v>115</v>
      </c>
      <c r="G2769" s="137">
        <f t="shared" si="10"/>
        <v>3</v>
      </c>
      <c r="H2769" s="137"/>
      <c r="I2769" s="137"/>
      <c r="J2769" s="135"/>
      <c r="K2769" s="135"/>
      <c r="L2769" s="135"/>
      <c r="M2769" s="135"/>
      <c r="N2769" s="135"/>
      <c r="O2769" s="135"/>
      <c r="P2769" s="135"/>
      <c r="Q2769" s="135"/>
      <c r="R2769" s="135"/>
      <c r="S2769" s="135"/>
      <c r="T2769" s="135"/>
      <c r="U2769" s="135"/>
      <c r="V2769" s="135"/>
      <c r="W2769" s="135"/>
      <c r="X2769" s="135"/>
      <c r="Y2769" s="135"/>
      <c r="Z2769" s="135"/>
    </row>
    <row r="2770" spans="1:26" ht="12.75">
      <c r="A2770" s="136" t="s">
        <v>15</v>
      </c>
      <c r="B2770" s="136" t="s">
        <v>7809</v>
      </c>
      <c r="C2770" s="136" t="s">
        <v>7813</v>
      </c>
      <c r="D2770" s="136" t="s">
        <v>467</v>
      </c>
      <c r="E2770" s="136" t="s">
        <v>85</v>
      </c>
      <c r="F2770" s="136">
        <v>114</v>
      </c>
      <c r="G2770" s="137">
        <f t="shared" si="10"/>
        <v>4</v>
      </c>
      <c r="H2770" s="137"/>
      <c r="I2770" s="137"/>
      <c r="J2770" s="135"/>
      <c r="K2770" s="135"/>
      <c r="L2770" s="135"/>
      <c r="M2770" s="135"/>
      <c r="N2770" s="135"/>
      <c r="O2770" s="135"/>
      <c r="P2770" s="135"/>
      <c r="Q2770" s="135"/>
      <c r="R2770" s="135"/>
      <c r="S2770" s="135"/>
      <c r="T2770" s="135"/>
      <c r="U2770" s="135"/>
      <c r="V2770" s="135"/>
      <c r="W2770" s="135"/>
      <c r="X2770" s="135"/>
      <c r="Y2770" s="135"/>
      <c r="Z2770" s="135"/>
    </row>
    <row r="2771" spans="1:26" ht="12.75">
      <c r="A2771" s="136" t="s">
        <v>15</v>
      </c>
      <c r="B2771" s="136" t="s">
        <v>7809</v>
      </c>
      <c r="C2771" s="136" t="s">
        <v>7813</v>
      </c>
      <c r="D2771" s="136" t="s">
        <v>139</v>
      </c>
      <c r="E2771" s="136" t="s">
        <v>594</v>
      </c>
      <c r="F2771" s="136">
        <v>75</v>
      </c>
      <c r="G2771" s="137">
        <f t="shared" si="10"/>
        <v>5</v>
      </c>
      <c r="H2771" s="137"/>
      <c r="I2771" s="137"/>
      <c r="J2771" s="135"/>
      <c r="K2771" s="135"/>
      <c r="L2771" s="135"/>
      <c r="M2771" s="135"/>
      <c r="N2771" s="135"/>
      <c r="O2771" s="135"/>
      <c r="P2771" s="135"/>
      <c r="Q2771" s="135"/>
      <c r="R2771" s="135"/>
      <c r="S2771" s="135"/>
      <c r="T2771" s="135"/>
      <c r="U2771" s="135"/>
      <c r="V2771" s="135"/>
      <c r="W2771" s="135"/>
      <c r="X2771" s="135"/>
      <c r="Y2771" s="135"/>
      <c r="Z2771" s="135"/>
    </row>
    <row r="2772" spans="1:26" ht="12.75">
      <c r="A2772" s="136" t="s">
        <v>15</v>
      </c>
      <c r="B2772" s="136" t="s">
        <v>7809</v>
      </c>
      <c r="C2772" s="136" t="s">
        <v>7813</v>
      </c>
      <c r="D2772" s="136" t="s">
        <v>7491</v>
      </c>
      <c r="E2772" s="136" t="s">
        <v>615</v>
      </c>
      <c r="F2772" s="136">
        <v>71</v>
      </c>
      <c r="G2772" s="137">
        <f t="shared" si="10"/>
        <v>6</v>
      </c>
      <c r="H2772" s="137"/>
      <c r="I2772" s="137"/>
      <c r="J2772" s="135"/>
      <c r="K2772" s="135"/>
      <c r="L2772" s="135"/>
      <c r="M2772" s="135"/>
      <c r="N2772" s="135"/>
      <c r="O2772" s="135"/>
      <c r="P2772" s="135"/>
      <c r="Q2772" s="135"/>
      <c r="R2772" s="135"/>
      <c r="S2772" s="135"/>
      <c r="T2772" s="135"/>
      <c r="U2772" s="135"/>
      <c r="V2772" s="135"/>
      <c r="W2772" s="135"/>
      <c r="X2772" s="135"/>
      <c r="Y2772" s="135"/>
      <c r="Z2772" s="135"/>
    </row>
    <row r="2773" spans="1:26" ht="12.75">
      <c r="A2773" s="136" t="s">
        <v>15</v>
      </c>
      <c r="B2773" s="136" t="s">
        <v>7809</v>
      </c>
      <c r="C2773" s="136" t="s">
        <v>7813</v>
      </c>
      <c r="D2773" s="136" t="s">
        <v>7801</v>
      </c>
      <c r="E2773" s="136" t="s">
        <v>615</v>
      </c>
      <c r="F2773" s="136">
        <v>54</v>
      </c>
      <c r="G2773" s="137">
        <f t="shared" si="10"/>
        <v>7</v>
      </c>
      <c r="H2773" s="137"/>
      <c r="I2773" s="137"/>
      <c r="J2773" s="135"/>
      <c r="K2773" s="135"/>
      <c r="L2773" s="135"/>
      <c r="M2773" s="135"/>
      <c r="N2773" s="135"/>
      <c r="O2773" s="135"/>
      <c r="P2773" s="135"/>
      <c r="Q2773" s="135"/>
      <c r="R2773" s="135"/>
      <c r="S2773" s="135"/>
      <c r="T2773" s="135"/>
      <c r="U2773" s="135"/>
      <c r="V2773" s="135"/>
      <c r="W2773" s="135"/>
      <c r="X2773" s="135"/>
      <c r="Y2773" s="135"/>
      <c r="Z2773" s="135"/>
    </row>
    <row r="2774" spans="1:26" ht="12.75">
      <c r="A2774" s="136" t="s">
        <v>15</v>
      </c>
      <c r="B2774" s="136" t="s">
        <v>7809</v>
      </c>
      <c r="C2774" s="136" t="s">
        <v>7814</v>
      </c>
      <c r="D2774" s="136" t="s">
        <v>139</v>
      </c>
      <c r="E2774" s="136" t="s">
        <v>594</v>
      </c>
      <c r="F2774" s="136">
        <v>945</v>
      </c>
      <c r="G2774" s="137">
        <f t="shared" si="10"/>
        <v>1</v>
      </c>
      <c r="H2774" s="137"/>
      <c r="I2774" s="137"/>
      <c r="J2774" s="135"/>
      <c r="K2774" s="135"/>
      <c r="L2774" s="135"/>
      <c r="M2774" s="135"/>
      <c r="N2774" s="135"/>
      <c r="O2774" s="135"/>
      <c r="P2774" s="135"/>
      <c r="Q2774" s="135"/>
      <c r="R2774" s="135"/>
      <c r="S2774" s="135"/>
      <c r="T2774" s="135"/>
      <c r="U2774" s="135"/>
      <c r="V2774" s="135"/>
      <c r="W2774" s="135"/>
      <c r="X2774" s="135"/>
      <c r="Y2774" s="135"/>
      <c r="Z2774" s="135"/>
    </row>
    <row r="2775" spans="1:26" ht="12.75">
      <c r="A2775" s="136" t="s">
        <v>15</v>
      </c>
      <c r="B2775" s="136" t="s">
        <v>7809</v>
      </c>
      <c r="C2775" s="136" t="s">
        <v>7814</v>
      </c>
      <c r="D2775" s="136" t="s">
        <v>7762</v>
      </c>
      <c r="E2775" s="136" t="s">
        <v>615</v>
      </c>
      <c r="F2775" s="136">
        <v>125</v>
      </c>
      <c r="G2775" s="137">
        <f t="shared" si="10"/>
        <v>2</v>
      </c>
      <c r="H2775" s="137"/>
      <c r="I2775" s="137"/>
      <c r="J2775" s="135"/>
      <c r="K2775" s="135"/>
      <c r="L2775" s="135"/>
      <c r="M2775" s="135"/>
      <c r="N2775" s="135"/>
      <c r="O2775" s="135"/>
      <c r="P2775" s="135"/>
      <c r="Q2775" s="135"/>
      <c r="R2775" s="135"/>
      <c r="S2775" s="135"/>
      <c r="T2775" s="135"/>
      <c r="U2775" s="135"/>
      <c r="V2775" s="135"/>
      <c r="W2775" s="135"/>
      <c r="X2775" s="135"/>
      <c r="Y2775" s="135"/>
      <c r="Z2775" s="135"/>
    </row>
    <row r="2776" spans="1:26" ht="12.75">
      <c r="A2776" s="136" t="s">
        <v>15</v>
      </c>
      <c r="B2776" s="136" t="s">
        <v>7809</v>
      </c>
      <c r="C2776" s="136" t="s">
        <v>7814</v>
      </c>
      <c r="D2776" s="136" t="s">
        <v>7815</v>
      </c>
      <c r="E2776" s="136" t="s">
        <v>594</v>
      </c>
      <c r="F2776" s="136">
        <v>55</v>
      </c>
      <c r="G2776" s="137">
        <f t="shared" si="10"/>
        <v>4</v>
      </c>
      <c r="H2776" s="137"/>
      <c r="I2776" s="137"/>
      <c r="J2776" s="135"/>
      <c r="K2776" s="135"/>
      <c r="L2776" s="135"/>
      <c r="M2776" s="135"/>
      <c r="N2776" s="135"/>
      <c r="O2776" s="135"/>
      <c r="P2776" s="135"/>
      <c r="Q2776" s="135"/>
      <c r="R2776" s="135"/>
      <c r="S2776" s="135"/>
      <c r="T2776" s="135"/>
      <c r="U2776" s="135"/>
      <c r="V2776" s="135"/>
      <c r="W2776" s="135"/>
      <c r="X2776" s="135"/>
      <c r="Y2776" s="135"/>
      <c r="Z2776" s="135"/>
    </row>
    <row r="2777" spans="1:26" ht="12.75">
      <c r="A2777" s="136" t="s">
        <v>15</v>
      </c>
      <c r="B2777" s="136" t="s">
        <v>7809</v>
      </c>
      <c r="C2777" s="136" t="s">
        <v>7814</v>
      </c>
      <c r="D2777" s="136" t="s">
        <v>7481</v>
      </c>
      <c r="E2777" s="136" t="s">
        <v>615</v>
      </c>
      <c r="F2777" s="136">
        <v>97</v>
      </c>
      <c r="G2777" s="137">
        <f t="shared" si="10"/>
        <v>3</v>
      </c>
      <c r="H2777" s="137"/>
      <c r="I2777" s="137"/>
      <c r="J2777" s="135"/>
      <c r="K2777" s="135"/>
      <c r="L2777" s="135"/>
      <c r="M2777" s="135"/>
      <c r="N2777" s="135"/>
      <c r="O2777" s="135"/>
      <c r="P2777" s="135"/>
      <c r="Q2777" s="135"/>
      <c r="R2777" s="135"/>
      <c r="S2777" s="135"/>
      <c r="T2777" s="135"/>
      <c r="U2777" s="135"/>
      <c r="V2777" s="135"/>
      <c r="W2777" s="135"/>
      <c r="X2777" s="135"/>
      <c r="Y2777" s="135"/>
      <c r="Z2777" s="135"/>
    </row>
    <row r="2778" spans="1:26" ht="12.75">
      <c r="A2778" s="136" t="s">
        <v>15</v>
      </c>
      <c r="B2778" s="136" t="s">
        <v>7809</v>
      </c>
      <c r="C2778" s="136" t="s">
        <v>7816</v>
      </c>
      <c r="D2778" s="136" t="s">
        <v>139</v>
      </c>
      <c r="E2778" s="136" t="s">
        <v>594</v>
      </c>
      <c r="F2778" s="136">
        <v>600</v>
      </c>
      <c r="G2778" s="137">
        <f t="shared" si="10"/>
        <v>1</v>
      </c>
      <c r="H2778" s="137"/>
      <c r="I2778" s="137"/>
      <c r="J2778" s="135"/>
      <c r="K2778" s="135"/>
      <c r="L2778" s="135"/>
      <c r="M2778" s="135"/>
      <c r="N2778" s="135"/>
      <c r="O2778" s="135"/>
      <c r="P2778" s="135"/>
      <c r="Q2778" s="135"/>
      <c r="R2778" s="135"/>
      <c r="S2778" s="135"/>
      <c r="T2778" s="135"/>
      <c r="U2778" s="135"/>
      <c r="V2778" s="135"/>
      <c r="W2778" s="135"/>
      <c r="X2778" s="135"/>
      <c r="Y2778" s="135"/>
      <c r="Z2778" s="135"/>
    </row>
    <row r="2779" spans="1:26" ht="12.75">
      <c r="A2779" s="136" t="s">
        <v>15</v>
      </c>
      <c r="B2779" s="136" t="s">
        <v>7809</v>
      </c>
      <c r="C2779" s="136" t="s">
        <v>7816</v>
      </c>
      <c r="D2779" s="136" t="s">
        <v>114</v>
      </c>
      <c r="E2779" s="136" t="s">
        <v>85</v>
      </c>
      <c r="F2779" s="136">
        <v>325</v>
      </c>
      <c r="G2779" s="137">
        <f t="shared" si="10"/>
        <v>2</v>
      </c>
      <c r="H2779" s="137"/>
      <c r="I2779" s="137"/>
      <c r="J2779" s="135"/>
      <c r="K2779" s="135"/>
      <c r="L2779" s="135"/>
      <c r="M2779" s="135"/>
      <c r="N2779" s="135"/>
      <c r="O2779" s="135"/>
      <c r="P2779" s="135"/>
      <c r="Q2779" s="135"/>
      <c r="R2779" s="135"/>
      <c r="S2779" s="135"/>
      <c r="T2779" s="135"/>
      <c r="U2779" s="135"/>
      <c r="V2779" s="135"/>
      <c r="W2779" s="135"/>
      <c r="X2779" s="135"/>
      <c r="Y2779" s="135"/>
      <c r="Z2779" s="135"/>
    </row>
    <row r="2780" spans="1:26" ht="12.75">
      <c r="A2780" s="136" t="s">
        <v>15</v>
      </c>
      <c r="B2780" s="136" t="s">
        <v>7809</v>
      </c>
      <c r="C2780" s="136" t="s">
        <v>7816</v>
      </c>
      <c r="D2780" s="136" t="s">
        <v>467</v>
      </c>
      <c r="E2780" s="136" t="s">
        <v>85</v>
      </c>
      <c r="F2780" s="136">
        <v>139</v>
      </c>
      <c r="G2780" s="137">
        <f t="shared" si="10"/>
        <v>3</v>
      </c>
      <c r="H2780" s="137"/>
      <c r="I2780" s="137"/>
      <c r="J2780" s="135"/>
      <c r="K2780" s="135"/>
      <c r="L2780" s="135"/>
      <c r="M2780" s="135"/>
      <c r="N2780" s="135"/>
      <c r="O2780" s="135"/>
      <c r="P2780" s="135"/>
      <c r="Q2780" s="135"/>
      <c r="R2780" s="135"/>
      <c r="S2780" s="135"/>
      <c r="T2780" s="135"/>
      <c r="U2780" s="135"/>
      <c r="V2780" s="135"/>
      <c r="W2780" s="135"/>
      <c r="X2780" s="135"/>
      <c r="Y2780" s="135"/>
      <c r="Z2780" s="135"/>
    </row>
    <row r="2781" spans="1:26" ht="12.75">
      <c r="A2781" s="136" t="s">
        <v>15</v>
      </c>
      <c r="B2781" s="136" t="s">
        <v>7809</v>
      </c>
      <c r="C2781" s="136" t="s">
        <v>7816</v>
      </c>
      <c r="D2781" s="136" t="s">
        <v>1665</v>
      </c>
      <c r="E2781" s="136" t="s">
        <v>615</v>
      </c>
      <c r="F2781" s="136">
        <v>100</v>
      </c>
      <c r="G2781" s="137">
        <f t="shared" si="10"/>
        <v>4</v>
      </c>
      <c r="H2781" s="137"/>
      <c r="I2781" s="137"/>
      <c r="J2781" s="135"/>
      <c r="K2781" s="135"/>
      <c r="L2781" s="135"/>
      <c r="M2781" s="135"/>
      <c r="N2781" s="135"/>
      <c r="O2781" s="135"/>
      <c r="P2781" s="135"/>
      <c r="Q2781" s="135"/>
      <c r="R2781" s="135"/>
      <c r="S2781" s="135"/>
      <c r="T2781" s="135"/>
      <c r="U2781" s="135"/>
      <c r="V2781" s="135"/>
      <c r="W2781" s="135"/>
      <c r="X2781" s="135"/>
      <c r="Y2781" s="135"/>
      <c r="Z2781" s="135"/>
    </row>
    <row r="2782" spans="1:26" ht="12.75">
      <c r="A2782" s="136" t="s">
        <v>15</v>
      </c>
      <c r="B2782" s="136" t="s">
        <v>7809</v>
      </c>
      <c r="C2782" s="136" t="s">
        <v>7816</v>
      </c>
      <c r="D2782" s="136" t="s">
        <v>7817</v>
      </c>
      <c r="E2782" s="136" t="s">
        <v>615</v>
      </c>
      <c r="F2782" s="136">
        <v>50</v>
      </c>
      <c r="G2782" s="137">
        <f t="shared" si="10"/>
        <v>5</v>
      </c>
      <c r="H2782" s="137"/>
      <c r="I2782" s="137"/>
      <c r="J2782" s="135"/>
      <c r="K2782" s="135"/>
      <c r="L2782" s="135"/>
      <c r="M2782" s="135"/>
      <c r="N2782" s="135"/>
      <c r="O2782" s="135"/>
      <c r="P2782" s="135"/>
      <c r="Q2782" s="135"/>
      <c r="R2782" s="135"/>
      <c r="S2782" s="135"/>
      <c r="T2782" s="135"/>
      <c r="U2782" s="135"/>
      <c r="V2782" s="135"/>
      <c r="W2782" s="135"/>
      <c r="X2782" s="135"/>
      <c r="Y2782" s="135"/>
      <c r="Z2782" s="135"/>
    </row>
    <row r="2783" spans="1:26" ht="12.75">
      <c r="A2783" s="136" t="s">
        <v>15</v>
      </c>
      <c r="B2783" s="136" t="s">
        <v>7809</v>
      </c>
      <c r="C2783" s="136" t="s">
        <v>7816</v>
      </c>
      <c r="D2783" s="136" t="s">
        <v>7491</v>
      </c>
      <c r="E2783" s="136" t="s">
        <v>615</v>
      </c>
      <c r="F2783" s="136">
        <v>30</v>
      </c>
      <c r="G2783" s="137">
        <f t="shared" si="10"/>
        <v>6</v>
      </c>
      <c r="H2783" s="137"/>
      <c r="I2783" s="137"/>
      <c r="J2783" s="135"/>
      <c r="K2783" s="135"/>
      <c r="L2783" s="135"/>
      <c r="M2783" s="135"/>
      <c r="N2783" s="135"/>
      <c r="O2783" s="135"/>
      <c r="P2783" s="135"/>
      <c r="Q2783" s="135"/>
      <c r="R2783" s="135"/>
      <c r="S2783" s="135"/>
      <c r="T2783" s="135"/>
      <c r="U2783" s="135"/>
      <c r="V2783" s="135"/>
      <c r="W2783" s="135"/>
      <c r="X2783" s="135"/>
      <c r="Y2783" s="135"/>
      <c r="Z2783" s="135"/>
    </row>
    <row r="2784" spans="1:26" ht="12.75">
      <c r="A2784" s="136" t="s">
        <v>15</v>
      </c>
      <c r="B2784" s="136" t="s">
        <v>7809</v>
      </c>
      <c r="C2784" s="136" t="s">
        <v>7818</v>
      </c>
      <c r="D2784" s="136" t="s">
        <v>139</v>
      </c>
      <c r="E2784" s="136" t="s">
        <v>594</v>
      </c>
      <c r="F2784" s="136">
        <v>700</v>
      </c>
      <c r="G2784" s="137">
        <f t="shared" si="10"/>
        <v>1</v>
      </c>
      <c r="H2784" s="137"/>
      <c r="I2784" s="137"/>
      <c r="J2784" s="135"/>
      <c r="K2784" s="135"/>
      <c r="L2784" s="135"/>
      <c r="M2784" s="135"/>
      <c r="N2784" s="135"/>
      <c r="O2784" s="135"/>
      <c r="P2784" s="135"/>
      <c r="Q2784" s="135"/>
      <c r="R2784" s="135"/>
      <c r="S2784" s="135"/>
      <c r="T2784" s="135"/>
      <c r="U2784" s="135"/>
      <c r="V2784" s="135"/>
      <c r="W2784" s="135"/>
      <c r="X2784" s="135"/>
      <c r="Y2784" s="135"/>
      <c r="Z2784" s="135"/>
    </row>
    <row r="2785" spans="1:26" ht="12.75">
      <c r="A2785" s="136" t="s">
        <v>15</v>
      </c>
      <c r="B2785" s="136" t="s">
        <v>7809</v>
      </c>
      <c r="C2785" s="136" t="s">
        <v>7818</v>
      </c>
      <c r="D2785" s="136" t="s">
        <v>7491</v>
      </c>
      <c r="E2785" s="136" t="s">
        <v>615</v>
      </c>
      <c r="F2785" s="136">
        <v>111</v>
      </c>
      <c r="G2785" s="137">
        <f t="shared" si="10"/>
        <v>2</v>
      </c>
      <c r="H2785" s="137"/>
      <c r="I2785" s="137"/>
      <c r="J2785" s="135"/>
      <c r="K2785" s="135"/>
      <c r="L2785" s="135"/>
      <c r="M2785" s="135"/>
      <c r="N2785" s="135"/>
      <c r="O2785" s="135"/>
      <c r="P2785" s="135"/>
      <c r="Q2785" s="135"/>
      <c r="R2785" s="135"/>
      <c r="S2785" s="135"/>
      <c r="T2785" s="135"/>
      <c r="U2785" s="135"/>
      <c r="V2785" s="135"/>
      <c r="W2785" s="135"/>
      <c r="X2785" s="135"/>
      <c r="Y2785" s="135"/>
      <c r="Z2785" s="135"/>
    </row>
    <row r="2786" spans="1:26" ht="12.75">
      <c r="A2786" s="136" t="s">
        <v>15</v>
      </c>
      <c r="B2786" s="136" t="s">
        <v>7809</v>
      </c>
      <c r="C2786" s="136" t="s">
        <v>7818</v>
      </c>
      <c r="D2786" s="136" t="s">
        <v>7819</v>
      </c>
      <c r="E2786" s="136" t="s">
        <v>615</v>
      </c>
      <c r="F2786" s="136">
        <v>100</v>
      </c>
      <c r="G2786" s="137">
        <f t="shared" si="10"/>
        <v>3</v>
      </c>
      <c r="H2786" s="137"/>
      <c r="I2786" s="137"/>
      <c r="J2786" s="135"/>
      <c r="K2786" s="135"/>
      <c r="L2786" s="135"/>
      <c r="M2786" s="135"/>
      <c r="N2786" s="135"/>
      <c r="O2786" s="135"/>
      <c r="P2786" s="135"/>
      <c r="Q2786" s="135"/>
      <c r="R2786" s="135"/>
      <c r="S2786" s="135"/>
      <c r="T2786" s="135"/>
      <c r="U2786" s="135"/>
      <c r="V2786" s="135"/>
      <c r="W2786" s="135"/>
      <c r="X2786" s="135"/>
      <c r="Y2786" s="135"/>
      <c r="Z2786" s="135"/>
    </row>
    <row r="2787" spans="1:26" ht="12.75">
      <c r="A2787" s="136" t="s">
        <v>15</v>
      </c>
      <c r="B2787" s="136" t="s">
        <v>7809</v>
      </c>
      <c r="C2787" s="136" t="s">
        <v>7818</v>
      </c>
      <c r="D2787" s="136" t="s">
        <v>136</v>
      </c>
      <c r="E2787" s="136" t="s">
        <v>615</v>
      </c>
      <c r="F2787" s="136">
        <v>100</v>
      </c>
      <c r="G2787" s="137">
        <f t="shared" si="10"/>
        <v>4</v>
      </c>
      <c r="H2787" s="137"/>
      <c r="I2787" s="137"/>
      <c r="J2787" s="135"/>
      <c r="K2787" s="135"/>
      <c r="L2787" s="135"/>
      <c r="M2787" s="135"/>
      <c r="N2787" s="135"/>
      <c r="O2787" s="135"/>
      <c r="P2787" s="135"/>
      <c r="Q2787" s="135"/>
      <c r="R2787" s="135"/>
      <c r="S2787" s="135"/>
      <c r="T2787" s="135"/>
      <c r="U2787" s="135"/>
      <c r="V2787" s="135"/>
      <c r="W2787" s="135"/>
      <c r="X2787" s="135"/>
      <c r="Y2787" s="135"/>
      <c r="Z2787" s="135"/>
    </row>
    <row r="2788" spans="1:26" ht="12.75">
      <c r="A2788" s="136" t="s">
        <v>15</v>
      </c>
      <c r="B2788" s="136" t="s">
        <v>7809</v>
      </c>
      <c r="C2788" s="136" t="s">
        <v>7818</v>
      </c>
      <c r="D2788" s="136" t="s">
        <v>7743</v>
      </c>
      <c r="E2788" s="136" t="s">
        <v>594</v>
      </c>
      <c r="F2788" s="136">
        <v>100</v>
      </c>
      <c r="G2788" s="137">
        <f t="shared" si="10"/>
        <v>5</v>
      </c>
      <c r="H2788" s="137"/>
      <c r="I2788" s="137"/>
      <c r="J2788" s="135"/>
      <c r="K2788" s="135"/>
      <c r="L2788" s="135"/>
      <c r="M2788" s="135"/>
      <c r="N2788" s="135"/>
      <c r="O2788" s="135"/>
      <c r="P2788" s="135"/>
      <c r="Q2788" s="135"/>
      <c r="R2788" s="135"/>
      <c r="S2788" s="135"/>
      <c r="T2788" s="135"/>
      <c r="U2788" s="135"/>
      <c r="V2788" s="135"/>
      <c r="W2788" s="135"/>
      <c r="X2788" s="135"/>
      <c r="Y2788" s="135"/>
      <c r="Z2788" s="135"/>
    </row>
    <row r="2789" spans="1:26" ht="12.75">
      <c r="A2789" s="136" t="s">
        <v>15</v>
      </c>
      <c r="B2789" s="136" t="s">
        <v>7809</v>
      </c>
      <c r="C2789" s="136" t="s">
        <v>7818</v>
      </c>
      <c r="D2789" s="136" t="s">
        <v>1626</v>
      </c>
      <c r="E2789" s="136" t="s">
        <v>594</v>
      </c>
      <c r="F2789" s="136">
        <v>50</v>
      </c>
      <c r="G2789" s="137">
        <f t="shared" si="10"/>
        <v>6</v>
      </c>
      <c r="H2789" s="137"/>
      <c r="I2789" s="137"/>
      <c r="J2789" s="135"/>
      <c r="K2789" s="135"/>
      <c r="L2789" s="135"/>
      <c r="M2789" s="135"/>
      <c r="N2789" s="135"/>
      <c r="O2789" s="135"/>
      <c r="P2789" s="135"/>
      <c r="Q2789" s="135"/>
      <c r="R2789" s="135"/>
      <c r="S2789" s="135"/>
      <c r="T2789" s="135"/>
      <c r="U2789" s="135"/>
      <c r="V2789" s="135"/>
      <c r="W2789" s="135"/>
      <c r="X2789" s="135"/>
      <c r="Y2789" s="135"/>
      <c r="Z2789" s="135"/>
    </row>
    <row r="2790" spans="1:26" ht="12.75">
      <c r="A2790" s="136" t="s">
        <v>15</v>
      </c>
      <c r="B2790" s="136" t="s">
        <v>7809</v>
      </c>
      <c r="C2790" s="136" t="s">
        <v>7818</v>
      </c>
      <c r="D2790" s="136" t="s">
        <v>7762</v>
      </c>
      <c r="E2790" s="136" t="s">
        <v>615</v>
      </c>
      <c r="F2790" s="136">
        <v>50</v>
      </c>
      <c r="G2790" s="137">
        <f t="shared" si="10"/>
        <v>7</v>
      </c>
      <c r="H2790" s="137"/>
      <c r="I2790" s="137"/>
      <c r="J2790" s="135"/>
      <c r="K2790" s="135"/>
      <c r="L2790" s="135"/>
      <c r="M2790" s="135"/>
      <c r="N2790" s="135"/>
      <c r="O2790" s="135"/>
      <c r="P2790" s="135"/>
      <c r="Q2790" s="135"/>
      <c r="R2790" s="135"/>
      <c r="S2790" s="135"/>
      <c r="T2790" s="135"/>
      <c r="U2790" s="135"/>
      <c r="V2790" s="135"/>
      <c r="W2790" s="135"/>
      <c r="X2790" s="135"/>
      <c r="Y2790" s="135"/>
      <c r="Z2790" s="135"/>
    </row>
    <row r="2791" spans="1:26" ht="12.75">
      <c r="A2791" s="136" t="s">
        <v>15</v>
      </c>
      <c r="B2791" s="136" t="s">
        <v>7809</v>
      </c>
      <c r="C2791" s="136" t="s">
        <v>7820</v>
      </c>
      <c r="D2791" s="136" t="s">
        <v>7743</v>
      </c>
      <c r="E2791" s="136" t="s">
        <v>594</v>
      </c>
      <c r="F2791" s="136">
        <v>450</v>
      </c>
      <c r="G2791" s="137">
        <f t="shared" si="10"/>
        <v>1</v>
      </c>
      <c r="H2791" s="137"/>
      <c r="I2791" s="137"/>
      <c r="J2791" s="135"/>
      <c r="K2791" s="135"/>
      <c r="L2791" s="135"/>
      <c r="M2791" s="135"/>
      <c r="N2791" s="135"/>
      <c r="O2791" s="135"/>
      <c r="P2791" s="135"/>
      <c r="Q2791" s="135"/>
      <c r="R2791" s="135"/>
      <c r="S2791" s="135"/>
      <c r="T2791" s="135"/>
      <c r="U2791" s="135"/>
      <c r="V2791" s="135"/>
      <c r="W2791" s="135"/>
      <c r="X2791" s="135"/>
      <c r="Y2791" s="135"/>
      <c r="Z2791" s="135"/>
    </row>
    <row r="2792" spans="1:26" ht="12.75">
      <c r="A2792" s="136" t="s">
        <v>15</v>
      </c>
      <c r="B2792" s="136" t="s">
        <v>7809</v>
      </c>
      <c r="C2792" s="136" t="s">
        <v>7820</v>
      </c>
      <c r="D2792" s="136" t="s">
        <v>7491</v>
      </c>
      <c r="E2792" s="136" t="s">
        <v>615</v>
      </c>
      <c r="F2792" s="136">
        <v>136</v>
      </c>
      <c r="G2792" s="137">
        <f t="shared" si="10"/>
        <v>2</v>
      </c>
      <c r="H2792" s="137"/>
      <c r="I2792" s="137"/>
      <c r="J2792" s="135"/>
      <c r="K2792" s="135"/>
      <c r="L2792" s="135"/>
      <c r="M2792" s="135"/>
      <c r="N2792" s="135"/>
      <c r="O2792" s="135"/>
      <c r="P2792" s="135"/>
      <c r="Q2792" s="135"/>
      <c r="R2792" s="135"/>
      <c r="S2792" s="135"/>
      <c r="T2792" s="135"/>
      <c r="U2792" s="135"/>
      <c r="V2792" s="135"/>
      <c r="W2792" s="135"/>
      <c r="X2792" s="135"/>
      <c r="Y2792" s="135"/>
      <c r="Z2792" s="135"/>
    </row>
    <row r="2793" spans="1:26" ht="12.75">
      <c r="A2793" s="136" t="s">
        <v>15</v>
      </c>
      <c r="B2793" s="136" t="s">
        <v>7809</v>
      </c>
      <c r="C2793" s="136" t="s">
        <v>7820</v>
      </c>
      <c r="D2793" s="136" t="s">
        <v>1656</v>
      </c>
      <c r="E2793" s="136" t="s">
        <v>615</v>
      </c>
      <c r="F2793" s="136">
        <v>125</v>
      </c>
      <c r="G2793" s="137">
        <f t="shared" si="10"/>
        <v>3</v>
      </c>
      <c r="H2793" s="137"/>
      <c r="I2793" s="137"/>
      <c r="J2793" s="135"/>
      <c r="K2793" s="135"/>
      <c r="L2793" s="135"/>
      <c r="M2793" s="135"/>
      <c r="N2793" s="135"/>
      <c r="O2793" s="135"/>
      <c r="P2793" s="135"/>
      <c r="Q2793" s="135"/>
      <c r="R2793" s="135"/>
      <c r="S2793" s="135"/>
      <c r="T2793" s="135"/>
      <c r="U2793" s="135"/>
      <c r="V2793" s="135"/>
      <c r="W2793" s="135"/>
      <c r="X2793" s="135"/>
      <c r="Y2793" s="135"/>
      <c r="Z2793" s="135"/>
    </row>
    <row r="2794" spans="1:26" ht="12.75">
      <c r="A2794" s="136" t="s">
        <v>15</v>
      </c>
      <c r="B2794" s="136" t="s">
        <v>7809</v>
      </c>
      <c r="C2794" s="136" t="s">
        <v>7820</v>
      </c>
      <c r="D2794" s="136" t="s">
        <v>7821</v>
      </c>
      <c r="E2794" s="136" t="s">
        <v>615</v>
      </c>
      <c r="F2794" s="136">
        <v>125</v>
      </c>
      <c r="G2794" s="137">
        <f t="shared" si="10"/>
        <v>4</v>
      </c>
      <c r="H2794" s="137"/>
      <c r="I2794" s="137"/>
      <c r="J2794" s="135"/>
      <c r="K2794" s="135"/>
      <c r="L2794" s="135"/>
      <c r="M2794" s="135"/>
      <c r="N2794" s="135"/>
      <c r="O2794" s="135"/>
      <c r="P2794" s="135"/>
      <c r="Q2794" s="135"/>
      <c r="R2794" s="135"/>
      <c r="S2794" s="135"/>
      <c r="T2794" s="135"/>
      <c r="U2794" s="135"/>
      <c r="V2794" s="135"/>
      <c r="W2794" s="135"/>
      <c r="X2794" s="135"/>
      <c r="Y2794" s="135"/>
      <c r="Z2794" s="135"/>
    </row>
    <row r="2795" spans="1:26" ht="12.75">
      <c r="A2795" s="136" t="s">
        <v>15</v>
      </c>
      <c r="B2795" s="136" t="s">
        <v>7809</v>
      </c>
      <c r="C2795" s="136" t="s">
        <v>7820</v>
      </c>
      <c r="D2795" s="136" t="s">
        <v>1669</v>
      </c>
      <c r="E2795" s="136" t="s">
        <v>615</v>
      </c>
      <c r="F2795" s="136">
        <v>125</v>
      </c>
      <c r="G2795" s="137">
        <f t="shared" si="10"/>
        <v>5</v>
      </c>
      <c r="H2795" s="137"/>
      <c r="I2795" s="137"/>
      <c r="J2795" s="135"/>
      <c r="K2795" s="135"/>
      <c r="L2795" s="135"/>
      <c r="M2795" s="135"/>
      <c r="N2795" s="135"/>
      <c r="O2795" s="135"/>
      <c r="P2795" s="135"/>
      <c r="Q2795" s="135"/>
      <c r="R2795" s="135"/>
      <c r="S2795" s="135"/>
      <c r="T2795" s="135"/>
      <c r="U2795" s="135"/>
      <c r="V2795" s="135"/>
      <c r="W2795" s="135"/>
      <c r="X2795" s="135"/>
      <c r="Y2795" s="135"/>
      <c r="Z2795" s="135"/>
    </row>
    <row r="2796" spans="1:26" ht="12.75">
      <c r="A2796" s="136" t="s">
        <v>15</v>
      </c>
      <c r="B2796" s="136" t="s">
        <v>7809</v>
      </c>
      <c r="C2796" s="136" t="s">
        <v>7820</v>
      </c>
      <c r="D2796" s="136" t="s">
        <v>136</v>
      </c>
      <c r="E2796" s="136" t="s">
        <v>615</v>
      </c>
      <c r="F2796" s="136">
        <v>105</v>
      </c>
      <c r="G2796" s="137">
        <f t="shared" si="10"/>
        <v>6</v>
      </c>
      <c r="H2796" s="137"/>
      <c r="I2796" s="137"/>
      <c r="J2796" s="135"/>
      <c r="K2796" s="135"/>
      <c r="L2796" s="135"/>
      <c r="M2796" s="135"/>
      <c r="N2796" s="135"/>
      <c r="O2796" s="135"/>
      <c r="P2796" s="135"/>
      <c r="Q2796" s="135"/>
      <c r="R2796" s="135"/>
      <c r="S2796" s="135"/>
      <c r="T2796" s="135"/>
      <c r="U2796" s="135"/>
      <c r="V2796" s="135"/>
      <c r="W2796" s="135"/>
      <c r="X2796" s="135"/>
      <c r="Y2796" s="135"/>
      <c r="Z2796" s="135"/>
    </row>
    <row r="2797" spans="1:26" ht="12.75">
      <c r="A2797" s="136" t="s">
        <v>15</v>
      </c>
      <c r="B2797" s="136" t="s">
        <v>7809</v>
      </c>
      <c r="C2797" s="136" t="s">
        <v>7820</v>
      </c>
      <c r="D2797" s="136" t="s">
        <v>7822</v>
      </c>
      <c r="E2797" s="136" t="s">
        <v>615</v>
      </c>
      <c r="F2797" s="136">
        <v>105</v>
      </c>
      <c r="G2797" s="137">
        <f t="shared" si="10"/>
        <v>7</v>
      </c>
      <c r="H2797" s="137"/>
      <c r="I2797" s="137"/>
      <c r="J2797" s="135"/>
      <c r="K2797" s="135"/>
      <c r="L2797" s="135"/>
      <c r="M2797" s="135"/>
      <c r="N2797" s="135"/>
      <c r="O2797" s="135"/>
      <c r="P2797" s="135"/>
      <c r="Q2797" s="135"/>
      <c r="R2797" s="135"/>
      <c r="S2797" s="135"/>
      <c r="T2797" s="135"/>
      <c r="U2797" s="135"/>
      <c r="V2797" s="135"/>
      <c r="W2797" s="135"/>
      <c r="X2797" s="135"/>
      <c r="Y2797" s="135"/>
      <c r="Z2797" s="135"/>
    </row>
    <row r="2798" spans="1:26" ht="12.75">
      <c r="A2798" s="136" t="s">
        <v>15</v>
      </c>
      <c r="B2798" s="136" t="s">
        <v>7809</v>
      </c>
      <c r="C2798" s="136" t="s">
        <v>7820</v>
      </c>
      <c r="D2798" s="136" t="s">
        <v>139</v>
      </c>
      <c r="E2798" s="136" t="s">
        <v>594</v>
      </c>
      <c r="F2798" s="136">
        <v>100</v>
      </c>
      <c r="G2798" s="137">
        <f t="shared" si="10"/>
        <v>8</v>
      </c>
      <c r="H2798" s="137"/>
      <c r="I2798" s="137"/>
      <c r="J2798" s="135"/>
      <c r="K2798" s="135"/>
      <c r="L2798" s="135"/>
      <c r="M2798" s="135"/>
      <c r="N2798" s="135"/>
      <c r="O2798" s="135"/>
      <c r="P2798" s="135"/>
      <c r="Q2798" s="135"/>
      <c r="R2798" s="135"/>
      <c r="S2798" s="135"/>
      <c r="T2798" s="135"/>
      <c r="U2798" s="135"/>
      <c r="V2798" s="135"/>
      <c r="W2798" s="135"/>
      <c r="X2798" s="135"/>
      <c r="Y2798" s="135"/>
      <c r="Z2798" s="135"/>
    </row>
    <row r="2799" spans="1:26" ht="12.75">
      <c r="A2799" s="136" t="s">
        <v>15</v>
      </c>
      <c r="B2799" s="136" t="s">
        <v>7809</v>
      </c>
      <c r="C2799" s="136" t="s">
        <v>7820</v>
      </c>
      <c r="D2799" s="136" t="s">
        <v>7788</v>
      </c>
      <c r="E2799" s="136" t="s">
        <v>615</v>
      </c>
      <c r="F2799" s="136">
        <v>75</v>
      </c>
      <c r="G2799" s="137">
        <f t="shared" si="10"/>
        <v>9</v>
      </c>
      <c r="H2799" s="137"/>
      <c r="I2799" s="137"/>
      <c r="J2799" s="135"/>
      <c r="K2799" s="135"/>
      <c r="L2799" s="135"/>
      <c r="M2799" s="135"/>
      <c r="N2799" s="135"/>
      <c r="O2799" s="135"/>
      <c r="P2799" s="135"/>
      <c r="Q2799" s="135"/>
      <c r="R2799" s="135"/>
      <c r="S2799" s="135"/>
      <c r="T2799" s="135"/>
      <c r="U2799" s="135"/>
      <c r="V2799" s="135"/>
      <c r="W2799" s="135"/>
      <c r="X2799" s="135"/>
      <c r="Y2799" s="135"/>
      <c r="Z2799" s="135"/>
    </row>
    <row r="2800" spans="1:26" ht="12.75">
      <c r="A2800" s="136" t="s">
        <v>15</v>
      </c>
      <c r="B2800" s="136" t="s">
        <v>7809</v>
      </c>
      <c r="C2800" s="136" t="s">
        <v>7823</v>
      </c>
      <c r="D2800" s="136" t="s">
        <v>114</v>
      </c>
      <c r="E2800" s="136" t="s">
        <v>85</v>
      </c>
      <c r="F2800" s="136">
        <v>459</v>
      </c>
      <c r="G2800" s="137">
        <f t="shared" si="10"/>
        <v>2</v>
      </c>
      <c r="H2800" s="137"/>
      <c r="I2800" s="137"/>
      <c r="J2800" s="135"/>
      <c r="K2800" s="135"/>
      <c r="L2800" s="135"/>
      <c r="M2800" s="135"/>
      <c r="N2800" s="135"/>
      <c r="O2800" s="135"/>
      <c r="P2800" s="135"/>
      <c r="Q2800" s="135"/>
      <c r="R2800" s="135"/>
      <c r="S2800" s="135"/>
      <c r="T2800" s="135"/>
      <c r="U2800" s="135"/>
      <c r="V2800" s="135"/>
      <c r="W2800" s="135"/>
      <c r="X2800" s="135"/>
      <c r="Y2800" s="135"/>
      <c r="Z2800" s="135"/>
    </row>
    <row r="2801" spans="1:26" ht="12.75">
      <c r="A2801" s="136" t="s">
        <v>15</v>
      </c>
      <c r="B2801" s="136" t="s">
        <v>7809</v>
      </c>
      <c r="C2801" s="136" t="s">
        <v>7823</v>
      </c>
      <c r="D2801" s="136" t="s">
        <v>467</v>
      </c>
      <c r="E2801" s="136" t="s">
        <v>85</v>
      </c>
      <c r="F2801" s="136">
        <v>200</v>
      </c>
      <c r="G2801" s="137">
        <f t="shared" si="10"/>
        <v>3</v>
      </c>
      <c r="H2801" s="137"/>
      <c r="I2801" s="137"/>
      <c r="J2801" s="135"/>
      <c r="K2801" s="135"/>
      <c r="L2801" s="135"/>
      <c r="M2801" s="135"/>
      <c r="N2801" s="135"/>
      <c r="O2801" s="135"/>
      <c r="P2801" s="135"/>
      <c r="Q2801" s="135"/>
      <c r="R2801" s="135"/>
      <c r="S2801" s="135"/>
      <c r="T2801" s="135"/>
      <c r="U2801" s="135"/>
      <c r="V2801" s="135"/>
      <c r="W2801" s="135"/>
      <c r="X2801" s="135"/>
      <c r="Y2801" s="135"/>
      <c r="Z2801" s="135"/>
    </row>
    <row r="2802" spans="1:26" ht="12.75">
      <c r="A2802" s="136" t="s">
        <v>15</v>
      </c>
      <c r="B2802" s="136" t="s">
        <v>7809</v>
      </c>
      <c r="C2802" s="136" t="s">
        <v>7823</v>
      </c>
      <c r="D2802" s="136" t="s">
        <v>7698</v>
      </c>
      <c r="E2802" s="136" t="s">
        <v>615</v>
      </c>
      <c r="F2802" s="136">
        <v>165</v>
      </c>
      <c r="G2802" s="137">
        <f t="shared" si="10"/>
        <v>4</v>
      </c>
      <c r="H2802" s="137"/>
      <c r="I2802" s="137"/>
      <c r="J2802" s="135"/>
      <c r="K2802" s="135"/>
      <c r="L2802" s="135"/>
      <c r="M2802" s="135"/>
      <c r="N2802" s="135"/>
      <c r="O2802" s="135"/>
      <c r="P2802" s="135"/>
      <c r="Q2802" s="135"/>
      <c r="R2802" s="135"/>
      <c r="S2802" s="135"/>
      <c r="T2802" s="135"/>
      <c r="U2802" s="135"/>
      <c r="V2802" s="135"/>
      <c r="W2802" s="135"/>
      <c r="X2802" s="135"/>
      <c r="Y2802" s="135"/>
      <c r="Z2802" s="135"/>
    </row>
    <row r="2803" spans="1:26" ht="12.75">
      <c r="A2803" s="136" t="s">
        <v>15</v>
      </c>
      <c r="B2803" s="136" t="s">
        <v>7809</v>
      </c>
      <c r="C2803" s="136" t="s">
        <v>7823</v>
      </c>
      <c r="D2803" s="136" t="s">
        <v>136</v>
      </c>
      <c r="E2803" s="136" t="s">
        <v>615</v>
      </c>
      <c r="F2803" s="136">
        <v>155</v>
      </c>
      <c r="G2803" s="137">
        <f t="shared" si="10"/>
        <v>5</v>
      </c>
      <c r="H2803" s="137"/>
      <c r="I2803" s="137"/>
      <c r="J2803" s="135"/>
      <c r="K2803" s="135"/>
      <c r="L2803" s="135"/>
      <c r="M2803" s="135"/>
      <c r="N2803" s="135"/>
      <c r="O2803" s="135"/>
      <c r="P2803" s="135"/>
      <c r="Q2803" s="135"/>
      <c r="R2803" s="135"/>
      <c r="S2803" s="135"/>
      <c r="T2803" s="135"/>
      <c r="U2803" s="135"/>
      <c r="V2803" s="135"/>
      <c r="W2803" s="135"/>
      <c r="X2803" s="135"/>
      <c r="Y2803" s="135"/>
      <c r="Z2803" s="135"/>
    </row>
    <row r="2804" spans="1:26" ht="12.75">
      <c r="A2804" s="136" t="s">
        <v>15</v>
      </c>
      <c r="B2804" s="136" t="s">
        <v>7809</v>
      </c>
      <c r="C2804" s="136" t="s">
        <v>7823</v>
      </c>
      <c r="D2804" s="136" t="s">
        <v>7772</v>
      </c>
      <c r="E2804" s="136" t="s">
        <v>615</v>
      </c>
      <c r="F2804" s="136">
        <v>150</v>
      </c>
      <c r="G2804" s="137">
        <f t="shared" si="10"/>
        <v>6</v>
      </c>
      <c r="H2804" s="137"/>
      <c r="I2804" s="137"/>
      <c r="J2804" s="135"/>
      <c r="K2804" s="135"/>
      <c r="L2804" s="135"/>
      <c r="M2804" s="135"/>
      <c r="N2804" s="135"/>
      <c r="O2804" s="135"/>
      <c r="P2804" s="135"/>
      <c r="Q2804" s="135"/>
      <c r="R2804" s="135"/>
      <c r="S2804" s="135"/>
      <c r="T2804" s="135"/>
      <c r="U2804" s="135"/>
      <c r="V2804" s="135"/>
      <c r="W2804" s="135"/>
      <c r="X2804" s="135"/>
      <c r="Y2804" s="135"/>
      <c r="Z2804" s="135"/>
    </row>
    <row r="2805" spans="1:26" ht="12.75">
      <c r="A2805" s="136" t="s">
        <v>15</v>
      </c>
      <c r="B2805" s="136" t="s">
        <v>7809</v>
      </c>
      <c r="C2805" s="136" t="s">
        <v>7823</v>
      </c>
      <c r="D2805" s="136" t="s">
        <v>368</v>
      </c>
      <c r="E2805" s="136" t="s">
        <v>594</v>
      </c>
      <c r="F2805" s="136">
        <v>64</v>
      </c>
      <c r="G2805" s="137">
        <f t="shared" si="10"/>
        <v>7</v>
      </c>
      <c r="H2805" s="137"/>
      <c r="I2805" s="137"/>
      <c r="J2805" s="135"/>
      <c r="K2805" s="135"/>
      <c r="L2805" s="135"/>
      <c r="M2805" s="135"/>
      <c r="N2805" s="135"/>
      <c r="O2805" s="135"/>
      <c r="P2805" s="135"/>
      <c r="Q2805" s="135"/>
      <c r="R2805" s="135"/>
      <c r="S2805" s="135"/>
      <c r="T2805" s="135"/>
      <c r="U2805" s="135"/>
      <c r="V2805" s="135"/>
      <c r="W2805" s="135"/>
      <c r="X2805" s="135"/>
      <c r="Y2805" s="135"/>
      <c r="Z2805" s="135"/>
    </row>
    <row r="2806" spans="1:26" ht="12.75">
      <c r="A2806" s="136" t="s">
        <v>15</v>
      </c>
      <c r="B2806" s="136" t="s">
        <v>7809</v>
      </c>
      <c r="C2806" s="136" t="s">
        <v>7823</v>
      </c>
      <c r="D2806" s="136" t="s">
        <v>1626</v>
      </c>
      <c r="E2806" s="136" t="s">
        <v>594</v>
      </c>
      <c r="F2806" s="136">
        <v>64</v>
      </c>
      <c r="G2806" s="137">
        <f t="shared" si="10"/>
        <v>8</v>
      </c>
      <c r="H2806" s="137"/>
      <c r="I2806" s="137"/>
      <c r="J2806" s="135"/>
      <c r="K2806" s="135"/>
      <c r="L2806" s="135"/>
      <c r="M2806" s="135"/>
      <c r="N2806" s="135"/>
      <c r="O2806" s="135"/>
      <c r="P2806" s="135"/>
      <c r="Q2806" s="135"/>
      <c r="R2806" s="135"/>
      <c r="S2806" s="135"/>
      <c r="T2806" s="135"/>
      <c r="U2806" s="135"/>
      <c r="V2806" s="135"/>
      <c r="W2806" s="135"/>
      <c r="X2806" s="135"/>
      <c r="Y2806" s="135"/>
      <c r="Z2806" s="135"/>
    </row>
    <row r="2807" spans="1:26" ht="12.75">
      <c r="A2807" s="136" t="s">
        <v>15</v>
      </c>
      <c r="B2807" s="136" t="s">
        <v>7809</v>
      </c>
      <c r="C2807" s="136" t="s">
        <v>7823</v>
      </c>
      <c r="D2807" s="136" t="s">
        <v>7491</v>
      </c>
      <c r="E2807" s="136" t="s">
        <v>615</v>
      </c>
      <c r="F2807" s="136">
        <v>46</v>
      </c>
      <c r="G2807" s="137">
        <f t="shared" ref="G2807:G3061" si="11">COUNTIFS($C:$C,C2807,$F:$F,"&gt;"&amp;F2807)
 + COUNTIFS($C$2:C2807,C2807,$F$2:F2807,F2807)</f>
        <v>9</v>
      </c>
      <c r="H2807" s="137"/>
      <c r="I2807" s="137"/>
      <c r="J2807" s="135"/>
      <c r="K2807" s="135"/>
      <c r="L2807" s="135"/>
      <c r="M2807" s="135"/>
      <c r="N2807" s="135"/>
      <c r="O2807" s="135"/>
      <c r="P2807" s="135"/>
      <c r="Q2807" s="135"/>
      <c r="R2807" s="135"/>
      <c r="S2807" s="135"/>
      <c r="T2807" s="135"/>
      <c r="U2807" s="135"/>
      <c r="V2807" s="135"/>
      <c r="W2807" s="135"/>
      <c r="X2807" s="135"/>
      <c r="Y2807" s="135"/>
      <c r="Z2807" s="135"/>
    </row>
    <row r="2808" spans="1:26" ht="12.75">
      <c r="A2808" s="136" t="s">
        <v>15</v>
      </c>
      <c r="B2808" s="136" t="s">
        <v>7809</v>
      </c>
      <c r="C2808" s="136" t="s">
        <v>7823</v>
      </c>
      <c r="D2808" s="136"/>
      <c r="E2808" s="136" t="s">
        <v>7693</v>
      </c>
      <c r="F2808" s="136">
        <v>1303</v>
      </c>
      <c r="G2808" s="137">
        <f t="shared" si="11"/>
        <v>1</v>
      </c>
      <c r="H2808" s="137"/>
      <c r="I2808" s="137"/>
      <c r="J2808" s="135"/>
      <c r="K2808" s="135"/>
      <c r="L2808" s="135"/>
      <c r="M2808" s="135"/>
      <c r="N2808" s="135"/>
      <c r="O2808" s="135"/>
      <c r="P2808" s="135"/>
      <c r="Q2808" s="135"/>
      <c r="R2808" s="135"/>
      <c r="S2808" s="135"/>
      <c r="T2808" s="135"/>
      <c r="U2808" s="135"/>
      <c r="V2808" s="135"/>
      <c r="W2808" s="135"/>
      <c r="X2808" s="135"/>
      <c r="Y2808" s="135"/>
      <c r="Z2808" s="135"/>
    </row>
    <row r="2809" spans="1:26" ht="12.75">
      <c r="A2809" s="136" t="s">
        <v>15</v>
      </c>
      <c r="B2809" s="136" t="s">
        <v>7809</v>
      </c>
      <c r="C2809" s="136" t="s">
        <v>7774</v>
      </c>
      <c r="D2809" s="136" t="s">
        <v>139</v>
      </c>
      <c r="E2809" s="136" t="s">
        <v>594</v>
      </c>
      <c r="F2809" s="136">
        <v>264</v>
      </c>
      <c r="G2809" s="137">
        <f t="shared" si="11"/>
        <v>4</v>
      </c>
      <c r="H2809" s="137"/>
      <c r="I2809" s="137"/>
      <c r="J2809" s="135"/>
      <c r="K2809" s="135"/>
      <c r="L2809" s="135"/>
      <c r="M2809" s="135"/>
      <c r="N2809" s="135"/>
      <c r="O2809" s="135"/>
      <c r="P2809" s="135"/>
      <c r="Q2809" s="135"/>
      <c r="R2809" s="135"/>
      <c r="S2809" s="135"/>
      <c r="T2809" s="135"/>
      <c r="U2809" s="135"/>
      <c r="V2809" s="135"/>
      <c r="W2809" s="135"/>
      <c r="X2809" s="135"/>
      <c r="Y2809" s="135"/>
      <c r="Z2809" s="135"/>
    </row>
    <row r="2810" spans="1:26" ht="12.75">
      <c r="A2810" s="136" t="s">
        <v>15</v>
      </c>
      <c r="B2810" s="136" t="s">
        <v>7809</v>
      </c>
      <c r="C2810" s="136" t="s">
        <v>7774</v>
      </c>
      <c r="D2810" s="136" t="s">
        <v>1663</v>
      </c>
      <c r="E2810" s="136" t="s">
        <v>615</v>
      </c>
      <c r="F2810" s="136">
        <v>227</v>
      </c>
      <c r="G2810" s="137">
        <f t="shared" si="11"/>
        <v>5</v>
      </c>
      <c r="H2810" s="137"/>
      <c r="I2810" s="137"/>
      <c r="J2810" s="135"/>
      <c r="K2810" s="135"/>
      <c r="L2810" s="135"/>
      <c r="M2810" s="135"/>
      <c r="N2810" s="135"/>
      <c r="O2810" s="135"/>
      <c r="P2810" s="135"/>
      <c r="Q2810" s="135"/>
      <c r="R2810" s="135"/>
      <c r="S2810" s="135"/>
      <c r="T2810" s="135"/>
      <c r="U2810" s="135"/>
      <c r="V2810" s="135"/>
      <c r="W2810" s="135"/>
      <c r="X2810" s="135"/>
      <c r="Y2810" s="135"/>
      <c r="Z2810" s="135"/>
    </row>
    <row r="2811" spans="1:26" ht="12.75">
      <c r="A2811" s="136" t="s">
        <v>15</v>
      </c>
      <c r="B2811" s="136" t="s">
        <v>7809</v>
      </c>
      <c r="C2811" s="136" t="s">
        <v>7774</v>
      </c>
      <c r="D2811" s="136" t="s">
        <v>7772</v>
      </c>
      <c r="E2811" s="136" t="s">
        <v>615</v>
      </c>
      <c r="F2811" s="136">
        <v>155</v>
      </c>
      <c r="G2811" s="137">
        <f t="shared" si="11"/>
        <v>8</v>
      </c>
      <c r="H2811" s="137"/>
      <c r="I2811" s="137"/>
      <c r="J2811" s="135"/>
      <c r="K2811" s="135"/>
      <c r="L2811" s="135"/>
      <c r="M2811" s="135"/>
      <c r="N2811" s="135"/>
      <c r="O2811" s="135"/>
      <c r="P2811" s="135"/>
      <c r="Q2811" s="135"/>
      <c r="R2811" s="135"/>
      <c r="S2811" s="135"/>
      <c r="T2811" s="135"/>
      <c r="U2811" s="135"/>
      <c r="V2811" s="135"/>
      <c r="W2811" s="135"/>
      <c r="X2811" s="135"/>
      <c r="Y2811" s="135"/>
      <c r="Z2811" s="135"/>
    </row>
    <row r="2812" spans="1:26" ht="12.75">
      <c r="A2812" s="136" t="s">
        <v>15</v>
      </c>
      <c r="B2812" s="136" t="s">
        <v>7809</v>
      </c>
      <c r="C2812" s="136" t="s">
        <v>7774</v>
      </c>
      <c r="D2812" s="136" t="s">
        <v>103</v>
      </c>
      <c r="E2812" s="136" t="s">
        <v>594</v>
      </c>
      <c r="F2812" s="136">
        <v>145</v>
      </c>
      <c r="G2812" s="137">
        <f t="shared" si="11"/>
        <v>10</v>
      </c>
      <c r="H2812" s="137"/>
      <c r="I2812" s="137"/>
      <c r="J2812" s="135"/>
      <c r="K2812" s="135"/>
      <c r="L2812" s="135"/>
      <c r="M2812" s="135"/>
      <c r="N2812" s="135"/>
      <c r="O2812" s="135"/>
      <c r="P2812" s="135"/>
      <c r="Q2812" s="135"/>
      <c r="R2812" s="135"/>
      <c r="S2812" s="135"/>
      <c r="T2812" s="135"/>
      <c r="U2812" s="135"/>
      <c r="V2812" s="135"/>
      <c r="W2812" s="135"/>
      <c r="X2812" s="135"/>
      <c r="Y2812" s="135"/>
      <c r="Z2812" s="135"/>
    </row>
    <row r="2813" spans="1:26" ht="12.75">
      <c r="A2813" s="136" t="s">
        <v>15</v>
      </c>
      <c r="B2813" s="136" t="s">
        <v>7809</v>
      </c>
      <c r="C2813" s="136" t="s">
        <v>7774</v>
      </c>
      <c r="D2813" s="136" t="s">
        <v>7481</v>
      </c>
      <c r="E2813" s="136" t="s">
        <v>615</v>
      </c>
      <c r="F2813" s="136">
        <v>129</v>
      </c>
      <c r="G2813" s="137">
        <f t="shared" si="11"/>
        <v>12</v>
      </c>
      <c r="H2813" s="137"/>
      <c r="I2813" s="137"/>
      <c r="J2813" s="135"/>
      <c r="K2813" s="135"/>
      <c r="L2813" s="135"/>
      <c r="M2813" s="135"/>
      <c r="N2813" s="135"/>
      <c r="O2813" s="135"/>
      <c r="P2813" s="135"/>
      <c r="Q2813" s="135"/>
      <c r="R2813" s="135"/>
      <c r="S2813" s="135"/>
      <c r="T2813" s="135"/>
      <c r="U2813" s="135"/>
      <c r="V2813" s="135"/>
      <c r="W2813" s="135"/>
      <c r="X2813" s="135"/>
      <c r="Y2813" s="135"/>
      <c r="Z2813" s="135"/>
    </row>
    <row r="2814" spans="1:26" ht="12.75">
      <c r="A2814" s="136" t="s">
        <v>15</v>
      </c>
      <c r="B2814" s="136" t="s">
        <v>7809</v>
      </c>
      <c r="C2814" s="136" t="s">
        <v>7774</v>
      </c>
      <c r="D2814" s="136" t="s">
        <v>1669</v>
      </c>
      <c r="E2814" s="136" t="s">
        <v>615</v>
      </c>
      <c r="F2814" s="136">
        <v>65</v>
      </c>
      <c r="G2814" s="137">
        <f t="shared" si="11"/>
        <v>14</v>
      </c>
      <c r="H2814" s="137"/>
      <c r="I2814" s="137"/>
      <c r="J2814" s="135"/>
      <c r="K2814" s="135"/>
      <c r="L2814" s="135"/>
      <c r="M2814" s="135"/>
      <c r="N2814" s="135"/>
      <c r="O2814" s="135"/>
      <c r="P2814" s="135"/>
      <c r="Q2814" s="135"/>
      <c r="R2814" s="135"/>
      <c r="S2814" s="135"/>
      <c r="T2814" s="135"/>
      <c r="U2814" s="135"/>
      <c r="V2814" s="135"/>
      <c r="W2814" s="135"/>
      <c r="X2814" s="135"/>
      <c r="Y2814" s="135"/>
      <c r="Z2814" s="135"/>
    </row>
    <row r="2815" spans="1:26" ht="12.75">
      <c r="A2815" s="136" t="s">
        <v>15</v>
      </c>
      <c r="B2815" s="136" t="s">
        <v>7809</v>
      </c>
      <c r="C2815" s="136" t="s">
        <v>7774</v>
      </c>
      <c r="D2815" s="136" t="s">
        <v>7762</v>
      </c>
      <c r="E2815" s="136" t="s">
        <v>615</v>
      </c>
      <c r="F2815" s="136">
        <v>65</v>
      </c>
      <c r="G2815" s="137">
        <f t="shared" si="11"/>
        <v>15</v>
      </c>
      <c r="H2815" s="137"/>
      <c r="I2815" s="137"/>
      <c r="J2815" s="135"/>
      <c r="K2815" s="135"/>
      <c r="L2815" s="135"/>
      <c r="M2815" s="135"/>
      <c r="N2815" s="135"/>
      <c r="O2815" s="135"/>
      <c r="P2815" s="135"/>
      <c r="Q2815" s="135"/>
      <c r="R2815" s="135"/>
      <c r="S2815" s="135"/>
      <c r="T2815" s="135"/>
      <c r="U2815" s="135"/>
      <c r="V2815" s="135"/>
      <c r="W2815" s="135"/>
      <c r="X2815" s="135"/>
      <c r="Y2815" s="135"/>
      <c r="Z2815" s="135"/>
    </row>
    <row r="2816" spans="1:26" ht="12.75">
      <c r="A2816" s="136" t="s">
        <v>15</v>
      </c>
      <c r="B2816" s="136" t="s">
        <v>7809</v>
      </c>
      <c r="C2816" s="136" t="s">
        <v>7774</v>
      </c>
      <c r="D2816" s="136" t="s">
        <v>1682</v>
      </c>
      <c r="E2816" s="136" t="s">
        <v>86</v>
      </c>
      <c r="F2816" s="136">
        <v>60</v>
      </c>
      <c r="G2816" s="137">
        <f t="shared" si="11"/>
        <v>17</v>
      </c>
      <c r="H2816" s="137"/>
      <c r="I2816" s="137"/>
      <c r="J2816" s="135"/>
      <c r="K2816" s="135"/>
      <c r="L2816" s="135"/>
      <c r="M2816" s="135"/>
      <c r="N2816" s="135"/>
      <c r="O2816" s="135"/>
      <c r="P2816" s="135"/>
      <c r="Q2816" s="135"/>
      <c r="R2816" s="135"/>
      <c r="S2816" s="135"/>
      <c r="T2816" s="135"/>
      <c r="U2816" s="135"/>
      <c r="V2816" s="135"/>
      <c r="W2816" s="135"/>
      <c r="X2816" s="135"/>
      <c r="Y2816" s="135"/>
      <c r="Z2816" s="135"/>
    </row>
    <row r="2817" spans="1:26" ht="12.75">
      <c r="A2817" s="136" t="s">
        <v>15</v>
      </c>
      <c r="B2817" s="136" t="s">
        <v>7809</v>
      </c>
      <c r="C2817" s="136" t="s">
        <v>7774</v>
      </c>
      <c r="D2817" s="136" t="s">
        <v>7743</v>
      </c>
      <c r="E2817" s="136" t="s">
        <v>594</v>
      </c>
      <c r="F2817" s="136">
        <v>60</v>
      </c>
      <c r="G2817" s="137">
        <f t="shared" si="11"/>
        <v>18</v>
      </c>
      <c r="H2817" s="137"/>
      <c r="I2817" s="137"/>
      <c r="J2817" s="135"/>
      <c r="K2817" s="135"/>
      <c r="L2817" s="135"/>
      <c r="M2817" s="135"/>
      <c r="N2817" s="135"/>
      <c r="O2817" s="135"/>
      <c r="P2817" s="135"/>
      <c r="Q2817" s="135"/>
      <c r="R2817" s="135"/>
      <c r="S2817" s="135"/>
      <c r="T2817" s="135"/>
      <c r="U2817" s="135"/>
      <c r="V2817" s="135"/>
      <c r="W2817" s="135"/>
      <c r="X2817" s="135"/>
      <c r="Y2817" s="135"/>
      <c r="Z2817" s="135"/>
    </row>
    <row r="2818" spans="1:26" ht="12.75">
      <c r="A2818" s="136" t="s">
        <v>15</v>
      </c>
      <c r="B2818" s="136" t="s">
        <v>7809</v>
      </c>
      <c r="C2818" s="136" t="s">
        <v>7774</v>
      </c>
      <c r="D2818" s="136" t="s">
        <v>7551</v>
      </c>
      <c r="E2818" s="136" t="s">
        <v>615</v>
      </c>
      <c r="F2818" s="136">
        <v>50</v>
      </c>
      <c r="G2818" s="137">
        <f t="shared" si="11"/>
        <v>19</v>
      </c>
      <c r="H2818" s="137"/>
      <c r="I2818" s="137"/>
      <c r="J2818" s="135"/>
      <c r="K2818" s="135"/>
      <c r="L2818" s="135"/>
      <c r="M2818" s="135"/>
      <c r="N2818" s="135"/>
      <c r="O2818" s="135"/>
      <c r="P2818" s="135"/>
      <c r="Q2818" s="135"/>
      <c r="R2818" s="135"/>
      <c r="S2818" s="135"/>
      <c r="T2818" s="135"/>
      <c r="U2818" s="135"/>
      <c r="V2818" s="135"/>
      <c r="W2818" s="135"/>
      <c r="X2818" s="135"/>
      <c r="Y2818" s="135"/>
      <c r="Z2818" s="135"/>
    </row>
    <row r="2819" spans="1:26" ht="12.75">
      <c r="A2819" s="136" t="s">
        <v>15</v>
      </c>
      <c r="B2819" s="136" t="s">
        <v>7809</v>
      </c>
      <c r="C2819" s="136" t="s">
        <v>7774</v>
      </c>
      <c r="D2819" s="136"/>
      <c r="E2819" s="136" t="s">
        <v>7693</v>
      </c>
      <c r="F2819" s="136">
        <v>1220</v>
      </c>
      <c r="G2819" s="137">
        <f t="shared" si="11"/>
        <v>2</v>
      </c>
      <c r="H2819" s="137"/>
      <c r="I2819" s="137"/>
      <c r="J2819" s="135"/>
      <c r="K2819" s="135"/>
      <c r="L2819" s="135"/>
      <c r="M2819" s="135"/>
      <c r="N2819" s="135"/>
      <c r="O2819" s="135"/>
      <c r="P2819" s="135"/>
      <c r="Q2819" s="135"/>
      <c r="R2819" s="135"/>
      <c r="S2819" s="135"/>
      <c r="T2819" s="135"/>
      <c r="U2819" s="135"/>
      <c r="V2819" s="135"/>
      <c r="W2819" s="135"/>
      <c r="X2819" s="135"/>
      <c r="Y2819" s="135"/>
      <c r="Z2819" s="135"/>
    </row>
    <row r="2820" spans="1:26" ht="12.75">
      <c r="A2820" s="136" t="s">
        <v>15</v>
      </c>
      <c r="B2820" s="136" t="s">
        <v>7809</v>
      </c>
      <c r="C2820" s="136" t="s">
        <v>7776</v>
      </c>
      <c r="D2820" s="136" t="s">
        <v>7772</v>
      </c>
      <c r="E2820" s="136" t="s">
        <v>615</v>
      </c>
      <c r="F2820" s="136">
        <v>432</v>
      </c>
      <c r="G2820" s="137">
        <f t="shared" si="11"/>
        <v>3</v>
      </c>
      <c r="H2820" s="137"/>
      <c r="I2820" s="137"/>
      <c r="J2820" s="135"/>
      <c r="K2820" s="135"/>
      <c r="L2820" s="135"/>
      <c r="M2820" s="135"/>
      <c r="N2820" s="135"/>
      <c r="O2820" s="135"/>
      <c r="P2820" s="135"/>
      <c r="Q2820" s="135"/>
      <c r="R2820" s="135"/>
      <c r="S2820" s="135"/>
      <c r="T2820" s="135"/>
      <c r="U2820" s="135"/>
      <c r="V2820" s="135"/>
      <c r="W2820" s="135"/>
      <c r="X2820" s="135"/>
      <c r="Y2820" s="135"/>
      <c r="Z2820" s="135"/>
    </row>
    <row r="2821" spans="1:26" ht="12.75">
      <c r="A2821" s="136" t="s">
        <v>15</v>
      </c>
      <c r="B2821" s="136" t="s">
        <v>7809</v>
      </c>
      <c r="C2821" s="136" t="s">
        <v>7776</v>
      </c>
      <c r="D2821" s="136" t="s">
        <v>139</v>
      </c>
      <c r="E2821" s="136" t="s">
        <v>594</v>
      </c>
      <c r="F2821" s="136">
        <v>273</v>
      </c>
      <c r="G2821" s="137">
        <f t="shared" si="11"/>
        <v>5</v>
      </c>
      <c r="H2821" s="137"/>
      <c r="I2821" s="137"/>
      <c r="J2821" s="135"/>
      <c r="K2821" s="135"/>
      <c r="L2821" s="135"/>
      <c r="M2821" s="135"/>
      <c r="N2821" s="135"/>
      <c r="O2821" s="135"/>
      <c r="P2821" s="135"/>
      <c r="Q2821" s="135"/>
      <c r="R2821" s="135"/>
      <c r="S2821" s="135"/>
      <c r="T2821" s="135"/>
      <c r="U2821" s="135"/>
      <c r="V2821" s="135"/>
      <c r="W2821" s="135"/>
      <c r="X2821" s="135"/>
      <c r="Y2821" s="135"/>
      <c r="Z2821" s="135"/>
    </row>
    <row r="2822" spans="1:26" ht="12.75">
      <c r="A2822" s="136" t="s">
        <v>15</v>
      </c>
      <c r="B2822" s="136" t="s">
        <v>7809</v>
      </c>
      <c r="C2822" s="136" t="s">
        <v>7776</v>
      </c>
      <c r="D2822" s="136" t="s">
        <v>1663</v>
      </c>
      <c r="E2822" s="136" t="s">
        <v>615</v>
      </c>
      <c r="F2822" s="136">
        <v>220</v>
      </c>
      <c r="G2822" s="137">
        <f t="shared" si="11"/>
        <v>6</v>
      </c>
      <c r="H2822" s="137"/>
      <c r="I2822" s="137"/>
      <c r="J2822" s="135"/>
      <c r="K2822" s="135"/>
      <c r="L2822" s="135"/>
      <c r="M2822" s="135"/>
      <c r="N2822" s="135"/>
      <c r="O2822" s="135"/>
      <c r="P2822" s="135"/>
      <c r="Q2822" s="135"/>
      <c r="R2822" s="135"/>
      <c r="S2822" s="135"/>
      <c r="T2822" s="135"/>
      <c r="U2822" s="135"/>
      <c r="V2822" s="135"/>
      <c r="W2822" s="135"/>
      <c r="X2822" s="135"/>
      <c r="Y2822" s="135"/>
      <c r="Z2822" s="135"/>
    </row>
    <row r="2823" spans="1:26" ht="12.75">
      <c r="A2823" s="136" t="s">
        <v>15</v>
      </c>
      <c r="B2823" s="136" t="s">
        <v>7809</v>
      </c>
      <c r="C2823" s="136" t="s">
        <v>7776</v>
      </c>
      <c r="D2823" s="136" t="s">
        <v>103</v>
      </c>
      <c r="E2823" s="136" t="s">
        <v>594</v>
      </c>
      <c r="F2823" s="136">
        <v>145</v>
      </c>
      <c r="G2823" s="137">
        <f t="shared" si="11"/>
        <v>8</v>
      </c>
      <c r="H2823" s="137"/>
      <c r="I2823" s="137"/>
      <c r="J2823" s="135"/>
      <c r="K2823" s="135"/>
      <c r="L2823" s="135"/>
      <c r="M2823" s="135"/>
      <c r="N2823" s="135"/>
      <c r="O2823" s="135"/>
      <c r="P2823" s="135"/>
      <c r="Q2823" s="135"/>
      <c r="R2823" s="135"/>
      <c r="S2823" s="135"/>
      <c r="T2823" s="135"/>
      <c r="U2823" s="135"/>
      <c r="V2823" s="135"/>
      <c r="W2823" s="135"/>
      <c r="X2823" s="135"/>
      <c r="Y2823" s="135"/>
      <c r="Z2823" s="135"/>
    </row>
    <row r="2824" spans="1:26" ht="12.75">
      <c r="A2824" s="136" t="s">
        <v>15</v>
      </c>
      <c r="B2824" s="136" t="s">
        <v>7809</v>
      </c>
      <c r="C2824" s="136" t="s">
        <v>7776</v>
      </c>
      <c r="D2824" s="136" t="s">
        <v>7481</v>
      </c>
      <c r="E2824" s="136" t="s">
        <v>615</v>
      </c>
      <c r="F2824" s="136">
        <v>102</v>
      </c>
      <c r="G2824" s="137">
        <f t="shared" si="11"/>
        <v>11</v>
      </c>
      <c r="H2824" s="137"/>
      <c r="I2824" s="137"/>
      <c r="J2824" s="135"/>
      <c r="K2824" s="135"/>
      <c r="L2824" s="135"/>
      <c r="M2824" s="135"/>
      <c r="N2824" s="135"/>
      <c r="O2824" s="135"/>
      <c r="P2824" s="135"/>
      <c r="Q2824" s="135"/>
      <c r="R2824" s="135"/>
      <c r="S2824" s="135"/>
      <c r="T2824" s="135"/>
      <c r="U2824" s="135"/>
      <c r="V2824" s="135"/>
      <c r="W2824" s="135"/>
      <c r="X2824" s="135"/>
      <c r="Y2824" s="135"/>
      <c r="Z2824" s="135"/>
    </row>
    <row r="2825" spans="1:26" ht="12.75">
      <c r="A2825" s="136" t="s">
        <v>15</v>
      </c>
      <c r="B2825" s="136" t="s">
        <v>7809</v>
      </c>
      <c r="C2825" s="136" t="s">
        <v>7776</v>
      </c>
      <c r="D2825" s="136" t="s">
        <v>7698</v>
      </c>
      <c r="E2825" s="136" t="s">
        <v>615</v>
      </c>
      <c r="F2825" s="136">
        <v>65</v>
      </c>
      <c r="G2825" s="137">
        <f t="shared" si="11"/>
        <v>15</v>
      </c>
      <c r="H2825" s="137"/>
      <c r="I2825" s="137"/>
      <c r="J2825" s="135"/>
      <c r="K2825" s="135"/>
      <c r="L2825" s="135"/>
      <c r="M2825" s="135"/>
      <c r="N2825" s="135"/>
      <c r="O2825" s="135"/>
      <c r="P2825" s="135"/>
      <c r="Q2825" s="135"/>
      <c r="R2825" s="135"/>
      <c r="S2825" s="135"/>
      <c r="T2825" s="135"/>
      <c r="U2825" s="135"/>
      <c r="V2825" s="135"/>
      <c r="W2825" s="135"/>
      <c r="X2825" s="135"/>
      <c r="Y2825" s="135"/>
      <c r="Z2825" s="135"/>
    </row>
    <row r="2826" spans="1:26" ht="12.75">
      <c r="A2826" s="136" t="s">
        <v>15</v>
      </c>
      <c r="B2826" s="136" t="s">
        <v>7809</v>
      </c>
      <c r="C2826" s="136" t="s">
        <v>7776</v>
      </c>
      <c r="D2826" s="136" t="s">
        <v>7824</v>
      </c>
      <c r="E2826" s="136" t="s">
        <v>615</v>
      </c>
      <c r="F2826" s="136">
        <v>50</v>
      </c>
      <c r="G2826" s="137">
        <f t="shared" si="11"/>
        <v>16</v>
      </c>
      <c r="H2826" s="137"/>
      <c r="I2826" s="137"/>
      <c r="J2826" s="135"/>
      <c r="K2826" s="135"/>
      <c r="L2826" s="135"/>
      <c r="M2826" s="135"/>
      <c r="N2826" s="135"/>
      <c r="O2826" s="135"/>
      <c r="P2826" s="135"/>
      <c r="Q2826" s="135"/>
      <c r="R2826" s="135"/>
      <c r="S2826" s="135"/>
      <c r="T2826" s="135"/>
      <c r="U2826" s="135"/>
      <c r="V2826" s="135"/>
      <c r="W2826" s="135"/>
      <c r="X2826" s="135"/>
      <c r="Y2826" s="135"/>
      <c r="Z2826" s="135"/>
    </row>
    <row r="2827" spans="1:26" ht="12.75">
      <c r="A2827" s="136" t="s">
        <v>15</v>
      </c>
      <c r="B2827" s="136" t="s">
        <v>7809</v>
      </c>
      <c r="C2827" s="136" t="s">
        <v>7776</v>
      </c>
      <c r="D2827" s="136" t="s">
        <v>114</v>
      </c>
      <c r="E2827" s="136" t="s">
        <v>85</v>
      </c>
      <c r="F2827" s="136">
        <v>50</v>
      </c>
      <c r="G2827" s="137">
        <f t="shared" si="11"/>
        <v>17</v>
      </c>
      <c r="H2827" s="137"/>
      <c r="I2827" s="137"/>
      <c r="J2827" s="135"/>
      <c r="K2827" s="135"/>
      <c r="L2827" s="135"/>
      <c r="M2827" s="135"/>
      <c r="N2827" s="135"/>
      <c r="O2827" s="135"/>
      <c r="P2827" s="135"/>
      <c r="Q2827" s="135"/>
      <c r="R2827" s="135"/>
      <c r="S2827" s="135"/>
      <c r="T2827" s="135"/>
      <c r="U2827" s="135"/>
      <c r="V2827" s="135"/>
      <c r="W2827" s="135"/>
      <c r="X2827" s="135"/>
      <c r="Y2827" s="135"/>
      <c r="Z2827" s="135"/>
    </row>
    <row r="2828" spans="1:26" ht="12.75">
      <c r="A2828" s="136" t="s">
        <v>15</v>
      </c>
      <c r="B2828" s="136" t="s">
        <v>7809</v>
      </c>
      <c r="C2828" s="136" t="s">
        <v>7777</v>
      </c>
      <c r="D2828" s="136" t="s">
        <v>114</v>
      </c>
      <c r="E2828" s="136" t="s">
        <v>85</v>
      </c>
      <c r="F2828" s="136">
        <v>975</v>
      </c>
      <c r="G2828" s="137">
        <f t="shared" si="11"/>
        <v>3</v>
      </c>
      <c r="H2828" s="137"/>
      <c r="I2828" s="137"/>
      <c r="J2828" s="135"/>
      <c r="K2828" s="135"/>
      <c r="L2828" s="135"/>
      <c r="M2828" s="135"/>
      <c r="N2828" s="135"/>
      <c r="O2828" s="135"/>
      <c r="P2828" s="135"/>
      <c r="Q2828" s="135"/>
      <c r="R2828" s="135"/>
      <c r="S2828" s="135"/>
      <c r="T2828" s="135"/>
      <c r="U2828" s="135"/>
      <c r="V2828" s="135"/>
      <c r="W2828" s="135"/>
      <c r="X2828" s="135"/>
      <c r="Y2828" s="135"/>
      <c r="Z2828" s="135"/>
    </row>
    <row r="2829" spans="1:26" ht="12.75">
      <c r="A2829" s="136" t="s">
        <v>15</v>
      </c>
      <c r="B2829" s="136" t="s">
        <v>7809</v>
      </c>
      <c r="C2829" s="136" t="s">
        <v>7777</v>
      </c>
      <c r="D2829" s="136" t="s">
        <v>467</v>
      </c>
      <c r="E2829" s="136" t="s">
        <v>85</v>
      </c>
      <c r="F2829" s="136">
        <v>155</v>
      </c>
      <c r="G2829" s="137">
        <f t="shared" si="11"/>
        <v>7</v>
      </c>
      <c r="H2829" s="137"/>
      <c r="I2829" s="137"/>
      <c r="J2829" s="135"/>
      <c r="K2829" s="135"/>
      <c r="L2829" s="135"/>
      <c r="M2829" s="135"/>
      <c r="N2829" s="135"/>
      <c r="O2829" s="135"/>
      <c r="P2829" s="135"/>
      <c r="Q2829" s="135"/>
      <c r="R2829" s="135"/>
      <c r="S2829" s="135"/>
      <c r="T2829" s="135"/>
      <c r="U2829" s="135"/>
      <c r="V2829" s="135"/>
      <c r="W2829" s="135"/>
      <c r="X2829" s="135"/>
      <c r="Y2829" s="135"/>
      <c r="Z2829" s="135"/>
    </row>
    <row r="2830" spans="1:26" ht="12.75">
      <c r="A2830" s="136" t="s">
        <v>15</v>
      </c>
      <c r="B2830" s="136" t="s">
        <v>7809</v>
      </c>
      <c r="C2830" s="136" t="s">
        <v>7777</v>
      </c>
      <c r="D2830" s="136" t="s">
        <v>7481</v>
      </c>
      <c r="E2830" s="136" t="s">
        <v>615</v>
      </c>
      <c r="F2830" s="136">
        <v>30</v>
      </c>
      <c r="G2830" s="137">
        <f t="shared" si="11"/>
        <v>14</v>
      </c>
      <c r="H2830" s="137"/>
      <c r="I2830" s="137"/>
      <c r="J2830" s="135"/>
      <c r="K2830" s="135"/>
      <c r="L2830" s="135"/>
      <c r="M2830" s="135"/>
      <c r="N2830" s="135"/>
      <c r="O2830" s="135"/>
      <c r="P2830" s="135"/>
      <c r="Q2830" s="135"/>
      <c r="R2830" s="135"/>
      <c r="S2830" s="135"/>
      <c r="T2830" s="135"/>
      <c r="U2830" s="135"/>
      <c r="V2830" s="135"/>
      <c r="W2830" s="135"/>
      <c r="X2830" s="135"/>
      <c r="Y2830" s="135"/>
      <c r="Z2830" s="135"/>
    </row>
    <row r="2831" spans="1:26" ht="12.75">
      <c r="A2831" s="136" t="s">
        <v>15</v>
      </c>
      <c r="B2831" s="136" t="s">
        <v>7809</v>
      </c>
      <c r="C2831" s="136" t="s">
        <v>7777</v>
      </c>
      <c r="D2831" s="136"/>
      <c r="E2831" s="136" t="s">
        <v>7693</v>
      </c>
      <c r="F2831" s="136">
        <v>1160</v>
      </c>
      <c r="G2831" s="137">
        <f t="shared" si="11"/>
        <v>2</v>
      </c>
      <c r="H2831" s="137"/>
      <c r="I2831" s="137"/>
      <c r="J2831" s="135"/>
      <c r="K2831" s="135"/>
      <c r="L2831" s="135"/>
      <c r="M2831" s="135"/>
      <c r="N2831" s="135"/>
      <c r="O2831" s="135"/>
      <c r="P2831" s="135"/>
      <c r="Q2831" s="135"/>
      <c r="R2831" s="135"/>
      <c r="S2831" s="135"/>
      <c r="T2831" s="135"/>
      <c r="U2831" s="135"/>
      <c r="V2831" s="135"/>
      <c r="W2831" s="135"/>
      <c r="X2831" s="135"/>
      <c r="Y2831" s="135"/>
      <c r="Z2831" s="135"/>
    </row>
    <row r="2832" spans="1:26" ht="12.75">
      <c r="A2832" s="136" t="s">
        <v>15</v>
      </c>
      <c r="B2832" s="136" t="s">
        <v>7809</v>
      </c>
      <c r="C2832" s="136" t="s">
        <v>7779</v>
      </c>
      <c r="D2832" s="136" t="s">
        <v>114</v>
      </c>
      <c r="E2832" s="136" t="s">
        <v>85</v>
      </c>
      <c r="F2832" s="136">
        <v>643</v>
      </c>
      <c r="G2832" s="137">
        <f t="shared" si="11"/>
        <v>3</v>
      </c>
      <c r="H2832" s="137"/>
      <c r="I2832" s="137"/>
      <c r="J2832" s="135"/>
      <c r="K2832" s="135"/>
      <c r="L2832" s="135"/>
      <c r="M2832" s="135"/>
      <c r="N2832" s="135"/>
      <c r="O2832" s="135"/>
      <c r="P2832" s="135"/>
      <c r="Q2832" s="135"/>
      <c r="R2832" s="135"/>
      <c r="S2832" s="135"/>
      <c r="T2832" s="135"/>
      <c r="U2832" s="135"/>
      <c r="V2832" s="135"/>
      <c r="W2832" s="135"/>
      <c r="X2832" s="135"/>
      <c r="Y2832" s="135"/>
      <c r="Z2832" s="135"/>
    </row>
    <row r="2833" spans="1:26" ht="12.75">
      <c r="A2833" s="136" t="s">
        <v>15</v>
      </c>
      <c r="B2833" s="136" t="s">
        <v>7809</v>
      </c>
      <c r="C2833" s="136" t="s">
        <v>7779</v>
      </c>
      <c r="D2833" s="136" t="s">
        <v>103</v>
      </c>
      <c r="E2833" s="136" t="s">
        <v>594</v>
      </c>
      <c r="F2833" s="136">
        <v>125</v>
      </c>
      <c r="G2833" s="137">
        <f t="shared" si="11"/>
        <v>8</v>
      </c>
      <c r="H2833" s="137"/>
      <c r="I2833" s="137"/>
      <c r="J2833" s="135"/>
      <c r="K2833" s="135"/>
      <c r="L2833" s="135"/>
      <c r="M2833" s="135"/>
      <c r="N2833" s="135"/>
      <c r="O2833" s="135"/>
      <c r="P2833" s="135"/>
      <c r="Q2833" s="135"/>
      <c r="R2833" s="135"/>
      <c r="S2833" s="135"/>
      <c r="T2833" s="135"/>
      <c r="U2833" s="135"/>
      <c r="V2833" s="135"/>
      <c r="W2833" s="135"/>
      <c r="X2833" s="135"/>
      <c r="Y2833" s="135"/>
      <c r="Z2833" s="135"/>
    </row>
    <row r="2834" spans="1:26" ht="12.75">
      <c r="A2834" s="136" t="s">
        <v>15</v>
      </c>
      <c r="B2834" s="136" t="s">
        <v>7809</v>
      </c>
      <c r="C2834" s="136" t="s">
        <v>7779</v>
      </c>
      <c r="D2834" s="136" t="s">
        <v>1663</v>
      </c>
      <c r="E2834" s="136" t="s">
        <v>615</v>
      </c>
      <c r="F2834" s="136">
        <v>103</v>
      </c>
      <c r="G2834" s="137">
        <f t="shared" si="11"/>
        <v>9</v>
      </c>
      <c r="H2834" s="137"/>
      <c r="I2834" s="137"/>
      <c r="J2834" s="135"/>
      <c r="K2834" s="135"/>
      <c r="L2834" s="135"/>
      <c r="M2834" s="135"/>
      <c r="N2834" s="135"/>
      <c r="O2834" s="135"/>
      <c r="P2834" s="135"/>
      <c r="Q2834" s="135"/>
      <c r="R2834" s="135"/>
      <c r="S2834" s="135"/>
      <c r="T2834" s="135"/>
      <c r="U2834" s="135"/>
      <c r="V2834" s="135"/>
      <c r="W2834" s="135"/>
      <c r="X2834" s="135"/>
      <c r="Y2834" s="135"/>
      <c r="Z2834" s="135"/>
    </row>
    <row r="2835" spans="1:26" ht="12.75">
      <c r="A2835" s="136" t="s">
        <v>15</v>
      </c>
      <c r="B2835" s="136" t="s">
        <v>7809</v>
      </c>
      <c r="C2835" s="136" t="s">
        <v>7779</v>
      </c>
      <c r="D2835" s="136" t="s">
        <v>467</v>
      </c>
      <c r="E2835" s="136" t="s">
        <v>85</v>
      </c>
      <c r="F2835" s="136">
        <v>100</v>
      </c>
      <c r="G2835" s="137">
        <f t="shared" si="11"/>
        <v>10</v>
      </c>
      <c r="H2835" s="137"/>
      <c r="I2835" s="137"/>
      <c r="J2835" s="135"/>
      <c r="K2835" s="135"/>
      <c r="L2835" s="135"/>
      <c r="M2835" s="135"/>
      <c r="N2835" s="135"/>
      <c r="O2835" s="135"/>
      <c r="P2835" s="135"/>
      <c r="Q2835" s="135"/>
      <c r="R2835" s="135"/>
      <c r="S2835" s="135"/>
      <c r="T2835" s="135"/>
      <c r="U2835" s="135"/>
      <c r="V2835" s="135"/>
      <c r="W2835" s="135"/>
      <c r="X2835" s="135"/>
      <c r="Y2835" s="135"/>
      <c r="Z2835" s="135"/>
    </row>
    <row r="2836" spans="1:26" ht="12.75">
      <c r="A2836" s="136" t="s">
        <v>15</v>
      </c>
      <c r="B2836" s="136" t="s">
        <v>7809</v>
      </c>
      <c r="C2836" s="136" t="s">
        <v>7779</v>
      </c>
      <c r="D2836" s="136" t="s">
        <v>7481</v>
      </c>
      <c r="E2836" s="136" t="s">
        <v>615</v>
      </c>
      <c r="F2836" s="136">
        <v>74</v>
      </c>
      <c r="G2836" s="137">
        <f t="shared" si="11"/>
        <v>12</v>
      </c>
      <c r="H2836" s="137"/>
      <c r="I2836" s="137"/>
      <c r="J2836" s="135"/>
      <c r="K2836" s="135"/>
      <c r="L2836" s="135"/>
      <c r="M2836" s="135"/>
      <c r="N2836" s="135"/>
      <c r="O2836" s="135"/>
      <c r="P2836" s="135"/>
      <c r="Q2836" s="135"/>
      <c r="R2836" s="135"/>
      <c r="S2836" s="135"/>
      <c r="T2836" s="135"/>
      <c r="U2836" s="135"/>
      <c r="V2836" s="135"/>
      <c r="W2836" s="135"/>
      <c r="X2836" s="135"/>
      <c r="Y2836" s="135"/>
      <c r="Z2836" s="135"/>
    </row>
    <row r="2837" spans="1:26" ht="12.75">
      <c r="A2837" s="136" t="s">
        <v>15</v>
      </c>
      <c r="B2837" s="136" t="s">
        <v>7809</v>
      </c>
      <c r="C2837" s="136" t="s">
        <v>7779</v>
      </c>
      <c r="D2837" s="136" t="s">
        <v>7772</v>
      </c>
      <c r="E2837" s="136" t="s">
        <v>615</v>
      </c>
      <c r="F2837" s="136">
        <v>55</v>
      </c>
      <c r="G2837" s="137">
        <f t="shared" si="11"/>
        <v>14</v>
      </c>
      <c r="H2837" s="137"/>
      <c r="I2837" s="137"/>
      <c r="J2837" s="135"/>
      <c r="K2837" s="135"/>
      <c r="L2837" s="135"/>
      <c r="M2837" s="135"/>
      <c r="N2837" s="135"/>
      <c r="O2837" s="135"/>
      <c r="P2837" s="135"/>
      <c r="Q2837" s="135"/>
      <c r="R2837" s="135"/>
      <c r="S2837" s="135"/>
      <c r="T2837" s="135"/>
      <c r="U2837" s="135"/>
      <c r="V2837" s="135"/>
      <c r="W2837" s="135"/>
      <c r="X2837" s="135"/>
      <c r="Y2837" s="135"/>
      <c r="Z2837" s="135"/>
    </row>
    <row r="2838" spans="1:26" ht="12.75">
      <c r="A2838" s="136" t="s">
        <v>15</v>
      </c>
      <c r="B2838" s="136" t="s">
        <v>7809</v>
      </c>
      <c r="C2838" s="136" t="s">
        <v>7779</v>
      </c>
      <c r="D2838" s="136" t="s">
        <v>7698</v>
      </c>
      <c r="E2838" s="136" t="s">
        <v>615</v>
      </c>
      <c r="F2838" s="136">
        <v>50</v>
      </c>
      <c r="G2838" s="137">
        <f t="shared" si="11"/>
        <v>18</v>
      </c>
      <c r="H2838" s="137"/>
      <c r="I2838" s="137"/>
      <c r="J2838" s="135"/>
      <c r="K2838" s="135"/>
      <c r="L2838" s="135"/>
      <c r="M2838" s="135"/>
      <c r="N2838" s="135"/>
      <c r="O2838" s="135"/>
      <c r="P2838" s="135"/>
      <c r="Q2838" s="135"/>
      <c r="R2838" s="135"/>
      <c r="S2838" s="135"/>
      <c r="T2838" s="135"/>
      <c r="U2838" s="135"/>
      <c r="V2838" s="135"/>
      <c r="W2838" s="135"/>
      <c r="X2838" s="135"/>
      <c r="Y2838" s="135"/>
      <c r="Z2838" s="135"/>
    </row>
    <row r="2839" spans="1:26" ht="12.75">
      <c r="A2839" s="136" t="s">
        <v>15</v>
      </c>
      <c r="B2839" s="136" t="s">
        <v>7809</v>
      </c>
      <c r="C2839" s="136" t="s">
        <v>7779</v>
      </c>
      <c r="D2839" s="136" t="s">
        <v>139</v>
      </c>
      <c r="E2839" s="136" t="s">
        <v>594</v>
      </c>
      <c r="F2839" s="136">
        <v>50</v>
      </c>
      <c r="G2839" s="137">
        <f t="shared" si="11"/>
        <v>19</v>
      </c>
      <c r="H2839" s="137"/>
      <c r="I2839" s="137"/>
      <c r="J2839" s="135"/>
      <c r="K2839" s="135"/>
      <c r="L2839" s="135"/>
      <c r="M2839" s="135"/>
      <c r="N2839" s="135"/>
      <c r="O2839" s="135"/>
      <c r="P2839" s="135"/>
      <c r="Q2839" s="135"/>
      <c r="R2839" s="135"/>
      <c r="S2839" s="135"/>
      <c r="T2839" s="135"/>
      <c r="U2839" s="135"/>
      <c r="V2839" s="135"/>
      <c r="W2839" s="135"/>
      <c r="X2839" s="135"/>
      <c r="Y2839" s="135"/>
      <c r="Z2839" s="135"/>
    </row>
    <row r="2840" spans="1:26" ht="12.75">
      <c r="A2840" s="136" t="s">
        <v>15</v>
      </c>
      <c r="B2840" s="136" t="s">
        <v>7809</v>
      </c>
      <c r="C2840" s="136" t="s">
        <v>7779</v>
      </c>
      <c r="D2840" s="136"/>
      <c r="E2840" s="136" t="s">
        <v>7693</v>
      </c>
      <c r="F2840" s="136">
        <v>1200</v>
      </c>
      <c r="G2840" s="137">
        <f t="shared" si="11"/>
        <v>2</v>
      </c>
      <c r="H2840" s="137"/>
      <c r="I2840" s="137"/>
      <c r="J2840" s="135"/>
      <c r="K2840" s="135"/>
      <c r="L2840" s="135"/>
      <c r="M2840" s="135"/>
      <c r="N2840" s="135"/>
      <c r="O2840" s="135"/>
      <c r="P2840" s="135"/>
      <c r="Q2840" s="135"/>
      <c r="R2840" s="135"/>
      <c r="S2840" s="135"/>
      <c r="T2840" s="135"/>
      <c r="U2840" s="135"/>
      <c r="V2840" s="135"/>
      <c r="W2840" s="135"/>
      <c r="X2840" s="135"/>
      <c r="Y2840" s="135"/>
      <c r="Z2840" s="135"/>
    </row>
    <row r="2841" spans="1:26" ht="12.75">
      <c r="A2841" s="136" t="s">
        <v>15</v>
      </c>
      <c r="B2841" s="136" t="s">
        <v>7809</v>
      </c>
      <c r="C2841" s="136" t="s">
        <v>7782</v>
      </c>
      <c r="D2841" s="136" t="s">
        <v>139</v>
      </c>
      <c r="E2841" s="136" t="s">
        <v>594</v>
      </c>
      <c r="F2841" s="136">
        <v>502</v>
      </c>
      <c r="G2841" s="137">
        <f t="shared" si="11"/>
        <v>3</v>
      </c>
      <c r="H2841" s="137"/>
      <c r="I2841" s="137"/>
      <c r="J2841" s="135"/>
      <c r="K2841" s="135"/>
      <c r="L2841" s="135"/>
      <c r="M2841" s="135"/>
      <c r="N2841" s="135"/>
      <c r="O2841" s="135"/>
      <c r="P2841" s="135"/>
      <c r="Q2841" s="135"/>
      <c r="R2841" s="135"/>
      <c r="S2841" s="135"/>
      <c r="T2841" s="135"/>
      <c r="U2841" s="135"/>
      <c r="V2841" s="135"/>
      <c r="W2841" s="135"/>
      <c r="X2841" s="135"/>
      <c r="Y2841" s="135"/>
      <c r="Z2841" s="135"/>
    </row>
    <row r="2842" spans="1:26" ht="12.75">
      <c r="A2842" s="136" t="s">
        <v>15</v>
      </c>
      <c r="B2842" s="136" t="s">
        <v>7809</v>
      </c>
      <c r="C2842" s="136" t="s">
        <v>7782</v>
      </c>
      <c r="D2842" s="136" t="s">
        <v>136</v>
      </c>
      <c r="E2842" s="136" t="s">
        <v>615</v>
      </c>
      <c r="F2842" s="136">
        <v>150</v>
      </c>
      <c r="G2842" s="137">
        <f t="shared" si="11"/>
        <v>10</v>
      </c>
      <c r="H2842" s="137"/>
      <c r="I2842" s="137"/>
      <c r="J2842" s="135"/>
      <c r="K2842" s="135"/>
      <c r="L2842" s="135"/>
      <c r="M2842" s="135"/>
      <c r="N2842" s="135"/>
      <c r="O2842" s="135"/>
      <c r="P2842" s="135"/>
      <c r="Q2842" s="135"/>
      <c r="R2842" s="135"/>
      <c r="S2842" s="135"/>
      <c r="T2842" s="135"/>
      <c r="U2842" s="135"/>
      <c r="V2842" s="135"/>
      <c r="W2842" s="135"/>
      <c r="X2842" s="135"/>
      <c r="Y2842" s="135"/>
      <c r="Z2842" s="135"/>
    </row>
    <row r="2843" spans="1:26" ht="12.75">
      <c r="A2843" s="136" t="s">
        <v>15</v>
      </c>
      <c r="B2843" s="136" t="s">
        <v>7809</v>
      </c>
      <c r="C2843" s="136" t="s">
        <v>7782</v>
      </c>
      <c r="D2843" s="136" t="s">
        <v>7825</v>
      </c>
      <c r="E2843" s="136" t="s">
        <v>615</v>
      </c>
      <c r="F2843" s="136">
        <v>135</v>
      </c>
      <c r="G2843" s="137">
        <f t="shared" si="11"/>
        <v>11</v>
      </c>
      <c r="H2843" s="137"/>
      <c r="I2843" s="137"/>
      <c r="J2843" s="135"/>
      <c r="K2843" s="135"/>
      <c r="L2843" s="135"/>
      <c r="M2843" s="135"/>
      <c r="N2843" s="135"/>
      <c r="O2843" s="135"/>
      <c r="P2843" s="135"/>
      <c r="Q2843" s="135"/>
      <c r="R2843" s="135"/>
      <c r="S2843" s="135"/>
      <c r="T2843" s="135"/>
      <c r="U2843" s="135"/>
      <c r="V2843" s="135"/>
      <c r="W2843" s="135"/>
      <c r="X2843" s="135"/>
      <c r="Y2843" s="135"/>
      <c r="Z2843" s="135"/>
    </row>
    <row r="2844" spans="1:26" ht="12.75">
      <c r="A2844" s="136" t="s">
        <v>15</v>
      </c>
      <c r="B2844" s="136" t="s">
        <v>7809</v>
      </c>
      <c r="C2844" s="136" t="s">
        <v>7782</v>
      </c>
      <c r="D2844" s="136" t="s">
        <v>1663</v>
      </c>
      <c r="E2844" s="136" t="s">
        <v>615</v>
      </c>
      <c r="F2844" s="136">
        <v>105</v>
      </c>
      <c r="G2844" s="137">
        <f t="shared" si="11"/>
        <v>12</v>
      </c>
      <c r="H2844" s="137"/>
      <c r="I2844" s="137"/>
      <c r="J2844" s="135"/>
      <c r="K2844" s="135"/>
      <c r="L2844" s="135"/>
      <c r="M2844" s="135"/>
      <c r="N2844" s="135"/>
      <c r="O2844" s="135"/>
      <c r="P2844" s="135"/>
      <c r="Q2844" s="135"/>
      <c r="R2844" s="135"/>
      <c r="S2844" s="135"/>
      <c r="T2844" s="135"/>
      <c r="U2844" s="135"/>
      <c r="V2844" s="135"/>
      <c r="W2844" s="135"/>
      <c r="X2844" s="135"/>
      <c r="Y2844" s="135"/>
      <c r="Z2844" s="135"/>
    </row>
    <row r="2845" spans="1:26" ht="12.75">
      <c r="A2845" s="136" t="s">
        <v>15</v>
      </c>
      <c r="B2845" s="136" t="s">
        <v>7809</v>
      </c>
      <c r="C2845" s="136" t="s">
        <v>7782</v>
      </c>
      <c r="D2845" s="136" t="s">
        <v>103</v>
      </c>
      <c r="E2845" s="136" t="s">
        <v>594</v>
      </c>
      <c r="F2845" s="136">
        <v>100</v>
      </c>
      <c r="G2845" s="137">
        <f t="shared" si="11"/>
        <v>14</v>
      </c>
      <c r="H2845" s="137"/>
      <c r="I2845" s="137"/>
      <c r="J2845" s="135"/>
      <c r="K2845" s="135"/>
      <c r="L2845" s="135"/>
      <c r="M2845" s="135"/>
      <c r="N2845" s="135"/>
      <c r="O2845" s="135"/>
      <c r="P2845" s="135"/>
      <c r="Q2845" s="135"/>
      <c r="R2845" s="135"/>
      <c r="S2845" s="135"/>
      <c r="T2845" s="135"/>
      <c r="U2845" s="135"/>
      <c r="V2845" s="135"/>
      <c r="W2845" s="135"/>
      <c r="X2845" s="135"/>
      <c r="Y2845" s="135"/>
      <c r="Z2845" s="135"/>
    </row>
    <row r="2846" spans="1:26" ht="12.75">
      <c r="A2846" s="136" t="s">
        <v>15</v>
      </c>
      <c r="B2846" s="136" t="s">
        <v>7809</v>
      </c>
      <c r="C2846" s="136" t="s">
        <v>7782</v>
      </c>
      <c r="D2846" s="136" t="s">
        <v>7698</v>
      </c>
      <c r="E2846" s="136" t="s">
        <v>615</v>
      </c>
      <c r="F2846" s="136">
        <v>60</v>
      </c>
      <c r="G2846" s="137">
        <f t="shared" si="11"/>
        <v>15</v>
      </c>
      <c r="H2846" s="137"/>
      <c r="I2846" s="137"/>
      <c r="J2846" s="135"/>
      <c r="K2846" s="135"/>
      <c r="L2846" s="135"/>
      <c r="M2846" s="135"/>
      <c r="N2846" s="135"/>
      <c r="O2846" s="135"/>
      <c r="P2846" s="135"/>
      <c r="Q2846" s="135"/>
      <c r="R2846" s="135"/>
      <c r="S2846" s="135"/>
      <c r="T2846" s="135"/>
      <c r="U2846" s="135"/>
      <c r="V2846" s="135"/>
      <c r="W2846" s="135"/>
      <c r="X2846" s="135"/>
      <c r="Y2846" s="135"/>
      <c r="Z2846" s="135"/>
    </row>
    <row r="2847" spans="1:26" ht="12.75">
      <c r="A2847" s="136" t="s">
        <v>15</v>
      </c>
      <c r="B2847" s="136" t="s">
        <v>7809</v>
      </c>
      <c r="C2847" s="136" t="s">
        <v>7782</v>
      </c>
      <c r="D2847" s="136" t="s">
        <v>7762</v>
      </c>
      <c r="E2847" s="136" t="s">
        <v>615</v>
      </c>
      <c r="F2847" s="136">
        <v>55</v>
      </c>
      <c r="G2847" s="137">
        <f t="shared" si="11"/>
        <v>16</v>
      </c>
      <c r="H2847" s="137"/>
      <c r="I2847" s="137"/>
      <c r="J2847" s="135"/>
      <c r="K2847" s="135"/>
      <c r="L2847" s="135"/>
      <c r="M2847" s="135"/>
      <c r="N2847" s="135"/>
      <c r="O2847" s="135"/>
      <c r="P2847" s="135"/>
      <c r="Q2847" s="135"/>
      <c r="R2847" s="135"/>
      <c r="S2847" s="135"/>
      <c r="T2847" s="135"/>
      <c r="U2847" s="135"/>
      <c r="V2847" s="135"/>
      <c r="W2847" s="135"/>
      <c r="X2847" s="135"/>
      <c r="Y2847" s="135"/>
      <c r="Z2847" s="135"/>
    </row>
    <row r="2848" spans="1:26" ht="12.75">
      <c r="A2848" s="136" t="s">
        <v>15</v>
      </c>
      <c r="B2848" s="136" t="s">
        <v>7809</v>
      </c>
      <c r="C2848" s="136" t="s">
        <v>7782</v>
      </c>
      <c r="D2848" s="136" t="s">
        <v>7743</v>
      </c>
      <c r="E2848" s="136" t="s">
        <v>594</v>
      </c>
      <c r="F2848" s="136">
        <v>52</v>
      </c>
      <c r="G2848" s="137">
        <f t="shared" si="11"/>
        <v>17</v>
      </c>
      <c r="H2848" s="137"/>
      <c r="I2848" s="137"/>
      <c r="J2848" s="135"/>
      <c r="K2848" s="135"/>
      <c r="L2848" s="135"/>
      <c r="M2848" s="135"/>
      <c r="N2848" s="135"/>
      <c r="O2848" s="135"/>
      <c r="P2848" s="135"/>
      <c r="Q2848" s="135"/>
      <c r="R2848" s="135"/>
      <c r="S2848" s="135"/>
      <c r="T2848" s="135"/>
      <c r="U2848" s="135"/>
      <c r="V2848" s="135"/>
      <c r="W2848" s="135"/>
      <c r="X2848" s="135"/>
      <c r="Y2848" s="135"/>
      <c r="Z2848" s="135"/>
    </row>
    <row r="2849" spans="1:26" ht="12.75">
      <c r="A2849" s="136" t="s">
        <v>15</v>
      </c>
      <c r="B2849" s="136" t="s">
        <v>7809</v>
      </c>
      <c r="C2849" s="136" t="s">
        <v>7782</v>
      </c>
      <c r="D2849" s="136" t="s">
        <v>7481</v>
      </c>
      <c r="E2849" s="136" t="s">
        <v>615</v>
      </c>
      <c r="F2849" s="136">
        <v>51</v>
      </c>
      <c r="G2849" s="137">
        <f t="shared" si="11"/>
        <v>18</v>
      </c>
      <c r="H2849" s="137"/>
      <c r="I2849" s="137"/>
      <c r="J2849" s="135"/>
      <c r="K2849" s="135"/>
      <c r="L2849" s="135"/>
      <c r="M2849" s="135"/>
      <c r="N2849" s="135"/>
      <c r="O2849" s="135"/>
      <c r="P2849" s="135"/>
      <c r="Q2849" s="135"/>
      <c r="R2849" s="135"/>
      <c r="S2849" s="135"/>
      <c r="T2849" s="135"/>
      <c r="U2849" s="135"/>
      <c r="V2849" s="135"/>
      <c r="W2849" s="135"/>
      <c r="X2849" s="135"/>
      <c r="Y2849" s="135"/>
      <c r="Z2849" s="135"/>
    </row>
    <row r="2850" spans="1:26" ht="12.75">
      <c r="A2850" s="136" t="s">
        <v>15</v>
      </c>
      <c r="B2850" s="136" t="s">
        <v>7809</v>
      </c>
      <c r="C2850" s="136" t="s">
        <v>7782</v>
      </c>
      <c r="D2850" s="136" t="s">
        <v>154</v>
      </c>
      <c r="E2850" s="136" t="s">
        <v>615</v>
      </c>
      <c r="F2850" s="136">
        <v>50</v>
      </c>
      <c r="G2850" s="137">
        <f t="shared" si="11"/>
        <v>19</v>
      </c>
      <c r="H2850" s="137"/>
      <c r="I2850" s="137"/>
      <c r="J2850" s="135"/>
      <c r="K2850" s="135"/>
      <c r="L2850" s="135"/>
      <c r="M2850" s="135"/>
      <c r="N2850" s="135"/>
      <c r="O2850" s="135"/>
      <c r="P2850" s="135"/>
      <c r="Q2850" s="135"/>
      <c r="R2850" s="135"/>
      <c r="S2850" s="135"/>
      <c r="T2850" s="135"/>
      <c r="U2850" s="135"/>
      <c r="V2850" s="135"/>
      <c r="W2850" s="135"/>
      <c r="X2850" s="135"/>
      <c r="Y2850" s="135"/>
      <c r="Z2850" s="135"/>
    </row>
    <row r="2851" spans="1:26" ht="12.75">
      <c r="A2851" s="136" t="s">
        <v>15</v>
      </c>
      <c r="B2851" s="136" t="s">
        <v>7809</v>
      </c>
      <c r="C2851" s="136" t="s">
        <v>7782</v>
      </c>
      <c r="D2851" s="136" t="s">
        <v>225</v>
      </c>
      <c r="E2851" s="136" t="s">
        <v>615</v>
      </c>
      <c r="F2851" s="136">
        <v>50</v>
      </c>
      <c r="G2851" s="137">
        <f t="shared" si="11"/>
        <v>20</v>
      </c>
      <c r="H2851" s="137"/>
      <c r="I2851" s="137"/>
      <c r="J2851" s="135"/>
      <c r="K2851" s="135"/>
      <c r="L2851" s="135"/>
      <c r="M2851" s="135"/>
      <c r="N2851" s="135"/>
      <c r="O2851" s="135"/>
      <c r="P2851" s="135"/>
      <c r="Q2851" s="135"/>
      <c r="R2851" s="135"/>
      <c r="S2851" s="135"/>
      <c r="T2851" s="135"/>
      <c r="U2851" s="135"/>
      <c r="V2851" s="135"/>
      <c r="W2851" s="135"/>
      <c r="X2851" s="135"/>
      <c r="Y2851" s="135"/>
      <c r="Z2851" s="135"/>
    </row>
    <row r="2852" spans="1:26" ht="12.75">
      <c r="A2852" s="136" t="s">
        <v>15</v>
      </c>
      <c r="B2852" s="136" t="s">
        <v>7809</v>
      </c>
      <c r="C2852" s="136" t="s">
        <v>7782</v>
      </c>
      <c r="D2852" s="136"/>
      <c r="E2852" s="136" t="s">
        <v>7693</v>
      </c>
      <c r="F2852" s="136">
        <v>1310</v>
      </c>
      <c r="G2852" s="137">
        <f t="shared" si="11"/>
        <v>2</v>
      </c>
      <c r="H2852" s="137"/>
      <c r="I2852" s="137"/>
      <c r="J2852" s="135"/>
      <c r="K2852" s="135"/>
      <c r="L2852" s="135"/>
      <c r="M2852" s="135"/>
      <c r="N2852" s="135"/>
      <c r="O2852" s="135"/>
      <c r="P2852" s="135"/>
      <c r="Q2852" s="135"/>
      <c r="R2852" s="135"/>
      <c r="S2852" s="135"/>
      <c r="T2852" s="135"/>
      <c r="U2852" s="135"/>
      <c r="V2852" s="135"/>
      <c r="W2852" s="135"/>
      <c r="X2852" s="135"/>
      <c r="Y2852" s="135"/>
      <c r="Z2852" s="135"/>
    </row>
    <row r="2853" spans="1:26" ht="12.75">
      <c r="A2853" s="136" t="s">
        <v>15</v>
      </c>
      <c r="B2853" s="136" t="s">
        <v>7809</v>
      </c>
      <c r="C2853" s="136" t="s">
        <v>7784</v>
      </c>
      <c r="D2853" s="136" t="s">
        <v>1663</v>
      </c>
      <c r="E2853" s="136" t="s">
        <v>615</v>
      </c>
      <c r="F2853" s="136">
        <v>675</v>
      </c>
      <c r="G2853" s="137">
        <f t="shared" si="11"/>
        <v>4</v>
      </c>
      <c r="H2853" s="137"/>
      <c r="I2853" s="137"/>
      <c r="J2853" s="135"/>
      <c r="K2853" s="135"/>
      <c r="L2853" s="135"/>
      <c r="M2853" s="135"/>
      <c r="N2853" s="135"/>
      <c r="O2853" s="135"/>
      <c r="P2853" s="135"/>
      <c r="Q2853" s="135"/>
      <c r="R2853" s="135"/>
      <c r="S2853" s="135"/>
      <c r="T2853" s="135"/>
      <c r="U2853" s="135"/>
      <c r="V2853" s="135"/>
      <c r="W2853" s="135"/>
      <c r="X2853" s="135"/>
      <c r="Y2853" s="135"/>
      <c r="Z2853" s="135"/>
    </row>
    <row r="2854" spans="1:26" ht="12.75">
      <c r="A2854" s="136" t="s">
        <v>15</v>
      </c>
      <c r="B2854" s="136" t="s">
        <v>7809</v>
      </c>
      <c r="C2854" s="136" t="s">
        <v>7784</v>
      </c>
      <c r="D2854" s="136" t="s">
        <v>139</v>
      </c>
      <c r="E2854" s="136" t="s">
        <v>594</v>
      </c>
      <c r="F2854" s="136">
        <v>449</v>
      </c>
      <c r="G2854" s="137">
        <f t="shared" si="11"/>
        <v>5</v>
      </c>
      <c r="H2854" s="137"/>
      <c r="I2854" s="137"/>
      <c r="J2854" s="135"/>
      <c r="K2854" s="135"/>
      <c r="L2854" s="135"/>
      <c r="M2854" s="135"/>
      <c r="N2854" s="135"/>
      <c r="O2854" s="135"/>
      <c r="P2854" s="135"/>
      <c r="Q2854" s="135"/>
      <c r="R2854" s="135"/>
      <c r="S2854" s="135"/>
      <c r="T2854" s="135"/>
      <c r="U2854" s="135"/>
      <c r="V2854" s="135"/>
      <c r="W2854" s="135"/>
      <c r="X2854" s="135"/>
      <c r="Y2854" s="135"/>
      <c r="Z2854" s="135"/>
    </row>
    <row r="2855" spans="1:26" ht="12.75">
      <c r="A2855" s="136" t="s">
        <v>15</v>
      </c>
      <c r="B2855" s="136" t="s">
        <v>7809</v>
      </c>
      <c r="C2855" s="136" t="s">
        <v>7784</v>
      </c>
      <c r="D2855" s="136" t="s">
        <v>467</v>
      </c>
      <c r="E2855" s="136" t="s">
        <v>85</v>
      </c>
      <c r="F2855" s="136">
        <v>101</v>
      </c>
      <c r="G2855" s="137">
        <f t="shared" si="11"/>
        <v>8</v>
      </c>
      <c r="H2855" s="137"/>
      <c r="I2855" s="137"/>
      <c r="J2855" s="135"/>
      <c r="K2855" s="135"/>
      <c r="L2855" s="135"/>
      <c r="M2855" s="135"/>
      <c r="N2855" s="135"/>
      <c r="O2855" s="135"/>
      <c r="P2855" s="135"/>
      <c r="Q2855" s="135"/>
      <c r="R2855" s="135"/>
      <c r="S2855" s="135"/>
      <c r="T2855" s="135"/>
      <c r="U2855" s="135"/>
      <c r="V2855" s="135"/>
      <c r="W2855" s="135"/>
      <c r="X2855" s="135"/>
      <c r="Y2855" s="135"/>
      <c r="Z2855" s="135"/>
    </row>
    <row r="2856" spans="1:26" ht="12.75">
      <c r="A2856" s="136" t="s">
        <v>15</v>
      </c>
      <c r="B2856" s="136" t="s">
        <v>7809</v>
      </c>
      <c r="C2856" s="136" t="s">
        <v>7784</v>
      </c>
      <c r="D2856" s="136" t="s">
        <v>7826</v>
      </c>
      <c r="E2856" s="136" t="s">
        <v>615</v>
      </c>
      <c r="F2856" s="136">
        <v>100</v>
      </c>
      <c r="G2856" s="137">
        <f t="shared" si="11"/>
        <v>12</v>
      </c>
      <c r="H2856" s="137"/>
      <c r="I2856" s="137"/>
      <c r="J2856" s="135"/>
      <c r="K2856" s="135"/>
      <c r="L2856" s="135"/>
      <c r="M2856" s="135"/>
      <c r="N2856" s="135"/>
      <c r="O2856" s="135"/>
      <c r="P2856" s="135"/>
      <c r="Q2856" s="135"/>
      <c r="R2856" s="135"/>
      <c r="S2856" s="135"/>
      <c r="T2856" s="135"/>
      <c r="U2856" s="135"/>
      <c r="V2856" s="135"/>
      <c r="W2856" s="135"/>
      <c r="X2856" s="135"/>
      <c r="Y2856" s="135"/>
      <c r="Z2856" s="135"/>
    </row>
    <row r="2857" spans="1:26" ht="12.75">
      <c r="A2857" s="136" t="s">
        <v>15</v>
      </c>
      <c r="B2857" s="136" t="s">
        <v>7809</v>
      </c>
      <c r="C2857" s="136" t="s">
        <v>7784</v>
      </c>
      <c r="D2857" s="136" t="s">
        <v>7481</v>
      </c>
      <c r="E2857" s="136" t="s">
        <v>615</v>
      </c>
      <c r="F2857" s="136">
        <v>72</v>
      </c>
      <c r="G2857" s="137">
        <f t="shared" si="11"/>
        <v>14</v>
      </c>
      <c r="H2857" s="137"/>
      <c r="I2857" s="137"/>
      <c r="J2857" s="135"/>
      <c r="K2857" s="135"/>
      <c r="L2857" s="135"/>
      <c r="M2857" s="135"/>
      <c r="N2857" s="135"/>
      <c r="O2857" s="135"/>
      <c r="P2857" s="135"/>
      <c r="Q2857" s="135"/>
      <c r="R2857" s="135"/>
      <c r="S2857" s="135"/>
      <c r="T2857" s="135"/>
      <c r="U2857" s="135"/>
      <c r="V2857" s="135"/>
      <c r="W2857" s="135"/>
      <c r="X2857" s="135"/>
      <c r="Y2857" s="135"/>
      <c r="Z2857" s="135"/>
    </row>
    <row r="2858" spans="1:26" ht="12.75">
      <c r="A2858" s="136" t="s">
        <v>15</v>
      </c>
      <c r="B2858" s="136" t="s">
        <v>7809</v>
      </c>
      <c r="C2858" s="136" t="s">
        <v>7784</v>
      </c>
      <c r="D2858" s="136" t="s">
        <v>7743</v>
      </c>
      <c r="E2858" s="136" t="s">
        <v>594</v>
      </c>
      <c r="F2858" s="136">
        <v>50</v>
      </c>
      <c r="G2858" s="137">
        <f t="shared" si="11"/>
        <v>15</v>
      </c>
      <c r="H2858" s="137"/>
      <c r="I2858" s="137"/>
      <c r="J2858" s="135"/>
      <c r="K2858" s="135"/>
      <c r="L2858" s="135"/>
      <c r="M2858" s="135"/>
      <c r="N2858" s="135"/>
      <c r="O2858" s="135"/>
      <c r="P2858" s="135"/>
      <c r="Q2858" s="135"/>
      <c r="R2858" s="135"/>
      <c r="S2858" s="135"/>
      <c r="T2858" s="135"/>
      <c r="U2858" s="135"/>
      <c r="V2858" s="135"/>
      <c r="W2858" s="135"/>
      <c r="X2858" s="135"/>
      <c r="Y2858" s="135"/>
      <c r="Z2858" s="135"/>
    </row>
    <row r="2859" spans="1:26" ht="12.75">
      <c r="A2859" s="136" t="s">
        <v>15</v>
      </c>
      <c r="B2859" s="136" t="s">
        <v>7809</v>
      </c>
      <c r="C2859" s="136" t="s">
        <v>7784</v>
      </c>
      <c r="D2859" s="136"/>
      <c r="E2859" s="136" t="s">
        <v>7693</v>
      </c>
      <c r="F2859" s="136">
        <v>1447</v>
      </c>
      <c r="G2859" s="137">
        <f t="shared" si="11"/>
        <v>2</v>
      </c>
      <c r="H2859" s="137"/>
      <c r="I2859" s="137"/>
      <c r="J2859" s="135"/>
      <c r="K2859" s="135"/>
      <c r="L2859" s="135"/>
      <c r="M2859" s="135"/>
      <c r="N2859" s="135"/>
      <c r="O2859" s="135"/>
      <c r="P2859" s="135"/>
      <c r="Q2859" s="135"/>
      <c r="R2859" s="135"/>
      <c r="S2859" s="135"/>
      <c r="T2859" s="135"/>
      <c r="U2859" s="135"/>
      <c r="V2859" s="135"/>
      <c r="W2859" s="135"/>
      <c r="X2859" s="135"/>
      <c r="Y2859" s="135"/>
      <c r="Z2859" s="135"/>
    </row>
    <row r="2860" spans="1:26" ht="12.75">
      <c r="A2860" s="136" t="s">
        <v>15</v>
      </c>
      <c r="B2860" s="136" t="s">
        <v>7809</v>
      </c>
      <c r="C2860" s="136" t="s">
        <v>7785</v>
      </c>
      <c r="D2860" s="136" t="s">
        <v>139</v>
      </c>
      <c r="E2860" s="136" t="s">
        <v>594</v>
      </c>
      <c r="F2860" s="136">
        <v>412</v>
      </c>
      <c r="G2860" s="137">
        <f t="shared" si="11"/>
        <v>3</v>
      </c>
      <c r="H2860" s="137"/>
      <c r="I2860" s="137"/>
      <c r="J2860" s="135"/>
      <c r="K2860" s="135"/>
      <c r="L2860" s="135"/>
      <c r="M2860" s="135"/>
      <c r="N2860" s="135"/>
      <c r="O2860" s="135"/>
      <c r="P2860" s="135"/>
      <c r="Q2860" s="135"/>
      <c r="R2860" s="135"/>
      <c r="S2860" s="135"/>
      <c r="T2860" s="135"/>
      <c r="U2860" s="135"/>
      <c r="V2860" s="135"/>
      <c r="W2860" s="135"/>
      <c r="X2860" s="135"/>
      <c r="Y2860" s="135"/>
      <c r="Z2860" s="135"/>
    </row>
    <row r="2861" spans="1:26" ht="12.75">
      <c r="A2861" s="136" t="s">
        <v>15</v>
      </c>
      <c r="B2861" s="136" t="s">
        <v>7809</v>
      </c>
      <c r="C2861" s="136" t="s">
        <v>7785</v>
      </c>
      <c r="D2861" s="136" t="s">
        <v>1663</v>
      </c>
      <c r="E2861" s="136" t="s">
        <v>615</v>
      </c>
      <c r="F2861" s="136">
        <v>275</v>
      </c>
      <c r="G2861" s="137">
        <f t="shared" si="11"/>
        <v>7</v>
      </c>
      <c r="H2861" s="137"/>
      <c r="I2861" s="137"/>
      <c r="J2861" s="135"/>
      <c r="K2861" s="135"/>
      <c r="L2861" s="135"/>
      <c r="M2861" s="135"/>
      <c r="N2861" s="135"/>
      <c r="O2861" s="135"/>
      <c r="P2861" s="135"/>
      <c r="Q2861" s="135"/>
      <c r="R2861" s="135"/>
      <c r="S2861" s="135"/>
      <c r="T2861" s="135"/>
      <c r="U2861" s="135"/>
      <c r="V2861" s="135"/>
      <c r="W2861" s="135"/>
      <c r="X2861" s="135"/>
      <c r="Y2861" s="135"/>
      <c r="Z2861" s="135"/>
    </row>
    <row r="2862" spans="1:26" ht="12.75">
      <c r="A2862" s="136" t="s">
        <v>15</v>
      </c>
      <c r="B2862" s="136" t="s">
        <v>7809</v>
      </c>
      <c r="C2862" s="136" t="s">
        <v>7785</v>
      </c>
      <c r="D2862" s="136" t="s">
        <v>467</v>
      </c>
      <c r="E2862" s="136" t="s">
        <v>85</v>
      </c>
      <c r="F2862" s="136">
        <v>240</v>
      </c>
      <c r="G2862" s="137">
        <f t="shared" si="11"/>
        <v>8</v>
      </c>
      <c r="H2862" s="137"/>
      <c r="I2862" s="137"/>
      <c r="J2862" s="135"/>
      <c r="K2862" s="135"/>
      <c r="L2862" s="135"/>
      <c r="M2862" s="135"/>
      <c r="N2862" s="135"/>
      <c r="O2862" s="135"/>
      <c r="P2862" s="135"/>
      <c r="Q2862" s="135"/>
      <c r="R2862" s="135"/>
      <c r="S2862" s="135"/>
      <c r="T2862" s="135"/>
      <c r="U2862" s="135"/>
      <c r="V2862" s="135"/>
      <c r="W2862" s="135"/>
      <c r="X2862" s="135"/>
      <c r="Y2862" s="135"/>
      <c r="Z2862" s="135"/>
    </row>
    <row r="2863" spans="1:26" ht="12.75">
      <c r="A2863" s="136" t="s">
        <v>15</v>
      </c>
      <c r="B2863" s="136" t="s">
        <v>7809</v>
      </c>
      <c r="C2863" s="136" t="s">
        <v>7785</v>
      </c>
      <c r="D2863" s="136" t="s">
        <v>7827</v>
      </c>
      <c r="E2863" s="136" t="s">
        <v>615</v>
      </c>
      <c r="F2863" s="136">
        <v>105</v>
      </c>
      <c r="G2863" s="137">
        <f t="shared" si="11"/>
        <v>12</v>
      </c>
      <c r="H2863" s="137"/>
      <c r="I2863" s="137"/>
      <c r="J2863" s="135"/>
      <c r="K2863" s="135"/>
      <c r="L2863" s="135"/>
      <c r="M2863" s="135"/>
      <c r="N2863" s="135"/>
      <c r="O2863" s="135"/>
      <c r="P2863" s="135"/>
      <c r="Q2863" s="135"/>
      <c r="R2863" s="135"/>
      <c r="S2863" s="135"/>
      <c r="T2863" s="135"/>
      <c r="U2863" s="135"/>
      <c r="V2863" s="135"/>
      <c r="W2863" s="135"/>
      <c r="X2863" s="135"/>
      <c r="Y2863" s="135"/>
      <c r="Z2863" s="135"/>
    </row>
    <row r="2864" spans="1:26" ht="12.75">
      <c r="A2864" s="136" t="s">
        <v>15</v>
      </c>
      <c r="B2864" s="136" t="s">
        <v>7809</v>
      </c>
      <c r="C2864" s="136" t="s">
        <v>7785</v>
      </c>
      <c r="D2864" s="136" t="s">
        <v>7481</v>
      </c>
      <c r="E2864" s="136" t="s">
        <v>615</v>
      </c>
      <c r="F2864" s="136">
        <v>66</v>
      </c>
      <c r="G2864" s="137">
        <f t="shared" si="11"/>
        <v>16</v>
      </c>
      <c r="H2864" s="137"/>
      <c r="I2864" s="137"/>
      <c r="J2864" s="135"/>
      <c r="K2864" s="135"/>
      <c r="L2864" s="135"/>
      <c r="M2864" s="135"/>
      <c r="N2864" s="135"/>
      <c r="O2864" s="135"/>
      <c r="P2864" s="135"/>
      <c r="Q2864" s="135"/>
      <c r="R2864" s="135"/>
      <c r="S2864" s="135"/>
      <c r="T2864" s="135"/>
      <c r="U2864" s="135"/>
      <c r="V2864" s="135"/>
      <c r="W2864" s="135"/>
      <c r="X2864" s="135"/>
      <c r="Y2864" s="135"/>
      <c r="Z2864" s="135"/>
    </row>
    <row r="2865" spans="1:26" ht="12.75">
      <c r="A2865" s="136" t="s">
        <v>15</v>
      </c>
      <c r="B2865" s="136" t="s">
        <v>7809</v>
      </c>
      <c r="C2865" s="136" t="s">
        <v>7785</v>
      </c>
      <c r="D2865" s="136"/>
      <c r="E2865" s="136" t="s">
        <v>7693</v>
      </c>
      <c r="F2865" s="136">
        <v>1098</v>
      </c>
      <c r="G2865" s="137">
        <f t="shared" si="11"/>
        <v>2</v>
      </c>
      <c r="H2865" s="137"/>
      <c r="I2865" s="137"/>
      <c r="J2865" s="135"/>
      <c r="K2865" s="135"/>
      <c r="L2865" s="135"/>
      <c r="M2865" s="135"/>
      <c r="N2865" s="135"/>
      <c r="O2865" s="135"/>
      <c r="P2865" s="135"/>
      <c r="Q2865" s="135"/>
      <c r="R2865" s="135"/>
      <c r="S2865" s="135"/>
      <c r="T2865" s="135"/>
      <c r="U2865" s="135"/>
      <c r="V2865" s="135"/>
      <c r="W2865" s="135"/>
      <c r="X2865" s="135"/>
      <c r="Y2865" s="135"/>
      <c r="Z2865" s="135"/>
    </row>
    <row r="2866" spans="1:26" ht="12.75">
      <c r="A2866" s="136" t="s">
        <v>15</v>
      </c>
      <c r="B2866" s="136" t="s">
        <v>7809</v>
      </c>
      <c r="C2866" s="136" t="s">
        <v>7787</v>
      </c>
      <c r="D2866" s="136" t="s">
        <v>114</v>
      </c>
      <c r="E2866" s="136" t="s">
        <v>85</v>
      </c>
      <c r="F2866" s="136">
        <v>400</v>
      </c>
      <c r="G2866" s="137">
        <f t="shared" si="11"/>
        <v>3</v>
      </c>
      <c r="H2866" s="137"/>
      <c r="I2866" s="137"/>
      <c r="J2866" s="135"/>
      <c r="K2866" s="135"/>
      <c r="L2866" s="135"/>
      <c r="M2866" s="135"/>
      <c r="N2866" s="135"/>
      <c r="O2866" s="135"/>
      <c r="P2866" s="135"/>
      <c r="Q2866" s="135"/>
      <c r="R2866" s="135"/>
      <c r="S2866" s="135"/>
      <c r="T2866" s="135"/>
      <c r="U2866" s="135"/>
      <c r="V2866" s="135"/>
      <c r="W2866" s="135"/>
      <c r="X2866" s="135"/>
      <c r="Y2866" s="135"/>
      <c r="Z2866" s="135"/>
    </row>
    <row r="2867" spans="1:26" ht="12.75">
      <c r="A2867" s="136" t="s">
        <v>15</v>
      </c>
      <c r="B2867" s="136" t="s">
        <v>7809</v>
      </c>
      <c r="C2867" s="136" t="s">
        <v>7787</v>
      </c>
      <c r="D2867" s="136" t="s">
        <v>139</v>
      </c>
      <c r="E2867" s="136" t="s">
        <v>594</v>
      </c>
      <c r="F2867" s="136">
        <v>350</v>
      </c>
      <c r="G2867" s="137">
        <f t="shared" si="11"/>
        <v>6</v>
      </c>
      <c r="H2867" s="137"/>
      <c r="I2867" s="137"/>
      <c r="J2867" s="135"/>
      <c r="K2867" s="135"/>
      <c r="L2867" s="135"/>
      <c r="M2867" s="135"/>
      <c r="N2867" s="135"/>
      <c r="O2867" s="135"/>
      <c r="P2867" s="135"/>
      <c r="Q2867" s="135"/>
      <c r="R2867" s="135"/>
      <c r="S2867" s="135"/>
      <c r="T2867" s="135"/>
      <c r="U2867" s="135"/>
      <c r="V2867" s="135"/>
      <c r="W2867" s="135"/>
      <c r="X2867" s="135"/>
      <c r="Y2867" s="135"/>
      <c r="Z2867" s="135"/>
    </row>
    <row r="2868" spans="1:26" ht="12.75">
      <c r="A2868" s="136" t="s">
        <v>15</v>
      </c>
      <c r="B2868" s="136" t="s">
        <v>7809</v>
      </c>
      <c r="C2868" s="136" t="s">
        <v>7787</v>
      </c>
      <c r="D2868" s="136" t="s">
        <v>103</v>
      </c>
      <c r="E2868" s="136" t="s">
        <v>594</v>
      </c>
      <c r="F2868" s="136">
        <v>275</v>
      </c>
      <c r="G2868" s="137">
        <f t="shared" si="11"/>
        <v>7</v>
      </c>
      <c r="H2868" s="137"/>
      <c r="I2868" s="137"/>
      <c r="J2868" s="135"/>
      <c r="K2868" s="135"/>
      <c r="L2868" s="135"/>
      <c r="M2868" s="135"/>
      <c r="N2868" s="135"/>
      <c r="O2868" s="135"/>
      <c r="P2868" s="135"/>
      <c r="Q2868" s="135"/>
      <c r="R2868" s="135"/>
      <c r="S2868" s="135"/>
      <c r="T2868" s="135"/>
      <c r="U2868" s="135"/>
      <c r="V2868" s="135"/>
      <c r="W2868" s="135"/>
      <c r="X2868" s="135"/>
      <c r="Y2868" s="135"/>
      <c r="Z2868" s="135"/>
    </row>
    <row r="2869" spans="1:26" ht="12.75">
      <c r="A2869" s="136" t="s">
        <v>15</v>
      </c>
      <c r="B2869" s="136" t="s">
        <v>7809</v>
      </c>
      <c r="C2869" s="136" t="s">
        <v>7787</v>
      </c>
      <c r="D2869" s="136" t="s">
        <v>225</v>
      </c>
      <c r="E2869" s="136" t="s">
        <v>615</v>
      </c>
      <c r="F2869" s="136">
        <v>65</v>
      </c>
      <c r="G2869" s="137">
        <f t="shared" si="11"/>
        <v>16</v>
      </c>
      <c r="H2869" s="137"/>
      <c r="I2869" s="137"/>
      <c r="J2869" s="135"/>
      <c r="K2869" s="135"/>
      <c r="L2869" s="135"/>
      <c r="M2869" s="135"/>
      <c r="N2869" s="135"/>
      <c r="O2869" s="135"/>
      <c r="P2869" s="135"/>
      <c r="Q2869" s="135"/>
      <c r="R2869" s="135"/>
      <c r="S2869" s="135"/>
      <c r="T2869" s="135"/>
      <c r="U2869" s="135"/>
      <c r="V2869" s="135"/>
      <c r="W2869" s="135"/>
      <c r="X2869" s="135"/>
      <c r="Y2869" s="135"/>
      <c r="Z2869" s="135"/>
    </row>
    <row r="2870" spans="1:26" ht="12.75">
      <c r="A2870" s="136" t="s">
        <v>15</v>
      </c>
      <c r="B2870" s="136" t="s">
        <v>7809</v>
      </c>
      <c r="C2870" s="136" t="s">
        <v>7787</v>
      </c>
      <c r="D2870" s="136" t="s">
        <v>7698</v>
      </c>
      <c r="E2870" s="136" t="s">
        <v>615</v>
      </c>
      <c r="F2870" s="136">
        <v>55</v>
      </c>
      <c r="G2870" s="137">
        <f t="shared" si="11"/>
        <v>17</v>
      </c>
      <c r="H2870" s="137"/>
      <c r="I2870" s="137"/>
      <c r="J2870" s="135"/>
      <c r="K2870" s="135"/>
      <c r="L2870" s="135"/>
      <c r="M2870" s="135"/>
      <c r="N2870" s="135"/>
      <c r="O2870" s="135"/>
      <c r="P2870" s="135"/>
      <c r="Q2870" s="135"/>
      <c r="R2870" s="135"/>
      <c r="S2870" s="135"/>
      <c r="T2870" s="135"/>
      <c r="U2870" s="135"/>
      <c r="V2870" s="135"/>
      <c r="W2870" s="135"/>
      <c r="X2870" s="135"/>
      <c r="Y2870" s="135"/>
      <c r="Z2870" s="135"/>
    </row>
    <row r="2871" spans="1:26" ht="12.75">
      <c r="A2871" s="136" t="s">
        <v>15</v>
      </c>
      <c r="B2871" s="136" t="s">
        <v>7809</v>
      </c>
      <c r="C2871" s="136" t="s">
        <v>7787</v>
      </c>
      <c r="D2871" s="136" t="s">
        <v>467</v>
      </c>
      <c r="E2871" s="136" t="s">
        <v>85</v>
      </c>
      <c r="F2871" s="136">
        <v>54</v>
      </c>
      <c r="G2871" s="137">
        <f t="shared" si="11"/>
        <v>18</v>
      </c>
      <c r="H2871" s="137"/>
      <c r="I2871" s="137"/>
      <c r="J2871" s="135"/>
      <c r="K2871" s="135"/>
      <c r="L2871" s="135"/>
      <c r="M2871" s="135"/>
      <c r="N2871" s="135"/>
      <c r="O2871" s="135"/>
      <c r="P2871" s="135"/>
      <c r="Q2871" s="135"/>
      <c r="R2871" s="135"/>
      <c r="S2871" s="135"/>
      <c r="T2871" s="135"/>
      <c r="U2871" s="135"/>
      <c r="V2871" s="135"/>
      <c r="W2871" s="135"/>
      <c r="X2871" s="135"/>
      <c r="Y2871" s="135"/>
      <c r="Z2871" s="135"/>
    </row>
    <row r="2872" spans="1:26" ht="12.75">
      <c r="A2872" s="136" t="s">
        <v>15</v>
      </c>
      <c r="B2872" s="136" t="s">
        <v>7809</v>
      </c>
      <c r="C2872" s="136" t="s">
        <v>7787</v>
      </c>
      <c r="D2872" s="136" t="s">
        <v>7743</v>
      </c>
      <c r="E2872" s="136" t="s">
        <v>594</v>
      </c>
      <c r="F2872" s="136">
        <v>50</v>
      </c>
      <c r="G2872" s="137">
        <f t="shared" si="11"/>
        <v>19</v>
      </c>
      <c r="H2872" s="137"/>
      <c r="I2872" s="137"/>
      <c r="J2872" s="135"/>
      <c r="K2872" s="135"/>
      <c r="L2872" s="135"/>
      <c r="M2872" s="135"/>
      <c r="N2872" s="135"/>
      <c r="O2872" s="135"/>
      <c r="P2872" s="135"/>
      <c r="Q2872" s="135"/>
      <c r="R2872" s="135"/>
      <c r="S2872" s="135"/>
      <c r="T2872" s="135"/>
      <c r="U2872" s="135"/>
      <c r="V2872" s="135"/>
      <c r="W2872" s="135"/>
      <c r="X2872" s="135"/>
      <c r="Y2872" s="135"/>
      <c r="Z2872" s="135"/>
    </row>
    <row r="2873" spans="1:26" ht="12.75">
      <c r="A2873" s="136" t="s">
        <v>15</v>
      </c>
      <c r="B2873" s="136" t="s">
        <v>7809</v>
      </c>
      <c r="C2873" s="136" t="s">
        <v>7787</v>
      </c>
      <c r="D2873" s="136" t="s">
        <v>1669</v>
      </c>
      <c r="E2873" s="136" t="s">
        <v>615</v>
      </c>
      <c r="F2873" s="136">
        <v>50</v>
      </c>
      <c r="G2873" s="137">
        <f t="shared" si="11"/>
        <v>20</v>
      </c>
      <c r="H2873" s="137"/>
      <c r="I2873" s="137"/>
      <c r="J2873" s="135"/>
      <c r="K2873" s="135"/>
      <c r="L2873" s="135"/>
      <c r="M2873" s="135"/>
      <c r="N2873" s="135"/>
      <c r="O2873" s="135"/>
      <c r="P2873" s="135"/>
      <c r="Q2873" s="135"/>
      <c r="R2873" s="135"/>
      <c r="S2873" s="135"/>
      <c r="T2873" s="135"/>
      <c r="U2873" s="135"/>
      <c r="V2873" s="135"/>
      <c r="W2873" s="135"/>
      <c r="X2873" s="135"/>
      <c r="Y2873" s="135"/>
      <c r="Z2873" s="135"/>
    </row>
    <row r="2874" spans="1:26" ht="12.75">
      <c r="A2874" s="136" t="s">
        <v>15</v>
      </c>
      <c r="B2874" s="136" t="s">
        <v>7809</v>
      </c>
      <c r="C2874" s="136" t="s">
        <v>7787</v>
      </c>
      <c r="D2874" s="136" t="s">
        <v>136</v>
      </c>
      <c r="E2874" s="136" t="s">
        <v>615</v>
      </c>
      <c r="F2874" s="136">
        <v>50</v>
      </c>
      <c r="G2874" s="137">
        <f t="shared" si="11"/>
        <v>21</v>
      </c>
      <c r="H2874" s="137"/>
      <c r="I2874" s="137"/>
      <c r="J2874" s="135"/>
      <c r="K2874" s="135"/>
      <c r="L2874" s="135"/>
      <c r="M2874" s="135"/>
      <c r="N2874" s="135"/>
      <c r="O2874" s="135"/>
      <c r="P2874" s="135"/>
      <c r="Q2874" s="135"/>
      <c r="R2874" s="135"/>
      <c r="S2874" s="135"/>
      <c r="T2874" s="135"/>
      <c r="U2874" s="135"/>
      <c r="V2874" s="135"/>
      <c r="W2874" s="135"/>
      <c r="X2874" s="135"/>
      <c r="Y2874" s="135"/>
      <c r="Z2874" s="135"/>
    </row>
    <row r="2875" spans="1:26" ht="12.75">
      <c r="A2875" s="136" t="s">
        <v>15</v>
      </c>
      <c r="B2875" s="136" t="s">
        <v>7809</v>
      </c>
      <c r="C2875" s="136" t="s">
        <v>7787</v>
      </c>
      <c r="D2875" s="136" t="s">
        <v>1663</v>
      </c>
      <c r="E2875" s="136" t="s">
        <v>615</v>
      </c>
      <c r="F2875" s="136">
        <v>50</v>
      </c>
      <c r="G2875" s="137">
        <f t="shared" si="11"/>
        <v>22</v>
      </c>
      <c r="H2875" s="137"/>
      <c r="I2875" s="137"/>
      <c r="J2875" s="135"/>
      <c r="K2875" s="135"/>
      <c r="L2875" s="135"/>
      <c r="M2875" s="135"/>
      <c r="N2875" s="135"/>
      <c r="O2875" s="135"/>
      <c r="P2875" s="135"/>
      <c r="Q2875" s="135"/>
      <c r="R2875" s="135"/>
      <c r="S2875" s="135"/>
      <c r="T2875" s="135"/>
      <c r="U2875" s="135"/>
      <c r="V2875" s="135"/>
      <c r="W2875" s="135"/>
      <c r="X2875" s="135"/>
      <c r="Y2875" s="135"/>
      <c r="Z2875" s="135"/>
    </row>
    <row r="2876" spans="1:26" ht="12.75">
      <c r="A2876" s="136" t="s">
        <v>15</v>
      </c>
      <c r="B2876" s="136" t="s">
        <v>7809</v>
      </c>
      <c r="C2876" s="136" t="s">
        <v>7787</v>
      </c>
      <c r="D2876" s="136" t="s">
        <v>7491</v>
      </c>
      <c r="E2876" s="136" t="s">
        <v>615</v>
      </c>
      <c r="F2876" s="136">
        <v>12</v>
      </c>
      <c r="G2876" s="137">
        <f t="shared" si="11"/>
        <v>23</v>
      </c>
      <c r="H2876" s="137"/>
      <c r="I2876" s="137"/>
      <c r="J2876" s="135"/>
      <c r="K2876" s="135"/>
      <c r="L2876" s="135"/>
      <c r="M2876" s="135"/>
      <c r="N2876" s="135"/>
      <c r="O2876" s="135"/>
      <c r="P2876" s="135"/>
      <c r="Q2876" s="135"/>
      <c r="R2876" s="135"/>
      <c r="S2876" s="135"/>
      <c r="T2876" s="135"/>
      <c r="U2876" s="135"/>
      <c r="V2876" s="135"/>
      <c r="W2876" s="135"/>
      <c r="X2876" s="135"/>
      <c r="Y2876" s="135"/>
      <c r="Z2876" s="135"/>
    </row>
    <row r="2877" spans="1:26" ht="12.75">
      <c r="A2877" s="136" t="s">
        <v>15</v>
      </c>
      <c r="B2877" s="136" t="s">
        <v>7809</v>
      </c>
      <c r="C2877" s="136" t="s">
        <v>7787</v>
      </c>
      <c r="D2877" s="136"/>
      <c r="E2877" s="136" t="s">
        <v>7693</v>
      </c>
      <c r="F2877" s="136">
        <v>1411</v>
      </c>
      <c r="G2877" s="137">
        <f t="shared" si="11"/>
        <v>2</v>
      </c>
      <c r="H2877" s="137"/>
      <c r="I2877" s="137"/>
      <c r="J2877" s="135"/>
      <c r="K2877" s="135"/>
      <c r="L2877" s="135"/>
      <c r="M2877" s="135"/>
      <c r="N2877" s="135"/>
      <c r="O2877" s="135"/>
      <c r="P2877" s="135"/>
      <c r="Q2877" s="135"/>
      <c r="R2877" s="135"/>
      <c r="S2877" s="135"/>
      <c r="T2877" s="135"/>
      <c r="U2877" s="135"/>
      <c r="V2877" s="135"/>
      <c r="W2877" s="135"/>
      <c r="X2877" s="135"/>
      <c r="Y2877" s="135"/>
      <c r="Z2877" s="135"/>
    </row>
    <row r="2878" spans="1:26" ht="12.75">
      <c r="A2878" s="136" t="s">
        <v>15</v>
      </c>
      <c r="B2878" s="136" t="s">
        <v>7809</v>
      </c>
      <c r="C2878" s="136" t="s">
        <v>7789</v>
      </c>
      <c r="D2878" s="136" t="s">
        <v>103</v>
      </c>
      <c r="E2878" s="136" t="s">
        <v>594</v>
      </c>
      <c r="F2878" s="136">
        <v>675</v>
      </c>
      <c r="G2878" s="137">
        <f t="shared" si="11"/>
        <v>3</v>
      </c>
      <c r="H2878" s="137"/>
      <c r="I2878" s="137"/>
      <c r="J2878" s="135"/>
      <c r="K2878" s="135"/>
      <c r="L2878" s="135"/>
      <c r="M2878" s="135"/>
      <c r="N2878" s="135"/>
      <c r="O2878" s="135"/>
      <c r="P2878" s="135"/>
      <c r="Q2878" s="135"/>
      <c r="R2878" s="135"/>
      <c r="S2878" s="135"/>
      <c r="T2878" s="135"/>
      <c r="U2878" s="135"/>
      <c r="V2878" s="135"/>
      <c r="W2878" s="135"/>
      <c r="X2878" s="135"/>
      <c r="Y2878" s="135"/>
      <c r="Z2878" s="135"/>
    </row>
    <row r="2879" spans="1:26" ht="12.75">
      <c r="A2879" s="136" t="s">
        <v>15</v>
      </c>
      <c r="B2879" s="136" t="s">
        <v>7809</v>
      </c>
      <c r="C2879" s="136" t="s">
        <v>7789</v>
      </c>
      <c r="D2879" s="136" t="s">
        <v>139</v>
      </c>
      <c r="E2879" s="136" t="s">
        <v>594</v>
      </c>
      <c r="F2879" s="136">
        <v>300</v>
      </c>
      <c r="G2879" s="137">
        <f t="shared" si="11"/>
        <v>6</v>
      </c>
      <c r="H2879" s="137"/>
      <c r="I2879" s="137"/>
      <c r="J2879" s="135"/>
      <c r="K2879" s="135"/>
      <c r="L2879" s="135"/>
      <c r="M2879" s="135"/>
      <c r="N2879" s="135"/>
      <c r="O2879" s="135"/>
      <c r="P2879" s="135"/>
      <c r="Q2879" s="135"/>
      <c r="R2879" s="135"/>
      <c r="S2879" s="135"/>
      <c r="T2879" s="135"/>
      <c r="U2879" s="135"/>
      <c r="V2879" s="135"/>
      <c r="W2879" s="135"/>
      <c r="X2879" s="135"/>
      <c r="Y2879" s="135"/>
      <c r="Z2879" s="135"/>
    </row>
    <row r="2880" spans="1:26" ht="12.75">
      <c r="A2880" s="136" t="s">
        <v>15</v>
      </c>
      <c r="B2880" s="136" t="s">
        <v>7809</v>
      </c>
      <c r="C2880" s="136" t="s">
        <v>7789</v>
      </c>
      <c r="D2880" s="136" t="s">
        <v>7743</v>
      </c>
      <c r="E2880" s="136" t="s">
        <v>594</v>
      </c>
      <c r="F2880" s="136">
        <v>65</v>
      </c>
      <c r="G2880" s="137">
        <f t="shared" si="11"/>
        <v>12</v>
      </c>
      <c r="H2880" s="137"/>
      <c r="I2880" s="137"/>
      <c r="J2880" s="135"/>
      <c r="K2880" s="135"/>
      <c r="L2880" s="135"/>
      <c r="M2880" s="135"/>
      <c r="N2880" s="135"/>
      <c r="O2880" s="135"/>
      <c r="P2880" s="135"/>
      <c r="Q2880" s="135"/>
      <c r="R2880" s="135"/>
      <c r="S2880" s="135"/>
      <c r="T2880" s="135"/>
      <c r="U2880" s="135"/>
      <c r="V2880" s="135"/>
      <c r="W2880" s="135"/>
      <c r="X2880" s="135"/>
      <c r="Y2880" s="135"/>
      <c r="Z2880" s="135"/>
    </row>
    <row r="2881" spans="1:26" ht="12.75">
      <c r="A2881" s="136" t="s">
        <v>15</v>
      </c>
      <c r="B2881" s="136" t="s">
        <v>7809</v>
      </c>
      <c r="C2881" s="136" t="s">
        <v>7789</v>
      </c>
      <c r="D2881" s="136" t="s">
        <v>225</v>
      </c>
      <c r="E2881" s="136" t="s">
        <v>615</v>
      </c>
      <c r="F2881" s="136">
        <v>55</v>
      </c>
      <c r="G2881" s="137">
        <f t="shared" si="11"/>
        <v>14</v>
      </c>
      <c r="H2881" s="137"/>
      <c r="I2881" s="137"/>
      <c r="J2881" s="135"/>
      <c r="K2881" s="135"/>
      <c r="L2881" s="135"/>
      <c r="M2881" s="135"/>
      <c r="N2881" s="135"/>
      <c r="O2881" s="135"/>
      <c r="P2881" s="135"/>
      <c r="Q2881" s="135"/>
      <c r="R2881" s="135"/>
      <c r="S2881" s="135"/>
      <c r="T2881" s="135"/>
      <c r="U2881" s="135"/>
      <c r="V2881" s="135"/>
      <c r="W2881" s="135"/>
      <c r="X2881" s="135"/>
      <c r="Y2881" s="135"/>
      <c r="Z2881" s="135"/>
    </row>
    <row r="2882" spans="1:26" ht="12.75">
      <c r="A2882" s="136" t="s">
        <v>15</v>
      </c>
      <c r="B2882" s="136" t="s">
        <v>7809</v>
      </c>
      <c r="C2882" s="136" t="s">
        <v>7789</v>
      </c>
      <c r="D2882" s="136" t="s">
        <v>94</v>
      </c>
      <c r="E2882" s="136" t="s">
        <v>615</v>
      </c>
      <c r="F2882" s="136">
        <v>50</v>
      </c>
      <c r="G2882" s="137">
        <f t="shared" si="11"/>
        <v>15</v>
      </c>
      <c r="H2882" s="137"/>
      <c r="I2882" s="137"/>
      <c r="J2882" s="135"/>
      <c r="K2882" s="135"/>
      <c r="L2882" s="135"/>
      <c r="M2882" s="135"/>
      <c r="N2882" s="135"/>
      <c r="O2882" s="135"/>
      <c r="P2882" s="135"/>
      <c r="Q2882" s="135"/>
      <c r="R2882" s="135"/>
      <c r="S2882" s="135"/>
      <c r="T2882" s="135"/>
      <c r="U2882" s="135"/>
      <c r="V2882" s="135"/>
      <c r="W2882" s="135"/>
      <c r="X2882" s="135"/>
      <c r="Y2882" s="135"/>
      <c r="Z2882" s="135"/>
    </row>
    <row r="2883" spans="1:26" ht="12.75">
      <c r="A2883" s="136" t="s">
        <v>15</v>
      </c>
      <c r="B2883" s="136" t="s">
        <v>7809</v>
      </c>
      <c r="C2883" s="136" t="s">
        <v>7789</v>
      </c>
      <c r="D2883" s="136" t="s">
        <v>7828</v>
      </c>
      <c r="E2883" s="136" t="s">
        <v>594</v>
      </c>
      <c r="F2883" s="136">
        <v>50</v>
      </c>
      <c r="G2883" s="137">
        <f t="shared" si="11"/>
        <v>16</v>
      </c>
      <c r="H2883" s="137"/>
      <c r="I2883" s="137"/>
      <c r="J2883" s="135"/>
      <c r="K2883" s="135"/>
      <c r="L2883" s="135"/>
      <c r="M2883" s="135"/>
      <c r="N2883" s="135"/>
      <c r="O2883" s="135"/>
      <c r="P2883" s="135"/>
      <c r="Q2883" s="135"/>
      <c r="R2883" s="135"/>
      <c r="S2883" s="135"/>
      <c r="T2883" s="135"/>
      <c r="U2883" s="135"/>
      <c r="V2883" s="135"/>
      <c r="W2883" s="135"/>
      <c r="X2883" s="135"/>
      <c r="Y2883" s="135"/>
      <c r="Z2883" s="135"/>
    </row>
    <row r="2884" spans="1:26" ht="12.75">
      <c r="A2884" s="136" t="s">
        <v>15</v>
      </c>
      <c r="B2884" s="136" t="s">
        <v>7809</v>
      </c>
      <c r="C2884" s="136" t="s">
        <v>7789</v>
      </c>
      <c r="D2884" s="136" t="s">
        <v>7481</v>
      </c>
      <c r="E2884" s="136" t="s">
        <v>615</v>
      </c>
      <c r="F2884" s="136">
        <v>41</v>
      </c>
      <c r="G2884" s="137">
        <f t="shared" si="11"/>
        <v>18</v>
      </c>
      <c r="H2884" s="137"/>
      <c r="I2884" s="137"/>
      <c r="J2884" s="135"/>
      <c r="K2884" s="135"/>
      <c r="L2884" s="135"/>
      <c r="M2884" s="135"/>
      <c r="N2884" s="135"/>
      <c r="O2884" s="135"/>
      <c r="P2884" s="135"/>
      <c r="Q2884" s="135"/>
      <c r="R2884" s="135"/>
      <c r="S2884" s="135"/>
      <c r="T2884" s="135"/>
      <c r="U2884" s="135"/>
      <c r="V2884" s="135"/>
      <c r="W2884" s="135"/>
      <c r="X2884" s="135"/>
      <c r="Y2884" s="135"/>
      <c r="Z2884" s="135"/>
    </row>
    <row r="2885" spans="1:26" ht="12.75">
      <c r="A2885" s="136" t="s">
        <v>15</v>
      </c>
      <c r="B2885" s="136" t="s">
        <v>7809</v>
      </c>
      <c r="C2885" s="136" t="s">
        <v>7789</v>
      </c>
      <c r="D2885" s="136"/>
      <c r="E2885" s="136" t="s">
        <v>7693</v>
      </c>
      <c r="F2885" s="136">
        <v>1236</v>
      </c>
      <c r="G2885" s="137">
        <f t="shared" si="11"/>
        <v>2</v>
      </c>
      <c r="H2885" s="137"/>
      <c r="I2885" s="137"/>
      <c r="J2885" s="135"/>
      <c r="K2885" s="135"/>
      <c r="L2885" s="135"/>
      <c r="M2885" s="135"/>
      <c r="N2885" s="135"/>
      <c r="O2885" s="135"/>
      <c r="P2885" s="135"/>
      <c r="Q2885" s="135"/>
      <c r="R2885" s="135"/>
      <c r="S2885" s="135"/>
      <c r="T2885" s="135"/>
      <c r="U2885" s="135"/>
      <c r="V2885" s="135"/>
      <c r="W2885" s="135"/>
      <c r="X2885" s="135"/>
      <c r="Y2885" s="135"/>
      <c r="Z2885" s="135"/>
    </row>
    <row r="2886" spans="1:26" ht="12.75">
      <c r="A2886" s="136" t="s">
        <v>15</v>
      </c>
      <c r="B2886" s="136" t="s">
        <v>7809</v>
      </c>
      <c r="C2886" s="136" t="s">
        <v>7792</v>
      </c>
      <c r="D2886" s="136" t="s">
        <v>139</v>
      </c>
      <c r="E2886" s="136" t="s">
        <v>594</v>
      </c>
      <c r="F2886" s="136">
        <v>530</v>
      </c>
      <c r="G2886" s="137">
        <f t="shared" si="11"/>
        <v>4</v>
      </c>
      <c r="H2886" s="137"/>
      <c r="I2886" s="137"/>
      <c r="J2886" s="135"/>
      <c r="K2886" s="135"/>
      <c r="L2886" s="135"/>
      <c r="M2886" s="135"/>
      <c r="N2886" s="135"/>
      <c r="O2886" s="135"/>
      <c r="P2886" s="135"/>
      <c r="Q2886" s="135"/>
      <c r="R2886" s="135"/>
      <c r="S2886" s="135"/>
      <c r="T2886" s="135"/>
      <c r="U2886" s="135"/>
      <c r="V2886" s="135"/>
      <c r="W2886" s="135"/>
      <c r="X2886" s="135"/>
      <c r="Y2886" s="135"/>
      <c r="Z2886" s="135"/>
    </row>
    <row r="2887" spans="1:26" ht="12.75">
      <c r="A2887" s="136" t="s">
        <v>15</v>
      </c>
      <c r="B2887" s="136" t="s">
        <v>7809</v>
      </c>
      <c r="C2887" s="136" t="s">
        <v>7792</v>
      </c>
      <c r="D2887" s="136" t="s">
        <v>103</v>
      </c>
      <c r="E2887" s="136" t="s">
        <v>594</v>
      </c>
      <c r="F2887" s="136">
        <v>450</v>
      </c>
      <c r="G2887" s="137">
        <f t="shared" si="11"/>
        <v>5</v>
      </c>
      <c r="H2887" s="137"/>
      <c r="I2887" s="137"/>
      <c r="J2887" s="135"/>
      <c r="K2887" s="135"/>
      <c r="L2887" s="135"/>
      <c r="M2887" s="135"/>
      <c r="N2887" s="135"/>
      <c r="O2887" s="135"/>
      <c r="P2887" s="135"/>
      <c r="Q2887" s="135"/>
      <c r="R2887" s="135"/>
      <c r="S2887" s="135"/>
      <c r="T2887" s="135"/>
      <c r="U2887" s="135"/>
      <c r="V2887" s="135"/>
      <c r="W2887" s="135"/>
      <c r="X2887" s="135"/>
      <c r="Y2887" s="135"/>
      <c r="Z2887" s="135"/>
    </row>
    <row r="2888" spans="1:26" ht="12.75">
      <c r="A2888" s="136" t="s">
        <v>15</v>
      </c>
      <c r="B2888" s="136" t="s">
        <v>7809</v>
      </c>
      <c r="C2888" s="136" t="s">
        <v>7792</v>
      </c>
      <c r="D2888" s="136" t="s">
        <v>7743</v>
      </c>
      <c r="E2888" s="136" t="s">
        <v>594</v>
      </c>
      <c r="F2888" s="136">
        <v>50</v>
      </c>
      <c r="G2888" s="137">
        <f t="shared" si="11"/>
        <v>13</v>
      </c>
      <c r="H2888" s="137"/>
      <c r="I2888" s="137"/>
      <c r="J2888" s="135"/>
      <c r="K2888" s="135"/>
      <c r="L2888" s="135"/>
      <c r="M2888" s="135"/>
      <c r="N2888" s="135"/>
      <c r="O2888" s="135"/>
      <c r="P2888" s="135"/>
      <c r="Q2888" s="135"/>
      <c r="R2888" s="135"/>
      <c r="S2888" s="135"/>
      <c r="T2888" s="135"/>
      <c r="U2888" s="135"/>
      <c r="V2888" s="135"/>
      <c r="W2888" s="135"/>
      <c r="X2888" s="135"/>
      <c r="Y2888" s="135"/>
      <c r="Z2888" s="135"/>
    </row>
    <row r="2889" spans="1:26" ht="12.75">
      <c r="A2889" s="136" t="s">
        <v>15</v>
      </c>
      <c r="B2889" s="136" t="s">
        <v>7809</v>
      </c>
      <c r="C2889" s="136" t="s">
        <v>7792</v>
      </c>
      <c r="D2889" s="136" t="s">
        <v>7827</v>
      </c>
      <c r="E2889" s="136" t="s">
        <v>615</v>
      </c>
      <c r="F2889" s="136">
        <v>50</v>
      </c>
      <c r="G2889" s="137">
        <f t="shared" si="11"/>
        <v>14</v>
      </c>
      <c r="H2889" s="137"/>
      <c r="I2889" s="137"/>
      <c r="J2889" s="135"/>
      <c r="K2889" s="135"/>
      <c r="L2889" s="135"/>
      <c r="M2889" s="135"/>
      <c r="N2889" s="135"/>
      <c r="O2889" s="135"/>
      <c r="P2889" s="135"/>
      <c r="Q2889" s="135"/>
      <c r="R2889" s="135"/>
      <c r="S2889" s="135"/>
      <c r="T2889" s="135"/>
      <c r="U2889" s="135"/>
      <c r="V2889" s="135"/>
      <c r="W2889" s="135"/>
      <c r="X2889" s="135"/>
      <c r="Y2889" s="135"/>
      <c r="Z2889" s="135"/>
    </row>
    <row r="2890" spans="1:26" ht="12.75">
      <c r="A2890" s="136" t="s">
        <v>15</v>
      </c>
      <c r="B2890" s="136" t="s">
        <v>7809</v>
      </c>
      <c r="C2890" s="136" t="s">
        <v>7792</v>
      </c>
      <c r="D2890" s="136" t="s">
        <v>7829</v>
      </c>
      <c r="E2890" s="136" t="s">
        <v>594</v>
      </c>
      <c r="F2890" s="136">
        <v>50</v>
      </c>
      <c r="G2890" s="137">
        <f t="shared" si="11"/>
        <v>15</v>
      </c>
      <c r="H2890" s="137"/>
      <c r="I2890" s="137"/>
      <c r="J2890" s="135"/>
      <c r="K2890" s="135"/>
      <c r="L2890" s="135"/>
      <c r="M2890" s="135"/>
      <c r="N2890" s="135"/>
      <c r="O2890" s="135"/>
      <c r="P2890" s="135"/>
      <c r="Q2890" s="135"/>
      <c r="R2890" s="135"/>
      <c r="S2890" s="135"/>
      <c r="T2890" s="135"/>
      <c r="U2890" s="135"/>
      <c r="V2890" s="135"/>
      <c r="W2890" s="135"/>
      <c r="X2890" s="135"/>
      <c r="Y2890" s="135"/>
      <c r="Z2890" s="135"/>
    </row>
    <row r="2891" spans="1:26" ht="12.75">
      <c r="A2891" s="136" t="s">
        <v>15</v>
      </c>
      <c r="B2891" s="136" t="s">
        <v>7809</v>
      </c>
      <c r="C2891" s="136" t="s">
        <v>7792</v>
      </c>
      <c r="D2891" s="136" t="s">
        <v>7481</v>
      </c>
      <c r="E2891" s="136" t="s">
        <v>615</v>
      </c>
      <c r="F2891" s="136">
        <v>33</v>
      </c>
      <c r="G2891" s="137">
        <f t="shared" si="11"/>
        <v>17</v>
      </c>
      <c r="H2891" s="137"/>
      <c r="I2891" s="137"/>
      <c r="J2891" s="135"/>
      <c r="K2891" s="135"/>
      <c r="L2891" s="135"/>
      <c r="M2891" s="135"/>
      <c r="N2891" s="135"/>
      <c r="O2891" s="135"/>
      <c r="P2891" s="135"/>
      <c r="Q2891" s="135"/>
      <c r="R2891" s="135"/>
      <c r="S2891" s="135"/>
      <c r="T2891" s="135"/>
      <c r="U2891" s="135"/>
      <c r="V2891" s="135"/>
      <c r="W2891" s="135"/>
      <c r="X2891" s="135"/>
      <c r="Y2891" s="135"/>
      <c r="Z2891" s="135"/>
    </row>
    <row r="2892" spans="1:26" ht="12.75">
      <c r="A2892" s="136" t="s">
        <v>15</v>
      </c>
      <c r="B2892" s="136" t="s">
        <v>7809</v>
      </c>
      <c r="C2892" s="136" t="s">
        <v>7792</v>
      </c>
      <c r="D2892" s="136"/>
      <c r="E2892" s="136" t="s">
        <v>7693</v>
      </c>
      <c r="F2892" s="136">
        <v>1163</v>
      </c>
      <c r="G2892" s="137">
        <f t="shared" si="11"/>
        <v>2</v>
      </c>
      <c r="H2892" s="137"/>
      <c r="I2892" s="137"/>
      <c r="J2892" s="135"/>
      <c r="K2892" s="135"/>
      <c r="L2892" s="135"/>
      <c r="M2892" s="135"/>
      <c r="N2892" s="135"/>
      <c r="O2892" s="135"/>
      <c r="P2892" s="135"/>
      <c r="Q2892" s="135"/>
      <c r="R2892" s="135"/>
      <c r="S2892" s="135"/>
      <c r="T2892" s="135"/>
      <c r="U2892" s="135"/>
      <c r="V2892" s="135"/>
      <c r="W2892" s="135"/>
      <c r="X2892" s="135"/>
      <c r="Y2892" s="135"/>
      <c r="Z2892" s="135"/>
    </row>
    <row r="2893" spans="1:26" ht="12.75">
      <c r="A2893" s="136" t="s">
        <v>15</v>
      </c>
      <c r="B2893" s="136" t="s">
        <v>7809</v>
      </c>
      <c r="C2893" s="136" t="s">
        <v>7793</v>
      </c>
      <c r="D2893" s="136" t="s">
        <v>1669</v>
      </c>
      <c r="E2893" s="136" t="s">
        <v>615</v>
      </c>
      <c r="F2893" s="136">
        <v>275</v>
      </c>
      <c r="G2893" s="137">
        <f t="shared" si="11"/>
        <v>5</v>
      </c>
      <c r="H2893" s="137"/>
      <c r="I2893" s="137"/>
      <c r="J2893" s="135"/>
      <c r="K2893" s="135"/>
      <c r="L2893" s="135"/>
      <c r="M2893" s="135"/>
      <c r="N2893" s="135"/>
      <c r="O2893" s="135"/>
      <c r="P2893" s="135"/>
      <c r="Q2893" s="135"/>
      <c r="R2893" s="135"/>
      <c r="S2893" s="135"/>
      <c r="T2893" s="135"/>
      <c r="U2893" s="135"/>
      <c r="V2893" s="135"/>
      <c r="W2893" s="135"/>
      <c r="X2893" s="135"/>
      <c r="Y2893" s="135"/>
      <c r="Z2893" s="135"/>
    </row>
    <row r="2894" spans="1:26" ht="12.75">
      <c r="A2894" s="136" t="s">
        <v>15</v>
      </c>
      <c r="B2894" s="136" t="s">
        <v>7809</v>
      </c>
      <c r="C2894" s="136" t="s">
        <v>7793</v>
      </c>
      <c r="D2894" s="136" t="s">
        <v>139</v>
      </c>
      <c r="E2894" s="136" t="s">
        <v>594</v>
      </c>
      <c r="F2894" s="136">
        <v>250</v>
      </c>
      <c r="G2894" s="137">
        <f t="shared" si="11"/>
        <v>6</v>
      </c>
      <c r="H2894" s="137"/>
      <c r="I2894" s="137"/>
      <c r="J2894" s="135"/>
      <c r="K2894" s="135"/>
      <c r="L2894" s="135"/>
      <c r="M2894" s="135"/>
      <c r="N2894" s="135"/>
      <c r="O2894" s="135"/>
      <c r="P2894" s="135"/>
      <c r="Q2894" s="135"/>
      <c r="R2894" s="135"/>
      <c r="S2894" s="135"/>
      <c r="T2894" s="135"/>
      <c r="U2894" s="135"/>
      <c r="V2894" s="135"/>
      <c r="W2894" s="135"/>
      <c r="X2894" s="135"/>
      <c r="Y2894" s="135"/>
      <c r="Z2894" s="135"/>
    </row>
    <row r="2895" spans="1:26" ht="12.75">
      <c r="A2895" s="136" t="s">
        <v>15</v>
      </c>
      <c r="B2895" s="136" t="s">
        <v>7809</v>
      </c>
      <c r="C2895" s="136" t="s">
        <v>7793</v>
      </c>
      <c r="D2895" s="136" t="s">
        <v>103</v>
      </c>
      <c r="E2895" s="136" t="s">
        <v>594</v>
      </c>
      <c r="F2895" s="136">
        <v>195</v>
      </c>
      <c r="G2895" s="137">
        <f t="shared" si="11"/>
        <v>8</v>
      </c>
      <c r="H2895" s="137"/>
      <c r="I2895" s="137"/>
      <c r="J2895" s="135"/>
      <c r="K2895" s="135"/>
      <c r="L2895" s="135"/>
      <c r="M2895" s="135"/>
      <c r="N2895" s="135"/>
      <c r="O2895" s="135"/>
      <c r="P2895" s="135"/>
      <c r="Q2895" s="135"/>
      <c r="R2895" s="135"/>
      <c r="S2895" s="135"/>
      <c r="T2895" s="135"/>
      <c r="U2895" s="135"/>
      <c r="V2895" s="135"/>
      <c r="W2895" s="135"/>
      <c r="X2895" s="135"/>
      <c r="Y2895" s="135"/>
      <c r="Z2895" s="135"/>
    </row>
    <row r="2896" spans="1:26" ht="12.75">
      <c r="A2896" s="136" t="s">
        <v>15</v>
      </c>
      <c r="B2896" s="136" t="s">
        <v>7809</v>
      </c>
      <c r="C2896" s="136" t="s">
        <v>7793</v>
      </c>
      <c r="D2896" s="136" t="s">
        <v>7481</v>
      </c>
      <c r="E2896" s="136" t="s">
        <v>615</v>
      </c>
      <c r="F2896" s="136">
        <v>130</v>
      </c>
      <c r="G2896" s="137">
        <f t="shared" si="11"/>
        <v>9</v>
      </c>
      <c r="H2896" s="137"/>
      <c r="I2896" s="137"/>
      <c r="J2896" s="135"/>
      <c r="K2896" s="135"/>
      <c r="L2896" s="135"/>
      <c r="M2896" s="135"/>
      <c r="N2896" s="135"/>
      <c r="O2896" s="135"/>
      <c r="P2896" s="135"/>
      <c r="Q2896" s="135"/>
      <c r="R2896" s="135"/>
      <c r="S2896" s="135"/>
      <c r="T2896" s="135"/>
      <c r="U2896" s="135"/>
      <c r="V2896" s="135"/>
      <c r="W2896" s="135"/>
      <c r="X2896" s="135"/>
      <c r="Y2896" s="135"/>
      <c r="Z2896" s="135"/>
    </row>
    <row r="2897" spans="1:26" ht="12.75">
      <c r="A2897" s="136" t="s">
        <v>15</v>
      </c>
      <c r="B2897" s="136" t="s">
        <v>7809</v>
      </c>
      <c r="C2897" s="136" t="s">
        <v>7793</v>
      </c>
      <c r="D2897" s="136" t="s">
        <v>225</v>
      </c>
      <c r="E2897" s="136" t="s">
        <v>615</v>
      </c>
      <c r="F2897" s="136">
        <v>120</v>
      </c>
      <c r="G2897" s="137">
        <f t="shared" si="11"/>
        <v>10</v>
      </c>
      <c r="H2897" s="137"/>
      <c r="I2897" s="137"/>
      <c r="J2897" s="135"/>
      <c r="K2897" s="135"/>
      <c r="L2897" s="135"/>
      <c r="M2897" s="135"/>
      <c r="N2897" s="135"/>
      <c r="O2897" s="135"/>
      <c r="P2897" s="135"/>
      <c r="Q2897" s="135"/>
      <c r="R2897" s="135"/>
      <c r="S2897" s="135"/>
      <c r="T2897" s="135"/>
      <c r="U2897" s="135"/>
      <c r="V2897" s="135"/>
      <c r="W2897" s="135"/>
      <c r="X2897" s="135"/>
      <c r="Y2897" s="135"/>
      <c r="Z2897" s="135"/>
    </row>
    <row r="2898" spans="1:26" ht="12.75">
      <c r="A2898" s="136" t="s">
        <v>15</v>
      </c>
      <c r="B2898" s="136" t="s">
        <v>7809</v>
      </c>
      <c r="C2898" s="136" t="s">
        <v>7793</v>
      </c>
      <c r="D2898" s="136" t="s">
        <v>1673</v>
      </c>
      <c r="E2898" s="136" t="s">
        <v>615</v>
      </c>
      <c r="F2898" s="136">
        <v>105</v>
      </c>
      <c r="G2898" s="137">
        <f t="shared" si="11"/>
        <v>11</v>
      </c>
      <c r="H2898" s="137"/>
      <c r="I2898" s="137"/>
      <c r="J2898" s="135"/>
      <c r="K2898" s="135"/>
      <c r="L2898" s="135"/>
      <c r="M2898" s="135"/>
      <c r="N2898" s="135"/>
      <c r="O2898" s="135"/>
      <c r="P2898" s="135"/>
      <c r="Q2898" s="135"/>
      <c r="R2898" s="135"/>
      <c r="S2898" s="135"/>
      <c r="T2898" s="135"/>
      <c r="U2898" s="135"/>
      <c r="V2898" s="135"/>
      <c r="W2898" s="135"/>
      <c r="X2898" s="135"/>
      <c r="Y2898" s="135"/>
      <c r="Z2898" s="135"/>
    </row>
    <row r="2899" spans="1:26" ht="12.75">
      <c r="A2899" s="136" t="s">
        <v>15</v>
      </c>
      <c r="B2899" s="136" t="s">
        <v>7809</v>
      </c>
      <c r="C2899" s="136" t="s">
        <v>7793</v>
      </c>
      <c r="D2899" s="136" t="s">
        <v>7801</v>
      </c>
      <c r="E2899" s="136" t="s">
        <v>615</v>
      </c>
      <c r="F2899" s="136">
        <v>100</v>
      </c>
      <c r="G2899" s="137">
        <f t="shared" si="11"/>
        <v>12</v>
      </c>
      <c r="H2899" s="137"/>
      <c r="I2899" s="137"/>
      <c r="J2899" s="135"/>
      <c r="K2899" s="135"/>
      <c r="L2899" s="135"/>
      <c r="M2899" s="135"/>
      <c r="N2899" s="135"/>
      <c r="O2899" s="135"/>
      <c r="P2899" s="135"/>
      <c r="Q2899" s="135"/>
      <c r="R2899" s="135"/>
      <c r="S2899" s="135"/>
      <c r="T2899" s="135"/>
      <c r="U2899" s="135"/>
      <c r="V2899" s="135"/>
      <c r="W2899" s="135"/>
      <c r="X2899" s="135"/>
      <c r="Y2899" s="135"/>
      <c r="Z2899" s="135"/>
    </row>
    <row r="2900" spans="1:26" ht="12.75">
      <c r="A2900" s="136" t="s">
        <v>15</v>
      </c>
      <c r="B2900" s="136" t="s">
        <v>7809</v>
      </c>
      <c r="C2900" s="136" t="s">
        <v>7793</v>
      </c>
      <c r="D2900" s="136" t="s">
        <v>7698</v>
      </c>
      <c r="E2900" s="136" t="s">
        <v>615</v>
      </c>
      <c r="F2900" s="136">
        <v>55</v>
      </c>
      <c r="G2900" s="137">
        <f t="shared" si="11"/>
        <v>15</v>
      </c>
      <c r="H2900" s="137"/>
      <c r="I2900" s="137"/>
      <c r="J2900" s="135"/>
      <c r="K2900" s="135"/>
      <c r="L2900" s="135"/>
      <c r="M2900" s="135"/>
      <c r="N2900" s="135"/>
      <c r="O2900" s="135"/>
      <c r="P2900" s="135"/>
      <c r="Q2900" s="135"/>
      <c r="R2900" s="135"/>
      <c r="S2900" s="135"/>
      <c r="T2900" s="135"/>
      <c r="U2900" s="135"/>
      <c r="V2900" s="135"/>
      <c r="W2900" s="135"/>
      <c r="X2900" s="135"/>
      <c r="Y2900" s="135"/>
      <c r="Z2900" s="135"/>
    </row>
    <row r="2901" spans="1:26" ht="12.75">
      <c r="A2901" s="136" t="s">
        <v>15</v>
      </c>
      <c r="B2901" s="136" t="s">
        <v>7809</v>
      </c>
      <c r="C2901" s="136" t="s">
        <v>7793</v>
      </c>
      <c r="D2901" s="136" t="s">
        <v>7827</v>
      </c>
      <c r="E2901" s="136" t="s">
        <v>615</v>
      </c>
      <c r="F2901" s="136">
        <v>55</v>
      </c>
      <c r="G2901" s="137">
        <f t="shared" si="11"/>
        <v>16</v>
      </c>
      <c r="H2901" s="137"/>
      <c r="I2901" s="137"/>
      <c r="J2901" s="135"/>
      <c r="K2901" s="135"/>
      <c r="L2901" s="135"/>
      <c r="M2901" s="135"/>
      <c r="N2901" s="135"/>
      <c r="O2901" s="135"/>
      <c r="P2901" s="135"/>
      <c r="Q2901" s="135"/>
      <c r="R2901" s="135"/>
      <c r="S2901" s="135"/>
      <c r="T2901" s="135"/>
      <c r="U2901" s="135"/>
      <c r="V2901" s="135"/>
      <c r="W2901" s="135"/>
      <c r="X2901" s="135"/>
      <c r="Y2901" s="135"/>
      <c r="Z2901" s="135"/>
    </row>
    <row r="2902" spans="1:26" ht="12.75">
      <c r="A2902" s="136" t="s">
        <v>15</v>
      </c>
      <c r="B2902" s="136" t="s">
        <v>7809</v>
      </c>
      <c r="C2902" s="136" t="s">
        <v>7793</v>
      </c>
      <c r="D2902" s="136" t="s">
        <v>7743</v>
      </c>
      <c r="E2902" s="136" t="s">
        <v>594</v>
      </c>
      <c r="F2902" s="136">
        <v>50</v>
      </c>
      <c r="G2902" s="137">
        <f t="shared" si="11"/>
        <v>19</v>
      </c>
      <c r="H2902" s="137"/>
      <c r="I2902" s="137"/>
      <c r="J2902" s="135"/>
      <c r="K2902" s="135"/>
      <c r="L2902" s="135"/>
      <c r="M2902" s="135"/>
      <c r="N2902" s="135"/>
      <c r="O2902" s="135"/>
      <c r="P2902" s="135"/>
      <c r="Q2902" s="135"/>
      <c r="R2902" s="135"/>
      <c r="S2902" s="135"/>
      <c r="T2902" s="135"/>
      <c r="U2902" s="135"/>
      <c r="V2902" s="135"/>
      <c r="W2902" s="135"/>
      <c r="X2902" s="135"/>
      <c r="Y2902" s="135"/>
      <c r="Z2902" s="135"/>
    </row>
    <row r="2903" spans="1:26" ht="12.75">
      <c r="A2903" s="136" t="s">
        <v>15</v>
      </c>
      <c r="B2903" s="136" t="s">
        <v>7809</v>
      </c>
      <c r="C2903" s="136" t="s">
        <v>7793</v>
      </c>
      <c r="D2903" s="136"/>
      <c r="E2903" s="136" t="s">
        <v>7693</v>
      </c>
      <c r="F2903" s="136">
        <v>1335</v>
      </c>
      <c r="G2903" s="137">
        <f t="shared" si="11"/>
        <v>2</v>
      </c>
      <c r="H2903" s="137"/>
      <c r="I2903" s="137"/>
      <c r="J2903" s="135"/>
      <c r="K2903" s="135"/>
      <c r="L2903" s="135"/>
      <c r="M2903" s="135"/>
      <c r="N2903" s="135"/>
      <c r="O2903" s="135"/>
      <c r="P2903" s="135"/>
      <c r="Q2903" s="135"/>
      <c r="R2903" s="135"/>
      <c r="S2903" s="135"/>
      <c r="T2903" s="135"/>
      <c r="U2903" s="135"/>
      <c r="V2903" s="135"/>
      <c r="W2903" s="135"/>
      <c r="X2903" s="135"/>
      <c r="Y2903" s="135"/>
      <c r="Z2903" s="135"/>
    </row>
    <row r="2904" spans="1:26" ht="12.75">
      <c r="A2904" s="136" t="s">
        <v>15</v>
      </c>
      <c r="B2904" s="136" t="s">
        <v>7809</v>
      </c>
      <c r="C2904" s="136" t="s">
        <v>7794</v>
      </c>
      <c r="D2904" s="136" t="s">
        <v>103</v>
      </c>
      <c r="E2904" s="136" t="s">
        <v>594</v>
      </c>
      <c r="F2904" s="136">
        <v>519</v>
      </c>
      <c r="G2904" s="137">
        <f t="shared" si="11"/>
        <v>4</v>
      </c>
      <c r="H2904" s="137"/>
      <c r="I2904" s="137"/>
      <c r="J2904" s="135"/>
      <c r="K2904" s="135"/>
      <c r="L2904" s="135"/>
      <c r="M2904" s="135"/>
      <c r="N2904" s="135"/>
      <c r="O2904" s="135"/>
      <c r="P2904" s="135"/>
      <c r="Q2904" s="135"/>
      <c r="R2904" s="135"/>
      <c r="S2904" s="135"/>
      <c r="T2904" s="135"/>
      <c r="U2904" s="135"/>
      <c r="V2904" s="135"/>
      <c r="W2904" s="135"/>
      <c r="X2904" s="135"/>
      <c r="Y2904" s="135"/>
      <c r="Z2904" s="135"/>
    </row>
    <row r="2905" spans="1:26" ht="12.75">
      <c r="A2905" s="136" t="s">
        <v>15</v>
      </c>
      <c r="B2905" s="136" t="s">
        <v>7809</v>
      </c>
      <c r="C2905" s="136" t="s">
        <v>7794</v>
      </c>
      <c r="D2905" s="136" t="s">
        <v>139</v>
      </c>
      <c r="E2905" s="136" t="s">
        <v>594</v>
      </c>
      <c r="F2905" s="136">
        <v>200</v>
      </c>
      <c r="G2905" s="137">
        <f t="shared" si="11"/>
        <v>6</v>
      </c>
      <c r="H2905" s="137"/>
      <c r="I2905" s="137"/>
      <c r="J2905" s="135"/>
      <c r="K2905" s="135"/>
      <c r="L2905" s="135"/>
      <c r="M2905" s="135"/>
      <c r="N2905" s="135"/>
      <c r="O2905" s="135"/>
      <c r="P2905" s="135"/>
      <c r="Q2905" s="135"/>
      <c r="R2905" s="135"/>
      <c r="S2905" s="135"/>
      <c r="T2905" s="135"/>
      <c r="U2905" s="135"/>
      <c r="V2905" s="135"/>
      <c r="W2905" s="135"/>
      <c r="X2905" s="135"/>
      <c r="Y2905" s="135"/>
      <c r="Z2905" s="135"/>
    </row>
    <row r="2906" spans="1:26" ht="12.75">
      <c r="A2906" s="136" t="s">
        <v>15</v>
      </c>
      <c r="B2906" s="136" t="s">
        <v>7809</v>
      </c>
      <c r="C2906" s="136" t="s">
        <v>7794</v>
      </c>
      <c r="D2906" s="136" t="s">
        <v>7762</v>
      </c>
      <c r="E2906" s="136" t="s">
        <v>615</v>
      </c>
      <c r="F2906" s="136">
        <v>100</v>
      </c>
      <c r="G2906" s="137">
        <f t="shared" si="11"/>
        <v>12</v>
      </c>
      <c r="H2906" s="137"/>
      <c r="I2906" s="137"/>
      <c r="J2906" s="135"/>
      <c r="K2906" s="135"/>
      <c r="L2906" s="135"/>
      <c r="M2906" s="135"/>
      <c r="N2906" s="135"/>
      <c r="O2906" s="135"/>
      <c r="P2906" s="135"/>
      <c r="Q2906" s="135"/>
      <c r="R2906" s="135"/>
      <c r="S2906" s="135"/>
      <c r="T2906" s="135"/>
      <c r="U2906" s="135"/>
      <c r="V2906" s="135"/>
      <c r="W2906" s="135"/>
      <c r="X2906" s="135"/>
      <c r="Y2906" s="135"/>
      <c r="Z2906" s="135"/>
    </row>
    <row r="2907" spans="1:26" ht="12.75">
      <c r="A2907" s="136" t="s">
        <v>15</v>
      </c>
      <c r="B2907" s="136" t="s">
        <v>7809</v>
      </c>
      <c r="C2907" s="136" t="s">
        <v>7794</v>
      </c>
      <c r="D2907" s="136" t="s">
        <v>7481</v>
      </c>
      <c r="E2907" s="136" t="s">
        <v>615</v>
      </c>
      <c r="F2907" s="136">
        <v>97</v>
      </c>
      <c r="G2907" s="137">
        <f t="shared" si="11"/>
        <v>13</v>
      </c>
      <c r="H2907" s="137"/>
      <c r="I2907" s="137"/>
      <c r="J2907" s="135"/>
      <c r="K2907" s="135"/>
      <c r="L2907" s="135"/>
      <c r="M2907" s="135"/>
      <c r="N2907" s="135"/>
      <c r="O2907" s="135"/>
      <c r="P2907" s="135"/>
      <c r="Q2907" s="135"/>
      <c r="R2907" s="135"/>
      <c r="S2907" s="135"/>
      <c r="T2907" s="135"/>
      <c r="U2907" s="135"/>
      <c r="V2907" s="135"/>
      <c r="W2907" s="135"/>
      <c r="X2907" s="135"/>
      <c r="Y2907" s="135"/>
      <c r="Z2907" s="135"/>
    </row>
    <row r="2908" spans="1:26" ht="12.75">
      <c r="A2908" s="136" t="s">
        <v>15</v>
      </c>
      <c r="B2908" s="136" t="s">
        <v>7809</v>
      </c>
      <c r="C2908" s="136" t="s">
        <v>7794</v>
      </c>
      <c r="D2908" s="136" t="s">
        <v>7726</v>
      </c>
      <c r="E2908" s="136" t="s">
        <v>615</v>
      </c>
      <c r="F2908" s="136">
        <v>75</v>
      </c>
      <c r="G2908" s="137">
        <f t="shared" si="11"/>
        <v>14</v>
      </c>
      <c r="H2908" s="137"/>
      <c r="I2908" s="137"/>
      <c r="J2908" s="135"/>
      <c r="K2908" s="135"/>
      <c r="L2908" s="135"/>
      <c r="M2908" s="135"/>
      <c r="N2908" s="135"/>
      <c r="O2908" s="135"/>
      <c r="P2908" s="135"/>
      <c r="Q2908" s="135"/>
      <c r="R2908" s="135"/>
      <c r="S2908" s="135"/>
      <c r="T2908" s="135"/>
      <c r="U2908" s="135"/>
      <c r="V2908" s="135"/>
      <c r="W2908" s="135"/>
      <c r="X2908" s="135"/>
      <c r="Y2908" s="135"/>
      <c r="Z2908" s="135"/>
    </row>
    <row r="2909" spans="1:26" ht="12.75">
      <c r="A2909" s="136" t="s">
        <v>15</v>
      </c>
      <c r="B2909" s="136" t="s">
        <v>7809</v>
      </c>
      <c r="C2909" s="136" t="s">
        <v>7794</v>
      </c>
      <c r="D2909" s="136" t="s">
        <v>7766</v>
      </c>
      <c r="E2909" s="136" t="s">
        <v>594</v>
      </c>
      <c r="F2909" s="136">
        <v>50</v>
      </c>
      <c r="G2909" s="137">
        <f t="shared" si="11"/>
        <v>15</v>
      </c>
      <c r="H2909" s="137"/>
      <c r="I2909" s="137"/>
      <c r="J2909" s="135"/>
      <c r="K2909" s="135"/>
      <c r="L2909" s="135"/>
      <c r="M2909" s="135"/>
      <c r="N2909" s="135"/>
      <c r="O2909" s="135"/>
      <c r="P2909" s="135"/>
      <c r="Q2909" s="135"/>
      <c r="R2909" s="135"/>
      <c r="S2909" s="135"/>
      <c r="T2909" s="135"/>
      <c r="U2909" s="135"/>
      <c r="V2909" s="135"/>
      <c r="W2909" s="135"/>
      <c r="X2909" s="135"/>
      <c r="Y2909" s="135"/>
      <c r="Z2909" s="135"/>
    </row>
    <row r="2910" spans="1:26" ht="12.75">
      <c r="A2910" s="136" t="s">
        <v>15</v>
      </c>
      <c r="B2910" s="136" t="s">
        <v>7809</v>
      </c>
      <c r="C2910" s="136" t="s">
        <v>7794</v>
      </c>
      <c r="D2910" s="136" t="s">
        <v>7743</v>
      </c>
      <c r="E2910" s="136" t="s">
        <v>594</v>
      </c>
      <c r="F2910" s="136">
        <v>50</v>
      </c>
      <c r="G2910" s="137">
        <f t="shared" si="11"/>
        <v>16</v>
      </c>
      <c r="H2910" s="137"/>
      <c r="I2910" s="137"/>
      <c r="J2910" s="135"/>
      <c r="K2910" s="135"/>
      <c r="L2910" s="135"/>
      <c r="M2910" s="135"/>
      <c r="N2910" s="135"/>
      <c r="O2910" s="135"/>
      <c r="P2910" s="135"/>
      <c r="Q2910" s="135"/>
      <c r="R2910" s="135"/>
      <c r="S2910" s="135"/>
      <c r="T2910" s="135"/>
      <c r="U2910" s="135"/>
      <c r="V2910" s="135"/>
      <c r="W2910" s="135"/>
      <c r="X2910" s="135"/>
      <c r="Y2910" s="135"/>
      <c r="Z2910" s="135"/>
    </row>
    <row r="2911" spans="1:26" ht="12.75">
      <c r="A2911" s="136" t="s">
        <v>15</v>
      </c>
      <c r="B2911" s="136" t="s">
        <v>7809</v>
      </c>
      <c r="C2911" s="136" t="s">
        <v>7794</v>
      </c>
      <c r="D2911" s="136" t="s">
        <v>7788</v>
      </c>
      <c r="E2911" s="136" t="s">
        <v>615</v>
      </c>
      <c r="F2911" s="136">
        <v>50</v>
      </c>
      <c r="G2911" s="137">
        <f t="shared" si="11"/>
        <v>17</v>
      </c>
      <c r="H2911" s="137"/>
      <c r="I2911" s="137"/>
      <c r="J2911" s="135"/>
      <c r="K2911" s="135"/>
      <c r="L2911" s="135"/>
      <c r="M2911" s="135"/>
      <c r="N2911" s="135"/>
      <c r="O2911" s="135"/>
      <c r="P2911" s="135"/>
      <c r="Q2911" s="135"/>
      <c r="R2911" s="135"/>
      <c r="S2911" s="135"/>
      <c r="T2911" s="135"/>
      <c r="U2911" s="135"/>
      <c r="V2911" s="135"/>
      <c r="W2911" s="135"/>
      <c r="X2911" s="135"/>
      <c r="Y2911" s="135"/>
      <c r="Z2911" s="135"/>
    </row>
    <row r="2912" spans="1:26" ht="12.75">
      <c r="A2912" s="136" t="s">
        <v>15</v>
      </c>
      <c r="B2912" s="136" t="s">
        <v>7809</v>
      </c>
      <c r="C2912" s="136" t="s">
        <v>7794</v>
      </c>
      <c r="D2912" s="136" t="s">
        <v>7801</v>
      </c>
      <c r="E2912" s="136" t="s">
        <v>615</v>
      </c>
      <c r="F2912" s="136">
        <v>50</v>
      </c>
      <c r="G2912" s="137">
        <f t="shared" si="11"/>
        <v>18</v>
      </c>
      <c r="H2912" s="137"/>
      <c r="I2912" s="137"/>
      <c r="J2912" s="135"/>
      <c r="K2912" s="135"/>
      <c r="L2912" s="135"/>
      <c r="M2912" s="135"/>
      <c r="N2912" s="135"/>
      <c r="O2912" s="135"/>
      <c r="P2912" s="135"/>
      <c r="Q2912" s="135"/>
      <c r="R2912" s="135"/>
      <c r="S2912" s="135"/>
      <c r="T2912" s="135"/>
      <c r="U2912" s="135"/>
      <c r="V2912" s="135"/>
      <c r="W2912" s="135"/>
      <c r="X2912" s="135"/>
      <c r="Y2912" s="135"/>
      <c r="Z2912" s="135"/>
    </row>
    <row r="2913" spans="1:26" ht="12.75">
      <c r="A2913" s="136" t="s">
        <v>15</v>
      </c>
      <c r="B2913" s="136" t="s">
        <v>7809</v>
      </c>
      <c r="C2913" s="136" t="s">
        <v>7794</v>
      </c>
      <c r="D2913" s="136"/>
      <c r="E2913" s="136" t="s">
        <v>7693</v>
      </c>
      <c r="F2913" s="136">
        <v>1191</v>
      </c>
      <c r="G2913" s="137">
        <f t="shared" si="11"/>
        <v>2</v>
      </c>
      <c r="H2913" s="137"/>
      <c r="I2913" s="137"/>
      <c r="J2913" s="135"/>
      <c r="K2913" s="135"/>
      <c r="L2913" s="135"/>
      <c r="M2913" s="135"/>
      <c r="N2913" s="135"/>
      <c r="O2913" s="135"/>
      <c r="P2913" s="135"/>
      <c r="Q2913" s="135"/>
      <c r="R2913" s="135"/>
      <c r="S2913" s="135"/>
      <c r="T2913" s="135"/>
      <c r="U2913" s="135"/>
      <c r="V2913" s="135"/>
      <c r="W2913" s="135"/>
      <c r="X2913" s="135"/>
      <c r="Y2913" s="135"/>
      <c r="Z2913" s="135"/>
    </row>
    <row r="2914" spans="1:26" ht="12.75">
      <c r="A2914" s="136" t="s">
        <v>15</v>
      </c>
      <c r="B2914" s="136" t="s">
        <v>7809</v>
      </c>
      <c r="C2914" s="136" t="s">
        <v>7795</v>
      </c>
      <c r="D2914" s="136" t="s">
        <v>1669</v>
      </c>
      <c r="E2914" s="136" t="s">
        <v>615</v>
      </c>
      <c r="F2914" s="136">
        <v>685</v>
      </c>
      <c r="G2914" s="137">
        <f t="shared" si="11"/>
        <v>3</v>
      </c>
      <c r="H2914" s="137"/>
      <c r="I2914" s="137"/>
      <c r="J2914" s="135"/>
      <c r="K2914" s="135"/>
      <c r="L2914" s="135"/>
      <c r="M2914" s="135"/>
      <c r="N2914" s="135"/>
      <c r="O2914" s="135"/>
      <c r="P2914" s="135"/>
      <c r="Q2914" s="135"/>
      <c r="R2914" s="135"/>
      <c r="S2914" s="135"/>
      <c r="T2914" s="135"/>
      <c r="U2914" s="135"/>
      <c r="V2914" s="135"/>
      <c r="W2914" s="135"/>
      <c r="X2914" s="135"/>
      <c r="Y2914" s="135"/>
      <c r="Z2914" s="135"/>
    </row>
    <row r="2915" spans="1:26" ht="12.75">
      <c r="A2915" s="136" t="s">
        <v>15</v>
      </c>
      <c r="B2915" s="136" t="s">
        <v>7809</v>
      </c>
      <c r="C2915" s="136" t="s">
        <v>7795</v>
      </c>
      <c r="D2915" s="136" t="s">
        <v>103</v>
      </c>
      <c r="E2915" s="136" t="s">
        <v>594</v>
      </c>
      <c r="F2915" s="136">
        <v>447</v>
      </c>
      <c r="G2915" s="137">
        <f t="shared" si="11"/>
        <v>5</v>
      </c>
      <c r="H2915" s="137"/>
      <c r="I2915" s="137"/>
      <c r="J2915" s="135"/>
      <c r="K2915" s="135"/>
      <c r="L2915" s="135"/>
      <c r="M2915" s="135"/>
      <c r="N2915" s="135"/>
      <c r="O2915" s="135"/>
      <c r="P2915" s="135"/>
      <c r="Q2915" s="135"/>
      <c r="R2915" s="135"/>
      <c r="S2915" s="135"/>
      <c r="T2915" s="135"/>
      <c r="U2915" s="135"/>
      <c r="V2915" s="135"/>
      <c r="W2915" s="135"/>
      <c r="X2915" s="135"/>
      <c r="Y2915" s="135"/>
      <c r="Z2915" s="135"/>
    </row>
    <row r="2916" spans="1:26" ht="12.75">
      <c r="A2916" s="136" t="s">
        <v>15</v>
      </c>
      <c r="B2916" s="136" t="s">
        <v>7809</v>
      </c>
      <c r="C2916" s="136" t="s">
        <v>7795</v>
      </c>
      <c r="D2916" s="136" t="s">
        <v>139</v>
      </c>
      <c r="E2916" s="136" t="s">
        <v>594</v>
      </c>
      <c r="F2916" s="136">
        <v>275</v>
      </c>
      <c r="G2916" s="137">
        <f t="shared" si="11"/>
        <v>7</v>
      </c>
      <c r="H2916" s="137"/>
      <c r="I2916" s="137"/>
      <c r="J2916" s="135"/>
      <c r="K2916" s="135"/>
      <c r="L2916" s="135"/>
      <c r="M2916" s="135"/>
      <c r="N2916" s="135"/>
      <c r="O2916" s="135"/>
      <c r="P2916" s="135"/>
      <c r="Q2916" s="135"/>
      <c r="R2916" s="135"/>
      <c r="S2916" s="135"/>
      <c r="T2916" s="135"/>
      <c r="U2916" s="135"/>
      <c r="V2916" s="135"/>
      <c r="W2916" s="135"/>
      <c r="X2916" s="135"/>
      <c r="Y2916" s="135"/>
      <c r="Z2916" s="135"/>
    </row>
    <row r="2917" spans="1:26" ht="12.75">
      <c r="A2917" s="136" t="s">
        <v>15</v>
      </c>
      <c r="B2917" s="136" t="s">
        <v>7809</v>
      </c>
      <c r="C2917" s="136" t="s">
        <v>7795</v>
      </c>
      <c r="D2917" s="136" t="s">
        <v>7788</v>
      </c>
      <c r="E2917" s="136" t="s">
        <v>615</v>
      </c>
      <c r="F2917" s="136">
        <v>108</v>
      </c>
      <c r="G2917" s="137">
        <f t="shared" si="11"/>
        <v>10</v>
      </c>
      <c r="H2917" s="137"/>
      <c r="I2917" s="137"/>
      <c r="J2917" s="135"/>
      <c r="K2917" s="135"/>
      <c r="L2917" s="135"/>
      <c r="M2917" s="135"/>
      <c r="N2917" s="135"/>
      <c r="O2917" s="135"/>
      <c r="P2917" s="135"/>
      <c r="Q2917" s="135"/>
      <c r="R2917" s="135"/>
      <c r="S2917" s="135"/>
      <c r="T2917" s="135"/>
      <c r="U2917" s="135"/>
      <c r="V2917" s="135"/>
      <c r="W2917" s="135"/>
      <c r="X2917" s="135"/>
      <c r="Y2917" s="135"/>
      <c r="Z2917" s="135"/>
    </row>
    <row r="2918" spans="1:26" ht="12.75">
      <c r="A2918" s="136" t="s">
        <v>15</v>
      </c>
      <c r="B2918" s="136" t="s">
        <v>7809</v>
      </c>
      <c r="C2918" s="136" t="s">
        <v>7795</v>
      </c>
      <c r="D2918" s="136" t="s">
        <v>7481</v>
      </c>
      <c r="E2918" s="136" t="s">
        <v>615</v>
      </c>
      <c r="F2918" s="136">
        <v>94</v>
      </c>
      <c r="G2918" s="137">
        <f t="shared" si="11"/>
        <v>11</v>
      </c>
      <c r="H2918" s="137"/>
      <c r="I2918" s="137"/>
      <c r="J2918" s="135"/>
      <c r="K2918" s="135"/>
      <c r="L2918" s="135"/>
      <c r="M2918" s="135"/>
      <c r="N2918" s="135"/>
      <c r="O2918" s="135"/>
      <c r="P2918" s="135"/>
      <c r="Q2918" s="135"/>
      <c r="R2918" s="135"/>
      <c r="S2918" s="135"/>
      <c r="T2918" s="135"/>
      <c r="U2918" s="135"/>
      <c r="V2918" s="135"/>
      <c r="W2918" s="135"/>
      <c r="X2918" s="135"/>
      <c r="Y2918" s="135"/>
      <c r="Z2918" s="135"/>
    </row>
    <row r="2919" spans="1:26" ht="12.75">
      <c r="A2919" s="136" t="s">
        <v>15</v>
      </c>
      <c r="B2919" s="136" t="s">
        <v>7809</v>
      </c>
      <c r="C2919" s="136" t="s">
        <v>7795</v>
      </c>
      <c r="D2919" s="136"/>
      <c r="E2919" s="136" t="s">
        <v>7693</v>
      </c>
      <c r="F2919" s="136">
        <v>1609</v>
      </c>
      <c r="G2919" s="137">
        <f t="shared" si="11"/>
        <v>1</v>
      </c>
      <c r="H2919" s="137"/>
      <c r="I2919" s="137"/>
      <c r="J2919" s="135"/>
      <c r="K2919" s="135"/>
      <c r="L2919" s="135"/>
      <c r="M2919" s="135"/>
      <c r="N2919" s="135"/>
      <c r="O2919" s="135"/>
      <c r="P2919" s="135"/>
      <c r="Q2919" s="135"/>
      <c r="R2919" s="135"/>
      <c r="S2919" s="135"/>
      <c r="T2919" s="135"/>
      <c r="U2919" s="135"/>
      <c r="V2919" s="135"/>
      <c r="W2919" s="135"/>
      <c r="X2919" s="135"/>
      <c r="Y2919" s="135"/>
      <c r="Z2919" s="135"/>
    </row>
    <row r="2920" spans="1:26" ht="12.75">
      <c r="A2920" s="136" t="s">
        <v>15</v>
      </c>
      <c r="B2920" s="136" t="s">
        <v>7809</v>
      </c>
      <c r="C2920" s="136" t="s">
        <v>7796</v>
      </c>
      <c r="D2920" s="136" t="s">
        <v>139</v>
      </c>
      <c r="E2920" s="136" t="s">
        <v>594</v>
      </c>
      <c r="F2920" s="136">
        <v>645</v>
      </c>
      <c r="G2920" s="137">
        <f t="shared" si="11"/>
        <v>2</v>
      </c>
      <c r="H2920" s="137"/>
      <c r="I2920" s="137"/>
      <c r="J2920" s="135"/>
      <c r="K2920" s="135"/>
      <c r="L2920" s="135"/>
      <c r="M2920" s="135"/>
      <c r="N2920" s="135"/>
      <c r="O2920" s="135"/>
      <c r="P2920" s="135"/>
      <c r="Q2920" s="135"/>
      <c r="R2920" s="135"/>
      <c r="S2920" s="135"/>
      <c r="T2920" s="135"/>
      <c r="U2920" s="135"/>
      <c r="V2920" s="135"/>
      <c r="W2920" s="135"/>
      <c r="X2920" s="135"/>
      <c r="Y2920" s="135"/>
      <c r="Z2920" s="135"/>
    </row>
    <row r="2921" spans="1:26" ht="12.75">
      <c r="A2921" s="136" t="s">
        <v>15</v>
      </c>
      <c r="B2921" s="136" t="s">
        <v>7809</v>
      </c>
      <c r="C2921" s="136" t="s">
        <v>7796</v>
      </c>
      <c r="D2921" s="136" t="s">
        <v>103</v>
      </c>
      <c r="E2921" s="136" t="s">
        <v>594</v>
      </c>
      <c r="F2921" s="136">
        <v>300</v>
      </c>
      <c r="G2921" s="137">
        <f t="shared" si="11"/>
        <v>4</v>
      </c>
      <c r="H2921" s="137"/>
      <c r="I2921" s="137"/>
      <c r="J2921" s="135"/>
      <c r="K2921" s="135"/>
      <c r="L2921" s="135"/>
      <c r="M2921" s="135"/>
      <c r="N2921" s="135"/>
      <c r="O2921" s="135"/>
      <c r="P2921" s="135"/>
      <c r="Q2921" s="135"/>
      <c r="R2921" s="135"/>
      <c r="S2921" s="135"/>
      <c r="T2921" s="135"/>
      <c r="U2921" s="135"/>
      <c r="V2921" s="135"/>
      <c r="W2921" s="135"/>
      <c r="X2921" s="135"/>
      <c r="Y2921" s="135"/>
      <c r="Z2921" s="135"/>
    </row>
    <row r="2922" spans="1:26" ht="12.75">
      <c r="A2922" s="136" t="s">
        <v>15</v>
      </c>
      <c r="B2922" s="136" t="s">
        <v>7809</v>
      </c>
      <c r="C2922" s="136" t="s">
        <v>7796</v>
      </c>
      <c r="D2922" s="136" t="s">
        <v>7762</v>
      </c>
      <c r="E2922" s="136" t="s">
        <v>615</v>
      </c>
      <c r="F2922" s="136">
        <v>136</v>
      </c>
      <c r="G2922" s="137">
        <f t="shared" si="11"/>
        <v>8</v>
      </c>
      <c r="H2922" s="137"/>
      <c r="I2922" s="137"/>
      <c r="J2922" s="135"/>
      <c r="K2922" s="135"/>
      <c r="L2922" s="135"/>
      <c r="M2922" s="135"/>
      <c r="N2922" s="135"/>
      <c r="O2922" s="135"/>
      <c r="P2922" s="135"/>
      <c r="Q2922" s="135"/>
      <c r="R2922" s="135"/>
      <c r="S2922" s="135"/>
      <c r="T2922" s="135"/>
      <c r="U2922" s="135"/>
      <c r="V2922" s="135"/>
      <c r="W2922" s="135"/>
      <c r="X2922" s="135"/>
      <c r="Y2922" s="135"/>
      <c r="Z2922" s="135"/>
    </row>
    <row r="2923" spans="1:26" ht="12.75">
      <c r="A2923" s="136" t="s">
        <v>15</v>
      </c>
      <c r="B2923" s="136" t="s">
        <v>7809</v>
      </c>
      <c r="C2923" s="136" t="s">
        <v>7796</v>
      </c>
      <c r="D2923" s="136" t="s">
        <v>7481</v>
      </c>
      <c r="E2923" s="136" t="s">
        <v>615</v>
      </c>
      <c r="F2923" s="136">
        <v>114</v>
      </c>
      <c r="G2923" s="137">
        <f t="shared" si="11"/>
        <v>10</v>
      </c>
      <c r="H2923" s="137"/>
      <c r="I2923" s="137"/>
      <c r="J2923" s="135"/>
      <c r="K2923" s="135"/>
      <c r="L2923" s="135"/>
      <c r="M2923" s="135"/>
      <c r="N2923" s="135"/>
      <c r="O2923" s="135"/>
      <c r="P2923" s="135"/>
      <c r="Q2923" s="135"/>
      <c r="R2923" s="135"/>
      <c r="S2923" s="135"/>
      <c r="T2923" s="135"/>
      <c r="U2923" s="135"/>
      <c r="V2923" s="135"/>
      <c r="W2923" s="135"/>
      <c r="X2923" s="135"/>
      <c r="Y2923" s="135"/>
      <c r="Z2923" s="135"/>
    </row>
    <row r="2924" spans="1:26" ht="12.75">
      <c r="A2924" s="136" t="s">
        <v>15</v>
      </c>
      <c r="B2924" s="136" t="s">
        <v>7809</v>
      </c>
      <c r="C2924" s="136" t="s">
        <v>7796</v>
      </c>
      <c r="D2924" s="136" t="s">
        <v>7698</v>
      </c>
      <c r="E2924" s="136" t="s">
        <v>615</v>
      </c>
      <c r="F2924" s="136">
        <v>50</v>
      </c>
      <c r="G2924" s="137">
        <f t="shared" si="11"/>
        <v>14</v>
      </c>
      <c r="H2924" s="137"/>
      <c r="I2924" s="137"/>
      <c r="J2924" s="135"/>
      <c r="K2924" s="135"/>
      <c r="L2924" s="135"/>
      <c r="M2924" s="135"/>
      <c r="N2924" s="135"/>
      <c r="O2924" s="135"/>
      <c r="P2924" s="135"/>
      <c r="Q2924" s="135"/>
      <c r="R2924" s="135"/>
      <c r="S2924" s="135"/>
      <c r="T2924" s="135"/>
      <c r="U2924" s="135"/>
      <c r="V2924" s="135"/>
      <c r="W2924" s="135"/>
      <c r="X2924" s="135"/>
      <c r="Y2924" s="135"/>
      <c r="Z2924" s="135"/>
    </row>
    <row r="2925" spans="1:26" ht="12.75">
      <c r="A2925" s="136" t="s">
        <v>15</v>
      </c>
      <c r="B2925" s="136" t="s">
        <v>7809</v>
      </c>
      <c r="C2925" s="136" t="s">
        <v>7796</v>
      </c>
      <c r="D2925" s="136" t="s">
        <v>7743</v>
      </c>
      <c r="E2925" s="136" t="s">
        <v>594</v>
      </c>
      <c r="F2925" s="136">
        <v>50</v>
      </c>
      <c r="G2925" s="137">
        <f t="shared" si="11"/>
        <v>15</v>
      </c>
      <c r="H2925" s="137"/>
      <c r="I2925" s="137"/>
      <c r="J2925" s="135"/>
      <c r="K2925" s="135"/>
      <c r="L2925" s="135"/>
      <c r="M2925" s="135"/>
      <c r="N2925" s="135"/>
      <c r="O2925" s="135"/>
      <c r="P2925" s="135"/>
      <c r="Q2925" s="135"/>
      <c r="R2925" s="135"/>
      <c r="S2925" s="135"/>
      <c r="T2925" s="135"/>
      <c r="U2925" s="135"/>
      <c r="V2925" s="135"/>
      <c r="W2925" s="135"/>
      <c r="X2925" s="135"/>
      <c r="Y2925" s="135"/>
      <c r="Z2925" s="135"/>
    </row>
    <row r="2926" spans="1:26" ht="12.75">
      <c r="A2926" s="136" t="s">
        <v>15</v>
      </c>
      <c r="B2926" s="136" t="s">
        <v>7809</v>
      </c>
      <c r="C2926" s="136" t="s">
        <v>7796</v>
      </c>
      <c r="D2926" s="136" t="s">
        <v>7772</v>
      </c>
      <c r="E2926" s="136" t="s">
        <v>615</v>
      </c>
      <c r="F2926" s="136">
        <v>50</v>
      </c>
      <c r="G2926" s="137">
        <f t="shared" si="11"/>
        <v>16</v>
      </c>
      <c r="H2926" s="137"/>
      <c r="I2926" s="137"/>
      <c r="J2926" s="135"/>
      <c r="K2926" s="135"/>
      <c r="L2926" s="135"/>
      <c r="M2926" s="135"/>
      <c r="N2926" s="135"/>
      <c r="O2926" s="135"/>
      <c r="P2926" s="135"/>
      <c r="Q2926" s="135"/>
      <c r="R2926" s="135"/>
      <c r="S2926" s="135"/>
      <c r="T2926" s="135"/>
      <c r="U2926" s="135"/>
      <c r="V2926" s="135"/>
      <c r="W2926" s="135"/>
      <c r="X2926" s="135"/>
      <c r="Y2926" s="135"/>
      <c r="Z2926" s="135"/>
    </row>
    <row r="2927" spans="1:26" ht="12.75">
      <c r="A2927" s="136" t="s">
        <v>15</v>
      </c>
      <c r="B2927" s="136" t="s">
        <v>7809</v>
      </c>
      <c r="C2927" s="136" t="s">
        <v>7797</v>
      </c>
      <c r="D2927" s="136" t="s">
        <v>103</v>
      </c>
      <c r="E2927" s="136" t="s">
        <v>594</v>
      </c>
      <c r="F2927" s="136">
        <v>850</v>
      </c>
      <c r="G2927" s="137">
        <f t="shared" si="11"/>
        <v>3</v>
      </c>
      <c r="H2927" s="137"/>
      <c r="I2927" s="137"/>
      <c r="J2927" s="135"/>
      <c r="K2927" s="135"/>
      <c r="L2927" s="135"/>
      <c r="M2927" s="135"/>
      <c r="N2927" s="135"/>
      <c r="O2927" s="135"/>
      <c r="P2927" s="135"/>
      <c r="Q2927" s="135"/>
      <c r="R2927" s="135"/>
      <c r="S2927" s="135"/>
      <c r="T2927" s="135"/>
      <c r="U2927" s="135"/>
      <c r="V2927" s="135"/>
      <c r="W2927" s="135"/>
      <c r="X2927" s="135"/>
      <c r="Y2927" s="135"/>
      <c r="Z2927" s="135"/>
    </row>
    <row r="2928" spans="1:26" ht="12.75">
      <c r="A2928" s="136" t="s">
        <v>15</v>
      </c>
      <c r="B2928" s="136" t="s">
        <v>7809</v>
      </c>
      <c r="C2928" s="136" t="s">
        <v>7797</v>
      </c>
      <c r="D2928" s="136" t="s">
        <v>98</v>
      </c>
      <c r="E2928" s="136" t="s">
        <v>615</v>
      </c>
      <c r="F2928" s="136">
        <v>153</v>
      </c>
      <c r="G2928" s="137">
        <f t="shared" si="11"/>
        <v>7</v>
      </c>
      <c r="H2928" s="137"/>
      <c r="I2928" s="137"/>
      <c r="J2928" s="135"/>
      <c r="K2928" s="135"/>
      <c r="L2928" s="135"/>
      <c r="M2928" s="135"/>
      <c r="N2928" s="135"/>
      <c r="O2928" s="135"/>
      <c r="P2928" s="135"/>
      <c r="Q2928" s="135"/>
      <c r="R2928" s="135"/>
      <c r="S2928" s="135"/>
      <c r="T2928" s="135"/>
      <c r="U2928" s="135"/>
      <c r="V2928" s="135"/>
      <c r="W2928" s="135"/>
      <c r="X2928" s="135"/>
      <c r="Y2928" s="135"/>
      <c r="Z2928" s="135"/>
    </row>
    <row r="2929" spans="1:26" ht="12.75">
      <c r="A2929" s="136" t="s">
        <v>15</v>
      </c>
      <c r="B2929" s="136" t="s">
        <v>7809</v>
      </c>
      <c r="C2929" s="136" t="s">
        <v>7797</v>
      </c>
      <c r="D2929" s="136" t="s">
        <v>139</v>
      </c>
      <c r="E2929" s="136" t="s">
        <v>594</v>
      </c>
      <c r="F2929" s="136">
        <v>125</v>
      </c>
      <c r="G2929" s="137">
        <f t="shared" si="11"/>
        <v>9</v>
      </c>
      <c r="H2929" s="137"/>
      <c r="I2929" s="137"/>
      <c r="J2929" s="135"/>
      <c r="K2929" s="135"/>
      <c r="L2929" s="135"/>
      <c r="M2929" s="135"/>
      <c r="N2929" s="135"/>
      <c r="O2929" s="135"/>
      <c r="P2929" s="135"/>
      <c r="Q2929" s="135"/>
      <c r="R2929" s="135"/>
      <c r="S2929" s="135"/>
      <c r="T2929" s="135"/>
      <c r="U2929" s="135"/>
      <c r="V2929" s="135"/>
      <c r="W2929" s="135"/>
      <c r="X2929" s="135"/>
      <c r="Y2929" s="135"/>
      <c r="Z2929" s="135"/>
    </row>
    <row r="2930" spans="1:26" ht="12.75">
      <c r="A2930" s="136" t="s">
        <v>15</v>
      </c>
      <c r="B2930" s="136" t="s">
        <v>7809</v>
      </c>
      <c r="C2930" s="136" t="s">
        <v>7797</v>
      </c>
      <c r="D2930" s="136" t="s">
        <v>7698</v>
      </c>
      <c r="E2930" s="136" t="s">
        <v>615</v>
      </c>
      <c r="F2930" s="136">
        <v>100</v>
      </c>
      <c r="G2930" s="137">
        <f t="shared" si="11"/>
        <v>12</v>
      </c>
      <c r="H2930" s="137"/>
      <c r="I2930" s="137"/>
      <c r="J2930" s="135"/>
      <c r="K2930" s="135"/>
      <c r="L2930" s="135"/>
      <c r="M2930" s="135"/>
      <c r="N2930" s="135"/>
      <c r="O2930" s="135"/>
      <c r="P2930" s="135"/>
      <c r="Q2930" s="135"/>
      <c r="R2930" s="135"/>
      <c r="S2930" s="135"/>
      <c r="T2930" s="135"/>
      <c r="U2930" s="135"/>
      <c r="V2930" s="135"/>
      <c r="W2930" s="135"/>
      <c r="X2930" s="135"/>
      <c r="Y2930" s="135"/>
      <c r="Z2930" s="135"/>
    </row>
    <row r="2931" spans="1:26" ht="12.75">
      <c r="A2931" s="136" t="s">
        <v>15</v>
      </c>
      <c r="B2931" s="136" t="s">
        <v>7809</v>
      </c>
      <c r="C2931" s="136" t="s">
        <v>7797</v>
      </c>
      <c r="D2931" s="136" t="s">
        <v>7481</v>
      </c>
      <c r="E2931" s="136" t="s">
        <v>615</v>
      </c>
      <c r="F2931" s="136">
        <v>59</v>
      </c>
      <c r="G2931" s="137">
        <f t="shared" si="11"/>
        <v>13</v>
      </c>
      <c r="H2931" s="137"/>
      <c r="I2931" s="137"/>
      <c r="J2931" s="135"/>
      <c r="K2931" s="135"/>
      <c r="L2931" s="135"/>
      <c r="M2931" s="135"/>
      <c r="N2931" s="135"/>
      <c r="O2931" s="135"/>
      <c r="P2931" s="135"/>
      <c r="Q2931" s="135"/>
      <c r="R2931" s="135"/>
      <c r="S2931" s="135"/>
      <c r="T2931" s="135"/>
      <c r="U2931" s="135"/>
      <c r="V2931" s="135"/>
      <c r="W2931" s="135"/>
      <c r="X2931" s="135"/>
      <c r="Y2931" s="135"/>
      <c r="Z2931" s="135"/>
    </row>
    <row r="2932" spans="1:26" ht="12.75">
      <c r="A2932" s="136" t="s">
        <v>15</v>
      </c>
      <c r="B2932" s="136" t="s">
        <v>7809</v>
      </c>
      <c r="C2932" s="136" t="s">
        <v>7797</v>
      </c>
      <c r="D2932" s="136" t="s">
        <v>114</v>
      </c>
      <c r="E2932" s="136" t="s">
        <v>85</v>
      </c>
      <c r="F2932" s="136">
        <v>50</v>
      </c>
      <c r="G2932" s="137">
        <f t="shared" si="11"/>
        <v>15</v>
      </c>
      <c r="H2932" s="137"/>
      <c r="I2932" s="137"/>
      <c r="J2932" s="135"/>
      <c r="K2932" s="135"/>
      <c r="L2932" s="135"/>
      <c r="M2932" s="135"/>
      <c r="N2932" s="135"/>
      <c r="O2932" s="135"/>
      <c r="P2932" s="135"/>
      <c r="Q2932" s="135"/>
      <c r="R2932" s="135"/>
      <c r="S2932" s="135"/>
      <c r="T2932" s="135"/>
      <c r="U2932" s="135"/>
      <c r="V2932" s="135"/>
      <c r="W2932" s="135"/>
      <c r="X2932" s="135"/>
      <c r="Y2932" s="135"/>
      <c r="Z2932" s="135"/>
    </row>
    <row r="2933" spans="1:26" ht="12.75">
      <c r="A2933" s="136" t="s">
        <v>15</v>
      </c>
      <c r="B2933" s="136" t="s">
        <v>7809</v>
      </c>
      <c r="C2933" s="136" t="s">
        <v>7797</v>
      </c>
      <c r="D2933" s="136"/>
      <c r="E2933" s="136" t="s">
        <v>7693</v>
      </c>
      <c r="F2933" s="136">
        <v>1337</v>
      </c>
      <c r="G2933" s="137">
        <f t="shared" si="11"/>
        <v>2</v>
      </c>
      <c r="H2933" s="137"/>
      <c r="I2933" s="137"/>
      <c r="J2933" s="135"/>
      <c r="K2933" s="135"/>
      <c r="L2933" s="135"/>
      <c r="M2933" s="135"/>
      <c r="N2933" s="135"/>
      <c r="O2933" s="135"/>
      <c r="P2933" s="135"/>
      <c r="Q2933" s="135"/>
      <c r="R2933" s="135"/>
      <c r="S2933" s="135"/>
      <c r="T2933" s="135"/>
      <c r="U2933" s="135"/>
      <c r="V2933" s="135"/>
      <c r="W2933" s="135"/>
      <c r="X2933" s="135"/>
      <c r="Y2933" s="135"/>
      <c r="Z2933" s="135"/>
    </row>
    <row r="2934" spans="1:26" ht="12.75">
      <c r="A2934" s="136" t="s">
        <v>15</v>
      </c>
      <c r="B2934" s="136" t="s">
        <v>7809</v>
      </c>
      <c r="C2934" s="136" t="s">
        <v>7798</v>
      </c>
      <c r="D2934" s="136" t="s">
        <v>7773</v>
      </c>
      <c r="E2934" s="136" t="s">
        <v>615</v>
      </c>
      <c r="F2934" s="136">
        <v>425</v>
      </c>
      <c r="G2934" s="137">
        <f t="shared" si="11"/>
        <v>4</v>
      </c>
      <c r="H2934" s="137"/>
      <c r="I2934" s="137"/>
      <c r="J2934" s="135"/>
      <c r="K2934" s="135"/>
      <c r="L2934" s="135"/>
      <c r="M2934" s="135"/>
      <c r="N2934" s="135"/>
      <c r="O2934" s="135"/>
      <c r="P2934" s="135"/>
      <c r="Q2934" s="135"/>
      <c r="R2934" s="135"/>
      <c r="S2934" s="135"/>
      <c r="T2934" s="135"/>
      <c r="U2934" s="135"/>
      <c r="V2934" s="135"/>
      <c r="W2934" s="135"/>
      <c r="X2934" s="135"/>
      <c r="Y2934" s="135"/>
      <c r="Z2934" s="135"/>
    </row>
    <row r="2935" spans="1:26" ht="12.75">
      <c r="A2935" s="136" t="s">
        <v>15</v>
      </c>
      <c r="B2935" s="136" t="s">
        <v>7809</v>
      </c>
      <c r="C2935" s="136" t="s">
        <v>7798</v>
      </c>
      <c r="D2935" s="136" t="s">
        <v>103</v>
      </c>
      <c r="E2935" s="136" t="s">
        <v>594</v>
      </c>
      <c r="F2935" s="136">
        <v>300</v>
      </c>
      <c r="G2935" s="137">
        <f t="shared" si="11"/>
        <v>5</v>
      </c>
      <c r="H2935" s="137"/>
      <c r="I2935" s="137"/>
      <c r="J2935" s="135"/>
      <c r="K2935" s="135"/>
      <c r="L2935" s="135"/>
      <c r="M2935" s="135"/>
      <c r="N2935" s="135"/>
      <c r="O2935" s="135"/>
      <c r="P2935" s="135"/>
      <c r="Q2935" s="135"/>
      <c r="R2935" s="135"/>
      <c r="S2935" s="135"/>
      <c r="T2935" s="135"/>
      <c r="U2935" s="135"/>
      <c r="V2935" s="135"/>
      <c r="W2935" s="135"/>
      <c r="X2935" s="135"/>
      <c r="Y2935" s="135"/>
      <c r="Z2935" s="135"/>
    </row>
    <row r="2936" spans="1:26" ht="12.75">
      <c r="A2936" s="136" t="s">
        <v>15</v>
      </c>
      <c r="B2936" s="136" t="s">
        <v>7809</v>
      </c>
      <c r="C2936" s="136" t="s">
        <v>7798</v>
      </c>
      <c r="D2936" s="136" t="s">
        <v>7827</v>
      </c>
      <c r="E2936" s="136" t="s">
        <v>615</v>
      </c>
      <c r="F2936" s="136">
        <v>275</v>
      </c>
      <c r="G2936" s="137">
        <f t="shared" si="11"/>
        <v>6</v>
      </c>
      <c r="H2936" s="137"/>
      <c r="I2936" s="137"/>
      <c r="J2936" s="135"/>
      <c r="K2936" s="135"/>
      <c r="L2936" s="135"/>
      <c r="M2936" s="135"/>
      <c r="N2936" s="135"/>
      <c r="O2936" s="135"/>
      <c r="P2936" s="135"/>
      <c r="Q2936" s="135"/>
      <c r="R2936" s="135"/>
      <c r="S2936" s="135"/>
      <c r="T2936" s="135"/>
      <c r="U2936" s="135"/>
      <c r="V2936" s="135"/>
      <c r="W2936" s="135"/>
      <c r="X2936" s="135"/>
      <c r="Y2936" s="135"/>
      <c r="Z2936" s="135"/>
    </row>
    <row r="2937" spans="1:26" ht="12.75">
      <c r="A2937" s="136" t="s">
        <v>15</v>
      </c>
      <c r="B2937" s="136" t="s">
        <v>7809</v>
      </c>
      <c r="C2937" s="136" t="s">
        <v>7798</v>
      </c>
      <c r="D2937" s="136" t="s">
        <v>7698</v>
      </c>
      <c r="E2937" s="136" t="s">
        <v>615</v>
      </c>
      <c r="F2937" s="136">
        <v>140</v>
      </c>
      <c r="G2937" s="137">
        <f t="shared" si="11"/>
        <v>11</v>
      </c>
      <c r="H2937" s="137"/>
      <c r="I2937" s="137"/>
      <c r="J2937" s="135"/>
      <c r="K2937" s="135"/>
      <c r="L2937" s="135"/>
      <c r="M2937" s="135"/>
      <c r="N2937" s="135"/>
      <c r="O2937" s="135"/>
      <c r="P2937" s="135"/>
      <c r="Q2937" s="135"/>
      <c r="R2937" s="135"/>
      <c r="S2937" s="135"/>
      <c r="T2937" s="135"/>
      <c r="U2937" s="135"/>
      <c r="V2937" s="135"/>
      <c r="W2937" s="135"/>
      <c r="X2937" s="135"/>
      <c r="Y2937" s="135"/>
      <c r="Z2937" s="135"/>
    </row>
    <row r="2938" spans="1:26" ht="12.75">
      <c r="A2938" s="136" t="s">
        <v>15</v>
      </c>
      <c r="B2938" s="136" t="s">
        <v>7809</v>
      </c>
      <c r="C2938" s="136" t="s">
        <v>7798</v>
      </c>
      <c r="D2938" s="136" t="s">
        <v>139</v>
      </c>
      <c r="E2938" s="136" t="s">
        <v>594</v>
      </c>
      <c r="F2938" s="136">
        <v>100</v>
      </c>
      <c r="G2938" s="137">
        <f t="shared" si="11"/>
        <v>13</v>
      </c>
      <c r="H2938" s="137"/>
      <c r="I2938" s="137"/>
      <c r="J2938" s="135"/>
      <c r="K2938" s="135"/>
      <c r="L2938" s="135"/>
      <c r="M2938" s="135"/>
      <c r="N2938" s="135"/>
      <c r="O2938" s="135"/>
      <c r="P2938" s="135"/>
      <c r="Q2938" s="135"/>
      <c r="R2938" s="135"/>
      <c r="S2938" s="135"/>
      <c r="T2938" s="135"/>
      <c r="U2938" s="135"/>
      <c r="V2938" s="135"/>
      <c r="W2938" s="135"/>
      <c r="X2938" s="135"/>
      <c r="Y2938" s="135"/>
      <c r="Z2938" s="135"/>
    </row>
    <row r="2939" spans="1:26" ht="12.75">
      <c r="A2939" s="136" t="s">
        <v>15</v>
      </c>
      <c r="B2939" s="136" t="s">
        <v>7809</v>
      </c>
      <c r="C2939" s="136" t="s">
        <v>7798</v>
      </c>
      <c r="D2939" s="136" t="s">
        <v>7481</v>
      </c>
      <c r="E2939" s="136" t="s">
        <v>615</v>
      </c>
      <c r="F2939" s="136">
        <v>86</v>
      </c>
      <c r="G2939" s="137">
        <f t="shared" si="11"/>
        <v>14</v>
      </c>
      <c r="H2939" s="137"/>
      <c r="I2939" s="137"/>
      <c r="J2939" s="135"/>
      <c r="K2939" s="135"/>
      <c r="L2939" s="135"/>
      <c r="M2939" s="135"/>
      <c r="N2939" s="135"/>
      <c r="O2939" s="135"/>
      <c r="P2939" s="135"/>
      <c r="Q2939" s="135"/>
      <c r="R2939" s="135"/>
      <c r="S2939" s="135"/>
      <c r="T2939" s="135"/>
      <c r="U2939" s="135"/>
      <c r="V2939" s="135"/>
      <c r="W2939" s="135"/>
      <c r="X2939" s="135"/>
      <c r="Y2939" s="135"/>
      <c r="Z2939" s="135"/>
    </row>
    <row r="2940" spans="1:26" ht="12.75">
      <c r="A2940" s="136" t="s">
        <v>15</v>
      </c>
      <c r="B2940" s="136" t="s">
        <v>7809</v>
      </c>
      <c r="C2940" s="136" t="s">
        <v>7798</v>
      </c>
      <c r="D2940" s="136" t="s">
        <v>7743</v>
      </c>
      <c r="E2940" s="136" t="s">
        <v>594</v>
      </c>
      <c r="F2940" s="136">
        <v>75</v>
      </c>
      <c r="G2940" s="137">
        <f t="shared" si="11"/>
        <v>16</v>
      </c>
      <c r="H2940" s="137"/>
      <c r="I2940" s="137"/>
      <c r="J2940" s="135"/>
      <c r="K2940" s="135"/>
      <c r="L2940" s="135"/>
      <c r="M2940" s="135"/>
      <c r="N2940" s="135"/>
      <c r="O2940" s="135"/>
      <c r="P2940" s="135"/>
      <c r="Q2940" s="135"/>
      <c r="R2940" s="135"/>
      <c r="S2940" s="135"/>
      <c r="T2940" s="135"/>
      <c r="U2940" s="135"/>
      <c r="V2940" s="135"/>
      <c r="W2940" s="135"/>
      <c r="X2940" s="135"/>
      <c r="Y2940" s="135"/>
      <c r="Z2940" s="135"/>
    </row>
    <row r="2941" spans="1:26" ht="12.75">
      <c r="A2941" s="136" t="s">
        <v>15</v>
      </c>
      <c r="B2941" s="136" t="s">
        <v>7809</v>
      </c>
      <c r="C2941" s="136" t="s">
        <v>7798</v>
      </c>
      <c r="D2941" s="136"/>
      <c r="E2941" s="136" t="s">
        <v>7693</v>
      </c>
      <c r="F2941" s="136">
        <v>1401</v>
      </c>
      <c r="G2941" s="137">
        <f t="shared" si="11"/>
        <v>2</v>
      </c>
      <c r="H2941" s="137"/>
      <c r="I2941" s="137"/>
      <c r="J2941" s="135"/>
      <c r="K2941" s="135"/>
      <c r="L2941" s="135"/>
      <c r="M2941" s="135"/>
      <c r="N2941" s="135"/>
      <c r="O2941" s="135"/>
      <c r="P2941" s="135"/>
      <c r="Q2941" s="135"/>
      <c r="R2941" s="135"/>
      <c r="S2941" s="135"/>
      <c r="T2941" s="135"/>
      <c r="U2941" s="135"/>
      <c r="V2941" s="135"/>
      <c r="W2941" s="135"/>
      <c r="X2941" s="135"/>
      <c r="Y2941" s="135"/>
      <c r="Z2941" s="135"/>
    </row>
    <row r="2942" spans="1:26" ht="12.75">
      <c r="A2942" s="136" t="s">
        <v>15</v>
      </c>
      <c r="B2942" s="136" t="s">
        <v>7809</v>
      </c>
      <c r="C2942" s="136" t="s">
        <v>7800</v>
      </c>
      <c r="D2942" s="136" t="s">
        <v>139</v>
      </c>
      <c r="E2942" s="136" t="s">
        <v>594</v>
      </c>
      <c r="F2942" s="136">
        <v>575</v>
      </c>
      <c r="G2942" s="137">
        <f t="shared" si="11"/>
        <v>3</v>
      </c>
      <c r="H2942" s="137"/>
      <c r="I2942" s="137"/>
      <c r="J2942" s="135"/>
      <c r="K2942" s="135"/>
      <c r="L2942" s="135"/>
      <c r="M2942" s="135"/>
      <c r="N2942" s="135"/>
      <c r="O2942" s="135"/>
      <c r="P2942" s="135"/>
      <c r="Q2942" s="135"/>
      <c r="R2942" s="135"/>
      <c r="S2942" s="135"/>
      <c r="T2942" s="135"/>
      <c r="U2942" s="135"/>
      <c r="V2942" s="135"/>
      <c r="W2942" s="135"/>
      <c r="X2942" s="135"/>
      <c r="Y2942" s="135"/>
      <c r="Z2942" s="135"/>
    </row>
    <row r="2943" spans="1:26" ht="12.75">
      <c r="A2943" s="136" t="s">
        <v>15</v>
      </c>
      <c r="B2943" s="136" t="s">
        <v>7809</v>
      </c>
      <c r="C2943" s="136" t="s">
        <v>7800</v>
      </c>
      <c r="D2943" s="136" t="s">
        <v>7773</v>
      </c>
      <c r="E2943" s="136" t="s">
        <v>615</v>
      </c>
      <c r="F2943" s="136">
        <v>305</v>
      </c>
      <c r="G2943" s="137">
        <f t="shared" si="11"/>
        <v>5</v>
      </c>
      <c r="H2943" s="137"/>
      <c r="I2943" s="137"/>
      <c r="J2943" s="135"/>
      <c r="K2943" s="135"/>
      <c r="L2943" s="135"/>
      <c r="M2943" s="135"/>
      <c r="N2943" s="135"/>
      <c r="O2943" s="135"/>
      <c r="P2943" s="135"/>
      <c r="Q2943" s="135"/>
      <c r="R2943" s="135"/>
      <c r="S2943" s="135"/>
      <c r="T2943" s="135"/>
      <c r="U2943" s="135"/>
      <c r="V2943" s="135"/>
      <c r="W2943" s="135"/>
      <c r="X2943" s="135"/>
      <c r="Y2943" s="135"/>
      <c r="Z2943" s="135"/>
    </row>
    <row r="2944" spans="1:26" ht="12.75">
      <c r="A2944" s="136" t="s">
        <v>15</v>
      </c>
      <c r="B2944" s="136" t="s">
        <v>7809</v>
      </c>
      <c r="C2944" s="136" t="s">
        <v>7800</v>
      </c>
      <c r="D2944" s="136" t="s">
        <v>7698</v>
      </c>
      <c r="E2944" s="136" t="s">
        <v>615</v>
      </c>
      <c r="F2944" s="136">
        <v>265</v>
      </c>
      <c r="G2944" s="137">
        <f t="shared" si="11"/>
        <v>8</v>
      </c>
      <c r="H2944" s="137"/>
      <c r="I2944" s="137"/>
      <c r="J2944" s="135"/>
      <c r="K2944" s="135"/>
      <c r="L2944" s="135"/>
      <c r="M2944" s="135"/>
      <c r="N2944" s="135"/>
      <c r="O2944" s="135"/>
      <c r="P2944" s="135"/>
      <c r="Q2944" s="135"/>
      <c r="R2944" s="135"/>
      <c r="S2944" s="135"/>
      <c r="T2944" s="135"/>
      <c r="U2944" s="135"/>
      <c r="V2944" s="135"/>
      <c r="W2944" s="135"/>
      <c r="X2944" s="135"/>
      <c r="Y2944" s="135"/>
      <c r="Z2944" s="135"/>
    </row>
    <row r="2945" spans="1:26" ht="12.75">
      <c r="A2945" s="136" t="s">
        <v>15</v>
      </c>
      <c r="B2945" s="136" t="s">
        <v>7809</v>
      </c>
      <c r="C2945" s="136" t="s">
        <v>7800</v>
      </c>
      <c r="D2945" s="136" t="s">
        <v>103</v>
      </c>
      <c r="E2945" s="136" t="s">
        <v>594</v>
      </c>
      <c r="F2945" s="136">
        <v>75</v>
      </c>
      <c r="G2945" s="137">
        <f t="shared" si="11"/>
        <v>15</v>
      </c>
      <c r="H2945" s="137"/>
      <c r="I2945" s="137"/>
      <c r="J2945" s="135"/>
      <c r="K2945" s="135"/>
      <c r="L2945" s="135"/>
      <c r="M2945" s="135"/>
      <c r="N2945" s="135"/>
      <c r="O2945" s="135"/>
      <c r="P2945" s="135"/>
      <c r="Q2945" s="135"/>
      <c r="R2945" s="135"/>
      <c r="S2945" s="135"/>
      <c r="T2945" s="135"/>
      <c r="U2945" s="135"/>
      <c r="V2945" s="135"/>
      <c r="W2945" s="135"/>
      <c r="X2945" s="135"/>
      <c r="Y2945" s="135"/>
      <c r="Z2945" s="135"/>
    </row>
    <row r="2946" spans="1:26" ht="12.75">
      <c r="A2946" s="136" t="s">
        <v>15</v>
      </c>
      <c r="B2946" s="136" t="s">
        <v>7809</v>
      </c>
      <c r="C2946" s="136" t="s">
        <v>7800</v>
      </c>
      <c r="D2946" s="136" t="s">
        <v>7825</v>
      </c>
      <c r="E2946" s="136" t="s">
        <v>615</v>
      </c>
      <c r="F2946" s="136">
        <v>65</v>
      </c>
      <c r="G2946" s="137">
        <f t="shared" si="11"/>
        <v>17</v>
      </c>
      <c r="H2946" s="137"/>
      <c r="I2946" s="137"/>
      <c r="J2946" s="135"/>
      <c r="K2946" s="135"/>
      <c r="L2946" s="135"/>
      <c r="M2946" s="135"/>
      <c r="N2946" s="135"/>
      <c r="O2946" s="135"/>
      <c r="P2946" s="135"/>
      <c r="Q2946" s="135"/>
      <c r="R2946" s="135"/>
      <c r="S2946" s="135"/>
      <c r="T2946" s="135"/>
      <c r="U2946" s="135"/>
      <c r="V2946" s="135"/>
      <c r="W2946" s="135"/>
      <c r="X2946" s="135"/>
      <c r="Y2946" s="135"/>
      <c r="Z2946" s="135"/>
    </row>
    <row r="2947" spans="1:26" ht="12.75">
      <c r="A2947" s="136" t="s">
        <v>15</v>
      </c>
      <c r="B2947" s="136" t="s">
        <v>7809</v>
      </c>
      <c r="C2947" s="136" t="s">
        <v>7800</v>
      </c>
      <c r="D2947" s="136" t="s">
        <v>7743</v>
      </c>
      <c r="E2947" s="136" t="s">
        <v>594</v>
      </c>
      <c r="F2947" s="136">
        <v>50</v>
      </c>
      <c r="G2947" s="137">
        <f t="shared" si="11"/>
        <v>18</v>
      </c>
      <c r="H2947" s="137"/>
      <c r="I2947" s="137"/>
      <c r="J2947" s="135"/>
      <c r="K2947" s="135"/>
      <c r="L2947" s="135"/>
      <c r="M2947" s="135"/>
      <c r="N2947" s="135"/>
      <c r="O2947" s="135"/>
      <c r="P2947" s="135"/>
      <c r="Q2947" s="135"/>
      <c r="R2947" s="135"/>
      <c r="S2947" s="135"/>
      <c r="T2947" s="135"/>
      <c r="U2947" s="135"/>
      <c r="V2947" s="135"/>
      <c r="W2947" s="135"/>
      <c r="X2947" s="135"/>
      <c r="Y2947" s="135"/>
      <c r="Z2947" s="135"/>
    </row>
    <row r="2948" spans="1:26" ht="12.75">
      <c r="A2948" s="136" t="s">
        <v>15</v>
      </c>
      <c r="B2948" s="136" t="s">
        <v>7809</v>
      </c>
      <c r="C2948" s="136" t="s">
        <v>7800</v>
      </c>
      <c r="D2948" s="136" t="s">
        <v>7788</v>
      </c>
      <c r="E2948" s="136" t="s">
        <v>615</v>
      </c>
      <c r="F2948" s="136">
        <v>50</v>
      </c>
      <c r="G2948" s="137">
        <f t="shared" si="11"/>
        <v>19</v>
      </c>
      <c r="H2948" s="137"/>
      <c r="I2948" s="137"/>
      <c r="J2948" s="135"/>
      <c r="K2948" s="135"/>
      <c r="L2948" s="135"/>
      <c r="M2948" s="135"/>
      <c r="N2948" s="135"/>
      <c r="O2948" s="135"/>
      <c r="P2948" s="135"/>
      <c r="Q2948" s="135"/>
      <c r="R2948" s="135"/>
      <c r="S2948" s="135"/>
      <c r="T2948" s="135"/>
      <c r="U2948" s="135"/>
      <c r="V2948" s="135"/>
      <c r="W2948" s="135"/>
      <c r="X2948" s="135"/>
      <c r="Y2948" s="135"/>
      <c r="Z2948" s="135"/>
    </row>
    <row r="2949" spans="1:26" ht="12.75">
      <c r="A2949" s="136" t="s">
        <v>15</v>
      </c>
      <c r="B2949" s="136" t="s">
        <v>7809</v>
      </c>
      <c r="C2949" s="136" t="s">
        <v>7800</v>
      </c>
      <c r="D2949" s="136" t="s">
        <v>7481</v>
      </c>
      <c r="E2949" s="136" t="s">
        <v>615</v>
      </c>
      <c r="F2949" s="136">
        <v>10</v>
      </c>
      <c r="G2949" s="137">
        <f t="shared" si="11"/>
        <v>20</v>
      </c>
      <c r="H2949" s="137"/>
      <c r="I2949" s="137"/>
      <c r="J2949" s="135"/>
      <c r="K2949" s="135"/>
      <c r="L2949" s="135"/>
      <c r="M2949" s="135"/>
      <c r="N2949" s="135"/>
      <c r="O2949" s="135"/>
      <c r="P2949" s="135"/>
      <c r="Q2949" s="135"/>
      <c r="R2949" s="135"/>
      <c r="S2949" s="135"/>
      <c r="T2949" s="135"/>
      <c r="U2949" s="135"/>
      <c r="V2949" s="135"/>
      <c r="W2949" s="135"/>
      <c r="X2949" s="135"/>
      <c r="Y2949" s="135"/>
      <c r="Z2949" s="135"/>
    </row>
    <row r="2950" spans="1:26" ht="12.75">
      <c r="A2950" s="136" t="s">
        <v>15</v>
      </c>
      <c r="B2950" s="136" t="s">
        <v>7809</v>
      </c>
      <c r="C2950" s="136" t="s">
        <v>7800</v>
      </c>
      <c r="D2950" s="136"/>
      <c r="E2950" s="136" t="s">
        <v>7693</v>
      </c>
      <c r="F2950" s="136">
        <v>1395</v>
      </c>
      <c r="G2950" s="137">
        <f t="shared" si="11"/>
        <v>2</v>
      </c>
      <c r="H2950" s="137"/>
      <c r="I2950" s="137"/>
      <c r="J2950" s="135"/>
      <c r="K2950" s="135"/>
      <c r="L2950" s="135"/>
      <c r="M2950" s="135"/>
      <c r="N2950" s="135"/>
      <c r="O2950" s="135"/>
      <c r="P2950" s="135"/>
      <c r="Q2950" s="135"/>
      <c r="R2950" s="135"/>
      <c r="S2950" s="135"/>
      <c r="T2950" s="135"/>
      <c r="U2950" s="135"/>
      <c r="V2950" s="135"/>
      <c r="W2950" s="135"/>
      <c r="X2950" s="135"/>
      <c r="Y2950" s="135"/>
      <c r="Z2950" s="135"/>
    </row>
    <row r="2951" spans="1:26" ht="12.75">
      <c r="A2951" s="136" t="s">
        <v>15</v>
      </c>
      <c r="B2951" s="136" t="s">
        <v>7809</v>
      </c>
      <c r="C2951" s="136" t="s">
        <v>7802</v>
      </c>
      <c r="D2951" s="136" t="s">
        <v>139</v>
      </c>
      <c r="E2951" s="136" t="s">
        <v>594</v>
      </c>
      <c r="F2951" s="136">
        <v>625</v>
      </c>
      <c r="G2951" s="137">
        <f t="shared" si="11"/>
        <v>3</v>
      </c>
      <c r="H2951" s="137"/>
      <c r="I2951" s="137"/>
      <c r="J2951" s="135"/>
      <c r="K2951" s="135"/>
      <c r="L2951" s="135"/>
      <c r="M2951" s="135"/>
      <c r="N2951" s="135"/>
      <c r="O2951" s="135"/>
      <c r="P2951" s="135"/>
      <c r="Q2951" s="135"/>
      <c r="R2951" s="135"/>
      <c r="S2951" s="135"/>
      <c r="T2951" s="135"/>
      <c r="U2951" s="135"/>
      <c r="V2951" s="135"/>
      <c r="W2951" s="135"/>
      <c r="X2951" s="135"/>
      <c r="Y2951" s="135"/>
      <c r="Z2951" s="135"/>
    </row>
    <row r="2952" spans="1:26" ht="12.75">
      <c r="A2952" s="136" t="s">
        <v>15</v>
      </c>
      <c r="B2952" s="136" t="s">
        <v>7809</v>
      </c>
      <c r="C2952" s="136" t="s">
        <v>7802</v>
      </c>
      <c r="D2952" s="136" t="s">
        <v>7626</v>
      </c>
      <c r="E2952" s="136" t="s">
        <v>615</v>
      </c>
      <c r="F2952" s="136">
        <v>215</v>
      </c>
      <c r="G2952" s="137">
        <f t="shared" si="11"/>
        <v>7</v>
      </c>
      <c r="H2952" s="137"/>
      <c r="I2952" s="137"/>
      <c r="J2952" s="135"/>
      <c r="K2952" s="135"/>
      <c r="L2952" s="135"/>
      <c r="M2952" s="135"/>
      <c r="N2952" s="135"/>
      <c r="O2952" s="135"/>
      <c r="P2952" s="135"/>
      <c r="Q2952" s="135"/>
      <c r="R2952" s="135"/>
      <c r="S2952" s="135"/>
      <c r="T2952" s="135"/>
      <c r="U2952" s="135"/>
      <c r="V2952" s="135"/>
      <c r="W2952" s="135"/>
      <c r="X2952" s="135"/>
      <c r="Y2952" s="135"/>
      <c r="Z2952" s="135"/>
    </row>
    <row r="2953" spans="1:26" ht="12.75">
      <c r="A2953" s="136" t="s">
        <v>15</v>
      </c>
      <c r="B2953" s="136" t="s">
        <v>7809</v>
      </c>
      <c r="C2953" s="136" t="s">
        <v>7802</v>
      </c>
      <c r="D2953" s="136" t="s">
        <v>1669</v>
      </c>
      <c r="E2953" s="136" t="s">
        <v>615</v>
      </c>
      <c r="F2953" s="136">
        <v>200</v>
      </c>
      <c r="G2953" s="137">
        <f t="shared" si="11"/>
        <v>9</v>
      </c>
      <c r="H2953" s="137"/>
      <c r="I2953" s="137"/>
      <c r="J2953" s="135"/>
      <c r="K2953" s="135"/>
      <c r="L2953" s="135"/>
      <c r="M2953" s="135"/>
      <c r="N2953" s="135"/>
      <c r="O2953" s="135"/>
      <c r="P2953" s="135"/>
      <c r="Q2953" s="135"/>
      <c r="R2953" s="135"/>
      <c r="S2953" s="135"/>
      <c r="T2953" s="135"/>
      <c r="U2953" s="135"/>
      <c r="V2953" s="135"/>
      <c r="W2953" s="135"/>
      <c r="X2953" s="135"/>
      <c r="Y2953" s="135"/>
      <c r="Z2953" s="135"/>
    </row>
    <row r="2954" spans="1:26" ht="12.75">
      <c r="A2954" s="136" t="s">
        <v>15</v>
      </c>
      <c r="B2954" s="136" t="s">
        <v>7809</v>
      </c>
      <c r="C2954" s="136" t="s">
        <v>7802</v>
      </c>
      <c r="D2954" s="136" t="s">
        <v>7481</v>
      </c>
      <c r="E2954" s="136" t="s">
        <v>615</v>
      </c>
      <c r="F2954" s="136">
        <v>114</v>
      </c>
      <c r="G2954" s="137">
        <f t="shared" si="11"/>
        <v>14</v>
      </c>
      <c r="H2954" s="137"/>
      <c r="I2954" s="137"/>
      <c r="J2954" s="135"/>
      <c r="K2954" s="135"/>
      <c r="L2954" s="135"/>
      <c r="M2954" s="135"/>
      <c r="N2954" s="135"/>
      <c r="O2954" s="135"/>
      <c r="P2954" s="135"/>
      <c r="Q2954" s="135"/>
      <c r="R2954" s="135"/>
      <c r="S2954" s="135"/>
      <c r="T2954" s="135"/>
      <c r="U2954" s="135"/>
      <c r="V2954" s="135"/>
      <c r="W2954" s="135"/>
      <c r="X2954" s="135"/>
      <c r="Y2954" s="135"/>
      <c r="Z2954" s="135"/>
    </row>
    <row r="2955" spans="1:26" ht="12.75">
      <c r="A2955" s="136" t="s">
        <v>15</v>
      </c>
      <c r="B2955" s="136" t="s">
        <v>7809</v>
      </c>
      <c r="C2955" s="136" t="s">
        <v>7802</v>
      </c>
      <c r="D2955" s="136" t="s">
        <v>1668</v>
      </c>
      <c r="E2955" s="136" t="s">
        <v>615</v>
      </c>
      <c r="F2955" s="136">
        <v>50</v>
      </c>
      <c r="G2955" s="137">
        <f t="shared" si="11"/>
        <v>15</v>
      </c>
      <c r="H2955" s="137"/>
      <c r="I2955" s="137"/>
      <c r="J2955" s="135"/>
      <c r="K2955" s="135"/>
      <c r="L2955" s="135"/>
      <c r="M2955" s="135"/>
      <c r="N2955" s="135"/>
      <c r="O2955" s="135"/>
      <c r="P2955" s="135"/>
      <c r="Q2955" s="135"/>
      <c r="R2955" s="135"/>
      <c r="S2955" s="135"/>
      <c r="T2955" s="135"/>
      <c r="U2955" s="135"/>
      <c r="V2955" s="135"/>
      <c r="W2955" s="135"/>
      <c r="X2955" s="135"/>
      <c r="Y2955" s="135"/>
      <c r="Z2955" s="135"/>
    </row>
    <row r="2956" spans="1:26" ht="12.75">
      <c r="A2956" s="136" t="s">
        <v>15</v>
      </c>
      <c r="B2956" s="136" t="s">
        <v>7809</v>
      </c>
      <c r="C2956" s="136" t="s">
        <v>7802</v>
      </c>
      <c r="D2956" s="136" t="s">
        <v>103</v>
      </c>
      <c r="E2956" s="136" t="s">
        <v>594</v>
      </c>
      <c r="F2956" s="136">
        <v>50</v>
      </c>
      <c r="G2956" s="137">
        <f t="shared" si="11"/>
        <v>16</v>
      </c>
      <c r="H2956" s="137"/>
      <c r="I2956" s="137"/>
      <c r="J2956" s="135"/>
      <c r="K2956" s="135"/>
      <c r="L2956" s="135"/>
      <c r="M2956" s="135"/>
      <c r="N2956" s="135"/>
      <c r="O2956" s="135"/>
      <c r="P2956" s="135"/>
      <c r="Q2956" s="135"/>
      <c r="R2956" s="135"/>
      <c r="S2956" s="135"/>
      <c r="T2956" s="135"/>
      <c r="U2956" s="135"/>
      <c r="V2956" s="135"/>
      <c r="W2956" s="135"/>
      <c r="X2956" s="135"/>
      <c r="Y2956" s="135"/>
      <c r="Z2956" s="135"/>
    </row>
    <row r="2957" spans="1:26" ht="12.75">
      <c r="A2957" s="136" t="s">
        <v>15</v>
      </c>
      <c r="B2957" s="136" t="s">
        <v>7809</v>
      </c>
      <c r="C2957" s="136" t="s">
        <v>7802</v>
      </c>
      <c r="D2957" s="136"/>
      <c r="E2957" s="136" t="s">
        <v>7693</v>
      </c>
      <c r="F2957" s="136">
        <v>1254</v>
      </c>
      <c r="G2957" s="137">
        <f t="shared" si="11"/>
        <v>2</v>
      </c>
      <c r="H2957" s="137"/>
      <c r="I2957" s="137"/>
      <c r="J2957" s="135"/>
      <c r="K2957" s="135"/>
      <c r="L2957" s="135"/>
      <c r="M2957" s="135"/>
      <c r="N2957" s="135"/>
      <c r="O2957" s="135"/>
      <c r="P2957" s="135"/>
      <c r="Q2957" s="135"/>
      <c r="R2957" s="135"/>
      <c r="S2957" s="135"/>
      <c r="T2957" s="135"/>
      <c r="U2957" s="135"/>
      <c r="V2957" s="135"/>
      <c r="W2957" s="135"/>
      <c r="X2957" s="135"/>
      <c r="Y2957" s="135"/>
      <c r="Z2957" s="135"/>
    </row>
    <row r="2958" spans="1:26" ht="12.75">
      <c r="A2958" s="136" t="s">
        <v>15</v>
      </c>
      <c r="B2958" s="136" t="s">
        <v>7809</v>
      </c>
      <c r="C2958" s="136" t="s">
        <v>7804</v>
      </c>
      <c r="D2958" s="136" t="s">
        <v>7628</v>
      </c>
      <c r="E2958" s="136" t="s">
        <v>594</v>
      </c>
      <c r="F2958" s="136">
        <v>717</v>
      </c>
      <c r="G2958" s="137">
        <f t="shared" si="11"/>
        <v>4</v>
      </c>
      <c r="H2958" s="137"/>
      <c r="I2958" s="137"/>
      <c r="J2958" s="135"/>
      <c r="K2958" s="135"/>
      <c r="L2958" s="135"/>
      <c r="M2958" s="135"/>
      <c r="N2958" s="135"/>
      <c r="O2958" s="135"/>
      <c r="P2958" s="135"/>
      <c r="Q2958" s="135"/>
      <c r="R2958" s="135"/>
      <c r="S2958" s="135"/>
      <c r="T2958" s="135"/>
      <c r="U2958" s="135"/>
      <c r="V2958" s="135"/>
      <c r="W2958" s="135"/>
      <c r="X2958" s="135"/>
      <c r="Y2958" s="135"/>
      <c r="Z2958" s="135"/>
    </row>
    <row r="2959" spans="1:26" ht="12.75">
      <c r="A2959" s="136" t="s">
        <v>15</v>
      </c>
      <c r="B2959" s="136" t="s">
        <v>7809</v>
      </c>
      <c r="C2959" s="136" t="s">
        <v>7804</v>
      </c>
      <c r="D2959" s="136" t="s">
        <v>7726</v>
      </c>
      <c r="E2959" s="136" t="s">
        <v>615</v>
      </c>
      <c r="F2959" s="136">
        <v>562</v>
      </c>
      <c r="G2959" s="137">
        <f t="shared" si="11"/>
        <v>5</v>
      </c>
      <c r="H2959" s="137"/>
      <c r="I2959" s="137"/>
      <c r="J2959" s="135"/>
      <c r="K2959" s="135"/>
      <c r="L2959" s="135"/>
      <c r="M2959" s="135"/>
      <c r="N2959" s="135"/>
      <c r="O2959" s="135"/>
      <c r="P2959" s="135"/>
      <c r="Q2959" s="135"/>
      <c r="R2959" s="135"/>
      <c r="S2959" s="135"/>
      <c r="T2959" s="135"/>
      <c r="U2959" s="135"/>
      <c r="V2959" s="135"/>
      <c r="W2959" s="135"/>
      <c r="X2959" s="135"/>
      <c r="Y2959" s="135"/>
      <c r="Z2959" s="135"/>
    </row>
    <row r="2960" spans="1:26" ht="12.75">
      <c r="A2960" s="136" t="s">
        <v>15</v>
      </c>
      <c r="B2960" s="136" t="s">
        <v>7809</v>
      </c>
      <c r="C2960" s="136" t="s">
        <v>7804</v>
      </c>
      <c r="D2960" s="136" t="s">
        <v>7773</v>
      </c>
      <c r="E2960" s="136" t="s">
        <v>615</v>
      </c>
      <c r="F2960" s="136">
        <v>165</v>
      </c>
      <c r="G2960" s="137">
        <f t="shared" si="11"/>
        <v>7</v>
      </c>
      <c r="H2960" s="137"/>
      <c r="I2960" s="137"/>
      <c r="J2960" s="135"/>
      <c r="K2960" s="135"/>
      <c r="L2960" s="135"/>
      <c r="M2960" s="135"/>
      <c r="N2960" s="135"/>
      <c r="O2960" s="135"/>
      <c r="P2960" s="135"/>
      <c r="Q2960" s="135"/>
      <c r="R2960" s="135"/>
      <c r="S2960" s="135"/>
      <c r="T2960" s="135"/>
      <c r="U2960" s="135"/>
      <c r="V2960" s="135"/>
      <c r="W2960" s="135"/>
      <c r="X2960" s="135"/>
      <c r="Y2960" s="135"/>
      <c r="Z2960" s="135"/>
    </row>
    <row r="2961" spans="1:26" ht="12.75">
      <c r="A2961" s="136" t="s">
        <v>15</v>
      </c>
      <c r="B2961" s="136" t="s">
        <v>7809</v>
      </c>
      <c r="C2961" s="136" t="s">
        <v>7804</v>
      </c>
      <c r="D2961" s="136" t="s">
        <v>7762</v>
      </c>
      <c r="E2961" s="136" t="s">
        <v>615</v>
      </c>
      <c r="F2961" s="136">
        <v>75</v>
      </c>
      <c r="G2961" s="137">
        <f t="shared" si="11"/>
        <v>9</v>
      </c>
      <c r="H2961" s="137"/>
      <c r="I2961" s="137"/>
      <c r="J2961" s="135"/>
      <c r="K2961" s="135"/>
      <c r="L2961" s="135"/>
      <c r="M2961" s="135"/>
      <c r="N2961" s="135"/>
      <c r="O2961" s="135"/>
      <c r="P2961" s="135"/>
      <c r="Q2961" s="135"/>
      <c r="R2961" s="135"/>
      <c r="S2961" s="135"/>
      <c r="T2961" s="135"/>
      <c r="U2961" s="135"/>
      <c r="V2961" s="135"/>
      <c r="W2961" s="135"/>
      <c r="X2961" s="135"/>
      <c r="Y2961" s="135"/>
      <c r="Z2961" s="135"/>
    </row>
    <row r="2962" spans="1:26" ht="12.75">
      <c r="A2962" s="136" t="s">
        <v>15</v>
      </c>
      <c r="B2962" s="136" t="s">
        <v>7809</v>
      </c>
      <c r="C2962" s="136" t="s">
        <v>7804</v>
      </c>
      <c r="D2962" s="136" t="s">
        <v>7481</v>
      </c>
      <c r="E2962" s="136" t="s">
        <v>615</v>
      </c>
      <c r="F2962" s="136">
        <v>68</v>
      </c>
      <c r="G2962" s="137">
        <f t="shared" si="11"/>
        <v>10</v>
      </c>
      <c r="H2962" s="137"/>
      <c r="I2962" s="137"/>
      <c r="J2962" s="135"/>
      <c r="K2962" s="135"/>
      <c r="L2962" s="135"/>
      <c r="M2962" s="135"/>
      <c r="N2962" s="135"/>
      <c r="O2962" s="135"/>
      <c r="P2962" s="135"/>
      <c r="Q2962" s="135"/>
      <c r="R2962" s="135"/>
      <c r="S2962" s="135"/>
      <c r="T2962" s="135"/>
      <c r="U2962" s="135"/>
      <c r="V2962" s="135"/>
      <c r="W2962" s="135"/>
      <c r="X2962" s="135"/>
      <c r="Y2962" s="135"/>
      <c r="Z2962" s="135"/>
    </row>
    <row r="2963" spans="1:26" ht="12.75">
      <c r="A2963" s="136" t="s">
        <v>15</v>
      </c>
      <c r="B2963" s="136" t="s">
        <v>7809</v>
      </c>
      <c r="C2963" s="136" t="s">
        <v>7804</v>
      </c>
      <c r="D2963" s="136" t="s">
        <v>7743</v>
      </c>
      <c r="E2963" s="136" t="s">
        <v>594</v>
      </c>
      <c r="F2963" s="136">
        <v>55</v>
      </c>
      <c r="G2963" s="137">
        <f t="shared" si="11"/>
        <v>14</v>
      </c>
      <c r="H2963" s="137"/>
      <c r="I2963" s="137"/>
      <c r="J2963" s="135"/>
      <c r="K2963" s="135"/>
      <c r="L2963" s="135"/>
      <c r="M2963" s="135"/>
      <c r="N2963" s="135"/>
      <c r="O2963" s="135"/>
      <c r="P2963" s="135"/>
      <c r="Q2963" s="135"/>
      <c r="R2963" s="135"/>
      <c r="S2963" s="135"/>
      <c r="T2963" s="135"/>
      <c r="U2963" s="135"/>
      <c r="V2963" s="135"/>
      <c r="W2963" s="135"/>
      <c r="X2963" s="135"/>
      <c r="Y2963" s="135"/>
      <c r="Z2963" s="135"/>
    </row>
    <row r="2964" spans="1:26" ht="12.75">
      <c r="A2964" s="136" t="s">
        <v>15</v>
      </c>
      <c r="B2964" s="136" t="s">
        <v>7809</v>
      </c>
      <c r="C2964" s="136" t="s">
        <v>7804</v>
      </c>
      <c r="D2964" s="136" t="s">
        <v>103</v>
      </c>
      <c r="E2964" s="136" t="s">
        <v>594</v>
      </c>
      <c r="F2964" s="136">
        <v>50</v>
      </c>
      <c r="G2964" s="137">
        <f t="shared" si="11"/>
        <v>15</v>
      </c>
      <c r="H2964" s="137"/>
      <c r="I2964" s="137"/>
      <c r="J2964" s="135"/>
      <c r="K2964" s="135"/>
      <c r="L2964" s="135"/>
      <c r="M2964" s="135"/>
      <c r="N2964" s="135"/>
      <c r="O2964" s="135"/>
      <c r="P2964" s="135"/>
      <c r="Q2964" s="135"/>
      <c r="R2964" s="135"/>
      <c r="S2964" s="135"/>
      <c r="T2964" s="135"/>
      <c r="U2964" s="135"/>
      <c r="V2964" s="135"/>
      <c r="W2964" s="135"/>
      <c r="X2964" s="135"/>
      <c r="Y2964" s="135"/>
      <c r="Z2964" s="135"/>
    </row>
    <row r="2965" spans="1:26" ht="12.75">
      <c r="A2965" s="136" t="s">
        <v>15</v>
      </c>
      <c r="B2965" s="136" t="s">
        <v>7809</v>
      </c>
      <c r="C2965" s="136" t="s">
        <v>7804</v>
      </c>
      <c r="D2965" s="136"/>
      <c r="E2965" s="136" t="s">
        <v>7693</v>
      </c>
      <c r="F2965" s="136">
        <v>1692</v>
      </c>
      <c r="G2965" s="137">
        <f t="shared" si="11"/>
        <v>1</v>
      </c>
      <c r="H2965" s="137"/>
      <c r="I2965" s="137"/>
      <c r="J2965" s="135"/>
      <c r="K2965" s="135"/>
      <c r="L2965" s="135"/>
      <c r="M2965" s="135"/>
      <c r="N2965" s="135"/>
      <c r="O2965" s="135"/>
      <c r="P2965" s="135"/>
      <c r="Q2965" s="135"/>
      <c r="R2965" s="135"/>
      <c r="S2965" s="135"/>
      <c r="T2965" s="135"/>
      <c r="U2965" s="135"/>
      <c r="V2965" s="135"/>
      <c r="W2965" s="135"/>
      <c r="X2965" s="135"/>
      <c r="Y2965" s="135"/>
      <c r="Z2965" s="135"/>
    </row>
    <row r="2966" spans="1:26" ht="12.75">
      <c r="A2966" s="136" t="s">
        <v>15</v>
      </c>
      <c r="B2966" s="136" t="s">
        <v>7809</v>
      </c>
      <c r="C2966" s="136" t="s">
        <v>7806</v>
      </c>
      <c r="D2966" s="136" t="s">
        <v>139</v>
      </c>
      <c r="E2966" s="136" t="s">
        <v>594</v>
      </c>
      <c r="F2966" s="136">
        <v>794</v>
      </c>
      <c r="G2966" s="137">
        <f t="shared" si="11"/>
        <v>3</v>
      </c>
      <c r="H2966" s="137"/>
      <c r="I2966" s="137"/>
      <c r="J2966" s="135"/>
      <c r="K2966" s="135"/>
      <c r="L2966" s="135"/>
      <c r="M2966" s="135"/>
      <c r="N2966" s="135"/>
      <c r="O2966" s="135"/>
      <c r="P2966" s="135"/>
      <c r="Q2966" s="135"/>
      <c r="R2966" s="135"/>
      <c r="S2966" s="135"/>
      <c r="T2966" s="135"/>
      <c r="U2966" s="135"/>
      <c r="V2966" s="135"/>
      <c r="W2966" s="135"/>
      <c r="X2966" s="135"/>
      <c r="Y2966" s="135"/>
      <c r="Z2966" s="135"/>
    </row>
    <row r="2967" spans="1:26" ht="12.75">
      <c r="A2967" s="136" t="s">
        <v>15</v>
      </c>
      <c r="B2967" s="136" t="s">
        <v>7809</v>
      </c>
      <c r="C2967" s="136" t="s">
        <v>7806</v>
      </c>
      <c r="D2967" s="136" t="s">
        <v>1669</v>
      </c>
      <c r="E2967" s="136" t="s">
        <v>615</v>
      </c>
      <c r="F2967" s="136">
        <v>215</v>
      </c>
      <c r="G2967" s="137">
        <f t="shared" si="11"/>
        <v>6</v>
      </c>
      <c r="H2967" s="137"/>
      <c r="I2967" s="137"/>
      <c r="J2967" s="135"/>
      <c r="K2967" s="135"/>
      <c r="L2967" s="135"/>
      <c r="M2967" s="135"/>
      <c r="N2967" s="135"/>
      <c r="O2967" s="135"/>
      <c r="P2967" s="135"/>
      <c r="Q2967" s="135"/>
      <c r="R2967" s="135"/>
      <c r="S2967" s="135"/>
      <c r="T2967" s="135"/>
      <c r="U2967" s="135"/>
      <c r="V2967" s="135"/>
      <c r="W2967" s="135"/>
      <c r="X2967" s="135"/>
      <c r="Y2967" s="135"/>
      <c r="Z2967" s="135"/>
    </row>
    <row r="2968" spans="1:26" ht="12.75">
      <c r="A2968" s="136" t="s">
        <v>15</v>
      </c>
      <c r="B2968" s="136" t="s">
        <v>7809</v>
      </c>
      <c r="C2968" s="136" t="s">
        <v>7806</v>
      </c>
      <c r="D2968" s="136" t="s">
        <v>7762</v>
      </c>
      <c r="E2968" s="136" t="s">
        <v>615</v>
      </c>
      <c r="F2968" s="136">
        <v>210</v>
      </c>
      <c r="G2968" s="137">
        <f t="shared" si="11"/>
        <v>7</v>
      </c>
      <c r="H2968" s="137"/>
      <c r="I2968" s="137"/>
      <c r="J2968" s="135"/>
      <c r="K2968" s="135"/>
      <c r="L2968" s="135"/>
      <c r="M2968" s="135"/>
      <c r="N2968" s="135"/>
      <c r="O2968" s="135"/>
      <c r="P2968" s="135"/>
      <c r="Q2968" s="135"/>
      <c r="R2968" s="135"/>
      <c r="S2968" s="135"/>
      <c r="T2968" s="135"/>
      <c r="U2968" s="135"/>
      <c r="V2968" s="135"/>
      <c r="W2968" s="135"/>
      <c r="X2968" s="135"/>
      <c r="Y2968" s="135"/>
      <c r="Z2968" s="135"/>
    </row>
    <row r="2969" spans="1:26" ht="12.75">
      <c r="A2969" s="136" t="s">
        <v>15</v>
      </c>
      <c r="B2969" s="136" t="s">
        <v>7809</v>
      </c>
      <c r="C2969" s="136" t="s">
        <v>7806</v>
      </c>
      <c r="D2969" s="136" t="s">
        <v>7830</v>
      </c>
      <c r="E2969" s="136" t="s">
        <v>615</v>
      </c>
      <c r="F2969" s="136">
        <v>100</v>
      </c>
      <c r="G2969" s="137">
        <f t="shared" si="11"/>
        <v>11</v>
      </c>
      <c r="H2969" s="137"/>
      <c r="I2969" s="137"/>
      <c r="J2969" s="135"/>
      <c r="K2969" s="135"/>
      <c r="L2969" s="135"/>
      <c r="M2969" s="135"/>
      <c r="N2969" s="135"/>
      <c r="O2969" s="135"/>
      <c r="P2969" s="135"/>
      <c r="Q2969" s="135"/>
      <c r="R2969" s="135"/>
      <c r="S2969" s="135"/>
      <c r="T2969" s="135"/>
      <c r="U2969" s="135"/>
      <c r="V2969" s="135"/>
      <c r="W2969" s="135"/>
      <c r="X2969" s="135"/>
      <c r="Y2969" s="135"/>
      <c r="Z2969" s="135"/>
    </row>
    <row r="2970" spans="1:26" ht="12.75">
      <c r="A2970" s="136" t="s">
        <v>15</v>
      </c>
      <c r="B2970" s="136" t="s">
        <v>7809</v>
      </c>
      <c r="C2970" s="136" t="s">
        <v>7806</v>
      </c>
      <c r="D2970" s="136" t="s">
        <v>7481</v>
      </c>
      <c r="E2970" s="136" t="s">
        <v>615</v>
      </c>
      <c r="F2970" s="136">
        <v>99</v>
      </c>
      <c r="G2970" s="137">
        <f t="shared" si="11"/>
        <v>12</v>
      </c>
      <c r="H2970" s="137"/>
      <c r="I2970" s="137"/>
      <c r="J2970" s="135"/>
      <c r="K2970" s="135"/>
      <c r="L2970" s="135"/>
      <c r="M2970" s="135"/>
      <c r="N2970" s="135"/>
      <c r="O2970" s="135"/>
      <c r="P2970" s="135"/>
      <c r="Q2970" s="135"/>
      <c r="R2970" s="135"/>
      <c r="S2970" s="135"/>
      <c r="T2970" s="135"/>
      <c r="U2970" s="135"/>
      <c r="V2970" s="135"/>
      <c r="W2970" s="135"/>
      <c r="X2970" s="135"/>
      <c r="Y2970" s="135"/>
      <c r="Z2970" s="135"/>
    </row>
    <row r="2971" spans="1:26" ht="12.75">
      <c r="A2971" s="136" t="s">
        <v>15</v>
      </c>
      <c r="B2971" s="136" t="s">
        <v>7809</v>
      </c>
      <c r="C2971" s="136" t="s">
        <v>7806</v>
      </c>
      <c r="D2971" s="136" t="s">
        <v>1668</v>
      </c>
      <c r="E2971" s="136" t="s">
        <v>615</v>
      </c>
      <c r="F2971" s="136">
        <v>95</v>
      </c>
      <c r="G2971" s="137">
        <f t="shared" si="11"/>
        <v>13</v>
      </c>
      <c r="H2971" s="137"/>
      <c r="I2971" s="137"/>
      <c r="J2971" s="135"/>
      <c r="K2971" s="135"/>
      <c r="L2971" s="135"/>
      <c r="M2971" s="135"/>
      <c r="N2971" s="135"/>
      <c r="O2971" s="135"/>
      <c r="P2971" s="135"/>
      <c r="Q2971" s="135"/>
      <c r="R2971" s="135"/>
      <c r="S2971" s="135"/>
      <c r="T2971" s="135"/>
      <c r="U2971" s="135"/>
      <c r="V2971" s="135"/>
      <c r="W2971" s="135"/>
      <c r="X2971" s="135"/>
      <c r="Y2971" s="135"/>
      <c r="Z2971" s="135"/>
    </row>
    <row r="2972" spans="1:26" ht="12.75">
      <c r="A2972" s="136" t="s">
        <v>15</v>
      </c>
      <c r="B2972" s="136" t="s">
        <v>7809</v>
      </c>
      <c r="C2972" s="136" t="s">
        <v>7806</v>
      </c>
      <c r="D2972" s="136" t="s">
        <v>1673</v>
      </c>
      <c r="E2972" s="136" t="s">
        <v>615</v>
      </c>
      <c r="F2972" s="136">
        <v>55</v>
      </c>
      <c r="G2972" s="137">
        <f t="shared" si="11"/>
        <v>16</v>
      </c>
      <c r="H2972" s="137"/>
      <c r="I2972" s="137"/>
      <c r="J2972" s="135"/>
      <c r="K2972" s="135"/>
      <c r="L2972" s="135"/>
      <c r="M2972" s="135"/>
      <c r="N2972" s="135"/>
      <c r="O2972" s="135"/>
      <c r="P2972" s="135"/>
      <c r="Q2972" s="135"/>
      <c r="R2972" s="135"/>
      <c r="S2972" s="135"/>
      <c r="T2972" s="135"/>
      <c r="U2972" s="135"/>
      <c r="V2972" s="135"/>
      <c r="W2972" s="135"/>
      <c r="X2972" s="135"/>
      <c r="Y2972" s="135"/>
      <c r="Z2972" s="135"/>
    </row>
    <row r="2973" spans="1:26" ht="12.75">
      <c r="A2973" s="136" t="s">
        <v>15</v>
      </c>
      <c r="B2973" s="136" t="s">
        <v>7809</v>
      </c>
      <c r="C2973" s="136" t="s">
        <v>7806</v>
      </c>
      <c r="D2973" s="136" t="s">
        <v>7743</v>
      </c>
      <c r="E2973" s="136" t="s">
        <v>594</v>
      </c>
      <c r="F2973" s="136">
        <v>50</v>
      </c>
      <c r="G2973" s="137">
        <f t="shared" si="11"/>
        <v>18</v>
      </c>
      <c r="H2973" s="137"/>
      <c r="I2973" s="137"/>
      <c r="J2973" s="135"/>
      <c r="K2973" s="135"/>
      <c r="L2973" s="135"/>
      <c r="M2973" s="135"/>
      <c r="N2973" s="135"/>
      <c r="O2973" s="135"/>
      <c r="P2973" s="135"/>
      <c r="Q2973" s="135"/>
      <c r="R2973" s="135"/>
      <c r="S2973" s="135"/>
      <c r="T2973" s="135"/>
      <c r="U2973" s="135"/>
      <c r="V2973" s="135"/>
      <c r="W2973" s="135"/>
      <c r="X2973" s="135"/>
      <c r="Y2973" s="135"/>
      <c r="Z2973" s="135"/>
    </row>
    <row r="2974" spans="1:26" ht="12.75">
      <c r="A2974" s="136" t="s">
        <v>15</v>
      </c>
      <c r="B2974" s="136" t="s">
        <v>7809</v>
      </c>
      <c r="C2974" s="136" t="s">
        <v>7806</v>
      </c>
      <c r="D2974" s="136"/>
      <c r="E2974" s="136" t="s">
        <v>7693</v>
      </c>
      <c r="F2974" s="136">
        <v>1618</v>
      </c>
      <c r="G2974" s="137">
        <f t="shared" si="11"/>
        <v>1</v>
      </c>
      <c r="H2974" s="137"/>
      <c r="I2974" s="137"/>
      <c r="J2974" s="135"/>
      <c r="K2974" s="135"/>
      <c r="L2974" s="135"/>
      <c r="M2974" s="135"/>
      <c r="N2974" s="135"/>
      <c r="O2974" s="135"/>
      <c r="P2974" s="135"/>
      <c r="Q2974" s="135"/>
      <c r="R2974" s="135"/>
      <c r="S2974" s="135"/>
      <c r="T2974" s="135"/>
      <c r="U2974" s="135"/>
      <c r="V2974" s="135"/>
      <c r="W2974" s="135"/>
      <c r="X2974" s="135"/>
      <c r="Y2974" s="135"/>
      <c r="Z2974" s="135"/>
    </row>
    <row r="2975" spans="1:26" ht="12.75">
      <c r="A2975" s="136" t="s">
        <v>15</v>
      </c>
      <c r="B2975" s="136" t="s">
        <v>7809</v>
      </c>
      <c r="C2975" s="136" t="s">
        <v>7831</v>
      </c>
      <c r="D2975" s="136" t="s">
        <v>139</v>
      </c>
      <c r="E2975" s="136" t="s">
        <v>594</v>
      </c>
      <c r="F2975" s="136">
        <v>545</v>
      </c>
      <c r="G2975" s="137">
        <f t="shared" si="11"/>
        <v>2</v>
      </c>
      <c r="H2975" s="137"/>
      <c r="I2975" s="137"/>
      <c r="J2975" s="135"/>
      <c r="K2975" s="135"/>
      <c r="L2975" s="135"/>
      <c r="M2975" s="135"/>
      <c r="N2975" s="135"/>
      <c r="O2975" s="135"/>
      <c r="P2975" s="135"/>
      <c r="Q2975" s="135"/>
      <c r="R2975" s="135"/>
      <c r="S2975" s="135"/>
      <c r="T2975" s="135"/>
      <c r="U2975" s="135"/>
      <c r="V2975" s="135"/>
      <c r="W2975" s="135"/>
      <c r="X2975" s="135"/>
      <c r="Y2975" s="135"/>
      <c r="Z2975" s="135"/>
    </row>
    <row r="2976" spans="1:26" ht="12.75">
      <c r="A2976" s="136" t="s">
        <v>15</v>
      </c>
      <c r="B2976" s="136" t="s">
        <v>7809</v>
      </c>
      <c r="C2976" s="136" t="s">
        <v>7831</v>
      </c>
      <c r="D2976" s="136" t="s">
        <v>103</v>
      </c>
      <c r="E2976" s="136" t="s">
        <v>594</v>
      </c>
      <c r="F2976" s="136">
        <v>450</v>
      </c>
      <c r="G2976" s="137">
        <f t="shared" si="11"/>
        <v>3</v>
      </c>
      <c r="H2976" s="137"/>
      <c r="I2976" s="137"/>
      <c r="J2976" s="135"/>
      <c r="K2976" s="135"/>
      <c r="L2976" s="135"/>
      <c r="M2976" s="135"/>
      <c r="N2976" s="135"/>
      <c r="O2976" s="135"/>
      <c r="P2976" s="135"/>
      <c r="Q2976" s="135"/>
      <c r="R2976" s="135"/>
      <c r="S2976" s="135"/>
      <c r="T2976" s="135"/>
      <c r="U2976" s="135"/>
      <c r="V2976" s="135"/>
      <c r="W2976" s="135"/>
      <c r="X2976" s="135"/>
      <c r="Y2976" s="135"/>
      <c r="Z2976" s="135"/>
    </row>
    <row r="2977" spans="1:26" ht="12.75">
      <c r="A2977" s="136" t="s">
        <v>15</v>
      </c>
      <c r="B2977" s="136" t="s">
        <v>7809</v>
      </c>
      <c r="C2977" s="136" t="s">
        <v>7831</v>
      </c>
      <c r="D2977" s="136" t="s">
        <v>7762</v>
      </c>
      <c r="E2977" s="136" t="s">
        <v>615</v>
      </c>
      <c r="F2977" s="136">
        <v>375</v>
      </c>
      <c r="G2977" s="137">
        <f t="shared" si="11"/>
        <v>4</v>
      </c>
      <c r="H2977" s="137"/>
      <c r="I2977" s="137"/>
      <c r="J2977" s="135"/>
      <c r="K2977" s="135"/>
      <c r="L2977" s="135"/>
      <c r="M2977" s="135"/>
      <c r="N2977" s="135"/>
      <c r="O2977" s="135"/>
      <c r="P2977" s="135"/>
      <c r="Q2977" s="135"/>
      <c r="R2977" s="135"/>
      <c r="S2977" s="135"/>
      <c r="T2977" s="135"/>
      <c r="U2977" s="135"/>
      <c r="V2977" s="135"/>
      <c r="W2977" s="135"/>
      <c r="X2977" s="135"/>
      <c r="Y2977" s="135"/>
      <c r="Z2977" s="135"/>
    </row>
    <row r="2978" spans="1:26" ht="12.75">
      <c r="A2978" s="136" t="s">
        <v>15</v>
      </c>
      <c r="B2978" s="136" t="s">
        <v>7809</v>
      </c>
      <c r="C2978" s="136" t="s">
        <v>7831</v>
      </c>
      <c r="D2978" s="136" t="s">
        <v>7481</v>
      </c>
      <c r="E2978" s="136" t="s">
        <v>615</v>
      </c>
      <c r="F2978" s="136">
        <v>63</v>
      </c>
      <c r="G2978" s="137">
        <f t="shared" si="11"/>
        <v>5</v>
      </c>
      <c r="H2978" s="137"/>
      <c r="I2978" s="137"/>
      <c r="J2978" s="135"/>
      <c r="K2978" s="135"/>
      <c r="L2978" s="135"/>
      <c r="M2978" s="135"/>
      <c r="N2978" s="135"/>
      <c r="O2978" s="135"/>
      <c r="P2978" s="135"/>
      <c r="Q2978" s="135"/>
      <c r="R2978" s="135"/>
      <c r="S2978" s="135"/>
      <c r="T2978" s="135"/>
      <c r="U2978" s="135"/>
      <c r="V2978" s="135"/>
      <c r="W2978" s="135"/>
      <c r="X2978" s="135"/>
      <c r="Y2978" s="135"/>
      <c r="Z2978" s="135"/>
    </row>
    <row r="2979" spans="1:26" ht="12.75">
      <c r="A2979" s="136" t="s">
        <v>15</v>
      </c>
      <c r="B2979" s="136" t="s">
        <v>7809</v>
      </c>
      <c r="C2979" s="136" t="s">
        <v>7831</v>
      </c>
      <c r="D2979" s="136"/>
      <c r="E2979" s="136" t="s">
        <v>7693</v>
      </c>
      <c r="F2979" s="136">
        <v>1433</v>
      </c>
      <c r="G2979" s="137">
        <f t="shared" si="11"/>
        <v>1</v>
      </c>
      <c r="H2979" s="137"/>
      <c r="I2979" s="137"/>
      <c r="J2979" s="135"/>
      <c r="K2979" s="135"/>
      <c r="L2979" s="135"/>
      <c r="M2979" s="135"/>
      <c r="N2979" s="135"/>
      <c r="O2979" s="135"/>
      <c r="P2979" s="135"/>
      <c r="Q2979" s="135"/>
      <c r="R2979" s="135"/>
      <c r="S2979" s="135"/>
      <c r="T2979" s="135"/>
      <c r="U2979" s="135"/>
      <c r="V2979" s="135"/>
      <c r="W2979" s="135"/>
      <c r="X2979" s="135"/>
      <c r="Y2979" s="135"/>
      <c r="Z2979" s="135"/>
    </row>
    <row r="2980" spans="1:26" ht="12.75">
      <c r="A2980" s="136" t="s">
        <v>15</v>
      </c>
      <c r="B2980" s="136" t="s">
        <v>7809</v>
      </c>
      <c r="C2980" s="136" t="s">
        <v>7832</v>
      </c>
      <c r="D2980" s="136" t="s">
        <v>139</v>
      </c>
      <c r="E2980" s="136" t="s">
        <v>594</v>
      </c>
      <c r="F2980" s="136">
        <v>609</v>
      </c>
      <c r="G2980" s="137">
        <f t="shared" si="11"/>
        <v>2</v>
      </c>
      <c r="H2980" s="137"/>
      <c r="I2980" s="137"/>
      <c r="J2980" s="135"/>
      <c r="K2980" s="135"/>
      <c r="L2980" s="135"/>
      <c r="M2980" s="135"/>
      <c r="N2980" s="135"/>
      <c r="O2980" s="135"/>
      <c r="P2980" s="135"/>
      <c r="Q2980" s="135"/>
      <c r="R2980" s="135"/>
      <c r="S2980" s="135"/>
      <c r="T2980" s="135"/>
      <c r="U2980" s="135"/>
      <c r="V2980" s="135"/>
      <c r="W2980" s="135"/>
      <c r="X2980" s="135"/>
      <c r="Y2980" s="135"/>
      <c r="Z2980" s="135"/>
    </row>
    <row r="2981" spans="1:26" ht="12.75">
      <c r="A2981" s="136" t="s">
        <v>15</v>
      </c>
      <c r="B2981" s="136" t="s">
        <v>7809</v>
      </c>
      <c r="C2981" s="136" t="s">
        <v>7832</v>
      </c>
      <c r="D2981" s="136" t="s">
        <v>7772</v>
      </c>
      <c r="E2981" s="136" t="s">
        <v>615</v>
      </c>
      <c r="F2981" s="136">
        <v>260</v>
      </c>
      <c r="G2981" s="137">
        <f t="shared" si="11"/>
        <v>3</v>
      </c>
      <c r="H2981" s="137"/>
      <c r="I2981" s="137"/>
      <c r="J2981" s="135"/>
      <c r="K2981" s="135"/>
      <c r="L2981" s="135"/>
      <c r="M2981" s="135"/>
      <c r="N2981" s="135"/>
      <c r="O2981" s="135"/>
      <c r="P2981" s="135"/>
      <c r="Q2981" s="135"/>
      <c r="R2981" s="135"/>
      <c r="S2981" s="135"/>
      <c r="T2981" s="135"/>
      <c r="U2981" s="135"/>
      <c r="V2981" s="135"/>
      <c r="W2981" s="135"/>
      <c r="X2981" s="135"/>
      <c r="Y2981" s="135"/>
      <c r="Z2981" s="135"/>
    </row>
    <row r="2982" spans="1:26" ht="12.75">
      <c r="A2982" s="136" t="s">
        <v>15</v>
      </c>
      <c r="B2982" s="136" t="s">
        <v>7809</v>
      </c>
      <c r="C2982" s="136" t="s">
        <v>7832</v>
      </c>
      <c r="D2982" s="136" t="s">
        <v>7801</v>
      </c>
      <c r="E2982" s="136" t="s">
        <v>615</v>
      </c>
      <c r="F2982" s="136">
        <v>248</v>
      </c>
      <c r="G2982" s="137">
        <f t="shared" si="11"/>
        <v>4</v>
      </c>
      <c r="H2982" s="137"/>
      <c r="I2982" s="137"/>
      <c r="J2982" s="135"/>
      <c r="K2982" s="135"/>
      <c r="L2982" s="135"/>
      <c r="M2982" s="135"/>
      <c r="N2982" s="135"/>
      <c r="O2982" s="135"/>
      <c r="P2982" s="135"/>
      <c r="Q2982" s="135"/>
      <c r="R2982" s="135"/>
      <c r="S2982" s="135"/>
      <c r="T2982" s="135"/>
      <c r="U2982" s="135"/>
      <c r="V2982" s="135"/>
      <c r="W2982" s="135"/>
      <c r="X2982" s="135"/>
      <c r="Y2982" s="135"/>
      <c r="Z2982" s="135"/>
    </row>
    <row r="2983" spans="1:26" ht="12.75">
      <c r="A2983" s="136" t="s">
        <v>15</v>
      </c>
      <c r="B2983" s="136" t="s">
        <v>7809</v>
      </c>
      <c r="C2983" s="136" t="s">
        <v>7832</v>
      </c>
      <c r="D2983" s="136" t="s">
        <v>7481</v>
      </c>
      <c r="E2983" s="136" t="s">
        <v>615</v>
      </c>
      <c r="F2983" s="136">
        <v>141</v>
      </c>
      <c r="G2983" s="137">
        <f t="shared" si="11"/>
        <v>5</v>
      </c>
      <c r="H2983" s="137"/>
      <c r="I2983" s="137"/>
      <c r="J2983" s="135"/>
      <c r="K2983" s="135"/>
      <c r="L2983" s="135"/>
      <c r="M2983" s="135"/>
      <c r="N2983" s="135"/>
      <c r="O2983" s="135"/>
      <c r="P2983" s="135"/>
      <c r="Q2983" s="135"/>
      <c r="R2983" s="135"/>
      <c r="S2983" s="135"/>
      <c r="T2983" s="135"/>
      <c r="U2983" s="135"/>
      <c r="V2983" s="135"/>
      <c r="W2983" s="135"/>
      <c r="X2983" s="135"/>
      <c r="Y2983" s="135"/>
      <c r="Z2983" s="135"/>
    </row>
    <row r="2984" spans="1:26" ht="12.75">
      <c r="A2984" s="136" t="s">
        <v>15</v>
      </c>
      <c r="B2984" s="136" t="s">
        <v>7809</v>
      </c>
      <c r="C2984" s="136" t="s">
        <v>7832</v>
      </c>
      <c r="D2984" s="136" t="s">
        <v>103</v>
      </c>
      <c r="E2984" s="136" t="s">
        <v>594</v>
      </c>
      <c r="F2984" s="136">
        <v>75</v>
      </c>
      <c r="G2984" s="137">
        <f t="shared" si="11"/>
        <v>6</v>
      </c>
      <c r="H2984" s="137"/>
      <c r="I2984" s="137"/>
      <c r="J2984" s="135"/>
      <c r="K2984" s="135"/>
      <c r="L2984" s="135"/>
      <c r="M2984" s="135"/>
      <c r="N2984" s="135"/>
      <c r="O2984" s="135"/>
      <c r="P2984" s="135"/>
      <c r="Q2984" s="135"/>
      <c r="R2984" s="135"/>
      <c r="S2984" s="135"/>
      <c r="T2984" s="135"/>
      <c r="U2984" s="135"/>
      <c r="V2984" s="135"/>
      <c r="W2984" s="135"/>
      <c r="X2984" s="135"/>
      <c r="Y2984" s="135"/>
      <c r="Z2984" s="135"/>
    </row>
    <row r="2985" spans="1:26" ht="12.75">
      <c r="A2985" s="136" t="s">
        <v>15</v>
      </c>
      <c r="B2985" s="136" t="s">
        <v>7809</v>
      </c>
      <c r="C2985" s="136" t="s">
        <v>7832</v>
      </c>
      <c r="D2985" s="136" t="s">
        <v>7762</v>
      </c>
      <c r="E2985" s="136" t="s">
        <v>615</v>
      </c>
      <c r="F2985" s="136">
        <v>75</v>
      </c>
      <c r="G2985" s="137">
        <f t="shared" si="11"/>
        <v>7</v>
      </c>
      <c r="H2985" s="137"/>
      <c r="I2985" s="137"/>
      <c r="J2985" s="135"/>
      <c r="K2985" s="135"/>
      <c r="L2985" s="135"/>
      <c r="M2985" s="135"/>
      <c r="N2985" s="135"/>
      <c r="O2985" s="135"/>
      <c r="P2985" s="135"/>
      <c r="Q2985" s="135"/>
      <c r="R2985" s="135"/>
      <c r="S2985" s="135"/>
      <c r="T2985" s="135"/>
      <c r="U2985" s="135"/>
      <c r="V2985" s="135"/>
      <c r="W2985" s="135"/>
      <c r="X2985" s="135"/>
      <c r="Y2985" s="135"/>
      <c r="Z2985" s="135"/>
    </row>
    <row r="2986" spans="1:26" ht="12.75">
      <c r="A2986" s="136" t="s">
        <v>15</v>
      </c>
      <c r="B2986" s="136" t="s">
        <v>7809</v>
      </c>
      <c r="C2986" s="136" t="s">
        <v>7832</v>
      </c>
      <c r="D2986" s="136"/>
      <c r="E2986" s="136" t="s">
        <v>7693</v>
      </c>
      <c r="F2986" s="136">
        <v>1408</v>
      </c>
      <c r="G2986" s="137">
        <f t="shared" si="11"/>
        <v>1</v>
      </c>
      <c r="H2986" s="137"/>
      <c r="I2986" s="137"/>
      <c r="J2986" s="135"/>
      <c r="K2986" s="135"/>
      <c r="L2986" s="135"/>
      <c r="M2986" s="135"/>
      <c r="N2986" s="135"/>
      <c r="O2986" s="135"/>
      <c r="P2986" s="135"/>
      <c r="Q2986" s="135"/>
      <c r="R2986" s="135"/>
      <c r="S2986" s="135"/>
      <c r="T2986" s="135"/>
      <c r="U2986" s="135"/>
      <c r="V2986" s="135"/>
      <c r="W2986" s="135"/>
      <c r="X2986" s="135"/>
      <c r="Y2986" s="135"/>
      <c r="Z2986" s="135"/>
    </row>
    <row r="2987" spans="1:26" ht="12.75">
      <c r="A2987" s="136" t="s">
        <v>10</v>
      </c>
      <c r="B2987" s="136" t="s">
        <v>7833</v>
      </c>
      <c r="C2987" s="136" t="s">
        <v>7834</v>
      </c>
      <c r="D2987" s="136" t="s">
        <v>139</v>
      </c>
      <c r="E2987" s="136" t="s">
        <v>594</v>
      </c>
      <c r="F2987" s="136">
        <v>790</v>
      </c>
      <c r="G2987" s="137">
        <f t="shared" si="11"/>
        <v>1</v>
      </c>
      <c r="H2987" s="137"/>
      <c r="I2987" s="137"/>
      <c r="J2987" s="135"/>
      <c r="K2987" s="135"/>
      <c r="L2987" s="135"/>
      <c r="M2987" s="135"/>
      <c r="N2987" s="135"/>
      <c r="O2987" s="135"/>
      <c r="P2987" s="135"/>
      <c r="Q2987" s="135"/>
      <c r="R2987" s="135"/>
      <c r="S2987" s="135"/>
      <c r="T2987" s="135"/>
      <c r="U2987" s="135"/>
      <c r="V2987" s="135"/>
      <c r="W2987" s="135"/>
      <c r="X2987" s="135"/>
      <c r="Y2987" s="135"/>
      <c r="Z2987" s="135"/>
    </row>
    <row r="2988" spans="1:26" ht="12.75">
      <c r="A2988" s="136" t="s">
        <v>10</v>
      </c>
      <c r="B2988" s="136" t="s">
        <v>7833</v>
      </c>
      <c r="C2988" s="136" t="s">
        <v>7834</v>
      </c>
      <c r="D2988" s="136" t="s">
        <v>114</v>
      </c>
      <c r="E2988" s="136" t="s">
        <v>85</v>
      </c>
      <c r="F2988" s="136">
        <v>565</v>
      </c>
      <c r="G2988" s="137">
        <f t="shared" si="11"/>
        <v>2</v>
      </c>
      <c r="H2988" s="137"/>
      <c r="I2988" s="137"/>
      <c r="J2988" s="135"/>
      <c r="K2988" s="135"/>
      <c r="L2988" s="135"/>
      <c r="M2988" s="135"/>
      <c r="N2988" s="135"/>
      <c r="O2988" s="135"/>
      <c r="P2988" s="135"/>
      <c r="Q2988" s="135"/>
      <c r="R2988" s="135"/>
      <c r="S2988" s="135"/>
      <c r="T2988" s="135"/>
      <c r="U2988" s="135"/>
      <c r="V2988" s="135"/>
      <c r="W2988" s="135"/>
      <c r="X2988" s="135"/>
      <c r="Y2988" s="135"/>
      <c r="Z2988" s="135"/>
    </row>
    <row r="2989" spans="1:26" ht="12.75">
      <c r="A2989" s="136" t="s">
        <v>10</v>
      </c>
      <c r="B2989" s="136" t="s">
        <v>7833</v>
      </c>
      <c r="C2989" s="136" t="s">
        <v>7834</v>
      </c>
      <c r="D2989" s="136" t="s">
        <v>1669</v>
      </c>
      <c r="E2989" s="136" t="s">
        <v>615</v>
      </c>
      <c r="F2989" s="136">
        <v>387</v>
      </c>
      <c r="G2989" s="137">
        <f t="shared" si="11"/>
        <v>3</v>
      </c>
      <c r="H2989" s="137"/>
      <c r="I2989" s="137"/>
      <c r="J2989" s="135"/>
      <c r="K2989" s="135"/>
      <c r="L2989" s="135"/>
      <c r="M2989" s="135"/>
      <c r="N2989" s="135"/>
      <c r="O2989" s="135"/>
      <c r="P2989" s="135"/>
      <c r="Q2989" s="135"/>
      <c r="R2989" s="135"/>
      <c r="S2989" s="135"/>
      <c r="T2989" s="135"/>
      <c r="U2989" s="135"/>
      <c r="V2989" s="135"/>
      <c r="W2989" s="135"/>
      <c r="X2989" s="135"/>
      <c r="Y2989" s="135"/>
      <c r="Z2989" s="135"/>
    </row>
    <row r="2990" spans="1:26" ht="12.75">
      <c r="A2990" s="136" t="s">
        <v>10</v>
      </c>
      <c r="B2990" s="136" t="s">
        <v>7833</v>
      </c>
      <c r="C2990" s="136" t="s">
        <v>7834</v>
      </c>
      <c r="D2990" s="136" t="s">
        <v>131</v>
      </c>
      <c r="E2990" s="136" t="s">
        <v>594</v>
      </c>
      <c r="F2990" s="136">
        <v>232</v>
      </c>
      <c r="G2990" s="137">
        <f t="shared" si="11"/>
        <v>4</v>
      </c>
      <c r="H2990" s="137"/>
      <c r="I2990" s="137"/>
      <c r="J2990" s="135"/>
      <c r="K2990" s="135"/>
      <c r="L2990" s="135"/>
      <c r="M2990" s="135"/>
      <c r="N2990" s="135"/>
      <c r="O2990" s="135"/>
      <c r="P2990" s="135"/>
      <c r="Q2990" s="135"/>
      <c r="R2990" s="135"/>
      <c r="S2990" s="135"/>
      <c r="T2990" s="135"/>
      <c r="U2990" s="135"/>
      <c r="V2990" s="135"/>
      <c r="W2990" s="135"/>
      <c r="X2990" s="135"/>
      <c r="Y2990" s="135"/>
      <c r="Z2990" s="135"/>
    </row>
    <row r="2991" spans="1:26" ht="12.75">
      <c r="A2991" s="136" t="s">
        <v>10</v>
      </c>
      <c r="B2991" s="136" t="s">
        <v>7833</v>
      </c>
      <c r="C2991" s="136" t="s">
        <v>7834</v>
      </c>
      <c r="D2991" s="136" t="s">
        <v>165</v>
      </c>
      <c r="E2991" s="136" t="s">
        <v>615</v>
      </c>
      <c r="F2991" s="136">
        <v>158</v>
      </c>
      <c r="G2991" s="137">
        <f t="shared" si="11"/>
        <v>5</v>
      </c>
      <c r="H2991" s="137"/>
      <c r="I2991" s="137"/>
      <c r="J2991" s="135"/>
      <c r="K2991" s="135"/>
      <c r="L2991" s="135"/>
      <c r="M2991" s="135"/>
      <c r="N2991" s="135"/>
      <c r="O2991" s="135"/>
      <c r="P2991" s="135"/>
      <c r="Q2991" s="135"/>
      <c r="R2991" s="135"/>
      <c r="S2991" s="135"/>
      <c r="T2991" s="135"/>
      <c r="U2991" s="135"/>
      <c r="V2991" s="135"/>
      <c r="W2991" s="135"/>
      <c r="X2991" s="135"/>
      <c r="Y2991" s="135"/>
      <c r="Z2991" s="135"/>
    </row>
    <row r="2992" spans="1:26" ht="12.75">
      <c r="A2992" s="136" t="s">
        <v>10</v>
      </c>
      <c r="B2992" s="136" t="s">
        <v>7833</v>
      </c>
      <c r="C2992" s="136" t="s">
        <v>7834</v>
      </c>
      <c r="D2992" s="136" t="s">
        <v>7481</v>
      </c>
      <c r="E2992" s="136" t="s">
        <v>7835</v>
      </c>
      <c r="F2992" s="136">
        <v>86</v>
      </c>
      <c r="G2992" s="137">
        <f t="shared" si="11"/>
        <v>6</v>
      </c>
      <c r="H2992" s="137"/>
      <c r="I2992" s="137"/>
      <c r="J2992" s="135"/>
      <c r="K2992" s="135"/>
      <c r="L2992" s="135"/>
      <c r="M2992" s="135"/>
      <c r="N2992" s="135"/>
      <c r="O2992" s="135"/>
      <c r="P2992" s="135"/>
      <c r="Q2992" s="135"/>
      <c r="R2992" s="135"/>
      <c r="S2992" s="135"/>
      <c r="T2992" s="135"/>
      <c r="U2992" s="135"/>
      <c r="V2992" s="135"/>
      <c r="W2992" s="135"/>
      <c r="X2992" s="135"/>
      <c r="Y2992" s="135"/>
      <c r="Z2992" s="135"/>
    </row>
    <row r="2993" spans="1:26" ht="12.75">
      <c r="A2993" s="136" t="s">
        <v>10</v>
      </c>
      <c r="B2993" s="136" t="s">
        <v>7833</v>
      </c>
      <c r="C2993" s="136" t="s">
        <v>7834</v>
      </c>
      <c r="D2993" s="136" t="s">
        <v>368</v>
      </c>
      <c r="E2993" s="136" t="s">
        <v>594</v>
      </c>
      <c r="F2993" s="136">
        <v>71</v>
      </c>
      <c r="G2993" s="137">
        <f t="shared" si="11"/>
        <v>7</v>
      </c>
      <c r="H2993" s="137"/>
      <c r="I2993" s="137"/>
      <c r="J2993" s="135"/>
      <c r="K2993" s="135"/>
      <c r="L2993" s="135"/>
      <c r="M2993" s="135"/>
      <c r="N2993" s="135"/>
      <c r="O2993" s="135"/>
      <c r="P2993" s="135"/>
      <c r="Q2993" s="135"/>
      <c r="R2993" s="135"/>
      <c r="S2993" s="135"/>
      <c r="T2993" s="135"/>
      <c r="U2993" s="135"/>
      <c r="V2993" s="135"/>
      <c r="W2993" s="135"/>
      <c r="X2993" s="135"/>
      <c r="Y2993" s="135"/>
      <c r="Z2993" s="135"/>
    </row>
    <row r="2994" spans="1:26" ht="12.75">
      <c r="A2994" s="136" t="s">
        <v>10</v>
      </c>
      <c r="B2994" s="136" t="s">
        <v>7833</v>
      </c>
      <c r="C2994" s="136" t="s">
        <v>7834</v>
      </c>
      <c r="D2994" s="136" t="s">
        <v>467</v>
      </c>
      <c r="E2994" s="136" t="s">
        <v>85</v>
      </c>
      <c r="F2994" s="136">
        <v>59</v>
      </c>
      <c r="G2994" s="137">
        <f t="shared" si="11"/>
        <v>8</v>
      </c>
      <c r="H2994" s="137"/>
      <c r="I2994" s="137"/>
      <c r="J2994" s="135"/>
      <c r="K2994" s="135"/>
      <c r="L2994" s="135"/>
      <c r="M2994" s="135"/>
      <c r="N2994" s="135"/>
      <c r="O2994" s="135"/>
      <c r="P2994" s="135"/>
      <c r="Q2994" s="135"/>
      <c r="R2994" s="135"/>
      <c r="S2994" s="135"/>
      <c r="T2994" s="135"/>
      <c r="U2994" s="135"/>
      <c r="V2994" s="135"/>
      <c r="W2994" s="135"/>
      <c r="X2994" s="135"/>
      <c r="Y2994" s="135"/>
      <c r="Z2994" s="135"/>
    </row>
    <row r="2995" spans="1:26" ht="12.75">
      <c r="A2995" s="136" t="s">
        <v>10</v>
      </c>
      <c r="B2995" s="136" t="s">
        <v>7833</v>
      </c>
      <c r="C2995" s="136" t="s">
        <v>7834</v>
      </c>
      <c r="D2995" s="136" t="s">
        <v>1626</v>
      </c>
      <c r="E2995" s="136" t="s">
        <v>594</v>
      </c>
      <c r="F2995" s="136">
        <v>57</v>
      </c>
      <c r="G2995" s="137">
        <f t="shared" si="11"/>
        <v>9</v>
      </c>
      <c r="H2995" s="137"/>
      <c r="I2995" s="137"/>
      <c r="J2995" s="135"/>
      <c r="K2995" s="135"/>
      <c r="L2995" s="135"/>
      <c r="M2995" s="135"/>
      <c r="N2995" s="135"/>
      <c r="O2995" s="135"/>
      <c r="P2995" s="135"/>
      <c r="Q2995" s="135"/>
      <c r="R2995" s="135"/>
      <c r="S2995" s="135"/>
      <c r="T2995" s="135"/>
      <c r="U2995" s="135"/>
      <c r="V2995" s="135"/>
      <c r="W2995" s="135"/>
      <c r="X2995" s="135"/>
      <c r="Y2995" s="135"/>
      <c r="Z2995" s="135"/>
    </row>
    <row r="2996" spans="1:26" ht="12.75">
      <c r="A2996" s="136" t="s">
        <v>10</v>
      </c>
      <c r="B2996" s="136" t="s">
        <v>7833</v>
      </c>
      <c r="C2996" s="136" t="s">
        <v>7834</v>
      </c>
      <c r="D2996" s="136" t="s">
        <v>1665</v>
      </c>
      <c r="E2996" s="136" t="s">
        <v>615</v>
      </c>
      <c r="F2996" s="136">
        <v>50</v>
      </c>
      <c r="G2996" s="137">
        <f t="shared" si="11"/>
        <v>10</v>
      </c>
      <c r="H2996" s="137"/>
      <c r="I2996" s="137"/>
      <c r="J2996" s="135"/>
      <c r="K2996" s="135"/>
      <c r="L2996" s="135"/>
      <c r="M2996" s="135"/>
      <c r="N2996" s="135"/>
      <c r="O2996" s="135"/>
      <c r="P2996" s="135"/>
      <c r="Q2996" s="135"/>
      <c r="R2996" s="135"/>
      <c r="S2996" s="135"/>
      <c r="T2996" s="135"/>
      <c r="U2996" s="135"/>
      <c r="V2996" s="135"/>
      <c r="W2996" s="135"/>
      <c r="X2996" s="135"/>
      <c r="Y2996" s="135"/>
      <c r="Z2996" s="135"/>
    </row>
    <row r="2997" spans="1:26" ht="12.75">
      <c r="A2997" s="136" t="s">
        <v>10</v>
      </c>
      <c r="B2997" s="136" t="s">
        <v>7833</v>
      </c>
      <c r="C2997" s="136" t="s">
        <v>7834</v>
      </c>
      <c r="D2997" s="136" t="s">
        <v>7836</v>
      </c>
      <c r="E2997" s="136" t="s">
        <v>615</v>
      </c>
      <c r="F2997" s="136">
        <v>32</v>
      </c>
      <c r="G2997" s="137">
        <f t="shared" si="11"/>
        <v>11</v>
      </c>
      <c r="H2997" s="137"/>
      <c r="I2997" s="137"/>
      <c r="J2997" s="135"/>
      <c r="K2997" s="135"/>
      <c r="L2997" s="135"/>
      <c r="M2997" s="135"/>
      <c r="N2997" s="135"/>
      <c r="O2997" s="135"/>
      <c r="P2997" s="135"/>
      <c r="Q2997" s="135"/>
      <c r="R2997" s="135"/>
      <c r="S2997" s="135"/>
      <c r="T2997" s="135"/>
      <c r="U2997" s="135"/>
      <c r="V2997" s="135"/>
      <c r="W2997" s="135"/>
      <c r="X2997" s="135"/>
      <c r="Y2997" s="135"/>
      <c r="Z2997" s="135"/>
    </row>
    <row r="2998" spans="1:26" ht="12.75">
      <c r="A2998" s="136" t="s">
        <v>10</v>
      </c>
      <c r="B2998" s="136" t="s">
        <v>7833</v>
      </c>
      <c r="C2998" s="136" t="s">
        <v>7834</v>
      </c>
      <c r="D2998" s="136" t="s">
        <v>103</v>
      </c>
      <c r="E2998" s="136" t="s">
        <v>594</v>
      </c>
      <c r="F2998" s="136">
        <v>30</v>
      </c>
      <c r="G2998" s="137">
        <f t="shared" si="11"/>
        <v>12</v>
      </c>
      <c r="H2998" s="137"/>
      <c r="I2998" s="137"/>
      <c r="J2998" s="135"/>
      <c r="K2998" s="135"/>
      <c r="L2998" s="135"/>
      <c r="M2998" s="135"/>
      <c r="N2998" s="135"/>
      <c r="O2998" s="135"/>
      <c r="P2998" s="135"/>
      <c r="Q2998" s="135"/>
      <c r="R2998" s="135"/>
      <c r="S2998" s="135"/>
      <c r="T2998" s="135"/>
      <c r="U2998" s="135"/>
      <c r="V2998" s="135"/>
      <c r="W2998" s="135"/>
      <c r="X2998" s="135"/>
      <c r="Y2998" s="135"/>
      <c r="Z2998" s="135"/>
    </row>
    <row r="2999" spans="1:26" ht="12.75">
      <c r="A2999" s="136" t="s">
        <v>10</v>
      </c>
      <c r="B2999" s="136" t="s">
        <v>7833</v>
      </c>
      <c r="C2999" s="136" t="s">
        <v>7834</v>
      </c>
      <c r="D2999" s="136" t="s">
        <v>7532</v>
      </c>
      <c r="E2999" s="136" t="s">
        <v>615</v>
      </c>
      <c r="F2999" s="136">
        <v>30</v>
      </c>
      <c r="G2999" s="137">
        <f t="shared" si="11"/>
        <v>13</v>
      </c>
      <c r="H2999" s="137"/>
      <c r="I2999" s="137"/>
      <c r="J2999" s="135"/>
      <c r="K2999" s="135"/>
      <c r="L2999" s="135"/>
      <c r="M2999" s="135"/>
      <c r="N2999" s="135"/>
      <c r="O2999" s="135"/>
      <c r="P2999" s="135"/>
      <c r="Q2999" s="135"/>
      <c r="R2999" s="135"/>
      <c r="S2999" s="135"/>
      <c r="T2999" s="135"/>
      <c r="U2999" s="135"/>
      <c r="V2999" s="135"/>
      <c r="W2999" s="135"/>
      <c r="X2999" s="135"/>
      <c r="Y2999" s="135"/>
      <c r="Z2999" s="135"/>
    </row>
    <row r="3000" spans="1:26" ht="12.75">
      <c r="A3000" s="136" t="s">
        <v>10</v>
      </c>
      <c r="B3000" s="136" t="s">
        <v>7833</v>
      </c>
      <c r="C3000" s="136" t="s">
        <v>7834</v>
      </c>
      <c r="D3000" s="136" t="s">
        <v>1656</v>
      </c>
      <c r="E3000" s="136" t="s">
        <v>615</v>
      </c>
      <c r="F3000" s="136">
        <v>24</v>
      </c>
      <c r="G3000" s="137">
        <f t="shared" si="11"/>
        <v>14</v>
      </c>
      <c r="H3000" s="137"/>
      <c r="I3000" s="137"/>
      <c r="J3000" s="135"/>
      <c r="K3000" s="135"/>
      <c r="L3000" s="135"/>
      <c r="M3000" s="135"/>
      <c r="N3000" s="135"/>
      <c r="O3000" s="135"/>
      <c r="P3000" s="135"/>
      <c r="Q3000" s="135"/>
      <c r="R3000" s="135"/>
      <c r="S3000" s="135"/>
      <c r="T3000" s="135"/>
      <c r="U3000" s="135"/>
      <c r="V3000" s="135"/>
      <c r="W3000" s="135"/>
      <c r="X3000" s="135"/>
      <c r="Y3000" s="135"/>
      <c r="Z3000" s="135"/>
    </row>
    <row r="3001" spans="1:26" ht="12.75">
      <c r="A3001" s="136" t="s">
        <v>10</v>
      </c>
      <c r="B3001" s="136" t="s">
        <v>7833</v>
      </c>
      <c r="C3001" s="136" t="s">
        <v>7834</v>
      </c>
      <c r="D3001" s="136" t="s">
        <v>1681</v>
      </c>
      <c r="E3001" s="136" t="s">
        <v>615</v>
      </c>
      <c r="F3001" s="136">
        <v>2</v>
      </c>
      <c r="G3001" s="137">
        <f t="shared" si="11"/>
        <v>15</v>
      </c>
      <c r="H3001" s="137"/>
      <c r="I3001" s="137"/>
      <c r="J3001" s="135"/>
      <c r="K3001" s="135"/>
      <c r="L3001" s="135"/>
      <c r="M3001" s="135"/>
      <c r="N3001" s="135"/>
      <c r="O3001" s="135"/>
      <c r="P3001" s="135"/>
      <c r="Q3001" s="135"/>
      <c r="R3001" s="135"/>
      <c r="S3001" s="135"/>
      <c r="T3001" s="135"/>
      <c r="U3001" s="135"/>
      <c r="V3001" s="135"/>
      <c r="W3001" s="135"/>
      <c r="X3001" s="135"/>
      <c r="Y3001" s="135"/>
      <c r="Z3001" s="135"/>
    </row>
    <row r="3002" spans="1:26" ht="12.75">
      <c r="A3002" s="136" t="s">
        <v>10</v>
      </c>
      <c r="B3002" s="136" t="s">
        <v>7833</v>
      </c>
      <c r="C3002" s="136" t="s">
        <v>7837</v>
      </c>
      <c r="D3002" s="136" t="s">
        <v>139</v>
      </c>
      <c r="E3002" s="136" t="s">
        <v>594</v>
      </c>
      <c r="F3002" s="136">
        <v>1307</v>
      </c>
      <c r="G3002" s="137">
        <f t="shared" si="11"/>
        <v>1</v>
      </c>
      <c r="H3002" s="137"/>
      <c r="I3002" s="137"/>
      <c r="J3002" s="135"/>
      <c r="K3002" s="135"/>
      <c r="L3002" s="135"/>
      <c r="M3002" s="135"/>
      <c r="N3002" s="135"/>
      <c r="O3002" s="135"/>
      <c r="P3002" s="135"/>
      <c r="Q3002" s="135"/>
      <c r="R3002" s="135"/>
      <c r="S3002" s="135"/>
      <c r="T3002" s="135"/>
      <c r="U3002" s="135"/>
      <c r="V3002" s="135"/>
      <c r="W3002" s="135"/>
      <c r="X3002" s="135"/>
      <c r="Y3002" s="135"/>
      <c r="Z3002" s="135"/>
    </row>
    <row r="3003" spans="1:26" ht="12.75">
      <c r="A3003" s="136" t="s">
        <v>10</v>
      </c>
      <c r="B3003" s="136" t="s">
        <v>7833</v>
      </c>
      <c r="C3003" s="136" t="s">
        <v>7837</v>
      </c>
      <c r="D3003" s="136" t="s">
        <v>114</v>
      </c>
      <c r="E3003" s="136" t="s">
        <v>85</v>
      </c>
      <c r="F3003" s="136">
        <v>421</v>
      </c>
      <c r="G3003" s="137">
        <f t="shared" si="11"/>
        <v>2</v>
      </c>
      <c r="H3003" s="137"/>
      <c r="I3003" s="137"/>
      <c r="J3003" s="135"/>
      <c r="K3003" s="135"/>
      <c r="L3003" s="135"/>
      <c r="M3003" s="135"/>
      <c r="N3003" s="135"/>
      <c r="O3003" s="135"/>
      <c r="P3003" s="135"/>
      <c r="Q3003" s="135"/>
      <c r="R3003" s="135"/>
      <c r="S3003" s="135"/>
      <c r="T3003" s="135"/>
      <c r="U3003" s="135"/>
      <c r="V3003" s="135"/>
      <c r="W3003" s="135"/>
      <c r="X3003" s="135"/>
      <c r="Y3003" s="135"/>
      <c r="Z3003" s="135"/>
    </row>
    <row r="3004" spans="1:26" ht="12.75">
      <c r="A3004" s="136" t="s">
        <v>10</v>
      </c>
      <c r="B3004" s="136" t="s">
        <v>7833</v>
      </c>
      <c r="C3004" s="136" t="s">
        <v>7837</v>
      </c>
      <c r="D3004" s="136" t="s">
        <v>1669</v>
      </c>
      <c r="E3004" s="136" t="s">
        <v>615</v>
      </c>
      <c r="F3004" s="136">
        <v>255</v>
      </c>
      <c r="G3004" s="137">
        <f t="shared" si="11"/>
        <v>3</v>
      </c>
      <c r="H3004" s="137"/>
      <c r="I3004" s="137"/>
      <c r="J3004" s="135"/>
      <c r="K3004" s="135"/>
      <c r="L3004" s="135"/>
      <c r="M3004" s="135"/>
      <c r="N3004" s="135"/>
      <c r="O3004" s="135"/>
      <c r="P3004" s="135"/>
      <c r="Q3004" s="135"/>
      <c r="R3004" s="135"/>
      <c r="S3004" s="135"/>
      <c r="T3004" s="135"/>
      <c r="U3004" s="135"/>
      <c r="V3004" s="135"/>
      <c r="W3004" s="135"/>
      <c r="X3004" s="135"/>
      <c r="Y3004" s="135"/>
      <c r="Z3004" s="135"/>
    </row>
    <row r="3005" spans="1:26" ht="12.75">
      <c r="A3005" s="136" t="s">
        <v>10</v>
      </c>
      <c r="B3005" s="136" t="s">
        <v>7833</v>
      </c>
      <c r="C3005" s="136" t="s">
        <v>7837</v>
      </c>
      <c r="D3005" s="136" t="s">
        <v>131</v>
      </c>
      <c r="E3005" s="136" t="s">
        <v>594</v>
      </c>
      <c r="F3005" s="136">
        <v>195</v>
      </c>
      <c r="G3005" s="137">
        <f t="shared" si="11"/>
        <v>4</v>
      </c>
      <c r="H3005" s="137"/>
      <c r="I3005" s="137"/>
      <c r="J3005" s="135"/>
      <c r="K3005" s="135"/>
      <c r="L3005" s="135"/>
      <c r="M3005" s="135"/>
      <c r="N3005" s="135"/>
      <c r="O3005" s="135"/>
      <c r="P3005" s="135"/>
      <c r="Q3005" s="135"/>
      <c r="R3005" s="135"/>
      <c r="S3005" s="135"/>
      <c r="T3005" s="135"/>
      <c r="U3005" s="135"/>
      <c r="V3005" s="135"/>
      <c r="W3005" s="135"/>
      <c r="X3005" s="135"/>
      <c r="Y3005" s="135"/>
      <c r="Z3005" s="135"/>
    </row>
    <row r="3006" spans="1:26" ht="12.75">
      <c r="A3006" s="136" t="s">
        <v>10</v>
      </c>
      <c r="B3006" s="136" t="s">
        <v>7833</v>
      </c>
      <c r="C3006" s="136" t="s">
        <v>7837</v>
      </c>
      <c r="D3006" s="136" t="s">
        <v>136</v>
      </c>
      <c r="E3006" s="136" t="s">
        <v>615</v>
      </c>
      <c r="F3006" s="136">
        <v>127</v>
      </c>
      <c r="G3006" s="137">
        <f t="shared" si="11"/>
        <v>5</v>
      </c>
      <c r="H3006" s="137"/>
      <c r="I3006" s="137"/>
      <c r="J3006" s="135"/>
      <c r="K3006" s="135"/>
      <c r="L3006" s="135"/>
      <c r="M3006" s="135"/>
      <c r="N3006" s="135"/>
      <c r="O3006" s="135"/>
      <c r="P3006" s="135"/>
      <c r="Q3006" s="135"/>
      <c r="R3006" s="135"/>
      <c r="S3006" s="135"/>
      <c r="T3006" s="135"/>
      <c r="U3006" s="135"/>
      <c r="V3006" s="135"/>
      <c r="W3006" s="135"/>
      <c r="X3006" s="135"/>
      <c r="Y3006" s="135"/>
      <c r="Z3006" s="135"/>
    </row>
    <row r="3007" spans="1:26" ht="12.75">
      <c r="A3007" s="136" t="s">
        <v>10</v>
      </c>
      <c r="B3007" s="136" t="s">
        <v>7833</v>
      </c>
      <c r="C3007" s="136" t="s">
        <v>7837</v>
      </c>
      <c r="D3007" s="136" t="s">
        <v>368</v>
      </c>
      <c r="E3007" s="136" t="s">
        <v>594</v>
      </c>
      <c r="F3007" s="136">
        <v>107</v>
      </c>
      <c r="G3007" s="137">
        <f t="shared" si="11"/>
        <v>6</v>
      </c>
      <c r="H3007" s="137"/>
      <c r="I3007" s="137"/>
      <c r="J3007" s="135"/>
      <c r="K3007" s="135"/>
      <c r="L3007" s="135"/>
      <c r="M3007" s="135"/>
      <c r="N3007" s="135"/>
      <c r="O3007" s="135"/>
      <c r="P3007" s="135"/>
      <c r="Q3007" s="135"/>
      <c r="R3007" s="135"/>
      <c r="S3007" s="135"/>
      <c r="T3007" s="135"/>
      <c r="U3007" s="135"/>
      <c r="V3007" s="135"/>
      <c r="W3007" s="135"/>
      <c r="X3007" s="135"/>
      <c r="Y3007" s="135"/>
      <c r="Z3007" s="135"/>
    </row>
    <row r="3008" spans="1:26" ht="12.75">
      <c r="A3008" s="136" t="s">
        <v>10</v>
      </c>
      <c r="B3008" s="136" t="s">
        <v>7833</v>
      </c>
      <c r="C3008" s="136" t="s">
        <v>7837</v>
      </c>
      <c r="D3008" s="136" t="s">
        <v>165</v>
      </c>
      <c r="E3008" s="136" t="s">
        <v>615</v>
      </c>
      <c r="F3008" s="136">
        <v>94</v>
      </c>
      <c r="G3008" s="137">
        <f t="shared" si="11"/>
        <v>7</v>
      </c>
      <c r="H3008" s="137"/>
      <c r="I3008" s="137"/>
      <c r="J3008" s="135"/>
      <c r="K3008" s="135"/>
      <c r="L3008" s="135"/>
      <c r="M3008" s="135"/>
      <c r="N3008" s="135"/>
      <c r="O3008" s="135"/>
      <c r="P3008" s="135"/>
      <c r="Q3008" s="135"/>
      <c r="R3008" s="135"/>
      <c r="S3008" s="135"/>
      <c r="T3008" s="135"/>
      <c r="U3008" s="135"/>
      <c r="V3008" s="135"/>
      <c r="W3008" s="135"/>
      <c r="X3008" s="135"/>
      <c r="Y3008" s="135"/>
      <c r="Z3008" s="135"/>
    </row>
    <row r="3009" spans="1:26" ht="12.75">
      <c r="A3009" s="136" t="s">
        <v>10</v>
      </c>
      <c r="B3009" s="136" t="s">
        <v>7833</v>
      </c>
      <c r="C3009" s="136" t="s">
        <v>7837</v>
      </c>
      <c r="D3009" s="136" t="s">
        <v>467</v>
      </c>
      <c r="E3009" s="136" t="s">
        <v>85</v>
      </c>
      <c r="F3009" s="136">
        <v>85</v>
      </c>
      <c r="G3009" s="137">
        <f t="shared" si="11"/>
        <v>8</v>
      </c>
      <c r="H3009" s="137"/>
      <c r="I3009" s="137"/>
      <c r="J3009" s="135"/>
      <c r="K3009" s="135"/>
      <c r="L3009" s="135"/>
      <c r="M3009" s="135"/>
      <c r="N3009" s="135"/>
      <c r="O3009" s="135"/>
      <c r="P3009" s="135"/>
      <c r="Q3009" s="135"/>
      <c r="R3009" s="135"/>
      <c r="S3009" s="135"/>
      <c r="T3009" s="135"/>
      <c r="U3009" s="135"/>
      <c r="V3009" s="135"/>
      <c r="W3009" s="135"/>
      <c r="X3009" s="135"/>
      <c r="Y3009" s="135"/>
      <c r="Z3009" s="135"/>
    </row>
    <row r="3010" spans="1:26" ht="12.75">
      <c r="A3010" s="136" t="s">
        <v>10</v>
      </c>
      <c r="B3010" s="136" t="s">
        <v>7833</v>
      </c>
      <c r="C3010" s="136" t="s">
        <v>7837</v>
      </c>
      <c r="D3010" s="136" t="s">
        <v>213</v>
      </c>
      <c r="E3010" s="136" t="s">
        <v>615</v>
      </c>
      <c r="F3010" s="136">
        <v>65</v>
      </c>
      <c r="G3010" s="137">
        <f t="shared" si="11"/>
        <v>9</v>
      </c>
      <c r="H3010" s="137"/>
      <c r="I3010" s="137"/>
      <c r="J3010" s="135"/>
      <c r="K3010" s="135"/>
      <c r="L3010" s="135"/>
      <c r="M3010" s="135"/>
      <c r="N3010" s="135"/>
      <c r="O3010" s="135"/>
      <c r="P3010" s="135"/>
      <c r="Q3010" s="135"/>
      <c r="R3010" s="135"/>
      <c r="S3010" s="135"/>
      <c r="T3010" s="135"/>
      <c r="U3010" s="135"/>
      <c r="V3010" s="135"/>
      <c r="W3010" s="135"/>
      <c r="X3010" s="135"/>
      <c r="Y3010" s="135"/>
      <c r="Z3010" s="135"/>
    </row>
    <row r="3011" spans="1:26" ht="12.75">
      <c r="A3011" s="136" t="s">
        <v>10</v>
      </c>
      <c r="B3011" s="136" t="s">
        <v>7833</v>
      </c>
      <c r="C3011" s="136" t="s">
        <v>7837</v>
      </c>
      <c r="D3011" s="136" t="s">
        <v>1626</v>
      </c>
      <c r="E3011" s="136" t="s">
        <v>594</v>
      </c>
      <c r="F3011" s="136">
        <v>54</v>
      </c>
      <c r="G3011" s="137">
        <f t="shared" si="11"/>
        <v>10</v>
      </c>
      <c r="H3011" s="137"/>
      <c r="I3011" s="137"/>
      <c r="J3011" s="135"/>
      <c r="K3011" s="135"/>
      <c r="L3011" s="135"/>
      <c r="M3011" s="135"/>
      <c r="N3011" s="135"/>
      <c r="O3011" s="135"/>
      <c r="P3011" s="135"/>
      <c r="Q3011" s="135"/>
      <c r="R3011" s="135"/>
      <c r="S3011" s="135"/>
      <c r="T3011" s="135"/>
      <c r="U3011" s="135"/>
      <c r="V3011" s="135"/>
      <c r="W3011" s="135"/>
      <c r="X3011" s="135"/>
      <c r="Y3011" s="135"/>
      <c r="Z3011" s="135"/>
    </row>
    <row r="3012" spans="1:26" ht="12.75">
      <c r="A3012" s="136" t="s">
        <v>10</v>
      </c>
      <c r="B3012" s="136" t="s">
        <v>7833</v>
      </c>
      <c r="C3012" s="136" t="s">
        <v>7837</v>
      </c>
      <c r="D3012" s="136" t="s">
        <v>1665</v>
      </c>
      <c r="E3012" s="136" t="s">
        <v>615</v>
      </c>
      <c r="F3012" s="136">
        <v>32</v>
      </c>
      <c r="G3012" s="137">
        <f t="shared" si="11"/>
        <v>11</v>
      </c>
      <c r="H3012" s="137"/>
      <c r="I3012" s="137"/>
      <c r="J3012" s="135"/>
      <c r="K3012" s="135"/>
      <c r="L3012" s="135"/>
      <c r="M3012" s="135"/>
      <c r="N3012" s="135"/>
      <c r="O3012" s="135"/>
      <c r="P3012" s="135"/>
      <c r="Q3012" s="135"/>
      <c r="R3012" s="135"/>
      <c r="S3012" s="135"/>
      <c r="T3012" s="135"/>
      <c r="U3012" s="135"/>
      <c r="V3012" s="135"/>
      <c r="W3012" s="135"/>
      <c r="X3012" s="135"/>
      <c r="Y3012" s="135"/>
      <c r="Z3012" s="135"/>
    </row>
    <row r="3013" spans="1:26" ht="12.75">
      <c r="A3013" s="136" t="s">
        <v>10</v>
      </c>
      <c r="B3013" s="136" t="s">
        <v>7833</v>
      </c>
      <c r="C3013" s="136" t="s">
        <v>7837</v>
      </c>
      <c r="D3013" s="136" t="s">
        <v>7836</v>
      </c>
      <c r="E3013" s="136" t="s">
        <v>615</v>
      </c>
      <c r="F3013" s="136">
        <v>17</v>
      </c>
      <c r="G3013" s="137">
        <f t="shared" si="11"/>
        <v>12</v>
      </c>
      <c r="H3013" s="137"/>
      <c r="I3013" s="137"/>
      <c r="J3013" s="135"/>
      <c r="K3013" s="135"/>
      <c r="L3013" s="135"/>
      <c r="M3013" s="135"/>
      <c r="N3013" s="135"/>
      <c r="O3013" s="135"/>
      <c r="P3013" s="135"/>
      <c r="Q3013" s="135"/>
      <c r="R3013" s="135"/>
      <c r="S3013" s="135"/>
      <c r="T3013" s="135"/>
      <c r="U3013" s="135"/>
      <c r="V3013" s="135"/>
      <c r="W3013" s="135"/>
      <c r="X3013" s="135"/>
      <c r="Y3013" s="135"/>
      <c r="Z3013" s="135"/>
    </row>
    <row r="3014" spans="1:26" ht="12.75">
      <c r="A3014" s="136" t="s">
        <v>10</v>
      </c>
      <c r="B3014" s="136" t="s">
        <v>7833</v>
      </c>
      <c r="C3014" s="136" t="s">
        <v>7837</v>
      </c>
      <c r="D3014" s="136" t="s">
        <v>7532</v>
      </c>
      <c r="E3014" s="136" t="s">
        <v>615</v>
      </c>
      <c r="F3014" s="136">
        <v>12</v>
      </c>
      <c r="G3014" s="137">
        <f t="shared" si="11"/>
        <v>13</v>
      </c>
      <c r="H3014" s="137"/>
      <c r="I3014" s="137"/>
      <c r="J3014" s="135"/>
      <c r="K3014" s="135"/>
      <c r="L3014" s="135"/>
      <c r="M3014" s="135"/>
      <c r="N3014" s="135"/>
      <c r="O3014" s="135"/>
      <c r="P3014" s="135"/>
      <c r="Q3014" s="135"/>
      <c r="R3014" s="135"/>
      <c r="S3014" s="135"/>
      <c r="T3014" s="135"/>
      <c r="U3014" s="135"/>
      <c r="V3014" s="135"/>
      <c r="W3014" s="135"/>
      <c r="X3014" s="135"/>
      <c r="Y3014" s="135"/>
      <c r="Z3014" s="135"/>
    </row>
    <row r="3015" spans="1:26" ht="12.75">
      <c r="A3015" s="136" t="s">
        <v>10</v>
      </c>
      <c r="B3015" s="136" t="s">
        <v>7833</v>
      </c>
      <c r="C3015" s="136" t="s">
        <v>7837</v>
      </c>
      <c r="D3015" s="136" t="s">
        <v>7481</v>
      </c>
      <c r="E3015" s="136" t="s">
        <v>615</v>
      </c>
      <c r="F3015" s="136">
        <v>10</v>
      </c>
      <c r="G3015" s="137">
        <f t="shared" si="11"/>
        <v>14</v>
      </c>
      <c r="H3015" s="137"/>
      <c r="I3015" s="137"/>
      <c r="J3015" s="135"/>
      <c r="K3015" s="135"/>
      <c r="L3015" s="135"/>
      <c r="M3015" s="135"/>
      <c r="N3015" s="135"/>
      <c r="O3015" s="135"/>
      <c r="P3015" s="135"/>
      <c r="Q3015" s="135"/>
      <c r="R3015" s="135"/>
      <c r="S3015" s="135"/>
      <c r="T3015" s="135"/>
      <c r="U3015" s="135"/>
      <c r="V3015" s="135"/>
      <c r="W3015" s="135"/>
      <c r="X3015" s="135"/>
      <c r="Y3015" s="135"/>
      <c r="Z3015" s="135"/>
    </row>
    <row r="3016" spans="1:26" ht="12.75">
      <c r="A3016" s="136" t="s">
        <v>10</v>
      </c>
      <c r="B3016" s="136" t="s">
        <v>7833</v>
      </c>
      <c r="C3016" s="136" t="s">
        <v>7837</v>
      </c>
      <c r="D3016" s="136" t="s">
        <v>7838</v>
      </c>
      <c r="E3016" s="136" t="s">
        <v>86</v>
      </c>
      <c r="F3016" s="136">
        <v>7</v>
      </c>
      <c r="G3016" s="137">
        <f t="shared" si="11"/>
        <v>15</v>
      </c>
      <c r="H3016" s="137"/>
      <c r="I3016" s="137"/>
      <c r="J3016" s="135"/>
      <c r="K3016" s="135"/>
      <c r="L3016" s="135"/>
      <c r="M3016" s="135"/>
      <c r="N3016" s="135"/>
      <c r="O3016" s="135"/>
      <c r="P3016" s="135"/>
      <c r="Q3016" s="135"/>
      <c r="R3016" s="135"/>
      <c r="S3016" s="135"/>
      <c r="T3016" s="135"/>
      <c r="U3016" s="135"/>
      <c r="V3016" s="135"/>
      <c r="W3016" s="135"/>
      <c r="X3016" s="135"/>
      <c r="Y3016" s="135"/>
      <c r="Z3016" s="135"/>
    </row>
    <row r="3017" spans="1:26" ht="12.75">
      <c r="A3017" s="136" t="s">
        <v>10</v>
      </c>
      <c r="B3017" s="136" t="s">
        <v>7833</v>
      </c>
      <c r="C3017" s="136" t="s">
        <v>7839</v>
      </c>
      <c r="D3017" s="136" t="s">
        <v>139</v>
      </c>
      <c r="E3017" s="136" t="s">
        <v>594</v>
      </c>
      <c r="F3017" s="136">
        <v>816</v>
      </c>
      <c r="G3017" s="137">
        <f t="shared" si="11"/>
        <v>1</v>
      </c>
      <c r="H3017" s="137"/>
      <c r="I3017" s="137"/>
      <c r="J3017" s="135"/>
      <c r="K3017" s="135"/>
      <c r="L3017" s="135"/>
      <c r="M3017" s="135"/>
      <c r="N3017" s="135"/>
      <c r="O3017" s="135"/>
      <c r="P3017" s="135"/>
      <c r="Q3017" s="135"/>
      <c r="R3017" s="135"/>
      <c r="S3017" s="135"/>
      <c r="T3017" s="135"/>
      <c r="U3017" s="135"/>
      <c r="V3017" s="135"/>
      <c r="W3017" s="135"/>
      <c r="X3017" s="135"/>
      <c r="Y3017" s="135"/>
      <c r="Z3017" s="135"/>
    </row>
    <row r="3018" spans="1:26" ht="12.75">
      <c r="A3018" s="136" t="s">
        <v>10</v>
      </c>
      <c r="B3018" s="136" t="s">
        <v>7833</v>
      </c>
      <c r="C3018" s="136" t="s">
        <v>7839</v>
      </c>
      <c r="D3018" s="136" t="s">
        <v>114</v>
      </c>
      <c r="E3018" s="136" t="s">
        <v>85</v>
      </c>
      <c r="F3018" s="136">
        <v>614</v>
      </c>
      <c r="G3018" s="137">
        <f t="shared" si="11"/>
        <v>2</v>
      </c>
      <c r="H3018" s="137"/>
      <c r="I3018" s="137"/>
      <c r="J3018" s="135"/>
      <c r="K3018" s="135"/>
      <c r="L3018" s="135"/>
      <c r="M3018" s="135"/>
      <c r="N3018" s="135"/>
      <c r="O3018" s="135"/>
      <c r="P3018" s="135"/>
      <c r="Q3018" s="135"/>
      <c r="R3018" s="135"/>
      <c r="S3018" s="135"/>
      <c r="T3018" s="135"/>
      <c r="U3018" s="135"/>
      <c r="V3018" s="135"/>
      <c r="W3018" s="135"/>
      <c r="X3018" s="135"/>
      <c r="Y3018" s="135"/>
      <c r="Z3018" s="135"/>
    </row>
    <row r="3019" spans="1:26" ht="12.75">
      <c r="A3019" s="136" t="s">
        <v>10</v>
      </c>
      <c r="B3019" s="136" t="s">
        <v>7833</v>
      </c>
      <c r="C3019" s="136" t="s">
        <v>7839</v>
      </c>
      <c r="D3019" s="136" t="s">
        <v>467</v>
      </c>
      <c r="E3019" s="136" t="s">
        <v>85</v>
      </c>
      <c r="F3019" s="136">
        <v>217</v>
      </c>
      <c r="G3019" s="137">
        <f t="shared" si="11"/>
        <v>3</v>
      </c>
      <c r="H3019" s="137"/>
      <c r="I3019" s="137"/>
      <c r="J3019" s="135"/>
      <c r="K3019" s="135"/>
      <c r="L3019" s="135"/>
      <c r="M3019" s="135"/>
      <c r="N3019" s="135"/>
      <c r="O3019" s="135"/>
      <c r="P3019" s="135"/>
      <c r="Q3019" s="135"/>
      <c r="R3019" s="135"/>
      <c r="S3019" s="135"/>
      <c r="T3019" s="135"/>
      <c r="U3019" s="135"/>
      <c r="V3019" s="135"/>
      <c r="W3019" s="135"/>
      <c r="X3019" s="135"/>
      <c r="Y3019" s="135"/>
      <c r="Z3019" s="135"/>
    </row>
    <row r="3020" spans="1:26" ht="12.75">
      <c r="A3020" s="136" t="s">
        <v>10</v>
      </c>
      <c r="B3020" s="136" t="s">
        <v>7833</v>
      </c>
      <c r="C3020" s="136" t="s">
        <v>7839</v>
      </c>
      <c r="D3020" s="136" t="s">
        <v>368</v>
      </c>
      <c r="E3020" s="136" t="s">
        <v>594</v>
      </c>
      <c r="F3020" s="136">
        <v>63</v>
      </c>
      <c r="G3020" s="137">
        <f t="shared" si="11"/>
        <v>4</v>
      </c>
      <c r="H3020" s="137"/>
      <c r="I3020" s="137"/>
      <c r="J3020" s="135"/>
      <c r="K3020" s="135"/>
      <c r="L3020" s="135"/>
      <c r="M3020" s="135"/>
      <c r="N3020" s="135"/>
      <c r="O3020" s="135"/>
      <c r="P3020" s="135"/>
      <c r="Q3020" s="135"/>
      <c r="R3020" s="135"/>
      <c r="S3020" s="135"/>
      <c r="T3020" s="135"/>
      <c r="U3020" s="135"/>
      <c r="V3020" s="135"/>
      <c r="W3020" s="135"/>
      <c r="X3020" s="135"/>
      <c r="Y3020" s="135"/>
      <c r="Z3020" s="135"/>
    </row>
    <row r="3021" spans="1:26" ht="12.75">
      <c r="A3021" s="136" t="s">
        <v>10</v>
      </c>
      <c r="B3021" s="136" t="s">
        <v>7833</v>
      </c>
      <c r="C3021" s="136" t="s">
        <v>7839</v>
      </c>
      <c r="D3021" s="136" t="s">
        <v>213</v>
      </c>
      <c r="E3021" s="136" t="s">
        <v>615</v>
      </c>
      <c r="F3021" s="136">
        <v>52</v>
      </c>
      <c r="G3021" s="137">
        <f t="shared" si="11"/>
        <v>5</v>
      </c>
      <c r="H3021" s="137"/>
      <c r="I3021" s="137"/>
      <c r="J3021" s="135"/>
      <c r="K3021" s="135"/>
      <c r="L3021" s="135"/>
      <c r="M3021" s="135"/>
      <c r="N3021" s="135"/>
      <c r="O3021" s="135"/>
      <c r="P3021" s="135"/>
      <c r="Q3021" s="135"/>
      <c r="R3021" s="135"/>
      <c r="S3021" s="135"/>
      <c r="T3021" s="135"/>
      <c r="U3021" s="135"/>
      <c r="V3021" s="135"/>
      <c r="W3021" s="135"/>
      <c r="X3021" s="135"/>
      <c r="Y3021" s="135"/>
      <c r="Z3021" s="135"/>
    </row>
    <row r="3022" spans="1:26" ht="12.75">
      <c r="A3022" s="136" t="s">
        <v>10</v>
      </c>
      <c r="B3022" s="136" t="s">
        <v>7833</v>
      </c>
      <c r="C3022" s="136" t="s">
        <v>7839</v>
      </c>
      <c r="D3022" s="136" t="s">
        <v>136</v>
      </c>
      <c r="E3022" s="136" t="s">
        <v>615</v>
      </c>
      <c r="F3022" s="136">
        <v>48</v>
      </c>
      <c r="G3022" s="137">
        <f t="shared" si="11"/>
        <v>6</v>
      </c>
      <c r="H3022" s="137"/>
      <c r="I3022" s="137"/>
      <c r="J3022" s="135"/>
      <c r="K3022" s="135"/>
      <c r="L3022" s="135"/>
      <c r="M3022" s="135"/>
      <c r="N3022" s="135"/>
      <c r="O3022" s="135"/>
      <c r="P3022" s="135"/>
      <c r="Q3022" s="135"/>
      <c r="R3022" s="135"/>
      <c r="S3022" s="135"/>
      <c r="T3022" s="135"/>
      <c r="U3022" s="135"/>
      <c r="V3022" s="135"/>
      <c r="W3022" s="135"/>
      <c r="X3022" s="135"/>
      <c r="Y3022" s="135"/>
      <c r="Z3022" s="135"/>
    </row>
    <row r="3023" spans="1:26" ht="12.75">
      <c r="A3023" s="136" t="s">
        <v>10</v>
      </c>
      <c r="B3023" s="136" t="s">
        <v>7833</v>
      </c>
      <c r="C3023" s="136" t="s">
        <v>7839</v>
      </c>
      <c r="D3023" s="136" t="s">
        <v>131</v>
      </c>
      <c r="E3023" s="136" t="s">
        <v>594</v>
      </c>
      <c r="F3023" s="136">
        <v>47</v>
      </c>
      <c r="G3023" s="137">
        <f t="shared" si="11"/>
        <v>7</v>
      </c>
      <c r="H3023" s="137"/>
      <c r="I3023" s="137"/>
      <c r="J3023" s="135"/>
      <c r="K3023" s="135"/>
      <c r="L3023" s="135"/>
      <c r="M3023" s="135"/>
      <c r="N3023" s="135"/>
      <c r="O3023" s="135"/>
      <c r="P3023" s="135"/>
      <c r="Q3023" s="135"/>
      <c r="R3023" s="135"/>
      <c r="S3023" s="135"/>
      <c r="T3023" s="135"/>
      <c r="U3023" s="135"/>
      <c r="V3023" s="135"/>
      <c r="W3023" s="135"/>
      <c r="X3023" s="135"/>
      <c r="Y3023" s="135"/>
      <c r="Z3023" s="135"/>
    </row>
    <row r="3024" spans="1:26" ht="12.75">
      <c r="A3024" s="136" t="s">
        <v>10</v>
      </c>
      <c r="B3024" s="136" t="s">
        <v>7833</v>
      </c>
      <c r="C3024" s="136" t="s">
        <v>7839</v>
      </c>
      <c r="D3024" s="136" t="s">
        <v>1669</v>
      </c>
      <c r="E3024" s="136" t="s">
        <v>615</v>
      </c>
      <c r="F3024" s="136">
        <v>44</v>
      </c>
      <c r="G3024" s="137">
        <f t="shared" si="11"/>
        <v>8</v>
      </c>
      <c r="H3024" s="137"/>
      <c r="I3024" s="137"/>
      <c r="J3024" s="135"/>
      <c r="K3024" s="135"/>
      <c r="L3024" s="135"/>
      <c r="M3024" s="135"/>
      <c r="N3024" s="135"/>
      <c r="O3024" s="135"/>
      <c r="P3024" s="135"/>
      <c r="Q3024" s="135"/>
      <c r="R3024" s="135"/>
      <c r="S3024" s="135"/>
      <c r="T3024" s="135"/>
      <c r="U3024" s="135"/>
      <c r="V3024" s="135"/>
      <c r="W3024" s="135"/>
      <c r="X3024" s="135"/>
      <c r="Y3024" s="135"/>
      <c r="Z3024" s="135"/>
    </row>
    <row r="3025" spans="1:26" ht="12.75">
      <c r="A3025" s="136" t="s">
        <v>10</v>
      </c>
      <c r="B3025" s="136" t="s">
        <v>7833</v>
      </c>
      <c r="C3025" s="136" t="s">
        <v>7839</v>
      </c>
      <c r="D3025" s="136" t="s">
        <v>1626</v>
      </c>
      <c r="E3025" s="136" t="s">
        <v>594</v>
      </c>
      <c r="F3025" s="136">
        <v>34</v>
      </c>
      <c r="G3025" s="137">
        <f t="shared" si="11"/>
        <v>9</v>
      </c>
      <c r="H3025" s="137"/>
      <c r="I3025" s="137"/>
      <c r="J3025" s="135"/>
      <c r="K3025" s="135"/>
      <c r="L3025" s="135"/>
      <c r="M3025" s="135"/>
      <c r="N3025" s="135"/>
      <c r="O3025" s="135"/>
      <c r="P3025" s="135"/>
      <c r="Q3025" s="135"/>
      <c r="R3025" s="135"/>
      <c r="S3025" s="135"/>
      <c r="T3025" s="135"/>
      <c r="U3025" s="135"/>
      <c r="V3025" s="135"/>
      <c r="W3025" s="135"/>
      <c r="X3025" s="135"/>
      <c r="Y3025" s="135"/>
      <c r="Z3025" s="135"/>
    </row>
    <row r="3026" spans="1:26" ht="12.75">
      <c r="A3026" s="136" t="s">
        <v>10</v>
      </c>
      <c r="B3026" s="136" t="s">
        <v>7833</v>
      </c>
      <c r="C3026" s="136" t="s">
        <v>7839</v>
      </c>
      <c r="D3026" s="136" t="s">
        <v>103</v>
      </c>
      <c r="E3026" s="136" t="s">
        <v>594</v>
      </c>
      <c r="F3026" s="136">
        <v>32</v>
      </c>
      <c r="G3026" s="137">
        <f t="shared" si="11"/>
        <v>10</v>
      </c>
      <c r="H3026" s="137"/>
      <c r="I3026" s="137"/>
      <c r="J3026" s="135"/>
      <c r="K3026" s="135"/>
      <c r="L3026" s="135"/>
      <c r="M3026" s="135"/>
      <c r="N3026" s="135"/>
      <c r="O3026" s="135"/>
      <c r="P3026" s="135"/>
      <c r="Q3026" s="135"/>
      <c r="R3026" s="135"/>
      <c r="S3026" s="135"/>
      <c r="T3026" s="135"/>
      <c r="U3026" s="135"/>
      <c r="V3026" s="135"/>
      <c r="W3026" s="135"/>
      <c r="X3026" s="135"/>
      <c r="Y3026" s="135"/>
      <c r="Z3026" s="135"/>
    </row>
    <row r="3027" spans="1:26" ht="12.75">
      <c r="A3027" s="136" t="s">
        <v>10</v>
      </c>
      <c r="B3027" s="136" t="s">
        <v>7833</v>
      </c>
      <c r="C3027" s="136" t="s">
        <v>7839</v>
      </c>
      <c r="D3027" s="136" t="s">
        <v>7532</v>
      </c>
      <c r="E3027" s="136" t="s">
        <v>615</v>
      </c>
      <c r="F3027" s="136">
        <v>18</v>
      </c>
      <c r="G3027" s="137">
        <f t="shared" si="11"/>
        <v>11</v>
      </c>
      <c r="H3027" s="137"/>
      <c r="I3027" s="137"/>
      <c r="J3027" s="135"/>
      <c r="K3027" s="135"/>
      <c r="L3027" s="135"/>
      <c r="M3027" s="135"/>
      <c r="N3027" s="135"/>
      <c r="O3027" s="135"/>
      <c r="P3027" s="135"/>
      <c r="Q3027" s="135"/>
      <c r="R3027" s="135"/>
      <c r="S3027" s="135"/>
      <c r="T3027" s="135"/>
      <c r="U3027" s="135"/>
      <c r="V3027" s="135"/>
      <c r="W3027" s="135"/>
      <c r="X3027" s="135"/>
      <c r="Y3027" s="135"/>
      <c r="Z3027" s="135"/>
    </row>
    <row r="3028" spans="1:26" ht="12.75">
      <c r="A3028" s="136" t="s">
        <v>10</v>
      </c>
      <c r="B3028" s="136" t="s">
        <v>7833</v>
      </c>
      <c r="C3028" s="136" t="s">
        <v>7839</v>
      </c>
      <c r="D3028" s="136" t="s">
        <v>1665</v>
      </c>
      <c r="E3028" s="136" t="s">
        <v>615</v>
      </c>
      <c r="F3028" s="136">
        <v>17</v>
      </c>
      <c r="G3028" s="137">
        <f t="shared" si="11"/>
        <v>12</v>
      </c>
      <c r="H3028" s="137"/>
      <c r="I3028" s="137"/>
      <c r="J3028" s="135"/>
      <c r="K3028" s="135"/>
      <c r="L3028" s="135"/>
      <c r="M3028" s="135"/>
      <c r="N3028" s="135"/>
      <c r="O3028" s="135"/>
      <c r="P3028" s="135"/>
      <c r="Q3028" s="135"/>
      <c r="R3028" s="135"/>
      <c r="S3028" s="135"/>
      <c r="T3028" s="135"/>
      <c r="U3028" s="135"/>
      <c r="V3028" s="135"/>
      <c r="W3028" s="135"/>
      <c r="X3028" s="135"/>
      <c r="Y3028" s="135"/>
      <c r="Z3028" s="135"/>
    </row>
    <row r="3029" spans="1:26" ht="12.75">
      <c r="A3029" s="136" t="s">
        <v>10</v>
      </c>
      <c r="B3029" s="136" t="s">
        <v>7833</v>
      </c>
      <c r="C3029" s="136" t="s">
        <v>7839</v>
      </c>
      <c r="D3029" s="136" t="s">
        <v>165</v>
      </c>
      <c r="E3029" s="136" t="s">
        <v>615</v>
      </c>
      <c r="F3029" s="136">
        <v>12</v>
      </c>
      <c r="G3029" s="137">
        <f t="shared" si="11"/>
        <v>13</v>
      </c>
      <c r="H3029" s="137"/>
      <c r="I3029" s="137"/>
      <c r="J3029" s="135"/>
      <c r="K3029" s="135"/>
      <c r="L3029" s="135"/>
      <c r="M3029" s="135"/>
      <c r="N3029" s="135"/>
      <c r="O3029" s="135"/>
      <c r="P3029" s="135"/>
      <c r="Q3029" s="135"/>
      <c r="R3029" s="135"/>
      <c r="S3029" s="135"/>
      <c r="T3029" s="135"/>
      <c r="U3029" s="135"/>
      <c r="V3029" s="135"/>
      <c r="W3029" s="135"/>
      <c r="X3029" s="135"/>
      <c r="Y3029" s="135"/>
      <c r="Z3029" s="135"/>
    </row>
    <row r="3030" spans="1:26" ht="12.75">
      <c r="A3030" s="136" t="s">
        <v>10</v>
      </c>
      <c r="B3030" s="136" t="s">
        <v>7833</v>
      </c>
      <c r="C3030" s="136" t="s">
        <v>7839</v>
      </c>
      <c r="D3030" s="136" t="s">
        <v>7836</v>
      </c>
      <c r="E3030" s="136" t="s">
        <v>615</v>
      </c>
      <c r="F3030" s="136">
        <v>9</v>
      </c>
      <c r="G3030" s="137">
        <f t="shared" si="11"/>
        <v>14</v>
      </c>
      <c r="H3030" s="137"/>
      <c r="I3030" s="137"/>
      <c r="J3030" s="135"/>
      <c r="K3030" s="135"/>
      <c r="L3030" s="135"/>
      <c r="M3030" s="135"/>
      <c r="N3030" s="135"/>
      <c r="O3030" s="135"/>
      <c r="P3030" s="135"/>
      <c r="Q3030" s="135"/>
      <c r="R3030" s="135"/>
      <c r="S3030" s="135"/>
      <c r="T3030" s="135"/>
      <c r="U3030" s="135"/>
      <c r="V3030" s="135"/>
      <c r="W3030" s="135"/>
      <c r="X3030" s="135"/>
      <c r="Y3030" s="135"/>
      <c r="Z3030" s="135"/>
    </row>
    <row r="3031" spans="1:26" ht="12.75">
      <c r="A3031" s="136" t="s">
        <v>10</v>
      </c>
      <c r="B3031" s="136" t="s">
        <v>7833</v>
      </c>
      <c r="C3031" s="136" t="s">
        <v>887</v>
      </c>
      <c r="D3031" s="136" t="s">
        <v>114</v>
      </c>
      <c r="E3031" s="136" t="s">
        <v>85</v>
      </c>
      <c r="F3031" s="136">
        <v>501</v>
      </c>
      <c r="G3031" s="137">
        <f t="shared" si="11"/>
        <v>1</v>
      </c>
      <c r="H3031" s="137"/>
      <c r="I3031" s="137"/>
      <c r="J3031" s="135"/>
      <c r="K3031" s="135"/>
      <c r="L3031" s="135"/>
      <c r="M3031" s="135"/>
      <c r="N3031" s="135"/>
      <c r="O3031" s="135"/>
      <c r="P3031" s="135"/>
      <c r="Q3031" s="135"/>
      <c r="R3031" s="135"/>
      <c r="S3031" s="135"/>
      <c r="T3031" s="135"/>
      <c r="U3031" s="135"/>
      <c r="V3031" s="135"/>
      <c r="W3031" s="135"/>
      <c r="X3031" s="135"/>
      <c r="Y3031" s="135"/>
      <c r="Z3031" s="135"/>
    </row>
    <row r="3032" spans="1:26" ht="12.75">
      <c r="A3032" s="136" t="s">
        <v>10</v>
      </c>
      <c r="B3032" s="136" t="s">
        <v>7833</v>
      </c>
      <c r="C3032" s="136" t="s">
        <v>887</v>
      </c>
      <c r="D3032" s="136" t="s">
        <v>139</v>
      </c>
      <c r="E3032" s="136" t="s">
        <v>594</v>
      </c>
      <c r="F3032" s="136">
        <v>328</v>
      </c>
      <c r="G3032" s="137">
        <f t="shared" si="11"/>
        <v>2</v>
      </c>
      <c r="H3032" s="137"/>
      <c r="I3032" s="137"/>
      <c r="J3032" s="135"/>
      <c r="K3032" s="135"/>
      <c r="L3032" s="135"/>
      <c r="M3032" s="135"/>
      <c r="N3032" s="135"/>
      <c r="O3032" s="135"/>
      <c r="P3032" s="135"/>
      <c r="Q3032" s="135"/>
      <c r="R3032" s="135"/>
      <c r="S3032" s="135"/>
      <c r="T3032" s="135"/>
      <c r="U3032" s="135"/>
      <c r="V3032" s="135"/>
      <c r="W3032" s="135"/>
      <c r="X3032" s="135"/>
      <c r="Y3032" s="135"/>
      <c r="Z3032" s="135"/>
    </row>
    <row r="3033" spans="1:26" ht="12.75">
      <c r="A3033" s="136" t="s">
        <v>10</v>
      </c>
      <c r="B3033" s="136" t="s">
        <v>7833</v>
      </c>
      <c r="C3033" s="136" t="s">
        <v>887</v>
      </c>
      <c r="D3033" s="136" t="s">
        <v>1669</v>
      </c>
      <c r="E3033" s="136" t="s">
        <v>615</v>
      </c>
      <c r="F3033" s="136">
        <v>251</v>
      </c>
      <c r="G3033" s="137">
        <f t="shared" si="11"/>
        <v>3</v>
      </c>
      <c r="H3033" s="137"/>
      <c r="I3033" s="137"/>
      <c r="J3033" s="135"/>
      <c r="K3033" s="135"/>
      <c r="L3033" s="135"/>
      <c r="M3033" s="135"/>
      <c r="N3033" s="135"/>
      <c r="O3033" s="135"/>
      <c r="P3033" s="135"/>
      <c r="Q3033" s="135"/>
      <c r="R3033" s="135"/>
      <c r="S3033" s="135"/>
      <c r="T3033" s="135"/>
      <c r="U3033" s="135"/>
      <c r="V3033" s="135"/>
      <c r="W3033" s="135"/>
      <c r="X3033" s="135"/>
      <c r="Y3033" s="135"/>
      <c r="Z3033" s="135"/>
    </row>
    <row r="3034" spans="1:26" ht="12.75">
      <c r="A3034" s="136" t="s">
        <v>10</v>
      </c>
      <c r="B3034" s="136" t="s">
        <v>7833</v>
      </c>
      <c r="C3034" s="136" t="s">
        <v>887</v>
      </c>
      <c r="D3034" s="136" t="s">
        <v>7481</v>
      </c>
      <c r="E3034" s="136" t="s">
        <v>615</v>
      </c>
      <c r="F3034" s="136">
        <v>145</v>
      </c>
      <c r="G3034" s="137">
        <f t="shared" si="11"/>
        <v>4</v>
      </c>
      <c r="H3034" s="137"/>
      <c r="I3034" s="137"/>
      <c r="J3034" s="135"/>
      <c r="K3034" s="135"/>
      <c r="L3034" s="135"/>
      <c r="M3034" s="135"/>
      <c r="N3034" s="135"/>
      <c r="O3034" s="135"/>
      <c r="P3034" s="135"/>
      <c r="Q3034" s="135"/>
      <c r="R3034" s="135"/>
      <c r="S3034" s="135"/>
      <c r="T3034" s="135"/>
      <c r="U3034" s="135"/>
      <c r="V3034" s="135"/>
      <c r="W3034" s="135"/>
      <c r="X3034" s="135"/>
      <c r="Y3034" s="135"/>
      <c r="Z3034" s="135"/>
    </row>
    <row r="3035" spans="1:26" ht="12.75">
      <c r="A3035" s="136" t="s">
        <v>10</v>
      </c>
      <c r="B3035" s="136" t="s">
        <v>7833</v>
      </c>
      <c r="C3035" s="136" t="s">
        <v>887</v>
      </c>
      <c r="D3035" s="136" t="s">
        <v>467</v>
      </c>
      <c r="E3035" s="136" t="s">
        <v>85</v>
      </c>
      <c r="F3035" s="136">
        <v>125</v>
      </c>
      <c r="G3035" s="137">
        <f t="shared" si="11"/>
        <v>5</v>
      </c>
      <c r="H3035" s="137"/>
      <c r="I3035" s="137"/>
      <c r="J3035" s="135"/>
      <c r="K3035" s="135"/>
      <c r="L3035" s="135"/>
      <c r="M3035" s="135"/>
      <c r="N3035" s="135"/>
      <c r="O3035" s="135"/>
      <c r="P3035" s="135"/>
      <c r="Q3035" s="135"/>
      <c r="R3035" s="135"/>
      <c r="S3035" s="135"/>
      <c r="T3035" s="135"/>
      <c r="U3035" s="135"/>
      <c r="V3035" s="135"/>
      <c r="W3035" s="135"/>
      <c r="X3035" s="135"/>
      <c r="Y3035" s="135"/>
      <c r="Z3035" s="135"/>
    </row>
    <row r="3036" spans="1:26" ht="12.75">
      <c r="A3036" s="136" t="s">
        <v>10</v>
      </c>
      <c r="B3036" s="136" t="s">
        <v>7833</v>
      </c>
      <c r="C3036" s="136" t="s">
        <v>887</v>
      </c>
      <c r="D3036" s="136" t="s">
        <v>368</v>
      </c>
      <c r="E3036" s="136" t="s">
        <v>594</v>
      </c>
      <c r="F3036" s="136">
        <v>64</v>
      </c>
      <c r="G3036" s="137">
        <f t="shared" si="11"/>
        <v>6</v>
      </c>
      <c r="H3036" s="137"/>
      <c r="I3036" s="137"/>
      <c r="J3036" s="135"/>
      <c r="K3036" s="135"/>
      <c r="L3036" s="135"/>
      <c r="M3036" s="135"/>
      <c r="N3036" s="135"/>
      <c r="O3036" s="135"/>
      <c r="P3036" s="135"/>
      <c r="Q3036" s="135"/>
      <c r="R3036" s="135"/>
      <c r="S3036" s="135"/>
      <c r="T3036" s="135"/>
      <c r="U3036" s="135"/>
      <c r="V3036" s="135"/>
      <c r="W3036" s="135"/>
      <c r="X3036" s="135"/>
      <c r="Y3036" s="135"/>
      <c r="Z3036" s="135"/>
    </row>
    <row r="3037" spans="1:26" ht="12.75">
      <c r="A3037" s="136" t="s">
        <v>10</v>
      </c>
      <c r="B3037" s="136" t="s">
        <v>7833</v>
      </c>
      <c r="C3037" s="136" t="s">
        <v>887</v>
      </c>
      <c r="D3037" s="136" t="s">
        <v>131</v>
      </c>
      <c r="E3037" s="136" t="s">
        <v>594</v>
      </c>
      <c r="F3037" s="136">
        <v>41</v>
      </c>
      <c r="G3037" s="137">
        <f t="shared" si="11"/>
        <v>7</v>
      </c>
      <c r="H3037" s="137"/>
      <c r="I3037" s="137"/>
      <c r="J3037" s="135"/>
      <c r="K3037" s="135"/>
      <c r="L3037" s="135"/>
      <c r="M3037" s="135"/>
      <c r="N3037" s="135"/>
      <c r="O3037" s="135"/>
      <c r="P3037" s="135"/>
      <c r="Q3037" s="135"/>
      <c r="R3037" s="135"/>
      <c r="S3037" s="135"/>
      <c r="T3037" s="135"/>
      <c r="U3037" s="135"/>
      <c r="V3037" s="135"/>
      <c r="W3037" s="135"/>
      <c r="X3037" s="135"/>
      <c r="Y3037" s="135"/>
      <c r="Z3037" s="135"/>
    </row>
    <row r="3038" spans="1:26" ht="12.75">
      <c r="A3038" s="136" t="s">
        <v>10</v>
      </c>
      <c r="B3038" s="136" t="s">
        <v>7833</v>
      </c>
      <c r="C3038" s="136" t="s">
        <v>887</v>
      </c>
      <c r="D3038" s="136" t="s">
        <v>7532</v>
      </c>
      <c r="E3038" s="136" t="s">
        <v>615</v>
      </c>
      <c r="F3038" s="136">
        <v>26</v>
      </c>
      <c r="G3038" s="137">
        <f t="shared" si="11"/>
        <v>8</v>
      </c>
      <c r="H3038" s="137"/>
      <c r="I3038" s="137"/>
      <c r="J3038" s="135"/>
      <c r="K3038" s="135"/>
      <c r="L3038" s="135"/>
      <c r="M3038" s="135"/>
      <c r="N3038" s="135"/>
      <c r="O3038" s="135"/>
      <c r="P3038" s="135"/>
      <c r="Q3038" s="135"/>
      <c r="R3038" s="135"/>
      <c r="S3038" s="135"/>
      <c r="T3038" s="135"/>
      <c r="U3038" s="135"/>
      <c r="V3038" s="135"/>
      <c r="W3038" s="135"/>
      <c r="X3038" s="135"/>
      <c r="Y3038" s="135"/>
      <c r="Z3038" s="135"/>
    </row>
    <row r="3039" spans="1:26" ht="12.75">
      <c r="A3039" s="136" t="s">
        <v>10</v>
      </c>
      <c r="B3039" s="136" t="s">
        <v>7833</v>
      </c>
      <c r="C3039" s="136" t="s">
        <v>887</v>
      </c>
      <c r="D3039" s="136" t="s">
        <v>103</v>
      </c>
      <c r="E3039" s="136" t="s">
        <v>594</v>
      </c>
      <c r="F3039" s="136">
        <v>22</v>
      </c>
      <c r="G3039" s="137">
        <f t="shared" si="11"/>
        <v>9</v>
      </c>
      <c r="H3039" s="137"/>
      <c r="I3039" s="137"/>
      <c r="J3039" s="135"/>
      <c r="K3039" s="135"/>
      <c r="L3039" s="135"/>
      <c r="M3039" s="135"/>
      <c r="N3039" s="135"/>
      <c r="O3039" s="135"/>
      <c r="P3039" s="135"/>
      <c r="Q3039" s="135"/>
      <c r="R3039" s="135"/>
      <c r="S3039" s="135"/>
      <c r="T3039" s="135"/>
      <c r="U3039" s="135"/>
      <c r="V3039" s="135"/>
      <c r="W3039" s="135"/>
      <c r="X3039" s="135"/>
      <c r="Y3039" s="135"/>
      <c r="Z3039" s="135"/>
    </row>
    <row r="3040" spans="1:26" ht="12.75">
      <c r="A3040" s="136" t="s">
        <v>10</v>
      </c>
      <c r="B3040" s="136" t="s">
        <v>7833</v>
      </c>
      <c r="C3040" s="136" t="s">
        <v>887</v>
      </c>
      <c r="D3040" s="136" t="s">
        <v>7840</v>
      </c>
      <c r="E3040" s="136" t="s">
        <v>615</v>
      </c>
      <c r="F3040" s="136">
        <v>16</v>
      </c>
      <c r="G3040" s="137">
        <f t="shared" si="11"/>
        <v>10</v>
      </c>
      <c r="H3040" s="137"/>
      <c r="I3040" s="137"/>
      <c r="J3040" s="135"/>
      <c r="K3040" s="135"/>
      <c r="L3040" s="135"/>
      <c r="M3040" s="135"/>
      <c r="N3040" s="135"/>
      <c r="O3040" s="135"/>
      <c r="P3040" s="135"/>
      <c r="Q3040" s="135"/>
      <c r="R3040" s="135"/>
      <c r="S3040" s="135"/>
      <c r="T3040" s="135"/>
      <c r="U3040" s="135"/>
      <c r="V3040" s="135"/>
      <c r="W3040" s="135"/>
      <c r="X3040" s="135"/>
      <c r="Y3040" s="135"/>
      <c r="Z3040" s="135"/>
    </row>
    <row r="3041" spans="1:26" ht="12.75">
      <c r="A3041" s="136" t="s">
        <v>10</v>
      </c>
      <c r="B3041" s="136" t="s">
        <v>7833</v>
      </c>
      <c r="C3041" s="136" t="s">
        <v>887</v>
      </c>
      <c r="D3041" s="136" t="s">
        <v>1656</v>
      </c>
      <c r="E3041" s="136" t="s">
        <v>615</v>
      </c>
      <c r="F3041" s="136">
        <v>15</v>
      </c>
      <c r="G3041" s="137">
        <f t="shared" si="11"/>
        <v>11</v>
      </c>
      <c r="H3041" s="137"/>
      <c r="I3041" s="137"/>
      <c r="J3041" s="135"/>
      <c r="K3041" s="135"/>
      <c r="L3041" s="135"/>
      <c r="M3041" s="135"/>
      <c r="N3041" s="135"/>
      <c r="O3041" s="135"/>
      <c r="P3041" s="135"/>
      <c r="Q3041" s="135"/>
      <c r="R3041" s="135"/>
      <c r="S3041" s="135"/>
      <c r="T3041" s="135"/>
      <c r="U3041" s="135"/>
      <c r="V3041" s="135"/>
      <c r="W3041" s="135"/>
      <c r="X3041" s="135"/>
      <c r="Y3041" s="135"/>
      <c r="Z3041" s="135"/>
    </row>
    <row r="3042" spans="1:26" ht="12.75">
      <c r="A3042" s="136" t="s">
        <v>10</v>
      </c>
      <c r="B3042" s="136" t="s">
        <v>7833</v>
      </c>
      <c r="C3042" s="136" t="s">
        <v>887</v>
      </c>
      <c r="D3042" s="136" t="s">
        <v>1626</v>
      </c>
      <c r="E3042" s="136" t="s">
        <v>594</v>
      </c>
      <c r="F3042" s="136">
        <v>14</v>
      </c>
      <c r="G3042" s="137">
        <f t="shared" si="11"/>
        <v>12</v>
      </c>
      <c r="H3042" s="137"/>
      <c r="I3042" s="137"/>
      <c r="J3042" s="135"/>
      <c r="K3042" s="135"/>
      <c r="L3042" s="135"/>
      <c r="M3042" s="135"/>
      <c r="N3042" s="135"/>
      <c r="O3042" s="135"/>
      <c r="P3042" s="135"/>
      <c r="Q3042" s="135"/>
      <c r="R3042" s="135"/>
      <c r="S3042" s="135"/>
      <c r="T3042" s="135"/>
      <c r="U3042" s="135"/>
      <c r="V3042" s="135"/>
      <c r="W3042" s="135"/>
      <c r="X3042" s="135"/>
      <c r="Y3042" s="135"/>
      <c r="Z3042" s="135"/>
    </row>
    <row r="3043" spans="1:26" ht="12.75">
      <c r="A3043" s="136" t="s">
        <v>10</v>
      </c>
      <c r="B3043" s="136" t="s">
        <v>7833</v>
      </c>
      <c r="C3043" s="136" t="s">
        <v>912</v>
      </c>
      <c r="D3043" s="136" t="s">
        <v>139</v>
      </c>
      <c r="E3043" s="136" t="s">
        <v>594</v>
      </c>
      <c r="F3043" s="136">
        <v>1061</v>
      </c>
      <c r="G3043" s="137">
        <f t="shared" si="11"/>
        <v>1</v>
      </c>
      <c r="H3043" s="137"/>
      <c r="I3043" s="137"/>
      <c r="J3043" s="135"/>
      <c r="K3043" s="135"/>
      <c r="L3043" s="135"/>
      <c r="M3043" s="135"/>
      <c r="N3043" s="135"/>
      <c r="O3043" s="135"/>
      <c r="P3043" s="135"/>
      <c r="Q3043" s="135"/>
      <c r="R3043" s="135"/>
      <c r="S3043" s="135"/>
      <c r="T3043" s="135"/>
      <c r="U3043" s="135"/>
      <c r="V3043" s="135"/>
      <c r="W3043" s="135"/>
      <c r="X3043" s="135"/>
      <c r="Y3043" s="135"/>
      <c r="Z3043" s="135"/>
    </row>
    <row r="3044" spans="1:26" ht="12.75">
      <c r="A3044" s="136" t="s">
        <v>10</v>
      </c>
      <c r="B3044" s="136" t="s">
        <v>7833</v>
      </c>
      <c r="C3044" s="136" t="s">
        <v>912</v>
      </c>
      <c r="D3044" s="136" t="s">
        <v>114</v>
      </c>
      <c r="E3044" s="136" t="s">
        <v>85</v>
      </c>
      <c r="F3044" s="136">
        <v>474</v>
      </c>
      <c r="G3044" s="137">
        <f t="shared" si="11"/>
        <v>2</v>
      </c>
      <c r="H3044" s="137"/>
      <c r="I3044" s="137"/>
      <c r="J3044" s="135"/>
      <c r="K3044" s="135"/>
      <c r="L3044" s="135"/>
      <c r="M3044" s="135"/>
      <c r="N3044" s="135"/>
      <c r="O3044" s="135"/>
      <c r="P3044" s="135"/>
      <c r="Q3044" s="135"/>
      <c r="R3044" s="135"/>
      <c r="S3044" s="135"/>
      <c r="T3044" s="135"/>
      <c r="U3044" s="135"/>
      <c r="V3044" s="135"/>
      <c r="W3044" s="135"/>
      <c r="X3044" s="135"/>
      <c r="Y3044" s="135"/>
      <c r="Z3044" s="135"/>
    </row>
    <row r="3045" spans="1:26" ht="12.75">
      <c r="A3045" s="136" t="s">
        <v>10</v>
      </c>
      <c r="B3045" s="136" t="s">
        <v>7833</v>
      </c>
      <c r="C3045" s="136" t="s">
        <v>912</v>
      </c>
      <c r="D3045" s="136" t="s">
        <v>467</v>
      </c>
      <c r="E3045" s="136" t="s">
        <v>85</v>
      </c>
      <c r="F3045" s="136">
        <v>65</v>
      </c>
      <c r="G3045" s="137">
        <f t="shared" si="11"/>
        <v>3</v>
      </c>
      <c r="H3045" s="137"/>
      <c r="I3045" s="137"/>
      <c r="J3045" s="135"/>
      <c r="K3045" s="135"/>
      <c r="L3045" s="135"/>
      <c r="M3045" s="135"/>
      <c r="N3045" s="135"/>
      <c r="O3045" s="135"/>
      <c r="P3045" s="135"/>
      <c r="Q3045" s="135"/>
      <c r="R3045" s="135"/>
      <c r="S3045" s="135"/>
      <c r="T3045" s="135"/>
      <c r="U3045" s="135"/>
      <c r="V3045" s="135"/>
      <c r="W3045" s="135"/>
      <c r="X3045" s="135"/>
      <c r="Y3045" s="135"/>
      <c r="Z3045" s="135"/>
    </row>
    <row r="3046" spans="1:26" ht="12.75">
      <c r="A3046" s="136" t="s">
        <v>10</v>
      </c>
      <c r="B3046" s="136" t="s">
        <v>7833</v>
      </c>
      <c r="C3046" s="136" t="s">
        <v>912</v>
      </c>
      <c r="D3046" s="136" t="s">
        <v>368</v>
      </c>
      <c r="E3046" s="136" t="s">
        <v>594</v>
      </c>
      <c r="F3046" s="136">
        <v>46</v>
      </c>
      <c r="G3046" s="137">
        <f t="shared" si="11"/>
        <v>4</v>
      </c>
      <c r="H3046" s="137"/>
      <c r="I3046" s="137"/>
      <c r="J3046" s="135"/>
      <c r="K3046" s="135"/>
      <c r="L3046" s="135"/>
      <c r="M3046" s="135"/>
      <c r="N3046" s="135"/>
      <c r="O3046" s="135"/>
      <c r="P3046" s="135"/>
      <c r="Q3046" s="135"/>
      <c r="R3046" s="135"/>
      <c r="S3046" s="135"/>
      <c r="T3046" s="135"/>
      <c r="U3046" s="135"/>
      <c r="V3046" s="135"/>
      <c r="W3046" s="135"/>
      <c r="X3046" s="135"/>
      <c r="Y3046" s="135"/>
      <c r="Z3046" s="135"/>
    </row>
    <row r="3047" spans="1:26" ht="12.75">
      <c r="A3047" s="136" t="s">
        <v>10</v>
      </c>
      <c r="B3047" s="136" t="s">
        <v>7833</v>
      </c>
      <c r="C3047" s="136" t="s">
        <v>912</v>
      </c>
      <c r="D3047" s="136" t="s">
        <v>7481</v>
      </c>
      <c r="E3047" s="136" t="s">
        <v>615</v>
      </c>
      <c r="F3047" s="136">
        <v>41</v>
      </c>
      <c r="G3047" s="137">
        <f t="shared" si="11"/>
        <v>5</v>
      </c>
      <c r="H3047" s="137"/>
      <c r="I3047" s="137"/>
      <c r="J3047" s="135"/>
      <c r="K3047" s="135"/>
      <c r="L3047" s="135"/>
      <c r="M3047" s="135"/>
      <c r="N3047" s="135"/>
      <c r="O3047" s="135"/>
      <c r="P3047" s="135"/>
      <c r="Q3047" s="135"/>
      <c r="R3047" s="135"/>
      <c r="S3047" s="135"/>
      <c r="T3047" s="135"/>
      <c r="U3047" s="135"/>
      <c r="V3047" s="135"/>
      <c r="W3047" s="135"/>
      <c r="X3047" s="135"/>
      <c r="Y3047" s="135"/>
      <c r="Z3047" s="135"/>
    </row>
    <row r="3048" spans="1:26" ht="12.75">
      <c r="A3048" s="136" t="s">
        <v>10</v>
      </c>
      <c r="B3048" s="136" t="s">
        <v>7833</v>
      </c>
      <c r="C3048" s="136" t="s">
        <v>912</v>
      </c>
      <c r="D3048" s="136" t="s">
        <v>103</v>
      </c>
      <c r="E3048" s="136" t="s">
        <v>594</v>
      </c>
      <c r="F3048" s="136">
        <v>36</v>
      </c>
      <c r="G3048" s="137">
        <f t="shared" si="11"/>
        <v>6</v>
      </c>
      <c r="H3048" s="137"/>
      <c r="I3048" s="137"/>
      <c r="J3048" s="135"/>
      <c r="K3048" s="135"/>
      <c r="L3048" s="135"/>
      <c r="M3048" s="135"/>
      <c r="N3048" s="135"/>
      <c r="O3048" s="135"/>
      <c r="P3048" s="135"/>
      <c r="Q3048" s="135"/>
      <c r="R3048" s="135"/>
      <c r="S3048" s="135"/>
      <c r="T3048" s="135"/>
      <c r="U3048" s="135"/>
      <c r="V3048" s="135"/>
      <c r="W3048" s="135"/>
      <c r="X3048" s="135"/>
      <c r="Y3048" s="135"/>
      <c r="Z3048" s="135"/>
    </row>
    <row r="3049" spans="1:26" ht="12.75">
      <c r="A3049" s="136" t="s">
        <v>10</v>
      </c>
      <c r="B3049" s="136" t="s">
        <v>7833</v>
      </c>
      <c r="C3049" s="136" t="s">
        <v>912</v>
      </c>
      <c r="D3049" s="136" t="s">
        <v>1626</v>
      </c>
      <c r="E3049" s="136" t="s">
        <v>594</v>
      </c>
      <c r="F3049" s="136">
        <v>31</v>
      </c>
      <c r="G3049" s="137">
        <f t="shared" si="11"/>
        <v>7</v>
      </c>
      <c r="H3049" s="137"/>
      <c r="I3049" s="137"/>
      <c r="J3049" s="135"/>
      <c r="K3049" s="135"/>
      <c r="L3049" s="135"/>
      <c r="M3049" s="135"/>
      <c r="N3049" s="135"/>
      <c r="O3049" s="135"/>
      <c r="P3049" s="135"/>
      <c r="Q3049" s="135"/>
      <c r="R3049" s="135"/>
      <c r="S3049" s="135"/>
      <c r="T3049" s="135"/>
      <c r="U3049" s="135"/>
      <c r="V3049" s="135"/>
      <c r="W3049" s="135"/>
      <c r="X3049" s="135"/>
      <c r="Y3049" s="135"/>
      <c r="Z3049" s="135"/>
    </row>
    <row r="3050" spans="1:26" ht="12.75">
      <c r="A3050" s="136" t="s">
        <v>10</v>
      </c>
      <c r="B3050" s="136" t="s">
        <v>7833</v>
      </c>
      <c r="C3050" s="136" t="s">
        <v>912</v>
      </c>
      <c r="D3050" s="136" t="s">
        <v>131</v>
      </c>
      <c r="E3050" s="136" t="s">
        <v>594</v>
      </c>
      <c r="F3050" s="136">
        <v>31</v>
      </c>
      <c r="G3050" s="137">
        <f t="shared" si="11"/>
        <v>8</v>
      </c>
      <c r="H3050" s="137"/>
      <c r="I3050" s="137"/>
      <c r="J3050" s="135"/>
      <c r="K3050" s="135"/>
      <c r="L3050" s="135"/>
      <c r="M3050" s="135"/>
      <c r="N3050" s="135"/>
      <c r="O3050" s="135"/>
      <c r="P3050" s="135"/>
      <c r="Q3050" s="135"/>
      <c r="R3050" s="135"/>
      <c r="S3050" s="135"/>
      <c r="T3050" s="135"/>
      <c r="U3050" s="135"/>
      <c r="V3050" s="135"/>
      <c r="W3050" s="135"/>
      <c r="X3050" s="135"/>
      <c r="Y3050" s="135"/>
      <c r="Z3050" s="135"/>
    </row>
    <row r="3051" spans="1:26" ht="12.75">
      <c r="A3051" s="136" t="s">
        <v>10</v>
      </c>
      <c r="B3051" s="136" t="s">
        <v>7833</v>
      </c>
      <c r="C3051" s="136" t="s">
        <v>912</v>
      </c>
      <c r="D3051" s="136" t="s">
        <v>1669</v>
      </c>
      <c r="E3051" s="136" t="s">
        <v>615</v>
      </c>
      <c r="F3051" s="136">
        <v>20</v>
      </c>
      <c r="G3051" s="137">
        <f t="shared" si="11"/>
        <v>9</v>
      </c>
      <c r="H3051" s="137"/>
      <c r="I3051" s="137"/>
      <c r="J3051" s="135"/>
      <c r="K3051" s="135"/>
      <c r="L3051" s="135"/>
      <c r="M3051" s="135"/>
      <c r="N3051" s="135"/>
      <c r="O3051" s="135"/>
      <c r="P3051" s="135"/>
      <c r="Q3051" s="135"/>
      <c r="R3051" s="135"/>
      <c r="S3051" s="135"/>
      <c r="T3051" s="135"/>
      <c r="U3051" s="135"/>
      <c r="V3051" s="135"/>
      <c r="W3051" s="135"/>
      <c r="X3051" s="135"/>
      <c r="Y3051" s="135"/>
      <c r="Z3051" s="135"/>
    </row>
    <row r="3052" spans="1:26" ht="12.75">
      <c r="A3052" s="136" t="s">
        <v>10</v>
      </c>
      <c r="B3052" s="136" t="s">
        <v>7833</v>
      </c>
      <c r="C3052" s="136" t="s">
        <v>912</v>
      </c>
      <c r="D3052" s="136" t="s">
        <v>1656</v>
      </c>
      <c r="E3052" s="136" t="s">
        <v>615</v>
      </c>
      <c r="F3052" s="136">
        <v>15</v>
      </c>
      <c r="G3052" s="137">
        <f t="shared" si="11"/>
        <v>10</v>
      </c>
      <c r="H3052" s="137"/>
      <c r="I3052" s="137"/>
      <c r="J3052" s="135"/>
      <c r="K3052" s="135"/>
      <c r="L3052" s="135"/>
      <c r="M3052" s="135"/>
      <c r="N3052" s="135"/>
      <c r="O3052" s="135"/>
      <c r="P3052" s="135"/>
      <c r="Q3052" s="135"/>
      <c r="R3052" s="135"/>
      <c r="S3052" s="135"/>
      <c r="T3052" s="135"/>
      <c r="U3052" s="135"/>
      <c r="V3052" s="135"/>
      <c r="W3052" s="135"/>
      <c r="X3052" s="135"/>
      <c r="Y3052" s="135"/>
      <c r="Z3052" s="135"/>
    </row>
    <row r="3053" spans="1:26" ht="12.75">
      <c r="A3053" s="136" t="s">
        <v>10</v>
      </c>
      <c r="B3053" s="136" t="s">
        <v>7833</v>
      </c>
      <c r="C3053" s="136" t="s">
        <v>912</v>
      </c>
      <c r="D3053" s="136" t="s">
        <v>165</v>
      </c>
      <c r="E3053" s="136" t="s">
        <v>615</v>
      </c>
      <c r="F3053" s="136">
        <v>14</v>
      </c>
      <c r="G3053" s="137">
        <f t="shared" si="11"/>
        <v>11</v>
      </c>
      <c r="H3053" s="137"/>
      <c r="I3053" s="137"/>
      <c r="J3053" s="135"/>
      <c r="K3053" s="135"/>
      <c r="L3053" s="135"/>
      <c r="M3053" s="135"/>
      <c r="N3053" s="135"/>
      <c r="O3053" s="135"/>
      <c r="P3053" s="135"/>
      <c r="Q3053" s="135"/>
      <c r="R3053" s="135"/>
      <c r="S3053" s="135"/>
      <c r="T3053" s="135"/>
      <c r="U3053" s="135"/>
      <c r="V3053" s="135"/>
      <c r="W3053" s="135"/>
      <c r="X3053" s="135"/>
      <c r="Y3053" s="135"/>
      <c r="Z3053" s="135"/>
    </row>
    <row r="3054" spans="1:26" ht="12.75">
      <c r="A3054" s="136" t="s">
        <v>10</v>
      </c>
      <c r="B3054" s="136" t="s">
        <v>7833</v>
      </c>
      <c r="C3054" s="136" t="s">
        <v>912</v>
      </c>
      <c r="D3054" s="136" t="s">
        <v>213</v>
      </c>
      <c r="E3054" s="136" t="s">
        <v>615</v>
      </c>
      <c r="F3054" s="136">
        <v>12</v>
      </c>
      <c r="G3054" s="137">
        <f t="shared" si="11"/>
        <v>12</v>
      </c>
      <c r="H3054" s="137"/>
      <c r="I3054" s="137"/>
      <c r="J3054" s="135"/>
      <c r="K3054" s="135"/>
      <c r="L3054" s="135"/>
      <c r="M3054" s="135"/>
      <c r="N3054" s="135"/>
      <c r="O3054" s="135"/>
      <c r="P3054" s="135"/>
      <c r="Q3054" s="135"/>
      <c r="R3054" s="135"/>
      <c r="S3054" s="135"/>
      <c r="T3054" s="135"/>
      <c r="U3054" s="135"/>
      <c r="V3054" s="135"/>
      <c r="W3054" s="135"/>
      <c r="X3054" s="135"/>
      <c r="Y3054" s="135"/>
      <c r="Z3054" s="135"/>
    </row>
    <row r="3055" spans="1:26" ht="12.75">
      <c r="A3055" s="136" t="s">
        <v>10</v>
      </c>
      <c r="B3055" s="136" t="s">
        <v>7833</v>
      </c>
      <c r="C3055" s="136" t="s">
        <v>912</v>
      </c>
      <c r="D3055" s="136" t="s">
        <v>7532</v>
      </c>
      <c r="E3055" s="136" t="s">
        <v>615</v>
      </c>
      <c r="F3055" s="136">
        <v>4</v>
      </c>
      <c r="G3055" s="137">
        <f t="shared" si="11"/>
        <v>13</v>
      </c>
      <c r="H3055" s="137"/>
      <c r="I3055" s="137"/>
      <c r="J3055" s="135"/>
      <c r="K3055" s="135"/>
      <c r="L3055" s="135"/>
      <c r="M3055" s="135"/>
      <c r="N3055" s="135"/>
      <c r="O3055" s="135"/>
      <c r="P3055" s="135"/>
      <c r="Q3055" s="135"/>
      <c r="R3055" s="135"/>
      <c r="S3055" s="135"/>
      <c r="T3055" s="135"/>
      <c r="U3055" s="135"/>
      <c r="V3055" s="135"/>
      <c r="W3055" s="135"/>
      <c r="X3055" s="135"/>
      <c r="Y3055" s="135"/>
      <c r="Z3055" s="135"/>
    </row>
    <row r="3056" spans="1:26" ht="12.75">
      <c r="A3056" s="136" t="s">
        <v>10</v>
      </c>
      <c r="B3056" s="136" t="s">
        <v>7833</v>
      </c>
      <c r="C3056" s="136" t="s">
        <v>7841</v>
      </c>
      <c r="D3056" s="136" t="s">
        <v>1669</v>
      </c>
      <c r="E3056" s="136" t="s">
        <v>615</v>
      </c>
      <c r="F3056" s="136">
        <v>819</v>
      </c>
      <c r="G3056" s="137">
        <f t="shared" si="11"/>
        <v>1</v>
      </c>
      <c r="H3056" s="137"/>
      <c r="I3056" s="137"/>
      <c r="J3056" s="135"/>
      <c r="K3056" s="135"/>
      <c r="L3056" s="135"/>
      <c r="M3056" s="135"/>
      <c r="N3056" s="135"/>
      <c r="O3056" s="135"/>
      <c r="P3056" s="135"/>
      <c r="Q3056" s="135"/>
      <c r="R3056" s="135"/>
      <c r="S3056" s="135"/>
      <c r="T3056" s="135"/>
      <c r="U3056" s="135"/>
      <c r="V3056" s="135"/>
      <c r="W3056" s="135"/>
      <c r="X3056" s="135"/>
      <c r="Y3056" s="135"/>
      <c r="Z3056" s="135"/>
    </row>
    <row r="3057" spans="1:26" ht="12.75">
      <c r="A3057" s="136" t="s">
        <v>10</v>
      </c>
      <c r="B3057" s="136" t="s">
        <v>7833</v>
      </c>
      <c r="C3057" s="136" t="s">
        <v>7841</v>
      </c>
      <c r="D3057" s="136" t="s">
        <v>7481</v>
      </c>
      <c r="E3057" s="136" t="s">
        <v>615</v>
      </c>
      <c r="F3057" s="136">
        <v>379</v>
      </c>
      <c r="G3057" s="137">
        <f t="shared" si="11"/>
        <v>2</v>
      </c>
      <c r="H3057" s="137"/>
      <c r="I3057" s="137"/>
      <c r="J3057" s="135"/>
      <c r="K3057" s="135"/>
      <c r="L3057" s="135"/>
      <c r="M3057" s="135"/>
      <c r="N3057" s="135"/>
      <c r="O3057" s="135"/>
      <c r="P3057" s="135"/>
      <c r="Q3057" s="135"/>
      <c r="R3057" s="135"/>
      <c r="S3057" s="135"/>
      <c r="T3057" s="135"/>
      <c r="U3057" s="135"/>
      <c r="V3057" s="135"/>
      <c r="W3057" s="135"/>
      <c r="X3057" s="135"/>
      <c r="Y3057" s="135"/>
      <c r="Z3057" s="135"/>
    </row>
    <row r="3058" spans="1:26" ht="12.75">
      <c r="A3058" s="136" t="s">
        <v>10</v>
      </c>
      <c r="B3058" s="136" t="s">
        <v>7833</v>
      </c>
      <c r="C3058" s="136" t="s">
        <v>7841</v>
      </c>
      <c r="D3058" s="136" t="s">
        <v>165</v>
      </c>
      <c r="E3058" s="136" t="s">
        <v>615</v>
      </c>
      <c r="F3058" s="136">
        <v>245</v>
      </c>
      <c r="G3058" s="137">
        <f t="shared" si="11"/>
        <v>3</v>
      </c>
      <c r="H3058" s="137"/>
      <c r="I3058" s="137"/>
      <c r="J3058" s="135"/>
      <c r="K3058" s="135"/>
      <c r="L3058" s="135"/>
      <c r="M3058" s="135"/>
      <c r="N3058" s="135"/>
      <c r="O3058" s="135"/>
      <c r="P3058" s="135"/>
      <c r="Q3058" s="135"/>
      <c r="R3058" s="135"/>
      <c r="S3058" s="135"/>
      <c r="T3058" s="135"/>
      <c r="U3058" s="135"/>
      <c r="V3058" s="135"/>
      <c r="W3058" s="135"/>
      <c r="X3058" s="135"/>
      <c r="Y3058" s="135"/>
      <c r="Z3058" s="135"/>
    </row>
    <row r="3059" spans="1:26" ht="12.75">
      <c r="A3059" s="136" t="s">
        <v>10</v>
      </c>
      <c r="B3059" s="136" t="s">
        <v>7833</v>
      </c>
      <c r="C3059" s="136" t="s">
        <v>7841</v>
      </c>
      <c r="D3059" s="136" t="s">
        <v>114</v>
      </c>
      <c r="E3059" s="136" t="s">
        <v>85</v>
      </c>
      <c r="F3059" s="136">
        <v>219</v>
      </c>
      <c r="G3059" s="137">
        <f t="shared" si="11"/>
        <v>4</v>
      </c>
      <c r="H3059" s="137"/>
      <c r="I3059" s="137"/>
      <c r="J3059" s="135"/>
      <c r="K3059" s="135"/>
      <c r="L3059" s="135"/>
      <c r="M3059" s="135"/>
      <c r="N3059" s="135"/>
      <c r="O3059" s="135"/>
      <c r="P3059" s="135"/>
      <c r="Q3059" s="135"/>
      <c r="R3059" s="135"/>
      <c r="S3059" s="135"/>
      <c r="T3059" s="135"/>
      <c r="U3059" s="135"/>
      <c r="V3059" s="135"/>
      <c r="W3059" s="135"/>
      <c r="X3059" s="135"/>
      <c r="Y3059" s="135"/>
      <c r="Z3059" s="135"/>
    </row>
    <row r="3060" spans="1:26" ht="12.75">
      <c r="A3060" s="136" t="s">
        <v>10</v>
      </c>
      <c r="B3060" s="136" t="s">
        <v>7833</v>
      </c>
      <c r="C3060" s="136" t="s">
        <v>7841</v>
      </c>
      <c r="D3060" s="136" t="s">
        <v>467</v>
      </c>
      <c r="E3060" s="136" t="s">
        <v>85</v>
      </c>
      <c r="F3060" s="136">
        <v>41</v>
      </c>
      <c r="G3060" s="137">
        <f t="shared" si="11"/>
        <v>5</v>
      </c>
      <c r="H3060" s="137"/>
      <c r="I3060" s="137"/>
      <c r="J3060" s="135"/>
      <c r="K3060" s="135"/>
      <c r="L3060" s="135"/>
      <c r="M3060" s="135"/>
      <c r="N3060" s="135"/>
      <c r="O3060" s="135"/>
      <c r="P3060" s="135"/>
      <c r="Q3060" s="135"/>
      <c r="R3060" s="135"/>
      <c r="S3060" s="135"/>
      <c r="T3060" s="135"/>
      <c r="U3060" s="135"/>
      <c r="V3060" s="135"/>
      <c r="W3060" s="135"/>
      <c r="X3060" s="135"/>
      <c r="Y3060" s="135"/>
      <c r="Z3060" s="135"/>
    </row>
    <row r="3061" spans="1:26" ht="12.75">
      <c r="A3061" s="136" t="s">
        <v>10</v>
      </c>
      <c r="B3061" s="136" t="s">
        <v>7833</v>
      </c>
      <c r="C3061" s="136" t="s">
        <v>7841</v>
      </c>
      <c r="D3061" s="136" t="s">
        <v>7532</v>
      </c>
      <c r="E3061" s="136" t="s">
        <v>615</v>
      </c>
      <c r="F3061" s="136">
        <v>35</v>
      </c>
      <c r="G3061" s="137">
        <f t="shared" si="11"/>
        <v>6</v>
      </c>
      <c r="H3061" s="137"/>
      <c r="I3061" s="137"/>
      <c r="J3061" s="135"/>
      <c r="K3061" s="135"/>
      <c r="L3061" s="135"/>
      <c r="M3061" s="135"/>
      <c r="N3061" s="135"/>
      <c r="O3061" s="135"/>
      <c r="P3061" s="135"/>
      <c r="Q3061" s="135"/>
      <c r="R3061" s="135"/>
      <c r="S3061" s="135"/>
      <c r="T3061" s="135"/>
      <c r="U3061" s="135"/>
      <c r="V3061" s="135"/>
      <c r="W3061" s="135"/>
      <c r="X3061" s="135"/>
      <c r="Y3061" s="135"/>
      <c r="Z3061" s="135"/>
    </row>
    <row r="3062" spans="1:26" ht="12.75">
      <c r="A3062" s="136" t="s">
        <v>10</v>
      </c>
      <c r="B3062" s="136" t="s">
        <v>7833</v>
      </c>
      <c r="C3062" s="136" t="s">
        <v>7841</v>
      </c>
      <c r="D3062" s="136" t="s">
        <v>139</v>
      </c>
      <c r="E3062" s="136" t="s">
        <v>594</v>
      </c>
      <c r="F3062" s="136">
        <v>34</v>
      </c>
      <c r="G3062" s="137">
        <f t="shared" ref="G3062:G3316" si="12">COUNTIFS($C:$C,C3062,$F:$F,"&gt;"&amp;F3062)
 + COUNTIFS($C$2:C3062,C3062,$F$2:F3062,F3062)</f>
        <v>7</v>
      </c>
      <c r="H3062" s="137"/>
      <c r="I3062" s="137"/>
      <c r="J3062" s="135"/>
      <c r="K3062" s="135"/>
      <c r="L3062" s="135"/>
      <c r="M3062" s="135"/>
      <c r="N3062" s="135"/>
      <c r="O3062" s="135"/>
      <c r="P3062" s="135"/>
      <c r="Q3062" s="135"/>
      <c r="R3062" s="135"/>
      <c r="S3062" s="135"/>
      <c r="T3062" s="135"/>
      <c r="U3062" s="135"/>
      <c r="V3062" s="135"/>
      <c r="W3062" s="135"/>
      <c r="X3062" s="135"/>
      <c r="Y3062" s="135"/>
      <c r="Z3062" s="135"/>
    </row>
    <row r="3063" spans="1:26" ht="12.75">
      <c r="A3063" s="136" t="s">
        <v>10</v>
      </c>
      <c r="B3063" s="136" t="s">
        <v>7833</v>
      </c>
      <c r="C3063" s="136" t="s">
        <v>7841</v>
      </c>
      <c r="D3063" s="136" t="s">
        <v>1626</v>
      </c>
      <c r="E3063" s="136" t="s">
        <v>594</v>
      </c>
      <c r="F3063" s="136">
        <v>5</v>
      </c>
      <c r="G3063" s="137">
        <f t="shared" si="12"/>
        <v>8</v>
      </c>
      <c r="H3063" s="137"/>
      <c r="I3063" s="137"/>
      <c r="J3063" s="135"/>
      <c r="K3063" s="135"/>
      <c r="L3063" s="135"/>
      <c r="M3063" s="135"/>
      <c r="N3063" s="135"/>
      <c r="O3063" s="135"/>
      <c r="P3063" s="135"/>
      <c r="Q3063" s="135"/>
      <c r="R3063" s="135"/>
      <c r="S3063" s="135"/>
      <c r="T3063" s="135"/>
      <c r="U3063" s="135"/>
      <c r="V3063" s="135"/>
      <c r="W3063" s="135"/>
      <c r="X3063" s="135"/>
      <c r="Y3063" s="135"/>
      <c r="Z3063" s="135"/>
    </row>
    <row r="3064" spans="1:26" ht="12.75">
      <c r="A3064" s="136" t="s">
        <v>10</v>
      </c>
      <c r="B3064" s="136" t="s">
        <v>7833</v>
      </c>
      <c r="C3064" s="136" t="s">
        <v>7841</v>
      </c>
      <c r="D3064" s="136" t="s">
        <v>368</v>
      </c>
      <c r="E3064" s="136" t="s">
        <v>594</v>
      </c>
      <c r="F3064" s="136">
        <v>4</v>
      </c>
      <c r="G3064" s="137">
        <f t="shared" si="12"/>
        <v>9</v>
      </c>
      <c r="H3064" s="137"/>
      <c r="I3064" s="137"/>
      <c r="J3064" s="135"/>
      <c r="K3064" s="135"/>
      <c r="L3064" s="135"/>
      <c r="M3064" s="135"/>
      <c r="N3064" s="135"/>
      <c r="O3064" s="135"/>
      <c r="P3064" s="135"/>
      <c r="Q3064" s="135"/>
      <c r="R3064" s="135"/>
      <c r="S3064" s="135"/>
      <c r="T3064" s="135"/>
      <c r="U3064" s="135"/>
      <c r="V3064" s="135"/>
      <c r="W3064" s="135"/>
      <c r="X3064" s="135"/>
      <c r="Y3064" s="135"/>
      <c r="Z3064" s="135"/>
    </row>
    <row r="3065" spans="1:26" ht="12.75">
      <c r="A3065" s="136" t="s">
        <v>10</v>
      </c>
      <c r="B3065" s="136" t="s">
        <v>7833</v>
      </c>
      <c r="C3065" s="136" t="s">
        <v>7841</v>
      </c>
      <c r="D3065" s="136" t="s">
        <v>7842</v>
      </c>
      <c r="E3065" s="136" t="s">
        <v>615</v>
      </c>
      <c r="F3065" s="136">
        <v>4</v>
      </c>
      <c r="G3065" s="137">
        <f t="shared" si="12"/>
        <v>10</v>
      </c>
      <c r="H3065" s="137"/>
      <c r="I3065" s="137"/>
      <c r="J3065" s="135"/>
      <c r="K3065" s="135"/>
      <c r="L3065" s="135"/>
      <c r="M3065" s="135"/>
      <c r="N3065" s="135"/>
      <c r="O3065" s="135"/>
      <c r="P3065" s="135"/>
      <c r="Q3065" s="135"/>
      <c r="R3065" s="135"/>
      <c r="S3065" s="135"/>
      <c r="T3065" s="135"/>
      <c r="U3065" s="135"/>
      <c r="V3065" s="135"/>
      <c r="W3065" s="135"/>
      <c r="X3065" s="135"/>
      <c r="Y3065" s="135"/>
      <c r="Z3065" s="135"/>
    </row>
    <row r="3066" spans="1:26" ht="12.75">
      <c r="A3066" s="136" t="s">
        <v>10</v>
      </c>
      <c r="B3066" s="136" t="s">
        <v>7833</v>
      </c>
      <c r="C3066" s="136" t="s">
        <v>7841</v>
      </c>
      <c r="D3066" s="136" t="s">
        <v>103</v>
      </c>
      <c r="E3066" s="136" t="s">
        <v>594</v>
      </c>
      <c r="F3066" s="136">
        <v>0</v>
      </c>
      <c r="G3066" s="137">
        <f t="shared" si="12"/>
        <v>11</v>
      </c>
      <c r="H3066" s="137"/>
      <c r="I3066" s="137"/>
      <c r="J3066" s="135"/>
      <c r="K3066" s="135"/>
      <c r="L3066" s="135"/>
      <c r="M3066" s="135"/>
      <c r="N3066" s="135"/>
      <c r="O3066" s="135"/>
      <c r="P3066" s="135"/>
      <c r="Q3066" s="135"/>
      <c r="R3066" s="135"/>
      <c r="S3066" s="135"/>
      <c r="T3066" s="135"/>
      <c r="U3066" s="135"/>
      <c r="V3066" s="135"/>
      <c r="W3066" s="135"/>
      <c r="X3066" s="135"/>
      <c r="Y3066" s="135"/>
      <c r="Z3066" s="135"/>
    </row>
    <row r="3067" spans="1:26" ht="12.75">
      <c r="A3067" s="136" t="s">
        <v>10</v>
      </c>
      <c r="B3067" s="136" t="s">
        <v>7833</v>
      </c>
      <c r="C3067" s="136" t="s">
        <v>7841</v>
      </c>
      <c r="D3067" s="136" t="s">
        <v>131</v>
      </c>
      <c r="E3067" s="136" t="s">
        <v>594</v>
      </c>
      <c r="F3067" s="136">
        <v>0</v>
      </c>
      <c r="G3067" s="137">
        <f t="shared" si="12"/>
        <v>12</v>
      </c>
      <c r="H3067" s="137"/>
      <c r="I3067" s="137"/>
      <c r="J3067" s="135"/>
      <c r="K3067" s="135"/>
      <c r="L3067" s="135"/>
      <c r="M3067" s="135"/>
      <c r="N3067" s="135"/>
      <c r="O3067" s="135"/>
      <c r="P3067" s="135"/>
      <c r="Q3067" s="135"/>
      <c r="R3067" s="135"/>
      <c r="S3067" s="135"/>
      <c r="T3067" s="135"/>
      <c r="U3067" s="135"/>
      <c r="V3067" s="135"/>
      <c r="W3067" s="135"/>
      <c r="X3067" s="135"/>
      <c r="Y3067" s="135"/>
      <c r="Z3067" s="135"/>
    </row>
    <row r="3068" spans="1:26" ht="12.75">
      <c r="A3068" s="136" t="s">
        <v>10</v>
      </c>
      <c r="B3068" s="136" t="s">
        <v>7833</v>
      </c>
      <c r="C3068" s="136" t="s">
        <v>7841</v>
      </c>
      <c r="D3068" s="136" t="s">
        <v>1656</v>
      </c>
      <c r="E3068" s="136" t="s">
        <v>615</v>
      </c>
      <c r="F3068" s="136">
        <v>0</v>
      </c>
      <c r="G3068" s="137">
        <f t="shared" si="12"/>
        <v>13</v>
      </c>
      <c r="H3068" s="137"/>
      <c r="I3068" s="137"/>
      <c r="J3068" s="135"/>
      <c r="K3068" s="135"/>
      <c r="L3068" s="135"/>
      <c r="M3068" s="135"/>
      <c r="N3068" s="135"/>
      <c r="O3068" s="135"/>
      <c r="P3068" s="135"/>
      <c r="Q3068" s="135"/>
      <c r="R3068" s="135"/>
      <c r="S3068" s="135"/>
      <c r="T3068" s="135"/>
      <c r="U3068" s="135"/>
      <c r="V3068" s="135"/>
      <c r="W3068" s="135"/>
      <c r="X3068" s="135"/>
      <c r="Y3068" s="135"/>
      <c r="Z3068" s="135"/>
    </row>
    <row r="3069" spans="1:26" ht="12.75">
      <c r="A3069" s="136" t="s">
        <v>10</v>
      </c>
      <c r="B3069" s="136" t="s">
        <v>7833</v>
      </c>
      <c r="C3069" s="136" t="s">
        <v>7843</v>
      </c>
      <c r="D3069" s="136" t="s">
        <v>139</v>
      </c>
      <c r="E3069" s="136" t="s">
        <v>594</v>
      </c>
      <c r="F3069" s="136">
        <v>1029</v>
      </c>
      <c r="G3069" s="137">
        <f t="shared" si="12"/>
        <v>1</v>
      </c>
      <c r="H3069" s="137"/>
      <c r="I3069" s="137"/>
      <c r="J3069" s="135"/>
      <c r="K3069" s="135"/>
      <c r="L3069" s="135"/>
      <c r="M3069" s="135"/>
      <c r="N3069" s="135"/>
      <c r="O3069" s="135"/>
      <c r="P3069" s="135"/>
      <c r="Q3069" s="135"/>
      <c r="R3069" s="135"/>
      <c r="S3069" s="135"/>
      <c r="T3069" s="135"/>
      <c r="U3069" s="135"/>
      <c r="V3069" s="135"/>
      <c r="W3069" s="135"/>
      <c r="X3069" s="135"/>
      <c r="Y3069" s="135"/>
      <c r="Z3069" s="135"/>
    </row>
    <row r="3070" spans="1:26" ht="12.75">
      <c r="A3070" s="136" t="s">
        <v>10</v>
      </c>
      <c r="B3070" s="136" t="s">
        <v>7833</v>
      </c>
      <c r="C3070" s="136" t="s">
        <v>7843</v>
      </c>
      <c r="D3070" s="136" t="s">
        <v>1669</v>
      </c>
      <c r="E3070" s="136" t="s">
        <v>615</v>
      </c>
      <c r="F3070" s="136">
        <v>313</v>
      </c>
      <c r="G3070" s="137">
        <f t="shared" si="12"/>
        <v>2</v>
      </c>
      <c r="H3070" s="137"/>
      <c r="I3070" s="137"/>
      <c r="J3070" s="135"/>
      <c r="K3070" s="135"/>
      <c r="L3070" s="135"/>
      <c r="M3070" s="135"/>
      <c r="N3070" s="135"/>
      <c r="O3070" s="135"/>
      <c r="P3070" s="135"/>
      <c r="Q3070" s="135"/>
      <c r="R3070" s="135"/>
      <c r="S3070" s="135"/>
      <c r="T3070" s="135"/>
      <c r="U3070" s="135"/>
      <c r="V3070" s="135"/>
      <c r="W3070" s="135"/>
      <c r="X3070" s="135"/>
      <c r="Y3070" s="135"/>
      <c r="Z3070" s="135"/>
    </row>
    <row r="3071" spans="1:26" ht="12.75">
      <c r="A3071" s="136" t="s">
        <v>10</v>
      </c>
      <c r="B3071" s="136" t="s">
        <v>7833</v>
      </c>
      <c r="C3071" s="136" t="s">
        <v>7843</v>
      </c>
      <c r="D3071" s="136" t="s">
        <v>114</v>
      </c>
      <c r="E3071" s="136" t="s">
        <v>85</v>
      </c>
      <c r="F3071" s="136">
        <v>168</v>
      </c>
      <c r="G3071" s="137">
        <f t="shared" si="12"/>
        <v>3</v>
      </c>
      <c r="H3071" s="137"/>
      <c r="I3071" s="137"/>
      <c r="J3071" s="135"/>
      <c r="K3071" s="135"/>
      <c r="L3071" s="135"/>
      <c r="M3071" s="135"/>
      <c r="N3071" s="135"/>
      <c r="O3071" s="135"/>
      <c r="P3071" s="135"/>
      <c r="Q3071" s="135"/>
      <c r="R3071" s="135"/>
      <c r="S3071" s="135"/>
      <c r="T3071" s="135"/>
      <c r="U3071" s="135"/>
      <c r="V3071" s="135"/>
      <c r="W3071" s="135"/>
      <c r="X3071" s="135"/>
      <c r="Y3071" s="135"/>
      <c r="Z3071" s="135"/>
    </row>
    <row r="3072" spans="1:26" ht="12.75">
      <c r="A3072" s="136" t="s">
        <v>10</v>
      </c>
      <c r="B3072" s="136" t="s">
        <v>7833</v>
      </c>
      <c r="C3072" s="136" t="s">
        <v>7843</v>
      </c>
      <c r="D3072" s="136" t="s">
        <v>7481</v>
      </c>
      <c r="E3072" s="136" t="s">
        <v>615</v>
      </c>
      <c r="F3072" s="136">
        <v>129</v>
      </c>
      <c r="G3072" s="137">
        <f t="shared" si="12"/>
        <v>4</v>
      </c>
      <c r="H3072" s="137"/>
      <c r="I3072" s="137"/>
      <c r="J3072" s="135"/>
      <c r="K3072" s="135"/>
      <c r="L3072" s="135"/>
      <c r="M3072" s="135"/>
      <c r="N3072" s="135"/>
      <c r="O3072" s="135"/>
      <c r="P3072" s="135"/>
      <c r="Q3072" s="135"/>
      <c r="R3072" s="135"/>
      <c r="S3072" s="135"/>
      <c r="T3072" s="135"/>
      <c r="U3072" s="135"/>
      <c r="V3072" s="135"/>
      <c r="W3072" s="135"/>
      <c r="X3072" s="135"/>
      <c r="Y3072" s="135"/>
      <c r="Z3072" s="135"/>
    </row>
    <row r="3073" spans="1:26" ht="12.75">
      <c r="A3073" s="136" t="s">
        <v>10</v>
      </c>
      <c r="B3073" s="136" t="s">
        <v>7833</v>
      </c>
      <c r="C3073" s="136" t="s">
        <v>7843</v>
      </c>
      <c r="D3073" s="136" t="s">
        <v>7844</v>
      </c>
      <c r="E3073" s="136" t="s">
        <v>615</v>
      </c>
      <c r="F3073" s="136">
        <v>127</v>
      </c>
      <c r="G3073" s="137">
        <f t="shared" si="12"/>
        <v>5</v>
      </c>
      <c r="H3073" s="137"/>
      <c r="I3073" s="137"/>
      <c r="J3073" s="135"/>
      <c r="K3073" s="135"/>
      <c r="L3073" s="135"/>
      <c r="M3073" s="135"/>
      <c r="N3073" s="135"/>
      <c r="O3073" s="135"/>
      <c r="P3073" s="135"/>
      <c r="Q3073" s="135"/>
      <c r="R3073" s="135"/>
      <c r="S3073" s="135"/>
      <c r="T3073" s="135"/>
      <c r="U3073" s="135"/>
      <c r="V3073" s="135"/>
      <c r="W3073" s="135"/>
      <c r="X3073" s="135"/>
      <c r="Y3073" s="135"/>
      <c r="Z3073" s="135"/>
    </row>
    <row r="3074" spans="1:26" ht="12.75">
      <c r="A3074" s="136" t="s">
        <v>10</v>
      </c>
      <c r="B3074" s="136" t="s">
        <v>7833</v>
      </c>
      <c r="C3074" s="136" t="s">
        <v>7843</v>
      </c>
      <c r="D3074" s="136" t="s">
        <v>7544</v>
      </c>
      <c r="E3074" s="136" t="s">
        <v>615</v>
      </c>
      <c r="F3074" s="136">
        <v>102</v>
      </c>
      <c r="G3074" s="137">
        <f t="shared" si="12"/>
        <v>6</v>
      </c>
      <c r="H3074" s="137"/>
      <c r="I3074" s="137"/>
      <c r="J3074" s="135"/>
      <c r="K3074" s="135"/>
      <c r="L3074" s="135"/>
      <c r="M3074" s="135"/>
      <c r="N3074" s="135"/>
      <c r="O3074" s="135"/>
      <c r="P3074" s="135"/>
      <c r="Q3074" s="135"/>
      <c r="R3074" s="135"/>
      <c r="S3074" s="135"/>
      <c r="T3074" s="135"/>
      <c r="U3074" s="135"/>
      <c r="V3074" s="135"/>
      <c r="W3074" s="135"/>
      <c r="X3074" s="135"/>
      <c r="Y3074" s="135"/>
      <c r="Z3074" s="135"/>
    </row>
    <row r="3075" spans="1:26" ht="12.75">
      <c r="A3075" s="136" t="s">
        <v>10</v>
      </c>
      <c r="B3075" s="136" t="s">
        <v>7833</v>
      </c>
      <c r="C3075" s="136" t="s">
        <v>7843</v>
      </c>
      <c r="D3075" s="136" t="s">
        <v>165</v>
      </c>
      <c r="E3075" s="136" t="s">
        <v>615</v>
      </c>
      <c r="F3075" s="136">
        <v>93</v>
      </c>
      <c r="G3075" s="137">
        <f t="shared" si="12"/>
        <v>7</v>
      </c>
      <c r="H3075" s="137"/>
      <c r="I3075" s="137"/>
      <c r="J3075" s="135"/>
      <c r="K3075" s="135"/>
      <c r="L3075" s="135"/>
      <c r="M3075" s="135"/>
      <c r="N3075" s="135"/>
      <c r="O3075" s="135"/>
      <c r="P3075" s="135"/>
      <c r="Q3075" s="135"/>
      <c r="R3075" s="135"/>
      <c r="S3075" s="135"/>
      <c r="T3075" s="135"/>
      <c r="U3075" s="135"/>
      <c r="V3075" s="135"/>
      <c r="W3075" s="135"/>
      <c r="X3075" s="135"/>
      <c r="Y3075" s="135"/>
      <c r="Z3075" s="135"/>
    </row>
    <row r="3076" spans="1:26" ht="12.75">
      <c r="A3076" s="136" t="s">
        <v>10</v>
      </c>
      <c r="B3076" s="136" t="s">
        <v>7833</v>
      </c>
      <c r="C3076" s="136" t="s">
        <v>7843</v>
      </c>
      <c r="D3076" s="136" t="s">
        <v>368</v>
      </c>
      <c r="E3076" s="136" t="s">
        <v>594</v>
      </c>
      <c r="F3076" s="136">
        <v>53</v>
      </c>
      <c r="G3076" s="137">
        <f t="shared" si="12"/>
        <v>8</v>
      </c>
      <c r="H3076" s="137"/>
      <c r="I3076" s="137"/>
      <c r="J3076" s="135"/>
      <c r="K3076" s="135"/>
      <c r="L3076" s="135"/>
      <c r="M3076" s="135"/>
      <c r="N3076" s="135"/>
      <c r="O3076" s="135"/>
      <c r="P3076" s="135"/>
      <c r="Q3076" s="135"/>
      <c r="R3076" s="135"/>
      <c r="S3076" s="135"/>
      <c r="T3076" s="135"/>
      <c r="U3076" s="135"/>
      <c r="V3076" s="135"/>
      <c r="W3076" s="135"/>
      <c r="X3076" s="135"/>
      <c r="Y3076" s="135"/>
      <c r="Z3076" s="135"/>
    </row>
    <row r="3077" spans="1:26" ht="12.75">
      <c r="A3077" s="136" t="s">
        <v>10</v>
      </c>
      <c r="B3077" s="136" t="s">
        <v>7833</v>
      </c>
      <c r="C3077" s="136" t="s">
        <v>7843</v>
      </c>
      <c r="D3077" s="136" t="s">
        <v>131</v>
      </c>
      <c r="E3077" s="136" t="s">
        <v>594</v>
      </c>
      <c r="F3077" s="136">
        <v>51</v>
      </c>
      <c r="G3077" s="137">
        <f t="shared" si="12"/>
        <v>9</v>
      </c>
      <c r="H3077" s="137"/>
      <c r="I3077" s="137"/>
      <c r="J3077" s="135"/>
      <c r="K3077" s="135"/>
      <c r="L3077" s="135"/>
      <c r="M3077" s="135"/>
      <c r="N3077" s="135"/>
      <c r="O3077" s="135"/>
      <c r="P3077" s="135"/>
      <c r="Q3077" s="135"/>
      <c r="R3077" s="135"/>
      <c r="S3077" s="135"/>
      <c r="T3077" s="135"/>
      <c r="U3077" s="135"/>
      <c r="V3077" s="135"/>
      <c r="W3077" s="135"/>
      <c r="X3077" s="135"/>
      <c r="Y3077" s="135"/>
      <c r="Z3077" s="135"/>
    </row>
    <row r="3078" spans="1:26" ht="12.75">
      <c r="A3078" s="136" t="s">
        <v>10</v>
      </c>
      <c r="B3078" s="136" t="s">
        <v>7833</v>
      </c>
      <c r="C3078" s="136" t="s">
        <v>7843</v>
      </c>
      <c r="D3078" s="136" t="s">
        <v>103</v>
      </c>
      <c r="E3078" s="136" t="s">
        <v>594</v>
      </c>
      <c r="F3078" s="136">
        <v>43</v>
      </c>
      <c r="G3078" s="137">
        <f t="shared" si="12"/>
        <v>10</v>
      </c>
      <c r="H3078" s="137"/>
      <c r="I3078" s="137"/>
      <c r="J3078" s="135"/>
      <c r="K3078" s="135"/>
      <c r="L3078" s="135"/>
      <c r="M3078" s="135"/>
      <c r="N3078" s="135"/>
      <c r="O3078" s="135"/>
      <c r="P3078" s="135"/>
      <c r="Q3078" s="135"/>
      <c r="R3078" s="135"/>
      <c r="S3078" s="135"/>
      <c r="T3078" s="135"/>
      <c r="U3078" s="135"/>
      <c r="V3078" s="135"/>
      <c r="W3078" s="135"/>
      <c r="X3078" s="135"/>
      <c r="Y3078" s="135"/>
      <c r="Z3078" s="135"/>
    </row>
    <row r="3079" spans="1:26" ht="12.75">
      <c r="A3079" s="136" t="s">
        <v>10</v>
      </c>
      <c r="B3079" s="136" t="s">
        <v>7833</v>
      </c>
      <c r="C3079" s="136" t="s">
        <v>7843</v>
      </c>
      <c r="D3079" s="136" t="s">
        <v>467</v>
      </c>
      <c r="E3079" s="136" t="s">
        <v>85</v>
      </c>
      <c r="F3079" s="136">
        <v>32</v>
      </c>
      <c r="G3079" s="137">
        <f t="shared" si="12"/>
        <v>11</v>
      </c>
      <c r="H3079" s="137"/>
      <c r="I3079" s="137"/>
      <c r="J3079" s="135"/>
      <c r="K3079" s="135"/>
      <c r="L3079" s="135"/>
      <c r="M3079" s="135"/>
      <c r="N3079" s="135"/>
      <c r="O3079" s="135"/>
      <c r="P3079" s="135"/>
      <c r="Q3079" s="135"/>
      <c r="R3079" s="135"/>
      <c r="S3079" s="135"/>
      <c r="T3079" s="135"/>
      <c r="U3079" s="135"/>
      <c r="V3079" s="135"/>
      <c r="W3079" s="135"/>
      <c r="X3079" s="135"/>
      <c r="Y3079" s="135"/>
      <c r="Z3079" s="135"/>
    </row>
    <row r="3080" spans="1:26" ht="12.75">
      <c r="A3080" s="136" t="s">
        <v>10</v>
      </c>
      <c r="B3080" s="136" t="s">
        <v>7833</v>
      </c>
      <c r="C3080" s="136" t="s">
        <v>7843</v>
      </c>
      <c r="D3080" s="136" t="s">
        <v>7688</v>
      </c>
      <c r="E3080" s="136" t="s">
        <v>594</v>
      </c>
      <c r="F3080" s="136">
        <v>25</v>
      </c>
      <c r="G3080" s="137">
        <f t="shared" si="12"/>
        <v>12</v>
      </c>
      <c r="H3080" s="137"/>
      <c r="I3080" s="137"/>
      <c r="J3080" s="135"/>
      <c r="K3080" s="135"/>
      <c r="L3080" s="135"/>
      <c r="M3080" s="135"/>
      <c r="N3080" s="135"/>
      <c r="O3080" s="135"/>
      <c r="P3080" s="135"/>
      <c r="Q3080" s="135"/>
      <c r="R3080" s="135"/>
      <c r="S3080" s="135"/>
      <c r="T3080" s="135"/>
      <c r="U3080" s="135"/>
      <c r="V3080" s="135"/>
      <c r="W3080" s="135"/>
      <c r="X3080" s="135"/>
      <c r="Y3080" s="135"/>
      <c r="Z3080" s="135"/>
    </row>
    <row r="3081" spans="1:26" ht="12.75">
      <c r="A3081" s="136" t="s">
        <v>10</v>
      </c>
      <c r="B3081" s="136" t="s">
        <v>7833</v>
      </c>
      <c r="C3081" s="136" t="s">
        <v>7843</v>
      </c>
      <c r="D3081" s="136" t="s">
        <v>1656</v>
      </c>
      <c r="E3081" s="136" t="s">
        <v>615</v>
      </c>
      <c r="F3081" s="136">
        <v>25</v>
      </c>
      <c r="G3081" s="137">
        <f t="shared" si="12"/>
        <v>13</v>
      </c>
      <c r="H3081" s="137"/>
      <c r="I3081" s="137"/>
      <c r="J3081" s="135"/>
      <c r="K3081" s="135"/>
      <c r="L3081" s="135"/>
      <c r="M3081" s="135"/>
      <c r="N3081" s="135"/>
      <c r="O3081" s="135"/>
      <c r="P3081" s="135"/>
      <c r="Q3081" s="135"/>
      <c r="R3081" s="135"/>
      <c r="S3081" s="135"/>
      <c r="T3081" s="135"/>
      <c r="U3081" s="135"/>
      <c r="V3081" s="135"/>
      <c r="W3081" s="135"/>
      <c r="X3081" s="135"/>
      <c r="Y3081" s="135"/>
      <c r="Z3081" s="135"/>
    </row>
    <row r="3082" spans="1:26" ht="12.75">
      <c r="A3082" s="136" t="s">
        <v>10</v>
      </c>
      <c r="B3082" s="136" t="s">
        <v>7833</v>
      </c>
      <c r="C3082" s="136" t="s">
        <v>7843</v>
      </c>
      <c r="D3082" s="136" t="s">
        <v>7532</v>
      </c>
      <c r="E3082" s="136" t="s">
        <v>615</v>
      </c>
      <c r="F3082" s="136">
        <v>18</v>
      </c>
      <c r="G3082" s="137">
        <f t="shared" si="12"/>
        <v>14</v>
      </c>
      <c r="H3082" s="137"/>
      <c r="I3082" s="137"/>
      <c r="J3082" s="135"/>
      <c r="K3082" s="135"/>
      <c r="L3082" s="135"/>
      <c r="M3082" s="135"/>
      <c r="N3082" s="135"/>
      <c r="O3082" s="135"/>
      <c r="P3082" s="135"/>
      <c r="Q3082" s="135"/>
      <c r="R3082" s="135"/>
      <c r="S3082" s="135"/>
      <c r="T3082" s="135"/>
      <c r="U3082" s="135"/>
      <c r="V3082" s="135"/>
      <c r="W3082" s="135"/>
      <c r="X3082" s="135"/>
      <c r="Y3082" s="135"/>
      <c r="Z3082" s="135"/>
    </row>
    <row r="3083" spans="1:26" ht="12.75">
      <c r="A3083" s="136" t="s">
        <v>10</v>
      </c>
      <c r="B3083" s="136" t="s">
        <v>7833</v>
      </c>
      <c r="C3083" s="136" t="s">
        <v>538</v>
      </c>
      <c r="D3083" s="136" t="s">
        <v>139</v>
      </c>
      <c r="E3083" s="136" t="s">
        <v>594</v>
      </c>
      <c r="F3083" s="136">
        <v>2023</v>
      </c>
      <c r="G3083" s="137">
        <f t="shared" si="12"/>
        <v>1</v>
      </c>
      <c r="H3083" s="137"/>
      <c r="I3083" s="137"/>
      <c r="J3083" s="135"/>
      <c r="K3083" s="135"/>
      <c r="L3083" s="135"/>
      <c r="M3083" s="135"/>
      <c r="N3083" s="135"/>
      <c r="O3083" s="135"/>
      <c r="P3083" s="135"/>
      <c r="Q3083" s="135"/>
      <c r="R3083" s="135"/>
      <c r="S3083" s="135"/>
      <c r="T3083" s="135"/>
      <c r="U3083" s="135"/>
      <c r="V3083" s="135"/>
      <c r="W3083" s="135"/>
      <c r="X3083" s="135"/>
      <c r="Y3083" s="135"/>
      <c r="Z3083" s="135"/>
    </row>
    <row r="3084" spans="1:26" ht="12.75">
      <c r="A3084" s="136" t="s">
        <v>10</v>
      </c>
      <c r="B3084" s="136" t="s">
        <v>7833</v>
      </c>
      <c r="C3084" s="136" t="s">
        <v>538</v>
      </c>
      <c r="D3084" s="136" t="s">
        <v>114</v>
      </c>
      <c r="E3084" s="136" t="s">
        <v>85</v>
      </c>
      <c r="F3084" s="136">
        <v>462</v>
      </c>
      <c r="G3084" s="137">
        <f t="shared" si="12"/>
        <v>2</v>
      </c>
      <c r="H3084" s="137"/>
      <c r="I3084" s="137"/>
      <c r="J3084" s="135"/>
      <c r="K3084" s="135"/>
      <c r="L3084" s="135"/>
      <c r="M3084" s="135"/>
      <c r="N3084" s="135"/>
      <c r="O3084" s="135"/>
      <c r="P3084" s="135"/>
      <c r="Q3084" s="135"/>
      <c r="R3084" s="135"/>
      <c r="S3084" s="135"/>
      <c r="T3084" s="135"/>
      <c r="U3084" s="135"/>
      <c r="V3084" s="135"/>
      <c r="W3084" s="135"/>
      <c r="X3084" s="135"/>
      <c r="Y3084" s="135"/>
      <c r="Z3084" s="135"/>
    </row>
    <row r="3085" spans="1:26" ht="12.75">
      <c r="A3085" s="136" t="s">
        <v>10</v>
      </c>
      <c r="B3085" s="136" t="s">
        <v>7833</v>
      </c>
      <c r="C3085" s="136" t="s">
        <v>538</v>
      </c>
      <c r="D3085" s="136" t="s">
        <v>1669</v>
      </c>
      <c r="E3085" s="136" t="s">
        <v>615</v>
      </c>
      <c r="F3085" s="136">
        <v>355</v>
      </c>
      <c r="G3085" s="137">
        <f t="shared" si="12"/>
        <v>3</v>
      </c>
      <c r="H3085" s="137"/>
      <c r="I3085" s="137"/>
      <c r="J3085" s="135"/>
      <c r="K3085" s="135"/>
      <c r="L3085" s="135"/>
      <c r="M3085" s="135"/>
      <c r="N3085" s="135"/>
      <c r="O3085" s="135"/>
      <c r="P3085" s="135"/>
      <c r="Q3085" s="135"/>
      <c r="R3085" s="135"/>
      <c r="S3085" s="135"/>
      <c r="T3085" s="135"/>
      <c r="U3085" s="135"/>
      <c r="V3085" s="135"/>
      <c r="W3085" s="135"/>
      <c r="X3085" s="135"/>
      <c r="Y3085" s="135"/>
      <c r="Z3085" s="135"/>
    </row>
    <row r="3086" spans="1:26" ht="12.75">
      <c r="A3086" s="136" t="s">
        <v>10</v>
      </c>
      <c r="B3086" s="136" t="s">
        <v>7833</v>
      </c>
      <c r="C3086" s="136" t="s">
        <v>538</v>
      </c>
      <c r="D3086" s="136" t="s">
        <v>7844</v>
      </c>
      <c r="E3086" s="136" t="s">
        <v>615</v>
      </c>
      <c r="F3086" s="136">
        <v>157</v>
      </c>
      <c r="G3086" s="137">
        <f t="shared" si="12"/>
        <v>4</v>
      </c>
      <c r="H3086" s="137"/>
      <c r="I3086" s="137"/>
      <c r="J3086" s="135"/>
      <c r="K3086" s="135"/>
      <c r="L3086" s="135"/>
      <c r="M3086" s="135"/>
      <c r="N3086" s="135"/>
      <c r="O3086" s="135"/>
      <c r="P3086" s="135"/>
      <c r="Q3086" s="135"/>
      <c r="R3086" s="135"/>
      <c r="S3086" s="135"/>
      <c r="T3086" s="135"/>
      <c r="U3086" s="135"/>
      <c r="V3086" s="135"/>
      <c r="W3086" s="135"/>
      <c r="X3086" s="135"/>
      <c r="Y3086" s="135"/>
      <c r="Z3086" s="135"/>
    </row>
    <row r="3087" spans="1:26" ht="12.75">
      <c r="A3087" s="136" t="s">
        <v>10</v>
      </c>
      <c r="B3087" s="136" t="s">
        <v>7833</v>
      </c>
      <c r="C3087" s="136" t="s">
        <v>538</v>
      </c>
      <c r="D3087" s="136" t="s">
        <v>131</v>
      </c>
      <c r="E3087" s="136" t="s">
        <v>594</v>
      </c>
      <c r="F3087" s="136">
        <v>151</v>
      </c>
      <c r="G3087" s="137">
        <f t="shared" si="12"/>
        <v>5</v>
      </c>
      <c r="H3087" s="137"/>
      <c r="I3087" s="137"/>
      <c r="J3087" s="135"/>
      <c r="K3087" s="135"/>
      <c r="L3087" s="135"/>
      <c r="M3087" s="135"/>
      <c r="N3087" s="135"/>
      <c r="O3087" s="135"/>
      <c r="P3087" s="135"/>
      <c r="Q3087" s="135"/>
      <c r="R3087" s="135"/>
      <c r="S3087" s="135"/>
      <c r="T3087" s="135"/>
      <c r="U3087" s="135"/>
      <c r="V3087" s="135"/>
      <c r="W3087" s="135"/>
      <c r="X3087" s="135"/>
      <c r="Y3087" s="135"/>
      <c r="Z3087" s="135"/>
    </row>
    <row r="3088" spans="1:26" ht="12.75">
      <c r="A3088" s="136" t="s">
        <v>10</v>
      </c>
      <c r="B3088" s="136" t="s">
        <v>7833</v>
      </c>
      <c r="C3088" s="136" t="s">
        <v>538</v>
      </c>
      <c r="D3088" s="136" t="s">
        <v>368</v>
      </c>
      <c r="E3088" s="136" t="s">
        <v>594</v>
      </c>
      <c r="F3088" s="136">
        <v>147</v>
      </c>
      <c r="G3088" s="137">
        <f t="shared" si="12"/>
        <v>6</v>
      </c>
      <c r="H3088" s="137"/>
      <c r="I3088" s="137"/>
      <c r="J3088" s="135"/>
      <c r="K3088" s="135"/>
      <c r="L3088" s="135"/>
      <c r="M3088" s="135"/>
      <c r="N3088" s="135"/>
      <c r="O3088" s="135"/>
      <c r="P3088" s="135"/>
      <c r="Q3088" s="135"/>
      <c r="R3088" s="135"/>
      <c r="S3088" s="135"/>
      <c r="T3088" s="135"/>
      <c r="U3088" s="135"/>
      <c r="V3088" s="135"/>
      <c r="W3088" s="135"/>
      <c r="X3088" s="135"/>
      <c r="Y3088" s="135"/>
      <c r="Z3088" s="135"/>
    </row>
    <row r="3089" spans="1:26" ht="12.75">
      <c r="A3089" s="136" t="s">
        <v>10</v>
      </c>
      <c r="B3089" s="136" t="s">
        <v>7833</v>
      </c>
      <c r="C3089" s="136" t="s">
        <v>538</v>
      </c>
      <c r="D3089" s="136" t="s">
        <v>7481</v>
      </c>
      <c r="E3089" s="136" t="s">
        <v>615</v>
      </c>
      <c r="F3089" s="136">
        <v>131</v>
      </c>
      <c r="G3089" s="137">
        <f t="shared" si="12"/>
        <v>7</v>
      </c>
      <c r="H3089" s="137"/>
      <c r="I3089" s="137"/>
      <c r="J3089" s="135"/>
      <c r="K3089" s="135"/>
      <c r="L3089" s="135"/>
      <c r="M3089" s="135"/>
      <c r="N3089" s="135"/>
      <c r="O3089" s="135"/>
      <c r="P3089" s="135"/>
      <c r="Q3089" s="135"/>
      <c r="R3089" s="135"/>
      <c r="S3089" s="135"/>
      <c r="T3089" s="135"/>
      <c r="U3089" s="135"/>
      <c r="V3089" s="135"/>
      <c r="W3089" s="135"/>
      <c r="X3089" s="135"/>
      <c r="Y3089" s="135"/>
      <c r="Z3089" s="135"/>
    </row>
    <row r="3090" spans="1:26" ht="12.75">
      <c r="A3090" s="136" t="s">
        <v>10</v>
      </c>
      <c r="B3090" s="136" t="s">
        <v>7833</v>
      </c>
      <c r="C3090" s="136" t="s">
        <v>538</v>
      </c>
      <c r="D3090" s="136" t="s">
        <v>103</v>
      </c>
      <c r="E3090" s="136" t="s">
        <v>594</v>
      </c>
      <c r="F3090" s="136">
        <v>110</v>
      </c>
      <c r="G3090" s="137">
        <f t="shared" si="12"/>
        <v>8</v>
      </c>
      <c r="H3090" s="137"/>
      <c r="I3090" s="137"/>
      <c r="J3090" s="135"/>
      <c r="K3090" s="135"/>
      <c r="L3090" s="135"/>
      <c r="M3090" s="135"/>
      <c r="N3090" s="135"/>
      <c r="O3090" s="135"/>
      <c r="P3090" s="135"/>
      <c r="Q3090" s="135"/>
      <c r="R3090" s="135"/>
      <c r="S3090" s="135"/>
      <c r="T3090" s="135"/>
      <c r="U3090" s="135"/>
      <c r="V3090" s="135"/>
      <c r="W3090" s="135"/>
      <c r="X3090" s="135"/>
      <c r="Y3090" s="135"/>
      <c r="Z3090" s="135"/>
    </row>
    <row r="3091" spans="1:26" ht="12.75">
      <c r="A3091" s="136" t="s">
        <v>10</v>
      </c>
      <c r="B3091" s="136" t="s">
        <v>7833</v>
      </c>
      <c r="C3091" s="136" t="s">
        <v>538</v>
      </c>
      <c r="D3091" s="136" t="s">
        <v>1656</v>
      </c>
      <c r="E3091" s="136" t="s">
        <v>615</v>
      </c>
      <c r="F3091" s="136">
        <v>99</v>
      </c>
      <c r="G3091" s="137">
        <f t="shared" si="12"/>
        <v>9</v>
      </c>
      <c r="H3091" s="137"/>
      <c r="I3091" s="137"/>
      <c r="J3091" s="135"/>
      <c r="K3091" s="135"/>
      <c r="L3091" s="135"/>
      <c r="M3091" s="135"/>
      <c r="N3091" s="135"/>
      <c r="O3091" s="135"/>
      <c r="P3091" s="135"/>
      <c r="Q3091" s="135"/>
      <c r="R3091" s="135"/>
      <c r="S3091" s="135"/>
      <c r="T3091" s="135"/>
      <c r="U3091" s="135"/>
      <c r="V3091" s="135"/>
      <c r="W3091" s="135"/>
      <c r="X3091" s="135"/>
      <c r="Y3091" s="135"/>
      <c r="Z3091" s="135"/>
    </row>
    <row r="3092" spans="1:26" ht="12.75">
      <c r="A3092" s="136" t="s">
        <v>10</v>
      </c>
      <c r="B3092" s="136" t="s">
        <v>7833</v>
      </c>
      <c r="C3092" s="136" t="s">
        <v>538</v>
      </c>
      <c r="D3092" s="136" t="s">
        <v>1626</v>
      </c>
      <c r="E3092" s="136" t="s">
        <v>594</v>
      </c>
      <c r="F3092" s="136">
        <v>67</v>
      </c>
      <c r="G3092" s="137">
        <f t="shared" si="12"/>
        <v>10</v>
      </c>
      <c r="H3092" s="137"/>
      <c r="I3092" s="137"/>
      <c r="J3092" s="135"/>
      <c r="K3092" s="135"/>
      <c r="L3092" s="135"/>
      <c r="M3092" s="135"/>
      <c r="N3092" s="135"/>
      <c r="O3092" s="135"/>
      <c r="P3092" s="135"/>
      <c r="Q3092" s="135"/>
      <c r="R3092" s="135"/>
      <c r="S3092" s="135"/>
      <c r="T3092" s="135"/>
      <c r="U3092" s="135"/>
      <c r="V3092" s="135"/>
      <c r="W3092" s="135"/>
      <c r="X3092" s="135"/>
      <c r="Y3092" s="135"/>
      <c r="Z3092" s="135"/>
    </row>
    <row r="3093" spans="1:26" ht="12.75">
      <c r="A3093" s="136" t="s">
        <v>10</v>
      </c>
      <c r="B3093" s="136" t="s">
        <v>7833</v>
      </c>
      <c r="C3093" s="136" t="s">
        <v>538</v>
      </c>
      <c r="D3093" s="136" t="s">
        <v>1674</v>
      </c>
      <c r="E3093" s="136" t="s">
        <v>615</v>
      </c>
      <c r="F3093" s="136">
        <v>61</v>
      </c>
      <c r="G3093" s="137">
        <f t="shared" si="12"/>
        <v>11</v>
      </c>
      <c r="H3093" s="137"/>
      <c r="I3093" s="137"/>
      <c r="J3093" s="135"/>
      <c r="K3093" s="135"/>
      <c r="L3093" s="135"/>
      <c r="M3093" s="135"/>
      <c r="N3093" s="135"/>
      <c r="O3093" s="135"/>
      <c r="P3093" s="135"/>
      <c r="Q3093" s="135"/>
      <c r="R3093" s="135"/>
      <c r="S3093" s="135"/>
      <c r="T3093" s="135"/>
      <c r="U3093" s="135"/>
      <c r="V3093" s="135"/>
      <c r="W3093" s="135"/>
      <c r="X3093" s="135"/>
      <c r="Y3093" s="135"/>
      <c r="Z3093" s="135"/>
    </row>
    <row r="3094" spans="1:26" ht="12.75">
      <c r="A3094" s="136" t="s">
        <v>10</v>
      </c>
      <c r="B3094" s="136" t="s">
        <v>7833</v>
      </c>
      <c r="C3094" s="136" t="s">
        <v>538</v>
      </c>
      <c r="D3094" s="136" t="s">
        <v>467</v>
      </c>
      <c r="E3094" s="136" t="s">
        <v>85</v>
      </c>
      <c r="F3094" s="136">
        <v>21</v>
      </c>
      <c r="G3094" s="137">
        <f t="shared" si="12"/>
        <v>12</v>
      </c>
      <c r="H3094" s="137"/>
      <c r="I3094" s="137"/>
      <c r="J3094" s="135"/>
      <c r="K3094" s="135"/>
      <c r="L3094" s="135"/>
      <c r="M3094" s="135"/>
      <c r="N3094" s="135"/>
      <c r="O3094" s="135"/>
      <c r="P3094" s="135"/>
      <c r="Q3094" s="135"/>
      <c r="R3094" s="135"/>
      <c r="S3094" s="135"/>
      <c r="T3094" s="135"/>
      <c r="U3094" s="135"/>
      <c r="V3094" s="135"/>
      <c r="W3094" s="135"/>
      <c r="X3094" s="135"/>
      <c r="Y3094" s="135"/>
      <c r="Z3094" s="135"/>
    </row>
    <row r="3095" spans="1:26" ht="12.75">
      <c r="A3095" s="136" t="s">
        <v>10</v>
      </c>
      <c r="B3095" s="136" t="s">
        <v>7833</v>
      </c>
      <c r="C3095" s="136" t="s">
        <v>538</v>
      </c>
      <c r="D3095" s="136" t="s">
        <v>7838</v>
      </c>
      <c r="E3095" s="136" t="s">
        <v>86</v>
      </c>
      <c r="F3095" s="136">
        <v>11</v>
      </c>
      <c r="G3095" s="137">
        <f t="shared" si="12"/>
        <v>13</v>
      </c>
      <c r="H3095" s="137"/>
      <c r="I3095" s="137"/>
      <c r="J3095" s="135"/>
      <c r="K3095" s="135"/>
      <c r="L3095" s="135"/>
      <c r="M3095" s="135"/>
      <c r="N3095" s="135"/>
      <c r="O3095" s="135"/>
      <c r="P3095" s="135"/>
      <c r="Q3095" s="135"/>
      <c r="R3095" s="135"/>
      <c r="S3095" s="135"/>
      <c r="T3095" s="135"/>
      <c r="U3095" s="135"/>
      <c r="V3095" s="135"/>
      <c r="W3095" s="135"/>
      <c r="X3095" s="135"/>
      <c r="Y3095" s="135"/>
      <c r="Z3095" s="135"/>
    </row>
    <row r="3096" spans="1:26" ht="12.75">
      <c r="A3096" s="136" t="s">
        <v>10</v>
      </c>
      <c r="B3096" s="136" t="s">
        <v>7833</v>
      </c>
      <c r="C3096" s="136" t="s">
        <v>518</v>
      </c>
      <c r="D3096" s="136" t="s">
        <v>139</v>
      </c>
      <c r="E3096" s="136" t="s">
        <v>594</v>
      </c>
      <c r="F3096" s="136">
        <v>2411</v>
      </c>
      <c r="G3096" s="137">
        <f t="shared" si="12"/>
        <v>1</v>
      </c>
      <c r="H3096" s="137"/>
      <c r="I3096" s="137"/>
      <c r="J3096" s="135"/>
      <c r="K3096" s="135"/>
      <c r="L3096" s="135"/>
      <c r="M3096" s="135"/>
      <c r="N3096" s="135"/>
      <c r="O3096" s="135"/>
      <c r="P3096" s="135"/>
      <c r="Q3096" s="135"/>
      <c r="R3096" s="135"/>
      <c r="S3096" s="135"/>
      <c r="T3096" s="135"/>
      <c r="U3096" s="135"/>
      <c r="V3096" s="135"/>
      <c r="W3096" s="135"/>
      <c r="X3096" s="135"/>
      <c r="Y3096" s="135"/>
      <c r="Z3096" s="135"/>
    </row>
    <row r="3097" spans="1:26" ht="12.75">
      <c r="A3097" s="136" t="s">
        <v>10</v>
      </c>
      <c r="B3097" s="136" t="s">
        <v>7833</v>
      </c>
      <c r="C3097" s="136" t="s">
        <v>518</v>
      </c>
      <c r="D3097" s="136" t="s">
        <v>114</v>
      </c>
      <c r="E3097" s="136" t="s">
        <v>85</v>
      </c>
      <c r="F3097" s="136">
        <v>688</v>
      </c>
      <c r="G3097" s="137">
        <f t="shared" si="12"/>
        <v>2</v>
      </c>
      <c r="H3097" s="137"/>
      <c r="I3097" s="137"/>
      <c r="J3097" s="135"/>
      <c r="K3097" s="135"/>
      <c r="L3097" s="135"/>
      <c r="M3097" s="135"/>
      <c r="N3097" s="135"/>
      <c r="O3097" s="135"/>
      <c r="P3097" s="135"/>
      <c r="Q3097" s="135"/>
      <c r="R3097" s="135"/>
      <c r="S3097" s="135"/>
      <c r="T3097" s="135"/>
      <c r="U3097" s="135"/>
      <c r="V3097" s="135"/>
      <c r="W3097" s="135"/>
      <c r="X3097" s="135"/>
      <c r="Y3097" s="135"/>
      <c r="Z3097" s="135"/>
    </row>
    <row r="3098" spans="1:26" ht="12.75">
      <c r="A3098" s="136" t="s">
        <v>10</v>
      </c>
      <c r="B3098" s="136" t="s">
        <v>7833</v>
      </c>
      <c r="C3098" s="136" t="s">
        <v>518</v>
      </c>
      <c r="D3098" s="136" t="s">
        <v>368</v>
      </c>
      <c r="E3098" s="136" t="s">
        <v>594</v>
      </c>
      <c r="F3098" s="136">
        <v>136</v>
      </c>
      <c r="G3098" s="137">
        <f t="shared" si="12"/>
        <v>3</v>
      </c>
      <c r="H3098" s="137"/>
      <c r="I3098" s="137"/>
      <c r="J3098" s="135"/>
      <c r="K3098" s="135"/>
      <c r="L3098" s="135"/>
      <c r="M3098" s="135"/>
      <c r="N3098" s="135"/>
      <c r="O3098" s="135"/>
      <c r="P3098" s="135"/>
      <c r="Q3098" s="135"/>
      <c r="R3098" s="135"/>
      <c r="S3098" s="135"/>
      <c r="T3098" s="135"/>
      <c r="U3098" s="135"/>
      <c r="V3098" s="135"/>
      <c r="W3098" s="135"/>
      <c r="X3098" s="135"/>
      <c r="Y3098" s="135"/>
      <c r="Z3098" s="135"/>
    </row>
    <row r="3099" spans="1:26" ht="12.75">
      <c r="A3099" s="136" t="s">
        <v>10</v>
      </c>
      <c r="B3099" s="136" t="s">
        <v>7833</v>
      </c>
      <c r="C3099" s="136" t="s">
        <v>518</v>
      </c>
      <c r="D3099" s="136" t="s">
        <v>1669</v>
      </c>
      <c r="E3099" s="136" t="s">
        <v>615</v>
      </c>
      <c r="F3099" s="136">
        <v>128</v>
      </c>
      <c r="G3099" s="137">
        <f t="shared" si="12"/>
        <v>4</v>
      </c>
      <c r="H3099" s="137"/>
      <c r="I3099" s="137"/>
      <c r="J3099" s="135"/>
      <c r="K3099" s="135"/>
      <c r="L3099" s="135"/>
      <c r="M3099" s="135"/>
      <c r="N3099" s="135"/>
      <c r="O3099" s="135"/>
      <c r="P3099" s="135"/>
      <c r="Q3099" s="135"/>
      <c r="R3099" s="135"/>
      <c r="S3099" s="135"/>
      <c r="T3099" s="135"/>
      <c r="U3099" s="135"/>
      <c r="V3099" s="135"/>
      <c r="W3099" s="135"/>
      <c r="X3099" s="135"/>
      <c r="Y3099" s="135"/>
      <c r="Z3099" s="135"/>
    </row>
    <row r="3100" spans="1:26" ht="12.75">
      <c r="A3100" s="136" t="s">
        <v>10</v>
      </c>
      <c r="B3100" s="136" t="s">
        <v>7833</v>
      </c>
      <c r="C3100" s="136" t="s">
        <v>518</v>
      </c>
      <c r="D3100" s="136" t="s">
        <v>7481</v>
      </c>
      <c r="E3100" s="136" t="s">
        <v>615</v>
      </c>
      <c r="F3100" s="136">
        <v>123</v>
      </c>
      <c r="G3100" s="137">
        <f t="shared" si="12"/>
        <v>5</v>
      </c>
      <c r="H3100" s="137"/>
      <c r="I3100" s="137"/>
      <c r="J3100" s="135"/>
      <c r="K3100" s="135"/>
      <c r="L3100" s="135"/>
      <c r="M3100" s="135"/>
      <c r="N3100" s="135"/>
      <c r="O3100" s="135"/>
      <c r="P3100" s="135"/>
      <c r="Q3100" s="135"/>
      <c r="R3100" s="135"/>
      <c r="S3100" s="135"/>
      <c r="T3100" s="135"/>
      <c r="U3100" s="135"/>
      <c r="V3100" s="135"/>
      <c r="W3100" s="135"/>
      <c r="X3100" s="135"/>
      <c r="Y3100" s="135"/>
      <c r="Z3100" s="135"/>
    </row>
    <row r="3101" spans="1:26" ht="12.75">
      <c r="A3101" s="136" t="s">
        <v>10</v>
      </c>
      <c r="B3101" s="136" t="s">
        <v>7833</v>
      </c>
      <c r="C3101" s="136" t="s">
        <v>518</v>
      </c>
      <c r="D3101" s="136" t="s">
        <v>131</v>
      </c>
      <c r="E3101" s="136" t="s">
        <v>594</v>
      </c>
      <c r="F3101" s="136">
        <v>108</v>
      </c>
      <c r="G3101" s="137">
        <f t="shared" si="12"/>
        <v>6</v>
      </c>
      <c r="H3101" s="137"/>
      <c r="I3101" s="137"/>
      <c r="J3101" s="135"/>
      <c r="K3101" s="135"/>
      <c r="L3101" s="135"/>
      <c r="M3101" s="135"/>
      <c r="N3101" s="135"/>
      <c r="O3101" s="135"/>
      <c r="P3101" s="135"/>
      <c r="Q3101" s="135"/>
      <c r="R3101" s="135"/>
      <c r="S3101" s="135"/>
      <c r="T3101" s="135"/>
      <c r="U3101" s="135"/>
      <c r="V3101" s="135"/>
      <c r="W3101" s="135"/>
      <c r="X3101" s="135"/>
      <c r="Y3101" s="135"/>
      <c r="Z3101" s="135"/>
    </row>
    <row r="3102" spans="1:26" ht="12.75">
      <c r="A3102" s="136" t="s">
        <v>10</v>
      </c>
      <c r="B3102" s="136" t="s">
        <v>7833</v>
      </c>
      <c r="C3102" s="136" t="s">
        <v>518</v>
      </c>
      <c r="D3102" s="136" t="s">
        <v>7844</v>
      </c>
      <c r="E3102" s="136" t="s">
        <v>615</v>
      </c>
      <c r="F3102" s="136">
        <v>100</v>
      </c>
      <c r="G3102" s="137">
        <f t="shared" si="12"/>
        <v>7</v>
      </c>
      <c r="H3102" s="137"/>
      <c r="I3102" s="137"/>
      <c r="J3102" s="135"/>
      <c r="K3102" s="135"/>
      <c r="L3102" s="135"/>
      <c r="M3102" s="135"/>
      <c r="N3102" s="135"/>
      <c r="O3102" s="135"/>
      <c r="P3102" s="135"/>
      <c r="Q3102" s="135"/>
      <c r="R3102" s="135"/>
      <c r="S3102" s="135"/>
      <c r="T3102" s="135"/>
      <c r="U3102" s="135"/>
      <c r="V3102" s="135"/>
      <c r="W3102" s="135"/>
      <c r="X3102" s="135"/>
      <c r="Y3102" s="135"/>
      <c r="Z3102" s="135"/>
    </row>
    <row r="3103" spans="1:26" ht="12.75">
      <c r="A3103" s="136" t="s">
        <v>10</v>
      </c>
      <c r="B3103" s="136" t="s">
        <v>7833</v>
      </c>
      <c r="C3103" s="136" t="s">
        <v>518</v>
      </c>
      <c r="D3103" s="136" t="s">
        <v>1626</v>
      </c>
      <c r="E3103" s="136" t="s">
        <v>594</v>
      </c>
      <c r="F3103" s="136">
        <v>91</v>
      </c>
      <c r="G3103" s="137">
        <f t="shared" si="12"/>
        <v>8</v>
      </c>
      <c r="H3103" s="137"/>
      <c r="I3103" s="137"/>
      <c r="J3103" s="135"/>
      <c r="K3103" s="135"/>
      <c r="L3103" s="135"/>
      <c r="M3103" s="135"/>
      <c r="N3103" s="135"/>
      <c r="O3103" s="135"/>
      <c r="P3103" s="135"/>
      <c r="Q3103" s="135"/>
      <c r="R3103" s="135"/>
      <c r="S3103" s="135"/>
      <c r="T3103" s="135"/>
      <c r="U3103" s="135"/>
      <c r="V3103" s="135"/>
      <c r="W3103" s="135"/>
      <c r="X3103" s="135"/>
      <c r="Y3103" s="135"/>
      <c r="Z3103" s="135"/>
    </row>
    <row r="3104" spans="1:26" ht="12.75">
      <c r="A3104" s="136" t="s">
        <v>10</v>
      </c>
      <c r="B3104" s="136" t="s">
        <v>7833</v>
      </c>
      <c r="C3104" s="136" t="s">
        <v>518</v>
      </c>
      <c r="D3104" s="136" t="s">
        <v>103</v>
      </c>
      <c r="E3104" s="136" t="s">
        <v>594</v>
      </c>
      <c r="F3104" s="136">
        <v>86</v>
      </c>
      <c r="G3104" s="137">
        <f t="shared" si="12"/>
        <v>9</v>
      </c>
      <c r="H3104" s="137"/>
      <c r="I3104" s="137"/>
      <c r="J3104" s="135"/>
      <c r="K3104" s="135"/>
      <c r="L3104" s="135"/>
      <c r="M3104" s="135"/>
      <c r="N3104" s="135"/>
      <c r="O3104" s="135"/>
      <c r="P3104" s="135"/>
      <c r="Q3104" s="135"/>
      <c r="R3104" s="135"/>
      <c r="S3104" s="135"/>
      <c r="T3104" s="135"/>
      <c r="U3104" s="135"/>
      <c r="V3104" s="135"/>
      <c r="W3104" s="135"/>
      <c r="X3104" s="135"/>
      <c r="Y3104" s="135"/>
      <c r="Z3104" s="135"/>
    </row>
    <row r="3105" spans="1:26" ht="12.75">
      <c r="A3105" s="136" t="s">
        <v>10</v>
      </c>
      <c r="B3105" s="136" t="s">
        <v>7833</v>
      </c>
      <c r="C3105" s="136" t="s">
        <v>518</v>
      </c>
      <c r="D3105" s="136" t="s">
        <v>467</v>
      </c>
      <c r="E3105" s="136" t="s">
        <v>85</v>
      </c>
      <c r="F3105" s="136">
        <v>72</v>
      </c>
      <c r="G3105" s="137">
        <f t="shared" si="12"/>
        <v>10</v>
      </c>
      <c r="H3105" s="137"/>
      <c r="I3105" s="137"/>
      <c r="J3105" s="135"/>
      <c r="K3105" s="135"/>
      <c r="L3105" s="135"/>
      <c r="M3105" s="135"/>
      <c r="N3105" s="135"/>
      <c r="O3105" s="135"/>
      <c r="P3105" s="135"/>
      <c r="Q3105" s="135"/>
      <c r="R3105" s="135"/>
      <c r="S3105" s="135"/>
      <c r="T3105" s="135"/>
      <c r="U3105" s="135"/>
      <c r="V3105" s="135"/>
      <c r="W3105" s="135"/>
      <c r="X3105" s="135"/>
      <c r="Y3105" s="135"/>
      <c r="Z3105" s="135"/>
    </row>
    <row r="3106" spans="1:26" ht="12.75">
      <c r="A3106" s="136" t="s">
        <v>10</v>
      </c>
      <c r="B3106" s="136" t="s">
        <v>7833</v>
      </c>
      <c r="C3106" s="136" t="s">
        <v>518</v>
      </c>
      <c r="D3106" s="136" t="s">
        <v>165</v>
      </c>
      <c r="E3106" s="136" t="s">
        <v>615</v>
      </c>
      <c r="F3106" s="136">
        <v>62</v>
      </c>
      <c r="G3106" s="137">
        <f t="shared" si="12"/>
        <v>11</v>
      </c>
      <c r="H3106" s="137"/>
      <c r="I3106" s="137"/>
      <c r="J3106" s="135"/>
      <c r="K3106" s="135"/>
      <c r="L3106" s="135"/>
      <c r="M3106" s="135"/>
      <c r="N3106" s="135"/>
      <c r="O3106" s="135"/>
      <c r="P3106" s="135"/>
      <c r="Q3106" s="135"/>
      <c r="R3106" s="135"/>
      <c r="S3106" s="135"/>
      <c r="T3106" s="135"/>
      <c r="U3106" s="135"/>
      <c r="V3106" s="135"/>
      <c r="W3106" s="135"/>
      <c r="X3106" s="135"/>
      <c r="Y3106" s="135"/>
      <c r="Z3106" s="135"/>
    </row>
    <row r="3107" spans="1:26" ht="12.75">
      <c r="A3107" s="136" t="s">
        <v>10</v>
      </c>
      <c r="B3107" s="136" t="s">
        <v>7833</v>
      </c>
      <c r="C3107" s="136" t="s">
        <v>518</v>
      </c>
      <c r="D3107" s="136" t="s">
        <v>1656</v>
      </c>
      <c r="E3107" s="136" t="s">
        <v>615</v>
      </c>
      <c r="F3107" s="136">
        <v>59</v>
      </c>
      <c r="G3107" s="137">
        <f t="shared" si="12"/>
        <v>12</v>
      </c>
      <c r="H3107" s="137"/>
      <c r="I3107" s="137"/>
      <c r="J3107" s="135"/>
      <c r="K3107" s="135"/>
      <c r="L3107" s="135"/>
      <c r="M3107" s="135"/>
      <c r="N3107" s="135"/>
      <c r="O3107" s="135"/>
      <c r="P3107" s="135"/>
      <c r="Q3107" s="135"/>
      <c r="R3107" s="135"/>
      <c r="S3107" s="135"/>
      <c r="T3107" s="135"/>
      <c r="U3107" s="135"/>
      <c r="V3107" s="135"/>
      <c r="W3107" s="135"/>
      <c r="X3107" s="135"/>
      <c r="Y3107" s="135"/>
      <c r="Z3107" s="135"/>
    </row>
    <row r="3108" spans="1:26" ht="12.75">
      <c r="A3108" s="136" t="s">
        <v>10</v>
      </c>
      <c r="B3108" s="136" t="s">
        <v>7833</v>
      </c>
      <c r="C3108" s="136" t="s">
        <v>518</v>
      </c>
      <c r="D3108" s="136" t="s">
        <v>1681</v>
      </c>
      <c r="E3108" s="136" t="s">
        <v>615</v>
      </c>
      <c r="F3108" s="136">
        <v>10</v>
      </c>
      <c r="G3108" s="137">
        <f t="shared" si="12"/>
        <v>13</v>
      </c>
      <c r="H3108" s="137"/>
      <c r="I3108" s="137"/>
      <c r="J3108" s="135"/>
      <c r="K3108" s="135"/>
      <c r="L3108" s="135"/>
      <c r="M3108" s="135"/>
      <c r="N3108" s="135"/>
      <c r="O3108" s="135"/>
      <c r="P3108" s="135"/>
      <c r="Q3108" s="135"/>
      <c r="R3108" s="135"/>
      <c r="S3108" s="135"/>
      <c r="T3108" s="135"/>
      <c r="U3108" s="135"/>
      <c r="V3108" s="135"/>
      <c r="W3108" s="135"/>
      <c r="X3108" s="135"/>
      <c r="Y3108" s="135"/>
      <c r="Z3108" s="135"/>
    </row>
    <row r="3109" spans="1:26" ht="12.75">
      <c r="A3109" s="136" t="s">
        <v>10</v>
      </c>
      <c r="B3109" s="136" t="s">
        <v>7833</v>
      </c>
      <c r="C3109" s="136" t="s">
        <v>7845</v>
      </c>
      <c r="D3109" s="136" t="s">
        <v>139</v>
      </c>
      <c r="E3109" s="136" t="s">
        <v>594</v>
      </c>
      <c r="F3109" s="136">
        <v>702</v>
      </c>
      <c r="G3109" s="137">
        <f t="shared" si="12"/>
        <v>1</v>
      </c>
      <c r="H3109" s="137"/>
      <c r="I3109" s="137"/>
      <c r="J3109" s="135"/>
      <c r="K3109" s="135"/>
      <c r="L3109" s="135"/>
      <c r="M3109" s="135"/>
      <c r="N3109" s="135"/>
      <c r="O3109" s="135"/>
      <c r="P3109" s="135"/>
      <c r="Q3109" s="135"/>
      <c r="R3109" s="135"/>
      <c r="S3109" s="135"/>
      <c r="T3109" s="135"/>
      <c r="U3109" s="135"/>
      <c r="V3109" s="135"/>
      <c r="W3109" s="135"/>
      <c r="X3109" s="135"/>
      <c r="Y3109" s="135"/>
      <c r="Z3109" s="135"/>
    </row>
    <row r="3110" spans="1:26" ht="12.75">
      <c r="A3110" s="136" t="s">
        <v>10</v>
      </c>
      <c r="B3110" s="136" t="s">
        <v>7833</v>
      </c>
      <c r="C3110" s="136" t="s">
        <v>7845</v>
      </c>
      <c r="D3110" s="136" t="s">
        <v>1669</v>
      </c>
      <c r="E3110" s="136" t="s">
        <v>615</v>
      </c>
      <c r="F3110" s="136">
        <v>486</v>
      </c>
      <c r="G3110" s="137">
        <f t="shared" si="12"/>
        <v>2</v>
      </c>
      <c r="H3110" s="137"/>
      <c r="I3110" s="137"/>
      <c r="J3110" s="135"/>
      <c r="K3110" s="135"/>
      <c r="L3110" s="135"/>
      <c r="M3110" s="135"/>
      <c r="N3110" s="135"/>
      <c r="O3110" s="135"/>
      <c r="P3110" s="135"/>
      <c r="Q3110" s="135"/>
      <c r="R3110" s="135"/>
      <c r="S3110" s="135"/>
      <c r="T3110" s="135"/>
      <c r="U3110" s="135"/>
      <c r="V3110" s="135"/>
      <c r="W3110" s="135"/>
      <c r="X3110" s="135"/>
      <c r="Y3110" s="135"/>
      <c r="Z3110" s="135"/>
    </row>
    <row r="3111" spans="1:26" ht="12.75">
      <c r="A3111" s="136" t="s">
        <v>10</v>
      </c>
      <c r="B3111" s="136" t="s">
        <v>7833</v>
      </c>
      <c r="C3111" s="136" t="s">
        <v>7845</v>
      </c>
      <c r="D3111" s="136" t="s">
        <v>114</v>
      </c>
      <c r="E3111" s="136" t="s">
        <v>85</v>
      </c>
      <c r="F3111" s="136">
        <v>403</v>
      </c>
      <c r="G3111" s="137">
        <f t="shared" si="12"/>
        <v>3</v>
      </c>
      <c r="H3111" s="137"/>
      <c r="I3111" s="137"/>
      <c r="J3111" s="135"/>
      <c r="K3111" s="135"/>
      <c r="L3111" s="135"/>
      <c r="M3111" s="135"/>
      <c r="N3111" s="135"/>
      <c r="O3111" s="135"/>
      <c r="P3111" s="135"/>
      <c r="Q3111" s="135"/>
      <c r="R3111" s="135"/>
      <c r="S3111" s="135"/>
      <c r="T3111" s="135"/>
      <c r="U3111" s="135"/>
      <c r="V3111" s="135"/>
      <c r="W3111" s="135"/>
      <c r="X3111" s="135"/>
      <c r="Y3111" s="135"/>
      <c r="Z3111" s="135"/>
    </row>
    <row r="3112" spans="1:26" ht="12.75">
      <c r="A3112" s="136" t="s">
        <v>10</v>
      </c>
      <c r="B3112" s="136" t="s">
        <v>7833</v>
      </c>
      <c r="C3112" s="136" t="s">
        <v>7845</v>
      </c>
      <c r="D3112" s="136" t="s">
        <v>467</v>
      </c>
      <c r="E3112" s="136" t="s">
        <v>85</v>
      </c>
      <c r="F3112" s="136">
        <v>219</v>
      </c>
      <c r="G3112" s="137">
        <f t="shared" si="12"/>
        <v>4</v>
      </c>
      <c r="H3112" s="137"/>
      <c r="I3112" s="137"/>
      <c r="J3112" s="135"/>
      <c r="K3112" s="135"/>
      <c r="L3112" s="135"/>
      <c r="M3112" s="135"/>
      <c r="N3112" s="135"/>
      <c r="O3112" s="135"/>
      <c r="P3112" s="135"/>
      <c r="Q3112" s="135"/>
      <c r="R3112" s="135"/>
      <c r="S3112" s="135"/>
      <c r="T3112" s="135"/>
      <c r="U3112" s="135"/>
      <c r="V3112" s="135"/>
      <c r="W3112" s="135"/>
      <c r="X3112" s="135"/>
      <c r="Y3112" s="135"/>
      <c r="Z3112" s="135"/>
    </row>
    <row r="3113" spans="1:26" ht="12.75">
      <c r="A3113" s="136" t="s">
        <v>10</v>
      </c>
      <c r="B3113" s="136" t="s">
        <v>7833</v>
      </c>
      <c r="C3113" s="136" t="s">
        <v>7845</v>
      </c>
      <c r="D3113" s="136" t="s">
        <v>7481</v>
      </c>
      <c r="E3113" s="136" t="s">
        <v>615</v>
      </c>
      <c r="F3113" s="136">
        <v>168</v>
      </c>
      <c r="G3113" s="137">
        <f t="shared" si="12"/>
        <v>5</v>
      </c>
      <c r="H3113" s="137"/>
      <c r="I3113" s="137"/>
      <c r="J3113" s="135"/>
      <c r="K3113" s="135"/>
      <c r="L3113" s="135"/>
      <c r="M3113" s="135"/>
      <c r="N3113" s="135"/>
      <c r="O3113" s="135"/>
      <c r="P3113" s="135"/>
      <c r="Q3113" s="135"/>
      <c r="R3113" s="135"/>
      <c r="S3113" s="135"/>
      <c r="T3113" s="135"/>
      <c r="U3113" s="135"/>
      <c r="V3113" s="135"/>
      <c r="W3113" s="135"/>
      <c r="X3113" s="135"/>
      <c r="Y3113" s="135"/>
      <c r="Z3113" s="135"/>
    </row>
    <row r="3114" spans="1:26" ht="12.75">
      <c r="A3114" s="136" t="s">
        <v>10</v>
      </c>
      <c r="B3114" s="136" t="s">
        <v>7833</v>
      </c>
      <c r="C3114" s="136" t="s">
        <v>7845</v>
      </c>
      <c r="D3114" s="136" t="s">
        <v>1626</v>
      </c>
      <c r="E3114" s="136" t="s">
        <v>594</v>
      </c>
      <c r="F3114" s="136">
        <v>158</v>
      </c>
      <c r="G3114" s="137">
        <f t="shared" si="12"/>
        <v>6</v>
      </c>
      <c r="H3114" s="137"/>
      <c r="I3114" s="137"/>
      <c r="J3114" s="135"/>
      <c r="K3114" s="135"/>
      <c r="L3114" s="135"/>
      <c r="M3114" s="135"/>
      <c r="N3114" s="135"/>
      <c r="O3114" s="135"/>
      <c r="P3114" s="135"/>
      <c r="Q3114" s="135"/>
      <c r="R3114" s="135"/>
      <c r="S3114" s="135"/>
      <c r="T3114" s="135"/>
      <c r="U3114" s="135"/>
      <c r="V3114" s="135"/>
      <c r="W3114" s="135"/>
      <c r="X3114" s="135"/>
      <c r="Y3114" s="135"/>
      <c r="Z3114" s="135"/>
    </row>
    <row r="3115" spans="1:26" ht="12.75">
      <c r="A3115" s="136" t="s">
        <v>10</v>
      </c>
      <c r="B3115" s="136" t="s">
        <v>7833</v>
      </c>
      <c r="C3115" s="136" t="s">
        <v>7845</v>
      </c>
      <c r="D3115" s="136" t="s">
        <v>7532</v>
      </c>
      <c r="E3115" s="136" t="s">
        <v>615</v>
      </c>
      <c r="F3115" s="136">
        <v>140</v>
      </c>
      <c r="G3115" s="137">
        <f t="shared" si="12"/>
        <v>7</v>
      </c>
      <c r="H3115" s="137"/>
      <c r="I3115" s="137"/>
      <c r="J3115" s="135"/>
      <c r="K3115" s="135"/>
      <c r="L3115" s="135"/>
      <c r="M3115" s="135"/>
      <c r="N3115" s="135"/>
      <c r="O3115" s="135"/>
      <c r="P3115" s="135"/>
      <c r="Q3115" s="135"/>
      <c r="R3115" s="135"/>
      <c r="S3115" s="135"/>
      <c r="T3115" s="135"/>
      <c r="U3115" s="135"/>
      <c r="V3115" s="135"/>
      <c r="W3115" s="135"/>
      <c r="X3115" s="135"/>
      <c r="Y3115" s="135"/>
      <c r="Z3115" s="135"/>
    </row>
    <row r="3116" spans="1:26" ht="12.75">
      <c r="A3116" s="136" t="s">
        <v>10</v>
      </c>
      <c r="B3116" s="136" t="s">
        <v>7833</v>
      </c>
      <c r="C3116" s="136" t="s">
        <v>7845</v>
      </c>
      <c r="D3116" s="136" t="s">
        <v>103</v>
      </c>
      <c r="E3116" s="136" t="s">
        <v>594</v>
      </c>
      <c r="F3116" s="136">
        <v>84</v>
      </c>
      <c r="G3116" s="137">
        <f t="shared" si="12"/>
        <v>8</v>
      </c>
      <c r="H3116" s="137"/>
      <c r="I3116" s="137"/>
      <c r="J3116" s="135"/>
      <c r="K3116" s="135"/>
      <c r="L3116" s="135"/>
      <c r="M3116" s="135"/>
      <c r="N3116" s="135"/>
      <c r="O3116" s="135"/>
      <c r="P3116" s="135"/>
      <c r="Q3116" s="135"/>
      <c r="R3116" s="135"/>
      <c r="S3116" s="135"/>
      <c r="T3116" s="135"/>
      <c r="U3116" s="135"/>
      <c r="V3116" s="135"/>
      <c r="W3116" s="135"/>
      <c r="X3116" s="135"/>
      <c r="Y3116" s="135"/>
      <c r="Z3116" s="135"/>
    </row>
    <row r="3117" spans="1:26" ht="12.75">
      <c r="A3117" s="136" t="s">
        <v>10</v>
      </c>
      <c r="B3117" s="136" t="s">
        <v>7833</v>
      </c>
      <c r="C3117" s="136" t="s">
        <v>7845</v>
      </c>
      <c r="D3117" s="136" t="s">
        <v>165</v>
      </c>
      <c r="E3117" s="136" t="s">
        <v>615</v>
      </c>
      <c r="F3117" s="136">
        <v>78</v>
      </c>
      <c r="G3117" s="137">
        <f t="shared" si="12"/>
        <v>9</v>
      </c>
      <c r="H3117" s="137"/>
      <c r="I3117" s="137"/>
      <c r="J3117" s="135"/>
      <c r="K3117" s="135"/>
      <c r="L3117" s="135"/>
      <c r="M3117" s="135"/>
      <c r="N3117" s="135"/>
      <c r="O3117" s="135"/>
      <c r="P3117" s="135"/>
      <c r="Q3117" s="135"/>
      <c r="R3117" s="135"/>
      <c r="S3117" s="135"/>
      <c r="T3117" s="135"/>
      <c r="U3117" s="135"/>
      <c r="V3117" s="135"/>
      <c r="W3117" s="135"/>
      <c r="X3117" s="135"/>
      <c r="Y3117" s="135"/>
      <c r="Z3117" s="135"/>
    </row>
    <row r="3118" spans="1:26" ht="12.75">
      <c r="A3118" s="136" t="s">
        <v>10</v>
      </c>
      <c r="B3118" s="136" t="s">
        <v>7833</v>
      </c>
      <c r="C3118" s="136" t="s">
        <v>7845</v>
      </c>
      <c r="D3118" s="136" t="s">
        <v>368</v>
      </c>
      <c r="E3118" s="136" t="s">
        <v>594</v>
      </c>
      <c r="F3118" s="136">
        <v>57</v>
      </c>
      <c r="G3118" s="137">
        <f t="shared" si="12"/>
        <v>10</v>
      </c>
      <c r="H3118" s="137"/>
      <c r="I3118" s="137"/>
      <c r="J3118" s="135"/>
      <c r="K3118" s="135"/>
      <c r="L3118" s="135"/>
      <c r="M3118" s="135"/>
      <c r="N3118" s="135"/>
      <c r="O3118" s="135"/>
      <c r="P3118" s="135"/>
      <c r="Q3118" s="135"/>
      <c r="R3118" s="135"/>
      <c r="S3118" s="135"/>
      <c r="T3118" s="135"/>
      <c r="U3118" s="135"/>
      <c r="V3118" s="135"/>
      <c r="W3118" s="135"/>
      <c r="X3118" s="135"/>
      <c r="Y3118" s="135"/>
      <c r="Z3118" s="135"/>
    </row>
    <row r="3119" spans="1:26" ht="12.75">
      <c r="A3119" s="136" t="s">
        <v>10</v>
      </c>
      <c r="B3119" s="136" t="s">
        <v>7833</v>
      </c>
      <c r="C3119" s="136" t="s">
        <v>7845</v>
      </c>
      <c r="D3119" s="136" t="s">
        <v>131</v>
      </c>
      <c r="E3119" s="136" t="s">
        <v>594</v>
      </c>
      <c r="F3119" s="136">
        <v>51</v>
      </c>
      <c r="G3119" s="137">
        <f t="shared" si="12"/>
        <v>11</v>
      </c>
      <c r="H3119" s="137"/>
      <c r="I3119" s="137"/>
      <c r="J3119" s="135"/>
      <c r="K3119" s="135"/>
      <c r="L3119" s="135"/>
      <c r="M3119" s="135"/>
      <c r="N3119" s="135"/>
      <c r="O3119" s="135"/>
      <c r="P3119" s="135"/>
      <c r="Q3119" s="135"/>
      <c r="R3119" s="135"/>
      <c r="S3119" s="135"/>
      <c r="T3119" s="135"/>
      <c r="U3119" s="135"/>
      <c r="V3119" s="135"/>
      <c r="W3119" s="135"/>
      <c r="X3119" s="135"/>
      <c r="Y3119" s="135"/>
      <c r="Z3119" s="135"/>
    </row>
    <row r="3120" spans="1:26" ht="12.75">
      <c r="A3120" s="136" t="s">
        <v>10</v>
      </c>
      <c r="B3120" s="136" t="s">
        <v>7833</v>
      </c>
      <c r="C3120" s="136" t="s">
        <v>7845</v>
      </c>
      <c r="D3120" s="136" t="s">
        <v>1656</v>
      </c>
      <c r="E3120" s="136" t="s">
        <v>615</v>
      </c>
      <c r="F3120" s="136">
        <v>24</v>
      </c>
      <c r="G3120" s="137">
        <f t="shared" si="12"/>
        <v>12</v>
      </c>
      <c r="H3120" s="137"/>
      <c r="I3120" s="137"/>
      <c r="J3120" s="135"/>
      <c r="K3120" s="135"/>
      <c r="L3120" s="135"/>
      <c r="M3120" s="135"/>
      <c r="N3120" s="135"/>
      <c r="O3120" s="135"/>
      <c r="P3120" s="135"/>
      <c r="Q3120" s="135"/>
      <c r="R3120" s="135"/>
      <c r="S3120" s="135"/>
      <c r="T3120" s="135"/>
      <c r="U3120" s="135"/>
      <c r="V3120" s="135"/>
      <c r="W3120" s="135"/>
      <c r="X3120" s="135"/>
      <c r="Y3120" s="135"/>
      <c r="Z3120" s="135"/>
    </row>
    <row r="3121" spans="1:26" ht="12.75">
      <c r="A3121" s="136" t="s">
        <v>10</v>
      </c>
      <c r="B3121" s="136" t="s">
        <v>7833</v>
      </c>
      <c r="C3121" s="136" t="s">
        <v>7846</v>
      </c>
      <c r="D3121" s="136" t="s">
        <v>139</v>
      </c>
      <c r="E3121" s="136" t="s">
        <v>594</v>
      </c>
      <c r="F3121" s="136">
        <v>1523</v>
      </c>
      <c r="G3121" s="137">
        <f t="shared" si="12"/>
        <v>1</v>
      </c>
      <c r="H3121" s="137"/>
      <c r="I3121" s="137"/>
      <c r="J3121" s="135"/>
      <c r="K3121" s="135"/>
      <c r="L3121" s="135"/>
      <c r="M3121" s="135"/>
      <c r="N3121" s="135"/>
      <c r="O3121" s="135"/>
      <c r="P3121" s="135"/>
      <c r="Q3121" s="135"/>
      <c r="R3121" s="135"/>
      <c r="S3121" s="135"/>
      <c r="T3121" s="135"/>
      <c r="U3121" s="135"/>
      <c r="V3121" s="135"/>
      <c r="W3121" s="135"/>
      <c r="X3121" s="135"/>
      <c r="Y3121" s="135"/>
      <c r="Z3121" s="135"/>
    </row>
    <row r="3122" spans="1:26" ht="12.75">
      <c r="A3122" s="136" t="s">
        <v>10</v>
      </c>
      <c r="B3122" s="136" t="s">
        <v>7833</v>
      </c>
      <c r="C3122" s="136" t="s">
        <v>7846</v>
      </c>
      <c r="D3122" s="136" t="s">
        <v>114</v>
      </c>
      <c r="E3122" s="136" t="s">
        <v>85</v>
      </c>
      <c r="F3122" s="136">
        <v>569</v>
      </c>
      <c r="G3122" s="137">
        <f t="shared" si="12"/>
        <v>2</v>
      </c>
      <c r="H3122" s="137"/>
      <c r="I3122" s="137"/>
      <c r="J3122" s="135"/>
      <c r="K3122" s="135"/>
      <c r="L3122" s="135"/>
      <c r="M3122" s="135"/>
      <c r="N3122" s="135"/>
      <c r="O3122" s="135"/>
      <c r="P3122" s="135"/>
      <c r="Q3122" s="135"/>
      <c r="R3122" s="135"/>
      <c r="S3122" s="135"/>
      <c r="T3122" s="135"/>
      <c r="U3122" s="135"/>
      <c r="V3122" s="135"/>
      <c r="W3122" s="135"/>
      <c r="X3122" s="135"/>
      <c r="Y3122" s="135"/>
      <c r="Z3122" s="135"/>
    </row>
    <row r="3123" spans="1:26" ht="12.75">
      <c r="A3123" s="136" t="s">
        <v>10</v>
      </c>
      <c r="B3123" s="136" t="s">
        <v>7833</v>
      </c>
      <c r="C3123" s="136" t="s">
        <v>7846</v>
      </c>
      <c r="D3123" s="136" t="s">
        <v>7481</v>
      </c>
      <c r="E3123" s="136" t="s">
        <v>615</v>
      </c>
      <c r="F3123" s="136">
        <v>216</v>
      </c>
      <c r="G3123" s="137">
        <f t="shared" si="12"/>
        <v>3</v>
      </c>
      <c r="H3123" s="137"/>
      <c r="I3123" s="137"/>
      <c r="J3123" s="135"/>
      <c r="K3123" s="135"/>
      <c r="L3123" s="135"/>
      <c r="M3123" s="135"/>
      <c r="N3123" s="135"/>
      <c r="O3123" s="135"/>
      <c r="P3123" s="135"/>
      <c r="Q3123" s="135"/>
      <c r="R3123" s="135"/>
      <c r="S3123" s="135"/>
      <c r="T3123" s="135"/>
      <c r="U3123" s="135"/>
      <c r="V3123" s="135"/>
      <c r="W3123" s="135"/>
      <c r="X3123" s="135"/>
      <c r="Y3123" s="135"/>
      <c r="Z3123" s="135"/>
    </row>
    <row r="3124" spans="1:26" ht="12.75">
      <c r="A3124" s="136" t="s">
        <v>10</v>
      </c>
      <c r="B3124" s="136" t="s">
        <v>7833</v>
      </c>
      <c r="C3124" s="136" t="s">
        <v>7846</v>
      </c>
      <c r="D3124" s="136" t="s">
        <v>1669</v>
      </c>
      <c r="E3124" s="136" t="s">
        <v>615</v>
      </c>
      <c r="F3124" s="136">
        <v>164</v>
      </c>
      <c r="G3124" s="137">
        <f t="shared" si="12"/>
        <v>4</v>
      </c>
      <c r="H3124" s="137"/>
      <c r="I3124" s="137"/>
      <c r="J3124" s="135"/>
      <c r="K3124" s="135"/>
      <c r="L3124" s="135"/>
      <c r="M3124" s="135"/>
      <c r="N3124" s="135"/>
      <c r="O3124" s="135"/>
      <c r="P3124" s="135"/>
      <c r="Q3124" s="135"/>
      <c r="R3124" s="135"/>
      <c r="S3124" s="135"/>
      <c r="T3124" s="135"/>
      <c r="U3124" s="135"/>
      <c r="V3124" s="135"/>
      <c r="W3124" s="135"/>
      <c r="X3124" s="135"/>
      <c r="Y3124" s="135"/>
      <c r="Z3124" s="135"/>
    </row>
    <row r="3125" spans="1:26" ht="12.75">
      <c r="A3125" s="136" t="s">
        <v>10</v>
      </c>
      <c r="B3125" s="136" t="s">
        <v>7833</v>
      </c>
      <c r="C3125" s="136" t="s">
        <v>7846</v>
      </c>
      <c r="D3125" s="136" t="s">
        <v>467</v>
      </c>
      <c r="E3125" s="136" t="s">
        <v>85</v>
      </c>
      <c r="F3125" s="136">
        <v>136</v>
      </c>
      <c r="G3125" s="137">
        <f t="shared" si="12"/>
        <v>5</v>
      </c>
      <c r="H3125" s="137"/>
      <c r="I3125" s="137"/>
      <c r="J3125" s="135"/>
      <c r="K3125" s="135"/>
      <c r="L3125" s="135"/>
      <c r="M3125" s="135"/>
      <c r="N3125" s="135"/>
      <c r="O3125" s="135"/>
      <c r="P3125" s="135"/>
      <c r="Q3125" s="135"/>
      <c r="R3125" s="135"/>
      <c r="S3125" s="135"/>
      <c r="T3125" s="135"/>
      <c r="U3125" s="135"/>
      <c r="V3125" s="135"/>
      <c r="W3125" s="135"/>
      <c r="X3125" s="135"/>
      <c r="Y3125" s="135"/>
      <c r="Z3125" s="135"/>
    </row>
    <row r="3126" spans="1:26" ht="12.75">
      <c r="A3126" s="136" t="s">
        <v>10</v>
      </c>
      <c r="B3126" s="136" t="s">
        <v>7833</v>
      </c>
      <c r="C3126" s="136" t="s">
        <v>7846</v>
      </c>
      <c r="D3126" s="136" t="s">
        <v>368</v>
      </c>
      <c r="E3126" s="136" t="s">
        <v>594</v>
      </c>
      <c r="F3126" s="136">
        <v>118</v>
      </c>
      <c r="G3126" s="137">
        <f t="shared" si="12"/>
        <v>6</v>
      </c>
      <c r="H3126" s="137"/>
      <c r="I3126" s="137"/>
      <c r="J3126" s="135"/>
      <c r="K3126" s="135"/>
      <c r="L3126" s="135"/>
      <c r="M3126" s="135"/>
      <c r="N3126" s="135"/>
      <c r="O3126" s="135"/>
      <c r="P3126" s="135"/>
      <c r="Q3126" s="135"/>
      <c r="R3126" s="135"/>
      <c r="S3126" s="135"/>
      <c r="T3126" s="135"/>
      <c r="U3126" s="135"/>
      <c r="V3126" s="135"/>
      <c r="W3126" s="135"/>
      <c r="X3126" s="135"/>
      <c r="Y3126" s="135"/>
      <c r="Z3126" s="135"/>
    </row>
    <row r="3127" spans="1:26" ht="12.75">
      <c r="A3127" s="136" t="s">
        <v>10</v>
      </c>
      <c r="B3127" s="136" t="s">
        <v>7833</v>
      </c>
      <c r="C3127" s="136" t="s">
        <v>7846</v>
      </c>
      <c r="D3127" s="136" t="s">
        <v>131</v>
      </c>
      <c r="E3127" s="136" t="s">
        <v>594</v>
      </c>
      <c r="F3127" s="136">
        <v>91</v>
      </c>
      <c r="G3127" s="137">
        <f t="shared" si="12"/>
        <v>7</v>
      </c>
      <c r="H3127" s="137"/>
      <c r="I3127" s="137"/>
      <c r="J3127" s="135"/>
      <c r="K3127" s="135"/>
      <c r="L3127" s="135"/>
      <c r="M3127" s="135"/>
      <c r="N3127" s="135"/>
      <c r="O3127" s="135"/>
      <c r="P3127" s="135"/>
      <c r="Q3127" s="135"/>
      <c r="R3127" s="135"/>
      <c r="S3127" s="135"/>
      <c r="T3127" s="135"/>
      <c r="U3127" s="135"/>
      <c r="V3127" s="135"/>
      <c r="W3127" s="135"/>
      <c r="X3127" s="135"/>
      <c r="Y3127" s="135"/>
      <c r="Z3127" s="135"/>
    </row>
    <row r="3128" spans="1:26" ht="12.75">
      <c r="A3128" s="136" t="s">
        <v>10</v>
      </c>
      <c r="B3128" s="136" t="s">
        <v>7833</v>
      </c>
      <c r="C3128" s="136" t="s">
        <v>7846</v>
      </c>
      <c r="D3128" s="136" t="s">
        <v>103</v>
      </c>
      <c r="E3128" s="136" t="s">
        <v>594</v>
      </c>
      <c r="F3128" s="136">
        <v>90</v>
      </c>
      <c r="G3128" s="137">
        <f t="shared" si="12"/>
        <v>8</v>
      </c>
      <c r="H3128" s="137"/>
      <c r="I3128" s="137"/>
      <c r="J3128" s="135"/>
      <c r="K3128" s="135"/>
      <c r="L3128" s="135"/>
      <c r="M3128" s="135"/>
      <c r="N3128" s="135"/>
      <c r="O3128" s="135"/>
      <c r="P3128" s="135"/>
      <c r="Q3128" s="135"/>
      <c r="R3128" s="135"/>
      <c r="S3128" s="135"/>
      <c r="T3128" s="135"/>
      <c r="U3128" s="135"/>
      <c r="V3128" s="135"/>
      <c r="W3128" s="135"/>
      <c r="X3128" s="135"/>
      <c r="Y3128" s="135"/>
      <c r="Z3128" s="135"/>
    </row>
    <row r="3129" spans="1:26" ht="12.75">
      <c r="A3129" s="136" t="s">
        <v>10</v>
      </c>
      <c r="B3129" s="136" t="s">
        <v>7833</v>
      </c>
      <c r="C3129" s="136" t="s">
        <v>7846</v>
      </c>
      <c r="D3129" s="136" t="s">
        <v>1656</v>
      </c>
      <c r="E3129" s="136" t="s">
        <v>615</v>
      </c>
      <c r="F3129" s="136">
        <v>86</v>
      </c>
      <c r="G3129" s="137">
        <f t="shared" si="12"/>
        <v>9</v>
      </c>
      <c r="H3129" s="137"/>
      <c r="I3129" s="137"/>
      <c r="J3129" s="135"/>
      <c r="K3129" s="135"/>
      <c r="L3129" s="135"/>
      <c r="M3129" s="135"/>
      <c r="N3129" s="135"/>
      <c r="O3129" s="135"/>
      <c r="P3129" s="135"/>
      <c r="Q3129" s="135"/>
      <c r="R3129" s="135"/>
      <c r="S3129" s="135"/>
      <c r="T3129" s="135"/>
      <c r="U3129" s="135"/>
      <c r="V3129" s="135"/>
      <c r="W3129" s="135"/>
      <c r="X3129" s="135"/>
      <c r="Y3129" s="135"/>
      <c r="Z3129" s="135"/>
    </row>
    <row r="3130" spans="1:26" ht="12.75">
      <c r="A3130" s="136" t="s">
        <v>10</v>
      </c>
      <c r="B3130" s="136" t="s">
        <v>7833</v>
      </c>
      <c r="C3130" s="136" t="s">
        <v>7846</v>
      </c>
      <c r="D3130" s="136" t="s">
        <v>1626</v>
      </c>
      <c r="E3130" s="136" t="s">
        <v>594</v>
      </c>
      <c r="F3130" s="136">
        <v>82</v>
      </c>
      <c r="G3130" s="137">
        <f t="shared" si="12"/>
        <v>10</v>
      </c>
      <c r="H3130" s="137"/>
      <c r="I3130" s="137"/>
      <c r="J3130" s="135"/>
      <c r="K3130" s="135"/>
      <c r="L3130" s="135"/>
      <c r="M3130" s="135"/>
      <c r="N3130" s="135"/>
      <c r="O3130" s="135"/>
      <c r="P3130" s="135"/>
      <c r="Q3130" s="135"/>
      <c r="R3130" s="135"/>
      <c r="S3130" s="135"/>
      <c r="T3130" s="135"/>
      <c r="U3130" s="135"/>
      <c r="V3130" s="135"/>
      <c r="W3130" s="135"/>
      <c r="X3130" s="135"/>
      <c r="Y3130" s="135"/>
      <c r="Z3130" s="135"/>
    </row>
    <row r="3131" spans="1:26" ht="12.75">
      <c r="A3131" s="136" t="s">
        <v>10</v>
      </c>
      <c r="B3131" s="136" t="s">
        <v>7833</v>
      </c>
      <c r="C3131" s="136" t="s">
        <v>7846</v>
      </c>
      <c r="D3131" s="136" t="s">
        <v>7532</v>
      </c>
      <c r="E3131" s="136" t="s">
        <v>615</v>
      </c>
      <c r="F3131" s="136">
        <v>46</v>
      </c>
      <c r="G3131" s="137">
        <f t="shared" si="12"/>
        <v>11</v>
      </c>
      <c r="H3131" s="137"/>
      <c r="I3131" s="137"/>
      <c r="J3131" s="135"/>
      <c r="K3131" s="135"/>
      <c r="L3131" s="135"/>
      <c r="M3131" s="135"/>
      <c r="N3131" s="135"/>
      <c r="O3131" s="135"/>
      <c r="P3131" s="135"/>
      <c r="Q3131" s="135"/>
      <c r="R3131" s="135"/>
      <c r="S3131" s="135"/>
      <c r="T3131" s="135"/>
      <c r="U3131" s="135"/>
      <c r="V3131" s="135"/>
      <c r="W3131" s="135"/>
      <c r="X3131" s="135"/>
      <c r="Y3131" s="135"/>
      <c r="Z3131" s="135"/>
    </row>
    <row r="3132" spans="1:26" ht="12.75">
      <c r="A3132" s="136" t="s">
        <v>10</v>
      </c>
      <c r="B3132" s="136" t="s">
        <v>7833</v>
      </c>
      <c r="C3132" s="136" t="s">
        <v>7846</v>
      </c>
      <c r="D3132" s="136" t="s">
        <v>7840</v>
      </c>
      <c r="E3132" s="136" t="s">
        <v>615</v>
      </c>
      <c r="F3132" s="136">
        <v>40</v>
      </c>
      <c r="G3132" s="137">
        <f t="shared" si="12"/>
        <v>12</v>
      </c>
      <c r="H3132" s="137"/>
      <c r="I3132" s="137"/>
      <c r="J3132" s="135"/>
      <c r="K3132" s="135"/>
      <c r="L3132" s="135"/>
      <c r="M3132" s="135"/>
      <c r="N3132" s="135"/>
      <c r="O3132" s="135"/>
      <c r="P3132" s="135"/>
      <c r="Q3132" s="135"/>
      <c r="R3132" s="135"/>
      <c r="S3132" s="135"/>
      <c r="T3132" s="135"/>
      <c r="U3132" s="135"/>
      <c r="V3132" s="135"/>
      <c r="W3132" s="135"/>
      <c r="X3132" s="135"/>
      <c r="Y3132" s="135"/>
      <c r="Z3132" s="135"/>
    </row>
    <row r="3133" spans="1:26" ht="12.75">
      <c r="A3133" s="136" t="s">
        <v>10</v>
      </c>
      <c r="B3133" s="136" t="s">
        <v>7833</v>
      </c>
      <c r="C3133" s="136" t="s">
        <v>7846</v>
      </c>
      <c r="D3133" s="136" t="s">
        <v>7838</v>
      </c>
      <c r="E3133" s="136" t="s">
        <v>86</v>
      </c>
      <c r="F3133" s="136">
        <v>9</v>
      </c>
      <c r="G3133" s="137">
        <f t="shared" si="12"/>
        <v>13</v>
      </c>
      <c r="H3133" s="137"/>
      <c r="I3133" s="137"/>
      <c r="J3133" s="135"/>
      <c r="K3133" s="135"/>
      <c r="L3133" s="135"/>
      <c r="M3133" s="135"/>
      <c r="N3133" s="135"/>
      <c r="O3133" s="135"/>
      <c r="P3133" s="135"/>
      <c r="Q3133" s="135"/>
      <c r="R3133" s="135"/>
      <c r="S3133" s="135"/>
      <c r="T3133" s="135"/>
      <c r="U3133" s="135"/>
      <c r="V3133" s="135"/>
      <c r="W3133" s="135"/>
      <c r="X3133" s="135"/>
      <c r="Y3133" s="135"/>
      <c r="Z3133" s="135"/>
    </row>
    <row r="3134" spans="1:26" ht="12.75">
      <c r="A3134" s="136" t="s">
        <v>10</v>
      </c>
      <c r="B3134" s="136" t="s">
        <v>7833</v>
      </c>
      <c r="C3134" s="136" t="s">
        <v>7847</v>
      </c>
      <c r="D3134" s="136" t="s">
        <v>139</v>
      </c>
      <c r="E3134" s="136" t="s">
        <v>594</v>
      </c>
      <c r="F3134" s="136">
        <v>636</v>
      </c>
      <c r="G3134" s="137">
        <f t="shared" si="12"/>
        <v>1</v>
      </c>
      <c r="H3134" s="137"/>
      <c r="I3134" s="137"/>
      <c r="J3134" s="135"/>
      <c r="K3134" s="135"/>
      <c r="L3134" s="135"/>
      <c r="M3134" s="135"/>
      <c r="N3134" s="135"/>
      <c r="O3134" s="135"/>
      <c r="P3134" s="135"/>
      <c r="Q3134" s="135"/>
      <c r="R3134" s="135"/>
      <c r="S3134" s="135"/>
      <c r="T3134" s="135"/>
      <c r="U3134" s="135"/>
      <c r="V3134" s="135"/>
      <c r="W3134" s="135"/>
      <c r="X3134" s="135"/>
      <c r="Y3134" s="135"/>
      <c r="Z3134" s="135"/>
    </row>
    <row r="3135" spans="1:26" ht="12.75">
      <c r="A3135" s="136" t="s">
        <v>10</v>
      </c>
      <c r="B3135" s="136" t="s">
        <v>7833</v>
      </c>
      <c r="C3135" s="136" t="s">
        <v>7847</v>
      </c>
      <c r="D3135" s="136" t="s">
        <v>114</v>
      </c>
      <c r="E3135" s="136" t="s">
        <v>85</v>
      </c>
      <c r="F3135" s="136">
        <v>366</v>
      </c>
      <c r="G3135" s="137">
        <f t="shared" si="12"/>
        <v>2</v>
      </c>
      <c r="H3135" s="137"/>
      <c r="I3135" s="137"/>
      <c r="J3135" s="135"/>
      <c r="K3135" s="135"/>
      <c r="L3135" s="135"/>
      <c r="M3135" s="135"/>
      <c r="N3135" s="135"/>
      <c r="O3135" s="135"/>
      <c r="P3135" s="135"/>
      <c r="Q3135" s="135"/>
      <c r="R3135" s="135"/>
      <c r="S3135" s="135"/>
      <c r="T3135" s="135"/>
      <c r="U3135" s="135"/>
      <c r="V3135" s="135"/>
      <c r="W3135" s="135"/>
      <c r="X3135" s="135"/>
      <c r="Y3135" s="135"/>
      <c r="Z3135" s="135"/>
    </row>
    <row r="3136" spans="1:26" ht="12.75">
      <c r="A3136" s="136" t="s">
        <v>10</v>
      </c>
      <c r="B3136" s="136" t="s">
        <v>7833</v>
      </c>
      <c r="C3136" s="136" t="s">
        <v>7847</v>
      </c>
      <c r="D3136" s="136" t="s">
        <v>1669</v>
      </c>
      <c r="E3136" s="136" t="s">
        <v>615</v>
      </c>
      <c r="F3136" s="136">
        <v>250</v>
      </c>
      <c r="G3136" s="137">
        <f t="shared" si="12"/>
        <v>3</v>
      </c>
      <c r="H3136" s="137"/>
      <c r="I3136" s="137"/>
      <c r="J3136" s="135"/>
      <c r="K3136" s="135"/>
      <c r="L3136" s="135"/>
      <c r="M3136" s="135"/>
      <c r="N3136" s="135"/>
      <c r="O3136" s="135"/>
      <c r="P3136" s="135"/>
      <c r="Q3136" s="135"/>
      <c r="R3136" s="135"/>
      <c r="S3136" s="135"/>
      <c r="T3136" s="135"/>
      <c r="U3136" s="135"/>
      <c r="V3136" s="135"/>
      <c r="W3136" s="135"/>
      <c r="X3136" s="135"/>
      <c r="Y3136" s="135"/>
      <c r="Z3136" s="135"/>
    </row>
    <row r="3137" spans="1:26" ht="12.75">
      <c r="A3137" s="136" t="s">
        <v>10</v>
      </c>
      <c r="B3137" s="136" t="s">
        <v>7833</v>
      </c>
      <c r="C3137" s="136" t="s">
        <v>7847</v>
      </c>
      <c r="D3137" s="136" t="s">
        <v>7481</v>
      </c>
      <c r="E3137" s="136" t="s">
        <v>615</v>
      </c>
      <c r="F3137" s="136">
        <v>137</v>
      </c>
      <c r="G3137" s="137">
        <f t="shared" si="12"/>
        <v>4</v>
      </c>
      <c r="H3137" s="137"/>
      <c r="I3137" s="137"/>
      <c r="J3137" s="135"/>
      <c r="K3137" s="135"/>
      <c r="L3137" s="135"/>
      <c r="M3137" s="135"/>
      <c r="N3137" s="135"/>
      <c r="O3137" s="135"/>
      <c r="P3137" s="135"/>
      <c r="Q3137" s="135"/>
      <c r="R3137" s="135"/>
      <c r="S3137" s="135"/>
      <c r="T3137" s="135"/>
      <c r="U3137" s="135"/>
      <c r="V3137" s="135"/>
      <c r="W3137" s="135"/>
      <c r="X3137" s="135"/>
      <c r="Y3137" s="135"/>
      <c r="Z3137" s="135"/>
    </row>
    <row r="3138" spans="1:26" ht="12.75">
      <c r="A3138" s="136" t="s">
        <v>10</v>
      </c>
      <c r="B3138" s="136" t="s">
        <v>7833</v>
      </c>
      <c r="C3138" s="136" t="s">
        <v>7847</v>
      </c>
      <c r="D3138" s="136" t="s">
        <v>1626</v>
      </c>
      <c r="E3138" s="136" t="s">
        <v>594</v>
      </c>
      <c r="F3138" s="136">
        <v>134</v>
      </c>
      <c r="G3138" s="137">
        <f t="shared" si="12"/>
        <v>5</v>
      </c>
      <c r="H3138" s="137"/>
      <c r="I3138" s="137"/>
      <c r="J3138" s="135"/>
      <c r="K3138" s="135"/>
      <c r="L3138" s="135"/>
      <c r="M3138" s="135"/>
      <c r="N3138" s="135"/>
      <c r="O3138" s="135"/>
      <c r="P3138" s="135"/>
      <c r="Q3138" s="135"/>
      <c r="R3138" s="135"/>
      <c r="S3138" s="135"/>
      <c r="T3138" s="135"/>
      <c r="U3138" s="135"/>
      <c r="V3138" s="135"/>
      <c r="W3138" s="135"/>
      <c r="X3138" s="135"/>
      <c r="Y3138" s="135"/>
      <c r="Z3138" s="135"/>
    </row>
    <row r="3139" spans="1:26" ht="12.75">
      <c r="A3139" s="136" t="s">
        <v>10</v>
      </c>
      <c r="B3139" s="136" t="s">
        <v>7833</v>
      </c>
      <c r="C3139" s="136" t="s">
        <v>7847</v>
      </c>
      <c r="D3139" s="136" t="s">
        <v>467</v>
      </c>
      <c r="E3139" s="136" t="s">
        <v>85</v>
      </c>
      <c r="F3139" s="136">
        <v>116</v>
      </c>
      <c r="G3139" s="137">
        <f t="shared" si="12"/>
        <v>6</v>
      </c>
      <c r="H3139" s="137"/>
      <c r="I3139" s="137"/>
      <c r="J3139" s="135"/>
      <c r="K3139" s="135"/>
      <c r="L3139" s="135"/>
      <c r="M3139" s="135"/>
      <c r="N3139" s="135"/>
      <c r="O3139" s="135"/>
      <c r="P3139" s="135"/>
      <c r="Q3139" s="135"/>
      <c r="R3139" s="135"/>
      <c r="S3139" s="135"/>
      <c r="T3139" s="135"/>
      <c r="U3139" s="135"/>
      <c r="V3139" s="135"/>
      <c r="W3139" s="135"/>
      <c r="X3139" s="135"/>
      <c r="Y3139" s="135"/>
      <c r="Z3139" s="135"/>
    </row>
    <row r="3140" spans="1:26" ht="12.75">
      <c r="A3140" s="136" t="s">
        <v>10</v>
      </c>
      <c r="B3140" s="136" t="s">
        <v>7833</v>
      </c>
      <c r="C3140" s="136" t="s">
        <v>7847</v>
      </c>
      <c r="D3140" s="136" t="s">
        <v>165</v>
      </c>
      <c r="E3140" s="136" t="s">
        <v>615</v>
      </c>
      <c r="F3140" s="136">
        <v>100</v>
      </c>
      <c r="G3140" s="137">
        <f t="shared" si="12"/>
        <v>7</v>
      </c>
      <c r="H3140" s="137"/>
      <c r="I3140" s="137"/>
      <c r="J3140" s="135"/>
      <c r="K3140" s="135"/>
      <c r="L3140" s="135"/>
      <c r="M3140" s="135"/>
      <c r="N3140" s="135"/>
      <c r="O3140" s="135"/>
      <c r="P3140" s="135"/>
      <c r="Q3140" s="135"/>
      <c r="R3140" s="135"/>
      <c r="S3140" s="135"/>
      <c r="T3140" s="135"/>
      <c r="U3140" s="135"/>
      <c r="V3140" s="135"/>
      <c r="W3140" s="135"/>
      <c r="X3140" s="135"/>
      <c r="Y3140" s="135"/>
      <c r="Z3140" s="135"/>
    </row>
    <row r="3141" spans="1:26" ht="12.75">
      <c r="A3141" s="136" t="s">
        <v>10</v>
      </c>
      <c r="B3141" s="136" t="s">
        <v>7833</v>
      </c>
      <c r="C3141" s="136" t="s">
        <v>7847</v>
      </c>
      <c r="D3141" s="136" t="s">
        <v>437</v>
      </c>
      <c r="E3141" s="136" t="s">
        <v>594</v>
      </c>
      <c r="F3141" s="136">
        <v>93</v>
      </c>
      <c r="G3141" s="137">
        <f t="shared" si="12"/>
        <v>8</v>
      </c>
      <c r="H3141" s="137"/>
      <c r="I3141" s="137"/>
      <c r="J3141" s="135"/>
      <c r="K3141" s="135"/>
      <c r="L3141" s="135"/>
      <c r="M3141" s="135"/>
      <c r="N3141" s="135"/>
      <c r="O3141" s="135"/>
      <c r="P3141" s="135"/>
      <c r="Q3141" s="135"/>
      <c r="R3141" s="135"/>
      <c r="S3141" s="135"/>
      <c r="T3141" s="135"/>
      <c r="U3141" s="135"/>
      <c r="V3141" s="135"/>
      <c r="W3141" s="135"/>
      <c r="X3141" s="135"/>
      <c r="Y3141" s="135"/>
      <c r="Z3141" s="135"/>
    </row>
    <row r="3142" spans="1:26" ht="12.75">
      <c r="A3142" s="136" t="s">
        <v>10</v>
      </c>
      <c r="B3142" s="136" t="s">
        <v>7833</v>
      </c>
      <c r="C3142" s="136" t="s">
        <v>7847</v>
      </c>
      <c r="D3142" s="136" t="s">
        <v>131</v>
      </c>
      <c r="E3142" s="136" t="s">
        <v>594</v>
      </c>
      <c r="F3142" s="136">
        <v>86</v>
      </c>
      <c r="G3142" s="137">
        <f t="shared" si="12"/>
        <v>9</v>
      </c>
      <c r="H3142" s="137"/>
      <c r="I3142" s="137"/>
      <c r="J3142" s="135"/>
      <c r="K3142" s="135"/>
      <c r="L3142" s="135"/>
      <c r="M3142" s="135"/>
      <c r="N3142" s="135"/>
      <c r="O3142" s="135"/>
      <c r="P3142" s="135"/>
      <c r="Q3142" s="135"/>
      <c r="R3142" s="135"/>
      <c r="S3142" s="135"/>
      <c r="T3142" s="135"/>
      <c r="U3142" s="135"/>
      <c r="V3142" s="135"/>
      <c r="W3142" s="135"/>
      <c r="X3142" s="135"/>
      <c r="Y3142" s="135"/>
      <c r="Z3142" s="135"/>
    </row>
    <row r="3143" spans="1:26" ht="12.75">
      <c r="A3143" s="136" t="s">
        <v>10</v>
      </c>
      <c r="B3143" s="136" t="s">
        <v>7833</v>
      </c>
      <c r="C3143" s="136" t="s">
        <v>7847</v>
      </c>
      <c r="D3143" s="136" t="s">
        <v>368</v>
      </c>
      <c r="E3143" s="136" t="s">
        <v>594</v>
      </c>
      <c r="F3143" s="136">
        <v>84</v>
      </c>
      <c r="G3143" s="137">
        <f t="shared" si="12"/>
        <v>10</v>
      </c>
      <c r="H3143" s="137"/>
      <c r="I3143" s="137"/>
      <c r="J3143" s="135"/>
      <c r="K3143" s="135"/>
      <c r="L3143" s="135"/>
      <c r="M3143" s="135"/>
      <c r="N3143" s="135"/>
      <c r="O3143" s="135"/>
      <c r="P3143" s="135"/>
      <c r="Q3143" s="135"/>
      <c r="R3143" s="135"/>
      <c r="S3143" s="135"/>
      <c r="T3143" s="135"/>
      <c r="U3143" s="135"/>
      <c r="V3143" s="135"/>
      <c r="W3143" s="135"/>
      <c r="X3143" s="135"/>
      <c r="Y3143" s="135"/>
      <c r="Z3143" s="135"/>
    </row>
    <row r="3144" spans="1:26" ht="12.75">
      <c r="A3144" s="136" t="s">
        <v>10</v>
      </c>
      <c r="B3144" s="136" t="s">
        <v>7833</v>
      </c>
      <c r="C3144" s="136" t="s">
        <v>7847</v>
      </c>
      <c r="D3144" s="136" t="s">
        <v>136</v>
      </c>
      <c r="E3144" s="136" t="s">
        <v>615</v>
      </c>
      <c r="F3144" s="136">
        <v>76</v>
      </c>
      <c r="G3144" s="137">
        <f t="shared" si="12"/>
        <v>11</v>
      </c>
      <c r="H3144" s="137"/>
      <c r="I3144" s="137"/>
      <c r="J3144" s="135"/>
      <c r="K3144" s="135"/>
      <c r="L3144" s="135"/>
      <c r="M3144" s="135"/>
      <c r="N3144" s="135"/>
      <c r="O3144" s="135"/>
      <c r="P3144" s="135"/>
      <c r="Q3144" s="135"/>
      <c r="R3144" s="135"/>
      <c r="S3144" s="135"/>
      <c r="T3144" s="135"/>
      <c r="U3144" s="135"/>
      <c r="V3144" s="135"/>
      <c r="W3144" s="135"/>
      <c r="X3144" s="135"/>
      <c r="Y3144" s="135"/>
      <c r="Z3144" s="135"/>
    </row>
    <row r="3145" spans="1:26" ht="12.75">
      <c r="A3145" s="136" t="s">
        <v>10</v>
      </c>
      <c r="B3145" s="136" t="s">
        <v>7833</v>
      </c>
      <c r="C3145" s="136" t="s">
        <v>7847</v>
      </c>
      <c r="D3145" s="136" t="s">
        <v>103</v>
      </c>
      <c r="E3145" s="136" t="s">
        <v>594</v>
      </c>
      <c r="F3145" s="136">
        <v>46</v>
      </c>
      <c r="G3145" s="137">
        <f t="shared" si="12"/>
        <v>12</v>
      </c>
      <c r="H3145" s="137"/>
      <c r="I3145" s="137"/>
      <c r="J3145" s="135"/>
      <c r="K3145" s="135"/>
      <c r="L3145" s="135"/>
      <c r="M3145" s="135"/>
      <c r="N3145" s="135"/>
      <c r="O3145" s="135"/>
      <c r="P3145" s="135"/>
      <c r="Q3145" s="135"/>
      <c r="R3145" s="135"/>
      <c r="S3145" s="135"/>
      <c r="T3145" s="135"/>
      <c r="U3145" s="135"/>
      <c r="V3145" s="135"/>
      <c r="W3145" s="135"/>
      <c r="X3145" s="135"/>
      <c r="Y3145" s="135"/>
      <c r="Z3145" s="135"/>
    </row>
    <row r="3146" spans="1:26" ht="12.75">
      <c r="A3146" s="136" t="s">
        <v>10</v>
      </c>
      <c r="B3146" s="136" t="s">
        <v>7833</v>
      </c>
      <c r="C3146" s="136" t="s">
        <v>7847</v>
      </c>
      <c r="D3146" s="136" t="s">
        <v>7532</v>
      </c>
      <c r="E3146" s="136" t="s">
        <v>615</v>
      </c>
      <c r="F3146" s="136">
        <v>32</v>
      </c>
      <c r="G3146" s="137">
        <f t="shared" si="12"/>
        <v>13</v>
      </c>
      <c r="H3146" s="137"/>
      <c r="I3146" s="137"/>
      <c r="J3146" s="135"/>
      <c r="K3146" s="135"/>
      <c r="L3146" s="135"/>
      <c r="M3146" s="135"/>
      <c r="N3146" s="135"/>
      <c r="O3146" s="135"/>
      <c r="P3146" s="135"/>
      <c r="Q3146" s="135"/>
      <c r="R3146" s="135"/>
      <c r="S3146" s="135"/>
      <c r="T3146" s="135"/>
      <c r="U3146" s="135"/>
      <c r="V3146" s="135"/>
      <c r="W3146" s="135"/>
      <c r="X3146" s="135"/>
      <c r="Y3146" s="135"/>
      <c r="Z3146" s="135"/>
    </row>
    <row r="3147" spans="1:26" ht="12.75">
      <c r="A3147" s="136" t="s">
        <v>10</v>
      </c>
      <c r="B3147" s="136" t="s">
        <v>7833</v>
      </c>
      <c r="C3147" s="136" t="s">
        <v>7847</v>
      </c>
      <c r="D3147" s="136" t="s">
        <v>1656</v>
      </c>
      <c r="E3147" s="136" t="s">
        <v>615</v>
      </c>
      <c r="F3147" s="136">
        <v>29</v>
      </c>
      <c r="G3147" s="137">
        <f t="shared" si="12"/>
        <v>14</v>
      </c>
      <c r="H3147" s="137"/>
      <c r="I3147" s="137"/>
      <c r="J3147" s="135"/>
      <c r="K3147" s="135"/>
      <c r="L3147" s="135"/>
      <c r="M3147" s="135"/>
      <c r="N3147" s="135"/>
      <c r="O3147" s="135"/>
      <c r="P3147" s="135"/>
      <c r="Q3147" s="135"/>
      <c r="R3147" s="135"/>
      <c r="S3147" s="135"/>
      <c r="T3147" s="135"/>
      <c r="U3147" s="135"/>
      <c r="V3147" s="135"/>
      <c r="W3147" s="135"/>
      <c r="X3147" s="135"/>
      <c r="Y3147" s="135"/>
      <c r="Z3147" s="135"/>
    </row>
    <row r="3148" spans="1:26" ht="12.75">
      <c r="A3148" s="136" t="s">
        <v>10</v>
      </c>
      <c r="B3148" s="136" t="s">
        <v>7833</v>
      </c>
      <c r="C3148" s="136" t="s">
        <v>7848</v>
      </c>
      <c r="D3148" s="136" t="s">
        <v>114</v>
      </c>
      <c r="E3148" s="136" t="s">
        <v>85</v>
      </c>
      <c r="F3148" s="136">
        <v>539</v>
      </c>
      <c r="G3148" s="137">
        <f t="shared" si="12"/>
        <v>1</v>
      </c>
      <c r="H3148" s="137"/>
      <c r="I3148" s="137"/>
      <c r="J3148" s="135"/>
      <c r="K3148" s="135"/>
      <c r="L3148" s="135"/>
      <c r="M3148" s="135"/>
      <c r="N3148" s="135"/>
      <c r="O3148" s="135"/>
      <c r="P3148" s="135"/>
      <c r="Q3148" s="135"/>
      <c r="R3148" s="135"/>
      <c r="S3148" s="135"/>
      <c r="T3148" s="135"/>
      <c r="U3148" s="135"/>
      <c r="V3148" s="135"/>
      <c r="W3148" s="135"/>
      <c r="X3148" s="135"/>
      <c r="Y3148" s="135"/>
      <c r="Z3148" s="135"/>
    </row>
    <row r="3149" spans="1:26" ht="12.75">
      <c r="A3149" s="136" t="s">
        <v>10</v>
      </c>
      <c r="B3149" s="136" t="s">
        <v>7833</v>
      </c>
      <c r="C3149" s="136" t="s">
        <v>7848</v>
      </c>
      <c r="D3149" s="136" t="s">
        <v>139</v>
      </c>
      <c r="E3149" s="136" t="s">
        <v>594</v>
      </c>
      <c r="F3149" s="136">
        <v>393</v>
      </c>
      <c r="G3149" s="137">
        <f t="shared" si="12"/>
        <v>2</v>
      </c>
      <c r="H3149" s="137"/>
      <c r="I3149" s="137"/>
      <c r="J3149" s="135"/>
      <c r="K3149" s="135"/>
      <c r="L3149" s="135"/>
      <c r="M3149" s="135"/>
      <c r="N3149" s="135"/>
      <c r="O3149" s="135"/>
      <c r="P3149" s="135"/>
      <c r="Q3149" s="135"/>
      <c r="R3149" s="135"/>
      <c r="S3149" s="135"/>
      <c r="T3149" s="135"/>
      <c r="U3149" s="135"/>
      <c r="V3149" s="135"/>
      <c r="W3149" s="135"/>
      <c r="X3149" s="135"/>
      <c r="Y3149" s="135"/>
      <c r="Z3149" s="135"/>
    </row>
    <row r="3150" spans="1:26" ht="12.75">
      <c r="A3150" s="136" t="s">
        <v>10</v>
      </c>
      <c r="B3150" s="136" t="s">
        <v>7833</v>
      </c>
      <c r="C3150" s="136" t="s">
        <v>7848</v>
      </c>
      <c r="D3150" s="136" t="s">
        <v>7481</v>
      </c>
      <c r="E3150" s="136" t="s">
        <v>615</v>
      </c>
      <c r="F3150" s="136">
        <v>87</v>
      </c>
      <c r="G3150" s="137">
        <f t="shared" si="12"/>
        <v>3</v>
      </c>
      <c r="H3150" s="137"/>
      <c r="I3150" s="137"/>
      <c r="J3150" s="135"/>
      <c r="K3150" s="135"/>
      <c r="L3150" s="135"/>
      <c r="M3150" s="135"/>
      <c r="N3150" s="135"/>
      <c r="O3150" s="135"/>
      <c r="P3150" s="135"/>
      <c r="Q3150" s="135"/>
      <c r="R3150" s="135"/>
      <c r="S3150" s="135"/>
      <c r="T3150" s="135"/>
      <c r="U3150" s="135"/>
      <c r="V3150" s="135"/>
      <c r="W3150" s="135"/>
      <c r="X3150" s="135"/>
      <c r="Y3150" s="135"/>
      <c r="Z3150" s="135"/>
    </row>
    <row r="3151" spans="1:26" ht="12.75">
      <c r="A3151" s="136" t="s">
        <v>10</v>
      </c>
      <c r="B3151" s="136" t="s">
        <v>7833</v>
      </c>
      <c r="C3151" s="136" t="s">
        <v>7848</v>
      </c>
      <c r="D3151" s="136" t="s">
        <v>1669</v>
      </c>
      <c r="E3151" s="136" t="s">
        <v>615</v>
      </c>
      <c r="F3151" s="136">
        <v>78</v>
      </c>
      <c r="G3151" s="137">
        <f t="shared" si="12"/>
        <v>4</v>
      </c>
      <c r="H3151" s="137"/>
      <c r="I3151" s="137"/>
      <c r="J3151" s="135"/>
      <c r="K3151" s="135"/>
      <c r="L3151" s="135"/>
      <c r="M3151" s="135"/>
      <c r="N3151" s="135"/>
      <c r="O3151" s="135"/>
      <c r="P3151" s="135"/>
      <c r="Q3151" s="135"/>
      <c r="R3151" s="135"/>
      <c r="S3151" s="135"/>
      <c r="T3151" s="135"/>
      <c r="U3151" s="135"/>
      <c r="V3151" s="135"/>
      <c r="W3151" s="135"/>
      <c r="X3151" s="135"/>
      <c r="Y3151" s="135"/>
      <c r="Z3151" s="135"/>
    </row>
    <row r="3152" spans="1:26" ht="12.75">
      <c r="A3152" s="136" t="s">
        <v>10</v>
      </c>
      <c r="B3152" s="136" t="s">
        <v>7833</v>
      </c>
      <c r="C3152" s="136" t="s">
        <v>7848</v>
      </c>
      <c r="D3152" s="136" t="s">
        <v>437</v>
      </c>
      <c r="E3152" s="136" t="s">
        <v>594</v>
      </c>
      <c r="F3152" s="136">
        <v>75</v>
      </c>
      <c r="G3152" s="137">
        <f t="shared" si="12"/>
        <v>5</v>
      </c>
      <c r="H3152" s="137"/>
      <c r="I3152" s="137"/>
      <c r="J3152" s="135"/>
      <c r="K3152" s="135"/>
      <c r="L3152" s="135"/>
      <c r="M3152" s="135"/>
      <c r="N3152" s="135"/>
      <c r="O3152" s="135"/>
      <c r="P3152" s="135"/>
      <c r="Q3152" s="135"/>
      <c r="R3152" s="135"/>
      <c r="S3152" s="135"/>
      <c r="T3152" s="135"/>
      <c r="U3152" s="135"/>
      <c r="V3152" s="135"/>
      <c r="W3152" s="135"/>
      <c r="X3152" s="135"/>
      <c r="Y3152" s="135"/>
      <c r="Z3152" s="135"/>
    </row>
    <row r="3153" spans="1:26" ht="12.75">
      <c r="A3153" s="136" t="s">
        <v>10</v>
      </c>
      <c r="B3153" s="136" t="s">
        <v>7833</v>
      </c>
      <c r="C3153" s="136" t="s">
        <v>7848</v>
      </c>
      <c r="D3153" s="136" t="s">
        <v>467</v>
      </c>
      <c r="E3153" s="136" t="s">
        <v>85</v>
      </c>
      <c r="F3153" s="136">
        <v>68</v>
      </c>
      <c r="G3153" s="137">
        <f t="shared" si="12"/>
        <v>6</v>
      </c>
      <c r="H3153" s="137"/>
      <c r="I3153" s="137"/>
      <c r="J3153" s="135"/>
      <c r="K3153" s="135"/>
      <c r="L3153" s="135"/>
      <c r="M3153" s="135"/>
      <c r="N3153" s="135"/>
      <c r="O3153" s="135"/>
      <c r="P3153" s="135"/>
      <c r="Q3153" s="135"/>
      <c r="R3153" s="135"/>
      <c r="S3153" s="135"/>
      <c r="T3153" s="135"/>
      <c r="U3153" s="135"/>
      <c r="V3153" s="135"/>
      <c r="W3153" s="135"/>
      <c r="X3153" s="135"/>
      <c r="Y3153" s="135"/>
      <c r="Z3153" s="135"/>
    </row>
    <row r="3154" spans="1:26" ht="12.75">
      <c r="A3154" s="136" t="s">
        <v>10</v>
      </c>
      <c r="B3154" s="136" t="s">
        <v>7833</v>
      </c>
      <c r="C3154" s="136" t="s">
        <v>7848</v>
      </c>
      <c r="D3154" s="136" t="s">
        <v>368</v>
      </c>
      <c r="E3154" s="136" t="s">
        <v>594</v>
      </c>
      <c r="F3154" s="136">
        <v>62</v>
      </c>
      <c r="G3154" s="137">
        <f t="shared" si="12"/>
        <v>7</v>
      </c>
      <c r="H3154" s="137"/>
      <c r="I3154" s="137"/>
      <c r="J3154" s="135"/>
      <c r="K3154" s="135"/>
      <c r="L3154" s="135"/>
      <c r="M3154" s="135"/>
      <c r="N3154" s="135"/>
      <c r="O3154" s="135"/>
      <c r="P3154" s="135"/>
      <c r="Q3154" s="135"/>
      <c r="R3154" s="135"/>
      <c r="S3154" s="135"/>
      <c r="T3154" s="135"/>
      <c r="U3154" s="135"/>
      <c r="V3154" s="135"/>
      <c r="W3154" s="135"/>
      <c r="X3154" s="135"/>
      <c r="Y3154" s="135"/>
      <c r="Z3154" s="135"/>
    </row>
    <row r="3155" spans="1:26" ht="12.75">
      <c r="A3155" s="136" t="s">
        <v>10</v>
      </c>
      <c r="B3155" s="136" t="s">
        <v>7833</v>
      </c>
      <c r="C3155" s="136" t="s">
        <v>7848</v>
      </c>
      <c r="D3155" s="136" t="s">
        <v>103</v>
      </c>
      <c r="E3155" s="136" t="s">
        <v>594</v>
      </c>
      <c r="F3155" s="136">
        <v>47</v>
      </c>
      <c r="G3155" s="137">
        <f t="shared" si="12"/>
        <v>8</v>
      </c>
      <c r="H3155" s="137"/>
      <c r="I3155" s="137"/>
      <c r="J3155" s="135"/>
      <c r="K3155" s="135"/>
      <c r="L3155" s="135"/>
      <c r="M3155" s="135"/>
      <c r="N3155" s="135"/>
      <c r="O3155" s="135"/>
      <c r="P3155" s="135"/>
      <c r="Q3155" s="135"/>
      <c r="R3155" s="135"/>
      <c r="S3155" s="135"/>
      <c r="T3155" s="135"/>
      <c r="U3155" s="135"/>
      <c r="V3155" s="135"/>
      <c r="W3155" s="135"/>
      <c r="X3155" s="135"/>
      <c r="Y3155" s="135"/>
      <c r="Z3155" s="135"/>
    </row>
    <row r="3156" spans="1:26" ht="12.75">
      <c r="A3156" s="136" t="s">
        <v>10</v>
      </c>
      <c r="B3156" s="136" t="s">
        <v>7833</v>
      </c>
      <c r="C3156" s="136" t="s">
        <v>7848</v>
      </c>
      <c r="D3156" s="136" t="s">
        <v>1626</v>
      </c>
      <c r="E3156" s="136" t="s">
        <v>594</v>
      </c>
      <c r="F3156" s="136">
        <v>43</v>
      </c>
      <c r="G3156" s="137">
        <f t="shared" si="12"/>
        <v>9</v>
      </c>
      <c r="H3156" s="137"/>
      <c r="I3156" s="137"/>
      <c r="J3156" s="135"/>
      <c r="K3156" s="135"/>
      <c r="L3156" s="135"/>
      <c r="M3156" s="135"/>
      <c r="N3156" s="135"/>
      <c r="O3156" s="135"/>
      <c r="P3156" s="135"/>
      <c r="Q3156" s="135"/>
      <c r="R3156" s="135"/>
      <c r="S3156" s="135"/>
      <c r="T3156" s="135"/>
      <c r="U3156" s="135"/>
      <c r="V3156" s="135"/>
      <c r="W3156" s="135"/>
      <c r="X3156" s="135"/>
      <c r="Y3156" s="135"/>
      <c r="Z3156" s="135"/>
    </row>
    <row r="3157" spans="1:26" ht="12.75">
      <c r="A3157" s="136" t="s">
        <v>10</v>
      </c>
      <c r="B3157" s="136" t="s">
        <v>7833</v>
      </c>
      <c r="C3157" s="136" t="s">
        <v>7848</v>
      </c>
      <c r="D3157" s="136" t="s">
        <v>165</v>
      </c>
      <c r="E3157" s="136" t="s">
        <v>615</v>
      </c>
      <c r="F3157" s="136">
        <v>40</v>
      </c>
      <c r="G3157" s="137">
        <f t="shared" si="12"/>
        <v>10</v>
      </c>
      <c r="H3157" s="137"/>
      <c r="I3157" s="137"/>
      <c r="J3157" s="135"/>
      <c r="K3157" s="135"/>
      <c r="L3157" s="135"/>
      <c r="M3157" s="135"/>
      <c r="N3157" s="135"/>
      <c r="O3157" s="135"/>
      <c r="P3157" s="135"/>
      <c r="Q3157" s="135"/>
      <c r="R3157" s="135"/>
      <c r="S3157" s="135"/>
      <c r="T3157" s="135"/>
      <c r="U3157" s="135"/>
      <c r="V3157" s="135"/>
      <c r="W3157" s="135"/>
      <c r="X3157" s="135"/>
      <c r="Y3157" s="135"/>
      <c r="Z3157" s="135"/>
    </row>
    <row r="3158" spans="1:26" ht="12.75">
      <c r="A3158" s="136" t="s">
        <v>10</v>
      </c>
      <c r="B3158" s="136" t="s">
        <v>7833</v>
      </c>
      <c r="C3158" s="136" t="s">
        <v>7848</v>
      </c>
      <c r="D3158" s="136" t="s">
        <v>1656</v>
      </c>
      <c r="E3158" s="136" t="s">
        <v>615</v>
      </c>
      <c r="F3158" s="136">
        <v>35</v>
      </c>
      <c r="G3158" s="137">
        <f t="shared" si="12"/>
        <v>11</v>
      </c>
      <c r="H3158" s="137"/>
      <c r="I3158" s="137"/>
      <c r="J3158" s="135"/>
      <c r="K3158" s="135"/>
      <c r="L3158" s="135"/>
      <c r="M3158" s="135"/>
      <c r="N3158" s="135"/>
      <c r="O3158" s="135"/>
      <c r="P3158" s="135"/>
      <c r="Q3158" s="135"/>
      <c r="R3158" s="135"/>
      <c r="S3158" s="135"/>
      <c r="T3158" s="135"/>
      <c r="U3158" s="135"/>
      <c r="V3158" s="135"/>
      <c r="W3158" s="135"/>
      <c r="X3158" s="135"/>
      <c r="Y3158" s="135"/>
      <c r="Z3158" s="135"/>
    </row>
    <row r="3159" spans="1:26" ht="12.75">
      <c r="A3159" s="136" t="s">
        <v>10</v>
      </c>
      <c r="B3159" s="136" t="s">
        <v>7833</v>
      </c>
      <c r="C3159" s="136" t="s">
        <v>7848</v>
      </c>
      <c r="D3159" s="136" t="s">
        <v>131</v>
      </c>
      <c r="E3159" s="136" t="s">
        <v>594</v>
      </c>
      <c r="F3159" s="136">
        <v>28</v>
      </c>
      <c r="G3159" s="137">
        <f t="shared" si="12"/>
        <v>12</v>
      </c>
      <c r="H3159" s="137"/>
      <c r="I3159" s="137"/>
      <c r="J3159" s="135"/>
      <c r="K3159" s="135"/>
      <c r="L3159" s="135"/>
      <c r="M3159" s="135"/>
      <c r="N3159" s="135"/>
      <c r="O3159" s="135"/>
      <c r="P3159" s="135"/>
      <c r="Q3159" s="135"/>
      <c r="R3159" s="135"/>
      <c r="S3159" s="135"/>
      <c r="T3159" s="135"/>
      <c r="U3159" s="135"/>
      <c r="V3159" s="135"/>
      <c r="W3159" s="135"/>
      <c r="X3159" s="135"/>
      <c r="Y3159" s="135"/>
      <c r="Z3159" s="135"/>
    </row>
    <row r="3160" spans="1:26" ht="12.75">
      <c r="A3160" s="136" t="s">
        <v>10</v>
      </c>
      <c r="B3160" s="136" t="s">
        <v>7833</v>
      </c>
      <c r="C3160" s="136" t="s">
        <v>7848</v>
      </c>
      <c r="D3160" s="136" t="s">
        <v>7532</v>
      </c>
      <c r="E3160" s="136" t="s">
        <v>615</v>
      </c>
      <c r="F3160" s="136">
        <v>18</v>
      </c>
      <c r="G3160" s="137">
        <f t="shared" si="12"/>
        <v>13</v>
      </c>
      <c r="H3160" s="137"/>
      <c r="I3160" s="137"/>
      <c r="J3160" s="135"/>
      <c r="K3160" s="135"/>
      <c r="L3160" s="135"/>
      <c r="M3160" s="135"/>
      <c r="N3160" s="135"/>
      <c r="O3160" s="135"/>
      <c r="P3160" s="135"/>
      <c r="Q3160" s="135"/>
      <c r="R3160" s="135"/>
      <c r="S3160" s="135"/>
      <c r="T3160" s="135"/>
      <c r="U3160" s="135"/>
      <c r="V3160" s="135"/>
      <c r="W3160" s="135"/>
      <c r="X3160" s="135"/>
      <c r="Y3160" s="135"/>
      <c r="Z3160" s="135"/>
    </row>
    <row r="3161" spans="1:26" ht="12.75">
      <c r="A3161" s="136" t="s">
        <v>10</v>
      </c>
      <c r="B3161" s="136" t="s">
        <v>7833</v>
      </c>
      <c r="C3161" s="136" t="s">
        <v>7848</v>
      </c>
      <c r="D3161" s="136" t="s">
        <v>1681</v>
      </c>
      <c r="E3161" s="136" t="s">
        <v>615</v>
      </c>
      <c r="F3161" s="136">
        <v>0</v>
      </c>
      <c r="G3161" s="137">
        <f t="shared" si="12"/>
        <v>14</v>
      </c>
      <c r="H3161" s="137"/>
      <c r="I3161" s="137"/>
      <c r="J3161" s="135"/>
      <c r="K3161" s="135"/>
      <c r="L3161" s="135"/>
      <c r="M3161" s="135"/>
      <c r="N3161" s="135"/>
      <c r="O3161" s="135"/>
      <c r="P3161" s="135"/>
      <c r="Q3161" s="135"/>
      <c r="R3161" s="135"/>
      <c r="S3161" s="135"/>
      <c r="T3161" s="135"/>
      <c r="U3161" s="135"/>
      <c r="V3161" s="135"/>
      <c r="W3161" s="135"/>
      <c r="X3161" s="135"/>
      <c r="Y3161" s="135"/>
      <c r="Z3161" s="135"/>
    </row>
    <row r="3162" spans="1:26" ht="12.75">
      <c r="A3162" s="136" t="s">
        <v>10</v>
      </c>
      <c r="B3162" s="136" t="s">
        <v>7833</v>
      </c>
      <c r="C3162" s="136" t="s">
        <v>7849</v>
      </c>
      <c r="D3162" s="136" t="s">
        <v>139</v>
      </c>
      <c r="E3162" s="136" t="s">
        <v>594</v>
      </c>
      <c r="F3162" s="136">
        <v>2420</v>
      </c>
      <c r="G3162" s="137">
        <f t="shared" si="12"/>
        <v>1</v>
      </c>
      <c r="H3162" s="137"/>
      <c r="I3162" s="137"/>
      <c r="J3162" s="135"/>
      <c r="K3162" s="135"/>
      <c r="L3162" s="135"/>
      <c r="M3162" s="135"/>
      <c r="N3162" s="135"/>
      <c r="O3162" s="135"/>
      <c r="P3162" s="135"/>
      <c r="Q3162" s="135"/>
      <c r="R3162" s="135"/>
      <c r="S3162" s="135"/>
      <c r="T3162" s="135"/>
      <c r="U3162" s="135"/>
      <c r="V3162" s="135"/>
      <c r="W3162" s="135"/>
      <c r="X3162" s="135"/>
      <c r="Y3162" s="135"/>
      <c r="Z3162" s="135"/>
    </row>
    <row r="3163" spans="1:26" ht="12.75">
      <c r="A3163" s="136" t="s">
        <v>10</v>
      </c>
      <c r="B3163" s="136" t="s">
        <v>7833</v>
      </c>
      <c r="C3163" s="136" t="s">
        <v>7849</v>
      </c>
      <c r="D3163" s="136" t="s">
        <v>114</v>
      </c>
      <c r="E3163" s="136" t="s">
        <v>85</v>
      </c>
      <c r="F3163" s="136">
        <v>766</v>
      </c>
      <c r="G3163" s="137">
        <f t="shared" si="12"/>
        <v>2</v>
      </c>
      <c r="H3163" s="137"/>
      <c r="I3163" s="137"/>
      <c r="J3163" s="135"/>
      <c r="K3163" s="135"/>
      <c r="L3163" s="135"/>
      <c r="M3163" s="135"/>
      <c r="N3163" s="135"/>
      <c r="O3163" s="135"/>
      <c r="P3163" s="135"/>
      <c r="Q3163" s="135"/>
      <c r="R3163" s="135"/>
      <c r="S3163" s="135"/>
      <c r="T3163" s="135"/>
      <c r="U3163" s="135"/>
      <c r="V3163" s="135"/>
      <c r="W3163" s="135"/>
      <c r="X3163" s="135"/>
      <c r="Y3163" s="135"/>
      <c r="Z3163" s="135"/>
    </row>
    <row r="3164" spans="1:26" ht="12.75">
      <c r="A3164" s="136" t="s">
        <v>10</v>
      </c>
      <c r="B3164" s="136" t="s">
        <v>7833</v>
      </c>
      <c r="C3164" s="136" t="s">
        <v>7849</v>
      </c>
      <c r="D3164" s="136" t="s">
        <v>1669</v>
      </c>
      <c r="E3164" s="136" t="s">
        <v>615</v>
      </c>
      <c r="F3164" s="136">
        <v>328</v>
      </c>
      <c r="G3164" s="137">
        <f t="shared" si="12"/>
        <v>3</v>
      </c>
      <c r="H3164" s="137"/>
      <c r="I3164" s="137"/>
      <c r="J3164" s="135"/>
      <c r="K3164" s="135"/>
      <c r="L3164" s="135"/>
      <c r="M3164" s="135"/>
      <c r="N3164" s="135"/>
      <c r="O3164" s="135"/>
      <c r="P3164" s="135"/>
      <c r="Q3164" s="135"/>
      <c r="R3164" s="135"/>
      <c r="S3164" s="135"/>
      <c r="T3164" s="135"/>
      <c r="U3164" s="135"/>
      <c r="V3164" s="135"/>
      <c r="W3164" s="135"/>
      <c r="X3164" s="135"/>
      <c r="Y3164" s="135"/>
      <c r="Z3164" s="135"/>
    </row>
    <row r="3165" spans="1:26" ht="12.75">
      <c r="A3165" s="136" t="s">
        <v>10</v>
      </c>
      <c r="B3165" s="136" t="s">
        <v>7833</v>
      </c>
      <c r="C3165" s="136" t="s">
        <v>7849</v>
      </c>
      <c r="D3165" s="136" t="s">
        <v>437</v>
      </c>
      <c r="E3165" s="136" t="s">
        <v>594</v>
      </c>
      <c r="F3165" s="136">
        <v>295</v>
      </c>
      <c r="G3165" s="137">
        <f t="shared" si="12"/>
        <v>4</v>
      </c>
      <c r="H3165" s="137"/>
      <c r="I3165" s="137"/>
      <c r="J3165" s="135"/>
      <c r="K3165" s="135"/>
      <c r="L3165" s="135"/>
      <c r="M3165" s="135"/>
      <c r="N3165" s="135"/>
      <c r="O3165" s="135"/>
      <c r="P3165" s="135"/>
      <c r="Q3165" s="135"/>
      <c r="R3165" s="135"/>
      <c r="S3165" s="135"/>
      <c r="T3165" s="135"/>
      <c r="U3165" s="135"/>
      <c r="V3165" s="135"/>
      <c r="W3165" s="135"/>
      <c r="X3165" s="135"/>
      <c r="Y3165" s="135"/>
      <c r="Z3165" s="135"/>
    </row>
    <row r="3166" spans="1:26" ht="12.75">
      <c r="A3166" s="136" t="s">
        <v>10</v>
      </c>
      <c r="B3166" s="136" t="s">
        <v>7833</v>
      </c>
      <c r="C3166" s="136" t="s">
        <v>7849</v>
      </c>
      <c r="D3166" s="136" t="s">
        <v>7481</v>
      </c>
      <c r="E3166" s="136" t="s">
        <v>615</v>
      </c>
      <c r="F3166" s="136">
        <v>251</v>
      </c>
      <c r="G3166" s="137">
        <f t="shared" si="12"/>
        <v>5</v>
      </c>
      <c r="H3166" s="137"/>
      <c r="I3166" s="137"/>
      <c r="J3166" s="135"/>
      <c r="K3166" s="135"/>
      <c r="L3166" s="135"/>
      <c r="M3166" s="135"/>
      <c r="N3166" s="135"/>
      <c r="O3166" s="135"/>
      <c r="P3166" s="135"/>
      <c r="Q3166" s="135"/>
      <c r="R3166" s="135"/>
      <c r="S3166" s="135"/>
      <c r="T3166" s="135"/>
      <c r="U3166" s="135"/>
      <c r="V3166" s="135"/>
      <c r="W3166" s="135"/>
      <c r="X3166" s="135"/>
      <c r="Y3166" s="135"/>
      <c r="Z3166" s="135"/>
    </row>
    <row r="3167" spans="1:26" ht="12.75">
      <c r="A3167" s="136" t="s">
        <v>10</v>
      </c>
      <c r="B3167" s="136" t="s">
        <v>7833</v>
      </c>
      <c r="C3167" s="136" t="s">
        <v>7849</v>
      </c>
      <c r="D3167" s="136" t="s">
        <v>368</v>
      </c>
      <c r="E3167" s="136" t="s">
        <v>594</v>
      </c>
      <c r="F3167" s="136">
        <v>243</v>
      </c>
      <c r="G3167" s="137">
        <f t="shared" si="12"/>
        <v>6</v>
      </c>
      <c r="H3167" s="137"/>
      <c r="I3167" s="137"/>
      <c r="J3167" s="135"/>
      <c r="K3167" s="135"/>
      <c r="L3167" s="135"/>
      <c r="M3167" s="135"/>
      <c r="N3167" s="135"/>
      <c r="O3167" s="135"/>
      <c r="P3167" s="135"/>
      <c r="Q3167" s="135"/>
      <c r="R3167" s="135"/>
      <c r="S3167" s="135"/>
      <c r="T3167" s="135"/>
      <c r="U3167" s="135"/>
      <c r="V3167" s="135"/>
      <c r="W3167" s="135"/>
      <c r="X3167" s="135"/>
      <c r="Y3167" s="135"/>
      <c r="Z3167" s="135"/>
    </row>
    <row r="3168" spans="1:26" ht="12.75">
      <c r="A3168" s="136" t="s">
        <v>10</v>
      </c>
      <c r="B3168" s="136" t="s">
        <v>7833</v>
      </c>
      <c r="C3168" s="136" t="s">
        <v>7849</v>
      </c>
      <c r="D3168" s="136" t="s">
        <v>7850</v>
      </c>
      <c r="E3168" s="136" t="s">
        <v>615</v>
      </c>
      <c r="F3168" s="136">
        <v>167</v>
      </c>
      <c r="G3168" s="137">
        <f t="shared" si="12"/>
        <v>7</v>
      </c>
      <c r="H3168" s="137"/>
      <c r="I3168" s="137"/>
      <c r="J3168" s="135"/>
      <c r="K3168" s="135"/>
      <c r="L3168" s="135"/>
      <c r="M3168" s="135"/>
      <c r="N3168" s="135"/>
      <c r="O3168" s="135"/>
      <c r="P3168" s="135"/>
      <c r="Q3168" s="135"/>
      <c r="R3168" s="135"/>
      <c r="S3168" s="135"/>
      <c r="T3168" s="135"/>
      <c r="U3168" s="135"/>
      <c r="V3168" s="135"/>
      <c r="W3168" s="135"/>
      <c r="X3168" s="135"/>
      <c r="Y3168" s="135"/>
      <c r="Z3168" s="135"/>
    </row>
    <row r="3169" spans="1:26" ht="12.75">
      <c r="A3169" s="136" t="s">
        <v>10</v>
      </c>
      <c r="B3169" s="136" t="s">
        <v>7833</v>
      </c>
      <c r="C3169" s="136" t="s">
        <v>7849</v>
      </c>
      <c r="D3169" s="136" t="s">
        <v>103</v>
      </c>
      <c r="E3169" s="136" t="s">
        <v>594</v>
      </c>
      <c r="F3169" s="136">
        <v>144</v>
      </c>
      <c r="G3169" s="137">
        <f t="shared" si="12"/>
        <v>8</v>
      </c>
      <c r="H3169" s="137"/>
      <c r="I3169" s="137"/>
      <c r="J3169" s="135"/>
      <c r="K3169" s="135"/>
      <c r="L3169" s="135"/>
      <c r="M3169" s="135"/>
      <c r="N3169" s="135"/>
      <c r="O3169" s="135"/>
      <c r="P3169" s="135"/>
      <c r="Q3169" s="135"/>
      <c r="R3169" s="135"/>
      <c r="S3169" s="135"/>
      <c r="T3169" s="135"/>
      <c r="U3169" s="135"/>
      <c r="V3169" s="135"/>
      <c r="W3169" s="135"/>
      <c r="X3169" s="135"/>
      <c r="Y3169" s="135"/>
      <c r="Z3169" s="135"/>
    </row>
    <row r="3170" spans="1:26" ht="12.75">
      <c r="A3170" s="136" t="s">
        <v>10</v>
      </c>
      <c r="B3170" s="136" t="s">
        <v>7833</v>
      </c>
      <c r="C3170" s="136" t="s">
        <v>7849</v>
      </c>
      <c r="D3170" s="136" t="s">
        <v>131</v>
      </c>
      <c r="E3170" s="136" t="s">
        <v>594</v>
      </c>
      <c r="F3170" s="136">
        <v>138</v>
      </c>
      <c r="G3170" s="137">
        <f t="shared" si="12"/>
        <v>9</v>
      </c>
      <c r="H3170" s="137"/>
      <c r="I3170" s="137"/>
      <c r="J3170" s="135"/>
      <c r="K3170" s="135"/>
      <c r="L3170" s="135"/>
      <c r="M3170" s="135"/>
      <c r="N3170" s="135"/>
      <c r="O3170" s="135"/>
      <c r="P3170" s="135"/>
      <c r="Q3170" s="135"/>
      <c r="R3170" s="135"/>
      <c r="S3170" s="135"/>
      <c r="T3170" s="135"/>
      <c r="U3170" s="135"/>
      <c r="V3170" s="135"/>
      <c r="W3170" s="135"/>
      <c r="X3170" s="135"/>
      <c r="Y3170" s="135"/>
      <c r="Z3170" s="135"/>
    </row>
    <row r="3171" spans="1:26" ht="12.75">
      <c r="A3171" s="136" t="s">
        <v>10</v>
      </c>
      <c r="B3171" s="136" t="s">
        <v>7833</v>
      </c>
      <c r="C3171" s="136" t="s">
        <v>7849</v>
      </c>
      <c r="D3171" s="136" t="s">
        <v>7851</v>
      </c>
      <c r="E3171" s="136" t="s">
        <v>594</v>
      </c>
      <c r="F3171" s="136">
        <v>125</v>
      </c>
      <c r="G3171" s="137">
        <f t="shared" si="12"/>
        <v>10</v>
      </c>
      <c r="H3171" s="137"/>
      <c r="I3171" s="137"/>
      <c r="J3171" s="135"/>
      <c r="K3171" s="135"/>
      <c r="L3171" s="135"/>
      <c r="M3171" s="135"/>
      <c r="N3171" s="135"/>
      <c r="O3171" s="135"/>
      <c r="P3171" s="135"/>
      <c r="Q3171" s="135"/>
      <c r="R3171" s="135"/>
      <c r="S3171" s="135"/>
      <c r="T3171" s="135"/>
      <c r="U3171" s="135"/>
      <c r="V3171" s="135"/>
      <c r="W3171" s="135"/>
      <c r="X3171" s="135"/>
      <c r="Y3171" s="135"/>
      <c r="Z3171" s="135"/>
    </row>
    <row r="3172" spans="1:26" ht="12.75">
      <c r="A3172" s="136" t="s">
        <v>10</v>
      </c>
      <c r="B3172" s="136" t="s">
        <v>7833</v>
      </c>
      <c r="C3172" s="136" t="s">
        <v>7849</v>
      </c>
      <c r="D3172" s="136" t="s">
        <v>1626</v>
      </c>
      <c r="E3172" s="136" t="s">
        <v>594</v>
      </c>
      <c r="F3172" s="136">
        <v>125</v>
      </c>
      <c r="G3172" s="137">
        <f t="shared" si="12"/>
        <v>11</v>
      </c>
      <c r="H3172" s="137"/>
      <c r="I3172" s="137"/>
      <c r="J3172" s="135"/>
      <c r="K3172" s="135"/>
      <c r="L3172" s="135"/>
      <c r="M3172" s="135"/>
      <c r="N3172" s="135"/>
      <c r="O3172" s="135"/>
      <c r="P3172" s="135"/>
      <c r="Q3172" s="135"/>
      <c r="R3172" s="135"/>
      <c r="S3172" s="135"/>
      <c r="T3172" s="135"/>
      <c r="U3172" s="135"/>
      <c r="V3172" s="135"/>
      <c r="W3172" s="135"/>
      <c r="X3172" s="135"/>
      <c r="Y3172" s="135"/>
      <c r="Z3172" s="135"/>
    </row>
    <row r="3173" spans="1:26" ht="12.75">
      <c r="A3173" s="136" t="s">
        <v>10</v>
      </c>
      <c r="B3173" s="136" t="s">
        <v>7833</v>
      </c>
      <c r="C3173" s="136" t="s">
        <v>7849</v>
      </c>
      <c r="D3173" s="136" t="s">
        <v>467</v>
      </c>
      <c r="E3173" s="136" t="s">
        <v>85</v>
      </c>
      <c r="F3173" s="136">
        <v>119</v>
      </c>
      <c r="G3173" s="137">
        <f t="shared" si="12"/>
        <v>12</v>
      </c>
      <c r="H3173" s="137"/>
      <c r="I3173" s="137"/>
      <c r="J3173" s="135"/>
      <c r="K3173" s="135"/>
      <c r="L3173" s="135"/>
      <c r="M3173" s="135"/>
      <c r="N3173" s="135"/>
      <c r="O3173" s="135"/>
      <c r="P3173" s="135"/>
      <c r="Q3173" s="135"/>
      <c r="R3173" s="135"/>
      <c r="S3173" s="135"/>
      <c r="T3173" s="135"/>
      <c r="U3173" s="135"/>
      <c r="V3173" s="135"/>
      <c r="W3173" s="135"/>
      <c r="X3173" s="135"/>
      <c r="Y3173" s="135"/>
      <c r="Z3173" s="135"/>
    </row>
    <row r="3174" spans="1:26" ht="12.75">
      <c r="A3174" s="136" t="s">
        <v>10</v>
      </c>
      <c r="B3174" s="136" t="s">
        <v>7833</v>
      </c>
      <c r="C3174" s="136" t="s">
        <v>7849</v>
      </c>
      <c r="D3174" s="136" t="s">
        <v>1656</v>
      </c>
      <c r="E3174" s="136" t="s">
        <v>615</v>
      </c>
      <c r="F3174" s="136">
        <v>109</v>
      </c>
      <c r="G3174" s="137">
        <f t="shared" si="12"/>
        <v>13</v>
      </c>
      <c r="H3174" s="137"/>
      <c r="I3174" s="137"/>
      <c r="J3174" s="135"/>
      <c r="K3174" s="135"/>
      <c r="L3174" s="135"/>
      <c r="M3174" s="135"/>
      <c r="N3174" s="135"/>
      <c r="O3174" s="135"/>
      <c r="P3174" s="135"/>
      <c r="Q3174" s="135"/>
      <c r="R3174" s="135"/>
      <c r="S3174" s="135"/>
      <c r="T3174" s="135"/>
      <c r="U3174" s="135"/>
      <c r="V3174" s="135"/>
      <c r="W3174" s="135"/>
      <c r="X3174" s="135"/>
      <c r="Y3174" s="135"/>
      <c r="Z3174" s="135"/>
    </row>
    <row r="3175" spans="1:26" ht="12.75">
      <c r="A3175" s="136" t="s">
        <v>10</v>
      </c>
      <c r="B3175" s="136" t="s">
        <v>7833</v>
      </c>
      <c r="C3175" s="136" t="s">
        <v>7849</v>
      </c>
      <c r="D3175" s="136" t="s">
        <v>7838</v>
      </c>
      <c r="E3175" s="136" t="s">
        <v>86</v>
      </c>
      <c r="F3175" s="136">
        <v>66</v>
      </c>
      <c r="G3175" s="137">
        <f t="shared" si="12"/>
        <v>14</v>
      </c>
      <c r="H3175" s="137"/>
      <c r="I3175" s="137"/>
      <c r="J3175" s="135"/>
      <c r="K3175" s="135"/>
      <c r="L3175" s="135"/>
      <c r="M3175" s="135"/>
      <c r="N3175" s="135"/>
      <c r="O3175" s="135"/>
      <c r="P3175" s="135"/>
      <c r="Q3175" s="135"/>
      <c r="R3175" s="135"/>
      <c r="S3175" s="135"/>
      <c r="T3175" s="135"/>
      <c r="U3175" s="135"/>
      <c r="V3175" s="135"/>
      <c r="W3175" s="135"/>
      <c r="X3175" s="135"/>
      <c r="Y3175" s="135"/>
      <c r="Z3175" s="135"/>
    </row>
    <row r="3176" spans="1:26" ht="12.75">
      <c r="A3176" s="136" t="s">
        <v>10</v>
      </c>
      <c r="B3176" s="136" t="s">
        <v>7833</v>
      </c>
      <c r="C3176" s="136" t="s">
        <v>509</v>
      </c>
      <c r="D3176" s="136" t="s">
        <v>139</v>
      </c>
      <c r="E3176" s="136" t="s">
        <v>594</v>
      </c>
      <c r="F3176" s="136">
        <v>946</v>
      </c>
      <c r="G3176" s="137">
        <f t="shared" si="12"/>
        <v>1</v>
      </c>
      <c r="H3176" s="137"/>
      <c r="I3176" s="137"/>
      <c r="J3176" s="135"/>
      <c r="K3176" s="135"/>
      <c r="L3176" s="135"/>
      <c r="M3176" s="135"/>
      <c r="N3176" s="135"/>
      <c r="O3176" s="135"/>
      <c r="P3176" s="135"/>
      <c r="Q3176" s="135"/>
      <c r="R3176" s="135"/>
      <c r="S3176" s="135"/>
      <c r="T3176" s="135"/>
      <c r="U3176" s="135"/>
      <c r="V3176" s="135"/>
      <c r="W3176" s="135"/>
      <c r="X3176" s="135"/>
      <c r="Y3176" s="135"/>
      <c r="Z3176" s="135"/>
    </row>
    <row r="3177" spans="1:26" ht="12.75">
      <c r="A3177" s="136" t="s">
        <v>10</v>
      </c>
      <c r="B3177" s="136" t="s">
        <v>7833</v>
      </c>
      <c r="C3177" s="136" t="s">
        <v>509</v>
      </c>
      <c r="D3177" s="136" t="s">
        <v>114</v>
      </c>
      <c r="E3177" s="136" t="s">
        <v>85</v>
      </c>
      <c r="F3177" s="136">
        <v>456</v>
      </c>
      <c r="G3177" s="137">
        <f t="shared" si="12"/>
        <v>2</v>
      </c>
      <c r="H3177" s="137"/>
      <c r="I3177" s="137"/>
      <c r="J3177" s="135"/>
      <c r="K3177" s="135"/>
      <c r="L3177" s="135"/>
      <c r="M3177" s="135"/>
      <c r="N3177" s="135"/>
      <c r="O3177" s="135"/>
      <c r="P3177" s="135"/>
      <c r="Q3177" s="135"/>
      <c r="R3177" s="135"/>
      <c r="S3177" s="135"/>
      <c r="T3177" s="135"/>
      <c r="U3177" s="135"/>
      <c r="V3177" s="135"/>
      <c r="W3177" s="135"/>
      <c r="X3177" s="135"/>
      <c r="Y3177" s="135"/>
      <c r="Z3177" s="135"/>
    </row>
    <row r="3178" spans="1:26" ht="12.75">
      <c r="A3178" s="136" t="s">
        <v>10</v>
      </c>
      <c r="B3178" s="136" t="s">
        <v>7833</v>
      </c>
      <c r="C3178" s="136" t="s">
        <v>509</v>
      </c>
      <c r="D3178" s="136" t="s">
        <v>437</v>
      </c>
      <c r="E3178" s="136" t="s">
        <v>594</v>
      </c>
      <c r="F3178" s="136">
        <v>282</v>
      </c>
      <c r="G3178" s="137">
        <f t="shared" si="12"/>
        <v>3</v>
      </c>
      <c r="H3178" s="137"/>
      <c r="I3178" s="137"/>
      <c r="J3178" s="135"/>
      <c r="K3178" s="135"/>
      <c r="L3178" s="135"/>
      <c r="M3178" s="135"/>
      <c r="N3178" s="135"/>
      <c r="O3178" s="135"/>
      <c r="P3178" s="135"/>
      <c r="Q3178" s="135"/>
      <c r="R3178" s="135"/>
      <c r="S3178" s="135"/>
      <c r="T3178" s="135"/>
      <c r="U3178" s="135"/>
      <c r="V3178" s="135"/>
      <c r="W3178" s="135"/>
      <c r="X3178" s="135"/>
      <c r="Y3178" s="135"/>
      <c r="Z3178" s="135"/>
    </row>
    <row r="3179" spans="1:26" ht="12.75">
      <c r="A3179" s="136" t="s">
        <v>10</v>
      </c>
      <c r="B3179" s="136" t="s">
        <v>7833</v>
      </c>
      <c r="C3179" s="136" t="s">
        <v>509</v>
      </c>
      <c r="D3179" s="136" t="s">
        <v>368</v>
      </c>
      <c r="E3179" s="136" t="s">
        <v>594</v>
      </c>
      <c r="F3179" s="136">
        <v>85</v>
      </c>
      <c r="G3179" s="137">
        <f t="shared" si="12"/>
        <v>4</v>
      </c>
      <c r="H3179" s="137"/>
      <c r="I3179" s="137"/>
      <c r="J3179" s="135"/>
      <c r="K3179" s="135"/>
      <c r="L3179" s="135"/>
      <c r="M3179" s="135"/>
      <c r="N3179" s="135"/>
      <c r="O3179" s="135"/>
      <c r="P3179" s="135"/>
      <c r="Q3179" s="135"/>
      <c r="R3179" s="135"/>
      <c r="S3179" s="135"/>
      <c r="T3179" s="135"/>
      <c r="U3179" s="135"/>
      <c r="V3179" s="135"/>
      <c r="W3179" s="135"/>
      <c r="X3179" s="135"/>
      <c r="Y3179" s="135"/>
      <c r="Z3179" s="135"/>
    </row>
    <row r="3180" spans="1:26" ht="12.75">
      <c r="A3180" s="136" t="s">
        <v>10</v>
      </c>
      <c r="B3180" s="136" t="s">
        <v>7833</v>
      </c>
      <c r="C3180" s="136" t="s">
        <v>509</v>
      </c>
      <c r="D3180" s="136" t="s">
        <v>1669</v>
      </c>
      <c r="E3180" s="136" t="s">
        <v>615</v>
      </c>
      <c r="F3180" s="136">
        <v>65</v>
      </c>
      <c r="G3180" s="137">
        <f t="shared" si="12"/>
        <v>5</v>
      </c>
      <c r="H3180" s="137"/>
      <c r="I3180" s="137"/>
      <c r="J3180" s="135"/>
      <c r="K3180" s="135"/>
      <c r="L3180" s="135"/>
      <c r="M3180" s="135"/>
      <c r="N3180" s="135"/>
      <c r="O3180" s="135"/>
      <c r="P3180" s="135"/>
      <c r="Q3180" s="135"/>
      <c r="R3180" s="135"/>
      <c r="S3180" s="135"/>
      <c r="T3180" s="135"/>
      <c r="U3180" s="135"/>
      <c r="V3180" s="135"/>
      <c r="W3180" s="135"/>
      <c r="X3180" s="135"/>
      <c r="Y3180" s="135"/>
      <c r="Z3180" s="135"/>
    </row>
    <row r="3181" spans="1:26" ht="12.75">
      <c r="A3181" s="136" t="s">
        <v>10</v>
      </c>
      <c r="B3181" s="136" t="s">
        <v>7833</v>
      </c>
      <c r="C3181" s="136" t="s">
        <v>509</v>
      </c>
      <c r="D3181" s="136" t="s">
        <v>103</v>
      </c>
      <c r="E3181" s="136" t="s">
        <v>594</v>
      </c>
      <c r="F3181" s="136">
        <v>60</v>
      </c>
      <c r="G3181" s="137">
        <f t="shared" si="12"/>
        <v>6</v>
      </c>
      <c r="H3181" s="137"/>
      <c r="I3181" s="137"/>
      <c r="J3181" s="135"/>
      <c r="K3181" s="135"/>
      <c r="L3181" s="135"/>
      <c r="M3181" s="135"/>
      <c r="N3181" s="135"/>
      <c r="O3181" s="135"/>
      <c r="P3181" s="135"/>
      <c r="Q3181" s="135"/>
      <c r="R3181" s="135"/>
      <c r="S3181" s="135"/>
      <c r="T3181" s="135"/>
      <c r="U3181" s="135"/>
      <c r="V3181" s="135"/>
      <c r="W3181" s="135"/>
      <c r="X3181" s="135"/>
      <c r="Y3181" s="135"/>
      <c r="Z3181" s="135"/>
    </row>
    <row r="3182" spans="1:26" ht="12.75">
      <c r="A3182" s="136" t="s">
        <v>10</v>
      </c>
      <c r="B3182" s="136" t="s">
        <v>7833</v>
      </c>
      <c r="C3182" s="136" t="s">
        <v>509</v>
      </c>
      <c r="D3182" s="136" t="s">
        <v>131</v>
      </c>
      <c r="E3182" s="136" t="s">
        <v>594</v>
      </c>
      <c r="F3182" s="136">
        <v>53</v>
      </c>
      <c r="G3182" s="137">
        <f t="shared" si="12"/>
        <v>7</v>
      </c>
      <c r="H3182" s="137"/>
      <c r="I3182" s="137"/>
      <c r="J3182" s="135"/>
      <c r="K3182" s="135"/>
      <c r="L3182" s="135"/>
      <c r="M3182" s="135"/>
      <c r="N3182" s="135"/>
      <c r="O3182" s="135"/>
      <c r="P3182" s="135"/>
      <c r="Q3182" s="135"/>
      <c r="R3182" s="135"/>
      <c r="S3182" s="135"/>
      <c r="T3182" s="135"/>
      <c r="U3182" s="135"/>
      <c r="V3182" s="135"/>
      <c r="W3182" s="135"/>
      <c r="X3182" s="135"/>
      <c r="Y3182" s="135"/>
      <c r="Z3182" s="135"/>
    </row>
    <row r="3183" spans="1:26" ht="12.75">
      <c r="A3183" s="136" t="s">
        <v>10</v>
      </c>
      <c r="B3183" s="136" t="s">
        <v>7833</v>
      </c>
      <c r="C3183" s="136" t="s">
        <v>509</v>
      </c>
      <c r="D3183" s="136" t="s">
        <v>7711</v>
      </c>
      <c r="E3183" s="136" t="s">
        <v>615</v>
      </c>
      <c r="F3183" s="136">
        <v>51</v>
      </c>
      <c r="G3183" s="137">
        <f t="shared" si="12"/>
        <v>8</v>
      </c>
      <c r="H3183" s="137"/>
      <c r="I3183" s="137"/>
      <c r="J3183" s="135"/>
      <c r="K3183" s="135"/>
      <c r="L3183" s="135"/>
      <c r="M3183" s="135"/>
      <c r="N3183" s="135"/>
      <c r="O3183" s="135"/>
      <c r="P3183" s="135"/>
      <c r="Q3183" s="135"/>
      <c r="R3183" s="135"/>
      <c r="S3183" s="135"/>
      <c r="T3183" s="135"/>
      <c r="U3183" s="135"/>
      <c r="V3183" s="135"/>
      <c r="W3183" s="135"/>
      <c r="X3183" s="135"/>
      <c r="Y3183" s="135"/>
      <c r="Z3183" s="135"/>
    </row>
    <row r="3184" spans="1:26" ht="12.75">
      <c r="A3184" s="136" t="s">
        <v>10</v>
      </c>
      <c r="B3184" s="136" t="s">
        <v>7833</v>
      </c>
      <c r="C3184" s="136" t="s">
        <v>509</v>
      </c>
      <c r="D3184" s="136" t="s">
        <v>1626</v>
      </c>
      <c r="E3184" s="136" t="s">
        <v>594</v>
      </c>
      <c r="F3184" s="136">
        <v>49</v>
      </c>
      <c r="G3184" s="137">
        <f t="shared" si="12"/>
        <v>9</v>
      </c>
      <c r="H3184" s="137"/>
      <c r="I3184" s="137"/>
      <c r="J3184" s="135"/>
      <c r="K3184" s="135"/>
      <c r="L3184" s="135"/>
      <c r="M3184" s="135"/>
      <c r="N3184" s="135"/>
      <c r="O3184" s="135"/>
      <c r="P3184" s="135"/>
      <c r="Q3184" s="135"/>
      <c r="R3184" s="135"/>
      <c r="S3184" s="135"/>
      <c r="T3184" s="135"/>
      <c r="U3184" s="135"/>
      <c r="V3184" s="135"/>
      <c r="W3184" s="135"/>
      <c r="X3184" s="135"/>
      <c r="Y3184" s="135"/>
      <c r="Z3184" s="135"/>
    </row>
    <row r="3185" spans="1:26" ht="12.75">
      <c r="A3185" s="136" t="s">
        <v>10</v>
      </c>
      <c r="B3185" s="136" t="s">
        <v>7833</v>
      </c>
      <c r="C3185" s="136" t="s">
        <v>509</v>
      </c>
      <c r="D3185" s="136" t="s">
        <v>1656</v>
      </c>
      <c r="E3185" s="136" t="s">
        <v>615</v>
      </c>
      <c r="F3185" s="136">
        <v>47</v>
      </c>
      <c r="G3185" s="137">
        <f t="shared" si="12"/>
        <v>10</v>
      </c>
      <c r="H3185" s="137"/>
      <c r="I3185" s="137"/>
      <c r="J3185" s="135"/>
      <c r="K3185" s="135"/>
      <c r="L3185" s="135"/>
      <c r="M3185" s="135"/>
      <c r="N3185" s="135"/>
      <c r="O3185" s="135"/>
      <c r="P3185" s="135"/>
      <c r="Q3185" s="135"/>
      <c r="R3185" s="135"/>
      <c r="S3185" s="135"/>
      <c r="T3185" s="135"/>
      <c r="U3185" s="135"/>
      <c r="V3185" s="135"/>
      <c r="W3185" s="135"/>
      <c r="X3185" s="135"/>
      <c r="Y3185" s="135"/>
      <c r="Z3185" s="135"/>
    </row>
    <row r="3186" spans="1:26" ht="12.75">
      <c r="A3186" s="136" t="s">
        <v>10</v>
      </c>
      <c r="B3186" s="136" t="s">
        <v>7833</v>
      </c>
      <c r="C3186" s="136" t="s">
        <v>509</v>
      </c>
      <c r="D3186" s="136" t="s">
        <v>467</v>
      </c>
      <c r="E3186" s="136" t="s">
        <v>85</v>
      </c>
      <c r="F3186" s="136">
        <v>40</v>
      </c>
      <c r="G3186" s="137">
        <f t="shared" si="12"/>
        <v>11</v>
      </c>
      <c r="H3186" s="137"/>
      <c r="I3186" s="137"/>
      <c r="J3186" s="135"/>
      <c r="K3186" s="135"/>
      <c r="L3186" s="135"/>
      <c r="M3186" s="135"/>
      <c r="N3186" s="135"/>
      <c r="O3186" s="135"/>
      <c r="P3186" s="135"/>
      <c r="Q3186" s="135"/>
      <c r="R3186" s="135"/>
      <c r="S3186" s="135"/>
      <c r="T3186" s="135"/>
      <c r="U3186" s="135"/>
      <c r="V3186" s="135"/>
      <c r="W3186" s="135"/>
      <c r="X3186" s="135"/>
      <c r="Y3186" s="135"/>
      <c r="Z3186" s="135"/>
    </row>
    <row r="3187" spans="1:26" ht="12.75">
      <c r="A3187" s="136" t="s">
        <v>10</v>
      </c>
      <c r="B3187" s="136" t="s">
        <v>7833</v>
      </c>
      <c r="C3187" s="136" t="s">
        <v>509</v>
      </c>
      <c r="D3187" s="136" t="s">
        <v>7481</v>
      </c>
      <c r="E3187" s="136" t="s">
        <v>615</v>
      </c>
      <c r="F3187" s="136">
        <v>36</v>
      </c>
      <c r="G3187" s="137">
        <f t="shared" si="12"/>
        <v>12</v>
      </c>
      <c r="H3187" s="137"/>
      <c r="I3187" s="137"/>
      <c r="J3187" s="135"/>
      <c r="K3187" s="135"/>
      <c r="L3187" s="135"/>
      <c r="M3187" s="135"/>
      <c r="N3187" s="135"/>
      <c r="O3187" s="135"/>
      <c r="P3187" s="135"/>
      <c r="Q3187" s="135"/>
      <c r="R3187" s="135"/>
      <c r="S3187" s="135"/>
      <c r="T3187" s="135"/>
      <c r="U3187" s="135"/>
      <c r="V3187" s="135"/>
      <c r="W3187" s="135"/>
      <c r="X3187" s="135"/>
      <c r="Y3187" s="135"/>
      <c r="Z3187" s="135"/>
    </row>
    <row r="3188" spans="1:26" ht="12.75">
      <c r="A3188" s="136" t="s">
        <v>10</v>
      </c>
      <c r="B3188" s="136" t="s">
        <v>7833</v>
      </c>
      <c r="C3188" s="136" t="s">
        <v>509</v>
      </c>
      <c r="D3188" s="136" t="s">
        <v>1682</v>
      </c>
      <c r="E3188" s="136" t="s">
        <v>86</v>
      </c>
      <c r="F3188" s="136">
        <v>3</v>
      </c>
      <c r="G3188" s="137">
        <f t="shared" si="12"/>
        <v>13</v>
      </c>
      <c r="H3188" s="137"/>
      <c r="I3188" s="137"/>
      <c r="J3188" s="135"/>
      <c r="K3188" s="135"/>
      <c r="L3188" s="135"/>
      <c r="M3188" s="135"/>
      <c r="N3188" s="135"/>
      <c r="O3188" s="135"/>
      <c r="P3188" s="135"/>
      <c r="Q3188" s="135"/>
      <c r="R3188" s="135"/>
      <c r="S3188" s="135"/>
      <c r="T3188" s="135"/>
      <c r="U3188" s="135"/>
      <c r="V3188" s="135"/>
      <c r="W3188" s="135"/>
      <c r="X3188" s="135"/>
      <c r="Y3188" s="135"/>
      <c r="Z3188" s="135"/>
    </row>
    <row r="3189" spans="1:26" ht="12.75">
      <c r="A3189" s="136" t="s">
        <v>10</v>
      </c>
      <c r="B3189" s="136" t="s">
        <v>7833</v>
      </c>
      <c r="C3189" s="136" t="s">
        <v>7852</v>
      </c>
      <c r="D3189" s="136" t="s">
        <v>1669</v>
      </c>
      <c r="E3189" s="136" t="s">
        <v>615</v>
      </c>
      <c r="F3189" s="136">
        <v>491</v>
      </c>
      <c r="G3189" s="137">
        <f t="shared" si="12"/>
        <v>1</v>
      </c>
      <c r="H3189" s="137"/>
      <c r="I3189" s="137"/>
      <c r="J3189" s="135"/>
      <c r="K3189" s="135"/>
      <c r="L3189" s="135"/>
      <c r="M3189" s="135"/>
      <c r="N3189" s="135"/>
      <c r="O3189" s="135"/>
      <c r="P3189" s="135"/>
      <c r="Q3189" s="135"/>
      <c r="R3189" s="135"/>
      <c r="S3189" s="135"/>
      <c r="T3189" s="135"/>
      <c r="U3189" s="135"/>
      <c r="V3189" s="135"/>
      <c r="W3189" s="135"/>
      <c r="X3189" s="135"/>
      <c r="Y3189" s="135"/>
      <c r="Z3189" s="135"/>
    </row>
    <row r="3190" spans="1:26" ht="12.75">
      <c r="A3190" s="136" t="s">
        <v>10</v>
      </c>
      <c r="B3190" s="136" t="s">
        <v>7833</v>
      </c>
      <c r="C3190" s="136" t="s">
        <v>7852</v>
      </c>
      <c r="D3190" s="136" t="s">
        <v>139</v>
      </c>
      <c r="E3190" s="136" t="s">
        <v>594</v>
      </c>
      <c r="F3190" s="136">
        <v>477</v>
      </c>
      <c r="G3190" s="137">
        <f t="shared" si="12"/>
        <v>2</v>
      </c>
      <c r="H3190" s="137"/>
      <c r="I3190" s="137"/>
      <c r="J3190" s="135"/>
      <c r="K3190" s="135"/>
      <c r="L3190" s="135"/>
      <c r="M3190" s="135"/>
      <c r="N3190" s="135"/>
      <c r="O3190" s="135"/>
      <c r="P3190" s="135"/>
      <c r="Q3190" s="135"/>
      <c r="R3190" s="135"/>
      <c r="S3190" s="135"/>
      <c r="T3190" s="135"/>
      <c r="U3190" s="135"/>
      <c r="V3190" s="135"/>
      <c r="W3190" s="135"/>
      <c r="X3190" s="135"/>
      <c r="Y3190" s="135"/>
      <c r="Z3190" s="135"/>
    </row>
    <row r="3191" spans="1:26" ht="12.75">
      <c r="A3191" s="136" t="s">
        <v>10</v>
      </c>
      <c r="B3191" s="136" t="s">
        <v>7833</v>
      </c>
      <c r="C3191" s="136" t="s">
        <v>7852</v>
      </c>
      <c r="D3191" s="136" t="s">
        <v>7481</v>
      </c>
      <c r="E3191" s="136" t="s">
        <v>615</v>
      </c>
      <c r="F3191" s="136">
        <v>365</v>
      </c>
      <c r="G3191" s="137">
        <f t="shared" si="12"/>
        <v>3</v>
      </c>
      <c r="H3191" s="137"/>
      <c r="I3191" s="137"/>
      <c r="J3191" s="135"/>
      <c r="K3191" s="135"/>
      <c r="L3191" s="135"/>
      <c r="M3191" s="135"/>
      <c r="N3191" s="135"/>
      <c r="O3191" s="135"/>
      <c r="P3191" s="135"/>
      <c r="Q3191" s="135"/>
      <c r="R3191" s="135"/>
      <c r="S3191" s="135"/>
      <c r="T3191" s="135"/>
      <c r="U3191" s="135"/>
      <c r="V3191" s="135"/>
      <c r="W3191" s="135"/>
      <c r="X3191" s="135"/>
      <c r="Y3191" s="135"/>
      <c r="Z3191" s="135"/>
    </row>
    <row r="3192" spans="1:26" ht="12.75">
      <c r="A3192" s="136" t="s">
        <v>10</v>
      </c>
      <c r="B3192" s="136" t="s">
        <v>7833</v>
      </c>
      <c r="C3192" s="136" t="s">
        <v>7852</v>
      </c>
      <c r="D3192" s="136" t="s">
        <v>437</v>
      </c>
      <c r="E3192" s="136" t="s">
        <v>594</v>
      </c>
      <c r="F3192" s="136">
        <v>153</v>
      </c>
      <c r="G3192" s="137">
        <f t="shared" si="12"/>
        <v>4</v>
      </c>
      <c r="H3192" s="137"/>
      <c r="I3192" s="137"/>
      <c r="J3192" s="135"/>
      <c r="K3192" s="135"/>
      <c r="L3192" s="135"/>
      <c r="M3192" s="135"/>
      <c r="N3192" s="135"/>
      <c r="O3192" s="135"/>
      <c r="P3192" s="135"/>
      <c r="Q3192" s="135"/>
      <c r="R3192" s="135"/>
      <c r="S3192" s="135"/>
      <c r="T3192" s="135"/>
      <c r="U3192" s="135"/>
      <c r="V3192" s="135"/>
      <c r="W3192" s="135"/>
      <c r="X3192" s="135"/>
      <c r="Y3192" s="135"/>
      <c r="Z3192" s="135"/>
    </row>
    <row r="3193" spans="1:26" ht="12.75">
      <c r="A3193" s="136" t="s">
        <v>10</v>
      </c>
      <c r="B3193" s="136" t="s">
        <v>7833</v>
      </c>
      <c r="C3193" s="136" t="s">
        <v>7852</v>
      </c>
      <c r="D3193" s="136" t="s">
        <v>136</v>
      </c>
      <c r="E3193" s="136" t="s">
        <v>615</v>
      </c>
      <c r="F3193" s="136">
        <v>143</v>
      </c>
      <c r="G3193" s="137">
        <f t="shared" si="12"/>
        <v>5</v>
      </c>
      <c r="H3193" s="137"/>
      <c r="I3193" s="137"/>
      <c r="J3193" s="135"/>
      <c r="K3193" s="135"/>
      <c r="L3193" s="135"/>
      <c r="M3193" s="135"/>
      <c r="N3193" s="135"/>
      <c r="O3193" s="135"/>
      <c r="P3193" s="135"/>
      <c r="Q3193" s="135"/>
      <c r="R3193" s="135"/>
      <c r="S3193" s="135"/>
      <c r="T3193" s="135"/>
      <c r="U3193" s="135"/>
      <c r="V3193" s="135"/>
      <c r="W3193" s="135"/>
      <c r="X3193" s="135"/>
      <c r="Y3193" s="135"/>
      <c r="Z3193" s="135"/>
    </row>
    <row r="3194" spans="1:26" ht="12.75">
      <c r="A3194" s="136" t="s">
        <v>10</v>
      </c>
      <c r="B3194" s="136" t="s">
        <v>7833</v>
      </c>
      <c r="C3194" s="136" t="s">
        <v>7852</v>
      </c>
      <c r="D3194" s="136" t="s">
        <v>7544</v>
      </c>
      <c r="E3194" s="136" t="s">
        <v>615</v>
      </c>
      <c r="F3194" s="136">
        <v>90</v>
      </c>
      <c r="G3194" s="137">
        <f t="shared" si="12"/>
        <v>6</v>
      </c>
      <c r="H3194" s="137"/>
      <c r="I3194" s="137"/>
      <c r="J3194" s="135"/>
      <c r="K3194" s="135"/>
      <c r="L3194" s="135"/>
      <c r="M3194" s="135"/>
      <c r="N3194" s="135"/>
      <c r="O3194" s="135"/>
      <c r="P3194" s="135"/>
      <c r="Q3194" s="135"/>
      <c r="R3194" s="135"/>
      <c r="S3194" s="135"/>
      <c r="T3194" s="135"/>
      <c r="U3194" s="135"/>
      <c r="V3194" s="135"/>
      <c r="W3194" s="135"/>
      <c r="X3194" s="135"/>
      <c r="Y3194" s="135"/>
      <c r="Z3194" s="135"/>
    </row>
    <row r="3195" spans="1:26" ht="12.75">
      <c r="A3195" s="136" t="s">
        <v>10</v>
      </c>
      <c r="B3195" s="136" t="s">
        <v>7833</v>
      </c>
      <c r="C3195" s="136" t="s">
        <v>7852</v>
      </c>
      <c r="D3195" s="136" t="s">
        <v>131</v>
      </c>
      <c r="E3195" s="136" t="s">
        <v>594</v>
      </c>
      <c r="F3195" s="136">
        <v>74</v>
      </c>
      <c r="G3195" s="137">
        <f t="shared" si="12"/>
        <v>7</v>
      </c>
      <c r="H3195" s="137"/>
      <c r="I3195" s="137"/>
      <c r="J3195" s="135"/>
      <c r="K3195" s="135"/>
      <c r="L3195" s="135"/>
      <c r="M3195" s="135"/>
      <c r="N3195" s="135"/>
      <c r="O3195" s="135"/>
      <c r="P3195" s="135"/>
      <c r="Q3195" s="135"/>
      <c r="R3195" s="135"/>
      <c r="S3195" s="135"/>
      <c r="T3195" s="135"/>
      <c r="U3195" s="135"/>
      <c r="V3195" s="135"/>
      <c r="W3195" s="135"/>
      <c r="X3195" s="135"/>
      <c r="Y3195" s="135"/>
      <c r="Z3195" s="135"/>
    </row>
    <row r="3196" spans="1:26" ht="12.75">
      <c r="A3196" s="136" t="s">
        <v>10</v>
      </c>
      <c r="B3196" s="136" t="s">
        <v>7833</v>
      </c>
      <c r="C3196" s="136" t="s">
        <v>7852</v>
      </c>
      <c r="D3196" s="136" t="s">
        <v>368</v>
      </c>
      <c r="E3196" s="136" t="s">
        <v>594</v>
      </c>
      <c r="F3196" s="136">
        <v>67</v>
      </c>
      <c r="G3196" s="137">
        <f t="shared" si="12"/>
        <v>8</v>
      </c>
      <c r="H3196" s="137"/>
      <c r="I3196" s="137"/>
      <c r="J3196" s="135"/>
      <c r="K3196" s="135"/>
      <c r="L3196" s="135"/>
      <c r="M3196" s="135"/>
      <c r="N3196" s="135"/>
      <c r="O3196" s="135"/>
      <c r="P3196" s="135"/>
      <c r="Q3196" s="135"/>
      <c r="R3196" s="135"/>
      <c r="S3196" s="135"/>
      <c r="T3196" s="135"/>
      <c r="U3196" s="135"/>
      <c r="V3196" s="135"/>
      <c r="W3196" s="135"/>
      <c r="X3196" s="135"/>
      <c r="Y3196" s="135"/>
      <c r="Z3196" s="135"/>
    </row>
    <row r="3197" spans="1:26" ht="12.75">
      <c r="A3197" s="136" t="s">
        <v>10</v>
      </c>
      <c r="B3197" s="136" t="s">
        <v>7833</v>
      </c>
      <c r="C3197" s="136" t="s">
        <v>7852</v>
      </c>
      <c r="D3197" s="136" t="s">
        <v>103</v>
      </c>
      <c r="E3197" s="136" t="s">
        <v>594</v>
      </c>
      <c r="F3197" s="136">
        <v>61</v>
      </c>
      <c r="G3197" s="137">
        <f t="shared" si="12"/>
        <v>9</v>
      </c>
      <c r="H3197" s="137"/>
      <c r="I3197" s="137"/>
      <c r="J3197" s="135"/>
      <c r="K3197" s="135"/>
      <c r="L3197" s="135"/>
      <c r="M3197" s="135"/>
      <c r="N3197" s="135"/>
      <c r="O3197" s="135"/>
      <c r="P3197" s="135"/>
      <c r="Q3197" s="135"/>
      <c r="R3197" s="135"/>
      <c r="S3197" s="135"/>
      <c r="T3197" s="135"/>
      <c r="U3197" s="135"/>
      <c r="V3197" s="135"/>
      <c r="W3197" s="135"/>
      <c r="X3197" s="135"/>
      <c r="Y3197" s="135"/>
      <c r="Z3197" s="135"/>
    </row>
    <row r="3198" spans="1:26" ht="12.75">
      <c r="A3198" s="136" t="s">
        <v>10</v>
      </c>
      <c r="B3198" s="136" t="s">
        <v>7833</v>
      </c>
      <c r="C3198" s="136" t="s">
        <v>7852</v>
      </c>
      <c r="D3198" s="136" t="s">
        <v>1656</v>
      </c>
      <c r="E3198" s="136" t="s">
        <v>615</v>
      </c>
      <c r="F3198" s="136">
        <v>40</v>
      </c>
      <c r="G3198" s="137">
        <f t="shared" si="12"/>
        <v>10</v>
      </c>
      <c r="H3198" s="137"/>
      <c r="I3198" s="137"/>
      <c r="J3198" s="135"/>
      <c r="K3198" s="135"/>
      <c r="L3198" s="135"/>
      <c r="M3198" s="135"/>
      <c r="N3198" s="135"/>
      <c r="O3198" s="135"/>
      <c r="P3198" s="135"/>
      <c r="Q3198" s="135"/>
      <c r="R3198" s="135"/>
      <c r="S3198" s="135"/>
      <c r="T3198" s="135"/>
      <c r="U3198" s="135"/>
      <c r="V3198" s="135"/>
      <c r="W3198" s="135"/>
      <c r="X3198" s="135"/>
      <c r="Y3198" s="135"/>
      <c r="Z3198" s="135"/>
    </row>
    <row r="3199" spans="1:26" ht="12.75">
      <c r="A3199" s="136" t="s">
        <v>10</v>
      </c>
      <c r="B3199" s="136" t="s">
        <v>7833</v>
      </c>
      <c r="C3199" s="136" t="s">
        <v>7852</v>
      </c>
      <c r="D3199" s="136" t="s">
        <v>1626</v>
      </c>
      <c r="E3199" s="136" t="s">
        <v>594</v>
      </c>
      <c r="F3199" s="136">
        <v>34</v>
      </c>
      <c r="G3199" s="137">
        <f t="shared" si="12"/>
        <v>11</v>
      </c>
      <c r="H3199" s="137"/>
      <c r="I3199" s="137"/>
      <c r="J3199" s="135"/>
      <c r="K3199" s="135"/>
      <c r="L3199" s="135"/>
      <c r="M3199" s="135"/>
      <c r="N3199" s="135"/>
      <c r="O3199" s="135"/>
      <c r="P3199" s="135"/>
      <c r="Q3199" s="135"/>
      <c r="R3199" s="135"/>
      <c r="S3199" s="135"/>
      <c r="T3199" s="135"/>
      <c r="U3199" s="135"/>
      <c r="V3199" s="135"/>
      <c r="W3199" s="135"/>
      <c r="X3199" s="135"/>
      <c r="Y3199" s="135"/>
      <c r="Z3199" s="135"/>
    </row>
    <row r="3200" spans="1:26" ht="12.75">
      <c r="A3200" s="136" t="s">
        <v>10</v>
      </c>
      <c r="B3200" s="136" t="s">
        <v>7833</v>
      </c>
      <c r="C3200" s="136" t="s">
        <v>7852</v>
      </c>
      <c r="D3200" s="136" t="s">
        <v>114</v>
      </c>
      <c r="E3200" s="136" t="s">
        <v>85</v>
      </c>
      <c r="F3200" s="136">
        <v>10</v>
      </c>
      <c r="G3200" s="137">
        <f t="shared" si="12"/>
        <v>12</v>
      </c>
      <c r="H3200" s="137"/>
      <c r="I3200" s="137"/>
      <c r="J3200" s="135"/>
      <c r="K3200" s="135"/>
      <c r="L3200" s="135"/>
      <c r="M3200" s="135"/>
      <c r="N3200" s="135"/>
      <c r="O3200" s="135"/>
      <c r="P3200" s="135"/>
      <c r="Q3200" s="135"/>
      <c r="R3200" s="135"/>
      <c r="S3200" s="135"/>
      <c r="T3200" s="135"/>
      <c r="U3200" s="135"/>
      <c r="V3200" s="135"/>
      <c r="W3200" s="135"/>
      <c r="X3200" s="135"/>
      <c r="Y3200" s="135"/>
      <c r="Z3200" s="135"/>
    </row>
    <row r="3201" spans="1:26" ht="12.75">
      <c r="A3201" s="136" t="s">
        <v>10</v>
      </c>
      <c r="B3201" s="136" t="s">
        <v>7833</v>
      </c>
      <c r="C3201" s="136" t="s">
        <v>7852</v>
      </c>
      <c r="D3201" s="136" t="s">
        <v>467</v>
      </c>
      <c r="E3201" s="136" t="s">
        <v>85</v>
      </c>
      <c r="F3201" s="136">
        <v>2</v>
      </c>
      <c r="G3201" s="137">
        <f t="shared" si="12"/>
        <v>13</v>
      </c>
      <c r="H3201" s="137"/>
      <c r="I3201" s="137"/>
      <c r="J3201" s="135"/>
      <c r="K3201" s="135"/>
      <c r="L3201" s="135"/>
      <c r="M3201" s="135"/>
      <c r="N3201" s="135"/>
      <c r="O3201" s="135"/>
      <c r="P3201" s="135"/>
      <c r="Q3201" s="135"/>
      <c r="R3201" s="135"/>
      <c r="S3201" s="135"/>
      <c r="T3201" s="135"/>
      <c r="U3201" s="135"/>
      <c r="V3201" s="135"/>
      <c r="W3201" s="135"/>
      <c r="X3201" s="135"/>
      <c r="Y3201" s="135"/>
      <c r="Z3201" s="135"/>
    </row>
    <row r="3202" spans="1:26" ht="12.75">
      <c r="A3202" s="136" t="s">
        <v>10</v>
      </c>
      <c r="B3202" s="136" t="s">
        <v>7833</v>
      </c>
      <c r="C3202" s="136" t="s">
        <v>523</v>
      </c>
      <c r="D3202" s="136" t="s">
        <v>114</v>
      </c>
      <c r="E3202" s="136" t="s">
        <v>85</v>
      </c>
      <c r="F3202" s="136">
        <v>883</v>
      </c>
      <c r="G3202" s="137">
        <f t="shared" si="12"/>
        <v>1</v>
      </c>
      <c r="H3202" s="137"/>
      <c r="I3202" s="137"/>
      <c r="J3202" s="135"/>
      <c r="K3202" s="135"/>
      <c r="L3202" s="135"/>
      <c r="M3202" s="135"/>
      <c r="N3202" s="135"/>
      <c r="O3202" s="135"/>
      <c r="P3202" s="135"/>
      <c r="Q3202" s="135"/>
      <c r="R3202" s="135"/>
      <c r="S3202" s="135"/>
      <c r="T3202" s="135"/>
      <c r="U3202" s="135"/>
      <c r="V3202" s="135"/>
      <c r="W3202" s="135"/>
      <c r="X3202" s="135"/>
      <c r="Y3202" s="135"/>
      <c r="Z3202" s="135"/>
    </row>
    <row r="3203" spans="1:26" ht="12.75">
      <c r="A3203" s="136" t="s">
        <v>10</v>
      </c>
      <c r="B3203" s="136" t="s">
        <v>7833</v>
      </c>
      <c r="C3203" s="136" t="s">
        <v>523</v>
      </c>
      <c r="D3203" s="136" t="s">
        <v>1669</v>
      </c>
      <c r="E3203" s="136" t="s">
        <v>615</v>
      </c>
      <c r="F3203" s="136">
        <v>431</v>
      </c>
      <c r="G3203" s="137">
        <f t="shared" si="12"/>
        <v>2</v>
      </c>
      <c r="H3203" s="137"/>
      <c r="I3203" s="137"/>
      <c r="J3203" s="135"/>
      <c r="K3203" s="135"/>
      <c r="L3203" s="135"/>
      <c r="M3203" s="135"/>
      <c r="N3203" s="135"/>
      <c r="O3203" s="135"/>
      <c r="P3203" s="135"/>
      <c r="Q3203" s="135"/>
      <c r="R3203" s="135"/>
      <c r="S3203" s="135"/>
      <c r="T3203" s="135"/>
      <c r="U3203" s="135"/>
      <c r="V3203" s="135"/>
      <c r="W3203" s="135"/>
      <c r="X3203" s="135"/>
      <c r="Y3203" s="135"/>
      <c r="Z3203" s="135"/>
    </row>
    <row r="3204" spans="1:26" ht="12.75">
      <c r="A3204" s="136" t="s">
        <v>10</v>
      </c>
      <c r="B3204" s="136" t="s">
        <v>7833</v>
      </c>
      <c r="C3204" s="136" t="s">
        <v>523</v>
      </c>
      <c r="D3204" s="136" t="s">
        <v>7481</v>
      </c>
      <c r="E3204" s="136" t="s">
        <v>615</v>
      </c>
      <c r="F3204" s="136">
        <v>386</v>
      </c>
      <c r="G3204" s="137">
        <f t="shared" si="12"/>
        <v>3</v>
      </c>
      <c r="H3204" s="137"/>
      <c r="I3204" s="137"/>
      <c r="J3204" s="135"/>
      <c r="K3204" s="135"/>
      <c r="L3204" s="135"/>
      <c r="M3204" s="135"/>
      <c r="N3204" s="135"/>
      <c r="O3204" s="135"/>
      <c r="P3204" s="135"/>
      <c r="Q3204" s="135"/>
      <c r="R3204" s="135"/>
      <c r="S3204" s="135"/>
      <c r="T3204" s="135"/>
      <c r="U3204" s="135"/>
      <c r="V3204" s="135"/>
      <c r="W3204" s="135"/>
      <c r="X3204" s="135"/>
      <c r="Y3204" s="135"/>
      <c r="Z3204" s="135"/>
    </row>
    <row r="3205" spans="1:26" ht="12.75">
      <c r="A3205" s="136" t="s">
        <v>10</v>
      </c>
      <c r="B3205" s="136" t="s">
        <v>7833</v>
      </c>
      <c r="C3205" s="136" t="s">
        <v>523</v>
      </c>
      <c r="D3205" s="136" t="s">
        <v>139</v>
      </c>
      <c r="E3205" s="136" t="s">
        <v>594</v>
      </c>
      <c r="F3205" s="136">
        <v>268</v>
      </c>
      <c r="G3205" s="137">
        <f t="shared" si="12"/>
        <v>4</v>
      </c>
      <c r="H3205" s="137"/>
      <c r="I3205" s="137"/>
      <c r="J3205" s="135"/>
      <c r="K3205" s="135"/>
      <c r="L3205" s="135"/>
      <c r="M3205" s="135"/>
      <c r="N3205" s="135"/>
      <c r="O3205" s="135"/>
      <c r="P3205" s="135"/>
      <c r="Q3205" s="135"/>
      <c r="R3205" s="135"/>
      <c r="S3205" s="135"/>
      <c r="T3205" s="135"/>
      <c r="U3205" s="135"/>
      <c r="V3205" s="135"/>
      <c r="W3205" s="135"/>
      <c r="X3205" s="135"/>
      <c r="Y3205" s="135"/>
      <c r="Z3205" s="135"/>
    </row>
    <row r="3206" spans="1:26" ht="12.75">
      <c r="A3206" s="136" t="s">
        <v>10</v>
      </c>
      <c r="B3206" s="136" t="s">
        <v>7833</v>
      </c>
      <c r="C3206" s="136" t="s">
        <v>523</v>
      </c>
      <c r="D3206" s="136" t="s">
        <v>467</v>
      </c>
      <c r="E3206" s="136" t="s">
        <v>85</v>
      </c>
      <c r="F3206" s="136">
        <v>128</v>
      </c>
      <c r="G3206" s="137">
        <f t="shared" si="12"/>
        <v>5</v>
      </c>
      <c r="H3206" s="137"/>
      <c r="I3206" s="137"/>
      <c r="J3206" s="135"/>
      <c r="K3206" s="135"/>
      <c r="L3206" s="135"/>
      <c r="M3206" s="135"/>
      <c r="N3206" s="135"/>
      <c r="O3206" s="135"/>
      <c r="P3206" s="135"/>
      <c r="Q3206" s="135"/>
      <c r="R3206" s="135"/>
      <c r="S3206" s="135"/>
      <c r="T3206" s="135"/>
      <c r="U3206" s="135"/>
      <c r="V3206" s="135"/>
      <c r="W3206" s="135"/>
      <c r="X3206" s="135"/>
      <c r="Y3206" s="135"/>
      <c r="Z3206" s="135"/>
    </row>
    <row r="3207" spans="1:26" ht="12.75">
      <c r="A3207" s="136" t="s">
        <v>10</v>
      </c>
      <c r="B3207" s="136" t="s">
        <v>7833</v>
      </c>
      <c r="C3207" s="136" t="s">
        <v>523</v>
      </c>
      <c r="D3207" s="136" t="s">
        <v>7711</v>
      </c>
      <c r="E3207" s="136" t="s">
        <v>615</v>
      </c>
      <c r="F3207" s="136">
        <v>90</v>
      </c>
      <c r="G3207" s="137">
        <f t="shared" si="12"/>
        <v>6</v>
      </c>
      <c r="H3207" s="137"/>
      <c r="I3207" s="137"/>
      <c r="J3207" s="135"/>
      <c r="K3207" s="135"/>
      <c r="L3207" s="135"/>
      <c r="M3207" s="135"/>
      <c r="N3207" s="135"/>
      <c r="O3207" s="135"/>
      <c r="P3207" s="135"/>
      <c r="Q3207" s="135"/>
      <c r="R3207" s="135"/>
      <c r="S3207" s="135"/>
      <c r="T3207" s="135"/>
      <c r="U3207" s="135"/>
      <c r="V3207" s="135"/>
      <c r="W3207" s="135"/>
      <c r="X3207" s="135"/>
      <c r="Y3207" s="135"/>
      <c r="Z3207" s="135"/>
    </row>
    <row r="3208" spans="1:26" ht="12.75">
      <c r="A3208" s="136" t="s">
        <v>10</v>
      </c>
      <c r="B3208" s="136" t="s">
        <v>7833</v>
      </c>
      <c r="C3208" s="136" t="s">
        <v>523</v>
      </c>
      <c r="D3208" s="136" t="s">
        <v>165</v>
      </c>
      <c r="E3208" s="136" t="s">
        <v>615</v>
      </c>
      <c r="F3208" s="136">
        <v>84</v>
      </c>
      <c r="G3208" s="137">
        <f t="shared" si="12"/>
        <v>7</v>
      </c>
      <c r="H3208" s="137"/>
      <c r="I3208" s="137"/>
      <c r="J3208" s="135"/>
      <c r="K3208" s="135"/>
      <c r="L3208" s="135"/>
      <c r="M3208" s="135"/>
      <c r="N3208" s="135"/>
      <c r="O3208" s="135"/>
      <c r="P3208" s="135"/>
      <c r="Q3208" s="135"/>
      <c r="R3208" s="135"/>
      <c r="S3208" s="135"/>
      <c r="T3208" s="135"/>
      <c r="U3208" s="135"/>
      <c r="V3208" s="135"/>
      <c r="W3208" s="135"/>
      <c r="X3208" s="135"/>
      <c r="Y3208" s="135"/>
      <c r="Z3208" s="135"/>
    </row>
    <row r="3209" spans="1:26" ht="12.75">
      <c r="A3209" s="136" t="s">
        <v>10</v>
      </c>
      <c r="B3209" s="136" t="s">
        <v>7833</v>
      </c>
      <c r="C3209" s="136" t="s">
        <v>523</v>
      </c>
      <c r="D3209" s="136" t="s">
        <v>437</v>
      </c>
      <c r="E3209" s="136" t="s">
        <v>594</v>
      </c>
      <c r="F3209" s="136">
        <v>72</v>
      </c>
      <c r="G3209" s="137">
        <f t="shared" si="12"/>
        <v>8</v>
      </c>
      <c r="H3209" s="137"/>
      <c r="I3209" s="137"/>
      <c r="J3209" s="135"/>
      <c r="K3209" s="135"/>
      <c r="L3209" s="135"/>
      <c r="M3209" s="135"/>
      <c r="N3209" s="135"/>
      <c r="O3209" s="135"/>
      <c r="P3209" s="135"/>
      <c r="Q3209" s="135"/>
      <c r="R3209" s="135"/>
      <c r="S3209" s="135"/>
      <c r="T3209" s="135"/>
      <c r="U3209" s="135"/>
      <c r="V3209" s="135"/>
      <c r="W3209" s="135"/>
      <c r="X3209" s="135"/>
      <c r="Y3209" s="135"/>
      <c r="Z3209" s="135"/>
    </row>
    <row r="3210" spans="1:26" ht="12.75">
      <c r="A3210" s="136" t="s">
        <v>10</v>
      </c>
      <c r="B3210" s="136" t="s">
        <v>7833</v>
      </c>
      <c r="C3210" s="136" t="s">
        <v>523</v>
      </c>
      <c r="D3210" s="136" t="s">
        <v>1677</v>
      </c>
      <c r="E3210" s="136" t="s">
        <v>594</v>
      </c>
      <c r="F3210" s="136">
        <v>28</v>
      </c>
      <c r="G3210" s="137">
        <f t="shared" si="12"/>
        <v>9</v>
      </c>
      <c r="H3210" s="137"/>
      <c r="I3210" s="137"/>
      <c r="J3210" s="135"/>
      <c r="K3210" s="135"/>
      <c r="L3210" s="135"/>
      <c r="M3210" s="135"/>
      <c r="N3210" s="135"/>
      <c r="O3210" s="135"/>
      <c r="P3210" s="135"/>
      <c r="Q3210" s="135"/>
      <c r="R3210" s="135"/>
      <c r="S3210" s="135"/>
      <c r="T3210" s="135"/>
      <c r="U3210" s="135"/>
      <c r="V3210" s="135"/>
      <c r="W3210" s="135"/>
      <c r="X3210" s="135"/>
      <c r="Y3210" s="135"/>
      <c r="Z3210" s="135"/>
    </row>
    <row r="3211" spans="1:26" ht="12.75">
      <c r="A3211" s="136" t="s">
        <v>10</v>
      </c>
      <c r="B3211" s="136" t="s">
        <v>7833</v>
      </c>
      <c r="C3211" s="136" t="s">
        <v>523</v>
      </c>
      <c r="D3211" s="136" t="s">
        <v>368</v>
      </c>
      <c r="E3211" s="136" t="s">
        <v>594</v>
      </c>
      <c r="F3211" s="136">
        <v>21</v>
      </c>
      <c r="G3211" s="137">
        <f t="shared" si="12"/>
        <v>10</v>
      </c>
      <c r="H3211" s="137"/>
      <c r="I3211" s="137"/>
      <c r="J3211" s="135"/>
      <c r="K3211" s="135"/>
      <c r="L3211" s="135"/>
      <c r="M3211" s="135"/>
      <c r="N3211" s="135"/>
      <c r="O3211" s="135"/>
      <c r="P3211" s="135"/>
      <c r="Q3211" s="135"/>
      <c r="R3211" s="135"/>
      <c r="S3211" s="135"/>
      <c r="T3211" s="135"/>
      <c r="U3211" s="135"/>
      <c r="V3211" s="135"/>
      <c r="W3211" s="135"/>
      <c r="X3211" s="135"/>
      <c r="Y3211" s="135"/>
      <c r="Z3211" s="135"/>
    </row>
    <row r="3212" spans="1:26" ht="12.75">
      <c r="A3212" s="136" t="s">
        <v>10</v>
      </c>
      <c r="B3212" s="136" t="s">
        <v>7833</v>
      </c>
      <c r="C3212" s="136" t="s">
        <v>523</v>
      </c>
      <c r="D3212" s="136" t="s">
        <v>103</v>
      </c>
      <c r="E3212" s="136" t="s">
        <v>594</v>
      </c>
      <c r="F3212" s="136">
        <v>18</v>
      </c>
      <c r="G3212" s="137">
        <f t="shared" si="12"/>
        <v>11</v>
      </c>
      <c r="H3212" s="137"/>
      <c r="I3212" s="137"/>
      <c r="J3212" s="135"/>
      <c r="K3212" s="135"/>
      <c r="L3212" s="135"/>
      <c r="M3212" s="135"/>
      <c r="N3212" s="135"/>
      <c r="O3212" s="135"/>
      <c r="P3212" s="135"/>
      <c r="Q3212" s="135"/>
      <c r="R3212" s="135"/>
      <c r="S3212" s="135"/>
      <c r="T3212" s="135"/>
      <c r="U3212" s="135"/>
      <c r="V3212" s="135"/>
      <c r="W3212" s="135"/>
      <c r="X3212" s="135"/>
      <c r="Y3212" s="135"/>
      <c r="Z3212" s="135"/>
    </row>
    <row r="3213" spans="1:26" ht="12.75">
      <c r="A3213" s="136" t="s">
        <v>10</v>
      </c>
      <c r="B3213" s="136" t="s">
        <v>7833</v>
      </c>
      <c r="C3213" s="136" t="s">
        <v>523</v>
      </c>
      <c r="D3213" s="136" t="s">
        <v>1656</v>
      </c>
      <c r="E3213" s="136" t="s">
        <v>615</v>
      </c>
      <c r="F3213" s="136">
        <v>13</v>
      </c>
      <c r="G3213" s="137">
        <f t="shared" si="12"/>
        <v>12</v>
      </c>
      <c r="H3213" s="137"/>
      <c r="I3213" s="137"/>
      <c r="J3213" s="135"/>
      <c r="K3213" s="135"/>
      <c r="L3213" s="135"/>
      <c r="M3213" s="135"/>
      <c r="N3213" s="135"/>
      <c r="O3213" s="135"/>
      <c r="P3213" s="135"/>
      <c r="Q3213" s="135"/>
      <c r="R3213" s="135"/>
      <c r="S3213" s="135"/>
      <c r="T3213" s="135"/>
      <c r="U3213" s="135"/>
      <c r="V3213" s="135"/>
      <c r="W3213" s="135"/>
      <c r="X3213" s="135"/>
      <c r="Y3213" s="135"/>
      <c r="Z3213" s="135"/>
    </row>
    <row r="3214" spans="1:26" ht="12.75">
      <c r="A3214" s="136" t="s">
        <v>10</v>
      </c>
      <c r="B3214" s="136" t="s">
        <v>7833</v>
      </c>
      <c r="C3214" s="136" t="s">
        <v>523</v>
      </c>
      <c r="D3214" s="136" t="s">
        <v>1626</v>
      </c>
      <c r="E3214" s="136" t="s">
        <v>594</v>
      </c>
      <c r="F3214" s="136">
        <v>12</v>
      </c>
      <c r="G3214" s="137">
        <f t="shared" si="12"/>
        <v>13</v>
      </c>
      <c r="H3214" s="137"/>
      <c r="I3214" s="137"/>
      <c r="J3214" s="135"/>
      <c r="K3214" s="135"/>
      <c r="L3214" s="135"/>
      <c r="M3214" s="135"/>
      <c r="N3214" s="135"/>
      <c r="O3214" s="135"/>
      <c r="P3214" s="135"/>
      <c r="Q3214" s="135"/>
      <c r="R3214" s="135"/>
      <c r="S3214" s="135"/>
      <c r="T3214" s="135"/>
      <c r="U3214" s="135"/>
      <c r="V3214" s="135"/>
      <c r="W3214" s="135"/>
      <c r="X3214" s="135"/>
      <c r="Y3214" s="135"/>
      <c r="Z3214" s="135"/>
    </row>
    <row r="3215" spans="1:26" ht="12.75">
      <c r="A3215" s="136" t="s">
        <v>10</v>
      </c>
      <c r="B3215" s="136" t="s">
        <v>7833</v>
      </c>
      <c r="C3215" s="136" t="s">
        <v>523</v>
      </c>
      <c r="D3215" s="136" t="s">
        <v>131</v>
      </c>
      <c r="E3215" s="136" t="s">
        <v>594</v>
      </c>
      <c r="F3215" s="136">
        <v>4</v>
      </c>
      <c r="G3215" s="137">
        <f t="shared" si="12"/>
        <v>14</v>
      </c>
      <c r="H3215" s="137"/>
      <c r="I3215" s="137"/>
      <c r="J3215" s="135"/>
      <c r="K3215" s="135"/>
      <c r="L3215" s="135"/>
      <c r="M3215" s="135"/>
      <c r="N3215" s="135"/>
      <c r="O3215" s="135"/>
      <c r="P3215" s="135"/>
      <c r="Q3215" s="135"/>
      <c r="R3215" s="135"/>
      <c r="S3215" s="135"/>
      <c r="T3215" s="135"/>
      <c r="U3215" s="135"/>
      <c r="V3215" s="135"/>
      <c r="W3215" s="135"/>
      <c r="X3215" s="135"/>
      <c r="Y3215" s="135"/>
      <c r="Z3215" s="135"/>
    </row>
    <row r="3216" spans="1:26" ht="12.75">
      <c r="A3216" s="136" t="s">
        <v>10</v>
      </c>
      <c r="B3216" s="136" t="s">
        <v>7833</v>
      </c>
      <c r="C3216" s="136" t="s">
        <v>505</v>
      </c>
      <c r="D3216" s="136" t="s">
        <v>114</v>
      </c>
      <c r="E3216" s="136" t="s">
        <v>85</v>
      </c>
      <c r="F3216" s="136">
        <v>523</v>
      </c>
      <c r="G3216" s="137">
        <f t="shared" si="12"/>
        <v>1</v>
      </c>
      <c r="H3216" s="137"/>
      <c r="I3216" s="137"/>
      <c r="J3216" s="135"/>
      <c r="K3216" s="135"/>
      <c r="L3216" s="135"/>
      <c r="M3216" s="135"/>
      <c r="N3216" s="135"/>
      <c r="O3216" s="135"/>
      <c r="P3216" s="135"/>
      <c r="Q3216" s="135"/>
      <c r="R3216" s="135"/>
      <c r="S3216" s="135"/>
      <c r="T3216" s="135"/>
      <c r="U3216" s="135"/>
      <c r="V3216" s="135"/>
      <c r="W3216" s="135"/>
      <c r="X3216" s="135"/>
      <c r="Y3216" s="135"/>
      <c r="Z3216" s="135"/>
    </row>
    <row r="3217" spans="1:26" ht="12.75">
      <c r="A3217" s="136" t="s">
        <v>10</v>
      </c>
      <c r="B3217" s="136" t="s">
        <v>7833</v>
      </c>
      <c r="C3217" s="136" t="s">
        <v>505</v>
      </c>
      <c r="D3217" s="136" t="s">
        <v>139</v>
      </c>
      <c r="E3217" s="136" t="s">
        <v>594</v>
      </c>
      <c r="F3217" s="136">
        <v>495</v>
      </c>
      <c r="G3217" s="137">
        <f t="shared" si="12"/>
        <v>2</v>
      </c>
      <c r="H3217" s="137"/>
      <c r="I3217" s="137"/>
      <c r="J3217" s="135"/>
      <c r="K3217" s="135"/>
      <c r="L3217" s="135"/>
      <c r="M3217" s="135"/>
      <c r="N3217" s="135"/>
      <c r="O3217" s="135"/>
      <c r="P3217" s="135"/>
      <c r="Q3217" s="135"/>
      <c r="R3217" s="135"/>
      <c r="S3217" s="135"/>
      <c r="T3217" s="135"/>
      <c r="U3217" s="135"/>
      <c r="V3217" s="135"/>
      <c r="W3217" s="135"/>
      <c r="X3217" s="135"/>
      <c r="Y3217" s="135"/>
      <c r="Z3217" s="135"/>
    </row>
    <row r="3218" spans="1:26" ht="12.75">
      <c r="A3218" s="136" t="s">
        <v>10</v>
      </c>
      <c r="B3218" s="136" t="s">
        <v>7833</v>
      </c>
      <c r="C3218" s="136" t="s">
        <v>505</v>
      </c>
      <c r="D3218" s="136" t="s">
        <v>437</v>
      </c>
      <c r="E3218" s="136" t="s">
        <v>594</v>
      </c>
      <c r="F3218" s="136">
        <v>64</v>
      </c>
      <c r="G3218" s="137">
        <f t="shared" si="12"/>
        <v>3</v>
      </c>
      <c r="H3218" s="137"/>
      <c r="I3218" s="137"/>
      <c r="J3218" s="135"/>
      <c r="K3218" s="135"/>
      <c r="L3218" s="135"/>
      <c r="M3218" s="135"/>
      <c r="N3218" s="135"/>
      <c r="O3218" s="135"/>
      <c r="P3218" s="135"/>
      <c r="Q3218" s="135"/>
      <c r="R3218" s="135"/>
      <c r="S3218" s="135"/>
      <c r="T3218" s="135"/>
      <c r="U3218" s="135"/>
      <c r="V3218" s="135"/>
      <c r="W3218" s="135"/>
      <c r="X3218" s="135"/>
      <c r="Y3218" s="135"/>
      <c r="Z3218" s="135"/>
    </row>
    <row r="3219" spans="1:26" ht="12.75">
      <c r="A3219" s="136" t="s">
        <v>10</v>
      </c>
      <c r="B3219" s="136" t="s">
        <v>7833</v>
      </c>
      <c r="C3219" s="136" t="s">
        <v>505</v>
      </c>
      <c r="D3219" s="136" t="s">
        <v>467</v>
      </c>
      <c r="E3219" s="136" t="s">
        <v>85</v>
      </c>
      <c r="F3219" s="136">
        <v>50</v>
      </c>
      <c r="G3219" s="137">
        <f t="shared" si="12"/>
        <v>4</v>
      </c>
      <c r="H3219" s="137"/>
      <c r="I3219" s="137"/>
      <c r="J3219" s="135"/>
      <c r="K3219" s="135"/>
      <c r="L3219" s="135"/>
      <c r="M3219" s="135"/>
      <c r="N3219" s="135"/>
      <c r="O3219" s="135"/>
      <c r="P3219" s="135"/>
      <c r="Q3219" s="135"/>
      <c r="R3219" s="135"/>
      <c r="S3219" s="135"/>
      <c r="T3219" s="135"/>
      <c r="U3219" s="135"/>
      <c r="V3219" s="135"/>
      <c r="W3219" s="135"/>
      <c r="X3219" s="135"/>
      <c r="Y3219" s="135"/>
      <c r="Z3219" s="135"/>
    </row>
    <row r="3220" spans="1:26" ht="12.75">
      <c r="A3220" s="136" t="s">
        <v>10</v>
      </c>
      <c r="B3220" s="136" t="s">
        <v>7833</v>
      </c>
      <c r="C3220" s="136" t="s">
        <v>505</v>
      </c>
      <c r="D3220" s="136" t="s">
        <v>131</v>
      </c>
      <c r="E3220" s="136" t="s">
        <v>594</v>
      </c>
      <c r="F3220" s="136">
        <v>44</v>
      </c>
      <c r="G3220" s="137">
        <f t="shared" si="12"/>
        <v>5</v>
      </c>
      <c r="H3220" s="137"/>
      <c r="I3220" s="137"/>
      <c r="J3220" s="135"/>
      <c r="K3220" s="135"/>
      <c r="L3220" s="135"/>
      <c r="M3220" s="135"/>
      <c r="N3220" s="135"/>
      <c r="O3220" s="135"/>
      <c r="P3220" s="135"/>
      <c r="Q3220" s="135"/>
      <c r="R3220" s="135"/>
      <c r="S3220" s="135"/>
      <c r="T3220" s="135"/>
      <c r="U3220" s="135"/>
      <c r="V3220" s="135"/>
      <c r="W3220" s="135"/>
      <c r="X3220" s="135"/>
      <c r="Y3220" s="135"/>
      <c r="Z3220" s="135"/>
    </row>
    <row r="3221" spans="1:26" ht="12.75">
      <c r="A3221" s="136" t="s">
        <v>10</v>
      </c>
      <c r="B3221" s="136" t="s">
        <v>7833</v>
      </c>
      <c r="C3221" s="136" t="s">
        <v>505</v>
      </c>
      <c r="D3221" s="136" t="s">
        <v>7481</v>
      </c>
      <c r="E3221" s="136" t="s">
        <v>615</v>
      </c>
      <c r="F3221" s="136">
        <v>37</v>
      </c>
      <c r="G3221" s="137">
        <f t="shared" si="12"/>
        <v>6</v>
      </c>
      <c r="H3221" s="137"/>
      <c r="I3221" s="137"/>
      <c r="J3221" s="135"/>
      <c r="K3221" s="135"/>
      <c r="L3221" s="135"/>
      <c r="M3221" s="135"/>
      <c r="N3221" s="135"/>
      <c r="O3221" s="135"/>
      <c r="P3221" s="135"/>
      <c r="Q3221" s="135"/>
      <c r="R3221" s="135"/>
      <c r="S3221" s="135"/>
      <c r="T3221" s="135"/>
      <c r="U3221" s="135"/>
      <c r="V3221" s="135"/>
      <c r="W3221" s="135"/>
      <c r="X3221" s="135"/>
      <c r="Y3221" s="135"/>
      <c r="Z3221" s="135"/>
    </row>
    <row r="3222" spans="1:26" ht="12.75">
      <c r="A3222" s="136" t="s">
        <v>10</v>
      </c>
      <c r="B3222" s="136" t="s">
        <v>7833</v>
      </c>
      <c r="C3222" s="136" t="s">
        <v>505</v>
      </c>
      <c r="D3222" s="136" t="s">
        <v>103</v>
      </c>
      <c r="E3222" s="136" t="s">
        <v>594</v>
      </c>
      <c r="F3222" s="136">
        <v>35</v>
      </c>
      <c r="G3222" s="137">
        <f t="shared" si="12"/>
        <v>7</v>
      </c>
      <c r="H3222" s="137"/>
      <c r="I3222" s="137"/>
      <c r="J3222" s="135"/>
      <c r="K3222" s="135"/>
      <c r="L3222" s="135"/>
      <c r="M3222" s="135"/>
      <c r="N3222" s="135"/>
      <c r="O3222" s="135"/>
      <c r="P3222" s="135"/>
      <c r="Q3222" s="135"/>
      <c r="R3222" s="135"/>
      <c r="S3222" s="135"/>
      <c r="T3222" s="135"/>
      <c r="U3222" s="135"/>
      <c r="V3222" s="135"/>
      <c r="W3222" s="135"/>
      <c r="X3222" s="135"/>
      <c r="Y3222" s="135"/>
      <c r="Z3222" s="135"/>
    </row>
    <row r="3223" spans="1:26" ht="12.75">
      <c r="A3223" s="136" t="s">
        <v>10</v>
      </c>
      <c r="B3223" s="136" t="s">
        <v>7833</v>
      </c>
      <c r="C3223" s="136" t="s">
        <v>505</v>
      </c>
      <c r="D3223" s="136" t="s">
        <v>1669</v>
      </c>
      <c r="E3223" s="136" t="s">
        <v>615</v>
      </c>
      <c r="F3223" s="136">
        <v>33</v>
      </c>
      <c r="G3223" s="137">
        <f t="shared" si="12"/>
        <v>8</v>
      </c>
      <c r="H3223" s="137"/>
      <c r="I3223" s="137"/>
      <c r="J3223" s="135"/>
      <c r="K3223" s="135"/>
      <c r="L3223" s="135"/>
      <c r="M3223" s="135"/>
      <c r="N3223" s="135"/>
      <c r="O3223" s="135"/>
      <c r="P3223" s="135"/>
      <c r="Q3223" s="135"/>
      <c r="R3223" s="135"/>
      <c r="S3223" s="135"/>
      <c r="T3223" s="135"/>
      <c r="U3223" s="135"/>
      <c r="V3223" s="135"/>
      <c r="W3223" s="135"/>
      <c r="X3223" s="135"/>
      <c r="Y3223" s="135"/>
      <c r="Z3223" s="135"/>
    </row>
    <row r="3224" spans="1:26" ht="12.75">
      <c r="A3224" s="136" t="s">
        <v>10</v>
      </c>
      <c r="B3224" s="136" t="s">
        <v>7833</v>
      </c>
      <c r="C3224" s="136" t="s">
        <v>505</v>
      </c>
      <c r="D3224" s="136" t="s">
        <v>7544</v>
      </c>
      <c r="E3224" s="136" t="s">
        <v>615</v>
      </c>
      <c r="F3224" s="136">
        <v>29</v>
      </c>
      <c r="G3224" s="137">
        <f t="shared" si="12"/>
        <v>9</v>
      </c>
      <c r="H3224" s="137"/>
      <c r="I3224" s="137"/>
      <c r="J3224" s="135"/>
      <c r="K3224" s="135"/>
      <c r="L3224" s="135"/>
      <c r="M3224" s="135"/>
      <c r="N3224" s="135"/>
      <c r="O3224" s="135"/>
      <c r="P3224" s="135"/>
      <c r="Q3224" s="135"/>
      <c r="R3224" s="135"/>
      <c r="S3224" s="135"/>
      <c r="T3224" s="135"/>
      <c r="U3224" s="135"/>
      <c r="V3224" s="135"/>
      <c r="W3224" s="135"/>
      <c r="X3224" s="135"/>
      <c r="Y3224" s="135"/>
      <c r="Z3224" s="135"/>
    </row>
    <row r="3225" spans="1:26" ht="12.75">
      <c r="A3225" s="136" t="s">
        <v>10</v>
      </c>
      <c r="B3225" s="136" t="s">
        <v>7833</v>
      </c>
      <c r="C3225" s="136" t="s">
        <v>505</v>
      </c>
      <c r="D3225" s="136" t="s">
        <v>368</v>
      </c>
      <c r="E3225" s="136" t="s">
        <v>594</v>
      </c>
      <c r="F3225" s="136">
        <v>28</v>
      </c>
      <c r="G3225" s="137">
        <f t="shared" si="12"/>
        <v>10</v>
      </c>
      <c r="H3225" s="137"/>
      <c r="I3225" s="137"/>
      <c r="J3225" s="135"/>
      <c r="K3225" s="135"/>
      <c r="L3225" s="135"/>
      <c r="M3225" s="135"/>
      <c r="N3225" s="135"/>
      <c r="O3225" s="135"/>
      <c r="P3225" s="135"/>
      <c r="Q3225" s="135"/>
      <c r="R3225" s="135"/>
      <c r="S3225" s="135"/>
      <c r="T3225" s="135"/>
      <c r="U3225" s="135"/>
      <c r="V3225" s="135"/>
      <c r="W3225" s="135"/>
      <c r="X3225" s="135"/>
      <c r="Y3225" s="135"/>
      <c r="Z3225" s="135"/>
    </row>
    <row r="3226" spans="1:26" ht="12.75">
      <c r="A3226" s="136" t="s">
        <v>10</v>
      </c>
      <c r="B3226" s="136" t="s">
        <v>7833</v>
      </c>
      <c r="C3226" s="136" t="s">
        <v>505</v>
      </c>
      <c r="D3226" s="136" t="s">
        <v>7711</v>
      </c>
      <c r="E3226" s="136" t="s">
        <v>615</v>
      </c>
      <c r="F3226" s="136">
        <v>28</v>
      </c>
      <c r="G3226" s="137">
        <f t="shared" si="12"/>
        <v>11</v>
      </c>
      <c r="H3226" s="137"/>
      <c r="I3226" s="137"/>
      <c r="J3226" s="135"/>
      <c r="K3226" s="135"/>
      <c r="L3226" s="135"/>
      <c r="M3226" s="135"/>
      <c r="N3226" s="135"/>
      <c r="O3226" s="135"/>
      <c r="P3226" s="135"/>
      <c r="Q3226" s="135"/>
      <c r="R3226" s="135"/>
      <c r="S3226" s="135"/>
      <c r="T3226" s="135"/>
      <c r="U3226" s="135"/>
      <c r="V3226" s="135"/>
      <c r="W3226" s="135"/>
      <c r="X3226" s="135"/>
      <c r="Y3226" s="135"/>
      <c r="Z3226" s="135"/>
    </row>
    <row r="3227" spans="1:26" ht="12.75">
      <c r="A3227" s="136" t="s">
        <v>10</v>
      </c>
      <c r="B3227" s="136" t="s">
        <v>7833</v>
      </c>
      <c r="C3227" s="136" t="s">
        <v>505</v>
      </c>
      <c r="D3227" s="136" t="s">
        <v>1656</v>
      </c>
      <c r="E3227" s="136" t="s">
        <v>615</v>
      </c>
      <c r="F3227" s="136">
        <v>26</v>
      </c>
      <c r="G3227" s="137">
        <f t="shared" si="12"/>
        <v>12</v>
      </c>
      <c r="H3227" s="137"/>
      <c r="I3227" s="137"/>
      <c r="J3227" s="135"/>
      <c r="K3227" s="135"/>
      <c r="L3227" s="135"/>
      <c r="M3227" s="135"/>
      <c r="N3227" s="135"/>
      <c r="O3227" s="135"/>
      <c r="P3227" s="135"/>
      <c r="Q3227" s="135"/>
      <c r="R3227" s="135"/>
      <c r="S3227" s="135"/>
      <c r="T3227" s="135"/>
      <c r="U3227" s="135"/>
      <c r="V3227" s="135"/>
      <c r="W3227" s="135"/>
      <c r="X3227" s="135"/>
      <c r="Y3227" s="135"/>
      <c r="Z3227" s="135"/>
    </row>
    <row r="3228" spans="1:26" ht="12.75">
      <c r="A3228" s="136" t="s">
        <v>10</v>
      </c>
      <c r="B3228" s="136" t="s">
        <v>7833</v>
      </c>
      <c r="C3228" s="136" t="s">
        <v>505</v>
      </c>
      <c r="D3228" s="136" t="s">
        <v>1626</v>
      </c>
      <c r="E3228" s="136" t="s">
        <v>594</v>
      </c>
      <c r="F3228" s="136">
        <v>21</v>
      </c>
      <c r="G3228" s="137">
        <f t="shared" si="12"/>
        <v>13</v>
      </c>
      <c r="H3228" s="137"/>
      <c r="I3228" s="137"/>
      <c r="J3228" s="135"/>
      <c r="K3228" s="135"/>
      <c r="L3228" s="135"/>
      <c r="M3228" s="135"/>
      <c r="N3228" s="135"/>
      <c r="O3228" s="135"/>
      <c r="P3228" s="135"/>
      <c r="Q3228" s="135"/>
      <c r="R3228" s="135"/>
      <c r="S3228" s="135"/>
      <c r="T3228" s="135"/>
      <c r="U3228" s="135"/>
      <c r="V3228" s="135"/>
      <c r="W3228" s="135"/>
      <c r="X3228" s="135"/>
      <c r="Y3228" s="135"/>
      <c r="Z3228" s="135"/>
    </row>
    <row r="3229" spans="1:26" ht="12.75">
      <c r="A3229" s="136" t="s">
        <v>10</v>
      </c>
      <c r="B3229" s="136" t="s">
        <v>7833</v>
      </c>
      <c r="C3229" s="136" t="s">
        <v>7853</v>
      </c>
      <c r="D3229" s="136" t="s">
        <v>139</v>
      </c>
      <c r="E3229" s="136" t="s">
        <v>594</v>
      </c>
      <c r="F3229" s="136">
        <v>1337</v>
      </c>
      <c r="G3229" s="137">
        <f t="shared" si="12"/>
        <v>1</v>
      </c>
      <c r="H3229" s="137"/>
      <c r="I3229" s="137"/>
      <c r="J3229" s="135"/>
      <c r="K3229" s="135"/>
      <c r="L3229" s="135"/>
      <c r="M3229" s="135"/>
      <c r="N3229" s="135"/>
      <c r="O3229" s="135"/>
      <c r="P3229" s="135"/>
      <c r="Q3229" s="135"/>
      <c r="R3229" s="135"/>
      <c r="S3229" s="135"/>
      <c r="T3229" s="135"/>
      <c r="U3229" s="135"/>
      <c r="V3229" s="135"/>
      <c r="W3229" s="135"/>
      <c r="X3229" s="135"/>
      <c r="Y3229" s="135"/>
      <c r="Z3229" s="135"/>
    </row>
    <row r="3230" spans="1:26" ht="12.75">
      <c r="A3230" s="136" t="s">
        <v>10</v>
      </c>
      <c r="B3230" s="136" t="s">
        <v>7833</v>
      </c>
      <c r="C3230" s="136" t="s">
        <v>7853</v>
      </c>
      <c r="D3230" s="136" t="s">
        <v>114</v>
      </c>
      <c r="E3230" s="136" t="s">
        <v>85</v>
      </c>
      <c r="F3230" s="136">
        <v>654</v>
      </c>
      <c r="G3230" s="137">
        <f t="shared" si="12"/>
        <v>2</v>
      </c>
      <c r="H3230" s="137"/>
      <c r="I3230" s="137"/>
      <c r="J3230" s="135"/>
      <c r="K3230" s="135"/>
      <c r="L3230" s="135"/>
      <c r="M3230" s="135"/>
      <c r="N3230" s="135"/>
      <c r="O3230" s="135"/>
      <c r="P3230" s="135"/>
      <c r="Q3230" s="135"/>
      <c r="R3230" s="135"/>
      <c r="S3230" s="135"/>
      <c r="T3230" s="135"/>
      <c r="U3230" s="135"/>
      <c r="V3230" s="135"/>
      <c r="W3230" s="135"/>
      <c r="X3230" s="135"/>
      <c r="Y3230" s="135"/>
      <c r="Z3230" s="135"/>
    </row>
    <row r="3231" spans="1:26" ht="12.75">
      <c r="A3231" s="136" t="s">
        <v>10</v>
      </c>
      <c r="B3231" s="136" t="s">
        <v>7833</v>
      </c>
      <c r="C3231" s="136" t="s">
        <v>7853</v>
      </c>
      <c r="D3231" s="136" t="s">
        <v>131</v>
      </c>
      <c r="E3231" s="136" t="s">
        <v>594</v>
      </c>
      <c r="F3231" s="136">
        <v>252</v>
      </c>
      <c r="G3231" s="137">
        <f t="shared" si="12"/>
        <v>3</v>
      </c>
      <c r="H3231" s="137"/>
      <c r="I3231" s="137"/>
      <c r="J3231" s="135"/>
      <c r="K3231" s="135"/>
      <c r="L3231" s="135"/>
      <c r="M3231" s="135"/>
      <c r="N3231" s="135"/>
      <c r="O3231" s="135"/>
      <c r="P3231" s="135"/>
      <c r="Q3231" s="135"/>
      <c r="R3231" s="135"/>
      <c r="S3231" s="135"/>
      <c r="T3231" s="135"/>
      <c r="U3231" s="135"/>
      <c r="V3231" s="135"/>
      <c r="W3231" s="135"/>
      <c r="X3231" s="135"/>
      <c r="Y3231" s="135"/>
      <c r="Z3231" s="135"/>
    </row>
    <row r="3232" spans="1:26" ht="12.75">
      <c r="A3232" s="136" t="s">
        <v>10</v>
      </c>
      <c r="B3232" s="136" t="s">
        <v>7833</v>
      </c>
      <c r="C3232" s="136" t="s">
        <v>7853</v>
      </c>
      <c r="D3232" s="136" t="s">
        <v>7481</v>
      </c>
      <c r="E3232" s="136" t="s">
        <v>615</v>
      </c>
      <c r="F3232" s="136">
        <v>209</v>
      </c>
      <c r="G3232" s="137">
        <f t="shared" si="12"/>
        <v>4</v>
      </c>
      <c r="H3232" s="137"/>
      <c r="I3232" s="137"/>
      <c r="J3232" s="135"/>
      <c r="K3232" s="135"/>
      <c r="L3232" s="135"/>
      <c r="M3232" s="135"/>
      <c r="N3232" s="135"/>
      <c r="O3232" s="135"/>
      <c r="P3232" s="135"/>
      <c r="Q3232" s="135"/>
      <c r="R3232" s="135"/>
      <c r="S3232" s="135"/>
      <c r="T3232" s="135"/>
      <c r="U3232" s="135"/>
      <c r="V3232" s="135"/>
      <c r="W3232" s="135"/>
      <c r="X3232" s="135"/>
      <c r="Y3232" s="135"/>
      <c r="Z3232" s="135"/>
    </row>
    <row r="3233" spans="1:26" ht="12.75">
      <c r="A3233" s="136" t="s">
        <v>10</v>
      </c>
      <c r="B3233" s="136" t="s">
        <v>7833</v>
      </c>
      <c r="C3233" s="136" t="s">
        <v>7853</v>
      </c>
      <c r="D3233" s="136" t="s">
        <v>437</v>
      </c>
      <c r="E3233" s="136" t="s">
        <v>594</v>
      </c>
      <c r="F3233" s="136">
        <v>189</v>
      </c>
      <c r="G3233" s="137">
        <f t="shared" si="12"/>
        <v>5</v>
      </c>
      <c r="H3233" s="137"/>
      <c r="I3233" s="137"/>
      <c r="J3233" s="135"/>
      <c r="K3233" s="135"/>
      <c r="L3233" s="135"/>
      <c r="M3233" s="135"/>
      <c r="N3233" s="135"/>
      <c r="O3233" s="135"/>
      <c r="P3233" s="135"/>
      <c r="Q3233" s="135"/>
      <c r="R3233" s="135"/>
      <c r="S3233" s="135"/>
      <c r="T3233" s="135"/>
      <c r="U3233" s="135"/>
      <c r="V3233" s="135"/>
      <c r="W3233" s="135"/>
      <c r="X3233" s="135"/>
      <c r="Y3233" s="135"/>
      <c r="Z3233" s="135"/>
    </row>
    <row r="3234" spans="1:26" ht="12.75">
      <c r="A3234" s="136" t="s">
        <v>10</v>
      </c>
      <c r="B3234" s="136" t="s">
        <v>7833</v>
      </c>
      <c r="C3234" s="136" t="s">
        <v>7853</v>
      </c>
      <c r="D3234" s="136" t="s">
        <v>1669</v>
      </c>
      <c r="E3234" s="136" t="s">
        <v>615</v>
      </c>
      <c r="F3234" s="136">
        <v>149</v>
      </c>
      <c r="G3234" s="137">
        <f t="shared" si="12"/>
        <v>6</v>
      </c>
      <c r="H3234" s="137"/>
      <c r="I3234" s="137"/>
      <c r="J3234" s="135"/>
      <c r="K3234" s="135"/>
      <c r="L3234" s="135"/>
      <c r="M3234" s="135"/>
      <c r="N3234" s="135"/>
      <c r="O3234" s="135"/>
      <c r="P3234" s="135"/>
      <c r="Q3234" s="135"/>
      <c r="R3234" s="135"/>
      <c r="S3234" s="135"/>
      <c r="T3234" s="135"/>
      <c r="U3234" s="135"/>
      <c r="V3234" s="135"/>
      <c r="W3234" s="135"/>
      <c r="X3234" s="135"/>
      <c r="Y3234" s="135"/>
      <c r="Z3234" s="135"/>
    </row>
    <row r="3235" spans="1:26" ht="12.75">
      <c r="A3235" s="136" t="s">
        <v>10</v>
      </c>
      <c r="B3235" s="136" t="s">
        <v>7833</v>
      </c>
      <c r="C3235" s="136" t="s">
        <v>7853</v>
      </c>
      <c r="D3235" s="136" t="s">
        <v>103</v>
      </c>
      <c r="E3235" s="136" t="s">
        <v>594</v>
      </c>
      <c r="F3235" s="136">
        <v>96</v>
      </c>
      <c r="G3235" s="137">
        <f t="shared" si="12"/>
        <v>7</v>
      </c>
      <c r="H3235" s="137"/>
      <c r="I3235" s="137"/>
      <c r="J3235" s="135"/>
      <c r="K3235" s="135"/>
      <c r="L3235" s="135"/>
      <c r="M3235" s="135"/>
      <c r="N3235" s="135"/>
      <c r="O3235" s="135"/>
      <c r="P3235" s="135"/>
      <c r="Q3235" s="135"/>
      <c r="R3235" s="135"/>
      <c r="S3235" s="135"/>
      <c r="T3235" s="135"/>
      <c r="U3235" s="135"/>
      <c r="V3235" s="135"/>
      <c r="W3235" s="135"/>
      <c r="X3235" s="135"/>
      <c r="Y3235" s="135"/>
      <c r="Z3235" s="135"/>
    </row>
    <row r="3236" spans="1:26" ht="12.75">
      <c r="A3236" s="136" t="s">
        <v>10</v>
      </c>
      <c r="B3236" s="136" t="s">
        <v>7833</v>
      </c>
      <c r="C3236" s="136" t="s">
        <v>7853</v>
      </c>
      <c r="D3236" s="136" t="s">
        <v>368</v>
      </c>
      <c r="E3236" s="136" t="s">
        <v>594</v>
      </c>
      <c r="F3236" s="136">
        <v>74</v>
      </c>
      <c r="G3236" s="137">
        <f t="shared" si="12"/>
        <v>8</v>
      </c>
      <c r="H3236" s="137"/>
      <c r="I3236" s="137"/>
      <c r="J3236" s="135"/>
      <c r="K3236" s="135"/>
      <c r="L3236" s="135"/>
      <c r="M3236" s="135"/>
      <c r="N3236" s="135"/>
      <c r="O3236" s="135"/>
      <c r="P3236" s="135"/>
      <c r="Q3236" s="135"/>
      <c r="R3236" s="135"/>
      <c r="S3236" s="135"/>
      <c r="T3236" s="135"/>
      <c r="U3236" s="135"/>
      <c r="V3236" s="135"/>
      <c r="W3236" s="135"/>
      <c r="X3236" s="135"/>
      <c r="Y3236" s="135"/>
      <c r="Z3236" s="135"/>
    </row>
    <row r="3237" spans="1:26" ht="12.75">
      <c r="A3237" s="136" t="s">
        <v>10</v>
      </c>
      <c r="B3237" s="136" t="s">
        <v>7833</v>
      </c>
      <c r="C3237" s="136" t="s">
        <v>7853</v>
      </c>
      <c r="D3237" s="136" t="s">
        <v>467</v>
      </c>
      <c r="E3237" s="136" t="s">
        <v>85</v>
      </c>
      <c r="F3237" s="136">
        <v>43</v>
      </c>
      <c r="G3237" s="137">
        <f t="shared" si="12"/>
        <v>9</v>
      </c>
      <c r="H3237" s="137"/>
      <c r="I3237" s="137"/>
      <c r="J3237" s="135"/>
      <c r="K3237" s="135"/>
      <c r="L3237" s="135"/>
      <c r="M3237" s="135"/>
      <c r="N3237" s="135"/>
      <c r="O3237" s="135"/>
      <c r="P3237" s="135"/>
      <c r="Q3237" s="135"/>
      <c r="R3237" s="135"/>
      <c r="S3237" s="135"/>
      <c r="T3237" s="135"/>
      <c r="U3237" s="135"/>
      <c r="V3237" s="135"/>
      <c r="W3237" s="135"/>
      <c r="X3237" s="135"/>
      <c r="Y3237" s="135"/>
      <c r="Z3237" s="135"/>
    </row>
    <row r="3238" spans="1:26" ht="12.75">
      <c r="A3238" s="136" t="s">
        <v>10</v>
      </c>
      <c r="B3238" s="136" t="s">
        <v>7833</v>
      </c>
      <c r="C3238" s="136" t="s">
        <v>7853</v>
      </c>
      <c r="D3238" s="136" t="s">
        <v>1626</v>
      </c>
      <c r="E3238" s="136" t="s">
        <v>594</v>
      </c>
      <c r="F3238" s="136">
        <v>41</v>
      </c>
      <c r="G3238" s="137">
        <f t="shared" si="12"/>
        <v>10</v>
      </c>
      <c r="H3238" s="137"/>
      <c r="I3238" s="137"/>
      <c r="J3238" s="135"/>
      <c r="K3238" s="135"/>
      <c r="L3238" s="135"/>
      <c r="M3238" s="135"/>
      <c r="N3238" s="135"/>
      <c r="O3238" s="135"/>
      <c r="P3238" s="135"/>
      <c r="Q3238" s="135"/>
      <c r="R3238" s="135"/>
      <c r="S3238" s="135"/>
      <c r="T3238" s="135"/>
      <c r="U3238" s="135"/>
      <c r="V3238" s="135"/>
      <c r="W3238" s="135"/>
      <c r="X3238" s="135"/>
      <c r="Y3238" s="135"/>
      <c r="Z3238" s="135"/>
    </row>
    <row r="3239" spans="1:26" ht="12.75">
      <c r="A3239" s="136" t="s">
        <v>10</v>
      </c>
      <c r="B3239" s="136" t="s">
        <v>7833</v>
      </c>
      <c r="C3239" s="136" t="s">
        <v>7853</v>
      </c>
      <c r="D3239" s="136" t="s">
        <v>7532</v>
      </c>
      <c r="E3239" s="136" t="s">
        <v>615</v>
      </c>
      <c r="F3239" s="136">
        <v>29</v>
      </c>
      <c r="G3239" s="137">
        <f t="shared" si="12"/>
        <v>11</v>
      </c>
      <c r="H3239" s="137"/>
      <c r="I3239" s="137"/>
      <c r="J3239" s="135"/>
      <c r="K3239" s="135"/>
      <c r="L3239" s="135"/>
      <c r="M3239" s="135"/>
      <c r="N3239" s="135"/>
      <c r="O3239" s="135"/>
      <c r="P3239" s="135"/>
      <c r="Q3239" s="135"/>
      <c r="R3239" s="135"/>
      <c r="S3239" s="135"/>
      <c r="T3239" s="135"/>
      <c r="U3239" s="135"/>
      <c r="V3239" s="135"/>
      <c r="W3239" s="135"/>
      <c r="X3239" s="135"/>
      <c r="Y3239" s="135"/>
      <c r="Z3239" s="135"/>
    </row>
    <row r="3240" spans="1:26" ht="12.75">
      <c r="A3240" s="136" t="s">
        <v>10</v>
      </c>
      <c r="B3240" s="136" t="s">
        <v>7833</v>
      </c>
      <c r="C3240" s="136" t="s">
        <v>7853</v>
      </c>
      <c r="D3240" s="136" t="s">
        <v>1656</v>
      </c>
      <c r="E3240" s="136" t="s">
        <v>615</v>
      </c>
      <c r="F3240" s="136">
        <v>24</v>
      </c>
      <c r="G3240" s="137">
        <f t="shared" si="12"/>
        <v>12</v>
      </c>
      <c r="H3240" s="137"/>
      <c r="I3240" s="137"/>
      <c r="J3240" s="135"/>
      <c r="K3240" s="135"/>
      <c r="L3240" s="135"/>
      <c r="M3240" s="135"/>
      <c r="N3240" s="135"/>
      <c r="O3240" s="135"/>
      <c r="P3240" s="135"/>
      <c r="Q3240" s="135"/>
      <c r="R3240" s="135"/>
      <c r="S3240" s="135"/>
      <c r="T3240" s="135"/>
      <c r="U3240" s="135"/>
      <c r="V3240" s="135"/>
      <c r="W3240" s="135"/>
      <c r="X3240" s="135"/>
      <c r="Y3240" s="135"/>
      <c r="Z3240" s="135"/>
    </row>
    <row r="3241" spans="1:26" ht="12.75">
      <c r="A3241" s="136" t="s">
        <v>10</v>
      </c>
      <c r="B3241" s="136" t="s">
        <v>7833</v>
      </c>
      <c r="C3241" s="136" t="s">
        <v>7853</v>
      </c>
      <c r="D3241" s="136" t="s">
        <v>7854</v>
      </c>
      <c r="E3241" s="136" t="s">
        <v>85</v>
      </c>
      <c r="F3241" s="136">
        <v>11</v>
      </c>
      <c r="G3241" s="137">
        <f t="shared" si="12"/>
        <v>13</v>
      </c>
      <c r="H3241" s="137"/>
      <c r="I3241" s="137"/>
      <c r="J3241" s="135"/>
      <c r="K3241" s="135"/>
      <c r="L3241" s="135"/>
      <c r="M3241" s="135"/>
      <c r="N3241" s="135"/>
      <c r="O3241" s="135"/>
      <c r="P3241" s="135"/>
      <c r="Q3241" s="135"/>
      <c r="R3241" s="135"/>
      <c r="S3241" s="135"/>
      <c r="T3241" s="135"/>
      <c r="U3241" s="135"/>
      <c r="V3241" s="135"/>
      <c r="W3241" s="135"/>
      <c r="X3241" s="135"/>
      <c r="Y3241" s="135"/>
      <c r="Z3241" s="135"/>
    </row>
    <row r="3242" spans="1:26" ht="12.75">
      <c r="A3242" s="136" t="s">
        <v>10</v>
      </c>
      <c r="B3242" s="136" t="s">
        <v>7833</v>
      </c>
      <c r="C3242" s="136" t="s">
        <v>493</v>
      </c>
      <c r="D3242" s="136" t="s">
        <v>139</v>
      </c>
      <c r="E3242" s="136" t="s">
        <v>594</v>
      </c>
      <c r="F3242" s="136">
        <v>966</v>
      </c>
      <c r="G3242" s="137">
        <f t="shared" si="12"/>
        <v>1</v>
      </c>
      <c r="H3242" s="137"/>
      <c r="I3242" s="137"/>
      <c r="J3242" s="135"/>
      <c r="K3242" s="135"/>
      <c r="L3242" s="135"/>
      <c r="M3242" s="135"/>
      <c r="N3242" s="135"/>
      <c r="O3242" s="135"/>
      <c r="P3242" s="135"/>
      <c r="Q3242" s="135"/>
      <c r="R3242" s="135"/>
      <c r="S3242" s="135"/>
      <c r="T3242" s="135"/>
      <c r="U3242" s="135"/>
      <c r="V3242" s="135"/>
      <c r="W3242" s="135"/>
      <c r="X3242" s="135"/>
      <c r="Y3242" s="135"/>
      <c r="Z3242" s="135"/>
    </row>
    <row r="3243" spans="1:26" ht="12.75">
      <c r="A3243" s="136" t="s">
        <v>10</v>
      </c>
      <c r="B3243" s="136" t="s">
        <v>7833</v>
      </c>
      <c r="C3243" s="136" t="s">
        <v>493</v>
      </c>
      <c r="D3243" s="136" t="s">
        <v>114</v>
      </c>
      <c r="E3243" s="136" t="s">
        <v>85</v>
      </c>
      <c r="F3243" s="136">
        <v>602</v>
      </c>
      <c r="G3243" s="137">
        <f t="shared" si="12"/>
        <v>2</v>
      </c>
      <c r="H3243" s="137"/>
      <c r="I3243" s="137"/>
      <c r="J3243" s="135"/>
      <c r="K3243" s="135"/>
      <c r="L3243" s="135"/>
      <c r="M3243" s="135"/>
      <c r="N3243" s="135"/>
      <c r="O3243" s="135"/>
      <c r="P3243" s="135"/>
      <c r="Q3243" s="135"/>
      <c r="R3243" s="135"/>
      <c r="S3243" s="135"/>
      <c r="T3243" s="135"/>
      <c r="U3243" s="135"/>
      <c r="V3243" s="135"/>
      <c r="W3243" s="135"/>
      <c r="X3243" s="135"/>
      <c r="Y3243" s="135"/>
      <c r="Z3243" s="135"/>
    </row>
    <row r="3244" spans="1:26" ht="12.75">
      <c r="A3244" s="136" t="s">
        <v>10</v>
      </c>
      <c r="B3244" s="136" t="s">
        <v>7833</v>
      </c>
      <c r="C3244" s="136" t="s">
        <v>493</v>
      </c>
      <c r="D3244" s="136" t="s">
        <v>1669</v>
      </c>
      <c r="E3244" s="136" t="s">
        <v>615</v>
      </c>
      <c r="F3244" s="136">
        <v>252</v>
      </c>
      <c r="G3244" s="137">
        <f t="shared" si="12"/>
        <v>3</v>
      </c>
      <c r="H3244" s="137"/>
      <c r="I3244" s="137"/>
      <c r="J3244" s="135"/>
      <c r="K3244" s="135"/>
      <c r="L3244" s="135"/>
      <c r="M3244" s="135"/>
      <c r="N3244" s="135"/>
      <c r="O3244" s="135"/>
      <c r="P3244" s="135"/>
      <c r="Q3244" s="135"/>
      <c r="R3244" s="135"/>
      <c r="S3244" s="135"/>
      <c r="T3244" s="135"/>
      <c r="U3244" s="135"/>
      <c r="V3244" s="135"/>
      <c r="W3244" s="135"/>
      <c r="X3244" s="135"/>
      <c r="Y3244" s="135"/>
      <c r="Z3244" s="135"/>
    </row>
    <row r="3245" spans="1:26" ht="12.75">
      <c r="A3245" s="136" t="s">
        <v>10</v>
      </c>
      <c r="B3245" s="136" t="s">
        <v>7833</v>
      </c>
      <c r="C3245" s="136" t="s">
        <v>493</v>
      </c>
      <c r="D3245" s="136" t="s">
        <v>437</v>
      </c>
      <c r="E3245" s="136" t="s">
        <v>594</v>
      </c>
      <c r="F3245" s="136">
        <v>221</v>
      </c>
      <c r="G3245" s="137">
        <f t="shared" si="12"/>
        <v>4</v>
      </c>
      <c r="H3245" s="137"/>
      <c r="I3245" s="137"/>
      <c r="J3245" s="135"/>
      <c r="K3245" s="135"/>
      <c r="L3245" s="135"/>
      <c r="M3245" s="135"/>
      <c r="N3245" s="135"/>
      <c r="O3245" s="135"/>
      <c r="P3245" s="135"/>
      <c r="Q3245" s="135"/>
      <c r="R3245" s="135"/>
      <c r="S3245" s="135"/>
      <c r="T3245" s="135"/>
      <c r="U3245" s="135"/>
      <c r="V3245" s="135"/>
      <c r="W3245" s="135"/>
      <c r="X3245" s="135"/>
      <c r="Y3245" s="135"/>
      <c r="Z3245" s="135"/>
    </row>
    <row r="3246" spans="1:26" ht="12.75">
      <c r="A3246" s="136" t="s">
        <v>10</v>
      </c>
      <c r="B3246" s="136" t="s">
        <v>7833</v>
      </c>
      <c r="C3246" s="136" t="s">
        <v>493</v>
      </c>
      <c r="D3246" s="136" t="s">
        <v>7481</v>
      </c>
      <c r="E3246" s="136" t="s">
        <v>615</v>
      </c>
      <c r="F3246" s="136">
        <v>170</v>
      </c>
      <c r="G3246" s="137">
        <f t="shared" si="12"/>
        <v>5</v>
      </c>
      <c r="H3246" s="137"/>
      <c r="I3246" s="137"/>
      <c r="J3246" s="135"/>
      <c r="K3246" s="135"/>
      <c r="L3246" s="135"/>
      <c r="M3246" s="135"/>
      <c r="N3246" s="135"/>
      <c r="O3246" s="135"/>
      <c r="P3246" s="135"/>
      <c r="Q3246" s="135"/>
      <c r="R3246" s="135"/>
      <c r="S3246" s="135"/>
      <c r="T3246" s="135"/>
      <c r="U3246" s="135"/>
      <c r="V3246" s="135"/>
      <c r="W3246" s="135"/>
      <c r="X3246" s="135"/>
      <c r="Y3246" s="135"/>
      <c r="Z3246" s="135"/>
    </row>
    <row r="3247" spans="1:26" ht="12.75">
      <c r="A3247" s="136" t="s">
        <v>10</v>
      </c>
      <c r="B3247" s="136" t="s">
        <v>7833</v>
      </c>
      <c r="C3247" s="136" t="s">
        <v>493</v>
      </c>
      <c r="D3247" s="136" t="s">
        <v>467</v>
      </c>
      <c r="E3247" s="136" t="s">
        <v>85</v>
      </c>
      <c r="F3247" s="136">
        <v>153</v>
      </c>
      <c r="G3247" s="137">
        <f t="shared" si="12"/>
        <v>6</v>
      </c>
      <c r="H3247" s="137"/>
      <c r="I3247" s="137"/>
      <c r="J3247" s="135"/>
      <c r="K3247" s="135"/>
      <c r="L3247" s="135"/>
      <c r="M3247" s="135"/>
      <c r="N3247" s="135"/>
      <c r="O3247" s="135"/>
      <c r="P3247" s="135"/>
      <c r="Q3247" s="135"/>
      <c r="R3247" s="135"/>
      <c r="S3247" s="135"/>
      <c r="T3247" s="135"/>
      <c r="U3247" s="135"/>
      <c r="V3247" s="135"/>
      <c r="W3247" s="135"/>
      <c r="X3247" s="135"/>
      <c r="Y3247" s="135"/>
      <c r="Z3247" s="135"/>
    </row>
    <row r="3248" spans="1:26" ht="12.75">
      <c r="A3248" s="136" t="s">
        <v>10</v>
      </c>
      <c r="B3248" s="136" t="s">
        <v>7833</v>
      </c>
      <c r="C3248" s="136" t="s">
        <v>493</v>
      </c>
      <c r="D3248" s="136" t="s">
        <v>131</v>
      </c>
      <c r="E3248" s="136" t="s">
        <v>594</v>
      </c>
      <c r="F3248" s="136">
        <v>99</v>
      </c>
      <c r="G3248" s="137">
        <f t="shared" si="12"/>
        <v>7</v>
      </c>
      <c r="H3248" s="137"/>
      <c r="I3248" s="137"/>
      <c r="J3248" s="135"/>
      <c r="K3248" s="135"/>
      <c r="L3248" s="135"/>
      <c r="M3248" s="135"/>
      <c r="N3248" s="135"/>
      <c r="O3248" s="135"/>
      <c r="P3248" s="135"/>
      <c r="Q3248" s="135"/>
      <c r="R3248" s="135"/>
      <c r="S3248" s="135"/>
      <c r="T3248" s="135"/>
      <c r="U3248" s="135"/>
      <c r="V3248" s="135"/>
      <c r="W3248" s="135"/>
      <c r="X3248" s="135"/>
      <c r="Y3248" s="135"/>
      <c r="Z3248" s="135"/>
    </row>
    <row r="3249" spans="1:26" ht="12.75">
      <c r="A3249" s="136" t="s">
        <v>10</v>
      </c>
      <c r="B3249" s="136" t="s">
        <v>7833</v>
      </c>
      <c r="C3249" s="136" t="s">
        <v>493</v>
      </c>
      <c r="D3249" s="136" t="s">
        <v>7850</v>
      </c>
      <c r="E3249" s="136" t="s">
        <v>615</v>
      </c>
      <c r="F3249" s="136">
        <v>60</v>
      </c>
      <c r="G3249" s="137">
        <f t="shared" si="12"/>
        <v>8</v>
      </c>
      <c r="H3249" s="137"/>
      <c r="I3249" s="137"/>
      <c r="J3249" s="135"/>
      <c r="K3249" s="135"/>
      <c r="L3249" s="135"/>
      <c r="M3249" s="135"/>
      <c r="N3249" s="135"/>
      <c r="O3249" s="135"/>
      <c r="P3249" s="135"/>
      <c r="Q3249" s="135"/>
      <c r="R3249" s="135"/>
      <c r="S3249" s="135"/>
      <c r="T3249" s="135"/>
      <c r="U3249" s="135"/>
      <c r="V3249" s="135"/>
      <c r="W3249" s="135"/>
      <c r="X3249" s="135"/>
      <c r="Y3249" s="135"/>
      <c r="Z3249" s="135"/>
    </row>
    <row r="3250" spans="1:26" ht="12.75">
      <c r="A3250" s="136" t="s">
        <v>10</v>
      </c>
      <c r="B3250" s="136" t="s">
        <v>7833</v>
      </c>
      <c r="C3250" s="136" t="s">
        <v>493</v>
      </c>
      <c r="D3250" s="136" t="s">
        <v>368</v>
      </c>
      <c r="E3250" s="136" t="s">
        <v>594</v>
      </c>
      <c r="F3250" s="136">
        <v>58</v>
      </c>
      <c r="G3250" s="137">
        <f t="shared" si="12"/>
        <v>9</v>
      </c>
      <c r="H3250" s="137"/>
      <c r="I3250" s="137"/>
      <c r="J3250" s="135"/>
      <c r="K3250" s="135"/>
      <c r="L3250" s="135"/>
      <c r="M3250" s="135"/>
      <c r="N3250" s="135"/>
      <c r="O3250" s="135"/>
      <c r="P3250" s="135"/>
      <c r="Q3250" s="135"/>
      <c r="R3250" s="135"/>
      <c r="S3250" s="135"/>
      <c r="T3250" s="135"/>
      <c r="U3250" s="135"/>
      <c r="V3250" s="135"/>
      <c r="W3250" s="135"/>
      <c r="X3250" s="135"/>
      <c r="Y3250" s="135"/>
      <c r="Z3250" s="135"/>
    </row>
    <row r="3251" spans="1:26" ht="12.75">
      <c r="A3251" s="136" t="s">
        <v>10</v>
      </c>
      <c r="B3251" s="136" t="s">
        <v>7833</v>
      </c>
      <c r="C3251" s="136" t="s">
        <v>493</v>
      </c>
      <c r="D3251" s="136" t="s">
        <v>103</v>
      </c>
      <c r="E3251" s="136" t="s">
        <v>594</v>
      </c>
      <c r="F3251" s="136">
        <v>49</v>
      </c>
      <c r="G3251" s="137">
        <f t="shared" si="12"/>
        <v>10</v>
      </c>
      <c r="H3251" s="137"/>
      <c r="I3251" s="137"/>
      <c r="J3251" s="135"/>
      <c r="K3251" s="135"/>
      <c r="L3251" s="135"/>
      <c r="M3251" s="135"/>
      <c r="N3251" s="135"/>
      <c r="O3251" s="135"/>
      <c r="P3251" s="135"/>
      <c r="Q3251" s="135"/>
      <c r="R3251" s="135"/>
      <c r="S3251" s="135"/>
      <c r="T3251" s="135"/>
      <c r="U3251" s="135"/>
      <c r="V3251" s="135"/>
      <c r="W3251" s="135"/>
      <c r="X3251" s="135"/>
      <c r="Y3251" s="135"/>
      <c r="Z3251" s="135"/>
    </row>
    <row r="3252" spans="1:26" ht="12.75">
      <c r="A3252" s="136" t="s">
        <v>10</v>
      </c>
      <c r="B3252" s="136" t="s">
        <v>7833</v>
      </c>
      <c r="C3252" s="136" t="s">
        <v>493</v>
      </c>
      <c r="D3252" s="136" t="s">
        <v>165</v>
      </c>
      <c r="E3252" s="136" t="s">
        <v>615</v>
      </c>
      <c r="F3252" s="136">
        <v>44</v>
      </c>
      <c r="G3252" s="137">
        <f t="shared" si="12"/>
        <v>11</v>
      </c>
      <c r="H3252" s="137"/>
      <c r="I3252" s="137"/>
      <c r="J3252" s="135"/>
      <c r="K3252" s="135"/>
      <c r="L3252" s="135"/>
      <c r="M3252" s="135"/>
      <c r="N3252" s="135"/>
      <c r="O3252" s="135"/>
      <c r="P3252" s="135"/>
      <c r="Q3252" s="135"/>
      <c r="R3252" s="135"/>
      <c r="S3252" s="135"/>
      <c r="T3252" s="135"/>
      <c r="U3252" s="135"/>
      <c r="V3252" s="135"/>
      <c r="W3252" s="135"/>
      <c r="X3252" s="135"/>
      <c r="Y3252" s="135"/>
      <c r="Z3252" s="135"/>
    </row>
    <row r="3253" spans="1:26" ht="12.75">
      <c r="A3253" s="136" t="s">
        <v>10</v>
      </c>
      <c r="B3253" s="136" t="s">
        <v>7833</v>
      </c>
      <c r="C3253" s="136" t="s">
        <v>493</v>
      </c>
      <c r="D3253" s="136" t="s">
        <v>1626</v>
      </c>
      <c r="E3253" s="136" t="s">
        <v>594</v>
      </c>
      <c r="F3253" s="136">
        <v>43</v>
      </c>
      <c r="G3253" s="137">
        <f t="shared" si="12"/>
        <v>12</v>
      </c>
      <c r="H3253" s="137"/>
      <c r="I3253" s="137"/>
      <c r="J3253" s="135"/>
      <c r="K3253" s="135"/>
      <c r="L3253" s="135"/>
      <c r="M3253" s="135"/>
      <c r="N3253" s="135"/>
      <c r="O3253" s="135"/>
      <c r="P3253" s="135"/>
      <c r="Q3253" s="135"/>
      <c r="R3253" s="135"/>
      <c r="S3253" s="135"/>
      <c r="T3253" s="135"/>
      <c r="U3253" s="135"/>
      <c r="V3253" s="135"/>
      <c r="W3253" s="135"/>
      <c r="X3253" s="135"/>
      <c r="Y3253" s="135"/>
      <c r="Z3253" s="135"/>
    </row>
    <row r="3254" spans="1:26" ht="12.75">
      <c r="A3254" s="136" t="s">
        <v>10</v>
      </c>
      <c r="B3254" s="136" t="s">
        <v>7833</v>
      </c>
      <c r="C3254" s="136" t="s">
        <v>493</v>
      </c>
      <c r="D3254" s="136" t="s">
        <v>1656</v>
      </c>
      <c r="E3254" s="136" t="s">
        <v>615</v>
      </c>
      <c r="F3254" s="136">
        <v>22</v>
      </c>
      <c r="G3254" s="137">
        <f t="shared" si="12"/>
        <v>13</v>
      </c>
      <c r="H3254" s="137"/>
      <c r="I3254" s="137"/>
      <c r="J3254" s="135"/>
      <c r="K3254" s="135"/>
      <c r="L3254" s="135"/>
      <c r="M3254" s="135"/>
      <c r="N3254" s="135"/>
      <c r="O3254" s="135"/>
      <c r="P3254" s="135"/>
      <c r="Q3254" s="135"/>
      <c r="R3254" s="135"/>
      <c r="S3254" s="135"/>
      <c r="T3254" s="135"/>
      <c r="U3254" s="135"/>
      <c r="V3254" s="135"/>
      <c r="W3254" s="135"/>
      <c r="X3254" s="135"/>
      <c r="Y3254" s="135"/>
      <c r="Z3254" s="135"/>
    </row>
    <row r="3255" spans="1:26" ht="12.75">
      <c r="A3255" s="136" t="s">
        <v>10</v>
      </c>
      <c r="B3255" s="136" t="s">
        <v>7833</v>
      </c>
      <c r="C3255" s="136" t="s">
        <v>889</v>
      </c>
      <c r="D3255" s="136" t="s">
        <v>139</v>
      </c>
      <c r="E3255" s="136" t="s">
        <v>594</v>
      </c>
      <c r="F3255" s="136">
        <v>2299</v>
      </c>
      <c r="G3255" s="137">
        <f t="shared" si="12"/>
        <v>1</v>
      </c>
      <c r="H3255" s="137"/>
      <c r="I3255" s="137"/>
      <c r="J3255" s="135"/>
      <c r="K3255" s="135"/>
      <c r="L3255" s="135"/>
      <c r="M3255" s="135"/>
      <c r="N3255" s="135"/>
      <c r="O3255" s="135"/>
      <c r="P3255" s="135"/>
      <c r="Q3255" s="135"/>
      <c r="R3255" s="135"/>
      <c r="S3255" s="135"/>
      <c r="T3255" s="135"/>
      <c r="U3255" s="135"/>
      <c r="V3255" s="135"/>
      <c r="W3255" s="135"/>
      <c r="X3255" s="135"/>
      <c r="Y3255" s="135"/>
      <c r="Z3255" s="135"/>
    </row>
    <row r="3256" spans="1:26" ht="12.75">
      <c r="A3256" s="136" t="s">
        <v>10</v>
      </c>
      <c r="B3256" s="136" t="s">
        <v>7833</v>
      </c>
      <c r="C3256" s="136" t="s">
        <v>889</v>
      </c>
      <c r="D3256" s="136" t="s">
        <v>437</v>
      </c>
      <c r="E3256" s="136" t="s">
        <v>594</v>
      </c>
      <c r="F3256" s="136">
        <v>185</v>
      </c>
      <c r="G3256" s="137">
        <f t="shared" si="12"/>
        <v>2</v>
      </c>
      <c r="H3256" s="137"/>
      <c r="I3256" s="137"/>
      <c r="J3256" s="135"/>
      <c r="K3256" s="135"/>
      <c r="L3256" s="135"/>
      <c r="M3256" s="135"/>
      <c r="N3256" s="135"/>
      <c r="O3256" s="135"/>
      <c r="P3256" s="135"/>
      <c r="Q3256" s="135"/>
      <c r="R3256" s="135"/>
      <c r="S3256" s="135"/>
      <c r="T3256" s="135"/>
      <c r="U3256" s="135"/>
      <c r="V3256" s="135"/>
      <c r="W3256" s="135"/>
      <c r="X3256" s="135"/>
      <c r="Y3256" s="135"/>
      <c r="Z3256" s="135"/>
    </row>
    <row r="3257" spans="1:26" ht="12.75">
      <c r="A3257" s="136" t="s">
        <v>10</v>
      </c>
      <c r="B3257" s="136" t="s">
        <v>7833</v>
      </c>
      <c r="C3257" s="136" t="s">
        <v>889</v>
      </c>
      <c r="D3257" s="136" t="s">
        <v>131</v>
      </c>
      <c r="E3257" s="136" t="s">
        <v>594</v>
      </c>
      <c r="F3257" s="136">
        <v>134</v>
      </c>
      <c r="G3257" s="137">
        <f t="shared" si="12"/>
        <v>3</v>
      </c>
      <c r="H3257" s="137"/>
      <c r="I3257" s="137"/>
      <c r="J3257" s="135"/>
      <c r="K3257" s="135"/>
      <c r="L3257" s="135"/>
      <c r="M3257" s="135"/>
      <c r="N3257" s="135"/>
      <c r="O3257" s="135"/>
      <c r="P3257" s="135"/>
      <c r="Q3257" s="135"/>
      <c r="R3257" s="135"/>
      <c r="S3257" s="135"/>
      <c r="T3257" s="135"/>
      <c r="U3257" s="135"/>
      <c r="V3257" s="135"/>
      <c r="W3257" s="135"/>
      <c r="X3257" s="135"/>
      <c r="Y3257" s="135"/>
      <c r="Z3257" s="135"/>
    </row>
    <row r="3258" spans="1:26" ht="12.75">
      <c r="A3258" s="136" t="s">
        <v>10</v>
      </c>
      <c r="B3258" s="136" t="s">
        <v>7833</v>
      </c>
      <c r="C3258" s="136" t="s">
        <v>889</v>
      </c>
      <c r="D3258" s="136" t="s">
        <v>368</v>
      </c>
      <c r="E3258" s="136" t="s">
        <v>594</v>
      </c>
      <c r="F3258" s="136">
        <v>81</v>
      </c>
      <c r="G3258" s="137">
        <f t="shared" si="12"/>
        <v>4</v>
      </c>
      <c r="H3258" s="137"/>
      <c r="I3258" s="137"/>
      <c r="J3258" s="135"/>
      <c r="K3258" s="135"/>
      <c r="L3258" s="135"/>
      <c r="M3258" s="135"/>
      <c r="N3258" s="135"/>
      <c r="O3258" s="135"/>
      <c r="P3258" s="135"/>
      <c r="Q3258" s="135"/>
      <c r="R3258" s="135"/>
      <c r="S3258" s="135"/>
      <c r="T3258" s="135"/>
      <c r="U3258" s="135"/>
      <c r="V3258" s="135"/>
      <c r="W3258" s="135"/>
      <c r="X3258" s="135"/>
      <c r="Y3258" s="135"/>
      <c r="Z3258" s="135"/>
    </row>
    <row r="3259" spans="1:26" ht="12.75">
      <c r="A3259" s="136" t="s">
        <v>10</v>
      </c>
      <c r="B3259" s="136" t="s">
        <v>7833</v>
      </c>
      <c r="C3259" s="136" t="s">
        <v>889</v>
      </c>
      <c r="D3259" s="136" t="s">
        <v>103</v>
      </c>
      <c r="E3259" s="136" t="s">
        <v>594</v>
      </c>
      <c r="F3259" s="136">
        <v>79</v>
      </c>
      <c r="G3259" s="137">
        <f t="shared" si="12"/>
        <v>5</v>
      </c>
      <c r="H3259" s="137"/>
      <c r="I3259" s="137"/>
      <c r="J3259" s="135"/>
      <c r="K3259" s="135"/>
      <c r="L3259" s="135"/>
      <c r="M3259" s="135"/>
      <c r="N3259" s="135"/>
      <c r="O3259" s="135"/>
      <c r="P3259" s="135"/>
      <c r="Q3259" s="135"/>
      <c r="R3259" s="135"/>
      <c r="S3259" s="135"/>
      <c r="T3259" s="135"/>
      <c r="U3259" s="135"/>
      <c r="V3259" s="135"/>
      <c r="W3259" s="135"/>
      <c r="X3259" s="135"/>
      <c r="Y3259" s="135"/>
      <c r="Z3259" s="135"/>
    </row>
    <row r="3260" spans="1:26" ht="12.75">
      <c r="A3260" s="136" t="s">
        <v>10</v>
      </c>
      <c r="B3260" s="136" t="s">
        <v>7833</v>
      </c>
      <c r="C3260" s="136" t="s">
        <v>889</v>
      </c>
      <c r="D3260" s="136" t="s">
        <v>1626</v>
      </c>
      <c r="E3260" s="136" t="s">
        <v>594</v>
      </c>
      <c r="F3260" s="136">
        <v>64</v>
      </c>
      <c r="G3260" s="137">
        <f t="shared" si="12"/>
        <v>6</v>
      </c>
      <c r="H3260" s="137"/>
      <c r="I3260" s="137"/>
      <c r="J3260" s="135"/>
      <c r="K3260" s="135"/>
      <c r="L3260" s="135"/>
      <c r="M3260" s="135"/>
      <c r="N3260" s="135"/>
      <c r="O3260" s="135"/>
      <c r="P3260" s="135"/>
      <c r="Q3260" s="135"/>
      <c r="R3260" s="135"/>
      <c r="S3260" s="135"/>
      <c r="T3260" s="135"/>
      <c r="U3260" s="135"/>
      <c r="V3260" s="135"/>
      <c r="W3260" s="135"/>
      <c r="X3260" s="135"/>
      <c r="Y3260" s="135"/>
      <c r="Z3260" s="135"/>
    </row>
    <row r="3261" spans="1:26" ht="12.75">
      <c r="A3261" s="136" t="s">
        <v>10</v>
      </c>
      <c r="B3261" s="136" t="s">
        <v>7833</v>
      </c>
      <c r="C3261" s="136" t="s">
        <v>889</v>
      </c>
      <c r="D3261" s="136" t="s">
        <v>7481</v>
      </c>
      <c r="E3261" s="136" t="s">
        <v>615</v>
      </c>
      <c r="F3261" s="136">
        <v>49</v>
      </c>
      <c r="G3261" s="137">
        <f t="shared" si="12"/>
        <v>7</v>
      </c>
      <c r="H3261" s="137"/>
      <c r="I3261" s="137"/>
      <c r="J3261" s="135"/>
      <c r="K3261" s="135"/>
      <c r="L3261" s="135"/>
      <c r="M3261" s="135"/>
      <c r="N3261" s="135"/>
      <c r="O3261" s="135"/>
      <c r="P3261" s="135"/>
      <c r="Q3261" s="135"/>
      <c r="R3261" s="135"/>
      <c r="S3261" s="135"/>
      <c r="T3261" s="135"/>
      <c r="U3261" s="135"/>
      <c r="V3261" s="135"/>
      <c r="W3261" s="135"/>
      <c r="X3261" s="135"/>
      <c r="Y3261" s="135"/>
      <c r="Z3261" s="135"/>
    </row>
    <row r="3262" spans="1:26" ht="12.75">
      <c r="A3262" s="136" t="s">
        <v>10</v>
      </c>
      <c r="B3262" s="136" t="s">
        <v>7833</v>
      </c>
      <c r="C3262" s="136" t="s">
        <v>889</v>
      </c>
      <c r="D3262" s="136" t="s">
        <v>1656</v>
      </c>
      <c r="E3262" s="136" t="s">
        <v>615</v>
      </c>
      <c r="F3262" s="136">
        <v>43</v>
      </c>
      <c r="G3262" s="137">
        <f t="shared" si="12"/>
        <v>8</v>
      </c>
      <c r="H3262" s="137"/>
      <c r="I3262" s="137"/>
      <c r="J3262" s="135"/>
      <c r="K3262" s="135"/>
      <c r="L3262" s="135"/>
      <c r="M3262" s="135"/>
      <c r="N3262" s="135"/>
      <c r="O3262" s="135"/>
      <c r="P3262" s="135"/>
      <c r="Q3262" s="135"/>
      <c r="R3262" s="135"/>
      <c r="S3262" s="135"/>
      <c r="T3262" s="135"/>
      <c r="U3262" s="135"/>
      <c r="V3262" s="135"/>
      <c r="W3262" s="135"/>
      <c r="X3262" s="135"/>
      <c r="Y3262" s="135"/>
      <c r="Z3262" s="135"/>
    </row>
    <row r="3263" spans="1:26" ht="12.75">
      <c r="A3263" s="136" t="s">
        <v>10</v>
      </c>
      <c r="B3263" s="136" t="s">
        <v>7833</v>
      </c>
      <c r="C3263" s="136" t="s">
        <v>889</v>
      </c>
      <c r="D3263" s="136" t="s">
        <v>1669</v>
      </c>
      <c r="E3263" s="136" t="s">
        <v>615</v>
      </c>
      <c r="F3263" s="136">
        <v>36</v>
      </c>
      <c r="G3263" s="137">
        <f t="shared" si="12"/>
        <v>9</v>
      </c>
      <c r="H3263" s="137"/>
      <c r="I3263" s="137"/>
      <c r="J3263" s="135"/>
      <c r="K3263" s="135"/>
      <c r="L3263" s="135"/>
      <c r="M3263" s="135"/>
      <c r="N3263" s="135"/>
      <c r="O3263" s="135"/>
      <c r="P3263" s="135"/>
      <c r="Q3263" s="135"/>
      <c r="R3263" s="135"/>
      <c r="S3263" s="135"/>
      <c r="T3263" s="135"/>
      <c r="U3263" s="135"/>
      <c r="V3263" s="135"/>
      <c r="W3263" s="135"/>
      <c r="X3263" s="135"/>
      <c r="Y3263" s="135"/>
      <c r="Z3263" s="135"/>
    </row>
    <row r="3264" spans="1:26" ht="12.75">
      <c r="A3264" s="136" t="s">
        <v>10</v>
      </c>
      <c r="B3264" s="136" t="s">
        <v>7833</v>
      </c>
      <c r="C3264" s="136" t="s">
        <v>889</v>
      </c>
      <c r="D3264" s="136" t="s">
        <v>165</v>
      </c>
      <c r="E3264" s="136" t="s">
        <v>615</v>
      </c>
      <c r="F3264" s="136">
        <v>10</v>
      </c>
      <c r="G3264" s="137">
        <f t="shared" si="12"/>
        <v>10</v>
      </c>
      <c r="H3264" s="137"/>
      <c r="I3264" s="137"/>
      <c r="J3264" s="135"/>
      <c r="K3264" s="135"/>
      <c r="L3264" s="135"/>
      <c r="M3264" s="135"/>
      <c r="N3264" s="135"/>
      <c r="O3264" s="135"/>
      <c r="P3264" s="135"/>
      <c r="Q3264" s="135"/>
      <c r="R3264" s="135"/>
      <c r="S3264" s="135"/>
      <c r="T3264" s="135"/>
      <c r="U3264" s="135"/>
      <c r="V3264" s="135"/>
      <c r="W3264" s="135"/>
      <c r="X3264" s="135"/>
      <c r="Y3264" s="135"/>
      <c r="Z3264" s="135"/>
    </row>
    <row r="3265" spans="1:26" ht="12.75">
      <c r="A3265" s="136" t="s">
        <v>10</v>
      </c>
      <c r="B3265" s="136" t="s">
        <v>7833</v>
      </c>
      <c r="C3265" s="136" t="s">
        <v>889</v>
      </c>
      <c r="D3265" s="136" t="s">
        <v>7838</v>
      </c>
      <c r="E3265" s="136" t="s">
        <v>86</v>
      </c>
      <c r="F3265" s="136">
        <v>8</v>
      </c>
      <c r="G3265" s="137">
        <f t="shared" si="12"/>
        <v>11</v>
      </c>
      <c r="H3265" s="137"/>
      <c r="I3265" s="137"/>
      <c r="J3265" s="135"/>
      <c r="K3265" s="135"/>
      <c r="L3265" s="135"/>
      <c r="M3265" s="135"/>
      <c r="N3265" s="135"/>
      <c r="O3265" s="135"/>
      <c r="P3265" s="135"/>
      <c r="Q3265" s="135"/>
      <c r="R3265" s="135"/>
      <c r="S3265" s="135"/>
      <c r="T3265" s="135"/>
      <c r="U3265" s="135"/>
      <c r="V3265" s="135"/>
      <c r="W3265" s="135"/>
      <c r="X3265" s="135"/>
      <c r="Y3265" s="135"/>
      <c r="Z3265" s="135"/>
    </row>
    <row r="3266" spans="1:26" ht="12.75">
      <c r="A3266" s="136" t="s">
        <v>10</v>
      </c>
      <c r="B3266" s="136" t="s">
        <v>7833</v>
      </c>
      <c r="C3266" s="136" t="s">
        <v>515</v>
      </c>
      <c r="D3266" s="136" t="s">
        <v>139</v>
      </c>
      <c r="E3266" s="136" t="s">
        <v>594</v>
      </c>
      <c r="F3266" s="136">
        <v>832</v>
      </c>
      <c r="G3266" s="137">
        <f t="shared" si="12"/>
        <v>1</v>
      </c>
      <c r="H3266" s="137"/>
      <c r="I3266" s="137"/>
      <c r="J3266" s="135"/>
      <c r="K3266" s="135"/>
      <c r="L3266" s="135"/>
      <c r="M3266" s="135"/>
      <c r="N3266" s="135"/>
      <c r="O3266" s="135"/>
      <c r="P3266" s="135"/>
      <c r="Q3266" s="135"/>
      <c r="R3266" s="135"/>
      <c r="S3266" s="135"/>
      <c r="T3266" s="135"/>
      <c r="U3266" s="135"/>
      <c r="V3266" s="135"/>
      <c r="W3266" s="135"/>
      <c r="X3266" s="135"/>
      <c r="Y3266" s="135"/>
      <c r="Z3266" s="135"/>
    </row>
    <row r="3267" spans="1:26" ht="12.75">
      <c r="A3267" s="136" t="s">
        <v>10</v>
      </c>
      <c r="B3267" s="136" t="s">
        <v>7833</v>
      </c>
      <c r="C3267" s="136" t="s">
        <v>515</v>
      </c>
      <c r="D3267" s="136" t="s">
        <v>114</v>
      </c>
      <c r="E3267" s="136" t="s">
        <v>85</v>
      </c>
      <c r="F3267" s="136">
        <v>335</v>
      </c>
      <c r="G3267" s="137">
        <f t="shared" si="12"/>
        <v>2</v>
      </c>
      <c r="H3267" s="137"/>
      <c r="I3267" s="137"/>
      <c r="J3267" s="135"/>
      <c r="K3267" s="135"/>
      <c r="L3267" s="135"/>
      <c r="M3267" s="135"/>
      <c r="N3267" s="135"/>
      <c r="O3267" s="135"/>
      <c r="P3267" s="135"/>
      <c r="Q3267" s="135"/>
      <c r="R3267" s="135"/>
      <c r="S3267" s="135"/>
      <c r="T3267" s="135"/>
      <c r="U3267" s="135"/>
      <c r="V3267" s="135"/>
      <c r="W3267" s="135"/>
      <c r="X3267" s="135"/>
      <c r="Y3267" s="135"/>
      <c r="Z3267" s="135"/>
    </row>
    <row r="3268" spans="1:26" ht="12.75">
      <c r="A3268" s="136" t="s">
        <v>10</v>
      </c>
      <c r="B3268" s="136" t="s">
        <v>7833</v>
      </c>
      <c r="C3268" s="136" t="s">
        <v>515</v>
      </c>
      <c r="D3268" s="136" t="s">
        <v>7481</v>
      </c>
      <c r="E3268" s="136" t="s">
        <v>615</v>
      </c>
      <c r="F3268" s="136">
        <v>131</v>
      </c>
      <c r="G3268" s="137">
        <f t="shared" si="12"/>
        <v>3</v>
      </c>
      <c r="H3268" s="137"/>
      <c r="I3268" s="137"/>
      <c r="J3268" s="135"/>
      <c r="K3268" s="135"/>
      <c r="L3268" s="135"/>
      <c r="M3268" s="135"/>
      <c r="N3268" s="135"/>
      <c r="O3268" s="135"/>
      <c r="P3268" s="135"/>
      <c r="Q3268" s="135"/>
      <c r="R3268" s="135"/>
      <c r="S3268" s="135"/>
      <c r="T3268" s="135"/>
      <c r="U3268" s="135"/>
      <c r="V3268" s="135"/>
      <c r="W3268" s="135"/>
      <c r="X3268" s="135"/>
      <c r="Y3268" s="135"/>
      <c r="Z3268" s="135"/>
    </row>
    <row r="3269" spans="1:26" ht="12.75">
      <c r="A3269" s="136" t="s">
        <v>10</v>
      </c>
      <c r="B3269" s="136" t="s">
        <v>7833</v>
      </c>
      <c r="C3269" s="136" t="s">
        <v>515</v>
      </c>
      <c r="D3269" s="136" t="s">
        <v>1669</v>
      </c>
      <c r="E3269" s="136" t="s">
        <v>615</v>
      </c>
      <c r="F3269" s="136">
        <v>128</v>
      </c>
      <c r="G3269" s="137">
        <f t="shared" si="12"/>
        <v>4</v>
      </c>
      <c r="H3269" s="137"/>
      <c r="I3269" s="137"/>
      <c r="J3269" s="135"/>
      <c r="K3269" s="135"/>
      <c r="L3269" s="135"/>
      <c r="M3269" s="135"/>
      <c r="N3269" s="135"/>
      <c r="O3269" s="135"/>
      <c r="P3269" s="135"/>
      <c r="Q3269" s="135"/>
      <c r="R3269" s="135"/>
      <c r="S3269" s="135"/>
      <c r="T3269" s="135"/>
      <c r="U3269" s="135"/>
      <c r="V3269" s="135"/>
      <c r="W3269" s="135"/>
      <c r="X3269" s="135"/>
      <c r="Y3269" s="135"/>
      <c r="Z3269" s="135"/>
    </row>
    <row r="3270" spans="1:26" ht="12.75">
      <c r="A3270" s="136" t="s">
        <v>10</v>
      </c>
      <c r="B3270" s="136" t="s">
        <v>7833</v>
      </c>
      <c r="C3270" s="136" t="s">
        <v>515</v>
      </c>
      <c r="D3270" s="136" t="s">
        <v>467</v>
      </c>
      <c r="E3270" s="136" t="s">
        <v>85</v>
      </c>
      <c r="F3270" s="136">
        <v>116</v>
      </c>
      <c r="G3270" s="137">
        <f t="shared" si="12"/>
        <v>5</v>
      </c>
      <c r="H3270" s="137"/>
      <c r="I3270" s="137"/>
      <c r="J3270" s="135"/>
      <c r="K3270" s="135"/>
      <c r="L3270" s="135"/>
      <c r="M3270" s="135"/>
      <c r="N3270" s="135"/>
      <c r="O3270" s="135"/>
      <c r="P3270" s="135"/>
      <c r="Q3270" s="135"/>
      <c r="R3270" s="135"/>
      <c r="S3270" s="135"/>
      <c r="T3270" s="135"/>
      <c r="U3270" s="135"/>
      <c r="V3270" s="135"/>
      <c r="W3270" s="135"/>
      <c r="X3270" s="135"/>
      <c r="Y3270" s="135"/>
      <c r="Z3270" s="135"/>
    </row>
    <row r="3271" spans="1:26" ht="12.75">
      <c r="A3271" s="136" t="s">
        <v>10</v>
      </c>
      <c r="B3271" s="136" t="s">
        <v>7833</v>
      </c>
      <c r="C3271" s="136" t="s">
        <v>515</v>
      </c>
      <c r="D3271" s="136" t="s">
        <v>131</v>
      </c>
      <c r="E3271" s="136" t="s">
        <v>594</v>
      </c>
      <c r="F3271" s="136">
        <v>80</v>
      </c>
      <c r="G3271" s="137">
        <f t="shared" si="12"/>
        <v>6</v>
      </c>
      <c r="H3271" s="137"/>
      <c r="I3271" s="137"/>
      <c r="J3271" s="135"/>
      <c r="K3271" s="135"/>
      <c r="L3271" s="135"/>
      <c r="M3271" s="135"/>
      <c r="N3271" s="135"/>
      <c r="O3271" s="135"/>
      <c r="P3271" s="135"/>
      <c r="Q3271" s="135"/>
      <c r="R3271" s="135"/>
      <c r="S3271" s="135"/>
      <c r="T3271" s="135"/>
      <c r="U3271" s="135"/>
      <c r="V3271" s="135"/>
      <c r="W3271" s="135"/>
      <c r="X3271" s="135"/>
      <c r="Y3271" s="135"/>
      <c r="Z3271" s="135"/>
    </row>
    <row r="3272" spans="1:26" ht="12.75">
      <c r="A3272" s="136" t="s">
        <v>10</v>
      </c>
      <c r="B3272" s="136" t="s">
        <v>7833</v>
      </c>
      <c r="C3272" s="136" t="s">
        <v>515</v>
      </c>
      <c r="D3272" s="136" t="s">
        <v>437</v>
      </c>
      <c r="E3272" s="136" t="s">
        <v>594</v>
      </c>
      <c r="F3272" s="136">
        <v>78</v>
      </c>
      <c r="G3272" s="137">
        <f t="shared" si="12"/>
        <v>7</v>
      </c>
      <c r="H3272" s="137"/>
      <c r="I3272" s="137"/>
      <c r="J3272" s="135"/>
      <c r="K3272" s="135"/>
      <c r="L3272" s="135"/>
      <c r="M3272" s="135"/>
      <c r="N3272" s="135"/>
      <c r="O3272" s="135"/>
      <c r="P3272" s="135"/>
      <c r="Q3272" s="135"/>
      <c r="R3272" s="135"/>
      <c r="S3272" s="135"/>
      <c r="T3272" s="135"/>
      <c r="U3272" s="135"/>
      <c r="V3272" s="135"/>
      <c r="W3272" s="135"/>
      <c r="X3272" s="135"/>
      <c r="Y3272" s="135"/>
      <c r="Z3272" s="135"/>
    </row>
    <row r="3273" spans="1:26" ht="12.75">
      <c r="A3273" s="136" t="s">
        <v>10</v>
      </c>
      <c r="B3273" s="136" t="s">
        <v>7833</v>
      </c>
      <c r="C3273" s="136" t="s">
        <v>515</v>
      </c>
      <c r="D3273" s="136" t="s">
        <v>368</v>
      </c>
      <c r="E3273" s="136" t="s">
        <v>594</v>
      </c>
      <c r="F3273" s="136">
        <v>63</v>
      </c>
      <c r="G3273" s="137">
        <f t="shared" si="12"/>
        <v>8</v>
      </c>
      <c r="H3273" s="137"/>
      <c r="I3273" s="137"/>
      <c r="J3273" s="135"/>
      <c r="K3273" s="135"/>
      <c r="L3273" s="135"/>
      <c r="M3273" s="135"/>
      <c r="N3273" s="135"/>
      <c r="O3273" s="135"/>
      <c r="P3273" s="135"/>
      <c r="Q3273" s="135"/>
      <c r="R3273" s="135"/>
      <c r="S3273" s="135"/>
      <c r="T3273" s="135"/>
      <c r="U3273" s="135"/>
      <c r="V3273" s="135"/>
      <c r="W3273" s="135"/>
      <c r="X3273" s="135"/>
      <c r="Y3273" s="135"/>
      <c r="Z3273" s="135"/>
    </row>
    <row r="3274" spans="1:26" ht="12.75">
      <c r="A3274" s="136" t="s">
        <v>10</v>
      </c>
      <c r="B3274" s="136" t="s">
        <v>7833</v>
      </c>
      <c r="C3274" s="136" t="s">
        <v>515</v>
      </c>
      <c r="D3274" s="136" t="s">
        <v>7711</v>
      </c>
      <c r="E3274" s="136" t="s">
        <v>615</v>
      </c>
      <c r="F3274" s="136">
        <v>60</v>
      </c>
      <c r="G3274" s="137">
        <f t="shared" si="12"/>
        <v>9</v>
      </c>
      <c r="H3274" s="137"/>
      <c r="I3274" s="137"/>
      <c r="J3274" s="135"/>
      <c r="K3274" s="135"/>
      <c r="L3274" s="135"/>
      <c r="M3274" s="135"/>
      <c r="N3274" s="135"/>
      <c r="O3274" s="135"/>
      <c r="P3274" s="135"/>
      <c r="Q3274" s="135"/>
      <c r="R3274" s="135"/>
      <c r="S3274" s="135"/>
      <c r="T3274" s="135"/>
      <c r="U3274" s="135"/>
      <c r="V3274" s="135"/>
      <c r="W3274" s="135"/>
      <c r="X3274" s="135"/>
      <c r="Y3274" s="135"/>
      <c r="Z3274" s="135"/>
    </row>
    <row r="3275" spans="1:26" ht="12.75">
      <c r="A3275" s="136" t="s">
        <v>10</v>
      </c>
      <c r="B3275" s="136" t="s">
        <v>7833</v>
      </c>
      <c r="C3275" s="136" t="s">
        <v>515</v>
      </c>
      <c r="D3275" s="136" t="s">
        <v>1626</v>
      </c>
      <c r="E3275" s="136" t="s">
        <v>594</v>
      </c>
      <c r="F3275" s="136">
        <v>44</v>
      </c>
      <c r="G3275" s="137">
        <f t="shared" si="12"/>
        <v>10</v>
      </c>
      <c r="H3275" s="137"/>
      <c r="I3275" s="137"/>
      <c r="J3275" s="135"/>
      <c r="K3275" s="135"/>
      <c r="L3275" s="135"/>
      <c r="M3275" s="135"/>
      <c r="N3275" s="135"/>
      <c r="O3275" s="135"/>
      <c r="P3275" s="135"/>
      <c r="Q3275" s="135"/>
      <c r="R3275" s="135"/>
      <c r="S3275" s="135"/>
      <c r="T3275" s="135"/>
      <c r="U3275" s="135"/>
      <c r="V3275" s="135"/>
      <c r="W3275" s="135"/>
      <c r="X3275" s="135"/>
      <c r="Y3275" s="135"/>
      <c r="Z3275" s="135"/>
    </row>
    <row r="3276" spans="1:26" ht="12.75">
      <c r="A3276" s="136" t="s">
        <v>10</v>
      </c>
      <c r="B3276" s="136" t="s">
        <v>7833</v>
      </c>
      <c r="C3276" s="136" t="s">
        <v>515</v>
      </c>
      <c r="D3276" s="136" t="s">
        <v>103</v>
      </c>
      <c r="E3276" s="136" t="s">
        <v>594</v>
      </c>
      <c r="F3276" s="136">
        <v>44</v>
      </c>
      <c r="G3276" s="137">
        <f t="shared" si="12"/>
        <v>11</v>
      </c>
      <c r="H3276" s="137"/>
      <c r="I3276" s="137"/>
      <c r="J3276" s="135"/>
      <c r="K3276" s="135"/>
      <c r="L3276" s="135"/>
      <c r="M3276" s="135"/>
      <c r="N3276" s="135"/>
      <c r="O3276" s="135"/>
      <c r="P3276" s="135"/>
      <c r="Q3276" s="135"/>
      <c r="R3276" s="135"/>
      <c r="S3276" s="135"/>
      <c r="T3276" s="135"/>
      <c r="U3276" s="135"/>
      <c r="V3276" s="135"/>
      <c r="W3276" s="135"/>
      <c r="X3276" s="135"/>
      <c r="Y3276" s="135"/>
      <c r="Z3276" s="135"/>
    </row>
    <row r="3277" spans="1:26" ht="12.75">
      <c r="A3277" s="136" t="s">
        <v>10</v>
      </c>
      <c r="B3277" s="136" t="s">
        <v>7833</v>
      </c>
      <c r="C3277" s="136" t="s">
        <v>515</v>
      </c>
      <c r="D3277" s="136" t="s">
        <v>1656</v>
      </c>
      <c r="E3277" s="136" t="s">
        <v>615</v>
      </c>
      <c r="F3277" s="136">
        <v>25</v>
      </c>
      <c r="G3277" s="137">
        <f t="shared" si="12"/>
        <v>12</v>
      </c>
      <c r="H3277" s="137"/>
      <c r="I3277" s="137"/>
      <c r="J3277" s="135"/>
      <c r="K3277" s="135"/>
      <c r="L3277" s="135"/>
      <c r="M3277" s="135"/>
      <c r="N3277" s="135"/>
      <c r="O3277" s="135"/>
      <c r="P3277" s="135"/>
      <c r="Q3277" s="135"/>
      <c r="R3277" s="135"/>
      <c r="S3277" s="135"/>
      <c r="T3277" s="135"/>
      <c r="U3277" s="135"/>
      <c r="V3277" s="135"/>
      <c r="W3277" s="135"/>
      <c r="X3277" s="135"/>
      <c r="Y3277" s="135"/>
      <c r="Z3277" s="135"/>
    </row>
    <row r="3278" spans="1:26" ht="12.75">
      <c r="A3278" s="136" t="s">
        <v>10</v>
      </c>
      <c r="B3278" s="136" t="s">
        <v>7833</v>
      </c>
      <c r="C3278" s="136" t="s">
        <v>515</v>
      </c>
      <c r="D3278" s="136" t="s">
        <v>7840</v>
      </c>
      <c r="E3278" s="136" t="s">
        <v>615</v>
      </c>
      <c r="F3278" s="136">
        <v>24</v>
      </c>
      <c r="G3278" s="137">
        <f t="shared" si="12"/>
        <v>13</v>
      </c>
      <c r="H3278" s="137"/>
      <c r="I3278" s="137"/>
      <c r="J3278" s="135"/>
      <c r="K3278" s="135"/>
      <c r="L3278" s="135"/>
      <c r="M3278" s="135"/>
      <c r="N3278" s="135"/>
      <c r="O3278" s="135"/>
      <c r="P3278" s="135"/>
      <c r="Q3278" s="135"/>
      <c r="R3278" s="135"/>
      <c r="S3278" s="135"/>
      <c r="T3278" s="135"/>
      <c r="U3278" s="135"/>
      <c r="V3278" s="135"/>
      <c r="W3278" s="135"/>
      <c r="X3278" s="135"/>
      <c r="Y3278" s="135"/>
      <c r="Z3278" s="135"/>
    </row>
    <row r="3279" spans="1:26" ht="12.75">
      <c r="A3279" s="136" t="s">
        <v>10</v>
      </c>
      <c r="B3279" s="136" t="s">
        <v>7833</v>
      </c>
      <c r="C3279" s="136" t="s">
        <v>515</v>
      </c>
      <c r="D3279" s="136" t="s">
        <v>1681</v>
      </c>
      <c r="E3279" s="136" t="s">
        <v>615</v>
      </c>
      <c r="F3279" s="136">
        <v>6</v>
      </c>
      <c r="G3279" s="137">
        <f t="shared" si="12"/>
        <v>14</v>
      </c>
      <c r="H3279" s="137"/>
      <c r="I3279" s="137"/>
      <c r="J3279" s="135"/>
      <c r="K3279" s="135"/>
      <c r="L3279" s="135"/>
      <c r="M3279" s="135"/>
      <c r="N3279" s="135"/>
      <c r="O3279" s="135"/>
      <c r="P3279" s="135"/>
      <c r="Q3279" s="135"/>
      <c r="R3279" s="135"/>
      <c r="S3279" s="135"/>
      <c r="T3279" s="135"/>
      <c r="U3279" s="135"/>
      <c r="V3279" s="135"/>
      <c r="W3279" s="135"/>
      <c r="X3279" s="135"/>
      <c r="Y3279" s="135"/>
      <c r="Z3279" s="135"/>
    </row>
    <row r="3280" spans="1:26" ht="12.75">
      <c r="A3280" s="136" t="s">
        <v>10</v>
      </c>
      <c r="B3280" s="136" t="s">
        <v>7833</v>
      </c>
      <c r="C3280" s="136" t="s">
        <v>526</v>
      </c>
      <c r="D3280" s="136" t="s">
        <v>114</v>
      </c>
      <c r="E3280" s="136" t="s">
        <v>85</v>
      </c>
      <c r="F3280" s="136">
        <v>742</v>
      </c>
      <c r="G3280" s="137">
        <f t="shared" si="12"/>
        <v>1</v>
      </c>
      <c r="H3280" s="137"/>
      <c r="I3280" s="137"/>
      <c r="J3280" s="135"/>
      <c r="K3280" s="135"/>
      <c r="L3280" s="135"/>
      <c r="M3280" s="135"/>
      <c r="N3280" s="135"/>
      <c r="O3280" s="135"/>
      <c r="P3280" s="135"/>
      <c r="Q3280" s="135"/>
      <c r="R3280" s="135"/>
      <c r="S3280" s="135"/>
      <c r="T3280" s="135"/>
      <c r="U3280" s="135"/>
      <c r="V3280" s="135"/>
      <c r="W3280" s="135"/>
      <c r="X3280" s="135"/>
      <c r="Y3280" s="135"/>
      <c r="Z3280" s="135"/>
    </row>
    <row r="3281" spans="1:26" ht="12.75">
      <c r="A3281" s="136" t="s">
        <v>10</v>
      </c>
      <c r="B3281" s="136" t="s">
        <v>7833</v>
      </c>
      <c r="C3281" s="136" t="s">
        <v>526</v>
      </c>
      <c r="D3281" s="136" t="s">
        <v>1669</v>
      </c>
      <c r="E3281" s="136" t="s">
        <v>615</v>
      </c>
      <c r="F3281" s="136">
        <v>189</v>
      </c>
      <c r="G3281" s="137">
        <f t="shared" si="12"/>
        <v>2</v>
      </c>
      <c r="H3281" s="137"/>
      <c r="I3281" s="137"/>
      <c r="J3281" s="135"/>
      <c r="K3281" s="135"/>
      <c r="L3281" s="135"/>
      <c r="M3281" s="135"/>
      <c r="N3281" s="135"/>
      <c r="O3281" s="135"/>
      <c r="P3281" s="135"/>
      <c r="Q3281" s="135"/>
      <c r="R3281" s="135"/>
      <c r="S3281" s="135"/>
      <c r="T3281" s="135"/>
      <c r="U3281" s="135"/>
      <c r="V3281" s="135"/>
      <c r="W3281" s="135"/>
      <c r="X3281" s="135"/>
      <c r="Y3281" s="135"/>
      <c r="Z3281" s="135"/>
    </row>
    <row r="3282" spans="1:26" ht="12.75">
      <c r="A3282" s="136" t="s">
        <v>10</v>
      </c>
      <c r="B3282" s="136" t="s">
        <v>7833</v>
      </c>
      <c r="C3282" s="136" t="s">
        <v>526</v>
      </c>
      <c r="D3282" s="136" t="s">
        <v>467</v>
      </c>
      <c r="E3282" s="136" t="s">
        <v>85</v>
      </c>
      <c r="F3282" s="136">
        <v>152</v>
      </c>
      <c r="G3282" s="137">
        <f t="shared" si="12"/>
        <v>3</v>
      </c>
      <c r="H3282" s="137"/>
      <c r="I3282" s="137"/>
      <c r="J3282" s="135"/>
      <c r="K3282" s="135"/>
      <c r="L3282" s="135"/>
      <c r="M3282" s="135"/>
      <c r="N3282" s="135"/>
      <c r="O3282" s="135"/>
      <c r="P3282" s="135"/>
      <c r="Q3282" s="135"/>
      <c r="R3282" s="135"/>
      <c r="S3282" s="135"/>
      <c r="T3282" s="135"/>
      <c r="U3282" s="135"/>
      <c r="V3282" s="135"/>
      <c r="W3282" s="135"/>
      <c r="X3282" s="135"/>
      <c r="Y3282" s="135"/>
      <c r="Z3282" s="135"/>
    </row>
    <row r="3283" spans="1:26" ht="12.75">
      <c r="A3283" s="136" t="s">
        <v>10</v>
      </c>
      <c r="B3283" s="136" t="s">
        <v>7833</v>
      </c>
      <c r="C3283" s="136" t="s">
        <v>526</v>
      </c>
      <c r="D3283" s="136" t="s">
        <v>139</v>
      </c>
      <c r="E3283" s="136" t="s">
        <v>594</v>
      </c>
      <c r="F3283" s="136">
        <v>99</v>
      </c>
      <c r="G3283" s="137">
        <f t="shared" si="12"/>
        <v>4</v>
      </c>
      <c r="H3283" s="137"/>
      <c r="I3283" s="137"/>
      <c r="J3283" s="135"/>
      <c r="K3283" s="135"/>
      <c r="L3283" s="135"/>
      <c r="M3283" s="135"/>
      <c r="N3283" s="135"/>
      <c r="O3283" s="135"/>
      <c r="P3283" s="135"/>
      <c r="Q3283" s="135"/>
      <c r="R3283" s="135"/>
      <c r="S3283" s="135"/>
      <c r="T3283" s="135"/>
      <c r="U3283" s="135"/>
      <c r="V3283" s="135"/>
      <c r="W3283" s="135"/>
      <c r="X3283" s="135"/>
      <c r="Y3283" s="135"/>
      <c r="Z3283" s="135"/>
    </row>
    <row r="3284" spans="1:26" ht="12.75">
      <c r="A3284" s="136" t="s">
        <v>10</v>
      </c>
      <c r="B3284" s="136" t="s">
        <v>7833</v>
      </c>
      <c r="C3284" s="136" t="s">
        <v>526</v>
      </c>
      <c r="D3284" s="136" t="s">
        <v>136</v>
      </c>
      <c r="E3284" s="136" t="s">
        <v>615</v>
      </c>
      <c r="F3284" s="136">
        <v>66</v>
      </c>
      <c r="G3284" s="137">
        <f t="shared" si="12"/>
        <v>5</v>
      </c>
      <c r="H3284" s="137"/>
      <c r="I3284" s="137"/>
      <c r="J3284" s="135"/>
      <c r="K3284" s="135"/>
      <c r="L3284" s="135"/>
      <c r="M3284" s="135"/>
      <c r="N3284" s="135"/>
      <c r="O3284" s="135"/>
      <c r="P3284" s="135"/>
      <c r="Q3284" s="135"/>
      <c r="R3284" s="135"/>
      <c r="S3284" s="135"/>
      <c r="T3284" s="135"/>
      <c r="U3284" s="135"/>
      <c r="V3284" s="135"/>
      <c r="W3284" s="135"/>
      <c r="X3284" s="135"/>
      <c r="Y3284" s="135"/>
      <c r="Z3284" s="135"/>
    </row>
    <row r="3285" spans="1:26" ht="12.75">
      <c r="A3285" s="136" t="s">
        <v>10</v>
      </c>
      <c r="B3285" s="136" t="s">
        <v>7833</v>
      </c>
      <c r="C3285" s="136" t="s">
        <v>526</v>
      </c>
      <c r="D3285" s="136" t="s">
        <v>7481</v>
      </c>
      <c r="E3285" s="136" t="s">
        <v>615</v>
      </c>
      <c r="F3285" s="136">
        <v>61</v>
      </c>
      <c r="G3285" s="137">
        <f t="shared" si="12"/>
        <v>6</v>
      </c>
      <c r="H3285" s="137"/>
      <c r="I3285" s="137"/>
      <c r="J3285" s="135"/>
      <c r="K3285" s="135"/>
      <c r="L3285" s="135"/>
      <c r="M3285" s="135"/>
      <c r="N3285" s="135"/>
      <c r="O3285" s="135"/>
      <c r="P3285" s="135"/>
      <c r="Q3285" s="135"/>
      <c r="R3285" s="135"/>
      <c r="S3285" s="135"/>
      <c r="T3285" s="135"/>
      <c r="U3285" s="135"/>
      <c r="V3285" s="135"/>
      <c r="W3285" s="135"/>
      <c r="X3285" s="135"/>
      <c r="Y3285" s="135"/>
      <c r="Z3285" s="135"/>
    </row>
    <row r="3286" spans="1:26" ht="12.75">
      <c r="A3286" s="136" t="s">
        <v>10</v>
      </c>
      <c r="B3286" s="136" t="s">
        <v>7833</v>
      </c>
      <c r="C3286" s="136" t="s">
        <v>526</v>
      </c>
      <c r="D3286" s="136" t="s">
        <v>437</v>
      </c>
      <c r="E3286" s="136" t="s">
        <v>594</v>
      </c>
      <c r="F3286" s="136">
        <v>49</v>
      </c>
      <c r="G3286" s="137">
        <f t="shared" si="12"/>
        <v>7</v>
      </c>
      <c r="H3286" s="137"/>
      <c r="I3286" s="137"/>
      <c r="J3286" s="135"/>
      <c r="K3286" s="135"/>
      <c r="L3286" s="135"/>
      <c r="M3286" s="135"/>
      <c r="N3286" s="135"/>
      <c r="O3286" s="135"/>
      <c r="P3286" s="135"/>
      <c r="Q3286" s="135"/>
      <c r="R3286" s="135"/>
      <c r="S3286" s="135"/>
      <c r="T3286" s="135"/>
      <c r="U3286" s="135"/>
      <c r="V3286" s="135"/>
      <c r="W3286" s="135"/>
      <c r="X3286" s="135"/>
      <c r="Y3286" s="135"/>
      <c r="Z3286" s="135"/>
    </row>
    <row r="3287" spans="1:26" ht="12.75">
      <c r="A3287" s="136" t="s">
        <v>10</v>
      </c>
      <c r="B3287" s="136" t="s">
        <v>7833</v>
      </c>
      <c r="C3287" s="136" t="s">
        <v>526</v>
      </c>
      <c r="D3287" s="136" t="s">
        <v>165</v>
      </c>
      <c r="E3287" s="136" t="s">
        <v>615</v>
      </c>
      <c r="F3287" s="136">
        <v>40</v>
      </c>
      <c r="G3287" s="137">
        <f t="shared" si="12"/>
        <v>8</v>
      </c>
      <c r="H3287" s="137"/>
      <c r="I3287" s="137"/>
      <c r="J3287" s="135"/>
      <c r="K3287" s="135"/>
      <c r="L3287" s="135"/>
      <c r="M3287" s="135"/>
      <c r="N3287" s="135"/>
      <c r="O3287" s="135"/>
      <c r="P3287" s="135"/>
      <c r="Q3287" s="135"/>
      <c r="R3287" s="135"/>
      <c r="S3287" s="135"/>
      <c r="T3287" s="135"/>
      <c r="U3287" s="135"/>
      <c r="V3287" s="135"/>
      <c r="W3287" s="135"/>
      <c r="X3287" s="135"/>
      <c r="Y3287" s="135"/>
      <c r="Z3287" s="135"/>
    </row>
    <row r="3288" spans="1:26" ht="12.75">
      <c r="A3288" s="136" t="s">
        <v>10</v>
      </c>
      <c r="B3288" s="136" t="s">
        <v>7833</v>
      </c>
      <c r="C3288" s="136" t="s">
        <v>526</v>
      </c>
      <c r="D3288" s="136" t="s">
        <v>368</v>
      </c>
      <c r="E3288" s="136" t="s">
        <v>594</v>
      </c>
      <c r="F3288" s="136">
        <v>30</v>
      </c>
      <c r="G3288" s="137">
        <f t="shared" si="12"/>
        <v>9</v>
      </c>
      <c r="H3288" s="137"/>
      <c r="I3288" s="137"/>
      <c r="J3288" s="135"/>
      <c r="K3288" s="135"/>
      <c r="L3288" s="135"/>
      <c r="M3288" s="135"/>
      <c r="N3288" s="135"/>
      <c r="O3288" s="135"/>
      <c r="P3288" s="135"/>
      <c r="Q3288" s="135"/>
      <c r="R3288" s="135"/>
      <c r="S3288" s="135"/>
      <c r="T3288" s="135"/>
      <c r="U3288" s="135"/>
      <c r="V3288" s="135"/>
      <c r="W3288" s="135"/>
      <c r="X3288" s="135"/>
      <c r="Y3288" s="135"/>
      <c r="Z3288" s="135"/>
    </row>
    <row r="3289" spans="1:26" ht="12.75">
      <c r="A3289" s="136" t="s">
        <v>10</v>
      </c>
      <c r="B3289" s="136" t="s">
        <v>7833</v>
      </c>
      <c r="C3289" s="136" t="s">
        <v>526</v>
      </c>
      <c r="D3289" s="136" t="s">
        <v>131</v>
      </c>
      <c r="E3289" s="136" t="s">
        <v>594</v>
      </c>
      <c r="F3289" s="136">
        <v>20</v>
      </c>
      <c r="G3289" s="137">
        <f t="shared" si="12"/>
        <v>10</v>
      </c>
      <c r="H3289" s="137"/>
      <c r="I3289" s="137"/>
      <c r="J3289" s="135"/>
      <c r="K3289" s="135"/>
      <c r="L3289" s="135"/>
      <c r="M3289" s="135"/>
      <c r="N3289" s="135"/>
      <c r="O3289" s="135"/>
      <c r="P3289" s="135"/>
      <c r="Q3289" s="135"/>
      <c r="R3289" s="135"/>
      <c r="S3289" s="135"/>
      <c r="T3289" s="135"/>
      <c r="U3289" s="135"/>
      <c r="V3289" s="135"/>
      <c r="W3289" s="135"/>
      <c r="X3289" s="135"/>
      <c r="Y3289" s="135"/>
      <c r="Z3289" s="135"/>
    </row>
    <row r="3290" spans="1:26" ht="12.75">
      <c r="A3290" s="136" t="s">
        <v>10</v>
      </c>
      <c r="B3290" s="136" t="s">
        <v>7833</v>
      </c>
      <c r="C3290" s="136" t="s">
        <v>526</v>
      </c>
      <c r="D3290" s="136" t="s">
        <v>1656</v>
      </c>
      <c r="E3290" s="136" t="s">
        <v>615</v>
      </c>
      <c r="F3290" s="136">
        <v>12</v>
      </c>
      <c r="G3290" s="137">
        <f t="shared" si="12"/>
        <v>11</v>
      </c>
      <c r="H3290" s="137"/>
      <c r="I3290" s="137"/>
      <c r="J3290" s="135"/>
      <c r="K3290" s="135"/>
      <c r="L3290" s="135"/>
      <c r="M3290" s="135"/>
      <c r="N3290" s="135"/>
      <c r="O3290" s="135"/>
      <c r="P3290" s="135"/>
      <c r="Q3290" s="135"/>
      <c r="R3290" s="135"/>
      <c r="S3290" s="135"/>
      <c r="T3290" s="135"/>
      <c r="U3290" s="135"/>
      <c r="V3290" s="135"/>
      <c r="W3290" s="135"/>
      <c r="X3290" s="135"/>
      <c r="Y3290" s="135"/>
      <c r="Z3290" s="135"/>
    </row>
    <row r="3291" spans="1:26" ht="12.75">
      <c r="A3291" s="136" t="s">
        <v>10</v>
      </c>
      <c r="B3291" s="136" t="s">
        <v>7833</v>
      </c>
      <c r="C3291" s="136" t="s">
        <v>526</v>
      </c>
      <c r="D3291" s="136" t="s">
        <v>103</v>
      </c>
      <c r="E3291" s="136" t="s">
        <v>594</v>
      </c>
      <c r="F3291" s="136">
        <v>11</v>
      </c>
      <c r="G3291" s="137">
        <f t="shared" si="12"/>
        <v>12</v>
      </c>
      <c r="H3291" s="137"/>
      <c r="I3291" s="137"/>
      <c r="J3291" s="135"/>
      <c r="K3291" s="135"/>
      <c r="L3291" s="135"/>
      <c r="M3291" s="135"/>
      <c r="N3291" s="135"/>
      <c r="O3291" s="135"/>
      <c r="P3291" s="135"/>
      <c r="Q3291" s="135"/>
      <c r="R3291" s="135"/>
      <c r="S3291" s="135"/>
      <c r="T3291" s="135"/>
      <c r="U3291" s="135"/>
      <c r="V3291" s="135"/>
      <c r="W3291" s="135"/>
      <c r="X3291" s="135"/>
      <c r="Y3291" s="135"/>
      <c r="Z3291" s="135"/>
    </row>
    <row r="3292" spans="1:26" ht="12.75">
      <c r="A3292" s="136" t="s">
        <v>10</v>
      </c>
      <c r="B3292" s="136" t="s">
        <v>7833</v>
      </c>
      <c r="C3292" s="136" t="s">
        <v>526</v>
      </c>
      <c r="D3292" s="136" t="s">
        <v>1626</v>
      </c>
      <c r="E3292" s="136" t="s">
        <v>594</v>
      </c>
      <c r="F3292" s="136">
        <v>6</v>
      </c>
      <c r="G3292" s="137">
        <f t="shared" si="12"/>
        <v>13</v>
      </c>
      <c r="H3292" s="137"/>
      <c r="I3292" s="137"/>
      <c r="J3292" s="135"/>
      <c r="K3292" s="135"/>
      <c r="L3292" s="135"/>
      <c r="M3292" s="135"/>
      <c r="N3292" s="135"/>
      <c r="O3292" s="135"/>
      <c r="P3292" s="135"/>
      <c r="Q3292" s="135"/>
      <c r="R3292" s="135"/>
      <c r="S3292" s="135"/>
      <c r="T3292" s="135"/>
      <c r="U3292" s="135"/>
      <c r="V3292" s="135"/>
      <c r="W3292" s="135"/>
      <c r="X3292" s="135"/>
      <c r="Y3292" s="135"/>
      <c r="Z3292" s="135"/>
    </row>
    <row r="3293" spans="1:26" ht="12.75">
      <c r="A3293" s="136" t="s">
        <v>10</v>
      </c>
      <c r="B3293" s="136" t="s">
        <v>7833</v>
      </c>
      <c r="C3293" s="136" t="s">
        <v>495</v>
      </c>
      <c r="D3293" s="136" t="s">
        <v>7544</v>
      </c>
      <c r="E3293" s="136" t="s">
        <v>615</v>
      </c>
      <c r="F3293" s="136">
        <v>2362</v>
      </c>
      <c r="G3293" s="137">
        <f t="shared" si="12"/>
        <v>1</v>
      </c>
      <c r="H3293" s="137"/>
      <c r="I3293" s="137"/>
      <c r="J3293" s="135"/>
      <c r="K3293" s="135"/>
      <c r="L3293" s="135"/>
      <c r="M3293" s="135"/>
      <c r="N3293" s="135"/>
      <c r="O3293" s="135"/>
      <c r="P3293" s="135"/>
      <c r="Q3293" s="135"/>
      <c r="R3293" s="135"/>
      <c r="S3293" s="135"/>
      <c r="T3293" s="135"/>
      <c r="U3293" s="135"/>
      <c r="V3293" s="135"/>
      <c r="W3293" s="135"/>
      <c r="X3293" s="135"/>
      <c r="Y3293" s="135"/>
      <c r="Z3293" s="135"/>
    </row>
    <row r="3294" spans="1:26" ht="12.75">
      <c r="A3294" s="136" t="s">
        <v>10</v>
      </c>
      <c r="B3294" s="136" t="s">
        <v>7833</v>
      </c>
      <c r="C3294" s="136" t="s">
        <v>495</v>
      </c>
      <c r="D3294" s="136" t="s">
        <v>139</v>
      </c>
      <c r="E3294" s="136" t="s">
        <v>594</v>
      </c>
      <c r="F3294" s="136">
        <v>1818</v>
      </c>
      <c r="G3294" s="137">
        <f t="shared" si="12"/>
        <v>2</v>
      </c>
      <c r="H3294" s="137"/>
      <c r="I3294" s="137"/>
      <c r="J3294" s="135"/>
      <c r="K3294" s="135"/>
      <c r="L3294" s="135"/>
      <c r="M3294" s="135"/>
      <c r="N3294" s="135"/>
      <c r="O3294" s="135"/>
      <c r="P3294" s="135"/>
      <c r="Q3294" s="135"/>
      <c r="R3294" s="135"/>
      <c r="S3294" s="135"/>
      <c r="T3294" s="135"/>
      <c r="U3294" s="135"/>
      <c r="V3294" s="135"/>
      <c r="W3294" s="135"/>
      <c r="X3294" s="135"/>
      <c r="Y3294" s="135"/>
      <c r="Z3294" s="135"/>
    </row>
    <row r="3295" spans="1:26" ht="12.75">
      <c r="A3295" s="136" t="s">
        <v>10</v>
      </c>
      <c r="B3295" s="136" t="s">
        <v>7833</v>
      </c>
      <c r="C3295" s="136" t="s">
        <v>495</v>
      </c>
      <c r="D3295" s="136" t="s">
        <v>114</v>
      </c>
      <c r="E3295" s="136" t="s">
        <v>85</v>
      </c>
      <c r="F3295" s="136">
        <v>956</v>
      </c>
      <c r="G3295" s="137">
        <f t="shared" si="12"/>
        <v>3</v>
      </c>
      <c r="H3295" s="137"/>
      <c r="I3295" s="137"/>
      <c r="J3295" s="135"/>
      <c r="K3295" s="135"/>
      <c r="L3295" s="135"/>
      <c r="M3295" s="135"/>
      <c r="N3295" s="135"/>
      <c r="O3295" s="135"/>
      <c r="P3295" s="135"/>
      <c r="Q3295" s="135"/>
      <c r="R3295" s="135"/>
      <c r="S3295" s="135"/>
      <c r="T3295" s="135"/>
      <c r="U3295" s="135"/>
      <c r="V3295" s="135"/>
      <c r="W3295" s="135"/>
      <c r="X3295" s="135"/>
      <c r="Y3295" s="135"/>
      <c r="Z3295" s="135"/>
    </row>
    <row r="3296" spans="1:26" ht="12.75">
      <c r="A3296" s="136" t="s">
        <v>10</v>
      </c>
      <c r="B3296" s="136" t="s">
        <v>7833</v>
      </c>
      <c r="C3296" s="136" t="s">
        <v>495</v>
      </c>
      <c r="D3296" s="136" t="s">
        <v>437</v>
      </c>
      <c r="E3296" s="136" t="s">
        <v>594</v>
      </c>
      <c r="F3296" s="136">
        <v>311</v>
      </c>
      <c r="G3296" s="137">
        <f t="shared" si="12"/>
        <v>4</v>
      </c>
      <c r="H3296" s="137"/>
      <c r="I3296" s="137"/>
      <c r="J3296" s="135"/>
      <c r="K3296" s="135"/>
      <c r="L3296" s="135"/>
      <c r="M3296" s="135"/>
      <c r="N3296" s="135"/>
      <c r="O3296" s="135"/>
      <c r="P3296" s="135"/>
      <c r="Q3296" s="135"/>
      <c r="R3296" s="135"/>
      <c r="S3296" s="135"/>
      <c r="T3296" s="135"/>
      <c r="U3296" s="135"/>
      <c r="V3296" s="135"/>
      <c r="W3296" s="135"/>
      <c r="X3296" s="135"/>
      <c r="Y3296" s="135"/>
      <c r="Z3296" s="135"/>
    </row>
    <row r="3297" spans="1:26" ht="12.75">
      <c r="A3297" s="136" t="s">
        <v>10</v>
      </c>
      <c r="B3297" s="136" t="s">
        <v>7833</v>
      </c>
      <c r="C3297" s="136" t="s">
        <v>495</v>
      </c>
      <c r="D3297" s="136" t="s">
        <v>1669</v>
      </c>
      <c r="E3297" s="136" t="s">
        <v>615</v>
      </c>
      <c r="F3297" s="136">
        <v>238</v>
      </c>
      <c r="G3297" s="137">
        <f t="shared" si="12"/>
        <v>5</v>
      </c>
      <c r="H3297" s="137"/>
      <c r="I3297" s="137"/>
      <c r="J3297" s="135"/>
      <c r="K3297" s="135"/>
      <c r="L3297" s="135"/>
      <c r="M3297" s="135"/>
      <c r="N3297" s="135"/>
      <c r="O3297" s="135"/>
      <c r="P3297" s="135"/>
      <c r="Q3297" s="135"/>
      <c r="R3297" s="135"/>
      <c r="S3297" s="135"/>
      <c r="T3297" s="135"/>
      <c r="U3297" s="135"/>
      <c r="V3297" s="135"/>
      <c r="W3297" s="135"/>
      <c r="X3297" s="135"/>
      <c r="Y3297" s="135"/>
      <c r="Z3297" s="135"/>
    </row>
    <row r="3298" spans="1:26" ht="12.75">
      <c r="A3298" s="136" t="s">
        <v>10</v>
      </c>
      <c r="B3298" s="136" t="s">
        <v>7833</v>
      </c>
      <c r="C3298" s="136" t="s">
        <v>495</v>
      </c>
      <c r="D3298" s="136" t="s">
        <v>1656</v>
      </c>
      <c r="E3298" s="136" t="s">
        <v>615</v>
      </c>
      <c r="F3298" s="136">
        <v>167</v>
      </c>
      <c r="G3298" s="137">
        <f t="shared" si="12"/>
        <v>6</v>
      </c>
      <c r="H3298" s="137"/>
      <c r="I3298" s="137"/>
      <c r="J3298" s="135"/>
      <c r="K3298" s="135"/>
      <c r="L3298" s="135"/>
      <c r="M3298" s="135"/>
      <c r="N3298" s="135"/>
      <c r="O3298" s="135"/>
      <c r="P3298" s="135"/>
      <c r="Q3298" s="135"/>
      <c r="R3298" s="135"/>
      <c r="S3298" s="135"/>
      <c r="T3298" s="135"/>
      <c r="U3298" s="135"/>
      <c r="V3298" s="135"/>
      <c r="W3298" s="135"/>
      <c r="X3298" s="135"/>
      <c r="Y3298" s="135"/>
      <c r="Z3298" s="135"/>
    </row>
    <row r="3299" spans="1:26" ht="12.75">
      <c r="A3299" s="136" t="s">
        <v>10</v>
      </c>
      <c r="B3299" s="136" t="s">
        <v>7833</v>
      </c>
      <c r="C3299" s="136" t="s">
        <v>495</v>
      </c>
      <c r="D3299" s="136" t="s">
        <v>7481</v>
      </c>
      <c r="E3299" s="136" t="s">
        <v>615</v>
      </c>
      <c r="F3299" s="136">
        <v>164</v>
      </c>
      <c r="G3299" s="137">
        <f t="shared" si="12"/>
        <v>7</v>
      </c>
      <c r="H3299" s="137"/>
      <c r="I3299" s="137"/>
      <c r="J3299" s="135"/>
      <c r="K3299" s="135"/>
      <c r="L3299" s="135"/>
      <c r="M3299" s="135"/>
      <c r="N3299" s="135"/>
      <c r="O3299" s="135"/>
      <c r="P3299" s="135"/>
      <c r="Q3299" s="135"/>
      <c r="R3299" s="135"/>
      <c r="S3299" s="135"/>
      <c r="T3299" s="135"/>
      <c r="U3299" s="135"/>
      <c r="V3299" s="135"/>
      <c r="W3299" s="135"/>
      <c r="X3299" s="135"/>
      <c r="Y3299" s="135"/>
      <c r="Z3299" s="135"/>
    </row>
    <row r="3300" spans="1:26" ht="12.75">
      <c r="A3300" s="136" t="s">
        <v>10</v>
      </c>
      <c r="B3300" s="136" t="s">
        <v>7833</v>
      </c>
      <c r="C3300" s="136" t="s">
        <v>495</v>
      </c>
      <c r="D3300" s="136" t="s">
        <v>368</v>
      </c>
      <c r="E3300" s="136" t="s">
        <v>594</v>
      </c>
      <c r="F3300" s="136">
        <v>124</v>
      </c>
      <c r="G3300" s="137">
        <f t="shared" si="12"/>
        <v>8</v>
      </c>
      <c r="H3300" s="137"/>
      <c r="I3300" s="137"/>
      <c r="J3300" s="135"/>
      <c r="K3300" s="135"/>
      <c r="L3300" s="135"/>
      <c r="M3300" s="135"/>
      <c r="N3300" s="135"/>
      <c r="O3300" s="135"/>
      <c r="P3300" s="135"/>
      <c r="Q3300" s="135"/>
      <c r="R3300" s="135"/>
      <c r="S3300" s="135"/>
      <c r="T3300" s="135"/>
      <c r="U3300" s="135"/>
      <c r="V3300" s="135"/>
      <c r="W3300" s="135"/>
      <c r="X3300" s="135"/>
      <c r="Y3300" s="135"/>
      <c r="Z3300" s="135"/>
    </row>
    <row r="3301" spans="1:26" ht="12.75">
      <c r="A3301" s="136" t="s">
        <v>10</v>
      </c>
      <c r="B3301" s="136" t="s">
        <v>7833</v>
      </c>
      <c r="C3301" s="136" t="s">
        <v>495</v>
      </c>
      <c r="D3301" s="136" t="s">
        <v>165</v>
      </c>
      <c r="E3301" s="136" t="s">
        <v>615</v>
      </c>
      <c r="F3301" s="136">
        <v>121</v>
      </c>
      <c r="G3301" s="137">
        <f t="shared" si="12"/>
        <v>9</v>
      </c>
      <c r="H3301" s="137"/>
      <c r="I3301" s="137"/>
      <c r="J3301" s="135"/>
      <c r="K3301" s="135"/>
      <c r="L3301" s="135"/>
      <c r="M3301" s="135"/>
      <c r="N3301" s="135"/>
      <c r="O3301" s="135"/>
      <c r="P3301" s="135"/>
      <c r="Q3301" s="135"/>
      <c r="R3301" s="135"/>
      <c r="S3301" s="135"/>
      <c r="T3301" s="135"/>
      <c r="U3301" s="135"/>
      <c r="V3301" s="135"/>
      <c r="W3301" s="135"/>
      <c r="X3301" s="135"/>
      <c r="Y3301" s="135"/>
      <c r="Z3301" s="135"/>
    </row>
    <row r="3302" spans="1:26" ht="12.75">
      <c r="A3302" s="136" t="s">
        <v>10</v>
      </c>
      <c r="B3302" s="136" t="s">
        <v>7833</v>
      </c>
      <c r="C3302" s="136" t="s">
        <v>495</v>
      </c>
      <c r="D3302" s="136" t="s">
        <v>467</v>
      </c>
      <c r="E3302" s="136" t="s">
        <v>85</v>
      </c>
      <c r="F3302" s="136">
        <v>111</v>
      </c>
      <c r="G3302" s="137">
        <f t="shared" si="12"/>
        <v>10</v>
      </c>
      <c r="H3302" s="137"/>
      <c r="I3302" s="137"/>
      <c r="J3302" s="135"/>
      <c r="K3302" s="135"/>
      <c r="L3302" s="135"/>
      <c r="M3302" s="135"/>
      <c r="N3302" s="135"/>
      <c r="O3302" s="135"/>
      <c r="P3302" s="135"/>
      <c r="Q3302" s="135"/>
      <c r="R3302" s="135"/>
      <c r="S3302" s="135"/>
      <c r="T3302" s="135"/>
      <c r="U3302" s="135"/>
      <c r="V3302" s="135"/>
      <c r="W3302" s="135"/>
      <c r="X3302" s="135"/>
      <c r="Y3302" s="135"/>
      <c r="Z3302" s="135"/>
    </row>
    <row r="3303" spans="1:26" ht="12.75">
      <c r="A3303" s="136" t="s">
        <v>10</v>
      </c>
      <c r="B3303" s="136" t="s">
        <v>7833</v>
      </c>
      <c r="C3303" s="136" t="s">
        <v>495</v>
      </c>
      <c r="D3303" s="136" t="s">
        <v>131</v>
      </c>
      <c r="E3303" s="136" t="s">
        <v>594</v>
      </c>
      <c r="F3303" s="136">
        <v>109</v>
      </c>
      <c r="G3303" s="137">
        <f t="shared" si="12"/>
        <v>11</v>
      </c>
      <c r="H3303" s="137"/>
      <c r="I3303" s="137"/>
      <c r="J3303" s="135"/>
      <c r="K3303" s="135"/>
      <c r="L3303" s="135"/>
      <c r="M3303" s="135"/>
      <c r="N3303" s="135"/>
      <c r="O3303" s="135"/>
      <c r="P3303" s="135"/>
      <c r="Q3303" s="135"/>
      <c r="R3303" s="135"/>
      <c r="S3303" s="135"/>
      <c r="T3303" s="135"/>
      <c r="U3303" s="135"/>
      <c r="V3303" s="135"/>
      <c r="W3303" s="135"/>
      <c r="X3303" s="135"/>
      <c r="Y3303" s="135"/>
      <c r="Z3303" s="135"/>
    </row>
    <row r="3304" spans="1:26" ht="12.75">
      <c r="A3304" s="136" t="s">
        <v>10</v>
      </c>
      <c r="B3304" s="136" t="s">
        <v>7833</v>
      </c>
      <c r="C3304" s="136" t="s">
        <v>495</v>
      </c>
      <c r="D3304" s="136" t="s">
        <v>1626</v>
      </c>
      <c r="E3304" s="136" t="s">
        <v>594</v>
      </c>
      <c r="F3304" s="136">
        <v>66</v>
      </c>
      <c r="G3304" s="137">
        <f t="shared" si="12"/>
        <v>12</v>
      </c>
      <c r="H3304" s="137"/>
      <c r="I3304" s="137"/>
      <c r="J3304" s="135"/>
      <c r="K3304" s="135"/>
      <c r="L3304" s="135"/>
      <c r="M3304" s="135"/>
      <c r="N3304" s="135"/>
      <c r="O3304" s="135"/>
      <c r="P3304" s="135"/>
      <c r="Q3304" s="135"/>
      <c r="R3304" s="135"/>
      <c r="S3304" s="135"/>
      <c r="T3304" s="135"/>
      <c r="U3304" s="135"/>
      <c r="V3304" s="135"/>
      <c r="W3304" s="135"/>
      <c r="X3304" s="135"/>
      <c r="Y3304" s="135"/>
      <c r="Z3304" s="135"/>
    </row>
    <row r="3305" spans="1:26" ht="12.75">
      <c r="A3305" s="136" t="s">
        <v>10</v>
      </c>
      <c r="B3305" s="136" t="s">
        <v>7833</v>
      </c>
      <c r="C3305" s="136" t="s">
        <v>495</v>
      </c>
      <c r="D3305" s="136" t="s">
        <v>7851</v>
      </c>
      <c r="E3305" s="136" t="s">
        <v>594</v>
      </c>
      <c r="F3305" s="136">
        <v>64</v>
      </c>
      <c r="G3305" s="137">
        <f t="shared" si="12"/>
        <v>13</v>
      </c>
      <c r="H3305" s="137"/>
      <c r="I3305" s="137"/>
      <c r="J3305" s="135"/>
      <c r="K3305" s="135"/>
      <c r="L3305" s="135"/>
      <c r="M3305" s="135"/>
      <c r="N3305" s="135"/>
      <c r="O3305" s="135"/>
      <c r="P3305" s="135"/>
      <c r="Q3305" s="135"/>
      <c r="R3305" s="135"/>
      <c r="S3305" s="135"/>
      <c r="T3305" s="135"/>
      <c r="U3305" s="135"/>
      <c r="V3305" s="135"/>
      <c r="W3305" s="135"/>
      <c r="X3305" s="135"/>
      <c r="Y3305" s="135"/>
      <c r="Z3305" s="135"/>
    </row>
    <row r="3306" spans="1:26" ht="12.75">
      <c r="A3306" s="136" t="s">
        <v>10</v>
      </c>
      <c r="B3306" s="136" t="s">
        <v>7833</v>
      </c>
      <c r="C3306" s="136" t="s">
        <v>495</v>
      </c>
      <c r="D3306" s="136" t="s">
        <v>7838</v>
      </c>
      <c r="E3306" s="136" t="s">
        <v>86</v>
      </c>
      <c r="F3306" s="136">
        <v>19</v>
      </c>
      <c r="G3306" s="137">
        <f t="shared" si="12"/>
        <v>14</v>
      </c>
      <c r="H3306" s="137"/>
      <c r="I3306" s="137"/>
      <c r="J3306" s="135"/>
      <c r="K3306" s="135"/>
      <c r="L3306" s="135"/>
      <c r="M3306" s="135"/>
      <c r="N3306" s="135"/>
      <c r="O3306" s="135"/>
      <c r="P3306" s="135"/>
      <c r="Q3306" s="135"/>
      <c r="R3306" s="135"/>
      <c r="S3306" s="135"/>
      <c r="T3306" s="135"/>
      <c r="U3306" s="135"/>
      <c r="V3306" s="135"/>
      <c r="W3306" s="135"/>
      <c r="X3306" s="135"/>
      <c r="Y3306" s="135"/>
      <c r="Z3306" s="135"/>
    </row>
    <row r="3307" spans="1:26" ht="12.75">
      <c r="A3307" s="136" t="s">
        <v>10</v>
      </c>
      <c r="B3307" s="136" t="s">
        <v>7855</v>
      </c>
      <c r="C3307" s="136" t="s">
        <v>7856</v>
      </c>
      <c r="D3307" s="136" t="s">
        <v>136</v>
      </c>
      <c r="E3307" s="136" t="s">
        <v>615</v>
      </c>
      <c r="F3307" s="136">
        <v>629</v>
      </c>
      <c r="G3307" s="137">
        <f t="shared" si="12"/>
        <v>1</v>
      </c>
      <c r="H3307" s="137"/>
      <c r="I3307" s="137"/>
      <c r="J3307" s="135"/>
      <c r="K3307" s="135"/>
      <c r="L3307" s="135"/>
      <c r="M3307" s="135"/>
      <c r="N3307" s="135"/>
      <c r="O3307" s="135"/>
      <c r="P3307" s="135"/>
      <c r="Q3307" s="135"/>
      <c r="R3307" s="135"/>
      <c r="S3307" s="135"/>
      <c r="T3307" s="135"/>
      <c r="U3307" s="135"/>
      <c r="V3307" s="135"/>
      <c r="W3307" s="135"/>
      <c r="X3307" s="135"/>
      <c r="Y3307" s="135"/>
      <c r="Z3307" s="135"/>
    </row>
    <row r="3308" spans="1:26" ht="12.75">
      <c r="A3308" s="136" t="s">
        <v>10</v>
      </c>
      <c r="B3308" s="136" t="s">
        <v>7855</v>
      </c>
      <c r="C3308" s="136" t="s">
        <v>7856</v>
      </c>
      <c r="D3308" s="136" t="s">
        <v>114</v>
      </c>
      <c r="E3308" s="136" t="s">
        <v>85</v>
      </c>
      <c r="F3308" s="136">
        <v>518</v>
      </c>
      <c r="G3308" s="137">
        <f t="shared" si="12"/>
        <v>2</v>
      </c>
      <c r="H3308" s="137"/>
      <c r="I3308" s="137"/>
      <c r="J3308" s="135"/>
      <c r="K3308" s="135"/>
      <c r="L3308" s="135"/>
      <c r="M3308" s="135"/>
      <c r="N3308" s="135"/>
      <c r="O3308" s="135"/>
      <c r="P3308" s="135"/>
      <c r="Q3308" s="135"/>
      <c r="R3308" s="135"/>
      <c r="S3308" s="135"/>
      <c r="T3308" s="135"/>
      <c r="U3308" s="135"/>
      <c r="V3308" s="135"/>
      <c r="W3308" s="135"/>
      <c r="X3308" s="135"/>
      <c r="Y3308" s="135"/>
      <c r="Z3308" s="135"/>
    </row>
    <row r="3309" spans="1:26" ht="12.75">
      <c r="A3309" s="136" t="s">
        <v>10</v>
      </c>
      <c r="B3309" s="136" t="s">
        <v>7855</v>
      </c>
      <c r="C3309" s="136" t="s">
        <v>7856</v>
      </c>
      <c r="D3309" s="136" t="s">
        <v>139</v>
      </c>
      <c r="E3309" s="136" t="s">
        <v>594</v>
      </c>
      <c r="F3309" s="136">
        <v>509</v>
      </c>
      <c r="G3309" s="137">
        <f t="shared" si="12"/>
        <v>3</v>
      </c>
      <c r="H3309" s="137"/>
      <c r="I3309" s="137"/>
      <c r="J3309" s="135"/>
      <c r="K3309" s="135"/>
      <c r="L3309" s="135"/>
      <c r="M3309" s="135"/>
      <c r="N3309" s="135"/>
      <c r="O3309" s="135"/>
      <c r="P3309" s="135"/>
      <c r="Q3309" s="135"/>
      <c r="R3309" s="135"/>
      <c r="S3309" s="135"/>
      <c r="T3309" s="135"/>
      <c r="U3309" s="135"/>
      <c r="V3309" s="135"/>
      <c r="W3309" s="135"/>
      <c r="X3309" s="135"/>
      <c r="Y3309" s="135"/>
      <c r="Z3309" s="135"/>
    </row>
    <row r="3310" spans="1:26" ht="12.75">
      <c r="A3310" s="136" t="s">
        <v>10</v>
      </c>
      <c r="B3310" s="136" t="s">
        <v>7855</v>
      </c>
      <c r="C3310" s="136" t="s">
        <v>7856</v>
      </c>
      <c r="D3310" s="136" t="s">
        <v>7857</v>
      </c>
      <c r="E3310" s="136" t="s">
        <v>615</v>
      </c>
      <c r="F3310" s="136">
        <v>302</v>
      </c>
      <c r="G3310" s="137">
        <f t="shared" si="12"/>
        <v>4</v>
      </c>
      <c r="H3310" s="137"/>
      <c r="I3310" s="137"/>
      <c r="J3310" s="135"/>
      <c r="K3310" s="135"/>
      <c r="L3310" s="135"/>
      <c r="M3310" s="135"/>
      <c r="N3310" s="135"/>
      <c r="O3310" s="135"/>
      <c r="P3310" s="135"/>
      <c r="Q3310" s="135"/>
      <c r="R3310" s="135"/>
      <c r="S3310" s="135"/>
      <c r="T3310" s="135"/>
      <c r="U3310" s="135"/>
      <c r="V3310" s="135"/>
      <c r="W3310" s="135"/>
      <c r="X3310" s="135"/>
      <c r="Y3310" s="135"/>
      <c r="Z3310" s="135"/>
    </row>
    <row r="3311" spans="1:26" ht="12.75">
      <c r="A3311" s="136" t="s">
        <v>10</v>
      </c>
      <c r="B3311" s="136" t="s">
        <v>7855</v>
      </c>
      <c r="C3311" s="136" t="s">
        <v>7856</v>
      </c>
      <c r="D3311" s="136" t="s">
        <v>437</v>
      </c>
      <c r="E3311" s="136" t="s">
        <v>594</v>
      </c>
      <c r="F3311" s="136">
        <v>263</v>
      </c>
      <c r="G3311" s="137">
        <f t="shared" si="12"/>
        <v>5</v>
      </c>
      <c r="H3311" s="137"/>
      <c r="I3311" s="137"/>
      <c r="J3311" s="135"/>
      <c r="K3311" s="135"/>
      <c r="L3311" s="135"/>
      <c r="M3311" s="135"/>
      <c r="N3311" s="135"/>
      <c r="O3311" s="135"/>
      <c r="P3311" s="135"/>
      <c r="Q3311" s="135"/>
      <c r="R3311" s="135"/>
      <c r="S3311" s="135"/>
      <c r="T3311" s="135"/>
      <c r="U3311" s="135"/>
      <c r="V3311" s="135"/>
      <c r="W3311" s="135"/>
      <c r="X3311" s="135"/>
      <c r="Y3311" s="135"/>
      <c r="Z3311" s="135"/>
    </row>
    <row r="3312" spans="1:26" ht="12.75">
      <c r="A3312" s="136" t="s">
        <v>10</v>
      </c>
      <c r="B3312" s="136" t="s">
        <v>7855</v>
      </c>
      <c r="C3312" s="136" t="s">
        <v>7856</v>
      </c>
      <c r="D3312" s="136" t="s">
        <v>7481</v>
      </c>
      <c r="E3312" s="136" t="s">
        <v>615</v>
      </c>
      <c r="F3312" s="136">
        <v>236</v>
      </c>
      <c r="G3312" s="137">
        <f t="shared" si="12"/>
        <v>6</v>
      </c>
      <c r="H3312" s="137"/>
      <c r="I3312" s="137"/>
      <c r="J3312" s="135"/>
      <c r="K3312" s="135"/>
      <c r="L3312" s="135"/>
      <c r="M3312" s="135"/>
      <c r="N3312" s="135"/>
      <c r="O3312" s="135"/>
      <c r="P3312" s="135"/>
      <c r="Q3312" s="135"/>
      <c r="R3312" s="135"/>
      <c r="S3312" s="135"/>
      <c r="T3312" s="135"/>
      <c r="U3312" s="135"/>
      <c r="V3312" s="135"/>
      <c r="W3312" s="135"/>
      <c r="X3312" s="135"/>
      <c r="Y3312" s="135"/>
      <c r="Z3312" s="135"/>
    </row>
    <row r="3313" spans="1:26" ht="12.75">
      <c r="A3313" s="136" t="s">
        <v>10</v>
      </c>
      <c r="B3313" s="136" t="s">
        <v>7855</v>
      </c>
      <c r="C3313" s="136" t="s">
        <v>7856</v>
      </c>
      <c r="D3313" s="136" t="s">
        <v>1669</v>
      </c>
      <c r="E3313" s="136" t="s">
        <v>615</v>
      </c>
      <c r="F3313" s="136">
        <v>125</v>
      </c>
      <c r="G3313" s="137">
        <f t="shared" si="12"/>
        <v>7</v>
      </c>
      <c r="H3313" s="137"/>
      <c r="I3313" s="137"/>
      <c r="J3313" s="135"/>
      <c r="K3313" s="135"/>
      <c r="L3313" s="135"/>
      <c r="M3313" s="135"/>
      <c r="N3313" s="135"/>
      <c r="O3313" s="135"/>
      <c r="P3313" s="135"/>
      <c r="Q3313" s="135"/>
      <c r="R3313" s="135"/>
      <c r="S3313" s="135"/>
      <c r="T3313" s="135"/>
      <c r="U3313" s="135"/>
      <c r="V3313" s="135"/>
      <c r="W3313" s="135"/>
      <c r="X3313" s="135"/>
      <c r="Y3313" s="135"/>
      <c r="Z3313" s="135"/>
    </row>
    <row r="3314" spans="1:26" ht="12.75">
      <c r="A3314" s="136" t="s">
        <v>10</v>
      </c>
      <c r="B3314" s="136" t="s">
        <v>7855</v>
      </c>
      <c r="C3314" s="136" t="s">
        <v>7856</v>
      </c>
      <c r="D3314" s="136" t="s">
        <v>467</v>
      </c>
      <c r="E3314" s="136" t="s">
        <v>85</v>
      </c>
      <c r="F3314" s="136">
        <v>120</v>
      </c>
      <c r="G3314" s="137">
        <f t="shared" si="12"/>
        <v>8</v>
      </c>
      <c r="H3314" s="137"/>
      <c r="I3314" s="137"/>
      <c r="J3314" s="135"/>
      <c r="K3314" s="135"/>
      <c r="L3314" s="135"/>
      <c r="M3314" s="135"/>
      <c r="N3314" s="135"/>
      <c r="O3314" s="135"/>
      <c r="P3314" s="135"/>
      <c r="Q3314" s="135"/>
      <c r="R3314" s="135"/>
      <c r="S3314" s="135"/>
      <c r="T3314" s="135"/>
      <c r="U3314" s="135"/>
      <c r="V3314" s="135"/>
      <c r="W3314" s="135"/>
      <c r="X3314" s="135"/>
      <c r="Y3314" s="135"/>
      <c r="Z3314" s="135"/>
    </row>
    <row r="3315" spans="1:26" ht="12.75">
      <c r="A3315" s="136" t="s">
        <v>10</v>
      </c>
      <c r="B3315" s="136" t="s">
        <v>7855</v>
      </c>
      <c r="C3315" s="136" t="s">
        <v>7856</v>
      </c>
      <c r="D3315" s="136" t="s">
        <v>368</v>
      </c>
      <c r="E3315" s="136" t="s">
        <v>594</v>
      </c>
      <c r="F3315" s="136">
        <v>79</v>
      </c>
      <c r="G3315" s="137">
        <f t="shared" si="12"/>
        <v>9</v>
      </c>
      <c r="H3315" s="137"/>
      <c r="I3315" s="137"/>
      <c r="J3315" s="135"/>
      <c r="K3315" s="135"/>
      <c r="L3315" s="135"/>
      <c r="M3315" s="135"/>
      <c r="N3315" s="135"/>
      <c r="O3315" s="135"/>
      <c r="P3315" s="135"/>
      <c r="Q3315" s="135"/>
      <c r="R3315" s="135"/>
      <c r="S3315" s="135"/>
      <c r="T3315" s="135"/>
      <c r="U3315" s="135"/>
      <c r="V3315" s="135"/>
      <c r="W3315" s="135"/>
      <c r="X3315" s="135"/>
      <c r="Y3315" s="135"/>
      <c r="Z3315" s="135"/>
    </row>
    <row r="3316" spans="1:26" ht="12.75">
      <c r="A3316" s="136" t="s">
        <v>10</v>
      </c>
      <c r="B3316" s="136" t="s">
        <v>7855</v>
      </c>
      <c r="C3316" s="136" t="s">
        <v>7856</v>
      </c>
      <c r="D3316" s="136" t="s">
        <v>103</v>
      </c>
      <c r="E3316" s="136" t="s">
        <v>594</v>
      </c>
      <c r="F3316" s="136">
        <v>35</v>
      </c>
      <c r="G3316" s="137">
        <f t="shared" si="12"/>
        <v>10</v>
      </c>
      <c r="H3316" s="137"/>
      <c r="I3316" s="137"/>
      <c r="J3316" s="135"/>
      <c r="K3316" s="135"/>
      <c r="L3316" s="135"/>
      <c r="M3316" s="135"/>
      <c r="N3316" s="135"/>
      <c r="O3316" s="135"/>
      <c r="P3316" s="135"/>
      <c r="Q3316" s="135"/>
      <c r="R3316" s="135"/>
      <c r="S3316" s="135"/>
      <c r="T3316" s="135"/>
      <c r="U3316" s="135"/>
      <c r="V3316" s="135"/>
      <c r="W3316" s="135"/>
      <c r="X3316" s="135"/>
      <c r="Y3316" s="135"/>
      <c r="Z3316" s="135"/>
    </row>
    <row r="3317" spans="1:26" ht="12.75">
      <c r="A3317" s="136" t="s">
        <v>10</v>
      </c>
      <c r="B3317" s="136" t="s">
        <v>7855</v>
      </c>
      <c r="C3317" s="136" t="s">
        <v>7856</v>
      </c>
      <c r="D3317" s="136" t="s">
        <v>1656</v>
      </c>
      <c r="E3317" s="136" t="s">
        <v>615</v>
      </c>
      <c r="F3317" s="136">
        <v>30</v>
      </c>
      <c r="G3317" s="137">
        <f t="shared" ref="G3317:G3571" si="13">COUNTIFS($C:$C,C3317,$F:$F,"&gt;"&amp;F3317)
 + COUNTIFS($C$2:C3317,C3317,$F$2:F3317,F3317)</f>
        <v>11</v>
      </c>
      <c r="H3317" s="137"/>
      <c r="I3317" s="137"/>
      <c r="J3317" s="135"/>
      <c r="K3317" s="135"/>
      <c r="L3317" s="135"/>
      <c r="M3317" s="135"/>
      <c r="N3317" s="135"/>
      <c r="O3317" s="135"/>
      <c r="P3317" s="135"/>
      <c r="Q3317" s="135"/>
      <c r="R3317" s="135"/>
      <c r="S3317" s="135"/>
      <c r="T3317" s="135"/>
      <c r="U3317" s="135"/>
      <c r="V3317" s="135"/>
      <c r="W3317" s="135"/>
      <c r="X3317" s="135"/>
      <c r="Y3317" s="135"/>
      <c r="Z3317" s="135"/>
    </row>
    <row r="3318" spans="1:26" ht="12.75">
      <c r="A3318" s="136" t="s">
        <v>10</v>
      </c>
      <c r="B3318" s="136" t="s">
        <v>7855</v>
      </c>
      <c r="C3318" s="136" t="s">
        <v>7856</v>
      </c>
      <c r="D3318" s="136" t="s">
        <v>1626</v>
      </c>
      <c r="E3318" s="136" t="s">
        <v>594</v>
      </c>
      <c r="F3318" s="136">
        <v>23</v>
      </c>
      <c r="G3318" s="137">
        <f t="shared" si="13"/>
        <v>12</v>
      </c>
      <c r="H3318" s="137"/>
      <c r="I3318" s="137"/>
      <c r="J3318" s="135"/>
      <c r="K3318" s="135"/>
      <c r="L3318" s="135"/>
      <c r="M3318" s="135"/>
      <c r="N3318" s="135"/>
      <c r="O3318" s="135"/>
      <c r="P3318" s="135"/>
      <c r="Q3318" s="135"/>
      <c r="R3318" s="135"/>
      <c r="S3318" s="135"/>
      <c r="T3318" s="135"/>
      <c r="U3318" s="135"/>
      <c r="V3318" s="135"/>
      <c r="W3318" s="135"/>
      <c r="X3318" s="135"/>
      <c r="Y3318" s="135"/>
      <c r="Z3318" s="135"/>
    </row>
    <row r="3319" spans="1:26" ht="12.75">
      <c r="A3319" s="136" t="s">
        <v>10</v>
      </c>
      <c r="B3319" s="136" t="s">
        <v>7855</v>
      </c>
      <c r="C3319" s="136" t="s">
        <v>7856</v>
      </c>
      <c r="D3319" s="136" t="s">
        <v>7838</v>
      </c>
      <c r="E3319" s="136" t="s">
        <v>86</v>
      </c>
      <c r="F3319" s="136">
        <v>4</v>
      </c>
      <c r="G3319" s="137">
        <f t="shared" si="13"/>
        <v>13</v>
      </c>
      <c r="H3319" s="137"/>
      <c r="I3319" s="137"/>
      <c r="J3319" s="135"/>
      <c r="K3319" s="135"/>
      <c r="L3319" s="135"/>
      <c r="M3319" s="135"/>
      <c r="N3319" s="135"/>
      <c r="O3319" s="135"/>
      <c r="P3319" s="135"/>
      <c r="Q3319" s="135"/>
      <c r="R3319" s="135"/>
      <c r="S3319" s="135"/>
      <c r="T3319" s="135"/>
      <c r="U3319" s="135"/>
      <c r="V3319" s="135"/>
      <c r="W3319" s="135"/>
      <c r="X3319" s="135"/>
      <c r="Y3319" s="135"/>
      <c r="Z3319" s="135"/>
    </row>
    <row r="3320" spans="1:26" ht="12.75">
      <c r="A3320" s="136" t="s">
        <v>10</v>
      </c>
      <c r="B3320" s="136" t="s">
        <v>7855</v>
      </c>
      <c r="C3320" s="136" t="s">
        <v>7858</v>
      </c>
      <c r="D3320" s="136" t="s">
        <v>114</v>
      </c>
      <c r="E3320" s="136" t="s">
        <v>85</v>
      </c>
      <c r="F3320" s="136">
        <v>942</v>
      </c>
      <c r="G3320" s="137">
        <f t="shared" si="13"/>
        <v>1</v>
      </c>
      <c r="H3320" s="137"/>
      <c r="I3320" s="137"/>
      <c r="J3320" s="135"/>
      <c r="K3320" s="135"/>
      <c r="L3320" s="135"/>
      <c r="M3320" s="135"/>
      <c r="N3320" s="135"/>
      <c r="O3320" s="135"/>
      <c r="P3320" s="135"/>
      <c r="Q3320" s="135"/>
      <c r="R3320" s="135"/>
      <c r="S3320" s="135"/>
      <c r="T3320" s="135"/>
      <c r="U3320" s="135"/>
      <c r="V3320" s="135"/>
      <c r="W3320" s="135"/>
      <c r="X3320" s="135"/>
      <c r="Y3320" s="135"/>
      <c r="Z3320" s="135"/>
    </row>
    <row r="3321" spans="1:26" ht="12.75">
      <c r="A3321" s="136" t="s">
        <v>10</v>
      </c>
      <c r="B3321" s="136" t="s">
        <v>7855</v>
      </c>
      <c r="C3321" s="136" t="s">
        <v>7858</v>
      </c>
      <c r="D3321" s="136" t="s">
        <v>136</v>
      </c>
      <c r="E3321" s="136" t="s">
        <v>615</v>
      </c>
      <c r="F3321" s="136">
        <v>825</v>
      </c>
      <c r="G3321" s="137">
        <f t="shared" si="13"/>
        <v>2</v>
      </c>
      <c r="H3321" s="137"/>
      <c r="I3321" s="137"/>
      <c r="J3321" s="135"/>
      <c r="K3321" s="135"/>
      <c r="L3321" s="135"/>
      <c r="M3321" s="135"/>
      <c r="N3321" s="135"/>
      <c r="O3321" s="135"/>
      <c r="P3321" s="135"/>
      <c r="Q3321" s="135"/>
      <c r="R3321" s="135"/>
      <c r="S3321" s="135"/>
      <c r="T3321" s="135"/>
      <c r="U3321" s="135"/>
      <c r="V3321" s="135"/>
      <c r="W3321" s="135"/>
      <c r="X3321" s="135"/>
      <c r="Y3321" s="135"/>
      <c r="Z3321" s="135"/>
    </row>
    <row r="3322" spans="1:26" ht="12.75">
      <c r="A3322" s="136" t="s">
        <v>10</v>
      </c>
      <c r="B3322" s="136" t="s">
        <v>7855</v>
      </c>
      <c r="C3322" s="136" t="s">
        <v>7858</v>
      </c>
      <c r="D3322" s="136" t="s">
        <v>1669</v>
      </c>
      <c r="E3322" s="136" t="s">
        <v>615</v>
      </c>
      <c r="F3322" s="136">
        <v>265</v>
      </c>
      <c r="G3322" s="137">
        <f t="shared" si="13"/>
        <v>3</v>
      </c>
      <c r="H3322" s="137"/>
      <c r="I3322" s="137"/>
      <c r="J3322" s="135"/>
      <c r="K3322" s="135"/>
      <c r="L3322" s="135"/>
      <c r="M3322" s="135"/>
      <c r="N3322" s="135"/>
      <c r="O3322" s="135"/>
      <c r="P3322" s="135"/>
      <c r="Q3322" s="135"/>
      <c r="R3322" s="135"/>
      <c r="S3322" s="135"/>
      <c r="T3322" s="135"/>
      <c r="U3322" s="135"/>
      <c r="V3322" s="135"/>
      <c r="W3322" s="135"/>
      <c r="X3322" s="135"/>
      <c r="Y3322" s="135"/>
      <c r="Z3322" s="135"/>
    </row>
    <row r="3323" spans="1:26" ht="12.75">
      <c r="A3323" s="136" t="s">
        <v>10</v>
      </c>
      <c r="B3323" s="136" t="s">
        <v>7855</v>
      </c>
      <c r="C3323" s="136" t="s">
        <v>7858</v>
      </c>
      <c r="D3323" s="136" t="s">
        <v>7857</v>
      </c>
      <c r="E3323" s="136" t="s">
        <v>615</v>
      </c>
      <c r="F3323" s="136">
        <v>256</v>
      </c>
      <c r="G3323" s="137">
        <f t="shared" si="13"/>
        <v>4</v>
      </c>
      <c r="H3323" s="137"/>
      <c r="I3323" s="137"/>
      <c r="J3323" s="135"/>
      <c r="K3323" s="135"/>
      <c r="L3323" s="135"/>
      <c r="M3323" s="135"/>
      <c r="N3323" s="135"/>
      <c r="O3323" s="135"/>
      <c r="P3323" s="135"/>
      <c r="Q3323" s="135"/>
      <c r="R3323" s="135"/>
      <c r="S3323" s="135"/>
      <c r="T3323" s="135"/>
      <c r="U3323" s="135"/>
      <c r="V3323" s="135"/>
      <c r="W3323" s="135"/>
      <c r="X3323" s="135"/>
      <c r="Y3323" s="135"/>
      <c r="Z3323" s="135"/>
    </row>
    <row r="3324" spans="1:26" ht="12.75">
      <c r="A3324" s="136" t="s">
        <v>10</v>
      </c>
      <c r="B3324" s="136" t="s">
        <v>7855</v>
      </c>
      <c r="C3324" s="136" t="s">
        <v>7858</v>
      </c>
      <c r="D3324" s="136" t="s">
        <v>7481</v>
      </c>
      <c r="E3324" s="136" t="s">
        <v>615</v>
      </c>
      <c r="F3324" s="136">
        <v>212</v>
      </c>
      <c r="G3324" s="137">
        <f t="shared" si="13"/>
        <v>5</v>
      </c>
      <c r="H3324" s="137"/>
      <c r="I3324" s="137"/>
      <c r="J3324" s="135"/>
      <c r="K3324" s="135"/>
      <c r="L3324" s="135"/>
      <c r="M3324" s="135"/>
      <c r="N3324" s="135"/>
      <c r="O3324" s="135"/>
      <c r="P3324" s="135"/>
      <c r="Q3324" s="135"/>
      <c r="R3324" s="135"/>
      <c r="S3324" s="135"/>
      <c r="T3324" s="135"/>
      <c r="U3324" s="135"/>
      <c r="V3324" s="135"/>
      <c r="W3324" s="135"/>
      <c r="X3324" s="135"/>
      <c r="Y3324" s="135"/>
      <c r="Z3324" s="135"/>
    </row>
    <row r="3325" spans="1:26" ht="12.75">
      <c r="A3325" s="136" t="s">
        <v>10</v>
      </c>
      <c r="B3325" s="136" t="s">
        <v>7855</v>
      </c>
      <c r="C3325" s="136" t="s">
        <v>7858</v>
      </c>
      <c r="D3325" s="136" t="s">
        <v>139</v>
      </c>
      <c r="E3325" s="136" t="s">
        <v>594</v>
      </c>
      <c r="F3325" s="136">
        <v>122</v>
      </c>
      <c r="G3325" s="137">
        <f t="shared" si="13"/>
        <v>6</v>
      </c>
      <c r="H3325" s="137"/>
      <c r="I3325" s="137"/>
      <c r="J3325" s="135"/>
      <c r="K3325" s="135"/>
      <c r="L3325" s="135"/>
      <c r="M3325" s="135"/>
      <c r="N3325" s="135"/>
      <c r="O3325" s="135"/>
      <c r="P3325" s="135"/>
      <c r="Q3325" s="135"/>
      <c r="R3325" s="135"/>
      <c r="S3325" s="135"/>
      <c r="T3325" s="135"/>
      <c r="U3325" s="135"/>
      <c r="V3325" s="135"/>
      <c r="W3325" s="135"/>
      <c r="X3325" s="135"/>
      <c r="Y3325" s="135"/>
      <c r="Z3325" s="135"/>
    </row>
    <row r="3326" spans="1:26" ht="12.75">
      <c r="A3326" s="136" t="s">
        <v>10</v>
      </c>
      <c r="B3326" s="136" t="s">
        <v>7855</v>
      </c>
      <c r="C3326" s="136" t="s">
        <v>7858</v>
      </c>
      <c r="D3326" s="136" t="s">
        <v>467</v>
      </c>
      <c r="E3326" s="136" t="s">
        <v>85</v>
      </c>
      <c r="F3326" s="136">
        <v>121</v>
      </c>
      <c r="G3326" s="137">
        <f t="shared" si="13"/>
        <v>7</v>
      </c>
      <c r="H3326" s="137"/>
      <c r="I3326" s="137"/>
      <c r="J3326" s="135"/>
      <c r="K3326" s="135"/>
      <c r="L3326" s="135"/>
      <c r="M3326" s="135"/>
      <c r="N3326" s="135"/>
      <c r="O3326" s="135"/>
      <c r="P3326" s="135"/>
      <c r="Q3326" s="135"/>
      <c r="R3326" s="135"/>
      <c r="S3326" s="135"/>
      <c r="T3326" s="135"/>
      <c r="U3326" s="135"/>
      <c r="V3326" s="135"/>
      <c r="W3326" s="135"/>
      <c r="X3326" s="135"/>
      <c r="Y3326" s="135"/>
      <c r="Z3326" s="135"/>
    </row>
    <row r="3327" spans="1:26" ht="12.75">
      <c r="A3327" s="136" t="s">
        <v>10</v>
      </c>
      <c r="B3327" s="136" t="s">
        <v>7855</v>
      </c>
      <c r="C3327" s="136" t="s">
        <v>7858</v>
      </c>
      <c r="D3327" s="136" t="s">
        <v>437</v>
      </c>
      <c r="E3327" s="136" t="s">
        <v>594</v>
      </c>
      <c r="F3327" s="136">
        <v>81</v>
      </c>
      <c r="G3327" s="137">
        <f t="shared" si="13"/>
        <v>8</v>
      </c>
      <c r="H3327" s="137"/>
      <c r="I3327" s="137"/>
      <c r="J3327" s="135"/>
      <c r="K3327" s="135"/>
      <c r="L3327" s="135"/>
      <c r="M3327" s="135"/>
      <c r="N3327" s="135"/>
      <c r="O3327" s="135"/>
      <c r="P3327" s="135"/>
      <c r="Q3327" s="135"/>
      <c r="R3327" s="135"/>
      <c r="S3327" s="135"/>
      <c r="T3327" s="135"/>
      <c r="U3327" s="135"/>
      <c r="V3327" s="135"/>
      <c r="W3327" s="135"/>
      <c r="X3327" s="135"/>
      <c r="Y3327" s="135"/>
      <c r="Z3327" s="135"/>
    </row>
    <row r="3328" spans="1:26" ht="12.75">
      <c r="A3328" s="136" t="s">
        <v>10</v>
      </c>
      <c r="B3328" s="136" t="s">
        <v>7855</v>
      </c>
      <c r="C3328" s="136" t="s">
        <v>7858</v>
      </c>
      <c r="D3328" s="136" t="s">
        <v>368</v>
      </c>
      <c r="E3328" s="136" t="s">
        <v>594</v>
      </c>
      <c r="F3328" s="136">
        <v>32</v>
      </c>
      <c r="G3328" s="137">
        <f t="shared" si="13"/>
        <v>9</v>
      </c>
      <c r="H3328" s="137"/>
      <c r="I3328" s="137"/>
      <c r="J3328" s="135"/>
      <c r="K3328" s="135"/>
      <c r="L3328" s="135"/>
      <c r="M3328" s="135"/>
      <c r="N3328" s="135"/>
      <c r="O3328" s="135"/>
      <c r="P3328" s="135"/>
      <c r="Q3328" s="135"/>
      <c r="R3328" s="135"/>
      <c r="S3328" s="135"/>
      <c r="T3328" s="135"/>
      <c r="U3328" s="135"/>
      <c r="V3328" s="135"/>
      <c r="W3328" s="135"/>
      <c r="X3328" s="135"/>
      <c r="Y3328" s="135"/>
      <c r="Z3328" s="135"/>
    </row>
    <row r="3329" spans="1:26" ht="12.75">
      <c r="A3329" s="136" t="s">
        <v>10</v>
      </c>
      <c r="B3329" s="136" t="s">
        <v>7855</v>
      </c>
      <c r="C3329" s="136" t="s">
        <v>7858</v>
      </c>
      <c r="D3329" s="136" t="s">
        <v>1656</v>
      </c>
      <c r="E3329" s="136" t="s">
        <v>615</v>
      </c>
      <c r="F3329" s="136">
        <v>15</v>
      </c>
      <c r="G3329" s="137">
        <f t="shared" si="13"/>
        <v>10</v>
      </c>
      <c r="H3329" s="137"/>
      <c r="I3329" s="137"/>
      <c r="J3329" s="135"/>
      <c r="K3329" s="135"/>
      <c r="L3329" s="135"/>
      <c r="M3329" s="135"/>
      <c r="N3329" s="135"/>
      <c r="O3329" s="135"/>
      <c r="P3329" s="135"/>
      <c r="Q3329" s="135"/>
      <c r="R3329" s="135"/>
      <c r="S3329" s="135"/>
      <c r="T3329" s="135"/>
      <c r="U3329" s="135"/>
      <c r="V3329" s="135"/>
      <c r="W3329" s="135"/>
      <c r="X3329" s="135"/>
      <c r="Y3329" s="135"/>
      <c r="Z3329" s="135"/>
    </row>
    <row r="3330" spans="1:26" ht="12.75">
      <c r="A3330" s="136" t="s">
        <v>10</v>
      </c>
      <c r="B3330" s="136" t="s">
        <v>7855</v>
      </c>
      <c r="C3330" s="136" t="s">
        <v>7858</v>
      </c>
      <c r="D3330" s="136" t="s">
        <v>1626</v>
      </c>
      <c r="E3330" s="136" t="s">
        <v>594</v>
      </c>
      <c r="F3330" s="136">
        <v>13</v>
      </c>
      <c r="G3330" s="137">
        <f t="shared" si="13"/>
        <v>11</v>
      </c>
      <c r="H3330" s="137"/>
      <c r="I3330" s="137"/>
      <c r="J3330" s="135"/>
      <c r="K3330" s="135"/>
      <c r="L3330" s="135"/>
      <c r="M3330" s="135"/>
      <c r="N3330" s="135"/>
      <c r="O3330" s="135"/>
      <c r="P3330" s="135"/>
      <c r="Q3330" s="135"/>
      <c r="R3330" s="135"/>
      <c r="S3330" s="135"/>
      <c r="T3330" s="135"/>
      <c r="U3330" s="135"/>
      <c r="V3330" s="135"/>
      <c r="W3330" s="135"/>
      <c r="X3330" s="135"/>
      <c r="Y3330" s="135"/>
      <c r="Z3330" s="135"/>
    </row>
    <row r="3331" spans="1:26" ht="12.75">
      <c r="A3331" s="136" t="s">
        <v>10</v>
      </c>
      <c r="B3331" s="136" t="s">
        <v>7855</v>
      </c>
      <c r="C3331" s="136" t="s">
        <v>7859</v>
      </c>
      <c r="D3331" s="136" t="s">
        <v>1669</v>
      </c>
      <c r="E3331" s="136" t="s">
        <v>615</v>
      </c>
      <c r="F3331" s="136">
        <v>1600</v>
      </c>
      <c r="G3331" s="137">
        <f t="shared" si="13"/>
        <v>1</v>
      </c>
      <c r="H3331" s="137"/>
      <c r="I3331" s="137"/>
      <c r="J3331" s="135"/>
      <c r="K3331" s="135"/>
      <c r="L3331" s="135"/>
      <c r="M3331" s="135"/>
      <c r="N3331" s="135"/>
      <c r="O3331" s="135"/>
      <c r="P3331" s="135"/>
      <c r="Q3331" s="135"/>
      <c r="R3331" s="135"/>
      <c r="S3331" s="135"/>
      <c r="T3331" s="135"/>
      <c r="U3331" s="135"/>
      <c r="V3331" s="135"/>
      <c r="W3331" s="135"/>
      <c r="X3331" s="135"/>
      <c r="Y3331" s="135"/>
      <c r="Z3331" s="135"/>
    </row>
    <row r="3332" spans="1:26" ht="12.75">
      <c r="A3332" s="136" t="s">
        <v>10</v>
      </c>
      <c r="B3332" s="136" t="s">
        <v>7855</v>
      </c>
      <c r="C3332" s="136" t="s">
        <v>7859</v>
      </c>
      <c r="D3332" s="136" t="s">
        <v>139</v>
      </c>
      <c r="E3332" s="136" t="s">
        <v>594</v>
      </c>
      <c r="F3332" s="136">
        <v>1322</v>
      </c>
      <c r="G3332" s="137">
        <f t="shared" si="13"/>
        <v>2</v>
      </c>
      <c r="H3332" s="137"/>
      <c r="I3332" s="137"/>
      <c r="J3332" s="135"/>
      <c r="K3332" s="135"/>
      <c r="L3332" s="135"/>
      <c r="M3332" s="135"/>
      <c r="N3332" s="135"/>
      <c r="O3332" s="135"/>
      <c r="P3332" s="135"/>
      <c r="Q3332" s="135"/>
      <c r="R3332" s="135"/>
      <c r="S3332" s="135"/>
      <c r="T3332" s="135"/>
      <c r="U3332" s="135"/>
      <c r="V3332" s="135"/>
      <c r="W3332" s="135"/>
      <c r="X3332" s="135"/>
      <c r="Y3332" s="135"/>
      <c r="Z3332" s="135"/>
    </row>
    <row r="3333" spans="1:26" ht="12.75">
      <c r="A3333" s="136" t="s">
        <v>10</v>
      </c>
      <c r="B3333" s="136" t="s">
        <v>7855</v>
      </c>
      <c r="C3333" s="136" t="s">
        <v>7859</v>
      </c>
      <c r="D3333" s="136" t="s">
        <v>114</v>
      </c>
      <c r="E3333" s="136" t="s">
        <v>85</v>
      </c>
      <c r="F3333" s="136">
        <v>836</v>
      </c>
      <c r="G3333" s="137">
        <f t="shared" si="13"/>
        <v>3</v>
      </c>
      <c r="H3333" s="137"/>
      <c r="I3333" s="137"/>
      <c r="J3333" s="135"/>
      <c r="K3333" s="135"/>
      <c r="L3333" s="135"/>
      <c r="M3333" s="135"/>
      <c r="N3333" s="135"/>
      <c r="O3333" s="135"/>
      <c r="P3333" s="135"/>
      <c r="Q3333" s="135"/>
      <c r="R3333" s="135"/>
      <c r="S3333" s="135"/>
      <c r="T3333" s="135"/>
      <c r="U3333" s="135"/>
      <c r="V3333" s="135"/>
      <c r="W3333" s="135"/>
      <c r="X3333" s="135"/>
      <c r="Y3333" s="135"/>
      <c r="Z3333" s="135"/>
    </row>
    <row r="3334" spans="1:26" ht="12.75">
      <c r="A3334" s="136" t="s">
        <v>10</v>
      </c>
      <c r="B3334" s="136" t="s">
        <v>7855</v>
      </c>
      <c r="C3334" s="136" t="s">
        <v>7859</v>
      </c>
      <c r="D3334" s="136" t="s">
        <v>7481</v>
      </c>
      <c r="E3334" s="136" t="s">
        <v>615</v>
      </c>
      <c r="F3334" s="136">
        <v>447</v>
      </c>
      <c r="G3334" s="137">
        <f t="shared" si="13"/>
        <v>4</v>
      </c>
      <c r="H3334" s="137"/>
      <c r="I3334" s="137"/>
      <c r="J3334" s="135"/>
      <c r="K3334" s="135"/>
      <c r="L3334" s="135"/>
      <c r="M3334" s="135"/>
      <c r="N3334" s="135"/>
      <c r="O3334" s="135"/>
      <c r="P3334" s="135"/>
      <c r="Q3334" s="135"/>
      <c r="R3334" s="135"/>
      <c r="S3334" s="135"/>
      <c r="T3334" s="135"/>
      <c r="U3334" s="135"/>
      <c r="V3334" s="135"/>
      <c r="W3334" s="135"/>
      <c r="X3334" s="135"/>
      <c r="Y3334" s="135"/>
      <c r="Z3334" s="135"/>
    </row>
    <row r="3335" spans="1:26" ht="12.75">
      <c r="A3335" s="136" t="s">
        <v>10</v>
      </c>
      <c r="B3335" s="136" t="s">
        <v>7855</v>
      </c>
      <c r="C3335" s="136" t="s">
        <v>7859</v>
      </c>
      <c r="D3335" s="136" t="s">
        <v>437</v>
      </c>
      <c r="E3335" s="136" t="s">
        <v>594</v>
      </c>
      <c r="F3335" s="136">
        <v>294</v>
      </c>
      <c r="G3335" s="137">
        <f t="shared" si="13"/>
        <v>5</v>
      </c>
      <c r="H3335" s="137"/>
      <c r="I3335" s="137"/>
      <c r="J3335" s="135"/>
      <c r="K3335" s="135"/>
      <c r="L3335" s="135"/>
      <c r="M3335" s="135"/>
      <c r="N3335" s="135"/>
      <c r="O3335" s="135"/>
      <c r="P3335" s="135"/>
      <c r="Q3335" s="135"/>
      <c r="R3335" s="135"/>
      <c r="S3335" s="135"/>
      <c r="T3335" s="135"/>
      <c r="U3335" s="135"/>
      <c r="V3335" s="135"/>
      <c r="W3335" s="135"/>
      <c r="X3335" s="135"/>
      <c r="Y3335" s="135"/>
      <c r="Z3335" s="135"/>
    </row>
    <row r="3336" spans="1:26" ht="12.75">
      <c r="A3336" s="136" t="s">
        <v>10</v>
      </c>
      <c r="B3336" s="136" t="s">
        <v>7855</v>
      </c>
      <c r="C3336" s="136" t="s">
        <v>7859</v>
      </c>
      <c r="D3336" s="136" t="s">
        <v>467</v>
      </c>
      <c r="E3336" s="136" t="s">
        <v>85</v>
      </c>
      <c r="F3336" s="136">
        <v>176</v>
      </c>
      <c r="G3336" s="137">
        <f t="shared" si="13"/>
        <v>6</v>
      </c>
      <c r="H3336" s="137"/>
      <c r="I3336" s="137"/>
      <c r="J3336" s="135"/>
      <c r="K3336" s="135"/>
      <c r="L3336" s="135"/>
      <c r="M3336" s="135"/>
      <c r="N3336" s="135"/>
      <c r="O3336" s="135"/>
      <c r="P3336" s="135"/>
      <c r="Q3336" s="135"/>
      <c r="R3336" s="135"/>
      <c r="S3336" s="135"/>
      <c r="T3336" s="135"/>
      <c r="U3336" s="135"/>
      <c r="V3336" s="135"/>
      <c r="W3336" s="135"/>
      <c r="X3336" s="135"/>
      <c r="Y3336" s="135"/>
      <c r="Z3336" s="135"/>
    </row>
    <row r="3337" spans="1:26" ht="12.75">
      <c r="A3337" s="136" t="s">
        <v>10</v>
      </c>
      <c r="B3337" s="136" t="s">
        <v>7855</v>
      </c>
      <c r="C3337" s="136" t="s">
        <v>7859</v>
      </c>
      <c r="D3337" s="136" t="s">
        <v>136</v>
      </c>
      <c r="E3337" s="136" t="s">
        <v>615</v>
      </c>
      <c r="F3337" s="136">
        <v>170</v>
      </c>
      <c r="G3337" s="137">
        <f t="shared" si="13"/>
        <v>7</v>
      </c>
      <c r="H3337" s="137"/>
      <c r="I3337" s="137"/>
      <c r="J3337" s="135"/>
      <c r="K3337" s="135"/>
      <c r="L3337" s="135"/>
      <c r="M3337" s="135"/>
      <c r="N3337" s="135"/>
      <c r="O3337" s="135"/>
      <c r="P3337" s="135"/>
      <c r="Q3337" s="135"/>
      <c r="R3337" s="135"/>
      <c r="S3337" s="135"/>
      <c r="T3337" s="135"/>
      <c r="U3337" s="135"/>
      <c r="V3337" s="135"/>
      <c r="W3337" s="135"/>
      <c r="X3337" s="135"/>
      <c r="Y3337" s="135"/>
      <c r="Z3337" s="135"/>
    </row>
    <row r="3338" spans="1:26" ht="12.75">
      <c r="A3338" s="136" t="s">
        <v>10</v>
      </c>
      <c r="B3338" s="136" t="s">
        <v>7855</v>
      </c>
      <c r="C3338" s="136" t="s">
        <v>7859</v>
      </c>
      <c r="D3338" s="136" t="s">
        <v>368</v>
      </c>
      <c r="E3338" s="136" t="s">
        <v>594</v>
      </c>
      <c r="F3338" s="136">
        <v>109</v>
      </c>
      <c r="G3338" s="137">
        <f t="shared" si="13"/>
        <v>8</v>
      </c>
      <c r="H3338" s="137"/>
      <c r="I3338" s="137"/>
      <c r="J3338" s="135"/>
      <c r="K3338" s="135"/>
      <c r="L3338" s="135"/>
      <c r="M3338" s="135"/>
      <c r="N3338" s="135"/>
      <c r="O3338" s="135"/>
      <c r="P3338" s="135"/>
      <c r="Q3338" s="135"/>
      <c r="R3338" s="135"/>
      <c r="S3338" s="135"/>
      <c r="T3338" s="135"/>
      <c r="U3338" s="135"/>
      <c r="V3338" s="135"/>
      <c r="W3338" s="135"/>
      <c r="X3338" s="135"/>
      <c r="Y3338" s="135"/>
      <c r="Z3338" s="135"/>
    </row>
    <row r="3339" spans="1:26" ht="12.75">
      <c r="A3339" s="136" t="s">
        <v>10</v>
      </c>
      <c r="B3339" s="136" t="s">
        <v>7855</v>
      </c>
      <c r="C3339" s="136" t="s">
        <v>7859</v>
      </c>
      <c r="D3339" s="136" t="s">
        <v>7857</v>
      </c>
      <c r="E3339" s="136" t="s">
        <v>615</v>
      </c>
      <c r="F3339" s="136">
        <v>59</v>
      </c>
      <c r="G3339" s="137">
        <f t="shared" si="13"/>
        <v>9</v>
      </c>
      <c r="H3339" s="137"/>
      <c r="I3339" s="137"/>
      <c r="J3339" s="135"/>
      <c r="K3339" s="135"/>
      <c r="L3339" s="135"/>
      <c r="M3339" s="135"/>
      <c r="N3339" s="135"/>
      <c r="O3339" s="135"/>
      <c r="P3339" s="135"/>
      <c r="Q3339" s="135"/>
      <c r="R3339" s="135"/>
      <c r="S3339" s="135"/>
      <c r="T3339" s="135"/>
      <c r="U3339" s="135"/>
      <c r="V3339" s="135"/>
      <c r="W3339" s="135"/>
      <c r="X3339" s="135"/>
      <c r="Y3339" s="135"/>
      <c r="Z3339" s="135"/>
    </row>
    <row r="3340" spans="1:26" ht="12.75">
      <c r="A3340" s="136" t="s">
        <v>10</v>
      </c>
      <c r="B3340" s="136" t="s">
        <v>7855</v>
      </c>
      <c r="C3340" s="136" t="s">
        <v>7859</v>
      </c>
      <c r="D3340" s="136" t="s">
        <v>1656</v>
      </c>
      <c r="E3340" s="136" t="s">
        <v>615</v>
      </c>
      <c r="F3340" s="136">
        <v>55</v>
      </c>
      <c r="G3340" s="137">
        <f t="shared" si="13"/>
        <v>10</v>
      </c>
      <c r="H3340" s="137"/>
      <c r="I3340" s="137"/>
      <c r="J3340" s="135"/>
      <c r="K3340" s="135"/>
      <c r="L3340" s="135"/>
      <c r="M3340" s="135"/>
      <c r="N3340" s="135"/>
      <c r="O3340" s="135"/>
      <c r="P3340" s="135"/>
      <c r="Q3340" s="135"/>
      <c r="R3340" s="135"/>
      <c r="S3340" s="135"/>
      <c r="T3340" s="135"/>
      <c r="U3340" s="135"/>
      <c r="V3340" s="135"/>
      <c r="W3340" s="135"/>
      <c r="X3340" s="135"/>
      <c r="Y3340" s="135"/>
      <c r="Z3340" s="135"/>
    </row>
    <row r="3341" spans="1:26" ht="12.75">
      <c r="A3341" s="136" t="s">
        <v>10</v>
      </c>
      <c r="B3341" s="136" t="s">
        <v>7855</v>
      </c>
      <c r="C3341" s="136" t="s">
        <v>7859</v>
      </c>
      <c r="D3341" s="136" t="s">
        <v>1626</v>
      </c>
      <c r="E3341" s="136" t="s">
        <v>594</v>
      </c>
      <c r="F3341" s="136">
        <v>54</v>
      </c>
      <c r="G3341" s="137">
        <f t="shared" si="13"/>
        <v>11</v>
      </c>
      <c r="H3341" s="137"/>
      <c r="I3341" s="137"/>
      <c r="J3341" s="135"/>
      <c r="K3341" s="135"/>
      <c r="L3341" s="135"/>
      <c r="M3341" s="135"/>
      <c r="N3341" s="135"/>
      <c r="O3341" s="135"/>
      <c r="P3341" s="135"/>
      <c r="Q3341" s="135"/>
      <c r="R3341" s="135"/>
      <c r="S3341" s="135"/>
      <c r="T3341" s="135"/>
      <c r="U3341" s="135"/>
      <c r="V3341" s="135"/>
      <c r="W3341" s="135"/>
      <c r="X3341" s="135"/>
      <c r="Y3341" s="135"/>
      <c r="Z3341" s="135"/>
    </row>
    <row r="3342" spans="1:26" ht="12.75">
      <c r="A3342" s="136" t="s">
        <v>10</v>
      </c>
      <c r="B3342" s="136" t="s">
        <v>7855</v>
      </c>
      <c r="C3342" s="136" t="s">
        <v>7859</v>
      </c>
      <c r="D3342" s="136" t="s">
        <v>1682</v>
      </c>
      <c r="E3342" s="136" t="s">
        <v>86</v>
      </c>
      <c r="F3342" s="136">
        <v>13</v>
      </c>
      <c r="G3342" s="137">
        <f t="shared" si="13"/>
        <v>12</v>
      </c>
      <c r="H3342" s="137"/>
      <c r="I3342" s="137"/>
      <c r="J3342" s="135"/>
      <c r="K3342" s="135"/>
      <c r="L3342" s="135"/>
      <c r="M3342" s="135"/>
      <c r="N3342" s="135"/>
      <c r="O3342" s="135"/>
      <c r="P3342" s="135"/>
      <c r="Q3342" s="135"/>
      <c r="R3342" s="135"/>
      <c r="S3342" s="135"/>
      <c r="T3342" s="135"/>
      <c r="U3342" s="135"/>
      <c r="V3342" s="135"/>
      <c r="W3342" s="135"/>
      <c r="X3342" s="135"/>
      <c r="Y3342" s="135"/>
      <c r="Z3342" s="135"/>
    </row>
    <row r="3343" spans="1:26" ht="12.75">
      <c r="A3343" s="136" t="s">
        <v>10</v>
      </c>
      <c r="B3343" s="136" t="s">
        <v>7855</v>
      </c>
      <c r="C3343" s="136" t="s">
        <v>7860</v>
      </c>
      <c r="D3343" s="136" t="s">
        <v>7857</v>
      </c>
      <c r="E3343" s="136" t="s">
        <v>615</v>
      </c>
      <c r="F3343" s="136">
        <v>1603</v>
      </c>
      <c r="G3343" s="137">
        <f t="shared" si="13"/>
        <v>1</v>
      </c>
      <c r="H3343" s="137"/>
      <c r="I3343" s="137"/>
      <c r="J3343" s="135"/>
      <c r="K3343" s="135"/>
      <c r="L3343" s="135"/>
      <c r="M3343" s="135"/>
      <c r="N3343" s="135"/>
      <c r="O3343" s="135"/>
      <c r="P3343" s="135"/>
      <c r="Q3343" s="135"/>
      <c r="R3343" s="135"/>
      <c r="S3343" s="135"/>
      <c r="T3343" s="135"/>
      <c r="U3343" s="135"/>
      <c r="V3343" s="135"/>
      <c r="W3343" s="135"/>
      <c r="X3343" s="135"/>
      <c r="Y3343" s="135"/>
      <c r="Z3343" s="135"/>
    </row>
    <row r="3344" spans="1:26" ht="12.75">
      <c r="A3344" s="136" t="s">
        <v>10</v>
      </c>
      <c r="B3344" s="136" t="s">
        <v>7855</v>
      </c>
      <c r="C3344" s="136" t="s">
        <v>7860</v>
      </c>
      <c r="D3344" s="136" t="s">
        <v>136</v>
      </c>
      <c r="E3344" s="136" t="s">
        <v>615</v>
      </c>
      <c r="F3344" s="136">
        <v>815</v>
      </c>
      <c r="G3344" s="137">
        <f t="shared" si="13"/>
        <v>2</v>
      </c>
      <c r="H3344" s="137"/>
      <c r="I3344" s="137"/>
      <c r="J3344" s="135"/>
      <c r="K3344" s="135"/>
      <c r="L3344" s="135"/>
      <c r="M3344" s="135"/>
      <c r="N3344" s="135"/>
      <c r="O3344" s="135"/>
      <c r="P3344" s="135"/>
      <c r="Q3344" s="135"/>
      <c r="R3344" s="135"/>
      <c r="S3344" s="135"/>
      <c r="T3344" s="135"/>
      <c r="U3344" s="135"/>
      <c r="V3344" s="135"/>
      <c r="W3344" s="135"/>
      <c r="X3344" s="135"/>
      <c r="Y3344" s="135"/>
      <c r="Z3344" s="135"/>
    </row>
    <row r="3345" spans="1:26" ht="12.75">
      <c r="A3345" s="136" t="s">
        <v>10</v>
      </c>
      <c r="B3345" s="136" t="s">
        <v>7855</v>
      </c>
      <c r="C3345" s="136" t="s">
        <v>7860</v>
      </c>
      <c r="D3345" s="136" t="s">
        <v>7481</v>
      </c>
      <c r="E3345" s="136" t="s">
        <v>615</v>
      </c>
      <c r="F3345" s="136">
        <v>703</v>
      </c>
      <c r="G3345" s="137">
        <f t="shared" si="13"/>
        <v>3</v>
      </c>
      <c r="H3345" s="137"/>
      <c r="I3345" s="137"/>
      <c r="J3345" s="135"/>
      <c r="K3345" s="135"/>
      <c r="L3345" s="135"/>
      <c r="M3345" s="135"/>
      <c r="N3345" s="135"/>
      <c r="O3345" s="135"/>
      <c r="P3345" s="135"/>
      <c r="Q3345" s="135"/>
      <c r="R3345" s="135"/>
      <c r="S3345" s="135"/>
      <c r="T3345" s="135"/>
      <c r="U3345" s="135"/>
      <c r="V3345" s="135"/>
      <c r="W3345" s="135"/>
      <c r="X3345" s="135"/>
      <c r="Y3345" s="135"/>
      <c r="Z3345" s="135"/>
    </row>
    <row r="3346" spans="1:26" ht="12.75">
      <c r="A3346" s="136" t="s">
        <v>10</v>
      </c>
      <c r="B3346" s="136" t="s">
        <v>7855</v>
      </c>
      <c r="C3346" s="136" t="s">
        <v>7860</v>
      </c>
      <c r="D3346" s="136" t="s">
        <v>1669</v>
      </c>
      <c r="E3346" s="136" t="s">
        <v>615</v>
      </c>
      <c r="F3346" s="136">
        <v>353</v>
      </c>
      <c r="G3346" s="137">
        <f t="shared" si="13"/>
        <v>4</v>
      </c>
      <c r="H3346" s="137"/>
      <c r="I3346" s="137"/>
      <c r="J3346" s="135"/>
      <c r="K3346" s="135"/>
      <c r="L3346" s="135"/>
      <c r="M3346" s="135"/>
      <c r="N3346" s="135"/>
      <c r="O3346" s="135"/>
      <c r="P3346" s="135"/>
      <c r="Q3346" s="135"/>
      <c r="R3346" s="135"/>
      <c r="S3346" s="135"/>
      <c r="T3346" s="135"/>
      <c r="U3346" s="135"/>
      <c r="V3346" s="135"/>
      <c r="W3346" s="135"/>
      <c r="X3346" s="135"/>
      <c r="Y3346" s="135"/>
      <c r="Z3346" s="135"/>
    </row>
    <row r="3347" spans="1:26" ht="12.75">
      <c r="A3347" s="136" t="s">
        <v>10</v>
      </c>
      <c r="B3347" s="136" t="s">
        <v>7855</v>
      </c>
      <c r="C3347" s="136" t="s">
        <v>7860</v>
      </c>
      <c r="D3347" s="136" t="s">
        <v>114</v>
      </c>
      <c r="E3347" s="136" t="s">
        <v>85</v>
      </c>
      <c r="F3347" s="136">
        <v>265</v>
      </c>
      <c r="G3347" s="137">
        <f t="shared" si="13"/>
        <v>5</v>
      </c>
      <c r="H3347" s="137"/>
      <c r="I3347" s="137"/>
      <c r="J3347" s="135"/>
      <c r="K3347" s="135"/>
      <c r="L3347" s="135"/>
      <c r="M3347" s="135"/>
      <c r="N3347" s="135"/>
      <c r="O3347" s="135"/>
      <c r="P3347" s="135"/>
      <c r="Q3347" s="135"/>
      <c r="R3347" s="135"/>
      <c r="S3347" s="135"/>
      <c r="T3347" s="135"/>
      <c r="U3347" s="135"/>
      <c r="V3347" s="135"/>
      <c r="W3347" s="135"/>
      <c r="X3347" s="135"/>
      <c r="Y3347" s="135"/>
      <c r="Z3347" s="135"/>
    </row>
    <row r="3348" spans="1:26" ht="12.75">
      <c r="A3348" s="136" t="s">
        <v>10</v>
      </c>
      <c r="B3348" s="136" t="s">
        <v>7855</v>
      </c>
      <c r="C3348" s="136" t="s">
        <v>7860</v>
      </c>
      <c r="D3348" s="136" t="s">
        <v>139</v>
      </c>
      <c r="E3348" s="136" t="s">
        <v>594</v>
      </c>
      <c r="F3348" s="136">
        <v>89</v>
      </c>
      <c r="G3348" s="137">
        <f t="shared" si="13"/>
        <v>6</v>
      </c>
      <c r="H3348" s="137"/>
      <c r="I3348" s="137"/>
      <c r="J3348" s="135"/>
      <c r="K3348" s="135"/>
      <c r="L3348" s="135"/>
      <c r="M3348" s="135"/>
      <c r="N3348" s="135"/>
      <c r="O3348" s="135"/>
      <c r="P3348" s="135"/>
      <c r="Q3348" s="135"/>
      <c r="R3348" s="135"/>
      <c r="S3348" s="135"/>
      <c r="T3348" s="135"/>
      <c r="U3348" s="135"/>
      <c r="V3348" s="135"/>
      <c r="W3348" s="135"/>
      <c r="X3348" s="135"/>
      <c r="Y3348" s="135"/>
      <c r="Z3348" s="135"/>
    </row>
    <row r="3349" spans="1:26" ht="12.75">
      <c r="A3349" s="136" t="s">
        <v>10</v>
      </c>
      <c r="B3349" s="136" t="s">
        <v>7855</v>
      </c>
      <c r="C3349" s="136" t="s">
        <v>7860</v>
      </c>
      <c r="D3349" s="136" t="s">
        <v>467</v>
      </c>
      <c r="E3349" s="136" t="s">
        <v>85</v>
      </c>
      <c r="F3349" s="136">
        <v>87</v>
      </c>
      <c r="G3349" s="137">
        <f t="shared" si="13"/>
        <v>7</v>
      </c>
      <c r="H3349" s="137"/>
      <c r="I3349" s="137"/>
      <c r="J3349" s="135"/>
      <c r="K3349" s="135"/>
      <c r="L3349" s="135"/>
      <c r="M3349" s="135"/>
      <c r="N3349" s="135"/>
      <c r="O3349" s="135"/>
      <c r="P3349" s="135"/>
      <c r="Q3349" s="135"/>
      <c r="R3349" s="135"/>
      <c r="S3349" s="135"/>
      <c r="T3349" s="135"/>
      <c r="U3349" s="135"/>
      <c r="V3349" s="135"/>
      <c r="W3349" s="135"/>
      <c r="X3349" s="135"/>
      <c r="Y3349" s="135"/>
      <c r="Z3349" s="135"/>
    </row>
    <row r="3350" spans="1:26" ht="12.75">
      <c r="A3350" s="136" t="s">
        <v>10</v>
      </c>
      <c r="B3350" s="136" t="s">
        <v>7855</v>
      </c>
      <c r="C3350" s="136" t="s">
        <v>7860</v>
      </c>
      <c r="D3350" s="136" t="s">
        <v>1682</v>
      </c>
      <c r="E3350" s="136" t="s">
        <v>86</v>
      </c>
      <c r="F3350" s="136">
        <v>73</v>
      </c>
      <c r="G3350" s="137">
        <f t="shared" si="13"/>
        <v>8</v>
      </c>
      <c r="H3350" s="137"/>
      <c r="I3350" s="137"/>
      <c r="J3350" s="135"/>
      <c r="K3350" s="135"/>
      <c r="L3350" s="135"/>
      <c r="M3350" s="135"/>
      <c r="N3350" s="135"/>
      <c r="O3350" s="135"/>
      <c r="P3350" s="135"/>
      <c r="Q3350" s="135"/>
      <c r="R3350" s="135"/>
      <c r="S3350" s="135"/>
      <c r="T3350" s="135"/>
      <c r="U3350" s="135"/>
      <c r="V3350" s="135"/>
      <c r="W3350" s="135"/>
      <c r="X3350" s="135"/>
      <c r="Y3350" s="135"/>
      <c r="Z3350" s="135"/>
    </row>
    <row r="3351" spans="1:26" ht="12.75">
      <c r="A3351" s="136" t="s">
        <v>10</v>
      </c>
      <c r="B3351" s="136" t="s">
        <v>7855</v>
      </c>
      <c r="C3351" s="136" t="s">
        <v>7860</v>
      </c>
      <c r="D3351" s="136" t="s">
        <v>437</v>
      </c>
      <c r="E3351" s="136" t="s">
        <v>594</v>
      </c>
      <c r="F3351" s="136">
        <v>26</v>
      </c>
      <c r="G3351" s="137">
        <f t="shared" si="13"/>
        <v>9</v>
      </c>
      <c r="H3351" s="137"/>
      <c r="I3351" s="137"/>
      <c r="J3351" s="135"/>
      <c r="K3351" s="135"/>
      <c r="L3351" s="135"/>
      <c r="M3351" s="135"/>
      <c r="N3351" s="135"/>
      <c r="O3351" s="135"/>
      <c r="P3351" s="135"/>
      <c r="Q3351" s="135"/>
      <c r="R3351" s="135"/>
      <c r="S3351" s="135"/>
      <c r="T3351" s="135"/>
      <c r="U3351" s="135"/>
      <c r="V3351" s="135"/>
      <c r="W3351" s="135"/>
      <c r="X3351" s="135"/>
      <c r="Y3351" s="135"/>
      <c r="Z3351" s="135"/>
    </row>
    <row r="3352" spans="1:26" ht="12.75">
      <c r="A3352" s="136" t="s">
        <v>10</v>
      </c>
      <c r="B3352" s="136" t="s">
        <v>7855</v>
      </c>
      <c r="C3352" s="136" t="s">
        <v>7860</v>
      </c>
      <c r="D3352" s="136" t="s">
        <v>368</v>
      </c>
      <c r="E3352" s="136" t="s">
        <v>594</v>
      </c>
      <c r="F3352" s="136">
        <v>21</v>
      </c>
      <c r="G3352" s="137">
        <f t="shared" si="13"/>
        <v>10</v>
      </c>
      <c r="H3352" s="137"/>
      <c r="I3352" s="137"/>
      <c r="J3352" s="135"/>
      <c r="K3352" s="135"/>
      <c r="L3352" s="135"/>
      <c r="M3352" s="135"/>
      <c r="N3352" s="135"/>
      <c r="O3352" s="135"/>
      <c r="P3352" s="135"/>
      <c r="Q3352" s="135"/>
      <c r="R3352" s="135"/>
      <c r="S3352" s="135"/>
      <c r="T3352" s="135"/>
      <c r="U3352" s="135"/>
      <c r="V3352" s="135"/>
      <c r="W3352" s="135"/>
      <c r="X3352" s="135"/>
      <c r="Y3352" s="135"/>
      <c r="Z3352" s="135"/>
    </row>
    <row r="3353" spans="1:26" ht="12.75">
      <c r="A3353" s="136" t="s">
        <v>10</v>
      </c>
      <c r="B3353" s="136" t="s">
        <v>7855</v>
      </c>
      <c r="C3353" s="136" t="s">
        <v>7860</v>
      </c>
      <c r="D3353" s="136" t="s">
        <v>1656</v>
      </c>
      <c r="E3353" s="136" t="s">
        <v>615</v>
      </c>
      <c r="F3353" s="136">
        <v>12</v>
      </c>
      <c r="G3353" s="137">
        <f t="shared" si="13"/>
        <v>11</v>
      </c>
      <c r="H3353" s="137"/>
      <c r="I3353" s="137"/>
      <c r="J3353" s="135"/>
      <c r="K3353" s="135"/>
      <c r="L3353" s="135"/>
      <c r="M3353" s="135"/>
      <c r="N3353" s="135"/>
      <c r="O3353" s="135"/>
      <c r="P3353" s="135"/>
      <c r="Q3353" s="135"/>
      <c r="R3353" s="135"/>
      <c r="S3353" s="135"/>
      <c r="T3353" s="135"/>
      <c r="U3353" s="135"/>
      <c r="V3353" s="135"/>
      <c r="W3353" s="135"/>
      <c r="X3353" s="135"/>
      <c r="Y3353" s="135"/>
      <c r="Z3353" s="135"/>
    </row>
    <row r="3354" spans="1:26" ht="12.75">
      <c r="A3354" s="136" t="s">
        <v>10</v>
      </c>
      <c r="B3354" s="136" t="s">
        <v>7855</v>
      </c>
      <c r="C3354" s="136" t="s">
        <v>7860</v>
      </c>
      <c r="D3354" s="136" t="s">
        <v>1626</v>
      </c>
      <c r="E3354" s="136" t="s">
        <v>594</v>
      </c>
      <c r="F3354" s="136">
        <v>10</v>
      </c>
      <c r="G3354" s="137">
        <f t="shared" si="13"/>
        <v>12</v>
      </c>
      <c r="H3354" s="137"/>
      <c r="I3354" s="137"/>
      <c r="J3354" s="135"/>
      <c r="K3354" s="135"/>
      <c r="L3354" s="135"/>
      <c r="M3354" s="135"/>
      <c r="N3354" s="135"/>
      <c r="O3354" s="135"/>
      <c r="P3354" s="135"/>
      <c r="Q3354" s="135"/>
      <c r="R3354" s="135"/>
      <c r="S3354" s="135"/>
      <c r="T3354" s="135"/>
      <c r="U3354" s="135"/>
      <c r="V3354" s="135"/>
      <c r="W3354" s="135"/>
      <c r="X3354" s="135"/>
      <c r="Y3354" s="135"/>
      <c r="Z3354" s="135"/>
    </row>
    <row r="3355" spans="1:26" ht="12.75">
      <c r="A3355" s="136" t="s">
        <v>10</v>
      </c>
      <c r="B3355" s="136" t="s">
        <v>7855</v>
      </c>
      <c r="C3355" s="136" t="s">
        <v>984</v>
      </c>
      <c r="D3355" s="136" t="s">
        <v>7749</v>
      </c>
      <c r="E3355" s="136" t="s">
        <v>615</v>
      </c>
      <c r="F3355" s="136">
        <v>6503</v>
      </c>
      <c r="G3355" s="137">
        <f t="shared" si="13"/>
        <v>1</v>
      </c>
      <c r="H3355" s="137"/>
      <c r="I3355" s="137"/>
      <c r="J3355" s="135"/>
      <c r="K3355" s="135"/>
      <c r="L3355" s="135"/>
      <c r="M3355" s="135"/>
      <c r="N3355" s="135"/>
      <c r="O3355" s="135"/>
      <c r="P3355" s="135"/>
      <c r="Q3355" s="135"/>
      <c r="R3355" s="135"/>
      <c r="S3355" s="135"/>
      <c r="T3355" s="135"/>
      <c r="U3355" s="135"/>
      <c r="V3355" s="135"/>
      <c r="W3355" s="135"/>
      <c r="X3355" s="135"/>
      <c r="Y3355" s="135"/>
      <c r="Z3355" s="135"/>
    </row>
    <row r="3356" spans="1:26" ht="12.75">
      <c r="A3356" s="136" t="s">
        <v>10</v>
      </c>
      <c r="B3356" s="136" t="s">
        <v>7855</v>
      </c>
      <c r="C3356" s="136" t="s">
        <v>984</v>
      </c>
      <c r="D3356" s="136" t="s">
        <v>136</v>
      </c>
      <c r="E3356" s="136" t="s">
        <v>615</v>
      </c>
      <c r="F3356" s="136">
        <v>1621</v>
      </c>
      <c r="G3356" s="137">
        <f t="shared" si="13"/>
        <v>2</v>
      </c>
      <c r="H3356" s="137"/>
      <c r="I3356" s="137"/>
      <c r="J3356" s="135"/>
      <c r="K3356" s="135"/>
      <c r="L3356" s="135"/>
      <c r="M3356" s="135"/>
      <c r="N3356" s="135"/>
      <c r="O3356" s="135"/>
      <c r="P3356" s="135"/>
      <c r="Q3356" s="135"/>
      <c r="R3356" s="135"/>
      <c r="S3356" s="135"/>
      <c r="T3356" s="135"/>
      <c r="U3356" s="135"/>
      <c r="V3356" s="135"/>
      <c r="W3356" s="135"/>
      <c r="X3356" s="135"/>
      <c r="Y3356" s="135"/>
      <c r="Z3356" s="135"/>
    </row>
    <row r="3357" spans="1:26" ht="12.75">
      <c r="A3357" s="136" t="s">
        <v>10</v>
      </c>
      <c r="B3357" s="136" t="s">
        <v>7855</v>
      </c>
      <c r="C3357" s="136" t="s">
        <v>984</v>
      </c>
      <c r="D3357" s="136" t="s">
        <v>7481</v>
      </c>
      <c r="E3357" s="136" t="s">
        <v>615</v>
      </c>
      <c r="F3357" s="136">
        <v>967</v>
      </c>
      <c r="G3357" s="137">
        <f t="shared" si="13"/>
        <v>3</v>
      </c>
      <c r="H3357" s="137"/>
      <c r="I3357" s="137"/>
      <c r="J3357" s="135"/>
      <c r="K3357" s="135"/>
      <c r="L3357" s="135"/>
      <c r="M3357" s="135"/>
      <c r="N3357" s="135"/>
      <c r="O3357" s="135"/>
      <c r="P3357" s="135"/>
      <c r="Q3357" s="135"/>
      <c r="R3357" s="135"/>
      <c r="S3357" s="135"/>
      <c r="T3357" s="135"/>
      <c r="U3357" s="135"/>
      <c r="V3357" s="135"/>
      <c r="W3357" s="135"/>
      <c r="X3357" s="135"/>
      <c r="Y3357" s="135"/>
      <c r="Z3357" s="135"/>
    </row>
    <row r="3358" spans="1:26" ht="12.75">
      <c r="A3358" s="136" t="s">
        <v>10</v>
      </c>
      <c r="B3358" s="136" t="s">
        <v>7855</v>
      </c>
      <c r="C3358" s="136" t="s">
        <v>984</v>
      </c>
      <c r="D3358" s="136" t="s">
        <v>1669</v>
      </c>
      <c r="E3358" s="136" t="s">
        <v>615</v>
      </c>
      <c r="F3358" s="136">
        <v>784</v>
      </c>
      <c r="G3358" s="137">
        <f t="shared" si="13"/>
        <v>4</v>
      </c>
      <c r="H3358" s="137"/>
      <c r="I3358" s="137"/>
      <c r="J3358" s="135"/>
      <c r="K3358" s="135"/>
      <c r="L3358" s="135"/>
      <c r="M3358" s="135"/>
      <c r="N3358" s="135"/>
      <c r="O3358" s="135"/>
      <c r="P3358" s="135"/>
      <c r="Q3358" s="135"/>
      <c r="R3358" s="135"/>
      <c r="S3358" s="135"/>
      <c r="T3358" s="135"/>
      <c r="U3358" s="135"/>
      <c r="V3358" s="135"/>
      <c r="W3358" s="135"/>
      <c r="X3358" s="135"/>
      <c r="Y3358" s="135"/>
      <c r="Z3358" s="135"/>
    </row>
    <row r="3359" spans="1:26" ht="12.75">
      <c r="A3359" s="136" t="s">
        <v>10</v>
      </c>
      <c r="B3359" s="136" t="s">
        <v>7855</v>
      </c>
      <c r="C3359" s="136" t="s">
        <v>984</v>
      </c>
      <c r="D3359" s="136" t="s">
        <v>114</v>
      </c>
      <c r="E3359" s="136" t="s">
        <v>85</v>
      </c>
      <c r="F3359" s="136">
        <v>303</v>
      </c>
      <c r="G3359" s="137">
        <f t="shared" si="13"/>
        <v>5</v>
      </c>
      <c r="H3359" s="137"/>
      <c r="I3359" s="137"/>
      <c r="J3359" s="135"/>
      <c r="K3359" s="135"/>
      <c r="L3359" s="135"/>
      <c r="M3359" s="135"/>
      <c r="N3359" s="135"/>
      <c r="O3359" s="135"/>
      <c r="P3359" s="135"/>
      <c r="Q3359" s="135"/>
      <c r="R3359" s="135"/>
      <c r="S3359" s="135"/>
      <c r="T3359" s="135"/>
      <c r="U3359" s="135"/>
      <c r="V3359" s="135"/>
      <c r="W3359" s="135"/>
      <c r="X3359" s="135"/>
      <c r="Y3359" s="135"/>
      <c r="Z3359" s="135"/>
    </row>
    <row r="3360" spans="1:26" ht="12.75">
      <c r="A3360" s="136" t="s">
        <v>10</v>
      </c>
      <c r="B3360" s="136" t="s">
        <v>7855</v>
      </c>
      <c r="C3360" s="136" t="s">
        <v>984</v>
      </c>
      <c r="D3360" s="136" t="s">
        <v>139</v>
      </c>
      <c r="E3360" s="136" t="s">
        <v>594</v>
      </c>
      <c r="F3360" s="136">
        <v>176</v>
      </c>
      <c r="G3360" s="137">
        <f t="shared" si="13"/>
        <v>6</v>
      </c>
      <c r="H3360" s="137"/>
      <c r="I3360" s="137"/>
      <c r="J3360" s="135"/>
      <c r="K3360" s="135"/>
      <c r="L3360" s="135"/>
      <c r="M3360" s="135"/>
      <c r="N3360" s="135"/>
      <c r="O3360" s="135"/>
      <c r="P3360" s="135"/>
      <c r="Q3360" s="135"/>
      <c r="R3360" s="135"/>
      <c r="S3360" s="135"/>
      <c r="T3360" s="135"/>
      <c r="U3360" s="135"/>
      <c r="V3360" s="135"/>
      <c r="W3360" s="135"/>
      <c r="X3360" s="135"/>
      <c r="Y3360" s="135"/>
      <c r="Z3360" s="135"/>
    </row>
    <row r="3361" spans="1:26" ht="12.75">
      <c r="A3361" s="136" t="s">
        <v>10</v>
      </c>
      <c r="B3361" s="136" t="s">
        <v>7855</v>
      </c>
      <c r="C3361" s="136" t="s">
        <v>984</v>
      </c>
      <c r="D3361" s="136" t="s">
        <v>437</v>
      </c>
      <c r="E3361" s="136" t="s">
        <v>594</v>
      </c>
      <c r="F3361" s="136">
        <v>119</v>
      </c>
      <c r="G3361" s="137">
        <f t="shared" si="13"/>
        <v>7</v>
      </c>
      <c r="H3361" s="137"/>
      <c r="I3361" s="137"/>
      <c r="J3361" s="135"/>
      <c r="K3361" s="135"/>
      <c r="L3361" s="135"/>
      <c r="M3361" s="135"/>
      <c r="N3361" s="135"/>
      <c r="O3361" s="135"/>
      <c r="P3361" s="135"/>
      <c r="Q3361" s="135"/>
      <c r="R3361" s="135"/>
      <c r="S3361" s="135"/>
      <c r="T3361" s="135"/>
      <c r="U3361" s="135"/>
      <c r="V3361" s="135"/>
      <c r="W3361" s="135"/>
      <c r="X3361" s="135"/>
      <c r="Y3361" s="135"/>
      <c r="Z3361" s="135"/>
    </row>
    <row r="3362" spans="1:26" ht="12.75">
      <c r="A3362" s="136" t="s">
        <v>10</v>
      </c>
      <c r="B3362" s="136" t="s">
        <v>7855</v>
      </c>
      <c r="C3362" s="136" t="s">
        <v>984</v>
      </c>
      <c r="D3362" s="136" t="s">
        <v>467</v>
      </c>
      <c r="E3362" s="136" t="s">
        <v>85</v>
      </c>
      <c r="F3362" s="136">
        <v>65</v>
      </c>
      <c r="G3362" s="137">
        <f t="shared" si="13"/>
        <v>8</v>
      </c>
      <c r="H3362" s="137"/>
      <c r="I3362" s="137"/>
      <c r="J3362" s="135"/>
      <c r="K3362" s="135"/>
      <c r="L3362" s="135"/>
      <c r="M3362" s="135"/>
      <c r="N3362" s="135"/>
      <c r="O3362" s="135"/>
      <c r="P3362" s="135"/>
      <c r="Q3362" s="135"/>
      <c r="R3362" s="135"/>
      <c r="S3362" s="135"/>
      <c r="T3362" s="135"/>
      <c r="U3362" s="135"/>
      <c r="V3362" s="135"/>
      <c r="W3362" s="135"/>
      <c r="X3362" s="135"/>
      <c r="Y3362" s="135"/>
      <c r="Z3362" s="135"/>
    </row>
    <row r="3363" spans="1:26" ht="12.75">
      <c r="A3363" s="136" t="s">
        <v>10</v>
      </c>
      <c r="B3363" s="136" t="s">
        <v>7855</v>
      </c>
      <c r="C3363" s="136" t="s">
        <v>984</v>
      </c>
      <c r="D3363" s="136" t="s">
        <v>368</v>
      </c>
      <c r="E3363" s="136" t="s">
        <v>594</v>
      </c>
      <c r="F3363" s="136">
        <v>55</v>
      </c>
      <c r="G3363" s="137">
        <f t="shared" si="13"/>
        <v>9</v>
      </c>
      <c r="H3363" s="137"/>
      <c r="I3363" s="137"/>
      <c r="J3363" s="135"/>
      <c r="K3363" s="135"/>
      <c r="L3363" s="135"/>
      <c r="M3363" s="135"/>
      <c r="N3363" s="135"/>
      <c r="O3363" s="135"/>
      <c r="P3363" s="135"/>
      <c r="Q3363" s="135"/>
      <c r="R3363" s="135"/>
      <c r="S3363" s="135"/>
      <c r="T3363" s="135"/>
      <c r="U3363" s="135"/>
      <c r="V3363" s="135"/>
      <c r="W3363" s="135"/>
      <c r="X3363" s="135"/>
      <c r="Y3363" s="135"/>
      <c r="Z3363" s="135"/>
    </row>
    <row r="3364" spans="1:26" ht="12.75">
      <c r="A3364" s="136" t="s">
        <v>10</v>
      </c>
      <c r="B3364" s="136" t="s">
        <v>7855</v>
      </c>
      <c r="C3364" s="136" t="s">
        <v>984</v>
      </c>
      <c r="D3364" s="136" t="s">
        <v>1656</v>
      </c>
      <c r="E3364" s="136" t="s">
        <v>615</v>
      </c>
      <c r="F3364" s="136">
        <v>28</v>
      </c>
      <c r="G3364" s="137">
        <f t="shared" si="13"/>
        <v>10</v>
      </c>
      <c r="H3364" s="137"/>
      <c r="I3364" s="137"/>
      <c r="J3364" s="135"/>
      <c r="K3364" s="135"/>
      <c r="L3364" s="135"/>
      <c r="M3364" s="135"/>
      <c r="N3364" s="135"/>
      <c r="O3364" s="135"/>
      <c r="P3364" s="135"/>
      <c r="Q3364" s="135"/>
      <c r="R3364" s="135"/>
      <c r="S3364" s="135"/>
      <c r="T3364" s="135"/>
      <c r="U3364" s="135"/>
      <c r="V3364" s="135"/>
      <c r="W3364" s="135"/>
      <c r="X3364" s="135"/>
      <c r="Y3364" s="135"/>
      <c r="Z3364" s="135"/>
    </row>
    <row r="3365" spans="1:26" ht="12.75">
      <c r="A3365" s="136" t="s">
        <v>10</v>
      </c>
      <c r="B3365" s="136" t="s">
        <v>7855</v>
      </c>
      <c r="C3365" s="136" t="s">
        <v>984</v>
      </c>
      <c r="D3365" s="136" t="s">
        <v>1626</v>
      </c>
      <c r="E3365" s="136" t="s">
        <v>594</v>
      </c>
      <c r="F3365" s="136">
        <v>11</v>
      </c>
      <c r="G3365" s="137">
        <f t="shared" si="13"/>
        <v>11</v>
      </c>
      <c r="H3365" s="137"/>
      <c r="I3365" s="137"/>
      <c r="J3365" s="135"/>
      <c r="K3365" s="135"/>
      <c r="L3365" s="135"/>
      <c r="M3365" s="135"/>
      <c r="N3365" s="135"/>
      <c r="O3365" s="135"/>
      <c r="P3365" s="135"/>
      <c r="Q3365" s="135"/>
      <c r="R3365" s="135"/>
      <c r="S3365" s="135"/>
      <c r="T3365" s="135"/>
      <c r="U3365" s="135"/>
      <c r="V3365" s="135"/>
      <c r="W3365" s="135"/>
      <c r="X3365" s="135"/>
      <c r="Y3365" s="135"/>
      <c r="Z3365" s="135"/>
    </row>
    <row r="3366" spans="1:26" ht="12.75">
      <c r="A3366" s="136" t="s">
        <v>10</v>
      </c>
      <c r="B3366" s="136" t="s">
        <v>7855</v>
      </c>
      <c r="C3366" s="136" t="s">
        <v>984</v>
      </c>
      <c r="D3366" s="136" t="s">
        <v>7861</v>
      </c>
      <c r="E3366" s="136" t="s">
        <v>86</v>
      </c>
      <c r="F3366" s="136">
        <v>6</v>
      </c>
      <c r="G3366" s="137">
        <f t="shared" si="13"/>
        <v>12</v>
      </c>
      <c r="H3366" s="137"/>
      <c r="I3366" s="137"/>
      <c r="J3366" s="135"/>
      <c r="K3366" s="135"/>
      <c r="L3366" s="135"/>
      <c r="M3366" s="135"/>
      <c r="N3366" s="135"/>
      <c r="O3366" s="135"/>
      <c r="P3366" s="135"/>
      <c r="Q3366" s="135"/>
      <c r="R3366" s="135"/>
      <c r="S3366" s="135"/>
      <c r="T3366" s="135"/>
      <c r="U3366" s="135"/>
      <c r="V3366" s="135"/>
      <c r="W3366" s="135"/>
      <c r="X3366" s="135"/>
      <c r="Y3366" s="135"/>
      <c r="Z3366" s="135"/>
    </row>
    <row r="3367" spans="1:26" ht="12.75">
      <c r="A3367" s="136" t="s">
        <v>10</v>
      </c>
      <c r="B3367" s="136" t="s">
        <v>7855</v>
      </c>
      <c r="C3367" s="136" t="s">
        <v>959</v>
      </c>
      <c r="D3367" s="136" t="s">
        <v>1669</v>
      </c>
      <c r="E3367" s="136" t="s">
        <v>615</v>
      </c>
      <c r="F3367" s="136">
        <v>474</v>
      </c>
      <c r="G3367" s="137">
        <f t="shared" si="13"/>
        <v>1</v>
      </c>
      <c r="H3367" s="137"/>
      <c r="I3367" s="137"/>
      <c r="J3367" s="135"/>
      <c r="K3367" s="135"/>
      <c r="L3367" s="135"/>
      <c r="M3367" s="135"/>
      <c r="N3367" s="135"/>
      <c r="O3367" s="135"/>
      <c r="P3367" s="135"/>
      <c r="Q3367" s="135"/>
      <c r="R3367" s="135"/>
      <c r="S3367" s="135"/>
      <c r="T3367" s="135"/>
      <c r="U3367" s="135"/>
      <c r="V3367" s="135"/>
      <c r="W3367" s="135"/>
      <c r="X3367" s="135"/>
      <c r="Y3367" s="135"/>
      <c r="Z3367" s="135"/>
    </row>
    <row r="3368" spans="1:26" ht="12.75">
      <c r="A3368" s="136" t="s">
        <v>10</v>
      </c>
      <c r="B3368" s="136" t="s">
        <v>7855</v>
      </c>
      <c r="C3368" s="136" t="s">
        <v>959</v>
      </c>
      <c r="D3368" s="136" t="s">
        <v>139</v>
      </c>
      <c r="E3368" s="136" t="s">
        <v>594</v>
      </c>
      <c r="F3368" s="136">
        <v>343</v>
      </c>
      <c r="G3368" s="137">
        <f t="shared" si="13"/>
        <v>2</v>
      </c>
      <c r="H3368" s="137"/>
      <c r="I3368" s="137"/>
      <c r="J3368" s="135"/>
      <c r="K3368" s="135"/>
      <c r="L3368" s="135"/>
      <c r="M3368" s="135"/>
      <c r="N3368" s="135"/>
      <c r="O3368" s="135"/>
      <c r="P3368" s="135"/>
      <c r="Q3368" s="135"/>
      <c r="R3368" s="135"/>
      <c r="S3368" s="135"/>
      <c r="T3368" s="135"/>
      <c r="U3368" s="135"/>
      <c r="V3368" s="135"/>
      <c r="W3368" s="135"/>
      <c r="X3368" s="135"/>
      <c r="Y3368" s="135"/>
      <c r="Z3368" s="135"/>
    </row>
    <row r="3369" spans="1:26" ht="12.75">
      <c r="A3369" s="136" t="s">
        <v>10</v>
      </c>
      <c r="B3369" s="136" t="s">
        <v>7855</v>
      </c>
      <c r="C3369" s="136" t="s">
        <v>959</v>
      </c>
      <c r="D3369" s="136" t="s">
        <v>7481</v>
      </c>
      <c r="E3369" s="136" t="s">
        <v>615</v>
      </c>
      <c r="F3369" s="136">
        <v>320</v>
      </c>
      <c r="G3369" s="137">
        <f t="shared" si="13"/>
        <v>3</v>
      </c>
      <c r="H3369" s="137"/>
      <c r="I3369" s="137"/>
      <c r="J3369" s="135"/>
      <c r="K3369" s="135"/>
      <c r="L3369" s="135"/>
      <c r="M3369" s="135"/>
      <c r="N3369" s="135"/>
      <c r="O3369" s="135"/>
      <c r="P3369" s="135"/>
      <c r="Q3369" s="135"/>
      <c r="R3369" s="135"/>
      <c r="S3369" s="135"/>
      <c r="T3369" s="135"/>
      <c r="U3369" s="135"/>
      <c r="V3369" s="135"/>
      <c r="W3369" s="135"/>
      <c r="X3369" s="135"/>
      <c r="Y3369" s="135"/>
      <c r="Z3369" s="135"/>
    </row>
    <row r="3370" spans="1:26" ht="12.75">
      <c r="A3370" s="136" t="s">
        <v>10</v>
      </c>
      <c r="B3370" s="136" t="s">
        <v>7855</v>
      </c>
      <c r="C3370" s="136" t="s">
        <v>959</v>
      </c>
      <c r="D3370" s="136" t="s">
        <v>114</v>
      </c>
      <c r="E3370" s="136" t="s">
        <v>85</v>
      </c>
      <c r="F3370" s="136">
        <v>187</v>
      </c>
      <c r="G3370" s="137">
        <f t="shared" si="13"/>
        <v>4</v>
      </c>
      <c r="H3370" s="137"/>
      <c r="I3370" s="137"/>
      <c r="J3370" s="135"/>
      <c r="K3370" s="135"/>
      <c r="L3370" s="135"/>
      <c r="M3370" s="135"/>
      <c r="N3370" s="135"/>
      <c r="O3370" s="135"/>
      <c r="P3370" s="135"/>
      <c r="Q3370" s="135"/>
      <c r="R3370" s="135"/>
      <c r="S3370" s="135"/>
      <c r="T3370" s="135"/>
      <c r="U3370" s="135"/>
      <c r="V3370" s="135"/>
      <c r="W3370" s="135"/>
      <c r="X3370" s="135"/>
      <c r="Y3370" s="135"/>
      <c r="Z3370" s="135"/>
    </row>
    <row r="3371" spans="1:26" ht="12.75">
      <c r="A3371" s="136" t="s">
        <v>10</v>
      </c>
      <c r="B3371" s="136" t="s">
        <v>7855</v>
      </c>
      <c r="C3371" s="136" t="s">
        <v>959</v>
      </c>
      <c r="D3371" s="136" t="s">
        <v>437</v>
      </c>
      <c r="E3371" s="136" t="s">
        <v>594</v>
      </c>
      <c r="F3371" s="136">
        <v>164</v>
      </c>
      <c r="G3371" s="137">
        <f t="shared" si="13"/>
        <v>5</v>
      </c>
      <c r="H3371" s="137"/>
      <c r="I3371" s="137"/>
      <c r="J3371" s="135"/>
      <c r="K3371" s="135"/>
      <c r="L3371" s="135"/>
      <c r="M3371" s="135"/>
      <c r="N3371" s="135"/>
      <c r="O3371" s="135"/>
      <c r="P3371" s="135"/>
      <c r="Q3371" s="135"/>
      <c r="R3371" s="135"/>
      <c r="S3371" s="135"/>
      <c r="T3371" s="135"/>
      <c r="U3371" s="135"/>
      <c r="V3371" s="135"/>
      <c r="W3371" s="135"/>
      <c r="X3371" s="135"/>
      <c r="Y3371" s="135"/>
      <c r="Z3371" s="135"/>
    </row>
    <row r="3372" spans="1:26" ht="12.75">
      <c r="A3372" s="136" t="s">
        <v>10</v>
      </c>
      <c r="B3372" s="136" t="s">
        <v>7855</v>
      </c>
      <c r="C3372" s="136" t="s">
        <v>959</v>
      </c>
      <c r="D3372" s="136" t="s">
        <v>165</v>
      </c>
      <c r="E3372" s="136" t="s">
        <v>615</v>
      </c>
      <c r="F3372" s="136">
        <v>146</v>
      </c>
      <c r="G3372" s="137">
        <f t="shared" si="13"/>
        <v>6</v>
      </c>
      <c r="H3372" s="137"/>
      <c r="I3372" s="137"/>
      <c r="J3372" s="135"/>
      <c r="K3372" s="135"/>
      <c r="L3372" s="135"/>
      <c r="M3372" s="135"/>
      <c r="N3372" s="135"/>
      <c r="O3372" s="135"/>
      <c r="P3372" s="135"/>
      <c r="Q3372" s="135"/>
      <c r="R3372" s="135"/>
      <c r="S3372" s="135"/>
      <c r="T3372" s="135"/>
      <c r="U3372" s="135"/>
      <c r="V3372" s="135"/>
      <c r="W3372" s="135"/>
      <c r="X3372" s="135"/>
      <c r="Y3372" s="135"/>
      <c r="Z3372" s="135"/>
    </row>
    <row r="3373" spans="1:26" ht="12.75">
      <c r="A3373" s="136" t="s">
        <v>10</v>
      </c>
      <c r="B3373" s="136" t="s">
        <v>7855</v>
      </c>
      <c r="C3373" s="136" t="s">
        <v>959</v>
      </c>
      <c r="D3373" s="136" t="s">
        <v>7857</v>
      </c>
      <c r="E3373" s="136" t="s">
        <v>615</v>
      </c>
      <c r="F3373" s="136">
        <v>91</v>
      </c>
      <c r="G3373" s="137">
        <f t="shared" si="13"/>
        <v>7</v>
      </c>
      <c r="H3373" s="137"/>
      <c r="I3373" s="137"/>
      <c r="J3373" s="135"/>
      <c r="K3373" s="135"/>
      <c r="L3373" s="135"/>
      <c r="M3373" s="135"/>
      <c r="N3373" s="135"/>
      <c r="O3373" s="135"/>
      <c r="P3373" s="135"/>
      <c r="Q3373" s="135"/>
      <c r="R3373" s="135"/>
      <c r="S3373" s="135"/>
      <c r="T3373" s="135"/>
      <c r="U3373" s="135"/>
      <c r="V3373" s="135"/>
      <c r="W3373" s="135"/>
      <c r="X3373" s="135"/>
      <c r="Y3373" s="135"/>
      <c r="Z3373" s="135"/>
    </row>
    <row r="3374" spans="1:26" ht="12.75">
      <c r="A3374" s="136" t="s">
        <v>10</v>
      </c>
      <c r="B3374" s="136" t="s">
        <v>7855</v>
      </c>
      <c r="C3374" s="136" t="s">
        <v>959</v>
      </c>
      <c r="D3374" s="136" t="s">
        <v>368</v>
      </c>
      <c r="E3374" s="136" t="s">
        <v>594</v>
      </c>
      <c r="F3374" s="136">
        <v>73</v>
      </c>
      <c r="G3374" s="137">
        <f t="shared" si="13"/>
        <v>8</v>
      </c>
      <c r="H3374" s="137"/>
      <c r="I3374" s="137"/>
      <c r="J3374" s="135"/>
      <c r="K3374" s="135"/>
      <c r="L3374" s="135"/>
      <c r="M3374" s="135"/>
      <c r="N3374" s="135"/>
      <c r="O3374" s="135"/>
      <c r="P3374" s="135"/>
      <c r="Q3374" s="135"/>
      <c r="R3374" s="135"/>
      <c r="S3374" s="135"/>
      <c r="T3374" s="135"/>
      <c r="U3374" s="135"/>
      <c r="V3374" s="135"/>
      <c r="W3374" s="135"/>
      <c r="X3374" s="135"/>
      <c r="Y3374" s="135"/>
      <c r="Z3374" s="135"/>
    </row>
    <row r="3375" spans="1:26" ht="12.75">
      <c r="A3375" s="136" t="s">
        <v>10</v>
      </c>
      <c r="B3375" s="136" t="s">
        <v>7855</v>
      </c>
      <c r="C3375" s="136" t="s">
        <v>959</v>
      </c>
      <c r="D3375" s="136" t="s">
        <v>467</v>
      </c>
      <c r="E3375" s="136" t="s">
        <v>85</v>
      </c>
      <c r="F3375" s="136">
        <v>41</v>
      </c>
      <c r="G3375" s="137">
        <f t="shared" si="13"/>
        <v>9</v>
      </c>
      <c r="H3375" s="137"/>
      <c r="I3375" s="137"/>
      <c r="J3375" s="135"/>
      <c r="K3375" s="135"/>
      <c r="L3375" s="135"/>
      <c r="M3375" s="135"/>
      <c r="N3375" s="135"/>
      <c r="O3375" s="135"/>
      <c r="P3375" s="135"/>
      <c r="Q3375" s="135"/>
      <c r="R3375" s="135"/>
      <c r="S3375" s="135"/>
      <c r="T3375" s="135"/>
      <c r="U3375" s="135"/>
      <c r="V3375" s="135"/>
      <c r="W3375" s="135"/>
      <c r="X3375" s="135"/>
      <c r="Y3375" s="135"/>
      <c r="Z3375" s="135"/>
    </row>
    <row r="3376" spans="1:26" ht="12.75">
      <c r="A3376" s="136" t="s">
        <v>10</v>
      </c>
      <c r="B3376" s="136" t="s">
        <v>7855</v>
      </c>
      <c r="C3376" s="136" t="s">
        <v>959</v>
      </c>
      <c r="D3376" s="136" t="s">
        <v>1626</v>
      </c>
      <c r="E3376" s="136" t="s">
        <v>594</v>
      </c>
      <c r="F3376" s="136">
        <v>38</v>
      </c>
      <c r="G3376" s="137">
        <f t="shared" si="13"/>
        <v>10</v>
      </c>
      <c r="H3376" s="137"/>
      <c r="I3376" s="137"/>
      <c r="J3376" s="135"/>
      <c r="K3376" s="135"/>
      <c r="L3376" s="135"/>
      <c r="M3376" s="135"/>
      <c r="N3376" s="135"/>
      <c r="O3376" s="135"/>
      <c r="P3376" s="135"/>
      <c r="Q3376" s="135"/>
      <c r="R3376" s="135"/>
      <c r="S3376" s="135"/>
      <c r="T3376" s="135"/>
      <c r="U3376" s="135"/>
      <c r="V3376" s="135"/>
      <c r="W3376" s="135"/>
      <c r="X3376" s="135"/>
      <c r="Y3376" s="135"/>
      <c r="Z3376" s="135"/>
    </row>
    <row r="3377" spans="1:26" ht="12.75">
      <c r="A3377" s="136" t="s">
        <v>10</v>
      </c>
      <c r="B3377" s="136" t="s">
        <v>7855</v>
      </c>
      <c r="C3377" s="136" t="s">
        <v>959</v>
      </c>
      <c r="D3377" s="136" t="s">
        <v>1656</v>
      </c>
      <c r="E3377" s="136" t="s">
        <v>615</v>
      </c>
      <c r="F3377" s="136">
        <v>35</v>
      </c>
      <c r="G3377" s="137">
        <f t="shared" si="13"/>
        <v>11</v>
      </c>
      <c r="H3377" s="137"/>
      <c r="I3377" s="137"/>
      <c r="J3377" s="135"/>
      <c r="K3377" s="135"/>
      <c r="L3377" s="135"/>
      <c r="M3377" s="135"/>
      <c r="N3377" s="135"/>
      <c r="O3377" s="135"/>
      <c r="P3377" s="135"/>
      <c r="Q3377" s="135"/>
      <c r="R3377" s="135"/>
      <c r="S3377" s="135"/>
      <c r="T3377" s="135"/>
      <c r="U3377" s="135"/>
      <c r="V3377" s="135"/>
      <c r="W3377" s="135"/>
      <c r="X3377" s="135"/>
      <c r="Y3377" s="135"/>
      <c r="Z3377" s="135"/>
    </row>
    <row r="3378" spans="1:26" ht="12.75">
      <c r="A3378" s="136" t="s">
        <v>10</v>
      </c>
      <c r="B3378" s="136" t="s">
        <v>7855</v>
      </c>
      <c r="C3378" s="136" t="s">
        <v>959</v>
      </c>
      <c r="D3378" s="136" t="s">
        <v>3558</v>
      </c>
      <c r="E3378" s="136" t="s">
        <v>594</v>
      </c>
      <c r="F3378" s="136">
        <v>29</v>
      </c>
      <c r="G3378" s="137">
        <f t="shared" si="13"/>
        <v>12</v>
      </c>
      <c r="H3378" s="137"/>
      <c r="I3378" s="137"/>
      <c r="J3378" s="135"/>
      <c r="K3378" s="135"/>
      <c r="L3378" s="135"/>
      <c r="M3378" s="135"/>
      <c r="N3378" s="135"/>
      <c r="O3378" s="135"/>
      <c r="P3378" s="135"/>
      <c r="Q3378" s="135"/>
      <c r="R3378" s="135"/>
      <c r="S3378" s="135"/>
      <c r="T3378" s="135"/>
      <c r="U3378" s="135"/>
      <c r="V3378" s="135"/>
      <c r="W3378" s="135"/>
      <c r="X3378" s="135"/>
      <c r="Y3378" s="135"/>
      <c r="Z3378" s="135"/>
    </row>
    <row r="3379" spans="1:26" ht="12.75">
      <c r="A3379" s="136" t="s">
        <v>10</v>
      </c>
      <c r="B3379" s="136" t="s">
        <v>7855</v>
      </c>
      <c r="C3379" s="136" t="s">
        <v>959</v>
      </c>
      <c r="D3379" s="136" t="s">
        <v>1682</v>
      </c>
      <c r="E3379" s="136" t="s">
        <v>86</v>
      </c>
      <c r="F3379" s="136">
        <v>7</v>
      </c>
      <c r="G3379" s="137">
        <f t="shared" si="13"/>
        <v>13</v>
      </c>
      <c r="H3379" s="137"/>
      <c r="I3379" s="137"/>
      <c r="J3379" s="135"/>
      <c r="K3379" s="135"/>
      <c r="L3379" s="135"/>
      <c r="M3379" s="135"/>
      <c r="N3379" s="135"/>
      <c r="O3379" s="135"/>
      <c r="P3379" s="135"/>
      <c r="Q3379" s="135"/>
      <c r="R3379" s="135"/>
      <c r="S3379" s="135"/>
      <c r="T3379" s="135"/>
      <c r="U3379" s="135"/>
      <c r="V3379" s="135"/>
      <c r="W3379" s="135"/>
      <c r="X3379" s="135"/>
      <c r="Y3379" s="135"/>
      <c r="Z3379" s="135"/>
    </row>
    <row r="3380" spans="1:26" ht="12.75">
      <c r="A3380" s="136" t="s">
        <v>10</v>
      </c>
      <c r="B3380" s="136" t="s">
        <v>7855</v>
      </c>
      <c r="C3380" s="136" t="s">
        <v>963</v>
      </c>
      <c r="D3380" s="136" t="s">
        <v>1669</v>
      </c>
      <c r="E3380" s="136" t="s">
        <v>615</v>
      </c>
      <c r="F3380" s="136">
        <v>990</v>
      </c>
      <c r="G3380" s="137">
        <f t="shared" si="13"/>
        <v>1</v>
      </c>
      <c r="H3380" s="137"/>
      <c r="I3380" s="137"/>
      <c r="J3380" s="135"/>
      <c r="K3380" s="135"/>
      <c r="L3380" s="135"/>
      <c r="M3380" s="135"/>
      <c r="N3380" s="135"/>
      <c r="O3380" s="135"/>
      <c r="P3380" s="135"/>
      <c r="Q3380" s="135"/>
      <c r="R3380" s="135"/>
      <c r="S3380" s="135"/>
      <c r="T3380" s="135"/>
      <c r="U3380" s="135"/>
      <c r="V3380" s="135"/>
      <c r="W3380" s="135"/>
      <c r="X3380" s="135"/>
      <c r="Y3380" s="135"/>
      <c r="Z3380" s="135"/>
    </row>
    <row r="3381" spans="1:26" ht="12.75">
      <c r="A3381" s="136" t="s">
        <v>10</v>
      </c>
      <c r="B3381" s="136" t="s">
        <v>7855</v>
      </c>
      <c r="C3381" s="136" t="s">
        <v>963</v>
      </c>
      <c r="D3381" s="136" t="s">
        <v>114</v>
      </c>
      <c r="E3381" s="136" t="s">
        <v>85</v>
      </c>
      <c r="F3381" s="136">
        <v>886</v>
      </c>
      <c r="G3381" s="137">
        <f t="shared" si="13"/>
        <v>2</v>
      </c>
      <c r="H3381" s="137"/>
      <c r="I3381" s="137"/>
      <c r="J3381" s="135"/>
      <c r="K3381" s="135"/>
      <c r="L3381" s="135"/>
      <c r="M3381" s="135"/>
      <c r="N3381" s="135"/>
      <c r="O3381" s="135"/>
      <c r="P3381" s="135"/>
      <c r="Q3381" s="135"/>
      <c r="R3381" s="135"/>
      <c r="S3381" s="135"/>
      <c r="T3381" s="135"/>
      <c r="U3381" s="135"/>
      <c r="V3381" s="135"/>
      <c r="W3381" s="135"/>
      <c r="X3381" s="135"/>
      <c r="Y3381" s="135"/>
      <c r="Z3381" s="135"/>
    </row>
    <row r="3382" spans="1:26" ht="12.75">
      <c r="A3382" s="136" t="s">
        <v>10</v>
      </c>
      <c r="B3382" s="136" t="s">
        <v>7855</v>
      </c>
      <c r="C3382" s="136" t="s">
        <v>963</v>
      </c>
      <c r="D3382" s="136" t="s">
        <v>139</v>
      </c>
      <c r="E3382" s="136" t="s">
        <v>594</v>
      </c>
      <c r="F3382" s="136">
        <v>694</v>
      </c>
      <c r="G3382" s="137">
        <f t="shared" si="13"/>
        <v>3</v>
      </c>
      <c r="H3382" s="137"/>
      <c r="I3382" s="137"/>
      <c r="J3382" s="135"/>
      <c r="K3382" s="135"/>
      <c r="L3382" s="135"/>
      <c r="M3382" s="135"/>
      <c r="N3382" s="135"/>
      <c r="O3382" s="135"/>
      <c r="P3382" s="135"/>
      <c r="Q3382" s="135"/>
      <c r="R3382" s="135"/>
      <c r="S3382" s="135"/>
      <c r="T3382" s="135"/>
      <c r="U3382" s="135"/>
      <c r="V3382" s="135"/>
      <c r="W3382" s="135"/>
      <c r="X3382" s="135"/>
      <c r="Y3382" s="135"/>
      <c r="Z3382" s="135"/>
    </row>
    <row r="3383" spans="1:26" ht="12.75">
      <c r="A3383" s="136" t="s">
        <v>10</v>
      </c>
      <c r="B3383" s="136" t="s">
        <v>7855</v>
      </c>
      <c r="C3383" s="136" t="s">
        <v>963</v>
      </c>
      <c r="D3383" s="136" t="s">
        <v>7481</v>
      </c>
      <c r="E3383" s="136" t="s">
        <v>615</v>
      </c>
      <c r="F3383" s="136">
        <v>547</v>
      </c>
      <c r="G3383" s="137">
        <f t="shared" si="13"/>
        <v>4</v>
      </c>
      <c r="H3383" s="137"/>
      <c r="I3383" s="137"/>
      <c r="J3383" s="135"/>
      <c r="K3383" s="135"/>
      <c r="L3383" s="135"/>
      <c r="M3383" s="135"/>
      <c r="N3383" s="135"/>
      <c r="O3383" s="135"/>
      <c r="P3383" s="135"/>
      <c r="Q3383" s="135"/>
      <c r="R3383" s="135"/>
      <c r="S3383" s="135"/>
      <c r="T3383" s="135"/>
      <c r="U3383" s="135"/>
      <c r="V3383" s="135"/>
      <c r="W3383" s="135"/>
      <c r="X3383" s="135"/>
      <c r="Y3383" s="135"/>
      <c r="Z3383" s="135"/>
    </row>
    <row r="3384" spans="1:26" ht="12.75">
      <c r="A3384" s="136" t="s">
        <v>10</v>
      </c>
      <c r="B3384" s="136" t="s">
        <v>7855</v>
      </c>
      <c r="C3384" s="136" t="s">
        <v>963</v>
      </c>
      <c r="D3384" s="136" t="s">
        <v>136</v>
      </c>
      <c r="E3384" s="136" t="s">
        <v>615</v>
      </c>
      <c r="F3384" s="136">
        <v>407</v>
      </c>
      <c r="G3384" s="137">
        <f t="shared" si="13"/>
        <v>5</v>
      </c>
      <c r="H3384" s="137"/>
      <c r="I3384" s="137"/>
      <c r="J3384" s="135"/>
      <c r="K3384" s="135"/>
      <c r="L3384" s="135"/>
      <c r="M3384" s="135"/>
      <c r="N3384" s="135"/>
      <c r="O3384" s="135"/>
      <c r="P3384" s="135"/>
      <c r="Q3384" s="135"/>
      <c r="R3384" s="135"/>
      <c r="S3384" s="135"/>
      <c r="T3384" s="135"/>
      <c r="U3384" s="135"/>
      <c r="V3384" s="135"/>
      <c r="W3384" s="135"/>
      <c r="X3384" s="135"/>
      <c r="Y3384" s="135"/>
      <c r="Z3384" s="135"/>
    </row>
    <row r="3385" spans="1:26" ht="12.75">
      <c r="A3385" s="136" t="s">
        <v>10</v>
      </c>
      <c r="B3385" s="136" t="s">
        <v>7855</v>
      </c>
      <c r="C3385" s="136" t="s">
        <v>963</v>
      </c>
      <c r="D3385" s="136" t="s">
        <v>7857</v>
      </c>
      <c r="E3385" s="136" t="s">
        <v>615</v>
      </c>
      <c r="F3385" s="136">
        <v>377</v>
      </c>
      <c r="G3385" s="137">
        <f t="shared" si="13"/>
        <v>6</v>
      </c>
      <c r="H3385" s="137"/>
      <c r="I3385" s="137"/>
      <c r="J3385" s="135"/>
      <c r="K3385" s="135"/>
      <c r="L3385" s="135"/>
      <c r="M3385" s="135"/>
      <c r="N3385" s="135"/>
      <c r="O3385" s="135"/>
      <c r="P3385" s="135"/>
      <c r="Q3385" s="135"/>
      <c r="R3385" s="135"/>
      <c r="S3385" s="135"/>
      <c r="T3385" s="135"/>
      <c r="U3385" s="135"/>
      <c r="V3385" s="135"/>
      <c r="W3385" s="135"/>
      <c r="X3385" s="135"/>
      <c r="Y3385" s="135"/>
      <c r="Z3385" s="135"/>
    </row>
    <row r="3386" spans="1:26" ht="12.75">
      <c r="A3386" s="136" t="s">
        <v>10</v>
      </c>
      <c r="B3386" s="136" t="s">
        <v>7855</v>
      </c>
      <c r="C3386" s="136" t="s">
        <v>963</v>
      </c>
      <c r="D3386" s="136" t="s">
        <v>467</v>
      </c>
      <c r="E3386" s="136" t="s">
        <v>85</v>
      </c>
      <c r="F3386" s="136">
        <v>222</v>
      </c>
      <c r="G3386" s="137">
        <f t="shared" si="13"/>
        <v>7</v>
      </c>
      <c r="H3386" s="137"/>
      <c r="I3386" s="137"/>
      <c r="J3386" s="135"/>
      <c r="K3386" s="135"/>
      <c r="L3386" s="135"/>
      <c r="M3386" s="135"/>
      <c r="N3386" s="135"/>
      <c r="O3386" s="135"/>
      <c r="P3386" s="135"/>
      <c r="Q3386" s="135"/>
      <c r="R3386" s="135"/>
      <c r="S3386" s="135"/>
      <c r="T3386" s="135"/>
      <c r="U3386" s="135"/>
      <c r="V3386" s="135"/>
      <c r="W3386" s="135"/>
      <c r="X3386" s="135"/>
      <c r="Y3386" s="135"/>
      <c r="Z3386" s="135"/>
    </row>
    <row r="3387" spans="1:26" ht="12.75">
      <c r="A3387" s="136" t="s">
        <v>10</v>
      </c>
      <c r="B3387" s="136" t="s">
        <v>7855</v>
      </c>
      <c r="C3387" s="136" t="s">
        <v>963</v>
      </c>
      <c r="D3387" s="136" t="s">
        <v>437</v>
      </c>
      <c r="E3387" s="136" t="s">
        <v>594</v>
      </c>
      <c r="F3387" s="136">
        <v>139</v>
      </c>
      <c r="G3387" s="137">
        <f t="shared" si="13"/>
        <v>8</v>
      </c>
      <c r="H3387" s="137"/>
      <c r="I3387" s="137"/>
      <c r="J3387" s="135"/>
      <c r="K3387" s="135"/>
      <c r="L3387" s="135"/>
      <c r="M3387" s="135"/>
      <c r="N3387" s="135"/>
      <c r="O3387" s="135"/>
      <c r="P3387" s="135"/>
      <c r="Q3387" s="135"/>
      <c r="R3387" s="135"/>
      <c r="S3387" s="135"/>
      <c r="T3387" s="135"/>
      <c r="U3387" s="135"/>
      <c r="V3387" s="135"/>
      <c r="W3387" s="135"/>
      <c r="X3387" s="135"/>
      <c r="Y3387" s="135"/>
      <c r="Z3387" s="135"/>
    </row>
    <row r="3388" spans="1:26" ht="12.75">
      <c r="A3388" s="136" t="s">
        <v>10</v>
      </c>
      <c r="B3388" s="136" t="s">
        <v>7855</v>
      </c>
      <c r="C3388" s="136" t="s">
        <v>963</v>
      </c>
      <c r="D3388" s="136" t="s">
        <v>368</v>
      </c>
      <c r="E3388" s="136" t="s">
        <v>594</v>
      </c>
      <c r="F3388" s="136">
        <v>54</v>
      </c>
      <c r="G3388" s="137">
        <f t="shared" si="13"/>
        <v>9</v>
      </c>
      <c r="H3388" s="137"/>
      <c r="I3388" s="137"/>
      <c r="J3388" s="135"/>
      <c r="K3388" s="135"/>
      <c r="L3388" s="135"/>
      <c r="M3388" s="135"/>
      <c r="N3388" s="135"/>
      <c r="O3388" s="135"/>
      <c r="P3388" s="135"/>
      <c r="Q3388" s="135"/>
      <c r="R3388" s="135"/>
      <c r="S3388" s="135"/>
      <c r="T3388" s="135"/>
      <c r="U3388" s="135"/>
      <c r="V3388" s="135"/>
      <c r="W3388" s="135"/>
      <c r="X3388" s="135"/>
      <c r="Y3388" s="135"/>
      <c r="Z3388" s="135"/>
    </row>
    <row r="3389" spans="1:26" ht="12.75">
      <c r="A3389" s="136" t="s">
        <v>10</v>
      </c>
      <c r="B3389" s="136" t="s">
        <v>7855</v>
      </c>
      <c r="C3389" s="136" t="s">
        <v>963</v>
      </c>
      <c r="D3389" s="136" t="s">
        <v>1656</v>
      </c>
      <c r="E3389" s="136" t="s">
        <v>615</v>
      </c>
      <c r="F3389" s="136">
        <v>43</v>
      </c>
      <c r="G3389" s="137">
        <f t="shared" si="13"/>
        <v>10</v>
      </c>
      <c r="H3389" s="137"/>
      <c r="I3389" s="137"/>
      <c r="J3389" s="135"/>
      <c r="K3389" s="135"/>
      <c r="L3389" s="135"/>
      <c r="M3389" s="135"/>
      <c r="N3389" s="135"/>
      <c r="O3389" s="135"/>
      <c r="P3389" s="135"/>
      <c r="Q3389" s="135"/>
      <c r="R3389" s="135"/>
      <c r="S3389" s="135"/>
      <c r="T3389" s="135"/>
      <c r="U3389" s="135"/>
      <c r="V3389" s="135"/>
      <c r="W3389" s="135"/>
      <c r="X3389" s="135"/>
      <c r="Y3389" s="135"/>
      <c r="Z3389" s="135"/>
    </row>
    <row r="3390" spans="1:26" ht="12.75">
      <c r="A3390" s="136" t="s">
        <v>10</v>
      </c>
      <c r="B3390" s="136" t="s">
        <v>7855</v>
      </c>
      <c r="C3390" s="136" t="s">
        <v>963</v>
      </c>
      <c r="D3390" s="136" t="s">
        <v>1626</v>
      </c>
      <c r="E3390" s="136" t="s">
        <v>594</v>
      </c>
      <c r="F3390" s="136">
        <v>31</v>
      </c>
      <c r="G3390" s="137">
        <f t="shared" si="13"/>
        <v>11</v>
      </c>
      <c r="H3390" s="137"/>
      <c r="I3390" s="137"/>
      <c r="J3390" s="135"/>
      <c r="K3390" s="135"/>
      <c r="L3390" s="135"/>
      <c r="M3390" s="135"/>
      <c r="N3390" s="135"/>
      <c r="O3390" s="135"/>
      <c r="P3390" s="135"/>
      <c r="Q3390" s="135"/>
      <c r="R3390" s="135"/>
      <c r="S3390" s="135"/>
      <c r="T3390" s="135"/>
      <c r="U3390" s="135"/>
      <c r="V3390" s="135"/>
      <c r="W3390" s="135"/>
      <c r="X3390" s="135"/>
      <c r="Y3390" s="135"/>
      <c r="Z3390" s="135"/>
    </row>
    <row r="3391" spans="1:26" ht="12.75">
      <c r="A3391" s="136" t="s">
        <v>10</v>
      </c>
      <c r="B3391" s="136" t="s">
        <v>7855</v>
      </c>
      <c r="C3391" s="136" t="s">
        <v>963</v>
      </c>
      <c r="D3391" s="136" t="s">
        <v>1681</v>
      </c>
      <c r="E3391" s="136" t="s">
        <v>615</v>
      </c>
      <c r="F3391" s="136">
        <v>17</v>
      </c>
      <c r="G3391" s="137">
        <f t="shared" si="13"/>
        <v>12</v>
      </c>
      <c r="H3391" s="137"/>
      <c r="I3391" s="137"/>
      <c r="J3391" s="135"/>
      <c r="K3391" s="135"/>
      <c r="L3391" s="135"/>
      <c r="M3391" s="135"/>
      <c r="N3391" s="135"/>
      <c r="O3391" s="135"/>
      <c r="P3391" s="135"/>
      <c r="Q3391" s="135"/>
      <c r="R3391" s="135"/>
      <c r="S3391" s="135"/>
      <c r="T3391" s="135"/>
      <c r="U3391" s="135"/>
      <c r="V3391" s="135"/>
      <c r="W3391" s="135"/>
      <c r="X3391" s="135"/>
      <c r="Y3391" s="135"/>
      <c r="Z3391" s="135"/>
    </row>
    <row r="3392" spans="1:26" ht="12.75">
      <c r="A3392" s="136" t="s">
        <v>10</v>
      </c>
      <c r="B3392" s="136" t="s">
        <v>7855</v>
      </c>
      <c r="C3392" s="136" t="s">
        <v>7862</v>
      </c>
      <c r="D3392" s="136" t="s">
        <v>139</v>
      </c>
      <c r="E3392" s="136" t="s">
        <v>594</v>
      </c>
      <c r="F3392" s="136">
        <v>1964</v>
      </c>
      <c r="G3392" s="137">
        <f t="shared" si="13"/>
        <v>1</v>
      </c>
      <c r="H3392" s="137"/>
      <c r="I3392" s="137"/>
      <c r="J3392" s="135"/>
      <c r="K3392" s="135"/>
      <c r="L3392" s="135"/>
      <c r="M3392" s="135"/>
      <c r="N3392" s="135"/>
      <c r="O3392" s="135"/>
      <c r="P3392" s="135"/>
      <c r="Q3392" s="135"/>
      <c r="R3392" s="135"/>
      <c r="S3392" s="135"/>
      <c r="T3392" s="135"/>
      <c r="U3392" s="135"/>
      <c r="V3392" s="135"/>
      <c r="W3392" s="135"/>
      <c r="X3392" s="135"/>
      <c r="Y3392" s="135"/>
      <c r="Z3392" s="135"/>
    </row>
    <row r="3393" spans="1:26" ht="12.75">
      <c r="A3393" s="136" t="s">
        <v>10</v>
      </c>
      <c r="B3393" s="136" t="s">
        <v>7855</v>
      </c>
      <c r="C3393" s="136" t="s">
        <v>7862</v>
      </c>
      <c r="D3393" s="136" t="s">
        <v>114</v>
      </c>
      <c r="E3393" s="136" t="s">
        <v>85</v>
      </c>
      <c r="F3393" s="136">
        <v>1130</v>
      </c>
      <c r="G3393" s="137">
        <f t="shared" si="13"/>
        <v>2</v>
      </c>
      <c r="H3393" s="137"/>
      <c r="I3393" s="137"/>
      <c r="J3393" s="135"/>
      <c r="K3393" s="135"/>
      <c r="L3393" s="135"/>
      <c r="M3393" s="135"/>
      <c r="N3393" s="135"/>
      <c r="O3393" s="135"/>
      <c r="P3393" s="135"/>
      <c r="Q3393" s="135"/>
      <c r="R3393" s="135"/>
      <c r="S3393" s="135"/>
      <c r="T3393" s="135"/>
      <c r="U3393" s="135"/>
      <c r="V3393" s="135"/>
      <c r="W3393" s="135"/>
      <c r="X3393" s="135"/>
      <c r="Y3393" s="135"/>
      <c r="Z3393" s="135"/>
    </row>
    <row r="3394" spans="1:26" ht="12.75">
      <c r="A3394" s="136" t="s">
        <v>10</v>
      </c>
      <c r="B3394" s="136" t="s">
        <v>7855</v>
      </c>
      <c r="C3394" s="136" t="s">
        <v>7862</v>
      </c>
      <c r="D3394" s="136" t="s">
        <v>437</v>
      </c>
      <c r="E3394" s="136" t="s">
        <v>594</v>
      </c>
      <c r="F3394" s="136">
        <v>266</v>
      </c>
      <c r="G3394" s="137">
        <f t="shared" si="13"/>
        <v>3</v>
      </c>
      <c r="H3394" s="137"/>
      <c r="I3394" s="137"/>
      <c r="J3394" s="135"/>
      <c r="K3394" s="135"/>
      <c r="L3394" s="135"/>
      <c r="M3394" s="135"/>
      <c r="N3394" s="135"/>
      <c r="O3394" s="135"/>
      <c r="P3394" s="135"/>
      <c r="Q3394" s="135"/>
      <c r="R3394" s="135"/>
      <c r="S3394" s="135"/>
      <c r="T3394" s="135"/>
      <c r="U3394" s="135"/>
      <c r="V3394" s="135"/>
      <c r="W3394" s="135"/>
      <c r="X3394" s="135"/>
      <c r="Y3394" s="135"/>
      <c r="Z3394" s="135"/>
    </row>
    <row r="3395" spans="1:26" ht="12.75">
      <c r="A3395" s="136" t="s">
        <v>10</v>
      </c>
      <c r="B3395" s="136" t="s">
        <v>7855</v>
      </c>
      <c r="C3395" s="136" t="s">
        <v>7862</v>
      </c>
      <c r="D3395" s="136" t="s">
        <v>467</v>
      </c>
      <c r="E3395" s="136" t="s">
        <v>85</v>
      </c>
      <c r="F3395" s="136">
        <v>229</v>
      </c>
      <c r="G3395" s="137">
        <f t="shared" si="13"/>
        <v>4</v>
      </c>
      <c r="H3395" s="137"/>
      <c r="I3395" s="137"/>
      <c r="J3395" s="135"/>
      <c r="K3395" s="135"/>
      <c r="L3395" s="135"/>
      <c r="M3395" s="135"/>
      <c r="N3395" s="135"/>
      <c r="O3395" s="135"/>
      <c r="P3395" s="135"/>
      <c r="Q3395" s="135"/>
      <c r="R3395" s="135"/>
      <c r="S3395" s="135"/>
      <c r="T3395" s="135"/>
      <c r="U3395" s="135"/>
      <c r="V3395" s="135"/>
      <c r="W3395" s="135"/>
      <c r="X3395" s="135"/>
      <c r="Y3395" s="135"/>
      <c r="Z3395" s="135"/>
    </row>
    <row r="3396" spans="1:26" ht="12.75">
      <c r="A3396" s="136" t="s">
        <v>10</v>
      </c>
      <c r="B3396" s="136" t="s">
        <v>7855</v>
      </c>
      <c r="C3396" s="136" t="s">
        <v>7862</v>
      </c>
      <c r="D3396" s="136" t="s">
        <v>7857</v>
      </c>
      <c r="E3396" s="136" t="s">
        <v>615</v>
      </c>
      <c r="F3396" s="136">
        <v>92</v>
      </c>
      <c r="G3396" s="137">
        <f t="shared" si="13"/>
        <v>5</v>
      </c>
      <c r="H3396" s="137"/>
      <c r="I3396" s="137"/>
      <c r="J3396" s="135"/>
      <c r="K3396" s="135"/>
      <c r="L3396" s="135"/>
      <c r="M3396" s="135"/>
      <c r="N3396" s="135"/>
      <c r="O3396" s="135"/>
      <c r="P3396" s="135"/>
      <c r="Q3396" s="135"/>
      <c r="R3396" s="135"/>
      <c r="S3396" s="135"/>
      <c r="T3396" s="135"/>
      <c r="U3396" s="135"/>
      <c r="V3396" s="135"/>
      <c r="W3396" s="135"/>
      <c r="X3396" s="135"/>
      <c r="Y3396" s="135"/>
      <c r="Z3396" s="135"/>
    </row>
    <row r="3397" spans="1:26" ht="12.75">
      <c r="A3397" s="136" t="s">
        <v>10</v>
      </c>
      <c r="B3397" s="136" t="s">
        <v>7855</v>
      </c>
      <c r="C3397" s="136" t="s">
        <v>7862</v>
      </c>
      <c r="D3397" s="136" t="s">
        <v>368</v>
      </c>
      <c r="E3397" s="136" t="s">
        <v>594</v>
      </c>
      <c r="F3397" s="136">
        <v>90</v>
      </c>
      <c r="G3397" s="137">
        <f t="shared" si="13"/>
        <v>6</v>
      </c>
      <c r="H3397" s="137"/>
      <c r="I3397" s="137"/>
      <c r="J3397" s="135"/>
      <c r="K3397" s="135"/>
      <c r="L3397" s="135"/>
      <c r="M3397" s="135"/>
      <c r="N3397" s="135"/>
      <c r="O3397" s="135"/>
      <c r="P3397" s="135"/>
      <c r="Q3397" s="135"/>
      <c r="R3397" s="135"/>
      <c r="S3397" s="135"/>
      <c r="T3397" s="135"/>
      <c r="U3397" s="135"/>
      <c r="V3397" s="135"/>
      <c r="W3397" s="135"/>
      <c r="X3397" s="135"/>
      <c r="Y3397" s="135"/>
      <c r="Z3397" s="135"/>
    </row>
    <row r="3398" spans="1:26" ht="12.75">
      <c r="A3398" s="136" t="s">
        <v>10</v>
      </c>
      <c r="B3398" s="136" t="s">
        <v>7855</v>
      </c>
      <c r="C3398" s="136" t="s">
        <v>7862</v>
      </c>
      <c r="D3398" s="136" t="s">
        <v>1669</v>
      </c>
      <c r="E3398" s="136" t="s">
        <v>615</v>
      </c>
      <c r="F3398" s="136">
        <v>90</v>
      </c>
      <c r="G3398" s="137">
        <f t="shared" si="13"/>
        <v>7</v>
      </c>
      <c r="H3398" s="137"/>
      <c r="I3398" s="137"/>
      <c r="J3398" s="135"/>
      <c r="K3398" s="135"/>
      <c r="L3398" s="135"/>
      <c r="M3398" s="135"/>
      <c r="N3398" s="135"/>
      <c r="O3398" s="135"/>
      <c r="P3398" s="135"/>
      <c r="Q3398" s="135"/>
      <c r="R3398" s="135"/>
      <c r="S3398" s="135"/>
      <c r="T3398" s="135"/>
      <c r="U3398" s="135"/>
      <c r="V3398" s="135"/>
      <c r="W3398" s="135"/>
      <c r="X3398" s="135"/>
      <c r="Y3398" s="135"/>
      <c r="Z3398" s="135"/>
    </row>
    <row r="3399" spans="1:26" ht="12.75">
      <c r="A3399" s="136" t="s">
        <v>10</v>
      </c>
      <c r="B3399" s="136" t="s">
        <v>7855</v>
      </c>
      <c r="C3399" s="136" t="s">
        <v>7862</v>
      </c>
      <c r="D3399" s="136" t="s">
        <v>1626</v>
      </c>
      <c r="E3399" s="136" t="s">
        <v>594</v>
      </c>
      <c r="F3399" s="136">
        <v>74</v>
      </c>
      <c r="G3399" s="137">
        <f t="shared" si="13"/>
        <v>8</v>
      </c>
      <c r="H3399" s="137"/>
      <c r="I3399" s="137"/>
      <c r="J3399" s="135"/>
      <c r="K3399" s="135"/>
      <c r="L3399" s="135"/>
      <c r="M3399" s="135"/>
      <c r="N3399" s="135"/>
      <c r="O3399" s="135"/>
      <c r="P3399" s="135"/>
      <c r="Q3399" s="135"/>
      <c r="R3399" s="135"/>
      <c r="S3399" s="135"/>
      <c r="T3399" s="135"/>
      <c r="U3399" s="135"/>
      <c r="V3399" s="135"/>
      <c r="W3399" s="135"/>
      <c r="X3399" s="135"/>
      <c r="Y3399" s="135"/>
      <c r="Z3399" s="135"/>
    </row>
    <row r="3400" spans="1:26" ht="12.75">
      <c r="A3400" s="136" t="s">
        <v>10</v>
      </c>
      <c r="B3400" s="136" t="s">
        <v>7855</v>
      </c>
      <c r="C3400" s="136" t="s">
        <v>7862</v>
      </c>
      <c r="D3400" s="136" t="s">
        <v>1656</v>
      </c>
      <c r="E3400" s="136" t="s">
        <v>615</v>
      </c>
      <c r="F3400" s="136">
        <v>68</v>
      </c>
      <c r="G3400" s="137">
        <f t="shared" si="13"/>
        <v>9</v>
      </c>
      <c r="H3400" s="137"/>
      <c r="I3400" s="137"/>
      <c r="J3400" s="135"/>
      <c r="K3400" s="135"/>
      <c r="L3400" s="135"/>
      <c r="M3400" s="135"/>
      <c r="N3400" s="135"/>
      <c r="O3400" s="135"/>
      <c r="P3400" s="135"/>
      <c r="Q3400" s="135"/>
      <c r="R3400" s="135"/>
      <c r="S3400" s="135"/>
      <c r="T3400" s="135"/>
      <c r="U3400" s="135"/>
      <c r="V3400" s="135"/>
      <c r="W3400" s="135"/>
      <c r="X3400" s="135"/>
      <c r="Y3400" s="135"/>
      <c r="Z3400" s="135"/>
    </row>
    <row r="3401" spans="1:26" ht="12.75">
      <c r="A3401" s="136" t="s">
        <v>10</v>
      </c>
      <c r="B3401" s="136" t="s">
        <v>7855</v>
      </c>
      <c r="C3401" s="136" t="s">
        <v>7862</v>
      </c>
      <c r="D3401" s="136" t="s">
        <v>136</v>
      </c>
      <c r="E3401" s="136" t="s">
        <v>615</v>
      </c>
      <c r="F3401" s="136">
        <v>51</v>
      </c>
      <c r="G3401" s="137">
        <f t="shared" si="13"/>
        <v>10</v>
      </c>
      <c r="H3401" s="137"/>
      <c r="I3401" s="137"/>
      <c r="J3401" s="135"/>
      <c r="K3401" s="135"/>
      <c r="L3401" s="135"/>
      <c r="M3401" s="135"/>
      <c r="N3401" s="135"/>
      <c r="O3401" s="135"/>
      <c r="P3401" s="135"/>
      <c r="Q3401" s="135"/>
      <c r="R3401" s="135"/>
      <c r="S3401" s="135"/>
      <c r="T3401" s="135"/>
      <c r="U3401" s="135"/>
      <c r="V3401" s="135"/>
      <c r="W3401" s="135"/>
      <c r="X3401" s="135"/>
      <c r="Y3401" s="135"/>
      <c r="Z3401" s="135"/>
    </row>
    <row r="3402" spans="1:26" ht="12.75">
      <c r="A3402" s="136" t="s">
        <v>10</v>
      </c>
      <c r="B3402" s="136" t="s">
        <v>7855</v>
      </c>
      <c r="C3402" s="136" t="s">
        <v>7862</v>
      </c>
      <c r="D3402" s="136" t="s">
        <v>7481</v>
      </c>
      <c r="E3402" s="136" t="s">
        <v>615</v>
      </c>
      <c r="F3402" s="136">
        <v>51</v>
      </c>
      <c r="G3402" s="137">
        <f t="shared" si="13"/>
        <v>11</v>
      </c>
      <c r="H3402" s="137"/>
      <c r="I3402" s="137"/>
      <c r="J3402" s="135"/>
      <c r="K3402" s="135"/>
      <c r="L3402" s="135"/>
      <c r="M3402" s="135"/>
      <c r="N3402" s="135"/>
      <c r="O3402" s="135"/>
      <c r="P3402" s="135"/>
      <c r="Q3402" s="135"/>
      <c r="R3402" s="135"/>
      <c r="S3402" s="135"/>
      <c r="T3402" s="135"/>
      <c r="U3402" s="135"/>
      <c r="V3402" s="135"/>
      <c r="W3402" s="135"/>
      <c r="X3402" s="135"/>
      <c r="Y3402" s="135"/>
      <c r="Z3402" s="135"/>
    </row>
    <row r="3403" spans="1:26" ht="12.75">
      <c r="A3403" s="136" t="s">
        <v>10</v>
      </c>
      <c r="B3403" s="136" t="s">
        <v>7855</v>
      </c>
      <c r="C3403" s="136" t="s">
        <v>7862</v>
      </c>
      <c r="D3403" s="136" t="s">
        <v>7863</v>
      </c>
      <c r="E3403" s="136" t="s">
        <v>86</v>
      </c>
      <c r="F3403" s="136">
        <v>1</v>
      </c>
      <c r="G3403" s="137">
        <f t="shared" si="13"/>
        <v>12</v>
      </c>
      <c r="H3403" s="137"/>
      <c r="I3403" s="137"/>
      <c r="J3403" s="135"/>
      <c r="K3403" s="135"/>
      <c r="L3403" s="135"/>
      <c r="M3403" s="135"/>
      <c r="N3403" s="135"/>
      <c r="O3403" s="135"/>
      <c r="P3403" s="135"/>
      <c r="Q3403" s="135"/>
      <c r="R3403" s="135"/>
      <c r="S3403" s="135"/>
      <c r="T3403" s="135"/>
      <c r="U3403" s="135"/>
      <c r="V3403" s="135"/>
      <c r="W3403" s="135"/>
      <c r="X3403" s="135"/>
      <c r="Y3403" s="135"/>
      <c r="Z3403" s="135"/>
    </row>
    <row r="3404" spans="1:26" ht="12.75">
      <c r="A3404" s="136" t="s">
        <v>10</v>
      </c>
      <c r="B3404" s="136" t="s">
        <v>7855</v>
      </c>
      <c r="C3404" s="136" t="s">
        <v>961</v>
      </c>
      <c r="D3404" s="136" t="s">
        <v>1669</v>
      </c>
      <c r="E3404" s="136" t="s">
        <v>615</v>
      </c>
      <c r="F3404" s="136">
        <v>1020</v>
      </c>
      <c r="G3404" s="137">
        <f t="shared" si="13"/>
        <v>1</v>
      </c>
      <c r="H3404" s="137"/>
      <c r="I3404" s="137"/>
      <c r="J3404" s="135"/>
      <c r="K3404" s="135"/>
      <c r="L3404" s="135"/>
      <c r="M3404" s="135"/>
      <c r="N3404" s="135"/>
      <c r="O3404" s="135"/>
      <c r="P3404" s="135"/>
      <c r="Q3404" s="135"/>
      <c r="R3404" s="135"/>
      <c r="S3404" s="135"/>
      <c r="T3404" s="135"/>
      <c r="U3404" s="135"/>
      <c r="V3404" s="135"/>
      <c r="W3404" s="135"/>
      <c r="X3404" s="135"/>
      <c r="Y3404" s="135"/>
      <c r="Z3404" s="135"/>
    </row>
    <row r="3405" spans="1:26" ht="12.75">
      <c r="A3405" s="136" t="s">
        <v>10</v>
      </c>
      <c r="B3405" s="136" t="s">
        <v>7855</v>
      </c>
      <c r="C3405" s="136" t="s">
        <v>961</v>
      </c>
      <c r="D3405" s="136" t="s">
        <v>139</v>
      </c>
      <c r="E3405" s="136" t="s">
        <v>594</v>
      </c>
      <c r="F3405" s="136">
        <v>705</v>
      </c>
      <c r="G3405" s="137">
        <f t="shared" si="13"/>
        <v>2</v>
      </c>
      <c r="H3405" s="137"/>
      <c r="I3405" s="137"/>
      <c r="J3405" s="135"/>
      <c r="K3405" s="135"/>
      <c r="L3405" s="135"/>
      <c r="M3405" s="135"/>
      <c r="N3405" s="135"/>
      <c r="O3405" s="135"/>
      <c r="P3405" s="135"/>
      <c r="Q3405" s="135"/>
      <c r="R3405" s="135"/>
      <c r="S3405" s="135"/>
      <c r="T3405" s="135"/>
      <c r="U3405" s="135"/>
      <c r="V3405" s="135"/>
      <c r="W3405" s="135"/>
      <c r="X3405" s="135"/>
      <c r="Y3405" s="135"/>
      <c r="Z3405" s="135"/>
    </row>
    <row r="3406" spans="1:26" ht="12.75">
      <c r="A3406" s="136" t="s">
        <v>10</v>
      </c>
      <c r="B3406" s="136" t="s">
        <v>7855</v>
      </c>
      <c r="C3406" s="136" t="s">
        <v>961</v>
      </c>
      <c r="D3406" s="136" t="s">
        <v>437</v>
      </c>
      <c r="E3406" s="136" t="s">
        <v>594</v>
      </c>
      <c r="F3406" s="136">
        <v>559</v>
      </c>
      <c r="G3406" s="137">
        <f t="shared" si="13"/>
        <v>3</v>
      </c>
      <c r="H3406" s="137"/>
      <c r="I3406" s="137"/>
      <c r="J3406" s="135"/>
      <c r="K3406" s="135"/>
      <c r="L3406" s="135"/>
      <c r="M3406" s="135"/>
      <c r="N3406" s="135"/>
      <c r="O3406" s="135"/>
      <c r="P3406" s="135"/>
      <c r="Q3406" s="135"/>
      <c r="R3406" s="135"/>
      <c r="S3406" s="135"/>
      <c r="T3406" s="135"/>
      <c r="U3406" s="135"/>
      <c r="V3406" s="135"/>
      <c r="W3406" s="135"/>
      <c r="X3406" s="135"/>
      <c r="Y3406" s="135"/>
      <c r="Z3406" s="135"/>
    </row>
    <row r="3407" spans="1:26" ht="12.75">
      <c r="A3407" s="136" t="s">
        <v>10</v>
      </c>
      <c r="B3407" s="136" t="s">
        <v>7855</v>
      </c>
      <c r="C3407" s="136" t="s">
        <v>961</v>
      </c>
      <c r="D3407" s="136" t="s">
        <v>114</v>
      </c>
      <c r="E3407" s="136" t="s">
        <v>85</v>
      </c>
      <c r="F3407" s="136">
        <v>531</v>
      </c>
      <c r="G3407" s="137">
        <f t="shared" si="13"/>
        <v>4</v>
      </c>
      <c r="H3407" s="137"/>
      <c r="I3407" s="137"/>
      <c r="J3407" s="135"/>
      <c r="K3407" s="135"/>
      <c r="L3407" s="135"/>
      <c r="M3407" s="135"/>
      <c r="N3407" s="135"/>
      <c r="O3407" s="135"/>
      <c r="P3407" s="135"/>
      <c r="Q3407" s="135"/>
      <c r="R3407" s="135"/>
      <c r="S3407" s="135"/>
      <c r="T3407" s="135"/>
      <c r="U3407" s="135"/>
      <c r="V3407" s="135"/>
      <c r="W3407" s="135"/>
      <c r="X3407" s="135"/>
      <c r="Y3407" s="135"/>
      <c r="Z3407" s="135"/>
    </row>
    <row r="3408" spans="1:26" ht="12.75">
      <c r="A3408" s="136" t="s">
        <v>10</v>
      </c>
      <c r="B3408" s="136" t="s">
        <v>7855</v>
      </c>
      <c r="C3408" s="136" t="s">
        <v>961</v>
      </c>
      <c r="D3408" s="136" t="s">
        <v>7481</v>
      </c>
      <c r="E3408" s="136" t="s">
        <v>615</v>
      </c>
      <c r="F3408" s="136">
        <v>346</v>
      </c>
      <c r="G3408" s="137">
        <f t="shared" si="13"/>
        <v>5</v>
      </c>
      <c r="H3408" s="137"/>
      <c r="I3408" s="137"/>
      <c r="J3408" s="135"/>
      <c r="K3408" s="135"/>
      <c r="L3408" s="135"/>
      <c r="M3408" s="135"/>
      <c r="N3408" s="135"/>
      <c r="O3408" s="135"/>
      <c r="P3408" s="135"/>
      <c r="Q3408" s="135"/>
      <c r="R3408" s="135"/>
      <c r="S3408" s="135"/>
      <c r="T3408" s="135"/>
      <c r="U3408" s="135"/>
      <c r="V3408" s="135"/>
      <c r="W3408" s="135"/>
      <c r="X3408" s="135"/>
      <c r="Y3408" s="135"/>
      <c r="Z3408" s="135"/>
    </row>
    <row r="3409" spans="1:26" ht="12.75">
      <c r="A3409" s="136" t="s">
        <v>10</v>
      </c>
      <c r="B3409" s="136" t="s">
        <v>7855</v>
      </c>
      <c r="C3409" s="136" t="s">
        <v>961</v>
      </c>
      <c r="D3409" s="136" t="s">
        <v>136</v>
      </c>
      <c r="E3409" s="136" t="s">
        <v>615</v>
      </c>
      <c r="F3409" s="136">
        <v>221</v>
      </c>
      <c r="G3409" s="137">
        <f t="shared" si="13"/>
        <v>6</v>
      </c>
      <c r="H3409" s="137"/>
      <c r="I3409" s="137"/>
      <c r="J3409" s="135"/>
      <c r="K3409" s="135"/>
      <c r="L3409" s="135"/>
      <c r="M3409" s="135"/>
      <c r="N3409" s="135"/>
      <c r="O3409" s="135"/>
      <c r="P3409" s="135"/>
      <c r="Q3409" s="135"/>
      <c r="R3409" s="135"/>
      <c r="S3409" s="135"/>
      <c r="T3409" s="135"/>
      <c r="U3409" s="135"/>
      <c r="V3409" s="135"/>
      <c r="W3409" s="135"/>
      <c r="X3409" s="135"/>
      <c r="Y3409" s="135"/>
      <c r="Z3409" s="135"/>
    </row>
    <row r="3410" spans="1:26" ht="12.75">
      <c r="A3410" s="136" t="s">
        <v>10</v>
      </c>
      <c r="B3410" s="136" t="s">
        <v>7855</v>
      </c>
      <c r="C3410" s="136" t="s">
        <v>961</v>
      </c>
      <c r="D3410" s="136" t="s">
        <v>467</v>
      </c>
      <c r="E3410" s="136" t="s">
        <v>85</v>
      </c>
      <c r="F3410" s="136">
        <v>112</v>
      </c>
      <c r="G3410" s="137">
        <f t="shared" si="13"/>
        <v>7</v>
      </c>
      <c r="H3410" s="137"/>
      <c r="I3410" s="137"/>
      <c r="J3410" s="135"/>
      <c r="K3410" s="135"/>
      <c r="L3410" s="135"/>
      <c r="M3410" s="135"/>
      <c r="N3410" s="135"/>
      <c r="O3410" s="135"/>
      <c r="P3410" s="135"/>
      <c r="Q3410" s="135"/>
      <c r="R3410" s="135"/>
      <c r="S3410" s="135"/>
      <c r="T3410" s="135"/>
      <c r="U3410" s="135"/>
      <c r="V3410" s="135"/>
      <c r="W3410" s="135"/>
      <c r="X3410" s="135"/>
      <c r="Y3410" s="135"/>
      <c r="Z3410" s="135"/>
    </row>
    <row r="3411" spans="1:26" ht="12.75">
      <c r="A3411" s="136" t="s">
        <v>10</v>
      </c>
      <c r="B3411" s="136" t="s">
        <v>7855</v>
      </c>
      <c r="C3411" s="136" t="s">
        <v>961</v>
      </c>
      <c r="D3411" s="136" t="s">
        <v>368</v>
      </c>
      <c r="E3411" s="136" t="s">
        <v>594</v>
      </c>
      <c r="F3411" s="136">
        <v>70</v>
      </c>
      <c r="G3411" s="137">
        <f t="shared" si="13"/>
        <v>8</v>
      </c>
      <c r="H3411" s="137"/>
      <c r="I3411" s="137"/>
      <c r="J3411" s="135"/>
      <c r="K3411" s="135"/>
      <c r="L3411" s="135"/>
      <c r="M3411" s="135"/>
      <c r="N3411" s="135"/>
      <c r="O3411" s="135"/>
      <c r="P3411" s="135"/>
      <c r="Q3411" s="135"/>
      <c r="R3411" s="135"/>
      <c r="S3411" s="135"/>
      <c r="T3411" s="135"/>
      <c r="U3411" s="135"/>
      <c r="V3411" s="135"/>
      <c r="W3411" s="135"/>
      <c r="X3411" s="135"/>
      <c r="Y3411" s="135"/>
      <c r="Z3411" s="135"/>
    </row>
    <row r="3412" spans="1:26" ht="12.75">
      <c r="A3412" s="136" t="s">
        <v>10</v>
      </c>
      <c r="B3412" s="136" t="s">
        <v>7855</v>
      </c>
      <c r="C3412" s="136" t="s">
        <v>961</v>
      </c>
      <c r="D3412" s="136" t="s">
        <v>7857</v>
      </c>
      <c r="E3412" s="136" t="s">
        <v>615</v>
      </c>
      <c r="F3412" s="136">
        <v>67</v>
      </c>
      <c r="G3412" s="137">
        <f t="shared" si="13"/>
        <v>9</v>
      </c>
      <c r="H3412" s="137"/>
      <c r="I3412" s="137"/>
      <c r="J3412" s="135"/>
      <c r="K3412" s="135"/>
      <c r="L3412" s="135"/>
      <c r="M3412" s="135"/>
      <c r="N3412" s="135"/>
      <c r="O3412" s="135"/>
      <c r="P3412" s="135"/>
      <c r="Q3412" s="135"/>
      <c r="R3412" s="135"/>
      <c r="S3412" s="135"/>
      <c r="T3412" s="135"/>
      <c r="U3412" s="135"/>
      <c r="V3412" s="135"/>
      <c r="W3412" s="135"/>
      <c r="X3412" s="135"/>
      <c r="Y3412" s="135"/>
      <c r="Z3412" s="135"/>
    </row>
    <row r="3413" spans="1:26" ht="12.75">
      <c r="A3413" s="136" t="s">
        <v>10</v>
      </c>
      <c r="B3413" s="136" t="s">
        <v>7855</v>
      </c>
      <c r="C3413" s="136" t="s">
        <v>961</v>
      </c>
      <c r="D3413" s="136" t="s">
        <v>1626</v>
      </c>
      <c r="E3413" s="136" t="s">
        <v>594</v>
      </c>
      <c r="F3413" s="136">
        <v>45</v>
      </c>
      <c r="G3413" s="137">
        <f t="shared" si="13"/>
        <v>10</v>
      </c>
      <c r="H3413" s="137"/>
      <c r="I3413" s="137"/>
      <c r="J3413" s="135"/>
      <c r="K3413" s="135"/>
      <c r="L3413" s="135"/>
      <c r="M3413" s="135"/>
      <c r="N3413" s="135"/>
      <c r="O3413" s="135"/>
      <c r="P3413" s="135"/>
      <c r="Q3413" s="135"/>
      <c r="R3413" s="135"/>
      <c r="S3413" s="135"/>
      <c r="T3413" s="135"/>
      <c r="U3413" s="135"/>
      <c r="V3413" s="135"/>
      <c r="W3413" s="135"/>
      <c r="X3413" s="135"/>
      <c r="Y3413" s="135"/>
      <c r="Z3413" s="135"/>
    </row>
    <row r="3414" spans="1:26" ht="12.75">
      <c r="A3414" s="136" t="s">
        <v>10</v>
      </c>
      <c r="B3414" s="136" t="s">
        <v>7855</v>
      </c>
      <c r="C3414" s="136" t="s">
        <v>961</v>
      </c>
      <c r="D3414" s="136" t="s">
        <v>1656</v>
      </c>
      <c r="E3414" s="136" t="s">
        <v>615</v>
      </c>
      <c r="F3414" s="136">
        <v>39</v>
      </c>
      <c r="G3414" s="137">
        <f t="shared" si="13"/>
        <v>11</v>
      </c>
      <c r="H3414" s="137"/>
      <c r="I3414" s="137"/>
      <c r="J3414" s="135"/>
      <c r="K3414" s="135"/>
      <c r="L3414" s="135"/>
      <c r="M3414" s="135"/>
      <c r="N3414" s="135"/>
      <c r="O3414" s="135"/>
      <c r="P3414" s="135"/>
      <c r="Q3414" s="135"/>
      <c r="R3414" s="135"/>
      <c r="S3414" s="135"/>
      <c r="T3414" s="135"/>
      <c r="U3414" s="135"/>
      <c r="V3414" s="135"/>
      <c r="W3414" s="135"/>
      <c r="X3414" s="135"/>
      <c r="Y3414" s="135"/>
      <c r="Z3414" s="135"/>
    </row>
    <row r="3415" spans="1:26" ht="12.75">
      <c r="A3415" s="136" t="s">
        <v>10</v>
      </c>
      <c r="B3415" s="136" t="s">
        <v>7855</v>
      </c>
      <c r="C3415" s="136" t="s">
        <v>961</v>
      </c>
      <c r="D3415" s="136" t="s">
        <v>1682</v>
      </c>
      <c r="E3415" s="136" t="s">
        <v>86</v>
      </c>
      <c r="F3415" s="136">
        <v>8</v>
      </c>
      <c r="G3415" s="137">
        <f t="shared" si="13"/>
        <v>12</v>
      </c>
      <c r="H3415" s="137"/>
      <c r="I3415" s="137"/>
      <c r="J3415" s="135"/>
      <c r="K3415" s="135"/>
      <c r="L3415" s="135"/>
      <c r="M3415" s="135"/>
      <c r="N3415" s="135"/>
      <c r="O3415" s="135"/>
      <c r="P3415" s="135"/>
      <c r="Q3415" s="135"/>
      <c r="R3415" s="135"/>
      <c r="S3415" s="135"/>
      <c r="T3415" s="135"/>
      <c r="U3415" s="135"/>
      <c r="V3415" s="135"/>
      <c r="W3415" s="135"/>
      <c r="X3415" s="135"/>
      <c r="Y3415" s="135"/>
      <c r="Z3415" s="135"/>
    </row>
    <row r="3416" spans="1:26" ht="12.75">
      <c r="A3416" s="136" t="s">
        <v>10</v>
      </c>
      <c r="B3416" s="136" t="s">
        <v>7855</v>
      </c>
      <c r="C3416" s="136" t="s">
        <v>7864</v>
      </c>
      <c r="D3416" s="136" t="s">
        <v>437</v>
      </c>
      <c r="E3416" s="136" t="s">
        <v>594</v>
      </c>
      <c r="F3416" s="136">
        <v>2793</v>
      </c>
      <c r="G3416" s="137">
        <f t="shared" si="13"/>
        <v>1</v>
      </c>
      <c r="H3416" s="137"/>
      <c r="I3416" s="137"/>
      <c r="J3416" s="135"/>
      <c r="K3416" s="135"/>
      <c r="L3416" s="135"/>
      <c r="M3416" s="135"/>
      <c r="N3416" s="135"/>
      <c r="O3416" s="135"/>
      <c r="P3416" s="135"/>
      <c r="Q3416" s="135"/>
      <c r="R3416" s="135"/>
      <c r="S3416" s="135"/>
      <c r="T3416" s="135"/>
      <c r="U3416" s="135"/>
      <c r="V3416" s="135"/>
      <c r="W3416" s="135"/>
      <c r="X3416" s="135"/>
      <c r="Y3416" s="135"/>
      <c r="Z3416" s="135"/>
    </row>
    <row r="3417" spans="1:26" ht="12.75">
      <c r="A3417" s="136" t="s">
        <v>10</v>
      </c>
      <c r="B3417" s="136" t="s">
        <v>7855</v>
      </c>
      <c r="C3417" s="136" t="s">
        <v>7864</v>
      </c>
      <c r="D3417" s="136" t="s">
        <v>139</v>
      </c>
      <c r="E3417" s="136" t="s">
        <v>594</v>
      </c>
      <c r="F3417" s="136">
        <v>1300</v>
      </c>
      <c r="G3417" s="137">
        <f t="shared" si="13"/>
        <v>2</v>
      </c>
      <c r="H3417" s="137"/>
      <c r="I3417" s="137"/>
      <c r="J3417" s="135"/>
      <c r="K3417" s="135"/>
      <c r="L3417" s="135"/>
      <c r="M3417" s="135"/>
      <c r="N3417" s="135"/>
      <c r="O3417" s="135"/>
      <c r="P3417" s="135"/>
      <c r="Q3417" s="135"/>
      <c r="R3417" s="135"/>
      <c r="S3417" s="135"/>
      <c r="T3417" s="135"/>
      <c r="U3417" s="135"/>
      <c r="V3417" s="135"/>
      <c r="W3417" s="135"/>
      <c r="X3417" s="135"/>
      <c r="Y3417" s="135"/>
      <c r="Z3417" s="135"/>
    </row>
    <row r="3418" spans="1:26" ht="12.75">
      <c r="A3418" s="136" t="s">
        <v>10</v>
      </c>
      <c r="B3418" s="136" t="s">
        <v>7855</v>
      </c>
      <c r="C3418" s="136" t="s">
        <v>7864</v>
      </c>
      <c r="D3418" s="136" t="s">
        <v>1669</v>
      </c>
      <c r="E3418" s="136" t="s">
        <v>615</v>
      </c>
      <c r="F3418" s="136">
        <v>629</v>
      </c>
      <c r="G3418" s="137">
        <f t="shared" si="13"/>
        <v>3</v>
      </c>
      <c r="H3418" s="137"/>
      <c r="I3418" s="137"/>
      <c r="J3418" s="135"/>
      <c r="K3418" s="135"/>
      <c r="L3418" s="135"/>
      <c r="M3418" s="135"/>
      <c r="N3418" s="135"/>
      <c r="O3418" s="135"/>
      <c r="P3418" s="135"/>
      <c r="Q3418" s="135"/>
      <c r="R3418" s="135"/>
      <c r="S3418" s="135"/>
      <c r="T3418" s="135"/>
      <c r="U3418" s="135"/>
      <c r="V3418" s="135"/>
      <c r="W3418" s="135"/>
      <c r="X3418" s="135"/>
      <c r="Y3418" s="135"/>
      <c r="Z3418" s="135"/>
    </row>
    <row r="3419" spans="1:26" ht="12.75">
      <c r="A3419" s="136" t="s">
        <v>10</v>
      </c>
      <c r="B3419" s="136" t="s">
        <v>7855</v>
      </c>
      <c r="C3419" s="136" t="s">
        <v>7864</v>
      </c>
      <c r="D3419" s="136" t="s">
        <v>114</v>
      </c>
      <c r="E3419" s="136" t="s">
        <v>85</v>
      </c>
      <c r="F3419" s="136">
        <v>376</v>
      </c>
      <c r="G3419" s="137">
        <f t="shared" si="13"/>
        <v>4</v>
      </c>
      <c r="H3419" s="137"/>
      <c r="I3419" s="137"/>
      <c r="J3419" s="135"/>
      <c r="K3419" s="135"/>
      <c r="L3419" s="135"/>
      <c r="M3419" s="135"/>
      <c r="N3419" s="135"/>
      <c r="O3419" s="135"/>
      <c r="P3419" s="135"/>
      <c r="Q3419" s="135"/>
      <c r="R3419" s="135"/>
      <c r="S3419" s="135"/>
      <c r="T3419" s="135"/>
      <c r="U3419" s="135"/>
      <c r="V3419" s="135"/>
      <c r="W3419" s="135"/>
      <c r="X3419" s="135"/>
      <c r="Y3419" s="135"/>
      <c r="Z3419" s="135"/>
    </row>
    <row r="3420" spans="1:26" ht="12.75">
      <c r="A3420" s="136" t="s">
        <v>10</v>
      </c>
      <c r="B3420" s="136" t="s">
        <v>7855</v>
      </c>
      <c r="C3420" s="136" t="s">
        <v>7864</v>
      </c>
      <c r="D3420" s="136" t="s">
        <v>7481</v>
      </c>
      <c r="E3420" s="136" t="s">
        <v>615</v>
      </c>
      <c r="F3420" s="136">
        <v>358</v>
      </c>
      <c r="G3420" s="137">
        <f t="shared" si="13"/>
        <v>5</v>
      </c>
      <c r="H3420" s="137"/>
      <c r="I3420" s="137"/>
      <c r="J3420" s="135"/>
      <c r="K3420" s="135"/>
      <c r="L3420" s="135"/>
      <c r="M3420" s="135"/>
      <c r="N3420" s="135"/>
      <c r="O3420" s="135"/>
      <c r="P3420" s="135"/>
      <c r="Q3420" s="135"/>
      <c r="R3420" s="135"/>
      <c r="S3420" s="135"/>
      <c r="T3420" s="135"/>
      <c r="U3420" s="135"/>
      <c r="V3420" s="135"/>
      <c r="W3420" s="135"/>
      <c r="X3420" s="135"/>
      <c r="Y3420" s="135"/>
      <c r="Z3420" s="135"/>
    </row>
    <row r="3421" spans="1:26" ht="12.75">
      <c r="A3421" s="136" t="s">
        <v>10</v>
      </c>
      <c r="B3421" s="136" t="s">
        <v>7855</v>
      </c>
      <c r="C3421" s="136" t="s">
        <v>7864</v>
      </c>
      <c r="D3421" s="136" t="s">
        <v>368</v>
      </c>
      <c r="E3421" s="136" t="s">
        <v>594</v>
      </c>
      <c r="F3421" s="136">
        <v>144</v>
      </c>
      <c r="G3421" s="137">
        <f t="shared" si="13"/>
        <v>6</v>
      </c>
      <c r="H3421" s="137"/>
      <c r="I3421" s="137"/>
      <c r="J3421" s="135"/>
      <c r="K3421" s="135"/>
      <c r="L3421" s="135"/>
      <c r="M3421" s="135"/>
      <c r="N3421" s="135"/>
      <c r="O3421" s="135"/>
      <c r="P3421" s="135"/>
      <c r="Q3421" s="135"/>
      <c r="R3421" s="135"/>
      <c r="S3421" s="135"/>
      <c r="T3421" s="135"/>
      <c r="U3421" s="135"/>
      <c r="V3421" s="135"/>
      <c r="W3421" s="135"/>
      <c r="X3421" s="135"/>
      <c r="Y3421" s="135"/>
      <c r="Z3421" s="135"/>
    </row>
    <row r="3422" spans="1:26" ht="12.75">
      <c r="A3422" s="136" t="s">
        <v>10</v>
      </c>
      <c r="B3422" s="136" t="s">
        <v>7855</v>
      </c>
      <c r="C3422" s="136" t="s">
        <v>7864</v>
      </c>
      <c r="D3422" s="136" t="s">
        <v>136</v>
      </c>
      <c r="E3422" s="136" t="s">
        <v>615</v>
      </c>
      <c r="F3422" s="136">
        <v>134</v>
      </c>
      <c r="G3422" s="137">
        <f t="shared" si="13"/>
        <v>7</v>
      </c>
      <c r="H3422" s="137"/>
      <c r="I3422" s="137"/>
      <c r="J3422" s="135"/>
      <c r="K3422" s="135"/>
      <c r="L3422" s="135"/>
      <c r="M3422" s="135"/>
      <c r="N3422" s="135"/>
      <c r="O3422" s="135"/>
      <c r="P3422" s="135"/>
      <c r="Q3422" s="135"/>
      <c r="R3422" s="135"/>
      <c r="S3422" s="135"/>
      <c r="T3422" s="135"/>
      <c r="U3422" s="135"/>
      <c r="V3422" s="135"/>
      <c r="W3422" s="135"/>
      <c r="X3422" s="135"/>
      <c r="Y3422" s="135"/>
      <c r="Z3422" s="135"/>
    </row>
    <row r="3423" spans="1:26" ht="12.75">
      <c r="A3423" s="136" t="s">
        <v>10</v>
      </c>
      <c r="B3423" s="136" t="s">
        <v>7855</v>
      </c>
      <c r="C3423" s="136" t="s">
        <v>7864</v>
      </c>
      <c r="D3423" s="136" t="s">
        <v>1656</v>
      </c>
      <c r="E3423" s="136" t="s">
        <v>615</v>
      </c>
      <c r="F3423" s="136">
        <v>106</v>
      </c>
      <c r="G3423" s="137">
        <f t="shared" si="13"/>
        <v>8</v>
      </c>
      <c r="H3423" s="137"/>
      <c r="I3423" s="137"/>
      <c r="J3423" s="135"/>
      <c r="K3423" s="135"/>
      <c r="L3423" s="135"/>
      <c r="M3423" s="135"/>
      <c r="N3423" s="135"/>
      <c r="O3423" s="135"/>
      <c r="P3423" s="135"/>
      <c r="Q3423" s="135"/>
      <c r="R3423" s="135"/>
      <c r="S3423" s="135"/>
      <c r="T3423" s="135"/>
      <c r="U3423" s="135"/>
      <c r="V3423" s="135"/>
      <c r="W3423" s="135"/>
      <c r="X3423" s="135"/>
      <c r="Y3423" s="135"/>
      <c r="Z3423" s="135"/>
    </row>
    <row r="3424" spans="1:26" ht="12.75">
      <c r="A3424" s="136" t="s">
        <v>10</v>
      </c>
      <c r="B3424" s="136" t="s">
        <v>7855</v>
      </c>
      <c r="C3424" s="136" t="s">
        <v>7864</v>
      </c>
      <c r="D3424" s="136" t="s">
        <v>1626</v>
      </c>
      <c r="E3424" s="136" t="s">
        <v>594</v>
      </c>
      <c r="F3424" s="136">
        <v>100</v>
      </c>
      <c r="G3424" s="137">
        <f t="shared" si="13"/>
        <v>9</v>
      </c>
      <c r="H3424" s="137"/>
      <c r="I3424" s="137"/>
      <c r="J3424" s="135"/>
      <c r="K3424" s="135"/>
      <c r="L3424" s="135"/>
      <c r="M3424" s="135"/>
      <c r="N3424" s="135"/>
      <c r="O3424" s="135"/>
      <c r="P3424" s="135"/>
      <c r="Q3424" s="135"/>
      <c r="R3424" s="135"/>
      <c r="S3424" s="135"/>
      <c r="T3424" s="135"/>
      <c r="U3424" s="135"/>
      <c r="V3424" s="135"/>
      <c r="W3424" s="135"/>
      <c r="X3424" s="135"/>
      <c r="Y3424" s="135"/>
      <c r="Z3424" s="135"/>
    </row>
    <row r="3425" spans="1:26" ht="12.75">
      <c r="A3425" s="136" t="s">
        <v>10</v>
      </c>
      <c r="B3425" s="136" t="s">
        <v>7855</v>
      </c>
      <c r="C3425" s="136" t="s">
        <v>7864</v>
      </c>
      <c r="D3425" s="136" t="s">
        <v>467</v>
      </c>
      <c r="E3425" s="136" t="s">
        <v>85</v>
      </c>
      <c r="F3425" s="136">
        <v>59</v>
      </c>
      <c r="G3425" s="137">
        <f t="shared" si="13"/>
        <v>10</v>
      </c>
      <c r="H3425" s="137"/>
      <c r="I3425" s="137"/>
      <c r="J3425" s="135"/>
      <c r="K3425" s="135"/>
      <c r="L3425" s="135"/>
      <c r="M3425" s="135"/>
      <c r="N3425" s="135"/>
      <c r="O3425" s="135"/>
      <c r="P3425" s="135"/>
      <c r="Q3425" s="135"/>
      <c r="R3425" s="135"/>
      <c r="S3425" s="135"/>
      <c r="T3425" s="135"/>
      <c r="U3425" s="135"/>
      <c r="V3425" s="135"/>
      <c r="W3425" s="135"/>
      <c r="X3425" s="135"/>
      <c r="Y3425" s="135"/>
      <c r="Z3425" s="135"/>
    </row>
    <row r="3426" spans="1:26" ht="12.75">
      <c r="A3426" s="136" t="s">
        <v>10</v>
      </c>
      <c r="B3426" s="136" t="s">
        <v>7855</v>
      </c>
      <c r="C3426" s="136" t="s">
        <v>7864</v>
      </c>
      <c r="D3426" s="136" t="s">
        <v>7857</v>
      </c>
      <c r="E3426" s="136" t="s">
        <v>615</v>
      </c>
      <c r="F3426" s="136">
        <v>25</v>
      </c>
      <c r="G3426" s="137">
        <f t="shared" si="13"/>
        <v>11</v>
      </c>
      <c r="H3426" s="137"/>
      <c r="I3426" s="137"/>
      <c r="J3426" s="135"/>
      <c r="K3426" s="135"/>
      <c r="L3426" s="135"/>
      <c r="M3426" s="135"/>
      <c r="N3426" s="135"/>
      <c r="O3426" s="135"/>
      <c r="P3426" s="135"/>
      <c r="Q3426" s="135"/>
      <c r="R3426" s="135"/>
      <c r="S3426" s="135"/>
      <c r="T3426" s="135"/>
      <c r="U3426" s="135"/>
      <c r="V3426" s="135"/>
      <c r="W3426" s="135"/>
      <c r="X3426" s="135"/>
      <c r="Y3426" s="135"/>
      <c r="Z3426" s="135"/>
    </row>
    <row r="3427" spans="1:26" ht="12.75">
      <c r="A3427" s="136" t="s">
        <v>10</v>
      </c>
      <c r="B3427" s="136" t="s">
        <v>7855</v>
      </c>
      <c r="C3427" s="136" t="s">
        <v>955</v>
      </c>
      <c r="D3427" s="136" t="s">
        <v>437</v>
      </c>
      <c r="E3427" s="136" t="s">
        <v>594</v>
      </c>
      <c r="F3427" s="136">
        <v>396</v>
      </c>
      <c r="G3427" s="137">
        <f t="shared" si="13"/>
        <v>1</v>
      </c>
      <c r="H3427" s="137"/>
      <c r="I3427" s="137"/>
      <c r="J3427" s="135"/>
      <c r="K3427" s="135"/>
      <c r="L3427" s="135"/>
      <c r="M3427" s="135"/>
      <c r="N3427" s="135"/>
      <c r="O3427" s="135"/>
      <c r="P3427" s="135"/>
      <c r="Q3427" s="135"/>
      <c r="R3427" s="135"/>
      <c r="S3427" s="135"/>
      <c r="T3427" s="135"/>
      <c r="U3427" s="135"/>
      <c r="V3427" s="135"/>
      <c r="W3427" s="135"/>
      <c r="X3427" s="135"/>
      <c r="Y3427" s="135"/>
      <c r="Z3427" s="135"/>
    </row>
    <row r="3428" spans="1:26" ht="12.75">
      <c r="A3428" s="136" t="s">
        <v>10</v>
      </c>
      <c r="B3428" s="136" t="s">
        <v>7855</v>
      </c>
      <c r="C3428" s="136" t="s">
        <v>955</v>
      </c>
      <c r="D3428" s="136" t="s">
        <v>1669</v>
      </c>
      <c r="E3428" s="136" t="s">
        <v>615</v>
      </c>
      <c r="F3428" s="136">
        <v>108</v>
      </c>
      <c r="G3428" s="137">
        <f t="shared" si="13"/>
        <v>2</v>
      </c>
      <c r="H3428" s="137"/>
      <c r="I3428" s="137"/>
      <c r="J3428" s="135"/>
      <c r="K3428" s="135"/>
      <c r="L3428" s="135"/>
      <c r="M3428" s="135"/>
      <c r="N3428" s="135"/>
      <c r="O3428" s="135"/>
      <c r="P3428" s="135"/>
      <c r="Q3428" s="135"/>
      <c r="R3428" s="135"/>
      <c r="S3428" s="135"/>
      <c r="T3428" s="135"/>
      <c r="U3428" s="135"/>
      <c r="V3428" s="135"/>
      <c r="W3428" s="135"/>
      <c r="X3428" s="135"/>
      <c r="Y3428" s="135"/>
      <c r="Z3428" s="135"/>
    </row>
    <row r="3429" spans="1:26" ht="12.75">
      <c r="A3429" s="136" t="s">
        <v>10</v>
      </c>
      <c r="B3429" s="136" t="s">
        <v>7855</v>
      </c>
      <c r="C3429" s="136" t="s">
        <v>955</v>
      </c>
      <c r="D3429" s="136" t="s">
        <v>139</v>
      </c>
      <c r="E3429" s="136" t="s">
        <v>594</v>
      </c>
      <c r="F3429" s="136">
        <v>104</v>
      </c>
      <c r="G3429" s="137">
        <f t="shared" si="13"/>
        <v>3</v>
      </c>
      <c r="H3429" s="137"/>
      <c r="I3429" s="137"/>
      <c r="J3429" s="135"/>
      <c r="K3429" s="135"/>
      <c r="L3429" s="135"/>
      <c r="M3429" s="135"/>
      <c r="N3429" s="135"/>
      <c r="O3429" s="135"/>
      <c r="P3429" s="135"/>
      <c r="Q3429" s="135"/>
      <c r="R3429" s="135"/>
      <c r="S3429" s="135"/>
      <c r="T3429" s="135"/>
      <c r="U3429" s="135"/>
      <c r="V3429" s="135"/>
      <c r="W3429" s="135"/>
      <c r="X3429" s="135"/>
      <c r="Y3429" s="135"/>
      <c r="Z3429" s="135"/>
    </row>
    <row r="3430" spans="1:26" ht="12.75">
      <c r="A3430" s="136" t="s">
        <v>10</v>
      </c>
      <c r="B3430" s="136" t="s">
        <v>7855</v>
      </c>
      <c r="C3430" s="136" t="s">
        <v>955</v>
      </c>
      <c r="D3430" s="136" t="s">
        <v>136</v>
      </c>
      <c r="E3430" s="136" t="s">
        <v>615</v>
      </c>
      <c r="F3430" s="136">
        <v>55</v>
      </c>
      <c r="G3430" s="137">
        <f t="shared" si="13"/>
        <v>4</v>
      </c>
      <c r="H3430" s="137"/>
      <c r="I3430" s="137"/>
      <c r="J3430" s="135"/>
      <c r="K3430" s="135"/>
      <c r="L3430" s="135"/>
      <c r="M3430" s="135"/>
      <c r="N3430" s="135"/>
      <c r="O3430" s="135"/>
      <c r="P3430" s="135"/>
      <c r="Q3430" s="135"/>
      <c r="R3430" s="135"/>
      <c r="S3430" s="135"/>
      <c r="T3430" s="135"/>
      <c r="U3430" s="135"/>
      <c r="V3430" s="135"/>
      <c r="W3430" s="135"/>
      <c r="X3430" s="135"/>
      <c r="Y3430" s="135"/>
      <c r="Z3430" s="135"/>
    </row>
    <row r="3431" spans="1:26" ht="12.75">
      <c r="A3431" s="136" t="s">
        <v>10</v>
      </c>
      <c r="B3431" s="136" t="s">
        <v>7855</v>
      </c>
      <c r="C3431" s="136" t="s">
        <v>955</v>
      </c>
      <c r="D3431" s="136" t="s">
        <v>368</v>
      </c>
      <c r="E3431" s="136" t="s">
        <v>594</v>
      </c>
      <c r="F3431" s="136">
        <v>51</v>
      </c>
      <c r="G3431" s="137">
        <f t="shared" si="13"/>
        <v>5</v>
      </c>
      <c r="H3431" s="137"/>
      <c r="I3431" s="137"/>
      <c r="J3431" s="135"/>
      <c r="K3431" s="135"/>
      <c r="L3431" s="135"/>
      <c r="M3431" s="135"/>
      <c r="N3431" s="135"/>
      <c r="O3431" s="135"/>
      <c r="P3431" s="135"/>
      <c r="Q3431" s="135"/>
      <c r="R3431" s="135"/>
      <c r="S3431" s="135"/>
      <c r="T3431" s="135"/>
      <c r="U3431" s="135"/>
      <c r="V3431" s="135"/>
      <c r="W3431" s="135"/>
      <c r="X3431" s="135"/>
      <c r="Y3431" s="135"/>
      <c r="Z3431" s="135"/>
    </row>
    <row r="3432" spans="1:26" ht="12.75">
      <c r="A3432" s="136" t="s">
        <v>10</v>
      </c>
      <c r="B3432" s="136" t="s">
        <v>7855</v>
      </c>
      <c r="C3432" s="136" t="s">
        <v>955</v>
      </c>
      <c r="D3432" s="136" t="s">
        <v>1656</v>
      </c>
      <c r="E3432" s="136" t="s">
        <v>615</v>
      </c>
      <c r="F3432" s="136">
        <v>41</v>
      </c>
      <c r="G3432" s="137">
        <f t="shared" si="13"/>
        <v>6</v>
      </c>
      <c r="H3432" s="137"/>
      <c r="I3432" s="137"/>
      <c r="J3432" s="135"/>
      <c r="K3432" s="135"/>
      <c r="L3432" s="135"/>
      <c r="M3432" s="135"/>
      <c r="N3432" s="135"/>
      <c r="O3432" s="135"/>
      <c r="P3432" s="135"/>
      <c r="Q3432" s="135"/>
      <c r="R3432" s="135"/>
      <c r="S3432" s="135"/>
      <c r="T3432" s="135"/>
      <c r="U3432" s="135"/>
      <c r="V3432" s="135"/>
      <c r="W3432" s="135"/>
      <c r="X3432" s="135"/>
      <c r="Y3432" s="135"/>
      <c r="Z3432" s="135"/>
    </row>
    <row r="3433" spans="1:26" ht="12.75">
      <c r="A3433" s="136" t="s">
        <v>10</v>
      </c>
      <c r="B3433" s="136" t="s">
        <v>7855</v>
      </c>
      <c r="C3433" s="136" t="s">
        <v>955</v>
      </c>
      <c r="D3433" s="136" t="s">
        <v>1626</v>
      </c>
      <c r="E3433" s="136" t="s">
        <v>594</v>
      </c>
      <c r="F3433" s="136">
        <v>33</v>
      </c>
      <c r="G3433" s="137">
        <f t="shared" si="13"/>
        <v>7</v>
      </c>
      <c r="H3433" s="137"/>
      <c r="I3433" s="137"/>
      <c r="J3433" s="135"/>
      <c r="K3433" s="135"/>
      <c r="L3433" s="135"/>
      <c r="M3433" s="135"/>
      <c r="N3433" s="135"/>
      <c r="O3433" s="135"/>
      <c r="P3433" s="135"/>
      <c r="Q3433" s="135"/>
      <c r="R3433" s="135"/>
      <c r="S3433" s="135"/>
      <c r="T3433" s="135"/>
      <c r="U3433" s="135"/>
      <c r="V3433" s="135"/>
      <c r="W3433" s="135"/>
      <c r="X3433" s="135"/>
      <c r="Y3433" s="135"/>
      <c r="Z3433" s="135"/>
    </row>
    <row r="3434" spans="1:26" ht="12.75">
      <c r="A3434" s="136" t="s">
        <v>10</v>
      </c>
      <c r="B3434" s="136" t="s">
        <v>7855</v>
      </c>
      <c r="C3434" s="136" t="s">
        <v>955</v>
      </c>
      <c r="D3434" s="136" t="s">
        <v>7857</v>
      </c>
      <c r="E3434" s="136" t="s">
        <v>615</v>
      </c>
      <c r="F3434" s="136">
        <v>30</v>
      </c>
      <c r="G3434" s="137">
        <f t="shared" si="13"/>
        <v>8</v>
      </c>
      <c r="H3434" s="137"/>
      <c r="I3434" s="137"/>
      <c r="J3434" s="135"/>
      <c r="K3434" s="135"/>
      <c r="L3434" s="135"/>
      <c r="M3434" s="135"/>
      <c r="N3434" s="135"/>
      <c r="O3434" s="135"/>
      <c r="P3434" s="135"/>
      <c r="Q3434" s="135"/>
      <c r="R3434" s="135"/>
      <c r="S3434" s="135"/>
      <c r="T3434" s="135"/>
      <c r="U3434" s="135"/>
      <c r="V3434" s="135"/>
      <c r="W3434" s="135"/>
      <c r="X3434" s="135"/>
      <c r="Y3434" s="135"/>
      <c r="Z3434" s="135"/>
    </row>
    <row r="3435" spans="1:26" ht="12.75">
      <c r="A3435" s="136" t="s">
        <v>10</v>
      </c>
      <c r="B3435" s="136" t="s">
        <v>7855</v>
      </c>
      <c r="C3435" s="136" t="s">
        <v>955</v>
      </c>
      <c r="D3435" s="136" t="s">
        <v>7481</v>
      </c>
      <c r="E3435" s="136" t="s">
        <v>615</v>
      </c>
      <c r="F3435" s="136">
        <v>5</v>
      </c>
      <c r="G3435" s="137">
        <f t="shared" si="13"/>
        <v>9</v>
      </c>
      <c r="H3435" s="137"/>
      <c r="I3435" s="137"/>
      <c r="J3435" s="135"/>
      <c r="K3435" s="135"/>
      <c r="L3435" s="135"/>
      <c r="M3435" s="135"/>
      <c r="N3435" s="135"/>
      <c r="O3435" s="135"/>
      <c r="P3435" s="135"/>
      <c r="Q3435" s="135"/>
      <c r="R3435" s="135"/>
      <c r="S3435" s="135"/>
      <c r="T3435" s="135"/>
      <c r="U3435" s="135"/>
      <c r="V3435" s="135"/>
      <c r="W3435" s="135"/>
      <c r="X3435" s="135"/>
      <c r="Y3435" s="135"/>
      <c r="Z3435" s="135"/>
    </row>
    <row r="3436" spans="1:26" ht="12.75">
      <c r="A3436" s="136" t="s">
        <v>10</v>
      </c>
      <c r="B3436" s="136" t="s">
        <v>7855</v>
      </c>
      <c r="C3436" s="136" t="s">
        <v>955</v>
      </c>
      <c r="D3436" s="136" t="s">
        <v>467</v>
      </c>
      <c r="E3436" s="136" t="s">
        <v>85</v>
      </c>
      <c r="F3436" s="136">
        <v>4</v>
      </c>
      <c r="G3436" s="137">
        <f t="shared" si="13"/>
        <v>10</v>
      </c>
      <c r="H3436" s="137"/>
      <c r="I3436" s="137"/>
      <c r="J3436" s="135"/>
      <c r="K3436" s="135"/>
      <c r="L3436" s="135"/>
      <c r="M3436" s="135"/>
      <c r="N3436" s="135"/>
      <c r="O3436" s="135"/>
      <c r="P3436" s="135"/>
      <c r="Q3436" s="135"/>
      <c r="R3436" s="135"/>
      <c r="S3436" s="135"/>
      <c r="T3436" s="135"/>
      <c r="U3436" s="135"/>
      <c r="V3436" s="135"/>
      <c r="W3436" s="135"/>
      <c r="X3436" s="135"/>
      <c r="Y3436" s="135"/>
      <c r="Z3436" s="135"/>
    </row>
    <row r="3437" spans="1:26" ht="12.75">
      <c r="A3437" s="136" t="s">
        <v>10</v>
      </c>
      <c r="B3437" s="136" t="s">
        <v>7855</v>
      </c>
      <c r="C3437" s="136" t="s">
        <v>955</v>
      </c>
      <c r="D3437" s="136" t="s">
        <v>114</v>
      </c>
      <c r="E3437" s="136" t="s">
        <v>85</v>
      </c>
      <c r="F3437" s="136">
        <v>3</v>
      </c>
      <c r="G3437" s="137">
        <f t="shared" si="13"/>
        <v>11</v>
      </c>
      <c r="H3437" s="137"/>
      <c r="I3437" s="137"/>
      <c r="J3437" s="135"/>
      <c r="K3437" s="135"/>
      <c r="L3437" s="135"/>
      <c r="M3437" s="135"/>
      <c r="N3437" s="135"/>
      <c r="O3437" s="135"/>
      <c r="P3437" s="135"/>
      <c r="Q3437" s="135"/>
      <c r="R3437" s="135"/>
      <c r="S3437" s="135"/>
      <c r="T3437" s="135"/>
      <c r="U3437" s="135"/>
      <c r="V3437" s="135"/>
      <c r="W3437" s="135"/>
      <c r="X3437" s="135"/>
      <c r="Y3437" s="135"/>
      <c r="Z3437" s="135"/>
    </row>
    <row r="3438" spans="1:26" ht="12.75">
      <c r="A3438" s="136" t="s">
        <v>10</v>
      </c>
      <c r="B3438" s="136" t="s">
        <v>7855</v>
      </c>
      <c r="C3438" s="136" t="s">
        <v>974</v>
      </c>
      <c r="D3438" s="136" t="s">
        <v>7857</v>
      </c>
      <c r="E3438" s="136" t="s">
        <v>615</v>
      </c>
      <c r="F3438" s="136">
        <v>1994</v>
      </c>
      <c r="G3438" s="137">
        <f t="shared" si="13"/>
        <v>1</v>
      </c>
      <c r="H3438" s="137"/>
      <c r="I3438" s="137"/>
      <c r="J3438" s="135"/>
      <c r="K3438" s="135"/>
      <c r="L3438" s="135"/>
      <c r="M3438" s="135"/>
      <c r="N3438" s="135"/>
      <c r="O3438" s="135"/>
      <c r="P3438" s="135"/>
      <c r="Q3438" s="135"/>
      <c r="R3438" s="135"/>
      <c r="S3438" s="135"/>
      <c r="T3438" s="135"/>
      <c r="U3438" s="135"/>
      <c r="V3438" s="135"/>
      <c r="W3438" s="135"/>
      <c r="X3438" s="135"/>
      <c r="Y3438" s="135"/>
      <c r="Z3438" s="135"/>
    </row>
    <row r="3439" spans="1:26" ht="12.75">
      <c r="A3439" s="136" t="s">
        <v>10</v>
      </c>
      <c r="B3439" s="136" t="s">
        <v>7855</v>
      </c>
      <c r="C3439" s="136" t="s">
        <v>974</v>
      </c>
      <c r="D3439" s="136" t="s">
        <v>136</v>
      </c>
      <c r="E3439" s="136" t="s">
        <v>615</v>
      </c>
      <c r="F3439" s="136">
        <v>693</v>
      </c>
      <c r="G3439" s="137">
        <f t="shared" si="13"/>
        <v>2</v>
      </c>
      <c r="H3439" s="137"/>
      <c r="I3439" s="137"/>
      <c r="J3439" s="135"/>
      <c r="K3439" s="135"/>
      <c r="L3439" s="135"/>
      <c r="M3439" s="135"/>
      <c r="N3439" s="135"/>
      <c r="O3439" s="135"/>
      <c r="P3439" s="135"/>
      <c r="Q3439" s="135"/>
      <c r="R3439" s="135"/>
      <c r="S3439" s="135"/>
      <c r="T3439" s="135"/>
      <c r="U3439" s="135"/>
      <c r="V3439" s="135"/>
      <c r="W3439" s="135"/>
      <c r="X3439" s="135"/>
      <c r="Y3439" s="135"/>
      <c r="Z3439" s="135"/>
    </row>
    <row r="3440" spans="1:26" ht="12.75">
      <c r="A3440" s="136" t="s">
        <v>10</v>
      </c>
      <c r="B3440" s="136" t="s">
        <v>7855</v>
      </c>
      <c r="C3440" s="136" t="s">
        <v>974</v>
      </c>
      <c r="D3440" s="136" t="s">
        <v>1669</v>
      </c>
      <c r="E3440" s="136" t="s">
        <v>615</v>
      </c>
      <c r="F3440" s="136">
        <v>396</v>
      </c>
      <c r="G3440" s="137">
        <f t="shared" si="13"/>
        <v>3</v>
      </c>
      <c r="H3440" s="137"/>
      <c r="I3440" s="137"/>
      <c r="J3440" s="135"/>
      <c r="K3440" s="135"/>
      <c r="L3440" s="135"/>
      <c r="M3440" s="135"/>
      <c r="N3440" s="135"/>
      <c r="O3440" s="135"/>
      <c r="P3440" s="135"/>
      <c r="Q3440" s="135"/>
      <c r="R3440" s="135"/>
      <c r="S3440" s="135"/>
      <c r="T3440" s="135"/>
      <c r="U3440" s="135"/>
      <c r="V3440" s="135"/>
      <c r="W3440" s="135"/>
      <c r="X3440" s="135"/>
      <c r="Y3440" s="135"/>
      <c r="Z3440" s="135"/>
    </row>
    <row r="3441" spans="1:26" ht="12.75">
      <c r="A3441" s="136" t="s">
        <v>10</v>
      </c>
      <c r="B3441" s="136" t="s">
        <v>7855</v>
      </c>
      <c r="C3441" s="136" t="s">
        <v>974</v>
      </c>
      <c r="D3441" s="136" t="s">
        <v>114</v>
      </c>
      <c r="E3441" s="136" t="s">
        <v>85</v>
      </c>
      <c r="F3441" s="136">
        <v>310</v>
      </c>
      <c r="G3441" s="137">
        <f t="shared" si="13"/>
        <v>4</v>
      </c>
      <c r="H3441" s="137"/>
      <c r="I3441" s="137"/>
      <c r="J3441" s="135"/>
      <c r="K3441" s="135"/>
      <c r="L3441" s="135"/>
      <c r="M3441" s="135"/>
      <c r="N3441" s="135"/>
      <c r="O3441" s="135"/>
      <c r="P3441" s="135"/>
      <c r="Q3441" s="135"/>
      <c r="R3441" s="135"/>
      <c r="S3441" s="135"/>
      <c r="T3441" s="135"/>
      <c r="U3441" s="135"/>
      <c r="V3441" s="135"/>
      <c r="W3441" s="135"/>
      <c r="X3441" s="135"/>
      <c r="Y3441" s="135"/>
      <c r="Z3441" s="135"/>
    </row>
    <row r="3442" spans="1:26" ht="12.75">
      <c r="A3442" s="136" t="s">
        <v>10</v>
      </c>
      <c r="B3442" s="136" t="s">
        <v>7855</v>
      </c>
      <c r="C3442" s="136" t="s">
        <v>974</v>
      </c>
      <c r="D3442" s="136" t="s">
        <v>7481</v>
      </c>
      <c r="E3442" s="136" t="s">
        <v>615</v>
      </c>
      <c r="F3442" s="136">
        <v>249</v>
      </c>
      <c r="G3442" s="137">
        <f t="shared" si="13"/>
        <v>5</v>
      </c>
      <c r="H3442" s="137"/>
      <c r="I3442" s="137"/>
      <c r="J3442" s="135"/>
      <c r="K3442" s="135"/>
      <c r="L3442" s="135"/>
      <c r="M3442" s="135"/>
      <c r="N3442" s="135"/>
      <c r="O3442" s="135"/>
      <c r="P3442" s="135"/>
      <c r="Q3442" s="135"/>
      <c r="R3442" s="135"/>
      <c r="S3442" s="135"/>
      <c r="T3442" s="135"/>
      <c r="U3442" s="135"/>
      <c r="V3442" s="135"/>
      <c r="W3442" s="135"/>
      <c r="X3442" s="135"/>
      <c r="Y3442" s="135"/>
      <c r="Z3442" s="135"/>
    </row>
    <row r="3443" spans="1:26" ht="12.75">
      <c r="A3443" s="136" t="s">
        <v>10</v>
      </c>
      <c r="B3443" s="136" t="s">
        <v>7855</v>
      </c>
      <c r="C3443" s="136" t="s">
        <v>974</v>
      </c>
      <c r="D3443" s="136" t="s">
        <v>467</v>
      </c>
      <c r="E3443" s="136" t="s">
        <v>85</v>
      </c>
      <c r="F3443" s="136">
        <v>83</v>
      </c>
      <c r="G3443" s="137">
        <f t="shared" si="13"/>
        <v>6</v>
      </c>
      <c r="H3443" s="137"/>
      <c r="I3443" s="137"/>
      <c r="J3443" s="135"/>
      <c r="K3443" s="135"/>
      <c r="L3443" s="135"/>
      <c r="M3443" s="135"/>
      <c r="N3443" s="135"/>
      <c r="O3443" s="135"/>
      <c r="P3443" s="135"/>
      <c r="Q3443" s="135"/>
      <c r="R3443" s="135"/>
      <c r="S3443" s="135"/>
      <c r="T3443" s="135"/>
      <c r="U3443" s="135"/>
      <c r="V3443" s="135"/>
      <c r="W3443" s="135"/>
      <c r="X3443" s="135"/>
      <c r="Y3443" s="135"/>
      <c r="Z3443" s="135"/>
    </row>
    <row r="3444" spans="1:26" ht="12.75">
      <c r="A3444" s="136" t="s">
        <v>10</v>
      </c>
      <c r="B3444" s="136" t="s">
        <v>7855</v>
      </c>
      <c r="C3444" s="136" t="s">
        <v>974</v>
      </c>
      <c r="D3444" s="136" t="s">
        <v>139</v>
      </c>
      <c r="E3444" s="136" t="s">
        <v>594</v>
      </c>
      <c r="F3444" s="136">
        <v>69</v>
      </c>
      <c r="G3444" s="137">
        <f t="shared" si="13"/>
        <v>7</v>
      </c>
      <c r="H3444" s="137"/>
      <c r="I3444" s="137"/>
      <c r="J3444" s="135"/>
      <c r="K3444" s="135"/>
      <c r="L3444" s="135"/>
      <c r="M3444" s="135"/>
      <c r="N3444" s="135"/>
      <c r="O3444" s="135"/>
      <c r="P3444" s="135"/>
      <c r="Q3444" s="135"/>
      <c r="R3444" s="135"/>
      <c r="S3444" s="135"/>
      <c r="T3444" s="135"/>
      <c r="U3444" s="135"/>
      <c r="V3444" s="135"/>
      <c r="W3444" s="135"/>
      <c r="X3444" s="135"/>
      <c r="Y3444" s="135"/>
      <c r="Z3444" s="135"/>
    </row>
    <row r="3445" spans="1:26" ht="12.75">
      <c r="A3445" s="136" t="s">
        <v>10</v>
      </c>
      <c r="B3445" s="136" t="s">
        <v>7855</v>
      </c>
      <c r="C3445" s="136" t="s">
        <v>974</v>
      </c>
      <c r="D3445" s="136" t="s">
        <v>437</v>
      </c>
      <c r="E3445" s="136" t="s">
        <v>594</v>
      </c>
      <c r="F3445" s="136">
        <v>39</v>
      </c>
      <c r="G3445" s="137">
        <f t="shared" si="13"/>
        <v>8</v>
      </c>
      <c r="H3445" s="137"/>
      <c r="I3445" s="137"/>
      <c r="J3445" s="135"/>
      <c r="K3445" s="135"/>
      <c r="L3445" s="135"/>
      <c r="M3445" s="135"/>
      <c r="N3445" s="135"/>
      <c r="O3445" s="135"/>
      <c r="P3445" s="135"/>
      <c r="Q3445" s="135"/>
      <c r="R3445" s="135"/>
      <c r="S3445" s="135"/>
      <c r="T3445" s="135"/>
      <c r="U3445" s="135"/>
      <c r="V3445" s="135"/>
      <c r="W3445" s="135"/>
      <c r="X3445" s="135"/>
      <c r="Y3445" s="135"/>
      <c r="Z3445" s="135"/>
    </row>
    <row r="3446" spans="1:26" ht="12.75">
      <c r="A3446" s="136" t="s">
        <v>10</v>
      </c>
      <c r="B3446" s="136" t="s">
        <v>7855</v>
      </c>
      <c r="C3446" s="136" t="s">
        <v>974</v>
      </c>
      <c r="D3446" s="136" t="s">
        <v>368</v>
      </c>
      <c r="E3446" s="136" t="s">
        <v>594</v>
      </c>
      <c r="F3446" s="136">
        <v>32</v>
      </c>
      <c r="G3446" s="137">
        <f t="shared" si="13"/>
        <v>9</v>
      </c>
      <c r="H3446" s="137"/>
      <c r="I3446" s="137"/>
      <c r="J3446" s="135"/>
      <c r="K3446" s="135"/>
      <c r="L3446" s="135"/>
      <c r="M3446" s="135"/>
      <c r="N3446" s="135"/>
      <c r="O3446" s="135"/>
      <c r="P3446" s="135"/>
      <c r="Q3446" s="135"/>
      <c r="R3446" s="135"/>
      <c r="S3446" s="135"/>
      <c r="T3446" s="135"/>
      <c r="U3446" s="135"/>
      <c r="V3446" s="135"/>
      <c r="W3446" s="135"/>
      <c r="X3446" s="135"/>
      <c r="Y3446" s="135"/>
      <c r="Z3446" s="135"/>
    </row>
    <row r="3447" spans="1:26" ht="12.75">
      <c r="A3447" s="136" t="s">
        <v>10</v>
      </c>
      <c r="B3447" s="136" t="s">
        <v>7855</v>
      </c>
      <c r="C3447" s="136" t="s">
        <v>974</v>
      </c>
      <c r="D3447" s="136" t="s">
        <v>1626</v>
      </c>
      <c r="E3447" s="136" t="s">
        <v>594</v>
      </c>
      <c r="F3447" s="136">
        <v>18</v>
      </c>
      <c r="G3447" s="137">
        <f t="shared" si="13"/>
        <v>10</v>
      </c>
      <c r="H3447" s="137"/>
      <c r="I3447" s="137"/>
      <c r="J3447" s="135"/>
      <c r="K3447" s="135"/>
      <c r="L3447" s="135"/>
      <c r="M3447" s="135"/>
      <c r="N3447" s="135"/>
      <c r="O3447" s="135"/>
      <c r="P3447" s="135"/>
      <c r="Q3447" s="135"/>
      <c r="R3447" s="135"/>
      <c r="S3447" s="135"/>
      <c r="T3447" s="135"/>
      <c r="U3447" s="135"/>
      <c r="V3447" s="135"/>
      <c r="W3447" s="135"/>
      <c r="X3447" s="135"/>
      <c r="Y3447" s="135"/>
      <c r="Z3447" s="135"/>
    </row>
    <row r="3448" spans="1:26" ht="12.75">
      <c r="A3448" s="136" t="s">
        <v>10</v>
      </c>
      <c r="B3448" s="136" t="s">
        <v>7855</v>
      </c>
      <c r="C3448" s="136" t="s">
        <v>974</v>
      </c>
      <c r="D3448" s="136" t="s">
        <v>7865</v>
      </c>
      <c r="E3448" s="136" t="s">
        <v>86</v>
      </c>
      <c r="F3448" s="136">
        <v>16</v>
      </c>
      <c r="G3448" s="137">
        <f t="shared" si="13"/>
        <v>11</v>
      </c>
      <c r="H3448" s="137"/>
      <c r="I3448" s="137"/>
      <c r="J3448" s="135"/>
      <c r="K3448" s="135"/>
      <c r="L3448" s="135"/>
      <c r="M3448" s="135"/>
      <c r="N3448" s="135"/>
      <c r="O3448" s="135"/>
      <c r="P3448" s="135"/>
      <c r="Q3448" s="135"/>
      <c r="R3448" s="135"/>
      <c r="S3448" s="135"/>
      <c r="T3448" s="135"/>
      <c r="U3448" s="135"/>
      <c r="V3448" s="135"/>
      <c r="W3448" s="135"/>
      <c r="X3448" s="135"/>
      <c r="Y3448" s="135"/>
      <c r="Z3448" s="135"/>
    </row>
    <row r="3449" spans="1:26" ht="12.75">
      <c r="A3449" s="136" t="s">
        <v>10</v>
      </c>
      <c r="B3449" s="136" t="s">
        <v>7855</v>
      </c>
      <c r="C3449" s="136" t="s">
        <v>974</v>
      </c>
      <c r="D3449" s="136" t="s">
        <v>1656</v>
      </c>
      <c r="E3449" s="136" t="s">
        <v>615</v>
      </c>
      <c r="F3449" s="136">
        <v>3</v>
      </c>
      <c r="G3449" s="137">
        <f t="shared" si="13"/>
        <v>12</v>
      </c>
      <c r="H3449" s="137"/>
      <c r="I3449" s="137"/>
      <c r="J3449" s="135"/>
      <c r="K3449" s="135"/>
      <c r="L3449" s="135"/>
      <c r="M3449" s="135"/>
      <c r="N3449" s="135"/>
      <c r="O3449" s="135"/>
      <c r="P3449" s="135"/>
      <c r="Q3449" s="135"/>
      <c r="R3449" s="135"/>
      <c r="S3449" s="135"/>
      <c r="T3449" s="135"/>
      <c r="U3449" s="135"/>
      <c r="V3449" s="135"/>
      <c r="W3449" s="135"/>
      <c r="X3449" s="135"/>
      <c r="Y3449" s="135"/>
      <c r="Z3449" s="135"/>
    </row>
    <row r="3450" spans="1:26" ht="12.75">
      <c r="A3450" s="136" t="s">
        <v>10</v>
      </c>
      <c r="B3450" s="136" t="s">
        <v>7855</v>
      </c>
      <c r="C3450" s="136" t="s">
        <v>7866</v>
      </c>
      <c r="D3450" s="136" t="s">
        <v>114</v>
      </c>
      <c r="E3450" s="136" t="s">
        <v>85</v>
      </c>
      <c r="F3450" s="136">
        <v>927</v>
      </c>
      <c r="G3450" s="137">
        <f t="shared" si="13"/>
        <v>1</v>
      </c>
      <c r="H3450" s="137"/>
      <c r="I3450" s="137"/>
      <c r="J3450" s="135"/>
      <c r="K3450" s="135"/>
      <c r="L3450" s="135"/>
      <c r="M3450" s="135"/>
      <c r="N3450" s="135"/>
      <c r="O3450" s="135"/>
      <c r="P3450" s="135"/>
      <c r="Q3450" s="135"/>
      <c r="R3450" s="135"/>
      <c r="S3450" s="135"/>
      <c r="T3450" s="135"/>
      <c r="U3450" s="135"/>
      <c r="V3450" s="135"/>
      <c r="W3450" s="135"/>
      <c r="X3450" s="135"/>
      <c r="Y3450" s="135"/>
      <c r="Z3450" s="135"/>
    </row>
    <row r="3451" spans="1:26" ht="12.75">
      <c r="A3451" s="136" t="s">
        <v>10</v>
      </c>
      <c r="B3451" s="136" t="s">
        <v>7855</v>
      </c>
      <c r="C3451" s="136" t="s">
        <v>7866</v>
      </c>
      <c r="D3451" s="136" t="s">
        <v>139</v>
      </c>
      <c r="E3451" s="136" t="s">
        <v>594</v>
      </c>
      <c r="F3451" s="136">
        <v>297</v>
      </c>
      <c r="G3451" s="137">
        <f t="shared" si="13"/>
        <v>2</v>
      </c>
      <c r="H3451" s="137"/>
      <c r="I3451" s="137"/>
      <c r="J3451" s="135"/>
      <c r="K3451" s="135"/>
      <c r="L3451" s="135"/>
      <c r="M3451" s="135"/>
      <c r="N3451" s="135"/>
      <c r="O3451" s="135"/>
      <c r="P3451" s="135"/>
      <c r="Q3451" s="135"/>
      <c r="R3451" s="135"/>
      <c r="S3451" s="135"/>
      <c r="T3451" s="135"/>
      <c r="U3451" s="135"/>
      <c r="V3451" s="135"/>
      <c r="W3451" s="135"/>
      <c r="X3451" s="135"/>
      <c r="Y3451" s="135"/>
      <c r="Z3451" s="135"/>
    </row>
    <row r="3452" spans="1:26" ht="12.75">
      <c r="A3452" s="136" t="s">
        <v>10</v>
      </c>
      <c r="B3452" s="136" t="s">
        <v>7855</v>
      </c>
      <c r="C3452" s="136" t="s">
        <v>7866</v>
      </c>
      <c r="D3452" s="136" t="s">
        <v>467</v>
      </c>
      <c r="E3452" s="136" t="s">
        <v>85</v>
      </c>
      <c r="F3452" s="136">
        <v>250</v>
      </c>
      <c r="G3452" s="137">
        <f t="shared" si="13"/>
        <v>3</v>
      </c>
      <c r="H3452" s="137"/>
      <c r="I3452" s="137"/>
      <c r="J3452" s="135"/>
      <c r="K3452" s="135"/>
      <c r="L3452" s="135"/>
      <c r="M3452" s="135"/>
      <c r="N3452" s="135"/>
      <c r="O3452" s="135"/>
      <c r="P3452" s="135"/>
      <c r="Q3452" s="135"/>
      <c r="R3452" s="135"/>
      <c r="S3452" s="135"/>
      <c r="T3452" s="135"/>
      <c r="U3452" s="135"/>
      <c r="V3452" s="135"/>
      <c r="W3452" s="135"/>
      <c r="X3452" s="135"/>
      <c r="Y3452" s="135"/>
      <c r="Z3452" s="135"/>
    </row>
    <row r="3453" spans="1:26" ht="12.75">
      <c r="A3453" s="136" t="s">
        <v>10</v>
      </c>
      <c r="B3453" s="136" t="s">
        <v>7855</v>
      </c>
      <c r="C3453" s="136" t="s">
        <v>7866</v>
      </c>
      <c r="D3453" s="136" t="s">
        <v>1669</v>
      </c>
      <c r="E3453" s="136" t="s">
        <v>615</v>
      </c>
      <c r="F3453" s="136">
        <v>245</v>
      </c>
      <c r="G3453" s="137">
        <f t="shared" si="13"/>
        <v>4</v>
      </c>
      <c r="H3453" s="137"/>
      <c r="I3453" s="137"/>
      <c r="J3453" s="135"/>
      <c r="K3453" s="135"/>
      <c r="L3453" s="135"/>
      <c r="M3453" s="135"/>
      <c r="N3453" s="135"/>
      <c r="O3453" s="135"/>
      <c r="P3453" s="135"/>
      <c r="Q3453" s="135"/>
      <c r="R3453" s="135"/>
      <c r="S3453" s="135"/>
      <c r="T3453" s="135"/>
      <c r="U3453" s="135"/>
      <c r="V3453" s="135"/>
      <c r="W3453" s="135"/>
      <c r="X3453" s="135"/>
      <c r="Y3453" s="135"/>
      <c r="Z3453" s="135"/>
    </row>
    <row r="3454" spans="1:26" ht="12.75">
      <c r="A3454" s="136" t="s">
        <v>10</v>
      </c>
      <c r="B3454" s="136" t="s">
        <v>7855</v>
      </c>
      <c r="C3454" s="136" t="s">
        <v>7866</v>
      </c>
      <c r="D3454" s="136" t="s">
        <v>437</v>
      </c>
      <c r="E3454" s="136" t="s">
        <v>594</v>
      </c>
      <c r="F3454" s="136">
        <v>124</v>
      </c>
      <c r="G3454" s="137">
        <f t="shared" si="13"/>
        <v>5</v>
      </c>
      <c r="H3454" s="137"/>
      <c r="I3454" s="137"/>
      <c r="J3454" s="135"/>
      <c r="K3454" s="135"/>
      <c r="L3454" s="135"/>
      <c r="M3454" s="135"/>
      <c r="N3454" s="135"/>
      <c r="O3454" s="135"/>
      <c r="P3454" s="135"/>
      <c r="Q3454" s="135"/>
      <c r="R3454" s="135"/>
      <c r="S3454" s="135"/>
      <c r="T3454" s="135"/>
      <c r="U3454" s="135"/>
      <c r="V3454" s="135"/>
      <c r="W3454" s="135"/>
      <c r="X3454" s="135"/>
      <c r="Y3454" s="135"/>
      <c r="Z3454" s="135"/>
    </row>
    <row r="3455" spans="1:26" ht="12.75">
      <c r="A3455" s="136" t="s">
        <v>10</v>
      </c>
      <c r="B3455" s="136" t="s">
        <v>7855</v>
      </c>
      <c r="C3455" s="136" t="s">
        <v>7866</v>
      </c>
      <c r="D3455" s="136" t="s">
        <v>136</v>
      </c>
      <c r="E3455" s="136" t="s">
        <v>615</v>
      </c>
      <c r="F3455" s="136">
        <v>120</v>
      </c>
      <c r="G3455" s="137">
        <f t="shared" si="13"/>
        <v>6</v>
      </c>
      <c r="H3455" s="137"/>
      <c r="I3455" s="137"/>
      <c r="J3455" s="135"/>
      <c r="K3455" s="135"/>
      <c r="L3455" s="135"/>
      <c r="M3455" s="135"/>
      <c r="N3455" s="135"/>
      <c r="O3455" s="135"/>
      <c r="P3455" s="135"/>
      <c r="Q3455" s="135"/>
      <c r="R3455" s="135"/>
      <c r="S3455" s="135"/>
      <c r="T3455" s="135"/>
      <c r="U3455" s="135"/>
      <c r="V3455" s="135"/>
      <c r="W3455" s="135"/>
      <c r="X3455" s="135"/>
      <c r="Y3455" s="135"/>
      <c r="Z3455" s="135"/>
    </row>
    <row r="3456" spans="1:26" ht="12.75">
      <c r="A3456" s="136" t="s">
        <v>10</v>
      </c>
      <c r="B3456" s="136" t="s">
        <v>7855</v>
      </c>
      <c r="C3456" s="136" t="s">
        <v>7866</v>
      </c>
      <c r="D3456" s="136" t="s">
        <v>7481</v>
      </c>
      <c r="E3456" s="136" t="s">
        <v>615</v>
      </c>
      <c r="F3456" s="136">
        <v>81</v>
      </c>
      <c r="G3456" s="137">
        <f t="shared" si="13"/>
        <v>7</v>
      </c>
      <c r="H3456" s="137"/>
      <c r="I3456" s="137"/>
      <c r="J3456" s="135"/>
      <c r="K3456" s="135"/>
      <c r="L3456" s="135"/>
      <c r="M3456" s="135"/>
      <c r="N3456" s="135"/>
      <c r="O3456" s="135"/>
      <c r="P3456" s="135"/>
      <c r="Q3456" s="135"/>
      <c r="R3456" s="135"/>
      <c r="S3456" s="135"/>
      <c r="T3456" s="135"/>
      <c r="U3456" s="135"/>
      <c r="V3456" s="135"/>
      <c r="W3456" s="135"/>
      <c r="X3456" s="135"/>
      <c r="Y3456" s="135"/>
      <c r="Z3456" s="135"/>
    </row>
    <row r="3457" spans="1:26" ht="12.75">
      <c r="A3457" s="136" t="s">
        <v>10</v>
      </c>
      <c r="B3457" s="136" t="s">
        <v>7855</v>
      </c>
      <c r="C3457" s="136" t="s">
        <v>7866</v>
      </c>
      <c r="D3457" s="136" t="s">
        <v>368</v>
      </c>
      <c r="E3457" s="136" t="s">
        <v>594</v>
      </c>
      <c r="F3457" s="136">
        <v>55</v>
      </c>
      <c r="G3457" s="137">
        <f t="shared" si="13"/>
        <v>8</v>
      </c>
      <c r="H3457" s="137"/>
      <c r="I3457" s="137"/>
      <c r="J3457" s="135"/>
      <c r="K3457" s="135"/>
      <c r="L3457" s="135"/>
      <c r="M3457" s="135"/>
      <c r="N3457" s="135"/>
      <c r="O3457" s="135"/>
      <c r="P3457" s="135"/>
      <c r="Q3457" s="135"/>
      <c r="R3457" s="135"/>
      <c r="S3457" s="135"/>
      <c r="T3457" s="135"/>
      <c r="U3457" s="135"/>
      <c r="V3457" s="135"/>
      <c r="W3457" s="135"/>
      <c r="X3457" s="135"/>
      <c r="Y3457" s="135"/>
      <c r="Z3457" s="135"/>
    </row>
    <row r="3458" spans="1:26" ht="12.75">
      <c r="A3458" s="136" t="s">
        <v>10</v>
      </c>
      <c r="B3458" s="136" t="s">
        <v>7855</v>
      </c>
      <c r="C3458" s="136" t="s">
        <v>7866</v>
      </c>
      <c r="D3458" s="136" t="s">
        <v>1656</v>
      </c>
      <c r="E3458" s="136" t="s">
        <v>615</v>
      </c>
      <c r="F3458" s="136">
        <v>34</v>
      </c>
      <c r="G3458" s="137">
        <f t="shared" si="13"/>
        <v>9</v>
      </c>
      <c r="H3458" s="137"/>
      <c r="I3458" s="137"/>
      <c r="J3458" s="135"/>
      <c r="K3458" s="135"/>
      <c r="L3458" s="135"/>
      <c r="M3458" s="135"/>
      <c r="N3458" s="135"/>
      <c r="O3458" s="135"/>
      <c r="P3458" s="135"/>
      <c r="Q3458" s="135"/>
      <c r="R3458" s="135"/>
      <c r="S3458" s="135"/>
      <c r="T3458" s="135"/>
      <c r="U3458" s="135"/>
      <c r="V3458" s="135"/>
      <c r="W3458" s="135"/>
      <c r="X3458" s="135"/>
      <c r="Y3458" s="135"/>
      <c r="Z3458" s="135"/>
    </row>
    <row r="3459" spans="1:26" ht="12.75">
      <c r="A3459" s="136" t="s">
        <v>10</v>
      </c>
      <c r="B3459" s="136" t="s">
        <v>7855</v>
      </c>
      <c r="C3459" s="136" t="s">
        <v>7866</v>
      </c>
      <c r="D3459" s="136" t="s">
        <v>1626</v>
      </c>
      <c r="E3459" s="136" t="s">
        <v>594</v>
      </c>
      <c r="F3459" s="136">
        <v>26</v>
      </c>
      <c r="G3459" s="137">
        <f t="shared" si="13"/>
        <v>10</v>
      </c>
      <c r="H3459" s="137"/>
      <c r="I3459" s="137"/>
      <c r="J3459" s="135"/>
      <c r="K3459" s="135"/>
      <c r="L3459" s="135"/>
      <c r="M3459" s="135"/>
      <c r="N3459" s="135"/>
      <c r="O3459" s="135"/>
      <c r="P3459" s="135"/>
      <c r="Q3459" s="135"/>
      <c r="R3459" s="135"/>
      <c r="S3459" s="135"/>
      <c r="T3459" s="135"/>
      <c r="U3459" s="135"/>
      <c r="V3459" s="135"/>
      <c r="W3459" s="135"/>
      <c r="X3459" s="135"/>
      <c r="Y3459" s="135"/>
      <c r="Z3459" s="135"/>
    </row>
    <row r="3460" spans="1:26" ht="12.75">
      <c r="A3460" s="136" t="s">
        <v>10</v>
      </c>
      <c r="B3460" s="136" t="s">
        <v>7855</v>
      </c>
      <c r="C3460" s="136" t="s">
        <v>7866</v>
      </c>
      <c r="D3460" s="136" t="s">
        <v>7857</v>
      </c>
      <c r="E3460" s="136" t="s">
        <v>615</v>
      </c>
      <c r="F3460" s="136">
        <v>26</v>
      </c>
      <c r="G3460" s="137">
        <f t="shared" si="13"/>
        <v>11</v>
      </c>
      <c r="H3460" s="137"/>
      <c r="I3460" s="137"/>
      <c r="J3460" s="135"/>
      <c r="K3460" s="135"/>
      <c r="L3460" s="135"/>
      <c r="M3460" s="135"/>
      <c r="N3460" s="135"/>
      <c r="O3460" s="135"/>
      <c r="P3460" s="135"/>
      <c r="Q3460" s="135"/>
      <c r="R3460" s="135"/>
      <c r="S3460" s="135"/>
      <c r="T3460" s="135"/>
      <c r="U3460" s="135"/>
      <c r="V3460" s="135"/>
      <c r="W3460" s="135"/>
      <c r="X3460" s="135"/>
      <c r="Y3460" s="135"/>
      <c r="Z3460" s="135"/>
    </row>
    <row r="3461" spans="1:26" ht="12.75">
      <c r="A3461" s="136" t="s">
        <v>10</v>
      </c>
      <c r="B3461" s="136" t="s">
        <v>7855</v>
      </c>
      <c r="C3461" s="136" t="s">
        <v>978</v>
      </c>
      <c r="D3461" s="136" t="s">
        <v>7857</v>
      </c>
      <c r="E3461" s="136" t="s">
        <v>615</v>
      </c>
      <c r="F3461" s="136">
        <v>2284</v>
      </c>
      <c r="G3461" s="137">
        <f t="shared" si="13"/>
        <v>1</v>
      </c>
      <c r="H3461" s="137"/>
      <c r="I3461" s="137"/>
      <c r="J3461" s="135"/>
      <c r="K3461" s="135"/>
      <c r="L3461" s="135"/>
      <c r="M3461" s="135"/>
      <c r="N3461" s="135"/>
      <c r="O3461" s="135"/>
      <c r="P3461" s="135"/>
      <c r="Q3461" s="135"/>
      <c r="R3461" s="135"/>
      <c r="S3461" s="135"/>
      <c r="T3461" s="135"/>
      <c r="U3461" s="135"/>
      <c r="V3461" s="135"/>
      <c r="W3461" s="135"/>
      <c r="X3461" s="135"/>
      <c r="Y3461" s="135"/>
      <c r="Z3461" s="135"/>
    </row>
    <row r="3462" spans="1:26" ht="12.75">
      <c r="A3462" s="136" t="s">
        <v>10</v>
      </c>
      <c r="B3462" s="136" t="s">
        <v>7855</v>
      </c>
      <c r="C3462" s="136" t="s">
        <v>978</v>
      </c>
      <c r="D3462" s="136" t="s">
        <v>114</v>
      </c>
      <c r="E3462" s="136" t="s">
        <v>85</v>
      </c>
      <c r="F3462" s="136">
        <v>905</v>
      </c>
      <c r="G3462" s="137">
        <f t="shared" si="13"/>
        <v>2</v>
      </c>
      <c r="H3462" s="137"/>
      <c r="I3462" s="137"/>
      <c r="J3462" s="135"/>
      <c r="K3462" s="135"/>
      <c r="L3462" s="135"/>
      <c r="M3462" s="135"/>
      <c r="N3462" s="135"/>
      <c r="O3462" s="135"/>
      <c r="P3462" s="135"/>
      <c r="Q3462" s="135"/>
      <c r="R3462" s="135"/>
      <c r="S3462" s="135"/>
      <c r="T3462" s="135"/>
      <c r="U3462" s="135"/>
      <c r="V3462" s="135"/>
      <c r="W3462" s="135"/>
      <c r="X3462" s="135"/>
      <c r="Y3462" s="135"/>
      <c r="Z3462" s="135"/>
    </row>
    <row r="3463" spans="1:26" ht="12.75">
      <c r="A3463" s="136" t="s">
        <v>10</v>
      </c>
      <c r="B3463" s="136" t="s">
        <v>7855</v>
      </c>
      <c r="C3463" s="136" t="s">
        <v>978</v>
      </c>
      <c r="D3463" s="136" t="s">
        <v>139</v>
      </c>
      <c r="E3463" s="136" t="s">
        <v>594</v>
      </c>
      <c r="F3463" s="136">
        <v>794</v>
      </c>
      <c r="G3463" s="137">
        <f t="shared" si="13"/>
        <v>3</v>
      </c>
      <c r="H3463" s="137"/>
      <c r="I3463" s="137"/>
      <c r="J3463" s="135"/>
      <c r="K3463" s="135"/>
      <c r="L3463" s="135"/>
      <c r="M3463" s="135"/>
      <c r="N3463" s="135"/>
      <c r="O3463" s="135"/>
      <c r="P3463" s="135"/>
      <c r="Q3463" s="135"/>
      <c r="R3463" s="135"/>
      <c r="S3463" s="135"/>
      <c r="T3463" s="135"/>
      <c r="U3463" s="135"/>
      <c r="V3463" s="135"/>
      <c r="W3463" s="135"/>
      <c r="X3463" s="135"/>
      <c r="Y3463" s="135"/>
      <c r="Z3463" s="135"/>
    </row>
    <row r="3464" spans="1:26" ht="12.75">
      <c r="A3464" s="136" t="s">
        <v>10</v>
      </c>
      <c r="B3464" s="136" t="s">
        <v>7855</v>
      </c>
      <c r="C3464" s="136" t="s">
        <v>978</v>
      </c>
      <c r="D3464" s="136" t="s">
        <v>1669</v>
      </c>
      <c r="E3464" s="136" t="s">
        <v>615</v>
      </c>
      <c r="F3464" s="136">
        <v>580</v>
      </c>
      <c r="G3464" s="137">
        <f t="shared" si="13"/>
        <v>4</v>
      </c>
      <c r="H3464" s="137"/>
      <c r="I3464" s="137"/>
      <c r="J3464" s="135"/>
      <c r="K3464" s="135"/>
      <c r="L3464" s="135"/>
      <c r="M3464" s="135"/>
      <c r="N3464" s="135"/>
      <c r="O3464" s="135"/>
      <c r="P3464" s="135"/>
      <c r="Q3464" s="135"/>
      <c r="R3464" s="135"/>
      <c r="S3464" s="135"/>
      <c r="T3464" s="135"/>
      <c r="U3464" s="135"/>
      <c r="V3464" s="135"/>
      <c r="W3464" s="135"/>
      <c r="X3464" s="135"/>
      <c r="Y3464" s="135"/>
      <c r="Z3464" s="135"/>
    </row>
    <row r="3465" spans="1:26" ht="12.75">
      <c r="A3465" s="136" t="s">
        <v>10</v>
      </c>
      <c r="B3465" s="136" t="s">
        <v>7855</v>
      </c>
      <c r="C3465" s="136" t="s">
        <v>978</v>
      </c>
      <c r="D3465" s="136" t="s">
        <v>437</v>
      </c>
      <c r="E3465" s="136" t="s">
        <v>594</v>
      </c>
      <c r="F3465" s="136">
        <v>469</v>
      </c>
      <c r="G3465" s="137">
        <f t="shared" si="13"/>
        <v>5</v>
      </c>
      <c r="H3465" s="137"/>
      <c r="I3465" s="137"/>
      <c r="J3465" s="135"/>
      <c r="K3465" s="135"/>
      <c r="L3465" s="135"/>
      <c r="M3465" s="135"/>
      <c r="N3465" s="135"/>
      <c r="O3465" s="135"/>
      <c r="P3465" s="135"/>
      <c r="Q3465" s="135"/>
      <c r="R3465" s="135"/>
      <c r="S3465" s="135"/>
      <c r="T3465" s="135"/>
      <c r="U3465" s="135"/>
      <c r="V3465" s="135"/>
      <c r="W3465" s="135"/>
      <c r="X3465" s="135"/>
      <c r="Y3465" s="135"/>
      <c r="Z3465" s="135"/>
    </row>
    <row r="3466" spans="1:26" ht="12.75">
      <c r="A3466" s="136" t="s">
        <v>10</v>
      </c>
      <c r="B3466" s="136" t="s">
        <v>7855</v>
      </c>
      <c r="C3466" s="136" t="s">
        <v>978</v>
      </c>
      <c r="D3466" s="136" t="s">
        <v>136</v>
      </c>
      <c r="E3466" s="136" t="s">
        <v>615</v>
      </c>
      <c r="F3466" s="136">
        <v>339</v>
      </c>
      <c r="G3466" s="137">
        <f t="shared" si="13"/>
        <v>6</v>
      </c>
      <c r="H3466" s="137"/>
      <c r="I3466" s="137"/>
      <c r="J3466" s="135"/>
      <c r="K3466" s="135"/>
      <c r="L3466" s="135"/>
      <c r="M3466" s="135"/>
      <c r="N3466" s="135"/>
      <c r="O3466" s="135"/>
      <c r="P3466" s="135"/>
      <c r="Q3466" s="135"/>
      <c r="R3466" s="135"/>
      <c r="S3466" s="135"/>
      <c r="T3466" s="135"/>
      <c r="U3466" s="135"/>
      <c r="V3466" s="135"/>
      <c r="W3466" s="135"/>
      <c r="X3466" s="135"/>
      <c r="Y3466" s="135"/>
      <c r="Z3466" s="135"/>
    </row>
    <row r="3467" spans="1:26" ht="12.75">
      <c r="A3467" s="136" t="s">
        <v>10</v>
      </c>
      <c r="B3467" s="136" t="s">
        <v>7855</v>
      </c>
      <c r="C3467" s="136" t="s">
        <v>978</v>
      </c>
      <c r="D3467" s="136" t="s">
        <v>467</v>
      </c>
      <c r="E3467" s="136" t="s">
        <v>85</v>
      </c>
      <c r="F3467" s="136">
        <v>281</v>
      </c>
      <c r="G3467" s="137">
        <f t="shared" si="13"/>
        <v>7</v>
      </c>
      <c r="H3467" s="137"/>
      <c r="I3467" s="137"/>
      <c r="J3467" s="135"/>
      <c r="K3467" s="135"/>
      <c r="L3467" s="135"/>
      <c r="M3467" s="135"/>
      <c r="N3467" s="135"/>
      <c r="O3467" s="135"/>
      <c r="P3467" s="135"/>
      <c r="Q3467" s="135"/>
      <c r="R3467" s="135"/>
      <c r="S3467" s="135"/>
      <c r="T3467" s="135"/>
      <c r="U3467" s="135"/>
      <c r="V3467" s="135"/>
      <c r="W3467" s="135"/>
      <c r="X3467" s="135"/>
      <c r="Y3467" s="135"/>
      <c r="Z3467" s="135"/>
    </row>
    <row r="3468" spans="1:26" ht="12.75">
      <c r="A3468" s="136" t="s">
        <v>10</v>
      </c>
      <c r="B3468" s="136" t="s">
        <v>7855</v>
      </c>
      <c r="C3468" s="136" t="s">
        <v>978</v>
      </c>
      <c r="D3468" s="136" t="s">
        <v>7481</v>
      </c>
      <c r="E3468" s="136" t="s">
        <v>615</v>
      </c>
      <c r="F3468" s="136">
        <v>280</v>
      </c>
      <c r="G3468" s="137">
        <f t="shared" si="13"/>
        <v>8</v>
      </c>
      <c r="H3468" s="137"/>
      <c r="I3468" s="137"/>
      <c r="J3468" s="135"/>
      <c r="K3468" s="135"/>
      <c r="L3468" s="135"/>
      <c r="M3468" s="135"/>
      <c r="N3468" s="135"/>
      <c r="O3468" s="135"/>
      <c r="P3468" s="135"/>
      <c r="Q3468" s="135"/>
      <c r="R3468" s="135"/>
      <c r="S3468" s="135"/>
      <c r="T3468" s="135"/>
      <c r="U3468" s="135"/>
      <c r="V3468" s="135"/>
      <c r="W3468" s="135"/>
      <c r="X3468" s="135"/>
      <c r="Y3468" s="135"/>
      <c r="Z3468" s="135"/>
    </row>
    <row r="3469" spans="1:26" ht="12.75">
      <c r="A3469" s="136" t="s">
        <v>10</v>
      </c>
      <c r="B3469" s="136" t="s">
        <v>7855</v>
      </c>
      <c r="C3469" s="136" t="s">
        <v>978</v>
      </c>
      <c r="D3469" s="136" t="s">
        <v>368</v>
      </c>
      <c r="E3469" s="136" t="s">
        <v>594</v>
      </c>
      <c r="F3469" s="136">
        <v>86</v>
      </c>
      <c r="G3469" s="137">
        <f t="shared" si="13"/>
        <v>9</v>
      </c>
      <c r="H3469" s="137"/>
      <c r="I3469" s="137"/>
      <c r="J3469" s="135"/>
      <c r="K3469" s="135"/>
      <c r="L3469" s="135"/>
      <c r="M3469" s="135"/>
      <c r="N3469" s="135"/>
      <c r="O3469" s="135"/>
      <c r="P3469" s="135"/>
      <c r="Q3469" s="135"/>
      <c r="R3469" s="135"/>
      <c r="S3469" s="135"/>
      <c r="T3469" s="135"/>
      <c r="U3469" s="135"/>
      <c r="V3469" s="135"/>
      <c r="W3469" s="135"/>
      <c r="X3469" s="135"/>
      <c r="Y3469" s="135"/>
      <c r="Z3469" s="135"/>
    </row>
    <row r="3470" spans="1:26" ht="12.75">
      <c r="A3470" s="136" t="s">
        <v>10</v>
      </c>
      <c r="B3470" s="136" t="s">
        <v>7855</v>
      </c>
      <c r="C3470" s="136" t="s">
        <v>978</v>
      </c>
      <c r="D3470" s="136" t="s">
        <v>1656</v>
      </c>
      <c r="E3470" s="136" t="s">
        <v>615</v>
      </c>
      <c r="F3470" s="136">
        <v>74</v>
      </c>
      <c r="G3470" s="137">
        <f t="shared" si="13"/>
        <v>10</v>
      </c>
      <c r="H3470" s="137"/>
      <c r="I3470" s="137"/>
      <c r="J3470" s="135"/>
      <c r="K3470" s="135"/>
      <c r="L3470" s="135"/>
      <c r="M3470" s="135"/>
      <c r="N3470" s="135"/>
      <c r="O3470" s="135"/>
      <c r="P3470" s="135"/>
      <c r="Q3470" s="135"/>
      <c r="R3470" s="135"/>
      <c r="S3470" s="135"/>
      <c r="T3470" s="135"/>
      <c r="U3470" s="135"/>
      <c r="V3470" s="135"/>
      <c r="W3470" s="135"/>
      <c r="X3470" s="135"/>
      <c r="Y3470" s="135"/>
      <c r="Z3470" s="135"/>
    </row>
    <row r="3471" spans="1:26" ht="12.75">
      <c r="A3471" s="136" t="s">
        <v>10</v>
      </c>
      <c r="B3471" s="136" t="s">
        <v>7855</v>
      </c>
      <c r="C3471" s="136" t="s">
        <v>978</v>
      </c>
      <c r="D3471" s="136" t="s">
        <v>1626</v>
      </c>
      <c r="E3471" s="136" t="s">
        <v>594</v>
      </c>
      <c r="F3471" s="136">
        <v>41</v>
      </c>
      <c r="G3471" s="137">
        <f t="shared" si="13"/>
        <v>11</v>
      </c>
      <c r="H3471" s="137"/>
      <c r="I3471" s="137"/>
      <c r="J3471" s="135"/>
      <c r="K3471" s="135"/>
      <c r="L3471" s="135"/>
      <c r="M3471" s="135"/>
      <c r="N3471" s="135"/>
      <c r="O3471" s="135"/>
      <c r="P3471" s="135"/>
      <c r="Q3471" s="135"/>
      <c r="R3471" s="135"/>
      <c r="S3471" s="135"/>
      <c r="T3471" s="135"/>
      <c r="U3471" s="135"/>
      <c r="V3471" s="135"/>
      <c r="W3471" s="135"/>
      <c r="X3471" s="135"/>
      <c r="Y3471" s="135"/>
      <c r="Z3471" s="135"/>
    </row>
    <row r="3472" spans="1:26" ht="12.75">
      <c r="A3472" s="136" t="s">
        <v>10</v>
      </c>
      <c r="B3472" s="136" t="s">
        <v>7855</v>
      </c>
      <c r="C3472" s="136" t="s">
        <v>980</v>
      </c>
      <c r="D3472" s="136" t="s">
        <v>437</v>
      </c>
      <c r="E3472" s="136" t="s">
        <v>594</v>
      </c>
      <c r="F3472" s="136">
        <v>1176</v>
      </c>
      <c r="G3472" s="137">
        <f t="shared" si="13"/>
        <v>1</v>
      </c>
      <c r="H3472" s="137"/>
      <c r="I3472" s="137"/>
      <c r="J3472" s="135"/>
      <c r="K3472" s="135"/>
      <c r="L3472" s="135"/>
      <c r="M3472" s="135"/>
      <c r="N3472" s="135"/>
      <c r="O3472" s="135"/>
      <c r="P3472" s="135"/>
      <c r="Q3472" s="135"/>
      <c r="R3472" s="135"/>
      <c r="S3472" s="135"/>
      <c r="T3472" s="135"/>
      <c r="U3472" s="135"/>
      <c r="V3472" s="135"/>
      <c r="W3472" s="135"/>
      <c r="X3472" s="135"/>
      <c r="Y3472" s="135"/>
      <c r="Z3472" s="135"/>
    </row>
    <row r="3473" spans="1:26" ht="12.75">
      <c r="A3473" s="136" t="s">
        <v>10</v>
      </c>
      <c r="B3473" s="136" t="s">
        <v>7855</v>
      </c>
      <c r="C3473" s="136" t="s">
        <v>980</v>
      </c>
      <c r="D3473" s="136" t="s">
        <v>139</v>
      </c>
      <c r="E3473" s="136" t="s">
        <v>594</v>
      </c>
      <c r="F3473" s="136">
        <v>658</v>
      </c>
      <c r="G3473" s="137">
        <f t="shared" si="13"/>
        <v>2</v>
      </c>
      <c r="H3473" s="137"/>
      <c r="I3473" s="137"/>
      <c r="J3473" s="135"/>
      <c r="K3473" s="135"/>
      <c r="L3473" s="135"/>
      <c r="M3473" s="135"/>
      <c r="N3473" s="135"/>
      <c r="O3473" s="135"/>
      <c r="P3473" s="135"/>
      <c r="Q3473" s="135"/>
      <c r="R3473" s="135"/>
      <c r="S3473" s="135"/>
      <c r="T3473" s="135"/>
      <c r="U3473" s="135"/>
      <c r="V3473" s="135"/>
      <c r="W3473" s="135"/>
      <c r="X3473" s="135"/>
      <c r="Y3473" s="135"/>
      <c r="Z3473" s="135"/>
    </row>
    <row r="3474" spans="1:26" ht="12.75">
      <c r="A3474" s="136" t="s">
        <v>10</v>
      </c>
      <c r="B3474" s="136" t="s">
        <v>7855</v>
      </c>
      <c r="C3474" s="136" t="s">
        <v>980</v>
      </c>
      <c r="D3474" s="136" t="s">
        <v>114</v>
      </c>
      <c r="E3474" s="136" t="s">
        <v>85</v>
      </c>
      <c r="F3474" s="136">
        <v>285</v>
      </c>
      <c r="G3474" s="137">
        <f t="shared" si="13"/>
        <v>3</v>
      </c>
      <c r="H3474" s="137"/>
      <c r="I3474" s="137"/>
      <c r="J3474" s="135"/>
      <c r="K3474" s="135"/>
      <c r="L3474" s="135"/>
      <c r="M3474" s="135"/>
      <c r="N3474" s="135"/>
      <c r="O3474" s="135"/>
      <c r="P3474" s="135"/>
      <c r="Q3474" s="135"/>
      <c r="R3474" s="135"/>
      <c r="S3474" s="135"/>
      <c r="T3474" s="135"/>
      <c r="U3474" s="135"/>
      <c r="V3474" s="135"/>
      <c r="W3474" s="135"/>
      <c r="X3474" s="135"/>
      <c r="Y3474" s="135"/>
      <c r="Z3474" s="135"/>
    </row>
    <row r="3475" spans="1:26" ht="12.75">
      <c r="A3475" s="136" t="s">
        <v>10</v>
      </c>
      <c r="B3475" s="136" t="s">
        <v>7855</v>
      </c>
      <c r="C3475" s="136" t="s">
        <v>980</v>
      </c>
      <c r="D3475" s="136" t="s">
        <v>7857</v>
      </c>
      <c r="E3475" s="136" t="s">
        <v>615</v>
      </c>
      <c r="F3475" s="136">
        <v>180</v>
      </c>
      <c r="G3475" s="137">
        <f t="shared" si="13"/>
        <v>4</v>
      </c>
      <c r="H3475" s="137"/>
      <c r="I3475" s="137"/>
      <c r="J3475" s="135"/>
      <c r="K3475" s="135"/>
      <c r="L3475" s="135"/>
      <c r="M3475" s="135"/>
      <c r="N3475" s="135"/>
      <c r="O3475" s="135"/>
      <c r="P3475" s="135"/>
      <c r="Q3475" s="135"/>
      <c r="R3475" s="135"/>
      <c r="S3475" s="135"/>
      <c r="T3475" s="135"/>
      <c r="U3475" s="135"/>
      <c r="V3475" s="135"/>
      <c r="W3475" s="135"/>
      <c r="X3475" s="135"/>
      <c r="Y3475" s="135"/>
      <c r="Z3475" s="135"/>
    </row>
    <row r="3476" spans="1:26" ht="12.75">
      <c r="A3476" s="136" t="s">
        <v>10</v>
      </c>
      <c r="B3476" s="136" t="s">
        <v>7855</v>
      </c>
      <c r="C3476" s="136" t="s">
        <v>980</v>
      </c>
      <c r="D3476" s="136" t="s">
        <v>467</v>
      </c>
      <c r="E3476" s="136" t="s">
        <v>85</v>
      </c>
      <c r="F3476" s="136">
        <v>112</v>
      </c>
      <c r="G3476" s="137">
        <f t="shared" si="13"/>
        <v>5</v>
      </c>
      <c r="H3476" s="137"/>
      <c r="I3476" s="137"/>
      <c r="J3476" s="135"/>
      <c r="K3476" s="135"/>
      <c r="L3476" s="135"/>
      <c r="M3476" s="135"/>
      <c r="N3476" s="135"/>
      <c r="O3476" s="135"/>
      <c r="P3476" s="135"/>
      <c r="Q3476" s="135"/>
      <c r="R3476" s="135"/>
      <c r="S3476" s="135"/>
      <c r="T3476" s="135"/>
      <c r="U3476" s="135"/>
      <c r="V3476" s="135"/>
      <c r="W3476" s="135"/>
      <c r="X3476" s="135"/>
      <c r="Y3476" s="135"/>
      <c r="Z3476" s="135"/>
    </row>
    <row r="3477" spans="1:26" ht="12.75">
      <c r="A3477" s="136" t="s">
        <v>10</v>
      </c>
      <c r="B3477" s="136" t="s">
        <v>7855</v>
      </c>
      <c r="C3477" s="136" t="s">
        <v>980</v>
      </c>
      <c r="D3477" s="136" t="s">
        <v>368</v>
      </c>
      <c r="E3477" s="136" t="s">
        <v>594</v>
      </c>
      <c r="F3477" s="136">
        <v>89</v>
      </c>
      <c r="G3477" s="137">
        <f t="shared" si="13"/>
        <v>6</v>
      </c>
      <c r="H3477" s="137"/>
      <c r="I3477" s="137"/>
      <c r="J3477" s="135"/>
      <c r="K3477" s="135"/>
      <c r="L3477" s="135"/>
      <c r="M3477" s="135"/>
      <c r="N3477" s="135"/>
      <c r="O3477" s="135"/>
      <c r="P3477" s="135"/>
      <c r="Q3477" s="135"/>
      <c r="R3477" s="135"/>
      <c r="S3477" s="135"/>
      <c r="T3477" s="135"/>
      <c r="U3477" s="135"/>
      <c r="V3477" s="135"/>
      <c r="W3477" s="135"/>
      <c r="X3477" s="135"/>
      <c r="Y3477" s="135"/>
      <c r="Z3477" s="135"/>
    </row>
    <row r="3478" spans="1:26" ht="12.75">
      <c r="A3478" s="136" t="s">
        <v>10</v>
      </c>
      <c r="B3478" s="136" t="s">
        <v>7855</v>
      </c>
      <c r="C3478" s="136" t="s">
        <v>980</v>
      </c>
      <c r="D3478" s="136" t="s">
        <v>1669</v>
      </c>
      <c r="E3478" s="136" t="s">
        <v>615</v>
      </c>
      <c r="F3478" s="136">
        <v>76</v>
      </c>
      <c r="G3478" s="137">
        <f t="shared" si="13"/>
        <v>7</v>
      </c>
      <c r="H3478" s="137"/>
      <c r="I3478" s="137"/>
      <c r="J3478" s="135"/>
      <c r="K3478" s="135"/>
      <c r="L3478" s="135"/>
      <c r="M3478" s="135"/>
      <c r="N3478" s="135"/>
      <c r="O3478" s="135"/>
      <c r="P3478" s="135"/>
      <c r="Q3478" s="135"/>
      <c r="R3478" s="135"/>
      <c r="S3478" s="135"/>
      <c r="T3478" s="135"/>
      <c r="U3478" s="135"/>
      <c r="V3478" s="135"/>
      <c r="W3478" s="135"/>
      <c r="X3478" s="135"/>
      <c r="Y3478" s="135"/>
      <c r="Z3478" s="135"/>
    </row>
    <row r="3479" spans="1:26" ht="12.75">
      <c r="A3479" s="136" t="s">
        <v>10</v>
      </c>
      <c r="B3479" s="136" t="s">
        <v>7855</v>
      </c>
      <c r="C3479" s="136" t="s">
        <v>980</v>
      </c>
      <c r="D3479" s="136" t="s">
        <v>1656</v>
      </c>
      <c r="E3479" s="136" t="s">
        <v>615</v>
      </c>
      <c r="F3479" s="136">
        <v>58</v>
      </c>
      <c r="G3479" s="137">
        <f t="shared" si="13"/>
        <v>8</v>
      </c>
      <c r="H3479" s="137"/>
      <c r="I3479" s="137"/>
      <c r="J3479" s="135"/>
      <c r="K3479" s="135"/>
      <c r="L3479" s="135"/>
      <c r="M3479" s="135"/>
      <c r="N3479" s="135"/>
      <c r="O3479" s="135"/>
      <c r="P3479" s="135"/>
      <c r="Q3479" s="135"/>
      <c r="R3479" s="135"/>
      <c r="S3479" s="135"/>
      <c r="T3479" s="135"/>
      <c r="U3479" s="135"/>
      <c r="V3479" s="135"/>
      <c r="W3479" s="135"/>
      <c r="X3479" s="135"/>
      <c r="Y3479" s="135"/>
      <c r="Z3479" s="135"/>
    </row>
    <row r="3480" spans="1:26" ht="12.75">
      <c r="A3480" s="136" t="s">
        <v>10</v>
      </c>
      <c r="B3480" s="136" t="s">
        <v>7855</v>
      </c>
      <c r="C3480" s="136" t="s">
        <v>980</v>
      </c>
      <c r="D3480" s="136" t="s">
        <v>1626</v>
      </c>
      <c r="E3480" s="136" t="s">
        <v>594</v>
      </c>
      <c r="F3480" s="136">
        <v>54</v>
      </c>
      <c r="G3480" s="137">
        <f t="shared" si="13"/>
        <v>9</v>
      </c>
      <c r="H3480" s="137"/>
      <c r="I3480" s="137"/>
      <c r="J3480" s="135"/>
      <c r="K3480" s="135"/>
      <c r="L3480" s="135"/>
      <c r="M3480" s="135"/>
      <c r="N3480" s="135"/>
      <c r="O3480" s="135"/>
      <c r="P3480" s="135"/>
      <c r="Q3480" s="135"/>
      <c r="R3480" s="135"/>
      <c r="S3480" s="135"/>
      <c r="T3480" s="135"/>
      <c r="U3480" s="135"/>
      <c r="V3480" s="135"/>
      <c r="W3480" s="135"/>
      <c r="X3480" s="135"/>
      <c r="Y3480" s="135"/>
      <c r="Z3480" s="135"/>
    </row>
    <row r="3481" spans="1:26" ht="12.75">
      <c r="A3481" s="136" t="s">
        <v>10</v>
      </c>
      <c r="B3481" s="136" t="s">
        <v>7855</v>
      </c>
      <c r="C3481" s="136" t="s">
        <v>980</v>
      </c>
      <c r="D3481" s="136" t="s">
        <v>7481</v>
      </c>
      <c r="E3481" s="136" t="s">
        <v>615</v>
      </c>
      <c r="F3481" s="136">
        <v>31</v>
      </c>
      <c r="G3481" s="137">
        <f t="shared" si="13"/>
        <v>10</v>
      </c>
      <c r="H3481" s="137"/>
      <c r="I3481" s="137"/>
      <c r="J3481" s="135"/>
      <c r="K3481" s="135"/>
      <c r="L3481" s="135"/>
      <c r="M3481" s="135"/>
      <c r="N3481" s="135"/>
      <c r="O3481" s="135"/>
      <c r="P3481" s="135"/>
      <c r="Q3481" s="135"/>
      <c r="R3481" s="135"/>
      <c r="S3481" s="135"/>
      <c r="T3481" s="135"/>
      <c r="U3481" s="135"/>
      <c r="V3481" s="135"/>
      <c r="W3481" s="135"/>
      <c r="X3481" s="135"/>
      <c r="Y3481" s="135"/>
      <c r="Z3481" s="135"/>
    </row>
    <row r="3482" spans="1:26" ht="12.75">
      <c r="A3482" s="136" t="s">
        <v>10</v>
      </c>
      <c r="B3482" s="136" t="s">
        <v>7855</v>
      </c>
      <c r="C3482" s="136" t="s">
        <v>980</v>
      </c>
      <c r="D3482" s="136" t="s">
        <v>136</v>
      </c>
      <c r="E3482" s="136" t="s">
        <v>615</v>
      </c>
      <c r="F3482" s="136">
        <v>30</v>
      </c>
      <c r="G3482" s="137">
        <f t="shared" si="13"/>
        <v>11</v>
      </c>
      <c r="H3482" s="137"/>
      <c r="I3482" s="137"/>
      <c r="J3482" s="135"/>
      <c r="K3482" s="135"/>
      <c r="L3482" s="135"/>
      <c r="M3482" s="135"/>
      <c r="N3482" s="135"/>
      <c r="O3482" s="135"/>
      <c r="P3482" s="135"/>
      <c r="Q3482" s="135"/>
      <c r="R3482" s="135"/>
      <c r="S3482" s="135"/>
      <c r="T3482" s="135"/>
      <c r="U3482" s="135"/>
      <c r="V3482" s="135"/>
      <c r="W3482" s="135"/>
      <c r="X3482" s="135"/>
      <c r="Y3482" s="135"/>
      <c r="Z3482" s="135"/>
    </row>
    <row r="3483" spans="1:26" ht="12.75">
      <c r="A3483" s="136" t="s">
        <v>10</v>
      </c>
      <c r="B3483" s="136" t="s">
        <v>7855</v>
      </c>
      <c r="C3483" s="136" t="s">
        <v>972</v>
      </c>
      <c r="D3483" s="136" t="s">
        <v>136</v>
      </c>
      <c r="E3483" s="136" t="s">
        <v>615</v>
      </c>
      <c r="F3483" s="136">
        <v>627</v>
      </c>
      <c r="G3483" s="137">
        <f t="shared" si="13"/>
        <v>1</v>
      </c>
      <c r="H3483" s="137"/>
      <c r="I3483" s="137"/>
      <c r="J3483" s="135"/>
      <c r="K3483" s="135"/>
      <c r="L3483" s="135"/>
      <c r="M3483" s="135"/>
      <c r="N3483" s="135"/>
      <c r="O3483" s="135"/>
      <c r="P3483" s="135"/>
      <c r="Q3483" s="135"/>
      <c r="R3483" s="135"/>
      <c r="S3483" s="135"/>
      <c r="T3483" s="135"/>
      <c r="U3483" s="135"/>
      <c r="V3483" s="135"/>
      <c r="W3483" s="135"/>
      <c r="X3483" s="135"/>
      <c r="Y3483" s="135"/>
      <c r="Z3483" s="135"/>
    </row>
    <row r="3484" spans="1:26" ht="12.75">
      <c r="A3484" s="136" t="s">
        <v>10</v>
      </c>
      <c r="B3484" s="136" t="s">
        <v>7855</v>
      </c>
      <c r="C3484" s="136" t="s">
        <v>972</v>
      </c>
      <c r="D3484" s="136" t="s">
        <v>1669</v>
      </c>
      <c r="E3484" s="136" t="s">
        <v>615</v>
      </c>
      <c r="F3484" s="136">
        <v>397</v>
      </c>
      <c r="G3484" s="137">
        <f t="shared" si="13"/>
        <v>2</v>
      </c>
      <c r="H3484" s="137"/>
      <c r="I3484" s="137"/>
      <c r="J3484" s="135"/>
      <c r="K3484" s="135"/>
      <c r="L3484" s="135"/>
      <c r="M3484" s="135"/>
      <c r="N3484" s="135"/>
      <c r="O3484" s="135"/>
      <c r="P3484" s="135"/>
      <c r="Q3484" s="135"/>
      <c r="R3484" s="135"/>
      <c r="S3484" s="135"/>
      <c r="T3484" s="135"/>
      <c r="U3484" s="135"/>
      <c r="V3484" s="135"/>
      <c r="W3484" s="135"/>
      <c r="X3484" s="135"/>
      <c r="Y3484" s="135"/>
      <c r="Z3484" s="135"/>
    </row>
    <row r="3485" spans="1:26" ht="12.75">
      <c r="A3485" s="136" t="s">
        <v>10</v>
      </c>
      <c r="B3485" s="136" t="s">
        <v>7855</v>
      </c>
      <c r="C3485" s="136" t="s">
        <v>972</v>
      </c>
      <c r="D3485" s="136" t="s">
        <v>7857</v>
      </c>
      <c r="E3485" s="136" t="s">
        <v>615</v>
      </c>
      <c r="F3485" s="136">
        <v>178</v>
      </c>
      <c r="G3485" s="137">
        <f t="shared" si="13"/>
        <v>3</v>
      </c>
      <c r="H3485" s="137"/>
      <c r="I3485" s="137"/>
      <c r="J3485" s="135"/>
      <c r="K3485" s="135"/>
      <c r="L3485" s="135"/>
      <c r="M3485" s="135"/>
      <c r="N3485" s="135"/>
      <c r="O3485" s="135"/>
      <c r="P3485" s="135"/>
      <c r="Q3485" s="135"/>
      <c r="R3485" s="135"/>
      <c r="S3485" s="135"/>
      <c r="T3485" s="135"/>
      <c r="U3485" s="135"/>
      <c r="V3485" s="135"/>
      <c r="W3485" s="135"/>
      <c r="X3485" s="135"/>
      <c r="Y3485" s="135"/>
      <c r="Z3485" s="135"/>
    </row>
    <row r="3486" spans="1:26" ht="12.75">
      <c r="A3486" s="136" t="s">
        <v>10</v>
      </c>
      <c r="B3486" s="136" t="s">
        <v>7855</v>
      </c>
      <c r="C3486" s="136" t="s">
        <v>972</v>
      </c>
      <c r="D3486" s="136" t="s">
        <v>7481</v>
      </c>
      <c r="E3486" s="136" t="s">
        <v>615</v>
      </c>
      <c r="F3486" s="136">
        <v>106</v>
      </c>
      <c r="G3486" s="137">
        <f t="shared" si="13"/>
        <v>4</v>
      </c>
      <c r="H3486" s="137"/>
      <c r="I3486" s="137"/>
      <c r="J3486" s="135"/>
      <c r="K3486" s="135"/>
      <c r="L3486" s="135"/>
      <c r="M3486" s="135"/>
      <c r="N3486" s="135"/>
      <c r="O3486" s="135"/>
      <c r="P3486" s="135"/>
      <c r="Q3486" s="135"/>
      <c r="R3486" s="135"/>
      <c r="S3486" s="135"/>
      <c r="T3486" s="135"/>
      <c r="U3486" s="135"/>
      <c r="V3486" s="135"/>
      <c r="W3486" s="135"/>
      <c r="X3486" s="135"/>
      <c r="Y3486" s="135"/>
      <c r="Z3486" s="135"/>
    </row>
    <row r="3487" spans="1:26" ht="12.75">
      <c r="A3487" s="136" t="s">
        <v>10</v>
      </c>
      <c r="B3487" s="136" t="s">
        <v>7855</v>
      </c>
      <c r="C3487" s="136" t="s">
        <v>972</v>
      </c>
      <c r="D3487" s="136" t="s">
        <v>139</v>
      </c>
      <c r="E3487" s="136" t="s">
        <v>594</v>
      </c>
      <c r="F3487" s="136">
        <v>65</v>
      </c>
      <c r="G3487" s="137">
        <f t="shared" si="13"/>
        <v>5</v>
      </c>
      <c r="H3487" s="137"/>
      <c r="I3487" s="137"/>
      <c r="J3487" s="135"/>
      <c r="K3487" s="135"/>
      <c r="L3487" s="135"/>
      <c r="M3487" s="135"/>
      <c r="N3487" s="135"/>
      <c r="O3487" s="135"/>
      <c r="P3487" s="135"/>
      <c r="Q3487" s="135"/>
      <c r="R3487" s="135"/>
      <c r="S3487" s="135"/>
      <c r="T3487" s="135"/>
      <c r="U3487" s="135"/>
      <c r="V3487" s="135"/>
      <c r="W3487" s="135"/>
      <c r="X3487" s="135"/>
      <c r="Y3487" s="135"/>
      <c r="Z3487" s="135"/>
    </row>
    <row r="3488" spans="1:26" ht="12.75">
      <c r="A3488" s="136" t="s">
        <v>10</v>
      </c>
      <c r="B3488" s="136" t="s">
        <v>7855</v>
      </c>
      <c r="C3488" s="136" t="s">
        <v>972</v>
      </c>
      <c r="D3488" s="136" t="s">
        <v>437</v>
      </c>
      <c r="E3488" s="136" t="s">
        <v>594</v>
      </c>
      <c r="F3488" s="136">
        <v>46</v>
      </c>
      <c r="G3488" s="137">
        <f t="shared" si="13"/>
        <v>6</v>
      </c>
      <c r="H3488" s="137"/>
      <c r="I3488" s="137"/>
      <c r="J3488" s="135"/>
      <c r="K3488" s="135"/>
      <c r="L3488" s="135"/>
      <c r="M3488" s="135"/>
      <c r="N3488" s="135"/>
      <c r="O3488" s="135"/>
      <c r="P3488" s="135"/>
      <c r="Q3488" s="135"/>
      <c r="R3488" s="135"/>
      <c r="S3488" s="135"/>
      <c r="T3488" s="135"/>
      <c r="U3488" s="135"/>
      <c r="V3488" s="135"/>
      <c r="W3488" s="135"/>
      <c r="X3488" s="135"/>
      <c r="Y3488" s="135"/>
      <c r="Z3488" s="135"/>
    </row>
    <row r="3489" spans="1:26" ht="12.75">
      <c r="A3489" s="136" t="s">
        <v>10</v>
      </c>
      <c r="B3489" s="136" t="s">
        <v>7855</v>
      </c>
      <c r="C3489" s="136" t="s">
        <v>972</v>
      </c>
      <c r="D3489" s="136" t="s">
        <v>114</v>
      </c>
      <c r="E3489" s="136" t="s">
        <v>85</v>
      </c>
      <c r="F3489" s="136">
        <v>14</v>
      </c>
      <c r="G3489" s="137">
        <f t="shared" si="13"/>
        <v>7</v>
      </c>
      <c r="H3489" s="137"/>
      <c r="I3489" s="137"/>
      <c r="J3489" s="135"/>
      <c r="K3489" s="135"/>
      <c r="L3489" s="135"/>
      <c r="M3489" s="135"/>
      <c r="N3489" s="135"/>
      <c r="O3489" s="135"/>
      <c r="P3489" s="135"/>
      <c r="Q3489" s="135"/>
      <c r="R3489" s="135"/>
      <c r="S3489" s="135"/>
      <c r="T3489" s="135"/>
      <c r="U3489" s="135"/>
      <c r="V3489" s="135"/>
      <c r="W3489" s="135"/>
      <c r="X3489" s="135"/>
      <c r="Y3489" s="135"/>
      <c r="Z3489" s="135"/>
    </row>
    <row r="3490" spans="1:26" ht="12.75">
      <c r="A3490" s="136" t="s">
        <v>10</v>
      </c>
      <c r="B3490" s="136" t="s">
        <v>7855</v>
      </c>
      <c r="C3490" s="136" t="s">
        <v>972</v>
      </c>
      <c r="D3490" s="136" t="s">
        <v>1682</v>
      </c>
      <c r="E3490" s="136" t="s">
        <v>86</v>
      </c>
      <c r="F3490" s="136">
        <v>12</v>
      </c>
      <c r="G3490" s="137">
        <f t="shared" si="13"/>
        <v>8</v>
      </c>
      <c r="H3490" s="137"/>
      <c r="I3490" s="137"/>
      <c r="J3490" s="135"/>
      <c r="K3490" s="135"/>
      <c r="L3490" s="135"/>
      <c r="M3490" s="135"/>
      <c r="N3490" s="135"/>
      <c r="O3490" s="135"/>
      <c r="P3490" s="135"/>
      <c r="Q3490" s="135"/>
      <c r="R3490" s="135"/>
      <c r="S3490" s="135"/>
      <c r="T3490" s="135"/>
      <c r="U3490" s="135"/>
      <c r="V3490" s="135"/>
      <c r="W3490" s="135"/>
      <c r="X3490" s="135"/>
      <c r="Y3490" s="135"/>
      <c r="Z3490" s="135"/>
    </row>
    <row r="3491" spans="1:26" ht="12.75">
      <c r="A3491" s="136" t="s">
        <v>10</v>
      </c>
      <c r="B3491" s="136" t="s">
        <v>7855</v>
      </c>
      <c r="C3491" s="136" t="s">
        <v>972</v>
      </c>
      <c r="D3491" s="136" t="s">
        <v>368</v>
      </c>
      <c r="E3491" s="136" t="s">
        <v>594</v>
      </c>
      <c r="F3491" s="136">
        <v>10</v>
      </c>
      <c r="G3491" s="137">
        <f t="shared" si="13"/>
        <v>9</v>
      </c>
      <c r="H3491" s="137"/>
      <c r="I3491" s="137"/>
      <c r="J3491" s="135"/>
      <c r="K3491" s="135"/>
      <c r="L3491" s="135"/>
      <c r="M3491" s="135"/>
      <c r="N3491" s="135"/>
      <c r="O3491" s="135"/>
      <c r="P3491" s="135"/>
      <c r="Q3491" s="135"/>
      <c r="R3491" s="135"/>
      <c r="S3491" s="135"/>
      <c r="T3491" s="135"/>
      <c r="U3491" s="135"/>
      <c r="V3491" s="135"/>
      <c r="W3491" s="135"/>
      <c r="X3491" s="135"/>
      <c r="Y3491" s="135"/>
      <c r="Z3491" s="135"/>
    </row>
    <row r="3492" spans="1:26" ht="12.75">
      <c r="A3492" s="136" t="s">
        <v>10</v>
      </c>
      <c r="B3492" s="136" t="s">
        <v>7855</v>
      </c>
      <c r="C3492" s="136" t="s">
        <v>972</v>
      </c>
      <c r="D3492" s="136" t="s">
        <v>1626</v>
      </c>
      <c r="E3492" s="136" t="s">
        <v>594</v>
      </c>
      <c r="F3492" s="136">
        <v>3</v>
      </c>
      <c r="G3492" s="137">
        <f t="shared" si="13"/>
        <v>10</v>
      </c>
      <c r="H3492" s="137"/>
      <c r="I3492" s="137"/>
      <c r="J3492" s="135"/>
      <c r="K3492" s="135"/>
      <c r="L3492" s="135"/>
      <c r="M3492" s="135"/>
      <c r="N3492" s="135"/>
      <c r="O3492" s="135"/>
      <c r="P3492" s="135"/>
      <c r="Q3492" s="135"/>
      <c r="R3492" s="135"/>
      <c r="S3492" s="135"/>
      <c r="T3492" s="135"/>
      <c r="U3492" s="135"/>
      <c r="V3492" s="135"/>
      <c r="W3492" s="135"/>
      <c r="X3492" s="135"/>
      <c r="Y3492" s="135"/>
      <c r="Z3492" s="135"/>
    </row>
    <row r="3493" spans="1:26" ht="12.75">
      <c r="A3493" s="136" t="s">
        <v>10</v>
      </c>
      <c r="B3493" s="136" t="s">
        <v>7855</v>
      </c>
      <c r="C3493" s="136" t="s">
        <v>972</v>
      </c>
      <c r="D3493" s="136" t="s">
        <v>1656</v>
      </c>
      <c r="E3493" s="136" t="s">
        <v>615</v>
      </c>
      <c r="F3493" s="136">
        <v>3</v>
      </c>
      <c r="G3493" s="137">
        <f t="shared" si="13"/>
        <v>11</v>
      </c>
      <c r="H3493" s="137"/>
      <c r="I3493" s="137"/>
      <c r="J3493" s="135"/>
      <c r="K3493" s="135"/>
      <c r="L3493" s="135"/>
      <c r="M3493" s="135"/>
      <c r="N3493" s="135"/>
      <c r="O3493" s="135"/>
      <c r="P3493" s="135"/>
      <c r="Q3493" s="135"/>
      <c r="R3493" s="135"/>
      <c r="S3493" s="135"/>
      <c r="T3493" s="135"/>
      <c r="U3493" s="135"/>
      <c r="V3493" s="135"/>
      <c r="W3493" s="135"/>
      <c r="X3493" s="135"/>
      <c r="Y3493" s="135"/>
      <c r="Z3493" s="135"/>
    </row>
    <row r="3494" spans="1:26" ht="12.75">
      <c r="A3494" s="136" t="s">
        <v>10</v>
      </c>
      <c r="B3494" s="136" t="s">
        <v>7855</v>
      </c>
      <c r="C3494" s="136" t="s">
        <v>972</v>
      </c>
      <c r="D3494" s="136" t="s">
        <v>467</v>
      </c>
      <c r="E3494" s="136" t="s">
        <v>85</v>
      </c>
      <c r="F3494" s="136">
        <v>0</v>
      </c>
      <c r="G3494" s="137">
        <f t="shared" si="13"/>
        <v>12</v>
      </c>
      <c r="H3494" s="137"/>
      <c r="I3494" s="137"/>
      <c r="J3494" s="135"/>
      <c r="K3494" s="135"/>
      <c r="L3494" s="135"/>
      <c r="M3494" s="135"/>
      <c r="N3494" s="135"/>
      <c r="O3494" s="135"/>
      <c r="P3494" s="135"/>
      <c r="Q3494" s="135"/>
      <c r="R3494" s="135"/>
      <c r="S3494" s="135"/>
      <c r="T3494" s="135"/>
      <c r="U3494" s="135"/>
      <c r="V3494" s="135"/>
      <c r="W3494" s="135"/>
      <c r="X3494" s="135"/>
      <c r="Y3494" s="135"/>
      <c r="Z3494" s="135"/>
    </row>
    <row r="3495" spans="1:26" ht="12.75">
      <c r="A3495" s="136" t="s">
        <v>10</v>
      </c>
      <c r="B3495" s="136" t="s">
        <v>7855</v>
      </c>
      <c r="C3495" s="136" t="s">
        <v>7867</v>
      </c>
      <c r="D3495" s="136" t="s">
        <v>165</v>
      </c>
      <c r="E3495" s="136" t="s">
        <v>615</v>
      </c>
      <c r="F3495" s="136">
        <v>652</v>
      </c>
      <c r="G3495" s="137">
        <f t="shared" si="13"/>
        <v>1</v>
      </c>
      <c r="H3495" s="137"/>
      <c r="I3495" s="137"/>
      <c r="J3495" s="135"/>
      <c r="K3495" s="135"/>
      <c r="L3495" s="135"/>
      <c r="M3495" s="135"/>
      <c r="N3495" s="135"/>
      <c r="O3495" s="135"/>
      <c r="P3495" s="135"/>
      <c r="Q3495" s="135"/>
      <c r="R3495" s="135"/>
      <c r="S3495" s="135"/>
      <c r="T3495" s="135"/>
      <c r="U3495" s="135"/>
      <c r="V3495" s="135"/>
      <c r="W3495" s="135"/>
      <c r="X3495" s="135"/>
      <c r="Y3495" s="135"/>
      <c r="Z3495" s="135"/>
    </row>
    <row r="3496" spans="1:26" ht="12.75">
      <c r="A3496" s="136" t="s">
        <v>10</v>
      </c>
      <c r="B3496" s="136" t="s">
        <v>7855</v>
      </c>
      <c r="C3496" s="136" t="s">
        <v>7867</v>
      </c>
      <c r="D3496" s="136" t="s">
        <v>139</v>
      </c>
      <c r="E3496" s="136" t="s">
        <v>594</v>
      </c>
      <c r="F3496" s="136">
        <v>414</v>
      </c>
      <c r="G3496" s="137">
        <f t="shared" si="13"/>
        <v>2</v>
      </c>
      <c r="H3496" s="137"/>
      <c r="I3496" s="137"/>
      <c r="J3496" s="135"/>
      <c r="K3496" s="135"/>
      <c r="L3496" s="135"/>
      <c r="M3496" s="135"/>
      <c r="N3496" s="135"/>
      <c r="O3496" s="135"/>
      <c r="P3496" s="135"/>
      <c r="Q3496" s="135"/>
      <c r="R3496" s="135"/>
      <c r="S3496" s="135"/>
      <c r="T3496" s="135"/>
      <c r="U3496" s="135"/>
      <c r="V3496" s="135"/>
      <c r="W3496" s="135"/>
      <c r="X3496" s="135"/>
      <c r="Y3496" s="135"/>
      <c r="Z3496" s="135"/>
    </row>
    <row r="3497" spans="1:26" ht="12.75">
      <c r="A3497" s="136" t="s">
        <v>10</v>
      </c>
      <c r="B3497" s="136" t="s">
        <v>7855</v>
      </c>
      <c r="C3497" s="136" t="s">
        <v>7867</v>
      </c>
      <c r="D3497" s="136" t="s">
        <v>437</v>
      </c>
      <c r="E3497" s="136" t="s">
        <v>594</v>
      </c>
      <c r="F3497" s="136">
        <v>204</v>
      </c>
      <c r="G3497" s="137">
        <f t="shared" si="13"/>
        <v>3</v>
      </c>
      <c r="H3497" s="137"/>
      <c r="I3497" s="137"/>
      <c r="J3497" s="135"/>
      <c r="K3497" s="135"/>
      <c r="L3497" s="135"/>
      <c r="M3497" s="135"/>
      <c r="N3497" s="135"/>
      <c r="O3497" s="135"/>
      <c r="P3497" s="135"/>
      <c r="Q3497" s="135"/>
      <c r="R3497" s="135"/>
      <c r="S3497" s="135"/>
      <c r="T3497" s="135"/>
      <c r="U3497" s="135"/>
      <c r="V3497" s="135"/>
      <c r="W3497" s="135"/>
      <c r="X3497" s="135"/>
      <c r="Y3497" s="135"/>
      <c r="Z3497" s="135"/>
    </row>
    <row r="3498" spans="1:26" ht="12.75">
      <c r="A3498" s="136" t="s">
        <v>10</v>
      </c>
      <c r="B3498" s="136" t="s">
        <v>7855</v>
      </c>
      <c r="C3498" s="136" t="s">
        <v>7867</v>
      </c>
      <c r="D3498" s="136" t="s">
        <v>1669</v>
      </c>
      <c r="E3498" s="136" t="s">
        <v>615</v>
      </c>
      <c r="F3498" s="136">
        <v>197</v>
      </c>
      <c r="G3498" s="137">
        <f t="shared" si="13"/>
        <v>4</v>
      </c>
      <c r="H3498" s="137"/>
      <c r="I3498" s="137"/>
      <c r="J3498" s="135"/>
      <c r="K3498" s="135"/>
      <c r="L3498" s="135"/>
      <c r="M3498" s="135"/>
      <c r="N3498" s="135"/>
      <c r="O3498" s="135"/>
      <c r="P3498" s="135"/>
      <c r="Q3498" s="135"/>
      <c r="R3498" s="135"/>
      <c r="S3498" s="135"/>
      <c r="T3498" s="135"/>
      <c r="U3498" s="135"/>
      <c r="V3498" s="135"/>
      <c r="W3498" s="135"/>
      <c r="X3498" s="135"/>
      <c r="Y3498" s="135"/>
      <c r="Z3498" s="135"/>
    </row>
    <row r="3499" spans="1:26" ht="12.75">
      <c r="A3499" s="136" t="s">
        <v>10</v>
      </c>
      <c r="B3499" s="136" t="s">
        <v>7855</v>
      </c>
      <c r="C3499" s="136" t="s">
        <v>7867</v>
      </c>
      <c r="D3499" s="136" t="s">
        <v>7481</v>
      </c>
      <c r="E3499" s="136" t="s">
        <v>615</v>
      </c>
      <c r="F3499" s="136">
        <v>62</v>
      </c>
      <c r="G3499" s="137">
        <f t="shared" si="13"/>
        <v>5</v>
      </c>
      <c r="H3499" s="137"/>
      <c r="I3499" s="137"/>
      <c r="J3499" s="135"/>
      <c r="K3499" s="135"/>
      <c r="L3499" s="135"/>
      <c r="M3499" s="135"/>
      <c r="N3499" s="135"/>
      <c r="O3499" s="135"/>
      <c r="P3499" s="135"/>
      <c r="Q3499" s="135"/>
      <c r="R3499" s="135"/>
      <c r="S3499" s="135"/>
      <c r="T3499" s="135"/>
      <c r="U3499" s="135"/>
      <c r="V3499" s="135"/>
      <c r="W3499" s="135"/>
      <c r="X3499" s="135"/>
      <c r="Y3499" s="135"/>
      <c r="Z3499" s="135"/>
    </row>
    <row r="3500" spans="1:26" ht="12.75">
      <c r="A3500" s="136" t="s">
        <v>10</v>
      </c>
      <c r="B3500" s="136" t="s">
        <v>7855</v>
      </c>
      <c r="C3500" s="136" t="s">
        <v>7867</v>
      </c>
      <c r="D3500" s="136" t="s">
        <v>136</v>
      </c>
      <c r="E3500" s="136" t="s">
        <v>615</v>
      </c>
      <c r="F3500" s="136">
        <v>49</v>
      </c>
      <c r="G3500" s="137">
        <f t="shared" si="13"/>
        <v>6</v>
      </c>
      <c r="H3500" s="137"/>
      <c r="I3500" s="137"/>
      <c r="J3500" s="135"/>
      <c r="K3500" s="135"/>
      <c r="L3500" s="135"/>
      <c r="M3500" s="135"/>
      <c r="N3500" s="135"/>
      <c r="O3500" s="135"/>
      <c r="P3500" s="135"/>
      <c r="Q3500" s="135"/>
      <c r="R3500" s="135"/>
      <c r="S3500" s="135"/>
      <c r="T3500" s="135"/>
      <c r="U3500" s="135"/>
      <c r="V3500" s="135"/>
      <c r="W3500" s="135"/>
      <c r="X3500" s="135"/>
      <c r="Y3500" s="135"/>
      <c r="Z3500" s="135"/>
    </row>
    <row r="3501" spans="1:26" ht="12.75">
      <c r="A3501" s="136" t="s">
        <v>10</v>
      </c>
      <c r="B3501" s="136" t="s">
        <v>7855</v>
      </c>
      <c r="C3501" s="136" t="s">
        <v>7867</v>
      </c>
      <c r="D3501" s="136" t="s">
        <v>368</v>
      </c>
      <c r="E3501" s="136" t="s">
        <v>594</v>
      </c>
      <c r="F3501" s="136">
        <v>44</v>
      </c>
      <c r="G3501" s="137">
        <f t="shared" si="13"/>
        <v>7</v>
      </c>
      <c r="H3501" s="137"/>
      <c r="I3501" s="137"/>
      <c r="J3501" s="135"/>
      <c r="K3501" s="135"/>
      <c r="L3501" s="135"/>
      <c r="M3501" s="135"/>
      <c r="N3501" s="135"/>
      <c r="O3501" s="135"/>
      <c r="P3501" s="135"/>
      <c r="Q3501" s="135"/>
      <c r="R3501" s="135"/>
      <c r="S3501" s="135"/>
      <c r="T3501" s="135"/>
      <c r="U3501" s="135"/>
      <c r="V3501" s="135"/>
      <c r="W3501" s="135"/>
      <c r="X3501" s="135"/>
      <c r="Y3501" s="135"/>
      <c r="Z3501" s="135"/>
    </row>
    <row r="3502" spans="1:26" ht="12.75">
      <c r="A3502" s="136" t="s">
        <v>10</v>
      </c>
      <c r="B3502" s="136" t="s">
        <v>7855</v>
      </c>
      <c r="C3502" s="136" t="s">
        <v>7867</v>
      </c>
      <c r="D3502" s="136" t="s">
        <v>1656</v>
      </c>
      <c r="E3502" s="136" t="s">
        <v>615</v>
      </c>
      <c r="F3502" s="136">
        <v>20</v>
      </c>
      <c r="G3502" s="137">
        <f t="shared" si="13"/>
        <v>8</v>
      </c>
      <c r="H3502" s="137"/>
      <c r="I3502" s="137"/>
      <c r="J3502" s="135"/>
      <c r="K3502" s="135"/>
      <c r="L3502" s="135"/>
      <c r="M3502" s="135"/>
      <c r="N3502" s="135"/>
      <c r="O3502" s="135"/>
      <c r="P3502" s="135"/>
      <c r="Q3502" s="135"/>
      <c r="R3502" s="135"/>
      <c r="S3502" s="135"/>
      <c r="T3502" s="135"/>
      <c r="U3502" s="135"/>
      <c r="V3502" s="135"/>
      <c r="W3502" s="135"/>
      <c r="X3502" s="135"/>
      <c r="Y3502" s="135"/>
      <c r="Z3502" s="135"/>
    </row>
    <row r="3503" spans="1:26" ht="12.75">
      <c r="A3503" s="136" t="s">
        <v>10</v>
      </c>
      <c r="B3503" s="136" t="s">
        <v>7855</v>
      </c>
      <c r="C3503" s="136" t="s">
        <v>7867</v>
      </c>
      <c r="D3503" s="136" t="s">
        <v>114</v>
      </c>
      <c r="E3503" s="136" t="s">
        <v>85</v>
      </c>
      <c r="F3503" s="136">
        <v>17</v>
      </c>
      <c r="G3503" s="137">
        <f t="shared" si="13"/>
        <v>9</v>
      </c>
      <c r="H3503" s="137"/>
      <c r="I3503" s="137"/>
      <c r="J3503" s="135"/>
      <c r="K3503" s="135"/>
      <c r="L3503" s="135"/>
      <c r="M3503" s="135"/>
      <c r="N3503" s="135"/>
      <c r="O3503" s="135"/>
      <c r="P3503" s="135"/>
      <c r="Q3503" s="135"/>
      <c r="R3503" s="135"/>
      <c r="S3503" s="135"/>
      <c r="T3503" s="135"/>
      <c r="U3503" s="135"/>
      <c r="V3503" s="135"/>
      <c r="W3503" s="135"/>
      <c r="X3503" s="135"/>
      <c r="Y3503" s="135"/>
      <c r="Z3503" s="135"/>
    </row>
    <row r="3504" spans="1:26" ht="12.75">
      <c r="A3504" s="136" t="s">
        <v>10</v>
      </c>
      <c r="B3504" s="136" t="s">
        <v>7855</v>
      </c>
      <c r="C3504" s="136" t="s">
        <v>7867</v>
      </c>
      <c r="D3504" s="136" t="s">
        <v>1626</v>
      </c>
      <c r="E3504" s="136" t="s">
        <v>594</v>
      </c>
      <c r="F3504" s="136">
        <v>16</v>
      </c>
      <c r="G3504" s="137">
        <f t="shared" si="13"/>
        <v>10</v>
      </c>
      <c r="H3504" s="137"/>
      <c r="I3504" s="137"/>
      <c r="J3504" s="135"/>
      <c r="K3504" s="135"/>
      <c r="L3504" s="135"/>
      <c r="M3504" s="135"/>
      <c r="N3504" s="135"/>
      <c r="O3504" s="135"/>
      <c r="P3504" s="135"/>
      <c r="Q3504" s="135"/>
      <c r="R3504" s="135"/>
      <c r="S3504" s="135"/>
      <c r="T3504" s="135"/>
      <c r="U3504" s="135"/>
      <c r="V3504" s="135"/>
      <c r="W3504" s="135"/>
      <c r="X3504" s="135"/>
      <c r="Y3504" s="135"/>
      <c r="Z3504" s="135"/>
    </row>
    <row r="3505" spans="1:26" ht="12.75">
      <c r="A3505" s="136" t="s">
        <v>10</v>
      </c>
      <c r="B3505" s="136" t="s">
        <v>7855</v>
      </c>
      <c r="C3505" s="136" t="s">
        <v>7867</v>
      </c>
      <c r="D3505" s="136" t="s">
        <v>467</v>
      </c>
      <c r="E3505" s="136" t="s">
        <v>85</v>
      </c>
      <c r="F3505" s="136">
        <v>9</v>
      </c>
      <c r="G3505" s="137">
        <f t="shared" si="13"/>
        <v>11</v>
      </c>
      <c r="H3505" s="137"/>
      <c r="I3505" s="137"/>
      <c r="J3505" s="135"/>
      <c r="K3505" s="135"/>
      <c r="L3505" s="135"/>
      <c r="M3505" s="135"/>
      <c r="N3505" s="135"/>
      <c r="O3505" s="135"/>
      <c r="P3505" s="135"/>
      <c r="Q3505" s="135"/>
      <c r="R3505" s="135"/>
      <c r="S3505" s="135"/>
      <c r="T3505" s="135"/>
      <c r="U3505" s="135"/>
      <c r="V3505" s="135"/>
      <c r="W3505" s="135"/>
      <c r="X3505" s="135"/>
      <c r="Y3505" s="135"/>
      <c r="Z3505" s="135"/>
    </row>
    <row r="3506" spans="1:26" ht="12.75">
      <c r="A3506" s="136" t="s">
        <v>10</v>
      </c>
      <c r="B3506" s="136" t="s">
        <v>7868</v>
      </c>
      <c r="C3506" s="136" t="s">
        <v>7869</v>
      </c>
      <c r="D3506" s="136" t="s">
        <v>139</v>
      </c>
      <c r="E3506" s="136" t="s">
        <v>594</v>
      </c>
      <c r="F3506" s="136">
        <v>8086</v>
      </c>
      <c r="G3506" s="137">
        <f t="shared" si="13"/>
        <v>1</v>
      </c>
      <c r="H3506" s="137"/>
      <c r="I3506" s="137"/>
      <c r="J3506" s="135"/>
      <c r="K3506" s="135"/>
      <c r="L3506" s="135"/>
      <c r="M3506" s="135"/>
      <c r="N3506" s="135"/>
      <c r="O3506" s="135"/>
      <c r="P3506" s="135"/>
      <c r="Q3506" s="135"/>
      <c r="R3506" s="135"/>
      <c r="S3506" s="135"/>
      <c r="T3506" s="135"/>
      <c r="U3506" s="135"/>
      <c r="V3506" s="135"/>
      <c r="W3506" s="135"/>
      <c r="X3506" s="135"/>
      <c r="Y3506" s="135"/>
      <c r="Z3506" s="135"/>
    </row>
    <row r="3507" spans="1:26" ht="12.75">
      <c r="A3507" s="136" t="s">
        <v>10</v>
      </c>
      <c r="B3507" s="136" t="s">
        <v>7868</v>
      </c>
      <c r="C3507" s="136" t="s">
        <v>7869</v>
      </c>
      <c r="D3507" s="136" t="s">
        <v>7481</v>
      </c>
      <c r="E3507" s="136" t="s">
        <v>615</v>
      </c>
      <c r="F3507" s="136">
        <v>891</v>
      </c>
      <c r="G3507" s="137">
        <f t="shared" si="13"/>
        <v>2</v>
      </c>
      <c r="H3507" s="137"/>
      <c r="I3507" s="137"/>
      <c r="J3507" s="135"/>
      <c r="K3507" s="135"/>
      <c r="L3507" s="135"/>
      <c r="M3507" s="135"/>
      <c r="N3507" s="135"/>
      <c r="O3507" s="135"/>
      <c r="P3507" s="135"/>
      <c r="Q3507" s="135"/>
      <c r="R3507" s="135"/>
      <c r="S3507" s="135"/>
      <c r="T3507" s="135"/>
      <c r="U3507" s="135"/>
      <c r="V3507" s="135"/>
      <c r="W3507" s="135"/>
      <c r="X3507" s="135"/>
      <c r="Y3507" s="135"/>
      <c r="Z3507" s="135"/>
    </row>
    <row r="3508" spans="1:26" ht="12.75">
      <c r="A3508" s="136" t="s">
        <v>10</v>
      </c>
      <c r="B3508" s="136" t="s">
        <v>7868</v>
      </c>
      <c r="C3508" s="136" t="s">
        <v>7869</v>
      </c>
      <c r="D3508" s="136" t="s">
        <v>1669</v>
      </c>
      <c r="E3508" s="136" t="s">
        <v>615</v>
      </c>
      <c r="F3508" s="136">
        <v>742</v>
      </c>
      <c r="G3508" s="137">
        <f t="shared" si="13"/>
        <v>3</v>
      </c>
      <c r="H3508" s="137"/>
      <c r="I3508" s="137"/>
      <c r="J3508" s="135"/>
      <c r="K3508" s="135"/>
      <c r="L3508" s="135"/>
      <c r="M3508" s="135"/>
      <c r="N3508" s="135"/>
      <c r="O3508" s="135"/>
      <c r="P3508" s="135"/>
      <c r="Q3508" s="135"/>
      <c r="R3508" s="135"/>
      <c r="S3508" s="135"/>
      <c r="T3508" s="135"/>
      <c r="U3508" s="135"/>
      <c r="V3508" s="135"/>
      <c r="W3508" s="135"/>
      <c r="X3508" s="135"/>
      <c r="Y3508" s="135"/>
      <c r="Z3508" s="135"/>
    </row>
    <row r="3509" spans="1:26" ht="12.75">
      <c r="A3509" s="136" t="s">
        <v>10</v>
      </c>
      <c r="B3509" s="136" t="s">
        <v>7868</v>
      </c>
      <c r="C3509" s="136" t="s">
        <v>7869</v>
      </c>
      <c r="D3509" s="136" t="s">
        <v>437</v>
      </c>
      <c r="E3509" s="136" t="s">
        <v>594</v>
      </c>
      <c r="F3509" s="136">
        <v>542</v>
      </c>
      <c r="G3509" s="137">
        <f t="shared" si="13"/>
        <v>4</v>
      </c>
      <c r="H3509" s="137"/>
      <c r="I3509" s="137"/>
      <c r="J3509" s="135"/>
      <c r="K3509" s="135"/>
      <c r="L3509" s="135"/>
      <c r="M3509" s="135"/>
      <c r="N3509" s="135"/>
      <c r="O3509" s="135"/>
      <c r="P3509" s="135"/>
      <c r="Q3509" s="135"/>
      <c r="R3509" s="135"/>
      <c r="S3509" s="135"/>
      <c r="T3509" s="135"/>
      <c r="U3509" s="135"/>
      <c r="V3509" s="135"/>
      <c r="W3509" s="135"/>
      <c r="X3509" s="135"/>
      <c r="Y3509" s="135"/>
      <c r="Z3509" s="135"/>
    </row>
    <row r="3510" spans="1:26" ht="12.75">
      <c r="A3510" s="136" t="s">
        <v>10</v>
      </c>
      <c r="B3510" s="136" t="s">
        <v>7868</v>
      </c>
      <c r="C3510" s="136" t="s">
        <v>7869</v>
      </c>
      <c r="D3510" s="136" t="s">
        <v>165</v>
      </c>
      <c r="E3510" s="136" t="s">
        <v>615</v>
      </c>
      <c r="F3510" s="136">
        <v>442</v>
      </c>
      <c r="G3510" s="137">
        <f t="shared" si="13"/>
        <v>5</v>
      </c>
      <c r="H3510" s="137"/>
      <c r="I3510" s="137"/>
      <c r="J3510" s="135"/>
      <c r="K3510" s="135"/>
      <c r="L3510" s="135"/>
      <c r="M3510" s="135"/>
      <c r="N3510" s="135"/>
      <c r="O3510" s="135"/>
      <c r="P3510" s="135"/>
      <c r="Q3510" s="135"/>
      <c r="R3510" s="135"/>
      <c r="S3510" s="135"/>
      <c r="T3510" s="135"/>
      <c r="U3510" s="135"/>
      <c r="V3510" s="135"/>
      <c r="W3510" s="135"/>
      <c r="X3510" s="135"/>
      <c r="Y3510" s="135"/>
      <c r="Z3510" s="135"/>
    </row>
    <row r="3511" spans="1:26" ht="12.75">
      <c r="A3511" s="136" t="s">
        <v>10</v>
      </c>
      <c r="B3511" s="136" t="s">
        <v>7868</v>
      </c>
      <c r="C3511" s="136" t="s">
        <v>7869</v>
      </c>
      <c r="D3511" s="136" t="s">
        <v>136</v>
      </c>
      <c r="E3511" s="136" t="s">
        <v>615</v>
      </c>
      <c r="F3511" s="136">
        <v>387</v>
      </c>
      <c r="G3511" s="137">
        <f t="shared" si="13"/>
        <v>6</v>
      </c>
      <c r="H3511" s="137"/>
      <c r="I3511" s="137"/>
      <c r="J3511" s="135"/>
      <c r="K3511" s="135"/>
      <c r="L3511" s="135"/>
      <c r="M3511" s="135"/>
      <c r="N3511" s="135"/>
      <c r="O3511" s="135"/>
      <c r="P3511" s="135"/>
      <c r="Q3511" s="135"/>
      <c r="R3511" s="135"/>
      <c r="S3511" s="135"/>
      <c r="T3511" s="135"/>
      <c r="U3511" s="135"/>
      <c r="V3511" s="135"/>
      <c r="W3511" s="135"/>
      <c r="X3511" s="135"/>
      <c r="Y3511" s="135"/>
      <c r="Z3511" s="135"/>
    </row>
    <row r="3512" spans="1:26" ht="12.75">
      <c r="A3512" s="136" t="s">
        <v>10</v>
      </c>
      <c r="B3512" s="136" t="s">
        <v>7868</v>
      </c>
      <c r="C3512" s="136" t="s">
        <v>7869</v>
      </c>
      <c r="D3512" s="136" t="s">
        <v>368</v>
      </c>
      <c r="E3512" s="136" t="s">
        <v>594</v>
      </c>
      <c r="F3512" s="136">
        <v>189</v>
      </c>
      <c r="G3512" s="137">
        <f t="shared" si="13"/>
        <v>7</v>
      </c>
      <c r="H3512" s="137"/>
      <c r="I3512" s="137"/>
      <c r="J3512" s="135"/>
      <c r="K3512" s="135"/>
      <c r="L3512" s="135"/>
      <c r="M3512" s="135"/>
      <c r="N3512" s="135"/>
      <c r="O3512" s="135"/>
      <c r="P3512" s="135"/>
      <c r="Q3512" s="135"/>
      <c r="R3512" s="135"/>
      <c r="S3512" s="135"/>
      <c r="T3512" s="135"/>
      <c r="U3512" s="135"/>
      <c r="V3512" s="135"/>
      <c r="W3512" s="135"/>
      <c r="X3512" s="135"/>
      <c r="Y3512" s="135"/>
      <c r="Z3512" s="135"/>
    </row>
    <row r="3513" spans="1:26" ht="12.75">
      <c r="A3513" s="136" t="s">
        <v>10</v>
      </c>
      <c r="B3513" s="136" t="s">
        <v>7868</v>
      </c>
      <c r="C3513" s="136" t="s">
        <v>7869</v>
      </c>
      <c r="D3513" s="136" t="s">
        <v>1626</v>
      </c>
      <c r="E3513" s="136" t="s">
        <v>594</v>
      </c>
      <c r="F3513" s="136">
        <v>123</v>
      </c>
      <c r="G3513" s="137">
        <f t="shared" si="13"/>
        <v>8</v>
      </c>
      <c r="H3513" s="137"/>
      <c r="I3513" s="137"/>
      <c r="J3513" s="135"/>
      <c r="K3513" s="135"/>
      <c r="L3513" s="135"/>
      <c r="M3513" s="135"/>
      <c r="N3513" s="135"/>
      <c r="O3513" s="135"/>
      <c r="P3513" s="135"/>
      <c r="Q3513" s="135"/>
      <c r="R3513" s="135"/>
      <c r="S3513" s="135"/>
      <c r="T3513" s="135"/>
      <c r="U3513" s="135"/>
      <c r="V3513" s="135"/>
      <c r="W3513" s="135"/>
      <c r="X3513" s="135"/>
      <c r="Y3513" s="135"/>
      <c r="Z3513" s="135"/>
    </row>
    <row r="3514" spans="1:26" ht="12.75">
      <c r="A3514" s="136" t="s">
        <v>10</v>
      </c>
      <c r="B3514" s="136" t="s">
        <v>7868</v>
      </c>
      <c r="C3514" s="136" t="s">
        <v>7869</v>
      </c>
      <c r="D3514" s="136" t="s">
        <v>1656</v>
      </c>
      <c r="E3514" s="136" t="s">
        <v>615</v>
      </c>
      <c r="F3514" s="136">
        <v>118</v>
      </c>
      <c r="G3514" s="137">
        <f t="shared" si="13"/>
        <v>9</v>
      </c>
      <c r="H3514" s="137"/>
      <c r="I3514" s="137"/>
      <c r="J3514" s="135"/>
      <c r="K3514" s="135"/>
      <c r="L3514" s="135"/>
      <c r="M3514" s="135"/>
      <c r="N3514" s="135"/>
      <c r="O3514" s="135"/>
      <c r="P3514" s="135"/>
      <c r="Q3514" s="135"/>
      <c r="R3514" s="135"/>
      <c r="S3514" s="135"/>
      <c r="T3514" s="135"/>
      <c r="U3514" s="135"/>
      <c r="V3514" s="135"/>
      <c r="W3514" s="135"/>
      <c r="X3514" s="135"/>
      <c r="Y3514" s="135"/>
      <c r="Z3514" s="135"/>
    </row>
    <row r="3515" spans="1:26" ht="12.75">
      <c r="A3515" s="136" t="s">
        <v>10</v>
      </c>
      <c r="B3515" s="136" t="s">
        <v>7868</v>
      </c>
      <c r="C3515" s="136" t="s">
        <v>7869</v>
      </c>
      <c r="D3515" s="136" t="s">
        <v>103</v>
      </c>
      <c r="E3515" s="136" t="s">
        <v>594</v>
      </c>
      <c r="F3515" s="136">
        <v>66</v>
      </c>
      <c r="G3515" s="137">
        <f t="shared" si="13"/>
        <v>10</v>
      </c>
      <c r="H3515" s="137"/>
      <c r="I3515" s="137"/>
      <c r="J3515" s="135"/>
      <c r="K3515" s="135"/>
      <c r="L3515" s="135"/>
      <c r="M3515" s="135"/>
      <c r="N3515" s="135"/>
      <c r="O3515" s="135"/>
      <c r="P3515" s="135"/>
      <c r="Q3515" s="135"/>
      <c r="R3515" s="135"/>
      <c r="S3515" s="135"/>
      <c r="T3515" s="135"/>
      <c r="U3515" s="135"/>
      <c r="V3515" s="135"/>
      <c r="W3515" s="135"/>
      <c r="X3515" s="135"/>
      <c r="Y3515" s="135"/>
      <c r="Z3515" s="135"/>
    </row>
    <row r="3516" spans="1:26" ht="12.75">
      <c r="A3516" s="136" t="s">
        <v>10</v>
      </c>
      <c r="B3516" s="136" t="s">
        <v>7868</v>
      </c>
      <c r="C3516" s="136" t="s">
        <v>7869</v>
      </c>
      <c r="D3516" s="136" t="s">
        <v>114</v>
      </c>
      <c r="E3516" s="136" t="s">
        <v>85</v>
      </c>
      <c r="F3516" s="136">
        <v>48</v>
      </c>
      <c r="G3516" s="137">
        <f t="shared" si="13"/>
        <v>11</v>
      </c>
      <c r="H3516" s="137"/>
      <c r="I3516" s="137"/>
      <c r="J3516" s="135"/>
      <c r="K3516" s="135"/>
      <c r="L3516" s="135"/>
      <c r="M3516" s="135"/>
      <c r="N3516" s="135"/>
      <c r="O3516" s="135"/>
      <c r="P3516" s="135"/>
      <c r="Q3516" s="135"/>
      <c r="R3516" s="135"/>
      <c r="S3516" s="135"/>
      <c r="T3516" s="135"/>
      <c r="U3516" s="135"/>
      <c r="V3516" s="135"/>
      <c r="W3516" s="135"/>
      <c r="X3516" s="135"/>
      <c r="Y3516" s="135"/>
      <c r="Z3516" s="135"/>
    </row>
    <row r="3517" spans="1:26" ht="12.75">
      <c r="A3517" s="136" t="s">
        <v>10</v>
      </c>
      <c r="B3517" s="136" t="s">
        <v>7868</v>
      </c>
      <c r="C3517" s="136" t="s">
        <v>7869</v>
      </c>
      <c r="D3517" s="136" t="s">
        <v>467</v>
      </c>
      <c r="E3517" s="136" t="s">
        <v>85</v>
      </c>
      <c r="F3517" s="136">
        <v>20</v>
      </c>
      <c r="G3517" s="137">
        <f t="shared" si="13"/>
        <v>12</v>
      </c>
      <c r="H3517" s="137"/>
      <c r="I3517" s="137"/>
      <c r="J3517" s="135"/>
      <c r="K3517" s="135"/>
      <c r="L3517" s="135"/>
      <c r="M3517" s="135"/>
      <c r="N3517" s="135"/>
      <c r="O3517" s="135"/>
      <c r="P3517" s="135"/>
      <c r="Q3517" s="135"/>
      <c r="R3517" s="135"/>
      <c r="S3517" s="135"/>
      <c r="T3517" s="135"/>
      <c r="U3517" s="135"/>
      <c r="V3517" s="135"/>
      <c r="W3517" s="135"/>
      <c r="X3517" s="135"/>
      <c r="Y3517" s="135"/>
      <c r="Z3517" s="135"/>
    </row>
    <row r="3518" spans="1:26" ht="12.75">
      <c r="A3518" s="136" t="s">
        <v>10</v>
      </c>
      <c r="B3518" s="136" t="s">
        <v>7868</v>
      </c>
      <c r="C3518" s="136" t="s">
        <v>7869</v>
      </c>
      <c r="D3518" s="136" t="s">
        <v>7838</v>
      </c>
      <c r="E3518" s="136" t="s">
        <v>86</v>
      </c>
      <c r="F3518" s="136">
        <v>13</v>
      </c>
      <c r="G3518" s="137">
        <f t="shared" si="13"/>
        <v>13</v>
      </c>
      <c r="H3518" s="137"/>
      <c r="I3518" s="137"/>
      <c r="J3518" s="135"/>
      <c r="K3518" s="135"/>
      <c r="L3518" s="135"/>
      <c r="M3518" s="135"/>
      <c r="N3518" s="135"/>
      <c r="O3518" s="135"/>
      <c r="P3518" s="135"/>
      <c r="Q3518" s="135"/>
      <c r="R3518" s="135"/>
      <c r="S3518" s="135"/>
      <c r="T3518" s="135"/>
      <c r="U3518" s="135"/>
      <c r="V3518" s="135"/>
      <c r="W3518" s="135"/>
      <c r="X3518" s="135"/>
      <c r="Y3518" s="135"/>
      <c r="Z3518" s="135"/>
    </row>
    <row r="3519" spans="1:26" ht="12.75">
      <c r="A3519" s="136" t="s">
        <v>10</v>
      </c>
      <c r="B3519" s="136" t="s">
        <v>7868</v>
      </c>
      <c r="C3519" s="136" t="s">
        <v>812</v>
      </c>
      <c r="D3519" s="136" t="s">
        <v>139</v>
      </c>
      <c r="E3519" s="136" t="s">
        <v>594</v>
      </c>
      <c r="F3519" s="136">
        <v>2374</v>
      </c>
      <c r="G3519" s="137">
        <f t="shared" si="13"/>
        <v>1</v>
      </c>
      <c r="H3519" s="137"/>
      <c r="I3519" s="137"/>
      <c r="J3519" s="135"/>
      <c r="K3519" s="135"/>
      <c r="L3519" s="135"/>
      <c r="M3519" s="135"/>
      <c r="N3519" s="135"/>
      <c r="O3519" s="135"/>
      <c r="P3519" s="135"/>
      <c r="Q3519" s="135"/>
      <c r="R3519" s="135"/>
      <c r="S3519" s="135"/>
      <c r="T3519" s="135"/>
      <c r="U3519" s="135"/>
      <c r="V3519" s="135"/>
      <c r="W3519" s="135"/>
      <c r="X3519" s="135"/>
      <c r="Y3519" s="135"/>
      <c r="Z3519" s="135"/>
    </row>
    <row r="3520" spans="1:26" ht="12.75">
      <c r="A3520" s="136" t="s">
        <v>10</v>
      </c>
      <c r="B3520" s="136" t="s">
        <v>7868</v>
      </c>
      <c r="C3520" s="136" t="s">
        <v>812</v>
      </c>
      <c r="D3520" s="136" t="s">
        <v>7481</v>
      </c>
      <c r="E3520" s="136" t="s">
        <v>615</v>
      </c>
      <c r="F3520" s="136">
        <v>364</v>
      </c>
      <c r="G3520" s="137">
        <f t="shared" si="13"/>
        <v>2</v>
      </c>
      <c r="H3520" s="137"/>
      <c r="I3520" s="137"/>
      <c r="J3520" s="135"/>
      <c r="K3520" s="135"/>
      <c r="L3520" s="135"/>
      <c r="M3520" s="135"/>
      <c r="N3520" s="135"/>
      <c r="O3520" s="135"/>
      <c r="P3520" s="135"/>
      <c r="Q3520" s="135"/>
      <c r="R3520" s="135"/>
      <c r="S3520" s="135"/>
      <c r="T3520" s="135"/>
      <c r="U3520" s="135"/>
      <c r="V3520" s="135"/>
      <c r="W3520" s="135"/>
      <c r="X3520" s="135"/>
      <c r="Y3520" s="135"/>
      <c r="Z3520" s="135"/>
    </row>
    <row r="3521" spans="1:26" ht="12.75">
      <c r="A3521" s="136" t="s">
        <v>10</v>
      </c>
      <c r="B3521" s="136" t="s">
        <v>7868</v>
      </c>
      <c r="C3521" s="136" t="s">
        <v>812</v>
      </c>
      <c r="D3521" s="136" t="s">
        <v>1669</v>
      </c>
      <c r="E3521" s="136" t="s">
        <v>615</v>
      </c>
      <c r="F3521" s="136">
        <v>206</v>
      </c>
      <c r="G3521" s="137">
        <f t="shared" si="13"/>
        <v>3</v>
      </c>
      <c r="H3521" s="137"/>
      <c r="I3521" s="137"/>
      <c r="J3521" s="135"/>
      <c r="K3521" s="135"/>
      <c r="L3521" s="135"/>
      <c r="M3521" s="135"/>
      <c r="N3521" s="135"/>
      <c r="O3521" s="135"/>
      <c r="P3521" s="135"/>
      <c r="Q3521" s="135"/>
      <c r="R3521" s="135"/>
      <c r="S3521" s="135"/>
      <c r="T3521" s="135"/>
      <c r="U3521" s="135"/>
      <c r="V3521" s="135"/>
      <c r="W3521" s="135"/>
      <c r="X3521" s="135"/>
      <c r="Y3521" s="135"/>
      <c r="Z3521" s="135"/>
    </row>
    <row r="3522" spans="1:26" ht="12.75">
      <c r="A3522" s="136" t="s">
        <v>10</v>
      </c>
      <c r="B3522" s="136" t="s">
        <v>7868</v>
      </c>
      <c r="C3522" s="136" t="s">
        <v>812</v>
      </c>
      <c r="D3522" s="136" t="s">
        <v>437</v>
      </c>
      <c r="E3522" s="136" t="s">
        <v>594</v>
      </c>
      <c r="F3522" s="136">
        <v>180</v>
      </c>
      <c r="G3522" s="137">
        <f t="shared" si="13"/>
        <v>4</v>
      </c>
      <c r="H3522" s="137"/>
      <c r="I3522" s="137"/>
      <c r="J3522" s="135"/>
      <c r="K3522" s="135"/>
      <c r="L3522" s="135"/>
      <c r="M3522" s="135"/>
      <c r="N3522" s="135"/>
      <c r="O3522" s="135"/>
      <c r="P3522" s="135"/>
      <c r="Q3522" s="135"/>
      <c r="R3522" s="135"/>
      <c r="S3522" s="135"/>
      <c r="T3522" s="135"/>
      <c r="U3522" s="135"/>
      <c r="V3522" s="135"/>
      <c r="W3522" s="135"/>
      <c r="X3522" s="135"/>
      <c r="Y3522" s="135"/>
      <c r="Z3522" s="135"/>
    </row>
    <row r="3523" spans="1:26" ht="12.75">
      <c r="A3523" s="136" t="s">
        <v>10</v>
      </c>
      <c r="B3523" s="136" t="s">
        <v>7868</v>
      </c>
      <c r="C3523" s="136" t="s">
        <v>812</v>
      </c>
      <c r="D3523" s="136" t="s">
        <v>136</v>
      </c>
      <c r="E3523" s="136" t="s">
        <v>615</v>
      </c>
      <c r="F3523" s="136">
        <v>153</v>
      </c>
      <c r="G3523" s="137">
        <f t="shared" si="13"/>
        <v>5</v>
      </c>
      <c r="H3523" s="137"/>
      <c r="I3523" s="137"/>
      <c r="J3523" s="135"/>
      <c r="K3523" s="135"/>
      <c r="L3523" s="135"/>
      <c r="M3523" s="135"/>
      <c r="N3523" s="135"/>
      <c r="O3523" s="135"/>
      <c r="P3523" s="135"/>
      <c r="Q3523" s="135"/>
      <c r="R3523" s="135"/>
      <c r="S3523" s="135"/>
      <c r="T3523" s="135"/>
      <c r="U3523" s="135"/>
      <c r="V3523" s="135"/>
      <c r="W3523" s="135"/>
      <c r="X3523" s="135"/>
      <c r="Y3523" s="135"/>
      <c r="Z3523" s="135"/>
    </row>
    <row r="3524" spans="1:26" ht="12.75">
      <c r="A3524" s="136" t="s">
        <v>10</v>
      </c>
      <c r="B3524" s="136" t="s">
        <v>7868</v>
      </c>
      <c r="C3524" s="136" t="s">
        <v>812</v>
      </c>
      <c r="D3524" s="136" t="s">
        <v>165</v>
      </c>
      <c r="E3524" s="136" t="s">
        <v>615</v>
      </c>
      <c r="F3524" s="136">
        <v>123</v>
      </c>
      <c r="G3524" s="137">
        <f t="shared" si="13"/>
        <v>6</v>
      </c>
      <c r="H3524" s="137"/>
      <c r="I3524" s="137"/>
      <c r="J3524" s="135"/>
      <c r="K3524" s="135"/>
      <c r="L3524" s="135"/>
      <c r="M3524" s="135"/>
      <c r="N3524" s="135"/>
      <c r="O3524" s="135"/>
      <c r="P3524" s="135"/>
      <c r="Q3524" s="135"/>
      <c r="R3524" s="135"/>
      <c r="S3524" s="135"/>
      <c r="T3524" s="135"/>
      <c r="U3524" s="135"/>
      <c r="V3524" s="135"/>
      <c r="W3524" s="135"/>
      <c r="X3524" s="135"/>
      <c r="Y3524" s="135"/>
      <c r="Z3524" s="135"/>
    </row>
    <row r="3525" spans="1:26" ht="12.75">
      <c r="A3525" s="136" t="s">
        <v>10</v>
      </c>
      <c r="B3525" s="136" t="s">
        <v>7868</v>
      </c>
      <c r="C3525" s="136" t="s">
        <v>812</v>
      </c>
      <c r="D3525" s="136" t="s">
        <v>368</v>
      </c>
      <c r="E3525" s="136" t="s">
        <v>594</v>
      </c>
      <c r="F3525" s="136">
        <v>106</v>
      </c>
      <c r="G3525" s="137">
        <f t="shared" si="13"/>
        <v>7</v>
      </c>
      <c r="H3525" s="137"/>
      <c r="I3525" s="137"/>
      <c r="J3525" s="135"/>
      <c r="K3525" s="135"/>
      <c r="L3525" s="135"/>
      <c r="M3525" s="135"/>
      <c r="N3525" s="135"/>
      <c r="O3525" s="135"/>
      <c r="P3525" s="135"/>
      <c r="Q3525" s="135"/>
      <c r="R3525" s="135"/>
      <c r="S3525" s="135"/>
      <c r="T3525" s="135"/>
      <c r="U3525" s="135"/>
      <c r="V3525" s="135"/>
      <c r="W3525" s="135"/>
      <c r="X3525" s="135"/>
      <c r="Y3525" s="135"/>
      <c r="Z3525" s="135"/>
    </row>
    <row r="3526" spans="1:26" ht="12.75">
      <c r="A3526" s="136" t="s">
        <v>10</v>
      </c>
      <c r="B3526" s="136" t="s">
        <v>7868</v>
      </c>
      <c r="C3526" s="136" t="s">
        <v>812</v>
      </c>
      <c r="D3526" s="136" t="s">
        <v>1626</v>
      </c>
      <c r="E3526" s="136" t="s">
        <v>594</v>
      </c>
      <c r="F3526" s="136">
        <v>84</v>
      </c>
      <c r="G3526" s="137">
        <f t="shared" si="13"/>
        <v>8</v>
      </c>
      <c r="H3526" s="137"/>
      <c r="I3526" s="137"/>
      <c r="J3526" s="135"/>
      <c r="K3526" s="135"/>
      <c r="L3526" s="135"/>
      <c r="M3526" s="135"/>
      <c r="N3526" s="135"/>
      <c r="O3526" s="135"/>
      <c r="P3526" s="135"/>
      <c r="Q3526" s="135"/>
      <c r="R3526" s="135"/>
      <c r="S3526" s="135"/>
      <c r="T3526" s="135"/>
      <c r="U3526" s="135"/>
      <c r="V3526" s="135"/>
      <c r="W3526" s="135"/>
      <c r="X3526" s="135"/>
      <c r="Y3526" s="135"/>
      <c r="Z3526" s="135"/>
    </row>
    <row r="3527" spans="1:26" ht="12.75">
      <c r="A3527" s="136" t="s">
        <v>10</v>
      </c>
      <c r="B3527" s="136" t="s">
        <v>7868</v>
      </c>
      <c r="C3527" s="136" t="s">
        <v>812</v>
      </c>
      <c r="D3527" s="136" t="s">
        <v>1674</v>
      </c>
      <c r="E3527" s="136" t="s">
        <v>615</v>
      </c>
      <c r="F3527" s="136">
        <v>75</v>
      </c>
      <c r="G3527" s="137">
        <f t="shared" si="13"/>
        <v>9</v>
      </c>
      <c r="H3527" s="137"/>
      <c r="I3527" s="137"/>
      <c r="J3527" s="135"/>
      <c r="K3527" s="135"/>
      <c r="L3527" s="135"/>
      <c r="M3527" s="135"/>
      <c r="N3527" s="135"/>
      <c r="O3527" s="135"/>
      <c r="P3527" s="135"/>
      <c r="Q3527" s="135"/>
      <c r="R3527" s="135"/>
      <c r="S3527" s="135"/>
      <c r="T3527" s="135"/>
      <c r="U3527" s="135"/>
      <c r="V3527" s="135"/>
      <c r="W3527" s="135"/>
      <c r="X3527" s="135"/>
      <c r="Y3527" s="135"/>
      <c r="Z3527" s="135"/>
    </row>
    <row r="3528" spans="1:26" ht="12.75">
      <c r="A3528" s="136" t="s">
        <v>10</v>
      </c>
      <c r="B3528" s="136" t="s">
        <v>7868</v>
      </c>
      <c r="C3528" s="136" t="s">
        <v>812</v>
      </c>
      <c r="D3528" s="136" t="s">
        <v>1656</v>
      </c>
      <c r="E3528" s="136" t="s">
        <v>615</v>
      </c>
      <c r="F3528" s="136">
        <v>59</v>
      </c>
      <c r="G3528" s="137">
        <f t="shared" si="13"/>
        <v>10</v>
      </c>
      <c r="H3528" s="137"/>
      <c r="I3528" s="137"/>
      <c r="J3528" s="135"/>
      <c r="K3528" s="135"/>
      <c r="L3528" s="135"/>
      <c r="M3528" s="135"/>
      <c r="N3528" s="135"/>
      <c r="O3528" s="135"/>
      <c r="P3528" s="135"/>
      <c r="Q3528" s="135"/>
      <c r="R3528" s="135"/>
      <c r="S3528" s="135"/>
      <c r="T3528" s="135"/>
      <c r="U3528" s="135"/>
      <c r="V3528" s="135"/>
      <c r="W3528" s="135"/>
      <c r="X3528" s="135"/>
      <c r="Y3528" s="135"/>
      <c r="Z3528" s="135"/>
    </row>
    <row r="3529" spans="1:26" ht="12.75">
      <c r="A3529" s="136" t="s">
        <v>10</v>
      </c>
      <c r="B3529" s="136" t="s">
        <v>7868</v>
      </c>
      <c r="C3529" s="136" t="s">
        <v>812</v>
      </c>
      <c r="D3529" s="136" t="s">
        <v>103</v>
      </c>
      <c r="E3529" s="136" t="s">
        <v>594</v>
      </c>
      <c r="F3529" s="136">
        <v>44</v>
      </c>
      <c r="G3529" s="137">
        <f t="shared" si="13"/>
        <v>11</v>
      </c>
      <c r="H3529" s="137"/>
      <c r="I3529" s="137"/>
      <c r="J3529" s="135"/>
      <c r="K3529" s="135"/>
      <c r="L3529" s="135"/>
      <c r="M3529" s="135"/>
      <c r="N3529" s="135"/>
      <c r="O3529" s="135"/>
      <c r="P3529" s="135"/>
      <c r="Q3529" s="135"/>
      <c r="R3529" s="135"/>
      <c r="S3529" s="135"/>
      <c r="T3529" s="135"/>
      <c r="U3529" s="135"/>
      <c r="V3529" s="135"/>
      <c r="W3529" s="135"/>
      <c r="X3529" s="135"/>
      <c r="Y3529" s="135"/>
      <c r="Z3529" s="135"/>
    </row>
    <row r="3530" spans="1:26" ht="12.75">
      <c r="A3530" s="136" t="s">
        <v>10</v>
      </c>
      <c r="B3530" s="136" t="s">
        <v>7868</v>
      </c>
      <c r="C3530" s="136" t="s">
        <v>812</v>
      </c>
      <c r="D3530" s="136" t="s">
        <v>114</v>
      </c>
      <c r="E3530" s="136" t="s">
        <v>85</v>
      </c>
      <c r="F3530" s="136">
        <v>26</v>
      </c>
      <c r="G3530" s="137">
        <f t="shared" si="13"/>
        <v>12</v>
      </c>
      <c r="H3530" s="137"/>
      <c r="I3530" s="137"/>
      <c r="J3530" s="135"/>
      <c r="K3530" s="135"/>
      <c r="L3530" s="135"/>
      <c r="M3530" s="135"/>
      <c r="N3530" s="135"/>
      <c r="O3530" s="135"/>
      <c r="P3530" s="135"/>
      <c r="Q3530" s="135"/>
      <c r="R3530" s="135"/>
      <c r="S3530" s="135"/>
      <c r="T3530" s="135"/>
      <c r="U3530" s="135"/>
      <c r="V3530" s="135"/>
      <c r="W3530" s="135"/>
      <c r="X3530" s="135"/>
      <c r="Y3530" s="135"/>
      <c r="Z3530" s="135"/>
    </row>
    <row r="3531" spans="1:26" ht="12.75">
      <c r="A3531" s="136" t="s">
        <v>10</v>
      </c>
      <c r="B3531" s="136" t="s">
        <v>7868</v>
      </c>
      <c r="C3531" s="136" t="s">
        <v>812</v>
      </c>
      <c r="D3531" s="136" t="s">
        <v>467</v>
      </c>
      <c r="E3531" s="136" t="s">
        <v>85</v>
      </c>
      <c r="F3531" s="136">
        <v>7</v>
      </c>
      <c r="G3531" s="137">
        <f t="shared" si="13"/>
        <v>13</v>
      </c>
      <c r="H3531" s="137"/>
      <c r="I3531" s="137"/>
      <c r="J3531" s="135"/>
      <c r="K3531" s="135"/>
      <c r="L3531" s="135"/>
      <c r="M3531" s="135"/>
      <c r="N3531" s="135"/>
      <c r="O3531" s="135"/>
      <c r="P3531" s="135"/>
      <c r="Q3531" s="135"/>
      <c r="R3531" s="135"/>
      <c r="S3531" s="135"/>
      <c r="T3531" s="135"/>
      <c r="U3531" s="135"/>
      <c r="V3531" s="135"/>
      <c r="W3531" s="135"/>
      <c r="X3531" s="135"/>
      <c r="Y3531" s="135"/>
      <c r="Z3531" s="135"/>
    </row>
    <row r="3532" spans="1:26" ht="12.75">
      <c r="A3532" s="136" t="s">
        <v>10</v>
      </c>
      <c r="B3532" s="136" t="s">
        <v>7868</v>
      </c>
      <c r="C3532" s="136" t="s">
        <v>7870</v>
      </c>
      <c r="D3532" s="136" t="s">
        <v>139</v>
      </c>
      <c r="E3532" s="136" t="s">
        <v>594</v>
      </c>
      <c r="F3532" s="136">
        <v>1336</v>
      </c>
      <c r="G3532" s="137">
        <f t="shared" si="13"/>
        <v>1</v>
      </c>
      <c r="H3532" s="137"/>
      <c r="I3532" s="137"/>
      <c r="J3532" s="135"/>
      <c r="K3532" s="135"/>
      <c r="L3532" s="135"/>
      <c r="M3532" s="135"/>
      <c r="N3532" s="135"/>
      <c r="O3532" s="135"/>
      <c r="P3532" s="135"/>
      <c r="Q3532" s="135"/>
      <c r="R3532" s="135"/>
      <c r="S3532" s="135"/>
      <c r="T3532" s="135"/>
      <c r="U3532" s="135"/>
      <c r="V3532" s="135"/>
      <c r="W3532" s="135"/>
      <c r="X3532" s="135"/>
      <c r="Y3532" s="135"/>
      <c r="Z3532" s="135"/>
    </row>
    <row r="3533" spans="1:26" ht="12.75">
      <c r="A3533" s="136" t="s">
        <v>10</v>
      </c>
      <c r="B3533" s="136" t="s">
        <v>7868</v>
      </c>
      <c r="C3533" s="136" t="s">
        <v>7870</v>
      </c>
      <c r="D3533" s="136" t="s">
        <v>7481</v>
      </c>
      <c r="E3533" s="136" t="s">
        <v>615</v>
      </c>
      <c r="F3533" s="136">
        <v>191</v>
      </c>
      <c r="G3533" s="137">
        <f t="shared" si="13"/>
        <v>2</v>
      </c>
      <c r="H3533" s="137"/>
      <c r="I3533" s="137"/>
      <c r="J3533" s="135"/>
      <c r="K3533" s="135"/>
      <c r="L3533" s="135"/>
      <c r="M3533" s="135"/>
      <c r="N3533" s="135"/>
      <c r="O3533" s="135"/>
      <c r="P3533" s="135"/>
      <c r="Q3533" s="135"/>
      <c r="R3533" s="135"/>
      <c r="S3533" s="135"/>
      <c r="T3533" s="135"/>
      <c r="U3533" s="135"/>
      <c r="V3533" s="135"/>
      <c r="W3533" s="135"/>
      <c r="X3533" s="135"/>
      <c r="Y3533" s="135"/>
      <c r="Z3533" s="135"/>
    </row>
    <row r="3534" spans="1:26" ht="12.75">
      <c r="A3534" s="136" t="s">
        <v>10</v>
      </c>
      <c r="B3534" s="136" t="s">
        <v>7868</v>
      </c>
      <c r="C3534" s="136" t="s">
        <v>7870</v>
      </c>
      <c r="D3534" s="136" t="s">
        <v>131</v>
      </c>
      <c r="E3534" s="136" t="s">
        <v>594</v>
      </c>
      <c r="F3534" s="136">
        <v>174</v>
      </c>
      <c r="G3534" s="137">
        <f t="shared" si="13"/>
        <v>3</v>
      </c>
      <c r="H3534" s="137"/>
      <c r="I3534" s="137"/>
      <c r="J3534" s="135"/>
      <c r="K3534" s="135"/>
      <c r="L3534" s="135"/>
      <c r="M3534" s="135"/>
      <c r="N3534" s="135"/>
      <c r="O3534" s="135"/>
      <c r="P3534" s="135"/>
      <c r="Q3534" s="135"/>
      <c r="R3534" s="135"/>
      <c r="S3534" s="135"/>
      <c r="T3534" s="135"/>
      <c r="U3534" s="135"/>
      <c r="V3534" s="135"/>
      <c r="W3534" s="135"/>
      <c r="X3534" s="135"/>
      <c r="Y3534" s="135"/>
      <c r="Z3534" s="135"/>
    </row>
    <row r="3535" spans="1:26" ht="12.75">
      <c r="A3535" s="136" t="s">
        <v>10</v>
      </c>
      <c r="B3535" s="136" t="s">
        <v>7868</v>
      </c>
      <c r="C3535" s="136" t="s">
        <v>7870</v>
      </c>
      <c r="D3535" s="136" t="s">
        <v>1669</v>
      </c>
      <c r="E3535" s="136" t="s">
        <v>615</v>
      </c>
      <c r="F3535" s="136">
        <v>164</v>
      </c>
      <c r="G3535" s="137">
        <f t="shared" si="13"/>
        <v>4</v>
      </c>
      <c r="H3535" s="137"/>
      <c r="I3535" s="137"/>
      <c r="J3535" s="135"/>
      <c r="K3535" s="135"/>
      <c r="L3535" s="135"/>
      <c r="M3535" s="135"/>
      <c r="N3535" s="135"/>
      <c r="O3535" s="135"/>
      <c r="P3535" s="135"/>
      <c r="Q3535" s="135"/>
      <c r="R3535" s="135"/>
      <c r="S3535" s="135"/>
      <c r="T3535" s="135"/>
      <c r="U3535" s="135"/>
      <c r="V3535" s="135"/>
      <c r="W3535" s="135"/>
      <c r="X3535" s="135"/>
      <c r="Y3535" s="135"/>
      <c r="Z3535" s="135"/>
    </row>
    <row r="3536" spans="1:26" ht="12.75">
      <c r="A3536" s="136" t="s">
        <v>10</v>
      </c>
      <c r="B3536" s="136" t="s">
        <v>7868</v>
      </c>
      <c r="C3536" s="136" t="s">
        <v>7870</v>
      </c>
      <c r="D3536" s="136" t="s">
        <v>136</v>
      </c>
      <c r="E3536" s="136" t="s">
        <v>615</v>
      </c>
      <c r="F3536" s="136">
        <v>115</v>
      </c>
      <c r="G3536" s="137">
        <f t="shared" si="13"/>
        <v>5</v>
      </c>
      <c r="H3536" s="137"/>
      <c r="I3536" s="137"/>
      <c r="J3536" s="135"/>
      <c r="K3536" s="135"/>
      <c r="L3536" s="135"/>
      <c r="M3536" s="135"/>
      <c r="N3536" s="135"/>
      <c r="O3536" s="135"/>
      <c r="P3536" s="135"/>
      <c r="Q3536" s="135"/>
      <c r="R3536" s="135"/>
      <c r="S3536" s="135"/>
      <c r="T3536" s="135"/>
      <c r="U3536" s="135"/>
      <c r="V3536" s="135"/>
      <c r="W3536" s="135"/>
      <c r="X3536" s="135"/>
      <c r="Y3536" s="135"/>
      <c r="Z3536" s="135"/>
    </row>
    <row r="3537" spans="1:26" ht="12.75">
      <c r="A3537" s="136" t="s">
        <v>10</v>
      </c>
      <c r="B3537" s="136" t="s">
        <v>7868</v>
      </c>
      <c r="C3537" s="136" t="s">
        <v>7870</v>
      </c>
      <c r="D3537" s="136" t="s">
        <v>437</v>
      </c>
      <c r="E3537" s="136" t="s">
        <v>594</v>
      </c>
      <c r="F3537" s="136">
        <v>110</v>
      </c>
      <c r="G3537" s="137">
        <f t="shared" si="13"/>
        <v>6</v>
      </c>
      <c r="H3537" s="137"/>
      <c r="I3537" s="137"/>
      <c r="J3537" s="135"/>
      <c r="K3537" s="135"/>
      <c r="L3537" s="135"/>
      <c r="M3537" s="135"/>
      <c r="N3537" s="135"/>
      <c r="O3537" s="135"/>
      <c r="P3537" s="135"/>
      <c r="Q3537" s="135"/>
      <c r="R3537" s="135"/>
      <c r="S3537" s="135"/>
      <c r="T3537" s="135"/>
      <c r="U3537" s="135"/>
      <c r="V3537" s="135"/>
      <c r="W3537" s="135"/>
      <c r="X3537" s="135"/>
      <c r="Y3537" s="135"/>
      <c r="Z3537" s="135"/>
    </row>
    <row r="3538" spans="1:26" ht="12.75">
      <c r="A3538" s="136" t="s">
        <v>10</v>
      </c>
      <c r="B3538" s="136" t="s">
        <v>7868</v>
      </c>
      <c r="C3538" s="136" t="s">
        <v>7870</v>
      </c>
      <c r="D3538" s="136" t="s">
        <v>368</v>
      </c>
      <c r="E3538" s="136" t="s">
        <v>594</v>
      </c>
      <c r="F3538" s="136">
        <v>71</v>
      </c>
      <c r="G3538" s="137">
        <f t="shared" si="13"/>
        <v>7</v>
      </c>
      <c r="H3538" s="137"/>
      <c r="I3538" s="137"/>
      <c r="J3538" s="135"/>
      <c r="K3538" s="135"/>
      <c r="L3538" s="135"/>
      <c r="M3538" s="135"/>
      <c r="N3538" s="135"/>
      <c r="O3538" s="135"/>
      <c r="P3538" s="135"/>
      <c r="Q3538" s="135"/>
      <c r="R3538" s="135"/>
      <c r="S3538" s="135"/>
      <c r="T3538" s="135"/>
      <c r="U3538" s="135"/>
      <c r="V3538" s="135"/>
      <c r="W3538" s="135"/>
      <c r="X3538" s="135"/>
      <c r="Y3538" s="135"/>
      <c r="Z3538" s="135"/>
    </row>
    <row r="3539" spans="1:26" ht="12.75">
      <c r="A3539" s="136" t="s">
        <v>10</v>
      </c>
      <c r="B3539" s="136" t="s">
        <v>7868</v>
      </c>
      <c r="C3539" s="136" t="s">
        <v>7870</v>
      </c>
      <c r="D3539" s="136" t="s">
        <v>1626</v>
      </c>
      <c r="E3539" s="136" t="s">
        <v>594</v>
      </c>
      <c r="F3539" s="136">
        <v>45</v>
      </c>
      <c r="G3539" s="137">
        <f t="shared" si="13"/>
        <v>8</v>
      </c>
      <c r="H3539" s="137"/>
      <c r="I3539" s="137"/>
      <c r="J3539" s="135"/>
      <c r="K3539" s="135"/>
      <c r="L3539" s="135"/>
      <c r="M3539" s="135"/>
      <c r="N3539" s="135"/>
      <c r="O3539" s="135"/>
      <c r="P3539" s="135"/>
      <c r="Q3539" s="135"/>
      <c r="R3539" s="135"/>
      <c r="S3539" s="135"/>
      <c r="T3539" s="135"/>
      <c r="U3539" s="135"/>
      <c r="V3539" s="135"/>
      <c r="W3539" s="135"/>
      <c r="X3539" s="135"/>
      <c r="Y3539" s="135"/>
      <c r="Z3539" s="135"/>
    </row>
    <row r="3540" spans="1:26" ht="12.75">
      <c r="A3540" s="136" t="s">
        <v>10</v>
      </c>
      <c r="B3540" s="136" t="s">
        <v>7868</v>
      </c>
      <c r="C3540" s="136" t="s">
        <v>7870</v>
      </c>
      <c r="D3540" s="136" t="s">
        <v>1656</v>
      </c>
      <c r="E3540" s="136" t="s">
        <v>615</v>
      </c>
      <c r="F3540" s="136">
        <v>34</v>
      </c>
      <c r="G3540" s="137">
        <f t="shared" si="13"/>
        <v>9</v>
      </c>
      <c r="H3540" s="137"/>
      <c r="I3540" s="137"/>
      <c r="J3540" s="135"/>
      <c r="K3540" s="135"/>
      <c r="L3540" s="135"/>
      <c r="M3540" s="135"/>
      <c r="N3540" s="135"/>
      <c r="O3540" s="135"/>
      <c r="P3540" s="135"/>
      <c r="Q3540" s="135"/>
      <c r="R3540" s="135"/>
      <c r="S3540" s="135"/>
      <c r="T3540" s="135"/>
      <c r="U3540" s="135"/>
      <c r="V3540" s="135"/>
      <c r="W3540" s="135"/>
      <c r="X3540" s="135"/>
      <c r="Y3540" s="135"/>
      <c r="Z3540" s="135"/>
    </row>
    <row r="3541" spans="1:26" ht="12.75">
      <c r="A3541" s="136" t="s">
        <v>10</v>
      </c>
      <c r="B3541" s="136" t="s">
        <v>7868</v>
      </c>
      <c r="C3541" s="136" t="s">
        <v>7870</v>
      </c>
      <c r="D3541" s="136" t="s">
        <v>103</v>
      </c>
      <c r="E3541" s="136" t="s">
        <v>594</v>
      </c>
      <c r="F3541" s="136">
        <v>31</v>
      </c>
      <c r="G3541" s="137">
        <f t="shared" si="13"/>
        <v>10</v>
      </c>
      <c r="H3541" s="137"/>
      <c r="I3541" s="137"/>
      <c r="J3541" s="135"/>
      <c r="K3541" s="135"/>
      <c r="L3541" s="135"/>
      <c r="M3541" s="135"/>
      <c r="N3541" s="135"/>
      <c r="O3541" s="135"/>
      <c r="P3541" s="135"/>
      <c r="Q3541" s="135"/>
      <c r="R3541" s="135"/>
      <c r="S3541" s="135"/>
      <c r="T3541" s="135"/>
      <c r="U3541" s="135"/>
      <c r="V3541" s="135"/>
      <c r="W3541" s="135"/>
      <c r="X3541" s="135"/>
      <c r="Y3541" s="135"/>
      <c r="Z3541" s="135"/>
    </row>
    <row r="3542" spans="1:26" ht="12.75">
      <c r="A3542" s="136" t="s">
        <v>10</v>
      </c>
      <c r="B3542" s="136" t="s">
        <v>7868</v>
      </c>
      <c r="C3542" s="136" t="s">
        <v>7870</v>
      </c>
      <c r="D3542" s="136" t="s">
        <v>114</v>
      </c>
      <c r="E3542" s="136" t="s">
        <v>85</v>
      </c>
      <c r="F3542" s="136">
        <v>12</v>
      </c>
      <c r="G3542" s="137">
        <f t="shared" si="13"/>
        <v>11</v>
      </c>
      <c r="H3542" s="137"/>
      <c r="I3542" s="137"/>
      <c r="J3542" s="135"/>
      <c r="K3542" s="135"/>
      <c r="L3542" s="135"/>
      <c r="M3542" s="135"/>
      <c r="N3542" s="135"/>
      <c r="O3542" s="135"/>
      <c r="P3542" s="135"/>
      <c r="Q3542" s="135"/>
      <c r="R3542" s="135"/>
      <c r="S3542" s="135"/>
      <c r="T3542" s="135"/>
      <c r="U3542" s="135"/>
      <c r="V3542" s="135"/>
      <c r="W3542" s="135"/>
      <c r="X3542" s="135"/>
      <c r="Y3542" s="135"/>
      <c r="Z3542" s="135"/>
    </row>
    <row r="3543" spans="1:26" ht="12.75">
      <c r="A3543" s="136" t="s">
        <v>10</v>
      </c>
      <c r="B3543" s="136" t="s">
        <v>7868</v>
      </c>
      <c r="C3543" s="136" t="s">
        <v>7870</v>
      </c>
      <c r="D3543" s="136" t="s">
        <v>467</v>
      </c>
      <c r="E3543" s="136" t="s">
        <v>85</v>
      </c>
      <c r="F3543" s="136">
        <v>7</v>
      </c>
      <c r="G3543" s="137">
        <f t="shared" si="13"/>
        <v>12</v>
      </c>
      <c r="H3543" s="137"/>
      <c r="I3543" s="137"/>
      <c r="J3543" s="135"/>
      <c r="K3543" s="135"/>
      <c r="L3543" s="135"/>
      <c r="M3543" s="135"/>
      <c r="N3543" s="135"/>
      <c r="O3543" s="135"/>
      <c r="P3543" s="135"/>
      <c r="Q3543" s="135"/>
      <c r="R3543" s="135"/>
      <c r="S3543" s="135"/>
      <c r="T3543" s="135"/>
      <c r="U3543" s="135"/>
      <c r="V3543" s="135"/>
      <c r="W3543" s="135"/>
      <c r="X3543" s="135"/>
      <c r="Y3543" s="135"/>
      <c r="Z3543" s="135"/>
    </row>
    <row r="3544" spans="1:26" ht="12.75">
      <c r="A3544" s="136" t="s">
        <v>10</v>
      </c>
      <c r="B3544" s="136" t="s">
        <v>7868</v>
      </c>
      <c r="C3544" s="136" t="s">
        <v>7871</v>
      </c>
      <c r="D3544" s="136" t="s">
        <v>139</v>
      </c>
      <c r="E3544" s="136" t="s">
        <v>594</v>
      </c>
      <c r="F3544" s="136">
        <v>3649</v>
      </c>
      <c r="G3544" s="137">
        <f t="shared" si="13"/>
        <v>1</v>
      </c>
      <c r="H3544" s="137"/>
      <c r="I3544" s="137"/>
      <c r="J3544" s="135"/>
      <c r="K3544" s="135"/>
      <c r="L3544" s="135"/>
      <c r="M3544" s="135"/>
      <c r="N3544" s="135"/>
      <c r="O3544" s="135"/>
      <c r="P3544" s="135"/>
      <c r="Q3544" s="135"/>
      <c r="R3544" s="135"/>
      <c r="S3544" s="135"/>
      <c r="T3544" s="135"/>
      <c r="U3544" s="135"/>
      <c r="V3544" s="135"/>
      <c r="W3544" s="135"/>
      <c r="X3544" s="135"/>
      <c r="Y3544" s="135"/>
      <c r="Z3544" s="135"/>
    </row>
    <row r="3545" spans="1:26" ht="12.75">
      <c r="A3545" s="136" t="s">
        <v>10</v>
      </c>
      <c r="B3545" s="136" t="s">
        <v>7868</v>
      </c>
      <c r="C3545" s="136" t="s">
        <v>7871</v>
      </c>
      <c r="D3545" s="136" t="s">
        <v>165</v>
      </c>
      <c r="E3545" s="136" t="s">
        <v>615</v>
      </c>
      <c r="F3545" s="136">
        <v>1036</v>
      </c>
      <c r="G3545" s="137">
        <f t="shared" si="13"/>
        <v>2</v>
      </c>
      <c r="H3545" s="137"/>
      <c r="I3545" s="137"/>
      <c r="J3545" s="135"/>
      <c r="K3545" s="135"/>
      <c r="L3545" s="135"/>
      <c r="M3545" s="135"/>
      <c r="N3545" s="135"/>
      <c r="O3545" s="135"/>
      <c r="P3545" s="135"/>
      <c r="Q3545" s="135"/>
      <c r="R3545" s="135"/>
      <c r="S3545" s="135"/>
      <c r="T3545" s="135"/>
      <c r="U3545" s="135"/>
      <c r="V3545" s="135"/>
      <c r="W3545" s="135"/>
      <c r="X3545" s="135"/>
      <c r="Y3545" s="135"/>
      <c r="Z3545" s="135"/>
    </row>
    <row r="3546" spans="1:26" ht="12.75">
      <c r="A3546" s="136" t="s">
        <v>10</v>
      </c>
      <c r="B3546" s="136" t="s">
        <v>7868</v>
      </c>
      <c r="C3546" s="136" t="s">
        <v>7871</v>
      </c>
      <c r="D3546" s="136" t="s">
        <v>7481</v>
      </c>
      <c r="E3546" s="136" t="s">
        <v>615</v>
      </c>
      <c r="F3546" s="136">
        <v>1019</v>
      </c>
      <c r="G3546" s="137">
        <f t="shared" si="13"/>
        <v>3</v>
      </c>
      <c r="H3546" s="137"/>
      <c r="I3546" s="137"/>
      <c r="J3546" s="135"/>
      <c r="K3546" s="135"/>
      <c r="L3546" s="135"/>
      <c r="M3546" s="135"/>
      <c r="N3546" s="135"/>
      <c r="O3546" s="135"/>
      <c r="P3546" s="135"/>
      <c r="Q3546" s="135"/>
      <c r="R3546" s="135"/>
      <c r="S3546" s="135"/>
      <c r="T3546" s="135"/>
      <c r="U3546" s="135"/>
      <c r="V3546" s="135"/>
      <c r="W3546" s="135"/>
      <c r="X3546" s="135"/>
      <c r="Y3546" s="135"/>
      <c r="Z3546" s="135"/>
    </row>
    <row r="3547" spans="1:26" ht="12.75">
      <c r="A3547" s="136" t="s">
        <v>10</v>
      </c>
      <c r="B3547" s="136" t="s">
        <v>7868</v>
      </c>
      <c r="C3547" s="136" t="s">
        <v>7871</v>
      </c>
      <c r="D3547" s="136" t="s">
        <v>1669</v>
      </c>
      <c r="E3547" s="136" t="s">
        <v>615</v>
      </c>
      <c r="F3547" s="136">
        <v>884</v>
      </c>
      <c r="G3547" s="137">
        <f t="shared" si="13"/>
        <v>4</v>
      </c>
      <c r="H3547" s="137"/>
      <c r="I3547" s="137"/>
      <c r="J3547" s="135"/>
      <c r="K3547" s="135"/>
      <c r="L3547" s="135"/>
      <c r="M3547" s="135"/>
      <c r="N3547" s="135"/>
      <c r="O3547" s="135"/>
      <c r="P3547" s="135"/>
      <c r="Q3547" s="135"/>
      <c r="R3547" s="135"/>
      <c r="S3547" s="135"/>
      <c r="T3547" s="135"/>
      <c r="U3547" s="135"/>
      <c r="V3547" s="135"/>
      <c r="W3547" s="135"/>
      <c r="X3547" s="135"/>
      <c r="Y3547" s="135"/>
      <c r="Z3547" s="135"/>
    </row>
    <row r="3548" spans="1:26" ht="12.75">
      <c r="A3548" s="136" t="s">
        <v>10</v>
      </c>
      <c r="B3548" s="136" t="s">
        <v>7868</v>
      </c>
      <c r="C3548" s="136" t="s">
        <v>7871</v>
      </c>
      <c r="D3548" s="136" t="s">
        <v>437</v>
      </c>
      <c r="E3548" s="136" t="s">
        <v>594</v>
      </c>
      <c r="F3548" s="136">
        <v>440</v>
      </c>
      <c r="G3548" s="137">
        <f t="shared" si="13"/>
        <v>5</v>
      </c>
      <c r="H3548" s="137"/>
      <c r="I3548" s="137"/>
      <c r="J3548" s="135"/>
      <c r="K3548" s="135"/>
      <c r="L3548" s="135"/>
      <c r="M3548" s="135"/>
      <c r="N3548" s="135"/>
      <c r="O3548" s="135"/>
      <c r="P3548" s="135"/>
      <c r="Q3548" s="135"/>
      <c r="R3548" s="135"/>
      <c r="S3548" s="135"/>
      <c r="T3548" s="135"/>
      <c r="U3548" s="135"/>
      <c r="V3548" s="135"/>
      <c r="W3548" s="135"/>
      <c r="X3548" s="135"/>
      <c r="Y3548" s="135"/>
      <c r="Z3548" s="135"/>
    </row>
    <row r="3549" spans="1:26" ht="12.75">
      <c r="A3549" s="136" t="s">
        <v>10</v>
      </c>
      <c r="B3549" s="136" t="s">
        <v>7868</v>
      </c>
      <c r="C3549" s="136" t="s">
        <v>7871</v>
      </c>
      <c r="D3549" s="136" t="s">
        <v>7872</v>
      </c>
      <c r="E3549" s="136" t="s">
        <v>615</v>
      </c>
      <c r="F3549" s="136">
        <v>313</v>
      </c>
      <c r="G3549" s="137">
        <f t="shared" si="13"/>
        <v>6</v>
      </c>
      <c r="H3549" s="137"/>
      <c r="I3549" s="137"/>
      <c r="J3549" s="135"/>
      <c r="K3549" s="135"/>
      <c r="L3549" s="135"/>
      <c r="M3549" s="135"/>
      <c r="N3549" s="135"/>
      <c r="O3549" s="135"/>
      <c r="P3549" s="135"/>
      <c r="Q3549" s="135"/>
      <c r="R3549" s="135"/>
      <c r="S3549" s="135"/>
      <c r="T3549" s="135"/>
      <c r="U3549" s="135"/>
      <c r="V3549" s="135"/>
      <c r="W3549" s="135"/>
      <c r="X3549" s="135"/>
      <c r="Y3549" s="135"/>
      <c r="Z3549" s="135"/>
    </row>
    <row r="3550" spans="1:26" ht="12.75">
      <c r="A3550" s="136" t="s">
        <v>10</v>
      </c>
      <c r="B3550" s="136" t="s">
        <v>7868</v>
      </c>
      <c r="C3550" s="136" t="s">
        <v>7871</v>
      </c>
      <c r="D3550" s="136" t="s">
        <v>368</v>
      </c>
      <c r="E3550" s="136" t="s">
        <v>594</v>
      </c>
      <c r="F3550" s="136">
        <v>188</v>
      </c>
      <c r="G3550" s="137">
        <f t="shared" si="13"/>
        <v>7</v>
      </c>
      <c r="H3550" s="137"/>
      <c r="I3550" s="137"/>
      <c r="J3550" s="135"/>
      <c r="K3550" s="135"/>
      <c r="L3550" s="135"/>
      <c r="M3550" s="135"/>
      <c r="N3550" s="135"/>
      <c r="O3550" s="135"/>
      <c r="P3550" s="135"/>
      <c r="Q3550" s="135"/>
      <c r="R3550" s="135"/>
      <c r="S3550" s="135"/>
      <c r="T3550" s="135"/>
      <c r="U3550" s="135"/>
      <c r="V3550" s="135"/>
      <c r="W3550" s="135"/>
      <c r="X3550" s="135"/>
      <c r="Y3550" s="135"/>
      <c r="Z3550" s="135"/>
    </row>
    <row r="3551" spans="1:26" ht="12.75">
      <c r="A3551" s="136" t="s">
        <v>10</v>
      </c>
      <c r="B3551" s="136" t="s">
        <v>7868</v>
      </c>
      <c r="C3551" s="136" t="s">
        <v>7871</v>
      </c>
      <c r="D3551" s="136" t="s">
        <v>1626</v>
      </c>
      <c r="E3551" s="136" t="s">
        <v>594</v>
      </c>
      <c r="F3551" s="136">
        <v>133</v>
      </c>
      <c r="G3551" s="137">
        <f t="shared" si="13"/>
        <v>8</v>
      </c>
      <c r="H3551" s="137"/>
      <c r="I3551" s="137"/>
      <c r="J3551" s="135"/>
      <c r="K3551" s="135"/>
      <c r="L3551" s="135"/>
      <c r="M3551" s="135"/>
      <c r="N3551" s="135"/>
      <c r="O3551" s="135"/>
      <c r="P3551" s="135"/>
      <c r="Q3551" s="135"/>
      <c r="R3551" s="135"/>
      <c r="S3551" s="135"/>
      <c r="T3551" s="135"/>
      <c r="U3551" s="135"/>
      <c r="V3551" s="135"/>
      <c r="W3551" s="135"/>
      <c r="X3551" s="135"/>
      <c r="Y3551" s="135"/>
      <c r="Z3551" s="135"/>
    </row>
    <row r="3552" spans="1:26" ht="12.75">
      <c r="A3552" s="136" t="s">
        <v>10</v>
      </c>
      <c r="B3552" s="136" t="s">
        <v>7868</v>
      </c>
      <c r="C3552" s="136" t="s">
        <v>7871</v>
      </c>
      <c r="D3552" s="136" t="s">
        <v>103</v>
      </c>
      <c r="E3552" s="136" t="s">
        <v>594</v>
      </c>
      <c r="F3552" s="136">
        <v>114</v>
      </c>
      <c r="G3552" s="137">
        <f t="shared" si="13"/>
        <v>9</v>
      </c>
      <c r="H3552" s="137"/>
      <c r="I3552" s="137"/>
      <c r="J3552" s="135"/>
      <c r="K3552" s="135"/>
      <c r="L3552" s="135"/>
      <c r="M3552" s="135"/>
      <c r="N3552" s="135"/>
      <c r="O3552" s="135"/>
      <c r="P3552" s="135"/>
      <c r="Q3552" s="135"/>
      <c r="R3552" s="135"/>
      <c r="S3552" s="135"/>
      <c r="T3552" s="135"/>
      <c r="U3552" s="135"/>
      <c r="V3552" s="135"/>
      <c r="W3552" s="135"/>
      <c r="X3552" s="135"/>
      <c r="Y3552" s="135"/>
      <c r="Z3552" s="135"/>
    </row>
    <row r="3553" spans="1:26" ht="12.75">
      <c r="A3553" s="136" t="s">
        <v>10</v>
      </c>
      <c r="B3553" s="136" t="s">
        <v>7868</v>
      </c>
      <c r="C3553" s="136" t="s">
        <v>7871</v>
      </c>
      <c r="D3553" s="136" t="s">
        <v>1656</v>
      </c>
      <c r="E3553" s="136" t="s">
        <v>615</v>
      </c>
      <c r="F3553" s="136">
        <v>99</v>
      </c>
      <c r="G3553" s="137">
        <f t="shared" si="13"/>
        <v>10</v>
      </c>
      <c r="H3553" s="137"/>
      <c r="I3553" s="137"/>
      <c r="J3553" s="135"/>
      <c r="K3553" s="135"/>
      <c r="L3553" s="135"/>
      <c r="M3553" s="135"/>
      <c r="N3553" s="135"/>
      <c r="O3553" s="135"/>
      <c r="P3553" s="135"/>
      <c r="Q3553" s="135"/>
      <c r="R3553" s="135"/>
      <c r="S3553" s="135"/>
      <c r="T3553" s="135"/>
      <c r="U3553" s="135"/>
      <c r="V3553" s="135"/>
      <c r="W3553" s="135"/>
      <c r="X3553" s="135"/>
      <c r="Y3553" s="135"/>
      <c r="Z3553" s="135"/>
    </row>
    <row r="3554" spans="1:26" ht="12.75">
      <c r="A3554" s="136" t="s">
        <v>10</v>
      </c>
      <c r="B3554" s="136" t="s">
        <v>7868</v>
      </c>
      <c r="C3554" s="136" t="s">
        <v>7871</v>
      </c>
      <c r="D3554" s="136" t="s">
        <v>114</v>
      </c>
      <c r="E3554" s="136" t="s">
        <v>85</v>
      </c>
      <c r="F3554" s="136">
        <v>98</v>
      </c>
      <c r="G3554" s="137">
        <f t="shared" si="13"/>
        <v>11</v>
      </c>
      <c r="H3554" s="137"/>
      <c r="I3554" s="137"/>
      <c r="J3554" s="135"/>
      <c r="K3554" s="135"/>
      <c r="L3554" s="135"/>
      <c r="M3554" s="135"/>
      <c r="N3554" s="135"/>
      <c r="O3554" s="135"/>
      <c r="P3554" s="135"/>
      <c r="Q3554" s="135"/>
      <c r="R3554" s="135"/>
      <c r="S3554" s="135"/>
      <c r="T3554" s="135"/>
      <c r="U3554" s="135"/>
      <c r="V3554" s="135"/>
      <c r="W3554" s="135"/>
      <c r="X3554" s="135"/>
      <c r="Y3554" s="135"/>
      <c r="Z3554" s="135"/>
    </row>
    <row r="3555" spans="1:26" ht="12.75">
      <c r="A3555" s="136" t="s">
        <v>10</v>
      </c>
      <c r="B3555" s="136" t="s">
        <v>7868</v>
      </c>
      <c r="C3555" s="136" t="s">
        <v>7871</v>
      </c>
      <c r="D3555" s="136" t="s">
        <v>467</v>
      </c>
      <c r="E3555" s="136" t="s">
        <v>85</v>
      </c>
      <c r="F3555" s="136">
        <v>29</v>
      </c>
      <c r="G3555" s="137">
        <f t="shared" si="13"/>
        <v>12</v>
      </c>
      <c r="H3555" s="137"/>
      <c r="I3555" s="137"/>
      <c r="J3555" s="135"/>
      <c r="K3555" s="135"/>
      <c r="L3555" s="135"/>
      <c r="M3555" s="135"/>
      <c r="N3555" s="135"/>
      <c r="O3555" s="135"/>
      <c r="P3555" s="135"/>
      <c r="Q3555" s="135"/>
      <c r="R3555" s="135"/>
      <c r="S3555" s="135"/>
      <c r="T3555" s="135"/>
      <c r="U3555" s="135"/>
      <c r="V3555" s="135"/>
      <c r="W3555" s="135"/>
      <c r="X3555" s="135"/>
      <c r="Y3555" s="135"/>
      <c r="Z3555" s="135"/>
    </row>
    <row r="3556" spans="1:26" ht="12.75">
      <c r="A3556" s="136" t="s">
        <v>10</v>
      </c>
      <c r="B3556" s="136" t="s">
        <v>7868</v>
      </c>
      <c r="C3556" s="136" t="s">
        <v>7873</v>
      </c>
      <c r="D3556" s="136" t="s">
        <v>139</v>
      </c>
      <c r="E3556" s="136" t="s">
        <v>594</v>
      </c>
      <c r="F3556" s="136">
        <v>1413</v>
      </c>
      <c r="G3556" s="137">
        <f t="shared" si="13"/>
        <v>1</v>
      </c>
      <c r="H3556" s="137"/>
      <c r="I3556" s="137"/>
      <c r="J3556" s="135"/>
      <c r="K3556" s="135"/>
      <c r="L3556" s="135"/>
      <c r="M3556" s="135"/>
      <c r="N3556" s="135"/>
      <c r="O3556" s="135"/>
      <c r="P3556" s="135"/>
      <c r="Q3556" s="135"/>
      <c r="R3556" s="135"/>
      <c r="S3556" s="135"/>
      <c r="T3556" s="135"/>
      <c r="U3556" s="135"/>
      <c r="V3556" s="135"/>
      <c r="W3556" s="135"/>
      <c r="X3556" s="135"/>
      <c r="Y3556" s="135"/>
      <c r="Z3556" s="135"/>
    </row>
    <row r="3557" spans="1:26" ht="12.75">
      <c r="A3557" s="136" t="s">
        <v>10</v>
      </c>
      <c r="B3557" s="136" t="s">
        <v>7868</v>
      </c>
      <c r="C3557" s="136" t="s">
        <v>7873</v>
      </c>
      <c r="D3557" s="136" t="s">
        <v>7481</v>
      </c>
      <c r="E3557" s="136" t="s">
        <v>615</v>
      </c>
      <c r="F3557" s="136">
        <v>308</v>
      </c>
      <c r="G3557" s="137">
        <f t="shared" si="13"/>
        <v>2</v>
      </c>
      <c r="H3557" s="137"/>
      <c r="I3557" s="137"/>
      <c r="J3557" s="135"/>
      <c r="K3557" s="135"/>
      <c r="L3557" s="135"/>
      <c r="M3557" s="135"/>
      <c r="N3557" s="135"/>
      <c r="O3557" s="135"/>
      <c r="P3557" s="135"/>
      <c r="Q3557" s="135"/>
      <c r="R3557" s="135"/>
      <c r="S3557" s="135"/>
      <c r="T3557" s="135"/>
      <c r="U3557" s="135"/>
      <c r="V3557" s="135"/>
      <c r="W3557" s="135"/>
      <c r="X3557" s="135"/>
      <c r="Y3557" s="135"/>
      <c r="Z3557" s="135"/>
    </row>
    <row r="3558" spans="1:26" ht="12.75">
      <c r="A3558" s="136" t="s">
        <v>10</v>
      </c>
      <c r="B3558" s="136" t="s">
        <v>7868</v>
      </c>
      <c r="C3558" s="136" t="s">
        <v>7873</v>
      </c>
      <c r="D3558" s="136" t="s">
        <v>1669</v>
      </c>
      <c r="E3558" s="136" t="s">
        <v>615</v>
      </c>
      <c r="F3558" s="136">
        <v>281</v>
      </c>
      <c r="G3558" s="137">
        <f t="shared" si="13"/>
        <v>3</v>
      </c>
      <c r="H3558" s="137"/>
      <c r="I3558" s="137"/>
      <c r="J3558" s="135"/>
      <c r="K3558" s="135"/>
      <c r="L3558" s="135"/>
      <c r="M3558" s="135"/>
      <c r="N3558" s="135"/>
      <c r="O3558" s="135"/>
      <c r="P3558" s="135"/>
      <c r="Q3558" s="135"/>
      <c r="R3558" s="135"/>
      <c r="S3558" s="135"/>
      <c r="T3558" s="135"/>
      <c r="U3558" s="135"/>
      <c r="V3558" s="135"/>
      <c r="W3558" s="135"/>
      <c r="X3558" s="135"/>
      <c r="Y3558" s="135"/>
      <c r="Z3558" s="135"/>
    </row>
    <row r="3559" spans="1:26" ht="12.75">
      <c r="A3559" s="136" t="s">
        <v>10</v>
      </c>
      <c r="B3559" s="136" t="s">
        <v>7868</v>
      </c>
      <c r="C3559" s="136" t="s">
        <v>7873</v>
      </c>
      <c r="D3559" s="136" t="s">
        <v>114</v>
      </c>
      <c r="E3559" s="136" t="s">
        <v>85</v>
      </c>
      <c r="F3559" s="136">
        <v>141</v>
      </c>
      <c r="G3559" s="137">
        <f t="shared" si="13"/>
        <v>4</v>
      </c>
      <c r="H3559" s="137"/>
      <c r="I3559" s="137"/>
      <c r="J3559" s="135"/>
      <c r="K3559" s="135"/>
      <c r="L3559" s="135"/>
      <c r="M3559" s="135"/>
      <c r="N3559" s="135"/>
      <c r="O3559" s="135"/>
      <c r="P3559" s="135"/>
      <c r="Q3559" s="135"/>
      <c r="R3559" s="135"/>
      <c r="S3559" s="135"/>
      <c r="T3559" s="135"/>
      <c r="U3559" s="135"/>
      <c r="V3559" s="135"/>
      <c r="W3559" s="135"/>
      <c r="X3559" s="135"/>
      <c r="Y3559" s="135"/>
      <c r="Z3559" s="135"/>
    </row>
    <row r="3560" spans="1:26" ht="12.75">
      <c r="A3560" s="136" t="s">
        <v>10</v>
      </c>
      <c r="B3560" s="136" t="s">
        <v>7868</v>
      </c>
      <c r="C3560" s="136" t="s">
        <v>7873</v>
      </c>
      <c r="D3560" s="136" t="s">
        <v>136</v>
      </c>
      <c r="E3560" s="136" t="s">
        <v>615</v>
      </c>
      <c r="F3560" s="136">
        <v>134</v>
      </c>
      <c r="G3560" s="137">
        <f t="shared" si="13"/>
        <v>5</v>
      </c>
      <c r="H3560" s="137"/>
      <c r="I3560" s="137"/>
      <c r="J3560" s="135"/>
      <c r="K3560" s="135"/>
      <c r="L3560" s="135"/>
      <c r="M3560" s="135"/>
      <c r="N3560" s="135"/>
      <c r="O3560" s="135"/>
      <c r="P3560" s="135"/>
      <c r="Q3560" s="135"/>
      <c r="R3560" s="135"/>
      <c r="S3560" s="135"/>
      <c r="T3560" s="135"/>
      <c r="U3560" s="135"/>
      <c r="V3560" s="135"/>
      <c r="W3560" s="135"/>
      <c r="X3560" s="135"/>
      <c r="Y3560" s="135"/>
      <c r="Z3560" s="135"/>
    </row>
    <row r="3561" spans="1:26" ht="12.75">
      <c r="A3561" s="136" t="s">
        <v>10</v>
      </c>
      <c r="B3561" s="136" t="s">
        <v>7868</v>
      </c>
      <c r="C3561" s="136" t="s">
        <v>7873</v>
      </c>
      <c r="D3561" s="136" t="s">
        <v>165</v>
      </c>
      <c r="E3561" s="136" t="s">
        <v>615</v>
      </c>
      <c r="F3561" s="136">
        <v>123</v>
      </c>
      <c r="G3561" s="137">
        <f t="shared" si="13"/>
        <v>6</v>
      </c>
      <c r="H3561" s="137"/>
      <c r="I3561" s="137"/>
      <c r="J3561" s="135"/>
      <c r="K3561" s="135"/>
      <c r="L3561" s="135"/>
      <c r="M3561" s="135"/>
      <c r="N3561" s="135"/>
      <c r="O3561" s="135"/>
      <c r="P3561" s="135"/>
      <c r="Q3561" s="135"/>
      <c r="R3561" s="135"/>
      <c r="S3561" s="135"/>
      <c r="T3561" s="135"/>
      <c r="U3561" s="135"/>
      <c r="V3561" s="135"/>
      <c r="W3561" s="135"/>
      <c r="X3561" s="135"/>
      <c r="Y3561" s="135"/>
      <c r="Z3561" s="135"/>
    </row>
    <row r="3562" spans="1:26" ht="12.75">
      <c r="A3562" s="136" t="s">
        <v>10</v>
      </c>
      <c r="B3562" s="136" t="s">
        <v>7868</v>
      </c>
      <c r="C3562" s="136" t="s">
        <v>7873</v>
      </c>
      <c r="D3562" s="136" t="s">
        <v>437</v>
      </c>
      <c r="E3562" s="136" t="s">
        <v>594</v>
      </c>
      <c r="F3562" s="136">
        <v>99</v>
      </c>
      <c r="G3562" s="137">
        <f t="shared" si="13"/>
        <v>7</v>
      </c>
      <c r="H3562" s="137"/>
      <c r="I3562" s="137"/>
      <c r="J3562" s="135"/>
      <c r="K3562" s="135"/>
      <c r="L3562" s="135"/>
      <c r="M3562" s="135"/>
      <c r="N3562" s="135"/>
      <c r="O3562" s="135"/>
      <c r="P3562" s="135"/>
      <c r="Q3562" s="135"/>
      <c r="R3562" s="135"/>
      <c r="S3562" s="135"/>
      <c r="T3562" s="135"/>
      <c r="U3562" s="135"/>
      <c r="V3562" s="135"/>
      <c r="W3562" s="135"/>
      <c r="X3562" s="135"/>
      <c r="Y3562" s="135"/>
      <c r="Z3562" s="135"/>
    </row>
    <row r="3563" spans="1:26" ht="12.75">
      <c r="A3563" s="136" t="s">
        <v>10</v>
      </c>
      <c r="B3563" s="136" t="s">
        <v>7868</v>
      </c>
      <c r="C3563" s="136" t="s">
        <v>7873</v>
      </c>
      <c r="D3563" s="136" t="s">
        <v>368</v>
      </c>
      <c r="E3563" s="136" t="s">
        <v>594</v>
      </c>
      <c r="F3563" s="136">
        <v>54</v>
      </c>
      <c r="G3563" s="137">
        <f t="shared" si="13"/>
        <v>8</v>
      </c>
      <c r="H3563" s="137"/>
      <c r="I3563" s="137"/>
      <c r="J3563" s="135"/>
      <c r="K3563" s="135"/>
      <c r="L3563" s="135"/>
      <c r="M3563" s="135"/>
      <c r="N3563" s="135"/>
      <c r="O3563" s="135"/>
      <c r="P3563" s="135"/>
      <c r="Q3563" s="135"/>
      <c r="R3563" s="135"/>
      <c r="S3563" s="135"/>
      <c r="T3563" s="135"/>
      <c r="U3563" s="135"/>
      <c r="V3563" s="135"/>
      <c r="W3563" s="135"/>
      <c r="X3563" s="135"/>
      <c r="Y3563" s="135"/>
      <c r="Z3563" s="135"/>
    </row>
    <row r="3564" spans="1:26" ht="12.75">
      <c r="A3564" s="136" t="s">
        <v>10</v>
      </c>
      <c r="B3564" s="136" t="s">
        <v>7868</v>
      </c>
      <c r="C3564" s="136" t="s">
        <v>7873</v>
      </c>
      <c r="D3564" s="136" t="s">
        <v>467</v>
      </c>
      <c r="E3564" s="136" t="s">
        <v>85</v>
      </c>
      <c r="F3564" s="136">
        <v>52</v>
      </c>
      <c r="G3564" s="137">
        <f t="shared" si="13"/>
        <v>9</v>
      </c>
      <c r="H3564" s="137"/>
      <c r="I3564" s="137"/>
      <c r="J3564" s="135"/>
      <c r="K3564" s="135"/>
      <c r="L3564" s="135"/>
      <c r="M3564" s="135"/>
      <c r="N3564" s="135"/>
      <c r="O3564" s="135"/>
      <c r="P3564" s="135"/>
      <c r="Q3564" s="135"/>
      <c r="R3564" s="135"/>
      <c r="S3564" s="135"/>
      <c r="T3564" s="135"/>
      <c r="U3564" s="135"/>
      <c r="V3564" s="135"/>
      <c r="W3564" s="135"/>
      <c r="X3564" s="135"/>
      <c r="Y3564" s="135"/>
      <c r="Z3564" s="135"/>
    </row>
    <row r="3565" spans="1:26" ht="12.75">
      <c r="A3565" s="136" t="s">
        <v>10</v>
      </c>
      <c r="B3565" s="136" t="s">
        <v>7868</v>
      </c>
      <c r="C3565" s="136" t="s">
        <v>7873</v>
      </c>
      <c r="D3565" s="136" t="s">
        <v>1656</v>
      </c>
      <c r="E3565" s="136" t="s">
        <v>615</v>
      </c>
      <c r="F3565" s="136">
        <v>25</v>
      </c>
      <c r="G3565" s="137">
        <f t="shared" si="13"/>
        <v>10</v>
      </c>
      <c r="H3565" s="137"/>
      <c r="I3565" s="137"/>
      <c r="J3565" s="135"/>
      <c r="K3565" s="135"/>
      <c r="L3565" s="135"/>
      <c r="M3565" s="135"/>
      <c r="N3565" s="135"/>
      <c r="O3565" s="135"/>
      <c r="P3565" s="135"/>
      <c r="Q3565" s="135"/>
      <c r="R3565" s="135"/>
      <c r="S3565" s="135"/>
      <c r="T3565" s="135"/>
      <c r="U3565" s="135"/>
      <c r="V3565" s="135"/>
      <c r="W3565" s="135"/>
      <c r="X3565" s="135"/>
      <c r="Y3565" s="135"/>
      <c r="Z3565" s="135"/>
    </row>
    <row r="3566" spans="1:26" ht="12.75">
      <c r="A3566" s="136" t="s">
        <v>10</v>
      </c>
      <c r="B3566" s="136" t="s">
        <v>7868</v>
      </c>
      <c r="C3566" s="136" t="s">
        <v>7873</v>
      </c>
      <c r="D3566" s="136" t="s">
        <v>1626</v>
      </c>
      <c r="E3566" s="136" t="s">
        <v>594</v>
      </c>
      <c r="F3566" s="136">
        <v>21</v>
      </c>
      <c r="G3566" s="137">
        <f t="shared" si="13"/>
        <v>11</v>
      </c>
      <c r="H3566" s="137"/>
      <c r="I3566" s="137"/>
      <c r="J3566" s="135"/>
      <c r="K3566" s="135"/>
      <c r="L3566" s="135"/>
      <c r="M3566" s="135"/>
      <c r="N3566" s="135"/>
      <c r="O3566" s="135"/>
      <c r="P3566" s="135"/>
      <c r="Q3566" s="135"/>
      <c r="R3566" s="135"/>
      <c r="S3566" s="135"/>
      <c r="T3566" s="135"/>
      <c r="U3566" s="135"/>
      <c r="V3566" s="135"/>
      <c r="W3566" s="135"/>
      <c r="X3566" s="135"/>
      <c r="Y3566" s="135"/>
      <c r="Z3566" s="135"/>
    </row>
    <row r="3567" spans="1:26" ht="12.75">
      <c r="A3567" s="136" t="s">
        <v>10</v>
      </c>
      <c r="B3567" s="136" t="s">
        <v>7868</v>
      </c>
      <c r="C3567" s="136" t="s">
        <v>817</v>
      </c>
      <c r="D3567" s="136" t="s">
        <v>139</v>
      </c>
      <c r="E3567" s="136" t="s">
        <v>594</v>
      </c>
      <c r="F3567" s="136">
        <v>1814</v>
      </c>
      <c r="G3567" s="137">
        <f t="shared" si="13"/>
        <v>1</v>
      </c>
      <c r="H3567" s="137"/>
      <c r="I3567" s="137"/>
      <c r="J3567" s="135"/>
      <c r="K3567" s="135"/>
      <c r="L3567" s="135"/>
      <c r="M3567" s="135"/>
      <c r="N3567" s="135"/>
      <c r="O3567" s="135"/>
      <c r="P3567" s="135"/>
      <c r="Q3567" s="135"/>
      <c r="R3567" s="135"/>
      <c r="S3567" s="135"/>
      <c r="T3567" s="135"/>
      <c r="U3567" s="135"/>
      <c r="V3567" s="135"/>
      <c r="W3567" s="135"/>
      <c r="X3567" s="135"/>
      <c r="Y3567" s="135"/>
      <c r="Z3567" s="135"/>
    </row>
    <row r="3568" spans="1:26" ht="12.75">
      <c r="A3568" s="136" t="s">
        <v>10</v>
      </c>
      <c r="B3568" s="136" t="s">
        <v>7868</v>
      </c>
      <c r="C3568" s="136" t="s">
        <v>817</v>
      </c>
      <c r="D3568" s="136" t="s">
        <v>1669</v>
      </c>
      <c r="E3568" s="136" t="s">
        <v>615</v>
      </c>
      <c r="F3568" s="136">
        <v>574</v>
      </c>
      <c r="G3568" s="137">
        <f t="shared" si="13"/>
        <v>2</v>
      </c>
      <c r="H3568" s="137"/>
      <c r="I3568" s="137"/>
      <c r="J3568" s="135"/>
      <c r="K3568" s="135"/>
      <c r="L3568" s="135"/>
      <c r="M3568" s="135"/>
      <c r="N3568" s="135"/>
      <c r="O3568" s="135"/>
      <c r="P3568" s="135"/>
      <c r="Q3568" s="135"/>
      <c r="R3568" s="135"/>
      <c r="S3568" s="135"/>
      <c r="T3568" s="135"/>
      <c r="U3568" s="135"/>
      <c r="V3568" s="135"/>
      <c r="W3568" s="135"/>
      <c r="X3568" s="135"/>
      <c r="Y3568" s="135"/>
      <c r="Z3568" s="135"/>
    </row>
    <row r="3569" spans="1:26" ht="12.75">
      <c r="A3569" s="136" t="s">
        <v>10</v>
      </c>
      <c r="B3569" s="136" t="s">
        <v>7868</v>
      </c>
      <c r="C3569" s="136" t="s">
        <v>817</v>
      </c>
      <c r="D3569" s="136" t="s">
        <v>7481</v>
      </c>
      <c r="E3569" s="136" t="s">
        <v>615</v>
      </c>
      <c r="F3569" s="136">
        <v>330</v>
      </c>
      <c r="G3569" s="137">
        <f t="shared" si="13"/>
        <v>3</v>
      </c>
      <c r="H3569" s="137"/>
      <c r="I3569" s="137"/>
      <c r="J3569" s="135"/>
      <c r="K3569" s="135"/>
      <c r="L3569" s="135"/>
      <c r="M3569" s="135"/>
      <c r="N3569" s="135"/>
      <c r="O3569" s="135"/>
      <c r="P3569" s="135"/>
      <c r="Q3569" s="135"/>
      <c r="R3569" s="135"/>
      <c r="S3569" s="135"/>
      <c r="T3569" s="135"/>
      <c r="U3569" s="135"/>
      <c r="V3569" s="135"/>
      <c r="W3569" s="135"/>
      <c r="X3569" s="135"/>
      <c r="Y3569" s="135"/>
      <c r="Z3569" s="135"/>
    </row>
    <row r="3570" spans="1:26" ht="12.75">
      <c r="A3570" s="136" t="s">
        <v>10</v>
      </c>
      <c r="B3570" s="136" t="s">
        <v>7868</v>
      </c>
      <c r="C3570" s="136" t="s">
        <v>817</v>
      </c>
      <c r="D3570" s="136" t="s">
        <v>437</v>
      </c>
      <c r="E3570" s="136" t="s">
        <v>594</v>
      </c>
      <c r="F3570" s="136">
        <v>127</v>
      </c>
      <c r="G3570" s="137">
        <f t="shared" si="13"/>
        <v>4</v>
      </c>
      <c r="H3570" s="137"/>
      <c r="I3570" s="137"/>
      <c r="J3570" s="135"/>
      <c r="K3570" s="135"/>
      <c r="L3570" s="135"/>
      <c r="M3570" s="135"/>
      <c r="N3570" s="135"/>
      <c r="O3570" s="135"/>
      <c r="P3570" s="135"/>
      <c r="Q3570" s="135"/>
      <c r="R3570" s="135"/>
      <c r="S3570" s="135"/>
      <c r="T3570" s="135"/>
      <c r="U3570" s="135"/>
      <c r="V3570" s="135"/>
      <c r="W3570" s="135"/>
      <c r="X3570" s="135"/>
      <c r="Y3570" s="135"/>
      <c r="Z3570" s="135"/>
    </row>
    <row r="3571" spans="1:26" ht="12.75">
      <c r="A3571" s="136" t="s">
        <v>10</v>
      </c>
      <c r="B3571" s="136" t="s">
        <v>7868</v>
      </c>
      <c r="C3571" s="136" t="s">
        <v>817</v>
      </c>
      <c r="D3571" s="136" t="s">
        <v>136</v>
      </c>
      <c r="E3571" s="136" t="s">
        <v>615</v>
      </c>
      <c r="F3571" s="136">
        <v>125</v>
      </c>
      <c r="G3571" s="137">
        <f t="shared" si="13"/>
        <v>5</v>
      </c>
      <c r="H3571" s="137"/>
      <c r="I3571" s="137"/>
      <c r="J3571" s="135"/>
      <c r="K3571" s="135"/>
      <c r="L3571" s="135"/>
      <c r="M3571" s="135"/>
      <c r="N3571" s="135"/>
      <c r="O3571" s="135"/>
      <c r="P3571" s="135"/>
      <c r="Q3571" s="135"/>
      <c r="R3571" s="135"/>
      <c r="S3571" s="135"/>
      <c r="T3571" s="135"/>
      <c r="U3571" s="135"/>
      <c r="V3571" s="135"/>
      <c r="W3571" s="135"/>
      <c r="X3571" s="135"/>
      <c r="Y3571" s="135"/>
      <c r="Z3571" s="135"/>
    </row>
    <row r="3572" spans="1:26" ht="12.75">
      <c r="A3572" s="136" t="s">
        <v>10</v>
      </c>
      <c r="B3572" s="136" t="s">
        <v>7868</v>
      </c>
      <c r="C3572" s="136" t="s">
        <v>817</v>
      </c>
      <c r="D3572" s="136" t="s">
        <v>165</v>
      </c>
      <c r="E3572" s="136" t="s">
        <v>615</v>
      </c>
      <c r="F3572" s="136">
        <v>113</v>
      </c>
      <c r="G3572" s="137">
        <f t="shared" ref="G3572:G3826" si="14">COUNTIFS($C:$C,C3572,$F:$F,"&gt;"&amp;F3572)
 + COUNTIFS($C$2:C3572,C3572,$F$2:F3572,F3572)</f>
        <v>6</v>
      </c>
      <c r="H3572" s="137"/>
      <c r="I3572" s="137"/>
      <c r="J3572" s="135"/>
      <c r="K3572" s="135"/>
      <c r="L3572" s="135"/>
      <c r="M3572" s="135"/>
      <c r="N3572" s="135"/>
      <c r="O3572" s="135"/>
      <c r="P3572" s="135"/>
      <c r="Q3572" s="135"/>
      <c r="R3572" s="135"/>
      <c r="S3572" s="135"/>
      <c r="T3572" s="135"/>
      <c r="U3572" s="135"/>
      <c r="V3572" s="135"/>
      <c r="W3572" s="135"/>
      <c r="X3572" s="135"/>
      <c r="Y3572" s="135"/>
      <c r="Z3572" s="135"/>
    </row>
    <row r="3573" spans="1:26" ht="12.75">
      <c r="A3573" s="136" t="s">
        <v>10</v>
      </c>
      <c r="B3573" s="136" t="s">
        <v>7868</v>
      </c>
      <c r="C3573" s="136" t="s">
        <v>817</v>
      </c>
      <c r="D3573" s="136" t="s">
        <v>368</v>
      </c>
      <c r="E3573" s="136" t="s">
        <v>594</v>
      </c>
      <c r="F3573" s="136">
        <v>73</v>
      </c>
      <c r="G3573" s="137">
        <f t="shared" si="14"/>
        <v>7</v>
      </c>
      <c r="H3573" s="137"/>
      <c r="I3573" s="137"/>
      <c r="J3573" s="135"/>
      <c r="K3573" s="135"/>
      <c r="L3573" s="135"/>
      <c r="M3573" s="135"/>
      <c r="N3573" s="135"/>
      <c r="O3573" s="135"/>
      <c r="P3573" s="135"/>
      <c r="Q3573" s="135"/>
      <c r="R3573" s="135"/>
      <c r="S3573" s="135"/>
      <c r="T3573" s="135"/>
      <c r="U3573" s="135"/>
      <c r="V3573" s="135"/>
      <c r="W3573" s="135"/>
      <c r="X3573" s="135"/>
      <c r="Y3573" s="135"/>
      <c r="Z3573" s="135"/>
    </row>
    <row r="3574" spans="1:26" ht="12.75">
      <c r="A3574" s="136" t="s">
        <v>10</v>
      </c>
      <c r="B3574" s="136" t="s">
        <v>7868</v>
      </c>
      <c r="C3574" s="136" t="s">
        <v>817</v>
      </c>
      <c r="D3574" s="136" t="s">
        <v>1626</v>
      </c>
      <c r="E3574" s="136" t="s">
        <v>594</v>
      </c>
      <c r="F3574" s="136">
        <v>47</v>
      </c>
      <c r="G3574" s="137">
        <f t="shared" si="14"/>
        <v>8</v>
      </c>
      <c r="H3574" s="137"/>
      <c r="I3574" s="137"/>
      <c r="J3574" s="135"/>
      <c r="K3574" s="135"/>
      <c r="L3574" s="135"/>
      <c r="M3574" s="135"/>
      <c r="N3574" s="135"/>
      <c r="O3574" s="135"/>
      <c r="P3574" s="135"/>
      <c r="Q3574" s="135"/>
      <c r="R3574" s="135"/>
      <c r="S3574" s="135"/>
      <c r="T3574" s="135"/>
      <c r="U3574" s="135"/>
      <c r="V3574" s="135"/>
      <c r="W3574" s="135"/>
      <c r="X3574" s="135"/>
      <c r="Y3574" s="135"/>
      <c r="Z3574" s="135"/>
    </row>
    <row r="3575" spans="1:26" ht="12.75">
      <c r="A3575" s="136" t="s">
        <v>10</v>
      </c>
      <c r="B3575" s="136" t="s">
        <v>7868</v>
      </c>
      <c r="C3575" s="136" t="s">
        <v>817</v>
      </c>
      <c r="D3575" s="136" t="s">
        <v>1656</v>
      </c>
      <c r="E3575" s="136" t="s">
        <v>615</v>
      </c>
      <c r="F3575" s="136">
        <v>25</v>
      </c>
      <c r="G3575" s="137">
        <f t="shared" si="14"/>
        <v>9</v>
      </c>
      <c r="H3575" s="137"/>
      <c r="I3575" s="137"/>
      <c r="J3575" s="135"/>
      <c r="K3575" s="135"/>
      <c r="L3575" s="135"/>
      <c r="M3575" s="135"/>
      <c r="N3575" s="135"/>
      <c r="O3575" s="135"/>
      <c r="P3575" s="135"/>
      <c r="Q3575" s="135"/>
      <c r="R3575" s="135"/>
      <c r="S3575" s="135"/>
      <c r="T3575" s="135"/>
      <c r="U3575" s="135"/>
      <c r="V3575" s="135"/>
      <c r="W3575" s="135"/>
      <c r="X3575" s="135"/>
      <c r="Y3575" s="135"/>
      <c r="Z3575" s="135"/>
    </row>
    <row r="3576" spans="1:26" ht="12.75">
      <c r="A3576" s="136" t="s">
        <v>10</v>
      </c>
      <c r="B3576" s="136" t="s">
        <v>7868</v>
      </c>
      <c r="C3576" s="136" t="s">
        <v>817</v>
      </c>
      <c r="D3576" s="136" t="s">
        <v>467</v>
      </c>
      <c r="E3576" s="136" t="s">
        <v>85</v>
      </c>
      <c r="F3576" s="136">
        <v>3</v>
      </c>
      <c r="G3576" s="137">
        <f t="shared" si="14"/>
        <v>10</v>
      </c>
      <c r="H3576" s="137"/>
      <c r="I3576" s="137"/>
      <c r="J3576" s="135"/>
      <c r="K3576" s="135"/>
      <c r="L3576" s="135"/>
      <c r="M3576" s="135"/>
      <c r="N3576" s="135"/>
      <c r="O3576" s="135"/>
      <c r="P3576" s="135"/>
      <c r="Q3576" s="135"/>
      <c r="R3576" s="135"/>
      <c r="S3576" s="135"/>
      <c r="T3576" s="135"/>
      <c r="U3576" s="135"/>
      <c r="V3576" s="135"/>
      <c r="W3576" s="135"/>
      <c r="X3576" s="135"/>
      <c r="Y3576" s="135"/>
      <c r="Z3576" s="135"/>
    </row>
    <row r="3577" spans="1:26" ht="12.75">
      <c r="A3577" s="136" t="s">
        <v>10</v>
      </c>
      <c r="B3577" s="136" t="s">
        <v>7868</v>
      </c>
      <c r="C3577" s="136" t="s">
        <v>7874</v>
      </c>
      <c r="D3577" s="136" t="s">
        <v>139</v>
      </c>
      <c r="E3577" s="136" t="s">
        <v>594</v>
      </c>
      <c r="F3577" s="136">
        <v>657</v>
      </c>
      <c r="G3577" s="137">
        <f t="shared" si="14"/>
        <v>1</v>
      </c>
      <c r="H3577" s="137"/>
      <c r="I3577" s="137"/>
      <c r="J3577" s="135"/>
      <c r="K3577" s="135"/>
      <c r="L3577" s="135"/>
      <c r="M3577" s="135"/>
      <c r="N3577" s="135"/>
      <c r="O3577" s="135"/>
      <c r="P3577" s="135"/>
      <c r="Q3577" s="135"/>
      <c r="R3577" s="135"/>
      <c r="S3577" s="135"/>
      <c r="T3577" s="135"/>
      <c r="U3577" s="135"/>
      <c r="V3577" s="135"/>
      <c r="W3577" s="135"/>
      <c r="X3577" s="135"/>
      <c r="Y3577" s="135"/>
      <c r="Z3577" s="135"/>
    </row>
    <row r="3578" spans="1:26" ht="12.75">
      <c r="A3578" s="136" t="s">
        <v>10</v>
      </c>
      <c r="B3578" s="136" t="s">
        <v>7868</v>
      </c>
      <c r="C3578" s="136" t="s">
        <v>7874</v>
      </c>
      <c r="D3578" s="136" t="s">
        <v>7481</v>
      </c>
      <c r="E3578" s="136" t="s">
        <v>615</v>
      </c>
      <c r="F3578" s="136">
        <v>222</v>
      </c>
      <c r="G3578" s="137">
        <f t="shared" si="14"/>
        <v>2</v>
      </c>
      <c r="H3578" s="137"/>
      <c r="I3578" s="137"/>
      <c r="J3578" s="135"/>
      <c r="K3578" s="135"/>
      <c r="L3578" s="135"/>
      <c r="M3578" s="135"/>
      <c r="N3578" s="135"/>
      <c r="O3578" s="135"/>
      <c r="P3578" s="135"/>
      <c r="Q3578" s="135"/>
      <c r="R3578" s="135"/>
      <c r="S3578" s="135"/>
      <c r="T3578" s="135"/>
      <c r="U3578" s="135"/>
      <c r="V3578" s="135"/>
      <c r="W3578" s="135"/>
      <c r="X3578" s="135"/>
      <c r="Y3578" s="135"/>
      <c r="Z3578" s="135"/>
    </row>
    <row r="3579" spans="1:26" ht="12.75">
      <c r="A3579" s="136" t="s">
        <v>10</v>
      </c>
      <c r="B3579" s="136" t="s">
        <v>7868</v>
      </c>
      <c r="C3579" s="136" t="s">
        <v>7874</v>
      </c>
      <c r="D3579" s="136" t="s">
        <v>1669</v>
      </c>
      <c r="E3579" s="136" t="s">
        <v>615</v>
      </c>
      <c r="F3579" s="136">
        <v>218</v>
      </c>
      <c r="G3579" s="137">
        <f t="shared" si="14"/>
        <v>3</v>
      </c>
      <c r="H3579" s="137"/>
      <c r="I3579" s="137"/>
      <c r="J3579" s="135"/>
      <c r="K3579" s="135"/>
      <c r="L3579" s="135"/>
      <c r="M3579" s="135"/>
      <c r="N3579" s="135"/>
      <c r="O3579" s="135"/>
      <c r="P3579" s="135"/>
      <c r="Q3579" s="135"/>
      <c r="R3579" s="135"/>
      <c r="S3579" s="135"/>
      <c r="T3579" s="135"/>
      <c r="U3579" s="135"/>
      <c r="V3579" s="135"/>
      <c r="W3579" s="135"/>
      <c r="X3579" s="135"/>
      <c r="Y3579" s="135"/>
      <c r="Z3579" s="135"/>
    </row>
    <row r="3580" spans="1:26" ht="12.75">
      <c r="A3580" s="136" t="s">
        <v>10</v>
      </c>
      <c r="B3580" s="136" t="s">
        <v>7868</v>
      </c>
      <c r="C3580" s="136" t="s">
        <v>7874</v>
      </c>
      <c r="D3580" s="136" t="s">
        <v>437</v>
      </c>
      <c r="E3580" s="136" t="s">
        <v>594</v>
      </c>
      <c r="F3580" s="136">
        <v>101</v>
      </c>
      <c r="G3580" s="137">
        <f t="shared" si="14"/>
        <v>4</v>
      </c>
      <c r="H3580" s="137"/>
      <c r="I3580" s="137"/>
      <c r="J3580" s="135"/>
      <c r="K3580" s="135"/>
      <c r="L3580" s="135"/>
      <c r="M3580" s="135"/>
      <c r="N3580" s="135"/>
      <c r="O3580" s="135"/>
      <c r="P3580" s="135"/>
      <c r="Q3580" s="135"/>
      <c r="R3580" s="135"/>
      <c r="S3580" s="135"/>
      <c r="T3580" s="135"/>
      <c r="U3580" s="135"/>
      <c r="V3580" s="135"/>
      <c r="W3580" s="135"/>
      <c r="X3580" s="135"/>
      <c r="Y3580" s="135"/>
      <c r="Z3580" s="135"/>
    </row>
    <row r="3581" spans="1:26" ht="12.75">
      <c r="A3581" s="136" t="s">
        <v>10</v>
      </c>
      <c r="B3581" s="136" t="s">
        <v>7868</v>
      </c>
      <c r="C3581" s="136" t="s">
        <v>7874</v>
      </c>
      <c r="D3581" s="136" t="s">
        <v>165</v>
      </c>
      <c r="E3581" s="136" t="s">
        <v>615</v>
      </c>
      <c r="F3581" s="136">
        <v>101</v>
      </c>
      <c r="G3581" s="137">
        <f t="shared" si="14"/>
        <v>5</v>
      </c>
      <c r="H3581" s="137"/>
      <c r="I3581" s="137"/>
      <c r="J3581" s="135"/>
      <c r="K3581" s="135"/>
      <c r="L3581" s="135"/>
      <c r="M3581" s="135"/>
      <c r="N3581" s="135"/>
      <c r="O3581" s="135"/>
      <c r="P3581" s="135"/>
      <c r="Q3581" s="135"/>
      <c r="R3581" s="135"/>
      <c r="S3581" s="135"/>
      <c r="T3581" s="135"/>
      <c r="U3581" s="135"/>
      <c r="V3581" s="135"/>
      <c r="W3581" s="135"/>
      <c r="X3581" s="135"/>
      <c r="Y3581" s="135"/>
      <c r="Z3581" s="135"/>
    </row>
    <row r="3582" spans="1:26" ht="12.75">
      <c r="A3582" s="136" t="s">
        <v>10</v>
      </c>
      <c r="B3582" s="136" t="s">
        <v>7868</v>
      </c>
      <c r="C3582" s="136" t="s">
        <v>7874</v>
      </c>
      <c r="D3582" s="136" t="s">
        <v>136</v>
      </c>
      <c r="E3582" s="136" t="s">
        <v>615</v>
      </c>
      <c r="F3582" s="136">
        <v>93</v>
      </c>
      <c r="G3582" s="137">
        <f t="shared" si="14"/>
        <v>6</v>
      </c>
      <c r="H3582" s="137"/>
      <c r="I3582" s="137"/>
      <c r="J3582" s="135"/>
      <c r="K3582" s="135"/>
      <c r="L3582" s="135"/>
      <c r="M3582" s="135"/>
      <c r="N3582" s="135"/>
      <c r="O3582" s="135"/>
      <c r="P3582" s="135"/>
      <c r="Q3582" s="135"/>
      <c r="R3582" s="135"/>
      <c r="S3582" s="135"/>
      <c r="T3582" s="135"/>
      <c r="U3582" s="135"/>
      <c r="V3582" s="135"/>
      <c r="W3582" s="135"/>
      <c r="X3582" s="135"/>
      <c r="Y3582" s="135"/>
      <c r="Z3582" s="135"/>
    </row>
    <row r="3583" spans="1:26" ht="12.75">
      <c r="A3583" s="136" t="s">
        <v>10</v>
      </c>
      <c r="B3583" s="136" t="s">
        <v>7868</v>
      </c>
      <c r="C3583" s="136" t="s">
        <v>7874</v>
      </c>
      <c r="D3583" s="136" t="s">
        <v>368</v>
      </c>
      <c r="E3583" s="136" t="s">
        <v>594</v>
      </c>
      <c r="F3583" s="136">
        <v>52</v>
      </c>
      <c r="G3583" s="137">
        <f t="shared" si="14"/>
        <v>7</v>
      </c>
      <c r="H3583" s="137"/>
      <c r="I3583" s="137"/>
      <c r="J3583" s="135"/>
      <c r="K3583" s="135"/>
      <c r="L3583" s="135"/>
      <c r="M3583" s="135"/>
      <c r="N3583" s="135"/>
      <c r="O3583" s="135"/>
      <c r="P3583" s="135"/>
      <c r="Q3583" s="135"/>
      <c r="R3583" s="135"/>
      <c r="S3583" s="135"/>
      <c r="T3583" s="135"/>
      <c r="U3583" s="135"/>
      <c r="V3583" s="135"/>
      <c r="W3583" s="135"/>
      <c r="X3583" s="135"/>
      <c r="Y3583" s="135"/>
      <c r="Z3583" s="135"/>
    </row>
    <row r="3584" spans="1:26" ht="12.75">
      <c r="A3584" s="136" t="s">
        <v>10</v>
      </c>
      <c r="B3584" s="136" t="s">
        <v>7868</v>
      </c>
      <c r="C3584" s="136" t="s">
        <v>7874</v>
      </c>
      <c r="D3584" s="136" t="s">
        <v>1626</v>
      </c>
      <c r="E3584" s="136" t="s">
        <v>594</v>
      </c>
      <c r="F3584" s="136">
        <v>33</v>
      </c>
      <c r="G3584" s="137">
        <f t="shared" si="14"/>
        <v>8</v>
      </c>
      <c r="H3584" s="137"/>
      <c r="I3584" s="137"/>
      <c r="J3584" s="135"/>
      <c r="K3584" s="135"/>
      <c r="L3584" s="135"/>
      <c r="M3584" s="135"/>
      <c r="N3584" s="135"/>
      <c r="O3584" s="135"/>
      <c r="P3584" s="135"/>
      <c r="Q3584" s="135"/>
      <c r="R3584" s="135"/>
      <c r="S3584" s="135"/>
      <c r="T3584" s="135"/>
      <c r="U3584" s="135"/>
      <c r="V3584" s="135"/>
      <c r="W3584" s="135"/>
      <c r="X3584" s="135"/>
      <c r="Y3584" s="135"/>
      <c r="Z3584" s="135"/>
    </row>
    <row r="3585" spans="1:26" ht="12.75">
      <c r="A3585" s="136" t="s">
        <v>10</v>
      </c>
      <c r="B3585" s="136" t="s">
        <v>7868</v>
      </c>
      <c r="C3585" s="136" t="s">
        <v>7874</v>
      </c>
      <c r="D3585" s="136" t="s">
        <v>1656</v>
      </c>
      <c r="E3585" s="136" t="s">
        <v>615</v>
      </c>
      <c r="F3585" s="136">
        <v>18</v>
      </c>
      <c r="G3585" s="137">
        <f t="shared" si="14"/>
        <v>9</v>
      </c>
      <c r="H3585" s="137"/>
      <c r="I3585" s="137"/>
      <c r="J3585" s="135"/>
      <c r="K3585" s="135"/>
      <c r="L3585" s="135"/>
      <c r="M3585" s="135"/>
      <c r="N3585" s="135"/>
      <c r="O3585" s="135"/>
      <c r="P3585" s="135"/>
      <c r="Q3585" s="135"/>
      <c r="R3585" s="135"/>
      <c r="S3585" s="135"/>
      <c r="T3585" s="135"/>
      <c r="U3585" s="135"/>
      <c r="V3585" s="135"/>
      <c r="W3585" s="135"/>
      <c r="X3585" s="135"/>
      <c r="Y3585" s="135"/>
      <c r="Z3585" s="135"/>
    </row>
    <row r="3586" spans="1:26" ht="12.75">
      <c r="A3586" s="136" t="s">
        <v>10</v>
      </c>
      <c r="B3586" s="136" t="s">
        <v>7868</v>
      </c>
      <c r="C3586" s="136" t="s">
        <v>7874</v>
      </c>
      <c r="D3586" s="136" t="s">
        <v>114</v>
      </c>
      <c r="E3586" s="136" t="s">
        <v>85</v>
      </c>
      <c r="F3586" s="136">
        <v>12</v>
      </c>
      <c r="G3586" s="137">
        <f t="shared" si="14"/>
        <v>10</v>
      </c>
      <c r="H3586" s="137"/>
      <c r="I3586" s="137"/>
      <c r="J3586" s="135"/>
      <c r="K3586" s="135"/>
      <c r="L3586" s="135"/>
      <c r="M3586" s="135"/>
      <c r="N3586" s="135"/>
      <c r="O3586" s="135"/>
      <c r="P3586" s="135"/>
      <c r="Q3586" s="135"/>
      <c r="R3586" s="135"/>
      <c r="S3586" s="135"/>
      <c r="T3586" s="135"/>
      <c r="U3586" s="135"/>
      <c r="V3586" s="135"/>
      <c r="W3586" s="135"/>
      <c r="X3586" s="135"/>
      <c r="Y3586" s="135"/>
      <c r="Z3586" s="135"/>
    </row>
    <row r="3587" spans="1:26" ht="12.75">
      <c r="A3587" s="136" t="s">
        <v>10</v>
      </c>
      <c r="B3587" s="136" t="s">
        <v>7868</v>
      </c>
      <c r="C3587" s="136" t="s">
        <v>7874</v>
      </c>
      <c r="D3587" s="136" t="s">
        <v>467</v>
      </c>
      <c r="E3587" s="136" t="s">
        <v>85</v>
      </c>
      <c r="F3587" s="136">
        <v>3</v>
      </c>
      <c r="G3587" s="137">
        <f t="shared" si="14"/>
        <v>11</v>
      </c>
      <c r="H3587" s="137"/>
      <c r="I3587" s="137"/>
      <c r="J3587" s="135"/>
      <c r="K3587" s="135"/>
      <c r="L3587" s="135"/>
      <c r="M3587" s="135"/>
      <c r="N3587" s="135"/>
      <c r="O3587" s="135"/>
      <c r="P3587" s="135"/>
      <c r="Q3587" s="135"/>
      <c r="R3587" s="135"/>
      <c r="S3587" s="135"/>
      <c r="T3587" s="135"/>
      <c r="U3587" s="135"/>
      <c r="V3587" s="135"/>
      <c r="W3587" s="135"/>
      <c r="X3587" s="135"/>
      <c r="Y3587" s="135"/>
      <c r="Z3587" s="135"/>
    </row>
    <row r="3588" spans="1:26" ht="12.75">
      <c r="A3588" s="136" t="s">
        <v>10</v>
      </c>
      <c r="B3588" s="136" t="s">
        <v>7868</v>
      </c>
      <c r="C3588" s="136" t="s">
        <v>819</v>
      </c>
      <c r="D3588" s="136" t="s">
        <v>139</v>
      </c>
      <c r="E3588" s="136" t="s">
        <v>594</v>
      </c>
      <c r="F3588" s="136">
        <v>3580</v>
      </c>
      <c r="G3588" s="137">
        <f t="shared" si="14"/>
        <v>1</v>
      </c>
      <c r="H3588" s="137"/>
      <c r="I3588" s="137"/>
      <c r="J3588" s="135"/>
      <c r="K3588" s="135"/>
      <c r="L3588" s="135"/>
      <c r="M3588" s="135"/>
      <c r="N3588" s="135"/>
      <c r="O3588" s="135"/>
      <c r="P3588" s="135"/>
      <c r="Q3588" s="135"/>
      <c r="R3588" s="135"/>
      <c r="S3588" s="135"/>
      <c r="T3588" s="135"/>
      <c r="U3588" s="135"/>
      <c r="V3588" s="135"/>
      <c r="W3588" s="135"/>
      <c r="X3588" s="135"/>
      <c r="Y3588" s="135"/>
      <c r="Z3588" s="135"/>
    </row>
    <row r="3589" spans="1:26" ht="12.75">
      <c r="A3589" s="136" t="s">
        <v>10</v>
      </c>
      <c r="B3589" s="136" t="s">
        <v>7868</v>
      </c>
      <c r="C3589" s="136" t="s">
        <v>819</v>
      </c>
      <c r="D3589" s="136" t="s">
        <v>1669</v>
      </c>
      <c r="E3589" s="136" t="s">
        <v>615</v>
      </c>
      <c r="F3589" s="136">
        <v>938</v>
      </c>
      <c r="G3589" s="137">
        <f t="shared" si="14"/>
        <v>4</v>
      </c>
      <c r="H3589" s="137"/>
      <c r="I3589" s="137"/>
      <c r="J3589" s="135"/>
      <c r="K3589" s="135"/>
      <c r="L3589" s="135"/>
      <c r="M3589" s="135"/>
      <c r="N3589" s="135"/>
      <c r="O3589" s="135"/>
      <c r="P3589" s="135"/>
      <c r="Q3589" s="135"/>
      <c r="R3589" s="135"/>
      <c r="S3589" s="135"/>
      <c r="T3589" s="135"/>
      <c r="U3589" s="135"/>
      <c r="V3589" s="135"/>
      <c r="W3589" s="135"/>
      <c r="X3589" s="135"/>
      <c r="Y3589" s="135"/>
      <c r="Z3589" s="135"/>
    </row>
    <row r="3590" spans="1:26" ht="12.75">
      <c r="A3590" s="136" t="s">
        <v>10</v>
      </c>
      <c r="B3590" s="136" t="s">
        <v>7868</v>
      </c>
      <c r="C3590" s="136" t="s">
        <v>819</v>
      </c>
      <c r="D3590" s="136" t="s">
        <v>7481</v>
      </c>
      <c r="E3590" s="136" t="s">
        <v>615</v>
      </c>
      <c r="F3590" s="136">
        <v>703</v>
      </c>
      <c r="G3590" s="137">
        <f t="shared" si="14"/>
        <v>5</v>
      </c>
      <c r="H3590" s="137"/>
      <c r="I3590" s="137"/>
      <c r="J3590" s="135"/>
      <c r="K3590" s="135"/>
      <c r="L3590" s="135"/>
      <c r="M3590" s="135"/>
      <c r="N3590" s="135"/>
      <c r="O3590" s="135"/>
      <c r="P3590" s="135"/>
      <c r="Q3590" s="135"/>
      <c r="R3590" s="135"/>
      <c r="S3590" s="135"/>
      <c r="T3590" s="135"/>
      <c r="U3590" s="135"/>
      <c r="V3590" s="135"/>
      <c r="W3590" s="135"/>
      <c r="X3590" s="135"/>
      <c r="Y3590" s="135"/>
      <c r="Z3590" s="135"/>
    </row>
    <row r="3591" spans="1:26" ht="12.75">
      <c r="A3591" s="136" t="s">
        <v>10</v>
      </c>
      <c r="B3591" s="136" t="s">
        <v>7868</v>
      </c>
      <c r="C3591" s="136" t="s">
        <v>819</v>
      </c>
      <c r="D3591" s="136" t="s">
        <v>437</v>
      </c>
      <c r="E3591" s="136" t="s">
        <v>594</v>
      </c>
      <c r="F3591" s="136">
        <v>392</v>
      </c>
      <c r="G3591" s="137">
        <f t="shared" si="14"/>
        <v>6</v>
      </c>
      <c r="H3591" s="137"/>
      <c r="I3591" s="137"/>
      <c r="J3591" s="135"/>
      <c r="K3591" s="135"/>
      <c r="L3591" s="135"/>
      <c r="M3591" s="135"/>
      <c r="N3591" s="135"/>
      <c r="O3591" s="135"/>
      <c r="P3591" s="135"/>
      <c r="Q3591" s="135"/>
      <c r="R3591" s="135"/>
      <c r="S3591" s="135"/>
      <c r="T3591" s="135"/>
      <c r="U3591" s="135"/>
      <c r="V3591" s="135"/>
      <c r="W3591" s="135"/>
      <c r="X3591" s="135"/>
      <c r="Y3591" s="135"/>
      <c r="Z3591" s="135"/>
    </row>
    <row r="3592" spans="1:26" ht="12.75">
      <c r="A3592" s="136" t="s">
        <v>10</v>
      </c>
      <c r="B3592" s="136" t="s">
        <v>7868</v>
      </c>
      <c r="C3592" s="136" t="s">
        <v>819</v>
      </c>
      <c r="D3592" s="136" t="s">
        <v>136</v>
      </c>
      <c r="E3592" s="136" t="s">
        <v>615</v>
      </c>
      <c r="F3592" s="136">
        <v>312</v>
      </c>
      <c r="G3592" s="137">
        <f t="shared" si="14"/>
        <v>8</v>
      </c>
      <c r="H3592" s="137"/>
      <c r="I3592" s="137"/>
      <c r="J3592" s="135"/>
      <c r="K3592" s="135"/>
      <c r="L3592" s="135"/>
      <c r="M3592" s="135"/>
      <c r="N3592" s="135"/>
      <c r="O3592" s="135"/>
      <c r="P3592" s="135"/>
      <c r="Q3592" s="135"/>
      <c r="R3592" s="135"/>
      <c r="S3592" s="135"/>
      <c r="T3592" s="135"/>
      <c r="U3592" s="135"/>
      <c r="V3592" s="135"/>
      <c r="W3592" s="135"/>
      <c r="X3592" s="135"/>
      <c r="Y3592" s="135"/>
      <c r="Z3592" s="135"/>
    </row>
    <row r="3593" spans="1:26" ht="12.75">
      <c r="A3593" s="136" t="s">
        <v>10</v>
      </c>
      <c r="B3593" s="136" t="s">
        <v>7868</v>
      </c>
      <c r="C3593" s="136" t="s">
        <v>819</v>
      </c>
      <c r="D3593" s="136" t="s">
        <v>165</v>
      </c>
      <c r="E3593" s="136" t="s">
        <v>615</v>
      </c>
      <c r="F3593" s="136">
        <v>302</v>
      </c>
      <c r="G3593" s="137">
        <f t="shared" si="14"/>
        <v>9</v>
      </c>
      <c r="H3593" s="137"/>
      <c r="I3593" s="137"/>
      <c r="J3593" s="135"/>
      <c r="K3593" s="135"/>
      <c r="L3593" s="135"/>
      <c r="M3593" s="135"/>
      <c r="N3593" s="135"/>
      <c r="O3593" s="135"/>
      <c r="P3593" s="135"/>
      <c r="Q3593" s="135"/>
      <c r="R3593" s="135"/>
      <c r="S3593" s="135"/>
      <c r="T3593" s="135"/>
      <c r="U3593" s="135"/>
      <c r="V3593" s="135"/>
      <c r="W3593" s="135"/>
      <c r="X3593" s="135"/>
      <c r="Y3593" s="135"/>
      <c r="Z3593" s="135"/>
    </row>
    <row r="3594" spans="1:26" ht="12.75">
      <c r="A3594" s="136" t="s">
        <v>10</v>
      </c>
      <c r="B3594" s="136" t="s">
        <v>7868</v>
      </c>
      <c r="C3594" s="136" t="s">
        <v>819</v>
      </c>
      <c r="D3594" s="136" t="s">
        <v>368</v>
      </c>
      <c r="E3594" s="136" t="s">
        <v>594</v>
      </c>
      <c r="F3594" s="136">
        <v>145</v>
      </c>
      <c r="G3594" s="137">
        <f t="shared" si="14"/>
        <v>12</v>
      </c>
      <c r="H3594" s="137"/>
      <c r="I3594" s="137"/>
      <c r="J3594" s="135"/>
      <c r="K3594" s="135"/>
      <c r="L3594" s="135"/>
      <c r="M3594" s="135"/>
      <c r="N3594" s="135"/>
      <c r="O3594" s="135"/>
      <c r="P3594" s="135"/>
      <c r="Q3594" s="135"/>
      <c r="R3594" s="135"/>
      <c r="S3594" s="135"/>
      <c r="T3594" s="135"/>
      <c r="U3594" s="135"/>
      <c r="V3594" s="135"/>
      <c r="W3594" s="135"/>
      <c r="X3594" s="135"/>
      <c r="Y3594" s="135"/>
      <c r="Z3594" s="135"/>
    </row>
    <row r="3595" spans="1:26" ht="12.75">
      <c r="A3595" s="136" t="s">
        <v>10</v>
      </c>
      <c r="B3595" s="136" t="s">
        <v>7868</v>
      </c>
      <c r="C3595" s="136" t="s">
        <v>819</v>
      </c>
      <c r="D3595" s="136" t="s">
        <v>1626</v>
      </c>
      <c r="E3595" s="136" t="s">
        <v>594</v>
      </c>
      <c r="F3595" s="136">
        <v>89</v>
      </c>
      <c r="G3595" s="137">
        <f t="shared" si="14"/>
        <v>13</v>
      </c>
      <c r="H3595" s="137"/>
      <c r="I3595" s="137"/>
      <c r="J3595" s="135"/>
      <c r="K3595" s="135"/>
      <c r="L3595" s="135"/>
      <c r="M3595" s="135"/>
      <c r="N3595" s="135"/>
      <c r="O3595" s="135"/>
      <c r="P3595" s="135"/>
      <c r="Q3595" s="135"/>
      <c r="R3595" s="135"/>
      <c r="S3595" s="135"/>
      <c r="T3595" s="135"/>
      <c r="U3595" s="135"/>
      <c r="V3595" s="135"/>
      <c r="W3595" s="135"/>
      <c r="X3595" s="135"/>
      <c r="Y3595" s="135"/>
      <c r="Z3595" s="135"/>
    </row>
    <row r="3596" spans="1:26" ht="12.75">
      <c r="A3596" s="136" t="s">
        <v>10</v>
      </c>
      <c r="B3596" s="136" t="s">
        <v>7868</v>
      </c>
      <c r="C3596" s="136" t="s">
        <v>819</v>
      </c>
      <c r="D3596" s="136" t="s">
        <v>114</v>
      </c>
      <c r="E3596" s="136" t="s">
        <v>85</v>
      </c>
      <c r="F3596" s="136">
        <v>77</v>
      </c>
      <c r="G3596" s="137">
        <f t="shared" si="14"/>
        <v>14</v>
      </c>
      <c r="H3596" s="137"/>
      <c r="I3596" s="137"/>
      <c r="J3596" s="135"/>
      <c r="K3596" s="135"/>
      <c r="L3596" s="135"/>
      <c r="M3596" s="135"/>
      <c r="N3596" s="135"/>
      <c r="O3596" s="135"/>
      <c r="P3596" s="135"/>
      <c r="Q3596" s="135"/>
      <c r="R3596" s="135"/>
      <c r="S3596" s="135"/>
      <c r="T3596" s="135"/>
      <c r="U3596" s="135"/>
      <c r="V3596" s="135"/>
      <c r="W3596" s="135"/>
      <c r="X3596" s="135"/>
      <c r="Y3596" s="135"/>
      <c r="Z3596" s="135"/>
    </row>
    <row r="3597" spans="1:26" ht="12.75">
      <c r="A3597" s="136" t="s">
        <v>10</v>
      </c>
      <c r="B3597" s="136" t="s">
        <v>7868</v>
      </c>
      <c r="C3597" s="136" t="s">
        <v>819</v>
      </c>
      <c r="D3597" s="136" t="s">
        <v>1656</v>
      </c>
      <c r="E3597" s="136" t="s">
        <v>615</v>
      </c>
      <c r="F3597" s="136">
        <v>76</v>
      </c>
      <c r="G3597" s="137">
        <f t="shared" si="14"/>
        <v>15</v>
      </c>
      <c r="H3597" s="137"/>
      <c r="I3597" s="137"/>
      <c r="J3597" s="135"/>
      <c r="K3597" s="135"/>
      <c r="L3597" s="135"/>
      <c r="M3597" s="135"/>
      <c r="N3597" s="135"/>
      <c r="O3597" s="135"/>
      <c r="P3597" s="135"/>
      <c r="Q3597" s="135"/>
      <c r="R3597" s="135"/>
      <c r="S3597" s="135"/>
      <c r="T3597" s="135"/>
      <c r="U3597" s="135"/>
      <c r="V3597" s="135"/>
      <c r="W3597" s="135"/>
      <c r="X3597" s="135"/>
      <c r="Y3597" s="135"/>
      <c r="Z3597" s="135"/>
    </row>
    <row r="3598" spans="1:26" ht="12.75">
      <c r="A3598" s="136" t="s">
        <v>10</v>
      </c>
      <c r="B3598" s="136" t="s">
        <v>7868</v>
      </c>
      <c r="C3598" s="136" t="s">
        <v>819</v>
      </c>
      <c r="D3598" s="136" t="s">
        <v>103</v>
      </c>
      <c r="E3598" s="136" t="s">
        <v>594</v>
      </c>
      <c r="F3598" s="136">
        <v>53</v>
      </c>
      <c r="G3598" s="137">
        <f t="shared" si="14"/>
        <v>16</v>
      </c>
      <c r="H3598" s="137"/>
      <c r="I3598" s="137"/>
      <c r="J3598" s="135"/>
      <c r="K3598" s="135"/>
      <c r="L3598" s="135"/>
      <c r="M3598" s="135"/>
      <c r="N3598" s="135"/>
      <c r="O3598" s="135"/>
      <c r="P3598" s="135"/>
      <c r="Q3598" s="135"/>
      <c r="R3598" s="135"/>
      <c r="S3598" s="135"/>
      <c r="T3598" s="135"/>
      <c r="U3598" s="135"/>
      <c r="V3598" s="135"/>
      <c r="W3598" s="135"/>
      <c r="X3598" s="135"/>
      <c r="Y3598" s="135"/>
      <c r="Z3598" s="135"/>
    </row>
    <row r="3599" spans="1:26" ht="12.75">
      <c r="A3599" s="136" t="s">
        <v>10</v>
      </c>
      <c r="B3599" s="136" t="s">
        <v>7868</v>
      </c>
      <c r="C3599" s="136" t="s">
        <v>819</v>
      </c>
      <c r="D3599" s="136" t="s">
        <v>467</v>
      </c>
      <c r="E3599" s="136" t="s">
        <v>85</v>
      </c>
      <c r="F3599" s="136">
        <v>18</v>
      </c>
      <c r="G3599" s="137">
        <f t="shared" si="14"/>
        <v>17</v>
      </c>
      <c r="H3599" s="137"/>
      <c r="I3599" s="137"/>
      <c r="J3599" s="135"/>
      <c r="K3599" s="135"/>
      <c r="L3599" s="135"/>
      <c r="M3599" s="135"/>
      <c r="N3599" s="135"/>
      <c r="O3599" s="135"/>
      <c r="P3599" s="135"/>
      <c r="Q3599" s="135"/>
      <c r="R3599" s="135"/>
      <c r="S3599" s="135"/>
      <c r="T3599" s="135"/>
      <c r="U3599" s="135"/>
      <c r="V3599" s="135"/>
      <c r="W3599" s="135"/>
      <c r="X3599" s="135"/>
      <c r="Y3599" s="135"/>
      <c r="Z3599" s="135"/>
    </row>
    <row r="3600" spans="1:26" ht="12.75">
      <c r="A3600" s="136" t="s">
        <v>10</v>
      </c>
      <c r="B3600" s="136" t="s">
        <v>7868</v>
      </c>
      <c r="C3600" s="136" t="s">
        <v>819</v>
      </c>
      <c r="D3600" s="136" t="s">
        <v>7838</v>
      </c>
      <c r="E3600" s="136" t="s">
        <v>86</v>
      </c>
      <c r="F3600" s="136">
        <v>18</v>
      </c>
      <c r="G3600" s="137">
        <f t="shared" si="14"/>
        <v>18</v>
      </c>
      <c r="H3600" s="137"/>
      <c r="I3600" s="137"/>
      <c r="J3600" s="135"/>
      <c r="K3600" s="135"/>
      <c r="L3600" s="135"/>
      <c r="M3600" s="135"/>
      <c r="N3600" s="135"/>
      <c r="O3600" s="135"/>
      <c r="P3600" s="135"/>
      <c r="Q3600" s="135"/>
      <c r="R3600" s="135"/>
      <c r="S3600" s="135"/>
      <c r="T3600" s="135"/>
      <c r="U3600" s="135"/>
      <c r="V3600" s="135"/>
      <c r="W3600" s="135"/>
      <c r="X3600" s="135"/>
      <c r="Y3600" s="135"/>
      <c r="Z3600" s="135"/>
    </row>
    <row r="3601" spans="1:26" ht="12.75">
      <c r="A3601" s="136" t="s">
        <v>10</v>
      </c>
      <c r="B3601" s="136" t="s">
        <v>7868</v>
      </c>
      <c r="C3601" s="136" t="s">
        <v>821</v>
      </c>
      <c r="D3601" s="136" t="s">
        <v>139</v>
      </c>
      <c r="E3601" s="136" t="s">
        <v>594</v>
      </c>
      <c r="F3601" s="136">
        <v>1577</v>
      </c>
      <c r="G3601" s="137">
        <f t="shared" si="14"/>
        <v>1</v>
      </c>
      <c r="H3601" s="137"/>
      <c r="I3601" s="137"/>
      <c r="J3601" s="135"/>
      <c r="K3601" s="135"/>
      <c r="L3601" s="135"/>
      <c r="M3601" s="135"/>
      <c r="N3601" s="135"/>
      <c r="O3601" s="135"/>
      <c r="P3601" s="135"/>
      <c r="Q3601" s="135"/>
      <c r="R3601" s="135"/>
      <c r="S3601" s="135"/>
      <c r="T3601" s="135"/>
      <c r="U3601" s="135"/>
      <c r="V3601" s="135"/>
      <c r="W3601" s="135"/>
      <c r="X3601" s="135"/>
      <c r="Y3601" s="135"/>
      <c r="Z3601" s="135"/>
    </row>
    <row r="3602" spans="1:26" ht="12.75">
      <c r="A3602" s="136" t="s">
        <v>10</v>
      </c>
      <c r="B3602" s="136" t="s">
        <v>7868</v>
      </c>
      <c r="C3602" s="136" t="s">
        <v>821</v>
      </c>
      <c r="D3602" s="136" t="s">
        <v>1669</v>
      </c>
      <c r="E3602" s="136" t="s">
        <v>615</v>
      </c>
      <c r="F3602" s="136">
        <v>362</v>
      </c>
      <c r="G3602" s="137">
        <f t="shared" si="14"/>
        <v>2</v>
      </c>
      <c r="H3602" s="137"/>
      <c r="I3602" s="137"/>
      <c r="J3602" s="135"/>
      <c r="K3602" s="135"/>
      <c r="L3602" s="135"/>
      <c r="M3602" s="135"/>
      <c r="N3602" s="135"/>
      <c r="O3602" s="135"/>
      <c r="P3602" s="135"/>
      <c r="Q3602" s="135"/>
      <c r="R3602" s="135"/>
      <c r="S3602" s="135"/>
      <c r="T3602" s="135"/>
      <c r="U3602" s="135"/>
      <c r="V3602" s="135"/>
      <c r="W3602" s="135"/>
      <c r="X3602" s="135"/>
      <c r="Y3602" s="135"/>
      <c r="Z3602" s="135"/>
    </row>
    <row r="3603" spans="1:26" ht="12.75">
      <c r="A3603" s="136" t="s">
        <v>10</v>
      </c>
      <c r="B3603" s="136" t="s">
        <v>7868</v>
      </c>
      <c r="C3603" s="136" t="s">
        <v>821</v>
      </c>
      <c r="D3603" s="136" t="s">
        <v>7481</v>
      </c>
      <c r="E3603" s="136" t="s">
        <v>615</v>
      </c>
      <c r="F3603" s="136">
        <v>347</v>
      </c>
      <c r="G3603" s="137">
        <f t="shared" si="14"/>
        <v>3</v>
      </c>
      <c r="H3603" s="137"/>
      <c r="I3603" s="137"/>
      <c r="J3603" s="135"/>
      <c r="K3603" s="135"/>
      <c r="L3603" s="135"/>
      <c r="M3603" s="135"/>
      <c r="N3603" s="135"/>
      <c r="O3603" s="135"/>
      <c r="P3603" s="135"/>
      <c r="Q3603" s="135"/>
      <c r="R3603" s="135"/>
      <c r="S3603" s="135"/>
      <c r="T3603" s="135"/>
      <c r="U3603" s="135"/>
      <c r="V3603" s="135"/>
      <c r="W3603" s="135"/>
      <c r="X3603" s="135"/>
      <c r="Y3603" s="135"/>
      <c r="Z3603" s="135"/>
    </row>
    <row r="3604" spans="1:26" ht="12.75">
      <c r="A3604" s="136" t="s">
        <v>10</v>
      </c>
      <c r="B3604" s="136" t="s">
        <v>7868</v>
      </c>
      <c r="C3604" s="136" t="s">
        <v>821</v>
      </c>
      <c r="D3604" s="136" t="s">
        <v>136</v>
      </c>
      <c r="E3604" s="136" t="s">
        <v>615</v>
      </c>
      <c r="F3604" s="136">
        <v>184</v>
      </c>
      <c r="G3604" s="137">
        <f t="shared" si="14"/>
        <v>4</v>
      </c>
      <c r="H3604" s="137"/>
      <c r="I3604" s="137"/>
      <c r="J3604" s="135"/>
      <c r="K3604" s="135"/>
      <c r="L3604" s="135"/>
      <c r="M3604" s="135"/>
      <c r="N3604" s="135"/>
      <c r="O3604" s="135"/>
      <c r="P3604" s="135"/>
      <c r="Q3604" s="135"/>
      <c r="R3604" s="135"/>
      <c r="S3604" s="135"/>
      <c r="T3604" s="135"/>
      <c r="U3604" s="135"/>
      <c r="V3604" s="135"/>
      <c r="W3604" s="135"/>
      <c r="X3604" s="135"/>
      <c r="Y3604" s="135"/>
      <c r="Z3604" s="135"/>
    </row>
    <row r="3605" spans="1:26" ht="12.75">
      <c r="A3605" s="136" t="s">
        <v>10</v>
      </c>
      <c r="B3605" s="136" t="s">
        <v>7868</v>
      </c>
      <c r="C3605" s="136" t="s">
        <v>821</v>
      </c>
      <c r="D3605" s="136" t="s">
        <v>165</v>
      </c>
      <c r="E3605" s="136" t="s">
        <v>615</v>
      </c>
      <c r="F3605" s="136">
        <v>176</v>
      </c>
      <c r="G3605" s="137">
        <f t="shared" si="14"/>
        <v>5</v>
      </c>
      <c r="H3605" s="137"/>
      <c r="I3605" s="137"/>
      <c r="J3605" s="135"/>
      <c r="K3605" s="135"/>
      <c r="L3605" s="135"/>
      <c r="M3605" s="135"/>
      <c r="N3605" s="135"/>
      <c r="O3605" s="135"/>
      <c r="P3605" s="135"/>
      <c r="Q3605" s="135"/>
      <c r="R3605" s="135"/>
      <c r="S3605" s="135"/>
      <c r="T3605" s="135"/>
      <c r="U3605" s="135"/>
      <c r="V3605" s="135"/>
      <c r="W3605" s="135"/>
      <c r="X3605" s="135"/>
      <c r="Y3605" s="135"/>
      <c r="Z3605" s="135"/>
    </row>
    <row r="3606" spans="1:26" ht="12.75">
      <c r="A3606" s="136" t="s">
        <v>10</v>
      </c>
      <c r="B3606" s="136" t="s">
        <v>7868</v>
      </c>
      <c r="C3606" s="136" t="s">
        <v>821</v>
      </c>
      <c r="D3606" s="136" t="s">
        <v>437</v>
      </c>
      <c r="E3606" s="136" t="s">
        <v>594</v>
      </c>
      <c r="F3606" s="136">
        <v>129</v>
      </c>
      <c r="G3606" s="137">
        <f t="shared" si="14"/>
        <v>6</v>
      </c>
      <c r="H3606" s="137"/>
      <c r="I3606" s="137"/>
      <c r="J3606" s="135"/>
      <c r="K3606" s="135"/>
      <c r="L3606" s="135"/>
      <c r="M3606" s="135"/>
      <c r="N3606" s="135"/>
      <c r="O3606" s="135"/>
      <c r="P3606" s="135"/>
      <c r="Q3606" s="135"/>
      <c r="R3606" s="135"/>
      <c r="S3606" s="135"/>
      <c r="T3606" s="135"/>
      <c r="U3606" s="135"/>
      <c r="V3606" s="135"/>
      <c r="W3606" s="135"/>
      <c r="X3606" s="135"/>
      <c r="Y3606" s="135"/>
      <c r="Z3606" s="135"/>
    </row>
    <row r="3607" spans="1:26" ht="12.75">
      <c r="A3607" s="136" t="s">
        <v>10</v>
      </c>
      <c r="B3607" s="136" t="s">
        <v>7868</v>
      </c>
      <c r="C3607" s="136" t="s">
        <v>821</v>
      </c>
      <c r="D3607" s="136" t="s">
        <v>368</v>
      </c>
      <c r="E3607" s="136" t="s">
        <v>594</v>
      </c>
      <c r="F3607" s="136">
        <v>79</v>
      </c>
      <c r="G3607" s="137">
        <f t="shared" si="14"/>
        <v>7</v>
      </c>
      <c r="H3607" s="137"/>
      <c r="I3607" s="137"/>
      <c r="J3607" s="135"/>
      <c r="K3607" s="135"/>
      <c r="L3607" s="135"/>
      <c r="M3607" s="135"/>
      <c r="N3607" s="135"/>
      <c r="O3607" s="135"/>
      <c r="P3607" s="135"/>
      <c r="Q3607" s="135"/>
      <c r="R3607" s="135"/>
      <c r="S3607" s="135"/>
      <c r="T3607" s="135"/>
      <c r="U3607" s="135"/>
      <c r="V3607" s="135"/>
      <c r="W3607" s="135"/>
      <c r="X3607" s="135"/>
      <c r="Y3607" s="135"/>
      <c r="Z3607" s="135"/>
    </row>
    <row r="3608" spans="1:26" ht="12.75">
      <c r="A3608" s="136" t="s">
        <v>10</v>
      </c>
      <c r="B3608" s="136" t="s">
        <v>7868</v>
      </c>
      <c r="C3608" s="136" t="s">
        <v>821</v>
      </c>
      <c r="D3608" s="136" t="s">
        <v>1626</v>
      </c>
      <c r="E3608" s="136" t="s">
        <v>594</v>
      </c>
      <c r="F3608" s="136">
        <v>39</v>
      </c>
      <c r="G3608" s="137">
        <f t="shared" si="14"/>
        <v>8</v>
      </c>
      <c r="H3608" s="137"/>
      <c r="I3608" s="137"/>
      <c r="J3608" s="135"/>
      <c r="K3608" s="135"/>
      <c r="L3608" s="135"/>
      <c r="M3608" s="135"/>
      <c r="N3608" s="135"/>
      <c r="O3608" s="135"/>
      <c r="P3608" s="135"/>
      <c r="Q3608" s="135"/>
      <c r="R3608" s="135"/>
      <c r="S3608" s="135"/>
      <c r="T3608" s="135"/>
      <c r="U3608" s="135"/>
      <c r="V3608" s="135"/>
      <c r="W3608" s="135"/>
      <c r="X3608" s="135"/>
      <c r="Y3608" s="135"/>
      <c r="Z3608" s="135"/>
    </row>
    <row r="3609" spans="1:26" ht="12.75">
      <c r="A3609" s="136" t="s">
        <v>10</v>
      </c>
      <c r="B3609" s="136" t="s">
        <v>7868</v>
      </c>
      <c r="C3609" s="136" t="s">
        <v>821</v>
      </c>
      <c r="D3609" s="136" t="s">
        <v>114</v>
      </c>
      <c r="E3609" s="136" t="s">
        <v>85</v>
      </c>
      <c r="F3609" s="136">
        <v>38</v>
      </c>
      <c r="G3609" s="137">
        <f t="shared" si="14"/>
        <v>9</v>
      </c>
      <c r="H3609" s="137"/>
      <c r="I3609" s="137"/>
      <c r="J3609" s="135"/>
      <c r="K3609" s="135"/>
      <c r="L3609" s="135"/>
      <c r="M3609" s="135"/>
      <c r="N3609" s="135"/>
      <c r="O3609" s="135"/>
      <c r="P3609" s="135"/>
      <c r="Q3609" s="135"/>
      <c r="R3609" s="135"/>
      <c r="S3609" s="135"/>
      <c r="T3609" s="135"/>
      <c r="U3609" s="135"/>
      <c r="V3609" s="135"/>
      <c r="W3609" s="135"/>
      <c r="X3609" s="135"/>
      <c r="Y3609" s="135"/>
      <c r="Z3609" s="135"/>
    </row>
    <row r="3610" spans="1:26" ht="12.75">
      <c r="A3610" s="136" t="s">
        <v>10</v>
      </c>
      <c r="B3610" s="136" t="s">
        <v>7868</v>
      </c>
      <c r="C3610" s="136" t="s">
        <v>821</v>
      </c>
      <c r="D3610" s="136" t="s">
        <v>103</v>
      </c>
      <c r="E3610" s="136" t="s">
        <v>594</v>
      </c>
      <c r="F3610" s="136">
        <v>22</v>
      </c>
      <c r="G3610" s="137">
        <f t="shared" si="14"/>
        <v>10</v>
      </c>
      <c r="H3610" s="137"/>
      <c r="I3610" s="137"/>
      <c r="J3610" s="135"/>
      <c r="K3610" s="135"/>
      <c r="L3610" s="135"/>
      <c r="M3610" s="135"/>
      <c r="N3610" s="135"/>
      <c r="O3610" s="135"/>
      <c r="P3610" s="135"/>
      <c r="Q3610" s="135"/>
      <c r="R3610" s="135"/>
      <c r="S3610" s="135"/>
      <c r="T3610" s="135"/>
      <c r="U3610" s="135"/>
      <c r="V3610" s="135"/>
      <c r="W3610" s="135"/>
      <c r="X3610" s="135"/>
      <c r="Y3610" s="135"/>
      <c r="Z3610" s="135"/>
    </row>
    <row r="3611" spans="1:26" ht="12.75">
      <c r="A3611" s="136" t="s">
        <v>10</v>
      </c>
      <c r="B3611" s="136" t="s">
        <v>7868</v>
      </c>
      <c r="C3611" s="136" t="s">
        <v>821</v>
      </c>
      <c r="D3611" s="136" t="s">
        <v>1656</v>
      </c>
      <c r="E3611" s="136" t="s">
        <v>615</v>
      </c>
      <c r="F3611" s="136">
        <v>20</v>
      </c>
      <c r="G3611" s="137">
        <f t="shared" si="14"/>
        <v>11</v>
      </c>
      <c r="H3611" s="137"/>
      <c r="I3611" s="137"/>
      <c r="J3611" s="135"/>
      <c r="K3611" s="135"/>
      <c r="L3611" s="135"/>
      <c r="M3611" s="135"/>
      <c r="N3611" s="135"/>
      <c r="O3611" s="135"/>
      <c r="P3611" s="135"/>
      <c r="Q3611" s="135"/>
      <c r="R3611" s="135"/>
      <c r="S3611" s="135"/>
      <c r="T3611" s="135"/>
      <c r="U3611" s="135"/>
      <c r="V3611" s="135"/>
      <c r="W3611" s="135"/>
      <c r="X3611" s="135"/>
      <c r="Y3611" s="135"/>
      <c r="Z3611" s="135"/>
    </row>
    <row r="3612" spans="1:26" ht="12.75">
      <c r="A3612" s="136" t="s">
        <v>10</v>
      </c>
      <c r="B3612" s="136" t="s">
        <v>7868</v>
      </c>
      <c r="C3612" s="136" t="s">
        <v>821</v>
      </c>
      <c r="D3612" s="136" t="s">
        <v>467</v>
      </c>
      <c r="E3612" s="136" t="s">
        <v>85</v>
      </c>
      <c r="F3612" s="136">
        <v>14</v>
      </c>
      <c r="G3612" s="137">
        <f t="shared" si="14"/>
        <v>12</v>
      </c>
      <c r="H3612" s="137"/>
      <c r="I3612" s="137"/>
      <c r="J3612" s="135"/>
      <c r="K3612" s="135"/>
      <c r="L3612" s="135"/>
      <c r="M3612" s="135"/>
      <c r="N3612" s="135"/>
      <c r="O3612" s="135"/>
      <c r="P3612" s="135"/>
      <c r="Q3612" s="135"/>
      <c r="R3612" s="135"/>
      <c r="S3612" s="135"/>
      <c r="T3612" s="135"/>
      <c r="U3612" s="135"/>
      <c r="V3612" s="135"/>
      <c r="W3612" s="135"/>
      <c r="X3612" s="135"/>
      <c r="Y3612" s="135"/>
      <c r="Z3612" s="135"/>
    </row>
    <row r="3613" spans="1:26" ht="12.75">
      <c r="A3613" s="136" t="s">
        <v>10</v>
      </c>
      <c r="B3613" s="136" t="s">
        <v>7868</v>
      </c>
      <c r="C3613" s="136" t="s">
        <v>821</v>
      </c>
      <c r="D3613" s="136" t="s">
        <v>7838</v>
      </c>
      <c r="E3613" s="136" t="s">
        <v>86</v>
      </c>
      <c r="F3613" s="136">
        <v>7</v>
      </c>
      <c r="G3613" s="137">
        <f t="shared" si="14"/>
        <v>13</v>
      </c>
      <c r="H3613" s="137"/>
      <c r="I3613" s="137"/>
      <c r="J3613" s="135"/>
      <c r="K3613" s="135"/>
      <c r="L3613" s="135"/>
      <c r="M3613" s="135"/>
      <c r="N3613" s="135"/>
      <c r="O3613" s="135"/>
      <c r="P3613" s="135"/>
      <c r="Q3613" s="135"/>
      <c r="R3613" s="135"/>
      <c r="S3613" s="135"/>
      <c r="T3613" s="135"/>
      <c r="U3613" s="135"/>
      <c r="V3613" s="135"/>
      <c r="W3613" s="135"/>
      <c r="X3613" s="135"/>
      <c r="Y3613" s="135"/>
      <c r="Z3613" s="135"/>
    </row>
    <row r="3614" spans="1:26" ht="12.75">
      <c r="A3614" s="136" t="s">
        <v>10</v>
      </c>
      <c r="B3614" s="136" t="s">
        <v>7868</v>
      </c>
      <c r="C3614" s="136" t="s">
        <v>7875</v>
      </c>
      <c r="D3614" s="136" t="s">
        <v>139</v>
      </c>
      <c r="E3614" s="136" t="s">
        <v>594</v>
      </c>
      <c r="F3614" s="136">
        <v>484</v>
      </c>
      <c r="G3614" s="137">
        <f t="shared" si="14"/>
        <v>1</v>
      </c>
      <c r="H3614" s="137"/>
      <c r="I3614" s="137"/>
      <c r="J3614" s="135"/>
      <c r="K3614" s="135"/>
      <c r="L3614" s="135"/>
      <c r="M3614" s="135"/>
      <c r="N3614" s="135"/>
      <c r="O3614" s="135"/>
      <c r="P3614" s="135"/>
      <c r="Q3614" s="135"/>
      <c r="R3614" s="135"/>
      <c r="S3614" s="135"/>
      <c r="T3614" s="135"/>
      <c r="U3614" s="135"/>
      <c r="V3614" s="135"/>
      <c r="W3614" s="135"/>
      <c r="X3614" s="135"/>
      <c r="Y3614" s="135"/>
      <c r="Z3614" s="135"/>
    </row>
    <row r="3615" spans="1:26" ht="12.75">
      <c r="A3615" s="136" t="s">
        <v>10</v>
      </c>
      <c r="B3615" s="136" t="s">
        <v>7868</v>
      </c>
      <c r="C3615" s="136" t="s">
        <v>7875</v>
      </c>
      <c r="D3615" s="136" t="s">
        <v>1669</v>
      </c>
      <c r="E3615" s="136" t="s">
        <v>615</v>
      </c>
      <c r="F3615" s="136">
        <v>110</v>
      </c>
      <c r="G3615" s="137">
        <f t="shared" si="14"/>
        <v>2</v>
      </c>
      <c r="H3615" s="137"/>
      <c r="I3615" s="137"/>
      <c r="J3615" s="135"/>
      <c r="K3615" s="135"/>
      <c r="L3615" s="135"/>
      <c r="M3615" s="135"/>
      <c r="N3615" s="135"/>
      <c r="O3615" s="135"/>
      <c r="P3615" s="135"/>
      <c r="Q3615" s="135"/>
      <c r="R3615" s="135"/>
      <c r="S3615" s="135"/>
      <c r="T3615" s="135"/>
      <c r="U3615" s="135"/>
      <c r="V3615" s="135"/>
      <c r="W3615" s="135"/>
      <c r="X3615" s="135"/>
      <c r="Y3615" s="135"/>
      <c r="Z3615" s="135"/>
    </row>
    <row r="3616" spans="1:26" ht="12.75">
      <c r="A3616" s="136" t="s">
        <v>10</v>
      </c>
      <c r="B3616" s="136" t="s">
        <v>7868</v>
      </c>
      <c r="C3616" s="136" t="s">
        <v>7875</v>
      </c>
      <c r="D3616" s="136" t="s">
        <v>7481</v>
      </c>
      <c r="E3616" s="136" t="s">
        <v>615</v>
      </c>
      <c r="F3616" s="136">
        <v>89</v>
      </c>
      <c r="G3616" s="137">
        <f t="shared" si="14"/>
        <v>3</v>
      </c>
      <c r="H3616" s="137"/>
      <c r="I3616" s="137"/>
      <c r="J3616" s="135"/>
      <c r="K3616" s="135"/>
      <c r="L3616" s="135"/>
      <c r="M3616" s="135"/>
      <c r="N3616" s="135"/>
      <c r="O3616" s="135"/>
      <c r="P3616" s="135"/>
      <c r="Q3616" s="135"/>
      <c r="R3616" s="135"/>
      <c r="S3616" s="135"/>
      <c r="T3616" s="135"/>
      <c r="U3616" s="135"/>
      <c r="V3616" s="135"/>
      <c r="W3616" s="135"/>
      <c r="X3616" s="135"/>
      <c r="Y3616" s="135"/>
      <c r="Z3616" s="135"/>
    </row>
    <row r="3617" spans="1:26" ht="12.75">
      <c r="A3617" s="136" t="s">
        <v>10</v>
      </c>
      <c r="B3617" s="136" t="s">
        <v>7868</v>
      </c>
      <c r="C3617" s="136" t="s">
        <v>7875</v>
      </c>
      <c r="D3617" s="136" t="s">
        <v>136</v>
      </c>
      <c r="E3617" s="136" t="s">
        <v>615</v>
      </c>
      <c r="F3617" s="136">
        <v>45</v>
      </c>
      <c r="G3617" s="137">
        <f t="shared" si="14"/>
        <v>4</v>
      </c>
      <c r="H3617" s="137"/>
      <c r="I3617" s="137"/>
      <c r="J3617" s="135"/>
      <c r="K3617" s="135"/>
      <c r="L3617" s="135"/>
      <c r="M3617" s="135"/>
      <c r="N3617" s="135"/>
      <c r="O3617" s="135"/>
      <c r="P3617" s="135"/>
      <c r="Q3617" s="135"/>
      <c r="R3617" s="135"/>
      <c r="S3617" s="135"/>
      <c r="T3617" s="135"/>
      <c r="U3617" s="135"/>
      <c r="V3617" s="135"/>
      <c r="W3617" s="135"/>
      <c r="X3617" s="135"/>
      <c r="Y3617" s="135"/>
      <c r="Z3617" s="135"/>
    </row>
    <row r="3618" spans="1:26" ht="12.75">
      <c r="A3618" s="136" t="s">
        <v>10</v>
      </c>
      <c r="B3618" s="136" t="s">
        <v>7868</v>
      </c>
      <c r="C3618" s="136" t="s">
        <v>7875</v>
      </c>
      <c r="D3618" s="136" t="s">
        <v>368</v>
      </c>
      <c r="E3618" s="136" t="s">
        <v>594</v>
      </c>
      <c r="F3618" s="136">
        <v>27</v>
      </c>
      <c r="G3618" s="137">
        <f t="shared" si="14"/>
        <v>5</v>
      </c>
      <c r="H3618" s="137"/>
      <c r="I3618" s="137"/>
      <c r="J3618" s="135"/>
      <c r="K3618" s="135"/>
      <c r="L3618" s="135"/>
      <c r="M3618" s="135"/>
      <c r="N3618" s="135"/>
      <c r="O3618" s="135"/>
      <c r="P3618" s="135"/>
      <c r="Q3618" s="135"/>
      <c r="R3618" s="135"/>
      <c r="S3618" s="135"/>
      <c r="T3618" s="135"/>
      <c r="U3618" s="135"/>
      <c r="V3618" s="135"/>
      <c r="W3618" s="135"/>
      <c r="X3618" s="135"/>
      <c r="Y3618" s="135"/>
      <c r="Z3618" s="135"/>
    </row>
    <row r="3619" spans="1:26" ht="12.75">
      <c r="A3619" s="136" t="s">
        <v>10</v>
      </c>
      <c r="B3619" s="136" t="s">
        <v>7868</v>
      </c>
      <c r="C3619" s="136" t="s">
        <v>7875</v>
      </c>
      <c r="D3619" s="136" t="s">
        <v>7857</v>
      </c>
      <c r="E3619" s="136" t="s">
        <v>615</v>
      </c>
      <c r="F3619" s="136">
        <v>14</v>
      </c>
      <c r="G3619" s="137">
        <f t="shared" si="14"/>
        <v>6</v>
      </c>
      <c r="H3619" s="137"/>
      <c r="I3619" s="137"/>
      <c r="J3619" s="135"/>
      <c r="K3619" s="135"/>
      <c r="L3619" s="135"/>
      <c r="M3619" s="135"/>
      <c r="N3619" s="135"/>
      <c r="O3619" s="135"/>
      <c r="P3619" s="135"/>
      <c r="Q3619" s="135"/>
      <c r="R3619" s="135"/>
      <c r="S3619" s="135"/>
      <c r="T3619" s="135"/>
      <c r="U3619" s="135"/>
      <c r="V3619" s="135"/>
      <c r="W3619" s="135"/>
      <c r="X3619" s="135"/>
      <c r="Y3619" s="135"/>
      <c r="Z3619" s="135"/>
    </row>
    <row r="3620" spans="1:26" ht="12.75">
      <c r="A3620" s="136" t="s">
        <v>10</v>
      </c>
      <c r="B3620" s="136" t="s">
        <v>7868</v>
      </c>
      <c r="C3620" s="136" t="s">
        <v>7875</v>
      </c>
      <c r="D3620" s="136" t="s">
        <v>1626</v>
      </c>
      <c r="E3620" s="136" t="s">
        <v>594</v>
      </c>
      <c r="F3620" s="136">
        <v>10</v>
      </c>
      <c r="G3620" s="137">
        <f t="shared" si="14"/>
        <v>7</v>
      </c>
      <c r="H3620" s="137"/>
      <c r="I3620" s="137"/>
      <c r="J3620" s="135"/>
      <c r="K3620" s="135"/>
      <c r="L3620" s="135"/>
      <c r="M3620" s="135"/>
      <c r="N3620" s="135"/>
      <c r="O3620" s="135"/>
      <c r="P3620" s="135"/>
      <c r="Q3620" s="135"/>
      <c r="R3620" s="135"/>
      <c r="S3620" s="135"/>
      <c r="T3620" s="135"/>
      <c r="U3620" s="135"/>
      <c r="V3620" s="135"/>
      <c r="W3620" s="135"/>
      <c r="X3620" s="135"/>
      <c r="Y3620" s="135"/>
      <c r="Z3620" s="135"/>
    </row>
    <row r="3621" spans="1:26" ht="12.75">
      <c r="A3621" s="136" t="s">
        <v>10</v>
      </c>
      <c r="B3621" s="136" t="s">
        <v>7876</v>
      </c>
      <c r="C3621" s="136" t="s">
        <v>7877</v>
      </c>
      <c r="D3621" s="136" t="s">
        <v>7878</v>
      </c>
      <c r="E3621" s="136" t="s">
        <v>85</v>
      </c>
      <c r="F3621" s="136">
        <v>755</v>
      </c>
      <c r="G3621" s="137">
        <f t="shared" si="14"/>
        <v>1</v>
      </c>
      <c r="H3621" s="137"/>
      <c r="I3621" s="137"/>
      <c r="J3621" s="135"/>
      <c r="K3621" s="135"/>
      <c r="L3621" s="135"/>
      <c r="M3621" s="135"/>
      <c r="N3621" s="135"/>
      <c r="O3621" s="135"/>
      <c r="P3621" s="135"/>
      <c r="Q3621" s="135"/>
      <c r="R3621" s="135"/>
      <c r="S3621" s="135"/>
      <c r="T3621" s="135"/>
      <c r="U3621" s="135"/>
      <c r="V3621" s="135"/>
      <c r="W3621" s="135"/>
      <c r="X3621" s="135"/>
      <c r="Y3621" s="135"/>
      <c r="Z3621" s="135"/>
    </row>
    <row r="3622" spans="1:26" ht="12.75">
      <c r="A3622" s="136" t="s">
        <v>10</v>
      </c>
      <c r="B3622" s="136" t="s">
        <v>7876</v>
      </c>
      <c r="C3622" s="136" t="s">
        <v>7877</v>
      </c>
      <c r="D3622" s="136" t="s">
        <v>7879</v>
      </c>
      <c r="E3622" s="136" t="s">
        <v>594</v>
      </c>
      <c r="F3622" s="136">
        <v>420</v>
      </c>
      <c r="G3622" s="137">
        <f t="shared" si="14"/>
        <v>3</v>
      </c>
      <c r="H3622" s="137"/>
      <c r="I3622" s="137"/>
      <c r="J3622" s="135"/>
      <c r="K3622" s="135"/>
      <c r="L3622" s="135"/>
      <c r="M3622" s="135"/>
      <c r="N3622" s="135"/>
      <c r="O3622" s="135"/>
      <c r="P3622" s="135"/>
      <c r="Q3622" s="135"/>
      <c r="R3622" s="135"/>
      <c r="S3622" s="135"/>
      <c r="T3622" s="135"/>
      <c r="U3622" s="135"/>
      <c r="V3622" s="135"/>
      <c r="W3622" s="135"/>
      <c r="X3622" s="135"/>
      <c r="Y3622" s="135"/>
      <c r="Z3622" s="135"/>
    </row>
    <row r="3623" spans="1:26" ht="12.75">
      <c r="A3623" s="136" t="s">
        <v>10</v>
      </c>
      <c r="B3623" s="136" t="s">
        <v>7876</v>
      </c>
      <c r="C3623" s="136" t="s">
        <v>7877</v>
      </c>
      <c r="D3623" s="136" t="s">
        <v>7481</v>
      </c>
      <c r="E3623" s="136" t="s">
        <v>615</v>
      </c>
      <c r="F3623" s="136">
        <v>188</v>
      </c>
      <c r="G3623" s="137">
        <f t="shared" si="14"/>
        <v>6</v>
      </c>
      <c r="H3623" s="137"/>
      <c r="I3623" s="137"/>
      <c r="J3623" s="135"/>
      <c r="K3623" s="135"/>
      <c r="L3623" s="135"/>
      <c r="M3623" s="135"/>
      <c r="N3623" s="135"/>
      <c r="O3623" s="135"/>
      <c r="P3623" s="135"/>
      <c r="Q3623" s="135"/>
      <c r="R3623" s="135"/>
      <c r="S3623" s="135"/>
      <c r="T3623" s="135"/>
      <c r="U3623" s="135"/>
      <c r="V3623" s="135"/>
      <c r="W3623" s="135"/>
      <c r="X3623" s="135"/>
      <c r="Y3623" s="135"/>
      <c r="Z3623" s="135"/>
    </row>
    <row r="3624" spans="1:26" ht="12.75">
      <c r="A3624" s="136" t="s">
        <v>10</v>
      </c>
      <c r="B3624" s="136" t="s">
        <v>7876</v>
      </c>
      <c r="C3624" s="136" t="s">
        <v>7877</v>
      </c>
      <c r="D3624" s="136" t="s">
        <v>7880</v>
      </c>
      <c r="E3624" s="136" t="s">
        <v>615</v>
      </c>
      <c r="F3624" s="136">
        <v>75</v>
      </c>
      <c r="G3624" s="137">
        <f t="shared" si="14"/>
        <v>8</v>
      </c>
      <c r="H3624" s="137"/>
      <c r="I3624" s="137"/>
      <c r="J3624" s="135"/>
      <c r="K3624" s="135"/>
      <c r="L3624" s="135"/>
      <c r="M3624" s="135"/>
      <c r="N3624" s="135"/>
      <c r="O3624" s="135"/>
      <c r="P3624" s="135"/>
      <c r="Q3624" s="135"/>
      <c r="R3624" s="135"/>
      <c r="S3624" s="135"/>
      <c r="T3624" s="135"/>
      <c r="U3624" s="135"/>
      <c r="V3624" s="135"/>
      <c r="W3624" s="135"/>
      <c r="X3624" s="135"/>
      <c r="Y3624" s="135"/>
      <c r="Z3624" s="135"/>
    </row>
    <row r="3625" spans="1:26" ht="12.75">
      <c r="A3625" s="136" t="s">
        <v>10</v>
      </c>
      <c r="B3625" s="136" t="s">
        <v>7876</v>
      </c>
      <c r="C3625" s="136" t="s">
        <v>7877</v>
      </c>
      <c r="D3625" s="136" t="s">
        <v>7881</v>
      </c>
      <c r="E3625" s="136" t="s">
        <v>594</v>
      </c>
      <c r="F3625" s="136">
        <v>65</v>
      </c>
      <c r="G3625" s="137">
        <f t="shared" si="14"/>
        <v>9</v>
      </c>
      <c r="H3625" s="137"/>
      <c r="I3625" s="137"/>
      <c r="J3625" s="135"/>
      <c r="K3625" s="135"/>
      <c r="L3625" s="135"/>
      <c r="M3625" s="135"/>
      <c r="N3625" s="135"/>
      <c r="O3625" s="135"/>
      <c r="P3625" s="135"/>
      <c r="Q3625" s="135"/>
      <c r="R3625" s="135"/>
      <c r="S3625" s="135"/>
      <c r="T3625" s="135"/>
      <c r="U3625" s="135"/>
      <c r="V3625" s="135"/>
      <c r="W3625" s="135"/>
      <c r="X3625" s="135"/>
      <c r="Y3625" s="135"/>
      <c r="Z3625" s="135"/>
    </row>
    <row r="3626" spans="1:26" ht="12.75">
      <c r="A3626" s="136" t="s">
        <v>10</v>
      </c>
      <c r="B3626" s="136" t="s">
        <v>7876</v>
      </c>
      <c r="C3626" s="136" t="s">
        <v>7882</v>
      </c>
      <c r="D3626" s="136" t="s">
        <v>7879</v>
      </c>
      <c r="E3626" s="136" t="s">
        <v>594</v>
      </c>
      <c r="F3626" s="136">
        <v>544</v>
      </c>
      <c r="G3626" s="137">
        <f t="shared" si="14"/>
        <v>2</v>
      </c>
      <c r="H3626" s="137"/>
      <c r="I3626" s="137"/>
      <c r="J3626" s="135"/>
      <c r="K3626" s="135"/>
      <c r="L3626" s="135"/>
      <c r="M3626" s="135"/>
      <c r="N3626" s="135"/>
      <c r="O3626" s="135"/>
      <c r="P3626" s="135"/>
      <c r="Q3626" s="135"/>
      <c r="R3626" s="135"/>
      <c r="S3626" s="135"/>
      <c r="T3626" s="135"/>
      <c r="U3626" s="135"/>
      <c r="V3626" s="135"/>
      <c r="W3626" s="135"/>
      <c r="X3626" s="135"/>
      <c r="Y3626" s="135"/>
      <c r="Z3626" s="135"/>
    </row>
    <row r="3627" spans="1:26" ht="12.75">
      <c r="A3627" s="136" t="s">
        <v>10</v>
      </c>
      <c r="B3627" s="136" t="s">
        <v>7876</v>
      </c>
      <c r="C3627" s="136" t="s">
        <v>7882</v>
      </c>
      <c r="D3627" s="136" t="s">
        <v>106</v>
      </c>
      <c r="E3627" s="136" t="s">
        <v>615</v>
      </c>
      <c r="F3627" s="136">
        <v>236</v>
      </c>
      <c r="G3627" s="137">
        <f t="shared" si="14"/>
        <v>3</v>
      </c>
      <c r="H3627" s="137"/>
      <c r="I3627" s="137"/>
      <c r="J3627" s="135"/>
      <c r="K3627" s="135"/>
      <c r="L3627" s="135"/>
      <c r="M3627" s="135"/>
      <c r="N3627" s="135"/>
      <c r="O3627" s="135"/>
      <c r="P3627" s="135"/>
      <c r="Q3627" s="135"/>
      <c r="R3627" s="135"/>
      <c r="S3627" s="135"/>
      <c r="T3627" s="135"/>
      <c r="U3627" s="135"/>
      <c r="V3627" s="135"/>
      <c r="W3627" s="135"/>
      <c r="X3627" s="135"/>
      <c r="Y3627" s="135"/>
      <c r="Z3627" s="135"/>
    </row>
    <row r="3628" spans="1:26" ht="12.75">
      <c r="A3628" s="136" t="s">
        <v>10</v>
      </c>
      <c r="B3628" s="136" t="s">
        <v>7876</v>
      </c>
      <c r="C3628" s="136" t="s">
        <v>7882</v>
      </c>
      <c r="D3628" s="136" t="s">
        <v>7883</v>
      </c>
      <c r="E3628" s="136" t="s">
        <v>594</v>
      </c>
      <c r="F3628" s="136">
        <v>165</v>
      </c>
      <c r="G3628" s="137">
        <f t="shared" si="14"/>
        <v>4</v>
      </c>
      <c r="H3628" s="137"/>
      <c r="I3628" s="137"/>
      <c r="J3628" s="135"/>
      <c r="K3628" s="135"/>
      <c r="L3628" s="135"/>
      <c r="M3628" s="135"/>
      <c r="N3628" s="135"/>
      <c r="O3628" s="135"/>
      <c r="P3628" s="135"/>
      <c r="Q3628" s="135"/>
      <c r="R3628" s="135"/>
      <c r="S3628" s="135"/>
      <c r="T3628" s="135"/>
      <c r="U3628" s="135"/>
      <c r="V3628" s="135"/>
      <c r="W3628" s="135"/>
      <c r="X3628" s="135"/>
      <c r="Y3628" s="135"/>
      <c r="Z3628" s="135"/>
    </row>
    <row r="3629" spans="1:26" ht="12.75">
      <c r="A3629" s="136" t="s">
        <v>10</v>
      </c>
      <c r="B3629" s="136" t="s">
        <v>7876</v>
      </c>
      <c r="C3629" s="136" t="s">
        <v>7882</v>
      </c>
      <c r="D3629" s="136" t="s">
        <v>7880</v>
      </c>
      <c r="E3629" s="136" t="s">
        <v>615</v>
      </c>
      <c r="F3629" s="136">
        <v>148</v>
      </c>
      <c r="G3629" s="137">
        <f t="shared" si="14"/>
        <v>5</v>
      </c>
      <c r="H3629" s="137"/>
      <c r="I3629" s="137"/>
      <c r="J3629" s="135"/>
      <c r="K3629" s="135"/>
      <c r="L3629" s="135"/>
      <c r="M3629" s="135"/>
      <c r="N3629" s="135"/>
      <c r="O3629" s="135"/>
      <c r="P3629" s="135"/>
      <c r="Q3629" s="135"/>
      <c r="R3629" s="135"/>
      <c r="S3629" s="135"/>
      <c r="T3629" s="135"/>
      <c r="U3629" s="135"/>
      <c r="V3629" s="135"/>
      <c r="W3629" s="135"/>
      <c r="X3629" s="135"/>
      <c r="Y3629" s="135"/>
      <c r="Z3629" s="135"/>
    </row>
    <row r="3630" spans="1:26" ht="12.75">
      <c r="A3630" s="136" t="s">
        <v>10</v>
      </c>
      <c r="B3630" s="136" t="s">
        <v>7876</v>
      </c>
      <c r="C3630" s="136" t="s">
        <v>7882</v>
      </c>
      <c r="D3630" s="136" t="s">
        <v>7881</v>
      </c>
      <c r="E3630" s="136" t="s">
        <v>594</v>
      </c>
      <c r="F3630" s="136">
        <v>117</v>
      </c>
      <c r="G3630" s="137">
        <f t="shared" si="14"/>
        <v>6</v>
      </c>
      <c r="H3630" s="137"/>
      <c r="I3630" s="137"/>
      <c r="J3630" s="135"/>
      <c r="K3630" s="135"/>
      <c r="L3630" s="135"/>
      <c r="M3630" s="135"/>
      <c r="N3630" s="135"/>
      <c r="O3630" s="135"/>
      <c r="P3630" s="135"/>
      <c r="Q3630" s="135"/>
      <c r="R3630" s="135"/>
      <c r="S3630" s="135"/>
      <c r="T3630" s="135"/>
      <c r="U3630" s="135"/>
      <c r="V3630" s="135"/>
      <c r="W3630" s="135"/>
      <c r="X3630" s="135"/>
      <c r="Y3630" s="135"/>
      <c r="Z3630" s="135"/>
    </row>
    <row r="3631" spans="1:26" ht="12.75">
      <c r="A3631" s="136" t="s">
        <v>10</v>
      </c>
      <c r="B3631" s="136" t="s">
        <v>7876</v>
      </c>
      <c r="C3631" s="136" t="s">
        <v>7884</v>
      </c>
      <c r="D3631" s="136" t="s">
        <v>7879</v>
      </c>
      <c r="E3631" s="136" t="s">
        <v>594</v>
      </c>
      <c r="F3631" s="136">
        <v>560</v>
      </c>
      <c r="G3631" s="137">
        <f t="shared" si="14"/>
        <v>1</v>
      </c>
      <c r="H3631" s="137"/>
      <c r="I3631" s="137"/>
      <c r="J3631" s="135"/>
      <c r="K3631" s="135"/>
      <c r="L3631" s="135"/>
      <c r="M3631" s="135"/>
      <c r="N3631" s="135"/>
      <c r="O3631" s="135"/>
      <c r="P3631" s="135"/>
      <c r="Q3631" s="135"/>
      <c r="R3631" s="135"/>
      <c r="S3631" s="135"/>
      <c r="T3631" s="135"/>
      <c r="U3631" s="135"/>
      <c r="V3631" s="135"/>
      <c r="W3631" s="135"/>
      <c r="X3631" s="135"/>
      <c r="Y3631" s="135"/>
      <c r="Z3631" s="135"/>
    </row>
    <row r="3632" spans="1:26" ht="12.75">
      <c r="A3632" s="136" t="s">
        <v>10</v>
      </c>
      <c r="B3632" s="136" t="s">
        <v>7876</v>
      </c>
      <c r="C3632" s="136" t="s">
        <v>7884</v>
      </c>
      <c r="D3632" s="136" t="s">
        <v>7880</v>
      </c>
      <c r="E3632" s="136" t="s">
        <v>615</v>
      </c>
      <c r="F3632" s="136">
        <v>300</v>
      </c>
      <c r="G3632" s="137">
        <f t="shared" si="14"/>
        <v>3</v>
      </c>
      <c r="H3632" s="137"/>
      <c r="I3632" s="137"/>
      <c r="J3632" s="135"/>
      <c r="K3632" s="135"/>
      <c r="L3632" s="135"/>
      <c r="M3632" s="135"/>
      <c r="N3632" s="135"/>
      <c r="O3632" s="135"/>
      <c r="P3632" s="135"/>
      <c r="Q3632" s="135"/>
      <c r="R3632" s="135"/>
      <c r="S3632" s="135"/>
      <c r="T3632" s="135"/>
      <c r="U3632" s="135"/>
      <c r="V3632" s="135"/>
      <c r="W3632" s="135"/>
      <c r="X3632" s="135"/>
      <c r="Y3632" s="135"/>
      <c r="Z3632" s="135"/>
    </row>
    <row r="3633" spans="1:26" ht="12.75">
      <c r="A3633" s="136" t="s">
        <v>10</v>
      </c>
      <c r="B3633" s="136" t="s">
        <v>7876</v>
      </c>
      <c r="C3633" s="136" t="s">
        <v>7884</v>
      </c>
      <c r="D3633" s="136" t="s">
        <v>7481</v>
      </c>
      <c r="E3633" s="136" t="s">
        <v>615</v>
      </c>
      <c r="F3633" s="136">
        <v>235</v>
      </c>
      <c r="G3633" s="137">
        <f t="shared" si="14"/>
        <v>6</v>
      </c>
      <c r="H3633" s="137"/>
      <c r="I3633" s="137"/>
      <c r="J3633" s="135"/>
      <c r="K3633" s="135"/>
      <c r="L3633" s="135"/>
      <c r="M3633" s="135"/>
      <c r="N3633" s="135"/>
      <c r="O3633" s="135"/>
      <c r="P3633" s="135"/>
      <c r="Q3633" s="135"/>
      <c r="R3633" s="135"/>
      <c r="S3633" s="135"/>
      <c r="T3633" s="135"/>
      <c r="U3633" s="135"/>
      <c r="V3633" s="135"/>
      <c r="W3633" s="135"/>
      <c r="X3633" s="135"/>
      <c r="Y3633" s="135"/>
      <c r="Z3633" s="135"/>
    </row>
    <row r="3634" spans="1:26" ht="12.75">
      <c r="A3634" s="136" t="s">
        <v>10</v>
      </c>
      <c r="B3634" s="136" t="s">
        <v>7876</v>
      </c>
      <c r="C3634" s="136" t="s">
        <v>7885</v>
      </c>
      <c r="D3634" s="136" t="s">
        <v>7879</v>
      </c>
      <c r="E3634" s="136" t="s">
        <v>594</v>
      </c>
      <c r="F3634" s="136">
        <v>610</v>
      </c>
      <c r="G3634" s="137">
        <f t="shared" si="14"/>
        <v>1</v>
      </c>
      <c r="H3634" s="137"/>
      <c r="I3634" s="137"/>
      <c r="J3634" s="135"/>
      <c r="K3634" s="135"/>
      <c r="L3634" s="135"/>
      <c r="M3634" s="135"/>
      <c r="N3634" s="135"/>
      <c r="O3634" s="135"/>
      <c r="P3634" s="135"/>
      <c r="Q3634" s="135"/>
      <c r="R3634" s="135"/>
      <c r="S3634" s="135"/>
      <c r="T3634" s="135"/>
      <c r="U3634" s="135"/>
      <c r="V3634" s="135"/>
      <c r="W3634" s="135"/>
      <c r="X3634" s="135"/>
      <c r="Y3634" s="135"/>
      <c r="Z3634" s="135"/>
    </row>
    <row r="3635" spans="1:26" ht="12.75">
      <c r="A3635" s="136" t="s">
        <v>10</v>
      </c>
      <c r="B3635" s="136" t="s">
        <v>7876</v>
      </c>
      <c r="C3635" s="136" t="s">
        <v>7885</v>
      </c>
      <c r="D3635" s="136" t="s">
        <v>7481</v>
      </c>
      <c r="E3635" s="136" t="s">
        <v>615</v>
      </c>
      <c r="F3635" s="136">
        <v>246</v>
      </c>
      <c r="G3635" s="137">
        <f t="shared" si="14"/>
        <v>4</v>
      </c>
      <c r="H3635" s="137"/>
      <c r="I3635" s="137"/>
      <c r="J3635" s="135"/>
      <c r="K3635" s="135"/>
      <c r="L3635" s="135"/>
      <c r="M3635" s="135"/>
      <c r="N3635" s="135"/>
      <c r="O3635" s="135"/>
      <c r="P3635" s="135"/>
      <c r="Q3635" s="135"/>
      <c r="R3635" s="135"/>
      <c r="S3635" s="135"/>
      <c r="T3635" s="135"/>
      <c r="U3635" s="135"/>
      <c r="V3635" s="135"/>
      <c r="W3635" s="135"/>
      <c r="X3635" s="135"/>
      <c r="Y3635" s="135"/>
      <c r="Z3635" s="135"/>
    </row>
    <row r="3636" spans="1:26" ht="12.75">
      <c r="A3636" s="136" t="s">
        <v>10</v>
      </c>
      <c r="B3636" s="136" t="s">
        <v>7876</v>
      </c>
      <c r="C3636" s="136" t="s">
        <v>7885</v>
      </c>
      <c r="D3636" s="136" t="s">
        <v>7880</v>
      </c>
      <c r="E3636" s="136" t="s">
        <v>615</v>
      </c>
      <c r="F3636" s="136">
        <v>240</v>
      </c>
      <c r="G3636" s="137">
        <f t="shared" si="14"/>
        <v>5</v>
      </c>
      <c r="H3636" s="137"/>
      <c r="I3636" s="137"/>
      <c r="J3636" s="135"/>
      <c r="K3636" s="135"/>
      <c r="L3636" s="135"/>
      <c r="M3636" s="135"/>
      <c r="N3636" s="135"/>
      <c r="O3636" s="135"/>
      <c r="P3636" s="135"/>
      <c r="Q3636" s="135"/>
      <c r="R3636" s="135"/>
      <c r="S3636" s="135"/>
      <c r="T3636" s="135"/>
      <c r="U3636" s="135"/>
      <c r="V3636" s="135"/>
      <c r="W3636" s="135"/>
      <c r="X3636" s="135"/>
      <c r="Y3636" s="135"/>
      <c r="Z3636" s="135"/>
    </row>
    <row r="3637" spans="1:26" ht="12.75">
      <c r="A3637" s="136" t="s">
        <v>10</v>
      </c>
      <c r="B3637" s="136" t="s">
        <v>7876</v>
      </c>
      <c r="C3637" s="136" t="s">
        <v>7885</v>
      </c>
      <c r="D3637" s="136" t="s">
        <v>7878</v>
      </c>
      <c r="E3637" s="136" t="s">
        <v>85</v>
      </c>
      <c r="F3637" s="136">
        <v>220</v>
      </c>
      <c r="G3637" s="137">
        <f t="shared" si="14"/>
        <v>6</v>
      </c>
      <c r="H3637" s="137"/>
      <c r="I3637" s="137"/>
      <c r="J3637" s="135"/>
      <c r="K3637" s="135"/>
      <c r="L3637" s="135"/>
      <c r="M3637" s="135"/>
      <c r="N3637" s="135"/>
      <c r="O3637" s="135"/>
      <c r="P3637" s="135"/>
      <c r="Q3637" s="135"/>
      <c r="R3637" s="135"/>
      <c r="S3637" s="135"/>
      <c r="T3637" s="135"/>
      <c r="U3637" s="135"/>
      <c r="V3637" s="135"/>
      <c r="W3637" s="135"/>
      <c r="X3637" s="135"/>
      <c r="Y3637" s="135"/>
      <c r="Z3637" s="135"/>
    </row>
    <row r="3638" spans="1:26" ht="12.75">
      <c r="A3638" s="136" t="s">
        <v>10</v>
      </c>
      <c r="B3638" s="136" t="s">
        <v>7876</v>
      </c>
      <c r="C3638" s="136" t="s">
        <v>7886</v>
      </c>
      <c r="D3638" s="136" t="s">
        <v>7879</v>
      </c>
      <c r="E3638" s="136" t="s">
        <v>594</v>
      </c>
      <c r="F3638" s="136">
        <v>800</v>
      </c>
      <c r="G3638" s="137">
        <f t="shared" si="14"/>
        <v>2</v>
      </c>
      <c r="H3638" s="137"/>
      <c r="I3638" s="137"/>
      <c r="J3638" s="135"/>
      <c r="K3638" s="135"/>
      <c r="L3638" s="135"/>
      <c r="M3638" s="135"/>
      <c r="N3638" s="135"/>
      <c r="O3638" s="135"/>
      <c r="P3638" s="135"/>
      <c r="Q3638" s="135"/>
      <c r="R3638" s="135"/>
      <c r="S3638" s="135"/>
      <c r="T3638" s="135"/>
      <c r="U3638" s="135"/>
      <c r="V3638" s="135"/>
      <c r="W3638" s="135"/>
      <c r="X3638" s="135"/>
      <c r="Y3638" s="135"/>
      <c r="Z3638" s="135"/>
    </row>
    <row r="3639" spans="1:26" ht="12.75">
      <c r="A3639" s="136" t="s">
        <v>10</v>
      </c>
      <c r="B3639" s="136" t="s">
        <v>7876</v>
      </c>
      <c r="C3639" s="136" t="s">
        <v>7886</v>
      </c>
      <c r="D3639" s="136" t="s">
        <v>7481</v>
      </c>
      <c r="E3639" s="136" t="s">
        <v>615</v>
      </c>
      <c r="F3639" s="136">
        <v>254</v>
      </c>
      <c r="G3639" s="137">
        <f t="shared" si="14"/>
        <v>3</v>
      </c>
      <c r="H3639" s="137"/>
      <c r="I3639" s="137"/>
      <c r="J3639" s="135"/>
      <c r="K3639" s="135"/>
      <c r="L3639" s="135"/>
      <c r="M3639" s="135"/>
      <c r="N3639" s="135"/>
      <c r="O3639" s="135"/>
      <c r="P3639" s="135"/>
      <c r="Q3639" s="135"/>
      <c r="R3639" s="135"/>
      <c r="S3639" s="135"/>
      <c r="T3639" s="135"/>
      <c r="U3639" s="135"/>
      <c r="V3639" s="135"/>
      <c r="W3639" s="135"/>
      <c r="X3639" s="135"/>
      <c r="Y3639" s="135"/>
      <c r="Z3639" s="135"/>
    </row>
    <row r="3640" spans="1:26" ht="12.75">
      <c r="A3640" s="136" t="s">
        <v>10</v>
      </c>
      <c r="B3640" s="136" t="s">
        <v>7876</v>
      </c>
      <c r="C3640" s="136" t="s">
        <v>7886</v>
      </c>
      <c r="D3640" s="136" t="s">
        <v>7883</v>
      </c>
      <c r="E3640" s="136" t="s">
        <v>594</v>
      </c>
      <c r="F3640" s="136">
        <v>158</v>
      </c>
      <c r="G3640" s="137">
        <f t="shared" si="14"/>
        <v>4</v>
      </c>
      <c r="H3640" s="137"/>
      <c r="I3640" s="137"/>
      <c r="J3640" s="135"/>
      <c r="K3640" s="135"/>
      <c r="L3640" s="135"/>
      <c r="M3640" s="135"/>
      <c r="N3640" s="135"/>
      <c r="O3640" s="135"/>
      <c r="P3640" s="135"/>
      <c r="Q3640" s="135"/>
      <c r="R3640" s="135"/>
      <c r="S3640" s="135"/>
      <c r="T3640" s="135"/>
      <c r="U3640" s="135"/>
      <c r="V3640" s="135"/>
      <c r="W3640" s="135"/>
      <c r="X3640" s="135"/>
      <c r="Y3640" s="135"/>
      <c r="Z3640" s="135"/>
    </row>
    <row r="3641" spans="1:26" ht="12.75">
      <c r="A3641" s="136" t="s">
        <v>10</v>
      </c>
      <c r="B3641" s="136" t="s">
        <v>7876</v>
      </c>
      <c r="C3641" s="136" t="s">
        <v>7886</v>
      </c>
      <c r="D3641" s="136" t="s">
        <v>7880</v>
      </c>
      <c r="E3641" s="136" t="s">
        <v>615</v>
      </c>
      <c r="F3641" s="136">
        <v>150</v>
      </c>
      <c r="G3641" s="137">
        <f t="shared" si="14"/>
        <v>5</v>
      </c>
      <c r="H3641" s="137"/>
      <c r="I3641" s="137"/>
      <c r="J3641" s="135"/>
      <c r="K3641" s="135"/>
      <c r="L3641" s="135"/>
      <c r="M3641" s="135"/>
      <c r="N3641" s="135"/>
      <c r="O3641" s="135"/>
      <c r="P3641" s="135"/>
      <c r="Q3641" s="135"/>
      <c r="R3641" s="135"/>
      <c r="S3641" s="135"/>
      <c r="T3641" s="135"/>
      <c r="U3641" s="135"/>
      <c r="V3641" s="135"/>
      <c r="W3641" s="135"/>
      <c r="X3641" s="135"/>
      <c r="Y3641" s="135"/>
      <c r="Z3641" s="135"/>
    </row>
    <row r="3642" spans="1:26" ht="12.75">
      <c r="A3642" s="136" t="s">
        <v>10</v>
      </c>
      <c r="B3642" s="136" t="s">
        <v>7876</v>
      </c>
      <c r="C3642" s="136" t="s">
        <v>7886</v>
      </c>
      <c r="D3642" s="136" t="s">
        <v>7887</v>
      </c>
      <c r="E3642" s="136" t="s">
        <v>615</v>
      </c>
      <c r="F3642" s="136">
        <v>126</v>
      </c>
      <c r="G3642" s="137">
        <f t="shared" si="14"/>
        <v>6</v>
      </c>
      <c r="H3642" s="137"/>
      <c r="I3642" s="137"/>
      <c r="J3642" s="135"/>
      <c r="K3642" s="135"/>
      <c r="L3642" s="135"/>
      <c r="M3642" s="135"/>
      <c r="N3642" s="135"/>
      <c r="O3642" s="135"/>
      <c r="P3642" s="135"/>
      <c r="Q3642" s="135"/>
      <c r="R3642" s="135"/>
      <c r="S3642" s="135"/>
      <c r="T3642" s="135"/>
      <c r="U3642" s="135"/>
      <c r="V3642" s="135"/>
      <c r="W3642" s="135"/>
      <c r="X3642" s="135"/>
      <c r="Y3642" s="135"/>
      <c r="Z3642" s="135"/>
    </row>
    <row r="3643" spans="1:26" ht="12.75">
      <c r="A3643" s="136" t="s">
        <v>10</v>
      </c>
      <c r="B3643" s="136" t="s">
        <v>7876</v>
      </c>
      <c r="C3643" s="136" t="s">
        <v>7886</v>
      </c>
      <c r="D3643" s="136" t="s">
        <v>7888</v>
      </c>
      <c r="E3643" s="136" t="s">
        <v>615</v>
      </c>
      <c r="F3643" s="136">
        <v>122</v>
      </c>
      <c r="G3643" s="137">
        <f t="shared" si="14"/>
        <v>7</v>
      </c>
      <c r="H3643" s="137"/>
      <c r="I3643" s="137"/>
      <c r="J3643" s="135"/>
      <c r="K3643" s="135"/>
      <c r="L3643" s="135"/>
      <c r="M3643" s="135"/>
      <c r="N3643" s="135"/>
      <c r="O3643" s="135"/>
      <c r="P3643" s="135"/>
      <c r="Q3643" s="135"/>
      <c r="R3643" s="135"/>
      <c r="S3643" s="135"/>
      <c r="T3643" s="135"/>
      <c r="U3643" s="135"/>
      <c r="V3643" s="135"/>
      <c r="W3643" s="135"/>
      <c r="X3643" s="135"/>
      <c r="Y3643" s="135"/>
      <c r="Z3643" s="135"/>
    </row>
    <row r="3644" spans="1:26" ht="12.75">
      <c r="A3644" s="136" t="s">
        <v>10</v>
      </c>
      <c r="B3644" s="136" t="s">
        <v>7876</v>
      </c>
      <c r="C3644" s="136" t="s">
        <v>7889</v>
      </c>
      <c r="D3644" s="136" t="s">
        <v>7879</v>
      </c>
      <c r="E3644" s="136" t="s">
        <v>594</v>
      </c>
      <c r="F3644" s="136">
        <v>510</v>
      </c>
      <c r="G3644" s="137">
        <f t="shared" si="14"/>
        <v>2</v>
      </c>
      <c r="H3644" s="137"/>
      <c r="I3644" s="137"/>
      <c r="J3644" s="135"/>
      <c r="K3644" s="135"/>
      <c r="L3644" s="135"/>
      <c r="M3644" s="135"/>
      <c r="N3644" s="135"/>
      <c r="O3644" s="135"/>
      <c r="P3644" s="135"/>
      <c r="Q3644" s="135"/>
      <c r="R3644" s="135"/>
      <c r="S3644" s="135"/>
      <c r="T3644" s="135"/>
      <c r="U3644" s="135"/>
      <c r="V3644" s="135"/>
      <c r="W3644" s="135"/>
      <c r="X3644" s="135"/>
      <c r="Y3644" s="135"/>
      <c r="Z3644" s="135"/>
    </row>
    <row r="3645" spans="1:26" ht="12.75">
      <c r="A3645" s="136" t="s">
        <v>10</v>
      </c>
      <c r="B3645" s="136" t="s">
        <v>7876</v>
      </c>
      <c r="C3645" s="136" t="s">
        <v>7889</v>
      </c>
      <c r="D3645" s="136" t="s">
        <v>7890</v>
      </c>
      <c r="E3645" s="136" t="s">
        <v>594</v>
      </c>
      <c r="F3645" s="136">
        <v>220</v>
      </c>
      <c r="G3645" s="137">
        <f t="shared" si="14"/>
        <v>3</v>
      </c>
      <c r="H3645" s="137"/>
      <c r="I3645" s="137"/>
      <c r="J3645" s="135"/>
      <c r="K3645" s="135"/>
      <c r="L3645" s="135"/>
      <c r="M3645" s="135"/>
      <c r="N3645" s="135"/>
      <c r="O3645" s="135"/>
      <c r="P3645" s="135"/>
      <c r="Q3645" s="135"/>
      <c r="R3645" s="135"/>
      <c r="S3645" s="135"/>
      <c r="T3645" s="135"/>
      <c r="U3645" s="135"/>
      <c r="V3645" s="135"/>
      <c r="W3645" s="135"/>
      <c r="X3645" s="135"/>
      <c r="Y3645" s="135"/>
      <c r="Z3645" s="135"/>
    </row>
    <row r="3646" spans="1:26" ht="12.75">
      <c r="A3646" s="136" t="s">
        <v>10</v>
      </c>
      <c r="B3646" s="136" t="s">
        <v>7876</v>
      </c>
      <c r="C3646" s="136" t="s">
        <v>7889</v>
      </c>
      <c r="D3646" s="136" t="s">
        <v>7883</v>
      </c>
      <c r="E3646" s="136" t="s">
        <v>594</v>
      </c>
      <c r="F3646" s="136">
        <v>140</v>
      </c>
      <c r="G3646" s="137">
        <f t="shared" si="14"/>
        <v>8</v>
      </c>
      <c r="H3646" s="137"/>
      <c r="I3646" s="137"/>
      <c r="J3646" s="135"/>
      <c r="K3646" s="135"/>
      <c r="L3646" s="135"/>
      <c r="M3646" s="135"/>
      <c r="N3646" s="135"/>
      <c r="O3646" s="135"/>
      <c r="P3646" s="135"/>
      <c r="Q3646" s="135"/>
      <c r="R3646" s="135"/>
      <c r="S3646" s="135"/>
      <c r="T3646" s="135"/>
      <c r="U3646" s="135"/>
      <c r="V3646" s="135"/>
      <c r="W3646" s="135"/>
      <c r="X3646" s="135"/>
      <c r="Y3646" s="135"/>
      <c r="Z3646" s="135"/>
    </row>
    <row r="3647" spans="1:26" ht="12.75">
      <c r="A3647" s="136" t="s">
        <v>10</v>
      </c>
      <c r="B3647" s="136" t="s">
        <v>7876</v>
      </c>
      <c r="C3647" s="136" t="s">
        <v>7889</v>
      </c>
      <c r="D3647" s="136" t="s">
        <v>7887</v>
      </c>
      <c r="E3647" s="136" t="s">
        <v>615</v>
      </c>
      <c r="F3647" s="136">
        <v>189</v>
      </c>
      <c r="G3647" s="137">
        <f t="shared" si="14"/>
        <v>6</v>
      </c>
      <c r="H3647" s="137"/>
      <c r="I3647" s="137"/>
      <c r="J3647" s="135"/>
      <c r="K3647" s="135"/>
      <c r="L3647" s="135"/>
      <c r="M3647" s="135"/>
      <c r="N3647" s="135"/>
      <c r="O3647" s="135"/>
      <c r="P3647" s="135"/>
      <c r="Q3647" s="135"/>
      <c r="R3647" s="135"/>
      <c r="S3647" s="135"/>
      <c r="T3647" s="135"/>
      <c r="U3647" s="135"/>
      <c r="V3647" s="135"/>
      <c r="W3647" s="135"/>
      <c r="X3647" s="135"/>
      <c r="Y3647" s="135"/>
      <c r="Z3647" s="135"/>
    </row>
    <row r="3648" spans="1:26" ht="12.75">
      <c r="A3648" s="136" t="s">
        <v>10</v>
      </c>
      <c r="B3648" s="136" t="s">
        <v>7876</v>
      </c>
      <c r="C3648" s="136" t="s">
        <v>7889</v>
      </c>
      <c r="D3648" s="136" t="s">
        <v>7481</v>
      </c>
      <c r="E3648" s="136" t="s">
        <v>615</v>
      </c>
      <c r="F3648" s="136">
        <v>219</v>
      </c>
      <c r="G3648" s="137">
        <f t="shared" si="14"/>
        <v>4</v>
      </c>
      <c r="H3648" s="137"/>
      <c r="I3648" s="137"/>
      <c r="J3648" s="135"/>
      <c r="K3648" s="135"/>
      <c r="L3648" s="135"/>
      <c r="M3648" s="135"/>
      <c r="N3648" s="135"/>
      <c r="O3648" s="135"/>
      <c r="P3648" s="135"/>
      <c r="Q3648" s="135"/>
      <c r="R3648" s="135"/>
      <c r="S3648" s="135"/>
      <c r="T3648" s="135"/>
      <c r="U3648" s="135"/>
      <c r="V3648" s="135"/>
      <c r="W3648" s="135"/>
      <c r="X3648" s="135"/>
      <c r="Y3648" s="135"/>
      <c r="Z3648" s="135"/>
    </row>
    <row r="3649" spans="1:26" ht="12.75">
      <c r="A3649" s="136" t="s">
        <v>10</v>
      </c>
      <c r="B3649" s="136" t="s">
        <v>7876</v>
      </c>
      <c r="C3649" s="136" t="s">
        <v>7891</v>
      </c>
      <c r="D3649" s="136" t="s">
        <v>7878</v>
      </c>
      <c r="E3649" s="136" t="s">
        <v>85</v>
      </c>
      <c r="F3649" s="136">
        <v>850</v>
      </c>
      <c r="G3649" s="137">
        <f t="shared" si="14"/>
        <v>1</v>
      </c>
      <c r="H3649" s="137"/>
      <c r="I3649" s="137"/>
      <c r="J3649" s="135"/>
      <c r="K3649" s="135"/>
      <c r="L3649" s="135"/>
      <c r="M3649" s="135"/>
      <c r="N3649" s="135"/>
      <c r="O3649" s="135"/>
      <c r="P3649" s="135"/>
      <c r="Q3649" s="135"/>
      <c r="R3649" s="135"/>
      <c r="S3649" s="135"/>
      <c r="T3649" s="135"/>
      <c r="U3649" s="135"/>
      <c r="V3649" s="135"/>
      <c r="W3649" s="135"/>
      <c r="X3649" s="135"/>
      <c r="Y3649" s="135"/>
      <c r="Z3649" s="135"/>
    </row>
    <row r="3650" spans="1:26" ht="12.75">
      <c r="A3650" s="136" t="s">
        <v>10</v>
      </c>
      <c r="B3650" s="136" t="s">
        <v>7876</v>
      </c>
      <c r="C3650" s="136" t="s">
        <v>7891</v>
      </c>
      <c r="D3650" s="136" t="s">
        <v>7879</v>
      </c>
      <c r="E3650" s="136" t="s">
        <v>594</v>
      </c>
      <c r="F3650" s="136">
        <v>350</v>
      </c>
      <c r="G3650" s="137">
        <f t="shared" si="14"/>
        <v>3</v>
      </c>
      <c r="H3650" s="137"/>
      <c r="I3650" s="137"/>
      <c r="J3650" s="135"/>
      <c r="K3650" s="135"/>
      <c r="L3650" s="135"/>
      <c r="M3650" s="135"/>
      <c r="N3650" s="135"/>
      <c r="O3650" s="135"/>
      <c r="P3650" s="135"/>
      <c r="Q3650" s="135"/>
      <c r="R3650" s="135"/>
      <c r="S3650" s="135"/>
      <c r="T3650" s="135"/>
      <c r="U3650" s="135"/>
      <c r="V3650" s="135"/>
      <c r="W3650" s="135"/>
      <c r="X3650" s="135"/>
      <c r="Y3650" s="135"/>
      <c r="Z3650" s="135"/>
    </row>
    <row r="3651" spans="1:26" ht="12.75">
      <c r="A3651" s="136" t="s">
        <v>10</v>
      </c>
      <c r="B3651" s="136" t="s">
        <v>7876</v>
      </c>
      <c r="C3651" s="136" t="s">
        <v>7891</v>
      </c>
      <c r="D3651" s="136" t="s">
        <v>7481</v>
      </c>
      <c r="E3651" s="136" t="s">
        <v>615</v>
      </c>
      <c r="F3651" s="136">
        <v>217</v>
      </c>
      <c r="G3651" s="137">
        <f t="shared" si="14"/>
        <v>5</v>
      </c>
      <c r="H3651" s="137"/>
      <c r="I3651" s="137"/>
      <c r="J3651" s="135"/>
      <c r="K3651" s="135"/>
      <c r="L3651" s="135"/>
      <c r="M3651" s="135"/>
      <c r="N3651" s="135"/>
      <c r="O3651" s="135"/>
      <c r="P3651" s="135"/>
      <c r="Q3651" s="135"/>
      <c r="R3651" s="135"/>
      <c r="S3651" s="135"/>
      <c r="T3651" s="135"/>
      <c r="U3651" s="135"/>
      <c r="V3651" s="135"/>
      <c r="W3651" s="135"/>
      <c r="X3651" s="135"/>
      <c r="Y3651" s="135"/>
      <c r="Z3651" s="135"/>
    </row>
    <row r="3652" spans="1:26" ht="12.75">
      <c r="A3652" s="136" t="s">
        <v>10</v>
      </c>
      <c r="B3652" s="136" t="s">
        <v>7876</v>
      </c>
      <c r="C3652" s="136" t="s">
        <v>7892</v>
      </c>
      <c r="D3652" s="136" t="s">
        <v>7878</v>
      </c>
      <c r="E3652" s="136" t="s">
        <v>85</v>
      </c>
      <c r="F3652" s="136">
        <v>850</v>
      </c>
      <c r="G3652" s="137">
        <f t="shared" si="14"/>
        <v>1</v>
      </c>
      <c r="H3652" s="137"/>
      <c r="I3652" s="137"/>
      <c r="J3652" s="135"/>
      <c r="K3652" s="135"/>
      <c r="L3652" s="135"/>
      <c r="M3652" s="135"/>
      <c r="N3652" s="135"/>
      <c r="O3652" s="135"/>
      <c r="P3652" s="135"/>
      <c r="Q3652" s="135"/>
      <c r="R3652" s="135"/>
      <c r="S3652" s="135"/>
      <c r="T3652" s="135"/>
      <c r="U3652" s="135"/>
      <c r="V3652" s="135"/>
      <c r="W3652" s="135"/>
      <c r="X3652" s="135"/>
      <c r="Y3652" s="135"/>
      <c r="Z3652" s="135"/>
    </row>
    <row r="3653" spans="1:26" ht="12.75">
      <c r="A3653" s="136" t="s">
        <v>10</v>
      </c>
      <c r="B3653" s="136" t="s">
        <v>7876</v>
      </c>
      <c r="C3653" s="136" t="s">
        <v>7892</v>
      </c>
      <c r="D3653" s="136" t="s">
        <v>7879</v>
      </c>
      <c r="E3653" s="136" t="s">
        <v>594</v>
      </c>
      <c r="F3653" s="136">
        <v>463</v>
      </c>
      <c r="G3653" s="137">
        <f t="shared" si="14"/>
        <v>2</v>
      </c>
      <c r="H3653" s="137"/>
      <c r="I3653" s="137"/>
      <c r="J3653" s="135"/>
      <c r="K3653" s="135"/>
      <c r="L3653" s="135"/>
      <c r="M3653" s="135"/>
      <c r="N3653" s="135"/>
      <c r="O3653" s="135"/>
      <c r="P3653" s="135"/>
      <c r="Q3653" s="135"/>
      <c r="R3653" s="135"/>
      <c r="S3653" s="135"/>
      <c r="T3653" s="135"/>
      <c r="U3653" s="135"/>
      <c r="V3653" s="135"/>
      <c r="W3653" s="135"/>
      <c r="X3653" s="135"/>
      <c r="Y3653" s="135"/>
      <c r="Z3653" s="135"/>
    </row>
    <row r="3654" spans="1:26" ht="12.75">
      <c r="A3654" s="136" t="s">
        <v>10</v>
      </c>
      <c r="B3654" s="136" t="s">
        <v>7876</v>
      </c>
      <c r="C3654" s="136" t="s">
        <v>7892</v>
      </c>
      <c r="D3654" s="136" t="s">
        <v>7481</v>
      </c>
      <c r="E3654" s="136" t="s">
        <v>615</v>
      </c>
      <c r="F3654" s="136">
        <v>86</v>
      </c>
      <c r="G3654" s="137">
        <f t="shared" si="14"/>
        <v>8</v>
      </c>
      <c r="H3654" s="137"/>
      <c r="I3654" s="137"/>
      <c r="J3654" s="135"/>
      <c r="K3654" s="135"/>
      <c r="L3654" s="135"/>
      <c r="M3654" s="135"/>
      <c r="N3654" s="135"/>
      <c r="O3654" s="135"/>
      <c r="P3654" s="135"/>
      <c r="Q3654" s="135"/>
      <c r="R3654" s="135"/>
      <c r="S3654" s="135"/>
      <c r="T3654" s="135"/>
      <c r="U3654" s="135"/>
      <c r="V3654" s="135"/>
      <c r="W3654" s="135"/>
      <c r="X3654" s="135"/>
      <c r="Y3654" s="135"/>
      <c r="Z3654" s="135"/>
    </row>
    <row r="3655" spans="1:26" ht="12.75">
      <c r="A3655" s="136" t="s">
        <v>10</v>
      </c>
      <c r="B3655" s="136" t="s">
        <v>7876</v>
      </c>
      <c r="C3655" s="136" t="s">
        <v>7893</v>
      </c>
      <c r="D3655" s="136" t="s">
        <v>7879</v>
      </c>
      <c r="E3655" s="136" t="s">
        <v>594</v>
      </c>
      <c r="F3655" s="136">
        <v>863</v>
      </c>
      <c r="G3655" s="137">
        <f t="shared" si="14"/>
        <v>1</v>
      </c>
      <c r="H3655" s="137"/>
      <c r="I3655" s="137"/>
      <c r="J3655" s="135"/>
      <c r="K3655" s="135"/>
      <c r="L3655" s="135"/>
      <c r="M3655" s="135"/>
      <c r="N3655" s="135"/>
      <c r="O3655" s="135"/>
      <c r="P3655" s="135"/>
      <c r="Q3655" s="135"/>
      <c r="R3655" s="135"/>
      <c r="S3655" s="135"/>
      <c r="T3655" s="135"/>
      <c r="U3655" s="135"/>
      <c r="V3655" s="135"/>
      <c r="W3655" s="135"/>
      <c r="X3655" s="135"/>
      <c r="Y3655" s="135"/>
      <c r="Z3655" s="135"/>
    </row>
    <row r="3656" spans="1:26" ht="12.75">
      <c r="A3656" s="136" t="s">
        <v>10</v>
      </c>
      <c r="B3656" s="136" t="s">
        <v>7876</v>
      </c>
      <c r="C3656" s="136" t="s">
        <v>7893</v>
      </c>
      <c r="D3656" s="136" t="s">
        <v>7481</v>
      </c>
      <c r="E3656" s="136" t="s">
        <v>615</v>
      </c>
      <c r="F3656" s="136">
        <v>247</v>
      </c>
      <c r="G3656" s="137">
        <f t="shared" si="14"/>
        <v>3</v>
      </c>
      <c r="H3656" s="137"/>
      <c r="I3656" s="137"/>
      <c r="J3656" s="135"/>
      <c r="K3656" s="135"/>
      <c r="L3656" s="135"/>
      <c r="M3656" s="135"/>
      <c r="N3656" s="135"/>
      <c r="O3656" s="135"/>
      <c r="P3656" s="135"/>
      <c r="Q3656" s="135"/>
      <c r="R3656" s="135"/>
      <c r="S3656" s="135"/>
      <c r="T3656" s="135"/>
      <c r="U3656" s="135"/>
      <c r="V3656" s="135"/>
      <c r="W3656" s="135"/>
      <c r="X3656" s="135"/>
      <c r="Y3656" s="135"/>
      <c r="Z3656" s="135"/>
    </row>
    <row r="3657" spans="1:26" ht="12.75">
      <c r="A3657" s="136" t="s">
        <v>10</v>
      </c>
      <c r="B3657" s="136" t="s">
        <v>7876</v>
      </c>
      <c r="C3657" s="136" t="s">
        <v>7893</v>
      </c>
      <c r="D3657" s="136" t="s">
        <v>7880</v>
      </c>
      <c r="E3657" s="136" t="s">
        <v>615</v>
      </c>
      <c r="F3657" s="136">
        <v>132</v>
      </c>
      <c r="G3657" s="137">
        <f t="shared" si="14"/>
        <v>6</v>
      </c>
      <c r="H3657" s="137"/>
      <c r="I3657" s="137"/>
      <c r="J3657" s="135"/>
      <c r="K3657" s="135"/>
      <c r="L3657" s="135"/>
      <c r="M3657" s="135"/>
      <c r="N3657" s="135"/>
      <c r="O3657" s="135"/>
      <c r="P3657" s="135"/>
      <c r="Q3657" s="135"/>
      <c r="R3657" s="135"/>
      <c r="S3657" s="135"/>
      <c r="T3657" s="135"/>
      <c r="U3657" s="135"/>
      <c r="V3657" s="135"/>
      <c r="W3657" s="135"/>
      <c r="X3657" s="135"/>
      <c r="Y3657" s="135"/>
      <c r="Z3657" s="135"/>
    </row>
    <row r="3658" spans="1:26" ht="12.75">
      <c r="A3658" s="136" t="s">
        <v>10</v>
      </c>
      <c r="B3658" s="136" t="s">
        <v>7876</v>
      </c>
      <c r="C3658" s="136" t="s">
        <v>7893</v>
      </c>
      <c r="D3658" s="136" t="s">
        <v>7883</v>
      </c>
      <c r="E3658" s="136" t="s">
        <v>594</v>
      </c>
      <c r="F3658" s="136">
        <v>124</v>
      </c>
      <c r="G3658" s="137">
        <f t="shared" si="14"/>
        <v>7</v>
      </c>
      <c r="H3658" s="137"/>
      <c r="I3658" s="137"/>
      <c r="J3658" s="135"/>
      <c r="K3658" s="135"/>
      <c r="L3658" s="135"/>
      <c r="M3658" s="135"/>
      <c r="N3658" s="135"/>
      <c r="O3658" s="135"/>
      <c r="P3658" s="135"/>
      <c r="Q3658" s="135"/>
      <c r="R3658" s="135"/>
      <c r="S3658" s="135"/>
      <c r="T3658" s="135"/>
      <c r="U3658" s="135"/>
      <c r="V3658" s="135"/>
      <c r="W3658" s="135"/>
      <c r="X3658" s="135"/>
      <c r="Y3658" s="135"/>
      <c r="Z3658" s="135"/>
    </row>
    <row r="3659" spans="1:26" ht="12.75">
      <c r="A3659" s="136" t="s">
        <v>10</v>
      </c>
      <c r="B3659" s="136" t="s">
        <v>7876</v>
      </c>
      <c r="C3659" s="136" t="s">
        <v>7894</v>
      </c>
      <c r="D3659" s="136" t="s">
        <v>7879</v>
      </c>
      <c r="E3659" s="136" t="s">
        <v>594</v>
      </c>
      <c r="F3659" s="136">
        <v>870</v>
      </c>
      <c r="G3659" s="137">
        <f t="shared" si="14"/>
        <v>1</v>
      </c>
      <c r="H3659" s="137"/>
      <c r="I3659" s="137"/>
      <c r="J3659" s="135"/>
      <c r="K3659" s="135"/>
      <c r="L3659" s="135"/>
      <c r="M3659" s="135"/>
      <c r="N3659" s="135"/>
      <c r="O3659" s="135"/>
      <c r="P3659" s="135"/>
      <c r="Q3659" s="135"/>
      <c r="R3659" s="135"/>
      <c r="S3659" s="135"/>
      <c r="T3659" s="135"/>
      <c r="U3659" s="135"/>
      <c r="V3659" s="135"/>
      <c r="W3659" s="135"/>
      <c r="X3659" s="135"/>
      <c r="Y3659" s="135"/>
      <c r="Z3659" s="135"/>
    </row>
    <row r="3660" spans="1:26" ht="12.75">
      <c r="A3660" s="136" t="s">
        <v>10</v>
      </c>
      <c r="B3660" s="136" t="s">
        <v>7876</v>
      </c>
      <c r="C3660" s="136" t="s">
        <v>7894</v>
      </c>
      <c r="D3660" s="136" t="s">
        <v>7895</v>
      </c>
      <c r="E3660" s="136" t="s">
        <v>594</v>
      </c>
      <c r="F3660" s="136">
        <v>390</v>
      </c>
      <c r="G3660" s="137">
        <f t="shared" si="14"/>
        <v>3</v>
      </c>
      <c r="H3660" s="137"/>
      <c r="I3660" s="137"/>
      <c r="J3660" s="135"/>
      <c r="K3660" s="135"/>
      <c r="L3660" s="135"/>
      <c r="M3660" s="135"/>
      <c r="N3660" s="135"/>
      <c r="O3660" s="135"/>
      <c r="P3660" s="135"/>
      <c r="Q3660" s="135"/>
      <c r="R3660" s="135"/>
      <c r="S3660" s="135"/>
      <c r="T3660" s="135"/>
      <c r="U3660" s="135"/>
      <c r="V3660" s="135"/>
      <c r="W3660" s="135"/>
      <c r="X3660" s="135"/>
      <c r="Y3660" s="135"/>
      <c r="Z3660" s="135"/>
    </row>
    <row r="3661" spans="1:26" ht="12.75">
      <c r="A3661" s="136" t="s">
        <v>10</v>
      </c>
      <c r="B3661" s="136" t="s">
        <v>7876</v>
      </c>
      <c r="C3661" s="136" t="s">
        <v>7894</v>
      </c>
      <c r="D3661" s="136" t="s">
        <v>7880</v>
      </c>
      <c r="E3661" s="136" t="s">
        <v>615</v>
      </c>
      <c r="F3661" s="136">
        <v>158</v>
      </c>
      <c r="G3661" s="137">
        <f t="shared" si="14"/>
        <v>5</v>
      </c>
      <c r="H3661" s="137"/>
      <c r="I3661" s="137"/>
      <c r="J3661" s="135"/>
      <c r="K3661" s="135"/>
      <c r="L3661" s="135"/>
      <c r="M3661" s="135"/>
      <c r="N3661" s="135"/>
      <c r="O3661" s="135"/>
      <c r="P3661" s="135"/>
      <c r="Q3661" s="135"/>
      <c r="R3661" s="135"/>
      <c r="S3661" s="135"/>
      <c r="T3661" s="135"/>
      <c r="U3661" s="135"/>
      <c r="V3661" s="135"/>
      <c r="W3661" s="135"/>
      <c r="X3661" s="135"/>
      <c r="Y3661" s="135"/>
      <c r="Z3661" s="135"/>
    </row>
    <row r="3662" spans="1:26" ht="12.75">
      <c r="A3662" s="136" t="s">
        <v>10</v>
      </c>
      <c r="B3662" s="136" t="s">
        <v>7876</v>
      </c>
      <c r="C3662" s="136" t="s">
        <v>7894</v>
      </c>
      <c r="D3662" s="136" t="s">
        <v>7481</v>
      </c>
      <c r="E3662" s="136" t="s">
        <v>615</v>
      </c>
      <c r="F3662" s="136">
        <v>152</v>
      </c>
      <c r="G3662" s="137">
        <f t="shared" si="14"/>
        <v>6</v>
      </c>
      <c r="H3662" s="137"/>
      <c r="I3662" s="137"/>
      <c r="J3662" s="135"/>
      <c r="K3662" s="135"/>
      <c r="L3662" s="135"/>
      <c r="M3662" s="135"/>
      <c r="N3662" s="135"/>
      <c r="O3662" s="135"/>
      <c r="P3662" s="135"/>
      <c r="Q3662" s="135"/>
      <c r="R3662" s="135"/>
      <c r="S3662" s="135"/>
      <c r="T3662" s="135"/>
      <c r="U3662" s="135"/>
      <c r="V3662" s="135"/>
      <c r="W3662" s="135"/>
      <c r="X3662" s="135"/>
      <c r="Y3662" s="135"/>
      <c r="Z3662" s="135"/>
    </row>
    <row r="3663" spans="1:26" ht="12.75">
      <c r="A3663" s="136" t="s">
        <v>10</v>
      </c>
      <c r="B3663" s="136" t="s">
        <v>7876</v>
      </c>
      <c r="C3663" s="136" t="s">
        <v>7896</v>
      </c>
      <c r="D3663" s="136" t="s">
        <v>7897</v>
      </c>
      <c r="E3663" s="136" t="s">
        <v>594</v>
      </c>
      <c r="F3663" s="136">
        <v>491</v>
      </c>
      <c r="G3663" s="137">
        <f t="shared" si="14"/>
        <v>2</v>
      </c>
      <c r="H3663" s="137"/>
      <c r="I3663" s="137"/>
      <c r="J3663" s="135"/>
      <c r="K3663" s="135"/>
      <c r="L3663" s="135"/>
      <c r="M3663" s="135"/>
      <c r="N3663" s="135"/>
      <c r="O3663" s="135"/>
      <c r="P3663" s="135"/>
      <c r="Q3663" s="135"/>
      <c r="R3663" s="135"/>
      <c r="S3663" s="135"/>
      <c r="T3663" s="135"/>
      <c r="U3663" s="135"/>
      <c r="V3663" s="135"/>
      <c r="W3663" s="135"/>
      <c r="X3663" s="135"/>
      <c r="Y3663" s="135"/>
      <c r="Z3663" s="135"/>
    </row>
    <row r="3664" spans="1:26" ht="12.75">
      <c r="A3664" s="136" t="s">
        <v>10</v>
      </c>
      <c r="B3664" s="136" t="s">
        <v>7876</v>
      </c>
      <c r="C3664" s="136" t="s">
        <v>7896</v>
      </c>
      <c r="D3664" s="136" t="s">
        <v>7880</v>
      </c>
      <c r="E3664" s="136" t="s">
        <v>615</v>
      </c>
      <c r="F3664" s="136">
        <v>380</v>
      </c>
      <c r="G3664" s="137">
        <f t="shared" si="14"/>
        <v>3</v>
      </c>
      <c r="H3664" s="137"/>
      <c r="I3664" s="137"/>
      <c r="J3664" s="135"/>
      <c r="K3664" s="135"/>
      <c r="L3664" s="135"/>
      <c r="M3664" s="135"/>
      <c r="N3664" s="135"/>
      <c r="O3664" s="135"/>
      <c r="P3664" s="135"/>
      <c r="Q3664" s="135"/>
      <c r="R3664" s="135"/>
      <c r="S3664" s="135"/>
      <c r="T3664" s="135"/>
      <c r="U3664" s="135"/>
      <c r="V3664" s="135"/>
      <c r="W3664" s="135"/>
      <c r="X3664" s="135"/>
      <c r="Y3664" s="135"/>
      <c r="Z3664" s="135"/>
    </row>
    <row r="3665" spans="1:26" ht="12.75">
      <c r="A3665" s="136" t="s">
        <v>10</v>
      </c>
      <c r="B3665" s="136" t="s">
        <v>7876</v>
      </c>
      <c r="C3665" s="136" t="s">
        <v>7896</v>
      </c>
      <c r="D3665" s="136" t="s">
        <v>7898</v>
      </c>
      <c r="E3665" s="136" t="s">
        <v>615</v>
      </c>
      <c r="F3665" s="136">
        <v>180</v>
      </c>
      <c r="G3665" s="137">
        <f t="shared" si="14"/>
        <v>4</v>
      </c>
      <c r="H3665" s="137"/>
      <c r="I3665" s="137"/>
      <c r="J3665" s="135"/>
      <c r="K3665" s="135"/>
      <c r="L3665" s="135"/>
      <c r="M3665" s="135"/>
      <c r="N3665" s="135"/>
      <c r="O3665" s="135"/>
      <c r="P3665" s="135"/>
      <c r="Q3665" s="135"/>
      <c r="R3665" s="135"/>
      <c r="S3665" s="135"/>
      <c r="T3665" s="135"/>
      <c r="U3665" s="135"/>
      <c r="V3665" s="135"/>
      <c r="W3665" s="135"/>
      <c r="X3665" s="135"/>
      <c r="Y3665" s="135"/>
      <c r="Z3665" s="135"/>
    </row>
    <row r="3666" spans="1:26" ht="12.75">
      <c r="A3666" s="136" t="s">
        <v>10</v>
      </c>
      <c r="B3666" s="136" t="s">
        <v>7876</v>
      </c>
      <c r="C3666" s="136" t="s">
        <v>7896</v>
      </c>
      <c r="D3666" s="136" t="s">
        <v>7899</v>
      </c>
      <c r="E3666" s="136" t="s">
        <v>615</v>
      </c>
      <c r="F3666" s="136">
        <v>160</v>
      </c>
      <c r="G3666" s="137">
        <f t="shared" si="14"/>
        <v>5</v>
      </c>
      <c r="H3666" s="137"/>
      <c r="I3666" s="137"/>
      <c r="J3666" s="135"/>
      <c r="K3666" s="135"/>
      <c r="L3666" s="135"/>
      <c r="M3666" s="135"/>
      <c r="N3666" s="135"/>
      <c r="O3666" s="135"/>
      <c r="P3666" s="135"/>
      <c r="Q3666" s="135"/>
      <c r="R3666" s="135"/>
      <c r="S3666" s="135"/>
      <c r="T3666" s="135"/>
      <c r="U3666" s="135"/>
      <c r="V3666" s="135"/>
      <c r="W3666" s="135"/>
      <c r="X3666" s="135"/>
      <c r="Y3666" s="135"/>
      <c r="Z3666" s="135"/>
    </row>
    <row r="3667" spans="1:26" ht="12.75">
      <c r="A3667" s="136" t="s">
        <v>10</v>
      </c>
      <c r="B3667" s="136" t="s">
        <v>7876</v>
      </c>
      <c r="C3667" s="136" t="s">
        <v>7896</v>
      </c>
      <c r="D3667" s="136" t="s">
        <v>7481</v>
      </c>
      <c r="E3667" s="136" t="s">
        <v>615</v>
      </c>
      <c r="F3667" s="136">
        <v>101</v>
      </c>
      <c r="G3667" s="137">
        <f t="shared" si="14"/>
        <v>7</v>
      </c>
      <c r="H3667" s="137"/>
      <c r="I3667" s="137"/>
      <c r="J3667" s="135"/>
      <c r="K3667" s="135"/>
      <c r="L3667" s="135"/>
      <c r="M3667" s="135"/>
      <c r="N3667" s="135"/>
      <c r="O3667" s="135"/>
      <c r="P3667" s="135"/>
      <c r="Q3667" s="135"/>
      <c r="R3667" s="135"/>
      <c r="S3667" s="135"/>
      <c r="T3667" s="135"/>
      <c r="U3667" s="135"/>
      <c r="V3667" s="135"/>
      <c r="W3667" s="135"/>
      <c r="X3667" s="135"/>
      <c r="Y3667" s="135"/>
      <c r="Z3667" s="135"/>
    </row>
    <row r="3668" spans="1:26" ht="12.75">
      <c r="A3668" s="136" t="s">
        <v>10</v>
      </c>
      <c r="B3668" s="136" t="s">
        <v>7876</v>
      </c>
      <c r="C3668" s="136" t="s">
        <v>7900</v>
      </c>
      <c r="D3668" s="136" t="s">
        <v>7879</v>
      </c>
      <c r="E3668" s="136" t="s">
        <v>594</v>
      </c>
      <c r="F3668" s="136">
        <v>754</v>
      </c>
      <c r="G3668" s="137">
        <f t="shared" si="14"/>
        <v>1</v>
      </c>
      <c r="H3668" s="137"/>
      <c r="I3668" s="137"/>
      <c r="J3668" s="135"/>
      <c r="K3668" s="135"/>
      <c r="L3668" s="135"/>
      <c r="M3668" s="135"/>
      <c r="N3668" s="135"/>
      <c r="O3668" s="135"/>
      <c r="P3668" s="135"/>
      <c r="Q3668" s="135"/>
      <c r="R3668" s="135"/>
      <c r="S3668" s="135"/>
      <c r="T3668" s="135"/>
      <c r="U3668" s="135"/>
      <c r="V3668" s="135"/>
      <c r="W3668" s="135"/>
      <c r="X3668" s="135"/>
      <c r="Y3668" s="135"/>
      <c r="Z3668" s="135"/>
    </row>
    <row r="3669" spans="1:26" ht="12.75">
      <c r="A3669" s="136" t="s">
        <v>10</v>
      </c>
      <c r="B3669" s="136" t="s">
        <v>7876</v>
      </c>
      <c r="C3669" s="136" t="s">
        <v>7900</v>
      </c>
      <c r="D3669" s="136" t="s">
        <v>7481</v>
      </c>
      <c r="E3669" s="136" t="s">
        <v>615</v>
      </c>
      <c r="F3669" s="136">
        <v>388</v>
      </c>
      <c r="G3669" s="137">
        <f t="shared" si="14"/>
        <v>4</v>
      </c>
      <c r="H3669" s="137"/>
      <c r="I3669" s="137"/>
      <c r="J3669" s="135"/>
      <c r="K3669" s="135"/>
      <c r="L3669" s="135"/>
      <c r="M3669" s="135"/>
      <c r="N3669" s="135"/>
      <c r="O3669" s="135"/>
      <c r="P3669" s="135"/>
      <c r="Q3669" s="135"/>
      <c r="R3669" s="135"/>
      <c r="S3669" s="135"/>
      <c r="T3669" s="135"/>
      <c r="U3669" s="135"/>
      <c r="V3669" s="135"/>
      <c r="W3669" s="135"/>
      <c r="X3669" s="135"/>
      <c r="Y3669" s="135"/>
      <c r="Z3669" s="135"/>
    </row>
    <row r="3670" spans="1:26" ht="12.75">
      <c r="A3670" s="136" t="s">
        <v>10</v>
      </c>
      <c r="B3670" s="136" t="s">
        <v>7876</v>
      </c>
      <c r="C3670" s="136" t="s">
        <v>7900</v>
      </c>
      <c r="D3670" s="136" t="s">
        <v>7881</v>
      </c>
      <c r="E3670" s="136" t="s">
        <v>594</v>
      </c>
      <c r="F3670" s="136">
        <v>280</v>
      </c>
      <c r="G3670" s="137">
        <f t="shared" si="14"/>
        <v>5</v>
      </c>
      <c r="H3670" s="137"/>
      <c r="I3670" s="137"/>
      <c r="J3670" s="135"/>
      <c r="K3670" s="135"/>
      <c r="L3670" s="135"/>
      <c r="M3670" s="135"/>
      <c r="N3670" s="135"/>
      <c r="O3670" s="135"/>
      <c r="P3670" s="135"/>
      <c r="Q3670" s="135"/>
      <c r="R3670" s="135"/>
      <c r="S3670" s="135"/>
      <c r="T3670" s="135"/>
      <c r="U3670" s="135"/>
      <c r="V3670" s="135"/>
      <c r="W3670" s="135"/>
      <c r="X3670" s="135"/>
      <c r="Y3670" s="135"/>
      <c r="Z3670" s="135"/>
    </row>
    <row r="3671" spans="1:26" ht="12.75">
      <c r="A3671" s="136" t="s">
        <v>10</v>
      </c>
      <c r="B3671" s="136" t="s">
        <v>7876</v>
      </c>
      <c r="C3671" s="136" t="s">
        <v>7900</v>
      </c>
      <c r="D3671" s="136" t="s">
        <v>7887</v>
      </c>
      <c r="E3671" s="136" t="s">
        <v>615</v>
      </c>
      <c r="F3671" s="136">
        <v>215</v>
      </c>
      <c r="G3671" s="137">
        <f t="shared" si="14"/>
        <v>6</v>
      </c>
      <c r="H3671" s="137"/>
      <c r="I3671" s="137"/>
      <c r="J3671" s="135"/>
      <c r="K3671" s="135"/>
      <c r="L3671" s="135"/>
      <c r="M3671" s="135"/>
      <c r="N3671" s="135"/>
      <c r="O3671" s="135"/>
      <c r="P3671" s="135"/>
      <c r="Q3671" s="135"/>
      <c r="R3671" s="135"/>
      <c r="S3671" s="135"/>
      <c r="T3671" s="135"/>
      <c r="U3671" s="135"/>
      <c r="V3671" s="135"/>
      <c r="W3671" s="135"/>
      <c r="X3671" s="135"/>
      <c r="Y3671" s="135"/>
      <c r="Z3671" s="135"/>
    </row>
    <row r="3672" spans="1:26" ht="12.75">
      <c r="A3672" s="136" t="s">
        <v>10</v>
      </c>
      <c r="B3672" s="136" t="s">
        <v>7876</v>
      </c>
      <c r="C3672" s="136" t="s">
        <v>7901</v>
      </c>
      <c r="D3672" s="136" t="s">
        <v>7879</v>
      </c>
      <c r="E3672" s="136" t="s">
        <v>594</v>
      </c>
      <c r="F3672" s="136">
        <v>591</v>
      </c>
      <c r="G3672" s="137">
        <f t="shared" si="14"/>
        <v>1</v>
      </c>
      <c r="H3672" s="137"/>
      <c r="I3672" s="137"/>
      <c r="J3672" s="135"/>
      <c r="K3672" s="135"/>
      <c r="L3672" s="135"/>
      <c r="M3672" s="135"/>
      <c r="N3672" s="135"/>
      <c r="O3672" s="135"/>
      <c r="P3672" s="135"/>
      <c r="Q3672" s="135"/>
      <c r="R3672" s="135"/>
      <c r="S3672" s="135"/>
      <c r="T3672" s="135"/>
      <c r="U3672" s="135"/>
      <c r="V3672" s="135"/>
      <c r="W3672" s="135"/>
      <c r="X3672" s="135"/>
      <c r="Y3672" s="135"/>
      <c r="Z3672" s="135"/>
    </row>
    <row r="3673" spans="1:26" ht="12.75">
      <c r="A3673" s="136" t="s">
        <v>10</v>
      </c>
      <c r="B3673" s="136" t="s">
        <v>7876</v>
      </c>
      <c r="C3673" s="136" t="s">
        <v>7901</v>
      </c>
      <c r="D3673" s="136" t="s">
        <v>7481</v>
      </c>
      <c r="E3673" s="136" t="s">
        <v>615</v>
      </c>
      <c r="F3673" s="136">
        <v>312</v>
      </c>
      <c r="G3673" s="137">
        <f t="shared" si="14"/>
        <v>4</v>
      </c>
      <c r="H3673" s="137"/>
      <c r="I3673" s="137"/>
      <c r="J3673" s="135"/>
      <c r="K3673" s="135"/>
      <c r="L3673" s="135"/>
      <c r="M3673" s="135"/>
      <c r="N3673" s="135"/>
      <c r="O3673" s="135"/>
      <c r="P3673" s="135"/>
      <c r="Q3673" s="135"/>
      <c r="R3673" s="135"/>
      <c r="S3673" s="135"/>
      <c r="T3673" s="135"/>
      <c r="U3673" s="135"/>
      <c r="V3673" s="135"/>
      <c r="W3673" s="135"/>
      <c r="X3673" s="135"/>
      <c r="Y3673" s="135"/>
      <c r="Z3673" s="135"/>
    </row>
    <row r="3674" spans="1:26" ht="12.75">
      <c r="A3674" s="136" t="s">
        <v>10</v>
      </c>
      <c r="B3674" s="136" t="s">
        <v>7876</v>
      </c>
      <c r="C3674" s="136" t="s">
        <v>7901</v>
      </c>
      <c r="D3674" s="136" t="s">
        <v>7902</v>
      </c>
      <c r="E3674" s="136" t="s">
        <v>615</v>
      </c>
      <c r="F3674" s="136">
        <v>290</v>
      </c>
      <c r="G3674" s="137">
        <f t="shared" si="14"/>
        <v>5</v>
      </c>
      <c r="H3674" s="137"/>
      <c r="I3674" s="137"/>
      <c r="J3674" s="135"/>
      <c r="K3674" s="135"/>
      <c r="L3674" s="135"/>
      <c r="M3674" s="135"/>
      <c r="N3674" s="135"/>
      <c r="O3674" s="135"/>
      <c r="P3674" s="135"/>
      <c r="Q3674" s="135"/>
      <c r="R3674" s="135"/>
      <c r="S3674" s="135"/>
      <c r="T3674" s="135"/>
      <c r="U3674" s="135"/>
      <c r="V3674" s="135"/>
      <c r="W3674" s="135"/>
      <c r="X3674" s="135"/>
      <c r="Y3674" s="135"/>
      <c r="Z3674" s="135"/>
    </row>
    <row r="3675" spans="1:26" ht="25.5">
      <c r="A3675" s="136" t="s">
        <v>10</v>
      </c>
      <c r="B3675" s="136" t="s">
        <v>7876</v>
      </c>
      <c r="C3675" s="136" t="s">
        <v>7901</v>
      </c>
      <c r="D3675" s="136" t="s">
        <v>7903</v>
      </c>
      <c r="E3675" s="136" t="s">
        <v>615</v>
      </c>
      <c r="F3675" s="136">
        <v>271</v>
      </c>
      <c r="G3675" s="137">
        <f t="shared" si="14"/>
        <v>6</v>
      </c>
      <c r="H3675" s="137"/>
      <c r="I3675" s="137"/>
      <c r="J3675" s="135"/>
      <c r="K3675" s="135"/>
      <c r="L3675" s="135"/>
      <c r="M3675" s="135"/>
      <c r="N3675" s="135"/>
      <c r="O3675" s="135"/>
      <c r="P3675" s="135"/>
      <c r="Q3675" s="135"/>
      <c r="R3675" s="135"/>
      <c r="S3675" s="135"/>
      <c r="T3675" s="135"/>
      <c r="U3675" s="135"/>
      <c r="V3675" s="135"/>
      <c r="W3675" s="135"/>
      <c r="X3675" s="135"/>
      <c r="Y3675" s="135"/>
      <c r="Z3675" s="135"/>
    </row>
    <row r="3676" spans="1:26" ht="12.75">
      <c r="A3676" s="136" t="s">
        <v>10</v>
      </c>
      <c r="B3676" s="136" t="s">
        <v>7876</v>
      </c>
      <c r="C3676" s="136" t="s">
        <v>7904</v>
      </c>
      <c r="D3676" s="136" t="s">
        <v>7481</v>
      </c>
      <c r="E3676" s="136" t="s">
        <v>615</v>
      </c>
      <c r="F3676" s="136">
        <v>557</v>
      </c>
      <c r="G3676" s="137">
        <f t="shared" si="14"/>
        <v>2</v>
      </c>
      <c r="H3676" s="137"/>
      <c r="I3676" s="137"/>
      <c r="J3676" s="135"/>
      <c r="K3676" s="135"/>
      <c r="L3676" s="135"/>
      <c r="M3676" s="135"/>
      <c r="N3676" s="135"/>
      <c r="O3676" s="135"/>
      <c r="P3676" s="135"/>
      <c r="Q3676" s="135"/>
      <c r="R3676" s="135"/>
      <c r="S3676" s="135"/>
      <c r="T3676" s="135"/>
      <c r="U3676" s="135"/>
      <c r="V3676" s="135"/>
      <c r="W3676" s="135"/>
      <c r="X3676" s="135"/>
      <c r="Y3676" s="135"/>
      <c r="Z3676" s="135"/>
    </row>
    <row r="3677" spans="1:26" ht="12.75">
      <c r="A3677" s="136" t="s">
        <v>10</v>
      </c>
      <c r="B3677" s="136" t="s">
        <v>7876</v>
      </c>
      <c r="C3677" s="136" t="s">
        <v>7904</v>
      </c>
      <c r="D3677" s="136" t="s">
        <v>7879</v>
      </c>
      <c r="E3677" s="136" t="s">
        <v>594</v>
      </c>
      <c r="F3677" s="136">
        <v>350</v>
      </c>
      <c r="G3677" s="137">
        <f t="shared" si="14"/>
        <v>3</v>
      </c>
      <c r="H3677" s="137"/>
      <c r="I3677" s="137"/>
      <c r="J3677" s="135"/>
      <c r="K3677" s="135"/>
      <c r="L3677" s="135"/>
      <c r="M3677" s="135"/>
      <c r="N3677" s="135"/>
      <c r="O3677" s="135"/>
      <c r="P3677" s="135"/>
      <c r="Q3677" s="135"/>
      <c r="R3677" s="135"/>
      <c r="S3677" s="135"/>
      <c r="T3677" s="135"/>
      <c r="U3677" s="135"/>
      <c r="V3677" s="135"/>
      <c r="W3677" s="135"/>
      <c r="X3677" s="135"/>
      <c r="Y3677" s="135"/>
      <c r="Z3677" s="135"/>
    </row>
    <row r="3678" spans="1:26" ht="25.5">
      <c r="A3678" s="136" t="s">
        <v>10</v>
      </c>
      <c r="B3678" s="136" t="s">
        <v>7876</v>
      </c>
      <c r="C3678" s="136" t="s">
        <v>7904</v>
      </c>
      <c r="D3678" s="136" t="s">
        <v>7903</v>
      </c>
      <c r="E3678" s="136" t="s">
        <v>615</v>
      </c>
      <c r="F3678" s="136">
        <v>333</v>
      </c>
      <c r="G3678" s="137">
        <f t="shared" si="14"/>
        <v>4</v>
      </c>
      <c r="H3678" s="137"/>
      <c r="I3678" s="137"/>
      <c r="J3678" s="135"/>
      <c r="K3678" s="135"/>
      <c r="L3678" s="135"/>
      <c r="M3678" s="135"/>
      <c r="N3678" s="135"/>
      <c r="O3678" s="135"/>
      <c r="P3678" s="135"/>
      <c r="Q3678" s="135"/>
      <c r="R3678" s="135"/>
      <c r="S3678" s="135"/>
      <c r="T3678" s="135"/>
      <c r="U3678" s="135"/>
      <c r="V3678" s="135"/>
      <c r="W3678" s="135"/>
      <c r="X3678" s="135"/>
      <c r="Y3678" s="135"/>
      <c r="Z3678" s="135"/>
    </row>
    <row r="3679" spans="1:26" ht="12.75">
      <c r="A3679" s="136" t="s">
        <v>10</v>
      </c>
      <c r="B3679" s="136" t="s">
        <v>7876</v>
      </c>
      <c r="C3679" s="136" t="s">
        <v>7904</v>
      </c>
      <c r="D3679" s="136" t="s">
        <v>7881</v>
      </c>
      <c r="E3679" s="136" t="s">
        <v>594</v>
      </c>
      <c r="F3679" s="136">
        <v>260</v>
      </c>
      <c r="G3679" s="137">
        <f t="shared" si="14"/>
        <v>5</v>
      </c>
      <c r="H3679" s="137"/>
      <c r="I3679" s="137"/>
      <c r="J3679" s="135"/>
      <c r="K3679" s="135"/>
      <c r="L3679" s="135"/>
      <c r="M3679" s="135"/>
      <c r="N3679" s="135"/>
      <c r="O3679" s="135"/>
      <c r="P3679" s="135"/>
      <c r="Q3679" s="135"/>
      <c r="R3679" s="135"/>
      <c r="S3679" s="135"/>
      <c r="T3679" s="135"/>
      <c r="U3679" s="135"/>
      <c r="V3679" s="135"/>
      <c r="W3679" s="135"/>
      <c r="X3679" s="135"/>
      <c r="Y3679" s="135"/>
      <c r="Z3679" s="135"/>
    </row>
    <row r="3680" spans="1:26" ht="12.75">
      <c r="A3680" s="136" t="s">
        <v>10</v>
      </c>
      <c r="B3680" s="136" t="s">
        <v>7876</v>
      </c>
      <c r="C3680" s="136" t="s">
        <v>7904</v>
      </c>
      <c r="D3680" s="136" t="s">
        <v>7887</v>
      </c>
      <c r="E3680" s="136" t="s">
        <v>615</v>
      </c>
      <c r="F3680" s="136">
        <v>234</v>
      </c>
      <c r="G3680" s="137">
        <f t="shared" si="14"/>
        <v>6</v>
      </c>
      <c r="H3680" s="137"/>
      <c r="I3680" s="137"/>
      <c r="J3680" s="135"/>
      <c r="K3680" s="135"/>
      <c r="L3680" s="135"/>
      <c r="M3680" s="135"/>
      <c r="N3680" s="135"/>
      <c r="O3680" s="135"/>
      <c r="P3680" s="135"/>
      <c r="Q3680" s="135"/>
      <c r="R3680" s="135"/>
      <c r="S3680" s="135"/>
      <c r="T3680" s="135"/>
      <c r="U3680" s="135"/>
      <c r="V3680" s="135"/>
      <c r="W3680" s="135"/>
      <c r="X3680" s="135"/>
      <c r="Y3680" s="135"/>
      <c r="Z3680" s="135"/>
    </row>
    <row r="3681" spans="1:26" ht="12.75">
      <c r="A3681" s="136" t="s">
        <v>10</v>
      </c>
      <c r="B3681" s="136" t="s">
        <v>7876</v>
      </c>
      <c r="C3681" s="136" t="s">
        <v>7904</v>
      </c>
      <c r="D3681" s="136" t="s">
        <v>7878</v>
      </c>
      <c r="E3681" s="136" t="s">
        <v>85</v>
      </c>
      <c r="F3681" s="136">
        <v>190</v>
      </c>
      <c r="G3681" s="137">
        <f t="shared" si="14"/>
        <v>7</v>
      </c>
      <c r="H3681" s="137"/>
      <c r="I3681" s="137"/>
      <c r="J3681" s="135"/>
      <c r="K3681" s="135"/>
      <c r="L3681" s="135"/>
      <c r="M3681" s="135"/>
      <c r="N3681" s="135"/>
      <c r="O3681" s="135"/>
      <c r="P3681" s="135"/>
      <c r="Q3681" s="135"/>
      <c r="R3681" s="135"/>
      <c r="S3681" s="135"/>
      <c r="T3681" s="135"/>
      <c r="U3681" s="135"/>
      <c r="V3681" s="135"/>
      <c r="W3681" s="135"/>
      <c r="X3681" s="135"/>
      <c r="Y3681" s="135"/>
      <c r="Z3681" s="135"/>
    </row>
    <row r="3682" spans="1:26" ht="25.5">
      <c r="A3682" s="136" t="s">
        <v>10</v>
      </c>
      <c r="B3682" s="136" t="s">
        <v>7876</v>
      </c>
      <c r="C3682" s="136" t="s">
        <v>7905</v>
      </c>
      <c r="D3682" s="136" t="s">
        <v>7906</v>
      </c>
      <c r="E3682" s="136" t="s">
        <v>615</v>
      </c>
      <c r="F3682" s="136">
        <v>770</v>
      </c>
      <c r="G3682" s="137">
        <f t="shared" si="14"/>
        <v>1</v>
      </c>
      <c r="H3682" s="137"/>
      <c r="I3682" s="137"/>
      <c r="J3682" s="135"/>
      <c r="K3682" s="135"/>
      <c r="L3682" s="135"/>
      <c r="M3682" s="135"/>
      <c r="N3682" s="135"/>
      <c r="O3682" s="135"/>
      <c r="P3682" s="135"/>
      <c r="Q3682" s="135"/>
      <c r="R3682" s="135"/>
      <c r="S3682" s="135"/>
      <c r="T3682" s="135"/>
      <c r="U3682" s="135"/>
      <c r="V3682" s="135"/>
      <c r="W3682" s="135"/>
      <c r="X3682" s="135"/>
      <c r="Y3682" s="135"/>
      <c r="Z3682" s="135"/>
    </row>
    <row r="3683" spans="1:26" ht="12.75">
      <c r="A3683" s="136" t="s">
        <v>10</v>
      </c>
      <c r="B3683" s="136" t="s">
        <v>7876</v>
      </c>
      <c r="C3683" s="136" t="s">
        <v>7905</v>
      </c>
      <c r="D3683" s="136" t="s">
        <v>7890</v>
      </c>
      <c r="E3683" s="136" t="s">
        <v>594</v>
      </c>
      <c r="F3683" s="136">
        <v>400</v>
      </c>
      <c r="G3683" s="137">
        <f t="shared" si="14"/>
        <v>3</v>
      </c>
      <c r="H3683" s="137"/>
      <c r="I3683" s="137"/>
      <c r="J3683" s="135"/>
      <c r="K3683" s="135"/>
      <c r="L3683" s="135"/>
      <c r="M3683" s="135"/>
      <c r="N3683" s="135"/>
      <c r="O3683" s="135"/>
      <c r="P3683" s="135"/>
      <c r="Q3683" s="135"/>
      <c r="R3683" s="135"/>
      <c r="S3683" s="135"/>
      <c r="T3683" s="135"/>
      <c r="U3683" s="135"/>
      <c r="V3683" s="135"/>
      <c r="W3683" s="135"/>
      <c r="X3683" s="135"/>
      <c r="Y3683" s="135"/>
      <c r="Z3683" s="135"/>
    </row>
    <row r="3684" spans="1:26" ht="12.75">
      <c r="A3684" s="136" t="s">
        <v>10</v>
      </c>
      <c r="B3684" s="136" t="s">
        <v>7876</v>
      </c>
      <c r="C3684" s="136" t="s">
        <v>7905</v>
      </c>
      <c r="D3684" s="136" t="s">
        <v>7880</v>
      </c>
      <c r="E3684" s="136" t="s">
        <v>615</v>
      </c>
      <c r="F3684" s="136">
        <v>180</v>
      </c>
      <c r="G3684" s="137">
        <f t="shared" si="14"/>
        <v>5</v>
      </c>
      <c r="H3684" s="137"/>
      <c r="I3684" s="137"/>
      <c r="J3684" s="135"/>
      <c r="K3684" s="135"/>
      <c r="L3684" s="135"/>
      <c r="M3684" s="135"/>
      <c r="N3684" s="135"/>
      <c r="O3684" s="135"/>
      <c r="P3684" s="135"/>
      <c r="Q3684" s="135"/>
      <c r="R3684" s="135"/>
      <c r="S3684" s="135"/>
      <c r="T3684" s="135"/>
      <c r="U3684" s="135"/>
      <c r="V3684" s="135"/>
      <c r="W3684" s="135"/>
      <c r="X3684" s="135"/>
      <c r="Y3684" s="135"/>
      <c r="Z3684" s="135"/>
    </row>
    <row r="3685" spans="1:26" ht="12.75">
      <c r="A3685" s="136" t="s">
        <v>10</v>
      </c>
      <c r="B3685" s="136" t="s">
        <v>7876</v>
      </c>
      <c r="C3685" s="136" t="s">
        <v>7905</v>
      </c>
      <c r="D3685" s="136" t="s">
        <v>7481</v>
      </c>
      <c r="E3685" s="136" t="s">
        <v>615</v>
      </c>
      <c r="F3685" s="136">
        <v>144</v>
      </c>
      <c r="G3685" s="137">
        <f t="shared" si="14"/>
        <v>6</v>
      </c>
      <c r="H3685" s="137"/>
      <c r="I3685" s="137"/>
      <c r="J3685" s="135"/>
      <c r="K3685" s="135"/>
      <c r="L3685" s="135"/>
      <c r="M3685" s="135"/>
      <c r="N3685" s="135"/>
      <c r="O3685" s="135"/>
      <c r="P3685" s="135"/>
      <c r="Q3685" s="135"/>
      <c r="R3685" s="135"/>
      <c r="S3685" s="135"/>
      <c r="T3685" s="135"/>
      <c r="U3685" s="135"/>
      <c r="V3685" s="135"/>
      <c r="W3685" s="135"/>
      <c r="X3685" s="135"/>
      <c r="Y3685" s="135"/>
      <c r="Z3685" s="135"/>
    </row>
    <row r="3686" spans="1:26" ht="12.75">
      <c r="A3686" s="136" t="s">
        <v>10</v>
      </c>
      <c r="B3686" s="136" t="s">
        <v>7876</v>
      </c>
      <c r="C3686" s="136" t="s">
        <v>7905</v>
      </c>
      <c r="D3686" s="136" t="s">
        <v>7898</v>
      </c>
      <c r="E3686" s="136" t="s">
        <v>615</v>
      </c>
      <c r="F3686" s="136">
        <v>110</v>
      </c>
      <c r="G3686" s="137">
        <f t="shared" si="14"/>
        <v>7</v>
      </c>
      <c r="H3686" s="137"/>
      <c r="I3686" s="137"/>
      <c r="J3686" s="135"/>
      <c r="K3686" s="135"/>
      <c r="L3686" s="135"/>
      <c r="M3686" s="135"/>
      <c r="N3686" s="135"/>
      <c r="O3686" s="135"/>
      <c r="P3686" s="135"/>
      <c r="Q3686" s="135"/>
      <c r="R3686" s="135"/>
      <c r="S3686" s="135"/>
      <c r="T3686" s="135"/>
      <c r="U3686" s="135"/>
      <c r="V3686" s="135"/>
      <c r="W3686" s="135"/>
      <c r="X3686" s="135"/>
      <c r="Y3686" s="135"/>
      <c r="Z3686" s="135"/>
    </row>
    <row r="3687" spans="1:26" ht="12.75">
      <c r="A3687" s="136" t="s">
        <v>10</v>
      </c>
      <c r="B3687" s="136" t="s">
        <v>7876</v>
      </c>
      <c r="C3687" s="136" t="s">
        <v>7907</v>
      </c>
      <c r="D3687" s="136" t="s">
        <v>7878</v>
      </c>
      <c r="E3687" s="136" t="s">
        <v>85</v>
      </c>
      <c r="F3687" s="136">
        <v>980</v>
      </c>
      <c r="G3687" s="137">
        <f t="shared" si="14"/>
        <v>1</v>
      </c>
      <c r="H3687" s="137"/>
      <c r="I3687" s="137"/>
      <c r="J3687" s="135"/>
      <c r="K3687" s="135"/>
      <c r="L3687" s="135"/>
      <c r="M3687" s="135"/>
      <c r="N3687" s="135"/>
      <c r="O3687" s="135"/>
      <c r="P3687" s="135"/>
      <c r="Q3687" s="135"/>
      <c r="R3687" s="135"/>
      <c r="S3687" s="135"/>
      <c r="T3687" s="135"/>
      <c r="U3687" s="135"/>
      <c r="V3687" s="135"/>
      <c r="W3687" s="135"/>
      <c r="X3687" s="135"/>
      <c r="Y3687" s="135"/>
      <c r="Z3687" s="135"/>
    </row>
    <row r="3688" spans="1:26" ht="12.75">
      <c r="A3688" s="136" t="s">
        <v>10</v>
      </c>
      <c r="B3688" s="136" t="s">
        <v>7876</v>
      </c>
      <c r="C3688" s="136" t="s">
        <v>7907</v>
      </c>
      <c r="D3688" s="136" t="s">
        <v>7879</v>
      </c>
      <c r="E3688" s="136" t="s">
        <v>594</v>
      </c>
      <c r="F3688" s="136">
        <v>203</v>
      </c>
      <c r="G3688" s="137">
        <f t="shared" si="14"/>
        <v>4</v>
      </c>
      <c r="H3688" s="137"/>
      <c r="I3688" s="137"/>
      <c r="J3688" s="135"/>
      <c r="K3688" s="135"/>
      <c r="L3688" s="135"/>
      <c r="M3688" s="135"/>
      <c r="N3688" s="135"/>
      <c r="O3688" s="135"/>
      <c r="P3688" s="135"/>
      <c r="Q3688" s="135"/>
      <c r="R3688" s="135"/>
      <c r="S3688" s="135"/>
      <c r="T3688" s="135"/>
      <c r="U3688" s="135"/>
      <c r="V3688" s="135"/>
      <c r="W3688" s="135"/>
      <c r="X3688" s="135"/>
      <c r="Y3688" s="135"/>
      <c r="Z3688" s="135"/>
    </row>
    <row r="3689" spans="1:26" ht="12.75">
      <c r="A3689" s="136" t="s">
        <v>10</v>
      </c>
      <c r="B3689" s="136" t="s">
        <v>7876</v>
      </c>
      <c r="C3689" s="136" t="s">
        <v>7907</v>
      </c>
      <c r="D3689" s="136" t="s">
        <v>7481</v>
      </c>
      <c r="E3689" s="136" t="s">
        <v>615</v>
      </c>
      <c r="F3689" s="136">
        <v>81</v>
      </c>
      <c r="G3689" s="137">
        <f t="shared" si="14"/>
        <v>8</v>
      </c>
      <c r="H3689" s="137"/>
      <c r="I3689" s="137"/>
      <c r="J3689" s="135"/>
      <c r="K3689" s="135"/>
      <c r="L3689" s="135"/>
      <c r="M3689" s="135"/>
      <c r="N3689" s="135"/>
      <c r="O3689" s="135"/>
      <c r="P3689" s="135"/>
      <c r="Q3689" s="135"/>
      <c r="R3689" s="135"/>
      <c r="S3689" s="135"/>
      <c r="T3689" s="135"/>
      <c r="U3689" s="135"/>
      <c r="V3689" s="135"/>
      <c r="W3689" s="135"/>
      <c r="X3689" s="135"/>
      <c r="Y3689" s="135"/>
      <c r="Z3689" s="135"/>
    </row>
    <row r="3690" spans="1:26" ht="12.75">
      <c r="A3690" s="136" t="s">
        <v>10</v>
      </c>
      <c r="B3690" s="136" t="s">
        <v>7876</v>
      </c>
      <c r="C3690" s="136" t="s">
        <v>7908</v>
      </c>
      <c r="D3690" s="136" t="s">
        <v>7898</v>
      </c>
      <c r="E3690" s="136" t="s">
        <v>615</v>
      </c>
      <c r="F3690" s="136">
        <v>380</v>
      </c>
      <c r="G3690" s="137">
        <f t="shared" si="14"/>
        <v>2</v>
      </c>
      <c r="H3690" s="137"/>
      <c r="I3690" s="137"/>
      <c r="J3690" s="135"/>
      <c r="K3690" s="135"/>
      <c r="L3690" s="135"/>
      <c r="M3690" s="135"/>
      <c r="N3690" s="135"/>
      <c r="O3690" s="135"/>
      <c r="P3690" s="135"/>
      <c r="Q3690" s="135"/>
      <c r="R3690" s="135"/>
      <c r="S3690" s="135"/>
      <c r="T3690" s="135"/>
      <c r="U3690" s="135"/>
      <c r="V3690" s="135"/>
      <c r="W3690" s="135"/>
      <c r="X3690" s="135"/>
      <c r="Y3690" s="135"/>
      <c r="Z3690" s="135"/>
    </row>
    <row r="3691" spans="1:26" ht="12.75">
      <c r="A3691" s="136" t="s">
        <v>10</v>
      </c>
      <c r="B3691" s="136" t="s">
        <v>7876</v>
      </c>
      <c r="C3691" s="136" t="s">
        <v>7908</v>
      </c>
      <c r="D3691" s="136" t="s">
        <v>7481</v>
      </c>
      <c r="E3691" s="136" t="s">
        <v>615</v>
      </c>
      <c r="F3691" s="136">
        <v>359</v>
      </c>
      <c r="G3691" s="137">
        <f t="shared" si="14"/>
        <v>3</v>
      </c>
      <c r="H3691" s="137"/>
      <c r="I3691" s="137"/>
      <c r="J3691" s="135"/>
      <c r="K3691" s="135"/>
      <c r="L3691" s="135"/>
      <c r="M3691" s="135"/>
      <c r="N3691" s="135"/>
      <c r="O3691" s="135"/>
      <c r="P3691" s="135"/>
      <c r="Q3691" s="135"/>
      <c r="R3691" s="135"/>
      <c r="S3691" s="135"/>
      <c r="T3691" s="135"/>
      <c r="U3691" s="135"/>
      <c r="V3691" s="135"/>
      <c r="W3691" s="135"/>
      <c r="X3691" s="135"/>
      <c r="Y3691" s="135"/>
      <c r="Z3691" s="135"/>
    </row>
    <row r="3692" spans="1:26" ht="12.75">
      <c r="A3692" s="136" t="s">
        <v>10</v>
      </c>
      <c r="B3692" s="136" t="s">
        <v>7876</v>
      </c>
      <c r="C3692" s="136" t="s">
        <v>7908</v>
      </c>
      <c r="D3692" s="136" t="s">
        <v>7879</v>
      </c>
      <c r="E3692" s="136" t="s">
        <v>594</v>
      </c>
      <c r="F3692" s="136">
        <v>350</v>
      </c>
      <c r="G3692" s="137">
        <f t="shared" si="14"/>
        <v>4</v>
      </c>
      <c r="H3692" s="137"/>
      <c r="I3692" s="137"/>
      <c r="J3692" s="135"/>
      <c r="K3692" s="135"/>
      <c r="L3692" s="135"/>
      <c r="M3692" s="135"/>
      <c r="N3692" s="135"/>
      <c r="O3692" s="135"/>
      <c r="P3692" s="135"/>
      <c r="Q3692" s="135"/>
      <c r="R3692" s="135"/>
      <c r="S3692" s="135"/>
      <c r="T3692" s="135"/>
      <c r="U3692" s="135"/>
      <c r="V3692" s="135"/>
      <c r="W3692" s="135"/>
      <c r="X3692" s="135"/>
      <c r="Y3692" s="135"/>
      <c r="Z3692" s="135"/>
    </row>
    <row r="3693" spans="1:26" ht="12.75">
      <c r="A3693" s="136" t="s">
        <v>10</v>
      </c>
      <c r="B3693" s="136" t="s">
        <v>7876</v>
      </c>
      <c r="C3693" s="136" t="s">
        <v>7908</v>
      </c>
      <c r="D3693" s="136" t="s">
        <v>7880</v>
      </c>
      <c r="E3693" s="136" t="s">
        <v>615</v>
      </c>
      <c r="F3693" s="136">
        <v>320</v>
      </c>
      <c r="G3693" s="137">
        <f t="shared" si="14"/>
        <v>6</v>
      </c>
      <c r="H3693" s="137"/>
      <c r="I3693" s="137"/>
      <c r="J3693" s="135"/>
      <c r="K3693" s="135"/>
      <c r="L3693" s="135"/>
      <c r="M3693" s="135"/>
      <c r="N3693" s="135"/>
      <c r="O3693" s="135"/>
      <c r="P3693" s="135"/>
      <c r="Q3693" s="135"/>
      <c r="R3693" s="135"/>
      <c r="S3693" s="135"/>
      <c r="T3693" s="135"/>
      <c r="U3693" s="135"/>
      <c r="V3693" s="135"/>
      <c r="W3693" s="135"/>
      <c r="X3693" s="135"/>
      <c r="Y3693" s="135"/>
      <c r="Z3693" s="135"/>
    </row>
    <row r="3694" spans="1:26" ht="12.75">
      <c r="A3694" s="136" t="s">
        <v>10</v>
      </c>
      <c r="B3694" s="136" t="s">
        <v>7876</v>
      </c>
      <c r="C3694" s="136" t="s">
        <v>7908</v>
      </c>
      <c r="D3694" s="136" t="s">
        <v>7888</v>
      </c>
      <c r="E3694" s="136" t="s">
        <v>615</v>
      </c>
      <c r="F3694" s="136">
        <v>180</v>
      </c>
      <c r="G3694" s="137">
        <f t="shared" si="14"/>
        <v>7</v>
      </c>
      <c r="H3694" s="137"/>
      <c r="I3694" s="137"/>
      <c r="J3694" s="135"/>
      <c r="K3694" s="135"/>
      <c r="L3694" s="135"/>
      <c r="M3694" s="135"/>
      <c r="N3694" s="135"/>
      <c r="O3694" s="135"/>
      <c r="P3694" s="135"/>
      <c r="Q3694" s="135"/>
      <c r="R3694" s="135"/>
      <c r="S3694" s="135"/>
      <c r="T3694" s="135"/>
      <c r="U3694" s="135"/>
      <c r="V3694" s="135"/>
      <c r="W3694" s="135"/>
      <c r="X3694" s="135"/>
      <c r="Y3694" s="135"/>
      <c r="Z3694" s="135"/>
    </row>
    <row r="3695" spans="1:26" ht="12.75">
      <c r="A3695" s="136" t="s">
        <v>10</v>
      </c>
      <c r="B3695" s="136" t="s">
        <v>7876</v>
      </c>
      <c r="C3695" s="136" t="s">
        <v>7909</v>
      </c>
      <c r="D3695" s="136" t="s">
        <v>7481</v>
      </c>
      <c r="E3695" s="136" t="s">
        <v>615</v>
      </c>
      <c r="F3695" s="136">
        <v>582</v>
      </c>
      <c r="G3695" s="137">
        <f t="shared" si="14"/>
        <v>1</v>
      </c>
      <c r="H3695" s="137"/>
      <c r="I3695" s="137"/>
      <c r="J3695" s="135"/>
      <c r="K3695" s="135"/>
      <c r="L3695" s="135"/>
      <c r="M3695" s="135"/>
      <c r="N3695" s="135"/>
      <c r="O3695" s="135"/>
      <c r="P3695" s="135"/>
      <c r="Q3695" s="135"/>
      <c r="R3695" s="135"/>
      <c r="S3695" s="135"/>
      <c r="T3695" s="135"/>
      <c r="U3695" s="135"/>
      <c r="V3695" s="135"/>
      <c r="W3695" s="135"/>
      <c r="X3695" s="135"/>
      <c r="Y3695" s="135"/>
      <c r="Z3695" s="135"/>
    </row>
    <row r="3696" spans="1:26" ht="12.75">
      <c r="A3696" s="136" t="s">
        <v>10</v>
      </c>
      <c r="B3696" s="136" t="s">
        <v>7876</v>
      </c>
      <c r="C3696" s="136" t="s">
        <v>7909</v>
      </c>
      <c r="D3696" s="136" t="s">
        <v>7879</v>
      </c>
      <c r="E3696" s="136" t="s">
        <v>594</v>
      </c>
      <c r="F3696" s="136">
        <v>380</v>
      </c>
      <c r="G3696" s="137">
        <f t="shared" si="14"/>
        <v>3</v>
      </c>
      <c r="H3696" s="137"/>
      <c r="I3696" s="137"/>
      <c r="J3696" s="135"/>
      <c r="K3696" s="135"/>
      <c r="L3696" s="135"/>
      <c r="M3696" s="135"/>
      <c r="N3696" s="135"/>
      <c r="O3696" s="135"/>
      <c r="P3696" s="135"/>
      <c r="Q3696" s="135"/>
      <c r="R3696" s="135"/>
      <c r="S3696" s="135"/>
      <c r="T3696" s="135"/>
      <c r="U3696" s="135"/>
      <c r="V3696" s="135"/>
      <c r="W3696" s="135"/>
      <c r="X3696" s="135"/>
      <c r="Y3696" s="135"/>
      <c r="Z3696" s="135"/>
    </row>
    <row r="3697" spans="1:26" ht="12.75">
      <c r="A3697" s="136" t="s">
        <v>10</v>
      </c>
      <c r="B3697" s="136" t="s">
        <v>7876</v>
      </c>
      <c r="C3697" s="136" t="s">
        <v>7909</v>
      </c>
      <c r="D3697" s="136" t="s">
        <v>7880</v>
      </c>
      <c r="E3697" s="136" t="s">
        <v>615</v>
      </c>
      <c r="F3697" s="136">
        <v>240</v>
      </c>
      <c r="G3697" s="137">
        <f t="shared" si="14"/>
        <v>5</v>
      </c>
      <c r="H3697" s="137"/>
      <c r="I3697" s="137"/>
      <c r="J3697" s="135"/>
      <c r="K3697" s="135"/>
      <c r="L3697" s="135"/>
      <c r="M3697" s="135"/>
      <c r="N3697" s="135"/>
      <c r="O3697" s="135"/>
      <c r="P3697" s="135"/>
      <c r="Q3697" s="135"/>
      <c r="R3697" s="135"/>
      <c r="S3697" s="135"/>
      <c r="T3697" s="135"/>
      <c r="U3697" s="135"/>
      <c r="V3697" s="135"/>
      <c r="W3697" s="135"/>
      <c r="X3697" s="135"/>
      <c r="Y3697" s="135"/>
      <c r="Z3697" s="135"/>
    </row>
    <row r="3698" spans="1:26" ht="12.75">
      <c r="A3698" s="136" t="s">
        <v>10</v>
      </c>
      <c r="B3698" s="136" t="s">
        <v>7876</v>
      </c>
      <c r="C3698" s="136" t="s">
        <v>7909</v>
      </c>
      <c r="D3698" s="136" t="s">
        <v>7898</v>
      </c>
      <c r="E3698" s="136" t="s">
        <v>615</v>
      </c>
      <c r="F3698" s="136">
        <v>210</v>
      </c>
      <c r="G3698" s="137">
        <f t="shared" si="14"/>
        <v>6</v>
      </c>
      <c r="H3698" s="137"/>
      <c r="I3698" s="137"/>
      <c r="J3698" s="135"/>
      <c r="K3698" s="135"/>
      <c r="L3698" s="135"/>
      <c r="M3698" s="135"/>
      <c r="N3698" s="135"/>
      <c r="O3698" s="135"/>
      <c r="P3698" s="135"/>
      <c r="Q3698" s="135"/>
      <c r="R3698" s="135"/>
      <c r="S3698" s="135"/>
      <c r="T3698" s="135"/>
      <c r="U3698" s="135"/>
      <c r="V3698" s="135"/>
      <c r="W3698" s="135"/>
      <c r="X3698" s="135"/>
      <c r="Y3698" s="135"/>
      <c r="Z3698" s="135"/>
    </row>
    <row r="3699" spans="1:26" ht="12.75">
      <c r="A3699" s="136" t="s">
        <v>10</v>
      </c>
      <c r="B3699" s="136" t="s">
        <v>7876</v>
      </c>
      <c r="C3699" s="136" t="s">
        <v>7909</v>
      </c>
      <c r="D3699" s="136" t="s">
        <v>7887</v>
      </c>
      <c r="E3699" s="136" t="s">
        <v>615</v>
      </c>
      <c r="F3699" s="136">
        <v>200</v>
      </c>
      <c r="G3699" s="137">
        <f t="shared" si="14"/>
        <v>7</v>
      </c>
      <c r="H3699" s="137"/>
      <c r="I3699" s="137"/>
      <c r="J3699" s="135"/>
      <c r="K3699" s="135"/>
      <c r="L3699" s="135"/>
      <c r="M3699" s="135"/>
      <c r="N3699" s="135"/>
      <c r="O3699" s="135"/>
      <c r="P3699" s="135"/>
      <c r="Q3699" s="135"/>
      <c r="R3699" s="135"/>
      <c r="S3699" s="135"/>
      <c r="T3699" s="135"/>
      <c r="U3699" s="135"/>
      <c r="V3699" s="135"/>
      <c r="W3699" s="135"/>
      <c r="X3699" s="135"/>
      <c r="Y3699" s="135"/>
      <c r="Z3699" s="135"/>
    </row>
    <row r="3700" spans="1:26" ht="12.75">
      <c r="A3700" s="136" t="s">
        <v>10</v>
      </c>
      <c r="B3700" s="136" t="s">
        <v>7876</v>
      </c>
      <c r="C3700" s="136" t="s">
        <v>7909</v>
      </c>
      <c r="D3700" s="136" t="s">
        <v>7910</v>
      </c>
      <c r="E3700" s="136" t="s">
        <v>615</v>
      </c>
      <c r="F3700" s="136">
        <v>150</v>
      </c>
      <c r="G3700" s="137">
        <f t="shared" si="14"/>
        <v>9</v>
      </c>
      <c r="H3700" s="137"/>
      <c r="I3700" s="137"/>
      <c r="J3700" s="135"/>
      <c r="K3700" s="135"/>
      <c r="L3700" s="135"/>
      <c r="M3700" s="135"/>
      <c r="N3700" s="135"/>
      <c r="O3700" s="135"/>
      <c r="P3700" s="135"/>
      <c r="Q3700" s="135"/>
      <c r="R3700" s="135"/>
      <c r="S3700" s="135"/>
      <c r="T3700" s="135"/>
      <c r="U3700" s="135"/>
      <c r="V3700" s="135"/>
      <c r="W3700" s="135"/>
      <c r="X3700" s="135"/>
      <c r="Y3700" s="135"/>
      <c r="Z3700" s="135"/>
    </row>
    <row r="3701" spans="1:26" ht="12.75">
      <c r="A3701" s="136" t="s">
        <v>10</v>
      </c>
      <c r="B3701" s="136" t="s">
        <v>7876</v>
      </c>
      <c r="C3701" s="136" t="s">
        <v>7911</v>
      </c>
      <c r="D3701" s="136" t="s">
        <v>7878</v>
      </c>
      <c r="E3701" s="136" t="s">
        <v>85</v>
      </c>
      <c r="F3701" s="136">
        <v>610</v>
      </c>
      <c r="G3701" s="137">
        <f t="shared" si="14"/>
        <v>1</v>
      </c>
      <c r="H3701" s="137"/>
      <c r="I3701" s="137"/>
      <c r="J3701" s="135"/>
      <c r="K3701" s="135"/>
      <c r="L3701" s="135"/>
      <c r="M3701" s="135"/>
      <c r="N3701" s="135"/>
      <c r="O3701" s="135"/>
      <c r="P3701" s="135"/>
      <c r="Q3701" s="135"/>
      <c r="R3701" s="135"/>
      <c r="S3701" s="135"/>
      <c r="T3701" s="135"/>
      <c r="U3701" s="135"/>
      <c r="V3701" s="135"/>
      <c r="W3701" s="135"/>
      <c r="X3701" s="135"/>
      <c r="Y3701" s="135"/>
      <c r="Z3701" s="135"/>
    </row>
    <row r="3702" spans="1:26" ht="12.75">
      <c r="A3702" s="136" t="s">
        <v>10</v>
      </c>
      <c r="B3702" s="136" t="s">
        <v>7876</v>
      </c>
      <c r="C3702" s="136" t="s">
        <v>7911</v>
      </c>
      <c r="D3702" s="136" t="s">
        <v>7879</v>
      </c>
      <c r="E3702" s="136" t="s">
        <v>594</v>
      </c>
      <c r="F3702" s="136">
        <v>250</v>
      </c>
      <c r="G3702" s="137">
        <f t="shared" si="14"/>
        <v>4</v>
      </c>
      <c r="H3702" s="137"/>
      <c r="I3702" s="137"/>
      <c r="J3702" s="135"/>
      <c r="K3702" s="135"/>
      <c r="L3702" s="135"/>
      <c r="M3702" s="135"/>
      <c r="N3702" s="135"/>
      <c r="O3702" s="135"/>
      <c r="P3702" s="135"/>
      <c r="Q3702" s="135"/>
      <c r="R3702" s="135"/>
      <c r="S3702" s="135"/>
      <c r="T3702" s="135"/>
      <c r="U3702" s="135"/>
      <c r="V3702" s="135"/>
      <c r="W3702" s="135"/>
      <c r="X3702" s="135"/>
      <c r="Y3702" s="135"/>
      <c r="Z3702" s="135"/>
    </row>
    <row r="3703" spans="1:26" ht="12.75">
      <c r="A3703" s="136" t="s">
        <v>10</v>
      </c>
      <c r="B3703" s="136" t="s">
        <v>7876</v>
      </c>
      <c r="C3703" s="136" t="s">
        <v>7911</v>
      </c>
      <c r="D3703" s="136" t="s">
        <v>7481</v>
      </c>
      <c r="E3703" s="136" t="s">
        <v>615</v>
      </c>
      <c r="F3703" s="136">
        <v>248</v>
      </c>
      <c r="G3703" s="137">
        <f t="shared" si="14"/>
        <v>5</v>
      </c>
      <c r="H3703" s="137"/>
      <c r="I3703" s="137"/>
      <c r="J3703" s="135"/>
      <c r="K3703" s="135"/>
      <c r="L3703" s="135"/>
      <c r="M3703" s="135"/>
      <c r="N3703" s="135"/>
      <c r="O3703" s="135"/>
      <c r="P3703" s="135"/>
      <c r="Q3703" s="135"/>
      <c r="R3703" s="135"/>
      <c r="S3703" s="135"/>
      <c r="T3703" s="135"/>
      <c r="U3703" s="135"/>
      <c r="V3703" s="135"/>
      <c r="W3703" s="135"/>
      <c r="X3703" s="135"/>
      <c r="Y3703" s="135"/>
      <c r="Z3703" s="135"/>
    </row>
    <row r="3704" spans="1:26" ht="12.75">
      <c r="A3704" s="136" t="s">
        <v>10</v>
      </c>
      <c r="B3704" s="136" t="s">
        <v>7876</v>
      </c>
      <c r="C3704" s="136" t="s">
        <v>7912</v>
      </c>
      <c r="D3704" s="136" t="s">
        <v>7879</v>
      </c>
      <c r="E3704" s="136" t="s">
        <v>594</v>
      </c>
      <c r="F3704" s="136">
        <v>680</v>
      </c>
      <c r="G3704" s="137">
        <f t="shared" si="14"/>
        <v>1</v>
      </c>
      <c r="H3704" s="137"/>
      <c r="I3704" s="137"/>
      <c r="J3704" s="135"/>
      <c r="K3704" s="135"/>
      <c r="L3704" s="135"/>
      <c r="M3704" s="135"/>
      <c r="N3704" s="135"/>
      <c r="O3704" s="135"/>
      <c r="P3704" s="135"/>
      <c r="Q3704" s="135"/>
      <c r="R3704" s="135"/>
      <c r="S3704" s="135"/>
      <c r="T3704" s="135"/>
      <c r="U3704" s="135"/>
      <c r="V3704" s="135"/>
      <c r="W3704" s="135"/>
      <c r="X3704" s="135"/>
      <c r="Y3704" s="135"/>
      <c r="Z3704" s="135"/>
    </row>
    <row r="3705" spans="1:26" ht="12.75">
      <c r="A3705" s="136" t="s">
        <v>10</v>
      </c>
      <c r="B3705" s="136" t="s">
        <v>7876</v>
      </c>
      <c r="C3705" s="136" t="s">
        <v>7912</v>
      </c>
      <c r="D3705" s="136" t="s">
        <v>7481</v>
      </c>
      <c r="E3705" s="136" t="s">
        <v>615</v>
      </c>
      <c r="F3705" s="136">
        <v>309</v>
      </c>
      <c r="G3705" s="137">
        <f t="shared" si="14"/>
        <v>4</v>
      </c>
      <c r="H3705" s="137"/>
      <c r="I3705" s="137"/>
      <c r="J3705" s="135"/>
      <c r="K3705" s="135"/>
      <c r="L3705" s="135"/>
      <c r="M3705" s="135"/>
      <c r="N3705" s="135"/>
      <c r="O3705" s="135"/>
      <c r="P3705" s="135"/>
      <c r="Q3705" s="135"/>
      <c r="R3705" s="135"/>
      <c r="S3705" s="135"/>
      <c r="T3705" s="135"/>
      <c r="U3705" s="135"/>
      <c r="V3705" s="135"/>
      <c r="W3705" s="135"/>
      <c r="X3705" s="135"/>
      <c r="Y3705" s="135"/>
      <c r="Z3705" s="135"/>
    </row>
    <row r="3706" spans="1:26" ht="12.75">
      <c r="A3706" s="136" t="s">
        <v>10</v>
      </c>
      <c r="B3706" s="136" t="s">
        <v>7876</v>
      </c>
      <c r="C3706" s="136" t="s">
        <v>7912</v>
      </c>
      <c r="D3706" s="136" t="s">
        <v>7913</v>
      </c>
      <c r="E3706" s="136" t="s">
        <v>615</v>
      </c>
      <c r="F3706" s="136">
        <v>222</v>
      </c>
      <c r="G3706" s="137">
        <f t="shared" si="14"/>
        <v>5</v>
      </c>
      <c r="H3706" s="137"/>
      <c r="I3706" s="137"/>
      <c r="J3706" s="135"/>
      <c r="K3706" s="135"/>
      <c r="L3706" s="135"/>
      <c r="M3706" s="135"/>
      <c r="N3706" s="135"/>
      <c r="O3706" s="135"/>
      <c r="P3706" s="135"/>
      <c r="Q3706" s="135"/>
      <c r="R3706" s="135"/>
      <c r="S3706" s="135"/>
      <c r="T3706" s="135"/>
      <c r="U3706" s="135"/>
      <c r="V3706" s="135"/>
      <c r="W3706" s="135"/>
      <c r="X3706" s="135"/>
      <c r="Y3706" s="135"/>
      <c r="Z3706" s="135"/>
    </row>
    <row r="3707" spans="1:26" ht="12.75">
      <c r="A3707" s="136" t="s">
        <v>10</v>
      </c>
      <c r="B3707" s="136" t="s">
        <v>7876</v>
      </c>
      <c r="C3707" s="136" t="s">
        <v>7912</v>
      </c>
      <c r="D3707" s="136" t="s">
        <v>7881</v>
      </c>
      <c r="E3707" s="136" t="s">
        <v>594</v>
      </c>
      <c r="F3707" s="136">
        <v>212</v>
      </c>
      <c r="G3707" s="137">
        <f t="shared" si="14"/>
        <v>6</v>
      </c>
      <c r="H3707" s="137"/>
      <c r="I3707" s="137"/>
      <c r="J3707" s="135"/>
      <c r="K3707" s="135"/>
      <c r="L3707" s="135"/>
      <c r="M3707" s="135"/>
      <c r="N3707" s="135"/>
      <c r="O3707" s="135"/>
      <c r="P3707" s="135"/>
      <c r="Q3707" s="135"/>
      <c r="R3707" s="135"/>
      <c r="S3707" s="135"/>
      <c r="T3707" s="135"/>
      <c r="U3707" s="135"/>
      <c r="V3707" s="135"/>
      <c r="W3707" s="135"/>
      <c r="X3707" s="135"/>
      <c r="Y3707" s="135"/>
      <c r="Z3707" s="135"/>
    </row>
    <row r="3708" spans="1:26" ht="12.75">
      <c r="A3708" s="136" t="s">
        <v>10</v>
      </c>
      <c r="B3708" s="136" t="s">
        <v>7876</v>
      </c>
      <c r="C3708" s="136" t="s">
        <v>7912</v>
      </c>
      <c r="D3708" s="136" t="s">
        <v>7898</v>
      </c>
      <c r="E3708" s="136" t="s">
        <v>615</v>
      </c>
      <c r="F3708" s="136">
        <v>207</v>
      </c>
      <c r="G3708" s="137">
        <f t="shared" si="14"/>
        <v>7</v>
      </c>
      <c r="H3708" s="137"/>
      <c r="I3708" s="137"/>
      <c r="J3708" s="135"/>
      <c r="K3708" s="135"/>
      <c r="L3708" s="135"/>
      <c r="M3708" s="135"/>
      <c r="N3708" s="135"/>
      <c r="O3708" s="135"/>
      <c r="P3708" s="135"/>
      <c r="Q3708" s="135"/>
      <c r="R3708" s="135"/>
      <c r="S3708" s="135"/>
      <c r="T3708" s="135"/>
      <c r="U3708" s="135"/>
      <c r="V3708" s="135"/>
      <c r="W3708" s="135"/>
      <c r="X3708" s="135"/>
      <c r="Y3708" s="135"/>
      <c r="Z3708" s="135"/>
    </row>
    <row r="3709" spans="1:26" ht="12.75">
      <c r="A3709" s="136" t="s">
        <v>10</v>
      </c>
      <c r="B3709" s="136" t="s">
        <v>7876</v>
      </c>
      <c r="C3709" s="136" t="s">
        <v>7914</v>
      </c>
      <c r="D3709" s="136" t="s">
        <v>7879</v>
      </c>
      <c r="E3709" s="136" t="s">
        <v>594</v>
      </c>
      <c r="F3709" s="136">
        <v>560</v>
      </c>
      <c r="G3709" s="137">
        <f t="shared" si="14"/>
        <v>1</v>
      </c>
      <c r="H3709" s="137"/>
      <c r="I3709" s="137"/>
      <c r="J3709" s="135"/>
      <c r="K3709" s="135"/>
      <c r="L3709" s="135"/>
      <c r="M3709" s="135"/>
      <c r="N3709" s="135"/>
      <c r="O3709" s="135"/>
      <c r="P3709" s="135"/>
      <c r="Q3709" s="135"/>
      <c r="R3709" s="135"/>
      <c r="S3709" s="135"/>
      <c r="T3709" s="135"/>
      <c r="U3709" s="135"/>
      <c r="V3709" s="135"/>
      <c r="W3709" s="135"/>
      <c r="X3709" s="135"/>
      <c r="Y3709" s="135"/>
      <c r="Z3709" s="135"/>
    </row>
    <row r="3710" spans="1:26" ht="12.75">
      <c r="A3710" s="136" t="s">
        <v>10</v>
      </c>
      <c r="B3710" s="136" t="s">
        <v>7876</v>
      </c>
      <c r="C3710" s="136" t="s">
        <v>7914</v>
      </c>
      <c r="D3710" s="136" t="s">
        <v>7481</v>
      </c>
      <c r="E3710" s="136" t="s">
        <v>615</v>
      </c>
      <c r="F3710" s="136">
        <v>472</v>
      </c>
      <c r="G3710" s="137">
        <f t="shared" si="14"/>
        <v>2</v>
      </c>
      <c r="H3710" s="137"/>
      <c r="I3710" s="137"/>
      <c r="J3710" s="135"/>
      <c r="K3710" s="135"/>
      <c r="L3710" s="135"/>
      <c r="M3710" s="135"/>
      <c r="N3710" s="135"/>
      <c r="O3710" s="135"/>
      <c r="P3710" s="135"/>
      <c r="Q3710" s="135"/>
      <c r="R3710" s="135"/>
      <c r="S3710" s="135"/>
      <c r="T3710" s="135"/>
      <c r="U3710" s="135"/>
      <c r="V3710" s="135"/>
      <c r="W3710" s="135"/>
      <c r="X3710" s="135"/>
      <c r="Y3710" s="135"/>
      <c r="Z3710" s="135"/>
    </row>
    <row r="3711" spans="1:26" ht="12.75">
      <c r="A3711" s="136" t="s">
        <v>10</v>
      </c>
      <c r="B3711" s="136" t="s">
        <v>7876</v>
      </c>
      <c r="C3711" s="136" t="s">
        <v>7914</v>
      </c>
      <c r="D3711" s="136" t="s">
        <v>7890</v>
      </c>
      <c r="E3711" s="136" t="s">
        <v>594</v>
      </c>
      <c r="F3711" s="136">
        <v>320</v>
      </c>
      <c r="G3711" s="137">
        <f t="shared" si="14"/>
        <v>3</v>
      </c>
      <c r="H3711" s="137"/>
      <c r="I3711" s="137"/>
      <c r="J3711" s="135"/>
      <c r="K3711" s="135"/>
      <c r="L3711" s="135"/>
      <c r="M3711" s="135"/>
      <c r="N3711" s="135"/>
      <c r="O3711" s="135"/>
      <c r="P3711" s="135"/>
      <c r="Q3711" s="135"/>
      <c r="R3711" s="135"/>
      <c r="S3711" s="135"/>
      <c r="T3711" s="135"/>
      <c r="U3711" s="135"/>
      <c r="V3711" s="135"/>
      <c r="W3711" s="135"/>
      <c r="X3711" s="135"/>
      <c r="Y3711" s="135"/>
      <c r="Z3711" s="135"/>
    </row>
    <row r="3712" spans="1:26" ht="12.75">
      <c r="A3712" s="136" t="s">
        <v>10</v>
      </c>
      <c r="B3712" s="136" t="s">
        <v>7876</v>
      </c>
      <c r="C3712" s="136" t="s">
        <v>7914</v>
      </c>
      <c r="D3712" s="136" t="s">
        <v>7887</v>
      </c>
      <c r="E3712" s="136" t="s">
        <v>615</v>
      </c>
      <c r="F3712" s="136">
        <v>140</v>
      </c>
      <c r="G3712" s="137">
        <f t="shared" si="14"/>
        <v>4</v>
      </c>
      <c r="H3712" s="137"/>
      <c r="I3712" s="137"/>
      <c r="J3712" s="135"/>
      <c r="K3712" s="135"/>
      <c r="L3712" s="135"/>
      <c r="M3712" s="135"/>
      <c r="N3712" s="135"/>
      <c r="O3712" s="135"/>
      <c r="P3712" s="135"/>
      <c r="Q3712" s="135"/>
      <c r="R3712" s="135"/>
      <c r="S3712" s="135"/>
      <c r="T3712" s="135"/>
      <c r="U3712" s="135"/>
      <c r="V3712" s="135"/>
      <c r="W3712" s="135"/>
      <c r="X3712" s="135"/>
      <c r="Y3712" s="135"/>
      <c r="Z3712" s="135"/>
    </row>
    <row r="3713" spans="1:26" ht="12.75">
      <c r="A3713" s="136" t="s">
        <v>10</v>
      </c>
      <c r="B3713" s="136" t="s">
        <v>7876</v>
      </c>
      <c r="C3713" s="136" t="s">
        <v>7915</v>
      </c>
      <c r="D3713" s="136" t="s">
        <v>7879</v>
      </c>
      <c r="E3713" s="136" t="s">
        <v>594</v>
      </c>
      <c r="F3713" s="136">
        <v>695</v>
      </c>
      <c r="G3713" s="137">
        <f t="shared" si="14"/>
        <v>1</v>
      </c>
      <c r="H3713" s="137"/>
      <c r="I3713" s="137"/>
      <c r="J3713" s="135"/>
      <c r="K3713" s="135"/>
      <c r="L3713" s="135"/>
      <c r="M3713" s="135"/>
      <c r="N3713" s="135"/>
      <c r="O3713" s="135"/>
      <c r="P3713" s="135"/>
      <c r="Q3713" s="135"/>
      <c r="R3713" s="135"/>
      <c r="S3713" s="135"/>
      <c r="T3713" s="135"/>
      <c r="U3713" s="135"/>
      <c r="V3713" s="135"/>
      <c r="W3713" s="135"/>
      <c r="X3713" s="135"/>
      <c r="Y3713" s="135"/>
      <c r="Z3713" s="135"/>
    </row>
    <row r="3714" spans="1:26" ht="12.75">
      <c r="A3714" s="136" t="s">
        <v>10</v>
      </c>
      <c r="B3714" s="136" t="s">
        <v>7876</v>
      </c>
      <c r="C3714" s="136" t="s">
        <v>7915</v>
      </c>
      <c r="D3714" s="136" t="s">
        <v>7481</v>
      </c>
      <c r="E3714" s="136" t="s">
        <v>615</v>
      </c>
      <c r="F3714" s="136">
        <v>259</v>
      </c>
      <c r="G3714" s="137">
        <f t="shared" si="14"/>
        <v>2</v>
      </c>
      <c r="H3714" s="137"/>
      <c r="I3714" s="137"/>
      <c r="J3714" s="135"/>
      <c r="K3714" s="135"/>
      <c r="L3714" s="135"/>
      <c r="M3714" s="135"/>
      <c r="N3714" s="135"/>
      <c r="O3714" s="135"/>
      <c r="P3714" s="135"/>
      <c r="Q3714" s="135"/>
      <c r="R3714" s="135"/>
      <c r="S3714" s="135"/>
      <c r="T3714" s="135"/>
      <c r="U3714" s="135"/>
      <c r="V3714" s="135"/>
      <c r="W3714" s="135"/>
      <c r="X3714" s="135"/>
      <c r="Y3714" s="135"/>
      <c r="Z3714" s="135"/>
    </row>
    <row r="3715" spans="1:26" ht="25.5">
      <c r="A3715" s="136" t="s">
        <v>10</v>
      </c>
      <c r="B3715" s="136" t="s">
        <v>7876</v>
      </c>
      <c r="C3715" s="136" t="s">
        <v>7915</v>
      </c>
      <c r="D3715" s="136" t="s">
        <v>7903</v>
      </c>
      <c r="E3715" s="136" t="s">
        <v>615</v>
      </c>
      <c r="F3715" s="136">
        <v>250</v>
      </c>
      <c r="G3715" s="137">
        <f t="shared" si="14"/>
        <v>3</v>
      </c>
      <c r="H3715" s="137"/>
      <c r="I3715" s="137"/>
      <c r="J3715" s="135"/>
      <c r="K3715" s="135"/>
      <c r="L3715" s="135"/>
      <c r="M3715" s="135"/>
      <c r="N3715" s="135"/>
      <c r="O3715" s="135"/>
      <c r="P3715" s="135"/>
      <c r="Q3715" s="135"/>
      <c r="R3715" s="135"/>
      <c r="S3715" s="135"/>
      <c r="T3715" s="135"/>
      <c r="U3715" s="135"/>
      <c r="V3715" s="135"/>
      <c r="W3715" s="135"/>
      <c r="X3715" s="135"/>
      <c r="Y3715" s="135"/>
      <c r="Z3715" s="135"/>
    </row>
    <row r="3716" spans="1:26" ht="12.75">
      <c r="A3716" s="136" t="s">
        <v>10</v>
      </c>
      <c r="B3716" s="136" t="s">
        <v>7876</v>
      </c>
      <c r="C3716" s="136" t="s">
        <v>7915</v>
      </c>
      <c r="D3716" s="136" t="s">
        <v>7913</v>
      </c>
      <c r="E3716" s="136" t="s">
        <v>615</v>
      </c>
      <c r="F3716" s="136">
        <v>228</v>
      </c>
      <c r="G3716" s="137">
        <f t="shared" si="14"/>
        <v>4</v>
      </c>
      <c r="H3716" s="137"/>
      <c r="I3716" s="137"/>
      <c r="J3716" s="135"/>
      <c r="K3716" s="135"/>
      <c r="L3716" s="135"/>
      <c r="M3716" s="135"/>
      <c r="N3716" s="135"/>
      <c r="O3716" s="135"/>
      <c r="P3716" s="135"/>
      <c r="Q3716" s="135"/>
      <c r="R3716" s="135"/>
      <c r="S3716" s="135"/>
      <c r="T3716" s="135"/>
      <c r="U3716" s="135"/>
      <c r="V3716" s="135"/>
      <c r="W3716" s="135"/>
      <c r="X3716" s="135"/>
      <c r="Y3716" s="135"/>
      <c r="Z3716" s="135"/>
    </row>
    <row r="3717" spans="1:26" ht="12.75">
      <c r="A3717" s="136" t="s">
        <v>10</v>
      </c>
      <c r="B3717" s="136" t="s">
        <v>7876</v>
      </c>
      <c r="C3717" s="136" t="s">
        <v>7915</v>
      </c>
      <c r="D3717" s="136" t="s">
        <v>7898</v>
      </c>
      <c r="E3717" s="136" t="s">
        <v>615</v>
      </c>
      <c r="F3717" s="136">
        <v>179</v>
      </c>
      <c r="G3717" s="137">
        <f t="shared" si="14"/>
        <v>5</v>
      </c>
      <c r="H3717" s="137"/>
      <c r="I3717" s="137"/>
      <c r="J3717" s="135"/>
      <c r="K3717" s="135"/>
      <c r="L3717" s="135"/>
      <c r="M3717" s="135"/>
      <c r="N3717" s="135"/>
      <c r="O3717" s="135"/>
      <c r="P3717" s="135"/>
      <c r="Q3717" s="135"/>
      <c r="R3717" s="135"/>
      <c r="S3717" s="135"/>
      <c r="T3717" s="135"/>
      <c r="U3717" s="135"/>
      <c r="V3717" s="135"/>
      <c r="W3717" s="135"/>
      <c r="X3717" s="135"/>
      <c r="Y3717" s="135"/>
      <c r="Z3717" s="135"/>
    </row>
    <row r="3718" spans="1:26" ht="12.75">
      <c r="A3718" s="136" t="s">
        <v>10</v>
      </c>
      <c r="B3718" s="136" t="s">
        <v>7876</v>
      </c>
      <c r="C3718" s="136" t="s">
        <v>7916</v>
      </c>
      <c r="D3718" s="136" t="s">
        <v>7879</v>
      </c>
      <c r="E3718" s="136" t="s">
        <v>594</v>
      </c>
      <c r="F3718" s="136">
        <v>858</v>
      </c>
      <c r="G3718" s="137">
        <f t="shared" si="14"/>
        <v>1</v>
      </c>
      <c r="H3718" s="137"/>
      <c r="I3718" s="137"/>
      <c r="J3718" s="135"/>
      <c r="K3718" s="135"/>
      <c r="L3718" s="135"/>
      <c r="M3718" s="135"/>
      <c r="N3718" s="135"/>
      <c r="O3718" s="135"/>
      <c r="P3718" s="135"/>
      <c r="Q3718" s="135"/>
      <c r="R3718" s="135"/>
      <c r="S3718" s="135"/>
      <c r="T3718" s="135"/>
      <c r="U3718" s="135"/>
      <c r="V3718" s="135"/>
      <c r="W3718" s="135"/>
      <c r="X3718" s="135"/>
      <c r="Y3718" s="135"/>
      <c r="Z3718" s="135"/>
    </row>
    <row r="3719" spans="1:26" ht="12.75">
      <c r="A3719" s="136" t="s">
        <v>10</v>
      </c>
      <c r="B3719" s="136" t="s">
        <v>7876</v>
      </c>
      <c r="C3719" s="136" t="s">
        <v>7916</v>
      </c>
      <c r="D3719" s="136" t="s">
        <v>7481</v>
      </c>
      <c r="E3719" s="136" t="s">
        <v>615</v>
      </c>
      <c r="F3719" s="136">
        <v>406</v>
      </c>
      <c r="G3719" s="137">
        <f t="shared" si="14"/>
        <v>2</v>
      </c>
      <c r="H3719" s="137"/>
      <c r="I3719" s="137"/>
      <c r="J3719" s="135"/>
      <c r="K3719" s="135"/>
      <c r="L3719" s="135"/>
      <c r="M3719" s="135"/>
      <c r="N3719" s="135"/>
      <c r="O3719" s="135"/>
      <c r="P3719" s="135"/>
      <c r="Q3719" s="135"/>
      <c r="R3719" s="135"/>
      <c r="S3719" s="135"/>
      <c r="T3719" s="135"/>
      <c r="U3719" s="135"/>
      <c r="V3719" s="135"/>
      <c r="W3719" s="135"/>
      <c r="X3719" s="135"/>
      <c r="Y3719" s="135"/>
      <c r="Z3719" s="135"/>
    </row>
    <row r="3720" spans="1:26" ht="12.75">
      <c r="A3720" s="136" t="s">
        <v>10</v>
      </c>
      <c r="B3720" s="136" t="s">
        <v>7876</v>
      </c>
      <c r="C3720" s="136" t="s">
        <v>7916</v>
      </c>
      <c r="D3720" s="136" t="s">
        <v>7881</v>
      </c>
      <c r="E3720" s="136" t="s">
        <v>594</v>
      </c>
      <c r="F3720" s="136">
        <v>332</v>
      </c>
      <c r="G3720" s="137">
        <f t="shared" si="14"/>
        <v>3</v>
      </c>
      <c r="H3720" s="137"/>
      <c r="I3720" s="137"/>
      <c r="J3720" s="135"/>
      <c r="K3720" s="135"/>
      <c r="L3720" s="135"/>
      <c r="M3720" s="135"/>
      <c r="N3720" s="135"/>
      <c r="O3720" s="135"/>
      <c r="P3720" s="135"/>
      <c r="Q3720" s="135"/>
      <c r="R3720" s="135"/>
      <c r="S3720" s="135"/>
      <c r="T3720" s="135"/>
      <c r="U3720" s="135"/>
      <c r="V3720" s="135"/>
      <c r="W3720" s="135"/>
      <c r="X3720" s="135"/>
      <c r="Y3720" s="135"/>
      <c r="Z3720" s="135"/>
    </row>
    <row r="3721" spans="1:26" ht="12.75">
      <c r="A3721" s="136" t="s">
        <v>10</v>
      </c>
      <c r="B3721" s="136" t="s">
        <v>7876</v>
      </c>
      <c r="C3721" s="136" t="s">
        <v>7917</v>
      </c>
      <c r="D3721" s="136" t="s">
        <v>7879</v>
      </c>
      <c r="E3721" s="136" t="s">
        <v>594</v>
      </c>
      <c r="F3721" s="136">
        <v>768</v>
      </c>
      <c r="G3721" s="137">
        <f t="shared" si="14"/>
        <v>1</v>
      </c>
      <c r="H3721" s="137"/>
      <c r="I3721" s="137"/>
      <c r="J3721" s="135"/>
      <c r="K3721" s="135"/>
      <c r="L3721" s="135"/>
      <c r="M3721" s="135"/>
      <c r="N3721" s="135"/>
      <c r="O3721" s="135"/>
      <c r="P3721" s="135"/>
      <c r="Q3721" s="135"/>
      <c r="R3721" s="135"/>
      <c r="S3721" s="135"/>
      <c r="T3721" s="135"/>
      <c r="U3721" s="135"/>
      <c r="V3721" s="135"/>
      <c r="W3721" s="135"/>
      <c r="X3721" s="135"/>
      <c r="Y3721" s="135"/>
      <c r="Z3721" s="135"/>
    </row>
    <row r="3722" spans="1:26" ht="12.75">
      <c r="A3722" s="136" t="s">
        <v>10</v>
      </c>
      <c r="B3722" s="136" t="s">
        <v>7876</v>
      </c>
      <c r="C3722" s="136" t="s">
        <v>7917</v>
      </c>
      <c r="D3722" s="136" t="s">
        <v>7902</v>
      </c>
      <c r="E3722" s="136" t="s">
        <v>615</v>
      </c>
      <c r="F3722" s="136">
        <v>250</v>
      </c>
      <c r="G3722" s="137">
        <f t="shared" si="14"/>
        <v>2</v>
      </c>
      <c r="H3722" s="137"/>
      <c r="I3722" s="137"/>
      <c r="J3722" s="135"/>
      <c r="K3722" s="135"/>
      <c r="L3722" s="135"/>
      <c r="M3722" s="135"/>
      <c r="N3722" s="135"/>
      <c r="O3722" s="135"/>
      <c r="P3722" s="135"/>
      <c r="Q3722" s="135"/>
      <c r="R3722" s="135"/>
      <c r="S3722" s="135"/>
      <c r="T3722" s="135"/>
      <c r="U3722" s="135"/>
      <c r="V3722" s="135"/>
      <c r="W3722" s="135"/>
      <c r="X3722" s="135"/>
      <c r="Y3722" s="135"/>
      <c r="Z3722" s="135"/>
    </row>
    <row r="3723" spans="1:26" ht="12.75">
      <c r="A3723" s="136" t="s">
        <v>10</v>
      </c>
      <c r="B3723" s="136" t="s">
        <v>7876</v>
      </c>
      <c r="C3723" s="136" t="s">
        <v>7917</v>
      </c>
      <c r="D3723" s="136" t="s">
        <v>7481</v>
      </c>
      <c r="E3723" s="136" t="s">
        <v>615</v>
      </c>
      <c r="F3723" s="136">
        <v>202</v>
      </c>
      <c r="G3723" s="137">
        <f t="shared" si="14"/>
        <v>3</v>
      </c>
      <c r="H3723" s="137"/>
      <c r="I3723" s="137"/>
      <c r="J3723" s="135"/>
      <c r="K3723" s="135"/>
      <c r="L3723" s="135"/>
      <c r="M3723" s="135"/>
      <c r="N3723" s="135"/>
      <c r="O3723" s="135"/>
      <c r="P3723" s="135"/>
      <c r="Q3723" s="135"/>
      <c r="R3723" s="135"/>
      <c r="S3723" s="135"/>
      <c r="T3723" s="135"/>
      <c r="U3723" s="135"/>
      <c r="V3723" s="135"/>
      <c r="W3723" s="135"/>
      <c r="X3723" s="135"/>
      <c r="Y3723" s="135"/>
      <c r="Z3723" s="135"/>
    </row>
    <row r="3724" spans="1:26" ht="12.75">
      <c r="A3724" s="136" t="s">
        <v>10</v>
      </c>
      <c r="B3724" s="136" t="s">
        <v>7876</v>
      </c>
      <c r="C3724" s="136" t="s">
        <v>7917</v>
      </c>
      <c r="D3724" s="136" t="s">
        <v>7878</v>
      </c>
      <c r="E3724" s="136" t="s">
        <v>85</v>
      </c>
      <c r="F3724" s="136">
        <v>150</v>
      </c>
      <c r="G3724" s="137">
        <f t="shared" si="14"/>
        <v>4</v>
      </c>
      <c r="H3724" s="137"/>
      <c r="I3724" s="137"/>
      <c r="J3724" s="135"/>
      <c r="K3724" s="135"/>
      <c r="L3724" s="135"/>
      <c r="M3724" s="135"/>
      <c r="N3724" s="135"/>
      <c r="O3724" s="135"/>
      <c r="P3724" s="135"/>
      <c r="Q3724" s="135"/>
      <c r="R3724" s="135"/>
      <c r="S3724" s="135"/>
      <c r="T3724" s="135"/>
      <c r="U3724" s="135"/>
      <c r="V3724" s="135"/>
      <c r="W3724" s="135"/>
      <c r="X3724" s="135"/>
      <c r="Y3724" s="135"/>
      <c r="Z3724" s="135"/>
    </row>
    <row r="3725" spans="1:26" ht="12.75">
      <c r="A3725" s="136" t="s">
        <v>10</v>
      </c>
      <c r="B3725" s="136" t="s">
        <v>7876</v>
      </c>
      <c r="C3725" s="136" t="s">
        <v>7917</v>
      </c>
      <c r="D3725" s="136" t="s">
        <v>7880</v>
      </c>
      <c r="E3725" s="136" t="s">
        <v>615</v>
      </c>
      <c r="F3725" s="136">
        <v>130</v>
      </c>
      <c r="G3725" s="137">
        <f t="shared" si="14"/>
        <v>5</v>
      </c>
      <c r="H3725" s="137"/>
      <c r="I3725" s="137"/>
      <c r="J3725" s="135"/>
      <c r="K3725" s="135"/>
      <c r="L3725" s="135"/>
      <c r="M3725" s="135"/>
      <c r="N3725" s="135"/>
      <c r="O3725" s="135"/>
      <c r="P3725" s="135"/>
      <c r="Q3725" s="135"/>
      <c r="R3725" s="135"/>
      <c r="S3725" s="135"/>
      <c r="T3725" s="135"/>
      <c r="U3725" s="135"/>
      <c r="V3725" s="135"/>
      <c r="W3725" s="135"/>
      <c r="X3725" s="135"/>
      <c r="Y3725" s="135"/>
      <c r="Z3725" s="135"/>
    </row>
    <row r="3726" spans="1:26" ht="12.75">
      <c r="A3726" s="136" t="s">
        <v>10</v>
      </c>
      <c r="B3726" s="136" t="s">
        <v>7876</v>
      </c>
      <c r="C3726" s="136" t="s">
        <v>7918</v>
      </c>
      <c r="D3726" s="136" t="s">
        <v>7879</v>
      </c>
      <c r="E3726" s="136" t="s">
        <v>594</v>
      </c>
      <c r="F3726" s="136">
        <v>581</v>
      </c>
      <c r="G3726" s="137">
        <f t="shared" si="14"/>
        <v>1</v>
      </c>
      <c r="H3726" s="137"/>
      <c r="I3726" s="137"/>
      <c r="J3726" s="135"/>
      <c r="K3726" s="135"/>
      <c r="L3726" s="135"/>
      <c r="M3726" s="135"/>
      <c r="N3726" s="135"/>
      <c r="O3726" s="135"/>
      <c r="P3726" s="135"/>
      <c r="Q3726" s="135"/>
      <c r="R3726" s="135"/>
      <c r="S3726" s="135"/>
      <c r="T3726" s="135"/>
      <c r="U3726" s="135"/>
      <c r="V3726" s="135"/>
      <c r="W3726" s="135"/>
      <c r="X3726" s="135"/>
      <c r="Y3726" s="135"/>
      <c r="Z3726" s="135"/>
    </row>
    <row r="3727" spans="1:26" ht="12.75">
      <c r="A3727" s="136" t="s">
        <v>10</v>
      </c>
      <c r="B3727" s="136" t="s">
        <v>7876</v>
      </c>
      <c r="C3727" s="136" t="s">
        <v>7918</v>
      </c>
      <c r="D3727" s="136" t="s">
        <v>7481</v>
      </c>
      <c r="E3727" s="136" t="s">
        <v>615</v>
      </c>
      <c r="F3727" s="136">
        <v>445</v>
      </c>
      <c r="G3727" s="137">
        <f t="shared" si="14"/>
        <v>2</v>
      </c>
      <c r="H3727" s="137"/>
      <c r="I3727" s="137"/>
      <c r="J3727" s="135"/>
      <c r="K3727" s="135"/>
      <c r="L3727" s="135"/>
      <c r="M3727" s="135"/>
      <c r="N3727" s="135"/>
      <c r="O3727" s="135"/>
      <c r="P3727" s="135"/>
      <c r="Q3727" s="135"/>
      <c r="R3727" s="135"/>
      <c r="S3727" s="135"/>
      <c r="T3727" s="135"/>
      <c r="U3727" s="135"/>
      <c r="V3727" s="135"/>
      <c r="W3727" s="135"/>
      <c r="X3727" s="135"/>
      <c r="Y3727" s="135"/>
      <c r="Z3727" s="135"/>
    </row>
    <row r="3728" spans="1:26" ht="12.75">
      <c r="A3728" s="136" t="s">
        <v>10</v>
      </c>
      <c r="B3728" s="136" t="s">
        <v>7876</v>
      </c>
      <c r="C3728" s="136" t="s">
        <v>7918</v>
      </c>
      <c r="D3728" s="136" t="s">
        <v>7880</v>
      </c>
      <c r="E3728" s="136" t="s">
        <v>615</v>
      </c>
      <c r="F3728" s="136">
        <v>264</v>
      </c>
      <c r="G3728" s="137">
        <f t="shared" si="14"/>
        <v>3</v>
      </c>
      <c r="H3728" s="137"/>
      <c r="I3728" s="137"/>
      <c r="J3728" s="135"/>
      <c r="K3728" s="135"/>
      <c r="L3728" s="135"/>
      <c r="M3728" s="135"/>
      <c r="N3728" s="135"/>
      <c r="O3728" s="135"/>
      <c r="P3728" s="135"/>
      <c r="Q3728" s="135"/>
      <c r="R3728" s="135"/>
      <c r="S3728" s="135"/>
      <c r="T3728" s="135"/>
      <c r="U3728" s="135"/>
      <c r="V3728" s="135"/>
      <c r="W3728" s="135"/>
      <c r="X3728" s="135"/>
      <c r="Y3728" s="135"/>
      <c r="Z3728" s="135"/>
    </row>
    <row r="3729" spans="1:26" ht="12.75">
      <c r="A3729" s="136" t="s">
        <v>10</v>
      </c>
      <c r="B3729" s="136" t="s">
        <v>7876</v>
      </c>
      <c r="C3729" s="136" t="s">
        <v>7918</v>
      </c>
      <c r="D3729" s="136" t="s">
        <v>7898</v>
      </c>
      <c r="E3729" s="136" t="s">
        <v>615</v>
      </c>
      <c r="F3729" s="136">
        <v>187</v>
      </c>
      <c r="G3729" s="137">
        <f t="shared" si="14"/>
        <v>4</v>
      </c>
      <c r="H3729" s="137"/>
      <c r="I3729" s="137"/>
      <c r="J3729" s="135"/>
      <c r="K3729" s="135"/>
      <c r="L3729" s="135"/>
      <c r="M3729" s="135"/>
      <c r="N3729" s="135"/>
      <c r="O3729" s="135"/>
      <c r="P3729" s="135"/>
      <c r="Q3729" s="135"/>
      <c r="R3729" s="135"/>
      <c r="S3729" s="135"/>
      <c r="T3729" s="135"/>
      <c r="U3729" s="135"/>
      <c r="V3729" s="135"/>
      <c r="W3729" s="135"/>
      <c r="X3729" s="135"/>
      <c r="Y3729" s="135"/>
      <c r="Z3729" s="135"/>
    </row>
    <row r="3730" spans="1:26" ht="12.75">
      <c r="A3730" s="136" t="s">
        <v>10</v>
      </c>
      <c r="B3730" s="136" t="s">
        <v>7876</v>
      </c>
      <c r="C3730" s="136" t="s">
        <v>7918</v>
      </c>
      <c r="D3730" s="136" t="s">
        <v>7888</v>
      </c>
      <c r="E3730" s="136" t="s">
        <v>615</v>
      </c>
      <c r="F3730" s="136">
        <v>180</v>
      </c>
      <c r="G3730" s="137">
        <f t="shared" si="14"/>
        <v>5</v>
      </c>
      <c r="H3730" s="137"/>
      <c r="I3730" s="137"/>
      <c r="J3730" s="135"/>
      <c r="K3730" s="135"/>
      <c r="L3730" s="135"/>
      <c r="M3730" s="135"/>
      <c r="N3730" s="135"/>
      <c r="O3730" s="135"/>
      <c r="P3730" s="135"/>
      <c r="Q3730" s="135"/>
      <c r="R3730" s="135"/>
      <c r="S3730" s="135"/>
      <c r="T3730" s="135"/>
      <c r="U3730" s="135"/>
      <c r="V3730" s="135"/>
      <c r="W3730" s="135"/>
      <c r="X3730" s="135"/>
      <c r="Y3730" s="135"/>
      <c r="Z3730" s="135"/>
    </row>
    <row r="3731" spans="1:26" ht="12.75">
      <c r="A3731" s="136" t="s">
        <v>10</v>
      </c>
      <c r="B3731" s="136" t="s">
        <v>7876</v>
      </c>
      <c r="C3731" s="136" t="s">
        <v>7919</v>
      </c>
      <c r="D3731" s="136" t="s">
        <v>7879</v>
      </c>
      <c r="E3731" s="136" t="s">
        <v>594</v>
      </c>
      <c r="F3731" s="136">
        <v>695</v>
      </c>
      <c r="G3731" s="137">
        <f t="shared" si="14"/>
        <v>1</v>
      </c>
      <c r="H3731" s="137"/>
      <c r="I3731" s="137"/>
      <c r="J3731" s="135"/>
      <c r="K3731" s="135"/>
      <c r="L3731" s="135"/>
      <c r="M3731" s="135"/>
      <c r="N3731" s="135"/>
      <c r="O3731" s="135"/>
      <c r="P3731" s="135"/>
      <c r="Q3731" s="135"/>
      <c r="R3731" s="135"/>
      <c r="S3731" s="135"/>
      <c r="T3731" s="135"/>
      <c r="U3731" s="135"/>
      <c r="V3731" s="135"/>
      <c r="W3731" s="135"/>
      <c r="X3731" s="135"/>
      <c r="Y3731" s="135"/>
      <c r="Z3731" s="135"/>
    </row>
    <row r="3732" spans="1:26" ht="12.75">
      <c r="A3732" s="136" t="s">
        <v>10</v>
      </c>
      <c r="B3732" s="136" t="s">
        <v>7876</v>
      </c>
      <c r="C3732" s="136" t="s">
        <v>7919</v>
      </c>
      <c r="D3732" s="136" t="s">
        <v>7880</v>
      </c>
      <c r="E3732" s="136" t="s">
        <v>615</v>
      </c>
      <c r="F3732" s="136">
        <v>328</v>
      </c>
      <c r="G3732" s="137">
        <f t="shared" si="14"/>
        <v>2</v>
      </c>
      <c r="H3732" s="137"/>
      <c r="I3732" s="137"/>
      <c r="J3732" s="135"/>
      <c r="K3732" s="135"/>
      <c r="L3732" s="135"/>
      <c r="M3732" s="135"/>
      <c r="N3732" s="135"/>
      <c r="O3732" s="135"/>
      <c r="P3732" s="135"/>
      <c r="Q3732" s="135"/>
      <c r="R3732" s="135"/>
      <c r="S3732" s="135"/>
      <c r="T3732" s="135"/>
      <c r="U3732" s="135"/>
      <c r="V3732" s="135"/>
      <c r="W3732" s="135"/>
      <c r="X3732" s="135"/>
      <c r="Y3732" s="135"/>
      <c r="Z3732" s="135"/>
    </row>
    <row r="3733" spans="1:26" ht="12.75">
      <c r="A3733" s="136" t="s">
        <v>10</v>
      </c>
      <c r="B3733" s="136" t="s">
        <v>7876</v>
      </c>
      <c r="C3733" s="136" t="s">
        <v>7919</v>
      </c>
      <c r="D3733" s="136" t="s">
        <v>7481</v>
      </c>
      <c r="E3733" s="136" t="s">
        <v>615</v>
      </c>
      <c r="F3733" s="136">
        <v>226</v>
      </c>
      <c r="G3733" s="137">
        <f t="shared" si="14"/>
        <v>3</v>
      </c>
      <c r="H3733" s="137"/>
      <c r="I3733" s="137"/>
      <c r="J3733" s="135"/>
      <c r="K3733" s="135"/>
      <c r="L3733" s="135"/>
      <c r="M3733" s="135"/>
      <c r="N3733" s="135"/>
      <c r="O3733" s="135"/>
      <c r="P3733" s="135"/>
      <c r="Q3733" s="135"/>
      <c r="R3733" s="135"/>
      <c r="S3733" s="135"/>
      <c r="T3733" s="135"/>
      <c r="U3733" s="135"/>
      <c r="V3733" s="135"/>
      <c r="W3733" s="135"/>
      <c r="X3733" s="135"/>
      <c r="Y3733" s="135"/>
      <c r="Z3733" s="135"/>
    </row>
    <row r="3734" spans="1:26" ht="12.75">
      <c r="A3734" s="136" t="s">
        <v>10</v>
      </c>
      <c r="B3734" s="136" t="s">
        <v>7876</v>
      </c>
      <c r="C3734" s="136" t="s">
        <v>7919</v>
      </c>
      <c r="D3734" s="136" t="s">
        <v>7920</v>
      </c>
      <c r="E3734" s="136" t="s">
        <v>615</v>
      </c>
      <c r="F3734" s="136">
        <v>168</v>
      </c>
      <c r="G3734" s="137">
        <f t="shared" si="14"/>
        <v>4</v>
      </c>
      <c r="H3734" s="137"/>
      <c r="I3734" s="137"/>
      <c r="J3734" s="135"/>
      <c r="K3734" s="135"/>
      <c r="L3734" s="135"/>
      <c r="M3734" s="135"/>
      <c r="N3734" s="135"/>
      <c r="O3734" s="135"/>
      <c r="P3734" s="135"/>
      <c r="Q3734" s="135"/>
      <c r="R3734" s="135"/>
      <c r="S3734" s="135"/>
      <c r="T3734" s="135"/>
      <c r="U3734" s="135"/>
      <c r="V3734" s="135"/>
      <c r="W3734" s="135"/>
      <c r="X3734" s="135"/>
      <c r="Y3734" s="135"/>
      <c r="Z3734" s="135"/>
    </row>
    <row r="3735" spans="1:26" ht="12.75">
      <c r="A3735" s="136" t="s">
        <v>10</v>
      </c>
      <c r="B3735" s="136" t="s">
        <v>7876</v>
      </c>
      <c r="C3735" s="136" t="s">
        <v>7919</v>
      </c>
      <c r="D3735" s="136" t="s">
        <v>7898</v>
      </c>
      <c r="E3735" s="136" t="s">
        <v>615</v>
      </c>
      <c r="F3735" s="136">
        <v>140</v>
      </c>
      <c r="G3735" s="137">
        <f t="shared" si="14"/>
        <v>5</v>
      </c>
      <c r="H3735" s="137"/>
      <c r="I3735" s="137"/>
      <c r="J3735" s="135"/>
      <c r="K3735" s="135"/>
      <c r="L3735" s="135"/>
      <c r="M3735" s="135"/>
      <c r="N3735" s="135"/>
      <c r="O3735" s="135"/>
      <c r="P3735" s="135"/>
      <c r="Q3735" s="135"/>
      <c r="R3735" s="135"/>
      <c r="S3735" s="135"/>
      <c r="T3735" s="135"/>
      <c r="U3735" s="135"/>
      <c r="V3735" s="135"/>
      <c r="W3735" s="135"/>
      <c r="X3735" s="135"/>
      <c r="Y3735" s="135"/>
      <c r="Z3735" s="135"/>
    </row>
    <row r="3736" spans="1:26" ht="12.75">
      <c r="A3736" s="136" t="s">
        <v>10</v>
      </c>
      <c r="B3736" s="136" t="s">
        <v>7876</v>
      </c>
      <c r="C3736" s="136" t="s">
        <v>7921</v>
      </c>
      <c r="D3736" s="136" t="s">
        <v>7879</v>
      </c>
      <c r="E3736" s="136" t="s">
        <v>594</v>
      </c>
      <c r="F3736" s="136">
        <v>621</v>
      </c>
      <c r="G3736" s="137">
        <f t="shared" si="14"/>
        <v>1</v>
      </c>
      <c r="H3736" s="137"/>
      <c r="I3736" s="137"/>
      <c r="J3736" s="135"/>
      <c r="K3736" s="135"/>
      <c r="L3736" s="135"/>
      <c r="M3736" s="135"/>
      <c r="N3736" s="135"/>
      <c r="O3736" s="135"/>
      <c r="P3736" s="135"/>
      <c r="Q3736" s="135"/>
      <c r="R3736" s="135"/>
      <c r="S3736" s="135"/>
      <c r="T3736" s="135"/>
      <c r="U3736" s="135"/>
      <c r="V3736" s="135"/>
      <c r="W3736" s="135"/>
      <c r="X3736" s="135"/>
      <c r="Y3736" s="135"/>
      <c r="Z3736" s="135"/>
    </row>
    <row r="3737" spans="1:26" ht="12.75">
      <c r="A3737" s="136" t="s">
        <v>10</v>
      </c>
      <c r="B3737" s="136" t="s">
        <v>7876</v>
      </c>
      <c r="C3737" s="136" t="s">
        <v>7921</v>
      </c>
      <c r="D3737" s="136" t="s">
        <v>7878</v>
      </c>
      <c r="E3737" s="136" t="s">
        <v>85</v>
      </c>
      <c r="F3737" s="136">
        <v>400</v>
      </c>
      <c r="G3737" s="137">
        <f t="shared" si="14"/>
        <v>2</v>
      </c>
      <c r="H3737" s="137"/>
      <c r="I3737" s="137"/>
      <c r="J3737" s="135"/>
      <c r="K3737" s="135"/>
      <c r="L3737" s="135"/>
      <c r="M3737" s="135"/>
      <c r="N3737" s="135"/>
      <c r="O3737" s="135"/>
      <c r="P3737" s="135"/>
      <c r="Q3737" s="135"/>
      <c r="R3737" s="135"/>
      <c r="S3737" s="135"/>
      <c r="T3737" s="135"/>
      <c r="U3737" s="135"/>
      <c r="V3737" s="135"/>
      <c r="W3737" s="135"/>
      <c r="X3737" s="135"/>
      <c r="Y3737" s="135"/>
      <c r="Z3737" s="135"/>
    </row>
    <row r="3738" spans="1:26" ht="12.75">
      <c r="A3738" s="136" t="s">
        <v>10</v>
      </c>
      <c r="B3738" s="136" t="s">
        <v>7876</v>
      </c>
      <c r="C3738" s="136" t="s">
        <v>7921</v>
      </c>
      <c r="D3738" s="136" t="s">
        <v>7481</v>
      </c>
      <c r="E3738" s="136" t="s">
        <v>615</v>
      </c>
      <c r="F3738" s="136">
        <v>199</v>
      </c>
      <c r="G3738" s="137">
        <f t="shared" si="14"/>
        <v>3</v>
      </c>
      <c r="H3738" s="137"/>
      <c r="I3738" s="137"/>
      <c r="J3738" s="135"/>
      <c r="K3738" s="135"/>
      <c r="L3738" s="135"/>
      <c r="M3738" s="135"/>
      <c r="N3738" s="135"/>
      <c r="O3738" s="135"/>
      <c r="P3738" s="135"/>
      <c r="Q3738" s="135"/>
      <c r="R3738" s="135"/>
      <c r="S3738" s="135"/>
      <c r="T3738" s="135"/>
      <c r="U3738" s="135"/>
      <c r="V3738" s="135"/>
      <c r="W3738" s="135"/>
      <c r="X3738" s="135"/>
      <c r="Y3738" s="135"/>
      <c r="Z3738" s="135"/>
    </row>
    <row r="3739" spans="1:26" ht="12.75">
      <c r="A3739" s="136" t="s">
        <v>10</v>
      </c>
      <c r="B3739" s="136" t="s">
        <v>7876</v>
      </c>
      <c r="C3739" s="136" t="s">
        <v>7921</v>
      </c>
      <c r="D3739" s="136" t="s">
        <v>7880</v>
      </c>
      <c r="E3739" s="136" t="s">
        <v>615</v>
      </c>
      <c r="F3739" s="136">
        <v>152</v>
      </c>
      <c r="G3739" s="137">
        <f t="shared" si="14"/>
        <v>4</v>
      </c>
      <c r="H3739" s="137"/>
      <c r="I3739" s="137"/>
      <c r="J3739" s="135"/>
      <c r="K3739" s="135"/>
      <c r="L3739" s="135"/>
      <c r="M3739" s="135"/>
      <c r="N3739" s="135"/>
      <c r="O3739" s="135"/>
      <c r="P3739" s="135"/>
      <c r="Q3739" s="135"/>
      <c r="R3739" s="135"/>
      <c r="S3739" s="135"/>
      <c r="T3739" s="135"/>
      <c r="U3739" s="135"/>
      <c r="V3739" s="135"/>
      <c r="W3739" s="135"/>
      <c r="X3739" s="135"/>
      <c r="Y3739" s="135"/>
      <c r="Z3739" s="135"/>
    </row>
    <row r="3740" spans="1:26" ht="12.75">
      <c r="A3740" s="136" t="s">
        <v>10</v>
      </c>
      <c r="B3740" s="136" t="s">
        <v>7876</v>
      </c>
      <c r="C3740" s="136" t="s">
        <v>7922</v>
      </c>
      <c r="D3740" s="136" t="s">
        <v>7481</v>
      </c>
      <c r="E3740" s="136" t="s">
        <v>615</v>
      </c>
      <c r="F3740" s="136">
        <v>490</v>
      </c>
      <c r="G3740" s="137">
        <f t="shared" si="14"/>
        <v>1</v>
      </c>
      <c r="H3740" s="137"/>
      <c r="I3740" s="137"/>
      <c r="J3740" s="135"/>
      <c r="K3740" s="135"/>
      <c r="L3740" s="135"/>
      <c r="M3740" s="135"/>
      <c r="N3740" s="135"/>
      <c r="O3740" s="135"/>
      <c r="P3740" s="135"/>
      <c r="Q3740" s="135"/>
      <c r="R3740" s="135"/>
      <c r="S3740" s="135"/>
      <c r="T3740" s="135"/>
      <c r="U3740" s="135"/>
      <c r="V3740" s="135"/>
      <c r="W3740" s="135"/>
      <c r="X3740" s="135"/>
      <c r="Y3740" s="135"/>
      <c r="Z3740" s="135"/>
    </row>
    <row r="3741" spans="1:26" ht="12.75">
      <c r="A3741" s="136" t="s">
        <v>10</v>
      </c>
      <c r="B3741" s="136" t="s">
        <v>7876</v>
      </c>
      <c r="C3741" s="136" t="s">
        <v>7922</v>
      </c>
      <c r="D3741" s="136" t="s">
        <v>7879</v>
      </c>
      <c r="E3741" s="136" t="s">
        <v>594</v>
      </c>
      <c r="F3741" s="136">
        <v>449</v>
      </c>
      <c r="G3741" s="137">
        <f t="shared" si="14"/>
        <v>2</v>
      </c>
      <c r="H3741" s="137"/>
      <c r="I3741" s="137"/>
      <c r="J3741" s="135"/>
      <c r="K3741" s="135"/>
      <c r="L3741" s="135"/>
      <c r="M3741" s="135"/>
      <c r="N3741" s="135"/>
      <c r="O3741" s="135"/>
      <c r="P3741" s="135"/>
      <c r="Q3741" s="135"/>
      <c r="R3741" s="135"/>
      <c r="S3741" s="135"/>
      <c r="T3741" s="135"/>
      <c r="U3741" s="135"/>
      <c r="V3741" s="135"/>
      <c r="W3741" s="135"/>
      <c r="X3741" s="135"/>
      <c r="Y3741" s="135"/>
      <c r="Z3741" s="135"/>
    </row>
    <row r="3742" spans="1:26" ht="12.75">
      <c r="A3742" s="136" t="s">
        <v>10</v>
      </c>
      <c r="B3742" s="136" t="s">
        <v>7876</v>
      </c>
      <c r="C3742" s="136" t="s">
        <v>7922</v>
      </c>
      <c r="D3742" s="136" t="s">
        <v>7898</v>
      </c>
      <c r="E3742" s="136" t="s">
        <v>615</v>
      </c>
      <c r="F3742" s="136">
        <v>262</v>
      </c>
      <c r="G3742" s="137">
        <f t="shared" si="14"/>
        <v>3</v>
      </c>
      <c r="H3742" s="137"/>
      <c r="I3742" s="137"/>
      <c r="J3742" s="135"/>
      <c r="K3742" s="135"/>
      <c r="L3742" s="135"/>
      <c r="M3742" s="135"/>
      <c r="N3742" s="135"/>
      <c r="O3742" s="135"/>
      <c r="P3742" s="135"/>
      <c r="Q3742" s="135"/>
      <c r="R3742" s="135"/>
      <c r="S3742" s="135"/>
      <c r="T3742" s="135"/>
      <c r="U3742" s="135"/>
      <c r="V3742" s="135"/>
      <c r="W3742" s="135"/>
      <c r="X3742" s="135"/>
      <c r="Y3742" s="135"/>
      <c r="Z3742" s="135"/>
    </row>
    <row r="3743" spans="1:26" ht="12.75">
      <c r="A3743" s="136" t="s">
        <v>10</v>
      </c>
      <c r="B3743" s="136" t="s">
        <v>7876</v>
      </c>
      <c r="C3743" s="136" t="s">
        <v>7922</v>
      </c>
      <c r="D3743" s="136" t="s">
        <v>7880</v>
      </c>
      <c r="E3743" s="136" t="s">
        <v>615</v>
      </c>
      <c r="F3743" s="136">
        <v>180</v>
      </c>
      <c r="G3743" s="137">
        <f t="shared" si="14"/>
        <v>4</v>
      </c>
      <c r="H3743" s="137"/>
      <c r="I3743" s="137"/>
      <c r="J3743" s="135"/>
      <c r="K3743" s="135"/>
      <c r="L3743" s="135"/>
      <c r="M3743" s="135"/>
      <c r="N3743" s="135"/>
      <c r="O3743" s="135"/>
      <c r="P3743" s="135"/>
      <c r="Q3743" s="135"/>
      <c r="R3743" s="135"/>
      <c r="S3743" s="135"/>
      <c r="T3743" s="135"/>
      <c r="U3743" s="135"/>
      <c r="V3743" s="135"/>
      <c r="W3743" s="135"/>
      <c r="X3743" s="135"/>
      <c r="Y3743" s="135"/>
      <c r="Z3743" s="135"/>
    </row>
    <row r="3744" spans="1:26" ht="12.75">
      <c r="A3744" s="136" t="s">
        <v>10</v>
      </c>
      <c r="B3744" s="136" t="s">
        <v>7876</v>
      </c>
      <c r="C3744" s="136" t="s">
        <v>7922</v>
      </c>
      <c r="D3744" s="136" t="s">
        <v>7923</v>
      </c>
      <c r="E3744" s="136" t="s">
        <v>85</v>
      </c>
      <c r="F3744" s="136">
        <v>120</v>
      </c>
      <c r="G3744" s="137">
        <f t="shared" si="14"/>
        <v>5</v>
      </c>
      <c r="H3744" s="137"/>
      <c r="I3744" s="137"/>
      <c r="J3744" s="135"/>
      <c r="K3744" s="135"/>
      <c r="L3744" s="135"/>
      <c r="M3744" s="135"/>
      <c r="N3744" s="135"/>
      <c r="O3744" s="135"/>
      <c r="P3744" s="135"/>
      <c r="Q3744" s="135"/>
      <c r="R3744" s="135"/>
      <c r="S3744" s="135"/>
      <c r="T3744" s="135"/>
      <c r="U3744" s="135"/>
      <c r="V3744" s="135"/>
      <c r="W3744" s="135"/>
      <c r="X3744" s="135"/>
      <c r="Y3744" s="135"/>
      <c r="Z3744" s="135"/>
    </row>
    <row r="3745" spans="1:26" ht="12.75">
      <c r="A3745" s="136" t="s">
        <v>10</v>
      </c>
      <c r="B3745" s="136" t="s">
        <v>7876</v>
      </c>
      <c r="C3745" s="136" t="s">
        <v>7924</v>
      </c>
      <c r="D3745" s="136" t="s">
        <v>7481</v>
      </c>
      <c r="E3745" s="136" t="s">
        <v>615</v>
      </c>
      <c r="F3745" s="136">
        <v>585</v>
      </c>
      <c r="G3745" s="137">
        <f t="shared" si="14"/>
        <v>1</v>
      </c>
      <c r="H3745" s="137"/>
      <c r="I3745" s="137"/>
      <c r="J3745" s="135"/>
      <c r="K3745" s="135"/>
      <c r="L3745" s="135"/>
      <c r="M3745" s="135"/>
      <c r="N3745" s="135"/>
      <c r="O3745" s="135"/>
      <c r="P3745" s="135"/>
      <c r="Q3745" s="135"/>
      <c r="R3745" s="135"/>
      <c r="S3745" s="135"/>
      <c r="T3745" s="135"/>
      <c r="U3745" s="135"/>
      <c r="V3745" s="135"/>
      <c r="W3745" s="135"/>
      <c r="X3745" s="135"/>
      <c r="Y3745" s="135"/>
      <c r="Z3745" s="135"/>
    </row>
    <row r="3746" spans="1:26" ht="12.75">
      <c r="A3746" s="136" t="s">
        <v>10</v>
      </c>
      <c r="B3746" s="136" t="s">
        <v>7876</v>
      </c>
      <c r="C3746" s="136" t="s">
        <v>7924</v>
      </c>
      <c r="D3746" s="136" t="s">
        <v>7879</v>
      </c>
      <c r="E3746" s="136" t="s">
        <v>594</v>
      </c>
      <c r="F3746" s="136">
        <v>485</v>
      </c>
      <c r="G3746" s="137">
        <f t="shared" si="14"/>
        <v>2</v>
      </c>
      <c r="H3746" s="137"/>
      <c r="I3746" s="137"/>
      <c r="J3746" s="135"/>
      <c r="K3746" s="135"/>
      <c r="L3746" s="135"/>
      <c r="M3746" s="135"/>
      <c r="N3746" s="135"/>
      <c r="O3746" s="135"/>
      <c r="P3746" s="135"/>
      <c r="Q3746" s="135"/>
      <c r="R3746" s="135"/>
      <c r="S3746" s="135"/>
      <c r="T3746" s="135"/>
      <c r="U3746" s="135"/>
      <c r="V3746" s="135"/>
      <c r="W3746" s="135"/>
      <c r="X3746" s="135"/>
      <c r="Y3746" s="135"/>
      <c r="Z3746" s="135"/>
    </row>
    <row r="3747" spans="1:26" ht="12.75">
      <c r="A3747" s="136" t="s">
        <v>10</v>
      </c>
      <c r="B3747" s="136" t="s">
        <v>7876</v>
      </c>
      <c r="C3747" s="136" t="s">
        <v>7924</v>
      </c>
      <c r="D3747" s="136" t="s">
        <v>7913</v>
      </c>
      <c r="E3747" s="136" t="s">
        <v>615</v>
      </c>
      <c r="F3747" s="136">
        <v>264</v>
      </c>
      <c r="G3747" s="137">
        <f t="shared" si="14"/>
        <v>3</v>
      </c>
      <c r="H3747" s="137"/>
      <c r="I3747" s="137"/>
      <c r="J3747" s="135"/>
      <c r="K3747" s="135"/>
      <c r="L3747" s="135"/>
      <c r="M3747" s="135"/>
      <c r="N3747" s="135"/>
      <c r="O3747" s="135"/>
      <c r="P3747" s="135"/>
      <c r="Q3747" s="135"/>
      <c r="R3747" s="135"/>
      <c r="S3747" s="135"/>
      <c r="T3747" s="135"/>
      <c r="U3747" s="135"/>
      <c r="V3747" s="135"/>
      <c r="W3747" s="135"/>
      <c r="X3747" s="135"/>
      <c r="Y3747" s="135"/>
      <c r="Z3747" s="135"/>
    </row>
    <row r="3748" spans="1:26" ht="12.75">
      <c r="A3748" s="136" t="s">
        <v>10</v>
      </c>
      <c r="B3748" s="136" t="s">
        <v>7876</v>
      </c>
      <c r="C3748" s="136" t="s">
        <v>7924</v>
      </c>
      <c r="D3748" s="136" t="s">
        <v>7898</v>
      </c>
      <c r="E3748" s="136" t="s">
        <v>615</v>
      </c>
      <c r="F3748" s="136">
        <v>150</v>
      </c>
      <c r="G3748" s="137">
        <f t="shared" si="14"/>
        <v>4</v>
      </c>
      <c r="H3748" s="137"/>
      <c r="I3748" s="137"/>
      <c r="J3748" s="135"/>
      <c r="K3748" s="135"/>
      <c r="L3748" s="135"/>
      <c r="M3748" s="135"/>
      <c r="N3748" s="135"/>
      <c r="O3748" s="135"/>
      <c r="P3748" s="135"/>
      <c r="Q3748" s="135"/>
      <c r="R3748" s="135"/>
      <c r="S3748" s="135"/>
      <c r="T3748" s="135"/>
      <c r="U3748" s="135"/>
      <c r="V3748" s="135"/>
      <c r="W3748" s="135"/>
      <c r="X3748" s="135"/>
      <c r="Y3748" s="135"/>
      <c r="Z3748" s="135"/>
    </row>
    <row r="3749" spans="1:26" ht="12.75">
      <c r="A3749" s="136" t="s">
        <v>10</v>
      </c>
      <c r="B3749" s="136" t="s">
        <v>7876</v>
      </c>
      <c r="C3749" s="136" t="s">
        <v>7924</v>
      </c>
      <c r="D3749" s="136" t="s">
        <v>7925</v>
      </c>
      <c r="E3749" s="136" t="s">
        <v>615</v>
      </c>
      <c r="F3749" s="136">
        <v>132</v>
      </c>
      <c r="G3749" s="137">
        <f t="shared" si="14"/>
        <v>5</v>
      </c>
      <c r="H3749" s="137"/>
      <c r="I3749" s="137"/>
      <c r="J3749" s="135"/>
      <c r="K3749" s="135"/>
      <c r="L3749" s="135"/>
      <c r="M3749" s="135"/>
      <c r="N3749" s="135"/>
      <c r="O3749" s="135"/>
      <c r="P3749" s="135"/>
      <c r="Q3749" s="135"/>
      <c r="R3749" s="135"/>
      <c r="S3749" s="135"/>
      <c r="T3749" s="135"/>
      <c r="U3749" s="135"/>
      <c r="V3749" s="135"/>
      <c r="W3749" s="135"/>
      <c r="X3749" s="135"/>
      <c r="Y3749" s="135"/>
      <c r="Z3749" s="135"/>
    </row>
    <row r="3750" spans="1:26" ht="12.75">
      <c r="A3750" s="136" t="s">
        <v>10</v>
      </c>
      <c r="B3750" s="136" t="s">
        <v>7876</v>
      </c>
      <c r="C3750" s="136" t="s">
        <v>7924</v>
      </c>
      <c r="D3750" s="136" t="s">
        <v>7880</v>
      </c>
      <c r="E3750" s="136" t="s">
        <v>615</v>
      </c>
      <c r="F3750" s="136">
        <v>112</v>
      </c>
      <c r="G3750" s="137">
        <f t="shared" si="14"/>
        <v>6</v>
      </c>
      <c r="H3750" s="137"/>
      <c r="I3750" s="137"/>
      <c r="J3750" s="135"/>
      <c r="K3750" s="135"/>
      <c r="L3750" s="135"/>
      <c r="M3750" s="135"/>
      <c r="N3750" s="135"/>
      <c r="O3750" s="135"/>
      <c r="P3750" s="135"/>
      <c r="Q3750" s="135"/>
      <c r="R3750" s="135"/>
      <c r="S3750" s="135"/>
      <c r="T3750" s="135"/>
      <c r="U3750" s="135"/>
      <c r="V3750" s="135"/>
      <c r="W3750" s="135"/>
      <c r="X3750" s="135"/>
      <c r="Y3750" s="135"/>
      <c r="Z3750" s="135"/>
    </row>
    <row r="3751" spans="1:26" ht="12.75">
      <c r="A3751" s="136" t="s">
        <v>10</v>
      </c>
      <c r="B3751" s="136" t="s">
        <v>7876</v>
      </c>
      <c r="C3751" s="136" t="s">
        <v>7926</v>
      </c>
      <c r="D3751" s="136" t="s">
        <v>7878</v>
      </c>
      <c r="E3751" s="136" t="s">
        <v>85</v>
      </c>
      <c r="F3751" s="136">
        <v>450</v>
      </c>
      <c r="G3751" s="137">
        <f t="shared" si="14"/>
        <v>1</v>
      </c>
      <c r="H3751" s="137"/>
      <c r="I3751" s="137"/>
      <c r="J3751" s="135"/>
      <c r="K3751" s="135"/>
      <c r="L3751" s="135"/>
      <c r="M3751" s="135"/>
      <c r="N3751" s="135"/>
      <c r="O3751" s="135"/>
      <c r="P3751" s="135"/>
      <c r="Q3751" s="135"/>
      <c r="R3751" s="135"/>
      <c r="S3751" s="135"/>
      <c r="T3751" s="135"/>
      <c r="U3751" s="135"/>
      <c r="V3751" s="135"/>
      <c r="W3751" s="135"/>
      <c r="X3751" s="135"/>
      <c r="Y3751" s="135"/>
      <c r="Z3751" s="135"/>
    </row>
    <row r="3752" spans="1:26" ht="12.75">
      <c r="A3752" s="136" t="s">
        <v>10</v>
      </c>
      <c r="B3752" s="136" t="s">
        <v>7876</v>
      </c>
      <c r="C3752" s="136" t="s">
        <v>7926</v>
      </c>
      <c r="D3752" s="136" t="s">
        <v>7879</v>
      </c>
      <c r="E3752" s="136" t="s">
        <v>594</v>
      </c>
      <c r="F3752" s="136">
        <v>250</v>
      </c>
      <c r="G3752" s="137">
        <f t="shared" si="14"/>
        <v>2</v>
      </c>
      <c r="H3752" s="137"/>
      <c r="I3752" s="137"/>
      <c r="J3752" s="135"/>
      <c r="K3752" s="135"/>
      <c r="L3752" s="135"/>
      <c r="M3752" s="135"/>
      <c r="N3752" s="135"/>
      <c r="O3752" s="135"/>
      <c r="P3752" s="135"/>
      <c r="Q3752" s="135"/>
      <c r="R3752" s="135"/>
      <c r="S3752" s="135"/>
      <c r="T3752" s="135"/>
      <c r="U3752" s="135"/>
      <c r="V3752" s="135"/>
      <c r="W3752" s="135"/>
      <c r="X3752" s="135"/>
      <c r="Y3752" s="135"/>
      <c r="Z3752" s="135"/>
    </row>
    <row r="3753" spans="1:26" ht="12.75">
      <c r="A3753" s="136" t="s">
        <v>10</v>
      </c>
      <c r="B3753" s="136" t="s">
        <v>7876</v>
      </c>
      <c r="C3753" s="136" t="s">
        <v>7926</v>
      </c>
      <c r="D3753" s="136" t="s">
        <v>7898</v>
      </c>
      <c r="E3753" s="136" t="s">
        <v>615</v>
      </c>
      <c r="F3753" s="136">
        <v>144</v>
      </c>
      <c r="G3753" s="137">
        <f t="shared" si="14"/>
        <v>3</v>
      </c>
      <c r="H3753" s="137"/>
      <c r="I3753" s="137"/>
      <c r="J3753" s="135"/>
      <c r="K3753" s="135"/>
      <c r="L3753" s="135"/>
      <c r="M3753" s="135"/>
      <c r="N3753" s="135"/>
      <c r="O3753" s="135"/>
      <c r="P3753" s="135"/>
      <c r="Q3753" s="135"/>
      <c r="R3753" s="135"/>
      <c r="S3753" s="135"/>
      <c r="T3753" s="135"/>
      <c r="U3753" s="135"/>
      <c r="V3753" s="135"/>
      <c r="W3753" s="135"/>
      <c r="X3753" s="135"/>
      <c r="Y3753" s="135"/>
      <c r="Z3753" s="135"/>
    </row>
    <row r="3754" spans="1:26" ht="12.75">
      <c r="A3754" s="136" t="s">
        <v>10</v>
      </c>
      <c r="B3754" s="136" t="s">
        <v>7927</v>
      </c>
      <c r="C3754" s="136" t="s">
        <v>7877</v>
      </c>
      <c r="D3754" s="136" t="s">
        <v>7928</v>
      </c>
      <c r="E3754" s="136" t="s">
        <v>85</v>
      </c>
      <c r="F3754" s="136">
        <v>450</v>
      </c>
      <c r="G3754" s="137">
        <f t="shared" si="14"/>
        <v>2</v>
      </c>
      <c r="H3754" s="137"/>
      <c r="I3754" s="137"/>
      <c r="J3754" s="135"/>
      <c r="K3754" s="135"/>
      <c r="L3754" s="135"/>
      <c r="M3754" s="135"/>
      <c r="N3754" s="135"/>
      <c r="O3754" s="135"/>
      <c r="P3754" s="135"/>
      <c r="Q3754" s="135"/>
      <c r="R3754" s="135"/>
      <c r="S3754" s="135"/>
      <c r="T3754" s="135"/>
      <c r="U3754" s="135"/>
      <c r="V3754" s="135"/>
      <c r="W3754" s="135"/>
      <c r="X3754" s="135"/>
      <c r="Y3754" s="135"/>
      <c r="Z3754" s="135"/>
    </row>
    <row r="3755" spans="1:26" ht="12.75">
      <c r="A3755" s="136" t="s">
        <v>10</v>
      </c>
      <c r="B3755" s="136" t="s">
        <v>7927</v>
      </c>
      <c r="C3755" s="136" t="s">
        <v>7877</v>
      </c>
      <c r="D3755" s="136" t="s">
        <v>7879</v>
      </c>
      <c r="E3755" s="136" t="s">
        <v>594</v>
      </c>
      <c r="F3755" s="136">
        <v>350</v>
      </c>
      <c r="G3755" s="137">
        <f t="shared" si="14"/>
        <v>4</v>
      </c>
      <c r="H3755" s="137"/>
      <c r="I3755" s="137"/>
      <c r="J3755" s="135"/>
      <c r="K3755" s="135"/>
      <c r="L3755" s="135"/>
      <c r="M3755" s="135"/>
      <c r="N3755" s="135"/>
      <c r="O3755" s="135"/>
      <c r="P3755" s="135"/>
      <c r="Q3755" s="135"/>
      <c r="R3755" s="135"/>
      <c r="S3755" s="135"/>
      <c r="T3755" s="135"/>
      <c r="U3755" s="135"/>
      <c r="V3755" s="135"/>
      <c r="W3755" s="135"/>
      <c r="X3755" s="135"/>
      <c r="Y3755" s="135"/>
      <c r="Z3755" s="135"/>
    </row>
    <row r="3756" spans="1:26" ht="12.75">
      <c r="A3756" s="136" t="s">
        <v>10</v>
      </c>
      <c r="B3756" s="136" t="s">
        <v>7927</v>
      </c>
      <c r="C3756" s="136" t="s">
        <v>7877</v>
      </c>
      <c r="D3756" s="136" t="s">
        <v>7878</v>
      </c>
      <c r="E3756" s="136" t="s">
        <v>85</v>
      </c>
      <c r="F3756" s="136">
        <v>200</v>
      </c>
      <c r="G3756" s="137">
        <f t="shared" si="14"/>
        <v>5</v>
      </c>
      <c r="H3756" s="137"/>
      <c r="I3756" s="137"/>
      <c r="J3756" s="135"/>
      <c r="K3756" s="135"/>
      <c r="L3756" s="135"/>
      <c r="M3756" s="135"/>
      <c r="N3756" s="135"/>
      <c r="O3756" s="135"/>
      <c r="P3756" s="135"/>
      <c r="Q3756" s="135"/>
      <c r="R3756" s="135"/>
      <c r="S3756" s="135"/>
      <c r="T3756" s="135"/>
      <c r="U3756" s="135"/>
      <c r="V3756" s="135"/>
      <c r="W3756" s="135"/>
      <c r="X3756" s="135"/>
      <c r="Y3756" s="135"/>
      <c r="Z3756" s="135"/>
    </row>
    <row r="3757" spans="1:26" ht="12.75">
      <c r="A3757" s="136" t="s">
        <v>10</v>
      </c>
      <c r="B3757" s="136" t="s">
        <v>7927</v>
      </c>
      <c r="C3757" s="136" t="s">
        <v>7877</v>
      </c>
      <c r="D3757" s="136" t="s">
        <v>7481</v>
      </c>
      <c r="E3757" s="136" t="s">
        <v>615</v>
      </c>
      <c r="F3757" s="136">
        <v>128</v>
      </c>
      <c r="G3757" s="137">
        <f t="shared" si="14"/>
        <v>7</v>
      </c>
      <c r="H3757" s="137"/>
      <c r="I3757" s="137"/>
      <c r="J3757" s="135"/>
      <c r="K3757" s="135"/>
      <c r="L3757" s="135"/>
      <c r="M3757" s="135"/>
      <c r="N3757" s="135"/>
      <c r="O3757" s="135"/>
      <c r="P3757" s="135"/>
      <c r="Q3757" s="135"/>
      <c r="R3757" s="135"/>
      <c r="S3757" s="135"/>
      <c r="T3757" s="135"/>
      <c r="U3757" s="135"/>
      <c r="V3757" s="135"/>
      <c r="W3757" s="135"/>
      <c r="X3757" s="135"/>
      <c r="Y3757" s="135"/>
      <c r="Z3757" s="135"/>
    </row>
    <row r="3758" spans="1:26" ht="12.75">
      <c r="A3758" s="136" t="s">
        <v>10</v>
      </c>
      <c r="B3758" s="136" t="s">
        <v>7927</v>
      </c>
      <c r="C3758" s="136" t="s">
        <v>7882</v>
      </c>
      <c r="D3758" s="136" t="s">
        <v>7878</v>
      </c>
      <c r="E3758" s="136" t="s">
        <v>85</v>
      </c>
      <c r="F3758" s="136">
        <v>1050</v>
      </c>
      <c r="G3758" s="137">
        <f t="shared" si="14"/>
        <v>1</v>
      </c>
      <c r="H3758" s="137"/>
      <c r="I3758" s="137"/>
      <c r="J3758" s="135"/>
      <c r="K3758" s="135"/>
      <c r="L3758" s="135"/>
      <c r="M3758" s="135"/>
      <c r="N3758" s="135"/>
      <c r="O3758" s="135"/>
      <c r="P3758" s="135"/>
      <c r="Q3758" s="135"/>
      <c r="R3758" s="135"/>
      <c r="S3758" s="135"/>
      <c r="T3758" s="135"/>
      <c r="U3758" s="135"/>
      <c r="V3758" s="135"/>
      <c r="W3758" s="135"/>
      <c r="X3758" s="135"/>
      <c r="Y3758" s="135"/>
      <c r="Z3758" s="135"/>
    </row>
    <row r="3759" spans="1:26" ht="12.75">
      <c r="A3759" s="136" t="s">
        <v>10</v>
      </c>
      <c r="B3759" s="136" t="s">
        <v>7927</v>
      </c>
      <c r="C3759" s="136" t="s">
        <v>7882</v>
      </c>
      <c r="D3759" s="136" t="s">
        <v>7928</v>
      </c>
      <c r="E3759" s="136" t="s">
        <v>85</v>
      </c>
      <c r="F3759" s="136">
        <v>100</v>
      </c>
      <c r="G3759" s="137">
        <f t="shared" si="14"/>
        <v>7</v>
      </c>
      <c r="H3759" s="137"/>
      <c r="I3759" s="137"/>
      <c r="J3759" s="135"/>
      <c r="K3759" s="135"/>
      <c r="L3759" s="135"/>
      <c r="M3759" s="135"/>
      <c r="N3759" s="135"/>
      <c r="O3759" s="135"/>
      <c r="P3759" s="135"/>
      <c r="Q3759" s="135"/>
      <c r="R3759" s="135"/>
      <c r="S3759" s="135"/>
      <c r="T3759" s="135"/>
      <c r="U3759" s="135"/>
      <c r="V3759" s="135"/>
      <c r="W3759" s="135"/>
      <c r="X3759" s="135"/>
      <c r="Y3759" s="135"/>
      <c r="Z3759" s="135"/>
    </row>
    <row r="3760" spans="1:26" ht="12.75">
      <c r="A3760" s="136" t="s">
        <v>10</v>
      </c>
      <c r="B3760" s="136" t="s">
        <v>7927</v>
      </c>
      <c r="C3760" s="136" t="s">
        <v>7882</v>
      </c>
      <c r="D3760" s="136" t="s">
        <v>7481</v>
      </c>
      <c r="E3760" s="136" t="s">
        <v>615</v>
      </c>
      <c r="F3760" s="136">
        <v>20</v>
      </c>
      <c r="G3760" s="137">
        <f t="shared" si="14"/>
        <v>8</v>
      </c>
      <c r="H3760" s="137"/>
      <c r="I3760" s="137"/>
      <c r="J3760" s="135"/>
      <c r="K3760" s="135"/>
      <c r="L3760" s="135"/>
      <c r="M3760" s="135"/>
      <c r="N3760" s="135"/>
      <c r="O3760" s="135"/>
      <c r="P3760" s="135"/>
      <c r="Q3760" s="135"/>
      <c r="R3760" s="135"/>
      <c r="S3760" s="135"/>
      <c r="T3760" s="135"/>
      <c r="U3760" s="135"/>
      <c r="V3760" s="135"/>
      <c r="W3760" s="135"/>
      <c r="X3760" s="135"/>
      <c r="Y3760" s="135"/>
      <c r="Z3760" s="135"/>
    </row>
    <row r="3761" spans="1:26" ht="12.75">
      <c r="A3761" s="136" t="s">
        <v>10</v>
      </c>
      <c r="B3761" s="136" t="s">
        <v>7927</v>
      </c>
      <c r="C3761" s="136" t="s">
        <v>7884</v>
      </c>
      <c r="D3761" s="136" t="s">
        <v>7878</v>
      </c>
      <c r="E3761" s="136" t="s">
        <v>85</v>
      </c>
      <c r="F3761" s="136">
        <v>450</v>
      </c>
      <c r="G3761" s="137">
        <f t="shared" si="14"/>
        <v>2</v>
      </c>
      <c r="H3761" s="137"/>
      <c r="I3761" s="137"/>
      <c r="J3761" s="135"/>
      <c r="K3761" s="135"/>
      <c r="L3761" s="135"/>
      <c r="M3761" s="135"/>
      <c r="N3761" s="135"/>
      <c r="O3761" s="135"/>
      <c r="P3761" s="135"/>
      <c r="Q3761" s="135"/>
      <c r="R3761" s="135"/>
      <c r="S3761" s="135"/>
      <c r="T3761" s="135"/>
      <c r="U3761" s="135"/>
      <c r="V3761" s="135"/>
      <c r="W3761" s="135"/>
      <c r="X3761" s="135"/>
      <c r="Y3761" s="135"/>
      <c r="Z3761" s="135"/>
    </row>
    <row r="3762" spans="1:26" ht="12.75">
      <c r="A3762" s="136" t="s">
        <v>10</v>
      </c>
      <c r="B3762" s="136" t="s">
        <v>7927</v>
      </c>
      <c r="C3762" s="136" t="s">
        <v>7884</v>
      </c>
      <c r="D3762" s="136" t="s">
        <v>7879</v>
      </c>
      <c r="E3762" s="136" t="s">
        <v>594</v>
      </c>
      <c r="F3762" s="136">
        <v>300</v>
      </c>
      <c r="G3762" s="137">
        <f t="shared" si="14"/>
        <v>4</v>
      </c>
      <c r="H3762" s="137"/>
      <c r="I3762" s="137"/>
      <c r="J3762" s="135"/>
      <c r="K3762" s="135"/>
      <c r="L3762" s="135"/>
      <c r="M3762" s="135"/>
      <c r="N3762" s="135"/>
      <c r="O3762" s="135"/>
      <c r="P3762" s="135"/>
      <c r="Q3762" s="135"/>
      <c r="R3762" s="135"/>
      <c r="S3762" s="135"/>
      <c r="T3762" s="135"/>
      <c r="U3762" s="135"/>
      <c r="V3762" s="135"/>
      <c r="W3762" s="135"/>
      <c r="X3762" s="135"/>
      <c r="Y3762" s="135"/>
      <c r="Z3762" s="135"/>
    </row>
    <row r="3763" spans="1:26" ht="12.75">
      <c r="A3763" s="136" t="s">
        <v>10</v>
      </c>
      <c r="B3763" s="136" t="s">
        <v>7927</v>
      </c>
      <c r="C3763" s="136" t="s">
        <v>7884</v>
      </c>
      <c r="D3763" s="136" t="s">
        <v>7481</v>
      </c>
      <c r="E3763" s="136" t="s">
        <v>615</v>
      </c>
      <c r="F3763" s="136">
        <v>238</v>
      </c>
      <c r="G3763" s="137">
        <f t="shared" si="14"/>
        <v>5</v>
      </c>
      <c r="H3763" s="137"/>
      <c r="I3763" s="137"/>
      <c r="J3763" s="135"/>
      <c r="K3763" s="135"/>
      <c r="L3763" s="135"/>
      <c r="M3763" s="135"/>
      <c r="N3763" s="135"/>
      <c r="O3763" s="135"/>
      <c r="P3763" s="135"/>
      <c r="Q3763" s="135"/>
      <c r="R3763" s="135"/>
      <c r="S3763" s="135"/>
      <c r="T3763" s="135"/>
      <c r="U3763" s="135"/>
      <c r="V3763" s="135"/>
      <c r="W3763" s="135"/>
      <c r="X3763" s="135"/>
      <c r="Y3763" s="135"/>
      <c r="Z3763" s="135"/>
    </row>
    <row r="3764" spans="1:26" ht="12.75">
      <c r="A3764" s="136" t="s">
        <v>10</v>
      </c>
      <c r="B3764" s="136" t="s">
        <v>7927</v>
      </c>
      <c r="C3764" s="136" t="s">
        <v>7885</v>
      </c>
      <c r="D3764" s="136" t="s">
        <v>7879</v>
      </c>
      <c r="E3764" s="136" t="s">
        <v>594</v>
      </c>
      <c r="F3764" s="136">
        <v>350</v>
      </c>
      <c r="G3764" s="137">
        <f t="shared" si="14"/>
        <v>2</v>
      </c>
      <c r="H3764" s="137"/>
      <c r="I3764" s="137"/>
      <c r="J3764" s="135"/>
      <c r="K3764" s="135"/>
      <c r="L3764" s="135"/>
      <c r="M3764" s="135"/>
      <c r="N3764" s="135"/>
      <c r="O3764" s="135"/>
      <c r="P3764" s="135"/>
      <c r="Q3764" s="135"/>
      <c r="R3764" s="135"/>
      <c r="S3764" s="135"/>
      <c r="T3764" s="135"/>
      <c r="U3764" s="135"/>
      <c r="V3764" s="135"/>
      <c r="W3764" s="135"/>
      <c r="X3764" s="135"/>
      <c r="Y3764" s="135"/>
      <c r="Z3764" s="135"/>
    </row>
    <row r="3765" spans="1:26" ht="12.75">
      <c r="A3765" s="136" t="s">
        <v>10</v>
      </c>
      <c r="B3765" s="136" t="s">
        <v>7927</v>
      </c>
      <c r="C3765" s="136" t="s">
        <v>7885</v>
      </c>
      <c r="D3765" s="136" t="s">
        <v>7878</v>
      </c>
      <c r="E3765" s="136" t="s">
        <v>85</v>
      </c>
      <c r="F3765" s="136">
        <v>300</v>
      </c>
      <c r="G3765" s="137">
        <f t="shared" si="14"/>
        <v>3</v>
      </c>
      <c r="H3765" s="137"/>
      <c r="I3765" s="137"/>
      <c r="J3765" s="135"/>
      <c r="K3765" s="135"/>
      <c r="L3765" s="135"/>
      <c r="M3765" s="135"/>
      <c r="N3765" s="135"/>
      <c r="O3765" s="135"/>
      <c r="P3765" s="135"/>
      <c r="Q3765" s="135"/>
      <c r="R3765" s="135"/>
      <c r="S3765" s="135"/>
      <c r="T3765" s="135"/>
      <c r="U3765" s="135"/>
      <c r="V3765" s="135"/>
      <c r="W3765" s="135"/>
      <c r="X3765" s="135"/>
      <c r="Y3765" s="135"/>
      <c r="Z3765" s="135"/>
    </row>
    <row r="3766" spans="1:26" ht="12.75">
      <c r="A3766" s="136" t="s">
        <v>10</v>
      </c>
      <c r="B3766" s="136" t="s">
        <v>7927</v>
      </c>
      <c r="C3766" s="136" t="s">
        <v>7885</v>
      </c>
      <c r="D3766" s="136" t="s">
        <v>7929</v>
      </c>
      <c r="E3766" s="136" t="s">
        <v>594</v>
      </c>
      <c r="F3766" s="136">
        <v>200</v>
      </c>
      <c r="G3766" s="137">
        <f t="shared" si="14"/>
        <v>7</v>
      </c>
      <c r="H3766" s="137"/>
      <c r="I3766" s="137"/>
      <c r="J3766" s="135"/>
      <c r="K3766" s="135"/>
      <c r="L3766" s="135"/>
      <c r="M3766" s="135"/>
      <c r="N3766" s="135"/>
      <c r="O3766" s="135"/>
      <c r="P3766" s="135"/>
      <c r="Q3766" s="135"/>
      <c r="R3766" s="135"/>
      <c r="S3766" s="135"/>
      <c r="T3766" s="135"/>
      <c r="U3766" s="135"/>
      <c r="V3766" s="135"/>
      <c r="W3766" s="135"/>
      <c r="X3766" s="135"/>
      <c r="Y3766" s="135"/>
      <c r="Z3766" s="135"/>
    </row>
    <row r="3767" spans="1:26" ht="12.75">
      <c r="A3767" s="136" t="s">
        <v>10</v>
      </c>
      <c r="B3767" s="136" t="s">
        <v>7927</v>
      </c>
      <c r="C3767" s="136" t="s">
        <v>7885</v>
      </c>
      <c r="D3767" s="136" t="s">
        <v>7481</v>
      </c>
      <c r="E3767" s="136" t="s">
        <v>615</v>
      </c>
      <c r="F3767" s="136">
        <v>183</v>
      </c>
      <c r="G3767" s="137">
        <f t="shared" si="14"/>
        <v>8</v>
      </c>
      <c r="H3767" s="137"/>
      <c r="I3767" s="137"/>
      <c r="J3767" s="135"/>
      <c r="K3767" s="135"/>
      <c r="L3767" s="135"/>
      <c r="M3767" s="135"/>
      <c r="N3767" s="135"/>
      <c r="O3767" s="135"/>
      <c r="P3767" s="135"/>
      <c r="Q3767" s="135"/>
      <c r="R3767" s="135"/>
      <c r="S3767" s="135"/>
      <c r="T3767" s="135"/>
      <c r="U3767" s="135"/>
      <c r="V3767" s="135"/>
      <c r="W3767" s="135"/>
      <c r="X3767" s="135"/>
      <c r="Y3767" s="135"/>
      <c r="Z3767" s="135"/>
    </row>
    <row r="3768" spans="1:26" ht="12.75">
      <c r="A3768" s="136" t="s">
        <v>10</v>
      </c>
      <c r="B3768" s="136" t="s">
        <v>7927</v>
      </c>
      <c r="C3768" s="136" t="s">
        <v>7886</v>
      </c>
      <c r="D3768" s="136" t="s">
        <v>7879</v>
      </c>
      <c r="E3768" s="136" t="s">
        <v>594</v>
      </c>
      <c r="F3768" s="136">
        <v>950</v>
      </c>
      <c r="G3768" s="137">
        <f t="shared" si="14"/>
        <v>1</v>
      </c>
      <c r="H3768" s="137"/>
      <c r="I3768" s="137"/>
      <c r="J3768" s="135"/>
      <c r="K3768" s="135"/>
      <c r="L3768" s="135"/>
      <c r="M3768" s="135"/>
      <c r="N3768" s="135"/>
      <c r="O3768" s="135"/>
      <c r="P3768" s="135"/>
      <c r="Q3768" s="135"/>
      <c r="R3768" s="135"/>
      <c r="S3768" s="135"/>
      <c r="T3768" s="135"/>
      <c r="U3768" s="135"/>
      <c r="V3768" s="135"/>
      <c r="W3768" s="135"/>
      <c r="X3768" s="135"/>
      <c r="Y3768" s="135"/>
      <c r="Z3768" s="135"/>
    </row>
    <row r="3769" spans="1:26" ht="12.75">
      <c r="A3769" s="136" t="s">
        <v>10</v>
      </c>
      <c r="B3769" s="136" t="s">
        <v>7927</v>
      </c>
      <c r="C3769" s="136" t="s">
        <v>7886</v>
      </c>
      <c r="D3769" s="136" t="s">
        <v>7481</v>
      </c>
      <c r="E3769" s="136" t="s">
        <v>615</v>
      </c>
      <c r="F3769" s="136">
        <v>109</v>
      </c>
      <c r="G3769" s="137">
        <f t="shared" si="14"/>
        <v>8</v>
      </c>
      <c r="H3769" s="137"/>
      <c r="I3769" s="137"/>
      <c r="J3769" s="135"/>
      <c r="K3769" s="135"/>
      <c r="L3769" s="135"/>
      <c r="M3769" s="135"/>
      <c r="N3769" s="135"/>
      <c r="O3769" s="135"/>
      <c r="P3769" s="135"/>
      <c r="Q3769" s="135"/>
      <c r="R3769" s="135"/>
      <c r="S3769" s="135"/>
      <c r="T3769" s="135"/>
      <c r="U3769" s="135"/>
      <c r="V3769" s="135"/>
      <c r="W3769" s="135"/>
      <c r="X3769" s="135"/>
      <c r="Y3769" s="135"/>
      <c r="Z3769" s="135"/>
    </row>
    <row r="3770" spans="1:26" ht="12.75">
      <c r="A3770" s="136" t="s">
        <v>10</v>
      </c>
      <c r="B3770" s="136" t="s">
        <v>7927</v>
      </c>
      <c r="C3770" s="136" t="s">
        <v>7889</v>
      </c>
      <c r="D3770" s="136" t="s">
        <v>7879</v>
      </c>
      <c r="E3770" s="136" t="s">
        <v>594</v>
      </c>
      <c r="F3770" s="136">
        <v>750</v>
      </c>
      <c r="G3770" s="137">
        <f t="shared" si="14"/>
        <v>1</v>
      </c>
      <c r="H3770" s="137"/>
      <c r="I3770" s="137"/>
      <c r="J3770" s="135"/>
      <c r="K3770" s="135"/>
      <c r="L3770" s="135"/>
      <c r="M3770" s="135"/>
      <c r="N3770" s="135"/>
      <c r="O3770" s="135"/>
      <c r="P3770" s="135"/>
      <c r="Q3770" s="135"/>
      <c r="R3770" s="135"/>
      <c r="S3770" s="135"/>
      <c r="T3770" s="135"/>
      <c r="U3770" s="135"/>
      <c r="V3770" s="135"/>
      <c r="W3770" s="135"/>
      <c r="X3770" s="135"/>
      <c r="Y3770" s="135"/>
      <c r="Z3770" s="135"/>
    </row>
    <row r="3771" spans="1:26" ht="12.75">
      <c r="A3771" s="136" t="s">
        <v>10</v>
      </c>
      <c r="B3771" s="136" t="s">
        <v>7927</v>
      </c>
      <c r="C3771" s="136" t="s">
        <v>7889</v>
      </c>
      <c r="D3771" s="136" t="s">
        <v>7929</v>
      </c>
      <c r="E3771" s="136" t="s">
        <v>594</v>
      </c>
      <c r="F3771" s="136">
        <v>200</v>
      </c>
      <c r="G3771" s="137">
        <f t="shared" si="14"/>
        <v>5</v>
      </c>
      <c r="H3771" s="137"/>
      <c r="I3771" s="137"/>
      <c r="J3771" s="135"/>
      <c r="K3771" s="135"/>
      <c r="L3771" s="135"/>
      <c r="M3771" s="135"/>
      <c r="N3771" s="135"/>
      <c r="O3771" s="135"/>
      <c r="P3771" s="135"/>
      <c r="Q3771" s="135"/>
      <c r="R3771" s="135"/>
      <c r="S3771" s="135"/>
      <c r="T3771" s="135"/>
      <c r="U3771" s="135"/>
      <c r="V3771" s="135"/>
      <c r="W3771" s="135"/>
      <c r="X3771" s="135"/>
      <c r="Y3771" s="135"/>
      <c r="Z3771" s="135"/>
    </row>
    <row r="3772" spans="1:26" ht="12.75">
      <c r="A3772" s="136" t="s">
        <v>10</v>
      </c>
      <c r="B3772" s="136" t="s">
        <v>7927</v>
      </c>
      <c r="C3772" s="136" t="s">
        <v>7889</v>
      </c>
      <c r="D3772" s="136" t="s">
        <v>7481</v>
      </c>
      <c r="E3772" s="136" t="s">
        <v>615</v>
      </c>
      <c r="F3772" s="136">
        <v>145</v>
      </c>
      <c r="G3772" s="137">
        <f t="shared" si="14"/>
        <v>7</v>
      </c>
      <c r="H3772" s="137"/>
      <c r="I3772" s="137"/>
      <c r="J3772" s="135"/>
      <c r="K3772" s="135"/>
      <c r="L3772" s="135"/>
      <c r="M3772" s="135"/>
      <c r="N3772" s="135"/>
      <c r="O3772" s="135"/>
      <c r="P3772" s="135"/>
      <c r="Q3772" s="135"/>
      <c r="R3772" s="135"/>
      <c r="S3772" s="135"/>
      <c r="T3772" s="135"/>
      <c r="U3772" s="135"/>
      <c r="V3772" s="135"/>
      <c r="W3772" s="135"/>
      <c r="X3772" s="135"/>
      <c r="Y3772" s="135"/>
      <c r="Z3772" s="135"/>
    </row>
    <row r="3773" spans="1:26" ht="12.75">
      <c r="A3773" s="136" t="s">
        <v>10</v>
      </c>
      <c r="B3773" s="136" t="s">
        <v>7927</v>
      </c>
      <c r="C3773" s="136" t="s">
        <v>7891</v>
      </c>
      <c r="D3773" s="136" t="s">
        <v>7879</v>
      </c>
      <c r="E3773" s="136" t="s">
        <v>594</v>
      </c>
      <c r="F3773" s="136">
        <v>600</v>
      </c>
      <c r="G3773" s="137">
        <f t="shared" si="14"/>
        <v>2</v>
      </c>
      <c r="H3773" s="137"/>
      <c r="I3773" s="137"/>
      <c r="J3773" s="135"/>
      <c r="K3773" s="135"/>
      <c r="L3773" s="135"/>
      <c r="M3773" s="135"/>
      <c r="N3773" s="135"/>
      <c r="O3773" s="135"/>
      <c r="P3773" s="135"/>
      <c r="Q3773" s="135"/>
      <c r="R3773" s="135"/>
      <c r="S3773" s="135"/>
      <c r="T3773" s="135"/>
      <c r="U3773" s="135"/>
      <c r="V3773" s="135"/>
      <c r="W3773" s="135"/>
      <c r="X3773" s="135"/>
      <c r="Y3773" s="135"/>
      <c r="Z3773" s="135"/>
    </row>
    <row r="3774" spans="1:26" ht="12.75">
      <c r="A3774" s="136" t="s">
        <v>10</v>
      </c>
      <c r="B3774" s="136" t="s">
        <v>7927</v>
      </c>
      <c r="C3774" s="136" t="s">
        <v>7891</v>
      </c>
      <c r="D3774" s="136" t="s">
        <v>7888</v>
      </c>
      <c r="E3774" s="136" t="s">
        <v>615</v>
      </c>
      <c r="F3774" s="136">
        <v>300</v>
      </c>
      <c r="G3774" s="137">
        <f t="shared" si="14"/>
        <v>4</v>
      </c>
      <c r="H3774" s="137"/>
      <c r="I3774" s="137"/>
      <c r="J3774" s="135"/>
      <c r="K3774" s="135"/>
      <c r="L3774" s="135"/>
      <c r="M3774" s="135"/>
      <c r="N3774" s="135"/>
      <c r="O3774" s="135"/>
      <c r="P3774" s="135"/>
      <c r="Q3774" s="135"/>
      <c r="R3774" s="135"/>
      <c r="S3774" s="135"/>
      <c r="T3774" s="135"/>
      <c r="U3774" s="135"/>
      <c r="V3774" s="135"/>
      <c r="W3774" s="135"/>
      <c r="X3774" s="135"/>
      <c r="Y3774" s="135"/>
      <c r="Z3774" s="135"/>
    </row>
    <row r="3775" spans="1:26" ht="12.75">
      <c r="A3775" s="136" t="s">
        <v>10</v>
      </c>
      <c r="B3775" s="136" t="s">
        <v>7927</v>
      </c>
      <c r="C3775" s="136" t="s">
        <v>7891</v>
      </c>
      <c r="D3775" s="136" t="s">
        <v>7481</v>
      </c>
      <c r="E3775" s="136" t="s">
        <v>615</v>
      </c>
      <c r="F3775" s="136">
        <v>29</v>
      </c>
      <c r="G3775" s="137">
        <f t="shared" si="14"/>
        <v>6</v>
      </c>
      <c r="H3775" s="137"/>
      <c r="I3775" s="137"/>
      <c r="J3775" s="135"/>
      <c r="K3775" s="135"/>
      <c r="L3775" s="135"/>
      <c r="M3775" s="135"/>
      <c r="N3775" s="135"/>
      <c r="O3775" s="135"/>
      <c r="P3775" s="135"/>
      <c r="Q3775" s="135"/>
      <c r="R3775" s="135"/>
      <c r="S3775" s="135"/>
      <c r="T3775" s="135"/>
      <c r="U3775" s="135"/>
      <c r="V3775" s="135"/>
      <c r="W3775" s="135"/>
      <c r="X3775" s="135"/>
      <c r="Y3775" s="135"/>
      <c r="Z3775" s="135"/>
    </row>
    <row r="3776" spans="1:26" ht="12.75">
      <c r="A3776" s="136" t="s">
        <v>10</v>
      </c>
      <c r="B3776" s="136" t="s">
        <v>7927</v>
      </c>
      <c r="C3776" s="136" t="s">
        <v>7892</v>
      </c>
      <c r="D3776" s="136" t="s">
        <v>7879</v>
      </c>
      <c r="E3776" s="136" t="s">
        <v>594</v>
      </c>
      <c r="F3776" s="136">
        <v>450</v>
      </c>
      <c r="G3776" s="137">
        <f t="shared" si="14"/>
        <v>3</v>
      </c>
      <c r="H3776" s="137"/>
      <c r="I3776" s="137"/>
      <c r="J3776" s="135"/>
      <c r="K3776" s="135"/>
      <c r="L3776" s="135"/>
      <c r="M3776" s="135"/>
      <c r="N3776" s="135"/>
      <c r="O3776" s="135"/>
      <c r="P3776" s="135"/>
      <c r="Q3776" s="135"/>
      <c r="R3776" s="135"/>
      <c r="S3776" s="135"/>
      <c r="T3776" s="135"/>
      <c r="U3776" s="135"/>
      <c r="V3776" s="135"/>
      <c r="W3776" s="135"/>
      <c r="X3776" s="135"/>
      <c r="Y3776" s="135"/>
      <c r="Z3776" s="135"/>
    </row>
    <row r="3777" spans="1:26" ht="12.75">
      <c r="A3777" s="136" t="s">
        <v>10</v>
      </c>
      <c r="B3777" s="136" t="s">
        <v>7927</v>
      </c>
      <c r="C3777" s="136" t="s">
        <v>7892</v>
      </c>
      <c r="D3777" s="136" t="s">
        <v>7888</v>
      </c>
      <c r="E3777" s="136" t="s">
        <v>615</v>
      </c>
      <c r="F3777" s="136">
        <v>350</v>
      </c>
      <c r="G3777" s="137">
        <f t="shared" si="14"/>
        <v>4</v>
      </c>
      <c r="H3777" s="137"/>
      <c r="I3777" s="137"/>
      <c r="J3777" s="135"/>
      <c r="K3777" s="135"/>
      <c r="L3777" s="135"/>
      <c r="M3777" s="135"/>
      <c r="N3777" s="135"/>
      <c r="O3777" s="135"/>
      <c r="P3777" s="135"/>
      <c r="Q3777" s="135"/>
      <c r="R3777" s="135"/>
      <c r="S3777" s="135"/>
      <c r="T3777" s="135"/>
      <c r="U3777" s="135"/>
      <c r="V3777" s="135"/>
      <c r="W3777" s="135"/>
      <c r="X3777" s="135"/>
      <c r="Y3777" s="135"/>
      <c r="Z3777" s="135"/>
    </row>
    <row r="3778" spans="1:26" ht="12.75">
      <c r="A3778" s="136" t="s">
        <v>10</v>
      </c>
      <c r="B3778" s="136" t="s">
        <v>7927</v>
      </c>
      <c r="C3778" s="136" t="s">
        <v>7892</v>
      </c>
      <c r="D3778" s="136" t="s">
        <v>7878</v>
      </c>
      <c r="E3778" s="136" t="s">
        <v>85</v>
      </c>
      <c r="F3778" s="136">
        <v>150</v>
      </c>
      <c r="G3778" s="137">
        <f t="shared" si="14"/>
        <v>5</v>
      </c>
      <c r="H3778" s="137"/>
      <c r="I3778" s="137"/>
      <c r="J3778" s="135"/>
      <c r="K3778" s="135"/>
      <c r="L3778" s="135"/>
      <c r="M3778" s="135"/>
      <c r="N3778" s="135"/>
      <c r="O3778" s="135"/>
      <c r="P3778" s="135"/>
      <c r="Q3778" s="135"/>
      <c r="R3778" s="135"/>
      <c r="S3778" s="135"/>
      <c r="T3778" s="135"/>
      <c r="U3778" s="135"/>
      <c r="V3778" s="135"/>
      <c r="W3778" s="135"/>
      <c r="X3778" s="135"/>
      <c r="Y3778" s="135"/>
      <c r="Z3778" s="135"/>
    </row>
    <row r="3779" spans="1:26" ht="12.75">
      <c r="A3779" s="136" t="s">
        <v>10</v>
      </c>
      <c r="B3779" s="136" t="s">
        <v>7927</v>
      </c>
      <c r="C3779" s="136" t="s">
        <v>7892</v>
      </c>
      <c r="D3779" s="136" t="s">
        <v>7930</v>
      </c>
      <c r="E3779" s="136" t="s">
        <v>85</v>
      </c>
      <c r="F3779" s="136">
        <v>150</v>
      </c>
      <c r="G3779" s="137">
        <f t="shared" si="14"/>
        <v>6</v>
      </c>
      <c r="H3779" s="137"/>
      <c r="I3779" s="137"/>
      <c r="J3779" s="135"/>
      <c r="K3779" s="135"/>
      <c r="L3779" s="135"/>
      <c r="M3779" s="135"/>
      <c r="N3779" s="135"/>
      <c r="O3779" s="135"/>
      <c r="P3779" s="135"/>
      <c r="Q3779" s="135"/>
      <c r="R3779" s="135"/>
      <c r="S3779" s="135"/>
      <c r="T3779" s="135"/>
      <c r="U3779" s="135"/>
      <c r="V3779" s="135"/>
      <c r="W3779" s="135"/>
      <c r="X3779" s="135"/>
      <c r="Y3779" s="135"/>
      <c r="Z3779" s="135"/>
    </row>
    <row r="3780" spans="1:26" ht="12.75">
      <c r="A3780" s="136" t="s">
        <v>10</v>
      </c>
      <c r="B3780" s="136" t="s">
        <v>7927</v>
      </c>
      <c r="C3780" s="136" t="s">
        <v>7892</v>
      </c>
      <c r="D3780" s="136" t="s">
        <v>7481</v>
      </c>
      <c r="E3780" s="136" t="s">
        <v>615</v>
      </c>
      <c r="F3780" s="136">
        <v>88</v>
      </c>
      <c r="G3780" s="137">
        <f t="shared" si="14"/>
        <v>7</v>
      </c>
      <c r="H3780" s="137"/>
      <c r="I3780" s="137"/>
      <c r="J3780" s="135"/>
      <c r="K3780" s="135"/>
      <c r="L3780" s="135"/>
      <c r="M3780" s="135"/>
      <c r="N3780" s="135"/>
      <c r="O3780" s="135"/>
      <c r="P3780" s="135"/>
      <c r="Q3780" s="135"/>
      <c r="R3780" s="135"/>
      <c r="S3780" s="135"/>
      <c r="T3780" s="135"/>
      <c r="U3780" s="135"/>
      <c r="V3780" s="135"/>
      <c r="W3780" s="135"/>
      <c r="X3780" s="135"/>
      <c r="Y3780" s="135"/>
      <c r="Z3780" s="135"/>
    </row>
    <row r="3781" spans="1:26" ht="12.75">
      <c r="A3781" s="136" t="s">
        <v>10</v>
      </c>
      <c r="B3781" s="136" t="s">
        <v>7927</v>
      </c>
      <c r="C3781" s="136" t="s">
        <v>7893</v>
      </c>
      <c r="D3781" s="136" t="s">
        <v>7888</v>
      </c>
      <c r="E3781" s="136" t="s">
        <v>615</v>
      </c>
      <c r="F3781" s="136">
        <v>750</v>
      </c>
      <c r="G3781" s="137">
        <f t="shared" si="14"/>
        <v>2</v>
      </c>
      <c r="H3781" s="137"/>
      <c r="I3781" s="137"/>
      <c r="J3781" s="135"/>
      <c r="K3781" s="135"/>
      <c r="L3781" s="135"/>
      <c r="M3781" s="135"/>
      <c r="N3781" s="135"/>
      <c r="O3781" s="135"/>
      <c r="P3781" s="135"/>
      <c r="Q3781" s="135"/>
      <c r="R3781" s="135"/>
      <c r="S3781" s="135"/>
      <c r="T3781" s="135"/>
      <c r="U3781" s="135"/>
      <c r="V3781" s="135"/>
      <c r="W3781" s="135"/>
      <c r="X3781" s="135"/>
      <c r="Y3781" s="135"/>
      <c r="Z3781" s="135"/>
    </row>
    <row r="3782" spans="1:26" ht="12.75">
      <c r="A3782" s="136" t="s">
        <v>10</v>
      </c>
      <c r="B3782" s="136" t="s">
        <v>7927</v>
      </c>
      <c r="C3782" s="136" t="s">
        <v>7893</v>
      </c>
      <c r="D3782" s="136" t="s">
        <v>7481</v>
      </c>
      <c r="E3782" s="136" t="s">
        <v>615</v>
      </c>
      <c r="F3782" s="136">
        <v>214</v>
      </c>
      <c r="G3782" s="137">
        <f t="shared" si="14"/>
        <v>4</v>
      </c>
      <c r="H3782" s="137"/>
      <c r="I3782" s="137"/>
      <c r="J3782" s="135"/>
      <c r="K3782" s="135"/>
      <c r="L3782" s="135"/>
      <c r="M3782" s="135"/>
      <c r="N3782" s="135"/>
      <c r="O3782" s="135"/>
      <c r="P3782" s="135"/>
      <c r="Q3782" s="135"/>
      <c r="R3782" s="135"/>
      <c r="S3782" s="135"/>
      <c r="T3782" s="135"/>
      <c r="U3782" s="135"/>
      <c r="V3782" s="135"/>
      <c r="W3782" s="135"/>
      <c r="X3782" s="135"/>
      <c r="Y3782" s="135"/>
      <c r="Z3782" s="135"/>
    </row>
    <row r="3783" spans="1:26" ht="12.75">
      <c r="A3783" s="136" t="s">
        <v>10</v>
      </c>
      <c r="B3783" s="136" t="s">
        <v>7927</v>
      </c>
      <c r="C3783" s="136" t="s">
        <v>7893</v>
      </c>
      <c r="D3783" s="136" t="s">
        <v>7879</v>
      </c>
      <c r="E3783" s="136" t="s">
        <v>594</v>
      </c>
      <c r="F3783" s="136">
        <v>200</v>
      </c>
      <c r="G3783" s="137">
        <f t="shared" si="14"/>
        <v>5</v>
      </c>
      <c r="H3783" s="137"/>
      <c r="I3783" s="137"/>
      <c r="J3783" s="135"/>
      <c r="K3783" s="135"/>
      <c r="L3783" s="135"/>
      <c r="M3783" s="135"/>
      <c r="N3783" s="135"/>
      <c r="O3783" s="135"/>
      <c r="P3783" s="135"/>
      <c r="Q3783" s="135"/>
      <c r="R3783" s="135"/>
      <c r="S3783" s="135"/>
      <c r="T3783" s="135"/>
      <c r="U3783" s="135"/>
      <c r="V3783" s="135"/>
      <c r="W3783" s="135"/>
      <c r="X3783" s="135"/>
      <c r="Y3783" s="135"/>
      <c r="Z3783" s="135"/>
    </row>
    <row r="3784" spans="1:26" ht="12.75">
      <c r="A3784" s="136" t="s">
        <v>10</v>
      </c>
      <c r="B3784" s="136" t="s">
        <v>7927</v>
      </c>
      <c r="C3784" s="136" t="s">
        <v>7931</v>
      </c>
      <c r="D3784" s="136" t="s">
        <v>7879</v>
      </c>
      <c r="E3784" s="136" t="s">
        <v>594</v>
      </c>
      <c r="F3784" s="136">
        <v>850</v>
      </c>
      <c r="G3784" s="137">
        <f t="shared" si="14"/>
        <v>2</v>
      </c>
      <c r="H3784" s="137"/>
      <c r="I3784" s="137"/>
      <c r="J3784" s="135"/>
      <c r="K3784" s="135"/>
      <c r="L3784" s="135"/>
      <c r="M3784" s="135"/>
      <c r="N3784" s="135"/>
      <c r="O3784" s="135"/>
      <c r="P3784" s="135"/>
      <c r="Q3784" s="135"/>
      <c r="R3784" s="135"/>
      <c r="S3784" s="135"/>
      <c r="T3784" s="135"/>
      <c r="U3784" s="135"/>
      <c r="V3784" s="135"/>
      <c r="W3784" s="135"/>
      <c r="X3784" s="135"/>
      <c r="Y3784" s="135"/>
      <c r="Z3784" s="135"/>
    </row>
    <row r="3785" spans="1:26" ht="12.75">
      <c r="A3785" s="136" t="s">
        <v>10</v>
      </c>
      <c r="B3785" s="136" t="s">
        <v>7927</v>
      </c>
      <c r="C3785" s="136" t="s">
        <v>7931</v>
      </c>
      <c r="D3785" s="136" t="s">
        <v>7481</v>
      </c>
      <c r="E3785" s="136" t="s">
        <v>615</v>
      </c>
      <c r="F3785" s="136">
        <v>382</v>
      </c>
      <c r="G3785" s="137">
        <f t="shared" si="14"/>
        <v>4</v>
      </c>
      <c r="H3785" s="137"/>
      <c r="I3785" s="137"/>
      <c r="J3785" s="135"/>
      <c r="K3785" s="135"/>
      <c r="L3785" s="135"/>
      <c r="M3785" s="135"/>
      <c r="N3785" s="135"/>
      <c r="O3785" s="135"/>
      <c r="P3785" s="135"/>
      <c r="Q3785" s="135"/>
      <c r="R3785" s="135"/>
      <c r="S3785" s="135"/>
      <c r="T3785" s="135"/>
      <c r="U3785" s="135"/>
      <c r="V3785" s="135"/>
      <c r="W3785" s="135"/>
      <c r="X3785" s="135"/>
      <c r="Y3785" s="135"/>
      <c r="Z3785" s="135"/>
    </row>
    <row r="3786" spans="1:26" ht="12.75">
      <c r="A3786" s="136" t="s">
        <v>10</v>
      </c>
      <c r="B3786" s="136" t="s">
        <v>7927</v>
      </c>
      <c r="C3786" s="136" t="s">
        <v>7896</v>
      </c>
      <c r="D3786" s="136" t="s">
        <v>7879</v>
      </c>
      <c r="E3786" s="136" t="s">
        <v>594</v>
      </c>
      <c r="F3786" s="136">
        <v>750</v>
      </c>
      <c r="G3786" s="137">
        <f t="shared" si="14"/>
        <v>1</v>
      </c>
      <c r="H3786" s="137"/>
      <c r="I3786" s="137"/>
      <c r="J3786" s="135"/>
      <c r="K3786" s="135"/>
      <c r="L3786" s="135"/>
      <c r="M3786" s="135"/>
      <c r="N3786" s="135"/>
      <c r="O3786" s="135"/>
      <c r="P3786" s="135"/>
      <c r="Q3786" s="135"/>
      <c r="R3786" s="135"/>
      <c r="S3786" s="135"/>
      <c r="T3786" s="135"/>
      <c r="U3786" s="135"/>
      <c r="V3786" s="135"/>
      <c r="W3786" s="135"/>
      <c r="X3786" s="135"/>
      <c r="Y3786" s="135"/>
      <c r="Z3786" s="135"/>
    </row>
    <row r="3787" spans="1:26" ht="12.75">
      <c r="A3787" s="136" t="s">
        <v>10</v>
      </c>
      <c r="B3787" s="136" t="s">
        <v>7927</v>
      </c>
      <c r="C3787" s="136" t="s">
        <v>7896</v>
      </c>
      <c r="D3787" s="136" t="s">
        <v>7481</v>
      </c>
      <c r="E3787" s="136" t="s">
        <v>615</v>
      </c>
      <c r="F3787" s="136">
        <v>108</v>
      </c>
      <c r="G3787" s="137">
        <f t="shared" si="14"/>
        <v>6</v>
      </c>
      <c r="H3787" s="137"/>
      <c r="I3787" s="137"/>
      <c r="J3787" s="135"/>
      <c r="K3787" s="135"/>
      <c r="L3787" s="135"/>
      <c r="M3787" s="135"/>
      <c r="N3787" s="135"/>
      <c r="O3787" s="135"/>
      <c r="P3787" s="135"/>
      <c r="Q3787" s="135"/>
      <c r="R3787" s="135"/>
      <c r="S3787" s="135"/>
      <c r="T3787" s="135"/>
      <c r="U3787" s="135"/>
      <c r="V3787" s="135"/>
      <c r="W3787" s="135"/>
      <c r="X3787" s="135"/>
      <c r="Y3787" s="135"/>
      <c r="Z3787" s="135"/>
    </row>
    <row r="3788" spans="1:26" ht="12.75">
      <c r="A3788" s="136" t="s">
        <v>10</v>
      </c>
      <c r="B3788" s="136" t="s">
        <v>7927</v>
      </c>
      <c r="C3788" s="136" t="s">
        <v>7896</v>
      </c>
      <c r="D3788" s="136" t="s">
        <v>7880</v>
      </c>
      <c r="E3788" s="136" t="s">
        <v>615</v>
      </c>
      <c r="F3788" s="136">
        <v>100</v>
      </c>
      <c r="G3788" s="137">
        <f t="shared" si="14"/>
        <v>8</v>
      </c>
      <c r="H3788" s="137"/>
      <c r="I3788" s="137"/>
      <c r="J3788" s="135"/>
      <c r="K3788" s="135"/>
      <c r="L3788" s="135"/>
      <c r="M3788" s="135"/>
      <c r="N3788" s="135"/>
      <c r="O3788" s="135"/>
      <c r="P3788" s="135"/>
      <c r="Q3788" s="135"/>
      <c r="R3788" s="135"/>
      <c r="S3788" s="135"/>
      <c r="T3788" s="135"/>
      <c r="U3788" s="135"/>
      <c r="V3788" s="135"/>
      <c r="W3788" s="135"/>
      <c r="X3788" s="135"/>
      <c r="Y3788" s="135"/>
      <c r="Z3788" s="135"/>
    </row>
    <row r="3789" spans="1:26" ht="12.75">
      <c r="A3789" s="136" t="s">
        <v>10</v>
      </c>
      <c r="B3789" s="136" t="s">
        <v>7927</v>
      </c>
      <c r="C3789" s="136" t="s">
        <v>7900</v>
      </c>
      <c r="D3789" s="136" t="s">
        <v>7879</v>
      </c>
      <c r="E3789" s="136" t="s">
        <v>594</v>
      </c>
      <c r="F3789" s="136">
        <v>550</v>
      </c>
      <c r="G3789" s="137">
        <f t="shared" si="14"/>
        <v>2</v>
      </c>
      <c r="H3789" s="137"/>
      <c r="I3789" s="137"/>
      <c r="J3789" s="135"/>
      <c r="K3789" s="135"/>
      <c r="L3789" s="135"/>
      <c r="M3789" s="135"/>
      <c r="N3789" s="135"/>
      <c r="O3789" s="135"/>
      <c r="P3789" s="135"/>
      <c r="Q3789" s="135"/>
      <c r="R3789" s="135"/>
      <c r="S3789" s="135"/>
      <c r="T3789" s="135"/>
      <c r="U3789" s="135"/>
      <c r="V3789" s="135"/>
      <c r="W3789" s="135"/>
      <c r="X3789" s="135"/>
      <c r="Y3789" s="135"/>
      <c r="Z3789" s="135"/>
    </row>
    <row r="3790" spans="1:26" ht="12.75">
      <c r="A3790" s="136" t="s">
        <v>10</v>
      </c>
      <c r="B3790" s="136" t="s">
        <v>7927</v>
      </c>
      <c r="C3790" s="136" t="s">
        <v>7900</v>
      </c>
      <c r="D3790" s="136" t="s">
        <v>7888</v>
      </c>
      <c r="E3790" s="136" t="s">
        <v>615</v>
      </c>
      <c r="F3790" s="136">
        <v>400</v>
      </c>
      <c r="G3790" s="137">
        <f t="shared" si="14"/>
        <v>3</v>
      </c>
      <c r="H3790" s="137"/>
      <c r="I3790" s="137"/>
      <c r="J3790" s="135"/>
      <c r="K3790" s="135"/>
      <c r="L3790" s="135"/>
      <c r="M3790" s="135"/>
      <c r="N3790" s="135"/>
      <c r="O3790" s="135"/>
      <c r="P3790" s="135"/>
      <c r="Q3790" s="135"/>
      <c r="R3790" s="135"/>
      <c r="S3790" s="135"/>
      <c r="T3790" s="135"/>
      <c r="U3790" s="135"/>
      <c r="V3790" s="135"/>
      <c r="W3790" s="135"/>
      <c r="X3790" s="135"/>
      <c r="Y3790" s="135"/>
      <c r="Z3790" s="135"/>
    </row>
    <row r="3791" spans="1:26" ht="12.75">
      <c r="A3791" s="136" t="s">
        <v>10</v>
      </c>
      <c r="B3791" s="136" t="s">
        <v>7927</v>
      </c>
      <c r="C3791" s="136" t="s">
        <v>7900</v>
      </c>
      <c r="D3791" s="136" t="s">
        <v>7481</v>
      </c>
      <c r="E3791" s="136" t="s">
        <v>615</v>
      </c>
      <c r="F3791" s="136">
        <v>187</v>
      </c>
      <c r="G3791" s="137">
        <f t="shared" si="14"/>
        <v>7</v>
      </c>
      <c r="H3791" s="137"/>
      <c r="I3791" s="137"/>
      <c r="J3791" s="135"/>
      <c r="K3791" s="135"/>
      <c r="L3791" s="135"/>
      <c r="M3791" s="135"/>
      <c r="N3791" s="135"/>
      <c r="O3791" s="135"/>
      <c r="P3791" s="135"/>
      <c r="Q3791" s="135"/>
      <c r="R3791" s="135"/>
      <c r="S3791" s="135"/>
      <c r="T3791" s="135"/>
      <c r="U3791" s="135"/>
      <c r="V3791" s="135"/>
      <c r="W3791" s="135"/>
      <c r="X3791" s="135"/>
      <c r="Y3791" s="135"/>
      <c r="Z3791" s="135"/>
    </row>
    <row r="3792" spans="1:26" ht="12.75">
      <c r="A3792" s="136" t="s">
        <v>10</v>
      </c>
      <c r="B3792" s="136" t="s">
        <v>7927</v>
      </c>
      <c r="C3792" s="136" t="s">
        <v>7901</v>
      </c>
      <c r="D3792" s="136" t="s">
        <v>7879</v>
      </c>
      <c r="E3792" s="136" t="s">
        <v>594</v>
      </c>
      <c r="F3792" s="136">
        <v>450</v>
      </c>
      <c r="G3792" s="137">
        <f t="shared" si="14"/>
        <v>2</v>
      </c>
      <c r="H3792" s="137"/>
      <c r="I3792" s="137"/>
      <c r="J3792" s="135"/>
      <c r="K3792" s="135"/>
      <c r="L3792" s="135"/>
      <c r="M3792" s="135"/>
      <c r="N3792" s="135"/>
      <c r="O3792" s="135"/>
      <c r="P3792" s="135"/>
      <c r="Q3792" s="135"/>
      <c r="R3792" s="135"/>
      <c r="S3792" s="135"/>
      <c r="T3792" s="135"/>
      <c r="U3792" s="135"/>
      <c r="V3792" s="135"/>
      <c r="W3792" s="135"/>
      <c r="X3792" s="135"/>
      <c r="Y3792" s="135"/>
      <c r="Z3792" s="135"/>
    </row>
    <row r="3793" spans="1:26" ht="12.75">
      <c r="A3793" s="136" t="s">
        <v>10</v>
      </c>
      <c r="B3793" s="136" t="s">
        <v>7927</v>
      </c>
      <c r="C3793" s="136" t="s">
        <v>7901</v>
      </c>
      <c r="D3793" s="136" t="s">
        <v>7880</v>
      </c>
      <c r="E3793" s="136" t="s">
        <v>615</v>
      </c>
      <c r="F3793" s="136">
        <v>400</v>
      </c>
      <c r="G3793" s="137">
        <f t="shared" si="14"/>
        <v>3</v>
      </c>
      <c r="H3793" s="137"/>
      <c r="I3793" s="137"/>
      <c r="J3793" s="135"/>
      <c r="K3793" s="135"/>
      <c r="L3793" s="135"/>
      <c r="M3793" s="135"/>
      <c r="N3793" s="135"/>
      <c r="O3793" s="135"/>
      <c r="P3793" s="135"/>
      <c r="Q3793" s="135"/>
      <c r="R3793" s="135"/>
      <c r="S3793" s="135"/>
      <c r="T3793" s="135"/>
      <c r="U3793" s="135"/>
      <c r="V3793" s="135"/>
      <c r="W3793" s="135"/>
      <c r="X3793" s="135"/>
      <c r="Y3793" s="135"/>
      <c r="Z3793" s="135"/>
    </row>
    <row r="3794" spans="1:26" ht="12.75">
      <c r="A3794" s="136" t="s">
        <v>10</v>
      </c>
      <c r="B3794" s="136" t="s">
        <v>7927</v>
      </c>
      <c r="C3794" s="136" t="s">
        <v>7901</v>
      </c>
      <c r="D3794" s="136" t="s">
        <v>7481</v>
      </c>
      <c r="E3794" s="136" t="s">
        <v>615</v>
      </c>
      <c r="F3794" s="136">
        <v>214</v>
      </c>
      <c r="G3794" s="137">
        <f t="shared" si="14"/>
        <v>7</v>
      </c>
      <c r="H3794" s="137"/>
      <c r="I3794" s="137"/>
      <c r="J3794" s="135"/>
      <c r="K3794" s="135"/>
      <c r="L3794" s="135"/>
      <c r="M3794" s="135"/>
      <c r="N3794" s="135"/>
      <c r="O3794" s="135"/>
      <c r="P3794" s="135"/>
      <c r="Q3794" s="135"/>
      <c r="R3794" s="135"/>
      <c r="S3794" s="135"/>
      <c r="T3794" s="135"/>
      <c r="U3794" s="135"/>
      <c r="V3794" s="135"/>
      <c r="W3794" s="135"/>
      <c r="X3794" s="135"/>
      <c r="Y3794" s="135"/>
      <c r="Z3794" s="135"/>
    </row>
    <row r="3795" spans="1:26" ht="12.75">
      <c r="A3795" s="136" t="s">
        <v>10</v>
      </c>
      <c r="B3795" s="136" t="s">
        <v>7927</v>
      </c>
      <c r="C3795" s="136" t="s">
        <v>7904</v>
      </c>
      <c r="D3795" s="136" t="s">
        <v>7879</v>
      </c>
      <c r="E3795" s="136" t="s">
        <v>594</v>
      </c>
      <c r="F3795" s="136">
        <v>750</v>
      </c>
      <c r="G3795" s="137">
        <f t="shared" si="14"/>
        <v>1</v>
      </c>
      <c r="H3795" s="137"/>
      <c r="I3795" s="137"/>
      <c r="J3795" s="135"/>
      <c r="K3795" s="135"/>
      <c r="L3795" s="135"/>
      <c r="M3795" s="135"/>
      <c r="N3795" s="135"/>
      <c r="O3795" s="135"/>
      <c r="P3795" s="135"/>
      <c r="Q3795" s="135"/>
      <c r="R3795" s="135"/>
      <c r="S3795" s="135"/>
      <c r="T3795" s="135"/>
      <c r="U3795" s="135"/>
      <c r="V3795" s="135"/>
      <c r="W3795" s="135"/>
      <c r="X3795" s="135"/>
      <c r="Y3795" s="135"/>
      <c r="Z3795" s="135"/>
    </row>
    <row r="3796" spans="1:26" ht="12.75">
      <c r="A3796" s="136" t="s">
        <v>10</v>
      </c>
      <c r="B3796" s="136" t="s">
        <v>7927</v>
      </c>
      <c r="C3796" s="136" t="s">
        <v>7905</v>
      </c>
      <c r="D3796" s="136" t="s">
        <v>7481</v>
      </c>
      <c r="E3796" s="136" t="s">
        <v>615</v>
      </c>
      <c r="F3796" s="136">
        <v>213</v>
      </c>
      <c r="G3796" s="137">
        <f t="shared" si="14"/>
        <v>4</v>
      </c>
      <c r="H3796" s="137"/>
      <c r="I3796" s="137"/>
      <c r="J3796" s="135"/>
      <c r="K3796" s="135"/>
      <c r="L3796" s="135"/>
      <c r="M3796" s="135"/>
      <c r="N3796" s="135"/>
      <c r="O3796" s="135"/>
      <c r="P3796" s="135"/>
      <c r="Q3796" s="135"/>
      <c r="R3796" s="135"/>
      <c r="S3796" s="135"/>
      <c r="T3796" s="135"/>
      <c r="U3796" s="135"/>
      <c r="V3796" s="135"/>
      <c r="W3796" s="135"/>
      <c r="X3796" s="135"/>
      <c r="Y3796" s="135"/>
      <c r="Z3796" s="135"/>
    </row>
    <row r="3797" spans="1:26" ht="12.75">
      <c r="A3797" s="136" t="s">
        <v>10</v>
      </c>
      <c r="B3797" s="136" t="s">
        <v>7927</v>
      </c>
      <c r="C3797" s="136" t="s">
        <v>7907</v>
      </c>
      <c r="D3797" s="136" t="s">
        <v>7890</v>
      </c>
      <c r="E3797" s="136" t="s">
        <v>594</v>
      </c>
      <c r="F3797" s="136">
        <v>100</v>
      </c>
      <c r="G3797" s="137">
        <f t="shared" si="14"/>
        <v>7</v>
      </c>
      <c r="H3797" s="137"/>
      <c r="I3797" s="137"/>
      <c r="J3797" s="135"/>
      <c r="K3797" s="135"/>
      <c r="L3797" s="135"/>
      <c r="M3797" s="135"/>
      <c r="N3797" s="135"/>
      <c r="O3797" s="135"/>
      <c r="P3797" s="135"/>
      <c r="Q3797" s="135"/>
      <c r="R3797" s="135"/>
      <c r="S3797" s="135"/>
      <c r="T3797" s="135"/>
      <c r="U3797" s="135"/>
      <c r="V3797" s="135"/>
      <c r="W3797" s="135"/>
      <c r="X3797" s="135"/>
      <c r="Y3797" s="135"/>
      <c r="Z3797" s="135"/>
    </row>
    <row r="3798" spans="1:26" ht="12.75">
      <c r="A3798" s="136" t="s">
        <v>10</v>
      </c>
      <c r="B3798" s="136" t="s">
        <v>7927</v>
      </c>
      <c r="C3798" s="136" t="s">
        <v>7908</v>
      </c>
      <c r="D3798" s="136" t="s">
        <v>7880</v>
      </c>
      <c r="E3798" s="136" t="s">
        <v>615</v>
      </c>
      <c r="F3798" s="136">
        <v>100</v>
      </c>
      <c r="G3798" s="137">
        <f t="shared" si="14"/>
        <v>9</v>
      </c>
      <c r="H3798" s="137"/>
      <c r="I3798" s="137"/>
      <c r="J3798" s="135"/>
      <c r="K3798" s="135"/>
      <c r="L3798" s="135"/>
      <c r="M3798" s="135"/>
      <c r="N3798" s="135"/>
      <c r="O3798" s="135"/>
      <c r="P3798" s="135"/>
      <c r="Q3798" s="135"/>
      <c r="R3798" s="135"/>
      <c r="S3798" s="135"/>
      <c r="T3798" s="135"/>
      <c r="U3798" s="135"/>
      <c r="V3798" s="135"/>
      <c r="W3798" s="135"/>
      <c r="X3798" s="135"/>
      <c r="Y3798" s="135"/>
      <c r="Z3798" s="135"/>
    </row>
    <row r="3799" spans="1:26" ht="12.75">
      <c r="A3799" s="136" t="s">
        <v>10</v>
      </c>
      <c r="B3799" s="136" t="s">
        <v>7927</v>
      </c>
      <c r="C3799" s="136" t="s">
        <v>7905</v>
      </c>
      <c r="D3799" s="136" t="s">
        <v>7879</v>
      </c>
      <c r="E3799" s="136" t="s">
        <v>594</v>
      </c>
      <c r="F3799" s="136">
        <v>550</v>
      </c>
      <c r="G3799" s="137">
        <f t="shared" si="14"/>
        <v>2</v>
      </c>
      <c r="H3799" s="137"/>
      <c r="I3799" s="137"/>
      <c r="J3799" s="135"/>
      <c r="K3799" s="135"/>
      <c r="L3799" s="135"/>
      <c r="M3799" s="135"/>
      <c r="N3799" s="135"/>
      <c r="O3799" s="135"/>
      <c r="P3799" s="135"/>
      <c r="Q3799" s="135"/>
      <c r="R3799" s="135"/>
      <c r="S3799" s="135"/>
      <c r="T3799" s="135"/>
      <c r="U3799" s="135"/>
      <c r="V3799" s="135"/>
      <c r="W3799" s="135"/>
      <c r="X3799" s="135"/>
      <c r="Y3799" s="135"/>
      <c r="Z3799" s="135"/>
    </row>
    <row r="3800" spans="1:26" ht="12.75">
      <c r="A3800" s="136" t="s">
        <v>10</v>
      </c>
      <c r="B3800" s="136" t="s">
        <v>7927</v>
      </c>
      <c r="C3800" s="136" t="s">
        <v>7907</v>
      </c>
      <c r="D3800" s="136" t="s">
        <v>7888</v>
      </c>
      <c r="E3800" s="136" t="s">
        <v>615</v>
      </c>
      <c r="F3800" s="136">
        <v>400</v>
      </c>
      <c r="G3800" s="137">
        <f t="shared" si="14"/>
        <v>3</v>
      </c>
      <c r="H3800" s="137"/>
      <c r="I3800" s="137"/>
      <c r="J3800" s="135"/>
      <c r="K3800" s="135"/>
      <c r="L3800" s="135"/>
      <c r="M3800" s="135"/>
      <c r="N3800" s="135"/>
      <c r="O3800" s="135"/>
      <c r="P3800" s="135"/>
      <c r="Q3800" s="135"/>
      <c r="R3800" s="135"/>
      <c r="S3800" s="135"/>
      <c r="T3800" s="135"/>
      <c r="U3800" s="135"/>
      <c r="V3800" s="135"/>
      <c r="W3800" s="135"/>
      <c r="X3800" s="135"/>
      <c r="Y3800" s="135"/>
      <c r="Z3800" s="135"/>
    </row>
    <row r="3801" spans="1:26" ht="12.75">
      <c r="A3801" s="136" t="s">
        <v>10</v>
      </c>
      <c r="B3801" s="136" t="s">
        <v>7927</v>
      </c>
      <c r="C3801" s="136" t="s">
        <v>7908</v>
      </c>
      <c r="D3801" s="136" t="s">
        <v>7481</v>
      </c>
      <c r="E3801" s="136" t="s">
        <v>615</v>
      </c>
      <c r="F3801" s="136">
        <v>150</v>
      </c>
      <c r="G3801" s="137">
        <f t="shared" si="14"/>
        <v>8</v>
      </c>
      <c r="H3801" s="137"/>
      <c r="I3801" s="137"/>
      <c r="J3801" s="135"/>
      <c r="K3801" s="135"/>
      <c r="L3801" s="135"/>
      <c r="M3801" s="135"/>
      <c r="N3801" s="135"/>
      <c r="O3801" s="135"/>
      <c r="P3801" s="135"/>
      <c r="Q3801" s="135"/>
      <c r="R3801" s="135"/>
      <c r="S3801" s="135"/>
      <c r="T3801" s="135"/>
      <c r="U3801" s="135"/>
      <c r="V3801" s="135"/>
      <c r="W3801" s="135"/>
      <c r="X3801" s="135"/>
      <c r="Y3801" s="135"/>
      <c r="Z3801" s="135"/>
    </row>
    <row r="3802" spans="1:26" ht="12.75">
      <c r="A3802" s="136" t="s">
        <v>10</v>
      </c>
      <c r="B3802" s="136" t="s">
        <v>7927</v>
      </c>
      <c r="C3802" s="136" t="s">
        <v>7907</v>
      </c>
      <c r="D3802" s="136" t="s">
        <v>7879</v>
      </c>
      <c r="E3802" s="136" t="s">
        <v>594</v>
      </c>
      <c r="F3802" s="136">
        <v>760</v>
      </c>
      <c r="G3802" s="137">
        <f t="shared" si="14"/>
        <v>2</v>
      </c>
      <c r="H3802" s="137"/>
      <c r="I3802" s="137"/>
      <c r="J3802" s="135"/>
      <c r="K3802" s="135"/>
      <c r="L3802" s="135"/>
      <c r="M3802" s="135"/>
      <c r="N3802" s="135"/>
      <c r="O3802" s="135"/>
      <c r="P3802" s="135"/>
      <c r="Q3802" s="135"/>
      <c r="R3802" s="135"/>
      <c r="S3802" s="135"/>
      <c r="T3802" s="135"/>
      <c r="U3802" s="135"/>
      <c r="V3802" s="135"/>
      <c r="W3802" s="135"/>
      <c r="X3802" s="135"/>
      <c r="Y3802" s="135"/>
      <c r="Z3802" s="135"/>
    </row>
    <row r="3803" spans="1:26" ht="12.75">
      <c r="A3803" s="136" t="s">
        <v>10</v>
      </c>
      <c r="B3803" s="136" t="s">
        <v>7927</v>
      </c>
      <c r="C3803" s="136" t="s">
        <v>7907</v>
      </c>
      <c r="D3803" s="136" t="s">
        <v>7888</v>
      </c>
      <c r="E3803" s="136" t="s">
        <v>615</v>
      </c>
      <c r="F3803" s="136">
        <v>200</v>
      </c>
      <c r="G3803" s="137">
        <f t="shared" si="14"/>
        <v>5</v>
      </c>
      <c r="H3803" s="137"/>
      <c r="I3803" s="137"/>
      <c r="J3803" s="135"/>
      <c r="K3803" s="135"/>
      <c r="L3803" s="135"/>
      <c r="M3803" s="135"/>
      <c r="N3803" s="135"/>
      <c r="O3803" s="135"/>
      <c r="P3803" s="135"/>
      <c r="Q3803" s="135"/>
      <c r="R3803" s="135"/>
      <c r="S3803" s="135"/>
      <c r="T3803" s="135"/>
      <c r="U3803" s="135"/>
      <c r="V3803" s="135"/>
      <c r="W3803" s="135"/>
      <c r="X3803" s="135"/>
      <c r="Y3803" s="135"/>
      <c r="Z3803" s="135"/>
    </row>
    <row r="3804" spans="1:26" ht="12.75">
      <c r="A3804" s="136" t="s">
        <v>10</v>
      </c>
      <c r="B3804" s="136" t="s">
        <v>7927</v>
      </c>
      <c r="C3804" s="136" t="s">
        <v>7907</v>
      </c>
      <c r="D3804" s="136" t="s">
        <v>7481</v>
      </c>
      <c r="E3804" s="136" t="s">
        <v>615</v>
      </c>
      <c r="F3804" s="136">
        <v>105</v>
      </c>
      <c r="G3804" s="137">
        <f t="shared" si="14"/>
        <v>6</v>
      </c>
      <c r="H3804" s="137"/>
      <c r="I3804" s="137"/>
      <c r="J3804" s="135"/>
      <c r="K3804" s="135"/>
      <c r="L3804" s="135"/>
      <c r="M3804" s="135"/>
      <c r="N3804" s="135"/>
      <c r="O3804" s="135"/>
      <c r="P3804" s="135"/>
      <c r="Q3804" s="135"/>
      <c r="R3804" s="135"/>
      <c r="S3804" s="135"/>
      <c r="T3804" s="135"/>
      <c r="U3804" s="135"/>
      <c r="V3804" s="135"/>
      <c r="W3804" s="135"/>
      <c r="X3804" s="135"/>
      <c r="Y3804" s="135"/>
      <c r="Z3804" s="135"/>
    </row>
    <row r="3805" spans="1:26" ht="12.75">
      <c r="A3805" s="136" t="s">
        <v>10</v>
      </c>
      <c r="B3805" s="136" t="s">
        <v>7927</v>
      </c>
      <c r="C3805" s="136" t="s">
        <v>7908</v>
      </c>
      <c r="D3805" s="136" t="s">
        <v>7879</v>
      </c>
      <c r="E3805" s="136" t="s">
        <v>594</v>
      </c>
      <c r="F3805" s="136">
        <v>850</v>
      </c>
      <c r="G3805" s="137">
        <f t="shared" si="14"/>
        <v>1</v>
      </c>
      <c r="H3805" s="137"/>
      <c r="I3805" s="137"/>
      <c r="J3805" s="135"/>
      <c r="K3805" s="135"/>
      <c r="L3805" s="135"/>
      <c r="M3805" s="135"/>
      <c r="N3805" s="135"/>
      <c r="O3805" s="135"/>
      <c r="P3805" s="135"/>
      <c r="Q3805" s="135"/>
      <c r="R3805" s="135"/>
      <c r="S3805" s="135"/>
      <c r="T3805" s="135"/>
      <c r="U3805" s="135"/>
      <c r="V3805" s="135"/>
      <c r="W3805" s="135"/>
      <c r="X3805" s="135"/>
      <c r="Y3805" s="135"/>
      <c r="Z3805" s="135"/>
    </row>
    <row r="3806" spans="1:26" ht="12.75">
      <c r="A3806" s="136" t="s">
        <v>10</v>
      </c>
      <c r="B3806" s="136" t="s">
        <v>7927</v>
      </c>
      <c r="C3806" s="136" t="s">
        <v>7908</v>
      </c>
      <c r="D3806" s="136" t="s">
        <v>7481</v>
      </c>
      <c r="E3806" s="136" t="s">
        <v>615</v>
      </c>
      <c r="F3806" s="136">
        <v>325</v>
      </c>
      <c r="G3806" s="137">
        <f t="shared" si="14"/>
        <v>5</v>
      </c>
      <c r="H3806" s="137"/>
      <c r="I3806" s="137"/>
      <c r="J3806" s="135"/>
      <c r="K3806" s="135"/>
      <c r="L3806" s="135"/>
      <c r="M3806" s="135"/>
      <c r="N3806" s="135"/>
      <c r="O3806" s="135"/>
      <c r="P3806" s="135"/>
      <c r="Q3806" s="135"/>
      <c r="R3806" s="135"/>
      <c r="S3806" s="135"/>
      <c r="T3806" s="135"/>
      <c r="U3806" s="135"/>
      <c r="V3806" s="135"/>
      <c r="W3806" s="135"/>
      <c r="X3806" s="135"/>
      <c r="Y3806" s="135"/>
      <c r="Z3806" s="135"/>
    </row>
    <row r="3807" spans="1:26" ht="12.75">
      <c r="A3807" s="136" t="s">
        <v>10</v>
      </c>
      <c r="B3807" s="136" t="s">
        <v>7927</v>
      </c>
      <c r="C3807" s="136" t="s">
        <v>7909</v>
      </c>
      <c r="D3807" s="136" t="s">
        <v>7879</v>
      </c>
      <c r="E3807" s="136" t="s">
        <v>594</v>
      </c>
      <c r="F3807" s="136">
        <v>500</v>
      </c>
      <c r="G3807" s="137">
        <f t="shared" si="14"/>
        <v>2</v>
      </c>
      <c r="H3807" s="137"/>
      <c r="I3807" s="137"/>
      <c r="J3807" s="135"/>
      <c r="K3807" s="135"/>
      <c r="L3807" s="135"/>
      <c r="M3807" s="135"/>
      <c r="N3807" s="135"/>
      <c r="O3807" s="135"/>
      <c r="P3807" s="135"/>
      <c r="Q3807" s="135"/>
      <c r="R3807" s="135"/>
      <c r="S3807" s="135"/>
      <c r="T3807" s="135"/>
      <c r="U3807" s="135"/>
      <c r="V3807" s="135"/>
      <c r="W3807" s="135"/>
      <c r="X3807" s="135"/>
      <c r="Y3807" s="135"/>
      <c r="Z3807" s="135"/>
    </row>
    <row r="3808" spans="1:26" ht="12.75">
      <c r="A3808" s="136" t="s">
        <v>10</v>
      </c>
      <c r="B3808" s="136" t="s">
        <v>7927</v>
      </c>
      <c r="C3808" s="136" t="s">
        <v>7909</v>
      </c>
      <c r="D3808" s="136" t="s">
        <v>7888</v>
      </c>
      <c r="E3808" s="136" t="s">
        <v>615</v>
      </c>
      <c r="F3808" s="136">
        <v>300</v>
      </c>
      <c r="G3808" s="137">
        <f t="shared" si="14"/>
        <v>4</v>
      </c>
      <c r="H3808" s="137"/>
      <c r="I3808" s="137"/>
      <c r="J3808" s="135"/>
      <c r="K3808" s="135"/>
      <c r="L3808" s="135"/>
      <c r="M3808" s="135"/>
      <c r="N3808" s="135"/>
      <c r="O3808" s="135"/>
      <c r="P3808" s="135"/>
      <c r="Q3808" s="135"/>
      <c r="R3808" s="135"/>
      <c r="S3808" s="135"/>
      <c r="T3808" s="135"/>
      <c r="U3808" s="135"/>
      <c r="V3808" s="135"/>
      <c r="W3808" s="135"/>
      <c r="X3808" s="135"/>
      <c r="Y3808" s="135"/>
      <c r="Z3808" s="135"/>
    </row>
    <row r="3809" spans="1:26" ht="12.75">
      <c r="A3809" s="136" t="s">
        <v>10</v>
      </c>
      <c r="B3809" s="136" t="s">
        <v>7927</v>
      </c>
      <c r="C3809" s="136" t="s">
        <v>7909</v>
      </c>
      <c r="D3809" s="136" t="s">
        <v>7481</v>
      </c>
      <c r="E3809" s="136" t="s">
        <v>615</v>
      </c>
      <c r="F3809" s="136">
        <v>185</v>
      </c>
      <c r="G3809" s="137">
        <f t="shared" si="14"/>
        <v>8</v>
      </c>
      <c r="H3809" s="137"/>
      <c r="I3809" s="137"/>
      <c r="J3809" s="135"/>
      <c r="K3809" s="135"/>
      <c r="L3809" s="135"/>
      <c r="M3809" s="135"/>
      <c r="N3809" s="135"/>
      <c r="O3809" s="135"/>
      <c r="P3809" s="135"/>
      <c r="Q3809" s="135"/>
      <c r="R3809" s="135"/>
      <c r="S3809" s="135"/>
      <c r="T3809" s="135"/>
      <c r="U3809" s="135"/>
      <c r="V3809" s="135"/>
      <c r="W3809" s="135"/>
      <c r="X3809" s="135"/>
      <c r="Y3809" s="135"/>
      <c r="Z3809" s="135"/>
    </row>
    <row r="3810" spans="1:26" ht="12.75">
      <c r="A3810" s="136" t="s">
        <v>10</v>
      </c>
      <c r="B3810" s="136" t="s">
        <v>7927</v>
      </c>
      <c r="C3810" s="136" t="s">
        <v>7911</v>
      </c>
      <c r="D3810" s="136" t="s">
        <v>7879</v>
      </c>
      <c r="E3810" s="136" t="s">
        <v>594</v>
      </c>
      <c r="F3810" s="136">
        <v>550</v>
      </c>
      <c r="G3810" s="137">
        <f t="shared" si="14"/>
        <v>2</v>
      </c>
      <c r="H3810" s="137"/>
      <c r="I3810" s="137"/>
      <c r="J3810" s="135"/>
      <c r="K3810" s="135"/>
      <c r="L3810" s="135"/>
      <c r="M3810" s="135"/>
      <c r="N3810" s="135"/>
      <c r="O3810" s="135"/>
      <c r="P3810" s="135"/>
      <c r="Q3810" s="135"/>
      <c r="R3810" s="135"/>
      <c r="S3810" s="135"/>
      <c r="T3810" s="135"/>
      <c r="U3810" s="135"/>
      <c r="V3810" s="135"/>
      <c r="W3810" s="135"/>
      <c r="X3810" s="135"/>
      <c r="Y3810" s="135"/>
      <c r="Z3810" s="135"/>
    </row>
    <row r="3811" spans="1:26" ht="12.75">
      <c r="A3811" s="136" t="s">
        <v>10</v>
      </c>
      <c r="B3811" s="136" t="s">
        <v>7927</v>
      </c>
      <c r="C3811" s="136" t="s">
        <v>7911</v>
      </c>
      <c r="D3811" s="136" t="s">
        <v>7888</v>
      </c>
      <c r="E3811" s="136" t="s">
        <v>615</v>
      </c>
      <c r="F3811" s="136">
        <v>400</v>
      </c>
      <c r="G3811" s="137">
        <f t="shared" si="14"/>
        <v>3</v>
      </c>
      <c r="H3811" s="137"/>
      <c r="I3811" s="137"/>
      <c r="J3811" s="135"/>
      <c r="K3811" s="135"/>
      <c r="L3811" s="135"/>
      <c r="M3811" s="135"/>
      <c r="N3811" s="135"/>
      <c r="O3811" s="135"/>
      <c r="P3811" s="135"/>
      <c r="Q3811" s="135"/>
      <c r="R3811" s="135"/>
      <c r="S3811" s="135"/>
      <c r="T3811" s="135"/>
      <c r="U3811" s="135"/>
      <c r="V3811" s="135"/>
      <c r="W3811" s="135"/>
      <c r="X3811" s="135"/>
      <c r="Y3811" s="135"/>
      <c r="Z3811" s="135"/>
    </row>
    <row r="3812" spans="1:26" ht="12.75">
      <c r="A3812" s="136" t="s">
        <v>10</v>
      </c>
      <c r="B3812" s="136" t="s">
        <v>7927</v>
      </c>
      <c r="C3812" s="136" t="s">
        <v>7911</v>
      </c>
      <c r="D3812" s="136" t="s">
        <v>7481</v>
      </c>
      <c r="E3812" s="136" t="s">
        <v>615</v>
      </c>
      <c r="F3812" s="136">
        <v>145</v>
      </c>
      <c r="G3812" s="137">
        <f t="shared" si="14"/>
        <v>6</v>
      </c>
      <c r="H3812" s="137"/>
      <c r="I3812" s="137"/>
      <c r="J3812" s="135"/>
      <c r="K3812" s="135"/>
      <c r="L3812" s="135"/>
      <c r="M3812" s="135"/>
      <c r="N3812" s="135"/>
      <c r="O3812" s="135"/>
      <c r="P3812" s="135"/>
      <c r="Q3812" s="135"/>
      <c r="R3812" s="135"/>
      <c r="S3812" s="135"/>
      <c r="T3812" s="135"/>
      <c r="U3812" s="135"/>
      <c r="V3812" s="135"/>
      <c r="W3812" s="135"/>
      <c r="X3812" s="135"/>
      <c r="Y3812" s="135"/>
      <c r="Z3812" s="135"/>
    </row>
    <row r="3813" spans="1:26" ht="12.75">
      <c r="A3813" s="136" t="s">
        <v>10</v>
      </c>
      <c r="B3813" s="136" t="s">
        <v>7927</v>
      </c>
      <c r="C3813" s="136" t="s">
        <v>7912</v>
      </c>
      <c r="D3813" s="136" t="s">
        <v>7879</v>
      </c>
      <c r="E3813" s="136" t="s">
        <v>594</v>
      </c>
      <c r="F3813" s="136">
        <v>480</v>
      </c>
      <c r="G3813" s="137">
        <f t="shared" si="14"/>
        <v>2</v>
      </c>
      <c r="H3813" s="137"/>
      <c r="I3813" s="137"/>
      <c r="J3813" s="135"/>
      <c r="K3813" s="135"/>
      <c r="L3813" s="135"/>
      <c r="M3813" s="135"/>
      <c r="N3813" s="135"/>
      <c r="O3813" s="135"/>
      <c r="P3813" s="135"/>
      <c r="Q3813" s="135"/>
      <c r="R3813" s="135"/>
      <c r="S3813" s="135"/>
      <c r="T3813" s="135"/>
      <c r="U3813" s="135"/>
      <c r="V3813" s="135"/>
      <c r="W3813" s="135"/>
      <c r="X3813" s="135"/>
      <c r="Y3813" s="135"/>
      <c r="Z3813" s="135"/>
    </row>
    <row r="3814" spans="1:26" ht="12.75">
      <c r="A3814" s="136" t="s">
        <v>10</v>
      </c>
      <c r="B3814" s="136" t="s">
        <v>7927</v>
      </c>
      <c r="C3814" s="136" t="s">
        <v>7912</v>
      </c>
      <c r="D3814" s="136" t="s">
        <v>7888</v>
      </c>
      <c r="E3814" s="136" t="s">
        <v>615</v>
      </c>
      <c r="F3814" s="136">
        <v>450</v>
      </c>
      <c r="G3814" s="137">
        <f t="shared" si="14"/>
        <v>3</v>
      </c>
      <c r="H3814" s="137"/>
      <c r="I3814" s="137"/>
      <c r="J3814" s="135"/>
      <c r="K3814" s="135"/>
      <c r="L3814" s="135"/>
      <c r="M3814" s="135"/>
      <c r="N3814" s="135"/>
      <c r="O3814" s="135"/>
      <c r="P3814" s="135"/>
      <c r="Q3814" s="135"/>
      <c r="R3814" s="135"/>
      <c r="S3814" s="135"/>
      <c r="T3814" s="135"/>
      <c r="U3814" s="135"/>
      <c r="V3814" s="135"/>
      <c r="W3814" s="135"/>
      <c r="X3814" s="135"/>
      <c r="Y3814" s="135"/>
      <c r="Z3814" s="135"/>
    </row>
    <row r="3815" spans="1:26" ht="12.75">
      <c r="A3815" s="136" t="s">
        <v>10</v>
      </c>
      <c r="B3815" s="136" t="s">
        <v>7927</v>
      </c>
      <c r="C3815" s="136" t="s">
        <v>7912</v>
      </c>
      <c r="D3815" s="136" t="s">
        <v>7481</v>
      </c>
      <c r="E3815" s="136" t="s">
        <v>615</v>
      </c>
      <c r="F3815" s="136">
        <v>128</v>
      </c>
      <c r="G3815" s="137">
        <f t="shared" si="14"/>
        <v>8</v>
      </c>
      <c r="H3815" s="137"/>
      <c r="I3815" s="137"/>
      <c r="J3815" s="135"/>
      <c r="K3815" s="135"/>
      <c r="L3815" s="135"/>
      <c r="M3815" s="135"/>
      <c r="N3815" s="135"/>
      <c r="O3815" s="135"/>
      <c r="P3815" s="135"/>
      <c r="Q3815" s="135"/>
      <c r="R3815" s="135"/>
      <c r="S3815" s="135"/>
      <c r="T3815" s="135"/>
      <c r="U3815" s="135"/>
      <c r="V3815" s="135"/>
      <c r="W3815" s="135"/>
      <c r="X3815" s="135"/>
      <c r="Y3815" s="135"/>
      <c r="Z3815" s="135"/>
    </row>
    <row r="3816" spans="1:26" ht="25.5">
      <c r="A3816" s="136" t="s">
        <v>11</v>
      </c>
      <c r="B3816" s="136" t="s">
        <v>7932</v>
      </c>
      <c r="C3816" s="136" t="s">
        <v>280</v>
      </c>
      <c r="D3816" s="136" t="s">
        <v>7932</v>
      </c>
      <c r="E3816" s="136" t="s">
        <v>615</v>
      </c>
      <c r="F3816" s="136">
        <v>7145</v>
      </c>
      <c r="G3816" s="137">
        <f t="shared" si="14"/>
        <v>1</v>
      </c>
      <c r="H3816" s="137"/>
      <c r="I3816" s="137"/>
      <c r="J3816" s="135"/>
      <c r="K3816" s="135"/>
      <c r="L3816" s="135"/>
      <c r="M3816" s="135"/>
      <c r="N3816" s="135"/>
      <c r="O3816" s="135"/>
      <c r="P3816" s="135"/>
      <c r="Q3816" s="135"/>
      <c r="R3816" s="135"/>
      <c r="S3816" s="135"/>
      <c r="T3816" s="135"/>
      <c r="U3816" s="135"/>
      <c r="V3816" s="135"/>
      <c r="W3816" s="135"/>
      <c r="X3816" s="135"/>
      <c r="Y3816" s="135"/>
      <c r="Z3816" s="135"/>
    </row>
    <row r="3817" spans="1:26" ht="25.5">
      <c r="A3817" s="136" t="s">
        <v>11</v>
      </c>
      <c r="B3817" s="136" t="s">
        <v>7932</v>
      </c>
      <c r="C3817" s="136" t="s">
        <v>280</v>
      </c>
      <c r="D3817" s="136" t="s">
        <v>139</v>
      </c>
      <c r="E3817" s="136" t="s">
        <v>594</v>
      </c>
      <c r="F3817" s="136">
        <v>6646</v>
      </c>
      <c r="G3817" s="137">
        <f t="shared" si="14"/>
        <v>2</v>
      </c>
      <c r="H3817" s="137"/>
      <c r="I3817" s="137"/>
      <c r="J3817" s="135"/>
      <c r="K3817" s="135"/>
      <c r="L3817" s="135"/>
      <c r="M3817" s="135"/>
      <c r="N3817" s="135"/>
      <c r="O3817" s="135"/>
      <c r="P3817" s="135"/>
      <c r="Q3817" s="135"/>
      <c r="R3817" s="135"/>
      <c r="S3817" s="135"/>
      <c r="T3817" s="135"/>
      <c r="U3817" s="135"/>
      <c r="V3817" s="135"/>
      <c r="W3817" s="135"/>
      <c r="X3817" s="135"/>
      <c r="Y3817" s="135"/>
      <c r="Z3817" s="135"/>
    </row>
    <row r="3818" spans="1:26" ht="25.5">
      <c r="A3818" s="136" t="s">
        <v>11</v>
      </c>
      <c r="B3818" s="136" t="s">
        <v>7932</v>
      </c>
      <c r="C3818" s="136" t="s">
        <v>280</v>
      </c>
      <c r="D3818" s="136" t="s">
        <v>7878</v>
      </c>
      <c r="E3818" s="136" t="s">
        <v>85</v>
      </c>
      <c r="F3818" s="136">
        <v>2296</v>
      </c>
      <c r="G3818" s="137">
        <f t="shared" si="14"/>
        <v>3</v>
      </c>
      <c r="H3818" s="137"/>
      <c r="I3818" s="137"/>
      <c r="J3818" s="135"/>
      <c r="K3818" s="135"/>
      <c r="L3818" s="135"/>
      <c r="M3818" s="135"/>
      <c r="N3818" s="135"/>
      <c r="O3818" s="135"/>
      <c r="P3818" s="135"/>
      <c r="Q3818" s="135"/>
      <c r="R3818" s="135"/>
      <c r="S3818" s="135"/>
      <c r="T3818" s="135"/>
      <c r="U3818" s="135"/>
      <c r="V3818" s="135"/>
      <c r="W3818" s="135"/>
      <c r="X3818" s="135"/>
      <c r="Y3818" s="135"/>
      <c r="Z3818" s="135"/>
    </row>
    <row r="3819" spans="1:26" ht="25.5">
      <c r="A3819" s="136" t="s">
        <v>11</v>
      </c>
      <c r="B3819" s="136" t="s">
        <v>7932</v>
      </c>
      <c r="C3819" s="136" t="s">
        <v>280</v>
      </c>
      <c r="D3819" s="136" t="s">
        <v>1659</v>
      </c>
      <c r="E3819" s="136" t="s">
        <v>615</v>
      </c>
      <c r="F3819" s="136">
        <v>967</v>
      </c>
      <c r="G3819" s="137">
        <f t="shared" si="14"/>
        <v>5</v>
      </c>
      <c r="H3819" s="137"/>
      <c r="I3819" s="137"/>
      <c r="J3819" s="135"/>
      <c r="K3819" s="135"/>
      <c r="L3819" s="135"/>
      <c r="M3819" s="135"/>
      <c r="N3819" s="135"/>
      <c r="O3819" s="135"/>
      <c r="P3819" s="135"/>
      <c r="Q3819" s="135"/>
      <c r="R3819" s="135"/>
      <c r="S3819" s="135"/>
      <c r="T3819" s="135"/>
      <c r="U3819" s="135"/>
      <c r="V3819" s="135"/>
      <c r="W3819" s="135"/>
      <c r="X3819" s="135"/>
      <c r="Y3819" s="135"/>
      <c r="Z3819" s="135"/>
    </row>
    <row r="3820" spans="1:26" ht="25.5">
      <c r="A3820" s="136" t="s">
        <v>11</v>
      </c>
      <c r="B3820" s="136" t="s">
        <v>7932</v>
      </c>
      <c r="C3820" s="136" t="s">
        <v>280</v>
      </c>
      <c r="D3820" s="136" t="s">
        <v>1665</v>
      </c>
      <c r="E3820" s="136" t="s">
        <v>615</v>
      </c>
      <c r="F3820" s="136">
        <v>984</v>
      </c>
      <c r="G3820" s="137">
        <f t="shared" si="14"/>
        <v>4</v>
      </c>
      <c r="H3820" s="137"/>
      <c r="I3820" s="137"/>
      <c r="J3820" s="135"/>
      <c r="K3820" s="135"/>
      <c r="L3820" s="135"/>
      <c r="M3820" s="135"/>
      <c r="N3820" s="135"/>
      <c r="O3820" s="135"/>
      <c r="P3820" s="135"/>
      <c r="Q3820" s="135"/>
      <c r="R3820" s="135"/>
      <c r="S3820" s="135"/>
      <c r="T3820" s="135"/>
      <c r="U3820" s="135"/>
      <c r="V3820" s="135"/>
      <c r="W3820" s="135"/>
      <c r="X3820" s="135"/>
      <c r="Y3820" s="135"/>
      <c r="Z3820" s="135"/>
    </row>
    <row r="3821" spans="1:26" ht="25.5">
      <c r="A3821" s="136" t="s">
        <v>11</v>
      </c>
      <c r="B3821" s="136" t="s">
        <v>7932</v>
      </c>
      <c r="C3821" s="136" t="s">
        <v>280</v>
      </c>
      <c r="D3821" s="136" t="s">
        <v>1680</v>
      </c>
      <c r="E3821" s="136" t="s">
        <v>615</v>
      </c>
      <c r="F3821" s="136">
        <v>893</v>
      </c>
      <c r="G3821" s="137">
        <f t="shared" si="14"/>
        <v>6</v>
      </c>
      <c r="H3821" s="137"/>
      <c r="I3821" s="137"/>
      <c r="J3821" s="135"/>
      <c r="K3821" s="135"/>
      <c r="L3821" s="135"/>
      <c r="M3821" s="135"/>
      <c r="N3821" s="135"/>
      <c r="O3821" s="135"/>
      <c r="P3821" s="135"/>
      <c r="Q3821" s="135"/>
      <c r="R3821" s="135"/>
      <c r="S3821" s="135"/>
      <c r="T3821" s="135"/>
      <c r="U3821" s="135"/>
      <c r="V3821" s="135"/>
      <c r="W3821" s="135"/>
      <c r="X3821" s="135"/>
      <c r="Y3821" s="135"/>
      <c r="Z3821" s="135"/>
    </row>
    <row r="3822" spans="1:26" ht="25.5">
      <c r="A3822" s="136" t="s">
        <v>11</v>
      </c>
      <c r="B3822" s="136" t="s">
        <v>7932</v>
      </c>
      <c r="C3822" s="136" t="s">
        <v>280</v>
      </c>
      <c r="D3822" s="136" t="s">
        <v>136</v>
      </c>
      <c r="E3822" s="136" t="s">
        <v>615</v>
      </c>
      <c r="F3822" s="136">
        <v>717</v>
      </c>
      <c r="G3822" s="137">
        <f t="shared" si="14"/>
        <v>7</v>
      </c>
      <c r="H3822" s="137"/>
      <c r="I3822" s="137"/>
      <c r="J3822" s="135"/>
      <c r="K3822" s="135"/>
      <c r="L3822" s="135"/>
      <c r="M3822" s="135"/>
      <c r="N3822" s="135"/>
      <c r="O3822" s="135"/>
      <c r="P3822" s="135"/>
      <c r="Q3822" s="135"/>
      <c r="R3822" s="135"/>
      <c r="S3822" s="135"/>
      <c r="T3822" s="135"/>
      <c r="U3822" s="135"/>
      <c r="V3822" s="135"/>
      <c r="W3822" s="135"/>
      <c r="X3822" s="135"/>
      <c r="Y3822" s="135"/>
      <c r="Z3822" s="135"/>
    </row>
    <row r="3823" spans="1:26" ht="25.5">
      <c r="A3823" s="136" t="s">
        <v>11</v>
      </c>
      <c r="B3823" s="136" t="s">
        <v>7932</v>
      </c>
      <c r="C3823" s="136" t="s">
        <v>280</v>
      </c>
      <c r="D3823" s="136" t="s">
        <v>165</v>
      </c>
      <c r="E3823" s="136" t="s">
        <v>615</v>
      </c>
      <c r="F3823" s="136">
        <v>668</v>
      </c>
      <c r="G3823" s="137">
        <f t="shared" si="14"/>
        <v>8</v>
      </c>
      <c r="H3823" s="137"/>
      <c r="I3823" s="137"/>
      <c r="J3823" s="135"/>
      <c r="K3823" s="135"/>
      <c r="L3823" s="135"/>
      <c r="M3823" s="135"/>
      <c r="N3823" s="135"/>
      <c r="O3823" s="135"/>
      <c r="P3823" s="135"/>
      <c r="Q3823" s="135"/>
      <c r="R3823" s="135"/>
      <c r="S3823" s="135"/>
      <c r="T3823" s="135"/>
      <c r="U3823" s="135"/>
      <c r="V3823" s="135"/>
      <c r="W3823" s="135"/>
      <c r="X3823" s="135"/>
      <c r="Y3823" s="135"/>
      <c r="Z3823" s="135"/>
    </row>
    <row r="3824" spans="1:26" ht="25.5">
      <c r="A3824" s="136" t="s">
        <v>11</v>
      </c>
      <c r="B3824" s="136" t="s">
        <v>7932</v>
      </c>
      <c r="C3824" s="136" t="s">
        <v>280</v>
      </c>
      <c r="D3824" s="136" t="s">
        <v>7657</v>
      </c>
      <c r="E3824" s="136" t="s">
        <v>85</v>
      </c>
      <c r="F3824" s="136">
        <v>573</v>
      </c>
      <c r="G3824" s="137">
        <f t="shared" si="14"/>
        <v>9</v>
      </c>
      <c r="H3824" s="137"/>
      <c r="I3824" s="137"/>
      <c r="J3824" s="135"/>
      <c r="K3824" s="135"/>
      <c r="L3824" s="135"/>
      <c r="M3824" s="135"/>
      <c r="N3824" s="135"/>
      <c r="O3824" s="135"/>
      <c r="P3824" s="135"/>
      <c r="Q3824" s="135"/>
      <c r="R3824" s="135"/>
      <c r="S3824" s="135"/>
      <c r="T3824" s="135"/>
      <c r="U3824" s="135"/>
      <c r="V3824" s="135"/>
      <c r="W3824" s="135"/>
      <c r="X3824" s="135"/>
      <c r="Y3824" s="135"/>
      <c r="Z3824" s="135"/>
    </row>
    <row r="3825" spans="1:26" ht="25.5">
      <c r="A3825" s="136" t="s">
        <v>11</v>
      </c>
      <c r="B3825" s="136" t="s">
        <v>7932</v>
      </c>
      <c r="C3825" s="136" t="s">
        <v>280</v>
      </c>
      <c r="D3825" s="136" t="s">
        <v>451</v>
      </c>
      <c r="E3825" s="136" t="s">
        <v>594</v>
      </c>
      <c r="F3825" s="136">
        <v>567</v>
      </c>
      <c r="G3825" s="137">
        <f t="shared" si="14"/>
        <v>10</v>
      </c>
      <c r="H3825" s="137"/>
      <c r="I3825" s="137"/>
      <c r="J3825" s="135"/>
      <c r="K3825" s="135"/>
      <c r="L3825" s="135"/>
      <c r="M3825" s="135"/>
      <c r="N3825" s="135"/>
      <c r="O3825" s="135"/>
      <c r="P3825" s="135"/>
      <c r="Q3825" s="135"/>
      <c r="R3825" s="135"/>
      <c r="S3825" s="135"/>
      <c r="T3825" s="135"/>
      <c r="U3825" s="135"/>
      <c r="V3825" s="135"/>
      <c r="W3825" s="135"/>
      <c r="X3825" s="135"/>
      <c r="Y3825" s="135"/>
      <c r="Z3825" s="135"/>
    </row>
    <row r="3826" spans="1:26" ht="25.5">
      <c r="A3826" s="136" t="s">
        <v>11</v>
      </c>
      <c r="B3826" s="136" t="s">
        <v>7932</v>
      </c>
      <c r="C3826" s="136" t="s">
        <v>280</v>
      </c>
      <c r="D3826" s="136" t="s">
        <v>1626</v>
      </c>
      <c r="E3826" s="136" t="s">
        <v>594</v>
      </c>
      <c r="F3826" s="136">
        <v>523</v>
      </c>
      <c r="G3826" s="137">
        <f t="shared" si="14"/>
        <v>11</v>
      </c>
      <c r="H3826" s="137"/>
      <c r="I3826" s="137"/>
      <c r="J3826" s="135"/>
      <c r="K3826" s="135"/>
      <c r="L3826" s="135"/>
      <c r="M3826" s="135"/>
      <c r="N3826" s="135"/>
      <c r="O3826" s="135"/>
      <c r="P3826" s="135"/>
      <c r="Q3826" s="135"/>
      <c r="R3826" s="135"/>
      <c r="S3826" s="135"/>
      <c r="T3826" s="135"/>
      <c r="U3826" s="135"/>
      <c r="V3826" s="135"/>
      <c r="W3826" s="135"/>
      <c r="X3826" s="135"/>
      <c r="Y3826" s="135"/>
      <c r="Z3826" s="135"/>
    </row>
    <row r="3827" spans="1:26" ht="25.5">
      <c r="A3827" s="136" t="s">
        <v>11</v>
      </c>
      <c r="B3827" s="136" t="s">
        <v>7932</v>
      </c>
      <c r="C3827" s="136" t="s">
        <v>280</v>
      </c>
      <c r="D3827" s="136" t="s">
        <v>131</v>
      </c>
      <c r="E3827" s="136" t="s">
        <v>594</v>
      </c>
      <c r="F3827" s="136">
        <v>512</v>
      </c>
      <c r="G3827" s="137">
        <f t="shared" ref="G3827:G4081" si="15">COUNTIFS($C:$C,C3827,$F:$F,"&gt;"&amp;F3827)
 + COUNTIFS($C$2:C3827,C3827,$F$2:F3827,F3827)</f>
        <v>12</v>
      </c>
      <c r="H3827" s="137"/>
      <c r="I3827" s="137"/>
      <c r="J3827" s="135"/>
      <c r="K3827" s="135"/>
      <c r="L3827" s="135"/>
      <c r="M3827" s="135"/>
      <c r="N3827" s="135"/>
      <c r="O3827" s="135"/>
      <c r="P3827" s="135"/>
      <c r="Q3827" s="135"/>
      <c r="R3827" s="135"/>
      <c r="S3827" s="135"/>
      <c r="T3827" s="135"/>
      <c r="U3827" s="135"/>
      <c r="V3827" s="135"/>
      <c r="W3827" s="135"/>
      <c r="X3827" s="135"/>
      <c r="Y3827" s="135"/>
      <c r="Z3827" s="135"/>
    </row>
    <row r="3828" spans="1:26" ht="25.5">
      <c r="A3828" s="136" t="s">
        <v>11</v>
      </c>
      <c r="B3828" s="136" t="s">
        <v>7932</v>
      </c>
      <c r="C3828" s="136" t="s">
        <v>280</v>
      </c>
      <c r="D3828" s="136" t="s">
        <v>595</v>
      </c>
      <c r="E3828" s="136" t="s">
        <v>594</v>
      </c>
      <c r="F3828" s="136">
        <v>490</v>
      </c>
      <c r="G3828" s="137">
        <f t="shared" si="15"/>
        <v>13</v>
      </c>
      <c r="H3828" s="137"/>
      <c r="I3828" s="137"/>
      <c r="J3828" s="135"/>
      <c r="K3828" s="135"/>
      <c r="L3828" s="135"/>
      <c r="M3828" s="135"/>
      <c r="N3828" s="135"/>
      <c r="O3828" s="135"/>
      <c r="P3828" s="135"/>
      <c r="Q3828" s="135"/>
      <c r="R3828" s="135"/>
      <c r="S3828" s="135"/>
      <c r="T3828" s="135"/>
      <c r="U3828" s="135"/>
      <c r="V3828" s="135"/>
      <c r="W3828" s="135"/>
      <c r="X3828" s="135"/>
      <c r="Y3828" s="135"/>
      <c r="Z3828" s="135"/>
    </row>
    <row r="3829" spans="1:26" ht="25.5">
      <c r="A3829" s="136" t="s">
        <v>11</v>
      </c>
      <c r="B3829" s="136" t="s">
        <v>7932</v>
      </c>
      <c r="C3829" s="136" t="s">
        <v>280</v>
      </c>
      <c r="D3829" s="136" t="s">
        <v>1614</v>
      </c>
      <c r="E3829" s="136" t="s">
        <v>594</v>
      </c>
      <c r="F3829" s="136">
        <v>468</v>
      </c>
      <c r="G3829" s="137">
        <f t="shared" si="15"/>
        <v>14</v>
      </c>
      <c r="H3829" s="137"/>
      <c r="I3829" s="137"/>
      <c r="J3829" s="135"/>
      <c r="K3829" s="135"/>
      <c r="L3829" s="135"/>
      <c r="M3829" s="135"/>
      <c r="N3829" s="135"/>
      <c r="O3829" s="135"/>
      <c r="P3829" s="135"/>
      <c r="Q3829" s="135"/>
      <c r="R3829" s="135"/>
      <c r="S3829" s="135"/>
      <c r="T3829" s="135"/>
      <c r="U3829" s="135"/>
      <c r="V3829" s="135"/>
      <c r="W3829" s="135"/>
      <c r="X3829" s="135"/>
      <c r="Y3829" s="135"/>
      <c r="Z3829" s="135"/>
    </row>
    <row r="3830" spans="1:26" ht="25.5">
      <c r="A3830" s="136" t="s">
        <v>11</v>
      </c>
      <c r="B3830" s="136" t="s">
        <v>7932</v>
      </c>
      <c r="C3830" s="136" t="s">
        <v>280</v>
      </c>
      <c r="D3830" s="136" t="s">
        <v>120</v>
      </c>
      <c r="E3830" s="136" t="s">
        <v>615</v>
      </c>
      <c r="F3830" s="136">
        <v>454</v>
      </c>
      <c r="G3830" s="137">
        <f t="shared" si="15"/>
        <v>15</v>
      </c>
      <c r="H3830" s="137"/>
      <c r="I3830" s="137"/>
      <c r="J3830" s="135"/>
      <c r="K3830" s="135"/>
      <c r="L3830" s="135"/>
      <c r="M3830" s="135"/>
      <c r="N3830" s="135"/>
      <c r="O3830" s="135"/>
      <c r="P3830" s="135"/>
      <c r="Q3830" s="135"/>
      <c r="R3830" s="135"/>
      <c r="S3830" s="135"/>
      <c r="T3830" s="135"/>
      <c r="U3830" s="135"/>
      <c r="V3830" s="135"/>
      <c r="W3830" s="135"/>
      <c r="X3830" s="135"/>
      <c r="Y3830" s="135"/>
      <c r="Z3830" s="135"/>
    </row>
    <row r="3831" spans="1:26" ht="25.5">
      <c r="A3831" s="136" t="s">
        <v>11</v>
      </c>
      <c r="B3831" s="136" t="s">
        <v>7932</v>
      </c>
      <c r="C3831" s="136" t="s">
        <v>280</v>
      </c>
      <c r="D3831" s="136" t="s">
        <v>368</v>
      </c>
      <c r="E3831" s="136" t="s">
        <v>594</v>
      </c>
      <c r="F3831" s="136">
        <v>421</v>
      </c>
      <c r="G3831" s="137">
        <f t="shared" si="15"/>
        <v>16</v>
      </c>
      <c r="H3831" s="137"/>
      <c r="I3831" s="137"/>
      <c r="J3831" s="135"/>
      <c r="K3831" s="135"/>
      <c r="L3831" s="135"/>
      <c r="M3831" s="135"/>
      <c r="N3831" s="135"/>
      <c r="O3831" s="135"/>
      <c r="P3831" s="135"/>
      <c r="Q3831" s="135"/>
      <c r="R3831" s="135"/>
      <c r="S3831" s="135"/>
      <c r="T3831" s="135"/>
      <c r="U3831" s="135"/>
      <c r="V3831" s="135"/>
      <c r="W3831" s="135"/>
      <c r="X3831" s="135"/>
      <c r="Y3831" s="135"/>
      <c r="Z3831" s="135"/>
    </row>
    <row r="3832" spans="1:26" ht="25.5">
      <c r="A3832" s="136" t="s">
        <v>11</v>
      </c>
      <c r="B3832" s="136" t="s">
        <v>7932</v>
      </c>
      <c r="C3832" s="136" t="s">
        <v>280</v>
      </c>
      <c r="D3832" s="136" t="s">
        <v>103</v>
      </c>
      <c r="E3832" s="136" t="s">
        <v>594</v>
      </c>
      <c r="F3832" s="136">
        <v>387</v>
      </c>
      <c r="G3832" s="137">
        <f t="shared" si="15"/>
        <v>17</v>
      </c>
      <c r="H3832" s="137"/>
      <c r="I3832" s="137"/>
      <c r="J3832" s="135"/>
      <c r="K3832" s="135"/>
      <c r="L3832" s="135"/>
      <c r="M3832" s="135"/>
      <c r="N3832" s="135"/>
      <c r="O3832" s="135"/>
      <c r="P3832" s="135"/>
      <c r="Q3832" s="135"/>
      <c r="R3832" s="135"/>
      <c r="S3832" s="135"/>
      <c r="T3832" s="135"/>
      <c r="U3832" s="135"/>
      <c r="V3832" s="135"/>
      <c r="W3832" s="135"/>
      <c r="X3832" s="135"/>
      <c r="Y3832" s="135"/>
      <c r="Z3832" s="135"/>
    </row>
    <row r="3833" spans="1:26" ht="25.5">
      <c r="A3833" s="136" t="s">
        <v>11</v>
      </c>
      <c r="B3833" s="136" t="s">
        <v>7932</v>
      </c>
      <c r="C3833" s="136" t="s">
        <v>280</v>
      </c>
      <c r="D3833" s="136" t="s">
        <v>7933</v>
      </c>
      <c r="E3833" s="136" t="s">
        <v>615</v>
      </c>
      <c r="F3833" s="136">
        <v>345</v>
      </c>
      <c r="G3833" s="137">
        <f t="shared" si="15"/>
        <v>18</v>
      </c>
      <c r="H3833" s="137"/>
      <c r="I3833" s="137"/>
      <c r="J3833" s="135"/>
      <c r="K3833" s="135"/>
      <c r="L3833" s="135"/>
      <c r="M3833" s="135"/>
      <c r="N3833" s="135"/>
      <c r="O3833" s="135"/>
      <c r="P3833" s="135"/>
      <c r="Q3833" s="135"/>
      <c r="R3833" s="135"/>
      <c r="S3833" s="135"/>
      <c r="T3833" s="135"/>
      <c r="U3833" s="135"/>
      <c r="V3833" s="135"/>
      <c r="W3833" s="135"/>
      <c r="X3833" s="135"/>
      <c r="Y3833" s="135"/>
      <c r="Z3833" s="135"/>
    </row>
    <row r="3834" spans="1:26" ht="25.5">
      <c r="A3834" s="136" t="s">
        <v>11</v>
      </c>
      <c r="B3834" s="136" t="s">
        <v>7932</v>
      </c>
      <c r="C3834" s="136" t="s">
        <v>280</v>
      </c>
      <c r="D3834" s="136" t="s">
        <v>7934</v>
      </c>
      <c r="E3834" s="136" t="s">
        <v>615</v>
      </c>
      <c r="F3834" s="136">
        <v>312</v>
      </c>
      <c r="G3834" s="137">
        <f t="shared" si="15"/>
        <v>19</v>
      </c>
      <c r="H3834" s="137"/>
      <c r="I3834" s="137"/>
      <c r="J3834" s="135"/>
      <c r="K3834" s="135"/>
      <c r="L3834" s="135"/>
      <c r="M3834" s="135"/>
      <c r="N3834" s="135"/>
      <c r="O3834" s="135"/>
      <c r="P3834" s="135"/>
      <c r="Q3834" s="135"/>
      <c r="R3834" s="135"/>
      <c r="S3834" s="135"/>
      <c r="T3834" s="135"/>
      <c r="U3834" s="135"/>
      <c r="V3834" s="135"/>
      <c r="W3834" s="135"/>
      <c r="X3834" s="135"/>
      <c r="Y3834" s="135"/>
      <c r="Z3834" s="135"/>
    </row>
    <row r="3835" spans="1:26" ht="25.5">
      <c r="A3835" s="136" t="s">
        <v>11</v>
      </c>
      <c r="B3835" s="136" t="s">
        <v>7932</v>
      </c>
      <c r="C3835" s="136" t="s">
        <v>280</v>
      </c>
      <c r="D3835" s="136" t="s">
        <v>1673</v>
      </c>
      <c r="E3835" s="136" t="s">
        <v>615</v>
      </c>
      <c r="F3835" s="136">
        <v>274</v>
      </c>
      <c r="G3835" s="137">
        <f t="shared" si="15"/>
        <v>20</v>
      </c>
      <c r="H3835" s="137"/>
      <c r="I3835" s="137"/>
      <c r="J3835" s="135"/>
      <c r="K3835" s="135"/>
      <c r="L3835" s="135"/>
      <c r="M3835" s="135"/>
      <c r="N3835" s="135"/>
      <c r="O3835" s="135"/>
      <c r="P3835" s="135"/>
      <c r="Q3835" s="135"/>
      <c r="R3835" s="135"/>
      <c r="S3835" s="135"/>
      <c r="T3835" s="135"/>
      <c r="U3835" s="135"/>
      <c r="V3835" s="135"/>
      <c r="W3835" s="135"/>
      <c r="X3835" s="135"/>
      <c r="Y3835" s="135"/>
      <c r="Z3835" s="135"/>
    </row>
    <row r="3836" spans="1:26" ht="25.5">
      <c r="A3836" s="136" t="s">
        <v>11</v>
      </c>
      <c r="B3836" s="136" t="s">
        <v>7932</v>
      </c>
      <c r="C3836" s="136" t="s">
        <v>280</v>
      </c>
      <c r="D3836" s="136" t="s">
        <v>1662</v>
      </c>
      <c r="E3836" s="136" t="s">
        <v>615</v>
      </c>
      <c r="F3836" s="136">
        <v>267</v>
      </c>
      <c r="G3836" s="137">
        <f t="shared" si="15"/>
        <v>21</v>
      </c>
      <c r="H3836" s="137"/>
      <c r="I3836" s="137"/>
      <c r="J3836" s="135"/>
      <c r="K3836" s="135"/>
      <c r="L3836" s="135"/>
      <c r="M3836" s="135"/>
      <c r="N3836" s="135"/>
      <c r="O3836" s="135"/>
      <c r="P3836" s="135"/>
      <c r="Q3836" s="135"/>
      <c r="R3836" s="135"/>
      <c r="S3836" s="135"/>
      <c r="T3836" s="135"/>
      <c r="U3836" s="135"/>
      <c r="V3836" s="135"/>
      <c r="W3836" s="135"/>
      <c r="X3836" s="135"/>
      <c r="Y3836" s="135"/>
      <c r="Z3836" s="135"/>
    </row>
    <row r="3837" spans="1:26" ht="25.5">
      <c r="A3837" s="136" t="s">
        <v>11</v>
      </c>
      <c r="B3837" s="136" t="s">
        <v>7932</v>
      </c>
      <c r="C3837" s="136" t="s">
        <v>280</v>
      </c>
      <c r="D3837" s="136" t="s">
        <v>437</v>
      </c>
      <c r="E3837" s="136" t="s">
        <v>594</v>
      </c>
      <c r="F3837" s="136">
        <v>256</v>
      </c>
      <c r="G3837" s="137">
        <f t="shared" si="15"/>
        <v>22</v>
      </c>
      <c r="H3837" s="137"/>
      <c r="I3837" s="137"/>
      <c r="J3837" s="135"/>
      <c r="K3837" s="135"/>
      <c r="L3837" s="135"/>
      <c r="M3837" s="135"/>
      <c r="N3837" s="135"/>
      <c r="O3837" s="135"/>
      <c r="P3837" s="135"/>
      <c r="Q3837" s="135"/>
      <c r="R3837" s="135"/>
      <c r="S3837" s="135"/>
      <c r="T3837" s="135"/>
      <c r="U3837" s="135"/>
      <c r="V3837" s="135"/>
      <c r="W3837" s="135"/>
      <c r="X3837" s="135"/>
      <c r="Y3837" s="135"/>
      <c r="Z3837" s="135"/>
    </row>
    <row r="3838" spans="1:26" ht="25.5">
      <c r="A3838" s="136" t="s">
        <v>11</v>
      </c>
      <c r="B3838" s="136" t="s">
        <v>7932</v>
      </c>
      <c r="C3838" s="136" t="s">
        <v>280</v>
      </c>
      <c r="D3838" s="136" t="s">
        <v>7544</v>
      </c>
      <c r="E3838" s="136" t="s">
        <v>615</v>
      </c>
      <c r="F3838" s="136">
        <v>245</v>
      </c>
      <c r="G3838" s="137">
        <f t="shared" si="15"/>
        <v>23</v>
      </c>
      <c r="H3838" s="137"/>
      <c r="I3838" s="137"/>
      <c r="J3838" s="135"/>
      <c r="K3838" s="135"/>
      <c r="L3838" s="135"/>
      <c r="M3838" s="135"/>
      <c r="N3838" s="135"/>
      <c r="O3838" s="135"/>
      <c r="P3838" s="135"/>
      <c r="Q3838" s="135"/>
      <c r="R3838" s="135"/>
      <c r="S3838" s="135"/>
      <c r="T3838" s="135"/>
      <c r="U3838" s="135"/>
      <c r="V3838" s="135"/>
      <c r="W3838" s="135"/>
      <c r="X3838" s="135"/>
      <c r="Y3838" s="135"/>
      <c r="Z3838" s="135"/>
    </row>
    <row r="3839" spans="1:26" ht="25.5">
      <c r="A3839" s="136" t="s">
        <v>11</v>
      </c>
      <c r="B3839" s="136" t="s">
        <v>7932</v>
      </c>
      <c r="C3839" s="136" t="s">
        <v>280</v>
      </c>
      <c r="D3839" s="136" t="s">
        <v>7935</v>
      </c>
      <c r="E3839" s="136" t="s">
        <v>615</v>
      </c>
      <c r="F3839" s="136">
        <v>213</v>
      </c>
      <c r="G3839" s="137">
        <f t="shared" si="15"/>
        <v>24</v>
      </c>
      <c r="H3839" s="137"/>
      <c r="I3839" s="137"/>
      <c r="J3839" s="135"/>
      <c r="K3839" s="135"/>
      <c r="L3839" s="135"/>
      <c r="M3839" s="135"/>
      <c r="N3839" s="135"/>
      <c r="O3839" s="135"/>
      <c r="P3839" s="135"/>
      <c r="Q3839" s="135"/>
      <c r="R3839" s="135"/>
      <c r="S3839" s="135"/>
      <c r="T3839" s="135"/>
      <c r="U3839" s="135"/>
      <c r="V3839" s="135"/>
      <c r="W3839" s="135"/>
      <c r="X3839" s="135"/>
      <c r="Y3839" s="135"/>
      <c r="Z3839" s="135"/>
    </row>
    <row r="3840" spans="1:26" ht="25.5">
      <c r="A3840" s="136" t="s">
        <v>11</v>
      </c>
      <c r="B3840" s="136" t="s">
        <v>7932</v>
      </c>
      <c r="C3840" s="136" t="s">
        <v>280</v>
      </c>
      <c r="D3840" s="136" t="s">
        <v>1639</v>
      </c>
      <c r="E3840" s="136" t="s">
        <v>615</v>
      </c>
      <c r="F3840" s="136">
        <v>189</v>
      </c>
      <c r="G3840" s="137">
        <f t="shared" si="15"/>
        <v>25</v>
      </c>
      <c r="H3840" s="137"/>
      <c r="I3840" s="137"/>
      <c r="J3840" s="135"/>
      <c r="K3840" s="135"/>
      <c r="L3840" s="135"/>
      <c r="M3840" s="135"/>
      <c r="N3840" s="135"/>
      <c r="O3840" s="135"/>
      <c r="P3840" s="135"/>
      <c r="Q3840" s="135"/>
      <c r="R3840" s="135"/>
      <c r="S3840" s="135"/>
      <c r="T3840" s="135"/>
      <c r="U3840" s="135"/>
      <c r="V3840" s="135"/>
      <c r="W3840" s="135"/>
      <c r="X3840" s="135"/>
      <c r="Y3840" s="135"/>
      <c r="Z3840" s="135"/>
    </row>
    <row r="3841" spans="1:26" ht="25.5">
      <c r="A3841" s="136" t="s">
        <v>11</v>
      </c>
      <c r="B3841" s="136" t="s">
        <v>7932</v>
      </c>
      <c r="C3841" s="136" t="s">
        <v>280</v>
      </c>
      <c r="D3841" s="136" t="s">
        <v>225</v>
      </c>
      <c r="E3841" s="136" t="s">
        <v>615</v>
      </c>
      <c r="F3841" s="136">
        <v>178</v>
      </c>
      <c r="G3841" s="137">
        <f t="shared" si="15"/>
        <v>26</v>
      </c>
      <c r="H3841" s="137"/>
      <c r="I3841" s="137"/>
      <c r="J3841" s="135"/>
      <c r="K3841" s="135"/>
      <c r="L3841" s="135"/>
      <c r="M3841" s="135"/>
      <c r="N3841" s="135"/>
      <c r="O3841" s="135"/>
      <c r="P3841" s="135"/>
      <c r="Q3841" s="135"/>
      <c r="R3841" s="135"/>
      <c r="S3841" s="135"/>
      <c r="T3841" s="135"/>
      <c r="U3841" s="135"/>
      <c r="V3841" s="135"/>
      <c r="W3841" s="135"/>
      <c r="X3841" s="135"/>
      <c r="Y3841" s="135"/>
      <c r="Z3841" s="135"/>
    </row>
    <row r="3842" spans="1:26" ht="25.5">
      <c r="A3842" s="136" t="s">
        <v>11</v>
      </c>
      <c r="B3842" s="136" t="s">
        <v>7932</v>
      </c>
      <c r="C3842" s="136" t="s">
        <v>280</v>
      </c>
      <c r="D3842" s="136" t="s">
        <v>7936</v>
      </c>
      <c r="E3842" s="136" t="s">
        <v>594</v>
      </c>
      <c r="F3842" s="136">
        <v>167</v>
      </c>
      <c r="G3842" s="137">
        <f t="shared" si="15"/>
        <v>27</v>
      </c>
      <c r="H3842" s="137"/>
      <c r="I3842" s="137"/>
      <c r="J3842" s="135"/>
      <c r="K3842" s="135"/>
      <c r="L3842" s="135"/>
      <c r="M3842" s="135"/>
      <c r="N3842" s="135"/>
      <c r="O3842" s="135"/>
      <c r="P3842" s="135"/>
      <c r="Q3842" s="135"/>
      <c r="R3842" s="135"/>
      <c r="S3842" s="135"/>
      <c r="T3842" s="135"/>
      <c r="U3842" s="135"/>
      <c r="V3842" s="135"/>
      <c r="W3842" s="135"/>
      <c r="X3842" s="135"/>
      <c r="Y3842" s="135"/>
      <c r="Z3842" s="135"/>
    </row>
    <row r="3843" spans="1:26" ht="25.5">
      <c r="A3843" s="136" t="s">
        <v>11</v>
      </c>
      <c r="B3843" s="136" t="s">
        <v>7932</v>
      </c>
      <c r="C3843" s="136" t="s">
        <v>280</v>
      </c>
      <c r="D3843" s="136" t="s">
        <v>1656</v>
      </c>
      <c r="E3843" s="136" t="s">
        <v>594</v>
      </c>
      <c r="F3843" s="136">
        <v>153</v>
      </c>
      <c r="G3843" s="137">
        <f t="shared" si="15"/>
        <v>28</v>
      </c>
      <c r="H3843" s="137"/>
      <c r="I3843" s="137"/>
      <c r="J3843" s="135"/>
      <c r="K3843" s="135"/>
      <c r="L3843" s="135"/>
      <c r="M3843" s="135"/>
      <c r="N3843" s="135"/>
      <c r="O3843" s="135"/>
      <c r="P3843" s="135"/>
      <c r="Q3843" s="135"/>
      <c r="R3843" s="135"/>
      <c r="S3843" s="135"/>
      <c r="T3843" s="135"/>
      <c r="U3843" s="135"/>
      <c r="V3843" s="135"/>
      <c r="W3843" s="135"/>
      <c r="X3843" s="135"/>
      <c r="Y3843" s="135"/>
      <c r="Z3843" s="135"/>
    </row>
    <row r="3844" spans="1:26" ht="25.5">
      <c r="A3844" s="136" t="s">
        <v>11</v>
      </c>
      <c r="B3844" s="136" t="s">
        <v>7932</v>
      </c>
      <c r="C3844" s="136" t="s">
        <v>280</v>
      </c>
      <c r="D3844" s="136" t="s">
        <v>7937</v>
      </c>
      <c r="E3844" s="136" t="s">
        <v>86</v>
      </c>
      <c r="F3844" s="136">
        <v>115</v>
      </c>
      <c r="G3844" s="137">
        <f t="shared" si="15"/>
        <v>29</v>
      </c>
      <c r="H3844" s="137"/>
      <c r="I3844" s="137"/>
      <c r="J3844" s="135"/>
      <c r="K3844" s="135"/>
      <c r="L3844" s="135"/>
      <c r="M3844" s="135"/>
      <c r="N3844" s="135"/>
      <c r="O3844" s="135"/>
      <c r="P3844" s="135"/>
      <c r="Q3844" s="135"/>
      <c r="R3844" s="135"/>
      <c r="S3844" s="135"/>
      <c r="T3844" s="135"/>
      <c r="U3844" s="135"/>
      <c r="V3844" s="135"/>
      <c r="W3844" s="135"/>
      <c r="X3844" s="135"/>
      <c r="Y3844" s="135"/>
      <c r="Z3844" s="135"/>
    </row>
    <row r="3845" spans="1:26" ht="25.5">
      <c r="A3845" s="136" t="s">
        <v>11</v>
      </c>
      <c r="B3845" s="136" t="s">
        <v>7932</v>
      </c>
      <c r="C3845" s="136" t="s">
        <v>280</v>
      </c>
      <c r="D3845" s="136" t="s">
        <v>1674</v>
      </c>
      <c r="E3845" s="136" t="s">
        <v>615</v>
      </c>
      <c r="F3845" s="136">
        <v>93</v>
      </c>
      <c r="G3845" s="137">
        <f t="shared" si="15"/>
        <v>30</v>
      </c>
      <c r="H3845" s="137"/>
      <c r="I3845" s="137"/>
      <c r="J3845" s="135"/>
      <c r="K3845" s="135"/>
      <c r="L3845" s="135"/>
      <c r="M3845" s="135"/>
      <c r="N3845" s="135"/>
      <c r="O3845" s="135"/>
      <c r="P3845" s="135"/>
      <c r="Q3845" s="135"/>
      <c r="R3845" s="135"/>
      <c r="S3845" s="135"/>
      <c r="T3845" s="135"/>
      <c r="U3845" s="135"/>
      <c r="V3845" s="135"/>
      <c r="W3845" s="135"/>
      <c r="X3845" s="135"/>
      <c r="Y3845" s="135"/>
      <c r="Z3845" s="135"/>
    </row>
    <row r="3846" spans="1:26" ht="25.5">
      <c r="A3846" s="136" t="s">
        <v>11</v>
      </c>
      <c r="B3846" s="136" t="s">
        <v>7932</v>
      </c>
      <c r="C3846" s="136" t="s">
        <v>280</v>
      </c>
      <c r="D3846" s="136" t="s">
        <v>288</v>
      </c>
      <c r="E3846" s="136" t="s">
        <v>615</v>
      </c>
      <c r="F3846" s="136">
        <v>90</v>
      </c>
      <c r="G3846" s="137">
        <f t="shared" si="15"/>
        <v>31</v>
      </c>
      <c r="H3846" s="137"/>
      <c r="I3846" s="137"/>
      <c r="J3846" s="135"/>
      <c r="K3846" s="135"/>
      <c r="L3846" s="135"/>
      <c r="M3846" s="135"/>
      <c r="N3846" s="135"/>
      <c r="O3846" s="135"/>
      <c r="P3846" s="135"/>
      <c r="Q3846" s="135"/>
      <c r="R3846" s="135"/>
      <c r="S3846" s="135"/>
      <c r="T3846" s="135"/>
      <c r="U3846" s="135"/>
      <c r="V3846" s="135"/>
      <c r="W3846" s="135"/>
      <c r="X3846" s="135"/>
      <c r="Y3846" s="135"/>
      <c r="Z3846" s="135"/>
    </row>
    <row r="3847" spans="1:26" ht="25.5">
      <c r="A3847" s="136" t="s">
        <v>11</v>
      </c>
      <c r="B3847" s="136" t="s">
        <v>7932</v>
      </c>
      <c r="C3847" s="136" t="s">
        <v>280</v>
      </c>
      <c r="D3847" s="136" t="s">
        <v>7938</v>
      </c>
      <c r="E3847" s="136" t="s">
        <v>615</v>
      </c>
      <c r="F3847" s="136">
        <v>36</v>
      </c>
      <c r="G3847" s="137">
        <f t="shared" si="15"/>
        <v>32</v>
      </c>
      <c r="H3847" s="137"/>
      <c r="I3847" s="137"/>
      <c r="J3847" s="135"/>
      <c r="K3847" s="135"/>
      <c r="L3847" s="135"/>
      <c r="M3847" s="135"/>
      <c r="N3847" s="135"/>
      <c r="O3847" s="135"/>
      <c r="P3847" s="135"/>
      <c r="Q3847" s="135"/>
      <c r="R3847" s="135"/>
      <c r="S3847" s="135"/>
      <c r="T3847" s="135"/>
      <c r="U3847" s="135"/>
      <c r="V3847" s="135"/>
      <c r="W3847" s="135"/>
      <c r="X3847" s="135"/>
      <c r="Y3847" s="135"/>
      <c r="Z3847" s="135"/>
    </row>
    <row r="3848" spans="1:26" ht="25.5">
      <c r="A3848" s="136" t="s">
        <v>11</v>
      </c>
      <c r="B3848" s="136" t="s">
        <v>7932</v>
      </c>
      <c r="C3848" s="136" t="s">
        <v>280</v>
      </c>
      <c r="D3848" s="136" t="s">
        <v>1666</v>
      </c>
      <c r="E3848" s="136" t="s">
        <v>85</v>
      </c>
      <c r="F3848" s="136">
        <v>34</v>
      </c>
      <c r="G3848" s="137">
        <f t="shared" si="15"/>
        <v>33</v>
      </c>
      <c r="H3848" s="137"/>
      <c r="I3848" s="137"/>
      <c r="J3848" s="135"/>
      <c r="K3848" s="135"/>
      <c r="L3848" s="135"/>
      <c r="M3848" s="135"/>
      <c r="N3848" s="135"/>
      <c r="O3848" s="135"/>
      <c r="P3848" s="135"/>
      <c r="Q3848" s="135"/>
      <c r="R3848" s="135"/>
      <c r="S3848" s="135"/>
      <c r="T3848" s="135"/>
      <c r="U3848" s="135"/>
      <c r="V3848" s="135"/>
      <c r="W3848" s="135"/>
      <c r="X3848" s="135"/>
      <c r="Y3848" s="135"/>
      <c r="Z3848" s="135"/>
    </row>
    <row r="3849" spans="1:26" ht="25.5">
      <c r="A3849" s="136" t="s">
        <v>11</v>
      </c>
      <c r="B3849" s="136" t="s">
        <v>7932</v>
      </c>
      <c r="C3849" s="136" t="s">
        <v>280</v>
      </c>
      <c r="D3849" s="136" t="s">
        <v>7767</v>
      </c>
      <c r="E3849" s="136" t="s">
        <v>594</v>
      </c>
      <c r="F3849" s="136">
        <v>27</v>
      </c>
      <c r="G3849" s="137">
        <f t="shared" si="15"/>
        <v>34</v>
      </c>
      <c r="H3849" s="137"/>
      <c r="I3849" s="137"/>
      <c r="J3849" s="135"/>
      <c r="K3849" s="135"/>
      <c r="L3849" s="135"/>
      <c r="M3849" s="135"/>
      <c r="N3849" s="135"/>
      <c r="O3849" s="135"/>
      <c r="P3849" s="135"/>
      <c r="Q3849" s="135"/>
      <c r="R3849" s="135"/>
      <c r="S3849" s="135"/>
      <c r="T3849" s="135"/>
      <c r="U3849" s="135"/>
      <c r="V3849" s="135"/>
      <c r="W3849" s="135"/>
      <c r="X3849" s="135"/>
      <c r="Y3849" s="135"/>
      <c r="Z3849" s="135"/>
    </row>
    <row r="3850" spans="1:26" ht="25.5">
      <c r="A3850" s="136" t="s">
        <v>11</v>
      </c>
      <c r="B3850" s="136" t="s">
        <v>7932</v>
      </c>
      <c r="C3850" s="136" t="s">
        <v>280</v>
      </c>
      <c r="D3850" s="136" t="s">
        <v>7842</v>
      </c>
      <c r="E3850" s="136" t="s">
        <v>86</v>
      </c>
      <c r="F3850" s="136">
        <v>16</v>
      </c>
      <c r="G3850" s="137">
        <f t="shared" si="15"/>
        <v>35</v>
      </c>
      <c r="H3850" s="137"/>
      <c r="I3850" s="137"/>
      <c r="J3850" s="135"/>
      <c r="K3850" s="135"/>
      <c r="L3850" s="135"/>
      <c r="M3850" s="135"/>
      <c r="N3850" s="135"/>
      <c r="O3850" s="135"/>
      <c r="P3850" s="135"/>
      <c r="Q3850" s="135"/>
      <c r="R3850" s="135"/>
      <c r="S3850" s="135"/>
      <c r="T3850" s="135"/>
      <c r="U3850" s="135"/>
      <c r="V3850" s="135"/>
      <c r="W3850" s="135"/>
      <c r="X3850" s="135"/>
      <c r="Y3850" s="135"/>
      <c r="Z3850" s="135"/>
    </row>
    <row r="3851" spans="1:26" ht="25.5">
      <c r="A3851" s="136" t="s">
        <v>11</v>
      </c>
      <c r="B3851" s="136" t="s">
        <v>7932</v>
      </c>
      <c r="C3851" s="136" t="s">
        <v>7939</v>
      </c>
      <c r="D3851" s="136" t="s">
        <v>7940</v>
      </c>
      <c r="E3851" s="136" t="s">
        <v>615</v>
      </c>
      <c r="F3851" s="136">
        <v>6242</v>
      </c>
      <c r="G3851" s="137">
        <f t="shared" si="15"/>
        <v>1</v>
      </c>
      <c r="H3851" s="137"/>
      <c r="I3851" s="137"/>
      <c r="J3851" s="135"/>
      <c r="K3851" s="135"/>
      <c r="L3851" s="135"/>
      <c r="M3851" s="135"/>
      <c r="N3851" s="135"/>
      <c r="O3851" s="135"/>
      <c r="P3851" s="135"/>
      <c r="Q3851" s="135"/>
      <c r="R3851" s="135"/>
      <c r="S3851" s="135"/>
      <c r="T3851" s="135"/>
      <c r="U3851" s="135"/>
      <c r="V3851" s="135"/>
      <c r="W3851" s="135"/>
      <c r="X3851" s="135"/>
      <c r="Y3851" s="135"/>
      <c r="Z3851" s="135"/>
    </row>
    <row r="3852" spans="1:26" ht="25.5">
      <c r="A3852" s="136" t="s">
        <v>11</v>
      </c>
      <c r="B3852" s="136" t="s">
        <v>7932</v>
      </c>
      <c r="C3852" s="136" t="s">
        <v>7939</v>
      </c>
      <c r="D3852" s="136" t="s">
        <v>1669</v>
      </c>
      <c r="E3852" s="136" t="s">
        <v>615</v>
      </c>
      <c r="F3852" s="136">
        <v>3252</v>
      </c>
      <c r="G3852" s="137">
        <f t="shared" si="15"/>
        <v>2</v>
      </c>
      <c r="H3852" s="137"/>
      <c r="I3852" s="137"/>
      <c r="J3852" s="135"/>
      <c r="K3852" s="135"/>
      <c r="L3852" s="135"/>
      <c r="M3852" s="135"/>
      <c r="N3852" s="135"/>
      <c r="O3852" s="135"/>
      <c r="P3852" s="135"/>
      <c r="Q3852" s="135"/>
      <c r="R3852" s="135"/>
      <c r="S3852" s="135"/>
      <c r="T3852" s="135"/>
      <c r="U3852" s="135"/>
      <c r="V3852" s="135"/>
      <c r="W3852" s="135"/>
      <c r="X3852" s="135"/>
      <c r="Y3852" s="135"/>
      <c r="Z3852" s="135"/>
    </row>
    <row r="3853" spans="1:26" ht="25.5">
      <c r="A3853" s="136" t="s">
        <v>11</v>
      </c>
      <c r="B3853" s="136" t="s">
        <v>7932</v>
      </c>
      <c r="C3853" s="136" t="s">
        <v>7939</v>
      </c>
      <c r="D3853" s="136" t="s">
        <v>139</v>
      </c>
      <c r="E3853" s="136" t="s">
        <v>594</v>
      </c>
      <c r="F3853" s="136">
        <v>2148</v>
      </c>
      <c r="G3853" s="137">
        <f t="shared" si="15"/>
        <v>3</v>
      </c>
      <c r="H3853" s="137"/>
      <c r="I3853" s="137"/>
      <c r="J3853" s="135"/>
      <c r="K3853" s="135"/>
      <c r="L3853" s="135"/>
      <c r="M3853" s="135"/>
      <c r="N3853" s="135"/>
      <c r="O3853" s="135"/>
      <c r="P3853" s="135"/>
      <c r="Q3853" s="135"/>
      <c r="R3853" s="135"/>
      <c r="S3853" s="135"/>
      <c r="T3853" s="135"/>
      <c r="U3853" s="135"/>
      <c r="V3853" s="135"/>
      <c r="W3853" s="135"/>
      <c r="X3853" s="135"/>
      <c r="Y3853" s="135"/>
      <c r="Z3853" s="135"/>
    </row>
    <row r="3854" spans="1:26" ht="25.5">
      <c r="A3854" s="136" t="s">
        <v>11</v>
      </c>
      <c r="B3854" s="136" t="s">
        <v>7932</v>
      </c>
      <c r="C3854" s="136" t="s">
        <v>7939</v>
      </c>
      <c r="D3854" s="136" t="s">
        <v>7544</v>
      </c>
      <c r="E3854" s="136" t="s">
        <v>615</v>
      </c>
      <c r="F3854" s="136">
        <v>1422</v>
      </c>
      <c r="G3854" s="137">
        <f t="shared" si="15"/>
        <v>4</v>
      </c>
      <c r="H3854" s="137"/>
      <c r="I3854" s="137"/>
      <c r="J3854" s="135"/>
      <c r="K3854" s="135"/>
      <c r="L3854" s="135"/>
      <c r="M3854" s="135"/>
      <c r="N3854" s="135"/>
      <c r="O3854" s="135"/>
      <c r="P3854" s="135"/>
      <c r="Q3854" s="135"/>
      <c r="R3854" s="135"/>
      <c r="S3854" s="135"/>
      <c r="T3854" s="135"/>
      <c r="U3854" s="135"/>
      <c r="V3854" s="135"/>
      <c r="W3854" s="135"/>
      <c r="X3854" s="135"/>
      <c r="Y3854" s="135"/>
      <c r="Z3854" s="135"/>
    </row>
    <row r="3855" spans="1:26" ht="25.5">
      <c r="A3855" s="136" t="s">
        <v>11</v>
      </c>
      <c r="B3855" s="136" t="s">
        <v>7932</v>
      </c>
      <c r="C3855" s="136" t="s">
        <v>7939</v>
      </c>
      <c r="D3855" s="136" t="s">
        <v>7878</v>
      </c>
      <c r="E3855" s="136" t="s">
        <v>85</v>
      </c>
      <c r="F3855" s="136">
        <v>1268</v>
      </c>
      <c r="G3855" s="137">
        <f t="shared" si="15"/>
        <v>5</v>
      </c>
      <c r="H3855" s="137"/>
      <c r="I3855" s="137"/>
      <c r="J3855" s="135"/>
      <c r="K3855" s="135"/>
      <c r="L3855" s="135"/>
      <c r="M3855" s="135"/>
      <c r="N3855" s="135"/>
      <c r="O3855" s="135"/>
      <c r="P3855" s="135"/>
      <c r="Q3855" s="135"/>
      <c r="R3855" s="135"/>
      <c r="S3855" s="135"/>
      <c r="T3855" s="135"/>
      <c r="U3855" s="135"/>
      <c r="V3855" s="135"/>
      <c r="W3855" s="135"/>
      <c r="X3855" s="135"/>
      <c r="Y3855" s="135"/>
      <c r="Z3855" s="135"/>
    </row>
    <row r="3856" spans="1:26" ht="25.5">
      <c r="A3856" s="136" t="s">
        <v>11</v>
      </c>
      <c r="B3856" s="136" t="s">
        <v>7932</v>
      </c>
      <c r="C3856" s="136" t="s">
        <v>7939</v>
      </c>
      <c r="D3856" s="136" t="s">
        <v>595</v>
      </c>
      <c r="E3856" s="136" t="s">
        <v>594</v>
      </c>
      <c r="F3856" s="136">
        <v>811</v>
      </c>
      <c r="G3856" s="137">
        <f t="shared" si="15"/>
        <v>6</v>
      </c>
      <c r="H3856" s="137"/>
      <c r="I3856" s="137"/>
      <c r="J3856" s="135"/>
      <c r="K3856" s="135"/>
      <c r="L3856" s="135"/>
      <c r="M3856" s="135"/>
      <c r="N3856" s="135"/>
      <c r="O3856" s="135"/>
      <c r="P3856" s="135"/>
      <c r="Q3856" s="135"/>
      <c r="R3856" s="135"/>
      <c r="S3856" s="135"/>
      <c r="T3856" s="135"/>
      <c r="U3856" s="135"/>
      <c r="V3856" s="135"/>
      <c r="W3856" s="135"/>
      <c r="X3856" s="135"/>
      <c r="Y3856" s="135"/>
      <c r="Z3856" s="135"/>
    </row>
    <row r="3857" spans="1:26" ht="25.5">
      <c r="A3857" s="136" t="s">
        <v>11</v>
      </c>
      <c r="B3857" s="136" t="s">
        <v>7932</v>
      </c>
      <c r="C3857" s="136" t="s">
        <v>7939</v>
      </c>
      <c r="D3857" s="136" t="s">
        <v>136</v>
      </c>
      <c r="E3857" s="136" t="s">
        <v>615</v>
      </c>
      <c r="F3857" s="136">
        <v>713</v>
      </c>
      <c r="G3857" s="137">
        <f t="shared" si="15"/>
        <v>7</v>
      </c>
      <c r="H3857" s="137"/>
      <c r="I3857" s="137"/>
      <c r="J3857" s="135"/>
      <c r="K3857" s="135"/>
      <c r="L3857" s="135"/>
      <c r="M3857" s="135"/>
      <c r="N3857" s="135"/>
      <c r="O3857" s="135"/>
      <c r="P3857" s="135"/>
      <c r="Q3857" s="135"/>
      <c r="R3857" s="135"/>
      <c r="S3857" s="135"/>
      <c r="T3857" s="135"/>
      <c r="U3857" s="135"/>
      <c r="V3857" s="135"/>
      <c r="W3857" s="135"/>
      <c r="X3857" s="135"/>
      <c r="Y3857" s="135"/>
      <c r="Z3857" s="135"/>
    </row>
    <row r="3858" spans="1:26" ht="25.5">
      <c r="A3858" s="136" t="s">
        <v>11</v>
      </c>
      <c r="B3858" s="136" t="s">
        <v>7932</v>
      </c>
      <c r="C3858" s="136" t="s">
        <v>7939</v>
      </c>
      <c r="D3858" s="136" t="s">
        <v>1626</v>
      </c>
      <c r="E3858" s="136" t="s">
        <v>594</v>
      </c>
      <c r="F3858" s="136">
        <v>707</v>
      </c>
      <c r="G3858" s="137">
        <f t="shared" si="15"/>
        <v>8</v>
      </c>
      <c r="H3858" s="137"/>
      <c r="I3858" s="137"/>
      <c r="J3858" s="135"/>
      <c r="K3858" s="135"/>
      <c r="L3858" s="135"/>
      <c r="M3858" s="135"/>
      <c r="N3858" s="135"/>
      <c r="O3858" s="135"/>
      <c r="P3858" s="135"/>
      <c r="Q3858" s="135"/>
      <c r="R3858" s="135"/>
      <c r="S3858" s="135"/>
      <c r="T3858" s="135"/>
      <c r="U3858" s="135"/>
      <c r="V3858" s="135"/>
      <c r="W3858" s="135"/>
      <c r="X3858" s="135"/>
      <c r="Y3858" s="135"/>
      <c r="Z3858" s="135"/>
    </row>
    <row r="3859" spans="1:26" ht="25.5">
      <c r="A3859" s="136" t="s">
        <v>11</v>
      </c>
      <c r="B3859" s="136" t="s">
        <v>7932</v>
      </c>
      <c r="C3859" s="136" t="s">
        <v>7939</v>
      </c>
      <c r="D3859" s="136" t="s">
        <v>131</v>
      </c>
      <c r="E3859" s="136" t="s">
        <v>594</v>
      </c>
      <c r="F3859" s="136">
        <v>696</v>
      </c>
      <c r="G3859" s="137">
        <f t="shared" si="15"/>
        <v>9</v>
      </c>
      <c r="H3859" s="137"/>
      <c r="I3859" s="137"/>
      <c r="J3859" s="135"/>
      <c r="K3859" s="135"/>
      <c r="L3859" s="135"/>
      <c r="M3859" s="135"/>
      <c r="N3859" s="135"/>
      <c r="O3859" s="135"/>
      <c r="P3859" s="135"/>
      <c r="Q3859" s="135"/>
      <c r="R3859" s="135"/>
      <c r="S3859" s="135"/>
      <c r="T3859" s="135"/>
      <c r="U3859" s="135"/>
      <c r="V3859" s="135"/>
      <c r="W3859" s="135"/>
      <c r="X3859" s="135"/>
      <c r="Y3859" s="135"/>
      <c r="Z3859" s="135"/>
    </row>
    <row r="3860" spans="1:26" ht="25.5">
      <c r="A3860" s="136" t="s">
        <v>11</v>
      </c>
      <c r="B3860" s="136" t="s">
        <v>7932</v>
      </c>
      <c r="C3860" s="136" t="s">
        <v>7939</v>
      </c>
      <c r="D3860" s="136" t="s">
        <v>1665</v>
      </c>
      <c r="E3860" s="136" t="s">
        <v>615</v>
      </c>
      <c r="F3860" s="136">
        <v>621</v>
      </c>
      <c r="G3860" s="137">
        <f t="shared" si="15"/>
        <v>10</v>
      </c>
      <c r="H3860" s="137"/>
      <c r="I3860" s="137"/>
      <c r="J3860" s="135"/>
      <c r="K3860" s="135"/>
      <c r="L3860" s="135"/>
      <c r="M3860" s="135"/>
      <c r="N3860" s="135"/>
      <c r="O3860" s="135"/>
      <c r="P3860" s="135"/>
      <c r="Q3860" s="135"/>
      <c r="R3860" s="135"/>
      <c r="S3860" s="135"/>
      <c r="T3860" s="135"/>
      <c r="U3860" s="135"/>
      <c r="V3860" s="135"/>
      <c r="W3860" s="135"/>
      <c r="X3860" s="135"/>
      <c r="Y3860" s="135"/>
      <c r="Z3860" s="135"/>
    </row>
    <row r="3861" spans="1:26" ht="25.5">
      <c r="A3861" s="136" t="s">
        <v>11</v>
      </c>
      <c r="B3861" s="136" t="s">
        <v>7932</v>
      </c>
      <c r="C3861" s="136" t="s">
        <v>7939</v>
      </c>
      <c r="D3861" s="136" t="s">
        <v>1659</v>
      </c>
      <c r="E3861" s="136" t="s">
        <v>615</v>
      </c>
      <c r="F3861" s="136">
        <v>516</v>
      </c>
      <c r="G3861" s="137">
        <f t="shared" si="15"/>
        <v>11</v>
      </c>
      <c r="H3861" s="137"/>
      <c r="I3861" s="137"/>
      <c r="J3861" s="135"/>
      <c r="K3861" s="135"/>
      <c r="L3861" s="135"/>
      <c r="M3861" s="135"/>
      <c r="N3861" s="135"/>
      <c r="O3861" s="135"/>
      <c r="P3861" s="135"/>
      <c r="Q3861" s="135"/>
      <c r="R3861" s="135"/>
      <c r="S3861" s="135"/>
      <c r="T3861" s="135"/>
      <c r="U3861" s="135"/>
      <c r="V3861" s="135"/>
      <c r="W3861" s="135"/>
      <c r="X3861" s="135"/>
      <c r="Y3861" s="135"/>
      <c r="Z3861" s="135"/>
    </row>
    <row r="3862" spans="1:26" ht="25.5">
      <c r="A3862" s="136" t="s">
        <v>11</v>
      </c>
      <c r="B3862" s="136" t="s">
        <v>7932</v>
      </c>
      <c r="C3862" s="136" t="s">
        <v>7939</v>
      </c>
      <c r="D3862" s="136" t="s">
        <v>368</v>
      </c>
      <c r="E3862" s="136" t="s">
        <v>594</v>
      </c>
      <c r="F3862" s="136">
        <v>487</v>
      </c>
      <c r="G3862" s="137">
        <f t="shared" si="15"/>
        <v>12</v>
      </c>
      <c r="H3862" s="137"/>
      <c r="I3862" s="137"/>
      <c r="J3862" s="135"/>
      <c r="K3862" s="135"/>
      <c r="L3862" s="135"/>
      <c r="M3862" s="135"/>
      <c r="N3862" s="135"/>
      <c r="O3862" s="135"/>
      <c r="P3862" s="135"/>
      <c r="Q3862" s="135"/>
      <c r="R3862" s="135"/>
      <c r="S3862" s="135"/>
      <c r="T3862" s="135"/>
      <c r="U3862" s="135"/>
      <c r="V3862" s="135"/>
      <c r="W3862" s="135"/>
      <c r="X3862" s="135"/>
      <c r="Y3862" s="135"/>
      <c r="Z3862" s="135"/>
    </row>
    <row r="3863" spans="1:26" ht="25.5">
      <c r="A3863" s="136" t="s">
        <v>11</v>
      </c>
      <c r="B3863" s="136" t="s">
        <v>7932</v>
      </c>
      <c r="C3863" s="136" t="s">
        <v>7939</v>
      </c>
      <c r="D3863" s="136" t="s">
        <v>1680</v>
      </c>
      <c r="E3863" s="136" t="s">
        <v>615</v>
      </c>
      <c r="F3863" s="136">
        <v>432</v>
      </c>
      <c r="G3863" s="137">
        <f t="shared" si="15"/>
        <v>13</v>
      </c>
      <c r="H3863" s="137"/>
      <c r="I3863" s="137"/>
      <c r="J3863" s="135"/>
      <c r="K3863" s="135"/>
      <c r="L3863" s="135"/>
      <c r="M3863" s="135"/>
      <c r="N3863" s="135"/>
      <c r="O3863" s="135"/>
      <c r="P3863" s="135"/>
      <c r="Q3863" s="135"/>
      <c r="R3863" s="135"/>
      <c r="S3863" s="135"/>
      <c r="T3863" s="135"/>
      <c r="U3863" s="135"/>
      <c r="V3863" s="135"/>
      <c r="W3863" s="135"/>
      <c r="X3863" s="135"/>
      <c r="Y3863" s="135"/>
      <c r="Z3863" s="135"/>
    </row>
    <row r="3864" spans="1:26" ht="25.5">
      <c r="A3864" s="136" t="s">
        <v>11</v>
      </c>
      <c r="B3864" s="136" t="s">
        <v>7932</v>
      </c>
      <c r="C3864" s="136" t="s">
        <v>7939</v>
      </c>
      <c r="D3864" s="136" t="s">
        <v>103</v>
      </c>
      <c r="E3864" s="136" t="s">
        <v>594</v>
      </c>
      <c r="F3864" s="136">
        <v>426</v>
      </c>
      <c r="G3864" s="137">
        <f t="shared" si="15"/>
        <v>14</v>
      </c>
      <c r="H3864" s="137"/>
      <c r="I3864" s="137"/>
      <c r="J3864" s="135"/>
      <c r="K3864" s="135"/>
      <c r="L3864" s="135"/>
      <c r="M3864" s="135"/>
      <c r="N3864" s="135"/>
      <c r="O3864" s="135"/>
      <c r="P3864" s="135"/>
      <c r="Q3864" s="135"/>
      <c r="R3864" s="135"/>
      <c r="S3864" s="135"/>
      <c r="T3864" s="135"/>
      <c r="U3864" s="135"/>
      <c r="V3864" s="135"/>
      <c r="W3864" s="135"/>
      <c r="X3864" s="135"/>
      <c r="Y3864" s="135"/>
      <c r="Z3864" s="135"/>
    </row>
    <row r="3865" spans="1:26" ht="25.5">
      <c r="A3865" s="136" t="s">
        <v>11</v>
      </c>
      <c r="B3865" s="136" t="s">
        <v>7932</v>
      </c>
      <c r="C3865" s="136" t="s">
        <v>7939</v>
      </c>
      <c r="D3865" s="136" t="s">
        <v>1674</v>
      </c>
      <c r="E3865" s="136" t="s">
        <v>615</v>
      </c>
      <c r="F3865" s="136">
        <v>378</v>
      </c>
      <c r="G3865" s="137">
        <f t="shared" si="15"/>
        <v>15</v>
      </c>
      <c r="H3865" s="137"/>
      <c r="I3865" s="137"/>
      <c r="J3865" s="135"/>
      <c r="K3865" s="135"/>
      <c r="L3865" s="135"/>
      <c r="M3865" s="135"/>
      <c r="N3865" s="135"/>
      <c r="O3865" s="135"/>
      <c r="P3865" s="135"/>
      <c r="Q3865" s="135"/>
      <c r="R3865" s="135"/>
      <c r="S3865" s="135"/>
      <c r="T3865" s="135"/>
      <c r="U3865" s="135"/>
      <c r="V3865" s="135"/>
      <c r="W3865" s="135"/>
      <c r="X3865" s="135"/>
      <c r="Y3865" s="135"/>
      <c r="Z3865" s="135"/>
    </row>
    <row r="3866" spans="1:26" ht="25.5">
      <c r="A3866" s="136" t="s">
        <v>11</v>
      </c>
      <c r="B3866" s="136" t="s">
        <v>7932</v>
      </c>
      <c r="C3866" s="136" t="s">
        <v>7939</v>
      </c>
      <c r="D3866" s="136" t="s">
        <v>165</v>
      </c>
      <c r="E3866" s="136" t="s">
        <v>615</v>
      </c>
      <c r="F3866" s="136">
        <v>295</v>
      </c>
      <c r="G3866" s="137">
        <f t="shared" si="15"/>
        <v>16</v>
      </c>
      <c r="H3866" s="137"/>
      <c r="I3866" s="137"/>
      <c r="J3866" s="135"/>
      <c r="K3866" s="135"/>
      <c r="L3866" s="135"/>
      <c r="M3866" s="135"/>
      <c r="N3866" s="135"/>
      <c r="O3866" s="135"/>
      <c r="P3866" s="135"/>
      <c r="Q3866" s="135"/>
      <c r="R3866" s="135"/>
      <c r="S3866" s="135"/>
      <c r="T3866" s="135"/>
      <c r="U3866" s="135"/>
      <c r="V3866" s="135"/>
      <c r="W3866" s="135"/>
      <c r="X3866" s="135"/>
      <c r="Y3866" s="135"/>
      <c r="Z3866" s="135"/>
    </row>
    <row r="3867" spans="1:26" ht="25.5">
      <c r="A3867" s="136" t="s">
        <v>11</v>
      </c>
      <c r="B3867" s="136" t="s">
        <v>7932</v>
      </c>
      <c r="C3867" s="136" t="s">
        <v>7939</v>
      </c>
      <c r="D3867" s="136" t="s">
        <v>120</v>
      </c>
      <c r="E3867" s="136" t="s">
        <v>615</v>
      </c>
      <c r="F3867" s="136">
        <v>241</v>
      </c>
      <c r="G3867" s="137">
        <f t="shared" si="15"/>
        <v>17</v>
      </c>
      <c r="H3867" s="137"/>
      <c r="I3867" s="137"/>
      <c r="J3867" s="135"/>
      <c r="K3867" s="135"/>
      <c r="L3867" s="135"/>
      <c r="M3867" s="135"/>
      <c r="N3867" s="135"/>
      <c r="O3867" s="135"/>
      <c r="P3867" s="135"/>
      <c r="Q3867" s="135"/>
      <c r="R3867" s="135"/>
      <c r="S3867" s="135"/>
      <c r="T3867" s="135"/>
      <c r="U3867" s="135"/>
      <c r="V3867" s="135"/>
      <c r="W3867" s="135"/>
      <c r="X3867" s="135"/>
      <c r="Y3867" s="135"/>
      <c r="Z3867" s="135"/>
    </row>
    <row r="3868" spans="1:26" ht="25.5">
      <c r="A3868" s="136" t="s">
        <v>11</v>
      </c>
      <c r="B3868" s="136" t="s">
        <v>7932</v>
      </c>
      <c r="C3868" s="136" t="s">
        <v>7939</v>
      </c>
      <c r="D3868" s="136" t="s">
        <v>7657</v>
      </c>
      <c r="E3868" s="136" t="s">
        <v>85</v>
      </c>
      <c r="F3868" s="136">
        <v>232</v>
      </c>
      <c r="G3868" s="137">
        <f t="shared" si="15"/>
        <v>18</v>
      </c>
      <c r="H3868" s="137"/>
      <c r="I3868" s="137"/>
      <c r="J3868" s="135"/>
      <c r="K3868" s="135"/>
      <c r="L3868" s="135"/>
      <c r="M3868" s="135"/>
      <c r="N3868" s="135"/>
      <c r="O3868" s="135"/>
      <c r="P3868" s="135"/>
      <c r="Q3868" s="135"/>
      <c r="R3868" s="135"/>
      <c r="S3868" s="135"/>
      <c r="T3868" s="135"/>
      <c r="U3868" s="135"/>
      <c r="V3868" s="135"/>
      <c r="W3868" s="135"/>
      <c r="X3868" s="135"/>
      <c r="Y3868" s="135"/>
      <c r="Z3868" s="135"/>
    </row>
    <row r="3869" spans="1:26" ht="25.5">
      <c r="A3869" s="136" t="s">
        <v>11</v>
      </c>
      <c r="B3869" s="136" t="s">
        <v>7932</v>
      </c>
      <c r="C3869" s="136" t="s">
        <v>7939</v>
      </c>
      <c r="D3869" s="136" t="s">
        <v>437</v>
      </c>
      <c r="E3869" s="136" t="s">
        <v>594</v>
      </c>
      <c r="F3869" s="136">
        <v>214</v>
      </c>
      <c r="G3869" s="137">
        <f t="shared" si="15"/>
        <v>19</v>
      </c>
      <c r="H3869" s="137"/>
      <c r="I3869" s="137"/>
      <c r="J3869" s="135"/>
      <c r="K3869" s="135"/>
      <c r="L3869" s="135"/>
      <c r="M3869" s="135"/>
      <c r="N3869" s="135"/>
      <c r="O3869" s="135"/>
      <c r="P3869" s="135"/>
      <c r="Q3869" s="135"/>
      <c r="R3869" s="135"/>
      <c r="S3869" s="135"/>
      <c r="T3869" s="135"/>
      <c r="U3869" s="135"/>
      <c r="V3869" s="135"/>
      <c r="W3869" s="135"/>
      <c r="X3869" s="135"/>
      <c r="Y3869" s="135"/>
      <c r="Z3869" s="135"/>
    </row>
    <row r="3870" spans="1:26" ht="25.5">
      <c r="A3870" s="136" t="s">
        <v>11</v>
      </c>
      <c r="B3870" s="136" t="s">
        <v>7932</v>
      </c>
      <c r="C3870" s="136" t="s">
        <v>7939</v>
      </c>
      <c r="D3870" s="136" t="s">
        <v>7935</v>
      </c>
      <c r="E3870" s="136" t="s">
        <v>615</v>
      </c>
      <c r="F3870" s="136">
        <v>198</v>
      </c>
      <c r="G3870" s="137">
        <f t="shared" si="15"/>
        <v>20</v>
      </c>
      <c r="H3870" s="137"/>
      <c r="I3870" s="137"/>
      <c r="J3870" s="135"/>
      <c r="K3870" s="135"/>
      <c r="L3870" s="135"/>
      <c r="M3870" s="135"/>
      <c r="N3870" s="135"/>
      <c r="O3870" s="135"/>
      <c r="P3870" s="135"/>
      <c r="Q3870" s="135"/>
      <c r="R3870" s="135"/>
      <c r="S3870" s="135"/>
      <c r="T3870" s="135"/>
      <c r="U3870" s="135"/>
      <c r="V3870" s="135"/>
      <c r="W3870" s="135"/>
      <c r="X3870" s="135"/>
      <c r="Y3870" s="135"/>
      <c r="Z3870" s="135"/>
    </row>
    <row r="3871" spans="1:26" ht="25.5">
      <c r="A3871" s="136" t="s">
        <v>11</v>
      </c>
      <c r="B3871" s="136" t="s">
        <v>7932</v>
      </c>
      <c r="C3871" s="136" t="s">
        <v>7939</v>
      </c>
      <c r="D3871" s="136" t="s">
        <v>1656</v>
      </c>
      <c r="E3871" s="136" t="s">
        <v>594</v>
      </c>
      <c r="F3871" s="136">
        <v>182</v>
      </c>
      <c r="G3871" s="137">
        <f t="shared" si="15"/>
        <v>21</v>
      </c>
      <c r="H3871" s="137"/>
      <c r="I3871" s="137"/>
      <c r="J3871" s="135"/>
      <c r="K3871" s="135"/>
      <c r="L3871" s="135"/>
      <c r="M3871" s="135"/>
      <c r="N3871" s="135"/>
      <c r="O3871" s="135"/>
      <c r="P3871" s="135"/>
      <c r="Q3871" s="135"/>
      <c r="R3871" s="135"/>
      <c r="S3871" s="135"/>
      <c r="T3871" s="135"/>
      <c r="U3871" s="135"/>
      <c r="V3871" s="135"/>
      <c r="W3871" s="135"/>
      <c r="X3871" s="135"/>
      <c r="Y3871" s="135"/>
      <c r="Z3871" s="135"/>
    </row>
    <row r="3872" spans="1:26" ht="25.5">
      <c r="A3872" s="136" t="s">
        <v>11</v>
      </c>
      <c r="B3872" s="136" t="s">
        <v>7932</v>
      </c>
      <c r="C3872" s="136" t="s">
        <v>7939</v>
      </c>
      <c r="D3872" s="136" t="s">
        <v>7941</v>
      </c>
      <c r="E3872" s="136" t="s">
        <v>615</v>
      </c>
      <c r="F3872" s="136">
        <v>175</v>
      </c>
      <c r="G3872" s="137">
        <f t="shared" si="15"/>
        <v>22</v>
      </c>
      <c r="H3872" s="137"/>
      <c r="I3872" s="137"/>
      <c r="J3872" s="135"/>
      <c r="K3872" s="135"/>
      <c r="L3872" s="135"/>
      <c r="M3872" s="135"/>
      <c r="N3872" s="135"/>
      <c r="O3872" s="135"/>
      <c r="P3872" s="135"/>
      <c r="Q3872" s="135"/>
      <c r="R3872" s="135"/>
      <c r="S3872" s="135"/>
      <c r="T3872" s="135"/>
      <c r="U3872" s="135"/>
      <c r="V3872" s="135"/>
      <c r="W3872" s="135"/>
      <c r="X3872" s="135"/>
      <c r="Y3872" s="135"/>
      <c r="Z3872" s="135"/>
    </row>
    <row r="3873" spans="1:26" ht="25.5">
      <c r="A3873" s="136" t="s">
        <v>11</v>
      </c>
      <c r="B3873" s="136" t="s">
        <v>7932</v>
      </c>
      <c r="C3873" s="136" t="s">
        <v>7939</v>
      </c>
      <c r="D3873" s="136" t="s">
        <v>1673</v>
      </c>
      <c r="E3873" s="136" t="s">
        <v>615</v>
      </c>
      <c r="F3873" s="136">
        <v>158</v>
      </c>
      <c r="G3873" s="137">
        <f t="shared" si="15"/>
        <v>23</v>
      </c>
      <c r="H3873" s="137"/>
      <c r="I3873" s="137"/>
      <c r="J3873" s="135"/>
      <c r="K3873" s="135"/>
      <c r="L3873" s="135"/>
      <c r="M3873" s="135"/>
      <c r="N3873" s="135"/>
      <c r="O3873" s="135"/>
      <c r="P3873" s="135"/>
      <c r="Q3873" s="135"/>
      <c r="R3873" s="135"/>
      <c r="S3873" s="135"/>
      <c r="T3873" s="135"/>
      <c r="U3873" s="135"/>
      <c r="V3873" s="135"/>
      <c r="W3873" s="135"/>
      <c r="X3873" s="135"/>
      <c r="Y3873" s="135"/>
      <c r="Z3873" s="135"/>
    </row>
    <row r="3874" spans="1:26" ht="25.5">
      <c r="A3874" s="136" t="s">
        <v>11</v>
      </c>
      <c r="B3874" s="136" t="s">
        <v>7932</v>
      </c>
      <c r="C3874" s="136" t="s">
        <v>7939</v>
      </c>
      <c r="D3874" s="136" t="s">
        <v>7942</v>
      </c>
      <c r="E3874" s="136" t="s">
        <v>615</v>
      </c>
      <c r="F3874" s="136">
        <v>143</v>
      </c>
      <c r="G3874" s="137">
        <f t="shared" si="15"/>
        <v>24</v>
      </c>
      <c r="H3874" s="137"/>
      <c r="I3874" s="137"/>
      <c r="J3874" s="135"/>
      <c r="K3874" s="135"/>
      <c r="L3874" s="135"/>
      <c r="M3874" s="135"/>
      <c r="N3874" s="135"/>
      <c r="O3874" s="135"/>
      <c r="P3874" s="135"/>
      <c r="Q3874" s="135"/>
      <c r="R3874" s="135"/>
      <c r="S3874" s="135"/>
      <c r="T3874" s="135"/>
      <c r="U3874" s="135"/>
      <c r="V3874" s="135"/>
      <c r="W3874" s="135"/>
      <c r="X3874" s="135"/>
      <c r="Y3874" s="135"/>
      <c r="Z3874" s="135"/>
    </row>
    <row r="3875" spans="1:26" ht="25.5">
      <c r="A3875" s="136" t="s">
        <v>11</v>
      </c>
      <c r="B3875" s="136" t="s">
        <v>7932</v>
      </c>
      <c r="C3875" s="136" t="s">
        <v>7939</v>
      </c>
      <c r="D3875" s="136" t="s">
        <v>7943</v>
      </c>
      <c r="E3875" s="136" t="s">
        <v>615</v>
      </c>
      <c r="F3875" s="136">
        <v>134</v>
      </c>
      <c r="G3875" s="137">
        <f t="shared" si="15"/>
        <v>25</v>
      </c>
      <c r="H3875" s="137"/>
      <c r="I3875" s="137"/>
      <c r="J3875" s="135"/>
      <c r="K3875" s="135"/>
      <c r="L3875" s="135"/>
      <c r="M3875" s="135"/>
      <c r="N3875" s="135"/>
      <c r="O3875" s="135"/>
      <c r="P3875" s="135"/>
      <c r="Q3875" s="135"/>
      <c r="R3875" s="135"/>
      <c r="S3875" s="135"/>
      <c r="T3875" s="135"/>
      <c r="U3875" s="135"/>
      <c r="V3875" s="135"/>
      <c r="W3875" s="135"/>
      <c r="X3875" s="135"/>
      <c r="Y3875" s="135"/>
      <c r="Z3875" s="135"/>
    </row>
    <row r="3876" spans="1:26" ht="25.5">
      <c r="A3876" s="136" t="s">
        <v>11</v>
      </c>
      <c r="B3876" s="136" t="s">
        <v>7932</v>
      </c>
      <c r="C3876" s="136" t="s">
        <v>7939</v>
      </c>
      <c r="D3876" s="136" t="s">
        <v>1682</v>
      </c>
      <c r="E3876" s="136" t="s">
        <v>86</v>
      </c>
      <c r="F3876" s="136">
        <v>94</v>
      </c>
      <c r="G3876" s="137">
        <f t="shared" si="15"/>
        <v>26</v>
      </c>
      <c r="H3876" s="137"/>
      <c r="I3876" s="137"/>
      <c r="J3876" s="135"/>
      <c r="K3876" s="135"/>
      <c r="L3876" s="135"/>
      <c r="M3876" s="135"/>
      <c r="N3876" s="135"/>
      <c r="O3876" s="135"/>
      <c r="P3876" s="135"/>
      <c r="Q3876" s="135"/>
      <c r="R3876" s="135"/>
      <c r="S3876" s="135"/>
      <c r="T3876" s="135"/>
      <c r="U3876" s="135"/>
      <c r="V3876" s="135"/>
      <c r="W3876" s="135"/>
      <c r="X3876" s="135"/>
      <c r="Y3876" s="135"/>
      <c r="Z3876" s="135"/>
    </row>
    <row r="3877" spans="1:26" ht="25.5">
      <c r="A3877" s="136" t="s">
        <v>11</v>
      </c>
      <c r="B3877" s="136" t="s">
        <v>7932</v>
      </c>
      <c r="C3877" s="136" t="s">
        <v>7939</v>
      </c>
      <c r="D3877" s="136" t="s">
        <v>7933</v>
      </c>
      <c r="E3877" s="136" t="s">
        <v>615</v>
      </c>
      <c r="F3877" s="136">
        <v>65</v>
      </c>
      <c r="G3877" s="137">
        <f t="shared" si="15"/>
        <v>27</v>
      </c>
      <c r="H3877" s="137"/>
      <c r="I3877" s="137"/>
      <c r="J3877" s="135"/>
      <c r="K3877" s="135"/>
      <c r="L3877" s="135"/>
      <c r="M3877" s="135"/>
      <c r="N3877" s="135"/>
      <c r="O3877" s="135"/>
      <c r="P3877" s="135"/>
      <c r="Q3877" s="135"/>
      <c r="R3877" s="135"/>
      <c r="S3877" s="135"/>
      <c r="T3877" s="135"/>
      <c r="U3877" s="135"/>
      <c r="V3877" s="135"/>
      <c r="W3877" s="135"/>
      <c r="X3877" s="135"/>
      <c r="Y3877" s="135"/>
      <c r="Z3877" s="135"/>
    </row>
    <row r="3878" spans="1:26" ht="25.5">
      <c r="A3878" s="136" t="s">
        <v>11</v>
      </c>
      <c r="B3878" s="136" t="s">
        <v>7932</v>
      </c>
      <c r="C3878" s="136" t="s">
        <v>7939</v>
      </c>
      <c r="D3878" s="136" t="s">
        <v>7944</v>
      </c>
      <c r="E3878" s="136" t="s">
        <v>615</v>
      </c>
      <c r="F3878" s="136">
        <v>48</v>
      </c>
      <c r="G3878" s="137">
        <f t="shared" si="15"/>
        <v>28</v>
      </c>
      <c r="H3878" s="137"/>
      <c r="I3878" s="137"/>
      <c r="J3878" s="135"/>
      <c r="K3878" s="135"/>
      <c r="L3878" s="135"/>
      <c r="M3878" s="135"/>
      <c r="N3878" s="135"/>
      <c r="O3878" s="135"/>
      <c r="P3878" s="135"/>
      <c r="Q3878" s="135"/>
      <c r="R3878" s="135"/>
      <c r="S3878" s="135"/>
      <c r="T3878" s="135"/>
      <c r="U3878" s="135"/>
      <c r="V3878" s="135"/>
      <c r="W3878" s="135"/>
      <c r="X3878" s="135"/>
      <c r="Y3878" s="135"/>
      <c r="Z3878" s="135"/>
    </row>
    <row r="3879" spans="1:26" ht="25.5">
      <c r="A3879" s="136" t="s">
        <v>11</v>
      </c>
      <c r="B3879" s="136" t="s">
        <v>7932</v>
      </c>
      <c r="C3879" s="136" t="s">
        <v>7945</v>
      </c>
      <c r="D3879" s="136" t="s">
        <v>1669</v>
      </c>
      <c r="E3879" s="136" t="s">
        <v>615</v>
      </c>
      <c r="F3879" s="136">
        <v>4545</v>
      </c>
      <c r="G3879" s="137">
        <f t="shared" si="15"/>
        <v>1</v>
      </c>
      <c r="H3879" s="137"/>
      <c r="I3879" s="137"/>
      <c r="J3879" s="135"/>
      <c r="K3879" s="135"/>
      <c r="L3879" s="135"/>
      <c r="M3879" s="135"/>
      <c r="N3879" s="135"/>
      <c r="O3879" s="135"/>
      <c r="P3879" s="135"/>
      <c r="Q3879" s="135"/>
      <c r="R3879" s="135"/>
      <c r="S3879" s="135"/>
      <c r="T3879" s="135"/>
      <c r="U3879" s="135"/>
      <c r="V3879" s="135"/>
      <c r="W3879" s="135"/>
      <c r="X3879" s="135"/>
      <c r="Y3879" s="135"/>
      <c r="Z3879" s="135"/>
    </row>
    <row r="3880" spans="1:26" ht="25.5">
      <c r="A3880" s="136" t="s">
        <v>11</v>
      </c>
      <c r="B3880" s="136" t="s">
        <v>7932</v>
      </c>
      <c r="C3880" s="136" t="s">
        <v>7945</v>
      </c>
      <c r="D3880" s="136" t="s">
        <v>139</v>
      </c>
      <c r="E3880" s="136" t="s">
        <v>594</v>
      </c>
      <c r="F3880" s="136">
        <v>3932</v>
      </c>
      <c r="G3880" s="137">
        <f t="shared" si="15"/>
        <v>2</v>
      </c>
      <c r="H3880" s="137"/>
      <c r="I3880" s="137"/>
      <c r="J3880" s="135"/>
      <c r="K3880" s="135"/>
      <c r="L3880" s="135"/>
      <c r="M3880" s="135"/>
      <c r="N3880" s="135"/>
      <c r="O3880" s="135"/>
      <c r="P3880" s="135"/>
      <c r="Q3880" s="135"/>
      <c r="R3880" s="135"/>
      <c r="S3880" s="135"/>
      <c r="T3880" s="135"/>
      <c r="U3880" s="135"/>
      <c r="V3880" s="135"/>
      <c r="W3880" s="135"/>
      <c r="X3880" s="135"/>
      <c r="Y3880" s="135"/>
      <c r="Z3880" s="135"/>
    </row>
    <row r="3881" spans="1:26" ht="25.5">
      <c r="A3881" s="136" t="s">
        <v>11</v>
      </c>
      <c r="B3881" s="136" t="s">
        <v>7932</v>
      </c>
      <c r="C3881" s="136" t="s">
        <v>7945</v>
      </c>
      <c r="D3881" s="136" t="s">
        <v>1626</v>
      </c>
      <c r="E3881" s="136" t="s">
        <v>594</v>
      </c>
      <c r="F3881" s="136">
        <v>1045</v>
      </c>
      <c r="G3881" s="137">
        <f t="shared" si="15"/>
        <v>3</v>
      </c>
      <c r="H3881" s="137"/>
      <c r="I3881" s="137"/>
      <c r="J3881" s="135"/>
      <c r="K3881" s="135"/>
      <c r="L3881" s="135"/>
      <c r="M3881" s="135"/>
      <c r="N3881" s="135"/>
      <c r="O3881" s="135"/>
      <c r="P3881" s="135"/>
      <c r="Q3881" s="135"/>
      <c r="R3881" s="135"/>
      <c r="S3881" s="135"/>
      <c r="T3881" s="135"/>
      <c r="U3881" s="135"/>
      <c r="V3881" s="135"/>
      <c r="W3881" s="135"/>
      <c r="X3881" s="135"/>
      <c r="Y3881" s="135"/>
      <c r="Z3881" s="135"/>
    </row>
    <row r="3882" spans="1:26" ht="25.5">
      <c r="A3882" s="136" t="s">
        <v>11</v>
      </c>
      <c r="B3882" s="136" t="s">
        <v>7932</v>
      </c>
      <c r="C3882" s="136" t="s">
        <v>7945</v>
      </c>
      <c r="D3882" s="136" t="s">
        <v>7946</v>
      </c>
      <c r="E3882" s="136" t="s">
        <v>594</v>
      </c>
      <c r="F3882" s="136">
        <v>793</v>
      </c>
      <c r="G3882" s="137">
        <f t="shared" si="15"/>
        <v>4</v>
      </c>
      <c r="H3882" s="137"/>
      <c r="I3882" s="137"/>
      <c r="J3882" s="135"/>
      <c r="K3882" s="135"/>
      <c r="L3882" s="135"/>
      <c r="M3882" s="135"/>
      <c r="N3882" s="135"/>
      <c r="O3882" s="135"/>
      <c r="P3882" s="135"/>
      <c r="Q3882" s="135"/>
      <c r="R3882" s="135"/>
      <c r="S3882" s="135"/>
      <c r="T3882" s="135"/>
      <c r="U3882" s="135"/>
      <c r="V3882" s="135"/>
      <c r="W3882" s="135"/>
      <c r="X3882" s="135"/>
      <c r="Y3882" s="135"/>
      <c r="Z3882" s="135"/>
    </row>
    <row r="3883" spans="1:26" ht="25.5">
      <c r="A3883" s="136" t="s">
        <v>11</v>
      </c>
      <c r="B3883" s="136" t="s">
        <v>7932</v>
      </c>
      <c r="C3883" s="136" t="s">
        <v>7945</v>
      </c>
      <c r="D3883" s="136" t="s">
        <v>451</v>
      </c>
      <c r="E3883" s="136" t="s">
        <v>594</v>
      </c>
      <c r="F3883" s="136">
        <v>645</v>
      </c>
      <c r="G3883" s="137">
        <f t="shared" si="15"/>
        <v>5</v>
      </c>
      <c r="H3883" s="137"/>
      <c r="I3883" s="137"/>
      <c r="J3883" s="135"/>
      <c r="K3883" s="135"/>
      <c r="L3883" s="135"/>
      <c r="M3883" s="135"/>
      <c r="N3883" s="135"/>
      <c r="O3883" s="135"/>
      <c r="P3883" s="135"/>
      <c r="Q3883" s="135"/>
      <c r="R3883" s="135"/>
      <c r="S3883" s="135"/>
      <c r="T3883" s="135"/>
      <c r="U3883" s="135"/>
      <c r="V3883" s="135"/>
      <c r="W3883" s="135"/>
      <c r="X3883" s="135"/>
      <c r="Y3883" s="135"/>
      <c r="Z3883" s="135"/>
    </row>
    <row r="3884" spans="1:26" ht="25.5">
      <c r="A3884" s="136" t="s">
        <v>11</v>
      </c>
      <c r="B3884" s="136" t="s">
        <v>7932</v>
      </c>
      <c r="C3884" s="136" t="s">
        <v>7945</v>
      </c>
      <c r="D3884" s="136" t="s">
        <v>368</v>
      </c>
      <c r="E3884" s="136" t="s">
        <v>594</v>
      </c>
      <c r="F3884" s="136">
        <v>564</v>
      </c>
      <c r="G3884" s="137">
        <f t="shared" si="15"/>
        <v>6</v>
      </c>
      <c r="H3884" s="137"/>
      <c r="I3884" s="137"/>
      <c r="J3884" s="135"/>
      <c r="K3884" s="135"/>
      <c r="L3884" s="135"/>
      <c r="M3884" s="135"/>
      <c r="N3884" s="135"/>
      <c r="O3884" s="135"/>
      <c r="P3884" s="135"/>
      <c r="Q3884" s="135"/>
      <c r="R3884" s="135"/>
      <c r="S3884" s="135"/>
      <c r="T3884" s="135"/>
      <c r="U3884" s="135"/>
      <c r="V3884" s="135"/>
      <c r="W3884" s="135"/>
      <c r="X3884" s="135"/>
      <c r="Y3884" s="135"/>
      <c r="Z3884" s="135"/>
    </row>
    <row r="3885" spans="1:26" ht="25.5">
      <c r="A3885" s="136" t="s">
        <v>11</v>
      </c>
      <c r="B3885" s="136" t="s">
        <v>7932</v>
      </c>
      <c r="C3885" s="136" t="s">
        <v>7945</v>
      </c>
      <c r="D3885" s="136" t="s">
        <v>7878</v>
      </c>
      <c r="E3885" s="136" t="s">
        <v>85</v>
      </c>
      <c r="F3885" s="136">
        <v>354</v>
      </c>
      <c r="G3885" s="137">
        <f t="shared" si="15"/>
        <v>7</v>
      </c>
      <c r="H3885" s="137"/>
      <c r="I3885" s="137"/>
      <c r="J3885" s="135"/>
      <c r="K3885" s="135"/>
      <c r="L3885" s="135"/>
      <c r="M3885" s="135"/>
      <c r="N3885" s="135"/>
      <c r="O3885" s="135"/>
      <c r="P3885" s="135"/>
      <c r="Q3885" s="135"/>
      <c r="R3885" s="135"/>
      <c r="S3885" s="135"/>
      <c r="T3885" s="135"/>
      <c r="U3885" s="135"/>
      <c r="V3885" s="135"/>
      <c r="W3885" s="135"/>
      <c r="X3885" s="135"/>
      <c r="Y3885" s="135"/>
      <c r="Z3885" s="135"/>
    </row>
    <row r="3886" spans="1:26" ht="25.5">
      <c r="A3886" s="136" t="s">
        <v>11</v>
      </c>
      <c r="B3886" s="136" t="s">
        <v>7932</v>
      </c>
      <c r="C3886" s="136" t="s">
        <v>7945</v>
      </c>
      <c r="D3886" s="136" t="s">
        <v>131</v>
      </c>
      <c r="E3886" s="136" t="s">
        <v>594</v>
      </c>
      <c r="F3886" s="136">
        <v>343</v>
      </c>
      <c r="G3886" s="137">
        <f t="shared" si="15"/>
        <v>8</v>
      </c>
      <c r="H3886" s="137"/>
      <c r="I3886" s="137"/>
      <c r="J3886" s="135"/>
      <c r="K3886" s="135"/>
      <c r="L3886" s="135"/>
      <c r="M3886" s="135"/>
      <c r="N3886" s="135"/>
      <c r="O3886" s="135"/>
      <c r="P3886" s="135"/>
      <c r="Q3886" s="135"/>
      <c r="R3886" s="135"/>
      <c r="S3886" s="135"/>
      <c r="T3886" s="135"/>
      <c r="U3886" s="135"/>
      <c r="V3886" s="135"/>
      <c r="W3886" s="135"/>
      <c r="X3886" s="135"/>
      <c r="Y3886" s="135"/>
      <c r="Z3886" s="135"/>
    </row>
    <row r="3887" spans="1:26" ht="25.5">
      <c r="A3887" s="136" t="s">
        <v>11</v>
      </c>
      <c r="B3887" s="136" t="s">
        <v>7932</v>
      </c>
      <c r="C3887" s="136" t="s">
        <v>7945</v>
      </c>
      <c r="D3887" s="136" t="s">
        <v>1665</v>
      </c>
      <c r="E3887" s="136" t="s">
        <v>615</v>
      </c>
      <c r="F3887" s="136">
        <v>261</v>
      </c>
      <c r="G3887" s="137">
        <f t="shared" si="15"/>
        <v>9</v>
      </c>
      <c r="H3887" s="137"/>
      <c r="I3887" s="137"/>
      <c r="J3887" s="135"/>
      <c r="K3887" s="135"/>
      <c r="L3887" s="135"/>
      <c r="M3887" s="135"/>
      <c r="N3887" s="135"/>
      <c r="O3887" s="135"/>
      <c r="P3887" s="135"/>
      <c r="Q3887" s="135"/>
      <c r="R3887" s="135"/>
      <c r="S3887" s="135"/>
      <c r="T3887" s="135"/>
      <c r="U3887" s="135"/>
      <c r="V3887" s="135"/>
      <c r="W3887" s="135"/>
      <c r="X3887" s="135"/>
      <c r="Y3887" s="135"/>
      <c r="Z3887" s="135"/>
    </row>
    <row r="3888" spans="1:26" ht="25.5">
      <c r="A3888" s="136" t="s">
        <v>11</v>
      </c>
      <c r="B3888" s="136" t="s">
        <v>7932</v>
      </c>
      <c r="C3888" s="136" t="s">
        <v>7945</v>
      </c>
      <c r="D3888" s="136" t="s">
        <v>165</v>
      </c>
      <c r="E3888" s="136" t="s">
        <v>615</v>
      </c>
      <c r="F3888" s="136">
        <v>252</v>
      </c>
      <c r="G3888" s="137">
        <f t="shared" si="15"/>
        <v>10</v>
      </c>
      <c r="H3888" s="137"/>
      <c r="I3888" s="137"/>
      <c r="J3888" s="135"/>
      <c r="K3888" s="135"/>
      <c r="L3888" s="135"/>
      <c r="M3888" s="135"/>
      <c r="N3888" s="135"/>
      <c r="O3888" s="135"/>
      <c r="P3888" s="135"/>
      <c r="Q3888" s="135"/>
      <c r="R3888" s="135"/>
      <c r="S3888" s="135"/>
      <c r="T3888" s="135"/>
      <c r="U3888" s="135"/>
      <c r="V3888" s="135"/>
      <c r="W3888" s="135"/>
      <c r="X3888" s="135"/>
      <c r="Y3888" s="135"/>
      <c r="Z3888" s="135"/>
    </row>
    <row r="3889" spans="1:26" ht="25.5">
      <c r="A3889" s="136" t="s">
        <v>11</v>
      </c>
      <c r="B3889" s="136" t="s">
        <v>7932</v>
      </c>
      <c r="C3889" s="136" t="s">
        <v>7945</v>
      </c>
      <c r="D3889" s="136" t="s">
        <v>437</v>
      </c>
      <c r="E3889" s="136" t="s">
        <v>594</v>
      </c>
      <c r="F3889" s="136">
        <v>242</v>
      </c>
      <c r="G3889" s="137">
        <f t="shared" si="15"/>
        <v>11</v>
      </c>
      <c r="H3889" s="137"/>
      <c r="I3889" s="137"/>
      <c r="J3889" s="135"/>
      <c r="K3889" s="135"/>
      <c r="L3889" s="135"/>
      <c r="M3889" s="135"/>
      <c r="N3889" s="135"/>
      <c r="O3889" s="135"/>
      <c r="P3889" s="135"/>
      <c r="Q3889" s="135"/>
      <c r="R3889" s="135"/>
      <c r="S3889" s="135"/>
      <c r="T3889" s="135"/>
      <c r="U3889" s="135"/>
      <c r="V3889" s="135"/>
      <c r="W3889" s="135"/>
      <c r="X3889" s="135"/>
      <c r="Y3889" s="135"/>
      <c r="Z3889" s="135"/>
    </row>
    <row r="3890" spans="1:26" ht="25.5">
      <c r="A3890" s="136" t="s">
        <v>11</v>
      </c>
      <c r="B3890" s="136" t="s">
        <v>7932</v>
      </c>
      <c r="C3890" s="136" t="s">
        <v>7945</v>
      </c>
      <c r="D3890" s="136" t="s">
        <v>103</v>
      </c>
      <c r="E3890" s="136" t="s">
        <v>594</v>
      </c>
      <c r="F3890" s="136">
        <v>234</v>
      </c>
      <c r="G3890" s="137">
        <f t="shared" si="15"/>
        <v>12</v>
      </c>
      <c r="H3890" s="137"/>
      <c r="I3890" s="137"/>
      <c r="J3890" s="135"/>
      <c r="K3890" s="135"/>
      <c r="L3890" s="135"/>
      <c r="M3890" s="135"/>
      <c r="N3890" s="135"/>
      <c r="O3890" s="135"/>
      <c r="P3890" s="135"/>
      <c r="Q3890" s="135"/>
      <c r="R3890" s="135"/>
      <c r="S3890" s="135"/>
      <c r="T3890" s="135"/>
      <c r="U3890" s="135"/>
      <c r="V3890" s="135"/>
      <c r="W3890" s="135"/>
      <c r="X3890" s="135"/>
      <c r="Y3890" s="135"/>
      <c r="Z3890" s="135"/>
    </row>
    <row r="3891" spans="1:26" ht="25.5">
      <c r="A3891" s="136" t="s">
        <v>11</v>
      </c>
      <c r="B3891" s="136" t="s">
        <v>7932</v>
      </c>
      <c r="C3891" s="136" t="s">
        <v>7945</v>
      </c>
      <c r="D3891" s="136" t="s">
        <v>1680</v>
      </c>
      <c r="E3891" s="136" t="s">
        <v>615</v>
      </c>
      <c r="F3891" s="136">
        <v>151</v>
      </c>
      <c r="G3891" s="137">
        <f t="shared" si="15"/>
        <v>13</v>
      </c>
      <c r="H3891" s="137"/>
      <c r="I3891" s="137"/>
      <c r="J3891" s="135"/>
      <c r="K3891" s="135"/>
      <c r="L3891" s="135"/>
      <c r="M3891" s="135"/>
      <c r="N3891" s="135"/>
      <c r="O3891" s="135"/>
      <c r="P3891" s="135"/>
      <c r="Q3891" s="135"/>
      <c r="R3891" s="135"/>
      <c r="S3891" s="135"/>
      <c r="T3891" s="135"/>
      <c r="U3891" s="135"/>
      <c r="V3891" s="135"/>
      <c r="W3891" s="135"/>
      <c r="X3891" s="135"/>
      <c r="Y3891" s="135"/>
      <c r="Z3891" s="135"/>
    </row>
    <row r="3892" spans="1:26" ht="25.5">
      <c r="A3892" s="136" t="s">
        <v>11</v>
      </c>
      <c r="B3892" s="136" t="s">
        <v>7932</v>
      </c>
      <c r="C3892" s="136" t="s">
        <v>7945</v>
      </c>
      <c r="D3892" s="136" t="s">
        <v>1659</v>
      </c>
      <c r="E3892" s="136" t="s">
        <v>615</v>
      </c>
      <c r="F3892" s="136">
        <v>145</v>
      </c>
      <c r="G3892" s="137">
        <f t="shared" si="15"/>
        <v>14</v>
      </c>
      <c r="H3892" s="137"/>
      <c r="I3892" s="137"/>
      <c r="J3892" s="135"/>
      <c r="K3892" s="135"/>
      <c r="L3892" s="135"/>
      <c r="M3892" s="135"/>
      <c r="N3892" s="135"/>
      <c r="O3892" s="135"/>
      <c r="P3892" s="135"/>
      <c r="Q3892" s="135"/>
      <c r="R3892" s="135"/>
      <c r="S3892" s="135"/>
      <c r="T3892" s="135"/>
      <c r="U3892" s="135"/>
      <c r="V3892" s="135"/>
      <c r="W3892" s="135"/>
      <c r="X3892" s="135"/>
      <c r="Y3892" s="135"/>
      <c r="Z3892" s="135"/>
    </row>
    <row r="3893" spans="1:26" ht="25.5">
      <c r="A3893" s="136" t="s">
        <v>11</v>
      </c>
      <c r="B3893" s="136" t="s">
        <v>7932</v>
      </c>
      <c r="C3893" s="136" t="s">
        <v>7945</v>
      </c>
      <c r="D3893" s="136" t="s">
        <v>136</v>
      </c>
      <c r="E3893" s="136" t="s">
        <v>615</v>
      </c>
      <c r="F3893" s="136">
        <v>118</v>
      </c>
      <c r="G3893" s="137">
        <f t="shared" si="15"/>
        <v>15</v>
      </c>
      <c r="H3893" s="137"/>
      <c r="I3893" s="137"/>
      <c r="J3893" s="135"/>
      <c r="K3893" s="135"/>
      <c r="L3893" s="135"/>
      <c r="M3893" s="135"/>
      <c r="N3893" s="135"/>
      <c r="O3893" s="135"/>
      <c r="P3893" s="135"/>
      <c r="Q3893" s="135"/>
      <c r="R3893" s="135"/>
      <c r="S3893" s="135"/>
      <c r="T3893" s="135"/>
      <c r="U3893" s="135"/>
      <c r="V3893" s="135"/>
      <c r="W3893" s="135"/>
      <c r="X3893" s="135"/>
      <c r="Y3893" s="135"/>
      <c r="Z3893" s="135"/>
    </row>
    <row r="3894" spans="1:26" ht="25.5">
      <c r="A3894" s="136" t="s">
        <v>11</v>
      </c>
      <c r="B3894" s="136" t="s">
        <v>7932</v>
      </c>
      <c r="C3894" s="136" t="s">
        <v>7945</v>
      </c>
      <c r="D3894" s="136" t="s">
        <v>7933</v>
      </c>
      <c r="E3894" s="136" t="s">
        <v>615</v>
      </c>
      <c r="F3894" s="136">
        <v>80</v>
      </c>
      <c r="G3894" s="137">
        <f t="shared" si="15"/>
        <v>16</v>
      </c>
      <c r="H3894" s="137"/>
      <c r="I3894" s="137"/>
      <c r="J3894" s="135"/>
      <c r="K3894" s="135"/>
      <c r="L3894" s="135"/>
      <c r="M3894" s="135"/>
      <c r="N3894" s="135"/>
      <c r="O3894" s="135"/>
      <c r="P3894" s="135"/>
      <c r="Q3894" s="135"/>
      <c r="R3894" s="135"/>
      <c r="S3894" s="135"/>
      <c r="T3894" s="135"/>
      <c r="U3894" s="135"/>
      <c r="V3894" s="135"/>
      <c r="W3894" s="135"/>
      <c r="X3894" s="135"/>
      <c r="Y3894" s="135"/>
      <c r="Z3894" s="135"/>
    </row>
    <row r="3895" spans="1:26" ht="25.5">
      <c r="A3895" s="136" t="s">
        <v>11</v>
      </c>
      <c r="B3895" s="136" t="s">
        <v>7932</v>
      </c>
      <c r="C3895" s="136" t="s">
        <v>7945</v>
      </c>
      <c r="D3895" s="136" t="s">
        <v>1656</v>
      </c>
      <c r="E3895" s="136" t="s">
        <v>594</v>
      </c>
      <c r="F3895" s="136">
        <v>78</v>
      </c>
      <c r="G3895" s="137">
        <f t="shared" si="15"/>
        <v>17</v>
      </c>
      <c r="H3895" s="137"/>
      <c r="I3895" s="137"/>
      <c r="J3895" s="135"/>
      <c r="K3895" s="135"/>
      <c r="L3895" s="135"/>
      <c r="M3895" s="135"/>
      <c r="N3895" s="135"/>
      <c r="O3895" s="135"/>
      <c r="P3895" s="135"/>
      <c r="Q3895" s="135"/>
      <c r="R3895" s="135"/>
      <c r="S3895" s="135"/>
      <c r="T3895" s="135"/>
      <c r="U3895" s="135"/>
      <c r="V3895" s="135"/>
      <c r="W3895" s="135"/>
      <c r="X3895" s="135"/>
      <c r="Y3895" s="135"/>
      <c r="Z3895" s="135"/>
    </row>
    <row r="3896" spans="1:26" ht="25.5">
      <c r="A3896" s="136" t="s">
        <v>11</v>
      </c>
      <c r="B3896" s="136" t="s">
        <v>7932</v>
      </c>
      <c r="C3896" s="136" t="s">
        <v>7945</v>
      </c>
      <c r="D3896" s="136" t="s">
        <v>1662</v>
      </c>
      <c r="E3896" s="136" t="s">
        <v>594</v>
      </c>
      <c r="F3896" s="136">
        <v>73</v>
      </c>
      <c r="G3896" s="137">
        <f t="shared" si="15"/>
        <v>18</v>
      </c>
      <c r="H3896" s="137"/>
      <c r="I3896" s="137"/>
      <c r="J3896" s="135"/>
      <c r="K3896" s="135"/>
      <c r="L3896" s="135"/>
      <c r="M3896" s="135"/>
      <c r="N3896" s="135"/>
      <c r="O3896" s="135"/>
      <c r="P3896" s="135"/>
      <c r="Q3896" s="135"/>
      <c r="R3896" s="135"/>
      <c r="S3896" s="135"/>
      <c r="T3896" s="135"/>
      <c r="U3896" s="135"/>
      <c r="V3896" s="135"/>
      <c r="W3896" s="135"/>
      <c r="X3896" s="135"/>
      <c r="Y3896" s="135"/>
      <c r="Z3896" s="135"/>
    </row>
    <row r="3897" spans="1:26" ht="25.5">
      <c r="A3897" s="136" t="s">
        <v>11</v>
      </c>
      <c r="B3897" s="136" t="s">
        <v>7932</v>
      </c>
      <c r="C3897" s="136" t="s">
        <v>7945</v>
      </c>
      <c r="D3897" s="136" t="s">
        <v>1673</v>
      </c>
      <c r="E3897" s="136" t="s">
        <v>615</v>
      </c>
      <c r="F3897" s="136">
        <v>69</v>
      </c>
      <c r="G3897" s="137">
        <f t="shared" si="15"/>
        <v>19</v>
      </c>
      <c r="H3897" s="137"/>
      <c r="I3897" s="137"/>
      <c r="J3897" s="135"/>
      <c r="K3897" s="135"/>
      <c r="L3897" s="135"/>
      <c r="M3897" s="135"/>
      <c r="N3897" s="135"/>
      <c r="O3897" s="135"/>
      <c r="P3897" s="135"/>
      <c r="Q3897" s="135"/>
      <c r="R3897" s="135"/>
      <c r="S3897" s="135"/>
      <c r="T3897" s="135"/>
      <c r="U3897" s="135"/>
      <c r="V3897" s="135"/>
      <c r="W3897" s="135"/>
      <c r="X3897" s="135"/>
      <c r="Y3897" s="135"/>
      <c r="Z3897" s="135"/>
    </row>
    <row r="3898" spans="1:26" ht="25.5">
      <c r="A3898" s="136" t="s">
        <v>11</v>
      </c>
      <c r="B3898" s="136" t="s">
        <v>7932</v>
      </c>
      <c r="C3898" s="136" t="s">
        <v>7945</v>
      </c>
      <c r="D3898" s="136" t="s">
        <v>1638</v>
      </c>
      <c r="E3898" s="136" t="s">
        <v>594</v>
      </c>
      <c r="F3898" s="136">
        <v>60</v>
      </c>
      <c r="G3898" s="137">
        <f t="shared" si="15"/>
        <v>20</v>
      </c>
      <c r="H3898" s="137"/>
      <c r="I3898" s="137"/>
      <c r="J3898" s="135"/>
      <c r="K3898" s="135"/>
      <c r="L3898" s="135"/>
      <c r="M3898" s="135"/>
      <c r="N3898" s="135"/>
      <c r="O3898" s="135"/>
      <c r="P3898" s="135"/>
      <c r="Q3898" s="135"/>
      <c r="R3898" s="135"/>
      <c r="S3898" s="135"/>
      <c r="T3898" s="135"/>
      <c r="U3898" s="135"/>
      <c r="V3898" s="135"/>
      <c r="W3898" s="135"/>
      <c r="X3898" s="135"/>
      <c r="Y3898" s="135"/>
      <c r="Z3898" s="135"/>
    </row>
    <row r="3899" spans="1:26" ht="25.5">
      <c r="A3899" s="136" t="s">
        <v>11</v>
      </c>
      <c r="B3899" s="136" t="s">
        <v>7932</v>
      </c>
      <c r="C3899" s="136" t="s">
        <v>7945</v>
      </c>
      <c r="D3899" s="136" t="s">
        <v>1639</v>
      </c>
      <c r="E3899" s="136" t="s">
        <v>615</v>
      </c>
      <c r="F3899" s="136">
        <v>49</v>
      </c>
      <c r="G3899" s="137">
        <f t="shared" si="15"/>
        <v>21</v>
      </c>
      <c r="H3899" s="137"/>
      <c r="I3899" s="137"/>
      <c r="J3899" s="135"/>
      <c r="K3899" s="135"/>
      <c r="L3899" s="135"/>
      <c r="M3899" s="135"/>
      <c r="N3899" s="135"/>
      <c r="O3899" s="135"/>
      <c r="P3899" s="135"/>
      <c r="Q3899" s="135"/>
      <c r="R3899" s="135"/>
      <c r="S3899" s="135"/>
      <c r="T3899" s="135"/>
      <c r="U3899" s="135"/>
      <c r="V3899" s="135"/>
      <c r="W3899" s="135"/>
      <c r="X3899" s="135"/>
      <c r="Y3899" s="135"/>
      <c r="Z3899" s="135"/>
    </row>
    <row r="3900" spans="1:26" ht="25.5">
      <c r="A3900" s="136" t="s">
        <v>11</v>
      </c>
      <c r="B3900" s="136" t="s">
        <v>7932</v>
      </c>
      <c r="C3900" s="136" t="s">
        <v>7945</v>
      </c>
      <c r="D3900" s="136" t="s">
        <v>7934</v>
      </c>
      <c r="E3900" s="136" t="s">
        <v>615</v>
      </c>
      <c r="F3900" s="136">
        <v>45</v>
      </c>
      <c r="G3900" s="137">
        <f t="shared" si="15"/>
        <v>22</v>
      </c>
      <c r="H3900" s="137"/>
      <c r="I3900" s="137"/>
      <c r="J3900" s="135"/>
      <c r="K3900" s="135"/>
      <c r="L3900" s="135"/>
      <c r="M3900" s="135"/>
      <c r="N3900" s="135"/>
      <c r="O3900" s="135"/>
      <c r="P3900" s="135"/>
      <c r="Q3900" s="135"/>
      <c r="R3900" s="135"/>
      <c r="S3900" s="135"/>
      <c r="T3900" s="135"/>
      <c r="U3900" s="135"/>
      <c r="V3900" s="135"/>
      <c r="W3900" s="135"/>
      <c r="X3900" s="135"/>
      <c r="Y3900" s="135"/>
      <c r="Z3900" s="135"/>
    </row>
    <row r="3901" spans="1:26" ht="25.5">
      <c r="A3901" s="136" t="s">
        <v>11</v>
      </c>
      <c r="B3901" s="136" t="s">
        <v>7932</v>
      </c>
      <c r="C3901" s="136" t="s">
        <v>7945</v>
      </c>
      <c r="D3901" s="136" t="s">
        <v>7767</v>
      </c>
      <c r="E3901" s="136" t="s">
        <v>594</v>
      </c>
      <c r="F3901" s="136">
        <v>40</v>
      </c>
      <c r="G3901" s="137">
        <f t="shared" si="15"/>
        <v>23</v>
      </c>
      <c r="H3901" s="137"/>
      <c r="I3901" s="137"/>
      <c r="J3901" s="135"/>
      <c r="K3901" s="135"/>
      <c r="L3901" s="135"/>
      <c r="M3901" s="135"/>
      <c r="N3901" s="135"/>
      <c r="O3901" s="135"/>
      <c r="P3901" s="135"/>
      <c r="Q3901" s="135"/>
      <c r="R3901" s="135"/>
      <c r="S3901" s="135"/>
      <c r="T3901" s="135"/>
      <c r="U3901" s="135"/>
      <c r="V3901" s="135"/>
      <c r="W3901" s="135"/>
      <c r="X3901" s="135"/>
      <c r="Y3901" s="135"/>
      <c r="Z3901" s="135"/>
    </row>
    <row r="3902" spans="1:26" ht="25.5">
      <c r="A3902" s="136" t="s">
        <v>11</v>
      </c>
      <c r="B3902" s="136" t="s">
        <v>7932</v>
      </c>
      <c r="C3902" s="136" t="s">
        <v>7945</v>
      </c>
      <c r="D3902" s="136" t="s">
        <v>7947</v>
      </c>
      <c r="E3902" s="136" t="s">
        <v>85</v>
      </c>
      <c r="F3902" s="136">
        <v>35</v>
      </c>
      <c r="G3902" s="137">
        <f t="shared" si="15"/>
        <v>24</v>
      </c>
      <c r="H3902" s="137"/>
      <c r="I3902" s="137"/>
      <c r="J3902" s="135"/>
      <c r="K3902" s="135"/>
      <c r="L3902" s="135"/>
      <c r="M3902" s="135"/>
      <c r="N3902" s="135"/>
      <c r="O3902" s="135"/>
      <c r="P3902" s="135"/>
      <c r="Q3902" s="135"/>
      <c r="R3902" s="135"/>
      <c r="S3902" s="135"/>
      <c r="T3902" s="135"/>
      <c r="U3902" s="135"/>
      <c r="V3902" s="135"/>
      <c r="W3902" s="135"/>
      <c r="X3902" s="135"/>
      <c r="Y3902" s="135"/>
      <c r="Z3902" s="135"/>
    </row>
    <row r="3903" spans="1:26" ht="25.5">
      <c r="A3903" s="136" t="s">
        <v>11</v>
      </c>
      <c r="B3903" s="136" t="s">
        <v>7932</v>
      </c>
      <c r="C3903" s="136" t="s">
        <v>7945</v>
      </c>
      <c r="D3903" s="136" t="s">
        <v>1682</v>
      </c>
      <c r="E3903" s="136" t="s">
        <v>86</v>
      </c>
      <c r="F3903" s="136">
        <v>14</v>
      </c>
      <c r="G3903" s="137">
        <f t="shared" si="15"/>
        <v>25</v>
      </c>
      <c r="H3903" s="137"/>
      <c r="I3903" s="137"/>
      <c r="J3903" s="135"/>
      <c r="K3903" s="135"/>
      <c r="L3903" s="135"/>
      <c r="M3903" s="135"/>
      <c r="N3903" s="135"/>
      <c r="O3903" s="135"/>
      <c r="P3903" s="135"/>
      <c r="Q3903" s="135"/>
      <c r="R3903" s="135"/>
      <c r="S3903" s="135"/>
      <c r="T3903" s="135"/>
      <c r="U3903" s="135"/>
      <c r="V3903" s="135"/>
      <c r="W3903" s="135"/>
      <c r="X3903" s="135"/>
      <c r="Y3903" s="135"/>
      <c r="Z3903" s="135"/>
    </row>
    <row r="3904" spans="1:26" ht="25.5">
      <c r="A3904" s="136" t="s">
        <v>11</v>
      </c>
      <c r="B3904" s="136" t="s">
        <v>7932</v>
      </c>
      <c r="C3904" s="136" t="s">
        <v>295</v>
      </c>
      <c r="D3904" s="136" t="s">
        <v>7940</v>
      </c>
      <c r="E3904" s="136" t="s">
        <v>615</v>
      </c>
      <c r="F3904" s="136">
        <v>3125</v>
      </c>
      <c r="G3904" s="137">
        <f t="shared" si="15"/>
        <v>1</v>
      </c>
      <c r="H3904" s="137"/>
      <c r="I3904" s="137"/>
      <c r="J3904" s="135"/>
      <c r="K3904" s="135"/>
      <c r="L3904" s="135"/>
      <c r="M3904" s="135"/>
      <c r="N3904" s="135"/>
      <c r="O3904" s="135"/>
      <c r="P3904" s="135"/>
      <c r="Q3904" s="135"/>
      <c r="R3904" s="135"/>
      <c r="S3904" s="135"/>
      <c r="T3904" s="135"/>
      <c r="U3904" s="135"/>
      <c r="V3904" s="135"/>
      <c r="W3904" s="135"/>
      <c r="X3904" s="135"/>
      <c r="Y3904" s="135"/>
      <c r="Z3904" s="135"/>
    </row>
    <row r="3905" spans="1:26" ht="25.5">
      <c r="A3905" s="136" t="s">
        <v>11</v>
      </c>
      <c r="B3905" s="136" t="s">
        <v>7932</v>
      </c>
      <c r="C3905" s="136" t="s">
        <v>295</v>
      </c>
      <c r="D3905" s="136" t="s">
        <v>139</v>
      </c>
      <c r="E3905" s="136" t="s">
        <v>594</v>
      </c>
      <c r="F3905" s="136">
        <v>2546</v>
      </c>
      <c r="G3905" s="137">
        <f t="shared" si="15"/>
        <v>2</v>
      </c>
      <c r="H3905" s="137"/>
      <c r="I3905" s="137"/>
      <c r="J3905" s="135"/>
      <c r="K3905" s="135"/>
      <c r="L3905" s="135"/>
      <c r="M3905" s="135"/>
      <c r="N3905" s="135"/>
      <c r="O3905" s="135"/>
      <c r="P3905" s="135"/>
      <c r="Q3905" s="135"/>
      <c r="R3905" s="135"/>
      <c r="S3905" s="135"/>
      <c r="T3905" s="135"/>
      <c r="U3905" s="135"/>
      <c r="V3905" s="135"/>
      <c r="W3905" s="135"/>
      <c r="X3905" s="135"/>
      <c r="Y3905" s="135"/>
      <c r="Z3905" s="135"/>
    </row>
    <row r="3906" spans="1:26" ht="25.5">
      <c r="A3906" s="136" t="s">
        <v>11</v>
      </c>
      <c r="B3906" s="136" t="s">
        <v>7932</v>
      </c>
      <c r="C3906" s="136" t="s">
        <v>295</v>
      </c>
      <c r="D3906" s="136" t="s">
        <v>7878</v>
      </c>
      <c r="E3906" s="136" t="s">
        <v>85</v>
      </c>
      <c r="F3906" s="136">
        <v>1154</v>
      </c>
      <c r="G3906" s="137">
        <f t="shared" si="15"/>
        <v>3</v>
      </c>
      <c r="H3906" s="137"/>
      <c r="I3906" s="137"/>
      <c r="J3906" s="135"/>
      <c r="K3906" s="135"/>
      <c r="L3906" s="135"/>
      <c r="M3906" s="135"/>
      <c r="N3906" s="135"/>
      <c r="O3906" s="135"/>
      <c r="P3906" s="135"/>
      <c r="Q3906" s="135"/>
      <c r="R3906" s="135"/>
      <c r="S3906" s="135"/>
      <c r="T3906" s="135"/>
      <c r="U3906" s="135"/>
      <c r="V3906" s="135"/>
      <c r="W3906" s="135"/>
      <c r="X3906" s="135"/>
      <c r="Y3906" s="135"/>
      <c r="Z3906" s="135"/>
    </row>
    <row r="3907" spans="1:26" ht="25.5">
      <c r="A3907" s="136" t="s">
        <v>11</v>
      </c>
      <c r="B3907" s="136" t="s">
        <v>7932</v>
      </c>
      <c r="C3907" s="136" t="s">
        <v>295</v>
      </c>
      <c r="D3907" s="136" t="s">
        <v>165</v>
      </c>
      <c r="E3907" s="136" t="s">
        <v>615</v>
      </c>
      <c r="F3907" s="136">
        <v>697</v>
      </c>
      <c r="G3907" s="137">
        <f t="shared" si="15"/>
        <v>4</v>
      </c>
      <c r="H3907" s="137"/>
      <c r="I3907" s="137"/>
      <c r="J3907" s="135"/>
      <c r="K3907" s="135"/>
      <c r="L3907" s="135"/>
      <c r="M3907" s="135"/>
      <c r="N3907" s="135"/>
      <c r="O3907" s="135"/>
      <c r="P3907" s="135"/>
      <c r="Q3907" s="135"/>
      <c r="R3907" s="135"/>
      <c r="S3907" s="135"/>
      <c r="T3907" s="135"/>
      <c r="U3907" s="135"/>
      <c r="V3907" s="135"/>
      <c r="W3907" s="135"/>
      <c r="X3907" s="135"/>
      <c r="Y3907" s="135"/>
      <c r="Z3907" s="135"/>
    </row>
    <row r="3908" spans="1:26" ht="25.5">
      <c r="A3908" s="136" t="s">
        <v>11</v>
      </c>
      <c r="B3908" s="136" t="s">
        <v>7932</v>
      </c>
      <c r="C3908" s="136" t="s">
        <v>295</v>
      </c>
      <c r="D3908" s="136" t="s">
        <v>288</v>
      </c>
      <c r="E3908" s="136" t="s">
        <v>615</v>
      </c>
      <c r="F3908" s="136">
        <v>553</v>
      </c>
      <c r="G3908" s="137">
        <f t="shared" si="15"/>
        <v>5</v>
      </c>
      <c r="H3908" s="137"/>
      <c r="I3908" s="137"/>
      <c r="J3908" s="135"/>
      <c r="K3908" s="135"/>
      <c r="L3908" s="135"/>
      <c r="M3908" s="135"/>
      <c r="N3908" s="135"/>
      <c r="O3908" s="135"/>
      <c r="P3908" s="135"/>
      <c r="Q3908" s="135"/>
      <c r="R3908" s="135"/>
      <c r="S3908" s="135"/>
      <c r="T3908" s="135"/>
      <c r="U3908" s="135"/>
      <c r="V3908" s="135"/>
      <c r="W3908" s="135"/>
      <c r="X3908" s="135"/>
      <c r="Y3908" s="135"/>
      <c r="Z3908" s="135"/>
    </row>
    <row r="3909" spans="1:26" ht="25.5">
      <c r="A3909" s="136" t="s">
        <v>11</v>
      </c>
      <c r="B3909" s="136" t="s">
        <v>7932</v>
      </c>
      <c r="C3909" s="136" t="s">
        <v>295</v>
      </c>
      <c r="D3909" s="136" t="s">
        <v>1626</v>
      </c>
      <c r="E3909" s="136" t="s">
        <v>594</v>
      </c>
      <c r="F3909" s="136">
        <v>479</v>
      </c>
      <c r="G3909" s="137">
        <f t="shared" si="15"/>
        <v>6</v>
      </c>
      <c r="H3909" s="137"/>
      <c r="I3909" s="137"/>
      <c r="J3909" s="135"/>
      <c r="K3909" s="135"/>
      <c r="L3909" s="135"/>
      <c r="M3909" s="135"/>
      <c r="N3909" s="135"/>
      <c r="O3909" s="135"/>
      <c r="P3909" s="135"/>
      <c r="Q3909" s="135"/>
      <c r="R3909" s="135"/>
      <c r="S3909" s="135"/>
      <c r="T3909" s="135"/>
      <c r="U3909" s="135"/>
      <c r="V3909" s="135"/>
      <c r="W3909" s="135"/>
      <c r="X3909" s="135"/>
      <c r="Y3909" s="135"/>
      <c r="Z3909" s="135"/>
    </row>
    <row r="3910" spans="1:26" ht="25.5">
      <c r="A3910" s="136" t="s">
        <v>11</v>
      </c>
      <c r="B3910" s="136" t="s">
        <v>7932</v>
      </c>
      <c r="C3910" s="136" t="s">
        <v>295</v>
      </c>
      <c r="D3910" s="136" t="s">
        <v>131</v>
      </c>
      <c r="E3910" s="136" t="s">
        <v>594</v>
      </c>
      <c r="F3910" s="136">
        <v>429</v>
      </c>
      <c r="G3910" s="137">
        <f t="shared" si="15"/>
        <v>7</v>
      </c>
      <c r="H3910" s="137"/>
      <c r="I3910" s="137"/>
      <c r="J3910" s="135"/>
      <c r="K3910" s="135"/>
      <c r="L3910" s="135"/>
      <c r="M3910" s="135"/>
      <c r="N3910" s="135"/>
      <c r="O3910" s="135"/>
      <c r="P3910" s="135"/>
      <c r="Q3910" s="135"/>
      <c r="R3910" s="135"/>
      <c r="S3910" s="135"/>
      <c r="T3910" s="135"/>
      <c r="U3910" s="135"/>
      <c r="V3910" s="135"/>
      <c r="W3910" s="135"/>
      <c r="X3910" s="135"/>
      <c r="Y3910" s="135"/>
      <c r="Z3910" s="135"/>
    </row>
    <row r="3911" spans="1:26" ht="25.5">
      <c r="A3911" s="136" t="s">
        <v>11</v>
      </c>
      <c r="B3911" s="136" t="s">
        <v>7932</v>
      </c>
      <c r="C3911" s="136" t="s">
        <v>295</v>
      </c>
      <c r="D3911" s="136" t="s">
        <v>1669</v>
      </c>
      <c r="E3911" s="136" t="s">
        <v>615</v>
      </c>
      <c r="F3911" s="136">
        <v>377</v>
      </c>
      <c r="G3911" s="137">
        <f t="shared" si="15"/>
        <v>8</v>
      </c>
      <c r="H3911" s="137"/>
      <c r="I3911" s="137"/>
      <c r="J3911" s="135"/>
      <c r="K3911" s="135"/>
      <c r="L3911" s="135"/>
      <c r="M3911" s="135"/>
      <c r="N3911" s="135"/>
      <c r="O3911" s="135"/>
      <c r="P3911" s="135"/>
      <c r="Q3911" s="135"/>
      <c r="R3911" s="135"/>
      <c r="S3911" s="135"/>
      <c r="T3911" s="135"/>
      <c r="U3911" s="135"/>
      <c r="V3911" s="135"/>
      <c r="W3911" s="135"/>
      <c r="X3911" s="135"/>
      <c r="Y3911" s="135"/>
      <c r="Z3911" s="135"/>
    </row>
    <row r="3912" spans="1:26" ht="25.5">
      <c r="A3912" s="136" t="s">
        <v>11</v>
      </c>
      <c r="B3912" s="136" t="s">
        <v>7932</v>
      </c>
      <c r="C3912" s="136" t="s">
        <v>295</v>
      </c>
      <c r="D3912" s="136" t="s">
        <v>368</v>
      </c>
      <c r="E3912" s="136" t="s">
        <v>594</v>
      </c>
      <c r="F3912" s="136">
        <v>364</v>
      </c>
      <c r="G3912" s="137">
        <f t="shared" si="15"/>
        <v>9</v>
      </c>
      <c r="H3912" s="137"/>
      <c r="I3912" s="137"/>
      <c r="J3912" s="135"/>
      <c r="K3912" s="135"/>
      <c r="L3912" s="135"/>
      <c r="M3912" s="135"/>
      <c r="N3912" s="135"/>
      <c r="O3912" s="135"/>
      <c r="P3912" s="135"/>
      <c r="Q3912" s="135"/>
      <c r="R3912" s="135"/>
      <c r="S3912" s="135"/>
      <c r="T3912" s="135"/>
      <c r="U3912" s="135"/>
      <c r="V3912" s="135"/>
      <c r="W3912" s="135"/>
      <c r="X3912" s="135"/>
      <c r="Y3912" s="135"/>
      <c r="Z3912" s="135"/>
    </row>
    <row r="3913" spans="1:26" ht="25.5">
      <c r="A3913" s="136" t="s">
        <v>11</v>
      </c>
      <c r="B3913" s="136" t="s">
        <v>7932</v>
      </c>
      <c r="C3913" s="136" t="s">
        <v>295</v>
      </c>
      <c r="D3913" s="136" t="s">
        <v>437</v>
      </c>
      <c r="E3913" s="136" t="s">
        <v>594</v>
      </c>
      <c r="F3913" s="136">
        <v>245</v>
      </c>
      <c r="G3913" s="137">
        <f t="shared" si="15"/>
        <v>10</v>
      </c>
      <c r="H3913" s="137"/>
      <c r="I3913" s="137"/>
      <c r="J3913" s="135"/>
      <c r="K3913" s="135"/>
      <c r="L3913" s="135"/>
      <c r="M3913" s="135"/>
      <c r="N3913" s="135"/>
      <c r="O3913" s="135"/>
      <c r="P3913" s="135"/>
      <c r="Q3913" s="135"/>
      <c r="R3913" s="135"/>
      <c r="S3913" s="135"/>
      <c r="T3913" s="135"/>
      <c r="U3913" s="135"/>
      <c r="V3913" s="135"/>
      <c r="W3913" s="135"/>
      <c r="X3913" s="135"/>
      <c r="Y3913" s="135"/>
      <c r="Z3913" s="135"/>
    </row>
    <row r="3914" spans="1:26" ht="25.5">
      <c r="A3914" s="136" t="s">
        <v>11</v>
      </c>
      <c r="B3914" s="136" t="s">
        <v>7932</v>
      </c>
      <c r="C3914" s="136" t="s">
        <v>295</v>
      </c>
      <c r="D3914" s="136" t="s">
        <v>7657</v>
      </c>
      <c r="E3914" s="136" t="s">
        <v>85</v>
      </c>
      <c r="F3914" s="136">
        <v>239</v>
      </c>
      <c r="G3914" s="137">
        <f t="shared" si="15"/>
        <v>11</v>
      </c>
      <c r="H3914" s="137"/>
      <c r="I3914" s="137"/>
      <c r="J3914" s="135"/>
      <c r="K3914" s="135"/>
      <c r="L3914" s="135"/>
      <c r="M3914" s="135"/>
      <c r="N3914" s="135"/>
      <c r="O3914" s="135"/>
      <c r="P3914" s="135"/>
      <c r="Q3914" s="135"/>
      <c r="R3914" s="135"/>
      <c r="S3914" s="135"/>
      <c r="T3914" s="135"/>
      <c r="U3914" s="135"/>
      <c r="V3914" s="135"/>
      <c r="W3914" s="135"/>
      <c r="X3914" s="135"/>
      <c r="Y3914" s="135"/>
      <c r="Z3914" s="135"/>
    </row>
    <row r="3915" spans="1:26" ht="25.5">
      <c r="A3915" s="136" t="s">
        <v>11</v>
      </c>
      <c r="B3915" s="136" t="s">
        <v>7932</v>
      </c>
      <c r="C3915" s="136" t="s">
        <v>295</v>
      </c>
      <c r="D3915" s="136" t="s">
        <v>103</v>
      </c>
      <c r="E3915" s="136" t="s">
        <v>594</v>
      </c>
      <c r="F3915" s="136">
        <v>214</v>
      </c>
      <c r="G3915" s="137">
        <f t="shared" si="15"/>
        <v>12</v>
      </c>
      <c r="H3915" s="137"/>
      <c r="I3915" s="137"/>
      <c r="J3915" s="135"/>
      <c r="K3915" s="135"/>
      <c r="L3915" s="135"/>
      <c r="M3915" s="135"/>
      <c r="N3915" s="135"/>
      <c r="O3915" s="135"/>
      <c r="P3915" s="135"/>
      <c r="Q3915" s="135"/>
      <c r="R3915" s="135"/>
      <c r="S3915" s="135"/>
      <c r="T3915" s="135"/>
      <c r="U3915" s="135"/>
      <c r="V3915" s="135"/>
      <c r="W3915" s="135"/>
      <c r="X3915" s="135"/>
      <c r="Y3915" s="135"/>
      <c r="Z3915" s="135"/>
    </row>
    <row r="3916" spans="1:26" ht="25.5">
      <c r="A3916" s="136" t="s">
        <v>11</v>
      </c>
      <c r="B3916" s="136" t="s">
        <v>7932</v>
      </c>
      <c r="C3916" s="136" t="s">
        <v>295</v>
      </c>
      <c r="D3916" s="136" t="s">
        <v>1680</v>
      </c>
      <c r="E3916" s="136" t="s">
        <v>615</v>
      </c>
      <c r="F3916" s="136">
        <v>119</v>
      </c>
      <c r="G3916" s="137">
        <f t="shared" si="15"/>
        <v>13</v>
      </c>
      <c r="H3916" s="137"/>
      <c r="I3916" s="137"/>
      <c r="J3916" s="135"/>
      <c r="K3916" s="135"/>
      <c r="L3916" s="135"/>
      <c r="M3916" s="135"/>
      <c r="N3916" s="135"/>
      <c r="O3916" s="135"/>
      <c r="P3916" s="135"/>
      <c r="Q3916" s="135"/>
      <c r="R3916" s="135"/>
      <c r="S3916" s="135"/>
      <c r="T3916" s="135"/>
      <c r="U3916" s="135"/>
      <c r="V3916" s="135"/>
      <c r="W3916" s="135"/>
      <c r="X3916" s="135"/>
      <c r="Y3916" s="135"/>
      <c r="Z3916" s="135"/>
    </row>
    <row r="3917" spans="1:26" ht="25.5">
      <c r="A3917" s="136" t="s">
        <v>11</v>
      </c>
      <c r="B3917" s="136" t="s">
        <v>7932</v>
      </c>
      <c r="C3917" s="136" t="s">
        <v>295</v>
      </c>
      <c r="D3917" s="136" t="s">
        <v>1656</v>
      </c>
      <c r="E3917" s="136" t="s">
        <v>594</v>
      </c>
      <c r="F3917" s="136">
        <v>114</v>
      </c>
      <c r="G3917" s="137">
        <f t="shared" si="15"/>
        <v>14</v>
      </c>
      <c r="H3917" s="137"/>
      <c r="I3917" s="137"/>
      <c r="J3917" s="135"/>
      <c r="K3917" s="135"/>
      <c r="L3917" s="135"/>
      <c r="M3917" s="135"/>
      <c r="N3917" s="135"/>
      <c r="O3917" s="135"/>
      <c r="P3917" s="135"/>
      <c r="Q3917" s="135"/>
      <c r="R3917" s="135"/>
      <c r="S3917" s="135"/>
      <c r="T3917" s="135"/>
      <c r="U3917" s="135"/>
      <c r="V3917" s="135"/>
      <c r="W3917" s="135"/>
      <c r="X3917" s="135"/>
      <c r="Y3917" s="135"/>
      <c r="Z3917" s="135"/>
    </row>
    <row r="3918" spans="1:26" ht="25.5">
      <c r="A3918" s="136" t="s">
        <v>11</v>
      </c>
      <c r="B3918" s="136" t="s">
        <v>7932</v>
      </c>
      <c r="C3918" s="136" t="s">
        <v>295</v>
      </c>
      <c r="D3918" s="136" t="s">
        <v>1659</v>
      </c>
      <c r="E3918" s="136" t="s">
        <v>615</v>
      </c>
      <c r="F3918" s="136">
        <v>111</v>
      </c>
      <c r="G3918" s="137">
        <f t="shared" si="15"/>
        <v>15</v>
      </c>
      <c r="H3918" s="137"/>
      <c r="I3918" s="137"/>
      <c r="J3918" s="135"/>
      <c r="K3918" s="135"/>
      <c r="L3918" s="135"/>
      <c r="M3918" s="135"/>
      <c r="N3918" s="135"/>
      <c r="O3918" s="135"/>
      <c r="P3918" s="135"/>
      <c r="Q3918" s="135"/>
      <c r="R3918" s="135"/>
      <c r="S3918" s="135"/>
      <c r="T3918" s="135"/>
      <c r="U3918" s="135"/>
      <c r="V3918" s="135"/>
      <c r="W3918" s="135"/>
      <c r="X3918" s="135"/>
      <c r="Y3918" s="135"/>
      <c r="Z3918" s="135"/>
    </row>
    <row r="3919" spans="1:26" ht="25.5">
      <c r="A3919" s="136" t="s">
        <v>11</v>
      </c>
      <c r="B3919" s="136" t="s">
        <v>7932</v>
      </c>
      <c r="C3919" s="136" t="s">
        <v>295</v>
      </c>
      <c r="D3919" s="136" t="s">
        <v>1665</v>
      </c>
      <c r="E3919" s="136" t="s">
        <v>615</v>
      </c>
      <c r="F3919" s="136">
        <v>98</v>
      </c>
      <c r="G3919" s="137">
        <f t="shared" si="15"/>
        <v>16</v>
      </c>
      <c r="H3919" s="137"/>
      <c r="I3919" s="137"/>
      <c r="J3919" s="135"/>
      <c r="K3919" s="135"/>
      <c r="L3919" s="135"/>
      <c r="M3919" s="135"/>
      <c r="N3919" s="135"/>
      <c r="O3919" s="135"/>
      <c r="P3919" s="135"/>
      <c r="Q3919" s="135"/>
      <c r="R3919" s="135"/>
      <c r="S3919" s="135"/>
      <c r="T3919" s="135"/>
      <c r="U3919" s="135"/>
      <c r="V3919" s="135"/>
      <c r="W3919" s="135"/>
      <c r="X3919" s="135"/>
      <c r="Y3919" s="135"/>
      <c r="Z3919" s="135"/>
    </row>
    <row r="3920" spans="1:26" ht="25.5">
      <c r="A3920" s="136" t="s">
        <v>11</v>
      </c>
      <c r="B3920" s="136" t="s">
        <v>7932</v>
      </c>
      <c r="C3920" s="136" t="s">
        <v>295</v>
      </c>
      <c r="D3920" s="136" t="s">
        <v>136</v>
      </c>
      <c r="E3920" s="136" t="s">
        <v>615</v>
      </c>
      <c r="F3920" s="136">
        <v>96</v>
      </c>
      <c r="G3920" s="137">
        <f t="shared" si="15"/>
        <v>17</v>
      </c>
      <c r="H3920" s="137"/>
      <c r="I3920" s="137"/>
      <c r="J3920" s="135"/>
      <c r="K3920" s="135"/>
      <c r="L3920" s="135"/>
      <c r="M3920" s="135"/>
      <c r="N3920" s="135"/>
      <c r="O3920" s="135"/>
      <c r="P3920" s="135"/>
      <c r="Q3920" s="135"/>
      <c r="R3920" s="135"/>
      <c r="S3920" s="135"/>
      <c r="T3920" s="135"/>
      <c r="U3920" s="135"/>
      <c r="V3920" s="135"/>
      <c r="W3920" s="135"/>
      <c r="X3920" s="135"/>
      <c r="Y3920" s="135"/>
      <c r="Z3920" s="135"/>
    </row>
    <row r="3921" spans="1:26" ht="25.5">
      <c r="A3921" s="136" t="s">
        <v>11</v>
      </c>
      <c r="B3921" s="136" t="s">
        <v>7932</v>
      </c>
      <c r="C3921" s="136" t="s">
        <v>295</v>
      </c>
      <c r="D3921" s="136" t="s">
        <v>120</v>
      </c>
      <c r="E3921" s="136" t="s">
        <v>615</v>
      </c>
      <c r="F3921" s="136">
        <v>40</v>
      </c>
      <c r="G3921" s="137">
        <f t="shared" si="15"/>
        <v>18</v>
      </c>
      <c r="H3921" s="137"/>
      <c r="I3921" s="137"/>
      <c r="J3921" s="135"/>
      <c r="K3921" s="135"/>
      <c r="L3921" s="135"/>
      <c r="M3921" s="135"/>
      <c r="N3921" s="135"/>
      <c r="O3921" s="135"/>
      <c r="P3921" s="135"/>
      <c r="Q3921" s="135"/>
      <c r="R3921" s="135"/>
      <c r="S3921" s="135"/>
      <c r="T3921" s="135"/>
      <c r="U3921" s="135"/>
      <c r="V3921" s="135"/>
      <c r="W3921" s="135"/>
      <c r="X3921" s="135"/>
      <c r="Y3921" s="135"/>
      <c r="Z3921" s="135"/>
    </row>
    <row r="3922" spans="1:26" ht="25.5">
      <c r="A3922" s="136" t="s">
        <v>11</v>
      </c>
      <c r="B3922" s="136" t="s">
        <v>7932</v>
      </c>
      <c r="C3922" s="136" t="s">
        <v>295</v>
      </c>
      <c r="D3922" s="136" t="s">
        <v>7767</v>
      </c>
      <c r="E3922" s="136" t="s">
        <v>615</v>
      </c>
      <c r="F3922" s="136">
        <v>39</v>
      </c>
      <c r="G3922" s="137">
        <f t="shared" si="15"/>
        <v>19</v>
      </c>
      <c r="H3922" s="137"/>
      <c r="I3922" s="137"/>
      <c r="J3922" s="135"/>
      <c r="K3922" s="135"/>
      <c r="L3922" s="135"/>
      <c r="M3922" s="135"/>
      <c r="N3922" s="135"/>
      <c r="O3922" s="135"/>
      <c r="P3922" s="135"/>
      <c r="Q3922" s="135"/>
      <c r="R3922" s="135"/>
      <c r="S3922" s="135"/>
      <c r="T3922" s="135"/>
      <c r="U3922" s="135"/>
      <c r="V3922" s="135"/>
      <c r="W3922" s="135"/>
      <c r="X3922" s="135"/>
      <c r="Y3922" s="135"/>
      <c r="Z3922" s="135"/>
    </row>
    <row r="3923" spans="1:26" ht="25.5">
      <c r="A3923" s="136" t="s">
        <v>11</v>
      </c>
      <c r="B3923" s="136" t="s">
        <v>7932</v>
      </c>
      <c r="C3923" s="136" t="s">
        <v>295</v>
      </c>
      <c r="D3923" s="136" t="s">
        <v>7935</v>
      </c>
      <c r="E3923" s="136" t="s">
        <v>615</v>
      </c>
      <c r="F3923" s="136">
        <v>37</v>
      </c>
      <c r="G3923" s="137">
        <f t="shared" si="15"/>
        <v>20</v>
      </c>
      <c r="H3923" s="137"/>
      <c r="I3923" s="137"/>
      <c r="J3923" s="135"/>
      <c r="K3923" s="135"/>
      <c r="L3923" s="135"/>
      <c r="M3923" s="135"/>
      <c r="N3923" s="135"/>
      <c r="O3923" s="135"/>
      <c r="P3923" s="135"/>
      <c r="Q3923" s="135"/>
      <c r="R3923" s="135"/>
      <c r="S3923" s="135"/>
      <c r="T3923" s="135"/>
      <c r="U3923" s="135"/>
      <c r="V3923" s="135"/>
      <c r="W3923" s="135"/>
      <c r="X3923" s="135"/>
      <c r="Y3923" s="135"/>
      <c r="Z3923" s="135"/>
    </row>
    <row r="3924" spans="1:26" ht="25.5">
      <c r="A3924" s="136" t="s">
        <v>11</v>
      </c>
      <c r="B3924" s="136" t="s">
        <v>7932</v>
      </c>
      <c r="C3924" s="136" t="s">
        <v>295</v>
      </c>
      <c r="D3924" s="136" t="s">
        <v>1682</v>
      </c>
      <c r="E3924" s="136" t="s">
        <v>86</v>
      </c>
      <c r="F3924" s="136">
        <v>31</v>
      </c>
      <c r="G3924" s="137">
        <f t="shared" si="15"/>
        <v>21</v>
      </c>
      <c r="H3924" s="137"/>
      <c r="I3924" s="137"/>
      <c r="J3924" s="135"/>
      <c r="K3924" s="135"/>
      <c r="L3924" s="135"/>
      <c r="M3924" s="135"/>
      <c r="N3924" s="135"/>
      <c r="O3924" s="135"/>
      <c r="P3924" s="135"/>
      <c r="Q3924" s="135"/>
      <c r="R3924" s="135"/>
      <c r="S3924" s="135"/>
      <c r="T3924" s="135"/>
      <c r="U3924" s="135"/>
      <c r="V3924" s="135"/>
      <c r="W3924" s="135"/>
      <c r="X3924" s="135"/>
      <c r="Y3924" s="135"/>
      <c r="Z3924" s="135"/>
    </row>
    <row r="3925" spans="1:26" ht="25.5">
      <c r="A3925" s="136" t="s">
        <v>11</v>
      </c>
      <c r="B3925" s="136" t="s">
        <v>7932</v>
      </c>
      <c r="C3925" s="136" t="s">
        <v>295</v>
      </c>
      <c r="D3925" s="136" t="s">
        <v>1638</v>
      </c>
      <c r="E3925" s="136" t="s">
        <v>594</v>
      </c>
      <c r="F3925" s="136">
        <v>22</v>
      </c>
      <c r="G3925" s="137">
        <f t="shared" si="15"/>
        <v>22</v>
      </c>
      <c r="H3925" s="137"/>
      <c r="I3925" s="137"/>
      <c r="J3925" s="135"/>
      <c r="K3925" s="135"/>
      <c r="L3925" s="135"/>
      <c r="M3925" s="135"/>
      <c r="N3925" s="135"/>
      <c r="O3925" s="135"/>
      <c r="P3925" s="135"/>
      <c r="Q3925" s="135"/>
      <c r="R3925" s="135"/>
      <c r="S3925" s="135"/>
      <c r="T3925" s="135"/>
      <c r="U3925" s="135"/>
      <c r="V3925" s="135"/>
      <c r="W3925" s="135"/>
      <c r="X3925" s="135"/>
      <c r="Y3925" s="135"/>
      <c r="Z3925" s="135"/>
    </row>
    <row r="3926" spans="1:26" ht="25.5">
      <c r="A3926" s="136" t="s">
        <v>11</v>
      </c>
      <c r="B3926" s="136" t="s">
        <v>7932</v>
      </c>
      <c r="C3926" s="136" t="s">
        <v>295</v>
      </c>
      <c r="D3926" s="136" t="s">
        <v>1666</v>
      </c>
      <c r="E3926" s="136" t="s">
        <v>85</v>
      </c>
      <c r="F3926" s="136">
        <v>11</v>
      </c>
      <c r="G3926" s="137">
        <f t="shared" si="15"/>
        <v>23</v>
      </c>
      <c r="H3926" s="137"/>
      <c r="I3926" s="137"/>
      <c r="J3926" s="135"/>
      <c r="K3926" s="135"/>
      <c r="L3926" s="135"/>
      <c r="M3926" s="135"/>
      <c r="N3926" s="135"/>
      <c r="O3926" s="135"/>
      <c r="P3926" s="135"/>
      <c r="Q3926" s="135"/>
      <c r="R3926" s="135"/>
      <c r="S3926" s="135"/>
      <c r="T3926" s="135"/>
      <c r="U3926" s="135"/>
      <c r="V3926" s="135"/>
      <c r="W3926" s="135"/>
      <c r="X3926" s="135"/>
      <c r="Y3926" s="135"/>
      <c r="Z3926" s="135"/>
    </row>
    <row r="3927" spans="1:26" ht="25.5">
      <c r="A3927" s="136" t="s">
        <v>11</v>
      </c>
      <c r="B3927" s="136" t="s">
        <v>7932</v>
      </c>
      <c r="C3927" s="136" t="s">
        <v>284</v>
      </c>
      <c r="D3927" s="136" t="s">
        <v>139</v>
      </c>
      <c r="E3927" s="136" t="s">
        <v>594</v>
      </c>
      <c r="F3927" s="136">
        <v>5225</v>
      </c>
      <c r="G3927" s="137">
        <f t="shared" si="15"/>
        <v>1</v>
      </c>
      <c r="H3927" s="137"/>
      <c r="I3927" s="137"/>
      <c r="J3927" s="135"/>
      <c r="K3927" s="135"/>
      <c r="L3927" s="135"/>
      <c r="M3927" s="135"/>
      <c r="N3927" s="135"/>
      <c r="O3927" s="135"/>
      <c r="P3927" s="135"/>
      <c r="Q3927" s="135"/>
      <c r="R3927" s="135"/>
      <c r="S3927" s="135"/>
      <c r="T3927" s="135"/>
      <c r="U3927" s="135"/>
      <c r="V3927" s="135"/>
      <c r="W3927" s="135"/>
      <c r="X3927" s="135"/>
      <c r="Y3927" s="135"/>
      <c r="Z3927" s="135"/>
    </row>
    <row r="3928" spans="1:26" ht="25.5">
      <c r="A3928" s="136" t="s">
        <v>11</v>
      </c>
      <c r="B3928" s="136" t="s">
        <v>7932</v>
      </c>
      <c r="C3928" s="136" t="s">
        <v>284</v>
      </c>
      <c r="D3928" s="136" t="s">
        <v>1669</v>
      </c>
      <c r="E3928" s="136" t="s">
        <v>615</v>
      </c>
      <c r="F3928" s="136">
        <v>3324</v>
      </c>
      <c r="G3928" s="137">
        <f t="shared" si="15"/>
        <v>2</v>
      </c>
      <c r="H3928" s="137"/>
      <c r="I3928" s="137"/>
      <c r="J3928" s="135"/>
      <c r="K3928" s="135"/>
      <c r="L3928" s="135"/>
      <c r="M3928" s="135"/>
      <c r="N3928" s="135"/>
      <c r="O3928" s="135"/>
      <c r="P3928" s="135"/>
      <c r="Q3928" s="135"/>
      <c r="R3928" s="135"/>
      <c r="S3928" s="135"/>
      <c r="T3928" s="135"/>
      <c r="U3928" s="135"/>
      <c r="V3928" s="135"/>
      <c r="W3928" s="135"/>
      <c r="X3928" s="135"/>
      <c r="Y3928" s="135"/>
      <c r="Z3928" s="135"/>
    </row>
    <row r="3929" spans="1:26" ht="25.5">
      <c r="A3929" s="136" t="s">
        <v>11</v>
      </c>
      <c r="B3929" s="136" t="s">
        <v>7932</v>
      </c>
      <c r="C3929" s="136" t="s">
        <v>284</v>
      </c>
      <c r="D3929" s="136" t="s">
        <v>7878</v>
      </c>
      <c r="E3929" s="136" t="s">
        <v>85</v>
      </c>
      <c r="F3929" s="136">
        <v>1420</v>
      </c>
      <c r="G3929" s="137">
        <f t="shared" si="15"/>
        <v>3</v>
      </c>
      <c r="H3929" s="137"/>
      <c r="I3929" s="137"/>
      <c r="J3929" s="135"/>
      <c r="K3929" s="135"/>
      <c r="L3929" s="135"/>
      <c r="M3929" s="135"/>
      <c r="N3929" s="135"/>
      <c r="O3929" s="135"/>
      <c r="P3929" s="135"/>
      <c r="Q3929" s="135"/>
      <c r="R3929" s="135"/>
      <c r="S3929" s="135"/>
      <c r="T3929" s="135"/>
      <c r="U3929" s="135"/>
      <c r="V3929" s="135"/>
      <c r="W3929" s="135"/>
      <c r="X3929" s="135"/>
      <c r="Y3929" s="135"/>
      <c r="Z3929" s="135"/>
    </row>
    <row r="3930" spans="1:26" ht="25.5">
      <c r="A3930" s="136" t="s">
        <v>11</v>
      </c>
      <c r="B3930" s="136" t="s">
        <v>7932</v>
      </c>
      <c r="C3930" s="136" t="s">
        <v>284</v>
      </c>
      <c r="D3930" s="136" t="s">
        <v>7657</v>
      </c>
      <c r="E3930" s="136" t="s">
        <v>85</v>
      </c>
      <c r="F3930" s="136">
        <v>289</v>
      </c>
      <c r="G3930" s="137">
        <f t="shared" si="15"/>
        <v>4</v>
      </c>
      <c r="H3930" s="137"/>
      <c r="I3930" s="137"/>
      <c r="J3930" s="135"/>
      <c r="K3930" s="135"/>
      <c r="L3930" s="135"/>
      <c r="M3930" s="135"/>
      <c r="N3930" s="135"/>
      <c r="O3930" s="135"/>
      <c r="P3930" s="135"/>
      <c r="Q3930" s="135"/>
      <c r="R3930" s="135"/>
      <c r="S3930" s="135"/>
      <c r="T3930" s="135"/>
      <c r="U3930" s="135"/>
      <c r="V3930" s="135"/>
      <c r="W3930" s="135"/>
      <c r="X3930" s="135"/>
      <c r="Y3930" s="135"/>
      <c r="Z3930" s="135"/>
    </row>
    <row r="3931" spans="1:26" ht="25.5">
      <c r="A3931" s="136" t="s">
        <v>11</v>
      </c>
      <c r="B3931" s="136" t="s">
        <v>7932</v>
      </c>
      <c r="C3931" s="136" t="s">
        <v>284</v>
      </c>
      <c r="D3931" s="136" t="s">
        <v>1626</v>
      </c>
      <c r="E3931" s="136" t="s">
        <v>594</v>
      </c>
      <c r="F3931" s="136">
        <v>277</v>
      </c>
      <c r="G3931" s="137">
        <f t="shared" si="15"/>
        <v>5</v>
      </c>
      <c r="H3931" s="137"/>
      <c r="I3931" s="137"/>
      <c r="J3931" s="135"/>
      <c r="K3931" s="135"/>
      <c r="L3931" s="135"/>
      <c r="M3931" s="135"/>
      <c r="N3931" s="135"/>
      <c r="O3931" s="135"/>
      <c r="P3931" s="135"/>
      <c r="Q3931" s="135"/>
      <c r="R3931" s="135"/>
      <c r="S3931" s="135"/>
      <c r="T3931" s="135"/>
      <c r="U3931" s="135"/>
      <c r="V3931" s="135"/>
      <c r="W3931" s="135"/>
      <c r="X3931" s="135"/>
      <c r="Y3931" s="135"/>
      <c r="Z3931" s="135"/>
    </row>
    <row r="3932" spans="1:26" ht="25.5">
      <c r="A3932" s="136" t="s">
        <v>11</v>
      </c>
      <c r="B3932" s="136" t="s">
        <v>7932</v>
      </c>
      <c r="C3932" s="136" t="s">
        <v>284</v>
      </c>
      <c r="D3932" s="136" t="s">
        <v>1665</v>
      </c>
      <c r="E3932" s="136" t="s">
        <v>615</v>
      </c>
      <c r="F3932" s="136">
        <v>156</v>
      </c>
      <c r="G3932" s="137">
        <f t="shared" si="15"/>
        <v>6</v>
      </c>
      <c r="H3932" s="137"/>
      <c r="I3932" s="137"/>
      <c r="J3932" s="135"/>
      <c r="K3932" s="135"/>
      <c r="L3932" s="135"/>
      <c r="M3932" s="135"/>
      <c r="N3932" s="135"/>
      <c r="O3932" s="135"/>
      <c r="P3932" s="135"/>
      <c r="Q3932" s="135"/>
      <c r="R3932" s="135"/>
      <c r="S3932" s="135"/>
      <c r="T3932" s="135"/>
      <c r="U3932" s="135"/>
      <c r="V3932" s="135"/>
      <c r="W3932" s="135"/>
      <c r="X3932" s="135"/>
      <c r="Y3932" s="135"/>
      <c r="Z3932" s="135"/>
    </row>
    <row r="3933" spans="1:26" ht="25.5">
      <c r="A3933" s="136" t="s">
        <v>11</v>
      </c>
      <c r="B3933" s="136" t="s">
        <v>7932</v>
      </c>
      <c r="C3933" s="136" t="s">
        <v>284</v>
      </c>
      <c r="D3933" s="136" t="s">
        <v>368</v>
      </c>
      <c r="E3933" s="136" t="s">
        <v>594</v>
      </c>
      <c r="F3933" s="136">
        <v>149</v>
      </c>
      <c r="G3933" s="137">
        <f t="shared" si="15"/>
        <v>7</v>
      </c>
      <c r="H3933" s="137"/>
      <c r="I3933" s="137"/>
      <c r="J3933" s="135"/>
      <c r="K3933" s="135"/>
      <c r="L3933" s="135"/>
      <c r="M3933" s="135"/>
      <c r="N3933" s="135"/>
      <c r="O3933" s="135"/>
      <c r="P3933" s="135"/>
      <c r="Q3933" s="135"/>
      <c r="R3933" s="135"/>
      <c r="S3933" s="135"/>
      <c r="T3933" s="135"/>
      <c r="U3933" s="135"/>
      <c r="V3933" s="135"/>
      <c r="W3933" s="135"/>
      <c r="X3933" s="135"/>
      <c r="Y3933" s="135"/>
      <c r="Z3933" s="135"/>
    </row>
    <row r="3934" spans="1:26" ht="25.5">
      <c r="A3934" s="136" t="s">
        <v>11</v>
      </c>
      <c r="B3934" s="136" t="s">
        <v>7932</v>
      </c>
      <c r="C3934" s="136" t="s">
        <v>284</v>
      </c>
      <c r="D3934" s="136" t="s">
        <v>103</v>
      </c>
      <c r="E3934" s="136" t="s">
        <v>594</v>
      </c>
      <c r="F3934" s="136">
        <v>111</v>
      </c>
      <c r="G3934" s="137">
        <f t="shared" si="15"/>
        <v>8</v>
      </c>
      <c r="H3934" s="137"/>
      <c r="I3934" s="137"/>
      <c r="J3934" s="135"/>
      <c r="K3934" s="135"/>
      <c r="L3934" s="135"/>
      <c r="M3934" s="135"/>
      <c r="N3934" s="135"/>
      <c r="O3934" s="135"/>
      <c r="P3934" s="135"/>
      <c r="Q3934" s="135"/>
      <c r="R3934" s="135"/>
      <c r="S3934" s="135"/>
      <c r="T3934" s="135"/>
      <c r="U3934" s="135"/>
      <c r="V3934" s="135"/>
      <c r="W3934" s="135"/>
      <c r="X3934" s="135"/>
      <c r="Y3934" s="135"/>
      <c r="Z3934" s="135"/>
    </row>
    <row r="3935" spans="1:26" ht="25.5">
      <c r="A3935" s="136" t="s">
        <v>11</v>
      </c>
      <c r="B3935" s="136" t="s">
        <v>7932</v>
      </c>
      <c r="C3935" s="136" t="s">
        <v>284</v>
      </c>
      <c r="D3935" s="136" t="s">
        <v>1680</v>
      </c>
      <c r="E3935" s="136" t="s">
        <v>615</v>
      </c>
      <c r="F3935" s="136">
        <v>110</v>
      </c>
      <c r="G3935" s="137">
        <f t="shared" si="15"/>
        <v>9</v>
      </c>
      <c r="H3935" s="137"/>
      <c r="I3935" s="137"/>
      <c r="J3935" s="135"/>
      <c r="K3935" s="135"/>
      <c r="L3935" s="135"/>
      <c r="M3935" s="135"/>
      <c r="N3935" s="135"/>
      <c r="O3935" s="135"/>
      <c r="P3935" s="135"/>
      <c r="Q3935" s="135"/>
      <c r="R3935" s="135"/>
      <c r="S3935" s="135"/>
      <c r="T3935" s="135"/>
      <c r="U3935" s="135"/>
      <c r="V3935" s="135"/>
      <c r="W3935" s="135"/>
      <c r="X3935" s="135"/>
      <c r="Y3935" s="135"/>
      <c r="Z3935" s="135"/>
    </row>
    <row r="3936" spans="1:26" ht="25.5">
      <c r="A3936" s="136" t="s">
        <v>11</v>
      </c>
      <c r="B3936" s="136" t="s">
        <v>7932</v>
      </c>
      <c r="C3936" s="136" t="s">
        <v>284</v>
      </c>
      <c r="D3936" s="136" t="s">
        <v>165</v>
      </c>
      <c r="E3936" s="136" t="s">
        <v>615</v>
      </c>
      <c r="F3936" s="136">
        <v>109</v>
      </c>
      <c r="G3936" s="137">
        <f t="shared" si="15"/>
        <v>10</v>
      </c>
      <c r="H3936" s="137"/>
      <c r="I3936" s="137"/>
      <c r="J3936" s="135"/>
      <c r="K3936" s="135"/>
      <c r="L3936" s="135"/>
      <c r="M3936" s="135"/>
      <c r="N3936" s="135"/>
      <c r="O3936" s="135"/>
      <c r="P3936" s="135"/>
      <c r="Q3936" s="135"/>
      <c r="R3936" s="135"/>
      <c r="S3936" s="135"/>
      <c r="T3936" s="135"/>
      <c r="U3936" s="135"/>
      <c r="V3936" s="135"/>
      <c r="W3936" s="135"/>
      <c r="X3936" s="135"/>
      <c r="Y3936" s="135"/>
      <c r="Z3936" s="135"/>
    </row>
    <row r="3937" spans="1:26" ht="25.5">
      <c r="A3937" s="136" t="s">
        <v>11</v>
      </c>
      <c r="B3937" s="136" t="s">
        <v>7932</v>
      </c>
      <c r="C3937" s="136" t="s">
        <v>284</v>
      </c>
      <c r="D3937" s="136" t="s">
        <v>1659</v>
      </c>
      <c r="E3937" s="136" t="s">
        <v>615</v>
      </c>
      <c r="F3937" s="136">
        <v>91</v>
      </c>
      <c r="G3937" s="137">
        <f t="shared" si="15"/>
        <v>11</v>
      </c>
      <c r="H3937" s="137"/>
      <c r="I3937" s="137"/>
      <c r="J3937" s="135"/>
      <c r="K3937" s="135"/>
      <c r="L3937" s="135"/>
      <c r="M3937" s="135"/>
      <c r="N3937" s="135"/>
      <c r="O3937" s="135"/>
      <c r="P3937" s="135"/>
      <c r="Q3937" s="135"/>
      <c r="R3937" s="135"/>
      <c r="S3937" s="135"/>
      <c r="T3937" s="135"/>
      <c r="U3937" s="135"/>
      <c r="V3937" s="135"/>
      <c r="W3937" s="135"/>
      <c r="X3937" s="135"/>
      <c r="Y3937" s="135"/>
      <c r="Z3937" s="135"/>
    </row>
    <row r="3938" spans="1:26" ht="25.5">
      <c r="A3938" s="136" t="s">
        <v>11</v>
      </c>
      <c r="B3938" s="136" t="s">
        <v>7932</v>
      </c>
      <c r="C3938" s="136" t="s">
        <v>284</v>
      </c>
      <c r="D3938" s="136" t="s">
        <v>120</v>
      </c>
      <c r="E3938" s="136" t="s">
        <v>615</v>
      </c>
      <c r="F3938" s="136">
        <v>70</v>
      </c>
      <c r="G3938" s="137">
        <f t="shared" si="15"/>
        <v>12</v>
      </c>
      <c r="H3938" s="137"/>
      <c r="I3938" s="137"/>
      <c r="J3938" s="135"/>
      <c r="K3938" s="135"/>
      <c r="L3938" s="135"/>
      <c r="M3938" s="135"/>
      <c r="N3938" s="135"/>
      <c r="O3938" s="135"/>
      <c r="P3938" s="135"/>
      <c r="Q3938" s="135"/>
      <c r="R3938" s="135"/>
      <c r="S3938" s="135"/>
      <c r="T3938" s="135"/>
      <c r="U3938" s="135"/>
      <c r="V3938" s="135"/>
      <c r="W3938" s="135"/>
      <c r="X3938" s="135"/>
      <c r="Y3938" s="135"/>
      <c r="Z3938" s="135"/>
    </row>
    <row r="3939" spans="1:26" ht="25.5">
      <c r="A3939" s="136" t="s">
        <v>11</v>
      </c>
      <c r="B3939" s="136" t="s">
        <v>7932</v>
      </c>
      <c r="C3939" s="136" t="s">
        <v>284</v>
      </c>
      <c r="D3939" s="136" t="s">
        <v>7943</v>
      </c>
      <c r="E3939" s="136" t="s">
        <v>615</v>
      </c>
      <c r="F3939" s="136">
        <v>63</v>
      </c>
      <c r="G3939" s="137">
        <f t="shared" si="15"/>
        <v>13</v>
      </c>
      <c r="H3939" s="137"/>
      <c r="I3939" s="137"/>
      <c r="J3939" s="135"/>
      <c r="K3939" s="135"/>
      <c r="L3939" s="135"/>
      <c r="M3939" s="135"/>
      <c r="N3939" s="135"/>
      <c r="O3939" s="135"/>
      <c r="P3939" s="135"/>
      <c r="Q3939" s="135"/>
      <c r="R3939" s="135"/>
      <c r="S3939" s="135"/>
      <c r="T3939" s="135"/>
      <c r="U3939" s="135"/>
      <c r="V3939" s="135"/>
      <c r="W3939" s="135"/>
      <c r="X3939" s="135"/>
      <c r="Y3939" s="135"/>
      <c r="Z3939" s="135"/>
    </row>
    <row r="3940" spans="1:26" ht="25.5">
      <c r="A3940" s="136" t="s">
        <v>11</v>
      </c>
      <c r="B3940" s="136" t="s">
        <v>7932</v>
      </c>
      <c r="C3940" s="136" t="s">
        <v>284</v>
      </c>
      <c r="D3940" s="136" t="s">
        <v>7933</v>
      </c>
      <c r="E3940" s="136" t="s">
        <v>615</v>
      </c>
      <c r="F3940" s="136">
        <v>58</v>
      </c>
      <c r="G3940" s="137">
        <f t="shared" si="15"/>
        <v>14</v>
      </c>
      <c r="H3940" s="137"/>
      <c r="I3940" s="137"/>
      <c r="J3940" s="135"/>
      <c r="K3940" s="135"/>
      <c r="L3940" s="135"/>
      <c r="M3940" s="135"/>
      <c r="N3940" s="135"/>
      <c r="O3940" s="135"/>
      <c r="P3940" s="135"/>
      <c r="Q3940" s="135"/>
      <c r="R3940" s="135"/>
      <c r="S3940" s="135"/>
      <c r="T3940" s="135"/>
      <c r="U3940" s="135"/>
      <c r="V3940" s="135"/>
      <c r="W3940" s="135"/>
      <c r="X3940" s="135"/>
      <c r="Y3940" s="135"/>
      <c r="Z3940" s="135"/>
    </row>
    <row r="3941" spans="1:26" ht="25.5">
      <c r="A3941" s="136" t="s">
        <v>11</v>
      </c>
      <c r="B3941" s="136" t="s">
        <v>7932</v>
      </c>
      <c r="C3941" s="136" t="s">
        <v>284</v>
      </c>
      <c r="D3941" s="136" t="s">
        <v>7942</v>
      </c>
      <c r="E3941" s="136" t="s">
        <v>615</v>
      </c>
      <c r="F3941" s="136">
        <v>50</v>
      </c>
      <c r="G3941" s="137">
        <f t="shared" si="15"/>
        <v>15</v>
      </c>
      <c r="H3941" s="137"/>
      <c r="I3941" s="137"/>
      <c r="J3941" s="135"/>
      <c r="K3941" s="135"/>
      <c r="L3941" s="135"/>
      <c r="M3941" s="135"/>
      <c r="N3941" s="135"/>
      <c r="O3941" s="135"/>
      <c r="P3941" s="135"/>
      <c r="Q3941" s="135"/>
      <c r="R3941" s="135"/>
      <c r="S3941" s="135"/>
      <c r="T3941" s="135"/>
      <c r="U3941" s="135"/>
      <c r="V3941" s="135"/>
      <c r="W3941" s="135"/>
      <c r="X3941" s="135"/>
      <c r="Y3941" s="135"/>
      <c r="Z3941" s="135"/>
    </row>
    <row r="3942" spans="1:26" ht="25.5">
      <c r="A3942" s="136" t="s">
        <v>11</v>
      </c>
      <c r="B3942" s="136" t="s">
        <v>7932</v>
      </c>
      <c r="C3942" s="136" t="s">
        <v>284</v>
      </c>
      <c r="D3942" s="136" t="s">
        <v>136</v>
      </c>
      <c r="E3942" s="136" t="s">
        <v>615</v>
      </c>
      <c r="F3942" s="136">
        <v>46</v>
      </c>
      <c r="G3942" s="137">
        <f t="shared" si="15"/>
        <v>16</v>
      </c>
      <c r="H3942" s="137"/>
      <c r="I3942" s="137"/>
      <c r="J3942" s="135"/>
      <c r="K3942" s="135"/>
      <c r="L3942" s="135"/>
      <c r="M3942" s="135"/>
      <c r="N3942" s="135"/>
      <c r="O3942" s="135"/>
      <c r="P3942" s="135"/>
      <c r="Q3942" s="135"/>
      <c r="R3942" s="135"/>
      <c r="S3942" s="135"/>
      <c r="T3942" s="135"/>
      <c r="U3942" s="135"/>
      <c r="V3942" s="135"/>
      <c r="W3942" s="135"/>
      <c r="X3942" s="135"/>
      <c r="Y3942" s="135"/>
      <c r="Z3942" s="135"/>
    </row>
    <row r="3943" spans="1:26" ht="25.5">
      <c r="A3943" s="136" t="s">
        <v>11</v>
      </c>
      <c r="B3943" s="136" t="s">
        <v>7932</v>
      </c>
      <c r="C3943" s="136" t="s">
        <v>284</v>
      </c>
      <c r="D3943" s="136" t="s">
        <v>1639</v>
      </c>
      <c r="E3943" s="136" t="s">
        <v>615</v>
      </c>
      <c r="F3943" s="136">
        <v>36</v>
      </c>
      <c r="G3943" s="137">
        <f t="shared" si="15"/>
        <v>17</v>
      </c>
      <c r="H3943" s="137"/>
      <c r="I3943" s="137"/>
      <c r="J3943" s="135"/>
      <c r="K3943" s="135"/>
      <c r="L3943" s="135"/>
      <c r="M3943" s="135"/>
      <c r="N3943" s="135"/>
      <c r="O3943" s="135"/>
      <c r="P3943" s="135"/>
      <c r="Q3943" s="135"/>
      <c r="R3943" s="135"/>
      <c r="S3943" s="135"/>
      <c r="T3943" s="135"/>
      <c r="U3943" s="135"/>
      <c r="V3943" s="135"/>
      <c r="W3943" s="135"/>
      <c r="X3943" s="135"/>
      <c r="Y3943" s="135"/>
      <c r="Z3943" s="135"/>
    </row>
    <row r="3944" spans="1:26" ht="25.5">
      <c r="A3944" s="136" t="s">
        <v>11</v>
      </c>
      <c r="B3944" s="136" t="s">
        <v>7932</v>
      </c>
      <c r="C3944" s="136" t="s">
        <v>284</v>
      </c>
      <c r="D3944" s="136" t="s">
        <v>131</v>
      </c>
      <c r="E3944" s="136" t="s">
        <v>594</v>
      </c>
      <c r="F3944" s="136">
        <v>35</v>
      </c>
      <c r="G3944" s="137">
        <f t="shared" si="15"/>
        <v>18</v>
      </c>
      <c r="H3944" s="137"/>
      <c r="I3944" s="137"/>
      <c r="J3944" s="135"/>
      <c r="K3944" s="135"/>
      <c r="L3944" s="135"/>
      <c r="M3944" s="135"/>
      <c r="N3944" s="135"/>
      <c r="O3944" s="135"/>
      <c r="P3944" s="135"/>
      <c r="Q3944" s="135"/>
      <c r="R3944" s="135"/>
      <c r="S3944" s="135"/>
      <c r="T3944" s="135"/>
      <c r="U3944" s="135"/>
      <c r="V3944" s="135"/>
      <c r="W3944" s="135"/>
      <c r="X3944" s="135"/>
      <c r="Y3944" s="135"/>
      <c r="Z3944" s="135"/>
    </row>
    <row r="3945" spans="1:26" ht="25.5">
      <c r="A3945" s="136" t="s">
        <v>11</v>
      </c>
      <c r="B3945" s="136" t="s">
        <v>7932</v>
      </c>
      <c r="C3945" s="136" t="s">
        <v>284</v>
      </c>
      <c r="D3945" s="136" t="s">
        <v>437</v>
      </c>
      <c r="E3945" s="136" t="s">
        <v>594</v>
      </c>
      <c r="F3945" s="136">
        <v>29</v>
      </c>
      <c r="G3945" s="137">
        <f t="shared" si="15"/>
        <v>19</v>
      </c>
      <c r="H3945" s="137"/>
      <c r="I3945" s="137"/>
      <c r="J3945" s="135"/>
      <c r="K3945" s="135"/>
      <c r="L3945" s="135"/>
      <c r="M3945" s="135"/>
      <c r="N3945" s="135"/>
      <c r="O3945" s="135"/>
      <c r="P3945" s="135"/>
      <c r="Q3945" s="135"/>
      <c r="R3945" s="135"/>
      <c r="S3945" s="135"/>
      <c r="T3945" s="135"/>
      <c r="U3945" s="135"/>
      <c r="V3945" s="135"/>
      <c r="W3945" s="135"/>
      <c r="X3945" s="135"/>
      <c r="Y3945" s="135"/>
      <c r="Z3945" s="135"/>
    </row>
    <row r="3946" spans="1:26" ht="25.5">
      <c r="A3946" s="136" t="s">
        <v>11</v>
      </c>
      <c r="B3946" s="136" t="s">
        <v>7932</v>
      </c>
      <c r="C3946" s="136" t="s">
        <v>284</v>
      </c>
      <c r="D3946" s="136" t="s">
        <v>7940</v>
      </c>
      <c r="E3946" s="136" t="s">
        <v>615</v>
      </c>
      <c r="F3946" s="136">
        <v>27</v>
      </c>
      <c r="G3946" s="137">
        <f t="shared" si="15"/>
        <v>20</v>
      </c>
      <c r="H3946" s="137"/>
      <c r="I3946" s="137"/>
      <c r="J3946" s="135"/>
      <c r="K3946" s="135"/>
      <c r="L3946" s="135"/>
      <c r="M3946" s="135"/>
      <c r="N3946" s="135"/>
      <c r="O3946" s="135"/>
      <c r="P3946" s="135"/>
      <c r="Q3946" s="135"/>
      <c r="R3946" s="135"/>
      <c r="S3946" s="135"/>
      <c r="T3946" s="135"/>
      <c r="U3946" s="135"/>
      <c r="V3946" s="135"/>
      <c r="W3946" s="135"/>
      <c r="X3946" s="135"/>
      <c r="Y3946" s="135"/>
      <c r="Z3946" s="135"/>
    </row>
    <row r="3947" spans="1:26" ht="25.5">
      <c r="A3947" s="136" t="s">
        <v>11</v>
      </c>
      <c r="B3947" s="136" t="s">
        <v>7932</v>
      </c>
      <c r="C3947" s="136" t="s">
        <v>284</v>
      </c>
      <c r="D3947" s="136" t="s">
        <v>288</v>
      </c>
      <c r="E3947" s="136" t="s">
        <v>615</v>
      </c>
      <c r="F3947" s="136">
        <v>20</v>
      </c>
      <c r="G3947" s="137">
        <f t="shared" si="15"/>
        <v>21</v>
      </c>
      <c r="H3947" s="137"/>
      <c r="I3947" s="137"/>
      <c r="J3947" s="135"/>
      <c r="K3947" s="135"/>
      <c r="L3947" s="135"/>
      <c r="M3947" s="135"/>
      <c r="N3947" s="135"/>
      <c r="O3947" s="135"/>
      <c r="P3947" s="135"/>
      <c r="Q3947" s="135"/>
      <c r="R3947" s="135"/>
      <c r="S3947" s="135"/>
      <c r="T3947" s="135"/>
      <c r="U3947" s="135"/>
      <c r="V3947" s="135"/>
      <c r="W3947" s="135"/>
      <c r="X3947" s="135"/>
      <c r="Y3947" s="135"/>
      <c r="Z3947" s="135"/>
    </row>
    <row r="3948" spans="1:26" ht="25.5">
      <c r="A3948" s="136" t="s">
        <v>11</v>
      </c>
      <c r="B3948" s="136" t="s">
        <v>7932</v>
      </c>
      <c r="C3948" s="136" t="s">
        <v>284</v>
      </c>
      <c r="D3948" s="136" t="s">
        <v>1656</v>
      </c>
      <c r="E3948" s="136" t="s">
        <v>594</v>
      </c>
      <c r="F3948" s="136">
        <v>17</v>
      </c>
      <c r="G3948" s="137">
        <f t="shared" si="15"/>
        <v>22</v>
      </c>
      <c r="H3948" s="137"/>
      <c r="I3948" s="137"/>
      <c r="J3948" s="135"/>
      <c r="K3948" s="135"/>
      <c r="L3948" s="135"/>
      <c r="M3948" s="135"/>
      <c r="N3948" s="135"/>
      <c r="O3948" s="135"/>
      <c r="P3948" s="135"/>
      <c r="Q3948" s="135"/>
      <c r="R3948" s="135"/>
      <c r="S3948" s="135"/>
      <c r="T3948" s="135"/>
      <c r="U3948" s="135"/>
      <c r="V3948" s="135"/>
      <c r="W3948" s="135"/>
      <c r="X3948" s="135"/>
      <c r="Y3948" s="135"/>
      <c r="Z3948" s="135"/>
    </row>
    <row r="3949" spans="1:26" ht="25.5">
      <c r="A3949" s="136" t="s">
        <v>11</v>
      </c>
      <c r="B3949" s="136" t="s">
        <v>7932</v>
      </c>
      <c r="C3949" s="136" t="s">
        <v>284</v>
      </c>
      <c r="D3949" s="136" t="s">
        <v>7935</v>
      </c>
      <c r="E3949" s="136" t="s">
        <v>615</v>
      </c>
      <c r="F3949" s="136">
        <v>14</v>
      </c>
      <c r="G3949" s="137">
        <f t="shared" si="15"/>
        <v>23</v>
      </c>
      <c r="H3949" s="137"/>
      <c r="I3949" s="137"/>
      <c r="J3949" s="135"/>
      <c r="K3949" s="135"/>
      <c r="L3949" s="135"/>
      <c r="M3949" s="135"/>
      <c r="N3949" s="135"/>
      <c r="O3949" s="135"/>
      <c r="P3949" s="135"/>
      <c r="Q3949" s="135"/>
      <c r="R3949" s="135"/>
      <c r="S3949" s="135"/>
      <c r="T3949" s="135"/>
      <c r="U3949" s="135"/>
      <c r="V3949" s="135"/>
      <c r="W3949" s="135"/>
      <c r="X3949" s="135"/>
      <c r="Y3949" s="135"/>
      <c r="Z3949" s="135"/>
    </row>
    <row r="3950" spans="1:26" ht="25.5">
      <c r="A3950" s="136" t="s">
        <v>11</v>
      </c>
      <c r="B3950" s="136" t="s">
        <v>7932</v>
      </c>
      <c r="C3950" s="136" t="s">
        <v>284</v>
      </c>
      <c r="D3950" s="136" t="s">
        <v>7767</v>
      </c>
      <c r="E3950" s="136" t="s">
        <v>594</v>
      </c>
      <c r="F3950" s="136">
        <v>11</v>
      </c>
      <c r="G3950" s="137">
        <f t="shared" si="15"/>
        <v>24</v>
      </c>
      <c r="H3950" s="137"/>
      <c r="I3950" s="137"/>
      <c r="J3950" s="135"/>
      <c r="K3950" s="135"/>
      <c r="L3950" s="135"/>
      <c r="M3950" s="135"/>
      <c r="N3950" s="135"/>
      <c r="O3950" s="135"/>
      <c r="P3950" s="135"/>
      <c r="Q3950" s="135"/>
      <c r="R3950" s="135"/>
      <c r="S3950" s="135"/>
      <c r="T3950" s="135"/>
      <c r="U3950" s="135"/>
      <c r="V3950" s="135"/>
      <c r="W3950" s="135"/>
      <c r="X3950" s="135"/>
      <c r="Y3950" s="135"/>
      <c r="Z3950" s="135"/>
    </row>
    <row r="3951" spans="1:26" ht="25.5">
      <c r="A3951" s="136" t="s">
        <v>11</v>
      </c>
      <c r="B3951" s="136" t="s">
        <v>7932</v>
      </c>
      <c r="C3951" s="136" t="s">
        <v>284</v>
      </c>
      <c r="D3951" s="136" t="s">
        <v>1635</v>
      </c>
      <c r="E3951" s="136" t="s">
        <v>615</v>
      </c>
      <c r="F3951" s="136">
        <v>10</v>
      </c>
      <c r="G3951" s="137">
        <f t="shared" si="15"/>
        <v>25</v>
      </c>
      <c r="H3951" s="137"/>
      <c r="I3951" s="137"/>
      <c r="J3951" s="135"/>
      <c r="K3951" s="135"/>
      <c r="L3951" s="135"/>
      <c r="M3951" s="135"/>
      <c r="N3951" s="135"/>
      <c r="O3951" s="135"/>
      <c r="P3951" s="135"/>
      <c r="Q3951" s="135"/>
      <c r="R3951" s="135"/>
      <c r="S3951" s="135"/>
      <c r="T3951" s="135"/>
      <c r="U3951" s="135"/>
      <c r="V3951" s="135"/>
      <c r="W3951" s="135"/>
      <c r="X3951" s="135"/>
      <c r="Y3951" s="135"/>
      <c r="Z3951" s="135"/>
    </row>
    <row r="3952" spans="1:26" ht="25.5">
      <c r="A3952" s="136" t="s">
        <v>11</v>
      </c>
      <c r="B3952" s="136" t="s">
        <v>7932</v>
      </c>
      <c r="C3952" s="136" t="s">
        <v>284</v>
      </c>
      <c r="D3952" s="136" t="s">
        <v>1673</v>
      </c>
      <c r="E3952" s="136" t="s">
        <v>615</v>
      </c>
      <c r="F3952" s="136">
        <v>6</v>
      </c>
      <c r="G3952" s="137">
        <f t="shared" si="15"/>
        <v>26</v>
      </c>
      <c r="H3952" s="137"/>
      <c r="I3952" s="137"/>
      <c r="J3952" s="135"/>
      <c r="K3952" s="135"/>
      <c r="L3952" s="135"/>
      <c r="M3952" s="135"/>
      <c r="N3952" s="135"/>
      <c r="O3952" s="135"/>
      <c r="P3952" s="135"/>
      <c r="Q3952" s="135"/>
      <c r="R3952" s="135"/>
      <c r="S3952" s="135"/>
      <c r="T3952" s="135"/>
      <c r="U3952" s="135"/>
      <c r="V3952" s="135"/>
      <c r="W3952" s="135"/>
      <c r="X3952" s="135"/>
      <c r="Y3952" s="135"/>
      <c r="Z3952" s="135"/>
    </row>
    <row r="3953" spans="1:26" ht="25.5">
      <c r="A3953" s="136" t="s">
        <v>11</v>
      </c>
      <c r="B3953" s="136" t="s">
        <v>7932</v>
      </c>
      <c r="C3953" s="136" t="s">
        <v>284</v>
      </c>
      <c r="D3953" s="136" t="s">
        <v>1682</v>
      </c>
      <c r="E3953" s="136" t="s">
        <v>86</v>
      </c>
      <c r="F3953" s="136">
        <v>5</v>
      </c>
      <c r="G3953" s="137">
        <f t="shared" si="15"/>
        <v>27</v>
      </c>
      <c r="H3953" s="137"/>
      <c r="I3953" s="137"/>
      <c r="J3953" s="135"/>
      <c r="K3953" s="135"/>
      <c r="L3953" s="135"/>
      <c r="M3953" s="135"/>
      <c r="N3953" s="135"/>
      <c r="O3953" s="135"/>
      <c r="P3953" s="135"/>
      <c r="Q3953" s="135"/>
      <c r="R3953" s="135"/>
      <c r="S3953" s="135"/>
      <c r="T3953" s="135"/>
      <c r="U3953" s="135"/>
      <c r="V3953" s="135"/>
      <c r="W3953" s="135"/>
      <c r="X3953" s="135"/>
      <c r="Y3953" s="135"/>
      <c r="Z3953" s="135"/>
    </row>
    <row r="3954" spans="1:26" ht="25.5">
      <c r="A3954" s="136" t="s">
        <v>11</v>
      </c>
      <c r="B3954" s="136" t="s">
        <v>7932</v>
      </c>
      <c r="C3954" s="136" t="s">
        <v>269</v>
      </c>
      <c r="D3954" s="136" t="s">
        <v>139</v>
      </c>
      <c r="E3954" s="136" t="s">
        <v>594</v>
      </c>
      <c r="F3954" s="136">
        <v>2154</v>
      </c>
      <c r="G3954" s="137">
        <f t="shared" si="15"/>
        <v>1</v>
      </c>
      <c r="H3954" s="137"/>
      <c r="I3954" s="137"/>
      <c r="J3954" s="135"/>
      <c r="K3954" s="135"/>
      <c r="L3954" s="135"/>
      <c r="M3954" s="135"/>
      <c r="N3954" s="135"/>
      <c r="O3954" s="135"/>
      <c r="P3954" s="135"/>
      <c r="Q3954" s="135"/>
      <c r="R3954" s="135"/>
      <c r="S3954" s="135"/>
      <c r="T3954" s="135"/>
      <c r="U3954" s="135"/>
      <c r="V3954" s="135"/>
      <c r="W3954" s="135"/>
      <c r="X3954" s="135"/>
      <c r="Y3954" s="135"/>
      <c r="Z3954" s="135"/>
    </row>
    <row r="3955" spans="1:26" ht="25.5">
      <c r="A3955" s="136" t="s">
        <v>11</v>
      </c>
      <c r="B3955" s="136" t="s">
        <v>7932</v>
      </c>
      <c r="C3955" s="136" t="s">
        <v>269</v>
      </c>
      <c r="D3955" s="136" t="s">
        <v>1669</v>
      </c>
      <c r="E3955" s="136" t="s">
        <v>615</v>
      </c>
      <c r="F3955" s="136">
        <v>1024</v>
      </c>
      <c r="G3955" s="137">
        <f t="shared" si="15"/>
        <v>2</v>
      </c>
      <c r="H3955" s="137"/>
      <c r="I3955" s="137"/>
      <c r="J3955" s="135"/>
      <c r="K3955" s="135"/>
      <c r="L3955" s="135"/>
      <c r="M3955" s="135"/>
      <c r="N3955" s="135"/>
      <c r="O3955" s="135"/>
      <c r="P3955" s="135"/>
      <c r="Q3955" s="135"/>
      <c r="R3955" s="135"/>
      <c r="S3955" s="135"/>
      <c r="T3955" s="135"/>
      <c r="U3955" s="135"/>
      <c r="V3955" s="135"/>
      <c r="W3955" s="135"/>
      <c r="X3955" s="135"/>
      <c r="Y3955" s="135"/>
      <c r="Z3955" s="135"/>
    </row>
    <row r="3956" spans="1:26" ht="25.5">
      <c r="A3956" s="136" t="s">
        <v>11</v>
      </c>
      <c r="B3956" s="136" t="s">
        <v>7932</v>
      </c>
      <c r="C3956" s="136" t="s">
        <v>269</v>
      </c>
      <c r="D3956" s="136" t="s">
        <v>7940</v>
      </c>
      <c r="E3956" s="136" t="s">
        <v>615</v>
      </c>
      <c r="F3956" s="136">
        <v>939</v>
      </c>
      <c r="G3956" s="137">
        <f t="shared" si="15"/>
        <v>3</v>
      </c>
      <c r="H3956" s="137"/>
      <c r="I3956" s="137"/>
      <c r="J3956" s="135"/>
      <c r="K3956" s="135"/>
      <c r="L3956" s="135"/>
      <c r="M3956" s="135"/>
      <c r="N3956" s="135"/>
      <c r="O3956" s="135"/>
      <c r="P3956" s="135"/>
      <c r="Q3956" s="135"/>
      <c r="R3956" s="135"/>
      <c r="S3956" s="135"/>
      <c r="T3956" s="135"/>
      <c r="U3956" s="135"/>
      <c r="V3956" s="135"/>
      <c r="W3956" s="135"/>
      <c r="X3956" s="135"/>
      <c r="Y3956" s="135"/>
      <c r="Z3956" s="135"/>
    </row>
    <row r="3957" spans="1:26" ht="25.5">
      <c r="A3957" s="136" t="s">
        <v>11</v>
      </c>
      <c r="B3957" s="136" t="s">
        <v>7932</v>
      </c>
      <c r="C3957" s="136" t="s">
        <v>269</v>
      </c>
      <c r="D3957" s="136" t="s">
        <v>7878</v>
      </c>
      <c r="E3957" s="136" t="s">
        <v>85</v>
      </c>
      <c r="F3957" s="136">
        <v>885</v>
      </c>
      <c r="G3957" s="137">
        <f t="shared" si="15"/>
        <v>4</v>
      </c>
      <c r="H3957" s="137"/>
      <c r="I3957" s="137"/>
      <c r="J3957" s="135"/>
      <c r="K3957" s="135"/>
      <c r="L3957" s="135"/>
      <c r="M3957" s="135"/>
      <c r="N3957" s="135"/>
      <c r="O3957" s="135"/>
      <c r="P3957" s="135"/>
      <c r="Q3957" s="135"/>
      <c r="R3957" s="135"/>
      <c r="S3957" s="135"/>
      <c r="T3957" s="135"/>
      <c r="U3957" s="135"/>
      <c r="V3957" s="135"/>
      <c r="W3957" s="135"/>
      <c r="X3957" s="135"/>
      <c r="Y3957" s="135"/>
      <c r="Z3957" s="135"/>
    </row>
    <row r="3958" spans="1:26" ht="25.5">
      <c r="A3958" s="136" t="s">
        <v>11</v>
      </c>
      <c r="B3958" s="136" t="s">
        <v>7932</v>
      </c>
      <c r="C3958" s="136" t="s">
        <v>269</v>
      </c>
      <c r="D3958" s="136" t="s">
        <v>1665</v>
      </c>
      <c r="E3958" s="136" t="s">
        <v>615</v>
      </c>
      <c r="F3958" s="136">
        <v>178</v>
      </c>
      <c r="G3958" s="137">
        <f t="shared" si="15"/>
        <v>5</v>
      </c>
      <c r="H3958" s="137"/>
      <c r="I3958" s="137"/>
      <c r="J3958" s="135"/>
      <c r="K3958" s="135"/>
      <c r="L3958" s="135"/>
      <c r="M3958" s="135"/>
      <c r="N3958" s="135"/>
      <c r="O3958" s="135"/>
      <c r="P3958" s="135"/>
      <c r="Q3958" s="135"/>
      <c r="R3958" s="135"/>
      <c r="S3958" s="135"/>
      <c r="T3958" s="135"/>
      <c r="U3958" s="135"/>
      <c r="V3958" s="135"/>
      <c r="W3958" s="135"/>
      <c r="X3958" s="135"/>
      <c r="Y3958" s="135"/>
      <c r="Z3958" s="135"/>
    </row>
    <row r="3959" spans="1:26" ht="25.5">
      <c r="A3959" s="136" t="s">
        <v>11</v>
      </c>
      <c r="B3959" s="136" t="s">
        <v>7932</v>
      </c>
      <c r="C3959" s="136" t="s">
        <v>269</v>
      </c>
      <c r="D3959" s="136" t="s">
        <v>7657</v>
      </c>
      <c r="E3959" s="136" t="s">
        <v>85</v>
      </c>
      <c r="F3959" s="136">
        <v>124</v>
      </c>
      <c r="G3959" s="137">
        <f t="shared" si="15"/>
        <v>6</v>
      </c>
      <c r="H3959" s="137"/>
      <c r="I3959" s="137"/>
      <c r="J3959" s="135"/>
      <c r="K3959" s="135"/>
      <c r="L3959" s="135"/>
      <c r="M3959" s="135"/>
      <c r="N3959" s="135"/>
      <c r="O3959" s="135"/>
      <c r="P3959" s="135"/>
      <c r="Q3959" s="135"/>
      <c r="R3959" s="135"/>
      <c r="S3959" s="135"/>
      <c r="T3959" s="135"/>
      <c r="U3959" s="135"/>
      <c r="V3959" s="135"/>
      <c r="W3959" s="135"/>
      <c r="X3959" s="135"/>
      <c r="Y3959" s="135"/>
      <c r="Z3959" s="135"/>
    </row>
    <row r="3960" spans="1:26" ht="25.5">
      <c r="A3960" s="136" t="s">
        <v>11</v>
      </c>
      <c r="B3960" s="136" t="s">
        <v>7932</v>
      </c>
      <c r="C3960" s="136" t="s">
        <v>269</v>
      </c>
      <c r="D3960" s="136" t="s">
        <v>136</v>
      </c>
      <c r="E3960" s="136" t="s">
        <v>615</v>
      </c>
      <c r="F3960" s="136">
        <v>87</v>
      </c>
      <c r="G3960" s="137">
        <f t="shared" si="15"/>
        <v>7</v>
      </c>
      <c r="H3960" s="137"/>
      <c r="I3960" s="137"/>
      <c r="J3960" s="135"/>
      <c r="K3960" s="135"/>
      <c r="L3960" s="135"/>
      <c r="M3960" s="135"/>
      <c r="N3960" s="135"/>
      <c r="O3960" s="135"/>
      <c r="P3960" s="135"/>
      <c r="Q3960" s="135"/>
      <c r="R3960" s="135"/>
      <c r="S3960" s="135"/>
      <c r="T3960" s="135"/>
      <c r="U3960" s="135"/>
      <c r="V3960" s="135"/>
      <c r="W3960" s="135"/>
      <c r="X3960" s="135"/>
      <c r="Y3960" s="135"/>
      <c r="Z3960" s="135"/>
    </row>
    <row r="3961" spans="1:26" ht="25.5">
      <c r="A3961" s="136" t="s">
        <v>11</v>
      </c>
      <c r="B3961" s="136" t="s">
        <v>7932</v>
      </c>
      <c r="C3961" s="136" t="s">
        <v>269</v>
      </c>
      <c r="D3961" s="136" t="s">
        <v>7948</v>
      </c>
      <c r="E3961" s="136" t="s">
        <v>86</v>
      </c>
      <c r="F3961" s="136">
        <v>82</v>
      </c>
      <c r="G3961" s="137">
        <f t="shared" si="15"/>
        <v>8</v>
      </c>
      <c r="H3961" s="137"/>
      <c r="I3961" s="137"/>
      <c r="J3961" s="135"/>
      <c r="K3961" s="135"/>
      <c r="L3961" s="135"/>
      <c r="M3961" s="135"/>
      <c r="N3961" s="135"/>
      <c r="O3961" s="135"/>
      <c r="P3961" s="135"/>
      <c r="Q3961" s="135"/>
      <c r="R3961" s="135"/>
      <c r="S3961" s="135"/>
      <c r="T3961" s="135"/>
      <c r="U3961" s="135"/>
      <c r="V3961" s="135"/>
      <c r="W3961" s="135"/>
      <c r="X3961" s="135"/>
      <c r="Y3961" s="135"/>
      <c r="Z3961" s="135"/>
    </row>
    <row r="3962" spans="1:26" ht="25.5">
      <c r="A3962" s="136" t="s">
        <v>11</v>
      </c>
      <c r="B3962" s="136" t="s">
        <v>7932</v>
      </c>
      <c r="C3962" s="136" t="s">
        <v>269</v>
      </c>
      <c r="D3962" s="136" t="s">
        <v>1680</v>
      </c>
      <c r="E3962" s="136" t="s">
        <v>615</v>
      </c>
      <c r="F3962" s="136">
        <v>68</v>
      </c>
      <c r="G3962" s="137">
        <f t="shared" si="15"/>
        <v>9</v>
      </c>
      <c r="H3962" s="137"/>
      <c r="I3962" s="137"/>
      <c r="J3962" s="135"/>
      <c r="K3962" s="135"/>
      <c r="L3962" s="135"/>
      <c r="M3962" s="135"/>
      <c r="N3962" s="135"/>
      <c r="O3962" s="135"/>
      <c r="P3962" s="135"/>
      <c r="Q3962" s="135"/>
      <c r="R3962" s="135"/>
      <c r="S3962" s="135"/>
      <c r="T3962" s="135"/>
      <c r="U3962" s="135"/>
      <c r="V3962" s="135"/>
      <c r="W3962" s="135"/>
      <c r="X3962" s="135"/>
      <c r="Y3962" s="135"/>
      <c r="Z3962" s="135"/>
    </row>
    <row r="3963" spans="1:26" ht="25.5">
      <c r="A3963" s="136" t="s">
        <v>11</v>
      </c>
      <c r="B3963" s="136" t="s">
        <v>7932</v>
      </c>
      <c r="C3963" s="136" t="s">
        <v>269</v>
      </c>
      <c r="D3963" s="136" t="s">
        <v>165</v>
      </c>
      <c r="E3963" s="136" t="s">
        <v>615</v>
      </c>
      <c r="F3963" s="136">
        <v>55</v>
      </c>
      <c r="G3963" s="137">
        <f t="shared" si="15"/>
        <v>10</v>
      </c>
      <c r="H3963" s="137"/>
      <c r="I3963" s="137"/>
      <c r="J3963" s="135"/>
      <c r="K3963" s="135"/>
      <c r="L3963" s="135"/>
      <c r="M3963" s="135"/>
      <c r="N3963" s="135"/>
      <c r="O3963" s="135"/>
      <c r="P3963" s="135"/>
      <c r="Q3963" s="135"/>
      <c r="R3963" s="135"/>
      <c r="S3963" s="135"/>
      <c r="T3963" s="135"/>
      <c r="U3963" s="135"/>
      <c r="V3963" s="135"/>
      <c r="W3963" s="135"/>
      <c r="X3963" s="135"/>
      <c r="Y3963" s="135"/>
      <c r="Z3963" s="135"/>
    </row>
    <row r="3964" spans="1:26" ht="25.5">
      <c r="A3964" s="136" t="s">
        <v>11</v>
      </c>
      <c r="B3964" s="136" t="s">
        <v>7932</v>
      </c>
      <c r="C3964" s="136" t="s">
        <v>269</v>
      </c>
      <c r="D3964" s="136" t="s">
        <v>1659</v>
      </c>
      <c r="E3964" s="136" t="s">
        <v>615</v>
      </c>
      <c r="F3964" s="136">
        <v>48</v>
      </c>
      <c r="G3964" s="137">
        <f t="shared" si="15"/>
        <v>11</v>
      </c>
      <c r="H3964" s="137"/>
      <c r="I3964" s="137"/>
      <c r="J3964" s="135"/>
      <c r="K3964" s="135"/>
      <c r="L3964" s="135"/>
      <c r="M3964" s="135"/>
      <c r="N3964" s="135"/>
      <c r="O3964" s="135"/>
      <c r="P3964" s="135"/>
      <c r="Q3964" s="135"/>
      <c r="R3964" s="135"/>
      <c r="S3964" s="135"/>
      <c r="T3964" s="135"/>
      <c r="U3964" s="135"/>
      <c r="V3964" s="135"/>
      <c r="W3964" s="135"/>
      <c r="X3964" s="135"/>
      <c r="Y3964" s="135"/>
      <c r="Z3964" s="135"/>
    </row>
    <row r="3965" spans="1:26" ht="25.5">
      <c r="A3965" s="136" t="s">
        <v>11</v>
      </c>
      <c r="B3965" s="136" t="s">
        <v>7932</v>
      </c>
      <c r="C3965" s="136" t="s">
        <v>269</v>
      </c>
      <c r="D3965" s="136" t="s">
        <v>368</v>
      </c>
      <c r="E3965" s="136" t="s">
        <v>594</v>
      </c>
      <c r="F3965" s="136">
        <v>45</v>
      </c>
      <c r="G3965" s="137">
        <f t="shared" si="15"/>
        <v>12</v>
      </c>
      <c r="H3965" s="137"/>
      <c r="I3965" s="137"/>
      <c r="J3965" s="135"/>
      <c r="K3965" s="135"/>
      <c r="L3965" s="135"/>
      <c r="M3965" s="135"/>
      <c r="N3965" s="135"/>
      <c r="O3965" s="135"/>
      <c r="P3965" s="135"/>
      <c r="Q3965" s="135"/>
      <c r="R3965" s="135"/>
      <c r="S3965" s="135"/>
      <c r="T3965" s="135"/>
      <c r="U3965" s="135"/>
      <c r="V3965" s="135"/>
      <c r="W3965" s="135"/>
      <c r="X3965" s="135"/>
      <c r="Y3965" s="135"/>
      <c r="Z3965" s="135"/>
    </row>
    <row r="3966" spans="1:26" ht="25.5">
      <c r="A3966" s="136" t="s">
        <v>11</v>
      </c>
      <c r="B3966" s="136" t="s">
        <v>7932</v>
      </c>
      <c r="C3966" s="136" t="s">
        <v>269</v>
      </c>
      <c r="D3966" s="136" t="s">
        <v>103</v>
      </c>
      <c r="E3966" s="136" t="s">
        <v>594</v>
      </c>
      <c r="F3966" s="136">
        <v>43</v>
      </c>
      <c r="G3966" s="137">
        <f t="shared" si="15"/>
        <v>13</v>
      </c>
      <c r="H3966" s="137"/>
      <c r="I3966" s="137"/>
      <c r="J3966" s="135"/>
      <c r="K3966" s="135"/>
      <c r="L3966" s="135"/>
      <c r="M3966" s="135"/>
      <c r="N3966" s="135"/>
      <c r="O3966" s="135"/>
      <c r="P3966" s="135"/>
      <c r="Q3966" s="135"/>
      <c r="R3966" s="135"/>
      <c r="S3966" s="135"/>
      <c r="T3966" s="135"/>
      <c r="U3966" s="135"/>
      <c r="V3966" s="135"/>
      <c r="W3966" s="135"/>
      <c r="X3966" s="135"/>
      <c r="Y3966" s="135"/>
      <c r="Z3966" s="135"/>
    </row>
    <row r="3967" spans="1:26" ht="25.5">
      <c r="A3967" s="136" t="s">
        <v>11</v>
      </c>
      <c r="B3967" s="136" t="s">
        <v>7932</v>
      </c>
      <c r="C3967" s="136" t="s">
        <v>269</v>
      </c>
      <c r="D3967" s="136" t="s">
        <v>1656</v>
      </c>
      <c r="E3967" s="136" t="s">
        <v>594</v>
      </c>
      <c r="F3967" s="136">
        <v>38</v>
      </c>
      <c r="G3967" s="137">
        <f t="shared" si="15"/>
        <v>14</v>
      </c>
      <c r="H3967" s="137"/>
      <c r="I3967" s="137"/>
      <c r="J3967" s="135"/>
      <c r="K3967" s="135"/>
      <c r="L3967" s="135"/>
      <c r="M3967" s="135"/>
      <c r="N3967" s="135"/>
      <c r="O3967" s="135"/>
      <c r="P3967" s="135"/>
      <c r="Q3967" s="135"/>
      <c r="R3967" s="135"/>
      <c r="S3967" s="135"/>
      <c r="T3967" s="135"/>
      <c r="U3967" s="135"/>
      <c r="V3967" s="135"/>
      <c r="W3967" s="135"/>
      <c r="X3967" s="135"/>
      <c r="Y3967" s="135"/>
      <c r="Z3967" s="135"/>
    </row>
    <row r="3968" spans="1:26" ht="25.5">
      <c r="A3968" s="136" t="s">
        <v>11</v>
      </c>
      <c r="B3968" s="136" t="s">
        <v>7932</v>
      </c>
      <c r="C3968" s="136" t="s">
        <v>269</v>
      </c>
      <c r="D3968" s="136" t="s">
        <v>437</v>
      </c>
      <c r="E3968" s="136" t="s">
        <v>594</v>
      </c>
      <c r="F3968" s="136">
        <v>21</v>
      </c>
      <c r="G3968" s="137">
        <f t="shared" si="15"/>
        <v>15</v>
      </c>
      <c r="H3968" s="137"/>
      <c r="I3968" s="137"/>
      <c r="J3968" s="135"/>
      <c r="K3968" s="135"/>
      <c r="L3968" s="135"/>
      <c r="M3968" s="135"/>
      <c r="N3968" s="135"/>
      <c r="O3968" s="135"/>
      <c r="P3968" s="135"/>
      <c r="Q3968" s="135"/>
      <c r="R3968" s="135"/>
      <c r="S3968" s="135"/>
      <c r="T3968" s="135"/>
      <c r="U3968" s="135"/>
      <c r="V3968" s="135"/>
      <c r="W3968" s="135"/>
      <c r="X3968" s="135"/>
      <c r="Y3968" s="135"/>
      <c r="Z3968" s="135"/>
    </row>
    <row r="3969" spans="1:26" ht="25.5">
      <c r="A3969" s="136" t="s">
        <v>11</v>
      </c>
      <c r="B3969" s="136" t="s">
        <v>7932</v>
      </c>
      <c r="C3969" s="136" t="s">
        <v>269</v>
      </c>
      <c r="D3969" s="136" t="s">
        <v>7937</v>
      </c>
      <c r="E3969" s="136" t="s">
        <v>86</v>
      </c>
      <c r="F3969" s="136">
        <v>16</v>
      </c>
      <c r="G3969" s="137">
        <f t="shared" si="15"/>
        <v>16</v>
      </c>
      <c r="H3969" s="137"/>
      <c r="I3969" s="137"/>
      <c r="J3969" s="135"/>
      <c r="K3969" s="135"/>
      <c r="L3969" s="135"/>
      <c r="M3969" s="135"/>
      <c r="N3969" s="135"/>
      <c r="O3969" s="135"/>
      <c r="P3969" s="135"/>
      <c r="Q3969" s="135"/>
      <c r="R3969" s="135"/>
      <c r="S3969" s="135"/>
      <c r="T3969" s="135"/>
      <c r="U3969" s="135"/>
      <c r="V3969" s="135"/>
      <c r="W3969" s="135"/>
      <c r="X3969" s="135"/>
      <c r="Y3969" s="135"/>
      <c r="Z3969" s="135"/>
    </row>
    <row r="3970" spans="1:26" ht="25.5">
      <c r="A3970" s="136" t="s">
        <v>11</v>
      </c>
      <c r="B3970" s="136" t="s">
        <v>7932</v>
      </c>
      <c r="C3970" s="136" t="s">
        <v>269</v>
      </c>
      <c r="D3970" s="136" t="s">
        <v>7617</v>
      </c>
      <c r="E3970" s="136" t="s">
        <v>615</v>
      </c>
      <c r="F3970" s="136">
        <v>12</v>
      </c>
      <c r="G3970" s="137">
        <f t="shared" si="15"/>
        <v>17</v>
      </c>
      <c r="H3970" s="137"/>
      <c r="I3970" s="137"/>
      <c r="J3970" s="135"/>
      <c r="K3970" s="135"/>
      <c r="L3970" s="135"/>
      <c r="M3970" s="135"/>
      <c r="N3970" s="135"/>
      <c r="O3970" s="135"/>
      <c r="P3970" s="135"/>
      <c r="Q3970" s="135"/>
      <c r="R3970" s="135"/>
      <c r="S3970" s="135"/>
      <c r="T3970" s="135"/>
      <c r="U3970" s="135"/>
      <c r="V3970" s="135"/>
      <c r="W3970" s="135"/>
      <c r="X3970" s="135"/>
      <c r="Y3970" s="135"/>
      <c r="Z3970" s="135"/>
    </row>
    <row r="3971" spans="1:26" ht="25.5">
      <c r="A3971" s="136" t="s">
        <v>11</v>
      </c>
      <c r="B3971" s="136" t="s">
        <v>7932</v>
      </c>
      <c r="C3971" s="136" t="s">
        <v>269</v>
      </c>
      <c r="D3971" s="136" t="s">
        <v>1626</v>
      </c>
      <c r="E3971" s="136" t="s">
        <v>594</v>
      </c>
      <c r="F3971" s="136">
        <v>12</v>
      </c>
      <c r="G3971" s="137">
        <f t="shared" si="15"/>
        <v>18</v>
      </c>
      <c r="H3971" s="137"/>
      <c r="I3971" s="137"/>
      <c r="J3971" s="135"/>
      <c r="K3971" s="135"/>
      <c r="L3971" s="135"/>
      <c r="M3971" s="135"/>
      <c r="N3971" s="135"/>
      <c r="O3971" s="135"/>
      <c r="P3971" s="135"/>
      <c r="Q3971" s="135"/>
      <c r="R3971" s="135"/>
      <c r="S3971" s="135"/>
      <c r="T3971" s="135"/>
      <c r="U3971" s="135"/>
      <c r="V3971" s="135"/>
      <c r="W3971" s="135"/>
      <c r="X3971" s="135"/>
      <c r="Y3971" s="135"/>
      <c r="Z3971" s="135"/>
    </row>
    <row r="3972" spans="1:26" ht="25.5">
      <c r="A3972" s="136" t="s">
        <v>11</v>
      </c>
      <c r="B3972" s="136" t="s">
        <v>7932</v>
      </c>
      <c r="C3972" s="136" t="s">
        <v>269</v>
      </c>
      <c r="D3972" s="136" t="s">
        <v>131</v>
      </c>
      <c r="E3972" s="136" t="s">
        <v>594</v>
      </c>
      <c r="F3972" s="136">
        <v>5</v>
      </c>
      <c r="G3972" s="137">
        <f t="shared" si="15"/>
        <v>19</v>
      </c>
      <c r="H3972" s="137"/>
      <c r="I3972" s="137"/>
      <c r="J3972" s="135"/>
      <c r="K3972" s="135"/>
      <c r="L3972" s="135"/>
      <c r="M3972" s="135"/>
      <c r="N3972" s="135"/>
      <c r="O3972" s="135"/>
      <c r="P3972" s="135"/>
      <c r="Q3972" s="135"/>
      <c r="R3972" s="135"/>
      <c r="S3972" s="135"/>
      <c r="T3972" s="135"/>
      <c r="U3972" s="135"/>
      <c r="V3972" s="135"/>
      <c r="W3972" s="135"/>
      <c r="X3972" s="135"/>
      <c r="Y3972" s="135"/>
      <c r="Z3972" s="135"/>
    </row>
    <row r="3973" spans="1:26" ht="25.5">
      <c r="A3973" s="136" t="s">
        <v>11</v>
      </c>
      <c r="B3973" s="136" t="s">
        <v>7932</v>
      </c>
      <c r="C3973" s="136" t="s">
        <v>7949</v>
      </c>
      <c r="D3973" s="136" t="s">
        <v>1669</v>
      </c>
      <c r="E3973" s="136" t="s">
        <v>615</v>
      </c>
      <c r="F3973" s="136">
        <v>2417</v>
      </c>
      <c r="G3973" s="137">
        <f t="shared" si="15"/>
        <v>1</v>
      </c>
      <c r="H3973" s="137"/>
      <c r="I3973" s="137"/>
      <c r="J3973" s="135"/>
      <c r="K3973" s="135"/>
      <c r="L3973" s="135"/>
      <c r="M3973" s="135"/>
      <c r="N3973" s="135"/>
      <c r="O3973" s="135"/>
      <c r="P3973" s="135"/>
      <c r="Q3973" s="135"/>
      <c r="R3973" s="135"/>
      <c r="S3973" s="135"/>
      <c r="T3973" s="135"/>
      <c r="U3973" s="135"/>
      <c r="V3973" s="135"/>
      <c r="W3973" s="135"/>
      <c r="X3973" s="135"/>
      <c r="Y3973" s="135"/>
      <c r="Z3973" s="135"/>
    </row>
    <row r="3974" spans="1:26" ht="25.5">
      <c r="A3974" s="136" t="s">
        <v>11</v>
      </c>
      <c r="B3974" s="136" t="s">
        <v>7932</v>
      </c>
      <c r="C3974" s="136" t="s">
        <v>7949</v>
      </c>
      <c r="D3974" s="136" t="s">
        <v>139</v>
      </c>
      <c r="E3974" s="136" t="s">
        <v>594</v>
      </c>
      <c r="F3974" s="136">
        <v>1045</v>
      </c>
      <c r="G3974" s="137">
        <f t="shared" si="15"/>
        <v>2</v>
      </c>
      <c r="H3974" s="137"/>
      <c r="I3974" s="137"/>
      <c r="J3974" s="135"/>
      <c r="K3974" s="135"/>
      <c r="L3974" s="135"/>
      <c r="M3974" s="135"/>
      <c r="N3974" s="135"/>
      <c r="O3974" s="135"/>
      <c r="P3974" s="135"/>
      <c r="Q3974" s="135"/>
      <c r="R3974" s="135"/>
      <c r="S3974" s="135"/>
      <c r="T3974" s="135"/>
      <c r="U3974" s="135"/>
      <c r="V3974" s="135"/>
      <c r="W3974" s="135"/>
      <c r="X3974" s="135"/>
      <c r="Y3974" s="135"/>
      <c r="Z3974" s="135"/>
    </row>
    <row r="3975" spans="1:26" ht="25.5">
      <c r="A3975" s="136" t="s">
        <v>11</v>
      </c>
      <c r="B3975" s="136" t="s">
        <v>7932</v>
      </c>
      <c r="C3975" s="136" t="s">
        <v>7949</v>
      </c>
      <c r="D3975" s="136" t="s">
        <v>7878</v>
      </c>
      <c r="E3975" s="136" t="s">
        <v>85</v>
      </c>
      <c r="F3975" s="136">
        <v>552</v>
      </c>
      <c r="G3975" s="137">
        <f t="shared" si="15"/>
        <v>3</v>
      </c>
      <c r="H3975" s="137"/>
      <c r="I3975" s="137"/>
      <c r="J3975" s="135"/>
      <c r="K3975" s="135"/>
      <c r="L3975" s="135"/>
      <c r="M3975" s="135"/>
      <c r="N3975" s="135"/>
      <c r="O3975" s="135"/>
      <c r="P3975" s="135"/>
      <c r="Q3975" s="135"/>
      <c r="R3975" s="135"/>
      <c r="S3975" s="135"/>
      <c r="T3975" s="135"/>
      <c r="U3975" s="135"/>
      <c r="V3975" s="135"/>
      <c r="W3975" s="135"/>
      <c r="X3975" s="135"/>
      <c r="Y3975" s="135"/>
      <c r="Z3975" s="135"/>
    </row>
    <row r="3976" spans="1:26" ht="25.5">
      <c r="A3976" s="136" t="s">
        <v>11</v>
      </c>
      <c r="B3976" s="136" t="s">
        <v>7932</v>
      </c>
      <c r="C3976" s="136" t="s">
        <v>7949</v>
      </c>
      <c r="D3976" s="136" t="s">
        <v>1680</v>
      </c>
      <c r="E3976" s="136" t="s">
        <v>615</v>
      </c>
      <c r="F3976" s="136">
        <v>331</v>
      </c>
      <c r="G3976" s="137">
        <f t="shared" si="15"/>
        <v>4</v>
      </c>
      <c r="H3976" s="137"/>
      <c r="I3976" s="137"/>
      <c r="J3976" s="135"/>
      <c r="K3976" s="135"/>
      <c r="L3976" s="135"/>
      <c r="M3976" s="135"/>
      <c r="N3976" s="135"/>
      <c r="O3976" s="135"/>
      <c r="P3976" s="135"/>
      <c r="Q3976" s="135"/>
      <c r="R3976" s="135"/>
      <c r="S3976" s="135"/>
      <c r="T3976" s="135"/>
      <c r="U3976" s="135"/>
      <c r="V3976" s="135"/>
      <c r="W3976" s="135"/>
      <c r="X3976" s="135"/>
      <c r="Y3976" s="135"/>
      <c r="Z3976" s="135"/>
    </row>
    <row r="3977" spans="1:26" ht="25.5">
      <c r="A3977" s="136" t="s">
        <v>11</v>
      </c>
      <c r="B3977" s="136" t="s">
        <v>7932</v>
      </c>
      <c r="C3977" s="136" t="s">
        <v>7949</v>
      </c>
      <c r="D3977" s="136" t="s">
        <v>1665</v>
      </c>
      <c r="E3977" s="136" t="s">
        <v>615</v>
      </c>
      <c r="F3977" s="136">
        <v>267</v>
      </c>
      <c r="G3977" s="137">
        <f t="shared" si="15"/>
        <v>5</v>
      </c>
      <c r="H3977" s="137"/>
      <c r="I3977" s="137"/>
      <c r="J3977" s="135"/>
      <c r="K3977" s="135"/>
      <c r="L3977" s="135"/>
      <c r="M3977" s="135"/>
      <c r="N3977" s="135"/>
      <c r="O3977" s="135"/>
      <c r="P3977" s="135"/>
      <c r="Q3977" s="135"/>
      <c r="R3977" s="135"/>
      <c r="S3977" s="135"/>
      <c r="T3977" s="135"/>
      <c r="U3977" s="135"/>
      <c r="V3977" s="135"/>
      <c r="W3977" s="135"/>
      <c r="X3977" s="135"/>
      <c r="Y3977" s="135"/>
      <c r="Z3977" s="135"/>
    </row>
    <row r="3978" spans="1:26" ht="25.5">
      <c r="A3978" s="136" t="s">
        <v>11</v>
      </c>
      <c r="B3978" s="136" t="s">
        <v>7932</v>
      </c>
      <c r="C3978" s="136" t="s">
        <v>7949</v>
      </c>
      <c r="D3978" s="136" t="s">
        <v>368</v>
      </c>
      <c r="E3978" s="136" t="s">
        <v>594</v>
      </c>
      <c r="F3978" s="136">
        <v>253</v>
      </c>
      <c r="G3978" s="137">
        <f t="shared" si="15"/>
        <v>6</v>
      </c>
      <c r="H3978" s="137"/>
      <c r="I3978" s="137"/>
      <c r="J3978" s="135"/>
      <c r="K3978" s="135"/>
      <c r="L3978" s="135"/>
      <c r="M3978" s="135"/>
      <c r="N3978" s="135"/>
      <c r="O3978" s="135"/>
      <c r="P3978" s="135"/>
      <c r="Q3978" s="135"/>
      <c r="R3978" s="135"/>
      <c r="S3978" s="135"/>
      <c r="T3978" s="135"/>
      <c r="U3978" s="135"/>
      <c r="V3978" s="135"/>
      <c r="W3978" s="135"/>
      <c r="X3978" s="135"/>
      <c r="Y3978" s="135"/>
      <c r="Z3978" s="135"/>
    </row>
    <row r="3979" spans="1:26" ht="25.5">
      <c r="A3979" s="136" t="s">
        <v>11</v>
      </c>
      <c r="B3979" s="136" t="s">
        <v>7932</v>
      </c>
      <c r="C3979" s="136" t="s">
        <v>7949</v>
      </c>
      <c r="D3979" s="136" t="s">
        <v>136</v>
      </c>
      <c r="E3979" s="136" t="s">
        <v>615</v>
      </c>
      <c r="F3979" s="136">
        <v>209</v>
      </c>
      <c r="G3979" s="137">
        <f t="shared" si="15"/>
        <v>7</v>
      </c>
      <c r="H3979" s="137"/>
      <c r="I3979" s="137"/>
      <c r="J3979" s="135"/>
      <c r="K3979" s="135"/>
      <c r="L3979" s="135"/>
      <c r="M3979" s="135"/>
      <c r="N3979" s="135"/>
      <c r="O3979" s="135"/>
      <c r="P3979" s="135"/>
      <c r="Q3979" s="135"/>
      <c r="R3979" s="135"/>
      <c r="S3979" s="135"/>
      <c r="T3979" s="135"/>
      <c r="U3979" s="135"/>
      <c r="V3979" s="135"/>
      <c r="W3979" s="135"/>
      <c r="X3979" s="135"/>
      <c r="Y3979" s="135"/>
      <c r="Z3979" s="135"/>
    </row>
    <row r="3980" spans="1:26" ht="25.5">
      <c r="A3980" s="136" t="s">
        <v>11</v>
      </c>
      <c r="B3980" s="136" t="s">
        <v>7932</v>
      </c>
      <c r="C3980" s="136" t="s">
        <v>7949</v>
      </c>
      <c r="D3980" s="136" t="s">
        <v>1626</v>
      </c>
      <c r="E3980" s="136" t="s">
        <v>594</v>
      </c>
      <c r="F3980" s="136">
        <v>209</v>
      </c>
      <c r="G3980" s="137">
        <f t="shared" si="15"/>
        <v>8</v>
      </c>
      <c r="H3980" s="137"/>
      <c r="I3980" s="137"/>
      <c r="J3980" s="135"/>
      <c r="K3980" s="135"/>
      <c r="L3980" s="135"/>
      <c r="M3980" s="135"/>
      <c r="N3980" s="135"/>
      <c r="O3980" s="135"/>
      <c r="P3980" s="135"/>
      <c r="Q3980" s="135"/>
      <c r="R3980" s="135"/>
      <c r="S3980" s="135"/>
      <c r="T3980" s="135"/>
      <c r="U3980" s="135"/>
      <c r="V3980" s="135"/>
      <c r="W3980" s="135"/>
      <c r="X3980" s="135"/>
      <c r="Y3980" s="135"/>
      <c r="Z3980" s="135"/>
    </row>
    <row r="3981" spans="1:26" ht="25.5">
      <c r="A3981" s="136" t="s">
        <v>11</v>
      </c>
      <c r="B3981" s="136" t="s">
        <v>7932</v>
      </c>
      <c r="C3981" s="136" t="s">
        <v>7949</v>
      </c>
      <c r="D3981" s="136" t="s">
        <v>1659</v>
      </c>
      <c r="E3981" s="136" t="s">
        <v>615</v>
      </c>
      <c r="F3981" s="136">
        <v>129</v>
      </c>
      <c r="G3981" s="137">
        <f t="shared" si="15"/>
        <v>9</v>
      </c>
      <c r="H3981" s="137"/>
      <c r="I3981" s="137"/>
      <c r="J3981" s="135"/>
      <c r="K3981" s="135"/>
      <c r="L3981" s="135"/>
      <c r="M3981" s="135"/>
      <c r="N3981" s="135"/>
      <c r="O3981" s="135"/>
      <c r="P3981" s="135"/>
      <c r="Q3981" s="135"/>
      <c r="R3981" s="135"/>
      <c r="S3981" s="135"/>
      <c r="T3981" s="135"/>
      <c r="U3981" s="135"/>
      <c r="V3981" s="135"/>
      <c r="W3981" s="135"/>
      <c r="X3981" s="135"/>
      <c r="Y3981" s="135"/>
      <c r="Z3981" s="135"/>
    </row>
    <row r="3982" spans="1:26" ht="25.5">
      <c r="A3982" s="136" t="s">
        <v>11</v>
      </c>
      <c r="B3982" s="136" t="s">
        <v>7932</v>
      </c>
      <c r="C3982" s="136" t="s">
        <v>7949</v>
      </c>
      <c r="D3982" s="136" t="s">
        <v>131</v>
      </c>
      <c r="E3982" s="136" t="s">
        <v>594</v>
      </c>
      <c r="F3982" s="136">
        <v>108</v>
      </c>
      <c r="G3982" s="137">
        <f t="shared" si="15"/>
        <v>10</v>
      </c>
      <c r="H3982" s="137"/>
      <c r="I3982" s="137"/>
      <c r="J3982" s="135"/>
      <c r="K3982" s="135"/>
      <c r="L3982" s="135"/>
      <c r="M3982" s="135"/>
      <c r="N3982" s="135"/>
      <c r="O3982" s="135"/>
      <c r="P3982" s="135"/>
      <c r="Q3982" s="135"/>
      <c r="R3982" s="135"/>
      <c r="S3982" s="135"/>
      <c r="T3982" s="135"/>
      <c r="U3982" s="135"/>
      <c r="V3982" s="135"/>
      <c r="W3982" s="135"/>
      <c r="X3982" s="135"/>
      <c r="Y3982" s="135"/>
      <c r="Z3982" s="135"/>
    </row>
    <row r="3983" spans="1:26" ht="25.5">
      <c r="A3983" s="136" t="s">
        <v>11</v>
      </c>
      <c r="B3983" s="136" t="s">
        <v>7932</v>
      </c>
      <c r="C3983" s="136" t="s">
        <v>7949</v>
      </c>
      <c r="D3983" s="136" t="s">
        <v>1639</v>
      </c>
      <c r="E3983" s="136" t="s">
        <v>615</v>
      </c>
      <c r="F3983" s="136">
        <v>93</v>
      </c>
      <c r="G3983" s="137">
        <f t="shared" si="15"/>
        <v>11</v>
      </c>
      <c r="H3983" s="137"/>
      <c r="I3983" s="137"/>
      <c r="J3983" s="135"/>
      <c r="K3983" s="135"/>
      <c r="L3983" s="135"/>
      <c r="M3983" s="135"/>
      <c r="N3983" s="135"/>
      <c r="O3983" s="135"/>
      <c r="P3983" s="135"/>
      <c r="Q3983" s="135"/>
      <c r="R3983" s="135"/>
      <c r="S3983" s="135"/>
      <c r="T3983" s="135"/>
      <c r="U3983" s="135"/>
      <c r="V3983" s="135"/>
      <c r="W3983" s="135"/>
      <c r="X3983" s="135"/>
      <c r="Y3983" s="135"/>
      <c r="Z3983" s="135"/>
    </row>
    <row r="3984" spans="1:26" ht="25.5">
      <c r="A3984" s="136" t="s">
        <v>11</v>
      </c>
      <c r="B3984" s="136" t="s">
        <v>7932</v>
      </c>
      <c r="C3984" s="136" t="s">
        <v>7949</v>
      </c>
      <c r="D3984" s="136" t="s">
        <v>165</v>
      </c>
      <c r="E3984" s="136" t="s">
        <v>615</v>
      </c>
      <c r="F3984" s="136">
        <v>72</v>
      </c>
      <c r="G3984" s="137">
        <f t="shared" si="15"/>
        <v>12</v>
      </c>
      <c r="H3984" s="137"/>
      <c r="I3984" s="137"/>
      <c r="J3984" s="135"/>
      <c r="K3984" s="135"/>
      <c r="L3984" s="135"/>
      <c r="M3984" s="135"/>
      <c r="N3984" s="135"/>
      <c r="O3984" s="135"/>
      <c r="P3984" s="135"/>
      <c r="Q3984" s="135"/>
      <c r="R3984" s="135"/>
      <c r="S3984" s="135"/>
      <c r="T3984" s="135"/>
      <c r="U3984" s="135"/>
      <c r="V3984" s="135"/>
      <c r="W3984" s="135"/>
      <c r="X3984" s="135"/>
      <c r="Y3984" s="135"/>
      <c r="Z3984" s="135"/>
    </row>
    <row r="3985" spans="1:26" ht="25.5">
      <c r="A3985" s="136" t="s">
        <v>11</v>
      </c>
      <c r="B3985" s="136" t="s">
        <v>7932</v>
      </c>
      <c r="C3985" s="136" t="s">
        <v>7949</v>
      </c>
      <c r="D3985" s="136" t="s">
        <v>1656</v>
      </c>
      <c r="E3985" s="136" t="s">
        <v>594</v>
      </c>
      <c r="F3985" s="136">
        <v>63</v>
      </c>
      <c r="G3985" s="137">
        <f t="shared" si="15"/>
        <v>13</v>
      </c>
      <c r="H3985" s="137"/>
      <c r="I3985" s="137"/>
      <c r="J3985" s="135"/>
      <c r="K3985" s="135"/>
      <c r="L3985" s="135"/>
      <c r="M3985" s="135"/>
      <c r="N3985" s="135"/>
      <c r="O3985" s="135"/>
      <c r="P3985" s="135"/>
      <c r="Q3985" s="135"/>
      <c r="R3985" s="135"/>
      <c r="S3985" s="135"/>
      <c r="T3985" s="135"/>
      <c r="U3985" s="135"/>
      <c r="V3985" s="135"/>
      <c r="W3985" s="135"/>
      <c r="X3985" s="135"/>
      <c r="Y3985" s="135"/>
      <c r="Z3985" s="135"/>
    </row>
    <row r="3986" spans="1:26" ht="25.5">
      <c r="A3986" s="136" t="s">
        <v>11</v>
      </c>
      <c r="B3986" s="136" t="s">
        <v>7932</v>
      </c>
      <c r="C3986" s="136" t="s">
        <v>7949</v>
      </c>
      <c r="D3986" s="136" t="s">
        <v>7935</v>
      </c>
      <c r="E3986" s="136" t="s">
        <v>615</v>
      </c>
      <c r="F3986" s="136">
        <v>52</v>
      </c>
      <c r="G3986" s="137">
        <f t="shared" si="15"/>
        <v>14</v>
      </c>
      <c r="H3986" s="137"/>
      <c r="I3986" s="137"/>
      <c r="J3986" s="135"/>
      <c r="K3986" s="135"/>
      <c r="L3986" s="135"/>
      <c r="M3986" s="135"/>
      <c r="N3986" s="135"/>
      <c r="O3986" s="135"/>
      <c r="P3986" s="135"/>
      <c r="Q3986" s="135"/>
      <c r="R3986" s="135"/>
      <c r="S3986" s="135"/>
      <c r="T3986" s="135"/>
      <c r="U3986" s="135"/>
      <c r="V3986" s="135"/>
      <c r="W3986" s="135"/>
      <c r="X3986" s="135"/>
      <c r="Y3986" s="135"/>
      <c r="Z3986" s="135"/>
    </row>
    <row r="3987" spans="1:26" ht="25.5">
      <c r="A3987" s="136" t="s">
        <v>11</v>
      </c>
      <c r="B3987" s="136" t="s">
        <v>7932</v>
      </c>
      <c r="C3987" s="136" t="s">
        <v>7949</v>
      </c>
      <c r="D3987" s="136" t="s">
        <v>7657</v>
      </c>
      <c r="E3987" s="136"/>
      <c r="F3987" s="136">
        <v>52</v>
      </c>
      <c r="G3987" s="137">
        <f t="shared" si="15"/>
        <v>15</v>
      </c>
      <c r="H3987" s="137"/>
      <c r="I3987" s="137"/>
      <c r="J3987" s="135"/>
      <c r="K3987" s="135"/>
      <c r="L3987" s="135"/>
      <c r="M3987" s="135"/>
      <c r="N3987" s="135"/>
      <c r="O3987" s="135"/>
      <c r="P3987" s="135"/>
      <c r="Q3987" s="135"/>
      <c r="R3987" s="135"/>
      <c r="S3987" s="135"/>
      <c r="T3987" s="135"/>
      <c r="U3987" s="135"/>
      <c r="V3987" s="135"/>
      <c r="W3987" s="135"/>
      <c r="X3987" s="135"/>
      <c r="Y3987" s="135"/>
      <c r="Z3987" s="135"/>
    </row>
    <row r="3988" spans="1:26" ht="25.5">
      <c r="A3988" s="136" t="s">
        <v>11</v>
      </c>
      <c r="B3988" s="136" t="s">
        <v>7932</v>
      </c>
      <c r="C3988" s="136" t="s">
        <v>7949</v>
      </c>
      <c r="D3988" s="136" t="s">
        <v>7950</v>
      </c>
      <c r="E3988" s="136" t="s">
        <v>615</v>
      </c>
      <c r="F3988" s="136">
        <v>49</v>
      </c>
      <c r="G3988" s="137">
        <f t="shared" si="15"/>
        <v>16</v>
      </c>
      <c r="H3988" s="137"/>
      <c r="I3988" s="137"/>
      <c r="J3988" s="135"/>
      <c r="K3988" s="135"/>
      <c r="L3988" s="135"/>
      <c r="M3988" s="135"/>
      <c r="N3988" s="135"/>
      <c r="O3988" s="135"/>
      <c r="P3988" s="135"/>
      <c r="Q3988" s="135"/>
      <c r="R3988" s="135"/>
      <c r="S3988" s="135"/>
      <c r="T3988" s="135"/>
      <c r="U3988" s="135"/>
      <c r="V3988" s="135"/>
      <c r="W3988" s="135"/>
      <c r="X3988" s="135"/>
      <c r="Y3988" s="135"/>
      <c r="Z3988" s="135"/>
    </row>
    <row r="3989" spans="1:26" ht="25.5">
      <c r="A3989" s="136" t="s">
        <v>11</v>
      </c>
      <c r="B3989" s="136" t="s">
        <v>7932</v>
      </c>
      <c r="C3989" s="136" t="s">
        <v>7949</v>
      </c>
      <c r="D3989" s="136" t="s">
        <v>7951</v>
      </c>
      <c r="E3989" s="136" t="s">
        <v>615</v>
      </c>
      <c r="F3989" s="136">
        <v>40</v>
      </c>
      <c r="G3989" s="137">
        <f t="shared" si="15"/>
        <v>17</v>
      </c>
      <c r="H3989" s="137"/>
      <c r="I3989" s="137"/>
      <c r="J3989" s="135"/>
      <c r="K3989" s="135"/>
      <c r="L3989" s="135"/>
      <c r="M3989" s="135"/>
      <c r="N3989" s="135"/>
      <c r="O3989" s="135"/>
      <c r="P3989" s="135"/>
      <c r="Q3989" s="135"/>
      <c r="R3989" s="135"/>
      <c r="S3989" s="135"/>
      <c r="T3989" s="135"/>
      <c r="U3989" s="135"/>
      <c r="V3989" s="135"/>
      <c r="W3989" s="135"/>
      <c r="X3989" s="135"/>
      <c r="Y3989" s="135"/>
      <c r="Z3989" s="135"/>
    </row>
    <row r="3990" spans="1:26" ht="25.5">
      <c r="A3990" s="136" t="s">
        <v>11</v>
      </c>
      <c r="B3990" s="136" t="s">
        <v>7932</v>
      </c>
      <c r="C3990" s="136" t="s">
        <v>7949</v>
      </c>
      <c r="D3990" s="136" t="s">
        <v>451</v>
      </c>
      <c r="E3990" s="136" t="s">
        <v>594</v>
      </c>
      <c r="F3990" s="136">
        <v>39</v>
      </c>
      <c r="G3990" s="137">
        <f t="shared" si="15"/>
        <v>18</v>
      </c>
      <c r="H3990" s="137"/>
      <c r="I3990" s="137"/>
      <c r="J3990" s="135"/>
      <c r="K3990" s="135"/>
      <c r="L3990" s="135"/>
      <c r="M3990" s="135"/>
      <c r="N3990" s="135"/>
      <c r="O3990" s="135"/>
      <c r="P3990" s="135"/>
      <c r="Q3990" s="135"/>
      <c r="R3990" s="135"/>
      <c r="S3990" s="135"/>
      <c r="T3990" s="135"/>
      <c r="U3990" s="135"/>
      <c r="V3990" s="135"/>
      <c r="W3990" s="135"/>
      <c r="X3990" s="135"/>
      <c r="Y3990" s="135"/>
      <c r="Z3990" s="135"/>
    </row>
    <row r="3991" spans="1:26" ht="25.5">
      <c r="A3991" s="136" t="s">
        <v>11</v>
      </c>
      <c r="B3991" s="136" t="s">
        <v>7932</v>
      </c>
      <c r="C3991" s="136" t="s">
        <v>7949</v>
      </c>
      <c r="D3991" s="136" t="s">
        <v>7946</v>
      </c>
      <c r="E3991" s="136" t="s">
        <v>594</v>
      </c>
      <c r="F3991" s="136">
        <v>39</v>
      </c>
      <c r="G3991" s="137">
        <f t="shared" si="15"/>
        <v>19</v>
      </c>
      <c r="H3991" s="137"/>
      <c r="I3991" s="137"/>
      <c r="J3991" s="135"/>
      <c r="K3991" s="135"/>
      <c r="L3991" s="135"/>
      <c r="M3991" s="135"/>
      <c r="N3991" s="135"/>
      <c r="O3991" s="135"/>
      <c r="P3991" s="135"/>
      <c r="Q3991" s="135"/>
      <c r="R3991" s="135"/>
      <c r="S3991" s="135"/>
      <c r="T3991" s="135"/>
      <c r="U3991" s="135"/>
      <c r="V3991" s="135"/>
      <c r="W3991" s="135"/>
      <c r="X3991" s="135"/>
      <c r="Y3991" s="135"/>
      <c r="Z3991" s="135"/>
    </row>
    <row r="3992" spans="1:26" ht="25.5">
      <c r="A3992" s="136" t="s">
        <v>11</v>
      </c>
      <c r="B3992" s="136" t="s">
        <v>7932</v>
      </c>
      <c r="C3992" s="136" t="s">
        <v>7949</v>
      </c>
      <c r="D3992" s="136" t="s">
        <v>7952</v>
      </c>
      <c r="E3992" s="136" t="s">
        <v>615</v>
      </c>
      <c r="F3992" s="136">
        <v>34</v>
      </c>
      <c r="G3992" s="137">
        <f t="shared" si="15"/>
        <v>20</v>
      </c>
      <c r="H3992" s="137"/>
      <c r="I3992" s="137"/>
      <c r="J3992" s="135"/>
      <c r="K3992" s="135"/>
      <c r="L3992" s="135"/>
      <c r="M3992" s="135"/>
      <c r="N3992" s="135"/>
      <c r="O3992" s="135"/>
      <c r="P3992" s="135"/>
      <c r="Q3992" s="135"/>
      <c r="R3992" s="135"/>
      <c r="S3992" s="135"/>
      <c r="T3992" s="135"/>
      <c r="U3992" s="135"/>
      <c r="V3992" s="135"/>
      <c r="W3992" s="135"/>
      <c r="X3992" s="135"/>
      <c r="Y3992" s="135"/>
      <c r="Z3992" s="135"/>
    </row>
    <row r="3993" spans="1:26" ht="25.5">
      <c r="A3993" s="136" t="s">
        <v>11</v>
      </c>
      <c r="B3993" s="136" t="s">
        <v>7932</v>
      </c>
      <c r="C3993" s="136" t="s">
        <v>7949</v>
      </c>
      <c r="D3993" s="136" t="s">
        <v>1614</v>
      </c>
      <c r="E3993" s="136" t="s">
        <v>594</v>
      </c>
      <c r="F3993" s="136">
        <v>29</v>
      </c>
      <c r="G3993" s="137">
        <f t="shared" si="15"/>
        <v>21</v>
      </c>
      <c r="H3993" s="137"/>
      <c r="I3993" s="137"/>
      <c r="J3993" s="135"/>
      <c r="K3993" s="135"/>
      <c r="L3993" s="135"/>
      <c r="M3993" s="135"/>
      <c r="N3993" s="135"/>
      <c r="O3993" s="135"/>
      <c r="P3993" s="135"/>
      <c r="Q3993" s="135"/>
      <c r="R3993" s="135"/>
      <c r="S3993" s="135"/>
      <c r="T3993" s="135"/>
      <c r="U3993" s="135"/>
      <c r="V3993" s="135"/>
      <c r="W3993" s="135"/>
      <c r="X3993" s="135"/>
      <c r="Y3993" s="135"/>
      <c r="Z3993" s="135"/>
    </row>
    <row r="3994" spans="1:26" ht="25.5">
      <c r="A3994" s="136" t="s">
        <v>11</v>
      </c>
      <c r="B3994" s="136" t="s">
        <v>7932</v>
      </c>
      <c r="C3994" s="136" t="s">
        <v>7949</v>
      </c>
      <c r="D3994" s="136" t="s">
        <v>437</v>
      </c>
      <c r="E3994" s="136" t="s">
        <v>594</v>
      </c>
      <c r="F3994" s="136">
        <v>28</v>
      </c>
      <c r="G3994" s="137">
        <f t="shared" si="15"/>
        <v>22</v>
      </c>
      <c r="H3994" s="137"/>
      <c r="I3994" s="137"/>
      <c r="J3994" s="135"/>
      <c r="K3994" s="135"/>
      <c r="L3994" s="135"/>
      <c r="M3994" s="135"/>
      <c r="N3994" s="135"/>
      <c r="O3994" s="135"/>
      <c r="P3994" s="135"/>
      <c r="Q3994" s="135"/>
      <c r="R3994" s="135"/>
      <c r="S3994" s="135"/>
      <c r="T3994" s="135"/>
      <c r="U3994" s="135"/>
      <c r="V3994" s="135"/>
      <c r="W3994" s="135"/>
      <c r="X3994" s="135"/>
      <c r="Y3994" s="135"/>
      <c r="Z3994" s="135"/>
    </row>
    <row r="3995" spans="1:26" ht="25.5">
      <c r="A3995" s="136" t="s">
        <v>11</v>
      </c>
      <c r="B3995" s="136" t="s">
        <v>7932</v>
      </c>
      <c r="C3995" s="136" t="s">
        <v>7949</v>
      </c>
      <c r="D3995" s="136" t="s">
        <v>103</v>
      </c>
      <c r="E3995" s="136" t="s">
        <v>594</v>
      </c>
      <c r="F3995" s="136">
        <v>8</v>
      </c>
      <c r="G3995" s="137">
        <f t="shared" si="15"/>
        <v>23</v>
      </c>
      <c r="H3995" s="137"/>
      <c r="I3995" s="137"/>
      <c r="J3995" s="135"/>
      <c r="K3995" s="135"/>
      <c r="L3995" s="135"/>
      <c r="M3995" s="135"/>
      <c r="N3995" s="135"/>
      <c r="O3995" s="135"/>
      <c r="P3995" s="135"/>
      <c r="Q3995" s="135"/>
      <c r="R3995" s="135"/>
      <c r="S3995" s="135"/>
      <c r="T3995" s="135"/>
      <c r="U3995" s="135"/>
      <c r="V3995" s="135"/>
      <c r="W3995" s="135"/>
      <c r="X3995" s="135"/>
      <c r="Y3995" s="135"/>
      <c r="Z3995" s="135"/>
    </row>
    <row r="3996" spans="1:26" ht="25.5">
      <c r="A3996" s="136" t="s">
        <v>11</v>
      </c>
      <c r="B3996" s="136" t="s">
        <v>7932</v>
      </c>
      <c r="C3996" s="136" t="s">
        <v>7949</v>
      </c>
      <c r="D3996" s="136" t="s">
        <v>7953</v>
      </c>
      <c r="E3996" s="136" t="s">
        <v>86</v>
      </c>
      <c r="F3996" s="136">
        <v>8</v>
      </c>
      <c r="G3996" s="137">
        <f t="shared" si="15"/>
        <v>24</v>
      </c>
      <c r="H3996" s="137"/>
      <c r="I3996" s="137"/>
      <c r="J3996" s="135"/>
      <c r="K3996" s="135"/>
      <c r="L3996" s="135"/>
      <c r="M3996" s="135"/>
      <c r="N3996" s="135"/>
      <c r="O3996" s="135"/>
      <c r="P3996" s="135"/>
      <c r="Q3996" s="135"/>
      <c r="R3996" s="135"/>
      <c r="S3996" s="135"/>
      <c r="T3996" s="135"/>
      <c r="U3996" s="135"/>
      <c r="V3996" s="135"/>
      <c r="W3996" s="135"/>
      <c r="X3996" s="135"/>
      <c r="Y3996" s="135"/>
      <c r="Z3996" s="135"/>
    </row>
    <row r="3997" spans="1:26" ht="25.5">
      <c r="A3997" s="136" t="s">
        <v>11</v>
      </c>
      <c r="B3997" s="136" t="s">
        <v>7932</v>
      </c>
      <c r="C3997" s="136" t="s">
        <v>7949</v>
      </c>
      <c r="D3997" s="136" t="s">
        <v>7954</v>
      </c>
      <c r="E3997" s="136" t="s">
        <v>85</v>
      </c>
      <c r="F3997" s="136">
        <v>4</v>
      </c>
      <c r="G3997" s="137">
        <f t="shared" si="15"/>
        <v>25</v>
      </c>
      <c r="H3997" s="137"/>
      <c r="I3997" s="137"/>
      <c r="J3997" s="135"/>
      <c r="K3997" s="135"/>
      <c r="L3997" s="135"/>
      <c r="M3997" s="135"/>
      <c r="N3997" s="135"/>
      <c r="O3997" s="135"/>
      <c r="P3997" s="135"/>
      <c r="Q3997" s="135"/>
      <c r="R3997" s="135"/>
      <c r="S3997" s="135"/>
      <c r="T3997" s="135"/>
      <c r="U3997" s="135"/>
      <c r="V3997" s="135"/>
      <c r="W3997" s="135"/>
      <c r="X3997" s="135"/>
      <c r="Y3997" s="135"/>
      <c r="Z3997" s="135"/>
    </row>
    <row r="3998" spans="1:26" ht="25.5">
      <c r="A3998" s="136" t="s">
        <v>11</v>
      </c>
      <c r="B3998" s="136" t="s">
        <v>7932</v>
      </c>
      <c r="C3998" s="136" t="s">
        <v>296</v>
      </c>
      <c r="D3998" s="136" t="s">
        <v>1669</v>
      </c>
      <c r="E3998" s="136" t="s">
        <v>615</v>
      </c>
      <c r="F3998" s="136">
        <v>2979</v>
      </c>
      <c r="G3998" s="137">
        <f t="shared" si="15"/>
        <v>1</v>
      </c>
      <c r="H3998" s="137"/>
      <c r="I3998" s="137"/>
      <c r="J3998" s="135"/>
      <c r="K3998" s="135"/>
      <c r="L3998" s="135"/>
      <c r="M3998" s="135"/>
      <c r="N3998" s="135"/>
      <c r="O3998" s="135"/>
      <c r="P3998" s="135"/>
      <c r="Q3998" s="135"/>
      <c r="R3998" s="135"/>
      <c r="S3998" s="135"/>
      <c r="T3998" s="135"/>
      <c r="U3998" s="135"/>
      <c r="V3998" s="135"/>
      <c r="W3998" s="135"/>
      <c r="X3998" s="135"/>
      <c r="Y3998" s="135"/>
      <c r="Z3998" s="135"/>
    </row>
    <row r="3999" spans="1:26" ht="25.5">
      <c r="A3999" s="136" t="s">
        <v>11</v>
      </c>
      <c r="B3999" s="136" t="s">
        <v>7932</v>
      </c>
      <c r="C3999" s="136" t="s">
        <v>296</v>
      </c>
      <c r="D3999" s="136" t="s">
        <v>139</v>
      </c>
      <c r="E3999" s="136" t="s">
        <v>594</v>
      </c>
      <c r="F3999" s="136">
        <v>2445</v>
      </c>
      <c r="G3999" s="137">
        <f t="shared" si="15"/>
        <v>2</v>
      </c>
      <c r="H3999" s="137"/>
      <c r="I3999" s="137"/>
      <c r="J3999" s="135"/>
      <c r="K3999" s="135"/>
      <c r="L3999" s="135"/>
      <c r="M3999" s="135"/>
      <c r="N3999" s="135"/>
      <c r="O3999" s="135"/>
      <c r="P3999" s="135"/>
      <c r="Q3999" s="135"/>
      <c r="R3999" s="135"/>
      <c r="S3999" s="135"/>
      <c r="T3999" s="135"/>
      <c r="U3999" s="135"/>
      <c r="V3999" s="135"/>
      <c r="W3999" s="135"/>
      <c r="X3999" s="135"/>
      <c r="Y3999" s="135"/>
      <c r="Z3999" s="135"/>
    </row>
    <row r="4000" spans="1:26" ht="25.5">
      <c r="A4000" s="136" t="s">
        <v>11</v>
      </c>
      <c r="B4000" s="136" t="s">
        <v>7932</v>
      </c>
      <c r="C4000" s="136" t="s">
        <v>296</v>
      </c>
      <c r="D4000" s="136" t="s">
        <v>437</v>
      </c>
      <c r="E4000" s="136" t="s">
        <v>594</v>
      </c>
      <c r="F4000" s="136">
        <v>671</v>
      </c>
      <c r="G4000" s="137">
        <f t="shared" si="15"/>
        <v>3</v>
      </c>
      <c r="H4000" s="137"/>
      <c r="I4000" s="137"/>
      <c r="J4000" s="135"/>
      <c r="K4000" s="135"/>
      <c r="L4000" s="135"/>
      <c r="M4000" s="135"/>
      <c r="N4000" s="135"/>
      <c r="O4000" s="135"/>
      <c r="P4000" s="135"/>
      <c r="Q4000" s="135"/>
      <c r="R4000" s="135"/>
      <c r="S4000" s="135"/>
      <c r="T4000" s="135"/>
      <c r="U4000" s="135"/>
      <c r="V4000" s="135"/>
      <c r="W4000" s="135"/>
      <c r="X4000" s="135"/>
      <c r="Y4000" s="135"/>
      <c r="Z4000" s="135"/>
    </row>
    <row r="4001" spans="1:26" ht="25.5">
      <c r="A4001" s="136" t="s">
        <v>11</v>
      </c>
      <c r="B4001" s="136" t="s">
        <v>7932</v>
      </c>
      <c r="C4001" s="136" t="s">
        <v>296</v>
      </c>
      <c r="D4001" s="136" t="s">
        <v>165</v>
      </c>
      <c r="E4001" s="136" t="s">
        <v>615</v>
      </c>
      <c r="F4001" s="136">
        <v>652</v>
      </c>
      <c r="G4001" s="137">
        <f t="shared" si="15"/>
        <v>4</v>
      </c>
      <c r="H4001" s="137"/>
      <c r="I4001" s="137"/>
      <c r="J4001" s="135"/>
      <c r="K4001" s="135"/>
      <c r="L4001" s="135"/>
      <c r="M4001" s="135"/>
      <c r="N4001" s="135"/>
      <c r="O4001" s="135"/>
      <c r="P4001" s="135"/>
      <c r="Q4001" s="135"/>
      <c r="R4001" s="135"/>
      <c r="S4001" s="135"/>
      <c r="T4001" s="135"/>
      <c r="U4001" s="135"/>
      <c r="V4001" s="135"/>
      <c r="W4001" s="135"/>
      <c r="X4001" s="135"/>
      <c r="Y4001" s="135"/>
      <c r="Z4001" s="135"/>
    </row>
    <row r="4002" spans="1:26" ht="25.5">
      <c r="A4002" s="136" t="s">
        <v>11</v>
      </c>
      <c r="B4002" s="136" t="s">
        <v>7932</v>
      </c>
      <c r="C4002" s="136" t="s">
        <v>296</v>
      </c>
      <c r="D4002" s="136" t="s">
        <v>7940</v>
      </c>
      <c r="E4002" s="136" t="s">
        <v>615</v>
      </c>
      <c r="F4002" s="136">
        <v>542</v>
      </c>
      <c r="G4002" s="137">
        <f t="shared" si="15"/>
        <v>5</v>
      </c>
      <c r="H4002" s="137"/>
      <c r="I4002" s="137"/>
      <c r="J4002" s="135"/>
      <c r="K4002" s="135"/>
      <c r="L4002" s="135"/>
      <c r="M4002" s="135"/>
      <c r="N4002" s="135"/>
      <c r="O4002" s="135"/>
      <c r="P4002" s="135"/>
      <c r="Q4002" s="135"/>
      <c r="R4002" s="135"/>
      <c r="S4002" s="135"/>
      <c r="T4002" s="135"/>
      <c r="U4002" s="135"/>
      <c r="V4002" s="135"/>
      <c r="W4002" s="135"/>
      <c r="X4002" s="135"/>
      <c r="Y4002" s="135"/>
      <c r="Z4002" s="135"/>
    </row>
    <row r="4003" spans="1:26" ht="25.5">
      <c r="A4003" s="136" t="s">
        <v>11</v>
      </c>
      <c r="B4003" s="136" t="s">
        <v>7932</v>
      </c>
      <c r="C4003" s="136" t="s">
        <v>296</v>
      </c>
      <c r="D4003" s="136" t="s">
        <v>131</v>
      </c>
      <c r="E4003" s="136" t="s">
        <v>594</v>
      </c>
      <c r="F4003" s="136">
        <v>478</v>
      </c>
      <c r="G4003" s="137">
        <f t="shared" si="15"/>
        <v>6</v>
      </c>
      <c r="H4003" s="137"/>
      <c r="I4003" s="137"/>
      <c r="J4003" s="135"/>
      <c r="K4003" s="135"/>
      <c r="L4003" s="135"/>
      <c r="M4003" s="135"/>
      <c r="N4003" s="135"/>
      <c r="O4003" s="135"/>
      <c r="P4003" s="135"/>
      <c r="Q4003" s="135"/>
      <c r="R4003" s="135"/>
      <c r="S4003" s="135"/>
      <c r="T4003" s="135"/>
      <c r="U4003" s="135"/>
      <c r="V4003" s="135"/>
      <c r="W4003" s="135"/>
      <c r="X4003" s="135"/>
      <c r="Y4003" s="135"/>
      <c r="Z4003" s="135"/>
    </row>
    <row r="4004" spans="1:26" ht="25.5">
      <c r="A4004" s="136" t="s">
        <v>11</v>
      </c>
      <c r="B4004" s="136" t="s">
        <v>7932</v>
      </c>
      <c r="C4004" s="136" t="s">
        <v>296</v>
      </c>
      <c r="D4004" s="136" t="s">
        <v>103</v>
      </c>
      <c r="E4004" s="136" t="s">
        <v>594</v>
      </c>
      <c r="F4004" s="136">
        <v>443</v>
      </c>
      <c r="G4004" s="137">
        <f t="shared" si="15"/>
        <v>7</v>
      </c>
      <c r="H4004" s="137"/>
      <c r="I4004" s="137"/>
      <c r="J4004" s="135"/>
      <c r="K4004" s="135"/>
      <c r="L4004" s="135"/>
      <c r="M4004" s="135"/>
      <c r="N4004" s="135"/>
      <c r="O4004" s="135"/>
      <c r="P4004" s="135"/>
      <c r="Q4004" s="135"/>
      <c r="R4004" s="135"/>
      <c r="S4004" s="135"/>
      <c r="T4004" s="135"/>
      <c r="U4004" s="135"/>
      <c r="V4004" s="135"/>
      <c r="W4004" s="135"/>
      <c r="X4004" s="135"/>
      <c r="Y4004" s="135"/>
      <c r="Z4004" s="135"/>
    </row>
    <row r="4005" spans="1:26" ht="25.5">
      <c r="A4005" s="136" t="s">
        <v>11</v>
      </c>
      <c r="B4005" s="136" t="s">
        <v>7932</v>
      </c>
      <c r="C4005" s="136" t="s">
        <v>296</v>
      </c>
      <c r="D4005" s="136" t="s">
        <v>368</v>
      </c>
      <c r="E4005" s="136" t="s">
        <v>594</v>
      </c>
      <c r="F4005" s="136">
        <v>169</v>
      </c>
      <c r="G4005" s="137">
        <f t="shared" si="15"/>
        <v>8</v>
      </c>
      <c r="H4005" s="137"/>
      <c r="I4005" s="137"/>
      <c r="J4005" s="135"/>
      <c r="K4005" s="135"/>
      <c r="L4005" s="135"/>
      <c r="M4005" s="135"/>
      <c r="N4005" s="135"/>
      <c r="O4005" s="135"/>
      <c r="P4005" s="135"/>
      <c r="Q4005" s="135"/>
      <c r="R4005" s="135"/>
      <c r="S4005" s="135"/>
      <c r="T4005" s="135"/>
      <c r="U4005" s="135"/>
      <c r="V4005" s="135"/>
      <c r="W4005" s="135"/>
      <c r="X4005" s="135"/>
      <c r="Y4005" s="135"/>
      <c r="Z4005" s="135"/>
    </row>
    <row r="4006" spans="1:26" ht="25.5">
      <c r="A4006" s="136" t="s">
        <v>11</v>
      </c>
      <c r="B4006" s="136" t="s">
        <v>7932</v>
      </c>
      <c r="C4006" s="136" t="s">
        <v>296</v>
      </c>
      <c r="D4006" s="136" t="s">
        <v>7878</v>
      </c>
      <c r="E4006" s="136" t="s">
        <v>85</v>
      </c>
      <c r="F4006" s="136">
        <v>117</v>
      </c>
      <c r="G4006" s="137">
        <f t="shared" si="15"/>
        <v>9</v>
      </c>
      <c r="H4006" s="137"/>
      <c r="I4006" s="137"/>
      <c r="J4006" s="135"/>
      <c r="K4006" s="135"/>
      <c r="L4006" s="135"/>
      <c r="M4006" s="135"/>
      <c r="N4006" s="135"/>
      <c r="O4006" s="135"/>
      <c r="P4006" s="135"/>
      <c r="Q4006" s="135"/>
      <c r="R4006" s="135"/>
      <c r="S4006" s="135"/>
      <c r="T4006" s="135"/>
      <c r="U4006" s="135"/>
      <c r="V4006" s="135"/>
      <c r="W4006" s="135"/>
      <c r="X4006" s="135"/>
      <c r="Y4006" s="135"/>
      <c r="Z4006" s="135"/>
    </row>
    <row r="4007" spans="1:26" ht="25.5">
      <c r="A4007" s="136" t="s">
        <v>11</v>
      </c>
      <c r="B4007" s="136" t="s">
        <v>7932</v>
      </c>
      <c r="C4007" s="136" t="s">
        <v>296</v>
      </c>
      <c r="D4007" s="136" t="s">
        <v>1665</v>
      </c>
      <c r="E4007" s="136" t="s">
        <v>615</v>
      </c>
      <c r="F4007" s="136">
        <v>96</v>
      </c>
      <c r="G4007" s="137">
        <f t="shared" si="15"/>
        <v>10</v>
      </c>
      <c r="H4007" s="137"/>
      <c r="I4007" s="137"/>
      <c r="J4007" s="135"/>
      <c r="K4007" s="135"/>
      <c r="L4007" s="135"/>
      <c r="M4007" s="135"/>
      <c r="N4007" s="135"/>
      <c r="O4007" s="135"/>
      <c r="P4007" s="135"/>
      <c r="Q4007" s="135"/>
      <c r="R4007" s="135"/>
      <c r="S4007" s="135"/>
      <c r="T4007" s="135"/>
      <c r="U4007" s="135"/>
      <c r="V4007" s="135"/>
      <c r="W4007" s="135"/>
      <c r="X4007" s="135"/>
      <c r="Y4007" s="135"/>
      <c r="Z4007" s="135"/>
    </row>
    <row r="4008" spans="1:26" ht="25.5">
      <c r="A4008" s="136" t="s">
        <v>11</v>
      </c>
      <c r="B4008" s="136" t="s">
        <v>7932</v>
      </c>
      <c r="C4008" s="136" t="s">
        <v>296</v>
      </c>
      <c r="D4008" s="136" t="s">
        <v>1626</v>
      </c>
      <c r="E4008" s="136" t="s">
        <v>594</v>
      </c>
      <c r="F4008" s="136">
        <v>95</v>
      </c>
      <c r="G4008" s="137">
        <f t="shared" si="15"/>
        <v>11</v>
      </c>
      <c r="H4008" s="137"/>
      <c r="I4008" s="137"/>
      <c r="J4008" s="135"/>
      <c r="K4008" s="135"/>
      <c r="L4008" s="135"/>
      <c r="M4008" s="135"/>
      <c r="N4008" s="135"/>
      <c r="O4008" s="135"/>
      <c r="P4008" s="135"/>
      <c r="Q4008" s="135"/>
      <c r="R4008" s="135"/>
      <c r="S4008" s="135"/>
      <c r="T4008" s="135"/>
      <c r="U4008" s="135"/>
      <c r="V4008" s="135"/>
      <c r="W4008" s="135"/>
      <c r="X4008" s="135"/>
      <c r="Y4008" s="135"/>
      <c r="Z4008" s="135"/>
    </row>
    <row r="4009" spans="1:26" ht="25.5">
      <c r="A4009" s="136" t="s">
        <v>11</v>
      </c>
      <c r="B4009" s="136" t="s">
        <v>7932</v>
      </c>
      <c r="C4009" s="136" t="s">
        <v>296</v>
      </c>
      <c r="D4009" s="136" t="s">
        <v>7933</v>
      </c>
      <c r="E4009" s="136" t="s">
        <v>615</v>
      </c>
      <c r="F4009" s="136">
        <v>77</v>
      </c>
      <c r="G4009" s="137">
        <f t="shared" si="15"/>
        <v>12</v>
      </c>
      <c r="H4009" s="137"/>
      <c r="I4009" s="137"/>
      <c r="J4009" s="135"/>
      <c r="K4009" s="135"/>
      <c r="L4009" s="135"/>
      <c r="M4009" s="135"/>
      <c r="N4009" s="135"/>
      <c r="O4009" s="135"/>
      <c r="P4009" s="135"/>
      <c r="Q4009" s="135"/>
      <c r="R4009" s="135"/>
      <c r="S4009" s="135"/>
      <c r="T4009" s="135"/>
      <c r="U4009" s="135"/>
      <c r="V4009" s="135"/>
      <c r="W4009" s="135"/>
      <c r="X4009" s="135"/>
      <c r="Y4009" s="135"/>
      <c r="Z4009" s="135"/>
    </row>
    <row r="4010" spans="1:26" ht="25.5">
      <c r="A4010" s="136" t="s">
        <v>11</v>
      </c>
      <c r="B4010" s="136" t="s">
        <v>7932</v>
      </c>
      <c r="C4010" s="136" t="s">
        <v>296</v>
      </c>
      <c r="D4010" s="136" t="s">
        <v>1659</v>
      </c>
      <c r="E4010" s="136" t="s">
        <v>615</v>
      </c>
      <c r="F4010" s="136">
        <v>67</v>
      </c>
      <c r="G4010" s="137">
        <f t="shared" si="15"/>
        <v>13</v>
      </c>
      <c r="H4010" s="137"/>
      <c r="I4010" s="137"/>
      <c r="J4010" s="135"/>
      <c r="K4010" s="135"/>
      <c r="L4010" s="135"/>
      <c r="M4010" s="135"/>
      <c r="N4010" s="135"/>
      <c r="O4010" s="135"/>
      <c r="P4010" s="135"/>
      <c r="Q4010" s="135"/>
      <c r="R4010" s="135"/>
      <c r="S4010" s="135"/>
      <c r="T4010" s="135"/>
      <c r="U4010" s="135"/>
      <c r="V4010" s="135"/>
      <c r="W4010" s="135"/>
      <c r="X4010" s="135"/>
      <c r="Y4010" s="135"/>
      <c r="Z4010" s="135"/>
    </row>
    <row r="4011" spans="1:26" ht="25.5">
      <c r="A4011" s="136" t="s">
        <v>11</v>
      </c>
      <c r="B4011" s="136" t="s">
        <v>7932</v>
      </c>
      <c r="C4011" s="136" t="s">
        <v>296</v>
      </c>
      <c r="D4011" s="136" t="s">
        <v>120</v>
      </c>
      <c r="E4011" s="136" t="s">
        <v>615</v>
      </c>
      <c r="F4011" s="136">
        <v>16</v>
      </c>
      <c r="G4011" s="137">
        <f t="shared" si="15"/>
        <v>14</v>
      </c>
      <c r="H4011" s="137"/>
      <c r="I4011" s="137"/>
      <c r="J4011" s="135"/>
      <c r="K4011" s="135"/>
      <c r="L4011" s="135"/>
      <c r="M4011" s="135"/>
      <c r="N4011" s="135"/>
      <c r="O4011" s="135"/>
      <c r="P4011" s="135"/>
      <c r="Q4011" s="135"/>
      <c r="R4011" s="135"/>
      <c r="S4011" s="135"/>
      <c r="T4011" s="135"/>
      <c r="U4011" s="135"/>
      <c r="V4011" s="135"/>
      <c r="W4011" s="135"/>
      <c r="X4011" s="135"/>
      <c r="Y4011" s="135"/>
      <c r="Z4011" s="135"/>
    </row>
    <row r="4012" spans="1:26" ht="25.5">
      <c r="A4012" s="136" t="s">
        <v>11</v>
      </c>
      <c r="B4012" s="136" t="s">
        <v>7932</v>
      </c>
      <c r="C4012" s="136" t="s">
        <v>296</v>
      </c>
      <c r="D4012" s="136" t="s">
        <v>7947</v>
      </c>
      <c r="E4012" s="136" t="s">
        <v>85</v>
      </c>
      <c r="F4012" s="136">
        <v>14</v>
      </c>
      <c r="G4012" s="137">
        <f t="shared" si="15"/>
        <v>16</v>
      </c>
      <c r="H4012" s="137"/>
      <c r="I4012" s="137"/>
      <c r="J4012" s="135"/>
      <c r="K4012" s="135"/>
      <c r="L4012" s="135"/>
      <c r="M4012" s="135"/>
      <c r="N4012" s="135"/>
      <c r="O4012" s="135"/>
      <c r="P4012" s="135"/>
      <c r="Q4012" s="135"/>
      <c r="R4012" s="135"/>
      <c r="S4012" s="135"/>
      <c r="T4012" s="135"/>
      <c r="U4012" s="135"/>
      <c r="V4012" s="135"/>
      <c r="W4012" s="135"/>
      <c r="X4012" s="135"/>
      <c r="Y4012" s="135"/>
      <c r="Z4012" s="135"/>
    </row>
    <row r="4013" spans="1:26" ht="25.5">
      <c r="A4013" s="136" t="s">
        <v>11</v>
      </c>
      <c r="B4013" s="136" t="s">
        <v>7932</v>
      </c>
      <c r="C4013" s="136" t="s">
        <v>296</v>
      </c>
      <c r="D4013" s="136" t="s">
        <v>136</v>
      </c>
      <c r="E4013" s="136" t="s">
        <v>615</v>
      </c>
      <c r="F4013" s="136">
        <v>10</v>
      </c>
      <c r="G4013" s="137">
        <f t="shared" si="15"/>
        <v>17</v>
      </c>
      <c r="H4013" s="137"/>
      <c r="I4013" s="137"/>
      <c r="J4013" s="135"/>
      <c r="K4013" s="135"/>
      <c r="L4013" s="135"/>
      <c r="M4013" s="135"/>
      <c r="N4013" s="135"/>
      <c r="O4013" s="135"/>
      <c r="P4013" s="135"/>
      <c r="Q4013" s="135"/>
      <c r="R4013" s="135"/>
      <c r="S4013" s="135"/>
      <c r="T4013" s="135"/>
      <c r="U4013" s="135"/>
      <c r="V4013" s="135"/>
      <c r="W4013" s="135"/>
      <c r="X4013" s="135"/>
      <c r="Y4013" s="135"/>
      <c r="Z4013" s="135"/>
    </row>
    <row r="4014" spans="1:26" ht="25.5">
      <c r="A4014" s="136" t="s">
        <v>11</v>
      </c>
      <c r="B4014" s="136" t="s">
        <v>7932</v>
      </c>
      <c r="C4014" s="136" t="s">
        <v>296</v>
      </c>
      <c r="D4014" s="136" t="s">
        <v>7935</v>
      </c>
      <c r="E4014" s="136" t="s">
        <v>615</v>
      </c>
      <c r="F4014" s="136">
        <v>16</v>
      </c>
      <c r="G4014" s="137">
        <f t="shared" si="15"/>
        <v>15</v>
      </c>
      <c r="H4014" s="137"/>
      <c r="I4014" s="137"/>
      <c r="J4014" s="135"/>
      <c r="K4014" s="135"/>
      <c r="L4014" s="135"/>
      <c r="M4014" s="135"/>
      <c r="N4014" s="135"/>
      <c r="O4014" s="135"/>
      <c r="P4014" s="135"/>
      <c r="Q4014" s="135"/>
      <c r="R4014" s="135"/>
      <c r="S4014" s="135"/>
      <c r="T4014" s="135"/>
      <c r="U4014" s="135"/>
      <c r="V4014" s="135"/>
      <c r="W4014" s="135"/>
      <c r="X4014" s="135"/>
      <c r="Y4014" s="135"/>
      <c r="Z4014" s="135"/>
    </row>
    <row r="4015" spans="1:26" ht="25.5">
      <c r="A4015" s="136" t="s">
        <v>11</v>
      </c>
      <c r="B4015" s="136" t="s">
        <v>7932</v>
      </c>
      <c r="C4015" s="136" t="s">
        <v>296</v>
      </c>
      <c r="D4015" s="136" t="s">
        <v>1682</v>
      </c>
      <c r="E4015" s="136" t="s">
        <v>86</v>
      </c>
      <c r="F4015" s="136">
        <v>5</v>
      </c>
      <c r="G4015" s="137">
        <f t="shared" si="15"/>
        <v>18</v>
      </c>
      <c r="H4015" s="137"/>
      <c r="I4015" s="137"/>
      <c r="J4015" s="135"/>
      <c r="K4015" s="135"/>
      <c r="L4015" s="135"/>
      <c r="M4015" s="135"/>
      <c r="N4015" s="135"/>
      <c r="O4015" s="135"/>
      <c r="P4015" s="135"/>
      <c r="Q4015" s="135"/>
      <c r="R4015" s="135"/>
      <c r="S4015" s="135"/>
      <c r="T4015" s="135"/>
      <c r="U4015" s="135"/>
      <c r="V4015" s="135"/>
      <c r="W4015" s="135"/>
      <c r="X4015" s="135"/>
      <c r="Y4015" s="135"/>
      <c r="Z4015" s="135"/>
    </row>
    <row r="4016" spans="1:26" ht="25.5">
      <c r="A4016" s="136" t="s">
        <v>11</v>
      </c>
      <c r="B4016" s="136" t="s">
        <v>7932</v>
      </c>
      <c r="C4016" s="136" t="s">
        <v>296</v>
      </c>
      <c r="D4016" s="136" t="s">
        <v>1666</v>
      </c>
      <c r="E4016" s="136" t="s">
        <v>85</v>
      </c>
      <c r="F4016" s="136">
        <v>5</v>
      </c>
      <c r="G4016" s="137">
        <f t="shared" si="15"/>
        <v>19</v>
      </c>
      <c r="H4016" s="137"/>
      <c r="I4016" s="137"/>
      <c r="J4016" s="135"/>
      <c r="K4016" s="135"/>
      <c r="L4016" s="135"/>
      <c r="M4016" s="135"/>
      <c r="N4016" s="135"/>
      <c r="O4016" s="135"/>
      <c r="P4016" s="135"/>
      <c r="Q4016" s="135"/>
      <c r="R4016" s="135"/>
      <c r="S4016" s="135"/>
      <c r="T4016" s="135"/>
      <c r="U4016" s="135"/>
      <c r="V4016" s="135"/>
      <c r="W4016" s="135"/>
      <c r="X4016" s="135"/>
      <c r="Y4016" s="135"/>
      <c r="Z4016" s="135"/>
    </row>
    <row r="4017" spans="1:26" ht="25.5">
      <c r="A4017" s="136" t="s">
        <v>11</v>
      </c>
      <c r="B4017" s="136" t="s">
        <v>7932</v>
      </c>
      <c r="C4017" s="136" t="s">
        <v>7955</v>
      </c>
      <c r="D4017" s="136" t="s">
        <v>288</v>
      </c>
      <c r="E4017" s="136" t="s">
        <v>615</v>
      </c>
      <c r="F4017" s="136">
        <v>3526</v>
      </c>
      <c r="G4017" s="137">
        <f t="shared" si="15"/>
        <v>1</v>
      </c>
      <c r="H4017" s="137"/>
      <c r="I4017" s="137"/>
      <c r="J4017" s="135"/>
      <c r="K4017" s="135"/>
      <c r="L4017" s="135"/>
      <c r="M4017" s="135"/>
      <c r="N4017" s="135"/>
      <c r="O4017" s="135"/>
      <c r="P4017" s="135"/>
      <c r="Q4017" s="135"/>
      <c r="R4017" s="135"/>
      <c r="S4017" s="135"/>
      <c r="T4017" s="135"/>
      <c r="U4017" s="135"/>
      <c r="V4017" s="135"/>
      <c r="W4017" s="135"/>
      <c r="X4017" s="135"/>
      <c r="Y4017" s="135"/>
      <c r="Z4017" s="135"/>
    </row>
    <row r="4018" spans="1:26" ht="25.5">
      <c r="A4018" s="136" t="s">
        <v>11</v>
      </c>
      <c r="B4018" s="136" t="s">
        <v>7932</v>
      </c>
      <c r="C4018" s="136" t="s">
        <v>7955</v>
      </c>
      <c r="D4018" s="136" t="s">
        <v>1669</v>
      </c>
      <c r="E4018" s="136" t="s">
        <v>615</v>
      </c>
      <c r="F4018" s="136">
        <v>165</v>
      </c>
      <c r="G4018" s="137">
        <f t="shared" si="15"/>
        <v>2</v>
      </c>
      <c r="H4018" s="137"/>
      <c r="I4018" s="137"/>
      <c r="J4018" s="135"/>
      <c r="K4018" s="135"/>
      <c r="L4018" s="135"/>
      <c r="M4018" s="135"/>
      <c r="N4018" s="135"/>
      <c r="O4018" s="135"/>
      <c r="P4018" s="135"/>
      <c r="Q4018" s="135"/>
      <c r="R4018" s="135"/>
      <c r="S4018" s="135"/>
      <c r="T4018" s="135"/>
      <c r="U4018" s="135"/>
      <c r="V4018" s="135"/>
      <c r="W4018" s="135"/>
      <c r="X4018" s="135"/>
      <c r="Y4018" s="135"/>
      <c r="Z4018" s="135"/>
    </row>
    <row r="4019" spans="1:26" ht="25.5">
      <c r="A4019" s="136" t="s">
        <v>11</v>
      </c>
      <c r="B4019" s="136" t="s">
        <v>7932</v>
      </c>
      <c r="C4019" s="136" t="s">
        <v>7955</v>
      </c>
      <c r="D4019" s="136" t="s">
        <v>139</v>
      </c>
      <c r="E4019" s="136" t="s">
        <v>594</v>
      </c>
      <c r="F4019" s="136">
        <v>86</v>
      </c>
      <c r="G4019" s="137">
        <f t="shared" si="15"/>
        <v>3</v>
      </c>
      <c r="H4019" s="137"/>
      <c r="I4019" s="137"/>
      <c r="J4019" s="135"/>
      <c r="K4019" s="135"/>
      <c r="L4019" s="135"/>
      <c r="M4019" s="135"/>
      <c r="N4019" s="135"/>
      <c r="O4019" s="135"/>
      <c r="P4019" s="135"/>
      <c r="Q4019" s="135"/>
      <c r="R4019" s="135"/>
      <c r="S4019" s="135"/>
      <c r="T4019" s="135"/>
      <c r="U4019" s="135"/>
      <c r="V4019" s="135"/>
      <c r="W4019" s="135"/>
      <c r="X4019" s="135"/>
      <c r="Y4019" s="135"/>
      <c r="Z4019" s="135"/>
    </row>
    <row r="4020" spans="1:26" ht="25.5">
      <c r="A4020" s="136" t="s">
        <v>11</v>
      </c>
      <c r="B4020" s="136" t="s">
        <v>7932</v>
      </c>
      <c r="C4020" s="136" t="s">
        <v>7955</v>
      </c>
      <c r="D4020" s="136" t="s">
        <v>368</v>
      </c>
      <c r="E4020" s="136" t="s">
        <v>594</v>
      </c>
      <c r="F4020" s="136">
        <v>24</v>
      </c>
      <c r="G4020" s="137">
        <f t="shared" si="15"/>
        <v>4</v>
      </c>
      <c r="H4020" s="137"/>
      <c r="I4020" s="137"/>
      <c r="J4020" s="135"/>
      <c r="K4020" s="135"/>
      <c r="L4020" s="135"/>
      <c r="M4020" s="135"/>
      <c r="N4020" s="135"/>
      <c r="O4020" s="135"/>
      <c r="P4020" s="135"/>
      <c r="Q4020" s="135"/>
      <c r="R4020" s="135"/>
      <c r="S4020" s="135"/>
      <c r="T4020" s="135"/>
      <c r="U4020" s="135"/>
      <c r="V4020" s="135"/>
      <c r="W4020" s="135"/>
      <c r="X4020" s="135"/>
      <c r="Y4020" s="135"/>
      <c r="Z4020" s="135"/>
    </row>
    <row r="4021" spans="1:26" ht="25.5">
      <c r="A4021" s="136" t="s">
        <v>11</v>
      </c>
      <c r="B4021" s="136" t="s">
        <v>7932</v>
      </c>
      <c r="C4021" s="136" t="s">
        <v>7955</v>
      </c>
      <c r="D4021" s="136" t="s">
        <v>165</v>
      </c>
      <c r="E4021" s="136" t="s">
        <v>615</v>
      </c>
      <c r="F4021" s="136">
        <v>8</v>
      </c>
      <c r="G4021" s="137">
        <f t="shared" si="15"/>
        <v>5</v>
      </c>
      <c r="H4021" s="137"/>
      <c r="I4021" s="137"/>
      <c r="J4021" s="135"/>
      <c r="K4021" s="135"/>
      <c r="L4021" s="135"/>
      <c r="M4021" s="135"/>
      <c r="N4021" s="135"/>
      <c r="O4021" s="135"/>
      <c r="P4021" s="135"/>
      <c r="Q4021" s="135"/>
      <c r="R4021" s="135"/>
      <c r="S4021" s="135"/>
      <c r="T4021" s="135"/>
      <c r="U4021" s="135"/>
      <c r="V4021" s="135"/>
      <c r="W4021" s="135"/>
      <c r="X4021" s="135"/>
      <c r="Y4021" s="135"/>
      <c r="Z4021" s="135"/>
    </row>
    <row r="4022" spans="1:26" ht="25.5">
      <c r="A4022" s="136" t="s">
        <v>11</v>
      </c>
      <c r="B4022" s="136" t="s">
        <v>7932</v>
      </c>
      <c r="C4022" s="136" t="s">
        <v>7955</v>
      </c>
      <c r="D4022" s="136" t="s">
        <v>7878</v>
      </c>
      <c r="E4022" s="136" t="s">
        <v>85</v>
      </c>
      <c r="F4022" s="136">
        <v>7</v>
      </c>
      <c r="G4022" s="137">
        <f t="shared" si="15"/>
        <v>6</v>
      </c>
      <c r="H4022" s="137"/>
      <c r="I4022" s="137"/>
      <c r="J4022" s="135"/>
      <c r="K4022" s="135"/>
      <c r="L4022" s="135"/>
      <c r="M4022" s="135"/>
      <c r="N4022" s="135"/>
      <c r="O4022" s="135"/>
      <c r="P4022" s="135"/>
      <c r="Q4022" s="135"/>
      <c r="R4022" s="135"/>
      <c r="S4022" s="135"/>
      <c r="T4022" s="135"/>
      <c r="U4022" s="135"/>
      <c r="V4022" s="135"/>
      <c r="W4022" s="135"/>
      <c r="X4022" s="135"/>
      <c r="Y4022" s="135"/>
      <c r="Z4022" s="135"/>
    </row>
    <row r="4023" spans="1:26" ht="25.5">
      <c r="A4023" s="136" t="s">
        <v>11</v>
      </c>
      <c r="B4023" s="136" t="s">
        <v>7932</v>
      </c>
      <c r="C4023" s="136" t="s">
        <v>7955</v>
      </c>
      <c r="D4023" s="136" t="s">
        <v>7956</v>
      </c>
      <c r="E4023" s="136" t="s">
        <v>615</v>
      </c>
      <c r="F4023" s="136">
        <v>6</v>
      </c>
      <c r="G4023" s="137">
        <f t="shared" si="15"/>
        <v>7</v>
      </c>
      <c r="H4023" s="137"/>
      <c r="I4023" s="137"/>
      <c r="J4023" s="135"/>
      <c r="K4023" s="135"/>
      <c r="L4023" s="135"/>
      <c r="M4023" s="135"/>
      <c r="N4023" s="135"/>
      <c r="O4023" s="135"/>
      <c r="P4023" s="135"/>
      <c r="Q4023" s="135"/>
      <c r="R4023" s="135"/>
      <c r="S4023" s="135"/>
      <c r="T4023" s="135"/>
      <c r="U4023" s="135"/>
      <c r="V4023" s="135"/>
      <c r="W4023" s="135"/>
      <c r="X4023" s="135"/>
      <c r="Y4023" s="135"/>
      <c r="Z4023" s="135"/>
    </row>
    <row r="4024" spans="1:26" ht="25.5">
      <c r="A4024" s="136" t="s">
        <v>11</v>
      </c>
      <c r="B4024" s="136" t="s">
        <v>7932</v>
      </c>
      <c r="C4024" s="136" t="s">
        <v>7955</v>
      </c>
      <c r="D4024" s="136" t="s">
        <v>1639</v>
      </c>
      <c r="E4024" s="136" t="s">
        <v>615</v>
      </c>
      <c r="F4024" s="136">
        <v>5</v>
      </c>
      <c r="G4024" s="137">
        <f t="shared" si="15"/>
        <v>8</v>
      </c>
      <c r="H4024" s="137"/>
      <c r="I4024" s="137"/>
      <c r="J4024" s="135"/>
      <c r="K4024" s="135"/>
      <c r="L4024" s="135"/>
      <c r="M4024" s="135"/>
      <c r="N4024" s="135"/>
      <c r="O4024" s="135"/>
      <c r="P4024" s="135"/>
      <c r="Q4024" s="135"/>
      <c r="R4024" s="135"/>
      <c r="S4024" s="135"/>
      <c r="T4024" s="135"/>
      <c r="U4024" s="135"/>
      <c r="V4024" s="135"/>
      <c r="W4024" s="135"/>
      <c r="X4024" s="135"/>
      <c r="Y4024" s="135"/>
      <c r="Z4024" s="135"/>
    </row>
    <row r="4025" spans="1:26" ht="25.5">
      <c r="A4025" s="136" t="s">
        <v>11</v>
      </c>
      <c r="B4025" s="136" t="s">
        <v>7932</v>
      </c>
      <c r="C4025" s="136" t="s">
        <v>7955</v>
      </c>
      <c r="D4025" s="136" t="s">
        <v>1665</v>
      </c>
      <c r="E4025" s="136" t="s">
        <v>615</v>
      </c>
      <c r="F4025" s="136">
        <v>4</v>
      </c>
      <c r="G4025" s="137">
        <f t="shared" si="15"/>
        <v>9</v>
      </c>
      <c r="H4025" s="137"/>
      <c r="I4025" s="137"/>
      <c r="J4025" s="135"/>
      <c r="K4025" s="135"/>
      <c r="L4025" s="135"/>
      <c r="M4025" s="135"/>
      <c r="N4025" s="135"/>
      <c r="O4025" s="135"/>
      <c r="P4025" s="135"/>
      <c r="Q4025" s="135"/>
      <c r="R4025" s="135"/>
      <c r="S4025" s="135"/>
      <c r="T4025" s="135"/>
      <c r="U4025" s="135"/>
      <c r="V4025" s="135"/>
      <c r="W4025" s="135"/>
      <c r="X4025" s="135"/>
      <c r="Y4025" s="135"/>
      <c r="Z4025" s="135"/>
    </row>
    <row r="4026" spans="1:26" ht="25.5">
      <c r="A4026" s="136" t="s">
        <v>11</v>
      </c>
      <c r="B4026" s="136" t="s">
        <v>7932</v>
      </c>
      <c r="C4026" s="136" t="s">
        <v>7955</v>
      </c>
      <c r="D4026" s="136" t="s">
        <v>1682</v>
      </c>
      <c r="E4026" s="136" t="s">
        <v>86</v>
      </c>
      <c r="F4026" s="136">
        <v>3</v>
      </c>
      <c r="G4026" s="137">
        <f t="shared" si="15"/>
        <v>10</v>
      </c>
      <c r="H4026" s="137"/>
      <c r="I4026" s="137"/>
      <c r="J4026" s="135"/>
      <c r="K4026" s="135"/>
      <c r="L4026" s="135"/>
      <c r="M4026" s="135"/>
      <c r="N4026" s="135"/>
      <c r="O4026" s="135"/>
      <c r="P4026" s="135"/>
      <c r="Q4026" s="135"/>
      <c r="R4026" s="135"/>
      <c r="S4026" s="135"/>
      <c r="T4026" s="135"/>
      <c r="U4026" s="135"/>
      <c r="V4026" s="135"/>
      <c r="W4026" s="135"/>
      <c r="X4026" s="135"/>
      <c r="Y4026" s="135"/>
      <c r="Z4026" s="135"/>
    </row>
    <row r="4027" spans="1:26" ht="25.5">
      <c r="A4027" s="136" t="s">
        <v>11</v>
      </c>
      <c r="B4027" s="136" t="s">
        <v>7932</v>
      </c>
      <c r="C4027" s="136" t="s">
        <v>264</v>
      </c>
      <c r="D4027" s="136" t="s">
        <v>139</v>
      </c>
      <c r="E4027" s="136" t="s">
        <v>594</v>
      </c>
      <c r="F4027" s="136">
        <v>2354</v>
      </c>
      <c r="G4027" s="137">
        <f t="shared" si="15"/>
        <v>1</v>
      </c>
      <c r="H4027" s="137"/>
      <c r="I4027" s="137"/>
      <c r="J4027" s="135"/>
      <c r="K4027" s="135"/>
      <c r="L4027" s="135"/>
      <c r="M4027" s="135"/>
      <c r="N4027" s="135"/>
      <c r="O4027" s="135"/>
      <c r="P4027" s="135"/>
      <c r="Q4027" s="135"/>
      <c r="R4027" s="135"/>
      <c r="S4027" s="135"/>
      <c r="T4027" s="135"/>
      <c r="U4027" s="135"/>
      <c r="V4027" s="135"/>
      <c r="W4027" s="135"/>
      <c r="X4027" s="135"/>
      <c r="Y4027" s="135"/>
      <c r="Z4027" s="135"/>
    </row>
    <row r="4028" spans="1:26" ht="25.5">
      <c r="A4028" s="136" t="s">
        <v>11</v>
      </c>
      <c r="B4028" s="136" t="s">
        <v>7932</v>
      </c>
      <c r="C4028" s="136" t="s">
        <v>264</v>
      </c>
      <c r="D4028" s="136" t="s">
        <v>1669</v>
      </c>
      <c r="E4028" s="136" t="s">
        <v>615</v>
      </c>
      <c r="F4028" s="136">
        <v>845</v>
      </c>
      <c r="G4028" s="137">
        <f t="shared" si="15"/>
        <v>2</v>
      </c>
      <c r="H4028" s="137"/>
      <c r="I4028" s="137"/>
      <c r="J4028" s="135"/>
      <c r="K4028" s="135"/>
      <c r="L4028" s="135"/>
      <c r="M4028" s="135"/>
      <c r="N4028" s="135"/>
      <c r="O4028" s="135"/>
      <c r="P4028" s="135"/>
      <c r="Q4028" s="135"/>
      <c r="R4028" s="135"/>
      <c r="S4028" s="135"/>
      <c r="T4028" s="135"/>
      <c r="U4028" s="135"/>
      <c r="V4028" s="135"/>
      <c r="W4028" s="135"/>
      <c r="X4028" s="135"/>
      <c r="Y4028" s="135"/>
      <c r="Z4028" s="135"/>
    </row>
    <row r="4029" spans="1:26" ht="25.5">
      <c r="A4029" s="136" t="s">
        <v>11</v>
      </c>
      <c r="B4029" s="136" t="s">
        <v>7932</v>
      </c>
      <c r="C4029" s="136" t="s">
        <v>264</v>
      </c>
      <c r="D4029" s="136" t="s">
        <v>7878</v>
      </c>
      <c r="E4029" s="136" t="s">
        <v>85</v>
      </c>
      <c r="F4029" s="136">
        <v>635</v>
      </c>
      <c r="G4029" s="137">
        <f t="shared" si="15"/>
        <v>3</v>
      </c>
      <c r="H4029" s="137"/>
      <c r="I4029" s="137"/>
      <c r="J4029" s="135"/>
      <c r="K4029" s="135"/>
      <c r="L4029" s="135"/>
      <c r="M4029" s="135"/>
      <c r="N4029" s="135"/>
      <c r="O4029" s="135"/>
      <c r="P4029" s="135"/>
      <c r="Q4029" s="135"/>
      <c r="R4029" s="135"/>
      <c r="S4029" s="135"/>
      <c r="T4029" s="135"/>
      <c r="U4029" s="135"/>
      <c r="V4029" s="135"/>
      <c r="W4029" s="135"/>
      <c r="X4029" s="135"/>
      <c r="Y4029" s="135"/>
      <c r="Z4029" s="135"/>
    </row>
    <row r="4030" spans="1:26" ht="25.5">
      <c r="A4030" s="136" t="s">
        <v>11</v>
      </c>
      <c r="B4030" s="136" t="s">
        <v>7932</v>
      </c>
      <c r="C4030" s="136" t="s">
        <v>264</v>
      </c>
      <c r="D4030" s="136" t="s">
        <v>1626</v>
      </c>
      <c r="E4030" s="136" t="s">
        <v>594</v>
      </c>
      <c r="F4030" s="136">
        <v>285</v>
      </c>
      <c r="G4030" s="137">
        <f t="shared" si="15"/>
        <v>4</v>
      </c>
      <c r="H4030" s="137"/>
      <c r="I4030" s="137"/>
      <c r="J4030" s="135"/>
      <c r="K4030" s="135"/>
      <c r="L4030" s="135"/>
      <c r="M4030" s="135"/>
      <c r="N4030" s="135"/>
      <c r="O4030" s="135"/>
      <c r="P4030" s="135"/>
      <c r="Q4030" s="135"/>
      <c r="R4030" s="135"/>
      <c r="S4030" s="135"/>
      <c r="T4030" s="135"/>
      <c r="U4030" s="135"/>
      <c r="V4030" s="135"/>
      <c r="W4030" s="135"/>
      <c r="X4030" s="135"/>
      <c r="Y4030" s="135"/>
      <c r="Z4030" s="135"/>
    </row>
    <row r="4031" spans="1:26" ht="25.5">
      <c r="A4031" s="136" t="s">
        <v>11</v>
      </c>
      <c r="B4031" s="136" t="s">
        <v>7932</v>
      </c>
      <c r="C4031" s="136" t="s">
        <v>264</v>
      </c>
      <c r="D4031" s="136" t="s">
        <v>7657</v>
      </c>
      <c r="E4031" s="136" t="s">
        <v>85</v>
      </c>
      <c r="F4031" s="136">
        <v>178</v>
      </c>
      <c r="G4031" s="137">
        <f t="shared" si="15"/>
        <v>5</v>
      </c>
      <c r="H4031" s="137"/>
      <c r="I4031" s="137"/>
      <c r="J4031" s="135"/>
      <c r="K4031" s="135"/>
      <c r="L4031" s="135"/>
      <c r="M4031" s="135"/>
      <c r="N4031" s="135"/>
      <c r="O4031" s="135"/>
      <c r="P4031" s="135"/>
      <c r="Q4031" s="135"/>
      <c r="R4031" s="135"/>
      <c r="S4031" s="135"/>
      <c r="T4031" s="135"/>
      <c r="U4031" s="135"/>
      <c r="V4031" s="135"/>
      <c r="W4031" s="135"/>
      <c r="X4031" s="135"/>
      <c r="Y4031" s="135"/>
      <c r="Z4031" s="135"/>
    </row>
    <row r="4032" spans="1:26" ht="25.5">
      <c r="A4032" s="136" t="s">
        <v>11</v>
      </c>
      <c r="B4032" s="136" t="s">
        <v>7932</v>
      </c>
      <c r="C4032" s="136" t="s">
        <v>264</v>
      </c>
      <c r="D4032" s="136" t="s">
        <v>1665</v>
      </c>
      <c r="E4032" s="136" t="s">
        <v>615</v>
      </c>
      <c r="F4032" s="136">
        <v>140</v>
      </c>
      <c r="G4032" s="137">
        <f t="shared" si="15"/>
        <v>6</v>
      </c>
      <c r="H4032" s="137"/>
      <c r="I4032" s="137"/>
      <c r="J4032" s="135"/>
      <c r="K4032" s="135"/>
      <c r="L4032" s="135"/>
      <c r="M4032" s="135"/>
      <c r="N4032" s="135"/>
      <c r="O4032" s="135"/>
      <c r="P4032" s="135"/>
      <c r="Q4032" s="135"/>
      <c r="R4032" s="135"/>
      <c r="S4032" s="135"/>
      <c r="T4032" s="135"/>
      <c r="U4032" s="135"/>
      <c r="V4032" s="135"/>
      <c r="W4032" s="135"/>
      <c r="X4032" s="135"/>
      <c r="Y4032" s="135"/>
      <c r="Z4032" s="135"/>
    </row>
    <row r="4033" spans="1:26" ht="25.5">
      <c r="A4033" s="136" t="s">
        <v>11</v>
      </c>
      <c r="B4033" s="136" t="s">
        <v>7932</v>
      </c>
      <c r="C4033" s="136" t="s">
        <v>264</v>
      </c>
      <c r="D4033" s="136" t="s">
        <v>368</v>
      </c>
      <c r="E4033" s="136" t="s">
        <v>594</v>
      </c>
      <c r="F4033" s="136">
        <v>139</v>
      </c>
      <c r="G4033" s="137">
        <f t="shared" si="15"/>
        <v>7</v>
      </c>
      <c r="H4033" s="137"/>
      <c r="I4033" s="137"/>
      <c r="J4033" s="135"/>
      <c r="K4033" s="135"/>
      <c r="L4033" s="135"/>
      <c r="M4033" s="135"/>
      <c r="N4033" s="135"/>
      <c r="O4033" s="135"/>
      <c r="P4033" s="135"/>
      <c r="Q4033" s="135"/>
      <c r="R4033" s="135"/>
      <c r="S4033" s="135"/>
      <c r="T4033" s="135"/>
      <c r="U4033" s="135"/>
      <c r="V4033" s="135"/>
      <c r="W4033" s="135"/>
      <c r="X4033" s="135"/>
      <c r="Y4033" s="135"/>
      <c r="Z4033" s="135"/>
    </row>
    <row r="4034" spans="1:26" ht="25.5">
      <c r="A4034" s="136" t="s">
        <v>11</v>
      </c>
      <c r="B4034" s="136" t="s">
        <v>7932</v>
      </c>
      <c r="C4034" s="136" t="s">
        <v>264</v>
      </c>
      <c r="D4034" s="136" t="s">
        <v>1680</v>
      </c>
      <c r="E4034" s="136" t="s">
        <v>615</v>
      </c>
      <c r="F4034" s="136">
        <v>85</v>
      </c>
      <c r="G4034" s="137">
        <f t="shared" si="15"/>
        <v>8</v>
      </c>
      <c r="H4034" s="137"/>
      <c r="I4034" s="137"/>
      <c r="J4034" s="135"/>
      <c r="K4034" s="135"/>
      <c r="L4034" s="135"/>
      <c r="M4034" s="135"/>
      <c r="N4034" s="135"/>
      <c r="O4034" s="135"/>
      <c r="P4034" s="135"/>
      <c r="Q4034" s="135"/>
      <c r="R4034" s="135"/>
      <c r="S4034" s="135"/>
      <c r="T4034" s="135"/>
      <c r="U4034" s="135"/>
      <c r="V4034" s="135"/>
      <c r="W4034" s="135"/>
      <c r="X4034" s="135"/>
      <c r="Y4034" s="135"/>
      <c r="Z4034" s="135"/>
    </row>
    <row r="4035" spans="1:26" ht="25.5">
      <c r="A4035" s="136" t="s">
        <v>11</v>
      </c>
      <c r="B4035" s="136" t="s">
        <v>7932</v>
      </c>
      <c r="C4035" s="136" t="s">
        <v>264</v>
      </c>
      <c r="D4035" s="136" t="s">
        <v>1659</v>
      </c>
      <c r="E4035" s="136" t="s">
        <v>615</v>
      </c>
      <c r="F4035" s="136">
        <v>81</v>
      </c>
      <c r="G4035" s="137">
        <f t="shared" si="15"/>
        <v>9</v>
      </c>
      <c r="H4035" s="137"/>
      <c r="I4035" s="137"/>
      <c r="J4035" s="135"/>
      <c r="K4035" s="135"/>
      <c r="L4035" s="135"/>
      <c r="M4035" s="135"/>
      <c r="N4035" s="135"/>
      <c r="O4035" s="135"/>
      <c r="P4035" s="135"/>
      <c r="Q4035" s="135"/>
      <c r="R4035" s="135"/>
      <c r="S4035" s="135"/>
      <c r="T4035" s="135"/>
      <c r="U4035" s="135"/>
      <c r="V4035" s="135"/>
      <c r="W4035" s="135"/>
      <c r="X4035" s="135"/>
      <c r="Y4035" s="135"/>
      <c r="Z4035" s="135"/>
    </row>
    <row r="4036" spans="1:26" ht="25.5">
      <c r="A4036" s="136" t="s">
        <v>11</v>
      </c>
      <c r="B4036" s="136" t="s">
        <v>7932</v>
      </c>
      <c r="C4036" s="136" t="s">
        <v>264</v>
      </c>
      <c r="D4036" s="136" t="s">
        <v>120</v>
      </c>
      <c r="E4036" s="136" t="s">
        <v>615</v>
      </c>
      <c r="F4036" s="136">
        <v>76</v>
      </c>
      <c r="G4036" s="137">
        <f t="shared" si="15"/>
        <v>10</v>
      </c>
      <c r="H4036" s="137"/>
      <c r="I4036" s="137"/>
      <c r="J4036" s="135"/>
      <c r="K4036" s="135"/>
      <c r="L4036" s="135"/>
      <c r="M4036" s="135"/>
      <c r="N4036" s="135"/>
      <c r="O4036" s="135"/>
      <c r="P4036" s="135"/>
      <c r="Q4036" s="135"/>
      <c r="R4036" s="135"/>
      <c r="S4036" s="135"/>
      <c r="T4036" s="135"/>
      <c r="U4036" s="135"/>
      <c r="V4036" s="135"/>
      <c r="W4036" s="135"/>
      <c r="X4036" s="135"/>
      <c r="Y4036" s="135"/>
      <c r="Z4036" s="135"/>
    </row>
    <row r="4037" spans="1:26" ht="25.5">
      <c r="A4037" s="136" t="s">
        <v>11</v>
      </c>
      <c r="B4037" s="136" t="s">
        <v>7932</v>
      </c>
      <c r="C4037" s="136" t="s">
        <v>264</v>
      </c>
      <c r="D4037" s="136" t="s">
        <v>131</v>
      </c>
      <c r="E4037" s="136" t="s">
        <v>594</v>
      </c>
      <c r="F4037" s="136">
        <v>52</v>
      </c>
      <c r="G4037" s="137">
        <f t="shared" si="15"/>
        <v>11</v>
      </c>
      <c r="H4037" s="137"/>
      <c r="I4037" s="137"/>
      <c r="J4037" s="135"/>
      <c r="K4037" s="135"/>
      <c r="L4037" s="135"/>
      <c r="M4037" s="135"/>
      <c r="N4037" s="135"/>
      <c r="O4037" s="135"/>
      <c r="P4037" s="135"/>
      <c r="Q4037" s="135"/>
      <c r="R4037" s="135"/>
      <c r="S4037" s="135"/>
      <c r="T4037" s="135"/>
      <c r="U4037" s="135"/>
      <c r="V4037" s="135"/>
      <c r="W4037" s="135"/>
      <c r="X4037" s="135"/>
      <c r="Y4037" s="135"/>
      <c r="Z4037" s="135"/>
    </row>
    <row r="4038" spans="1:26" ht="25.5">
      <c r="A4038" s="136" t="s">
        <v>11</v>
      </c>
      <c r="B4038" s="136" t="s">
        <v>7932</v>
      </c>
      <c r="C4038" s="136" t="s">
        <v>264</v>
      </c>
      <c r="D4038" s="136" t="s">
        <v>7956</v>
      </c>
      <c r="E4038" s="136" t="s">
        <v>615</v>
      </c>
      <c r="F4038" s="136">
        <v>50</v>
      </c>
      <c r="G4038" s="137">
        <f t="shared" si="15"/>
        <v>12</v>
      </c>
      <c r="H4038" s="137"/>
      <c r="I4038" s="137"/>
      <c r="J4038" s="135"/>
      <c r="K4038" s="135"/>
      <c r="L4038" s="135"/>
      <c r="M4038" s="135"/>
      <c r="N4038" s="135"/>
      <c r="O4038" s="135"/>
      <c r="P4038" s="135"/>
      <c r="Q4038" s="135"/>
      <c r="R4038" s="135"/>
      <c r="S4038" s="135"/>
      <c r="T4038" s="135"/>
      <c r="U4038" s="135"/>
      <c r="V4038" s="135"/>
      <c r="W4038" s="135"/>
      <c r="X4038" s="135"/>
      <c r="Y4038" s="135"/>
      <c r="Z4038" s="135"/>
    </row>
    <row r="4039" spans="1:26" ht="25.5">
      <c r="A4039" s="136" t="s">
        <v>11</v>
      </c>
      <c r="B4039" s="136" t="s">
        <v>7932</v>
      </c>
      <c r="C4039" s="136" t="s">
        <v>264</v>
      </c>
      <c r="D4039" s="136" t="s">
        <v>103</v>
      </c>
      <c r="E4039" s="136" t="s">
        <v>594</v>
      </c>
      <c r="F4039" s="136">
        <v>48</v>
      </c>
      <c r="G4039" s="137">
        <f t="shared" si="15"/>
        <v>13</v>
      </c>
      <c r="H4039" s="137"/>
      <c r="I4039" s="137"/>
      <c r="J4039" s="135"/>
      <c r="K4039" s="135"/>
      <c r="L4039" s="135"/>
      <c r="M4039" s="135"/>
      <c r="N4039" s="135"/>
      <c r="O4039" s="135"/>
      <c r="P4039" s="135"/>
      <c r="Q4039" s="135"/>
      <c r="R4039" s="135"/>
      <c r="S4039" s="135"/>
      <c r="T4039" s="135"/>
      <c r="U4039" s="135"/>
      <c r="V4039" s="135"/>
      <c r="W4039" s="135"/>
      <c r="X4039" s="135"/>
      <c r="Y4039" s="135"/>
      <c r="Z4039" s="135"/>
    </row>
    <row r="4040" spans="1:26" ht="25.5">
      <c r="A4040" s="136" t="s">
        <v>11</v>
      </c>
      <c r="B4040" s="136" t="s">
        <v>7932</v>
      </c>
      <c r="C4040" s="136" t="s">
        <v>264</v>
      </c>
      <c r="D4040" s="136" t="s">
        <v>7935</v>
      </c>
      <c r="E4040" s="136" t="s">
        <v>615</v>
      </c>
      <c r="F4040" s="136">
        <v>40</v>
      </c>
      <c r="G4040" s="137">
        <f t="shared" si="15"/>
        <v>14</v>
      </c>
      <c r="H4040" s="137"/>
      <c r="I4040" s="137"/>
      <c r="J4040" s="135"/>
      <c r="K4040" s="135"/>
      <c r="L4040" s="135"/>
      <c r="M4040" s="135"/>
      <c r="N4040" s="135"/>
      <c r="O4040" s="135"/>
      <c r="P4040" s="135"/>
      <c r="Q4040" s="135"/>
      <c r="R4040" s="135"/>
      <c r="S4040" s="135"/>
      <c r="T4040" s="135"/>
      <c r="U4040" s="135"/>
      <c r="V4040" s="135"/>
      <c r="W4040" s="135"/>
      <c r="X4040" s="135"/>
      <c r="Y4040" s="135"/>
      <c r="Z4040" s="135"/>
    </row>
    <row r="4041" spans="1:26" ht="25.5">
      <c r="A4041" s="136" t="s">
        <v>11</v>
      </c>
      <c r="B4041" s="136" t="s">
        <v>7932</v>
      </c>
      <c r="C4041" s="136" t="s">
        <v>264</v>
      </c>
      <c r="D4041" s="136" t="s">
        <v>437</v>
      </c>
      <c r="E4041" s="136" t="s">
        <v>594</v>
      </c>
      <c r="F4041" s="136">
        <v>36</v>
      </c>
      <c r="G4041" s="137">
        <f t="shared" si="15"/>
        <v>15</v>
      </c>
      <c r="H4041" s="137"/>
      <c r="I4041" s="137"/>
      <c r="J4041" s="135"/>
      <c r="K4041" s="135"/>
      <c r="L4041" s="135"/>
      <c r="M4041" s="135"/>
      <c r="N4041" s="135"/>
      <c r="O4041" s="135"/>
      <c r="P4041" s="135"/>
      <c r="Q4041" s="135"/>
      <c r="R4041" s="135"/>
      <c r="S4041" s="135"/>
      <c r="T4041" s="135"/>
      <c r="U4041" s="135"/>
      <c r="V4041" s="135"/>
      <c r="W4041" s="135"/>
      <c r="X4041" s="135"/>
      <c r="Y4041" s="135"/>
      <c r="Z4041" s="135"/>
    </row>
    <row r="4042" spans="1:26" ht="25.5">
      <c r="A4042" s="136" t="s">
        <v>11</v>
      </c>
      <c r="B4042" s="136" t="s">
        <v>7932</v>
      </c>
      <c r="C4042" s="136" t="s">
        <v>264</v>
      </c>
      <c r="D4042" s="136" t="s">
        <v>1638</v>
      </c>
      <c r="E4042" s="136" t="s">
        <v>594</v>
      </c>
      <c r="F4042" s="136">
        <v>34</v>
      </c>
      <c r="G4042" s="137">
        <f t="shared" si="15"/>
        <v>16</v>
      </c>
      <c r="H4042" s="137"/>
      <c r="I4042" s="137"/>
      <c r="J4042" s="135"/>
      <c r="K4042" s="135"/>
      <c r="L4042" s="135"/>
      <c r="M4042" s="135"/>
      <c r="N4042" s="135"/>
      <c r="O4042" s="135"/>
      <c r="P4042" s="135"/>
      <c r="Q4042" s="135"/>
      <c r="R4042" s="135"/>
      <c r="S4042" s="135"/>
      <c r="T4042" s="135"/>
      <c r="U4042" s="135"/>
      <c r="V4042" s="135"/>
      <c r="W4042" s="135"/>
      <c r="X4042" s="135"/>
      <c r="Y4042" s="135"/>
      <c r="Z4042" s="135"/>
    </row>
    <row r="4043" spans="1:26" ht="25.5">
      <c r="A4043" s="136" t="s">
        <v>11</v>
      </c>
      <c r="B4043" s="136" t="s">
        <v>7932</v>
      </c>
      <c r="C4043" s="136" t="s">
        <v>264</v>
      </c>
      <c r="D4043" s="136" t="s">
        <v>1674</v>
      </c>
      <c r="E4043" s="136" t="s">
        <v>615</v>
      </c>
      <c r="F4043" s="136">
        <v>18</v>
      </c>
      <c r="G4043" s="137">
        <f t="shared" si="15"/>
        <v>17</v>
      </c>
      <c r="H4043" s="137"/>
      <c r="I4043" s="137"/>
      <c r="J4043" s="135"/>
      <c r="K4043" s="135"/>
      <c r="L4043" s="135"/>
      <c r="M4043" s="135"/>
      <c r="N4043" s="135"/>
      <c r="O4043" s="135"/>
      <c r="P4043" s="135"/>
      <c r="Q4043" s="135"/>
      <c r="R4043" s="135"/>
      <c r="S4043" s="135"/>
      <c r="T4043" s="135"/>
      <c r="U4043" s="135"/>
      <c r="V4043" s="135"/>
      <c r="W4043" s="135"/>
      <c r="X4043" s="135"/>
      <c r="Y4043" s="135"/>
      <c r="Z4043" s="135"/>
    </row>
    <row r="4044" spans="1:26" ht="25.5">
      <c r="A4044" s="136" t="s">
        <v>11</v>
      </c>
      <c r="B4044" s="136" t="s">
        <v>7932</v>
      </c>
      <c r="C4044" s="136" t="s">
        <v>264</v>
      </c>
      <c r="D4044" s="136" t="s">
        <v>225</v>
      </c>
      <c r="E4044" s="136" t="s">
        <v>615</v>
      </c>
      <c r="F4044" s="136">
        <v>16</v>
      </c>
      <c r="G4044" s="137">
        <f t="shared" si="15"/>
        <v>18</v>
      </c>
      <c r="H4044" s="137"/>
      <c r="I4044" s="137"/>
      <c r="J4044" s="135"/>
      <c r="K4044" s="135"/>
      <c r="L4044" s="135"/>
      <c r="M4044" s="135"/>
      <c r="N4044" s="135"/>
      <c r="O4044" s="135"/>
      <c r="P4044" s="135"/>
      <c r="Q4044" s="135"/>
      <c r="R4044" s="135"/>
      <c r="S4044" s="135"/>
      <c r="T4044" s="135"/>
      <c r="U4044" s="135"/>
      <c r="V4044" s="135"/>
      <c r="W4044" s="135"/>
      <c r="X4044" s="135"/>
      <c r="Y4044" s="135"/>
      <c r="Z4044" s="135"/>
    </row>
    <row r="4045" spans="1:26" ht="25.5">
      <c r="A4045" s="136" t="s">
        <v>11</v>
      </c>
      <c r="B4045" s="136" t="s">
        <v>7932</v>
      </c>
      <c r="C4045" s="136" t="s">
        <v>264</v>
      </c>
      <c r="D4045" s="136" t="s">
        <v>1682</v>
      </c>
      <c r="E4045" s="136" t="s">
        <v>86</v>
      </c>
      <c r="F4045" s="136">
        <v>11</v>
      </c>
      <c r="G4045" s="137">
        <f t="shared" si="15"/>
        <v>19</v>
      </c>
      <c r="H4045" s="137"/>
      <c r="I4045" s="137"/>
      <c r="J4045" s="135"/>
      <c r="K4045" s="135"/>
      <c r="L4045" s="135"/>
      <c r="M4045" s="135"/>
      <c r="N4045" s="135"/>
      <c r="O4045" s="135"/>
      <c r="P4045" s="135"/>
      <c r="Q4045" s="135"/>
      <c r="R4045" s="135"/>
      <c r="S4045" s="135"/>
      <c r="T4045" s="135"/>
      <c r="U4045" s="135"/>
      <c r="V4045" s="135"/>
      <c r="W4045" s="135"/>
      <c r="X4045" s="135"/>
      <c r="Y4045" s="135"/>
      <c r="Z4045" s="135"/>
    </row>
    <row r="4046" spans="1:26" ht="25.5">
      <c r="A4046" s="136" t="s">
        <v>11</v>
      </c>
      <c r="B4046" s="136" t="s">
        <v>7932</v>
      </c>
      <c r="C4046" s="136" t="s">
        <v>264</v>
      </c>
      <c r="D4046" s="136" t="s">
        <v>1666</v>
      </c>
      <c r="E4046" s="136" t="s">
        <v>85</v>
      </c>
      <c r="F4046" s="136">
        <v>6</v>
      </c>
      <c r="G4046" s="137">
        <f t="shared" si="15"/>
        <v>20</v>
      </c>
      <c r="H4046" s="137"/>
      <c r="I4046" s="137"/>
      <c r="J4046" s="135"/>
      <c r="K4046" s="135"/>
      <c r="L4046" s="135"/>
      <c r="M4046" s="135"/>
      <c r="N4046" s="135"/>
      <c r="O4046" s="135"/>
      <c r="P4046" s="135"/>
      <c r="Q4046" s="135"/>
      <c r="R4046" s="135"/>
      <c r="S4046" s="135"/>
      <c r="T4046" s="135"/>
      <c r="U4046" s="135"/>
      <c r="V4046" s="135"/>
      <c r="W4046" s="135"/>
      <c r="X4046" s="135"/>
      <c r="Y4046" s="135"/>
      <c r="Z4046" s="135"/>
    </row>
    <row r="4047" spans="1:26" ht="25.5">
      <c r="A4047" s="136" t="s">
        <v>11</v>
      </c>
      <c r="B4047" s="136" t="s">
        <v>7932</v>
      </c>
      <c r="C4047" s="136" t="s">
        <v>292</v>
      </c>
      <c r="D4047" s="136" t="s">
        <v>139</v>
      </c>
      <c r="E4047" s="136" t="s">
        <v>594</v>
      </c>
      <c r="F4047" s="136">
        <v>3163</v>
      </c>
      <c r="G4047" s="137">
        <f t="shared" si="15"/>
        <v>1</v>
      </c>
      <c r="H4047" s="137"/>
      <c r="I4047" s="137"/>
      <c r="J4047" s="135"/>
      <c r="K4047" s="135"/>
      <c r="L4047" s="135"/>
      <c r="M4047" s="135"/>
      <c r="N4047" s="135"/>
      <c r="O4047" s="135"/>
      <c r="P4047" s="135"/>
      <c r="Q4047" s="135"/>
      <c r="R4047" s="135"/>
      <c r="S4047" s="135"/>
      <c r="T4047" s="135"/>
      <c r="U4047" s="135"/>
      <c r="V4047" s="135"/>
      <c r="W4047" s="135"/>
      <c r="X4047" s="135"/>
      <c r="Y4047" s="135"/>
      <c r="Z4047" s="135"/>
    </row>
    <row r="4048" spans="1:26" ht="25.5">
      <c r="A4048" s="136" t="s">
        <v>11</v>
      </c>
      <c r="B4048" s="136" t="s">
        <v>7932</v>
      </c>
      <c r="C4048" s="136" t="s">
        <v>292</v>
      </c>
      <c r="D4048" s="136" t="s">
        <v>7878</v>
      </c>
      <c r="E4048" s="136" t="s">
        <v>85</v>
      </c>
      <c r="F4048" s="136">
        <v>1142</v>
      </c>
      <c r="G4048" s="137">
        <f t="shared" si="15"/>
        <v>2</v>
      </c>
      <c r="H4048" s="137"/>
      <c r="I4048" s="137"/>
      <c r="J4048" s="135"/>
      <c r="K4048" s="135"/>
      <c r="L4048" s="135"/>
      <c r="M4048" s="135"/>
      <c r="N4048" s="135"/>
      <c r="O4048" s="135"/>
      <c r="P4048" s="135"/>
      <c r="Q4048" s="135"/>
      <c r="R4048" s="135"/>
      <c r="S4048" s="135"/>
      <c r="T4048" s="135"/>
      <c r="U4048" s="135"/>
      <c r="V4048" s="135"/>
      <c r="W4048" s="135"/>
      <c r="X4048" s="135"/>
      <c r="Y4048" s="135"/>
      <c r="Z4048" s="135"/>
    </row>
    <row r="4049" spans="1:26" ht="25.5">
      <c r="A4049" s="136" t="s">
        <v>11</v>
      </c>
      <c r="B4049" s="136" t="s">
        <v>7932</v>
      </c>
      <c r="C4049" s="136" t="s">
        <v>292</v>
      </c>
      <c r="D4049" s="136" t="s">
        <v>1669</v>
      </c>
      <c r="E4049" s="136" t="s">
        <v>615</v>
      </c>
      <c r="F4049" s="136">
        <v>962</v>
      </c>
      <c r="G4049" s="137">
        <f t="shared" si="15"/>
        <v>3</v>
      </c>
      <c r="H4049" s="137"/>
      <c r="I4049" s="137"/>
      <c r="J4049" s="135"/>
      <c r="K4049" s="135"/>
      <c r="L4049" s="135"/>
      <c r="M4049" s="135"/>
      <c r="N4049" s="135"/>
      <c r="O4049" s="135"/>
      <c r="P4049" s="135"/>
      <c r="Q4049" s="135"/>
      <c r="R4049" s="135"/>
      <c r="S4049" s="135"/>
      <c r="T4049" s="135"/>
      <c r="U4049" s="135"/>
      <c r="V4049" s="135"/>
      <c r="W4049" s="135"/>
      <c r="X4049" s="135"/>
      <c r="Y4049" s="135"/>
      <c r="Z4049" s="135"/>
    </row>
    <row r="4050" spans="1:26" ht="25.5">
      <c r="A4050" s="136" t="s">
        <v>11</v>
      </c>
      <c r="B4050" s="136" t="s">
        <v>7932</v>
      </c>
      <c r="C4050" s="136" t="s">
        <v>292</v>
      </c>
      <c r="D4050" s="136" t="s">
        <v>7657</v>
      </c>
      <c r="E4050" s="136" t="s">
        <v>85</v>
      </c>
      <c r="F4050" s="136">
        <v>526</v>
      </c>
      <c r="G4050" s="137">
        <f t="shared" si="15"/>
        <v>4</v>
      </c>
      <c r="H4050" s="137"/>
      <c r="I4050" s="137"/>
      <c r="J4050" s="135"/>
      <c r="K4050" s="135"/>
      <c r="L4050" s="135"/>
      <c r="M4050" s="135"/>
      <c r="N4050" s="135"/>
      <c r="O4050" s="135"/>
      <c r="P4050" s="135"/>
      <c r="Q4050" s="135"/>
      <c r="R4050" s="135"/>
      <c r="S4050" s="135"/>
      <c r="T4050" s="135"/>
      <c r="U4050" s="135"/>
      <c r="V4050" s="135"/>
      <c r="W4050" s="135"/>
      <c r="X4050" s="135"/>
      <c r="Y4050" s="135"/>
      <c r="Z4050" s="135"/>
    </row>
    <row r="4051" spans="1:26" ht="25.5">
      <c r="A4051" s="136" t="s">
        <v>11</v>
      </c>
      <c r="B4051" s="136" t="s">
        <v>7932</v>
      </c>
      <c r="C4051" s="136" t="s">
        <v>292</v>
      </c>
      <c r="D4051" s="136" t="s">
        <v>1665</v>
      </c>
      <c r="E4051" s="136" t="s">
        <v>615</v>
      </c>
      <c r="F4051" s="136">
        <v>191</v>
      </c>
      <c r="G4051" s="137">
        <f t="shared" si="15"/>
        <v>5</v>
      </c>
      <c r="H4051" s="137"/>
      <c r="I4051" s="137"/>
      <c r="J4051" s="135"/>
      <c r="K4051" s="135"/>
      <c r="L4051" s="135"/>
      <c r="M4051" s="135"/>
      <c r="N4051" s="135"/>
      <c r="O4051" s="135"/>
      <c r="P4051" s="135"/>
      <c r="Q4051" s="135"/>
      <c r="R4051" s="135"/>
      <c r="S4051" s="135"/>
      <c r="T4051" s="135"/>
      <c r="U4051" s="135"/>
      <c r="V4051" s="135"/>
      <c r="W4051" s="135"/>
      <c r="X4051" s="135"/>
      <c r="Y4051" s="135"/>
      <c r="Z4051" s="135"/>
    </row>
    <row r="4052" spans="1:26" ht="25.5">
      <c r="A4052" s="136" t="s">
        <v>11</v>
      </c>
      <c r="B4052" s="136" t="s">
        <v>7932</v>
      </c>
      <c r="C4052" s="136" t="s">
        <v>292</v>
      </c>
      <c r="D4052" s="136" t="s">
        <v>1626</v>
      </c>
      <c r="E4052" s="136" t="s">
        <v>594</v>
      </c>
      <c r="F4052" s="136">
        <v>179</v>
      </c>
      <c r="G4052" s="137">
        <f t="shared" si="15"/>
        <v>6</v>
      </c>
      <c r="H4052" s="137"/>
      <c r="I4052" s="137"/>
      <c r="J4052" s="135"/>
      <c r="K4052" s="135"/>
      <c r="L4052" s="135"/>
      <c r="M4052" s="135"/>
      <c r="N4052" s="135"/>
      <c r="O4052" s="135"/>
      <c r="P4052" s="135"/>
      <c r="Q4052" s="135"/>
      <c r="R4052" s="135"/>
      <c r="S4052" s="135"/>
      <c r="T4052" s="135"/>
      <c r="U4052" s="135"/>
      <c r="V4052" s="135"/>
      <c r="W4052" s="135"/>
      <c r="X4052" s="135"/>
      <c r="Y4052" s="135"/>
      <c r="Z4052" s="135"/>
    </row>
    <row r="4053" spans="1:26" ht="25.5">
      <c r="A4053" s="136" t="s">
        <v>11</v>
      </c>
      <c r="B4053" s="136" t="s">
        <v>7932</v>
      </c>
      <c r="C4053" s="136" t="s">
        <v>292</v>
      </c>
      <c r="D4053" s="136" t="s">
        <v>368</v>
      </c>
      <c r="E4053" s="136" t="s">
        <v>594</v>
      </c>
      <c r="F4053" s="136">
        <v>165</v>
      </c>
      <c r="G4053" s="137">
        <f t="shared" si="15"/>
        <v>7</v>
      </c>
      <c r="H4053" s="137"/>
      <c r="I4053" s="137"/>
      <c r="J4053" s="135"/>
      <c r="K4053" s="135"/>
      <c r="L4053" s="135"/>
      <c r="M4053" s="135"/>
      <c r="N4053" s="135"/>
      <c r="O4053" s="135"/>
      <c r="P4053" s="135"/>
      <c r="Q4053" s="135"/>
      <c r="R4053" s="135"/>
      <c r="S4053" s="135"/>
      <c r="T4053" s="135"/>
      <c r="U4053" s="135"/>
      <c r="V4053" s="135"/>
      <c r="W4053" s="135"/>
      <c r="X4053" s="135"/>
      <c r="Y4053" s="135"/>
      <c r="Z4053" s="135"/>
    </row>
    <row r="4054" spans="1:26" ht="25.5">
      <c r="A4054" s="136" t="s">
        <v>11</v>
      </c>
      <c r="B4054" s="136" t="s">
        <v>7932</v>
      </c>
      <c r="C4054" s="136" t="s">
        <v>292</v>
      </c>
      <c r="D4054" s="136" t="s">
        <v>136</v>
      </c>
      <c r="E4054" s="136" t="s">
        <v>615</v>
      </c>
      <c r="F4054" s="136">
        <v>131</v>
      </c>
      <c r="G4054" s="137">
        <f t="shared" si="15"/>
        <v>8</v>
      </c>
      <c r="H4054" s="137"/>
      <c r="I4054" s="137"/>
      <c r="J4054" s="135"/>
      <c r="K4054" s="135"/>
      <c r="L4054" s="135"/>
      <c r="M4054" s="135"/>
      <c r="N4054" s="135"/>
      <c r="O4054" s="135"/>
      <c r="P4054" s="135"/>
      <c r="Q4054" s="135"/>
      <c r="R4054" s="135"/>
      <c r="S4054" s="135"/>
      <c r="T4054" s="135"/>
      <c r="U4054" s="135"/>
      <c r="V4054" s="135"/>
      <c r="W4054" s="135"/>
      <c r="X4054" s="135"/>
      <c r="Y4054" s="135"/>
      <c r="Z4054" s="135"/>
    </row>
    <row r="4055" spans="1:26" ht="25.5">
      <c r="A4055" s="136" t="s">
        <v>11</v>
      </c>
      <c r="B4055" s="136" t="s">
        <v>7932</v>
      </c>
      <c r="C4055" s="136" t="s">
        <v>292</v>
      </c>
      <c r="D4055" s="136" t="s">
        <v>1680</v>
      </c>
      <c r="E4055" s="136" t="s">
        <v>615</v>
      </c>
      <c r="F4055" s="136">
        <v>118</v>
      </c>
      <c r="G4055" s="137">
        <f t="shared" si="15"/>
        <v>9</v>
      </c>
      <c r="H4055" s="137"/>
      <c r="I4055" s="137"/>
      <c r="J4055" s="135"/>
      <c r="K4055" s="135"/>
      <c r="L4055" s="135"/>
      <c r="M4055" s="135"/>
      <c r="N4055" s="135"/>
      <c r="O4055" s="135"/>
      <c r="P4055" s="135"/>
      <c r="Q4055" s="135"/>
      <c r="R4055" s="135"/>
      <c r="S4055" s="135"/>
      <c r="T4055" s="135"/>
      <c r="U4055" s="135"/>
      <c r="V4055" s="135"/>
      <c r="W4055" s="135"/>
      <c r="X4055" s="135"/>
      <c r="Y4055" s="135"/>
      <c r="Z4055" s="135"/>
    </row>
    <row r="4056" spans="1:26" ht="25.5">
      <c r="A4056" s="136" t="s">
        <v>11</v>
      </c>
      <c r="B4056" s="136" t="s">
        <v>7932</v>
      </c>
      <c r="C4056" s="136" t="s">
        <v>292</v>
      </c>
      <c r="D4056" s="136" t="s">
        <v>1659</v>
      </c>
      <c r="E4056" s="136" t="s">
        <v>615</v>
      </c>
      <c r="F4056" s="136">
        <v>92</v>
      </c>
      <c r="G4056" s="137">
        <f t="shared" si="15"/>
        <v>10</v>
      </c>
      <c r="H4056" s="137"/>
      <c r="I4056" s="137"/>
      <c r="J4056" s="135"/>
      <c r="K4056" s="135"/>
      <c r="L4056" s="135"/>
      <c r="M4056" s="135"/>
      <c r="N4056" s="135"/>
      <c r="O4056" s="135"/>
      <c r="P4056" s="135"/>
      <c r="Q4056" s="135"/>
      <c r="R4056" s="135"/>
      <c r="S4056" s="135"/>
      <c r="T4056" s="135"/>
      <c r="U4056" s="135"/>
      <c r="V4056" s="135"/>
      <c r="W4056" s="135"/>
      <c r="X4056" s="135"/>
      <c r="Y4056" s="135"/>
      <c r="Z4056" s="135"/>
    </row>
    <row r="4057" spans="1:26" ht="25.5">
      <c r="A4057" s="136" t="s">
        <v>11</v>
      </c>
      <c r="B4057" s="136" t="s">
        <v>7932</v>
      </c>
      <c r="C4057" s="136" t="s">
        <v>292</v>
      </c>
      <c r="D4057" s="136" t="s">
        <v>165</v>
      </c>
      <c r="E4057" s="136" t="s">
        <v>615</v>
      </c>
      <c r="F4057" s="136">
        <v>90</v>
      </c>
      <c r="G4057" s="137">
        <f t="shared" si="15"/>
        <v>11</v>
      </c>
      <c r="H4057" s="137"/>
      <c r="I4057" s="137"/>
      <c r="J4057" s="135"/>
      <c r="K4057" s="135"/>
      <c r="L4057" s="135"/>
      <c r="M4057" s="135"/>
      <c r="N4057" s="135"/>
      <c r="O4057" s="135"/>
      <c r="P4057" s="135"/>
      <c r="Q4057" s="135"/>
      <c r="R4057" s="135"/>
      <c r="S4057" s="135"/>
      <c r="T4057" s="135"/>
      <c r="U4057" s="135"/>
      <c r="V4057" s="135"/>
      <c r="W4057" s="135"/>
      <c r="X4057" s="135"/>
      <c r="Y4057" s="135"/>
      <c r="Z4057" s="135"/>
    </row>
    <row r="4058" spans="1:26" ht="25.5">
      <c r="A4058" s="136" t="s">
        <v>11</v>
      </c>
      <c r="B4058" s="136" t="s">
        <v>7932</v>
      </c>
      <c r="C4058" s="136" t="s">
        <v>292</v>
      </c>
      <c r="D4058" s="136" t="s">
        <v>103</v>
      </c>
      <c r="E4058" s="136" t="s">
        <v>594</v>
      </c>
      <c r="F4058" s="136">
        <v>88</v>
      </c>
      <c r="G4058" s="137">
        <f t="shared" si="15"/>
        <v>12</v>
      </c>
      <c r="H4058" s="137"/>
      <c r="I4058" s="137"/>
      <c r="J4058" s="135"/>
      <c r="K4058" s="135"/>
      <c r="L4058" s="135"/>
      <c r="M4058" s="135"/>
      <c r="N4058" s="135"/>
      <c r="O4058" s="135"/>
      <c r="P4058" s="135"/>
      <c r="Q4058" s="135"/>
      <c r="R4058" s="135"/>
      <c r="S4058" s="135"/>
      <c r="T4058" s="135"/>
      <c r="U4058" s="135"/>
      <c r="V4058" s="135"/>
      <c r="W4058" s="135"/>
      <c r="X4058" s="135"/>
      <c r="Y4058" s="135"/>
      <c r="Z4058" s="135"/>
    </row>
    <row r="4059" spans="1:26" ht="25.5">
      <c r="A4059" s="136" t="s">
        <v>11</v>
      </c>
      <c r="B4059" s="136" t="s">
        <v>7932</v>
      </c>
      <c r="C4059" s="136" t="s">
        <v>292</v>
      </c>
      <c r="D4059" s="136" t="s">
        <v>7937</v>
      </c>
      <c r="E4059" s="136" t="s">
        <v>86</v>
      </c>
      <c r="F4059" s="136">
        <v>83</v>
      </c>
      <c r="G4059" s="137">
        <f t="shared" si="15"/>
        <v>13</v>
      </c>
      <c r="H4059" s="137"/>
      <c r="I4059" s="137"/>
      <c r="J4059" s="135"/>
      <c r="K4059" s="135"/>
      <c r="L4059" s="135"/>
      <c r="M4059" s="135"/>
      <c r="N4059" s="135"/>
      <c r="O4059" s="135"/>
      <c r="P4059" s="135"/>
      <c r="Q4059" s="135"/>
      <c r="R4059" s="135"/>
      <c r="S4059" s="135"/>
      <c r="T4059" s="135"/>
      <c r="U4059" s="135"/>
      <c r="V4059" s="135"/>
      <c r="W4059" s="135"/>
      <c r="X4059" s="135"/>
      <c r="Y4059" s="135"/>
      <c r="Z4059" s="135"/>
    </row>
    <row r="4060" spans="1:26" ht="25.5">
      <c r="A4060" s="136" t="s">
        <v>11</v>
      </c>
      <c r="B4060" s="136" t="s">
        <v>7932</v>
      </c>
      <c r="C4060" s="136" t="s">
        <v>292</v>
      </c>
      <c r="D4060" s="136" t="s">
        <v>1604</v>
      </c>
      <c r="E4060" s="136" t="s">
        <v>594</v>
      </c>
      <c r="F4060" s="136">
        <v>72</v>
      </c>
      <c r="G4060" s="137">
        <f t="shared" si="15"/>
        <v>14</v>
      </c>
      <c r="H4060" s="137"/>
      <c r="I4060" s="137"/>
      <c r="J4060" s="135"/>
      <c r="K4060" s="135"/>
      <c r="L4060" s="135"/>
      <c r="M4060" s="135"/>
      <c r="N4060" s="135"/>
      <c r="O4060" s="135"/>
      <c r="P4060" s="135"/>
      <c r="Q4060" s="135"/>
      <c r="R4060" s="135"/>
      <c r="S4060" s="135"/>
      <c r="T4060" s="135"/>
      <c r="U4060" s="135"/>
      <c r="V4060" s="135"/>
      <c r="W4060" s="135"/>
      <c r="X4060" s="135"/>
      <c r="Y4060" s="135"/>
      <c r="Z4060" s="135"/>
    </row>
    <row r="4061" spans="1:26" ht="25.5">
      <c r="A4061" s="136" t="s">
        <v>11</v>
      </c>
      <c r="B4061" s="136" t="s">
        <v>7932</v>
      </c>
      <c r="C4061" s="136" t="s">
        <v>292</v>
      </c>
      <c r="D4061" s="136" t="s">
        <v>120</v>
      </c>
      <c r="E4061" s="136" t="s">
        <v>615</v>
      </c>
      <c r="F4061" s="136">
        <v>60</v>
      </c>
      <c r="G4061" s="137">
        <f t="shared" si="15"/>
        <v>15</v>
      </c>
      <c r="H4061" s="137"/>
      <c r="I4061" s="137"/>
      <c r="J4061" s="135"/>
      <c r="K4061" s="135"/>
      <c r="L4061" s="135"/>
      <c r="M4061" s="135"/>
      <c r="N4061" s="135"/>
      <c r="O4061" s="135"/>
      <c r="P4061" s="135"/>
      <c r="Q4061" s="135"/>
      <c r="R4061" s="135"/>
      <c r="S4061" s="135"/>
      <c r="T4061" s="135"/>
      <c r="U4061" s="135"/>
      <c r="V4061" s="135"/>
      <c r="W4061" s="135"/>
      <c r="X4061" s="135"/>
      <c r="Y4061" s="135"/>
      <c r="Z4061" s="135"/>
    </row>
    <row r="4062" spans="1:26" ht="25.5">
      <c r="A4062" s="136" t="s">
        <v>11</v>
      </c>
      <c r="B4062" s="136" t="s">
        <v>7932</v>
      </c>
      <c r="C4062" s="136" t="s">
        <v>292</v>
      </c>
      <c r="D4062" s="136" t="s">
        <v>437</v>
      </c>
      <c r="E4062" s="136" t="s">
        <v>85</v>
      </c>
      <c r="F4062" s="136">
        <v>47</v>
      </c>
      <c r="G4062" s="137">
        <f t="shared" si="15"/>
        <v>16</v>
      </c>
      <c r="H4062" s="137"/>
      <c r="I4062" s="137"/>
      <c r="J4062" s="135"/>
      <c r="K4062" s="135"/>
      <c r="L4062" s="135"/>
      <c r="M4062" s="135"/>
      <c r="N4062" s="135"/>
      <c r="O4062" s="135"/>
      <c r="P4062" s="135"/>
      <c r="Q4062" s="135"/>
      <c r="R4062" s="135"/>
      <c r="S4062" s="135"/>
      <c r="T4062" s="135"/>
      <c r="U4062" s="135"/>
      <c r="V4062" s="135"/>
      <c r="W4062" s="135"/>
      <c r="X4062" s="135"/>
      <c r="Y4062" s="135"/>
      <c r="Z4062" s="135"/>
    </row>
    <row r="4063" spans="1:26" ht="25.5">
      <c r="A4063" s="136" t="s">
        <v>11</v>
      </c>
      <c r="B4063" s="136" t="s">
        <v>7932</v>
      </c>
      <c r="C4063" s="136" t="s">
        <v>292</v>
      </c>
      <c r="D4063" s="136" t="s">
        <v>131</v>
      </c>
      <c r="E4063" s="136" t="s">
        <v>594</v>
      </c>
      <c r="F4063" s="136">
        <v>46</v>
      </c>
      <c r="G4063" s="137">
        <f t="shared" si="15"/>
        <v>17</v>
      </c>
      <c r="H4063" s="137"/>
      <c r="I4063" s="137"/>
      <c r="J4063" s="135"/>
      <c r="K4063" s="135"/>
      <c r="L4063" s="135"/>
      <c r="M4063" s="135"/>
      <c r="N4063" s="135"/>
      <c r="O4063" s="135"/>
      <c r="P4063" s="135"/>
      <c r="Q4063" s="135"/>
      <c r="R4063" s="135"/>
      <c r="S4063" s="135"/>
      <c r="T4063" s="135"/>
      <c r="U4063" s="135"/>
      <c r="V4063" s="135"/>
      <c r="W4063" s="135"/>
      <c r="X4063" s="135"/>
      <c r="Y4063" s="135"/>
      <c r="Z4063" s="135"/>
    </row>
    <row r="4064" spans="1:26" ht="25.5">
      <c r="A4064" s="136" t="s">
        <v>11</v>
      </c>
      <c r="B4064" s="136" t="s">
        <v>7932</v>
      </c>
      <c r="C4064" s="136" t="s">
        <v>292</v>
      </c>
      <c r="D4064" s="136" t="s">
        <v>1638</v>
      </c>
      <c r="E4064" s="136" t="s">
        <v>594</v>
      </c>
      <c r="F4064" s="136">
        <v>39</v>
      </c>
      <c r="G4064" s="137">
        <f t="shared" si="15"/>
        <v>18</v>
      </c>
      <c r="H4064" s="137"/>
      <c r="I4064" s="137"/>
      <c r="J4064" s="135"/>
      <c r="K4064" s="135"/>
      <c r="L4064" s="135"/>
      <c r="M4064" s="135"/>
      <c r="N4064" s="135"/>
      <c r="O4064" s="135"/>
      <c r="P4064" s="135"/>
      <c r="Q4064" s="135"/>
      <c r="R4064" s="135"/>
      <c r="S4064" s="135"/>
      <c r="T4064" s="135"/>
      <c r="U4064" s="135"/>
      <c r="V4064" s="135"/>
      <c r="W4064" s="135"/>
      <c r="X4064" s="135"/>
      <c r="Y4064" s="135"/>
      <c r="Z4064" s="135"/>
    </row>
    <row r="4065" spans="1:26" ht="25.5">
      <c r="A4065" s="136" t="s">
        <v>11</v>
      </c>
      <c r="B4065" s="136" t="s">
        <v>7932</v>
      </c>
      <c r="C4065" s="136" t="s">
        <v>292</v>
      </c>
      <c r="D4065" s="136" t="s">
        <v>1656</v>
      </c>
      <c r="E4065" s="136" t="s">
        <v>594</v>
      </c>
      <c r="F4065" s="136">
        <v>12</v>
      </c>
      <c r="G4065" s="137">
        <f t="shared" si="15"/>
        <v>19</v>
      </c>
      <c r="H4065" s="137"/>
      <c r="I4065" s="137"/>
      <c r="J4065" s="135"/>
      <c r="K4065" s="135"/>
      <c r="L4065" s="135"/>
      <c r="M4065" s="135"/>
      <c r="N4065" s="135"/>
      <c r="O4065" s="135"/>
      <c r="P4065" s="135"/>
      <c r="Q4065" s="135"/>
      <c r="R4065" s="135"/>
      <c r="S4065" s="135"/>
      <c r="T4065" s="135"/>
      <c r="U4065" s="135"/>
      <c r="V4065" s="135"/>
      <c r="W4065" s="135"/>
      <c r="X4065" s="135"/>
      <c r="Y4065" s="135"/>
      <c r="Z4065" s="135"/>
    </row>
    <row r="4066" spans="1:26" ht="25.5">
      <c r="A4066" s="136" t="s">
        <v>11</v>
      </c>
      <c r="B4066" s="136" t="s">
        <v>7932</v>
      </c>
      <c r="C4066" s="136" t="s">
        <v>292</v>
      </c>
      <c r="D4066" s="136" t="s">
        <v>7767</v>
      </c>
      <c r="E4066" s="136" t="s">
        <v>594</v>
      </c>
      <c r="F4066" s="136">
        <v>5</v>
      </c>
      <c r="G4066" s="137">
        <f t="shared" si="15"/>
        <v>20</v>
      </c>
      <c r="H4066" s="137"/>
      <c r="I4066" s="137"/>
      <c r="J4066" s="135"/>
      <c r="K4066" s="135"/>
      <c r="L4066" s="135"/>
      <c r="M4066" s="135"/>
      <c r="N4066" s="135"/>
      <c r="O4066" s="135"/>
      <c r="P4066" s="135"/>
      <c r="Q4066" s="135"/>
      <c r="R4066" s="135"/>
      <c r="S4066" s="135"/>
      <c r="T4066" s="135"/>
      <c r="U4066" s="135"/>
      <c r="V4066" s="135"/>
      <c r="W4066" s="135"/>
      <c r="X4066" s="135"/>
      <c r="Y4066" s="135"/>
      <c r="Z4066" s="135"/>
    </row>
    <row r="4067" spans="1:26" ht="25.5">
      <c r="A4067" s="136" t="s">
        <v>11</v>
      </c>
      <c r="B4067" s="136" t="s">
        <v>7932</v>
      </c>
      <c r="C4067" s="136" t="s">
        <v>290</v>
      </c>
      <c r="D4067" s="136" t="s">
        <v>139</v>
      </c>
      <c r="E4067" s="136" t="s">
        <v>594</v>
      </c>
      <c r="F4067" s="136">
        <v>947</v>
      </c>
      <c r="G4067" s="137">
        <f t="shared" si="15"/>
        <v>1</v>
      </c>
      <c r="H4067" s="137"/>
      <c r="I4067" s="137"/>
      <c r="J4067" s="135"/>
      <c r="K4067" s="135"/>
      <c r="L4067" s="135"/>
      <c r="M4067" s="135"/>
      <c r="N4067" s="135"/>
      <c r="O4067" s="135"/>
      <c r="P4067" s="135"/>
      <c r="Q4067" s="135"/>
      <c r="R4067" s="135"/>
      <c r="S4067" s="135"/>
      <c r="T4067" s="135"/>
      <c r="U4067" s="135"/>
      <c r="V4067" s="135"/>
      <c r="W4067" s="135"/>
      <c r="X4067" s="135"/>
      <c r="Y4067" s="135"/>
      <c r="Z4067" s="135"/>
    </row>
    <row r="4068" spans="1:26" ht="25.5">
      <c r="A4068" s="136" t="s">
        <v>11</v>
      </c>
      <c r="B4068" s="136" t="s">
        <v>7932</v>
      </c>
      <c r="C4068" s="136" t="s">
        <v>290</v>
      </c>
      <c r="D4068" s="136" t="s">
        <v>136</v>
      </c>
      <c r="E4068" s="136" t="s">
        <v>615</v>
      </c>
      <c r="F4068" s="136">
        <v>783</v>
      </c>
      <c r="G4068" s="137">
        <f t="shared" si="15"/>
        <v>2</v>
      </c>
      <c r="H4068" s="137"/>
      <c r="I4068" s="137"/>
      <c r="J4068" s="135"/>
      <c r="K4068" s="135"/>
      <c r="L4068" s="135"/>
      <c r="M4068" s="135"/>
      <c r="N4068" s="135"/>
      <c r="O4068" s="135"/>
      <c r="P4068" s="135"/>
      <c r="Q4068" s="135"/>
      <c r="R4068" s="135"/>
      <c r="S4068" s="135"/>
      <c r="T4068" s="135"/>
      <c r="U4068" s="135"/>
      <c r="V4068" s="135"/>
      <c r="W4068" s="135"/>
      <c r="X4068" s="135"/>
      <c r="Y4068" s="135"/>
      <c r="Z4068" s="135"/>
    </row>
    <row r="4069" spans="1:26" ht="25.5">
      <c r="A4069" s="136" t="s">
        <v>11</v>
      </c>
      <c r="B4069" s="136" t="s">
        <v>7932</v>
      </c>
      <c r="C4069" s="136" t="s">
        <v>290</v>
      </c>
      <c r="D4069" s="136" t="s">
        <v>7940</v>
      </c>
      <c r="E4069" s="136" t="s">
        <v>615</v>
      </c>
      <c r="F4069" s="136">
        <v>622</v>
      </c>
      <c r="G4069" s="137">
        <f t="shared" si="15"/>
        <v>3</v>
      </c>
      <c r="H4069" s="137"/>
      <c r="I4069" s="137"/>
      <c r="J4069" s="135"/>
      <c r="K4069" s="135"/>
      <c r="L4069" s="135"/>
      <c r="M4069" s="135"/>
      <c r="N4069" s="135"/>
      <c r="O4069" s="135"/>
      <c r="P4069" s="135"/>
      <c r="Q4069" s="135"/>
      <c r="R4069" s="135"/>
      <c r="S4069" s="135"/>
      <c r="T4069" s="135"/>
      <c r="U4069" s="135"/>
      <c r="V4069" s="135"/>
      <c r="W4069" s="135"/>
      <c r="X4069" s="135"/>
      <c r="Y4069" s="135"/>
      <c r="Z4069" s="135"/>
    </row>
    <row r="4070" spans="1:26" ht="25.5">
      <c r="A4070" s="136" t="s">
        <v>11</v>
      </c>
      <c r="B4070" s="136" t="s">
        <v>7932</v>
      </c>
      <c r="C4070" s="136" t="s">
        <v>290</v>
      </c>
      <c r="D4070" s="136" t="s">
        <v>1669</v>
      </c>
      <c r="E4070" s="136" t="s">
        <v>615</v>
      </c>
      <c r="F4070" s="136">
        <v>585</v>
      </c>
      <c r="G4070" s="137">
        <f t="shared" si="15"/>
        <v>4</v>
      </c>
      <c r="H4070" s="137"/>
      <c r="I4070" s="137"/>
      <c r="J4070" s="135"/>
      <c r="K4070" s="135"/>
      <c r="L4070" s="135"/>
      <c r="M4070" s="135"/>
      <c r="N4070" s="135"/>
      <c r="O4070" s="135"/>
      <c r="P4070" s="135"/>
      <c r="Q4070" s="135"/>
      <c r="R4070" s="135"/>
      <c r="S4070" s="135"/>
      <c r="T4070" s="135"/>
      <c r="U4070" s="135"/>
      <c r="V4070" s="135"/>
      <c r="W4070" s="135"/>
      <c r="X4070" s="135"/>
      <c r="Y4070" s="135"/>
      <c r="Z4070" s="135"/>
    </row>
    <row r="4071" spans="1:26" ht="25.5">
      <c r="A4071" s="136" t="s">
        <v>11</v>
      </c>
      <c r="B4071" s="136" t="s">
        <v>7932</v>
      </c>
      <c r="C4071" s="136" t="s">
        <v>290</v>
      </c>
      <c r="D4071" s="136" t="s">
        <v>7878</v>
      </c>
      <c r="E4071" s="136" t="s">
        <v>85</v>
      </c>
      <c r="F4071" s="136">
        <v>254</v>
      </c>
      <c r="G4071" s="137">
        <f t="shared" si="15"/>
        <v>5</v>
      </c>
      <c r="H4071" s="137"/>
      <c r="I4071" s="137"/>
      <c r="J4071" s="135"/>
      <c r="K4071" s="135"/>
      <c r="L4071" s="135"/>
      <c r="M4071" s="135"/>
      <c r="N4071" s="135"/>
      <c r="O4071" s="135"/>
      <c r="P4071" s="135"/>
      <c r="Q4071" s="135"/>
      <c r="R4071" s="135"/>
      <c r="S4071" s="135"/>
      <c r="T4071" s="135"/>
      <c r="U4071" s="135"/>
      <c r="V4071" s="135"/>
      <c r="W4071" s="135"/>
      <c r="X4071" s="135"/>
      <c r="Y4071" s="135"/>
      <c r="Z4071" s="135"/>
    </row>
    <row r="4072" spans="1:26" ht="25.5">
      <c r="A4072" s="136" t="s">
        <v>11</v>
      </c>
      <c r="B4072" s="136" t="s">
        <v>7932</v>
      </c>
      <c r="C4072" s="136" t="s">
        <v>290</v>
      </c>
      <c r="D4072" s="136" t="s">
        <v>165</v>
      </c>
      <c r="E4072" s="136" t="s">
        <v>615</v>
      </c>
      <c r="F4072" s="136">
        <v>109</v>
      </c>
      <c r="G4072" s="137">
        <f t="shared" si="15"/>
        <v>6</v>
      </c>
      <c r="H4072" s="137"/>
      <c r="I4072" s="137"/>
      <c r="J4072" s="135"/>
      <c r="K4072" s="135"/>
      <c r="L4072" s="135"/>
      <c r="M4072" s="135"/>
      <c r="N4072" s="135"/>
      <c r="O4072" s="135"/>
      <c r="P4072" s="135"/>
      <c r="Q4072" s="135"/>
      <c r="R4072" s="135"/>
      <c r="S4072" s="135"/>
      <c r="T4072" s="135"/>
      <c r="U4072" s="135"/>
      <c r="V4072" s="135"/>
      <c r="W4072" s="135"/>
      <c r="X4072" s="135"/>
      <c r="Y4072" s="135"/>
      <c r="Z4072" s="135"/>
    </row>
    <row r="4073" spans="1:26" ht="25.5">
      <c r="A4073" s="136" t="s">
        <v>11</v>
      </c>
      <c r="B4073" s="136" t="s">
        <v>7932</v>
      </c>
      <c r="C4073" s="136" t="s">
        <v>290</v>
      </c>
      <c r="D4073" s="136" t="s">
        <v>1665</v>
      </c>
      <c r="E4073" s="136" t="s">
        <v>615</v>
      </c>
      <c r="F4073" s="136">
        <v>45</v>
      </c>
      <c r="G4073" s="137">
        <f t="shared" si="15"/>
        <v>7</v>
      </c>
      <c r="H4073" s="137"/>
      <c r="I4073" s="137"/>
      <c r="J4073" s="135"/>
      <c r="K4073" s="135"/>
      <c r="L4073" s="135"/>
      <c r="M4073" s="135"/>
      <c r="N4073" s="135"/>
      <c r="O4073" s="135"/>
      <c r="P4073" s="135"/>
      <c r="Q4073" s="135"/>
      <c r="R4073" s="135"/>
      <c r="S4073" s="135"/>
      <c r="T4073" s="135"/>
      <c r="U4073" s="135"/>
      <c r="V4073" s="135"/>
      <c r="W4073" s="135"/>
      <c r="X4073" s="135"/>
      <c r="Y4073" s="135"/>
      <c r="Z4073" s="135"/>
    </row>
    <row r="4074" spans="1:26" ht="25.5">
      <c r="A4074" s="136" t="s">
        <v>11</v>
      </c>
      <c r="B4074" s="136" t="s">
        <v>7932</v>
      </c>
      <c r="C4074" s="136" t="s">
        <v>290</v>
      </c>
      <c r="D4074" s="136" t="s">
        <v>1680</v>
      </c>
      <c r="E4074" s="136" t="s">
        <v>615</v>
      </c>
      <c r="F4074" s="136">
        <v>29</v>
      </c>
      <c r="G4074" s="137">
        <f t="shared" si="15"/>
        <v>8</v>
      </c>
      <c r="H4074" s="137"/>
      <c r="I4074" s="137"/>
      <c r="J4074" s="135"/>
      <c r="K4074" s="135"/>
      <c r="L4074" s="135"/>
      <c r="M4074" s="135"/>
      <c r="N4074" s="135"/>
      <c r="O4074" s="135"/>
      <c r="P4074" s="135"/>
      <c r="Q4074" s="135"/>
      <c r="R4074" s="135"/>
      <c r="S4074" s="135"/>
      <c r="T4074" s="135"/>
      <c r="U4074" s="135"/>
      <c r="V4074" s="135"/>
      <c r="W4074" s="135"/>
      <c r="X4074" s="135"/>
      <c r="Y4074" s="135"/>
      <c r="Z4074" s="135"/>
    </row>
    <row r="4075" spans="1:26" ht="25.5">
      <c r="A4075" s="136" t="s">
        <v>11</v>
      </c>
      <c r="B4075" s="136" t="s">
        <v>7932</v>
      </c>
      <c r="C4075" s="136" t="s">
        <v>290</v>
      </c>
      <c r="D4075" s="136" t="s">
        <v>7657</v>
      </c>
      <c r="E4075" s="136" t="s">
        <v>85</v>
      </c>
      <c r="F4075" s="136">
        <v>19</v>
      </c>
      <c r="G4075" s="137">
        <f t="shared" si="15"/>
        <v>9</v>
      </c>
      <c r="H4075" s="137"/>
      <c r="I4075" s="137"/>
      <c r="J4075" s="135"/>
      <c r="K4075" s="135"/>
      <c r="L4075" s="135"/>
      <c r="M4075" s="135"/>
      <c r="N4075" s="135"/>
      <c r="O4075" s="135"/>
      <c r="P4075" s="135"/>
      <c r="Q4075" s="135"/>
      <c r="R4075" s="135"/>
      <c r="S4075" s="135"/>
      <c r="T4075" s="135"/>
      <c r="U4075" s="135"/>
      <c r="V4075" s="135"/>
      <c r="W4075" s="135"/>
      <c r="X4075" s="135"/>
      <c r="Y4075" s="135"/>
      <c r="Z4075" s="135"/>
    </row>
    <row r="4076" spans="1:26" ht="25.5">
      <c r="A4076" s="136" t="s">
        <v>11</v>
      </c>
      <c r="B4076" s="136" t="s">
        <v>7932</v>
      </c>
      <c r="C4076" s="136" t="s">
        <v>290</v>
      </c>
      <c r="D4076" s="136" t="s">
        <v>1626</v>
      </c>
      <c r="E4076" s="136" t="s">
        <v>594</v>
      </c>
      <c r="F4076" s="136">
        <v>10</v>
      </c>
      <c r="G4076" s="137">
        <f t="shared" si="15"/>
        <v>10</v>
      </c>
      <c r="H4076" s="137"/>
      <c r="I4076" s="137"/>
      <c r="J4076" s="135"/>
      <c r="K4076" s="135"/>
      <c r="L4076" s="135"/>
      <c r="M4076" s="135"/>
      <c r="N4076" s="135"/>
      <c r="O4076" s="135"/>
      <c r="P4076" s="135"/>
      <c r="Q4076" s="135"/>
      <c r="R4076" s="135"/>
      <c r="S4076" s="135"/>
      <c r="T4076" s="135"/>
      <c r="U4076" s="135"/>
      <c r="V4076" s="135"/>
      <c r="W4076" s="135"/>
      <c r="X4076" s="135"/>
      <c r="Y4076" s="135"/>
      <c r="Z4076" s="135"/>
    </row>
    <row r="4077" spans="1:26" ht="25.5">
      <c r="A4077" s="136" t="s">
        <v>11</v>
      </c>
      <c r="B4077" s="136" t="s">
        <v>7932</v>
      </c>
      <c r="C4077" s="136" t="s">
        <v>290</v>
      </c>
      <c r="D4077" s="136" t="s">
        <v>437</v>
      </c>
      <c r="E4077" s="136" t="s">
        <v>594</v>
      </c>
      <c r="F4077" s="136">
        <v>9</v>
      </c>
      <c r="G4077" s="137">
        <f t="shared" si="15"/>
        <v>11</v>
      </c>
      <c r="H4077" s="137"/>
      <c r="I4077" s="137"/>
      <c r="J4077" s="135"/>
      <c r="K4077" s="135"/>
      <c r="L4077" s="135"/>
      <c r="M4077" s="135"/>
      <c r="N4077" s="135"/>
      <c r="O4077" s="135"/>
      <c r="P4077" s="135"/>
      <c r="Q4077" s="135"/>
      <c r="R4077" s="135"/>
      <c r="S4077" s="135"/>
      <c r="T4077" s="135"/>
      <c r="U4077" s="135"/>
      <c r="V4077" s="135"/>
      <c r="W4077" s="135"/>
      <c r="X4077" s="135"/>
      <c r="Y4077" s="135"/>
      <c r="Z4077" s="135"/>
    </row>
    <row r="4078" spans="1:26" ht="25.5">
      <c r="A4078" s="136" t="s">
        <v>11</v>
      </c>
      <c r="B4078" s="136" t="s">
        <v>7932</v>
      </c>
      <c r="C4078" s="136" t="s">
        <v>290</v>
      </c>
      <c r="D4078" s="136" t="s">
        <v>1682</v>
      </c>
      <c r="E4078" s="136" t="s">
        <v>86</v>
      </c>
      <c r="F4078" s="136">
        <v>7</v>
      </c>
      <c r="G4078" s="137">
        <f t="shared" si="15"/>
        <v>12</v>
      </c>
      <c r="H4078" s="137"/>
      <c r="I4078" s="137"/>
      <c r="J4078" s="135"/>
      <c r="K4078" s="135"/>
      <c r="L4078" s="135"/>
      <c r="M4078" s="135"/>
      <c r="N4078" s="135"/>
      <c r="O4078" s="135"/>
      <c r="P4078" s="135"/>
      <c r="Q4078" s="135"/>
      <c r="R4078" s="135"/>
      <c r="S4078" s="135"/>
      <c r="T4078" s="135"/>
      <c r="U4078" s="135"/>
      <c r="V4078" s="135"/>
      <c r="W4078" s="135"/>
      <c r="X4078" s="135"/>
      <c r="Y4078" s="135"/>
      <c r="Z4078" s="135"/>
    </row>
    <row r="4079" spans="1:26" ht="25.5">
      <c r="A4079" s="136" t="s">
        <v>11</v>
      </c>
      <c r="B4079" s="136" t="s">
        <v>7932</v>
      </c>
      <c r="C4079" s="136" t="s">
        <v>290</v>
      </c>
      <c r="D4079" s="136" t="s">
        <v>368</v>
      </c>
      <c r="E4079" s="136" t="s">
        <v>594</v>
      </c>
      <c r="F4079" s="136">
        <v>2</v>
      </c>
      <c r="G4079" s="137">
        <f t="shared" si="15"/>
        <v>13</v>
      </c>
      <c r="H4079" s="137"/>
      <c r="I4079" s="137"/>
      <c r="J4079" s="135"/>
      <c r="K4079" s="135"/>
      <c r="L4079" s="135"/>
      <c r="M4079" s="135"/>
      <c r="N4079" s="135"/>
      <c r="O4079" s="135"/>
      <c r="P4079" s="135"/>
      <c r="Q4079" s="135"/>
      <c r="R4079" s="135"/>
      <c r="S4079" s="135"/>
      <c r="T4079" s="135"/>
      <c r="U4079" s="135"/>
      <c r="V4079" s="135"/>
      <c r="W4079" s="135"/>
      <c r="X4079" s="135"/>
      <c r="Y4079" s="135"/>
      <c r="Z4079" s="135"/>
    </row>
    <row r="4080" spans="1:26" ht="25.5">
      <c r="A4080" s="136" t="s">
        <v>11</v>
      </c>
      <c r="B4080" s="136" t="s">
        <v>7932</v>
      </c>
      <c r="C4080" s="136" t="s">
        <v>271</v>
      </c>
      <c r="D4080" s="136" t="s">
        <v>1669</v>
      </c>
      <c r="E4080" s="136" t="s">
        <v>615</v>
      </c>
      <c r="F4080" s="136">
        <v>1483</v>
      </c>
      <c r="G4080" s="137">
        <f t="shared" si="15"/>
        <v>1</v>
      </c>
      <c r="H4080" s="137"/>
      <c r="I4080" s="137"/>
      <c r="J4080" s="135"/>
      <c r="K4080" s="135"/>
      <c r="L4080" s="135"/>
      <c r="M4080" s="135"/>
      <c r="N4080" s="135"/>
      <c r="O4080" s="135"/>
      <c r="P4080" s="135"/>
      <c r="Q4080" s="135"/>
      <c r="R4080" s="135"/>
      <c r="S4080" s="135"/>
      <c r="T4080" s="135"/>
      <c r="U4080" s="135"/>
      <c r="V4080" s="135"/>
      <c r="W4080" s="135"/>
      <c r="X4080" s="135"/>
      <c r="Y4080" s="135"/>
      <c r="Z4080" s="135"/>
    </row>
    <row r="4081" spans="1:26" ht="25.5">
      <c r="A4081" s="136" t="s">
        <v>11</v>
      </c>
      <c r="B4081" s="136" t="s">
        <v>7932</v>
      </c>
      <c r="C4081" s="136" t="s">
        <v>271</v>
      </c>
      <c r="D4081" s="136" t="s">
        <v>7946</v>
      </c>
      <c r="E4081" s="136" t="s">
        <v>594</v>
      </c>
      <c r="F4081" s="136">
        <v>802</v>
      </c>
      <c r="G4081" s="137">
        <f t="shared" si="15"/>
        <v>2</v>
      </c>
      <c r="H4081" s="137"/>
      <c r="I4081" s="137"/>
      <c r="J4081" s="135"/>
      <c r="K4081" s="135"/>
      <c r="L4081" s="135"/>
      <c r="M4081" s="135"/>
      <c r="N4081" s="135"/>
      <c r="O4081" s="135"/>
      <c r="P4081" s="135"/>
      <c r="Q4081" s="135"/>
      <c r="R4081" s="135"/>
      <c r="S4081" s="135"/>
      <c r="T4081" s="135"/>
      <c r="U4081" s="135"/>
      <c r="V4081" s="135"/>
      <c r="W4081" s="135"/>
      <c r="X4081" s="135"/>
      <c r="Y4081" s="135"/>
      <c r="Z4081" s="135"/>
    </row>
    <row r="4082" spans="1:26" ht="25.5">
      <c r="A4082" s="136" t="s">
        <v>11</v>
      </c>
      <c r="B4082" s="136" t="s">
        <v>7932</v>
      </c>
      <c r="C4082" s="136" t="s">
        <v>271</v>
      </c>
      <c r="D4082" s="136" t="s">
        <v>1604</v>
      </c>
      <c r="E4082" s="136" t="s">
        <v>615</v>
      </c>
      <c r="F4082" s="136">
        <v>440</v>
      </c>
      <c r="G4082" s="137">
        <f t="shared" ref="G4082:G4336" si="16">COUNTIFS($C:$C,C4082,$F:$F,"&gt;"&amp;F4082)
 + COUNTIFS($C$2:C4082,C4082,$F$2:F4082,F4082)</f>
        <v>3</v>
      </c>
      <c r="H4082" s="137"/>
      <c r="I4082" s="137"/>
      <c r="J4082" s="135"/>
      <c r="K4082" s="135"/>
      <c r="L4082" s="135"/>
      <c r="M4082" s="135"/>
      <c r="N4082" s="135"/>
      <c r="O4082" s="135"/>
      <c r="P4082" s="135"/>
      <c r="Q4082" s="135"/>
      <c r="R4082" s="135"/>
      <c r="S4082" s="135"/>
      <c r="T4082" s="135"/>
      <c r="U4082" s="135"/>
      <c r="V4082" s="135"/>
      <c r="W4082" s="135"/>
      <c r="X4082" s="135"/>
      <c r="Y4082" s="135"/>
      <c r="Z4082" s="135"/>
    </row>
    <row r="4083" spans="1:26" ht="25.5">
      <c r="A4083" s="136" t="s">
        <v>11</v>
      </c>
      <c r="B4083" s="136" t="s">
        <v>7932</v>
      </c>
      <c r="C4083" s="136" t="s">
        <v>271</v>
      </c>
      <c r="D4083" s="136" t="s">
        <v>7878</v>
      </c>
      <c r="E4083" s="136" t="s">
        <v>85</v>
      </c>
      <c r="F4083" s="136">
        <v>410</v>
      </c>
      <c r="G4083" s="137">
        <f t="shared" si="16"/>
        <v>4</v>
      </c>
      <c r="H4083" s="137"/>
      <c r="I4083" s="137"/>
      <c r="J4083" s="135"/>
      <c r="K4083" s="135"/>
      <c r="L4083" s="135"/>
      <c r="M4083" s="135"/>
      <c r="N4083" s="135"/>
      <c r="O4083" s="135"/>
      <c r="P4083" s="135"/>
      <c r="Q4083" s="135"/>
      <c r="R4083" s="135"/>
      <c r="S4083" s="135"/>
      <c r="T4083" s="135"/>
      <c r="U4083" s="135"/>
      <c r="V4083" s="135"/>
      <c r="W4083" s="135"/>
      <c r="X4083" s="135"/>
      <c r="Y4083" s="135"/>
      <c r="Z4083" s="135"/>
    </row>
    <row r="4084" spans="1:26" ht="25.5">
      <c r="A4084" s="136" t="s">
        <v>11</v>
      </c>
      <c r="B4084" s="136" t="s">
        <v>7932</v>
      </c>
      <c r="C4084" s="136" t="s">
        <v>271</v>
      </c>
      <c r="D4084" s="136" t="s">
        <v>1665</v>
      </c>
      <c r="E4084" s="136" t="s">
        <v>615</v>
      </c>
      <c r="F4084" s="136">
        <v>31</v>
      </c>
      <c r="G4084" s="137">
        <f t="shared" si="16"/>
        <v>5</v>
      </c>
      <c r="H4084" s="137"/>
      <c r="I4084" s="137"/>
      <c r="J4084" s="135"/>
      <c r="K4084" s="135"/>
      <c r="L4084" s="135"/>
      <c r="M4084" s="135"/>
      <c r="N4084" s="135"/>
      <c r="O4084" s="135"/>
      <c r="P4084" s="135"/>
      <c r="Q4084" s="135"/>
      <c r="R4084" s="135"/>
      <c r="S4084" s="135"/>
      <c r="T4084" s="135"/>
      <c r="U4084" s="135"/>
      <c r="V4084" s="135"/>
      <c r="W4084" s="135"/>
      <c r="X4084" s="135"/>
      <c r="Y4084" s="135"/>
      <c r="Z4084" s="135"/>
    </row>
    <row r="4085" spans="1:26" ht="25.5">
      <c r="A4085" s="136" t="s">
        <v>11</v>
      </c>
      <c r="B4085" s="136" t="s">
        <v>7932</v>
      </c>
      <c r="C4085" s="136" t="s">
        <v>271</v>
      </c>
      <c r="D4085" s="136" t="s">
        <v>7657</v>
      </c>
      <c r="E4085" s="136" t="s">
        <v>85</v>
      </c>
      <c r="F4085" s="136">
        <v>21</v>
      </c>
      <c r="G4085" s="137">
        <f t="shared" si="16"/>
        <v>6</v>
      </c>
      <c r="H4085" s="137"/>
      <c r="I4085" s="137"/>
      <c r="J4085" s="135"/>
      <c r="K4085" s="135"/>
      <c r="L4085" s="135"/>
      <c r="M4085" s="135"/>
      <c r="N4085" s="135"/>
      <c r="O4085" s="135"/>
      <c r="P4085" s="135"/>
      <c r="Q4085" s="135"/>
      <c r="R4085" s="135"/>
      <c r="S4085" s="135"/>
      <c r="T4085" s="135"/>
      <c r="U4085" s="135"/>
      <c r="V4085" s="135"/>
      <c r="W4085" s="135"/>
      <c r="X4085" s="135"/>
      <c r="Y4085" s="135"/>
      <c r="Z4085" s="135"/>
    </row>
    <row r="4086" spans="1:26" ht="25.5">
      <c r="A4086" s="136" t="s">
        <v>11</v>
      </c>
      <c r="B4086" s="136" t="s">
        <v>7932</v>
      </c>
      <c r="C4086" s="136" t="s">
        <v>271</v>
      </c>
      <c r="D4086" s="136" t="s">
        <v>1626</v>
      </c>
      <c r="E4086" s="136" t="s">
        <v>594</v>
      </c>
      <c r="F4086" s="136">
        <v>15</v>
      </c>
      <c r="G4086" s="137">
        <f t="shared" si="16"/>
        <v>7</v>
      </c>
      <c r="H4086" s="137"/>
      <c r="I4086" s="137"/>
      <c r="J4086" s="135"/>
      <c r="K4086" s="135"/>
      <c r="L4086" s="135"/>
      <c r="M4086" s="135"/>
      <c r="N4086" s="135"/>
      <c r="O4086" s="135"/>
      <c r="P4086" s="135"/>
      <c r="Q4086" s="135"/>
      <c r="R4086" s="135"/>
      <c r="S4086" s="135"/>
      <c r="T4086" s="135"/>
      <c r="U4086" s="135"/>
      <c r="V4086" s="135"/>
      <c r="W4086" s="135"/>
      <c r="X4086" s="135"/>
      <c r="Y4086" s="135"/>
      <c r="Z4086" s="135"/>
    </row>
    <row r="4087" spans="1:26" ht="25.5">
      <c r="A4087" s="136" t="s">
        <v>11</v>
      </c>
      <c r="B4087" s="136" t="s">
        <v>7932</v>
      </c>
      <c r="C4087" s="136" t="s">
        <v>271</v>
      </c>
      <c r="D4087" s="136" t="s">
        <v>368</v>
      </c>
      <c r="E4087" s="136" t="s">
        <v>594</v>
      </c>
      <c r="F4087" s="136">
        <v>14</v>
      </c>
      <c r="G4087" s="137">
        <f t="shared" si="16"/>
        <v>8</v>
      </c>
      <c r="H4087" s="137"/>
      <c r="I4087" s="137"/>
      <c r="J4087" s="135"/>
      <c r="K4087" s="135"/>
      <c r="L4087" s="135"/>
      <c r="M4087" s="135"/>
      <c r="N4087" s="135"/>
      <c r="O4087" s="135"/>
      <c r="P4087" s="135"/>
      <c r="Q4087" s="135"/>
      <c r="R4087" s="135"/>
      <c r="S4087" s="135"/>
      <c r="T4087" s="135"/>
      <c r="U4087" s="135"/>
      <c r="V4087" s="135"/>
      <c r="W4087" s="135"/>
      <c r="X4087" s="135"/>
      <c r="Y4087" s="135"/>
      <c r="Z4087" s="135"/>
    </row>
    <row r="4088" spans="1:26" ht="25.5">
      <c r="A4088" s="136" t="s">
        <v>11</v>
      </c>
      <c r="B4088" s="136" t="s">
        <v>7932</v>
      </c>
      <c r="C4088" s="136" t="s">
        <v>271</v>
      </c>
      <c r="D4088" s="136" t="s">
        <v>1659</v>
      </c>
      <c r="E4088" s="136" t="s">
        <v>615</v>
      </c>
      <c r="F4088" s="136">
        <v>11</v>
      </c>
      <c r="G4088" s="137">
        <f t="shared" si="16"/>
        <v>9</v>
      </c>
      <c r="H4088" s="137"/>
      <c r="I4088" s="137"/>
      <c r="J4088" s="135"/>
      <c r="K4088" s="135"/>
      <c r="L4088" s="135"/>
      <c r="M4088" s="135"/>
      <c r="N4088" s="135"/>
      <c r="O4088" s="135"/>
      <c r="P4088" s="135"/>
      <c r="Q4088" s="135"/>
      <c r="R4088" s="135"/>
      <c r="S4088" s="135"/>
      <c r="T4088" s="135"/>
      <c r="U4088" s="135"/>
      <c r="V4088" s="135"/>
      <c r="W4088" s="135"/>
      <c r="X4088" s="135"/>
      <c r="Y4088" s="135"/>
      <c r="Z4088" s="135"/>
    </row>
    <row r="4089" spans="1:26" ht="25.5">
      <c r="A4089" s="136" t="s">
        <v>11</v>
      </c>
      <c r="B4089" s="136" t="s">
        <v>7932</v>
      </c>
      <c r="C4089" s="136" t="s">
        <v>271</v>
      </c>
      <c r="D4089" s="136" t="s">
        <v>7937</v>
      </c>
      <c r="E4089" s="136" t="s">
        <v>86</v>
      </c>
      <c r="F4089" s="136">
        <v>11</v>
      </c>
      <c r="G4089" s="137">
        <f t="shared" si="16"/>
        <v>10</v>
      </c>
      <c r="H4089" s="137"/>
      <c r="I4089" s="137"/>
      <c r="J4089" s="135"/>
      <c r="K4089" s="135"/>
      <c r="L4089" s="135"/>
      <c r="M4089" s="135"/>
      <c r="N4089" s="135"/>
      <c r="O4089" s="135"/>
      <c r="P4089" s="135"/>
      <c r="Q4089" s="135"/>
      <c r="R4089" s="135"/>
      <c r="S4089" s="135"/>
      <c r="T4089" s="135"/>
      <c r="U4089" s="135"/>
      <c r="V4089" s="135"/>
      <c r="W4089" s="135"/>
      <c r="X4089" s="135"/>
      <c r="Y4089" s="135"/>
      <c r="Z4089" s="135"/>
    </row>
    <row r="4090" spans="1:26" ht="25.5">
      <c r="A4090" s="136" t="s">
        <v>11</v>
      </c>
      <c r="B4090" s="136" t="s">
        <v>7932</v>
      </c>
      <c r="C4090" s="136" t="s">
        <v>271</v>
      </c>
      <c r="D4090" s="136" t="s">
        <v>1680</v>
      </c>
      <c r="E4090" s="136" t="s">
        <v>615</v>
      </c>
      <c r="F4090" s="136">
        <v>9</v>
      </c>
      <c r="G4090" s="137">
        <f t="shared" si="16"/>
        <v>11</v>
      </c>
      <c r="H4090" s="137"/>
      <c r="I4090" s="137"/>
      <c r="J4090" s="135"/>
      <c r="K4090" s="135"/>
      <c r="L4090" s="135"/>
      <c r="M4090" s="135"/>
      <c r="N4090" s="135"/>
      <c r="O4090" s="135"/>
      <c r="P4090" s="135"/>
      <c r="Q4090" s="135"/>
      <c r="R4090" s="135"/>
      <c r="S4090" s="135"/>
      <c r="T4090" s="135"/>
      <c r="U4090" s="135"/>
      <c r="V4090" s="135"/>
      <c r="W4090" s="135"/>
      <c r="X4090" s="135"/>
      <c r="Y4090" s="135"/>
      <c r="Z4090" s="135"/>
    </row>
    <row r="4091" spans="1:26" ht="25.5">
      <c r="A4091" s="136" t="s">
        <v>11</v>
      </c>
      <c r="B4091" s="136" t="s">
        <v>7932</v>
      </c>
      <c r="C4091" s="136" t="s">
        <v>271</v>
      </c>
      <c r="D4091" s="136" t="s">
        <v>120</v>
      </c>
      <c r="E4091" s="136" t="s">
        <v>615</v>
      </c>
      <c r="F4091" s="136">
        <v>5</v>
      </c>
      <c r="G4091" s="137">
        <f t="shared" si="16"/>
        <v>12</v>
      </c>
      <c r="H4091" s="137"/>
      <c r="I4091" s="137"/>
      <c r="J4091" s="135"/>
      <c r="K4091" s="135"/>
      <c r="L4091" s="135"/>
      <c r="M4091" s="135"/>
      <c r="N4091" s="135"/>
      <c r="O4091" s="135"/>
      <c r="P4091" s="135"/>
      <c r="Q4091" s="135"/>
      <c r="R4091" s="135"/>
      <c r="S4091" s="135"/>
      <c r="T4091" s="135"/>
      <c r="U4091" s="135"/>
      <c r="V4091" s="135"/>
      <c r="W4091" s="135"/>
      <c r="X4091" s="135"/>
      <c r="Y4091" s="135"/>
      <c r="Z4091" s="135"/>
    </row>
    <row r="4092" spans="1:26" ht="25.5">
      <c r="A4092" s="136" t="s">
        <v>11</v>
      </c>
      <c r="B4092" s="136" t="s">
        <v>7932</v>
      </c>
      <c r="C4092" s="136" t="s">
        <v>275</v>
      </c>
      <c r="D4092" s="136" t="s">
        <v>139</v>
      </c>
      <c r="E4092" s="136" t="s">
        <v>594</v>
      </c>
      <c r="F4092" s="136">
        <v>2575</v>
      </c>
      <c r="G4092" s="137">
        <f t="shared" si="16"/>
        <v>1</v>
      </c>
      <c r="H4092" s="137"/>
      <c r="I4092" s="137"/>
      <c r="J4092" s="135"/>
      <c r="K4092" s="135"/>
      <c r="L4092" s="135"/>
      <c r="M4092" s="135"/>
      <c r="N4092" s="135"/>
      <c r="O4092" s="135"/>
      <c r="P4092" s="135"/>
      <c r="Q4092" s="135"/>
      <c r="R4092" s="135"/>
      <c r="S4092" s="135"/>
      <c r="T4092" s="135"/>
      <c r="U4092" s="135"/>
      <c r="V4092" s="135"/>
      <c r="W4092" s="135"/>
      <c r="X4092" s="135"/>
      <c r="Y4092" s="135"/>
      <c r="Z4092" s="135"/>
    </row>
    <row r="4093" spans="1:26" ht="25.5">
      <c r="A4093" s="136" t="s">
        <v>11</v>
      </c>
      <c r="B4093" s="136" t="s">
        <v>7932</v>
      </c>
      <c r="C4093" s="136" t="s">
        <v>275</v>
      </c>
      <c r="D4093" s="136" t="s">
        <v>7657</v>
      </c>
      <c r="E4093" s="136" t="s">
        <v>85</v>
      </c>
      <c r="F4093" s="136">
        <v>387</v>
      </c>
      <c r="G4093" s="137">
        <f t="shared" si="16"/>
        <v>2</v>
      </c>
      <c r="H4093" s="137"/>
      <c r="I4093" s="137"/>
      <c r="J4093" s="135"/>
      <c r="K4093" s="135"/>
      <c r="L4093" s="135"/>
      <c r="M4093" s="135"/>
      <c r="N4093" s="135"/>
      <c r="O4093" s="135"/>
      <c r="P4093" s="135"/>
      <c r="Q4093" s="135"/>
      <c r="R4093" s="135"/>
      <c r="S4093" s="135"/>
      <c r="T4093" s="135"/>
      <c r="U4093" s="135"/>
      <c r="V4093" s="135"/>
      <c r="W4093" s="135"/>
      <c r="X4093" s="135"/>
      <c r="Y4093" s="135"/>
      <c r="Z4093" s="135"/>
    </row>
    <row r="4094" spans="1:26" ht="25.5">
      <c r="A4094" s="136" t="s">
        <v>11</v>
      </c>
      <c r="B4094" s="136" t="s">
        <v>7932</v>
      </c>
      <c r="C4094" s="136" t="s">
        <v>275</v>
      </c>
      <c r="D4094" s="136" t="s">
        <v>1669</v>
      </c>
      <c r="E4094" s="136" t="s">
        <v>615</v>
      </c>
      <c r="F4094" s="136">
        <v>254</v>
      </c>
      <c r="G4094" s="137">
        <f t="shared" si="16"/>
        <v>3</v>
      </c>
      <c r="H4094" s="137"/>
      <c r="I4094" s="137"/>
      <c r="J4094" s="135"/>
      <c r="K4094" s="135"/>
      <c r="L4094" s="135"/>
      <c r="M4094" s="135"/>
      <c r="N4094" s="135"/>
      <c r="O4094" s="135"/>
      <c r="P4094" s="135"/>
      <c r="Q4094" s="135"/>
      <c r="R4094" s="135"/>
      <c r="S4094" s="135"/>
      <c r="T4094" s="135"/>
      <c r="U4094" s="135"/>
      <c r="V4094" s="135"/>
      <c r="W4094" s="135"/>
      <c r="X4094" s="135"/>
      <c r="Y4094" s="135"/>
      <c r="Z4094" s="135"/>
    </row>
    <row r="4095" spans="1:26" ht="25.5">
      <c r="A4095" s="136" t="s">
        <v>11</v>
      </c>
      <c r="B4095" s="136" t="s">
        <v>7932</v>
      </c>
      <c r="C4095" s="136" t="s">
        <v>275</v>
      </c>
      <c r="D4095" s="136" t="s">
        <v>7878</v>
      </c>
      <c r="E4095" s="136" t="s">
        <v>85</v>
      </c>
      <c r="F4095" s="136">
        <v>113</v>
      </c>
      <c r="G4095" s="137">
        <f t="shared" si="16"/>
        <v>4</v>
      </c>
      <c r="H4095" s="137"/>
      <c r="I4095" s="137"/>
      <c r="J4095" s="135"/>
      <c r="K4095" s="135"/>
      <c r="L4095" s="135"/>
      <c r="M4095" s="135"/>
      <c r="N4095" s="135"/>
      <c r="O4095" s="135"/>
      <c r="P4095" s="135"/>
      <c r="Q4095" s="135"/>
      <c r="R4095" s="135"/>
      <c r="S4095" s="135"/>
      <c r="T4095" s="135"/>
      <c r="U4095" s="135"/>
      <c r="V4095" s="135"/>
      <c r="W4095" s="135"/>
      <c r="X4095" s="135"/>
      <c r="Y4095" s="135"/>
      <c r="Z4095" s="135"/>
    </row>
    <row r="4096" spans="1:26" ht="25.5">
      <c r="A4096" s="136" t="s">
        <v>11</v>
      </c>
      <c r="B4096" s="136" t="s">
        <v>7932</v>
      </c>
      <c r="C4096" s="136" t="s">
        <v>275</v>
      </c>
      <c r="D4096" s="136" t="s">
        <v>1665</v>
      </c>
      <c r="E4096" s="136" t="s">
        <v>615</v>
      </c>
      <c r="F4096" s="136">
        <v>110</v>
      </c>
      <c r="G4096" s="137">
        <f t="shared" si="16"/>
        <v>5</v>
      </c>
      <c r="H4096" s="137"/>
      <c r="I4096" s="137"/>
      <c r="J4096" s="135"/>
      <c r="K4096" s="135"/>
      <c r="L4096" s="135"/>
      <c r="M4096" s="135"/>
      <c r="N4096" s="135"/>
      <c r="O4096" s="135"/>
      <c r="P4096" s="135"/>
      <c r="Q4096" s="135"/>
      <c r="R4096" s="135"/>
      <c r="S4096" s="135"/>
      <c r="T4096" s="135"/>
      <c r="U4096" s="135"/>
      <c r="V4096" s="135"/>
      <c r="W4096" s="135"/>
      <c r="X4096" s="135"/>
      <c r="Y4096" s="135"/>
      <c r="Z4096" s="135"/>
    </row>
    <row r="4097" spans="1:26" ht="25.5">
      <c r="A4097" s="136" t="s">
        <v>11</v>
      </c>
      <c r="B4097" s="136" t="s">
        <v>7932</v>
      </c>
      <c r="C4097" s="136" t="s">
        <v>275</v>
      </c>
      <c r="D4097" s="136" t="s">
        <v>1659</v>
      </c>
      <c r="E4097" s="136" t="s">
        <v>615</v>
      </c>
      <c r="F4097" s="136">
        <v>61</v>
      </c>
      <c r="G4097" s="137">
        <f t="shared" si="16"/>
        <v>6</v>
      </c>
      <c r="H4097" s="137"/>
      <c r="I4097" s="137"/>
      <c r="J4097" s="135"/>
      <c r="K4097" s="135"/>
      <c r="L4097" s="135"/>
      <c r="M4097" s="135"/>
      <c r="N4097" s="135"/>
      <c r="O4097" s="135"/>
      <c r="P4097" s="135"/>
      <c r="Q4097" s="135"/>
      <c r="R4097" s="135"/>
      <c r="S4097" s="135"/>
      <c r="T4097" s="135"/>
      <c r="U4097" s="135"/>
      <c r="V4097" s="135"/>
      <c r="W4097" s="135"/>
      <c r="X4097" s="135"/>
      <c r="Y4097" s="135"/>
      <c r="Z4097" s="135"/>
    </row>
    <row r="4098" spans="1:26" ht="25.5">
      <c r="A4098" s="136" t="s">
        <v>11</v>
      </c>
      <c r="B4098" s="136" t="s">
        <v>7932</v>
      </c>
      <c r="C4098" s="136" t="s">
        <v>275</v>
      </c>
      <c r="D4098" s="136" t="s">
        <v>136</v>
      </c>
      <c r="E4098" s="136" t="s">
        <v>615</v>
      </c>
      <c r="F4098" s="136">
        <v>30</v>
      </c>
      <c r="G4098" s="137">
        <f t="shared" si="16"/>
        <v>7</v>
      </c>
      <c r="H4098" s="137"/>
      <c r="I4098" s="137"/>
      <c r="J4098" s="135"/>
      <c r="K4098" s="135"/>
      <c r="L4098" s="135"/>
      <c r="M4098" s="135"/>
      <c r="N4098" s="135"/>
      <c r="O4098" s="135"/>
      <c r="P4098" s="135"/>
      <c r="Q4098" s="135"/>
      <c r="R4098" s="135"/>
      <c r="S4098" s="135"/>
      <c r="T4098" s="135"/>
      <c r="U4098" s="135"/>
      <c r="V4098" s="135"/>
      <c r="W4098" s="135"/>
      <c r="X4098" s="135"/>
      <c r="Y4098" s="135"/>
      <c r="Z4098" s="135"/>
    </row>
    <row r="4099" spans="1:26" ht="25.5">
      <c r="A4099" s="136" t="s">
        <v>11</v>
      </c>
      <c r="B4099" s="136" t="s">
        <v>7932</v>
      </c>
      <c r="C4099" s="136" t="s">
        <v>275</v>
      </c>
      <c r="D4099" s="136" t="s">
        <v>368</v>
      </c>
      <c r="E4099" s="136" t="s">
        <v>594</v>
      </c>
      <c r="F4099" s="136">
        <v>18</v>
      </c>
      <c r="G4099" s="137">
        <f t="shared" si="16"/>
        <v>8</v>
      </c>
      <c r="H4099" s="137"/>
      <c r="I4099" s="137"/>
      <c r="J4099" s="135"/>
      <c r="K4099" s="135"/>
      <c r="L4099" s="135"/>
      <c r="M4099" s="135"/>
      <c r="N4099" s="135"/>
      <c r="O4099" s="135"/>
      <c r="P4099" s="135"/>
      <c r="Q4099" s="135"/>
      <c r="R4099" s="135"/>
      <c r="S4099" s="135"/>
      <c r="T4099" s="135"/>
      <c r="U4099" s="135"/>
      <c r="V4099" s="135"/>
      <c r="W4099" s="135"/>
      <c r="X4099" s="135"/>
      <c r="Y4099" s="135"/>
      <c r="Z4099" s="135"/>
    </row>
    <row r="4100" spans="1:26" ht="25.5">
      <c r="A4100" s="136" t="s">
        <v>11</v>
      </c>
      <c r="B4100" s="136" t="s">
        <v>7932</v>
      </c>
      <c r="C4100" s="136" t="s">
        <v>275</v>
      </c>
      <c r="D4100" s="136" t="s">
        <v>1680</v>
      </c>
      <c r="E4100" s="136" t="s">
        <v>615</v>
      </c>
      <c r="F4100" s="136">
        <v>16</v>
      </c>
      <c r="G4100" s="137">
        <f t="shared" si="16"/>
        <v>9</v>
      </c>
      <c r="H4100" s="137"/>
      <c r="I4100" s="137"/>
      <c r="J4100" s="135"/>
      <c r="K4100" s="135"/>
      <c r="L4100" s="135"/>
      <c r="M4100" s="135"/>
      <c r="N4100" s="135"/>
      <c r="O4100" s="135"/>
      <c r="P4100" s="135"/>
      <c r="Q4100" s="135"/>
      <c r="R4100" s="135"/>
      <c r="S4100" s="135"/>
      <c r="T4100" s="135"/>
      <c r="U4100" s="135"/>
      <c r="V4100" s="135"/>
      <c r="W4100" s="135"/>
      <c r="X4100" s="135"/>
      <c r="Y4100" s="135"/>
      <c r="Z4100" s="135"/>
    </row>
    <row r="4101" spans="1:26" ht="25.5">
      <c r="A4101" s="136" t="s">
        <v>11</v>
      </c>
      <c r="B4101" s="136" t="s">
        <v>7932</v>
      </c>
      <c r="C4101" s="136" t="s">
        <v>275</v>
      </c>
      <c r="D4101" s="136" t="s">
        <v>120</v>
      </c>
      <c r="E4101" s="136" t="s">
        <v>615</v>
      </c>
      <c r="F4101" s="136">
        <v>14</v>
      </c>
      <c r="G4101" s="137">
        <f t="shared" si="16"/>
        <v>10</v>
      </c>
      <c r="H4101" s="137"/>
      <c r="I4101" s="137"/>
      <c r="J4101" s="135"/>
      <c r="K4101" s="135"/>
      <c r="L4101" s="135"/>
      <c r="M4101" s="135"/>
      <c r="N4101" s="135"/>
      <c r="O4101" s="135"/>
      <c r="P4101" s="135"/>
      <c r="Q4101" s="135"/>
      <c r="R4101" s="135"/>
      <c r="S4101" s="135"/>
      <c r="T4101" s="135"/>
      <c r="U4101" s="135"/>
      <c r="V4101" s="135"/>
      <c r="W4101" s="135"/>
      <c r="X4101" s="135"/>
      <c r="Y4101" s="135"/>
      <c r="Z4101" s="135"/>
    </row>
    <row r="4102" spans="1:26" ht="25.5">
      <c r="A4102" s="136" t="s">
        <v>11</v>
      </c>
      <c r="B4102" s="136" t="s">
        <v>7932</v>
      </c>
      <c r="C4102" s="136" t="s">
        <v>275</v>
      </c>
      <c r="D4102" s="136" t="s">
        <v>7937</v>
      </c>
      <c r="E4102" s="136" t="s">
        <v>86</v>
      </c>
      <c r="F4102" s="136">
        <v>12</v>
      </c>
      <c r="G4102" s="137">
        <f t="shared" si="16"/>
        <v>11</v>
      </c>
      <c r="H4102" s="137"/>
      <c r="I4102" s="137"/>
      <c r="J4102" s="135"/>
      <c r="K4102" s="135"/>
      <c r="L4102" s="135"/>
      <c r="M4102" s="135"/>
      <c r="N4102" s="135"/>
      <c r="O4102" s="135"/>
      <c r="P4102" s="135"/>
      <c r="Q4102" s="135"/>
      <c r="R4102" s="135"/>
      <c r="S4102" s="135"/>
      <c r="T4102" s="135"/>
      <c r="U4102" s="135"/>
      <c r="V4102" s="135"/>
      <c r="W4102" s="135"/>
      <c r="X4102" s="135"/>
      <c r="Y4102" s="135"/>
      <c r="Z4102" s="135"/>
    </row>
    <row r="4103" spans="1:26" ht="25.5">
      <c r="A4103" s="136" t="s">
        <v>11</v>
      </c>
      <c r="B4103" s="136" t="s">
        <v>7932</v>
      </c>
      <c r="C4103" s="136" t="s">
        <v>275</v>
      </c>
      <c r="D4103" s="136" t="s">
        <v>7954</v>
      </c>
      <c r="E4103" s="136" t="s">
        <v>85</v>
      </c>
      <c r="F4103" s="136">
        <v>10</v>
      </c>
      <c r="G4103" s="137">
        <f t="shared" si="16"/>
        <v>12</v>
      </c>
      <c r="H4103" s="137"/>
      <c r="I4103" s="137"/>
      <c r="J4103" s="135"/>
      <c r="K4103" s="135"/>
      <c r="L4103" s="135"/>
      <c r="M4103" s="135"/>
      <c r="N4103" s="135"/>
      <c r="O4103" s="135"/>
      <c r="P4103" s="135"/>
      <c r="Q4103" s="135"/>
      <c r="R4103" s="135"/>
      <c r="S4103" s="135"/>
      <c r="T4103" s="135"/>
      <c r="U4103" s="135"/>
      <c r="V4103" s="135"/>
      <c r="W4103" s="135"/>
      <c r="X4103" s="135"/>
      <c r="Y4103" s="135"/>
      <c r="Z4103" s="135"/>
    </row>
    <row r="4104" spans="1:26" ht="25.5">
      <c r="A4104" s="136" t="s">
        <v>11</v>
      </c>
      <c r="B4104" s="136" t="s">
        <v>7932</v>
      </c>
      <c r="C4104" s="136" t="s">
        <v>275</v>
      </c>
      <c r="D4104" s="136" t="s">
        <v>1626</v>
      </c>
      <c r="E4104" s="136" t="s">
        <v>594</v>
      </c>
      <c r="F4104" s="136">
        <v>8</v>
      </c>
      <c r="G4104" s="137">
        <f t="shared" si="16"/>
        <v>13</v>
      </c>
      <c r="H4104" s="137"/>
      <c r="I4104" s="137"/>
      <c r="J4104" s="135"/>
      <c r="K4104" s="135"/>
      <c r="L4104" s="135"/>
      <c r="M4104" s="135"/>
      <c r="N4104" s="135"/>
      <c r="O4104" s="135"/>
      <c r="P4104" s="135"/>
      <c r="Q4104" s="135"/>
      <c r="R4104" s="135"/>
      <c r="S4104" s="135"/>
      <c r="T4104" s="135"/>
      <c r="U4104" s="135"/>
      <c r="V4104" s="135"/>
      <c r="W4104" s="135"/>
      <c r="X4104" s="135"/>
      <c r="Y4104" s="135"/>
      <c r="Z4104" s="135"/>
    </row>
    <row r="4105" spans="1:26" ht="25.5">
      <c r="A4105" s="136" t="s">
        <v>11</v>
      </c>
      <c r="B4105" s="136" t="s">
        <v>7932</v>
      </c>
      <c r="C4105" s="136" t="s">
        <v>275</v>
      </c>
      <c r="D4105" s="136" t="s">
        <v>1656</v>
      </c>
      <c r="E4105" s="136" t="s">
        <v>594</v>
      </c>
      <c r="F4105" s="136">
        <v>5</v>
      </c>
      <c r="G4105" s="137">
        <f t="shared" si="16"/>
        <v>14</v>
      </c>
      <c r="H4105" s="137"/>
      <c r="I4105" s="137"/>
      <c r="J4105" s="135"/>
      <c r="K4105" s="135"/>
      <c r="L4105" s="135"/>
      <c r="M4105" s="135"/>
      <c r="N4105" s="135"/>
      <c r="O4105" s="135"/>
      <c r="P4105" s="135"/>
      <c r="Q4105" s="135"/>
      <c r="R4105" s="135"/>
      <c r="S4105" s="135"/>
      <c r="T4105" s="135"/>
      <c r="U4105" s="135"/>
      <c r="V4105" s="135"/>
      <c r="W4105" s="135"/>
      <c r="X4105" s="135"/>
      <c r="Y4105" s="135"/>
      <c r="Z4105" s="135"/>
    </row>
    <row r="4106" spans="1:26" ht="25.5">
      <c r="A4106" s="136" t="s">
        <v>11</v>
      </c>
      <c r="B4106" s="136" t="s">
        <v>7932</v>
      </c>
      <c r="C4106" s="136" t="s">
        <v>267</v>
      </c>
      <c r="D4106" s="136" t="s">
        <v>139</v>
      </c>
      <c r="E4106" s="136" t="s">
        <v>594</v>
      </c>
      <c r="F4106" s="136">
        <v>1975</v>
      </c>
      <c r="G4106" s="137">
        <f t="shared" si="16"/>
        <v>1</v>
      </c>
      <c r="H4106" s="137"/>
      <c r="I4106" s="137"/>
      <c r="J4106" s="135"/>
      <c r="K4106" s="135"/>
      <c r="L4106" s="135"/>
      <c r="M4106" s="135"/>
      <c r="N4106" s="135"/>
      <c r="O4106" s="135"/>
      <c r="P4106" s="135"/>
      <c r="Q4106" s="135"/>
      <c r="R4106" s="135"/>
      <c r="S4106" s="135"/>
      <c r="T4106" s="135"/>
      <c r="U4106" s="135"/>
      <c r="V4106" s="135"/>
      <c r="W4106" s="135"/>
      <c r="X4106" s="135"/>
      <c r="Y4106" s="135"/>
      <c r="Z4106" s="135"/>
    </row>
    <row r="4107" spans="1:26" ht="25.5">
      <c r="A4107" s="136" t="s">
        <v>11</v>
      </c>
      <c r="B4107" s="136" t="s">
        <v>7932</v>
      </c>
      <c r="C4107" s="136" t="s">
        <v>267</v>
      </c>
      <c r="D4107" s="136" t="s">
        <v>7878</v>
      </c>
      <c r="E4107" s="136" t="s">
        <v>85</v>
      </c>
      <c r="F4107" s="136">
        <v>512</v>
      </c>
      <c r="G4107" s="137">
        <f t="shared" si="16"/>
        <v>2</v>
      </c>
      <c r="H4107" s="137"/>
      <c r="I4107" s="137"/>
      <c r="J4107" s="135"/>
      <c r="K4107" s="135"/>
      <c r="L4107" s="135"/>
      <c r="M4107" s="135"/>
      <c r="N4107" s="135"/>
      <c r="O4107" s="135"/>
      <c r="P4107" s="135"/>
      <c r="Q4107" s="135"/>
      <c r="R4107" s="135"/>
      <c r="S4107" s="135"/>
      <c r="T4107" s="135"/>
      <c r="U4107" s="135"/>
      <c r="V4107" s="135"/>
      <c r="W4107" s="135"/>
      <c r="X4107" s="135"/>
      <c r="Y4107" s="135"/>
      <c r="Z4107" s="135"/>
    </row>
    <row r="4108" spans="1:26" ht="25.5">
      <c r="A4108" s="136" t="s">
        <v>11</v>
      </c>
      <c r="B4108" s="136" t="s">
        <v>7932</v>
      </c>
      <c r="C4108" s="136" t="s">
        <v>267</v>
      </c>
      <c r="D4108" s="136" t="s">
        <v>1669</v>
      </c>
      <c r="E4108" s="136" t="s">
        <v>615</v>
      </c>
      <c r="F4108" s="136">
        <v>496</v>
      </c>
      <c r="G4108" s="137">
        <f t="shared" si="16"/>
        <v>3</v>
      </c>
      <c r="H4108" s="137"/>
      <c r="I4108" s="137"/>
      <c r="J4108" s="135"/>
      <c r="K4108" s="135"/>
      <c r="L4108" s="135"/>
      <c r="M4108" s="135"/>
      <c r="N4108" s="135"/>
      <c r="O4108" s="135"/>
      <c r="P4108" s="135"/>
      <c r="Q4108" s="135"/>
      <c r="R4108" s="135"/>
      <c r="S4108" s="135"/>
      <c r="T4108" s="135"/>
      <c r="U4108" s="135"/>
      <c r="V4108" s="135"/>
      <c r="W4108" s="135"/>
      <c r="X4108" s="135"/>
      <c r="Y4108" s="135"/>
      <c r="Z4108" s="135"/>
    </row>
    <row r="4109" spans="1:26" ht="25.5">
      <c r="A4109" s="136" t="s">
        <v>11</v>
      </c>
      <c r="B4109" s="136" t="s">
        <v>7932</v>
      </c>
      <c r="C4109" s="136" t="s">
        <v>267</v>
      </c>
      <c r="D4109" s="136" t="s">
        <v>1665</v>
      </c>
      <c r="E4109" s="136" t="s">
        <v>615</v>
      </c>
      <c r="F4109" s="136">
        <v>310</v>
      </c>
      <c r="G4109" s="137">
        <f t="shared" si="16"/>
        <v>4</v>
      </c>
      <c r="H4109" s="137"/>
      <c r="I4109" s="137"/>
      <c r="J4109" s="135"/>
      <c r="K4109" s="135"/>
      <c r="L4109" s="135"/>
      <c r="M4109" s="135"/>
      <c r="N4109" s="135"/>
      <c r="O4109" s="135"/>
      <c r="P4109" s="135"/>
      <c r="Q4109" s="135"/>
      <c r="R4109" s="135"/>
      <c r="S4109" s="135"/>
      <c r="T4109" s="135"/>
      <c r="U4109" s="135"/>
      <c r="V4109" s="135"/>
      <c r="W4109" s="135"/>
      <c r="X4109" s="135"/>
      <c r="Y4109" s="135"/>
      <c r="Z4109" s="135"/>
    </row>
    <row r="4110" spans="1:26" ht="25.5">
      <c r="A4110" s="136" t="s">
        <v>11</v>
      </c>
      <c r="B4110" s="136" t="s">
        <v>7932</v>
      </c>
      <c r="C4110" s="136" t="s">
        <v>267</v>
      </c>
      <c r="D4110" s="136" t="s">
        <v>1626</v>
      </c>
      <c r="E4110" s="136" t="s">
        <v>594</v>
      </c>
      <c r="F4110" s="136">
        <v>310</v>
      </c>
      <c r="G4110" s="137">
        <f t="shared" si="16"/>
        <v>5</v>
      </c>
      <c r="H4110" s="137"/>
      <c r="I4110" s="137"/>
      <c r="J4110" s="135"/>
      <c r="K4110" s="135"/>
      <c r="L4110" s="135"/>
      <c r="M4110" s="135"/>
      <c r="N4110" s="135"/>
      <c r="O4110" s="135"/>
      <c r="P4110" s="135"/>
      <c r="Q4110" s="135"/>
      <c r="R4110" s="135"/>
      <c r="S4110" s="135"/>
      <c r="T4110" s="135"/>
      <c r="U4110" s="135"/>
      <c r="V4110" s="135"/>
      <c r="W4110" s="135"/>
      <c r="X4110" s="135"/>
      <c r="Y4110" s="135"/>
      <c r="Z4110" s="135"/>
    </row>
    <row r="4111" spans="1:26" ht="25.5">
      <c r="A4111" s="136" t="s">
        <v>11</v>
      </c>
      <c r="B4111" s="136" t="s">
        <v>7932</v>
      </c>
      <c r="C4111" s="136" t="s">
        <v>267</v>
      </c>
      <c r="D4111" s="136" t="s">
        <v>7936</v>
      </c>
      <c r="E4111" s="136" t="s">
        <v>594</v>
      </c>
      <c r="F4111" s="136">
        <v>251</v>
      </c>
      <c r="G4111" s="137">
        <f t="shared" si="16"/>
        <v>6</v>
      </c>
      <c r="H4111" s="137"/>
      <c r="I4111" s="137"/>
      <c r="J4111" s="135"/>
      <c r="K4111" s="135"/>
      <c r="L4111" s="135"/>
      <c r="M4111" s="135"/>
      <c r="N4111" s="135"/>
      <c r="O4111" s="135"/>
      <c r="P4111" s="135"/>
      <c r="Q4111" s="135"/>
      <c r="R4111" s="135"/>
      <c r="S4111" s="135"/>
      <c r="T4111" s="135"/>
      <c r="U4111" s="135"/>
      <c r="V4111" s="135"/>
      <c r="W4111" s="135"/>
      <c r="X4111" s="135"/>
      <c r="Y4111" s="135"/>
      <c r="Z4111" s="135"/>
    </row>
    <row r="4112" spans="1:26" ht="25.5">
      <c r="A4112" s="136" t="s">
        <v>11</v>
      </c>
      <c r="B4112" s="136" t="s">
        <v>7932</v>
      </c>
      <c r="C4112" s="136" t="s">
        <v>267</v>
      </c>
      <c r="D4112" s="136" t="s">
        <v>103</v>
      </c>
      <c r="E4112" s="136" t="s">
        <v>594</v>
      </c>
      <c r="F4112" s="136">
        <v>171</v>
      </c>
      <c r="G4112" s="137">
        <f t="shared" si="16"/>
        <v>7</v>
      </c>
      <c r="H4112" s="137"/>
      <c r="I4112" s="137"/>
      <c r="J4112" s="135"/>
      <c r="K4112" s="135"/>
      <c r="L4112" s="135"/>
      <c r="M4112" s="135"/>
      <c r="N4112" s="135"/>
      <c r="O4112" s="135"/>
      <c r="P4112" s="135"/>
      <c r="Q4112" s="135"/>
      <c r="R4112" s="135"/>
      <c r="S4112" s="135"/>
      <c r="T4112" s="135"/>
      <c r="U4112" s="135"/>
      <c r="V4112" s="135"/>
      <c r="W4112" s="135"/>
      <c r="X4112" s="135"/>
      <c r="Y4112" s="135"/>
      <c r="Z4112" s="135"/>
    </row>
    <row r="4113" spans="1:26" ht="25.5">
      <c r="A4113" s="136" t="s">
        <v>11</v>
      </c>
      <c r="B4113" s="136" t="s">
        <v>7932</v>
      </c>
      <c r="C4113" s="136" t="s">
        <v>267</v>
      </c>
      <c r="D4113" s="136" t="s">
        <v>1639</v>
      </c>
      <c r="E4113" s="136" t="s">
        <v>615</v>
      </c>
      <c r="F4113" s="136">
        <v>168</v>
      </c>
      <c r="G4113" s="137">
        <f t="shared" si="16"/>
        <v>8</v>
      </c>
      <c r="H4113" s="137"/>
      <c r="I4113" s="137"/>
      <c r="J4113" s="135"/>
      <c r="K4113" s="135"/>
      <c r="L4113" s="135"/>
      <c r="M4113" s="135"/>
      <c r="N4113" s="135"/>
      <c r="O4113" s="135"/>
      <c r="P4113" s="135"/>
      <c r="Q4113" s="135"/>
      <c r="R4113" s="135"/>
      <c r="S4113" s="135"/>
      <c r="T4113" s="135"/>
      <c r="U4113" s="135"/>
      <c r="V4113" s="135"/>
      <c r="W4113" s="135"/>
      <c r="X4113" s="135"/>
      <c r="Y4113" s="135"/>
      <c r="Z4113" s="135"/>
    </row>
    <row r="4114" spans="1:26" ht="25.5">
      <c r="A4114" s="136" t="s">
        <v>11</v>
      </c>
      <c r="B4114" s="136" t="s">
        <v>7932</v>
      </c>
      <c r="C4114" s="136" t="s">
        <v>267</v>
      </c>
      <c r="D4114" s="136" t="s">
        <v>7657</v>
      </c>
      <c r="E4114" s="136" t="s">
        <v>85</v>
      </c>
      <c r="F4114" s="136">
        <v>141</v>
      </c>
      <c r="G4114" s="137">
        <f t="shared" si="16"/>
        <v>9</v>
      </c>
      <c r="H4114" s="137"/>
      <c r="I4114" s="137"/>
      <c r="J4114" s="135"/>
      <c r="K4114" s="135"/>
      <c r="L4114" s="135"/>
      <c r="M4114" s="135"/>
      <c r="N4114" s="135"/>
      <c r="O4114" s="135"/>
      <c r="P4114" s="135"/>
      <c r="Q4114" s="135"/>
      <c r="R4114" s="135"/>
      <c r="S4114" s="135"/>
      <c r="T4114" s="135"/>
      <c r="U4114" s="135"/>
      <c r="V4114" s="135"/>
      <c r="W4114" s="135"/>
      <c r="X4114" s="135"/>
      <c r="Y4114" s="135"/>
      <c r="Z4114" s="135"/>
    </row>
    <row r="4115" spans="1:26" ht="25.5">
      <c r="A4115" s="136" t="s">
        <v>11</v>
      </c>
      <c r="B4115" s="136" t="s">
        <v>7932</v>
      </c>
      <c r="C4115" s="136" t="s">
        <v>267</v>
      </c>
      <c r="D4115" s="136" t="s">
        <v>1659</v>
      </c>
      <c r="E4115" s="136" t="s">
        <v>615</v>
      </c>
      <c r="F4115" s="136">
        <v>128</v>
      </c>
      <c r="G4115" s="137">
        <f t="shared" si="16"/>
        <v>10</v>
      </c>
      <c r="H4115" s="137"/>
      <c r="I4115" s="137"/>
      <c r="J4115" s="135"/>
      <c r="K4115" s="135"/>
      <c r="L4115" s="135"/>
      <c r="M4115" s="135"/>
      <c r="N4115" s="135"/>
      <c r="O4115" s="135"/>
      <c r="P4115" s="135"/>
      <c r="Q4115" s="135"/>
      <c r="R4115" s="135"/>
      <c r="S4115" s="135"/>
      <c r="T4115" s="135"/>
      <c r="U4115" s="135"/>
      <c r="V4115" s="135"/>
      <c r="W4115" s="135"/>
      <c r="X4115" s="135"/>
      <c r="Y4115" s="135"/>
      <c r="Z4115" s="135"/>
    </row>
    <row r="4116" spans="1:26" ht="25.5">
      <c r="A4116" s="136" t="s">
        <v>11</v>
      </c>
      <c r="B4116" s="136" t="s">
        <v>7932</v>
      </c>
      <c r="C4116" s="136" t="s">
        <v>267</v>
      </c>
      <c r="D4116" s="136" t="s">
        <v>7935</v>
      </c>
      <c r="E4116" s="136" t="s">
        <v>615</v>
      </c>
      <c r="F4116" s="136">
        <v>109</v>
      </c>
      <c r="G4116" s="137">
        <f t="shared" si="16"/>
        <v>11</v>
      </c>
      <c r="H4116" s="137"/>
      <c r="I4116" s="137"/>
      <c r="J4116" s="135"/>
      <c r="K4116" s="135"/>
      <c r="L4116" s="135"/>
      <c r="M4116" s="135"/>
      <c r="N4116" s="135"/>
      <c r="O4116" s="135"/>
      <c r="P4116" s="135"/>
      <c r="Q4116" s="135"/>
      <c r="R4116" s="135"/>
      <c r="S4116" s="135"/>
      <c r="T4116" s="135"/>
      <c r="U4116" s="135"/>
      <c r="V4116" s="135"/>
      <c r="W4116" s="135"/>
      <c r="X4116" s="135"/>
      <c r="Y4116" s="135"/>
      <c r="Z4116" s="135"/>
    </row>
    <row r="4117" spans="1:26" ht="25.5">
      <c r="A4117" s="136" t="s">
        <v>11</v>
      </c>
      <c r="B4117" s="136" t="s">
        <v>7932</v>
      </c>
      <c r="C4117" s="136" t="s">
        <v>267</v>
      </c>
      <c r="D4117" s="136" t="s">
        <v>165</v>
      </c>
      <c r="E4117" s="136" t="s">
        <v>615</v>
      </c>
      <c r="F4117" s="136">
        <v>86</v>
      </c>
      <c r="G4117" s="137">
        <f t="shared" si="16"/>
        <v>12</v>
      </c>
      <c r="H4117" s="137"/>
      <c r="I4117" s="137"/>
      <c r="J4117" s="135"/>
      <c r="K4117" s="135"/>
      <c r="L4117" s="135"/>
      <c r="M4117" s="135"/>
      <c r="N4117" s="135"/>
      <c r="O4117" s="135"/>
      <c r="P4117" s="135"/>
      <c r="Q4117" s="135"/>
      <c r="R4117" s="135"/>
      <c r="S4117" s="135"/>
      <c r="T4117" s="135"/>
      <c r="U4117" s="135"/>
      <c r="V4117" s="135"/>
      <c r="W4117" s="135"/>
      <c r="X4117" s="135"/>
      <c r="Y4117" s="135"/>
      <c r="Z4117" s="135"/>
    </row>
    <row r="4118" spans="1:26" ht="25.5">
      <c r="A4118" s="136" t="s">
        <v>11</v>
      </c>
      <c r="B4118" s="136" t="s">
        <v>7932</v>
      </c>
      <c r="C4118" s="136" t="s">
        <v>267</v>
      </c>
      <c r="D4118" s="136" t="s">
        <v>368</v>
      </c>
      <c r="E4118" s="136" t="s">
        <v>594</v>
      </c>
      <c r="F4118" s="136">
        <v>65</v>
      </c>
      <c r="G4118" s="137">
        <f t="shared" si="16"/>
        <v>13</v>
      </c>
      <c r="H4118" s="137"/>
      <c r="I4118" s="137"/>
      <c r="J4118" s="135"/>
      <c r="K4118" s="135"/>
      <c r="L4118" s="135"/>
      <c r="M4118" s="135"/>
      <c r="N4118" s="135"/>
      <c r="O4118" s="135"/>
      <c r="P4118" s="135"/>
      <c r="Q4118" s="135"/>
      <c r="R4118" s="135"/>
      <c r="S4118" s="135"/>
      <c r="T4118" s="135"/>
      <c r="U4118" s="135"/>
      <c r="V4118" s="135"/>
      <c r="W4118" s="135"/>
      <c r="X4118" s="135"/>
      <c r="Y4118" s="135"/>
      <c r="Z4118" s="135"/>
    </row>
    <row r="4119" spans="1:26" ht="25.5">
      <c r="A4119" s="136" t="s">
        <v>11</v>
      </c>
      <c r="B4119" s="136" t="s">
        <v>7932</v>
      </c>
      <c r="C4119" s="136" t="s">
        <v>267</v>
      </c>
      <c r="D4119" s="136" t="s">
        <v>7617</v>
      </c>
      <c r="E4119" s="136" t="s">
        <v>615</v>
      </c>
      <c r="F4119" s="136">
        <v>62</v>
      </c>
      <c r="G4119" s="137">
        <f t="shared" si="16"/>
        <v>14</v>
      </c>
      <c r="H4119" s="137"/>
      <c r="I4119" s="137"/>
      <c r="J4119" s="135"/>
      <c r="K4119" s="135"/>
      <c r="L4119" s="135"/>
      <c r="M4119" s="135"/>
      <c r="N4119" s="135"/>
      <c r="O4119" s="135"/>
      <c r="P4119" s="135"/>
      <c r="Q4119" s="135"/>
      <c r="R4119" s="135"/>
      <c r="S4119" s="135"/>
      <c r="T4119" s="135"/>
      <c r="U4119" s="135"/>
      <c r="V4119" s="135"/>
      <c r="W4119" s="135"/>
      <c r="X4119" s="135"/>
      <c r="Y4119" s="135"/>
      <c r="Z4119" s="135"/>
    </row>
    <row r="4120" spans="1:26" ht="25.5">
      <c r="A4120" s="136" t="s">
        <v>11</v>
      </c>
      <c r="B4120" s="136" t="s">
        <v>7932</v>
      </c>
      <c r="C4120" s="136" t="s">
        <v>267</v>
      </c>
      <c r="D4120" s="136" t="s">
        <v>437</v>
      </c>
      <c r="E4120" s="136" t="s">
        <v>594</v>
      </c>
      <c r="F4120" s="136">
        <v>58</v>
      </c>
      <c r="G4120" s="137">
        <f t="shared" si="16"/>
        <v>15</v>
      </c>
      <c r="H4120" s="137"/>
      <c r="I4120" s="137"/>
      <c r="J4120" s="135"/>
      <c r="K4120" s="135"/>
      <c r="L4120" s="135"/>
      <c r="M4120" s="135"/>
      <c r="N4120" s="135"/>
      <c r="O4120" s="135"/>
      <c r="P4120" s="135"/>
      <c r="Q4120" s="135"/>
      <c r="R4120" s="135"/>
      <c r="S4120" s="135"/>
      <c r="T4120" s="135"/>
      <c r="U4120" s="135"/>
      <c r="V4120" s="135"/>
      <c r="W4120" s="135"/>
      <c r="X4120" s="135"/>
      <c r="Y4120" s="135"/>
      <c r="Z4120" s="135"/>
    </row>
    <row r="4121" spans="1:26" ht="25.5">
      <c r="A4121" s="136" t="s">
        <v>11</v>
      </c>
      <c r="B4121" s="136" t="s">
        <v>7932</v>
      </c>
      <c r="C4121" s="136" t="s">
        <v>267</v>
      </c>
      <c r="D4121" s="136" t="s">
        <v>136</v>
      </c>
      <c r="E4121" s="136" t="s">
        <v>615</v>
      </c>
      <c r="F4121" s="136">
        <v>36</v>
      </c>
      <c r="G4121" s="137">
        <f t="shared" si="16"/>
        <v>16</v>
      </c>
      <c r="H4121" s="137"/>
      <c r="I4121" s="137"/>
      <c r="J4121" s="135"/>
      <c r="K4121" s="135"/>
      <c r="L4121" s="135"/>
      <c r="M4121" s="135"/>
      <c r="N4121" s="135"/>
      <c r="O4121" s="135"/>
      <c r="P4121" s="135"/>
      <c r="Q4121" s="135"/>
      <c r="R4121" s="135"/>
      <c r="S4121" s="135"/>
      <c r="T4121" s="135"/>
      <c r="U4121" s="135"/>
      <c r="V4121" s="135"/>
      <c r="W4121" s="135"/>
      <c r="X4121" s="135"/>
      <c r="Y4121" s="135"/>
      <c r="Z4121" s="135"/>
    </row>
    <row r="4122" spans="1:26" ht="25.5">
      <c r="A4122" s="136" t="s">
        <v>11</v>
      </c>
      <c r="B4122" s="136" t="s">
        <v>7932</v>
      </c>
      <c r="C4122" s="136" t="s">
        <v>267</v>
      </c>
      <c r="D4122" s="136" t="s">
        <v>131</v>
      </c>
      <c r="E4122" s="136" t="s">
        <v>594</v>
      </c>
      <c r="F4122" s="136">
        <v>35</v>
      </c>
      <c r="G4122" s="137">
        <f t="shared" si="16"/>
        <v>17</v>
      </c>
      <c r="H4122" s="137"/>
      <c r="I4122" s="137"/>
      <c r="J4122" s="135"/>
      <c r="K4122" s="135"/>
      <c r="L4122" s="135"/>
      <c r="M4122" s="135"/>
      <c r="N4122" s="135"/>
      <c r="O4122" s="135"/>
      <c r="P4122" s="135"/>
      <c r="Q4122" s="135"/>
      <c r="R4122" s="135"/>
      <c r="S4122" s="135"/>
      <c r="T4122" s="135"/>
      <c r="U4122" s="135"/>
      <c r="V4122" s="135"/>
      <c r="W4122" s="135"/>
      <c r="X4122" s="135"/>
      <c r="Y4122" s="135"/>
      <c r="Z4122" s="135"/>
    </row>
    <row r="4123" spans="1:26" ht="25.5">
      <c r="A4123" s="136" t="s">
        <v>11</v>
      </c>
      <c r="B4123" s="136" t="s">
        <v>7932</v>
      </c>
      <c r="C4123" s="136" t="s">
        <v>267</v>
      </c>
      <c r="D4123" s="136" t="s">
        <v>1680</v>
      </c>
      <c r="E4123" s="136" t="s">
        <v>615</v>
      </c>
      <c r="F4123" s="136">
        <v>34</v>
      </c>
      <c r="G4123" s="137">
        <f t="shared" si="16"/>
        <v>18</v>
      </c>
      <c r="H4123" s="137"/>
      <c r="I4123" s="137"/>
      <c r="J4123" s="135"/>
      <c r="K4123" s="135"/>
      <c r="L4123" s="135"/>
      <c r="M4123" s="135"/>
      <c r="N4123" s="135"/>
      <c r="O4123" s="135"/>
      <c r="P4123" s="135"/>
      <c r="Q4123" s="135"/>
      <c r="R4123" s="135"/>
      <c r="S4123" s="135"/>
      <c r="T4123" s="135"/>
      <c r="U4123" s="135"/>
      <c r="V4123" s="135"/>
      <c r="W4123" s="135"/>
      <c r="X4123" s="135"/>
      <c r="Y4123" s="135"/>
      <c r="Z4123" s="135"/>
    </row>
    <row r="4124" spans="1:26" ht="25.5">
      <c r="A4124" s="136" t="s">
        <v>11</v>
      </c>
      <c r="B4124" s="136" t="s">
        <v>7932</v>
      </c>
      <c r="C4124" s="136" t="s">
        <v>267</v>
      </c>
      <c r="D4124" s="136" t="s">
        <v>120</v>
      </c>
      <c r="E4124" s="136" t="s">
        <v>615</v>
      </c>
      <c r="F4124" s="136">
        <v>30</v>
      </c>
      <c r="G4124" s="137">
        <f t="shared" si="16"/>
        <v>19</v>
      </c>
      <c r="H4124" s="137"/>
      <c r="I4124" s="137"/>
      <c r="J4124" s="135"/>
      <c r="K4124" s="135"/>
      <c r="L4124" s="135"/>
      <c r="M4124" s="135"/>
      <c r="N4124" s="135"/>
      <c r="O4124" s="135"/>
      <c r="P4124" s="135"/>
      <c r="Q4124" s="135"/>
      <c r="R4124" s="135"/>
      <c r="S4124" s="135"/>
      <c r="T4124" s="135"/>
      <c r="U4124" s="135"/>
      <c r="V4124" s="135"/>
      <c r="W4124" s="135"/>
      <c r="X4124" s="135"/>
      <c r="Y4124" s="135"/>
      <c r="Z4124" s="135"/>
    </row>
    <row r="4125" spans="1:26" ht="25.5">
      <c r="A4125" s="136" t="s">
        <v>11</v>
      </c>
      <c r="B4125" s="136" t="s">
        <v>7932</v>
      </c>
      <c r="C4125" s="136" t="s">
        <v>267</v>
      </c>
      <c r="D4125" s="136" t="s">
        <v>1685</v>
      </c>
      <c r="E4125" s="136" t="s">
        <v>615</v>
      </c>
      <c r="F4125" s="136">
        <v>28</v>
      </c>
      <c r="G4125" s="137">
        <f t="shared" si="16"/>
        <v>20</v>
      </c>
      <c r="H4125" s="137"/>
      <c r="I4125" s="137"/>
      <c r="J4125" s="135"/>
      <c r="K4125" s="135"/>
      <c r="L4125" s="135"/>
      <c r="M4125" s="135"/>
      <c r="N4125" s="135"/>
      <c r="O4125" s="135"/>
      <c r="P4125" s="135"/>
      <c r="Q4125" s="135"/>
      <c r="R4125" s="135"/>
      <c r="S4125" s="135"/>
      <c r="T4125" s="135"/>
      <c r="U4125" s="135"/>
      <c r="V4125" s="135"/>
      <c r="W4125" s="135"/>
      <c r="X4125" s="135"/>
      <c r="Y4125" s="135"/>
      <c r="Z4125" s="135"/>
    </row>
    <row r="4126" spans="1:26" ht="25.5">
      <c r="A4126" s="136" t="s">
        <v>11</v>
      </c>
      <c r="B4126" s="136" t="s">
        <v>7932</v>
      </c>
      <c r="C4126" s="136" t="s">
        <v>267</v>
      </c>
      <c r="D4126" s="136" t="s">
        <v>1656</v>
      </c>
      <c r="E4126" s="136" t="s">
        <v>594</v>
      </c>
      <c r="F4126" s="136">
        <v>27</v>
      </c>
      <c r="G4126" s="137">
        <f t="shared" si="16"/>
        <v>21</v>
      </c>
      <c r="H4126" s="137"/>
      <c r="I4126" s="137"/>
      <c r="J4126" s="135"/>
      <c r="K4126" s="135"/>
      <c r="L4126" s="135"/>
      <c r="M4126" s="135"/>
      <c r="N4126" s="135"/>
      <c r="O4126" s="135"/>
      <c r="P4126" s="135"/>
      <c r="Q4126" s="135"/>
      <c r="R4126" s="135"/>
      <c r="S4126" s="135"/>
      <c r="T4126" s="135"/>
      <c r="U4126" s="135"/>
      <c r="V4126" s="135"/>
      <c r="W4126" s="135"/>
      <c r="X4126" s="135"/>
      <c r="Y4126" s="135"/>
      <c r="Z4126" s="135"/>
    </row>
    <row r="4127" spans="1:26" ht="25.5">
      <c r="A4127" s="136" t="s">
        <v>11</v>
      </c>
      <c r="B4127" s="136" t="s">
        <v>7932</v>
      </c>
      <c r="C4127" s="136" t="s">
        <v>267</v>
      </c>
      <c r="D4127" s="136" t="s">
        <v>1673</v>
      </c>
      <c r="E4127" s="136" t="s">
        <v>594</v>
      </c>
      <c r="F4127" s="136">
        <v>9</v>
      </c>
      <c r="G4127" s="137">
        <f t="shared" si="16"/>
        <v>22</v>
      </c>
      <c r="H4127" s="137"/>
      <c r="I4127" s="137"/>
      <c r="J4127" s="135"/>
      <c r="K4127" s="135"/>
      <c r="L4127" s="135"/>
      <c r="M4127" s="135"/>
      <c r="N4127" s="135"/>
      <c r="O4127" s="135"/>
      <c r="P4127" s="135"/>
      <c r="Q4127" s="135"/>
      <c r="R4127" s="135"/>
      <c r="S4127" s="135"/>
      <c r="T4127" s="135"/>
      <c r="U4127" s="135"/>
      <c r="V4127" s="135"/>
      <c r="W4127" s="135"/>
      <c r="X4127" s="135"/>
      <c r="Y4127" s="135"/>
      <c r="Z4127" s="135"/>
    </row>
    <row r="4128" spans="1:26" ht="25.5">
      <c r="A4128" s="136" t="s">
        <v>11</v>
      </c>
      <c r="B4128" s="136" t="s">
        <v>7932</v>
      </c>
      <c r="C4128" s="136" t="s">
        <v>267</v>
      </c>
      <c r="D4128" s="136" t="s">
        <v>7957</v>
      </c>
      <c r="E4128" s="136" t="s">
        <v>86</v>
      </c>
      <c r="F4128" s="136">
        <v>7</v>
      </c>
      <c r="G4128" s="137">
        <f t="shared" si="16"/>
        <v>23</v>
      </c>
      <c r="H4128" s="137"/>
      <c r="I4128" s="137"/>
      <c r="J4128" s="135"/>
      <c r="K4128" s="135"/>
      <c r="L4128" s="135"/>
      <c r="M4128" s="135"/>
      <c r="N4128" s="135"/>
      <c r="O4128" s="135"/>
      <c r="P4128" s="135"/>
      <c r="Q4128" s="135"/>
      <c r="R4128" s="135"/>
      <c r="S4128" s="135"/>
      <c r="T4128" s="135"/>
      <c r="U4128" s="135"/>
      <c r="V4128" s="135"/>
      <c r="W4128" s="135"/>
      <c r="X4128" s="135"/>
      <c r="Y4128" s="135"/>
      <c r="Z4128" s="135"/>
    </row>
    <row r="4129" spans="1:26" ht="25.5">
      <c r="A4129" s="136" t="s">
        <v>11</v>
      </c>
      <c r="B4129" s="136" t="s">
        <v>7932</v>
      </c>
      <c r="C4129" s="136" t="s">
        <v>281</v>
      </c>
      <c r="D4129" s="136" t="s">
        <v>139</v>
      </c>
      <c r="E4129" s="136" t="s">
        <v>594</v>
      </c>
      <c r="F4129" s="136">
        <v>1263</v>
      </c>
      <c r="G4129" s="137">
        <f t="shared" si="16"/>
        <v>1</v>
      </c>
      <c r="H4129" s="137"/>
      <c r="I4129" s="137"/>
      <c r="J4129" s="135"/>
      <c r="K4129" s="135"/>
      <c r="L4129" s="135"/>
      <c r="M4129" s="135"/>
      <c r="N4129" s="135"/>
      <c r="O4129" s="135"/>
      <c r="P4129" s="135"/>
      <c r="Q4129" s="135"/>
      <c r="R4129" s="135"/>
      <c r="S4129" s="135"/>
      <c r="T4129" s="135"/>
      <c r="U4129" s="135"/>
      <c r="V4129" s="135"/>
      <c r="W4129" s="135"/>
      <c r="X4129" s="135"/>
      <c r="Y4129" s="135"/>
      <c r="Z4129" s="135"/>
    </row>
    <row r="4130" spans="1:26" ht="25.5">
      <c r="A4130" s="136" t="s">
        <v>11</v>
      </c>
      <c r="B4130" s="136" t="s">
        <v>7932</v>
      </c>
      <c r="C4130" s="136" t="s">
        <v>281</v>
      </c>
      <c r="D4130" s="136" t="s">
        <v>1639</v>
      </c>
      <c r="E4130" s="136" t="s">
        <v>615</v>
      </c>
      <c r="F4130" s="136">
        <v>436</v>
      </c>
      <c r="G4130" s="137">
        <f t="shared" si="16"/>
        <v>2</v>
      </c>
      <c r="H4130" s="137"/>
      <c r="I4130" s="137"/>
      <c r="J4130" s="135"/>
      <c r="K4130" s="135"/>
      <c r="L4130" s="135"/>
      <c r="M4130" s="135"/>
      <c r="N4130" s="135"/>
      <c r="O4130" s="135"/>
      <c r="P4130" s="135"/>
      <c r="Q4130" s="135"/>
      <c r="R4130" s="135"/>
      <c r="S4130" s="135"/>
      <c r="T4130" s="135"/>
      <c r="U4130" s="135"/>
      <c r="V4130" s="135"/>
      <c r="W4130" s="135"/>
      <c r="X4130" s="135"/>
      <c r="Y4130" s="135"/>
      <c r="Z4130" s="135"/>
    </row>
    <row r="4131" spans="1:26" ht="25.5">
      <c r="A4131" s="136" t="s">
        <v>11</v>
      </c>
      <c r="B4131" s="136" t="s">
        <v>7932</v>
      </c>
      <c r="C4131" s="136" t="s">
        <v>281</v>
      </c>
      <c r="D4131" s="136" t="s">
        <v>1669</v>
      </c>
      <c r="E4131" s="136" t="s">
        <v>615</v>
      </c>
      <c r="F4131" s="136">
        <v>237</v>
      </c>
      <c r="G4131" s="137">
        <f t="shared" si="16"/>
        <v>3</v>
      </c>
      <c r="H4131" s="137"/>
      <c r="I4131" s="137"/>
      <c r="J4131" s="135"/>
      <c r="K4131" s="135"/>
      <c r="L4131" s="135"/>
      <c r="M4131" s="135"/>
      <c r="N4131" s="135"/>
      <c r="O4131" s="135"/>
      <c r="P4131" s="135"/>
      <c r="Q4131" s="135"/>
      <c r="R4131" s="135"/>
      <c r="S4131" s="135"/>
      <c r="T4131" s="135"/>
      <c r="U4131" s="135"/>
      <c r="V4131" s="135"/>
      <c r="W4131" s="135"/>
      <c r="X4131" s="135"/>
      <c r="Y4131" s="135"/>
      <c r="Z4131" s="135"/>
    </row>
    <row r="4132" spans="1:26" ht="25.5">
      <c r="A4132" s="136" t="s">
        <v>11</v>
      </c>
      <c r="B4132" s="136" t="s">
        <v>7932</v>
      </c>
      <c r="C4132" s="136" t="s">
        <v>281</v>
      </c>
      <c r="D4132" s="136" t="s">
        <v>7878</v>
      </c>
      <c r="E4132" s="136" t="s">
        <v>85</v>
      </c>
      <c r="F4132" s="136">
        <v>58</v>
      </c>
      <c r="G4132" s="137">
        <f t="shared" si="16"/>
        <v>4</v>
      </c>
      <c r="H4132" s="137"/>
      <c r="I4132" s="137"/>
      <c r="J4132" s="135"/>
      <c r="K4132" s="135"/>
      <c r="L4132" s="135"/>
      <c r="M4132" s="135"/>
      <c r="N4132" s="135"/>
      <c r="O4132" s="135"/>
      <c r="P4132" s="135"/>
      <c r="Q4132" s="135"/>
      <c r="R4132" s="135"/>
      <c r="S4132" s="135"/>
      <c r="T4132" s="135"/>
      <c r="U4132" s="135"/>
      <c r="V4132" s="135"/>
      <c r="W4132" s="135"/>
      <c r="X4132" s="135"/>
      <c r="Y4132" s="135"/>
      <c r="Z4132" s="135"/>
    </row>
    <row r="4133" spans="1:26" ht="25.5">
      <c r="A4133" s="136" t="s">
        <v>11</v>
      </c>
      <c r="B4133" s="136" t="s">
        <v>7932</v>
      </c>
      <c r="C4133" s="136" t="s">
        <v>281</v>
      </c>
      <c r="D4133" s="136" t="s">
        <v>7657</v>
      </c>
      <c r="E4133" s="136" t="s">
        <v>85</v>
      </c>
      <c r="F4133" s="136">
        <v>29</v>
      </c>
      <c r="G4133" s="137">
        <f t="shared" si="16"/>
        <v>5</v>
      </c>
      <c r="H4133" s="137"/>
      <c r="I4133" s="137"/>
      <c r="J4133" s="135"/>
      <c r="K4133" s="135"/>
      <c r="L4133" s="135"/>
      <c r="M4133" s="135"/>
      <c r="N4133" s="135"/>
      <c r="O4133" s="135"/>
      <c r="P4133" s="135"/>
      <c r="Q4133" s="135"/>
      <c r="R4133" s="135"/>
      <c r="S4133" s="135"/>
      <c r="T4133" s="135"/>
      <c r="U4133" s="135"/>
      <c r="V4133" s="135"/>
      <c r="W4133" s="135"/>
      <c r="X4133" s="135"/>
      <c r="Y4133" s="135"/>
      <c r="Z4133" s="135"/>
    </row>
    <row r="4134" spans="1:26" ht="25.5">
      <c r="A4134" s="136" t="s">
        <v>11</v>
      </c>
      <c r="B4134" s="136" t="s">
        <v>7932</v>
      </c>
      <c r="C4134" s="136" t="s">
        <v>281</v>
      </c>
      <c r="D4134" s="136" t="s">
        <v>1665</v>
      </c>
      <c r="E4134" s="136" t="s">
        <v>615</v>
      </c>
      <c r="F4134" s="136">
        <v>27</v>
      </c>
      <c r="G4134" s="137">
        <f t="shared" si="16"/>
        <v>6</v>
      </c>
      <c r="H4134" s="137"/>
      <c r="I4134" s="137"/>
      <c r="J4134" s="135"/>
      <c r="K4134" s="135"/>
      <c r="L4134" s="135"/>
      <c r="M4134" s="135"/>
      <c r="N4134" s="135"/>
      <c r="O4134" s="135"/>
      <c r="P4134" s="135"/>
      <c r="Q4134" s="135"/>
      <c r="R4134" s="135"/>
      <c r="S4134" s="135"/>
      <c r="T4134" s="135"/>
      <c r="U4134" s="135"/>
      <c r="V4134" s="135"/>
      <c r="W4134" s="135"/>
      <c r="X4134" s="135"/>
      <c r="Y4134" s="135"/>
      <c r="Z4134" s="135"/>
    </row>
    <row r="4135" spans="1:26" ht="25.5">
      <c r="A4135" s="136" t="s">
        <v>11</v>
      </c>
      <c r="B4135" s="136" t="s">
        <v>7932</v>
      </c>
      <c r="C4135" s="136" t="s">
        <v>281</v>
      </c>
      <c r="D4135" s="136" t="s">
        <v>7958</v>
      </c>
      <c r="E4135" s="136" t="s">
        <v>615</v>
      </c>
      <c r="F4135" s="136">
        <v>15</v>
      </c>
      <c r="G4135" s="137">
        <f t="shared" si="16"/>
        <v>7</v>
      </c>
      <c r="H4135" s="137"/>
      <c r="I4135" s="137"/>
      <c r="J4135" s="135"/>
      <c r="K4135" s="135"/>
      <c r="L4135" s="135"/>
      <c r="M4135" s="135"/>
      <c r="N4135" s="135"/>
      <c r="O4135" s="135"/>
      <c r="P4135" s="135"/>
      <c r="Q4135" s="135"/>
      <c r="R4135" s="135"/>
      <c r="S4135" s="135"/>
      <c r="T4135" s="135"/>
      <c r="U4135" s="135"/>
      <c r="V4135" s="135"/>
      <c r="W4135" s="135"/>
      <c r="X4135" s="135"/>
      <c r="Y4135" s="135"/>
      <c r="Z4135" s="135"/>
    </row>
    <row r="4136" spans="1:26" ht="25.5">
      <c r="A4136" s="136" t="s">
        <v>11</v>
      </c>
      <c r="B4136" s="136" t="s">
        <v>7932</v>
      </c>
      <c r="C4136" s="136" t="s">
        <v>281</v>
      </c>
      <c r="D4136" s="136" t="s">
        <v>7937</v>
      </c>
      <c r="E4136" s="136" t="s">
        <v>86</v>
      </c>
      <c r="F4136" s="136">
        <v>6</v>
      </c>
      <c r="G4136" s="137">
        <f t="shared" si="16"/>
        <v>8</v>
      </c>
      <c r="H4136" s="137"/>
      <c r="I4136" s="137"/>
      <c r="J4136" s="135"/>
      <c r="K4136" s="135"/>
      <c r="L4136" s="135"/>
      <c r="M4136" s="135"/>
      <c r="N4136" s="135"/>
      <c r="O4136" s="135"/>
      <c r="P4136" s="135"/>
      <c r="Q4136" s="135"/>
      <c r="R4136" s="135"/>
      <c r="S4136" s="135"/>
      <c r="T4136" s="135"/>
      <c r="U4136" s="135"/>
      <c r="V4136" s="135"/>
      <c r="W4136" s="135"/>
      <c r="X4136" s="135"/>
      <c r="Y4136" s="135"/>
      <c r="Z4136" s="135"/>
    </row>
    <row r="4137" spans="1:26" ht="25.5">
      <c r="A4137" s="136" t="s">
        <v>11</v>
      </c>
      <c r="B4137" s="136" t="s">
        <v>7932</v>
      </c>
      <c r="C4137" s="136" t="s">
        <v>277</v>
      </c>
      <c r="D4137" s="136" t="s">
        <v>7878</v>
      </c>
      <c r="E4137" s="136" t="s">
        <v>85</v>
      </c>
      <c r="F4137" s="136">
        <v>689</v>
      </c>
      <c r="G4137" s="137">
        <f t="shared" si="16"/>
        <v>1</v>
      </c>
      <c r="H4137" s="137"/>
      <c r="I4137" s="137"/>
      <c r="J4137" s="135"/>
      <c r="K4137" s="135"/>
      <c r="L4137" s="135"/>
      <c r="M4137" s="135"/>
      <c r="N4137" s="135"/>
      <c r="O4137" s="135"/>
      <c r="P4137" s="135"/>
      <c r="Q4137" s="135"/>
      <c r="R4137" s="135"/>
      <c r="S4137" s="135"/>
      <c r="T4137" s="135"/>
      <c r="U4137" s="135"/>
      <c r="V4137" s="135"/>
      <c r="W4137" s="135"/>
      <c r="X4137" s="135"/>
      <c r="Y4137" s="135"/>
      <c r="Z4137" s="135"/>
    </row>
    <row r="4138" spans="1:26" ht="25.5">
      <c r="A4138" s="136" t="s">
        <v>11</v>
      </c>
      <c r="B4138" s="136" t="s">
        <v>7932</v>
      </c>
      <c r="C4138" s="136" t="s">
        <v>277</v>
      </c>
      <c r="D4138" s="136" t="s">
        <v>1669</v>
      </c>
      <c r="E4138" s="136" t="s">
        <v>615</v>
      </c>
      <c r="F4138" s="136">
        <v>471</v>
      </c>
      <c r="G4138" s="137">
        <f t="shared" si="16"/>
        <v>2</v>
      </c>
      <c r="H4138" s="137"/>
      <c r="I4138" s="137"/>
      <c r="J4138" s="135"/>
      <c r="K4138" s="135"/>
      <c r="L4138" s="135"/>
      <c r="M4138" s="135"/>
      <c r="N4138" s="135"/>
      <c r="O4138" s="135"/>
      <c r="P4138" s="135"/>
      <c r="Q4138" s="135"/>
      <c r="R4138" s="135"/>
      <c r="S4138" s="135"/>
      <c r="T4138" s="135"/>
      <c r="U4138" s="135"/>
      <c r="V4138" s="135"/>
      <c r="W4138" s="135"/>
      <c r="X4138" s="135"/>
      <c r="Y4138" s="135"/>
      <c r="Z4138" s="135"/>
    </row>
    <row r="4139" spans="1:26" ht="25.5">
      <c r="A4139" s="136" t="s">
        <v>11</v>
      </c>
      <c r="B4139" s="136" t="s">
        <v>7932</v>
      </c>
      <c r="C4139" s="136" t="s">
        <v>277</v>
      </c>
      <c r="D4139" s="136" t="s">
        <v>131</v>
      </c>
      <c r="E4139" s="136" t="s">
        <v>594</v>
      </c>
      <c r="F4139" s="136">
        <v>73</v>
      </c>
      <c r="G4139" s="137">
        <f t="shared" si="16"/>
        <v>3</v>
      </c>
      <c r="H4139" s="137"/>
      <c r="I4139" s="137"/>
      <c r="J4139" s="135"/>
      <c r="K4139" s="135"/>
      <c r="L4139" s="135"/>
      <c r="M4139" s="135"/>
      <c r="N4139" s="135"/>
      <c r="O4139" s="135"/>
      <c r="P4139" s="135"/>
      <c r="Q4139" s="135"/>
      <c r="R4139" s="135"/>
      <c r="S4139" s="135"/>
      <c r="T4139" s="135"/>
      <c r="U4139" s="135"/>
      <c r="V4139" s="135"/>
      <c r="W4139" s="135"/>
      <c r="X4139" s="135"/>
      <c r="Y4139" s="135"/>
      <c r="Z4139" s="135"/>
    </row>
    <row r="4140" spans="1:26" ht="25.5">
      <c r="A4140" s="136" t="s">
        <v>11</v>
      </c>
      <c r="B4140" s="136" t="s">
        <v>7932</v>
      </c>
      <c r="C4140" s="136" t="s">
        <v>277</v>
      </c>
      <c r="D4140" s="136" t="s">
        <v>136</v>
      </c>
      <c r="E4140" s="136" t="s">
        <v>615</v>
      </c>
      <c r="F4140" s="136">
        <v>63</v>
      </c>
      <c r="G4140" s="137">
        <f t="shared" si="16"/>
        <v>4</v>
      </c>
      <c r="H4140" s="137"/>
      <c r="I4140" s="137"/>
      <c r="J4140" s="135"/>
      <c r="K4140" s="135"/>
      <c r="L4140" s="135"/>
      <c r="M4140" s="135"/>
      <c r="N4140" s="135"/>
      <c r="O4140" s="135"/>
      <c r="P4140" s="135"/>
      <c r="Q4140" s="135"/>
      <c r="R4140" s="135"/>
      <c r="S4140" s="135"/>
      <c r="T4140" s="135"/>
      <c r="U4140" s="135"/>
      <c r="V4140" s="135"/>
      <c r="W4140" s="135"/>
      <c r="X4140" s="135"/>
      <c r="Y4140" s="135"/>
      <c r="Z4140" s="135"/>
    </row>
    <row r="4141" spans="1:26" ht="25.5">
      <c r="A4141" s="136" t="s">
        <v>11</v>
      </c>
      <c r="B4141" s="136" t="s">
        <v>7932</v>
      </c>
      <c r="C4141" s="136" t="s">
        <v>277</v>
      </c>
      <c r="D4141" s="136" t="s">
        <v>7936</v>
      </c>
      <c r="E4141" s="136" t="s">
        <v>594</v>
      </c>
      <c r="F4141" s="136">
        <v>43</v>
      </c>
      <c r="G4141" s="137">
        <f t="shared" si="16"/>
        <v>5</v>
      </c>
      <c r="H4141" s="137"/>
      <c r="I4141" s="137"/>
      <c r="J4141" s="135"/>
      <c r="K4141" s="135"/>
      <c r="L4141" s="135"/>
      <c r="M4141" s="135"/>
      <c r="N4141" s="135"/>
      <c r="O4141" s="135"/>
      <c r="P4141" s="135"/>
      <c r="Q4141" s="135"/>
      <c r="R4141" s="135"/>
      <c r="S4141" s="135"/>
      <c r="T4141" s="135"/>
      <c r="U4141" s="135"/>
      <c r="V4141" s="135"/>
      <c r="W4141" s="135"/>
      <c r="X4141" s="135"/>
      <c r="Y4141" s="135"/>
      <c r="Z4141" s="135"/>
    </row>
    <row r="4142" spans="1:26" ht="25.5">
      <c r="A4142" s="136" t="s">
        <v>11</v>
      </c>
      <c r="B4142" s="136" t="s">
        <v>7932</v>
      </c>
      <c r="C4142" s="136" t="s">
        <v>277</v>
      </c>
      <c r="D4142" s="136" t="s">
        <v>139</v>
      </c>
      <c r="E4142" s="136" t="s">
        <v>594</v>
      </c>
      <c r="F4142" s="136">
        <v>39</v>
      </c>
      <c r="G4142" s="137">
        <f t="shared" si="16"/>
        <v>6</v>
      </c>
      <c r="H4142" s="137"/>
      <c r="I4142" s="137"/>
      <c r="J4142" s="135"/>
      <c r="K4142" s="135"/>
      <c r="L4142" s="135"/>
      <c r="M4142" s="135"/>
      <c r="N4142" s="135"/>
      <c r="O4142" s="135"/>
      <c r="P4142" s="135"/>
      <c r="Q4142" s="135"/>
      <c r="R4142" s="135"/>
      <c r="S4142" s="135"/>
      <c r="T4142" s="135"/>
      <c r="U4142" s="135"/>
      <c r="V4142" s="135"/>
      <c r="W4142" s="135"/>
      <c r="X4142" s="135"/>
      <c r="Y4142" s="135"/>
      <c r="Z4142" s="135"/>
    </row>
    <row r="4143" spans="1:26" ht="25.5">
      <c r="A4143" s="136" t="s">
        <v>11</v>
      </c>
      <c r="B4143" s="136" t="s">
        <v>7932</v>
      </c>
      <c r="C4143" s="136" t="s">
        <v>277</v>
      </c>
      <c r="D4143" s="136" t="s">
        <v>120</v>
      </c>
      <c r="E4143" s="136" t="s">
        <v>615</v>
      </c>
      <c r="F4143" s="136">
        <v>32</v>
      </c>
      <c r="G4143" s="137">
        <f t="shared" si="16"/>
        <v>7</v>
      </c>
      <c r="H4143" s="137"/>
      <c r="I4143" s="137"/>
      <c r="J4143" s="135"/>
      <c r="K4143" s="135"/>
      <c r="L4143" s="135"/>
      <c r="M4143" s="135"/>
      <c r="N4143" s="135"/>
      <c r="O4143" s="135"/>
      <c r="P4143" s="135"/>
      <c r="Q4143" s="135"/>
      <c r="R4143" s="135"/>
      <c r="S4143" s="135"/>
      <c r="T4143" s="135"/>
      <c r="U4143" s="135"/>
      <c r="V4143" s="135"/>
      <c r="W4143" s="135"/>
      <c r="X4143" s="135"/>
      <c r="Y4143" s="135"/>
      <c r="Z4143" s="135"/>
    </row>
    <row r="4144" spans="1:26" ht="25.5">
      <c r="A4144" s="136" t="s">
        <v>11</v>
      </c>
      <c r="B4144" s="136" t="s">
        <v>7932</v>
      </c>
      <c r="C4144" s="136" t="s">
        <v>277</v>
      </c>
      <c r="D4144" s="136" t="s">
        <v>1626</v>
      </c>
      <c r="E4144" s="136" t="s">
        <v>594</v>
      </c>
      <c r="F4144" s="136">
        <v>22</v>
      </c>
      <c r="G4144" s="137">
        <f t="shared" si="16"/>
        <v>8</v>
      </c>
      <c r="H4144" s="137"/>
      <c r="I4144" s="137"/>
      <c r="J4144" s="135"/>
      <c r="K4144" s="135"/>
      <c r="L4144" s="135"/>
      <c r="M4144" s="135"/>
      <c r="N4144" s="135"/>
      <c r="O4144" s="135"/>
      <c r="P4144" s="135"/>
      <c r="Q4144" s="135"/>
      <c r="R4144" s="135"/>
      <c r="S4144" s="135"/>
      <c r="T4144" s="135"/>
      <c r="U4144" s="135"/>
      <c r="V4144" s="135"/>
      <c r="W4144" s="135"/>
      <c r="X4144" s="135"/>
      <c r="Y4144" s="135"/>
      <c r="Z4144" s="135"/>
    </row>
    <row r="4145" spans="1:26" ht="25.5">
      <c r="A4145" s="136" t="s">
        <v>11</v>
      </c>
      <c r="B4145" s="136" t="s">
        <v>7932</v>
      </c>
      <c r="C4145" s="136" t="s">
        <v>277</v>
      </c>
      <c r="D4145" s="136" t="s">
        <v>1665</v>
      </c>
      <c r="E4145" s="136" t="s">
        <v>615</v>
      </c>
      <c r="F4145" s="136">
        <v>10</v>
      </c>
      <c r="G4145" s="137">
        <f t="shared" si="16"/>
        <v>9</v>
      </c>
      <c r="H4145" s="137"/>
      <c r="I4145" s="137"/>
      <c r="J4145" s="135"/>
      <c r="K4145" s="135"/>
      <c r="L4145" s="135"/>
      <c r="M4145" s="135"/>
      <c r="N4145" s="135"/>
      <c r="O4145" s="135"/>
      <c r="P4145" s="135"/>
      <c r="Q4145" s="135"/>
      <c r="R4145" s="135"/>
      <c r="S4145" s="135"/>
      <c r="T4145" s="135"/>
      <c r="U4145" s="135"/>
      <c r="V4145" s="135"/>
      <c r="W4145" s="135"/>
      <c r="X4145" s="135"/>
      <c r="Y4145" s="135"/>
      <c r="Z4145" s="135"/>
    </row>
    <row r="4146" spans="1:26" ht="25.5">
      <c r="A4146" s="136" t="s">
        <v>11</v>
      </c>
      <c r="B4146" s="136" t="s">
        <v>7932</v>
      </c>
      <c r="C4146" s="136" t="s">
        <v>277</v>
      </c>
      <c r="D4146" s="136" t="s">
        <v>7657</v>
      </c>
      <c r="E4146" s="136" t="s">
        <v>85</v>
      </c>
      <c r="F4146" s="136">
        <v>2</v>
      </c>
      <c r="G4146" s="137">
        <f t="shared" si="16"/>
        <v>10</v>
      </c>
      <c r="H4146" s="137"/>
      <c r="I4146" s="137"/>
      <c r="J4146" s="135"/>
      <c r="K4146" s="135"/>
      <c r="L4146" s="135"/>
      <c r="M4146" s="135"/>
      <c r="N4146" s="135"/>
      <c r="O4146" s="135"/>
      <c r="P4146" s="135"/>
      <c r="Q4146" s="135"/>
      <c r="R4146" s="135"/>
      <c r="S4146" s="135"/>
      <c r="T4146" s="135"/>
      <c r="U4146" s="135"/>
      <c r="V4146" s="135"/>
      <c r="W4146" s="135"/>
      <c r="X4146" s="135"/>
      <c r="Y4146" s="135"/>
      <c r="Z4146" s="135"/>
    </row>
    <row r="4147" spans="1:26" ht="25.5">
      <c r="A4147" s="136" t="s">
        <v>11</v>
      </c>
      <c r="B4147" s="136" t="s">
        <v>7932</v>
      </c>
      <c r="C4147" s="136" t="s">
        <v>273</v>
      </c>
      <c r="D4147" s="136" t="s">
        <v>1669</v>
      </c>
      <c r="E4147" s="136" t="s">
        <v>615</v>
      </c>
      <c r="F4147" s="136">
        <v>689</v>
      </c>
      <c r="G4147" s="137">
        <f t="shared" si="16"/>
        <v>1</v>
      </c>
      <c r="H4147" s="137"/>
      <c r="I4147" s="137"/>
      <c r="J4147" s="135"/>
      <c r="K4147" s="135"/>
      <c r="L4147" s="135"/>
      <c r="M4147" s="135"/>
      <c r="N4147" s="135"/>
      <c r="O4147" s="135"/>
      <c r="P4147" s="135"/>
      <c r="Q4147" s="135"/>
      <c r="R4147" s="135"/>
      <c r="S4147" s="135"/>
      <c r="T4147" s="135"/>
      <c r="U4147" s="135"/>
      <c r="V4147" s="135"/>
      <c r="W4147" s="135"/>
      <c r="X4147" s="135"/>
      <c r="Y4147" s="135"/>
      <c r="Z4147" s="135"/>
    </row>
    <row r="4148" spans="1:26" ht="25.5">
      <c r="A4148" s="136" t="s">
        <v>11</v>
      </c>
      <c r="B4148" s="136" t="s">
        <v>7932</v>
      </c>
      <c r="C4148" s="136" t="s">
        <v>273</v>
      </c>
      <c r="D4148" s="136" t="s">
        <v>139</v>
      </c>
      <c r="E4148" s="136" t="s">
        <v>594</v>
      </c>
      <c r="F4148" s="136">
        <v>136</v>
      </c>
      <c r="G4148" s="137">
        <f t="shared" si="16"/>
        <v>2</v>
      </c>
      <c r="H4148" s="137"/>
      <c r="I4148" s="137"/>
      <c r="J4148" s="135"/>
      <c r="K4148" s="135"/>
      <c r="L4148" s="135"/>
      <c r="M4148" s="135"/>
      <c r="N4148" s="135"/>
      <c r="O4148" s="135"/>
      <c r="P4148" s="135"/>
      <c r="Q4148" s="135"/>
      <c r="R4148" s="135"/>
      <c r="S4148" s="135"/>
      <c r="T4148" s="135"/>
      <c r="U4148" s="135"/>
      <c r="V4148" s="135"/>
      <c r="W4148" s="135"/>
      <c r="X4148" s="135"/>
      <c r="Y4148" s="135"/>
      <c r="Z4148" s="135"/>
    </row>
    <row r="4149" spans="1:26" ht="25.5">
      <c r="A4149" s="136" t="s">
        <v>11</v>
      </c>
      <c r="B4149" s="136" t="s">
        <v>7932</v>
      </c>
      <c r="C4149" s="136" t="s">
        <v>273</v>
      </c>
      <c r="D4149" s="136" t="s">
        <v>7959</v>
      </c>
      <c r="E4149" s="136" t="s">
        <v>85</v>
      </c>
      <c r="F4149" s="136">
        <v>39</v>
      </c>
      <c r="G4149" s="137">
        <f t="shared" si="16"/>
        <v>3</v>
      </c>
      <c r="H4149" s="137"/>
      <c r="I4149" s="137"/>
      <c r="J4149" s="135"/>
      <c r="K4149" s="135"/>
      <c r="L4149" s="135"/>
      <c r="M4149" s="135"/>
      <c r="N4149" s="135"/>
      <c r="O4149" s="135"/>
      <c r="P4149" s="135"/>
      <c r="Q4149" s="135"/>
      <c r="R4149" s="135"/>
      <c r="S4149" s="135"/>
      <c r="T4149" s="135"/>
      <c r="U4149" s="135"/>
      <c r="V4149" s="135"/>
      <c r="W4149" s="135"/>
      <c r="X4149" s="135"/>
      <c r="Y4149" s="135"/>
      <c r="Z4149" s="135"/>
    </row>
    <row r="4150" spans="1:26" ht="25.5">
      <c r="A4150" s="136" t="s">
        <v>11</v>
      </c>
      <c r="B4150" s="136" t="s">
        <v>7932</v>
      </c>
      <c r="C4150" s="136" t="s">
        <v>273</v>
      </c>
      <c r="D4150" s="136" t="s">
        <v>1665</v>
      </c>
      <c r="E4150" s="136" t="s">
        <v>615</v>
      </c>
      <c r="F4150" s="136">
        <v>18</v>
      </c>
      <c r="G4150" s="137">
        <f t="shared" si="16"/>
        <v>4</v>
      </c>
      <c r="H4150" s="137"/>
      <c r="I4150" s="137"/>
      <c r="J4150" s="135"/>
      <c r="K4150" s="135"/>
      <c r="L4150" s="135"/>
      <c r="M4150" s="135"/>
      <c r="N4150" s="135"/>
      <c r="O4150" s="135"/>
      <c r="P4150" s="135"/>
      <c r="Q4150" s="135"/>
      <c r="R4150" s="135"/>
      <c r="S4150" s="135"/>
      <c r="T4150" s="135"/>
      <c r="U4150" s="135"/>
      <c r="V4150" s="135"/>
      <c r="W4150" s="135"/>
      <c r="X4150" s="135"/>
      <c r="Y4150" s="135"/>
      <c r="Z4150" s="135"/>
    </row>
    <row r="4151" spans="1:26" ht="25.5">
      <c r="A4151" s="136" t="s">
        <v>11</v>
      </c>
      <c r="B4151" s="136" t="s">
        <v>7932</v>
      </c>
      <c r="C4151" s="136" t="s">
        <v>273</v>
      </c>
      <c r="D4151" s="136" t="s">
        <v>7937</v>
      </c>
      <c r="E4151" s="136" t="s">
        <v>86</v>
      </c>
      <c r="F4151" s="136">
        <v>12</v>
      </c>
      <c r="G4151" s="137">
        <f t="shared" si="16"/>
        <v>5</v>
      </c>
      <c r="H4151" s="137"/>
      <c r="I4151" s="137"/>
      <c r="J4151" s="135"/>
      <c r="K4151" s="135"/>
      <c r="L4151" s="135"/>
      <c r="M4151" s="135"/>
      <c r="N4151" s="135"/>
      <c r="O4151" s="135"/>
      <c r="P4151" s="135"/>
      <c r="Q4151" s="135"/>
      <c r="R4151" s="135"/>
      <c r="S4151" s="135"/>
      <c r="T4151" s="135"/>
      <c r="U4151" s="135"/>
      <c r="V4151" s="135"/>
      <c r="W4151" s="135"/>
      <c r="X4151" s="135"/>
      <c r="Y4151" s="135"/>
      <c r="Z4151" s="135"/>
    </row>
    <row r="4152" spans="1:26" ht="25.5">
      <c r="A4152" s="136" t="s">
        <v>11</v>
      </c>
      <c r="B4152" s="136" t="s">
        <v>297</v>
      </c>
      <c r="C4152" s="136" t="s">
        <v>297</v>
      </c>
      <c r="D4152" s="136" t="s">
        <v>139</v>
      </c>
      <c r="E4152" s="136" t="s">
        <v>594</v>
      </c>
      <c r="F4152" s="136">
        <v>3345</v>
      </c>
      <c r="G4152" s="137">
        <f t="shared" si="16"/>
        <v>1</v>
      </c>
      <c r="H4152" s="137"/>
      <c r="I4152" s="137"/>
      <c r="J4152" s="135"/>
      <c r="K4152" s="135"/>
      <c r="L4152" s="135"/>
      <c r="M4152" s="135"/>
      <c r="N4152" s="135"/>
      <c r="O4152" s="135"/>
      <c r="P4152" s="135"/>
      <c r="Q4152" s="135"/>
      <c r="R4152" s="135"/>
      <c r="S4152" s="135"/>
      <c r="T4152" s="135"/>
      <c r="U4152" s="135"/>
      <c r="V4152" s="135"/>
      <c r="W4152" s="135"/>
      <c r="X4152" s="135"/>
      <c r="Y4152" s="135"/>
      <c r="Z4152" s="135"/>
    </row>
    <row r="4153" spans="1:26" ht="25.5">
      <c r="A4153" s="136" t="s">
        <v>11</v>
      </c>
      <c r="B4153" s="136" t="s">
        <v>297</v>
      </c>
      <c r="C4153" s="136" t="s">
        <v>297</v>
      </c>
      <c r="D4153" s="136" t="s">
        <v>1669</v>
      </c>
      <c r="E4153" s="136" t="s">
        <v>615</v>
      </c>
      <c r="F4153" s="136">
        <v>1121</v>
      </c>
      <c r="G4153" s="137">
        <f t="shared" si="16"/>
        <v>2</v>
      </c>
      <c r="H4153" s="137"/>
      <c r="I4153" s="137"/>
      <c r="J4153" s="135"/>
      <c r="K4153" s="135"/>
      <c r="L4153" s="135"/>
      <c r="M4153" s="135"/>
      <c r="N4153" s="135"/>
      <c r="O4153" s="135"/>
      <c r="P4153" s="135"/>
      <c r="Q4153" s="135"/>
      <c r="R4153" s="135"/>
      <c r="S4153" s="135"/>
      <c r="T4153" s="135"/>
      <c r="U4153" s="135"/>
      <c r="V4153" s="135"/>
      <c r="W4153" s="135"/>
      <c r="X4153" s="135"/>
      <c r="Y4153" s="135"/>
      <c r="Z4153" s="135"/>
    </row>
    <row r="4154" spans="1:26" ht="25.5">
      <c r="A4154" s="136" t="s">
        <v>11</v>
      </c>
      <c r="B4154" s="136" t="s">
        <v>297</v>
      </c>
      <c r="C4154" s="136" t="s">
        <v>297</v>
      </c>
      <c r="D4154" s="136" t="s">
        <v>7878</v>
      </c>
      <c r="E4154" s="136" t="s">
        <v>85</v>
      </c>
      <c r="F4154" s="136">
        <v>678</v>
      </c>
      <c r="G4154" s="137">
        <f t="shared" si="16"/>
        <v>3</v>
      </c>
      <c r="H4154" s="137"/>
      <c r="I4154" s="137"/>
      <c r="J4154" s="135"/>
      <c r="K4154" s="135"/>
      <c r="L4154" s="135"/>
      <c r="M4154" s="135"/>
      <c r="N4154" s="135"/>
      <c r="O4154" s="135"/>
      <c r="P4154" s="135"/>
      <c r="Q4154" s="135"/>
      <c r="R4154" s="135"/>
      <c r="S4154" s="135"/>
      <c r="T4154" s="135"/>
      <c r="U4154" s="135"/>
      <c r="V4154" s="135"/>
      <c r="W4154" s="135"/>
      <c r="X4154" s="135"/>
      <c r="Y4154" s="135"/>
      <c r="Z4154" s="135"/>
    </row>
    <row r="4155" spans="1:26" ht="25.5">
      <c r="A4155" s="136" t="s">
        <v>11</v>
      </c>
      <c r="B4155" s="136" t="s">
        <v>297</v>
      </c>
      <c r="C4155" s="136" t="s">
        <v>297</v>
      </c>
      <c r="D4155" s="136" t="s">
        <v>368</v>
      </c>
      <c r="E4155" s="136" t="s">
        <v>594</v>
      </c>
      <c r="F4155" s="136">
        <v>242</v>
      </c>
      <c r="G4155" s="137">
        <f t="shared" si="16"/>
        <v>4</v>
      </c>
      <c r="H4155" s="137"/>
      <c r="I4155" s="137"/>
      <c r="J4155" s="135"/>
      <c r="K4155" s="135"/>
      <c r="L4155" s="135"/>
      <c r="M4155" s="135"/>
      <c r="N4155" s="135"/>
      <c r="O4155" s="135"/>
      <c r="P4155" s="135"/>
      <c r="Q4155" s="135"/>
      <c r="R4155" s="135"/>
      <c r="S4155" s="135"/>
      <c r="T4155" s="135"/>
      <c r="U4155" s="135"/>
      <c r="V4155" s="135"/>
      <c r="W4155" s="135"/>
      <c r="X4155" s="135"/>
      <c r="Y4155" s="135"/>
      <c r="Z4155" s="135"/>
    </row>
    <row r="4156" spans="1:26" ht="25.5">
      <c r="A4156" s="136" t="s">
        <v>11</v>
      </c>
      <c r="B4156" s="136" t="s">
        <v>297</v>
      </c>
      <c r="C4156" s="136" t="s">
        <v>297</v>
      </c>
      <c r="D4156" s="136" t="s">
        <v>1626</v>
      </c>
      <c r="E4156" s="136" t="s">
        <v>594</v>
      </c>
      <c r="F4156" s="136">
        <v>236</v>
      </c>
      <c r="G4156" s="137">
        <f t="shared" si="16"/>
        <v>5</v>
      </c>
      <c r="H4156" s="137"/>
      <c r="I4156" s="137"/>
      <c r="J4156" s="135"/>
      <c r="K4156" s="135"/>
      <c r="L4156" s="135"/>
      <c r="M4156" s="135"/>
      <c r="N4156" s="135"/>
      <c r="O4156" s="135"/>
      <c r="P4156" s="135"/>
      <c r="Q4156" s="135"/>
      <c r="R4156" s="135"/>
      <c r="S4156" s="135"/>
      <c r="T4156" s="135"/>
      <c r="U4156" s="135"/>
      <c r="V4156" s="135"/>
      <c r="W4156" s="135"/>
      <c r="X4156" s="135"/>
      <c r="Y4156" s="135"/>
      <c r="Z4156" s="135"/>
    </row>
    <row r="4157" spans="1:26" ht="25.5">
      <c r="A4157" s="136" t="s">
        <v>11</v>
      </c>
      <c r="B4157" s="136" t="s">
        <v>297</v>
      </c>
      <c r="C4157" s="136" t="s">
        <v>297</v>
      </c>
      <c r="D4157" s="136" t="s">
        <v>1665</v>
      </c>
      <c r="E4157" s="136" t="s">
        <v>615</v>
      </c>
      <c r="F4157" s="136">
        <v>235</v>
      </c>
      <c r="G4157" s="137">
        <f t="shared" si="16"/>
        <v>6</v>
      </c>
      <c r="H4157" s="137"/>
      <c r="I4157" s="137"/>
      <c r="J4157" s="135"/>
      <c r="K4157" s="135"/>
      <c r="L4157" s="135"/>
      <c r="M4157" s="135"/>
      <c r="N4157" s="135"/>
      <c r="O4157" s="135"/>
      <c r="P4157" s="135"/>
      <c r="Q4157" s="135"/>
      <c r="R4157" s="135"/>
      <c r="S4157" s="135"/>
      <c r="T4157" s="135"/>
      <c r="U4157" s="135"/>
      <c r="V4157" s="135"/>
      <c r="W4157" s="135"/>
      <c r="X4157" s="135"/>
      <c r="Y4157" s="135"/>
      <c r="Z4157" s="135"/>
    </row>
    <row r="4158" spans="1:26" ht="25.5">
      <c r="A4158" s="136" t="s">
        <v>11</v>
      </c>
      <c r="B4158" s="136" t="s">
        <v>297</v>
      </c>
      <c r="C4158" s="136" t="s">
        <v>297</v>
      </c>
      <c r="D4158" s="136" t="s">
        <v>7960</v>
      </c>
      <c r="E4158" s="136" t="s">
        <v>615</v>
      </c>
      <c r="F4158" s="136">
        <v>212</v>
      </c>
      <c r="G4158" s="137">
        <f t="shared" si="16"/>
        <v>7</v>
      </c>
      <c r="H4158" s="137"/>
      <c r="I4158" s="137"/>
      <c r="J4158" s="135"/>
      <c r="K4158" s="135"/>
      <c r="L4158" s="135"/>
      <c r="M4158" s="135"/>
      <c r="N4158" s="135"/>
      <c r="O4158" s="135"/>
      <c r="P4158" s="135"/>
      <c r="Q4158" s="135"/>
      <c r="R4158" s="135"/>
      <c r="S4158" s="135"/>
      <c r="T4158" s="135"/>
      <c r="U4158" s="135"/>
      <c r="V4158" s="135"/>
      <c r="W4158" s="135"/>
      <c r="X4158" s="135"/>
      <c r="Y4158" s="135"/>
      <c r="Z4158" s="135"/>
    </row>
    <row r="4159" spans="1:26" ht="25.5">
      <c r="A4159" s="136" t="s">
        <v>11</v>
      </c>
      <c r="B4159" s="136" t="s">
        <v>297</v>
      </c>
      <c r="C4159" s="136" t="s">
        <v>297</v>
      </c>
      <c r="D4159" s="136" t="s">
        <v>7657</v>
      </c>
      <c r="E4159" s="136" t="s">
        <v>85</v>
      </c>
      <c r="F4159" s="136">
        <v>139</v>
      </c>
      <c r="G4159" s="137">
        <f t="shared" si="16"/>
        <v>8</v>
      </c>
      <c r="H4159" s="137"/>
      <c r="I4159" s="137"/>
      <c r="J4159" s="135"/>
      <c r="K4159" s="135"/>
      <c r="L4159" s="135"/>
      <c r="M4159" s="135"/>
      <c r="N4159" s="135"/>
      <c r="O4159" s="135"/>
      <c r="P4159" s="135"/>
      <c r="Q4159" s="135"/>
      <c r="R4159" s="135"/>
      <c r="S4159" s="135"/>
      <c r="T4159" s="135"/>
      <c r="U4159" s="135"/>
      <c r="V4159" s="135"/>
      <c r="W4159" s="135"/>
      <c r="X4159" s="135"/>
      <c r="Y4159" s="135"/>
      <c r="Z4159" s="135"/>
    </row>
    <row r="4160" spans="1:26" ht="25.5">
      <c r="A4160" s="136" t="s">
        <v>11</v>
      </c>
      <c r="B4160" s="136" t="s">
        <v>297</v>
      </c>
      <c r="C4160" s="136" t="s">
        <v>297</v>
      </c>
      <c r="D4160" s="136" t="s">
        <v>1659</v>
      </c>
      <c r="E4160" s="136" t="s">
        <v>615</v>
      </c>
      <c r="F4160" s="136">
        <v>131</v>
      </c>
      <c r="G4160" s="137">
        <f t="shared" si="16"/>
        <v>9</v>
      </c>
      <c r="H4160" s="137"/>
      <c r="I4160" s="137"/>
      <c r="J4160" s="135"/>
      <c r="K4160" s="135"/>
      <c r="L4160" s="135"/>
      <c r="M4160" s="135"/>
      <c r="N4160" s="135"/>
      <c r="O4160" s="135"/>
      <c r="P4160" s="135"/>
      <c r="Q4160" s="135"/>
      <c r="R4160" s="135"/>
      <c r="S4160" s="135"/>
      <c r="T4160" s="135"/>
      <c r="U4160" s="135"/>
      <c r="V4160" s="135"/>
      <c r="W4160" s="135"/>
      <c r="X4160" s="135"/>
      <c r="Y4160" s="135"/>
      <c r="Z4160" s="135"/>
    </row>
    <row r="4161" spans="1:26" ht="25.5">
      <c r="A4161" s="136" t="s">
        <v>11</v>
      </c>
      <c r="B4161" s="136" t="s">
        <v>297</v>
      </c>
      <c r="C4161" s="136" t="s">
        <v>297</v>
      </c>
      <c r="D4161" s="136" t="s">
        <v>1680</v>
      </c>
      <c r="E4161" s="136" t="s">
        <v>615</v>
      </c>
      <c r="F4161" s="136">
        <v>111</v>
      </c>
      <c r="G4161" s="137">
        <f t="shared" si="16"/>
        <v>10</v>
      </c>
      <c r="H4161" s="137"/>
      <c r="I4161" s="137"/>
      <c r="J4161" s="135"/>
      <c r="K4161" s="135"/>
      <c r="L4161" s="135"/>
      <c r="M4161" s="135"/>
      <c r="N4161" s="135"/>
      <c r="O4161" s="135"/>
      <c r="P4161" s="135"/>
      <c r="Q4161" s="135"/>
      <c r="R4161" s="135"/>
      <c r="S4161" s="135"/>
      <c r="T4161" s="135"/>
      <c r="U4161" s="135"/>
      <c r="V4161" s="135"/>
      <c r="W4161" s="135"/>
      <c r="X4161" s="135"/>
      <c r="Y4161" s="135"/>
      <c r="Z4161" s="135"/>
    </row>
    <row r="4162" spans="1:26" ht="25.5">
      <c r="A4162" s="136" t="s">
        <v>11</v>
      </c>
      <c r="B4162" s="136" t="s">
        <v>297</v>
      </c>
      <c r="C4162" s="136" t="s">
        <v>297</v>
      </c>
      <c r="D4162" s="136" t="s">
        <v>437</v>
      </c>
      <c r="E4162" s="136" t="s">
        <v>594</v>
      </c>
      <c r="F4162" s="136">
        <v>97</v>
      </c>
      <c r="G4162" s="137">
        <f t="shared" si="16"/>
        <v>11</v>
      </c>
      <c r="H4162" s="137"/>
      <c r="I4162" s="137"/>
      <c r="J4162" s="135"/>
      <c r="K4162" s="135"/>
      <c r="L4162" s="135"/>
      <c r="M4162" s="135"/>
      <c r="N4162" s="135"/>
      <c r="O4162" s="135"/>
      <c r="P4162" s="135"/>
      <c r="Q4162" s="135"/>
      <c r="R4162" s="135"/>
      <c r="S4162" s="135"/>
      <c r="T4162" s="135"/>
      <c r="U4162" s="135"/>
      <c r="V4162" s="135"/>
      <c r="W4162" s="135"/>
      <c r="X4162" s="135"/>
      <c r="Y4162" s="135"/>
      <c r="Z4162" s="135"/>
    </row>
    <row r="4163" spans="1:26" ht="25.5">
      <c r="A4163" s="136" t="s">
        <v>11</v>
      </c>
      <c r="B4163" s="136" t="s">
        <v>297</v>
      </c>
      <c r="C4163" s="136" t="s">
        <v>297</v>
      </c>
      <c r="D4163" s="136" t="s">
        <v>136</v>
      </c>
      <c r="E4163" s="136" t="s">
        <v>615</v>
      </c>
      <c r="F4163" s="136">
        <v>96</v>
      </c>
      <c r="G4163" s="137">
        <f t="shared" si="16"/>
        <v>12</v>
      </c>
      <c r="H4163" s="137"/>
      <c r="I4163" s="137"/>
      <c r="J4163" s="135"/>
      <c r="K4163" s="135"/>
      <c r="L4163" s="135"/>
      <c r="M4163" s="135"/>
      <c r="N4163" s="135"/>
      <c r="O4163" s="135"/>
      <c r="P4163" s="135"/>
      <c r="Q4163" s="135"/>
      <c r="R4163" s="135"/>
      <c r="S4163" s="135"/>
      <c r="T4163" s="135"/>
      <c r="U4163" s="135"/>
      <c r="V4163" s="135"/>
      <c r="W4163" s="135"/>
      <c r="X4163" s="135"/>
      <c r="Y4163" s="135"/>
      <c r="Z4163" s="135"/>
    </row>
    <row r="4164" spans="1:26" ht="25.5">
      <c r="A4164" s="136" t="s">
        <v>11</v>
      </c>
      <c r="B4164" s="136" t="s">
        <v>297</v>
      </c>
      <c r="C4164" s="136" t="s">
        <v>297</v>
      </c>
      <c r="D4164" s="136" t="s">
        <v>165</v>
      </c>
      <c r="E4164" s="136" t="s">
        <v>615</v>
      </c>
      <c r="F4164" s="136">
        <v>96</v>
      </c>
      <c r="G4164" s="137">
        <f t="shared" si="16"/>
        <v>13</v>
      </c>
      <c r="H4164" s="137"/>
      <c r="I4164" s="137"/>
      <c r="J4164" s="135"/>
      <c r="K4164" s="135"/>
      <c r="L4164" s="135"/>
      <c r="M4164" s="135"/>
      <c r="N4164" s="135"/>
      <c r="O4164" s="135"/>
      <c r="P4164" s="135"/>
      <c r="Q4164" s="135"/>
      <c r="R4164" s="135"/>
      <c r="S4164" s="135"/>
      <c r="T4164" s="135"/>
      <c r="U4164" s="135"/>
      <c r="V4164" s="135"/>
      <c r="W4164" s="135"/>
      <c r="X4164" s="135"/>
      <c r="Y4164" s="135"/>
      <c r="Z4164" s="135"/>
    </row>
    <row r="4165" spans="1:26" ht="25.5">
      <c r="A4165" s="136" t="s">
        <v>11</v>
      </c>
      <c r="B4165" s="136" t="s">
        <v>297</v>
      </c>
      <c r="C4165" s="136" t="s">
        <v>297</v>
      </c>
      <c r="D4165" s="136" t="s">
        <v>103</v>
      </c>
      <c r="E4165" s="136" t="s">
        <v>594</v>
      </c>
      <c r="F4165" s="136">
        <v>75</v>
      </c>
      <c r="G4165" s="137">
        <f t="shared" si="16"/>
        <v>14</v>
      </c>
      <c r="H4165" s="137"/>
      <c r="I4165" s="137"/>
      <c r="J4165" s="135"/>
      <c r="K4165" s="135"/>
      <c r="L4165" s="135"/>
      <c r="M4165" s="135"/>
      <c r="N4165" s="135"/>
      <c r="O4165" s="135"/>
      <c r="P4165" s="135"/>
      <c r="Q4165" s="135"/>
      <c r="R4165" s="135"/>
      <c r="S4165" s="135"/>
      <c r="T4165" s="135"/>
      <c r="U4165" s="135"/>
      <c r="V4165" s="135"/>
      <c r="W4165" s="135"/>
      <c r="X4165" s="135"/>
      <c r="Y4165" s="135"/>
      <c r="Z4165" s="135"/>
    </row>
    <row r="4166" spans="1:26" ht="25.5">
      <c r="A4166" s="136" t="s">
        <v>11</v>
      </c>
      <c r="B4166" s="136" t="s">
        <v>297</v>
      </c>
      <c r="C4166" s="136" t="s">
        <v>297</v>
      </c>
      <c r="D4166" s="136" t="s">
        <v>7937</v>
      </c>
      <c r="E4166" s="136" t="s">
        <v>86</v>
      </c>
      <c r="F4166" s="136">
        <v>74</v>
      </c>
      <c r="G4166" s="137">
        <f t="shared" si="16"/>
        <v>15</v>
      </c>
      <c r="H4166" s="137"/>
      <c r="I4166" s="137"/>
      <c r="J4166" s="135"/>
      <c r="K4166" s="135"/>
      <c r="L4166" s="135"/>
      <c r="M4166" s="135"/>
      <c r="N4166" s="135"/>
      <c r="O4166" s="135"/>
      <c r="P4166" s="135"/>
      <c r="Q4166" s="135"/>
      <c r="R4166" s="135"/>
      <c r="S4166" s="135"/>
      <c r="T4166" s="135"/>
      <c r="U4166" s="135"/>
      <c r="V4166" s="135"/>
      <c r="W4166" s="135"/>
      <c r="X4166" s="135"/>
      <c r="Y4166" s="135"/>
      <c r="Z4166" s="135"/>
    </row>
    <row r="4167" spans="1:26" ht="25.5">
      <c r="A4167" s="136" t="s">
        <v>11</v>
      </c>
      <c r="B4167" s="136" t="s">
        <v>297</v>
      </c>
      <c r="C4167" s="136" t="s">
        <v>297</v>
      </c>
      <c r="D4167" s="136" t="s">
        <v>1686</v>
      </c>
      <c r="E4167" s="136" t="s">
        <v>615</v>
      </c>
      <c r="F4167" s="136">
        <v>48</v>
      </c>
      <c r="G4167" s="137">
        <f t="shared" si="16"/>
        <v>16</v>
      </c>
      <c r="H4167" s="137"/>
      <c r="I4167" s="137"/>
      <c r="J4167" s="135"/>
      <c r="K4167" s="135"/>
      <c r="L4167" s="135"/>
      <c r="M4167" s="135"/>
      <c r="N4167" s="135"/>
      <c r="O4167" s="135"/>
      <c r="P4167" s="135"/>
      <c r="Q4167" s="135"/>
      <c r="R4167" s="135"/>
      <c r="S4167" s="135"/>
      <c r="T4167" s="135"/>
      <c r="U4167" s="135"/>
      <c r="V4167" s="135"/>
      <c r="W4167" s="135"/>
      <c r="X4167" s="135"/>
      <c r="Y4167" s="135"/>
      <c r="Z4167" s="135"/>
    </row>
    <row r="4168" spans="1:26" ht="25.5">
      <c r="A4168" s="136" t="s">
        <v>11</v>
      </c>
      <c r="B4168" s="136" t="s">
        <v>297</v>
      </c>
      <c r="C4168" s="136" t="s">
        <v>297</v>
      </c>
      <c r="D4168" s="136" t="s">
        <v>1667</v>
      </c>
      <c r="E4168" s="136" t="s">
        <v>615</v>
      </c>
      <c r="F4168" s="136">
        <v>47</v>
      </c>
      <c r="G4168" s="137">
        <f t="shared" si="16"/>
        <v>17</v>
      </c>
      <c r="H4168" s="137"/>
      <c r="I4168" s="137"/>
      <c r="J4168" s="135"/>
      <c r="K4168" s="135"/>
      <c r="L4168" s="135"/>
      <c r="M4168" s="135"/>
      <c r="N4168" s="135"/>
      <c r="O4168" s="135"/>
      <c r="P4168" s="135"/>
      <c r="Q4168" s="135"/>
      <c r="R4168" s="135"/>
      <c r="S4168" s="135"/>
      <c r="T4168" s="135"/>
      <c r="U4168" s="135"/>
      <c r="V4168" s="135"/>
      <c r="W4168" s="135"/>
      <c r="X4168" s="135"/>
      <c r="Y4168" s="135"/>
      <c r="Z4168" s="135"/>
    </row>
    <row r="4169" spans="1:26" ht="25.5">
      <c r="A4169" s="136" t="s">
        <v>11</v>
      </c>
      <c r="B4169" s="136" t="s">
        <v>297</v>
      </c>
      <c r="C4169" s="136" t="s">
        <v>297</v>
      </c>
      <c r="D4169" s="136" t="s">
        <v>1639</v>
      </c>
      <c r="E4169" s="136" t="s">
        <v>615</v>
      </c>
      <c r="F4169" s="136">
        <v>43</v>
      </c>
      <c r="G4169" s="137">
        <f t="shared" si="16"/>
        <v>18</v>
      </c>
      <c r="H4169" s="137"/>
      <c r="I4169" s="137"/>
      <c r="J4169" s="135"/>
      <c r="K4169" s="135"/>
      <c r="L4169" s="135"/>
      <c r="M4169" s="135"/>
      <c r="N4169" s="135"/>
      <c r="O4169" s="135"/>
      <c r="P4169" s="135"/>
      <c r="Q4169" s="135"/>
      <c r="R4169" s="135"/>
      <c r="S4169" s="135"/>
      <c r="T4169" s="135"/>
      <c r="U4169" s="135"/>
      <c r="V4169" s="135"/>
      <c r="W4169" s="135"/>
      <c r="X4169" s="135"/>
      <c r="Y4169" s="135"/>
      <c r="Z4169" s="135"/>
    </row>
    <row r="4170" spans="1:26" ht="25.5">
      <c r="A4170" s="136" t="s">
        <v>11</v>
      </c>
      <c r="B4170" s="136" t="s">
        <v>297</v>
      </c>
      <c r="C4170" s="136" t="s">
        <v>297</v>
      </c>
      <c r="D4170" s="136" t="s">
        <v>7933</v>
      </c>
      <c r="E4170" s="136" t="s">
        <v>615</v>
      </c>
      <c r="F4170" s="136">
        <v>33</v>
      </c>
      <c r="G4170" s="137">
        <f t="shared" si="16"/>
        <v>19</v>
      </c>
      <c r="H4170" s="137"/>
      <c r="I4170" s="137"/>
      <c r="J4170" s="135"/>
      <c r="K4170" s="135"/>
      <c r="L4170" s="135"/>
      <c r="M4170" s="135"/>
      <c r="N4170" s="135"/>
      <c r="O4170" s="135"/>
      <c r="P4170" s="135"/>
      <c r="Q4170" s="135"/>
      <c r="R4170" s="135"/>
      <c r="S4170" s="135"/>
      <c r="T4170" s="135"/>
      <c r="U4170" s="135"/>
      <c r="V4170" s="135"/>
      <c r="W4170" s="135"/>
      <c r="X4170" s="135"/>
      <c r="Y4170" s="135"/>
      <c r="Z4170" s="135"/>
    </row>
    <row r="4171" spans="1:26" ht="25.5">
      <c r="A4171" s="136" t="s">
        <v>11</v>
      </c>
      <c r="B4171" s="136" t="s">
        <v>297</v>
      </c>
      <c r="C4171" s="136" t="s">
        <v>297</v>
      </c>
      <c r="D4171" s="136" t="s">
        <v>7950</v>
      </c>
      <c r="E4171" s="136" t="s">
        <v>615</v>
      </c>
      <c r="F4171" s="136">
        <v>31</v>
      </c>
      <c r="G4171" s="137">
        <f t="shared" si="16"/>
        <v>20</v>
      </c>
      <c r="H4171" s="137"/>
      <c r="I4171" s="137"/>
      <c r="J4171" s="135"/>
      <c r="K4171" s="135"/>
      <c r="L4171" s="135"/>
      <c r="M4171" s="135"/>
      <c r="N4171" s="135"/>
      <c r="O4171" s="135"/>
      <c r="P4171" s="135"/>
      <c r="Q4171" s="135"/>
      <c r="R4171" s="135"/>
      <c r="S4171" s="135"/>
      <c r="T4171" s="135"/>
      <c r="U4171" s="135"/>
      <c r="V4171" s="135"/>
      <c r="W4171" s="135"/>
      <c r="X4171" s="135"/>
      <c r="Y4171" s="135"/>
      <c r="Z4171" s="135"/>
    </row>
    <row r="4172" spans="1:26" ht="25.5">
      <c r="A4172" s="136" t="s">
        <v>11</v>
      </c>
      <c r="B4172" s="136" t="s">
        <v>297</v>
      </c>
      <c r="C4172" s="136" t="s">
        <v>297</v>
      </c>
      <c r="D4172" s="136" t="s">
        <v>7961</v>
      </c>
      <c r="E4172" s="136" t="s">
        <v>85</v>
      </c>
      <c r="F4172" s="136">
        <v>15</v>
      </c>
      <c r="G4172" s="137">
        <f t="shared" si="16"/>
        <v>21</v>
      </c>
      <c r="H4172" s="137"/>
      <c r="I4172" s="137"/>
      <c r="J4172" s="135"/>
      <c r="K4172" s="135"/>
      <c r="L4172" s="135"/>
      <c r="M4172" s="135"/>
      <c r="N4172" s="135"/>
      <c r="O4172" s="135"/>
      <c r="P4172" s="135"/>
      <c r="Q4172" s="135"/>
      <c r="R4172" s="135"/>
      <c r="S4172" s="135"/>
      <c r="T4172" s="135"/>
      <c r="U4172" s="135"/>
      <c r="V4172" s="135"/>
      <c r="W4172" s="135"/>
      <c r="X4172" s="135"/>
      <c r="Y4172" s="135"/>
      <c r="Z4172" s="135"/>
    </row>
    <row r="4173" spans="1:26" ht="25.5">
      <c r="A4173" s="136" t="s">
        <v>11</v>
      </c>
      <c r="B4173" s="136" t="s">
        <v>297</v>
      </c>
      <c r="C4173" s="136" t="s">
        <v>297</v>
      </c>
      <c r="D4173" s="136" t="s">
        <v>120</v>
      </c>
      <c r="E4173" s="136" t="s">
        <v>615</v>
      </c>
      <c r="F4173" s="136">
        <v>12</v>
      </c>
      <c r="G4173" s="137">
        <f t="shared" si="16"/>
        <v>22</v>
      </c>
      <c r="H4173" s="137"/>
      <c r="I4173" s="137"/>
      <c r="J4173" s="135"/>
      <c r="K4173" s="135"/>
      <c r="L4173" s="135"/>
      <c r="M4173" s="135"/>
      <c r="N4173" s="135"/>
      <c r="O4173" s="135"/>
      <c r="P4173" s="135"/>
      <c r="Q4173" s="135"/>
      <c r="R4173" s="135"/>
      <c r="S4173" s="135"/>
      <c r="T4173" s="135"/>
      <c r="U4173" s="135"/>
      <c r="V4173" s="135"/>
      <c r="W4173" s="135"/>
      <c r="X4173" s="135"/>
      <c r="Y4173" s="135"/>
      <c r="Z4173" s="135"/>
    </row>
    <row r="4174" spans="1:26" ht="25.5">
      <c r="A4174" s="136" t="s">
        <v>11</v>
      </c>
      <c r="B4174" s="136" t="s">
        <v>297</v>
      </c>
      <c r="C4174" s="136" t="s">
        <v>303</v>
      </c>
      <c r="D4174" s="136" t="s">
        <v>139</v>
      </c>
      <c r="E4174" s="136" t="s">
        <v>594</v>
      </c>
      <c r="F4174" s="136">
        <v>1786</v>
      </c>
      <c r="G4174" s="137">
        <f t="shared" si="16"/>
        <v>1</v>
      </c>
      <c r="H4174" s="137"/>
      <c r="I4174" s="137"/>
      <c r="J4174" s="135"/>
      <c r="K4174" s="135"/>
      <c r="L4174" s="135"/>
      <c r="M4174" s="135"/>
      <c r="N4174" s="135"/>
      <c r="O4174" s="135"/>
      <c r="P4174" s="135"/>
      <c r="Q4174" s="135"/>
      <c r="R4174" s="135"/>
      <c r="S4174" s="135"/>
      <c r="T4174" s="135"/>
      <c r="U4174" s="135"/>
      <c r="V4174" s="135"/>
      <c r="W4174" s="135"/>
      <c r="X4174" s="135"/>
      <c r="Y4174" s="135"/>
      <c r="Z4174" s="135"/>
    </row>
    <row r="4175" spans="1:26" ht="25.5">
      <c r="A4175" s="136" t="s">
        <v>11</v>
      </c>
      <c r="B4175" s="136" t="s">
        <v>297</v>
      </c>
      <c r="C4175" s="136" t="s">
        <v>303</v>
      </c>
      <c r="D4175" s="136" t="s">
        <v>1669</v>
      </c>
      <c r="E4175" s="136" t="s">
        <v>615</v>
      </c>
      <c r="F4175" s="136">
        <v>932</v>
      </c>
      <c r="G4175" s="137">
        <f t="shared" si="16"/>
        <v>2</v>
      </c>
      <c r="H4175" s="137"/>
      <c r="I4175" s="137"/>
      <c r="J4175" s="135"/>
      <c r="K4175" s="135"/>
      <c r="L4175" s="135"/>
      <c r="M4175" s="135"/>
      <c r="N4175" s="135"/>
      <c r="O4175" s="135"/>
      <c r="P4175" s="135"/>
      <c r="Q4175" s="135"/>
      <c r="R4175" s="135"/>
      <c r="S4175" s="135"/>
      <c r="T4175" s="135"/>
      <c r="U4175" s="135"/>
      <c r="V4175" s="135"/>
      <c r="W4175" s="135"/>
      <c r="X4175" s="135"/>
      <c r="Y4175" s="135"/>
      <c r="Z4175" s="135"/>
    </row>
    <row r="4176" spans="1:26" ht="25.5">
      <c r="A4176" s="136" t="s">
        <v>11</v>
      </c>
      <c r="B4176" s="136" t="s">
        <v>297</v>
      </c>
      <c r="C4176" s="136" t="s">
        <v>303</v>
      </c>
      <c r="D4176" s="136" t="s">
        <v>1687</v>
      </c>
      <c r="E4176" s="136" t="s">
        <v>615</v>
      </c>
      <c r="F4176" s="136">
        <v>442</v>
      </c>
      <c r="G4176" s="137">
        <f t="shared" si="16"/>
        <v>3</v>
      </c>
      <c r="H4176" s="137"/>
      <c r="I4176" s="137"/>
      <c r="J4176" s="135"/>
      <c r="K4176" s="135"/>
      <c r="L4176" s="135"/>
      <c r="M4176" s="135"/>
      <c r="N4176" s="135"/>
      <c r="O4176" s="135"/>
      <c r="P4176" s="135"/>
      <c r="Q4176" s="135"/>
      <c r="R4176" s="135"/>
      <c r="S4176" s="135"/>
      <c r="T4176" s="135"/>
      <c r="U4176" s="135"/>
      <c r="V4176" s="135"/>
      <c r="W4176" s="135"/>
      <c r="X4176" s="135"/>
      <c r="Y4176" s="135"/>
      <c r="Z4176" s="135"/>
    </row>
    <row r="4177" spans="1:26" ht="25.5">
      <c r="A4177" s="136" t="s">
        <v>11</v>
      </c>
      <c r="B4177" s="136" t="s">
        <v>297</v>
      </c>
      <c r="C4177" s="136" t="s">
        <v>303</v>
      </c>
      <c r="D4177" s="136" t="s">
        <v>7878</v>
      </c>
      <c r="E4177" s="136" t="s">
        <v>85</v>
      </c>
      <c r="F4177" s="136">
        <v>335</v>
      </c>
      <c r="G4177" s="137">
        <f t="shared" si="16"/>
        <v>4</v>
      </c>
      <c r="H4177" s="137"/>
      <c r="I4177" s="137"/>
      <c r="J4177" s="135"/>
      <c r="K4177" s="135"/>
      <c r="L4177" s="135"/>
      <c r="M4177" s="135"/>
      <c r="N4177" s="135"/>
      <c r="O4177" s="135"/>
      <c r="P4177" s="135"/>
      <c r="Q4177" s="135"/>
      <c r="R4177" s="135"/>
      <c r="S4177" s="135"/>
      <c r="T4177" s="135"/>
      <c r="U4177" s="135"/>
      <c r="V4177" s="135"/>
      <c r="W4177" s="135"/>
      <c r="X4177" s="135"/>
      <c r="Y4177" s="135"/>
      <c r="Z4177" s="135"/>
    </row>
    <row r="4178" spans="1:26" ht="25.5">
      <c r="A4178" s="136" t="s">
        <v>11</v>
      </c>
      <c r="B4178" s="136" t="s">
        <v>297</v>
      </c>
      <c r="C4178" s="136" t="s">
        <v>303</v>
      </c>
      <c r="D4178" s="136" t="s">
        <v>136</v>
      </c>
      <c r="E4178" s="136" t="s">
        <v>615</v>
      </c>
      <c r="F4178" s="136">
        <v>310</v>
      </c>
      <c r="G4178" s="137">
        <f t="shared" si="16"/>
        <v>5</v>
      </c>
      <c r="H4178" s="137"/>
      <c r="I4178" s="137"/>
      <c r="J4178" s="135"/>
      <c r="K4178" s="135"/>
      <c r="L4178" s="135"/>
      <c r="M4178" s="135"/>
      <c r="N4178" s="135"/>
      <c r="O4178" s="135"/>
      <c r="P4178" s="135"/>
      <c r="Q4178" s="135"/>
      <c r="R4178" s="135"/>
      <c r="S4178" s="135"/>
      <c r="T4178" s="135"/>
      <c r="U4178" s="135"/>
      <c r="V4178" s="135"/>
      <c r="W4178" s="135"/>
      <c r="X4178" s="135"/>
      <c r="Y4178" s="135"/>
      <c r="Z4178" s="135"/>
    </row>
    <row r="4179" spans="1:26" ht="25.5">
      <c r="A4179" s="136" t="s">
        <v>11</v>
      </c>
      <c r="B4179" s="136" t="s">
        <v>297</v>
      </c>
      <c r="C4179" s="136" t="s">
        <v>303</v>
      </c>
      <c r="D4179" s="136" t="s">
        <v>7940</v>
      </c>
      <c r="E4179" s="136" t="s">
        <v>615</v>
      </c>
      <c r="F4179" s="136">
        <v>225</v>
      </c>
      <c r="G4179" s="137">
        <f t="shared" si="16"/>
        <v>6</v>
      </c>
      <c r="H4179" s="137"/>
      <c r="I4179" s="137"/>
      <c r="J4179" s="135"/>
      <c r="K4179" s="135"/>
      <c r="L4179" s="135"/>
      <c r="M4179" s="135"/>
      <c r="N4179" s="135"/>
      <c r="O4179" s="135"/>
      <c r="P4179" s="135"/>
      <c r="Q4179" s="135"/>
      <c r="R4179" s="135"/>
      <c r="S4179" s="135"/>
      <c r="T4179" s="135"/>
      <c r="U4179" s="135"/>
      <c r="V4179" s="135"/>
      <c r="W4179" s="135"/>
      <c r="X4179" s="135"/>
      <c r="Y4179" s="135"/>
      <c r="Z4179" s="135"/>
    </row>
    <row r="4180" spans="1:26" ht="25.5">
      <c r="A4180" s="136" t="s">
        <v>11</v>
      </c>
      <c r="B4180" s="136" t="s">
        <v>297</v>
      </c>
      <c r="C4180" s="136" t="s">
        <v>303</v>
      </c>
      <c r="D4180" s="136" t="s">
        <v>1659</v>
      </c>
      <c r="E4180" s="136" t="s">
        <v>615</v>
      </c>
      <c r="F4180" s="136">
        <v>107</v>
      </c>
      <c r="G4180" s="137">
        <f t="shared" si="16"/>
        <v>7</v>
      </c>
      <c r="H4180" s="137"/>
      <c r="I4180" s="137"/>
      <c r="J4180" s="135"/>
      <c r="K4180" s="135"/>
      <c r="L4180" s="135"/>
      <c r="M4180" s="135"/>
      <c r="N4180" s="135"/>
      <c r="O4180" s="135"/>
      <c r="P4180" s="135"/>
      <c r="Q4180" s="135"/>
      <c r="R4180" s="135"/>
      <c r="S4180" s="135"/>
      <c r="T4180" s="135"/>
      <c r="U4180" s="135"/>
      <c r="V4180" s="135"/>
      <c r="W4180" s="135"/>
      <c r="X4180" s="135"/>
      <c r="Y4180" s="135"/>
      <c r="Z4180" s="135"/>
    </row>
    <row r="4181" spans="1:26" ht="25.5">
      <c r="A4181" s="136" t="s">
        <v>11</v>
      </c>
      <c r="B4181" s="136" t="s">
        <v>297</v>
      </c>
      <c r="C4181" s="136" t="s">
        <v>303</v>
      </c>
      <c r="D4181" s="136" t="s">
        <v>1665</v>
      </c>
      <c r="E4181" s="136" t="s">
        <v>615</v>
      </c>
      <c r="F4181" s="136">
        <v>83</v>
      </c>
      <c r="G4181" s="137">
        <f t="shared" si="16"/>
        <v>8</v>
      </c>
      <c r="H4181" s="137"/>
      <c r="I4181" s="137"/>
      <c r="J4181" s="135"/>
      <c r="K4181" s="135"/>
      <c r="L4181" s="135"/>
      <c r="M4181" s="135"/>
      <c r="N4181" s="135"/>
      <c r="O4181" s="135"/>
      <c r="P4181" s="135"/>
      <c r="Q4181" s="135"/>
      <c r="R4181" s="135"/>
      <c r="S4181" s="135"/>
      <c r="T4181" s="135"/>
      <c r="U4181" s="135"/>
      <c r="V4181" s="135"/>
      <c r="W4181" s="135"/>
      <c r="X4181" s="135"/>
      <c r="Y4181" s="135"/>
      <c r="Z4181" s="135"/>
    </row>
    <row r="4182" spans="1:26" ht="25.5">
      <c r="A4182" s="136" t="s">
        <v>11</v>
      </c>
      <c r="B4182" s="136" t="s">
        <v>297</v>
      </c>
      <c r="C4182" s="136" t="s">
        <v>303</v>
      </c>
      <c r="D4182" s="136" t="s">
        <v>7657</v>
      </c>
      <c r="E4182" s="136" t="s">
        <v>85</v>
      </c>
      <c r="F4182" s="136">
        <v>83</v>
      </c>
      <c r="G4182" s="137">
        <f t="shared" si="16"/>
        <v>9</v>
      </c>
      <c r="H4182" s="137"/>
      <c r="I4182" s="137"/>
      <c r="J4182" s="135"/>
      <c r="K4182" s="135"/>
      <c r="L4182" s="135"/>
      <c r="M4182" s="135"/>
      <c r="N4182" s="135"/>
      <c r="O4182" s="135"/>
      <c r="P4182" s="135"/>
      <c r="Q4182" s="135"/>
      <c r="R4182" s="135"/>
      <c r="S4182" s="135"/>
      <c r="T4182" s="135"/>
      <c r="U4182" s="135"/>
      <c r="V4182" s="135"/>
      <c r="W4182" s="135"/>
      <c r="X4182" s="135"/>
      <c r="Y4182" s="135"/>
      <c r="Z4182" s="135"/>
    </row>
    <row r="4183" spans="1:26" ht="25.5">
      <c r="A4183" s="136" t="s">
        <v>11</v>
      </c>
      <c r="B4183" s="136" t="s">
        <v>297</v>
      </c>
      <c r="C4183" s="136" t="s">
        <v>303</v>
      </c>
      <c r="D4183" s="136" t="s">
        <v>368</v>
      </c>
      <c r="E4183" s="136" t="s">
        <v>594</v>
      </c>
      <c r="F4183" s="136">
        <v>64</v>
      </c>
      <c r="G4183" s="137">
        <f t="shared" si="16"/>
        <v>10</v>
      </c>
      <c r="H4183" s="137"/>
      <c r="I4183" s="137"/>
      <c r="J4183" s="135"/>
      <c r="K4183" s="135"/>
      <c r="L4183" s="135"/>
      <c r="M4183" s="135"/>
      <c r="N4183" s="135"/>
      <c r="O4183" s="135"/>
      <c r="P4183" s="135"/>
      <c r="Q4183" s="135"/>
      <c r="R4183" s="135"/>
      <c r="S4183" s="135"/>
      <c r="T4183" s="135"/>
      <c r="U4183" s="135"/>
      <c r="V4183" s="135"/>
      <c r="W4183" s="135"/>
      <c r="X4183" s="135"/>
      <c r="Y4183" s="135"/>
      <c r="Z4183" s="135"/>
    </row>
    <row r="4184" spans="1:26" ht="25.5">
      <c r="A4184" s="136" t="s">
        <v>11</v>
      </c>
      <c r="B4184" s="136" t="s">
        <v>297</v>
      </c>
      <c r="C4184" s="136" t="s">
        <v>303</v>
      </c>
      <c r="D4184" s="136" t="s">
        <v>1680</v>
      </c>
      <c r="E4184" s="136" t="s">
        <v>615</v>
      </c>
      <c r="F4184" s="136">
        <v>17</v>
      </c>
      <c r="G4184" s="137">
        <f t="shared" si="16"/>
        <v>11</v>
      </c>
      <c r="H4184" s="137"/>
      <c r="I4184" s="137"/>
      <c r="J4184" s="135"/>
      <c r="K4184" s="135"/>
      <c r="L4184" s="135"/>
      <c r="M4184" s="135"/>
      <c r="N4184" s="135"/>
      <c r="O4184" s="135"/>
      <c r="P4184" s="135"/>
      <c r="Q4184" s="135"/>
      <c r="R4184" s="135"/>
      <c r="S4184" s="135"/>
      <c r="T4184" s="135"/>
      <c r="U4184" s="135"/>
      <c r="V4184" s="135"/>
      <c r="W4184" s="135"/>
      <c r="X4184" s="135"/>
      <c r="Y4184" s="135"/>
      <c r="Z4184" s="135"/>
    </row>
    <row r="4185" spans="1:26" ht="25.5">
      <c r="A4185" s="136" t="s">
        <v>11</v>
      </c>
      <c r="B4185" s="136" t="s">
        <v>297</v>
      </c>
      <c r="C4185" s="136" t="s">
        <v>303</v>
      </c>
      <c r="D4185" s="136" t="s">
        <v>1626</v>
      </c>
      <c r="E4185" s="136" t="s">
        <v>594</v>
      </c>
      <c r="F4185" s="136">
        <v>16</v>
      </c>
      <c r="G4185" s="137">
        <f t="shared" si="16"/>
        <v>12</v>
      </c>
      <c r="H4185" s="137"/>
      <c r="I4185" s="137"/>
      <c r="J4185" s="135"/>
      <c r="K4185" s="135"/>
      <c r="L4185" s="135"/>
      <c r="M4185" s="135"/>
      <c r="N4185" s="135"/>
      <c r="O4185" s="135"/>
      <c r="P4185" s="135"/>
      <c r="Q4185" s="135"/>
      <c r="R4185" s="135"/>
      <c r="S4185" s="135"/>
      <c r="T4185" s="135"/>
      <c r="U4185" s="135"/>
      <c r="V4185" s="135"/>
      <c r="W4185" s="135"/>
      <c r="X4185" s="135"/>
      <c r="Y4185" s="135"/>
      <c r="Z4185" s="135"/>
    </row>
    <row r="4186" spans="1:26" ht="25.5">
      <c r="A4186" s="136" t="s">
        <v>11</v>
      </c>
      <c r="B4186" s="136" t="s">
        <v>297</v>
      </c>
      <c r="C4186" s="136" t="s">
        <v>303</v>
      </c>
      <c r="D4186" s="136" t="s">
        <v>7937</v>
      </c>
      <c r="E4186" s="136" t="s">
        <v>86</v>
      </c>
      <c r="F4186" s="136">
        <v>16</v>
      </c>
      <c r="G4186" s="137">
        <f t="shared" si="16"/>
        <v>13</v>
      </c>
      <c r="H4186" s="137"/>
      <c r="I4186" s="137"/>
      <c r="J4186" s="135"/>
      <c r="K4186" s="135"/>
      <c r="L4186" s="135"/>
      <c r="M4186" s="135"/>
      <c r="N4186" s="135"/>
      <c r="O4186" s="135"/>
      <c r="P4186" s="135"/>
      <c r="Q4186" s="135"/>
      <c r="R4186" s="135"/>
      <c r="S4186" s="135"/>
      <c r="T4186" s="135"/>
      <c r="U4186" s="135"/>
      <c r="V4186" s="135"/>
      <c r="W4186" s="135"/>
      <c r="X4186" s="135"/>
      <c r="Y4186" s="135"/>
      <c r="Z4186" s="135"/>
    </row>
    <row r="4187" spans="1:26" ht="25.5">
      <c r="A4187" s="136" t="s">
        <v>11</v>
      </c>
      <c r="B4187" s="136" t="s">
        <v>297</v>
      </c>
      <c r="C4187" s="136" t="s">
        <v>333</v>
      </c>
      <c r="D4187" s="136" t="s">
        <v>139</v>
      </c>
      <c r="E4187" s="136" t="s">
        <v>594</v>
      </c>
      <c r="F4187" s="136">
        <v>1723</v>
      </c>
      <c r="G4187" s="137">
        <f t="shared" si="16"/>
        <v>1</v>
      </c>
      <c r="H4187" s="137"/>
      <c r="I4187" s="137"/>
      <c r="J4187" s="135"/>
      <c r="K4187" s="135"/>
      <c r="L4187" s="135"/>
      <c r="M4187" s="135"/>
      <c r="N4187" s="135"/>
      <c r="O4187" s="135"/>
      <c r="P4187" s="135"/>
      <c r="Q4187" s="135"/>
      <c r="R4187" s="135"/>
      <c r="S4187" s="135"/>
      <c r="T4187" s="135"/>
      <c r="U4187" s="135"/>
      <c r="V4187" s="135"/>
      <c r="W4187" s="135"/>
      <c r="X4187" s="135"/>
      <c r="Y4187" s="135"/>
      <c r="Z4187" s="135"/>
    </row>
    <row r="4188" spans="1:26" ht="25.5">
      <c r="A4188" s="136" t="s">
        <v>11</v>
      </c>
      <c r="B4188" s="136" t="s">
        <v>297</v>
      </c>
      <c r="C4188" s="136" t="s">
        <v>333</v>
      </c>
      <c r="D4188" s="136" t="s">
        <v>1669</v>
      </c>
      <c r="E4188" s="136" t="s">
        <v>615</v>
      </c>
      <c r="F4188" s="136">
        <v>1593</v>
      </c>
      <c r="G4188" s="137">
        <f t="shared" si="16"/>
        <v>2</v>
      </c>
      <c r="H4188" s="137"/>
      <c r="I4188" s="137"/>
      <c r="J4188" s="135"/>
      <c r="K4188" s="135"/>
      <c r="L4188" s="135"/>
      <c r="M4188" s="135"/>
      <c r="N4188" s="135"/>
      <c r="O4188" s="135"/>
      <c r="P4188" s="135"/>
      <c r="Q4188" s="135"/>
      <c r="R4188" s="135"/>
      <c r="S4188" s="135"/>
      <c r="T4188" s="135"/>
      <c r="U4188" s="135"/>
      <c r="V4188" s="135"/>
      <c r="W4188" s="135"/>
      <c r="X4188" s="135"/>
      <c r="Y4188" s="135"/>
      <c r="Z4188" s="135"/>
    </row>
    <row r="4189" spans="1:26" ht="25.5">
      <c r="A4189" s="136" t="s">
        <v>11</v>
      </c>
      <c r="B4189" s="136" t="s">
        <v>297</v>
      </c>
      <c r="C4189" s="136" t="s">
        <v>333</v>
      </c>
      <c r="D4189" s="136" t="s">
        <v>7878</v>
      </c>
      <c r="E4189" s="136" t="s">
        <v>85</v>
      </c>
      <c r="F4189" s="136">
        <v>661</v>
      </c>
      <c r="G4189" s="137">
        <f t="shared" si="16"/>
        <v>3</v>
      </c>
      <c r="H4189" s="137"/>
      <c r="I4189" s="137"/>
      <c r="J4189" s="135"/>
      <c r="K4189" s="135"/>
      <c r="L4189" s="135"/>
      <c r="M4189" s="135"/>
      <c r="N4189" s="135"/>
      <c r="O4189" s="135"/>
      <c r="P4189" s="135"/>
      <c r="Q4189" s="135"/>
      <c r="R4189" s="135"/>
      <c r="S4189" s="135"/>
      <c r="T4189" s="135"/>
      <c r="U4189" s="135"/>
      <c r="V4189" s="135"/>
      <c r="W4189" s="135"/>
      <c r="X4189" s="135"/>
      <c r="Y4189" s="135"/>
      <c r="Z4189" s="135"/>
    </row>
    <row r="4190" spans="1:26" ht="25.5">
      <c r="A4190" s="136" t="s">
        <v>11</v>
      </c>
      <c r="B4190" s="136" t="s">
        <v>297</v>
      </c>
      <c r="C4190" s="136" t="s">
        <v>333</v>
      </c>
      <c r="D4190" s="136" t="s">
        <v>103</v>
      </c>
      <c r="E4190" s="136" t="s">
        <v>594</v>
      </c>
      <c r="F4190" s="136">
        <v>354</v>
      </c>
      <c r="G4190" s="137">
        <f t="shared" si="16"/>
        <v>6</v>
      </c>
      <c r="H4190" s="137"/>
      <c r="I4190" s="137"/>
      <c r="J4190" s="135"/>
      <c r="K4190" s="135"/>
      <c r="L4190" s="135"/>
      <c r="M4190" s="135"/>
      <c r="N4190" s="135"/>
      <c r="O4190" s="135"/>
      <c r="P4190" s="135"/>
      <c r="Q4190" s="135"/>
      <c r="R4190" s="135"/>
      <c r="S4190" s="135"/>
      <c r="T4190" s="135"/>
      <c r="U4190" s="135"/>
      <c r="V4190" s="135"/>
      <c r="W4190" s="135"/>
      <c r="X4190" s="135"/>
      <c r="Y4190" s="135"/>
      <c r="Z4190" s="135"/>
    </row>
    <row r="4191" spans="1:26" ht="25.5">
      <c r="A4191" s="136" t="s">
        <v>11</v>
      </c>
      <c r="B4191" s="136" t="s">
        <v>297</v>
      </c>
      <c r="C4191" s="136" t="s">
        <v>333</v>
      </c>
      <c r="D4191" s="136" t="s">
        <v>1680</v>
      </c>
      <c r="E4191" s="136" t="s">
        <v>615</v>
      </c>
      <c r="F4191" s="136">
        <v>244</v>
      </c>
      <c r="G4191" s="137">
        <f t="shared" si="16"/>
        <v>8</v>
      </c>
      <c r="H4191" s="137"/>
      <c r="I4191" s="137"/>
      <c r="J4191" s="135"/>
      <c r="K4191" s="135"/>
      <c r="L4191" s="135"/>
      <c r="M4191" s="135"/>
      <c r="N4191" s="135"/>
      <c r="O4191" s="135"/>
      <c r="P4191" s="135"/>
      <c r="Q4191" s="135"/>
      <c r="R4191" s="135"/>
      <c r="S4191" s="135"/>
      <c r="T4191" s="135"/>
      <c r="U4191" s="135"/>
      <c r="V4191" s="135"/>
      <c r="W4191" s="135"/>
      <c r="X4191" s="135"/>
      <c r="Y4191" s="135"/>
      <c r="Z4191" s="135"/>
    </row>
    <row r="4192" spans="1:26" ht="25.5">
      <c r="A4192" s="136" t="s">
        <v>11</v>
      </c>
      <c r="B4192" s="136" t="s">
        <v>297</v>
      </c>
      <c r="C4192" s="136" t="s">
        <v>333</v>
      </c>
      <c r="D4192" s="136" t="s">
        <v>368</v>
      </c>
      <c r="E4192" s="136" t="s">
        <v>594</v>
      </c>
      <c r="F4192" s="136">
        <v>154</v>
      </c>
      <c r="G4192" s="137">
        <f t="shared" si="16"/>
        <v>9</v>
      </c>
      <c r="H4192" s="137"/>
      <c r="I4192" s="137"/>
      <c r="J4192" s="135"/>
      <c r="K4192" s="135"/>
      <c r="L4192" s="135"/>
      <c r="M4192" s="135"/>
      <c r="N4192" s="135"/>
      <c r="O4192" s="135"/>
      <c r="P4192" s="135"/>
      <c r="Q4192" s="135"/>
      <c r="R4192" s="135"/>
      <c r="S4192" s="135"/>
      <c r="T4192" s="135"/>
      <c r="U4192" s="135"/>
      <c r="V4192" s="135"/>
      <c r="W4192" s="135"/>
      <c r="X4192" s="135"/>
      <c r="Y4192" s="135"/>
      <c r="Z4192" s="135"/>
    </row>
    <row r="4193" spans="1:26" ht="25.5">
      <c r="A4193" s="136" t="s">
        <v>11</v>
      </c>
      <c r="B4193" s="136" t="s">
        <v>297</v>
      </c>
      <c r="C4193" s="136" t="s">
        <v>333</v>
      </c>
      <c r="D4193" s="136" t="s">
        <v>1665</v>
      </c>
      <c r="E4193" s="136" t="s">
        <v>615</v>
      </c>
      <c r="F4193" s="136">
        <v>98</v>
      </c>
      <c r="G4193" s="137">
        <f t="shared" si="16"/>
        <v>10</v>
      </c>
      <c r="H4193" s="137"/>
      <c r="I4193" s="137"/>
      <c r="J4193" s="135"/>
      <c r="K4193" s="135"/>
      <c r="L4193" s="135"/>
      <c r="M4193" s="135"/>
      <c r="N4193" s="135"/>
      <c r="O4193" s="135"/>
      <c r="P4193" s="135"/>
      <c r="Q4193" s="135"/>
      <c r="R4193" s="135"/>
      <c r="S4193" s="135"/>
      <c r="T4193" s="135"/>
      <c r="U4193" s="135"/>
      <c r="V4193" s="135"/>
      <c r="W4193" s="135"/>
      <c r="X4193" s="135"/>
      <c r="Y4193" s="135"/>
      <c r="Z4193" s="135"/>
    </row>
    <row r="4194" spans="1:26" ht="25.5">
      <c r="A4194" s="136" t="s">
        <v>11</v>
      </c>
      <c r="B4194" s="136" t="s">
        <v>297</v>
      </c>
      <c r="C4194" s="136" t="s">
        <v>333</v>
      </c>
      <c r="D4194" s="136" t="s">
        <v>136</v>
      </c>
      <c r="E4194" s="136" t="s">
        <v>615</v>
      </c>
      <c r="F4194" s="136">
        <v>88</v>
      </c>
      <c r="G4194" s="137">
        <f t="shared" si="16"/>
        <v>11</v>
      </c>
      <c r="H4194" s="137"/>
      <c r="I4194" s="137"/>
      <c r="J4194" s="135"/>
      <c r="K4194" s="135"/>
      <c r="L4194" s="135"/>
      <c r="M4194" s="135"/>
      <c r="N4194" s="135"/>
      <c r="O4194" s="135"/>
      <c r="P4194" s="135"/>
      <c r="Q4194" s="135"/>
      <c r="R4194" s="135"/>
      <c r="S4194" s="135"/>
      <c r="T4194" s="135"/>
      <c r="U4194" s="135"/>
      <c r="V4194" s="135"/>
      <c r="W4194" s="135"/>
      <c r="X4194" s="135"/>
      <c r="Y4194" s="135"/>
      <c r="Z4194" s="135"/>
    </row>
    <row r="4195" spans="1:26" ht="25.5">
      <c r="A4195" s="136" t="s">
        <v>11</v>
      </c>
      <c r="B4195" s="136" t="s">
        <v>297</v>
      </c>
      <c r="C4195" s="136" t="s">
        <v>333</v>
      </c>
      <c r="D4195" s="136" t="s">
        <v>7940</v>
      </c>
      <c r="E4195" s="136" t="s">
        <v>615</v>
      </c>
      <c r="F4195" s="136">
        <v>73</v>
      </c>
      <c r="G4195" s="137">
        <f t="shared" si="16"/>
        <v>12</v>
      </c>
      <c r="H4195" s="137"/>
      <c r="I4195" s="137"/>
      <c r="J4195" s="135"/>
      <c r="K4195" s="135"/>
      <c r="L4195" s="135"/>
      <c r="M4195" s="135"/>
      <c r="N4195" s="135"/>
      <c r="O4195" s="135"/>
      <c r="P4195" s="135"/>
      <c r="Q4195" s="135"/>
      <c r="R4195" s="135"/>
      <c r="S4195" s="135"/>
      <c r="T4195" s="135"/>
      <c r="U4195" s="135"/>
      <c r="V4195" s="135"/>
      <c r="W4195" s="135"/>
      <c r="X4195" s="135"/>
      <c r="Y4195" s="135"/>
      <c r="Z4195" s="135"/>
    </row>
    <row r="4196" spans="1:26" ht="25.5">
      <c r="A4196" s="136" t="s">
        <v>11</v>
      </c>
      <c r="B4196" s="136" t="s">
        <v>297</v>
      </c>
      <c r="C4196" s="136" t="s">
        <v>333</v>
      </c>
      <c r="D4196" s="136" t="s">
        <v>1688</v>
      </c>
      <c r="E4196" s="136" t="s">
        <v>615</v>
      </c>
      <c r="F4196" s="136">
        <v>62</v>
      </c>
      <c r="G4196" s="137">
        <f t="shared" si="16"/>
        <v>13</v>
      </c>
      <c r="H4196" s="137"/>
      <c r="I4196" s="137"/>
      <c r="J4196" s="135"/>
      <c r="K4196" s="135"/>
      <c r="L4196" s="135"/>
      <c r="M4196" s="135"/>
      <c r="N4196" s="135"/>
      <c r="O4196" s="135"/>
      <c r="P4196" s="135"/>
      <c r="Q4196" s="135"/>
      <c r="R4196" s="135"/>
      <c r="S4196" s="135"/>
      <c r="T4196" s="135"/>
      <c r="U4196" s="135"/>
      <c r="V4196" s="135"/>
      <c r="W4196" s="135"/>
      <c r="X4196" s="135"/>
      <c r="Y4196" s="135"/>
      <c r="Z4196" s="135"/>
    </row>
    <row r="4197" spans="1:26" ht="25.5">
      <c r="A4197" s="136" t="s">
        <v>11</v>
      </c>
      <c r="B4197" s="136" t="s">
        <v>297</v>
      </c>
      <c r="C4197" s="136" t="s">
        <v>333</v>
      </c>
      <c r="D4197" s="136" t="s">
        <v>7657</v>
      </c>
      <c r="E4197" s="136" t="s">
        <v>85</v>
      </c>
      <c r="F4197" s="136">
        <v>56</v>
      </c>
      <c r="G4197" s="137">
        <f t="shared" si="16"/>
        <v>14</v>
      </c>
      <c r="H4197" s="137"/>
      <c r="I4197" s="137"/>
      <c r="J4197" s="135"/>
      <c r="K4197" s="135"/>
      <c r="L4197" s="135"/>
      <c r="M4197" s="135"/>
      <c r="N4197" s="135"/>
      <c r="O4197" s="135"/>
      <c r="P4197" s="135"/>
      <c r="Q4197" s="135"/>
      <c r="R4197" s="135"/>
      <c r="S4197" s="135"/>
      <c r="T4197" s="135"/>
      <c r="U4197" s="135"/>
      <c r="V4197" s="135"/>
      <c r="W4197" s="135"/>
      <c r="X4197" s="135"/>
      <c r="Y4197" s="135"/>
      <c r="Z4197" s="135"/>
    </row>
    <row r="4198" spans="1:26" ht="25.5">
      <c r="A4198" s="136" t="s">
        <v>11</v>
      </c>
      <c r="B4198" s="136" t="s">
        <v>297</v>
      </c>
      <c r="C4198" s="136" t="s">
        <v>333</v>
      </c>
      <c r="D4198" s="136" t="s">
        <v>120</v>
      </c>
      <c r="E4198" s="136" t="s">
        <v>615</v>
      </c>
      <c r="F4198" s="136">
        <v>54</v>
      </c>
      <c r="G4198" s="137">
        <f t="shared" si="16"/>
        <v>15</v>
      </c>
      <c r="H4198" s="137"/>
      <c r="I4198" s="137"/>
      <c r="J4198" s="135"/>
      <c r="K4198" s="135"/>
      <c r="L4198" s="135"/>
      <c r="M4198" s="135"/>
      <c r="N4198" s="135"/>
      <c r="O4198" s="135"/>
      <c r="P4198" s="135"/>
      <c r="Q4198" s="135"/>
      <c r="R4198" s="135"/>
      <c r="S4198" s="135"/>
      <c r="T4198" s="135"/>
      <c r="U4198" s="135"/>
      <c r="V4198" s="135"/>
      <c r="W4198" s="135"/>
      <c r="X4198" s="135"/>
      <c r="Y4198" s="135"/>
      <c r="Z4198" s="135"/>
    </row>
    <row r="4199" spans="1:26" ht="25.5">
      <c r="A4199" s="136" t="s">
        <v>11</v>
      </c>
      <c r="B4199" s="136" t="s">
        <v>297</v>
      </c>
      <c r="C4199" s="136" t="s">
        <v>333</v>
      </c>
      <c r="D4199" s="136" t="s">
        <v>1626</v>
      </c>
      <c r="E4199" s="136" t="s">
        <v>594</v>
      </c>
      <c r="F4199" s="136">
        <v>54</v>
      </c>
      <c r="G4199" s="137">
        <f t="shared" si="16"/>
        <v>16</v>
      </c>
      <c r="H4199" s="137"/>
      <c r="I4199" s="137"/>
      <c r="J4199" s="135"/>
      <c r="K4199" s="135"/>
      <c r="L4199" s="135"/>
      <c r="M4199" s="135"/>
      <c r="N4199" s="135"/>
      <c r="O4199" s="135"/>
      <c r="P4199" s="135"/>
      <c r="Q4199" s="135"/>
      <c r="R4199" s="135"/>
      <c r="S4199" s="135"/>
      <c r="T4199" s="135"/>
      <c r="U4199" s="135"/>
      <c r="V4199" s="135"/>
      <c r="W4199" s="135"/>
      <c r="X4199" s="135"/>
      <c r="Y4199" s="135"/>
      <c r="Z4199" s="135"/>
    </row>
    <row r="4200" spans="1:26" ht="25.5">
      <c r="A4200" s="136" t="s">
        <v>11</v>
      </c>
      <c r="B4200" s="136" t="s">
        <v>297</v>
      </c>
      <c r="C4200" s="136" t="s">
        <v>333</v>
      </c>
      <c r="D4200" s="136" t="s">
        <v>7937</v>
      </c>
      <c r="E4200" s="136" t="s">
        <v>86</v>
      </c>
      <c r="F4200" s="136">
        <v>32</v>
      </c>
      <c r="G4200" s="137">
        <f t="shared" si="16"/>
        <v>18</v>
      </c>
      <c r="H4200" s="137"/>
      <c r="I4200" s="137"/>
      <c r="J4200" s="135"/>
      <c r="K4200" s="135"/>
      <c r="L4200" s="135"/>
      <c r="M4200" s="135"/>
      <c r="N4200" s="135"/>
      <c r="O4200" s="135"/>
      <c r="P4200" s="135"/>
      <c r="Q4200" s="135"/>
      <c r="R4200" s="135"/>
      <c r="S4200" s="135"/>
      <c r="T4200" s="135"/>
      <c r="U4200" s="135"/>
      <c r="V4200" s="135"/>
      <c r="W4200" s="135"/>
      <c r="X4200" s="135"/>
      <c r="Y4200" s="135"/>
      <c r="Z4200" s="135"/>
    </row>
    <row r="4201" spans="1:26" ht="25.5">
      <c r="A4201" s="136" t="s">
        <v>11</v>
      </c>
      <c r="B4201" s="136" t="s">
        <v>297</v>
      </c>
      <c r="C4201" s="136" t="s">
        <v>333</v>
      </c>
      <c r="D4201" s="136" t="s">
        <v>1639</v>
      </c>
      <c r="E4201" s="136" t="s">
        <v>615</v>
      </c>
      <c r="F4201" s="136">
        <v>28</v>
      </c>
      <c r="G4201" s="137">
        <f t="shared" si="16"/>
        <v>19</v>
      </c>
      <c r="H4201" s="137"/>
      <c r="I4201" s="137"/>
      <c r="J4201" s="135"/>
      <c r="K4201" s="135"/>
      <c r="L4201" s="135"/>
      <c r="M4201" s="135"/>
      <c r="N4201" s="135"/>
      <c r="O4201" s="135"/>
      <c r="P4201" s="135"/>
      <c r="Q4201" s="135"/>
      <c r="R4201" s="135"/>
      <c r="S4201" s="135"/>
      <c r="T4201" s="135"/>
      <c r="U4201" s="135"/>
      <c r="V4201" s="135"/>
      <c r="W4201" s="135"/>
      <c r="X4201" s="135"/>
      <c r="Y4201" s="135"/>
      <c r="Z4201" s="135"/>
    </row>
    <row r="4202" spans="1:26" ht="25.5">
      <c r="A4202" s="136" t="s">
        <v>11</v>
      </c>
      <c r="B4202" s="136" t="s">
        <v>297</v>
      </c>
      <c r="C4202" s="136" t="s">
        <v>333</v>
      </c>
      <c r="D4202" s="136" t="s">
        <v>165</v>
      </c>
      <c r="E4202" s="136" t="s">
        <v>615</v>
      </c>
      <c r="F4202" s="136">
        <v>25</v>
      </c>
      <c r="G4202" s="137">
        <f t="shared" si="16"/>
        <v>20</v>
      </c>
      <c r="H4202" s="137"/>
      <c r="I4202" s="137"/>
      <c r="J4202" s="135"/>
      <c r="K4202" s="135"/>
      <c r="L4202" s="135"/>
      <c r="M4202" s="135"/>
      <c r="N4202" s="135"/>
      <c r="O4202" s="135"/>
      <c r="P4202" s="135"/>
      <c r="Q4202" s="135"/>
      <c r="R4202" s="135"/>
      <c r="S4202" s="135"/>
      <c r="T4202" s="135"/>
      <c r="U4202" s="135"/>
      <c r="V4202" s="135"/>
      <c r="W4202" s="135"/>
      <c r="X4202" s="135"/>
      <c r="Y4202" s="135"/>
      <c r="Z4202" s="135"/>
    </row>
    <row r="4203" spans="1:26" ht="25.5">
      <c r="A4203" s="136" t="s">
        <v>11</v>
      </c>
      <c r="B4203" s="136" t="s">
        <v>297</v>
      </c>
      <c r="C4203" s="136" t="s">
        <v>333</v>
      </c>
      <c r="D4203" s="136" t="s">
        <v>7544</v>
      </c>
      <c r="E4203" s="136" t="s">
        <v>615</v>
      </c>
      <c r="F4203" s="136">
        <v>15</v>
      </c>
      <c r="G4203" s="137">
        <f t="shared" si="16"/>
        <v>24</v>
      </c>
      <c r="H4203" s="137"/>
      <c r="I4203" s="137"/>
      <c r="J4203" s="135"/>
      <c r="K4203" s="135"/>
      <c r="L4203" s="135"/>
      <c r="M4203" s="135"/>
      <c r="N4203" s="135"/>
      <c r="O4203" s="135"/>
      <c r="P4203" s="135"/>
      <c r="Q4203" s="135"/>
      <c r="R4203" s="135"/>
      <c r="S4203" s="135"/>
      <c r="T4203" s="135"/>
      <c r="U4203" s="135"/>
      <c r="V4203" s="135"/>
      <c r="W4203" s="135"/>
      <c r="X4203" s="135"/>
      <c r="Y4203" s="135"/>
      <c r="Z4203" s="135"/>
    </row>
    <row r="4204" spans="1:26" ht="25.5">
      <c r="A4204" s="136" t="s">
        <v>11</v>
      </c>
      <c r="B4204" s="136" t="s">
        <v>297</v>
      </c>
      <c r="C4204" s="136" t="s">
        <v>333</v>
      </c>
      <c r="D4204" s="136" t="s">
        <v>1659</v>
      </c>
      <c r="E4204" s="136" t="s">
        <v>615</v>
      </c>
      <c r="F4204" s="136">
        <v>13</v>
      </c>
      <c r="G4204" s="137">
        <f t="shared" si="16"/>
        <v>25</v>
      </c>
      <c r="H4204" s="137"/>
      <c r="I4204" s="137"/>
      <c r="J4204" s="135"/>
      <c r="K4204" s="135"/>
      <c r="L4204" s="135"/>
      <c r="M4204" s="135"/>
      <c r="N4204" s="135"/>
      <c r="O4204" s="135"/>
      <c r="P4204" s="135"/>
      <c r="Q4204" s="135"/>
      <c r="R4204" s="135"/>
      <c r="S4204" s="135"/>
      <c r="T4204" s="135"/>
      <c r="U4204" s="135"/>
      <c r="V4204" s="135"/>
      <c r="W4204" s="135"/>
      <c r="X4204" s="135"/>
      <c r="Y4204" s="135"/>
      <c r="Z4204" s="135"/>
    </row>
    <row r="4205" spans="1:26" ht="25.5">
      <c r="A4205" s="136" t="s">
        <v>11</v>
      </c>
      <c r="B4205" s="136" t="s">
        <v>297</v>
      </c>
      <c r="C4205" s="136" t="s">
        <v>333</v>
      </c>
      <c r="D4205" s="136" t="s">
        <v>7935</v>
      </c>
      <c r="E4205" s="136" t="s">
        <v>615</v>
      </c>
      <c r="F4205" s="136">
        <v>11</v>
      </c>
      <c r="G4205" s="137">
        <f t="shared" si="16"/>
        <v>26</v>
      </c>
      <c r="H4205" s="137"/>
      <c r="I4205" s="137"/>
      <c r="J4205" s="135"/>
      <c r="K4205" s="135"/>
      <c r="L4205" s="135"/>
      <c r="M4205" s="135"/>
      <c r="N4205" s="135"/>
      <c r="O4205" s="135"/>
      <c r="P4205" s="135"/>
      <c r="Q4205" s="135"/>
      <c r="R4205" s="135"/>
      <c r="S4205" s="135"/>
      <c r="T4205" s="135"/>
      <c r="U4205" s="135"/>
      <c r="V4205" s="135"/>
      <c r="W4205" s="135"/>
      <c r="X4205" s="135"/>
      <c r="Y4205" s="135"/>
      <c r="Z4205" s="135"/>
    </row>
    <row r="4206" spans="1:26" ht="25.5">
      <c r="A4206" s="136" t="s">
        <v>11</v>
      </c>
      <c r="B4206" s="136" t="s">
        <v>297</v>
      </c>
      <c r="C4206" s="136" t="s">
        <v>333</v>
      </c>
      <c r="D4206" s="136" t="s">
        <v>1666</v>
      </c>
      <c r="E4206" s="136" t="s">
        <v>85</v>
      </c>
      <c r="F4206" s="136">
        <v>9</v>
      </c>
      <c r="G4206" s="137">
        <f t="shared" si="16"/>
        <v>28</v>
      </c>
      <c r="H4206" s="137"/>
      <c r="I4206" s="137"/>
      <c r="J4206" s="135"/>
      <c r="K4206" s="135"/>
      <c r="L4206" s="135"/>
      <c r="M4206" s="135"/>
      <c r="N4206" s="135"/>
      <c r="O4206" s="135"/>
      <c r="P4206" s="135"/>
      <c r="Q4206" s="135"/>
      <c r="R4206" s="135"/>
      <c r="S4206" s="135"/>
      <c r="T4206" s="135"/>
      <c r="U4206" s="135"/>
      <c r="V4206" s="135"/>
      <c r="W4206" s="135"/>
      <c r="X4206" s="135"/>
      <c r="Y4206" s="135"/>
      <c r="Z4206" s="135"/>
    </row>
    <row r="4207" spans="1:26" ht="25.5">
      <c r="A4207" s="136" t="s">
        <v>11</v>
      </c>
      <c r="B4207" s="136" t="s">
        <v>297</v>
      </c>
      <c r="C4207" s="136" t="s">
        <v>333</v>
      </c>
      <c r="D4207" s="136" t="s">
        <v>1673</v>
      </c>
      <c r="E4207" s="136" t="s">
        <v>594</v>
      </c>
      <c r="F4207" s="136">
        <v>8</v>
      </c>
      <c r="G4207" s="137">
        <f t="shared" si="16"/>
        <v>29</v>
      </c>
      <c r="H4207" s="137"/>
      <c r="I4207" s="137"/>
      <c r="J4207" s="135"/>
      <c r="K4207" s="135"/>
      <c r="L4207" s="135"/>
      <c r="M4207" s="135"/>
      <c r="N4207" s="135"/>
      <c r="O4207" s="135"/>
      <c r="P4207" s="135"/>
      <c r="Q4207" s="135"/>
      <c r="R4207" s="135"/>
      <c r="S4207" s="135"/>
      <c r="T4207" s="135"/>
      <c r="U4207" s="135"/>
      <c r="V4207" s="135"/>
      <c r="W4207" s="135"/>
      <c r="X4207" s="135"/>
      <c r="Y4207" s="135"/>
      <c r="Z4207" s="135"/>
    </row>
    <row r="4208" spans="1:26" ht="25.5">
      <c r="A4208" s="136" t="s">
        <v>11</v>
      </c>
      <c r="B4208" s="136" t="s">
        <v>297</v>
      </c>
      <c r="C4208" s="136" t="s">
        <v>333</v>
      </c>
      <c r="D4208" s="136" t="s">
        <v>1656</v>
      </c>
      <c r="E4208" s="136" t="s">
        <v>594</v>
      </c>
      <c r="F4208" s="136">
        <v>6</v>
      </c>
      <c r="G4208" s="137">
        <f t="shared" si="16"/>
        <v>30</v>
      </c>
      <c r="H4208" s="137"/>
      <c r="I4208" s="137"/>
      <c r="J4208" s="135"/>
      <c r="K4208" s="135"/>
      <c r="L4208" s="135"/>
      <c r="M4208" s="135"/>
      <c r="N4208" s="135"/>
      <c r="O4208" s="135"/>
      <c r="P4208" s="135"/>
      <c r="Q4208" s="135"/>
      <c r="R4208" s="135"/>
      <c r="S4208" s="135"/>
      <c r="T4208" s="135"/>
      <c r="U4208" s="135"/>
      <c r="V4208" s="135"/>
      <c r="W4208" s="135"/>
      <c r="X4208" s="135"/>
      <c r="Y4208" s="135"/>
      <c r="Z4208" s="135"/>
    </row>
    <row r="4209" spans="1:26" ht="25.5">
      <c r="A4209" s="136" t="s">
        <v>11</v>
      </c>
      <c r="B4209" s="136" t="s">
        <v>297</v>
      </c>
      <c r="C4209" s="136" t="s">
        <v>315</v>
      </c>
      <c r="D4209" s="136" t="s">
        <v>7544</v>
      </c>
      <c r="E4209" s="136" t="s">
        <v>615</v>
      </c>
      <c r="F4209" s="136">
        <v>1978</v>
      </c>
      <c r="G4209" s="137">
        <f t="shared" si="16"/>
        <v>1</v>
      </c>
      <c r="H4209" s="137"/>
      <c r="I4209" s="137"/>
      <c r="J4209" s="135"/>
      <c r="K4209" s="135"/>
      <c r="L4209" s="135"/>
      <c r="M4209" s="135"/>
      <c r="N4209" s="135"/>
      <c r="O4209" s="135"/>
      <c r="P4209" s="135"/>
      <c r="Q4209" s="135"/>
      <c r="R4209" s="135"/>
      <c r="S4209" s="135"/>
      <c r="T4209" s="135"/>
      <c r="U4209" s="135"/>
      <c r="V4209" s="135"/>
      <c r="W4209" s="135"/>
      <c r="X4209" s="135"/>
      <c r="Y4209" s="135"/>
      <c r="Z4209" s="135"/>
    </row>
    <row r="4210" spans="1:26" ht="25.5">
      <c r="A4210" s="136" t="s">
        <v>11</v>
      </c>
      <c r="B4210" s="136" t="s">
        <v>297</v>
      </c>
      <c r="C4210" s="136" t="s">
        <v>315</v>
      </c>
      <c r="D4210" s="136" t="s">
        <v>139</v>
      </c>
      <c r="E4210" s="136" t="s">
        <v>594</v>
      </c>
      <c r="F4210" s="136">
        <v>1249</v>
      </c>
      <c r="G4210" s="137">
        <f t="shared" si="16"/>
        <v>2</v>
      </c>
      <c r="H4210" s="137"/>
      <c r="I4210" s="137"/>
      <c r="J4210" s="135"/>
      <c r="K4210" s="135"/>
      <c r="L4210" s="135"/>
      <c r="M4210" s="135"/>
      <c r="N4210" s="135"/>
      <c r="O4210" s="135"/>
      <c r="P4210" s="135"/>
      <c r="Q4210" s="135"/>
      <c r="R4210" s="135"/>
      <c r="S4210" s="135"/>
      <c r="T4210" s="135"/>
      <c r="U4210" s="135"/>
      <c r="V4210" s="135"/>
      <c r="W4210" s="135"/>
      <c r="X4210" s="135"/>
      <c r="Y4210" s="135"/>
      <c r="Z4210" s="135"/>
    </row>
    <row r="4211" spans="1:26" ht="25.5">
      <c r="A4211" s="136" t="s">
        <v>11</v>
      </c>
      <c r="B4211" s="136" t="s">
        <v>297</v>
      </c>
      <c r="C4211" s="136" t="s">
        <v>315</v>
      </c>
      <c r="D4211" s="136" t="s">
        <v>7878</v>
      </c>
      <c r="E4211" s="136" t="s">
        <v>85</v>
      </c>
      <c r="F4211" s="136">
        <v>583</v>
      </c>
      <c r="G4211" s="137">
        <f t="shared" si="16"/>
        <v>3</v>
      </c>
      <c r="H4211" s="137"/>
      <c r="I4211" s="137"/>
      <c r="J4211" s="135"/>
      <c r="K4211" s="135"/>
      <c r="L4211" s="135"/>
      <c r="M4211" s="135"/>
      <c r="N4211" s="135"/>
      <c r="O4211" s="135"/>
      <c r="P4211" s="135"/>
      <c r="Q4211" s="135"/>
      <c r="R4211" s="135"/>
      <c r="S4211" s="135"/>
      <c r="T4211" s="135"/>
      <c r="U4211" s="135"/>
      <c r="V4211" s="135"/>
      <c r="W4211" s="135"/>
      <c r="X4211" s="135"/>
      <c r="Y4211" s="135"/>
      <c r="Z4211" s="135"/>
    </row>
    <row r="4212" spans="1:26" ht="25.5">
      <c r="A4212" s="136" t="s">
        <v>11</v>
      </c>
      <c r="B4212" s="136" t="s">
        <v>297</v>
      </c>
      <c r="C4212" s="136" t="s">
        <v>315</v>
      </c>
      <c r="D4212" s="136" t="s">
        <v>1665</v>
      </c>
      <c r="E4212" s="136" t="s">
        <v>615</v>
      </c>
      <c r="F4212" s="136">
        <v>265</v>
      </c>
      <c r="G4212" s="137">
        <f t="shared" si="16"/>
        <v>5</v>
      </c>
      <c r="H4212" s="137"/>
      <c r="I4212" s="137"/>
      <c r="J4212" s="135"/>
      <c r="K4212" s="135"/>
      <c r="L4212" s="135"/>
      <c r="M4212" s="135"/>
      <c r="N4212" s="135"/>
      <c r="O4212" s="135"/>
      <c r="P4212" s="135"/>
      <c r="Q4212" s="135"/>
      <c r="R4212" s="135"/>
      <c r="S4212" s="135"/>
      <c r="T4212" s="135"/>
      <c r="U4212" s="135"/>
      <c r="V4212" s="135"/>
      <c r="W4212" s="135"/>
      <c r="X4212" s="135"/>
      <c r="Y4212" s="135"/>
      <c r="Z4212" s="135"/>
    </row>
    <row r="4213" spans="1:26" ht="25.5">
      <c r="A4213" s="136" t="s">
        <v>11</v>
      </c>
      <c r="B4213" s="136" t="s">
        <v>297</v>
      </c>
      <c r="C4213" s="136" t="s">
        <v>315</v>
      </c>
      <c r="D4213" s="136" t="s">
        <v>1669</v>
      </c>
      <c r="E4213" s="136" t="s">
        <v>615</v>
      </c>
      <c r="F4213" s="136">
        <v>272</v>
      </c>
      <c r="G4213" s="137">
        <f t="shared" si="16"/>
        <v>4</v>
      </c>
      <c r="H4213" s="137"/>
      <c r="I4213" s="137"/>
      <c r="J4213" s="135"/>
      <c r="K4213" s="135"/>
      <c r="L4213" s="135"/>
      <c r="M4213" s="135"/>
      <c r="N4213" s="135"/>
      <c r="O4213" s="135"/>
      <c r="P4213" s="135"/>
      <c r="Q4213" s="135"/>
      <c r="R4213" s="135"/>
      <c r="S4213" s="135"/>
      <c r="T4213" s="135"/>
      <c r="U4213" s="135"/>
      <c r="V4213" s="135"/>
      <c r="W4213" s="135"/>
      <c r="X4213" s="135"/>
      <c r="Y4213" s="135"/>
      <c r="Z4213" s="135"/>
    </row>
    <row r="4214" spans="1:26" ht="25.5">
      <c r="A4214" s="136" t="s">
        <v>11</v>
      </c>
      <c r="B4214" s="136" t="s">
        <v>297</v>
      </c>
      <c r="C4214" s="136" t="s">
        <v>315</v>
      </c>
      <c r="D4214" s="136" t="s">
        <v>368</v>
      </c>
      <c r="E4214" s="136" t="s">
        <v>594</v>
      </c>
      <c r="F4214" s="136">
        <v>242</v>
      </c>
      <c r="G4214" s="137">
        <f t="shared" si="16"/>
        <v>6</v>
      </c>
      <c r="H4214" s="137"/>
      <c r="I4214" s="137"/>
      <c r="J4214" s="135"/>
      <c r="K4214" s="135"/>
      <c r="L4214" s="135"/>
      <c r="M4214" s="135"/>
      <c r="N4214" s="135"/>
      <c r="O4214" s="135"/>
      <c r="P4214" s="135"/>
      <c r="Q4214" s="135"/>
      <c r="R4214" s="135"/>
      <c r="S4214" s="135"/>
      <c r="T4214" s="135"/>
      <c r="U4214" s="135"/>
      <c r="V4214" s="135"/>
      <c r="W4214" s="135"/>
      <c r="X4214" s="135"/>
      <c r="Y4214" s="135"/>
      <c r="Z4214" s="135"/>
    </row>
    <row r="4215" spans="1:26" ht="25.5">
      <c r="A4215" s="136" t="s">
        <v>11</v>
      </c>
      <c r="B4215" s="136" t="s">
        <v>297</v>
      </c>
      <c r="C4215" s="136" t="s">
        <v>315</v>
      </c>
      <c r="D4215" s="136" t="s">
        <v>1626</v>
      </c>
      <c r="E4215" s="136" t="s">
        <v>594</v>
      </c>
      <c r="F4215" s="136">
        <v>140</v>
      </c>
      <c r="G4215" s="137">
        <f t="shared" si="16"/>
        <v>7</v>
      </c>
      <c r="H4215" s="137"/>
      <c r="I4215" s="137"/>
      <c r="J4215" s="135"/>
      <c r="K4215" s="135"/>
      <c r="L4215" s="135"/>
      <c r="M4215" s="135"/>
      <c r="N4215" s="135"/>
      <c r="O4215" s="135"/>
      <c r="P4215" s="135"/>
      <c r="Q4215" s="135"/>
      <c r="R4215" s="135"/>
      <c r="S4215" s="135"/>
      <c r="T4215" s="135"/>
      <c r="U4215" s="135"/>
      <c r="V4215" s="135"/>
      <c r="W4215" s="135"/>
      <c r="X4215" s="135"/>
      <c r="Y4215" s="135"/>
      <c r="Z4215" s="135"/>
    </row>
    <row r="4216" spans="1:26" ht="25.5">
      <c r="A4216" s="136" t="s">
        <v>11</v>
      </c>
      <c r="B4216" s="136" t="s">
        <v>297</v>
      </c>
      <c r="C4216" s="136" t="s">
        <v>315</v>
      </c>
      <c r="D4216" s="136" t="s">
        <v>7657</v>
      </c>
      <c r="E4216" s="136" t="s">
        <v>85</v>
      </c>
      <c r="F4216" s="136">
        <v>139</v>
      </c>
      <c r="G4216" s="137">
        <f t="shared" si="16"/>
        <v>8</v>
      </c>
      <c r="H4216" s="137"/>
      <c r="I4216" s="137"/>
      <c r="J4216" s="135"/>
      <c r="K4216" s="135"/>
      <c r="L4216" s="135"/>
      <c r="M4216" s="135"/>
      <c r="N4216" s="135"/>
      <c r="O4216" s="135"/>
      <c r="P4216" s="135"/>
      <c r="Q4216" s="135"/>
      <c r="R4216" s="135"/>
      <c r="S4216" s="135"/>
      <c r="T4216" s="135"/>
      <c r="U4216" s="135"/>
      <c r="V4216" s="135"/>
      <c r="W4216" s="135"/>
      <c r="X4216" s="135"/>
      <c r="Y4216" s="135"/>
      <c r="Z4216" s="135"/>
    </row>
    <row r="4217" spans="1:26" ht="25.5">
      <c r="A4217" s="136" t="s">
        <v>11</v>
      </c>
      <c r="B4217" s="136" t="s">
        <v>297</v>
      </c>
      <c r="C4217" s="136" t="s">
        <v>315</v>
      </c>
      <c r="D4217" s="136" t="s">
        <v>1680</v>
      </c>
      <c r="E4217" s="136" t="s">
        <v>615</v>
      </c>
      <c r="F4217" s="136">
        <v>91</v>
      </c>
      <c r="G4217" s="137">
        <f t="shared" si="16"/>
        <v>9</v>
      </c>
      <c r="H4217" s="137"/>
      <c r="I4217" s="137"/>
      <c r="J4217" s="135"/>
      <c r="K4217" s="135"/>
      <c r="L4217" s="135"/>
      <c r="M4217" s="135"/>
      <c r="N4217" s="135"/>
      <c r="O4217" s="135"/>
      <c r="P4217" s="135"/>
      <c r="Q4217" s="135"/>
      <c r="R4217" s="135"/>
      <c r="S4217" s="135"/>
      <c r="T4217" s="135"/>
      <c r="U4217" s="135"/>
      <c r="V4217" s="135"/>
      <c r="W4217" s="135"/>
      <c r="X4217" s="135"/>
      <c r="Y4217" s="135"/>
      <c r="Z4217" s="135"/>
    </row>
    <row r="4218" spans="1:26" ht="25.5">
      <c r="A4218" s="136" t="s">
        <v>11</v>
      </c>
      <c r="B4218" s="136" t="s">
        <v>297</v>
      </c>
      <c r="C4218" s="136" t="s">
        <v>315</v>
      </c>
      <c r="D4218" s="136" t="s">
        <v>136</v>
      </c>
      <c r="E4218" s="136" t="s">
        <v>615</v>
      </c>
      <c r="F4218" s="136">
        <v>64</v>
      </c>
      <c r="G4218" s="137">
        <f t="shared" si="16"/>
        <v>10</v>
      </c>
      <c r="H4218" s="137"/>
      <c r="I4218" s="137"/>
      <c r="J4218" s="135"/>
      <c r="K4218" s="135"/>
      <c r="L4218" s="135"/>
      <c r="M4218" s="135"/>
      <c r="N4218" s="135"/>
      <c r="O4218" s="135"/>
      <c r="P4218" s="135"/>
      <c r="Q4218" s="135"/>
      <c r="R4218" s="135"/>
      <c r="S4218" s="135"/>
      <c r="T4218" s="135"/>
      <c r="U4218" s="135"/>
      <c r="V4218" s="135"/>
      <c r="W4218" s="135"/>
      <c r="X4218" s="135"/>
      <c r="Y4218" s="135"/>
      <c r="Z4218" s="135"/>
    </row>
    <row r="4219" spans="1:26" ht="25.5">
      <c r="A4219" s="136" t="s">
        <v>11</v>
      </c>
      <c r="B4219" s="136" t="s">
        <v>297</v>
      </c>
      <c r="C4219" s="136" t="s">
        <v>315</v>
      </c>
      <c r="D4219" s="136" t="s">
        <v>165</v>
      </c>
      <c r="E4219" s="136" t="s">
        <v>615</v>
      </c>
      <c r="F4219" s="136">
        <v>64</v>
      </c>
      <c r="G4219" s="137">
        <f t="shared" si="16"/>
        <v>11</v>
      </c>
      <c r="H4219" s="137"/>
      <c r="I4219" s="137"/>
      <c r="J4219" s="135"/>
      <c r="K4219" s="135"/>
      <c r="L4219" s="135"/>
      <c r="M4219" s="135"/>
      <c r="N4219" s="135"/>
      <c r="O4219" s="135"/>
      <c r="P4219" s="135"/>
      <c r="Q4219" s="135"/>
      <c r="R4219" s="135"/>
      <c r="S4219" s="135"/>
      <c r="T4219" s="135"/>
      <c r="U4219" s="135"/>
      <c r="V4219" s="135"/>
      <c r="W4219" s="135"/>
      <c r="X4219" s="135"/>
      <c r="Y4219" s="135"/>
      <c r="Z4219" s="135"/>
    </row>
    <row r="4220" spans="1:26" ht="25.5">
      <c r="A4220" s="136" t="s">
        <v>11</v>
      </c>
      <c r="B4220" s="136" t="s">
        <v>297</v>
      </c>
      <c r="C4220" s="136" t="s">
        <v>315</v>
      </c>
      <c r="D4220" s="136" t="s">
        <v>103</v>
      </c>
      <c r="E4220" s="136" t="s">
        <v>594</v>
      </c>
      <c r="F4220" s="136">
        <v>61</v>
      </c>
      <c r="G4220" s="137">
        <f t="shared" si="16"/>
        <v>12</v>
      </c>
      <c r="H4220" s="137"/>
      <c r="I4220" s="137"/>
      <c r="J4220" s="135"/>
      <c r="K4220" s="135"/>
      <c r="L4220" s="135"/>
      <c r="M4220" s="135"/>
      <c r="N4220" s="135"/>
      <c r="O4220" s="135"/>
      <c r="P4220" s="135"/>
      <c r="Q4220" s="135"/>
      <c r="R4220" s="135"/>
      <c r="S4220" s="135"/>
      <c r="T4220" s="135"/>
      <c r="U4220" s="135"/>
      <c r="V4220" s="135"/>
      <c r="W4220" s="135"/>
      <c r="X4220" s="135"/>
      <c r="Y4220" s="135"/>
      <c r="Z4220" s="135"/>
    </row>
    <row r="4221" spans="1:26" ht="25.5">
      <c r="A4221" s="136" t="s">
        <v>11</v>
      </c>
      <c r="B4221" s="136" t="s">
        <v>297</v>
      </c>
      <c r="C4221" s="136" t="s">
        <v>315</v>
      </c>
      <c r="D4221" s="136" t="s">
        <v>1659</v>
      </c>
      <c r="E4221" s="136" t="s">
        <v>615</v>
      </c>
      <c r="F4221" s="136">
        <v>49</v>
      </c>
      <c r="G4221" s="137">
        <f t="shared" si="16"/>
        <v>13</v>
      </c>
      <c r="H4221" s="137"/>
      <c r="I4221" s="137"/>
      <c r="J4221" s="135"/>
      <c r="K4221" s="135"/>
      <c r="L4221" s="135"/>
      <c r="M4221" s="135"/>
      <c r="N4221" s="135"/>
      <c r="O4221" s="135"/>
      <c r="P4221" s="135"/>
      <c r="Q4221" s="135"/>
      <c r="R4221" s="135"/>
      <c r="S4221" s="135"/>
      <c r="T4221" s="135"/>
      <c r="U4221" s="135"/>
      <c r="V4221" s="135"/>
      <c r="W4221" s="135"/>
      <c r="X4221" s="135"/>
      <c r="Y4221" s="135"/>
      <c r="Z4221" s="135"/>
    </row>
    <row r="4222" spans="1:26" ht="25.5">
      <c r="A4222" s="136" t="s">
        <v>11</v>
      </c>
      <c r="B4222" s="136" t="s">
        <v>297</v>
      </c>
      <c r="C4222" s="136" t="s">
        <v>315</v>
      </c>
      <c r="D4222" s="136" t="s">
        <v>437</v>
      </c>
      <c r="E4222" s="136" t="s">
        <v>594</v>
      </c>
      <c r="F4222" s="136">
        <v>49</v>
      </c>
      <c r="G4222" s="137">
        <f t="shared" si="16"/>
        <v>14</v>
      </c>
      <c r="H4222" s="137"/>
      <c r="I4222" s="137"/>
      <c r="J4222" s="135"/>
      <c r="K4222" s="135"/>
      <c r="L4222" s="135"/>
      <c r="M4222" s="135"/>
      <c r="N4222" s="135"/>
      <c r="O4222" s="135"/>
      <c r="P4222" s="135"/>
      <c r="Q4222" s="135"/>
      <c r="R4222" s="135"/>
      <c r="S4222" s="135"/>
      <c r="T4222" s="135"/>
      <c r="U4222" s="135"/>
      <c r="V4222" s="135"/>
      <c r="W4222" s="135"/>
      <c r="X4222" s="135"/>
      <c r="Y4222" s="135"/>
      <c r="Z4222" s="135"/>
    </row>
    <row r="4223" spans="1:26" ht="25.5">
      <c r="A4223" s="136" t="s">
        <v>11</v>
      </c>
      <c r="B4223" s="136" t="s">
        <v>297</v>
      </c>
      <c r="C4223" s="136" t="s">
        <v>315</v>
      </c>
      <c r="D4223" s="136" t="s">
        <v>1639</v>
      </c>
      <c r="E4223" s="136" t="s">
        <v>615</v>
      </c>
      <c r="F4223" s="136">
        <v>38</v>
      </c>
      <c r="G4223" s="137">
        <f t="shared" si="16"/>
        <v>15</v>
      </c>
      <c r="H4223" s="137"/>
      <c r="I4223" s="137"/>
      <c r="J4223" s="135"/>
      <c r="K4223" s="135"/>
      <c r="L4223" s="135"/>
      <c r="M4223" s="135"/>
      <c r="N4223" s="135"/>
      <c r="O4223" s="135"/>
      <c r="P4223" s="135"/>
      <c r="Q4223" s="135"/>
      <c r="R4223" s="135"/>
      <c r="S4223" s="135"/>
      <c r="T4223" s="135"/>
      <c r="U4223" s="135"/>
      <c r="V4223" s="135"/>
      <c r="W4223" s="135"/>
      <c r="X4223" s="135"/>
      <c r="Y4223" s="135"/>
      <c r="Z4223" s="135"/>
    </row>
    <row r="4224" spans="1:26" ht="25.5">
      <c r="A4224" s="136" t="s">
        <v>11</v>
      </c>
      <c r="B4224" s="136" t="s">
        <v>297</v>
      </c>
      <c r="C4224" s="136" t="s">
        <v>315</v>
      </c>
      <c r="D4224" s="136" t="s">
        <v>120</v>
      </c>
      <c r="E4224" s="136" t="s">
        <v>615</v>
      </c>
      <c r="F4224" s="136">
        <v>33</v>
      </c>
      <c r="G4224" s="137">
        <f t="shared" si="16"/>
        <v>16</v>
      </c>
      <c r="H4224" s="137"/>
      <c r="I4224" s="137"/>
      <c r="J4224" s="135"/>
      <c r="K4224" s="135"/>
      <c r="L4224" s="135"/>
      <c r="M4224" s="135"/>
      <c r="N4224" s="135"/>
      <c r="O4224" s="135"/>
      <c r="P4224" s="135"/>
      <c r="Q4224" s="135"/>
      <c r="R4224" s="135"/>
      <c r="S4224" s="135"/>
      <c r="T4224" s="135"/>
      <c r="U4224" s="135"/>
      <c r="V4224" s="135"/>
      <c r="W4224" s="135"/>
      <c r="X4224" s="135"/>
      <c r="Y4224" s="135"/>
      <c r="Z4224" s="135"/>
    </row>
    <row r="4225" spans="1:26" ht="25.5">
      <c r="A4225" s="136" t="s">
        <v>11</v>
      </c>
      <c r="B4225" s="136" t="s">
        <v>297</v>
      </c>
      <c r="C4225" s="136" t="s">
        <v>315</v>
      </c>
      <c r="D4225" s="136" t="s">
        <v>131</v>
      </c>
      <c r="E4225" s="136" t="s">
        <v>594</v>
      </c>
      <c r="F4225" s="136">
        <v>32</v>
      </c>
      <c r="G4225" s="137">
        <f t="shared" si="16"/>
        <v>17</v>
      </c>
      <c r="H4225" s="137"/>
      <c r="I4225" s="137"/>
      <c r="J4225" s="135"/>
      <c r="K4225" s="135"/>
      <c r="L4225" s="135"/>
      <c r="M4225" s="135"/>
      <c r="N4225" s="135"/>
      <c r="O4225" s="135"/>
      <c r="P4225" s="135"/>
      <c r="Q4225" s="135"/>
      <c r="R4225" s="135"/>
      <c r="S4225" s="135"/>
      <c r="T4225" s="135"/>
      <c r="U4225" s="135"/>
      <c r="V4225" s="135"/>
      <c r="W4225" s="135"/>
      <c r="X4225" s="135"/>
      <c r="Y4225" s="135"/>
      <c r="Z4225" s="135"/>
    </row>
    <row r="4226" spans="1:26" ht="25.5">
      <c r="A4226" s="136" t="s">
        <v>11</v>
      </c>
      <c r="B4226" s="136" t="s">
        <v>297</v>
      </c>
      <c r="C4226" s="136" t="s">
        <v>315</v>
      </c>
      <c r="D4226" s="136" t="s">
        <v>7617</v>
      </c>
      <c r="E4226" s="136" t="s">
        <v>615</v>
      </c>
      <c r="F4226" s="136">
        <v>25</v>
      </c>
      <c r="G4226" s="137">
        <f t="shared" si="16"/>
        <v>18</v>
      </c>
      <c r="H4226" s="137"/>
      <c r="I4226" s="137"/>
      <c r="J4226" s="135"/>
      <c r="K4226" s="135"/>
      <c r="L4226" s="135"/>
      <c r="M4226" s="135"/>
      <c r="N4226" s="135"/>
      <c r="O4226" s="135"/>
      <c r="P4226" s="135"/>
      <c r="Q4226" s="135"/>
      <c r="R4226" s="135"/>
      <c r="S4226" s="135"/>
      <c r="T4226" s="135"/>
      <c r="U4226" s="135"/>
      <c r="V4226" s="135"/>
      <c r="W4226" s="135"/>
      <c r="X4226" s="135"/>
      <c r="Y4226" s="135"/>
      <c r="Z4226" s="135"/>
    </row>
    <row r="4227" spans="1:26" ht="25.5">
      <c r="A4227" s="136" t="s">
        <v>11</v>
      </c>
      <c r="B4227" s="136" t="s">
        <v>297</v>
      </c>
      <c r="C4227" s="136" t="s">
        <v>315</v>
      </c>
      <c r="D4227" s="136" t="s">
        <v>7933</v>
      </c>
      <c r="E4227" s="136" t="s">
        <v>615</v>
      </c>
      <c r="F4227" s="136">
        <v>14</v>
      </c>
      <c r="G4227" s="137">
        <f t="shared" si="16"/>
        <v>19</v>
      </c>
      <c r="H4227" s="137"/>
      <c r="I4227" s="137"/>
      <c r="J4227" s="135"/>
      <c r="K4227" s="135"/>
      <c r="L4227" s="135"/>
      <c r="M4227" s="135"/>
      <c r="N4227" s="135"/>
      <c r="O4227" s="135"/>
      <c r="P4227" s="135"/>
      <c r="Q4227" s="135"/>
      <c r="R4227" s="135"/>
      <c r="S4227" s="135"/>
      <c r="T4227" s="135"/>
      <c r="U4227" s="135"/>
      <c r="V4227" s="135"/>
      <c r="W4227" s="135"/>
      <c r="X4227" s="135"/>
      <c r="Y4227" s="135"/>
      <c r="Z4227" s="135"/>
    </row>
    <row r="4228" spans="1:26" ht="25.5">
      <c r="A4228" s="136" t="s">
        <v>11</v>
      </c>
      <c r="B4228" s="136" t="s">
        <v>297</v>
      </c>
      <c r="C4228" s="136" t="s">
        <v>315</v>
      </c>
      <c r="D4228" s="136" t="s">
        <v>7937</v>
      </c>
      <c r="E4228" s="136" t="s">
        <v>86</v>
      </c>
      <c r="F4228" s="136">
        <v>5</v>
      </c>
      <c r="G4228" s="137">
        <f t="shared" si="16"/>
        <v>20</v>
      </c>
      <c r="H4228" s="137"/>
      <c r="I4228" s="137"/>
      <c r="J4228" s="135"/>
      <c r="K4228" s="135"/>
      <c r="L4228" s="135"/>
      <c r="M4228" s="135"/>
      <c r="N4228" s="135"/>
      <c r="O4228" s="135"/>
      <c r="P4228" s="135"/>
      <c r="Q4228" s="135"/>
      <c r="R4228" s="135"/>
      <c r="S4228" s="135"/>
      <c r="T4228" s="135"/>
      <c r="U4228" s="135"/>
      <c r="V4228" s="135"/>
      <c r="W4228" s="135"/>
      <c r="X4228" s="135"/>
      <c r="Y4228" s="135"/>
      <c r="Z4228" s="135"/>
    </row>
    <row r="4229" spans="1:26" ht="25.5">
      <c r="A4229" s="136" t="s">
        <v>11</v>
      </c>
      <c r="B4229" s="136" t="s">
        <v>297</v>
      </c>
      <c r="C4229" s="136" t="s">
        <v>853</v>
      </c>
      <c r="D4229" s="136" t="s">
        <v>139</v>
      </c>
      <c r="E4229" s="136" t="s">
        <v>594</v>
      </c>
      <c r="F4229" s="136">
        <v>2156</v>
      </c>
      <c r="G4229" s="137">
        <f t="shared" si="16"/>
        <v>1</v>
      </c>
      <c r="H4229" s="137"/>
      <c r="I4229" s="137"/>
      <c r="J4229" s="135"/>
      <c r="K4229" s="135"/>
      <c r="L4229" s="135"/>
      <c r="M4229" s="135"/>
      <c r="N4229" s="135"/>
      <c r="O4229" s="135"/>
      <c r="P4229" s="135"/>
      <c r="Q4229" s="135"/>
      <c r="R4229" s="135"/>
      <c r="S4229" s="135"/>
      <c r="T4229" s="135"/>
      <c r="U4229" s="135"/>
      <c r="V4229" s="135"/>
      <c r="W4229" s="135"/>
      <c r="X4229" s="135"/>
      <c r="Y4229" s="135"/>
      <c r="Z4229" s="135"/>
    </row>
    <row r="4230" spans="1:26" ht="25.5">
      <c r="A4230" s="136" t="s">
        <v>11</v>
      </c>
      <c r="B4230" s="136" t="s">
        <v>297</v>
      </c>
      <c r="C4230" s="136" t="s">
        <v>853</v>
      </c>
      <c r="D4230" s="136" t="s">
        <v>1669</v>
      </c>
      <c r="E4230" s="136" t="s">
        <v>615</v>
      </c>
      <c r="F4230" s="136">
        <v>789</v>
      </c>
      <c r="G4230" s="137">
        <f t="shared" si="16"/>
        <v>2</v>
      </c>
      <c r="H4230" s="137"/>
      <c r="I4230" s="137"/>
      <c r="J4230" s="135"/>
      <c r="K4230" s="135"/>
      <c r="L4230" s="135"/>
      <c r="M4230" s="135"/>
      <c r="N4230" s="135"/>
      <c r="O4230" s="135"/>
      <c r="P4230" s="135"/>
      <c r="Q4230" s="135"/>
      <c r="R4230" s="135"/>
      <c r="S4230" s="135"/>
      <c r="T4230" s="135"/>
      <c r="U4230" s="135"/>
      <c r="V4230" s="135"/>
      <c r="W4230" s="135"/>
      <c r="X4230" s="135"/>
      <c r="Y4230" s="135"/>
      <c r="Z4230" s="135"/>
    </row>
    <row r="4231" spans="1:26" ht="25.5">
      <c r="A4231" s="136" t="s">
        <v>11</v>
      </c>
      <c r="B4231" s="136" t="s">
        <v>297</v>
      </c>
      <c r="C4231" s="136" t="s">
        <v>853</v>
      </c>
      <c r="D4231" s="136" t="s">
        <v>1656</v>
      </c>
      <c r="E4231" s="136" t="s">
        <v>594</v>
      </c>
      <c r="F4231" s="136">
        <v>382</v>
      </c>
      <c r="G4231" s="137">
        <f t="shared" si="16"/>
        <v>3</v>
      </c>
      <c r="H4231" s="137"/>
      <c r="I4231" s="137"/>
      <c r="J4231" s="135"/>
      <c r="K4231" s="135"/>
      <c r="L4231" s="135"/>
      <c r="M4231" s="135"/>
      <c r="N4231" s="135"/>
      <c r="O4231" s="135"/>
      <c r="P4231" s="135"/>
      <c r="Q4231" s="135"/>
      <c r="R4231" s="135"/>
      <c r="S4231" s="135"/>
      <c r="T4231" s="135"/>
      <c r="U4231" s="135"/>
      <c r="V4231" s="135"/>
      <c r="W4231" s="135"/>
      <c r="X4231" s="135"/>
      <c r="Y4231" s="135"/>
      <c r="Z4231" s="135"/>
    </row>
    <row r="4232" spans="1:26" ht="25.5">
      <c r="A4232" s="136" t="s">
        <v>11</v>
      </c>
      <c r="B4232" s="136" t="s">
        <v>297</v>
      </c>
      <c r="C4232" s="136" t="s">
        <v>853</v>
      </c>
      <c r="D4232" s="136" t="s">
        <v>7878</v>
      </c>
      <c r="E4232" s="136" t="s">
        <v>85</v>
      </c>
      <c r="F4232" s="136">
        <v>224</v>
      </c>
      <c r="G4232" s="137">
        <f t="shared" si="16"/>
        <v>4</v>
      </c>
      <c r="H4232" s="137"/>
      <c r="I4232" s="137"/>
      <c r="J4232" s="135"/>
      <c r="K4232" s="135"/>
      <c r="L4232" s="135"/>
      <c r="M4232" s="135"/>
      <c r="N4232" s="135"/>
      <c r="O4232" s="135"/>
      <c r="P4232" s="135"/>
      <c r="Q4232" s="135"/>
      <c r="R4232" s="135"/>
      <c r="S4232" s="135"/>
      <c r="T4232" s="135"/>
      <c r="U4232" s="135"/>
      <c r="V4232" s="135"/>
      <c r="W4232" s="135"/>
      <c r="X4232" s="135"/>
      <c r="Y4232" s="135"/>
      <c r="Z4232" s="135"/>
    </row>
    <row r="4233" spans="1:26" ht="25.5">
      <c r="A4233" s="136" t="s">
        <v>11</v>
      </c>
      <c r="B4233" s="136" t="s">
        <v>297</v>
      </c>
      <c r="C4233" s="136" t="s">
        <v>853</v>
      </c>
      <c r="D4233" s="136" t="s">
        <v>7657</v>
      </c>
      <c r="E4233" s="136" t="s">
        <v>85</v>
      </c>
      <c r="F4233" s="136">
        <v>124</v>
      </c>
      <c r="G4233" s="137">
        <f t="shared" si="16"/>
        <v>5</v>
      </c>
      <c r="H4233" s="137"/>
      <c r="I4233" s="137"/>
      <c r="J4233" s="135"/>
      <c r="K4233" s="135"/>
      <c r="L4233" s="135"/>
      <c r="M4233" s="135"/>
      <c r="N4233" s="135"/>
      <c r="O4233" s="135"/>
      <c r="P4233" s="135"/>
      <c r="Q4233" s="135"/>
      <c r="R4233" s="135"/>
      <c r="S4233" s="135"/>
      <c r="T4233" s="135"/>
      <c r="U4233" s="135"/>
      <c r="V4233" s="135"/>
      <c r="W4233" s="135"/>
      <c r="X4233" s="135"/>
      <c r="Y4233" s="135"/>
      <c r="Z4233" s="135"/>
    </row>
    <row r="4234" spans="1:26" ht="25.5">
      <c r="A4234" s="136" t="s">
        <v>11</v>
      </c>
      <c r="B4234" s="136" t="s">
        <v>297</v>
      </c>
      <c r="C4234" s="136" t="s">
        <v>853</v>
      </c>
      <c r="D4234" s="136" t="s">
        <v>1665</v>
      </c>
      <c r="E4234" s="136" t="s">
        <v>615</v>
      </c>
      <c r="F4234" s="136">
        <v>47</v>
      </c>
      <c r="G4234" s="137">
        <f t="shared" si="16"/>
        <v>6</v>
      </c>
      <c r="H4234" s="137"/>
      <c r="I4234" s="137"/>
      <c r="J4234" s="135"/>
      <c r="K4234" s="135"/>
      <c r="L4234" s="135"/>
      <c r="M4234" s="135"/>
      <c r="N4234" s="135"/>
      <c r="O4234" s="135"/>
      <c r="P4234" s="135"/>
      <c r="Q4234" s="135"/>
      <c r="R4234" s="135"/>
      <c r="S4234" s="135"/>
      <c r="T4234" s="135"/>
      <c r="U4234" s="135"/>
      <c r="V4234" s="135"/>
      <c r="W4234" s="135"/>
      <c r="X4234" s="135"/>
      <c r="Y4234" s="135"/>
      <c r="Z4234" s="135"/>
    </row>
    <row r="4235" spans="1:26" ht="25.5">
      <c r="A4235" s="136" t="s">
        <v>11</v>
      </c>
      <c r="B4235" s="136" t="s">
        <v>297</v>
      </c>
      <c r="C4235" s="136" t="s">
        <v>853</v>
      </c>
      <c r="D4235" s="136" t="s">
        <v>165</v>
      </c>
      <c r="E4235" s="136" t="s">
        <v>615</v>
      </c>
      <c r="F4235" s="136">
        <v>36</v>
      </c>
      <c r="G4235" s="137">
        <f t="shared" si="16"/>
        <v>7</v>
      </c>
      <c r="H4235" s="137"/>
      <c r="I4235" s="137"/>
      <c r="J4235" s="135"/>
      <c r="K4235" s="135"/>
      <c r="L4235" s="135"/>
      <c r="M4235" s="135"/>
      <c r="N4235" s="135"/>
      <c r="O4235" s="135"/>
      <c r="P4235" s="135"/>
      <c r="Q4235" s="135"/>
      <c r="R4235" s="135"/>
      <c r="S4235" s="135"/>
      <c r="T4235" s="135"/>
      <c r="U4235" s="135"/>
      <c r="V4235" s="135"/>
      <c r="W4235" s="135"/>
      <c r="X4235" s="135"/>
      <c r="Y4235" s="135"/>
      <c r="Z4235" s="135"/>
    </row>
    <row r="4236" spans="1:26" ht="25.5">
      <c r="A4236" s="136" t="s">
        <v>11</v>
      </c>
      <c r="B4236" s="136" t="s">
        <v>297</v>
      </c>
      <c r="C4236" s="136" t="s">
        <v>853</v>
      </c>
      <c r="D4236" s="136" t="s">
        <v>1659</v>
      </c>
      <c r="E4236" s="136" t="s">
        <v>615</v>
      </c>
      <c r="F4236" s="136">
        <v>31</v>
      </c>
      <c r="G4236" s="137">
        <f t="shared" si="16"/>
        <v>8</v>
      </c>
      <c r="H4236" s="137"/>
      <c r="I4236" s="137"/>
      <c r="J4236" s="135"/>
      <c r="K4236" s="135"/>
      <c r="L4236" s="135"/>
      <c r="M4236" s="135"/>
      <c r="N4236" s="135"/>
      <c r="O4236" s="135"/>
      <c r="P4236" s="135"/>
      <c r="Q4236" s="135"/>
      <c r="R4236" s="135"/>
      <c r="S4236" s="135"/>
      <c r="T4236" s="135"/>
      <c r="U4236" s="135"/>
      <c r="V4236" s="135"/>
      <c r="W4236" s="135"/>
      <c r="X4236" s="135"/>
      <c r="Y4236" s="135"/>
      <c r="Z4236" s="135"/>
    </row>
    <row r="4237" spans="1:26" ht="25.5">
      <c r="A4237" s="136" t="s">
        <v>11</v>
      </c>
      <c r="B4237" s="136" t="s">
        <v>297</v>
      </c>
      <c r="C4237" s="136" t="s">
        <v>853</v>
      </c>
      <c r="D4237" s="136" t="s">
        <v>1680</v>
      </c>
      <c r="E4237" s="136" t="s">
        <v>615</v>
      </c>
      <c r="F4237" s="136">
        <v>21</v>
      </c>
      <c r="G4237" s="137">
        <f t="shared" si="16"/>
        <v>9</v>
      </c>
      <c r="H4237" s="137"/>
      <c r="I4237" s="137"/>
      <c r="J4237" s="135"/>
      <c r="K4237" s="135"/>
      <c r="L4237" s="135"/>
      <c r="M4237" s="135"/>
      <c r="N4237" s="135"/>
      <c r="O4237" s="135"/>
      <c r="P4237" s="135"/>
      <c r="Q4237" s="135"/>
      <c r="R4237" s="135"/>
      <c r="S4237" s="135"/>
      <c r="T4237" s="135"/>
      <c r="U4237" s="135"/>
      <c r="V4237" s="135"/>
      <c r="W4237" s="135"/>
      <c r="X4237" s="135"/>
      <c r="Y4237" s="135"/>
      <c r="Z4237" s="135"/>
    </row>
    <row r="4238" spans="1:26" ht="25.5">
      <c r="A4238" s="136" t="s">
        <v>11</v>
      </c>
      <c r="B4238" s="136" t="s">
        <v>297</v>
      </c>
      <c r="C4238" s="136" t="s">
        <v>853</v>
      </c>
      <c r="D4238" s="136" t="s">
        <v>136</v>
      </c>
      <c r="E4238" s="136" t="s">
        <v>615</v>
      </c>
      <c r="F4238" s="136">
        <v>17</v>
      </c>
      <c r="G4238" s="137">
        <f t="shared" si="16"/>
        <v>10</v>
      </c>
      <c r="H4238" s="137"/>
      <c r="I4238" s="137"/>
      <c r="J4238" s="135"/>
      <c r="K4238" s="135"/>
      <c r="L4238" s="135"/>
      <c r="M4238" s="135"/>
      <c r="N4238" s="135"/>
      <c r="O4238" s="135"/>
      <c r="P4238" s="135"/>
      <c r="Q4238" s="135"/>
      <c r="R4238" s="135"/>
      <c r="S4238" s="135"/>
      <c r="T4238" s="135"/>
      <c r="U4238" s="135"/>
      <c r="V4238" s="135"/>
      <c r="W4238" s="135"/>
      <c r="X4238" s="135"/>
      <c r="Y4238" s="135"/>
      <c r="Z4238" s="135"/>
    </row>
    <row r="4239" spans="1:26" ht="25.5">
      <c r="A4239" s="136" t="s">
        <v>11</v>
      </c>
      <c r="B4239" s="136" t="s">
        <v>297</v>
      </c>
      <c r="C4239" s="136" t="s">
        <v>853</v>
      </c>
      <c r="D4239" s="136" t="s">
        <v>368</v>
      </c>
      <c r="E4239" s="136" t="s">
        <v>594</v>
      </c>
      <c r="F4239" s="136">
        <v>15</v>
      </c>
      <c r="G4239" s="137">
        <f t="shared" si="16"/>
        <v>11</v>
      </c>
      <c r="H4239" s="137"/>
      <c r="I4239" s="137"/>
      <c r="J4239" s="135"/>
      <c r="K4239" s="135"/>
      <c r="L4239" s="135"/>
      <c r="M4239" s="135"/>
      <c r="N4239" s="135"/>
      <c r="O4239" s="135"/>
      <c r="P4239" s="135"/>
      <c r="Q4239" s="135"/>
      <c r="R4239" s="135"/>
      <c r="S4239" s="135"/>
      <c r="T4239" s="135"/>
      <c r="U4239" s="135"/>
      <c r="V4239" s="135"/>
      <c r="W4239" s="135"/>
      <c r="X4239" s="135"/>
      <c r="Y4239" s="135"/>
      <c r="Z4239" s="135"/>
    </row>
    <row r="4240" spans="1:26" ht="25.5">
      <c r="A4240" s="136" t="s">
        <v>11</v>
      </c>
      <c r="B4240" s="136" t="s">
        <v>297</v>
      </c>
      <c r="C4240" s="136" t="s">
        <v>853</v>
      </c>
      <c r="D4240" s="136" t="s">
        <v>213</v>
      </c>
      <c r="E4240" s="136" t="s">
        <v>615</v>
      </c>
      <c r="F4240" s="136">
        <v>10</v>
      </c>
      <c r="G4240" s="137">
        <f t="shared" si="16"/>
        <v>12</v>
      </c>
      <c r="H4240" s="137"/>
      <c r="I4240" s="137"/>
      <c r="J4240" s="135"/>
      <c r="K4240" s="135"/>
      <c r="L4240" s="135"/>
      <c r="M4240" s="135"/>
      <c r="N4240" s="135"/>
      <c r="O4240" s="135"/>
      <c r="P4240" s="135"/>
      <c r="Q4240" s="135"/>
      <c r="R4240" s="135"/>
      <c r="S4240" s="135"/>
      <c r="T4240" s="135"/>
      <c r="U4240" s="135"/>
      <c r="V4240" s="135"/>
      <c r="W4240" s="135"/>
      <c r="X4240" s="135"/>
      <c r="Y4240" s="135"/>
      <c r="Z4240" s="135"/>
    </row>
    <row r="4241" spans="1:26" ht="25.5">
      <c r="A4241" s="136" t="s">
        <v>11</v>
      </c>
      <c r="B4241" s="136" t="s">
        <v>297</v>
      </c>
      <c r="C4241" s="136" t="s">
        <v>853</v>
      </c>
      <c r="D4241" s="136" t="s">
        <v>7937</v>
      </c>
      <c r="E4241" s="136" t="s">
        <v>86</v>
      </c>
      <c r="F4241" s="136">
        <v>9</v>
      </c>
      <c r="G4241" s="137">
        <f t="shared" si="16"/>
        <v>13</v>
      </c>
      <c r="H4241" s="137"/>
      <c r="I4241" s="137"/>
      <c r="J4241" s="135"/>
      <c r="K4241" s="135"/>
      <c r="L4241" s="135"/>
      <c r="M4241" s="135"/>
      <c r="N4241" s="135"/>
      <c r="O4241" s="135"/>
      <c r="P4241" s="135"/>
      <c r="Q4241" s="135"/>
      <c r="R4241" s="135"/>
      <c r="S4241" s="135"/>
      <c r="T4241" s="135"/>
      <c r="U4241" s="135"/>
      <c r="V4241" s="135"/>
      <c r="W4241" s="135"/>
      <c r="X4241" s="135"/>
      <c r="Y4241" s="135"/>
      <c r="Z4241" s="135"/>
    </row>
    <row r="4242" spans="1:26" ht="25.5">
      <c r="A4242" s="136" t="s">
        <v>11</v>
      </c>
      <c r="B4242" s="136" t="s">
        <v>297</v>
      </c>
      <c r="C4242" s="136" t="s">
        <v>853</v>
      </c>
      <c r="D4242" s="136" t="s">
        <v>1626</v>
      </c>
      <c r="E4242" s="136" t="s">
        <v>594</v>
      </c>
      <c r="F4242" s="136">
        <v>6</v>
      </c>
      <c r="G4242" s="137">
        <f t="shared" si="16"/>
        <v>14</v>
      </c>
      <c r="H4242" s="137"/>
      <c r="I4242" s="137"/>
      <c r="J4242" s="135"/>
      <c r="K4242" s="135"/>
      <c r="L4242" s="135"/>
      <c r="M4242" s="135"/>
      <c r="N4242" s="135"/>
      <c r="O4242" s="135"/>
      <c r="P4242" s="135"/>
      <c r="Q4242" s="135"/>
      <c r="R4242" s="135"/>
      <c r="S4242" s="135"/>
      <c r="T4242" s="135"/>
      <c r="U4242" s="135"/>
      <c r="V4242" s="135"/>
      <c r="W4242" s="135"/>
      <c r="X4242" s="135"/>
      <c r="Y4242" s="135"/>
      <c r="Z4242" s="135"/>
    </row>
    <row r="4243" spans="1:26" ht="25.5">
      <c r="A4243" s="136" t="s">
        <v>11</v>
      </c>
      <c r="B4243" s="136" t="s">
        <v>297</v>
      </c>
      <c r="C4243" s="136" t="s">
        <v>7962</v>
      </c>
      <c r="D4243" s="136" t="s">
        <v>139</v>
      </c>
      <c r="E4243" s="136" t="s">
        <v>594</v>
      </c>
      <c r="F4243" s="136">
        <v>854</v>
      </c>
      <c r="G4243" s="137">
        <f t="shared" si="16"/>
        <v>1</v>
      </c>
      <c r="H4243" s="137"/>
      <c r="I4243" s="137"/>
      <c r="J4243" s="135"/>
      <c r="K4243" s="135"/>
      <c r="L4243" s="135"/>
      <c r="M4243" s="135"/>
      <c r="N4243" s="135"/>
      <c r="O4243" s="135"/>
      <c r="P4243" s="135"/>
      <c r="Q4243" s="135"/>
      <c r="R4243" s="135"/>
      <c r="S4243" s="135"/>
      <c r="T4243" s="135"/>
      <c r="U4243" s="135"/>
      <c r="V4243" s="135"/>
      <c r="W4243" s="135"/>
      <c r="X4243" s="135"/>
      <c r="Y4243" s="135"/>
      <c r="Z4243" s="135"/>
    </row>
    <row r="4244" spans="1:26" ht="25.5">
      <c r="A4244" s="136" t="s">
        <v>11</v>
      </c>
      <c r="B4244" s="136" t="s">
        <v>297</v>
      </c>
      <c r="C4244" s="136" t="s">
        <v>7962</v>
      </c>
      <c r="D4244" s="136" t="s">
        <v>103</v>
      </c>
      <c r="E4244" s="136" t="s">
        <v>594</v>
      </c>
      <c r="F4244" s="136">
        <v>623</v>
      </c>
      <c r="G4244" s="137">
        <f t="shared" si="16"/>
        <v>2</v>
      </c>
      <c r="H4244" s="137"/>
      <c r="I4244" s="137"/>
      <c r="J4244" s="135"/>
      <c r="K4244" s="135"/>
      <c r="L4244" s="135"/>
      <c r="M4244" s="135"/>
      <c r="N4244" s="135"/>
      <c r="O4244" s="135"/>
      <c r="P4244" s="135"/>
      <c r="Q4244" s="135"/>
      <c r="R4244" s="135"/>
      <c r="S4244" s="135"/>
      <c r="T4244" s="135"/>
      <c r="U4244" s="135"/>
      <c r="V4244" s="135"/>
      <c r="W4244" s="135"/>
      <c r="X4244" s="135"/>
      <c r="Y4244" s="135"/>
      <c r="Z4244" s="135"/>
    </row>
    <row r="4245" spans="1:26" ht="25.5">
      <c r="A4245" s="136" t="s">
        <v>11</v>
      </c>
      <c r="B4245" s="136" t="s">
        <v>297</v>
      </c>
      <c r="C4245" s="136" t="s">
        <v>7962</v>
      </c>
      <c r="D4245" s="136" t="s">
        <v>165</v>
      </c>
      <c r="E4245" s="136" t="s">
        <v>615</v>
      </c>
      <c r="F4245" s="136">
        <v>504</v>
      </c>
      <c r="G4245" s="137">
        <f t="shared" si="16"/>
        <v>3</v>
      </c>
      <c r="H4245" s="137"/>
      <c r="I4245" s="137"/>
      <c r="J4245" s="135"/>
      <c r="K4245" s="135"/>
      <c r="L4245" s="135"/>
      <c r="M4245" s="135"/>
      <c r="N4245" s="135"/>
      <c r="O4245" s="135"/>
      <c r="P4245" s="135"/>
      <c r="Q4245" s="135"/>
      <c r="R4245" s="135"/>
      <c r="S4245" s="135"/>
      <c r="T4245" s="135"/>
      <c r="U4245" s="135"/>
      <c r="V4245" s="135"/>
      <c r="W4245" s="135"/>
      <c r="X4245" s="135"/>
      <c r="Y4245" s="135"/>
      <c r="Z4245" s="135"/>
    </row>
    <row r="4246" spans="1:26" ht="25.5">
      <c r="A4246" s="136" t="s">
        <v>11</v>
      </c>
      <c r="B4246" s="136" t="s">
        <v>297</v>
      </c>
      <c r="C4246" s="136" t="s">
        <v>7962</v>
      </c>
      <c r="D4246" s="136" t="s">
        <v>1669</v>
      </c>
      <c r="E4246" s="136" t="s">
        <v>615</v>
      </c>
      <c r="F4246" s="136">
        <v>468</v>
      </c>
      <c r="G4246" s="137">
        <f t="shared" si="16"/>
        <v>4</v>
      </c>
      <c r="H4246" s="137"/>
      <c r="I4246" s="137"/>
      <c r="J4246" s="135"/>
      <c r="K4246" s="135"/>
      <c r="L4246" s="135"/>
      <c r="M4246" s="135"/>
      <c r="N4246" s="135"/>
      <c r="O4246" s="135"/>
      <c r="P4246" s="135"/>
      <c r="Q4246" s="135"/>
      <c r="R4246" s="135"/>
      <c r="S4246" s="135"/>
      <c r="T4246" s="135"/>
      <c r="U4246" s="135"/>
      <c r="V4246" s="135"/>
      <c r="W4246" s="135"/>
      <c r="X4246" s="135"/>
      <c r="Y4246" s="135"/>
      <c r="Z4246" s="135"/>
    </row>
    <row r="4247" spans="1:26" ht="25.5">
      <c r="A4247" s="136" t="s">
        <v>11</v>
      </c>
      <c r="B4247" s="136" t="s">
        <v>297</v>
      </c>
      <c r="C4247" s="136" t="s">
        <v>7962</v>
      </c>
      <c r="D4247" s="136" t="s">
        <v>7878</v>
      </c>
      <c r="E4247" s="136" t="s">
        <v>85</v>
      </c>
      <c r="F4247" s="136">
        <v>389</v>
      </c>
      <c r="G4247" s="137">
        <f t="shared" si="16"/>
        <v>5</v>
      </c>
      <c r="H4247" s="137"/>
      <c r="I4247" s="137"/>
      <c r="J4247" s="135"/>
      <c r="K4247" s="135"/>
      <c r="L4247" s="135"/>
      <c r="M4247" s="135"/>
      <c r="N4247" s="135"/>
      <c r="O4247" s="135"/>
      <c r="P4247" s="135"/>
      <c r="Q4247" s="135"/>
      <c r="R4247" s="135"/>
      <c r="S4247" s="135"/>
      <c r="T4247" s="135"/>
      <c r="U4247" s="135"/>
      <c r="V4247" s="135"/>
      <c r="W4247" s="135"/>
      <c r="X4247" s="135"/>
      <c r="Y4247" s="135"/>
      <c r="Z4247" s="135"/>
    </row>
    <row r="4248" spans="1:26" ht="25.5">
      <c r="A4248" s="136" t="s">
        <v>11</v>
      </c>
      <c r="B4248" s="136" t="s">
        <v>297</v>
      </c>
      <c r="C4248" s="136" t="s">
        <v>7962</v>
      </c>
      <c r="D4248" s="136" t="s">
        <v>1665</v>
      </c>
      <c r="E4248" s="136" t="s">
        <v>615</v>
      </c>
      <c r="F4248" s="136">
        <v>124</v>
      </c>
      <c r="G4248" s="137">
        <f t="shared" si="16"/>
        <v>6</v>
      </c>
      <c r="H4248" s="137"/>
      <c r="I4248" s="137"/>
      <c r="J4248" s="135"/>
      <c r="K4248" s="135"/>
      <c r="L4248" s="135"/>
      <c r="M4248" s="135"/>
      <c r="N4248" s="135"/>
      <c r="O4248" s="135"/>
      <c r="P4248" s="135"/>
      <c r="Q4248" s="135"/>
      <c r="R4248" s="135"/>
      <c r="S4248" s="135"/>
      <c r="T4248" s="135"/>
      <c r="U4248" s="135"/>
      <c r="V4248" s="135"/>
      <c r="W4248" s="135"/>
      <c r="X4248" s="135"/>
      <c r="Y4248" s="135"/>
      <c r="Z4248" s="135"/>
    </row>
    <row r="4249" spans="1:26" ht="25.5">
      <c r="A4249" s="136" t="s">
        <v>11</v>
      </c>
      <c r="B4249" s="136" t="s">
        <v>297</v>
      </c>
      <c r="C4249" s="136" t="s">
        <v>7962</v>
      </c>
      <c r="D4249" s="136" t="s">
        <v>136</v>
      </c>
      <c r="E4249" s="136" t="s">
        <v>615</v>
      </c>
      <c r="F4249" s="136">
        <v>114</v>
      </c>
      <c r="G4249" s="137">
        <f t="shared" si="16"/>
        <v>7</v>
      </c>
      <c r="H4249" s="137"/>
      <c r="I4249" s="137"/>
      <c r="J4249" s="135"/>
      <c r="K4249" s="135"/>
      <c r="L4249" s="135"/>
      <c r="M4249" s="135"/>
      <c r="N4249" s="135"/>
      <c r="O4249" s="135"/>
      <c r="P4249" s="135"/>
      <c r="Q4249" s="135"/>
      <c r="R4249" s="135"/>
      <c r="S4249" s="135"/>
      <c r="T4249" s="135"/>
      <c r="U4249" s="135"/>
      <c r="V4249" s="135"/>
      <c r="W4249" s="135"/>
      <c r="X4249" s="135"/>
      <c r="Y4249" s="135"/>
      <c r="Z4249" s="135"/>
    </row>
    <row r="4250" spans="1:26" ht="25.5">
      <c r="A4250" s="136" t="s">
        <v>11</v>
      </c>
      <c r="B4250" s="136" t="s">
        <v>297</v>
      </c>
      <c r="C4250" s="136" t="s">
        <v>7962</v>
      </c>
      <c r="D4250" s="136" t="s">
        <v>131</v>
      </c>
      <c r="E4250" s="136" t="s">
        <v>594</v>
      </c>
      <c r="F4250" s="136">
        <v>92</v>
      </c>
      <c r="G4250" s="137">
        <f t="shared" si="16"/>
        <v>8</v>
      </c>
      <c r="H4250" s="137"/>
      <c r="I4250" s="137"/>
      <c r="J4250" s="135"/>
      <c r="K4250" s="135"/>
      <c r="L4250" s="135"/>
      <c r="M4250" s="135"/>
      <c r="N4250" s="135"/>
      <c r="O4250" s="135"/>
      <c r="P4250" s="135"/>
      <c r="Q4250" s="135"/>
      <c r="R4250" s="135"/>
      <c r="S4250" s="135"/>
      <c r="T4250" s="135"/>
      <c r="U4250" s="135"/>
      <c r="V4250" s="135"/>
      <c r="W4250" s="135"/>
      <c r="X4250" s="135"/>
      <c r="Y4250" s="135"/>
      <c r="Z4250" s="135"/>
    </row>
    <row r="4251" spans="1:26" ht="25.5">
      <c r="A4251" s="136" t="s">
        <v>11</v>
      </c>
      <c r="B4251" s="136" t="s">
        <v>297</v>
      </c>
      <c r="C4251" s="136" t="s">
        <v>7962</v>
      </c>
      <c r="D4251" s="136" t="s">
        <v>1659</v>
      </c>
      <c r="E4251" s="136" t="s">
        <v>615</v>
      </c>
      <c r="F4251" s="136">
        <v>75</v>
      </c>
      <c r="G4251" s="137">
        <f t="shared" si="16"/>
        <v>9</v>
      </c>
      <c r="H4251" s="137"/>
      <c r="I4251" s="137"/>
      <c r="J4251" s="135"/>
      <c r="K4251" s="135"/>
      <c r="L4251" s="135"/>
      <c r="M4251" s="135"/>
      <c r="N4251" s="135"/>
      <c r="O4251" s="135"/>
      <c r="P4251" s="135"/>
      <c r="Q4251" s="135"/>
      <c r="R4251" s="135"/>
      <c r="S4251" s="135"/>
      <c r="T4251" s="135"/>
      <c r="U4251" s="135"/>
      <c r="V4251" s="135"/>
      <c r="W4251" s="135"/>
      <c r="X4251" s="135"/>
      <c r="Y4251" s="135"/>
      <c r="Z4251" s="135"/>
    </row>
    <row r="4252" spans="1:26" ht="25.5">
      <c r="A4252" s="136" t="s">
        <v>11</v>
      </c>
      <c r="B4252" s="136" t="s">
        <v>297</v>
      </c>
      <c r="C4252" s="136" t="s">
        <v>7962</v>
      </c>
      <c r="D4252" s="136" t="s">
        <v>1656</v>
      </c>
      <c r="E4252" s="136" t="s">
        <v>594</v>
      </c>
      <c r="F4252" s="136">
        <v>41</v>
      </c>
      <c r="G4252" s="137">
        <f t="shared" si="16"/>
        <v>10</v>
      </c>
      <c r="H4252" s="137"/>
      <c r="I4252" s="137"/>
      <c r="J4252" s="135"/>
      <c r="K4252" s="135"/>
      <c r="L4252" s="135"/>
      <c r="M4252" s="135"/>
      <c r="N4252" s="135"/>
      <c r="O4252" s="135"/>
      <c r="P4252" s="135"/>
      <c r="Q4252" s="135"/>
      <c r="R4252" s="135"/>
      <c r="S4252" s="135"/>
      <c r="T4252" s="135"/>
      <c r="U4252" s="135"/>
      <c r="V4252" s="135"/>
      <c r="W4252" s="135"/>
      <c r="X4252" s="135"/>
      <c r="Y4252" s="135"/>
      <c r="Z4252" s="135"/>
    </row>
    <row r="4253" spans="1:26" ht="25.5">
      <c r="A4253" s="136" t="s">
        <v>11</v>
      </c>
      <c r="B4253" s="136" t="s">
        <v>297</v>
      </c>
      <c r="C4253" s="136" t="s">
        <v>7962</v>
      </c>
      <c r="D4253" s="136" t="s">
        <v>7657</v>
      </c>
      <c r="E4253" s="136" t="s">
        <v>85</v>
      </c>
      <c r="F4253" s="136">
        <v>38</v>
      </c>
      <c r="G4253" s="137">
        <f t="shared" si="16"/>
        <v>11</v>
      </c>
      <c r="H4253" s="137"/>
      <c r="I4253" s="137"/>
      <c r="J4253" s="135"/>
      <c r="K4253" s="135"/>
      <c r="L4253" s="135"/>
      <c r="M4253" s="135"/>
      <c r="N4253" s="135"/>
      <c r="O4253" s="135"/>
      <c r="P4253" s="135"/>
      <c r="Q4253" s="135"/>
      <c r="R4253" s="135"/>
      <c r="S4253" s="135"/>
      <c r="T4253" s="135"/>
      <c r="U4253" s="135"/>
      <c r="V4253" s="135"/>
      <c r="W4253" s="135"/>
      <c r="X4253" s="135"/>
      <c r="Y4253" s="135"/>
      <c r="Z4253" s="135"/>
    </row>
    <row r="4254" spans="1:26" ht="25.5">
      <c r="A4254" s="136" t="s">
        <v>11</v>
      </c>
      <c r="B4254" s="136" t="s">
        <v>297</v>
      </c>
      <c r="C4254" s="136" t="s">
        <v>7962</v>
      </c>
      <c r="D4254" s="136" t="s">
        <v>7544</v>
      </c>
      <c r="E4254" s="136" t="s">
        <v>615</v>
      </c>
      <c r="F4254" s="136">
        <v>26</v>
      </c>
      <c r="G4254" s="137">
        <f t="shared" si="16"/>
        <v>12</v>
      </c>
      <c r="H4254" s="137"/>
      <c r="I4254" s="137"/>
      <c r="J4254" s="135"/>
      <c r="K4254" s="135"/>
      <c r="L4254" s="135"/>
      <c r="M4254" s="135"/>
      <c r="N4254" s="135"/>
      <c r="O4254" s="135"/>
      <c r="P4254" s="135"/>
      <c r="Q4254" s="135"/>
      <c r="R4254" s="135"/>
      <c r="S4254" s="135"/>
      <c r="T4254" s="135"/>
      <c r="U4254" s="135"/>
      <c r="V4254" s="135"/>
      <c r="W4254" s="135"/>
      <c r="X4254" s="135"/>
      <c r="Y4254" s="135"/>
      <c r="Z4254" s="135"/>
    </row>
    <row r="4255" spans="1:26" ht="25.5">
      <c r="A4255" s="136" t="s">
        <v>11</v>
      </c>
      <c r="B4255" s="136" t="s">
        <v>297</v>
      </c>
      <c r="C4255" s="136" t="s">
        <v>7962</v>
      </c>
      <c r="D4255" s="136" t="s">
        <v>120</v>
      </c>
      <c r="E4255" s="136" t="s">
        <v>615</v>
      </c>
      <c r="F4255" s="136">
        <v>20</v>
      </c>
      <c r="G4255" s="137">
        <f t="shared" si="16"/>
        <v>13</v>
      </c>
      <c r="H4255" s="137"/>
      <c r="I4255" s="137"/>
      <c r="J4255" s="135"/>
      <c r="K4255" s="135"/>
      <c r="L4255" s="135"/>
      <c r="M4255" s="135"/>
      <c r="N4255" s="135"/>
      <c r="O4255" s="135"/>
      <c r="P4255" s="135"/>
      <c r="Q4255" s="135"/>
      <c r="R4255" s="135"/>
      <c r="S4255" s="135"/>
      <c r="T4255" s="135"/>
      <c r="U4255" s="135"/>
      <c r="V4255" s="135"/>
      <c r="W4255" s="135"/>
      <c r="X4255" s="135"/>
      <c r="Y4255" s="135"/>
      <c r="Z4255" s="135"/>
    </row>
    <row r="4256" spans="1:26" ht="25.5">
      <c r="A4256" s="136" t="s">
        <v>11</v>
      </c>
      <c r="B4256" s="136" t="s">
        <v>297</v>
      </c>
      <c r="C4256" s="136" t="s">
        <v>7962</v>
      </c>
      <c r="D4256" s="136" t="s">
        <v>7937</v>
      </c>
      <c r="E4256" s="136" t="s">
        <v>86</v>
      </c>
      <c r="F4256" s="136">
        <v>14</v>
      </c>
      <c r="G4256" s="137">
        <f t="shared" si="16"/>
        <v>14</v>
      </c>
      <c r="H4256" s="137"/>
      <c r="I4256" s="137"/>
      <c r="J4256" s="135"/>
      <c r="K4256" s="135"/>
      <c r="L4256" s="135"/>
      <c r="M4256" s="135"/>
      <c r="N4256" s="135"/>
      <c r="O4256" s="135"/>
      <c r="P4256" s="135"/>
      <c r="Q4256" s="135"/>
      <c r="R4256" s="135"/>
      <c r="S4256" s="135"/>
      <c r="T4256" s="135"/>
      <c r="U4256" s="135"/>
      <c r="V4256" s="135"/>
      <c r="W4256" s="135"/>
      <c r="X4256" s="135"/>
      <c r="Y4256" s="135"/>
      <c r="Z4256" s="135"/>
    </row>
    <row r="4257" spans="1:26" ht="25.5">
      <c r="A4257" s="136" t="s">
        <v>11</v>
      </c>
      <c r="B4257" s="136" t="s">
        <v>297</v>
      </c>
      <c r="C4257" s="136" t="s">
        <v>7962</v>
      </c>
      <c r="D4257" s="136" t="s">
        <v>368</v>
      </c>
      <c r="E4257" s="136" t="s">
        <v>594</v>
      </c>
      <c r="F4257" s="136">
        <v>11</v>
      </c>
      <c r="G4257" s="137">
        <f t="shared" si="16"/>
        <v>15</v>
      </c>
      <c r="H4257" s="137"/>
      <c r="I4257" s="137"/>
      <c r="J4257" s="135"/>
      <c r="K4257" s="135"/>
      <c r="L4257" s="135"/>
      <c r="M4257" s="135"/>
      <c r="N4257" s="135"/>
      <c r="O4257" s="135"/>
      <c r="P4257" s="135"/>
      <c r="Q4257" s="135"/>
      <c r="R4257" s="135"/>
      <c r="S4257" s="135"/>
      <c r="T4257" s="135"/>
      <c r="U4257" s="135"/>
      <c r="V4257" s="135"/>
      <c r="W4257" s="135"/>
      <c r="X4257" s="135"/>
      <c r="Y4257" s="135"/>
      <c r="Z4257" s="135"/>
    </row>
    <row r="4258" spans="1:26" ht="25.5">
      <c r="A4258" s="136" t="s">
        <v>11</v>
      </c>
      <c r="B4258" s="136" t="s">
        <v>297</v>
      </c>
      <c r="C4258" s="136" t="s">
        <v>312</v>
      </c>
      <c r="D4258" s="136" t="s">
        <v>139</v>
      </c>
      <c r="E4258" s="136" t="s">
        <v>594</v>
      </c>
      <c r="F4258" s="136">
        <v>1607</v>
      </c>
      <c r="G4258" s="137">
        <f t="shared" si="16"/>
        <v>1</v>
      </c>
      <c r="H4258" s="137"/>
      <c r="I4258" s="137"/>
      <c r="J4258" s="135"/>
      <c r="K4258" s="135"/>
      <c r="L4258" s="135"/>
      <c r="M4258" s="135"/>
      <c r="N4258" s="135"/>
      <c r="O4258" s="135"/>
      <c r="P4258" s="135"/>
      <c r="Q4258" s="135"/>
      <c r="R4258" s="135"/>
      <c r="S4258" s="135"/>
      <c r="T4258" s="135"/>
      <c r="U4258" s="135"/>
      <c r="V4258" s="135"/>
      <c r="W4258" s="135"/>
      <c r="X4258" s="135"/>
      <c r="Y4258" s="135"/>
      <c r="Z4258" s="135"/>
    </row>
    <row r="4259" spans="1:26" ht="25.5">
      <c r="A4259" s="136" t="s">
        <v>11</v>
      </c>
      <c r="B4259" s="136" t="s">
        <v>297</v>
      </c>
      <c r="C4259" s="136" t="s">
        <v>312</v>
      </c>
      <c r="D4259" s="136" t="s">
        <v>1669</v>
      </c>
      <c r="E4259" s="136" t="s">
        <v>615</v>
      </c>
      <c r="F4259" s="136">
        <v>1035</v>
      </c>
      <c r="G4259" s="137">
        <f t="shared" si="16"/>
        <v>2</v>
      </c>
      <c r="H4259" s="137"/>
      <c r="I4259" s="137"/>
      <c r="J4259" s="135"/>
      <c r="K4259" s="135"/>
      <c r="L4259" s="135"/>
      <c r="M4259" s="135"/>
      <c r="N4259" s="135"/>
      <c r="O4259" s="135"/>
      <c r="P4259" s="135"/>
      <c r="Q4259" s="135"/>
      <c r="R4259" s="135"/>
      <c r="S4259" s="135"/>
      <c r="T4259" s="135"/>
      <c r="U4259" s="135"/>
      <c r="V4259" s="135"/>
      <c r="W4259" s="135"/>
      <c r="X4259" s="135"/>
      <c r="Y4259" s="135"/>
      <c r="Z4259" s="135"/>
    </row>
    <row r="4260" spans="1:26" ht="25.5">
      <c r="A4260" s="136" t="s">
        <v>11</v>
      </c>
      <c r="B4260" s="136" t="s">
        <v>297</v>
      </c>
      <c r="C4260" s="136" t="s">
        <v>312</v>
      </c>
      <c r="D4260" s="136" t="s">
        <v>7657</v>
      </c>
      <c r="E4260" s="136" t="s">
        <v>85</v>
      </c>
      <c r="F4260" s="136">
        <v>278</v>
      </c>
      <c r="G4260" s="137">
        <f t="shared" si="16"/>
        <v>3</v>
      </c>
      <c r="H4260" s="137"/>
      <c r="I4260" s="137"/>
      <c r="J4260" s="135"/>
      <c r="K4260" s="135"/>
      <c r="L4260" s="135"/>
      <c r="M4260" s="135"/>
      <c r="N4260" s="135"/>
      <c r="O4260" s="135"/>
      <c r="P4260" s="135"/>
      <c r="Q4260" s="135"/>
      <c r="R4260" s="135"/>
      <c r="S4260" s="135"/>
      <c r="T4260" s="135"/>
      <c r="U4260" s="135"/>
      <c r="V4260" s="135"/>
      <c r="W4260" s="135"/>
      <c r="X4260" s="135"/>
      <c r="Y4260" s="135"/>
      <c r="Z4260" s="135"/>
    </row>
    <row r="4261" spans="1:26" ht="25.5">
      <c r="A4261" s="136" t="s">
        <v>11</v>
      </c>
      <c r="B4261" s="136" t="s">
        <v>297</v>
      </c>
      <c r="C4261" s="136" t="s">
        <v>312</v>
      </c>
      <c r="D4261" s="136" t="s">
        <v>7878</v>
      </c>
      <c r="E4261" s="136" t="s">
        <v>85</v>
      </c>
      <c r="F4261" s="136">
        <v>237</v>
      </c>
      <c r="G4261" s="137">
        <f t="shared" si="16"/>
        <v>4</v>
      </c>
      <c r="H4261" s="137"/>
      <c r="I4261" s="137"/>
      <c r="J4261" s="135"/>
      <c r="K4261" s="135"/>
      <c r="L4261" s="135"/>
      <c r="M4261" s="135"/>
      <c r="N4261" s="135"/>
      <c r="O4261" s="135"/>
      <c r="P4261" s="135"/>
      <c r="Q4261" s="135"/>
      <c r="R4261" s="135"/>
      <c r="S4261" s="135"/>
      <c r="T4261" s="135"/>
      <c r="U4261" s="135"/>
      <c r="V4261" s="135"/>
      <c r="W4261" s="135"/>
      <c r="X4261" s="135"/>
      <c r="Y4261" s="135"/>
      <c r="Z4261" s="135"/>
    </row>
    <row r="4262" spans="1:26" ht="25.5">
      <c r="A4262" s="136" t="s">
        <v>11</v>
      </c>
      <c r="B4262" s="136" t="s">
        <v>297</v>
      </c>
      <c r="C4262" s="136" t="s">
        <v>312</v>
      </c>
      <c r="D4262" s="136" t="s">
        <v>136</v>
      </c>
      <c r="E4262" s="136" t="s">
        <v>615</v>
      </c>
      <c r="F4262" s="136">
        <v>168</v>
      </c>
      <c r="G4262" s="137">
        <f t="shared" si="16"/>
        <v>5</v>
      </c>
      <c r="H4262" s="137"/>
      <c r="I4262" s="137"/>
      <c r="J4262" s="135"/>
      <c r="K4262" s="135"/>
      <c r="L4262" s="135"/>
      <c r="M4262" s="135"/>
      <c r="N4262" s="135"/>
      <c r="O4262" s="135"/>
      <c r="P4262" s="135"/>
      <c r="Q4262" s="135"/>
      <c r="R4262" s="135"/>
      <c r="S4262" s="135"/>
      <c r="T4262" s="135"/>
      <c r="U4262" s="135"/>
      <c r="V4262" s="135"/>
      <c r="W4262" s="135"/>
      <c r="X4262" s="135"/>
      <c r="Y4262" s="135"/>
      <c r="Z4262" s="135"/>
    </row>
    <row r="4263" spans="1:26" ht="25.5">
      <c r="A4263" s="136" t="s">
        <v>11</v>
      </c>
      <c r="B4263" s="136" t="s">
        <v>297</v>
      </c>
      <c r="C4263" s="136" t="s">
        <v>312</v>
      </c>
      <c r="D4263" s="136" t="s">
        <v>368</v>
      </c>
      <c r="E4263" s="136" t="s">
        <v>594</v>
      </c>
      <c r="F4263" s="136">
        <v>87</v>
      </c>
      <c r="G4263" s="137">
        <f t="shared" si="16"/>
        <v>6</v>
      </c>
      <c r="H4263" s="137"/>
      <c r="I4263" s="137"/>
      <c r="J4263" s="135"/>
      <c r="K4263" s="135"/>
      <c r="L4263" s="135"/>
      <c r="M4263" s="135"/>
      <c r="N4263" s="135"/>
      <c r="O4263" s="135"/>
      <c r="P4263" s="135"/>
      <c r="Q4263" s="135"/>
      <c r="R4263" s="135"/>
      <c r="S4263" s="135"/>
      <c r="T4263" s="135"/>
      <c r="U4263" s="135"/>
      <c r="V4263" s="135"/>
      <c r="W4263" s="135"/>
      <c r="X4263" s="135"/>
      <c r="Y4263" s="135"/>
      <c r="Z4263" s="135"/>
    </row>
    <row r="4264" spans="1:26" ht="25.5">
      <c r="A4264" s="136" t="s">
        <v>11</v>
      </c>
      <c r="B4264" s="136" t="s">
        <v>297</v>
      </c>
      <c r="C4264" s="136" t="s">
        <v>312</v>
      </c>
      <c r="D4264" s="136" t="s">
        <v>1626</v>
      </c>
      <c r="E4264" s="136" t="s">
        <v>594</v>
      </c>
      <c r="F4264" s="136">
        <v>71</v>
      </c>
      <c r="G4264" s="137">
        <f t="shared" si="16"/>
        <v>7</v>
      </c>
      <c r="H4264" s="137"/>
      <c r="I4264" s="137"/>
      <c r="J4264" s="135"/>
      <c r="K4264" s="135"/>
      <c r="L4264" s="135"/>
      <c r="M4264" s="135"/>
      <c r="N4264" s="135"/>
      <c r="O4264" s="135"/>
      <c r="P4264" s="135"/>
      <c r="Q4264" s="135"/>
      <c r="R4264" s="135"/>
      <c r="S4264" s="135"/>
      <c r="T4264" s="135"/>
      <c r="U4264" s="135"/>
      <c r="V4264" s="135"/>
      <c r="W4264" s="135"/>
      <c r="X4264" s="135"/>
      <c r="Y4264" s="135"/>
      <c r="Z4264" s="135"/>
    </row>
    <row r="4265" spans="1:26" ht="25.5">
      <c r="A4265" s="136" t="s">
        <v>11</v>
      </c>
      <c r="B4265" s="136" t="s">
        <v>297</v>
      </c>
      <c r="C4265" s="136" t="s">
        <v>312</v>
      </c>
      <c r="D4265" s="136" t="s">
        <v>120</v>
      </c>
      <c r="E4265" s="136" t="s">
        <v>615</v>
      </c>
      <c r="F4265" s="136">
        <v>52</v>
      </c>
      <c r="G4265" s="137">
        <f t="shared" si="16"/>
        <v>8</v>
      </c>
      <c r="H4265" s="137"/>
      <c r="I4265" s="137"/>
      <c r="J4265" s="135"/>
      <c r="K4265" s="135"/>
      <c r="L4265" s="135"/>
      <c r="M4265" s="135"/>
      <c r="N4265" s="135"/>
      <c r="O4265" s="135"/>
      <c r="P4265" s="135"/>
      <c r="Q4265" s="135"/>
      <c r="R4265" s="135"/>
      <c r="S4265" s="135"/>
      <c r="T4265" s="135"/>
      <c r="U4265" s="135"/>
      <c r="V4265" s="135"/>
      <c r="W4265" s="135"/>
      <c r="X4265" s="135"/>
      <c r="Y4265" s="135"/>
      <c r="Z4265" s="135"/>
    </row>
    <row r="4266" spans="1:26" ht="25.5">
      <c r="A4266" s="136" t="s">
        <v>11</v>
      </c>
      <c r="B4266" s="136" t="s">
        <v>297</v>
      </c>
      <c r="C4266" s="136" t="s">
        <v>312</v>
      </c>
      <c r="D4266" s="136" t="s">
        <v>7937</v>
      </c>
      <c r="E4266" s="136" t="s">
        <v>86</v>
      </c>
      <c r="F4266" s="136">
        <v>23</v>
      </c>
      <c r="G4266" s="137">
        <f t="shared" si="16"/>
        <v>9</v>
      </c>
      <c r="H4266" s="137"/>
      <c r="I4266" s="137"/>
      <c r="J4266" s="135"/>
      <c r="K4266" s="135"/>
      <c r="L4266" s="135"/>
      <c r="M4266" s="135"/>
      <c r="N4266" s="135"/>
      <c r="O4266" s="135"/>
      <c r="P4266" s="135"/>
      <c r="Q4266" s="135"/>
      <c r="R4266" s="135"/>
      <c r="S4266" s="135"/>
      <c r="T4266" s="135"/>
      <c r="U4266" s="135"/>
      <c r="V4266" s="135"/>
      <c r="W4266" s="135"/>
      <c r="X4266" s="135"/>
      <c r="Y4266" s="135"/>
      <c r="Z4266" s="135"/>
    </row>
    <row r="4267" spans="1:26" ht="25.5">
      <c r="A4267" s="136" t="s">
        <v>11</v>
      </c>
      <c r="B4267" s="136" t="s">
        <v>297</v>
      </c>
      <c r="C4267" s="136" t="s">
        <v>312</v>
      </c>
      <c r="D4267" s="136" t="s">
        <v>1680</v>
      </c>
      <c r="E4267" s="136" t="s">
        <v>615</v>
      </c>
      <c r="F4267" s="136">
        <v>6</v>
      </c>
      <c r="G4267" s="137">
        <f t="shared" si="16"/>
        <v>10</v>
      </c>
      <c r="H4267" s="137"/>
      <c r="I4267" s="137"/>
      <c r="J4267" s="135"/>
      <c r="K4267" s="135"/>
      <c r="L4267" s="135"/>
      <c r="M4267" s="135"/>
      <c r="N4267" s="135"/>
      <c r="O4267" s="135"/>
      <c r="P4267" s="135"/>
      <c r="Q4267" s="135"/>
      <c r="R4267" s="135"/>
      <c r="S4267" s="135"/>
      <c r="T4267" s="135"/>
      <c r="U4267" s="135"/>
      <c r="V4267" s="135"/>
      <c r="W4267" s="135"/>
      <c r="X4267" s="135"/>
      <c r="Y4267" s="135"/>
      <c r="Z4267" s="135"/>
    </row>
    <row r="4268" spans="1:26" ht="25.5">
      <c r="A4268" s="136" t="s">
        <v>11</v>
      </c>
      <c r="B4268" s="136" t="s">
        <v>297</v>
      </c>
      <c r="C4268" s="136" t="s">
        <v>323</v>
      </c>
      <c r="D4268" s="136" t="s">
        <v>139</v>
      </c>
      <c r="E4268" s="136" t="s">
        <v>594</v>
      </c>
      <c r="F4268" s="136">
        <v>2032</v>
      </c>
      <c r="G4268" s="137">
        <f t="shared" si="16"/>
        <v>1</v>
      </c>
      <c r="H4268" s="137"/>
      <c r="I4268" s="137"/>
      <c r="J4268" s="135"/>
      <c r="K4268" s="135"/>
      <c r="L4268" s="135"/>
      <c r="M4268" s="135"/>
      <c r="N4268" s="135"/>
      <c r="O4268" s="135"/>
      <c r="P4268" s="135"/>
      <c r="Q4268" s="135"/>
      <c r="R4268" s="135"/>
      <c r="S4268" s="135"/>
      <c r="T4268" s="135"/>
      <c r="U4268" s="135"/>
      <c r="V4268" s="135"/>
      <c r="W4268" s="135"/>
      <c r="X4268" s="135"/>
      <c r="Y4268" s="135"/>
      <c r="Z4268" s="135"/>
    </row>
    <row r="4269" spans="1:26" ht="25.5">
      <c r="A4269" s="136" t="s">
        <v>11</v>
      </c>
      <c r="B4269" s="136" t="s">
        <v>297</v>
      </c>
      <c r="C4269" s="136" t="s">
        <v>323</v>
      </c>
      <c r="D4269" s="136" t="s">
        <v>1669</v>
      </c>
      <c r="E4269" s="136" t="s">
        <v>615</v>
      </c>
      <c r="F4269" s="136">
        <v>812</v>
      </c>
      <c r="G4269" s="137">
        <f t="shared" si="16"/>
        <v>2</v>
      </c>
      <c r="H4269" s="137"/>
      <c r="I4269" s="137"/>
      <c r="J4269" s="135"/>
      <c r="K4269" s="135"/>
      <c r="L4269" s="135"/>
      <c r="M4269" s="135"/>
      <c r="N4269" s="135"/>
      <c r="O4269" s="135"/>
      <c r="P4269" s="135"/>
      <c r="Q4269" s="135"/>
      <c r="R4269" s="135"/>
      <c r="S4269" s="135"/>
      <c r="T4269" s="135"/>
      <c r="U4269" s="135"/>
      <c r="V4269" s="135"/>
      <c r="W4269" s="135"/>
      <c r="X4269" s="135"/>
      <c r="Y4269" s="135"/>
      <c r="Z4269" s="135"/>
    </row>
    <row r="4270" spans="1:26" ht="25.5">
      <c r="A4270" s="136" t="s">
        <v>11</v>
      </c>
      <c r="B4270" s="136" t="s">
        <v>297</v>
      </c>
      <c r="C4270" s="136" t="s">
        <v>323</v>
      </c>
      <c r="D4270" s="136" t="s">
        <v>7878</v>
      </c>
      <c r="E4270" s="136" t="s">
        <v>85</v>
      </c>
      <c r="F4270" s="136">
        <v>497</v>
      </c>
      <c r="G4270" s="137">
        <f t="shared" si="16"/>
        <v>3</v>
      </c>
      <c r="H4270" s="137"/>
      <c r="I4270" s="137"/>
      <c r="J4270" s="135"/>
      <c r="K4270" s="135"/>
      <c r="L4270" s="135"/>
      <c r="M4270" s="135"/>
      <c r="N4270" s="135"/>
      <c r="O4270" s="135"/>
      <c r="P4270" s="135"/>
      <c r="Q4270" s="135"/>
      <c r="R4270" s="135"/>
      <c r="S4270" s="135"/>
      <c r="T4270" s="135"/>
      <c r="U4270" s="135"/>
      <c r="V4270" s="135"/>
      <c r="W4270" s="135"/>
      <c r="X4270" s="135"/>
      <c r="Y4270" s="135"/>
      <c r="Z4270" s="135"/>
    </row>
    <row r="4271" spans="1:26" ht="25.5">
      <c r="A4271" s="136" t="s">
        <v>11</v>
      </c>
      <c r="B4271" s="136" t="s">
        <v>297</v>
      </c>
      <c r="C4271" s="136" t="s">
        <v>323</v>
      </c>
      <c r="D4271" s="136" t="s">
        <v>7657</v>
      </c>
      <c r="E4271" s="136" t="s">
        <v>85</v>
      </c>
      <c r="F4271" s="136">
        <v>81</v>
      </c>
      <c r="G4271" s="137">
        <f t="shared" si="16"/>
        <v>4</v>
      </c>
      <c r="H4271" s="137"/>
      <c r="I4271" s="137"/>
      <c r="J4271" s="135"/>
      <c r="K4271" s="135"/>
      <c r="L4271" s="135"/>
      <c r="M4271" s="135"/>
      <c r="N4271" s="135"/>
      <c r="O4271" s="135"/>
      <c r="P4271" s="135"/>
      <c r="Q4271" s="135"/>
      <c r="R4271" s="135"/>
      <c r="S4271" s="135"/>
      <c r="T4271" s="135"/>
      <c r="U4271" s="135"/>
      <c r="V4271" s="135"/>
      <c r="W4271" s="135"/>
      <c r="X4271" s="135"/>
      <c r="Y4271" s="135"/>
      <c r="Z4271" s="135"/>
    </row>
    <row r="4272" spans="1:26" ht="25.5">
      <c r="A4272" s="136" t="s">
        <v>11</v>
      </c>
      <c r="B4272" s="136" t="s">
        <v>297</v>
      </c>
      <c r="C4272" s="136" t="s">
        <v>323</v>
      </c>
      <c r="D4272" s="136" t="s">
        <v>120</v>
      </c>
      <c r="E4272" s="136" t="s">
        <v>594</v>
      </c>
      <c r="F4272" s="136">
        <v>26</v>
      </c>
      <c r="G4272" s="137">
        <f t="shared" si="16"/>
        <v>5</v>
      </c>
      <c r="H4272" s="137"/>
      <c r="I4272" s="137"/>
      <c r="J4272" s="135"/>
      <c r="K4272" s="135"/>
      <c r="L4272" s="135"/>
      <c r="M4272" s="135"/>
      <c r="N4272" s="135"/>
      <c r="O4272" s="135"/>
      <c r="P4272" s="135"/>
      <c r="Q4272" s="135"/>
      <c r="R4272" s="135"/>
      <c r="S4272" s="135"/>
      <c r="T4272" s="135"/>
      <c r="U4272" s="135"/>
      <c r="V4272" s="135"/>
      <c r="W4272" s="135"/>
      <c r="X4272" s="135"/>
      <c r="Y4272" s="135"/>
      <c r="Z4272" s="135"/>
    </row>
    <row r="4273" spans="1:26" ht="25.5">
      <c r="A4273" s="136" t="s">
        <v>11</v>
      </c>
      <c r="B4273" s="136" t="s">
        <v>297</v>
      </c>
      <c r="C4273" s="136" t="s">
        <v>323</v>
      </c>
      <c r="D4273" s="136" t="s">
        <v>1626</v>
      </c>
      <c r="E4273" s="136" t="s">
        <v>594</v>
      </c>
      <c r="F4273" s="136">
        <v>25</v>
      </c>
      <c r="G4273" s="137">
        <f t="shared" si="16"/>
        <v>6</v>
      </c>
      <c r="H4273" s="137"/>
      <c r="I4273" s="137"/>
      <c r="J4273" s="135"/>
      <c r="K4273" s="135"/>
      <c r="L4273" s="135"/>
      <c r="M4273" s="135"/>
      <c r="N4273" s="135"/>
      <c r="O4273" s="135"/>
      <c r="P4273" s="135"/>
      <c r="Q4273" s="135"/>
      <c r="R4273" s="135"/>
      <c r="S4273" s="135"/>
      <c r="T4273" s="135"/>
      <c r="U4273" s="135"/>
      <c r="V4273" s="135"/>
      <c r="W4273" s="135"/>
      <c r="X4273" s="135"/>
      <c r="Y4273" s="135"/>
      <c r="Z4273" s="135"/>
    </row>
    <row r="4274" spans="1:26" ht="25.5">
      <c r="A4274" s="136" t="s">
        <v>11</v>
      </c>
      <c r="B4274" s="136" t="s">
        <v>297</v>
      </c>
      <c r="C4274" s="136" t="s">
        <v>323</v>
      </c>
      <c r="D4274" s="136" t="s">
        <v>1639</v>
      </c>
      <c r="E4274" s="136" t="s">
        <v>615</v>
      </c>
      <c r="F4274" s="136">
        <v>22</v>
      </c>
      <c r="G4274" s="137">
        <f t="shared" si="16"/>
        <v>7</v>
      </c>
      <c r="H4274" s="137"/>
      <c r="I4274" s="137"/>
      <c r="J4274" s="135"/>
      <c r="K4274" s="135"/>
      <c r="L4274" s="135"/>
      <c r="M4274" s="135"/>
      <c r="N4274" s="135"/>
      <c r="O4274" s="135"/>
      <c r="P4274" s="135"/>
      <c r="Q4274" s="135"/>
      <c r="R4274" s="135"/>
      <c r="S4274" s="135"/>
      <c r="T4274" s="135"/>
      <c r="U4274" s="135"/>
      <c r="V4274" s="135"/>
      <c r="W4274" s="135"/>
      <c r="X4274" s="135"/>
      <c r="Y4274" s="135"/>
      <c r="Z4274" s="135"/>
    </row>
    <row r="4275" spans="1:26" ht="25.5">
      <c r="A4275" s="136" t="s">
        <v>11</v>
      </c>
      <c r="B4275" s="136" t="s">
        <v>297</v>
      </c>
      <c r="C4275" s="136" t="s">
        <v>323</v>
      </c>
      <c r="D4275" s="136" t="s">
        <v>1680</v>
      </c>
      <c r="E4275" s="136" t="s">
        <v>615</v>
      </c>
      <c r="F4275" s="136">
        <v>21</v>
      </c>
      <c r="G4275" s="137">
        <f t="shared" si="16"/>
        <v>8</v>
      </c>
      <c r="H4275" s="137"/>
      <c r="I4275" s="137"/>
      <c r="J4275" s="135"/>
      <c r="K4275" s="135"/>
      <c r="L4275" s="135"/>
      <c r="M4275" s="135"/>
      <c r="N4275" s="135"/>
      <c r="O4275" s="135"/>
      <c r="P4275" s="135"/>
      <c r="Q4275" s="135"/>
      <c r="R4275" s="135"/>
      <c r="S4275" s="135"/>
      <c r="T4275" s="135"/>
      <c r="U4275" s="135"/>
      <c r="V4275" s="135"/>
      <c r="W4275" s="135"/>
      <c r="X4275" s="135"/>
      <c r="Y4275" s="135"/>
      <c r="Z4275" s="135"/>
    </row>
    <row r="4276" spans="1:26" ht="25.5">
      <c r="A4276" s="136" t="s">
        <v>11</v>
      </c>
      <c r="B4276" s="136" t="s">
        <v>297</v>
      </c>
      <c r="C4276" s="136" t="s">
        <v>323</v>
      </c>
      <c r="D4276" s="136" t="s">
        <v>1665</v>
      </c>
      <c r="E4276" s="136" t="s">
        <v>615</v>
      </c>
      <c r="F4276" s="136">
        <v>17</v>
      </c>
      <c r="G4276" s="137">
        <f t="shared" si="16"/>
        <v>9</v>
      </c>
      <c r="H4276" s="137"/>
      <c r="I4276" s="137"/>
      <c r="J4276" s="135"/>
      <c r="K4276" s="135"/>
      <c r="L4276" s="135"/>
      <c r="M4276" s="135"/>
      <c r="N4276" s="135"/>
      <c r="O4276" s="135"/>
      <c r="P4276" s="135"/>
      <c r="Q4276" s="135"/>
      <c r="R4276" s="135"/>
      <c r="S4276" s="135"/>
      <c r="T4276" s="135"/>
      <c r="U4276" s="135"/>
      <c r="V4276" s="135"/>
      <c r="W4276" s="135"/>
      <c r="X4276" s="135"/>
      <c r="Y4276" s="135"/>
      <c r="Z4276" s="135"/>
    </row>
    <row r="4277" spans="1:26" ht="25.5">
      <c r="A4277" s="136" t="s">
        <v>11</v>
      </c>
      <c r="B4277" s="136" t="s">
        <v>297</v>
      </c>
      <c r="C4277" s="136" t="s">
        <v>323</v>
      </c>
      <c r="D4277" s="136" t="s">
        <v>7937</v>
      </c>
      <c r="E4277" s="136" t="s">
        <v>86</v>
      </c>
      <c r="F4277" s="136">
        <v>15</v>
      </c>
      <c r="G4277" s="137">
        <f t="shared" si="16"/>
        <v>10</v>
      </c>
      <c r="H4277" s="137"/>
      <c r="I4277" s="137"/>
      <c r="J4277" s="135"/>
      <c r="K4277" s="135"/>
      <c r="L4277" s="135"/>
      <c r="M4277" s="135"/>
      <c r="N4277" s="135"/>
      <c r="O4277" s="135"/>
      <c r="P4277" s="135"/>
      <c r="Q4277" s="135"/>
      <c r="R4277" s="135"/>
      <c r="S4277" s="135"/>
      <c r="T4277" s="135"/>
      <c r="U4277" s="135"/>
      <c r="V4277" s="135"/>
      <c r="W4277" s="135"/>
      <c r="X4277" s="135"/>
      <c r="Y4277" s="135"/>
      <c r="Z4277" s="135"/>
    </row>
    <row r="4278" spans="1:26" ht="25.5">
      <c r="A4278" s="136" t="s">
        <v>11</v>
      </c>
      <c r="B4278" s="136" t="s">
        <v>297</v>
      </c>
      <c r="C4278" s="136" t="s">
        <v>323</v>
      </c>
      <c r="D4278" s="136" t="s">
        <v>368</v>
      </c>
      <c r="E4278" s="136" t="s">
        <v>594</v>
      </c>
      <c r="F4278" s="136">
        <v>12</v>
      </c>
      <c r="G4278" s="137">
        <f t="shared" si="16"/>
        <v>11</v>
      </c>
      <c r="H4278" s="137"/>
      <c r="I4278" s="137"/>
      <c r="J4278" s="135"/>
      <c r="K4278" s="135"/>
      <c r="L4278" s="135"/>
      <c r="M4278" s="135"/>
      <c r="N4278" s="135"/>
      <c r="O4278" s="135"/>
      <c r="P4278" s="135"/>
      <c r="Q4278" s="135"/>
      <c r="R4278" s="135"/>
      <c r="S4278" s="135"/>
      <c r="T4278" s="135"/>
      <c r="U4278" s="135"/>
      <c r="V4278" s="135"/>
      <c r="W4278" s="135"/>
      <c r="X4278" s="135"/>
      <c r="Y4278" s="135"/>
      <c r="Z4278" s="135"/>
    </row>
    <row r="4279" spans="1:26" ht="25.5">
      <c r="A4279" s="136" t="s">
        <v>11</v>
      </c>
      <c r="B4279" s="136" t="s">
        <v>297</v>
      </c>
      <c r="C4279" s="136" t="s">
        <v>323</v>
      </c>
      <c r="D4279" s="136" t="s">
        <v>1659</v>
      </c>
      <c r="E4279" s="136" t="s">
        <v>615</v>
      </c>
      <c r="F4279" s="136">
        <v>7</v>
      </c>
      <c r="G4279" s="137">
        <f t="shared" si="16"/>
        <v>12</v>
      </c>
      <c r="H4279" s="137"/>
      <c r="I4279" s="137"/>
      <c r="J4279" s="135"/>
      <c r="K4279" s="135"/>
      <c r="L4279" s="135"/>
      <c r="M4279" s="135"/>
      <c r="N4279" s="135"/>
      <c r="O4279" s="135"/>
      <c r="P4279" s="135"/>
      <c r="Q4279" s="135"/>
      <c r="R4279" s="135"/>
      <c r="S4279" s="135"/>
      <c r="T4279" s="135"/>
      <c r="U4279" s="135"/>
      <c r="V4279" s="135"/>
      <c r="W4279" s="135"/>
      <c r="X4279" s="135"/>
      <c r="Y4279" s="135"/>
      <c r="Z4279" s="135"/>
    </row>
    <row r="4280" spans="1:26" ht="25.5">
      <c r="A4280" s="136" t="s">
        <v>11</v>
      </c>
      <c r="B4280" s="136" t="s">
        <v>297</v>
      </c>
      <c r="C4280" s="136" t="s">
        <v>323</v>
      </c>
      <c r="D4280" s="136" t="s">
        <v>1656</v>
      </c>
      <c r="E4280" s="136" t="s">
        <v>594</v>
      </c>
      <c r="F4280" s="136">
        <v>6</v>
      </c>
      <c r="G4280" s="137">
        <f t="shared" si="16"/>
        <v>13</v>
      </c>
      <c r="H4280" s="137"/>
      <c r="I4280" s="137"/>
      <c r="J4280" s="135"/>
      <c r="K4280" s="135"/>
      <c r="L4280" s="135"/>
      <c r="M4280" s="135"/>
      <c r="N4280" s="135"/>
      <c r="O4280" s="135"/>
      <c r="P4280" s="135"/>
      <c r="Q4280" s="135"/>
      <c r="R4280" s="135"/>
      <c r="S4280" s="135"/>
      <c r="T4280" s="135"/>
      <c r="U4280" s="135"/>
      <c r="V4280" s="135"/>
      <c r="W4280" s="135"/>
      <c r="X4280" s="135"/>
      <c r="Y4280" s="135"/>
      <c r="Z4280" s="135"/>
    </row>
    <row r="4281" spans="1:26" ht="25.5">
      <c r="A4281" s="136" t="s">
        <v>11</v>
      </c>
      <c r="B4281" s="136" t="s">
        <v>297</v>
      </c>
      <c r="C4281" s="136" t="s">
        <v>323</v>
      </c>
      <c r="D4281" s="136" t="s">
        <v>437</v>
      </c>
      <c r="E4281" s="136" t="s">
        <v>594</v>
      </c>
      <c r="F4281" s="136">
        <v>5</v>
      </c>
      <c r="G4281" s="137">
        <f t="shared" si="16"/>
        <v>14</v>
      </c>
      <c r="H4281" s="137"/>
      <c r="I4281" s="137"/>
      <c r="J4281" s="135"/>
      <c r="K4281" s="135"/>
      <c r="L4281" s="135"/>
      <c r="M4281" s="135"/>
      <c r="N4281" s="135"/>
      <c r="O4281" s="135"/>
      <c r="P4281" s="135"/>
      <c r="Q4281" s="135"/>
      <c r="R4281" s="135"/>
      <c r="S4281" s="135"/>
      <c r="T4281" s="135"/>
      <c r="U4281" s="135"/>
      <c r="V4281" s="135"/>
      <c r="W4281" s="135"/>
      <c r="X4281" s="135"/>
      <c r="Y4281" s="135"/>
      <c r="Z4281" s="135"/>
    </row>
    <row r="4282" spans="1:26" ht="25.5">
      <c r="A4282" s="136" t="s">
        <v>11</v>
      </c>
      <c r="B4282" s="136" t="s">
        <v>297</v>
      </c>
      <c r="C4282" s="136" t="s">
        <v>7963</v>
      </c>
      <c r="D4282" s="136" t="s">
        <v>139</v>
      </c>
      <c r="E4282" s="136" t="s">
        <v>594</v>
      </c>
      <c r="F4282" s="136">
        <v>1173</v>
      </c>
      <c r="G4282" s="137">
        <f t="shared" si="16"/>
        <v>1</v>
      </c>
      <c r="H4282" s="137"/>
      <c r="I4282" s="137"/>
      <c r="J4282" s="135"/>
      <c r="K4282" s="135"/>
      <c r="L4282" s="135"/>
      <c r="M4282" s="135"/>
      <c r="N4282" s="135"/>
      <c r="O4282" s="135"/>
      <c r="P4282" s="135"/>
      <c r="Q4282" s="135"/>
      <c r="R4282" s="135"/>
      <c r="S4282" s="135"/>
      <c r="T4282" s="135"/>
      <c r="U4282" s="135"/>
      <c r="V4282" s="135"/>
      <c r="W4282" s="135"/>
      <c r="X4282" s="135"/>
      <c r="Y4282" s="135"/>
      <c r="Z4282" s="135"/>
    </row>
    <row r="4283" spans="1:26" ht="25.5">
      <c r="A4283" s="136" t="s">
        <v>11</v>
      </c>
      <c r="B4283" s="136" t="s">
        <v>297</v>
      </c>
      <c r="C4283" s="136" t="s">
        <v>7963</v>
      </c>
      <c r="D4283" s="136" t="s">
        <v>1669</v>
      </c>
      <c r="E4283" s="136" t="s">
        <v>615</v>
      </c>
      <c r="F4283" s="136">
        <v>831</v>
      </c>
      <c r="G4283" s="137">
        <f t="shared" si="16"/>
        <v>2</v>
      </c>
      <c r="H4283" s="137"/>
      <c r="I4283" s="137"/>
      <c r="J4283" s="135"/>
      <c r="K4283" s="135"/>
      <c r="L4283" s="135"/>
      <c r="M4283" s="135"/>
      <c r="N4283" s="135"/>
      <c r="O4283" s="135"/>
      <c r="P4283" s="135"/>
      <c r="Q4283" s="135"/>
      <c r="R4283" s="135"/>
      <c r="S4283" s="135"/>
      <c r="T4283" s="135"/>
      <c r="U4283" s="135"/>
      <c r="V4283" s="135"/>
      <c r="W4283" s="135"/>
      <c r="X4283" s="135"/>
      <c r="Y4283" s="135"/>
      <c r="Z4283" s="135"/>
    </row>
    <row r="4284" spans="1:26" ht="25.5">
      <c r="A4284" s="136" t="s">
        <v>11</v>
      </c>
      <c r="B4284" s="136" t="s">
        <v>297</v>
      </c>
      <c r="C4284" s="136" t="s">
        <v>7963</v>
      </c>
      <c r="D4284" s="136" t="s">
        <v>7878</v>
      </c>
      <c r="E4284" s="136" t="s">
        <v>85</v>
      </c>
      <c r="F4284" s="136">
        <v>215</v>
      </c>
      <c r="G4284" s="137">
        <f t="shared" si="16"/>
        <v>3</v>
      </c>
      <c r="H4284" s="137"/>
      <c r="I4284" s="137"/>
      <c r="J4284" s="135"/>
      <c r="K4284" s="135"/>
      <c r="L4284" s="135"/>
      <c r="M4284" s="135"/>
      <c r="N4284" s="135"/>
      <c r="O4284" s="135"/>
      <c r="P4284" s="135"/>
      <c r="Q4284" s="135"/>
      <c r="R4284" s="135"/>
      <c r="S4284" s="135"/>
      <c r="T4284" s="135"/>
      <c r="U4284" s="135"/>
      <c r="V4284" s="135"/>
      <c r="W4284" s="135"/>
      <c r="X4284" s="135"/>
      <c r="Y4284" s="135"/>
      <c r="Z4284" s="135"/>
    </row>
    <row r="4285" spans="1:26" ht="25.5">
      <c r="A4285" s="136" t="s">
        <v>11</v>
      </c>
      <c r="B4285" s="136" t="s">
        <v>297</v>
      </c>
      <c r="C4285" s="136" t="s">
        <v>7963</v>
      </c>
      <c r="D4285" s="136" t="s">
        <v>1665</v>
      </c>
      <c r="E4285" s="136" t="s">
        <v>615</v>
      </c>
      <c r="F4285" s="136">
        <v>162</v>
      </c>
      <c r="G4285" s="137">
        <f t="shared" si="16"/>
        <v>4</v>
      </c>
      <c r="H4285" s="137"/>
      <c r="I4285" s="137"/>
      <c r="J4285" s="135"/>
      <c r="K4285" s="135"/>
      <c r="L4285" s="135"/>
      <c r="M4285" s="135"/>
      <c r="N4285" s="135"/>
      <c r="O4285" s="135"/>
      <c r="P4285" s="135"/>
      <c r="Q4285" s="135"/>
      <c r="R4285" s="135"/>
      <c r="S4285" s="135"/>
      <c r="T4285" s="135"/>
      <c r="U4285" s="135"/>
      <c r="V4285" s="135"/>
      <c r="W4285" s="135"/>
      <c r="X4285" s="135"/>
      <c r="Y4285" s="135"/>
      <c r="Z4285" s="135"/>
    </row>
    <row r="4286" spans="1:26" ht="25.5">
      <c r="A4286" s="136" t="s">
        <v>11</v>
      </c>
      <c r="B4286" s="136" t="s">
        <v>297</v>
      </c>
      <c r="C4286" s="136" t="s">
        <v>7963</v>
      </c>
      <c r="D4286" s="136" t="s">
        <v>1659</v>
      </c>
      <c r="E4286" s="136" t="s">
        <v>615</v>
      </c>
      <c r="F4286" s="136">
        <v>129</v>
      </c>
      <c r="G4286" s="137">
        <f t="shared" si="16"/>
        <v>5</v>
      </c>
      <c r="H4286" s="137"/>
      <c r="I4286" s="137"/>
      <c r="J4286" s="135"/>
      <c r="K4286" s="135"/>
      <c r="L4286" s="135"/>
      <c r="M4286" s="135"/>
      <c r="N4286" s="135"/>
      <c r="O4286" s="135"/>
      <c r="P4286" s="135"/>
      <c r="Q4286" s="135"/>
      <c r="R4286" s="135"/>
      <c r="S4286" s="135"/>
      <c r="T4286" s="135"/>
      <c r="U4286" s="135"/>
      <c r="V4286" s="135"/>
      <c r="W4286" s="135"/>
      <c r="X4286" s="135"/>
      <c r="Y4286" s="135"/>
      <c r="Z4286" s="135"/>
    </row>
    <row r="4287" spans="1:26" ht="25.5">
      <c r="A4287" s="136" t="s">
        <v>11</v>
      </c>
      <c r="B4287" s="136" t="s">
        <v>297</v>
      </c>
      <c r="C4287" s="136" t="s">
        <v>7963</v>
      </c>
      <c r="D4287" s="136" t="s">
        <v>1626</v>
      </c>
      <c r="E4287" s="136" t="s">
        <v>594</v>
      </c>
      <c r="F4287" s="136">
        <v>126</v>
      </c>
      <c r="G4287" s="137">
        <f t="shared" si="16"/>
        <v>6</v>
      </c>
      <c r="H4287" s="137"/>
      <c r="I4287" s="137"/>
      <c r="J4287" s="135"/>
      <c r="K4287" s="135"/>
      <c r="L4287" s="135"/>
      <c r="M4287" s="135"/>
      <c r="N4287" s="135"/>
      <c r="O4287" s="135"/>
      <c r="P4287" s="135"/>
      <c r="Q4287" s="135"/>
      <c r="R4287" s="135"/>
      <c r="S4287" s="135"/>
      <c r="T4287" s="135"/>
      <c r="U4287" s="135"/>
      <c r="V4287" s="135"/>
      <c r="W4287" s="135"/>
      <c r="X4287" s="135"/>
      <c r="Y4287" s="135"/>
      <c r="Z4287" s="135"/>
    </row>
    <row r="4288" spans="1:26" ht="25.5">
      <c r="A4288" s="136" t="s">
        <v>11</v>
      </c>
      <c r="B4288" s="136" t="s">
        <v>297</v>
      </c>
      <c r="C4288" s="136" t="s">
        <v>7963</v>
      </c>
      <c r="D4288" s="136" t="s">
        <v>368</v>
      </c>
      <c r="E4288" s="136" t="s">
        <v>594</v>
      </c>
      <c r="F4288" s="136">
        <v>114</v>
      </c>
      <c r="G4288" s="137">
        <f t="shared" si="16"/>
        <v>7</v>
      </c>
      <c r="H4288" s="137"/>
      <c r="I4288" s="137"/>
      <c r="J4288" s="135"/>
      <c r="K4288" s="135"/>
      <c r="L4288" s="135"/>
      <c r="M4288" s="135"/>
      <c r="N4288" s="135"/>
      <c r="O4288" s="135"/>
      <c r="P4288" s="135"/>
      <c r="Q4288" s="135"/>
      <c r="R4288" s="135"/>
      <c r="S4288" s="135"/>
      <c r="T4288" s="135"/>
      <c r="U4288" s="135"/>
      <c r="V4288" s="135"/>
      <c r="W4288" s="135"/>
      <c r="X4288" s="135"/>
      <c r="Y4288" s="135"/>
      <c r="Z4288" s="135"/>
    </row>
    <row r="4289" spans="1:26" ht="25.5">
      <c r="A4289" s="136" t="s">
        <v>11</v>
      </c>
      <c r="B4289" s="136" t="s">
        <v>297</v>
      </c>
      <c r="C4289" s="136" t="s">
        <v>7963</v>
      </c>
      <c r="D4289" s="136" t="s">
        <v>1680</v>
      </c>
      <c r="E4289" s="136" t="s">
        <v>615</v>
      </c>
      <c r="F4289" s="136">
        <v>100</v>
      </c>
      <c r="G4289" s="137">
        <f t="shared" si="16"/>
        <v>8</v>
      </c>
      <c r="H4289" s="137"/>
      <c r="I4289" s="137"/>
      <c r="J4289" s="135"/>
      <c r="K4289" s="135"/>
      <c r="L4289" s="135"/>
      <c r="M4289" s="135"/>
      <c r="N4289" s="135"/>
      <c r="O4289" s="135"/>
      <c r="P4289" s="135"/>
      <c r="Q4289" s="135"/>
      <c r="R4289" s="135"/>
      <c r="S4289" s="135"/>
      <c r="T4289" s="135"/>
      <c r="U4289" s="135"/>
      <c r="V4289" s="135"/>
      <c r="W4289" s="135"/>
      <c r="X4289" s="135"/>
      <c r="Y4289" s="135"/>
      <c r="Z4289" s="135"/>
    </row>
    <row r="4290" spans="1:26" ht="25.5">
      <c r="A4290" s="136" t="s">
        <v>11</v>
      </c>
      <c r="B4290" s="136" t="s">
        <v>297</v>
      </c>
      <c r="C4290" s="136" t="s">
        <v>7963</v>
      </c>
      <c r="D4290" s="136" t="s">
        <v>165</v>
      </c>
      <c r="E4290" s="136" t="s">
        <v>615</v>
      </c>
      <c r="F4290" s="136">
        <v>56</v>
      </c>
      <c r="G4290" s="137">
        <f t="shared" si="16"/>
        <v>9</v>
      </c>
      <c r="H4290" s="137"/>
      <c r="I4290" s="137"/>
      <c r="J4290" s="135"/>
      <c r="K4290" s="135"/>
      <c r="L4290" s="135"/>
      <c r="M4290" s="135"/>
      <c r="N4290" s="135"/>
      <c r="O4290" s="135"/>
      <c r="P4290" s="135"/>
      <c r="Q4290" s="135"/>
      <c r="R4290" s="135"/>
      <c r="S4290" s="135"/>
      <c r="T4290" s="135"/>
      <c r="U4290" s="135"/>
      <c r="V4290" s="135"/>
      <c r="W4290" s="135"/>
      <c r="X4290" s="135"/>
      <c r="Y4290" s="135"/>
      <c r="Z4290" s="135"/>
    </row>
    <row r="4291" spans="1:26" ht="25.5">
      <c r="A4291" s="136" t="s">
        <v>11</v>
      </c>
      <c r="B4291" s="136" t="s">
        <v>297</v>
      </c>
      <c r="C4291" s="136" t="s">
        <v>7963</v>
      </c>
      <c r="D4291" s="136" t="s">
        <v>136</v>
      </c>
      <c r="E4291" s="136" t="s">
        <v>615</v>
      </c>
      <c r="F4291" s="136">
        <v>36</v>
      </c>
      <c r="G4291" s="137">
        <f t="shared" si="16"/>
        <v>10</v>
      </c>
      <c r="H4291" s="137"/>
      <c r="I4291" s="137"/>
      <c r="J4291" s="135"/>
      <c r="K4291" s="135"/>
      <c r="L4291" s="135"/>
      <c r="M4291" s="135"/>
      <c r="N4291" s="135"/>
      <c r="O4291" s="135"/>
      <c r="P4291" s="135"/>
      <c r="Q4291" s="135"/>
      <c r="R4291" s="135"/>
      <c r="S4291" s="135"/>
      <c r="T4291" s="135"/>
      <c r="U4291" s="135"/>
      <c r="V4291" s="135"/>
      <c r="W4291" s="135"/>
      <c r="X4291" s="135"/>
      <c r="Y4291" s="135"/>
      <c r="Z4291" s="135"/>
    </row>
    <row r="4292" spans="1:26" ht="25.5">
      <c r="A4292" s="136" t="s">
        <v>11</v>
      </c>
      <c r="B4292" s="136" t="s">
        <v>297</v>
      </c>
      <c r="C4292" s="136" t="s">
        <v>7963</v>
      </c>
      <c r="D4292" s="136" t="s">
        <v>7657</v>
      </c>
      <c r="E4292" s="136" t="s">
        <v>85</v>
      </c>
      <c r="F4292" s="136">
        <v>26</v>
      </c>
      <c r="G4292" s="137">
        <f t="shared" si="16"/>
        <v>11</v>
      </c>
      <c r="H4292" s="137"/>
      <c r="I4292" s="137"/>
      <c r="J4292" s="135"/>
      <c r="K4292" s="135"/>
      <c r="L4292" s="135"/>
      <c r="M4292" s="135"/>
      <c r="N4292" s="135"/>
      <c r="O4292" s="135"/>
      <c r="P4292" s="135"/>
      <c r="Q4292" s="135"/>
      <c r="R4292" s="135"/>
      <c r="S4292" s="135"/>
      <c r="T4292" s="135"/>
      <c r="U4292" s="135"/>
      <c r="V4292" s="135"/>
      <c r="W4292" s="135"/>
      <c r="X4292" s="135"/>
      <c r="Y4292" s="135"/>
      <c r="Z4292" s="135"/>
    </row>
    <row r="4293" spans="1:26" ht="25.5">
      <c r="A4293" s="136" t="s">
        <v>11</v>
      </c>
      <c r="B4293" s="136" t="s">
        <v>297</v>
      </c>
      <c r="C4293" s="136" t="s">
        <v>7963</v>
      </c>
      <c r="D4293" s="136" t="s">
        <v>131</v>
      </c>
      <c r="E4293" s="136" t="s">
        <v>594</v>
      </c>
      <c r="F4293" s="136">
        <v>17</v>
      </c>
      <c r="G4293" s="137">
        <f t="shared" si="16"/>
        <v>12</v>
      </c>
      <c r="H4293" s="137"/>
      <c r="I4293" s="137"/>
      <c r="J4293" s="135"/>
      <c r="K4293" s="135"/>
      <c r="L4293" s="135"/>
      <c r="M4293" s="135"/>
      <c r="N4293" s="135"/>
      <c r="O4293" s="135"/>
      <c r="P4293" s="135"/>
      <c r="Q4293" s="135"/>
      <c r="R4293" s="135"/>
      <c r="S4293" s="135"/>
      <c r="T4293" s="135"/>
      <c r="U4293" s="135"/>
      <c r="V4293" s="135"/>
      <c r="W4293" s="135"/>
      <c r="X4293" s="135"/>
      <c r="Y4293" s="135"/>
      <c r="Z4293" s="135"/>
    </row>
    <row r="4294" spans="1:26" ht="25.5">
      <c r="A4294" s="136" t="s">
        <v>11</v>
      </c>
      <c r="B4294" s="136" t="s">
        <v>297</v>
      </c>
      <c r="C4294" s="136" t="s">
        <v>7963</v>
      </c>
      <c r="D4294" s="136" t="s">
        <v>7937</v>
      </c>
      <c r="E4294" s="136" t="s">
        <v>86</v>
      </c>
      <c r="F4294" s="136">
        <v>12</v>
      </c>
      <c r="G4294" s="137">
        <f t="shared" si="16"/>
        <v>13</v>
      </c>
      <c r="H4294" s="137"/>
      <c r="I4294" s="137"/>
      <c r="J4294" s="135"/>
      <c r="K4294" s="135"/>
      <c r="L4294" s="135"/>
      <c r="M4294" s="135"/>
      <c r="N4294" s="135"/>
      <c r="O4294" s="135"/>
      <c r="P4294" s="135"/>
      <c r="Q4294" s="135"/>
      <c r="R4294" s="135"/>
      <c r="S4294" s="135"/>
      <c r="T4294" s="135"/>
      <c r="U4294" s="135"/>
      <c r="V4294" s="135"/>
      <c r="W4294" s="135"/>
      <c r="X4294" s="135"/>
      <c r="Y4294" s="135"/>
      <c r="Z4294" s="135"/>
    </row>
    <row r="4295" spans="1:26" ht="25.5">
      <c r="A4295" s="136" t="s">
        <v>11</v>
      </c>
      <c r="B4295" s="136" t="s">
        <v>297</v>
      </c>
      <c r="C4295" s="136" t="s">
        <v>7963</v>
      </c>
      <c r="D4295" s="136" t="s">
        <v>1639</v>
      </c>
      <c r="E4295" s="136" t="s">
        <v>615</v>
      </c>
      <c r="F4295" s="136">
        <v>11</v>
      </c>
      <c r="G4295" s="137">
        <f t="shared" si="16"/>
        <v>14</v>
      </c>
      <c r="H4295" s="137"/>
      <c r="I4295" s="137"/>
      <c r="J4295" s="135"/>
      <c r="K4295" s="135"/>
      <c r="L4295" s="135"/>
      <c r="M4295" s="135"/>
      <c r="N4295" s="135"/>
      <c r="O4295" s="135"/>
      <c r="P4295" s="135"/>
      <c r="Q4295" s="135"/>
      <c r="R4295" s="135"/>
      <c r="S4295" s="135"/>
      <c r="T4295" s="135"/>
      <c r="U4295" s="135"/>
      <c r="V4295" s="135"/>
      <c r="W4295" s="135"/>
      <c r="X4295" s="135"/>
      <c r="Y4295" s="135"/>
      <c r="Z4295" s="135"/>
    </row>
    <row r="4296" spans="1:26" ht="25.5">
      <c r="A4296" s="136" t="s">
        <v>11</v>
      </c>
      <c r="B4296" s="136" t="s">
        <v>297</v>
      </c>
      <c r="C4296" s="136" t="s">
        <v>7963</v>
      </c>
      <c r="D4296" s="136" t="s">
        <v>103</v>
      </c>
      <c r="E4296" s="136" t="s">
        <v>594</v>
      </c>
      <c r="F4296" s="136">
        <v>10</v>
      </c>
      <c r="G4296" s="137">
        <f t="shared" si="16"/>
        <v>15</v>
      </c>
      <c r="H4296" s="137"/>
      <c r="I4296" s="137"/>
      <c r="J4296" s="135"/>
      <c r="K4296" s="135"/>
      <c r="L4296" s="135"/>
      <c r="M4296" s="135"/>
      <c r="N4296" s="135"/>
      <c r="O4296" s="135"/>
      <c r="P4296" s="135"/>
      <c r="Q4296" s="135"/>
      <c r="R4296" s="135"/>
      <c r="S4296" s="135"/>
      <c r="T4296" s="135"/>
      <c r="U4296" s="135"/>
      <c r="V4296" s="135"/>
      <c r="W4296" s="135"/>
      <c r="X4296" s="135"/>
      <c r="Y4296" s="135"/>
      <c r="Z4296" s="135"/>
    </row>
    <row r="4297" spans="1:26" ht="25.5">
      <c r="A4297" s="136" t="s">
        <v>11</v>
      </c>
      <c r="B4297" s="136" t="s">
        <v>297</v>
      </c>
      <c r="C4297" s="136" t="s">
        <v>7964</v>
      </c>
      <c r="D4297" s="136" t="s">
        <v>1669</v>
      </c>
      <c r="E4297" s="136" t="s">
        <v>615</v>
      </c>
      <c r="F4297" s="136">
        <v>663</v>
      </c>
      <c r="G4297" s="137">
        <f t="shared" si="16"/>
        <v>1</v>
      </c>
      <c r="H4297" s="137"/>
      <c r="I4297" s="137"/>
      <c r="J4297" s="135"/>
      <c r="K4297" s="135"/>
      <c r="L4297" s="135"/>
      <c r="M4297" s="135"/>
      <c r="N4297" s="135"/>
      <c r="O4297" s="135"/>
      <c r="P4297" s="135"/>
      <c r="Q4297" s="135"/>
      <c r="R4297" s="135"/>
      <c r="S4297" s="135"/>
      <c r="T4297" s="135"/>
      <c r="U4297" s="135"/>
      <c r="V4297" s="135"/>
      <c r="W4297" s="135"/>
      <c r="X4297" s="135"/>
      <c r="Y4297" s="135"/>
      <c r="Z4297" s="135"/>
    </row>
    <row r="4298" spans="1:26" ht="25.5">
      <c r="A4298" s="136" t="s">
        <v>11</v>
      </c>
      <c r="B4298" s="136" t="s">
        <v>297</v>
      </c>
      <c r="C4298" s="136" t="s">
        <v>7964</v>
      </c>
      <c r="D4298" s="136" t="s">
        <v>139</v>
      </c>
      <c r="E4298" s="136" t="s">
        <v>594</v>
      </c>
      <c r="F4298" s="136">
        <v>622</v>
      </c>
      <c r="G4298" s="137">
        <f t="shared" si="16"/>
        <v>2</v>
      </c>
      <c r="H4298" s="137"/>
      <c r="I4298" s="137"/>
      <c r="J4298" s="135"/>
      <c r="K4298" s="135"/>
      <c r="L4298" s="135"/>
      <c r="M4298" s="135"/>
      <c r="N4298" s="135"/>
      <c r="O4298" s="135"/>
      <c r="P4298" s="135"/>
      <c r="Q4298" s="135"/>
      <c r="R4298" s="135"/>
      <c r="S4298" s="135"/>
      <c r="T4298" s="135"/>
      <c r="U4298" s="135"/>
      <c r="V4298" s="135"/>
      <c r="W4298" s="135"/>
      <c r="X4298" s="135"/>
      <c r="Y4298" s="135"/>
      <c r="Z4298" s="135"/>
    </row>
    <row r="4299" spans="1:26" ht="25.5">
      <c r="A4299" s="136" t="s">
        <v>11</v>
      </c>
      <c r="B4299" s="136" t="s">
        <v>297</v>
      </c>
      <c r="C4299" s="136" t="s">
        <v>7964</v>
      </c>
      <c r="D4299" s="136" t="s">
        <v>7878</v>
      </c>
      <c r="E4299" s="136" t="s">
        <v>85</v>
      </c>
      <c r="F4299" s="136">
        <v>182</v>
      </c>
      <c r="G4299" s="137">
        <f t="shared" si="16"/>
        <v>3</v>
      </c>
      <c r="H4299" s="137"/>
      <c r="I4299" s="137"/>
      <c r="J4299" s="135"/>
      <c r="K4299" s="135"/>
      <c r="L4299" s="135"/>
      <c r="M4299" s="135"/>
      <c r="N4299" s="135"/>
      <c r="O4299" s="135"/>
      <c r="P4299" s="135"/>
      <c r="Q4299" s="135"/>
      <c r="R4299" s="135"/>
      <c r="S4299" s="135"/>
      <c r="T4299" s="135"/>
      <c r="U4299" s="135"/>
      <c r="V4299" s="135"/>
      <c r="W4299" s="135"/>
      <c r="X4299" s="135"/>
      <c r="Y4299" s="135"/>
      <c r="Z4299" s="135"/>
    </row>
    <row r="4300" spans="1:26" ht="25.5">
      <c r="A4300" s="136" t="s">
        <v>11</v>
      </c>
      <c r="B4300" s="136" t="s">
        <v>297</v>
      </c>
      <c r="C4300" s="136" t="s">
        <v>7964</v>
      </c>
      <c r="D4300" s="136" t="s">
        <v>7657</v>
      </c>
      <c r="E4300" s="136" t="s">
        <v>85</v>
      </c>
      <c r="F4300" s="136">
        <v>135</v>
      </c>
      <c r="G4300" s="137">
        <f t="shared" si="16"/>
        <v>4</v>
      </c>
      <c r="H4300" s="137"/>
      <c r="I4300" s="137"/>
      <c r="J4300" s="135"/>
      <c r="K4300" s="135"/>
      <c r="L4300" s="135"/>
      <c r="M4300" s="135"/>
      <c r="N4300" s="135"/>
      <c r="O4300" s="135"/>
      <c r="P4300" s="135"/>
      <c r="Q4300" s="135"/>
      <c r="R4300" s="135"/>
      <c r="S4300" s="135"/>
      <c r="T4300" s="135"/>
      <c r="U4300" s="135"/>
      <c r="V4300" s="135"/>
      <c r="W4300" s="135"/>
      <c r="X4300" s="135"/>
      <c r="Y4300" s="135"/>
      <c r="Z4300" s="135"/>
    </row>
    <row r="4301" spans="1:26" ht="25.5">
      <c r="A4301" s="136" t="s">
        <v>11</v>
      </c>
      <c r="B4301" s="136" t="s">
        <v>297</v>
      </c>
      <c r="C4301" s="136" t="s">
        <v>7964</v>
      </c>
      <c r="D4301" s="136" t="s">
        <v>1659</v>
      </c>
      <c r="E4301" s="136" t="s">
        <v>615</v>
      </c>
      <c r="F4301" s="136">
        <v>17</v>
      </c>
      <c r="G4301" s="137">
        <f t="shared" si="16"/>
        <v>5</v>
      </c>
      <c r="H4301" s="137"/>
      <c r="I4301" s="137"/>
      <c r="J4301" s="135"/>
      <c r="K4301" s="135"/>
      <c r="L4301" s="135"/>
      <c r="M4301" s="135"/>
      <c r="N4301" s="135"/>
      <c r="O4301" s="135"/>
      <c r="P4301" s="135"/>
      <c r="Q4301" s="135"/>
      <c r="R4301" s="135"/>
      <c r="S4301" s="135"/>
      <c r="T4301" s="135"/>
      <c r="U4301" s="135"/>
      <c r="V4301" s="135"/>
      <c r="W4301" s="135"/>
      <c r="X4301" s="135"/>
      <c r="Y4301" s="135"/>
      <c r="Z4301" s="135"/>
    </row>
    <row r="4302" spans="1:26" ht="25.5">
      <c r="A4302" s="136" t="s">
        <v>11</v>
      </c>
      <c r="B4302" s="136" t="s">
        <v>297</v>
      </c>
      <c r="C4302" s="136" t="s">
        <v>7964</v>
      </c>
      <c r="D4302" s="136" t="s">
        <v>1680</v>
      </c>
      <c r="E4302" s="136" t="s">
        <v>615</v>
      </c>
      <c r="F4302" s="136">
        <v>12</v>
      </c>
      <c r="G4302" s="137">
        <f t="shared" si="16"/>
        <v>6</v>
      </c>
      <c r="H4302" s="137"/>
      <c r="I4302" s="137"/>
      <c r="J4302" s="135"/>
      <c r="K4302" s="135"/>
      <c r="L4302" s="135"/>
      <c r="M4302" s="135"/>
      <c r="N4302" s="135"/>
      <c r="O4302" s="135"/>
      <c r="P4302" s="135"/>
      <c r="Q4302" s="135"/>
      <c r="R4302" s="135"/>
      <c r="S4302" s="135"/>
      <c r="T4302" s="135"/>
      <c r="U4302" s="135"/>
      <c r="V4302" s="135"/>
      <c r="W4302" s="135"/>
      <c r="X4302" s="135"/>
      <c r="Y4302" s="135"/>
      <c r="Z4302" s="135"/>
    </row>
    <row r="4303" spans="1:26" ht="25.5">
      <c r="A4303" s="136" t="s">
        <v>11</v>
      </c>
      <c r="B4303" s="136" t="s">
        <v>297</v>
      </c>
      <c r="C4303" s="136" t="s">
        <v>7964</v>
      </c>
      <c r="D4303" s="136" t="s">
        <v>1665</v>
      </c>
      <c r="E4303" s="136" t="s">
        <v>615</v>
      </c>
      <c r="F4303" s="136">
        <v>11</v>
      </c>
      <c r="G4303" s="137">
        <f t="shared" si="16"/>
        <v>7</v>
      </c>
      <c r="H4303" s="137"/>
      <c r="I4303" s="137"/>
      <c r="J4303" s="135"/>
      <c r="K4303" s="135"/>
      <c r="L4303" s="135"/>
      <c r="M4303" s="135"/>
      <c r="N4303" s="135"/>
      <c r="O4303" s="135"/>
      <c r="P4303" s="135"/>
      <c r="Q4303" s="135"/>
      <c r="R4303" s="135"/>
      <c r="S4303" s="135"/>
      <c r="T4303" s="135"/>
      <c r="U4303" s="135"/>
      <c r="V4303" s="135"/>
      <c r="W4303" s="135"/>
      <c r="X4303" s="135"/>
      <c r="Y4303" s="135"/>
      <c r="Z4303" s="135"/>
    </row>
    <row r="4304" spans="1:26" ht="25.5">
      <c r="A4304" s="136" t="s">
        <v>11</v>
      </c>
      <c r="B4304" s="136" t="s">
        <v>297</v>
      </c>
      <c r="C4304" s="136" t="s">
        <v>7964</v>
      </c>
      <c r="D4304" s="136" t="s">
        <v>120</v>
      </c>
      <c r="E4304" s="136" t="s">
        <v>615</v>
      </c>
      <c r="F4304" s="136">
        <v>4</v>
      </c>
      <c r="G4304" s="137">
        <f t="shared" si="16"/>
        <v>8</v>
      </c>
      <c r="H4304" s="137"/>
      <c r="I4304" s="137"/>
      <c r="J4304" s="135"/>
      <c r="K4304" s="135"/>
      <c r="L4304" s="135"/>
      <c r="M4304" s="135"/>
      <c r="N4304" s="135"/>
      <c r="O4304" s="135"/>
      <c r="P4304" s="135"/>
      <c r="Q4304" s="135"/>
      <c r="R4304" s="135"/>
      <c r="S4304" s="135"/>
      <c r="T4304" s="135"/>
      <c r="U4304" s="135"/>
      <c r="V4304" s="135"/>
      <c r="W4304" s="135"/>
      <c r="X4304" s="135"/>
      <c r="Y4304" s="135"/>
      <c r="Z4304" s="135"/>
    </row>
    <row r="4305" spans="1:26" ht="25.5">
      <c r="A4305" s="136" t="s">
        <v>11</v>
      </c>
      <c r="B4305" s="136" t="s">
        <v>297</v>
      </c>
      <c r="C4305" s="136" t="s">
        <v>7964</v>
      </c>
      <c r="D4305" s="136" t="s">
        <v>7937</v>
      </c>
      <c r="E4305" s="136" t="s">
        <v>86</v>
      </c>
      <c r="F4305" s="136">
        <v>4</v>
      </c>
      <c r="G4305" s="137">
        <f t="shared" si="16"/>
        <v>9</v>
      </c>
      <c r="H4305" s="137"/>
      <c r="I4305" s="137"/>
      <c r="J4305" s="135"/>
      <c r="K4305" s="135"/>
      <c r="L4305" s="135"/>
      <c r="M4305" s="135"/>
      <c r="N4305" s="135"/>
      <c r="O4305" s="135"/>
      <c r="P4305" s="135"/>
      <c r="Q4305" s="135"/>
      <c r="R4305" s="135"/>
      <c r="S4305" s="135"/>
      <c r="T4305" s="135"/>
      <c r="U4305" s="135"/>
      <c r="V4305" s="135"/>
      <c r="W4305" s="135"/>
      <c r="X4305" s="135"/>
      <c r="Y4305" s="135"/>
      <c r="Z4305" s="135"/>
    </row>
    <row r="4306" spans="1:26" ht="25.5">
      <c r="A4306" s="136" t="s">
        <v>11</v>
      </c>
      <c r="B4306" s="136" t="s">
        <v>297</v>
      </c>
      <c r="C4306" s="136" t="s">
        <v>7965</v>
      </c>
      <c r="D4306" s="136" t="s">
        <v>139</v>
      </c>
      <c r="E4306" s="136" t="s">
        <v>594</v>
      </c>
      <c r="F4306" s="136">
        <v>522</v>
      </c>
      <c r="G4306" s="137">
        <f t="shared" si="16"/>
        <v>1</v>
      </c>
      <c r="H4306" s="137"/>
      <c r="I4306" s="137"/>
      <c r="J4306" s="135"/>
      <c r="K4306" s="135"/>
      <c r="L4306" s="135"/>
      <c r="M4306" s="135"/>
      <c r="N4306" s="135"/>
      <c r="O4306" s="135"/>
      <c r="P4306" s="135"/>
      <c r="Q4306" s="135"/>
      <c r="R4306" s="135"/>
      <c r="S4306" s="135"/>
      <c r="T4306" s="135"/>
      <c r="U4306" s="135"/>
      <c r="V4306" s="135"/>
      <c r="W4306" s="135"/>
      <c r="X4306" s="135"/>
      <c r="Y4306" s="135"/>
      <c r="Z4306" s="135"/>
    </row>
    <row r="4307" spans="1:26" ht="25.5">
      <c r="A4307" s="136" t="s">
        <v>11</v>
      </c>
      <c r="B4307" s="136" t="s">
        <v>297</v>
      </c>
      <c r="C4307" s="136" t="s">
        <v>7965</v>
      </c>
      <c r="D4307" s="136" t="s">
        <v>1669</v>
      </c>
      <c r="E4307" s="136" t="s">
        <v>615</v>
      </c>
      <c r="F4307" s="136">
        <v>481</v>
      </c>
      <c r="G4307" s="137">
        <f t="shared" si="16"/>
        <v>2</v>
      </c>
      <c r="H4307" s="137"/>
      <c r="I4307" s="137"/>
      <c r="J4307" s="135"/>
      <c r="K4307" s="135"/>
      <c r="L4307" s="135"/>
      <c r="M4307" s="135"/>
      <c r="N4307" s="135"/>
      <c r="O4307" s="135"/>
      <c r="P4307" s="135"/>
      <c r="Q4307" s="135"/>
      <c r="R4307" s="135"/>
      <c r="S4307" s="135"/>
      <c r="T4307" s="135"/>
      <c r="U4307" s="135"/>
      <c r="V4307" s="135"/>
      <c r="W4307" s="135"/>
      <c r="X4307" s="135"/>
      <c r="Y4307" s="135"/>
      <c r="Z4307" s="135"/>
    </row>
    <row r="4308" spans="1:26" ht="25.5">
      <c r="A4308" s="136" t="s">
        <v>11</v>
      </c>
      <c r="B4308" s="136" t="s">
        <v>297</v>
      </c>
      <c r="C4308" s="136" t="s">
        <v>7965</v>
      </c>
      <c r="D4308" s="136" t="s">
        <v>1665</v>
      </c>
      <c r="E4308" s="136" t="s">
        <v>615</v>
      </c>
      <c r="F4308" s="136">
        <v>215</v>
      </c>
      <c r="G4308" s="137">
        <f t="shared" si="16"/>
        <v>3</v>
      </c>
      <c r="H4308" s="137"/>
      <c r="I4308" s="137"/>
      <c r="J4308" s="135"/>
      <c r="K4308" s="135"/>
      <c r="L4308" s="135"/>
      <c r="M4308" s="135"/>
      <c r="N4308" s="135"/>
      <c r="O4308" s="135"/>
      <c r="P4308" s="135"/>
      <c r="Q4308" s="135"/>
      <c r="R4308" s="135"/>
      <c r="S4308" s="135"/>
      <c r="T4308" s="135"/>
      <c r="U4308" s="135"/>
      <c r="V4308" s="135"/>
      <c r="W4308" s="135"/>
      <c r="X4308" s="135"/>
      <c r="Y4308" s="135"/>
      <c r="Z4308" s="135"/>
    </row>
    <row r="4309" spans="1:26" ht="25.5">
      <c r="A4309" s="136" t="s">
        <v>11</v>
      </c>
      <c r="B4309" s="136" t="s">
        <v>297</v>
      </c>
      <c r="C4309" s="136" t="s">
        <v>7965</v>
      </c>
      <c r="D4309" s="136" t="s">
        <v>7878</v>
      </c>
      <c r="E4309" s="136" t="s">
        <v>85</v>
      </c>
      <c r="F4309" s="136">
        <v>178</v>
      </c>
      <c r="G4309" s="137">
        <f t="shared" si="16"/>
        <v>4</v>
      </c>
      <c r="H4309" s="137"/>
      <c r="I4309" s="137"/>
      <c r="J4309" s="135"/>
      <c r="K4309" s="135"/>
      <c r="L4309" s="135"/>
      <c r="M4309" s="135"/>
      <c r="N4309" s="135"/>
      <c r="O4309" s="135"/>
      <c r="P4309" s="135"/>
      <c r="Q4309" s="135"/>
      <c r="R4309" s="135"/>
      <c r="S4309" s="135"/>
      <c r="T4309" s="135"/>
      <c r="U4309" s="135"/>
      <c r="V4309" s="135"/>
      <c r="W4309" s="135"/>
      <c r="X4309" s="135"/>
      <c r="Y4309" s="135"/>
      <c r="Z4309" s="135"/>
    </row>
    <row r="4310" spans="1:26" ht="25.5">
      <c r="A4310" s="136" t="s">
        <v>11</v>
      </c>
      <c r="B4310" s="136" t="s">
        <v>297</v>
      </c>
      <c r="C4310" s="136" t="s">
        <v>7965</v>
      </c>
      <c r="D4310" s="136" t="s">
        <v>7657</v>
      </c>
      <c r="E4310" s="136" t="s">
        <v>85</v>
      </c>
      <c r="F4310" s="136">
        <v>86</v>
      </c>
      <c r="G4310" s="137">
        <f t="shared" si="16"/>
        <v>5</v>
      </c>
      <c r="H4310" s="137"/>
      <c r="I4310" s="137"/>
      <c r="J4310" s="135"/>
      <c r="K4310" s="135"/>
      <c r="L4310" s="135"/>
      <c r="M4310" s="135"/>
      <c r="N4310" s="135"/>
      <c r="O4310" s="135"/>
      <c r="P4310" s="135"/>
      <c r="Q4310" s="135"/>
      <c r="R4310" s="135"/>
      <c r="S4310" s="135"/>
      <c r="T4310" s="135"/>
      <c r="U4310" s="135"/>
      <c r="V4310" s="135"/>
      <c r="W4310" s="135"/>
      <c r="X4310" s="135"/>
      <c r="Y4310" s="135"/>
      <c r="Z4310" s="135"/>
    </row>
    <row r="4311" spans="1:26" ht="25.5">
      <c r="A4311" s="136" t="s">
        <v>11</v>
      </c>
      <c r="B4311" s="136" t="s">
        <v>297</v>
      </c>
      <c r="C4311" s="136" t="s">
        <v>7965</v>
      </c>
      <c r="D4311" s="136" t="s">
        <v>136</v>
      </c>
      <c r="E4311" s="136" t="s">
        <v>615</v>
      </c>
      <c r="F4311" s="136">
        <v>65</v>
      </c>
      <c r="G4311" s="137">
        <f t="shared" si="16"/>
        <v>6</v>
      </c>
      <c r="H4311" s="137"/>
      <c r="I4311" s="137"/>
      <c r="J4311" s="135"/>
      <c r="K4311" s="135"/>
      <c r="L4311" s="135"/>
      <c r="M4311" s="135"/>
      <c r="N4311" s="135"/>
      <c r="O4311" s="135"/>
      <c r="P4311" s="135"/>
      <c r="Q4311" s="135"/>
      <c r="R4311" s="135"/>
      <c r="S4311" s="135"/>
      <c r="T4311" s="135"/>
      <c r="U4311" s="135"/>
      <c r="V4311" s="135"/>
      <c r="W4311" s="135"/>
      <c r="X4311" s="135"/>
      <c r="Y4311" s="135"/>
      <c r="Z4311" s="135"/>
    </row>
    <row r="4312" spans="1:26" ht="25.5">
      <c r="A4312" s="136" t="s">
        <v>11</v>
      </c>
      <c r="B4312" s="136" t="s">
        <v>297</v>
      </c>
      <c r="C4312" s="136" t="s">
        <v>7965</v>
      </c>
      <c r="D4312" s="136" t="s">
        <v>1626</v>
      </c>
      <c r="E4312" s="136" t="s">
        <v>594</v>
      </c>
      <c r="F4312" s="136">
        <v>19</v>
      </c>
      <c r="G4312" s="137">
        <f t="shared" si="16"/>
        <v>7</v>
      </c>
      <c r="H4312" s="137"/>
      <c r="I4312" s="137"/>
      <c r="J4312" s="135"/>
      <c r="K4312" s="135"/>
      <c r="L4312" s="135"/>
      <c r="M4312" s="135"/>
      <c r="N4312" s="135"/>
      <c r="O4312" s="135"/>
      <c r="P4312" s="135"/>
      <c r="Q4312" s="135"/>
      <c r="R4312" s="135"/>
      <c r="S4312" s="135"/>
      <c r="T4312" s="135"/>
      <c r="U4312" s="135"/>
      <c r="V4312" s="135"/>
      <c r="W4312" s="135"/>
      <c r="X4312" s="135"/>
      <c r="Y4312" s="135"/>
      <c r="Z4312" s="135"/>
    </row>
    <row r="4313" spans="1:26" ht="25.5">
      <c r="A4313" s="136" t="s">
        <v>11</v>
      </c>
      <c r="B4313" s="136" t="s">
        <v>297</v>
      </c>
      <c r="C4313" s="136" t="s">
        <v>7965</v>
      </c>
      <c r="D4313" s="136" t="s">
        <v>1680</v>
      </c>
      <c r="E4313" s="136" t="s">
        <v>615</v>
      </c>
      <c r="F4313" s="136">
        <v>16</v>
      </c>
      <c r="G4313" s="137">
        <f t="shared" si="16"/>
        <v>8</v>
      </c>
      <c r="H4313" s="137"/>
      <c r="I4313" s="137"/>
      <c r="J4313" s="135"/>
      <c r="K4313" s="135"/>
      <c r="L4313" s="135"/>
      <c r="M4313" s="135"/>
      <c r="N4313" s="135"/>
      <c r="O4313" s="135"/>
      <c r="P4313" s="135"/>
      <c r="Q4313" s="135"/>
      <c r="R4313" s="135"/>
      <c r="S4313" s="135"/>
      <c r="T4313" s="135"/>
      <c r="U4313" s="135"/>
      <c r="V4313" s="135"/>
      <c r="W4313" s="135"/>
      <c r="X4313" s="135"/>
      <c r="Y4313" s="135"/>
      <c r="Z4313" s="135"/>
    </row>
    <row r="4314" spans="1:26" ht="25.5">
      <c r="A4314" s="136" t="s">
        <v>11</v>
      </c>
      <c r="B4314" s="136" t="s">
        <v>297</v>
      </c>
      <c r="C4314" s="136" t="s">
        <v>7965</v>
      </c>
      <c r="D4314" s="136" t="s">
        <v>7937</v>
      </c>
      <c r="E4314" s="136" t="s">
        <v>86</v>
      </c>
      <c r="F4314" s="136">
        <v>14</v>
      </c>
      <c r="G4314" s="137">
        <f t="shared" si="16"/>
        <v>9</v>
      </c>
      <c r="H4314" s="137"/>
      <c r="I4314" s="137"/>
      <c r="J4314" s="135"/>
      <c r="K4314" s="135"/>
      <c r="L4314" s="135"/>
      <c r="M4314" s="135"/>
      <c r="N4314" s="135"/>
      <c r="O4314" s="135"/>
      <c r="P4314" s="135"/>
      <c r="Q4314" s="135"/>
      <c r="R4314" s="135"/>
      <c r="S4314" s="135"/>
      <c r="T4314" s="135"/>
      <c r="U4314" s="135"/>
      <c r="V4314" s="135"/>
      <c r="W4314" s="135"/>
      <c r="X4314" s="135"/>
      <c r="Y4314" s="135"/>
      <c r="Z4314" s="135"/>
    </row>
    <row r="4315" spans="1:26" ht="25.5">
      <c r="A4315" s="136" t="s">
        <v>11</v>
      </c>
      <c r="B4315" s="136" t="s">
        <v>297</v>
      </c>
      <c r="C4315" s="136" t="s">
        <v>7965</v>
      </c>
      <c r="D4315" s="136" t="s">
        <v>103</v>
      </c>
      <c r="E4315" s="136" t="s">
        <v>594</v>
      </c>
      <c r="F4315" s="136">
        <v>8</v>
      </c>
      <c r="G4315" s="137">
        <f t="shared" si="16"/>
        <v>10</v>
      </c>
      <c r="H4315" s="137"/>
      <c r="I4315" s="137"/>
      <c r="J4315" s="135"/>
      <c r="K4315" s="135"/>
      <c r="L4315" s="135"/>
      <c r="M4315" s="135"/>
      <c r="N4315" s="135"/>
      <c r="O4315" s="135"/>
      <c r="P4315" s="135"/>
      <c r="Q4315" s="135"/>
      <c r="R4315" s="135"/>
      <c r="S4315" s="135"/>
      <c r="T4315" s="135"/>
      <c r="U4315" s="135"/>
      <c r="V4315" s="135"/>
      <c r="W4315" s="135"/>
      <c r="X4315" s="135"/>
      <c r="Y4315" s="135"/>
      <c r="Z4315" s="135"/>
    </row>
    <row r="4316" spans="1:26" ht="25.5">
      <c r="A4316" s="136" t="s">
        <v>11</v>
      </c>
      <c r="B4316" s="136" t="s">
        <v>297</v>
      </c>
      <c r="C4316" s="136" t="s">
        <v>7965</v>
      </c>
      <c r="D4316" s="136" t="s">
        <v>1659</v>
      </c>
      <c r="E4316" s="136" t="s">
        <v>615</v>
      </c>
      <c r="F4316" s="136">
        <v>4</v>
      </c>
      <c r="G4316" s="137">
        <f t="shared" si="16"/>
        <v>11</v>
      </c>
      <c r="H4316" s="137"/>
      <c r="I4316" s="137"/>
      <c r="J4316" s="135"/>
      <c r="K4316" s="135"/>
      <c r="L4316" s="135"/>
      <c r="M4316" s="135"/>
      <c r="N4316" s="135"/>
      <c r="O4316" s="135"/>
      <c r="P4316" s="135"/>
      <c r="Q4316" s="135"/>
      <c r="R4316" s="135"/>
      <c r="S4316" s="135"/>
      <c r="T4316" s="135"/>
      <c r="U4316" s="135"/>
      <c r="V4316" s="135"/>
      <c r="W4316" s="135"/>
      <c r="X4316" s="135"/>
      <c r="Y4316" s="135"/>
      <c r="Z4316" s="135"/>
    </row>
    <row r="4317" spans="1:26" ht="25.5">
      <c r="A4317" s="136" t="s">
        <v>11</v>
      </c>
      <c r="B4317" s="136" t="s">
        <v>297</v>
      </c>
      <c r="C4317" s="136" t="s">
        <v>7966</v>
      </c>
      <c r="D4317" s="136" t="s">
        <v>139</v>
      </c>
      <c r="E4317" s="136" t="s">
        <v>594</v>
      </c>
      <c r="F4317" s="136">
        <v>858</v>
      </c>
      <c r="G4317" s="137">
        <f t="shared" si="16"/>
        <v>1</v>
      </c>
      <c r="H4317" s="137"/>
      <c r="I4317" s="137"/>
      <c r="J4317" s="135"/>
      <c r="K4317" s="135"/>
      <c r="L4317" s="135"/>
      <c r="M4317" s="135"/>
      <c r="N4317" s="135"/>
      <c r="O4317" s="135"/>
      <c r="P4317" s="135"/>
      <c r="Q4317" s="135"/>
      <c r="R4317" s="135"/>
      <c r="S4317" s="135"/>
      <c r="T4317" s="135"/>
      <c r="U4317" s="135"/>
      <c r="V4317" s="135"/>
      <c r="W4317" s="135"/>
      <c r="X4317" s="135"/>
      <c r="Y4317" s="135"/>
      <c r="Z4317" s="135"/>
    </row>
    <row r="4318" spans="1:26" ht="25.5">
      <c r="A4318" s="136" t="s">
        <v>11</v>
      </c>
      <c r="B4318" s="136" t="s">
        <v>297</v>
      </c>
      <c r="C4318" s="136" t="s">
        <v>7966</v>
      </c>
      <c r="D4318" s="136" t="s">
        <v>7878</v>
      </c>
      <c r="E4318" s="136" t="s">
        <v>85</v>
      </c>
      <c r="F4318" s="136">
        <v>205</v>
      </c>
      <c r="G4318" s="137">
        <f t="shared" si="16"/>
        <v>2</v>
      </c>
      <c r="H4318" s="137"/>
      <c r="I4318" s="137"/>
      <c r="J4318" s="135"/>
      <c r="K4318" s="135"/>
      <c r="L4318" s="135"/>
      <c r="M4318" s="135"/>
      <c r="N4318" s="135"/>
      <c r="O4318" s="135"/>
      <c r="P4318" s="135"/>
      <c r="Q4318" s="135"/>
      <c r="R4318" s="135"/>
      <c r="S4318" s="135"/>
      <c r="T4318" s="135"/>
      <c r="U4318" s="135"/>
      <c r="V4318" s="135"/>
      <c r="W4318" s="135"/>
      <c r="X4318" s="135"/>
      <c r="Y4318" s="135"/>
      <c r="Z4318" s="135"/>
    </row>
    <row r="4319" spans="1:26" ht="25.5">
      <c r="A4319" s="136" t="s">
        <v>11</v>
      </c>
      <c r="B4319" s="136" t="s">
        <v>297</v>
      </c>
      <c r="C4319" s="136" t="s">
        <v>7966</v>
      </c>
      <c r="D4319" s="136" t="s">
        <v>1665</v>
      </c>
      <c r="E4319" s="136" t="s">
        <v>615</v>
      </c>
      <c r="F4319" s="136">
        <v>122</v>
      </c>
      <c r="G4319" s="137">
        <f t="shared" si="16"/>
        <v>3</v>
      </c>
      <c r="H4319" s="137"/>
      <c r="I4319" s="137"/>
      <c r="J4319" s="135"/>
      <c r="K4319" s="135"/>
      <c r="L4319" s="135"/>
      <c r="M4319" s="135"/>
      <c r="N4319" s="135"/>
      <c r="O4319" s="135"/>
      <c r="P4319" s="135"/>
      <c r="Q4319" s="135"/>
      <c r="R4319" s="135"/>
      <c r="S4319" s="135"/>
      <c r="T4319" s="135"/>
      <c r="U4319" s="135"/>
      <c r="V4319" s="135"/>
      <c r="W4319" s="135"/>
      <c r="X4319" s="135"/>
      <c r="Y4319" s="135"/>
      <c r="Z4319" s="135"/>
    </row>
    <row r="4320" spans="1:26" ht="25.5">
      <c r="A4320" s="136" t="s">
        <v>11</v>
      </c>
      <c r="B4320" s="136" t="s">
        <v>297</v>
      </c>
      <c r="C4320" s="136" t="s">
        <v>7966</v>
      </c>
      <c r="D4320" s="136" t="s">
        <v>1680</v>
      </c>
      <c r="E4320" s="136" t="s">
        <v>615</v>
      </c>
      <c r="F4320" s="136">
        <v>56</v>
      </c>
      <c r="G4320" s="137">
        <f t="shared" si="16"/>
        <v>4</v>
      </c>
      <c r="H4320" s="137"/>
      <c r="I4320" s="137"/>
      <c r="J4320" s="135"/>
      <c r="K4320" s="135"/>
      <c r="L4320" s="135"/>
      <c r="M4320" s="135"/>
      <c r="N4320" s="135"/>
      <c r="O4320" s="135"/>
      <c r="P4320" s="135"/>
      <c r="Q4320" s="135"/>
      <c r="R4320" s="135"/>
      <c r="S4320" s="135"/>
      <c r="T4320" s="135"/>
      <c r="U4320" s="135"/>
      <c r="V4320" s="135"/>
      <c r="W4320" s="135"/>
      <c r="X4320" s="135"/>
      <c r="Y4320" s="135"/>
      <c r="Z4320" s="135"/>
    </row>
    <row r="4321" spans="1:26" ht="25.5">
      <c r="A4321" s="136" t="s">
        <v>11</v>
      </c>
      <c r="B4321" s="136" t="s">
        <v>297</v>
      </c>
      <c r="C4321" s="136" t="s">
        <v>7966</v>
      </c>
      <c r="D4321" s="136" t="s">
        <v>7657</v>
      </c>
      <c r="E4321" s="136" t="s">
        <v>85</v>
      </c>
      <c r="F4321" s="136">
        <v>26</v>
      </c>
      <c r="G4321" s="137">
        <f t="shared" si="16"/>
        <v>5</v>
      </c>
      <c r="H4321" s="137"/>
      <c r="I4321" s="137"/>
      <c r="J4321" s="135"/>
      <c r="K4321" s="135"/>
      <c r="L4321" s="135"/>
      <c r="M4321" s="135"/>
      <c r="N4321" s="135"/>
      <c r="O4321" s="135"/>
      <c r="P4321" s="135"/>
      <c r="Q4321" s="135"/>
      <c r="R4321" s="135"/>
      <c r="S4321" s="135"/>
      <c r="T4321" s="135"/>
      <c r="U4321" s="135"/>
      <c r="V4321" s="135"/>
      <c r="W4321" s="135"/>
      <c r="X4321" s="135"/>
      <c r="Y4321" s="135"/>
      <c r="Z4321" s="135"/>
    </row>
    <row r="4322" spans="1:26" ht="25.5">
      <c r="A4322" s="136" t="s">
        <v>11</v>
      </c>
      <c r="B4322" s="136" t="s">
        <v>297</v>
      </c>
      <c r="C4322" s="136" t="s">
        <v>7966</v>
      </c>
      <c r="D4322" s="136" t="s">
        <v>1669</v>
      </c>
      <c r="E4322" s="136" t="s">
        <v>615</v>
      </c>
      <c r="F4322" s="136">
        <v>24</v>
      </c>
      <c r="G4322" s="137">
        <f t="shared" si="16"/>
        <v>6</v>
      </c>
      <c r="H4322" s="137"/>
      <c r="I4322" s="137"/>
      <c r="J4322" s="135"/>
      <c r="K4322" s="135"/>
      <c r="L4322" s="135"/>
      <c r="M4322" s="135"/>
      <c r="N4322" s="135"/>
      <c r="O4322" s="135"/>
      <c r="P4322" s="135"/>
      <c r="Q4322" s="135"/>
      <c r="R4322" s="135"/>
      <c r="S4322" s="135"/>
      <c r="T4322" s="135"/>
      <c r="U4322" s="135"/>
      <c r="V4322" s="135"/>
      <c r="W4322" s="135"/>
      <c r="X4322" s="135"/>
      <c r="Y4322" s="135"/>
      <c r="Z4322" s="135"/>
    </row>
    <row r="4323" spans="1:26" ht="25.5">
      <c r="A4323" s="136" t="s">
        <v>11</v>
      </c>
      <c r="B4323" s="136" t="s">
        <v>297</v>
      </c>
      <c r="C4323" s="136" t="s">
        <v>7966</v>
      </c>
      <c r="D4323" s="136" t="s">
        <v>1639</v>
      </c>
      <c r="E4323" s="136" t="s">
        <v>615</v>
      </c>
      <c r="F4323" s="136">
        <v>22</v>
      </c>
      <c r="G4323" s="137">
        <f t="shared" si="16"/>
        <v>7</v>
      </c>
      <c r="H4323" s="137"/>
      <c r="I4323" s="137"/>
      <c r="J4323" s="135"/>
      <c r="K4323" s="135"/>
      <c r="L4323" s="135"/>
      <c r="M4323" s="135"/>
      <c r="N4323" s="135"/>
      <c r="O4323" s="135"/>
      <c r="P4323" s="135"/>
      <c r="Q4323" s="135"/>
      <c r="R4323" s="135"/>
      <c r="S4323" s="135"/>
      <c r="T4323" s="135"/>
      <c r="U4323" s="135"/>
      <c r="V4323" s="135"/>
      <c r="W4323" s="135"/>
      <c r="X4323" s="135"/>
      <c r="Y4323" s="135"/>
      <c r="Z4323" s="135"/>
    </row>
    <row r="4324" spans="1:26" ht="25.5">
      <c r="A4324" s="136" t="s">
        <v>11</v>
      </c>
      <c r="B4324" s="136" t="s">
        <v>297</v>
      </c>
      <c r="C4324" s="136" t="s">
        <v>7966</v>
      </c>
      <c r="D4324" s="136" t="s">
        <v>1659</v>
      </c>
      <c r="E4324" s="136" t="s">
        <v>615</v>
      </c>
      <c r="F4324" s="136">
        <v>17</v>
      </c>
      <c r="G4324" s="137">
        <f t="shared" si="16"/>
        <v>8</v>
      </c>
      <c r="H4324" s="137"/>
      <c r="I4324" s="137"/>
      <c r="J4324" s="135"/>
      <c r="K4324" s="135"/>
      <c r="L4324" s="135"/>
      <c r="M4324" s="135"/>
      <c r="N4324" s="135"/>
      <c r="O4324" s="135"/>
      <c r="P4324" s="135"/>
      <c r="Q4324" s="135"/>
      <c r="R4324" s="135"/>
      <c r="S4324" s="135"/>
      <c r="T4324" s="135"/>
      <c r="U4324" s="135"/>
      <c r="V4324" s="135"/>
      <c r="W4324" s="135"/>
      <c r="X4324" s="135"/>
      <c r="Y4324" s="135"/>
      <c r="Z4324" s="135"/>
    </row>
    <row r="4325" spans="1:26" ht="25.5">
      <c r="A4325" s="136" t="s">
        <v>11</v>
      </c>
      <c r="B4325" s="136" t="s">
        <v>297</v>
      </c>
      <c r="C4325" s="136" t="s">
        <v>7966</v>
      </c>
      <c r="D4325" s="136" t="s">
        <v>1626</v>
      </c>
      <c r="E4325" s="136" t="s">
        <v>594</v>
      </c>
      <c r="F4325" s="136">
        <v>4</v>
      </c>
      <c r="G4325" s="137">
        <f t="shared" si="16"/>
        <v>9</v>
      </c>
      <c r="H4325" s="137"/>
      <c r="I4325" s="137"/>
      <c r="J4325" s="135"/>
      <c r="K4325" s="135"/>
      <c r="L4325" s="135"/>
      <c r="M4325" s="135"/>
      <c r="N4325" s="135"/>
      <c r="O4325" s="135"/>
      <c r="P4325" s="135"/>
      <c r="Q4325" s="135"/>
      <c r="R4325" s="135"/>
      <c r="S4325" s="135"/>
      <c r="T4325" s="135"/>
      <c r="U4325" s="135"/>
      <c r="V4325" s="135"/>
      <c r="W4325" s="135"/>
      <c r="X4325" s="135"/>
      <c r="Y4325" s="135"/>
      <c r="Z4325" s="135"/>
    </row>
    <row r="4326" spans="1:26" ht="25.5">
      <c r="A4326" s="136" t="s">
        <v>11</v>
      </c>
      <c r="B4326" s="136" t="s">
        <v>297</v>
      </c>
      <c r="C4326" s="136" t="s">
        <v>321</v>
      </c>
      <c r="D4326" s="136" t="s">
        <v>139</v>
      </c>
      <c r="E4326" s="136" t="s">
        <v>594</v>
      </c>
      <c r="F4326" s="136">
        <v>1471</v>
      </c>
      <c r="G4326" s="137">
        <f t="shared" si="16"/>
        <v>1</v>
      </c>
      <c r="H4326" s="137"/>
      <c r="I4326" s="137"/>
      <c r="J4326" s="135"/>
      <c r="K4326" s="135"/>
      <c r="L4326" s="135"/>
      <c r="M4326" s="135"/>
      <c r="N4326" s="135"/>
      <c r="O4326" s="135"/>
      <c r="P4326" s="135"/>
      <c r="Q4326" s="135"/>
      <c r="R4326" s="135"/>
      <c r="S4326" s="135"/>
      <c r="T4326" s="135"/>
      <c r="U4326" s="135"/>
      <c r="V4326" s="135"/>
      <c r="W4326" s="135"/>
      <c r="X4326" s="135"/>
      <c r="Y4326" s="135"/>
      <c r="Z4326" s="135"/>
    </row>
    <row r="4327" spans="1:26" ht="25.5">
      <c r="A4327" s="136" t="s">
        <v>11</v>
      </c>
      <c r="B4327" s="136" t="s">
        <v>297</v>
      </c>
      <c r="C4327" s="136" t="s">
        <v>321</v>
      </c>
      <c r="D4327" s="136" t="s">
        <v>7878</v>
      </c>
      <c r="E4327" s="136" t="s">
        <v>85</v>
      </c>
      <c r="F4327" s="136">
        <v>390</v>
      </c>
      <c r="G4327" s="137">
        <f t="shared" si="16"/>
        <v>2</v>
      </c>
      <c r="H4327" s="137"/>
      <c r="I4327" s="137"/>
      <c r="J4327" s="135"/>
      <c r="K4327" s="135"/>
      <c r="L4327" s="135"/>
      <c r="M4327" s="135"/>
      <c r="N4327" s="135"/>
      <c r="O4327" s="135"/>
      <c r="P4327" s="135"/>
      <c r="Q4327" s="135"/>
      <c r="R4327" s="135"/>
      <c r="S4327" s="135"/>
      <c r="T4327" s="135"/>
      <c r="U4327" s="135"/>
      <c r="V4327" s="135"/>
      <c r="W4327" s="135"/>
      <c r="X4327" s="135"/>
      <c r="Y4327" s="135"/>
      <c r="Z4327" s="135"/>
    </row>
    <row r="4328" spans="1:26" ht="25.5">
      <c r="A4328" s="136" t="s">
        <v>11</v>
      </c>
      <c r="B4328" s="136" t="s">
        <v>297</v>
      </c>
      <c r="C4328" s="136" t="s">
        <v>321</v>
      </c>
      <c r="D4328" s="136" t="s">
        <v>1669</v>
      </c>
      <c r="E4328" s="136" t="s">
        <v>615</v>
      </c>
      <c r="F4328" s="136">
        <v>254</v>
      </c>
      <c r="G4328" s="137">
        <f t="shared" si="16"/>
        <v>3</v>
      </c>
      <c r="H4328" s="137"/>
      <c r="I4328" s="137"/>
      <c r="J4328" s="135"/>
      <c r="K4328" s="135"/>
      <c r="L4328" s="135"/>
      <c r="M4328" s="135"/>
      <c r="N4328" s="135"/>
      <c r="O4328" s="135"/>
      <c r="P4328" s="135"/>
      <c r="Q4328" s="135"/>
      <c r="R4328" s="135"/>
      <c r="S4328" s="135"/>
      <c r="T4328" s="135"/>
      <c r="U4328" s="135"/>
      <c r="V4328" s="135"/>
      <c r="W4328" s="135"/>
      <c r="X4328" s="135"/>
      <c r="Y4328" s="135"/>
      <c r="Z4328" s="135"/>
    </row>
    <row r="4329" spans="1:26" ht="25.5">
      <c r="A4329" s="136" t="s">
        <v>11</v>
      </c>
      <c r="B4329" s="136" t="s">
        <v>297</v>
      </c>
      <c r="C4329" s="136" t="s">
        <v>321</v>
      </c>
      <c r="D4329" s="136" t="s">
        <v>1665</v>
      </c>
      <c r="E4329" s="136" t="s">
        <v>615</v>
      </c>
      <c r="F4329" s="136">
        <v>61</v>
      </c>
      <c r="G4329" s="137">
        <f t="shared" si="16"/>
        <v>4</v>
      </c>
      <c r="H4329" s="137"/>
      <c r="I4329" s="137"/>
      <c r="J4329" s="135"/>
      <c r="K4329" s="135"/>
      <c r="L4329" s="135"/>
      <c r="M4329" s="135"/>
      <c r="N4329" s="135"/>
      <c r="O4329" s="135"/>
      <c r="P4329" s="135"/>
      <c r="Q4329" s="135"/>
      <c r="R4329" s="135"/>
      <c r="S4329" s="135"/>
      <c r="T4329" s="135"/>
      <c r="U4329" s="135"/>
      <c r="V4329" s="135"/>
      <c r="W4329" s="135"/>
      <c r="X4329" s="135"/>
      <c r="Y4329" s="135"/>
      <c r="Z4329" s="135"/>
    </row>
    <row r="4330" spans="1:26" ht="25.5">
      <c r="A4330" s="136" t="s">
        <v>11</v>
      </c>
      <c r="B4330" s="136" t="s">
        <v>297</v>
      </c>
      <c r="C4330" s="136" t="s">
        <v>321</v>
      </c>
      <c r="D4330" s="136" t="s">
        <v>1659</v>
      </c>
      <c r="E4330" s="136" t="s">
        <v>615</v>
      </c>
      <c r="F4330" s="136">
        <v>53</v>
      </c>
      <c r="G4330" s="137">
        <f t="shared" si="16"/>
        <v>5</v>
      </c>
      <c r="H4330" s="137"/>
      <c r="I4330" s="137"/>
      <c r="J4330" s="135"/>
      <c r="K4330" s="135"/>
      <c r="L4330" s="135"/>
      <c r="M4330" s="135"/>
      <c r="N4330" s="135"/>
      <c r="O4330" s="135"/>
      <c r="P4330" s="135"/>
      <c r="Q4330" s="135"/>
      <c r="R4330" s="135"/>
      <c r="S4330" s="135"/>
      <c r="T4330" s="135"/>
      <c r="U4330" s="135"/>
      <c r="V4330" s="135"/>
      <c r="W4330" s="135"/>
      <c r="X4330" s="135"/>
      <c r="Y4330" s="135"/>
      <c r="Z4330" s="135"/>
    </row>
    <row r="4331" spans="1:26" ht="25.5">
      <c r="A4331" s="136" t="s">
        <v>11</v>
      </c>
      <c r="B4331" s="136" t="s">
        <v>297</v>
      </c>
      <c r="C4331" s="136" t="s">
        <v>321</v>
      </c>
      <c r="D4331" s="136" t="s">
        <v>7657</v>
      </c>
      <c r="E4331" s="136" t="s">
        <v>85</v>
      </c>
      <c r="F4331" s="136">
        <v>26</v>
      </c>
      <c r="G4331" s="137">
        <f t="shared" si="16"/>
        <v>6</v>
      </c>
      <c r="H4331" s="137"/>
      <c r="I4331" s="137"/>
      <c r="J4331" s="135"/>
      <c r="K4331" s="135"/>
      <c r="L4331" s="135"/>
      <c r="M4331" s="135"/>
      <c r="N4331" s="135"/>
      <c r="O4331" s="135"/>
      <c r="P4331" s="135"/>
      <c r="Q4331" s="135"/>
      <c r="R4331" s="135"/>
      <c r="S4331" s="135"/>
      <c r="T4331" s="135"/>
      <c r="U4331" s="135"/>
      <c r="V4331" s="135"/>
      <c r="W4331" s="135"/>
      <c r="X4331" s="135"/>
      <c r="Y4331" s="135"/>
      <c r="Z4331" s="135"/>
    </row>
    <row r="4332" spans="1:26" ht="25.5">
      <c r="A4332" s="136" t="s">
        <v>11</v>
      </c>
      <c r="B4332" s="136" t="s">
        <v>297</v>
      </c>
      <c r="C4332" s="136" t="s">
        <v>321</v>
      </c>
      <c r="D4332" s="136" t="s">
        <v>1680</v>
      </c>
      <c r="E4332" s="136" t="s">
        <v>615</v>
      </c>
      <c r="F4332" s="136">
        <v>15</v>
      </c>
      <c r="G4332" s="137">
        <f t="shared" si="16"/>
        <v>7</v>
      </c>
      <c r="H4332" s="137"/>
      <c r="I4332" s="137"/>
      <c r="J4332" s="135"/>
      <c r="K4332" s="135"/>
      <c r="L4332" s="135"/>
      <c r="M4332" s="135"/>
      <c r="N4332" s="135"/>
      <c r="O4332" s="135"/>
      <c r="P4332" s="135"/>
      <c r="Q4332" s="135"/>
      <c r="R4332" s="135"/>
      <c r="S4332" s="135"/>
      <c r="T4332" s="135"/>
      <c r="U4332" s="135"/>
      <c r="V4332" s="135"/>
      <c r="W4332" s="135"/>
      <c r="X4332" s="135"/>
      <c r="Y4332" s="135"/>
      <c r="Z4332" s="135"/>
    </row>
    <row r="4333" spans="1:26" ht="25.5">
      <c r="A4333" s="136" t="s">
        <v>11</v>
      </c>
      <c r="B4333" s="136" t="s">
        <v>297</v>
      </c>
      <c r="C4333" s="136" t="s">
        <v>321</v>
      </c>
      <c r="D4333" s="136" t="s">
        <v>1656</v>
      </c>
      <c r="E4333" s="136" t="s">
        <v>594</v>
      </c>
      <c r="F4333" s="136">
        <v>8</v>
      </c>
      <c r="G4333" s="137">
        <f t="shared" si="16"/>
        <v>8</v>
      </c>
      <c r="H4333" s="137"/>
      <c r="I4333" s="137"/>
      <c r="J4333" s="135"/>
      <c r="K4333" s="135"/>
      <c r="L4333" s="135"/>
      <c r="M4333" s="135"/>
      <c r="N4333" s="135"/>
      <c r="O4333" s="135"/>
      <c r="P4333" s="135"/>
      <c r="Q4333" s="135"/>
      <c r="R4333" s="135"/>
      <c r="S4333" s="135"/>
      <c r="T4333" s="135"/>
      <c r="U4333" s="135"/>
      <c r="V4333" s="135"/>
      <c r="W4333" s="135"/>
      <c r="X4333" s="135"/>
      <c r="Y4333" s="135"/>
      <c r="Z4333" s="135"/>
    </row>
    <row r="4334" spans="1:26" ht="25.5">
      <c r="A4334" s="136" t="s">
        <v>11</v>
      </c>
      <c r="B4334" s="136" t="s">
        <v>297</v>
      </c>
      <c r="C4334" s="136" t="s">
        <v>321</v>
      </c>
      <c r="D4334" s="136" t="s">
        <v>7940</v>
      </c>
      <c r="E4334" s="136" t="s">
        <v>615</v>
      </c>
      <c r="F4334" s="136">
        <v>5</v>
      </c>
      <c r="G4334" s="137">
        <f t="shared" si="16"/>
        <v>9</v>
      </c>
      <c r="H4334" s="137"/>
      <c r="I4334" s="137"/>
      <c r="J4334" s="135"/>
      <c r="K4334" s="135"/>
      <c r="L4334" s="135"/>
      <c r="M4334" s="135"/>
      <c r="N4334" s="135"/>
      <c r="O4334" s="135"/>
      <c r="P4334" s="135"/>
      <c r="Q4334" s="135"/>
      <c r="R4334" s="135"/>
      <c r="S4334" s="135"/>
      <c r="T4334" s="135"/>
      <c r="U4334" s="135"/>
      <c r="V4334" s="135"/>
      <c r="W4334" s="135"/>
      <c r="X4334" s="135"/>
      <c r="Y4334" s="135"/>
      <c r="Z4334" s="135"/>
    </row>
    <row r="4335" spans="1:26" ht="25.5">
      <c r="A4335" s="136" t="s">
        <v>11</v>
      </c>
      <c r="B4335" s="136" t="s">
        <v>297</v>
      </c>
      <c r="C4335" s="136" t="s">
        <v>321</v>
      </c>
      <c r="D4335" s="136" t="s">
        <v>1626</v>
      </c>
      <c r="E4335" s="136" t="s">
        <v>594</v>
      </c>
      <c r="F4335" s="136">
        <v>5</v>
      </c>
      <c r="G4335" s="137">
        <f t="shared" si="16"/>
        <v>10</v>
      </c>
      <c r="H4335" s="137"/>
      <c r="I4335" s="137"/>
      <c r="J4335" s="135"/>
      <c r="K4335" s="135"/>
      <c r="L4335" s="135"/>
      <c r="M4335" s="135"/>
      <c r="N4335" s="135"/>
      <c r="O4335" s="135"/>
      <c r="P4335" s="135"/>
      <c r="Q4335" s="135"/>
      <c r="R4335" s="135"/>
      <c r="S4335" s="135"/>
      <c r="T4335" s="135"/>
      <c r="U4335" s="135"/>
      <c r="V4335" s="135"/>
      <c r="W4335" s="135"/>
      <c r="X4335" s="135"/>
      <c r="Y4335" s="135"/>
      <c r="Z4335" s="135"/>
    </row>
    <row r="4336" spans="1:26" ht="25.5">
      <c r="A4336" s="136" t="s">
        <v>11</v>
      </c>
      <c r="B4336" s="136" t="s">
        <v>297</v>
      </c>
      <c r="C4336" s="136" t="s">
        <v>321</v>
      </c>
      <c r="D4336" s="136" t="s">
        <v>213</v>
      </c>
      <c r="E4336" s="136" t="s">
        <v>615</v>
      </c>
      <c r="F4336" s="136">
        <v>4</v>
      </c>
      <c r="G4336" s="137">
        <f t="shared" si="16"/>
        <v>11</v>
      </c>
      <c r="H4336" s="137"/>
      <c r="I4336" s="137"/>
      <c r="J4336" s="135"/>
      <c r="K4336" s="135"/>
      <c r="L4336" s="135"/>
      <c r="M4336" s="135"/>
      <c r="N4336" s="135"/>
      <c r="O4336" s="135"/>
      <c r="P4336" s="135"/>
      <c r="Q4336" s="135"/>
      <c r="R4336" s="135"/>
      <c r="S4336" s="135"/>
      <c r="T4336" s="135"/>
      <c r="U4336" s="135"/>
      <c r="V4336" s="135"/>
      <c r="W4336" s="135"/>
      <c r="X4336" s="135"/>
      <c r="Y4336" s="135"/>
      <c r="Z4336" s="135"/>
    </row>
    <row r="4337" spans="1:26" ht="25.5">
      <c r="A4337" s="136" t="s">
        <v>11</v>
      </c>
      <c r="B4337" s="136" t="s">
        <v>297</v>
      </c>
      <c r="C4337" s="136" t="s">
        <v>321</v>
      </c>
      <c r="D4337" s="136" t="s">
        <v>7937</v>
      </c>
      <c r="E4337" s="136" t="s">
        <v>86</v>
      </c>
      <c r="F4337" s="136">
        <v>4</v>
      </c>
      <c r="G4337" s="137">
        <f t="shared" ref="G4337:G4591" si="17">COUNTIFS($C:$C,C4337,$F:$F,"&gt;"&amp;F4337)
 + COUNTIFS($C$2:C4337,C4337,$F$2:F4337,F4337)</f>
        <v>12</v>
      </c>
      <c r="H4337" s="137"/>
      <c r="I4337" s="137"/>
      <c r="J4337" s="135"/>
      <c r="K4337" s="135"/>
      <c r="L4337" s="135"/>
      <c r="M4337" s="135"/>
      <c r="N4337" s="135"/>
      <c r="O4337" s="135"/>
      <c r="P4337" s="135"/>
      <c r="Q4337" s="135"/>
      <c r="R4337" s="135"/>
      <c r="S4337" s="135"/>
      <c r="T4337" s="135"/>
      <c r="U4337" s="135"/>
      <c r="V4337" s="135"/>
      <c r="W4337" s="135"/>
      <c r="X4337" s="135"/>
      <c r="Y4337" s="135"/>
      <c r="Z4337" s="135"/>
    </row>
    <row r="4338" spans="1:26" ht="25.5">
      <c r="A4338" s="136" t="s">
        <v>11</v>
      </c>
      <c r="B4338" s="136" t="s">
        <v>297</v>
      </c>
      <c r="C4338" s="136" t="s">
        <v>327</v>
      </c>
      <c r="D4338" s="136" t="s">
        <v>7940</v>
      </c>
      <c r="E4338" s="136" t="s">
        <v>615</v>
      </c>
      <c r="F4338" s="136">
        <v>1625</v>
      </c>
      <c r="G4338" s="137">
        <f t="shared" si="17"/>
        <v>1</v>
      </c>
      <c r="H4338" s="137"/>
      <c r="I4338" s="137"/>
      <c r="J4338" s="135"/>
      <c r="K4338" s="135"/>
      <c r="L4338" s="135"/>
      <c r="M4338" s="135"/>
      <c r="N4338" s="135"/>
      <c r="O4338" s="135"/>
      <c r="P4338" s="135"/>
      <c r="Q4338" s="135"/>
      <c r="R4338" s="135"/>
      <c r="S4338" s="135"/>
      <c r="T4338" s="135"/>
      <c r="U4338" s="135"/>
      <c r="V4338" s="135"/>
      <c r="W4338" s="135"/>
      <c r="X4338" s="135"/>
      <c r="Y4338" s="135"/>
      <c r="Z4338" s="135"/>
    </row>
    <row r="4339" spans="1:26" ht="25.5">
      <c r="A4339" s="136" t="s">
        <v>11</v>
      </c>
      <c r="B4339" s="136" t="s">
        <v>297</v>
      </c>
      <c r="C4339" s="136" t="s">
        <v>327</v>
      </c>
      <c r="D4339" s="136" t="s">
        <v>139</v>
      </c>
      <c r="E4339" s="136" t="s">
        <v>594</v>
      </c>
      <c r="F4339" s="136">
        <v>30</v>
      </c>
      <c r="G4339" s="137">
        <f t="shared" si="17"/>
        <v>2</v>
      </c>
      <c r="H4339" s="137"/>
      <c r="I4339" s="137"/>
      <c r="J4339" s="135"/>
      <c r="K4339" s="135"/>
      <c r="L4339" s="135"/>
      <c r="M4339" s="135"/>
      <c r="N4339" s="135"/>
      <c r="O4339" s="135"/>
      <c r="P4339" s="135"/>
      <c r="Q4339" s="135"/>
      <c r="R4339" s="135"/>
      <c r="S4339" s="135"/>
      <c r="T4339" s="135"/>
      <c r="U4339" s="135"/>
      <c r="V4339" s="135"/>
      <c r="W4339" s="135"/>
      <c r="X4339" s="135"/>
      <c r="Y4339" s="135"/>
      <c r="Z4339" s="135"/>
    </row>
    <row r="4340" spans="1:26" ht="25.5">
      <c r="A4340" s="136" t="s">
        <v>11</v>
      </c>
      <c r="B4340" s="136" t="s">
        <v>297</v>
      </c>
      <c r="C4340" s="136" t="s">
        <v>327</v>
      </c>
      <c r="D4340" s="136" t="s">
        <v>368</v>
      </c>
      <c r="E4340" s="136" t="s">
        <v>594</v>
      </c>
      <c r="F4340" s="136">
        <v>5</v>
      </c>
      <c r="G4340" s="137">
        <f t="shared" si="17"/>
        <v>3</v>
      </c>
      <c r="H4340" s="137"/>
      <c r="I4340" s="137"/>
      <c r="J4340" s="135"/>
      <c r="K4340" s="135"/>
      <c r="L4340" s="135"/>
      <c r="M4340" s="135"/>
      <c r="N4340" s="135"/>
      <c r="O4340" s="135"/>
      <c r="P4340" s="135"/>
      <c r="Q4340" s="135"/>
      <c r="R4340" s="135"/>
      <c r="S4340" s="135"/>
      <c r="T4340" s="135"/>
      <c r="U4340" s="135"/>
      <c r="V4340" s="135"/>
      <c r="W4340" s="135"/>
      <c r="X4340" s="135"/>
      <c r="Y4340" s="135"/>
      <c r="Z4340" s="135"/>
    </row>
    <row r="4341" spans="1:26" ht="25.5">
      <c r="A4341" s="136" t="s">
        <v>11</v>
      </c>
      <c r="B4341" s="136" t="s">
        <v>297</v>
      </c>
      <c r="C4341" s="136" t="s">
        <v>327</v>
      </c>
      <c r="D4341" s="136" t="s">
        <v>1626</v>
      </c>
      <c r="E4341" s="136" t="s">
        <v>594</v>
      </c>
      <c r="F4341" s="136">
        <v>2</v>
      </c>
      <c r="G4341" s="137">
        <f t="shared" si="17"/>
        <v>4</v>
      </c>
      <c r="H4341" s="137"/>
      <c r="I4341" s="137"/>
      <c r="J4341" s="135"/>
      <c r="K4341" s="135"/>
      <c r="L4341" s="135"/>
      <c r="M4341" s="135"/>
      <c r="N4341" s="135"/>
      <c r="O4341" s="135"/>
      <c r="P4341" s="135"/>
      <c r="Q4341" s="135"/>
      <c r="R4341" s="135"/>
      <c r="S4341" s="135"/>
      <c r="T4341" s="135"/>
      <c r="U4341" s="135"/>
      <c r="V4341" s="135"/>
      <c r="W4341" s="135"/>
      <c r="X4341" s="135"/>
      <c r="Y4341" s="135"/>
      <c r="Z4341" s="135"/>
    </row>
    <row r="4342" spans="1:26" ht="25.5">
      <c r="A4342" s="136" t="s">
        <v>11</v>
      </c>
      <c r="B4342" s="136" t="s">
        <v>297</v>
      </c>
      <c r="C4342" s="136" t="s">
        <v>327</v>
      </c>
      <c r="D4342" s="136" t="s">
        <v>7937</v>
      </c>
      <c r="E4342" s="136" t="s">
        <v>86</v>
      </c>
      <c r="F4342" s="136">
        <v>1</v>
      </c>
      <c r="G4342" s="137">
        <f t="shared" si="17"/>
        <v>5</v>
      </c>
      <c r="H4342" s="137"/>
      <c r="I4342" s="137"/>
      <c r="J4342" s="135"/>
      <c r="K4342" s="135"/>
      <c r="L4342" s="135"/>
      <c r="M4342" s="135"/>
      <c r="N4342" s="135"/>
      <c r="O4342" s="135"/>
      <c r="P4342" s="135"/>
      <c r="Q4342" s="135"/>
      <c r="R4342" s="135"/>
      <c r="S4342" s="135"/>
      <c r="T4342" s="135"/>
      <c r="U4342" s="135"/>
      <c r="V4342" s="135"/>
      <c r="W4342" s="135"/>
      <c r="X4342" s="135"/>
      <c r="Y4342" s="135"/>
      <c r="Z4342" s="135"/>
    </row>
    <row r="4343" spans="1:26" ht="25.5">
      <c r="A4343" s="136" t="s">
        <v>11</v>
      </c>
      <c r="B4343" s="136" t="s">
        <v>297</v>
      </c>
      <c r="C4343" s="136" t="s">
        <v>7967</v>
      </c>
      <c r="D4343" s="136" t="s">
        <v>1669</v>
      </c>
      <c r="E4343" s="136" t="s">
        <v>615</v>
      </c>
      <c r="F4343" s="136">
        <v>961</v>
      </c>
      <c r="G4343" s="137">
        <f t="shared" si="17"/>
        <v>1</v>
      </c>
      <c r="H4343" s="137"/>
      <c r="I4343" s="137"/>
      <c r="J4343" s="135"/>
      <c r="K4343" s="135"/>
      <c r="L4343" s="135"/>
      <c r="M4343" s="135"/>
      <c r="N4343" s="135"/>
      <c r="O4343" s="135"/>
      <c r="P4343" s="135"/>
      <c r="Q4343" s="135"/>
      <c r="R4343" s="135"/>
      <c r="S4343" s="135"/>
      <c r="T4343" s="135"/>
      <c r="U4343" s="135"/>
      <c r="V4343" s="135"/>
      <c r="W4343" s="135"/>
      <c r="X4343" s="135"/>
      <c r="Y4343" s="135"/>
      <c r="Z4343" s="135"/>
    </row>
    <row r="4344" spans="1:26" ht="25.5">
      <c r="A4344" s="136" t="s">
        <v>11</v>
      </c>
      <c r="B4344" s="136" t="s">
        <v>297</v>
      </c>
      <c r="C4344" s="136" t="s">
        <v>7967</v>
      </c>
      <c r="D4344" s="136" t="s">
        <v>7657</v>
      </c>
      <c r="E4344" s="136" t="s">
        <v>85</v>
      </c>
      <c r="F4344" s="136">
        <v>154</v>
      </c>
      <c r="G4344" s="137">
        <f t="shared" si="17"/>
        <v>2</v>
      </c>
      <c r="H4344" s="137"/>
      <c r="I4344" s="137"/>
      <c r="J4344" s="135"/>
      <c r="K4344" s="135"/>
      <c r="L4344" s="135"/>
      <c r="M4344" s="135"/>
      <c r="N4344" s="135"/>
      <c r="O4344" s="135"/>
      <c r="P4344" s="135"/>
      <c r="Q4344" s="135"/>
      <c r="R4344" s="135"/>
      <c r="S4344" s="135"/>
      <c r="T4344" s="135"/>
      <c r="U4344" s="135"/>
      <c r="V4344" s="135"/>
      <c r="W4344" s="135"/>
      <c r="X4344" s="135"/>
      <c r="Y4344" s="135"/>
      <c r="Z4344" s="135"/>
    </row>
    <row r="4345" spans="1:26" ht="25.5">
      <c r="A4345" s="136" t="s">
        <v>11</v>
      </c>
      <c r="B4345" s="136" t="s">
        <v>297</v>
      </c>
      <c r="C4345" s="136" t="s">
        <v>7967</v>
      </c>
      <c r="D4345" s="136" t="s">
        <v>7878</v>
      </c>
      <c r="E4345" s="136" t="s">
        <v>85</v>
      </c>
      <c r="F4345" s="136">
        <v>132</v>
      </c>
      <c r="G4345" s="137">
        <f t="shared" si="17"/>
        <v>3</v>
      </c>
      <c r="H4345" s="137"/>
      <c r="I4345" s="137"/>
      <c r="J4345" s="135"/>
      <c r="K4345" s="135"/>
      <c r="L4345" s="135"/>
      <c r="M4345" s="135"/>
      <c r="N4345" s="135"/>
      <c r="O4345" s="135"/>
      <c r="P4345" s="135"/>
      <c r="Q4345" s="135"/>
      <c r="R4345" s="135"/>
      <c r="S4345" s="135"/>
      <c r="T4345" s="135"/>
      <c r="U4345" s="135"/>
      <c r="V4345" s="135"/>
      <c r="W4345" s="135"/>
      <c r="X4345" s="135"/>
      <c r="Y4345" s="135"/>
      <c r="Z4345" s="135"/>
    </row>
    <row r="4346" spans="1:26" ht="25.5">
      <c r="A4346" s="136" t="s">
        <v>11</v>
      </c>
      <c r="B4346" s="136" t="s">
        <v>297</v>
      </c>
      <c r="C4346" s="136" t="s">
        <v>7967</v>
      </c>
      <c r="D4346" s="136" t="s">
        <v>165</v>
      </c>
      <c r="E4346" s="136" t="s">
        <v>615</v>
      </c>
      <c r="F4346" s="136">
        <v>29</v>
      </c>
      <c r="G4346" s="137">
        <f t="shared" si="17"/>
        <v>4</v>
      </c>
      <c r="H4346" s="137"/>
      <c r="I4346" s="137"/>
      <c r="J4346" s="135"/>
      <c r="K4346" s="135"/>
      <c r="L4346" s="135"/>
      <c r="M4346" s="135"/>
      <c r="N4346" s="135"/>
      <c r="O4346" s="135"/>
      <c r="P4346" s="135"/>
      <c r="Q4346" s="135"/>
      <c r="R4346" s="135"/>
      <c r="S4346" s="135"/>
      <c r="T4346" s="135"/>
      <c r="U4346" s="135"/>
      <c r="V4346" s="135"/>
      <c r="W4346" s="135"/>
      <c r="X4346" s="135"/>
      <c r="Y4346" s="135"/>
      <c r="Z4346" s="135"/>
    </row>
    <row r="4347" spans="1:26" ht="25.5">
      <c r="A4347" s="136" t="s">
        <v>11</v>
      </c>
      <c r="B4347" s="136" t="s">
        <v>297</v>
      </c>
      <c r="C4347" s="136" t="s">
        <v>7967</v>
      </c>
      <c r="D4347" s="136" t="s">
        <v>7937</v>
      </c>
      <c r="E4347" s="136" t="s">
        <v>86</v>
      </c>
      <c r="F4347" s="136">
        <v>21</v>
      </c>
      <c r="G4347" s="137">
        <f t="shared" si="17"/>
        <v>5</v>
      </c>
      <c r="H4347" s="137"/>
      <c r="I4347" s="137"/>
      <c r="J4347" s="135"/>
      <c r="K4347" s="135"/>
      <c r="L4347" s="135"/>
      <c r="M4347" s="135"/>
      <c r="N4347" s="135"/>
      <c r="O4347" s="135"/>
      <c r="P4347" s="135"/>
      <c r="Q4347" s="135"/>
      <c r="R4347" s="135"/>
      <c r="S4347" s="135"/>
      <c r="T4347" s="135"/>
      <c r="U4347" s="135"/>
      <c r="V4347" s="135"/>
      <c r="W4347" s="135"/>
      <c r="X4347" s="135"/>
      <c r="Y4347" s="135"/>
      <c r="Z4347" s="135"/>
    </row>
    <row r="4348" spans="1:26" ht="25.5">
      <c r="A4348" s="136" t="s">
        <v>11</v>
      </c>
      <c r="B4348" s="136" t="s">
        <v>297</v>
      </c>
      <c r="C4348" s="136" t="s">
        <v>7967</v>
      </c>
      <c r="D4348" s="136" t="s">
        <v>139</v>
      </c>
      <c r="E4348" s="136" t="s">
        <v>594</v>
      </c>
      <c r="F4348" s="136">
        <v>2</v>
      </c>
      <c r="G4348" s="137">
        <f t="shared" si="17"/>
        <v>6</v>
      </c>
      <c r="H4348" s="137"/>
      <c r="I4348" s="137"/>
      <c r="J4348" s="135"/>
      <c r="K4348" s="135"/>
      <c r="L4348" s="135"/>
      <c r="M4348" s="135"/>
      <c r="N4348" s="135"/>
      <c r="O4348" s="135"/>
      <c r="P4348" s="135"/>
      <c r="Q4348" s="135"/>
      <c r="R4348" s="135"/>
      <c r="S4348" s="135"/>
      <c r="T4348" s="135"/>
      <c r="U4348" s="135"/>
      <c r="V4348" s="135"/>
      <c r="W4348" s="135"/>
      <c r="X4348" s="135"/>
      <c r="Y4348" s="135"/>
      <c r="Z4348" s="135"/>
    </row>
    <row r="4349" spans="1:26" ht="25.5">
      <c r="A4349" s="136" t="s">
        <v>11</v>
      </c>
      <c r="B4349" s="136" t="s">
        <v>297</v>
      </c>
      <c r="C4349" s="136" t="s">
        <v>308</v>
      </c>
      <c r="D4349" s="136" t="s">
        <v>139</v>
      </c>
      <c r="E4349" s="136" t="s">
        <v>594</v>
      </c>
      <c r="F4349" s="136">
        <v>742</v>
      </c>
      <c r="G4349" s="137">
        <f t="shared" si="17"/>
        <v>1</v>
      </c>
      <c r="H4349" s="137"/>
      <c r="I4349" s="137"/>
      <c r="J4349" s="135"/>
      <c r="K4349" s="135"/>
      <c r="L4349" s="135"/>
      <c r="M4349" s="135"/>
      <c r="N4349" s="135"/>
      <c r="O4349" s="135"/>
      <c r="P4349" s="135"/>
      <c r="Q4349" s="135"/>
      <c r="R4349" s="135"/>
      <c r="S4349" s="135"/>
      <c r="T4349" s="135"/>
      <c r="U4349" s="135"/>
      <c r="V4349" s="135"/>
      <c r="W4349" s="135"/>
      <c r="X4349" s="135"/>
      <c r="Y4349" s="135"/>
      <c r="Z4349" s="135"/>
    </row>
    <row r="4350" spans="1:26" ht="25.5">
      <c r="A4350" s="136" t="s">
        <v>11</v>
      </c>
      <c r="B4350" s="136" t="s">
        <v>297</v>
      </c>
      <c r="C4350" s="136" t="s">
        <v>308</v>
      </c>
      <c r="D4350" s="136" t="s">
        <v>1669</v>
      </c>
      <c r="E4350" s="136" t="s">
        <v>615</v>
      </c>
      <c r="F4350" s="136">
        <v>515</v>
      </c>
      <c r="G4350" s="137">
        <f t="shared" si="17"/>
        <v>2</v>
      </c>
      <c r="H4350" s="137"/>
      <c r="I4350" s="137"/>
      <c r="J4350" s="135"/>
      <c r="K4350" s="135"/>
      <c r="L4350" s="135"/>
      <c r="M4350" s="135"/>
      <c r="N4350" s="135"/>
      <c r="O4350" s="135"/>
      <c r="P4350" s="135"/>
      <c r="Q4350" s="135"/>
      <c r="R4350" s="135"/>
      <c r="S4350" s="135"/>
      <c r="T4350" s="135"/>
      <c r="U4350" s="135"/>
      <c r="V4350" s="135"/>
      <c r="W4350" s="135"/>
      <c r="X4350" s="135"/>
      <c r="Y4350" s="135"/>
      <c r="Z4350" s="135"/>
    </row>
    <row r="4351" spans="1:26" ht="25.5">
      <c r="A4351" s="136" t="s">
        <v>11</v>
      </c>
      <c r="B4351" s="136" t="s">
        <v>297</v>
      </c>
      <c r="C4351" s="136" t="s">
        <v>308</v>
      </c>
      <c r="D4351" s="136" t="s">
        <v>7878</v>
      </c>
      <c r="E4351" s="136" t="s">
        <v>85</v>
      </c>
      <c r="F4351" s="136">
        <v>204</v>
      </c>
      <c r="G4351" s="137">
        <f t="shared" si="17"/>
        <v>3</v>
      </c>
      <c r="H4351" s="137"/>
      <c r="I4351" s="137"/>
      <c r="J4351" s="135"/>
      <c r="K4351" s="135"/>
      <c r="L4351" s="135"/>
      <c r="M4351" s="135"/>
      <c r="N4351" s="135"/>
      <c r="O4351" s="135"/>
      <c r="P4351" s="135"/>
      <c r="Q4351" s="135"/>
      <c r="R4351" s="135"/>
      <c r="S4351" s="135"/>
      <c r="T4351" s="135"/>
      <c r="U4351" s="135"/>
      <c r="V4351" s="135"/>
      <c r="W4351" s="135"/>
      <c r="X4351" s="135"/>
      <c r="Y4351" s="135"/>
      <c r="Z4351" s="135"/>
    </row>
    <row r="4352" spans="1:26" ht="25.5">
      <c r="A4352" s="136" t="s">
        <v>11</v>
      </c>
      <c r="B4352" s="136" t="s">
        <v>297</v>
      </c>
      <c r="C4352" s="136" t="s">
        <v>308</v>
      </c>
      <c r="D4352" s="136" t="s">
        <v>1665</v>
      </c>
      <c r="E4352" s="136" t="s">
        <v>615</v>
      </c>
      <c r="F4352" s="136">
        <v>115</v>
      </c>
      <c r="G4352" s="137">
        <f t="shared" si="17"/>
        <v>4</v>
      </c>
      <c r="H4352" s="137"/>
      <c r="I4352" s="137"/>
      <c r="J4352" s="135"/>
      <c r="K4352" s="135"/>
      <c r="L4352" s="135"/>
      <c r="M4352" s="135"/>
      <c r="N4352" s="135"/>
      <c r="O4352" s="135"/>
      <c r="P4352" s="135"/>
      <c r="Q4352" s="135"/>
      <c r="R4352" s="135"/>
      <c r="S4352" s="135"/>
      <c r="T4352" s="135"/>
      <c r="U4352" s="135"/>
      <c r="V4352" s="135"/>
      <c r="W4352" s="135"/>
      <c r="X4352" s="135"/>
      <c r="Y4352" s="135"/>
      <c r="Z4352" s="135"/>
    </row>
    <row r="4353" spans="1:26" ht="25.5">
      <c r="A4353" s="136" t="s">
        <v>11</v>
      </c>
      <c r="B4353" s="136" t="s">
        <v>297</v>
      </c>
      <c r="C4353" s="136" t="s">
        <v>308</v>
      </c>
      <c r="D4353" s="136" t="s">
        <v>1659</v>
      </c>
      <c r="E4353" s="136" t="s">
        <v>615</v>
      </c>
      <c r="F4353" s="136">
        <v>72</v>
      </c>
      <c r="G4353" s="137">
        <f t="shared" si="17"/>
        <v>5</v>
      </c>
      <c r="H4353" s="137"/>
      <c r="I4353" s="137"/>
      <c r="J4353" s="135"/>
      <c r="K4353" s="135"/>
      <c r="L4353" s="135"/>
      <c r="M4353" s="135"/>
      <c r="N4353" s="135"/>
      <c r="O4353" s="135"/>
      <c r="P4353" s="135"/>
      <c r="Q4353" s="135"/>
      <c r="R4353" s="135"/>
      <c r="S4353" s="135"/>
      <c r="T4353" s="135"/>
      <c r="U4353" s="135"/>
      <c r="V4353" s="135"/>
      <c r="W4353" s="135"/>
      <c r="X4353" s="135"/>
      <c r="Y4353" s="135"/>
      <c r="Z4353" s="135"/>
    </row>
    <row r="4354" spans="1:26" ht="25.5">
      <c r="A4354" s="136" t="s">
        <v>11</v>
      </c>
      <c r="B4354" s="136" t="s">
        <v>297</v>
      </c>
      <c r="C4354" s="136" t="s">
        <v>308</v>
      </c>
      <c r="D4354" s="136" t="s">
        <v>165</v>
      </c>
      <c r="E4354" s="136" t="s">
        <v>615</v>
      </c>
      <c r="F4354" s="136">
        <v>64</v>
      </c>
      <c r="G4354" s="137">
        <f t="shared" si="17"/>
        <v>6</v>
      </c>
      <c r="H4354" s="137"/>
      <c r="I4354" s="137"/>
      <c r="J4354" s="135"/>
      <c r="K4354" s="135"/>
      <c r="L4354" s="135"/>
      <c r="M4354" s="135"/>
      <c r="N4354" s="135"/>
      <c r="O4354" s="135"/>
      <c r="P4354" s="135"/>
      <c r="Q4354" s="135"/>
      <c r="R4354" s="135"/>
      <c r="S4354" s="135"/>
      <c r="T4354" s="135"/>
      <c r="U4354" s="135"/>
      <c r="V4354" s="135"/>
      <c r="W4354" s="135"/>
      <c r="X4354" s="135"/>
      <c r="Y4354" s="135"/>
      <c r="Z4354" s="135"/>
    </row>
    <row r="4355" spans="1:26" ht="25.5">
      <c r="A4355" s="136" t="s">
        <v>11</v>
      </c>
      <c r="B4355" s="136" t="s">
        <v>297</v>
      </c>
      <c r="C4355" s="136" t="s">
        <v>308</v>
      </c>
      <c r="D4355" s="136" t="s">
        <v>1626</v>
      </c>
      <c r="E4355" s="136" t="s">
        <v>594</v>
      </c>
      <c r="F4355" s="136">
        <v>52</v>
      </c>
      <c r="G4355" s="137">
        <f t="shared" si="17"/>
        <v>7</v>
      </c>
      <c r="H4355" s="137"/>
      <c r="I4355" s="137"/>
      <c r="J4355" s="135"/>
      <c r="K4355" s="135"/>
      <c r="L4355" s="135"/>
      <c r="M4355" s="135"/>
      <c r="N4355" s="135"/>
      <c r="O4355" s="135"/>
      <c r="P4355" s="135"/>
      <c r="Q4355" s="135"/>
      <c r="R4355" s="135"/>
      <c r="S4355" s="135"/>
      <c r="T4355" s="135"/>
      <c r="U4355" s="135"/>
      <c r="V4355" s="135"/>
      <c r="W4355" s="135"/>
      <c r="X4355" s="135"/>
      <c r="Y4355" s="135"/>
      <c r="Z4355" s="135"/>
    </row>
    <row r="4356" spans="1:26" ht="25.5">
      <c r="A4356" s="136" t="s">
        <v>11</v>
      </c>
      <c r="B4356" s="136" t="s">
        <v>297</v>
      </c>
      <c r="C4356" s="136" t="s">
        <v>308</v>
      </c>
      <c r="D4356" s="136" t="s">
        <v>7711</v>
      </c>
      <c r="E4356" s="136" t="s">
        <v>615</v>
      </c>
      <c r="F4356" s="136">
        <v>38</v>
      </c>
      <c r="G4356" s="137">
        <f t="shared" si="17"/>
        <v>8</v>
      </c>
      <c r="H4356" s="137"/>
      <c r="I4356" s="137"/>
      <c r="J4356" s="135"/>
      <c r="K4356" s="135"/>
      <c r="L4356" s="135"/>
      <c r="M4356" s="135"/>
      <c r="N4356" s="135"/>
      <c r="O4356" s="135"/>
      <c r="P4356" s="135"/>
      <c r="Q4356" s="135"/>
      <c r="R4356" s="135"/>
      <c r="S4356" s="135"/>
      <c r="T4356" s="135"/>
      <c r="U4356" s="135"/>
      <c r="V4356" s="135"/>
      <c r="W4356" s="135"/>
      <c r="X4356" s="135"/>
      <c r="Y4356" s="135"/>
      <c r="Z4356" s="135"/>
    </row>
    <row r="4357" spans="1:26" ht="25.5">
      <c r="A4357" s="136" t="s">
        <v>11</v>
      </c>
      <c r="B4357" s="136" t="s">
        <v>297</v>
      </c>
      <c r="C4357" s="136" t="s">
        <v>308</v>
      </c>
      <c r="D4357" s="136" t="s">
        <v>7657</v>
      </c>
      <c r="E4357" s="136" t="s">
        <v>85</v>
      </c>
      <c r="F4357" s="136">
        <v>24</v>
      </c>
      <c r="G4357" s="137">
        <f t="shared" si="17"/>
        <v>9</v>
      </c>
      <c r="H4357" s="137"/>
      <c r="I4357" s="137"/>
      <c r="J4357" s="135"/>
      <c r="K4357" s="135"/>
      <c r="L4357" s="135"/>
      <c r="M4357" s="135"/>
      <c r="N4357" s="135"/>
      <c r="O4357" s="135"/>
      <c r="P4357" s="135"/>
      <c r="Q4357" s="135"/>
      <c r="R4357" s="135"/>
      <c r="S4357" s="135"/>
      <c r="T4357" s="135"/>
      <c r="U4357" s="135"/>
      <c r="V4357" s="135"/>
      <c r="W4357" s="135"/>
      <c r="X4357" s="135"/>
      <c r="Y4357" s="135"/>
      <c r="Z4357" s="135"/>
    </row>
    <row r="4358" spans="1:26" ht="25.5">
      <c r="A4358" s="136" t="s">
        <v>11</v>
      </c>
      <c r="B4358" s="136" t="s">
        <v>297</v>
      </c>
      <c r="C4358" s="136" t="s">
        <v>308</v>
      </c>
      <c r="D4358" s="136" t="s">
        <v>120</v>
      </c>
      <c r="E4358" s="136" t="s">
        <v>615</v>
      </c>
      <c r="F4358" s="136">
        <v>22</v>
      </c>
      <c r="G4358" s="137">
        <f t="shared" si="17"/>
        <v>10</v>
      </c>
      <c r="H4358" s="137"/>
      <c r="I4358" s="137"/>
      <c r="J4358" s="135"/>
      <c r="K4358" s="135"/>
      <c r="L4358" s="135"/>
      <c r="M4358" s="135"/>
      <c r="N4358" s="135"/>
      <c r="O4358" s="135"/>
      <c r="P4358" s="135"/>
      <c r="Q4358" s="135"/>
      <c r="R4358" s="135"/>
      <c r="S4358" s="135"/>
      <c r="T4358" s="135"/>
      <c r="U4358" s="135"/>
      <c r="V4358" s="135"/>
      <c r="W4358" s="135"/>
      <c r="X4358" s="135"/>
      <c r="Y4358" s="135"/>
      <c r="Z4358" s="135"/>
    </row>
    <row r="4359" spans="1:26" ht="25.5">
      <c r="A4359" s="136" t="s">
        <v>11</v>
      </c>
      <c r="B4359" s="136" t="s">
        <v>297</v>
      </c>
      <c r="C4359" s="136" t="s">
        <v>308</v>
      </c>
      <c r="D4359" s="136" t="s">
        <v>368</v>
      </c>
      <c r="E4359" s="136" t="s">
        <v>594</v>
      </c>
      <c r="F4359" s="136">
        <v>19</v>
      </c>
      <c r="G4359" s="137">
        <f t="shared" si="17"/>
        <v>11</v>
      </c>
      <c r="H4359" s="137"/>
      <c r="I4359" s="137"/>
      <c r="J4359" s="135"/>
      <c r="K4359" s="135"/>
      <c r="L4359" s="135"/>
      <c r="M4359" s="135"/>
      <c r="N4359" s="135"/>
      <c r="O4359" s="135"/>
      <c r="P4359" s="135"/>
      <c r="Q4359" s="135"/>
      <c r="R4359" s="135"/>
      <c r="S4359" s="135"/>
      <c r="T4359" s="135"/>
      <c r="U4359" s="135"/>
      <c r="V4359" s="135"/>
      <c r="W4359" s="135"/>
      <c r="X4359" s="135"/>
      <c r="Y4359" s="135"/>
      <c r="Z4359" s="135"/>
    </row>
    <row r="4360" spans="1:26" ht="25.5">
      <c r="A4360" s="136" t="s">
        <v>11</v>
      </c>
      <c r="B4360" s="136" t="s">
        <v>297</v>
      </c>
      <c r="C4360" s="136" t="s">
        <v>308</v>
      </c>
      <c r="D4360" s="136" t="s">
        <v>131</v>
      </c>
      <c r="E4360" s="136" t="s">
        <v>594</v>
      </c>
      <c r="F4360" s="136">
        <v>16</v>
      </c>
      <c r="G4360" s="137">
        <f t="shared" si="17"/>
        <v>12</v>
      </c>
      <c r="H4360" s="137"/>
      <c r="I4360" s="137"/>
      <c r="J4360" s="135"/>
      <c r="K4360" s="135"/>
      <c r="L4360" s="135"/>
      <c r="M4360" s="135"/>
      <c r="N4360" s="135"/>
      <c r="O4360" s="135"/>
      <c r="P4360" s="135"/>
      <c r="Q4360" s="135"/>
      <c r="R4360" s="135"/>
      <c r="S4360" s="135"/>
      <c r="T4360" s="135"/>
      <c r="U4360" s="135"/>
      <c r="V4360" s="135"/>
      <c r="W4360" s="135"/>
      <c r="X4360" s="135"/>
      <c r="Y4360" s="135"/>
      <c r="Z4360" s="135"/>
    </row>
    <row r="4361" spans="1:26" ht="25.5">
      <c r="A4361" s="136" t="s">
        <v>11</v>
      </c>
      <c r="B4361" s="136" t="s">
        <v>297</v>
      </c>
      <c r="C4361" s="136" t="s">
        <v>308</v>
      </c>
      <c r="D4361" s="136" t="s">
        <v>7937</v>
      </c>
      <c r="E4361" s="136" t="s">
        <v>86</v>
      </c>
      <c r="F4361" s="136">
        <v>6</v>
      </c>
      <c r="G4361" s="137">
        <f t="shared" si="17"/>
        <v>13</v>
      </c>
      <c r="H4361" s="137"/>
      <c r="I4361" s="137"/>
      <c r="J4361" s="135"/>
      <c r="K4361" s="135"/>
      <c r="L4361" s="135"/>
      <c r="M4361" s="135"/>
      <c r="N4361" s="135"/>
      <c r="O4361" s="135"/>
      <c r="P4361" s="135"/>
      <c r="Q4361" s="135"/>
      <c r="R4361" s="135"/>
      <c r="S4361" s="135"/>
      <c r="T4361" s="135"/>
      <c r="U4361" s="135"/>
      <c r="V4361" s="135"/>
      <c r="W4361" s="135"/>
      <c r="X4361" s="135"/>
      <c r="Y4361" s="135"/>
      <c r="Z4361" s="135"/>
    </row>
    <row r="4362" spans="1:26" ht="25.5">
      <c r="A4362" s="136" t="s">
        <v>11</v>
      </c>
      <c r="B4362" s="136" t="s">
        <v>297</v>
      </c>
      <c r="C4362" s="136" t="s">
        <v>308</v>
      </c>
      <c r="D4362" s="136" t="s">
        <v>7954</v>
      </c>
      <c r="E4362" s="136" t="s">
        <v>85</v>
      </c>
      <c r="F4362" s="136">
        <v>2</v>
      </c>
      <c r="G4362" s="137">
        <f t="shared" si="17"/>
        <v>14</v>
      </c>
      <c r="H4362" s="137"/>
      <c r="I4362" s="137"/>
      <c r="J4362" s="135"/>
      <c r="K4362" s="135"/>
      <c r="L4362" s="135"/>
      <c r="M4362" s="135"/>
      <c r="N4362" s="135"/>
      <c r="O4362" s="135"/>
      <c r="P4362" s="135"/>
      <c r="Q4362" s="135"/>
      <c r="R4362" s="135"/>
      <c r="S4362" s="135"/>
      <c r="T4362" s="135"/>
      <c r="U4362" s="135"/>
      <c r="V4362" s="135"/>
      <c r="W4362" s="135"/>
      <c r="X4362" s="135"/>
      <c r="Y4362" s="135"/>
      <c r="Z4362" s="135"/>
    </row>
    <row r="4363" spans="1:26" ht="25.5">
      <c r="A4363" s="136" t="s">
        <v>11</v>
      </c>
      <c r="B4363" s="136" t="s">
        <v>297</v>
      </c>
      <c r="C4363" s="136" t="s">
        <v>339</v>
      </c>
      <c r="D4363" s="136" t="s">
        <v>1669</v>
      </c>
      <c r="E4363" s="136" t="s">
        <v>615</v>
      </c>
      <c r="F4363" s="136">
        <v>1113</v>
      </c>
      <c r="G4363" s="137">
        <f t="shared" si="17"/>
        <v>1</v>
      </c>
      <c r="H4363" s="137"/>
      <c r="I4363" s="137"/>
      <c r="J4363" s="135"/>
      <c r="K4363" s="135"/>
      <c r="L4363" s="135"/>
      <c r="M4363" s="135"/>
      <c r="N4363" s="135"/>
      <c r="O4363" s="135"/>
      <c r="P4363" s="135"/>
      <c r="Q4363" s="135"/>
      <c r="R4363" s="135"/>
      <c r="S4363" s="135"/>
      <c r="T4363" s="135"/>
      <c r="U4363" s="135"/>
      <c r="V4363" s="135"/>
      <c r="W4363" s="135"/>
      <c r="X4363" s="135"/>
      <c r="Y4363" s="135"/>
      <c r="Z4363" s="135"/>
    </row>
    <row r="4364" spans="1:26" ht="25.5">
      <c r="A4364" s="136" t="s">
        <v>11</v>
      </c>
      <c r="B4364" s="136" t="s">
        <v>297</v>
      </c>
      <c r="C4364" s="136" t="s">
        <v>339</v>
      </c>
      <c r="D4364" s="136" t="s">
        <v>7878</v>
      </c>
      <c r="E4364" s="136" t="s">
        <v>85</v>
      </c>
      <c r="F4364" s="136">
        <v>534</v>
      </c>
      <c r="G4364" s="137">
        <f t="shared" si="17"/>
        <v>2</v>
      </c>
      <c r="H4364" s="137"/>
      <c r="I4364" s="137"/>
      <c r="J4364" s="135"/>
      <c r="K4364" s="135"/>
      <c r="L4364" s="135"/>
      <c r="M4364" s="135"/>
      <c r="N4364" s="135"/>
      <c r="O4364" s="135"/>
      <c r="P4364" s="135"/>
      <c r="Q4364" s="135"/>
      <c r="R4364" s="135"/>
      <c r="S4364" s="135"/>
      <c r="T4364" s="135"/>
      <c r="U4364" s="135"/>
      <c r="V4364" s="135"/>
      <c r="W4364" s="135"/>
      <c r="X4364" s="135"/>
      <c r="Y4364" s="135"/>
      <c r="Z4364" s="135"/>
    </row>
    <row r="4365" spans="1:26" ht="25.5">
      <c r="A4365" s="136" t="s">
        <v>11</v>
      </c>
      <c r="B4365" s="136" t="s">
        <v>297</v>
      </c>
      <c r="C4365" s="136" t="s">
        <v>339</v>
      </c>
      <c r="D4365" s="136" t="s">
        <v>7657</v>
      </c>
      <c r="E4365" s="136" t="s">
        <v>85</v>
      </c>
      <c r="F4365" s="136">
        <v>212</v>
      </c>
      <c r="G4365" s="137">
        <f t="shared" si="17"/>
        <v>3</v>
      </c>
      <c r="H4365" s="137"/>
      <c r="I4365" s="137"/>
      <c r="J4365" s="135"/>
      <c r="K4365" s="135"/>
      <c r="L4365" s="135"/>
      <c r="M4365" s="135"/>
      <c r="N4365" s="135"/>
      <c r="O4365" s="135"/>
      <c r="P4365" s="135"/>
      <c r="Q4365" s="135"/>
      <c r="R4365" s="135"/>
      <c r="S4365" s="135"/>
      <c r="T4365" s="135"/>
      <c r="U4365" s="135"/>
      <c r="V4365" s="135"/>
      <c r="W4365" s="135"/>
      <c r="X4365" s="135"/>
      <c r="Y4365" s="135"/>
      <c r="Z4365" s="135"/>
    </row>
    <row r="4366" spans="1:26" ht="25.5">
      <c r="A4366" s="136" t="s">
        <v>11</v>
      </c>
      <c r="B4366" s="136" t="s">
        <v>297</v>
      </c>
      <c r="C4366" s="136" t="s">
        <v>339</v>
      </c>
      <c r="D4366" s="136" t="s">
        <v>139</v>
      </c>
      <c r="E4366" s="136" t="s">
        <v>594</v>
      </c>
      <c r="F4366" s="136">
        <v>174</v>
      </c>
      <c r="G4366" s="137">
        <f t="shared" si="17"/>
        <v>4</v>
      </c>
      <c r="H4366" s="137"/>
      <c r="I4366" s="137"/>
      <c r="J4366" s="135"/>
      <c r="K4366" s="135"/>
      <c r="L4366" s="135"/>
      <c r="M4366" s="135"/>
      <c r="N4366" s="135"/>
      <c r="O4366" s="135"/>
      <c r="P4366" s="135"/>
      <c r="Q4366" s="135"/>
      <c r="R4366" s="135"/>
      <c r="S4366" s="135"/>
      <c r="T4366" s="135"/>
      <c r="U4366" s="135"/>
      <c r="V4366" s="135"/>
      <c r="W4366" s="135"/>
      <c r="X4366" s="135"/>
      <c r="Y4366" s="135"/>
      <c r="Z4366" s="135"/>
    </row>
    <row r="4367" spans="1:26" ht="25.5">
      <c r="A4367" s="136" t="s">
        <v>11</v>
      </c>
      <c r="B4367" s="136" t="s">
        <v>297</v>
      </c>
      <c r="C4367" s="136" t="s">
        <v>339</v>
      </c>
      <c r="D4367" s="136" t="s">
        <v>1665</v>
      </c>
      <c r="E4367" s="136" t="s">
        <v>615</v>
      </c>
      <c r="F4367" s="136">
        <v>154</v>
      </c>
      <c r="G4367" s="137">
        <f t="shared" si="17"/>
        <v>5</v>
      </c>
      <c r="H4367" s="137"/>
      <c r="I4367" s="137"/>
      <c r="J4367" s="135"/>
      <c r="K4367" s="135"/>
      <c r="L4367" s="135"/>
      <c r="M4367" s="135"/>
      <c r="N4367" s="135"/>
      <c r="O4367" s="135"/>
      <c r="P4367" s="135"/>
      <c r="Q4367" s="135"/>
      <c r="R4367" s="135"/>
      <c r="S4367" s="135"/>
      <c r="T4367" s="135"/>
      <c r="U4367" s="135"/>
      <c r="V4367" s="135"/>
      <c r="W4367" s="135"/>
      <c r="X4367" s="135"/>
      <c r="Y4367" s="135"/>
      <c r="Z4367" s="135"/>
    </row>
    <row r="4368" spans="1:26" ht="25.5">
      <c r="A4368" s="136" t="s">
        <v>11</v>
      </c>
      <c r="B4368" s="136" t="s">
        <v>297</v>
      </c>
      <c r="C4368" s="136" t="s">
        <v>339</v>
      </c>
      <c r="D4368" s="136" t="s">
        <v>165</v>
      </c>
      <c r="E4368" s="136" t="s">
        <v>615</v>
      </c>
      <c r="F4368" s="136">
        <v>121</v>
      </c>
      <c r="G4368" s="137">
        <f t="shared" si="17"/>
        <v>6</v>
      </c>
      <c r="H4368" s="137"/>
      <c r="I4368" s="137"/>
      <c r="J4368" s="135"/>
      <c r="K4368" s="135"/>
      <c r="L4368" s="135"/>
      <c r="M4368" s="135"/>
      <c r="N4368" s="135"/>
      <c r="O4368" s="135"/>
      <c r="P4368" s="135"/>
      <c r="Q4368" s="135"/>
      <c r="R4368" s="135"/>
      <c r="S4368" s="135"/>
      <c r="T4368" s="135"/>
      <c r="U4368" s="135"/>
      <c r="V4368" s="135"/>
      <c r="W4368" s="135"/>
      <c r="X4368" s="135"/>
      <c r="Y4368" s="135"/>
      <c r="Z4368" s="135"/>
    </row>
    <row r="4369" spans="1:26" ht="25.5">
      <c r="A4369" s="136" t="s">
        <v>11</v>
      </c>
      <c r="B4369" s="136" t="s">
        <v>297</v>
      </c>
      <c r="C4369" s="136" t="s">
        <v>339</v>
      </c>
      <c r="D4369" s="136" t="s">
        <v>1680</v>
      </c>
      <c r="E4369" s="136" t="s">
        <v>615</v>
      </c>
      <c r="F4369" s="136">
        <v>45</v>
      </c>
      <c r="G4369" s="137">
        <f t="shared" si="17"/>
        <v>7</v>
      </c>
      <c r="H4369" s="137"/>
      <c r="I4369" s="137"/>
      <c r="J4369" s="135"/>
      <c r="K4369" s="135"/>
      <c r="L4369" s="135"/>
      <c r="M4369" s="135"/>
      <c r="N4369" s="135"/>
      <c r="O4369" s="135"/>
      <c r="P4369" s="135"/>
      <c r="Q4369" s="135"/>
      <c r="R4369" s="135"/>
      <c r="S4369" s="135"/>
      <c r="T4369" s="135"/>
      <c r="U4369" s="135"/>
      <c r="V4369" s="135"/>
      <c r="W4369" s="135"/>
      <c r="X4369" s="135"/>
      <c r="Y4369" s="135"/>
      <c r="Z4369" s="135"/>
    </row>
    <row r="4370" spans="1:26" ht="25.5">
      <c r="A4370" s="136" t="s">
        <v>11</v>
      </c>
      <c r="B4370" s="136" t="s">
        <v>297</v>
      </c>
      <c r="C4370" s="136" t="s">
        <v>339</v>
      </c>
      <c r="D4370" s="136" t="s">
        <v>1659</v>
      </c>
      <c r="E4370" s="136" t="s">
        <v>615</v>
      </c>
      <c r="F4370" s="136">
        <v>44</v>
      </c>
      <c r="G4370" s="137">
        <f t="shared" si="17"/>
        <v>8</v>
      </c>
      <c r="H4370" s="137"/>
      <c r="I4370" s="137"/>
      <c r="J4370" s="135"/>
      <c r="K4370" s="135"/>
      <c r="L4370" s="135"/>
      <c r="M4370" s="135"/>
      <c r="N4370" s="135"/>
      <c r="O4370" s="135"/>
      <c r="P4370" s="135"/>
      <c r="Q4370" s="135"/>
      <c r="R4370" s="135"/>
      <c r="S4370" s="135"/>
      <c r="T4370" s="135"/>
      <c r="U4370" s="135"/>
      <c r="V4370" s="135"/>
      <c r="W4370" s="135"/>
      <c r="X4370" s="135"/>
      <c r="Y4370" s="135"/>
      <c r="Z4370" s="135"/>
    </row>
    <row r="4371" spans="1:26" ht="25.5">
      <c r="A4371" s="136" t="s">
        <v>11</v>
      </c>
      <c r="B4371" s="136" t="s">
        <v>297</v>
      </c>
      <c r="C4371" s="136" t="s">
        <v>339</v>
      </c>
      <c r="D4371" s="136" t="s">
        <v>136</v>
      </c>
      <c r="E4371" s="136" t="s">
        <v>615</v>
      </c>
      <c r="F4371" s="136">
        <v>36</v>
      </c>
      <c r="G4371" s="137">
        <f t="shared" si="17"/>
        <v>9</v>
      </c>
      <c r="H4371" s="137"/>
      <c r="I4371" s="137"/>
      <c r="J4371" s="135"/>
      <c r="K4371" s="135"/>
      <c r="L4371" s="135"/>
      <c r="M4371" s="135"/>
      <c r="N4371" s="135"/>
      <c r="O4371" s="135"/>
      <c r="P4371" s="135"/>
      <c r="Q4371" s="135"/>
      <c r="R4371" s="135"/>
      <c r="S4371" s="135"/>
      <c r="T4371" s="135"/>
      <c r="U4371" s="135"/>
      <c r="V4371" s="135"/>
      <c r="W4371" s="135"/>
      <c r="X4371" s="135"/>
      <c r="Y4371" s="135"/>
      <c r="Z4371" s="135"/>
    </row>
    <row r="4372" spans="1:26" ht="25.5">
      <c r="A4372" s="136" t="s">
        <v>11</v>
      </c>
      <c r="B4372" s="136" t="s">
        <v>297</v>
      </c>
      <c r="C4372" s="136" t="s">
        <v>339</v>
      </c>
      <c r="D4372" s="136" t="s">
        <v>1639</v>
      </c>
      <c r="E4372" s="136" t="s">
        <v>615</v>
      </c>
      <c r="F4372" s="136">
        <v>14</v>
      </c>
      <c r="G4372" s="137">
        <f t="shared" si="17"/>
        <v>10</v>
      </c>
      <c r="H4372" s="137"/>
      <c r="I4372" s="137"/>
      <c r="J4372" s="135"/>
      <c r="K4372" s="135"/>
      <c r="L4372" s="135"/>
      <c r="M4372" s="135"/>
      <c r="N4372" s="135"/>
      <c r="O4372" s="135"/>
      <c r="P4372" s="135"/>
      <c r="Q4372" s="135"/>
      <c r="R4372" s="135"/>
      <c r="S4372" s="135"/>
      <c r="T4372" s="135"/>
      <c r="U4372" s="135"/>
      <c r="V4372" s="135"/>
      <c r="W4372" s="135"/>
      <c r="X4372" s="135"/>
      <c r="Y4372" s="135"/>
      <c r="Z4372" s="135"/>
    </row>
    <row r="4373" spans="1:26" ht="25.5">
      <c r="A4373" s="136" t="s">
        <v>11</v>
      </c>
      <c r="B4373" s="136" t="s">
        <v>297</v>
      </c>
      <c r="C4373" s="136" t="s">
        <v>339</v>
      </c>
      <c r="D4373" s="136" t="s">
        <v>131</v>
      </c>
      <c r="E4373" s="136" t="s">
        <v>594</v>
      </c>
      <c r="F4373" s="136">
        <v>11</v>
      </c>
      <c r="G4373" s="137">
        <f t="shared" si="17"/>
        <v>11</v>
      </c>
      <c r="H4373" s="137"/>
      <c r="I4373" s="137"/>
      <c r="J4373" s="135"/>
      <c r="K4373" s="135"/>
      <c r="L4373" s="135"/>
      <c r="M4373" s="135"/>
      <c r="N4373" s="135"/>
      <c r="O4373" s="135"/>
      <c r="P4373" s="135"/>
      <c r="Q4373" s="135"/>
      <c r="R4373" s="135"/>
      <c r="S4373" s="135"/>
      <c r="T4373" s="135"/>
      <c r="U4373" s="135"/>
      <c r="V4373" s="135"/>
      <c r="W4373" s="135"/>
      <c r="X4373" s="135"/>
      <c r="Y4373" s="135"/>
      <c r="Z4373" s="135"/>
    </row>
    <row r="4374" spans="1:26" ht="25.5">
      <c r="A4374" s="136" t="s">
        <v>11</v>
      </c>
      <c r="B4374" s="136" t="s">
        <v>297</v>
      </c>
      <c r="C4374" s="136" t="s">
        <v>339</v>
      </c>
      <c r="D4374" s="136" t="s">
        <v>1626</v>
      </c>
      <c r="E4374" s="136" t="s">
        <v>594</v>
      </c>
      <c r="F4374" s="136">
        <v>9</v>
      </c>
      <c r="G4374" s="137">
        <f t="shared" si="17"/>
        <v>12</v>
      </c>
      <c r="H4374" s="137"/>
      <c r="I4374" s="137"/>
      <c r="J4374" s="135"/>
      <c r="K4374" s="135"/>
      <c r="L4374" s="135"/>
      <c r="M4374" s="135"/>
      <c r="N4374" s="135"/>
      <c r="O4374" s="135"/>
      <c r="P4374" s="135"/>
      <c r="Q4374" s="135"/>
      <c r="R4374" s="135"/>
      <c r="S4374" s="135"/>
      <c r="T4374" s="135"/>
      <c r="U4374" s="135"/>
      <c r="V4374" s="135"/>
      <c r="W4374" s="135"/>
      <c r="X4374" s="135"/>
      <c r="Y4374" s="135"/>
      <c r="Z4374" s="135"/>
    </row>
    <row r="4375" spans="1:26" ht="25.5">
      <c r="A4375" s="136" t="s">
        <v>11</v>
      </c>
      <c r="B4375" s="136" t="s">
        <v>297</v>
      </c>
      <c r="C4375" s="136" t="s">
        <v>339</v>
      </c>
      <c r="D4375" s="136" t="s">
        <v>7937</v>
      </c>
      <c r="E4375" s="136" t="s">
        <v>86</v>
      </c>
      <c r="F4375" s="136">
        <v>9</v>
      </c>
      <c r="G4375" s="137">
        <f t="shared" si="17"/>
        <v>13</v>
      </c>
      <c r="H4375" s="137"/>
      <c r="I4375" s="137"/>
      <c r="J4375" s="135"/>
      <c r="K4375" s="135"/>
      <c r="L4375" s="135"/>
      <c r="M4375" s="135"/>
      <c r="N4375" s="135"/>
      <c r="O4375" s="135"/>
      <c r="P4375" s="135"/>
      <c r="Q4375" s="135"/>
      <c r="R4375" s="135"/>
      <c r="S4375" s="135"/>
      <c r="T4375" s="135"/>
      <c r="U4375" s="135"/>
      <c r="V4375" s="135"/>
      <c r="W4375" s="135"/>
      <c r="X4375" s="135"/>
      <c r="Y4375" s="135"/>
      <c r="Z4375" s="135"/>
    </row>
    <row r="4376" spans="1:26" ht="25.5">
      <c r="A4376" s="136" t="s">
        <v>11</v>
      </c>
      <c r="B4376" s="136" t="s">
        <v>297</v>
      </c>
      <c r="C4376" s="136" t="s">
        <v>339</v>
      </c>
      <c r="D4376" s="136" t="s">
        <v>7968</v>
      </c>
      <c r="E4376" s="136" t="s">
        <v>615</v>
      </c>
      <c r="F4376" s="136">
        <v>8</v>
      </c>
      <c r="G4376" s="137">
        <f t="shared" si="17"/>
        <v>14</v>
      </c>
      <c r="H4376" s="137"/>
      <c r="I4376" s="137"/>
      <c r="J4376" s="135"/>
      <c r="K4376" s="135"/>
      <c r="L4376" s="135"/>
      <c r="M4376" s="135"/>
      <c r="N4376" s="135"/>
      <c r="O4376" s="135"/>
      <c r="P4376" s="135"/>
      <c r="Q4376" s="135"/>
      <c r="R4376" s="135"/>
      <c r="S4376" s="135"/>
      <c r="T4376" s="135"/>
      <c r="U4376" s="135"/>
      <c r="V4376" s="135"/>
      <c r="W4376" s="135"/>
      <c r="X4376" s="135"/>
      <c r="Y4376" s="135"/>
      <c r="Z4376" s="135"/>
    </row>
    <row r="4377" spans="1:26" ht="25.5">
      <c r="A4377" s="136" t="s">
        <v>11</v>
      </c>
      <c r="B4377" s="136" t="s">
        <v>297</v>
      </c>
      <c r="C4377" s="136" t="s">
        <v>329</v>
      </c>
      <c r="D4377" s="136" t="s">
        <v>139</v>
      </c>
      <c r="E4377" s="136" t="s">
        <v>594</v>
      </c>
      <c r="F4377" s="136">
        <v>1027</v>
      </c>
      <c r="G4377" s="137">
        <f t="shared" si="17"/>
        <v>1</v>
      </c>
      <c r="H4377" s="137"/>
      <c r="I4377" s="137"/>
      <c r="J4377" s="135"/>
      <c r="K4377" s="135"/>
      <c r="L4377" s="135"/>
      <c r="M4377" s="135"/>
      <c r="N4377" s="135"/>
      <c r="O4377" s="135"/>
      <c r="P4377" s="135"/>
      <c r="Q4377" s="135"/>
      <c r="R4377" s="135"/>
      <c r="S4377" s="135"/>
      <c r="T4377" s="135"/>
      <c r="U4377" s="135"/>
      <c r="V4377" s="135"/>
      <c r="W4377" s="135"/>
      <c r="X4377" s="135"/>
      <c r="Y4377" s="135"/>
      <c r="Z4377" s="135"/>
    </row>
    <row r="4378" spans="1:26" ht="25.5">
      <c r="A4378" s="136" t="s">
        <v>11</v>
      </c>
      <c r="B4378" s="136" t="s">
        <v>297</v>
      </c>
      <c r="C4378" s="136" t="s">
        <v>329</v>
      </c>
      <c r="D4378" s="136" t="s">
        <v>7878</v>
      </c>
      <c r="E4378" s="136" t="s">
        <v>85</v>
      </c>
      <c r="F4378" s="136">
        <v>432</v>
      </c>
      <c r="G4378" s="137">
        <f t="shared" si="17"/>
        <v>2</v>
      </c>
      <c r="H4378" s="137"/>
      <c r="I4378" s="137"/>
      <c r="J4378" s="135"/>
      <c r="K4378" s="135"/>
      <c r="L4378" s="135"/>
      <c r="M4378" s="135"/>
      <c r="N4378" s="135"/>
      <c r="O4378" s="135"/>
      <c r="P4378" s="135"/>
      <c r="Q4378" s="135"/>
      <c r="R4378" s="135"/>
      <c r="S4378" s="135"/>
      <c r="T4378" s="135"/>
      <c r="U4378" s="135"/>
      <c r="V4378" s="135"/>
      <c r="W4378" s="135"/>
      <c r="X4378" s="135"/>
      <c r="Y4378" s="135"/>
      <c r="Z4378" s="135"/>
    </row>
    <row r="4379" spans="1:26" ht="25.5">
      <c r="A4379" s="136" t="s">
        <v>11</v>
      </c>
      <c r="B4379" s="136" t="s">
        <v>297</v>
      </c>
      <c r="C4379" s="136" t="s">
        <v>329</v>
      </c>
      <c r="D4379" s="136" t="s">
        <v>1669</v>
      </c>
      <c r="E4379" s="136" t="s">
        <v>615</v>
      </c>
      <c r="F4379" s="136">
        <v>183</v>
      </c>
      <c r="G4379" s="137">
        <f t="shared" si="17"/>
        <v>3</v>
      </c>
      <c r="H4379" s="137"/>
      <c r="I4379" s="137"/>
      <c r="J4379" s="135"/>
      <c r="K4379" s="135"/>
      <c r="L4379" s="135"/>
      <c r="M4379" s="135"/>
      <c r="N4379" s="135"/>
      <c r="O4379" s="135"/>
      <c r="P4379" s="135"/>
      <c r="Q4379" s="135"/>
      <c r="R4379" s="135"/>
      <c r="S4379" s="135"/>
      <c r="T4379" s="135"/>
      <c r="U4379" s="135"/>
      <c r="V4379" s="135"/>
      <c r="W4379" s="135"/>
      <c r="X4379" s="135"/>
      <c r="Y4379" s="135"/>
      <c r="Z4379" s="135"/>
    </row>
    <row r="4380" spans="1:26" ht="25.5">
      <c r="A4380" s="136" t="s">
        <v>11</v>
      </c>
      <c r="B4380" s="136" t="s">
        <v>297</v>
      </c>
      <c r="C4380" s="136" t="s">
        <v>329</v>
      </c>
      <c r="D4380" s="136" t="s">
        <v>7657</v>
      </c>
      <c r="E4380" s="136" t="s">
        <v>85</v>
      </c>
      <c r="F4380" s="136">
        <v>148</v>
      </c>
      <c r="G4380" s="137">
        <f t="shared" si="17"/>
        <v>4</v>
      </c>
      <c r="H4380" s="137"/>
      <c r="I4380" s="137"/>
      <c r="J4380" s="135"/>
      <c r="K4380" s="135"/>
      <c r="L4380" s="135"/>
      <c r="M4380" s="135"/>
      <c r="N4380" s="135"/>
      <c r="O4380" s="135"/>
      <c r="P4380" s="135"/>
      <c r="Q4380" s="135"/>
      <c r="R4380" s="135"/>
      <c r="S4380" s="135"/>
      <c r="T4380" s="135"/>
      <c r="U4380" s="135"/>
      <c r="V4380" s="135"/>
      <c r="W4380" s="135"/>
      <c r="X4380" s="135"/>
      <c r="Y4380" s="135"/>
      <c r="Z4380" s="135"/>
    </row>
    <row r="4381" spans="1:26" ht="25.5">
      <c r="A4381" s="136" t="s">
        <v>11</v>
      </c>
      <c r="B4381" s="136" t="s">
        <v>297</v>
      </c>
      <c r="C4381" s="136" t="s">
        <v>329</v>
      </c>
      <c r="D4381" s="136" t="s">
        <v>1626</v>
      </c>
      <c r="E4381" s="136" t="s">
        <v>594</v>
      </c>
      <c r="F4381" s="136">
        <v>43</v>
      </c>
      <c r="G4381" s="137">
        <f t="shared" si="17"/>
        <v>5</v>
      </c>
      <c r="H4381" s="137"/>
      <c r="I4381" s="137"/>
      <c r="J4381" s="135"/>
      <c r="K4381" s="135"/>
      <c r="L4381" s="135"/>
      <c r="M4381" s="135"/>
      <c r="N4381" s="135"/>
      <c r="O4381" s="135"/>
      <c r="P4381" s="135"/>
      <c r="Q4381" s="135"/>
      <c r="R4381" s="135"/>
      <c r="S4381" s="135"/>
      <c r="T4381" s="135"/>
      <c r="U4381" s="135"/>
      <c r="V4381" s="135"/>
      <c r="W4381" s="135"/>
      <c r="X4381" s="135"/>
      <c r="Y4381" s="135"/>
      <c r="Z4381" s="135"/>
    </row>
    <row r="4382" spans="1:26" ht="25.5">
      <c r="A4382" s="136" t="s">
        <v>11</v>
      </c>
      <c r="B4382" s="136" t="s">
        <v>297</v>
      </c>
      <c r="C4382" s="136" t="s">
        <v>329</v>
      </c>
      <c r="D4382" s="136" t="s">
        <v>1665</v>
      </c>
      <c r="E4382" s="136" t="s">
        <v>615</v>
      </c>
      <c r="F4382" s="136">
        <v>42</v>
      </c>
      <c r="G4382" s="137">
        <f t="shared" si="17"/>
        <v>6</v>
      </c>
      <c r="H4382" s="137"/>
      <c r="I4382" s="137"/>
      <c r="J4382" s="135"/>
      <c r="K4382" s="135"/>
      <c r="L4382" s="135"/>
      <c r="M4382" s="135"/>
      <c r="N4382" s="135"/>
      <c r="O4382" s="135"/>
      <c r="P4382" s="135"/>
      <c r="Q4382" s="135"/>
      <c r="R4382" s="135"/>
      <c r="S4382" s="135"/>
      <c r="T4382" s="135"/>
      <c r="U4382" s="135"/>
      <c r="V4382" s="135"/>
      <c r="W4382" s="135"/>
      <c r="X4382" s="135"/>
      <c r="Y4382" s="135"/>
      <c r="Z4382" s="135"/>
    </row>
    <row r="4383" spans="1:26" ht="25.5">
      <c r="A4383" s="136" t="s">
        <v>11</v>
      </c>
      <c r="B4383" s="136" t="s">
        <v>297</v>
      </c>
      <c r="C4383" s="136" t="s">
        <v>329</v>
      </c>
      <c r="D4383" s="136" t="s">
        <v>368</v>
      </c>
      <c r="E4383" s="136" t="s">
        <v>594</v>
      </c>
      <c r="F4383" s="136">
        <v>38</v>
      </c>
      <c r="G4383" s="137">
        <f t="shared" si="17"/>
        <v>7</v>
      </c>
      <c r="H4383" s="137"/>
      <c r="I4383" s="137"/>
      <c r="J4383" s="135"/>
      <c r="K4383" s="135"/>
      <c r="L4383" s="135"/>
      <c r="M4383" s="135"/>
      <c r="N4383" s="135"/>
      <c r="O4383" s="135"/>
      <c r="P4383" s="135"/>
      <c r="Q4383" s="135"/>
      <c r="R4383" s="135"/>
      <c r="S4383" s="135"/>
      <c r="T4383" s="135"/>
      <c r="U4383" s="135"/>
      <c r="V4383" s="135"/>
      <c r="W4383" s="135"/>
      <c r="X4383" s="135"/>
      <c r="Y4383" s="135"/>
      <c r="Z4383" s="135"/>
    </row>
    <row r="4384" spans="1:26" ht="25.5">
      <c r="A4384" s="136" t="s">
        <v>11</v>
      </c>
      <c r="B4384" s="136" t="s">
        <v>297</v>
      </c>
      <c r="C4384" s="136" t="s">
        <v>329</v>
      </c>
      <c r="D4384" s="136" t="s">
        <v>1680</v>
      </c>
      <c r="E4384" s="136" t="s">
        <v>615</v>
      </c>
      <c r="F4384" s="136">
        <v>31</v>
      </c>
      <c r="G4384" s="137">
        <f t="shared" si="17"/>
        <v>8</v>
      </c>
      <c r="H4384" s="137"/>
      <c r="I4384" s="137"/>
      <c r="J4384" s="135"/>
      <c r="K4384" s="135"/>
      <c r="L4384" s="135"/>
      <c r="M4384" s="135"/>
      <c r="N4384" s="135"/>
      <c r="O4384" s="135"/>
      <c r="P4384" s="135"/>
      <c r="Q4384" s="135"/>
      <c r="R4384" s="135"/>
      <c r="S4384" s="135"/>
      <c r="T4384" s="135"/>
      <c r="U4384" s="135"/>
      <c r="V4384" s="135"/>
      <c r="W4384" s="135"/>
      <c r="X4384" s="135"/>
      <c r="Y4384" s="135"/>
      <c r="Z4384" s="135"/>
    </row>
    <row r="4385" spans="1:26" ht="25.5">
      <c r="A4385" s="136" t="s">
        <v>11</v>
      </c>
      <c r="B4385" s="136" t="s">
        <v>297</v>
      </c>
      <c r="C4385" s="136" t="s">
        <v>329</v>
      </c>
      <c r="D4385" s="136" t="s">
        <v>1659</v>
      </c>
      <c r="E4385" s="136" t="s">
        <v>615</v>
      </c>
      <c r="F4385" s="136">
        <v>27</v>
      </c>
      <c r="G4385" s="137">
        <f t="shared" si="17"/>
        <v>9</v>
      </c>
      <c r="H4385" s="137"/>
      <c r="I4385" s="137"/>
      <c r="J4385" s="135"/>
      <c r="K4385" s="135"/>
      <c r="L4385" s="135"/>
      <c r="M4385" s="135"/>
      <c r="N4385" s="135"/>
      <c r="O4385" s="135"/>
      <c r="P4385" s="135"/>
      <c r="Q4385" s="135"/>
      <c r="R4385" s="135"/>
      <c r="S4385" s="135"/>
      <c r="T4385" s="135"/>
      <c r="U4385" s="135"/>
      <c r="V4385" s="135"/>
      <c r="W4385" s="135"/>
      <c r="X4385" s="135"/>
      <c r="Y4385" s="135"/>
      <c r="Z4385" s="135"/>
    </row>
    <row r="4386" spans="1:26" ht="25.5">
      <c r="A4386" s="136" t="s">
        <v>11</v>
      </c>
      <c r="B4386" s="136" t="s">
        <v>297</v>
      </c>
      <c r="C4386" s="136" t="s">
        <v>329</v>
      </c>
      <c r="D4386" s="136" t="s">
        <v>136</v>
      </c>
      <c r="E4386" s="136" t="s">
        <v>615</v>
      </c>
      <c r="F4386" s="136">
        <v>20</v>
      </c>
      <c r="G4386" s="137">
        <f t="shared" si="17"/>
        <v>10</v>
      </c>
      <c r="H4386" s="137"/>
      <c r="I4386" s="137"/>
      <c r="J4386" s="135"/>
      <c r="K4386" s="135"/>
      <c r="L4386" s="135"/>
      <c r="M4386" s="135"/>
      <c r="N4386" s="135"/>
      <c r="O4386" s="135"/>
      <c r="P4386" s="135"/>
      <c r="Q4386" s="135"/>
      <c r="R4386" s="135"/>
      <c r="S4386" s="135"/>
      <c r="T4386" s="135"/>
      <c r="U4386" s="135"/>
      <c r="V4386" s="135"/>
      <c r="W4386" s="135"/>
      <c r="X4386" s="135"/>
      <c r="Y4386" s="135"/>
      <c r="Z4386" s="135"/>
    </row>
    <row r="4387" spans="1:26" ht="25.5">
      <c r="A4387" s="136" t="s">
        <v>11</v>
      </c>
      <c r="B4387" s="136" t="s">
        <v>297</v>
      </c>
      <c r="C4387" s="136" t="s">
        <v>329</v>
      </c>
      <c r="D4387" s="136" t="s">
        <v>7544</v>
      </c>
      <c r="E4387" s="136" t="s">
        <v>615</v>
      </c>
      <c r="F4387" s="136">
        <v>10</v>
      </c>
      <c r="G4387" s="137">
        <f t="shared" si="17"/>
        <v>11</v>
      </c>
      <c r="H4387" s="137"/>
      <c r="I4387" s="137"/>
      <c r="J4387" s="135"/>
      <c r="K4387" s="135"/>
      <c r="L4387" s="135"/>
      <c r="M4387" s="135"/>
      <c r="N4387" s="135"/>
      <c r="O4387" s="135"/>
      <c r="P4387" s="135"/>
      <c r="Q4387" s="135"/>
      <c r="R4387" s="135"/>
      <c r="S4387" s="135"/>
      <c r="T4387" s="135"/>
      <c r="U4387" s="135"/>
      <c r="V4387" s="135"/>
      <c r="W4387" s="135"/>
      <c r="X4387" s="135"/>
      <c r="Y4387" s="135"/>
      <c r="Z4387" s="135"/>
    </row>
    <row r="4388" spans="1:26" ht="25.5">
      <c r="A4388" s="136" t="s">
        <v>11</v>
      </c>
      <c r="B4388" s="136" t="s">
        <v>297</v>
      </c>
      <c r="C4388" s="136" t="s">
        <v>329</v>
      </c>
      <c r="D4388" s="136" t="s">
        <v>103</v>
      </c>
      <c r="E4388" s="136" t="s">
        <v>594</v>
      </c>
      <c r="F4388" s="136">
        <v>7</v>
      </c>
      <c r="G4388" s="137">
        <f t="shared" si="17"/>
        <v>12</v>
      </c>
      <c r="H4388" s="137"/>
      <c r="I4388" s="137"/>
      <c r="J4388" s="135"/>
      <c r="K4388" s="135"/>
      <c r="L4388" s="135"/>
      <c r="M4388" s="135"/>
      <c r="N4388" s="135"/>
      <c r="O4388" s="135"/>
      <c r="P4388" s="135"/>
      <c r="Q4388" s="135"/>
      <c r="R4388" s="135"/>
      <c r="S4388" s="135"/>
      <c r="T4388" s="135"/>
      <c r="U4388" s="135"/>
      <c r="V4388" s="135"/>
      <c r="W4388" s="135"/>
      <c r="X4388" s="135"/>
      <c r="Y4388" s="135"/>
      <c r="Z4388" s="135"/>
    </row>
    <row r="4389" spans="1:26" ht="25.5">
      <c r="A4389" s="136" t="s">
        <v>11</v>
      </c>
      <c r="B4389" s="136" t="s">
        <v>297</v>
      </c>
      <c r="C4389" s="136" t="s">
        <v>329</v>
      </c>
      <c r="D4389" s="136" t="s">
        <v>437</v>
      </c>
      <c r="E4389" s="136" t="s">
        <v>594</v>
      </c>
      <c r="F4389" s="136">
        <v>6</v>
      </c>
      <c r="G4389" s="137">
        <f t="shared" si="17"/>
        <v>13</v>
      </c>
      <c r="H4389" s="137"/>
      <c r="I4389" s="137"/>
      <c r="J4389" s="135"/>
      <c r="K4389" s="135"/>
      <c r="L4389" s="135"/>
      <c r="M4389" s="135"/>
      <c r="N4389" s="135"/>
      <c r="O4389" s="135"/>
      <c r="P4389" s="135"/>
      <c r="Q4389" s="135"/>
      <c r="R4389" s="135"/>
      <c r="S4389" s="135"/>
      <c r="T4389" s="135"/>
      <c r="U4389" s="135"/>
      <c r="V4389" s="135"/>
      <c r="W4389" s="135"/>
      <c r="X4389" s="135"/>
      <c r="Y4389" s="135"/>
      <c r="Z4389" s="135"/>
    </row>
    <row r="4390" spans="1:26" ht="25.5">
      <c r="A4390" s="136" t="s">
        <v>11</v>
      </c>
      <c r="B4390" s="136" t="s">
        <v>297</v>
      </c>
      <c r="C4390" s="136" t="s">
        <v>329</v>
      </c>
      <c r="D4390" s="136" t="s">
        <v>7937</v>
      </c>
      <c r="E4390" s="136" t="s">
        <v>86</v>
      </c>
      <c r="F4390" s="136">
        <v>3</v>
      </c>
      <c r="G4390" s="137">
        <f t="shared" si="17"/>
        <v>14</v>
      </c>
      <c r="H4390" s="137"/>
      <c r="I4390" s="137"/>
      <c r="J4390" s="135"/>
      <c r="K4390" s="135"/>
      <c r="L4390" s="135"/>
      <c r="M4390" s="135"/>
      <c r="N4390" s="135"/>
      <c r="O4390" s="135"/>
      <c r="P4390" s="135"/>
      <c r="Q4390" s="135"/>
      <c r="R4390" s="135"/>
      <c r="S4390" s="135"/>
      <c r="T4390" s="135"/>
      <c r="U4390" s="135"/>
      <c r="V4390" s="135"/>
      <c r="W4390" s="135"/>
      <c r="X4390" s="135"/>
      <c r="Y4390" s="135"/>
      <c r="Z4390" s="135"/>
    </row>
    <row r="4391" spans="1:26" ht="25.5">
      <c r="A4391" s="136" t="s">
        <v>11</v>
      </c>
      <c r="B4391" s="136" t="s">
        <v>297</v>
      </c>
      <c r="C4391" s="136" t="s">
        <v>7969</v>
      </c>
      <c r="D4391" s="136" t="s">
        <v>7878</v>
      </c>
      <c r="E4391" s="136" t="s">
        <v>85</v>
      </c>
      <c r="F4391" s="136">
        <v>354</v>
      </c>
      <c r="G4391" s="137">
        <f t="shared" si="17"/>
        <v>1</v>
      </c>
      <c r="H4391" s="137"/>
      <c r="I4391" s="137"/>
      <c r="J4391" s="135"/>
      <c r="K4391" s="135"/>
      <c r="L4391" s="135"/>
      <c r="M4391" s="135"/>
      <c r="N4391" s="135"/>
      <c r="O4391" s="135"/>
      <c r="P4391" s="135"/>
      <c r="Q4391" s="135"/>
      <c r="R4391" s="135"/>
      <c r="S4391" s="135"/>
      <c r="T4391" s="135"/>
      <c r="U4391" s="135"/>
      <c r="V4391" s="135"/>
      <c r="W4391" s="135"/>
      <c r="X4391" s="135"/>
      <c r="Y4391" s="135"/>
      <c r="Z4391" s="135"/>
    </row>
    <row r="4392" spans="1:26" ht="25.5">
      <c r="A4392" s="136" t="s">
        <v>11</v>
      </c>
      <c r="B4392" s="136" t="s">
        <v>297</v>
      </c>
      <c r="C4392" s="136" t="s">
        <v>7969</v>
      </c>
      <c r="D4392" s="136" t="s">
        <v>139</v>
      </c>
      <c r="E4392" s="136" t="s">
        <v>594</v>
      </c>
      <c r="F4392" s="136">
        <v>164</v>
      </c>
      <c r="G4392" s="137">
        <f t="shared" si="17"/>
        <v>2</v>
      </c>
      <c r="H4392" s="137"/>
      <c r="I4392" s="137"/>
      <c r="J4392" s="135"/>
      <c r="K4392" s="135"/>
      <c r="L4392" s="135"/>
      <c r="M4392" s="135"/>
      <c r="N4392" s="135"/>
      <c r="O4392" s="135"/>
      <c r="P4392" s="135"/>
      <c r="Q4392" s="135"/>
      <c r="R4392" s="135"/>
      <c r="S4392" s="135"/>
      <c r="T4392" s="135"/>
      <c r="U4392" s="135"/>
      <c r="V4392" s="135"/>
      <c r="W4392" s="135"/>
      <c r="X4392" s="135"/>
      <c r="Y4392" s="135"/>
      <c r="Z4392" s="135"/>
    </row>
    <row r="4393" spans="1:26" ht="25.5">
      <c r="A4393" s="136" t="s">
        <v>11</v>
      </c>
      <c r="B4393" s="136" t="s">
        <v>297</v>
      </c>
      <c r="C4393" s="136" t="s">
        <v>7969</v>
      </c>
      <c r="D4393" s="136" t="s">
        <v>7657</v>
      </c>
      <c r="E4393" s="136" t="s">
        <v>85</v>
      </c>
      <c r="F4393" s="136">
        <v>95</v>
      </c>
      <c r="G4393" s="137">
        <f t="shared" si="17"/>
        <v>3</v>
      </c>
      <c r="H4393" s="137"/>
      <c r="I4393" s="137"/>
      <c r="J4393" s="135"/>
      <c r="K4393" s="135"/>
      <c r="L4393" s="135"/>
      <c r="M4393" s="135"/>
      <c r="N4393" s="135"/>
      <c r="O4393" s="135"/>
      <c r="P4393" s="135"/>
      <c r="Q4393" s="135"/>
      <c r="R4393" s="135"/>
      <c r="S4393" s="135"/>
      <c r="T4393" s="135"/>
      <c r="U4393" s="135"/>
      <c r="V4393" s="135"/>
      <c r="W4393" s="135"/>
      <c r="X4393" s="135"/>
      <c r="Y4393" s="135"/>
      <c r="Z4393" s="135"/>
    </row>
    <row r="4394" spans="1:26" ht="25.5">
      <c r="A4394" s="136" t="s">
        <v>11</v>
      </c>
      <c r="B4394" s="136" t="s">
        <v>297</v>
      </c>
      <c r="C4394" s="136" t="s">
        <v>7969</v>
      </c>
      <c r="D4394" s="136" t="s">
        <v>1669</v>
      </c>
      <c r="E4394" s="136" t="s">
        <v>615</v>
      </c>
      <c r="F4394" s="136">
        <v>71</v>
      </c>
      <c r="G4394" s="137">
        <f t="shared" si="17"/>
        <v>4</v>
      </c>
      <c r="H4394" s="137"/>
      <c r="I4394" s="137"/>
      <c r="J4394" s="135"/>
      <c r="K4394" s="135"/>
      <c r="L4394" s="135"/>
      <c r="M4394" s="135"/>
      <c r="N4394" s="135"/>
      <c r="O4394" s="135"/>
      <c r="P4394" s="135"/>
      <c r="Q4394" s="135"/>
      <c r="R4394" s="135"/>
      <c r="S4394" s="135"/>
      <c r="T4394" s="135"/>
      <c r="U4394" s="135"/>
      <c r="V4394" s="135"/>
      <c r="W4394" s="135"/>
      <c r="X4394" s="135"/>
      <c r="Y4394" s="135"/>
      <c r="Z4394" s="135"/>
    </row>
    <row r="4395" spans="1:26" ht="25.5">
      <c r="A4395" s="136" t="s">
        <v>11</v>
      </c>
      <c r="B4395" s="136" t="s">
        <v>297</v>
      </c>
      <c r="C4395" s="136" t="s">
        <v>7969</v>
      </c>
      <c r="D4395" s="136" t="s">
        <v>1680</v>
      </c>
      <c r="E4395" s="136" t="s">
        <v>615</v>
      </c>
      <c r="F4395" s="136">
        <v>5</v>
      </c>
      <c r="G4395" s="137">
        <f t="shared" si="17"/>
        <v>5</v>
      </c>
      <c r="H4395" s="137"/>
      <c r="I4395" s="137"/>
      <c r="J4395" s="135"/>
      <c r="K4395" s="135"/>
      <c r="L4395" s="135"/>
      <c r="M4395" s="135"/>
      <c r="N4395" s="135"/>
      <c r="O4395" s="135"/>
      <c r="P4395" s="135"/>
      <c r="Q4395" s="135"/>
      <c r="R4395" s="135"/>
      <c r="S4395" s="135"/>
      <c r="T4395" s="135"/>
      <c r="U4395" s="135"/>
      <c r="V4395" s="135"/>
      <c r="W4395" s="135"/>
      <c r="X4395" s="135"/>
      <c r="Y4395" s="135"/>
      <c r="Z4395" s="135"/>
    </row>
    <row r="4396" spans="1:26" ht="25.5">
      <c r="A4396" s="136" t="s">
        <v>11</v>
      </c>
      <c r="B4396" s="136" t="s">
        <v>297</v>
      </c>
      <c r="C4396" s="136" t="s">
        <v>7969</v>
      </c>
      <c r="D4396" s="136" t="s">
        <v>1665</v>
      </c>
      <c r="E4396" s="136" t="s">
        <v>615</v>
      </c>
      <c r="F4396" s="136">
        <v>4</v>
      </c>
      <c r="G4396" s="137">
        <f t="shared" si="17"/>
        <v>6</v>
      </c>
      <c r="H4396" s="137"/>
      <c r="I4396" s="137"/>
      <c r="J4396" s="135"/>
      <c r="K4396" s="135"/>
      <c r="L4396" s="135"/>
      <c r="M4396" s="135"/>
      <c r="N4396" s="135"/>
      <c r="O4396" s="135"/>
      <c r="P4396" s="135"/>
      <c r="Q4396" s="135"/>
      <c r="R4396" s="135"/>
      <c r="S4396" s="135"/>
      <c r="T4396" s="135"/>
      <c r="U4396" s="135"/>
      <c r="V4396" s="135"/>
      <c r="W4396" s="135"/>
      <c r="X4396" s="135"/>
      <c r="Y4396" s="135"/>
      <c r="Z4396" s="135"/>
    </row>
    <row r="4397" spans="1:26" ht="25.5">
      <c r="A4397" s="136" t="s">
        <v>11</v>
      </c>
      <c r="B4397" s="136" t="s">
        <v>297</v>
      </c>
      <c r="C4397" s="136" t="s">
        <v>7969</v>
      </c>
      <c r="D4397" s="136" t="s">
        <v>1659</v>
      </c>
      <c r="E4397" s="136" t="s">
        <v>615</v>
      </c>
      <c r="F4397" s="136">
        <v>3</v>
      </c>
      <c r="G4397" s="137">
        <f t="shared" si="17"/>
        <v>7</v>
      </c>
      <c r="H4397" s="137"/>
      <c r="I4397" s="137"/>
      <c r="J4397" s="135"/>
      <c r="K4397" s="135"/>
      <c r="L4397" s="135"/>
      <c r="M4397" s="135"/>
      <c r="N4397" s="135"/>
      <c r="O4397" s="135"/>
      <c r="P4397" s="135"/>
      <c r="Q4397" s="135"/>
      <c r="R4397" s="135"/>
      <c r="S4397" s="135"/>
      <c r="T4397" s="135"/>
      <c r="U4397" s="135"/>
      <c r="V4397" s="135"/>
      <c r="W4397" s="135"/>
      <c r="X4397" s="135"/>
      <c r="Y4397" s="135"/>
      <c r="Z4397" s="135"/>
    </row>
    <row r="4398" spans="1:26" ht="25.5">
      <c r="A4398" s="136" t="s">
        <v>11</v>
      </c>
      <c r="B4398" s="136" t="s">
        <v>297</v>
      </c>
      <c r="C4398" s="136" t="s">
        <v>317</v>
      </c>
      <c r="D4398" s="136" t="s">
        <v>139</v>
      </c>
      <c r="E4398" s="136" t="s">
        <v>594</v>
      </c>
      <c r="F4398" s="136">
        <v>329</v>
      </c>
      <c r="G4398" s="137">
        <f t="shared" si="17"/>
        <v>1</v>
      </c>
      <c r="H4398" s="137"/>
      <c r="I4398" s="137"/>
      <c r="J4398" s="135"/>
      <c r="K4398" s="135"/>
      <c r="L4398" s="135"/>
      <c r="M4398" s="135"/>
      <c r="N4398" s="135"/>
      <c r="O4398" s="135"/>
      <c r="P4398" s="135"/>
      <c r="Q4398" s="135"/>
      <c r="R4398" s="135"/>
      <c r="S4398" s="135"/>
      <c r="T4398" s="135"/>
      <c r="U4398" s="135"/>
      <c r="V4398" s="135"/>
      <c r="W4398" s="135"/>
      <c r="X4398" s="135"/>
      <c r="Y4398" s="135"/>
      <c r="Z4398" s="135"/>
    </row>
    <row r="4399" spans="1:26" ht="25.5">
      <c r="A4399" s="136" t="s">
        <v>11</v>
      </c>
      <c r="B4399" s="136" t="s">
        <v>297</v>
      </c>
      <c r="C4399" s="136" t="s">
        <v>317</v>
      </c>
      <c r="D4399" s="136" t="s">
        <v>7878</v>
      </c>
      <c r="E4399" s="136" t="s">
        <v>85</v>
      </c>
      <c r="F4399" s="136">
        <v>297</v>
      </c>
      <c r="G4399" s="137">
        <f t="shared" si="17"/>
        <v>2</v>
      </c>
      <c r="H4399" s="137"/>
      <c r="I4399" s="137"/>
      <c r="J4399" s="135"/>
      <c r="K4399" s="135"/>
      <c r="L4399" s="135"/>
      <c r="M4399" s="135"/>
      <c r="N4399" s="135"/>
      <c r="O4399" s="135"/>
      <c r="P4399" s="135"/>
      <c r="Q4399" s="135"/>
      <c r="R4399" s="135"/>
      <c r="S4399" s="135"/>
      <c r="T4399" s="135"/>
      <c r="U4399" s="135"/>
      <c r="V4399" s="135"/>
      <c r="W4399" s="135"/>
      <c r="X4399" s="135"/>
      <c r="Y4399" s="135"/>
      <c r="Z4399" s="135"/>
    </row>
    <row r="4400" spans="1:26" ht="25.5">
      <c r="A4400" s="136" t="s">
        <v>11</v>
      </c>
      <c r="B4400" s="136" t="s">
        <v>297</v>
      </c>
      <c r="C4400" s="136" t="s">
        <v>317</v>
      </c>
      <c r="D4400" s="136" t="s">
        <v>1669</v>
      </c>
      <c r="E4400" s="136" t="s">
        <v>615</v>
      </c>
      <c r="F4400" s="136">
        <v>142</v>
      </c>
      <c r="G4400" s="137">
        <f t="shared" si="17"/>
        <v>3</v>
      </c>
      <c r="H4400" s="137"/>
      <c r="I4400" s="137"/>
      <c r="J4400" s="135"/>
      <c r="K4400" s="135"/>
      <c r="L4400" s="135"/>
      <c r="M4400" s="135"/>
      <c r="N4400" s="135"/>
      <c r="O4400" s="135"/>
      <c r="P4400" s="135"/>
      <c r="Q4400" s="135"/>
      <c r="R4400" s="135"/>
      <c r="S4400" s="135"/>
      <c r="T4400" s="135"/>
      <c r="U4400" s="135"/>
      <c r="V4400" s="135"/>
      <c r="W4400" s="135"/>
      <c r="X4400" s="135"/>
      <c r="Y4400" s="135"/>
      <c r="Z4400" s="135"/>
    </row>
    <row r="4401" spans="1:26" ht="25.5">
      <c r="A4401" s="136" t="s">
        <v>11</v>
      </c>
      <c r="B4401" s="136" t="s">
        <v>297</v>
      </c>
      <c r="C4401" s="136" t="s">
        <v>317</v>
      </c>
      <c r="D4401" s="136" t="s">
        <v>7657</v>
      </c>
      <c r="E4401" s="136" t="s">
        <v>85</v>
      </c>
      <c r="F4401" s="136">
        <v>61</v>
      </c>
      <c r="G4401" s="137">
        <f t="shared" si="17"/>
        <v>4</v>
      </c>
      <c r="H4401" s="137"/>
      <c r="I4401" s="137"/>
      <c r="J4401" s="135"/>
      <c r="K4401" s="135"/>
      <c r="L4401" s="135"/>
      <c r="M4401" s="135"/>
      <c r="N4401" s="135"/>
      <c r="O4401" s="135"/>
      <c r="P4401" s="135"/>
      <c r="Q4401" s="135"/>
      <c r="R4401" s="135"/>
      <c r="S4401" s="135"/>
      <c r="T4401" s="135"/>
      <c r="U4401" s="135"/>
      <c r="V4401" s="135"/>
      <c r="W4401" s="135"/>
      <c r="X4401" s="135"/>
      <c r="Y4401" s="135"/>
      <c r="Z4401" s="135"/>
    </row>
    <row r="4402" spans="1:26" ht="25.5">
      <c r="A4402" s="136" t="s">
        <v>11</v>
      </c>
      <c r="B4402" s="136" t="s">
        <v>297</v>
      </c>
      <c r="C4402" s="136" t="s">
        <v>317</v>
      </c>
      <c r="D4402" s="136" t="s">
        <v>1665</v>
      </c>
      <c r="E4402" s="136" t="s">
        <v>615</v>
      </c>
      <c r="F4402" s="136">
        <v>33</v>
      </c>
      <c r="G4402" s="137">
        <f t="shared" si="17"/>
        <v>5</v>
      </c>
      <c r="H4402" s="137"/>
      <c r="I4402" s="137"/>
      <c r="J4402" s="135"/>
      <c r="K4402" s="135"/>
      <c r="L4402" s="135"/>
      <c r="M4402" s="135"/>
      <c r="N4402" s="135"/>
      <c r="O4402" s="135"/>
      <c r="P4402" s="135"/>
      <c r="Q4402" s="135"/>
      <c r="R4402" s="135"/>
      <c r="S4402" s="135"/>
      <c r="T4402" s="135"/>
      <c r="U4402" s="135"/>
      <c r="V4402" s="135"/>
      <c r="W4402" s="135"/>
      <c r="X4402" s="135"/>
      <c r="Y4402" s="135"/>
      <c r="Z4402" s="135"/>
    </row>
    <row r="4403" spans="1:26" ht="25.5">
      <c r="A4403" s="136" t="s">
        <v>11</v>
      </c>
      <c r="B4403" s="136" t="s">
        <v>297</v>
      </c>
      <c r="C4403" s="136" t="s">
        <v>317</v>
      </c>
      <c r="D4403" s="136" t="s">
        <v>1668</v>
      </c>
      <c r="E4403" s="136" t="s">
        <v>615</v>
      </c>
      <c r="F4403" s="136">
        <v>25</v>
      </c>
      <c r="G4403" s="137">
        <f t="shared" si="17"/>
        <v>6</v>
      </c>
      <c r="H4403" s="137"/>
      <c r="I4403" s="137"/>
      <c r="J4403" s="135"/>
      <c r="K4403" s="135"/>
      <c r="L4403" s="135"/>
      <c r="M4403" s="135"/>
      <c r="N4403" s="135"/>
      <c r="O4403" s="135"/>
      <c r="P4403" s="135"/>
      <c r="Q4403" s="135"/>
      <c r="R4403" s="135"/>
      <c r="S4403" s="135"/>
      <c r="T4403" s="135"/>
      <c r="U4403" s="135"/>
      <c r="V4403" s="135"/>
      <c r="W4403" s="135"/>
      <c r="X4403" s="135"/>
      <c r="Y4403" s="135"/>
      <c r="Z4403" s="135"/>
    </row>
    <row r="4404" spans="1:26" ht="25.5">
      <c r="A4404" s="136" t="s">
        <v>11</v>
      </c>
      <c r="B4404" s="136" t="s">
        <v>297</v>
      </c>
      <c r="C4404" s="136" t="s">
        <v>317</v>
      </c>
      <c r="D4404" s="136" t="s">
        <v>7940</v>
      </c>
      <c r="E4404" s="136" t="s">
        <v>615</v>
      </c>
      <c r="F4404" s="136">
        <v>4</v>
      </c>
      <c r="G4404" s="137">
        <f t="shared" si="17"/>
        <v>7</v>
      </c>
      <c r="H4404" s="137"/>
      <c r="I4404" s="137"/>
      <c r="J4404" s="135"/>
      <c r="K4404" s="135"/>
      <c r="L4404" s="135"/>
      <c r="M4404" s="135"/>
      <c r="N4404" s="135"/>
      <c r="O4404" s="135"/>
      <c r="P4404" s="135"/>
      <c r="Q4404" s="135"/>
      <c r="R4404" s="135"/>
      <c r="S4404" s="135"/>
      <c r="T4404" s="135"/>
      <c r="U4404" s="135"/>
      <c r="V4404" s="135"/>
      <c r="W4404" s="135"/>
      <c r="X4404" s="135"/>
      <c r="Y4404" s="135"/>
      <c r="Z4404" s="135"/>
    </row>
    <row r="4405" spans="1:26" ht="25.5">
      <c r="A4405" s="136" t="s">
        <v>11</v>
      </c>
      <c r="B4405" s="136" t="s">
        <v>297</v>
      </c>
      <c r="C4405" s="136" t="s">
        <v>317</v>
      </c>
      <c r="D4405" s="136" t="s">
        <v>1659</v>
      </c>
      <c r="E4405" s="136" t="s">
        <v>615</v>
      </c>
      <c r="F4405" s="136">
        <v>4</v>
      </c>
      <c r="G4405" s="137">
        <f t="shared" si="17"/>
        <v>8</v>
      </c>
      <c r="H4405" s="137"/>
      <c r="I4405" s="137"/>
      <c r="J4405" s="135"/>
      <c r="K4405" s="135"/>
      <c r="L4405" s="135"/>
      <c r="M4405" s="135"/>
      <c r="N4405" s="135"/>
      <c r="O4405" s="135"/>
      <c r="P4405" s="135"/>
      <c r="Q4405" s="135"/>
      <c r="R4405" s="135"/>
      <c r="S4405" s="135"/>
      <c r="T4405" s="135"/>
      <c r="U4405" s="135"/>
      <c r="V4405" s="135"/>
      <c r="W4405" s="135"/>
      <c r="X4405" s="135"/>
      <c r="Y4405" s="135"/>
      <c r="Z4405" s="135"/>
    </row>
    <row r="4406" spans="1:26" ht="25.5">
      <c r="A4406" s="136" t="s">
        <v>11</v>
      </c>
      <c r="B4406" s="136" t="s">
        <v>297</v>
      </c>
      <c r="C4406" s="136" t="s">
        <v>325</v>
      </c>
      <c r="D4406" s="136" t="s">
        <v>139</v>
      </c>
      <c r="E4406" s="136" t="s">
        <v>594</v>
      </c>
      <c r="F4406" s="136">
        <v>701</v>
      </c>
      <c r="G4406" s="137">
        <f t="shared" si="17"/>
        <v>2</v>
      </c>
      <c r="H4406" s="137"/>
      <c r="I4406" s="137"/>
      <c r="J4406" s="135"/>
      <c r="K4406" s="135"/>
      <c r="L4406" s="135"/>
      <c r="M4406" s="135"/>
      <c r="N4406" s="135"/>
      <c r="O4406" s="135"/>
      <c r="P4406" s="135"/>
      <c r="Q4406" s="135"/>
      <c r="R4406" s="135"/>
      <c r="S4406" s="135"/>
      <c r="T4406" s="135"/>
      <c r="U4406" s="135"/>
      <c r="V4406" s="135"/>
      <c r="W4406" s="135"/>
      <c r="X4406" s="135"/>
      <c r="Y4406" s="135"/>
      <c r="Z4406" s="135"/>
    </row>
    <row r="4407" spans="1:26" ht="25.5">
      <c r="A4407" s="136" t="s">
        <v>11</v>
      </c>
      <c r="B4407" s="136" t="s">
        <v>297</v>
      </c>
      <c r="C4407" s="136" t="s">
        <v>325</v>
      </c>
      <c r="D4407" s="136" t="s">
        <v>7878</v>
      </c>
      <c r="E4407" s="136" t="s">
        <v>85</v>
      </c>
      <c r="F4407" s="136">
        <v>204</v>
      </c>
      <c r="G4407" s="137">
        <f t="shared" si="17"/>
        <v>8</v>
      </c>
      <c r="H4407" s="137"/>
      <c r="I4407" s="137"/>
      <c r="J4407" s="135"/>
      <c r="K4407" s="135"/>
      <c r="L4407" s="135"/>
      <c r="M4407" s="135"/>
      <c r="N4407" s="135"/>
      <c r="O4407" s="135"/>
      <c r="P4407" s="135"/>
      <c r="Q4407" s="135"/>
      <c r="R4407" s="135"/>
      <c r="S4407" s="135"/>
      <c r="T4407" s="135"/>
      <c r="U4407" s="135"/>
      <c r="V4407" s="135"/>
      <c r="W4407" s="135"/>
      <c r="X4407" s="135"/>
      <c r="Y4407" s="135"/>
      <c r="Z4407" s="135"/>
    </row>
    <row r="4408" spans="1:26" ht="25.5">
      <c r="A4408" s="136" t="s">
        <v>11</v>
      </c>
      <c r="B4408" s="136" t="s">
        <v>297</v>
      </c>
      <c r="C4408" s="136" t="s">
        <v>325</v>
      </c>
      <c r="D4408" s="136" t="s">
        <v>7657</v>
      </c>
      <c r="E4408" s="136" t="s">
        <v>85</v>
      </c>
      <c r="F4408" s="136">
        <v>139</v>
      </c>
      <c r="G4408" s="137">
        <f t="shared" si="17"/>
        <v>12</v>
      </c>
      <c r="H4408" s="137"/>
      <c r="I4408" s="137"/>
      <c r="J4408" s="135"/>
      <c r="K4408" s="135"/>
      <c r="L4408" s="135"/>
      <c r="M4408" s="135"/>
      <c r="N4408" s="135"/>
      <c r="O4408" s="135"/>
      <c r="P4408" s="135"/>
      <c r="Q4408" s="135"/>
      <c r="R4408" s="135"/>
      <c r="S4408" s="135"/>
      <c r="T4408" s="135"/>
      <c r="U4408" s="135"/>
      <c r="V4408" s="135"/>
      <c r="W4408" s="135"/>
      <c r="X4408" s="135"/>
      <c r="Y4408" s="135"/>
      <c r="Z4408" s="135"/>
    </row>
    <row r="4409" spans="1:26" ht="25.5">
      <c r="A4409" s="136" t="s">
        <v>11</v>
      </c>
      <c r="B4409" s="136" t="s">
        <v>297</v>
      </c>
      <c r="C4409" s="136" t="s">
        <v>325</v>
      </c>
      <c r="D4409" s="136" t="s">
        <v>1669</v>
      </c>
      <c r="E4409" s="136" t="s">
        <v>615</v>
      </c>
      <c r="F4409" s="136">
        <v>92</v>
      </c>
      <c r="G4409" s="137">
        <f t="shared" si="17"/>
        <v>13</v>
      </c>
      <c r="H4409" s="137"/>
      <c r="I4409" s="137"/>
      <c r="J4409" s="135"/>
      <c r="K4409" s="135"/>
      <c r="L4409" s="135"/>
      <c r="M4409" s="135"/>
      <c r="N4409" s="135"/>
      <c r="O4409" s="135"/>
      <c r="P4409" s="135"/>
      <c r="Q4409" s="135"/>
      <c r="R4409" s="135"/>
      <c r="S4409" s="135"/>
      <c r="T4409" s="135"/>
      <c r="U4409" s="135"/>
      <c r="V4409" s="135"/>
      <c r="W4409" s="135"/>
      <c r="X4409" s="135"/>
      <c r="Y4409" s="135"/>
      <c r="Z4409" s="135"/>
    </row>
    <row r="4410" spans="1:26" ht="25.5">
      <c r="A4410" s="136" t="s">
        <v>11</v>
      </c>
      <c r="B4410" s="136" t="s">
        <v>297</v>
      </c>
      <c r="C4410" s="136" t="s">
        <v>325</v>
      </c>
      <c r="D4410" s="136" t="s">
        <v>1665</v>
      </c>
      <c r="E4410" s="136" t="s">
        <v>615</v>
      </c>
      <c r="F4410" s="136">
        <v>74</v>
      </c>
      <c r="G4410" s="137">
        <f t="shared" si="17"/>
        <v>14</v>
      </c>
      <c r="H4410" s="137"/>
      <c r="I4410" s="137"/>
      <c r="J4410" s="135"/>
      <c r="K4410" s="135"/>
      <c r="L4410" s="135"/>
      <c r="M4410" s="135"/>
      <c r="N4410" s="135"/>
      <c r="O4410" s="135"/>
      <c r="P4410" s="135"/>
      <c r="Q4410" s="135"/>
      <c r="R4410" s="135"/>
      <c r="S4410" s="135"/>
      <c r="T4410" s="135"/>
      <c r="U4410" s="135"/>
      <c r="V4410" s="135"/>
      <c r="W4410" s="135"/>
      <c r="X4410" s="135"/>
      <c r="Y4410" s="135"/>
      <c r="Z4410" s="135"/>
    </row>
    <row r="4411" spans="1:26" ht="25.5">
      <c r="A4411" s="136" t="s">
        <v>11</v>
      </c>
      <c r="B4411" s="136" t="s">
        <v>297</v>
      </c>
      <c r="C4411" s="136" t="s">
        <v>325</v>
      </c>
      <c r="D4411" s="136" t="s">
        <v>1626</v>
      </c>
      <c r="E4411" s="136" t="s">
        <v>594</v>
      </c>
      <c r="F4411" s="136">
        <v>28</v>
      </c>
      <c r="G4411" s="137">
        <f t="shared" si="17"/>
        <v>20</v>
      </c>
      <c r="H4411" s="137"/>
      <c r="I4411" s="137"/>
      <c r="J4411" s="135"/>
      <c r="K4411" s="135"/>
      <c r="L4411" s="135"/>
      <c r="M4411" s="135"/>
      <c r="N4411" s="135"/>
      <c r="O4411" s="135"/>
      <c r="P4411" s="135"/>
      <c r="Q4411" s="135"/>
      <c r="R4411" s="135"/>
      <c r="S4411" s="135"/>
      <c r="T4411" s="135"/>
      <c r="U4411" s="135"/>
      <c r="V4411" s="135"/>
      <c r="W4411" s="135"/>
      <c r="X4411" s="135"/>
      <c r="Y4411" s="135"/>
      <c r="Z4411" s="135"/>
    </row>
    <row r="4412" spans="1:26" ht="25.5">
      <c r="A4412" s="136" t="s">
        <v>11</v>
      </c>
      <c r="B4412" s="136" t="s">
        <v>297</v>
      </c>
      <c r="C4412" s="136" t="s">
        <v>325</v>
      </c>
      <c r="D4412" s="136" t="s">
        <v>103</v>
      </c>
      <c r="E4412" s="136" t="s">
        <v>594</v>
      </c>
      <c r="F4412" s="136">
        <v>12</v>
      </c>
      <c r="G4412" s="137">
        <f t="shared" si="17"/>
        <v>24</v>
      </c>
      <c r="H4412" s="137"/>
      <c r="I4412" s="137"/>
      <c r="J4412" s="135"/>
      <c r="K4412" s="135"/>
      <c r="L4412" s="135"/>
      <c r="M4412" s="135"/>
      <c r="N4412" s="135"/>
      <c r="O4412" s="135"/>
      <c r="P4412" s="135"/>
      <c r="Q4412" s="135"/>
      <c r="R4412" s="135"/>
      <c r="S4412" s="135"/>
      <c r="T4412" s="135"/>
      <c r="U4412" s="135"/>
      <c r="V4412" s="135"/>
      <c r="W4412" s="135"/>
      <c r="X4412" s="135"/>
      <c r="Y4412" s="135"/>
      <c r="Z4412" s="135"/>
    </row>
    <row r="4413" spans="1:26" ht="25.5">
      <c r="A4413" s="136" t="s">
        <v>11</v>
      </c>
      <c r="B4413" s="136" t="s">
        <v>297</v>
      </c>
      <c r="C4413" s="136" t="s">
        <v>325</v>
      </c>
      <c r="D4413" s="136" t="s">
        <v>7937</v>
      </c>
      <c r="E4413" s="136" t="s">
        <v>86</v>
      </c>
      <c r="F4413" s="136">
        <v>12</v>
      </c>
      <c r="G4413" s="137">
        <f t="shared" si="17"/>
        <v>25</v>
      </c>
      <c r="H4413" s="137"/>
      <c r="I4413" s="137"/>
      <c r="J4413" s="135"/>
      <c r="K4413" s="135"/>
      <c r="L4413" s="135"/>
      <c r="M4413" s="135"/>
      <c r="N4413" s="135"/>
      <c r="O4413" s="135"/>
      <c r="P4413" s="135"/>
      <c r="Q4413" s="135"/>
      <c r="R4413" s="135"/>
      <c r="S4413" s="135"/>
      <c r="T4413" s="135"/>
      <c r="U4413" s="135"/>
      <c r="V4413" s="135"/>
      <c r="W4413" s="135"/>
      <c r="X4413" s="135"/>
      <c r="Y4413" s="135"/>
      <c r="Z4413" s="135"/>
    </row>
    <row r="4414" spans="1:26" ht="25.5">
      <c r="A4414" s="136" t="s">
        <v>11</v>
      </c>
      <c r="B4414" s="136" t="s">
        <v>297</v>
      </c>
      <c r="C4414" s="136" t="s">
        <v>325</v>
      </c>
      <c r="D4414" s="136" t="s">
        <v>1680</v>
      </c>
      <c r="E4414" s="136" t="s">
        <v>615</v>
      </c>
      <c r="F4414" s="136">
        <v>4</v>
      </c>
      <c r="G4414" s="137">
        <f t="shared" si="17"/>
        <v>26</v>
      </c>
      <c r="H4414" s="137"/>
      <c r="I4414" s="137"/>
      <c r="J4414" s="135"/>
      <c r="K4414" s="135"/>
      <c r="L4414" s="135"/>
      <c r="M4414" s="135"/>
      <c r="N4414" s="135"/>
      <c r="O4414" s="135"/>
      <c r="P4414" s="135"/>
      <c r="Q4414" s="135"/>
      <c r="R4414" s="135"/>
      <c r="S4414" s="135"/>
      <c r="T4414" s="135"/>
      <c r="U4414" s="135"/>
      <c r="V4414" s="135"/>
      <c r="W4414" s="135"/>
      <c r="X4414" s="135"/>
      <c r="Y4414" s="135"/>
      <c r="Z4414" s="135"/>
    </row>
    <row r="4415" spans="1:26" ht="25.5">
      <c r="A4415" s="136" t="s">
        <v>11</v>
      </c>
      <c r="B4415" s="136" t="s">
        <v>297</v>
      </c>
      <c r="C4415" s="136" t="s">
        <v>325</v>
      </c>
      <c r="D4415" s="136" t="s">
        <v>1659</v>
      </c>
      <c r="E4415" s="136" t="s">
        <v>615</v>
      </c>
      <c r="F4415" s="136">
        <v>2</v>
      </c>
      <c r="G4415" s="137">
        <f t="shared" si="17"/>
        <v>27</v>
      </c>
      <c r="H4415" s="137"/>
      <c r="I4415" s="137"/>
      <c r="J4415" s="135"/>
      <c r="K4415" s="135"/>
      <c r="L4415" s="135"/>
      <c r="M4415" s="135"/>
      <c r="N4415" s="135"/>
      <c r="O4415" s="135"/>
      <c r="P4415" s="135"/>
      <c r="Q4415" s="135"/>
      <c r="R4415" s="135"/>
      <c r="S4415" s="135"/>
      <c r="T4415" s="135"/>
      <c r="U4415" s="135"/>
      <c r="V4415" s="135"/>
      <c r="W4415" s="135"/>
      <c r="X4415" s="135"/>
      <c r="Y4415" s="135"/>
      <c r="Z4415" s="135"/>
    </row>
    <row r="4416" spans="1:26" ht="25.5">
      <c r="A4416" s="136" t="s">
        <v>11</v>
      </c>
      <c r="B4416" s="136" t="s">
        <v>297</v>
      </c>
      <c r="C4416" s="136" t="s">
        <v>7970</v>
      </c>
      <c r="D4416" s="136" t="s">
        <v>139</v>
      </c>
      <c r="E4416" s="136" t="s">
        <v>594</v>
      </c>
      <c r="F4416" s="136">
        <v>307</v>
      </c>
      <c r="G4416" s="137">
        <f t="shared" si="17"/>
        <v>1</v>
      </c>
      <c r="H4416" s="137"/>
      <c r="I4416" s="137"/>
      <c r="J4416" s="135"/>
      <c r="K4416" s="135"/>
      <c r="L4416" s="135"/>
      <c r="M4416" s="135"/>
      <c r="N4416" s="135"/>
      <c r="O4416" s="135"/>
      <c r="P4416" s="135"/>
      <c r="Q4416" s="135"/>
      <c r="R4416" s="135"/>
      <c r="S4416" s="135"/>
      <c r="T4416" s="135"/>
      <c r="U4416" s="135"/>
      <c r="V4416" s="135"/>
      <c r="W4416" s="135"/>
      <c r="X4416" s="135"/>
      <c r="Y4416" s="135"/>
      <c r="Z4416" s="135"/>
    </row>
    <row r="4417" spans="1:26" ht="25.5">
      <c r="A4417" s="136" t="s">
        <v>11</v>
      </c>
      <c r="B4417" s="136" t="s">
        <v>297</v>
      </c>
      <c r="C4417" s="136" t="s">
        <v>7970</v>
      </c>
      <c r="D4417" s="136" t="s">
        <v>1669</v>
      </c>
      <c r="E4417" s="136" t="s">
        <v>615</v>
      </c>
      <c r="F4417" s="136">
        <v>210</v>
      </c>
      <c r="G4417" s="137">
        <f t="shared" si="17"/>
        <v>2</v>
      </c>
      <c r="H4417" s="137"/>
      <c r="I4417" s="137"/>
      <c r="J4417" s="135"/>
      <c r="K4417" s="135"/>
      <c r="L4417" s="135"/>
      <c r="M4417" s="135"/>
      <c r="N4417" s="135"/>
      <c r="O4417" s="135"/>
      <c r="P4417" s="135"/>
      <c r="Q4417" s="135"/>
      <c r="R4417" s="135"/>
      <c r="S4417" s="135"/>
      <c r="T4417" s="135"/>
      <c r="U4417" s="135"/>
      <c r="V4417" s="135"/>
      <c r="W4417" s="135"/>
      <c r="X4417" s="135"/>
      <c r="Y4417" s="135"/>
      <c r="Z4417" s="135"/>
    </row>
    <row r="4418" spans="1:26" ht="25.5">
      <c r="A4418" s="136" t="s">
        <v>11</v>
      </c>
      <c r="B4418" s="136" t="s">
        <v>297</v>
      </c>
      <c r="C4418" s="136" t="s">
        <v>7970</v>
      </c>
      <c r="D4418" s="136" t="s">
        <v>7878</v>
      </c>
      <c r="E4418" s="136" t="s">
        <v>85</v>
      </c>
      <c r="F4418" s="136">
        <v>194</v>
      </c>
      <c r="G4418" s="137">
        <f t="shared" si="17"/>
        <v>3</v>
      </c>
      <c r="H4418" s="137"/>
      <c r="I4418" s="137"/>
      <c r="J4418" s="135"/>
      <c r="K4418" s="135"/>
      <c r="L4418" s="135"/>
      <c r="M4418" s="135"/>
      <c r="N4418" s="135"/>
      <c r="O4418" s="135"/>
      <c r="P4418" s="135"/>
      <c r="Q4418" s="135"/>
      <c r="R4418" s="135"/>
      <c r="S4418" s="135"/>
      <c r="T4418" s="135"/>
      <c r="U4418" s="135"/>
      <c r="V4418" s="135"/>
      <c r="W4418" s="135"/>
      <c r="X4418" s="135"/>
      <c r="Y4418" s="135"/>
      <c r="Z4418" s="135"/>
    </row>
    <row r="4419" spans="1:26" ht="25.5">
      <c r="A4419" s="136" t="s">
        <v>11</v>
      </c>
      <c r="B4419" s="136" t="s">
        <v>297</v>
      </c>
      <c r="C4419" s="136" t="s">
        <v>7970</v>
      </c>
      <c r="D4419" s="136" t="s">
        <v>1636</v>
      </c>
      <c r="E4419" s="136" t="s">
        <v>615</v>
      </c>
      <c r="F4419" s="136">
        <v>98</v>
      </c>
      <c r="G4419" s="137">
        <f t="shared" si="17"/>
        <v>4</v>
      </c>
      <c r="H4419" s="137"/>
      <c r="I4419" s="137"/>
      <c r="J4419" s="135"/>
      <c r="K4419" s="135"/>
      <c r="L4419" s="135"/>
      <c r="M4419" s="135"/>
      <c r="N4419" s="135"/>
      <c r="O4419" s="135"/>
      <c r="P4419" s="135"/>
      <c r="Q4419" s="135"/>
      <c r="R4419" s="135"/>
      <c r="S4419" s="135"/>
      <c r="T4419" s="135"/>
      <c r="U4419" s="135"/>
      <c r="V4419" s="135"/>
      <c r="W4419" s="135"/>
      <c r="X4419" s="135"/>
      <c r="Y4419" s="135"/>
      <c r="Z4419" s="135"/>
    </row>
    <row r="4420" spans="1:26" ht="25.5">
      <c r="A4420" s="136" t="s">
        <v>11</v>
      </c>
      <c r="B4420" s="136" t="s">
        <v>297</v>
      </c>
      <c r="C4420" s="136" t="s">
        <v>7970</v>
      </c>
      <c r="D4420" s="136" t="s">
        <v>38</v>
      </c>
      <c r="E4420" s="136" t="s">
        <v>594</v>
      </c>
      <c r="F4420" s="136">
        <v>32</v>
      </c>
      <c r="G4420" s="137">
        <f t="shared" si="17"/>
        <v>5</v>
      </c>
      <c r="H4420" s="137"/>
      <c r="I4420" s="137"/>
      <c r="J4420" s="135"/>
      <c r="K4420" s="135"/>
      <c r="L4420" s="135"/>
      <c r="M4420" s="135"/>
      <c r="N4420" s="135"/>
      <c r="O4420" s="135"/>
      <c r="P4420" s="135"/>
      <c r="Q4420" s="135"/>
      <c r="R4420" s="135"/>
      <c r="S4420" s="135"/>
      <c r="T4420" s="135"/>
      <c r="U4420" s="135"/>
      <c r="V4420" s="135"/>
      <c r="W4420" s="135"/>
      <c r="X4420" s="135"/>
      <c r="Y4420" s="135"/>
      <c r="Z4420" s="135"/>
    </row>
    <row r="4421" spans="1:26" ht="25.5">
      <c r="A4421" s="136" t="s">
        <v>11</v>
      </c>
      <c r="B4421" s="136" t="s">
        <v>297</v>
      </c>
      <c r="C4421" s="136" t="s">
        <v>5066</v>
      </c>
      <c r="D4421" s="136" t="s">
        <v>1669</v>
      </c>
      <c r="E4421" s="136" t="s">
        <v>615</v>
      </c>
      <c r="F4421" s="136">
        <v>413</v>
      </c>
      <c r="G4421" s="137">
        <f t="shared" si="17"/>
        <v>1</v>
      </c>
      <c r="H4421" s="137"/>
      <c r="I4421" s="137"/>
      <c r="J4421" s="135"/>
      <c r="K4421" s="135"/>
      <c r="L4421" s="135"/>
      <c r="M4421" s="135"/>
      <c r="N4421" s="135"/>
      <c r="O4421" s="135"/>
      <c r="P4421" s="135"/>
      <c r="Q4421" s="135"/>
      <c r="R4421" s="135"/>
      <c r="S4421" s="135"/>
      <c r="T4421" s="135"/>
      <c r="U4421" s="135"/>
      <c r="V4421" s="135"/>
      <c r="W4421" s="135"/>
      <c r="X4421" s="135"/>
      <c r="Y4421" s="135"/>
      <c r="Z4421" s="135"/>
    </row>
    <row r="4422" spans="1:26" ht="25.5">
      <c r="A4422" s="136" t="s">
        <v>11</v>
      </c>
      <c r="B4422" s="136" t="s">
        <v>297</v>
      </c>
      <c r="C4422" s="136" t="s">
        <v>5066</v>
      </c>
      <c r="D4422" s="136" t="s">
        <v>139</v>
      </c>
      <c r="E4422" s="136" t="s">
        <v>594</v>
      </c>
      <c r="F4422" s="136">
        <v>372</v>
      </c>
      <c r="G4422" s="137">
        <f t="shared" si="17"/>
        <v>2</v>
      </c>
      <c r="H4422" s="137"/>
      <c r="I4422" s="137"/>
      <c r="J4422" s="135"/>
      <c r="K4422" s="135"/>
      <c r="L4422" s="135"/>
      <c r="M4422" s="135"/>
      <c r="N4422" s="135"/>
      <c r="O4422" s="135"/>
      <c r="P4422" s="135"/>
      <c r="Q4422" s="135"/>
      <c r="R4422" s="135"/>
      <c r="S4422" s="135"/>
      <c r="T4422" s="135"/>
      <c r="U4422" s="135"/>
      <c r="V4422" s="135"/>
      <c r="W4422" s="135"/>
      <c r="X4422" s="135"/>
      <c r="Y4422" s="135"/>
      <c r="Z4422" s="135"/>
    </row>
    <row r="4423" spans="1:26" ht="25.5">
      <c r="A4423" s="136" t="s">
        <v>11</v>
      </c>
      <c r="B4423" s="136" t="s">
        <v>297</v>
      </c>
      <c r="C4423" s="136" t="s">
        <v>5066</v>
      </c>
      <c r="D4423" s="136" t="s">
        <v>7878</v>
      </c>
      <c r="E4423" s="136" t="s">
        <v>85</v>
      </c>
      <c r="F4423" s="136">
        <v>126</v>
      </c>
      <c r="G4423" s="137">
        <f t="shared" si="17"/>
        <v>3</v>
      </c>
      <c r="H4423" s="137"/>
      <c r="I4423" s="137"/>
      <c r="J4423" s="135"/>
      <c r="K4423" s="135"/>
      <c r="L4423" s="135"/>
      <c r="M4423" s="135"/>
      <c r="N4423" s="135"/>
      <c r="O4423" s="135"/>
      <c r="P4423" s="135"/>
      <c r="Q4423" s="135"/>
      <c r="R4423" s="135"/>
      <c r="S4423" s="135"/>
      <c r="T4423" s="135"/>
      <c r="U4423" s="135"/>
      <c r="V4423" s="135"/>
      <c r="W4423" s="135"/>
      <c r="X4423" s="135"/>
      <c r="Y4423" s="135"/>
      <c r="Z4423" s="135"/>
    </row>
    <row r="4424" spans="1:26" ht="25.5">
      <c r="A4424" s="136" t="s">
        <v>11</v>
      </c>
      <c r="B4424" s="136" t="s">
        <v>297</v>
      </c>
      <c r="C4424" s="136" t="s">
        <v>5066</v>
      </c>
      <c r="D4424" s="136" t="s">
        <v>7657</v>
      </c>
      <c r="E4424" s="136" t="s">
        <v>85</v>
      </c>
      <c r="F4424" s="136">
        <v>102</v>
      </c>
      <c r="G4424" s="137">
        <f t="shared" si="17"/>
        <v>4</v>
      </c>
      <c r="H4424" s="137"/>
      <c r="I4424" s="137"/>
      <c r="J4424" s="135"/>
      <c r="K4424" s="135"/>
      <c r="L4424" s="135"/>
      <c r="M4424" s="135"/>
      <c r="N4424" s="135"/>
      <c r="O4424" s="135"/>
      <c r="P4424" s="135"/>
      <c r="Q4424" s="135"/>
      <c r="R4424" s="135"/>
      <c r="S4424" s="135"/>
      <c r="T4424" s="135"/>
      <c r="U4424" s="135"/>
      <c r="V4424" s="135"/>
      <c r="W4424" s="135"/>
      <c r="X4424" s="135"/>
      <c r="Y4424" s="135"/>
      <c r="Z4424" s="135"/>
    </row>
    <row r="4425" spans="1:26" ht="25.5">
      <c r="A4425" s="136" t="s">
        <v>11</v>
      </c>
      <c r="B4425" s="136" t="s">
        <v>297</v>
      </c>
      <c r="C4425" s="136" t="s">
        <v>5066</v>
      </c>
      <c r="D4425" s="136" t="s">
        <v>368</v>
      </c>
      <c r="E4425" s="136" t="s">
        <v>594</v>
      </c>
      <c r="F4425" s="136">
        <v>12</v>
      </c>
      <c r="G4425" s="137">
        <f t="shared" si="17"/>
        <v>5</v>
      </c>
      <c r="H4425" s="137"/>
      <c r="I4425" s="137"/>
      <c r="J4425" s="135"/>
      <c r="K4425" s="135"/>
      <c r="L4425" s="135"/>
      <c r="M4425" s="135"/>
      <c r="N4425" s="135"/>
      <c r="O4425" s="135"/>
      <c r="P4425" s="135"/>
      <c r="Q4425" s="135"/>
      <c r="R4425" s="135"/>
      <c r="S4425" s="135"/>
      <c r="T4425" s="135"/>
      <c r="U4425" s="135"/>
      <c r="V4425" s="135"/>
      <c r="W4425" s="135"/>
      <c r="X4425" s="135"/>
      <c r="Y4425" s="135"/>
      <c r="Z4425" s="135"/>
    </row>
    <row r="4426" spans="1:26" ht="25.5">
      <c r="A4426" s="136" t="s">
        <v>11</v>
      </c>
      <c r="B4426" s="136" t="s">
        <v>297</v>
      </c>
      <c r="C4426" s="136" t="s">
        <v>5066</v>
      </c>
      <c r="D4426" s="136" t="s">
        <v>7937</v>
      </c>
      <c r="E4426" s="136" t="s">
        <v>86</v>
      </c>
      <c r="F4426" s="136">
        <v>12</v>
      </c>
      <c r="G4426" s="137">
        <f t="shared" si="17"/>
        <v>6</v>
      </c>
      <c r="H4426" s="137"/>
      <c r="I4426" s="137"/>
      <c r="J4426" s="135"/>
      <c r="K4426" s="135"/>
      <c r="L4426" s="135"/>
      <c r="M4426" s="135"/>
      <c r="N4426" s="135"/>
      <c r="O4426" s="135"/>
      <c r="P4426" s="135"/>
      <c r="Q4426" s="135"/>
      <c r="R4426" s="135"/>
      <c r="S4426" s="135"/>
      <c r="T4426" s="135"/>
      <c r="U4426" s="135"/>
      <c r="V4426" s="135"/>
      <c r="W4426" s="135"/>
      <c r="X4426" s="135"/>
      <c r="Y4426" s="135"/>
      <c r="Z4426" s="135"/>
    </row>
    <row r="4427" spans="1:26" ht="25.5">
      <c r="A4427" s="136" t="s">
        <v>11</v>
      </c>
      <c r="B4427" s="136" t="s">
        <v>297</v>
      </c>
      <c r="C4427" s="136" t="s">
        <v>5066</v>
      </c>
      <c r="D4427" s="136" t="s">
        <v>1680</v>
      </c>
      <c r="E4427" s="136" t="s">
        <v>615</v>
      </c>
      <c r="F4427" s="136">
        <v>8</v>
      </c>
      <c r="G4427" s="137">
        <f t="shared" si="17"/>
        <v>7</v>
      </c>
      <c r="H4427" s="137"/>
      <c r="I4427" s="137"/>
      <c r="J4427" s="135"/>
      <c r="K4427" s="135"/>
      <c r="L4427" s="135"/>
      <c r="M4427" s="135"/>
      <c r="N4427" s="135"/>
      <c r="O4427" s="135"/>
      <c r="P4427" s="135"/>
      <c r="Q4427" s="135"/>
      <c r="R4427" s="135"/>
      <c r="S4427" s="135"/>
      <c r="T4427" s="135"/>
      <c r="U4427" s="135"/>
      <c r="V4427" s="135"/>
      <c r="W4427" s="135"/>
      <c r="X4427" s="135"/>
      <c r="Y4427" s="135"/>
      <c r="Z4427" s="135"/>
    </row>
    <row r="4428" spans="1:26" ht="25.5">
      <c r="A4428" s="136" t="s">
        <v>11</v>
      </c>
      <c r="B4428" s="136" t="s">
        <v>297</v>
      </c>
      <c r="C4428" s="136" t="s">
        <v>5066</v>
      </c>
      <c r="D4428" s="136" t="s">
        <v>1665</v>
      </c>
      <c r="E4428" s="136" t="s">
        <v>615</v>
      </c>
      <c r="F4428" s="136">
        <v>4</v>
      </c>
      <c r="G4428" s="137">
        <f t="shared" si="17"/>
        <v>8</v>
      </c>
      <c r="H4428" s="137"/>
      <c r="I4428" s="137"/>
      <c r="J4428" s="135"/>
      <c r="K4428" s="135"/>
      <c r="L4428" s="135"/>
      <c r="M4428" s="135"/>
      <c r="N4428" s="135"/>
      <c r="O4428" s="135"/>
      <c r="P4428" s="135"/>
      <c r="Q4428" s="135"/>
      <c r="R4428" s="135"/>
      <c r="S4428" s="135"/>
      <c r="T4428" s="135"/>
      <c r="U4428" s="135"/>
      <c r="V4428" s="135"/>
      <c r="W4428" s="135"/>
      <c r="X4428" s="135"/>
      <c r="Y4428" s="135"/>
      <c r="Z4428" s="135"/>
    </row>
    <row r="4429" spans="1:26" ht="25.5">
      <c r="A4429" s="136" t="s">
        <v>11</v>
      </c>
      <c r="B4429" s="136" t="s">
        <v>7971</v>
      </c>
      <c r="C4429" s="136" t="s">
        <v>7972</v>
      </c>
      <c r="D4429" s="136" t="s">
        <v>139</v>
      </c>
      <c r="E4429" s="136" t="s">
        <v>594</v>
      </c>
      <c r="F4429" s="136">
        <v>2945</v>
      </c>
      <c r="G4429" s="137">
        <f t="shared" si="17"/>
        <v>1</v>
      </c>
      <c r="H4429" s="137"/>
      <c r="I4429" s="137"/>
      <c r="J4429" s="135"/>
      <c r="K4429" s="135"/>
      <c r="L4429" s="135"/>
      <c r="M4429" s="135"/>
      <c r="N4429" s="135"/>
      <c r="O4429" s="135"/>
      <c r="P4429" s="135"/>
      <c r="Q4429" s="135"/>
      <c r="R4429" s="135"/>
      <c r="S4429" s="135"/>
      <c r="T4429" s="135"/>
      <c r="U4429" s="135"/>
      <c r="V4429" s="135"/>
      <c r="W4429" s="135"/>
      <c r="X4429" s="135"/>
      <c r="Y4429" s="135"/>
      <c r="Z4429" s="135"/>
    </row>
    <row r="4430" spans="1:26" ht="25.5">
      <c r="A4430" s="136" t="s">
        <v>11</v>
      </c>
      <c r="B4430" s="136" t="s">
        <v>7971</v>
      </c>
      <c r="C4430" s="136" t="s">
        <v>7972</v>
      </c>
      <c r="D4430" s="136" t="s">
        <v>1669</v>
      </c>
      <c r="E4430" s="136" t="s">
        <v>615</v>
      </c>
      <c r="F4430" s="136">
        <v>1662</v>
      </c>
      <c r="G4430" s="137">
        <f t="shared" si="17"/>
        <v>2</v>
      </c>
      <c r="H4430" s="137"/>
      <c r="I4430" s="137"/>
      <c r="J4430" s="135"/>
      <c r="K4430" s="135"/>
      <c r="L4430" s="135"/>
      <c r="M4430" s="135"/>
      <c r="N4430" s="135"/>
      <c r="O4430" s="135"/>
      <c r="P4430" s="135"/>
      <c r="Q4430" s="135"/>
      <c r="R4430" s="135"/>
      <c r="S4430" s="135"/>
      <c r="T4430" s="135"/>
      <c r="U4430" s="135"/>
      <c r="V4430" s="135"/>
      <c r="W4430" s="135"/>
      <c r="X4430" s="135"/>
      <c r="Y4430" s="135"/>
      <c r="Z4430" s="135"/>
    </row>
    <row r="4431" spans="1:26" ht="25.5">
      <c r="A4431" s="136" t="s">
        <v>11</v>
      </c>
      <c r="B4431" s="136" t="s">
        <v>7971</v>
      </c>
      <c r="C4431" s="136" t="s">
        <v>7972</v>
      </c>
      <c r="D4431" s="136" t="s">
        <v>165</v>
      </c>
      <c r="E4431" s="136" t="s">
        <v>615</v>
      </c>
      <c r="F4431" s="136">
        <v>646</v>
      </c>
      <c r="G4431" s="137">
        <f t="shared" si="17"/>
        <v>3</v>
      </c>
      <c r="H4431" s="137"/>
      <c r="I4431" s="137"/>
      <c r="J4431" s="135"/>
      <c r="K4431" s="135"/>
      <c r="L4431" s="135"/>
      <c r="M4431" s="135"/>
      <c r="N4431" s="135"/>
      <c r="O4431" s="135"/>
      <c r="P4431" s="135"/>
      <c r="Q4431" s="135"/>
      <c r="R4431" s="135"/>
      <c r="S4431" s="135"/>
      <c r="T4431" s="135"/>
      <c r="U4431" s="135"/>
      <c r="V4431" s="135"/>
      <c r="W4431" s="135"/>
      <c r="X4431" s="135"/>
      <c r="Y4431" s="135"/>
      <c r="Z4431" s="135"/>
    </row>
    <row r="4432" spans="1:26" ht="25.5">
      <c r="A4432" s="136" t="s">
        <v>11</v>
      </c>
      <c r="B4432" s="136" t="s">
        <v>7971</v>
      </c>
      <c r="C4432" s="136" t="s">
        <v>7972</v>
      </c>
      <c r="D4432" s="136" t="s">
        <v>7973</v>
      </c>
      <c r="E4432" s="136" t="s">
        <v>594</v>
      </c>
      <c r="F4432" s="136">
        <v>111</v>
      </c>
      <c r="G4432" s="137">
        <f t="shared" si="17"/>
        <v>4</v>
      </c>
      <c r="H4432" s="137"/>
      <c r="I4432" s="137"/>
      <c r="J4432" s="135"/>
      <c r="K4432" s="135"/>
      <c r="L4432" s="135"/>
      <c r="M4432" s="135"/>
      <c r="N4432" s="135"/>
      <c r="O4432" s="135"/>
      <c r="P4432" s="135"/>
      <c r="Q4432" s="135"/>
      <c r="R4432" s="135"/>
      <c r="S4432" s="135"/>
      <c r="T4432" s="135"/>
      <c r="U4432" s="135"/>
      <c r="V4432" s="135"/>
      <c r="W4432" s="135"/>
      <c r="X4432" s="135"/>
      <c r="Y4432" s="135"/>
      <c r="Z4432" s="135"/>
    </row>
    <row r="4433" spans="1:26" ht="25.5">
      <c r="A4433" s="136" t="s">
        <v>11</v>
      </c>
      <c r="B4433" s="136" t="s">
        <v>7971</v>
      </c>
      <c r="C4433" s="136" t="s">
        <v>7972</v>
      </c>
      <c r="D4433" s="136" t="s">
        <v>368</v>
      </c>
      <c r="E4433" s="136" t="s">
        <v>594</v>
      </c>
      <c r="F4433" s="136">
        <v>92</v>
      </c>
      <c r="G4433" s="137">
        <f t="shared" si="17"/>
        <v>5</v>
      </c>
      <c r="H4433" s="137"/>
      <c r="I4433" s="137"/>
      <c r="J4433" s="135"/>
      <c r="K4433" s="135"/>
      <c r="L4433" s="135"/>
      <c r="M4433" s="135"/>
      <c r="N4433" s="135"/>
      <c r="O4433" s="135"/>
      <c r="P4433" s="135"/>
      <c r="Q4433" s="135"/>
      <c r="R4433" s="135"/>
      <c r="S4433" s="135"/>
      <c r="T4433" s="135"/>
      <c r="U4433" s="135"/>
      <c r="V4433" s="135"/>
      <c r="W4433" s="135"/>
      <c r="X4433" s="135"/>
      <c r="Y4433" s="135"/>
      <c r="Z4433" s="135"/>
    </row>
    <row r="4434" spans="1:26" ht="25.5">
      <c r="A4434" s="136" t="s">
        <v>11</v>
      </c>
      <c r="B4434" s="136" t="s">
        <v>7971</v>
      </c>
      <c r="C4434" s="136" t="s">
        <v>7972</v>
      </c>
      <c r="D4434" s="136" t="s">
        <v>114</v>
      </c>
      <c r="E4434" s="136" t="s">
        <v>85</v>
      </c>
      <c r="F4434" s="136">
        <v>87</v>
      </c>
      <c r="G4434" s="137">
        <f t="shared" si="17"/>
        <v>6</v>
      </c>
      <c r="H4434" s="137"/>
      <c r="I4434" s="137"/>
      <c r="J4434" s="135"/>
      <c r="K4434" s="135"/>
      <c r="L4434" s="135"/>
      <c r="M4434" s="135"/>
      <c r="N4434" s="135"/>
      <c r="O4434" s="135"/>
      <c r="P4434" s="135"/>
      <c r="Q4434" s="135"/>
      <c r="R4434" s="135"/>
      <c r="S4434" s="135"/>
      <c r="T4434" s="135"/>
      <c r="U4434" s="135"/>
      <c r="V4434" s="135"/>
      <c r="W4434" s="135"/>
      <c r="X4434" s="135"/>
      <c r="Y4434" s="135"/>
      <c r="Z4434" s="135"/>
    </row>
    <row r="4435" spans="1:26" ht="25.5">
      <c r="A4435" s="136" t="s">
        <v>11</v>
      </c>
      <c r="B4435" s="136" t="s">
        <v>7971</v>
      </c>
      <c r="C4435" s="136" t="s">
        <v>7972</v>
      </c>
      <c r="D4435" s="136" t="s">
        <v>7781</v>
      </c>
      <c r="E4435" s="136" t="s">
        <v>594</v>
      </c>
      <c r="F4435" s="136">
        <v>85</v>
      </c>
      <c r="G4435" s="137">
        <f t="shared" si="17"/>
        <v>7</v>
      </c>
      <c r="H4435" s="137"/>
      <c r="I4435" s="137"/>
      <c r="J4435" s="135"/>
      <c r="K4435" s="135"/>
      <c r="L4435" s="135"/>
      <c r="M4435" s="135"/>
      <c r="N4435" s="135"/>
      <c r="O4435" s="135"/>
      <c r="P4435" s="135"/>
      <c r="Q4435" s="135"/>
      <c r="R4435" s="135"/>
      <c r="S4435" s="135"/>
      <c r="T4435" s="135"/>
      <c r="U4435" s="135"/>
      <c r="V4435" s="135"/>
      <c r="W4435" s="135"/>
      <c r="X4435" s="135"/>
      <c r="Y4435" s="135"/>
      <c r="Z4435" s="135"/>
    </row>
    <row r="4436" spans="1:26" ht="25.5">
      <c r="A4436" s="136" t="s">
        <v>11</v>
      </c>
      <c r="B4436" s="136" t="s">
        <v>7971</v>
      </c>
      <c r="C4436" s="136" t="s">
        <v>7972</v>
      </c>
      <c r="D4436" s="136" t="s">
        <v>1665</v>
      </c>
      <c r="E4436" s="136" t="s">
        <v>615</v>
      </c>
      <c r="F4436" s="136">
        <v>85</v>
      </c>
      <c r="G4436" s="137">
        <f t="shared" si="17"/>
        <v>8</v>
      </c>
      <c r="H4436" s="137"/>
      <c r="I4436" s="137"/>
      <c r="J4436" s="135"/>
      <c r="K4436" s="135"/>
      <c r="L4436" s="135"/>
      <c r="M4436" s="135"/>
      <c r="N4436" s="135"/>
      <c r="O4436" s="135"/>
      <c r="P4436" s="135"/>
      <c r="Q4436" s="135"/>
      <c r="R4436" s="135"/>
      <c r="S4436" s="135"/>
      <c r="T4436" s="135"/>
      <c r="U4436" s="135"/>
      <c r="V4436" s="135"/>
      <c r="W4436" s="135"/>
      <c r="X4436" s="135"/>
      <c r="Y4436" s="135"/>
      <c r="Z4436" s="135"/>
    </row>
    <row r="4437" spans="1:26" ht="25.5">
      <c r="A4437" s="136" t="s">
        <v>11</v>
      </c>
      <c r="B4437" s="136" t="s">
        <v>7971</v>
      </c>
      <c r="C4437" s="136" t="s">
        <v>7972</v>
      </c>
      <c r="D4437" s="136" t="s">
        <v>136</v>
      </c>
      <c r="E4437" s="136" t="s">
        <v>615</v>
      </c>
      <c r="F4437" s="136">
        <v>78</v>
      </c>
      <c r="G4437" s="137">
        <f t="shared" si="17"/>
        <v>9</v>
      </c>
      <c r="H4437" s="137"/>
      <c r="I4437" s="137"/>
      <c r="J4437" s="135"/>
      <c r="K4437" s="135"/>
      <c r="L4437" s="135"/>
      <c r="M4437" s="135"/>
      <c r="N4437" s="135"/>
      <c r="O4437" s="135"/>
      <c r="P4437" s="135"/>
      <c r="Q4437" s="135"/>
      <c r="R4437" s="135"/>
      <c r="S4437" s="135"/>
      <c r="T4437" s="135"/>
      <c r="U4437" s="135"/>
      <c r="V4437" s="135"/>
      <c r="W4437" s="135"/>
      <c r="X4437" s="135"/>
      <c r="Y4437" s="135"/>
      <c r="Z4437" s="135"/>
    </row>
    <row r="4438" spans="1:26" ht="25.5">
      <c r="A4438" s="136" t="s">
        <v>11</v>
      </c>
      <c r="B4438" s="136" t="s">
        <v>7971</v>
      </c>
      <c r="C4438" s="136" t="s">
        <v>7972</v>
      </c>
      <c r="D4438" s="136" t="s">
        <v>1626</v>
      </c>
      <c r="E4438" s="136" t="s">
        <v>594</v>
      </c>
      <c r="F4438" s="136">
        <v>74</v>
      </c>
      <c r="G4438" s="137">
        <f t="shared" si="17"/>
        <v>10</v>
      </c>
      <c r="H4438" s="137"/>
      <c r="I4438" s="137"/>
      <c r="J4438" s="135"/>
      <c r="K4438" s="135"/>
      <c r="L4438" s="135"/>
      <c r="M4438" s="135"/>
      <c r="N4438" s="135"/>
      <c r="O4438" s="135"/>
      <c r="P4438" s="135"/>
      <c r="Q4438" s="135"/>
      <c r="R4438" s="135"/>
      <c r="S4438" s="135"/>
      <c r="T4438" s="135"/>
      <c r="U4438" s="135"/>
      <c r="V4438" s="135"/>
      <c r="W4438" s="135"/>
      <c r="X4438" s="135"/>
      <c r="Y4438" s="135"/>
      <c r="Z4438" s="135"/>
    </row>
    <row r="4439" spans="1:26" ht="25.5">
      <c r="A4439" s="136" t="s">
        <v>11</v>
      </c>
      <c r="B4439" s="136" t="s">
        <v>7971</v>
      </c>
      <c r="C4439" s="136" t="s">
        <v>7972</v>
      </c>
      <c r="D4439" s="136" t="s">
        <v>103</v>
      </c>
      <c r="E4439" s="136" t="s">
        <v>594</v>
      </c>
      <c r="F4439" s="136">
        <v>51</v>
      </c>
      <c r="G4439" s="137">
        <f t="shared" si="17"/>
        <v>11</v>
      </c>
      <c r="H4439" s="137"/>
      <c r="I4439" s="137"/>
      <c r="J4439" s="135"/>
      <c r="K4439" s="135"/>
      <c r="L4439" s="135"/>
      <c r="M4439" s="135"/>
      <c r="N4439" s="135"/>
      <c r="O4439" s="135"/>
      <c r="P4439" s="135"/>
      <c r="Q4439" s="135"/>
      <c r="R4439" s="135"/>
      <c r="S4439" s="135"/>
      <c r="T4439" s="135"/>
      <c r="U4439" s="135"/>
      <c r="V4439" s="135"/>
      <c r="W4439" s="135"/>
      <c r="X4439" s="135"/>
      <c r="Y4439" s="135"/>
      <c r="Z4439" s="135"/>
    </row>
    <row r="4440" spans="1:26" ht="25.5">
      <c r="A4440" s="136" t="s">
        <v>11</v>
      </c>
      <c r="B4440" s="136" t="s">
        <v>7971</v>
      </c>
      <c r="C4440" s="136" t="s">
        <v>7972</v>
      </c>
      <c r="D4440" s="136" t="s">
        <v>7527</v>
      </c>
      <c r="E4440" s="136" t="s">
        <v>615</v>
      </c>
      <c r="F4440" s="136">
        <v>47</v>
      </c>
      <c r="G4440" s="137">
        <f t="shared" si="17"/>
        <v>12</v>
      </c>
      <c r="H4440" s="137"/>
      <c r="I4440" s="137"/>
      <c r="J4440" s="135"/>
      <c r="K4440" s="135"/>
      <c r="L4440" s="135"/>
      <c r="M4440" s="135"/>
      <c r="N4440" s="135"/>
      <c r="O4440" s="135"/>
      <c r="P4440" s="135"/>
      <c r="Q4440" s="135"/>
      <c r="R4440" s="135"/>
      <c r="S4440" s="135"/>
      <c r="T4440" s="135"/>
      <c r="U4440" s="135"/>
      <c r="V4440" s="135"/>
      <c r="W4440" s="135"/>
      <c r="X4440" s="135"/>
      <c r="Y4440" s="135"/>
      <c r="Z4440" s="135"/>
    </row>
    <row r="4441" spans="1:26" ht="25.5">
      <c r="A4441" s="136" t="s">
        <v>11</v>
      </c>
      <c r="B4441" s="136" t="s">
        <v>7971</v>
      </c>
      <c r="C4441" s="136" t="s">
        <v>7972</v>
      </c>
      <c r="D4441" s="136" t="s">
        <v>7935</v>
      </c>
      <c r="E4441" s="136" t="s">
        <v>615</v>
      </c>
      <c r="F4441" s="136">
        <v>37</v>
      </c>
      <c r="G4441" s="137">
        <f t="shared" si="17"/>
        <v>13</v>
      </c>
      <c r="H4441" s="137"/>
      <c r="I4441" s="137"/>
      <c r="J4441" s="135"/>
      <c r="K4441" s="135"/>
      <c r="L4441" s="135"/>
      <c r="M4441" s="135"/>
      <c r="N4441" s="135"/>
      <c r="O4441" s="135"/>
      <c r="P4441" s="135"/>
      <c r="Q4441" s="135"/>
      <c r="R4441" s="135"/>
      <c r="S4441" s="135"/>
      <c r="T4441" s="135"/>
      <c r="U4441" s="135"/>
      <c r="V4441" s="135"/>
      <c r="W4441" s="135"/>
      <c r="X4441" s="135"/>
      <c r="Y4441" s="135"/>
      <c r="Z4441" s="135"/>
    </row>
    <row r="4442" spans="1:26" ht="25.5">
      <c r="A4442" s="136" t="s">
        <v>11</v>
      </c>
      <c r="B4442" s="136" t="s">
        <v>7971</v>
      </c>
      <c r="C4442" s="136" t="s">
        <v>7972</v>
      </c>
      <c r="D4442" s="136" t="s">
        <v>7974</v>
      </c>
      <c r="E4442" s="136" t="s">
        <v>615</v>
      </c>
      <c r="F4442" s="136">
        <v>28</v>
      </c>
      <c r="G4442" s="137">
        <f t="shared" si="17"/>
        <v>14</v>
      </c>
      <c r="H4442" s="137"/>
      <c r="I4442" s="137"/>
      <c r="J4442" s="135"/>
      <c r="K4442" s="135"/>
      <c r="L4442" s="135"/>
      <c r="M4442" s="135"/>
      <c r="N4442" s="135"/>
      <c r="O4442" s="135"/>
      <c r="P4442" s="135"/>
      <c r="Q4442" s="135"/>
      <c r="R4442" s="135"/>
      <c r="S4442" s="135"/>
      <c r="T4442" s="135"/>
      <c r="U4442" s="135"/>
      <c r="V4442" s="135"/>
      <c r="W4442" s="135"/>
      <c r="X4442" s="135"/>
      <c r="Y4442" s="135"/>
      <c r="Z4442" s="135"/>
    </row>
    <row r="4443" spans="1:26" ht="25.5">
      <c r="A4443" s="136" t="s">
        <v>11</v>
      </c>
      <c r="B4443" s="136" t="s">
        <v>7971</v>
      </c>
      <c r="C4443" s="136" t="s">
        <v>7972</v>
      </c>
      <c r="D4443" s="136" t="s">
        <v>437</v>
      </c>
      <c r="E4443" s="136" t="s">
        <v>594</v>
      </c>
      <c r="F4443" s="136">
        <v>25</v>
      </c>
      <c r="G4443" s="137">
        <f t="shared" si="17"/>
        <v>15</v>
      </c>
      <c r="H4443" s="137"/>
      <c r="I4443" s="137"/>
      <c r="J4443" s="135"/>
      <c r="K4443" s="135"/>
      <c r="L4443" s="135"/>
      <c r="M4443" s="135"/>
      <c r="N4443" s="135"/>
      <c r="O4443" s="135"/>
      <c r="P4443" s="135"/>
      <c r="Q4443" s="135"/>
      <c r="R4443" s="135"/>
      <c r="S4443" s="135"/>
      <c r="T4443" s="135"/>
      <c r="U4443" s="135"/>
      <c r="V4443" s="135"/>
      <c r="W4443" s="135"/>
      <c r="X4443" s="135"/>
      <c r="Y4443" s="135"/>
      <c r="Z4443" s="135"/>
    </row>
    <row r="4444" spans="1:26" ht="25.5">
      <c r="A4444" s="136" t="s">
        <v>11</v>
      </c>
      <c r="B4444" s="136" t="s">
        <v>7971</v>
      </c>
      <c r="C4444" s="136" t="s">
        <v>7972</v>
      </c>
      <c r="D4444" s="136" t="s">
        <v>1680</v>
      </c>
      <c r="E4444" s="136" t="s">
        <v>615</v>
      </c>
      <c r="F4444" s="136">
        <v>21</v>
      </c>
      <c r="G4444" s="137">
        <f t="shared" si="17"/>
        <v>16</v>
      </c>
      <c r="H4444" s="137"/>
      <c r="I4444" s="137"/>
      <c r="J4444" s="135"/>
      <c r="K4444" s="135"/>
      <c r="L4444" s="135"/>
      <c r="M4444" s="135"/>
      <c r="N4444" s="135"/>
      <c r="O4444" s="135"/>
      <c r="P4444" s="135"/>
      <c r="Q4444" s="135"/>
      <c r="R4444" s="135"/>
      <c r="S4444" s="135"/>
      <c r="T4444" s="135"/>
      <c r="U4444" s="135"/>
      <c r="V4444" s="135"/>
      <c r="W4444" s="135"/>
      <c r="X4444" s="135"/>
      <c r="Y4444" s="135"/>
      <c r="Z4444" s="135"/>
    </row>
    <row r="4445" spans="1:26" ht="25.5">
      <c r="A4445" s="136" t="s">
        <v>11</v>
      </c>
      <c r="B4445" s="136" t="s">
        <v>7971</v>
      </c>
      <c r="C4445" s="136" t="s">
        <v>7972</v>
      </c>
      <c r="D4445" s="136" t="s">
        <v>7975</v>
      </c>
      <c r="E4445" s="136" t="s">
        <v>615</v>
      </c>
      <c r="F4445" s="136">
        <v>18</v>
      </c>
      <c r="G4445" s="137">
        <f t="shared" si="17"/>
        <v>17</v>
      </c>
      <c r="H4445" s="137"/>
      <c r="I4445" s="137"/>
      <c r="J4445" s="135"/>
      <c r="K4445" s="135"/>
      <c r="L4445" s="135"/>
      <c r="M4445" s="135"/>
      <c r="N4445" s="135"/>
      <c r="O4445" s="135"/>
      <c r="P4445" s="135"/>
      <c r="Q4445" s="135"/>
      <c r="R4445" s="135"/>
      <c r="S4445" s="135"/>
      <c r="T4445" s="135"/>
      <c r="U4445" s="135"/>
      <c r="V4445" s="135"/>
      <c r="W4445" s="135"/>
      <c r="X4445" s="135"/>
      <c r="Y4445" s="135"/>
      <c r="Z4445" s="135"/>
    </row>
    <row r="4446" spans="1:26" ht="25.5">
      <c r="A4446" s="136" t="s">
        <v>11</v>
      </c>
      <c r="B4446" s="136" t="s">
        <v>7971</v>
      </c>
      <c r="C4446" s="136" t="s">
        <v>7972</v>
      </c>
      <c r="D4446" s="136" t="s">
        <v>1682</v>
      </c>
      <c r="E4446" s="136" t="s">
        <v>86</v>
      </c>
      <c r="F4446" s="136">
        <v>6</v>
      </c>
      <c r="G4446" s="137">
        <f t="shared" si="17"/>
        <v>18</v>
      </c>
      <c r="H4446" s="137"/>
      <c r="I4446" s="137"/>
      <c r="J4446" s="135"/>
      <c r="K4446" s="135"/>
      <c r="L4446" s="135"/>
      <c r="M4446" s="135"/>
      <c r="N4446" s="135"/>
      <c r="O4446" s="135"/>
      <c r="P4446" s="135"/>
      <c r="Q4446" s="135"/>
      <c r="R4446" s="135"/>
      <c r="S4446" s="135"/>
      <c r="T4446" s="135"/>
      <c r="U4446" s="135"/>
      <c r="V4446" s="135"/>
      <c r="W4446" s="135"/>
      <c r="X4446" s="135"/>
      <c r="Y4446" s="135"/>
      <c r="Z4446" s="135"/>
    </row>
    <row r="4447" spans="1:26" ht="25.5">
      <c r="A4447" s="136" t="s">
        <v>11</v>
      </c>
      <c r="B4447" s="136" t="s">
        <v>7971</v>
      </c>
      <c r="C4447" s="136" t="s">
        <v>7972</v>
      </c>
      <c r="D4447" s="136" t="s">
        <v>1676</v>
      </c>
      <c r="E4447" s="136" t="s">
        <v>86</v>
      </c>
      <c r="F4447" s="136">
        <v>5</v>
      </c>
      <c r="G4447" s="137">
        <f t="shared" si="17"/>
        <v>19</v>
      </c>
      <c r="H4447" s="137"/>
      <c r="I4447" s="137"/>
      <c r="J4447" s="135"/>
      <c r="K4447" s="135"/>
      <c r="L4447" s="135"/>
      <c r="M4447" s="135"/>
      <c r="N4447" s="135"/>
      <c r="O4447" s="135"/>
      <c r="P4447" s="135"/>
      <c r="Q4447" s="135"/>
      <c r="R4447" s="135"/>
      <c r="S4447" s="135"/>
      <c r="T4447" s="135"/>
      <c r="U4447" s="135"/>
      <c r="V4447" s="135"/>
      <c r="W4447" s="135"/>
      <c r="X4447" s="135"/>
      <c r="Y4447" s="135"/>
      <c r="Z4447" s="135"/>
    </row>
    <row r="4448" spans="1:26" ht="25.5">
      <c r="A4448" s="136" t="s">
        <v>11</v>
      </c>
      <c r="B4448" s="136" t="s">
        <v>7971</v>
      </c>
      <c r="C4448" s="136" t="s">
        <v>7976</v>
      </c>
      <c r="D4448" s="136" t="s">
        <v>1669</v>
      </c>
      <c r="E4448" s="136" t="s">
        <v>615</v>
      </c>
      <c r="F4448" s="136">
        <v>2655</v>
      </c>
      <c r="G4448" s="137">
        <f t="shared" si="17"/>
        <v>1</v>
      </c>
      <c r="H4448" s="137"/>
      <c r="I4448" s="137"/>
      <c r="J4448" s="135"/>
      <c r="K4448" s="135"/>
      <c r="L4448" s="135"/>
      <c r="M4448" s="135"/>
      <c r="N4448" s="135"/>
      <c r="O4448" s="135"/>
      <c r="P4448" s="135"/>
      <c r="Q4448" s="135"/>
      <c r="R4448" s="135"/>
      <c r="S4448" s="135"/>
      <c r="T4448" s="135"/>
      <c r="U4448" s="135"/>
      <c r="V4448" s="135"/>
      <c r="W4448" s="135"/>
      <c r="X4448" s="135"/>
      <c r="Y4448" s="135"/>
      <c r="Z4448" s="135"/>
    </row>
    <row r="4449" spans="1:26" ht="25.5">
      <c r="A4449" s="136" t="s">
        <v>11</v>
      </c>
      <c r="B4449" s="136" t="s">
        <v>7971</v>
      </c>
      <c r="C4449" s="136" t="s">
        <v>7976</v>
      </c>
      <c r="D4449" s="136" t="s">
        <v>139</v>
      </c>
      <c r="E4449" s="136" t="s">
        <v>594</v>
      </c>
      <c r="F4449" s="136">
        <v>2448</v>
      </c>
      <c r="G4449" s="137">
        <f t="shared" si="17"/>
        <v>2</v>
      </c>
      <c r="H4449" s="137"/>
      <c r="I4449" s="137"/>
      <c r="J4449" s="135"/>
      <c r="K4449" s="135"/>
      <c r="L4449" s="135"/>
      <c r="M4449" s="135"/>
      <c r="N4449" s="135"/>
      <c r="O4449" s="135"/>
      <c r="P4449" s="135"/>
      <c r="Q4449" s="135"/>
      <c r="R4449" s="135"/>
      <c r="S4449" s="135"/>
      <c r="T4449" s="135"/>
      <c r="U4449" s="135"/>
      <c r="V4449" s="135"/>
      <c r="W4449" s="135"/>
      <c r="X4449" s="135"/>
      <c r="Y4449" s="135"/>
      <c r="Z4449" s="135"/>
    </row>
    <row r="4450" spans="1:26" ht="25.5">
      <c r="A4450" s="136" t="s">
        <v>11</v>
      </c>
      <c r="B4450" s="136" t="s">
        <v>7971</v>
      </c>
      <c r="C4450" s="136" t="s">
        <v>7976</v>
      </c>
      <c r="D4450" s="136" t="s">
        <v>7977</v>
      </c>
      <c r="E4450" s="136" t="s">
        <v>615</v>
      </c>
      <c r="F4450" s="136">
        <v>472</v>
      </c>
      <c r="G4450" s="137">
        <f t="shared" si="17"/>
        <v>3</v>
      </c>
      <c r="H4450" s="137"/>
      <c r="I4450" s="137"/>
      <c r="J4450" s="135"/>
      <c r="K4450" s="135"/>
      <c r="L4450" s="135"/>
      <c r="M4450" s="135"/>
      <c r="N4450" s="135"/>
      <c r="O4450" s="135"/>
      <c r="P4450" s="135"/>
      <c r="Q4450" s="135"/>
      <c r="R4450" s="135"/>
      <c r="S4450" s="135"/>
      <c r="T4450" s="135"/>
      <c r="U4450" s="135"/>
      <c r="V4450" s="135"/>
      <c r="W4450" s="135"/>
      <c r="X4450" s="135"/>
      <c r="Y4450" s="135"/>
      <c r="Z4450" s="135"/>
    </row>
    <row r="4451" spans="1:26" ht="25.5">
      <c r="A4451" s="136" t="s">
        <v>11</v>
      </c>
      <c r="B4451" s="136" t="s">
        <v>7971</v>
      </c>
      <c r="C4451" s="136" t="s">
        <v>7976</v>
      </c>
      <c r="D4451" s="136" t="s">
        <v>1665</v>
      </c>
      <c r="E4451" s="136" t="s">
        <v>615</v>
      </c>
      <c r="F4451" s="136">
        <v>428</v>
      </c>
      <c r="G4451" s="137">
        <f t="shared" si="17"/>
        <v>4</v>
      </c>
      <c r="H4451" s="137"/>
      <c r="I4451" s="137"/>
      <c r="J4451" s="135"/>
      <c r="K4451" s="135"/>
      <c r="L4451" s="135"/>
      <c r="M4451" s="135"/>
      <c r="N4451" s="135"/>
      <c r="O4451" s="135"/>
      <c r="P4451" s="135"/>
      <c r="Q4451" s="135"/>
      <c r="R4451" s="135"/>
      <c r="S4451" s="135"/>
      <c r="T4451" s="135"/>
      <c r="U4451" s="135"/>
      <c r="V4451" s="135"/>
      <c r="W4451" s="135"/>
      <c r="X4451" s="135"/>
      <c r="Y4451" s="135"/>
      <c r="Z4451" s="135"/>
    </row>
    <row r="4452" spans="1:26" ht="25.5">
      <c r="A4452" s="136" t="s">
        <v>11</v>
      </c>
      <c r="B4452" s="136" t="s">
        <v>7971</v>
      </c>
      <c r="C4452" s="136" t="s">
        <v>7976</v>
      </c>
      <c r="D4452" s="136" t="s">
        <v>131</v>
      </c>
      <c r="E4452" s="136" t="s">
        <v>594</v>
      </c>
      <c r="F4452" s="136">
        <v>223</v>
      </c>
      <c r="G4452" s="137">
        <f t="shared" si="17"/>
        <v>5</v>
      </c>
      <c r="H4452" s="137"/>
      <c r="I4452" s="137"/>
      <c r="J4452" s="135"/>
      <c r="K4452" s="135"/>
      <c r="L4452" s="135"/>
      <c r="M4452" s="135"/>
      <c r="N4452" s="135"/>
      <c r="O4452" s="135"/>
      <c r="P4452" s="135"/>
      <c r="Q4452" s="135"/>
      <c r="R4452" s="135"/>
      <c r="S4452" s="135"/>
      <c r="T4452" s="135"/>
      <c r="U4452" s="135"/>
      <c r="V4452" s="135"/>
      <c r="W4452" s="135"/>
      <c r="X4452" s="135"/>
      <c r="Y4452" s="135"/>
      <c r="Z4452" s="135"/>
    </row>
    <row r="4453" spans="1:26" ht="25.5">
      <c r="A4453" s="136" t="s">
        <v>11</v>
      </c>
      <c r="B4453" s="136" t="s">
        <v>7971</v>
      </c>
      <c r="C4453" s="136" t="s">
        <v>7976</v>
      </c>
      <c r="D4453" s="136" t="s">
        <v>1656</v>
      </c>
      <c r="E4453" s="136" t="s">
        <v>594</v>
      </c>
      <c r="F4453" s="136">
        <v>114</v>
      </c>
      <c r="G4453" s="137">
        <f t="shared" si="17"/>
        <v>6</v>
      </c>
      <c r="H4453" s="137"/>
      <c r="I4453" s="137"/>
      <c r="J4453" s="135"/>
      <c r="K4453" s="135"/>
      <c r="L4453" s="135"/>
      <c r="M4453" s="135"/>
      <c r="N4453" s="135"/>
      <c r="O4453" s="135"/>
      <c r="P4453" s="135"/>
      <c r="Q4453" s="135"/>
      <c r="R4453" s="135"/>
      <c r="S4453" s="135"/>
      <c r="T4453" s="135"/>
      <c r="U4453" s="135"/>
      <c r="V4453" s="135"/>
      <c r="W4453" s="135"/>
      <c r="X4453" s="135"/>
      <c r="Y4453" s="135"/>
      <c r="Z4453" s="135"/>
    </row>
    <row r="4454" spans="1:26" ht="25.5">
      <c r="A4454" s="136" t="s">
        <v>11</v>
      </c>
      <c r="B4454" s="136" t="s">
        <v>7971</v>
      </c>
      <c r="C4454" s="136" t="s">
        <v>7976</v>
      </c>
      <c r="D4454" s="136" t="s">
        <v>1626</v>
      </c>
      <c r="E4454" s="136" t="s">
        <v>594</v>
      </c>
      <c r="F4454" s="136">
        <v>113</v>
      </c>
      <c r="G4454" s="137">
        <f t="shared" si="17"/>
        <v>7</v>
      </c>
      <c r="H4454" s="137"/>
      <c r="I4454" s="137"/>
      <c r="J4454" s="135"/>
      <c r="K4454" s="135"/>
      <c r="L4454" s="135"/>
      <c r="M4454" s="135"/>
      <c r="N4454" s="135"/>
      <c r="O4454" s="135"/>
      <c r="P4454" s="135"/>
      <c r="Q4454" s="135"/>
      <c r="R4454" s="135"/>
      <c r="S4454" s="135"/>
      <c r="T4454" s="135"/>
      <c r="U4454" s="135"/>
      <c r="V4454" s="135"/>
      <c r="W4454" s="135"/>
      <c r="X4454" s="135"/>
      <c r="Y4454" s="135"/>
      <c r="Z4454" s="135"/>
    </row>
    <row r="4455" spans="1:26" ht="25.5">
      <c r="A4455" s="136" t="s">
        <v>11</v>
      </c>
      <c r="B4455" s="136" t="s">
        <v>7971</v>
      </c>
      <c r="C4455" s="136" t="s">
        <v>7976</v>
      </c>
      <c r="D4455" s="136" t="s">
        <v>7613</v>
      </c>
      <c r="E4455" s="136" t="s">
        <v>85</v>
      </c>
      <c r="F4455" s="136">
        <v>84</v>
      </c>
      <c r="G4455" s="137">
        <f t="shared" si="17"/>
        <v>8</v>
      </c>
      <c r="H4455" s="137"/>
      <c r="I4455" s="137"/>
      <c r="J4455" s="135"/>
      <c r="K4455" s="135"/>
      <c r="L4455" s="135"/>
      <c r="M4455" s="135"/>
      <c r="N4455" s="135"/>
      <c r="O4455" s="135"/>
      <c r="P4455" s="135"/>
      <c r="Q4455" s="135"/>
      <c r="R4455" s="135"/>
      <c r="S4455" s="135"/>
      <c r="T4455" s="135"/>
      <c r="U4455" s="135"/>
      <c r="V4455" s="135"/>
      <c r="W4455" s="135"/>
      <c r="X4455" s="135"/>
      <c r="Y4455" s="135"/>
      <c r="Z4455" s="135"/>
    </row>
    <row r="4456" spans="1:26" ht="25.5">
      <c r="A4456" s="136" t="s">
        <v>11</v>
      </c>
      <c r="B4456" s="136" t="s">
        <v>7971</v>
      </c>
      <c r="C4456" s="136" t="s">
        <v>7976</v>
      </c>
      <c r="D4456" s="136" t="s">
        <v>136</v>
      </c>
      <c r="E4456" s="136" t="s">
        <v>615</v>
      </c>
      <c r="F4456" s="136">
        <v>83</v>
      </c>
      <c r="G4456" s="137">
        <f t="shared" si="17"/>
        <v>9</v>
      </c>
      <c r="H4456" s="137"/>
      <c r="I4456" s="137"/>
      <c r="J4456" s="135"/>
      <c r="K4456" s="135"/>
      <c r="L4456" s="135"/>
      <c r="M4456" s="135"/>
      <c r="N4456" s="135"/>
      <c r="O4456" s="135"/>
      <c r="P4456" s="135"/>
      <c r="Q4456" s="135"/>
      <c r="R4456" s="135"/>
      <c r="S4456" s="135"/>
      <c r="T4456" s="135"/>
      <c r="U4456" s="135"/>
      <c r="V4456" s="135"/>
      <c r="W4456" s="135"/>
      <c r="X4456" s="135"/>
      <c r="Y4456" s="135"/>
      <c r="Z4456" s="135"/>
    </row>
    <row r="4457" spans="1:26" ht="25.5">
      <c r="A4457" s="136" t="s">
        <v>11</v>
      </c>
      <c r="B4457" s="136" t="s">
        <v>7971</v>
      </c>
      <c r="C4457" s="136" t="s">
        <v>7976</v>
      </c>
      <c r="D4457" s="136" t="s">
        <v>1659</v>
      </c>
      <c r="E4457" s="136" t="s">
        <v>615</v>
      </c>
      <c r="F4457" s="136">
        <v>72</v>
      </c>
      <c r="G4457" s="137">
        <f t="shared" si="17"/>
        <v>10</v>
      </c>
      <c r="H4457" s="137"/>
      <c r="I4457" s="137"/>
      <c r="J4457" s="135"/>
      <c r="K4457" s="135"/>
      <c r="L4457" s="135"/>
      <c r="M4457" s="135"/>
      <c r="N4457" s="135"/>
      <c r="O4457" s="135"/>
      <c r="P4457" s="135"/>
      <c r="Q4457" s="135"/>
      <c r="R4457" s="135"/>
      <c r="S4457" s="135"/>
      <c r="T4457" s="135"/>
      <c r="U4457" s="135"/>
      <c r="V4457" s="135"/>
      <c r="W4457" s="135"/>
      <c r="X4457" s="135"/>
      <c r="Y4457" s="135"/>
      <c r="Z4457" s="135"/>
    </row>
    <row r="4458" spans="1:26" ht="25.5">
      <c r="A4458" s="136" t="s">
        <v>11</v>
      </c>
      <c r="B4458" s="136" t="s">
        <v>7971</v>
      </c>
      <c r="C4458" s="136" t="s">
        <v>7976</v>
      </c>
      <c r="D4458" s="136" t="s">
        <v>103</v>
      </c>
      <c r="E4458" s="136" t="s">
        <v>594</v>
      </c>
      <c r="F4458" s="136">
        <v>72</v>
      </c>
      <c r="G4458" s="137">
        <f t="shared" si="17"/>
        <v>11</v>
      </c>
      <c r="H4458" s="137"/>
      <c r="I4458" s="137"/>
      <c r="J4458" s="135"/>
      <c r="K4458" s="135"/>
      <c r="L4458" s="135"/>
      <c r="M4458" s="135"/>
      <c r="N4458" s="135"/>
      <c r="O4458" s="135"/>
      <c r="P4458" s="135"/>
      <c r="Q4458" s="135"/>
      <c r="R4458" s="135"/>
      <c r="S4458" s="135"/>
      <c r="T4458" s="135"/>
      <c r="U4458" s="135"/>
      <c r="V4458" s="135"/>
      <c r="W4458" s="135"/>
      <c r="X4458" s="135"/>
      <c r="Y4458" s="135"/>
      <c r="Z4458" s="135"/>
    </row>
    <row r="4459" spans="1:26" ht="25.5">
      <c r="A4459" s="136" t="s">
        <v>11</v>
      </c>
      <c r="B4459" s="136" t="s">
        <v>7971</v>
      </c>
      <c r="C4459" s="136" t="s">
        <v>7976</v>
      </c>
      <c r="D4459" s="136" t="s">
        <v>1680</v>
      </c>
      <c r="E4459" s="136" t="s">
        <v>615</v>
      </c>
      <c r="F4459" s="136">
        <v>63</v>
      </c>
      <c r="G4459" s="137">
        <f t="shared" si="17"/>
        <v>12</v>
      </c>
      <c r="H4459" s="137"/>
      <c r="I4459" s="137"/>
      <c r="J4459" s="135"/>
      <c r="K4459" s="135"/>
      <c r="L4459" s="135"/>
      <c r="M4459" s="135"/>
      <c r="N4459" s="135"/>
      <c r="O4459" s="135"/>
      <c r="P4459" s="135"/>
      <c r="Q4459" s="135"/>
      <c r="R4459" s="135"/>
      <c r="S4459" s="135"/>
      <c r="T4459" s="135"/>
      <c r="U4459" s="135"/>
      <c r="V4459" s="135"/>
      <c r="W4459" s="135"/>
      <c r="X4459" s="135"/>
      <c r="Y4459" s="135"/>
      <c r="Z4459" s="135"/>
    </row>
    <row r="4460" spans="1:26" ht="25.5">
      <c r="A4460" s="136" t="s">
        <v>11</v>
      </c>
      <c r="B4460" s="136" t="s">
        <v>7971</v>
      </c>
      <c r="C4460" s="136" t="s">
        <v>7976</v>
      </c>
      <c r="D4460" s="136" t="s">
        <v>288</v>
      </c>
      <c r="E4460" s="136" t="s">
        <v>615</v>
      </c>
      <c r="F4460" s="136">
        <v>61</v>
      </c>
      <c r="G4460" s="137">
        <f t="shared" si="17"/>
        <v>13</v>
      </c>
      <c r="H4460" s="137"/>
      <c r="I4460" s="137"/>
      <c r="J4460" s="135"/>
      <c r="K4460" s="135"/>
      <c r="L4460" s="135"/>
      <c r="M4460" s="135"/>
      <c r="N4460" s="135"/>
      <c r="O4460" s="135"/>
      <c r="P4460" s="135"/>
      <c r="Q4460" s="135"/>
      <c r="R4460" s="135"/>
      <c r="S4460" s="135"/>
      <c r="T4460" s="135"/>
      <c r="U4460" s="135"/>
      <c r="V4460" s="135"/>
      <c r="W4460" s="135"/>
      <c r="X4460" s="135"/>
      <c r="Y4460" s="135"/>
      <c r="Z4460" s="135"/>
    </row>
    <row r="4461" spans="1:26" ht="25.5">
      <c r="A4461" s="136" t="s">
        <v>11</v>
      </c>
      <c r="B4461" s="136" t="s">
        <v>7971</v>
      </c>
      <c r="C4461" s="136" t="s">
        <v>7976</v>
      </c>
      <c r="D4461" s="136" t="s">
        <v>368</v>
      </c>
      <c r="E4461" s="136" t="s">
        <v>594</v>
      </c>
      <c r="F4461" s="136">
        <v>48</v>
      </c>
      <c r="G4461" s="137">
        <f t="shared" si="17"/>
        <v>14</v>
      </c>
      <c r="H4461" s="137"/>
      <c r="I4461" s="137"/>
      <c r="J4461" s="135"/>
      <c r="K4461" s="135"/>
      <c r="L4461" s="135"/>
      <c r="M4461" s="135"/>
      <c r="N4461" s="135"/>
      <c r="O4461" s="135"/>
      <c r="P4461" s="135"/>
      <c r="Q4461" s="135"/>
      <c r="R4461" s="135"/>
      <c r="S4461" s="135"/>
      <c r="T4461" s="135"/>
      <c r="U4461" s="135"/>
      <c r="V4461" s="135"/>
      <c r="W4461" s="135"/>
      <c r="X4461" s="135"/>
      <c r="Y4461" s="135"/>
      <c r="Z4461" s="135"/>
    </row>
    <row r="4462" spans="1:26" ht="25.5">
      <c r="A4462" s="136" t="s">
        <v>11</v>
      </c>
      <c r="B4462" s="136" t="s">
        <v>7971</v>
      </c>
      <c r="C4462" s="136" t="s">
        <v>7976</v>
      </c>
      <c r="D4462" s="136" t="s">
        <v>7657</v>
      </c>
      <c r="E4462" s="136" t="s">
        <v>85</v>
      </c>
      <c r="F4462" s="136">
        <v>46</v>
      </c>
      <c r="G4462" s="137">
        <f t="shared" si="17"/>
        <v>15</v>
      </c>
      <c r="H4462" s="137"/>
      <c r="I4462" s="137"/>
      <c r="J4462" s="135"/>
      <c r="K4462" s="135"/>
      <c r="L4462" s="135"/>
      <c r="M4462" s="135"/>
      <c r="N4462" s="135"/>
      <c r="O4462" s="135"/>
      <c r="P4462" s="135"/>
      <c r="Q4462" s="135"/>
      <c r="R4462" s="135"/>
      <c r="S4462" s="135"/>
      <c r="T4462" s="135"/>
      <c r="U4462" s="135"/>
      <c r="V4462" s="135"/>
      <c r="W4462" s="135"/>
      <c r="X4462" s="135"/>
      <c r="Y4462" s="135"/>
      <c r="Z4462" s="135"/>
    </row>
    <row r="4463" spans="1:26" ht="25.5">
      <c r="A4463" s="136" t="s">
        <v>11</v>
      </c>
      <c r="B4463" s="136" t="s">
        <v>7971</v>
      </c>
      <c r="C4463" s="136" t="s">
        <v>7976</v>
      </c>
      <c r="D4463" s="136" t="s">
        <v>1682</v>
      </c>
      <c r="E4463" s="136" t="s">
        <v>86</v>
      </c>
      <c r="F4463" s="136">
        <v>17</v>
      </c>
      <c r="G4463" s="137">
        <f t="shared" si="17"/>
        <v>16</v>
      </c>
      <c r="H4463" s="137"/>
      <c r="I4463" s="137"/>
      <c r="J4463" s="135"/>
      <c r="K4463" s="135"/>
      <c r="L4463" s="135"/>
      <c r="M4463" s="135"/>
      <c r="N4463" s="135"/>
      <c r="O4463" s="135"/>
      <c r="P4463" s="135"/>
      <c r="Q4463" s="135"/>
      <c r="R4463" s="135"/>
      <c r="S4463" s="135"/>
      <c r="T4463" s="135"/>
      <c r="U4463" s="135"/>
      <c r="V4463" s="135"/>
      <c r="W4463" s="135"/>
      <c r="X4463" s="135"/>
      <c r="Y4463" s="135"/>
      <c r="Z4463" s="135"/>
    </row>
    <row r="4464" spans="1:26" ht="25.5">
      <c r="A4464" s="136" t="s">
        <v>11</v>
      </c>
      <c r="B4464" s="136" t="s">
        <v>7971</v>
      </c>
      <c r="C4464" s="136" t="s">
        <v>7978</v>
      </c>
      <c r="D4464" s="136" t="s">
        <v>1604</v>
      </c>
      <c r="E4464" s="136" t="s">
        <v>615</v>
      </c>
      <c r="F4464" s="136">
        <v>1630</v>
      </c>
      <c r="G4464" s="137">
        <f t="shared" si="17"/>
        <v>1</v>
      </c>
      <c r="H4464" s="137"/>
      <c r="I4464" s="137"/>
      <c r="J4464" s="135"/>
      <c r="K4464" s="135"/>
      <c r="L4464" s="135"/>
      <c r="M4464" s="135"/>
      <c r="N4464" s="135"/>
      <c r="O4464" s="135"/>
      <c r="P4464" s="135"/>
      <c r="Q4464" s="135"/>
      <c r="R4464" s="135"/>
      <c r="S4464" s="135"/>
      <c r="T4464" s="135"/>
      <c r="U4464" s="135"/>
      <c r="V4464" s="135"/>
      <c r="W4464" s="135"/>
      <c r="X4464" s="135"/>
      <c r="Y4464" s="135"/>
      <c r="Z4464" s="135"/>
    </row>
    <row r="4465" spans="1:26" ht="25.5">
      <c r="A4465" s="136" t="s">
        <v>11</v>
      </c>
      <c r="B4465" s="136" t="s">
        <v>7971</v>
      </c>
      <c r="C4465" s="136" t="s">
        <v>7978</v>
      </c>
      <c r="D4465" s="136" t="s">
        <v>1669</v>
      </c>
      <c r="E4465" s="136" t="s">
        <v>615</v>
      </c>
      <c r="F4465" s="136">
        <v>1450</v>
      </c>
      <c r="G4465" s="137">
        <f t="shared" si="17"/>
        <v>2</v>
      </c>
      <c r="H4465" s="137"/>
      <c r="I4465" s="137"/>
      <c r="J4465" s="135"/>
      <c r="K4465" s="135"/>
      <c r="L4465" s="135"/>
      <c r="M4465" s="135"/>
      <c r="N4465" s="135"/>
      <c r="O4465" s="135"/>
      <c r="P4465" s="135"/>
      <c r="Q4465" s="135"/>
      <c r="R4465" s="135"/>
      <c r="S4465" s="135"/>
      <c r="T4465" s="135"/>
      <c r="U4465" s="135"/>
      <c r="V4465" s="135"/>
      <c r="W4465" s="135"/>
      <c r="X4465" s="135"/>
      <c r="Y4465" s="135"/>
      <c r="Z4465" s="135"/>
    </row>
    <row r="4466" spans="1:26" ht="25.5">
      <c r="A4466" s="136" t="s">
        <v>11</v>
      </c>
      <c r="B4466" s="136" t="s">
        <v>7971</v>
      </c>
      <c r="C4466" s="136" t="s">
        <v>7978</v>
      </c>
      <c r="D4466" s="136" t="s">
        <v>288</v>
      </c>
      <c r="E4466" s="136" t="s">
        <v>615</v>
      </c>
      <c r="F4466" s="136">
        <v>1253</v>
      </c>
      <c r="G4466" s="137">
        <f t="shared" si="17"/>
        <v>3</v>
      </c>
      <c r="H4466" s="137"/>
      <c r="I4466" s="137"/>
      <c r="J4466" s="135"/>
      <c r="K4466" s="135"/>
      <c r="L4466" s="135"/>
      <c r="M4466" s="135"/>
      <c r="N4466" s="135"/>
      <c r="O4466" s="135"/>
      <c r="P4466" s="135"/>
      <c r="Q4466" s="135"/>
      <c r="R4466" s="135"/>
      <c r="S4466" s="135"/>
      <c r="T4466" s="135"/>
      <c r="U4466" s="135"/>
      <c r="V4466" s="135"/>
      <c r="W4466" s="135"/>
      <c r="X4466" s="135"/>
      <c r="Y4466" s="135"/>
      <c r="Z4466" s="135"/>
    </row>
    <row r="4467" spans="1:26" ht="25.5">
      <c r="A4467" s="136" t="s">
        <v>11</v>
      </c>
      <c r="B4467" s="136" t="s">
        <v>7971</v>
      </c>
      <c r="C4467" s="136" t="s">
        <v>7978</v>
      </c>
      <c r="D4467" s="136" t="s">
        <v>139</v>
      </c>
      <c r="E4467" s="136" t="s">
        <v>594</v>
      </c>
      <c r="F4467" s="136">
        <v>1121</v>
      </c>
      <c r="G4467" s="137">
        <f t="shared" si="17"/>
        <v>4</v>
      </c>
      <c r="H4467" s="137"/>
      <c r="I4467" s="137"/>
      <c r="J4467" s="135"/>
      <c r="K4467" s="135"/>
      <c r="L4467" s="135"/>
      <c r="M4467" s="135"/>
      <c r="N4467" s="135"/>
      <c r="O4467" s="135"/>
      <c r="P4467" s="135"/>
      <c r="Q4467" s="135"/>
      <c r="R4467" s="135"/>
      <c r="S4467" s="135"/>
      <c r="T4467" s="135"/>
      <c r="U4467" s="135"/>
      <c r="V4467" s="135"/>
      <c r="W4467" s="135"/>
      <c r="X4467" s="135"/>
      <c r="Y4467" s="135"/>
      <c r="Z4467" s="135"/>
    </row>
    <row r="4468" spans="1:26" ht="25.5">
      <c r="A4468" s="136" t="s">
        <v>11</v>
      </c>
      <c r="B4468" s="136" t="s">
        <v>7971</v>
      </c>
      <c r="C4468" s="136" t="s">
        <v>7978</v>
      </c>
      <c r="D4468" s="136" t="s">
        <v>103</v>
      </c>
      <c r="E4468" s="136" t="s">
        <v>594</v>
      </c>
      <c r="F4468" s="136">
        <v>530</v>
      </c>
      <c r="G4468" s="137">
        <f t="shared" si="17"/>
        <v>5</v>
      </c>
      <c r="H4468" s="137"/>
      <c r="I4468" s="137"/>
      <c r="J4468" s="135"/>
      <c r="K4468" s="135"/>
      <c r="L4468" s="135"/>
      <c r="M4468" s="135"/>
      <c r="N4468" s="135"/>
      <c r="O4468" s="135"/>
      <c r="P4468" s="135"/>
      <c r="Q4468" s="135"/>
      <c r="R4468" s="135"/>
      <c r="S4468" s="135"/>
      <c r="T4468" s="135"/>
      <c r="U4468" s="135"/>
      <c r="V4468" s="135"/>
      <c r="W4468" s="135"/>
      <c r="X4468" s="135"/>
      <c r="Y4468" s="135"/>
      <c r="Z4468" s="135"/>
    </row>
    <row r="4469" spans="1:26" ht="25.5">
      <c r="A4469" s="136" t="s">
        <v>11</v>
      </c>
      <c r="B4469" s="136" t="s">
        <v>7971</v>
      </c>
      <c r="C4469" s="136" t="s">
        <v>7978</v>
      </c>
      <c r="D4469" s="136" t="s">
        <v>7650</v>
      </c>
      <c r="E4469" s="136" t="s">
        <v>85</v>
      </c>
      <c r="F4469" s="136">
        <v>352</v>
      </c>
      <c r="G4469" s="137">
        <f t="shared" si="17"/>
        <v>6</v>
      </c>
      <c r="H4469" s="137"/>
      <c r="I4469" s="137"/>
      <c r="J4469" s="135"/>
      <c r="K4469" s="135"/>
      <c r="L4469" s="135"/>
      <c r="M4469" s="135"/>
      <c r="N4469" s="135"/>
      <c r="O4469" s="135"/>
      <c r="P4469" s="135"/>
      <c r="Q4469" s="135"/>
      <c r="R4469" s="135"/>
      <c r="S4469" s="135"/>
      <c r="T4469" s="135"/>
      <c r="U4469" s="135"/>
      <c r="V4469" s="135"/>
      <c r="W4469" s="135"/>
      <c r="X4469" s="135"/>
      <c r="Y4469" s="135"/>
      <c r="Z4469" s="135"/>
    </row>
    <row r="4470" spans="1:26" ht="25.5">
      <c r="A4470" s="136" t="s">
        <v>11</v>
      </c>
      <c r="B4470" s="136" t="s">
        <v>7971</v>
      </c>
      <c r="C4470" s="136" t="s">
        <v>7978</v>
      </c>
      <c r="D4470" s="136" t="s">
        <v>1674</v>
      </c>
      <c r="E4470" s="136" t="s">
        <v>615</v>
      </c>
      <c r="F4470" s="136">
        <v>285</v>
      </c>
      <c r="G4470" s="137">
        <f t="shared" si="17"/>
        <v>7</v>
      </c>
      <c r="H4470" s="137"/>
      <c r="I4470" s="137"/>
      <c r="J4470" s="135"/>
      <c r="K4470" s="135"/>
      <c r="L4470" s="135"/>
      <c r="M4470" s="135"/>
      <c r="N4470" s="135"/>
      <c r="O4470" s="135"/>
      <c r="P4470" s="135"/>
      <c r="Q4470" s="135"/>
      <c r="R4470" s="135"/>
      <c r="S4470" s="135"/>
      <c r="T4470" s="135"/>
      <c r="U4470" s="135"/>
      <c r="V4470" s="135"/>
      <c r="W4470" s="135"/>
      <c r="X4470" s="135"/>
      <c r="Y4470" s="135"/>
      <c r="Z4470" s="135"/>
    </row>
    <row r="4471" spans="1:26" ht="25.5">
      <c r="A4471" s="136" t="s">
        <v>11</v>
      </c>
      <c r="B4471" s="136" t="s">
        <v>7971</v>
      </c>
      <c r="C4471" s="136" t="s">
        <v>7978</v>
      </c>
      <c r="D4471" s="136" t="s">
        <v>7979</v>
      </c>
      <c r="E4471" s="136" t="s">
        <v>85</v>
      </c>
      <c r="F4471" s="136">
        <v>280</v>
      </c>
      <c r="G4471" s="137">
        <f t="shared" si="17"/>
        <v>8</v>
      </c>
      <c r="H4471" s="137"/>
      <c r="I4471" s="137"/>
      <c r="J4471" s="135"/>
      <c r="K4471" s="135"/>
      <c r="L4471" s="135"/>
      <c r="M4471" s="135"/>
      <c r="N4471" s="135"/>
      <c r="O4471" s="135"/>
      <c r="P4471" s="135"/>
      <c r="Q4471" s="135"/>
      <c r="R4471" s="135"/>
      <c r="S4471" s="135"/>
      <c r="T4471" s="135"/>
      <c r="U4471" s="135"/>
      <c r="V4471" s="135"/>
      <c r="W4471" s="135"/>
      <c r="X4471" s="135"/>
      <c r="Y4471" s="135"/>
      <c r="Z4471" s="135"/>
    </row>
    <row r="4472" spans="1:26" ht="25.5">
      <c r="A4472" s="136" t="s">
        <v>11</v>
      </c>
      <c r="B4472" s="136" t="s">
        <v>7971</v>
      </c>
      <c r="C4472" s="136" t="s">
        <v>7978</v>
      </c>
      <c r="D4472" s="136" t="s">
        <v>165</v>
      </c>
      <c r="E4472" s="136" t="s">
        <v>615</v>
      </c>
      <c r="F4472" s="136">
        <v>146</v>
      </c>
      <c r="G4472" s="137">
        <f t="shared" si="17"/>
        <v>9</v>
      </c>
      <c r="H4472" s="137"/>
      <c r="I4472" s="137"/>
      <c r="J4472" s="135"/>
      <c r="K4472" s="135"/>
      <c r="L4472" s="135"/>
      <c r="M4472" s="135"/>
      <c r="N4472" s="135"/>
      <c r="O4472" s="135"/>
      <c r="P4472" s="135"/>
      <c r="Q4472" s="135"/>
      <c r="R4472" s="135"/>
      <c r="S4472" s="135"/>
      <c r="T4472" s="135"/>
      <c r="U4472" s="135"/>
      <c r="V4472" s="135"/>
      <c r="W4472" s="135"/>
      <c r="X4472" s="135"/>
      <c r="Y4472" s="135"/>
      <c r="Z4472" s="135"/>
    </row>
    <row r="4473" spans="1:26" ht="25.5">
      <c r="A4473" s="136" t="s">
        <v>11</v>
      </c>
      <c r="B4473" s="136" t="s">
        <v>7971</v>
      </c>
      <c r="C4473" s="136" t="s">
        <v>7978</v>
      </c>
      <c r="D4473" s="136" t="s">
        <v>131</v>
      </c>
      <c r="E4473" s="136" t="s">
        <v>594</v>
      </c>
      <c r="F4473" s="136">
        <v>90</v>
      </c>
      <c r="G4473" s="137">
        <f t="shared" si="17"/>
        <v>10</v>
      </c>
      <c r="H4473" s="137"/>
      <c r="I4473" s="137"/>
      <c r="J4473" s="135"/>
      <c r="K4473" s="135"/>
      <c r="L4473" s="135"/>
      <c r="M4473" s="135"/>
      <c r="N4473" s="135"/>
      <c r="O4473" s="135"/>
      <c r="P4473" s="135"/>
      <c r="Q4473" s="135"/>
      <c r="R4473" s="135"/>
      <c r="S4473" s="135"/>
      <c r="T4473" s="135"/>
      <c r="U4473" s="135"/>
      <c r="V4473" s="135"/>
      <c r="W4473" s="135"/>
      <c r="X4473" s="135"/>
      <c r="Y4473" s="135"/>
      <c r="Z4473" s="135"/>
    </row>
    <row r="4474" spans="1:26" ht="25.5">
      <c r="A4474" s="136" t="s">
        <v>11</v>
      </c>
      <c r="B4474" s="136" t="s">
        <v>7971</v>
      </c>
      <c r="C4474" s="136" t="s">
        <v>7978</v>
      </c>
      <c r="D4474" s="136" t="s">
        <v>1626</v>
      </c>
      <c r="E4474" s="136" t="s">
        <v>594</v>
      </c>
      <c r="F4474" s="136">
        <v>85</v>
      </c>
      <c r="G4474" s="137">
        <f t="shared" si="17"/>
        <v>11</v>
      </c>
      <c r="H4474" s="137"/>
      <c r="I4474" s="137"/>
      <c r="J4474" s="135"/>
      <c r="K4474" s="135"/>
      <c r="L4474" s="135"/>
      <c r="M4474" s="135"/>
      <c r="N4474" s="135"/>
      <c r="O4474" s="135"/>
      <c r="P4474" s="135"/>
      <c r="Q4474" s="135"/>
      <c r="R4474" s="135"/>
      <c r="S4474" s="135"/>
      <c r="T4474" s="135"/>
      <c r="U4474" s="135"/>
      <c r="V4474" s="135"/>
      <c r="W4474" s="135"/>
      <c r="X4474" s="135"/>
      <c r="Y4474" s="135"/>
      <c r="Z4474" s="135"/>
    </row>
    <row r="4475" spans="1:26" ht="25.5">
      <c r="A4475" s="136" t="s">
        <v>11</v>
      </c>
      <c r="B4475" s="136" t="s">
        <v>7971</v>
      </c>
      <c r="C4475" s="136" t="s">
        <v>7978</v>
      </c>
      <c r="D4475" s="136" t="s">
        <v>1659</v>
      </c>
      <c r="E4475" s="136" t="s">
        <v>615</v>
      </c>
      <c r="F4475" s="136">
        <v>62</v>
      </c>
      <c r="G4475" s="137">
        <f t="shared" si="17"/>
        <v>12</v>
      </c>
      <c r="H4475" s="137"/>
      <c r="I4475" s="137"/>
      <c r="J4475" s="135"/>
      <c r="K4475" s="135"/>
      <c r="L4475" s="135"/>
      <c r="M4475" s="135"/>
      <c r="N4475" s="135"/>
      <c r="O4475" s="135"/>
      <c r="P4475" s="135"/>
      <c r="Q4475" s="135"/>
      <c r="R4475" s="135"/>
      <c r="S4475" s="135"/>
      <c r="T4475" s="135"/>
      <c r="U4475" s="135"/>
      <c r="V4475" s="135"/>
      <c r="W4475" s="135"/>
      <c r="X4475" s="135"/>
      <c r="Y4475" s="135"/>
      <c r="Z4475" s="135"/>
    </row>
    <row r="4476" spans="1:26" ht="25.5">
      <c r="A4476" s="136" t="s">
        <v>11</v>
      </c>
      <c r="B4476" s="136" t="s">
        <v>7971</v>
      </c>
      <c r="C4476" s="136" t="s">
        <v>7978</v>
      </c>
      <c r="D4476" s="136" t="s">
        <v>1677</v>
      </c>
      <c r="E4476" s="136" t="s">
        <v>594</v>
      </c>
      <c r="F4476" s="136">
        <v>45</v>
      </c>
      <c r="G4476" s="137">
        <f t="shared" si="17"/>
        <v>13</v>
      </c>
      <c r="H4476" s="137"/>
      <c r="I4476" s="137"/>
      <c r="J4476" s="135"/>
      <c r="K4476" s="135"/>
      <c r="L4476" s="135"/>
      <c r="M4476" s="135"/>
      <c r="N4476" s="135"/>
      <c r="O4476" s="135"/>
      <c r="P4476" s="135"/>
      <c r="Q4476" s="135"/>
      <c r="R4476" s="135"/>
      <c r="S4476" s="135"/>
      <c r="T4476" s="135"/>
      <c r="U4476" s="135"/>
      <c r="V4476" s="135"/>
      <c r="W4476" s="135"/>
      <c r="X4476" s="135"/>
      <c r="Y4476" s="135"/>
      <c r="Z4476" s="135"/>
    </row>
    <row r="4477" spans="1:26" ht="25.5">
      <c r="A4477" s="136" t="s">
        <v>11</v>
      </c>
      <c r="B4477" s="136" t="s">
        <v>7971</v>
      </c>
      <c r="C4477" s="136" t="s">
        <v>7978</v>
      </c>
      <c r="D4477" s="136" t="s">
        <v>1665</v>
      </c>
      <c r="E4477" s="136" t="s">
        <v>615</v>
      </c>
      <c r="F4477" s="136">
        <v>45</v>
      </c>
      <c r="G4477" s="137">
        <f t="shared" si="17"/>
        <v>14</v>
      </c>
      <c r="H4477" s="137"/>
      <c r="I4477" s="137"/>
      <c r="J4477" s="135"/>
      <c r="K4477" s="135"/>
      <c r="L4477" s="135"/>
      <c r="M4477" s="135"/>
      <c r="N4477" s="135"/>
      <c r="O4477" s="135"/>
      <c r="P4477" s="135"/>
      <c r="Q4477" s="135"/>
      <c r="R4477" s="135"/>
      <c r="S4477" s="135"/>
      <c r="T4477" s="135"/>
      <c r="U4477" s="135"/>
      <c r="V4477" s="135"/>
      <c r="W4477" s="135"/>
      <c r="X4477" s="135"/>
      <c r="Y4477" s="135"/>
      <c r="Z4477" s="135"/>
    </row>
    <row r="4478" spans="1:26" ht="25.5">
      <c r="A4478" s="136" t="s">
        <v>11</v>
      </c>
      <c r="B4478" s="136" t="s">
        <v>7971</v>
      </c>
      <c r="C4478" s="136" t="s">
        <v>7978</v>
      </c>
      <c r="D4478" s="136" t="s">
        <v>1680</v>
      </c>
      <c r="E4478" s="136" t="s">
        <v>615</v>
      </c>
      <c r="F4478" s="136">
        <v>45</v>
      </c>
      <c r="G4478" s="137">
        <f t="shared" si="17"/>
        <v>15</v>
      </c>
      <c r="H4478" s="137"/>
      <c r="I4478" s="137"/>
      <c r="J4478" s="135"/>
      <c r="K4478" s="135"/>
      <c r="L4478" s="135"/>
      <c r="M4478" s="135"/>
      <c r="N4478" s="135"/>
      <c r="O4478" s="135"/>
      <c r="P4478" s="135"/>
      <c r="Q4478" s="135"/>
      <c r="R4478" s="135"/>
      <c r="S4478" s="135"/>
      <c r="T4478" s="135"/>
      <c r="U4478" s="135"/>
      <c r="V4478" s="135"/>
      <c r="W4478" s="135"/>
      <c r="X4478" s="135"/>
      <c r="Y4478" s="135"/>
      <c r="Z4478" s="135"/>
    </row>
    <row r="4479" spans="1:26" ht="25.5">
      <c r="A4479" s="136" t="s">
        <v>11</v>
      </c>
      <c r="B4479" s="136" t="s">
        <v>7971</v>
      </c>
      <c r="C4479" s="136" t="s">
        <v>7978</v>
      </c>
      <c r="D4479" s="136" t="s">
        <v>136</v>
      </c>
      <c r="E4479" s="136" t="s">
        <v>615</v>
      </c>
      <c r="F4479" s="136">
        <v>44</v>
      </c>
      <c r="G4479" s="137">
        <f t="shared" si="17"/>
        <v>16</v>
      </c>
      <c r="H4479" s="137"/>
      <c r="I4479" s="137"/>
      <c r="J4479" s="135"/>
      <c r="K4479" s="135"/>
      <c r="L4479" s="135"/>
      <c r="M4479" s="135"/>
      <c r="N4479" s="135"/>
      <c r="O4479" s="135"/>
      <c r="P4479" s="135"/>
      <c r="Q4479" s="135"/>
      <c r="R4479" s="135"/>
      <c r="S4479" s="135"/>
      <c r="T4479" s="135"/>
      <c r="U4479" s="135"/>
      <c r="V4479" s="135"/>
      <c r="W4479" s="135"/>
      <c r="X4479" s="135"/>
      <c r="Y4479" s="135"/>
      <c r="Z4479" s="135"/>
    </row>
    <row r="4480" spans="1:26" ht="25.5">
      <c r="A4480" s="136" t="s">
        <v>11</v>
      </c>
      <c r="B4480" s="136" t="s">
        <v>7971</v>
      </c>
      <c r="C4480" s="136" t="s">
        <v>7978</v>
      </c>
      <c r="D4480" s="136" t="s">
        <v>437</v>
      </c>
      <c r="E4480" s="136" t="s">
        <v>594</v>
      </c>
      <c r="F4480" s="136">
        <v>35</v>
      </c>
      <c r="G4480" s="137">
        <f t="shared" si="17"/>
        <v>17</v>
      </c>
      <c r="H4480" s="137"/>
      <c r="I4480" s="137"/>
      <c r="J4480" s="135"/>
      <c r="K4480" s="135"/>
      <c r="L4480" s="135"/>
      <c r="M4480" s="135"/>
      <c r="N4480" s="135"/>
      <c r="O4480" s="135"/>
      <c r="P4480" s="135"/>
      <c r="Q4480" s="135"/>
      <c r="R4480" s="135"/>
      <c r="S4480" s="135"/>
      <c r="T4480" s="135"/>
      <c r="U4480" s="135"/>
      <c r="V4480" s="135"/>
      <c r="W4480" s="135"/>
      <c r="X4480" s="135"/>
      <c r="Y4480" s="135"/>
      <c r="Z4480" s="135"/>
    </row>
    <row r="4481" spans="1:26" ht="25.5">
      <c r="A4481" s="136" t="s">
        <v>11</v>
      </c>
      <c r="B4481" s="136" t="s">
        <v>7971</v>
      </c>
      <c r="C4481" s="136" t="s">
        <v>7978</v>
      </c>
      <c r="D4481" s="136" t="s">
        <v>1656</v>
      </c>
      <c r="E4481" s="136" t="s">
        <v>594</v>
      </c>
      <c r="F4481" s="136">
        <v>35</v>
      </c>
      <c r="G4481" s="137">
        <f t="shared" si="17"/>
        <v>18</v>
      </c>
      <c r="H4481" s="137"/>
      <c r="I4481" s="137"/>
      <c r="J4481" s="135"/>
      <c r="K4481" s="135"/>
      <c r="L4481" s="135"/>
      <c r="M4481" s="135"/>
      <c r="N4481" s="135"/>
      <c r="O4481" s="135"/>
      <c r="P4481" s="135"/>
      <c r="Q4481" s="135"/>
      <c r="R4481" s="135"/>
      <c r="S4481" s="135"/>
      <c r="T4481" s="135"/>
      <c r="U4481" s="135"/>
      <c r="V4481" s="135"/>
      <c r="W4481" s="135"/>
      <c r="X4481" s="135"/>
      <c r="Y4481" s="135"/>
      <c r="Z4481" s="135"/>
    </row>
    <row r="4482" spans="1:26" ht="25.5">
      <c r="A4482" s="136" t="s">
        <v>11</v>
      </c>
      <c r="B4482" s="136" t="s">
        <v>7971</v>
      </c>
      <c r="C4482" s="136" t="s">
        <v>7978</v>
      </c>
      <c r="D4482" s="136" t="s">
        <v>213</v>
      </c>
      <c r="E4482" s="136" t="s">
        <v>615</v>
      </c>
      <c r="F4482" s="136">
        <v>28</v>
      </c>
      <c r="G4482" s="137">
        <f t="shared" si="17"/>
        <v>19</v>
      </c>
      <c r="H4482" s="137"/>
      <c r="I4482" s="137"/>
      <c r="J4482" s="135"/>
      <c r="K4482" s="135"/>
      <c r="L4482" s="135"/>
      <c r="M4482" s="135"/>
      <c r="N4482" s="135"/>
      <c r="O4482" s="135"/>
      <c r="P4482" s="135"/>
      <c r="Q4482" s="135"/>
      <c r="R4482" s="135"/>
      <c r="S4482" s="135"/>
      <c r="T4482" s="135"/>
      <c r="U4482" s="135"/>
      <c r="V4482" s="135"/>
      <c r="W4482" s="135"/>
      <c r="X4482" s="135"/>
      <c r="Y4482" s="135"/>
      <c r="Z4482" s="135"/>
    </row>
    <row r="4483" spans="1:26" ht="25.5">
      <c r="A4483" s="136" t="s">
        <v>11</v>
      </c>
      <c r="B4483" s="136" t="s">
        <v>7971</v>
      </c>
      <c r="C4483" s="136" t="s">
        <v>7978</v>
      </c>
      <c r="D4483" s="136" t="s">
        <v>7937</v>
      </c>
      <c r="E4483" s="136" t="s">
        <v>86</v>
      </c>
      <c r="F4483" s="136">
        <v>24</v>
      </c>
      <c r="G4483" s="137">
        <f t="shared" si="17"/>
        <v>20</v>
      </c>
      <c r="H4483" s="137"/>
      <c r="I4483" s="137"/>
      <c r="J4483" s="135"/>
      <c r="K4483" s="135"/>
      <c r="L4483" s="135"/>
      <c r="M4483" s="135"/>
      <c r="N4483" s="135"/>
      <c r="O4483" s="135"/>
      <c r="P4483" s="135"/>
      <c r="Q4483" s="135"/>
      <c r="R4483" s="135"/>
      <c r="S4483" s="135"/>
      <c r="T4483" s="135"/>
      <c r="U4483" s="135"/>
      <c r="V4483" s="135"/>
      <c r="W4483" s="135"/>
      <c r="X4483" s="135"/>
      <c r="Y4483" s="135"/>
      <c r="Z4483" s="135"/>
    </row>
    <row r="4484" spans="1:26" ht="25.5">
      <c r="A4484" s="136" t="s">
        <v>11</v>
      </c>
      <c r="B4484" s="136" t="s">
        <v>7971</v>
      </c>
      <c r="C4484" s="136" t="s">
        <v>7978</v>
      </c>
      <c r="D4484" s="136" t="s">
        <v>7938</v>
      </c>
      <c r="E4484" s="136" t="s">
        <v>615</v>
      </c>
      <c r="F4484" s="136">
        <v>23</v>
      </c>
      <c r="G4484" s="137">
        <f t="shared" si="17"/>
        <v>21</v>
      </c>
      <c r="H4484" s="137"/>
      <c r="I4484" s="137"/>
      <c r="J4484" s="135"/>
      <c r="K4484" s="135"/>
      <c r="L4484" s="135"/>
      <c r="M4484" s="135"/>
      <c r="N4484" s="135"/>
      <c r="O4484" s="135"/>
      <c r="P4484" s="135"/>
      <c r="Q4484" s="135"/>
      <c r="R4484" s="135"/>
      <c r="S4484" s="135"/>
      <c r="T4484" s="135"/>
      <c r="U4484" s="135"/>
      <c r="V4484" s="135"/>
      <c r="W4484" s="135"/>
      <c r="X4484" s="135"/>
      <c r="Y4484" s="135"/>
      <c r="Z4484" s="135"/>
    </row>
    <row r="4485" spans="1:26" ht="25.5">
      <c r="A4485" s="136" t="s">
        <v>11</v>
      </c>
      <c r="B4485" s="136" t="s">
        <v>7971</v>
      </c>
      <c r="C4485" s="136" t="s">
        <v>7978</v>
      </c>
      <c r="D4485" s="136" t="s">
        <v>1666</v>
      </c>
      <c r="E4485" s="136" t="s">
        <v>85</v>
      </c>
      <c r="F4485" s="136">
        <v>23</v>
      </c>
      <c r="G4485" s="137">
        <f t="shared" si="17"/>
        <v>22</v>
      </c>
      <c r="H4485" s="137"/>
      <c r="I4485" s="137"/>
      <c r="J4485" s="135"/>
      <c r="K4485" s="135"/>
      <c r="L4485" s="135"/>
      <c r="M4485" s="135"/>
      <c r="N4485" s="135"/>
      <c r="O4485" s="135"/>
      <c r="P4485" s="135"/>
      <c r="Q4485" s="135"/>
      <c r="R4485" s="135"/>
      <c r="S4485" s="135"/>
      <c r="T4485" s="135"/>
      <c r="U4485" s="135"/>
      <c r="V4485" s="135"/>
      <c r="W4485" s="135"/>
      <c r="X4485" s="135"/>
      <c r="Y4485" s="135"/>
      <c r="Z4485" s="135"/>
    </row>
    <row r="4486" spans="1:26" ht="25.5">
      <c r="A4486" s="136" t="s">
        <v>11</v>
      </c>
      <c r="B4486" s="136" t="s">
        <v>7971</v>
      </c>
      <c r="C4486" s="136" t="s">
        <v>7978</v>
      </c>
      <c r="D4486" s="136" t="s">
        <v>368</v>
      </c>
      <c r="E4486" s="136" t="s">
        <v>594</v>
      </c>
      <c r="F4486" s="136">
        <v>23</v>
      </c>
      <c r="G4486" s="137">
        <f t="shared" si="17"/>
        <v>23</v>
      </c>
      <c r="H4486" s="137"/>
      <c r="I4486" s="137"/>
      <c r="J4486" s="135"/>
      <c r="K4486" s="135"/>
      <c r="L4486" s="135"/>
      <c r="M4486" s="135"/>
      <c r="N4486" s="135"/>
      <c r="O4486" s="135"/>
      <c r="P4486" s="135"/>
      <c r="Q4486" s="135"/>
      <c r="R4486" s="135"/>
      <c r="S4486" s="135"/>
      <c r="T4486" s="135"/>
      <c r="U4486" s="135"/>
      <c r="V4486" s="135"/>
      <c r="W4486" s="135"/>
      <c r="X4486" s="135"/>
      <c r="Y4486" s="135"/>
      <c r="Z4486" s="135"/>
    </row>
    <row r="4487" spans="1:26" ht="25.5">
      <c r="A4487" s="136" t="s">
        <v>11</v>
      </c>
      <c r="B4487" s="136" t="s">
        <v>7971</v>
      </c>
      <c r="C4487" s="136" t="s">
        <v>7978</v>
      </c>
      <c r="D4487" s="136" t="s">
        <v>1635</v>
      </c>
      <c r="E4487" s="136" t="s">
        <v>615</v>
      </c>
      <c r="F4487" s="136">
        <v>21</v>
      </c>
      <c r="G4487" s="137">
        <f t="shared" si="17"/>
        <v>24</v>
      </c>
      <c r="H4487" s="137"/>
      <c r="I4487" s="137"/>
      <c r="J4487" s="135"/>
      <c r="K4487" s="135"/>
      <c r="L4487" s="135"/>
      <c r="M4487" s="135"/>
      <c r="N4487" s="135"/>
      <c r="O4487" s="135"/>
      <c r="P4487" s="135"/>
      <c r="Q4487" s="135"/>
      <c r="R4487" s="135"/>
      <c r="S4487" s="135"/>
      <c r="T4487" s="135"/>
      <c r="U4487" s="135"/>
      <c r="V4487" s="135"/>
      <c r="W4487" s="135"/>
      <c r="X4487" s="135"/>
      <c r="Y4487" s="135"/>
      <c r="Z4487" s="135"/>
    </row>
    <row r="4488" spans="1:26" ht="25.5">
      <c r="A4488" s="136" t="s">
        <v>11</v>
      </c>
      <c r="B4488" s="136" t="s">
        <v>7971</v>
      </c>
      <c r="C4488" s="136" t="s">
        <v>7980</v>
      </c>
      <c r="D4488" s="136" t="s">
        <v>1669</v>
      </c>
      <c r="E4488" s="136" t="s">
        <v>615</v>
      </c>
      <c r="F4488" s="136">
        <v>1976</v>
      </c>
      <c r="G4488" s="137">
        <f t="shared" si="17"/>
        <v>1</v>
      </c>
      <c r="H4488" s="137"/>
      <c r="I4488" s="137"/>
      <c r="J4488" s="135"/>
      <c r="K4488" s="135"/>
      <c r="L4488" s="135"/>
      <c r="M4488" s="135"/>
      <c r="N4488" s="135"/>
      <c r="O4488" s="135"/>
      <c r="P4488" s="135"/>
      <c r="Q4488" s="135"/>
      <c r="R4488" s="135"/>
      <c r="S4488" s="135"/>
      <c r="T4488" s="135"/>
      <c r="U4488" s="135"/>
      <c r="V4488" s="135"/>
      <c r="W4488" s="135"/>
      <c r="X4488" s="135"/>
      <c r="Y4488" s="135"/>
      <c r="Z4488" s="135"/>
    </row>
    <row r="4489" spans="1:26" ht="25.5">
      <c r="A4489" s="136" t="s">
        <v>11</v>
      </c>
      <c r="B4489" s="136" t="s">
        <v>7971</v>
      </c>
      <c r="C4489" s="136" t="s">
        <v>7980</v>
      </c>
      <c r="D4489" s="136" t="s">
        <v>139</v>
      </c>
      <c r="E4489" s="136" t="s">
        <v>594</v>
      </c>
      <c r="F4489" s="136">
        <v>265</v>
      </c>
      <c r="G4489" s="137">
        <f t="shared" si="17"/>
        <v>2</v>
      </c>
      <c r="H4489" s="137"/>
      <c r="I4489" s="137"/>
      <c r="J4489" s="135"/>
      <c r="K4489" s="135"/>
      <c r="L4489" s="135"/>
      <c r="M4489" s="135"/>
      <c r="N4489" s="135"/>
      <c r="O4489" s="135"/>
      <c r="P4489" s="135"/>
      <c r="Q4489" s="135"/>
      <c r="R4489" s="135"/>
      <c r="S4489" s="135"/>
      <c r="T4489" s="135"/>
      <c r="U4489" s="135"/>
      <c r="V4489" s="135"/>
      <c r="W4489" s="135"/>
      <c r="X4489" s="135"/>
      <c r="Y4489" s="135"/>
      <c r="Z4489" s="135"/>
    </row>
    <row r="4490" spans="1:26" ht="25.5">
      <c r="A4490" s="136" t="s">
        <v>11</v>
      </c>
      <c r="B4490" s="136" t="s">
        <v>7971</v>
      </c>
      <c r="C4490" s="136" t="s">
        <v>7980</v>
      </c>
      <c r="D4490" s="136" t="s">
        <v>136</v>
      </c>
      <c r="E4490" s="136" t="s">
        <v>615</v>
      </c>
      <c r="F4490" s="136">
        <v>202</v>
      </c>
      <c r="G4490" s="137">
        <f t="shared" si="17"/>
        <v>3</v>
      </c>
      <c r="H4490" s="137"/>
      <c r="I4490" s="137"/>
      <c r="J4490" s="135"/>
      <c r="K4490" s="135"/>
      <c r="L4490" s="135"/>
      <c r="M4490" s="135"/>
      <c r="N4490" s="135"/>
      <c r="O4490" s="135"/>
      <c r="P4490" s="135"/>
      <c r="Q4490" s="135"/>
      <c r="R4490" s="135"/>
      <c r="S4490" s="135"/>
      <c r="T4490" s="135"/>
      <c r="U4490" s="135"/>
      <c r="V4490" s="135"/>
      <c r="W4490" s="135"/>
      <c r="X4490" s="135"/>
      <c r="Y4490" s="135"/>
      <c r="Z4490" s="135"/>
    </row>
    <row r="4491" spans="1:26" ht="25.5">
      <c r="A4491" s="136" t="s">
        <v>11</v>
      </c>
      <c r="B4491" s="136" t="s">
        <v>7971</v>
      </c>
      <c r="C4491" s="136" t="s">
        <v>7980</v>
      </c>
      <c r="D4491" s="136" t="s">
        <v>1665</v>
      </c>
      <c r="E4491" s="136" t="s">
        <v>615</v>
      </c>
      <c r="F4491" s="136">
        <v>167</v>
      </c>
      <c r="G4491" s="137">
        <f t="shared" si="17"/>
        <v>4</v>
      </c>
      <c r="H4491" s="137"/>
      <c r="I4491" s="137"/>
      <c r="J4491" s="135"/>
      <c r="K4491" s="135"/>
      <c r="L4491" s="135"/>
      <c r="M4491" s="135"/>
      <c r="N4491" s="135"/>
      <c r="O4491" s="135"/>
      <c r="P4491" s="135"/>
      <c r="Q4491" s="135"/>
      <c r="R4491" s="135"/>
      <c r="S4491" s="135"/>
      <c r="T4491" s="135"/>
      <c r="U4491" s="135"/>
      <c r="V4491" s="135"/>
      <c r="W4491" s="135"/>
      <c r="X4491" s="135"/>
      <c r="Y4491" s="135"/>
      <c r="Z4491" s="135"/>
    </row>
    <row r="4492" spans="1:26" ht="25.5">
      <c r="A4492" s="136" t="s">
        <v>11</v>
      </c>
      <c r="B4492" s="136" t="s">
        <v>7971</v>
      </c>
      <c r="C4492" s="136" t="s">
        <v>7980</v>
      </c>
      <c r="D4492" s="136" t="s">
        <v>7981</v>
      </c>
      <c r="E4492" s="136" t="s">
        <v>615</v>
      </c>
      <c r="F4492" s="136">
        <v>107</v>
      </c>
      <c r="G4492" s="137">
        <f t="shared" si="17"/>
        <v>5</v>
      </c>
      <c r="H4492" s="137"/>
      <c r="I4492" s="137"/>
      <c r="J4492" s="135"/>
      <c r="K4492" s="135"/>
      <c r="L4492" s="135"/>
      <c r="M4492" s="135"/>
      <c r="N4492" s="135"/>
      <c r="O4492" s="135"/>
      <c r="P4492" s="135"/>
      <c r="Q4492" s="135"/>
      <c r="R4492" s="135"/>
      <c r="S4492" s="135"/>
      <c r="T4492" s="135"/>
      <c r="U4492" s="135"/>
      <c r="V4492" s="135"/>
      <c r="W4492" s="135"/>
      <c r="X4492" s="135"/>
      <c r="Y4492" s="135"/>
      <c r="Z4492" s="135"/>
    </row>
    <row r="4493" spans="1:26" ht="25.5">
      <c r="A4493" s="136" t="s">
        <v>11</v>
      </c>
      <c r="B4493" s="136" t="s">
        <v>7971</v>
      </c>
      <c r="C4493" s="136" t="s">
        <v>7980</v>
      </c>
      <c r="D4493" s="136" t="s">
        <v>158</v>
      </c>
      <c r="E4493" s="136" t="s">
        <v>615</v>
      </c>
      <c r="F4493" s="136">
        <v>89</v>
      </c>
      <c r="G4493" s="137">
        <f t="shared" si="17"/>
        <v>6</v>
      </c>
      <c r="H4493" s="137"/>
      <c r="I4493" s="137"/>
      <c r="J4493" s="135"/>
      <c r="K4493" s="135"/>
      <c r="L4493" s="135"/>
      <c r="M4493" s="135"/>
      <c r="N4493" s="135"/>
      <c r="O4493" s="135"/>
      <c r="P4493" s="135"/>
      <c r="Q4493" s="135"/>
      <c r="R4493" s="135"/>
      <c r="S4493" s="135"/>
      <c r="T4493" s="135"/>
      <c r="U4493" s="135"/>
      <c r="V4493" s="135"/>
      <c r="W4493" s="135"/>
      <c r="X4493" s="135"/>
      <c r="Y4493" s="135"/>
      <c r="Z4493" s="135"/>
    </row>
    <row r="4494" spans="1:26" ht="25.5">
      <c r="A4494" s="136" t="s">
        <v>11</v>
      </c>
      <c r="B4494" s="136" t="s">
        <v>7971</v>
      </c>
      <c r="C4494" s="136" t="s">
        <v>7980</v>
      </c>
      <c r="D4494" s="136" t="s">
        <v>7613</v>
      </c>
      <c r="E4494" s="136" t="s">
        <v>85</v>
      </c>
      <c r="F4494" s="136">
        <v>89</v>
      </c>
      <c r="G4494" s="137">
        <f t="shared" si="17"/>
        <v>7</v>
      </c>
      <c r="H4494" s="137"/>
      <c r="I4494" s="137"/>
      <c r="J4494" s="135"/>
      <c r="K4494" s="135"/>
      <c r="L4494" s="135"/>
      <c r="M4494" s="135"/>
      <c r="N4494" s="135"/>
      <c r="O4494" s="135"/>
      <c r="P4494" s="135"/>
      <c r="Q4494" s="135"/>
      <c r="R4494" s="135"/>
      <c r="S4494" s="135"/>
      <c r="T4494" s="135"/>
      <c r="U4494" s="135"/>
      <c r="V4494" s="135"/>
      <c r="W4494" s="135"/>
      <c r="X4494" s="135"/>
      <c r="Y4494" s="135"/>
      <c r="Z4494" s="135"/>
    </row>
    <row r="4495" spans="1:26" ht="25.5">
      <c r="A4495" s="136" t="s">
        <v>11</v>
      </c>
      <c r="B4495" s="136" t="s">
        <v>7971</v>
      </c>
      <c r="C4495" s="136" t="s">
        <v>7980</v>
      </c>
      <c r="D4495" s="136" t="s">
        <v>1604</v>
      </c>
      <c r="E4495" s="136" t="s">
        <v>615</v>
      </c>
      <c r="F4495" s="136">
        <v>68</v>
      </c>
      <c r="G4495" s="137">
        <f t="shared" si="17"/>
        <v>8</v>
      </c>
      <c r="H4495" s="137"/>
      <c r="I4495" s="137"/>
      <c r="J4495" s="135"/>
      <c r="K4495" s="135"/>
      <c r="L4495" s="135"/>
      <c r="M4495" s="135"/>
      <c r="N4495" s="135"/>
      <c r="O4495" s="135"/>
      <c r="P4495" s="135"/>
      <c r="Q4495" s="135"/>
      <c r="R4495" s="135"/>
      <c r="S4495" s="135"/>
      <c r="T4495" s="135"/>
      <c r="U4495" s="135"/>
      <c r="V4495" s="135"/>
      <c r="W4495" s="135"/>
      <c r="X4495" s="135"/>
      <c r="Y4495" s="135"/>
      <c r="Z4495" s="135"/>
    </row>
    <row r="4496" spans="1:26" ht="25.5">
      <c r="A4496" s="136" t="s">
        <v>11</v>
      </c>
      <c r="B4496" s="136" t="s">
        <v>7971</v>
      </c>
      <c r="C4496" s="136" t="s">
        <v>7980</v>
      </c>
      <c r="D4496" s="136" t="s">
        <v>7982</v>
      </c>
      <c r="E4496" s="136" t="s">
        <v>615</v>
      </c>
      <c r="F4496" s="136">
        <v>66</v>
      </c>
      <c r="G4496" s="137">
        <f t="shared" si="17"/>
        <v>9</v>
      </c>
      <c r="H4496" s="137"/>
      <c r="I4496" s="137"/>
      <c r="J4496" s="135"/>
      <c r="K4496" s="135"/>
      <c r="L4496" s="135"/>
      <c r="M4496" s="135"/>
      <c r="N4496" s="135"/>
      <c r="O4496" s="135"/>
      <c r="P4496" s="135"/>
      <c r="Q4496" s="135"/>
      <c r="R4496" s="135"/>
      <c r="S4496" s="135"/>
      <c r="T4496" s="135"/>
      <c r="U4496" s="135"/>
      <c r="V4496" s="135"/>
      <c r="W4496" s="135"/>
      <c r="X4496" s="135"/>
      <c r="Y4496" s="135"/>
      <c r="Z4496" s="135"/>
    </row>
    <row r="4497" spans="1:26" ht="25.5">
      <c r="A4497" s="136" t="s">
        <v>11</v>
      </c>
      <c r="B4497" s="136" t="s">
        <v>7971</v>
      </c>
      <c r="C4497" s="136" t="s">
        <v>7980</v>
      </c>
      <c r="D4497" s="136" t="s">
        <v>7983</v>
      </c>
      <c r="E4497" s="136" t="s">
        <v>594</v>
      </c>
      <c r="F4497" s="136">
        <v>61</v>
      </c>
      <c r="G4497" s="137">
        <f t="shared" si="17"/>
        <v>10</v>
      </c>
      <c r="H4497" s="137"/>
      <c r="I4497" s="137"/>
      <c r="J4497" s="135"/>
      <c r="K4497" s="135"/>
      <c r="L4497" s="135"/>
      <c r="M4497" s="135"/>
      <c r="N4497" s="135"/>
      <c r="O4497" s="135"/>
      <c r="P4497" s="135"/>
      <c r="Q4497" s="135"/>
      <c r="R4497" s="135"/>
      <c r="S4497" s="135"/>
      <c r="T4497" s="135"/>
      <c r="U4497" s="135"/>
      <c r="V4497" s="135"/>
      <c r="W4497" s="135"/>
      <c r="X4497" s="135"/>
      <c r="Y4497" s="135"/>
      <c r="Z4497" s="135"/>
    </row>
    <row r="4498" spans="1:26" ht="25.5">
      <c r="A4498" s="136" t="s">
        <v>11</v>
      </c>
      <c r="B4498" s="136" t="s">
        <v>7971</v>
      </c>
      <c r="C4498" s="136" t="s">
        <v>7980</v>
      </c>
      <c r="D4498" s="136" t="s">
        <v>1626</v>
      </c>
      <c r="E4498" s="136" t="s">
        <v>594</v>
      </c>
      <c r="F4498" s="136">
        <v>57</v>
      </c>
      <c r="G4498" s="137">
        <f t="shared" si="17"/>
        <v>11</v>
      </c>
      <c r="H4498" s="137"/>
      <c r="I4498" s="137"/>
      <c r="J4498" s="135"/>
      <c r="K4498" s="135"/>
      <c r="L4498" s="135"/>
      <c r="M4498" s="135"/>
      <c r="N4498" s="135"/>
      <c r="O4498" s="135"/>
      <c r="P4498" s="135"/>
      <c r="Q4498" s="135"/>
      <c r="R4498" s="135"/>
      <c r="S4498" s="135"/>
      <c r="T4498" s="135"/>
      <c r="U4498" s="135"/>
      <c r="V4498" s="135"/>
      <c r="W4498" s="135"/>
      <c r="X4498" s="135"/>
      <c r="Y4498" s="135"/>
      <c r="Z4498" s="135"/>
    </row>
    <row r="4499" spans="1:26" ht="25.5">
      <c r="A4499" s="136" t="s">
        <v>11</v>
      </c>
      <c r="B4499" s="136" t="s">
        <v>7971</v>
      </c>
      <c r="C4499" s="136" t="s">
        <v>7980</v>
      </c>
      <c r="D4499" s="136" t="s">
        <v>1656</v>
      </c>
      <c r="E4499" s="136" t="s">
        <v>594</v>
      </c>
      <c r="F4499" s="136">
        <v>55</v>
      </c>
      <c r="G4499" s="137">
        <f t="shared" si="17"/>
        <v>12</v>
      </c>
      <c r="H4499" s="137"/>
      <c r="I4499" s="137"/>
      <c r="J4499" s="135"/>
      <c r="K4499" s="135"/>
      <c r="L4499" s="135"/>
      <c r="M4499" s="135"/>
      <c r="N4499" s="135"/>
      <c r="O4499" s="135"/>
      <c r="P4499" s="135"/>
      <c r="Q4499" s="135"/>
      <c r="R4499" s="135"/>
      <c r="S4499" s="135"/>
      <c r="T4499" s="135"/>
      <c r="U4499" s="135"/>
      <c r="V4499" s="135"/>
      <c r="W4499" s="135"/>
      <c r="X4499" s="135"/>
      <c r="Y4499" s="135"/>
      <c r="Z4499" s="135"/>
    </row>
    <row r="4500" spans="1:26" ht="25.5">
      <c r="A4500" s="136" t="s">
        <v>11</v>
      </c>
      <c r="B4500" s="136" t="s">
        <v>7971</v>
      </c>
      <c r="C4500" s="136" t="s">
        <v>7980</v>
      </c>
      <c r="D4500" s="136" t="s">
        <v>7657</v>
      </c>
      <c r="E4500" s="136" t="s">
        <v>85</v>
      </c>
      <c r="F4500" s="136">
        <v>42</v>
      </c>
      <c r="G4500" s="137">
        <f t="shared" si="17"/>
        <v>13</v>
      </c>
      <c r="H4500" s="137"/>
      <c r="I4500" s="137"/>
      <c r="J4500" s="135"/>
      <c r="K4500" s="135"/>
      <c r="L4500" s="135"/>
      <c r="M4500" s="135"/>
      <c r="N4500" s="135"/>
      <c r="O4500" s="135"/>
      <c r="P4500" s="135"/>
      <c r="Q4500" s="135"/>
      <c r="R4500" s="135"/>
      <c r="S4500" s="135"/>
      <c r="T4500" s="135"/>
      <c r="U4500" s="135"/>
      <c r="V4500" s="135"/>
      <c r="W4500" s="135"/>
      <c r="X4500" s="135"/>
      <c r="Y4500" s="135"/>
      <c r="Z4500" s="135"/>
    </row>
    <row r="4501" spans="1:26" ht="25.5">
      <c r="A4501" s="136" t="s">
        <v>11</v>
      </c>
      <c r="B4501" s="136" t="s">
        <v>7971</v>
      </c>
      <c r="C4501" s="136" t="s">
        <v>7980</v>
      </c>
      <c r="D4501" s="136" t="s">
        <v>7933</v>
      </c>
      <c r="E4501" s="136" t="s">
        <v>615</v>
      </c>
      <c r="F4501" s="136">
        <v>41</v>
      </c>
      <c r="G4501" s="137">
        <f t="shared" si="17"/>
        <v>14</v>
      </c>
      <c r="H4501" s="137"/>
      <c r="I4501" s="137"/>
      <c r="J4501" s="135"/>
      <c r="K4501" s="135"/>
      <c r="L4501" s="135"/>
      <c r="M4501" s="135"/>
      <c r="N4501" s="135"/>
      <c r="O4501" s="135"/>
      <c r="P4501" s="135"/>
      <c r="Q4501" s="135"/>
      <c r="R4501" s="135"/>
      <c r="S4501" s="135"/>
      <c r="T4501" s="135"/>
      <c r="U4501" s="135"/>
      <c r="V4501" s="135"/>
      <c r="W4501" s="135"/>
      <c r="X4501" s="135"/>
      <c r="Y4501" s="135"/>
      <c r="Z4501" s="135"/>
    </row>
    <row r="4502" spans="1:26" ht="25.5">
      <c r="A4502" s="136" t="s">
        <v>11</v>
      </c>
      <c r="B4502" s="136" t="s">
        <v>7971</v>
      </c>
      <c r="C4502" s="136" t="s">
        <v>7980</v>
      </c>
      <c r="D4502" s="136" t="s">
        <v>165</v>
      </c>
      <c r="E4502" s="136" t="s">
        <v>615</v>
      </c>
      <c r="F4502" s="136">
        <v>34</v>
      </c>
      <c r="G4502" s="137">
        <f t="shared" si="17"/>
        <v>15</v>
      </c>
      <c r="H4502" s="137"/>
      <c r="I4502" s="137"/>
      <c r="J4502" s="135"/>
      <c r="K4502" s="135"/>
      <c r="L4502" s="135"/>
      <c r="M4502" s="135"/>
      <c r="N4502" s="135"/>
      <c r="O4502" s="135"/>
      <c r="P4502" s="135"/>
      <c r="Q4502" s="135"/>
      <c r="R4502" s="135"/>
      <c r="S4502" s="135"/>
      <c r="T4502" s="135"/>
      <c r="U4502" s="135"/>
      <c r="V4502" s="135"/>
      <c r="W4502" s="135"/>
      <c r="X4502" s="135"/>
      <c r="Y4502" s="135"/>
      <c r="Z4502" s="135"/>
    </row>
    <row r="4503" spans="1:26" ht="25.5">
      <c r="A4503" s="136" t="s">
        <v>11</v>
      </c>
      <c r="B4503" s="136" t="s">
        <v>7971</v>
      </c>
      <c r="C4503" s="136" t="s">
        <v>7980</v>
      </c>
      <c r="D4503" s="136" t="s">
        <v>103</v>
      </c>
      <c r="E4503" s="136" t="s">
        <v>594</v>
      </c>
      <c r="F4503" s="136">
        <v>29</v>
      </c>
      <c r="G4503" s="137">
        <f t="shared" si="17"/>
        <v>16</v>
      </c>
      <c r="H4503" s="137"/>
      <c r="I4503" s="137"/>
      <c r="J4503" s="135"/>
      <c r="K4503" s="135"/>
      <c r="L4503" s="135"/>
      <c r="M4503" s="135"/>
      <c r="N4503" s="135"/>
      <c r="O4503" s="135"/>
      <c r="P4503" s="135"/>
      <c r="Q4503" s="135"/>
      <c r="R4503" s="135"/>
      <c r="S4503" s="135"/>
      <c r="T4503" s="135"/>
      <c r="U4503" s="135"/>
      <c r="V4503" s="135"/>
      <c r="W4503" s="135"/>
      <c r="X4503" s="135"/>
      <c r="Y4503" s="135"/>
      <c r="Z4503" s="135"/>
    </row>
    <row r="4504" spans="1:26" ht="25.5">
      <c r="A4504" s="136" t="s">
        <v>11</v>
      </c>
      <c r="B4504" s="136" t="s">
        <v>7971</v>
      </c>
      <c r="C4504" s="136" t="s">
        <v>7980</v>
      </c>
      <c r="D4504" s="136" t="s">
        <v>7544</v>
      </c>
      <c r="E4504" s="136" t="s">
        <v>615</v>
      </c>
      <c r="F4504" s="136">
        <v>24</v>
      </c>
      <c r="G4504" s="137">
        <f t="shared" si="17"/>
        <v>17</v>
      </c>
      <c r="H4504" s="137"/>
      <c r="I4504" s="137"/>
      <c r="J4504" s="135"/>
      <c r="K4504" s="135"/>
      <c r="L4504" s="135"/>
      <c r="M4504" s="135"/>
      <c r="N4504" s="135"/>
      <c r="O4504" s="135"/>
      <c r="P4504" s="135"/>
      <c r="Q4504" s="135"/>
      <c r="R4504" s="135"/>
      <c r="S4504" s="135"/>
      <c r="T4504" s="135"/>
      <c r="U4504" s="135"/>
      <c r="V4504" s="135"/>
      <c r="W4504" s="135"/>
      <c r="X4504" s="135"/>
      <c r="Y4504" s="135"/>
      <c r="Z4504" s="135"/>
    </row>
    <row r="4505" spans="1:26" ht="25.5">
      <c r="A4505" s="136" t="s">
        <v>11</v>
      </c>
      <c r="B4505" s="136" t="s">
        <v>7971</v>
      </c>
      <c r="C4505" s="136" t="s">
        <v>7980</v>
      </c>
      <c r="D4505" s="136" t="s">
        <v>1635</v>
      </c>
      <c r="E4505" s="136" t="s">
        <v>615</v>
      </c>
      <c r="F4505" s="136">
        <v>18</v>
      </c>
      <c r="G4505" s="137">
        <f t="shared" si="17"/>
        <v>18</v>
      </c>
      <c r="H4505" s="137"/>
      <c r="I4505" s="137"/>
      <c r="J4505" s="135"/>
      <c r="K4505" s="135"/>
      <c r="L4505" s="135"/>
      <c r="M4505" s="135"/>
      <c r="N4505" s="135"/>
      <c r="O4505" s="135"/>
      <c r="P4505" s="135"/>
      <c r="Q4505" s="135"/>
      <c r="R4505" s="135"/>
      <c r="S4505" s="135"/>
      <c r="T4505" s="135"/>
      <c r="U4505" s="135"/>
      <c r="V4505" s="135"/>
      <c r="W4505" s="135"/>
      <c r="X4505" s="135"/>
      <c r="Y4505" s="135"/>
      <c r="Z4505" s="135"/>
    </row>
    <row r="4506" spans="1:26" ht="25.5">
      <c r="A4506" s="136" t="s">
        <v>11</v>
      </c>
      <c r="B4506" s="136" t="s">
        <v>7971</v>
      </c>
      <c r="C4506" s="136" t="s">
        <v>7980</v>
      </c>
      <c r="D4506" s="136" t="s">
        <v>1682</v>
      </c>
      <c r="E4506" s="136" t="s">
        <v>86</v>
      </c>
      <c r="F4506" s="136">
        <v>12</v>
      </c>
      <c r="G4506" s="137">
        <f t="shared" si="17"/>
        <v>19</v>
      </c>
      <c r="H4506" s="137"/>
      <c r="I4506" s="137"/>
      <c r="J4506" s="135"/>
      <c r="K4506" s="135"/>
      <c r="L4506" s="135"/>
      <c r="M4506" s="135"/>
      <c r="N4506" s="135"/>
      <c r="O4506" s="135"/>
      <c r="P4506" s="135"/>
      <c r="Q4506" s="135"/>
      <c r="R4506" s="135"/>
      <c r="S4506" s="135"/>
      <c r="T4506" s="135"/>
      <c r="U4506" s="135"/>
      <c r="V4506" s="135"/>
      <c r="W4506" s="135"/>
      <c r="X4506" s="135"/>
      <c r="Y4506" s="135"/>
      <c r="Z4506" s="135"/>
    </row>
    <row r="4507" spans="1:26" ht="25.5">
      <c r="A4507" s="136" t="s">
        <v>11</v>
      </c>
      <c r="B4507" s="136" t="s">
        <v>7971</v>
      </c>
      <c r="C4507" s="136" t="s">
        <v>7984</v>
      </c>
      <c r="D4507" s="136" t="s">
        <v>139</v>
      </c>
      <c r="E4507" s="136" t="s">
        <v>594</v>
      </c>
      <c r="F4507" s="136">
        <v>1731</v>
      </c>
      <c r="G4507" s="137">
        <f t="shared" si="17"/>
        <v>1</v>
      </c>
      <c r="H4507" s="137"/>
      <c r="I4507" s="137"/>
      <c r="J4507" s="135"/>
      <c r="K4507" s="135"/>
      <c r="L4507" s="135"/>
      <c r="M4507" s="135"/>
      <c r="N4507" s="135"/>
      <c r="O4507" s="135"/>
      <c r="P4507" s="135"/>
      <c r="Q4507" s="135"/>
      <c r="R4507" s="135"/>
      <c r="S4507" s="135"/>
      <c r="T4507" s="135"/>
      <c r="U4507" s="135"/>
      <c r="V4507" s="135"/>
      <c r="W4507" s="135"/>
      <c r="X4507" s="135"/>
      <c r="Y4507" s="135"/>
      <c r="Z4507" s="135"/>
    </row>
    <row r="4508" spans="1:26" ht="25.5">
      <c r="A4508" s="136" t="s">
        <v>11</v>
      </c>
      <c r="B4508" s="136" t="s">
        <v>7971</v>
      </c>
      <c r="C4508" s="136" t="s">
        <v>7984</v>
      </c>
      <c r="D4508" s="136" t="s">
        <v>1626</v>
      </c>
      <c r="E4508" s="136" t="s">
        <v>594</v>
      </c>
      <c r="F4508" s="136">
        <v>634</v>
      </c>
      <c r="G4508" s="137">
        <f t="shared" si="17"/>
        <v>2</v>
      </c>
      <c r="H4508" s="137"/>
      <c r="I4508" s="137"/>
      <c r="J4508" s="135"/>
      <c r="K4508" s="135"/>
      <c r="L4508" s="135"/>
      <c r="M4508" s="135"/>
      <c r="N4508" s="135"/>
      <c r="O4508" s="135"/>
      <c r="P4508" s="135"/>
      <c r="Q4508" s="135"/>
      <c r="R4508" s="135"/>
      <c r="S4508" s="135"/>
      <c r="T4508" s="135"/>
      <c r="U4508" s="135"/>
      <c r="V4508" s="135"/>
      <c r="W4508" s="135"/>
      <c r="X4508" s="135"/>
      <c r="Y4508" s="135"/>
      <c r="Z4508" s="135"/>
    </row>
    <row r="4509" spans="1:26" ht="25.5">
      <c r="A4509" s="136" t="s">
        <v>11</v>
      </c>
      <c r="B4509" s="136" t="s">
        <v>7971</v>
      </c>
      <c r="C4509" s="136" t="s">
        <v>7984</v>
      </c>
      <c r="D4509" s="136" t="s">
        <v>114</v>
      </c>
      <c r="E4509" s="136" t="s">
        <v>85</v>
      </c>
      <c r="F4509" s="136">
        <v>464</v>
      </c>
      <c r="G4509" s="137">
        <f t="shared" si="17"/>
        <v>4</v>
      </c>
      <c r="H4509" s="137"/>
      <c r="I4509" s="137"/>
      <c r="J4509" s="135"/>
      <c r="K4509" s="135"/>
      <c r="L4509" s="135"/>
      <c r="M4509" s="135"/>
      <c r="N4509" s="135"/>
      <c r="O4509" s="135"/>
      <c r="P4509" s="135"/>
      <c r="Q4509" s="135"/>
      <c r="R4509" s="135"/>
      <c r="S4509" s="135"/>
      <c r="T4509" s="135"/>
      <c r="U4509" s="135"/>
      <c r="V4509" s="135"/>
      <c r="W4509" s="135"/>
      <c r="X4509" s="135"/>
      <c r="Y4509" s="135"/>
      <c r="Z4509" s="135"/>
    </row>
    <row r="4510" spans="1:26" ht="25.5">
      <c r="A4510" s="136" t="s">
        <v>11</v>
      </c>
      <c r="B4510" s="136" t="s">
        <v>7971</v>
      </c>
      <c r="C4510" s="136" t="s">
        <v>7984</v>
      </c>
      <c r="D4510" s="136" t="s">
        <v>1665</v>
      </c>
      <c r="E4510" s="136" t="s">
        <v>615</v>
      </c>
      <c r="F4510" s="136">
        <v>383</v>
      </c>
      <c r="G4510" s="137">
        <f t="shared" si="17"/>
        <v>5</v>
      </c>
      <c r="H4510" s="137"/>
      <c r="I4510" s="137"/>
      <c r="J4510" s="135"/>
      <c r="K4510" s="135"/>
      <c r="L4510" s="135"/>
      <c r="M4510" s="135"/>
      <c r="N4510" s="135"/>
      <c r="O4510" s="135"/>
      <c r="P4510" s="135"/>
      <c r="Q4510" s="135"/>
      <c r="R4510" s="135"/>
      <c r="S4510" s="135"/>
      <c r="T4510" s="135"/>
      <c r="U4510" s="135"/>
      <c r="V4510" s="135"/>
      <c r="W4510" s="135"/>
      <c r="X4510" s="135"/>
      <c r="Y4510" s="135"/>
      <c r="Z4510" s="135"/>
    </row>
    <row r="4511" spans="1:26" ht="25.5">
      <c r="A4511" s="136" t="s">
        <v>11</v>
      </c>
      <c r="B4511" s="136" t="s">
        <v>7971</v>
      </c>
      <c r="C4511" s="136" t="s">
        <v>7984</v>
      </c>
      <c r="D4511" s="136" t="s">
        <v>7613</v>
      </c>
      <c r="E4511" s="136" t="s">
        <v>85</v>
      </c>
      <c r="F4511" s="136">
        <v>254</v>
      </c>
      <c r="G4511" s="137">
        <f t="shared" si="17"/>
        <v>7</v>
      </c>
      <c r="H4511" s="137"/>
      <c r="I4511" s="137"/>
      <c r="J4511" s="135"/>
      <c r="K4511" s="135"/>
      <c r="L4511" s="135"/>
      <c r="M4511" s="135"/>
      <c r="N4511" s="135"/>
      <c r="O4511" s="135"/>
      <c r="P4511" s="135"/>
      <c r="Q4511" s="135"/>
      <c r="R4511" s="135"/>
      <c r="S4511" s="135"/>
      <c r="T4511" s="135"/>
      <c r="U4511" s="135"/>
      <c r="V4511" s="135"/>
      <c r="W4511" s="135"/>
      <c r="X4511" s="135"/>
      <c r="Y4511" s="135"/>
      <c r="Z4511" s="135"/>
    </row>
    <row r="4512" spans="1:26" ht="25.5">
      <c r="A4512" s="136" t="s">
        <v>11</v>
      </c>
      <c r="B4512" s="136" t="s">
        <v>7971</v>
      </c>
      <c r="C4512" s="136" t="s">
        <v>7984</v>
      </c>
      <c r="D4512" s="136" t="s">
        <v>467</v>
      </c>
      <c r="E4512" s="136" t="s">
        <v>85</v>
      </c>
      <c r="F4512" s="136">
        <v>307</v>
      </c>
      <c r="G4512" s="137">
        <f t="shared" si="17"/>
        <v>6</v>
      </c>
      <c r="H4512" s="137"/>
      <c r="I4512" s="137"/>
      <c r="J4512" s="135"/>
      <c r="K4512" s="135"/>
      <c r="L4512" s="135"/>
      <c r="M4512" s="135"/>
      <c r="N4512" s="135"/>
      <c r="O4512" s="135"/>
      <c r="P4512" s="135"/>
      <c r="Q4512" s="135"/>
      <c r="R4512" s="135"/>
      <c r="S4512" s="135"/>
      <c r="T4512" s="135"/>
      <c r="U4512" s="135"/>
      <c r="V4512" s="135"/>
      <c r="W4512" s="135"/>
      <c r="X4512" s="135"/>
      <c r="Y4512" s="135"/>
      <c r="Z4512" s="135"/>
    </row>
    <row r="4513" spans="1:26" ht="25.5">
      <c r="A4513" s="136" t="s">
        <v>11</v>
      </c>
      <c r="B4513" s="136" t="s">
        <v>7971</v>
      </c>
      <c r="C4513" s="136" t="s">
        <v>7984</v>
      </c>
      <c r="D4513" s="136" t="s">
        <v>131</v>
      </c>
      <c r="E4513" s="136" t="s">
        <v>594</v>
      </c>
      <c r="F4513" s="136">
        <v>245</v>
      </c>
      <c r="G4513" s="137">
        <f t="shared" si="17"/>
        <v>8</v>
      </c>
      <c r="H4513" s="137"/>
      <c r="I4513" s="137"/>
      <c r="J4513" s="135"/>
      <c r="K4513" s="135"/>
      <c r="L4513" s="135"/>
      <c r="M4513" s="135"/>
      <c r="N4513" s="135"/>
      <c r="O4513" s="135"/>
      <c r="P4513" s="135"/>
      <c r="Q4513" s="135"/>
      <c r="R4513" s="135"/>
      <c r="S4513" s="135"/>
      <c r="T4513" s="135"/>
      <c r="U4513" s="135"/>
      <c r="V4513" s="135"/>
      <c r="W4513" s="135"/>
      <c r="X4513" s="135"/>
      <c r="Y4513" s="135"/>
      <c r="Z4513" s="135"/>
    </row>
    <row r="4514" spans="1:26" ht="25.5">
      <c r="A4514" s="136" t="s">
        <v>11</v>
      </c>
      <c r="B4514" s="136" t="s">
        <v>7971</v>
      </c>
      <c r="C4514" s="136" t="s">
        <v>7984</v>
      </c>
      <c r="D4514" s="136" t="s">
        <v>7985</v>
      </c>
      <c r="E4514" s="136" t="s">
        <v>615</v>
      </c>
      <c r="F4514" s="136">
        <v>174</v>
      </c>
      <c r="G4514" s="137">
        <f t="shared" si="17"/>
        <v>9</v>
      </c>
      <c r="H4514" s="137"/>
      <c r="I4514" s="137"/>
      <c r="J4514" s="135"/>
      <c r="K4514" s="135"/>
      <c r="L4514" s="135"/>
      <c r="M4514" s="135"/>
      <c r="N4514" s="135"/>
      <c r="O4514" s="135"/>
      <c r="P4514" s="135"/>
      <c r="Q4514" s="135"/>
      <c r="R4514" s="135"/>
      <c r="S4514" s="135"/>
      <c r="T4514" s="135"/>
      <c r="U4514" s="135"/>
      <c r="V4514" s="135"/>
      <c r="W4514" s="135"/>
      <c r="X4514" s="135"/>
      <c r="Y4514" s="135"/>
      <c r="Z4514" s="135"/>
    </row>
    <row r="4515" spans="1:26" ht="25.5">
      <c r="A4515" s="136" t="s">
        <v>11</v>
      </c>
      <c r="B4515" s="136" t="s">
        <v>7971</v>
      </c>
      <c r="C4515" s="136" t="s">
        <v>7984</v>
      </c>
      <c r="D4515" s="136" t="s">
        <v>1669</v>
      </c>
      <c r="E4515" s="136" t="s">
        <v>615</v>
      </c>
      <c r="F4515" s="136">
        <v>475</v>
      </c>
      <c r="G4515" s="137">
        <f t="shared" si="17"/>
        <v>3</v>
      </c>
      <c r="H4515" s="137"/>
      <c r="I4515" s="137"/>
      <c r="J4515" s="135"/>
      <c r="K4515" s="135"/>
      <c r="L4515" s="135"/>
      <c r="M4515" s="135"/>
      <c r="N4515" s="135"/>
      <c r="O4515" s="135"/>
      <c r="P4515" s="135"/>
      <c r="Q4515" s="135"/>
      <c r="R4515" s="135"/>
      <c r="S4515" s="135"/>
      <c r="T4515" s="135"/>
      <c r="U4515" s="135"/>
      <c r="V4515" s="135"/>
      <c r="W4515" s="135"/>
      <c r="X4515" s="135"/>
      <c r="Y4515" s="135"/>
      <c r="Z4515" s="135"/>
    </row>
    <row r="4516" spans="1:26" ht="25.5">
      <c r="A4516" s="136" t="s">
        <v>11</v>
      </c>
      <c r="B4516" s="136" t="s">
        <v>7971</v>
      </c>
      <c r="C4516" s="136" t="s">
        <v>7984</v>
      </c>
      <c r="D4516" s="136" t="s">
        <v>103</v>
      </c>
      <c r="E4516" s="136" t="s">
        <v>594</v>
      </c>
      <c r="F4516" s="136">
        <v>156</v>
      </c>
      <c r="G4516" s="137">
        <f t="shared" si="17"/>
        <v>10</v>
      </c>
      <c r="H4516" s="137"/>
      <c r="I4516" s="137"/>
      <c r="J4516" s="135"/>
      <c r="K4516" s="135"/>
      <c r="L4516" s="135"/>
      <c r="M4516" s="135"/>
      <c r="N4516" s="135"/>
      <c r="O4516" s="135"/>
      <c r="P4516" s="135"/>
      <c r="Q4516" s="135"/>
      <c r="R4516" s="135"/>
      <c r="S4516" s="135"/>
      <c r="T4516" s="135"/>
      <c r="U4516" s="135"/>
      <c r="V4516" s="135"/>
      <c r="W4516" s="135"/>
      <c r="X4516" s="135"/>
      <c r="Y4516" s="135"/>
      <c r="Z4516" s="135"/>
    </row>
    <row r="4517" spans="1:26" ht="25.5">
      <c r="A4517" s="136" t="s">
        <v>11</v>
      </c>
      <c r="B4517" s="136" t="s">
        <v>7971</v>
      </c>
      <c r="C4517" s="136" t="s">
        <v>7984</v>
      </c>
      <c r="D4517" s="136" t="s">
        <v>368</v>
      </c>
      <c r="E4517" s="136" t="s">
        <v>594</v>
      </c>
      <c r="F4517" s="136">
        <v>115</v>
      </c>
      <c r="G4517" s="137">
        <f t="shared" si="17"/>
        <v>12</v>
      </c>
      <c r="H4517" s="137"/>
      <c r="I4517" s="137"/>
      <c r="J4517" s="135"/>
      <c r="K4517" s="135"/>
      <c r="L4517" s="135"/>
      <c r="M4517" s="135"/>
      <c r="N4517" s="135"/>
      <c r="O4517" s="135"/>
      <c r="P4517" s="135"/>
      <c r="Q4517" s="135"/>
      <c r="R4517" s="135"/>
      <c r="S4517" s="135"/>
      <c r="T4517" s="135"/>
      <c r="U4517" s="135"/>
      <c r="V4517" s="135"/>
      <c r="W4517" s="135"/>
      <c r="X4517" s="135"/>
      <c r="Y4517" s="135"/>
      <c r="Z4517" s="135"/>
    </row>
    <row r="4518" spans="1:26" ht="25.5">
      <c r="A4518" s="136" t="s">
        <v>11</v>
      </c>
      <c r="B4518" s="136" t="s">
        <v>7971</v>
      </c>
      <c r="C4518" s="136" t="s">
        <v>7984</v>
      </c>
      <c r="D4518" s="136" t="s">
        <v>165</v>
      </c>
      <c r="E4518" s="136" t="s">
        <v>615</v>
      </c>
      <c r="F4518" s="136">
        <v>156</v>
      </c>
      <c r="G4518" s="137">
        <f t="shared" si="17"/>
        <v>11</v>
      </c>
      <c r="H4518" s="137"/>
      <c r="I4518" s="137"/>
      <c r="J4518" s="135"/>
      <c r="K4518" s="135"/>
      <c r="L4518" s="135"/>
      <c r="M4518" s="135"/>
      <c r="N4518" s="135"/>
      <c r="O4518" s="135"/>
      <c r="P4518" s="135"/>
      <c r="Q4518" s="135"/>
      <c r="R4518" s="135"/>
      <c r="S4518" s="135"/>
      <c r="T4518" s="135"/>
      <c r="U4518" s="135"/>
      <c r="V4518" s="135"/>
      <c r="W4518" s="135"/>
      <c r="X4518" s="135"/>
      <c r="Y4518" s="135"/>
      <c r="Z4518" s="135"/>
    </row>
    <row r="4519" spans="1:26" ht="25.5">
      <c r="A4519" s="136" t="s">
        <v>11</v>
      </c>
      <c r="B4519" s="136" t="s">
        <v>7971</v>
      </c>
      <c r="C4519" s="136" t="s">
        <v>7984</v>
      </c>
      <c r="D4519" s="136" t="s">
        <v>107</v>
      </c>
      <c r="E4519" s="136" t="s">
        <v>615</v>
      </c>
      <c r="F4519" s="136">
        <v>80</v>
      </c>
      <c r="G4519" s="137">
        <f t="shared" si="17"/>
        <v>13</v>
      </c>
      <c r="H4519" s="137"/>
      <c r="I4519" s="137"/>
      <c r="J4519" s="135"/>
      <c r="K4519" s="135"/>
      <c r="L4519" s="135"/>
      <c r="M4519" s="135"/>
      <c r="N4519" s="135"/>
      <c r="O4519" s="135"/>
      <c r="P4519" s="135"/>
      <c r="Q4519" s="135"/>
      <c r="R4519" s="135"/>
      <c r="S4519" s="135"/>
      <c r="T4519" s="135"/>
      <c r="U4519" s="135"/>
      <c r="V4519" s="135"/>
      <c r="W4519" s="135"/>
      <c r="X4519" s="135"/>
      <c r="Y4519" s="135"/>
      <c r="Z4519" s="135"/>
    </row>
    <row r="4520" spans="1:26" ht="25.5">
      <c r="A4520" s="136" t="s">
        <v>11</v>
      </c>
      <c r="B4520" s="136" t="s">
        <v>7971</v>
      </c>
      <c r="C4520" s="136" t="s">
        <v>7984</v>
      </c>
      <c r="D4520" s="136" t="s">
        <v>1656</v>
      </c>
      <c r="E4520" s="136" t="s">
        <v>594</v>
      </c>
      <c r="F4520" s="136">
        <v>67</v>
      </c>
      <c r="G4520" s="137">
        <f t="shared" si="17"/>
        <v>14</v>
      </c>
      <c r="H4520" s="137"/>
      <c r="I4520" s="137"/>
      <c r="J4520" s="135"/>
      <c r="K4520" s="135"/>
      <c r="L4520" s="135"/>
      <c r="M4520" s="135"/>
      <c r="N4520" s="135"/>
      <c r="O4520" s="135"/>
      <c r="P4520" s="135"/>
      <c r="Q4520" s="135"/>
      <c r="R4520" s="135"/>
      <c r="S4520" s="135"/>
      <c r="T4520" s="135"/>
      <c r="U4520" s="135"/>
      <c r="V4520" s="135"/>
      <c r="W4520" s="135"/>
      <c r="X4520" s="135"/>
      <c r="Y4520" s="135"/>
      <c r="Z4520" s="135"/>
    </row>
    <row r="4521" spans="1:26" ht="25.5">
      <c r="A4521" s="136" t="s">
        <v>11</v>
      </c>
      <c r="B4521" s="136" t="s">
        <v>7971</v>
      </c>
      <c r="C4521" s="136" t="s">
        <v>7984</v>
      </c>
      <c r="D4521" s="136" t="s">
        <v>1639</v>
      </c>
      <c r="E4521" s="136" t="s">
        <v>615</v>
      </c>
      <c r="F4521" s="136">
        <v>22</v>
      </c>
      <c r="G4521" s="137">
        <f t="shared" si="17"/>
        <v>15</v>
      </c>
      <c r="H4521" s="137"/>
      <c r="I4521" s="137"/>
      <c r="J4521" s="135"/>
      <c r="K4521" s="135"/>
      <c r="L4521" s="135"/>
      <c r="M4521" s="135"/>
      <c r="N4521" s="135"/>
      <c r="O4521" s="135"/>
      <c r="P4521" s="135"/>
      <c r="Q4521" s="135"/>
      <c r="R4521" s="135"/>
      <c r="S4521" s="135"/>
      <c r="T4521" s="135"/>
      <c r="U4521" s="135"/>
      <c r="V4521" s="135"/>
      <c r="W4521" s="135"/>
      <c r="X4521" s="135"/>
      <c r="Y4521" s="135"/>
      <c r="Z4521" s="135"/>
    </row>
    <row r="4522" spans="1:26" ht="25.5">
      <c r="A4522" s="136" t="s">
        <v>11</v>
      </c>
      <c r="B4522" s="136" t="s">
        <v>7971</v>
      </c>
      <c r="C4522" s="136" t="s">
        <v>7984</v>
      </c>
      <c r="D4522" s="136" t="s">
        <v>7544</v>
      </c>
      <c r="E4522" s="136" t="s">
        <v>615</v>
      </c>
      <c r="F4522" s="136">
        <v>16</v>
      </c>
      <c r="G4522" s="137">
        <f t="shared" si="17"/>
        <v>16</v>
      </c>
      <c r="H4522" s="137"/>
      <c r="I4522" s="137"/>
      <c r="J4522" s="135"/>
      <c r="K4522" s="135"/>
      <c r="L4522" s="135"/>
      <c r="M4522" s="135"/>
      <c r="N4522" s="135"/>
      <c r="O4522" s="135"/>
      <c r="P4522" s="135"/>
      <c r="Q4522" s="135"/>
      <c r="R4522" s="135"/>
      <c r="S4522" s="135"/>
      <c r="T4522" s="135"/>
      <c r="U4522" s="135"/>
      <c r="V4522" s="135"/>
      <c r="W4522" s="135"/>
      <c r="X4522" s="135"/>
      <c r="Y4522" s="135"/>
      <c r="Z4522" s="135"/>
    </row>
    <row r="4523" spans="1:26" ht="25.5">
      <c r="A4523" s="136" t="s">
        <v>11</v>
      </c>
      <c r="B4523" s="136" t="s">
        <v>7971</v>
      </c>
      <c r="C4523" s="136" t="s">
        <v>7984</v>
      </c>
      <c r="D4523" s="136" t="s">
        <v>1635</v>
      </c>
      <c r="E4523" s="136" t="s">
        <v>615</v>
      </c>
      <c r="F4523" s="136">
        <v>15</v>
      </c>
      <c r="G4523" s="137">
        <f t="shared" si="17"/>
        <v>17</v>
      </c>
      <c r="H4523" s="137"/>
      <c r="I4523" s="137"/>
      <c r="J4523" s="135"/>
      <c r="K4523" s="135"/>
      <c r="L4523" s="135"/>
      <c r="M4523" s="135"/>
      <c r="N4523" s="135"/>
      <c r="O4523" s="135"/>
      <c r="P4523" s="135"/>
      <c r="Q4523" s="135"/>
      <c r="R4523" s="135"/>
      <c r="S4523" s="135"/>
      <c r="T4523" s="135"/>
      <c r="U4523" s="135"/>
      <c r="V4523" s="135"/>
      <c r="W4523" s="135"/>
      <c r="X4523" s="135"/>
      <c r="Y4523" s="135"/>
      <c r="Z4523" s="135"/>
    </row>
    <row r="4524" spans="1:26" ht="25.5">
      <c r="A4524" s="136" t="s">
        <v>11</v>
      </c>
      <c r="B4524" s="136" t="s">
        <v>7971</v>
      </c>
      <c r="C4524" s="136" t="s">
        <v>7984</v>
      </c>
      <c r="D4524" s="136" t="s">
        <v>98</v>
      </c>
      <c r="E4524" s="136" t="s">
        <v>594</v>
      </c>
      <c r="F4524" s="136">
        <v>10</v>
      </c>
      <c r="G4524" s="137">
        <f t="shared" si="17"/>
        <v>18</v>
      </c>
      <c r="H4524" s="137"/>
      <c r="I4524" s="137"/>
      <c r="J4524" s="135"/>
      <c r="K4524" s="135"/>
      <c r="L4524" s="135"/>
      <c r="M4524" s="135"/>
      <c r="N4524" s="135"/>
      <c r="O4524" s="135"/>
      <c r="P4524" s="135"/>
      <c r="Q4524" s="135"/>
      <c r="R4524" s="135"/>
      <c r="S4524" s="135"/>
      <c r="T4524" s="135"/>
      <c r="U4524" s="135"/>
      <c r="V4524" s="135"/>
      <c r="W4524" s="135"/>
      <c r="X4524" s="135"/>
      <c r="Y4524" s="135"/>
      <c r="Z4524" s="135"/>
    </row>
    <row r="4525" spans="1:26" ht="25.5">
      <c r="A4525" s="136" t="s">
        <v>11</v>
      </c>
      <c r="B4525" s="136" t="s">
        <v>7971</v>
      </c>
      <c r="C4525" s="136" t="s">
        <v>7984</v>
      </c>
      <c r="D4525" s="136" t="s">
        <v>437</v>
      </c>
      <c r="E4525" s="136" t="s">
        <v>594</v>
      </c>
      <c r="F4525" s="136">
        <v>10</v>
      </c>
      <c r="G4525" s="137">
        <f t="shared" si="17"/>
        <v>19</v>
      </c>
      <c r="H4525" s="137"/>
      <c r="I4525" s="137"/>
      <c r="J4525" s="135"/>
      <c r="K4525" s="135"/>
      <c r="L4525" s="135"/>
      <c r="M4525" s="135"/>
      <c r="N4525" s="135"/>
      <c r="O4525" s="135"/>
      <c r="P4525" s="135"/>
      <c r="Q4525" s="135"/>
      <c r="R4525" s="135"/>
      <c r="S4525" s="135"/>
      <c r="T4525" s="135"/>
      <c r="U4525" s="135"/>
      <c r="V4525" s="135"/>
      <c r="W4525" s="135"/>
      <c r="X4525" s="135"/>
      <c r="Y4525" s="135"/>
      <c r="Z4525" s="135"/>
    </row>
    <row r="4526" spans="1:26" ht="25.5">
      <c r="A4526" s="136" t="s">
        <v>11</v>
      </c>
      <c r="B4526" s="136" t="s">
        <v>7971</v>
      </c>
      <c r="C4526" s="136" t="s">
        <v>7984</v>
      </c>
      <c r="D4526" s="136" t="s">
        <v>7842</v>
      </c>
      <c r="E4526" s="136" t="s">
        <v>86</v>
      </c>
      <c r="F4526" s="136">
        <v>5</v>
      </c>
      <c r="G4526" s="137">
        <f t="shared" si="17"/>
        <v>20</v>
      </c>
      <c r="H4526" s="137"/>
      <c r="I4526" s="137"/>
      <c r="J4526" s="135"/>
      <c r="K4526" s="135"/>
      <c r="L4526" s="135"/>
      <c r="M4526" s="135"/>
      <c r="N4526" s="135"/>
      <c r="O4526" s="135"/>
      <c r="P4526" s="135"/>
      <c r="Q4526" s="135"/>
      <c r="R4526" s="135"/>
      <c r="S4526" s="135"/>
      <c r="T4526" s="135"/>
      <c r="U4526" s="135"/>
      <c r="V4526" s="135"/>
      <c r="W4526" s="135"/>
      <c r="X4526" s="135"/>
      <c r="Y4526" s="135"/>
      <c r="Z4526" s="135"/>
    </row>
    <row r="4527" spans="1:26" ht="25.5">
      <c r="A4527" s="136" t="s">
        <v>11</v>
      </c>
      <c r="B4527" s="136" t="s">
        <v>7971</v>
      </c>
      <c r="C4527" s="136" t="s">
        <v>7986</v>
      </c>
      <c r="D4527" s="136" t="s">
        <v>139</v>
      </c>
      <c r="E4527" s="136" t="s">
        <v>594</v>
      </c>
      <c r="F4527" s="136">
        <v>1652</v>
      </c>
      <c r="G4527" s="137">
        <f t="shared" si="17"/>
        <v>1</v>
      </c>
      <c r="H4527" s="137"/>
      <c r="I4527" s="137"/>
      <c r="J4527" s="135"/>
      <c r="K4527" s="135"/>
      <c r="L4527" s="135"/>
      <c r="M4527" s="135"/>
      <c r="N4527" s="135"/>
      <c r="O4527" s="135"/>
      <c r="P4527" s="135"/>
      <c r="Q4527" s="135"/>
      <c r="R4527" s="135"/>
      <c r="S4527" s="135"/>
      <c r="T4527" s="135"/>
      <c r="U4527" s="135"/>
      <c r="V4527" s="135"/>
      <c r="W4527" s="135"/>
      <c r="X4527" s="135"/>
      <c r="Y4527" s="135"/>
      <c r="Z4527" s="135"/>
    </row>
    <row r="4528" spans="1:26" ht="25.5">
      <c r="A4528" s="136" t="s">
        <v>11</v>
      </c>
      <c r="B4528" s="136" t="s">
        <v>7971</v>
      </c>
      <c r="C4528" s="136" t="s">
        <v>7986</v>
      </c>
      <c r="D4528" s="136" t="s">
        <v>7878</v>
      </c>
      <c r="E4528" s="136" t="s">
        <v>85</v>
      </c>
      <c r="F4528" s="136">
        <v>1034</v>
      </c>
      <c r="G4528" s="137">
        <f t="shared" si="17"/>
        <v>2</v>
      </c>
      <c r="H4528" s="137"/>
      <c r="I4528" s="137"/>
      <c r="J4528" s="135"/>
      <c r="K4528" s="135"/>
      <c r="L4528" s="135"/>
      <c r="M4528" s="135"/>
      <c r="N4528" s="135"/>
      <c r="O4528" s="135"/>
      <c r="P4528" s="135"/>
      <c r="Q4528" s="135"/>
      <c r="R4528" s="135"/>
      <c r="S4528" s="135"/>
      <c r="T4528" s="135"/>
      <c r="U4528" s="135"/>
      <c r="V4528" s="135"/>
      <c r="W4528" s="135"/>
      <c r="X4528" s="135"/>
      <c r="Y4528" s="135"/>
      <c r="Z4528" s="135"/>
    </row>
    <row r="4529" spans="1:26" ht="25.5">
      <c r="A4529" s="136" t="s">
        <v>11</v>
      </c>
      <c r="B4529" s="136" t="s">
        <v>7971</v>
      </c>
      <c r="C4529" s="136" t="s">
        <v>7986</v>
      </c>
      <c r="D4529" s="136" t="s">
        <v>1669</v>
      </c>
      <c r="E4529" s="136" t="s">
        <v>615</v>
      </c>
      <c r="F4529" s="136">
        <v>689</v>
      </c>
      <c r="G4529" s="137">
        <f t="shared" si="17"/>
        <v>3</v>
      </c>
      <c r="H4529" s="137"/>
      <c r="I4529" s="137"/>
      <c r="J4529" s="135"/>
      <c r="K4529" s="135"/>
      <c r="L4529" s="135"/>
      <c r="M4529" s="135"/>
      <c r="N4529" s="135"/>
      <c r="O4529" s="135"/>
      <c r="P4529" s="135"/>
      <c r="Q4529" s="135"/>
      <c r="R4529" s="135"/>
      <c r="S4529" s="135"/>
      <c r="T4529" s="135"/>
      <c r="U4529" s="135"/>
      <c r="V4529" s="135"/>
      <c r="W4529" s="135"/>
      <c r="X4529" s="135"/>
      <c r="Y4529" s="135"/>
      <c r="Z4529" s="135"/>
    </row>
    <row r="4530" spans="1:26" ht="25.5">
      <c r="A4530" s="136" t="s">
        <v>11</v>
      </c>
      <c r="B4530" s="136" t="s">
        <v>7971</v>
      </c>
      <c r="C4530" s="136" t="s">
        <v>7986</v>
      </c>
      <c r="D4530" s="136" t="s">
        <v>1626</v>
      </c>
      <c r="E4530" s="136" t="s">
        <v>594</v>
      </c>
      <c r="F4530" s="136">
        <v>468</v>
      </c>
      <c r="G4530" s="137">
        <f t="shared" si="17"/>
        <v>4</v>
      </c>
      <c r="H4530" s="137"/>
      <c r="I4530" s="137"/>
      <c r="J4530" s="135"/>
      <c r="K4530" s="135"/>
      <c r="L4530" s="135"/>
      <c r="M4530" s="135"/>
      <c r="N4530" s="135"/>
      <c r="O4530" s="135"/>
      <c r="P4530" s="135"/>
      <c r="Q4530" s="135"/>
      <c r="R4530" s="135"/>
      <c r="S4530" s="135"/>
      <c r="T4530" s="135"/>
      <c r="U4530" s="135"/>
      <c r="V4530" s="135"/>
      <c r="W4530" s="135"/>
      <c r="X4530" s="135"/>
      <c r="Y4530" s="135"/>
      <c r="Z4530" s="135"/>
    </row>
    <row r="4531" spans="1:26" ht="25.5">
      <c r="A4531" s="136" t="s">
        <v>11</v>
      </c>
      <c r="B4531" s="136" t="s">
        <v>7971</v>
      </c>
      <c r="C4531" s="136" t="s">
        <v>7986</v>
      </c>
      <c r="D4531" s="136" t="s">
        <v>1680</v>
      </c>
      <c r="E4531" s="136" t="s">
        <v>615</v>
      </c>
      <c r="F4531" s="136">
        <v>371</v>
      </c>
      <c r="G4531" s="137">
        <f t="shared" si="17"/>
        <v>5</v>
      </c>
      <c r="H4531" s="137"/>
      <c r="I4531" s="137"/>
      <c r="J4531" s="135"/>
      <c r="K4531" s="135"/>
      <c r="L4531" s="135"/>
      <c r="M4531" s="135"/>
      <c r="N4531" s="135"/>
      <c r="O4531" s="135"/>
      <c r="P4531" s="135"/>
      <c r="Q4531" s="135"/>
      <c r="R4531" s="135"/>
      <c r="S4531" s="135"/>
      <c r="T4531" s="135"/>
      <c r="U4531" s="135"/>
      <c r="V4531" s="135"/>
      <c r="W4531" s="135"/>
      <c r="X4531" s="135"/>
      <c r="Y4531" s="135"/>
      <c r="Z4531" s="135"/>
    </row>
    <row r="4532" spans="1:26" ht="25.5">
      <c r="A4532" s="136" t="s">
        <v>11</v>
      </c>
      <c r="B4532" s="136" t="s">
        <v>7971</v>
      </c>
      <c r="C4532" s="136" t="s">
        <v>7986</v>
      </c>
      <c r="D4532" s="136" t="s">
        <v>131</v>
      </c>
      <c r="E4532" s="136" t="s">
        <v>594</v>
      </c>
      <c r="F4532" s="136">
        <v>323</v>
      </c>
      <c r="G4532" s="137">
        <f t="shared" si="17"/>
        <v>6</v>
      </c>
      <c r="H4532" s="137"/>
      <c r="I4532" s="137"/>
      <c r="J4532" s="135"/>
      <c r="K4532" s="135"/>
      <c r="L4532" s="135"/>
      <c r="M4532" s="135"/>
      <c r="N4532" s="135"/>
      <c r="O4532" s="135"/>
      <c r="P4532" s="135"/>
      <c r="Q4532" s="135"/>
      <c r="R4532" s="135"/>
      <c r="S4532" s="135"/>
      <c r="T4532" s="135"/>
      <c r="U4532" s="135"/>
      <c r="V4532" s="135"/>
      <c r="W4532" s="135"/>
      <c r="X4532" s="135"/>
      <c r="Y4532" s="135"/>
      <c r="Z4532" s="135"/>
    </row>
    <row r="4533" spans="1:26" ht="25.5">
      <c r="A4533" s="136" t="s">
        <v>11</v>
      </c>
      <c r="B4533" s="136" t="s">
        <v>7971</v>
      </c>
      <c r="C4533" s="136" t="s">
        <v>7986</v>
      </c>
      <c r="D4533" s="136" t="s">
        <v>103</v>
      </c>
      <c r="E4533" s="136" t="s">
        <v>594</v>
      </c>
      <c r="F4533" s="136">
        <v>276</v>
      </c>
      <c r="G4533" s="137">
        <f t="shared" si="17"/>
        <v>7</v>
      </c>
      <c r="H4533" s="137"/>
      <c r="I4533" s="137"/>
      <c r="J4533" s="135"/>
      <c r="K4533" s="135"/>
      <c r="L4533" s="135"/>
      <c r="M4533" s="135"/>
      <c r="N4533" s="135"/>
      <c r="O4533" s="135"/>
      <c r="P4533" s="135"/>
      <c r="Q4533" s="135"/>
      <c r="R4533" s="135"/>
      <c r="S4533" s="135"/>
      <c r="T4533" s="135"/>
      <c r="U4533" s="135"/>
      <c r="V4533" s="135"/>
      <c r="W4533" s="135"/>
      <c r="X4533" s="135"/>
      <c r="Y4533" s="135"/>
      <c r="Z4533" s="135"/>
    </row>
    <row r="4534" spans="1:26" ht="25.5">
      <c r="A4534" s="136" t="s">
        <v>11</v>
      </c>
      <c r="B4534" s="136" t="s">
        <v>7971</v>
      </c>
      <c r="C4534" s="136" t="s">
        <v>7986</v>
      </c>
      <c r="D4534" s="136" t="s">
        <v>136</v>
      </c>
      <c r="E4534" s="136" t="s">
        <v>615</v>
      </c>
      <c r="F4534" s="136">
        <v>162</v>
      </c>
      <c r="G4534" s="137">
        <f t="shared" si="17"/>
        <v>8</v>
      </c>
      <c r="H4534" s="137"/>
      <c r="I4534" s="137"/>
      <c r="J4534" s="135"/>
      <c r="K4534" s="135"/>
      <c r="L4534" s="135"/>
      <c r="M4534" s="135"/>
      <c r="N4534" s="135"/>
      <c r="O4534" s="135"/>
      <c r="P4534" s="135"/>
      <c r="Q4534" s="135"/>
      <c r="R4534" s="135"/>
      <c r="S4534" s="135"/>
      <c r="T4534" s="135"/>
      <c r="U4534" s="135"/>
      <c r="V4534" s="135"/>
      <c r="W4534" s="135"/>
      <c r="X4534" s="135"/>
      <c r="Y4534" s="135"/>
      <c r="Z4534" s="135"/>
    </row>
    <row r="4535" spans="1:26" ht="25.5">
      <c r="A4535" s="136" t="s">
        <v>11</v>
      </c>
      <c r="B4535" s="136" t="s">
        <v>7971</v>
      </c>
      <c r="C4535" s="136" t="s">
        <v>7986</v>
      </c>
      <c r="D4535" s="136" t="s">
        <v>1665</v>
      </c>
      <c r="E4535" s="136" t="s">
        <v>615</v>
      </c>
      <c r="F4535" s="136">
        <v>138</v>
      </c>
      <c r="G4535" s="137">
        <f t="shared" si="17"/>
        <v>11</v>
      </c>
      <c r="H4535" s="137"/>
      <c r="I4535" s="137"/>
      <c r="J4535" s="135"/>
      <c r="K4535" s="135"/>
      <c r="L4535" s="135"/>
      <c r="M4535" s="135"/>
      <c r="N4535" s="135"/>
      <c r="O4535" s="135"/>
      <c r="P4535" s="135"/>
      <c r="Q4535" s="135"/>
      <c r="R4535" s="135"/>
      <c r="S4535" s="135"/>
      <c r="T4535" s="135"/>
      <c r="U4535" s="135"/>
      <c r="V4535" s="135"/>
      <c r="W4535" s="135"/>
      <c r="X4535" s="135"/>
      <c r="Y4535" s="135"/>
      <c r="Z4535" s="135"/>
    </row>
    <row r="4536" spans="1:26" ht="25.5">
      <c r="A4536" s="136" t="s">
        <v>11</v>
      </c>
      <c r="B4536" s="136" t="s">
        <v>7971</v>
      </c>
      <c r="C4536" s="136" t="s">
        <v>7986</v>
      </c>
      <c r="D4536" s="136" t="s">
        <v>7981</v>
      </c>
      <c r="E4536" s="136" t="s">
        <v>615</v>
      </c>
      <c r="F4536" s="136">
        <v>155</v>
      </c>
      <c r="G4536" s="137">
        <f t="shared" si="17"/>
        <v>9</v>
      </c>
      <c r="H4536" s="137"/>
      <c r="I4536" s="137"/>
      <c r="J4536" s="135"/>
      <c r="K4536" s="135"/>
      <c r="L4536" s="135"/>
      <c r="M4536" s="135"/>
      <c r="N4536" s="135"/>
      <c r="O4536" s="135"/>
      <c r="P4536" s="135"/>
      <c r="Q4536" s="135"/>
      <c r="R4536" s="135"/>
      <c r="S4536" s="135"/>
      <c r="T4536" s="135"/>
      <c r="U4536" s="135"/>
      <c r="V4536" s="135"/>
      <c r="W4536" s="135"/>
      <c r="X4536" s="135"/>
      <c r="Y4536" s="135"/>
      <c r="Z4536" s="135"/>
    </row>
    <row r="4537" spans="1:26" ht="25.5">
      <c r="A4537" s="136" t="s">
        <v>11</v>
      </c>
      <c r="B4537" s="136" t="s">
        <v>7971</v>
      </c>
      <c r="C4537" s="136" t="s">
        <v>7986</v>
      </c>
      <c r="D4537" s="136" t="s">
        <v>1604</v>
      </c>
      <c r="E4537" s="136" t="s">
        <v>615</v>
      </c>
      <c r="F4537" s="136">
        <v>148</v>
      </c>
      <c r="G4537" s="137">
        <f t="shared" si="17"/>
        <v>10</v>
      </c>
      <c r="H4537" s="137"/>
      <c r="I4537" s="137"/>
      <c r="J4537" s="135"/>
      <c r="K4537" s="135"/>
      <c r="L4537" s="135"/>
      <c r="M4537" s="135"/>
      <c r="N4537" s="135"/>
      <c r="O4537" s="135"/>
      <c r="P4537" s="135"/>
      <c r="Q4537" s="135"/>
      <c r="R4537" s="135"/>
      <c r="S4537" s="135"/>
      <c r="T4537" s="135"/>
      <c r="U4537" s="135"/>
      <c r="V4537" s="135"/>
      <c r="W4537" s="135"/>
      <c r="X4537" s="135"/>
      <c r="Y4537" s="135"/>
      <c r="Z4537" s="135"/>
    </row>
    <row r="4538" spans="1:26" ht="25.5">
      <c r="A4538" s="136" t="s">
        <v>11</v>
      </c>
      <c r="B4538" s="136" t="s">
        <v>7971</v>
      </c>
      <c r="C4538" s="136" t="s">
        <v>7986</v>
      </c>
      <c r="D4538" s="136" t="s">
        <v>7983</v>
      </c>
      <c r="E4538" s="136" t="s">
        <v>594</v>
      </c>
      <c r="F4538" s="136">
        <v>87</v>
      </c>
      <c r="G4538" s="137">
        <f t="shared" si="17"/>
        <v>12</v>
      </c>
      <c r="H4538" s="137"/>
      <c r="I4538" s="137"/>
      <c r="J4538" s="135"/>
      <c r="K4538" s="135"/>
      <c r="L4538" s="135"/>
      <c r="M4538" s="135"/>
      <c r="N4538" s="135"/>
      <c r="O4538" s="135"/>
      <c r="P4538" s="135"/>
      <c r="Q4538" s="135"/>
      <c r="R4538" s="135"/>
      <c r="S4538" s="135"/>
      <c r="T4538" s="135"/>
      <c r="U4538" s="135"/>
      <c r="V4538" s="135"/>
      <c r="W4538" s="135"/>
      <c r="X4538" s="135"/>
      <c r="Y4538" s="135"/>
      <c r="Z4538" s="135"/>
    </row>
    <row r="4539" spans="1:26" ht="25.5">
      <c r="A4539" s="136" t="s">
        <v>11</v>
      </c>
      <c r="B4539" s="136" t="s">
        <v>7971</v>
      </c>
      <c r="C4539" s="136" t="s">
        <v>7986</v>
      </c>
      <c r="D4539" s="136" t="s">
        <v>7657</v>
      </c>
      <c r="E4539" s="136" t="s">
        <v>85</v>
      </c>
      <c r="F4539" s="136">
        <v>62</v>
      </c>
      <c r="G4539" s="137">
        <f t="shared" si="17"/>
        <v>13</v>
      </c>
      <c r="H4539" s="137"/>
      <c r="I4539" s="137"/>
      <c r="J4539" s="135"/>
      <c r="K4539" s="135"/>
      <c r="L4539" s="135"/>
      <c r="M4539" s="135"/>
      <c r="N4539" s="135"/>
      <c r="O4539" s="135"/>
      <c r="P4539" s="135"/>
      <c r="Q4539" s="135"/>
      <c r="R4539" s="135"/>
      <c r="S4539" s="135"/>
      <c r="T4539" s="135"/>
      <c r="U4539" s="135"/>
      <c r="V4539" s="135"/>
      <c r="W4539" s="135"/>
      <c r="X4539" s="135"/>
      <c r="Y4539" s="135"/>
      <c r="Z4539" s="135"/>
    </row>
    <row r="4540" spans="1:26" ht="25.5">
      <c r="A4540" s="136" t="s">
        <v>11</v>
      </c>
      <c r="B4540" s="136" t="s">
        <v>7971</v>
      </c>
      <c r="C4540" s="136" t="s">
        <v>7986</v>
      </c>
      <c r="D4540" s="136" t="s">
        <v>165</v>
      </c>
      <c r="E4540" s="136" t="s">
        <v>615</v>
      </c>
      <c r="F4540" s="136">
        <v>52</v>
      </c>
      <c r="G4540" s="137">
        <f t="shared" si="17"/>
        <v>15</v>
      </c>
      <c r="H4540" s="137"/>
      <c r="I4540" s="137"/>
      <c r="J4540" s="135"/>
      <c r="K4540" s="135"/>
      <c r="L4540" s="135"/>
      <c r="M4540" s="135"/>
      <c r="N4540" s="135"/>
      <c r="O4540" s="135"/>
      <c r="P4540" s="135"/>
      <c r="Q4540" s="135"/>
      <c r="R4540" s="135"/>
      <c r="S4540" s="135"/>
      <c r="T4540" s="135"/>
      <c r="U4540" s="135"/>
      <c r="V4540" s="135"/>
      <c r="W4540" s="135"/>
      <c r="X4540" s="135"/>
      <c r="Y4540" s="135"/>
      <c r="Z4540" s="135"/>
    </row>
    <row r="4541" spans="1:26" ht="25.5">
      <c r="A4541" s="136" t="s">
        <v>11</v>
      </c>
      <c r="B4541" s="136" t="s">
        <v>7971</v>
      </c>
      <c r="C4541" s="136" t="s">
        <v>7986</v>
      </c>
      <c r="D4541" s="136" t="s">
        <v>288</v>
      </c>
      <c r="E4541" s="136" t="s">
        <v>615</v>
      </c>
      <c r="F4541" s="136">
        <v>58</v>
      </c>
      <c r="G4541" s="137">
        <f t="shared" si="17"/>
        <v>14</v>
      </c>
      <c r="H4541" s="137"/>
      <c r="I4541" s="137"/>
      <c r="J4541" s="135"/>
      <c r="K4541" s="135"/>
      <c r="L4541" s="135"/>
      <c r="M4541" s="135"/>
      <c r="N4541" s="135"/>
      <c r="O4541" s="135"/>
      <c r="P4541" s="135"/>
      <c r="Q4541" s="135"/>
      <c r="R4541" s="135"/>
      <c r="S4541" s="135"/>
      <c r="T4541" s="135"/>
      <c r="U4541" s="135"/>
      <c r="V4541" s="135"/>
      <c r="W4541" s="135"/>
      <c r="X4541" s="135"/>
      <c r="Y4541" s="135"/>
      <c r="Z4541" s="135"/>
    </row>
    <row r="4542" spans="1:26" ht="25.5">
      <c r="A4542" s="136" t="s">
        <v>11</v>
      </c>
      <c r="B4542" s="136" t="s">
        <v>7971</v>
      </c>
      <c r="C4542" s="136" t="s">
        <v>7986</v>
      </c>
      <c r="D4542" s="136" t="s">
        <v>1656</v>
      </c>
      <c r="E4542" s="136" t="s">
        <v>615</v>
      </c>
      <c r="F4542" s="136">
        <v>47</v>
      </c>
      <c r="G4542" s="137">
        <f t="shared" si="17"/>
        <v>18</v>
      </c>
      <c r="H4542" s="137"/>
      <c r="I4542" s="137"/>
      <c r="J4542" s="135"/>
      <c r="K4542" s="135"/>
      <c r="L4542" s="135"/>
      <c r="M4542" s="135"/>
      <c r="N4542" s="135"/>
      <c r="O4542" s="135"/>
      <c r="P4542" s="135"/>
      <c r="Q4542" s="135"/>
      <c r="R4542" s="135"/>
      <c r="S4542" s="135"/>
      <c r="T4542" s="135"/>
      <c r="U4542" s="135"/>
      <c r="V4542" s="135"/>
      <c r="W4542" s="135"/>
      <c r="X4542" s="135"/>
      <c r="Y4542" s="135"/>
      <c r="Z4542" s="135"/>
    </row>
    <row r="4543" spans="1:26" ht="25.5">
      <c r="A4543" s="136" t="s">
        <v>11</v>
      </c>
      <c r="B4543" s="136" t="s">
        <v>7971</v>
      </c>
      <c r="C4543" s="136" t="s">
        <v>7986</v>
      </c>
      <c r="D4543" s="136" t="s">
        <v>7933</v>
      </c>
      <c r="E4543" s="136" t="s">
        <v>615</v>
      </c>
      <c r="F4543" s="136">
        <v>32</v>
      </c>
      <c r="G4543" s="137">
        <f t="shared" si="17"/>
        <v>23</v>
      </c>
      <c r="H4543" s="137"/>
      <c r="I4543" s="137"/>
      <c r="J4543" s="135"/>
      <c r="K4543" s="135"/>
      <c r="L4543" s="135"/>
      <c r="M4543" s="135"/>
      <c r="N4543" s="135"/>
      <c r="O4543" s="135"/>
      <c r="P4543" s="135"/>
      <c r="Q4543" s="135"/>
      <c r="R4543" s="135"/>
      <c r="S4543" s="135"/>
      <c r="T4543" s="135"/>
      <c r="U4543" s="135"/>
      <c r="V4543" s="135"/>
      <c r="W4543" s="135"/>
      <c r="X4543" s="135"/>
      <c r="Y4543" s="135"/>
      <c r="Z4543" s="135"/>
    </row>
    <row r="4544" spans="1:26" ht="25.5">
      <c r="A4544" s="136" t="s">
        <v>11</v>
      </c>
      <c r="B4544" s="136" t="s">
        <v>7971</v>
      </c>
      <c r="C4544" s="136" t="s">
        <v>7986</v>
      </c>
      <c r="D4544" s="136" t="s">
        <v>1656</v>
      </c>
      <c r="E4544" s="136" t="s">
        <v>594</v>
      </c>
      <c r="F4544" s="136">
        <v>48</v>
      </c>
      <c r="G4544" s="137">
        <f t="shared" si="17"/>
        <v>16</v>
      </c>
      <c r="H4544" s="137"/>
      <c r="I4544" s="137"/>
      <c r="J4544" s="135"/>
      <c r="K4544" s="135"/>
      <c r="L4544" s="135"/>
      <c r="M4544" s="135"/>
      <c r="N4544" s="135"/>
      <c r="O4544" s="135"/>
      <c r="P4544" s="135"/>
      <c r="Q4544" s="135"/>
      <c r="R4544" s="135"/>
      <c r="S4544" s="135"/>
      <c r="T4544" s="135"/>
      <c r="U4544" s="135"/>
      <c r="V4544" s="135"/>
      <c r="W4544" s="135"/>
      <c r="X4544" s="135"/>
      <c r="Y4544" s="135"/>
      <c r="Z4544" s="135"/>
    </row>
    <row r="4545" spans="1:26" ht="25.5">
      <c r="A4545" s="136" t="s">
        <v>11</v>
      </c>
      <c r="B4545" s="136" t="s">
        <v>7971</v>
      </c>
      <c r="C4545" s="136" t="s">
        <v>7986</v>
      </c>
      <c r="D4545" s="136" t="s">
        <v>120</v>
      </c>
      <c r="E4545" s="136" t="s">
        <v>615</v>
      </c>
      <c r="F4545" s="136">
        <v>47</v>
      </c>
      <c r="G4545" s="137">
        <f t="shared" si="17"/>
        <v>19</v>
      </c>
      <c r="H4545" s="137"/>
      <c r="I4545" s="137"/>
      <c r="J4545" s="135"/>
      <c r="K4545" s="135"/>
      <c r="L4545" s="135"/>
      <c r="M4545" s="135"/>
      <c r="N4545" s="135"/>
      <c r="O4545" s="135"/>
      <c r="P4545" s="135"/>
      <c r="Q4545" s="135"/>
      <c r="R4545" s="135"/>
      <c r="S4545" s="135"/>
      <c r="T4545" s="135"/>
      <c r="U4545" s="135"/>
      <c r="V4545" s="135"/>
      <c r="W4545" s="135"/>
      <c r="X4545" s="135"/>
      <c r="Y4545" s="135"/>
      <c r="Z4545" s="135"/>
    </row>
    <row r="4546" spans="1:26" ht="25.5">
      <c r="A4546" s="136" t="s">
        <v>11</v>
      </c>
      <c r="B4546" s="136" t="s">
        <v>7971</v>
      </c>
      <c r="C4546" s="136" t="s">
        <v>7986</v>
      </c>
      <c r="D4546" s="136" t="s">
        <v>7987</v>
      </c>
      <c r="E4546" s="136" t="s">
        <v>615</v>
      </c>
      <c r="F4546" s="136">
        <v>35</v>
      </c>
      <c r="G4546" s="137">
        <f t="shared" si="17"/>
        <v>21</v>
      </c>
      <c r="H4546" s="137"/>
      <c r="I4546" s="137"/>
      <c r="J4546" s="135"/>
      <c r="K4546" s="135"/>
      <c r="L4546" s="135"/>
      <c r="M4546" s="135"/>
      <c r="N4546" s="135"/>
      <c r="O4546" s="135"/>
      <c r="P4546" s="135"/>
      <c r="Q4546" s="135"/>
      <c r="R4546" s="135"/>
      <c r="S4546" s="135"/>
      <c r="T4546" s="135"/>
      <c r="U4546" s="135"/>
      <c r="V4546" s="135"/>
      <c r="W4546" s="135"/>
      <c r="X4546" s="135"/>
      <c r="Y4546" s="135"/>
      <c r="Z4546" s="135"/>
    </row>
    <row r="4547" spans="1:26" ht="25.5">
      <c r="A4547" s="136" t="s">
        <v>11</v>
      </c>
      <c r="B4547" s="136" t="s">
        <v>7971</v>
      </c>
      <c r="C4547" s="136" t="s">
        <v>7986</v>
      </c>
      <c r="D4547" s="136" t="s">
        <v>7544</v>
      </c>
      <c r="E4547" s="136" t="s">
        <v>615</v>
      </c>
      <c r="F4547" s="136">
        <v>32</v>
      </c>
      <c r="G4547" s="137">
        <f t="shared" si="17"/>
        <v>24</v>
      </c>
      <c r="H4547" s="137"/>
      <c r="I4547" s="137"/>
      <c r="J4547" s="135"/>
      <c r="K4547" s="135"/>
      <c r="L4547" s="135"/>
      <c r="M4547" s="135"/>
      <c r="N4547" s="135"/>
      <c r="O4547" s="135"/>
      <c r="P4547" s="135"/>
      <c r="Q4547" s="135"/>
      <c r="R4547" s="135"/>
      <c r="S4547" s="135"/>
      <c r="T4547" s="135"/>
      <c r="U4547" s="135"/>
      <c r="V4547" s="135"/>
      <c r="W4547" s="135"/>
      <c r="X4547" s="135"/>
      <c r="Y4547" s="135"/>
      <c r="Z4547" s="135"/>
    </row>
    <row r="4548" spans="1:26" ht="25.5">
      <c r="A4548" s="136" t="s">
        <v>11</v>
      </c>
      <c r="B4548" s="136" t="s">
        <v>7971</v>
      </c>
      <c r="C4548" s="136" t="s">
        <v>7986</v>
      </c>
      <c r="D4548" s="136" t="s">
        <v>1677</v>
      </c>
      <c r="E4548" s="136" t="s">
        <v>594</v>
      </c>
      <c r="F4548" s="136">
        <v>26</v>
      </c>
      <c r="G4548" s="137">
        <f t="shared" si="17"/>
        <v>25</v>
      </c>
      <c r="H4548" s="137"/>
      <c r="I4548" s="137"/>
      <c r="J4548" s="135"/>
      <c r="K4548" s="135"/>
      <c r="L4548" s="135"/>
      <c r="M4548" s="135"/>
      <c r="N4548" s="135"/>
      <c r="O4548" s="135"/>
      <c r="P4548" s="135"/>
      <c r="Q4548" s="135"/>
      <c r="R4548" s="135"/>
      <c r="S4548" s="135"/>
      <c r="T4548" s="135"/>
      <c r="U4548" s="135"/>
      <c r="V4548" s="135"/>
      <c r="W4548" s="135"/>
      <c r="X4548" s="135"/>
      <c r="Y4548" s="135"/>
      <c r="Z4548" s="135"/>
    </row>
    <row r="4549" spans="1:26" ht="25.5">
      <c r="A4549" s="136" t="s">
        <v>11</v>
      </c>
      <c r="B4549" s="136" t="s">
        <v>7971</v>
      </c>
      <c r="C4549" s="136" t="s">
        <v>7986</v>
      </c>
      <c r="D4549" s="136" t="s">
        <v>437</v>
      </c>
      <c r="E4549" s="136" t="s">
        <v>594</v>
      </c>
      <c r="F4549" s="136">
        <v>48</v>
      </c>
      <c r="G4549" s="137">
        <f t="shared" si="17"/>
        <v>17</v>
      </c>
      <c r="H4549" s="137"/>
      <c r="I4549" s="137"/>
      <c r="J4549" s="135"/>
      <c r="K4549" s="135"/>
      <c r="L4549" s="135"/>
      <c r="M4549" s="135"/>
      <c r="N4549" s="135"/>
      <c r="O4549" s="135"/>
      <c r="P4549" s="135"/>
      <c r="Q4549" s="135"/>
      <c r="R4549" s="135"/>
      <c r="S4549" s="135"/>
      <c r="T4549" s="135"/>
      <c r="U4549" s="135"/>
      <c r="V4549" s="135"/>
      <c r="W4549" s="135"/>
      <c r="X4549" s="135"/>
      <c r="Y4549" s="135"/>
      <c r="Z4549" s="135"/>
    </row>
    <row r="4550" spans="1:26" ht="25.5">
      <c r="A4550" s="136" t="s">
        <v>11</v>
      </c>
      <c r="B4550" s="136" t="s">
        <v>7971</v>
      </c>
      <c r="C4550" s="136" t="s">
        <v>7986</v>
      </c>
      <c r="D4550" s="136" t="s">
        <v>7988</v>
      </c>
      <c r="E4550" s="136" t="s">
        <v>615</v>
      </c>
      <c r="F4550" s="136">
        <v>37</v>
      </c>
      <c r="G4550" s="137">
        <f t="shared" si="17"/>
        <v>20</v>
      </c>
      <c r="H4550" s="137"/>
      <c r="I4550" s="137"/>
      <c r="J4550" s="135"/>
      <c r="K4550" s="135"/>
      <c r="L4550" s="135"/>
      <c r="M4550" s="135"/>
      <c r="N4550" s="135"/>
      <c r="O4550" s="135"/>
      <c r="P4550" s="135"/>
      <c r="Q4550" s="135"/>
      <c r="R4550" s="135"/>
      <c r="S4550" s="135"/>
      <c r="T4550" s="135"/>
      <c r="U4550" s="135"/>
      <c r="V4550" s="135"/>
      <c r="W4550" s="135"/>
      <c r="X4550" s="135"/>
      <c r="Y4550" s="135"/>
      <c r="Z4550" s="135"/>
    </row>
    <row r="4551" spans="1:26" ht="25.5">
      <c r="A4551" s="136" t="s">
        <v>11</v>
      </c>
      <c r="B4551" s="136" t="s">
        <v>7971</v>
      </c>
      <c r="C4551" s="136" t="s">
        <v>7986</v>
      </c>
      <c r="D4551" s="136" t="s">
        <v>7767</v>
      </c>
      <c r="E4551" s="136" t="s">
        <v>594</v>
      </c>
      <c r="F4551" s="136">
        <v>24</v>
      </c>
      <c r="G4551" s="137">
        <f t="shared" si="17"/>
        <v>26</v>
      </c>
      <c r="H4551" s="137"/>
      <c r="I4551" s="137"/>
      <c r="J4551" s="135"/>
      <c r="K4551" s="135"/>
      <c r="L4551" s="135"/>
      <c r="M4551" s="135"/>
      <c r="N4551" s="135"/>
      <c r="O4551" s="135"/>
      <c r="P4551" s="135"/>
      <c r="Q4551" s="135"/>
      <c r="R4551" s="135"/>
      <c r="S4551" s="135"/>
      <c r="T4551" s="135"/>
      <c r="U4551" s="135"/>
      <c r="V4551" s="135"/>
      <c r="W4551" s="135"/>
      <c r="X4551" s="135"/>
      <c r="Y4551" s="135"/>
      <c r="Z4551" s="135"/>
    </row>
    <row r="4552" spans="1:26" ht="25.5">
      <c r="A4552" s="136" t="s">
        <v>11</v>
      </c>
      <c r="B4552" s="136" t="s">
        <v>7971</v>
      </c>
      <c r="C4552" s="136" t="s">
        <v>7986</v>
      </c>
      <c r="D4552" s="136" t="s">
        <v>7989</v>
      </c>
      <c r="E4552" s="136" t="s">
        <v>85</v>
      </c>
      <c r="F4552" s="136">
        <v>21</v>
      </c>
      <c r="G4552" s="137">
        <f t="shared" si="17"/>
        <v>28</v>
      </c>
      <c r="H4552" s="137"/>
      <c r="I4552" s="137"/>
      <c r="J4552" s="135"/>
      <c r="K4552" s="135"/>
      <c r="L4552" s="135"/>
      <c r="M4552" s="135"/>
      <c r="N4552" s="135"/>
      <c r="O4552" s="135"/>
      <c r="P4552" s="135"/>
      <c r="Q4552" s="135"/>
      <c r="R4552" s="135"/>
      <c r="S4552" s="135"/>
      <c r="T4552" s="135"/>
      <c r="U4552" s="135"/>
      <c r="V4552" s="135"/>
      <c r="W4552" s="135"/>
      <c r="X4552" s="135"/>
      <c r="Y4552" s="135"/>
      <c r="Z4552" s="135"/>
    </row>
    <row r="4553" spans="1:26" ht="25.5">
      <c r="A4553" s="136" t="s">
        <v>11</v>
      </c>
      <c r="B4553" s="136" t="s">
        <v>7971</v>
      </c>
      <c r="C4553" s="136" t="s">
        <v>7986</v>
      </c>
      <c r="D4553" s="136" t="s">
        <v>1635</v>
      </c>
      <c r="E4553" s="136" t="s">
        <v>615</v>
      </c>
      <c r="F4553" s="136">
        <v>34</v>
      </c>
      <c r="G4553" s="137">
        <f t="shared" si="17"/>
        <v>22</v>
      </c>
      <c r="H4553" s="137"/>
      <c r="I4553" s="137"/>
      <c r="J4553" s="135"/>
      <c r="K4553" s="135"/>
      <c r="L4553" s="135"/>
      <c r="M4553" s="135"/>
      <c r="N4553" s="135"/>
      <c r="O4553" s="135"/>
      <c r="P4553" s="135"/>
      <c r="Q4553" s="135"/>
      <c r="R4553" s="135"/>
      <c r="S4553" s="135"/>
      <c r="T4553" s="135"/>
      <c r="U4553" s="135"/>
      <c r="V4553" s="135"/>
      <c r="W4553" s="135"/>
      <c r="X4553" s="135"/>
      <c r="Y4553" s="135"/>
      <c r="Z4553" s="135"/>
    </row>
    <row r="4554" spans="1:26" ht="25.5">
      <c r="A4554" s="136" t="s">
        <v>11</v>
      </c>
      <c r="B4554" s="136" t="s">
        <v>7971</v>
      </c>
      <c r="C4554" s="136" t="s">
        <v>7986</v>
      </c>
      <c r="D4554" s="136" t="s">
        <v>1682</v>
      </c>
      <c r="E4554" s="136" t="s">
        <v>86</v>
      </c>
      <c r="F4554" s="136">
        <v>22</v>
      </c>
      <c r="G4554" s="137">
        <f t="shared" si="17"/>
        <v>27</v>
      </c>
      <c r="H4554" s="137"/>
      <c r="I4554" s="137"/>
      <c r="J4554" s="135"/>
      <c r="K4554" s="135"/>
      <c r="L4554" s="135"/>
      <c r="M4554" s="135"/>
      <c r="N4554" s="135"/>
      <c r="O4554" s="135"/>
      <c r="P4554" s="135"/>
      <c r="Q4554" s="135"/>
      <c r="R4554" s="135"/>
      <c r="S4554" s="135"/>
      <c r="T4554" s="135"/>
      <c r="U4554" s="135"/>
      <c r="V4554" s="135"/>
      <c r="W4554" s="135"/>
      <c r="X4554" s="135"/>
      <c r="Y4554" s="135"/>
      <c r="Z4554" s="135"/>
    </row>
    <row r="4555" spans="1:26" ht="25.5">
      <c r="A4555" s="136" t="s">
        <v>11</v>
      </c>
      <c r="B4555" s="136" t="s">
        <v>7971</v>
      </c>
      <c r="C4555" s="136" t="s">
        <v>7986</v>
      </c>
      <c r="D4555" s="136" t="s">
        <v>1666</v>
      </c>
      <c r="E4555" s="136" t="s">
        <v>85</v>
      </c>
      <c r="F4555" s="136">
        <v>18</v>
      </c>
      <c r="G4555" s="137">
        <f t="shared" si="17"/>
        <v>29</v>
      </c>
      <c r="H4555" s="137"/>
      <c r="I4555" s="137"/>
      <c r="J4555" s="135"/>
      <c r="K4555" s="135"/>
      <c r="L4555" s="135"/>
      <c r="M4555" s="135"/>
      <c r="N4555" s="135"/>
      <c r="O4555" s="135"/>
      <c r="P4555" s="135"/>
      <c r="Q4555" s="135"/>
      <c r="R4555" s="135"/>
      <c r="S4555" s="135"/>
      <c r="T4555" s="135"/>
      <c r="U4555" s="135"/>
      <c r="V4555" s="135"/>
      <c r="W4555" s="135"/>
      <c r="X4555" s="135"/>
      <c r="Y4555" s="135"/>
      <c r="Z4555" s="135"/>
    </row>
    <row r="4556" spans="1:26" ht="25.5">
      <c r="A4556" s="136" t="s">
        <v>11</v>
      </c>
      <c r="B4556" s="136" t="s">
        <v>7971</v>
      </c>
      <c r="C4556" s="136" t="s">
        <v>7990</v>
      </c>
      <c r="D4556" s="136" t="s">
        <v>139</v>
      </c>
      <c r="E4556" s="136" t="s">
        <v>594</v>
      </c>
      <c r="F4556" s="136">
        <v>4390</v>
      </c>
      <c r="G4556" s="137">
        <f t="shared" si="17"/>
        <v>1</v>
      </c>
      <c r="H4556" s="137"/>
      <c r="I4556" s="137"/>
      <c r="J4556" s="135"/>
      <c r="K4556" s="135"/>
      <c r="L4556" s="135"/>
      <c r="M4556" s="135"/>
      <c r="N4556" s="135"/>
      <c r="O4556" s="135"/>
      <c r="P4556" s="135"/>
      <c r="Q4556" s="135"/>
      <c r="R4556" s="135"/>
      <c r="S4556" s="135"/>
      <c r="T4556" s="135"/>
      <c r="U4556" s="135"/>
      <c r="V4556" s="135"/>
      <c r="W4556" s="135"/>
      <c r="X4556" s="135"/>
      <c r="Y4556" s="135"/>
      <c r="Z4556" s="135"/>
    </row>
    <row r="4557" spans="1:26" ht="25.5">
      <c r="A4557" s="136" t="s">
        <v>11</v>
      </c>
      <c r="B4557" s="136" t="s">
        <v>7971</v>
      </c>
      <c r="C4557" s="136" t="s">
        <v>7990</v>
      </c>
      <c r="D4557" s="136" t="s">
        <v>1669</v>
      </c>
      <c r="E4557" s="136" t="s">
        <v>615</v>
      </c>
      <c r="F4557" s="136">
        <v>2143</v>
      </c>
      <c r="G4557" s="137">
        <f t="shared" si="17"/>
        <v>2</v>
      </c>
      <c r="H4557" s="137"/>
      <c r="I4557" s="137"/>
      <c r="J4557" s="135"/>
      <c r="K4557" s="135"/>
      <c r="L4557" s="135"/>
      <c r="M4557" s="135"/>
      <c r="N4557" s="135"/>
      <c r="O4557" s="135"/>
      <c r="P4557" s="135"/>
      <c r="Q4557" s="135"/>
      <c r="R4557" s="135"/>
      <c r="S4557" s="135"/>
      <c r="T4557" s="135"/>
      <c r="U4557" s="135"/>
      <c r="V4557" s="135"/>
      <c r="W4557" s="135"/>
      <c r="X4557" s="135"/>
      <c r="Y4557" s="135"/>
      <c r="Z4557" s="135"/>
    </row>
    <row r="4558" spans="1:26" ht="25.5">
      <c r="A4558" s="136" t="s">
        <v>11</v>
      </c>
      <c r="B4558" s="136" t="s">
        <v>7971</v>
      </c>
      <c r="C4558" s="136" t="s">
        <v>7990</v>
      </c>
      <c r="D4558" s="136" t="s">
        <v>1626</v>
      </c>
      <c r="E4558" s="136" t="s">
        <v>594</v>
      </c>
      <c r="F4558" s="136">
        <v>850</v>
      </c>
      <c r="G4558" s="137">
        <f t="shared" si="17"/>
        <v>3</v>
      </c>
      <c r="H4558" s="137"/>
      <c r="I4558" s="137"/>
      <c r="J4558" s="135"/>
      <c r="K4558" s="135"/>
      <c r="L4558" s="135"/>
      <c r="M4558" s="135"/>
      <c r="N4558" s="135"/>
      <c r="O4558" s="135"/>
      <c r="P4558" s="135"/>
      <c r="Q4558" s="135"/>
      <c r="R4558" s="135"/>
      <c r="S4558" s="135"/>
      <c r="T4558" s="135"/>
      <c r="U4558" s="135"/>
      <c r="V4558" s="135"/>
      <c r="W4558" s="135"/>
      <c r="X4558" s="135"/>
      <c r="Y4558" s="135"/>
      <c r="Z4558" s="135"/>
    </row>
    <row r="4559" spans="1:26" ht="25.5">
      <c r="A4559" s="136" t="s">
        <v>11</v>
      </c>
      <c r="B4559" s="136" t="s">
        <v>7971</v>
      </c>
      <c r="C4559" s="136" t="s">
        <v>7990</v>
      </c>
      <c r="D4559" s="136" t="s">
        <v>131</v>
      </c>
      <c r="E4559" s="136" t="s">
        <v>594</v>
      </c>
      <c r="F4559" s="136">
        <v>290</v>
      </c>
      <c r="G4559" s="137">
        <f t="shared" si="17"/>
        <v>4</v>
      </c>
      <c r="H4559" s="137"/>
      <c r="I4559" s="137"/>
      <c r="J4559" s="135"/>
      <c r="K4559" s="135"/>
      <c r="L4559" s="135"/>
      <c r="M4559" s="135"/>
      <c r="N4559" s="135"/>
      <c r="O4559" s="135"/>
      <c r="P4559" s="135"/>
      <c r="Q4559" s="135"/>
      <c r="R4559" s="135"/>
      <c r="S4559" s="135"/>
      <c r="T4559" s="135"/>
      <c r="U4559" s="135"/>
      <c r="V4559" s="135"/>
      <c r="W4559" s="135"/>
      <c r="X4559" s="135"/>
      <c r="Y4559" s="135"/>
      <c r="Z4559" s="135"/>
    </row>
    <row r="4560" spans="1:26" ht="25.5">
      <c r="A4560" s="136" t="s">
        <v>11</v>
      </c>
      <c r="B4560" s="136" t="s">
        <v>7971</v>
      </c>
      <c r="C4560" s="136" t="s">
        <v>7990</v>
      </c>
      <c r="D4560" s="136" t="s">
        <v>114</v>
      </c>
      <c r="E4560" s="136" t="s">
        <v>85</v>
      </c>
      <c r="F4560" s="136">
        <v>219</v>
      </c>
      <c r="G4560" s="137">
        <f t="shared" si="17"/>
        <v>5</v>
      </c>
      <c r="H4560" s="137"/>
      <c r="I4560" s="137"/>
      <c r="J4560" s="135"/>
      <c r="K4560" s="135"/>
      <c r="L4560" s="135"/>
      <c r="M4560" s="135"/>
      <c r="N4560" s="135"/>
      <c r="O4560" s="135"/>
      <c r="P4560" s="135"/>
      <c r="Q4560" s="135"/>
      <c r="R4560" s="135"/>
      <c r="S4560" s="135"/>
      <c r="T4560" s="135"/>
      <c r="U4560" s="135"/>
      <c r="V4560" s="135"/>
      <c r="W4560" s="135"/>
      <c r="X4560" s="135"/>
      <c r="Y4560" s="135"/>
      <c r="Z4560" s="135"/>
    </row>
    <row r="4561" spans="1:26" ht="25.5">
      <c r="A4561" s="136" t="s">
        <v>11</v>
      </c>
      <c r="B4561" s="136" t="s">
        <v>7971</v>
      </c>
      <c r="C4561" s="136" t="s">
        <v>7990</v>
      </c>
      <c r="D4561" s="136" t="s">
        <v>1680</v>
      </c>
      <c r="E4561" s="136" t="s">
        <v>615</v>
      </c>
      <c r="F4561" s="136">
        <v>200</v>
      </c>
      <c r="G4561" s="137">
        <f t="shared" si="17"/>
        <v>6</v>
      </c>
      <c r="H4561" s="137"/>
      <c r="I4561" s="137"/>
      <c r="J4561" s="135"/>
      <c r="K4561" s="135"/>
      <c r="L4561" s="135"/>
      <c r="M4561" s="135"/>
      <c r="N4561" s="135"/>
      <c r="O4561" s="135"/>
      <c r="P4561" s="135"/>
      <c r="Q4561" s="135"/>
      <c r="R4561" s="135"/>
      <c r="S4561" s="135"/>
      <c r="T4561" s="135"/>
      <c r="U4561" s="135"/>
      <c r="V4561" s="135"/>
      <c r="W4561" s="135"/>
      <c r="X4561" s="135"/>
      <c r="Y4561" s="135"/>
      <c r="Z4561" s="135"/>
    </row>
    <row r="4562" spans="1:26" ht="25.5">
      <c r="A4562" s="136" t="s">
        <v>11</v>
      </c>
      <c r="B4562" s="136" t="s">
        <v>7971</v>
      </c>
      <c r="C4562" s="136" t="s">
        <v>7990</v>
      </c>
      <c r="D4562" s="136" t="s">
        <v>7481</v>
      </c>
      <c r="E4562" s="136" t="s">
        <v>615</v>
      </c>
      <c r="F4562" s="136">
        <v>168</v>
      </c>
      <c r="G4562" s="137">
        <f t="shared" si="17"/>
        <v>7</v>
      </c>
      <c r="H4562" s="137"/>
      <c r="I4562" s="137"/>
      <c r="J4562" s="135"/>
      <c r="K4562" s="135"/>
      <c r="L4562" s="135"/>
      <c r="M4562" s="135"/>
      <c r="N4562" s="135"/>
      <c r="O4562" s="135"/>
      <c r="P4562" s="135"/>
      <c r="Q4562" s="135"/>
      <c r="R4562" s="135"/>
      <c r="S4562" s="135"/>
      <c r="T4562" s="135"/>
      <c r="U4562" s="135"/>
      <c r="V4562" s="135"/>
      <c r="W4562" s="135"/>
      <c r="X4562" s="135"/>
      <c r="Y4562" s="135"/>
      <c r="Z4562" s="135"/>
    </row>
    <row r="4563" spans="1:26" ht="25.5">
      <c r="A4563" s="136" t="s">
        <v>11</v>
      </c>
      <c r="B4563" s="136" t="s">
        <v>7971</v>
      </c>
      <c r="C4563" s="136" t="s">
        <v>7990</v>
      </c>
      <c r="D4563" s="136" t="s">
        <v>433</v>
      </c>
      <c r="E4563" s="136" t="s">
        <v>594</v>
      </c>
      <c r="F4563" s="136">
        <v>161</v>
      </c>
      <c r="G4563" s="137">
        <f t="shared" si="17"/>
        <v>8</v>
      </c>
      <c r="H4563" s="137"/>
      <c r="I4563" s="137"/>
      <c r="J4563" s="135"/>
      <c r="K4563" s="135"/>
      <c r="L4563" s="135"/>
      <c r="M4563" s="135"/>
      <c r="N4563" s="135"/>
      <c r="O4563" s="135"/>
      <c r="P4563" s="135"/>
      <c r="Q4563" s="135"/>
      <c r="R4563" s="135"/>
      <c r="S4563" s="135"/>
      <c r="T4563" s="135"/>
      <c r="U4563" s="135"/>
      <c r="V4563" s="135"/>
      <c r="W4563" s="135"/>
      <c r="X4563" s="135"/>
      <c r="Y4563" s="135"/>
      <c r="Z4563" s="135"/>
    </row>
    <row r="4564" spans="1:26" ht="25.5">
      <c r="A4564" s="136" t="s">
        <v>11</v>
      </c>
      <c r="B4564" s="136" t="s">
        <v>7971</v>
      </c>
      <c r="C4564" s="136" t="s">
        <v>7990</v>
      </c>
      <c r="D4564" s="136" t="s">
        <v>103</v>
      </c>
      <c r="E4564" s="136" t="s">
        <v>594</v>
      </c>
      <c r="F4564" s="136">
        <v>140</v>
      </c>
      <c r="G4564" s="137">
        <f t="shared" si="17"/>
        <v>9</v>
      </c>
      <c r="H4564" s="137"/>
      <c r="I4564" s="137"/>
      <c r="J4564" s="135"/>
      <c r="K4564" s="135"/>
      <c r="L4564" s="135"/>
      <c r="M4564" s="135"/>
      <c r="N4564" s="135"/>
      <c r="O4564" s="135"/>
      <c r="P4564" s="135"/>
      <c r="Q4564" s="135"/>
      <c r="R4564" s="135"/>
      <c r="S4564" s="135"/>
      <c r="T4564" s="135"/>
      <c r="U4564" s="135"/>
      <c r="V4564" s="135"/>
      <c r="W4564" s="135"/>
      <c r="X4564" s="135"/>
      <c r="Y4564" s="135"/>
      <c r="Z4564" s="135"/>
    </row>
    <row r="4565" spans="1:26" ht="25.5">
      <c r="A4565" s="136" t="s">
        <v>11</v>
      </c>
      <c r="B4565" s="136" t="s">
        <v>7971</v>
      </c>
      <c r="C4565" s="136" t="s">
        <v>7990</v>
      </c>
      <c r="D4565" s="136" t="s">
        <v>1665</v>
      </c>
      <c r="E4565" s="136" t="s">
        <v>615</v>
      </c>
      <c r="F4565" s="136">
        <v>115</v>
      </c>
      <c r="G4565" s="137">
        <f t="shared" si="17"/>
        <v>10</v>
      </c>
      <c r="H4565" s="137"/>
      <c r="I4565" s="137"/>
      <c r="J4565" s="135"/>
      <c r="K4565" s="135"/>
      <c r="L4565" s="135"/>
      <c r="M4565" s="135"/>
      <c r="N4565" s="135"/>
      <c r="O4565" s="135"/>
      <c r="P4565" s="135"/>
      <c r="Q4565" s="135"/>
      <c r="R4565" s="135"/>
      <c r="S4565" s="135"/>
      <c r="T4565" s="135"/>
      <c r="U4565" s="135"/>
      <c r="V4565" s="135"/>
      <c r="W4565" s="135"/>
      <c r="X4565" s="135"/>
      <c r="Y4565" s="135"/>
      <c r="Z4565" s="135"/>
    </row>
    <row r="4566" spans="1:26" ht="25.5">
      <c r="A4566" s="136" t="s">
        <v>11</v>
      </c>
      <c r="B4566" s="136" t="s">
        <v>7971</v>
      </c>
      <c r="C4566" s="136" t="s">
        <v>7990</v>
      </c>
      <c r="D4566" s="136" t="s">
        <v>368</v>
      </c>
      <c r="E4566" s="136" t="s">
        <v>594</v>
      </c>
      <c r="F4566" s="136">
        <v>105</v>
      </c>
      <c r="G4566" s="137">
        <f t="shared" si="17"/>
        <v>11</v>
      </c>
      <c r="H4566" s="137"/>
      <c r="I4566" s="137"/>
      <c r="J4566" s="135"/>
      <c r="K4566" s="135"/>
      <c r="L4566" s="135"/>
      <c r="M4566" s="135"/>
      <c r="N4566" s="135"/>
      <c r="O4566" s="135"/>
      <c r="P4566" s="135"/>
      <c r="Q4566" s="135"/>
      <c r="R4566" s="135"/>
      <c r="S4566" s="135"/>
      <c r="T4566" s="135"/>
      <c r="U4566" s="135"/>
      <c r="V4566" s="135"/>
      <c r="W4566" s="135"/>
      <c r="X4566" s="135"/>
      <c r="Y4566" s="135"/>
      <c r="Z4566" s="135"/>
    </row>
    <row r="4567" spans="1:26" ht="25.5">
      <c r="A4567" s="136" t="s">
        <v>11</v>
      </c>
      <c r="B4567" s="136" t="s">
        <v>7971</v>
      </c>
      <c r="C4567" s="136" t="s">
        <v>7990</v>
      </c>
      <c r="D4567" s="136" t="s">
        <v>107</v>
      </c>
      <c r="E4567" s="136" t="s">
        <v>615</v>
      </c>
      <c r="F4567" s="136">
        <v>100</v>
      </c>
      <c r="G4567" s="137">
        <f t="shared" si="17"/>
        <v>12</v>
      </c>
      <c r="H4567" s="137"/>
      <c r="I4567" s="137"/>
      <c r="J4567" s="135"/>
      <c r="K4567" s="135"/>
      <c r="L4567" s="135"/>
      <c r="M4567" s="135"/>
      <c r="N4567" s="135"/>
      <c r="O4567" s="135"/>
      <c r="P4567" s="135"/>
      <c r="Q4567" s="135"/>
      <c r="R4567" s="135"/>
      <c r="S4567" s="135"/>
      <c r="T4567" s="135"/>
      <c r="U4567" s="135"/>
      <c r="V4567" s="135"/>
      <c r="W4567" s="135"/>
      <c r="X4567" s="135"/>
      <c r="Y4567" s="135"/>
      <c r="Z4567" s="135"/>
    </row>
    <row r="4568" spans="1:26" ht="25.5">
      <c r="A4568" s="136" t="s">
        <v>11</v>
      </c>
      <c r="B4568" s="136" t="s">
        <v>7971</v>
      </c>
      <c r="C4568" s="136" t="s">
        <v>7990</v>
      </c>
      <c r="D4568" s="136" t="s">
        <v>7985</v>
      </c>
      <c r="E4568" s="136" t="s">
        <v>615</v>
      </c>
      <c r="F4568" s="136">
        <v>70</v>
      </c>
      <c r="G4568" s="137">
        <f t="shared" si="17"/>
        <v>13</v>
      </c>
      <c r="H4568" s="137"/>
      <c r="I4568" s="137"/>
      <c r="J4568" s="135"/>
      <c r="K4568" s="135"/>
      <c r="L4568" s="135"/>
      <c r="M4568" s="135"/>
      <c r="N4568" s="135"/>
      <c r="O4568" s="135"/>
      <c r="P4568" s="135"/>
      <c r="Q4568" s="135"/>
      <c r="R4568" s="135"/>
      <c r="S4568" s="135"/>
      <c r="T4568" s="135"/>
      <c r="U4568" s="135"/>
      <c r="V4568" s="135"/>
      <c r="W4568" s="135"/>
      <c r="X4568" s="135"/>
      <c r="Y4568" s="135"/>
      <c r="Z4568" s="135"/>
    </row>
    <row r="4569" spans="1:26" ht="25.5">
      <c r="A4569" s="136" t="s">
        <v>11</v>
      </c>
      <c r="B4569" s="136" t="s">
        <v>7971</v>
      </c>
      <c r="C4569" s="136" t="s">
        <v>7990</v>
      </c>
      <c r="D4569" s="136" t="s">
        <v>1656</v>
      </c>
      <c r="E4569" s="136" t="s">
        <v>594</v>
      </c>
      <c r="F4569" s="136">
        <v>45</v>
      </c>
      <c r="G4569" s="137">
        <f t="shared" si="17"/>
        <v>14</v>
      </c>
      <c r="H4569" s="137"/>
      <c r="I4569" s="137"/>
      <c r="J4569" s="135"/>
      <c r="K4569" s="135"/>
      <c r="L4569" s="135"/>
      <c r="M4569" s="135"/>
      <c r="N4569" s="135"/>
      <c r="O4569" s="135"/>
      <c r="P4569" s="135"/>
      <c r="Q4569" s="135"/>
      <c r="R4569" s="135"/>
      <c r="S4569" s="135"/>
      <c r="T4569" s="135"/>
      <c r="U4569" s="135"/>
      <c r="V4569" s="135"/>
      <c r="W4569" s="135"/>
      <c r="X4569" s="135"/>
      <c r="Y4569" s="135"/>
      <c r="Z4569" s="135"/>
    </row>
    <row r="4570" spans="1:26" ht="25.5">
      <c r="A4570" s="136" t="s">
        <v>11</v>
      </c>
      <c r="B4570" s="136" t="s">
        <v>7971</v>
      </c>
      <c r="C4570" s="136" t="s">
        <v>7990</v>
      </c>
      <c r="D4570" s="136" t="s">
        <v>1674</v>
      </c>
      <c r="E4570" s="136" t="s">
        <v>615</v>
      </c>
      <c r="F4570" s="136">
        <v>40</v>
      </c>
      <c r="G4570" s="137">
        <f t="shared" si="17"/>
        <v>15</v>
      </c>
      <c r="H4570" s="137"/>
      <c r="I4570" s="137"/>
      <c r="J4570" s="135"/>
      <c r="K4570" s="135"/>
      <c r="L4570" s="135"/>
      <c r="M4570" s="135"/>
      <c r="N4570" s="135"/>
      <c r="O4570" s="135"/>
      <c r="P4570" s="135"/>
      <c r="Q4570" s="135"/>
      <c r="R4570" s="135"/>
      <c r="S4570" s="135"/>
      <c r="T4570" s="135"/>
      <c r="U4570" s="135"/>
      <c r="V4570" s="135"/>
      <c r="W4570" s="135"/>
      <c r="X4570" s="135"/>
      <c r="Y4570" s="135"/>
      <c r="Z4570" s="135"/>
    </row>
    <row r="4571" spans="1:26" ht="25.5">
      <c r="A4571" s="136" t="s">
        <v>11</v>
      </c>
      <c r="B4571" s="136" t="s">
        <v>7971</v>
      </c>
      <c r="C4571" s="136" t="s">
        <v>7990</v>
      </c>
      <c r="D4571" s="136" t="s">
        <v>165</v>
      </c>
      <c r="E4571" s="136" t="s">
        <v>615</v>
      </c>
      <c r="F4571" s="136">
        <v>40</v>
      </c>
      <c r="G4571" s="137">
        <f t="shared" si="17"/>
        <v>16</v>
      </c>
      <c r="H4571" s="137"/>
      <c r="I4571" s="137"/>
      <c r="J4571" s="135"/>
      <c r="K4571" s="135"/>
      <c r="L4571" s="135"/>
      <c r="M4571" s="135"/>
      <c r="N4571" s="135"/>
      <c r="O4571" s="135"/>
      <c r="P4571" s="135"/>
      <c r="Q4571" s="135"/>
      <c r="R4571" s="135"/>
      <c r="S4571" s="135"/>
      <c r="T4571" s="135"/>
      <c r="U4571" s="135"/>
      <c r="V4571" s="135"/>
      <c r="W4571" s="135"/>
      <c r="X4571" s="135"/>
      <c r="Y4571" s="135"/>
      <c r="Z4571" s="135"/>
    </row>
    <row r="4572" spans="1:26" ht="25.5">
      <c r="A4572" s="136" t="s">
        <v>11</v>
      </c>
      <c r="B4572" s="136" t="s">
        <v>7971</v>
      </c>
      <c r="C4572" s="136" t="s">
        <v>7990</v>
      </c>
      <c r="D4572" s="136" t="s">
        <v>136</v>
      </c>
      <c r="E4572" s="136" t="s">
        <v>615</v>
      </c>
      <c r="F4572" s="136">
        <v>35</v>
      </c>
      <c r="G4572" s="137">
        <f t="shared" si="17"/>
        <v>17</v>
      </c>
      <c r="H4572" s="137"/>
      <c r="I4572" s="137"/>
      <c r="J4572" s="135"/>
      <c r="K4572" s="135"/>
      <c r="L4572" s="135"/>
      <c r="M4572" s="135"/>
      <c r="N4572" s="135"/>
      <c r="O4572" s="135"/>
      <c r="P4572" s="135"/>
      <c r="Q4572" s="135"/>
      <c r="R4572" s="135"/>
      <c r="S4572" s="135"/>
      <c r="T4572" s="135"/>
      <c r="U4572" s="135"/>
      <c r="V4572" s="135"/>
      <c r="W4572" s="135"/>
      <c r="X4572" s="135"/>
      <c r="Y4572" s="135"/>
      <c r="Z4572" s="135"/>
    </row>
    <row r="4573" spans="1:26" ht="25.5">
      <c r="A4573" s="136" t="s">
        <v>11</v>
      </c>
      <c r="B4573" s="136" t="s">
        <v>7971</v>
      </c>
      <c r="C4573" s="136" t="s">
        <v>7990</v>
      </c>
      <c r="D4573" s="136" t="s">
        <v>437</v>
      </c>
      <c r="E4573" s="136" t="s">
        <v>594</v>
      </c>
      <c r="F4573" s="136">
        <v>30</v>
      </c>
      <c r="G4573" s="137">
        <f t="shared" si="17"/>
        <v>18</v>
      </c>
      <c r="H4573" s="137"/>
      <c r="I4573" s="137"/>
      <c r="J4573" s="135"/>
      <c r="K4573" s="135"/>
      <c r="L4573" s="135"/>
      <c r="M4573" s="135"/>
      <c r="N4573" s="135"/>
      <c r="O4573" s="135"/>
      <c r="P4573" s="135"/>
      <c r="Q4573" s="135"/>
      <c r="R4573" s="135"/>
      <c r="S4573" s="135"/>
      <c r="T4573" s="135"/>
      <c r="U4573" s="135"/>
      <c r="V4573" s="135"/>
      <c r="W4573" s="135"/>
      <c r="X4573" s="135"/>
      <c r="Y4573" s="135"/>
      <c r="Z4573" s="135"/>
    </row>
    <row r="4574" spans="1:26" ht="25.5">
      <c r="A4574" s="136" t="s">
        <v>11</v>
      </c>
      <c r="B4574" s="136" t="s">
        <v>7971</v>
      </c>
      <c r="C4574" s="136" t="s">
        <v>7990</v>
      </c>
      <c r="D4574" s="136" t="s">
        <v>1635</v>
      </c>
      <c r="E4574" s="136" t="s">
        <v>615</v>
      </c>
      <c r="F4574" s="136">
        <v>20</v>
      </c>
      <c r="G4574" s="137">
        <f t="shared" si="17"/>
        <v>19</v>
      </c>
      <c r="H4574" s="137"/>
      <c r="I4574" s="137"/>
      <c r="J4574" s="135"/>
      <c r="K4574" s="135"/>
      <c r="L4574" s="135"/>
      <c r="M4574" s="135"/>
      <c r="N4574" s="135"/>
      <c r="O4574" s="135"/>
      <c r="P4574" s="135"/>
      <c r="Q4574" s="135"/>
      <c r="R4574" s="135"/>
      <c r="S4574" s="135"/>
      <c r="T4574" s="135"/>
      <c r="U4574" s="135"/>
      <c r="V4574" s="135"/>
      <c r="W4574" s="135"/>
      <c r="X4574" s="135"/>
      <c r="Y4574" s="135"/>
      <c r="Z4574" s="135"/>
    </row>
    <row r="4575" spans="1:26" ht="25.5">
      <c r="A4575" s="136" t="s">
        <v>11</v>
      </c>
      <c r="B4575" s="136" t="s">
        <v>7971</v>
      </c>
      <c r="C4575" s="136" t="s">
        <v>7990</v>
      </c>
      <c r="D4575" s="136" t="s">
        <v>1639</v>
      </c>
      <c r="E4575" s="136" t="s">
        <v>615</v>
      </c>
      <c r="F4575" s="136">
        <v>10</v>
      </c>
      <c r="G4575" s="137">
        <f t="shared" si="17"/>
        <v>20</v>
      </c>
      <c r="H4575" s="137"/>
      <c r="I4575" s="137"/>
      <c r="J4575" s="135"/>
      <c r="K4575" s="135"/>
      <c r="L4575" s="135"/>
      <c r="M4575" s="135"/>
      <c r="N4575" s="135"/>
      <c r="O4575" s="135"/>
      <c r="P4575" s="135"/>
      <c r="Q4575" s="135"/>
      <c r="R4575" s="135"/>
      <c r="S4575" s="135"/>
      <c r="T4575" s="135"/>
      <c r="U4575" s="135"/>
      <c r="V4575" s="135"/>
      <c r="W4575" s="135"/>
      <c r="X4575" s="135"/>
      <c r="Y4575" s="135"/>
      <c r="Z4575" s="135"/>
    </row>
    <row r="4576" spans="1:26" ht="25.5">
      <c r="A4576" s="136" t="s">
        <v>11</v>
      </c>
      <c r="B4576" s="136" t="s">
        <v>7971</v>
      </c>
      <c r="C4576" s="136" t="s">
        <v>7990</v>
      </c>
      <c r="D4576" s="136" t="s">
        <v>467</v>
      </c>
      <c r="E4576" s="136" t="s">
        <v>85</v>
      </c>
      <c r="F4576" s="136">
        <v>8</v>
      </c>
      <c r="G4576" s="137">
        <f t="shared" si="17"/>
        <v>21</v>
      </c>
      <c r="H4576" s="137"/>
      <c r="I4576" s="137"/>
      <c r="J4576" s="135"/>
      <c r="K4576" s="135"/>
      <c r="L4576" s="135"/>
      <c r="M4576" s="135"/>
      <c r="N4576" s="135"/>
      <c r="O4576" s="135"/>
      <c r="P4576" s="135"/>
      <c r="Q4576" s="135"/>
      <c r="R4576" s="135"/>
      <c r="S4576" s="135"/>
      <c r="T4576" s="135"/>
      <c r="U4576" s="135"/>
      <c r="V4576" s="135"/>
      <c r="W4576" s="135"/>
      <c r="X4576" s="135"/>
      <c r="Y4576" s="135"/>
      <c r="Z4576" s="135"/>
    </row>
    <row r="4577" spans="1:26" ht="25.5">
      <c r="A4577" s="136" t="s">
        <v>11</v>
      </c>
      <c r="B4577" s="136" t="s">
        <v>7971</v>
      </c>
      <c r="C4577" s="136" t="s">
        <v>7990</v>
      </c>
      <c r="D4577" s="136" t="s">
        <v>1682</v>
      </c>
      <c r="E4577" s="136" t="s">
        <v>86</v>
      </c>
      <c r="F4577" s="136">
        <v>6</v>
      </c>
      <c r="G4577" s="137">
        <f t="shared" si="17"/>
        <v>22</v>
      </c>
      <c r="H4577" s="137"/>
      <c r="I4577" s="137"/>
      <c r="J4577" s="135"/>
      <c r="K4577" s="135"/>
      <c r="L4577" s="135"/>
      <c r="M4577" s="135"/>
      <c r="N4577" s="135"/>
      <c r="O4577" s="135"/>
      <c r="P4577" s="135"/>
      <c r="Q4577" s="135"/>
      <c r="R4577" s="135"/>
      <c r="S4577" s="135"/>
      <c r="T4577" s="135"/>
      <c r="U4577" s="135"/>
      <c r="V4577" s="135"/>
      <c r="W4577" s="135"/>
      <c r="X4577" s="135"/>
      <c r="Y4577" s="135"/>
      <c r="Z4577" s="135"/>
    </row>
    <row r="4578" spans="1:26" ht="25.5">
      <c r="A4578" s="136" t="s">
        <v>11</v>
      </c>
      <c r="B4578" s="136" t="s">
        <v>7971</v>
      </c>
      <c r="C4578" s="136" t="s">
        <v>7991</v>
      </c>
      <c r="D4578" s="136" t="s">
        <v>139</v>
      </c>
      <c r="E4578" s="136" t="s">
        <v>594</v>
      </c>
      <c r="F4578" s="136">
        <v>2540</v>
      </c>
      <c r="G4578" s="137">
        <f t="shared" si="17"/>
        <v>1</v>
      </c>
      <c r="H4578" s="137"/>
      <c r="I4578" s="137"/>
      <c r="J4578" s="135"/>
      <c r="K4578" s="135"/>
      <c r="L4578" s="135"/>
      <c r="M4578" s="135"/>
      <c r="N4578" s="135"/>
      <c r="O4578" s="135"/>
      <c r="P4578" s="135"/>
      <c r="Q4578" s="135"/>
      <c r="R4578" s="135"/>
      <c r="S4578" s="135"/>
      <c r="T4578" s="135"/>
      <c r="U4578" s="135"/>
      <c r="V4578" s="135"/>
      <c r="W4578" s="135"/>
      <c r="X4578" s="135"/>
      <c r="Y4578" s="135"/>
      <c r="Z4578" s="135"/>
    </row>
    <row r="4579" spans="1:26" ht="25.5">
      <c r="A4579" s="136" t="s">
        <v>11</v>
      </c>
      <c r="B4579" s="136" t="s">
        <v>7971</v>
      </c>
      <c r="C4579" s="136" t="s">
        <v>7991</v>
      </c>
      <c r="D4579" s="136" t="s">
        <v>1669</v>
      </c>
      <c r="E4579" s="136" t="s">
        <v>615</v>
      </c>
      <c r="F4579" s="136">
        <v>723</v>
      </c>
      <c r="G4579" s="137">
        <f t="shared" si="17"/>
        <v>2</v>
      </c>
      <c r="H4579" s="137"/>
      <c r="I4579" s="137"/>
      <c r="J4579" s="135"/>
      <c r="K4579" s="135"/>
      <c r="L4579" s="135"/>
      <c r="M4579" s="135"/>
      <c r="N4579" s="135"/>
      <c r="O4579" s="135"/>
      <c r="P4579" s="135"/>
      <c r="Q4579" s="135"/>
      <c r="R4579" s="135"/>
      <c r="S4579" s="135"/>
      <c r="T4579" s="135"/>
      <c r="U4579" s="135"/>
      <c r="V4579" s="135"/>
      <c r="W4579" s="135"/>
      <c r="X4579" s="135"/>
      <c r="Y4579" s="135"/>
      <c r="Z4579" s="135"/>
    </row>
    <row r="4580" spans="1:26" ht="25.5">
      <c r="A4580" s="136" t="s">
        <v>11</v>
      </c>
      <c r="B4580" s="136" t="s">
        <v>7971</v>
      </c>
      <c r="C4580" s="136" t="s">
        <v>7991</v>
      </c>
      <c r="D4580" s="136" t="s">
        <v>1626</v>
      </c>
      <c r="E4580" s="136" t="s">
        <v>594</v>
      </c>
      <c r="F4580" s="136">
        <v>460</v>
      </c>
      <c r="G4580" s="137">
        <f t="shared" si="17"/>
        <v>3</v>
      </c>
      <c r="H4580" s="137"/>
      <c r="I4580" s="137"/>
      <c r="J4580" s="135"/>
      <c r="K4580" s="135"/>
      <c r="L4580" s="135"/>
      <c r="M4580" s="135"/>
      <c r="N4580" s="135"/>
      <c r="O4580" s="135"/>
      <c r="P4580" s="135"/>
      <c r="Q4580" s="135"/>
      <c r="R4580" s="135"/>
      <c r="S4580" s="135"/>
      <c r="T4580" s="135"/>
      <c r="U4580" s="135"/>
      <c r="V4580" s="135"/>
      <c r="W4580" s="135"/>
      <c r="X4580" s="135"/>
      <c r="Y4580" s="135"/>
      <c r="Z4580" s="135"/>
    </row>
    <row r="4581" spans="1:26" ht="25.5">
      <c r="A4581" s="136" t="s">
        <v>11</v>
      </c>
      <c r="B4581" s="136" t="s">
        <v>7971</v>
      </c>
      <c r="C4581" s="136" t="s">
        <v>7991</v>
      </c>
      <c r="D4581" s="136" t="s">
        <v>433</v>
      </c>
      <c r="E4581" s="136" t="s">
        <v>594</v>
      </c>
      <c r="F4581" s="136">
        <v>366</v>
      </c>
      <c r="G4581" s="137">
        <f t="shared" si="17"/>
        <v>4</v>
      </c>
      <c r="H4581" s="137"/>
      <c r="I4581" s="137"/>
      <c r="J4581" s="135"/>
      <c r="K4581" s="135"/>
      <c r="L4581" s="135"/>
      <c r="M4581" s="135"/>
      <c r="N4581" s="135"/>
      <c r="O4581" s="135"/>
      <c r="P4581" s="135"/>
      <c r="Q4581" s="135"/>
      <c r="R4581" s="135"/>
      <c r="S4581" s="135"/>
      <c r="T4581" s="135"/>
      <c r="U4581" s="135"/>
      <c r="V4581" s="135"/>
      <c r="W4581" s="135"/>
      <c r="X4581" s="135"/>
      <c r="Y4581" s="135"/>
      <c r="Z4581" s="135"/>
    </row>
    <row r="4582" spans="1:26" ht="25.5">
      <c r="A4582" s="136" t="s">
        <v>11</v>
      </c>
      <c r="B4582" s="136" t="s">
        <v>7971</v>
      </c>
      <c r="C4582" s="136" t="s">
        <v>7991</v>
      </c>
      <c r="D4582" s="136" t="s">
        <v>114</v>
      </c>
      <c r="E4582" s="136" t="s">
        <v>85</v>
      </c>
      <c r="F4582" s="136">
        <v>310</v>
      </c>
      <c r="G4582" s="137">
        <f t="shared" si="17"/>
        <v>5</v>
      </c>
      <c r="H4582" s="137"/>
      <c r="I4582" s="137"/>
      <c r="J4582" s="135"/>
      <c r="K4582" s="135"/>
      <c r="L4582" s="135"/>
      <c r="M4582" s="135"/>
      <c r="N4582" s="135"/>
      <c r="O4582" s="135"/>
      <c r="P4582" s="135"/>
      <c r="Q4582" s="135"/>
      <c r="R4582" s="135"/>
      <c r="S4582" s="135"/>
      <c r="T4582" s="135"/>
      <c r="U4582" s="135"/>
      <c r="V4582" s="135"/>
      <c r="W4582" s="135"/>
      <c r="X4582" s="135"/>
      <c r="Y4582" s="135"/>
      <c r="Z4582" s="135"/>
    </row>
    <row r="4583" spans="1:26" ht="25.5">
      <c r="A4583" s="136" t="s">
        <v>11</v>
      </c>
      <c r="B4583" s="136" t="s">
        <v>7971</v>
      </c>
      <c r="C4583" s="136" t="s">
        <v>7991</v>
      </c>
      <c r="D4583" s="136" t="s">
        <v>131</v>
      </c>
      <c r="E4583" s="136" t="s">
        <v>594</v>
      </c>
      <c r="F4583" s="136">
        <v>200</v>
      </c>
      <c r="G4583" s="137">
        <f t="shared" si="17"/>
        <v>6</v>
      </c>
      <c r="H4583" s="137"/>
      <c r="I4583" s="137"/>
      <c r="J4583" s="135"/>
      <c r="K4583" s="135"/>
      <c r="L4583" s="135"/>
      <c r="M4583" s="135"/>
      <c r="N4583" s="135"/>
      <c r="O4583" s="135"/>
      <c r="P4583" s="135"/>
      <c r="Q4583" s="135"/>
      <c r="R4583" s="135"/>
      <c r="S4583" s="135"/>
      <c r="T4583" s="135"/>
      <c r="U4583" s="135"/>
      <c r="V4583" s="135"/>
      <c r="W4583" s="135"/>
      <c r="X4583" s="135"/>
      <c r="Y4583" s="135"/>
      <c r="Z4583" s="135"/>
    </row>
    <row r="4584" spans="1:26" ht="25.5">
      <c r="A4584" s="136" t="s">
        <v>11</v>
      </c>
      <c r="B4584" s="136" t="s">
        <v>7971</v>
      </c>
      <c r="C4584" s="136" t="s">
        <v>7991</v>
      </c>
      <c r="D4584" s="136" t="s">
        <v>7481</v>
      </c>
      <c r="E4584" s="136" t="s">
        <v>615</v>
      </c>
      <c r="F4584" s="136">
        <v>143</v>
      </c>
      <c r="G4584" s="137">
        <f t="shared" si="17"/>
        <v>7</v>
      </c>
      <c r="H4584" s="137"/>
      <c r="I4584" s="137"/>
      <c r="J4584" s="135"/>
      <c r="K4584" s="135"/>
      <c r="L4584" s="135"/>
      <c r="M4584" s="135"/>
      <c r="N4584" s="135"/>
      <c r="O4584" s="135"/>
      <c r="P4584" s="135"/>
      <c r="Q4584" s="135"/>
      <c r="R4584" s="135"/>
      <c r="S4584" s="135"/>
      <c r="T4584" s="135"/>
      <c r="U4584" s="135"/>
      <c r="V4584" s="135"/>
      <c r="W4584" s="135"/>
      <c r="X4584" s="135"/>
      <c r="Y4584" s="135"/>
      <c r="Z4584" s="135"/>
    </row>
    <row r="4585" spans="1:26" ht="25.5">
      <c r="A4585" s="136" t="s">
        <v>11</v>
      </c>
      <c r="B4585" s="136" t="s">
        <v>7971</v>
      </c>
      <c r="C4585" s="136" t="s">
        <v>7991</v>
      </c>
      <c r="D4585" s="136" t="s">
        <v>1656</v>
      </c>
      <c r="E4585" s="136" t="s">
        <v>594</v>
      </c>
      <c r="F4585" s="136">
        <v>100</v>
      </c>
      <c r="G4585" s="137">
        <f t="shared" si="17"/>
        <v>8</v>
      </c>
      <c r="H4585" s="137"/>
      <c r="I4585" s="137"/>
      <c r="J4585" s="135"/>
      <c r="K4585" s="135"/>
      <c r="L4585" s="135"/>
      <c r="M4585" s="135"/>
      <c r="N4585" s="135"/>
      <c r="O4585" s="135"/>
      <c r="P4585" s="135"/>
      <c r="Q4585" s="135"/>
      <c r="R4585" s="135"/>
      <c r="S4585" s="135"/>
      <c r="T4585" s="135"/>
      <c r="U4585" s="135"/>
      <c r="V4585" s="135"/>
      <c r="W4585" s="135"/>
      <c r="X4585" s="135"/>
      <c r="Y4585" s="135"/>
      <c r="Z4585" s="135"/>
    </row>
    <row r="4586" spans="1:26" ht="25.5">
      <c r="A4586" s="136" t="s">
        <v>11</v>
      </c>
      <c r="B4586" s="136" t="s">
        <v>7971</v>
      </c>
      <c r="C4586" s="136" t="s">
        <v>7991</v>
      </c>
      <c r="D4586" s="136" t="s">
        <v>437</v>
      </c>
      <c r="E4586" s="136" t="s">
        <v>594</v>
      </c>
      <c r="F4586" s="136">
        <v>100</v>
      </c>
      <c r="G4586" s="137">
        <f t="shared" si="17"/>
        <v>9</v>
      </c>
      <c r="H4586" s="137"/>
      <c r="I4586" s="137"/>
      <c r="J4586" s="135"/>
      <c r="K4586" s="135"/>
      <c r="L4586" s="135"/>
      <c r="M4586" s="135"/>
      <c r="N4586" s="135"/>
      <c r="O4586" s="135"/>
      <c r="P4586" s="135"/>
      <c r="Q4586" s="135"/>
      <c r="R4586" s="135"/>
      <c r="S4586" s="135"/>
      <c r="T4586" s="135"/>
      <c r="U4586" s="135"/>
      <c r="V4586" s="135"/>
      <c r="W4586" s="135"/>
      <c r="X4586" s="135"/>
      <c r="Y4586" s="135"/>
      <c r="Z4586" s="135"/>
    </row>
    <row r="4587" spans="1:26" ht="25.5">
      <c r="A4587" s="136" t="s">
        <v>11</v>
      </c>
      <c r="B4587" s="136" t="s">
        <v>7971</v>
      </c>
      <c r="C4587" s="136" t="s">
        <v>7991</v>
      </c>
      <c r="D4587" s="136" t="s">
        <v>98</v>
      </c>
      <c r="E4587" s="136" t="s">
        <v>594</v>
      </c>
      <c r="F4587" s="136">
        <v>100</v>
      </c>
      <c r="G4587" s="137">
        <f t="shared" si="17"/>
        <v>10</v>
      </c>
      <c r="H4587" s="137"/>
      <c r="I4587" s="137"/>
      <c r="J4587" s="135"/>
      <c r="K4587" s="135"/>
      <c r="L4587" s="135"/>
      <c r="M4587" s="135"/>
      <c r="N4587" s="135"/>
      <c r="O4587" s="135"/>
      <c r="P4587" s="135"/>
      <c r="Q4587" s="135"/>
      <c r="R4587" s="135"/>
      <c r="S4587" s="135"/>
      <c r="T4587" s="135"/>
      <c r="U4587" s="135"/>
      <c r="V4587" s="135"/>
      <c r="W4587" s="135"/>
      <c r="X4587" s="135"/>
      <c r="Y4587" s="135"/>
      <c r="Z4587" s="135"/>
    </row>
    <row r="4588" spans="1:26" ht="25.5">
      <c r="A4588" s="136" t="s">
        <v>11</v>
      </c>
      <c r="B4588" s="136" t="s">
        <v>7971</v>
      </c>
      <c r="C4588" s="136" t="s">
        <v>7991</v>
      </c>
      <c r="D4588" s="136" t="s">
        <v>1665</v>
      </c>
      <c r="E4588" s="136" t="s">
        <v>615</v>
      </c>
      <c r="F4588" s="136">
        <v>100</v>
      </c>
      <c r="G4588" s="137">
        <f t="shared" si="17"/>
        <v>11</v>
      </c>
      <c r="H4588" s="137"/>
      <c r="I4588" s="137"/>
      <c r="J4588" s="135"/>
      <c r="K4588" s="135"/>
      <c r="L4588" s="135"/>
      <c r="M4588" s="135"/>
      <c r="N4588" s="135"/>
      <c r="O4588" s="135"/>
      <c r="P4588" s="135"/>
      <c r="Q4588" s="135"/>
      <c r="R4588" s="135"/>
      <c r="S4588" s="135"/>
      <c r="T4588" s="135"/>
      <c r="U4588" s="135"/>
      <c r="V4588" s="135"/>
      <c r="W4588" s="135"/>
      <c r="X4588" s="135"/>
      <c r="Y4588" s="135"/>
      <c r="Z4588" s="135"/>
    </row>
    <row r="4589" spans="1:26" ht="25.5">
      <c r="A4589" s="136" t="s">
        <v>11</v>
      </c>
      <c r="B4589" s="136" t="s">
        <v>7971</v>
      </c>
      <c r="C4589" s="136" t="s">
        <v>7991</v>
      </c>
      <c r="D4589" s="136" t="s">
        <v>1680</v>
      </c>
      <c r="E4589" s="136" t="s">
        <v>615</v>
      </c>
      <c r="F4589" s="136">
        <v>80</v>
      </c>
      <c r="G4589" s="137">
        <f t="shared" si="17"/>
        <v>12</v>
      </c>
      <c r="H4589" s="137"/>
      <c r="I4589" s="137"/>
      <c r="J4589" s="135"/>
      <c r="K4589" s="135"/>
      <c r="L4589" s="135"/>
      <c r="M4589" s="135"/>
      <c r="N4589" s="135"/>
      <c r="O4589" s="135"/>
      <c r="P4589" s="135"/>
      <c r="Q4589" s="135"/>
      <c r="R4589" s="135"/>
      <c r="S4589" s="135"/>
      <c r="T4589" s="135"/>
      <c r="U4589" s="135"/>
      <c r="V4589" s="135"/>
      <c r="W4589" s="135"/>
      <c r="X4589" s="135"/>
      <c r="Y4589" s="135"/>
      <c r="Z4589" s="135"/>
    </row>
    <row r="4590" spans="1:26" ht="25.5">
      <c r="A4590" s="136" t="s">
        <v>11</v>
      </c>
      <c r="B4590" s="136" t="s">
        <v>7971</v>
      </c>
      <c r="C4590" s="136" t="s">
        <v>7991</v>
      </c>
      <c r="D4590" s="136" t="s">
        <v>467</v>
      </c>
      <c r="E4590" s="136" t="s">
        <v>85</v>
      </c>
      <c r="F4590" s="136">
        <v>61</v>
      </c>
      <c r="G4590" s="137">
        <f t="shared" si="17"/>
        <v>13</v>
      </c>
      <c r="H4590" s="137"/>
      <c r="I4590" s="137"/>
      <c r="J4590" s="135"/>
      <c r="K4590" s="135"/>
      <c r="L4590" s="135"/>
      <c r="M4590" s="135"/>
      <c r="N4590" s="135"/>
      <c r="O4590" s="135"/>
      <c r="P4590" s="135"/>
      <c r="Q4590" s="135"/>
      <c r="R4590" s="135"/>
      <c r="S4590" s="135"/>
      <c r="T4590" s="135"/>
      <c r="U4590" s="135"/>
      <c r="V4590" s="135"/>
      <c r="W4590" s="135"/>
      <c r="X4590" s="135"/>
      <c r="Y4590" s="135"/>
      <c r="Z4590" s="135"/>
    </row>
    <row r="4591" spans="1:26" ht="25.5">
      <c r="A4591" s="136" t="s">
        <v>11</v>
      </c>
      <c r="B4591" s="136" t="s">
        <v>7971</v>
      </c>
      <c r="C4591" s="136" t="s">
        <v>7991</v>
      </c>
      <c r="D4591" s="136" t="s">
        <v>368</v>
      </c>
      <c r="E4591" s="136" t="s">
        <v>594</v>
      </c>
      <c r="F4591" s="136">
        <v>42</v>
      </c>
      <c r="G4591" s="137">
        <f t="shared" si="17"/>
        <v>16</v>
      </c>
      <c r="H4591" s="137"/>
      <c r="I4591" s="137"/>
      <c r="J4591" s="135"/>
      <c r="K4591" s="135"/>
      <c r="L4591" s="135"/>
      <c r="M4591" s="135"/>
      <c r="N4591" s="135"/>
      <c r="O4591" s="135"/>
      <c r="P4591" s="135"/>
      <c r="Q4591" s="135"/>
      <c r="R4591" s="135"/>
      <c r="S4591" s="135"/>
      <c r="T4591" s="135"/>
      <c r="U4591" s="135"/>
      <c r="V4591" s="135"/>
      <c r="W4591" s="135"/>
      <c r="X4591" s="135"/>
      <c r="Y4591" s="135"/>
      <c r="Z4591" s="135"/>
    </row>
    <row r="4592" spans="1:26" ht="25.5">
      <c r="A4592" s="136" t="s">
        <v>11</v>
      </c>
      <c r="B4592" s="136" t="s">
        <v>7971</v>
      </c>
      <c r="C4592" s="136" t="s">
        <v>7991</v>
      </c>
      <c r="D4592" s="136" t="s">
        <v>1626</v>
      </c>
      <c r="E4592" s="136" t="s">
        <v>594</v>
      </c>
      <c r="F4592" s="136">
        <v>45</v>
      </c>
      <c r="G4592" s="137">
        <f t="shared" ref="G4592:G4846" si="18">COUNTIFS($C:$C,C4592,$F:$F,"&gt;"&amp;F4592)
 + COUNTIFS($C$2:C4592,C4592,$F$2:F4592,F4592)</f>
        <v>15</v>
      </c>
      <c r="H4592" s="137"/>
      <c r="I4592" s="137"/>
      <c r="J4592" s="135"/>
      <c r="K4592" s="135"/>
      <c r="L4592" s="135"/>
      <c r="M4592" s="135"/>
      <c r="N4592" s="135"/>
      <c r="O4592" s="135"/>
      <c r="P4592" s="135"/>
      <c r="Q4592" s="135"/>
      <c r="R4592" s="135"/>
      <c r="S4592" s="135"/>
      <c r="T4592" s="135"/>
      <c r="U4592" s="135"/>
      <c r="V4592" s="135"/>
      <c r="W4592" s="135"/>
      <c r="X4592" s="135"/>
      <c r="Y4592" s="135"/>
      <c r="Z4592" s="135"/>
    </row>
    <row r="4593" spans="1:26" ht="25.5">
      <c r="A4593" s="136" t="s">
        <v>11</v>
      </c>
      <c r="B4593" s="136" t="s">
        <v>7971</v>
      </c>
      <c r="C4593" s="136" t="s">
        <v>7991</v>
      </c>
      <c r="D4593" s="136" t="s">
        <v>165</v>
      </c>
      <c r="E4593" s="136" t="s">
        <v>615</v>
      </c>
      <c r="F4593" s="136">
        <v>50</v>
      </c>
      <c r="G4593" s="137">
        <f t="shared" si="18"/>
        <v>14</v>
      </c>
      <c r="H4593" s="137"/>
      <c r="I4593" s="137"/>
      <c r="J4593" s="135"/>
      <c r="K4593" s="135"/>
      <c r="L4593" s="135"/>
      <c r="M4593" s="135"/>
      <c r="N4593" s="135"/>
      <c r="O4593" s="135"/>
      <c r="P4593" s="135"/>
      <c r="Q4593" s="135"/>
      <c r="R4593" s="135"/>
      <c r="S4593" s="135"/>
      <c r="T4593" s="135"/>
      <c r="U4593" s="135"/>
      <c r="V4593" s="135"/>
      <c r="W4593" s="135"/>
      <c r="X4593" s="135"/>
      <c r="Y4593" s="135"/>
      <c r="Z4593" s="135"/>
    </row>
    <row r="4594" spans="1:26" ht="25.5">
      <c r="A4594" s="136" t="s">
        <v>11</v>
      </c>
      <c r="B4594" s="136" t="s">
        <v>7971</v>
      </c>
      <c r="C4594" s="136" t="s">
        <v>7991</v>
      </c>
      <c r="D4594" s="136" t="s">
        <v>7985</v>
      </c>
      <c r="E4594" s="136" t="s">
        <v>615</v>
      </c>
      <c r="F4594" s="136">
        <v>40</v>
      </c>
      <c r="G4594" s="137">
        <f t="shared" si="18"/>
        <v>17</v>
      </c>
      <c r="H4594" s="137"/>
      <c r="I4594" s="137"/>
      <c r="J4594" s="135"/>
      <c r="K4594" s="135"/>
      <c r="L4594" s="135"/>
      <c r="M4594" s="135"/>
      <c r="N4594" s="135"/>
      <c r="O4594" s="135"/>
      <c r="P4594" s="135"/>
      <c r="Q4594" s="135"/>
      <c r="R4594" s="135"/>
      <c r="S4594" s="135"/>
      <c r="T4594" s="135"/>
      <c r="U4594" s="135"/>
      <c r="V4594" s="135"/>
      <c r="W4594" s="135"/>
      <c r="X4594" s="135"/>
      <c r="Y4594" s="135"/>
      <c r="Z4594" s="135"/>
    </row>
    <row r="4595" spans="1:26" ht="25.5">
      <c r="A4595" s="136" t="s">
        <v>11</v>
      </c>
      <c r="B4595" s="136" t="s">
        <v>7971</v>
      </c>
      <c r="C4595" s="136" t="s">
        <v>7991</v>
      </c>
      <c r="D4595" s="136" t="s">
        <v>1673</v>
      </c>
      <c r="E4595" s="136" t="s">
        <v>615</v>
      </c>
      <c r="F4595" s="136">
        <v>30</v>
      </c>
      <c r="G4595" s="137">
        <f t="shared" si="18"/>
        <v>18</v>
      </c>
      <c r="H4595" s="137"/>
      <c r="I4595" s="137"/>
      <c r="J4595" s="135"/>
      <c r="K4595" s="135"/>
      <c r="L4595" s="135"/>
      <c r="M4595" s="135"/>
      <c r="N4595" s="135"/>
      <c r="O4595" s="135"/>
      <c r="P4595" s="135"/>
      <c r="Q4595" s="135"/>
      <c r="R4595" s="135"/>
      <c r="S4595" s="135"/>
      <c r="T4595" s="135"/>
      <c r="U4595" s="135"/>
      <c r="V4595" s="135"/>
      <c r="W4595" s="135"/>
      <c r="X4595" s="135"/>
      <c r="Y4595" s="135"/>
      <c r="Z4595" s="135"/>
    </row>
    <row r="4596" spans="1:26" ht="25.5">
      <c r="A4596" s="136" t="s">
        <v>11</v>
      </c>
      <c r="B4596" s="136" t="s">
        <v>7971</v>
      </c>
      <c r="C4596" s="136" t="s">
        <v>7991</v>
      </c>
      <c r="D4596" s="136" t="s">
        <v>7786</v>
      </c>
      <c r="E4596" s="136" t="s">
        <v>615</v>
      </c>
      <c r="F4596" s="136">
        <v>30</v>
      </c>
      <c r="G4596" s="137">
        <f t="shared" si="18"/>
        <v>19</v>
      </c>
      <c r="H4596" s="137"/>
      <c r="I4596" s="137"/>
      <c r="J4596" s="135"/>
      <c r="K4596" s="135"/>
      <c r="L4596" s="135"/>
      <c r="M4596" s="135"/>
      <c r="N4596" s="135"/>
      <c r="O4596" s="135"/>
      <c r="P4596" s="135"/>
      <c r="Q4596" s="135"/>
      <c r="R4596" s="135"/>
      <c r="S4596" s="135"/>
      <c r="T4596" s="135"/>
      <c r="U4596" s="135"/>
      <c r="V4596" s="135"/>
      <c r="W4596" s="135"/>
      <c r="X4596" s="135"/>
      <c r="Y4596" s="135"/>
      <c r="Z4596" s="135"/>
    </row>
    <row r="4597" spans="1:26" ht="25.5">
      <c r="A4597" s="136" t="s">
        <v>11</v>
      </c>
      <c r="B4597" s="136" t="s">
        <v>7971</v>
      </c>
      <c r="C4597" s="136" t="s">
        <v>7991</v>
      </c>
      <c r="D4597" s="136" t="s">
        <v>1682</v>
      </c>
      <c r="E4597" s="136" t="s">
        <v>86</v>
      </c>
      <c r="F4597" s="136">
        <v>8</v>
      </c>
      <c r="G4597" s="137">
        <f t="shared" si="18"/>
        <v>20</v>
      </c>
      <c r="H4597" s="137"/>
      <c r="I4597" s="137"/>
      <c r="J4597" s="135"/>
      <c r="K4597" s="135"/>
      <c r="L4597" s="135"/>
      <c r="M4597" s="135"/>
      <c r="N4597" s="135"/>
      <c r="O4597" s="135"/>
      <c r="P4597" s="135"/>
      <c r="Q4597" s="135"/>
      <c r="R4597" s="135"/>
      <c r="S4597" s="135"/>
      <c r="T4597" s="135"/>
      <c r="U4597" s="135"/>
      <c r="V4597" s="135"/>
      <c r="W4597" s="135"/>
      <c r="X4597" s="135"/>
      <c r="Y4597" s="135"/>
      <c r="Z4597" s="135"/>
    </row>
    <row r="4598" spans="1:26" ht="25.5">
      <c r="A4598" s="136" t="s">
        <v>16</v>
      </c>
      <c r="B4598" s="136" t="s">
        <v>7971</v>
      </c>
      <c r="C4598" s="136" t="s">
        <v>7992</v>
      </c>
      <c r="D4598" s="136" t="s">
        <v>139</v>
      </c>
      <c r="E4598" s="136" t="s">
        <v>594</v>
      </c>
      <c r="F4598" s="136">
        <v>1558</v>
      </c>
      <c r="G4598" s="137">
        <f t="shared" si="18"/>
        <v>1</v>
      </c>
      <c r="H4598" s="137"/>
      <c r="I4598" s="137"/>
      <c r="J4598" s="135"/>
      <c r="K4598" s="135"/>
      <c r="L4598" s="135"/>
      <c r="M4598" s="135"/>
      <c r="N4598" s="135"/>
      <c r="O4598" s="135"/>
      <c r="P4598" s="135"/>
      <c r="Q4598" s="135"/>
      <c r="R4598" s="135"/>
      <c r="S4598" s="135"/>
      <c r="T4598" s="135"/>
      <c r="U4598" s="135"/>
      <c r="V4598" s="135"/>
      <c r="W4598" s="135"/>
      <c r="X4598" s="135"/>
      <c r="Y4598" s="135"/>
      <c r="Z4598" s="135"/>
    </row>
    <row r="4599" spans="1:26" ht="25.5">
      <c r="A4599" s="136" t="s">
        <v>16</v>
      </c>
      <c r="B4599" s="136" t="s">
        <v>7971</v>
      </c>
      <c r="C4599" s="136" t="s">
        <v>7992</v>
      </c>
      <c r="D4599" s="136" t="s">
        <v>103</v>
      </c>
      <c r="E4599" s="136" t="s">
        <v>594</v>
      </c>
      <c r="F4599" s="136">
        <v>520</v>
      </c>
      <c r="G4599" s="137">
        <f t="shared" si="18"/>
        <v>2</v>
      </c>
      <c r="H4599" s="137"/>
      <c r="I4599" s="137"/>
      <c r="J4599" s="135"/>
      <c r="K4599" s="135"/>
      <c r="L4599" s="135"/>
      <c r="M4599" s="135"/>
      <c r="N4599" s="135"/>
      <c r="O4599" s="135"/>
      <c r="P4599" s="135"/>
      <c r="Q4599" s="135"/>
      <c r="R4599" s="135"/>
      <c r="S4599" s="135"/>
      <c r="T4599" s="135"/>
      <c r="U4599" s="135"/>
      <c r="V4599" s="135"/>
      <c r="W4599" s="135"/>
      <c r="X4599" s="135"/>
      <c r="Y4599" s="135"/>
      <c r="Z4599" s="135"/>
    </row>
    <row r="4600" spans="1:26" ht="25.5">
      <c r="A4600" s="136" t="s">
        <v>16</v>
      </c>
      <c r="B4600" s="136" t="s">
        <v>7971</v>
      </c>
      <c r="C4600" s="136" t="s">
        <v>7992</v>
      </c>
      <c r="D4600" s="136" t="s">
        <v>437</v>
      </c>
      <c r="E4600" s="136" t="s">
        <v>594</v>
      </c>
      <c r="F4600" s="136">
        <v>455</v>
      </c>
      <c r="G4600" s="137">
        <f t="shared" si="18"/>
        <v>3</v>
      </c>
      <c r="H4600" s="137"/>
      <c r="I4600" s="137"/>
      <c r="J4600" s="135"/>
      <c r="K4600" s="135"/>
      <c r="L4600" s="135"/>
      <c r="M4600" s="135"/>
      <c r="N4600" s="135"/>
      <c r="O4600" s="135"/>
      <c r="P4600" s="135"/>
      <c r="Q4600" s="135"/>
      <c r="R4600" s="135"/>
      <c r="S4600" s="135"/>
      <c r="T4600" s="135"/>
      <c r="U4600" s="135"/>
      <c r="V4600" s="135"/>
      <c r="W4600" s="135"/>
      <c r="X4600" s="135"/>
      <c r="Y4600" s="135"/>
      <c r="Z4600" s="135"/>
    </row>
    <row r="4601" spans="1:26" ht="25.5">
      <c r="A4601" s="136" t="s">
        <v>16</v>
      </c>
      <c r="B4601" s="136" t="s">
        <v>7971</v>
      </c>
      <c r="C4601" s="136" t="s">
        <v>7992</v>
      </c>
      <c r="D4601" s="136" t="s">
        <v>7993</v>
      </c>
      <c r="E4601" s="136" t="s">
        <v>615</v>
      </c>
      <c r="F4601" s="136">
        <v>392</v>
      </c>
      <c r="G4601" s="137">
        <f t="shared" si="18"/>
        <v>4</v>
      </c>
      <c r="H4601" s="137"/>
      <c r="I4601" s="137"/>
      <c r="J4601" s="135"/>
      <c r="K4601" s="135"/>
      <c r="L4601" s="135"/>
      <c r="M4601" s="135"/>
      <c r="N4601" s="135"/>
      <c r="O4601" s="135"/>
      <c r="P4601" s="135"/>
      <c r="Q4601" s="135"/>
      <c r="R4601" s="135"/>
      <c r="S4601" s="135"/>
      <c r="T4601" s="135"/>
      <c r="U4601" s="135"/>
      <c r="V4601" s="135"/>
      <c r="W4601" s="135"/>
      <c r="X4601" s="135"/>
      <c r="Y4601" s="135"/>
      <c r="Z4601" s="135"/>
    </row>
    <row r="4602" spans="1:26" ht="25.5">
      <c r="A4602" s="136" t="s">
        <v>16</v>
      </c>
      <c r="B4602" s="136" t="s">
        <v>7971</v>
      </c>
      <c r="C4602" s="136" t="s">
        <v>7992</v>
      </c>
      <c r="D4602" s="136" t="s">
        <v>7481</v>
      </c>
      <c r="E4602" s="136" t="s">
        <v>615</v>
      </c>
      <c r="F4602" s="136">
        <v>379</v>
      </c>
      <c r="G4602" s="137">
        <f t="shared" si="18"/>
        <v>5</v>
      </c>
      <c r="H4602" s="137"/>
      <c r="I4602" s="137"/>
      <c r="J4602" s="135"/>
      <c r="K4602" s="135"/>
      <c r="L4602" s="135"/>
      <c r="M4602" s="135"/>
      <c r="N4602" s="135"/>
      <c r="O4602" s="135"/>
      <c r="P4602" s="135"/>
      <c r="Q4602" s="135"/>
      <c r="R4602" s="135"/>
      <c r="S4602" s="135"/>
      <c r="T4602" s="135"/>
      <c r="U4602" s="135"/>
      <c r="V4602" s="135"/>
      <c r="W4602" s="135"/>
      <c r="X4602" s="135"/>
      <c r="Y4602" s="135"/>
      <c r="Z4602" s="135"/>
    </row>
    <row r="4603" spans="1:26" ht="25.5">
      <c r="A4603" s="136" t="s">
        <v>16</v>
      </c>
      <c r="B4603" s="136" t="s">
        <v>7971</v>
      </c>
      <c r="C4603" s="136" t="s">
        <v>7992</v>
      </c>
      <c r="D4603" s="136" t="s">
        <v>1626</v>
      </c>
      <c r="E4603" s="136" t="s">
        <v>594</v>
      </c>
      <c r="F4603" s="136">
        <v>343</v>
      </c>
      <c r="G4603" s="137">
        <f t="shared" si="18"/>
        <v>6</v>
      </c>
      <c r="H4603" s="137"/>
      <c r="I4603" s="137"/>
      <c r="J4603" s="135"/>
      <c r="K4603" s="135"/>
      <c r="L4603" s="135"/>
      <c r="M4603" s="135"/>
      <c r="N4603" s="135"/>
      <c r="O4603" s="135"/>
      <c r="P4603" s="135"/>
      <c r="Q4603" s="135"/>
      <c r="R4603" s="135"/>
      <c r="S4603" s="135"/>
      <c r="T4603" s="135"/>
      <c r="U4603" s="135"/>
      <c r="V4603" s="135"/>
      <c r="W4603" s="135"/>
      <c r="X4603" s="135"/>
      <c r="Y4603" s="135"/>
      <c r="Z4603" s="135"/>
    </row>
    <row r="4604" spans="1:26" ht="25.5">
      <c r="A4604" s="136" t="s">
        <v>16</v>
      </c>
      <c r="B4604" s="136" t="s">
        <v>7971</v>
      </c>
      <c r="C4604" s="136" t="s">
        <v>7992</v>
      </c>
      <c r="D4604" s="136" t="s">
        <v>1656</v>
      </c>
      <c r="E4604" s="136" t="s">
        <v>594</v>
      </c>
      <c r="F4604" s="136">
        <v>320</v>
      </c>
      <c r="G4604" s="137">
        <f t="shared" si="18"/>
        <v>7</v>
      </c>
      <c r="H4604" s="137"/>
      <c r="I4604" s="137"/>
      <c r="J4604" s="135"/>
      <c r="K4604" s="135"/>
      <c r="L4604" s="135"/>
      <c r="M4604" s="135"/>
      <c r="N4604" s="135"/>
      <c r="O4604" s="135"/>
      <c r="P4604" s="135"/>
      <c r="Q4604" s="135"/>
      <c r="R4604" s="135"/>
      <c r="S4604" s="135"/>
      <c r="T4604" s="135"/>
      <c r="U4604" s="135"/>
      <c r="V4604" s="135"/>
      <c r="W4604" s="135"/>
      <c r="X4604" s="135"/>
      <c r="Y4604" s="135"/>
      <c r="Z4604" s="135"/>
    </row>
    <row r="4605" spans="1:26" ht="25.5">
      <c r="A4605" s="136" t="s">
        <v>16</v>
      </c>
      <c r="B4605" s="136" t="s">
        <v>7971</v>
      </c>
      <c r="C4605" s="136" t="s">
        <v>7992</v>
      </c>
      <c r="D4605" s="136" t="s">
        <v>107</v>
      </c>
      <c r="E4605" s="136" t="s">
        <v>615</v>
      </c>
      <c r="F4605" s="136">
        <v>260</v>
      </c>
      <c r="G4605" s="137">
        <f t="shared" si="18"/>
        <v>8</v>
      </c>
      <c r="H4605" s="137"/>
      <c r="I4605" s="137"/>
      <c r="J4605" s="135"/>
      <c r="K4605" s="135"/>
      <c r="L4605" s="135"/>
      <c r="M4605" s="135"/>
      <c r="N4605" s="135"/>
      <c r="O4605" s="135"/>
      <c r="P4605" s="135"/>
      <c r="Q4605" s="135"/>
      <c r="R4605" s="135"/>
      <c r="S4605" s="135"/>
      <c r="T4605" s="135"/>
      <c r="U4605" s="135"/>
      <c r="V4605" s="135"/>
      <c r="W4605" s="135"/>
      <c r="X4605" s="135"/>
      <c r="Y4605" s="135"/>
      <c r="Z4605" s="135"/>
    </row>
    <row r="4606" spans="1:26" ht="25.5">
      <c r="A4606" s="136" t="s">
        <v>16</v>
      </c>
      <c r="B4606" s="136" t="s">
        <v>7971</v>
      </c>
      <c r="C4606" s="136" t="s">
        <v>7992</v>
      </c>
      <c r="D4606" s="136" t="s">
        <v>1674</v>
      </c>
      <c r="E4606" s="136" t="s">
        <v>615</v>
      </c>
      <c r="F4606" s="136">
        <v>249</v>
      </c>
      <c r="G4606" s="137">
        <f t="shared" si="18"/>
        <v>9</v>
      </c>
      <c r="H4606" s="137"/>
      <c r="I4606" s="137"/>
      <c r="J4606" s="135"/>
      <c r="K4606" s="135"/>
      <c r="L4606" s="135"/>
      <c r="M4606" s="135"/>
      <c r="N4606" s="135"/>
      <c r="O4606" s="135"/>
      <c r="P4606" s="135"/>
      <c r="Q4606" s="135"/>
      <c r="R4606" s="135"/>
      <c r="S4606" s="135"/>
      <c r="T4606" s="135"/>
      <c r="U4606" s="135"/>
      <c r="V4606" s="135"/>
      <c r="W4606" s="135"/>
      <c r="X4606" s="135"/>
      <c r="Y4606" s="135"/>
      <c r="Z4606" s="135"/>
    </row>
    <row r="4607" spans="1:26" ht="25.5">
      <c r="A4607" s="136" t="s">
        <v>16</v>
      </c>
      <c r="B4607" s="136" t="s">
        <v>7971</v>
      </c>
      <c r="C4607" s="136" t="s">
        <v>7992</v>
      </c>
      <c r="D4607" s="136" t="s">
        <v>368</v>
      </c>
      <c r="E4607" s="136" t="s">
        <v>594</v>
      </c>
      <c r="F4607" s="136">
        <v>198</v>
      </c>
      <c r="G4607" s="137">
        <f t="shared" si="18"/>
        <v>10</v>
      </c>
      <c r="H4607" s="137"/>
      <c r="I4607" s="137"/>
      <c r="J4607" s="135"/>
      <c r="K4607" s="135"/>
      <c r="L4607" s="135"/>
      <c r="M4607" s="135"/>
      <c r="N4607" s="135"/>
      <c r="O4607" s="135"/>
      <c r="P4607" s="135"/>
      <c r="Q4607" s="135"/>
      <c r="R4607" s="135"/>
      <c r="S4607" s="135"/>
      <c r="T4607" s="135"/>
      <c r="U4607" s="135"/>
      <c r="V4607" s="135"/>
      <c r="W4607" s="135"/>
      <c r="X4607" s="135"/>
      <c r="Y4607" s="135"/>
      <c r="Z4607" s="135"/>
    </row>
    <row r="4608" spans="1:26" ht="25.5">
      <c r="A4608" s="136" t="s">
        <v>16</v>
      </c>
      <c r="B4608" s="136" t="s">
        <v>7971</v>
      </c>
      <c r="C4608" s="136" t="s">
        <v>7992</v>
      </c>
      <c r="D4608" s="136" t="s">
        <v>98</v>
      </c>
      <c r="E4608" s="136" t="s">
        <v>594</v>
      </c>
      <c r="F4608" s="136">
        <v>168</v>
      </c>
      <c r="G4608" s="137">
        <f t="shared" si="18"/>
        <v>11</v>
      </c>
      <c r="H4608" s="137"/>
      <c r="I4608" s="137"/>
      <c r="J4608" s="135"/>
      <c r="K4608" s="135"/>
      <c r="L4608" s="135"/>
      <c r="M4608" s="135"/>
      <c r="N4608" s="135"/>
      <c r="O4608" s="135"/>
      <c r="P4608" s="135"/>
      <c r="Q4608" s="135"/>
      <c r="R4608" s="135"/>
      <c r="S4608" s="135"/>
      <c r="T4608" s="135"/>
      <c r="U4608" s="135"/>
      <c r="V4608" s="135"/>
      <c r="W4608" s="135"/>
      <c r="X4608" s="135"/>
      <c r="Y4608" s="135"/>
      <c r="Z4608" s="135"/>
    </row>
    <row r="4609" spans="1:26" ht="25.5">
      <c r="A4609" s="136" t="s">
        <v>16</v>
      </c>
      <c r="B4609" s="136" t="s">
        <v>7971</v>
      </c>
      <c r="C4609" s="136" t="s">
        <v>7992</v>
      </c>
      <c r="D4609" s="136" t="s">
        <v>136</v>
      </c>
      <c r="E4609" s="136" t="s">
        <v>615</v>
      </c>
      <c r="F4609" s="136">
        <v>140</v>
      </c>
      <c r="G4609" s="137">
        <f t="shared" si="18"/>
        <v>12</v>
      </c>
      <c r="H4609" s="137"/>
      <c r="I4609" s="137"/>
      <c r="J4609" s="135"/>
      <c r="K4609" s="135"/>
      <c r="L4609" s="135"/>
      <c r="M4609" s="135"/>
      <c r="N4609" s="135"/>
      <c r="O4609" s="135"/>
      <c r="P4609" s="135"/>
      <c r="Q4609" s="135"/>
      <c r="R4609" s="135"/>
      <c r="S4609" s="135"/>
      <c r="T4609" s="135"/>
      <c r="U4609" s="135"/>
      <c r="V4609" s="135"/>
      <c r="W4609" s="135"/>
      <c r="X4609" s="135"/>
      <c r="Y4609" s="135"/>
      <c r="Z4609" s="135"/>
    </row>
    <row r="4610" spans="1:26" ht="25.5">
      <c r="A4610" s="136" t="s">
        <v>16</v>
      </c>
      <c r="B4610" s="136" t="s">
        <v>7971</v>
      </c>
      <c r="C4610" s="136" t="s">
        <v>7992</v>
      </c>
      <c r="D4610" s="136" t="s">
        <v>433</v>
      </c>
      <c r="E4610" s="136" t="s">
        <v>594</v>
      </c>
      <c r="F4610" s="136">
        <v>112</v>
      </c>
      <c r="G4610" s="137">
        <f t="shared" si="18"/>
        <v>13</v>
      </c>
      <c r="H4610" s="137"/>
      <c r="I4610" s="137"/>
      <c r="J4610" s="135"/>
      <c r="K4610" s="135"/>
      <c r="L4610" s="135"/>
      <c r="M4610" s="135"/>
      <c r="N4610" s="135"/>
      <c r="O4610" s="135"/>
      <c r="P4610" s="135"/>
      <c r="Q4610" s="135"/>
      <c r="R4610" s="135"/>
      <c r="S4610" s="135"/>
      <c r="T4610" s="135"/>
      <c r="U4610" s="135"/>
      <c r="V4610" s="135"/>
      <c r="W4610" s="135"/>
      <c r="X4610" s="135"/>
      <c r="Y4610" s="135"/>
      <c r="Z4610" s="135"/>
    </row>
    <row r="4611" spans="1:26" ht="25.5">
      <c r="A4611" s="136" t="s">
        <v>16</v>
      </c>
      <c r="B4611" s="136" t="s">
        <v>7971</v>
      </c>
      <c r="C4611" s="136" t="s">
        <v>7992</v>
      </c>
      <c r="D4611" s="136" t="s">
        <v>131</v>
      </c>
      <c r="E4611" s="136" t="s">
        <v>594</v>
      </c>
      <c r="F4611" s="136">
        <v>107</v>
      </c>
      <c r="G4611" s="137">
        <f t="shared" si="18"/>
        <v>14</v>
      </c>
      <c r="H4611" s="137"/>
      <c r="I4611" s="137"/>
      <c r="J4611" s="135"/>
      <c r="K4611" s="135"/>
      <c r="L4611" s="135"/>
      <c r="M4611" s="135"/>
      <c r="N4611" s="135"/>
      <c r="O4611" s="135"/>
      <c r="P4611" s="135"/>
      <c r="Q4611" s="135"/>
      <c r="R4611" s="135"/>
      <c r="S4611" s="135"/>
      <c r="T4611" s="135"/>
      <c r="U4611" s="135"/>
      <c r="V4611" s="135"/>
      <c r="W4611" s="135"/>
      <c r="X4611" s="135"/>
      <c r="Y4611" s="135"/>
      <c r="Z4611" s="135"/>
    </row>
    <row r="4612" spans="1:26" ht="25.5">
      <c r="A4612" s="136" t="s">
        <v>16</v>
      </c>
      <c r="B4612" s="136" t="s">
        <v>7971</v>
      </c>
      <c r="C4612" s="136" t="s">
        <v>7992</v>
      </c>
      <c r="D4612" s="136" t="s">
        <v>114</v>
      </c>
      <c r="E4612" s="136" t="s">
        <v>85</v>
      </c>
      <c r="F4612" s="136">
        <v>82</v>
      </c>
      <c r="G4612" s="137">
        <f t="shared" si="18"/>
        <v>15</v>
      </c>
      <c r="H4612" s="137"/>
      <c r="I4612" s="137"/>
      <c r="J4612" s="135"/>
      <c r="K4612" s="135"/>
      <c r="L4612" s="135"/>
      <c r="M4612" s="135"/>
      <c r="N4612" s="135"/>
      <c r="O4612" s="135"/>
      <c r="P4612" s="135"/>
      <c r="Q4612" s="135"/>
      <c r="R4612" s="135"/>
      <c r="S4612" s="135"/>
      <c r="T4612" s="135"/>
      <c r="U4612" s="135"/>
      <c r="V4612" s="135"/>
      <c r="W4612" s="135"/>
      <c r="X4612" s="135"/>
      <c r="Y4612" s="135"/>
      <c r="Z4612" s="135"/>
    </row>
    <row r="4613" spans="1:26" ht="25.5">
      <c r="A4613" s="136" t="s">
        <v>16</v>
      </c>
      <c r="B4613" s="136" t="s">
        <v>7971</v>
      </c>
      <c r="C4613" s="136" t="s">
        <v>7992</v>
      </c>
      <c r="D4613" s="136" t="s">
        <v>7994</v>
      </c>
      <c r="E4613" s="136" t="s">
        <v>615</v>
      </c>
      <c r="F4613" s="136">
        <v>58</v>
      </c>
      <c r="G4613" s="137">
        <f t="shared" si="18"/>
        <v>16</v>
      </c>
      <c r="H4613" s="137"/>
      <c r="I4613" s="137"/>
      <c r="J4613" s="135"/>
      <c r="K4613" s="135"/>
      <c r="L4613" s="135"/>
      <c r="M4613" s="135"/>
      <c r="N4613" s="135"/>
      <c r="O4613" s="135"/>
      <c r="P4613" s="135"/>
      <c r="Q4613" s="135"/>
      <c r="R4613" s="135"/>
      <c r="S4613" s="135"/>
      <c r="T4613" s="135"/>
      <c r="U4613" s="135"/>
      <c r="V4613" s="135"/>
      <c r="W4613" s="135"/>
      <c r="X4613" s="135"/>
      <c r="Y4613" s="135"/>
      <c r="Z4613" s="135"/>
    </row>
    <row r="4614" spans="1:26" ht="25.5">
      <c r="A4614" s="136" t="s">
        <v>16</v>
      </c>
      <c r="B4614" s="136" t="s">
        <v>7971</v>
      </c>
      <c r="C4614" s="136" t="s">
        <v>7992</v>
      </c>
      <c r="D4614" s="136" t="s">
        <v>1665</v>
      </c>
      <c r="E4614" s="136" t="s">
        <v>615</v>
      </c>
      <c r="F4614" s="136">
        <v>35</v>
      </c>
      <c r="G4614" s="137">
        <f t="shared" si="18"/>
        <v>17</v>
      </c>
      <c r="H4614" s="137"/>
      <c r="I4614" s="137"/>
      <c r="J4614" s="135"/>
      <c r="K4614" s="135"/>
      <c r="L4614" s="135"/>
      <c r="M4614" s="135"/>
      <c r="N4614" s="135"/>
      <c r="O4614" s="135"/>
      <c r="P4614" s="135"/>
      <c r="Q4614" s="135"/>
      <c r="R4614" s="135"/>
      <c r="S4614" s="135"/>
      <c r="T4614" s="135"/>
      <c r="U4614" s="135"/>
      <c r="V4614" s="135"/>
      <c r="W4614" s="135"/>
      <c r="X4614" s="135"/>
      <c r="Y4614" s="135"/>
      <c r="Z4614" s="135"/>
    </row>
    <row r="4615" spans="1:26" ht="25.5">
      <c r="A4615" s="136" t="s">
        <v>16</v>
      </c>
      <c r="B4615" s="136" t="s">
        <v>7971</v>
      </c>
      <c r="C4615" s="136" t="s">
        <v>7992</v>
      </c>
      <c r="D4615" s="136" t="s">
        <v>165</v>
      </c>
      <c r="E4615" s="136" t="s">
        <v>615</v>
      </c>
      <c r="F4615" s="136">
        <v>31</v>
      </c>
      <c r="G4615" s="137">
        <f t="shared" si="18"/>
        <v>18</v>
      </c>
      <c r="H4615" s="137"/>
      <c r="I4615" s="137"/>
      <c r="J4615" s="135"/>
      <c r="K4615" s="135"/>
      <c r="L4615" s="135"/>
      <c r="M4615" s="135"/>
      <c r="N4615" s="135"/>
      <c r="O4615" s="135"/>
      <c r="P4615" s="135"/>
      <c r="Q4615" s="135"/>
      <c r="R4615" s="135"/>
      <c r="S4615" s="135"/>
      <c r="T4615" s="135"/>
      <c r="U4615" s="135"/>
      <c r="V4615" s="135"/>
      <c r="W4615" s="135"/>
      <c r="X4615" s="135"/>
      <c r="Y4615" s="135"/>
      <c r="Z4615" s="135"/>
    </row>
    <row r="4616" spans="1:26" ht="25.5">
      <c r="A4616" s="136" t="s">
        <v>16</v>
      </c>
      <c r="B4616" s="136" t="s">
        <v>7971</v>
      </c>
      <c r="C4616" s="136" t="s">
        <v>7992</v>
      </c>
      <c r="D4616" s="136" t="s">
        <v>7544</v>
      </c>
      <c r="E4616" s="136" t="s">
        <v>615</v>
      </c>
      <c r="F4616" s="136">
        <v>28</v>
      </c>
      <c r="G4616" s="137">
        <f t="shared" si="18"/>
        <v>19</v>
      </c>
      <c r="H4616" s="137"/>
      <c r="I4616" s="137"/>
      <c r="J4616" s="135"/>
      <c r="K4616" s="135"/>
      <c r="L4616" s="135"/>
      <c r="M4616" s="135"/>
      <c r="N4616" s="135"/>
      <c r="O4616" s="135"/>
      <c r="P4616" s="135"/>
      <c r="Q4616" s="135"/>
      <c r="R4616" s="135"/>
      <c r="S4616" s="135"/>
      <c r="T4616" s="135"/>
      <c r="U4616" s="135"/>
      <c r="V4616" s="135"/>
      <c r="W4616" s="135"/>
      <c r="X4616" s="135"/>
      <c r="Y4616" s="135"/>
      <c r="Z4616" s="135"/>
    </row>
    <row r="4617" spans="1:26" ht="25.5">
      <c r="A4617" s="136" t="s">
        <v>16</v>
      </c>
      <c r="B4617" s="136" t="s">
        <v>7971</v>
      </c>
      <c r="C4617" s="136" t="s">
        <v>7992</v>
      </c>
      <c r="D4617" s="136" t="s">
        <v>1682</v>
      </c>
      <c r="E4617" s="136" t="s">
        <v>86</v>
      </c>
      <c r="F4617" s="136">
        <v>12</v>
      </c>
      <c r="G4617" s="137">
        <f t="shared" si="18"/>
        <v>20</v>
      </c>
      <c r="H4617" s="137"/>
      <c r="I4617" s="137"/>
      <c r="J4617" s="135"/>
      <c r="K4617" s="135"/>
      <c r="L4617" s="135"/>
      <c r="M4617" s="135"/>
      <c r="N4617" s="135"/>
      <c r="O4617" s="135"/>
      <c r="P4617" s="135"/>
      <c r="Q4617" s="135"/>
      <c r="R4617" s="135"/>
      <c r="S4617" s="135"/>
      <c r="T4617" s="135"/>
      <c r="U4617" s="135"/>
      <c r="V4617" s="135"/>
      <c r="W4617" s="135"/>
      <c r="X4617" s="135"/>
      <c r="Y4617" s="135"/>
      <c r="Z4617" s="135"/>
    </row>
    <row r="4618" spans="1:26" ht="25.5">
      <c r="A4618" s="136" t="s">
        <v>16</v>
      </c>
      <c r="B4618" s="136" t="s">
        <v>7971</v>
      </c>
      <c r="C4618" s="136" t="s">
        <v>7992</v>
      </c>
      <c r="D4618" s="136" t="s">
        <v>467</v>
      </c>
      <c r="E4618" s="136" t="s">
        <v>85</v>
      </c>
      <c r="F4618" s="136">
        <v>10</v>
      </c>
      <c r="G4618" s="137">
        <f t="shared" si="18"/>
        <v>21</v>
      </c>
      <c r="H4618" s="137"/>
      <c r="I4618" s="137"/>
      <c r="J4618" s="135"/>
      <c r="K4618" s="135"/>
      <c r="L4618" s="135"/>
      <c r="M4618" s="135"/>
      <c r="N4618" s="135"/>
      <c r="O4618" s="135"/>
      <c r="P4618" s="135"/>
      <c r="Q4618" s="135"/>
      <c r="R4618" s="135"/>
      <c r="S4618" s="135"/>
      <c r="T4618" s="135"/>
      <c r="U4618" s="135"/>
      <c r="V4618" s="135"/>
      <c r="W4618" s="135"/>
      <c r="X4618" s="135"/>
      <c r="Y4618" s="135"/>
      <c r="Z4618" s="135"/>
    </row>
    <row r="4619" spans="1:26" ht="25.5">
      <c r="A4619" s="136" t="s">
        <v>16</v>
      </c>
      <c r="B4619" s="136" t="s">
        <v>7971</v>
      </c>
      <c r="C4619" s="136" t="s">
        <v>7992</v>
      </c>
      <c r="D4619" s="136" t="s">
        <v>7985</v>
      </c>
      <c r="E4619" s="136" t="s">
        <v>615</v>
      </c>
      <c r="F4619" s="136">
        <v>8</v>
      </c>
      <c r="G4619" s="137">
        <f t="shared" si="18"/>
        <v>22</v>
      </c>
      <c r="H4619" s="137"/>
      <c r="I4619" s="137"/>
      <c r="J4619" s="135"/>
      <c r="K4619" s="135"/>
      <c r="L4619" s="135"/>
      <c r="M4619" s="135"/>
      <c r="N4619" s="135"/>
      <c r="O4619" s="135"/>
      <c r="P4619" s="135"/>
      <c r="Q4619" s="135"/>
      <c r="R4619" s="135"/>
      <c r="S4619" s="135"/>
      <c r="T4619" s="135"/>
      <c r="U4619" s="135"/>
      <c r="V4619" s="135"/>
      <c r="W4619" s="135"/>
      <c r="X4619" s="135"/>
      <c r="Y4619" s="135"/>
      <c r="Z4619" s="135"/>
    </row>
    <row r="4620" spans="1:26" ht="25.5">
      <c r="A4620" s="136" t="s">
        <v>16</v>
      </c>
      <c r="B4620" s="136" t="s">
        <v>7971</v>
      </c>
      <c r="C4620" s="136" t="s">
        <v>7992</v>
      </c>
      <c r="D4620" s="136" t="s">
        <v>1666</v>
      </c>
      <c r="E4620" s="136" t="s">
        <v>85</v>
      </c>
      <c r="F4620" s="136">
        <v>6</v>
      </c>
      <c r="G4620" s="137">
        <f t="shared" si="18"/>
        <v>23</v>
      </c>
      <c r="H4620" s="137"/>
      <c r="I4620" s="137"/>
      <c r="J4620" s="135"/>
      <c r="K4620" s="135"/>
      <c r="L4620" s="135"/>
      <c r="M4620" s="135"/>
      <c r="N4620" s="135"/>
      <c r="O4620" s="135"/>
      <c r="P4620" s="135"/>
      <c r="Q4620" s="135"/>
      <c r="R4620" s="135"/>
      <c r="S4620" s="135"/>
      <c r="T4620" s="135"/>
      <c r="U4620" s="135"/>
      <c r="V4620" s="135"/>
      <c r="W4620" s="135"/>
      <c r="X4620" s="135"/>
      <c r="Y4620" s="135"/>
      <c r="Z4620" s="135"/>
    </row>
    <row r="4621" spans="1:26" ht="25.5">
      <c r="A4621" s="136" t="s">
        <v>16</v>
      </c>
      <c r="B4621" s="136" t="s">
        <v>7971</v>
      </c>
      <c r="C4621" s="136" t="s">
        <v>7995</v>
      </c>
      <c r="D4621" s="136" t="s">
        <v>139</v>
      </c>
      <c r="E4621" s="136" t="s">
        <v>594</v>
      </c>
      <c r="F4621" s="136">
        <v>1212</v>
      </c>
      <c r="G4621" s="137">
        <f t="shared" si="18"/>
        <v>1</v>
      </c>
      <c r="H4621" s="137"/>
      <c r="I4621" s="137"/>
      <c r="J4621" s="135"/>
      <c r="K4621" s="135"/>
      <c r="L4621" s="135"/>
      <c r="M4621" s="135"/>
      <c r="N4621" s="135"/>
      <c r="O4621" s="135"/>
      <c r="P4621" s="135"/>
      <c r="Q4621" s="135"/>
      <c r="R4621" s="135"/>
      <c r="S4621" s="135"/>
      <c r="T4621" s="135"/>
      <c r="U4621" s="135"/>
      <c r="V4621" s="135"/>
      <c r="W4621" s="135"/>
      <c r="X4621" s="135"/>
      <c r="Y4621" s="135"/>
      <c r="Z4621" s="135"/>
    </row>
    <row r="4622" spans="1:26" ht="25.5">
      <c r="A4622" s="136" t="s">
        <v>16</v>
      </c>
      <c r="B4622" s="136" t="s">
        <v>7971</v>
      </c>
      <c r="C4622" s="136" t="s">
        <v>7995</v>
      </c>
      <c r="D4622" s="136" t="s">
        <v>7993</v>
      </c>
      <c r="E4622" s="136" t="s">
        <v>615</v>
      </c>
      <c r="F4622" s="136">
        <v>775</v>
      </c>
      <c r="G4622" s="137">
        <f t="shared" si="18"/>
        <v>2</v>
      </c>
      <c r="H4622" s="137"/>
      <c r="I4622" s="137"/>
      <c r="J4622" s="135"/>
      <c r="K4622" s="135"/>
      <c r="L4622" s="135"/>
      <c r="M4622" s="135"/>
      <c r="N4622" s="135"/>
      <c r="O4622" s="135"/>
      <c r="P4622" s="135"/>
      <c r="Q4622" s="135"/>
      <c r="R4622" s="135"/>
      <c r="S4622" s="135"/>
      <c r="T4622" s="135"/>
      <c r="U4622" s="135"/>
      <c r="V4622" s="135"/>
      <c r="W4622" s="135"/>
      <c r="X4622" s="135"/>
      <c r="Y4622" s="135"/>
      <c r="Z4622" s="135"/>
    </row>
    <row r="4623" spans="1:26" ht="25.5">
      <c r="A4623" s="136" t="s">
        <v>16</v>
      </c>
      <c r="B4623" s="136" t="s">
        <v>7971</v>
      </c>
      <c r="C4623" s="136" t="s">
        <v>7995</v>
      </c>
      <c r="D4623" s="136" t="s">
        <v>1626</v>
      </c>
      <c r="E4623" s="136" t="s">
        <v>594</v>
      </c>
      <c r="F4623" s="136">
        <v>535</v>
      </c>
      <c r="G4623" s="137">
        <f t="shared" si="18"/>
        <v>3</v>
      </c>
      <c r="H4623" s="137"/>
      <c r="I4623" s="137"/>
      <c r="J4623" s="135"/>
      <c r="K4623" s="135"/>
      <c r="L4623" s="135"/>
      <c r="M4623" s="135"/>
      <c r="N4623" s="135"/>
      <c r="O4623" s="135"/>
      <c r="P4623" s="135"/>
      <c r="Q4623" s="135"/>
      <c r="R4623" s="135"/>
      <c r="S4623" s="135"/>
      <c r="T4623" s="135"/>
      <c r="U4623" s="135"/>
      <c r="V4623" s="135"/>
      <c r="W4623" s="135"/>
      <c r="X4623" s="135"/>
      <c r="Y4623" s="135"/>
      <c r="Z4623" s="135"/>
    </row>
    <row r="4624" spans="1:26" ht="25.5">
      <c r="A4624" s="136" t="s">
        <v>16</v>
      </c>
      <c r="B4624" s="136" t="s">
        <v>7971</v>
      </c>
      <c r="C4624" s="136" t="s">
        <v>7995</v>
      </c>
      <c r="D4624" s="136" t="s">
        <v>103</v>
      </c>
      <c r="E4624" s="136" t="s">
        <v>594</v>
      </c>
      <c r="F4624" s="136">
        <v>409</v>
      </c>
      <c r="G4624" s="137">
        <f t="shared" si="18"/>
        <v>4</v>
      </c>
      <c r="H4624" s="137"/>
      <c r="I4624" s="137"/>
      <c r="J4624" s="135"/>
      <c r="K4624" s="135"/>
      <c r="L4624" s="135"/>
      <c r="M4624" s="135"/>
      <c r="N4624" s="135"/>
      <c r="O4624" s="135"/>
      <c r="P4624" s="135"/>
      <c r="Q4624" s="135"/>
      <c r="R4624" s="135"/>
      <c r="S4624" s="135"/>
      <c r="T4624" s="135"/>
      <c r="U4624" s="135"/>
      <c r="V4624" s="135"/>
      <c r="W4624" s="135"/>
      <c r="X4624" s="135"/>
      <c r="Y4624" s="135"/>
      <c r="Z4624" s="135"/>
    </row>
    <row r="4625" spans="1:26" ht="25.5">
      <c r="A4625" s="136" t="s">
        <v>16</v>
      </c>
      <c r="B4625" s="136" t="s">
        <v>7971</v>
      </c>
      <c r="C4625" s="136" t="s">
        <v>7995</v>
      </c>
      <c r="D4625" s="136" t="s">
        <v>368</v>
      </c>
      <c r="E4625" s="136" t="s">
        <v>594</v>
      </c>
      <c r="F4625" s="136">
        <v>362</v>
      </c>
      <c r="G4625" s="137">
        <f t="shared" si="18"/>
        <v>5</v>
      </c>
      <c r="H4625" s="137"/>
      <c r="I4625" s="137"/>
      <c r="J4625" s="135"/>
      <c r="K4625" s="135"/>
      <c r="L4625" s="135"/>
      <c r="M4625" s="135"/>
      <c r="N4625" s="135"/>
      <c r="O4625" s="135"/>
      <c r="P4625" s="135"/>
      <c r="Q4625" s="135"/>
      <c r="R4625" s="135"/>
      <c r="S4625" s="135"/>
      <c r="T4625" s="135"/>
      <c r="U4625" s="135"/>
      <c r="V4625" s="135"/>
      <c r="W4625" s="135"/>
      <c r="X4625" s="135"/>
      <c r="Y4625" s="135"/>
      <c r="Z4625" s="135"/>
    </row>
    <row r="4626" spans="1:26" ht="25.5">
      <c r="A4626" s="136" t="s">
        <v>16</v>
      </c>
      <c r="B4626" s="136" t="s">
        <v>7971</v>
      </c>
      <c r="C4626" s="136" t="s">
        <v>7995</v>
      </c>
      <c r="D4626" s="136" t="s">
        <v>437</v>
      </c>
      <c r="E4626" s="136" t="s">
        <v>594</v>
      </c>
      <c r="F4626" s="136">
        <v>334</v>
      </c>
      <c r="G4626" s="137">
        <f t="shared" si="18"/>
        <v>6</v>
      </c>
      <c r="H4626" s="137"/>
      <c r="I4626" s="137"/>
      <c r="J4626" s="135"/>
      <c r="K4626" s="135"/>
      <c r="L4626" s="135"/>
      <c r="M4626" s="135"/>
      <c r="N4626" s="135"/>
      <c r="O4626" s="135"/>
      <c r="P4626" s="135"/>
      <c r="Q4626" s="135"/>
      <c r="R4626" s="135"/>
      <c r="S4626" s="135"/>
      <c r="T4626" s="135"/>
      <c r="U4626" s="135"/>
      <c r="V4626" s="135"/>
      <c r="W4626" s="135"/>
      <c r="X4626" s="135"/>
      <c r="Y4626" s="135"/>
      <c r="Z4626" s="135"/>
    </row>
    <row r="4627" spans="1:26" ht="25.5">
      <c r="A4627" s="136" t="s">
        <v>16</v>
      </c>
      <c r="B4627" s="136" t="s">
        <v>7971</v>
      </c>
      <c r="C4627" s="136" t="s">
        <v>7995</v>
      </c>
      <c r="D4627" s="136" t="s">
        <v>433</v>
      </c>
      <c r="E4627" s="136" t="s">
        <v>594</v>
      </c>
      <c r="F4627" s="136">
        <v>317</v>
      </c>
      <c r="G4627" s="137">
        <f t="shared" si="18"/>
        <v>7</v>
      </c>
      <c r="H4627" s="137"/>
      <c r="I4627" s="137"/>
      <c r="J4627" s="135"/>
      <c r="K4627" s="135"/>
      <c r="L4627" s="135"/>
      <c r="M4627" s="135"/>
      <c r="N4627" s="135"/>
      <c r="O4627" s="135"/>
      <c r="P4627" s="135"/>
      <c r="Q4627" s="135"/>
      <c r="R4627" s="135"/>
      <c r="S4627" s="135"/>
      <c r="T4627" s="135"/>
      <c r="U4627" s="135"/>
      <c r="V4627" s="135"/>
      <c r="W4627" s="135"/>
      <c r="X4627" s="135"/>
      <c r="Y4627" s="135"/>
      <c r="Z4627" s="135"/>
    </row>
    <row r="4628" spans="1:26" ht="25.5">
      <c r="A4628" s="136" t="s">
        <v>16</v>
      </c>
      <c r="B4628" s="136" t="s">
        <v>7971</v>
      </c>
      <c r="C4628" s="136" t="s">
        <v>7995</v>
      </c>
      <c r="D4628" s="136" t="s">
        <v>131</v>
      </c>
      <c r="E4628" s="136" t="s">
        <v>594</v>
      </c>
      <c r="F4628" s="136">
        <v>270</v>
      </c>
      <c r="G4628" s="137">
        <f t="shared" si="18"/>
        <v>8</v>
      </c>
      <c r="H4628" s="137"/>
      <c r="I4628" s="137"/>
      <c r="J4628" s="135"/>
      <c r="K4628" s="135"/>
      <c r="L4628" s="135"/>
      <c r="M4628" s="135"/>
      <c r="N4628" s="135"/>
      <c r="O4628" s="135"/>
      <c r="P4628" s="135"/>
      <c r="Q4628" s="135"/>
      <c r="R4628" s="135"/>
      <c r="S4628" s="135"/>
      <c r="T4628" s="135"/>
      <c r="U4628" s="135"/>
      <c r="V4628" s="135"/>
      <c r="W4628" s="135"/>
      <c r="X4628" s="135"/>
      <c r="Y4628" s="135"/>
      <c r="Z4628" s="135"/>
    </row>
    <row r="4629" spans="1:26" ht="25.5">
      <c r="A4629" s="136" t="s">
        <v>16</v>
      </c>
      <c r="B4629" s="136" t="s">
        <v>7971</v>
      </c>
      <c r="C4629" s="136" t="s">
        <v>7995</v>
      </c>
      <c r="D4629" s="136" t="s">
        <v>98</v>
      </c>
      <c r="E4629" s="136" t="s">
        <v>594</v>
      </c>
      <c r="F4629" s="136">
        <v>201</v>
      </c>
      <c r="G4629" s="137">
        <f t="shared" si="18"/>
        <v>9</v>
      </c>
      <c r="H4629" s="137"/>
      <c r="I4629" s="137"/>
      <c r="J4629" s="135"/>
      <c r="K4629" s="135"/>
      <c r="L4629" s="135"/>
      <c r="M4629" s="135"/>
      <c r="N4629" s="135"/>
      <c r="O4629" s="135"/>
      <c r="P4629" s="135"/>
      <c r="Q4629" s="135"/>
      <c r="R4629" s="135"/>
      <c r="S4629" s="135"/>
      <c r="T4629" s="135"/>
      <c r="U4629" s="135"/>
      <c r="V4629" s="135"/>
      <c r="W4629" s="135"/>
      <c r="X4629" s="135"/>
      <c r="Y4629" s="135"/>
      <c r="Z4629" s="135"/>
    </row>
    <row r="4630" spans="1:26" ht="25.5">
      <c r="A4630" s="136" t="s">
        <v>16</v>
      </c>
      <c r="B4630" s="136" t="s">
        <v>7971</v>
      </c>
      <c r="C4630" s="136" t="s">
        <v>7995</v>
      </c>
      <c r="D4630" s="136" t="s">
        <v>1665</v>
      </c>
      <c r="E4630" s="136" t="s">
        <v>615</v>
      </c>
      <c r="F4630" s="136">
        <v>145</v>
      </c>
      <c r="G4630" s="137">
        <f t="shared" si="18"/>
        <v>10</v>
      </c>
      <c r="H4630" s="137"/>
      <c r="I4630" s="137"/>
      <c r="J4630" s="135"/>
      <c r="K4630" s="135"/>
      <c r="L4630" s="135"/>
      <c r="M4630" s="135"/>
      <c r="N4630" s="135"/>
      <c r="O4630" s="135"/>
      <c r="P4630" s="135"/>
      <c r="Q4630" s="135"/>
      <c r="R4630" s="135"/>
      <c r="S4630" s="135"/>
      <c r="T4630" s="135"/>
      <c r="U4630" s="135"/>
      <c r="V4630" s="135"/>
      <c r="W4630" s="135"/>
      <c r="X4630" s="135"/>
      <c r="Y4630" s="135"/>
      <c r="Z4630" s="135"/>
    </row>
    <row r="4631" spans="1:26" ht="25.5">
      <c r="A4631" s="136" t="s">
        <v>16</v>
      </c>
      <c r="B4631" s="136" t="s">
        <v>7971</v>
      </c>
      <c r="C4631" s="136" t="s">
        <v>7995</v>
      </c>
      <c r="D4631" s="136" t="s">
        <v>7544</v>
      </c>
      <c r="E4631" s="136" t="s">
        <v>615</v>
      </c>
      <c r="F4631" s="136">
        <v>135</v>
      </c>
      <c r="G4631" s="137">
        <f t="shared" si="18"/>
        <v>11</v>
      </c>
      <c r="H4631" s="137"/>
      <c r="I4631" s="137"/>
      <c r="J4631" s="135"/>
      <c r="K4631" s="135"/>
      <c r="L4631" s="135"/>
      <c r="M4631" s="135"/>
      <c r="N4631" s="135"/>
      <c r="O4631" s="135"/>
      <c r="P4631" s="135"/>
      <c r="Q4631" s="135"/>
      <c r="R4631" s="135"/>
      <c r="S4631" s="135"/>
      <c r="T4631" s="135"/>
      <c r="U4631" s="135"/>
      <c r="V4631" s="135"/>
      <c r="W4631" s="135"/>
      <c r="X4631" s="135"/>
      <c r="Y4631" s="135"/>
      <c r="Z4631" s="135"/>
    </row>
    <row r="4632" spans="1:26" ht="25.5">
      <c r="A4632" s="136" t="s">
        <v>16</v>
      </c>
      <c r="B4632" s="136" t="s">
        <v>7971</v>
      </c>
      <c r="C4632" s="136" t="s">
        <v>7995</v>
      </c>
      <c r="D4632" s="136" t="s">
        <v>1680</v>
      </c>
      <c r="E4632" s="136" t="s">
        <v>615</v>
      </c>
      <c r="F4632" s="136">
        <v>125</v>
      </c>
      <c r="G4632" s="137">
        <f t="shared" si="18"/>
        <v>12</v>
      </c>
      <c r="H4632" s="137"/>
      <c r="I4632" s="137"/>
      <c r="J4632" s="135"/>
      <c r="K4632" s="135"/>
      <c r="L4632" s="135"/>
      <c r="M4632" s="135"/>
      <c r="N4632" s="135"/>
      <c r="O4632" s="135"/>
      <c r="P4632" s="135"/>
      <c r="Q4632" s="135"/>
      <c r="R4632" s="135"/>
      <c r="S4632" s="135"/>
      <c r="T4632" s="135"/>
      <c r="U4632" s="135"/>
      <c r="V4632" s="135"/>
      <c r="W4632" s="135"/>
      <c r="X4632" s="135"/>
      <c r="Y4632" s="135"/>
      <c r="Z4632" s="135"/>
    </row>
    <row r="4633" spans="1:26" ht="25.5">
      <c r="A4633" s="136" t="s">
        <v>16</v>
      </c>
      <c r="B4633" s="136" t="s">
        <v>7971</v>
      </c>
      <c r="C4633" s="136" t="s">
        <v>7995</v>
      </c>
      <c r="D4633" s="136" t="s">
        <v>7481</v>
      </c>
      <c r="E4633" s="136" t="s">
        <v>615</v>
      </c>
      <c r="F4633" s="136">
        <v>117</v>
      </c>
      <c r="G4633" s="137">
        <f t="shared" si="18"/>
        <v>13</v>
      </c>
      <c r="H4633" s="137"/>
      <c r="I4633" s="137"/>
      <c r="J4633" s="135"/>
      <c r="K4633" s="135"/>
      <c r="L4633" s="135"/>
      <c r="M4633" s="135"/>
      <c r="N4633" s="135"/>
      <c r="O4633" s="135"/>
      <c r="P4633" s="135"/>
      <c r="Q4633" s="135"/>
      <c r="R4633" s="135"/>
      <c r="S4633" s="135"/>
      <c r="T4633" s="135"/>
      <c r="U4633" s="135"/>
      <c r="V4633" s="135"/>
      <c r="W4633" s="135"/>
      <c r="X4633" s="135"/>
      <c r="Y4633" s="135"/>
      <c r="Z4633" s="135"/>
    </row>
    <row r="4634" spans="1:26" ht="25.5">
      <c r="A4634" s="136" t="s">
        <v>16</v>
      </c>
      <c r="B4634" s="136" t="s">
        <v>7971</v>
      </c>
      <c r="C4634" s="136" t="s">
        <v>7995</v>
      </c>
      <c r="D4634" s="136" t="s">
        <v>1639</v>
      </c>
      <c r="E4634" s="136" t="s">
        <v>615</v>
      </c>
      <c r="F4634" s="136">
        <v>115</v>
      </c>
      <c r="G4634" s="137">
        <f t="shared" si="18"/>
        <v>14</v>
      </c>
      <c r="H4634" s="137"/>
      <c r="I4634" s="137"/>
      <c r="J4634" s="135"/>
      <c r="K4634" s="135"/>
      <c r="L4634" s="135"/>
      <c r="M4634" s="135"/>
      <c r="N4634" s="135"/>
      <c r="O4634" s="135"/>
      <c r="P4634" s="135"/>
      <c r="Q4634" s="135"/>
      <c r="R4634" s="135"/>
      <c r="S4634" s="135"/>
      <c r="T4634" s="135"/>
      <c r="U4634" s="135"/>
      <c r="V4634" s="135"/>
      <c r="W4634" s="135"/>
      <c r="X4634" s="135"/>
      <c r="Y4634" s="135"/>
      <c r="Z4634" s="135"/>
    </row>
    <row r="4635" spans="1:26" ht="25.5">
      <c r="A4635" s="136" t="s">
        <v>16</v>
      </c>
      <c r="B4635" s="136" t="s">
        <v>7971</v>
      </c>
      <c r="C4635" s="136" t="s">
        <v>7995</v>
      </c>
      <c r="D4635" s="136" t="s">
        <v>136</v>
      </c>
      <c r="E4635" s="136" t="s">
        <v>615</v>
      </c>
      <c r="F4635" s="136">
        <v>110</v>
      </c>
      <c r="G4635" s="137">
        <f t="shared" si="18"/>
        <v>15</v>
      </c>
      <c r="H4635" s="137"/>
      <c r="I4635" s="137"/>
      <c r="J4635" s="135"/>
      <c r="K4635" s="135"/>
      <c r="L4635" s="135"/>
      <c r="M4635" s="135"/>
      <c r="N4635" s="135"/>
      <c r="O4635" s="135"/>
      <c r="P4635" s="135"/>
      <c r="Q4635" s="135"/>
      <c r="R4635" s="135"/>
      <c r="S4635" s="135"/>
      <c r="T4635" s="135"/>
      <c r="U4635" s="135"/>
      <c r="V4635" s="135"/>
      <c r="W4635" s="135"/>
      <c r="X4635" s="135"/>
      <c r="Y4635" s="135"/>
      <c r="Z4635" s="135"/>
    </row>
    <row r="4636" spans="1:26" ht="25.5">
      <c r="A4636" s="136" t="s">
        <v>16</v>
      </c>
      <c r="B4636" s="136" t="s">
        <v>7971</v>
      </c>
      <c r="C4636" s="136" t="s">
        <v>7995</v>
      </c>
      <c r="D4636" s="136" t="s">
        <v>1673</v>
      </c>
      <c r="E4636" s="136" t="s">
        <v>615</v>
      </c>
      <c r="F4636" s="136">
        <v>105</v>
      </c>
      <c r="G4636" s="137">
        <f t="shared" si="18"/>
        <v>16</v>
      </c>
      <c r="H4636" s="137"/>
      <c r="I4636" s="137"/>
      <c r="J4636" s="135"/>
      <c r="K4636" s="135"/>
      <c r="L4636" s="135"/>
      <c r="M4636" s="135"/>
      <c r="N4636" s="135"/>
      <c r="O4636" s="135"/>
      <c r="P4636" s="135"/>
      <c r="Q4636" s="135"/>
      <c r="R4636" s="135"/>
      <c r="S4636" s="135"/>
      <c r="T4636" s="135"/>
      <c r="U4636" s="135"/>
      <c r="V4636" s="135"/>
      <c r="W4636" s="135"/>
      <c r="X4636" s="135"/>
      <c r="Y4636" s="135"/>
      <c r="Z4636" s="135"/>
    </row>
    <row r="4637" spans="1:26" ht="25.5">
      <c r="A4637" s="136" t="s">
        <v>16</v>
      </c>
      <c r="B4637" s="136" t="s">
        <v>7971</v>
      </c>
      <c r="C4637" s="136" t="s">
        <v>7995</v>
      </c>
      <c r="D4637" s="136" t="s">
        <v>165</v>
      </c>
      <c r="E4637" s="136" t="s">
        <v>615</v>
      </c>
      <c r="F4637" s="136">
        <v>100</v>
      </c>
      <c r="G4637" s="137">
        <f t="shared" si="18"/>
        <v>17</v>
      </c>
      <c r="H4637" s="137"/>
      <c r="I4637" s="137"/>
      <c r="J4637" s="135"/>
      <c r="K4637" s="135"/>
      <c r="L4637" s="135"/>
      <c r="M4637" s="135"/>
      <c r="N4637" s="135"/>
      <c r="O4637" s="135"/>
      <c r="P4637" s="135"/>
      <c r="Q4637" s="135"/>
      <c r="R4637" s="135"/>
      <c r="S4637" s="135"/>
      <c r="T4637" s="135"/>
      <c r="U4637" s="135"/>
      <c r="V4637" s="135"/>
      <c r="W4637" s="135"/>
      <c r="X4637" s="135"/>
      <c r="Y4637" s="135"/>
      <c r="Z4637" s="135"/>
    </row>
    <row r="4638" spans="1:26" ht="25.5">
      <c r="A4638" s="136" t="s">
        <v>16</v>
      </c>
      <c r="B4638" s="136" t="s">
        <v>7971</v>
      </c>
      <c r="C4638" s="136" t="s">
        <v>7995</v>
      </c>
      <c r="D4638" s="136" t="s">
        <v>114</v>
      </c>
      <c r="E4638" s="136" t="s">
        <v>85</v>
      </c>
      <c r="F4638" s="136">
        <v>97</v>
      </c>
      <c r="G4638" s="137">
        <f t="shared" si="18"/>
        <v>18</v>
      </c>
      <c r="H4638" s="137"/>
      <c r="I4638" s="137"/>
      <c r="J4638" s="135"/>
      <c r="K4638" s="135"/>
      <c r="L4638" s="135"/>
      <c r="M4638" s="135"/>
      <c r="N4638" s="135"/>
      <c r="O4638" s="135"/>
      <c r="P4638" s="135"/>
      <c r="Q4638" s="135"/>
      <c r="R4638" s="135"/>
      <c r="S4638" s="135"/>
      <c r="T4638" s="135"/>
      <c r="U4638" s="135"/>
      <c r="V4638" s="135"/>
      <c r="W4638" s="135"/>
      <c r="X4638" s="135"/>
      <c r="Y4638" s="135"/>
      <c r="Z4638" s="135"/>
    </row>
    <row r="4639" spans="1:26" ht="25.5">
      <c r="A4639" s="136" t="s">
        <v>16</v>
      </c>
      <c r="B4639" s="136" t="s">
        <v>7971</v>
      </c>
      <c r="C4639" s="136" t="s">
        <v>7995</v>
      </c>
      <c r="D4639" s="136" t="s">
        <v>1656</v>
      </c>
      <c r="E4639" s="136" t="s">
        <v>594</v>
      </c>
      <c r="F4639" s="136">
        <v>95</v>
      </c>
      <c r="G4639" s="137">
        <f t="shared" si="18"/>
        <v>19</v>
      </c>
      <c r="H4639" s="137"/>
      <c r="I4639" s="137"/>
      <c r="J4639" s="135"/>
      <c r="K4639" s="135"/>
      <c r="L4639" s="135"/>
      <c r="M4639" s="135"/>
      <c r="N4639" s="135"/>
      <c r="O4639" s="135"/>
      <c r="P4639" s="135"/>
      <c r="Q4639" s="135"/>
      <c r="R4639" s="135"/>
      <c r="S4639" s="135"/>
      <c r="T4639" s="135"/>
      <c r="U4639" s="135"/>
      <c r="V4639" s="135"/>
      <c r="W4639" s="135"/>
      <c r="X4639" s="135"/>
      <c r="Y4639" s="135"/>
      <c r="Z4639" s="135"/>
    </row>
    <row r="4640" spans="1:26" ht="25.5">
      <c r="A4640" s="136" t="s">
        <v>16</v>
      </c>
      <c r="B4640" s="136" t="s">
        <v>7971</v>
      </c>
      <c r="C4640" s="136" t="s">
        <v>7995</v>
      </c>
      <c r="D4640" s="136" t="s">
        <v>7985</v>
      </c>
      <c r="E4640" s="136" t="s">
        <v>615</v>
      </c>
      <c r="F4640" s="136">
        <v>75</v>
      </c>
      <c r="G4640" s="137">
        <f t="shared" si="18"/>
        <v>20</v>
      </c>
      <c r="H4640" s="137"/>
      <c r="I4640" s="137"/>
      <c r="J4640" s="135"/>
      <c r="K4640" s="135"/>
      <c r="L4640" s="135"/>
      <c r="M4640" s="135"/>
      <c r="N4640" s="135"/>
      <c r="O4640" s="135"/>
      <c r="P4640" s="135"/>
      <c r="Q4640" s="135"/>
      <c r="R4640" s="135"/>
      <c r="S4640" s="135"/>
      <c r="T4640" s="135"/>
      <c r="U4640" s="135"/>
      <c r="V4640" s="135"/>
      <c r="W4640" s="135"/>
      <c r="X4640" s="135"/>
      <c r="Y4640" s="135"/>
      <c r="Z4640" s="135"/>
    </row>
    <row r="4641" spans="1:26" ht="25.5">
      <c r="A4641" s="136" t="s">
        <v>16</v>
      </c>
      <c r="B4641" s="136" t="s">
        <v>7971</v>
      </c>
      <c r="C4641" s="136" t="s">
        <v>7995</v>
      </c>
      <c r="D4641" s="136" t="s">
        <v>1674</v>
      </c>
      <c r="E4641" s="136" t="s">
        <v>615</v>
      </c>
      <c r="F4641" s="136">
        <v>70</v>
      </c>
      <c r="G4641" s="137">
        <f t="shared" si="18"/>
        <v>21</v>
      </c>
      <c r="H4641" s="137"/>
      <c r="I4641" s="137"/>
      <c r="J4641" s="135"/>
      <c r="K4641" s="135"/>
      <c r="L4641" s="135"/>
      <c r="M4641" s="135"/>
      <c r="N4641" s="135"/>
      <c r="O4641" s="135"/>
      <c r="P4641" s="135"/>
      <c r="Q4641" s="135"/>
      <c r="R4641" s="135"/>
      <c r="S4641" s="135"/>
      <c r="T4641" s="135"/>
      <c r="U4641" s="135"/>
      <c r="V4641" s="135"/>
      <c r="W4641" s="135"/>
      <c r="X4641" s="135"/>
      <c r="Y4641" s="135"/>
      <c r="Z4641" s="135"/>
    </row>
    <row r="4642" spans="1:26" ht="25.5">
      <c r="A4642" s="136" t="s">
        <v>16</v>
      </c>
      <c r="B4642" s="136" t="s">
        <v>7971</v>
      </c>
      <c r="C4642" s="136" t="s">
        <v>7995</v>
      </c>
      <c r="D4642" s="136" t="s">
        <v>1666</v>
      </c>
      <c r="E4642" s="136" t="s">
        <v>85</v>
      </c>
      <c r="F4642" s="136">
        <v>52</v>
      </c>
      <c r="G4642" s="137">
        <f t="shared" si="18"/>
        <v>22</v>
      </c>
      <c r="H4642" s="137"/>
      <c r="I4642" s="137"/>
      <c r="J4642" s="135"/>
      <c r="K4642" s="135"/>
      <c r="L4642" s="135"/>
      <c r="M4642" s="135"/>
      <c r="N4642" s="135"/>
      <c r="O4642" s="135"/>
      <c r="P4642" s="135"/>
      <c r="Q4642" s="135"/>
      <c r="R4642" s="135"/>
      <c r="S4642" s="135"/>
      <c r="T4642" s="135"/>
      <c r="U4642" s="135"/>
      <c r="V4642" s="135"/>
      <c r="W4642" s="135"/>
      <c r="X4642" s="135"/>
      <c r="Y4642" s="135"/>
      <c r="Z4642" s="135"/>
    </row>
    <row r="4643" spans="1:26" ht="25.5">
      <c r="A4643" s="136" t="s">
        <v>16</v>
      </c>
      <c r="B4643" s="136" t="s">
        <v>7971</v>
      </c>
      <c r="C4643" s="136" t="s">
        <v>7995</v>
      </c>
      <c r="D4643" s="136" t="s">
        <v>7996</v>
      </c>
      <c r="E4643" s="136" t="s">
        <v>615</v>
      </c>
      <c r="F4643" s="136">
        <v>47</v>
      </c>
      <c r="G4643" s="137">
        <f t="shared" si="18"/>
        <v>23</v>
      </c>
      <c r="H4643" s="137"/>
      <c r="I4643" s="137"/>
      <c r="J4643" s="135"/>
      <c r="K4643" s="135"/>
      <c r="L4643" s="135"/>
      <c r="M4643" s="135"/>
      <c r="N4643" s="135"/>
      <c r="O4643" s="135"/>
      <c r="P4643" s="135"/>
      <c r="Q4643" s="135"/>
      <c r="R4643" s="135"/>
      <c r="S4643" s="135"/>
      <c r="T4643" s="135"/>
      <c r="U4643" s="135"/>
      <c r="V4643" s="135"/>
      <c r="W4643" s="135"/>
      <c r="X4643" s="135"/>
      <c r="Y4643" s="135"/>
      <c r="Z4643" s="135"/>
    </row>
    <row r="4644" spans="1:26" ht="25.5">
      <c r="A4644" s="136" t="s">
        <v>16</v>
      </c>
      <c r="B4644" s="136" t="s">
        <v>7971</v>
      </c>
      <c r="C4644" s="136" t="s">
        <v>7995</v>
      </c>
      <c r="D4644" s="136" t="s">
        <v>7958</v>
      </c>
      <c r="E4644" s="136" t="s">
        <v>615</v>
      </c>
      <c r="F4644" s="136">
        <v>25</v>
      </c>
      <c r="G4644" s="137">
        <f t="shared" si="18"/>
        <v>24</v>
      </c>
      <c r="H4644" s="137"/>
      <c r="I4644" s="137"/>
      <c r="J4644" s="135"/>
      <c r="K4644" s="135"/>
      <c r="L4644" s="135"/>
      <c r="M4644" s="135"/>
      <c r="N4644" s="135"/>
      <c r="O4644" s="135"/>
      <c r="P4644" s="135"/>
      <c r="Q4644" s="135"/>
      <c r="R4644" s="135"/>
      <c r="S4644" s="135"/>
      <c r="T4644" s="135"/>
      <c r="U4644" s="135"/>
      <c r="V4644" s="135"/>
      <c r="W4644" s="135"/>
      <c r="X4644" s="135"/>
      <c r="Y4644" s="135"/>
      <c r="Z4644" s="135"/>
    </row>
    <row r="4645" spans="1:26" ht="25.5">
      <c r="A4645" s="136" t="s">
        <v>16</v>
      </c>
      <c r="B4645" s="136" t="s">
        <v>7971</v>
      </c>
      <c r="C4645" s="136" t="s">
        <v>7995</v>
      </c>
      <c r="D4645" s="136" t="s">
        <v>467</v>
      </c>
      <c r="E4645" s="136" t="s">
        <v>85</v>
      </c>
      <c r="F4645" s="136">
        <v>25</v>
      </c>
      <c r="G4645" s="137">
        <f t="shared" si="18"/>
        <v>25</v>
      </c>
      <c r="H4645" s="137"/>
      <c r="I4645" s="137"/>
      <c r="J4645" s="135"/>
      <c r="K4645" s="135"/>
      <c r="L4645" s="135"/>
      <c r="M4645" s="135"/>
      <c r="N4645" s="135"/>
      <c r="O4645" s="135"/>
      <c r="P4645" s="135"/>
      <c r="Q4645" s="135"/>
      <c r="R4645" s="135"/>
      <c r="S4645" s="135"/>
      <c r="T4645" s="135"/>
      <c r="U4645" s="135"/>
      <c r="V4645" s="135"/>
      <c r="W4645" s="135"/>
      <c r="X4645" s="135"/>
      <c r="Y4645" s="135"/>
      <c r="Z4645" s="135"/>
    </row>
    <row r="4646" spans="1:26" ht="25.5">
      <c r="A4646" s="136" t="s">
        <v>16</v>
      </c>
      <c r="B4646" s="136" t="s">
        <v>7971</v>
      </c>
      <c r="C4646" s="136" t="s">
        <v>7995</v>
      </c>
      <c r="D4646" s="136" t="s">
        <v>7786</v>
      </c>
      <c r="E4646" s="136" t="s">
        <v>615</v>
      </c>
      <c r="F4646" s="136">
        <v>16</v>
      </c>
      <c r="G4646" s="137">
        <f t="shared" si="18"/>
        <v>26</v>
      </c>
      <c r="H4646" s="137"/>
      <c r="I4646" s="137"/>
      <c r="J4646" s="135"/>
      <c r="K4646" s="135"/>
      <c r="L4646" s="135"/>
      <c r="M4646" s="135"/>
      <c r="N4646" s="135"/>
      <c r="O4646" s="135"/>
      <c r="P4646" s="135"/>
      <c r="Q4646" s="135"/>
      <c r="R4646" s="135"/>
      <c r="S4646" s="135"/>
      <c r="T4646" s="135"/>
      <c r="U4646" s="135"/>
      <c r="V4646" s="135"/>
      <c r="W4646" s="135"/>
      <c r="X4646" s="135"/>
      <c r="Y4646" s="135"/>
      <c r="Z4646" s="135"/>
    </row>
    <row r="4647" spans="1:26" ht="25.5">
      <c r="A4647" s="136" t="s">
        <v>16</v>
      </c>
      <c r="B4647" s="136" t="s">
        <v>7971</v>
      </c>
      <c r="C4647" s="136" t="s">
        <v>7995</v>
      </c>
      <c r="D4647" s="136" t="s">
        <v>1682</v>
      </c>
      <c r="E4647" s="136" t="s">
        <v>86</v>
      </c>
      <c r="F4647" s="136">
        <v>3</v>
      </c>
      <c r="G4647" s="137">
        <f t="shared" si="18"/>
        <v>27</v>
      </c>
      <c r="H4647" s="137"/>
      <c r="I4647" s="137"/>
      <c r="J4647" s="135"/>
      <c r="K4647" s="135"/>
      <c r="L4647" s="135"/>
      <c r="M4647" s="135"/>
      <c r="N4647" s="135"/>
      <c r="O4647" s="135"/>
      <c r="P4647" s="135"/>
      <c r="Q4647" s="135"/>
      <c r="R4647" s="135"/>
      <c r="S4647" s="135"/>
      <c r="T4647" s="135"/>
      <c r="U4647" s="135"/>
      <c r="V4647" s="135"/>
      <c r="W4647" s="135"/>
      <c r="X4647" s="135"/>
      <c r="Y4647" s="135"/>
      <c r="Z4647" s="135"/>
    </row>
    <row r="4648" spans="1:26" ht="25.5">
      <c r="A4648" s="136" t="s">
        <v>16</v>
      </c>
      <c r="B4648" s="136" t="s">
        <v>7971</v>
      </c>
      <c r="C4648" s="136" t="s">
        <v>7997</v>
      </c>
      <c r="D4648" s="136" t="s">
        <v>114</v>
      </c>
      <c r="E4648" s="136" t="s">
        <v>85</v>
      </c>
      <c r="F4648" s="136">
        <v>1993</v>
      </c>
      <c r="G4648" s="137">
        <f t="shared" si="18"/>
        <v>1</v>
      </c>
      <c r="H4648" s="137"/>
      <c r="I4648" s="137"/>
      <c r="J4648" s="135"/>
      <c r="K4648" s="135"/>
      <c r="L4648" s="135"/>
      <c r="M4648" s="135"/>
      <c r="N4648" s="135"/>
      <c r="O4648" s="135"/>
      <c r="P4648" s="135"/>
      <c r="Q4648" s="135"/>
      <c r="R4648" s="135"/>
      <c r="S4648" s="135"/>
      <c r="T4648" s="135"/>
      <c r="U4648" s="135"/>
      <c r="V4648" s="135"/>
      <c r="W4648" s="135"/>
      <c r="X4648" s="135"/>
      <c r="Y4648" s="135"/>
      <c r="Z4648" s="135"/>
    </row>
    <row r="4649" spans="1:26" ht="25.5">
      <c r="A4649" s="136" t="s">
        <v>16</v>
      </c>
      <c r="B4649" s="136" t="s">
        <v>7971</v>
      </c>
      <c r="C4649" s="136" t="s">
        <v>7997</v>
      </c>
      <c r="D4649" s="136" t="s">
        <v>467</v>
      </c>
      <c r="E4649" s="136" t="s">
        <v>85</v>
      </c>
      <c r="F4649" s="136">
        <v>1033</v>
      </c>
      <c r="G4649" s="137">
        <f t="shared" si="18"/>
        <v>2</v>
      </c>
      <c r="H4649" s="137"/>
      <c r="I4649" s="137"/>
      <c r="J4649" s="135"/>
      <c r="K4649" s="135"/>
      <c r="L4649" s="135"/>
      <c r="M4649" s="135"/>
      <c r="N4649" s="135"/>
      <c r="O4649" s="135"/>
      <c r="P4649" s="135"/>
      <c r="Q4649" s="135"/>
      <c r="R4649" s="135"/>
      <c r="S4649" s="135"/>
      <c r="T4649" s="135"/>
      <c r="U4649" s="135"/>
      <c r="V4649" s="135"/>
      <c r="W4649" s="135"/>
      <c r="X4649" s="135"/>
      <c r="Y4649" s="135"/>
      <c r="Z4649" s="135"/>
    </row>
    <row r="4650" spans="1:26" ht="25.5">
      <c r="A4650" s="136" t="s">
        <v>16</v>
      </c>
      <c r="B4650" s="136" t="s">
        <v>7971</v>
      </c>
      <c r="C4650" s="136" t="s">
        <v>7997</v>
      </c>
      <c r="D4650" s="136" t="s">
        <v>7993</v>
      </c>
      <c r="E4650" s="136" t="s">
        <v>615</v>
      </c>
      <c r="F4650" s="136">
        <v>920</v>
      </c>
      <c r="G4650" s="137">
        <f t="shared" si="18"/>
        <v>3</v>
      </c>
      <c r="H4650" s="137"/>
      <c r="I4650" s="137"/>
      <c r="J4650" s="135"/>
      <c r="K4650" s="135"/>
      <c r="L4650" s="135"/>
      <c r="M4650" s="135"/>
      <c r="N4650" s="135"/>
      <c r="O4650" s="135"/>
      <c r="P4650" s="135"/>
      <c r="Q4650" s="135"/>
      <c r="R4650" s="135"/>
      <c r="S4650" s="135"/>
      <c r="T4650" s="135"/>
      <c r="U4650" s="135"/>
      <c r="V4650" s="135"/>
      <c r="W4650" s="135"/>
      <c r="X4650" s="135"/>
      <c r="Y4650" s="135"/>
      <c r="Z4650" s="135"/>
    </row>
    <row r="4651" spans="1:26" ht="25.5">
      <c r="A4651" s="136" t="s">
        <v>16</v>
      </c>
      <c r="B4651" s="136" t="s">
        <v>7971</v>
      </c>
      <c r="C4651" s="136" t="s">
        <v>7997</v>
      </c>
      <c r="D4651" s="136" t="s">
        <v>1639</v>
      </c>
      <c r="E4651" s="136" t="s">
        <v>615</v>
      </c>
      <c r="F4651" s="136">
        <v>742</v>
      </c>
      <c r="G4651" s="137">
        <f t="shared" si="18"/>
        <v>4</v>
      </c>
      <c r="H4651" s="137"/>
      <c r="I4651" s="137"/>
      <c r="J4651" s="135"/>
      <c r="K4651" s="135"/>
      <c r="L4651" s="135"/>
      <c r="M4651" s="135"/>
      <c r="N4651" s="135"/>
      <c r="O4651" s="135"/>
      <c r="P4651" s="135"/>
      <c r="Q4651" s="135"/>
      <c r="R4651" s="135"/>
      <c r="S4651" s="135"/>
      <c r="T4651" s="135"/>
      <c r="U4651" s="135"/>
      <c r="V4651" s="135"/>
      <c r="W4651" s="135"/>
      <c r="X4651" s="135"/>
      <c r="Y4651" s="135"/>
      <c r="Z4651" s="135"/>
    </row>
    <row r="4652" spans="1:26" ht="25.5">
      <c r="A4652" s="136" t="s">
        <v>16</v>
      </c>
      <c r="B4652" s="136" t="s">
        <v>7971</v>
      </c>
      <c r="C4652" s="136" t="s">
        <v>7997</v>
      </c>
      <c r="D4652" s="136" t="s">
        <v>158</v>
      </c>
      <c r="E4652" s="136" t="s">
        <v>615</v>
      </c>
      <c r="F4652" s="136">
        <v>655</v>
      </c>
      <c r="G4652" s="137">
        <f t="shared" si="18"/>
        <v>5</v>
      </c>
      <c r="H4652" s="137"/>
      <c r="I4652" s="137"/>
      <c r="J4652" s="135"/>
      <c r="K4652" s="135"/>
      <c r="L4652" s="135"/>
      <c r="M4652" s="135"/>
      <c r="N4652" s="135"/>
      <c r="O4652" s="135"/>
      <c r="P4652" s="135"/>
      <c r="Q4652" s="135"/>
      <c r="R4652" s="135"/>
      <c r="S4652" s="135"/>
      <c r="T4652" s="135"/>
      <c r="U4652" s="135"/>
      <c r="V4652" s="135"/>
      <c r="W4652" s="135"/>
      <c r="X4652" s="135"/>
      <c r="Y4652" s="135"/>
      <c r="Z4652" s="135"/>
    </row>
    <row r="4653" spans="1:26" ht="25.5">
      <c r="A4653" s="136" t="s">
        <v>16</v>
      </c>
      <c r="B4653" s="136" t="s">
        <v>7971</v>
      </c>
      <c r="C4653" s="136" t="s">
        <v>7997</v>
      </c>
      <c r="D4653" s="136" t="s">
        <v>139</v>
      </c>
      <c r="E4653" s="136" t="s">
        <v>594</v>
      </c>
      <c r="F4653" s="136">
        <v>474</v>
      </c>
      <c r="G4653" s="137">
        <f t="shared" si="18"/>
        <v>6</v>
      </c>
      <c r="H4653" s="137"/>
      <c r="I4653" s="137"/>
      <c r="J4653" s="135"/>
      <c r="K4653" s="135"/>
      <c r="L4653" s="135"/>
      <c r="M4653" s="135"/>
      <c r="N4653" s="135"/>
      <c r="O4653" s="135"/>
      <c r="P4653" s="135"/>
      <c r="Q4653" s="135"/>
      <c r="R4653" s="135"/>
      <c r="S4653" s="135"/>
      <c r="T4653" s="135"/>
      <c r="U4653" s="135"/>
      <c r="V4653" s="135"/>
      <c r="W4653" s="135"/>
      <c r="X4653" s="135"/>
      <c r="Y4653" s="135"/>
      <c r="Z4653" s="135"/>
    </row>
    <row r="4654" spans="1:26" ht="25.5">
      <c r="A4654" s="136" t="s">
        <v>16</v>
      </c>
      <c r="B4654" s="136" t="s">
        <v>7971</v>
      </c>
      <c r="C4654" s="136" t="s">
        <v>7997</v>
      </c>
      <c r="D4654" s="136" t="s">
        <v>1666</v>
      </c>
      <c r="E4654" s="136" t="s">
        <v>85</v>
      </c>
      <c r="F4654" s="136">
        <v>443</v>
      </c>
      <c r="G4654" s="137">
        <f t="shared" si="18"/>
        <v>7</v>
      </c>
      <c r="H4654" s="137"/>
      <c r="I4654" s="137"/>
      <c r="J4654" s="135"/>
      <c r="K4654" s="135"/>
      <c r="L4654" s="135"/>
      <c r="M4654" s="135"/>
      <c r="N4654" s="135"/>
      <c r="O4654" s="135"/>
      <c r="P4654" s="135"/>
      <c r="Q4654" s="135"/>
      <c r="R4654" s="135"/>
      <c r="S4654" s="135"/>
      <c r="T4654" s="135"/>
      <c r="U4654" s="135"/>
      <c r="V4654" s="135"/>
      <c r="W4654" s="135"/>
      <c r="X4654" s="135"/>
      <c r="Y4654" s="135"/>
      <c r="Z4654" s="135"/>
    </row>
    <row r="4655" spans="1:26" ht="25.5">
      <c r="A4655" s="136" t="s">
        <v>16</v>
      </c>
      <c r="B4655" s="136" t="s">
        <v>7971</v>
      </c>
      <c r="C4655" s="136" t="s">
        <v>7997</v>
      </c>
      <c r="D4655" s="136" t="s">
        <v>7481</v>
      </c>
      <c r="E4655" s="136" t="s">
        <v>615</v>
      </c>
      <c r="F4655" s="136">
        <v>378</v>
      </c>
      <c r="G4655" s="137">
        <f t="shared" si="18"/>
        <v>8</v>
      </c>
      <c r="H4655" s="137"/>
      <c r="I4655" s="137"/>
      <c r="J4655" s="135"/>
      <c r="K4655" s="135"/>
      <c r="L4655" s="135"/>
      <c r="M4655" s="135"/>
      <c r="N4655" s="135"/>
      <c r="O4655" s="135"/>
      <c r="P4655" s="135"/>
      <c r="Q4655" s="135"/>
      <c r="R4655" s="135"/>
      <c r="S4655" s="135"/>
      <c r="T4655" s="135"/>
      <c r="U4655" s="135"/>
      <c r="V4655" s="135"/>
      <c r="W4655" s="135"/>
      <c r="X4655" s="135"/>
      <c r="Y4655" s="135"/>
      <c r="Z4655" s="135"/>
    </row>
    <row r="4656" spans="1:26" ht="25.5">
      <c r="A4656" s="136" t="s">
        <v>16</v>
      </c>
      <c r="B4656" s="136" t="s">
        <v>7971</v>
      </c>
      <c r="C4656" s="136" t="s">
        <v>7997</v>
      </c>
      <c r="D4656" s="136" t="s">
        <v>1682</v>
      </c>
      <c r="E4656" s="136" t="s">
        <v>86</v>
      </c>
      <c r="F4656" s="136">
        <v>262</v>
      </c>
      <c r="G4656" s="137">
        <f t="shared" si="18"/>
        <v>9</v>
      </c>
      <c r="H4656" s="137"/>
      <c r="I4656" s="137"/>
      <c r="J4656" s="135"/>
      <c r="K4656" s="135"/>
      <c r="L4656" s="135"/>
      <c r="M4656" s="135"/>
      <c r="N4656" s="135"/>
      <c r="O4656" s="135"/>
      <c r="P4656" s="135"/>
      <c r="Q4656" s="135"/>
      <c r="R4656" s="135"/>
      <c r="S4656" s="135"/>
      <c r="T4656" s="135"/>
      <c r="U4656" s="135"/>
      <c r="V4656" s="135"/>
      <c r="W4656" s="135"/>
      <c r="X4656" s="135"/>
      <c r="Y4656" s="135"/>
      <c r="Z4656" s="135"/>
    </row>
    <row r="4657" spans="1:26" ht="25.5">
      <c r="A4657" s="136" t="s">
        <v>16</v>
      </c>
      <c r="B4657" s="136" t="s">
        <v>7971</v>
      </c>
      <c r="C4657" s="136" t="s">
        <v>7997</v>
      </c>
      <c r="D4657" s="136" t="s">
        <v>1665</v>
      </c>
      <c r="E4657" s="136" t="s">
        <v>615</v>
      </c>
      <c r="F4657" s="136">
        <v>255</v>
      </c>
      <c r="G4657" s="137">
        <f t="shared" si="18"/>
        <v>10</v>
      </c>
      <c r="H4657" s="137"/>
      <c r="I4657" s="137"/>
      <c r="J4657" s="135"/>
      <c r="K4657" s="135"/>
      <c r="L4657" s="135"/>
      <c r="M4657" s="135"/>
      <c r="N4657" s="135"/>
      <c r="O4657" s="135"/>
      <c r="P4657" s="135"/>
      <c r="Q4657" s="135"/>
      <c r="R4657" s="135"/>
      <c r="S4657" s="135"/>
      <c r="T4657" s="135"/>
      <c r="U4657" s="135"/>
      <c r="V4657" s="135"/>
      <c r="W4657" s="135"/>
      <c r="X4657" s="135"/>
      <c r="Y4657" s="135"/>
      <c r="Z4657" s="135"/>
    </row>
    <row r="4658" spans="1:26" ht="25.5">
      <c r="A4658" s="136" t="s">
        <v>16</v>
      </c>
      <c r="B4658" s="136" t="s">
        <v>7971</v>
      </c>
      <c r="C4658" s="136" t="s">
        <v>7997</v>
      </c>
      <c r="D4658" s="136" t="s">
        <v>1635</v>
      </c>
      <c r="E4658" s="136" t="s">
        <v>615</v>
      </c>
      <c r="F4658" s="136">
        <v>232</v>
      </c>
      <c r="G4658" s="137">
        <f t="shared" si="18"/>
        <v>11</v>
      </c>
      <c r="H4658" s="137"/>
      <c r="I4658" s="137"/>
      <c r="J4658" s="135"/>
      <c r="K4658" s="135"/>
      <c r="L4658" s="135"/>
      <c r="M4658" s="135"/>
      <c r="N4658" s="135"/>
      <c r="O4658" s="135"/>
      <c r="P4658" s="135"/>
      <c r="Q4658" s="135"/>
      <c r="R4658" s="135"/>
      <c r="S4658" s="135"/>
      <c r="T4658" s="135"/>
      <c r="U4658" s="135"/>
      <c r="V4658" s="135"/>
      <c r="W4658" s="135"/>
      <c r="X4658" s="135"/>
      <c r="Y4658" s="135"/>
      <c r="Z4658" s="135"/>
    </row>
    <row r="4659" spans="1:26" ht="25.5">
      <c r="A4659" s="136" t="s">
        <v>16</v>
      </c>
      <c r="B4659" s="136" t="s">
        <v>7971</v>
      </c>
      <c r="C4659" s="136" t="s">
        <v>7997</v>
      </c>
      <c r="D4659" s="136" t="s">
        <v>136</v>
      </c>
      <c r="E4659" s="136" t="s">
        <v>615</v>
      </c>
      <c r="F4659" s="136">
        <v>215</v>
      </c>
      <c r="G4659" s="137">
        <f t="shared" si="18"/>
        <v>12</v>
      </c>
      <c r="H4659" s="137"/>
      <c r="I4659" s="137"/>
      <c r="J4659" s="135"/>
      <c r="K4659" s="135"/>
      <c r="L4659" s="135"/>
      <c r="M4659" s="135"/>
      <c r="N4659" s="135"/>
      <c r="O4659" s="135"/>
      <c r="P4659" s="135"/>
      <c r="Q4659" s="135"/>
      <c r="R4659" s="135"/>
      <c r="S4659" s="135"/>
      <c r="T4659" s="135"/>
      <c r="U4659" s="135"/>
      <c r="V4659" s="135"/>
      <c r="W4659" s="135"/>
      <c r="X4659" s="135"/>
      <c r="Y4659" s="135"/>
      <c r="Z4659" s="135"/>
    </row>
    <row r="4660" spans="1:26" ht="25.5">
      <c r="A4660" s="136" t="s">
        <v>16</v>
      </c>
      <c r="B4660" s="136" t="s">
        <v>7971</v>
      </c>
      <c r="C4660" s="136" t="s">
        <v>7997</v>
      </c>
      <c r="D4660" s="136" t="s">
        <v>433</v>
      </c>
      <c r="E4660" s="136" t="s">
        <v>594</v>
      </c>
      <c r="F4660" s="136">
        <v>138</v>
      </c>
      <c r="G4660" s="137">
        <f t="shared" si="18"/>
        <v>13</v>
      </c>
      <c r="H4660" s="137"/>
      <c r="I4660" s="137"/>
      <c r="J4660" s="135"/>
      <c r="K4660" s="135"/>
      <c r="L4660" s="135"/>
      <c r="M4660" s="135"/>
      <c r="N4660" s="135"/>
      <c r="O4660" s="135"/>
      <c r="P4660" s="135"/>
      <c r="Q4660" s="135"/>
      <c r="R4660" s="135"/>
      <c r="S4660" s="135"/>
      <c r="T4660" s="135"/>
      <c r="U4660" s="135"/>
      <c r="V4660" s="135"/>
      <c r="W4660" s="135"/>
      <c r="X4660" s="135"/>
      <c r="Y4660" s="135"/>
      <c r="Z4660" s="135"/>
    </row>
    <row r="4661" spans="1:26" ht="25.5">
      <c r="A4661" s="136" t="s">
        <v>16</v>
      </c>
      <c r="B4661" s="136" t="s">
        <v>7971</v>
      </c>
      <c r="C4661" s="136" t="s">
        <v>7997</v>
      </c>
      <c r="D4661" s="136" t="s">
        <v>7985</v>
      </c>
      <c r="E4661" s="136" t="s">
        <v>615</v>
      </c>
      <c r="F4661" s="136">
        <v>115</v>
      </c>
      <c r="G4661" s="137">
        <f t="shared" si="18"/>
        <v>14</v>
      </c>
      <c r="H4661" s="137"/>
      <c r="I4661" s="137"/>
      <c r="J4661" s="135"/>
      <c r="K4661" s="135"/>
      <c r="L4661" s="135"/>
      <c r="M4661" s="135"/>
      <c r="N4661" s="135"/>
      <c r="O4661" s="135"/>
      <c r="P4661" s="135"/>
      <c r="Q4661" s="135"/>
      <c r="R4661" s="135"/>
      <c r="S4661" s="135"/>
      <c r="T4661" s="135"/>
      <c r="U4661" s="135"/>
      <c r="V4661" s="135"/>
      <c r="W4661" s="135"/>
      <c r="X4661" s="135"/>
      <c r="Y4661" s="135"/>
      <c r="Z4661" s="135"/>
    </row>
    <row r="4662" spans="1:26" ht="25.5">
      <c r="A4662" s="136" t="s">
        <v>16</v>
      </c>
      <c r="B4662" s="136" t="s">
        <v>7971</v>
      </c>
      <c r="C4662" s="136" t="s">
        <v>7997</v>
      </c>
      <c r="D4662" s="136" t="s">
        <v>103</v>
      </c>
      <c r="E4662" s="136" t="s">
        <v>594</v>
      </c>
      <c r="F4662" s="136">
        <v>45</v>
      </c>
      <c r="G4662" s="137">
        <f t="shared" si="18"/>
        <v>15</v>
      </c>
      <c r="H4662" s="137"/>
      <c r="I4662" s="137"/>
      <c r="J4662" s="135"/>
      <c r="K4662" s="135"/>
      <c r="L4662" s="135"/>
      <c r="M4662" s="135"/>
      <c r="N4662" s="135"/>
      <c r="O4662" s="135"/>
      <c r="P4662" s="135"/>
      <c r="Q4662" s="135"/>
      <c r="R4662" s="135"/>
      <c r="S4662" s="135"/>
      <c r="T4662" s="135"/>
      <c r="U4662" s="135"/>
      <c r="V4662" s="135"/>
      <c r="W4662" s="135"/>
      <c r="X4662" s="135"/>
      <c r="Y4662" s="135"/>
      <c r="Z4662" s="135"/>
    </row>
    <row r="4663" spans="1:26" ht="25.5">
      <c r="A4663" s="136" t="s">
        <v>16</v>
      </c>
      <c r="B4663" s="136" t="s">
        <v>7971</v>
      </c>
      <c r="C4663" s="136" t="s">
        <v>7997</v>
      </c>
      <c r="D4663" s="136" t="s">
        <v>368</v>
      </c>
      <c r="E4663" s="136" t="s">
        <v>594</v>
      </c>
      <c r="F4663" s="136">
        <v>35</v>
      </c>
      <c r="G4663" s="137">
        <f t="shared" si="18"/>
        <v>16</v>
      </c>
      <c r="H4663" s="137"/>
      <c r="I4663" s="137"/>
      <c r="J4663" s="135"/>
      <c r="K4663" s="135"/>
      <c r="L4663" s="135"/>
      <c r="M4663" s="135"/>
      <c r="N4663" s="135"/>
      <c r="O4663" s="135"/>
      <c r="P4663" s="135"/>
      <c r="Q4663" s="135"/>
      <c r="R4663" s="135"/>
      <c r="S4663" s="135"/>
      <c r="T4663" s="135"/>
      <c r="U4663" s="135"/>
      <c r="V4663" s="135"/>
      <c r="W4663" s="135"/>
      <c r="X4663" s="135"/>
      <c r="Y4663" s="135"/>
      <c r="Z4663" s="135"/>
    </row>
    <row r="4664" spans="1:26" ht="25.5">
      <c r="A4664" s="136" t="s">
        <v>16</v>
      </c>
      <c r="B4664" s="136" t="s">
        <v>7971</v>
      </c>
      <c r="C4664" s="136" t="s">
        <v>7997</v>
      </c>
      <c r="D4664" s="136" t="s">
        <v>1656</v>
      </c>
      <c r="E4664" s="136" t="s">
        <v>594</v>
      </c>
      <c r="F4664" s="136">
        <v>32</v>
      </c>
      <c r="G4664" s="137">
        <f t="shared" si="18"/>
        <v>17</v>
      </c>
      <c r="H4664" s="137"/>
      <c r="I4664" s="137"/>
      <c r="J4664" s="135"/>
      <c r="K4664" s="135"/>
      <c r="L4664" s="135"/>
      <c r="M4664" s="135"/>
      <c r="N4664" s="135"/>
      <c r="O4664" s="135"/>
      <c r="P4664" s="135"/>
      <c r="Q4664" s="135"/>
      <c r="R4664" s="135"/>
      <c r="S4664" s="135"/>
      <c r="T4664" s="135"/>
      <c r="U4664" s="135"/>
      <c r="V4664" s="135"/>
      <c r="W4664" s="135"/>
      <c r="X4664" s="135"/>
      <c r="Y4664" s="135"/>
      <c r="Z4664" s="135"/>
    </row>
    <row r="4665" spans="1:26" ht="25.5">
      <c r="A4665" s="136" t="s">
        <v>16</v>
      </c>
      <c r="B4665" s="136" t="s">
        <v>7971</v>
      </c>
      <c r="C4665" s="136" t="s">
        <v>7997</v>
      </c>
      <c r="D4665" s="136" t="s">
        <v>437</v>
      </c>
      <c r="E4665" s="136" t="s">
        <v>594</v>
      </c>
      <c r="F4665" s="136">
        <v>20</v>
      </c>
      <c r="G4665" s="137">
        <f t="shared" si="18"/>
        <v>18</v>
      </c>
      <c r="H4665" s="137"/>
      <c r="I4665" s="137"/>
      <c r="J4665" s="135"/>
      <c r="K4665" s="135"/>
      <c r="L4665" s="135"/>
      <c r="M4665" s="135"/>
      <c r="N4665" s="135"/>
      <c r="O4665" s="135"/>
      <c r="P4665" s="135"/>
      <c r="Q4665" s="135"/>
      <c r="R4665" s="135"/>
      <c r="S4665" s="135"/>
      <c r="T4665" s="135"/>
      <c r="U4665" s="135"/>
      <c r="V4665" s="135"/>
      <c r="W4665" s="135"/>
      <c r="X4665" s="135"/>
      <c r="Y4665" s="135"/>
      <c r="Z4665" s="135"/>
    </row>
    <row r="4666" spans="1:26" ht="25.5">
      <c r="A4666" s="136" t="s">
        <v>16</v>
      </c>
      <c r="B4666" s="136" t="s">
        <v>7971</v>
      </c>
      <c r="C4666" s="136" t="s">
        <v>7997</v>
      </c>
      <c r="D4666" s="136" t="s">
        <v>1626</v>
      </c>
      <c r="E4666" s="136" t="s">
        <v>594</v>
      </c>
      <c r="F4666" s="136">
        <v>10</v>
      </c>
      <c r="G4666" s="137">
        <f t="shared" si="18"/>
        <v>19</v>
      </c>
      <c r="H4666" s="137"/>
      <c r="I4666" s="137"/>
      <c r="J4666" s="135"/>
      <c r="K4666" s="135"/>
      <c r="L4666" s="135"/>
      <c r="M4666" s="135"/>
      <c r="N4666" s="135"/>
      <c r="O4666" s="135"/>
      <c r="P4666" s="135"/>
      <c r="Q4666" s="135"/>
      <c r="R4666" s="135"/>
      <c r="S4666" s="135"/>
      <c r="T4666" s="135"/>
      <c r="U4666" s="135"/>
      <c r="V4666" s="135"/>
      <c r="W4666" s="135"/>
      <c r="X4666" s="135"/>
      <c r="Y4666" s="135"/>
      <c r="Z4666" s="135"/>
    </row>
    <row r="4667" spans="1:26" ht="25.5">
      <c r="A4667" s="136" t="s">
        <v>16</v>
      </c>
      <c r="B4667" s="136" t="s">
        <v>7971</v>
      </c>
      <c r="C4667" s="136" t="s">
        <v>7997</v>
      </c>
      <c r="D4667" s="136" t="s">
        <v>98</v>
      </c>
      <c r="E4667" s="136" t="s">
        <v>594</v>
      </c>
      <c r="F4667" s="136">
        <v>8</v>
      </c>
      <c r="G4667" s="137">
        <f t="shared" si="18"/>
        <v>20</v>
      </c>
      <c r="H4667" s="137"/>
      <c r="I4667" s="137"/>
      <c r="J4667" s="135"/>
      <c r="K4667" s="135"/>
      <c r="L4667" s="135"/>
      <c r="M4667" s="135"/>
      <c r="N4667" s="135"/>
      <c r="O4667" s="135"/>
      <c r="P4667" s="135"/>
      <c r="Q4667" s="135"/>
      <c r="R4667" s="135"/>
      <c r="S4667" s="135"/>
      <c r="T4667" s="135"/>
      <c r="U4667" s="135"/>
      <c r="V4667" s="135"/>
      <c r="W4667" s="135"/>
      <c r="X4667" s="135"/>
      <c r="Y4667" s="135"/>
      <c r="Z4667" s="135"/>
    </row>
    <row r="4668" spans="1:26" ht="25.5">
      <c r="A4668" s="136" t="s">
        <v>16</v>
      </c>
      <c r="B4668" s="136" t="s">
        <v>7971</v>
      </c>
      <c r="C4668" s="136" t="s">
        <v>7998</v>
      </c>
      <c r="D4668" s="136" t="s">
        <v>114</v>
      </c>
      <c r="E4668" s="136" t="s">
        <v>85</v>
      </c>
      <c r="F4668" s="136">
        <v>2178</v>
      </c>
      <c r="G4668" s="137">
        <f t="shared" si="18"/>
        <v>1</v>
      </c>
      <c r="H4668" s="137"/>
      <c r="I4668" s="137"/>
      <c r="J4668" s="135"/>
      <c r="K4668" s="135"/>
      <c r="L4668" s="135"/>
      <c r="M4668" s="135"/>
      <c r="N4668" s="135"/>
      <c r="O4668" s="135"/>
      <c r="P4668" s="135"/>
      <c r="Q4668" s="135"/>
      <c r="R4668" s="135"/>
      <c r="S4668" s="135"/>
      <c r="T4668" s="135"/>
      <c r="U4668" s="135"/>
      <c r="V4668" s="135"/>
      <c r="W4668" s="135"/>
      <c r="X4668" s="135"/>
      <c r="Y4668" s="135"/>
      <c r="Z4668" s="135"/>
    </row>
    <row r="4669" spans="1:26" ht="25.5">
      <c r="A4669" s="136" t="s">
        <v>16</v>
      </c>
      <c r="B4669" s="136" t="s">
        <v>7971</v>
      </c>
      <c r="C4669" s="136" t="s">
        <v>7998</v>
      </c>
      <c r="D4669" s="136" t="s">
        <v>139</v>
      </c>
      <c r="E4669" s="136" t="s">
        <v>594</v>
      </c>
      <c r="F4669" s="136">
        <v>740</v>
      </c>
      <c r="G4669" s="137">
        <f t="shared" si="18"/>
        <v>2</v>
      </c>
      <c r="H4669" s="137"/>
      <c r="I4669" s="137"/>
      <c r="J4669" s="135"/>
      <c r="K4669" s="135"/>
      <c r="L4669" s="135"/>
      <c r="M4669" s="135"/>
      <c r="N4669" s="135"/>
      <c r="O4669" s="135"/>
      <c r="P4669" s="135"/>
      <c r="Q4669" s="135"/>
      <c r="R4669" s="135"/>
      <c r="S4669" s="135"/>
      <c r="T4669" s="135"/>
      <c r="U4669" s="135"/>
      <c r="V4669" s="135"/>
      <c r="W4669" s="135"/>
      <c r="X4669" s="135"/>
      <c r="Y4669" s="135"/>
      <c r="Z4669" s="135"/>
    </row>
    <row r="4670" spans="1:26" ht="25.5">
      <c r="A4670" s="136" t="s">
        <v>16</v>
      </c>
      <c r="B4670" s="136" t="s">
        <v>7971</v>
      </c>
      <c r="C4670" s="136" t="s">
        <v>7998</v>
      </c>
      <c r="D4670" s="136" t="s">
        <v>7999</v>
      </c>
      <c r="E4670" s="136" t="s">
        <v>615</v>
      </c>
      <c r="F4670" s="136">
        <v>686</v>
      </c>
      <c r="G4670" s="137">
        <f t="shared" si="18"/>
        <v>3</v>
      </c>
      <c r="H4670" s="137"/>
      <c r="I4670" s="137"/>
      <c r="J4670" s="135"/>
      <c r="K4670" s="135"/>
      <c r="L4670" s="135"/>
      <c r="M4670" s="135"/>
      <c r="N4670" s="135"/>
      <c r="O4670" s="135"/>
      <c r="P4670" s="135"/>
      <c r="Q4670" s="135"/>
      <c r="R4670" s="135"/>
      <c r="S4670" s="135"/>
      <c r="T4670" s="135"/>
      <c r="U4670" s="135"/>
      <c r="V4670" s="135"/>
      <c r="W4670" s="135"/>
      <c r="X4670" s="135"/>
      <c r="Y4670" s="135"/>
      <c r="Z4670" s="135"/>
    </row>
    <row r="4671" spans="1:26" ht="25.5">
      <c r="A4671" s="136" t="s">
        <v>16</v>
      </c>
      <c r="B4671" s="136" t="s">
        <v>7971</v>
      </c>
      <c r="C4671" s="136" t="s">
        <v>7998</v>
      </c>
      <c r="D4671" s="136" t="s">
        <v>8000</v>
      </c>
      <c r="E4671" s="136" t="s">
        <v>615</v>
      </c>
      <c r="F4671" s="136">
        <v>564</v>
      </c>
      <c r="G4671" s="137">
        <f t="shared" si="18"/>
        <v>4</v>
      </c>
      <c r="H4671" s="137"/>
      <c r="I4671" s="137"/>
      <c r="J4671" s="135"/>
      <c r="K4671" s="135"/>
      <c r="L4671" s="135"/>
      <c r="M4671" s="135"/>
      <c r="N4671" s="135"/>
      <c r="O4671" s="135"/>
      <c r="P4671" s="135"/>
      <c r="Q4671" s="135"/>
      <c r="R4671" s="135"/>
      <c r="S4671" s="135"/>
      <c r="T4671" s="135"/>
      <c r="U4671" s="135"/>
      <c r="V4671" s="135"/>
      <c r="W4671" s="135"/>
      <c r="X4671" s="135"/>
      <c r="Y4671" s="135"/>
      <c r="Z4671" s="135"/>
    </row>
    <row r="4672" spans="1:26" ht="25.5">
      <c r="A4672" s="136" t="s">
        <v>16</v>
      </c>
      <c r="B4672" s="136" t="s">
        <v>7971</v>
      </c>
      <c r="C4672" s="136" t="s">
        <v>7998</v>
      </c>
      <c r="D4672" s="136" t="s">
        <v>467</v>
      </c>
      <c r="E4672" s="136" t="s">
        <v>85</v>
      </c>
      <c r="F4672" s="136">
        <v>497</v>
      </c>
      <c r="G4672" s="137">
        <f t="shared" si="18"/>
        <v>5</v>
      </c>
      <c r="H4672" s="137"/>
      <c r="I4672" s="137"/>
      <c r="J4672" s="135"/>
      <c r="K4672" s="135"/>
      <c r="L4672" s="135"/>
      <c r="M4672" s="135"/>
      <c r="N4672" s="135"/>
      <c r="O4672" s="135"/>
      <c r="P4672" s="135"/>
      <c r="Q4672" s="135"/>
      <c r="R4672" s="135"/>
      <c r="S4672" s="135"/>
      <c r="T4672" s="135"/>
      <c r="U4672" s="135"/>
      <c r="V4672" s="135"/>
      <c r="W4672" s="135"/>
      <c r="X4672" s="135"/>
      <c r="Y4672" s="135"/>
      <c r="Z4672" s="135"/>
    </row>
    <row r="4673" spans="1:26" ht="25.5">
      <c r="A4673" s="136" t="s">
        <v>16</v>
      </c>
      <c r="B4673" s="136" t="s">
        <v>7971</v>
      </c>
      <c r="C4673" s="136" t="s">
        <v>7998</v>
      </c>
      <c r="D4673" s="136" t="s">
        <v>103</v>
      </c>
      <c r="E4673" s="136" t="s">
        <v>594</v>
      </c>
      <c r="F4673" s="136">
        <v>183</v>
      </c>
      <c r="G4673" s="137">
        <f t="shared" si="18"/>
        <v>6</v>
      </c>
      <c r="H4673" s="137"/>
      <c r="I4673" s="137"/>
      <c r="J4673" s="135"/>
      <c r="K4673" s="135"/>
      <c r="L4673" s="135"/>
      <c r="M4673" s="135"/>
      <c r="N4673" s="135"/>
      <c r="O4673" s="135"/>
      <c r="P4673" s="135"/>
      <c r="Q4673" s="135"/>
      <c r="R4673" s="135"/>
      <c r="S4673" s="135"/>
      <c r="T4673" s="135"/>
      <c r="U4673" s="135"/>
      <c r="V4673" s="135"/>
      <c r="W4673" s="135"/>
      <c r="X4673" s="135"/>
      <c r="Y4673" s="135"/>
      <c r="Z4673" s="135"/>
    </row>
    <row r="4674" spans="1:26" ht="25.5">
      <c r="A4674" s="136" t="s">
        <v>16</v>
      </c>
      <c r="B4674" s="136" t="s">
        <v>7971</v>
      </c>
      <c r="C4674" s="136" t="s">
        <v>7998</v>
      </c>
      <c r="D4674" s="136" t="s">
        <v>1656</v>
      </c>
      <c r="E4674" s="136" t="s">
        <v>594</v>
      </c>
      <c r="F4674" s="136">
        <v>146</v>
      </c>
      <c r="G4674" s="137">
        <f t="shared" si="18"/>
        <v>7</v>
      </c>
      <c r="H4674" s="137"/>
      <c r="I4674" s="137"/>
      <c r="J4674" s="135"/>
      <c r="K4674" s="135"/>
      <c r="L4674" s="135"/>
      <c r="M4674" s="135"/>
      <c r="N4674" s="135"/>
      <c r="O4674" s="135"/>
      <c r="P4674" s="135"/>
      <c r="Q4674" s="135"/>
      <c r="R4674" s="135"/>
      <c r="S4674" s="135"/>
      <c r="T4674" s="135"/>
      <c r="U4674" s="135"/>
      <c r="V4674" s="135"/>
      <c r="W4674" s="135"/>
      <c r="X4674" s="135"/>
      <c r="Y4674" s="135"/>
      <c r="Z4674" s="135"/>
    </row>
    <row r="4675" spans="1:26" ht="25.5">
      <c r="A4675" s="136" t="s">
        <v>16</v>
      </c>
      <c r="B4675" s="136" t="s">
        <v>7971</v>
      </c>
      <c r="C4675" s="136" t="s">
        <v>7998</v>
      </c>
      <c r="D4675" s="136" t="s">
        <v>7985</v>
      </c>
      <c r="E4675" s="136" t="s">
        <v>615</v>
      </c>
      <c r="F4675" s="136">
        <v>129</v>
      </c>
      <c r="G4675" s="137">
        <f t="shared" si="18"/>
        <v>8</v>
      </c>
      <c r="H4675" s="137"/>
      <c r="I4675" s="137"/>
      <c r="J4675" s="135"/>
      <c r="K4675" s="135"/>
      <c r="L4675" s="135"/>
      <c r="M4675" s="135"/>
      <c r="N4675" s="135"/>
      <c r="O4675" s="135"/>
      <c r="P4675" s="135"/>
      <c r="Q4675" s="135"/>
      <c r="R4675" s="135"/>
      <c r="S4675" s="135"/>
      <c r="T4675" s="135"/>
      <c r="U4675" s="135"/>
      <c r="V4675" s="135"/>
      <c r="W4675" s="135"/>
      <c r="X4675" s="135"/>
      <c r="Y4675" s="135"/>
      <c r="Z4675" s="135"/>
    </row>
    <row r="4676" spans="1:26" ht="25.5">
      <c r="A4676" s="136" t="s">
        <v>16</v>
      </c>
      <c r="B4676" s="136" t="s">
        <v>7971</v>
      </c>
      <c r="C4676" s="136" t="s">
        <v>7998</v>
      </c>
      <c r="D4676" s="136" t="s">
        <v>368</v>
      </c>
      <c r="E4676" s="136" t="s">
        <v>594</v>
      </c>
      <c r="F4676" s="136">
        <v>124</v>
      </c>
      <c r="G4676" s="137">
        <f t="shared" si="18"/>
        <v>9</v>
      </c>
      <c r="H4676" s="137"/>
      <c r="I4676" s="137"/>
      <c r="J4676" s="135"/>
      <c r="K4676" s="135"/>
      <c r="L4676" s="135"/>
      <c r="M4676" s="135"/>
      <c r="N4676" s="135"/>
      <c r="O4676" s="135"/>
      <c r="P4676" s="135"/>
      <c r="Q4676" s="135"/>
      <c r="R4676" s="135"/>
      <c r="S4676" s="135"/>
      <c r="T4676" s="135"/>
      <c r="U4676" s="135"/>
      <c r="V4676" s="135"/>
      <c r="W4676" s="135"/>
      <c r="X4676" s="135"/>
      <c r="Y4676" s="135"/>
      <c r="Z4676" s="135"/>
    </row>
    <row r="4677" spans="1:26" ht="25.5">
      <c r="A4677" s="136" t="s">
        <v>16</v>
      </c>
      <c r="B4677" s="136" t="s">
        <v>7971</v>
      </c>
      <c r="C4677" s="136" t="s">
        <v>7998</v>
      </c>
      <c r="D4677" s="136" t="s">
        <v>1635</v>
      </c>
      <c r="E4677" s="136" t="s">
        <v>615</v>
      </c>
      <c r="F4677" s="136">
        <v>119</v>
      </c>
      <c r="G4677" s="137">
        <f t="shared" si="18"/>
        <v>10</v>
      </c>
      <c r="H4677" s="137"/>
      <c r="I4677" s="137"/>
      <c r="J4677" s="135"/>
      <c r="K4677" s="135"/>
      <c r="L4677" s="135"/>
      <c r="M4677" s="135"/>
      <c r="N4677" s="135"/>
      <c r="O4677" s="135"/>
      <c r="P4677" s="135"/>
      <c r="Q4677" s="135"/>
      <c r="R4677" s="135"/>
      <c r="S4677" s="135"/>
      <c r="T4677" s="135"/>
      <c r="U4677" s="135"/>
      <c r="V4677" s="135"/>
      <c r="W4677" s="135"/>
      <c r="X4677" s="135"/>
      <c r="Y4677" s="135"/>
      <c r="Z4677" s="135"/>
    </row>
    <row r="4678" spans="1:26" ht="25.5">
      <c r="A4678" s="136" t="s">
        <v>16</v>
      </c>
      <c r="B4678" s="136" t="s">
        <v>7971</v>
      </c>
      <c r="C4678" s="136" t="s">
        <v>7998</v>
      </c>
      <c r="D4678" s="136" t="s">
        <v>1626</v>
      </c>
      <c r="E4678" s="136" t="s">
        <v>594</v>
      </c>
      <c r="F4678" s="136">
        <v>80</v>
      </c>
      <c r="G4678" s="137">
        <f t="shared" si="18"/>
        <v>11</v>
      </c>
      <c r="H4678" s="137"/>
      <c r="I4678" s="137"/>
      <c r="J4678" s="135"/>
      <c r="K4678" s="135"/>
      <c r="L4678" s="135"/>
      <c r="M4678" s="135"/>
      <c r="N4678" s="135"/>
      <c r="O4678" s="135"/>
      <c r="P4678" s="135"/>
      <c r="Q4678" s="135"/>
      <c r="R4678" s="135"/>
      <c r="S4678" s="135"/>
      <c r="T4678" s="135"/>
      <c r="U4678" s="135"/>
      <c r="V4678" s="135"/>
      <c r="W4678" s="135"/>
      <c r="X4678" s="135"/>
      <c r="Y4678" s="135"/>
      <c r="Z4678" s="135"/>
    </row>
    <row r="4679" spans="1:26" ht="25.5">
      <c r="A4679" s="136" t="s">
        <v>16</v>
      </c>
      <c r="B4679" s="136" t="s">
        <v>7971</v>
      </c>
      <c r="C4679" s="136" t="s">
        <v>7998</v>
      </c>
      <c r="D4679" s="136" t="s">
        <v>1665</v>
      </c>
      <c r="E4679" s="136" t="s">
        <v>615</v>
      </c>
      <c r="F4679" s="136">
        <v>65</v>
      </c>
      <c r="G4679" s="137">
        <f t="shared" si="18"/>
        <v>12</v>
      </c>
      <c r="H4679" s="137"/>
      <c r="I4679" s="137"/>
      <c r="J4679" s="135"/>
      <c r="K4679" s="135"/>
      <c r="L4679" s="135"/>
      <c r="M4679" s="135"/>
      <c r="N4679" s="135"/>
      <c r="O4679" s="135"/>
      <c r="P4679" s="135"/>
      <c r="Q4679" s="135"/>
      <c r="R4679" s="135"/>
      <c r="S4679" s="135"/>
      <c r="T4679" s="135"/>
      <c r="U4679" s="135"/>
      <c r="V4679" s="135"/>
      <c r="W4679" s="135"/>
      <c r="X4679" s="135"/>
      <c r="Y4679" s="135"/>
      <c r="Z4679" s="135"/>
    </row>
    <row r="4680" spans="1:26" ht="25.5">
      <c r="A4680" s="136" t="s">
        <v>16</v>
      </c>
      <c r="B4680" s="136" t="s">
        <v>7971</v>
      </c>
      <c r="C4680" s="136" t="s">
        <v>7998</v>
      </c>
      <c r="D4680" s="136" t="s">
        <v>437</v>
      </c>
      <c r="E4680" s="136" t="s">
        <v>594</v>
      </c>
      <c r="F4680" s="136">
        <v>40</v>
      </c>
      <c r="G4680" s="137">
        <f t="shared" si="18"/>
        <v>13</v>
      </c>
      <c r="H4680" s="137"/>
      <c r="I4680" s="137"/>
      <c r="J4680" s="135"/>
      <c r="K4680" s="135"/>
      <c r="L4680" s="135"/>
      <c r="M4680" s="135"/>
      <c r="N4680" s="135"/>
      <c r="O4680" s="135"/>
      <c r="P4680" s="135"/>
      <c r="Q4680" s="135"/>
      <c r="R4680" s="135"/>
      <c r="S4680" s="135"/>
      <c r="T4680" s="135"/>
      <c r="U4680" s="135"/>
      <c r="V4680" s="135"/>
      <c r="W4680" s="135"/>
      <c r="X4680" s="135"/>
      <c r="Y4680" s="135"/>
      <c r="Z4680" s="135"/>
    </row>
    <row r="4681" spans="1:26" ht="25.5">
      <c r="A4681" s="136" t="s">
        <v>16</v>
      </c>
      <c r="B4681" s="136" t="s">
        <v>7971</v>
      </c>
      <c r="C4681" s="136" t="s">
        <v>7998</v>
      </c>
      <c r="D4681" s="136" t="s">
        <v>1680</v>
      </c>
      <c r="E4681" s="136" t="s">
        <v>615</v>
      </c>
      <c r="F4681" s="136">
        <v>28</v>
      </c>
      <c r="G4681" s="137">
        <f t="shared" si="18"/>
        <v>14</v>
      </c>
      <c r="H4681" s="137"/>
      <c r="I4681" s="137"/>
      <c r="J4681" s="135"/>
      <c r="K4681" s="135"/>
      <c r="L4681" s="135"/>
      <c r="M4681" s="135"/>
      <c r="N4681" s="135"/>
      <c r="O4681" s="135"/>
      <c r="P4681" s="135"/>
      <c r="Q4681" s="135"/>
      <c r="R4681" s="135"/>
      <c r="S4681" s="135"/>
      <c r="T4681" s="135"/>
      <c r="U4681" s="135"/>
      <c r="V4681" s="135"/>
      <c r="W4681" s="135"/>
      <c r="X4681" s="135"/>
      <c r="Y4681" s="135"/>
      <c r="Z4681" s="135"/>
    </row>
    <row r="4682" spans="1:26" ht="25.5">
      <c r="A4682" s="136" t="s">
        <v>16</v>
      </c>
      <c r="B4682" s="136" t="s">
        <v>7971</v>
      </c>
      <c r="C4682" s="136" t="s">
        <v>7998</v>
      </c>
      <c r="D4682" s="136" t="s">
        <v>136</v>
      </c>
      <c r="E4682" s="136" t="s">
        <v>615</v>
      </c>
      <c r="F4682" s="136">
        <v>15</v>
      </c>
      <c r="G4682" s="137">
        <f t="shared" si="18"/>
        <v>15</v>
      </c>
      <c r="H4682" s="137"/>
      <c r="I4682" s="137"/>
      <c r="J4682" s="135"/>
      <c r="K4682" s="135"/>
      <c r="L4682" s="135"/>
      <c r="M4682" s="135"/>
      <c r="N4682" s="135"/>
      <c r="O4682" s="135"/>
      <c r="P4682" s="135"/>
      <c r="Q4682" s="135"/>
      <c r="R4682" s="135"/>
      <c r="S4682" s="135"/>
      <c r="T4682" s="135"/>
      <c r="U4682" s="135"/>
      <c r="V4682" s="135"/>
      <c r="W4682" s="135"/>
      <c r="X4682" s="135"/>
      <c r="Y4682" s="135"/>
      <c r="Z4682" s="135"/>
    </row>
    <row r="4683" spans="1:26" ht="25.5">
      <c r="A4683" s="136" t="s">
        <v>16</v>
      </c>
      <c r="B4683" s="136" t="s">
        <v>7971</v>
      </c>
      <c r="C4683" s="136" t="s">
        <v>7998</v>
      </c>
      <c r="D4683" s="136" t="s">
        <v>1683</v>
      </c>
      <c r="E4683" s="136" t="s">
        <v>615</v>
      </c>
      <c r="F4683" s="136">
        <v>15</v>
      </c>
      <c r="G4683" s="137">
        <f t="shared" si="18"/>
        <v>16</v>
      </c>
      <c r="H4683" s="137"/>
      <c r="I4683" s="137"/>
      <c r="J4683" s="135"/>
      <c r="K4683" s="135"/>
      <c r="L4683" s="135"/>
      <c r="M4683" s="135"/>
      <c r="N4683" s="135"/>
      <c r="O4683" s="135"/>
      <c r="P4683" s="135"/>
      <c r="Q4683" s="135"/>
      <c r="R4683" s="135"/>
      <c r="S4683" s="135"/>
      <c r="T4683" s="135"/>
      <c r="U4683" s="135"/>
      <c r="V4683" s="135"/>
      <c r="W4683" s="135"/>
      <c r="X4683" s="135"/>
      <c r="Y4683" s="135"/>
      <c r="Z4683" s="135"/>
    </row>
    <row r="4684" spans="1:26" ht="25.5">
      <c r="A4684" s="136" t="s">
        <v>16</v>
      </c>
      <c r="B4684" s="136" t="s">
        <v>7971</v>
      </c>
      <c r="C4684" s="136" t="s">
        <v>7998</v>
      </c>
      <c r="D4684" s="136" t="s">
        <v>1682</v>
      </c>
      <c r="E4684" s="136" t="s">
        <v>86</v>
      </c>
      <c r="F4684" s="136">
        <v>7</v>
      </c>
      <c r="G4684" s="137">
        <f t="shared" si="18"/>
        <v>17</v>
      </c>
      <c r="H4684" s="137"/>
      <c r="I4684" s="137"/>
      <c r="J4684" s="135"/>
      <c r="K4684" s="135"/>
      <c r="L4684" s="135"/>
      <c r="M4684" s="135"/>
      <c r="N4684" s="135"/>
      <c r="O4684" s="135"/>
      <c r="P4684" s="135"/>
      <c r="Q4684" s="135"/>
      <c r="R4684" s="135"/>
      <c r="S4684" s="135"/>
      <c r="T4684" s="135"/>
      <c r="U4684" s="135"/>
      <c r="V4684" s="135"/>
      <c r="W4684" s="135"/>
      <c r="X4684" s="135"/>
      <c r="Y4684" s="135"/>
      <c r="Z4684" s="135"/>
    </row>
    <row r="4685" spans="1:26" ht="25.5">
      <c r="A4685" s="136" t="s">
        <v>16</v>
      </c>
      <c r="B4685" s="136" t="s">
        <v>7971</v>
      </c>
      <c r="C4685" s="136" t="s">
        <v>8001</v>
      </c>
      <c r="D4685" s="136" t="s">
        <v>8000</v>
      </c>
      <c r="E4685" s="136" t="s">
        <v>615</v>
      </c>
      <c r="F4685" s="136">
        <v>1839</v>
      </c>
      <c r="G4685" s="137">
        <f t="shared" si="18"/>
        <v>1</v>
      </c>
      <c r="H4685" s="137"/>
      <c r="I4685" s="137"/>
      <c r="J4685" s="135"/>
      <c r="K4685" s="135"/>
      <c r="L4685" s="135"/>
      <c r="M4685" s="135"/>
      <c r="N4685" s="135"/>
      <c r="O4685" s="135"/>
      <c r="P4685" s="135"/>
      <c r="Q4685" s="135"/>
      <c r="R4685" s="135"/>
      <c r="S4685" s="135"/>
      <c r="T4685" s="135"/>
      <c r="U4685" s="135"/>
      <c r="V4685" s="135"/>
      <c r="W4685" s="135"/>
      <c r="X4685" s="135"/>
      <c r="Y4685" s="135"/>
      <c r="Z4685" s="135"/>
    </row>
    <row r="4686" spans="1:26" ht="25.5">
      <c r="A4686" s="136" t="s">
        <v>16</v>
      </c>
      <c r="B4686" s="136" t="s">
        <v>7971</v>
      </c>
      <c r="C4686" s="136" t="s">
        <v>8001</v>
      </c>
      <c r="D4686" s="136" t="s">
        <v>7999</v>
      </c>
      <c r="E4686" s="136" t="s">
        <v>615</v>
      </c>
      <c r="F4686" s="136">
        <v>1274</v>
      </c>
      <c r="G4686" s="137">
        <f t="shared" si="18"/>
        <v>2</v>
      </c>
      <c r="H4686" s="137"/>
      <c r="I4686" s="137"/>
      <c r="J4686" s="135"/>
      <c r="K4686" s="135"/>
      <c r="L4686" s="135"/>
      <c r="M4686" s="135"/>
      <c r="N4686" s="135"/>
      <c r="O4686" s="135"/>
      <c r="P4686" s="135"/>
      <c r="Q4686" s="135"/>
      <c r="R4686" s="135"/>
      <c r="S4686" s="135"/>
      <c r="T4686" s="135"/>
      <c r="U4686" s="135"/>
      <c r="V4686" s="135"/>
      <c r="W4686" s="135"/>
      <c r="X4686" s="135"/>
      <c r="Y4686" s="135"/>
      <c r="Z4686" s="135"/>
    </row>
    <row r="4687" spans="1:26" ht="25.5">
      <c r="A4687" s="136" t="s">
        <v>16</v>
      </c>
      <c r="B4687" s="136" t="s">
        <v>7971</v>
      </c>
      <c r="C4687" s="136" t="s">
        <v>8001</v>
      </c>
      <c r="D4687" s="136" t="s">
        <v>139</v>
      </c>
      <c r="E4687" s="136" t="s">
        <v>594</v>
      </c>
      <c r="F4687" s="136">
        <v>1215</v>
      </c>
      <c r="G4687" s="137">
        <f t="shared" si="18"/>
        <v>3</v>
      </c>
      <c r="H4687" s="137"/>
      <c r="I4687" s="137"/>
      <c r="J4687" s="135"/>
      <c r="K4687" s="135"/>
      <c r="L4687" s="135"/>
      <c r="M4687" s="135"/>
      <c r="N4687" s="135"/>
      <c r="O4687" s="135"/>
      <c r="P4687" s="135"/>
      <c r="Q4687" s="135"/>
      <c r="R4687" s="135"/>
      <c r="S4687" s="135"/>
      <c r="T4687" s="135"/>
      <c r="U4687" s="135"/>
      <c r="V4687" s="135"/>
      <c r="W4687" s="135"/>
      <c r="X4687" s="135"/>
      <c r="Y4687" s="135"/>
      <c r="Z4687" s="135"/>
    </row>
    <row r="4688" spans="1:26" ht="25.5">
      <c r="A4688" s="136" t="s">
        <v>16</v>
      </c>
      <c r="B4688" s="136" t="s">
        <v>7971</v>
      </c>
      <c r="C4688" s="136" t="s">
        <v>8001</v>
      </c>
      <c r="D4688" s="136" t="s">
        <v>114</v>
      </c>
      <c r="E4688" s="136" t="s">
        <v>85</v>
      </c>
      <c r="F4688" s="136">
        <v>1081</v>
      </c>
      <c r="G4688" s="137">
        <f t="shared" si="18"/>
        <v>4</v>
      </c>
      <c r="H4688" s="137"/>
      <c r="I4688" s="137"/>
      <c r="J4688" s="135"/>
      <c r="K4688" s="135"/>
      <c r="L4688" s="135"/>
      <c r="M4688" s="135"/>
      <c r="N4688" s="135"/>
      <c r="O4688" s="135"/>
      <c r="P4688" s="135"/>
      <c r="Q4688" s="135"/>
      <c r="R4688" s="135"/>
      <c r="S4688" s="135"/>
      <c r="T4688" s="135"/>
      <c r="U4688" s="135"/>
      <c r="V4688" s="135"/>
      <c r="W4688" s="135"/>
      <c r="X4688" s="135"/>
      <c r="Y4688" s="135"/>
      <c r="Z4688" s="135"/>
    </row>
    <row r="4689" spans="1:26" ht="25.5">
      <c r="A4689" s="136" t="s">
        <v>16</v>
      </c>
      <c r="B4689" s="136" t="s">
        <v>7971</v>
      </c>
      <c r="C4689" s="136" t="s">
        <v>8001</v>
      </c>
      <c r="D4689" s="136" t="s">
        <v>1674</v>
      </c>
      <c r="E4689" s="136" t="s">
        <v>615</v>
      </c>
      <c r="F4689" s="136">
        <v>840</v>
      </c>
      <c r="G4689" s="137">
        <f t="shared" si="18"/>
        <v>5</v>
      </c>
      <c r="H4689" s="137"/>
      <c r="I4689" s="137"/>
      <c r="J4689" s="135"/>
      <c r="K4689" s="135"/>
      <c r="L4689" s="135"/>
      <c r="M4689" s="135"/>
      <c r="N4689" s="135"/>
      <c r="O4689" s="135"/>
      <c r="P4689" s="135"/>
      <c r="Q4689" s="135"/>
      <c r="R4689" s="135"/>
      <c r="S4689" s="135"/>
      <c r="T4689" s="135"/>
      <c r="U4689" s="135"/>
      <c r="V4689" s="135"/>
      <c r="W4689" s="135"/>
      <c r="X4689" s="135"/>
      <c r="Y4689" s="135"/>
      <c r="Z4689" s="135"/>
    </row>
    <row r="4690" spans="1:26" ht="25.5">
      <c r="A4690" s="136" t="s">
        <v>16</v>
      </c>
      <c r="B4690" s="136" t="s">
        <v>7971</v>
      </c>
      <c r="C4690" s="136" t="s">
        <v>8001</v>
      </c>
      <c r="D4690" s="136" t="s">
        <v>131</v>
      </c>
      <c r="E4690" s="136" t="s">
        <v>594</v>
      </c>
      <c r="F4690" s="136">
        <v>601</v>
      </c>
      <c r="G4690" s="137">
        <f t="shared" si="18"/>
        <v>6</v>
      </c>
      <c r="H4690" s="137"/>
      <c r="I4690" s="137"/>
      <c r="J4690" s="135"/>
      <c r="K4690" s="135"/>
      <c r="L4690" s="135"/>
      <c r="M4690" s="135"/>
      <c r="N4690" s="135"/>
      <c r="O4690" s="135"/>
      <c r="P4690" s="135"/>
      <c r="Q4690" s="135"/>
      <c r="R4690" s="135"/>
      <c r="S4690" s="135"/>
      <c r="T4690" s="135"/>
      <c r="U4690" s="135"/>
      <c r="V4690" s="135"/>
      <c r="W4690" s="135"/>
      <c r="X4690" s="135"/>
      <c r="Y4690" s="135"/>
      <c r="Z4690" s="135"/>
    </row>
    <row r="4691" spans="1:26" ht="25.5">
      <c r="A4691" s="136" t="s">
        <v>16</v>
      </c>
      <c r="B4691" s="136" t="s">
        <v>7971</v>
      </c>
      <c r="C4691" s="136" t="s">
        <v>8001</v>
      </c>
      <c r="D4691" s="136" t="s">
        <v>103</v>
      </c>
      <c r="E4691" s="136" t="s">
        <v>594</v>
      </c>
      <c r="F4691" s="136">
        <v>570</v>
      </c>
      <c r="G4691" s="137">
        <f t="shared" si="18"/>
        <v>7</v>
      </c>
      <c r="H4691" s="137"/>
      <c r="I4691" s="137"/>
      <c r="J4691" s="135"/>
      <c r="K4691" s="135"/>
      <c r="L4691" s="135"/>
      <c r="M4691" s="135"/>
      <c r="N4691" s="135"/>
      <c r="O4691" s="135"/>
      <c r="P4691" s="135"/>
      <c r="Q4691" s="135"/>
      <c r="R4691" s="135"/>
      <c r="S4691" s="135"/>
      <c r="T4691" s="135"/>
      <c r="U4691" s="135"/>
      <c r="V4691" s="135"/>
      <c r="W4691" s="135"/>
      <c r="X4691" s="135"/>
      <c r="Y4691" s="135"/>
      <c r="Z4691" s="135"/>
    </row>
    <row r="4692" spans="1:26" ht="25.5">
      <c r="A4692" s="136" t="s">
        <v>16</v>
      </c>
      <c r="B4692" s="136" t="s">
        <v>7971</v>
      </c>
      <c r="C4692" s="136" t="s">
        <v>8001</v>
      </c>
      <c r="D4692" s="136" t="s">
        <v>1639</v>
      </c>
      <c r="E4692" s="136" t="s">
        <v>615</v>
      </c>
      <c r="F4692" s="136">
        <v>517</v>
      </c>
      <c r="G4692" s="137">
        <f t="shared" si="18"/>
        <v>8</v>
      </c>
      <c r="H4692" s="137"/>
      <c r="I4692" s="137"/>
      <c r="J4692" s="135"/>
      <c r="K4692" s="135"/>
      <c r="L4692" s="135"/>
      <c r="M4692" s="135"/>
      <c r="N4692" s="135"/>
      <c r="O4692" s="135"/>
      <c r="P4692" s="135"/>
      <c r="Q4692" s="135"/>
      <c r="R4692" s="135"/>
      <c r="S4692" s="135"/>
      <c r="T4692" s="135"/>
      <c r="U4692" s="135"/>
      <c r="V4692" s="135"/>
      <c r="W4692" s="135"/>
      <c r="X4692" s="135"/>
      <c r="Y4692" s="135"/>
      <c r="Z4692" s="135"/>
    </row>
    <row r="4693" spans="1:26" ht="25.5">
      <c r="A4693" s="136" t="s">
        <v>16</v>
      </c>
      <c r="B4693" s="136" t="s">
        <v>7971</v>
      </c>
      <c r="C4693" s="136" t="s">
        <v>8001</v>
      </c>
      <c r="D4693" s="136" t="s">
        <v>368</v>
      </c>
      <c r="E4693" s="136" t="s">
        <v>594</v>
      </c>
      <c r="F4693" s="136">
        <v>243</v>
      </c>
      <c r="G4693" s="137">
        <f t="shared" si="18"/>
        <v>9</v>
      </c>
      <c r="H4693" s="137"/>
      <c r="I4693" s="137"/>
      <c r="J4693" s="135"/>
      <c r="K4693" s="135"/>
      <c r="L4693" s="135"/>
      <c r="M4693" s="135"/>
      <c r="N4693" s="135"/>
      <c r="O4693" s="135"/>
      <c r="P4693" s="135"/>
      <c r="Q4693" s="135"/>
      <c r="R4693" s="135"/>
      <c r="S4693" s="135"/>
      <c r="T4693" s="135"/>
      <c r="U4693" s="135"/>
      <c r="V4693" s="135"/>
      <c r="W4693" s="135"/>
      <c r="X4693" s="135"/>
      <c r="Y4693" s="135"/>
      <c r="Z4693" s="135"/>
    </row>
    <row r="4694" spans="1:26" ht="25.5">
      <c r="A4694" s="136" t="s">
        <v>16</v>
      </c>
      <c r="B4694" s="136" t="s">
        <v>7971</v>
      </c>
      <c r="C4694" s="136" t="s">
        <v>8001</v>
      </c>
      <c r="D4694" s="136" t="s">
        <v>467</v>
      </c>
      <c r="E4694" s="136" t="s">
        <v>85</v>
      </c>
      <c r="F4694" s="136">
        <v>239</v>
      </c>
      <c r="G4694" s="137">
        <f t="shared" si="18"/>
        <v>10</v>
      </c>
      <c r="H4694" s="137"/>
      <c r="I4694" s="137"/>
      <c r="J4694" s="135"/>
      <c r="K4694" s="135"/>
      <c r="L4694" s="135"/>
      <c r="M4694" s="135"/>
      <c r="N4694" s="135"/>
      <c r="O4694" s="135"/>
      <c r="P4694" s="135"/>
      <c r="Q4694" s="135"/>
      <c r="R4694" s="135"/>
      <c r="S4694" s="135"/>
      <c r="T4694" s="135"/>
      <c r="U4694" s="135"/>
      <c r="V4694" s="135"/>
      <c r="W4694" s="135"/>
      <c r="X4694" s="135"/>
      <c r="Y4694" s="135"/>
      <c r="Z4694" s="135"/>
    </row>
    <row r="4695" spans="1:26" ht="25.5">
      <c r="A4695" s="136" t="s">
        <v>16</v>
      </c>
      <c r="B4695" s="136" t="s">
        <v>7971</v>
      </c>
      <c r="C4695" s="136" t="s">
        <v>8001</v>
      </c>
      <c r="D4695" s="136" t="s">
        <v>1626</v>
      </c>
      <c r="E4695" s="136" t="s">
        <v>594</v>
      </c>
      <c r="F4695" s="136">
        <v>210</v>
      </c>
      <c r="G4695" s="137">
        <f t="shared" si="18"/>
        <v>11</v>
      </c>
      <c r="H4695" s="137"/>
      <c r="I4695" s="137"/>
      <c r="J4695" s="135"/>
      <c r="K4695" s="135"/>
      <c r="L4695" s="135"/>
      <c r="M4695" s="135"/>
      <c r="N4695" s="135"/>
      <c r="O4695" s="135"/>
      <c r="P4695" s="135"/>
      <c r="Q4695" s="135"/>
      <c r="R4695" s="135"/>
      <c r="S4695" s="135"/>
      <c r="T4695" s="135"/>
      <c r="U4695" s="135"/>
      <c r="V4695" s="135"/>
      <c r="W4695" s="135"/>
      <c r="X4695" s="135"/>
      <c r="Y4695" s="135"/>
      <c r="Z4695" s="135"/>
    </row>
    <row r="4696" spans="1:26" ht="25.5">
      <c r="A4696" s="136" t="s">
        <v>16</v>
      </c>
      <c r="B4696" s="136" t="s">
        <v>7971</v>
      </c>
      <c r="C4696" s="136" t="s">
        <v>8001</v>
      </c>
      <c r="D4696" s="136" t="s">
        <v>437</v>
      </c>
      <c r="E4696" s="136" t="s">
        <v>594</v>
      </c>
      <c r="F4696" s="136">
        <v>205</v>
      </c>
      <c r="G4696" s="137">
        <f t="shared" si="18"/>
        <v>12</v>
      </c>
      <c r="H4696" s="137"/>
      <c r="I4696" s="137"/>
      <c r="J4696" s="135"/>
      <c r="K4696" s="135"/>
      <c r="L4696" s="135"/>
      <c r="M4696" s="135"/>
      <c r="N4696" s="135"/>
      <c r="O4696" s="135"/>
      <c r="P4696" s="135"/>
      <c r="Q4696" s="135"/>
      <c r="R4696" s="135"/>
      <c r="S4696" s="135"/>
      <c r="T4696" s="135"/>
      <c r="U4696" s="135"/>
      <c r="V4696" s="135"/>
      <c r="W4696" s="135"/>
      <c r="X4696" s="135"/>
      <c r="Y4696" s="135"/>
      <c r="Z4696" s="135"/>
    </row>
    <row r="4697" spans="1:26" ht="25.5">
      <c r="A4697" s="136" t="s">
        <v>16</v>
      </c>
      <c r="B4697" s="136" t="s">
        <v>7971</v>
      </c>
      <c r="C4697" s="136" t="s">
        <v>8001</v>
      </c>
      <c r="D4697" s="136" t="s">
        <v>1656</v>
      </c>
      <c r="E4697" s="136" t="s">
        <v>594</v>
      </c>
      <c r="F4697" s="136">
        <v>115</v>
      </c>
      <c r="G4697" s="137">
        <f t="shared" si="18"/>
        <v>13</v>
      </c>
      <c r="H4697" s="137"/>
      <c r="I4697" s="137"/>
      <c r="J4697" s="135"/>
      <c r="K4697" s="135"/>
      <c r="L4697" s="135"/>
      <c r="M4697" s="135"/>
      <c r="N4697" s="135"/>
      <c r="O4697" s="135"/>
      <c r="P4697" s="135"/>
      <c r="Q4697" s="135"/>
      <c r="R4697" s="135"/>
      <c r="S4697" s="135"/>
      <c r="T4697" s="135"/>
      <c r="U4697" s="135"/>
      <c r="V4697" s="135"/>
      <c r="W4697" s="135"/>
      <c r="X4697" s="135"/>
      <c r="Y4697" s="135"/>
      <c r="Z4697" s="135"/>
    </row>
    <row r="4698" spans="1:26" ht="25.5">
      <c r="A4698" s="136" t="s">
        <v>16</v>
      </c>
      <c r="B4698" s="136" t="s">
        <v>7971</v>
      </c>
      <c r="C4698" s="136" t="s">
        <v>8001</v>
      </c>
      <c r="D4698" s="136" t="s">
        <v>1680</v>
      </c>
      <c r="E4698" s="136" t="s">
        <v>615</v>
      </c>
      <c r="F4698" s="136">
        <v>57</v>
      </c>
      <c r="G4698" s="137">
        <f t="shared" si="18"/>
        <v>14</v>
      </c>
      <c r="H4698" s="137"/>
      <c r="I4698" s="137"/>
      <c r="J4698" s="135"/>
      <c r="K4698" s="135"/>
      <c r="L4698" s="135"/>
      <c r="M4698" s="135"/>
      <c r="N4698" s="135"/>
      <c r="O4698" s="135"/>
      <c r="P4698" s="135"/>
      <c r="Q4698" s="135"/>
      <c r="R4698" s="135"/>
      <c r="S4698" s="135"/>
      <c r="T4698" s="135"/>
      <c r="U4698" s="135"/>
      <c r="V4698" s="135"/>
      <c r="W4698" s="135"/>
      <c r="X4698" s="135"/>
      <c r="Y4698" s="135"/>
      <c r="Z4698" s="135"/>
    </row>
    <row r="4699" spans="1:26" ht="25.5">
      <c r="A4699" s="136" t="s">
        <v>16</v>
      </c>
      <c r="B4699" s="136" t="s">
        <v>7971</v>
      </c>
      <c r="C4699" s="136" t="s">
        <v>8001</v>
      </c>
      <c r="D4699" s="136" t="s">
        <v>7985</v>
      </c>
      <c r="E4699" s="136" t="s">
        <v>615</v>
      </c>
      <c r="F4699" s="136">
        <v>47</v>
      </c>
      <c r="G4699" s="137">
        <f t="shared" si="18"/>
        <v>15</v>
      </c>
      <c r="H4699" s="137"/>
      <c r="I4699" s="137"/>
      <c r="J4699" s="135"/>
      <c r="K4699" s="135"/>
      <c r="L4699" s="135"/>
      <c r="M4699" s="135"/>
      <c r="N4699" s="135"/>
      <c r="O4699" s="135"/>
      <c r="P4699" s="135"/>
      <c r="Q4699" s="135"/>
      <c r="R4699" s="135"/>
      <c r="S4699" s="135"/>
      <c r="T4699" s="135"/>
      <c r="U4699" s="135"/>
      <c r="V4699" s="135"/>
      <c r="W4699" s="135"/>
      <c r="X4699" s="135"/>
      <c r="Y4699" s="135"/>
      <c r="Z4699" s="135"/>
    </row>
    <row r="4700" spans="1:26" ht="25.5">
      <c r="A4700" s="136" t="s">
        <v>16</v>
      </c>
      <c r="B4700" s="136" t="s">
        <v>7971</v>
      </c>
      <c r="C4700" s="136" t="s">
        <v>8001</v>
      </c>
      <c r="D4700" s="136" t="s">
        <v>7786</v>
      </c>
      <c r="E4700" s="136" t="s">
        <v>615</v>
      </c>
      <c r="F4700" s="136">
        <v>41</v>
      </c>
      <c r="G4700" s="137">
        <f t="shared" si="18"/>
        <v>16</v>
      </c>
      <c r="H4700" s="137"/>
      <c r="I4700" s="137"/>
      <c r="J4700" s="135"/>
      <c r="K4700" s="135"/>
      <c r="L4700" s="135"/>
      <c r="M4700" s="135"/>
      <c r="N4700" s="135"/>
      <c r="O4700" s="135"/>
      <c r="P4700" s="135"/>
      <c r="Q4700" s="135"/>
      <c r="R4700" s="135"/>
      <c r="S4700" s="135"/>
      <c r="T4700" s="135"/>
      <c r="U4700" s="135"/>
      <c r="V4700" s="135"/>
      <c r="W4700" s="135"/>
      <c r="X4700" s="135"/>
      <c r="Y4700" s="135"/>
      <c r="Z4700" s="135"/>
    </row>
    <row r="4701" spans="1:26" ht="25.5">
      <c r="A4701" s="136" t="s">
        <v>16</v>
      </c>
      <c r="B4701" s="136" t="s">
        <v>7971</v>
      </c>
      <c r="C4701" s="136" t="s">
        <v>8001</v>
      </c>
      <c r="D4701" s="136" t="s">
        <v>1665</v>
      </c>
      <c r="E4701" s="136" t="s">
        <v>615</v>
      </c>
      <c r="F4701" s="136">
        <v>35</v>
      </c>
      <c r="G4701" s="137">
        <f t="shared" si="18"/>
        <v>17</v>
      </c>
      <c r="H4701" s="137"/>
      <c r="I4701" s="137"/>
      <c r="J4701" s="135"/>
      <c r="K4701" s="135"/>
      <c r="L4701" s="135"/>
      <c r="M4701" s="135"/>
      <c r="N4701" s="135"/>
      <c r="O4701" s="135"/>
      <c r="P4701" s="135"/>
      <c r="Q4701" s="135"/>
      <c r="R4701" s="135"/>
      <c r="S4701" s="135"/>
      <c r="T4701" s="135"/>
      <c r="U4701" s="135"/>
      <c r="V4701" s="135"/>
      <c r="W4701" s="135"/>
      <c r="X4701" s="135"/>
      <c r="Y4701" s="135"/>
      <c r="Z4701" s="135"/>
    </row>
    <row r="4702" spans="1:26" ht="25.5">
      <c r="A4702" s="136" t="s">
        <v>16</v>
      </c>
      <c r="B4702" s="136" t="s">
        <v>7971</v>
      </c>
      <c r="C4702" s="136" t="s">
        <v>8001</v>
      </c>
      <c r="D4702" s="136" t="s">
        <v>1682</v>
      </c>
      <c r="E4702" s="136" t="s">
        <v>86</v>
      </c>
      <c r="F4702" s="136">
        <v>6</v>
      </c>
      <c r="G4702" s="137">
        <f t="shared" si="18"/>
        <v>18</v>
      </c>
      <c r="H4702" s="137"/>
      <c r="I4702" s="137"/>
      <c r="J4702" s="135"/>
      <c r="K4702" s="135"/>
      <c r="L4702" s="135"/>
      <c r="M4702" s="135"/>
      <c r="N4702" s="135"/>
      <c r="O4702" s="135"/>
      <c r="P4702" s="135"/>
      <c r="Q4702" s="135"/>
      <c r="R4702" s="135"/>
      <c r="S4702" s="135"/>
      <c r="T4702" s="135"/>
      <c r="U4702" s="135"/>
      <c r="V4702" s="135"/>
      <c r="W4702" s="135"/>
      <c r="X4702" s="135"/>
      <c r="Y4702" s="135"/>
      <c r="Z4702" s="135"/>
    </row>
    <row r="4703" spans="1:26" ht="25.5">
      <c r="A4703" s="136" t="s">
        <v>16</v>
      </c>
      <c r="B4703" s="136" t="s">
        <v>7971</v>
      </c>
      <c r="C4703" s="136" t="s">
        <v>8001</v>
      </c>
      <c r="D4703" s="136" t="s">
        <v>8002</v>
      </c>
      <c r="E4703" s="136" t="s">
        <v>86</v>
      </c>
      <c r="F4703" s="136">
        <v>4</v>
      </c>
      <c r="G4703" s="137">
        <f t="shared" si="18"/>
        <v>19</v>
      </c>
      <c r="H4703" s="137"/>
      <c r="I4703" s="137"/>
      <c r="J4703" s="135"/>
      <c r="K4703" s="135"/>
      <c r="L4703" s="135"/>
      <c r="M4703" s="135"/>
      <c r="N4703" s="135"/>
      <c r="O4703" s="135"/>
      <c r="P4703" s="135"/>
      <c r="Q4703" s="135"/>
      <c r="R4703" s="135"/>
      <c r="S4703" s="135"/>
      <c r="T4703" s="135"/>
      <c r="U4703" s="135"/>
      <c r="V4703" s="135"/>
      <c r="W4703" s="135"/>
      <c r="X4703" s="135"/>
      <c r="Y4703" s="135"/>
      <c r="Z4703" s="135"/>
    </row>
    <row r="4704" spans="1:26" ht="25.5">
      <c r="A4704" s="136" t="s">
        <v>16</v>
      </c>
      <c r="B4704" s="136" t="s">
        <v>7971</v>
      </c>
      <c r="C4704" s="136" t="s">
        <v>8003</v>
      </c>
      <c r="D4704" s="136" t="s">
        <v>1674</v>
      </c>
      <c r="E4704" s="136" t="s">
        <v>615</v>
      </c>
      <c r="F4704" s="136">
        <v>2500</v>
      </c>
      <c r="G4704" s="137">
        <f t="shared" si="18"/>
        <v>1</v>
      </c>
      <c r="H4704" s="137"/>
      <c r="I4704" s="137"/>
      <c r="J4704" s="135"/>
      <c r="K4704" s="135"/>
      <c r="L4704" s="135"/>
      <c r="M4704" s="135"/>
      <c r="N4704" s="135"/>
      <c r="O4704" s="135"/>
      <c r="P4704" s="135"/>
      <c r="Q4704" s="135"/>
      <c r="R4704" s="135"/>
      <c r="S4704" s="135"/>
      <c r="T4704" s="135"/>
      <c r="U4704" s="135"/>
      <c r="V4704" s="135"/>
      <c r="W4704" s="135"/>
      <c r="X4704" s="135"/>
      <c r="Y4704" s="135"/>
      <c r="Z4704" s="135"/>
    </row>
    <row r="4705" spans="1:26" ht="25.5">
      <c r="A4705" s="136" t="s">
        <v>16</v>
      </c>
      <c r="B4705" s="136" t="s">
        <v>7971</v>
      </c>
      <c r="C4705" s="136" t="s">
        <v>8003</v>
      </c>
      <c r="D4705" s="136" t="s">
        <v>7993</v>
      </c>
      <c r="E4705" s="136" t="s">
        <v>615</v>
      </c>
      <c r="F4705" s="136">
        <v>1050</v>
      </c>
      <c r="G4705" s="137">
        <f t="shared" si="18"/>
        <v>2</v>
      </c>
      <c r="H4705" s="137"/>
      <c r="I4705" s="137"/>
      <c r="J4705" s="135"/>
      <c r="K4705" s="135"/>
      <c r="L4705" s="135"/>
      <c r="M4705" s="135"/>
      <c r="N4705" s="135"/>
      <c r="O4705" s="135"/>
      <c r="P4705" s="135"/>
      <c r="Q4705" s="135"/>
      <c r="R4705" s="135"/>
      <c r="S4705" s="135"/>
      <c r="T4705" s="135"/>
      <c r="U4705" s="135"/>
      <c r="V4705" s="135"/>
      <c r="W4705" s="135"/>
      <c r="X4705" s="135"/>
      <c r="Y4705" s="135"/>
      <c r="Z4705" s="135"/>
    </row>
    <row r="4706" spans="1:26" ht="25.5">
      <c r="A4706" s="136" t="s">
        <v>16</v>
      </c>
      <c r="B4706" s="136" t="s">
        <v>7971</v>
      </c>
      <c r="C4706" s="136" t="s">
        <v>8003</v>
      </c>
      <c r="D4706" s="136" t="s">
        <v>139</v>
      </c>
      <c r="E4706" s="136" t="s">
        <v>594</v>
      </c>
      <c r="F4706" s="136">
        <v>730</v>
      </c>
      <c r="G4706" s="137">
        <f t="shared" si="18"/>
        <v>3</v>
      </c>
      <c r="H4706" s="137"/>
      <c r="I4706" s="137"/>
      <c r="J4706" s="135"/>
      <c r="K4706" s="135"/>
      <c r="L4706" s="135"/>
      <c r="M4706" s="135"/>
      <c r="N4706" s="135"/>
      <c r="O4706" s="135"/>
      <c r="P4706" s="135"/>
      <c r="Q4706" s="135"/>
      <c r="R4706" s="135"/>
      <c r="S4706" s="135"/>
      <c r="T4706" s="135"/>
      <c r="U4706" s="135"/>
      <c r="V4706" s="135"/>
      <c r="W4706" s="135"/>
      <c r="X4706" s="135"/>
      <c r="Y4706" s="135"/>
      <c r="Z4706" s="135"/>
    </row>
    <row r="4707" spans="1:26" ht="25.5">
      <c r="A4707" s="136" t="s">
        <v>16</v>
      </c>
      <c r="B4707" s="136" t="s">
        <v>7971</v>
      </c>
      <c r="C4707" s="136" t="s">
        <v>8003</v>
      </c>
      <c r="D4707" s="136" t="s">
        <v>165</v>
      </c>
      <c r="E4707" s="136" t="s">
        <v>615</v>
      </c>
      <c r="F4707" s="136">
        <v>600</v>
      </c>
      <c r="G4707" s="137">
        <f t="shared" si="18"/>
        <v>4</v>
      </c>
      <c r="H4707" s="137"/>
      <c r="I4707" s="137"/>
      <c r="J4707" s="135"/>
      <c r="K4707" s="135"/>
      <c r="L4707" s="135"/>
      <c r="M4707" s="135"/>
      <c r="N4707" s="135"/>
      <c r="O4707" s="135"/>
      <c r="P4707" s="135"/>
      <c r="Q4707" s="135"/>
      <c r="R4707" s="135"/>
      <c r="S4707" s="135"/>
      <c r="T4707" s="135"/>
      <c r="U4707" s="135"/>
      <c r="V4707" s="135"/>
      <c r="W4707" s="135"/>
      <c r="X4707" s="135"/>
      <c r="Y4707" s="135"/>
      <c r="Z4707" s="135"/>
    </row>
    <row r="4708" spans="1:26" ht="25.5">
      <c r="A4708" s="136" t="s">
        <v>16</v>
      </c>
      <c r="B4708" s="136" t="s">
        <v>7971</v>
      </c>
      <c r="C4708" s="136" t="s">
        <v>8003</v>
      </c>
      <c r="D4708" s="136" t="s">
        <v>7481</v>
      </c>
      <c r="E4708" s="136"/>
      <c r="F4708" s="136">
        <v>396</v>
      </c>
      <c r="G4708" s="137">
        <f t="shared" si="18"/>
        <v>5</v>
      </c>
      <c r="H4708" s="137"/>
      <c r="I4708" s="137"/>
      <c r="J4708" s="135"/>
      <c r="K4708" s="135"/>
      <c r="L4708" s="135"/>
      <c r="M4708" s="135"/>
      <c r="N4708" s="135"/>
      <c r="O4708" s="135"/>
      <c r="P4708" s="135"/>
      <c r="Q4708" s="135"/>
      <c r="R4708" s="135"/>
      <c r="S4708" s="135"/>
      <c r="T4708" s="135"/>
      <c r="U4708" s="135"/>
      <c r="V4708" s="135"/>
      <c r="W4708" s="135"/>
      <c r="X4708" s="135"/>
      <c r="Y4708" s="135"/>
      <c r="Z4708" s="135"/>
    </row>
    <row r="4709" spans="1:26" ht="25.5">
      <c r="A4709" s="136" t="s">
        <v>16</v>
      </c>
      <c r="B4709" s="136" t="s">
        <v>7971</v>
      </c>
      <c r="C4709" s="136" t="s">
        <v>8003</v>
      </c>
      <c r="D4709" s="136" t="s">
        <v>107</v>
      </c>
      <c r="E4709" s="136" t="s">
        <v>615</v>
      </c>
      <c r="F4709" s="136">
        <v>190</v>
      </c>
      <c r="G4709" s="137">
        <f t="shared" si="18"/>
        <v>6</v>
      </c>
      <c r="H4709" s="137"/>
      <c r="I4709" s="137"/>
      <c r="J4709" s="135"/>
      <c r="K4709" s="135"/>
      <c r="L4709" s="135"/>
      <c r="M4709" s="135"/>
      <c r="N4709" s="135"/>
      <c r="O4709" s="135"/>
      <c r="P4709" s="135"/>
      <c r="Q4709" s="135"/>
      <c r="R4709" s="135"/>
      <c r="S4709" s="135"/>
      <c r="T4709" s="135"/>
      <c r="U4709" s="135"/>
      <c r="V4709" s="135"/>
      <c r="W4709" s="135"/>
      <c r="X4709" s="135"/>
      <c r="Y4709" s="135"/>
      <c r="Z4709" s="135"/>
    </row>
    <row r="4710" spans="1:26" ht="25.5">
      <c r="A4710" s="136" t="s">
        <v>16</v>
      </c>
      <c r="B4710" s="136" t="s">
        <v>7971</v>
      </c>
      <c r="C4710" s="136" t="s">
        <v>8003</v>
      </c>
      <c r="D4710" s="136" t="s">
        <v>1604</v>
      </c>
      <c r="E4710" s="136" t="s">
        <v>615</v>
      </c>
      <c r="F4710" s="136">
        <v>179</v>
      </c>
      <c r="G4710" s="137">
        <f t="shared" si="18"/>
        <v>7</v>
      </c>
      <c r="H4710" s="137"/>
      <c r="I4710" s="137"/>
      <c r="J4710" s="135"/>
      <c r="K4710" s="135"/>
      <c r="L4710" s="135"/>
      <c r="M4710" s="135"/>
      <c r="N4710" s="135"/>
      <c r="O4710" s="135"/>
      <c r="P4710" s="135"/>
      <c r="Q4710" s="135"/>
      <c r="R4710" s="135"/>
      <c r="S4710" s="135"/>
      <c r="T4710" s="135"/>
      <c r="U4710" s="135"/>
      <c r="V4710" s="135"/>
      <c r="W4710" s="135"/>
      <c r="X4710" s="135"/>
      <c r="Y4710" s="135"/>
      <c r="Z4710" s="135"/>
    </row>
    <row r="4711" spans="1:26" ht="25.5">
      <c r="A4711" s="136" t="s">
        <v>16</v>
      </c>
      <c r="B4711" s="136" t="s">
        <v>7971</v>
      </c>
      <c r="C4711" s="136" t="s">
        <v>8003</v>
      </c>
      <c r="D4711" s="136" t="s">
        <v>114</v>
      </c>
      <c r="E4711" s="136" t="s">
        <v>85</v>
      </c>
      <c r="F4711" s="136">
        <v>179</v>
      </c>
      <c r="G4711" s="137">
        <f t="shared" si="18"/>
        <v>8</v>
      </c>
      <c r="H4711" s="137"/>
      <c r="I4711" s="137"/>
      <c r="J4711" s="135"/>
      <c r="K4711" s="135"/>
      <c r="L4711" s="135"/>
      <c r="M4711" s="135"/>
      <c r="N4711" s="135"/>
      <c r="O4711" s="135"/>
      <c r="P4711" s="135"/>
      <c r="Q4711" s="135"/>
      <c r="R4711" s="135"/>
      <c r="S4711" s="135"/>
      <c r="T4711" s="135"/>
      <c r="U4711" s="135"/>
      <c r="V4711" s="135"/>
      <c r="W4711" s="135"/>
      <c r="X4711" s="135"/>
      <c r="Y4711" s="135"/>
      <c r="Z4711" s="135"/>
    </row>
    <row r="4712" spans="1:26" ht="25.5">
      <c r="A4712" s="136" t="s">
        <v>16</v>
      </c>
      <c r="B4712" s="136" t="s">
        <v>7971</v>
      </c>
      <c r="C4712" s="136" t="s">
        <v>8003</v>
      </c>
      <c r="D4712" s="136" t="s">
        <v>136</v>
      </c>
      <c r="E4712" s="136" t="s">
        <v>615</v>
      </c>
      <c r="F4712" s="136">
        <v>142</v>
      </c>
      <c r="G4712" s="137">
        <f t="shared" si="18"/>
        <v>9</v>
      </c>
      <c r="H4712" s="137"/>
      <c r="I4712" s="137"/>
      <c r="J4712" s="135"/>
      <c r="K4712" s="135"/>
      <c r="L4712" s="135"/>
      <c r="M4712" s="135"/>
      <c r="N4712" s="135"/>
      <c r="O4712" s="135"/>
      <c r="P4712" s="135"/>
      <c r="Q4712" s="135"/>
      <c r="R4712" s="135"/>
      <c r="S4712" s="135"/>
      <c r="T4712" s="135"/>
      <c r="U4712" s="135"/>
      <c r="V4712" s="135"/>
      <c r="W4712" s="135"/>
      <c r="X4712" s="135"/>
      <c r="Y4712" s="135"/>
      <c r="Z4712" s="135"/>
    </row>
    <row r="4713" spans="1:26" ht="25.5">
      <c r="A4713" s="136" t="s">
        <v>16</v>
      </c>
      <c r="B4713" s="136" t="s">
        <v>7971</v>
      </c>
      <c r="C4713" s="136" t="s">
        <v>8003</v>
      </c>
      <c r="D4713" s="136" t="s">
        <v>437</v>
      </c>
      <c r="E4713" s="136" t="s">
        <v>594</v>
      </c>
      <c r="F4713" s="136">
        <v>92</v>
      </c>
      <c r="G4713" s="137">
        <f t="shared" si="18"/>
        <v>10</v>
      </c>
      <c r="H4713" s="137"/>
      <c r="I4713" s="137"/>
      <c r="J4713" s="135"/>
      <c r="K4713" s="135"/>
      <c r="L4713" s="135"/>
      <c r="M4713" s="135"/>
      <c r="N4713" s="135"/>
      <c r="O4713" s="135"/>
      <c r="P4713" s="135"/>
      <c r="Q4713" s="135"/>
      <c r="R4713" s="135"/>
      <c r="S4713" s="135"/>
      <c r="T4713" s="135"/>
      <c r="U4713" s="135"/>
      <c r="V4713" s="135"/>
      <c r="W4713" s="135"/>
      <c r="X4713" s="135"/>
      <c r="Y4713" s="135"/>
      <c r="Z4713" s="135"/>
    </row>
    <row r="4714" spans="1:26" ht="25.5">
      <c r="A4714" s="136" t="s">
        <v>16</v>
      </c>
      <c r="B4714" s="136" t="s">
        <v>7971</v>
      </c>
      <c r="C4714" s="136" t="s">
        <v>8003</v>
      </c>
      <c r="D4714" s="136" t="s">
        <v>368</v>
      </c>
      <c r="E4714" s="136" t="s">
        <v>594</v>
      </c>
      <c r="F4714" s="136">
        <v>90</v>
      </c>
      <c r="G4714" s="137">
        <f t="shared" si="18"/>
        <v>11</v>
      </c>
      <c r="H4714" s="137"/>
      <c r="I4714" s="137"/>
      <c r="J4714" s="135"/>
      <c r="K4714" s="135"/>
      <c r="L4714" s="135"/>
      <c r="M4714" s="135"/>
      <c r="N4714" s="135"/>
      <c r="O4714" s="135"/>
      <c r="P4714" s="135"/>
      <c r="Q4714" s="135"/>
      <c r="R4714" s="135"/>
      <c r="S4714" s="135"/>
      <c r="T4714" s="135"/>
      <c r="U4714" s="135"/>
      <c r="V4714" s="135"/>
      <c r="W4714" s="135"/>
      <c r="X4714" s="135"/>
      <c r="Y4714" s="135"/>
      <c r="Z4714" s="135"/>
    </row>
    <row r="4715" spans="1:26" ht="25.5">
      <c r="A4715" s="136" t="s">
        <v>16</v>
      </c>
      <c r="B4715" s="136" t="s">
        <v>7971</v>
      </c>
      <c r="C4715" s="136" t="s">
        <v>8003</v>
      </c>
      <c r="D4715" s="136" t="s">
        <v>1665</v>
      </c>
      <c r="E4715" s="136" t="s">
        <v>615</v>
      </c>
      <c r="F4715" s="136">
        <v>87</v>
      </c>
      <c r="G4715" s="137">
        <f t="shared" si="18"/>
        <v>12</v>
      </c>
      <c r="H4715" s="137"/>
      <c r="I4715" s="137"/>
      <c r="J4715" s="135"/>
      <c r="K4715" s="135"/>
      <c r="L4715" s="135"/>
      <c r="M4715" s="135"/>
      <c r="N4715" s="135"/>
      <c r="O4715" s="135"/>
      <c r="P4715" s="135"/>
      <c r="Q4715" s="135"/>
      <c r="R4715" s="135"/>
      <c r="S4715" s="135"/>
      <c r="T4715" s="135"/>
      <c r="U4715" s="135"/>
      <c r="V4715" s="135"/>
      <c r="W4715" s="135"/>
      <c r="X4715" s="135"/>
      <c r="Y4715" s="135"/>
      <c r="Z4715" s="135"/>
    </row>
    <row r="4716" spans="1:26" ht="25.5">
      <c r="A4716" s="136" t="s">
        <v>16</v>
      </c>
      <c r="B4716" s="136" t="s">
        <v>7971</v>
      </c>
      <c r="C4716" s="136" t="s">
        <v>8003</v>
      </c>
      <c r="D4716" s="136" t="s">
        <v>7685</v>
      </c>
      <c r="E4716" s="136" t="s">
        <v>594</v>
      </c>
      <c r="F4716" s="136">
        <v>68</v>
      </c>
      <c r="G4716" s="137">
        <f t="shared" si="18"/>
        <v>13</v>
      </c>
      <c r="H4716" s="137"/>
      <c r="I4716" s="137"/>
      <c r="J4716" s="135"/>
      <c r="K4716" s="135"/>
      <c r="L4716" s="135"/>
      <c r="M4716" s="135"/>
      <c r="N4716" s="135"/>
      <c r="O4716" s="135"/>
      <c r="P4716" s="135"/>
      <c r="Q4716" s="135"/>
      <c r="R4716" s="135"/>
      <c r="S4716" s="135"/>
      <c r="T4716" s="135"/>
      <c r="U4716" s="135"/>
      <c r="V4716" s="135"/>
      <c r="W4716" s="135"/>
      <c r="X4716" s="135"/>
      <c r="Y4716" s="135"/>
      <c r="Z4716" s="135"/>
    </row>
    <row r="4717" spans="1:26" ht="25.5">
      <c r="A4717" s="136" t="s">
        <v>16</v>
      </c>
      <c r="B4717" s="136" t="s">
        <v>7971</v>
      </c>
      <c r="C4717" s="136" t="s">
        <v>8003</v>
      </c>
      <c r="D4717" s="136" t="s">
        <v>1626</v>
      </c>
      <c r="E4717" s="136" t="s">
        <v>594</v>
      </c>
      <c r="F4717" s="136">
        <v>59</v>
      </c>
      <c r="G4717" s="137">
        <f t="shared" si="18"/>
        <v>14</v>
      </c>
      <c r="H4717" s="137"/>
      <c r="I4717" s="137"/>
      <c r="J4717" s="135"/>
      <c r="K4717" s="135"/>
      <c r="L4717" s="135"/>
      <c r="M4717" s="135"/>
      <c r="N4717" s="135"/>
      <c r="O4717" s="135"/>
      <c r="P4717" s="135"/>
      <c r="Q4717" s="135"/>
      <c r="R4717" s="135"/>
      <c r="S4717" s="135"/>
      <c r="T4717" s="135"/>
      <c r="U4717" s="135"/>
      <c r="V4717" s="135"/>
      <c r="W4717" s="135"/>
      <c r="X4717" s="135"/>
      <c r="Y4717" s="135"/>
      <c r="Z4717" s="135"/>
    </row>
    <row r="4718" spans="1:26" ht="25.5">
      <c r="A4718" s="136" t="s">
        <v>16</v>
      </c>
      <c r="B4718" s="136" t="s">
        <v>7971</v>
      </c>
      <c r="C4718" s="136" t="s">
        <v>8003</v>
      </c>
      <c r="D4718" s="136" t="s">
        <v>131</v>
      </c>
      <c r="E4718" s="136" t="s">
        <v>594</v>
      </c>
      <c r="F4718" s="136">
        <v>50</v>
      </c>
      <c r="G4718" s="137">
        <f t="shared" si="18"/>
        <v>15</v>
      </c>
      <c r="H4718" s="137"/>
      <c r="I4718" s="137"/>
      <c r="J4718" s="135"/>
      <c r="K4718" s="135"/>
      <c r="L4718" s="135"/>
      <c r="M4718" s="135"/>
      <c r="N4718" s="135"/>
      <c r="O4718" s="135"/>
      <c r="P4718" s="135"/>
      <c r="Q4718" s="135"/>
      <c r="R4718" s="135"/>
      <c r="S4718" s="135"/>
      <c r="T4718" s="135"/>
      <c r="U4718" s="135"/>
      <c r="V4718" s="135"/>
      <c r="W4718" s="135"/>
      <c r="X4718" s="135"/>
      <c r="Y4718" s="135"/>
      <c r="Z4718" s="135"/>
    </row>
    <row r="4719" spans="1:26" ht="25.5">
      <c r="A4719" s="136" t="s">
        <v>16</v>
      </c>
      <c r="B4719" s="136" t="s">
        <v>7971</v>
      </c>
      <c r="C4719" s="136" t="s">
        <v>8003</v>
      </c>
      <c r="D4719" s="136" t="s">
        <v>1656</v>
      </c>
      <c r="E4719" s="136" t="s">
        <v>594</v>
      </c>
      <c r="F4719" s="136">
        <v>40</v>
      </c>
      <c r="G4719" s="137">
        <f t="shared" si="18"/>
        <v>16</v>
      </c>
      <c r="H4719" s="137"/>
      <c r="I4719" s="137"/>
      <c r="J4719" s="135"/>
      <c r="K4719" s="135"/>
      <c r="L4719" s="135"/>
      <c r="M4719" s="135"/>
      <c r="N4719" s="135"/>
      <c r="O4719" s="135"/>
      <c r="P4719" s="135"/>
      <c r="Q4719" s="135"/>
      <c r="R4719" s="135"/>
      <c r="S4719" s="135"/>
      <c r="T4719" s="135"/>
      <c r="U4719" s="135"/>
      <c r="V4719" s="135"/>
      <c r="W4719" s="135"/>
      <c r="X4719" s="135"/>
      <c r="Y4719" s="135"/>
      <c r="Z4719" s="135"/>
    </row>
    <row r="4720" spans="1:26" ht="25.5">
      <c r="A4720" s="136" t="s">
        <v>16</v>
      </c>
      <c r="B4720" s="136" t="s">
        <v>7971</v>
      </c>
      <c r="C4720" s="136" t="s">
        <v>8003</v>
      </c>
      <c r="D4720" s="136" t="s">
        <v>8004</v>
      </c>
      <c r="E4720" s="136" t="s">
        <v>85</v>
      </c>
      <c r="F4720" s="136">
        <v>30</v>
      </c>
      <c r="G4720" s="137">
        <f t="shared" si="18"/>
        <v>17</v>
      </c>
      <c r="H4720" s="137"/>
      <c r="I4720" s="137"/>
      <c r="J4720" s="135"/>
      <c r="K4720" s="135"/>
      <c r="L4720" s="135"/>
      <c r="M4720" s="135"/>
      <c r="N4720" s="135"/>
      <c r="O4720" s="135"/>
      <c r="P4720" s="135"/>
      <c r="Q4720" s="135"/>
      <c r="R4720" s="135"/>
      <c r="S4720" s="135"/>
      <c r="T4720" s="135"/>
      <c r="U4720" s="135"/>
      <c r="V4720" s="135"/>
      <c r="W4720" s="135"/>
      <c r="X4720" s="135"/>
      <c r="Y4720" s="135"/>
      <c r="Z4720" s="135"/>
    </row>
    <row r="4721" spans="1:26" ht="25.5">
      <c r="A4721" s="136" t="s">
        <v>16</v>
      </c>
      <c r="B4721" s="136" t="s">
        <v>7971</v>
      </c>
      <c r="C4721" s="136" t="s">
        <v>8005</v>
      </c>
      <c r="D4721" s="136" t="s">
        <v>8006</v>
      </c>
      <c r="E4721" s="136" t="s">
        <v>615</v>
      </c>
      <c r="F4721" s="136">
        <v>7589</v>
      </c>
      <c r="G4721" s="137">
        <f t="shared" si="18"/>
        <v>1</v>
      </c>
      <c r="H4721" s="137"/>
      <c r="I4721" s="137"/>
      <c r="J4721" s="135"/>
      <c r="K4721" s="135"/>
      <c r="L4721" s="135"/>
      <c r="M4721" s="135"/>
      <c r="N4721" s="135"/>
      <c r="O4721" s="135"/>
      <c r="P4721" s="135"/>
      <c r="Q4721" s="135"/>
      <c r="R4721" s="135"/>
      <c r="S4721" s="135"/>
      <c r="T4721" s="135"/>
      <c r="U4721" s="135"/>
      <c r="V4721" s="135"/>
      <c r="W4721" s="135"/>
      <c r="X4721" s="135"/>
      <c r="Y4721" s="135"/>
      <c r="Z4721" s="135"/>
    </row>
    <row r="4722" spans="1:26" ht="25.5">
      <c r="A4722" s="136" t="s">
        <v>16</v>
      </c>
      <c r="B4722" s="136" t="s">
        <v>7971</v>
      </c>
      <c r="C4722" s="136" t="s">
        <v>8005</v>
      </c>
      <c r="D4722" s="136" t="s">
        <v>7985</v>
      </c>
      <c r="E4722" s="136" t="s">
        <v>615</v>
      </c>
      <c r="F4722" s="136">
        <v>550</v>
      </c>
      <c r="G4722" s="137">
        <f t="shared" si="18"/>
        <v>2</v>
      </c>
      <c r="H4722" s="137"/>
      <c r="I4722" s="137"/>
      <c r="J4722" s="135"/>
      <c r="K4722" s="135"/>
      <c r="L4722" s="135"/>
      <c r="M4722" s="135"/>
      <c r="N4722" s="135"/>
      <c r="O4722" s="135"/>
      <c r="P4722" s="135"/>
      <c r="Q4722" s="135"/>
      <c r="R4722" s="135"/>
      <c r="S4722" s="135"/>
      <c r="T4722" s="135"/>
      <c r="U4722" s="135"/>
      <c r="V4722" s="135"/>
      <c r="W4722" s="135"/>
      <c r="X4722" s="135"/>
      <c r="Y4722" s="135"/>
      <c r="Z4722" s="135"/>
    </row>
    <row r="4723" spans="1:26" ht="25.5">
      <c r="A4723" s="136" t="s">
        <v>16</v>
      </c>
      <c r="B4723" s="136" t="s">
        <v>7971</v>
      </c>
      <c r="C4723" s="136" t="s">
        <v>8005</v>
      </c>
      <c r="D4723" s="136" t="s">
        <v>7481</v>
      </c>
      <c r="E4723" s="136"/>
      <c r="F4723" s="136">
        <v>489</v>
      </c>
      <c r="G4723" s="137">
        <f t="shared" si="18"/>
        <v>3</v>
      </c>
      <c r="H4723" s="137"/>
      <c r="I4723" s="137"/>
      <c r="J4723" s="135"/>
      <c r="K4723" s="135"/>
      <c r="L4723" s="135"/>
      <c r="M4723" s="135"/>
      <c r="N4723" s="135"/>
      <c r="O4723" s="135"/>
      <c r="P4723" s="135"/>
      <c r="Q4723" s="135"/>
      <c r="R4723" s="135"/>
      <c r="S4723" s="135"/>
      <c r="T4723" s="135"/>
      <c r="U4723" s="135"/>
      <c r="V4723" s="135"/>
      <c r="W4723" s="135"/>
      <c r="X4723" s="135"/>
      <c r="Y4723" s="135"/>
      <c r="Z4723" s="135"/>
    </row>
    <row r="4724" spans="1:26" ht="25.5">
      <c r="A4724" s="136" t="s">
        <v>16</v>
      </c>
      <c r="B4724" s="136" t="s">
        <v>7971</v>
      </c>
      <c r="C4724" s="136" t="s">
        <v>8005</v>
      </c>
      <c r="D4724" s="136" t="s">
        <v>7993</v>
      </c>
      <c r="E4724" s="136" t="s">
        <v>615</v>
      </c>
      <c r="F4724" s="136">
        <v>364</v>
      </c>
      <c r="G4724" s="137">
        <f t="shared" si="18"/>
        <v>4</v>
      </c>
      <c r="H4724" s="137"/>
      <c r="I4724" s="137"/>
      <c r="J4724" s="135"/>
      <c r="K4724" s="135"/>
      <c r="L4724" s="135"/>
      <c r="M4724" s="135"/>
      <c r="N4724" s="135"/>
      <c r="O4724" s="135"/>
      <c r="P4724" s="135"/>
      <c r="Q4724" s="135"/>
      <c r="R4724" s="135"/>
      <c r="S4724" s="135"/>
      <c r="T4724" s="135"/>
      <c r="U4724" s="135"/>
      <c r="V4724" s="135"/>
      <c r="W4724" s="135"/>
      <c r="X4724" s="135"/>
      <c r="Y4724" s="135"/>
      <c r="Z4724" s="135"/>
    </row>
    <row r="4725" spans="1:26" ht="25.5">
      <c r="A4725" s="136" t="s">
        <v>16</v>
      </c>
      <c r="B4725" s="136" t="s">
        <v>7971</v>
      </c>
      <c r="C4725" s="136" t="s">
        <v>8005</v>
      </c>
      <c r="D4725" s="136" t="s">
        <v>139</v>
      </c>
      <c r="E4725" s="136" t="s">
        <v>594</v>
      </c>
      <c r="F4725" s="136">
        <v>330</v>
      </c>
      <c r="G4725" s="137">
        <f t="shared" si="18"/>
        <v>5</v>
      </c>
      <c r="H4725" s="137"/>
      <c r="I4725" s="137"/>
      <c r="J4725" s="135"/>
      <c r="K4725" s="135"/>
      <c r="L4725" s="135"/>
      <c r="M4725" s="135"/>
      <c r="N4725" s="135"/>
      <c r="O4725" s="135"/>
      <c r="P4725" s="135"/>
      <c r="Q4725" s="135"/>
      <c r="R4725" s="135"/>
      <c r="S4725" s="135"/>
      <c r="T4725" s="135"/>
      <c r="U4725" s="135"/>
      <c r="V4725" s="135"/>
      <c r="W4725" s="135"/>
      <c r="X4725" s="135"/>
      <c r="Y4725" s="135"/>
      <c r="Z4725" s="135"/>
    </row>
    <row r="4726" spans="1:26" ht="25.5">
      <c r="A4726" s="136" t="s">
        <v>16</v>
      </c>
      <c r="B4726" s="136" t="s">
        <v>7971</v>
      </c>
      <c r="C4726" s="136" t="s">
        <v>8005</v>
      </c>
      <c r="D4726" s="136" t="s">
        <v>1656</v>
      </c>
      <c r="E4726" s="136" t="s">
        <v>594</v>
      </c>
      <c r="F4726" s="136">
        <v>85</v>
      </c>
      <c r="G4726" s="137">
        <f t="shared" si="18"/>
        <v>6</v>
      </c>
      <c r="H4726" s="137"/>
      <c r="I4726" s="137"/>
      <c r="J4726" s="135"/>
      <c r="K4726" s="135"/>
      <c r="L4726" s="135"/>
      <c r="M4726" s="135"/>
      <c r="N4726" s="135"/>
      <c r="O4726" s="135"/>
      <c r="P4726" s="135"/>
      <c r="Q4726" s="135"/>
      <c r="R4726" s="135"/>
      <c r="S4726" s="135"/>
      <c r="T4726" s="135"/>
      <c r="U4726" s="135"/>
      <c r="V4726" s="135"/>
      <c r="W4726" s="135"/>
      <c r="X4726" s="135"/>
      <c r="Y4726" s="135"/>
      <c r="Z4726" s="135"/>
    </row>
    <row r="4727" spans="1:26" ht="25.5">
      <c r="A4727" s="136" t="s">
        <v>16</v>
      </c>
      <c r="B4727" s="136" t="s">
        <v>7971</v>
      </c>
      <c r="C4727" s="136" t="s">
        <v>8005</v>
      </c>
      <c r="D4727" s="136" t="s">
        <v>368</v>
      </c>
      <c r="E4727" s="136" t="s">
        <v>594</v>
      </c>
      <c r="F4727" s="136">
        <v>65</v>
      </c>
      <c r="G4727" s="137">
        <f t="shared" si="18"/>
        <v>7</v>
      </c>
      <c r="H4727" s="137"/>
      <c r="I4727" s="137"/>
      <c r="J4727" s="135"/>
      <c r="K4727" s="135"/>
      <c r="L4727" s="135"/>
      <c r="M4727" s="135"/>
      <c r="N4727" s="135"/>
      <c r="O4727" s="135"/>
      <c r="P4727" s="135"/>
      <c r="Q4727" s="135"/>
      <c r="R4727" s="135"/>
      <c r="S4727" s="135"/>
      <c r="T4727" s="135"/>
      <c r="U4727" s="135"/>
      <c r="V4727" s="135"/>
      <c r="W4727" s="135"/>
      <c r="X4727" s="135"/>
      <c r="Y4727" s="135"/>
      <c r="Z4727" s="135"/>
    </row>
    <row r="4728" spans="1:26" ht="25.5">
      <c r="A4728" s="136" t="s">
        <v>16</v>
      </c>
      <c r="B4728" s="136" t="s">
        <v>7971</v>
      </c>
      <c r="C4728" s="136" t="s">
        <v>8005</v>
      </c>
      <c r="D4728" s="136" t="s">
        <v>1665</v>
      </c>
      <c r="E4728" s="136" t="s">
        <v>615</v>
      </c>
      <c r="F4728" s="136">
        <v>40</v>
      </c>
      <c r="G4728" s="137">
        <f t="shared" si="18"/>
        <v>8</v>
      </c>
      <c r="H4728" s="137"/>
      <c r="I4728" s="137"/>
      <c r="J4728" s="135"/>
      <c r="K4728" s="135"/>
      <c r="L4728" s="135"/>
      <c r="M4728" s="135"/>
      <c r="N4728" s="135"/>
      <c r="O4728" s="135"/>
      <c r="P4728" s="135"/>
      <c r="Q4728" s="135"/>
      <c r="R4728" s="135"/>
      <c r="S4728" s="135"/>
      <c r="T4728" s="135"/>
      <c r="U4728" s="135"/>
      <c r="V4728" s="135"/>
      <c r="W4728" s="135"/>
      <c r="X4728" s="135"/>
      <c r="Y4728" s="135"/>
      <c r="Z4728" s="135"/>
    </row>
    <row r="4729" spans="1:26" ht="25.5">
      <c r="A4729" s="136" t="s">
        <v>16</v>
      </c>
      <c r="B4729" s="136" t="s">
        <v>7971</v>
      </c>
      <c r="C4729" s="136" t="s">
        <v>8005</v>
      </c>
      <c r="D4729" s="136" t="s">
        <v>114</v>
      </c>
      <c r="E4729" s="136" t="s">
        <v>85</v>
      </c>
      <c r="F4729" s="136">
        <v>24</v>
      </c>
      <c r="G4729" s="137">
        <f t="shared" si="18"/>
        <v>9</v>
      </c>
      <c r="H4729" s="137"/>
      <c r="I4729" s="137"/>
      <c r="J4729" s="135"/>
      <c r="K4729" s="135"/>
      <c r="L4729" s="135"/>
      <c r="M4729" s="135"/>
      <c r="N4729" s="135"/>
      <c r="O4729" s="135"/>
      <c r="P4729" s="135"/>
      <c r="Q4729" s="135"/>
      <c r="R4729" s="135"/>
      <c r="S4729" s="135"/>
      <c r="T4729" s="135"/>
      <c r="U4729" s="135"/>
      <c r="V4729" s="135"/>
      <c r="W4729" s="135"/>
      <c r="X4729" s="135"/>
      <c r="Y4729" s="135"/>
      <c r="Z4729" s="135"/>
    </row>
    <row r="4730" spans="1:26" ht="25.5">
      <c r="A4730" s="136" t="s">
        <v>16</v>
      </c>
      <c r="B4730" s="136" t="s">
        <v>7971</v>
      </c>
      <c r="C4730" s="136" t="s">
        <v>8007</v>
      </c>
      <c r="D4730" s="136" t="s">
        <v>139</v>
      </c>
      <c r="E4730" s="136" t="s">
        <v>594</v>
      </c>
      <c r="F4730" s="136">
        <v>1378</v>
      </c>
      <c r="G4730" s="137">
        <f t="shared" si="18"/>
        <v>1</v>
      </c>
      <c r="H4730" s="137"/>
      <c r="I4730" s="137"/>
      <c r="J4730" s="135"/>
      <c r="K4730" s="135"/>
      <c r="L4730" s="135"/>
      <c r="M4730" s="135"/>
      <c r="N4730" s="135"/>
      <c r="O4730" s="135"/>
      <c r="P4730" s="135"/>
      <c r="Q4730" s="135"/>
      <c r="R4730" s="135"/>
      <c r="S4730" s="135"/>
      <c r="T4730" s="135"/>
      <c r="U4730" s="135"/>
      <c r="V4730" s="135"/>
      <c r="W4730" s="135"/>
      <c r="X4730" s="135"/>
      <c r="Y4730" s="135"/>
      <c r="Z4730" s="135"/>
    </row>
    <row r="4731" spans="1:26" ht="25.5">
      <c r="A4731" s="136" t="s">
        <v>16</v>
      </c>
      <c r="B4731" s="136" t="s">
        <v>7971</v>
      </c>
      <c r="C4731" s="136" t="s">
        <v>8007</v>
      </c>
      <c r="D4731" s="136" t="s">
        <v>368</v>
      </c>
      <c r="E4731" s="136" t="s">
        <v>594</v>
      </c>
      <c r="F4731" s="136">
        <v>560</v>
      </c>
      <c r="G4731" s="137">
        <f t="shared" si="18"/>
        <v>4</v>
      </c>
      <c r="H4731" s="137"/>
      <c r="I4731" s="137"/>
      <c r="J4731" s="135"/>
      <c r="K4731" s="135"/>
      <c r="L4731" s="135"/>
      <c r="M4731" s="135"/>
      <c r="N4731" s="135"/>
      <c r="O4731" s="135"/>
      <c r="P4731" s="135"/>
      <c r="Q4731" s="135"/>
      <c r="R4731" s="135"/>
      <c r="S4731" s="135"/>
      <c r="T4731" s="135"/>
      <c r="U4731" s="135"/>
      <c r="V4731" s="135"/>
      <c r="W4731" s="135"/>
      <c r="X4731" s="135"/>
      <c r="Y4731" s="135"/>
      <c r="Z4731" s="135"/>
    </row>
    <row r="4732" spans="1:26" ht="25.5">
      <c r="A4732" s="136" t="s">
        <v>16</v>
      </c>
      <c r="B4732" s="136" t="s">
        <v>7971</v>
      </c>
      <c r="C4732" s="136" t="s">
        <v>8007</v>
      </c>
      <c r="D4732" s="136" t="s">
        <v>1626</v>
      </c>
      <c r="E4732" s="136" t="s">
        <v>594</v>
      </c>
      <c r="F4732" s="136">
        <v>349</v>
      </c>
      <c r="G4732" s="137">
        <f t="shared" si="18"/>
        <v>7</v>
      </c>
      <c r="H4732" s="137"/>
      <c r="I4732" s="137"/>
      <c r="J4732" s="135"/>
      <c r="K4732" s="135"/>
      <c r="L4732" s="135"/>
      <c r="M4732" s="135"/>
      <c r="N4732" s="135"/>
      <c r="O4732" s="135"/>
      <c r="P4732" s="135"/>
      <c r="Q4732" s="135"/>
      <c r="R4732" s="135"/>
      <c r="S4732" s="135"/>
      <c r="T4732" s="135"/>
      <c r="U4732" s="135"/>
      <c r="V4732" s="135"/>
      <c r="W4732" s="135"/>
      <c r="X4732" s="135"/>
      <c r="Y4732" s="135"/>
      <c r="Z4732" s="135"/>
    </row>
    <row r="4733" spans="1:26" ht="25.5">
      <c r="A4733" s="136" t="s">
        <v>16</v>
      </c>
      <c r="B4733" s="136" t="s">
        <v>7971</v>
      </c>
      <c r="C4733" s="136" t="s">
        <v>8007</v>
      </c>
      <c r="D4733" s="136" t="s">
        <v>1656</v>
      </c>
      <c r="E4733" s="136" t="s">
        <v>594</v>
      </c>
      <c r="F4733" s="136">
        <v>262</v>
      </c>
      <c r="G4733" s="137">
        <f t="shared" si="18"/>
        <v>10</v>
      </c>
      <c r="H4733" s="137"/>
      <c r="I4733" s="137"/>
      <c r="J4733" s="135"/>
      <c r="K4733" s="135"/>
      <c r="L4733" s="135"/>
      <c r="M4733" s="135"/>
      <c r="N4733" s="135"/>
      <c r="O4733" s="135"/>
      <c r="P4733" s="135"/>
      <c r="Q4733" s="135"/>
      <c r="R4733" s="135"/>
      <c r="S4733" s="135"/>
      <c r="T4733" s="135"/>
      <c r="U4733" s="135"/>
      <c r="V4733" s="135"/>
      <c r="W4733" s="135"/>
      <c r="X4733" s="135"/>
      <c r="Y4733" s="135"/>
      <c r="Z4733" s="135"/>
    </row>
    <row r="4734" spans="1:26" ht="25.5">
      <c r="A4734" s="136" t="s">
        <v>16</v>
      </c>
      <c r="B4734" s="136" t="s">
        <v>7971</v>
      </c>
      <c r="C4734" s="136" t="s">
        <v>8007</v>
      </c>
      <c r="D4734" s="136" t="s">
        <v>103</v>
      </c>
      <c r="E4734" s="136" t="s">
        <v>594</v>
      </c>
      <c r="F4734" s="136">
        <v>289</v>
      </c>
      <c r="G4734" s="137">
        <f t="shared" si="18"/>
        <v>8</v>
      </c>
      <c r="H4734" s="137"/>
      <c r="I4734" s="137"/>
      <c r="J4734" s="135"/>
      <c r="K4734" s="135"/>
      <c r="L4734" s="135"/>
      <c r="M4734" s="135"/>
      <c r="N4734" s="135"/>
      <c r="O4734" s="135"/>
      <c r="P4734" s="135"/>
      <c r="Q4734" s="135"/>
      <c r="R4734" s="135"/>
      <c r="S4734" s="135"/>
      <c r="T4734" s="135"/>
      <c r="U4734" s="135"/>
      <c r="V4734" s="135"/>
      <c r="W4734" s="135"/>
      <c r="X4734" s="135"/>
      <c r="Y4734" s="135"/>
      <c r="Z4734" s="135"/>
    </row>
    <row r="4735" spans="1:26" ht="25.5">
      <c r="A4735" s="136" t="s">
        <v>16</v>
      </c>
      <c r="B4735" s="136" t="s">
        <v>7971</v>
      </c>
      <c r="C4735" s="136" t="s">
        <v>8007</v>
      </c>
      <c r="D4735" s="136" t="s">
        <v>131</v>
      </c>
      <c r="E4735" s="136" t="s">
        <v>594</v>
      </c>
      <c r="F4735" s="136">
        <v>218</v>
      </c>
      <c r="G4735" s="137">
        <f t="shared" si="18"/>
        <v>12</v>
      </c>
      <c r="H4735" s="137"/>
      <c r="I4735" s="137"/>
      <c r="J4735" s="135"/>
      <c r="K4735" s="135"/>
      <c r="L4735" s="135"/>
      <c r="M4735" s="135"/>
      <c r="N4735" s="135"/>
      <c r="O4735" s="135"/>
      <c r="P4735" s="135"/>
      <c r="Q4735" s="135"/>
      <c r="R4735" s="135"/>
      <c r="S4735" s="135"/>
      <c r="T4735" s="135"/>
      <c r="U4735" s="135"/>
      <c r="V4735" s="135"/>
      <c r="W4735" s="135"/>
      <c r="X4735" s="135"/>
      <c r="Y4735" s="135"/>
      <c r="Z4735" s="135"/>
    </row>
    <row r="4736" spans="1:26" ht="25.5">
      <c r="A4736" s="136" t="s">
        <v>16</v>
      </c>
      <c r="B4736" s="136" t="s">
        <v>7971</v>
      </c>
      <c r="C4736" s="136" t="s">
        <v>8007</v>
      </c>
      <c r="D4736" s="136" t="s">
        <v>98</v>
      </c>
      <c r="E4736" s="136" t="s">
        <v>594</v>
      </c>
      <c r="F4736" s="136">
        <v>169</v>
      </c>
      <c r="G4736" s="137">
        <f t="shared" si="18"/>
        <v>16</v>
      </c>
      <c r="H4736" s="137"/>
      <c r="I4736" s="137"/>
      <c r="J4736" s="135"/>
      <c r="K4736" s="135"/>
      <c r="L4736" s="135"/>
      <c r="M4736" s="135"/>
      <c r="N4736" s="135"/>
      <c r="O4736" s="135"/>
      <c r="P4736" s="135"/>
      <c r="Q4736" s="135"/>
      <c r="R4736" s="135"/>
      <c r="S4736" s="135"/>
      <c r="T4736" s="135"/>
      <c r="U4736" s="135"/>
      <c r="V4736" s="135"/>
      <c r="W4736" s="135"/>
      <c r="X4736" s="135"/>
      <c r="Y4736" s="135"/>
      <c r="Z4736" s="135"/>
    </row>
    <row r="4737" spans="1:26" ht="25.5">
      <c r="A4737" s="136" t="s">
        <v>16</v>
      </c>
      <c r="B4737" s="136" t="s">
        <v>7971</v>
      </c>
      <c r="C4737" s="136" t="s">
        <v>8007</v>
      </c>
      <c r="D4737" s="136" t="s">
        <v>437</v>
      </c>
      <c r="E4737" s="136" t="s">
        <v>594</v>
      </c>
      <c r="F4737" s="136">
        <v>619</v>
      </c>
      <c r="G4737" s="137">
        <f t="shared" si="18"/>
        <v>3</v>
      </c>
      <c r="H4737" s="137"/>
      <c r="I4737" s="137"/>
      <c r="J4737" s="135"/>
      <c r="K4737" s="135"/>
      <c r="L4737" s="135"/>
      <c r="M4737" s="135"/>
      <c r="N4737" s="135"/>
      <c r="O4737" s="135"/>
      <c r="P4737" s="135"/>
      <c r="Q4737" s="135"/>
      <c r="R4737" s="135"/>
      <c r="S4737" s="135"/>
      <c r="T4737" s="135"/>
      <c r="U4737" s="135"/>
      <c r="V4737" s="135"/>
      <c r="W4737" s="135"/>
      <c r="X4737" s="135"/>
      <c r="Y4737" s="135"/>
      <c r="Z4737" s="135"/>
    </row>
    <row r="4738" spans="1:26" ht="25.5">
      <c r="A4738" s="136" t="s">
        <v>16</v>
      </c>
      <c r="B4738" s="136" t="s">
        <v>7971</v>
      </c>
      <c r="C4738" s="136" t="s">
        <v>8007</v>
      </c>
      <c r="D4738" s="136" t="s">
        <v>433</v>
      </c>
      <c r="E4738" s="136" t="s">
        <v>594</v>
      </c>
      <c r="F4738" s="136">
        <v>453</v>
      </c>
      <c r="G4738" s="137">
        <f t="shared" si="18"/>
        <v>5</v>
      </c>
      <c r="H4738" s="137"/>
      <c r="I4738" s="137"/>
      <c r="J4738" s="135"/>
      <c r="K4738" s="135"/>
      <c r="L4738" s="135"/>
      <c r="M4738" s="135"/>
      <c r="N4738" s="135"/>
      <c r="O4738" s="135"/>
      <c r="P4738" s="135"/>
      <c r="Q4738" s="135"/>
      <c r="R4738" s="135"/>
      <c r="S4738" s="135"/>
      <c r="T4738" s="135"/>
      <c r="U4738" s="135"/>
      <c r="V4738" s="135"/>
      <c r="W4738" s="135"/>
      <c r="X4738" s="135"/>
      <c r="Y4738" s="135"/>
      <c r="Z4738" s="135"/>
    </row>
    <row r="4739" spans="1:26" ht="25.5">
      <c r="A4739" s="136" t="s">
        <v>16</v>
      </c>
      <c r="B4739" s="136" t="s">
        <v>7971</v>
      </c>
      <c r="C4739" s="136" t="s">
        <v>8007</v>
      </c>
      <c r="D4739" s="136" t="s">
        <v>1674</v>
      </c>
      <c r="E4739" s="136" t="s">
        <v>615</v>
      </c>
      <c r="F4739" s="136">
        <v>100</v>
      </c>
      <c r="G4739" s="137">
        <f t="shared" si="18"/>
        <v>22</v>
      </c>
      <c r="H4739" s="137"/>
      <c r="I4739" s="137"/>
      <c r="J4739" s="135"/>
      <c r="K4739" s="135"/>
      <c r="L4739" s="135"/>
      <c r="M4739" s="135"/>
      <c r="N4739" s="135"/>
      <c r="O4739" s="135"/>
      <c r="P4739" s="135"/>
      <c r="Q4739" s="135"/>
      <c r="R4739" s="135"/>
      <c r="S4739" s="135"/>
      <c r="T4739" s="135"/>
      <c r="U4739" s="135"/>
      <c r="V4739" s="135"/>
      <c r="W4739" s="135"/>
      <c r="X4739" s="135"/>
      <c r="Y4739" s="135"/>
      <c r="Z4739" s="135"/>
    </row>
    <row r="4740" spans="1:26" ht="25.5">
      <c r="A4740" s="136" t="s">
        <v>16</v>
      </c>
      <c r="B4740" s="136" t="s">
        <v>7971</v>
      </c>
      <c r="C4740" s="136" t="s">
        <v>8007</v>
      </c>
      <c r="D4740" s="136" t="s">
        <v>1635</v>
      </c>
      <c r="E4740" s="136" t="s">
        <v>615</v>
      </c>
      <c r="F4740" s="136">
        <v>40</v>
      </c>
      <c r="G4740" s="137">
        <f t="shared" si="18"/>
        <v>27</v>
      </c>
      <c r="H4740" s="137"/>
      <c r="I4740" s="137"/>
      <c r="J4740" s="135"/>
      <c r="K4740" s="135"/>
      <c r="L4740" s="135"/>
      <c r="M4740" s="135"/>
      <c r="N4740" s="135"/>
      <c r="O4740" s="135"/>
      <c r="P4740" s="135"/>
      <c r="Q4740" s="135"/>
      <c r="R4740" s="135"/>
      <c r="S4740" s="135"/>
      <c r="T4740" s="135"/>
      <c r="U4740" s="135"/>
      <c r="V4740" s="135"/>
      <c r="W4740" s="135"/>
      <c r="X4740" s="135"/>
      <c r="Y4740" s="135"/>
      <c r="Z4740" s="135"/>
    </row>
    <row r="4741" spans="1:26" ht="25.5">
      <c r="A4741" s="136" t="s">
        <v>16</v>
      </c>
      <c r="B4741" s="136" t="s">
        <v>7971</v>
      </c>
      <c r="C4741" s="136" t="s">
        <v>8007</v>
      </c>
      <c r="D4741" s="136" t="s">
        <v>1665</v>
      </c>
      <c r="E4741" s="136" t="s">
        <v>615</v>
      </c>
      <c r="F4741" s="136">
        <v>125</v>
      </c>
      <c r="G4741" s="137">
        <f t="shared" si="18"/>
        <v>20</v>
      </c>
      <c r="H4741" s="137"/>
      <c r="I4741" s="137"/>
      <c r="J4741" s="135"/>
      <c r="K4741" s="135"/>
      <c r="L4741" s="135"/>
      <c r="M4741" s="135"/>
      <c r="N4741" s="135"/>
      <c r="O4741" s="135"/>
      <c r="P4741" s="135"/>
      <c r="Q4741" s="135"/>
      <c r="R4741" s="135"/>
      <c r="S4741" s="135"/>
      <c r="T4741" s="135"/>
      <c r="U4741" s="135"/>
      <c r="V4741" s="135"/>
      <c r="W4741" s="135"/>
      <c r="X4741" s="135"/>
      <c r="Y4741" s="135"/>
      <c r="Z4741" s="135"/>
    </row>
    <row r="4742" spans="1:26" ht="25.5">
      <c r="A4742" s="136" t="s">
        <v>16</v>
      </c>
      <c r="B4742" s="136" t="s">
        <v>7971</v>
      </c>
      <c r="C4742" s="136" t="s">
        <v>8007</v>
      </c>
      <c r="D4742" s="136" t="s">
        <v>1604</v>
      </c>
      <c r="E4742" s="136" t="s">
        <v>615</v>
      </c>
      <c r="F4742" s="136">
        <v>350</v>
      </c>
      <c r="G4742" s="137">
        <f t="shared" si="18"/>
        <v>6</v>
      </c>
      <c r="H4742" s="137"/>
      <c r="I4742" s="137"/>
      <c r="J4742" s="135"/>
      <c r="K4742" s="135"/>
      <c r="L4742" s="135"/>
      <c r="M4742" s="135"/>
      <c r="N4742" s="135"/>
      <c r="O4742" s="135"/>
      <c r="P4742" s="135"/>
      <c r="Q4742" s="135"/>
      <c r="R4742" s="135"/>
      <c r="S4742" s="135"/>
      <c r="T4742" s="135"/>
      <c r="U4742" s="135"/>
      <c r="V4742" s="135"/>
      <c r="W4742" s="135"/>
      <c r="X4742" s="135"/>
      <c r="Y4742" s="135"/>
      <c r="Z4742" s="135"/>
    </row>
    <row r="4743" spans="1:26" ht="25.5">
      <c r="A4743" s="136" t="s">
        <v>16</v>
      </c>
      <c r="B4743" s="136" t="s">
        <v>7971</v>
      </c>
      <c r="C4743" s="136" t="s">
        <v>8007</v>
      </c>
      <c r="D4743" s="136" t="s">
        <v>165</v>
      </c>
      <c r="E4743" s="136" t="s">
        <v>615</v>
      </c>
      <c r="F4743" s="136">
        <v>140</v>
      </c>
      <c r="G4743" s="137">
        <f t="shared" si="18"/>
        <v>18</v>
      </c>
      <c r="H4743" s="137"/>
      <c r="I4743" s="137"/>
      <c r="J4743" s="135"/>
      <c r="K4743" s="135"/>
      <c r="L4743" s="135"/>
      <c r="M4743" s="135"/>
      <c r="N4743" s="135"/>
      <c r="O4743" s="135"/>
      <c r="P4743" s="135"/>
      <c r="Q4743" s="135"/>
      <c r="R4743" s="135"/>
      <c r="S4743" s="135"/>
      <c r="T4743" s="135"/>
      <c r="U4743" s="135"/>
      <c r="V4743" s="135"/>
      <c r="W4743" s="135"/>
      <c r="X4743" s="135"/>
      <c r="Y4743" s="135"/>
      <c r="Z4743" s="135"/>
    </row>
    <row r="4744" spans="1:26" ht="25.5">
      <c r="A4744" s="136" t="s">
        <v>16</v>
      </c>
      <c r="B4744" s="136" t="s">
        <v>7971</v>
      </c>
      <c r="C4744" s="136" t="s">
        <v>8007</v>
      </c>
      <c r="D4744" s="136" t="s">
        <v>8000</v>
      </c>
      <c r="E4744" s="136" t="s">
        <v>615</v>
      </c>
      <c r="F4744" s="136">
        <v>630</v>
      </c>
      <c r="G4744" s="137">
        <f t="shared" si="18"/>
        <v>2</v>
      </c>
      <c r="H4744" s="137"/>
      <c r="I4744" s="137"/>
      <c r="J4744" s="135"/>
      <c r="K4744" s="135"/>
      <c r="L4744" s="135"/>
      <c r="M4744" s="135"/>
      <c r="N4744" s="135"/>
      <c r="O4744" s="135"/>
      <c r="P4744" s="135"/>
      <c r="Q4744" s="135"/>
      <c r="R4744" s="135"/>
      <c r="S4744" s="135"/>
      <c r="T4744" s="135"/>
      <c r="U4744" s="135"/>
      <c r="V4744" s="135"/>
      <c r="W4744" s="135"/>
      <c r="X4744" s="135"/>
      <c r="Y4744" s="135"/>
      <c r="Z4744" s="135"/>
    </row>
    <row r="4745" spans="1:26" ht="25.5">
      <c r="A4745" s="136" t="s">
        <v>16</v>
      </c>
      <c r="B4745" s="136" t="s">
        <v>7971</v>
      </c>
      <c r="C4745" s="136" t="s">
        <v>8007</v>
      </c>
      <c r="D4745" s="136" t="s">
        <v>7999</v>
      </c>
      <c r="E4745" s="136" t="s">
        <v>615</v>
      </c>
      <c r="F4745" s="136">
        <v>191</v>
      </c>
      <c r="G4745" s="137">
        <f t="shared" si="18"/>
        <v>14</v>
      </c>
      <c r="H4745" s="137"/>
      <c r="I4745" s="137"/>
      <c r="J4745" s="135"/>
      <c r="K4745" s="135"/>
      <c r="L4745" s="135"/>
      <c r="M4745" s="135"/>
      <c r="N4745" s="135"/>
      <c r="O4745" s="135"/>
      <c r="P4745" s="135"/>
      <c r="Q4745" s="135"/>
      <c r="R4745" s="135"/>
      <c r="S4745" s="135"/>
      <c r="T4745" s="135"/>
      <c r="U4745" s="135"/>
      <c r="V4745" s="135"/>
      <c r="W4745" s="135"/>
      <c r="X4745" s="135"/>
      <c r="Y4745" s="135"/>
      <c r="Z4745" s="135"/>
    </row>
    <row r="4746" spans="1:26" ht="25.5">
      <c r="A4746" s="136" t="s">
        <v>16</v>
      </c>
      <c r="B4746" s="136" t="s">
        <v>7971</v>
      </c>
      <c r="C4746" s="136" t="s">
        <v>8007</v>
      </c>
      <c r="D4746" s="136" t="s">
        <v>136</v>
      </c>
      <c r="E4746" s="136" t="s">
        <v>615</v>
      </c>
      <c r="F4746" s="136">
        <v>200</v>
      </c>
      <c r="G4746" s="137">
        <f t="shared" si="18"/>
        <v>13</v>
      </c>
      <c r="H4746" s="137"/>
      <c r="I4746" s="137"/>
      <c r="J4746" s="135"/>
      <c r="K4746" s="135"/>
      <c r="L4746" s="135"/>
      <c r="M4746" s="135"/>
      <c r="N4746" s="135"/>
      <c r="O4746" s="135"/>
      <c r="P4746" s="135"/>
      <c r="Q4746" s="135"/>
      <c r="R4746" s="135"/>
      <c r="S4746" s="135"/>
      <c r="T4746" s="135"/>
      <c r="U4746" s="135"/>
      <c r="V4746" s="135"/>
      <c r="W4746" s="135"/>
      <c r="X4746" s="135"/>
      <c r="Y4746" s="135"/>
      <c r="Z4746" s="135"/>
    </row>
    <row r="4747" spans="1:26" ht="25.5">
      <c r="A4747" s="136" t="s">
        <v>16</v>
      </c>
      <c r="B4747" s="136" t="s">
        <v>7971</v>
      </c>
      <c r="C4747" s="136" t="s">
        <v>8007</v>
      </c>
      <c r="D4747" s="136" t="s">
        <v>8008</v>
      </c>
      <c r="E4747" s="136" t="s">
        <v>615</v>
      </c>
      <c r="F4747" s="136">
        <v>135</v>
      </c>
      <c r="G4747" s="137">
        <f t="shared" si="18"/>
        <v>19</v>
      </c>
      <c r="H4747" s="137"/>
      <c r="I4747" s="137"/>
      <c r="J4747" s="135"/>
      <c r="K4747" s="135"/>
      <c r="L4747" s="135"/>
      <c r="M4747" s="135"/>
      <c r="N4747" s="135"/>
      <c r="O4747" s="135"/>
      <c r="P4747" s="135"/>
      <c r="Q4747" s="135"/>
      <c r="R4747" s="135"/>
      <c r="S4747" s="135"/>
      <c r="T4747" s="135"/>
      <c r="U4747" s="135"/>
      <c r="V4747" s="135"/>
      <c r="W4747" s="135"/>
      <c r="X4747" s="135"/>
      <c r="Y4747" s="135"/>
      <c r="Z4747" s="135"/>
    </row>
    <row r="4748" spans="1:26" ht="25.5">
      <c r="A4748" s="136" t="s">
        <v>16</v>
      </c>
      <c r="B4748" s="136" t="s">
        <v>7971</v>
      </c>
      <c r="C4748" s="136" t="s">
        <v>8007</v>
      </c>
      <c r="D4748" s="136" t="s">
        <v>7544</v>
      </c>
      <c r="E4748" s="136" t="s">
        <v>615</v>
      </c>
      <c r="F4748" s="136">
        <v>165</v>
      </c>
      <c r="G4748" s="137">
        <f t="shared" si="18"/>
        <v>17</v>
      </c>
      <c r="H4748" s="137"/>
      <c r="I4748" s="137"/>
      <c r="J4748" s="135"/>
      <c r="K4748" s="135"/>
      <c r="L4748" s="135"/>
      <c r="M4748" s="135"/>
      <c r="N4748" s="135"/>
      <c r="O4748" s="135"/>
      <c r="P4748" s="135"/>
      <c r="Q4748" s="135"/>
      <c r="R4748" s="135"/>
      <c r="S4748" s="135"/>
      <c r="T4748" s="135"/>
      <c r="U4748" s="135"/>
      <c r="V4748" s="135"/>
      <c r="W4748" s="135"/>
      <c r="X4748" s="135"/>
      <c r="Y4748" s="135"/>
      <c r="Z4748" s="135"/>
    </row>
    <row r="4749" spans="1:26" ht="25.5">
      <c r="A4749" s="136" t="s">
        <v>16</v>
      </c>
      <c r="B4749" s="136" t="s">
        <v>7971</v>
      </c>
      <c r="C4749" s="136" t="s">
        <v>8007</v>
      </c>
      <c r="D4749" s="136" t="s">
        <v>1656</v>
      </c>
      <c r="E4749" s="136" t="s">
        <v>615</v>
      </c>
      <c r="F4749" s="136">
        <v>286</v>
      </c>
      <c r="G4749" s="137">
        <f t="shared" si="18"/>
        <v>9</v>
      </c>
      <c r="H4749" s="137"/>
      <c r="I4749" s="137"/>
      <c r="J4749" s="135"/>
      <c r="K4749" s="135"/>
      <c r="L4749" s="135"/>
      <c r="M4749" s="135"/>
      <c r="N4749" s="135"/>
      <c r="O4749" s="135"/>
      <c r="P4749" s="135"/>
      <c r="Q4749" s="135"/>
      <c r="R4749" s="135"/>
      <c r="S4749" s="135"/>
      <c r="T4749" s="135"/>
      <c r="U4749" s="135"/>
      <c r="V4749" s="135"/>
      <c r="W4749" s="135"/>
      <c r="X4749" s="135"/>
      <c r="Y4749" s="135"/>
      <c r="Z4749" s="135"/>
    </row>
    <row r="4750" spans="1:26" ht="25.5">
      <c r="A4750" s="136" t="s">
        <v>16</v>
      </c>
      <c r="B4750" s="136" t="s">
        <v>7971</v>
      </c>
      <c r="C4750" s="136" t="s">
        <v>8007</v>
      </c>
      <c r="D4750" s="136" t="s">
        <v>120</v>
      </c>
      <c r="E4750" s="136" t="s">
        <v>615</v>
      </c>
      <c r="F4750" s="136">
        <v>69</v>
      </c>
      <c r="G4750" s="137">
        <f t="shared" si="18"/>
        <v>24</v>
      </c>
      <c r="H4750" s="137"/>
      <c r="I4750" s="137"/>
      <c r="J4750" s="135"/>
      <c r="K4750" s="135"/>
      <c r="L4750" s="135"/>
      <c r="M4750" s="135"/>
      <c r="N4750" s="135"/>
      <c r="O4750" s="135"/>
      <c r="P4750" s="135"/>
      <c r="Q4750" s="135"/>
      <c r="R4750" s="135"/>
      <c r="S4750" s="135"/>
      <c r="T4750" s="135"/>
      <c r="U4750" s="135"/>
      <c r="V4750" s="135"/>
      <c r="W4750" s="135"/>
      <c r="X4750" s="135"/>
      <c r="Y4750" s="135"/>
      <c r="Z4750" s="135"/>
    </row>
    <row r="4751" spans="1:26" ht="25.5">
      <c r="A4751" s="136" t="s">
        <v>16</v>
      </c>
      <c r="B4751" s="136" t="s">
        <v>7971</v>
      </c>
      <c r="C4751" s="136" t="s">
        <v>8007</v>
      </c>
      <c r="D4751" s="136" t="s">
        <v>7786</v>
      </c>
      <c r="E4751" s="136" t="s">
        <v>615</v>
      </c>
      <c r="F4751" s="136">
        <v>45</v>
      </c>
      <c r="G4751" s="137">
        <f t="shared" si="18"/>
        <v>26</v>
      </c>
      <c r="H4751" s="137"/>
      <c r="I4751" s="137"/>
      <c r="J4751" s="135"/>
      <c r="K4751" s="135"/>
      <c r="L4751" s="135"/>
      <c r="M4751" s="135"/>
      <c r="N4751" s="135"/>
      <c r="O4751" s="135"/>
      <c r="P4751" s="135"/>
      <c r="Q4751" s="135"/>
      <c r="R4751" s="135"/>
      <c r="S4751" s="135"/>
      <c r="T4751" s="135"/>
      <c r="U4751" s="135"/>
      <c r="V4751" s="135"/>
      <c r="W4751" s="135"/>
      <c r="X4751" s="135"/>
      <c r="Y4751" s="135"/>
      <c r="Z4751" s="135"/>
    </row>
    <row r="4752" spans="1:26" ht="25.5">
      <c r="A4752" s="136" t="s">
        <v>16</v>
      </c>
      <c r="B4752" s="136" t="s">
        <v>7971</v>
      </c>
      <c r="C4752" s="136" t="s">
        <v>8007</v>
      </c>
      <c r="D4752" s="136" t="s">
        <v>7985</v>
      </c>
      <c r="E4752" s="136" t="s">
        <v>615</v>
      </c>
      <c r="F4752" s="136">
        <v>115</v>
      </c>
      <c r="G4752" s="137">
        <f t="shared" si="18"/>
        <v>21</v>
      </c>
      <c r="H4752" s="137"/>
      <c r="I4752" s="137"/>
      <c r="J4752" s="135"/>
      <c r="K4752" s="135"/>
      <c r="L4752" s="135"/>
      <c r="M4752" s="135"/>
      <c r="N4752" s="135"/>
      <c r="O4752" s="135"/>
      <c r="P4752" s="135"/>
      <c r="Q4752" s="135"/>
      <c r="R4752" s="135"/>
      <c r="S4752" s="135"/>
      <c r="T4752" s="135"/>
      <c r="U4752" s="135"/>
      <c r="V4752" s="135"/>
      <c r="W4752" s="135"/>
      <c r="X4752" s="135"/>
      <c r="Y4752" s="135"/>
      <c r="Z4752" s="135"/>
    </row>
    <row r="4753" spans="1:26" ht="25.5">
      <c r="A4753" s="136" t="s">
        <v>16</v>
      </c>
      <c r="B4753" s="136" t="s">
        <v>7971</v>
      </c>
      <c r="C4753" s="136" t="s">
        <v>8007</v>
      </c>
      <c r="D4753" s="136" t="s">
        <v>1680</v>
      </c>
      <c r="E4753" s="136" t="s">
        <v>615</v>
      </c>
      <c r="F4753" s="136">
        <v>50</v>
      </c>
      <c r="G4753" s="137">
        <f t="shared" si="18"/>
        <v>25</v>
      </c>
      <c r="H4753" s="137"/>
      <c r="I4753" s="137"/>
      <c r="J4753" s="135"/>
      <c r="K4753" s="135"/>
      <c r="L4753" s="135"/>
      <c r="M4753" s="135"/>
      <c r="N4753" s="135"/>
      <c r="O4753" s="135"/>
      <c r="P4753" s="135"/>
      <c r="Q4753" s="135"/>
      <c r="R4753" s="135"/>
      <c r="S4753" s="135"/>
      <c r="T4753" s="135"/>
      <c r="U4753" s="135"/>
      <c r="V4753" s="135"/>
      <c r="W4753" s="135"/>
      <c r="X4753" s="135"/>
      <c r="Y4753" s="135"/>
      <c r="Z4753" s="135"/>
    </row>
    <row r="4754" spans="1:26" ht="25.5">
      <c r="A4754" s="136" t="s">
        <v>16</v>
      </c>
      <c r="B4754" s="136" t="s">
        <v>7971</v>
      </c>
      <c r="C4754" s="136" t="s">
        <v>8007</v>
      </c>
      <c r="D4754" s="136" t="s">
        <v>107</v>
      </c>
      <c r="E4754" s="136" t="s">
        <v>615</v>
      </c>
      <c r="F4754" s="136">
        <v>180</v>
      </c>
      <c r="G4754" s="137">
        <f t="shared" si="18"/>
        <v>15</v>
      </c>
      <c r="H4754" s="137"/>
      <c r="I4754" s="137"/>
      <c r="J4754" s="135"/>
      <c r="K4754" s="135"/>
      <c r="L4754" s="135"/>
      <c r="M4754" s="135"/>
      <c r="N4754" s="135"/>
      <c r="O4754" s="135"/>
      <c r="P4754" s="135"/>
      <c r="Q4754" s="135"/>
      <c r="R4754" s="135"/>
      <c r="S4754" s="135"/>
      <c r="T4754" s="135"/>
      <c r="U4754" s="135"/>
      <c r="V4754" s="135"/>
      <c r="W4754" s="135"/>
      <c r="X4754" s="135"/>
      <c r="Y4754" s="135"/>
      <c r="Z4754" s="135"/>
    </row>
    <row r="4755" spans="1:26" ht="25.5">
      <c r="A4755" s="136" t="s">
        <v>16</v>
      </c>
      <c r="B4755" s="136" t="s">
        <v>7971</v>
      </c>
      <c r="C4755" s="136" t="s">
        <v>8007</v>
      </c>
      <c r="D4755" s="136" t="s">
        <v>7481</v>
      </c>
      <c r="E4755" s="136" t="s">
        <v>615</v>
      </c>
      <c r="F4755" s="136">
        <v>232</v>
      </c>
      <c r="G4755" s="137">
        <f t="shared" si="18"/>
        <v>11</v>
      </c>
      <c r="H4755" s="137"/>
      <c r="I4755" s="137"/>
      <c r="J4755" s="135"/>
      <c r="K4755" s="135"/>
      <c r="L4755" s="135"/>
      <c r="M4755" s="135"/>
      <c r="N4755" s="135"/>
      <c r="O4755" s="135"/>
      <c r="P4755" s="135"/>
      <c r="Q4755" s="135"/>
      <c r="R4755" s="135"/>
      <c r="S4755" s="135"/>
      <c r="T4755" s="135"/>
      <c r="U4755" s="135"/>
      <c r="V4755" s="135"/>
      <c r="W4755" s="135"/>
      <c r="X4755" s="135"/>
      <c r="Y4755" s="135"/>
      <c r="Z4755" s="135"/>
    </row>
    <row r="4756" spans="1:26" ht="25.5">
      <c r="A4756" s="136" t="s">
        <v>16</v>
      </c>
      <c r="B4756" s="136" t="s">
        <v>7971</v>
      </c>
      <c r="C4756" s="136" t="s">
        <v>8007</v>
      </c>
      <c r="D4756" s="136" t="s">
        <v>114</v>
      </c>
      <c r="E4756" s="136" t="s">
        <v>85</v>
      </c>
      <c r="F4756" s="136">
        <v>82</v>
      </c>
      <c r="G4756" s="137">
        <f t="shared" si="18"/>
        <v>23</v>
      </c>
      <c r="H4756" s="137"/>
      <c r="I4756" s="137"/>
      <c r="J4756" s="135"/>
      <c r="K4756" s="135"/>
      <c r="L4756" s="135"/>
      <c r="M4756" s="135"/>
      <c r="N4756" s="135"/>
      <c r="O4756" s="135"/>
      <c r="P4756" s="135"/>
      <c r="Q4756" s="135"/>
      <c r="R4756" s="135"/>
      <c r="S4756" s="135"/>
      <c r="T4756" s="135"/>
      <c r="U4756" s="135"/>
      <c r="V4756" s="135"/>
      <c r="W4756" s="135"/>
      <c r="X4756" s="135"/>
      <c r="Y4756" s="135"/>
      <c r="Z4756" s="135"/>
    </row>
    <row r="4757" spans="1:26" ht="25.5">
      <c r="A4757" s="136" t="s">
        <v>16</v>
      </c>
      <c r="B4757" s="136" t="s">
        <v>7971</v>
      </c>
      <c r="C4757" s="136" t="s">
        <v>8007</v>
      </c>
      <c r="D4757" s="136" t="s">
        <v>1666</v>
      </c>
      <c r="E4757" s="136" t="s">
        <v>85</v>
      </c>
      <c r="F4757" s="136">
        <v>15</v>
      </c>
      <c r="G4757" s="137">
        <f t="shared" si="18"/>
        <v>29</v>
      </c>
      <c r="H4757" s="137"/>
      <c r="I4757" s="137"/>
      <c r="J4757" s="135"/>
      <c r="K4757" s="135"/>
      <c r="L4757" s="135"/>
      <c r="M4757" s="135"/>
      <c r="N4757" s="135"/>
      <c r="O4757" s="135"/>
      <c r="P4757" s="135"/>
      <c r="Q4757" s="135"/>
      <c r="R4757" s="135"/>
      <c r="S4757" s="135"/>
      <c r="T4757" s="135"/>
      <c r="U4757" s="135"/>
      <c r="V4757" s="135"/>
      <c r="W4757" s="135"/>
      <c r="X4757" s="135"/>
      <c r="Y4757" s="135"/>
      <c r="Z4757" s="135"/>
    </row>
    <row r="4758" spans="1:26" ht="25.5">
      <c r="A4758" s="136" t="s">
        <v>16</v>
      </c>
      <c r="B4758" s="136" t="s">
        <v>7971</v>
      </c>
      <c r="C4758" s="136" t="s">
        <v>8007</v>
      </c>
      <c r="D4758" s="136" t="s">
        <v>467</v>
      </c>
      <c r="E4758" s="136" t="s">
        <v>85</v>
      </c>
      <c r="F4758" s="136">
        <v>25</v>
      </c>
      <c r="G4758" s="137">
        <f t="shared" si="18"/>
        <v>28</v>
      </c>
      <c r="H4758" s="137"/>
      <c r="I4758" s="137"/>
      <c r="J4758" s="135"/>
      <c r="K4758" s="135"/>
      <c r="L4758" s="135"/>
      <c r="M4758" s="135"/>
      <c r="N4758" s="135"/>
      <c r="O4758" s="135"/>
      <c r="P4758" s="135"/>
      <c r="Q4758" s="135"/>
      <c r="R4758" s="135"/>
      <c r="S4758" s="135"/>
      <c r="T4758" s="135"/>
      <c r="U4758" s="135"/>
      <c r="V4758" s="135"/>
      <c r="W4758" s="135"/>
      <c r="X4758" s="135"/>
      <c r="Y4758" s="135"/>
      <c r="Z4758" s="135"/>
    </row>
    <row r="4759" spans="1:26" ht="25.5">
      <c r="A4759" s="136" t="s">
        <v>16</v>
      </c>
      <c r="B4759" s="136" t="s">
        <v>7971</v>
      </c>
      <c r="C4759" s="136" t="s">
        <v>8007</v>
      </c>
      <c r="D4759" s="136" t="s">
        <v>1682</v>
      </c>
      <c r="E4759" s="136" t="s">
        <v>86</v>
      </c>
      <c r="F4759" s="136">
        <v>5</v>
      </c>
      <c r="G4759" s="137">
        <f t="shared" si="18"/>
        <v>30</v>
      </c>
      <c r="H4759" s="137"/>
      <c r="I4759" s="137"/>
      <c r="J4759" s="135"/>
      <c r="K4759" s="135"/>
      <c r="L4759" s="135"/>
      <c r="M4759" s="135"/>
      <c r="N4759" s="135"/>
      <c r="O4759" s="135"/>
      <c r="P4759" s="135"/>
      <c r="Q4759" s="135"/>
      <c r="R4759" s="135"/>
      <c r="S4759" s="135"/>
      <c r="T4759" s="135"/>
      <c r="U4759" s="135"/>
      <c r="V4759" s="135"/>
      <c r="W4759" s="135"/>
      <c r="X4759" s="135"/>
      <c r="Y4759" s="135"/>
      <c r="Z4759" s="135"/>
    </row>
    <row r="4760" spans="1:26" ht="25.5">
      <c r="A4760" s="136" t="s">
        <v>16</v>
      </c>
      <c r="B4760" s="136" t="s">
        <v>7971</v>
      </c>
      <c r="C4760" s="136" t="s">
        <v>8009</v>
      </c>
      <c r="D4760" s="136" t="s">
        <v>139</v>
      </c>
      <c r="E4760" s="136" t="s">
        <v>594</v>
      </c>
      <c r="F4760" s="136">
        <v>440</v>
      </c>
      <c r="G4760" s="137">
        <f t="shared" si="18"/>
        <v>6</v>
      </c>
      <c r="H4760" s="137"/>
      <c r="I4760" s="137"/>
      <c r="J4760" s="135"/>
      <c r="K4760" s="135"/>
      <c r="L4760" s="135"/>
      <c r="M4760" s="135"/>
      <c r="N4760" s="135"/>
      <c r="O4760" s="135"/>
      <c r="P4760" s="135"/>
      <c r="Q4760" s="135"/>
      <c r="R4760" s="135"/>
      <c r="S4760" s="135"/>
      <c r="T4760" s="135"/>
      <c r="U4760" s="135"/>
      <c r="V4760" s="135"/>
      <c r="W4760" s="135"/>
      <c r="X4760" s="135"/>
      <c r="Y4760" s="135"/>
      <c r="Z4760" s="135"/>
    </row>
    <row r="4761" spans="1:26" ht="25.5">
      <c r="A4761" s="136" t="s">
        <v>16</v>
      </c>
      <c r="B4761" s="136" t="s">
        <v>7971</v>
      </c>
      <c r="C4761" s="136" t="s">
        <v>8009</v>
      </c>
      <c r="D4761" s="136" t="s">
        <v>368</v>
      </c>
      <c r="E4761" s="136" t="s">
        <v>594</v>
      </c>
      <c r="F4761" s="136">
        <v>186</v>
      </c>
      <c r="G4761" s="137">
        <f t="shared" si="18"/>
        <v>11</v>
      </c>
      <c r="H4761" s="137"/>
      <c r="I4761" s="137"/>
      <c r="J4761" s="135"/>
      <c r="K4761" s="135"/>
      <c r="L4761" s="135"/>
      <c r="M4761" s="135"/>
      <c r="N4761" s="135"/>
      <c r="O4761" s="135"/>
      <c r="P4761" s="135"/>
      <c r="Q4761" s="135"/>
      <c r="R4761" s="135"/>
      <c r="S4761" s="135"/>
      <c r="T4761" s="135"/>
      <c r="U4761" s="135"/>
      <c r="V4761" s="135"/>
      <c r="W4761" s="135"/>
      <c r="X4761" s="135"/>
      <c r="Y4761" s="135"/>
      <c r="Z4761" s="135"/>
    </row>
    <row r="4762" spans="1:26" ht="25.5">
      <c r="A4762" s="136" t="s">
        <v>16</v>
      </c>
      <c r="B4762" s="136" t="s">
        <v>7971</v>
      </c>
      <c r="C4762" s="136" t="s">
        <v>8009</v>
      </c>
      <c r="D4762" s="136" t="s">
        <v>1626</v>
      </c>
      <c r="E4762" s="136" t="s">
        <v>594</v>
      </c>
      <c r="F4762" s="136">
        <v>110</v>
      </c>
      <c r="G4762" s="137">
        <f t="shared" si="18"/>
        <v>17</v>
      </c>
      <c r="H4762" s="137"/>
      <c r="I4762" s="137"/>
      <c r="J4762" s="135"/>
      <c r="K4762" s="135"/>
      <c r="L4762" s="135"/>
      <c r="M4762" s="135"/>
      <c r="N4762" s="135"/>
      <c r="O4762" s="135"/>
      <c r="P4762" s="135"/>
      <c r="Q4762" s="135"/>
      <c r="R4762" s="135"/>
      <c r="S4762" s="135"/>
      <c r="T4762" s="135"/>
      <c r="U4762" s="135"/>
      <c r="V4762" s="135"/>
      <c r="W4762" s="135"/>
      <c r="X4762" s="135"/>
      <c r="Y4762" s="135"/>
      <c r="Z4762" s="135"/>
    </row>
    <row r="4763" spans="1:26" ht="25.5">
      <c r="A4763" s="136" t="s">
        <v>16</v>
      </c>
      <c r="B4763" s="136" t="s">
        <v>7971</v>
      </c>
      <c r="C4763" s="136" t="s">
        <v>8009</v>
      </c>
      <c r="D4763" s="136" t="s">
        <v>1656</v>
      </c>
      <c r="E4763" s="136" t="s">
        <v>594</v>
      </c>
      <c r="F4763" s="136">
        <v>133</v>
      </c>
      <c r="G4763" s="137">
        <f t="shared" si="18"/>
        <v>14</v>
      </c>
      <c r="H4763" s="137"/>
      <c r="I4763" s="137"/>
      <c r="J4763" s="135"/>
      <c r="K4763" s="135"/>
      <c r="L4763" s="135"/>
      <c r="M4763" s="135"/>
      <c r="N4763" s="135"/>
      <c r="O4763" s="135"/>
      <c r="P4763" s="135"/>
      <c r="Q4763" s="135"/>
      <c r="R4763" s="135"/>
      <c r="S4763" s="135"/>
      <c r="T4763" s="135"/>
      <c r="U4763" s="135"/>
      <c r="V4763" s="135"/>
      <c r="W4763" s="135"/>
      <c r="X4763" s="135"/>
      <c r="Y4763" s="135"/>
      <c r="Z4763" s="135"/>
    </row>
    <row r="4764" spans="1:26" ht="25.5">
      <c r="A4764" s="136" t="s">
        <v>16</v>
      </c>
      <c r="B4764" s="136" t="s">
        <v>7971</v>
      </c>
      <c r="C4764" s="136" t="s">
        <v>8009</v>
      </c>
      <c r="D4764" s="136" t="s">
        <v>103</v>
      </c>
      <c r="E4764" s="136" t="s">
        <v>594</v>
      </c>
      <c r="F4764" s="136">
        <v>70</v>
      </c>
      <c r="G4764" s="137">
        <f t="shared" si="18"/>
        <v>25</v>
      </c>
      <c r="H4764" s="137"/>
      <c r="I4764" s="137"/>
      <c r="J4764" s="135"/>
      <c r="K4764" s="135"/>
      <c r="L4764" s="135"/>
      <c r="M4764" s="135"/>
      <c r="N4764" s="135"/>
      <c r="O4764" s="135"/>
      <c r="P4764" s="135"/>
      <c r="Q4764" s="135"/>
      <c r="R4764" s="135"/>
      <c r="S4764" s="135"/>
      <c r="T4764" s="135"/>
      <c r="U4764" s="135"/>
      <c r="V4764" s="135"/>
      <c r="W4764" s="135"/>
      <c r="X4764" s="135"/>
      <c r="Y4764" s="135"/>
      <c r="Z4764" s="135"/>
    </row>
    <row r="4765" spans="1:26" ht="25.5">
      <c r="A4765" s="136" t="s">
        <v>16</v>
      </c>
      <c r="B4765" s="136" t="s">
        <v>7971</v>
      </c>
      <c r="C4765" s="136" t="s">
        <v>8009</v>
      </c>
      <c r="D4765" s="136" t="s">
        <v>131</v>
      </c>
      <c r="E4765" s="136" t="s">
        <v>594</v>
      </c>
      <c r="F4765" s="136">
        <v>43</v>
      </c>
      <c r="G4765" s="137">
        <f t="shared" si="18"/>
        <v>28</v>
      </c>
      <c r="H4765" s="137"/>
      <c r="I4765" s="137"/>
      <c r="J4765" s="135"/>
      <c r="K4765" s="135"/>
      <c r="L4765" s="135"/>
      <c r="M4765" s="135"/>
      <c r="N4765" s="135"/>
      <c r="O4765" s="135"/>
      <c r="P4765" s="135"/>
      <c r="Q4765" s="135"/>
      <c r="R4765" s="135"/>
      <c r="S4765" s="135"/>
      <c r="T4765" s="135"/>
      <c r="U4765" s="135"/>
      <c r="V4765" s="135"/>
      <c r="W4765" s="135"/>
      <c r="X4765" s="135"/>
      <c r="Y4765" s="135"/>
      <c r="Z4765" s="135"/>
    </row>
    <row r="4766" spans="1:26" ht="25.5">
      <c r="A4766" s="136" t="s">
        <v>16</v>
      </c>
      <c r="B4766" s="136" t="s">
        <v>7971</v>
      </c>
      <c r="C4766" s="136" t="s">
        <v>8009</v>
      </c>
      <c r="D4766" s="136" t="s">
        <v>437</v>
      </c>
      <c r="E4766" s="136" t="s">
        <v>594</v>
      </c>
      <c r="F4766" s="136">
        <v>101</v>
      </c>
      <c r="G4766" s="137">
        <f t="shared" si="18"/>
        <v>19</v>
      </c>
      <c r="H4766" s="137"/>
      <c r="I4766" s="137"/>
      <c r="J4766" s="135"/>
      <c r="K4766" s="135"/>
      <c r="L4766" s="135"/>
      <c r="M4766" s="135"/>
      <c r="N4766" s="135"/>
      <c r="O4766" s="135"/>
      <c r="P4766" s="135"/>
      <c r="Q4766" s="135"/>
      <c r="R4766" s="135"/>
      <c r="S4766" s="135"/>
      <c r="T4766" s="135"/>
      <c r="U4766" s="135"/>
      <c r="V4766" s="135"/>
      <c r="W4766" s="135"/>
      <c r="X4766" s="135"/>
      <c r="Y4766" s="135"/>
      <c r="Z4766" s="135"/>
    </row>
    <row r="4767" spans="1:26" ht="25.5">
      <c r="A4767" s="136" t="s">
        <v>16</v>
      </c>
      <c r="B4767" s="136" t="s">
        <v>7971</v>
      </c>
      <c r="C4767" s="136" t="s">
        <v>8009</v>
      </c>
      <c r="D4767" s="136" t="s">
        <v>433</v>
      </c>
      <c r="E4767" s="136" t="s">
        <v>594</v>
      </c>
      <c r="F4767" s="136">
        <v>47</v>
      </c>
      <c r="G4767" s="137">
        <f t="shared" si="18"/>
        <v>27</v>
      </c>
      <c r="H4767" s="137"/>
      <c r="I4767" s="137"/>
      <c r="J4767" s="135"/>
      <c r="K4767" s="135"/>
      <c r="L4767" s="135"/>
      <c r="M4767" s="135"/>
      <c r="N4767" s="135"/>
      <c r="O4767" s="135"/>
      <c r="P4767" s="135"/>
      <c r="Q4767" s="135"/>
      <c r="R4767" s="135"/>
      <c r="S4767" s="135"/>
      <c r="T4767" s="135"/>
      <c r="U4767" s="135"/>
      <c r="V4767" s="135"/>
      <c r="W4767" s="135"/>
      <c r="X4767" s="135"/>
      <c r="Y4767" s="135"/>
      <c r="Z4767" s="135"/>
    </row>
    <row r="4768" spans="1:26" ht="25.5">
      <c r="A4768" s="136" t="s">
        <v>16</v>
      </c>
      <c r="B4768" s="136" t="s">
        <v>7971</v>
      </c>
      <c r="C4768" s="136" t="s">
        <v>8009</v>
      </c>
      <c r="D4768" s="136" t="s">
        <v>1674</v>
      </c>
      <c r="E4768" s="136" t="s">
        <v>615</v>
      </c>
      <c r="F4768" s="136">
        <v>95</v>
      </c>
      <c r="G4768" s="137">
        <f t="shared" si="18"/>
        <v>22</v>
      </c>
      <c r="H4768" s="137"/>
      <c r="I4768" s="137"/>
      <c r="J4768" s="135"/>
      <c r="K4768" s="135"/>
      <c r="L4768" s="135"/>
      <c r="M4768" s="135"/>
      <c r="N4768" s="135"/>
      <c r="O4768" s="135"/>
      <c r="P4768" s="135"/>
      <c r="Q4768" s="135"/>
      <c r="R4768" s="135"/>
      <c r="S4768" s="135"/>
      <c r="T4768" s="135"/>
      <c r="U4768" s="135"/>
      <c r="V4768" s="135"/>
      <c r="W4768" s="135"/>
      <c r="X4768" s="135"/>
      <c r="Y4768" s="135"/>
      <c r="Z4768" s="135"/>
    </row>
    <row r="4769" spans="1:26" ht="25.5">
      <c r="A4769" s="136" t="s">
        <v>16</v>
      </c>
      <c r="B4769" s="136" t="s">
        <v>7971</v>
      </c>
      <c r="C4769" s="136" t="s">
        <v>8009</v>
      </c>
      <c r="D4769" s="136" t="s">
        <v>158</v>
      </c>
      <c r="E4769" s="136" t="s">
        <v>615</v>
      </c>
      <c r="F4769" s="136">
        <v>840</v>
      </c>
      <c r="G4769" s="137">
        <f t="shared" si="18"/>
        <v>2</v>
      </c>
      <c r="H4769" s="137"/>
      <c r="I4769" s="137"/>
      <c r="J4769" s="135"/>
      <c r="K4769" s="135"/>
      <c r="L4769" s="135"/>
      <c r="M4769" s="135"/>
      <c r="N4769" s="135"/>
      <c r="O4769" s="135"/>
      <c r="P4769" s="135"/>
      <c r="Q4769" s="135"/>
      <c r="R4769" s="135"/>
      <c r="S4769" s="135"/>
      <c r="T4769" s="135"/>
      <c r="U4769" s="135"/>
      <c r="V4769" s="135"/>
      <c r="W4769" s="135"/>
      <c r="X4769" s="135"/>
      <c r="Y4769" s="135"/>
      <c r="Z4769" s="135"/>
    </row>
    <row r="4770" spans="1:26" ht="25.5">
      <c r="A4770" s="136" t="s">
        <v>16</v>
      </c>
      <c r="B4770" s="136" t="s">
        <v>7971</v>
      </c>
      <c r="C4770" s="136" t="s">
        <v>8009</v>
      </c>
      <c r="D4770" s="136" t="s">
        <v>1665</v>
      </c>
      <c r="E4770" s="136" t="s">
        <v>615</v>
      </c>
      <c r="F4770" s="136">
        <v>355</v>
      </c>
      <c r="G4770" s="137">
        <f t="shared" si="18"/>
        <v>7</v>
      </c>
      <c r="H4770" s="137"/>
      <c r="I4770" s="137"/>
      <c r="J4770" s="135"/>
      <c r="K4770" s="135"/>
      <c r="L4770" s="135"/>
      <c r="M4770" s="135"/>
      <c r="N4770" s="135"/>
      <c r="O4770" s="135"/>
      <c r="P4770" s="135"/>
      <c r="Q4770" s="135"/>
      <c r="R4770" s="135"/>
      <c r="S4770" s="135"/>
      <c r="T4770" s="135"/>
      <c r="U4770" s="135"/>
      <c r="V4770" s="135"/>
      <c r="W4770" s="135"/>
      <c r="X4770" s="135"/>
      <c r="Y4770" s="135"/>
      <c r="Z4770" s="135"/>
    </row>
    <row r="4771" spans="1:26" ht="38.25">
      <c r="A4771" s="136" t="s">
        <v>16</v>
      </c>
      <c r="B4771" s="136" t="s">
        <v>7971</v>
      </c>
      <c r="C4771" s="136" t="s">
        <v>8009</v>
      </c>
      <c r="D4771" s="136" t="s">
        <v>8010</v>
      </c>
      <c r="E4771" s="136" t="s">
        <v>615</v>
      </c>
      <c r="F4771" s="136">
        <v>3680</v>
      </c>
      <c r="G4771" s="137">
        <f t="shared" si="18"/>
        <v>1</v>
      </c>
      <c r="H4771" s="137"/>
      <c r="I4771" s="137"/>
      <c r="J4771" s="135"/>
      <c r="K4771" s="135"/>
      <c r="L4771" s="135"/>
      <c r="M4771" s="135"/>
      <c r="N4771" s="135"/>
      <c r="O4771" s="135"/>
      <c r="P4771" s="135"/>
      <c r="Q4771" s="135"/>
      <c r="R4771" s="135"/>
      <c r="S4771" s="135"/>
      <c r="T4771" s="135"/>
      <c r="U4771" s="135"/>
      <c r="V4771" s="135"/>
      <c r="W4771" s="135"/>
      <c r="X4771" s="135"/>
      <c r="Y4771" s="135"/>
      <c r="Z4771" s="135"/>
    </row>
    <row r="4772" spans="1:26" ht="25.5">
      <c r="A4772" s="136" t="s">
        <v>16</v>
      </c>
      <c r="B4772" s="136" t="s">
        <v>7971</v>
      </c>
      <c r="C4772" s="136" t="s">
        <v>8009</v>
      </c>
      <c r="D4772" s="136" t="s">
        <v>165</v>
      </c>
      <c r="E4772" s="136" t="s">
        <v>615</v>
      </c>
      <c r="F4772" s="136">
        <v>140</v>
      </c>
      <c r="G4772" s="137">
        <f t="shared" si="18"/>
        <v>13</v>
      </c>
      <c r="H4772" s="137"/>
      <c r="I4772" s="137"/>
      <c r="J4772" s="135"/>
      <c r="K4772" s="135"/>
      <c r="L4772" s="135"/>
      <c r="M4772" s="135"/>
      <c r="N4772" s="135"/>
      <c r="O4772" s="135"/>
      <c r="P4772" s="135"/>
      <c r="Q4772" s="135"/>
      <c r="R4772" s="135"/>
      <c r="S4772" s="135"/>
      <c r="T4772" s="135"/>
      <c r="U4772" s="135"/>
      <c r="V4772" s="135"/>
      <c r="W4772" s="135"/>
      <c r="X4772" s="135"/>
      <c r="Y4772" s="135"/>
      <c r="Z4772" s="135"/>
    </row>
    <row r="4773" spans="1:26" ht="25.5">
      <c r="A4773" s="136" t="s">
        <v>16</v>
      </c>
      <c r="B4773" s="136" t="s">
        <v>7971</v>
      </c>
      <c r="C4773" s="136" t="s">
        <v>8009</v>
      </c>
      <c r="D4773" s="136" t="s">
        <v>8000</v>
      </c>
      <c r="E4773" s="136" t="s">
        <v>615</v>
      </c>
      <c r="F4773" s="136">
        <v>510</v>
      </c>
      <c r="G4773" s="137">
        <f t="shared" si="18"/>
        <v>5</v>
      </c>
      <c r="H4773" s="137"/>
      <c r="I4773" s="137"/>
      <c r="J4773" s="135"/>
      <c r="K4773" s="135"/>
      <c r="L4773" s="135"/>
      <c r="M4773" s="135"/>
      <c r="N4773" s="135"/>
      <c r="O4773" s="135"/>
      <c r="P4773" s="135"/>
      <c r="Q4773" s="135"/>
      <c r="R4773" s="135"/>
      <c r="S4773" s="135"/>
      <c r="T4773" s="135"/>
      <c r="U4773" s="135"/>
      <c r="V4773" s="135"/>
      <c r="W4773" s="135"/>
      <c r="X4773" s="135"/>
      <c r="Y4773" s="135"/>
      <c r="Z4773" s="135"/>
    </row>
    <row r="4774" spans="1:26" ht="25.5">
      <c r="A4774" s="136" t="s">
        <v>16</v>
      </c>
      <c r="B4774" s="136" t="s">
        <v>7971</v>
      </c>
      <c r="C4774" s="136" t="s">
        <v>8009</v>
      </c>
      <c r="D4774" s="136" t="s">
        <v>1639</v>
      </c>
      <c r="E4774" s="136" t="s">
        <v>615</v>
      </c>
      <c r="F4774" s="136">
        <v>35</v>
      </c>
      <c r="G4774" s="137">
        <f t="shared" si="18"/>
        <v>29</v>
      </c>
      <c r="H4774" s="137"/>
      <c r="I4774" s="137"/>
      <c r="J4774" s="135"/>
      <c r="K4774" s="135"/>
      <c r="L4774" s="135"/>
      <c r="M4774" s="135"/>
      <c r="N4774" s="135"/>
      <c r="O4774" s="135"/>
      <c r="P4774" s="135"/>
      <c r="Q4774" s="135"/>
      <c r="R4774" s="135"/>
      <c r="S4774" s="135"/>
      <c r="T4774" s="135"/>
      <c r="U4774" s="135"/>
      <c r="V4774" s="135"/>
      <c r="W4774" s="135"/>
      <c r="X4774" s="135"/>
      <c r="Y4774" s="135"/>
      <c r="Z4774" s="135"/>
    </row>
    <row r="4775" spans="1:26" ht="25.5">
      <c r="A4775" s="136" t="s">
        <v>16</v>
      </c>
      <c r="B4775" s="136" t="s">
        <v>7971</v>
      </c>
      <c r="C4775" s="136" t="s">
        <v>8009</v>
      </c>
      <c r="D4775" s="136" t="s">
        <v>7999</v>
      </c>
      <c r="E4775" s="136" t="s">
        <v>615</v>
      </c>
      <c r="F4775" s="136">
        <v>693</v>
      </c>
      <c r="G4775" s="137">
        <f t="shared" si="18"/>
        <v>3</v>
      </c>
      <c r="H4775" s="137"/>
      <c r="I4775" s="137"/>
      <c r="J4775" s="135"/>
      <c r="K4775" s="135"/>
      <c r="L4775" s="135"/>
      <c r="M4775" s="135"/>
      <c r="N4775" s="135"/>
      <c r="O4775" s="135"/>
      <c r="P4775" s="135"/>
      <c r="Q4775" s="135"/>
      <c r="R4775" s="135"/>
      <c r="S4775" s="135"/>
      <c r="T4775" s="135"/>
      <c r="U4775" s="135"/>
      <c r="V4775" s="135"/>
      <c r="W4775" s="135"/>
      <c r="X4775" s="135"/>
      <c r="Y4775" s="135"/>
      <c r="Z4775" s="135"/>
    </row>
    <row r="4776" spans="1:26" ht="25.5">
      <c r="A4776" s="136" t="s">
        <v>16</v>
      </c>
      <c r="B4776" s="136" t="s">
        <v>7971</v>
      </c>
      <c r="C4776" s="136" t="s">
        <v>8009</v>
      </c>
      <c r="D4776" s="136" t="s">
        <v>136</v>
      </c>
      <c r="E4776" s="136" t="s">
        <v>615</v>
      </c>
      <c r="F4776" s="136">
        <v>102</v>
      </c>
      <c r="G4776" s="137">
        <f t="shared" si="18"/>
        <v>18</v>
      </c>
      <c r="H4776" s="137"/>
      <c r="I4776" s="137"/>
      <c r="J4776" s="135"/>
      <c r="K4776" s="135"/>
      <c r="L4776" s="135"/>
      <c r="M4776" s="135"/>
      <c r="N4776" s="135"/>
      <c r="O4776" s="135"/>
      <c r="P4776" s="135"/>
      <c r="Q4776" s="135"/>
      <c r="R4776" s="135"/>
      <c r="S4776" s="135"/>
      <c r="T4776" s="135"/>
      <c r="U4776" s="135"/>
      <c r="V4776" s="135"/>
      <c r="W4776" s="135"/>
      <c r="X4776" s="135"/>
      <c r="Y4776" s="135"/>
      <c r="Z4776" s="135"/>
    </row>
    <row r="4777" spans="1:26" ht="25.5">
      <c r="A4777" s="136" t="s">
        <v>16</v>
      </c>
      <c r="B4777" s="136" t="s">
        <v>7971</v>
      </c>
      <c r="C4777" s="136" t="s">
        <v>8009</v>
      </c>
      <c r="D4777" s="136" t="s">
        <v>8008</v>
      </c>
      <c r="E4777" s="136" t="s">
        <v>615</v>
      </c>
      <c r="F4777" s="136">
        <v>270</v>
      </c>
      <c r="G4777" s="137">
        <f t="shared" si="18"/>
        <v>8</v>
      </c>
      <c r="H4777" s="137"/>
      <c r="I4777" s="137"/>
      <c r="J4777" s="135"/>
      <c r="K4777" s="135"/>
      <c r="L4777" s="135"/>
      <c r="M4777" s="135"/>
      <c r="N4777" s="135"/>
      <c r="O4777" s="135"/>
      <c r="P4777" s="135"/>
      <c r="Q4777" s="135"/>
      <c r="R4777" s="135"/>
      <c r="S4777" s="135"/>
      <c r="T4777" s="135"/>
      <c r="U4777" s="135"/>
      <c r="V4777" s="135"/>
      <c r="W4777" s="135"/>
      <c r="X4777" s="135"/>
      <c r="Y4777" s="135"/>
      <c r="Z4777" s="135"/>
    </row>
    <row r="4778" spans="1:26" ht="25.5">
      <c r="A4778" s="136" t="s">
        <v>16</v>
      </c>
      <c r="B4778" s="136" t="s">
        <v>7971</v>
      </c>
      <c r="C4778" s="136" t="s">
        <v>8009</v>
      </c>
      <c r="D4778" s="136" t="s">
        <v>7544</v>
      </c>
      <c r="E4778" s="136" t="s">
        <v>615</v>
      </c>
      <c r="F4778" s="136">
        <v>571</v>
      </c>
      <c r="G4778" s="137">
        <f t="shared" si="18"/>
        <v>4</v>
      </c>
      <c r="H4778" s="137"/>
      <c r="I4778" s="137"/>
      <c r="J4778" s="135"/>
      <c r="K4778" s="135"/>
      <c r="L4778" s="135"/>
      <c r="M4778" s="135"/>
      <c r="N4778" s="135"/>
      <c r="O4778" s="135"/>
      <c r="P4778" s="135"/>
      <c r="Q4778" s="135"/>
      <c r="R4778" s="135"/>
      <c r="S4778" s="135"/>
      <c r="T4778" s="135"/>
      <c r="U4778" s="135"/>
      <c r="V4778" s="135"/>
      <c r="W4778" s="135"/>
      <c r="X4778" s="135"/>
      <c r="Y4778" s="135"/>
      <c r="Z4778" s="135"/>
    </row>
    <row r="4779" spans="1:26" ht="25.5">
      <c r="A4779" s="136" t="s">
        <v>16</v>
      </c>
      <c r="B4779" s="136" t="s">
        <v>7971</v>
      </c>
      <c r="C4779" s="136" t="s">
        <v>8009</v>
      </c>
      <c r="D4779" s="136" t="s">
        <v>154</v>
      </c>
      <c r="E4779" s="136" t="s">
        <v>615</v>
      </c>
      <c r="F4779" s="136">
        <v>75</v>
      </c>
      <c r="G4779" s="137">
        <f t="shared" si="18"/>
        <v>24</v>
      </c>
      <c r="H4779" s="137"/>
      <c r="I4779" s="137"/>
      <c r="J4779" s="135"/>
      <c r="K4779" s="135"/>
      <c r="L4779" s="135"/>
      <c r="M4779" s="135"/>
      <c r="N4779" s="135"/>
      <c r="O4779" s="135"/>
      <c r="P4779" s="135"/>
      <c r="Q4779" s="135"/>
      <c r="R4779" s="135"/>
      <c r="S4779" s="135"/>
      <c r="T4779" s="135"/>
      <c r="U4779" s="135"/>
      <c r="V4779" s="135"/>
      <c r="W4779" s="135"/>
      <c r="X4779" s="135"/>
      <c r="Y4779" s="135"/>
      <c r="Z4779" s="135"/>
    </row>
    <row r="4780" spans="1:26" ht="25.5">
      <c r="A4780" s="136" t="s">
        <v>16</v>
      </c>
      <c r="B4780" s="136" t="s">
        <v>7971</v>
      </c>
      <c r="C4780" s="136" t="s">
        <v>8009</v>
      </c>
      <c r="D4780" s="136" t="s">
        <v>120</v>
      </c>
      <c r="E4780" s="136" t="s">
        <v>615</v>
      </c>
      <c r="F4780" s="136">
        <v>100</v>
      </c>
      <c r="G4780" s="137">
        <f t="shared" si="18"/>
        <v>20</v>
      </c>
      <c r="H4780" s="137"/>
      <c r="I4780" s="137"/>
      <c r="J4780" s="135"/>
      <c r="K4780" s="135"/>
      <c r="L4780" s="135"/>
      <c r="M4780" s="135"/>
      <c r="N4780" s="135"/>
      <c r="O4780" s="135"/>
      <c r="P4780" s="135"/>
      <c r="Q4780" s="135"/>
      <c r="R4780" s="135"/>
      <c r="S4780" s="135"/>
      <c r="T4780" s="135"/>
      <c r="U4780" s="135"/>
      <c r="V4780" s="135"/>
      <c r="W4780" s="135"/>
      <c r="X4780" s="135"/>
      <c r="Y4780" s="135"/>
      <c r="Z4780" s="135"/>
    </row>
    <row r="4781" spans="1:26" ht="25.5">
      <c r="A4781" s="136" t="s">
        <v>16</v>
      </c>
      <c r="B4781" s="136" t="s">
        <v>7971</v>
      </c>
      <c r="C4781" s="136" t="s">
        <v>8009</v>
      </c>
      <c r="D4781" s="136" t="s">
        <v>7786</v>
      </c>
      <c r="E4781" s="136" t="s">
        <v>615</v>
      </c>
      <c r="F4781" s="136">
        <v>82</v>
      </c>
      <c r="G4781" s="137">
        <f t="shared" si="18"/>
        <v>23</v>
      </c>
      <c r="H4781" s="137"/>
      <c r="I4781" s="137"/>
      <c r="J4781" s="135"/>
      <c r="K4781" s="135"/>
      <c r="L4781" s="135"/>
      <c r="M4781" s="135"/>
      <c r="N4781" s="135"/>
      <c r="O4781" s="135"/>
      <c r="P4781" s="135"/>
      <c r="Q4781" s="135"/>
      <c r="R4781" s="135"/>
      <c r="S4781" s="135"/>
      <c r="T4781" s="135"/>
      <c r="U4781" s="135"/>
      <c r="V4781" s="135"/>
      <c r="W4781" s="135"/>
      <c r="X4781" s="135"/>
      <c r="Y4781" s="135"/>
      <c r="Z4781" s="135"/>
    </row>
    <row r="4782" spans="1:26" ht="25.5">
      <c r="A4782" s="136" t="s">
        <v>16</v>
      </c>
      <c r="B4782" s="136" t="s">
        <v>7971</v>
      </c>
      <c r="C4782" s="136" t="s">
        <v>8009</v>
      </c>
      <c r="D4782" s="136" t="s">
        <v>7985</v>
      </c>
      <c r="E4782" s="136" t="s">
        <v>615</v>
      </c>
      <c r="F4782" s="136">
        <v>115</v>
      </c>
      <c r="G4782" s="137">
        <f t="shared" si="18"/>
        <v>16</v>
      </c>
      <c r="H4782" s="137"/>
      <c r="I4782" s="137"/>
      <c r="J4782" s="135"/>
      <c r="K4782" s="135"/>
      <c r="L4782" s="135"/>
      <c r="M4782" s="135"/>
      <c r="N4782" s="135"/>
      <c r="O4782" s="135"/>
      <c r="P4782" s="135"/>
      <c r="Q4782" s="135"/>
      <c r="R4782" s="135"/>
      <c r="S4782" s="135"/>
      <c r="T4782" s="135"/>
      <c r="U4782" s="135"/>
      <c r="V4782" s="135"/>
      <c r="W4782" s="135"/>
      <c r="X4782" s="135"/>
      <c r="Y4782" s="135"/>
      <c r="Z4782" s="135"/>
    </row>
    <row r="4783" spans="1:26" ht="25.5">
      <c r="A4783" s="136" t="s">
        <v>16</v>
      </c>
      <c r="B4783" s="136" t="s">
        <v>7971</v>
      </c>
      <c r="C4783" s="136" t="s">
        <v>8009</v>
      </c>
      <c r="D4783" s="136" t="s">
        <v>1680</v>
      </c>
      <c r="E4783" s="136" t="s">
        <v>615</v>
      </c>
      <c r="F4783" s="136">
        <v>159</v>
      </c>
      <c r="G4783" s="137">
        <f t="shared" si="18"/>
        <v>12</v>
      </c>
      <c r="H4783" s="137"/>
      <c r="I4783" s="137"/>
      <c r="J4783" s="135"/>
      <c r="K4783" s="135"/>
      <c r="L4783" s="135"/>
      <c r="M4783" s="135"/>
      <c r="N4783" s="135"/>
      <c r="O4783" s="135"/>
      <c r="P4783" s="135"/>
      <c r="Q4783" s="135"/>
      <c r="R4783" s="135"/>
      <c r="S4783" s="135"/>
      <c r="T4783" s="135"/>
      <c r="U4783" s="135"/>
      <c r="V4783" s="135"/>
      <c r="W4783" s="135"/>
      <c r="X4783" s="135"/>
      <c r="Y4783" s="135"/>
      <c r="Z4783" s="135"/>
    </row>
    <row r="4784" spans="1:26" ht="25.5">
      <c r="A4784" s="136" t="s">
        <v>16</v>
      </c>
      <c r="B4784" s="136" t="s">
        <v>7971</v>
      </c>
      <c r="C4784" s="136" t="s">
        <v>8009</v>
      </c>
      <c r="D4784" s="136" t="s">
        <v>107</v>
      </c>
      <c r="E4784" s="136" t="s">
        <v>615</v>
      </c>
      <c r="F4784" s="136">
        <v>130</v>
      </c>
      <c r="G4784" s="137">
        <f t="shared" si="18"/>
        <v>15</v>
      </c>
      <c r="H4784" s="137"/>
      <c r="I4784" s="137"/>
      <c r="J4784" s="135"/>
      <c r="K4784" s="135"/>
      <c r="L4784" s="135"/>
      <c r="M4784" s="135"/>
      <c r="N4784" s="135"/>
      <c r="O4784" s="135"/>
      <c r="P4784" s="135"/>
      <c r="Q4784" s="135"/>
      <c r="R4784" s="135"/>
      <c r="S4784" s="135"/>
      <c r="T4784" s="135"/>
      <c r="U4784" s="135"/>
      <c r="V4784" s="135"/>
      <c r="W4784" s="135"/>
      <c r="X4784" s="135"/>
      <c r="Y4784" s="135"/>
      <c r="Z4784" s="135"/>
    </row>
    <row r="4785" spans="1:26" ht="25.5">
      <c r="A4785" s="136" t="s">
        <v>16</v>
      </c>
      <c r="B4785" s="136" t="s">
        <v>7971</v>
      </c>
      <c r="C4785" s="136" t="s">
        <v>8009</v>
      </c>
      <c r="D4785" s="136" t="s">
        <v>7481</v>
      </c>
      <c r="E4785" s="136" t="s">
        <v>615</v>
      </c>
      <c r="F4785" s="136">
        <v>217</v>
      </c>
      <c r="G4785" s="137">
        <f t="shared" si="18"/>
        <v>9</v>
      </c>
      <c r="H4785" s="137"/>
      <c r="I4785" s="137"/>
      <c r="J4785" s="135"/>
      <c r="K4785" s="135"/>
      <c r="L4785" s="135"/>
      <c r="M4785" s="135"/>
      <c r="N4785" s="135"/>
      <c r="O4785" s="135"/>
      <c r="P4785" s="135"/>
      <c r="Q4785" s="135"/>
      <c r="R4785" s="135"/>
      <c r="S4785" s="135"/>
      <c r="T4785" s="135"/>
      <c r="U4785" s="135"/>
      <c r="V4785" s="135"/>
      <c r="W4785" s="135"/>
      <c r="X4785" s="135"/>
      <c r="Y4785" s="135"/>
      <c r="Z4785" s="135"/>
    </row>
    <row r="4786" spans="1:26" ht="25.5">
      <c r="A4786" s="136" t="s">
        <v>16</v>
      </c>
      <c r="B4786" s="136" t="s">
        <v>7971</v>
      </c>
      <c r="C4786" s="136" t="s">
        <v>8009</v>
      </c>
      <c r="D4786" s="136" t="s">
        <v>114</v>
      </c>
      <c r="E4786" s="136" t="s">
        <v>85</v>
      </c>
      <c r="F4786" s="136">
        <v>216</v>
      </c>
      <c r="G4786" s="137">
        <f t="shared" si="18"/>
        <v>10</v>
      </c>
      <c r="H4786" s="137"/>
      <c r="I4786" s="137"/>
      <c r="J4786" s="135"/>
      <c r="K4786" s="135"/>
      <c r="L4786" s="135"/>
      <c r="M4786" s="135"/>
      <c r="N4786" s="135"/>
      <c r="O4786" s="135"/>
      <c r="P4786" s="135"/>
      <c r="Q4786" s="135"/>
      <c r="R4786" s="135"/>
      <c r="S4786" s="135"/>
      <c r="T4786" s="135"/>
      <c r="U4786" s="135"/>
      <c r="V4786" s="135"/>
      <c r="W4786" s="135"/>
      <c r="X4786" s="135"/>
      <c r="Y4786" s="135"/>
      <c r="Z4786" s="135"/>
    </row>
    <row r="4787" spans="1:26" ht="25.5">
      <c r="A4787" s="136" t="s">
        <v>16</v>
      </c>
      <c r="B4787" s="136" t="s">
        <v>7971</v>
      </c>
      <c r="C4787" s="136" t="s">
        <v>8009</v>
      </c>
      <c r="D4787" s="136" t="s">
        <v>1666</v>
      </c>
      <c r="E4787" s="136" t="s">
        <v>85</v>
      </c>
      <c r="F4787" s="136">
        <v>20</v>
      </c>
      <c r="G4787" s="137">
        <f t="shared" si="18"/>
        <v>31</v>
      </c>
      <c r="H4787" s="137"/>
      <c r="I4787" s="137"/>
      <c r="J4787" s="135"/>
      <c r="K4787" s="135"/>
      <c r="L4787" s="135"/>
      <c r="M4787" s="135"/>
      <c r="N4787" s="135"/>
      <c r="O4787" s="135"/>
      <c r="P4787" s="135"/>
      <c r="Q4787" s="135"/>
      <c r="R4787" s="135"/>
      <c r="S4787" s="135"/>
      <c r="T4787" s="135"/>
      <c r="U4787" s="135"/>
      <c r="V4787" s="135"/>
      <c r="W4787" s="135"/>
      <c r="X4787" s="135"/>
      <c r="Y4787" s="135"/>
      <c r="Z4787" s="135"/>
    </row>
    <row r="4788" spans="1:26" ht="25.5">
      <c r="A4788" s="136" t="s">
        <v>16</v>
      </c>
      <c r="B4788" s="136" t="s">
        <v>7971</v>
      </c>
      <c r="C4788" s="136" t="s">
        <v>8009</v>
      </c>
      <c r="D4788" s="136" t="s">
        <v>467</v>
      </c>
      <c r="E4788" s="136" t="s">
        <v>85</v>
      </c>
      <c r="F4788" s="136">
        <v>51</v>
      </c>
      <c r="G4788" s="137">
        <f t="shared" si="18"/>
        <v>26</v>
      </c>
      <c r="H4788" s="137"/>
      <c r="I4788" s="137"/>
      <c r="J4788" s="135"/>
      <c r="K4788" s="135"/>
      <c r="L4788" s="135"/>
      <c r="M4788" s="135"/>
      <c r="N4788" s="135"/>
      <c r="O4788" s="135"/>
      <c r="P4788" s="135"/>
      <c r="Q4788" s="135"/>
      <c r="R4788" s="135"/>
      <c r="S4788" s="135"/>
      <c r="T4788" s="135"/>
      <c r="U4788" s="135"/>
      <c r="V4788" s="135"/>
      <c r="W4788" s="135"/>
      <c r="X4788" s="135"/>
      <c r="Y4788" s="135"/>
      <c r="Z4788" s="135"/>
    </row>
    <row r="4789" spans="1:26" ht="25.5">
      <c r="A4789" s="136" t="s">
        <v>16</v>
      </c>
      <c r="B4789" s="136" t="s">
        <v>7971</v>
      </c>
      <c r="C4789" s="136" t="s">
        <v>8009</v>
      </c>
      <c r="D4789" s="136" t="s">
        <v>1682</v>
      </c>
      <c r="E4789" s="136" t="s">
        <v>86</v>
      </c>
      <c r="F4789" s="136">
        <v>97</v>
      </c>
      <c r="G4789" s="137">
        <f t="shared" si="18"/>
        <v>21</v>
      </c>
      <c r="H4789" s="137"/>
      <c r="I4789" s="137"/>
      <c r="J4789" s="135"/>
      <c r="K4789" s="135"/>
      <c r="L4789" s="135"/>
      <c r="M4789" s="135"/>
      <c r="N4789" s="135"/>
      <c r="O4789" s="135"/>
      <c r="P4789" s="135"/>
      <c r="Q4789" s="135"/>
      <c r="R4789" s="135"/>
      <c r="S4789" s="135"/>
      <c r="T4789" s="135"/>
      <c r="U4789" s="135"/>
      <c r="V4789" s="135"/>
      <c r="W4789" s="135"/>
      <c r="X4789" s="135"/>
      <c r="Y4789" s="135"/>
      <c r="Z4789" s="135"/>
    </row>
    <row r="4790" spans="1:26" ht="25.5">
      <c r="A4790" s="136" t="s">
        <v>16</v>
      </c>
      <c r="B4790" s="136" t="s">
        <v>7971</v>
      </c>
      <c r="C4790" s="136" t="s">
        <v>8009</v>
      </c>
      <c r="D4790" s="136" t="s">
        <v>8002</v>
      </c>
      <c r="E4790" s="136" t="s">
        <v>86</v>
      </c>
      <c r="F4790" s="136">
        <v>34</v>
      </c>
      <c r="G4790" s="137">
        <f t="shared" si="18"/>
        <v>30</v>
      </c>
      <c r="H4790" s="137"/>
      <c r="I4790" s="137"/>
      <c r="J4790" s="135"/>
      <c r="K4790" s="135"/>
      <c r="L4790" s="135"/>
      <c r="M4790" s="135"/>
      <c r="N4790" s="135"/>
      <c r="O4790" s="135"/>
      <c r="P4790" s="135"/>
      <c r="Q4790" s="135"/>
      <c r="R4790" s="135"/>
      <c r="S4790" s="135"/>
      <c r="T4790" s="135"/>
      <c r="U4790" s="135"/>
      <c r="V4790" s="135"/>
      <c r="W4790" s="135"/>
      <c r="X4790" s="135"/>
      <c r="Y4790" s="135"/>
      <c r="Z4790" s="135"/>
    </row>
    <row r="4791" spans="1:26" ht="25.5">
      <c r="A4791" s="136" t="s">
        <v>16</v>
      </c>
      <c r="B4791" s="136" t="s">
        <v>7971</v>
      </c>
      <c r="C4791" s="136" t="s">
        <v>8011</v>
      </c>
      <c r="D4791" s="136" t="s">
        <v>107</v>
      </c>
      <c r="E4791" s="136" t="s">
        <v>615</v>
      </c>
      <c r="F4791" s="136">
        <v>1530</v>
      </c>
      <c r="G4791" s="137">
        <f t="shared" si="18"/>
        <v>1</v>
      </c>
      <c r="H4791" s="137"/>
      <c r="I4791" s="137"/>
      <c r="J4791" s="135"/>
      <c r="K4791" s="135"/>
      <c r="L4791" s="135"/>
      <c r="M4791" s="135"/>
      <c r="N4791" s="135"/>
      <c r="O4791" s="135"/>
      <c r="P4791" s="135"/>
      <c r="Q4791" s="135"/>
      <c r="R4791" s="135"/>
      <c r="S4791" s="135"/>
      <c r="T4791" s="135"/>
      <c r="U4791" s="135"/>
      <c r="V4791" s="135"/>
      <c r="W4791" s="135"/>
      <c r="X4791" s="135"/>
      <c r="Y4791" s="135"/>
      <c r="Z4791" s="135"/>
    </row>
    <row r="4792" spans="1:26" ht="25.5">
      <c r="A4792" s="136" t="s">
        <v>16</v>
      </c>
      <c r="B4792" s="136" t="s">
        <v>7971</v>
      </c>
      <c r="C4792" s="136" t="s">
        <v>8011</v>
      </c>
      <c r="D4792" s="136" t="s">
        <v>7993</v>
      </c>
      <c r="E4792" s="136" t="s">
        <v>615</v>
      </c>
      <c r="F4792" s="136">
        <v>1390</v>
      </c>
      <c r="G4792" s="137">
        <f t="shared" si="18"/>
        <v>2</v>
      </c>
      <c r="H4792" s="137"/>
      <c r="I4792" s="137"/>
      <c r="J4792" s="135"/>
      <c r="K4792" s="135"/>
      <c r="L4792" s="135"/>
      <c r="M4792" s="135"/>
      <c r="N4792" s="135"/>
      <c r="O4792" s="135"/>
      <c r="P4792" s="135"/>
      <c r="Q4792" s="135"/>
      <c r="R4792" s="135"/>
      <c r="S4792" s="135"/>
      <c r="T4792" s="135"/>
      <c r="U4792" s="135"/>
      <c r="V4792" s="135"/>
      <c r="W4792" s="135"/>
      <c r="X4792" s="135"/>
      <c r="Y4792" s="135"/>
      <c r="Z4792" s="135"/>
    </row>
    <row r="4793" spans="1:26" ht="25.5">
      <c r="A4793" s="136" t="s">
        <v>16</v>
      </c>
      <c r="B4793" s="136" t="s">
        <v>7971</v>
      </c>
      <c r="C4793" s="136" t="s">
        <v>8011</v>
      </c>
      <c r="D4793" s="136" t="s">
        <v>139</v>
      </c>
      <c r="E4793" s="136" t="s">
        <v>594</v>
      </c>
      <c r="F4793" s="136">
        <v>1212</v>
      </c>
      <c r="G4793" s="137">
        <f t="shared" si="18"/>
        <v>3</v>
      </c>
      <c r="H4793" s="137"/>
      <c r="I4793" s="137"/>
      <c r="J4793" s="135"/>
      <c r="K4793" s="135"/>
      <c r="L4793" s="135"/>
      <c r="M4793" s="135"/>
      <c r="N4793" s="135"/>
      <c r="O4793" s="135"/>
      <c r="P4793" s="135"/>
      <c r="Q4793" s="135"/>
      <c r="R4793" s="135"/>
      <c r="S4793" s="135"/>
      <c r="T4793" s="135"/>
      <c r="U4793" s="135"/>
      <c r="V4793" s="135"/>
      <c r="W4793" s="135"/>
      <c r="X4793" s="135"/>
      <c r="Y4793" s="135"/>
      <c r="Z4793" s="135"/>
    </row>
    <row r="4794" spans="1:26" ht="25.5">
      <c r="A4794" s="136" t="s">
        <v>16</v>
      </c>
      <c r="B4794" s="136" t="s">
        <v>7971</v>
      </c>
      <c r="C4794" s="136" t="s">
        <v>8011</v>
      </c>
      <c r="D4794" s="136" t="s">
        <v>1656</v>
      </c>
      <c r="E4794" s="136" t="s">
        <v>615</v>
      </c>
      <c r="F4794" s="136">
        <v>1048</v>
      </c>
      <c r="G4794" s="137">
        <f t="shared" si="18"/>
        <v>4</v>
      </c>
      <c r="H4794" s="137"/>
      <c r="I4794" s="137"/>
      <c r="J4794" s="135"/>
      <c r="K4794" s="135"/>
      <c r="L4794" s="135"/>
      <c r="M4794" s="135"/>
      <c r="N4794" s="135"/>
      <c r="O4794" s="135"/>
      <c r="P4794" s="135"/>
      <c r="Q4794" s="135"/>
      <c r="R4794" s="135"/>
      <c r="S4794" s="135"/>
      <c r="T4794" s="135"/>
      <c r="U4794" s="135"/>
      <c r="V4794" s="135"/>
      <c r="W4794" s="135"/>
      <c r="X4794" s="135"/>
      <c r="Y4794" s="135"/>
      <c r="Z4794" s="135"/>
    </row>
    <row r="4795" spans="1:26" ht="25.5">
      <c r="A4795" s="136" t="s">
        <v>16</v>
      </c>
      <c r="B4795" s="136" t="s">
        <v>7971</v>
      </c>
      <c r="C4795" s="136" t="s">
        <v>8011</v>
      </c>
      <c r="D4795" s="136" t="s">
        <v>158</v>
      </c>
      <c r="E4795" s="136" t="s">
        <v>615</v>
      </c>
      <c r="F4795" s="136">
        <v>879</v>
      </c>
      <c r="G4795" s="137">
        <f t="shared" si="18"/>
        <v>5</v>
      </c>
      <c r="H4795" s="137"/>
      <c r="I4795" s="137"/>
      <c r="J4795" s="135"/>
      <c r="K4795" s="135"/>
      <c r="L4795" s="135"/>
      <c r="M4795" s="135"/>
      <c r="N4795" s="135"/>
      <c r="O4795" s="135"/>
      <c r="P4795" s="135"/>
      <c r="Q4795" s="135"/>
      <c r="R4795" s="135"/>
      <c r="S4795" s="135"/>
      <c r="T4795" s="135"/>
      <c r="U4795" s="135"/>
      <c r="V4795" s="135"/>
      <c r="W4795" s="135"/>
      <c r="X4795" s="135"/>
      <c r="Y4795" s="135"/>
      <c r="Z4795" s="135"/>
    </row>
    <row r="4796" spans="1:26" ht="25.5">
      <c r="A4796" s="136" t="s">
        <v>16</v>
      </c>
      <c r="B4796" s="136" t="s">
        <v>7971</v>
      </c>
      <c r="C4796" s="136" t="s">
        <v>8011</v>
      </c>
      <c r="D4796" s="136" t="s">
        <v>114</v>
      </c>
      <c r="E4796" s="136" t="s">
        <v>85</v>
      </c>
      <c r="F4796" s="136">
        <v>556</v>
      </c>
      <c r="G4796" s="137">
        <f t="shared" si="18"/>
        <v>6</v>
      </c>
      <c r="H4796" s="137"/>
      <c r="I4796" s="137"/>
      <c r="J4796" s="135"/>
      <c r="K4796" s="135"/>
      <c r="L4796" s="135"/>
      <c r="M4796" s="135"/>
      <c r="N4796" s="135"/>
      <c r="O4796" s="135"/>
      <c r="P4796" s="135"/>
      <c r="Q4796" s="135"/>
      <c r="R4796" s="135"/>
      <c r="S4796" s="135"/>
      <c r="T4796" s="135"/>
      <c r="U4796" s="135"/>
      <c r="V4796" s="135"/>
      <c r="W4796" s="135"/>
      <c r="X4796" s="135"/>
      <c r="Y4796" s="135"/>
      <c r="Z4796" s="135"/>
    </row>
    <row r="4797" spans="1:26" ht="25.5">
      <c r="A4797" s="136" t="s">
        <v>16</v>
      </c>
      <c r="B4797" s="136" t="s">
        <v>7971</v>
      </c>
      <c r="C4797" s="136" t="s">
        <v>8011</v>
      </c>
      <c r="D4797" s="136" t="s">
        <v>7481</v>
      </c>
      <c r="E4797" s="136" t="s">
        <v>615</v>
      </c>
      <c r="F4797" s="136">
        <v>240</v>
      </c>
      <c r="G4797" s="137">
        <f t="shared" si="18"/>
        <v>7</v>
      </c>
      <c r="H4797" s="137"/>
      <c r="I4797" s="137"/>
      <c r="J4797" s="135"/>
      <c r="K4797" s="135"/>
      <c r="L4797" s="135"/>
      <c r="M4797" s="135"/>
      <c r="N4797" s="135"/>
      <c r="O4797" s="135"/>
      <c r="P4797" s="135"/>
      <c r="Q4797" s="135"/>
      <c r="R4797" s="135"/>
      <c r="S4797" s="135"/>
      <c r="T4797" s="135"/>
      <c r="U4797" s="135"/>
      <c r="V4797" s="135"/>
      <c r="W4797" s="135"/>
      <c r="X4797" s="135"/>
      <c r="Y4797" s="135"/>
      <c r="Z4797" s="135"/>
    </row>
    <row r="4798" spans="1:26" ht="25.5">
      <c r="A4798" s="136" t="s">
        <v>16</v>
      </c>
      <c r="B4798" s="136" t="s">
        <v>7971</v>
      </c>
      <c r="C4798" s="136" t="s">
        <v>8011</v>
      </c>
      <c r="D4798" s="136" t="s">
        <v>1656</v>
      </c>
      <c r="E4798" s="136" t="s">
        <v>594</v>
      </c>
      <c r="F4798" s="136">
        <v>197</v>
      </c>
      <c r="G4798" s="137">
        <f t="shared" si="18"/>
        <v>8</v>
      </c>
      <c r="H4798" s="137"/>
      <c r="I4798" s="137"/>
      <c r="J4798" s="135"/>
      <c r="K4798" s="135"/>
      <c r="L4798" s="135"/>
      <c r="M4798" s="135"/>
      <c r="N4798" s="135"/>
      <c r="O4798" s="135"/>
      <c r="P4798" s="135"/>
      <c r="Q4798" s="135"/>
      <c r="R4798" s="135"/>
      <c r="S4798" s="135"/>
      <c r="T4798" s="135"/>
      <c r="U4798" s="135"/>
      <c r="V4798" s="135"/>
      <c r="W4798" s="135"/>
      <c r="X4798" s="135"/>
      <c r="Y4798" s="135"/>
      <c r="Z4798" s="135"/>
    </row>
    <row r="4799" spans="1:26" ht="25.5">
      <c r="A4799" s="136" t="s">
        <v>16</v>
      </c>
      <c r="B4799" s="136" t="s">
        <v>7971</v>
      </c>
      <c r="C4799" s="136" t="s">
        <v>8011</v>
      </c>
      <c r="D4799" s="136" t="s">
        <v>467</v>
      </c>
      <c r="E4799" s="136" t="s">
        <v>85</v>
      </c>
      <c r="F4799" s="136">
        <v>132</v>
      </c>
      <c r="G4799" s="137">
        <f t="shared" si="18"/>
        <v>9</v>
      </c>
      <c r="H4799" s="137"/>
      <c r="I4799" s="137"/>
      <c r="J4799" s="135"/>
      <c r="K4799" s="135"/>
      <c r="L4799" s="135"/>
      <c r="M4799" s="135"/>
      <c r="N4799" s="135"/>
      <c r="O4799" s="135"/>
      <c r="P4799" s="135"/>
      <c r="Q4799" s="135"/>
      <c r="R4799" s="135"/>
      <c r="S4799" s="135"/>
      <c r="T4799" s="135"/>
      <c r="U4799" s="135"/>
      <c r="V4799" s="135"/>
      <c r="W4799" s="135"/>
      <c r="X4799" s="135"/>
      <c r="Y4799" s="135"/>
      <c r="Z4799" s="135"/>
    </row>
    <row r="4800" spans="1:26" ht="25.5">
      <c r="A4800" s="136" t="s">
        <v>16</v>
      </c>
      <c r="B4800" s="136" t="s">
        <v>7971</v>
      </c>
      <c r="C4800" s="136" t="s">
        <v>8011</v>
      </c>
      <c r="D4800" s="136" t="s">
        <v>165</v>
      </c>
      <c r="E4800" s="136" t="s">
        <v>615</v>
      </c>
      <c r="F4800" s="136">
        <v>115</v>
      </c>
      <c r="G4800" s="137">
        <f t="shared" si="18"/>
        <v>10</v>
      </c>
      <c r="H4800" s="137"/>
      <c r="I4800" s="137"/>
      <c r="J4800" s="135"/>
      <c r="K4800" s="135"/>
      <c r="L4800" s="135"/>
      <c r="M4800" s="135"/>
      <c r="N4800" s="135"/>
      <c r="O4800" s="135"/>
      <c r="P4800" s="135"/>
      <c r="Q4800" s="135"/>
      <c r="R4800" s="135"/>
      <c r="S4800" s="135"/>
      <c r="T4800" s="135"/>
      <c r="U4800" s="135"/>
      <c r="V4800" s="135"/>
      <c r="W4800" s="135"/>
      <c r="X4800" s="135"/>
      <c r="Y4800" s="135"/>
      <c r="Z4800" s="135"/>
    </row>
    <row r="4801" spans="1:26" ht="25.5">
      <c r="A4801" s="136" t="s">
        <v>16</v>
      </c>
      <c r="B4801" s="136" t="s">
        <v>7971</v>
      </c>
      <c r="C4801" s="136" t="s">
        <v>8011</v>
      </c>
      <c r="D4801" s="136" t="s">
        <v>368</v>
      </c>
      <c r="E4801" s="136" t="s">
        <v>594</v>
      </c>
      <c r="F4801" s="136">
        <v>93</v>
      </c>
      <c r="G4801" s="137">
        <f t="shared" si="18"/>
        <v>11</v>
      </c>
      <c r="H4801" s="137"/>
      <c r="I4801" s="137"/>
      <c r="J4801" s="135"/>
      <c r="K4801" s="135"/>
      <c r="L4801" s="135"/>
      <c r="M4801" s="135"/>
      <c r="N4801" s="135"/>
      <c r="O4801" s="135"/>
      <c r="P4801" s="135"/>
      <c r="Q4801" s="135"/>
      <c r="R4801" s="135"/>
      <c r="S4801" s="135"/>
      <c r="T4801" s="135"/>
      <c r="U4801" s="135"/>
      <c r="V4801" s="135"/>
      <c r="W4801" s="135"/>
      <c r="X4801" s="135"/>
      <c r="Y4801" s="135"/>
      <c r="Z4801" s="135"/>
    </row>
    <row r="4802" spans="1:26" ht="25.5">
      <c r="A4802" s="136" t="s">
        <v>16</v>
      </c>
      <c r="B4802" s="136" t="s">
        <v>7971</v>
      </c>
      <c r="C4802" s="136" t="s">
        <v>8011</v>
      </c>
      <c r="D4802" s="136" t="s">
        <v>1626</v>
      </c>
      <c r="E4802" s="136" t="s">
        <v>594</v>
      </c>
      <c r="F4802" s="136">
        <v>83</v>
      </c>
      <c r="G4802" s="137">
        <f t="shared" si="18"/>
        <v>12</v>
      </c>
      <c r="H4802" s="137"/>
      <c r="I4802" s="137"/>
      <c r="J4802" s="135"/>
      <c r="K4802" s="135"/>
      <c r="L4802" s="135"/>
      <c r="M4802" s="135"/>
      <c r="N4802" s="135"/>
      <c r="O4802" s="135"/>
      <c r="P4802" s="135"/>
      <c r="Q4802" s="135"/>
      <c r="R4802" s="135"/>
      <c r="S4802" s="135"/>
      <c r="T4802" s="135"/>
      <c r="U4802" s="135"/>
      <c r="V4802" s="135"/>
      <c r="W4802" s="135"/>
      <c r="X4802" s="135"/>
      <c r="Y4802" s="135"/>
      <c r="Z4802" s="135"/>
    </row>
    <row r="4803" spans="1:26" ht="25.5">
      <c r="A4803" s="136" t="s">
        <v>16</v>
      </c>
      <c r="B4803" s="136" t="s">
        <v>7971</v>
      </c>
      <c r="C4803" s="136" t="s">
        <v>8011</v>
      </c>
      <c r="D4803" s="136" t="s">
        <v>1665</v>
      </c>
      <c r="E4803" s="136" t="s">
        <v>615</v>
      </c>
      <c r="F4803" s="136">
        <v>46</v>
      </c>
      <c r="G4803" s="137">
        <f t="shared" si="18"/>
        <v>13</v>
      </c>
      <c r="H4803" s="137"/>
      <c r="I4803" s="137"/>
      <c r="J4803" s="135"/>
      <c r="K4803" s="135"/>
      <c r="L4803" s="135"/>
      <c r="M4803" s="135"/>
      <c r="N4803" s="135"/>
      <c r="O4803" s="135"/>
      <c r="P4803" s="135"/>
      <c r="Q4803" s="135"/>
      <c r="R4803" s="135"/>
      <c r="S4803" s="135"/>
      <c r="T4803" s="135"/>
      <c r="U4803" s="135"/>
      <c r="V4803" s="135"/>
      <c r="W4803" s="135"/>
      <c r="X4803" s="135"/>
      <c r="Y4803" s="135"/>
      <c r="Z4803" s="135"/>
    </row>
    <row r="4804" spans="1:26" ht="25.5">
      <c r="A4804" s="136" t="s">
        <v>16</v>
      </c>
      <c r="B4804" s="136" t="s">
        <v>7971</v>
      </c>
      <c r="C4804" s="136" t="s">
        <v>8011</v>
      </c>
      <c r="D4804" s="136" t="s">
        <v>7985</v>
      </c>
      <c r="E4804" s="136" t="s">
        <v>615</v>
      </c>
      <c r="F4804" s="136">
        <v>44</v>
      </c>
      <c r="G4804" s="137">
        <f t="shared" si="18"/>
        <v>14</v>
      </c>
      <c r="H4804" s="137"/>
      <c r="I4804" s="137"/>
      <c r="J4804" s="135"/>
      <c r="K4804" s="135"/>
      <c r="L4804" s="135"/>
      <c r="M4804" s="135"/>
      <c r="N4804" s="135"/>
      <c r="O4804" s="135"/>
      <c r="P4804" s="135"/>
      <c r="Q4804" s="135"/>
      <c r="R4804" s="135"/>
      <c r="S4804" s="135"/>
      <c r="T4804" s="135"/>
      <c r="U4804" s="135"/>
      <c r="V4804" s="135"/>
      <c r="W4804" s="135"/>
      <c r="X4804" s="135"/>
      <c r="Y4804" s="135"/>
      <c r="Z4804" s="135"/>
    </row>
    <row r="4805" spans="1:26" ht="25.5">
      <c r="A4805" s="136" t="s">
        <v>16</v>
      </c>
      <c r="B4805" s="136" t="s">
        <v>7971</v>
      </c>
      <c r="C4805" s="136" t="s">
        <v>8011</v>
      </c>
      <c r="D4805" s="136" t="s">
        <v>437</v>
      </c>
      <c r="E4805" s="136" t="s">
        <v>594</v>
      </c>
      <c r="F4805" s="136">
        <v>31</v>
      </c>
      <c r="G4805" s="137">
        <f t="shared" si="18"/>
        <v>15</v>
      </c>
      <c r="H4805" s="137"/>
      <c r="I4805" s="137"/>
      <c r="J4805" s="135"/>
      <c r="K4805" s="135"/>
      <c r="L4805" s="135"/>
      <c r="M4805" s="135"/>
      <c r="N4805" s="135"/>
      <c r="O4805" s="135"/>
      <c r="P4805" s="135"/>
      <c r="Q4805" s="135"/>
      <c r="R4805" s="135"/>
      <c r="S4805" s="135"/>
      <c r="T4805" s="135"/>
      <c r="U4805" s="135"/>
      <c r="V4805" s="135"/>
      <c r="W4805" s="135"/>
      <c r="X4805" s="135"/>
      <c r="Y4805" s="135"/>
      <c r="Z4805" s="135"/>
    </row>
    <row r="4806" spans="1:26" ht="25.5">
      <c r="A4806" s="136" t="s">
        <v>16</v>
      </c>
      <c r="B4806" s="136" t="s">
        <v>7971</v>
      </c>
      <c r="C4806" s="136" t="s">
        <v>8011</v>
      </c>
      <c r="D4806" s="136" t="s">
        <v>1666</v>
      </c>
      <c r="E4806" s="136" t="s">
        <v>85</v>
      </c>
      <c r="F4806" s="136">
        <v>26</v>
      </c>
      <c r="G4806" s="137">
        <f t="shared" si="18"/>
        <v>16</v>
      </c>
      <c r="H4806" s="137"/>
      <c r="I4806" s="137"/>
      <c r="J4806" s="135"/>
      <c r="K4806" s="135"/>
      <c r="L4806" s="135"/>
      <c r="M4806" s="135"/>
      <c r="N4806" s="135"/>
      <c r="O4806" s="135"/>
      <c r="P4806" s="135"/>
      <c r="Q4806" s="135"/>
      <c r="R4806" s="135"/>
      <c r="S4806" s="135"/>
      <c r="T4806" s="135"/>
      <c r="U4806" s="135"/>
      <c r="V4806" s="135"/>
      <c r="W4806" s="135"/>
      <c r="X4806" s="135"/>
      <c r="Y4806" s="135"/>
      <c r="Z4806" s="135"/>
    </row>
    <row r="4807" spans="1:26" ht="25.5">
      <c r="A4807" s="136" t="s">
        <v>16</v>
      </c>
      <c r="B4807" s="136" t="s">
        <v>7971</v>
      </c>
      <c r="C4807" s="136" t="s">
        <v>8011</v>
      </c>
      <c r="D4807" s="136" t="s">
        <v>136</v>
      </c>
      <c r="E4807" s="136" t="s">
        <v>615</v>
      </c>
      <c r="F4807" s="136">
        <v>25</v>
      </c>
      <c r="G4807" s="137">
        <f t="shared" si="18"/>
        <v>17</v>
      </c>
      <c r="H4807" s="137"/>
      <c r="I4807" s="137"/>
      <c r="J4807" s="135"/>
      <c r="K4807" s="135"/>
      <c r="L4807" s="135"/>
      <c r="M4807" s="135"/>
      <c r="N4807" s="135"/>
      <c r="O4807" s="135"/>
      <c r="P4807" s="135"/>
      <c r="Q4807" s="135"/>
      <c r="R4807" s="135"/>
      <c r="S4807" s="135"/>
      <c r="T4807" s="135"/>
      <c r="U4807" s="135"/>
      <c r="V4807" s="135"/>
      <c r="W4807" s="135"/>
      <c r="X4807" s="135"/>
      <c r="Y4807" s="135"/>
      <c r="Z4807" s="135"/>
    </row>
    <row r="4808" spans="1:26" ht="25.5">
      <c r="A4808" s="136" t="s">
        <v>16</v>
      </c>
      <c r="B4808" s="136" t="s">
        <v>7971</v>
      </c>
      <c r="C4808" s="136" t="s">
        <v>8011</v>
      </c>
      <c r="D4808" s="136" t="s">
        <v>103</v>
      </c>
      <c r="E4808" s="136" t="s">
        <v>594</v>
      </c>
      <c r="F4808" s="136">
        <v>22</v>
      </c>
      <c r="G4808" s="137">
        <f t="shared" si="18"/>
        <v>18</v>
      </c>
      <c r="H4808" s="137"/>
      <c r="I4808" s="137"/>
      <c r="J4808" s="135"/>
      <c r="K4808" s="135"/>
      <c r="L4808" s="135"/>
      <c r="M4808" s="135"/>
      <c r="N4808" s="135"/>
      <c r="O4808" s="135"/>
      <c r="P4808" s="135"/>
      <c r="Q4808" s="135"/>
      <c r="R4808" s="135"/>
      <c r="S4808" s="135"/>
      <c r="T4808" s="135"/>
      <c r="U4808" s="135"/>
      <c r="V4808" s="135"/>
      <c r="W4808" s="135"/>
      <c r="X4808" s="135"/>
      <c r="Y4808" s="135"/>
      <c r="Z4808" s="135"/>
    </row>
    <row r="4809" spans="1:26" ht="25.5">
      <c r="A4809" s="136" t="s">
        <v>16</v>
      </c>
      <c r="B4809" s="136" t="s">
        <v>7971</v>
      </c>
      <c r="C4809" s="136" t="s">
        <v>8011</v>
      </c>
      <c r="D4809" s="136" t="s">
        <v>131</v>
      </c>
      <c r="E4809" s="136" t="s">
        <v>594</v>
      </c>
      <c r="F4809" s="136">
        <v>22</v>
      </c>
      <c r="G4809" s="137">
        <f t="shared" si="18"/>
        <v>19</v>
      </c>
      <c r="H4809" s="137"/>
      <c r="I4809" s="137"/>
      <c r="J4809" s="135"/>
      <c r="K4809" s="135"/>
      <c r="L4809" s="135"/>
      <c r="M4809" s="135"/>
      <c r="N4809" s="135"/>
      <c r="O4809" s="135"/>
      <c r="P4809" s="135"/>
      <c r="Q4809" s="135"/>
      <c r="R4809" s="135"/>
      <c r="S4809" s="135"/>
      <c r="T4809" s="135"/>
      <c r="U4809" s="135"/>
      <c r="V4809" s="135"/>
      <c r="W4809" s="135"/>
      <c r="X4809" s="135"/>
      <c r="Y4809" s="135"/>
      <c r="Z4809" s="135"/>
    </row>
    <row r="4810" spans="1:26" ht="25.5">
      <c r="A4810" s="136" t="s">
        <v>16</v>
      </c>
      <c r="B4810" s="136" t="s">
        <v>7971</v>
      </c>
      <c r="C4810" s="136" t="s">
        <v>8011</v>
      </c>
      <c r="D4810" s="136" t="s">
        <v>8012</v>
      </c>
      <c r="E4810" s="136" t="s">
        <v>615</v>
      </c>
      <c r="F4810" s="136">
        <v>21</v>
      </c>
      <c r="G4810" s="137">
        <f t="shared" si="18"/>
        <v>20</v>
      </c>
      <c r="H4810" s="137"/>
      <c r="I4810" s="137"/>
      <c r="J4810" s="135"/>
      <c r="K4810" s="135"/>
      <c r="L4810" s="135"/>
      <c r="M4810" s="135"/>
      <c r="N4810" s="135"/>
      <c r="O4810" s="135"/>
      <c r="P4810" s="135"/>
      <c r="Q4810" s="135"/>
      <c r="R4810" s="135"/>
      <c r="S4810" s="135"/>
      <c r="T4810" s="135"/>
      <c r="U4810" s="135"/>
      <c r="V4810" s="135"/>
      <c r="W4810" s="135"/>
      <c r="X4810" s="135"/>
      <c r="Y4810" s="135"/>
      <c r="Z4810" s="135"/>
    </row>
    <row r="4811" spans="1:26" ht="25.5">
      <c r="A4811" s="136" t="s">
        <v>16</v>
      </c>
      <c r="B4811" s="136" t="s">
        <v>7971</v>
      </c>
      <c r="C4811" s="136" t="s">
        <v>8011</v>
      </c>
      <c r="D4811" s="136" t="s">
        <v>8013</v>
      </c>
      <c r="E4811" s="136" t="s">
        <v>615</v>
      </c>
      <c r="F4811" s="136">
        <v>20</v>
      </c>
      <c r="G4811" s="137">
        <f t="shared" si="18"/>
        <v>21</v>
      </c>
      <c r="H4811" s="137"/>
      <c r="I4811" s="137"/>
      <c r="J4811" s="135"/>
      <c r="K4811" s="135"/>
      <c r="L4811" s="135"/>
      <c r="M4811" s="135"/>
      <c r="N4811" s="135"/>
      <c r="O4811" s="135"/>
      <c r="P4811" s="135"/>
      <c r="Q4811" s="135"/>
      <c r="R4811" s="135"/>
      <c r="S4811" s="135"/>
      <c r="T4811" s="135"/>
      <c r="U4811" s="135"/>
      <c r="V4811" s="135"/>
      <c r="W4811" s="135"/>
      <c r="X4811" s="135"/>
      <c r="Y4811" s="135"/>
      <c r="Z4811" s="135"/>
    </row>
    <row r="4812" spans="1:26" ht="25.5">
      <c r="A4812" s="136" t="s">
        <v>16</v>
      </c>
      <c r="B4812" s="136" t="s">
        <v>7971</v>
      </c>
      <c r="C4812" s="136" t="s">
        <v>8011</v>
      </c>
      <c r="D4812" s="136" t="s">
        <v>8014</v>
      </c>
      <c r="E4812" s="136" t="s">
        <v>615</v>
      </c>
      <c r="F4812" s="136">
        <v>13</v>
      </c>
      <c r="G4812" s="137">
        <f t="shared" si="18"/>
        <v>22</v>
      </c>
      <c r="H4812" s="137"/>
      <c r="I4812" s="137"/>
      <c r="J4812" s="135"/>
      <c r="K4812" s="135"/>
      <c r="L4812" s="135"/>
      <c r="M4812" s="135"/>
      <c r="N4812" s="135"/>
      <c r="O4812" s="135"/>
      <c r="P4812" s="135"/>
      <c r="Q4812" s="135"/>
      <c r="R4812" s="135"/>
      <c r="S4812" s="135"/>
      <c r="T4812" s="135"/>
      <c r="U4812" s="135"/>
      <c r="V4812" s="135"/>
      <c r="W4812" s="135"/>
      <c r="X4812" s="135"/>
      <c r="Y4812" s="135"/>
      <c r="Z4812" s="135"/>
    </row>
    <row r="4813" spans="1:26" ht="25.5">
      <c r="A4813" s="136" t="s">
        <v>16</v>
      </c>
      <c r="B4813" s="136" t="s">
        <v>7971</v>
      </c>
      <c r="C4813" s="136" t="s">
        <v>8011</v>
      </c>
      <c r="D4813" s="136" t="s">
        <v>1682</v>
      </c>
      <c r="E4813" s="136" t="s">
        <v>86</v>
      </c>
      <c r="F4813" s="136">
        <v>9</v>
      </c>
      <c r="G4813" s="137">
        <f t="shared" si="18"/>
        <v>23</v>
      </c>
      <c r="H4813" s="137"/>
      <c r="I4813" s="137"/>
      <c r="J4813" s="135"/>
      <c r="K4813" s="135"/>
      <c r="L4813" s="135"/>
      <c r="M4813" s="135"/>
      <c r="N4813" s="135"/>
      <c r="O4813" s="135"/>
      <c r="P4813" s="135"/>
      <c r="Q4813" s="135"/>
      <c r="R4813" s="135"/>
      <c r="S4813" s="135"/>
      <c r="T4813" s="135"/>
      <c r="U4813" s="135"/>
      <c r="V4813" s="135"/>
      <c r="W4813" s="135"/>
      <c r="X4813" s="135"/>
      <c r="Y4813" s="135"/>
      <c r="Z4813" s="135"/>
    </row>
    <row r="4814" spans="1:26" ht="25.5">
      <c r="A4814" s="136" t="s">
        <v>16</v>
      </c>
      <c r="B4814" s="136" t="s">
        <v>7971</v>
      </c>
      <c r="C4814" s="136" t="s">
        <v>8011</v>
      </c>
      <c r="D4814" s="136" t="s">
        <v>7958</v>
      </c>
      <c r="E4814" s="136" t="s">
        <v>615</v>
      </c>
      <c r="F4814" s="136">
        <v>5</v>
      </c>
      <c r="G4814" s="137">
        <f t="shared" si="18"/>
        <v>24</v>
      </c>
      <c r="H4814" s="137"/>
      <c r="I4814" s="137"/>
      <c r="J4814" s="135"/>
      <c r="K4814" s="135"/>
      <c r="L4814" s="135"/>
      <c r="M4814" s="135"/>
      <c r="N4814" s="135"/>
      <c r="O4814" s="135"/>
      <c r="P4814" s="135"/>
      <c r="Q4814" s="135"/>
      <c r="R4814" s="135"/>
      <c r="S4814" s="135"/>
      <c r="T4814" s="135"/>
      <c r="U4814" s="135"/>
      <c r="V4814" s="135"/>
      <c r="W4814" s="135"/>
      <c r="X4814" s="135"/>
      <c r="Y4814" s="135"/>
      <c r="Z4814" s="135"/>
    </row>
    <row r="4815" spans="1:26" ht="25.5">
      <c r="A4815" s="136" t="s">
        <v>16</v>
      </c>
      <c r="B4815" s="136" t="s">
        <v>7971</v>
      </c>
      <c r="C4815" s="136" t="s">
        <v>8015</v>
      </c>
      <c r="D4815" s="136" t="s">
        <v>8013</v>
      </c>
      <c r="E4815" s="136" t="s">
        <v>615</v>
      </c>
      <c r="F4815" s="136">
        <v>5600</v>
      </c>
      <c r="G4815" s="137">
        <f t="shared" si="18"/>
        <v>1</v>
      </c>
      <c r="H4815" s="137"/>
      <c r="I4815" s="137"/>
      <c r="J4815" s="135"/>
      <c r="K4815" s="135"/>
      <c r="L4815" s="135"/>
      <c r="M4815" s="135"/>
      <c r="N4815" s="135"/>
      <c r="O4815" s="135"/>
      <c r="P4815" s="135"/>
      <c r="Q4815" s="135"/>
      <c r="R4815" s="135"/>
      <c r="S4815" s="135"/>
      <c r="T4815" s="135"/>
      <c r="U4815" s="135"/>
      <c r="V4815" s="135"/>
      <c r="W4815" s="135"/>
      <c r="X4815" s="135"/>
      <c r="Y4815" s="135"/>
      <c r="Z4815" s="135"/>
    </row>
    <row r="4816" spans="1:26" ht="25.5">
      <c r="A4816" s="136" t="s">
        <v>16</v>
      </c>
      <c r="B4816" s="136" t="s">
        <v>7971</v>
      </c>
      <c r="C4816" s="136" t="s">
        <v>8015</v>
      </c>
      <c r="D4816" s="136" t="s">
        <v>114</v>
      </c>
      <c r="E4816" s="136" t="s">
        <v>85</v>
      </c>
      <c r="F4816" s="136">
        <v>23</v>
      </c>
      <c r="G4816" s="137">
        <f t="shared" si="18"/>
        <v>2</v>
      </c>
      <c r="H4816" s="137"/>
      <c r="I4816" s="137"/>
      <c r="J4816" s="135"/>
      <c r="K4816" s="135"/>
      <c r="L4816" s="135"/>
      <c r="M4816" s="135"/>
      <c r="N4816" s="135"/>
      <c r="O4816" s="135"/>
      <c r="P4816" s="135"/>
      <c r="Q4816" s="135"/>
      <c r="R4816" s="135"/>
      <c r="S4816" s="135"/>
      <c r="T4816" s="135"/>
      <c r="U4816" s="135"/>
      <c r="V4816" s="135"/>
      <c r="W4816" s="135"/>
      <c r="X4816" s="135"/>
      <c r="Y4816" s="135"/>
      <c r="Z4816" s="135"/>
    </row>
    <row r="4817" spans="1:26" ht="25.5">
      <c r="A4817" s="136" t="s">
        <v>16</v>
      </c>
      <c r="B4817" s="136" t="s">
        <v>7971</v>
      </c>
      <c r="C4817" s="136" t="s">
        <v>8015</v>
      </c>
      <c r="D4817" s="136" t="s">
        <v>139</v>
      </c>
      <c r="E4817" s="136" t="s">
        <v>594</v>
      </c>
      <c r="F4817" s="136">
        <v>12</v>
      </c>
      <c r="G4817" s="137">
        <f t="shared" si="18"/>
        <v>3</v>
      </c>
      <c r="H4817" s="137"/>
      <c r="I4817" s="137"/>
      <c r="J4817" s="135"/>
      <c r="K4817" s="135"/>
      <c r="L4817" s="135"/>
      <c r="M4817" s="135"/>
      <c r="N4817" s="135"/>
      <c r="O4817" s="135"/>
      <c r="P4817" s="135"/>
      <c r="Q4817" s="135"/>
      <c r="R4817" s="135"/>
      <c r="S4817" s="135"/>
      <c r="T4817" s="135"/>
      <c r="U4817" s="135"/>
      <c r="V4817" s="135"/>
      <c r="W4817" s="135"/>
      <c r="X4817" s="135"/>
      <c r="Y4817" s="135"/>
      <c r="Z4817" s="135"/>
    </row>
    <row r="4818" spans="1:26" ht="25.5">
      <c r="A4818" s="136" t="s">
        <v>16</v>
      </c>
      <c r="B4818" s="136" t="s">
        <v>7971</v>
      </c>
      <c r="C4818" s="136" t="s">
        <v>8016</v>
      </c>
      <c r="D4818" s="136" t="s">
        <v>1604</v>
      </c>
      <c r="E4818" s="136" t="s">
        <v>615</v>
      </c>
      <c r="F4818" s="136">
        <v>5263</v>
      </c>
      <c r="G4818" s="137">
        <f t="shared" si="18"/>
        <v>1</v>
      </c>
      <c r="H4818" s="137"/>
      <c r="I4818" s="137"/>
      <c r="J4818" s="135"/>
      <c r="K4818" s="135"/>
      <c r="L4818" s="135"/>
      <c r="M4818" s="135"/>
      <c r="N4818" s="135"/>
      <c r="O4818" s="135"/>
      <c r="P4818" s="135"/>
      <c r="Q4818" s="135"/>
      <c r="R4818" s="135"/>
      <c r="S4818" s="135"/>
      <c r="T4818" s="135"/>
      <c r="U4818" s="135"/>
      <c r="V4818" s="135"/>
      <c r="W4818" s="135"/>
      <c r="X4818" s="135"/>
      <c r="Y4818" s="135"/>
      <c r="Z4818" s="135"/>
    </row>
    <row r="4819" spans="1:26" ht="25.5">
      <c r="A4819" s="136" t="s">
        <v>16</v>
      </c>
      <c r="B4819" s="136" t="s">
        <v>7971</v>
      </c>
      <c r="C4819" s="136" t="s">
        <v>8016</v>
      </c>
      <c r="D4819" s="136" t="s">
        <v>7685</v>
      </c>
      <c r="E4819" s="136" t="s">
        <v>594</v>
      </c>
      <c r="F4819" s="136">
        <v>83</v>
      </c>
      <c r="G4819" s="137">
        <f t="shared" si="18"/>
        <v>2</v>
      </c>
      <c r="H4819" s="137"/>
      <c r="I4819" s="137"/>
      <c r="J4819" s="135"/>
      <c r="K4819" s="135"/>
      <c r="L4819" s="135"/>
      <c r="M4819" s="135"/>
      <c r="N4819" s="135"/>
      <c r="O4819" s="135"/>
      <c r="P4819" s="135"/>
      <c r="Q4819" s="135"/>
      <c r="R4819" s="135"/>
      <c r="S4819" s="135"/>
      <c r="T4819" s="135"/>
      <c r="U4819" s="135"/>
      <c r="V4819" s="135"/>
      <c r="W4819" s="135"/>
      <c r="X4819" s="135"/>
      <c r="Y4819" s="135"/>
      <c r="Z4819" s="135"/>
    </row>
    <row r="4820" spans="1:26" ht="25.5">
      <c r="A4820" s="136" t="s">
        <v>16</v>
      </c>
      <c r="B4820" s="136" t="s">
        <v>7971</v>
      </c>
      <c r="C4820" s="136" t="s">
        <v>8016</v>
      </c>
      <c r="D4820" s="136" t="s">
        <v>368</v>
      </c>
      <c r="E4820" s="136" t="s">
        <v>594</v>
      </c>
      <c r="F4820" s="136">
        <v>44</v>
      </c>
      <c r="G4820" s="137">
        <f t="shared" si="18"/>
        <v>3</v>
      </c>
      <c r="H4820" s="137"/>
      <c r="I4820" s="137"/>
      <c r="J4820" s="135"/>
      <c r="K4820" s="135"/>
      <c r="L4820" s="135"/>
      <c r="M4820" s="135"/>
      <c r="N4820" s="135"/>
      <c r="O4820" s="135"/>
      <c r="P4820" s="135"/>
      <c r="Q4820" s="135"/>
      <c r="R4820" s="135"/>
      <c r="S4820" s="135"/>
      <c r="T4820" s="135"/>
      <c r="U4820" s="135"/>
      <c r="V4820" s="135"/>
      <c r="W4820" s="135"/>
      <c r="X4820" s="135"/>
      <c r="Y4820" s="135"/>
      <c r="Z4820" s="135"/>
    </row>
    <row r="4821" spans="1:26" ht="25.5">
      <c r="A4821" s="136" t="s">
        <v>16</v>
      </c>
      <c r="B4821" s="136" t="s">
        <v>7971</v>
      </c>
      <c r="C4821" s="136" t="s">
        <v>8016</v>
      </c>
      <c r="D4821" s="136" t="s">
        <v>1674</v>
      </c>
      <c r="E4821" s="136" t="s">
        <v>615</v>
      </c>
      <c r="F4821" s="136">
        <v>6</v>
      </c>
      <c r="G4821" s="137">
        <f t="shared" si="18"/>
        <v>4</v>
      </c>
      <c r="H4821" s="137"/>
      <c r="I4821" s="137"/>
      <c r="J4821" s="135"/>
      <c r="K4821" s="135"/>
      <c r="L4821" s="135"/>
      <c r="M4821" s="135"/>
      <c r="N4821" s="135"/>
      <c r="O4821" s="135"/>
      <c r="P4821" s="135"/>
      <c r="Q4821" s="135"/>
      <c r="R4821" s="135"/>
      <c r="S4821" s="135"/>
      <c r="T4821" s="135"/>
      <c r="U4821" s="135"/>
      <c r="V4821" s="135"/>
      <c r="W4821" s="135"/>
      <c r="X4821" s="135"/>
      <c r="Y4821" s="135"/>
      <c r="Z4821" s="135"/>
    </row>
    <row r="4822" spans="1:26" ht="25.5">
      <c r="A4822" s="136" t="s">
        <v>16</v>
      </c>
      <c r="B4822" s="136" t="s">
        <v>7971</v>
      </c>
      <c r="C4822" s="136" t="s">
        <v>8017</v>
      </c>
      <c r="D4822" s="136" t="s">
        <v>139</v>
      </c>
      <c r="E4822" s="136" t="s">
        <v>594</v>
      </c>
      <c r="F4822" s="136">
        <v>75</v>
      </c>
      <c r="G4822" s="137">
        <f t="shared" si="18"/>
        <v>5</v>
      </c>
      <c r="H4822" s="137"/>
      <c r="I4822" s="137"/>
      <c r="J4822" s="135"/>
      <c r="K4822" s="135"/>
      <c r="L4822" s="135"/>
      <c r="M4822" s="135"/>
      <c r="N4822" s="135"/>
      <c r="O4822" s="135"/>
      <c r="P4822" s="135"/>
      <c r="Q4822" s="135"/>
      <c r="R4822" s="135"/>
      <c r="S4822" s="135"/>
      <c r="T4822" s="135"/>
      <c r="U4822" s="135"/>
      <c r="V4822" s="135"/>
      <c r="W4822" s="135"/>
      <c r="X4822" s="135"/>
      <c r="Y4822" s="135"/>
      <c r="Z4822" s="135"/>
    </row>
    <row r="4823" spans="1:26" ht="25.5">
      <c r="A4823" s="136" t="s">
        <v>16</v>
      </c>
      <c r="B4823" s="136" t="s">
        <v>7971</v>
      </c>
      <c r="C4823" s="136" t="s">
        <v>8017</v>
      </c>
      <c r="D4823" s="136" t="s">
        <v>1656</v>
      </c>
      <c r="E4823" s="136" t="s">
        <v>594</v>
      </c>
      <c r="F4823" s="136">
        <v>40</v>
      </c>
      <c r="G4823" s="137">
        <f t="shared" si="18"/>
        <v>10</v>
      </c>
      <c r="H4823" s="137"/>
      <c r="I4823" s="137"/>
      <c r="J4823" s="135"/>
      <c r="K4823" s="135"/>
      <c r="L4823" s="135"/>
      <c r="M4823" s="135"/>
      <c r="N4823" s="135"/>
      <c r="O4823" s="135"/>
      <c r="P4823" s="135"/>
      <c r="Q4823" s="135"/>
      <c r="R4823" s="135"/>
      <c r="S4823" s="135"/>
      <c r="T4823" s="135"/>
      <c r="U4823" s="135"/>
      <c r="V4823" s="135"/>
      <c r="W4823" s="135"/>
      <c r="X4823" s="135"/>
      <c r="Y4823" s="135"/>
      <c r="Z4823" s="135"/>
    </row>
    <row r="4824" spans="1:26" ht="25.5">
      <c r="A4824" s="136" t="s">
        <v>16</v>
      </c>
      <c r="B4824" s="136" t="s">
        <v>7971</v>
      </c>
      <c r="C4824" s="136" t="s">
        <v>8017</v>
      </c>
      <c r="D4824" s="136" t="s">
        <v>368</v>
      </c>
      <c r="E4824" s="136" t="s">
        <v>594</v>
      </c>
      <c r="F4824" s="136">
        <v>51</v>
      </c>
      <c r="G4824" s="137">
        <f t="shared" si="18"/>
        <v>6</v>
      </c>
      <c r="H4824" s="137"/>
      <c r="I4824" s="137"/>
      <c r="J4824" s="135"/>
      <c r="K4824" s="135"/>
      <c r="L4824" s="135"/>
      <c r="M4824" s="135"/>
      <c r="N4824" s="135"/>
      <c r="O4824" s="135"/>
      <c r="P4824" s="135"/>
      <c r="Q4824" s="135"/>
      <c r="R4824" s="135"/>
      <c r="S4824" s="135"/>
      <c r="T4824" s="135"/>
      <c r="U4824" s="135"/>
      <c r="V4824" s="135"/>
      <c r="W4824" s="135"/>
      <c r="X4824" s="135"/>
      <c r="Y4824" s="135"/>
      <c r="Z4824" s="135"/>
    </row>
    <row r="4825" spans="1:26" ht="25.5">
      <c r="A4825" s="136" t="s">
        <v>16</v>
      </c>
      <c r="B4825" s="136" t="s">
        <v>7971</v>
      </c>
      <c r="C4825" s="136" t="s">
        <v>8017</v>
      </c>
      <c r="D4825" s="136" t="s">
        <v>1626</v>
      </c>
      <c r="E4825" s="136" t="s">
        <v>594</v>
      </c>
      <c r="F4825" s="136">
        <v>6</v>
      </c>
      <c r="G4825" s="137">
        <f t="shared" si="18"/>
        <v>16</v>
      </c>
      <c r="H4825" s="137"/>
      <c r="I4825" s="137"/>
      <c r="J4825" s="135"/>
      <c r="K4825" s="135"/>
      <c r="L4825" s="135"/>
      <c r="M4825" s="135"/>
      <c r="N4825" s="135"/>
      <c r="O4825" s="135"/>
      <c r="P4825" s="135"/>
      <c r="Q4825" s="135"/>
      <c r="R4825" s="135"/>
      <c r="S4825" s="135"/>
      <c r="T4825" s="135"/>
      <c r="U4825" s="135"/>
      <c r="V4825" s="135"/>
      <c r="W4825" s="135"/>
      <c r="X4825" s="135"/>
      <c r="Y4825" s="135"/>
      <c r="Z4825" s="135"/>
    </row>
    <row r="4826" spans="1:26" ht="25.5">
      <c r="A4826" s="136" t="s">
        <v>16</v>
      </c>
      <c r="B4826" s="136" t="s">
        <v>7971</v>
      </c>
      <c r="C4826" s="136" t="s">
        <v>8017</v>
      </c>
      <c r="D4826" s="136" t="s">
        <v>103</v>
      </c>
      <c r="E4826" s="136" t="s">
        <v>594</v>
      </c>
      <c r="F4826" s="136">
        <v>8</v>
      </c>
      <c r="G4826" s="137">
        <f t="shared" si="18"/>
        <v>15</v>
      </c>
      <c r="H4826" s="137"/>
      <c r="I4826" s="137"/>
      <c r="J4826" s="135"/>
      <c r="K4826" s="135"/>
      <c r="L4826" s="135"/>
      <c r="M4826" s="135"/>
      <c r="N4826" s="135"/>
      <c r="O4826" s="135"/>
      <c r="P4826" s="135"/>
      <c r="Q4826" s="135"/>
      <c r="R4826" s="135"/>
      <c r="S4826" s="135"/>
      <c r="T4826" s="135"/>
      <c r="U4826" s="135"/>
      <c r="V4826" s="135"/>
      <c r="W4826" s="135"/>
      <c r="X4826" s="135"/>
      <c r="Y4826" s="135"/>
      <c r="Z4826" s="135"/>
    </row>
    <row r="4827" spans="1:26" ht="25.5">
      <c r="A4827" s="136" t="s">
        <v>16</v>
      </c>
      <c r="B4827" s="136" t="s">
        <v>7971</v>
      </c>
      <c r="C4827" s="136" t="s">
        <v>8017</v>
      </c>
      <c r="D4827" s="136" t="s">
        <v>7685</v>
      </c>
      <c r="E4827" s="136" t="s">
        <v>594</v>
      </c>
      <c r="F4827" s="136">
        <v>108</v>
      </c>
      <c r="G4827" s="137">
        <f t="shared" si="18"/>
        <v>4</v>
      </c>
      <c r="H4827" s="137"/>
      <c r="I4827" s="137"/>
      <c r="J4827" s="135"/>
      <c r="K4827" s="135"/>
      <c r="L4827" s="135"/>
      <c r="M4827" s="135"/>
      <c r="N4827" s="135"/>
      <c r="O4827" s="135"/>
      <c r="P4827" s="135"/>
      <c r="Q4827" s="135"/>
      <c r="R4827" s="135"/>
      <c r="S4827" s="135"/>
      <c r="T4827" s="135"/>
      <c r="U4827" s="135"/>
      <c r="V4827" s="135"/>
      <c r="W4827" s="135"/>
      <c r="X4827" s="135"/>
      <c r="Y4827" s="135"/>
      <c r="Z4827" s="135"/>
    </row>
    <row r="4828" spans="1:26" ht="25.5">
      <c r="A4828" s="136" t="s">
        <v>16</v>
      </c>
      <c r="B4828" s="136" t="s">
        <v>7971</v>
      </c>
      <c r="C4828" s="136" t="s">
        <v>8017</v>
      </c>
      <c r="D4828" s="136" t="s">
        <v>1604</v>
      </c>
      <c r="E4828" s="136" t="s">
        <v>615</v>
      </c>
      <c r="F4828" s="136">
        <v>1523</v>
      </c>
      <c r="G4828" s="137">
        <f t="shared" si="18"/>
        <v>2</v>
      </c>
      <c r="H4828" s="137"/>
      <c r="I4828" s="137"/>
      <c r="J4828" s="135"/>
      <c r="K4828" s="135"/>
      <c r="L4828" s="135"/>
      <c r="M4828" s="135"/>
      <c r="N4828" s="135"/>
      <c r="O4828" s="135"/>
      <c r="P4828" s="135"/>
      <c r="Q4828" s="135"/>
      <c r="R4828" s="135"/>
      <c r="S4828" s="135"/>
      <c r="T4828" s="135"/>
      <c r="U4828" s="135"/>
      <c r="V4828" s="135"/>
      <c r="W4828" s="135"/>
      <c r="X4828" s="135"/>
      <c r="Y4828" s="135"/>
      <c r="Z4828" s="135"/>
    </row>
    <row r="4829" spans="1:26" ht="25.5">
      <c r="A4829" s="136" t="s">
        <v>16</v>
      </c>
      <c r="B4829" s="136" t="s">
        <v>7971</v>
      </c>
      <c r="C4829" s="136" t="s">
        <v>8017</v>
      </c>
      <c r="D4829" s="136" t="s">
        <v>107</v>
      </c>
      <c r="E4829" s="136" t="s">
        <v>615</v>
      </c>
      <c r="F4829" s="136">
        <v>30</v>
      </c>
      <c r="G4829" s="137">
        <f t="shared" si="18"/>
        <v>11</v>
      </c>
      <c r="H4829" s="137"/>
      <c r="I4829" s="137"/>
      <c r="J4829" s="135"/>
      <c r="K4829" s="135"/>
      <c r="L4829" s="135"/>
      <c r="M4829" s="135"/>
      <c r="N4829" s="135"/>
      <c r="O4829" s="135"/>
      <c r="P4829" s="135"/>
      <c r="Q4829" s="135"/>
      <c r="R4829" s="135"/>
      <c r="S4829" s="135"/>
      <c r="T4829" s="135"/>
      <c r="U4829" s="135"/>
      <c r="V4829" s="135"/>
      <c r="W4829" s="135"/>
      <c r="X4829" s="135"/>
      <c r="Y4829" s="135"/>
      <c r="Z4829" s="135"/>
    </row>
    <row r="4830" spans="1:26" ht="25.5">
      <c r="A4830" s="136" t="s">
        <v>16</v>
      </c>
      <c r="B4830" s="136" t="s">
        <v>7971</v>
      </c>
      <c r="C4830" s="136" t="s">
        <v>8017</v>
      </c>
      <c r="D4830" s="136" t="s">
        <v>165</v>
      </c>
      <c r="E4830" s="136" t="s">
        <v>615</v>
      </c>
      <c r="F4830" s="136">
        <v>50</v>
      </c>
      <c r="G4830" s="137">
        <f t="shared" si="18"/>
        <v>7</v>
      </c>
      <c r="H4830" s="137"/>
      <c r="I4830" s="137"/>
      <c r="J4830" s="135"/>
      <c r="K4830" s="135"/>
      <c r="L4830" s="135"/>
      <c r="M4830" s="135"/>
      <c r="N4830" s="135"/>
      <c r="O4830" s="135"/>
      <c r="P4830" s="135"/>
      <c r="Q4830" s="135"/>
      <c r="R4830" s="135"/>
      <c r="S4830" s="135"/>
      <c r="T4830" s="135"/>
      <c r="U4830" s="135"/>
      <c r="V4830" s="135"/>
      <c r="W4830" s="135"/>
      <c r="X4830" s="135"/>
      <c r="Y4830" s="135"/>
      <c r="Z4830" s="135"/>
    </row>
    <row r="4831" spans="1:26" ht="25.5">
      <c r="A4831" s="136" t="s">
        <v>16</v>
      </c>
      <c r="B4831" s="136" t="s">
        <v>7971</v>
      </c>
      <c r="C4831" s="136" t="s">
        <v>8017</v>
      </c>
      <c r="D4831" s="136" t="s">
        <v>288</v>
      </c>
      <c r="E4831" s="136" t="s">
        <v>615</v>
      </c>
      <c r="F4831" s="136">
        <v>2042</v>
      </c>
      <c r="G4831" s="137">
        <f t="shared" si="18"/>
        <v>1</v>
      </c>
      <c r="H4831" s="137"/>
      <c r="I4831" s="137"/>
      <c r="J4831" s="135"/>
      <c r="K4831" s="135"/>
      <c r="L4831" s="135"/>
      <c r="M4831" s="135"/>
      <c r="N4831" s="135"/>
      <c r="O4831" s="135"/>
      <c r="P4831" s="135"/>
      <c r="Q4831" s="135"/>
      <c r="R4831" s="135"/>
      <c r="S4831" s="135"/>
      <c r="T4831" s="135"/>
      <c r="U4831" s="135"/>
      <c r="V4831" s="135"/>
      <c r="W4831" s="135"/>
      <c r="X4831" s="135"/>
      <c r="Y4831" s="135"/>
      <c r="Z4831" s="135"/>
    </row>
    <row r="4832" spans="1:26" ht="25.5">
      <c r="A4832" s="136" t="s">
        <v>16</v>
      </c>
      <c r="B4832" s="136" t="s">
        <v>7971</v>
      </c>
      <c r="C4832" s="136" t="s">
        <v>8017</v>
      </c>
      <c r="D4832" s="136" t="s">
        <v>7985</v>
      </c>
      <c r="E4832" s="136" t="s">
        <v>615</v>
      </c>
      <c r="F4832" s="136">
        <v>20</v>
      </c>
      <c r="G4832" s="137">
        <f t="shared" si="18"/>
        <v>12</v>
      </c>
      <c r="H4832" s="137"/>
      <c r="I4832" s="137"/>
      <c r="J4832" s="135"/>
      <c r="K4832" s="135"/>
      <c r="L4832" s="135"/>
      <c r="M4832" s="135"/>
      <c r="N4832" s="135"/>
      <c r="O4832" s="135"/>
      <c r="P4832" s="135"/>
      <c r="Q4832" s="135"/>
      <c r="R4832" s="135"/>
      <c r="S4832" s="135"/>
      <c r="T4832" s="135"/>
      <c r="U4832" s="135"/>
      <c r="V4832" s="135"/>
      <c r="W4832" s="135"/>
      <c r="X4832" s="135"/>
      <c r="Y4832" s="135"/>
      <c r="Z4832" s="135"/>
    </row>
    <row r="4833" spans="1:26" ht="25.5">
      <c r="A4833" s="136" t="s">
        <v>16</v>
      </c>
      <c r="B4833" s="136" t="s">
        <v>7971</v>
      </c>
      <c r="C4833" s="136" t="s">
        <v>8017</v>
      </c>
      <c r="D4833" s="136" t="s">
        <v>120</v>
      </c>
      <c r="E4833" s="136" t="s">
        <v>615</v>
      </c>
      <c r="F4833" s="136">
        <v>20</v>
      </c>
      <c r="G4833" s="137">
        <f t="shared" si="18"/>
        <v>13</v>
      </c>
      <c r="H4833" s="137"/>
      <c r="I4833" s="137"/>
      <c r="J4833" s="135"/>
      <c r="K4833" s="135"/>
      <c r="L4833" s="135"/>
      <c r="M4833" s="135"/>
      <c r="N4833" s="135"/>
      <c r="O4833" s="135"/>
      <c r="P4833" s="135"/>
      <c r="Q4833" s="135"/>
      <c r="R4833" s="135"/>
      <c r="S4833" s="135"/>
      <c r="T4833" s="135"/>
      <c r="U4833" s="135"/>
      <c r="V4833" s="135"/>
      <c r="W4833" s="135"/>
      <c r="X4833" s="135"/>
      <c r="Y4833" s="135"/>
      <c r="Z4833" s="135"/>
    </row>
    <row r="4834" spans="1:26" ht="25.5">
      <c r="A4834" s="136" t="s">
        <v>16</v>
      </c>
      <c r="B4834" s="136" t="s">
        <v>7971</v>
      </c>
      <c r="C4834" s="136" t="s">
        <v>8017</v>
      </c>
      <c r="D4834" s="136" t="s">
        <v>1656</v>
      </c>
      <c r="E4834" s="136" t="s">
        <v>615</v>
      </c>
      <c r="F4834" s="136">
        <v>50</v>
      </c>
      <c r="G4834" s="137">
        <f t="shared" si="18"/>
        <v>8</v>
      </c>
      <c r="H4834" s="137"/>
      <c r="I4834" s="137"/>
      <c r="J4834" s="135"/>
      <c r="K4834" s="135"/>
      <c r="L4834" s="135"/>
      <c r="M4834" s="135"/>
      <c r="N4834" s="135"/>
      <c r="O4834" s="135"/>
      <c r="P4834" s="135"/>
      <c r="Q4834" s="135"/>
      <c r="R4834" s="135"/>
      <c r="S4834" s="135"/>
      <c r="T4834" s="135"/>
      <c r="U4834" s="135"/>
      <c r="V4834" s="135"/>
      <c r="W4834" s="135"/>
      <c r="X4834" s="135"/>
      <c r="Y4834" s="135"/>
      <c r="Z4834" s="135"/>
    </row>
    <row r="4835" spans="1:26" ht="25.5">
      <c r="A4835" s="136" t="s">
        <v>16</v>
      </c>
      <c r="B4835" s="136" t="s">
        <v>7971</v>
      </c>
      <c r="C4835" s="136" t="s">
        <v>8017</v>
      </c>
      <c r="D4835" s="136" t="s">
        <v>7786</v>
      </c>
      <c r="E4835" s="136" t="s">
        <v>615</v>
      </c>
      <c r="F4835" s="136">
        <v>20</v>
      </c>
      <c r="G4835" s="137">
        <f t="shared" si="18"/>
        <v>14</v>
      </c>
      <c r="H4835" s="137"/>
      <c r="I4835" s="137"/>
      <c r="J4835" s="135"/>
      <c r="K4835" s="135"/>
      <c r="L4835" s="135"/>
      <c r="M4835" s="135"/>
      <c r="N4835" s="135"/>
      <c r="O4835" s="135"/>
      <c r="P4835" s="135"/>
      <c r="Q4835" s="135"/>
      <c r="R4835" s="135"/>
      <c r="S4835" s="135"/>
      <c r="T4835" s="135"/>
      <c r="U4835" s="135"/>
      <c r="V4835" s="135"/>
      <c r="W4835" s="135"/>
      <c r="X4835" s="135"/>
      <c r="Y4835" s="135"/>
      <c r="Z4835" s="135"/>
    </row>
    <row r="4836" spans="1:26" ht="25.5">
      <c r="A4836" s="136" t="s">
        <v>16</v>
      </c>
      <c r="B4836" s="136" t="s">
        <v>7971</v>
      </c>
      <c r="C4836" s="136" t="s">
        <v>8017</v>
      </c>
      <c r="D4836" s="136" t="s">
        <v>8018</v>
      </c>
      <c r="E4836" s="136" t="s">
        <v>615</v>
      </c>
      <c r="F4836" s="136">
        <v>520</v>
      </c>
      <c r="G4836" s="137">
        <f t="shared" si="18"/>
        <v>3</v>
      </c>
      <c r="H4836" s="137"/>
      <c r="I4836" s="137"/>
      <c r="J4836" s="135"/>
      <c r="K4836" s="135"/>
      <c r="L4836" s="135"/>
      <c r="M4836" s="135"/>
      <c r="N4836" s="135"/>
      <c r="O4836" s="135"/>
      <c r="P4836" s="135"/>
      <c r="Q4836" s="135"/>
      <c r="R4836" s="135"/>
      <c r="S4836" s="135"/>
      <c r="T4836" s="135"/>
      <c r="U4836" s="135"/>
      <c r="V4836" s="135"/>
      <c r="W4836" s="135"/>
      <c r="X4836" s="135"/>
      <c r="Y4836" s="135"/>
      <c r="Z4836" s="135"/>
    </row>
    <row r="4837" spans="1:26" ht="25.5">
      <c r="A4837" s="136" t="s">
        <v>16</v>
      </c>
      <c r="B4837" s="136" t="s">
        <v>7971</v>
      </c>
      <c r="C4837" s="136" t="s">
        <v>8017</v>
      </c>
      <c r="D4837" s="136" t="s">
        <v>114</v>
      </c>
      <c r="E4837" s="136" t="s">
        <v>85</v>
      </c>
      <c r="F4837" s="136">
        <v>45</v>
      </c>
      <c r="G4837" s="137">
        <f t="shared" si="18"/>
        <v>9</v>
      </c>
      <c r="H4837" s="137"/>
      <c r="I4837" s="137"/>
      <c r="J4837" s="135"/>
      <c r="K4837" s="135"/>
      <c r="L4837" s="135"/>
      <c r="M4837" s="135"/>
      <c r="N4837" s="135"/>
      <c r="O4837" s="135"/>
      <c r="P4837" s="135"/>
      <c r="Q4837" s="135"/>
      <c r="R4837" s="135"/>
      <c r="S4837" s="135"/>
      <c r="T4837" s="135"/>
      <c r="U4837" s="135"/>
      <c r="V4837" s="135"/>
      <c r="W4837" s="135"/>
      <c r="X4837" s="135"/>
      <c r="Y4837" s="135"/>
      <c r="Z4837" s="135"/>
    </row>
    <row r="4838" spans="1:26" ht="25.5">
      <c r="A4838" s="136" t="s">
        <v>16</v>
      </c>
      <c r="B4838" s="136" t="s">
        <v>7971</v>
      </c>
      <c r="C4838" s="136" t="s">
        <v>8019</v>
      </c>
      <c r="D4838" s="136" t="s">
        <v>139</v>
      </c>
      <c r="E4838" s="136" t="s">
        <v>594</v>
      </c>
      <c r="F4838" s="136">
        <v>1252</v>
      </c>
      <c r="G4838" s="137">
        <f t="shared" si="18"/>
        <v>1</v>
      </c>
      <c r="H4838" s="137"/>
      <c r="I4838" s="137"/>
      <c r="J4838" s="135"/>
      <c r="K4838" s="135"/>
      <c r="L4838" s="135"/>
      <c r="M4838" s="135"/>
      <c r="N4838" s="135"/>
      <c r="O4838" s="135"/>
      <c r="P4838" s="135"/>
      <c r="Q4838" s="135"/>
      <c r="R4838" s="135"/>
      <c r="S4838" s="135"/>
      <c r="T4838" s="135"/>
      <c r="U4838" s="135"/>
      <c r="V4838" s="135"/>
      <c r="W4838" s="135"/>
      <c r="X4838" s="135"/>
      <c r="Y4838" s="135"/>
      <c r="Z4838" s="135"/>
    </row>
    <row r="4839" spans="1:26" ht="25.5">
      <c r="A4839" s="136" t="s">
        <v>16</v>
      </c>
      <c r="B4839" s="136" t="s">
        <v>7971</v>
      </c>
      <c r="C4839" s="136" t="s">
        <v>8019</v>
      </c>
      <c r="D4839" s="136" t="s">
        <v>288</v>
      </c>
      <c r="E4839" s="136" t="s">
        <v>615</v>
      </c>
      <c r="F4839" s="136">
        <v>889</v>
      </c>
      <c r="G4839" s="137">
        <f t="shared" si="18"/>
        <v>2</v>
      </c>
      <c r="H4839" s="137"/>
      <c r="I4839" s="137"/>
      <c r="J4839" s="135"/>
      <c r="K4839" s="135"/>
      <c r="L4839" s="135"/>
      <c r="M4839" s="135"/>
      <c r="N4839" s="135"/>
      <c r="O4839" s="135"/>
      <c r="P4839" s="135"/>
      <c r="Q4839" s="135"/>
      <c r="R4839" s="135"/>
      <c r="S4839" s="135"/>
      <c r="T4839" s="135"/>
      <c r="U4839" s="135"/>
      <c r="V4839" s="135"/>
      <c r="W4839" s="135"/>
      <c r="X4839" s="135"/>
      <c r="Y4839" s="135"/>
      <c r="Z4839" s="135"/>
    </row>
    <row r="4840" spans="1:26" ht="25.5">
      <c r="A4840" s="136" t="s">
        <v>16</v>
      </c>
      <c r="B4840" s="136" t="s">
        <v>7971</v>
      </c>
      <c r="C4840" s="136" t="s">
        <v>8019</v>
      </c>
      <c r="D4840" s="136" t="s">
        <v>1604</v>
      </c>
      <c r="E4840" s="136" t="s">
        <v>615</v>
      </c>
      <c r="F4840" s="136">
        <v>740</v>
      </c>
      <c r="G4840" s="137">
        <f t="shared" si="18"/>
        <v>3</v>
      </c>
      <c r="H4840" s="137"/>
      <c r="I4840" s="137"/>
      <c r="J4840" s="135"/>
      <c r="K4840" s="135"/>
      <c r="L4840" s="135"/>
      <c r="M4840" s="135"/>
      <c r="N4840" s="135"/>
      <c r="O4840" s="135"/>
      <c r="P4840" s="135"/>
      <c r="Q4840" s="135"/>
      <c r="R4840" s="135"/>
      <c r="S4840" s="135"/>
      <c r="T4840" s="135"/>
      <c r="U4840" s="135"/>
      <c r="V4840" s="135"/>
      <c r="W4840" s="135"/>
      <c r="X4840" s="135"/>
      <c r="Y4840" s="135"/>
      <c r="Z4840" s="135"/>
    </row>
    <row r="4841" spans="1:26" ht="25.5">
      <c r="A4841" s="136" t="s">
        <v>16</v>
      </c>
      <c r="B4841" s="136" t="s">
        <v>7971</v>
      </c>
      <c r="C4841" s="136" t="s">
        <v>8019</v>
      </c>
      <c r="D4841" s="136" t="s">
        <v>1626</v>
      </c>
      <c r="E4841" s="136" t="s">
        <v>594</v>
      </c>
      <c r="F4841" s="136">
        <v>587</v>
      </c>
      <c r="G4841" s="137">
        <f t="shared" si="18"/>
        <v>4</v>
      </c>
      <c r="H4841" s="137"/>
      <c r="I4841" s="137"/>
      <c r="J4841" s="135"/>
      <c r="K4841" s="135"/>
      <c r="L4841" s="135"/>
      <c r="M4841" s="135"/>
      <c r="N4841" s="135"/>
      <c r="O4841" s="135"/>
      <c r="P4841" s="135"/>
      <c r="Q4841" s="135"/>
      <c r="R4841" s="135"/>
      <c r="S4841" s="135"/>
      <c r="T4841" s="135"/>
      <c r="U4841" s="135"/>
      <c r="V4841" s="135"/>
      <c r="W4841" s="135"/>
      <c r="X4841" s="135"/>
      <c r="Y4841" s="135"/>
      <c r="Z4841" s="135"/>
    </row>
    <row r="4842" spans="1:26" ht="25.5">
      <c r="A4842" s="136" t="s">
        <v>16</v>
      </c>
      <c r="B4842" s="136" t="s">
        <v>7971</v>
      </c>
      <c r="C4842" s="136" t="s">
        <v>8019</v>
      </c>
      <c r="D4842" s="136" t="s">
        <v>368</v>
      </c>
      <c r="E4842" s="136" t="s">
        <v>594</v>
      </c>
      <c r="F4842" s="136">
        <v>537</v>
      </c>
      <c r="G4842" s="137">
        <f t="shared" si="18"/>
        <v>5</v>
      </c>
      <c r="H4842" s="137"/>
      <c r="I4842" s="137"/>
      <c r="J4842" s="135"/>
      <c r="K4842" s="135"/>
      <c r="L4842" s="135"/>
      <c r="M4842" s="135"/>
      <c r="N4842" s="135"/>
      <c r="O4842" s="135"/>
      <c r="P4842" s="135"/>
      <c r="Q4842" s="135"/>
      <c r="R4842" s="135"/>
      <c r="S4842" s="135"/>
      <c r="T4842" s="135"/>
      <c r="U4842" s="135"/>
      <c r="V4842" s="135"/>
      <c r="W4842" s="135"/>
      <c r="X4842" s="135"/>
      <c r="Y4842" s="135"/>
      <c r="Z4842" s="135"/>
    </row>
    <row r="4843" spans="1:26" ht="25.5">
      <c r="A4843" s="136" t="s">
        <v>16</v>
      </c>
      <c r="B4843" s="136" t="s">
        <v>7971</v>
      </c>
      <c r="C4843" s="136" t="s">
        <v>8019</v>
      </c>
      <c r="D4843" s="136" t="s">
        <v>114</v>
      </c>
      <c r="E4843" s="136" t="s">
        <v>85</v>
      </c>
      <c r="F4843" s="136">
        <v>324</v>
      </c>
      <c r="G4843" s="137">
        <f t="shared" si="18"/>
        <v>6</v>
      </c>
      <c r="H4843" s="137"/>
      <c r="I4843" s="137"/>
      <c r="J4843" s="135"/>
      <c r="K4843" s="135"/>
      <c r="L4843" s="135"/>
      <c r="M4843" s="135"/>
      <c r="N4843" s="135"/>
      <c r="O4843" s="135"/>
      <c r="P4843" s="135"/>
      <c r="Q4843" s="135"/>
      <c r="R4843" s="135"/>
      <c r="S4843" s="135"/>
      <c r="T4843" s="135"/>
      <c r="U4843" s="135"/>
      <c r="V4843" s="135"/>
      <c r="W4843" s="135"/>
      <c r="X4843" s="135"/>
      <c r="Y4843" s="135"/>
      <c r="Z4843" s="135"/>
    </row>
    <row r="4844" spans="1:26" ht="25.5">
      <c r="A4844" s="136" t="s">
        <v>16</v>
      </c>
      <c r="B4844" s="136" t="s">
        <v>7971</v>
      </c>
      <c r="C4844" s="136" t="s">
        <v>8019</v>
      </c>
      <c r="D4844" s="136" t="s">
        <v>7993</v>
      </c>
      <c r="E4844" s="136" t="s">
        <v>615</v>
      </c>
      <c r="F4844" s="136">
        <v>278</v>
      </c>
      <c r="G4844" s="137">
        <f t="shared" si="18"/>
        <v>7</v>
      </c>
      <c r="H4844" s="137"/>
      <c r="I4844" s="137"/>
      <c r="J4844" s="135"/>
      <c r="K4844" s="135"/>
      <c r="L4844" s="135"/>
      <c r="M4844" s="135"/>
      <c r="N4844" s="135"/>
      <c r="O4844" s="135"/>
      <c r="P4844" s="135"/>
      <c r="Q4844" s="135"/>
      <c r="R4844" s="135"/>
      <c r="S4844" s="135"/>
      <c r="T4844" s="135"/>
      <c r="U4844" s="135"/>
      <c r="V4844" s="135"/>
      <c r="W4844" s="135"/>
      <c r="X4844" s="135"/>
      <c r="Y4844" s="135"/>
      <c r="Z4844" s="135"/>
    </row>
    <row r="4845" spans="1:26" ht="25.5">
      <c r="A4845" s="136" t="s">
        <v>16</v>
      </c>
      <c r="B4845" s="136" t="s">
        <v>7971</v>
      </c>
      <c r="C4845" s="136" t="s">
        <v>8019</v>
      </c>
      <c r="D4845" s="136" t="s">
        <v>433</v>
      </c>
      <c r="E4845" s="136" t="s">
        <v>594</v>
      </c>
      <c r="F4845" s="136">
        <v>182</v>
      </c>
      <c r="G4845" s="137">
        <f t="shared" si="18"/>
        <v>8</v>
      </c>
      <c r="H4845" s="137"/>
      <c r="I4845" s="137"/>
      <c r="J4845" s="135"/>
      <c r="K4845" s="135"/>
      <c r="L4845" s="135"/>
      <c r="M4845" s="135"/>
      <c r="N4845" s="135"/>
      <c r="O4845" s="135"/>
      <c r="P4845" s="135"/>
      <c r="Q4845" s="135"/>
      <c r="R4845" s="135"/>
      <c r="S4845" s="135"/>
      <c r="T4845" s="135"/>
      <c r="U4845" s="135"/>
      <c r="V4845" s="135"/>
      <c r="W4845" s="135"/>
      <c r="X4845" s="135"/>
      <c r="Y4845" s="135"/>
      <c r="Z4845" s="135"/>
    </row>
    <row r="4846" spans="1:26" ht="25.5">
      <c r="A4846" s="136" t="s">
        <v>16</v>
      </c>
      <c r="B4846" s="136" t="s">
        <v>7971</v>
      </c>
      <c r="C4846" s="136" t="s">
        <v>8019</v>
      </c>
      <c r="D4846" s="136" t="s">
        <v>1639</v>
      </c>
      <c r="E4846" s="136" t="s">
        <v>615</v>
      </c>
      <c r="F4846" s="136">
        <v>128</v>
      </c>
      <c r="G4846" s="137">
        <f t="shared" si="18"/>
        <v>9</v>
      </c>
      <c r="H4846" s="137"/>
      <c r="I4846" s="137"/>
      <c r="J4846" s="135"/>
      <c r="K4846" s="135"/>
      <c r="L4846" s="135"/>
      <c r="M4846" s="135"/>
      <c r="N4846" s="135"/>
      <c r="O4846" s="135"/>
      <c r="P4846" s="135"/>
      <c r="Q4846" s="135"/>
      <c r="R4846" s="135"/>
      <c r="S4846" s="135"/>
      <c r="T4846" s="135"/>
      <c r="U4846" s="135"/>
      <c r="V4846" s="135"/>
      <c r="W4846" s="135"/>
      <c r="X4846" s="135"/>
      <c r="Y4846" s="135"/>
      <c r="Z4846" s="135"/>
    </row>
    <row r="4847" spans="1:26" ht="25.5">
      <c r="A4847" s="136" t="s">
        <v>16</v>
      </c>
      <c r="B4847" s="136" t="s">
        <v>7971</v>
      </c>
      <c r="C4847" s="136" t="s">
        <v>8019</v>
      </c>
      <c r="D4847" s="136" t="s">
        <v>7481</v>
      </c>
      <c r="E4847" s="136" t="s">
        <v>615</v>
      </c>
      <c r="F4847" s="136">
        <v>90</v>
      </c>
      <c r="G4847" s="137">
        <f t="shared" ref="G4847:G5101" si="19">COUNTIFS($C:$C,C4847,$F:$F,"&gt;"&amp;F4847)
 + COUNTIFS($C$2:C4847,C4847,$F$2:F4847,F4847)</f>
        <v>10</v>
      </c>
      <c r="H4847" s="137"/>
      <c r="I4847" s="137"/>
      <c r="J4847" s="135"/>
      <c r="K4847" s="135"/>
      <c r="L4847" s="135"/>
      <c r="M4847" s="135"/>
      <c r="N4847" s="135"/>
      <c r="O4847" s="135"/>
      <c r="P4847" s="135"/>
      <c r="Q4847" s="135"/>
      <c r="R4847" s="135"/>
      <c r="S4847" s="135"/>
      <c r="T4847" s="135"/>
      <c r="U4847" s="135"/>
      <c r="V4847" s="135"/>
      <c r="W4847" s="135"/>
      <c r="X4847" s="135"/>
      <c r="Y4847" s="135"/>
      <c r="Z4847" s="135"/>
    </row>
    <row r="4848" spans="1:26" ht="25.5">
      <c r="A4848" s="136" t="s">
        <v>16</v>
      </c>
      <c r="B4848" s="136" t="s">
        <v>7971</v>
      </c>
      <c r="C4848" s="136" t="s">
        <v>8019</v>
      </c>
      <c r="D4848" s="136" t="s">
        <v>103</v>
      </c>
      <c r="E4848" s="136" t="s">
        <v>594</v>
      </c>
      <c r="F4848" s="136">
        <v>89</v>
      </c>
      <c r="G4848" s="137">
        <f t="shared" si="19"/>
        <v>11</v>
      </c>
      <c r="H4848" s="137"/>
      <c r="I4848" s="137"/>
      <c r="J4848" s="135"/>
      <c r="K4848" s="135"/>
      <c r="L4848" s="135"/>
      <c r="M4848" s="135"/>
      <c r="N4848" s="135"/>
      <c r="O4848" s="135"/>
      <c r="P4848" s="135"/>
      <c r="Q4848" s="135"/>
      <c r="R4848" s="135"/>
      <c r="S4848" s="135"/>
      <c r="T4848" s="135"/>
      <c r="U4848" s="135"/>
      <c r="V4848" s="135"/>
      <c r="W4848" s="135"/>
      <c r="X4848" s="135"/>
      <c r="Y4848" s="135"/>
      <c r="Z4848" s="135"/>
    </row>
    <row r="4849" spans="1:26" ht="25.5">
      <c r="A4849" s="136" t="s">
        <v>16</v>
      </c>
      <c r="B4849" s="136" t="s">
        <v>7971</v>
      </c>
      <c r="C4849" s="136" t="s">
        <v>8019</v>
      </c>
      <c r="D4849" s="136" t="s">
        <v>467</v>
      </c>
      <c r="E4849" s="136" t="s">
        <v>85</v>
      </c>
      <c r="F4849" s="136">
        <v>75</v>
      </c>
      <c r="G4849" s="137">
        <f t="shared" si="19"/>
        <v>12</v>
      </c>
      <c r="H4849" s="137"/>
      <c r="I4849" s="137"/>
      <c r="J4849" s="135"/>
      <c r="K4849" s="135"/>
      <c r="L4849" s="135"/>
      <c r="M4849" s="135"/>
      <c r="N4849" s="135"/>
      <c r="O4849" s="135"/>
      <c r="P4849" s="135"/>
      <c r="Q4849" s="135"/>
      <c r="R4849" s="135"/>
      <c r="S4849" s="135"/>
      <c r="T4849" s="135"/>
      <c r="U4849" s="135"/>
      <c r="V4849" s="135"/>
      <c r="W4849" s="135"/>
      <c r="X4849" s="135"/>
      <c r="Y4849" s="135"/>
      <c r="Z4849" s="135"/>
    </row>
    <row r="4850" spans="1:26" ht="25.5">
      <c r="A4850" s="136" t="s">
        <v>16</v>
      </c>
      <c r="B4850" s="136" t="s">
        <v>7971</v>
      </c>
      <c r="C4850" s="136" t="s">
        <v>8019</v>
      </c>
      <c r="D4850" s="136" t="s">
        <v>8020</v>
      </c>
      <c r="E4850" s="136" t="s">
        <v>594</v>
      </c>
      <c r="F4850" s="136">
        <v>29</v>
      </c>
      <c r="G4850" s="137">
        <f t="shared" si="19"/>
        <v>13</v>
      </c>
      <c r="H4850" s="137"/>
      <c r="I4850" s="137"/>
      <c r="J4850" s="135"/>
      <c r="K4850" s="135"/>
      <c r="L4850" s="135"/>
      <c r="M4850" s="135"/>
      <c r="N4850" s="135"/>
      <c r="O4850" s="135"/>
      <c r="P4850" s="135"/>
      <c r="Q4850" s="135"/>
      <c r="R4850" s="135"/>
      <c r="S4850" s="135"/>
      <c r="T4850" s="135"/>
      <c r="U4850" s="135"/>
      <c r="V4850" s="135"/>
      <c r="W4850" s="135"/>
      <c r="X4850" s="135"/>
      <c r="Y4850" s="135"/>
      <c r="Z4850" s="135"/>
    </row>
    <row r="4851" spans="1:26" ht="25.5">
      <c r="A4851" s="136" t="s">
        <v>16</v>
      </c>
      <c r="B4851" s="136" t="s">
        <v>7971</v>
      </c>
      <c r="C4851" s="136" t="s">
        <v>8019</v>
      </c>
      <c r="D4851" s="136" t="s">
        <v>1635</v>
      </c>
      <c r="E4851" s="136" t="s">
        <v>615</v>
      </c>
      <c r="F4851" s="136">
        <v>29</v>
      </c>
      <c r="G4851" s="137">
        <f t="shared" si="19"/>
        <v>14</v>
      </c>
      <c r="H4851" s="137"/>
      <c r="I4851" s="137"/>
      <c r="J4851" s="135"/>
      <c r="K4851" s="135"/>
      <c r="L4851" s="135"/>
      <c r="M4851" s="135"/>
      <c r="N4851" s="135"/>
      <c r="O4851" s="135"/>
      <c r="P4851" s="135"/>
      <c r="Q4851" s="135"/>
      <c r="R4851" s="135"/>
      <c r="S4851" s="135"/>
      <c r="T4851" s="135"/>
      <c r="U4851" s="135"/>
      <c r="V4851" s="135"/>
      <c r="W4851" s="135"/>
      <c r="X4851" s="135"/>
      <c r="Y4851" s="135"/>
      <c r="Z4851" s="135"/>
    </row>
    <row r="4852" spans="1:26" ht="25.5">
      <c r="A4852" s="136" t="s">
        <v>16</v>
      </c>
      <c r="B4852" s="136" t="s">
        <v>7971</v>
      </c>
      <c r="C4852" s="136" t="s">
        <v>8021</v>
      </c>
      <c r="D4852" s="136" t="s">
        <v>288</v>
      </c>
      <c r="E4852" s="136" t="s">
        <v>615</v>
      </c>
      <c r="F4852" s="136">
        <v>2032</v>
      </c>
      <c r="G4852" s="137">
        <f t="shared" si="19"/>
        <v>1</v>
      </c>
      <c r="H4852" s="137"/>
      <c r="I4852" s="137"/>
      <c r="J4852" s="135"/>
      <c r="K4852" s="135"/>
      <c r="L4852" s="135"/>
      <c r="M4852" s="135"/>
      <c r="N4852" s="135"/>
      <c r="O4852" s="135"/>
      <c r="P4852" s="135"/>
      <c r="Q4852" s="135"/>
      <c r="R4852" s="135"/>
      <c r="S4852" s="135"/>
      <c r="T4852" s="135"/>
      <c r="U4852" s="135"/>
      <c r="V4852" s="135"/>
      <c r="W4852" s="135"/>
      <c r="X4852" s="135"/>
      <c r="Y4852" s="135"/>
      <c r="Z4852" s="135"/>
    </row>
    <row r="4853" spans="1:26" ht="25.5">
      <c r="A4853" s="136" t="s">
        <v>16</v>
      </c>
      <c r="B4853" s="136" t="s">
        <v>7971</v>
      </c>
      <c r="C4853" s="136" t="s">
        <v>8021</v>
      </c>
      <c r="D4853" s="136" t="s">
        <v>1604</v>
      </c>
      <c r="E4853" s="136" t="s">
        <v>615</v>
      </c>
      <c r="F4853" s="136">
        <v>2025</v>
      </c>
      <c r="G4853" s="137">
        <f t="shared" si="19"/>
        <v>2</v>
      </c>
      <c r="H4853" s="137"/>
      <c r="I4853" s="137"/>
      <c r="J4853" s="135"/>
      <c r="K4853" s="135"/>
      <c r="L4853" s="135"/>
      <c r="M4853" s="135"/>
      <c r="N4853" s="135"/>
      <c r="O4853" s="135"/>
      <c r="P4853" s="135"/>
      <c r="Q4853" s="135"/>
      <c r="R4853" s="135"/>
      <c r="S4853" s="135"/>
      <c r="T4853" s="135"/>
      <c r="U4853" s="135"/>
      <c r="V4853" s="135"/>
      <c r="W4853" s="135"/>
      <c r="X4853" s="135"/>
      <c r="Y4853" s="135"/>
      <c r="Z4853" s="135"/>
    </row>
    <row r="4854" spans="1:26" ht="25.5">
      <c r="A4854" s="136" t="s">
        <v>16</v>
      </c>
      <c r="B4854" s="136" t="s">
        <v>7971</v>
      </c>
      <c r="C4854" s="136" t="s">
        <v>8021</v>
      </c>
      <c r="D4854" s="136" t="s">
        <v>7993</v>
      </c>
      <c r="E4854" s="136" t="s">
        <v>615</v>
      </c>
      <c r="F4854" s="136">
        <v>518</v>
      </c>
      <c r="G4854" s="137">
        <f t="shared" si="19"/>
        <v>3</v>
      </c>
      <c r="H4854" s="137"/>
      <c r="I4854" s="137"/>
      <c r="J4854" s="135"/>
      <c r="K4854" s="135"/>
      <c r="L4854" s="135"/>
      <c r="M4854" s="135"/>
      <c r="N4854" s="135"/>
      <c r="O4854" s="135"/>
      <c r="P4854" s="135"/>
      <c r="Q4854" s="135"/>
      <c r="R4854" s="135"/>
      <c r="S4854" s="135"/>
      <c r="T4854" s="135"/>
      <c r="U4854" s="135"/>
      <c r="V4854" s="135"/>
      <c r="W4854" s="135"/>
      <c r="X4854" s="135"/>
      <c r="Y4854" s="135"/>
      <c r="Z4854" s="135"/>
    </row>
    <row r="4855" spans="1:26" ht="25.5">
      <c r="A4855" s="136" t="s">
        <v>16</v>
      </c>
      <c r="B4855" s="136" t="s">
        <v>7971</v>
      </c>
      <c r="C4855" s="136" t="s">
        <v>8021</v>
      </c>
      <c r="D4855" s="136" t="s">
        <v>114</v>
      </c>
      <c r="E4855" s="136" t="s">
        <v>85</v>
      </c>
      <c r="F4855" s="136">
        <v>269</v>
      </c>
      <c r="G4855" s="137">
        <f t="shared" si="19"/>
        <v>4</v>
      </c>
      <c r="H4855" s="137"/>
      <c r="I4855" s="137"/>
      <c r="J4855" s="135"/>
      <c r="K4855" s="135"/>
      <c r="L4855" s="135"/>
      <c r="M4855" s="135"/>
      <c r="N4855" s="135"/>
      <c r="O4855" s="135"/>
      <c r="P4855" s="135"/>
      <c r="Q4855" s="135"/>
      <c r="R4855" s="135"/>
      <c r="S4855" s="135"/>
      <c r="T4855" s="135"/>
      <c r="U4855" s="135"/>
      <c r="V4855" s="135"/>
      <c r="W4855" s="135"/>
      <c r="X4855" s="135"/>
      <c r="Y4855" s="135"/>
      <c r="Z4855" s="135"/>
    </row>
    <row r="4856" spans="1:26" ht="25.5">
      <c r="A4856" s="136" t="s">
        <v>16</v>
      </c>
      <c r="B4856" s="136" t="s">
        <v>7971</v>
      </c>
      <c r="C4856" s="136" t="s">
        <v>8021</v>
      </c>
      <c r="D4856" s="136" t="s">
        <v>139</v>
      </c>
      <c r="E4856" s="136" t="s">
        <v>594</v>
      </c>
      <c r="F4856" s="136">
        <v>173</v>
      </c>
      <c r="G4856" s="137">
        <f t="shared" si="19"/>
        <v>5</v>
      </c>
      <c r="H4856" s="137"/>
      <c r="I4856" s="137"/>
      <c r="J4856" s="135"/>
      <c r="K4856" s="135"/>
      <c r="L4856" s="135"/>
      <c r="M4856" s="135"/>
      <c r="N4856" s="135"/>
      <c r="O4856" s="135"/>
      <c r="P4856" s="135"/>
      <c r="Q4856" s="135"/>
      <c r="R4856" s="135"/>
      <c r="S4856" s="135"/>
      <c r="T4856" s="135"/>
      <c r="U4856" s="135"/>
      <c r="V4856" s="135"/>
      <c r="W4856" s="135"/>
      <c r="X4856" s="135"/>
      <c r="Y4856" s="135"/>
      <c r="Z4856" s="135"/>
    </row>
    <row r="4857" spans="1:26" ht="25.5">
      <c r="A4857" s="136" t="s">
        <v>16</v>
      </c>
      <c r="B4857" s="136" t="s">
        <v>7971</v>
      </c>
      <c r="C4857" s="136" t="s">
        <v>8021</v>
      </c>
      <c r="D4857" s="136" t="s">
        <v>368</v>
      </c>
      <c r="E4857" s="136" t="s">
        <v>594</v>
      </c>
      <c r="F4857" s="136">
        <v>75</v>
      </c>
      <c r="G4857" s="137">
        <f t="shared" si="19"/>
        <v>6</v>
      </c>
      <c r="H4857" s="137"/>
      <c r="I4857" s="137"/>
      <c r="J4857" s="135"/>
      <c r="K4857" s="135"/>
      <c r="L4857" s="135"/>
      <c r="M4857" s="135"/>
      <c r="N4857" s="135"/>
      <c r="O4857" s="135"/>
      <c r="P4857" s="135"/>
      <c r="Q4857" s="135"/>
      <c r="R4857" s="135"/>
      <c r="S4857" s="135"/>
      <c r="T4857" s="135"/>
      <c r="U4857" s="135"/>
      <c r="V4857" s="135"/>
      <c r="W4857" s="135"/>
      <c r="X4857" s="135"/>
      <c r="Y4857" s="135"/>
      <c r="Z4857" s="135"/>
    </row>
    <row r="4858" spans="1:26" ht="25.5">
      <c r="A4858" s="136" t="s">
        <v>16</v>
      </c>
      <c r="B4858" s="136" t="s">
        <v>7971</v>
      </c>
      <c r="C4858" s="136" t="s">
        <v>8021</v>
      </c>
      <c r="D4858" s="136" t="s">
        <v>467</v>
      </c>
      <c r="E4858" s="136" t="s">
        <v>85</v>
      </c>
      <c r="F4858" s="136">
        <v>70</v>
      </c>
      <c r="G4858" s="137">
        <f t="shared" si="19"/>
        <v>7</v>
      </c>
      <c r="H4858" s="137"/>
      <c r="I4858" s="137"/>
      <c r="J4858" s="135"/>
      <c r="K4858" s="135"/>
      <c r="L4858" s="135"/>
      <c r="M4858" s="135"/>
      <c r="N4858" s="135"/>
      <c r="O4858" s="135"/>
      <c r="P4858" s="135"/>
      <c r="Q4858" s="135"/>
      <c r="R4858" s="135"/>
      <c r="S4858" s="135"/>
      <c r="T4858" s="135"/>
      <c r="U4858" s="135"/>
      <c r="V4858" s="135"/>
      <c r="W4858" s="135"/>
      <c r="X4858" s="135"/>
      <c r="Y4858" s="135"/>
      <c r="Z4858" s="135"/>
    </row>
    <row r="4859" spans="1:26" ht="25.5">
      <c r="A4859" s="136" t="s">
        <v>16</v>
      </c>
      <c r="B4859" s="136" t="s">
        <v>7971</v>
      </c>
      <c r="C4859" s="136" t="s">
        <v>8021</v>
      </c>
      <c r="D4859" s="136" t="s">
        <v>1639</v>
      </c>
      <c r="E4859" s="136" t="s">
        <v>615</v>
      </c>
      <c r="F4859" s="136">
        <v>66</v>
      </c>
      <c r="G4859" s="137">
        <f t="shared" si="19"/>
        <v>8</v>
      </c>
      <c r="H4859" s="137"/>
      <c r="I4859" s="137"/>
      <c r="J4859" s="135"/>
      <c r="K4859" s="135"/>
      <c r="L4859" s="135"/>
      <c r="M4859" s="135"/>
      <c r="N4859" s="135"/>
      <c r="O4859" s="135"/>
      <c r="P4859" s="135"/>
      <c r="Q4859" s="135"/>
      <c r="R4859" s="135"/>
      <c r="S4859" s="135"/>
      <c r="T4859" s="135"/>
      <c r="U4859" s="135"/>
      <c r="V4859" s="135"/>
      <c r="W4859" s="135"/>
      <c r="X4859" s="135"/>
      <c r="Y4859" s="135"/>
      <c r="Z4859" s="135"/>
    </row>
    <row r="4860" spans="1:26" ht="25.5">
      <c r="A4860" s="136" t="s">
        <v>16</v>
      </c>
      <c r="B4860" s="136" t="s">
        <v>7971</v>
      </c>
      <c r="C4860" s="136" t="s">
        <v>8021</v>
      </c>
      <c r="D4860" s="136" t="s">
        <v>1656</v>
      </c>
      <c r="E4860" s="136" t="s">
        <v>594</v>
      </c>
      <c r="F4860" s="136">
        <v>48</v>
      </c>
      <c r="G4860" s="137">
        <f t="shared" si="19"/>
        <v>9</v>
      </c>
      <c r="H4860" s="137"/>
      <c r="I4860" s="137"/>
      <c r="J4860" s="135"/>
      <c r="K4860" s="135"/>
      <c r="L4860" s="135"/>
      <c r="M4860" s="135"/>
      <c r="N4860" s="135"/>
      <c r="O4860" s="135"/>
      <c r="P4860" s="135"/>
      <c r="Q4860" s="135"/>
      <c r="R4860" s="135"/>
      <c r="S4860" s="135"/>
      <c r="T4860" s="135"/>
      <c r="U4860" s="135"/>
      <c r="V4860" s="135"/>
      <c r="W4860" s="135"/>
      <c r="X4860" s="135"/>
      <c r="Y4860" s="135"/>
      <c r="Z4860" s="135"/>
    </row>
    <row r="4861" spans="1:26" ht="25.5">
      <c r="A4861" s="136" t="s">
        <v>16</v>
      </c>
      <c r="B4861" s="136" t="s">
        <v>7971</v>
      </c>
      <c r="C4861" s="136" t="s">
        <v>8021</v>
      </c>
      <c r="D4861" s="136" t="s">
        <v>437</v>
      </c>
      <c r="E4861" s="136" t="s">
        <v>594</v>
      </c>
      <c r="F4861" s="136">
        <v>44</v>
      </c>
      <c r="G4861" s="137">
        <f t="shared" si="19"/>
        <v>10</v>
      </c>
      <c r="H4861" s="137"/>
      <c r="I4861" s="137"/>
      <c r="J4861" s="135"/>
      <c r="K4861" s="135"/>
      <c r="L4861" s="135"/>
      <c r="M4861" s="135"/>
      <c r="N4861" s="135"/>
      <c r="O4861" s="135"/>
      <c r="P4861" s="135"/>
      <c r="Q4861" s="135"/>
      <c r="R4861" s="135"/>
      <c r="S4861" s="135"/>
      <c r="T4861" s="135"/>
      <c r="U4861" s="135"/>
      <c r="V4861" s="135"/>
      <c r="W4861" s="135"/>
      <c r="X4861" s="135"/>
      <c r="Y4861" s="135"/>
      <c r="Z4861" s="135"/>
    </row>
    <row r="4862" spans="1:26" ht="25.5">
      <c r="A4862" s="136" t="s">
        <v>16</v>
      </c>
      <c r="B4862" s="136" t="s">
        <v>7971</v>
      </c>
      <c r="C4862" s="136" t="s">
        <v>8021</v>
      </c>
      <c r="D4862" s="136" t="s">
        <v>433</v>
      </c>
      <c r="E4862" s="136" t="s">
        <v>594</v>
      </c>
      <c r="F4862" s="136">
        <v>44</v>
      </c>
      <c r="G4862" s="137">
        <f t="shared" si="19"/>
        <v>11</v>
      </c>
      <c r="H4862" s="137"/>
      <c r="I4862" s="137"/>
      <c r="J4862" s="135"/>
      <c r="K4862" s="135"/>
      <c r="L4862" s="135"/>
      <c r="M4862" s="135"/>
      <c r="N4862" s="135"/>
      <c r="O4862" s="135"/>
      <c r="P4862" s="135"/>
      <c r="Q4862" s="135"/>
      <c r="R4862" s="135"/>
      <c r="S4862" s="135"/>
      <c r="T4862" s="135"/>
      <c r="U4862" s="135"/>
      <c r="V4862" s="135"/>
      <c r="W4862" s="135"/>
      <c r="X4862" s="135"/>
      <c r="Y4862" s="135"/>
      <c r="Z4862" s="135"/>
    </row>
    <row r="4863" spans="1:26" ht="25.5">
      <c r="A4863" s="136" t="s">
        <v>16</v>
      </c>
      <c r="B4863" s="136" t="s">
        <v>7971</v>
      </c>
      <c r="C4863" s="136" t="s">
        <v>8021</v>
      </c>
      <c r="D4863" s="136" t="s">
        <v>7481</v>
      </c>
      <c r="E4863" s="136" t="s">
        <v>615</v>
      </c>
      <c r="F4863" s="136">
        <v>26</v>
      </c>
      <c r="G4863" s="137">
        <f t="shared" si="19"/>
        <v>12</v>
      </c>
      <c r="H4863" s="137"/>
      <c r="I4863" s="137"/>
      <c r="J4863" s="135"/>
      <c r="K4863" s="135"/>
      <c r="L4863" s="135"/>
      <c r="M4863" s="135"/>
      <c r="N4863" s="135"/>
      <c r="O4863" s="135"/>
      <c r="P4863" s="135"/>
      <c r="Q4863" s="135"/>
      <c r="R4863" s="135"/>
      <c r="S4863" s="135"/>
      <c r="T4863" s="135"/>
      <c r="U4863" s="135"/>
      <c r="V4863" s="135"/>
      <c r="W4863" s="135"/>
      <c r="X4863" s="135"/>
      <c r="Y4863" s="135"/>
      <c r="Z4863" s="135"/>
    </row>
    <row r="4864" spans="1:26" ht="25.5">
      <c r="A4864" s="136" t="s">
        <v>16</v>
      </c>
      <c r="B4864" s="136" t="s">
        <v>7971</v>
      </c>
      <c r="C4864" s="136" t="s">
        <v>8021</v>
      </c>
      <c r="D4864" s="136" t="s">
        <v>1682</v>
      </c>
      <c r="E4864" s="136" t="s">
        <v>86</v>
      </c>
      <c r="F4864" s="136">
        <v>15</v>
      </c>
      <c r="G4864" s="137">
        <f t="shared" si="19"/>
        <v>13</v>
      </c>
      <c r="H4864" s="137"/>
      <c r="I4864" s="137"/>
      <c r="J4864" s="135"/>
      <c r="K4864" s="135"/>
      <c r="L4864" s="135"/>
      <c r="M4864" s="135"/>
      <c r="N4864" s="135"/>
      <c r="O4864" s="135"/>
      <c r="P4864" s="135"/>
      <c r="Q4864" s="135"/>
      <c r="R4864" s="135"/>
      <c r="S4864" s="135"/>
      <c r="T4864" s="135"/>
      <c r="U4864" s="135"/>
      <c r="V4864" s="135"/>
      <c r="W4864" s="135"/>
      <c r="X4864" s="135"/>
      <c r="Y4864" s="135"/>
      <c r="Z4864" s="135"/>
    </row>
    <row r="4865" spans="1:26" ht="25.5">
      <c r="A4865" s="136" t="s">
        <v>16</v>
      </c>
      <c r="B4865" s="136" t="s">
        <v>7971</v>
      </c>
      <c r="C4865" s="136" t="s">
        <v>8022</v>
      </c>
      <c r="D4865" s="136" t="s">
        <v>1604</v>
      </c>
      <c r="E4865" s="136" t="s">
        <v>615</v>
      </c>
      <c r="F4865" s="136">
        <v>1602</v>
      </c>
      <c r="G4865" s="137">
        <f t="shared" si="19"/>
        <v>1</v>
      </c>
      <c r="H4865" s="137"/>
      <c r="I4865" s="137"/>
      <c r="J4865" s="135"/>
      <c r="K4865" s="135"/>
      <c r="L4865" s="135"/>
      <c r="M4865" s="135"/>
      <c r="N4865" s="135"/>
      <c r="O4865" s="135"/>
      <c r="P4865" s="135"/>
      <c r="Q4865" s="135"/>
      <c r="R4865" s="135"/>
      <c r="S4865" s="135"/>
      <c r="T4865" s="135"/>
      <c r="U4865" s="135"/>
      <c r="V4865" s="135"/>
      <c r="W4865" s="135"/>
      <c r="X4865" s="135"/>
      <c r="Y4865" s="135"/>
      <c r="Z4865" s="135"/>
    </row>
    <row r="4866" spans="1:26" ht="25.5">
      <c r="A4866" s="136" t="s">
        <v>16</v>
      </c>
      <c r="B4866" s="136" t="s">
        <v>7971</v>
      </c>
      <c r="C4866" s="136" t="s">
        <v>8022</v>
      </c>
      <c r="D4866" s="136" t="s">
        <v>288</v>
      </c>
      <c r="E4866" s="136" t="s">
        <v>615</v>
      </c>
      <c r="F4866" s="136">
        <v>1098</v>
      </c>
      <c r="G4866" s="137">
        <f t="shared" si="19"/>
        <v>2</v>
      </c>
      <c r="H4866" s="137"/>
      <c r="I4866" s="137"/>
      <c r="J4866" s="135"/>
      <c r="K4866" s="135"/>
      <c r="L4866" s="135"/>
      <c r="M4866" s="135"/>
      <c r="N4866" s="135"/>
      <c r="O4866" s="135"/>
      <c r="P4866" s="135"/>
      <c r="Q4866" s="135"/>
      <c r="R4866" s="135"/>
      <c r="S4866" s="135"/>
      <c r="T4866" s="135"/>
      <c r="U4866" s="135"/>
      <c r="V4866" s="135"/>
      <c r="W4866" s="135"/>
      <c r="X4866" s="135"/>
      <c r="Y4866" s="135"/>
      <c r="Z4866" s="135"/>
    </row>
    <row r="4867" spans="1:26" ht="25.5">
      <c r="A4867" s="136" t="s">
        <v>16</v>
      </c>
      <c r="B4867" s="136" t="s">
        <v>7971</v>
      </c>
      <c r="C4867" s="136" t="s">
        <v>8022</v>
      </c>
      <c r="D4867" s="136" t="s">
        <v>8018</v>
      </c>
      <c r="E4867" s="136" t="s">
        <v>615</v>
      </c>
      <c r="F4867" s="136">
        <v>760</v>
      </c>
      <c r="G4867" s="137">
        <f t="shared" si="19"/>
        <v>3</v>
      </c>
      <c r="H4867" s="137"/>
      <c r="I4867" s="137"/>
      <c r="J4867" s="135"/>
      <c r="K4867" s="135"/>
      <c r="L4867" s="135"/>
      <c r="M4867" s="135"/>
      <c r="N4867" s="135"/>
      <c r="O4867" s="135"/>
      <c r="P4867" s="135"/>
      <c r="Q4867" s="135"/>
      <c r="R4867" s="135"/>
      <c r="S4867" s="135"/>
      <c r="T4867" s="135"/>
      <c r="U4867" s="135"/>
      <c r="V4867" s="135"/>
      <c r="W4867" s="135"/>
      <c r="X4867" s="135"/>
      <c r="Y4867" s="135"/>
      <c r="Z4867" s="135"/>
    </row>
    <row r="4868" spans="1:26" ht="25.5">
      <c r="A4868" s="136" t="s">
        <v>16</v>
      </c>
      <c r="B4868" s="136" t="s">
        <v>7971</v>
      </c>
      <c r="C4868" s="136" t="s">
        <v>8022</v>
      </c>
      <c r="D4868" s="136" t="s">
        <v>467</v>
      </c>
      <c r="E4868" s="136" t="s">
        <v>85</v>
      </c>
      <c r="F4868" s="136">
        <v>752</v>
      </c>
      <c r="G4868" s="137">
        <f t="shared" si="19"/>
        <v>4</v>
      </c>
      <c r="H4868" s="137"/>
      <c r="I4868" s="137"/>
      <c r="J4868" s="135"/>
      <c r="K4868" s="135"/>
      <c r="L4868" s="135"/>
      <c r="M4868" s="135"/>
      <c r="N4868" s="135"/>
      <c r="O4868" s="135"/>
      <c r="P4868" s="135"/>
      <c r="Q4868" s="135"/>
      <c r="R4868" s="135"/>
      <c r="S4868" s="135"/>
      <c r="T4868" s="135"/>
      <c r="U4868" s="135"/>
      <c r="V4868" s="135"/>
      <c r="W4868" s="135"/>
      <c r="X4868" s="135"/>
      <c r="Y4868" s="135"/>
      <c r="Z4868" s="135"/>
    </row>
    <row r="4869" spans="1:26" ht="25.5">
      <c r="A4869" s="136" t="s">
        <v>16</v>
      </c>
      <c r="B4869" s="136" t="s">
        <v>7971</v>
      </c>
      <c r="C4869" s="136" t="s">
        <v>8022</v>
      </c>
      <c r="D4869" s="136" t="s">
        <v>114</v>
      </c>
      <c r="E4869" s="136" t="s">
        <v>85</v>
      </c>
      <c r="F4869" s="136">
        <v>420</v>
      </c>
      <c r="G4869" s="137">
        <f t="shared" si="19"/>
        <v>5</v>
      </c>
      <c r="H4869" s="137"/>
      <c r="I4869" s="137"/>
      <c r="J4869" s="135"/>
      <c r="K4869" s="135"/>
      <c r="L4869" s="135"/>
      <c r="M4869" s="135"/>
      <c r="N4869" s="135"/>
      <c r="O4869" s="135"/>
      <c r="P4869" s="135"/>
      <c r="Q4869" s="135"/>
      <c r="R4869" s="135"/>
      <c r="S4869" s="135"/>
      <c r="T4869" s="135"/>
      <c r="U4869" s="135"/>
      <c r="V4869" s="135"/>
      <c r="W4869" s="135"/>
      <c r="X4869" s="135"/>
      <c r="Y4869" s="135"/>
      <c r="Z4869" s="135"/>
    </row>
    <row r="4870" spans="1:26" ht="25.5">
      <c r="A4870" s="136" t="s">
        <v>16</v>
      </c>
      <c r="B4870" s="136" t="s">
        <v>7971</v>
      </c>
      <c r="C4870" s="136" t="s">
        <v>8022</v>
      </c>
      <c r="D4870" s="136" t="s">
        <v>7993</v>
      </c>
      <c r="E4870" s="136" t="s">
        <v>615</v>
      </c>
      <c r="F4870" s="136">
        <v>282</v>
      </c>
      <c r="G4870" s="137">
        <f t="shared" si="19"/>
        <v>6</v>
      </c>
      <c r="H4870" s="137"/>
      <c r="I4870" s="137"/>
      <c r="J4870" s="135"/>
      <c r="K4870" s="135"/>
      <c r="L4870" s="135"/>
      <c r="M4870" s="135"/>
      <c r="N4870" s="135"/>
      <c r="O4870" s="135"/>
      <c r="P4870" s="135"/>
      <c r="Q4870" s="135"/>
      <c r="R4870" s="135"/>
      <c r="S4870" s="135"/>
      <c r="T4870" s="135"/>
      <c r="U4870" s="135"/>
      <c r="V4870" s="135"/>
      <c r="W4870" s="135"/>
      <c r="X4870" s="135"/>
      <c r="Y4870" s="135"/>
      <c r="Z4870" s="135"/>
    </row>
    <row r="4871" spans="1:26" ht="25.5">
      <c r="A4871" s="136" t="s">
        <v>16</v>
      </c>
      <c r="B4871" s="136" t="s">
        <v>7971</v>
      </c>
      <c r="C4871" s="136" t="s">
        <v>8022</v>
      </c>
      <c r="D4871" s="136" t="s">
        <v>139</v>
      </c>
      <c r="E4871" s="136" t="s">
        <v>594</v>
      </c>
      <c r="F4871" s="136">
        <v>131</v>
      </c>
      <c r="G4871" s="137">
        <f t="shared" si="19"/>
        <v>7</v>
      </c>
      <c r="H4871" s="137"/>
      <c r="I4871" s="137"/>
      <c r="J4871" s="135"/>
      <c r="K4871" s="135"/>
      <c r="L4871" s="135"/>
      <c r="M4871" s="135"/>
      <c r="N4871" s="135"/>
      <c r="O4871" s="135"/>
      <c r="P4871" s="135"/>
      <c r="Q4871" s="135"/>
      <c r="R4871" s="135"/>
      <c r="S4871" s="135"/>
      <c r="T4871" s="135"/>
      <c r="U4871" s="135"/>
      <c r="V4871" s="135"/>
      <c r="W4871" s="135"/>
      <c r="X4871" s="135"/>
      <c r="Y4871" s="135"/>
      <c r="Z4871" s="135"/>
    </row>
    <row r="4872" spans="1:26" ht="25.5">
      <c r="A4872" s="136" t="s">
        <v>16</v>
      </c>
      <c r="B4872" s="136" t="s">
        <v>7971</v>
      </c>
      <c r="C4872" s="136" t="s">
        <v>8022</v>
      </c>
      <c r="D4872" s="136" t="s">
        <v>7781</v>
      </c>
      <c r="E4872" s="136" t="s">
        <v>594</v>
      </c>
      <c r="F4872" s="136">
        <v>101</v>
      </c>
      <c r="G4872" s="137">
        <f t="shared" si="19"/>
        <v>8</v>
      </c>
      <c r="H4872" s="137"/>
      <c r="I4872" s="137"/>
      <c r="J4872" s="135"/>
      <c r="K4872" s="135"/>
      <c r="L4872" s="135"/>
      <c r="M4872" s="135"/>
      <c r="N4872" s="135"/>
      <c r="O4872" s="135"/>
      <c r="P4872" s="135"/>
      <c r="Q4872" s="135"/>
      <c r="R4872" s="135"/>
      <c r="S4872" s="135"/>
      <c r="T4872" s="135"/>
      <c r="U4872" s="135"/>
      <c r="V4872" s="135"/>
      <c r="W4872" s="135"/>
      <c r="X4872" s="135"/>
      <c r="Y4872" s="135"/>
      <c r="Z4872" s="135"/>
    </row>
    <row r="4873" spans="1:26" ht="25.5">
      <c r="A4873" s="136" t="s">
        <v>16</v>
      </c>
      <c r="B4873" s="136" t="s">
        <v>7971</v>
      </c>
      <c r="C4873" s="136" t="s">
        <v>8022</v>
      </c>
      <c r="D4873" s="136" t="s">
        <v>103</v>
      </c>
      <c r="E4873" s="136" t="s">
        <v>594</v>
      </c>
      <c r="F4873" s="136">
        <v>70</v>
      </c>
      <c r="G4873" s="137">
        <f t="shared" si="19"/>
        <v>9</v>
      </c>
      <c r="H4873" s="137"/>
      <c r="I4873" s="137"/>
      <c r="J4873" s="135"/>
      <c r="K4873" s="135"/>
      <c r="L4873" s="135"/>
      <c r="M4873" s="135"/>
      <c r="N4873" s="135"/>
      <c r="O4873" s="135"/>
      <c r="P4873" s="135"/>
      <c r="Q4873" s="135"/>
      <c r="R4873" s="135"/>
      <c r="S4873" s="135"/>
      <c r="T4873" s="135"/>
      <c r="U4873" s="135"/>
      <c r="V4873" s="135"/>
      <c r="W4873" s="135"/>
      <c r="X4873" s="135"/>
      <c r="Y4873" s="135"/>
      <c r="Z4873" s="135"/>
    </row>
    <row r="4874" spans="1:26" ht="25.5">
      <c r="A4874" s="136" t="s">
        <v>16</v>
      </c>
      <c r="B4874" s="136" t="s">
        <v>7971</v>
      </c>
      <c r="C4874" s="136" t="s">
        <v>8022</v>
      </c>
      <c r="D4874" s="136" t="s">
        <v>368</v>
      </c>
      <c r="E4874" s="136" t="s">
        <v>594</v>
      </c>
      <c r="F4874" s="136">
        <v>20</v>
      </c>
      <c r="G4874" s="137">
        <f t="shared" si="19"/>
        <v>10</v>
      </c>
      <c r="H4874" s="137"/>
      <c r="I4874" s="137"/>
      <c r="J4874" s="135"/>
      <c r="K4874" s="135"/>
      <c r="L4874" s="135"/>
      <c r="M4874" s="135"/>
      <c r="N4874" s="135"/>
      <c r="O4874" s="135"/>
      <c r="P4874" s="135"/>
      <c r="Q4874" s="135"/>
      <c r="R4874" s="135"/>
      <c r="S4874" s="135"/>
      <c r="T4874" s="135"/>
      <c r="U4874" s="135"/>
      <c r="V4874" s="135"/>
      <c r="W4874" s="135"/>
      <c r="X4874" s="135"/>
      <c r="Y4874" s="135"/>
      <c r="Z4874" s="135"/>
    </row>
    <row r="4875" spans="1:26" ht="25.5">
      <c r="A4875" s="136" t="s">
        <v>16</v>
      </c>
      <c r="B4875" s="136" t="s">
        <v>7971</v>
      </c>
      <c r="C4875" s="136" t="s">
        <v>8022</v>
      </c>
      <c r="D4875" s="136" t="s">
        <v>1682</v>
      </c>
      <c r="E4875" s="136" t="s">
        <v>86</v>
      </c>
      <c r="F4875" s="136">
        <v>4</v>
      </c>
      <c r="G4875" s="137">
        <f t="shared" si="19"/>
        <v>11</v>
      </c>
      <c r="H4875" s="137"/>
      <c r="I4875" s="137"/>
      <c r="J4875" s="135"/>
      <c r="K4875" s="135"/>
      <c r="L4875" s="135"/>
      <c r="M4875" s="135"/>
      <c r="N4875" s="135"/>
      <c r="O4875" s="135"/>
      <c r="P4875" s="135"/>
      <c r="Q4875" s="135"/>
      <c r="R4875" s="135"/>
      <c r="S4875" s="135"/>
      <c r="T4875" s="135"/>
      <c r="U4875" s="135"/>
      <c r="V4875" s="135"/>
      <c r="W4875" s="135"/>
      <c r="X4875" s="135"/>
      <c r="Y4875" s="135"/>
      <c r="Z4875" s="135"/>
    </row>
    <row r="4876" spans="1:26" ht="25.5">
      <c r="A4876" s="136" t="s">
        <v>16</v>
      </c>
      <c r="B4876" s="136" t="s">
        <v>7971</v>
      </c>
      <c r="C4876" s="136" t="s">
        <v>8023</v>
      </c>
      <c r="D4876" s="136" t="s">
        <v>1604</v>
      </c>
      <c r="E4876" s="136" t="s">
        <v>615</v>
      </c>
      <c r="F4876" s="136">
        <v>4888</v>
      </c>
      <c r="G4876" s="137">
        <f t="shared" si="19"/>
        <v>1</v>
      </c>
      <c r="H4876" s="137"/>
      <c r="I4876" s="137"/>
      <c r="J4876" s="135"/>
      <c r="K4876" s="135"/>
      <c r="L4876" s="135"/>
      <c r="M4876" s="135"/>
      <c r="N4876" s="135"/>
      <c r="O4876" s="135"/>
      <c r="P4876" s="135"/>
      <c r="Q4876" s="135"/>
      <c r="R4876" s="135"/>
      <c r="S4876" s="135"/>
      <c r="T4876" s="135"/>
      <c r="U4876" s="135"/>
      <c r="V4876" s="135"/>
      <c r="W4876" s="135"/>
      <c r="X4876" s="135"/>
      <c r="Y4876" s="135"/>
      <c r="Z4876" s="135"/>
    </row>
    <row r="4877" spans="1:26" ht="25.5">
      <c r="A4877" s="136" t="s">
        <v>16</v>
      </c>
      <c r="B4877" s="136" t="s">
        <v>7971</v>
      </c>
      <c r="C4877" s="136" t="s">
        <v>8023</v>
      </c>
      <c r="D4877" s="136" t="s">
        <v>7786</v>
      </c>
      <c r="E4877" s="136" t="s">
        <v>615</v>
      </c>
      <c r="F4877" s="136">
        <v>251</v>
      </c>
      <c r="G4877" s="137">
        <f t="shared" si="19"/>
        <v>2</v>
      </c>
      <c r="H4877" s="137"/>
      <c r="I4877" s="137"/>
      <c r="J4877" s="135"/>
      <c r="K4877" s="135"/>
      <c r="L4877" s="135"/>
      <c r="M4877" s="135"/>
      <c r="N4877" s="135"/>
      <c r="O4877" s="135"/>
      <c r="P4877" s="135"/>
      <c r="Q4877" s="135"/>
      <c r="R4877" s="135"/>
      <c r="S4877" s="135"/>
      <c r="T4877" s="135"/>
      <c r="U4877" s="135"/>
      <c r="V4877" s="135"/>
      <c r="W4877" s="135"/>
      <c r="X4877" s="135"/>
      <c r="Y4877" s="135"/>
      <c r="Z4877" s="135"/>
    </row>
    <row r="4878" spans="1:26" ht="25.5">
      <c r="A4878" s="136" t="s">
        <v>16</v>
      </c>
      <c r="B4878" s="136" t="s">
        <v>7971</v>
      </c>
      <c r="C4878" s="136" t="s">
        <v>8023</v>
      </c>
      <c r="D4878" s="136" t="s">
        <v>467</v>
      </c>
      <c r="E4878" s="136" t="s">
        <v>85</v>
      </c>
      <c r="F4878" s="136">
        <v>169</v>
      </c>
      <c r="G4878" s="137">
        <f t="shared" si="19"/>
        <v>3</v>
      </c>
      <c r="H4878" s="137"/>
      <c r="I4878" s="137"/>
      <c r="J4878" s="135"/>
      <c r="K4878" s="135"/>
      <c r="L4878" s="135"/>
      <c r="M4878" s="135"/>
      <c r="N4878" s="135"/>
      <c r="O4878" s="135"/>
      <c r="P4878" s="135"/>
      <c r="Q4878" s="135"/>
      <c r="R4878" s="135"/>
      <c r="S4878" s="135"/>
      <c r="T4878" s="135"/>
      <c r="U4878" s="135"/>
      <c r="V4878" s="135"/>
      <c r="W4878" s="135"/>
      <c r="X4878" s="135"/>
      <c r="Y4878" s="135"/>
      <c r="Z4878" s="135"/>
    </row>
    <row r="4879" spans="1:26" ht="25.5">
      <c r="A4879" s="136" t="s">
        <v>16</v>
      </c>
      <c r="B4879" s="136" t="s">
        <v>7971</v>
      </c>
      <c r="C4879" s="136" t="s">
        <v>8023</v>
      </c>
      <c r="D4879" s="136" t="s">
        <v>7527</v>
      </c>
      <c r="E4879" s="136" t="s">
        <v>615</v>
      </c>
      <c r="F4879" s="136">
        <v>159</v>
      </c>
      <c r="G4879" s="137">
        <f t="shared" si="19"/>
        <v>4</v>
      </c>
      <c r="H4879" s="137"/>
      <c r="I4879" s="137"/>
      <c r="J4879" s="135"/>
      <c r="K4879" s="135"/>
      <c r="L4879" s="135"/>
      <c r="M4879" s="135"/>
      <c r="N4879" s="135"/>
      <c r="O4879" s="135"/>
      <c r="P4879" s="135"/>
      <c r="Q4879" s="135"/>
      <c r="R4879" s="135"/>
      <c r="S4879" s="135"/>
      <c r="T4879" s="135"/>
      <c r="U4879" s="135"/>
      <c r="V4879" s="135"/>
      <c r="W4879" s="135"/>
      <c r="X4879" s="135"/>
      <c r="Y4879" s="135"/>
      <c r="Z4879" s="135"/>
    </row>
    <row r="4880" spans="1:26" ht="25.5">
      <c r="A4880" s="136" t="s">
        <v>16</v>
      </c>
      <c r="B4880" s="136" t="s">
        <v>7971</v>
      </c>
      <c r="C4880" s="136" t="s">
        <v>8023</v>
      </c>
      <c r="D4880" s="136" t="s">
        <v>7781</v>
      </c>
      <c r="E4880" s="136" t="s">
        <v>594</v>
      </c>
      <c r="F4880" s="136">
        <v>140</v>
      </c>
      <c r="G4880" s="137">
        <f t="shared" si="19"/>
        <v>5</v>
      </c>
      <c r="H4880" s="137"/>
      <c r="I4880" s="137"/>
      <c r="J4880" s="135"/>
      <c r="K4880" s="135"/>
      <c r="L4880" s="135"/>
      <c r="M4880" s="135"/>
      <c r="N4880" s="135"/>
      <c r="O4880" s="135"/>
      <c r="P4880" s="135"/>
      <c r="Q4880" s="135"/>
      <c r="R4880" s="135"/>
      <c r="S4880" s="135"/>
      <c r="T4880" s="135"/>
      <c r="U4880" s="135"/>
      <c r="V4880" s="135"/>
      <c r="W4880" s="135"/>
      <c r="X4880" s="135"/>
      <c r="Y4880" s="135"/>
      <c r="Z4880" s="135"/>
    </row>
    <row r="4881" spans="1:26" ht="25.5">
      <c r="A4881" s="136" t="s">
        <v>16</v>
      </c>
      <c r="B4881" s="136" t="s">
        <v>7971</v>
      </c>
      <c r="C4881" s="136" t="s">
        <v>8023</v>
      </c>
      <c r="D4881" s="136" t="s">
        <v>114</v>
      </c>
      <c r="E4881" s="136" t="s">
        <v>85</v>
      </c>
      <c r="F4881" s="136">
        <v>133</v>
      </c>
      <c r="G4881" s="137">
        <f t="shared" si="19"/>
        <v>6</v>
      </c>
      <c r="H4881" s="137"/>
      <c r="I4881" s="137"/>
      <c r="J4881" s="135"/>
      <c r="K4881" s="135"/>
      <c r="L4881" s="135"/>
      <c r="M4881" s="135"/>
      <c r="N4881" s="135"/>
      <c r="O4881" s="135"/>
      <c r="P4881" s="135"/>
      <c r="Q4881" s="135"/>
      <c r="R4881" s="135"/>
      <c r="S4881" s="135"/>
      <c r="T4881" s="135"/>
      <c r="U4881" s="135"/>
      <c r="V4881" s="135"/>
      <c r="W4881" s="135"/>
      <c r="X4881" s="135"/>
      <c r="Y4881" s="135"/>
      <c r="Z4881" s="135"/>
    </row>
    <row r="4882" spans="1:26" ht="25.5">
      <c r="A4882" s="136" t="s">
        <v>16</v>
      </c>
      <c r="B4882" s="136" t="s">
        <v>7971</v>
      </c>
      <c r="C4882" s="136" t="s">
        <v>8023</v>
      </c>
      <c r="D4882" s="136" t="s">
        <v>1680</v>
      </c>
      <c r="E4882" s="136" t="s">
        <v>615</v>
      </c>
      <c r="F4882" s="136">
        <v>109</v>
      </c>
      <c r="G4882" s="137">
        <f t="shared" si="19"/>
        <v>7</v>
      </c>
      <c r="H4882" s="137"/>
      <c r="I4882" s="137"/>
      <c r="J4882" s="135"/>
      <c r="K4882" s="135"/>
      <c r="L4882" s="135"/>
      <c r="M4882" s="135"/>
      <c r="N4882" s="135"/>
      <c r="O4882" s="135"/>
      <c r="P4882" s="135"/>
      <c r="Q4882" s="135"/>
      <c r="R4882" s="135"/>
      <c r="S4882" s="135"/>
      <c r="T4882" s="135"/>
      <c r="U4882" s="135"/>
      <c r="V4882" s="135"/>
      <c r="W4882" s="135"/>
      <c r="X4882" s="135"/>
      <c r="Y4882" s="135"/>
      <c r="Z4882" s="135"/>
    </row>
    <row r="4883" spans="1:26" ht="25.5">
      <c r="A4883" s="136" t="s">
        <v>16</v>
      </c>
      <c r="B4883" s="136" t="s">
        <v>7971</v>
      </c>
      <c r="C4883" s="136" t="s">
        <v>8023</v>
      </c>
      <c r="D4883" s="136" t="s">
        <v>120</v>
      </c>
      <c r="E4883" s="136" t="s">
        <v>615</v>
      </c>
      <c r="F4883" s="136">
        <v>98</v>
      </c>
      <c r="G4883" s="137">
        <f t="shared" si="19"/>
        <v>8</v>
      </c>
      <c r="H4883" s="137"/>
      <c r="I4883" s="137"/>
      <c r="J4883" s="135"/>
      <c r="K4883" s="135"/>
      <c r="L4883" s="135"/>
      <c r="M4883" s="135"/>
      <c r="N4883" s="135"/>
      <c r="O4883" s="135"/>
      <c r="P4883" s="135"/>
      <c r="Q4883" s="135"/>
      <c r="R4883" s="135"/>
      <c r="S4883" s="135"/>
      <c r="T4883" s="135"/>
      <c r="U4883" s="135"/>
      <c r="V4883" s="135"/>
      <c r="W4883" s="135"/>
      <c r="X4883" s="135"/>
      <c r="Y4883" s="135"/>
      <c r="Z4883" s="135"/>
    </row>
    <row r="4884" spans="1:26" ht="25.5">
      <c r="A4884" s="136" t="s">
        <v>16</v>
      </c>
      <c r="B4884" s="136" t="s">
        <v>7971</v>
      </c>
      <c r="C4884" s="136" t="s">
        <v>8023</v>
      </c>
      <c r="D4884" s="136" t="s">
        <v>368</v>
      </c>
      <c r="E4884" s="136" t="s">
        <v>594</v>
      </c>
      <c r="F4884" s="136">
        <v>76</v>
      </c>
      <c r="G4884" s="137">
        <f t="shared" si="19"/>
        <v>9</v>
      </c>
      <c r="H4884" s="137"/>
      <c r="I4884" s="137"/>
      <c r="J4884" s="135"/>
      <c r="K4884" s="135"/>
      <c r="L4884" s="135"/>
      <c r="M4884" s="135"/>
      <c r="N4884" s="135"/>
      <c r="O4884" s="135"/>
      <c r="P4884" s="135"/>
      <c r="Q4884" s="135"/>
      <c r="R4884" s="135"/>
      <c r="S4884" s="135"/>
      <c r="T4884" s="135"/>
      <c r="U4884" s="135"/>
      <c r="V4884" s="135"/>
      <c r="W4884" s="135"/>
      <c r="X4884" s="135"/>
      <c r="Y4884" s="135"/>
      <c r="Z4884" s="135"/>
    </row>
    <row r="4885" spans="1:26" ht="25.5">
      <c r="A4885" s="136" t="s">
        <v>16</v>
      </c>
      <c r="B4885" s="136" t="s">
        <v>7971</v>
      </c>
      <c r="C4885" s="136" t="s">
        <v>8023</v>
      </c>
      <c r="D4885" s="136" t="s">
        <v>103</v>
      </c>
      <c r="E4885" s="136" t="s">
        <v>594</v>
      </c>
      <c r="F4885" s="136">
        <v>75</v>
      </c>
      <c r="G4885" s="137">
        <f t="shared" si="19"/>
        <v>10</v>
      </c>
      <c r="H4885" s="137"/>
      <c r="I4885" s="137"/>
      <c r="J4885" s="135"/>
      <c r="K4885" s="135"/>
      <c r="L4885" s="135"/>
      <c r="M4885" s="135"/>
      <c r="N4885" s="135"/>
      <c r="O4885" s="135"/>
      <c r="P4885" s="135"/>
      <c r="Q4885" s="135"/>
      <c r="R4885" s="135"/>
      <c r="S4885" s="135"/>
      <c r="T4885" s="135"/>
      <c r="U4885" s="135"/>
      <c r="V4885" s="135"/>
      <c r="W4885" s="135"/>
      <c r="X4885" s="135"/>
      <c r="Y4885" s="135"/>
      <c r="Z4885" s="135"/>
    </row>
    <row r="4886" spans="1:26" ht="25.5">
      <c r="A4886" s="136" t="s">
        <v>16</v>
      </c>
      <c r="B4886" s="136" t="s">
        <v>7971</v>
      </c>
      <c r="C4886" s="136" t="s">
        <v>8023</v>
      </c>
      <c r="D4886" s="136" t="s">
        <v>136</v>
      </c>
      <c r="E4886" s="136" t="s">
        <v>615</v>
      </c>
      <c r="F4886" s="136">
        <v>50</v>
      </c>
      <c r="G4886" s="137">
        <f t="shared" si="19"/>
        <v>11</v>
      </c>
      <c r="H4886" s="137"/>
      <c r="I4886" s="137"/>
      <c r="J4886" s="135"/>
      <c r="K4886" s="135"/>
      <c r="L4886" s="135"/>
      <c r="M4886" s="135"/>
      <c r="N4886" s="135"/>
      <c r="O4886" s="135"/>
      <c r="P4886" s="135"/>
      <c r="Q4886" s="135"/>
      <c r="R4886" s="135"/>
      <c r="S4886" s="135"/>
      <c r="T4886" s="135"/>
      <c r="U4886" s="135"/>
      <c r="V4886" s="135"/>
      <c r="W4886" s="135"/>
      <c r="X4886" s="135"/>
      <c r="Y4886" s="135"/>
      <c r="Z4886" s="135"/>
    </row>
    <row r="4887" spans="1:26" ht="25.5">
      <c r="A4887" s="136" t="s">
        <v>16</v>
      </c>
      <c r="B4887" s="136" t="s">
        <v>7971</v>
      </c>
      <c r="C4887" s="136" t="s">
        <v>8023</v>
      </c>
      <c r="D4887" s="136" t="s">
        <v>8024</v>
      </c>
      <c r="E4887" s="136" t="s">
        <v>615</v>
      </c>
      <c r="F4887" s="136">
        <v>26</v>
      </c>
      <c r="G4887" s="137">
        <f t="shared" si="19"/>
        <v>12</v>
      </c>
      <c r="H4887" s="137"/>
      <c r="I4887" s="137"/>
      <c r="J4887" s="135"/>
      <c r="K4887" s="135"/>
      <c r="L4887" s="135"/>
      <c r="M4887" s="135"/>
      <c r="N4887" s="135"/>
      <c r="O4887" s="135"/>
      <c r="P4887" s="135"/>
      <c r="Q4887" s="135"/>
      <c r="R4887" s="135"/>
      <c r="S4887" s="135"/>
      <c r="T4887" s="135"/>
      <c r="U4887" s="135"/>
      <c r="V4887" s="135"/>
      <c r="W4887" s="135"/>
      <c r="X4887" s="135"/>
      <c r="Y4887" s="135"/>
      <c r="Z4887" s="135"/>
    </row>
    <row r="4888" spans="1:26" ht="25.5">
      <c r="A4888" s="136" t="s">
        <v>16</v>
      </c>
      <c r="B4888" s="136" t="s">
        <v>7971</v>
      </c>
      <c r="C4888" s="136" t="s">
        <v>8023</v>
      </c>
      <c r="D4888" s="136" t="s">
        <v>1682</v>
      </c>
      <c r="E4888" s="136" t="s">
        <v>86</v>
      </c>
      <c r="F4888" s="136">
        <v>12</v>
      </c>
      <c r="G4888" s="137">
        <f t="shared" si="19"/>
        <v>13</v>
      </c>
      <c r="H4888" s="137"/>
      <c r="I4888" s="137"/>
      <c r="J4888" s="135"/>
      <c r="K4888" s="135"/>
      <c r="L4888" s="135"/>
      <c r="M4888" s="135"/>
      <c r="N4888" s="135"/>
      <c r="O4888" s="135"/>
      <c r="P4888" s="135"/>
      <c r="Q4888" s="135"/>
      <c r="R4888" s="135"/>
      <c r="S4888" s="135"/>
      <c r="T4888" s="135"/>
      <c r="U4888" s="135"/>
      <c r="V4888" s="135"/>
      <c r="W4888" s="135"/>
      <c r="X4888" s="135"/>
      <c r="Y4888" s="135"/>
      <c r="Z4888" s="135"/>
    </row>
    <row r="4889" spans="1:26" ht="25.5">
      <c r="A4889" s="136" t="s">
        <v>16</v>
      </c>
      <c r="B4889" s="136" t="s">
        <v>7971</v>
      </c>
      <c r="C4889" s="136" t="s">
        <v>8025</v>
      </c>
      <c r="D4889" s="136" t="s">
        <v>1639</v>
      </c>
      <c r="E4889" s="136" t="s">
        <v>615</v>
      </c>
      <c r="F4889" s="136">
        <v>1128</v>
      </c>
      <c r="G4889" s="137">
        <f t="shared" si="19"/>
        <v>1</v>
      </c>
      <c r="H4889" s="137"/>
      <c r="I4889" s="137"/>
      <c r="J4889" s="135"/>
      <c r="K4889" s="135"/>
      <c r="L4889" s="135"/>
      <c r="M4889" s="135"/>
      <c r="N4889" s="135"/>
      <c r="O4889" s="135"/>
      <c r="P4889" s="135"/>
      <c r="Q4889" s="135"/>
      <c r="R4889" s="135"/>
      <c r="S4889" s="135"/>
      <c r="T4889" s="135"/>
      <c r="U4889" s="135"/>
      <c r="V4889" s="135"/>
      <c r="W4889" s="135"/>
      <c r="X4889" s="135"/>
      <c r="Y4889" s="135"/>
      <c r="Z4889" s="135"/>
    </row>
    <row r="4890" spans="1:26" ht="25.5">
      <c r="A4890" s="136" t="s">
        <v>16</v>
      </c>
      <c r="B4890" s="136" t="s">
        <v>7971</v>
      </c>
      <c r="C4890" s="136" t="s">
        <v>8025</v>
      </c>
      <c r="D4890" s="136" t="s">
        <v>7993</v>
      </c>
      <c r="E4890" s="136" t="s">
        <v>615</v>
      </c>
      <c r="F4890" s="136">
        <v>960</v>
      </c>
      <c r="G4890" s="137">
        <f t="shared" si="19"/>
        <v>2</v>
      </c>
      <c r="H4890" s="137"/>
      <c r="I4890" s="137"/>
      <c r="J4890" s="135"/>
      <c r="K4890" s="135"/>
      <c r="L4890" s="135"/>
      <c r="M4890" s="135"/>
      <c r="N4890" s="135"/>
      <c r="O4890" s="135"/>
      <c r="P4890" s="135"/>
      <c r="Q4890" s="135"/>
      <c r="R4890" s="135"/>
      <c r="S4890" s="135"/>
      <c r="T4890" s="135"/>
      <c r="U4890" s="135"/>
      <c r="V4890" s="135"/>
      <c r="W4890" s="135"/>
      <c r="X4890" s="135"/>
      <c r="Y4890" s="135"/>
      <c r="Z4890" s="135"/>
    </row>
    <row r="4891" spans="1:26" ht="25.5">
      <c r="A4891" s="136" t="s">
        <v>16</v>
      </c>
      <c r="B4891" s="136" t="s">
        <v>7971</v>
      </c>
      <c r="C4891" s="136" t="s">
        <v>8025</v>
      </c>
      <c r="D4891" s="136" t="s">
        <v>139</v>
      </c>
      <c r="E4891" s="136" t="s">
        <v>594</v>
      </c>
      <c r="F4891" s="136">
        <v>955</v>
      </c>
      <c r="G4891" s="137">
        <f t="shared" si="19"/>
        <v>3</v>
      </c>
      <c r="H4891" s="137"/>
      <c r="I4891" s="137"/>
      <c r="J4891" s="135"/>
      <c r="K4891" s="135"/>
      <c r="L4891" s="135"/>
      <c r="M4891" s="135"/>
      <c r="N4891" s="135"/>
      <c r="O4891" s="135"/>
      <c r="P4891" s="135"/>
      <c r="Q4891" s="135"/>
      <c r="R4891" s="135"/>
      <c r="S4891" s="135"/>
      <c r="T4891" s="135"/>
      <c r="U4891" s="135"/>
      <c r="V4891" s="135"/>
      <c r="W4891" s="135"/>
      <c r="X4891" s="135"/>
      <c r="Y4891" s="135"/>
      <c r="Z4891" s="135"/>
    </row>
    <row r="4892" spans="1:26" ht="25.5">
      <c r="A4892" s="136" t="s">
        <v>16</v>
      </c>
      <c r="B4892" s="136" t="s">
        <v>7971</v>
      </c>
      <c r="C4892" s="136" t="s">
        <v>8025</v>
      </c>
      <c r="D4892" s="136" t="s">
        <v>136</v>
      </c>
      <c r="E4892" s="136" t="s">
        <v>615</v>
      </c>
      <c r="F4892" s="136">
        <v>711</v>
      </c>
      <c r="G4892" s="137">
        <f t="shared" si="19"/>
        <v>4</v>
      </c>
      <c r="H4892" s="137"/>
      <c r="I4892" s="137"/>
      <c r="J4892" s="135"/>
      <c r="K4892" s="135"/>
      <c r="L4892" s="135"/>
      <c r="M4892" s="135"/>
      <c r="N4892" s="135"/>
      <c r="O4892" s="135"/>
      <c r="P4892" s="135"/>
      <c r="Q4892" s="135"/>
      <c r="R4892" s="135"/>
      <c r="S4892" s="135"/>
      <c r="T4892" s="135"/>
      <c r="U4892" s="135"/>
      <c r="V4892" s="135"/>
      <c r="W4892" s="135"/>
      <c r="X4892" s="135"/>
      <c r="Y4892" s="135"/>
      <c r="Z4892" s="135"/>
    </row>
    <row r="4893" spans="1:26" ht="25.5">
      <c r="A4893" s="136" t="s">
        <v>16</v>
      </c>
      <c r="B4893" s="136" t="s">
        <v>7971</v>
      </c>
      <c r="C4893" s="136" t="s">
        <v>8025</v>
      </c>
      <c r="D4893" s="136" t="s">
        <v>1604</v>
      </c>
      <c r="E4893" s="136" t="s">
        <v>615</v>
      </c>
      <c r="F4893" s="136">
        <v>595</v>
      </c>
      <c r="G4893" s="137">
        <f t="shared" si="19"/>
        <v>5</v>
      </c>
      <c r="H4893" s="137"/>
      <c r="I4893" s="137"/>
      <c r="J4893" s="135"/>
      <c r="K4893" s="135"/>
      <c r="L4893" s="135"/>
      <c r="M4893" s="135"/>
      <c r="N4893" s="135"/>
      <c r="O4893" s="135"/>
      <c r="P4893" s="135"/>
      <c r="Q4893" s="135"/>
      <c r="R4893" s="135"/>
      <c r="S4893" s="135"/>
      <c r="T4893" s="135"/>
      <c r="U4893" s="135"/>
      <c r="V4893" s="135"/>
      <c r="W4893" s="135"/>
      <c r="X4893" s="135"/>
      <c r="Y4893" s="135"/>
      <c r="Z4893" s="135"/>
    </row>
    <row r="4894" spans="1:26" ht="25.5">
      <c r="A4894" s="136" t="s">
        <v>16</v>
      </c>
      <c r="B4894" s="136" t="s">
        <v>7971</v>
      </c>
      <c r="C4894" s="136" t="s">
        <v>8025</v>
      </c>
      <c r="D4894" s="136" t="s">
        <v>1665</v>
      </c>
      <c r="E4894" s="136" t="s">
        <v>615</v>
      </c>
      <c r="F4894" s="136">
        <v>545</v>
      </c>
      <c r="G4894" s="137">
        <f t="shared" si="19"/>
        <v>6</v>
      </c>
      <c r="H4894" s="137"/>
      <c r="I4894" s="137"/>
      <c r="J4894" s="135"/>
      <c r="K4894" s="135"/>
      <c r="L4894" s="135"/>
      <c r="M4894" s="135"/>
      <c r="N4894" s="135"/>
      <c r="O4894" s="135"/>
      <c r="P4894" s="135"/>
      <c r="Q4894" s="135"/>
      <c r="R4894" s="135"/>
      <c r="S4894" s="135"/>
      <c r="T4894" s="135"/>
      <c r="U4894" s="135"/>
      <c r="V4894" s="135"/>
      <c r="W4894" s="135"/>
      <c r="X4894" s="135"/>
      <c r="Y4894" s="135"/>
      <c r="Z4894" s="135"/>
    </row>
    <row r="4895" spans="1:26" ht="25.5">
      <c r="A4895" s="136" t="s">
        <v>16</v>
      </c>
      <c r="B4895" s="136" t="s">
        <v>7971</v>
      </c>
      <c r="C4895" s="136" t="s">
        <v>8025</v>
      </c>
      <c r="D4895" s="136" t="s">
        <v>7729</v>
      </c>
      <c r="E4895" s="136" t="s">
        <v>615</v>
      </c>
      <c r="F4895" s="136">
        <v>325</v>
      </c>
      <c r="G4895" s="137">
        <f t="shared" si="19"/>
        <v>7</v>
      </c>
      <c r="H4895" s="137"/>
      <c r="I4895" s="137"/>
      <c r="J4895" s="135"/>
      <c r="K4895" s="135"/>
      <c r="L4895" s="135"/>
      <c r="M4895" s="135"/>
      <c r="N4895" s="135"/>
      <c r="O4895" s="135"/>
      <c r="P4895" s="135"/>
      <c r="Q4895" s="135"/>
      <c r="R4895" s="135"/>
      <c r="S4895" s="135"/>
      <c r="T4895" s="135"/>
      <c r="U4895" s="135"/>
      <c r="V4895" s="135"/>
      <c r="W4895" s="135"/>
      <c r="X4895" s="135"/>
      <c r="Y4895" s="135"/>
      <c r="Z4895" s="135"/>
    </row>
    <row r="4896" spans="1:26" ht="25.5">
      <c r="A4896" s="136" t="s">
        <v>16</v>
      </c>
      <c r="B4896" s="136" t="s">
        <v>7971</v>
      </c>
      <c r="C4896" s="136" t="s">
        <v>8025</v>
      </c>
      <c r="D4896" s="136" t="s">
        <v>114</v>
      </c>
      <c r="E4896" s="136" t="s">
        <v>85</v>
      </c>
      <c r="F4896" s="136">
        <v>267</v>
      </c>
      <c r="G4896" s="137">
        <f t="shared" si="19"/>
        <v>8</v>
      </c>
      <c r="H4896" s="137"/>
      <c r="I4896" s="137"/>
      <c r="J4896" s="135"/>
      <c r="K4896" s="135"/>
      <c r="L4896" s="135"/>
      <c r="M4896" s="135"/>
      <c r="N4896" s="135"/>
      <c r="O4896" s="135"/>
      <c r="P4896" s="135"/>
      <c r="Q4896" s="135"/>
      <c r="R4896" s="135"/>
      <c r="S4896" s="135"/>
      <c r="T4896" s="135"/>
      <c r="U4896" s="135"/>
      <c r="V4896" s="135"/>
      <c r="W4896" s="135"/>
      <c r="X4896" s="135"/>
      <c r="Y4896" s="135"/>
      <c r="Z4896" s="135"/>
    </row>
    <row r="4897" spans="1:26" ht="25.5">
      <c r="A4897" s="136" t="s">
        <v>16</v>
      </c>
      <c r="B4897" s="136" t="s">
        <v>7971</v>
      </c>
      <c r="C4897" s="136" t="s">
        <v>8025</v>
      </c>
      <c r="D4897" s="136" t="s">
        <v>103</v>
      </c>
      <c r="E4897" s="136" t="s">
        <v>594</v>
      </c>
      <c r="F4897" s="136">
        <v>125</v>
      </c>
      <c r="G4897" s="137">
        <f t="shared" si="19"/>
        <v>9</v>
      </c>
      <c r="H4897" s="137"/>
      <c r="I4897" s="137"/>
      <c r="J4897" s="135"/>
      <c r="K4897" s="135"/>
      <c r="L4897" s="135"/>
      <c r="M4897" s="135"/>
      <c r="N4897" s="135"/>
      <c r="O4897" s="135"/>
      <c r="P4897" s="135"/>
      <c r="Q4897" s="135"/>
      <c r="R4897" s="135"/>
      <c r="S4897" s="135"/>
      <c r="T4897" s="135"/>
      <c r="U4897" s="135"/>
      <c r="V4897" s="135"/>
      <c r="W4897" s="135"/>
      <c r="X4897" s="135"/>
      <c r="Y4897" s="135"/>
      <c r="Z4897" s="135"/>
    </row>
    <row r="4898" spans="1:26" ht="25.5">
      <c r="A4898" s="136" t="s">
        <v>16</v>
      </c>
      <c r="B4898" s="136" t="s">
        <v>7971</v>
      </c>
      <c r="C4898" s="136" t="s">
        <v>8025</v>
      </c>
      <c r="D4898" s="136" t="s">
        <v>154</v>
      </c>
      <c r="E4898" s="136" t="s">
        <v>615</v>
      </c>
      <c r="F4898" s="136">
        <v>63</v>
      </c>
      <c r="G4898" s="137">
        <f t="shared" si="19"/>
        <v>10</v>
      </c>
      <c r="H4898" s="137"/>
      <c r="I4898" s="137"/>
      <c r="J4898" s="135"/>
      <c r="K4898" s="135"/>
      <c r="L4898" s="135"/>
      <c r="M4898" s="135"/>
      <c r="N4898" s="135"/>
      <c r="O4898" s="135"/>
      <c r="P4898" s="135"/>
      <c r="Q4898" s="135"/>
      <c r="R4898" s="135"/>
      <c r="S4898" s="135"/>
      <c r="T4898" s="135"/>
      <c r="U4898" s="135"/>
      <c r="V4898" s="135"/>
      <c r="W4898" s="135"/>
      <c r="X4898" s="135"/>
      <c r="Y4898" s="135"/>
      <c r="Z4898" s="135"/>
    </row>
    <row r="4899" spans="1:26" ht="25.5">
      <c r="A4899" s="136" t="s">
        <v>16</v>
      </c>
      <c r="B4899" s="136" t="s">
        <v>7971</v>
      </c>
      <c r="C4899" s="136" t="s">
        <v>8025</v>
      </c>
      <c r="D4899" s="136" t="s">
        <v>1680</v>
      </c>
      <c r="E4899" s="136" t="s">
        <v>615</v>
      </c>
      <c r="F4899" s="136">
        <v>60</v>
      </c>
      <c r="G4899" s="137">
        <f t="shared" si="19"/>
        <v>11</v>
      </c>
      <c r="H4899" s="137"/>
      <c r="I4899" s="137"/>
      <c r="J4899" s="135"/>
      <c r="K4899" s="135"/>
      <c r="L4899" s="135"/>
      <c r="M4899" s="135"/>
      <c r="N4899" s="135"/>
      <c r="O4899" s="135"/>
      <c r="P4899" s="135"/>
      <c r="Q4899" s="135"/>
      <c r="R4899" s="135"/>
      <c r="S4899" s="135"/>
      <c r="T4899" s="135"/>
      <c r="U4899" s="135"/>
      <c r="V4899" s="135"/>
      <c r="W4899" s="135"/>
      <c r="X4899" s="135"/>
      <c r="Y4899" s="135"/>
      <c r="Z4899" s="135"/>
    </row>
    <row r="4900" spans="1:26" ht="25.5">
      <c r="A4900" s="136" t="s">
        <v>16</v>
      </c>
      <c r="B4900" s="136" t="s">
        <v>7971</v>
      </c>
      <c r="C4900" s="136" t="s">
        <v>8025</v>
      </c>
      <c r="D4900" s="136" t="s">
        <v>368</v>
      </c>
      <c r="E4900" s="136" t="s">
        <v>594</v>
      </c>
      <c r="F4900" s="136">
        <v>53</v>
      </c>
      <c r="G4900" s="137">
        <f t="shared" si="19"/>
        <v>12</v>
      </c>
      <c r="H4900" s="137"/>
      <c r="I4900" s="137"/>
      <c r="J4900" s="135"/>
      <c r="K4900" s="135"/>
      <c r="L4900" s="135"/>
      <c r="M4900" s="135"/>
      <c r="N4900" s="135"/>
      <c r="O4900" s="135"/>
      <c r="P4900" s="135"/>
      <c r="Q4900" s="135"/>
      <c r="R4900" s="135"/>
      <c r="S4900" s="135"/>
      <c r="T4900" s="135"/>
      <c r="U4900" s="135"/>
      <c r="V4900" s="135"/>
      <c r="W4900" s="135"/>
      <c r="X4900" s="135"/>
      <c r="Y4900" s="135"/>
      <c r="Z4900" s="135"/>
    </row>
    <row r="4901" spans="1:26" ht="25.5">
      <c r="A4901" s="136" t="s">
        <v>16</v>
      </c>
      <c r="B4901" s="136" t="s">
        <v>7971</v>
      </c>
      <c r="C4901" s="136" t="s">
        <v>8025</v>
      </c>
      <c r="D4901" s="136" t="s">
        <v>7527</v>
      </c>
      <c r="E4901" s="136" t="s">
        <v>615</v>
      </c>
      <c r="F4901" s="136">
        <v>50</v>
      </c>
      <c r="G4901" s="137">
        <f t="shared" si="19"/>
        <v>13</v>
      </c>
      <c r="H4901" s="137"/>
      <c r="I4901" s="137"/>
      <c r="J4901" s="135"/>
      <c r="K4901" s="135"/>
      <c r="L4901" s="135"/>
      <c r="M4901" s="135"/>
      <c r="N4901" s="135"/>
      <c r="O4901" s="135"/>
      <c r="P4901" s="135"/>
      <c r="Q4901" s="135"/>
      <c r="R4901" s="135"/>
      <c r="S4901" s="135"/>
      <c r="T4901" s="135"/>
      <c r="U4901" s="135"/>
      <c r="V4901" s="135"/>
      <c r="W4901" s="135"/>
      <c r="X4901" s="135"/>
      <c r="Y4901" s="135"/>
      <c r="Z4901" s="135"/>
    </row>
    <row r="4902" spans="1:26" ht="25.5">
      <c r="A4902" s="136" t="s">
        <v>16</v>
      </c>
      <c r="B4902" s="136" t="s">
        <v>7971</v>
      </c>
      <c r="C4902" s="136" t="s">
        <v>8025</v>
      </c>
      <c r="D4902" s="136" t="s">
        <v>467</v>
      </c>
      <c r="E4902" s="136" t="s">
        <v>85</v>
      </c>
      <c r="F4902" s="136">
        <v>45</v>
      </c>
      <c r="G4902" s="137">
        <f t="shared" si="19"/>
        <v>14</v>
      </c>
      <c r="H4902" s="137"/>
      <c r="I4902" s="137"/>
      <c r="J4902" s="135"/>
      <c r="K4902" s="135"/>
      <c r="L4902" s="135"/>
      <c r="M4902" s="135"/>
      <c r="N4902" s="135"/>
      <c r="O4902" s="135"/>
      <c r="P4902" s="135"/>
      <c r="Q4902" s="135"/>
      <c r="R4902" s="135"/>
      <c r="S4902" s="135"/>
      <c r="T4902" s="135"/>
      <c r="U4902" s="135"/>
      <c r="V4902" s="135"/>
      <c r="W4902" s="135"/>
      <c r="X4902" s="135"/>
      <c r="Y4902" s="135"/>
      <c r="Z4902" s="135"/>
    </row>
    <row r="4903" spans="1:26" ht="25.5">
      <c r="A4903" s="136" t="s">
        <v>16</v>
      </c>
      <c r="B4903" s="136" t="s">
        <v>7971</v>
      </c>
      <c r="C4903" s="136" t="s">
        <v>8025</v>
      </c>
      <c r="D4903" s="136" t="s">
        <v>7838</v>
      </c>
      <c r="E4903" s="136" t="s">
        <v>86</v>
      </c>
      <c r="F4903" s="136">
        <v>22</v>
      </c>
      <c r="G4903" s="137">
        <f t="shared" si="19"/>
        <v>15</v>
      </c>
      <c r="H4903" s="137"/>
      <c r="I4903" s="137"/>
      <c r="J4903" s="135"/>
      <c r="K4903" s="135"/>
      <c r="L4903" s="135"/>
      <c r="M4903" s="135"/>
      <c r="N4903" s="135"/>
      <c r="O4903" s="135"/>
      <c r="P4903" s="135"/>
      <c r="Q4903" s="135"/>
      <c r="R4903" s="135"/>
      <c r="S4903" s="135"/>
      <c r="T4903" s="135"/>
      <c r="U4903" s="135"/>
      <c r="V4903" s="135"/>
      <c r="W4903" s="135"/>
      <c r="X4903" s="135"/>
      <c r="Y4903" s="135"/>
      <c r="Z4903" s="135"/>
    </row>
    <row r="4904" spans="1:26" ht="25.5">
      <c r="A4904" s="136" t="s">
        <v>16</v>
      </c>
      <c r="B4904" s="136" t="s">
        <v>7971</v>
      </c>
      <c r="C4904" s="136" t="s">
        <v>8025</v>
      </c>
      <c r="D4904" s="136" t="s">
        <v>1626</v>
      </c>
      <c r="E4904" s="136" t="s">
        <v>594</v>
      </c>
      <c r="F4904" s="136">
        <v>17</v>
      </c>
      <c r="G4904" s="137">
        <f t="shared" si="19"/>
        <v>16</v>
      </c>
      <c r="H4904" s="137"/>
      <c r="I4904" s="137"/>
      <c r="J4904" s="135"/>
      <c r="K4904" s="135"/>
      <c r="L4904" s="135"/>
      <c r="M4904" s="135"/>
      <c r="N4904" s="135"/>
      <c r="O4904" s="135"/>
      <c r="P4904" s="135"/>
      <c r="Q4904" s="135"/>
      <c r="R4904" s="135"/>
      <c r="S4904" s="135"/>
      <c r="T4904" s="135"/>
      <c r="U4904" s="135"/>
      <c r="V4904" s="135"/>
      <c r="W4904" s="135"/>
      <c r="X4904" s="135"/>
      <c r="Y4904" s="135"/>
      <c r="Z4904" s="135"/>
    </row>
    <row r="4905" spans="1:26" ht="25.5">
      <c r="A4905" s="136" t="s">
        <v>16</v>
      </c>
      <c r="B4905" s="136" t="s">
        <v>7971</v>
      </c>
      <c r="C4905" s="136" t="s">
        <v>8026</v>
      </c>
      <c r="D4905" s="136" t="s">
        <v>165</v>
      </c>
      <c r="E4905" s="136" t="s">
        <v>615</v>
      </c>
      <c r="F4905" s="136">
        <v>1595</v>
      </c>
      <c r="G4905" s="137">
        <f t="shared" si="19"/>
        <v>1</v>
      </c>
      <c r="H4905" s="137"/>
      <c r="I4905" s="137"/>
      <c r="J4905" s="135"/>
      <c r="K4905" s="135"/>
      <c r="L4905" s="135"/>
      <c r="M4905" s="135"/>
      <c r="N4905" s="135"/>
      <c r="O4905" s="135"/>
      <c r="P4905" s="135"/>
      <c r="Q4905" s="135"/>
      <c r="R4905" s="135"/>
      <c r="S4905" s="135"/>
      <c r="T4905" s="135"/>
      <c r="U4905" s="135"/>
      <c r="V4905" s="135"/>
      <c r="W4905" s="135"/>
      <c r="X4905" s="135"/>
      <c r="Y4905" s="135"/>
      <c r="Z4905" s="135"/>
    </row>
    <row r="4906" spans="1:26" ht="25.5">
      <c r="A4906" s="136" t="s">
        <v>16</v>
      </c>
      <c r="B4906" s="136" t="s">
        <v>7971</v>
      </c>
      <c r="C4906" s="136" t="s">
        <v>8026</v>
      </c>
      <c r="D4906" s="136" t="s">
        <v>120</v>
      </c>
      <c r="E4906" s="136" t="s">
        <v>615</v>
      </c>
      <c r="F4906" s="136">
        <v>934</v>
      </c>
      <c r="G4906" s="137">
        <f t="shared" si="19"/>
        <v>2</v>
      </c>
      <c r="H4906" s="137"/>
      <c r="I4906" s="137"/>
      <c r="J4906" s="135"/>
      <c r="K4906" s="135"/>
      <c r="L4906" s="135"/>
      <c r="M4906" s="135"/>
      <c r="N4906" s="135"/>
      <c r="O4906" s="135"/>
      <c r="P4906" s="135"/>
      <c r="Q4906" s="135"/>
      <c r="R4906" s="135"/>
      <c r="S4906" s="135"/>
      <c r="T4906" s="135"/>
      <c r="U4906" s="135"/>
      <c r="V4906" s="135"/>
      <c r="W4906" s="135"/>
      <c r="X4906" s="135"/>
      <c r="Y4906" s="135"/>
      <c r="Z4906" s="135"/>
    </row>
    <row r="4907" spans="1:26" ht="25.5">
      <c r="A4907" s="136" t="s">
        <v>16</v>
      </c>
      <c r="B4907" s="136" t="s">
        <v>7971</v>
      </c>
      <c r="C4907" s="136" t="s">
        <v>8026</v>
      </c>
      <c r="D4907" s="136" t="s">
        <v>1604</v>
      </c>
      <c r="E4907" s="136" t="s">
        <v>615</v>
      </c>
      <c r="F4907" s="136">
        <v>748</v>
      </c>
      <c r="G4907" s="137">
        <f t="shared" si="19"/>
        <v>3</v>
      </c>
      <c r="H4907" s="137"/>
      <c r="I4907" s="137"/>
      <c r="J4907" s="135"/>
      <c r="K4907" s="135"/>
      <c r="L4907" s="135"/>
      <c r="M4907" s="135"/>
      <c r="N4907" s="135"/>
      <c r="O4907" s="135"/>
      <c r="P4907" s="135"/>
      <c r="Q4907" s="135"/>
      <c r="R4907" s="135"/>
      <c r="S4907" s="135"/>
      <c r="T4907" s="135"/>
      <c r="U4907" s="135"/>
      <c r="V4907" s="135"/>
      <c r="W4907" s="135"/>
      <c r="X4907" s="135"/>
      <c r="Y4907" s="135"/>
      <c r="Z4907" s="135"/>
    </row>
    <row r="4908" spans="1:26" ht="25.5">
      <c r="A4908" s="136" t="s">
        <v>16</v>
      </c>
      <c r="B4908" s="136" t="s">
        <v>7971</v>
      </c>
      <c r="C4908" s="136" t="s">
        <v>8026</v>
      </c>
      <c r="D4908" s="136" t="s">
        <v>136</v>
      </c>
      <c r="E4908" s="136" t="s">
        <v>615</v>
      </c>
      <c r="F4908" s="136">
        <v>547</v>
      </c>
      <c r="G4908" s="137">
        <f t="shared" si="19"/>
        <v>4</v>
      </c>
      <c r="H4908" s="137"/>
      <c r="I4908" s="137"/>
      <c r="J4908" s="135"/>
      <c r="K4908" s="135"/>
      <c r="L4908" s="135"/>
      <c r="M4908" s="135"/>
      <c r="N4908" s="135"/>
      <c r="O4908" s="135"/>
      <c r="P4908" s="135"/>
      <c r="Q4908" s="135"/>
      <c r="R4908" s="135"/>
      <c r="S4908" s="135"/>
      <c r="T4908" s="135"/>
      <c r="U4908" s="135"/>
      <c r="V4908" s="135"/>
      <c r="W4908" s="135"/>
      <c r="X4908" s="135"/>
      <c r="Y4908" s="135"/>
      <c r="Z4908" s="135"/>
    </row>
    <row r="4909" spans="1:26" ht="25.5">
      <c r="A4909" s="136" t="s">
        <v>16</v>
      </c>
      <c r="B4909" s="136" t="s">
        <v>7971</v>
      </c>
      <c r="C4909" s="136" t="s">
        <v>8026</v>
      </c>
      <c r="D4909" s="136" t="s">
        <v>139</v>
      </c>
      <c r="E4909" s="136" t="s">
        <v>594</v>
      </c>
      <c r="F4909" s="136">
        <v>299</v>
      </c>
      <c r="G4909" s="137">
        <f t="shared" si="19"/>
        <v>5</v>
      </c>
      <c r="H4909" s="137"/>
      <c r="I4909" s="137"/>
      <c r="J4909" s="135"/>
      <c r="K4909" s="135"/>
      <c r="L4909" s="135"/>
      <c r="M4909" s="135"/>
      <c r="N4909" s="135"/>
      <c r="O4909" s="135"/>
      <c r="P4909" s="135"/>
      <c r="Q4909" s="135"/>
      <c r="R4909" s="135"/>
      <c r="S4909" s="135"/>
      <c r="T4909" s="135"/>
      <c r="U4909" s="135"/>
      <c r="V4909" s="135"/>
      <c r="W4909" s="135"/>
      <c r="X4909" s="135"/>
      <c r="Y4909" s="135"/>
      <c r="Z4909" s="135"/>
    </row>
    <row r="4910" spans="1:26" ht="25.5">
      <c r="A4910" s="136" t="s">
        <v>16</v>
      </c>
      <c r="B4910" s="136" t="s">
        <v>7971</v>
      </c>
      <c r="C4910" s="136" t="s">
        <v>8026</v>
      </c>
      <c r="D4910" s="136" t="s">
        <v>1665</v>
      </c>
      <c r="E4910" s="136" t="s">
        <v>615</v>
      </c>
      <c r="F4910" s="136">
        <v>202</v>
      </c>
      <c r="G4910" s="137">
        <f t="shared" si="19"/>
        <v>6</v>
      </c>
      <c r="H4910" s="137"/>
      <c r="I4910" s="137"/>
      <c r="J4910" s="135"/>
      <c r="K4910" s="135"/>
      <c r="L4910" s="135"/>
      <c r="M4910" s="135"/>
      <c r="N4910" s="135"/>
      <c r="O4910" s="135"/>
      <c r="P4910" s="135"/>
      <c r="Q4910" s="135"/>
      <c r="R4910" s="135"/>
      <c r="S4910" s="135"/>
      <c r="T4910" s="135"/>
      <c r="U4910" s="135"/>
      <c r="V4910" s="135"/>
      <c r="W4910" s="135"/>
      <c r="X4910" s="135"/>
      <c r="Y4910" s="135"/>
      <c r="Z4910" s="135"/>
    </row>
    <row r="4911" spans="1:26" ht="25.5">
      <c r="A4911" s="136" t="s">
        <v>16</v>
      </c>
      <c r="B4911" s="136" t="s">
        <v>7971</v>
      </c>
      <c r="C4911" s="136" t="s">
        <v>8026</v>
      </c>
      <c r="D4911" s="136" t="s">
        <v>154</v>
      </c>
      <c r="E4911" s="136" t="s">
        <v>615</v>
      </c>
      <c r="F4911" s="136">
        <v>115</v>
      </c>
      <c r="G4911" s="137">
        <f t="shared" si="19"/>
        <v>7</v>
      </c>
      <c r="H4911" s="137"/>
      <c r="I4911" s="137"/>
      <c r="J4911" s="135"/>
      <c r="K4911" s="135"/>
      <c r="L4911" s="135"/>
      <c r="M4911" s="135"/>
      <c r="N4911" s="135"/>
      <c r="O4911" s="135"/>
      <c r="P4911" s="135"/>
      <c r="Q4911" s="135"/>
      <c r="R4911" s="135"/>
      <c r="S4911" s="135"/>
      <c r="T4911" s="135"/>
      <c r="U4911" s="135"/>
      <c r="V4911" s="135"/>
      <c r="W4911" s="135"/>
      <c r="X4911" s="135"/>
      <c r="Y4911" s="135"/>
      <c r="Z4911" s="135"/>
    </row>
    <row r="4912" spans="1:26" ht="25.5">
      <c r="A4912" s="136" t="s">
        <v>16</v>
      </c>
      <c r="B4912" s="136" t="s">
        <v>7971</v>
      </c>
      <c r="C4912" s="136" t="s">
        <v>8026</v>
      </c>
      <c r="D4912" s="136" t="s">
        <v>368</v>
      </c>
      <c r="E4912" s="136" t="s">
        <v>594</v>
      </c>
      <c r="F4912" s="136">
        <v>105</v>
      </c>
      <c r="G4912" s="137">
        <f t="shared" si="19"/>
        <v>8</v>
      </c>
      <c r="H4912" s="137"/>
      <c r="I4912" s="137"/>
      <c r="J4912" s="135"/>
      <c r="K4912" s="135"/>
      <c r="L4912" s="135"/>
      <c r="M4912" s="135"/>
      <c r="N4912" s="135"/>
      <c r="O4912" s="135"/>
      <c r="P4912" s="135"/>
      <c r="Q4912" s="135"/>
      <c r="R4912" s="135"/>
      <c r="S4912" s="135"/>
      <c r="T4912" s="135"/>
      <c r="U4912" s="135"/>
      <c r="V4912" s="135"/>
      <c r="W4912" s="135"/>
      <c r="X4912" s="135"/>
      <c r="Y4912" s="135"/>
      <c r="Z4912" s="135"/>
    </row>
    <row r="4913" spans="1:26" ht="25.5">
      <c r="A4913" s="136" t="s">
        <v>16</v>
      </c>
      <c r="B4913" s="136" t="s">
        <v>7971</v>
      </c>
      <c r="C4913" s="136" t="s">
        <v>8026</v>
      </c>
      <c r="D4913" s="136" t="s">
        <v>7993</v>
      </c>
      <c r="E4913" s="136" t="s">
        <v>615</v>
      </c>
      <c r="F4913" s="136">
        <v>80</v>
      </c>
      <c r="G4913" s="137">
        <f t="shared" si="19"/>
        <v>9</v>
      </c>
      <c r="H4913" s="137"/>
      <c r="I4913" s="137"/>
      <c r="J4913" s="135"/>
      <c r="K4913" s="135"/>
      <c r="L4913" s="135"/>
      <c r="M4913" s="135"/>
      <c r="N4913" s="135"/>
      <c r="O4913" s="135"/>
      <c r="P4913" s="135"/>
      <c r="Q4913" s="135"/>
      <c r="R4913" s="135"/>
      <c r="S4913" s="135"/>
      <c r="T4913" s="135"/>
      <c r="U4913" s="135"/>
      <c r="V4913" s="135"/>
      <c r="W4913" s="135"/>
      <c r="X4913" s="135"/>
      <c r="Y4913" s="135"/>
      <c r="Z4913" s="135"/>
    </row>
    <row r="4914" spans="1:26" ht="25.5">
      <c r="A4914" s="136" t="s">
        <v>16</v>
      </c>
      <c r="B4914" s="136" t="s">
        <v>7971</v>
      </c>
      <c r="C4914" s="136" t="s">
        <v>8026</v>
      </c>
      <c r="D4914" s="136" t="s">
        <v>114</v>
      </c>
      <c r="E4914" s="136" t="s">
        <v>85</v>
      </c>
      <c r="F4914" s="136">
        <v>69</v>
      </c>
      <c r="G4914" s="137">
        <f t="shared" si="19"/>
        <v>10</v>
      </c>
      <c r="H4914" s="137"/>
      <c r="I4914" s="137"/>
      <c r="J4914" s="135"/>
      <c r="K4914" s="135"/>
      <c r="L4914" s="135"/>
      <c r="M4914" s="135"/>
      <c r="N4914" s="135"/>
      <c r="O4914" s="135"/>
      <c r="P4914" s="135"/>
      <c r="Q4914" s="135"/>
      <c r="R4914" s="135"/>
      <c r="S4914" s="135"/>
      <c r="T4914" s="135"/>
      <c r="U4914" s="135"/>
      <c r="V4914" s="135"/>
      <c r="W4914" s="135"/>
      <c r="X4914" s="135"/>
      <c r="Y4914" s="135"/>
      <c r="Z4914" s="135"/>
    </row>
    <row r="4915" spans="1:26" ht="25.5">
      <c r="A4915" s="136" t="s">
        <v>16</v>
      </c>
      <c r="B4915" s="136" t="s">
        <v>7971</v>
      </c>
      <c r="C4915" s="136" t="s">
        <v>8026</v>
      </c>
      <c r="D4915" s="136" t="s">
        <v>1639</v>
      </c>
      <c r="E4915" s="136" t="s">
        <v>615</v>
      </c>
      <c r="F4915" s="136">
        <v>65</v>
      </c>
      <c r="G4915" s="137">
        <f t="shared" si="19"/>
        <v>11</v>
      </c>
      <c r="H4915" s="137"/>
      <c r="I4915" s="137"/>
      <c r="J4915" s="135"/>
      <c r="K4915" s="135"/>
      <c r="L4915" s="135"/>
      <c r="M4915" s="135"/>
      <c r="N4915" s="135"/>
      <c r="O4915" s="135"/>
      <c r="P4915" s="135"/>
      <c r="Q4915" s="135"/>
      <c r="R4915" s="135"/>
      <c r="S4915" s="135"/>
      <c r="T4915" s="135"/>
      <c r="U4915" s="135"/>
      <c r="V4915" s="135"/>
      <c r="W4915" s="135"/>
      <c r="X4915" s="135"/>
      <c r="Y4915" s="135"/>
      <c r="Z4915" s="135"/>
    </row>
    <row r="4916" spans="1:26" ht="25.5">
      <c r="A4916" s="136" t="s">
        <v>16</v>
      </c>
      <c r="B4916" s="136" t="s">
        <v>7971</v>
      </c>
      <c r="C4916" s="136" t="s">
        <v>8026</v>
      </c>
      <c r="D4916" s="136" t="s">
        <v>103</v>
      </c>
      <c r="E4916" s="136" t="s">
        <v>594</v>
      </c>
      <c r="F4916" s="136">
        <v>54</v>
      </c>
      <c r="G4916" s="137">
        <f t="shared" si="19"/>
        <v>12</v>
      </c>
      <c r="H4916" s="137"/>
      <c r="I4916" s="137"/>
      <c r="J4916" s="135"/>
      <c r="K4916" s="135"/>
      <c r="L4916" s="135"/>
      <c r="M4916" s="135"/>
      <c r="N4916" s="135"/>
      <c r="O4916" s="135"/>
      <c r="P4916" s="135"/>
      <c r="Q4916" s="135"/>
      <c r="R4916" s="135"/>
      <c r="S4916" s="135"/>
      <c r="T4916" s="135"/>
      <c r="U4916" s="135"/>
      <c r="V4916" s="135"/>
      <c r="W4916" s="135"/>
      <c r="X4916" s="135"/>
      <c r="Y4916" s="135"/>
      <c r="Z4916" s="135"/>
    </row>
    <row r="4917" spans="1:26" ht="25.5">
      <c r="A4917" s="136" t="s">
        <v>16</v>
      </c>
      <c r="B4917" s="136" t="s">
        <v>7971</v>
      </c>
      <c r="C4917" s="136" t="s">
        <v>8026</v>
      </c>
      <c r="D4917" s="136" t="s">
        <v>437</v>
      </c>
      <c r="E4917" s="136" t="s">
        <v>594</v>
      </c>
      <c r="F4917" s="136">
        <v>35</v>
      </c>
      <c r="G4917" s="137">
        <f t="shared" si="19"/>
        <v>13</v>
      </c>
      <c r="H4917" s="137"/>
      <c r="I4917" s="137"/>
      <c r="J4917" s="135"/>
      <c r="K4917" s="135"/>
      <c r="L4917" s="135"/>
      <c r="M4917" s="135"/>
      <c r="N4917" s="135"/>
      <c r="O4917" s="135"/>
      <c r="P4917" s="135"/>
      <c r="Q4917" s="135"/>
      <c r="R4917" s="135"/>
      <c r="S4917" s="135"/>
      <c r="T4917" s="135"/>
      <c r="U4917" s="135"/>
      <c r="V4917" s="135"/>
      <c r="W4917" s="135"/>
      <c r="X4917" s="135"/>
      <c r="Y4917" s="135"/>
      <c r="Z4917" s="135"/>
    </row>
    <row r="4918" spans="1:26" ht="25.5">
      <c r="A4918" s="136" t="s">
        <v>16</v>
      </c>
      <c r="B4918" s="136" t="s">
        <v>7971</v>
      </c>
      <c r="C4918" s="136" t="s">
        <v>8026</v>
      </c>
      <c r="D4918" s="136" t="s">
        <v>1626</v>
      </c>
      <c r="E4918" s="136" t="s">
        <v>594</v>
      </c>
      <c r="F4918" s="136">
        <v>15</v>
      </c>
      <c r="G4918" s="137">
        <f t="shared" si="19"/>
        <v>14</v>
      </c>
      <c r="H4918" s="137"/>
      <c r="I4918" s="137"/>
      <c r="J4918" s="135"/>
      <c r="K4918" s="135"/>
      <c r="L4918" s="135"/>
      <c r="M4918" s="135"/>
      <c r="N4918" s="135"/>
      <c r="O4918" s="135"/>
      <c r="P4918" s="135"/>
      <c r="Q4918" s="135"/>
      <c r="R4918" s="135"/>
      <c r="S4918" s="135"/>
      <c r="T4918" s="135"/>
      <c r="U4918" s="135"/>
      <c r="V4918" s="135"/>
      <c r="W4918" s="135"/>
      <c r="X4918" s="135"/>
      <c r="Y4918" s="135"/>
      <c r="Z4918" s="135"/>
    </row>
    <row r="4919" spans="1:26" ht="25.5">
      <c r="A4919" s="136" t="s">
        <v>16</v>
      </c>
      <c r="B4919" s="136" t="s">
        <v>7971</v>
      </c>
      <c r="C4919" s="136" t="s">
        <v>8027</v>
      </c>
      <c r="D4919" s="136" t="s">
        <v>139</v>
      </c>
      <c r="E4919" s="136" t="s">
        <v>594</v>
      </c>
      <c r="F4919" s="136">
        <v>1039</v>
      </c>
      <c r="G4919" s="137">
        <f t="shared" si="19"/>
        <v>1</v>
      </c>
      <c r="H4919" s="137"/>
      <c r="I4919" s="137"/>
      <c r="J4919" s="135"/>
      <c r="K4919" s="135"/>
      <c r="L4919" s="135"/>
      <c r="M4919" s="135"/>
      <c r="N4919" s="135"/>
      <c r="O4919" s="135"/>
      <c r="P4919" s="135"/>
      <c r="Q4919" s="135"/>
      <c r="R4919" s="135"/>
      <c r="S4919" s="135"/>
      <c r="T4919" s="135"/>
      <c r="U4919" s="135"/>
      <c r="V4919" s="135"/>
      <c r="W4919" s="135"/>
      <c r="X4919" s="135"/>
      <c r="Y4919" s="135"/>
      <c r="Z4919" s="135"/>
    </row>
    <row r="4920" spans="1:26" ht="25.5">
      <c r="A4920" s="136" t="s">
        <v>16</v>
      </c>
      <c r="B4920" s="136" t="s">
        <v>7971</v>
      </c>
      <c r="C4920" s="136" t="s">
        <v>8027</v>
      </c>
      <c r="D4920" s="136" t="s">
        <v>107</v>
      </c>
      <c r="E4920" s="136" t="s">
        <v>615</v>
      </c>
      <c r="F4920" s="136">
        <v>839</v>
      </c>
      <c r="G4920" s="137">
        <f t="shared" si="19"/>
        <v>2</v>
      </c>
      <c r="H4920" s="137"/>
      <c r="I4920" s="137"/>
      <c r="J4920" s="135"/>
      <c r="K4920" s="135"/>
      <c r="L4920" s="135"/>
      <c r="M4920" s="135"/>
      <c r="N4920" s="135"/>
      <c r="O4920" s="135"/>
      <c r="P4920" s="135"/>
      <c r="Q4920" s="135"/>
      <c r="R4920" s="135"/>
      <c r="S4920" s="135"/>
      <c r="T4920" s="135"/>
      <c r="U4920" s="135"/>
      <c r="V4920" s="135"/>
      <c r="W4920" s="135"/>
      <c r="X4920" s="135"/>
      <c r="Y4920" s="135"/>
      <c r="Z4920" s="135"/>
    </row>
    <row r="4921" spans="1:26" ht="25.5">
      <c r="A4921" s="136" t="s">
        <v>16</v>
      </c>
      <c r="B4921" s="136" t="s">
        <v>7971</v>
      </c>
      <c r="C4921" s="136" t="s">
        <v>8027</v>
      </c>
      <c r="D4921" s="136" t="s">
        <v>7993</v>
      </c>
      <c r="E4921" s="136" t="s">
        <v>615</v>
      </c>
      <c r="F4921" s="136">
        <v>815</v>
      </c>
      <c r="G4921" s="137">
        <f t="shared" si="19"/>
        <v>3</v>
      </c>
      <c r="H4921" s="137"/>
      <c r="I4921" s="137"/>
      <c r="J4921" s="135"/>
      <c r="K4921" s="135"/>
      <c r="L4921" s="135"/>
      <c r="M4921" s="135"/>
      <c r="N4921" s="135"/>
      <c r="O4921" s="135"/>
      <c r="P4921" s="135"/>
      <c r="Q4921" s="135"/>
      <c r="R4921" s="135"/>
      <c r="S4921" s="135"/>
      <c r="T4921" s="135"/>
      <c r="U4921" s="135"/>
      <c r="V4921" s="135"/>
      <c r="W4921" s="135"/>
      <c r="X4921" s="135"/>
      <c r="Y4921" s="135"/>
      <c r="Z4921" s="135"/>
    </row>
    <row r="4922" spans="1:26" ht="25.5">
      <c r="A4922" s="136" t="s">
        <v>16</v>
      </c>
      <c r="B4922" s="136" t="s">
        <v>7971</v>
      </c>
      <c r="C4922" s="136" t="s">
        <v>8027</v>
      </c>
      <c r="D4922" s="136" t="s">
        <v>467</v>
      </c>
      <c r="E4922" s="136" t="s">
        <v>85</v>
      </c>
      <c r="F4922" s="136">
        <v>747</v>
      </c>
      <c r="G4922" s="137">
        <f t="shared" si="19"/>
        <v>4</v>
      </c>
      <c r="H4922" s="137"/>
      <c r="I4922" s="137"/>
      <c r="J4922" s="135"/>
      <c r="K4922" s="135"/>
      <c r="L4922" s="135"/>
      <c r="M4922" s="135"/>
      <c r="N4922" s="135"/>
      <c r="O4922" s="135"/>
      <c r="P4922" s="135"/>
      <c r="Q4922" s="135"/>
      <c r="R4922" s="135"/>
      <c r="S4922" s="135"/>
      <c r="T4922" s="135"/>
      <c r="U4922" s="135"/>
      <c r="V4922" s="135"/>
      <c r="W4922" s="135"/>
      <c r="X4922" s="135"/>
      <c r="Y4922" s="135"/>
      <c r="Z4922" s="135"/>
    </row>
    <row r="4923" spans="1:26" ht="25.5">
      <c r="A4923" s="136" t="s">
        <v>16</v>
      </c>
      <c r="B4923" s="136" t="s">
        <v>7971</v>
      </c>
      <c r="C4923" s="136" t="s">
        <v>8027</v>
      </c>
      <c r="D4923" s="136" t="s">
        <v>136</v>
      </c>
      <c r="E4923" s="136" t="s">
        <v>615</v>
      </c>
      <c r="F4923" s="136">
        <v>565</v>
      </c>
      <c r="G4923" s="137">
        <f t="shared" si="19"/>
        <v>5</v>
      </c>
      <c r="H4923" s="137"/>
      <c r="I4923" s="137"/>
      <c r="J4923" s="135"/>
      <c r="K4923" s="135"/>
      <c r="L4923" s="135"/>
      <c r="M4923" s="135"/>
      <c r="N4923" s="135"/>
      <c r="O4923" s="135"/>
      <c r="P4923" s="135"/>
      <c r="Q4923" s="135"/>
      <c r="R4923" s="135"/>
      <c r="S4923" s="135"/>
      <c r="T4923" s="135"/>
      <c r="U4923" s="135"/>
      <c r="V4923" s="135"/>
      <c r="W4923" s="135"/>
      <c r="X4923" s="135"/>
      <c r="Y4923" s="135"/>
      <c r="Z4923" s="135"/>
    </row>
    <row r="4924" spans="1:26" ht="25.5">
      <c r="A4924" s="136" t="s">
        <v>16</v>
      </c>
      <c r="B4924" s="136" t="s">
        <v>7971</v>
      </c>
      <c r="C4924" s="136" t="s">
        <v>8027</v>
      </c>
      <c r="D4924" s="136" t="s">
        <v>1626</v>
      </c>
      <c r="E4924" s="136" t="s">
        <v>594</v>
      </c>
      <c r="F4924" s="136">
        <v>560</v>
      </c>
      <c r="G4924" s="137">
        <f t="shared" si="19"/>
        <v>6</v>
      </c>
      <c r="H4924" s="137"/>
      <c r="I4924" s="137"/>
      <c r="J4924" s="135"/>
      <c r="K4924" s="135"/>
      <c r="L4924" s="135"/>
      <c r="M4924" s="135"/>
      <c r="N4924" s="135"/>
      <c r="O4924" s="135"/>
      <c r="P4924" s="135"/>
      <c r="Q4924" s="135"/>
      <c r="R4924" s="135"/>
      <c r="S4924" s="135"/>
      <c r="T4924" s="135"/>
      <c r="U4924" s="135"/>
      <c r="V4924" s="135"/>
      <c r="W4924" s="135"/>
      <c r="X4924" s="135"/>
      <c r="Y4924" s="135"/>
      <c r="Z4924" s="135"/>
    </row>
    <row r="4925" spans="1:26" ht="25.5">
      <c r="A4925" s="136" t="s">
        <v>16</v>
      </c>
      <c r="B4925" s="136" t="s">
        <v>7971</v>
      </c>
      <c r="C4925" s="136" t="s">
        <v>8027</v>
      </c>
      <c r="D4925" s="136" t="s">
        <v>1666</v>
      </c>
      <c r="E4925" s="136" t="s">
        <v>85</v>
      </c>
      <c r="F4925" s="136">
        <v>372</v>
      </c>
      <c r="G4925" s="137">
        <f t="shared" si="19"/>
        <v>7</v>
      </c>
      <c r="H4925" s="137"/>
      <c r="I4925" s="137"/>
      <c r="J4925" s="135"/>
      <c r="K4925" s="135"/>
      <c r="L4925" s="135"/>
      <c r="M4925" s="135"/>
      <c r="N4925" s="135"/>
      <c r="O4925" s="135"/>
      <c r="P4925" s="135"/>
      <c r="Q4925" s="135"/>
      <c r="R4925" s="135"/>
      <c r="S4925" s="135"/>
      <c r="T4925" s="135"/>
      <c r="U4925" s="135"/>
      <c r="V4925" s="135"/>
      <c r="W4925" s="135"/>
      <c r="X4925" s="135"/>
      <c r="Y4925" s="135"/>
      <c r="Z4925" s="135"/>
    </row>
    <row r="4926" spans="1:26" ht="25.5">
      <c r="A4926" s="136" t="s">
        <v>16</v>
      </c>
      <c r="B4926" s="136" t="s">
        <v>7971</v>
      </c>
      <c r="C4926" s="136" t="s">
        <v>8027</v>
      </c>
      <c r="D4926" s="136" t="s">
        <v>1665</v>
      </c>
      <c r="E4926" s="136" t="s">
        <v>615</v>
      </c>
      <c r="F4926" s="136">
        <v>355</v>
      </c>
      <c r="G4926" s="137">
        <f t="shared" si="19"/>
        <v>8</v>
      </c>
      <c r="H4926" s="137"/>
      <c r="I4926" s="137"/>
      <c r="J4926" s="135"/>
      <c r="K4926" s="135"/>
      <c r="L4926" s="135"/>
      <c r="M4926" s="135"/>
      <c r="N4926" s="135"/>
      <c r="O4926" s="135"/>
      <c r="P4926" s="135"/>
      <c r="Q4926" s="135"/>
      <c r="R4926" s="135"/>
      <c r="S4926" s="135"/>
      <c r="T4926" s="135"/>
      <c r="U4926" s="135"/>
      <c r="V4926" s="135"/>
      <c r="W4926" s="135"/>
      <c r="X4926" s="135"/>
      <c r="Y4926" s="135"/>
      <c r="Z4926" s="135"/>
    </row>
    <row r="4927" spans="1:26" ht="25.5">
      <c r="A4927" s="136" t="s">
        <v>16</v>
      </c>
      <c r="B4927" s="136" t="s">
        <v>7971</v>
      </c>
      <c r="C4927" s="136" t="s">
        <v>8027</v>
      </c>
      <c r="D4927" s="136" t="s">
        <v>368</v>
      </c>
      <c r="E4927" s="136" t="s">
        <v>594</v>
      </c>
      <c r="F4927" s="136">
        <v>280</v>
      </c>
      <c r="G4927" s="137">
        <f t="shared" si="19"/>
        <v>9</v>
      </c>
      <c r="H4927" s="137"/>
      <c r="I4927" s="137"/>
      <c r="J4927" s="135"/>
      <c r="K4927" s="135"/>
      <c r="L4927" s="135"/>
      <c r="M4927" s="135"/>
      <c r="N4927" s="135"/>
      <c r="O4927" s="135"/>
      <c r="P4927" s="135"/>
      <c r="Q4927" s="135"/>
      <c r="R4927" s="135"/>
      <c r="S4927" s="135"/>
      <c r="T4927" s="135"/>
      <c r="U4927" s="135"/>
      <c r="V4927" s="135"/>
      <c r="W4927" s="135"/>
      <c r="X4927" s="135"/>
      <c r="Y4927" s="135"/>
      <c r="Z4927" s="135"/>
    </row>
    <row r="4928" spans="1:26" ht="25.5">
      <c r="A4928" s="136" t="s">
        <v>16</v>
      </c>
      <c r="B4928" s="136" t="s">
        <v>7971</v>
      </c>
      <c r="C4928" s="136" t="s">
        <v>8027</v>
      </c>
      <c r="D4928" s="136" t="s">
        <v>7974</v>
      </c>
      <c r="E4928" s="136" t="s">
        <v>615</v>
      </c>
      <c r="F4928" s="136">
        <v>154</v>
      </c>
      <c r="G4928" s="137">
        <f t="shared" si="19"/>
        <v>10</v>
      </c>
      <c r="H4928" s="137"/>
      <c r="I4928" s="137"/>
      <c r="J4928" s="135"/>
      <c r="K4928" s="135"/>
      <c r="L4928" s="135"/>
      <c r="M4928" s="135"/>
      <c r="N4928" s="135"/>
      <c r="O4928" s="135"/>
      <c r="P4928" s="135"/>
      <c r="Q4928" s="135"/>
      <c r="R4928" s="135"/>
      <c r="S4928" s="135"/>
      <c r="T4928" s="135"/>
      <c r="U4928" s="135"/>
      <c r="V4928" s="135"/>
      <c r="W4928" s="135"/>
      <c r="X4928" s="135"/>
      <c r="Y4928" s="135"/>
      <c r="Z4928" s="135"/>
    </row>
    <row r="4929" spans="1:26" ht="25.5">
      <c r="A4929" s="136" t="s">
        <v>16</v>
      </c>
      <c r="B4929" s="136" t="s">
        <v>7971</v>
      </c>
      <c r="C4929" s="136" t="s">
        <v>8027</v>
      </c>
      <c r="D4929" s="136" t="s">
        <v>1680</v>
      </c>
      <c r="E4929" s="136" t="s">
        <v>615</v>
      </c>
      <c r="F4929" s="136">
        <v>120</v>
      </c>
      <c r="G4929" s="137">
        <f t="shared" si="19"/>
        <v>11</v>
      </c>
      <c r="H4929" s="137"/>
      <c r="I4929" s="137"/>
      <c r="J4929" s="135"/>
      <c r="K4929" s="135"/>
      <c r="L4929" s="135"/>
      <c r="M4929" s="135"/>
      <c r="N4929" s="135"/>
      <c r="O4929" s="135"/>
      <c r="P4929" s="135"/>
      <c r="Q4929" s="135"/>
      <c r="R4929" s="135"/>
      <c r="S4929" s="135"/>
      <c r="T4929" s="135"/>
      <c r="U4929" s="135"/>
      <c r="V4929" s="135"/>
      <c r="W4929" s="135"/>
      <c r="X4929" s="135"/>
      <c r="Y4929" s="135"/>
      <c r="Z4929" s="135"/>
    </row>
    <row r="4930" spans="1:26" ht="25.5">
      <c r="A4930" s="136" t="s">
        <v>16</v>
      </c>
      <c r="B4930" s="136" t="s">
        <v>7971</v>
      </c>
      <c r="C4930" s="136" t="s">
        <v>8027</v>
      </c>
      <c r="D4930" s="136" t="s">
        <v>1656</v>
      </c>
      <c r="E4930" s="136" t="s">
        <v>615</v>
      </c>
      <c r="F4930" s="136">
        <v>100</v>
      </c>
      <c r="G4930" s="137">
        <f t="shared" si="19"/>
        <v>12</v>
      </c>
      <c r="H4930" s="137"/>
      <c r="I4930" s="137"/>
      <c r="J4930" s="135"/>
      <c r="K4930" s="135"/>
      <c r="L4930" s="135"/>
      <c r="M4930" s="135"/>
      <c r="N4930" s="135"/>
      <c r="O4930" s="135"/>
      <c r="P4930" s="135"/>
      <c r="Q4930" s="135"/>
      <c r="R4930" s="135"/>
      <c r="S4930" s="135"/>
      <c r="T4930" s="135"/>
      <c r="U4930" s="135"/>
      <c r="V4930" s="135"/>
      <c r="W4930" s="135"/>
      <c r="X4930" s="135"/>
      <c r="Y4930" s="135"/>
      <c r="Z4930" s="135"/>
    </row>
    <row r="4931" spans="1:26" ht="25.5">
      <c r="A4931" s="136" t="s">
        <v>16</v>
      </c>
      <c r="B4931" s="136" t="s">
        <v>7971</v>
      </c>
      <c r="C4931" s="136" t="s">
        <v>8027</v>
      </c>
      <c r="D4931" s="136" t="s">
        <v>103</v>
      </c>
      <c r="E4931" s="136" t="s">
        <v>594</v>
      </c>
      <c r="F4931" s="136">
        <v>98</v>
      </c>
      <c r="G4931" s="137">
        <f t="shared" si="19"/>
        <v>13</v>
      </c>
      <c r="H4931" s="137"/>
      <c r="I4931" s="137"/>
      <c r="J4931" s="135"/>
      <c r="K4931" s="135"/>
      <c r="L4931" s="135"/>
      <c r="M4931" s="135"/>
      <c r="N4931" s="135"/>
      <c r="O4931" s="135"/>
      <c r="P4931" s="135"/>
      <c r="Q4931" s="135"/>
      <c r="R4931" s="135"/>
      <c r="S4931" s="135"/>
      <c r="T4931" s="135"/>
      <c r="U4931" s="135"/>
      <c r="V4931" s="135"/>
      <c r="W4931" s="135"/>
      <c r="X4931" s="135"/>
      <c r="Y4931" s="135"/>
      <c r="Z4931" s="135"/>
    </row>
    <row r="4932" spans="1:26" ht="25.5">
      <c r="A4932" s="136" t="s">
        <v>16</v>
      </c>
      <c r="B4932" s="136" t="s">
        <v>7971</v>
      </c>
      <c r="C4932" s="136" t="s">
        <v>8027</v>
      </c>
      <c r="D4932" s="136" t="s">
        <v>437</v>
      </c>
      <c r="E4932" s="136" t="s">
        <v>594</v>
      </c>
      <c r="F4932" s="136">
        <v>97</v>
      </c>
      <c r="G4932" s="137">
        <f t="shared" si="19"/>
        <v>14</v>
      </c>
      <c r="H4932" s="137"/>
      <c r="I4932" s="137"/>
      <c r="J4932" s="135"/>
      <c r="K4932" s="135"/>
      <c r="L4932" s="135"/>
      <c r="M4932" s="135"/>
      <c r="N4932" s="135"/>
      <c r="O4932" s="135"/>
      <c r="P4932" s="135"/>
      <c r="Q4932" s="135"/>
      <c r="R4932" s="135"/>
      <c r="S4932" s="135"/>
      <c r="T4932" s="135"/>
      <c r="U4932" s="135"/>
      <c r="V4932" s="135"/>
      <c r="W4932" s="135"/>
      <c r="X4932" s="135"/>
      <c r="Y4932" s="135"/>
      <c r="Z4932" s="135"/>
    </row>
    <row r="4933" spans="1:26" ht="25.5">
      <c r="A4933" s="136" t="s">
        <v>16</v>
      </c>
      <c r="B4933" s="136" t="s">
        <v>7971</v>
      </c>
      <c r="C4933" s="136" t="s">
        <v>8027</v>
      </c>
      <c r="D4933" s="136" t="s">
        <v>98</v>
      </c>
      <c r="E4933" s="136" t="s">
        <v>594</v>
      </c>
      <c r="F4933" s="136">
        <v>92</v>
      </c>
      <c r="G4933" s="137">
        <f t="shared" si="19"/>
        <v>15</v>
      </c>
      <c r="H4933" s="137"/>
      <c r="I4933" s="137"/>
      <c r="J4933" s="135"/>
      <c r="K4933" s="135"/>
      <c r="L4933" s="135"/>
      <c r="M4933" s="135"/>
      <c r="N4933" s="135"/>
      <c r="O4933" s="135"/>
      <c r="P4933" s="135"/>
      <c r="Q4933" s="135"/>
      <c r="R4933" s="135"/>
      <c r="S4933" s="135"/>
      <c r="T4933" s="135"/>
      <c r="U4933" s="135"/>
      <c r="V4933" s="135"/>
      <c r="W4933" s="135"/>
      <c r="X4933" s="135"/>
      <c r="Y4933" s="135"/>
      <c r="Z4933" s="135"/>
    </row>
    <row r="4934" spans="1:26" ht="25.5">
      <c r="A4934" s="136" t="s">
        <v>16</v>
      </c>
      <c r="B4934" s="136" t="s">
        <v>7971</v>
      </c>
      <c r="C4934" s="136" t="s">
        <v>8027</v>
      </c>
      <c r="D4934" s="136" t="s">
        <v>1635</v>
      </c>
      <c r="E4934" s="136" t="s">
        <v>615</v>
      </c>
      <c r="F4934" s="136">
        <v>88</v>
      </c>
      <c r="G4934" s="137">
        <f t="shared" si="19"/>
        <v>16</v>
      </c>
      <c r="H4934" s="137"/>
      <c r="I4934" s="137"/>
      <c r="J4934" s="135"/>
      <c r="K4934" s="135"/>
      <c r="L4934" s="135"/>
      <c r="M4934" s="135"/>
      <c r="N4934" s="135"/>
      <c r="O4934" s="135"/>
      <c r="P4934" s="135"/>
      <c r="Q4934" s="135"/>
      <c r="R4934" s="135"/>
      <c r="S4934" s="135"/>
      <c r="T4934" s="135"/>
      <c r="U4934" s="135"/>
      <c r="V4934" s="135"/>
      <c r="W4934" s="135"/>
      <c r="X4934" s="135"/>
      <c r="Y4934" s="135"/>
      <c r="Z4934" s="135"/>
    </row>
    <row r="4935" spans="1:26" ht="25.5">
      <c r="A4935" s="136" t="s">
        <v>16</v>
      </c>
      <c r="B4935" s="136" t="s">
        <v>7971</v>
      </c>
      <c r="C4935" s="136" t="s">
        <v>8027</v>
      </c>
      <c r="D4935" s="136" t="s">
        <v>7985</v>
      </c>
      <c r="E4935" s="136" t="s">
        <v>615</v>
      </c>
      <c r="F4935" s="136">
        <v>80</v>
      </c>
      <c r="G4935" s="137">
        <f t="shared" si="19"/>
        <v>17</v>
      </c>
      <c r="H4935" s="137"/>
      <c r="I4935" s="137"/>
      <c r="J4935" s="135"/>
      <c r="K4935" s="135"/>
      <c r="L4935" s="135"/>
      <c r="M4935" s="135"/>
      <c r="N4935" s="135"/>
      <c r="O4935" s="135"/>
      <c r="P4935" s="135"/>
      <c r="Q4935" s="135"/>
      <c r="R4935" s="135"/>
      <c r="S4935" s="135"/>
      <c r="T4935" s="135"/>
      <c r="U4935" s="135"/>
      <c r="V4935" s="135"/>
      <c r="W4935" s="135"/>
      <c r="X4935" s="135"/>
      <c r="Y4935" s="135"/>
      <c r="Z4935" s="135"/>
    </row>
    <row r="4936" spans="1:26" ht="25.5">
      <c r="A4936" s="136" t="s">
        <v>16</v>
      </c>
      <c r="B4936" s="136" t="s">
        <v>7971</v>
      </c>
      <c r="C4936" s="136" t="s">
        <v>8027</v>
      </c>
      <c r="D4936" s="136" t="s">
        <v>7481</v>
      </c>
      <c r="E4936" s="136"/>
      <c r="F4936" s="136">
        <v>75</v>
      </c>
      <c r="G4936" s="137">
        <f t="shared" si="19"/>
        <v>18</v>
      </c>
      <c r="H4936" s="137"/>
      <c r="I4936" s="137"/>
      <c r="J4936" s="135"/>
      <c r="K4936" s="135"/>
      <c r="L4936" s="135"/>
      <c r="M4936" s="135"/>
      <c r="N4936" s="135"/>
      <c r="O4936" s="135"/>
      <c r="P4936" s="135"/>
      <c r="Q4936" s="135"/>
      <c r="R4936" s="135"/>
      <c r="S4936" s="135"/>
      <c r="T4936" s="135"/>
      <c r="U4936" s="135"/>
      <c r="V4936" s="135"/>
      <c r="W4936" s="135"/>
      <c r="X4936" s="135"/>
      <c r="Y4936" s="135"/>
      <c r="Z4936" s="135"/>
    </row>
    <row r="4937" spans="1:26" ht="25.5">
      <c r="A4937" s="136" t="s">
        <v>16</v>
      </c>
      <c r="B4937" s="136" t="s">
        <v>7971</v>
      </c>
      <c r="C4937" s="136" t="s">
        <v>8027</v>
      </c>
      <c r="D4937" s="136" t="s">
        <v>154</v>
      </c>
      <c r="E4937" s="136" t="s">
        <v>615</v>
      </c>
      <c r="F4937" s="136">
        <v>70</v>
      </c>
      <c r="G4937" s="137">
        <f t="shared" si="19"/>
        <v>19</v>
      </c>
      <c r="H4937" s="137"/>
      <c r="I4937" s="137"/>
      <c r="J4937" s="135"/>
      <c r="K4937" s="135"/>
      <c r="L4937" s="135"/>
      <c r="M4937" s="135"/>
      <c r="N4937" s="135"/>
      <c r="O4937" s="135"/>
      <c r="P4937" s="135"/>
      <c r="Q4937" s="135"/>
      <c r="R4937" s="135"/>
      <c r="S4937" s="135"/>
      <c r="T4937" s="135"/>
      <c r="U4937" s="135"/>
      <c r="V4937" s="135"/>
      <c r="W4937" s="135"/>
      <c r="X4937" s="135"/>
      <c r="Y4937" s="135"/>
      <c r="Z4937" s="135"/>
    </row>
    <row r="4938" spans="1:26" ht="25.5">
      <c r="A4938" s="136" t="s">
        <v>16</v>
      </c>
      <c r="B4938" s="136" t="s">
        <v>7971</v>
      </c>
      <c r="C4938" s="136" t="s">
        <v>8027</v>
      </c>
      <c r="D4938" s="136" t="s">
        <v>165</v>
      </c>
      <c r="E4938" s="136" t="s">
        <v>615</v>
      </c>
      <c r="F4938" s="136">
        <v>55</v>
      </c>
      <c r="G4938" s="137">
        <f t="shared" si="19"/>
        <v>20</v>
      </c>
      <c r="H4938" s="137"/>
      <c r="I4938" s="137"/>
      <c r="J4938" s="135"/>
      <c r="K4938" s="135"/>
      <c r="L4938" s="135"/>
      <c r="M4938" s="135"/>
      <c r="N4938" s="135"/>
      <c r="O4938" s="135"/>
      <c r="P4938" s="135"/>
      <c r="Q4938" s="135"/>
      <c r="R4938" s="135"/>
      <c r="S4938" s="135"/>
      <c r="T4938" s="135"/>
      <c r="U4938" s="135"/>
      <c r="V4938" s="135"/>
      <c r="W4938" s="135"/>
      <c r="X4938" s="135"/>
      <c r="Y4938" s="135"/>
      <c r="Z4938" s="135"/>
    </row>
    <row r="4939" spans="1:26" ht="25.5">
      <c r="A4939" s="136" t="s">
        <v>16</v>
      </c>
      <c r="B4939" s="136" t="s">
        <v>7971</v>
      </c>
      <c r="C4939" s="136" t="s">
        <v>8027</v>
      </c>
      <c r="D4939" s="136" t="s">
        <v>131</v>
      </c>
      <c r="E4939" s="136" t="s">
        <v>594</v>
      </c>
      <c r="F4939" s="136">
        <v>25</v>
      </c>
      <c r="G4939" s="137">
        <f t="shared" si="19"/>
        <v>21</v>
      </c>
      <c r="H4939" s="137"/>
      <c r="I4939" s="137"/>
      <c r="J4939" s="135"/>
      <c r="K4939" s="135"/>
      <c r="L4939" s="135"/>
      <c r="M4939" s="135"/>
      <c r="N4939" s="135"/>
      <c r="O4939" s="135"/>
      <c r="P4939" s="135"/>
      <c r="Q4939" s="135"/>
      <c r="R4939" s="135"/>
      <c r="S4939" s="135"/>
      <c r="T4939" s="135"/>
      <c r="U4939" s="135"/>
      <c r="V4939" s="135"/>
      <c r="W4939" s="135"/>
      <c r="X4939" s="135"/>
      <c r="Y4939" s="135"/>
      <c r="Z4939" s="135"/>
    </row>
    <row r="4940" spans="1:26" ht="25.5">
      <c r="A4940" s="136" t="s">
        <v>16</v>
      </c>
      <c r="B4940" s="136" t="s">
        <v>7971</v>
      </c>
      <c r="C4940" s="136" t="s">
        <v>8027</v>
      </c>
      <c r="D4940" s="136" t="s">
        <v>114</v>
      </c>
      <c r="E4940" s="136" t="s">
        <v>85</v>
      </c>
      <c r="F4940" s="136">
        <v>25</v>
      </c>
      <c r="G4940" s="137">
        <f t="shared" si="19"/>
        <v>22</v>
      </c>
      <c r="H4940" s="137"/>
      <c r="I4940" s="137"/>
      <c r="J4940" s="135"/>
      <c r="K4940" s="135"/>
      <c r="L4940" s="135"/>
      <c r="M4940" s="135"/>
      <c r="N4940" s="135"/>
      <c r="O4940" s="135"/>
      <c r="P4940" s="135"/>
      <c r="Q4940" s="135"/>
      <c r="R4940" s="135"/>
      <c r="S4940" s="135"/>
      <c r="T4940" s="135"/>
      <c r="U4940" s="135"/>
      <c r="V4940" s="135"/>
      <c r="W4940" s="135"/>
      <c r="X4940" s="135"/>
      <c r="Y4940" s="135"/>
      <c r="Z4940" s="135"/>
    </row>
    <row r="4941" spans="1:26" ht="25.5">
      <c r="A4941" s="136" t="s">
        <v>16</v>
      </c>
      <c r="B4941" s="136" t="s">
        <v>7971</v>
      </c>
      <c r="C4941" s="136" t="s">
        <v>8027</v>
      </c>
      <c r="D4941" s="136" t="s">
        <v>1682</v>
      </c>
      <c r="E4941" s="136" t="s">
        <v>86</v>
      </c>
      <c r="F4941" s="136">
        <v>2</v>
      </c>
      <c r="G4941" s="137">
        <f t="shared" si="19"/>
        <v>23</v>
      </c>
      <c r="H4941" s="137"/>
      <c r="I4941" s="137"/>
      <c r="J4941" s="135"/>
      <c r="K4941" s="135"/>
      <c r="L4941" s="135"/>
      <c r="M4941" s="135"/>
      <c r="N4941" s="135"/>
      <c r="O4941" s="135"/>
      <c r="P4941" s="135"/>
      <c r="Q4941" s="135"/>
      <c r="R4941" s="135"/>
      <c r="S4941" s="135"/>
      <c r="T4941" s="135"/>
      <c r="U4941" s="135"/>
      <c r="V4941" s="135"/>
      <c r="W4941" s="135"/>
      <c r="X4941" s="135"/>
      <c r="Y4941" s="135"/>
      <c r="Z4941" s="135"/>
    </row>
    <row r="4942" spans="1:26" ht="25.5">
      <c r="A4942" s="136" t="s">
        <v>16</v>
      </c>
      <c r="B4942" s="136" t="s">
        <v>7971</v>
      </c>
      <c r="C4942" s="136" t="s">
        <v>8028</v>
      </c>
      <c r="D4942" s="136" t="s">
        <v>139</v>
      </c>
      <c r="E4942" s="136" t="s">
        <v>594</v>
      </c>
      <c r="F4942" s="136">
        <v>799</v>
      </c>
      <c r="G4942" s="137">
        <f t="shared" si="19"/>
        <v>1</v>
      </c>
      <c r="H4942" s="137"/>
      <c r="I4942" s="137"/>
      <c r="J4942" s="135"/>
      <c r="K4942" s="135"/>
      <c r="L4942" s="135"/>
      <c r="M4942" s="135"/>
      <c r="N4942" s="135"/>
      <c r="O4942" s="135"/>
      <c r="P4942" s="135"/>
      <c r="Q4942" s="135"/>
      <c r="R4942" s="135"/>
      <c r="S4942" s="135"/>
      <c r="T4942" s="135"/>
      <c r="U4942" s="135"/>
      <c r="V4942" s="135"/>
      <c r="W4942" s="135"/>
      <c r="X4942" s="135"/>
      <c r="Y4942" s="135"/>
      <c r="Z4942" s="135"/>
    </row>
    <row r="4943" spans="1:26" ht="25.5">
      <c r="A4943" s="136" t="s">
        <v>16</v>
      </c>
      <c r="B4943" s="136" t="s">
        <v>7971</v>
      </c>
      <c r="C4943" s="136" t="s">
        <v>8028</v>
      </c>
      <c r="D4943" s="136" t="s">
        <v>107</v>
      </c>
      <c r="E4943" s="136" t="s">
        <v>615</v>
      </c>
      <c r="F4943" s="136">
        <v>780</v>
      </c>
      <c r="G4943" s="137">
        <f t="shared" si="19"/>
        <v>2</v>
      </c>
      <c r="H4943" s="137"/>
      <c r="I4943" s="137"/>
      <c r="J4943" s="135"/>
      <c r="K4943" s="135"/>
      <c r="L4943" s="135"/>
      <c r="M4943" s="135"/>
      <c r="N4943" s="135"/>
      <c r="O4943" s="135"/>
      <c r="P4943" s="135"/>
      <c r="Q4943" s="135"/>
      <c r="R4943" s="135"/>
      <c r="S4943" s="135"/>
      <c r="T4943" s="135"/>
      <c r="U4943" s="135"/>
      <c r="V4943" s="135"/>
      <c r="W4943" s="135"/>
      <c r="X4943" s="135"/>
      <c r="Y4943" s="135"/>
      <c r="Z4943" s="135"/>
    </row>
    <row r="4944" spans="1:26" ht="25.5">
      <c r="A4944" s="136" t="s">
        <v>16</v>
      </c>
      <c r="B4944" s="136" t="s">
        <v>7971</v>
      </c>
      <c r="C4944" s="136" t="s">
        <v>8028</v>
      </c>
      <c r="D4944" s="136" t="s">
        <v>467</v>
      </c>
      <c r="E4944" s="136" t="s">
        <v>85</v>
      </c>
      <c r="F4944" s="136">
        <v>770</v>
      </c>
      <c r="G4944" s="137">
        <f t="shared" si="19"/>
        <v>3</v>
      </c>
      <c r="H4944" s="137"/>
      <c r="I4944" s="137"/>
      <c r="J4944" s="135"/>
      <c r="K4944" s="135"/>
      <c r="L4944" s="135"/>
      <c r="M4944" s="135"/>
      <c r="N4944" s="135"/>
      <c r="O4944" s="135"/>
      <c r="P4944" s="135"/>
      <c r="Q4944" s="135"/>
      <c r="R4944" s="135"/>
      <c r="S4944" s="135"/>
      <c r="T4944" s="135"/>
      <c r="U4944" s="135"/>
      <c r="V4944" s="135"/>
      <c r="W4944" s="135"/>
      <c r="X4944" s="135"/>
      <c r="Y4944" s="135"/>
      <c r="Z4944" s="135"/>
    </row>
    <row r="4945" spans="1:26" ht="25.5">
      <c r="A4945" s="136" t="s">
        <v>16</v>
      </c>
      <c r="B4945" s="136" t="s">
        <v>7971</v>
      </c>
      <c r="C4945" s="136" t="s">
        <v>8028</v>
      </c>
      <c r="D4945" s="136" t="s">
        <v>7993</v>
      </c>
      <c r="E4945" s="136" t="s">
        <v>615</v>
      </c>
      <c r="F4945" s="136">
        <v>767</v>
      </c>
      <c r="G4945" s="137">
        <f t="shared" si="19"/>
        <v>4</v>
      </c>
      <c r="H4945" s="137"/>
      <c r="I4945" s="137"/>
      <c r="J4945" s="135"/>
      <c r="K4945" s="135"/>
      <c r="L4945" s="135"/>
      <c r="M4945" s="135"/>
      <c r="N4945" s="135"/>
      <c r="O4945" s="135"/>
      <c r="P4945" s="135"/>
      <c r="Q4945" s="135"/>
      <c r="R4945" s="135"/>
      <c r="S4945" s="135"/>
      <c r="T4945" s="135"/>
      <c r="U4945" s="135"/>
      <c r="V4945" s="135"/>
      <c r="W4945" s="135"/>
      <c r="X4945" s="135"/>
      <c r="Y4945" s="135"/>
      <c r="Z4945" s="135"/>
    </row>
    <row r="4946" spans="1:26" ht="25.5">
      <c r="A4946" s="136" t="s">
        <v>16</v>
      </c>
      <c r="B4946" s="136" t="s">
        <v>7971</v>
      </c>
      <c r="C4946" s="136" t="s">
        <v>8028</v>
      </c>
      <c r="D4946" s="136" t="s">
        <v>1666</v>
      </c>
      <c r="E4946" s="136" t="s">
        <v>85</v>
      </c>
      <c r="F4946" s="136">
        <v>481</v>
      </c>
      <c r="G4946" s="137">
        <f t="shared" si="19"/>
        <v>5</v>
      </c>
      <c r="H4946" s="137"/>
      <c r="I4946" s="137"/>
      <c r="J4946" s="135"/>
      <c r="K4946" s="135"/>
      <c r="L4946" s="135"/>
      <c r="M4946" s="135"/>
      <c r="N4946" s="135"/>
      <c r="O4946" s="135"/>
      <c r="P4946" s="135"/>
      <c r="Q4946" s="135"/>
      <c r="R4946" s="135"/>
      <c r="S4946" s="135"/>
      <c r="T4946" s="135"/>
      <c r="U4946" s="135"/>
      <c r="V4946" s="135"/>
      <c r="W4946" s="135"/>
      <c r="X4946" s="135"/>
      <c r="Y4946" s="135"/>
      <c r="Z4946" s="135"/>
    </row>
    <row r="4947" spans="1:26" ht="25.5">
      <c r="A4947" s="136" t="s">
        <v>16</v>
      </c>
      <c r="B4947" s="136" t="s">
        <v>7971</v>
      </c>
      <c r="C4947" s="136" t="s">
        <v>8028</v>
      </c>
      <c r="D4947" s="136" t="s">
        <v>1665</v>
      </c>
      <c r="E4947" s="136" t="s">
        <v>615</v>
      </c>
      <c r="F4947" s="136">
        <v>360</v>
      </c>
      <c r="G4947" s="137">
        <f t="shared" si="19"/>
        <v>6</v>
      </c>
      <c r="H4947" s="137"/>
      <c r="I4947" s="137"/>
      <c r="J4947" s="135"/>
      <c r="K4947" s="135"/>
      <c r="L4947" s="135"/>
      <c r="M4947" s="135"/>
      <c r="N4947" s="135"/>
      <c r="O4947" s="135"/>
      <c r="P4947" s="135"/>
      <c r="Q4947" s="135"/>
      <c r="R4947" s="135"/>
      <c r="S4947" s="135"/>
      <c r="T4947" s="135"/>
      <c r="U4947" s="135"/>
      <c r="V4947" s="135"/>
      <c r="W4947" s="135"/>
      <c r="X4947" s="135"/>
      <c r="Y4947" s="135"/>
      <c r="Z4947" s="135"/>
    </row>
    <row r="4948" spans="1:26" ht="25.5">
      <c r="A4948" s="136" t="s">
        <v>16</v>
      </c>
      <c r="B4948" s="136" t="s">
        <v>7971</v>
      </c>
      <c r="C4948" s="136" t="s">
        <v>8028</v>
      </c>
      <c r="D4948" s="136" t="s">
        <v>7985</v>
      </c>
      <c r="E4948" s="136" t="s">
        <v>615</v>
      </c>
      <c r="F4948" s="136">
        <v>265</v>
      </c>
      <c r="G4948" s="137">
        <f t="shared" si="19"/>
        <v>7</v>
      </c>
      <c r="H4948" s="137"/>
      <c r="I4948" s="137"/>
      <c r="J4948" s="135"/>
      <c r="K4948" s="135"/>
      <c r="L4948" s="135"/>
      <c r="M4948" s="135"/>
      <c r="N4948" s="135"/>
      <c r="O4948" s="135"/>
      <c r="P4948" s="135"/>
      <c r="Q4948" s="135"/>
      <c r="R4948" s="135"/>
      <c r="S4948" s="135"/>
      <c r="T4948" s="135"/>
      <c r="U4948" s="135"/>
      <c r="V4948" s="135"/>
      <c r="W4948" s="135"/>
      <c r="X4948" s="135"/>
      <c r="Y4948" s="135"/>
      <c r="Z4948" s="135"/>
    </row>
    <row r="4949" spans="1:26" ht="25.5">
      <c r="A4949" s="136" t="s">
        <v>16</v>
      </c>
      <c r="B4949" s="136" t="s">
        <v>7971</v>
      </c>
      <c r="C4949" s="136" t="s">
        <v>8028</v>
      </c>
      <c r="D4949" s="136" t="s">
        <v>1680</v>
      </c>
      <c r="E4949" s="136" t="s">
        <v>615</v>
      </c>
      <c r="F4949" s="136">
        <v>255</v>
      </c>
      <c r="G4949" s="137">
        <f t="shared" si="19"/>
        <v>8</v>
      </c>
      <c r="H4949" s="137"/>
      <c r="I4949" s="137"/>
      <c r="J4949" s="135"/>
      <c r="K4949" s="135"/>
      <c r="L4949" s="135"/>
      <c r="M4949" s="135"/>
      <c r="N4949" s="135"/>
      <c r="O4949" s="135"/>
      <c r="P4949" s="135"/>
      <c r="Q4949" s="135"/>
      <c r="R4949" s="135"/>
      <c r="S4949" s="135"/>
      <c r="T4949" s="135"/>
      <c r="U4949" s="135"/>
      <c r="V4949" s="135"/>
      <c r="W4949" s="135"/>
      <c r="X4949" s="135"/>
      <c r="Y4949" s="135"/>
      <c r="Z4949" s="135"/>
    </row>
    <row r="4950" spans="1:26" ht="25.5">
      <c r="A4950" s="136" t="s">
        <v>16</v>
      </c>
      <c r="B4950" s="136" t="s">
        <v>7971</v>
      </c>
      <c r="C4950" s="136" t="s">
        <v>8028</v>
      </c>
      <c r="D4950" s="136" t="s">
        <v>154</v>
      </c>
      <c r="E4950" s="136" t="s">
        <v>615</v>
      </c>
      <c r="F4950" s="136">
        <v>252</v>
      </c>
      <c r="G4950" s="137">
        <f t="shared" si="19"/>
        <v>9</v>
      </c>
      <c r="H4950" s="137"/>
      <c r="I4950" s="137"/>
      <c r="J4950" s="135"/>
      <c r="K4950" s="135"/>
      <c r="L4950" s="135"/>
      <c r="M4950" s="135"/>
      <c r="N4950" s="135"/>
      <c r="O4950" s="135"/>
      <c r="P4950" s="135"/>
      <c r="Q4950" s="135"/>
      <c r="R4950" s="135"/>
      <c r="S4950" s="135"/>
      <c r="T4950" s="135"/>
      <c r="U4950" s="135"/>
      <c r="V4950" s="135"/>
      <c r="W4950" s="135"/>
      <c r="X4950" s="135"/>
      <c r="Y4950" s="135"/>
      <c r="Z4950" s="135"/>
    </row>
    <row r="4951" spans="1:26" ht="25.5">
      <c r="A4951" s="136" t="s">
        <v>16</v>
      </c>
      <c r="B4951" s="136" t="s">
        <v>7971</v>
      </c>
      <c r="C4951" s="136" t="s">
        <v>8028</v>
      </c>
      <c r="D4951" s="136" t="s">
        <v>7481</v>
      </c>
      <c r="E4951" s="136"/>
      <c r="F4951" s="136">
        <v>250</v>
      </c>
      <c r="G4951" s="137">
        <f t="shared" si="19"/>
        <v>10</v>
      </c>
      <c r="H4951" s="137"/>
      <c r="I4951" s="137"/>
      <c r="J4951" s="135"/>
      <c r="K4951" s="135"/>
      <c r="L4951" s="135"/>
      <c r="M4951" s="135"/>
      <c r="N4951" s="135"/>
      <c r="O4951" s="135"/>
      <c r="P4951" s="135"/>
      <c r="Q4951" s="135"/>
      <c r="R4951" s="135"/>
      <c r="S4951" s="135"/>
      <c r="T4951" s="135"/>
      <c r="U4951" s="135"/>
      <c r="V4951" s="135"/>
      <c r="W4951" s="135"/>
      <c r="X4951" s="135"/>
      <c r="Y4951" s="135"/>
      <c r="Z4951" s="135"/>
    </row>
    <row r="4952" spans="1:26" ht="25.5">
      <c r="A4952" s="136" t="s">
        <v>16</v>
      </c>
      <c r="B4952" s="136" t="s">
        <v>7971</v>
      </c>
      <c r="C4952" s="136" t="s">
        <v>8028</v>
      </c>
      <c r="D4952" s="136" t="s">
        <v>103</v>
      </c>
      <c r="E4952" s="136" t="s">
        <v>594</v>
      </c>
      <c r="F4952" s="136">
        <v>225</v>
      </c>
      <c r="G4952" s="137">
        <f t="shared" si="19"/>
        <v>11</v>
      </c>
      <c r="H4952" s="137"/>
      <c r="I4952" s="137"/>
      <c r="J4952" s="135"/>
      <c r="K4952" s="135"/>
      <c r="L4952" s="135"/>
      <c r="M4952" s="135"/>
      <c r="N4952" s="135"/>
      <c r="O4952" s="135"/>
      <c r="P4952" s="135"/>
      <c r="Q4952" s="135"/>
      <c r="R4952" s="135"/>
      <c r="S4952" s="135"/>
      <c r="T4952" s="135"/>
      <c r="U4952" s="135"/>
      <c r="V4952" s="135"/>
      <c r="W4952" s="135"/>
      <c r="X4952" s="135"/>
      <c r="Y4952" s="135"/>
      <c r="Z4952" s="135"/>
    </row>
    <row r="4953" spans="1:26" ht="25.5">
      <c r="A4953" s="136" t="s">
        <v>16</v>
      </c>
      <c r="B4953" s="136" t="s">
        <v>7971</v>
      </c>
      <c r="C4953" s="136" t="s">
        <v>8028</v>
      </c>
      <c r="D4953" s="136" t="s">
        <v>368</v>
      </c>
      <c r="E4953" s="136" t="s">
        <v>594</v>
      </c>
      <c r="F4953" s="136">
        <v>215</v>
      </c>
      <c r="G4953" s="137">
        <f t="shared" si="19"/>
        <v>12</v>
      </c>
      <c r="H4953" s="137"/>
      <c r="I4953" s="137"/>
      <c r="J4953" s="135"/>
      <c r="K4953" s="135"/>
      <c r="L4953" s="135"/>
      <c r="M4953" s="135"/>
      <c r="N4953" s="135"/>
      <c r="O4953" s="135"/>
      <c r="P4953" s="135"/>
      <c r="Q4953" s="135"/>
      <c r="R4953" s="135"/>
      <c r="S4953" s="135"/>
      <c r="T4953" s="135"/>
      <c r="U4953" s="135"/>
      <c r="V4953" s="135"/>
      <c r="W4953" s="135"/>
      <c r="X4953" s="135"/>
      <c r="Y4953" s="135"/>
      <c r="Z4953" s="135"/>
    </row>
    <row r="4954" spans="1:26" ht="25.5">
      <c r="A4954" s="136" t="s">
        <v>16</v>
      </c>
      <c r="B4954" s="136" t="s">
        <v>7971</v>
      </c>
      <c r="C4954" s="136" t="s">
        <v>8028</v>
      </c>
      <c r="D4954" s="136" t="s">
        <v>1626</v>
      </c>
      <c r="E4954" s="136" t="s">
        <v>594</v>
      </c>
      <c r="F4954" s="136">
        <v>208</v>
      </c>
      <c r="G4954" s="137">
        <f t="shared" si="19"/>
        <v>13</v>
      </c>
      <c r="H4954" s="137"/>
      <c r="I4954" s="137"/>
      <c r="J4954" s="135"/>
      <c r="K4954" s="135"/>
      <c r="L4954" s="135"/>
      <c r="M4954" s="135"/>
      <c r="N4954" s="135"/>
      <c r="O4954" s="135"/>
      <c r="P4954" s="135"/>
      <c r="Q4954" s="135"/>
      <c r="R4954" s="135"/>
      <c r="S4954" s="135"/>
      <c r="T4954" s="135"/>
      <c r="U4954" s="135"/>
      <c r="V4954" s="135"/>
      <c r="W4954" s="135"/>
      <c r="X4954" s="135"/>
      <c r="Y4954" s="135"/>
      <c r="Z4954" s="135"/>
    </row>
    <row r="4955" spans="1:26" ht="25.5">
      <c r="A4955" s="136" t="s">
        <v>16</v>
      </c>
      <c r="B4955" s="136" t="s">
        <v>7971</v>
      </c>
      <c r="C4955" s="136" t="s">
        <v>8028</v>
      </c>
      <c r="D4955" s="136" t="s">
        <v>1668</v>
      </c>
      <c r="E4955" s="136" t="s">
        <v>615</v>
      </c>
      <c r="F4955" s="136">
        <v>184</v>
      </c>
      <c r="G4955" s="137">
        <f t="shared" si="19"/>
        <v>14</v>
      </c>
      <c r="H4955" s="137"/>
      <c r="I4955" s="137"/>
      <c r="J4955" s="135"/>
      <c r="K4955" s="135"/>
      <c r="L4955" s="135"/>
      <c r="M4955" s="135"/>
      <c r="N4955" s="135"/>
      <c r="O4955" s="135"/>
      <c r="P4955" s="135"/>
      <c r="Q4955" s="135"/>
      <c r="R4955" s="135"/>
      <c r="S4955" s="135"/>
      <c r="T4955" s="135"/>
      <c r="U4955" s="135"/>
      <c r="V4955" s="135"/>
      <c r="W4955" s="135"/>
      <c r="X4955" s="135"/>
      <c r="Y4955" s="135"/>
      <c r="Z4955" s="135"/>
    </row>
    <row r="4956" spans="1:26" ht="25.5">
      <c r="A4956" s="136" t="s">
        <v>16</v>
      </c>
      <c r="B4956" s="136" t="s">
        <v>7971</v>
      </c>
      <c r="C4956" s="136" t="s">
        <v>8028</v>
      </c>
      <c r="D4956" s="136" t="s">
        <v>114</v>
      </c>
      <c r="E4956" s="136" t="s">
        <v>85</v>
      </c>
      <c r="F4956" s="136">
        <v>154</v>
      </c>
      <c r="G4956" s="137">
        <f t="shared" si="19"/>
        <v>15</v>
      </c>
      <c r="H4956" s="137"/>
      <c r="I4956" s="137"/>
      <c r="J4956" s="135"/>
      <c r="K4956" s="135"/>
      <c r="L4956" s="135"/>
      <c r="M4956" s="135"/>
      <c r="N4956" s="135"/>
      <c r="O4956" s="135"/>
      <c r="P4956" s="135"/>
      <c r="Q4956" s="135"/>
      <c r="R4956" s="135"/>
      <c r="S4956" s="135"/>
      <c r="T4956" s="135"/>
      <c r="U4956" s="135"/>
      <c r="V4956" s="135"/>
      <c r="W4956" s="135"/>
      <c r="X4956" s="135"/>
      <c r="Y4956" s="135"/>
      <c r="Z4956" s="135"/>
    </row>
    <row r="4957" spans="1:26" ht="25.5">
      <c r="A4957" s="136" t="s">
        <v>16</v>
      </c>
      <c r="B4957" s="136" t="s">
        <v>7971</v>
      </c>
      <c r="C4957" s="136" t="s">
        <v>8028</v>
      </c>
      <c r="D4957" s="136" t="s">
        <v>136</v>
      </c>
      <c r="E4957" s="136" t="s">
        <v>615</v>
      </c>
      <c r="F4957" s="136">
        <v>115</v>
      </c>
      <c r="G4957" s="137">
        <f t="shared" si="19"/>
        <v>16</v>
      </c>
      <c r="H4957" s="137"/>
      <c r="I4957" s="137"/>
      <c r="J4957" s="135"/>
      <c r="K4957" s="135"/>
      <c r="L4957" s="135"/>
      <c r="M4957" s="135"/>
      <c r="N4957" s="135"/>
      <c r="O4957" s="135"/>
      <c r="P4957" s="135"/>
      <c r="Q4957" s="135"/>
      <c r="R4957" s="135"/>
      <c r="S4957" s="135"/>
      <c r="T4957" s="135"/>
      <c r="U4957" s="135"/>
      <c r="V4957" s="135"/>
      <c r="W4957" s="135"/>
      <c r="X4957" s="135"/>
      <c r="Y4957" s="135"/>
      <c r="Z4957" s="135"/>
    </row>
    <row r="4958" spans="1:26" ht="25.5">
      <c r="A4958" s="136" t="s">
        <v>16</v>
      </c>
      <c r="B4958" s="136" t="s">
        <v>7971</v>
      </c>
      <c r="C4958" s="136" t="s">
        <v>8028</v>
      </c>
      <c r="D4958" s="136" t="s">
        <v>165</v>
      </c>
      <c r="E4958" s="136" t="s">
        <v>615</v>
      </c>
      <c r="F4958" s="136">
        <v>113</v>
      </c>
      <c r="G4958" s="137">
        <f t="shared" si="19"/>
        <v>17</v>
      </c>
      <c r="H4958" s="137"/>
      <c r="I4958" s="137"/>
      <c r="J4958" s="135"/>
      <c r="K4958" s="135"/>
      <c r="L4958" s="135"/>
      <c r="M4958" s="135"/>
      <c r="N4958" s="135"/>
      <c r="O4958" s="135"/>
      <c r="P4958" s="135"/>
      <c r="Q4958" s="135"/>
      <c r="R4958" s="135"/>
      <c r="S4958" s="135"/>
      <c r="T4958" s="135"/>
      <c r="U4958" s="135"/>
      <c r="V4958" s="135"/>
      <c r="W4958" s="135"/>
      <c r="X4958" s="135"/>
      <c r="Y4958" s="135"/>
      <c r="Z4958" s="135"/>
    </row>
    <row r="4959" spans="1:26" ht="25.5">
      <c r="A4959" s="136" t="s">
        <v>16</v>
      </c>
      <c r="B4959" s="136" t="s">
        <v>7971</v>
      </c>
      <c r="C4959" s="136" t="s">
        <v>8028</v>
      </c>
      <c r="D4959" s="136" t="s">
        <v>1656</v>
      </c>
      <c r="E4959" s="136" t="s">
        <v>615</v>
      </c>
      <c r="F4959" s="136">
        <v>95</v>
      </c>
      <c r="G4959" s="137">
        <f t="shared" si="19"/>
        <v>18</v>
      </c>
      <c r="H4959" s="137"/>
      <c r="I4959" s="137"/>
      <c r="J4959" s="135"/>
      <c r="K4959" s="135"/>
      <c r="L4959" s="135"/>
      <c r="M4959" s="135"/>
      <c r="N4959" s="135"/>
      <c r="O4959" s="135"/>
      <c r="P4959" s="135"/>
      <c r="Q4959" s="135"/>
      <c r="R4959" s="135"/>
      <c r="S4959" s="135"/>
      <c r="T4959" s="135"/>
      <c r="U4959" s="135"/>
      <c r="V4959" s="135"/>
      <c r="W4959" s="135"/>
      <c r="X4959" s="135"/>
      <c r="Y4959" s="135"/>
      <c r="Z4959" s="135"/>
    </row>
    <row r="4960" spans="1:26" ht="25.5">
      <c r="A4960" s="136" t="s">
        <v>16</v>
      </c>
      <c r="B4960" s="136" t="s">
        <v>7971</v>
      </c>
      <c r="C4960" s="136" t="s">
        <v>8028</v>
      </c>
      <c r="D4960" s="136" t="s">
        <v>437</v>
      </c>
      <c r="E4960" s="136" t="s">
        <v>594</v>
      </c>
      <c r="F4960" s="136">
        <v>60</v>
      </c>
      <c r="G4960" s="137">
        <f t="shared" si="19"/>
        <v>19</v>
      </c>
      <c r="H4960" s="137"/>
      <c r="I4960" s="137"/>
      <c r="J4960" s="135"/>
      <c r="K4960" s="135"/>
      <c r="L4960" s="135"/>
      <c r="M4960" s="135"/>
      <c r="N4960" s="135"/>
      <c r="O4960" s="135"/>
      <c r="P4960" s="135"/>
      <c r="Q4960" s="135"/>
      <c r="R4960" s="135"/>
      <c r="S4960" s="135"/>
      <c r="T4960" s="135"/>
      <c r="U4960" s="135"/>
      <c r="V4960" s="135"/>
      <c r="W4960" s="135"/>
      <c r="X4960" s="135"/>
      <c r="Y4960" s="135"/>
      <c r="Z4960" s="135"/>
    </row>
    <row r="4961" spans="1:26" ht="25.5">
      <c r="A4961" s="136" t="s">
        <v>16</v>
      </c>
      <c r="B4961" s="136" t="s">
        <v>7971</v>
      </c>
      <c r="C4961" s="136" t="s">
        <v>8028</v>
      </c>
      <c r="D4961" s="136" t="s">
        <v>1635</v>
      </c>
      <c r="E4961" s="136" t="s">
        <v>615</v>
      </c>
      <c r="F4961" s="136">
        <v>15</v>
      </c>
      <c r="G4961" s="137">
        <f t="shared" si="19"/>
        <v>20</v>
      </c>
      <c r="H4961" s="137"/>
      <c r="I4961" s="137"/>
      <c r="J4961" s="135"/>
      <c r="K4961" s="135"/>
      <c r="L4961" s="135"/>
      <c r="M4961" s="135"/>
      <c r="N4961" s="135"/>
      <c r="O4961" s="135"/>
      <c r="P4961" s="135"/>
      <c r="Q4961" s="135"/>
      <c r="R4961" s="135"/>
      <c r="S4961" s="135"/>
      <c r="T4961" s="135"/>
      <c r="U4961" s="135"/>
      <c r="V4961" s="135"/>
      <c r="W4961" s="135"/>
      <c r="X4961" s="135"/>
      <c r="Y4961" s="135"/>
      <c r="Z4961" s="135"/>
    </row>
    <row r="4962" spans="1:26" ht="25.5">
      <c r="A4962" s="136" t="s">
        <v>16</v>
      </c>
      <c r="B4962" s="136" t="s">
        <v>7971</v>
      </c>
      <c r="C4962" s="136" t="s">
        <v>8028</v>
      </c>
      <c r="D4962" s="136" t="s">
        <v>1682</v>
      </c>
      <c r="E4962" s="136" t="s">
        <v>86</v>
      </c>
      <c r="F4962" s="136">
        <v>5</v>
      </c>
      <c r="G4962" s="137">
        <f t="shared" si="19"/>
        <v>21</v>
      </c>
      <c r="H4962" s="137"/>
      <c r="I4962" s="137"/>
      <c r="J4962" s="135"/>
      <c r="K4962" s="135"/>
      <c r="L4962" s="135"/>
      <c r="M4962" s="135"/>
      <c r="N4962" s="135"/>
      <c r="O4962" s="135"/>
      <c r="P4962" s="135"/>
      <c r="Q4962" s="135"/>
      <c r="R4962" s="135"/>
      <c r="S4962" s="135"/>
      <c r="T4962" s="135"/>
      <c r="U4962" s="135"/>
      <c r="V4962" s="135"/>
      <c r="W4962" s="135"/>
      <c r="X4962" s="135"/>
      <c r="Y4962" s="135"/>
      <c r="Z4962" s="135"/>
    </row>
    <row r="4963" spans="1:26" ht="25.5">
      <c r="A4963" s="136" t="s">
        <v>16</v>
      </c>
      <c r="B4963" s="136" t="s">
        <v>7971</v>
      </c>
      <c r="C4963" s="136" t="s">
        <v>8029</v>
      </c>
      <c r="D4963" s="136" t="s">
        <v>1604</v>
      </c>
      <c r="E4963" s="136" t="s">
        <v>615</v>
      </c>
      <c r="F4963" s="136">
        <v>2508</v>
      </c>
      <c r="G4963" s="137">
        <f t="shared" si="19"/>
        <v>1</v>
      </c>
      <c r="H4963" s="137"/>
      <c r="I4963" s="137"/>
      <c r="J4963" s="135"/>
      <c r="K4963" s="135"/>
      <c r="L4963" s="135"/>
      <c r="M4963" s="135"/>
      <c r="N4963" s="135"/>
      <c r="O4963" s="135"/>
      <c r="P4963" s="135"/>
      <c r="Q4963" s="135"/>
      <c r="R4963" s="135"/>
      <c r="S4963" s="135"/>
      <c r="T4963" s="135"/>
      <c r="U4963" s="135"/>
      <c r="V4963" s="135"/>
      <c r="W4963" s="135"/>
      <c r="X4963" s="135"/>
      <c r="Y4963" s="135"/>
      <c r="Z4963" s="135"/>
    </row>
    <row r="4964" spans="1:26" ht="25.5">
      <c r="A4964" s="136" t="s">
        <v>16</v>
      </c>
      <c r="B4964" s="136" t="s">
        <v>7971</v>
      </c>
      <c r="C4964" s="136" t="s">
        <v>8029</v>
      </c>
      <c r="D4964" s="136" t="s">
        <v>7993</v>
      </c>
      <c r="E4964" s="136" t="s">
        <v>615</v>
      </c>
      <c r="F4964" s="136">
        <v>1813</v>
      </c>
      <c r="G4964" s="137">
        <f t="shared" si="19"/>
        <v>2</v>
      </c>
      <c r="H4964" s="137"/>
      <c r="I4964" s="137"/>
      <c r="J4964" s="135"/>
      <c r="K4964" s="135"/>
      <c r="L4964" s="135"/>
      <c r="M4964" s="135"/>
      <c r="N4964" s="135"/>
      <c r="O4964" s="135"/>
      <c r="P4964" s="135"/>
      <c r="Q4964" s="135"/>
      <c r="R4964" s="135"/>
      <c r="S4964" s="135"/>
      <c r="T4964" s="135"/>
      <c r="U4964" s="135"/>
      <c r="V4964" s="135"/>
      <c r="W4964" s="135"/>
      <c r="X4964" s="135"/>
      <c r="Y4964" s="135"/>
      <c r="Z4964" s="135"/>
    </row>
    <row r="4965" spans="1:26" ht="25.5">
      <c r="A4965" s="136" t="s">
        <v>16</v>
      </c>
      <c r="B4965" s="136" t="s">
        <v>7971</v>
      </c>
      <c r="C4965" s="136" t="s">
        <v>8029</v>
      </c>
      <c r="D4965" s="136" t="s">
        <v>139</v>
      </c>
      <c r="E4965" s="136" t="s">
        <v>594</v>
      </c>
      <c r="F4965" s="136">
        <v>507</v>
      </c>
      <c r="G4965" s="137">
        <f t="shared" si="19"/>
        <v>3</v>
      </c>
      <c r="H4965" s="137"/>
      <c r="I4965" s="137"/>
      <c r="J4965" s="135"/>
      <c r="K4965" s="135"/>
      <c r="L4965" s="135"/>
      <c r="M4965" s="135"/>
      <c r="N4965" s="135"/>
      <c r="O4965" s="135"/>
      <c r="P4965" s="135"/>
      <c r="Q4965" s="135"/>
      <c r="R4965" s="135"/>
      <c r="S4965" s="135"/>
      <c r="T4965" s="135"/>
      <c r="U4965" s="135"/>
      <c r="V4965" s="135"/>
      <c r="W4965" s="135"/>
      <c r="X4965" s="135"/>
      <c r="Y4965" s="135"/>
      <c r="Z4965" s="135"/>
    </row>
    <row r="4966" spans="1:26" ht="25.5">
      <c r="A4966" s="136" t="s">
        <v>16</v>
      </c>
      <c r="B4966" s="136" t="s">
        <v>7971</v>
      </c>
      <c r="C4966" s="136" t="s">
        <v>8029</v>
      </c>
      <c r="D4966" s="136" t="s">
        <v>7481</v>
      </c>
      <c r="E4966" s="136" t="s">
        <v>615</v>
      </c>
      <c r="F4966" s="136">
        <v>348</v>
      </c>
      <c r="G4966" s="137">
        <f t="shared" si="19"/>
        <v>4</v>
      </c>
      <c r="H4966" s="137"/>
      <c r="I4966" s="137"/>
      <c r="J4966" s="135"/>
      <c r="K4966" s="135"/>
      <c r="L4966" s="135"/>
      <c r="M4966" s="135"/>
      <c r="N4966" s="135"/>
      <c r="O4966" s="135"/>
      <c r="P4966" s="135"/>
      <c r="Q4966" s="135"/>
      <c r="R4966" s="135"/>
      <c r="S4966" s="135"/>
      <c r="T4966" s="135"/>
      <c r="U4966" s="135"/>
      <c r="V4966" s="135"/>
      <c r="W4966" s="135"/>
      <c r="X4966" s="135"/>
      <c r="Y4966" s="135"/>
      <c r="Z4966" s="135"/>
    </row>
    <row r="4967" spans="1:26" ht="25.5">
      <c r="A4967" s="136" t="s">
        <v>16</v>
      </c>
      <c r="B4967" s="136" t="s">
        <v>7971</v>
      </c>
      <c r="C4967" s="136" t="s">
        <v>8029</v>
      </c>
      <c r="D4967" s="136" t="s">
        <v>107</v>
      </c>
      <c r="E4967" s="136" t="s">
        <v>615</v>
      </c>
      <c r="F4967" s="136">
        <v>262</v>
      </c>
      <c r="G4967" s="137">
        <f t="shared" si="19"/>
        <v>5</v>
      </c>
      <c r="H4967" s="137"/>
      <c r="I4967" s="137"/>
      <c r="J4967" s="135"/>
      <c r="K4967" s="135"/>
      <c r="L4967" s="135"/>
      <c r="M4967" s="135"/>
      <c r="N4967" s="135"/>
      <c r="O4967" s="135"/>
      <c r="P4967" s="135"/>
      <c r="Q4967" s="135"/>
      <c r="R4967" s="135"/>
      <c r="S4967" s="135"/>
      <c r="T4967" s="135"/>
      <c r="U4967" s="135"/>
      <c r="V4967" s="135"/>
      <c r="W4967" s="135"/>
      <c r="X4967" s="135"/>
      <c r="Y4967" s="135"/>
      <c r="Z4967" s="135"/>
    </row>
    <row r="4968" spans="1:26" ht="25.5">
      <c r="A4968" s="136" t="s">
        <v>16</v>
      </c>
      <c r="B4968" s="136" t="s">
        <v>7971</v>
      </c>
      <c r="C4968" s="136" t="s">
        <v>8029</v>
      </c>
      <c r="D4968" s="136" t="s">
        <v>114</v>
      </c>
      <c r="E4968" s="136" t="s">
        <v>85</v>
      </c>
      <c r="F4968" s="136">
        <v>241</v>
      </c>
      <c r="G4968" s="137">
        <f t="shared" si="19"/>
        <v>6</v>
      </c>
      <c r="H4968" s="137"/>
      <c r="I4968" s="137"/>
      <c r="J4968" s="135"/>
      <c r="K4968" s="135"/>
      <c r="L4968" s="135"/>
      <c r="M4968" s="135"/>
      <c r="N4968" s="135"/>
      <c r="O4968" s="135"/>
      <c r="P4968" s="135"/>
      <c r="Q4968" s="135"/>
      <c r="R4968" s="135"/>
      <c r="S4968" s="135"/>
      <c r="T4968" s="135"/>
      <c r="U4968" s="135"/>
      <c r="V4968" s="135"/>
      <c r="W4968" s="135"/>
      <c r="X4968" s="135"/>
      <c r="Y4968" s="135"/>
      <c r="Z4968" s="135"/>
    </row>
    <row r="4969" spans="1:26" ht="25.5">
      <c r="A4969" s="136" t="s">
        <v>16</v>
      </c>
      <c r="B4969" s="136" t="s">
        <v>7971</v>
      </c>
      <c r="C4969" s="136" t="s">
        <v>8029</v>
      </c>
      <c r="D4969" s="136" t="s">
        <v>368</v>
      </c>
      <c r="E4969" s="136" t="s">
        <v>594</v>
      </c>
      <c r="F4969" s="136">
        <v>200</v>
      </c>
      <c r="G4969" s="137">
        <f t="shared" si="19"/>
        <v>7</v>
      </c>
      <c r="H4969" s="137"/>
      <c r="I4969" s="137"/>
      <c r="J4969" s="135"/>
      <c r="K4969" s="135"/>
      <c r="L4969" s="135"/>
      <c r="M4969" s="135"/>
      <c r="N4969" s="135"/>
      <c r="O4969" s="135"/>
      <c r="P4969" s="135"/>
      <c r="Q4969" s="135"/>
      <c r="R4969" s="135"/>
      <c r="S4969" s="135"/>
      <c r="T4969" s="135"/>
      <c r="U4969" s="135"/>
      <c r="V4969" s="135"/>
      <c r="W4969" s="135"/>
      <c r="X4969" s="135"/>
      <c r="Y4969" s="135"/>
      <c r="Z4969" s="135"/>
    </row>
    <row r="4970" spans="1:26" ht="25.5">
      <c r="A4970" s="136" t="s">
        <v>16</v>
      </c>
      <c r="B4970" s="136" t="s">
        <v>7971</v>
      </c>
      <c r="C4970" s="136" t="s">
        <v>8029</v>
      </c>
      <c r="D4970" s="136" t="s">
        <v>1656</v>
      </c>
      <c r="E4970" s="136" t="s">
        <v>594</v>
      </c>
      <c r="F4970" s="136">
        <v>114</v>
      </c>
      <c r="G4970" s="137">
        <f t="shared" si="19"/>
        <v>8</v>
      </c>
      <c r="H4970" s="137"/>
      <c r="I4970" s="137"/>
      <c r="J4970" s="135"/>
      <c r="K4970" s="135"/>
      <c r="L4970" s="135"/>
      <c r="M4970" s="135"/>
      <c r="N4970" s="135"/>
      <c r="O4970" s="135"/>
      <c r="P4970" s="135"/>
      <c r="Q4970" s="135"/>
      <c r="R4970" s="135"/>
      <c r="S4970" s="135"/>
      <c r="T4970" s="135"/>
      <c r="U4970" s="135"/>
      <c r="V4970" s="135"/>
      <c r="W4970" s="135"/>
      <c r="X4970" s="135"/>
      <c r="Y4970" s="135"/>
      <c r="Z4970" s="135"/>
    </row>
    <row r="4971" spans="1:26" ht="25.5">
      <c r="A4971" s="136" t="s">
        <v>16</v>
      </c>
      <c r="B4971" s="136" t="s">
        <v>7971</v>
      </c>
      <c r="C4971" s="136" t="s">
        <v>8029</v>
      </c>
      <c r="D4971" s="136" t="s">
        <v>433</v>
      </c>
      <c r="E4971" s="136" t="s">
        <v>594</v>
      </c>
      <c r="F4971" s="136">
        <v>110</v>
      </c>
      <c r="G4971" s="137">
        <f t="shared" si="19"/>
        <v>9</v>
      </c>
      <c r="H4971" s="137"/>
      <c r="I4971" s="137"/>
      <c r="J4971" s="135"/>
      <c r="K4971" s="135"/>
      <c r="L4971" s="135"/>
      <c r="M4971" s="135"/>
      <c r="N4971" s="135"/>
      <c r="O4971" s="135"/>
      <c r="P4971" s="135"/>
      <c r="Q4971" s="135"/>
      <c r="R4971" s="135"/>
      <c r="S4971" s="135"/>
      <c r="T4971" s="135"/>
      <c r="U4971" s="135"/>
      <c r="V4971" s="135"/>
      <c r="W4971" s="135"/>
      <c r="X4971" s="135"/>
      <c r="Y4971" s="135"/>
      <c r="Z4971" s="135"/>
    </row>
    <row r="4972" spans="1:26" ht="25.5">
      <c r="A4972" s="136" t="s">
        <v>16</v>
      </c>
      <c r="B4972" s="136" t="s">
        <v>7971</v>
      </c>
      <c r="C4972" s="136" t="s">
        <v>8029</v>
      </c>
      <c r="D4972" s="136" t="s">
        <v>1665</v>
      </c>
      <c r="E4972" s="136" t="s">
        <v>615</v>
      </c>
      <c r="F4972" s="136">
        <v>81</v>
      </c>
      <c r="G4972" s="137">
        <f t="shared" si="19"/>
        <v>10</v>
      </c>
      <c r="H4972" s="137"/>
      <c r="I4972" s="137"/>
      <c r="J4972" s="135"/>
      <c r="K4972" s="135"/>
      <c r="L4972" s="135"/>
      <c r="M4972" s="135"/>
      <c r="N4972" s="135"/>
      <c r="O4972" s="135"/>
      <c r="P4972" s="135"/>
      <c r="Q4972" s="135"/>
      <c r="R4972" s="135"/>
      <c r="S4972" s="135"/>
      <c r="T4972" s="135"/>
      <c r="U4972" s="135"/>
      <c r="V4972" s="135"/>
      <c r="W4972" s="135"/>
      <c r="X4972" s="135"/>
      <c r="Y4972" s="135"/>
      <c r="Z4972" s="135"/>
    </row>
    <row r="4973" spans="1:26" ht="25.5">
      <c r="A4973" s="136" t="s">
        <v>16</v>
      </c>
      <c r="B4973" s="136" t="s">
        <v>7971</v>
      </c>
      <c r="C4973" s="136" t="s">
        <v>8029</v>
      </c>
      <c r="D4973" s="136" t="s">
        <v>136</v>
      </c>
      <c r="E4973" s="136" t="s">
        <v>615</v>
      </c>
      <c r="F4973" s="136">
        <v>55</v>
      </c>
      <c r="G4973" s="137">
        <f t="shared" si="19"/>
        <v>11</v>
      </c>
      <c r="H4973" s="137"/>
      <c r="I4973" s="137"/>
      <c r="J4973" s="135"/>
      <c r="K4973" s="135"/>
      <c r="L4973" s="135"/>
      <c r="M4973" s="135"/>
      <c r="N4973" s="135"/>
      <c r="O4973" s="135"/>
      <c r="P4973" s="135"/>
      <c r="Q4973" s="135"/>
      <c r="R4973" s="135"/>
      <c r="S4973" s="135"/>
      <c r="T4973" s="135"/>
      <c r="U4973" s="135"/>
      <c r="V4973" s="135"/>
      <c r="W4973" s="135"/>
      <c r="X4973" s="135"/>
      <c r="Y4973" s="135"/>
      <c r="Z4973" s="135"/>
    </row>
    <row r="4974" spans="1:26" ht="25.5">
      <c r="A4974" s="136" t="s">
        <v>16</v>
      </c>
      <c r="B4974" s="136" t="s">
        <v>7971</v>
      </c>
      <c r="C4974" s="136" t="s">
        <v>8029</v>
      </c>
      <c r="D4974" s="136" t="s">
        <v>1626</v>
      </c>
      <c r="E4974" s="136" t="s">
        <v>594</v>
      </c>
      <c r="F4974" s="136">
        <v>29</v>
      </c>
      <c r="G4974" s="137">
        <f t="shared" si="19"/>
        <v>12</v>
      </c>
      <c r="H4974" s="137"/>
      <c r="I4974" s="137"/>
      <c r="J4974" s="135"/>
      <c r="K4974" s="135"/>
      <c r="L4974" s="135"/>
      <c r="M4974" s="135"/>
      <c r="N4974" s="135"/>
      <c r="O4974" s="135"/>
      <c r="P4974" s="135"/>
      <c r="Q4974" s="135"/>
      <c r="R4974" s="135"/>
      <c r="S4974" s="135"/>
      <c r="T4974" s="135"/>
      <c r="U4974" s="135"/>
      <c r="V4974" s="135"/>
      <c r="W4974" s="135"/>
      <c r="X4974" s="135"/>
      <c r="Y4974" s="135"/>
      <c r="Z4974" s="135"/>
    </row>
    <row r="4975" spans="1:26" ht="25.5">
      <c r="A4975" s="136" t="s">
        <v>16</v>
      </c>
      <c r="B4975" s="136" t="s">
        <v>7971</v>
      </c>
      <c r="C4975" s="136" t="s">
        <v>8029</v>
      </c>
      <c r="D4975" s="136" t="s">
        <v>1680</v>
      </c>
      <c r="E4975" s="136" t="s">
        <v>615</v>
      </c>
      <c r="F4975" s="136">
        <v>21</v>
      </c>
      <c r="G4975" s="137">
        <f t="shared" si="19"/>
        <v>13</v>
      </c>
      <c r="H4975" s="137"/>
      <c r="I4975" s="137"/>
      <c r="J4975" s="135"/>
      <c r="K4975" s="135"/>
      <c r="L4975" s="135"/>
      <c r="M4975" s="135"/>
      <c r="N4975" s="135"/>
      <c r="O4975" s="135"/>
      <c r="P4975" s="135"/>
      <c r="Q4975" s="135"/>
      <c r="R4975" s="135"/>
      <c r="S4975" s="135"/>
      <c r="T4975" s="135"/>
      <c r="U4975" s="135"/>
      <c r="V4975" s="135"/>
      <c r="W4975" s="135"/>
      <c r="X4975" s="135"/>
      <c r="Y4975" s="135"/>
      <c r="Z4975" s="135"/>
    </row>
    <row r="4976" spans="1:26" ht="25.5">
      <c r="A4976" s="136" t="s">
        <v>16</v>
      </c>
      <c r="B4976" s="136" t="s">
        <v>7971</v>
      </c>
      <c r="C4976" s="136" t="s">
        <v>8029</v>
      </c>
      <c r="D4976" s="136" t="s">
        <v>165</v>
      </c>
      <c r="E4976" s="136" t="s">
        <v>615</v>
      </c>
      <c r="F4976" s="136">
        <v>18</v>
      </c>
      <c r="G4976" s="137">
        <f t="shared" si="19"/>
        <v>14</v>
      </c>
      <c r="H4976" s="137"/>
      <c r="I4976" s="137"/>
      <c r="J4976" s="135"/>
      <c r="K4976" s="135"/>
      <c r="L4976" s="135"/>
      <c r="M4976" s="135"/>
      <c r="N4976" s="135"/>
      <c r="O4976" s="135"/>
      <c r="P4976" s="135"/>
      <c r="Q4976" s="135"/>
      <c r="R4976" s="135"/>
      <c r="S4976" s="135"/>
      <c r="T4976" s="135"/>
      <c r="U4976" s="135"/>
      <c r="V4976" s="135"/>
      <c r="W4976" s="135"/>
      <c r="X4976" s="135"/>
      <c r="Y4976" s="135"/>
      <c r="Z4976" s="135"/>
    </row>
    <row r="4977" spans="1:26" ht="25.5">
      <c r="A4977" s="136" t="s">
        <v>16</v>
      </c>
      <c r="B4977" s="136" t="s">
        <v>7971</v>
      </c>
      <c r="C4977" s="136" t="s">
        <v>8029</v>
      </c>
      <c r="D4977" s="136" t="s">
        <v>1682</v>
      </c>
      <c r="E4977" s="136" t="s">
        <v>86</v>
      </c>
      <c r="F4977" s="136">
        <v>16</v>
      </c>
      <c r="G4977" s="137">
        <f t="shared" si="19"/>
        <v>15</v>
      </c>
      <c r="H4977" s="137"/>
      <c r="I4977" s="137"/>
      <c r="J4977" s="135"/>
      <c r="K4977" s="135"/>
      <c r="L4977" s="135"/>
      <c r="M4977" s="135"/>
      <c r="N4977" s="135"/>
      <c r="O4977" s="135"/>
      <c r="P4977" s="135"/>
      <c r="Q4977" s="135"/>
      <c r="R4977" s="135"/>
      <c r="S4977" s="135"/>
      <c r="T4977" s="135"/>
      <c r="U4977" s="135"/>
      <c r="V4977" s="135"/>
      <c r="W4977" s="135"/>
      <c r="X4977" s="135"/>
      <c r="Y4977" s="135"/>
      <c r="Z4977" s="135"/>
    </row>
    <row r="4978" spans="1:26" ht="25.5">
      <c r="A4978" s="136" t="s">
        <v>16</v>
      </c>
      <c r="B4978" s="136" t="s">
        <v>7971</v>
      </c>
      <c r="C4978" s="136" t="s">
        <v>8029</v>
      </c>
      <c r="D4978" s="136" t="s">
        <v>1666</v>
      </c>
      <c r="E4978" s="136" t="s">
        <v>85</v>
      </c>
      <c r="F4978" s="136">
        <v>10</v>
      </c>
      <c r="G4978" s="137">
        <f t="shared" si="19"/>
        <v>16</v>
      </c>
      <c r="H4978" s="137"/>
      <c r="I4978" s="137"/>
      <c r="J4978" s="135"/>
      <c r="K4978" s="135"/>
      <c r="L4978" s="135"/>
      <c r="M4978" s="135"/>
      <c r="N4978" s="135"/>
      <c r="O4978" s="135"/>
      <c r="P4978" s="135"/>
      <c r="Q4978" s="135"/>
      <c r="R4978" s="135"/>
      <c r="S4978" s="135"/>
      <c r="T4978" s="135"/>
      <c r="U4978" s="135"/>
      <c r="V4978" s="135"/>
      <c r="W4978" s="135"/>
      <c r="X4978" s="135"/>
      <c r="Y4978" s="135"/>
      <c r="Z4978" s="135"/>
    </row>
    <row r="4979" spans="1:26" ht="25.5">
      <c r="A4979" s="136" t="s">
        <v>16</v>
      </c>
      <c r="B4979" s="136" t="s">
        <v>7971</v>
      </c>
      <c r="C4979" s="136" t="s">
        <v>8030</v>
      </c>
      <c r="D4979" s="136" t="s">
        <v>1604</v>
      </c>
      <c r="E4979" s="136" t="s">
        <v>615</v>
      </c>
      <c r="F4979" s="136">
        <v>3673</v>
      </c>
      <c r="G4979" s="137">
        <f t="shared" si="19"/>
        <v>1</v>
      </c>
      <c r="H4979" s="137"/>
      <c r="I4979" s="137"/>
      <c r="J4979" s="135"/>
      <c r="K4979" s="135"/>
      <c r="L4979" s="135"/>
      <c r="M4979" s="135"/>
      <c r="N4979" s="135"/>
      <c r="O4979" s="135"/>
      <c r="P4979" s="135"/>
      <c r="Q4979" s="135"/>
      <c r="R4979" s="135"/>
      <c r="S4979" s="135"/>
      <c r="T4979" s="135"/>
      <c r="U4979" s="135"/>
      <c r="V4979" s="135"/>
      <c r="W4979" s="135"/>
      <c r="X4979" s="135"/>
      <c r="Y4979" s="135"/>
      <c r="Z4979" s="135"/>
    </row>
    <row r="4980" spans="1:26" ht="25.5">
      <c r="A4980" s="136" t="s">
        <v>16</v>
      </c>
      <c r="B4980" s="136" t="s">
        <v>7971</v>
      </c>
      <c r="C4980" s="136" t="s">
        <v>8030</v>
      </c>
      <c r="D4980" s="136" t="s">
        <v>139</v>
      </c>
      <c r="E4980" s="136" t="s">
        <v>594</v>
      </c>
      <c r="F4980" s="136">
        <v>631</v>
      </c>
      <c r="G4980" s="137">
        <f t="shared" si="19"/>
        <v>2</v>
      </c>
      <c r="H4980" s="137"/>
      <c r="I4980" s="137"/>
      <c r="J4980" s="135"/>
      <c r="K4980" s="135"/>
      <c r="L4980" s="135"/>
      <c r="M4980" s="135"/>
      <c r="N4980" s="135"/>
      <c r="O4980" s="135"/>
      <c r="P4980" s="135"/>
      <c r="Q4980" s="135"/>
      <c r="R4980" s="135"/>
      <c r="S4980" s="135"/>
      <c r="T4980" s="135"/>
      <c r="U4980" s="135"/>
      <c r="V4980" s="135"/>
      <c r="W4980" s="135"/>
      <c r="X4980" s="135"/>
      <c r="Y4980" s="135"/>
      <c r="Z4980" s="135"/>
    </row>
    <row r="4981" spans="1:26" ht="25.5">
      <c r="A4981" s="136" t="s">
        <v>16</v>
      </c>
      <c r="B4981" s="136" t="s">
        <v>7971</v>
      </c>
      <c r="C4981" s="136" t="s">
        <v>8030</v>
      </c>
      <c r="D4981" s="136" t="s">
        <v>7993</v>
      </c>
      <c r="E4981" s="136" t="s">
        <v>615</v>
      </c>
      <c r="F4981" s="136">
        <v>402</v>
      </c>
      <c r="G4981" s="137">
        <f t="shared" si="19"/>
        <v>3</v>
      </c>
      <c r="H4981" s="137"/>
      <c r="I4981" s="137"/>
      <c r="J4981" s="135"/>
      <c r="K4981" s="135"/>
      <c r="L4981" s="135"/>
      <c r="M4981" s="135"/>
      <c r="N4981" s="135"/>
      <c r="O4981" s="135"/>
      <c r="P4981" s="135"/>
      <c r="Q4981" s="135"/>
      <c r="R4981" s="135"/>
      <c r="S4981" s="135"/>
      <c r="T4981" s="135"/>
      <c r="U4981" s="135"/>
      <c r="V4981" s="135"/>
      <c r="W4981" s="135"/>
      <c r="X4981" s="135"/>
      <c r="Y4981" s="135"/>
      <c r="Z4981" s="135"/>
    </row>
    <row r="4982" spans="1:26" ht="25.5">
      <c r="A4982" s="136" t="s">
        <v>16</v>
      </c>
      <c r="B4982" s="136" t="s">
        <v>7971</v>
      </c>
      <c r="C4982" s="136" t="s">
        <v>8030</v>
      </c>
      <c r="D4982" s="136" t="s">
        <v>7481</v>
      </c>
      <c r="E4982" s="136" t="s">
        <v>615</v>
      </c>
      <c r="F4982" s="136">
        <v>325</v>
      </c>
      <c r="G4982" s="137">
        <f t="shared" si="19"/>
        <v>4</v>
      </c>
      <c r="H4982" s="137"/>
      <c r="I4982" s="137"/>
      <c r="J4982" s="135"/>
      <c r="K4982" s="135"/>
      <c r="L4982" s="135"/>
      <c r="M4982" s="135"/>
      <c r="N4982" s="135"/>
      <c r="O4982" s="135"/>
      <c r="P4982" s="135"/>
      <c r="Q4982" s="135"/>
      <c r="R4982" s="135"/>
      <c r="S4982" s="135"/>
      <c r="T4982" s="135"/>
      <c r="U4982" s="135"/>
      <c r="V4982" s="135"/>
      <c r="W4982" s="135"/>
      <c r="X4982" s="135"/>
      <c r="Y4982" s="135"/>
      <c r="Z4982" s="135"/>
    </row>
    <row r="4983" spans="1:26" ht="25.5">
      <c r="A4983" s="136" t="s">
        <v>16</v>
      </c>
      <c r="B4983" s="136" t="s">
        <v>7971</v>
      </c>
      <c r="C4983" s="136" t="s">
        <v>8030</v>
      </c>
      <c r="D4983" s="136" t="s">
        <v>368</v>
      </c>
      <c r="E4983" s="136" t="s">
        <v>594</v>
      </c>
      <c r="F4983" s="136">
        <v>244</v>
      </c>
      <c r="G4983" s="137">
        <f t="shared" si="19"/>
        <v>5</v>
      </c>
      <c r="H4983" s="137"/>
      <c r="I4983" s="137"/>
      <c r="J4983" s="135"/>
      <c r="K4983" s="135"/>
      <c r="L4983" s="135"/>
      <c r="M4983" s="135"/>
      <c r="N4983" s="135"/>
      <c r="O4983" s="135"/>
      <c r="P4983" s="135"/>
      <c r="Q4983" s="135"/>
      <c r="R4983" s="135"/>
      <c r="S4983" s="135"/>
      <c r="T4983" s="135"/>
      <c r="U4983" s="135"/>
      <c r="V4983" s="135"/>
      <c r="W4983" s="135"/>
      <c r="X4983" s="135"/>
      <c r="Y4983" s="135"/>
      <c r="Z4983" s="135"/>
    </row>
    <row r="4984" spans="1:26" ht="25.5">
      <c r="A4984" s="136" t="s">
        <v>16</v>
      </c>
      <c r="B4984" s="136" t="s">
        <v>7971</v>
      </c>
      <c r="C4984" s="136" t="s">
        <v>8030</v>
      </c>
      <c r="D4984" s="136" t="s">
        <v>1656</v>
      </c>
      <c r="E4984" s="136" t="s">
        <v>594</v>
      </c>
      <c r="F4984" s="136">
        <v>235</v>
      </c>
      <c r="G4984" s="137">
        <f t="shared" si="19"/>
        <v>6</v>
      </c>
      <c r="H4984" s="137"/>
      <c r="I4984" s="137"/>
      <c r="J4984" s="135"/>
      <c r="K4984" s="135"/>
      <c r="L4984" s="135"/>
      <c r="M4984" s="135"/>
      <c r="N4984" s="135"/>
      <c r="O4984" s="135"/>
      <c r="P4984" s="135"/>
      <c r="Q4984" s="135"/>
      <c r="R4984" s="135"/>
      <c r="S4984" s="135"/>
      <c r="T4984" s="135"/>
      <c r="U4984" s="135"/>
      <c r="V4984" s="135"/>
      <c r="W4984" s="135"/>
      <c r="X4984" s="135"/>
      <c r="Y4984" s="135"/>
      <c r="Z4984" s="135"/>
    </row>
    <row r="4985" spans="1:26" ht="25.5">
      <c r="A4985" s="136" t="s">
        <v>16</v>
      </c>
      <c r="B4985" s="136" t="s">
        <v>7971</v>
      </c>
      <c r="C4985" s="136" t="s">
        <v>8030</v>
      </c>
      <c r="D4985" s="136" t="s">
        <v>114</v>
      </c>
      <c r="E4985" s="136" t="s">
        <v>85</v>
      </c>
      <c r="F4985" s="136">
        <v>104</v>
      </c>
      <c r="G4985" s="137">
        <f t="shared" si="19"/>
        <v>7</v>
      </c>
      <c r="H4985" s="137"/>
      <c r="I4985" s="137"/>
      <c r="J4985" s="135"/>
      <c r="K4985" s="135"/>
      <c r="L4985" s="135"/>
      <c r="M4985" s="135"/>
      <c r="N4985" s="135"/>
      <c r="O4985" s="135"/>
      <c r="P4985" s="135"/>
      <c r="Q4985" s="135"/>
      <c r="R4985" s="135"/>
      <c r="S4985" s="135"/>
      <c r="T4985" s="135"/>
      <c r="U4985" s="135"/>
      <c r="V4985" s="135"/>
      <c r="W4985" s="135"/>
      <c r="X4985" s="135"/>
      <c r="Y4985" s="135"/>
      <c r="Z4985" s="135"/>
    </row>
    <row r="4986" spans="1:26" ht="25.5">
      <c r="A4986" s="136" t="s">
        <v>16</v>
      </c>
      <c r="B4986" s="136" t="s">
        <v>7971</v>
      </c>
      <c r="C4986" s="136" t="s">
        <v>8030</v>
      </c>
      <c r="D4986" s="136" t="s">
        <v>165</v>
      </c>
      <c r="E4986" s="136" t="s">
        <v>615</v>
      </c>
      <c r="F4986" s="136">
        <v>64</v>
      </c>
      <c r="G4986" s="137">
        <f t="shared" si="19"/>
        <v>8</v>
      </c>
      <c r="H4986" s="137"/>
      <c r="I4986" s="137"/>
      <c r="J4986" s="135"/>
      <c r="K4986" s="135"/>
      <c r="L4986" s="135"/>
      <c r="M4986" s="135"/>
      <c r="N4986" s="135"/>
      <c r="O4986" s="135"/>
      <c r="P4986" s="135"/>
      <c r="Q4986" s="135"/>
      <c r="R4986" s="135"/>
      <c r="S4986" s="135"/>
      <c r="T4986" s="135"/>
      <c r="U4986" s="135"/>
      <c r="V4986" s="135"/>
      <c r="W4986" s="135"/>
      <c r="X4986" s="135"/>
      <c r="Y4986" s="135"/>
      <c r="Z4986" s="135"/>
    </row>
    <row r="4987" spans="1:26" ht="25.5">
      <c r="A4987" s="136" t="s">
        <v>16</v>
      </c>
      <c r="B4987" s="136" t="s">
        <v>7971</v>
      </c>
      <c r="C4987" s="136" t="s">
        <v>8030</v>
      </c>
      <c r="D4987" s="136" t="s">
        <v>1626</v>
      </c>
      <c r="E4987" s="136" t="s">
        <v>594</v>
      </c>
      <c r="F4987" s="136">
        <v>53</v>
      </c>
      <c r="G4987" s="137">
        <f t="shared" si="19"/>
        <v>9</v>
      </c>
      <c r="H4987" s="137"/>
      <c r="I4987" s="137"/>
      <c r="J4987" s="135"/>
      <c r="K4987" s="135"/>
      <c r="L4987" s="135"/>
      <c r="M4987" s="135"/>
      <c r="N4987" s="135"/>
      <c r="O4987" s="135"/>
      <c r="P4987" s="135"/>
      <c r="Q4987" s="135"/>
      <c r="R4987" s="135"/>
      <c r="S4987" s="135"/>
      <c r="T4987" s="135"/>
      <c r="U4987" s="135"/>
      <c r="V4987" s="135"/>
      <c r="W4987" s="135"/>
      <c r="X4987" s="135"/>
      <c r="Y4987" s="135"/>
      <c r="Z4987" s="135"/>
    </row>
    <row r="4988" spans="1:26" ht="25.5">
      <c r="A4988" s="136" t="s">
        <v>16</v>
      </c>
      <c r="B4988" s="136" t="s">
        <v>7971</v>
      </c>
      <c r="C4988" s="136" t="s">
        <v>8030</v>
      </c>
      <c r="D4988" s="136" t="s">
        <v>1665</v>
      </c>
      <c r="E4988" s="136" t="s">
        <v>615</v>
      </c>
      <c r="F4988" s="136">
        <v>47</v>
      </c>
      <c r="G4988" s="137">
        <f t="shared" si="19"/>
        <v>10</v>
      </c>
      <c r="H4988" s="137"/>
      <c r="I4988" s="137"/>
      <c r="J4988" s="135"/>
      <c r="K4988" s="135"/>
      <c r="L4988" s="135"/>
      <c r="M4988" s="135"/>
      <c r="N4988" s="135"/>
      <c r="O4988" s="135"/>
      <c r="P4988" s="135"/>
      <c r="Q4988" s="135"/>
      <c r="R4988" s="135"/>
      <c r="S4988" s="135"/>
      <c r="T4988" s="135"/>
      <c r="U4988" s="135"/>
      <c r="V4988" s="135"/>
      <c r="W4988" s="135"/>
      <c r="X4988" s="135"/>
      <c r="Y4988" s="135"/>
      <c r="Z4988" s="135"/>
    </row>
    <row r="4989" spans="1:26" ht="25.5">
      <c r="A4989" s="136" t="s">
        <v>16</v>
      </c>
      <c r="B4989" s="136" t="s">
        <v>7971</v>
      </c>
      <c r="C4989" s="136" t="s">
        <v>8030</v>
      </c>
      <c r="D4989" s="136" t="s">
        <v>1680</v>
      </c>
      <c r="E4989" s="136" t="s">
        <v>615</v>
      </c>
      <c r="F4989" s="136">
        <v>24</v>
      </c>
      <c r="G4989" s="137">
        <f t="shared" si="19"/>
        <v>11</v>
      </c>
      <c r="H4989" s="137"/>
      <c r="I4989" s="137"/>
      <c r="J4989" s="135"/>
      <c r="K4989" s="135"/>
      <c r="L4989" s="135"/>
      <c r="M4989" s="135"/>
      <c r="N4989" s="135"/>
      <c r="O4989" s="135"/>
      <c r="P4989" s="135"/>
      <c r="Q4989" s="135"/>
      <c r="R4989" s="135"/>
      <c r="S4989" s="135"/>
      <c r="T4989" s="135"/>
      <c r="U4989" s="135"/>
      <c r="V4989" s="135"/>
      <c r="W4989" s="135"/>
      <c r="X4989" s="135"/>
      <c r="Y4989" s="135"/>
      <c r="Z4989" s="135"/>
    </row>
    <row r="4990" spans="1:26" ht="25.5">
      <c r="A4990" s="136" t="s">
        <v>16</v>
      </c>
      <c r="B4990" s="136" t="s">
        <v>7971</v>
      </c>
      <c r="C4990" s="136" t="s">
        <v>8030</v>
      </c>
      <c r="D4990" s="136" t="s">
        <v>136</v>
      </c>
      <c r="E4990" s="136" t="s">
        <v>615</v>
      </c>
      <c r="F4990" s="136">
        <v>21</v>
      </c>
      <c r="G4990" s="137">
        <f t="shared" si="19"/>
        <v>12</v>
      </c>
      <c r="H4990" s="137"/>
      <c r="I4990" s="137"/>
      <c r="J4990" s="135"/>
      <c r="K4990" s="135"/>
      <c r="L4990" s="135"/>
      <c r="M4990" s="135"/>
      <c r="N4990" s="135"/>
      <c r="O4990" s="135"/>
      <c r="P4990" s="135"/>
      <c r="Q4990" s="135"/>
      <c r="R4990" s="135"/>
      <c r="S4990" s="135"/>
      <c r="T4990" s="135"/>
      <c r="U4990" s="135"/>
      <c r="V4990" s="135"/>
      <c r="W4990" s="135"/>
      <c r="X4990" s="135"/>
      <c r="Y4990" s="135"/>
      <c r="Z4990" s="135"/>
    </row>
    <row r="4991" spans="1:26" ht="25.5">
      <c r="A4991" s="136" t="s">
        <v>16</v>
      </c>
      <c r="B4991" s="136" t="s">
        <v>7971</v>
      </c>
      <c r="C4991" s="136" t="s">
        <v>8030</v>
      </c>
      <c r="D4991" s="136" t="s">
        <v>433</v>
      </c>
      <c r="E4991" s="136" t="s">
        <v>594</v>
      </c>
      <c r="F4991" s="136">
        <v>19</v>
      </c>
      <c r="G4991" s="137">
        <f t="shared" si="19"/>
        <v>13</v>
      </c>
      <c r="H4991" s="137"/>
      <c r="I4991" s="137"/>
      <c r="J4991" s="135"/>
      <c r="K4991" s="135"/>
      <c r="L4991" s="135"/>
      <c r="M4991" s="135"/>
      <c r="N4991" s="135"/>
      <c r="O4991" s="135"/>
      <c r="P4991" s="135"/>
      <c r="Q4991" s="135"/>
      <c r="R4991" s="135"/>
      <c r="S4991" s="135"/>
      <c r="T4991" s="135"/>
      <c r="U4991" s="135"/>
      <c r="V4991" s="135"/>
      <c r="W4991" s="135"/>
      <c r="X4991" s="135"/>
      <c r="Y4991" s="135"/>
      <c r="Z4991" s="135"/>
    </row>
    <row r="4992" spans="1:26" ht="25.5">
      <c r="A4992" s="136" t="s">
        <v>16</v>
      </c>
      <c r="B4992" s="136" t="s">
        <v>7971</v>
      </c>
      <c r="C4992" s="136" t="s">
        <v>8030</v>
      </c>
      <c r="D4992" s="136" t="s">
        <v>1682</v>
      </c>
      <c r="E4992" s="136" t="s">
        <v>86</v>
      </c>
      <c r="F4992" s="136">
        <v>19</v>
      </c>
      <c r="G4992" s="137">
        <f t="shared" si="19"/>
        <v>14</v>
      </c>
      <c r="H4992" s="137"/>
      <c r="I4992" s="137"/>
      <c r="J4992" s="135"/>
      <c r="K4992" s="135"/>
      <c r="L4992" s="135"/>
      <c r="M4992" s="135"/>
      <c r="N4992" s="135"/>
      <c r="O4992" s="135"/>
      <c r="P4992" s="135"/>
      <c r="Q4992" s="135"/>
      <c r="R4992" s="135"/>
      <c r="S4992" s="135"/>
      <c r="T4992" s="135"/>
      <c r="U4992" s="135"/>
      <c r="V4992" s="135"/>
      <c r="W4992" s="135"/>
      <c r="X4992" s="135"/>
      <c r="Y4992" s="135"/>
      <c r="Z4992" s="135"/>
    </row>
    <row r="4993" spans="1:26" ht="25.5">
      <c r="A4993" s="136" t="s">
        <v>16</v>
      </c>
      <c r="B4993" s="136" t="s">
        <v>7971</v>
      </c>
      <c r="C4993" s="136" t="s">
        <v>8030</v>
      </c>
      <c r="D4993" s="136" t="s">
        <v>467</v>
      </c>
      <c r="E4993" s="136" t="s">
        <v>85</v>
      </c>
      <c r="F4993" s="136">
        <v>11</v>
      </c>
      <c r="G4993" s="137">
        <f t="shared" si="19"/>
        <v>15</v>
      </c>
      <c r="H4993" s="137"/>
      <c r="I4993" s="137"/>
      <c r="J4993" s="135"/>
      <c r="K4993" s="135"/>
      <c r="L4993" s="135"/>
      <c r="M4993" s="135"/>
      <c r="N4993" s="135"/>
      <c r="O4993" s="135"/>
      <c r="P4993" s="135"/>
      <c r="Q4993" s="135"/>
      <c r="R4993" s="135"/>
      <c r="S4993" s="135"/>
      <c r="T4993" s="135"/>
      <c r="U4993" s="135"/>
      <c r="V4993" s="135"/>
      <c r="W4993" s="135"/>
      <c r="X4993" s="135"/>
      <c r="Y4993" s="135"/>
      <c r="Z4993" s="135"/>
    </row>
    <row r="4994" spans="1:26" ht="25.5">
      <c r="A4994" s="136" t="s">
        <v>16</v>
      </c>
      <c r="B4994" s="136" t="s">
        <v>7971</v>
      </c>
      <c r="C4994" s="136" t="s">
        <v>8030</v>
      </c>
      <c r="D4994" s="136" t="s">
        <v>1666</v>
      </c>
      <c r="E4994" s="136" t="s">
        <v>85</v>
      </c>
      <c r="F4994" s="136">
        <v>6</v>
      </c>
      <c r="G4994" s="137">
        <f t="shared" si="19"/>
        <v>16</v>
      </c>
      <c r="H4994" s="137"/>
      <c r="I4994" s="137"/>
      <c r="J4994" s="135"/>
      <c r="K4994" s="135"/>
      <c r="L4994" s="135"/>
      <c r="M4994" s="135"/>
      <c r="N4994" s="135"/>
      <c r="O4994" s="135"/>
      <c r="P4994" s="135"/>
      <c r="Q4994" s="135"/>
      <c r="R4994" s="135"/>
      <c r="S4994" s="135"/>
      <c r="T4994" s="135"/>
      <c r="U4994" s="135"/>
      <c r="V4994" s="135"/>
      <c r="W4994" s="135"/>
      <c r="X4994" s="135"/>
      <c r="Y4994" s="135"/>
      <c r="Z4994" s="135"/>
    </row>
    <row r="4995" spans="1:26" ht="25.5">
      <c r="A4995" s="136" t="s">
        <v>16</v>
      </c>
      <c r="B4995" s="136" t="s">
        <v>7971</v>
      </c>
      <c r="C4995" s="136" t="s">
        <v>8030</v>
      </c>
      <c r="D4995" s="136" t="s">
        <v>7985</v>
      </c>
      <c r="E4995" s="136" t="s">
        <v>615</v>
      </c>
      <c r="F4995" s="136">
        <v>2</v>
      </c>
      <c r="G4995" s="137">
        <f t="shared" si="19"/>
        <v>17</v>
      </c>
      <c r="H4995" s="137"/>
      <c r="I4995" s="137"/>
      <c r="J4995" s="135"/>
      <c r="K4995" s="135"/>
      <c r="L4995" s="135"/>
      <c r="M4995" s="135"/>
      <c r="N4995" s="135"/>
      <c r="O4995" s="135"/>
      <c r="P4995" s="135"/>
      <c r="Q4995" s="135"/>
      <c r="R4995" s="135"/>
      <c r="S4995" s="135"/>
      <c r="T4995" s="135"/>
      <c r="U4995" s="135"/>
      <c r="V4995" s="135"/>
      <c r="W4995" s="135"/>
      <c r="X4995" s="135"/>
      <c r="Y4995" s="135"/>
      <c r="Z4995" s="135"/>
    </row>
    <row r="4996" spans="1:26" ht="25.5">
      <c r="A4996" s="136" t="s">
        <v>16</v>
      </c>
      <c r="B4996" s="136" t="s">
        <v>7971</v>
      </c>
      <c r="C4996" s="136" t="s">
        <v>8031</v>
      </c>
      <c r="D4996" s="136" t="s">
        <v>139</v>
      </c>
      <c r="E4996" s="136" t="s">
        <v>594</v>
      </c>
      <c r="F4996" s="136">
        <v>1297</v>
      </c>
      <c r="G4996" s="137">
        <f t="shared" si="19"/>
        <v>1</v>
      </c>
      <c r="H4996" s="137"/>
      <c r="I4996" s="137"/>
      <c r="J4996" s="135"/>
      <c r="K4996" s="135"/>
      <c r="L4996" s="135"/>
      <c r="M4996" s="135"/>
      <c r="N4996" s="135"/>
      <c r="O4996" s="135"/>
      <c r="P4996" s="135"/>
      <c r="Q4996" s="135"/>
      <c r="R4996" s="135"/>
      <c r="S4996" s="135"/>
      <c r="T4996" s="135"/>
      <c r="U4996" s="135"/>
      <c r="V4996" s="135"/>
      <c r="W4996" s="135"/>
      <c r="X4996" s="135"/>
      <c r="Y4996" s="135"/>
      <c r="Z4996" s="135"/>
    </row>
    <row r="4997" spans="1:26" ht="25.5">
      <c r="A4997" s="136" t="s">
        <v>16</v>
      </c>
      <c r="B4997" s="136" t="s">
        <v>7971</v>
      </c>
      <c r="C4997" s="136" t="s">
        <v>8031</v>
      </c>
      <c r="D4997" s="136" t="s">
        <v>7544</v>
      </c>
      <c r="E4997" s="136" t="s">
        <v>615</v>
      </c>
      <c r="F4997" s="136">
        <v>1266</v>
      </c>
      <c r="G4997" s="137">
        <f t="shared" si="19"/>
        <v>2</v>
      </c>
      <c r="H4997" s="137"/>
      <c r="I4997" s="137"/>
      <c r="J4997" s="135"/>
      <c r="K4997" s="135"/>
      <c r="L4997" s="135"/>
      <c r="M4997" s="135"/>
      <c r="N4997" s="135"/>
      <c r="O4997" s="135"/>
      <c r="P4997" s="135"/>
      <c r="Q4997" s="135"/>
      <c r="R4997" s="135"/>
      <c r="S4997" s="135"/>
      <c r="T4997" s="135"/>
      <c r="U4997" s="135"/>
      <c r="V4997" s="135"/>
      <c r="W4997" s="135"/>
      <c r="X4997" s="135"/>
      <c r="Y4997" s="135"/>
      <c r="Z4997" s="135"/>
    </row>
    <row r="4998" spans="1:26" ht="25.5">
      <c r="A4998" s="136" t="s">
        <v>16</v>
      </c>
      <c r="B4998" s="136" t="s">
        <v>7971</v>
      </c>
      <c r="C4998" s="136" t="s">
        <v>8031</v>
      </c>
      <c r="D4998" s="136" t="s">
        <v>437</v>
      </c>
      <c r="E4998" s="136" t="s">
        <v>594</v>
      </c>
      <c r="F4998" s="136">
        <v>620</v>
      </c>
      <c r="G4998" s="137">
        <f t="shared" si="19"/>
        <v>3</v>
      </c>
      <c r="H4998" s="137"/>
      <c r="I4998" s="137"/>
      <c r="J4998" s="135"/>
      <c r="K4998" s="135"/>
      <c r="L4998" s="135"/>
      <c r="M4998" s="135"/>
      <c r="N4998" s="135"/>
      <c r="O4998" s="135"/>
      <c r="P4998" s="135"/>
      <c r="Q4998" s="135"/>
      <c r="R4998" s="135"/>
      <c r="S4998" s="135"/>
      <c r="T4998" s="135"/>
      <c r="U4998" s="135"/>
      <c r="V4998" s="135"/>
      <c r="W4998" s="135"/>
      <c r="X4998" s="135"/>
      <c r="Y4998" s="135"/>
      <c r="Z4998" s="135"/>
    </row>
    <row r="4999" spans="1:26" ht="25.5">
      <c r="A4999" s="136" t="s">
        <v>16</v>
      </c>
      <c r="B4999" s="136" t="s">
        <v>7971</v>
      </c>
      <c r="C4999" s="136" t="s">
        <v>8031</v>
      </c>
      <c r="D4999" s="136" t="s">
        <v>7993</v>
      </c>
      <c r="E4999" s="136" t="s">
        <v>615</v>
      </c>
      <c r="F4999" s="136">
        <v>560</v>
      </c>
      <c r="G4999" s="137">
        <f t="shared" si="19"/>
        <v>4</v>
      </c>
      <c r="H4999" s="137"/>
      <c r="I4999" s="137"/>
      <c r="J4999" s="135"/>
      <c r="K4999" s="135"/>
      <c r="L4999" s="135"/>
      <c r="M4999" s="135"/>
      <c r="N4999" s="135"/>
      <c r="O4999" s="135"/>
      <c r="P4999" s="135"/>
      <c r="Q4999" s="135"/>
      <c r="R4999" s="135"/>
      <c r="S4999" s="135"/>
      <c r="T4999" s="135"/>
      <c r="U4999" s="135"/>
      <c r="V4999" s="135"/>
      <c r="W4999" s="135"/>
      <c r="X4999" s="135"/>
      <c r="Y4999" s="135"/>
      <c r="Z4999" s="135"/>
    </row>
    <row r="5000" spans="1:26" ht="25.5">
      <c r="A5000" s="136" t="s">
        <v>16</v>
      </c>
      <c r="B5000" s="136" t="s">
        <v>7971</v>
      </c>
      <c r="C5000" s="136" t="s">
        <v>8031</v>
      </c>
      <c r="D5000" s="136" t="s">
        <v>1680</v>
      </c>
      <c r="E5000" s="136" t="s">
        <v>615</v>
      </c>
      <c r="F5000" s="136">
        <v>400</v>
      </c>
      <c r="G5000" s="137">
        <f t="shared" si="19"/>
        <v>5</v>
      </c>
      <c r="H5000" s="137"/>
      <c r="I5000" s="137"/>
      <c r="J5000" s="135"/>
      <c r="K5000" s="135"/>
      <c r="L5000" s="135"/>
      <c r="M5000" s="135"/>
      <c r="N5000" s="135"/>
      <c r="O5000" s="135"/>
      <c r="P5000" s="135"/>
      <c r="Q5000" s="135"/>
      <c r="R5000" s="135"/>
      <c r="S5000" s="135"/>
      <c r="T5000" s="135"/>
      <c r="U5000" s="135"/>
      <c r="V5000" s="135"/>
      <c r="W5000" s="135"/>
      <c r="X5000" s="135"/>
      <c r="Y5000" s="135"/>
      <c r="Z5000" s="135"/>
    </row>
    <row r="5001" spans="1:26" ht="25.5">
      <c r="A5001" s="136" t="s">
        <v>16</v>
      </c>
      <c r="B5001" s="136" t="s">
        <v>7971</v>
      </c>
      <c r="C5001" s="136" t="s">
        <v>8031</v>
      </c>
      <c r="D5001" s="136" t="s">
        <v>8008</v>
      </c>
      <c r="E5001" s="136" t="s">
        <v>615</v>
      </c>
      <c r="F5001" s="136">
        <v>390</v>
      </c>
      <c r="G5001" s="137">
        <f t="shared" si="19"/>
        <v>6</v>
      </c>
      <c r="H5001" s="137"/>
      <c r="I5001" s="137"/>
      <c r="J5001" s="135"/>
      <c r="K5001" s="135"/>
      <c r="L5001" s="135"/>
      <c r="M5001" s="135"/>
      <c r="N5001" s="135"/>
      <c r="O5001" s="135"/>
      <c r="P5001" s="135"/>
      <c r="Q5001" s="135"/>
      <c r="R5001" s="135"/>
      <c r="S5001" s="135"/>
      <c r="T5001" s="135"/>
      <c r="U5001" s="135"/>
      <c r="V5001" s="135"/>
      <c r="W5001" s="135"/>
      <c r="X5001" s="135"/>
      <c r="Y5001" s="135"/>
      <c r="Z5001" s="135"/>
    </row>
    <row r="5002" spans="1:26" ht="25.5">
      <c r="A5002" s="136" t="s">
        <v>16</v>
      </c>
      <c r="B5002" s="136" t="s">
        <v>7971</v>
      </c>
      <c r="C5002" s="136" t="s">
        <v>8031</v>
      </c>
      <c r="D5002" s="136" t="s">
        <v>136</v>
      </c>
      <c r="E5002" s="136" t="s">
        <v>615</v>
      </c>
      <c r="F5002" s="136">
        <v>350</v>
      </c>
      <c r="G5002" s="137">
        <f t="shared" si="19"/>
        <v>7</v>
      </c>
      <c r="H5002" s="137"/>
      <c r="I5002" s="137"/>
      <c r="J5002" s="135"/>
      <c r="K5002" s="135"/>
      <c r="L5002" s="135"/>
      <c r="M5002" s="135"/>
      <c r="N5002" s="135"/>
      <c r="O5002" s="135"/>
      <c r="P5002" s="135"/>
      <c r="Q5002" s="135"/>
      <c r="R5002" s="135"/>
      <c r="S5002" s="135"/>
      <c r="T5002" s="135"/>
      <c r="U5002" s="135"/>
      <c r="V5002" s="135"/>
      <c r="W5002" s="135"/>
      <c r="X5002" s="135"/>
      <c r="Y5002" s="135"/>
      <c r="Z5002" s="135"/>
    </row>
    <row r="5003" spans="1:26" ht="25.5">
      <c r="A5003" s="136" t="s">
        <v>16</v>
      </c>
      <c r="B5003" s="136" t="s">
        <v>7971</v>
      </c>
      <c r="C5003" s="136" t="s">
        <v>8031</v>
      </c>
      <c r="D5003" s="136" t="s">
        <v>7943</v>
      </c>
      <c r="E5003" s="136" t="s">
        <v>615</v>
      </c>
      <c r="F5003" s="136">
        <v>250</v>
      </c>
      <c r="G5003" s="137">
        <f t="shared" si="19"/>
        <v>8</v>
      </c>
      <c r="H5003" s="137"/>
      <c r="I5003" s="137"/>
      <c r="J5003" s="135"/>
      <c r="K5003" s="135"/>
      <c r="L5003" s="135"/>
      <c r="M5003" s="135"/>
      <c r="N5003" s="135"/>
      <c r="O5003" s="135"/>
      <c r="P5003" s="135"/>
      <c r="Q5003" s="135"/>
      <c r="R5003" s="135"/>
      <c r="S5003" s="135"/>
      <c r="T5003" s="135"/>
      <c r="U5003" s="135"/>
      <c r="V5003" s="135"/>
      <c r="W5003" s="135"/>
      <c r="X5003" s="135"/>
      <c r="Y5003" s="135"/>
      <c r="Z5003" s="135"/>
    </row>
    <row r="5004" spans="1:26" ht="25.5">
      <c r="A5004" s="136" t="s">
        <v>16</v>
      </c>
      <c r="B5004" s="136" t="s">
        <v>7971</v>
      </c>
      <c r="C5004" s="136" t="s">
        <v>8031</v>
      </c>
      <c r="D5004" s="136" t="s">
        <v>7481</v>
      </c>
      <c r="E5004" s="136" t="s">
        <v>615</v>
      </c>
      <c r="F5004" s="136">
        <v>200</v>
      </c>
      <c r="G5004" s="137">
        <f t="shared" si="19"/>
        <v>9</v>
      </c>
      <c r="H5004" s="137"/>
      <c r="I5004" s="137"/>
      <c r="J5004" s="135"/>
      <c r="K5004" s="135"/>
      <c r="L5004" s="135"/>
      <c r="M5004" s="135"/>
      <c r="N5004" s="135"/>
      <c r="O5004" s="135"/>
      <c r="P5004" s="135"/>
      <c r="Q5004" s="135"/>
      <c r="R5004" s="135"/>
      <c r="S5004" s="135"/>
      <c r="T5004" s="135"/>
      <c r="U5004" s="135"/>
      <c r="V5004" s="135"/>
      <c r="W5004" s="135"/>
      <c r="X5004" s="135"/>
      <c r="Y5004" s="135"/>
      <c r="Z5004" s="135"/>
    </row>
    <row r="5005" spans="1:26" ht="25.5">
      <c r="A5005" s="136" t="s">
        <v>16</v>
      </c>
      <c r="B5005" s="136" t="s">
        <v>7971</v>
      </c>
      <c r="C5005" s="136" t="s">
        <v>8031</v>
      </c>
      <c r="D5005" s="136" t="s">
        <v>368</v>
      </c>
      <c r="E5005" s="136" t="s">
        <v>594</v>
      </c>
      <c r="F5005" s="136">
        <v>147</v>
      </c>
      <c r="G5005" s="137">
        <f t="shared" si="19"/>
        <v>10</v>
      </c>
      <c r="H5005" s="137"/>
      <c r="I5005" s="137"/>
      <c r="J5005" s="135"/>
      <c r="K5005" s="135"/>
      <c r="L5005" s="135"/>
      <c r="M5005" s="135"/>
      <c r="N5005" s="135"/>
      <c r="O5005" s="135"/>
      <c r="P5005" s="135"/>
      <c r="Q5005" s="135"/>
      <c r="R5005" s="135"/>
      <c r="S5005" s="135"/>
      <c r="T5005" s="135"/>
      <c r="U5005" s="135"/>
      <c r="V5005" s="135"/>
      <c r="W5005" s="135"/>
      <c r="X5005" s="135"/>
      <c r="Y5005" s="135"/>
      <c r="Z5005" s="135"/>
    </row>
    <row r="5006" spans="1:26" ht="25.5">
      <c r="A5006" s="136" t="s">
        <v>16</v>
      </c>
      <c r="B5006" s="136" t="s">
        <v>7971</v>
      </c>
      <c r="C5006" s="136" t="s">
        <v>8031</v>
      </c>
      <c r="D5006" s="136" t="s">
        <v>1673</v>
      </c>
      <c r="E5006" s="136" t="s">
        <v>615</v>
      </c>
      <c r="F5006" s="136">
        <v>130</v>
      </c>
      <c r="G5006" s="137">
        <f t="shared" si="19"/>
        <v>11</v>
      </c>
      <c r="H5006" s="137"/>
      <c r="I5006" s="137"/>
      <c r="J5006" s="135"/>
      <c r="K5006" s="135"/>
      <c r="L5006" s="135"/>
      <c r="M5006" s="135"/>
      <c r="N5006" s="135"/>
      <c r="O5006" s="135"/>
      <c r="P5006" s="135"/>
      <c r="Q5006" s="135"/>
      <c r="R5006" s="135"/>
      <c r="S5006" s="135"/>
      <c r="T5006" s="135"/>
      <c r="U5006" s="135"/>
      <c r="V5006" s="135"/>
      <c r="W5006" s="135"/>
      <c r="X5006" s="135"/>
      <c r="Y5006" s="135"/>
      <c r="Z5006" s="135"/>
    </row>
    <row r="5007" spans="1:26" ht="25.5">
      <c r="A5007" s="136" t="s">
        <v>16</v>
      </c>
      <c r="B5007" s="136" t="s">
        <v>7971</v>
      </c>
      <c r="C5007" s="136" t="s">
        <v>8031</v>
      </c>
      <c r="D5007" s="136" t="s">
        <v>103</v>
      </c>
      <c r="E5007" s="136" t="s">
        <v>594</v>
      </c>
      <c r="F5007" s="136">
        <v>125</v>
      </c>
      <c r="G5007" s="137">
        <f t="shared" si="19"/>
        <v>12</v>
      </c>
      <c r="H5007" s="137"/>
      <c r="I5007" s="137"/>
      <c r="J5007" s="135"/>
      <c r="K5007" s="135"/>
      <c r="L5007" s="135"/>
      <c r="M5007" s="135"/>
      <c r="N5007" s="135"/>
      <c r="O5007" s="135"/>
      <c r="P5007" s="135"/>
      <c r="Q5007" s="135"/>
      <c r="R5007" s="135"/>
      <c r="S5007" s="135"/>
      <c r="T5007" s="135"/>
      <c r="U5007" s="135"/>
      <c r="V5007" s="135"/>
      <c r="W5007" s="135"/>
      <c r="X5007" s="135"/>
      <c r="Y5007" s="135"/>
      <c r="Z5007" s="135"/>
    </row>
    <row r="5008" spans="1:26" ht="25.5">
      <c r="A5008" s="136" t="s">
        <v>16</v>
      </c>
      <c r="B5008" s="136" t="s">
        <v>7971</v>
      </c>
      <c r="C5008" s="136" t="s">
        <v>8031</v>
      </c>
      <c r="D5008" s="136" t="s">
        <v>7958</v>
      </c>
      <c r="E5008" s="136" t="s">
        <v>615</v>
      </c>
      <c r="F5008" s="136">
        <v>120</v>
      </c>
      <c r="G5008" s="137">
        <f t="shared" si="19"/>
        <v>13</v>
      </c>
      <c r="H5008" s="137"/>
      <c r="I5008" s="137"/>
      <c r="J5008" s="135"/>
      <c r="K5008" s="135"/>
      <c r="L5008" s="135"/>
      <c r="M5008" s="135"/>
      <c r="N5008" s="135"/>
      <c r="O5008" s="135"/>
      <c r="P5008" s="135"/>
      <c r="Q5008" s="135"/>
      <c r="R5008" s="135"/>
      <c r="S5008" s="135"/>
      <c r="T5008" s="135"/>
      <c r="U5008" s="135"/>
      <c r="V5008" s="135"/>
      <c r="W5008" s="135"/>
      <c r="X5008" s="135"/>
      <c r="Y5008" s="135"/>
      <c r="Z5008" s="135"/>
    </row>
    <row r="5009" spans="1:26" ht="25.5">
      <c r="A5009" s="136" t="s">
        <v>16</v>
      </c>
      <c r="B5009" s="136" t="s">
        <v>7971</v>
      </c>
      <c r="C5009" s="136" t="s">
        <v>8031</v>
      </c>
      <c r="D5009" s="136" t="s">
        <v>7685</v>
      </c>
      <c r="E5009" s="136" t="s">
        <v>594</v>
      </c>
      <c r="F5009" s="136">
        <v>119</v>
      </c>
      <c r="G5009" s="137">
        <f t="shared" si="19"/>
        <v>14</v>
      </c>
      <c r="H5009" s="137"/>
      <c r="I5009" s="137"/>
      <c r="J5009" s="135"/>
      <c r="K5009" s="135"/>
      <c r="L5009" s="135"/>
      <c r="M5009" s="135"/>
      <c r="N5009" s="135"/>
      <c r="O5009" s="135"/>
      <c r="P5009" s="135"/>
      <c r="Q5009" s="135"/>
      <c r="R5009" s="135"/>
      <c r="S5009" s="135"/>
      <c r="T5009" s="135"/>
      <c r="U5009" s="135"/>
      <c r="V5009" s="135"/>
      <c r="W5009" s="135"/>
      <c r="X5009" s="135"/>
      <c r="Y5009" s="135"/>
      <c r="Z5009" s="135"/>
    </row>
    <row r="5010" spans="1:26" ht="25.5">
      <c r="A5010" s="136" t="s">
        <v>16</v>
      </c>
      <c r="B5010" s="136" t="s">
        <v>7971</v>
      </c>
      <c r="C5010" s="136" t="s">
        <v>8031</v>
      </c>
      <c r="D5010" s="136" t="s">
        <v>131</v>
      </c>
      <c r="E5010" s="136" t="s">
        <v>594</v>
      </c>
      <c r="F5010" s="136">
        <v>117</v>
      </c>
      <c r="G5010" s="137">
        <f t="shared" si="19"/>
        <v>15</v>
      </c>
      <c r="H5010" s="137"/>
      <c r="I5010" s="137"/>
      <c r="J5010" s="135"/>
      <c r="K5010" s="135"/>
      <c r="L5010" s="135"/>
      <c r="M5010" s="135"/>
      <c r="N5010" s="135"/>
      <c r="O5010" s="135"/>
      <c r="P5010" s="135"/>
      <c r="Q5010" s="135"/>
      <c r="R5010" s="135"/>
      <c r="S5010" s="135"/>
      <c r="T5010" s="135"/>
      <c r="U5010" s="135"/>
      <c r="V5010" s="135"/>
      <c r="W5010" s="135"/>
      <c r="X5010" s="135"/>
      <c r="Y5010" s="135"/>
      <c r="Z5010" s="135"/>
    </row>
    <row r="5011" spans="1:26" ht="25.5">
      <c r="A5011" s="136" t="s">
        <v>16</v>
      </c>
      <c r="B5011" s="136" t="s">
        <v>7971</v>
      </c>
      <c r="C5011" s="136" t="s">
        <v>8031</v>
      </c>
      <c r="D5011" s="136" t="s">
        <v>8032</v>
      </c>
      <c r="E5011" s="136" t="s">
        <v>615</v>
      </c>
      <c r="F5011" s="136">
        <v>99</v>
      </c>
      <c r="G5011" s="137">
        <f t="shared" si="19"/>
        <v>16</v>
      </c>
      <c r="H5011" s="137"/>
      <c r="I5011" s="137"/>
      <c r="J5011" s="135"/>
      <c r="K5011" s="135"/>
      <c r="L5011" s="135"/>
      <c r="M5011" s="135"/>
      <c r="N5011" s="135"/>
      <c r="O5011" s="135"/>
      <c r="P5011" s="135"/>
      <c r="Q5011" s="135"/>
      <c r="R5011" s="135"/>
      <c r="S5011" s="135"/>
      <c r="T5011" s="135"/>
      <c r="U5011" s="135"/>
      <c r="V5011" s="135"/>
      <c r="W5011" s="135"/>
      <c r="X5011" s="135"/>
      <c r="Y5011" s="135"/>
      <c r="Z5011" s="135"/>
    </row>
    <row r="5012" spans="1:26" ht="25.5">
      <c r="A5012" s="136" t="s">
        <v>16</v>
      </c>
      <c r="B5012" s="136" t="s">
        <v>7971</v>
      </c>
      <c r="C5012" s="136" t="s">
        <v>8031</v>
      </c>
      <c r="D5012" s="136" t="s">
        <v>1665</v>
      </c>
      <c r="E5012" s="136" t="s">
        <v>615</v>
      </c>
      <c r="F5012" s="136">
        <v>60</v>
      </c>
      <c r="G5012" s="137">
        <f t="shared" si="19"/>
        <v>17</v>
      </c>
      <c r="H5012" s="137"/>
      <c r="I5012" s="137"/>
      <c r="J5012" s="135"/>
      <c r="K5012" s="135"/>
      <c r="L5012" s="135"/>
      <c r="M5012" s="135"/>
      <c r="N5012" s="135"/>
      <c r="O5012" s="135"/>
      <c r="P5012" s="135"/>
      <c r="Q5012" s="135"/>
      <c r="R5012" s="135"/>
      <c r="S5012" s="135"/>
      <c r="T5012" s="135"/>
      <c r="U5012" s="135"/>
      <c r="V5012" s="135"/>
      <c r="W5012" s="135"/>
      <c r="X5012" s="135"/>
      <c r="Y5012" s="135"/>
      <c r="Z5012" s="135"/>
    </row>
    <row r="5013" spans="1:26" ht="25.5">
      <c r="A5013" s="136" t="s">
        <v>16</v>
      </c>
      <c r="B5013" s="136" t="s">
        <v>7971</v>
      </c>
      <c r="C5013" s="136" t="s">
        <v>8031</v>
      </c>
      <c r="D5013" s="136" t="s">
        <v>1656</v>
      </c>
      <c r="E5013" s="136" t="s">
        <v>615</v>
      </c>
      <c r="F5013" s="136">
        <v>60</v>
      </c>
      <c r="G5013" s="137">
        <f t="shared" si="19"/>
        <v>18</v>
      </c>
      <c r="H5013" s="137"/>
      <c r="I5013" s="137"/>
      <c r="J5013" s="135"/>
      <c r="K5013" s="135"/>
      <c r="L5013" s="135"/>
      <c r="M5013" s="135"/>
      <c r="N5013" s="135"/>
      <c r="O5013" s="135"/>
      <c r="P5013" s="135"/>
      <c r="Q5013" s="135"/>
      <c r="R5013" s="135"/>
      <c r="S5013" s="135"/>
      <c r="T5013" s="135"/>
      <c r="U5013" s="135"/>
      <c r="V5013" s="135"/>
      <c r="W5013" s="135"/>
      <c r="X5013" s="135"/>
      <c r="Y5013" s="135"/>
      <c r="Z5013" s="135"/>
    </row>
    <row r="5014" spans="1:26" ht="25.5">
      <c r="A5014" s="136" t="s">
        <v>16</v>
      </c>
      <c r="B5014" s="136" t="s">
        <v>7971</v>
      </c>
      <c r="C5014" s="136" t="s">
        <v>8031</v>
      </c>
      <c r="D5014" s="136" t="s">
        <v>1626</v>
      </c>
      <c r="E5014" s="136" t="s">
        <v>594</v>
      </c>
      <c r="F5014" s="136">
        <v>40</v>
      </c>
      <c r="G5014" s="137">
        <f t="shared" si="19"/>
        <v>19</v>
      </c>
      <c r="H5014" s="137"/>
      <c r="I5014" s="137"/>
      <c r="J5014" s="135"/>
      <c r="K5014" s="135"/>
      <c r="L5014" s="135"/>
      <c r="M5014" s="135"/>
      <c r="N5014" s="135"/>
      <c r="O5014" s="135"/>
      <c r="P5014" s="135"/>
      <c r="Q5014" s="135"/>
      <c r="R5014" s="135"/>
      <c r="S5014" s="135"/>
      <c r="T5014" s="135"/>
      <c r="U5014" s="135"/>
      <c r="V5014" s="135"/>
      <c r="W5014" s="135"/>
      <c r="X5014" s="135"/>
      <c r="Y5014" s="135"/>
      <c r="Z5014" s="135"/>
    </row>
    <row r="5015" spans="1:26" ht="25.5">
      <c r="A5015" s="136" t="s">
        <v>16</v>
      </c>
      <c r="B5015" s="136" t="s">
        <v>7971</v>
      </c>
      <c r="C5015" s="136" t="s">
        <v>8031</v>
      </c>
      <c r="D5015" s="136" t="s">
        <v>114</v>
      </c>
      <c r="E5015" s="136" t="s">
        <v>85</v>
      </c>
      <c r="F5015" s="136">
        <v>8</v>
      </c>
      <c r="G5015" s="137">
        <f t="shared" si="19"/>
        <v>20</v>
      </c>
      <c r="H5015" s="137"/>
      <c r="I5015" s="137"/>
      <c r="J5015" s="135"/>
      <c r="K5015" s="135"/>
      <c r="L5015" s="135"/>
      <c r="M5015" s="135"/>
      <c r="N5015" s="135"/>
      <c r="O5015" s="135"/>
      <c r="P5015" s="135"/>
      <c r="Q5015" s="135"/>
      <c r="R5015" s="135"/>
      <c r="S5015" s="135"/>
      <c r="T5015" s="135"/>
      <c r="U5015" s="135"/>
      <c r="V5015" s="135"/>
      <c r="W5015" s="135"/>
      <c r="X5015" s="135"/>
      <c r="Y5015" s="135"/>
      <c r="Z5015" s="135"/>
    </row>
    <row r="5016" spans="1:26" ht="25.5">
      <c r="A5016" s="136" t="s">
        <v>16</v>
      </c>
      <c r="B5016" s="136" t="s">
        <v>7971</v>
      </c>
      <c r="C5016" s="136" t="s">
        <v>8031</v>
      </c>
      <c r="D5016" s="136" t="s">
        <v>467</v>
      </c>
      <c r="E5016" s="136" t="s">
        <v>85</v>
      </c>
      <c r="F5016" s="136">
        <v>2</v>
      </c>
      <c r="G5016" s="137">
        <f t="shared" si="19"/>
        <v>21</v>
      </c>
      <c r="H5016" s="137"/>
      <c r="I5016" s="137"/>
      <c r="J5016" s="135"/>
      <c r="K5016" s="135"/>
      <c r="L5016" s="135"/>
      <c r="M5016" s="135"/>
      <c r="N5016" s="135"/>
      <c r="O5016" s="135"/>
      <c r="P5016" s="135"/>
      <c r="Q5016" s="135"/>
      <c r="R5016" s="135"/>
      <c r="S5016" s="135"/>
      <c r="T5016" s="135"/>
      <c r="U5016" s="135"/>
      <c r="V5016" s="135"/>
      <c r="W5016" s="135"/>
      <c r="X5016" s="135"/>
      <c r="Y5016" s="135"/>
      <c r="Z5016" s="135"/>
    </row>
    <row r="5017" spans="1:26" ht="25.5">
      <c r="A5017" s="136" t="s">
        <v>16</v>
      </c>
      <c r="B5017" s="136" t="s">
        <v>7971</v>
      </c>
      <c r="C5017" s="136" t="s">
        <v>8033</v>
      </c>
      <c r="D5017" s="136" t="s">
        <v>139</v>
      </c>
      <c r="E5017" s="136" t="s">
        <v>594</v>
      </c>
      <c r="F5017" s="136">
        <v>2418</v>
      </c>
      <c r="G5017" s="137">
        <f t="shared" si="19"/>
        <v>1</v>
      </c>
      <c r="H5017" s="137"/>
      <c r="I5017" s="137"/>
      <c r="J5017" s="135"/>
      <c r="K5017" s="135"/>
      <c r="L5017" s="135"/>
      <c r="M5017" s="135"/>
      <c r="N5017" s="135"/>
      <c r="O5017" s="135"/>
      <c r="P5017" s="135"/>
      <c r="Q5017" s="135"/>
      <c r="R5017" s="135"/>
      <c r="S5017" s="135"/>
      <c r="T5017" s="135"/>
      <c r="U5017" s="135"/>
      <c r="V5017" s="135"/>
      <c r="W5017" s="135"/>
      <c r="X5017" s="135"/>
      <c r="Y5017" s="135"/>
      <c r="Z5017" s="135"/>
    </row>
    <row r="5018" spans="1:26" ht="25.5">
      <c r="A5018" s="136" t="s">
        <v>16</v>
      </c>
      <c r="B5018" s="136" t="s">
        <v>7971</v>
      </c>
      <c r="C5018" s="136" t="s">
        <v>8033</v>
      </c>
      <c r="D5018" s="136" t="s">
        <v>437</v>
      </c>
      <c r="E5018" s="136" t="s">
        <v>594</v>
      </c>
      <c r="F5018" s="136">
        <v>940</v>
      </c>
      <c r="G5018" s="137">
        <f t="shared" si="19"/>
        <v>2</v>
      </c>
      <c r="H5018" s="137"/>
      <c r="I5018" s="137"/>
      <c r="J5018" s="135"/>
      <c r="K5018" s="135"/>
      <c r="L5018" s="135"/>
      <c r="M5018" s="135"/>
      <c r="N5018" s="135"/>
      <c r="O5018" s="135"/>
      <c r="P5018" s="135"/>
      <c r="Q5018" s="135"/>
      <c r="R5018" s="135"/>
      <c r="S5018" s="135"/>
      <c r="T5018" s="135"/>
      <c r="U5018" s="135"/>
      <c r="V5018" s="135"/>
      <c r="W5018" s="135"/>
      <c r="X5018" s="135"/>
      <c r="Y5018" s="135"/>
      <c r="Z5018" s="135"/>
    </row>
    <row r="5019" spans="1:26" ht="25.5">
      <c r="A5019" s="136" t="s">
        <v>16</v>
      </c>
      <c r="B5019" s="136" t="s">
        <v>7971</v>
      </c>
      <c r="C5019" s="136" t="s">
        <v>8033</v>
      </c>
      <c r="D5019" s="136" t="s">
        <v>7544</v>
      </c>
      <c r="E5019" s="136" t="s">
        <v>615</v>
      </c>
      <c r="F5019" s="136">
        <v>477</v>
      </c>
      <c r="G5019" s="137">
        <f t="shared" si="19"/>
        <v>3</v>
      </c>
      <c r="H5019" s="137"/>
      <c r="I5019" s="137"/>
      <c r="J5019" s="135"/>
      <c r="K5019" s="135"/>
      <c r="L5019" s="135"/>
      <c r="M5019" s="135"/>
      <c r="N5019" s="135"/>
      <c r="O5019" s="135"/>
      <c r="P5019" s="135"/>
      <c r="Q5019" s="135"/>
      <c r="R5019" s="135"/>
      <c r="S5019" s="135"/>
      <c r="T5019" s="135"/>
      <c r="U5019" s="135"/>
      <c r="V5019" s="135"/>
      <c r="W5019" s="135"/>
      <c r="X5019" s="135"/>
      <c r="Y5019" s="135"/>
      <c r="Z5019" s="135"/>
    </row>
    <row r="5020" spans="1:26" ht="25.5">
      <c r="A5020" s="136" t="s">
        <v>16</v>
      </c>
      <c r="B5020" s="136" t="s">
        <v>7971</v>
      </c>
      <c r="C5020" s="136" t="s">
        <v>8033</v>
      </c>
      <c r="D5020" s="136" t="s">
        <v>368</v>
      </c>
      <c r="E5020" s="136" t="s">
        <v>594</v>
      </c>
      <c r="F5020" s="136">
        <v>388</v>
      </c>
      <c r="G5020" s="137">
        <f t="shared" si="19"/>
        <v>4</v>
      </c>
      <c r="H5020" s="137"/>
      <c r="I5020" s="137"/>
      <c r="J5020" s="135"/>
      <c r="K5020" s="135"/>
      <c r="L5020" s="135"/>
      <c r="M5020" s="135"/>
      <c r="N5020" s="135"/>
      <c r="O5020" s="135"/>
      <c r="P5020" s="135"/>
      <c r="Q5020" s="135"/>
      <c r="R5020" s="135"/>
      <c r="S5020" s="135"/>
      <c r="T5020" s="135"/>
      <c r="U5020" s="135"/>
      <c r="V5020" s="135"/>
      <c r="W5020" s="135"/>
      <c r="X5020" s="135"/>
      <c r="Y5020" s="135"/>
      <c r="Z5020" s="135"/>
    </row>
    <row r="5021" spans="1:26" ht="25.5">
      <c r="A5021" s="136" t="s">
        <v>16</v>
      </c>
      <c r="B5021" s="136" t="s">
        <v>7971</v>
      </c>
      <c r="C5021" s="136" t="s">
        <v>8033</v>
      </c>
      <c r="D5021" s="136" t="s">
        <v>103</v>
      </c>
      <c r="E5021" s="136" t="s">
        <v>594</v>
      </c>
      <c r="F5021" s="136">
        <v>360</v>
      </c>
      <c r="G5021" s="137">
        <f t="shared" si="19"/>
        <v>5</v>
      </c>
      <c r="H5021" s="137"/>
      <c r="I5021" s="137"/>
      <c r="J5021" s="135"/>
      <c r="K5021" s="135"/>
      <c r="L5021" s="135"/>
      <c r="M5021" s="135"/>
      <c r="N5021" s="135"/>
      <c r="O5021" s="135"/>
      <c r="P5021" s="135"/>
      <c r="Q5021" s="135"/>
      <c r="R5021" s="135"/>
      <c r="S5021" s="135"/>
      <c r="T5021" s="135"/>
      <c r="U5021" s="135"/>
      <c r="V5021" s="135"/>
      <c r="W5021" s="135"/>
      <c r="X5021" s="135"/>
      <c r="Y5021" s="135"/>
      <c r="Z5021" s="135"/>
    </row>
    <row r="5022" spans="1:26" ht="25.5">
      <c r="A5022" s="136" t="s">
        <v>16</v>
      </c>
      <c r="B5022" s="136" t="s">
        <v>7971</v>
      </c>
      <c r="C5022" s="136" t="s">
        <v>8033</v>
      </c>
      <c r="D5022" s="136" t="s">
        <v>131</v>
      </c>
      <c r="E5022" s="136" t="s">
        <v>594</v>
      </c>
      <c r="F5022" s="136">
        <v>330</v>
      </c>
      <c r="G5022" s="137">
        <f t="shared" si="19"/>
        <v>6</v>
      </c>
      <c r="H5022" s="137"/>
      <c r="I5022" s="137"/>
      <c r="J5022" s="135"/>
      <c r="K5022" s="135"/>
      <c r="L5022" s="135"/>
      <c r="M5022" s="135"/>
      <c r="N5022" s="135"/>
      <c r="O5022" s="135"/>
      <c r="P5022" s="135"/>
      <c r="Q5022" s="135"/>
      <c r="R5022" s="135"/>
      <c r="S5022" s="135"/>
      <c r="T5022" s="135"/>
      <c r="U5022" s="135"/>
      <c r="V5022" s="135"/>
      <c r="W5022" s="135"/>
      <c r="X5022" s="135"/>
      <c r="Y5022" s="135"/>
      <c r="Z5022" s="135"/>
    </row>
    <row r="5023" spans="1:26" ht="25.5">
      <c r="A5023" s="136" t="s">
        <v>16</v>
      </c>
      <c r="B5023" s="136" t="s">
        <v>7971</v>
      </c>
      <c r="C5023" s="136" t="s">
        <v>8033</v>
      </c>
      <c r="D5023" s="136" t="s">
        <v>7993</v>
      </c>
      <c r="E5023" s="136" t="s">
        <v>615</v>
      </c>
      <c r="F5023" s="136">
        <v>280</v>
      </c>
      <c r="G5023" s="137">
        <f t="shared" si="19"/>
        <v>7</v>
      </c>
      <c r="H5023" s="137"/>
      <c r="I5023" s="137"/>
      <c r="J5023" s="135"/>
      <c r="K5023" s="135"/>
      <c r="L5023" s="135"/>
      <c r="M5023" s="135"/>
      <c r="N5023" s="135"/>
      <c r="O5023" s="135"/>
      <c r="P5023" s="135"/>
      <c r="Q5023" s="135"/>
      <c r="R5023" s="135"/>
      <c r="S5023" s="135"/>
      <c r="T5023" s="135"/>
      <c r="U5023" s="135"/>
      <c r="V5023" s="135"/>
      <c r="W5023" s="135"/>
      <c r="X5023" s="135"/>
      <c r="Y5023" s="135"/>
      <c r="Z5023" s="135"/>
    </row>
    <row r="5024" spans="1:26" ht="25.5">
      <c r="A5024" s="136" t="s">
        <v>16</v>
      </c>
      <c r="B5024" s="136" t="s">
        <v>7971</v>
      </c>
      <c r="C5024" s="136" t="s">
        <v>8033</v>
      </c>
      <c r="D5024" s="136" t="s">
        <v>1626</v>
      </c>
      <c r="E5024" s="136" t="s">
        <v>594</v>
      </c>
      <c r="F5024" s="136">
        <v>160</v>
      </c>
      <c r="G5024" s="137">
        <f t="shared" si="19"/>
        <v>8</v>
      </c>
      <c r="H5024" s="137"/>
      <c r="I5024" s="137"/>
      <c r="J5024" s="135"/>
      <c r="K5024" s="135"/>
      <c r="L5024" s="135"/>
      <c r="M5024" s="135"/>
      <c r="N5024" s="135"/>
      <c r="O5024" s="135"/>
      <c r="P5024" s="135"/>
      <c r="Q5024" s="135"/>
      <c r="R5024" s="135"/>
      <c r="S5024" s="135"/>
      <c r="T5024" s="135"/>
      <c r="U5024" s="135"/>
      <c r="V5024" s="135"/>
      <c r="W5024" s="135"/>
      <c r="X5024" s="135"/>
      <c r="Y5024" s="135"/>
      <c r="Z5024" s="135"/>
    </row>
    <row r="5025" spans="1:26" ht="25.5">
      <c r="A5025" s="136" t="s">
        <v>16</v>
      </c>
      <c r="B5025" s="136" t="s">
        <v>7971</v>
      </c>
      <c r="C5025" s="136" t="s">
        <v>8033</v>
      </c>
      <c r="D5025" s="136" t="s">
        <v>136</v>
      </c>
      <c r="E5025" s="136" t="s">
        <v>615</v>
      </c>
      <c r="F5025" s="136">
        <v>160</v>
      </c>
      <c r="G5025" s="137">
        <f t="shared" si="19"/>
        <v>9</v>
      </c>
      <c r="H5025" s="137"/>
      <c r="I5025" s="137"/>
      <c r="J5025" s="135"/>
      <c r="K5025" s="135"/>
      <c r="L5025" s="135"/>
      <c r="M5025" s="135"/>
      <c r="N5025" s="135"/>
      <c r="O5025" s="135"/>
      <c r="P5025" s="135"/>
      <c r="Q5025" s="135"/>
      <c r="R5025" s="135"/>
      <c r="S5025" s="135"/>
      <c r="T5025" s="135"/>
      <c r="U5025" s="135"/>
      <c r="V5025" s="135"/>
      <c r="W5025" s="135"/>
      <c r="X5025" s="135"/>
      <c r="Y5025" s="135"/>
      <c r="Z5025" s="135"/>
    </row>
    <row r="5026" spans="1:26" ht="25.5">
      <c r="A5026" s="136" t="s">
        <v>16</v>
      </c>
      <c r="B5026" s="136" t="s">
        <v>7971</v>
      </c>
      <c r="C5026" s="136" t="s">
        <v>8033</v>
      </c>
      <c r="D5026" s="136" t="s">
        <v>7943</v>
      </c>
      <c r="E5026" s="136" t="s">
        <v>615</v>
      </c>
      <c r="F5026" s="136">
        <v>120</v>
      </c>
      <c r="G5026" s="137">
        <f t="shared" si="19"/>
        <v>10</v>
      </c>
      <c r="H5026" s="137"/>
      <c r="I5026" s="137"/>
      <c r="J5026" s="135"/>
      <c r="K5026" s="135"/>
      <c r="L5026" s="135"/>
      <c r="M5026" s="135"/>
      <c r="N5026" s="135"/>
      <c r="O5026" s="135"/>
      <c r="P5026" s="135"/>
      <c r="Q5026" s="135"/>
      <c r="R5026" s="135"/>
      <c r="S5026" s="135"/>
      <c r="T5026" s="135"/>
      <c r="U5026" s="135"/>
      <c r="V5026" s="135"/>
      <c r="W5026" s="135"/>
      <c r="X5026" s="135"/>
      <c r="Y5026" s="135"/>
      <c r="Z5026" s="135"/>
    </row>
    <row r="5027" spans="1:26" ht="25.5">
      <c r="A5027" s="136" t="s">
        <v>16</v>
      </c>
      <c r="B5027" s="136" t="s">
        <v>7971</v>
      </c>
      <c r="C5027" s="136" t="s">
        <v>8033</v>
      </c>
      <c r="D5027" s="136" t="s">
        <v>7767</v>
      </c>
      <c r="E5027" s="136" t="s">
        <v>594</v>
      </c>
      <c r="F5027" s="136">
        <v>100</v>
      </c>
      <c r="G5027" s="137">
        <f t="shared" si="19"/>
        <v>11</v>
      </c>
      <c r="H5027" s="137"/>
      <c r="I5027" s="137"/>
      <c r="J5027" s="135"/>
      <c r="K5027" s="135"/>
      <c r="L5027" s="135"/>
      <c r="M5027" s="135"/>
      <c r="N5027" s="135"/>
      <c r="O5027" s="135"/>
      <c r="P5027" s="135"/>
      <c r="Q5027" s="135"/>
      <c r="R5027" s="135"/>
      <c r="S5027" s="135"/>
      <c r="T5027" s="135"/>
      <c r="U5027" s="135"/>
      <c r="V5027" s="135"/>
      <c r="W5027" s="135"/>
      <c r="X5027" s="135"/>
      <c r="Y5027" s="135"/>
      <c r="Z5027" s="135"/>
    </row>
    <row r="5028" spans="1:26" ht="25.5">
      <c r="A5028" s="136" t="s">
        <v>16</v>
      </c>
      <c r="B5028" s="136" t="s">
        <v>7971</v>
      </c>
      <c r="C5028" s="136" t="s">
        <v>8033</v>
      </c>
      <c r="D5028" s="136" t="s">
        <v>1673</v>
      </c>
      <c r="E5028" s="136" t="s">
        <v>615</v>
      </c>
      <c r="F5028" s="136">
        <v>100</v>
      </c>
      <c r="G5028" s="137">
        <f t="shared" si="19"/>
        <v>12</v>
      </c>
      <c r="H5028" s="137"/>
      <c r="I5028" s="137"/>
      <c r="J5028" s="135"/>
      <c r="K5028" s="135"/>
      <c r="L5028" s="135"/>
      <c r="M5028" s="135"/>
      <c r="N5028" s="135"/>
      <c r="O5028" s="135"/>
      <c r="P5028" s="135"/>
      <c r="Q5028" s="135"/>
      <c r="R5028" s="135"/>
      <c r="S5028" s="135"/>
      <c r="T5028" s="135"/>
      <c r="U5028" s="135"/>
      <c r="V5028" s="135"/>
      <c r="W5028" s="135"/>
      <c r="X5028" s="135"/>
      <c r="Y5028" s="135"/>
      <c r="Z5028" s="135"/>
    </row>
    <row r="5029" spans="1:26" ht="25.5">
      <c r="A5029" s="136" t="s">
        <v>16</v>
      </c>
      <c r="B5029" s="136" t="s">
        <v>7971</v>
      </c>
      <c r="C5029" s="136" t="s">
        <v>8033</v>
      </c>
      <c r="D5029" s="136" t="s">
        <v>1680</v>
      </c>
      <c r="E5029" s="136" t="s">
        <v>615</v>
      </c>
      <c r="F5029" s="136">
        <v>100</v>
      </c>
      <c r="G5029" s="137">
        <f t="shared" si="19"/>
        <v>13</v>
      </c>
      <c r="H5029" s="137"/>
      <c r="I5029" s="137"/>
      <c r="J5029" s="135"/>
      <c r="K5029" s="135"/>
      <c r="L5029" s="135"/>
      <c r="M5029" s="135"/>
      <c r="N5029" s="135"/>
      <c r="O5029" s="135"/>
      <c r="P5029" s="135"/>
      <c r="Q5029" s="135"/>
      <c r="R5029" s="135"/>
      <c r="S5029" s="135"/>
      <c r="T5029" s="135"/>
      <c r="U5029" s="135"/>
      <c r="V5029" s="135"/>
      <c r="W5029" s="135"/>
      <c r="X5029" s="135"/>
      <c r="Y5029" s="135"/>
      <c r="Z5029" s="135"/>
    </row>
    <row r="5030" spans="1:26" ht="25.5">
      <c r="A5030" s="136" t="s">
        <v>16</v>
      </c>
      <c r="B5030" s="136" t="s">
        <v>7971</v>
      </c>
      <c r="C5030" s="136" t="s">
        <v>8033</v>
      </c>
      <c r="D5030" s="136" t="s">
        <v>1656</v>
      </c>
      <c r="E5030" s="136" t="s">
        <v>615</v>
      </c>
      <c r="F5030" s="136">
        <v>80</v>
      </c>
      <c r="G5030" s="137">
        <f t="shared" si="19"/>
        <v>14</v>
      </c>
      <c r="H5030" s="137"/>
      <c r="I5030" s="137"/>
      <c r="J5030" s="135"/>
      <c r="K5030" s="135"/>
      <c r="L5030" s="135"/>
      <c r="M5030" s="135"/>
      <c r="N5030" s="135"/>
      <c r="O5030" s="135"/>
      <c r="P5030" s="135"/>
      <c r="Q5030" s="135"/>
      <c r="R5030" s="135"/>
      <c r="S5030" s="135"/>
      <c r="T5030" s="135"/>
      <c r="U5030" s="135"/>
      <c r="V5030" s="135"/>
      <c r="W5030" s="135"/>
      <c r="X5030" s="135"/>
      <c r="Y5030" s="135"/>
      <c r="Z5030" s="135"/>
    </row>
    <row r="5031" spans="1:26" ht="25.5">
      <c r="A5031" s="136" t="s">
        <v>16</v>
      </c>
      <c r="B5031" s="136" t="s">
        <v>7971</v>
      </c>
      <c r="C5031" s="136" t="s">
        <v>8033</v>
      </c>
      <c r="D5031" s="136" t="s">
        <v>7481</v>
      </c>
      <c r="E5031" s="136" t="s">
        <v>615</v>
      </c>
      <c r="F5031" s="136">
        <v>50</v>
      </c>
      <c r="G5031" s="137">
        <f t="shared" si="19"/>
        <v>15</v>
      </c>
      <c r="H5031" s="137"/>
      <c r="I5031" s="137"/>
      <c r="J5031" s="135"/>
      <c r="K5031" s="135"/>
      <c r="L5031" s="135"/>
      <c r="M5031" s="135"/>
      <c r="N5031" s="135"/>
      <c r="O5031" s="135"/>
      <c r="P5031" s="135"/>
      <c r="Q5031" s="135"/>
      <c r="R5031" s="135"/>
      <c r="S5031" s="135"/>
      <c r="T5031" s="135"/>
      <c r="U5031" s="135"/>
      <c r="V5031" s="135"/>
      <c r="W5031" s="135"/>
      <c r="X5031" s="135"/>
      <c r="Y5031" s="135"/>
      <c r="Z5031" s="135"/>
    </row>
    <row r="5032" spans="1:26" ht="25.5">
      <c r="A5032" s="136" t="s">
        <v>16</v>
      </c>
      <c r="B5032" s="136" t="s">
        <v>7971</v>
      </c>
      <c r="C5032" s="136" t="s">
        <v>8033</v>
      </c>
      <c r="D5032" s="136" t="s">
        <v>8034</v>
      </c>
      <c r="E5032" s="136" t="s">
        <v>615</v>
      </c>
      <c r="F5032" s="136">
        <v>40</v>
      </c>
      <c r="G5032" s="137">
        <f t="shared" si="19"/>
        <v>16</v>
      </c>
      <c r="H5032" s="137"/>
      <c r="I5032" s="137"/>
      <c r="J5032" s="135"/>
      <c r="K5032" s="135"/>
      <c r="L5032" s="135"/>
      <c r="M5032" s="135"/>
      <c r="N5032" s="135"/>
      <c r="O5032" s="135"/>
      <c r="P5032" s="135"/>
      <c r="Q5032" s="135"/>
      <c r="R5032" s="135"/>
      <c r="S5032" s="135"/>
      <c r="T5032" s="135"/>
      <c r="U5032" s="135"/>
      <c r="V5032" s="135"/>
      <c r="W5032" s="135"/>
      <c r="X5032" s="135"/>
      <c r="Y5032" s="135"/>
      <c r="Z5032" s="135"/>
    </row>
    <row r="5033" spans="1:26" ht="25.5">
      <c r="A5033" s="136" t="s">
        <v>16</v>
      </c>
      <c r="B5033" s="136" t="s">
        <v>7971</v>
      </c>
      <c r="C5033" s="136" t="s">
        <v>8033</v>
      </c>
      <c r="D5033" s="136" t="s">
        <v>7685</v>
      </c>
      <c r="E5033" s="136" t="s">
        <v>594</v>
      </c>
      <c r="F5033" s="136">
        <v>38</v>
      </c>
      <c r="G5033" s="137">
        <f t="shared" si="19"/>
        <v>17</v>
      </c>
      <c r="H5033" s="137"/>
      <c r="I5033" s="137"/>
      <c r="J5033" s="135"/>
      <c r="K5033" s="135"/>
      <c r="L5033" s="135"/>
      <c r="M5033" s="135"/>
      <c r="N5033" s="135"/>
      <c r="O5033" s="135"/>
      <c r="P5033" s="135"/>
      <c r="Q5033" s="135"/>
      <c r="R5033" s="135"/>
      <c r="S5033" s="135"/>
      <c r="T5033" s="135"/>
      <c r="U5033" s="135"/>
      <c r="V5033" s="135"/>
      <c r="W5033" s="135"/>
      <c r="X5033" s="135"/>
      <c r="Y5033" s="135"/>
      <c r="Z5033" s="135"/>
    </row>
    <row r="5034" spans="1:26" ht="25.5">
      <c r="A5034" s="136" t="s">
        <v>16</v>
      </c>
      <c r="B5034" s="136" t="s">
        <v>7971</v>
      </c>
      <c r="C5034" s="136" t="s">
        <v>8033</v>
      </c>
      <c r="D5034" s="136" t="s">
        <v>8008</v>
      </c>
      <c r="E5034" s="136" t="s">
        <v>615</v>
      </c>
      <c r="F5034" s="136">
        <v>30</v>
      </c>
      <c r="G5034" s="137">
        <f t="shared" si="19"/>
        <v>18</v>
      </c>
      <c r="H5034" s="137"/>
      <c r="I5034" s="137"/>
      <c r="J5034" s="135"/>
      <c r="K5034" s="135"/>
      <c r="L5034" s="135"/>
      <c r="M5034" s="135"/>
      <c r="N5034" s="135"/>
      <c r="O5034" s="135"/>
      <c r="P5034" s="135"/>
      <c r="Q5034" s="135"/>
      <c r="R5034" s="135"/>
      <c r="S5034" s="135"/>
      <c r="T5034" s="135"/>
      <c r="U5034" s="135"/>
      <c r="V5034" s="135"/>
      <c r="W5034" s="135"/>
      <c r="X5034" s="135"/>
      <c r="Y5034" s="135"/>
      <c r="Z5034" s="135"/>
    </row>
    <row r="5035" spans="1:26" ht="25.5">
      <c r="A5035" s="136" t="s">
        <v>16</v>
      </c>
      <c r="B5035" s="136" t="s">
        <v>7971</v>
      </c>
      <c r="C5035" s="136" t="s">
        <v>8033</v>
      </c>
      <c r="D5035" s="136" t="s">
        <v>114</v>
      </c>
      <c r="E5035" s="136" t="s">
        <v>85</v>
      </c>
      <c r="F5035" s="136">
        <v>7</v>
      </c>
      <c r="G5035" s="137">
        <f t="shared" si="19"/>
        <v>19</v>
      </c>
      <c r="H5035" s="137"/>
      <c r="I5035" s="137"/>
      <c r="J5035" s="135"/>
      <c r="K5035" s="135"/>
      <c r="L5035" s="135"/>
      <c r="M5035" s="135"/>
      <c r="N5035" s="135"/>
      <c r="O5035" s="135"/>
      <c r="P5035" s="135"/>
      <c r="Q5035" s="135"/>
      <c r="R5035" s="135"/>
      <c r="S5035" s="135"/>
      <c r="T5035" s="135"/>
      <c r="U5035" s="135"/>
      <c r="V5035" s="135"/>
      <c r="W5035" s="135"/>
      <c r="X5035" s="135"/>
      <c r="Y5035" s="135"/>
      <c r="Z5035" s="135"/>
    </row>
    <row r="5036" spans="1:26" ht="25.5">
      <c r="A5036" s="136" t="s">
        <v>16</v>
      </c>
      <c r="B5036" s="136" t="s">
        <v>7971</v>
      </c>
      <c r="C5036" s="136" t="s">
        <v>8033</v>
      </c>
      <c r="D5036" s="136" t="s">
        <v>8035</v>
      </c>
      <c r="E5036" s="136" t="s">
        <v>86</v>
      </c>
      <c r="F5036" s="136">
        <v>4</v>
      </c>
      <c r="G5036" s="137">
        <f t="shared" si="19"/>
        <v>20</v>
      </c>
      <c r="H5036" s="137"/>
      <c r="I5036" s="137"/>
      <c r="J5036" s="135"/>
      <c r="K5036" s="135"/>
      <c r="L5036" s="135"/>
      <c r="M5036" s="135"/>
      <c r="N5036" s="135"/>
      <c r="O5036" s="135"/>
      <c r="P5036" s="135"/>
      <c r="Q5036" s="135"/>
      <c r="R5036" s="135"/>
      <c r="S5036" s="135"/>
      <c r="T5036" s="135"/>
      <c r="U5036" s="135"/>
      <c r="V5036" s="135"/>
      <c r="W5036" s="135"/>
      <c r="X5036" s="135"/>
      <c r="Y5036" s="135"/>
      <c r="Z5036" s="135"/>
    </row>
    <row r="5037" spans="1:26" ht="25.5">
      <c r="A5037" s="136" t="s">
        <v>16</v>
      </c>
      <c r="B5037" s="136" t="s">
        <v>7971</v>
      </c>
      <c r="C5037" s="136" t="s">
        <v>8036</v>
      </c>
      <c r="D5037" s="136" t="s">
        <v>139</v>
      </c>
      <c r="E5037" s="136" t="s">
        <v>594</v>
      </c>
      <c r="F5037" s="136">
        <v>2460</v>
      </c>
      <c r="G5037" s="137">
        <f t="shared" si="19"/>
        <v>1</v>
      </c>
      <c r="H5037" s="137"/>
      <c r="I5037" s="137"/>
      <c r="J5037" s="135"/>
      <c r="K5037" s="135"/>
      <c r="L5037" s="135"/>
      <c r="M5037" s="135"/>
      <c r="N5037" s="135"/>
      <c r="O5037" s="135"/>
      <c r="P5037" s="135"/>
      <c r="Q5037" s="135"/>
      <c r="R5037" s="135"/>
      <c r="S5037" s="135"/>
      <c r="T5037" s="135"/>
      <c r="U5037" s="135"/>
      <c r="V5037" s="135"/>
      <c r="W5037" s="135"/>
      <c r="X5037" s="135"/>
      <c r="Y5037" s="135"/>
      <c r="Z5037" s="135"/>
    </row>
    <row r="5038" spans="1:26" ht="25.5">
      <c r="A5038" s="136" t="s">
        <v>16</v>
      </c>
      <c r="B5038" s="136" t="s">
        <v>7971</v>
      </c>
      <c r="C5038" s="136" t="s">
        <v>8036</v>
      </c>
      <c r="D5038" s="136" t="s">
        <v>7993</v>
      </c>
      <c r="E5038" s="136" t="s">
        <v>615</v>
      </c>
      <c r="F5038" s="136">
        <v>530</v>
      </c>
      <c r="G5038" s="137">
        <f t="shared" si="19"/>
        <v>2</v>
      </c>
      <c r="H5038" s="137"/>
      <c r="I5038" s="137"/>
      <c r="J5038" s="135"/>
      <c r="K5038" s="135"/>
      <c r="L5038" s="135"/>
      <c r="M5038" s="135"/>
      <c r="N5038" s="135"/>
      <c r="O5038" s="135"/>
      <c r="P5038" s="135"/>
      <c r="Q5038" s="135"/>
      <c r="R5038" s="135"/>
      <c r="S5038" s="135"/>
      <c r="T5038" s="135"/>
      <c r="U5038" s="135"/>
      <c r="V5038" s="135"/>
      <c r="W5038" s="135"/>
      <c r="X5038" s="135"/>
      <c r="Y5038" s="135"/>
      <c r="Z5038" s="135"/>
    </row>
    <row r="5039" spans="1:26" ht="25.5">
      <c r="A5039" s="136" t="s">
        <v>16</v>
      </c>
      <c r="B5039" s="136" t="s">
        <v>7971</v>
      </c>
      <c r="C5039" s="136" t="s">
        <v>8036</v>
      </c>
      <c r="D5039" s="136" t="s">
        <v>368</v>
      </c>
      <c r="E5039" s="136" t="s">
        <v>594</v>
      </c>
      <c r="F5039" s="136">
        <v>499</v>
      </c>
      <c r="G5039" s="137">
        <f t="shared" si="19"/>
        <v>3</v>
      </c>
      <c r="H5039" s="137"/>
      <c r="I5039" s="137"/>
      <c r="J5039" s="135"/>
      <c r="K5039" s="135"/>
      <c r="L5039" s="135"/>
      <c r="M5039" s="135"/>
      <c r="N5039" s="135"/>
      <c r="O5039" s="135"/>
      <c r="P5039" s="135"/>
      <c r="Q5039" s="135"/>
      <c r="R5039" s="135"/>
      <c r="S5039" s="135"/>
      <c r="T5039" s="135"/>
      <c r="U5039" s="135"/>
      <c r="V5039" s="135"/>
      <c r="W5039" s="135"/>
      <c r="X5039" s="135"/>
      <c r="Y5039" s="135"/>
      <c r="Z5039" s="135"/>
    </row>
    <row r="5040" spans="1:26" ht="25.5">
      <c r="A5040" s="136" t="s">
        <v>16</v>
      </c>
      <c r="B5040" s="136" t="s">
        <v>7971</v>
      </c>
      <c r="C5040" s="136" t="s">
        <v>8036</v>
      </c>
      <c r="D5040" s="136" t="s">
        <v>158</v>
      </c>
      <c r="E5040" s="136" t="s">
        <v>615</v>
      </c>
      <c r="F5040" s="136">
        <v>480</v>
      </c>
      <c r="G5040" s="137">
        <f t="shared" si="19"/>
        <v>4</v>
      </c>
      <c r="H5040" s="137"/>
      <c r="I5040" s="137"/>
      <c r="J5040" s="135"/>
      <c r="K5040" s="135"/>
      <c r="L5040" s="135"/>
      <c r="M5040" s="135"/>
      <c r="N5040" s="135"/>
      <c r="O5040" s="135"/>
      <c r="P5040" s="135"/>
      <c r="Q5040" s="135"/>
      <c r="R5040" s="135"/>
      <c r="S5040" s="135"/>
      <c r="T5040" s="135"/>
      <c r="U5040" s="135"/>
      <c r="V5040" s="135"/>
      <c r="W5040" s="135"/>
      <c r="X5040" s="135"/>
      <c r="Y5040" s="135"/>
      <c r="Z5040" s="135"/>
    </row>
    <row r="5041" spans="1:26" ht="25.5">
      <c r="A5041" s="136" t="s">
        <v>16</v>
      </c>
      <c r="B5041" s="136" t="s">
        <v>7971</v>
      </c>
      <c r="C5041" s="136" t="s">
        <v>8036</v>
      </c>
      <c r="D5041" s="136" t="s">
        <v>1680</v>
      </c>
      <c r="E5041" s="136" t="s">
        <v>615</v>
      </c>
      <c r="F5041" s="136">
        <v>300</v>
      </c>
      <c r="G5041" s="137">
        <f t="shared" si="19"/>
        <v>5</v>
      </c>
      <c r="H5041" s="137"/>
      <c r="I5041" s="137"/>
      <c r="J5041" s="135"/>
      <c r="K5041" s="135"/>
      <c r="L5041" s="135"/>
      <c r="M5041" s="135"/>
      <c r="N5041" s="135"/>
      <c r="O5041" s="135"/>
      <c r="P5041" s="135"/>
      <c r="Q5041" s="135"/>
      <c r="R5041" s="135"/>
      <c r="S5041" s="135"/>
      <c r="T5041" s="135"/>
      <c r="U5041" s="135"/>
      <c r="V5041" s="135"/>
      <c r="W5041" s="135"/>
      <c r="X5041" s="135"/>
      <c r="Y5041" s="135"/>
      <c r="Z5041" s="135"/>
    </row>
    <row r="5042" spans="1:26" ht="25.5">
      <c r="A5042" s="136" t="s">
        <v>16</v>
      </c>
      <c r="B5042" s="136" t="s">
        <v>7971</v>
      </c>
      <c r="C5042" s="136" t="s">
        <v>8036</v>
      </c>
      <c r="D5042" s="136" t="s">
        <v>165</v>
      </c>
      <c r="E5042" s="136" t="s">
        <v>615</v>
      </c>
      <c r="F5042" s="136">
        <v>235</v>
      </c>
      <c r="G5042" s="137">
        <f t="shared" si="19"/>
        <v>6</v>
      </c>
      <c r="H5042" s="137"/>
      <c r="I5042" s="137"/>
      <c r="J5042" s="135"/>
      <c r="K5042" s="135"/>
      <c r="L5042" s="135"/>
      <c r="M5042" s="135"/>
      <c r="N5042" s="135"/>
      <c r="O5042" s="135"/>
      <c r="P5042" s="135"/>
      <c r="Q5042" s="135"/>
      <c r="R5042" s="135"/>
      <c r="S5042" s="135"/>
      <c r="T5042" s="135"/>
      <c r="U5042" s="135"/>
      <c r="V5042" s="135"/>
      <c r="W5042" s="135"/>
      <c r="X5042" s="135"/>
      <c r="Y5042" s="135"/>
      <c r="Z5042" s="135"/>
    </row>
    <row r="5043" spans="1:26" ht="25.5">
      <c r="A5043" s="136" t="s">
        <v>16</v>
      </c>
      <c r="B5043" s="136" t="s">
        <v>7971</v>
      </c>
      <c r="C5043" s="136" t="s">
        <v>8036</v>
      </c>
      <c r="D5043" s="136" t="s">
        <v>7685</v>
      </c>
      <c r="E5043" s="136" t="s">
        <v>594</v>
      </c>
      <c r="F5043" s="136">
        <v>231</v>
      </c>
      <c r="G5043" s="137">
        <f t="shared" si="19"/>
        <v>7</v>
      </c>
      <c r="H5043" s="137"/>
      <c r="I5043" s="137"/>
      <c r="J5043" s="135"/>
      <c r="K5043" s="135"/>
      <c r="L5043" s="135"/>
      <c r="M5043" s="135"/>
      <c r="N5043" s="135"/>
      <c r="O5043" s="135"/>
      <c r="P5043" s="135"/>
      <c r="Q5043" s="135"/>
      <c r="R5043" s="135"/>
      <c r="S5043" s="135"/>
      <c r="T5043" s="135"/>
      <c r="U5043" s="135"/>
      <c r="V5043" s="135"/>
      <c r="W5043" s="135"/>
      <c r="X5043" s="135"/>
      <c r="Y5043" s="135"/>
      <c r="Z5043" s="135"/>
    </row>
    <row r="5044" spans="1:26" ht="25.5">
      <c r="A5044" s="136" t="s">
        <v>16</v>
      </c>
      <c r="B5044" s="136" t="s">
        <v>7971</v>
      </c>
      <c r="C5044" s="136" t="s">
        <v>8036</v>
      </c>
      <c r="D5044" s="136" t="s">
        <v>1626</v>
      </c>
      <c r="E5044" s="136" t="s">
        <v>594</v>
      </c>
      <c r="F5044" s="136">
        <v>215</v>
      </c>
      <c r="G5044" s="137">
        <f t="shared" si="19"/>
        <v>8</v>
      </c>
      <c r="H5044" s="137"/>
      <c r="I5044" s="137"/>
      <c r="J5044" s="135"/>
      <c r="K5044" s="135"/>
      <c r="L5044" s="135"/>
      <c r="M5044" s="135"/>
      <c r="N5044" s="135"/>
      <c r="O5044" s="135"/>
      <c r="P5044" s="135"/>
      <c r="Q5044" s="135"/>
      <c r="R5044" s="135"/>
      <c r="S5044" s="135"/>
      <c r="T5044" s="135"/>
      <c r="U5044" s="135"/>
      <c r="V5044" s="135"/>
      <c r="W5044" s="135"/>
      <c r="X5044" s="135"/>
      <c r="Y5044" s="135"/>
      <c r="Z5044" s="135"/>
    </row>
    <row r="5045" spans="1:26" ht="25.5">
      <c r="A5045" s="136" t="s">
        <v>16</v>
      </c>
      <c r="B5045" s="136" t="s">
        <v>7971</v>
      </c>
      <c r="C5045" s="136" t="s">
        <v>8036</v>
      </c>
      <c r="D5045" s="136" t="s">
        <v>1656</v>
      </c>
      <c r="E5045" s="136" t="s">
        <v>615</v>
      </c>
      <c r="F5045" s="136">
        <v>190</v>
      </c>
      <c r="G5045" s="137">
        <f t="shared" si="19"/>
        <v>9</v>
      </c>
      <c r="H5045" s="137"/>
      <c r="I5045" s="137"/>
      <c r="J5045" s="135"/>
      <c r="K5045" s="135"/>
      <c r="L5045" s="135"/>
      <c r="M5045" s="135"/>
      <c r="N5045" s="135"/>
      <c r="O5045" s="135"/>
      <c r="P5045" s="135"/>
      <c r="Q5045" s="135"/>
      <c r="R5045" s="135"/>
      <c r="S5045" s="135"/>
      <c r="T5045" s="135"/>
      <c r="U5045" s="135"/>
      <c r="V5045" s="135"/>
      <c r="W5045" s="135"/>
      <c r="X5045" s="135"/>
      <c r="Y5045" s="135"/>
      <c r="Z5045" s="135"/>
    </row>
    <row r="5046" spans="1:26" ht="25.5">
      <c r="A5046" s="136" t="s">
        <v>16</v>
      </c>
      <c r="B5046" s="136" t="s">
        <v>7971</v>
      </c>
      <c r="C5046" s="136" t="s">
        <v>8036</v>
      </c>
      <c r="D5046" s="136" t="s">
        <v>7943</v>
      </c>
      <c r="E5046" s="136" t="s">
        <v>615</v>
      </c>
      <c r="F5046" s="136">
        <v>149</v>
      </c>
      <c r="G5046" s="137">
        <f t="shared" si="19"/>
        <v>10</v>
      </c>
      <c r="H5046" s="137"/>
      <c r="I5046" s="137"/>
      <c r="J5046" s="135"/>
      <c r="K5046" s="135"/>
      <c r="L5046" s="135"/>
      <c r="M5046" s="135"/>
      <c r="N5046" s="135"/>
      <c r="O5046" s="135"/>
      <c r="P5046" s="135"/>
      <c r="Q5046" s="135"/>
      <c r="R5046" s="135"/>
      <c r="S5046" s="135"/>
      <c r="T5046" s="135"/>
      <c r="U5046" s="135"/>
      <c r="V5046" s="135"/>
      <c r="W5046" s="135"/>
      <c r="X5046" s="135"/>
      <c r="Y5046" s="135"/>
      <c r="Z5046" s="135"/>
    </row>
    <row r="5047" spans="1:26" ht="25.5">
      <c r="A5047" s="136" t="s">
        <v>16</v>
      </c>
      <c r="B5047" s="136" t="s">
        <v>7971</v>
      </c>
      <c r="C5047" s="136" t="s">
        <v>8036</v>
      </c>
      <c r="D5047" s="136" t="s">
        <v>136</v>
      </c>
      <c r="E5047" s="136" t="s">
        <v>615</v>
      </c>
      <c r="F5047" s="136">
        <v>141</v>
      </c>
      <c r="G5047" s="137">
        <f t="shared" si="19"/>
        <v>11</v>
      </c>
      <c r="H5047" s="137"/>
      <c r="I5047" s="137"/>
      <c r="J5047" s="135"/>
      <c r="K5047" s="135"/>
      <c r="L5047" s="135"/>
      <c r="M5047" s="135"/>
      <c r="N5047" s="135"/>
      <c r="O5047" s="135"/>
      <c r="P5047" s="135"/>
      <c r="Q5047" s="135"/>
      <c r="R5047" s="135"/>
      <c r="S5047" s="135"/>
      <c r="T5047" s="135"/>
      <c r="U5047" s="135"/>
      <c r="V5047" s="135"/>
      <c r="W5047" s="135"/>
      <c r="X5047" s="135"/>
      <c r="Y5047" s="135"/>
      <c r="Z5047" s="135"/>
    </row>
    <row r="5048" spans="1:26" ht="25.5">
      <c r="A5048" s="136" t="s">
        <v>16</v>
      </c>
      <c r="B5048" s="136" t="s">
        <v>7971</v>
      </c>
      <c r="C5048" s="136" t="s">
        <v>8036</v>
      </c>
      <c r="D5048" s="136" t="s">
        <v>7985</v>
      </c>
      <c r="E5048" s="136" t="s">
        <v>615</v>
      </c>
      <c r="F5048" s="136">
        <v>65</v>
      </c>
      <c r="G5048" s="137">
        <f t="shared" si="19"/>
        <v>12</v>
      </c>
      <c r="H5048" s="137"/>
      <c r="I5048" s="137"/>
      <c r="J5048" s="135"/>
      <c r="K5048" s="135"/>
      <c r="L5048" s="135"/>
      <c r="M5048" s="135"/>
      <c r="N5048" s="135"/>
      <c r="O5048" s="135"/>
      <c r="P5048" s="135"/>
      <c r="Q5048" s="135"/>
      <c r="R5048" s="135"/>
      <c r="S5048" s="135"/>
      <c r="T5048" s="135"/>
      <c r="U5048" s="135"/>
      <c r="V5048" s="135"/>
      <c r="W5048" s="135"/>
      <c r="X5048" s="135"/>
      <c r="Y5048" s="135"/>
      <c r="Z5048" s="135"/>
    </row>
    <row r="5049" spans="1:26" ht="25.5">
      <c r="A5049" s="136" t="s">
        <v>16</v>
      </c>
      <c r="B5049" s="136" t="s">
        <v>7971</v>
      </c>
      <c r="C5049" s="136" t="s">
        <v>8036</v>
      </c>
      <c r="D5049" s="136" t="s">
        <v>7481</v>
      </c>
      <c r="E5049" s="136" t="s">
        <v>615</v>
      </c>
      <c r="F5049" s="136">
        <v>52</v>
      </c>
      <c r="G5049" s="137">
        <f t="shared" si="19"/>
        <v>13</v>
      </c>
      <c r="H5049" s="137"/>
      <c r="I5049" s="137"/>
      <c r="J5049" s="135"/>
      <c r="K5049" s="135"/>
      <c r="L5049" s="135"/>
      <c r="M5049" s="135"/>
      <c r="N5049" s="135"/>
      <c r="O5049" s="135"/>
      <c r="P5049" s="135"/>
      <c r="Q5049" s="135"/>
      <c r="R5049" s="135"/>
      <c r="S5049" s="135"/>
      <c r="T5049" s="135"/>
      <c r="U5049" s="135"/>
      <c r="V5049" s="135"/>
      <c r="W5049" s="135"/>
      <c r="X5049" s="135"/>
      <c r="Y5049" s="135"/>
      <c r="Z5049" s="135"/>
    </row>
    <row r="5050" spans="1:26" ht="25.5">
      <c r="A5050" s="136" t="s">
        <v>16</v>
      </c>
      <c r="B5050" s="136" t="s">
        <v>7971</v>
      </c>
      <c r="C5050" s="136" t="s">
        <v>8036</v>
      </c>
      <c r="D5050" s="136" t="s">
        <v>1675</v>
      </c>
      <c r="E5050" s="136" t="s">
        <v>615</v>
      </c>
      <c r="F5050" s="136">
        <v>50</v>
      </c>
      <c r="G5050" s="137">
        <f t="shared" si="19"/>
        <v>14</v>
      </c>
      <c r="H5050" s="137"/>
      <c r="I5050" s="137"/>
      <c r="J5050" s="135"/>
      <c r="K5050" s="135"/>
      <c r="L5050" s="135"/>
      <c r="M5050" s="135"/>
      <c r="N5050" s="135"/>
      <c r="O5050" s="135"/>
      <c r="P5050" s="135"/>
      <c r="Q5050" s="135"/>
      <c r="R5050" s="135"/>
      <c r="S5050" s="135"/>
      <c r="T5050" s="135"/>
      <c r="U5050" s="135"/>
      <c r="V5050" s="135"/>
      <c r="W5050" s="135"/>
      <c r="X5050" s="135"/>
      <c r="Y5050" s="135"/>
      <c r="Z5050" s="135"/>
    </row>
    <row r="5051" spans="1:26" ht="25.5">
      <c r="A5051" s="136" t="s">
        <v>16</v>
      </c>
      <c r="B5051" s="136" t="s">
        <v>7971</v>
      </c>
      <c r="C5051" s="136" t="s">
        <v>8036</v>
      </c>
      <c r="D5051" s="136" t="s">
        <v>8037</v>
      </c>
      <c r="E5051" s="136" t="s">
        <v>615</v>
      </c>
      <c r="F5051" s="136">
        <v>50</v>
      </c>
      <c r="G5051" s="137">
        <f t="shared" si="19"/>
        <v>15</v>
      </c>
      <c r="H5051" s="137"/>
      <c r="I5051" s="137"/>
      <c r="J5051" s="135"/>
      <c r="K5051" s="135"/>
      <c r="L5051" s="135"/>
      <c r="M5051" s="135"/>
      <c r="N5051" s="135"/>
      <c r="O5051" s="135"/>
      <c r="P5051" s="135"/>
      <c r="Q5051" s="135"/>
      <c r="R5051" s="135"/>
      <c r="S5051" s="135"/>
      <c r="T5051" s="135"/>
      <c r="U5051" s="135"/>
      <c r="V5051" s="135"/>
      <c r="W5051" s="135"/>
      <c r="X5051" s="135"/>
      <c r="Y5051" s="135"/>
      <c r="Z5051" s="135"/>
    </row>
    <row r="5052" spans="1:26" ht="25.5">
      <c r="A5052" s="136" t="s">
        <v>16</v>
      </c>
      <c r="B5052" s="136" t="s">
        <v>7971</v>
      </c>
      <c r="C5052" s="136" t="s">
        <v>8036</v>
      </c>
      <c r="D5052" s="136" t="s">
        <v>288</v>
      </c>
      <c r="E5052" s="136" t="s">
        <v>615</v>
      </c>
      <c r="F5052" s="136">
        <v>19</v>
      </c>
      <c r="G5052" s="137">
        <f t="shared" si="19"/>
        <v>16</v>
      </c>
      <c r="H5052" s="137"/>
      <c r="I5052" s="137"/>
      <c r="J5052" s="135"/>
      <c r="K5052" s="135"/>
      <c r="L5052" s="135"/>
      <c r="M5052" s="135"/>
      <c r="N5052" s="135"/>
      <c r="O5052" s="135"/>
      <c r="P5052" s="135"/>
      <c r="Q5052" s="135"/>
      <c r="R5052" s="135"/>
      <c r="S5052" s="135"/>
      <c r="T5052" s="135"/>
      <c r="U5052" s="135"/>
      <c r="V5052" s="135"/>
      <c r="W5052" s="135"/>
      <c r="X5052" s="135"/>
      <c r="Y5052" s="135"/>
      <c r="Z5052" s="135"/>
    </row>
    <row r="5053" spans="1:26" ht="25.5">
      <c r="A5053" s="136" t="s">
        <v>16</v>
      </c>
      <c r="B5053" s="136" t="s">
        <v>7971</v>
      </c>
      <c r="C5053" s="136" t="s">
        <v>8036</v>
      </c>
      <c r="D5053" s="136" t="s">
        <v>114</v>
      </c>
      <c r="E5053" s="136" t="s">
        <v>85</v>
      </c>
      <c r="F5053" s="136">
        <v>13</v>
      </c>
      <c r="G5053" s="137">
        <f t="shared" si="19"/>
        <v>17</v>
      </c>
      <c r="H5053" s="137"/>
      <c r="I5053" s="137"/>
      <c r="J5053" s="135"/>
      <c r="K5053" s="135"/>
      <c r="L5053" s="135"/>
      <c r="M5053" s="135"/>
      <c r="N5053" s="135"/>
      <c r="O5053" s="135"/>
      <c r="P5053" s="135"/>
      <c r="Q5053" s="135"/>
      <c r="R5053" s="135"/>
      <c r="S5053" s="135"/>
      <c r="T5053" s="135"/>
      <c r="U5053" s="135"/>
      <c r="V5053" s="135"/>
      <c r="W5053" s="135"/>
      <c r="X5053" s="135"/>
      <c r="Y5053" s="135"/>
      <c r="Z5053" s="135"/>
    </row>
    <row r="5054" spans="1:26" ht="25.5">
      <c r="A5054" s="136" t="s">
        <v>16</v>
      </c>
      <c r="B5054" s="136" t="s">
        <v>7971</v>
      </c>
      <c r="C5054" s="136" t="s">
        <v>8038</v>
      </c>
      <c r="D5054" s="136" t="s">
        <v>368</v>
      </c>
      <c r="E5054" s="136" t="s">
        <v>594</v>
      </c>
      <c r="F5054" s="136">
        <v>2290</v>
      </c>
      <c r="G5054" s="137">
        <f t="shared" si="19"/>
        <v>1</v>
      </c>
      <c r="H5054" s="137"/>
      <c r="I5054" s="137"/>
      <c r="J5054" s="135"/>
      <c r="K5054" s="135"/>
      <c r="L5054" s="135"/>
      <c r="M5054" s="135"/>
      <c r="N5054" s="135"/>
      <c r="O5054" s="135"/>
      <c r="P5054" s="135"/>
      <c r="Q5054" s="135"/>
      <c r="R5054" s="135"/>
      <c r="S5054" s="135"/>
      <c r="T5054" s="135"/>
      <c r="U5054" s="135"/>
      <c r="V5054" s="135"/>
      <c r="W5054" s="135"/>
      <c r="X5054" s="135"/>
      <c r="Y5054" s="135"/>
      <c r="Z5054" s="135"/>
    </row>
    <row r="5055" spans="1:26" ht="25.5">
      <c r="A5055" s="136" t="s">
        <v>16</v>
      </c>
      <c r="B5055" s="136" t="s">
        <v>7971</v>
      </c>
      <c r="C5055" s="136" t="s">
        <v>8038</v>
      </c>
      <c r="D5055" s="136" t="s">
        <v>8039</v>
      </c>
      <c r="E5055" s="136" t="s">
        <v>594</v>
      </c>
      <c r="F5055" s="136">
        <v>1105</v>
      </c>
      <c r="G5055" s="137">
        <f t="shared" si="19"/>
        <v>2</v>
      </c>
      <c r="H5055" s="137"/>
      <c r="I5055" s="137"/>
      <c r="J5055" s="135"/>
      <c r="K5055" s="135"/>
      <c r="L5055" s="135"/>
      <c r="M5055" s="135"/>
      <c r="N5055" s="135"/>
      <c r="O5055" s="135"/>
      <c r="P5055" s="135"/>
      <c r="Q5055" s="135"/>
      <c r="R5055" s="135"/>
      <c r="S5055" s="135"/>
      <c r="T5055" s="135"/>
      <c r="U5055" s="135"/>
      <c r="V5055" s="135"/>
      <c r="W5055" s="135"/>
      <c r="X5055" s="135"/>
      <c r="Y5055" s="135"/>
      <c r="Z5055" s="135"/>
    </row>
    <row r="5056" spans="1:26" ht="25.5">
      <c r="A5056" s="136" t="s">
        <v>16</v>
      </c>
      <c r="B5056" s="136" t="s">
        <v>7971</v>
      </c>
      <c r="C5056" s="136" t="s">
        <v>8038</v>
      </c>
      <c r="D5056" s="136" t="s">
        <v>1626</v>
      </c>
      <c r="E5056" s="136" t="s">
        <v>594</v>
      </c>
      <c r="F5056" s="136">
        <v>536</v>
      </c>
      <c r="G5056" s="137">
        <f t="shared" si="19"/>
        <v>3</v>
      </c>
      <c r="H5056" s="137"/>
      <c r="I5056" s="137"/>
      <c r="J5056" s="135"/>
      <c r="K5056" s="135"/>
      <c r="L5056" s="135"/>
      <c r="M5056" s="135"/>
      <c r="N5056" s="135"/>
      <c r="O5056" s="135"/>
      <c r="P5056" s="135"/>
      <c r="Q5056" s="135"/>
      <c r="R5056" s="135"/>
      <c r="S5056" s="135"/>
      <c r="T5056" s="135"/>
      <c r="U5056" s="135"/>
      <c r="V5056" s="135"/>
      <c r="W5056" s="135"/>
      <c r="X5056" s="135"/>
      <c r="Y5056" s="135"/>
      <c r="Z5056" s="135"/>
    </row>
    <row r="5057" spans="1:26" ht="25.5">
      <c r="A5057" s="136" t="s">
        <v>16</v>
      </c>
      <c r="B5057" s="136" t="s">
        <v>7971</v>
      </c>
      <c r="C5057" s="136" t="s">
        <v>8038</v>
      </c>
      <c r="D5057" s="136" t="s">
        <v>139</v>
      </c>
      <c r="E5057" s="136" t="s">
        <v>594</v>
      </c>
      <c r="F5057" s="136">
        <v>510</v>
      </c>
      <c r="G5057" s="137">
        <f t="shared" si="19"/>
        <v>4</v>
      </c>
      <c r="H5057" s="137"/>
      <c r="I5057" s="137"/>
      <c r="J5057" s="135"/>
      <c r="K5057" s="135"/>
      <c r="L5057" s="135"/>
      <c r="M5057" s="135"/>
      <c r="N5057" s="135"/>
      <c r="O5057" s="135"/>
      <c r="P5057" s="135"/>
      <c r="Q5057" s="135"/>
      <c r="R5057" s="135"/>
      <c r="S5057" s="135"/>
      <c r="T5057" s="135"/>
      <c r="U5057" s="135"/>
      <c r="V5057" s="135"/>
      <c r="W5057" s="135"/>
      <c r="X5057" s="135"/>
      <c r="Y5057" s="135"/>
      <c r="Z5057" s="135"/>
    </row>
    <row r="5058" spans="1:26" ht="25.5">
      <c r="A5058" s="136" t="s">
        <v>16</v>
      </c>
      <c r="B5058" s="136" t="s">
        <v>7971</v>
      </c>
      <c r="C5058" s="136" t="s">
        <v>8038</v>
      </c>
      <c r="D5058" s="136" t="s">
        <v>7544</v>
      </c>
      <c r="E5058" s="136" t="s">
        <v>615</v>
      </c>
      <c r="F5058" s="136">
        <v>463</v>
      </c>
      <c r="G5058" s="137">
        <f t="shared" si="19"/>
        <v>5</v>
      </c>
      <c r="H5058" s="137"/>
      <c r="I5058" s="137"/>
      <c r="J5058" s="135"/>
      <c r="K5058" s="135"/>
      <c r="L5058" s="135"/>
      <c r="M5058" s="135"/>
      <c r="N5058" s="135"/>
      <c r="O5058" s="135"/>
      <c r="P5058" s="135"/>
      <c r="Q5058" s="135"/>
      <c r="R5058" s="135"/>
      <c r="S5058" s="135"/>
      <c r="T5058" s="135"/>
      <c r="U5058" s="135"/>
      <c r="V5058" s="135"/>
      <c r="W5058" s="135"/>
      <c r="X5058" s="135"/>
      <c r="Y5058" s="135"/>
      <c r="Z5058" s="135"/>
    </row>
    <row r="5059" spans="1:26" ht="25.5">
      <c r="A5059" s="136" t="s">
        <v>16</v>
      </c>
      <c r="B5059" s="136" t="s">
        <v>7971</v>
      </c>
      <c r="C5059" s="136" t="s">
        <v>8038</v>
      </c>
      <c r="D5059" s="136" t="s">
        <v>7993</v>
      </c>
      <c r="E5059" s="136" t="s">
        <v>615</v>
      </c>
      <c r="F5059" s="136">
        <v>340</v>
      </c>
      <c r="G5059" s="137">
        <f t="shared" si="19"/>
        <v>6</v>
      </c>
      <c r="H5059" s="137"/>
      <c r="I5059" s="137"/>
      <c r="J5059" s="135"/>
      <c r="K5059" s="135"/>
      <c r="L5059" s="135"/>
      <c r="M5059" s="135"/>
      <c r="N5059" s="135"/>
      <c r="O5059" s="135"/>
      <c r="P5059" s="135"/>
      <c r="Q5059" s="135"/>
      <c r="R5059" s="135"/>
      <c r="S5059" s="135"/>
      <c r="T5059" s="135"/>
      <c r="U5059" s="135"/>
      <c r="V5059" s="135"/>
      <c r="W5059" s="135"/>
      <c r="X5059" s="135"/>
      <c r="Y5059" s="135"/>
      <c r="Z5059" s="135"/>
    </row>
    <row r="5060" spans="1:26" ht="25.5">
      <c r="A5060" s="136" t="s">
        <v>16</v>
      </c>
      <c r="B5060" s="136" t="s">
        <v>7971</v>
      </c>
      <c r="C5060" s="136" t="s">
        <v>8038</v>
      </c>
      <c r="D5060" s="136" t="s">
        <v>1674</v>
      </c>
      <c r="E5060" s="136" t="s">
        <v>615</v>
      </c>
      <c r="F5060" s="136">
        <v>297</v>
      </c>
      <c r="G5060" s="137">
        <f t="shared" si="19"/>
        <v>7</v>
      </c>
      <c r="H5060" s="137"/>
      <c r="I5060" s="137"/>
      <c r="J5060" s="135"/>
      <c r="K5060" s="135"/>
      <c r="L5060" s="135"/>
      <c r="M5060" s="135"/>
      <c r="N5060" s="135"/>
      <c r="O5060" s="135"/>
      <c r="P5060" s="135"/>
      <c r="Q5060" s="135"/>
      <c r="R5060" s="135"/>
      <c r="S5060" s="135"/>
      <c r="T5060" s="135"/>
      <c r="U5060" s="135"/>
      <c r="V5060" s="135"/>
      <c r="W5060" s="135"/>
      <c r="X5060" s="135"/>
      <c r="Y5060" s="135"/>
      <c r="Z5060" s="135"/>
    </row>
    <row r="5061" spans="1:26" ht="25.5">
      <c r="A5061" s="136" t="s">
        <v>16</v>
      </c>
      <c r="B5061" s="136" t="s">
        <v>7971</v>
      </c>
      <c r="C5061" s="136" t="s">
        <v>8038</v>
      </c>
      <c r="D5061" s="136" t="s">
        <v>7481</v>
      </c>
      <c r="E5061" s="136" t="s">
        <v>615</v>
      </c>
      <c r="F5061" s="136">
        <v>123</v>
      </c>
      <c r="G5061" s="137">
        <f t="shared" si="19"/>
        <v>8</v>
      </c>
      <c r="H5061" s="137"/>
      <c r="I5061" s="137"/>
      <c r="J5061" s="135"/>
      <c r="K5061" s="135"/>
      <c r="L5061" s="135"/>
      <c r="M5061" s="135"/>
      <c r="N5061" s="135"/>
      <c r="O5061" s="135"/>
      <c r="P5061" s="135"/>
      <c r="Q5061" s="135"/>
      <c r="R5061" s="135"/>
      <c r="S5061" s="135"/>
      <c r="T5061" s="135"/>
      <c r="U5061" s="135"/>
      <c r="V5061" s="135"/>
      <c r="W5061" s="135"/>
      <c r="X5061" s="135"/>
      <c r="Y5061" s="135"/>
      <c r="Z5061" s="135"/>
    </row>
    <row r="5062" spans="1:26" ht="25.5">
      <c r="A5062" s="136" t="s">
        <v>16</v>
      </c>
      <c r="B5062" s="136" t="s">
        <v>7971</v>
      </c>
      <c r="C5062" s="136" t="s">
        <v>8038</v>
      </c>
      <c r="D5062" s="136" t="s">
        <v>103</v>
      </c>
      <c r="E5062" s="136" t="s">
        <v>594</v>
      </c>
      <c r="F5062" s="136">
        <v>99</v>
      </c>
      <c r="G5062" s="137">
        <f t="shared" si="19"/>
        <v>9</v>
      </c>
      <c r="H5062" s="137"/>
      <c r="I5062" s="137"/>
      <c r="J5062" s="135"/>
      <c r="K5062" s="135"/>
      <c r="L5062" s="135"/>
      <c r="M5062" s="135"/>
      <c r="N5062" s="135"/>
      <c r="O5062" s="135"/>
      <c r="P5062" s="135"/>
      <c r="Q5062" s="135"/>
      <c r="R5062" s="135"/>
      <c r="S5062" s="135"/>
      <c r="T5062" s="135"/>
      <c r="U5062" s="135"/>
      <c r="V5062" s="135"/>
      <c r="W5062" s="135"/>
      <c r="X5062" s="135"/>
      <c r="Y5062" s="135"/>
      <c r="Z5062" s="135"/>
    </row>
    <row r="5063" spans="1:26" ht="25.5">
      <c r="A5063" s="136" t="s">
        <v>16</v>
      </c>
      <c r="B5063" s="136" t="s">
        <v>7971</v>
      </c>
      <c r="C5063" s="136" t="s">
        <v>8038</v>
      </c>
      <c r="D5063" s="136" t="s">
        <v>437</v>
      </c>
      <c r="E5063" s="136" t="s">
        <v>594</v>
      </c>
      <c r="F5063" s="136">
        <v>97</v>
      </c>
      <c r="G5063" s="137">
        <f t="shared" si="19"/>
        <v>10</v>
      </c>
      <c r="H5063" s="137"/>
      <c r="I5063" s="137"/>
      <c r="J5063" s="135"/>
      <c r="K5063" s="135"/>
      <c r="L5063" s="135"/>
      <c r="M5063" s="135"/>
      <c r="N5063" s="135"/>
      <c r="O5063" s="135"/>
      <c r="P5063" s="135"/>
      <c r="Q5063" s="135"/>
      <c r="R5063" s="135"/>
      <c r="S5063" s="135"/>
      <c r="T5063" s="135"/>
      <c r="U5063" s="135"/>
      <c r="V5063" s="135"/>
      <c r="W5063" s="135"/>
      <c r="X5063" s="135"/>
      <c r="Y5063" s="135"/>
      <c r="Z5063" s="135"/>
    </row>
    <row r="5064" spans="1:26" ht="25.5">
      <c r="A5064" s="136" t="s">
        <v>16</v>
      </c>
      <c r="B5064" s="136" t="s">
        <v>7971</v>
      </c>
      <c r="C5064" s="136" t="s">
        <v>8038</v>
      </c>
      <c r="D5064" s="136" t="s">
        <v>1680</v>
      </c>
      <c r="E5064" s="136" t="s">
        <v>615</v>
      </c>
      <c r="F5064" s="136">
        <v>72</v>
      </c>
      <c r="G5064" s="137">
        <f t="shared" si="19"/>
        <v>11</v>
      </c>
      <c r="H5064" s="137"/>
      <c r="I5064" s="137"/>
      <c r="J5064" s="135"/>
      <c r="K5064" s="135"/>
      <c r="L5064" s="135"/>
      <c r="M5064" s="135"/>
      <c r="N5064" s="135"/>
      <c r="O5064" s="135"/>
      <c r="P5064" s="135"/>
      <c r="Q5064" s="135"/>
      <c r="R5064" s="135"/>
      <c r="S5064" s="135"/>
      <c r="T5064" s="135"/>
      <c r="U5064" s="135"/>
      <c r="V5064" s="135"/>
      <c r="W5064" s="135"/>
      <c r="X5064" s="135"/>
      <c r="Y5064" s="135"/>
      <c r="Z5064" s="135"/>
    </row>
    <row r="5065" spans="1:26" ht="25.5">
      <c r="A5065" s="136" t="s">
        <v>16</v>
      </c>
      <c r="B5065" s="136" t="s">
        <v>7971</v>
      </c>
      <c r="C5065" s="136" t="s">
        <v>8038</v>
      </c>
      <c r="D5065" s="136" t="s">
        <v>1665</v>
      </c>
      <c r="E5065" s="136" t="s">
        <v>615</v>
      </c>
      <c r="F5065" s="136">
        <v>64</v>
      </c>
      <c r="G5065" s="137">
        <f t="shared" si="19"/>
        <v>12</v>
      </c>
      <c r="H5065" s="137"/>
      <c r="I5065" s="137"/>
      <c r="J5065" s="135"/>
      <c r="K5065" s="135"/>
      <c r="L5065" s="135"/>
      <c r="M5065" s="135"/>
      <c r="N5065" s="135"/>
      <c r="O5065" s="135"/>
      <c r="P5065" s="135"/>
      <c r="Q5065" s="135"/>
      <c r="R5065" s="135"/>
      <c r="S5065" s="135"/>
      <c r="T5065" s="135"/>
      <c r="U5065" s="135"/>
      <c r="V5065" s="135"/>
      <c r="W5065" s="135"/>
      <c r="X5065" s="135"/>
      <c r="Y5065" s="135"/>
      <c r="Z5065" s="135"/>
    </row>
    <row r="5066" spans="1:26" ht="25.5">
      <c r="A5066" s="136" t="s">
        <v>16</v>
      </c>
      <c r="B5066" s="136" t="s">
        <v>7971</v>
      </c>
      <c r="C5066" s="136" t="s">
        <v>8038</v>
      </c>
      <c r="D5066" s="136" t="s">
        <v>1656</v>
      </c>
      <c r="E5066" s="136" t="s">
        <v>615</v>
      </c>
      <c r="F5066" s="136">
        <v>57</v>
      </c>
      <c r="G5066" s="137">
        <f t="shared" si="19"/>
        <v>13</v>
      </c>
      <c r="H5066" s="137"/>
      <c r="I5066" s="137"/>
      <c r="J5066" s="135"/>
      <c r="K5066" s="135"/>
      <c r="L5066" s="135"/>
      <c r="M5066" s="135"/>
      <c r="N5066" s="135"/>
      <c r="O5066" s="135"/>
      <c r="P5066" s="135"/>
      <c r="Q5066" s="135"/>
      <c r="R5066" s="135"/>
      <c r="S5066" s="135"/>
      <c r="T5066" s="135"/>
      <c r="U5066" s="135"/>
      <c r="V5066" s="135"/>
      <c r="W5066" s="135"/>
      <c r="X5066" s="135"/>
      <c r="Y5066" s="135"/>
      <c r="Z5066" s="135"/>
    </row>
    <row r="5067" spans="1:26" ht="25.5">
      <c r="A5067" s="136" t="s">
        <v>16</v>
      </c>
      <c r="B5067" s="136" t="s">
        <v>7971</v>
      </c>
      <c r="C5067" s="136" t="s">
        <v>8038</v>
      </c>
      <c r="D5067" s="136" t="s">
        <v>136</v>
      </c>
      <c r="E5067" s="136" t="s">
        <v>615</v>
      </c>
      <c r="F5067" s="136">
        <v>50</v>
      </c>
      <c r="G5067" s="137">
        <f t="shared" si="19"/>
        <v>14</v>
      </c>
      <c r="H5067" s="137"/>
      <c r="I5067" s="137"/>
      <c r="J5067" s="135"/>
      <c r="K5067" s="135"/>
      <c r="L5067" s="135"/>
      <c r="M5067" s="135"/>
      <c r="N5067" s="135"/>
      <c r="O5067" s="135"/>
      <c r="P5067" s="135"/>
      <c r="Q5067" s="135"/>
      <c r="R5067" s="135"/>
      <c r="S5067" s="135"/>
      <c r="T5067" s="135"/>
      <c r="U5067" s="135"/>
      <c r="V5067" s="135"/>
      <c r="W5067" s="135"/>
      <c r="X5067" s="135"/>
      <c r="Y5067" s="135"/>
      <c r="Z5067" s="135"/>
    </row>
    <row r="5068" spans="1:26" ht="25.5">
      <c r="A5068" s="136" t="s">
        <v>16</v>
      </c>
      <c r="B5068" s="136" t="s">
        <v>7971</v>
      </c>
      <c r="C5068" s="136" t="s">
        <v>8038</v>
      </c>
      <c r="D5068" s="136" t="s">
        <v>7685</v>
      </c>
      <c r="E5068" s="136" t="s">
        <v>594</v>
      </c>
      <c r="F5068" s="136">
        <v>43</v>
      </c>
      <c r="G5068" s="137">
        <f t="shared" si="19"/>
        <v>15</v>
      </c>
      <c r="H5068" s="137"/>
      <c r="I5068" s="137"/>
      <c r="J5068" s="135"/>
      <c r="K5068" s="135"/>
      <c r="L5068" s="135"/>
      <c r="M5068" s="135"/>
      <c r="N5068" s="135"/>
      <c r="O5068" s="135"/>
      <c r="P5068" s="135"/>
      <c r="Q5068" s="135"/>
      <c r="R5068" s="135"/>
      <c r="S5068" s="135"/>
      <c r="T5068" s="135"/>
      <c r="U5068" s="135"/>
      <c r="V5068" s="135"/>
      <c r="W5068" s="135"/>
      <c r="X5068" s="135"/>
      <c r="Y5068" s="135"/>
      <c r="Z5068" s="135"/>
    </row>
    <row r="5069" spans="1:26" ht="25.5">
      <c r="A5069" s="136" t="s">
        <v>16</v>
      </c>
      <c r="B5069" s="136" t="s">
        <v>7971</v>
      </c>
      <c r="C5069" s="136" t="s">
        <v>8038</v>
      </c>
      <c r="D5069" s="136" t="s">
        <v>114</v>
      </c>
      <c r="E5069" s="136" t="s">
        <v>85</v>
      </c>
      <c r="F5069" s="136">
        <v>42</v>
      </c>
      <c r="G5069" s="137">
        <f t="shared" si="19"/>
        <v>16</v>
      </c>
      <c r="H5069" s="137"/>
      <c r="I5069" s="137"/>
      <c r="J5069" s="135"/>
      <c r="K5069" s="135"/>
      <c r="L5069" s="135"/>
      <c r="M5069" s="135"/>
      <c r="N5069" s="135"/>
      <c r="O5069" s="135"/>
      <c r="P5069" s="135"/>
      <c r="Q5069" s="135"/>
      <c r="R5069" s="135"/>
      <c r="S5069" s="135"/>
      <c r="T5069" s="135"/>
      <c r="U5069" s="135"/>
      <c r="V5069" s="135"/>
      <c r="W5069" s="135"/>
      <c r="X5069" s="135"/>
      <c r="Y5069" s="135"/>
      <c r="Z5069" s="135"/>
    </row>
    <row r="5070" spans="1:26" ht="25.5">
      <c r="A5070" s="136" t="s">
        <v>16</v>
      </c>
      <c r="B5070" s="136" t="s">
        <v>7971</v>
      </c>
      <c r="C5070" s="136" t="s">
        <v>8038</v>
      </c>
      <c r="D5070" s="136" t="s">
        <v>131</v>
      </c>
      <c r="E5070" s="136" t="s">
        <v>594</v>
      </c>
      <c r="F5070" s="136">
        <v>30</v>
      </c>
      <c r="G5070" s="137">
        <f t="shared" si="19"/>
        <v>17</v>
      </c>
      <c r="H5070" s="137"/>
      <c r="I5070" s="137"/>
      <c r="J5070" s="135"/>
      <c r="K5070" s="135"/>
      <c r="L5070" s="135"/>
      <c r="M5070" s="135"/>
      <c r="N5070" s="135"/>
      <c r="O5070" s="135"/>
      <c r="P5070" s="135"/>
      <c r="Q5070" s="135"/>
      <c r="R5070" s="135"/>
      <c r="S5070" s="135"/>
      <c r="T5070" s="135"/>
      <c r="U5070" s="135"/>
      <c r="V5070" s="135"/>
      <c r="W5070" s="135"/>
      <c r="X5070" s="135"/>
      <c r="Y5070" s="135"/>
      <c r="Z5070" s="135"/>
    </row>
    <row r="5071" spans="1:26" ht="25.5">
      <c r="A5071" s="136" t="s">
        <v>16</v>
      </c>
      <c r="B5071" s="136" t="s">
        <v>7971</v>
      </c>
      <c r="C5071" s="136" t="s">
        <v>8038</v>
      </c>
      <c r="D5071" s="136" t="s">
        <v>1682</v>
      </c>
      <c r="E5071" s="136" t="s">
        <v>86</v>
      </c>
      <c r="F5071" s="136">
        <v>15</v>
      </c>
      <c r="G5071" s="137">
        <f t="shared" si="19"/>
        <v>18</v>
      </c>
      <c r="H5071" s="137"/>
      <c r="I5071" s="137"/>
      <c r="J5071" s="135"/>
      <c r="K5071" s="135"/>
      <c r="L5071" s="135"/>
      <c r="M5071" s="135"/>
      <c r="N5071" s="135"/>
      <c r="O5071" s="135"/>
      <c r="P5071" s="135"/>
      <c r="Q5071" s="135"/>
      <c r="R5071" s="135"/>
      <c r="S5071" s="135"/>
      <c r="T5071" s="135"/>
      <c r="U5071" s="135"/>
      <c r="V5071" s="135"/>
      <c r="W5071" s="135"/>
      <c r="X5071" s="135"/>
      <c r="Y5071" s="135"/>
      <c r="Z5071" s="135"/>
    </row>
    <row r="5072" spans="1:26" ht="25.5">
      <c r="A5072" s="136" t="s">
        <v>16</v>
      </c>
      <c r="B5072" s="136" t="s">
        <v>7971</v>
      </c>
      <c r="C5072" s="136" t="s">
        <v>8040</v>
      </c>
      <c r="D5072" s="136" t="s">
        <v>158</v>
      </c>
      <c r="E5072" s="136" t="s">
        <v>615</v>
      </c>
      <c r="F5072" s="136">
        <v>1436</v>
      </c>
      <c r="G5072" s="137">
        <f t="shared" si="19"/>
        <v>1</v>
      </c>
      <c r="H5072" s="137"/>
      <c r="I5072" s="137"/>
      <c r="J5072" s="135"/>
      <c r="K5072" s="135"/>
      <c r="L5072" s="135"/>
      <c r="M5072" s="135"/>
      <c r="N5072" s="135"/>
      <c r="O5072" s="135"/>
      <c r="P5072" s="135"/>
      <c r="Q5072" s="135"/>
      <c r="R5072" s="135"/>
      <c r="S5072" s="135"/>
      <c r="T5072" s="135"/>
      <c r="U5072" s="135"/>
      <c r="V5072" s="135"/>
      <c r="W5072" s="135"/>
      <c r="X5072" s="135"/>
      <c r="Y5072" s="135"/>
      <c r="Z5072" s="135"/>
    </row>
    <row r="5073" spans="1:26" ht="25.5">
      <c r="A5073" s="136" t="s">
        <v>16</v>
      </c>
      <c r="B5073" s="136" t="s">
        <v>7971</v>
      </c>
      <c r="C5073" s="136" t="s">
        <v>8040</v>
      </c>
      <c r="D5073" s="136" t="s">
        <v>1666</v>
      </c>
      <c r="E5073" s="136" t="s">
        <v>85</v>
      </c>
      <c r="F5073" s="136">
        <v>1027</v>
      </c>
      <c r="G5073" s="137">
        <f t="shared" si="19"/>
        <v>2</v>
      </c>
      <c r="H5073" s="137"/>
      <c r="I5073" s="137"/>
      <c r="J5073" s="135"/>
      <c r="K5073" s="135"/>
      <c r="L5073" s="135"/>
      <c r="M5073" s="135"/>
      <c r="N5073" s="135"/>
      <c r="O5073" s="135"/>
      <c r="P5073" s="135"/>
      <c r="Q5073" s="135"/>
      <c r="R5073" s="135"/>
      <c r="S5073" s="135"/>
      <c r="T5073" s="135"/>
      <c r="U5073" s="135"/>
      <c r="V5073" s="135"/>
      <c r="W5073" s="135"/>
      <c r="X5073" s="135"/>
      <c r="Y5073" s="135"/>
      <c r="Z5073" s="135"/>
    </row>
    <row r="5074" spans="1:26" ht="25.5">
      <c r="A5074" s="136" t="s">
        <v>16</v>
      </c>
      <c r="B5074" s="136" t="s">
        <v>7971</v>
      </c>
      <c r="C5074" s="136" t="s">
        <v>8040</v>
      </c>
      <c r="D5074" s="136" t="s">
        <v>7993</v>
      </c>
      <c r="E5074" s="136" t="s">
        <v>615</v>
      </c>
      <c r="F5074" s="136">
        <v>623</v>
      </c>
      <c r="G5074" s="137">
        <f t="shared" si="19"/>
        <v>3</v>
      </c>
      <c r="H5074" s="137"/>
      <c r="I5074" s="137"/>
      <c r="J5074" s="135"/>
      <c r="K5074" s="135"/>
      <c r="L5074" s="135"/>
      <c r="M5074" s="135"/>
      <c r="N5074" s="135"/>
      <c r="O5074" s="135"/>
      <c r="P5074" s="135"/>
      <c r="Q5074" s="135"/>
      <c r="R5074" s="135"/>
      <c r="S5074" s="135"/>
      <c r="T5074" s="135"/>
      <c r="U5074" s="135"/>
      <c r="V5074" s="135"/>
      <c r="W5074" s="135"/>
      <c r="X5074" s="135"/>
      <c r="Y5074" s="135"/>
      <c r="Z5074" s="135"/>
    </row>
    <row r="5075" spans="1:26" ht="25.5">
      <c r="A5075" s="136" t="s">
        <v>16</v>
      </c>
      <c r="B5075" s="136" t="s">
        <v>7971</v>
      </c>
      <c r="C5075" s="136" t="s">
        <v>8040</v>
      </c>
      <c r="D5075" s="136" t="s">
        <v>165</v>
      </c>
      <c r="E5075" s="136" t="s">
        <v>615</v>
      </c>
      <c r="F5075" s="136">
        <v>604</v>
      </c>
      <c r="G5075" s="137">
        <f t="shared" si="19"/>
        <v>4</v>
      </c>
      <c r="H5075" s="137"/>
      <c r="I5075" s="137"/>
      <c r="J5075" s="135"/>
      <c r="K5075" s="135"/>
      <c r="L5075" s="135"/>
      <c r="M5075" s="135"/>
      <c r="N5075" s="135"/>
      <c r="O5075" s="135"/>
      <c r="P5075" s="135"/>
      <c r="Q5075" s="135"/>
      <c r="R5075" s="135"/>
      <c r="S5075" s="135"/>
      <c r="T5075" s="135"/>
      <c r="U5075" s="135"/>
      <c r="V5075" s="135"/>
      <c r="W5075" s="135"/>
      <c r="X5075" s="135"/>
      <c r="Y5075" s="135"/>
      <c r="Z5075" s="135"/>
    </row>
    <row r="5076" spans="1:26" ht="25.5">
      <c r="A5076" s="136" t="s">
        <v>16</v>
      </c>
      <c r="B5076" s="136" t="s">
        <v>7971</v>
      </c>
      <c r="C5076" s="136" t="s">
        <v>8040</v>
      </c>
      <c r="D5076" s="136" t="s">
        <v>139</v>
      </c>
      <c r="E5076" s="136" t="s">
        <v>594</v>
      </c>
      <c r="F5076" s="136">
        <v>414</v>
      </c>
      <c r="G5076" s="137">
        <f t="shared" si="19"/>
        <v>5</v>
      </c>
      <c r="H5076" s="137"/>
      <c r="I5076" s="137"/>
      <c r="J5076" s="135"/>
      <c r="K5076" s="135"/>
      <c r="L5076" s="135"/>
      <c r="M5076" s="135"/>
      <c r="N5076" s="135"/>
      <c r="O5076" s="135"/>
      <c r="P5076" s="135"/>
      <c r="Q5076" s="135"/>
      <c r="R5076" s="135"/>
      <c r="S5076" s="135"/>
      <c r="T5076" s="135"/>
      <c r="U5076" s="135"/>
      <c r="V5076" s="135"/>
      <c r="W5076" s="135"/>
      <c r="X5076" s="135"/>
      <c r="Y5076" s="135"/>
      <c r="Z5076" s="135"/>
    </row>
    <row r="5077" spans="1:26" ht="25.5">
      <c r="A5077" s="136" t="s">
        <v>16</v>
      </c>
      <c r="B5077" s="136" t="s">
        <v>7971</v>
      </c>
      <c r="C5077" s="136" t="s">
        <v>8040</v>
      </c>
      <c r="D5077" s="136" t="s">
        <v>136</v>
      </c>
      <c r="E5077" s="136" t="s">
        <v>615</v>
      </c>
      <c r="F5077" s="136">
        <v>233</v>
      </c>
      <c r="G5077" s="137">
        <f t="shared" si="19"/>
        <v>6</v>
      </c>
      <c r="H5077" s="137"/>
      <c r="I5077" s="137"/>
      <c r="J5077" s="135"/>
      <c r="K5077" s="135"/>
      <c r="L5077" s="135"/>
      <c r="M5077" s="135"/>
      <c r="N5077" s="135"/>
      <c r="O5077" s="135"/>
      <c r="P5077" s="135"/>
      <c r="Q5077" s="135"/>
      <c r="R5077" s="135"/>
      <c r="S5077" s="135"/>
      <c r="T5077" s="135"/>
      <c r="U5077" s="135"/>
      <c r="V5077" s="135"/>
      <c r="W5077" s="135"/>
      <c r="X5077" s="135"/>
      <c r="Y5077" s="135"/>
      <c r="Z5077" s="135"/>
    </row>
    <row r="5078" spans="1:26" ht="25.5">
      <c r="A5078" s="136" t="s">
        <v>16</v>
      </c>
      <c r="B5078" s="136" t="s">
        <v>7971</v>
      </c>
      <c r="C5078" s="136" t="s">
        <v>8040</v>
      </c>
      <c r="D5078" s="136" t="s">
        <v>114</v>
      </c>
      <c r="E5078" s="136" t="s">
        <v>85</v>
      </c>
      <c r="F5078" s="136">
        <v>201</v>
      </c>
      <c r="G5078" s="137">
        <f t="shared" si="19"/>
        <v>7</v>
      </c>
      <c r="H5078" s="137"/>
      <c r="I5078" s="137"/>
      <c r="J5078" s="135"/>
      <c r="K5078" s="135"/>
      <c r="L5078" s="135"/>
      <c r="M5078" s="135"/>
      <c r="N5078" s="135"/>
      <c r="O5078" s="135"/>
      <c r="P5078" s="135"/>
      <c r="Q5078" s="135"/>
      <c r="R5078" s="135"/>
      <c r="S5078" s="135"/>
      <c r="T5078" s="135"/>
      <c r="U5078" s="135"/>
      <c r="V5078" s="135"/>
      <c r="W5078" s="135"/>
      <c r="X5078" s="135"/>
      <c r="Y5078" s="135"/>
      <c r="Z5078" s="135"/>
    </row>
    <row r="5079" spans="1:26" ht="25.5">
      <c r="A5079" s="136" t="s">
        <v>16</v>
      </c>
      <c r="B5079" s="136" t="s">
        <v>7971</v>
      </c>
      <c r="C5079" s="136" t="s">
        <v>8040</v>
      </c>
      <c r="D5079" s="136" t="s">
        <v>1604</v>
      </c>
      <c r="E5079" s="136" t="s">
        <v>615</v>
      </c>
      <c r="F5079" s="136">
        <v>200</v>
      </c>
      <c r="G5079" s="137">
        <f t="shared" si="19"/>
        <v>8</v>
      </c>
      <c r="H5079" s="137"/>
      <c r="I5079" s="137"/>
      <c r="J5079" s="135"/>
      <c r="K5079" s="135"/>
      <c r="L5079" s="135"/>
      <c r="M5079" s="135"/>
      <c r="N5079" s="135"/>
      <c r="O5079" s="135"/>
      <c r="P5079" s="135"/>
      <c r="Q5079" s="135"/>
      <c r="R5079" s="135"/>
      <c r="S5079" s="135"/>
      <c r="T5079" s="135"/>
      <c r="U5079" s="135"/>
      <c r="V5079" s="135"/>
      <c r="W5079" s="135"/>
      <c r="X5079" s="135"/>
      <c r="Y5079" s="135"/>
      <c r="Z5079" s="135"/>
    </row>
    <row r="5080" spans="1:26" ht="25.5">
      <c r="A5080" s="136" t="s">
        <v>16</v>
      </c>
      <c r="B5080" s="136" t="s">
        <v>7971</v>
      </c>
      <c r="C5080" s="136" t="s">
        <v>8040</v>
      </c>
      <c r="D5080" s="136" t="s">
        <v>1639</v>
      </c>
      <c r="E5080" s="136" t="s">
        <v>615</v>
      </c>
      <c r="F5080" s="136">
        <v>140</v>
      </c>
      <c r="G5080" s="137">
        <f t="shared" si="19"/>
        <v>9</v>
      </c>
      <c r="H5080" s="137"/>
      <c r="I5080" s="137"/>
      <c r="J5080" s="135"/>
      <c r="K5080" s="135"/>
      <c r="L5080" s="135"/>
      <c r="M5080" s="135"/>
      <c r="N5080" s="135"/>
      <c r="O5080" s="135"/>
      <c r="P5080" s="135"/>
      <c r="Q5080" s="135"/>
      <c r="R5080" s="135"/>
      <c r="S5080" s="135"/>
      <c r="T5080" s="135"/>
      <c r="U5080" s="135"/>
      <c r="V5080" s="135"/>
      <c r="W5080" s="135"/>
      <c r="X5080" s="135"/>
      <c r="Y5080" s="135"/>
      <c r="Z5080" s="135"/>
    </row>
    <row r="5081" spans="1:26" ht="25.5">
      <c r="A5081" s="136" t="s">
        <v>16</v>
      </c>
      <c r="B5081" s="136" t="s">
        <v>7971</v>
      </c>
      <c r="C5081" s="136" t="s">
        <v>8040</v>
      </c>
      <c r="D5081" s="136" t="s">
        <v>368</v>
      </c>
      <c r="E5081" s="136" t="s">
        <v>594</v>
      </c>
      <c r="F5081" s="136">
        <v>121</v>
      </c>
      <c r="G5081" s="137">
        <f t="shared" si="19"/>
        <v>10</v>
      </c>
      <c r="H5081" s="137"/>
      <c r="I5081" s="137"/>
      <c r="J5081" s="135"/>
      <c r="K5081" s="135"/>
      <c r="L5081" s="135"/>
      <c r="M5081" s="135"/>
      <c r="N5081" s="135"/>
      <c r="O5081" s="135"/>
      <c r="P5081" s="135"/>
      <c r="Q5081" s="135"/>
      <c r="R5081" s="135"/>
      <c r="S5081" s="135"/>
      <c r="T5081" s="135"/>
      <c r="U5081" s="135"/>
      <c r="V5081" s="135"/>
      <c r="W5081" s="135"/>
      <c r="X5081" s="135"/>
      <c r="Y5081" s="135"/>
      <c r="Z5081" s="135"/>
    </row>
    <row r="5082" spans="1:26" ht="25.5">
      <c r="A5082" s="136" t="s">
        <v>16</v>
      </c>
      <c r="B5082" s="136" t="s">
        <v>7971</v>
      </c>
      <c r="C5082" s="136" t="s">
        <v>8040</v>
      </c>
      <c r="D5082" s="136" t="s">
        <v>437</v>
      </c>
      <c r="E5082" s="136" t="s">
        <v>594</v>
      </c>
      <c r="F5082" s="136">
        <v>104</v>
      </c>
      <c r="G5082" s="137">
        <f t="shared" si="19"/>
        <v>11</v>
      </c>
      <c r="H5082" s="137"/>
      <c r="I5082" s="137"/>
      <c r="J5082" s="135"/>
      <c r="K5082" s="135"/>
      <c r="L5082" s="135"/>
      <c r="M5082" s="135"/>
      <c r="N5082" s="135"/>
      <c r="O5082" s="135"/>
      <c r="P5082" s="135"/>
      <c r="Q5082" s="135"/>
      <c r="R5082" s="135"/>
      <c r="S5082" s="135"/>
      <c r="T5082" s="135"/>
      <c r="U5082" s="135"/>
      <c r="V5082" s="135"/>
      <c r="W5082" s="135"/>
      <c r="X5082" s="135"/>
      <c r="Y5082" s="135"/>
      <c r="Z5082" s="135"/>
    </row>
    <row r="5083" spans="1:26" ht="25.5">
      <c r="A5083" s="136" t="s">
        <v>16</v>
      </c>
      <c r="B5083" s="136" t="s">
        <v>7971</v>
      </c>
      <c r="C5083" s="136" t="s">
        <v>8040</v>
      </c>
      <c r="D5083" s="136" t="s">
        <v>467</v>
      </c>
      <c r="E5083" s="136" t="s">
        <v>85</v>
      </c>
      <c r="F5083" s="136">
        <v>96</v>
      </c>
      <c r="G5083" s="137">
        <f t="shared" si="19"/>
        <v>12</v>
      </c>
      <c r="H5083" s="137"/>
      <c r="I5083" s="137"/>
      <c r="J5083" s="135"/>
      <c r="K5083" s="135"/>
      <c r="L5083" s="135"/>
      <c r="M5083" s="135"/>
      <c r="N5083" s="135"/>
      <c r="O5083" s="135"/>
      <c r="P5083" s="135"/>
      <c r="Q5083" s="135"/>
      <c r="R5083" s="135"/>
      <c r="S5083" s="135"/>
      <c r="T5083" s="135"/>
      <c r="U5083" s="135"/>
      <c r="V5083" s="135"/>
      <c r="W5083" s="135"/>
      <c r="X5083" s="135"/>
      <c r="Y5083" s="135"/>
      <c r="Z5083" s="135"/>
    </row>
    <row r="5084" spans="1:26" ht="25.5">
      <c r="A5084" s="136" t="s">
        <v>16</v>
      </c>
      <c r="B5084" s="136" t="s">
        <v>7971</v>
      </c>
      <c r="C5084" s="136" t="s">
        <v>8040</v>
      </c>
      <c r="D5084" s="136" t="s">
        <v>1626</v>
      </c>
      <c r="E5084" s="136" t="s">
        <v>594</v>
      </c>
      <c r="F5084" s="136">
        <v>93</v>
      </c>
      <c r="G5084" s="137">
        <f t="shared" si="19"/>
        <v>13</v>
      </c>
      <c r="H5084" s="137"/>
      <c r="I5084" s="137"/>
      <c r="J5084" s="135"/>
      <c r="K5084" s="135"/>
      <c r="L5084" s="135"/>
      <c r="M5084" s="135"/>
      <c r="N5084" s="135"/>
      <c r="O5084" s="135"/>
      <c r="P5084" s="135"/>
      <c r="Q5084" s="135"/>
      <c r="R5084" s="135"/>
      <c r="S5084" s="135"/>
      <c r="T5084" s="135"/>
      <c r="U5084" s="135"/>
      <c r="V5084" s="135"/>
      <c r="W5084" s="135"/>
      <c r="X5084" s="135"/>
      <c r="Y5084" s="135"/>
      <c r="Z5084" s="135"/>
    </row>
    <row r="5085" spans="1:26" ht="25.5">
      <c r="A5085" s="136" t="s">
        <v>16</v>
      </c>
      <c r="B5085" s="136" t="s">
        <v>7971</v>
      </c>
      <c r="C5085" s="136" t="s">
        <v>8040</v>
      </c>
      <c r="D5085" s="136" t="s">
        <v>7481</v>
      </c>
      <c r="E5085" s="136" t="s">
        <v>615</v>
      </c>
      <c r="F5085" s="136">
        <v>89</v>
      </c>
      <c r="G5085" s="137">
        <f t="shared" si="19"/>
        <v>14</v>
      </c>
      <c r="H5085" s="137"/>
      <c r="I5085" s="137"/>
      <c r="J5085" s="135"/>
      <c r="K5085" s="135"/>
      <c r="L5085" s="135"/>
      <c r="M5085" s="135"/>
      <c r="N5085" s="135"/>
      <c r="O5085" s="135"/>
      <c r="P5085" s="135"/>
      <c r="Q5085" s="135"/>
      <c r="R5085" s="135"/>
      <c r="S5085" s="135"/>
      <c r="T5085" s="135"/>
      <c r="U5085" s="135"/>
      <c r="V5085" s="135"/>
      <c r="W5085" s="135"/>
      <c r="X5085" s="135"/>
      <c r="Y5085" s="135"/>
      <c r="Z5085" s="135"/>
    </row>
    <row r="5086" spans="1:26" ht="25.5">
      <c r="A5086" s="136" t="s">
        <v>16</v>
      </c>
      <c r="B5086" s="136" t="s">
        <v>7971</v>
      </c>
      <c r="C5086" s="136" t="s">
        <v>8040</v>
      </c>
      <c r="D5086" s="136" t="s">
        <v>1665</v>
      </c>
      <c r="E5086" s="136" t="s">
        <v>615</v>
      </c>
      <c r="F5086" s="136">
        <v>73</v>
      </c>
      <c r="G5086" s="137">
        <f t="shared" si="19"/>
        <v>15</v>
      </c>
      <c r="H5086" s="137"/>
      <c r="I5086" s="137"/>
      <c r="J5086" s="135"/>
      <c r="K5086" s="135"/>
      <c r="L5086" s="135"/>
      <c r="M5086" s="135"/>
      <c r="N5086" s="135"/>
      <c r="O5086" s="135"/>
      <c r="P5086" s="135"/>
      <c r="Q5086" s="135"/>
      <c r="R5086" s="135"/>
      <c r="S5086" s="135"/>
      <c r="T5086" s="135"/>
      <c r="U5086" s="135"/>
      <c r="V5086" s="135"/>
      <c r="W5086" s="135"/>
      <c r="X5086" s="135"/>
      <c r="Y5086" s="135"/>
      <c r="Z5086" s="135"/>
    </row>
    <row r="5087" spans="1:26" ht="25.5">
      <c r="A5087" s="136" t="s">
        <v>16</v>
      </c>
      <c r="B5087" s="136" t="s">
        <v>7971</v>
      </c>
      <c r="C5087" s="136" t="s">
        <v>8040</v>
      </c>
      <c r="D5087" s="136" t="s">
        <v>7985</v>
      </c>
      <c r="E5087" s="136" t="s">
        <v>615</v>
      </c>
      <c r="F5087" s="136">
        <v>56</v>
      </c>
      <c r="G5087" s="137">
        <f t="shared" si="19"/>
        <v>16</v>
      </c>
      <c r="H5087" s="137"/>
      <c r="I5087" s="137"/>
      <c r="J5087" s="135"/>
      <c r="K5087" s="135"/>
      <c r="L5087" s="135"/>
      <c r="M5087" s="135"/>
      <c r="N5087" s="135"/>
      <c r="O5087" s="135"/>
      <c r="P5087" s="135"/>
      <c r="Q5087" s="135"/>
      <c r="R5087" s="135"/>
      <c r="S5087" s="135"/>
      <c r="T5087" s="135"/>
      <c r="U5087" s="135"/>
      <c r="V5087" s="135"/>
      <c r="W5087" s="135"/>
      <c r="X5087" s="135"/>
      <c r="Y5087" s="135"/>
      <c r="Z5087" s="135"/>
    </row>
    <row r="5088" spans="1:26" ht="25.5">
      <c r="A5088" s="136" t="s">
        <v>16</v>
      </c>
      <c r="B5088" s="136" t="s">
        <v>7971</v>
      </c>
      <c r="C5088" s="136" t="s">
        <v>8040</v>
      </c>
      <c r="D5088" s="136" t="s">
        <v>7685</v>
      </c>
      <c r="E5088" s="136"/>
      <c r="F5088" s="136">
        <v>48</v>
      </c>
      <c r="G5088" s="137">
        <f t="shared" si="19"/>
        <v>17</v>
      </c>
      <c r="H5088" s="137"/>
      <c r="I5088" s="137"/>
      <c r="J5088" s="135"/>
      <c r="K5088" s="135"/>
      <c r="L5088" s="135"/>
      <c r="M5088" s="135"/>
      <c r="N5088" s="135"/>
      <c r="O5088" s="135"/>
      <c r="P5088" s="135"/>
      <c r="Q5088" s="135"/>
      <c r="R5088" s="135"/>
      <c r="S5088" s="135"/>
      <c r="T5088" s="135"/>
      <c r="U5088" s="135"/>
      <c r="V5088" s="135"/>
      <c r="W5088" s="135"/>
      <c r="X5088" s="135"/>
      <c r="Y5088" s="135"/>
      <c r="Z5088" s="135"/>
    </row>
    <row r="5089" spans="1:26" ht="25.5">
      <c r="A5089" s="136" t="s">
        <v>16</v>
      </c>
      <c r="B5089" s="136" t="s">
        <v>7971</v>
      </c>
      <c r="C5089" s="136" t="s">
        <v>8040</v>
      </c>
      <c r="D5089" s="136" t="s">
        <v>103</v>
      </c>
      <c r="E5089" s="136" t="s">
        <v>594</v>
      </c>
      <c r="F5089" s="136">
        <v>45</v>
      </c>
      <c r="G5089" s="137">
        <f t="shared" si="19"/>
        <v>18</v>
      </c>
      <c r="H5089" s="137"/>
      <c r="I5089" s="137"/>
      <c r="J5089" s="135"/>
      <c r="K5089" s="135"/>
      <c r="L5089" s="135"/>
      <c r="M5089" s="135"/>
      <c r="N5089" s="135"/>
      <c r="O5089" s="135"/>
      <c r="P5089" s="135"/>
      <c r="Q5089" s="135"/>
      <c r="R5089" s="135"/>
      <c r="S5089" s="135"/>
      <c r="T5089" s="135"/>
      <c r="U5089" s="135"/>
      <c r="V5089" s="135"/>
      <c r="W5089" s="135"/>
      <c r="X5089" s="135"/>
      <c r="Y5089" s="135"/>
      <c r="Z5089" s="135"/>
    </row>
    <row r="5090" spans="1:26" ht="25.5">
      <c r="A5090" s="136" t="s">
        <v>16</v>
      </c>
      <c r="B5090" s="136" t="s">
        <v>7971</v>
      </c>
      <c r="C5090" s="136" t="s">
        <v>8040</v>
      </c>
      <c r="D5090" s="136" t="s">
        <v>131</v>
      </c>
      <c r="E5090" s="136" t="s">
        <v>594</v>
      </c>
      <c r="F5090" s="136">
        <v>42</v>
      </c>
      <c r="G5090" s="137">
        <f t="shared" si="19"/>
        <v>19</v>
      </c>
      <c r="H5090" s="137"/>
      <c r="I5090" s="137"/>
      <c r="J5090" s="135"/>
      <c r="K5090" s="135"/>
      <c r="L5090" s="135"/>
      <c r="M5090" s="135"/>
      <c r="N5090" s="135"/>
      <c r="O5090" s="135"/>
      <c r="P5090" s="135"/>
      <c r="Q5090" s="135"/>
      <c r="R5090" s="135"/>
      <c r="S5090" s="135"/>
      <c r="T5090" s="135"/>
      <c r="U5090" s="135"/>
      <c r="V5090" s="135"/>
      <c r="W5090" s="135"/>
      <c r="X5090" s="135"/>
      <c r="Y5090" s="135"/>
      <c r="Z5090" s="135"/>
    </row>
    <row r="5091" spans="1:26" ht="25.5">
      <c r="A5091" s="136" t="s">
        <v>16</v>
      </c>
      <c r="B5091" s="136" t="s">
        <v>7971</v>
      </c>
      <c r="C5091" s="136" t="s">
        <v>8040</v>
      </c>
      <c r="D5091" s="136" t="s">
        <v>1680</v>
      </c>
      <c r="E5091" s="136" t="s">
        <v>615</v>
      </c>
      <c r="F5091" s="136">
        <v>30</v>
      </c>
      <c r="G5091" s="137">
        <f t="shared" si="19"/>
        <v>20</v>
      </c>
      <c r="H5091" s="137"/>
      <c r="I5091" s="137"/>
      <c r="J5091" s="135"/>
      <c r="K5091" s="135"/>
      <c r="L5091" s="135"/>
      <c r="M5091" s="135"/>
      <c r="N5091" s="135"/>
      <c r="O5091" s="135"/>
      <c r="P5091" s="135"/>
      <c r="Q5091" s="135"/>
      <c r="R5091" s="135"/>
      <c r="S5091" s="135"/>
      <c r="T5091" s="135"/>
      <c r="U5091" s="135"/>
      <c r="V5091" s="135"/>
      <c r="W5091" s="135"/>
      <c r="X5091" s="135"/>
      <c r="Y5091" s="135"/>
      <c r="Z5091" s="135"/>
    </row>
    <row r="5092" spans="1:26" ht="25.5">
      <c r="A5092" s="136" t="s">
        <v>16</v>
      </c>
      <c r="B5092" s="136" t="s">
        <v>7971</v>
      </c>
      <c r="C5092" s="136" t="s">
        <v>8040</v>
      </c>
      <c r="D5092" s="136" t="s">
        <v>1682</v>
      </c>
      <c r="E5092" s="136" t="s">
        <v>86</v>
      </c>
      <c r="F5092" s="136">
        <v>30</v>
      </c>
      <c r="G5092" s="137">
        <f t="shared" si="19"/>
        <v>21</v>
      </c>
      <c r="H5092" s="137"/>
      <c r="I5092" s="137"/>
      <c r="J5092" s="135"/>
      <c r="K5092" s="135"/>
      <c r="L5092" s="135"/>
      <c r="M5092" s="135"/>
      <c r="N5092" s="135"/>
      <c r="O5092" s="135"/>
      <c r="P5092" s="135"/>
      <c r="Q5092" s="135"/>
      <c r="R5092" s="135"/>
      <c r="S5092" s="135"/>
      <c r="T5092" s="135"/>
      <c r="U5092" s="135"/>
      <c r="V5092" s="135"/>
      <c r="W5092" s="135"/>
      <c r="X5092" s="135"/>
      <c r="Y5092" s="135"/>
      <c r="Z5092" s="135"/>
    </row>
    <row r="5093" spans="1:26" ht="25.5">
      <c r="A5093" s="136" t="s">
        <v>16</v>
      </c>
      <c r="B5093" s="136" t="s">
        <v>7971</v>
      </c>
      <c r="C5093" s="136" t="s">
        <v>8040</v>
      </c>
      <c r="D5093" s="136" t="s">
        <v>7786</v>
      </c>
      <c r="E5093" s="136" t="s">
        <v>615</v>
      </c>
      <c r="F5093" s="136">
        <v>10</v>
      </c>
      <c r="G5093" s="137">
        <f t="shared" si="19"/>
        <v>22</v>
      </c>
      <c r="H5093" s="137"/>
      <c r="I5093" s="137"/>
      <c r="J5093" s="135"/>
      <c r="K5093" s="135"/>
      <c r="L5093" s="135"/>
      <c r="M5093" s="135"/>
      <c r="N5093" s="135"/>
      <c r="O5093" s="135"/>
      <c r="P5093" s="135"/>
      <c r="Q5093" s="135"/>
      <c r="R5093" s="135"/>
      <c r="S5093" s="135"/>
      <c r="T5093" s="135"/>
      <c r="U5093" s="135"/>
      <c r="V5093" s="135"/>
      <c r="W5093" s="135"/>
      <c r="X5093" s="135"/>
      <c r="Y5093" s="135"/>
      <c r="Z5093" s="135"/>
    </row>
    <row r="5094" spans="1:26" ht="25.5">
      <c r="A5094" s="136" t="s">
        <v>16</v>
      </c>
      <c r="B5094" s="136" t="s">
        <v>7971</v>
      </c>
      <c r="C5094" s="136" t="s">
        <v>8041</v>
      </c>
      <c r="D5094" s="136" t="s">
        <v>158</v>
      </c>
      <c r="E5094" s="136" t="s">
        <v>615</v>
      </c>
      <c r="F5094" s="136">
        <v>2895</v>
      </c>
      <c r="G5094" s="137">
        <f t="shared" si="19"/>
        <v>1</v>
      </c>
      <c r="H5094" s="137"/>
      <c r="I5094" s="137"/>
      <c r="J5094" s="135"/>
      <c r="K5094" s="135"/>
      <c r="L5094" s="135"/>
      <c r="M5094" s="135"/>
      <c r="N5094" s="135"/>
      <c r="O5094" s="135"/>
      <c r="P5094" s="135"/>
      <c r="Q5094" s="135"/>
      <c r="R5094" s="135"/>
      <c r="S5094" s="135"/>
      <c r="T5094" s="135"/>
      <c r="U5094" s="135"/>
      <c r="V5094" s="135"/>
      <c r="W5094" s="135"/>
      <c r="X5094" s="135"/>
      <c r="Y5094" s="135"/>
      <c r="Z5094" s="135"/>
    </row>
    <row r="5095" spans="1:26" ht="25.5">
      <c r="A5095" s="136" t="s">
        <v>16</v>
      </c>
      <c r="B5095" s="136" t="s">
        <v>7971</v>
      </c>
      <c r="C5095" s="136" t="s">
        <v>8041</v>
      </c>
      <c r="D5095" s="136" t="s">
        <v>1639</v>
      </c>
      <c r="E5095" s="136" t="s">
        <v>615</v>
      </c>
      <c r="F5095" s="136">
        <v>1579</v>
      </c>
      <c r="G5095" s="137">
        <f t="shared" si="19"/>
        <v>2</v>
      </c>
      <c r="H5095" s="137"/>
      <c r="I5095" s="137"/>
      <c r="J5095" s="135"/>
      <c r="K5095" s="135"/>
      <c r="L5095" s="135"/>
      <c r="M5095" s="135"/>
      <c r="N5095" s="135"/>
      <c r="O5095" s="135"/>
      <c r="P5095" s="135"/>
      <c r="Q5095" s="135"/>
      <c r="R5095" s="135"/>
      <c r="S5095" s="135"/>
      <c r="T5095" s="135"/>
      <c r="U5095" s="135"/>
      <c r="V5095" s="135"/>
      <c r="W5095" s="135"/>
      <c r="X5095" s="135"/>
      <c r="Y5095" s="135"/>
      <c r="Z5095" s="135"/>
    </row>
    <row r="5096" spans="1:26" ht="25.5">
      <c r="A5096" s="136" t="s">
        <v>16</v>
      </c>
      <c r="B5096" s="136" t="s">
        <v>7971</v>
      </c>
      <c r="C5096" s="136" t="s">
        <v>8041</v>
      </c>
      <c r="D5096" s="136" t="s">
        <v>7993</v>
      </c>
      <c r="E5096" s="136" t="s">
        <v>615</v>
      </c>
      <c r="F5096" s="136">
        <v>499</v>
      </c>
      <c r="G5096" s="137">
        <f t="shared" si="19"/>
        <v>3</v>
      </c>
      <c r="H5096" s="137"/>
      <c r="I5096" s="137"/>
      <c r="J5096" s="135"/>
      <c r="K5096" s="135"/>
      <c r="L5096" s="135"/>
      <c r="M5096" s="135"/>
      <c r="N5096" s="135"/>
      <c r="O5096" s="135"/>
      <c r="P5096" s="135"/>
      <c r="Q5096" s="135"/>
      <c r="R5096" s="135"/>
      <c r="S5096" s="135"/>
      <c r="T5096" s="135"/>
      <c r="U5096" s="135"/>
      <c r="V5096" s="135"/>
      <c r="W5096" s="135"/>
      <c r="X5096" s="135"/>
      <c r="Y5096" s="135"/>
      <c r="Z5096" s="135"/>
    </row>
    <row r="5097" spans="1:26" ht="25.5">
      <c r="A5097" s="136" t="s">
        <v>16</v>
      </c>
      <c r="B5097" s="136" t="s">
        <v>7971</v>
      </c>
      <c r="C5097" s="136" t="s">
        <v>8041</v>
      </c>
      <c r="D5097" s="136" t="s">
        <v>165</v>
      </c>
      <c r="E5097" s="136" t="s">
        <v>615</v>
      </c>
      <c r="F5097" s="136">
        <v>336</v>
      </c>
      <c r="G5097" s="137">
        <f t="shared" si="19"/>
        <v>4</v>
      </c>
      <c r="H5097" s="137"/>
      <c r="I5097" s="137"/>
      <c r="J5097" s="135"/>
      <c r="K5097" s="135"/>
      <c r="L5097" s="135"/>
      <c r="M5097" s="135"/>
      <c r="N5097" s="135"/>
      <c r="O5097" s="135"/>
      <c r="P5097" s="135"/>
      <c r="Q5097" s="135"/>
      <c r="R5097" s="135"/>
      <c r="S5097" s="135"/>
      <c r="T5097" s="135"/>
      <c r="U5097" s="135"/>
      <c r="V5097" s="135"/>
      <c r="W5097" s="135"/>
      <c r="X5097" s="135"/>
      <c r="Y5097" s="135"/>
      <c r="Z5097" s="135"/>
    </row>
    <row r="5098" spans="1:26" ht="25.5">
      <c r="A5098" s="136" t="s">
        <v>16</v>
      </c>
      <c r="B5098" s="136" t="s">
        <v>7971</v>
      </c>
      <c r="C5098" s="136" t="s">
        <v>8041</v>
      </c>
      <c r="D5098" s="136" t="s">
        <v>139</v>
      </c>
      <c r="E5098" s="136" t="s">
        <v>594</v>
      </c>
      <c r="F5098" s="136">
        <v>258</v>
      </c>
      <c r="G5098" s="137">
        <f t="shared" si="19"/>
        <v>5</v>
      </c>
      <c r="H5098" s="137"/>
      <c r="I5098" s="137"/>
      <c r="J5098" s="135"/>
      <c r="K5098" s="135"/>
      <c r="L5098" s="135"/>
      <c r="M5098" s="135"/>
      <c r="N5098" s="135"/>
      <c r="O5098" s="135"/>
      <c r="P5098" s="135"/>
      <c r="Q5098" s="135"/>
      <c r="R5098" s="135"/>
      <c r="S5098" s="135"/>
      <c r="T5098" s="135"/>
      <c r="U5098" s="135"/>
      <c r="V5098" s="135"/>
      <c r="W5098" s="135"/>
      <c r="X5098" s="135"/>
      <c r="Y5098" s="135"/>
      <c r="Z5098" s="135"/>
    </row>
    <row r="5099" spans="1:26" ht="25.5">
      <c r="A5099" s="136" t="s">
        <v>16</v>
      </c>
      <c r="B5099" s="136" t="s">
        <v>7971</v>
      </c>
      <c r="C5099" s="136" t="s">
        <v>8041</v>
      </c>
      <c r="D5099" s="136" t="s">
        <v>7481</v>
      </c>
      <c r="E5099" s="136" t="s">
        <v>615</v>
      </c>
      <c r="F5099" s="136">
        <v>214</v>
      </c>
      <c r="G5099" s="137">
        <f t="shared" si="19"/>
        <v>6</v>
      </c>
      <c r="H5099" s="137"/>
      <c r="I5099" s="137"/>
      <c r="J5099" s="135"/>
      <c r="K5099" s="135"/>
      <c r="L5099" s="135"/>
      <c r="M5099" s="135"/>
      <c r="N5099" s="135"/>
      <c r="O5099" s="135"/>
      <c r="P5099" s="135"/>
      <c r="Q5099" s="135"/>
      <c r="R5099" s="135"/>
      <c r="S5099" s="135"/>
      <c r="T5099" s="135"/>
      <c r="U5099" s="135"/>
      <c r="V5099" s="135"/>
      <c r="W5099" s="135"/>
      <c r="X5099" s="135"/>
      <c r="Y5099" s="135"/>
      <c r="Z5099" s="135"/>
    </row>
    <row r="5100" spans="1:26" ht="25.5">
      <c r="A5100" s="136" t="s">
        <v>16</v>
      </c>
      <c r="B5100" s="136" t="s">
        <v>7971</v>
      </c>
      <c r="C5100" s="136" t="s">
        <v>8041</v>
      </c>
      <c r="D5100" s="136" t="s">
        <v>437</v>
      </c>
      <c r="E5100" s="136" t="s">
        <v>594</v>
      </c>
      <c r="F5100" s="136">
        <v>172</v>
      </c>
      <c r="G5100" s="137">
        <f t="shared" si="19"/>
        <v>7</v>
      </c>
      <c r="H5100" s="137"/>
      <c r="I5100" s="137"/>
      <c r="J5100" s="135"/>
      <c r="K5100" s="135"/>
      <c r="L5100" s="135"/>
      <c r="M5100" s="135"/>
      <c r="N5100" s="135"/>
      <c r="O5100" s="135"/>
      <c r="P5100" s="135"/>
      <c r="Q5100" s="135"/>
      <c r="R5100" s="135"/>
      <c r="S5100" s="135"/>
      <c r="T5100" s="135"/>
      <c r="U5100" s="135"/>
      <c r="V5100" s="135"/>
      <c r="W5100" s="135"/>
      <c r="X5100" s="135"/>
      <c r="Y5100" s="135"/>
      <c r="Z5100" s="135"/>
    </row>
    <row r="5101" spans="1:26" ht="25.5">
      <c r="A5101" s="136" t="s">
        <v>16</v>
      </c>
      <c r="B5101" s="136" t="s">
        <v>7971</v>
      </c>
      <c r="C5101" s="136" t="s">
        <v>8041</v>
      </c>
      <c r="D5101" s="136" t="s">
        <v>136</v>
      </c>
      <c r="E5101" s="136" t="s">
        <v>615</v>
      </c>
      <c r="F5101" s="136">
        <v>139</v>
      </c>
      <c r="G5101" s="137">
        <f t="shared" si="19"/>
        <v>8</v>
      </c>
      <c r="H5101" s="137"/>
      <c r="I5101" s="137"/>
      <c r="J5101" s="135"/>
      <c r="K5101" s="135"/>
      <c r="L5101" s="135"/>
      <c r="M5101" s="135"/>
      <c r="N5101" s="135"/>
      <c r="O5101" s="135"/>
      <c r="P5101" s="135"/>
      <c r="Q5101" s="135"/>
      <c r="R5101" s="135"/>
      <c r="S5101" s="135"/>
      <c r="T5101" s="135"/>
      <c r="U5101" s="135"/>
      <c r="V5101" s="135"/>
      <c r="W5101" s="135"/>
      <c r="X5101" s="135"/>
      <c r="Y5101" s="135"/>
      <c r="Z5101" s="135"/>
    </row>
    <row r="5102" spans="1:26" ht="25.5">
      <c r="A5102" s="136" t="s">
        <v>16</v>
      </c>
      <c r="B5102" s="136" t="s">
        <v>7971</v>
      </c>
      <c r="C5102" s="136" t="s">
        <v>8041</v>
      </c>
      <c r="D5102" s="136" t="s">
        <v>368</v>
      </c>
      <c r="E5102" s="136" t="s">
        <v>594</v>
      </c>
      <c r="F5102" s="136">
        <v>99</v>
      </c>
      <c r="G5102" s="137">
        <f t="shared" ref="G5102:G5356" si="20">COUNTIFS($C:$C,C5102,$F:$F,"&gt;"&amp;F5102)
 + COUNTIFS($C$2:C5102,C5102,$F$2:F5102,F5102)</f>
        <v>9</v>
      </c>
      <c r="H5102" s="137"/>
      <c r="I5102" s="137"/>
      <c r="J5102" s="135"/>
      <c r="K5102" s="135"/>
      <c r="L5102" s="135"/>
      <c r="M5102" s="135"/>
      <c r="N5102" s="135"/>
      <c r="O5102" s="135"/>
      <c r="P5102" s="135"/>
      <c r="Q5102" s="135"/>
      <c r="R5102" s="135"/>
      <c r="S5102" s="135"/>
      <c r="T5102" s="135"/>
      <c r="U5102" s="135"/>
      <c r="V5102" s="135"/>
      <c r="W5102" s="135"/>
      <c r="X5102" s="135"/>
      <c r="Y5102" s="135"/>
      <c r="Z5102" s="135"/>
    </row>
    <row r="5103" spans="1:26" ht="25.5">
      <c r="A5103" s="136" t="s">
        <v>16</v>
      </c>
      <c r="B5103" s="136" t="s">
        <v>7971</v>
      </c>
      <c r="C5103" s="136" t="s">
        <v>8041</v>
      </c>
      <c r="D5103" s="136" t="s">
        <v>103</v>
      </c>
      <c r="E5103" s="136" t="s">
        <v>594</v>
      </c>
      <c r="F5103" s="136">
        <v>71</v>
      </c>
      <c r="G5103" s="137">
        <f t="shared" si="20"/>
        <v>10</v>
      </c>
      <c r="H5103" s="137"/>
      <c r="I5103" s="137"/>
      <c r="J5103" s="135"/>
      <c r="K5103" s="135"/>
      <c r="L5103" s="135"/>
      <c r="M5103" s="135"/>
      <c r="N5103" s="135"/>
      <c r="O5103" s="135"/>
      <c r="P5103" s="135"/>
      <c r="Q5103" s="135"/>
      <c r="R5103" s="135"/>
      <c r="S5103" s="135"/>
      <c r="T5103" s="135"/>
      <c r="U5103" s="135"/>
      <c r="V5103" s="135"/>
      <c r="W5103" s="135"/>
      <c r="X5103" s="135"/>
      <c r="Y5103" s="135"/>
      <c r="Z5103" s="135"/>
    </row>
    <row r="5104" spans="1:26" ht="25.5">
      <c r="A5104" s="136" t="s">
        <v>16</v>
      </c>
      <c r="B5104" s="136" t="s">
        <v>7971</v>
      </c>
      <c r="C5104" s="136" t="s">
        <v>8041</v>
      </c>
      <c r="D5104" s="136" t="s">
        <v>7786</v>
      </c>
      <c r="E5104" s="136" t="s">
        <v>615</v>
      </c>
      <c r="F5104" s="136">
        <v>59</v>
      </c>
      <c r="G5104" s="137">
        <f t="shared" si="20"/>
        <v>11</v>
      </c>
      <c r="H5104" s="137"/>
      <c r="I5104" s="137"/>
      <c r="J5104" s="135"/>
      <c r="K5104" s="135"/>
      <c r="L5104" s="135"/>
      <c r="M5104" s="135"/>
      <c r="N5104" s="135"/>
      <c r="O5104" s="135"/>
      <c r="P5104" s="135"/>
      <c r="Q5104" s="135"/>
      <c r="R5104" s="135"/>
      <c r="S5104" s="135"/>
      <c r="T5104" s="135"/>
      <c r="U5104" s="135"/>
      <c r="V5104" s="135"/>
      <c r="W5104" s="135"/>
      <c r="X5104" s="135"/>
      <c r="Y5104" s="135"/>
      <c r="Z5104" s="135"/>
    </row>
    <row r="5105" spans="1:26" ht="25.5">
      <c r="A5105" s="136" t="s">
        <v>16</v>
      </c>
      <c r="B5105" s="136" t="s">
        <v>7971</v>
      </c>
      <c r="C5105" s="136" t="s">
        <v>8041</v>
      </c>
      <c r="D5105" s="136" t="s">
        <v>131</v>
      </c>
      <c r="E5105" s="136" t="s">
        <v>594</v>
      </c>
      <c r="F5105" s="136">
        <v>36</v>
      </c>
      <c r="G5105" s="137">
        <f t="shared" si="20"/>
        <v>12</v>
      </c>
      <c r="H5105" s="137"/>
      <c r="I5105" s="137"/>
      <c r="J5105" s="135"/>
      <c r="K5105" s="135"/>
      <c r="L5105" s="135"/>
      <c r="M5105" s="135"/>
      <c r="N5105" s="135"/>
      <c r="O5105" s="135"/>
      <c r="P5105" s="135"/>
      <c r="Q5105" s="135"/>
      <c r="R5105" s="135"/>
      <c r="S5105" s="135"/>
      <c r="T5105" s="135"/>
      <c r="U5105" s="135"/>
      <c r="V5105" s="135"/>
      <c r="W5105" s="135"/>
      <c r="X5105" s="135"/>
      <c r="Y5105" s="135"/>
      <c r="Z5105" s="135"/>
    </row>
    <row r="5106" spans="1:26" ht="25.5">
      <c r="A5106" s="136" t="s">
        <v>16</v>
      </c>
      <c r="B5106" s="136" t="s">
        <v>7971</v>
      </c>
      <c r="C5106" s="136" t="s">
        <v>8041</v>
      </c>
      <c r="D5106" s="136" t="s">
        <v>1680</v>
      </c>
      <c r="E5106" s="136" t="s">
        <v>615</v>
      </c>
      <c r="F5106" s="136">
        <v>35</v>
      </c>
      <c r="G5106" s="137">
        <f t="shared" si="20"/>
        <v>13</v>
      </c>
      <c r="H5106" s="137"/>
      <c r="I5106" s="137"/>
      <c r="J5106" s="135"/>
      <c r="K5106" s="135"/>
      <c r="L5106" s="135"/>
      <c r="M5106" s="135"/>
      <c r="N5106" s="135"/>
      <c r="O5106" s="135"/>
      <c r="P5106" s="135"/>
      <c r="Q5106" s="135"/>
      <c r="R5106" s="135"/>
      <c r="S5106" s="135"/>
      <c r="T5106" s="135"/>
      <c r="U5106" s="135"/>
      <c r="V5106" s="135"/>
      <c r="W5106" s="135"/>
      <c r="X5106" s="135"/>
      <c r="Y5106" s="135"/>
      <c r="Z5106" s="135"/>
    </row>
    <row r="5107" spans="1:26" ht="25.5">
      <c r="A5107" s="136" t="s">
        <v>16</v>
      </c>
      <c r="B5107" s="136" t="s">
        <v>7971</v>
      </c>
      <c r="C5107" s="136" t="s">
        <v>8041</v>
      </c>
      <c r="D5107" s="136" t="s">
        <v>1666</v>
      </c>
      <c r="E5107" s="136" t="s">
        <v>85</v>
      </c>
      <c r="F5107" s="136">
        <v>28</v>
      </c>
      <c r="G5107" s="137">
        <f t="shared" si="20"/>
        <v>14</v>
      </c>
      <c r="H5107" s="137"/>
      <c r="I5107" s="137"/>
      <c r="J5107" s="135"/>
      <c r="K5107" s="135"/>
      <c r="L5107" s="135"/>
      <c r="M5107" s="135"/>
      <c r="N5107" s="135"/>
      <c r="O5107" s="135"/>
      <c r="P5107" s="135"/>
      <c r="Q5107" s="135"/>
      <c r="R5107" s="135"/>
      <c r="S5107" s="135"/>
      <c r="T5107" s="135"/>
      <c r="U5107" s="135"/>
      <c r="V5107" s="135"/>
      <c r="W5107" s="135"/>
      <c r="X5107" s="135"/>
      <c r="Y5107" s="135"/>
      <c r="Z5107" s="135"/>
    </row>
    <row r="5108" spans="1:26" ht="25.5">
      <c r="A5108" s="136" t="s">
        <v>16</v>
      </c>
      <c r="B5108" s="136" t="s">
        <v>7971</v>
      </c>
      <c r="C5108" s="136" t="s">
        <v>8041</v>
      </c>
      <c r="D5108" s="136" t="s">
        <v>1626</v>
      </c>
      <c r="E5108" s="136" t="s">
        <v>594</v>
      </c>
      <c r="F5108" s="136">
        <v>26</v>
      </c>
      <c r="G5108" s="137">
        <f t="shared" si="20"/>
        <v>15</v>
      </c>
      <c r="H5108" s="137"/>
      <c r="I5108" s="137"/>
      <c r="J5108" s="135"/>
      <c r="K5108" s="135"/>
      <c r="L5108" s="135"/>
      <c r="M5108" s="135"/>
      <c r="N5108" s="135"/>
      <c r="O5108" s="135"/>
      <c r="P5108" s="135"/>
      <c r="Q5108" s="135"/>
      <c r="R5108" s="135"/>
      <c r="S5108" s="135"/>
      <c r="T5108" s="135"/>
      <c r="U5108" s="135"/>
      <c r="V5108" s="135"/>
      <c r="W5108" s="135"/>
      <c r="X5108" s="135"/>
      <c r="Y5108" s="135"/>
      <c r="Z5108" s="135"/>
    </row>
    <row r="5109" spans="1:26" ht="25.5">
      <c r="A5109" s="136" t="s">
        <v>16</v>
      </c>
      <c r="B5109" s="136" t="s">
        <v>7971</v>
      </c>
      <c r="C5109" s="136" t="s">
        <v>8041</v>
      </c>
      <c r="D5109" s="136" t="s">
        <v>114</v>
      </c>
      <c r="E5109" s="136" t="s">
        <v>85</v>
      </c>
      <c r="F5109" s="136">
        <v>24</v>
      </c>
      <c r="G5109" s="137">
        <f t="shared" si="20"/>
        <v>16</v>
      </c>
      <c r="H5109" s="137"/>
      <c r="I5109" s="137"/>
      <c r="J5109" s="135"/>
      <c r="K5109" s="135"/>
      <c r="L5109" s="135"/>
      <c r="M5109" s="135"/>
      <c r="N5109" s="135"/>
      <c r="O5109" s="135"/>
      <c r="P5109" s="135"/>
      <c r="Q5109" s="135"/>
      <c r="R5109" s="135"/>
      <c r="S5109" s="135"/>
      <c r="T5109" s="135"/>
      <c r="U5109" s="135"/>
      <c r="V5109" s="135"/>
      <c r="W5109" s="135"/>
      <c r="X5109" s="135"/>
      <c r="Y5109" s="135"/>
      <c r="Z5109" s="135"/>
    </row>
    <row r="5110" spans="1:26" ht="25.5">
      <c r="A5110" s="136" t="s">
        <v>16</v>
      </c>
      <c r="B5110" s="136" t="s">
        <v>7971</v>
      </c>
      <c r="C5110" s="136" t="s">
        <v>8041</v>
      </c>
      <c r="D5110" s="136" t="s">
        <v>1665</v>
      </c>
      <c r="E5110" s="136" t="s">
        <v>615</v>
      </c>
      <c r="F5110" s="136">
        <v>22</v>
      </c>
      <c r="G5110" s="137">
        <f t="shared" si="20"/>
        <v>17</v>
      </c>
      <c r="H5110" s="137"/>
      <c r="I5110" s="137"/>
      <c r="J5110" s="135"/>
      <c r="K5110" s="135"/>
      <c r="L5110" s="135"/>
      <c r="M5110" s="135"/>
      <c r="N5110" s="135"/>
      <c r="O5110" s="135"/>
      <c r="P5110" s="135"/>
      <c r="Q5110" s="135"/>
      <c r="R5110" s="135"/>
      <c r="S5110" s="135"/>
      <c r="T5110" s="135"/>
      <c r="U5110" s="135"/>
      <c r="V5110" s="135"/>
      <c r="W5110" s="135"/>
      <c r="X5110" s="135"/>
      <c r="Y5110" s="135"/>
      <c r="Z5110" s="135"/>
    </row>
    <row r="5111" spans="1:26" ht="25.5">
      <c r="A5111" s="136" t="s">
        <v>16</v>
      </c>
      <c r="B5111" s="136" t="s">
        <v>7971</v>
      </c>
      <c r="C5111" s="136" t="s">
        <v>8041</v>
      </c>
      <c r="D5111" s="136" t="s">
        <v>7985</v>
      </c>
      <c r="E5111" s="136" t="s">
        <v>615</v>
      </c>
      <c r="F5111" s="136">
        <v>15</v>
      </c>
      <c r="G5111" s="137">
        <f t="shared" si="20"/>
        <v>18</v>
      </c>
      <c r="H5111" s="137"/>
      <c r="I5111" s="137"/>
      <c r="J5111" s="135"/>
      <c r="K5111" s="135"/>
      <c r="L5111" s="135"/>
      <c r="M5111" s="135"/>
      <c r="N5111" s="135"/>
      <c r="O5111" s="135"/>
      <c r="P5111" s="135"/>
      <c r="Q5111" s="135"/>
      <c r="R5111" s="135"/>
      <c r="S5111" s="135"/>
      <c r="T5111" s="135"/>
      <c r="U5111" s="135"/>
      <c r="V5111" s="135"/>
      <c r="W5111" s="135"/>
      <c r="X5111" s="135"/>
      <c r="Y5111" s="135"/>
      <c r="Z5111" s="135"/>
    </row>
    <row r="5112" spans="1:26" ht="25.5">
      <c r="A5112" s="136" t="s">
        <v>16</v>
      </c>
      <c r="B5112" s="136" t="s">
        <v>7971</v>
      </c>
      <c r="C5112" s="136" t="s">
        <v>8041</v>
      </c>
      <c r="D5112" s="136" t="s">
        <v>467</v>
      </c>
      <c r="E5112" s="136" t="s">
        <v>85</v>
      </c>
      <c r="F5112" s="136">
        <v>15</v>
      </c>
      <c r="G5112" s="137">
        <f t="shared" si="20"/>
        <v>19</v>
      </c>
      <c r="H5112" s="137"/>
      <c r="I5112" s="137"/>
      <c r="J5112" s="135"/>
      <c r="K5112" s="135"/>
      <c r="L5112" s="135"/>
      <c r="M5112" s="135"/>
      <c r="N5112" s="135"/>
      <c r="O5112" s="135"/>
      <c r="P5112" s="135"/>
      <c r="Q5112" s="135"/>
      <c r="R5112" s="135"/>
      <c r="S5112" s="135"/>
      <c r="T5112" s="135"/>
      <c r="U5112" s="135"/>
      <c r="V5112" s="135"/>
      <c r="W5112" s="135"/>
      <c r="X5112" s="135"/>
      <c r="Y5112" s="135"/>
      <c r="Z5112" s="135"/>
    </row>
    <row r="5113" spans="1:26" ht="25.5">
      <c r="A5113" s="136" t="s">
        <v>16</v>
      </c>
      <c r="B5113" s="136" t="s">
        <v>7971</v>
      </c>
      <c r="C5113" s="136" t="s">
        <v>8042</v>
      </c>
      <c r="D5113" s="136" t="s">
        <v>158</v>
      </c>
      <c r="E5113" s="136" t="s">
        <v>615</v>
      </c>
      <c r="F5113" s="136">
        <v>1390</v>
      </c>
      <c r="G5113" s="137">
        <f t="shared" si="20"/>
        <v>1</v>
      </c>
      <c r="H5113" s="137"/>
      <c r="I5113" s="137"/>
      <c r="J5113" s="135"/>
      <c r="K5113" s="135"/>
      <c r="L5113" s="135"/>
      <c r="M5113" s="135"/>
      <c r="N5113" s="135"/>
      <c r="O5113" s="135"/>
      <c r="P5113" s="135"/>
      <c r="Q5113" s="135"/>
      <c r="R5113" s="135"/>
      <c r="S5113" s="135"/>
      <c r="T5113" s="135"/>
      <c r="U5113" s="135"/>
      <c r="V5113" s="135"/>
      <c r="W5113" s="135"/>
      <c r="X5113" s="135"/>
      <c r="Y5113" s="135"/>
      <c r="Z5113" s="135"/>
    </row>
    <row r="5114" spans="1:26" ht="25.5">
      <c r="A5114" s="136" t="s">
        <v>16</v>
      </c>
      <c r="B5114" s="136" t="s">
        <v>7971</v>
      </c>
      <c r="C5114" s="136" t="s">
        <v>8042</v>
      </c>
      <c r="D5114" s="136" t="s">
        <v>1656</v>
      </c>
      <c r="E5114" s="136" t="s">
        <v>594</v>
      </c>
      <c r="F5114" s="136">
        <v>587</v>
      </c>
      <c r="G5114" s="137">
        <f t="shared" si="20"/>
        <v>2</v>
      </c>
      <c r="H5114" s="137"/>
      <c r="I5114" s="137"/>
      <c r="J5114" s="135"/>
      <c r="K5114" s="135"/>
      <c r="L5114" s="135"/>
      <c r="M5114" s="135"/>
      <c r="N5114" s="135"/>
      <c r="O5114" s="135"/>
      <c r="P5114" s="135"/>
      <c r="Q5114" s="135"/>
      <c r="R5114" s="135"/>
      <c r="S5114" s="135"/>
      <c r="T5114" s="135"/>
      <c r="U5114" s="135"/>
      <c r="V5114" s="135"/>
      <c r="W5114" s="135"/>
      <c r="X5114" s="135"/>
      <c r="Y5114" s="135"/>
      <c r="Z5114" s="135"/>
    </row>
    <row r="5115" spans="1:26" ht="25.5">
      <c r="A5115" s="136" t="s">
        <v>16</v>
      </c>
      <c r="B5115" s="136" t="s">
        <v>7971</v>
      </c>
      <c r="C5115" s="136" t="s">
        <v>8042</v>
      </c>
      <c r="D5115" s="136" t="s">
        <v>7993</v>
      </c>
      <c r="E5115" s="136" t="s">
        <v>615</v>
      </c>
      <c r="F5115" s="136">
        <v>583</v>
      </c>
      <c r="G5115" s="137">
        <f t="shared" si="20"/>
        <v>3</v>
      </c>
      <c r="H5115" s="137"/>
      <c r="I5115" s="137"/>
      <c r="J5115" s="135"/>
      <c r="K5115" s="135"/>
      <c r="L5115" s="135"/>
      <c r="M5115" s="135"/>
      <c r="N5115" s="135"/>
      <c r="O5115" s="135"/>
      <c r="P5115" s="135"/>
      <c r="Q5115" s="135"/>
      <c r="R5115" s="135"/>
      <c r="S5115" s="135"/>
      <c r="T5115" s="135"/>
      <c r="U5115" s="135"/>
      <c r="V5115" s="135"/>
      <c r="W5115" s="135"/>
      <c r="X5115" s="135"/>
      <c r="Y5115" s="135"/>
      <c r="Z5115" s="135"/>
    </row>
    <row r="5116" spans="1:26" ht="25.5">
      <c r="A5116" s="136" t="s">
        <v>16</v>
      </c>
      <c r="B5116" s="136" t="s">
        <v>7971</v>
      </c>
      <c r="C5116" s="136" t="s">
        <v>8042</v>
      </c>
      <c r="D5116" s="136" t="s">
        <v>139</v>
      </c>
      <c r="E5116" s="136" t="s">
        <v>594</v>
      </c>
      <c r="F5116" s="136">
        <v>549</v>
      </c>
      <c r="G5116" s="137">
        <f t="shared" si="20"/>
        <v>4</v>
      </c>
      <c r="H5116" s="137"/>
      <c r="I5116" s="137"/>
      <c r="J5116" s="135"/>
      <c r="K5116" s="135"/>
      <c r="L5116" s="135"/>
      <c r="M5116" s="135"/>
      <c r="N5116" s="135"/>
      <c r="O5116" s="135"/>
      <c r="P5116" s="135"/>
      <c r="Q5116" s="135"/>
      <c r="R5116" s="135"/>
      <c r="S5116" s="135"/>
      <c r="T5116" s="135"/>
      <c r="U5116" s="135"/>
      <c r="V5116" s="135"/>
      <c r="W5116" s="135"/>
      <c r="X5116" s="135"/>
      <c r="Y5116" s="135"/>
      <c r="Z5116" s="135"/>
    </row>
    <row r="5117" spans="1:26" ht="25.5">
      <c r="A5117" s="136" t="s">
        <v>16</v>
      </c>
      <c r="B5117" s="136" t="s">
        <v>7971</v>
      </c>
      <c r="C5117" s="136" t="s">
        <v>8042</v>
      </c>
      <c r="D5117" s="136" t="s">
        <v>7786</v>
      </c>
      <c r="E5117" s="136" t="s">
        <v>615</v>
      </c>
      <c r="F5117" s="136">
        <v>280</v>
      </c>
      <c r="G5117" s="137">
        <f t="shared" si="20"/>
        <v>5</v>
      </c>
      <c r="H5117" s="137"/>
      <c r="I5117" s="137"/>
      <c r="J5117" s="135"/>
      <c r="K5117" s="135"/>
      <c r="L5117" s="135"/>
      <c r="M5117" s="135"/>
      <c r="N5117" s="135"/>
      <c r="O5117" s="135"/>
      <c r="P5117" s="135"/>
      <c r="Q5117" s="135"/>
      <c r="R5117" s="135"/>
      <c r="S5117" s="135"/>
      <c r="T5117" s="135"/>
      <c r="U5117" s="135"/>
      <c r="V5117" s="135"/>
      <c r="W5117" s="135"/>
      <c r="X5117" s="135"/>
      <c r="Y5117" s="135"/>
      <c r="Z5117" s="135"/>
    </row>
    <row r="5118" spans="1:26" ht="25.5">
      <c r="A5118" s="136" t="s">
        <v>16</v>
      </c>
      <c r="B5118" s="136" t="s">
        <v>7971</v>
      </c>
      <c r="C5118" s="136" t="s">
        <v>8042</v>
      </c>
      <c r="D5118" s="136" t="s">
        <v>368</v>
      </c>
      <c r="E5118" s="136" t="s">
        <v>594</v>
      </c>
      <c r="F5118" s="136">
        <v>243</v>
      </c>
      <c r="G5118" s="137">
        <f t="shared" si="20"/>
        <v>6</v>
      </c>
      <c r="H5118" s="137"/>
      <c r="I5118" s="137"/>
      <c r="J5118" s="135"/>
      <c r="K5118" s="135"/>
      <c r="L5118" s="135"/>
      <c r="M5118" s="135"/>
      <c r="N5118" s="135"/>
      <c r="O5118" s="135"/>
      <c r="P5118" s="135"/>
      <c r="Q5118" s="135"/>
      <c r="R5118" s="135"/>
      <c r="S5118" s="135"/>
      <c r="T5118" s="135"/>
      <c r="U5118" s="135"/>
      <c r="V5118" s="135"/>
      <c r="W5118" s="135"/>
      <c r="X5118" s="135"/>
      <c r="Y5118" s="135"/>
      <c r="Z5118" s="135"/>
    </row>
    <row r="5119" spans="1:26" ht="25.5">
      <c r="A5119" s="136" t="s">
        <v>16</v>
      </c>
      <c r="B5119" s="136" t="s">
        <v>7971</v>
      </c>
      <c r="C5119" s="136" t="s">
        <v>8042</v>
      </c>
      <c r="D5119" s="136" t="s">
        <v>107</v>
      </c>
      <c r="E5119" s="136" t="s">
        <v>615</v>
      </c>
      <c r="F5119" s="136">
        <v>227</v>
      </c>
      <c r="G5119" s="137">
        <f t="shared" si="20"/>
        <v>7</v>
      </c>
      <c r="H5119" s="137"/>
      <c r="I5119" s="137"/>
      <c r="J5119" s="135"/>
      <c r="K5119" s="135"/>
      <c r="L5119" s="135"/>
      <c r="M5119" s="135"/>
      <c r="N5119" s="135"/>
      <c r="O5119" s="135"/>
      <c r="P5119" s="135"/>
      <c r="Q5119" s="135"/>
      <c r="R5119" s="135"/>
      <c r="S5119" s="135"/>
      <c r="T5119" s="135"/>
      <c r="U5119" s="135"/>
      <c r="V5119" s="135"/>
      <c r="W5119" s="135"/>
      <c r="X5119" s="135"/>
      <c r="Y5119" s="135"/>
      <c r="Z5119" s="135"/>
    </row>
    <row r="5120" spans="1:26" ht="25.5">
      <c r="A5120" s="136" t="s">
        <v>16</v>
      </c>
      <c r="B5120" s="136" t="s">
        <v>7971</v>
      </c>
      <c r="C5120" s="136" t="s">
        <v>8042</v>
      </c>
      <c r="D5120" s="136" t="s">
        <v>8020</v>
      </c>
      <c r="E5120" s="136" t="s">
        <v>594</v>
      </c>
      <c r="F5120" s="136">
        <v>219</v>
      </c>
      <c r="G5120" s="137">
        <f t="shared" si="20"/>
        <v>8</v>
      </c>
      <c r="H5120" s="137"/>
      <c r="I5120" s="137"/>
      <c r="J5120" s="135"/>
      <c r="K5120" s="135"/>
      <c r="L5120" s="135"/>
      <c r="M5120" s="135"/>
      <c r="N5120" s="135"/>
      <c r="O5120" s="135"/>
      <c r="P5120" s="135"/>
      <c r="Q5120" s="135"/>
      <c r="R5120" s="135"/>
      <c r="S5120" s="135"/>
      <c r="T5120" s="135"/>
      <c r="U5120" s="135"/>
      <c r="V5120" s="135"/>
      <c r="W5120" s="135"/>
      <c r="X5120" s="135"/>
      <c r="Y5120" s="135"/>
      <c r="Z5120" s="135"/>
    </row>
    <row r="5121" spans="1:26" ht="25.5">
      <c r="A5121" s="136" t="s">
        <v>16</v>
      </c>
      <c r="B5121" s="136" t="s">
        <v>7971</v>
      </c>
      <c r="C5121" s="136" t="s">
        <v>8042</v>
      </c>
      <c r="D5121" s="136" t="s">
        <v>1626</v>
      </c>
      <c r="E5121" s="136" t="s">
        <v>594</v>
      </c>
      <c r="F5121" s="136">
        <v>209</v>
      </c>
      <c r="G5121" s="137">
        <f t="shared" si="20"/>
        <v>9</v>
      </c>
      <c r="H5121" s="137"/>
      <c r="I5121" s="137"/>
      <c r="J5121" s="135"/>
      <c r="K5121" s="135"/>
      <c r="L5121" s="135"/>
      <c r="M5121" s="135"/>
      <c r="N5121" s="135"/>
      <c r="O5121" s="135"/>
      <c r="P5121" s="135"/>
      <c r="Q5121" s="135"/>
      <c r="R5121" s="135"/>
      <c r="S5121" s="135"/>
      <c r="T5121" s="135"/>
      <c r="U5121" s="135"/>
      <c r="V5121" s="135"/>
      <c r="W5121" s="135"/>
      <c r="X5121" s="135"/>
      <c r="Y5121" s="135"/>
      <c r="Z5121" s="135"/>
    </row>
    <row r="5122" spans="1:26" ht="25.5">
      <c r="A5122" s="136" t="s">
        <v>16</v>
      </c>
      <c r="B5122" s="136" t="s">
        <v>7971</v>
      </c>
      <c r="C5122" s="136" t="s">
        <v>8042</v>
      </c>
      <c r="D5122" s="136" t="s">
        <v>7985</v>
      </c>
      <c r="E5122" s="136" t="s">
        <v>615</v>
      </c>
      <c r="F5122" s="136">
        <v>151</v>
      </c>
      <c r="G5122" s="137">
        <f t="shared" si="20"/>
        <v>10</v>
      </c>
      <c r="H5122" s="137"/>
      <c r="I5122" s="137"/>
      <c r="J5122" s="135"/>
      <c r="K5122" s="135"/>
      <c r="L5122" s="135"/>
      <c r="M5122" s="135"/>
      <c r="N5122" s="135"/>
      <c r="O5122" s="135"/>
      <c r="P5122" s="135"/>
      <c r="Q5122" s="135"/>
      <c r="R5122" s="135"/>
      <c r="S5122" s="135"/>
      <c r="T5122" s="135"/>
      <c r="U5122" s="135"/>
      <c r="V5122" s="135"/>
      <c r="W5122" s="135"/>
      <c r="X5122" s="135"/>
      <c r="Y5122" s="135"/>
      <c r="Z5122" s="135"/>
    </row>
    <row r="5123" spans="1:26" ht="25.5">
      <c r="A5123" s="136" t="s">
        <v>16</v>
      </c>
      <c r="B5123" s="136" t="s">
        <v>7971</v>
      </c>
      <c r="C5123" s="136" t="s">
        <v>8042</v>
      </c>
      <c r="D5123" s="136" t="s">
        <v>1665</v>
      </c>
      <c r="E5123" s="136" t="s">
        <v>615</v>
      </c>
      <c r="F5123" s="136">
        <v>132</v>
      </c>
      <c r="G5123" s="137">
        <f t="shared" si="20"/>
        <v>11</v>
      </c>
      <c r="H5123" s="137"/>
      <c r="I5123" s="137"/>
      <c r="J5123" s="135"/>
      <c r="K5123" s="135"/>
      <c r="L5123" s="135"/>
      <c r="M5123" s="135"/>
      <c r="N5123" s="135"/>
      <c r="O5123" s="135"/>
      <c r="P5123" s="135"/>
      <c r="Q5123" s="135"/>
      <c r="R5123" s="135"/>
      <c r="S5123" s="135"/>
      <c r="T5123" s="135"/>
      <c r="U5123" s="135"/>
      <c r="V5123" s="135"/>
      <c r="W5123" s="135"/>
      <c r="X5123" s="135"/>
      <c r="Y5123" s="135"/>
      <c r="Z5123" s="135"/>
    </row>
    <row r="5124" spans="1:26" ht="25.5">
      <c r="A5124" s="136" t="s">
        <v>16</v>
      </c>
      <c r="B5124" s="136" t="s">
        <v>7971</v>
      </c>
      <c r="C5124" s="136" t="s">
        <v>8042</v>
      </c>
      <c r="D5124" s="136" t="s">
        <v>114</v>
      </c>
      <c r="E5124" s="136" t="s">
        <v>85</v>
      </c>
      <c r="F5124" s="136">
        <v>95</v>
      </c>
      <c r="G5124" s="137">
        <f t="shared" si="20"/>
        <v>12</v>
      </c>
      <c r="H5124" s="137"/>
      <c r="I5124" s="137"/>
      <c r="J5124" s="135"/>
      <c r="K5124" s="135"/>
      <c r="L5124" s="135"/>
      <c r="M5124" s="135"/>
      <c r="N5124" s="135"/>
      <c r="O5124" s="135"/>
      <c r="P5124" s="135"/>
      <c r="Q5124" s="135"/>
      <c r="R5124" s="135"/>
      <c r="S5124" s="135"/>
      <c r="T5124" s="135"/>
      <c r="U5124" s="135"/>
      <c r="V5124" s="135"/>
      <c r="W5124" s="135"/>
      <c r="X5124" s="135"/>
      <c r="Y5124" s="135"/>
      <c r="Z5124" s="135"/>
    </row>
    <row r="5125" spans="1:26" ht="25.5">
      <c r="A5125" s="136" t="s">
        <v>16</v>
      </c>
      <c r="B5125" s="136" t="s">
        <v>7971</v>
      </c>
      <c r="C5125" s="136" t="s">
        <v>8042</v>
      </c>
      <c r="D5125" s="136" t="s">
        <v>7481</v>
      </c>
      <c r="E5125" s="136" t="s">
        <v>615</v>
      </c>
      <c r="F5125" s="136">
        <v>85</v>
      </c>
      <c r="G5125" s="137">
        <f t="shared" si="20"/>
        <v>13</v>
      </c>
      <c r="H5125" s="137"/>
      <c r="I5125" s="137"/>
      <c r="J5125" s="135"/>
      <c r="K5125" s="135"/>
      <c r="L5125" s="135"/>
      <c r="M5125" s="135"/>
      <c r="N5125" s="135"/>
      <c r="O5125" s="135"/>
      <c r="P5125" s="135"/>
      <c r="Q5125" s="135"/>
      <c r="R5125" s="135"/>
      <c r="S5125" s="135"/>
      <c r="T5125" s="135"/>
      <c r="U5125" s="135"/>
      <c r="V5125" s="135"/>
      <c r="W5125" s="135"/>
      <c r="X5125" s="135"/>
      <c r="Y5125" s="135"/>
      <c r="Z5125" s="135"/>
    </row>
    <row r="5126" spans="1:26" ht="25.5">
      <c r="A5126" s="136" t="s">
        <v>16</v>
      </c>
      <c r="B5126" s="136" t="s">
        <v>7971</v>
      </c>
      <c r="C5126" s="136" t="s">
        <v>8042</v>
      </c>
      <c r="D5126" s="136" t="s">
        <v>136</v>
      </c>
      <c r="E5126" s="136" t="s">
        <v>615</v>
      </c>
      <c r="F5126" s="136">
        <v>68</v>
      </c>
      <c r="G5126" s="137">
        <f t="shared" si="20"/>
        <v>14</v>
      </c>
      <c r="H5126" s="137"/>
      <c r="I5126" s="137"/>
      <c r="J5126" s="135"/>
      <c r="K5126" s="135"/>
      <c r="L5126" s="135"/>
      <c r="M5126" s="135"/>
      <c r="N5126" s="135"/>
      <c r="O5126" s="135"/>
      <c r="P5126" s="135"/>
      <c r="Q5126" s="135"/>
      <c r="R5126" s="135"/>
      <c r="S5126" s="135"/>
      <c r="T5126" s="135"/>
      <c r="U5126" s="135"/>
      <c r="V5126" s="135"/>
      <c r="W5126" s="135"/>
      <c r="X5126" s="135"/>
      <c r="Y5126" s="135"/>
      <c r="Z5126" s="135"/>
    </row>
    <row r="5127" spans="1:26" ht="25.5">
      <c r="A5127" s="136" t="s">
        <v>16</v>
      </c>
      <c r="B5127" s="136" t="s">
        <v>7971</v>
      </c>
      <c r="C5127" s="136" t="s">
        <v>8042</v>
      </c>
      <c r="D5127" s="136" t="s">
        <v>1639</v>
      </c>
      <c r="E5127" s="136" t="s">
        <v>615</v>
      </c>
      <c r="F5127" s="136">
        <v>66</v>
      </c>
      <c r="G5127" s="137">
        <f t="shared" si="20"/>
        <v>15</v>
      </c>
      <c r="H5127" s="137"/>
      <c r="I5127" s="137"/>
      <c r="J5127" s="135"/>
      <c r="K5127" s="135"/>
      <c r="L5127" s="135"/>
      <c r="M5127" s="135"/>
      <c r="N5127" s="135"/>
      <c r="O5127" s="135"/>
      <c r="P5127" s="135"/>
      <c r="Q5127" s="135"/>
      <c r="R5127" s="135"/>
      <c r="S5127" s="135"/>
      <c r="T5127" s="135"/>
      <c r="U5127" s="135"/>
      <c r="V5127" s="135"/>
      <c r="W5127" s="135"/>
      <c r="X5127" s="135"/>
      <c r="Y5127" s="135"/>
      <c r="Z5127" s="135"/>
    </row>
    <row r="5128" spans="1:26" ht="25.5">
      <c r="A5128" s="136" t="s">
        <v>16</v>
      </c>
      <c r="B5128" s="136" t="s">
        <v>7971</v>
      </c>
      <c r="C5128" s="136" t="s">
        <v>8042</v>
      </c>
      <c r="D5128" s="136" t="s">
        <v>433</v>
      </c>
      <c r="E5128" s="136" t="s">
        <v>594</v>
      </c>
      <c r="F5128" s="136">
        <v>65</v>
      </c>
      <c r="G5128" s="137">
        <f t="shared" si="20"/>
        <v>16</v>
      </c>
      <c r="H5128" s="137"/>
      <c r="I5128" s="137"/>
      <c r="J5128" s="135"/>
      <c r="K5128" s="135"/>
      <c r="L5128" s="135"/>
      <c r="M5128" s="135"/>
      <c r="N5128" s="135"/>
      <c r="O5128" s="135"/>
      <c r="P5128" s="135"/>
      <c r="Q5128" s="135"/>
      <c r="R5128" s="135"/>
      <c r="S5128" s="135"/>
      <c r="T5128" s="135"/>
      <c r="U5128" s="135"/>
      <c r="V5128" s="135"/>
      <c r="W5128" s="135"/>
      <c r="X5128" s="135"/>
      <c r="Y5128" s="135"/>
      <c r="Z5128" s="135"/>
    </row>
    <row r="5129" spans="1:26" ht="25.5">
      <c r="A5129" s="136" t="s">
        <v>16</v>
      </c>
      <c r="B5129" s="136" t="s">
        <v>7971</v>
      </c>
      <c r="C5129" s="136" t="s">
        <v>8042</v>
      </c>
      <c r="D5129" s="136" t="s">
        <v>1635</v>
      </c>
      <c r="E5129" s="136" t="s">
        <v>615</v>
      </c>
      <c r="F5129" s="136">
        <v>51</v>
      </c>
      <c r="G5129" s="137">
        <f t="shared" si="20"/>
        <v>17</v>
      </c>
      <c r="H5129" s="137"/>
      <c r="I5129" s="137"/>
      <c r="J5129" s="135"/>
      <c r="K5129" s="135"/>
      <c r="L5129" s="135"/>
      <c r="M5129" s="135"/>
      <c r="N5129" s="135"/>
      <c r="O5129" s="135"/>
      <c r="P5129" s="135"/>
      <c r="Q5129" s="135"/>
      <c r="R5129" s="135"/>
      <c r="S5129" s="135"/>
      <c r="T5129" s="135"/>
      <c r="U5129" s="135"/>
      <c r="V5129" s="135"/>
      <c r="W5129" s="135"/>
      <c r="X5129" s="135"/>
      <c r="Y5129" s="135"/>
      <c r="Z5129" s="135"/>
    </row>
    <row r="5130" spans="1:26" ht="25.5">
      <c r="A5130" s="136" t="s">
        <v>16</v>
      </c>
      <c r="B5130" s="136" t="s">
        <v>7971</v>
      </c>
      <c r="C5130" s="136" t="s">
        <v>8042</v>
      </c>
      <c r="D5130" s="136" t="s">
        <v>467</v>
      </c>
      <c r="E5130" s="136" t="s">
        <v>85</v>
      </c>
      <c r="F5130" s="136">
        <v>44</v>
      </c>
      <c r="G5130" s="137">
        <f t="shared" si="20"/>
        <v>18</v>
      </c>
      <c r="H5130" s="137"/>
      <c r="I5130" s="137"/>
      <c r="J5130" s="135"/>
      <c r="K5130" s="135"/>
      <c r="L5130" s="135"/>
      <c r="M5130" s="135"/>
      <c r="N5130" s="135"/>
      <c r="O5130" s="135"/>
      <c r="P5130" s="135"/>
      <c r="Q5130" s="135"/>
      <c r="R5130" s="135"/>
      <c r="S5130" s="135"/>
      <c r="T5130" s="135"/>
      <c r="U5130" s="135"/>
      <c r="V5130" s="135"/>
      <c r="W5130" s="135"/>
      <c r="X5130" s="135"/>
      <c r="Y5130" s="135"/>
      <c r="Z5130" s="135"/>
    </row>
    <row r="5131" spans="1:26" ht="25.5">
      <c r="A5131" s="136" t="s">
        <v>16</v>
      </c>
      <c r="B5131" s="136" t="s">
        <v>7971</v>
      </c>
      <c r="C5131" s="136" t="s">
        <v>8042</v>
      </c>
      <c r="D5131" s="136" t="s">
        <v>8012</v>
      </c>
      <c r="E5131" s="136" t="s">
        <v>615</v>
      </c>
      <c r="F5131" s="136">
        <v>15</v>
      </c>
      <c r="G5131" s="137">
        <f t="shared" si="20"/>
        <v>19</v>
      </c>
      <c r="H5131" s="137"/>
      <c r="I5131" s="137"/>
      <c r="J5131" s="135"/>
      <c r="K5131" s="135"/>
      <c r="L5131" s="135"/>
      <c r="M5131" s="135"/>
      <c r="N5131" s="135"/>
      <c r="O5131" s="135"/>
      <c r="P5131" s="135"/>
      <c r="Q5131" s="135"/>
      <c r="R5131" s="135"/>
      <c r="S5131" s="135"/>
      <c r="T5131" s="135"/>
      <c r="U5131" s="135"/>
      <c r="V5131" s="135"/>
      <c r="W5131" s="135"/>
      <c r="X5131" s="135"/>
      <c r="Y5131" s="135"/>
      <c r="Z5131" s="135"/>
    </row>
    <row r="5132" spans="1:26" ht="25.5">
      <c r="A5132" s="136" t="s">
        <v>16</v>
      </c>
      <c r="B5132" s="136" t="s">
        <v>7971</v>
      </c>
      <c r="C5132" s="136" t="s">
        <v>8042</v>
      </c>
      <c r="D5132" s="136" t="s">
        <v>8004</v>
      </c>
      <c r="E5132" s="136"/>
      <c r="F5132" s="136">
        <v>12</v>
      </c>
      <c r="G5132" s="137">
        <f t="shared" si="20"/>
        <v>20</v>
      </c>
      <c r="H5132" s="137"/>
      <c r="I5132" s="137"/>
      <c r="J5132" s="135"/>
      <c r="K5132" s="135"/>
      <c r="L5132" s="135"/>
      <c r="M5132" s="135"/>
      <c r="N5132" s="135"/>
      <c r="O5132" s="135"/>
      <c r="P5132" s="135"/>
      <c r="Q5132" s="135"/>
      <c r="R5132" s="135"/>
      <c r="S5132" s="135"/>
      <c r="T5132" s="135"/>
      <c r="U5132" s="135"/>
      <c r="V5132" s="135"/>
      <c r="W5132" s="135"/>
      <c r="X5132" s="135"/>
      <c r="Y5132" s="135"/>
      <c r="Z5132" s="135"/>
    </row>
    <row r="5133" spans="1:26" ht="25.5">
      <c r="A5133" s="136" t="s">
        <v>16</v>
      </c>
      <c r="B5133" s="136" t="s">
        <v>7971</v>
      </c>
      <c r="C5133" s="136" t="s">
        <v>8042</v>
      </c>
      <c r="D5133" s="136" t="s">
        <v>1682</v>
      </c>
      <c r="E5133" s="136" t="s">
        <v>86</v>
      </c>
      <c r="F5133" s="136">
        <v>7</v>
      </c>
      <c r="G5133" s="137">
        <f t="shared" si="20"/>
        <v>21</v>
      </c>
      <c r="H5133" s="137"/>
      <c r="I5133" s="137"/>
      <c r="J5133" s="135"/>
      <c r="K5133" s="135"/>
      <c r="L5133" s="135"/>
      <c r="M5133" s="135"/>
      <c r="N5133" s="135"/>
      <c r="O5133" s="135"/>
      <c r="P5133" s="135"/>
      <c r="Q5133" s="135"/>
      <c r="R5133" s="135"/>
      <c r="S5133" s="135"/>
      <c r="T5133" s="135"/>
      <c r="U5133" s="135"/>
      <c r="V5133" s="135"/>
      <c r="W5133" s="135"/>
      <c r="X5133" s="135"/>
      <c r="Y5133" s="135"/>
      <c r="Z5133" s="135"/>
    </row>
    <row r="5134" spans="1:26" ht="25.5">
      <c r="A5134" s="136" t="s">
        <v>16</v>
      </c>
      <c r="B5134" s="136" t="s">
        <v>7971</v>
      </c>
      <c r="C5134" s="136" t="s">
        <v>8043</v>
      </c>
      <c r="D5134" s="136" t="s">
        <v>158</v>
      </c>
      <c r="E5134" s="136" t="s">
        <v>615</v>
      </c>
      <c r="F5134" s="136">
        <v>1233</v>
      </c>
      <c r="G5134" s="137">
        <f t="shared" si="20"/>
        <v>1</v>
      </c>
      <c r="H5134" s="137"/>
      <c r="I5134" s="137"/>
      <c r="J5134" s="135"/>
      <c r="K5134" s="135"/>
      <c r="L5134" s="135"/>
      <c r="M5134" s="135"/>
      <c r="N5134" s="135"/>
      <c r="O5134" s="135"/>
      <c r="P5134" s="135"/>
      <c r="Q5134" s="135"/>
      <c r="R5134" s="135"/>
      <c r="S5134" s="135"/>
      <c r="T5134" s="135"/>
      <c r="U5134" s="135"/>
      <c r="V5134" s="135"/>
      <c r="W5134" s="135"/>
      <c r="X5134" s="135"/>
      <c r="Y5134" s="135"/>
      <c r="Z5134" s="135"/>
    </row>
    <row r="5135" spans="1:26" ht="25.5">
      <c r="A5135" s="136" t="s">
        <v>16</v>
      </c>
      <c r="B5135" s="136" t="s">
        <v>7971</v>
      </c>
      <c r="C5135" s="136" t="s">
        <v>8043</v>
      </c>
      <c r="D5135" s="136" t="s">
        <v>114</v>
      </c>
      <c r="E5135" s="136" t="s">
        <v>85</v>
      </c>
      <c r="F5135" s="136">
        <v>613</v>
      </c>
      <c r="G5135" s="137">
        <f t="shared" si="20"/>
        <v>2</v>
      </c>
      <c r="H5135" s="137"/>
      <c r="I5135" s="137"/>
      <c r="J5135" s="135"/>
      <c r="K5135" s="135"/>
      <c r="L5135" s="135"/>
      <c r="M5135" s="135"/>
      <c r="N5135" s="135"/>
      <c r="O5135" s="135"/>
      <c r="P5135" s="135"/>
      <c r="Q5135" s="135"/>
      <c r="R5135" s="135"/>
      <c r="S5135" s="135"/>
      <c r="T5135" s="135"/>
      <c r="U5135" s="135"/>
      <c r="V5135" s="135"/>
      <c r="W5135" s="135"/>
      <c r="X5135" s="135"/>
      <c r="Y5135" s="135"/>
      <c r="Z5135" s="135"/>
    </row>
    <row r="5136" spans="1:26" ht="25.5">
      <c r="A5136" s="136" t="s">
        <v>16</v>
      </c>
      <c r="B5136" s="136" t="s">
        <v>7971</v>
      </c>
      <c r="C5136" s="136" t="s">
        <v>8043</v>
      </c>
      <c r="D5136" s="136" t="s">
        <v>1656</v>
      </c>
      <c r="E5136" s="136" t="s">
        <v>594</v>
      </c>
      <c r="F5136" s="136">
        <v>569</v>
      </c>
      <c r="G5136" s="137">
        <f t="shared" si="20"/>
        <v>3</v>
      </c>
      <c r="H5136" s="137"/>
      <c r="I5136" s="137"/>
      <c r="J5136" s="135"/>
      <c r="K5136" s="135"/>
      <c r="L5136" s="135"/>
      <c r="M5136" s="135"/>
      <c r="N5136" s="135"/>
      <c r="O5136" s="135"/>
      <c r="P5136" s="135"/>
      <c r="Q5136" s="135"/>
      <c r="R5136" s="135"/>
      <c r="S5136" s="135"/>
      <c r="T5136" s="135"/>
      <c r="U5136" s="135"/>
      <c r="V5136" s="135"/>
      <c r="W5136" s="135"/>
      <c r="X5136" s="135"/>
      <c r="Y5136" s="135"/>
      <c r="Z5136" s="135"/>
    </row>
    <row r="5137" spans="1:26" ht="25.5">
      <c r="A5137" s="136" t="s">
        <v>16</v>
      </c>
      <c r="B5137" s="136" t="s">
        <v>7971</v>
      </c>
      <c r="C5137" s="136" t="s">
        <v>8043</v>
      </c>
      <c r="D5137" s="136" t="s">
        <v>139</v>
      </c>
      <c r="E5137" s="136" t="s">
        <v>594</v>
      </c>
      <c r="F5137" s="136">
        <v>466</v>
      </c>
      <c r="G5137" s="137">
        <f t="shared" si="20"/>
        <v>4</v>
      </c>
      <c r="H5137" s="137"/>
      <c r="I5137" s="137"/>
      <c r="J5137" s="135"/>
      <c r="K5137" s="135"/>
      <c r="L5137" s="135"/>
      <c r="M5137" s="135"/>
      <c r="N5137" s="135"/>
      <c r="O5137" s="135"/>
      <c r="P5137" s="135"/>
      <c r="Q5137" s="135"/>
      <c r="R5137" s="135"/>
      <c r="S5137" s="135"/>
      <c r="T5137" s="135"/>
      <c r="U5137" s="135"/>
      <c r="V5137" s="135"/>
      <c r="W5137" s="135"/>
      <c r="X5137" s="135"/>
      <c r="Y5137" s="135"/>
      <c r="Z5137" s="135"/>
    </row>
    <row r="5138" spans="1:26" ht="25.5">
      <c r="A5138" s="136" t="s">
        <v>16</v>
      </c>
      <c r="B5138" s="136" t="s">
        <v>7971</v>
      </c>
      <c r="C5138" s="136" t="s">
        <v>8043</v>
      </c>
      <c r="D5138" s="136" t="s">
        <v>7993</v>
      </c>
      <c r="E5138" s="136" t="s">
        <v>615</v>
      </c>
      <c r="F5138" s="136">
        <v>413</v>
      </c>
      <c r="G5138" s="137">
        <f t="shared" si="20"/>
        <v>5</v>
      </c>
      <c r="H5138" s="137"/>
      <c r="I5138" s="137"/>
      <c r="J5138" s="135"/>
      <c r="K5138" s="135"/>
      <c r="L5138" s="135"/>
      <c r="M5138" s="135"/>
      <c r="N5138" s="135"/>
      <c r="O5138" s="135"/>
      <c r="P5138" s="135"/>
      <c r="Q5138" s="135"/>
      <c r="R5138" s="135"/>
      <c r="S5138" s="135"/>
      <c r="T5138" s="135"/>
      <c r="U5138" s="135"/>
      <c r="V5138" s="135"/>
      <c r="W5138" s="135"/>
      <c r="X5138" s="135"/>
      <c r="Y5138" s="135"/>
      <c r="Z5138" s="135"/>
    </row>
    <row r="5139" spans="1:26" ht="25.5">
      <c r="A5139" s="136" t="s">
        <v>16</v>
      </c>
      <c r="B5139" s="136" t="s">
        <v>7971</v>
      </c>
      <c r="C5139" s="136" t="s">
        <v>8043</v>
      </c>
      <c r="D5139" s="136" t="s">
        <v>467</v>
      </c>
      <c r="E5139" s="136" t="s">
        <v>85</v>
      </c>
      <c r="F5139" s="136">
        <v>406</v>
      </c>
      <c r="G5139" s="137">
        <f t="shared" si="20"/>
        <v>6</v>
      </c>
      <c r="H5139" s="137"/>
      <c r="I5139" s="137"/>
      <c r="J5139" s="135"/>
      <c r="K5139" s="135"/>
      <c r="L5139" s="135"/>
      <c r="M5139" s="135"/>
      <c r="N5139" s="135"/>
      <c r="O5139" s="135"/>
      <c r="P5139" s="135"/>
      <c r="Q5139" s="135"/>
      <c r="R5139" s="135"/>
      <c r="S5139" s="135"/>
      <c r="T5139" s="135"/>
      <c r="U5139" s="135"/>
      <c r="V5139" s="135"/>
      <c r="W5139" s="135"/>
      <c r="X5139" s="135"/>
      <c r="Y5139" s="135"/>
      <c r="Z5139" s="135"/>
    </row>
    <row r="5140" spans="1:26" ht="25.5">
      <c r="A5140" s="136" t="s">
        <v>16</v>
      </c>
      <c r="B5140" s="136" t="s">
        <v>7971</v>
      </c>
      <c r="C5140" s="136" t="s">
        <v>8043</v>
      </c>
      <c r="D5140" s="136" t="s">
        <v>1656</v>
      </c>
      <c r="E5140" s="136" t="s">
        <v>615</v>
      </c>
      <c r="F5140" s="136">
        <v>200</v>
      </c>
      <c r="G5140" s="137">
        <f t="shared" si="20"/>
        <v>7</v>
      </c>
      <c r="H5140" s="137"/>
      <c r="I5140" s="137"/>
      <c r="J5140" s="135"/>
      <c r="K5140" s="135"/>
      <c r="L5140" s="135"/>
      <c r="M5140" s="135"/>
      <c r="N5140" s="135"/>
      <c r="O5140" s="135"/>
      <c r="P5140" s="135"/>
      <c r="Q5140" s="135"/>
      <c r="R5140" s="135"/>
      <c r="S5140" s="135"/>
      <c r="T5140" s="135"/>
      <c r="U5140" s="135"/>
      <c r="V5140" s="135"/>
      <c r="W5140" s="135"/>
      <c r="X5140" s="135"/>
      <c r="Y5140" s="135"/>
      <c r="Z5140" s="135"/>
    </row>
    <row r="5141" spans="1:26" ht="25.5">
      <c r="A5141" s="136" t="s">
        <v>16</v>
      </c>
      <c r="B5141" s="136" t="s">
        <v>7971</v>
      </c>
      <c r="C5141" s="136" t="s">
        <v>8043</v>
      </c>
      <c r="D5141" s="136" t="s">
        <v>1665</v>
      </c>
      <c r="E5141" s="136" t="s">
        <v>615</v>
      </c>
      <c r="F5141" s="136">
        <v>154</v>
      </c>
      <c r="G5141" s="137">
        <f t="shared" si="20"/>
        <v>8</v>
      </c>
      <c r="H5141" s="137"/>
      <c r="I5141" s="137"/>
      <c r="J5141" s="135"/>
      <c r="K5141" s="135"/>
      <c r="L5141" s="135"/>
      <c r="M5141" s="135"/>
      <c r="N5141" s="135"/>
      <c r="O5141" s="135"/>
      <c r="P5141" s="135"/>
      <c r="Q5141" s="135"/>
      <c r="R5141" s="135"/>
      <c r="S5141" s="135"/>
      <c r="T5141" s="135"/>
      <c r="U5141" s="135"/>
      <c r="V5141" s="135"/>
      <c r="W5141" s="135"/>
      <c r="X5141" s="135"/>
      <c r="Y5141" s="135"/>
      <c r="Z5141" s="135"/>
    </row>
    <row r="5142" spans="1:26" ht="25.5">
      <c r="A5142" s="136" t="s">
        <v>16</v>
      </c>
      <c r="B5142" s="136" t="s">
        <v>7971</v>
      </c>
      <c r="C5142" s="136" t="s">
        <v>8043</v>
      </c>
      <c r="D5142" s="136" t="s">
        <v>1626</v>
      </c>
      <c r="E5142" s="136" t="s">
        <v>594</v>
      </c>
      <c r="F5142" s="136">
        <v>129</v>
      </c>
      <c r="G5142" s="137">
        <f t="shared" si="20"/>
        <v>9</v>
      </c>
      <c r="H5142" s="137"/>
      <c r="I5142" s="137"/>
      <c r="J5142" s="135"/>
      <c r="K5142" s="135"/>
      <c r="L5142" s="135"/>
      <c r="M5142" s="135"/>
      <c r="N5142" s="135"/>
      <c r="O5142" s="135"/>
      <c r="P5142" s="135"/>
      <c r="Q5142" s="135"/>
      <c r="R5142" s="135"/>
      <c r="S5142" s="135"/>
      <c r="T5142" s="135"/>
      <c r="U5142" s="135"/>
      <c r="V5142" s="135"/>
      <c r="W5142" s="135"/>
      <c r="X5142" s="135"/>
      <c r="Y5142" s="135"/>
      <c r="Z5142" s="135"/>
    </row>
    <row r="5143" spans="1:26" ht="25.5">
      <c r="A5143" s="136" t="s">
        <v>16</v>
      </c>
      <c r="B5143" s="136" t="s">
        <v>7971</v>
      </c>
      <c r="C5143" s="136" t="s">
        <v>8043</v>
      </c>
      <c r="D5143" s="136" t="s">
        <v>136</v>
      </c>
      <c r="E5143" s="136" t="s">
        <v>615</v>
      </c>
      <c r="F5143" s="136">
        <v>117</v>
      </c>
      <c r="G5143" s="137">
        <f t="shared" si="20"/>
        <v>10</v>
      </c>
      <c r="H5143" s="137"/>
      <c r="I5143" s="137"/>
      <c r="J5143" s="135"/>
      <c r="K5143" s="135"/>
      <c r="L5143" s="135"/>
      <c r="M5143" s="135"/>
      <c r="N5143" s="135"/>
      <c r="O5143" s="135"/>
      <c r="P5143" s="135"/>
      <c r="Q5143" s="135"/>
      <c r="R5143" s="135"/>
      <c r="S5143" s="135"/>
      <c r="T5143" s="135"/>
      <c r="U5143" s="135"/>
      <c r="V5143" s="135"/>
      <c r="W5143" s="135"/>
      <c r="X5143" s="135"/>
      <c r="Y5143" s="135"/>
      <c r="Z5143" s="135"/>
    </row>
    <row r="5144" spans="1:26" ht="25.5">
      <c r="A5144" s="136" t="s">
        <v>16</v>
      </c>
      <c r="B5144" s="136" t="s">
        <v>7971</v>
      </c>
      <c r="C5144" s="136" t="s">
        <v>8043</v>
      </c>
      <c r="D5144" s="136" t="s">
        <v>1639</v>
      </c>
      <c r="E5144" s="136" t="s">
        <v>615</v>
      </c>
      <c r="F5144" s="136">
        <v>109</v>
      </c>
      <c r="G5144" s="137">
        <f t="shared" si="20"/>
        <v>11</v>
      </c>
      <c r="H5144" s="137"/>
      <c r="I5144" s="137"/>
      <c r="J5144" s="135"/>
      <c r="K5144" s="135"/>
      <c r="L5144" s="135"/>
      <c r="M5144" s="135"/>
      <c r="N5144" s="135"/>
      <c r="O5144" s="135"/>
      <c r="P5144" s="135"/>
      <c r="Q5144" s="135"/>
      <c r="R5144" s="135"/>
      <c r="S5144" s="135"/>
      <c r="T5144" s="135"/>
      <c r="U5144" s="135"/>
      <c r="V5144" s="135"/>
      <c r="W5144" s="135"/>
      <c r="X5144" s="135"/>
      <c r="Y5144" s="135"/>
      <c r="Z5144" s="135"/>
    </row>
    <row r="5145" spans="1:26" ht="25.5">
      <c r="A5145" s="136" t="s">
        <v>16</v>
      </c>
      <c r="B5145" s="136" t="s">
        <v>7971</v>
      </c>
      <c r="C5145" s="136" t="s">
        <v>8043</v>
      </c>
      <c r="D5145" s="136" t="s">
        <v>107</v>
      </c>
      <c r="E5145" s="136" t="s">
        <v>615</v>
      </c>
      <c r="F5145" s="136">
        <v>90</v>
      </c>
      <c r="G5145" s="137">
        <f t="shared" si="20"/>
        <v>12</v>
      </c>
      <c r="H5145" s="137"/>
      <c r="I5145" s="137"/>
      <c r="J5145" s="135"/>
      <c r="K5145" s="135"/>
      <c r="L5145" s="135"/>
      <c r="M5145" s="135"/>
      <c r="N5145" s="135"/>
      <c r="O5145" s="135"/>
      <c r="P5145" s="135"/>
      <c r="Q5145" s="135"/>
      <c r="R5145" s="135"/>
      <c r="S5145" s="135"/>
      <c r="T5145" s="135"/>
      <c r="U5145" s="135"/>
      <c r="V5145" s="135"/>
      <c r="W5145" s="135"/>
      <c r="X5145" s="135"/>
      <c r="Y5145" s="135"/>
      <c r="Z5145" s="135"/>
    </row>
    <row r="5146" spans="1:26" ht="25.5">
      <c r="A5146" s="136" t="s">
        <v>16</v>
      </c>
      <c r="B5146" s="136" t="s">
        <v>7971</v>
      </c>
      <c r="C5146" s="136" t="s">
        <v>8043</v>
      </c>
      <c r="D5146" s="136" t="s">
        <v>368</v>
      </c>
      <c r="E5146" s="136" t="s">
        <v>594</v>
      </c>
      <c r="F5146" s="136">
        <v>70</v>
      </c>
      <c r="G5146" s="137">
        <f t="shared" si="20"/>
        <v>13</v>
      </c>
      <c r="H5146" s="137"/>
      <c r="I5146" s="137"/>
      <c r="J5146" s="135"/>
      <c r="K5146" s="135"/>
      <c r="L5146" s="135"/>
      <c r="M5146" s="135"/>
      <c r="N5146" s="135"/>
      <c r="O5146" s="135"/>
      <c r="P5146" s="135"/>
      <c r="Q5146" s="135"/>
      <c r="R5146" s="135"/>
      <c r="S5146" s="135"/>
      <c r="T5146" s="135"/>
      <c r="U5146" s="135"/>
      <c r="V5146" s="135"/>
      <c r="W5146" s="135"/>
      <c r="X5146" s="135"/>
      <c r="Y5146" s="135"/>
      <c r="Z5146" s="135"/>
    </row>
    <row r="5147" spans="1:26" ht="25.5">
      <c r="A5147" s="136" t="s">
        <v>16</v>
      </c>
      <c r="B5147" s="136" t="s">
        <v>7971</v>
      </c>
      <c r="C5147" s="136" t="s">
        <v>8043</v>
      </c>
      <c r="D5147" s="136" t="s">
        <v>7985</v>
      </c>
      <c r="E5147" s="136" t="s">
        <v>615</v>
      </c>
      <c r="F5147" s="136">
        <v>68</v>
      </c>
      <c r="G5147" s="137">
        <f t="shared" si="20"/>
        <v>14</v>
      </c>
      <c r="H5147" s="137"/>
      <c r="I5147" s="137"/>
      <c r="J5147" s="135"/>
      <c r="K5147" s="135"/>
      <c r="L5147" s="135"/>
      <c r="M5147" s="135"/>
      <c r="N5147" s="135"/>
      <c r="O5147" s="135"/>
      <c r="P5147" s="135"/>
      <c r="Q5147" s="135"/>
      <c r="R5147" s="135"/>
      <c r="S5147" s="135"/>
      <c r="T5147" s="135"/>
      <c r="U5147" s="135"/>
      <c r="V5147" s="135"/>
      <c r="W5147" s="135"/>
      <c r="X5147" s="135"/>
      <c r="Y5147" s="135"/>
      <c r="Z5147" s="135"/>
    </row>
    <row r="5148" spans="1:26" ht="25.5">
      <c r="A5148" s="136" t="s">
        <v>16</v>
      </c>
      <c r="B5148" s="136" t="s">
        <v>7971</v>
      </c>
      <c r="C5148" s="136" t="s">
        <v>8043</v>
      </c>
      <c r="D5148" s="136" t="s">
        <v>7481</v>
      </c>
      <c r="E5148" s="136" t="s">
        <v>615</v>
      </c>
      <c r="F5148" s="136">
        <v>68</v>
      </c>
      <c r="G5148" s="137">
        <f t="shared" si="20"/>
        <v>15</v>
      </c>
      <c r="H5148" s="137"/>
      <c r="I5148" s="137"/>
      <c r="J5148" s="135"/>
      <c r="K5148" s="135"/>
      <c r="L5148" s="135"/>
      <c r="M5148" s="135"/>
      <c r="N5148" s="135"/>
      <c r="O5148" s="135"/>
      <c r="P5148" s="135"/>
      <c r="Q5148" s="135"/>
      <c r="R5148" s="135"/>
      <c r="S5148" s="135"/>
      <c r="T5148" s="135"/>
      <c r="U5148" s="135"/>
      <c r="V5148" s="135"/>
      <c r="W5148" s="135"/>
      <c r="X5148" s="135"/>
      <c r="Y5148" s="135"/>
      <c r="Z5148" s="135"/>
    </row>
    <row r="5149" spans="1:26" ht="25.5">
      <c r="A5149" s="136" t="s">
        <v>16</v>
      </c>
      <c r="B5149" s="136" t="s">
        <v>7971</v>
      </c>
      <c r="C5149" s="136" t="s">
        <v>8043</v>
      </c>
      <c r="D5149" s="136" t="s">
        <v>1635</v>
      </c>
      <c r="E5149" s="136" t="s">
        <v>615</v>
      </c>
      <c r="F5149" s="136">
        <v>30</v>
      </c>
      <c r="G5149" s="137">
        <f t="shared" si="20"/>
        <v>16</v>
      </c>
      <c r="H5149" s="137"/>
      <c r="I5149" s="137"/>
      <c r="J5149" s="135"/>
      <c r="K5149" s="135"/>
      <c r="L5149" s="135"/>
      <c r="M5149" s="135"/>
      <c r="N5149" s="135"/>
      <c r="O5149" s="135"/>
      <c r="P5149" s="135"/>
      <c r="Q5149" s="135"/>
      <c r="R5149" s="135"/>
      <c r="S5149" s="135"/>
      <c r="T5149" s="135"/>
      <c r="U5149" s="135"/>
      <c r="V5149" s="135"/>
      <c r="W5149" s="135"/>
      <c r="X5149" s="135"/>
      <c r="Y5149" s="135"/>
      <c r="Z5149" s="135"/>
    </row>
    <row r="5150" spans="1:26" ht="25.5">
      <c r="A5150" s="136" t="s">
        <v>16</v>
      </c>
      <c r="B5150" s="136" t="s">
        <v>7971</v>
      </c>
      <c r="C5150" s="136" t="s">
        <v>8043</v>
      </c>
      <c r="D5150" s="136" t="s">
        <v>7786</v>
      </c>
      <c r="E5150" s="136" t="s">
        <v>615</v>
      </c>
      <c r="F5150" s="136">
        <v>26</v>
      </c>
      <c r="G5150" s="137">
        <f t="shared" si="20"/>
        <v>17</v>
      </c>
      <c r="H5150" s="137"/>
      <c r="I5150" s="137"/>
      <c r="J5150" s="135"/>
      <c r="K5150" s="135"/>
      <c r="L5150" s="135"/>
      <c r="M5150" s="135"/>
      <c r="N5150" s="135"/>
      <c r="O5150" s="135"/>
      <c r="P5150" s="135"/>
      <c r="Q5150" s="135"/>
      <c r="R5150" s="135"/>
      <c r="S5150" s="135"/>
      <c r="T5150" s="135"/>
      <c r="U5150" s="135"/>
      <c r="V5150" s="135"/>
      <c r="W5150" s="135"/>
      <c r="X5150" s="135"/>
      <c r="Y5150" s="135"/>
      <c r="Z5150" s="135"/>
    </row>
    <row r="5151" spans="1:26" ht="25.5">
      <c r="A5151" s="136" t="s">
        <v>16</v>
      </c>
      <c r="B5151" s="136" t="s">
        <v>7971</v>
      </c>
      <c r="C5151" s="136" t="s">
        <v>8043</v>
      </c>
      <c r="D5151" s="136" t="s">
        <v>433</v>
      </c>
      <c r="E5151" s="136" t="s">
        <v>594</v>
      </c>
      <c r="F5151" s="136">
        <v>20</v>
      </c>
      <c r="G5151" s="137">
        <f t="shared" si="20"/>
        <v>18</v>
      </c>
      <c r="H5151" s="137"/>
      <c r="I5151" s="137"/>
      <c r="J5151" s="135"/>
      <c r="K5151" s="135"/>
      <c r="L5151" s="135"/>
      <c r="M5151" s="135"/>
      <c r="N5151" s="135"/>
      <c r="O5151" s="135"/>
      <c r="P5151" s="135"/>
      <c r="Q5151" s="135"/>
      <c r="R5151" s="135"/>
      <c r="S5151" s="135"/>
      <c r="T5151" s="135"/>
      <c r="U5151" s="135"/>
      <c r="V5151" s="135"/>
      <c r="W5151" s="135"/>
      <c r="X5151" s="135"/>
      <c r="Y5151" s="135"/>
      <c r="Z5151" s="135"/>
    </row>
    <row r="5152" spans="1:26" ht="25.5">
      <c r="A5152" s="136" t="s">
        <v>16</v>
      </c>
      <c r="B5152" s="136" t="s">
        <v>7971</v>
      </c>
      <c r="C5152" s="136" t="s">
        <v>8044</v>
      </c>
      <c r="D5152" s="136" t="s">
        <v>139</v>
      </c>
      <c r="E5152" s="136" t="s">
        <v>594</v>
      </c>
      <c r="F5152" s="136">
        <v>2316</v>
      </c>
      <c r="G5152" s="137">
        <f t="shared" si="20"/>
        <v>1</v>
      </c>
      <c r="H5152" s="137"/>
      <c r="I5152" s="137"/>
      <c r="J5152" s="135"/>
      <c r="K5152" s="135"/>
      <c r="L5152" s="135"/>
      <c r="M5152" s="135"/>
      <c r="N5152" s="135"/>
      <c r="O5152" s="135"/>
      <c r="P5152" s="135"/>
      <c r="Q5152" s="135"/>
      <c r="R5152" s="135"/>
      <c r="S5152" s="135"/>
      <c r="T5152" s="135"/>
      <c r="U5152" s="135"/>
      <c r="V5152" s="135"/>
      <c r="W5152" s="135"/>
      <c r="X5152" s="135"/>
      <c r="Y5152" s="135"/>
      <c r="Z5152" s="135"/>
    </row>
    <row r="5153" spans="1:26" ht="25.5">
      <c r="A5153" s="136" t="s">
        <v>16</v>
      </c>
      <c r="B5153" s="136" t="s">
        <v>7971</v>
      </c>
      <c r="C5153" s="136" t="s">
        <v>8044</v>
      </c>
      <c r="D5153" s="136" t="s">
        <v>1626</v>
      </c>
      <c r="E5153" s="136" t="s">
        <v>594</v>
      </c>
      <c r="F5153" s="136">
        <v>520</v>
      </c>
      <c r="G5153" s="137">
        <f t="shared" si="20"/>
        <v>2</v>
      </c>
      <c r="H5153" s="137"/>
      <c r="I5153" s="137"/>
      <c r="J5153" s="135"/>
      <c r="K5153" s="135"/>
      <c r="L5153" s="135"/>
      <c r="M5153" s="135"/>
      <c r="N5153" s="135"/>
      <c r="O5153" s="135"/>
      <c r="P5153" s="135"/>
      <c r="Q5153" s="135"/>
      <c r="R5153" s="135"/>
      <c r="S5153" s="135"/>
      <c r="T5153" s="135"/>
      <c r="U5153" s="135"/>
      <c r="V5153" s="135"/>
      <c r="W5153" s="135"/>
      <c r="X5153" s="135"/>
      <c r="Y5153" s="135"/>
      <c r="Z5153" s="135"/>
    </row>
    <row r="5154" spans="1:26" ht="25.5">
      <c r="A5154" s="136" t="s">
        <v>16</v>
      </c>
      <c r="B5154" s="136" t="s">
        <v>7971</v>
      </c>
      <c r="C5154" s="136" t="s">
        <v>8044</v>
      </c>
      <c r="D5154" s="136" t="s">
        <v>368</v>
      </c>
      <c r="E5154" s="136" t="s">
        <v>594</v>
      </c>
      <c r="F5154" s="136">
        <v>470</v>
      </c>
      <c r="G5154" s="137">
        <f t="shared" si="20"/>
        <v>3</v>
      </c>
      <c r="H5154" s="137"/>
      <c r="I5154" s="137"/>
      <c r="J5154" s="135"/>
      <c r="K5154" s="135"/>
      <c r="L5154" s="135"/>
      <c r="M5154" s="135"/>
      <c r="N5154" s="135"/>
      <c r="O5154" s="135"/>
      <c r="P5154" s="135"/>
      <c r="Q5154" s="135"/>
      <c r="R5154" s="135"/>
      <c r="S5154" s="135"/>
      <c r="T5154" s="135"/>
      <c r="U5154" s="135"/>
      <c r="V5154" s="135"/>
      <c r="W5154" s="135"/>
      <c r="X5154" s="135"/>
      <c r="Y5154" s="135"/>
      <c r="Z5154" s="135"/>
    </row>
    <row r="5155" spans="1:26" ht="25.5">
      <c r="A5155" s="136" t="s">
        <v>16</v>
      </c>
      <c r="B5155" s="136" t="s">
        <v>7971</v>
      </c>
      <c r="C5155" s="136" t="s">
        <v>8044</v>
      </c>
      <c r="D5155" s="136" t="s">
        <v>7685</v>
      </c>
      <c r="E5155" s="136" t="s">
        <v>594</v>
      </c>
      <c r="F5155" s="136">
        <v>303</v>
      </c>
      <c r="G5155" s="137">
        <f t="shared" si="20"/>
        <v>4</v>
      </c>
      <c r="H5155" s="137"/>
      <c r="I5155" s="137"/>
      <c r="J5155" s="135"/>
      <c r="K5155" s="135"/>
      <c r="L5155" s="135"/>
      <c r="M5155" s="135"/>
      <c r="N5155" s="135"/>
      <c r="O5155" s="135"/>
      <c r="P5155" s="135"/>
      <c r="Q5155" s="135"/>
      <c r="R5155" s="135"/>
      <c r="S5155" s="135"/>
      <c r="T5155" s="135"/>
      <c r="U5155" s="135"/>
      <c r="V5155" s="135"/>
      <c r="W5155" s="135"/>
      <c r="X5155" s="135"/>
      <c r="Y5155" s="135"/>
      <c r="Z5155" s="135"/>
    </row>
    <row r="5156" spans="1:26" ht="25.5">
      <c r="A5156" s="136" t="s">
        <v>16</v>
      </c>
      <c r="B5156" s="136" t="s">
        <v>7971</v>
      </c>
      <c r="C5156" s="136" t="s">
        <v>8044</v>
      </c>
      <c r="D5156" s="136" t="s">
        <v>158</v>
      </c>
      <c r="E5156" s="136" t="s">
        <v>615</v>
      </c>
      <c r="F5156" s="136">
        <v>290</v>
      </c>
      <c r="G5156" s="137">
        <f t="shared" si="20"/>
        <v>5</v>
      </c>
      <c r="H5156" s="137"/>
      <c r="I5156" s="137"/>
      <c r="J5156" s="135"/>
      <c r="K5156" s="135"/>
      <c r="L5156" s="135"/>
      <c r="M5156" s="135"/>
      <c r="N5156" s="135"/>
      <c r="O5156" s="135"/>
      <c r="P5156" s="135"/>
      <c r="Q5156" s="135"/>
      <c r="R5156" s="135"/>
      <c r="S5156" s="135"/>
      <c r="T5156" s="135"/>
      <c r="U5156" s="135"/>
      <c r="V5156" s="135"/>
      <c r="W5156" s="135"/>
      <c r="X5156" s="135"/>
      <c r="Y5156" s="135"/>
      <c r="Z5156" s="135"/>
    </row>
    <row r="5157" spans="1:26" ht="25.5">
      <c r="A5157" s="136" t="s">
        <v>16</v>
      </c>
      <c r="B5157" s="136" t="s">
        <v>7971</v>
      </c>
      <c r="C5157" s="136" t="s">
        <v>8044</v>
      </c>
      <c r="D5157" s="136" t="s">
        <v>1665</v>
      </c>
      <c r="E5157" s="136" t="s">
        <v>615</v>
      </c>
      <c r="F5157" s="136">
        <v>219</v>
      </c>
      <c r="G5157" s="137">
        <f t="shared" si="20"/>
        <v>6</v>
      </c>
      <c r="H5157" s="137"/>
      <c r="I5157" s="137"/>
      <c r="J5157" s="135"/>
      <c r="K5157" s="135"/>
      <c r="L5157" s="135"/>
      <c r="M5157" s="135"/>
      <c r="N5157" s="135"/>
      <c r="O5157" s="135"/>
      <c r="P5157" s="135"/>
      <c r="Q5157" s="135"/>
      <c r="R5157" s="135"/>
      <c r="S5157" s="135"/>
      <c r="T5157" s="135"/>
      <c r="U5157" s="135"/>
      <c r="V5157" s="135"/>
      <c r="W5157" s="135"/>
      <c r="X5157" s="135"/>
      <c r="Y5157" s="135"/>
      <c r="Z5157" s="135"/>
    </row>
    <row r="5158" spans="1:26" ht="25.5">
      <c r="A5158" s="136" t="s">
        <v>16</v>
      </c>
      <c r="B5158" s="136" t="s">
        <v>7971</v>
      </c>
      <c r="C5158" s="136" t="s">
        <v>8044</v>
      </c>
      <c r="D5158" s="136" t="s">
        <v>7993</v>
      </c>
      <c r="E5158" s="136" t="s">
        <v>615</v>
      </c>
      <c r="F5158" s="136">
        <v>210</v>
      </c>
      <c r="G5158" s="137">
        <f t="shared" si="20"/>
        <v>7</v>
      </c>
      <c r="H5158" s="137"/>
      <c r="I5158" s="137"/>
      <c r="J5158" s="135"/>
      <c r="K5158" s="135"/>
      <c r="L5158" s="135"/>
      <c r="M5158" s="135"/>
      <c r="N5158" s="135"/>
      <c r="O5158" s="135"/>
      <c r="P5158" s="135"/>
      <c r="Q5158" s="135"/>
      <c r="R5158" s="135"/>
      <c r="S5158" s="135"/>
      <c r="T5158" s="135"/>
      <c r="U5158" s="135"/>
      <c r="V5158" s="135"/>
      <c r="W5158" s="135"/>
      <c r="X5158" s="135"/>
      <c r="Y5158" s="135"/>
      <c r="Z5158" s="135"/>
    </row>
    <row r="5159" spans="1:26" ht="25.5">
      <c r="A5159" s="136" t="s">
        <v>16</v>
      </c>
      <c r="B5159" s="136" t="s">
        <v>7971</v>
      </c>
      <c r="C5159" s="136" t="s">
        <v>8044</v>
      </c>
      <c r="D5159" s="136" t="s">
        <v>136</v>
      </c>
      <c r="E5159" s="136" t="s">
        <v>615</v>
      </c>
      <c r="F5159" s="136">
        <v>208</v>
      </c>
      <c r="G5159" s="137">
        <f t="shared" si="20"/>
        <v>8</v>
      </c>
      <c r="H5159" s="137"/>
      <c r="I5159" s="137"/>
      <c r="J5159" s="135"/>
      <c r="K5159" s="135"/>
      <c r="L5159" s="135"/>
      <c r="M5159" s="135"/>
      <c r="N5159" s="135"/>
      <c r="O5159" s="135"/>
      <c r="P5159" s="135"/>
      <c r="Q5159" s="135"/>
      <c r="R5159" s="135"/>
      <c r="S5159" s="135"/>
      <c r="T5159" s="135"/>
      <c r="U5159" s="135"/>
      <c r="V5159" s="135"/>
      <c r="W5159" s="135"/>
      <c r="X5159" s="135"/>
      <c r="Y5159" s="135"/>
      <c r="Z5159" s="135"/>
    </row>
    <row r="5160" spans="1:26" ht="25.5">
      <c r="A5160" s="136" t="s">
        <v>16</v>
      </c>
      <c r="B5160" s="136" t="s">
        <v>7971</v>
      </c>
      <c r="C5160" s="136" t="s">
        <v>8044</v>
      </c>
      <c r="D5160" s="136" t="s">
        <v>7481</v>
      </c>
      <c r="E5160" s="136" t="s">
        <v>615</v>
      </c>
      <c r="F5160" s="136">
        <v>114</v>
      </c>
      <c r="G5160" s="137">
        <f t="shared" si="20"/>
        <v>9</v>
      </c>
      <c r="H5160" s="137"/>
      <c r="I5160" s="137"/>
      <c r="J5160" s="135"/>
      <c r="K5160" s="135"/>
      <c r="L5160" s="135"/>
      <c r="M5160" s="135"/>
      <c r="N5160" s="135"/>
      <c r="O5160" s="135"/>
      <c r="P5160" s="135"/>
      <c r="Q5160" s="135"/>
      <c r="R5160" s="135"/>
      <c r="S5160" s="135"/>
      <c r="T5160" s="135"/>
      <c r="U5160" s="135"/>
      <c r="V5160" s="135"/>
      <c r="W5160" s="135"/>
      <c r="X5160" s="135"/>
      <c r="Y5160" s="135"/>
      <c r="Z5160" s="135"/>
    </row>
    <row r="5161" spans="1:26" ht="25.5">
      <c r="A5161" s="136" t="s">
        <v>16</v>
      </c>
      <c r="B5161" s="136" t="s">
        <v>7971</v>
      </c>
      <c r="C5161" s="136" t="s">
        <v>8044</v>
      </c>
      <c r="D5161" s="136" t="s">
        <v>437</v>
      </c>
      <c r="E5161" s="136" t="s">
        <v>594</v>
      </c>
      <c r="F5161" s="136">
        <v>110</v>
      </c>
      <c r="G5161" s="137">
        <f t="shared" si="20"/>
        <v>10</v>
      </c>
      <c r="H5161" s="137"/>
      <c r="I5161" s="137"/>
      <c r="J5161" s="135"/>
      <c r="K5161" s="135"/>
      <c r="L5161" s="135"/>
      <c r="M5161" s="135"/>
      <c r="N5161" s="135"/>
      <c r="O5161" s="135"/>
      <c r="P5161" s="135"/>
      <c r="Q5161" s="135"/>
      <c r="R5161" s="135"/>
      <c r="S5161" s="135"/>
      <c r="T5161" s="135"/>
      <c r="U5161" s="135"/>
      <c r="V5161" s="135"/>
      <c r="W5161" s="135"/>
      <c r="X5161" s="135"/>
      <c r="Y5161" s="135"/>
      <c r="Z5161" s="135"/>
    </row>
    <row r="5162" spans="1:26" ht="25.5">
      <c r="A5162" s="136" t="s">
        <v>16</v>
      </c>
      <c r="B5162" s="136" t="s">
        <v>7971</v>
      </c>
      <c r="C5162" s="136" t="s">
        <v>8044</v>
      </c>
      <c r="D5162" s="136" t="s">
        <v>1635</v>
      </c>
      <c r="E5162" s="136" t="s">
        <v>615</v>
      </c>
      <c r="F5162" s="136">
        <v>90</v>
      </c>
      <c r="G5162" s="137">
        <f t="shared" si="20"/>
        <v>11</v>
      </c>
      <c r="H5162" s="137"/>
      <c r="I5162" s="137"/>
      <c r="J5162" s="135"/>
      <c r="K5162" s="135"/>
      <c r="L5162" s="135"/>
      <c r="M5162" s="135"/>
      <c r="N5162" s="135"/>
      <c r="O5162" s="135"/>
      <c r="P5162" s="135"/>
      <c r="Q5162" s="135"/>
      <c r="R5162" s="135"/>
      <c r="S5162" s="135"/>
      <c r="T5162" s="135"/>
      <c r="U5162" s="135"/>
      <c r="V5162" s="135"/>
      <c r="W5162" s="135"/>
      <c r="X5162" s="135"/>
      <c r="Y5162" s="135"/>
      <c r="Z5162" s="135"/>
    </row>
    <row r="5163" spans="1:26" ht="25.5">
      <c r="A5163" s="136" t="s">
        <v>16</v>
      </c>
      <c r="B5163" s="136" t="s">
        <v>7971</v>
      </c>
      <c r="C5163" s="136" t="s">
        <v>8044</v>
      </c>
      <c r="D5163" s="136" t="s">
        <v>103</v>
      </c>
      <c r="E5163" s="136" t="s">
        <v>594</v>
      </c>
      <c r="F5163" s="136">
        <v>77</v>
      </c>
      <c r="G5163" s="137">
        <f t="shared" si="20"/>
        <v>12</v>
      </c>
      <c r="H5163" s="137"/>
      <c r="I5163" s="137"/>
      <c r="J5163" s="135"/>
      <c r="K5163" s="135"/>
      <c r="L5163" s="135"/>
      <c r="M5163" s="135"/>
      <c r="N5163" s="135"/>
      <c r="O5163" s="135"/>
      <c r="P5163" s="135"/>
      <c r="Q5163" s="135"/>
      <c r="R5163" s="135"/>
      <c r="S5163" s="135"/>
      <c r="T5163" s="135"/>
      <c r="U5163" s="135"/>
      <c r="V5163" s="135"/>
      <c r="W5163" s="135"/>
      <c r="X5163" s="135"/>
      <c r="Y5163" s="135"/>
      <c r="Z5163" s="135"/>
    </row>
    <row r="5164" spans="1:26" ht="25.5">
      <c r="A5164" s="136" t="s">
        <v>16</v>
      </c>
      <c r="B5164" s="136" t="s">
        <v>7971</v>
      </c>
      <c r="C5164" s="136" t="s">
        <v>8044</v>
      </c>
      <c r="D5164" s="136" t="s">
        <v>225</v>
      </c>
      <c r="E5164" s="136" t="s">
        <v>615</v>
      </c>
      <c r="F5164" s="136">
        <v>75</v>
      </c>
      <c r="G5164" s="137">
        <f t="shared" si="20"/>
        <v>13</v>
      </c>
      <c r="H5164" s="137"/>
      <c r="I5164" s="137"/>
      <c r="J5164" s="135"/>
      <c r="K5164" s="135"/>
      <c r="L5164" s="135"/>
      <c r="M5164" s="135"/>
      <c r="N5164" s="135"/>
      <c r="O5164" s="135"/>
      <c r="P5164" s="135"/>
      <c r="Q5164" s="135"/>
      <c r="R5164" s="135"/>
      <c r="S5164" s="135"/>
      <c r="T5164" s="135"/>
      <c r="U5164" s="135"/>
      <c r="V5164" s="135"/>
      <c r="W5164" s="135"/>
      <c r="X5164" s="135"/>
      <c r="Y5164" s="135"/>
      <c r="Z5164" s="135"/>
    </row>
    <row r="5165" spans="1:26" ht="25.5">
      <c r="A5165" s="136" t="s">
        <v>16</v>
      </c>
      <c r="B5165" s="136" t="s">
        <v>7971</v>
      </c>
      <c r="C5165" s="136" t="s">
        <v>8044</v>
      </c>
      <c r="D5165" s="136" t="s">
        <v>1639</v>
      </c>
      <c r="E5165" s="136" t="s">
        <v>615</v>
      </c>
      <c r="F5165" s="136">
        <v>70</v>
      </c>
      <c r="G5165" s="137">
        <f t="shared" si="20"/>
        <v>14</v>
      </c>
      <c r="H5165" s="137"/>
      <c r="I5165" s="137"/>
      <c r="J5165" s="135"/>
      <c r="K5165" s="135"/>
      <c r="L5165" s="135"/>
      <c r="M5165" s="135"/>
      <c r="N5165" s="135"/>
      <c r="O5165" s="135"/>
      <c r="P5165" s="135"/>
      <c r="Q5165" s="135"/>
      <c r="R5165" s="135"/>
      <c r="S5165" s="135"/>
      <c r="T5165" s="135"/>
      <c r="U5165" s="135"/>
      <c r="V5165" s="135"/>
      <c r="W5165" s="135"/>
      <c r="X5165" s="135"/>
      <c r="Y5165" s="135"/>
      <c r="Z5165" s="135"/>
    </row>
    <row r="5166" spans="1:26" ht="25.5">
      <c r="A5166" s="136" t="s">
        <v>16</v>
      </c>
      <c r="B5166" s="136" t="s">
        <v>7971</v>
      </c>
      <c r="C5166" s="136" t="s">
        <v>8044</v>
      </c>
      <c r="D5166" s="136" t="s">
        <v>7985</v>
      </c>
      <c r="E5166" s="136" t="s">
        <v>615</v>
      </c>
      <c r="F5166" s="136">
        <v>65</v>
      </c>
      <c r="G5166" s="137">
        <f t="shared" si="20"/>
        <v>15</v>
      </c>
      <c r="H5166" s="137"/>
      <c r="I5166" s="137"/>
      <c r="J5166" s="135"/>
      <c r="K5166" s="135"/>
      <c r="L5166" s="135"/>
      <c r="M5166" s="135"/>
      <c r="N5166" s="135"/>
      <c r="O5166" s="135"/>
      <c r="P5166" s="135"/>
      <c r="Q5166" s="135"/>
      <c r="R5166" s="135"/>
      <c r="S5166" s="135"/>
      <c r="T5166" s="135"/>
      <c r="U5166" s="135"/>
      <c r="V5166" s="135"/>
      <c r="W5166" s="135"/>
      <c r="X5166" s="135"/>
      <c r="Y5166" s="135"/>
      <c r="Z5166" s="135"/>
    </row>
    <row r="5167" spans="1:26" ht="25.5">
      <c r="A5167" s="136" t="s">
        <v>16</v>
      </c>
      <c r="B5167" s="136" t="s">
        <v>7971</v>
      </c>
      <c r="C5167" s="136" t="s">
        <v>8044</v>
      </c>
      <c r="D5167" s="136" t="s">
        <v>131</v>
      </c>
      <c r="E5167" s="136" t="s">
        <v>594</v>
      </c>
      <c r="F5167" s="136">
        <v>63</v>
      </c>
      <c r="G5167" s="137">
        <f t="shared" si="20"/>
        <v>16</v>
      </c>
      <c r="H5167" s="137"/>
      <c r="I5167" s="137"/>
      <c r="J5167" s="135"/>
      <c r="K5167" s="135"/>
      <c r="L5167" s="135"/>
      <c r="M5167" s="135"/>
      <c r="N5167" s="135"/>
      <c r="O5167" s="135"/>
      <c r="P5167" s="135"/>
      <c r="Q5167" s="135"/>
      <c r="R5167" s="135"/>
      <c r="S5167" s="135"/>
      <c r="T5167" s="135"/>
      <c r="U5167" s="135"/>
      <c r="V5167" s="135"/>
      <c r="W5167" s="135"/>
      <c r="X5167" s="135"/>
      <c r="Y5167" s="135"/>
      <c r="Z5167" s="135"/>
    </row>
    <row r="5168" spans="1:26" ht="25.5">
      <c r="A5168" s="136" t="s">
        <v>16</v>
      </c>
      <c r="B5168" s="136" t="s">
        <v>7971</v>
      </c>
      <c r="C5168" s="136" t="s">
        <v>8044</v>
      </c>
      <c r="D5168" s="136" t="s">
        <v>7996</v>
      </c>
      <c r="E5168" s="136" t="s">
        <v>615</v>
      </c>
      <c r="F5168" s="136">
        <v>30</v>
      </c>
      <c r="G5168" s="137">
        <f t="shared" si="20"/>
        <v>17</v>
      </c>
      <c r="H5168" s="137"/>
      <c r="I5168" s="137"/>
      <c r="J5168" s="135"/>
      <c r="K5168" s="135"/>
      <c r="L5168" s="135"/>
      <c r="M5168" s="135"/>
      <c r="N5168" s="135"/>
      <c r="O5168" s="135"/>
      <c r="P5168" s="135"/>
      <c r="Q5168" s="135"/>
      <c r="R5168" s="135"/>
      <c r="S5168" s="135"/>
      <c r="T5168" s="135"/>
      <c r="U5168" s="135"/>
      <c r="V5168" s="135"/>
      <c r="W5168" s="135"/>
      <c r="X5168" s="135"/>
      <c r="Y5168" s="135"/>
      <c r="Z5168" s="135"/>
    </row>
    <row r="5169" spans="1:26" ht="25.5">
      <c r="A5169" s="136" t="s">
        <v>16</v>
      </c>
      <c r="B5169" s="136" t="s">
        <v>7971</v>
      </c>
      <c r="C5169" s="136" t="s">
        <v>8044</v>
      </c>
      <c r="D5169" s="136" t="s">
        <v>114</v>
      </c>
      <c r="E5169" s="136" t="s">
        <v>85</v>
      </c>
      <c r="F5169" s="136">
        <v>21</v>
      </c>
      <c r="G5169" s="137">
        <f t="shared" si="20"/>
        <v>18</v>
      </c>
      <c r="H5169" s="137"/>
      <c r="I5169" s="137"/>
      <c r="J5169" s="135"/>
      <c r="K5169" s="135"/>
      <c r="L5169" s="135"/>
      <c r="M5169" s="135"/>
      <c r="N5169" s="135"/>
      <c r="O5169" s="135"/>
      <c r="P5169" s="135"/>
      <c r="Q5169" s="135"/>
      <c r="R5169" s="135"/>
      <c r="S5169" s="135"/>
      <c r="T5169" s="135"/>
      <c r="U5169" s="135"/>
      <c r="V5169" s="135"/>
      <c r="W5169" s="135"/>
      <c r="X5169" s="135"/>
      <c r="Y5169" s="135"/>
      <c r="Z5169" s="135"/>
    </row>
    <row r="5170" spans="1:26" ht="25.5">
      <c r="A5170" s="136" t="s">
        <v>16</v>
      </c>
      <c r="B5170" s="136" t="s">
        <v>7971</v>
      </c>
      <c r="C5170" s="136" t="s">
        <v>8045</v>
      </c>
      <c r="D5170" s="136" t="s">
        <v>139</v>
      </c>
      <c r="E5170" s="136" t="s">
        <v>594</v>
      </c>
      <c r="F5170" s="136">
        <v>1260</v>
      </c>
      <c r="G5170" s="137">
        <f t="shared" si="20"/>
        <v>1</v>
      </c>
      <c r="H5170" s="137"/>
      <c r="I5170" s="137"/>
      <c r="J5170" s="135"/>
      <c r="K5170" s="135"/>
      <c r="L5170" s="135"/>
      <c r="M5170" s="135"/>
      <c r="N5170" s="135"/>
      <c r="O5170" s="135"/>
      <c r="P5170" s="135"/>
      <c r="Q5170" s="135"/>
      <c r="R5170" s="135"/>
      <c r="S5170" s="135"/>
      <c r="T5170" s="135"/>
      <c r="U5170" s="135"/>
      <c r="V5170" s="135"/>
      <c r="W5170" s="135"/>
      <c r="X5170" s="135"/>
      <c r="Y5170" s="135"/>
      <c r="Z5170" s="135"/>
    </row>
    <row r="5171" spans="1:26" ht="25.5">
      <c r="A5171" s="136" t="s">
        <v>16</v>
      </c>
      <c r="B5171" s="136" t="s">
        <v>7971</v>
      </c>
      <c r="C5171" s="136" t="s">
        <v>8045</v>
      </c>
      <c r="D5171" s="136" t="s">
        <v>158</v>
      </c>
      <c r="E5171" s="136" t="s">
        <v>615</v>
      </c>
      <c r="F5171" s="136">
        <v>423</v>
      </c>
      <c r="G5171" s="137">
        <f t="shared" si="20"/>
        <v>2</v>
      </c>
      <c r="H5171" s="137"/>
      <c r="I5171" s="137"/>
      <c r="J5171" s="135"/>
      <c r="K5171" s="135"/>
      <c r="L5171" s="135"/>
      <c r="M5171" s="135"/>
      <c r="N5171" s="135"/>
      <c r="O5171" s="135"/>
      <c r="P5171" s="135"/>
      <c r="Q5171" s="135"/>
      <c r="R5171" s="135"/>
      <c r="S5171" s="135"/>
      <c r="T5171" s="135"/>
      <c r="U5171" s="135"/>
      <c r="V5171" s="135"/>
      <c r="W5171" s="135"/>
      <c r="X5171" s="135"/>
      <c r="Y5171" s="135"/>
      <c r="Z5171" s="135"/>
    </row>
    <row r="5172" spans="1:26" ht="25.5">
      <c r="A5172" s="136" t="s">
        <v>16</v>
      </c>
      <c r="B5172" s="136" t="s">
        <v>7971</v>
      </c>
      <c r="C5172" s="136" t="s">
        <v>8045</v>
      </c>
      <c r="D5172" s="136" t="s">
        <v>1626</v>
      </c>
      <c r="E5172" s="136" t="s">
        <v>594</v>
      </c>
      <c r="F5172" s="136">
        <v>400</v>
      </c>
      <c r="G5172" s="137">
        <f t="shared" si="20"/>
        <v>3</v>
      </c>
      <c r="H5172" s="137"/>
      <c r="I5172" s="137"/>
      <c r="J5172" s="135"/>
      <c r="K5172" s="135"/>
      <c r="L5172" s="135"/>
      <c r="M5172" s="135"/>
      <c r="N5172" s="135"/>
      <c r="O5172" s="135"/>
      <c r="P5172" s="135"/>
      <c r="Q5172" s="135"/>
      <c r="R5172" s="135"/>
      <c r="S5172" s="135"/>
      <c r="T5172" s="135"/>
      <c r="U5172" s="135"/>
      <c r="V5172" s="135"/>
      <c r="W5172" s="135"/>
      <c r="X5172" s="135"/>
      <c r="Y5172" s="135"/>
      <c r="Z5172" s="135"/>
    </row>
    <row r="5173" spans="1:26" ht="25.5">
      <c r="A5173" s="136" t="s">
        <v>16</v>
      </c>
      <c r="B5173" s="136" t="s">
        <v>7971</v>
      </c>
      <c r="C5173" s="136" t="s">
        <v>8045</v>
      </c>
      <c r="D5173" s="136" t="s">
        <v>368</v>
      </c>
      <c r="E5173" s="136" t="s">
        <v>594</v>
      </c>
      <c r="F5173" s="136">
        <v>348</v>
      </c>
      <c r="G5173" s="137">
        <f t="shared" si="20"/>
        <v>4</v>
      </c>
      <c r="H5173" s="137"/>
      <c r="I5173" s="137"/>
      <c r="J5173" s="135"/>
      <c r="K5173" s="135"/>
      <c r="L5173" s="135"/>
      <c r="M5173" s="135"/>
      <c r="N5173" s="135"/>
      <c r="O5173" s="135"/>
      <c r="P5173" s="135"/>
      <c r="Q5173" s="135"/>
      <c r="R5173" s="135"/>
      <c r="S5173" s="135"/>
      <c r="T5173" s="135"/>
      <c r="U5173" s="135"/>
      <c r="V5173" s="135"/>
      <c r="W5173" s="135"/>
      <c r="X5173" s="135"/>
      <c r="Y5173" s="135"/>
      <c r="Z5173" s="135"/>
    </row>
    <row r="5174" spans="1:26" ht="25.5">
      <c r="A5174" s="136" t="s">
        <v>16</v>
      </c>
      <c r="B5174" s="136" t="s">
        <v>7971</v>
      </c>
      <c r="C5174" s="136" t="s">
        <v>8045</v>
      </c>
      <c r="D5174" s="136" t="s">
        <v>1665</v>
      </c>
      <c r="E5174" s="136" t="s">
        <v>615</v>
      </c>
      <c r="F5174" s="136">
        <v>175</v>
      </c>
      <c r="G5174" s="137">
        <f t="shared" si="20"/>
        <v>5</v>
      </c>
      <c r="H5174" s="137"/>
      <c r="I5174" s="137"/>
      <c r="J5174" s="135"/>
      <c r="K5174" s="135"/>
      <c r="L5174" s="135"/>
      <c r="M5174" s="135"/>
      <c r="N5174" s="135"/>
      <c r="O5174" s="135"/>
      <c r="P5174" s="135"/>
      <c r="Q5174" s="135"/>
      <c r="R5174" s="135"/>
      <c r="S5174" s="135"/>
      <c r="T5174" s="135"/>
      <c r="U5174" s="135"/>
      <c r="V5174" s="135"/>
      <c r="W5174" s="135"/>
      <c r="X5174" s="135"/>
      <c r="Y5174" s="135"/>
      <c r="Z5174" s="135"/>
    </row>
    <row r="5175" spans="1:26" ht="25.5">
      <c r="A5175" s="136" t="s">
        <v>16</v>
      </c>
      <c r="B5175" s="136" t="s">
        <v>7971</v>
      </c>
      <c r="C5175" s="136" t="s">
        <v>8045</v>
      </c>
      <c r="D5175" s="136" t="s">
        <v>103</v>
      </c>
      <c r="E5175" s="136" t="s">
        <v>594</v>
      </c>
      <c r="F5175" s="136">
        <v>100</v>
      </c>
      <c r="G5175" s="137">
        <f t="shared" si="20"/>
        <v>6</v>
      </c>
      <c r="H5175" s="137"/>
      <c r="I5175" s="137"/>
      <c r="J5175" s="135"/>
      <c r="K5175" s="135"/>
      <c r="L5175" s="135"/>
      <c r="M5175" s="135"/>
      <c r="N5175" s="135"/>
      <c r="O5175" s="135"/>
      <c r="P5175" s="135"/>
      <c r="Q5175" s="135"/>
      <c r="R5175" s="135"/>
      <c r="S5175" s="135"/>
      <c r="T5175" s="135"/>
      <c r="U5175" s="135"/>
      <c r="V5175" s="135"/>
      <c r="W5175" s="135"/>
      <c r="X5175" s="135"/>
      <c r="Y5175" s="135"/>
      <c r="Z5175" s="135"/>
    </row>
    <row r="5176" spans="1:26" ht="25.5">
      <c r="A5176" s="136" t="s">
        <v>16</v>
      </c>
      <c r="B5176" s="136" t="s">
        <v>7971</v>
      </c>
      <c r="C5176" s="136" t="s">
        <v>8045</v>
      </c>
      <c r="D5176" s="136" t="s">
        <v>1666</v>
      </c>
      <c r="E5176" s="136" t="s">
        <v>85</v>
      </c>
      <c r="F5176" s="136">
        <v>100</v>
      </c>
      <c r="G5176" s="137">
        <f t="shared" si="20"/>
        <v>7</v>
      </c>
      <c r="H5176" s="137"/>
      <c r="I5176" s="137"/>
      <c r="J5176" s="135"/>
      <c r="K5176" s="135"/>
      <c r="L5176" s="135"/>
      <c r="M5176" s="135"/>
      <c r="N5176" s="135"/>
      <c r="O5176" s="135"/>
      <c r="P5176" s="135"/>
      <c r="Q5176" s="135"/>
      <c r="R5176" s="135"/>
      <c r="S5176" s="135"/>
      <c r="T5176" s="135"/>
      <c r="U5176" s="135"/>
      <c r="V5176" s="135"/>
      <c r="W5176" s="135"/>
      <c r="X5176" s="135"/>
      <c r="Y5176" s="135"/>
      <c r="Z5176" s="135"/>
    </row>
    <row r="5177" spans="1:26" ht="25.5">
      <c r="A5177" s="136" t="s">
        <v>16</v>
      </c>
      <c r="B5177" s="136" t="s">
        <v>7971</v>
      </c>
      <c r="C5177" s="136" t="s">
        <v>8045</v>
      </c>
      <c r="D5177" s="136" t="s">
        <v>7993</v>
      </c>
      <c r="E5177" s="136" t="s">
        <v>615</v>
      </c>
      <c r="F5177" s="136">
        <v>78</v>
      </c>
      <c r="G5177" s="137">
        <f t="shared" si="20"/>
        <v>8</v>
      </c>
      <c r="H5177" s="137"/>
      <c r="I5177" s="137"/>
      <c r="J5177" s="135"/>
      <c r="K5177" s="135"/>
      <c r="L5177" s="135"/>
      <c r="M5177" s="135"/>
      <c r="N5177" s="135"/>
      <c r="O5177" s="135"/>
      <c r="P5177" s="135"/>
      <c r="Q5177" s="135"/>
      <c r="R5177" s="135"/>
      <c r="S5177" s="135"/>
      <c r="T5177" s="135"/>
      <c r="U5177" s="135"/>
      <c r="V5177" s="135"/>
      <c r="W5177" s="135"/>
      <c r="X5177" s="135"/>
      <c r="Y5177" s="135"/>
      <c r="Z5177" s="135"/>
    </row>
    <row r="5178" spans="1:26" ht="25.5">
      <c r="A5178" s="136" t="s">
        <v>16</v>
      </c>
      <c r="B5178" s="136" t="s">
        <v>7971</v>
      </c>
      <c r="C5178" s="136" t="s">
        <v>8045</v>
      </c>
      <c r="D5178" s="136" t="s">
        <v>7481</v>
      </c>
      <c r="E5178" s="136" t="s">
        <v>615</v>
      </c>
      <c r="F5178" s="136">
        <v>69</v>
      </c>
      <c r="G5178" s="137">
        <f t="shared" si="20"/>
        <v>9</v>
      </c>
      <c r="H5178" s="137"/>
      <c r="I5178" s="137"/>
      <c r="J5178" s="135"/>
      <c r="K5178" s="135"/>
      <c r="L5178" s="135"/>
      <c r="M5178" s="135"/>
      <c r="N5178" s="135"/>
      <c r="O5178" s="135"/>
      <c r="P5178" s="135"/>
      <c r="Q5178" s="135"/>
      <c r="R5178" s="135"/>
      <c r="S5178" s="135"/>
      <c r="T5178" s="135"/>
      <c r="U5178" s="135"/>
      <c r="V5178" s="135"/>
      <c r="W5178" s="135"/>
      <c r="X5178" s="135"/>
      <c r="Y5178" s="135"/>
      <c r="Z5178" s="135"/>
    </row>
    <row r="5179" spans="1:26" ht="25.5">
      <c r="A5179" s="136" t="s">
        <v>16</v>
      </c>
      <c r="B5179" s="136" t="s">
        <v>7971</v>
      </c>
      <c r="C5179" s="136" t="s">
        <v>8045</v>
      </c>
      <c r="D5179" s="136" t="s">
        <v>114</v>
      </c>
      <c r="E5179" s="136" t="s">
        <v>85</v>
      </c>
      <c r="F5179" s="136">
        <v>60</v>
      </c>
      <c r="G5179" s="137">
        <f t="shared" si="20"/>
        <v>10</v>
      </c>
      <c r="H5179" s="137"/>
      <c r="I5179" s="137"/>
      <c r="J5179" s="135"/>
      <c r="K5179" s="135"/>
      <c r="L5179" s="135"/>
      <c r="M5179" s="135"/>
      <c r="N5179" s="135"/>
      <c r="O5179" s="135"/>
      <c r="P5179" s="135"/>
      <c r="Q5179" s="135"/>
      <c r="R5179" s="135"/>
      <c r="S5179" s="135"/>
      <c r="T5179" s="135"/>
      <c r="U5179" s="135"/>
      <c r="V5179" s="135"/>
      <c r="W5179" s="135"/>
      <c r="X5179" s="135"/>
      <c r="Y5179" s="135"/>
      <c r="Z5179" s="135"/>
    </row>
    <row r="5180" spans="1:26" ht="25.5">
      <c r="A5180" s="136" t="s">
        <v>16</v>
      </c>
      <c r="B5180" s="136" t="s">
        <v>7971</v>
      </c>
      <c r="C5180" s="136" t="s">
        <v>8045</v>
      </c>
      <c r="D5180" s="136" t="s">
        <v>7685</v>
      </c>
      <c r="E5180" s="136" t="s">
        <v>594</v>
      </c>
      <c r="F5180" s="136">
        <v>59</v>
      </c>
      <c r="G5180" s="137">
        <f t="shared" si="20"/>
        <v>11</v>
      </c>
      <c r="H5180" s="137"/>
      <c r="I5180" s="137"/>
      <c r="J5180" s="135"/>
      <c r="K5180" s="135"/>
      <c r="L5180" s="135"/>
      <c r="M5180" s="135"/>
      <c r="N5180" s="135"/>
      <c r="O5180" s="135"/>
      <c r="P5180" s="135"/>
      <c r="Q5180" s="135"/>
      <c r="R5180" s="135"/>
      <c r="S5180" s="135"/>
      <c r="T5180" s="135"/>
      <c r="U5180" s="135"/>
      <c r="V5180" s="135"/>
      <c r="W5180" s="135"/>
      <c r="X5180" s="135"/>
      <c r="Y5180" s="135"/>
      <c r="Z5180" s="135"/>
    </row>
    <row r="5181" spans="1:26" ht="25.5">
      <c r="A5181" s="136" t="s">
        <v>16</v>
      </c>
      <c r="B5181" s="136" t="s">
        <v>7971</v>
      </c>
      <c r="C5181" s="136" t="s">
        <v>8045</v>
      </c>
      <c r="D5181" s="136" t="s">
        <v>1635</v>
      </c>
      <c r="E5181" s="136" t="s">
        <v>615</v>
      </c>
      <c r="F5181" s="136">
        <v>55</v>
      </c>
      <c r="G5181" s="137">
        <f t="shared" si="20"/>
        <v>12</v>
      </c>
      <c r="H5181" s="137"/>
      <c r="I5181" s="137"/>
      <c r="J5181" s="135"/>
      <c r="K5181" s="135"/>
      <c r="L5181" s="135"/>
      <c r="M5181" s="135"/>
      <c r="N5181" s="135"/>
      <c r="O5181" s="135"/>
      <c r="P5181" s="135"/>
      <c r="Q5181" s="135"/>
      <c r="R5181" s="135"/>
      <c r="S5181" s="135"/>
      <c r="T5181" s="135"/>
      <c r="U5181" s="135"/>
      <c r="V5181" s="135"/>
      <c r="W5181" s="135"/>
      <c r="X5181" s="135"/>
      <c r="Y5181" s="135"/>
      <c r="Z5181" s="135"/>
    </row>
    <row r="5182" spans="1:26" ht="25.5">
      <c r="A5182" s="136" t="s">
        <v>16</v>
      </c>
      <c r="B5182" s="136" t="s">
        <v>7971</v>
      </c>
      <c r="C5182" s="136" t="s">
        <v>8045</v>
      </c>
      <c r="D5182" s="136" t="s">
        <v>7985</v>
      </c>
      <c r="E5182" s="136" t="s">
        <v>615</v>
      </c>
      <c r="F5182" s="136">
        <v>26</v>
      </c>
      <c r="G5182" s="137">
        <f t="shared" si="20"/>
        <v>13</v>
      </c>
      <c r="H5182" s="137"/>
      <c r="I5182" s="137"/>
      <c r="J5182" s="135"/>
      <c r="K5182" s="135"/>
      <c r="L5182" s="135"/>
      <c r="M5182" s="135"/>
      <c r="N5182" s="135"/>
      <c r="O5182" s="135"/>
      <c r="P5182" s="135"/>
      <c r="Q5182" s="135"/>
      <c r="R5182" s="135"/>
      <c r="S5182" s="135"/>
      <c r="T5182" s="135"/>
      <c r="U5182" s="135"/>
      <c r="V5182" s="135"/>
      <c r="W5182" s="135"/>
      <c r="X5182" s="135"/>
      <c r="Y5182" s="135"/>
      <c r="Z5182" s="135"/>
    </row>
    <row r="5183" spans="1:26" ht="25.5">
      <c r="A5183" s="136" t="s">
        <v>16</v>
      </c>
      <c r="B5183" s="136" t="s">
        <v>7971</v>
      </c>
      <c r="C5183" s="136" t="s">
        <v>8045</v>
      </c>
      <c r="D5183" s="136" t="s">
        <v>98</v>
      </c>
      <c r="E5183" s="136" t="s">
        <v>594</v>
      </c>
      <c r="F5183" s="136">
        <v>20</v>
      </c>
      <c r="G5183" s="137">
        <f t="shared" si="20"/>
        <v>14</v>
      </c>
      <c r="H5183" s="137"/>
      <c r="I5183" s="137"/>
      <c r="J5183" s="135"/>
      <c r="K5183" s="135"/>
      <c r="L5183" s="135"/>
      <c r="M5183" s="135"/>
      <c r="N5183" s="135"/>
      <c r="O5183" s="135"/>
      <c r="P5183" s="135"/>
      <c r="Q5183" s="135"/>
      <c r="R5183" s="135"/>
      <c r="S5183" s="135"/>
      <c r="T5183" s="135"/>
      <c r="U5183" s="135"/>
      <c r="V5183" s="135"/>
      <c r="W5183" s="135"/>
      <c r="X5183" s="135"/>
      <c r="Y5183" s="135"/>
      <c r="Z5183" s="135"/>
    </row>
    <row r="5184" spans="1:26" ht="25.5">
      <c r="A5184" s="136" t="s">
        <v>16</v>
      </c>
      <c r="B5184" s="136" t="s">
        <v>7971</v>
      </c>
      <c r="C5184" s="136" t="s">
        <v>8045</v>
      </c>
      <c r="D5184" s="136" t="s">
        <v>154</v>
      </c>
      <c r="E5184" s="136" t="s">
        <v>615</v>
      </c>
      <c r="F5184" s="136">
        <v>13</v>
      </c>
      <c r="G5184" s="137">
        <f t="shared" si="20"/>
        <v>15</v>
      </c>
      <c r="H5184" s="137"/>
      <c r="I5184" s="137"/>
      <c r="J5184" s="135"/>
      <c r="K5184" s="135"/>
      <c r="L5184" s="135"/>
      <c r="M5184" s="135"/>
      <c r="N5184" s="135"/>
      <c r="O5184" s="135"/>
      <c r="P5184" s="135"/>
      <c r="Q5184" s="135"/>
      <c r="R5184" s="135"/>
      <c r="S5184" s="135"/>
      <c r="T5184" s="135"/>
      <c r="U5184" s="135"/>
      <c r="V5184" s="135"/>
      <c r="W5184" s="135"/>
      <c r="X5184" s="135"/>
      <c r="Y5184" s="135"/>
      <c r="Z5184" s="135"/>
    </row>
    <row r="5185" spans="1:26" ht="25.5">
      <c r="A5185" s="136" t="s">
        <v>16</v>
      </c>
      <c r="B5185" s="136" t="s">
        <v>7971</v>
      </c>
      <c r="C5185" s="136" t="s">
        <v>8046</v>
      </c>
      <c r="D5185" s="136" t="s">
        <v>1604</v>
      </c>
      <c r="E5185" s="136" t="s">
        <v>615</v>
      </c>
      <c r="F5185" s="136">
        <v>3493</v>
      </c>
      <c r="G5185" s="137">
        <f t="shared" si="20"/>
        <v>1</v>
      </c>
      <c r="H5185" s="137"/>
      <c r="I5185" s="137"/>
      <c r="J5185" s="135"/>
      <c r="K5185" s="135"/>
      <c r="L5185" s="135"/>
      <c r="M5185" s="135"/>
      <c r="N5185" s="135"/>
      <c r="O5185" s="135"/>
      <c r="P5185" s="135"/>
      <c r="Q5185" s="135"/>
      <c r="R5185" s="135"/>
      <c r="S5185" s="135"/>
      <c r="T5185" s="135"/>
      <c r="U5185" s="135"/>
      <c r="V5185" s="135"/>
      <c r="W5185" s="135"/>
      <c r="X5185" s="135"/>
      <c r="Y5185" s="135"/>
      <c r="Z5185" s="135"/>
    </row>
    <row r="5186" spans="1:26" ht="25.5">
      <c r="A5186" s="136" t="s">
        <v>16</v>
      </c>
      <c r="B5186" s="136" t="s">
        <v>7971</v>
      </c>
      <c r="C5186" s="136" t="s">
        <v>8046</v>
      </c>
      <c r="D5186" s="136" t="s">
        <v>114</v>
      </c>
      <c r="E5186" s="136" t="s">
        <v>85</v>
      </c>
      <c r="F5186" s="136">
        <v>1004</v>
      </c>
      <c r="G5186" s="137">
        <f t="shared" si="20"/>
        <v>2</v>
      </c>
      <c r="H5186" s="137"/>
      <c r="I5186" s="137"/>
      <c r="J5186" s="135"/>
      <c r="K5186" s="135"/>
      <c r="L5186" s="135"/>
      <c r="M5186" s="135"/>
      <c r="N5186" s="135"/>
      <c r="O5186" s="135"/>
      <c r="P5186" s="135"/>
      <c r="Q5186" s="135"/>
      <c r="R5186" s="135"/>
      <c r="S5186" s="135"/>
      <c r="T5186" s="135"/>
      <c r="U5186" s="135"/>
      <c r="V5186" s="135"/>
      <c r="W5186" s="135"/>
      <c r="X5186" s="135"/>
      <c r="Y5186" s="135"/>
      <c r="Z5186" s="135"/>
    </row>
    <row r="5187" spans="1:26" ht="25.5">
      <c r="A5187" s="136" t="s">
        <v>16</v>
      </c>
      <c r="B5187" s="136" t="s">
        <v>7971</v>
      </c>
      <c r="C5187" s="136" t="s">
        <v>8046</v>
      </c>
      <c r="D5187" s="136" t="s">
        <v>158</v>
      </c>
      <c r="E5187" s="136" t="s">
        <v>615</v>
      </c>
      <c r="F5187" s="136">
        <v>808</v>
      </c>
      <c r="G5187" s="137">
        <f t="shared" si="20"/>
        <v>3</v>
      </c>
      <c r="H5187" s="137"/>
      <c r="I5187" s="137"/>
      <c r="J5187" s="135"/>
      <c r="K5187" s="135"/>
      <c r="L5187" s="135"/>
      <c r="M5187" s="135"/>
      <c r="N5187" s="135"/>
      <c r="O5187" s="135"/>
      <c r="P5187" s="135"/>
      <c r="Q5187" s="135"/>
      <c r="R5187" s="135"/>
      <c r="S5187" s="135"/>
      <c r="T5187" s="135"/>
      <c r="U5187" s="135"/>
      <c r="V5187" s="135"/>
      <c r="W5187" s="135"/>
      <c r="X5187" s="135"/>
      <c r="Y5187" s="135"/>
      <c r="Z5187" s="135"/>
    </row>
    <row r="5188" spans="1:26" ht="25.5">
      <c r="A5188" s="136" t="s">
        <v>16</v>
      </c>
      <c r="B5188" s="136" t="s">
        <v>7971</v>
      </c>
      <c r="C5188" s="136" t="s">
        <v>8046</v>
      </c>
      <c r="D5188" s="136" t="s">
        <v>139</v>
      </c>
      <c r="E5188" s="136" t="s">
        <v>594</v>
      </c>
      <c r="F5188" s="136">
        <v>612</v>
      </c>
      <c r="G5188" s="137">
        <f t="shared" si="20"/>
        <v>4</v>
      </c>
      <c r="H5188" s="137"/>
      <c r="I5188" s="137"/>
      <c r="J5188" s="135"/>
      <c r="K5188" s="135"/>
      <c r="L5188" s="135"/>
      <c r="M5188" s="135"/>
      <c r="N5188" s="135"/>
      <c r="O5188" s="135"/>
      <c r="P5188" s="135"/>
      <c r="Q5188" s="135"/>
      <c r="R5188" s="135"/>
      <c r="S5188" s="135"/>
      <c r="T5188" s="135"/>
      <c r="U5188" s="135"/>
      <c r="V5188" s="135"/>
      <c r="W5188" s="135"/>
      <c r="X5188" s="135"/>
      <c r="Y5188" s="135"/>
      <c r="Z5188" s="135"/>
    </row>
    <row r="5189" spans="1:26" ht="25.5">
      <c r="A5189" s="136" t="s">
        <v>16</v>
      </c>
      <c r="B5189" s="136" t="s">
        <v>7971</v>
      </c>
      <c r="C5189" s="136" t="s">
        <v>8046</v>
      </c>
      <c r="D5189" s="136" t="s">
        <v>467</v>
      </c>
      <c r="E5189" s="136" t="s">
        <v>85</v>
      </c>
      <c r="F5189" s="136">
        <v>152</v>
      </c>
      <c r="G5189" s="137">
        <f t="shared" si="20"/>
        <v>5</v>
      </c>
      <c r="H5189" s="137"/>
      <c r="I5189" s="137"/>
      <c r="J5189" s="135"/>
      <c r="K5189" s="135"/>
      <c r="L5189" s="135"/>
      <c r="M5189" s="135"/>
      <c r="N5189" s="135"/>
      <c r="O5189" s="135"/>
      <c r="P5189" s="135"/>
      <c r="Q5189" s="135"/>
      <c r="R5189" s="135"/>
      <c r="S5189" s="135"/>
      <c r="T5189" s="135"/>
      <c r="U5189" s="135"/>
      <c r="V5189" s="135"/>
      <c r="W5189" s="135"/>
      <c r="X5189" s="135"/>
      <c r="Y5189" s="135"/>
      <c r="Z5189" s="135"/>
    </row>
    <row r="5190" spans="1:26" ht="25.5">
      <c r="A5190" s="136" t="s">
        <v>16</v>
      </c>
      <c r="B5190" s="136" t="s">
        <v>7971</v>
      </c>
      <c r="C5190" s="136" t="s">
        <v>8046</v>
      </c>
      <c r="D5190" s="136" t="s">
        <v>7481</v>
      </c>
      <c r="E5190" s="136" t="s">
        <v>615</v>
      </c>
      <c r="F5190" s="136">
        <v>131</v>
      </c>
      <c r="G5190" s="137">
        <f t="shared" si="20"/>
        <v>6</v>
      </c>
      <c r="H5190" s="137"/>
      <c r="I5190" s="137"/>
      <c r="J5190" s="135"/>
      <c r="K5190" s="135"/>
      <c r="L5190" s="135"/>
      <c r="M5190" s="135"/>
      <c r="N5190" s="135"/>
      <c r="O5190" s="135"/>
      <c r="P5190" s="135"/>
      <c r="Q5190" s="135"/>
      <c r="R5190" s="135"/>
      <c r="S5190" s="135"/>
      <c r="T5190" s="135"/>
      <c r="U5190" s="135"/>
      <c r="V5190" s="135"/>
      <c r="W5190" s="135"/>
      <c r="X5190" s="135"/>
      <c r="Y5190" s="135"/>
      <c r="Z5190" s="135"/>
    </row>
    <row r="5191" spans="1:26" ht="25.5">
      <c r="A5191" s="136" t="s">
        <v>16</v>
      </c>
      <c r="B5191" s="136" t="s">
        <v>7971</v>
      </c>
      <c r="C5191" s="136" t="s">
        <v>8046</v>
      </c>
      <c r="D5191" s="136" t="s">
        <v>7993</v>
      </c>
      <c r="E5191" s="136" t="s">
        <v>615</v>
      </c>
      <c r="F5191" s="136">
        <v>122</v>
      </c>
      <c r="G5191" s="137">
        <f t="shared" si="20"/>
        <v>7</v>
      </c>
      <c r="H5191" s="137"/>
      <c r="I5191" s="137"/>
      <c r="J5191" s="135"/>
      <c r="K5191" s="135"/>
      <c r="L5191" s="135"/>
      <c r="M5191" s="135"/>
      <c r="N5191" s="135"/>
      <c r="O5191" s="135"/>
      <c r="P5191" s="135"/>
      <c r="Q5191" s="135"/>
      <c r="R5191" s="135"/>
      <c r="S5191" s="135"/>
      <c r="T5191" s="135"/>
      <c r="U5191" s="135"/>
      <c r="V5191" s="135"/>
      <c r="W5191" s="135"/>
      <c r="X5191" s="135"/>
      <c r="Y5191" s="135"/>
      <c r="Z5191" s="135"/>
    </row>
    <row r="5192" spans="1:26" ht="25.5">
      <c r="A5192" s="136" t="s">
        <v>16</v>
      </c>
      <c r="B5192" s="136" t="s">
        <v>7971</v>
      </c>
      <c r="C5192" s="136" t="s">
        <v>8046</v>
      </c>
      <c r="D5192" s="136" t="s">
        <v>433</v>
      </c>
      <c r="E5192" s="136" t="s">
        <v>594</v>
      </c>
      <c r="F5192" s="136">
        <v>120</v>
      </c>
      <c r="G5192" s="137">
        <f t="shared" si="20"/>
        <v>8</v>
      </c>
      <c r="H5192" s="137"/>
      <c r="I5192" s="137"/>
      <c r="J5192" s="135"/>
      <c r="K5192" s="135"/>
      <c r="L5192" s="135"/>
      <c r="M5192" s="135"/>
      <c r="N5192" s="135"/>
      <c r="O5192" s="135"/>
      <c r="P5192" s="135"/>
      <c r="Q5192" s="135"/>
      <c r="R5192" s="135"/>
      <c r="S5192" s="135"/>
      <c r="T5192" s="135"/>
      <c r="U5192" s="135"/>
      <c r="V5192" s="135"/>
      <c r="W5192" s="135"/>
      <c r="X5192" s="135"/>
      <c r="Y5192" s="135"/>
      <c r="Z5192" s="135"/>
    </row>
    <row r="5193" spans="1:26" ht="25.5">
      <c r="A5193" s="136" t="s">
        <v>16</v>
      </c>
      <c r="B5193" s="136" t="s">
        <v>7971</v>
      </c>
      <c r="C5193" s="136" t="s">
        <v>8046</v>
      </c>
      <c r="D5193" s="136" t="s">
        <v>8047</v>
      </c>
      <c r="E5193" s="136" t="s">
        <v>594</v>
      </c>
      <c r="F5193" s="136">
        <v>103</v>
      </c>
      <c r="G5193" s="137">
        <f t="shared" si="20"/>
        <v>9</v>
      </c>
      <c r="H5193" s="137"/>
      <c r="I5193" s="137"/>
      <c r="J5193" s="135"/>
      <c r="K5193" s="135"/>
      <c r="L5193" s="135"/>
      <c r="M5193" s="135"/>
      <c r="N5193" s="135"/>
      <c r="O5193" s="135"/>
      <c r="P5193" s="135"/>
      <c r="Q5193" s="135"/>
      <c r="R5193" s="135"/>
      <c r="S5193" s="135"/>
      <c r="T5193" s="135"/>
      <c r="U5193" s="135"/>
      <c r="V5193" s="135"/>
      <c r="W5193" s="135"/>
      <c r="X5193" s="135"/>
      <c r="Y5193" s="135"/>
      <c r="Z5193" s="135"/>
    </row>
    <row r="5194" spans="1:26" ht="25.5">
      <c r="A5194" s="136" t="s">
        <v>16</v>
      </c>
      <c r="B5194" s="136" t="s">
        <v>7971</v>
      </c>
      <c r="C5194" s="136" t="s">
        <v>8046</v>
      </c>
      <c r="D5194" s="136" t="s">
        <v>1666</v>
      </c>
      <c r="E5194" s="136" t="s">
        <v>85</v>
      </c>
      <c r="F5194" s="136">
        <v>100</v>
      </c>
      <c r="G5194" s="137">
        <f t="shared" si="20"/>
        <v>10</v>
      </c>
      <c r="H5194" s="137"/>
      <c r="I5194" s="137"/>
      <c r="J5194" s="135"/>
      <c r="K5194" s="135"/>
      <c r="L5194" s="135"/>
      <c r="M5194" s="135"/>
      <c r="N5194" s="135"/>
      <c r="O5194" s="135"/>
      <c r="P5194" s="135"/>
      <c r="Q5194" s="135"/>
      <c r="R5194" s="135"/>
      <c r="S5194" s="135"/>
      <c r="T5194" s="135"/>
      <c r="U5194" s="135"/>
      <c r="V5194" s="135"/>
      <c r="W5194" s="135"/>
      <c r="X5194" s="135"/>
      <c r="Y5194" s="135"/>
      <c r="Z5194" s="135"/>
    </row>
    <row r="5195" spans="1:26" ht="25.5">
      <c r="A5195" s="136" t="s">
        <v>16</v>
      </c>
      <c r="B5195" s="136" t="s">
        <v>7971</v>
      </c>
      <c r="C5195" s="136" t="s">
        <v>8046</v>
      </c>
      <c r="D5195" s="136" t="s">
        <v>1665</v>
      </c>
      <c r="E5195" s="136" t="s">
        <v>615</v>
      </c>
      <c r="F5195" s="136">
        <v>98</v>
      </c>
      <c r="G5195" s="137">
        <f t="shared" si="20"/>
        <v>11</v>
      </c>
      <c r="H5195" s="137"/>
      <c r="I5195" s="137"/>
      <c r="J5195" s="135"/>
      <c r="K5195" s="135"/>
      <c r="L5195" s="135"/>
      <c r="M5195" s="135"/>
      <c r="N5195" s="135"/>
      <c r="O5195" s="135"/>
      <c r="P5195" s="135"/>
      <c r="Q5195" s="135"/>
      <c r="R5195" s="135"/>
      <c r="S5195" s="135"/>
      <c r="T5195" s="135"/>
      <c r="U5195" s="135"/>
      <c r="V5195" s="135"/>
      <c r="W5195" s="135"/>
      <c r="X5195" s="135"/>
      <c r="Y5195" s="135"/>
      <c r="Z5195" s="135"/>
    </row>
    <row r="5196" spans="1:26" ht="25.5">
      <c r="A5196" s="136" t="s">
        <v>16</v>
      </c>
      <c r="B5196" s="136" t="s">
        <v>7971</v>
      </c>
      <c r="C5196" s="136" t="s">
        <v>8046</v>
      </c>
      <c r="D5196" s="136" t="s">
        <v>1656</v>
      </c>
      <c r="E5196" s="136" t="s">
        <v>594</v>
      </c>
      <c r="F5196" s="136">
        <v>70</v>
      </c>
      <c r="G5196" s="137">
        <f t="shared" si="20"/>
        <v>12</v>
      </c>
      <c r="H5196" s="137"/>
      <c r="I5196" s="137"/>
      <c r="J5196" s="135"/>
      <c r="K5196" s="135"/>
      <c r="L5196" s="135"/>
      <c r="M5196" s="135"/>
      <c r="N5196" s="135"/>
      <c r="O5196" s="135"/>
      <c r="P5196" s="135"/>
      <c r="Q5196" s="135"/>
      <c r="R5196" s="135"/>
      <c r="S5196" s="135"/>
      <c r="T5196" s="135"/>
      <c r="U5196" s="135"/>
      <c r="V5196" s="135"/>
      <c r="W5196" s="135"/>
      <c r="X5196" s="135"/>
      <c r="Y5196" s="135"/>
      <c r="Z5196" s="135"/>
    </row>
    <row r="5197" spans="1:26" ht="25.5">
      <c r="A5197" s="136" t="s">
        <v>16</v>
      </c>
      <c r="B5197" s="136" t="s">
        <v>7971</v>
      </c>
      <c r="C5197" s="136" t="s">
        <v>8046</v>
      </c>
      <c r="D5197" s="136" t="s">
        <v>1635</v>
      </c>
      <c r="E5197" s="136" t="s">
        <v>615</v>
      </c>
      <c r="F5197" s="136">
        <v>40</v>
      </c>
      <c r="G5197" s="137">
        <f t="shared" si="20"/>
        <v>13</v>
      </c>
      <c r="H5197" s="137"/>
      <c r="I5197" s="137"/>
      <c r="J5197" s="135"/>
      <c r="K5197" s="135"/>
      <c r="L5197" s="135"/>
      <c r="M5197" s="135"/>
      <c r="N5197" s="135"/>
      <c r="O5197" s="135"/>
      <c r="P5197" s="135"/>
      <c r="Q5197" s="135"/>
      <c r="R5197" s="135"/>
      <c r="S5197" s="135"/>
      <c r="T5197" s="135"/>
      <c r="U5197" s="135"/>
      <c r="V5197" s="135"/>
      <c r="W5197" s="135"/>
      <c r="X5197" s="135"/>
      <c r="Y5197" s="135"/>
      <c r="Z5197" s="135"/>
    </row>
    <row r="5198" spans="1:26" ht="25.5">
      <c r="A5198" s="136" t="s">
        <v>16</v>
      </c>
      <c r="B5198" s="136" t="s">
        <v>7971</v>
      </c>
      <c r="C5198" s="136" t="s">
        <v>8046</v>
      </c>
      <c r="D5198" s="136" t="s">
        <v>1626</v>
      </c>
      <c r="E5198" s="136" t="s">
        <v>594</v>
      </c>
      <c r="F5198" s="136">
        <v>30</v>
      </c>
      <c r="G5198" s="137">
        <f t="shared" si="20"/>
        <v>14</v>
      </c>
      <c r="H5198" s="137"/>
      <c r="I5198" s="137"/>
      <c r="J5198" s="135"/>
      <c r="K5198" s="135"/>
      <c r="L5198" s="135"/>
      <c r="M5198" s="135"/>
      <c r="N5198" s="135"/>
      <c r="O5198" s="135"/>
      <c r="P5198" s="135"/>
      <c r="Q5198" s="135"/>
      <c r="R5198" s="135"/>
      <c r="S5198" s="135"/>
      <c r="T5198" s="135"/>
      <c r="U5198" s="135"/>
      <c r="V5198" s="135"/>
      <c r="W5198" s="135"/>
      <c r="X5198" s="135"/>
      <c r="Y5198" s="135"/>
      <c r="Z5198" s="135"/>
    </row>
    <row r="5199" spans="1:26" ht="25.5">
      <c r="A5199" s="136" t="s">
        <v>16</v>
      </c>
      <c r="B5199" s="136" t="s">
        <v>7971</v>
      </c>
      <c r="C5199" s="136" t="s">
        <v>8046</v>
      </c>
      <c r="D5199" s="136" t="s">
        <v>7544</v>
      </c>
      <c r="E5199" s="136" t="s">
        <v>615</v>
      </c>
      <c r="F5199" s="136">
        <v>27</v>
      </c>
      <c r="G5199" s="137">
        <f t="shared" si="20"/>
        <v>15</v>
      </c>
      <c r="H5199" s="137"/>
      <c r="I5199" s="137"/>
      <c r="J5199" s="135"/>
      <c r="K5199" s="135"/>
      <c r="L5199" s="135"/>
      <c r="M5199" s="135"/>
      <c r="N5199" s="135"/>
      <c r="O5199" s="135"/>
      <c r="P5199" s="135"/>
      <c r="Q5199" s="135"/>
      <c r="R5199" s="135"/>
      <c r="S5199" s="135"/>
      <c r="T5199" s="135"/>
      <c r="U5199" s="135"/>
      <c r="V5199" s="135"/>
      <c r="W5199" s="135"/>
      <c r="X5199" s="135"/>
      <c r="Y5199" s="135"/>
      <c r="Z5199" s="135"/>
    </row>
    <row r="5200" spans="1:26" ht="25.5">
      <c r="A5200" s="136" t="s">
        <v>16</v>
      </c>
      <c r="B5200" s="136" t="s">
        <v>7971</v>
      </c>
      <c r="C5200" s="136" t="s">
        <v>8046</v>
      </c>
      <c r="D5200" s="136" t="s">
        <v>165</v>
      </c>
      <c r="E5200" s="136" t="s">
        <v>615</v>
      </c>
      <c r="F5200" s="136">
        <v>26</v>
      </c>
      <c r="G5200" s="137">
        <f t="shared" si="20"/>
        <v>16</v>
      </c>
      <c r="H5200" s="137"/>
      <c r="I5200" s="137"/>
      <c r="J5200" s="135"/>
      <c r="K5200" s="135"/>
      <c r="L5200" s="135"/>
      <c r="M5200" s="135"/>
      <c r="N5200" s="135"/>
      <c r="O5200" s="135"/>
      <c r="P5200" s="135"/>
      <c r="Q5200" s="135"/>
      <c r="R5200" s="135"/>
      <c r="S5200" s="135"/>
      <c r="T5200" s="135"/>
      <c r="U5200" s="135"/>
      <c r="V5200" s="135"/>
      <c r="W5200" s="135"/>
      <c r="X5200" s="135"/>
      <c r="Y5200" s="135"/>
      <c r="Z5200" s="135"/>
    </row>
    <row r="5201" spans="1:26" ht="25.5">
      <c r="A5201" s="136" t="s">
        <v>16</v>
      </c>
      <c r="B5201" s="136" t="s">
        <v>7971</v>
      </c>
      <c r="C5201" s="136" t="s">
        <v>8046</v>
      </c>
      <c r="D5201" s="136" t="s">
        <v>368</v>
      </c>
      <c r="E5201" s="136" t="s">
        <v>594</v>
      </c>
      <c r="F5201" s="136">
        <v>16</v>
      </c>
      <c r="G5201" s="137">
        <f t="shared" si="20"/>
        <v>17</v>
      </c>
      <c r="H5201" s="137"/>
      <c r="I5201" s="137"/>
      <c r="J5201" s="135"/>
      <c r="K5201" s="135"/>
      <c r="L5201" s="135"/>
      <c r="M5201" s="135"/>
      <c r="N5201" s="135"/>
      <c r="O5201" s="135"/>
      <c r="P5201" s="135"/>
      <c r="Q5201" s="135"/>
      <c r="R5201" s="135"/>
      <c r="S5201" s="135"/>
      <c r="T5201" s="135"/>
      <c r="U5201" s="135"/>
      <c r="V5201" s="135"/>
      <c r="W5201" s="135"/>
      <c r="X5201" s="135"/>
      <c r="Y5201" s="135"/>
      <c r="Z5201" s="135"/>
    </row>
    <row r="5202" spans="1:26" ht="25.5">
      <c r="A5202" s="136" t="s">
        <v>16</v>
      </c>
      <c r="B5202" s="136" t="s">
        <v>7971</v>
      </c>
      <c r="C5202" s="136" t="s">
        <v>8046</v>
      </c>
      <c r="D5202" s="136" t="s">
        <v>1682</v>
      </c>
      <c r="E5202" s="136" t="s">
        <v>86</v>
      </c>
      <c r="F5202" s="136">
        <v>5</v>
      </c>
      <c r="G5202" s="137">
        <f t="shared" si="20"/>
        <v>18</v>
      </c>
      <c r="H5202" s="137"/>
      <c r="I5202" s="137"/>
      <c r="J5202" s="135"/>
      <c r="K5202" s="135"/>
      <c r="L5202" s="135"/>
      <c r="M5202" s="135"/>
      <c r="N5202" s="135"/>
      <c r="O5202" s="135"/>
      <c r="P5202" s="135"/>
      <c r="Q5202" s="135"/>
      <c r="R5202" s="135"/>
      <c r="S5202" s="135"/>
      <c r="T5202" s="135"/>
      <c r="U5202" s="135"/>
      <c r="V5202" s="135"/>
      <c r="W5202" s="135"/>
      <c r="X5202" s="135"/>
      <c r="Y5202" s="135"/>
      <c r="Z5202" s="135"/>
    </row>
    <row r="5203" spans="1:26" ht="25.5">
      <c r="A5203" s="136" t="s">
        <v>16</v>
      </c>
      <c r="B5203" s="136" t="s">
        <v>7971</v>
      </c>
      <c r="C5203" s="136" t="s">
        <v>8048</v>
      </c>
      <c r="D5203" s="136" t="s">
        <v>139</v>
      </c>
      <c r="E5203" s="136" t="s">
        <v>594</v>
      </c>
      <c r="F5203" s="136">
        <v>891</v>
      </c>
      <c r="G5203" s="137">
        <f t="shared" si="20"/>
        <v>1</v>
      </c>
      <c r="H5203" s="137"/>
      <c r="I5203" s="137"/>
      <c r="J5203" s="135"/>
      <c r="K5203" s="135"/>
      <c r="L5203" s="135"/>
      <c r="M5203" s="135"/>
      <c r="N5203" s="135"/>
      <c r="O5203" s="135"/>
      <c r="P5203" s="135"/>
      <c r="Q5203" s="135"/>
      <c r="R5203" s="135"/>
      <c r="S5203" s="135"/>
      <c r="T5203" s="135"/>
      <c r="U5203" s="135"/>
      <c r="V5203" s="135"/>
      <c r="W5203" s="135"/>
      <c r="X5203" s="135"/>
      <c r="Y5203" s="135"/>
      <c r="Z5203" s="135"/>
    </row>
    <row r="5204" spans="1:26" ht="25.5">
      <c r="A5204" s="136" t="s">
        <v>16</v>
      </c>
      <c r="B5204" s="136" t="s">
        <v>7971</v>
      </c>
      <c r="C5204" s="136" t="s">
        <v>8048</v>
      </c>
      <c r="D5204" s="136" t="s">
        <v>165</v>
      </c>
      <c r="E5204" s="136" t="s">
        <v>615</v>
      </c>
      <c r="F5204" s="136">
        <v>710</v>
      </c>
      <c r="G5204" s="137">
        <f t="shared" si="20"/>
        <v>2</v>
      </c>
      <c r="H5204" s="137"/>
      <c r="I5204" s="137"/>
      <c r="J5204" s="135"/>
      <c r="K5204" s="135"/>
      <c r="L5204" s="135"/>
      <c r="M5204" s="135"/>
      <c r="N5204" s="135"/>
      <c r="O5204" s="135"/>
      <c r="P5204" s="135"/>
      <c r="Q5204" s="135"/>
      <c r="R5204" s="135"/>
      <c r="S5204" s="135"/>
      <c r="T5204" s="135"/>
      <c r="U5204" s="135"/>
      <c r="V5204" s="135"/>
      <c r="W5204" s="135"/>
      <c r="X5204" s="135"/>
      <c r="Y5204" s="135"/>
      <c r="Z5204" s="135"/>
    </row>
    <row r="5205" spans="1:26" ht="25.5">
      <c r="A5205" s="136" t="s">
        <v>16</v>
      </c>
      <c r="B5205" s="136" t="s">
        <v>7971</v>
      </c>
      <c r="C5205" s="136" t="s">
        <v>8048</v>
      </c>
      <c r="D5205" s="136" t="s">
        <v>7993</v>
      </c>
      <c r="E5205" s="136" t="s">
        <v>615</v>
      </c>
      <c r="F5205" s="136">
        <v>640</v>
      </c>
      <c r="G5205" s="137">
        <f t="shared" si="20"/>
        <v>3</v>
      </c>
      <c r="H5205" s="137"/>
      <c r="I5205" s="137"/>
      <c r="J5205" s="135"/>
      <c r="K5205" s="135"/>
      <c r="L5205" s="135"/>
      <c r="M5205" s="135"/>
      <c r="N5205" s="135"/>
      <c r="O5205" s="135"/>
      <c r="P5205" s="135"/>
      <c r="Q5205" s="135"/>
      <c r="R5205" s="135"/>
      <c r="S5205" s="135"/>
      <c r="T5205" s="135"/>
      <c r="U5205" s="135"/>
      <c r="V5205" s="135"/>
      <c r="W5205" s="135"/>
      <c r="X5205" s="135"/>
      <c r="Y5205" s="135"/>
      <c r="Z5205" s="135"/>
    </row>
    <row r="5206" spans="1:26" ht="25.5">
      <c r="A5206" s="136" t="s">
        <v>16</v>
      </c>
      <c r="B5206" s="136" t="s">
        <v>7971</v>
      </c>
      <c r="C5206" s="136" t="s">
        <v>8048</v>
      </c>
      <c r="D5206" s="136" t="s">
        <v>114</v>
      </c>
      <c r="E5206" s="136" t="s">
        <v>85</v>
      </c>
      <c r="F5206" s="136">
        <v>594</v>
      </c>
      <c r="G5206" s="137">
        <f t="shared" si="20"/>
        <v>4</v>
      </c>
      <c r="H5206" s="137"/>
      <c r="I5206" s="137"/>
      <c r="J5206" s="135"/>
      <c r="K5206" s="135"/>
      <c r="L5206" s="135"/>
      <c r="M5206" s="135"/>
      <c r="N5206" s="135"/>
      <c r="O5206" s="135"/>
      <c r="P5206" s="135"/>
      <c r="Q5206" s="135"/>
      <c r="R5206" s="135"/>
      <c r="S5206" s="135"/>
      <c r="T5206" s="135"/>
      <c r="U5206" s="135"/>
      <c r="V5206" s="135"/>
      <c r="W5206" s="135"/>
      <c r="X5206" s="135"/>
      <c r="Y5206" s="135"/>
      <c r="Z5206" s="135"/>
    </row>
    <row r="5207" spans="1:26" ht="25.5">
      <c r="A5207" s="136" t="s">
        <v>16</v>
      </c>
      <c r="B5207" s="136" t="s">
        <v>7971</v>
      </c>
      <c r="C5207" s="136" t="s">
        <v>8048</v>
      </c>
      <c r="D5207" s="136" t="s">
        <v>1665</v>
      </c>
      <c r="E5207" s="136" t="s">
        <v>615</v>
      </c>
      <c r="F5207" s="136">
        <v>501</v>
      </c>
      <c r="G5207" s="137">
        <f t="shared" si="20"/>
        <v>5</v>
      </c>
      <c r="H5207" s="137"/>
      <c r="I5207" s="137"/>
      <c r="J5207" s="135"/>
      <c r="K5207" s="135"/>
      <c r="L5207" s="135"/>
      <c r="M5207" s="135"/>
      <c r="N5207" s="135"/>
      <c r="O5207" s="135"/>
      <c r="P5207" s="135"/>
      <c r="Q5207" s="135"/>
      <c r="R5207" s="135"/>
      <c r="S5207" s="135"/>
      <c r="T5207" s="135"/>
      <c r="U5207" s="135"/>
      <c r="V5207" s="135"/>
      <c r="W5207" s="135"/>
      <c r="X5207" s="135"/>
      <c r="Y5207" s="135"/>
      <c r="Z5207" s="135"/>
    </row>
    <row r="5208" spans="1:26" ht="25.5">
      <c r="A5208" s="136" t="s">
        <v>16</v>
      </c>
      <c r="B5208" s="136" t="s">
        <v>7971</v>
      </c>
      <c r="C5208" s="136" t="s">
        <v>8048</v>
      </c>
      <c r="D5208" s="136" t="s">
        <v>1626</v>
      </c>
      <c r="E5208" s="136" t="s">
        <v>594</v>
      </c>
      <c r="F5208" s="136">
        <v>358</v>
      </c>
      <c r="G5208" s="137">
        <f t="shared" si="20"/>
        <v>6</v>
      </c>
      <c r="H5208" s="137"/>
      <c r="I5208" s="137"/>
      <c r="J5208" s="135"/>
      <c r="K5208" s="135"/>
      <c r="L5208" s="135"/>
      <c r="M5208" s="135"/>
      <c r="N5208" s="135"/>
      <c r="O5208" s="135"/>
      <c r="P5208" s="135"/>
      <c r="Q5208" s="135"/>
      <c r="R5208" s="135"/>
      <c r="S5208" s="135"/>
      <c r="T5208" s="135"/>
      <c r="U5208" s="135"/>
      <c r="V5208" s="135"/>
      <c r="W5208" s="135"/>
      <c r="X5208" s="135"/>
      <c r="Y5208" s="135"/>
      <c r="Z5208" s="135"/>
    </row>
    <row r="5209" spans="1:26" ht="25.5">
      <c r="A5209" s="136" t="s">
        <v>16</v>
      </c>
      <c r="B5209" s="136" t="s">
        <v>7971</v>
      </c>
      <c r="C5209" s="136" t="s">
        <v>8048</v>
      </c>
      <c r="D5209" s="136" t="s">
        <v>103</v>
      </c>
      <c r="E5209" s="136" t="s">
        <v>594</v>
      </c>
      <c r="F5209" s="136">
        <v>256</v>
      </c>
      <c r="G5209" s="137">
        <f t="shared" si="20"/>
        <v>7</v>
      </c>
      <c r="H5209" s="137"/>
      <c r="I5209" s="137"/>
      <c r="J5209" s="135"/>
      <c r="K5209" s="135"/>
      <c r="L5209" s="135"/>
      <c r="M5209" s="135"/>
      <c r="N5209" s="135"/>
      <c r="O5209" s="135"/>
      <c r="P5209" s="135"/>
      <c r="Q5209" s="135"/>
      <c r="R5209" s="135"/>
      <c r="S5209" s="135"/>
      <c r="T5209" s="135"/>
      <c r="U5209" s="135"/>
      <c r="V5209" s="135"/>
      <c r="W5209" s="135"/>
      <c r="X5209" s="135"/>
      <c r="Y5209" s="135"/>
      <c r="Z5209" s="135"/>
    </row>
    <row r="5210" spans="1:26" ht="25.5">
      <c r="A5210" s="136" t="s">
        <v>16</v>
      </c>
      <c r="B5210" s="136" t="s">
        <v>7971</v>
      </c>
      <c r="C5210" s="136" t="s">
        <v>8048</v>
      </c>
      <c r="D5210" s="136" t="s">
        <v>433</v>
      </c>
      <c r="E5210" s="136" t="s">
        <v>594</v>
      </c>
      <c r="F5210" s="136">
        <v>221</v>
      </c>
      <c r="G5210" s="137">
        <f t="shared" si="20"/>
        <v>8</v>
      </c>
      <c r="H5210" s="137"/>
      <c r="I5210" s="137"/>
      <c r="J5210" s="135"/>
      <c r="K5210" s="135"/>
      <c r="L5210" s="135"/>
      <c r="M5210" s="135"/>
      <c r="N5210" s="135"/>
      <c r="O5210" s="135"/>
      <c r="P5210" s="135"/>
      <c r="Q5210" s="135"/>
      <c r="R5210" s="135"/>
      <c r="S5210" s="135"/>
      <c r="T5210" s="135"/>
      <c r="U5210" s="135"/>
      <c r="V5210" s="135"/>
      <c r="W5210" s="135"/>
      <c r="X5210" s="135"/>
      <c r="Y5210" s="135"/>
      <c r="Z5210" s="135"/>
    </row>
    <row r="5211" spans="1:26" ht="25.5">
      <c r="A5211" s="136" t="s">
        <v>16</v>
      </c>
      <c r="B5211" s="136" t="s">
        <v>7971</v>
      </c>
      <c r="C5211" s="136" t="s">
        <v>8048</v>
      </c>
      <c r="D5211" s="136" t="s">
        <v>107</v>
      </c>
      <c r="E5211" s="136" t="s">
        <v>615</v>
      </c>
      <c r="F5211" s="136">
        <v>193</v>
      </c>
      <c r="G5211" s="137">
        <f t="shared" si="20"/>
        <v>9</v>
      </c>
      <c r="H5211" s="137"/>
      <c r="I5211" s="137"/>
      <c r="J5211" s="135"/>
      <c r="K5211" s="135"/>
      <c r="L5211" s="135"/>
      <c r="M5211" s="135"/>
      <c r="N5211" s="135"/>
      <c r="O5211" s="135"/>
      <c r="P5211" s="135"/>
      <c r="Q5211" s="135"/>
      <c r="R5211" s="135"/>
      <c r="S5211" s="135"/>
      <c r="T5211" s="135"/>
      <c r="U5211" s="135"/>
      <c r="V5211" s="135"/>
      <c r="W5211" s="135"/>
      <c r="X5211" s="135"/>
      <c r="Y5211" s="135"/>
      <c r="Z5211" s="135"/>
    </row>
    <row r="5212" spans="1:26" ht="25.5">
      <c r="A5212" s="136" t="s">
        <v>16</v>
      </c>
      <c r="B5212" s="136" t="s">
        <v>7971</v>
      </c>
      <c r="C5212" s="136" t="s">
        <v>8048</v>
      </c>
      <c r="D5212" s="136" t="s">
        <v>1656</v>
      </c>
      <c r="E5212" s="136" t="s">
        <v>594</v>
      </c>
      <c r="F5212" s="136">
        <v>136</v>
      </c>
      <c r="G5212" s="137">
        <f t="shared" si="20"/>
        <v>10</v>
      </c>
      <c r="H5212" s="137"/>
      <c r="I5212" s="137"/>
      <c r="J5212" s="135"/>
      <c r="K5212" s="135"/>
      <c r="L5212" s="135"/>
      <c r="M5212" s="135"/>
      <c r="N5212" s="135"/>
      <c r="O5212" s="135"/>
      <c r="P5212" s="135"/>
      <c r="Q5212" s="135"/>
      <c r="R5212" s="135"/>
      <c r="S5212" s="135"/>
      <c r="T5212" s="135"/>
      <c r="U5212" s="135"/>
      <c r="V5212" s="135"/>
      <c r="W5212" s="135"/>
      <c r="X5212" s="135"/>
      <c r="Y5212" s="135"/>
      <c r="Z5212" s="135"/>
    </row>
    <row r="5213" spans="1:26" ht="25.5">
      <c r="A5213" s="136" t="s">
        <v>16</v>
      </c>
      <c r="B5213" s="136" t="s">
        <v>7971</v>
      </c>
      <c r="C5213" s="136" t="s">
        <v>8048</v>
      </c>
      <c r="D5213" s="136" t="s">
        <v>7481</v>
      </c>
      <c r="E5213" s="136" t="s">
        <v>615</v>
      </c>
      <c r="F5213" s="136">
        <v>125</v>
      </c>
      <c r="G5213" s="137">
        <f t="shared" si="20"/>
        <v>11</v>
      </c>
      <c r="H5213" s="137"/>
      <c r="I5213" s="137"/>
      <c r="J5213" s="135"/>
      <c r="K5213" s="135"/>
      <c r="L5213" s="135"/>
      <c r="M5213" s="135"/>
      <c r="N5213" s="135"/>
      <c r="O5213" s="135"/>
      <c r="P5213" s="135"/>
      <c r="Q5213" s="135"/>
      <c r="R5213" s="135"/>
      <c r="S5213" s="135"/>
      <c r="T5213" s="135"/>
      <c r="U5213" s="135"/>
      <c r="V5213" s="135"/>
      <c r="W5213" s="135"/>
      <c r="X5213" s="135"/>
      <c r="Y5213" s="135"/>
      <c r="Z5213" s="135"/>
    </row>
    <row r="5214" spans="1:26" ht="25.5">
      <c r="A5214" s="136" t="s">
        <v>16</v>
      </c>
      <c r="B5214" s="136" t="s">
        <v>7971</v>
      </c>
      <c r="C5214" s="136" t="s">
        <v>8048</v>
      </c>
      <c r="D5214" s="136" t="s">
        <v>131</v>
      </c>
      <c r="E5214" s="136" t="s">
        <v>594</v>
      </c>
      <c r="F5214" s="136">
        <v>99</v>
      </c>
      <c r="G5214" s="137">
        <f t="shared" si="20"/>
        <v>12</v>
      </c>
      <c r="H5214" s="137"/>
      <c r="I5214" s="137"/>
      <c r="J5214" s="135"/>
      <c r="K5214" s="135"/>
      <c r="L5214" s="135"/>
      <c r="M5214" s="135"/>
      <c r="N5214" s="135"/>
      <c r="O5214" s="135"/>
      <c r="P5214" s="135"/>
      <c r="Q5214" s="135"/>
      <c r="R5214" s="135"/>
      <c r="S5214" s="135"/>
      <c r="T5214" s="135"/>
      <c r="U5214" s="135"/>
      <c r="V5214" s="135"/>
      <c r="W5214" s="135"/>
      <c r="X5214" s="135"/>
      <c r="Y5214" s="135"/>
      <c r="Z5214" s="135"/>
    </row>
    <row r="5215" spans="1:26" ht="25.5">
      <c r="A5215" s="136" t="s">
        <v>16</v>
      </c>
      <c r="B5215" s="136" t="s">
        <v>7971</v>
      </c>
      <c r="C5215" s="136" t="s">
        <v>8048</v>
      </c>
      <c r="D5215" s="136" t="s">
        <v>437</v>
      </c>
      <c r="E5215" s="136" t="s">
        <v>594</v>
      </c>
      <c r="F5215" s="136">
        <v>51</v>
      </c>
      <c r="G5215" s="137">
        <f t="shared" si="20"/>
        <v>13</v>
      </c>
      <c r="H5215" s="137"/>
      <c r="I5215" s="137"/>
      <c r="J5215" s="135"/>
      <c r="K5215" s="135"/>
      <c r="L5215" s="135"/>
      <c r="M5215" s="135"/>
      <c r="N5215" s="135"/>
      <c r="O5215" s="135"/>
      <c r="P5215" s="135"/>
      <c r="Q5215" s="135"/>
      <c r="R5215" s="135"/>
      <c r="S5215" s="135"/>
      <c r="T5215" s="135"/>
      <c r="U5215" s="135"/>
      <c r="V5215" s="135"/>
      <c r="W5215" s="135"/>
      <c r="X5215" s="135"/>
      <c r="Y5215" s="135"/>
      <c r="Z5215" s="135"/>
    </row>
    <row r="5216" spans="1:26" ht="25.5">
      <c r="A5216" s="136" t="s">
        <v>16</v>
      </c>
      <c r="B5216" s="136" t="s">
        <v>7971</v>
      </c>
      <c r="C5216" s="136" t="s">
        <v>8048</v>
      </c>
      <c r="D5216" s="136" t="s">
        <v>368</v>
      </c>
      <c r="E5216" s="136" t="s">
        <v>594</v>
      </c>
      <c r="F5216" s="136">
        <v>48</v>
      </c>
      <c r="G5216" s="137">
        <f t="shared" si="20"/>
        <v>14</v>
      </c>
      <c r="H5216" s="137"/>
      <c r="I5216" s="137"/>
      <c r="J5216" s="135"/>
      <c r="K5216" s="135"/>
      <c r="L5216" s="135"/>
      <c r="M5216" s="135"/>
      <c r="N5216" s="135"/>
      <c r="O5216" s="135"/>
      <c r="P5216" s="135"/>
      <c r="Q5216" s="135"/>
      <c r="R5216" s="135"/>
      <c r="S5216" s="135"/>
      <c r="T5216" s="135"/>
      <c r="U5216" s="135"/>
      <c r="V5216" s="135"/>
      <c r="W5216" s="135"/>
      <c r="X5216" s="135"/>
      <c r="Y5216" s="135"/>
      <c r="Z5216" s="135"/>
    </row>
    <row r="5217" spans="1:26" ht="25.5">
      <c r="A5217" s="136" t="s">
        <v>16</v>
      </c>
      <c r="B5217" s="136" t="s">
        <v>7971</v>
      </c>
      <c r="C5217" s="136" t="s">
        <v>8048</v>
      </c>
      <c r="D5217" s="136" t="s">
        <v>1680</v>
      </c>
      <c r="E5217" s="136" t="s">
        <v>615</v>
      </c>
      <c r="F5217" s="136">
        <v>44</v>
      </c>
      <c r="G5217" s="137">
        <f t="shared" si="20"/>
        <v>15</v>
      </c>
      <c r="H5217" s="137"/>
      <c r="I5217" s="137"/>
      <c r="J5217" s="135"/>
      <c r="K5217" s="135"/>
      <c r="L5217" s="135"/>
      <c r="M5217" s="135"/>
      <c r="N5217" s="135"/>
      <c r="O5217" s="135"/>
      <c r="P5217" s="135"/>
      <c r="Q5217" s="135"/>
      <c r="R5217" s="135"/>
      <c r="S5217" s="135"/>
      <c r="T5217" s="135"/>
      <c r="U5217" s="135"/>
      <c r="V5217" s="135"/>
      <c r="W5217" s="135"/>
      <c r="X5217" s="135"/>
      <c r="Y5217" s="135"/>
      <c r="Z5217" s="135"/>
    </row>
    <row r="5218" spans="1:26" ht="25.5">
      <c r="A5218" s="136" t="s">
        <v>16</v>
      </c>
      <c r="B5218" s="136" t="s">
        <v>7971</v>
      </c>
      <c r="C5218" s="136" t="s">
        <v>8048</v>
      </c>
      <c r="D5218" s="136" t="s">
        <v>7985</v>
      </c>
      <c r="E5218" s="136" t="s">
        <v>615</v>
      </c>
      <c r="F5218" s="136">
        <v>26</v>
      </c>
      <c r="G5218" s="137">
        <f t="shared" si="20"/>
        <v>16</v>
      </c>
      <c r="H5218" s="137"/>
      <c r="I5218" s="137"/>
      <c r="J5218" s="135"/>
      <c r="K5218" s="135"/>
      <c r="L5218" s="135"/>
      <c r="M5218" s="135"/>
      <c r="N5218" s="135"/>
      <c r="O5218" s="135"/>
      <c r="P5218" s="135"/>
      <c r="Q5218" s="135"/>
      <c r="R5218" s="135"/>
      <c r="S5218" s="135"/>
      <c r="T5218" s="135"/>
      <c r="U5218" s="135"/>
      <c r="V5218" s="135"/>
      <c r="W5218" s="135"/>
      <c r="X5218" s="135"/>
      <c r="Y5218" s="135"/>
      <c r="Z5218" s="135"/>
    </row>
    <row r="5219" spans="1:26" ht="25.5">
      <c r="A5219" s="136" t="s">
        <v>16</v>
      </c>
      <c r="B5219" s="136" t="s">
        <v>7971</v>
      </c>
      <c r="C5219" s="136" t="s">
        <v>8048</v>
      </c>
      <c r="D5219" s="136" t="s">
        <v>1672</v>
      </c>
      <c r="E5219" s="136" t="s">
        <v>615</v>
      </c>
      <c r="F5219" s="136">
        <v>24</v>
      </c>
      <c r="G5219" s="137">
        <f t="shared" si="20"/>
        <v>17</v>
      </c>
      <c r="H5219" s="137"/>
      <c r="I5219" s="137"/>
      <c r="J5219" s="135"/>
      <c r="K5219" s="135"/>
      <c r="L5219" s="135"/>
      <c r="M5219" s="135"/>
      <c r="N5219" s="135"/>
      <c r="O5219" s="135"/>
      <c r="P5219" s="135"/>
      <c r="Q5219" s="135"/>
      <c r="R5219" s="135"/>
      <c r="S5219" s="135"/>
      <c r="T5219" s="135"/>
      <c r="U5219" s="135"/>
      <c r="V5219" s="135"/>
      <c r="W5219" s="135"/>
      <c r="X5219" s="135"/>
      <c r="Y5219" s="135"/>
      <c r="Z5219" s="135"/>
    </row>
    <row r="5220" spans="1:26" ht="25.5">
      <c r="A5220" s="136" t="s">
        <v>16</v>
      </c>
      <c r="B5220" s="136" t="s">
        <v>7971</v>
      </c>
      <c r="C5220" s="136" t="s">
        <v>8048</v>
      </c>
      <c r="D5220" s="136" t="s">
        <v>467</v>
      </c>
      <c r="E5220" s="136" t="s">
        <v>85</v>
      </c>
      <c r="F5220" s="136">
        <v>21</v>
      </c>
      <c r="G5220" s="137">
        <f t="shared" si="20"/>
        <v>18</v>
      </c>
      <c r="H5220" s="137"/>
      <c r="I5220" s="137"/>
      <c r="J5220" s="135"/>
      <c r="K5220" s="135"/>
      <c r="L5220" s="135"/>
      <c r="M5220" s="135"/>
      <c r="N5220" s="135"/>
      <c r="O5220" s="135"/>
      <c r="P5220" s="135"/>
      <c r="Q5220" s="135"/>
      <c r="R5220" s="135"/>
      <c r="S5220" s="135"/>
      <c r="T5220" s="135"/>
      <c r="U5220" s="135"/>
      <c r="V5220" s="135"/>
      <c r="W5220" s="135"/>
      <c r="X5220" s="135"/>
      <c r="Y5220" s="135"/>
      <c r="Z5220" s="135"/>
    </row>
    <row r="5221" spans="1:26" ht="25.5">
      <c r="A5221" s="136" t="s">
        <v>16</v>
      </c>
      <c r="B5221" s="136" t="s">
        <v>7971</v>
      </c>
      <c r="C5221" s="136" t="s">
        <v>8048</v>
      </c>
      <c r="D5221" s="136" t="s">
        <v>98</v>
      </c>
      <c r="E5221" s="136" t="s">
        <v>594</v>
      </c>
      <c r="F5221" s="136">
        <v>12</v>
      </c>
      <c r="G5221" s="137">
        <f t="shared" si="20"/>
        <v>19</v>
      </c>
      <c r="H5221" s="137"/>
      <c r="I5221" s="137"/>
      <c r="J5221" s="135"/>
      <c r="K5221" s="135"/>
      <c r="L5221" s="135"/>
      <c r="M5221" s="135"/>
      <c r="N5221" s="135"/>
      <c r="O5221" s="135"/>
      <c r="P5221" s="135"/>
      <c r="Q5221" s="135"/>
      <c r="R5221" s="135"/>
      <c r="S5221" s="135"/>
      <c r="T5221" s="135"/>
      <c r="U5221" s="135"/>
      <c r="V5221" s="135"/>
      <c r="W5221" s="135"/>
      <c r="X5221" s="135"/>
      <c r="Y5221" s="135"/>
      <c r="Z5221" s="135"/>
    </row>
    <row r="5222" spans="1:26" ht="25.5">
      <c r="A5222" s="136" t="s">
        <v>16</v>
      </c>
      <c r="B5222" s="136" t="s">
        <v>7971</v>
      </c>
      <c r="C5222" s="136" t="s">
        <v>8048</v>
      </c>
      <c r="D5222" s="136" t="s">
        <v>7544</v>
      </c>
      <c r="E5222" s="136" t="s">
        <v>615</v>
      </c>
      <c r="F5222" s="136">
        <v>10</v>
      </c>
      <c r="G5222" s="137">
        <f t="shared" si="20"/>
        <v>20</v>
      </c>
      <c r="H5222" s="137"/>
      <c r="I5222" s="137"/>
      <c r="J5222" s="135"/>
      <c r="K5222" s="135"/>
      <c r="L5222" s="135"/>
      <c r="M5222" s="135"/>
      <c r="N5222" s="135"/>
      <c r="O5222" s="135"/>
      <c r="P5222" s="135"/>
      <c r="Q5222" s="135"/>
      <c r="R5222" s="135"/>
      <c r="S5222" s="135"/>
      <c r="T5222" s="135"/>
      <c r="U5222" s="135"/>
      <c r="V5222" s="135"/>
      <c r="W5222" s="135"/>
      <c r="X5222" s="135"/>
      <c r="Y5222" s="135"/>
      <c r="Z5222" s="135"/>
    </row>
    <row r="5223" spans="1:26" ht="25.5">
      <c r="A5223" s="136" t="s">
        <v>16</v>
      </c>
      <c r="B5223" s="136" t="s">
        <v>7971</v>
      </c>
      <c r="C5223" s="136" t="s">
        <v>8048</v>
      </c>
      <c r="D5223" s="136" t="s">
        <v>158</v>
      </c>
      <c r="E5223" s="136" t="s">
        <v>615</v>
      </c>
      <c r="F5223" s="136">
        <v>10</v>
      </c>
      <c r="G5223" s="137">
        <f t="shared" si="20"/>
        <v>21</v>
      </c>
      <c r="H5223" s="137"/>
      <c r="I5223" s="137"/>
      <c r="J5223" s="135"/>
      <c r="K5223" s="135"/>
      <c r="L5223" s="135"/>
      <c r="M5223" s="135"/>
      <c r="N5223" s="135"/>
      <c r="O5223" s="135"/>
      <c r="P5223" s="135"/>
      <c r="Q5223" s="135"/>
      <c r="R5223" s="135"/>
      <c r="S5223" s="135"/>
      <c r="T5223" s="135"/>
      <c r="U5223" s="135"/>
      <c r="V5223" s="135"/>
      <c r="W5223" s="135"/>
      <c r="X5223" s="135"/>
      <c r="Y5223" s="135"/>
      <c r="Z5223" s="135"/>
    </row>
    <row r="5224" spans="1:26" ht="25.5">
      <c r="A5224" s="136" t="s">
        <v>16</v>
      </c>
      <c r="B5224" s="136" t="s">
        <v>7971</v>
      </c>
      <c r="C5224" s="136" t="s">
        <v>8048</v>
      </c>
      <c r="D5224" s="136" t="s">
        <v>1682</v>
      </c>
      <c r="E5224" s="136" t="s">
        <v>86</v>
      </c>
      <c r="F5224" s="136">
        <v>9</v>
      </c>
      <c r="G5224" s="137">
        <f t="shared" si="20"/>
        <v>22</v>
      </c>
      <c r="H5224" s="137"/>
      <c r="I5224" s="137"/>
      <c r="J5224" s="135"/>
      <c r="K5224" s="135"/>
      <c r="L5224" s="135"/>
      <c r="M5224" s="135"/>
      <c r="N5224" s="135"/>
      <c r="O5224" s="135"/>
      <c r="P5224" s="135"/>
      <c r="Q5224" s="135"/>
      <c r="R5224" s="135"/>
      <c r="S5224" s="135"/>
      <c r="T5224" s="135"/>
      <c r="U5224" s="135"/>
      <c r="V5224" s="135"/>
      <c r="W5224" s="135"/>
      <c r="X5224" s="135"/>
      <c r="Y5224" s="135"/>
      <c r="Z5224" s="135"/>
    </row>
    <row r="5225" spans="1:26" ht="25.5">
      <c r="A5225" s="136" t="s">
        <v>16</v>
      </c>
      <c r="B5225" s="136" t="s">
        <v>7971</v>
      </c>
      <c r="C5225" s="136" t="s">
        <v>8049</v>
      </c>
      <c r="D5225" s="136" t="s">
        <v>139</v>
      </c>
      <c r="E5225" s="136" t="s">
        <v>594</v>
      </c>
      <c r="F5225" s="136">
        <v>1691</v>
      </c>
      <c r="G5225" s="137">
        <f t="shared" si="20"/>
        <v>1</v>
      </c>
      <c r="H5225" s="137"/>
      <c r="I5225" s="137"/>
      <c r="J5225" s="135"/>
      <c r="K5225" s="135"/>
      <c r="L5225" s="135"/>
      <c r="M5225" s="135"/>
      <c r="N5225" s="135"/>
      <c r="O5225" s="135"/>
      <c r="P5225" s="135"/>
      <c r="Q5225" s="135"/>
      <c r="R5225" s="135"/>
      <c r="S5225" s="135"/>
      <c r="T5225" s="135"/>
      <c r="U5225" s="135"/>
      <c r="V5225" s="135"/>
      <c r="W5225" s="135"/>
      <c r="X5225" s="135"/>
      <c r="Y5225" s="135"/>
      <c r="Z5225" s="135"/>
    </row>
    <row r="5226" spans="1:26" ht="25.5">
      <c r="A5226" s="136" t="s">
        <v>16</v>
      </c>
      <c r="B5226" s="136" t="s">
        <v>7971</v>
      </c>
      <c r="C5226" s="136" t="s">
        <v>8049</v>
      </c>
      <c r="D5226" s="136" t="s">
        <v>1665</v>
      </c>
      <c r="E5226" s="136" t="s">
        <v>615</v>
      </c>
      <c r="F5226" s="136">
        <v>866</v>
      </c>
      <c r="G5226" s="137">
        <f t="shared" si="20"/>
        <v>2</v>
      </c>
      <c r="H5226" s="137"/>
      <c r="I5226" s="137"/>
      <c r="J5226" s="135"/>
      <c r="K5226" s="135"/>
      <c r="L5226" s="135"/>
      <c r="M5226" s="135"/>
      <c r="N5226" s="135"/>
      <c r="O5226" s="135"/>
      <c r="P5226" s="135"/>
      <c r="Q5226" s="135"/>
      <c r="R5226" s="135"/>
      <c r="S5226" s="135"/>
      <c r="T5226" s="135"/>
      <c r="U5226" s="135"/>
      <c r="V5226" s="135"/>
      <c r="W5226" s="135"/>
      <c r="X5226" s="135"/>
      <c r="Y5226" s="135"/>
      <c r="Z5226" s="135"/>
    </row>
    <row r="5227" spans="1:26" ht="25.5">
      <c r="A5227" s="136" t="s">
        <v>16</v>
      </c>
      <c r="B5227" s="136" t="s">
        <v>7971</v>
      </c>
      <c r="C5227" s="136" t="s">
        <v>8049</v>
      </c>
      <c r="D5227" s="136" t="s">
        <v>1626</v>
      </c>
      <c r="E5227" s="136" t="s">
        <v>594</v>
      </c>
      <c r="F5227" s="136">
        <v>771</v>
      </c>
      <c r="G5227" s="137">
        <f t="shared" si="20"/>
        <v>3</v>
      </c>
      <c r="H5227" s="137"/>
      <c r="I5227" s="137"/>
      <c r="J5227" s="135"/>
      <c r="K5227" s="135"/>
      <c r="L5227" s="135"/>
      <c r="M5227" s="135"/>
      <c r="N5227" s="135"/>
      <c r="O5227" s="135"/>
      <c r="P5227" s="135"/>
      <c r="Q5227" s="135"/>
      <c r="R5227" s="135"/>
      <c r="S5227" s="135"/>
      <c r="T5227" s="135"/>
      <c r="U5227" s="135"/>
      <c r="V5227" s="135"/>
      <c r="W5227" s="135"/>
      <c r="X5227" s="135"/>
      <c r="Y5227" s="135"/>
      <c r="Z5227" s="135"/>
    </row>
    <row r="5228" spans="1:26" ht="25.5">
      <c r="A5228" s="136" t="s">
        <v>16</v>
      </c>
      <c r="B5228" s="136" t="s">
        <v>7971</v>
      </c>
      <c r="C5228" s="136" t="s">
        <v>8049</v>
      </c>
      <c r="D5228" s="136" t="s">
        <v>165</v>
      </c>
      <c r="E5228" s="136" t="s">
        <v>615</v>
      </c>
      <c r="F5228" s="136">
        <v>462</v>
      </c>
      <c r="G5228" s="137">
        <f t="shared" si="20"/>
        <v>4</v>
      </c>
      <c r="H5228" s="137"/>
      <c r="I5228" s="137"/>
      <c r="J5228" s="135"/>
      <c r="K5228" s="135"/>
      <c r="L5228" s="135"/>
      <c r="M5228" s="135"/>
      <c r="N5228" s="135"/>
      <c r="O5228" s="135"/>
      <c r="P5228" s="135"/>
      <c r="Q5228" s="135"/>
      <c r="R5228" s="135"/>
      <c r="S5228" s="135"/>
      <c r="T5228" s="135"/>
      <c r="U5228" s="135"/>
      <c r="V5228" s="135"/>
      <c r="W5228" s="135"/>
      <c r="X5228" s="135"/>
      <c r="Y5228" s="135"/>
      <c r="Z5228" s="135"/>
    </row>
    <row r="5229" spans="1:26" ht="25.5">
      <c r="A5229" s="136" t="s">
        <v>16</v>
      </c>
      <c r="B5229" s="136" t="s">
        <v>7971</v>
      </c>
      <c r="C5229" s="136" t="s">
        <v>8049</v>
      </c>
      <c r="D5229" s="136" t="s">
        <v>368</v>
      </c>
      <c r="E5229" s="136" t="s">
        <v>594</v>
      </c>
      <c r="F5229" s="136">
        <v>242</v>
      </c>
      <c r="G5229" s="137">
        <f t="shared" si="20"/>
        <v>5</v>
      </c>
      <c r="H5229" s="137"/>
      <c r="I5229" s="137"/>
      <c r="J5229" s="135"/>
      <c r="K5229" s="135"/>
      <c r="L5229" s="135"/>
      <c r="M5229" s="135"/>
      <c r="N5229" s="135"/>
      <c r="O5229" s="135"/>
      <c r="P5229" s="135"/>
      <c r="Q5229" s="135"/>
      <c r="R5229" s="135"/>
      <c r="S5229" s="135"/>
      <c r="T5229" s="135"/>
      <c r="U5229" s="135"/>
      <c r="V5229" s="135"/>
      <c r="W5229" s="135"/>
      <c r="X5229" s="135"/>
      <c r="Y5229" s="135"/>
      <c r="Z5229" s="135"/>
    </row>
    <row r="5230" spans="1:26" ht="25.5">
      <c r="A5230" s="136" t="s">
        <v>16</v>
      </c>
      <c r="B5230" s="136" t="s">
        <v>7971</v>
      </c>
      <c r="C5230" s="136" t="s">
        <v>8049</v>
      </c>
      <c r="D5230" s="136" t="s">
        <v>7993</v>
      </c>
      <c r="E5230" s="136" t="s">
        <v>615</v>
      </c>
      <c r="F5230" s="136">
        <v>230</v>
      </c>
      <c r="G5230" s="137">
        <f t="shared" si="20"/>
        <v>6</v>
      </c>
      <c r="H5230" s="137"/>
      <c r="I5230" s="137"/>
      <c r="J5230" s="135"/>
      <c r="K5230" s="135"/>
      <c r="L5230" s="135"/>
      <c r="M5230" s="135"/>
      <c r="N5230" s="135"/>
      <c r="O5230" s="135"/>
      <c r="P5230" s="135"/>
      <c r="Q5230" s="135"/>
      <c r="R5230" s="135"/>
      <c r="S5230" s="135"/>
      <c r="T5230" s="135"/>
      <c r="U5230" s="135"/>
      <c r="V5230" s="135"/>
      <c r="W5230" s="135"/>
      <c r="X5230" s="135"/>
      <c r="Y5230" s="135"/>
      <c r="Z5230" s="135"/>
    </row>
    <row r="5231" spans="1:26" ht="25.5">
      <c r="A5231" s="136" t="s">
        <v>16</v>
      </c>
      <c r="B5231" s="136" t="s">
        <v>7971</v>
      </c>
      <c r="C5231" s="136" t="s">
        <v>8049</v>
      </c>
      <c r="D5231" s="136" t="s">
        <v>114</v>
      </c>
      <c r="E5231" s="136" t="s">
        <v>85</v>
      </c>
      <c r="F5231" s="136">
        <v>206</v>
      </c>
      <c r="G5231" s="137">
        <f t="shared" si="20"/>
        <v>7</v>
      </c>
      <c r="H5231" s="137"/>
      <c r="I5231" s="137"/>
      <c r="J5231" s="135"/>
      <c r="K5231" s="135"/>
      <c r="L5231" s="135"/>
      <c r="M5231" s="135"/>
      <c r="N5231" s="135"/>
      <c r="O5231" s="135"/>
      <c r="P5231" s="135"/>
      <c r="Q5231" s="135"/>
      <c r="R5231" s="135"/>
      <c r="S5231" s="135"/>
      <c r="T5231" s="135"/>
      <c r="U5231" s="135"/>
      <c r="V5231" s="135"/>
      <c r="W5231" s="135"/>
      <c r="X5231" s="135"/>
      <c r="Y5231" s="135"/>
      <c r="Z5231" s="135"/>
    </row>
    <row r="5232" spans="1:26" ht="25.5">
      <c r="A5232" s="136" t="s">
        <v>16</v>
      </c>
      <c r="B5232" s="136" t="s">
        <v>7971</v>
      </c>
      <c r="C5232" s="136" t="s">
        <v>8049</v>
      </c>
      <c r="D5232" s="136" t="s">
        <v>103</v>
      </c>
      <c r="E5232" s="136" t="s">
        <v>594</v>
      </c>
      <c r="F5232" s="136">
        <v>122</v>
      </c>
      <c r="G5232" s="137">
        <f t="shared" si="20"/>
        <v>8</v>
      </c>
      <c r="H5232" s="137"/>
      <c r="I5232" s="137"/>
      <c r="J5232" s="135"/>
      <c r="K5232" s="135"/>
      <c r="L5232" s="135"/>
      <c r="M5232" s="135"/>
      <c r="N5232" s="135"/>
      <c r="O5232" s="135"/>
      <c r="P5232" s="135"/>
      <c r="Q5232" s="135"/>
      <c r="R5232" s="135"/>
      <c r="S5232" s="135"/>
      <c r="T5232" s="135"/>
      <c r="U5232" s="135"/>
      <c r="V5232" s="135"/>
      <c r="W5232" s="135"/>
      <c r="X5232" s="135"/>
      <c r="Y5232" s="135"/>
      <c r="Z5232" s="135"/>
    </row>
    <row r="5233" spans="1:26" ht="25.5">
      <c r="A5233" s="136" t="s">
        <v>16</v>
      </c>
      <c r="B5233" s="136" t="s">
        <v>7971</v>
      </c>
      <c r="C5233" s="136" t="s">
        <v>8049</v>
      </c>
      <c r="D5233" s="136" t="s">
        <v>7544</v>
      </c>
      <c r="E5233" s="136" t="s">
        <v>615</v>
      </c>
      <c r="F5233" s="136">
        <v>121</v>
      </c>
      <c r="G5233" s="137">
        <f t="shared" si="20"/>
        <v>9</v>
      </c>
      <c r="H5233" s="137"/>
      <c r="I5233" s="137"/>
      <c r="J5233" s="135"/>
      <c r="K5233" s="135"/>
      <c r="L5233" s="135"/>
      <c r="M5233" s="135"/>
      <c r="N5233" s="135"/>
      <c r="O5233" s="135"/>
      <c r="P5233" s="135"/>
      <c r="Q5233" s="135"/>
      <c r="R5233" s="135"/>
      <c r="S5233" s="135"/>
      <c r="T5233" s="135"/>
      <c r="U5233" s="135"/>
      <c r="V5233" s="135"/>
      <c r="W5233" s="135"/>
      <c r="X5233" s="135"/>
      <c r="Y5233" s="135"/>
      <c r="Z5233" s="135"/>
    </row>
    <row r="5234" spans="1:26" ht="25.5">
      <c r="A5234" s="136" t="s">
        <v>16</v>
      </c>
      <c r="B5234" s="136" t="s">
        <v>7971</v>
      </c>
      <c r="C5234" s="136" t="s">
        <v>8049</v>
      </c>
      <c r="D5234" s="136" t="s">
        <v>1656</v>
      </c>
      <c r="E5234" s="136" t="s">
        <v>594</v>
      </c>
      <c r="F5234" s="136">
        <v>109</v>
      </c>
      <c r="G5234" s="137">
        <f t="shared" si="20"/>
        <v>10</v>
      </c>
      <c r="H5234" s="137"/>
      <c r="I5234" s="137"/>
      <c r="J5234" s="135"/>
      <c r="K5234" s="135"/>
      <c r="L5234" s="135"/>
      <c r="M5234" s="135"/>
      <c r="N5234" s="135"/>
      <c r="O5234" s="135"/>
      <c r="P5234" s="135"/>
      <c r="Q5234" s="135"/>
      <c r="R5234" s="135"/>
      <c r="S5234" s="135"/>
      <c r="T5234" s="135"/>
      <c r="U5234" s="135"/>
      <c r="V5234" s="135"/>
      <c r="W5234" s="135"/>
      <c r="X5234" s="135"/>
      <c r="Y5234" s="135"/>
      <c r="Z5234" s="135"/>
    </row>
    <row r="5235" spans="1:26" ht="25.5">
      <c r="A5235" s="136" t="s">
        <v>16</v>
      </c>
      <c r="B5235" s="136" t="s">
        <v>7971</v>
      </c>
      <c r="C5235" s="136" t="s">
        <v>8049</v>
      </c>
      <c r="D5235" s="136" t="s">
        <v>98</v>
      </c>
      <c r="E5235" s="136" t="s">
        <v>594</v>
      </c>
      <c r="F5235" s="136">
        <v>108</v>
      </c>
      <c r="G5235" s="137">
        <f t="shared" si="20"/>
        <v>11</v>
      </c>
      <c r="H5235" s="137"/>
      <c r="I5235" s="137"/>
      <c r="J5235" s="135"/>
      <c r="K5235" s="135"/>
      <c r="L5235" s="135"/>
      <c r="M5235" s="135"/>
      <c r="N5235" s="135"/>
      <c r="O5235" s="135"/>
      <c r="P5235" s="135"/>
      <c r="Q5235" s="135"/>
      <c r="R5235" s="135"/>
      <c r="S5235" s="135"/>
      <c r="T5235" s="135"/>
      <c r="U5235" s="135"/>
      <c r="V5235" s="135"/>
      <c r="W5235" s="135"/>
      <c r="X5235" s="135"/>
      <c r="Y5235" s="135"/>
      <c r="Z5235" s="135"/>
    </row>
    <row r="5236" spans="1:26" ht="25.5">
      <c r="A5236" s="136" t="s">
        <v>16</v>
      </c>
      <c r="B5236" s="136" t="s">
        <v>7971</v>
      </c>
      <c r="C5236" s="136" t="s">
        <v>8049</v>
      </c>
      <c r="D5236" s="136" t="s">
        <v>1639</v>
      </c>
      <c r="E5236" s="136" t="s">
        <v>615</v>
      </c>
      <c r="F5236" s="136">
        <v>82</v>
      </c>
      <c r="G5236" s="137">
        <f t="shared" si="20"/>
        <v>12</v>
      </c>
      <c r="H5236" s="137"/>
      <c r="I5236" s="137"/>
      <c r="J5236" s="135"/>
      <c r="K5236" s="135"/>
      <c r="L5236" s="135"/>
      <c r="M5236" s="135"/>
      <c r="N5236" s="135"/>
      <c r="O5236" s="135"/>
      <c r="P5236" s="135"/>
      <c r="Q5236" s="135"/>
      <c r="R5236" s="135"/>
      <c r="S5236" s="135"/>
      <c r="T5236" s="135"/>
      <c r="U5236" s="135"/>
      <c r="V5236" s="135"/>
      <c r="W5236" s="135"/>
      <c r="X5236" s="135"/>
      <c r="Y5236" s="135"/>
      <c r="Z5236" s="135"/>
    </row>
    <row r="5237" spans="1:26" ht="25.5">
      <c r="A5237" s="136" t="s">
        <v>16</v>
      </c>
      <c r="B5237" s="136" t="s">
        <v>7971</v>
      </c>
      <c r="C5237" s="136" t="s">
        <v>8049</v>
      </c>
      <c r="D5237" s="136" t="s">
        <v>131</v>
      </c>
      <c r="E5237" s="136" t="s">
        <v>594</v>
      </c>
      <c r="F5237" s="136">
        <v>79</v>
      </c>
      <c r="G5237" s="137">
        <f t="shared" si="20"/>
        <v>13</v>
      </c>
      <c r="H5237" s="137"/>
      <c r="I5237" s="137"/>
      <c r="J5237" s="135"/>
      <c r="K5237" s="135"/>
      <c r="L5237" s="135"/>
      <c r="M5237" s="135"/>
      <c r="N5237" s="135"/>
      <c r="O5237" s="135"/>
      <c r="P5237" s="135"/>
      <c r="Q5237" s="135"/>
      <c r="R5237" s="135"/>
      <c r="S5237" s="135"/>
      <c r="T5237" s="135"/>
      <c r="U5237" s="135"/>
      <c r="V5237" s="135"/>
      <c r="W5237" s="135"/>
      <c r="X5237" s="135"/>
      <c r="Y5237" s="135"/>
      <c r="Z5237" s="135"/>
    </row>
    <row r="5238" spans="1:26" ht="25.5">
      <c r="A5238" s="136" t="s">
        <v>16</v>
      </c>
      <c r="B5238" s="136" t="s">
        <v>7971</v>
      </c>
      <c r="C5238" s="136" t="s">
        <v>8049</v>
      </c>
      <c r="D5238" s="136" t="s">
        <v>437</v>
      </c>
      <c r="E5238" s="136" t="s">
        <v>594</v>
      </c>
      <c r="F5238" s="136">
        <v>74</v>
      </c>
      <c r="G5238" s="137">
        <f t="shared" si="20"/>
        <v>14</v>
      </c>
      <c r="H5238" s="137"/>
      <c r="I5238" s="137"/>
      <c r="J5238" s="135"/>
      <c r="K5238" s="135"/>
      <c r="L5238" s="135"/>
      <c r="M5238" s="135"/>
      <c r="N5238" s="135"/>
      <c r="O5238" s="135"/>
      <c r="P5238" s="135"/>
      <c r="Q5238" s="135"/>
      <c r="R5238" s="135"/>
      <c r="S5238" s="135"/>
      <c r="T5238" s="135"/>
      <c r="U5238" s="135"/>
      <c r="V5238" s="135"/>
      <c r="W5238" s="135"/>
      <c r="X5238" s="135"/>
      <c r="Y5238" s="135"/>
      <c r="Z5238" s="135"/>
    </row>
    <row r="5239" spans="1:26" ht="25.5">
      <c r="A5239" s="136" t="s">
        <v>16</v>
      </c>
      <c r="B5239" s="136" t="s">
        <v>7971</v>
      </c>
      <c r="C5239" s="136" t="s">
        <v>8049</v>
      </c>
      <c r="D5239" s="136" t="s">
        <v>467</v>
      </c>
      <c r="E5239" s="136" t="s">
        <v>85</v>
      </c>
      <c r="F5239" s="136">
        <v>74</v>
      </c>
      <c r="G5239" s="137">
        <f t="shared" si="20"/>
        <v>15</v>
      </c>
      <c r="H5239" s="137"/>
      <c r="I5239" s="137"/>
      <c r="J5239" s="135"/>
      <c r="K5239" s="135"/>
      <c r="L5239" s="135"/>
      <c r="M5239" s="135"/>
      <c r="N5239" s="135"/>
      <c r="O5239" s="135"/>
      <c r="P5239" s="135"/>
      <c r="Q5239" s="135"/>
      <c r="R5239" s="135"/>
      <c r="S5239" s="135"/>
      <c r="T5239" s="135"/>
      <c r="U5239" s="135"/>
      <c r="V5239" s="135"/>
      <c r="W5239" s="135"/>
      <c r="X5239" s="135"/>
      <c r="Y5239" s="135"/>
      <c r="Z5239" s="135"/>
    </row>
    <row r="5240" spans="1:26" ht="25.5">
      <c r="A5240" s="136" t="s">
        <v>16</v>
      </c>
      <c r="B5240" s="136" t="s">
        <v>7971</v>
      </c>
      <c r="C5240" s="136" t="s">
        <v>8049</v>
      </c>
      <c r="D5240" s="136" t="s">
        <v>7481</v>
      </c>
      <c r="E5240" s="136" t="s">
        <v>615</v>
      </c>
      <c r="F5240" s="136">
        <v>42</v>
      </c>
      <c r="G5240" s="137">
        <f t="shared" si="20"/>
        <v>16</v>
      </c>
      <c r="H5240" s="137"/>
      <c r="I5240" s="137"/>
      <c r="J5240" s="135"/>
      <c r="K5240" s="135"/>
      <c r="L5240" s="135"/>
      <c r="M5240" s="135"/>
      <c r="N5240" s="135"/>
      <c r="O5240" s="135"/>
      <c r="P5240" s="135"/>
      <c r="Q5240" s="135"/>
      <c r="R5240" s="135"/>
      <c r="S5240" s="135"/>
      <c r="T5240" s="135"/>
      <c r="U5240" s="135"/>
      <c r="V5240" s="135"/>
      <c r="W5240" s="135"/>
      <c r="X5240" s="135"/>
      <c r="Y5240" s="135"/>
      <c r="Z5240" s="135"/>
    </row>
    <row r="5241" spans="1:26" ht="25.5">
      <c r="A5241" s="136" t="s">
        <v>16</v>
      </c>
      <c r="B5241" s="136" t="s">
        <v>7971</v>
      </c>
      <c r="C5241" s="136" t="s">
        <v>8049</v>
      </c>
      <c r="D5241" s="136" t="s">
        <v>7985</v>
      </c>
      <c r="E5241" s="136" t="s">
        <v>615</v>
      </c>
      <c r="F5241" s="136">
        <v>41</v>
      </c>
      <c r="G5241" s="137">
        <f t="shared" si="20"/>
        <v>17</v>
      </c>
      <c r="H5241" s="137"/>
      <c r="I5241" s="137"/>
      <c r="J5241" s="135"/>
      <c r="K5241" s="135"/>
      <c r="L5241" s="135"/>
      <c r="M5241" s="135"/>
      <c r="N5241" s="135"/>
      <c r="O5241" s="135"/>
      <c r="P5241" s="135"/>
      <c r="Q5241" s="135"/>
      <c r="R5241" s="135"/>
      <c r="S5241" s="135"/>
      <c r="T5241" s="135"/>
      <c r="U5241" s="135"/>
      <c r="V5241" s="135"/>
      <c r="W5241" s="135"/>
      <c r="X5241" s="135"/>
      <c r="Y5241" s="135"/>
      <c r="Z5241" s="135"/>
    </row>
    <row r="5242" spans="1:26" ht="25.5">
      <c r="A5242" s="136" t="s">
        <v>16</v>
      </c>
      <c r="B5242" s="136" t="s">
        <v>7971</v>
      </c>
      <c r="C5242" s="136" t="s">
        <v>8049</v>
      </c>
      <c r="D5242" s="136" t="s">
        <v>136</v>
      </c>
      <c r="E5242" s="136" t="s">
        <v>615</v>
      </c>
      <c r="F5242" s="136">
        <v>20</v>
      </c>
      <c r="G5242" s="137">
        <f t="shared" si="20"/>
        <v>18</v>
      </c>
      <c r="H5242" s="137"/>
      <c r="I5242" s="137"/>
      <c r="J5242" s="135"/>
      <c r="K5242" s="135"/>
      <c r="L5242" s="135"/>
      <c r="M5242" s="135"/>
      <c r="N5242" s="135"/>
      <c r="O5242" s="135"/>
      <c r="P5242" s="135"/>
      <c r="Q5242" s="135"/>
      <c r="R5242" s="135"/>
      <c r="S5242" s="135"/>
      <c r="T5242" s="135"/>
      <c r="U5242" s="135"/>
      <c r="V5242" s="135"/>
      <c r="W5242" s="135"/>
      <c r="X5242" s="135"/>
      <c r="Y5242" s="135"/>
      <c r="Z5242" s="135"/>
    </row>
    <row r="5243" spans="1:26" ht="25.5">
      <c r="A5243" s="136" t="s">
        <v>16</v>
      </c>
      <c r="B5243" s="136" t="s">
        <v>7971</v>
      </c>
      <c r="C5243" s="136" t="s">
        <v>8049</v>
      </c>
      <c r="D5243" s="136" t="s">
        <v>1680</v>
      </c>
      <c r="E5243" s="136" t="s">
        <v>615</v>
      </c>
      <c r="F5243" s="136">
        <v>20</v>
      </c>
      <c r="G5243" s="137">
        <f t="shared" si="20"/>
        <v>19</v>
      </c>
      <c r="H5243" s="137"/>
      <c r="I5243" s="137"/>
      <c r="J5243" s="135"/>
      <c r="K5243" s="135"/>
      <c r="L5243" s="135"/>
      <c r="M5243" s="135"/>
      <c r="N5243" s="135"/>
      <c r="O5243" s="135"/>
      <c r="P5243" s="135"/>
      <c r="Q5243" s="135"/>
      <c r="R5243" s="135"/>
      <c r="S5243" s="135"/>
      <c r="T5243" s="135"/>
      <c r="U5243" s="135"/>
      <c r="V5243" s="135"/>
      <c r="W5243" s="135"/>
      <c r="X5243" s="135"/>
      <c r="Y5243" s="135"/>
      <c r="Z5243" s="135"/>
    </row>
    <row r="5244" spans="1:26" ht="25.5">
      <c r="A5244" s="136" t="s">
        <v>16</v>
      </c>
      <c r="B5244" s="136" t="s">
        <v>7971</v>
      </c>
      <c r="C5244" s="136" t="s">
        <v>8049</v>
      </c>
      <c r="D5244" s="136" t="s">
        <v>1666</v>
      </c>
      <c r="E5244" s="136" t="s">
        <v>85</v>
      </c>
      <c r="F5244" s="136">
        <v>20</v>
      </c>
      <c r="G5244" s="137">
        <f t="shared" si="20"/>
        <v>20</v>
      </c>
      <c r="H5244" s="137"/>
      <c r="I5244" s="137"/>
      <c r="J5244" s="135"/>
      <c r="K5244" s="135"/>
      <c r="L5244" s="135"/>
      <c r="M5244" s="135"/>
      <c r="N5244" s="135"/>
      <c r="O5244" s="135"/>
      <c r="P5244" s="135"/>
      <c r="Q5244" s="135"/>
      <c r="R5244" s="135"/>
      <c r="S5244" s="135"/>
      <c r="T5244" s="135"/>
      <c r="U5244" s="135"/>
      <c r="V5244" s="135"/>
      <c r="W5244" s="135"/>
      <c r="X5244" s="135"/>
      <c r="Y5244" s="135"/>
      <c r="Z5244" s="135"/>
    </row>
    <row r="5245" spans="1:26" ht="25.5">
      <c r="A5245" s="136" t="s">
        <v>16</v>
      </c>
      <c r="B5245" s="136" t="s">
        <v>7971</v>
      </c>
      <c r="C5245" s="136" t="s">
        <v>8049</v>
      </c>
      <c r="D5245" s="136" t="s">
        <v>8020</v>
      </c>
      <c r="E5245" s="136" t="s">
        <v>594</v>
      </c>
      <c r="F5245" s="136">
        <v>12</v>
      </c>
      <c r="G5245" s="137">
        <f t="shared" si="20"/>
        <v>21</v>
      </c>
      <c r="H5245" s="137"/>
      <c r="I5245" s="137"/>
      <c r="J5245" s="135"/>
      <c r="K5245" s="135"/>
      <c r="L5245" s="135"/>
      <c r="M5245" s="135"/>
      <c r="N5245" s="135"/>
      <c r="O5245" s="135"/>
      <c r="P5245" s="135"/>
      <c r="Q5245" s="135"/>
      <c r="R5245" s="135"/>
      <c r="S5245" s="135"/>
      <c r="T5245" s="135"/>
      <c r="U5245" s="135"/>
      <c r="V5245" s="135"/>
      <c r="W5245" s="135"/>
      <c r="X5245" s="135"/>
      <c r="Y5245" s="135"/>
      <c r="Z5245" s="135"/>
    </row>
    <row r="5246" spans="1:26" ht="25.5">
      <c r="A5246" s="136" t="s">
        <v>16</v>
      </c>
      <c r="B5246" s="136" t="s">
        <v>7971</v>
      </c>
      <c r="C5246" s="136" t="s">
        <v>8049</v>
      </c>
      <c r="D5246" s="136" t="s">
        <v>7685</v>
      </c>
      <c r="E5246" s="136"/>
      <c r="F5246" s="136">
        <v>10</v>
      </c>
      <c r="G5246" s="137">
        <f t="shared" si="20"/>
        <v>22</v>
      </c>
      <c r="H5246" s="137"/>
      <c r="I5246" s="137"/>
      <c r="J5246" s="135"/>
      <c r="K5246" s="135"/>
      <c r="L5246" s="135"/>
      <c r="M5246" s="135"/>
      <c r="N5246" s="135"/>
      <c r="O5246" s="135"/>
      <c r="P5246" s="135"/>
      <c r="Q5246" s="135"/>
      <c r="R5246" s="135"/>
      <c r="S5246" s="135"/>
      <c r="T5246" s="135"/>
      <c r="U5246" s="135"/>
      <c r="V5246" s="135"/>
      <c r="W5246" s="135"/>
      <c r="X5246" s="135"/>
      <c r="Y5246" s="135"/>
      <c r="Z5246" s="135"/>
    </row>
    <row r="5247" spans="1:26" ht="25.5">
      <c r="A5247" s="136" t="s">
        <v>16</v>
      </c>
      <c r="B5247" s="136" t="s">
        <v>7971</v>
      </c>
      <c r="C5247" s="136" t="s">
        <v>8049</v>
      </c>
      <c r="D5247" s="136" t="s">
        <v>1674</v>
      </c>
      <c r="E5247" s="136" t="s">
        <v>615</v>
      </c>
      <c r="F5247" s="136">
        <v>10</v>
      </c>
      <c r="G5247" s="137">
        <f t="shared" si="20"/>
        <v>23</v>
      </c>
      <c r="H5247" s="137"/>
      <c r="I5247" s="137"/>
      <c r="J5247" s="135"/>
      <c r="K5247" s="135"/>
      <c r="L5247" s="135"/>
      <c r="M5247" s="135"/>
      <c r="N5247" s="135"/>
      <c r="O5247" s="135"/>
      <c r="P5247" s="135"/>
      <c r="Q5247" s="135"/>
      <c r="R5247" s="135"/>
      <c r="S5247" s="135"/>
      <c r="T5247" s="135"/>
      <c r="U5247" s="135"/>
      <c r="V5247" s="135"/>
      <c r="W5247" s="135"/>
      <c r="X5247" s="135"/>
      <c r="Y5247" s="135"/>
      <c r="Z5247" s="135"/>
    </row>
    <row r="5248" spans="1:26" ht="25.5">
      <c r="A5248" s="136" t="s">
        <v>16</v>
      </c>
      <c r="B5248" s="136" t="s">
        <v>7971</v>
      </c>
      <c r="C5248" s="136" t="s">
        <v>8049</v>
      </c>
      <c r="D5248" s="136" t="s">
        <v>1682</v>
      </c>
      <c r="E5248" s="136" t="s">
        <v>86</v>
      </c>
      <c r="F5248" s="136">
        <v>9</v>
      </c>
      <c r="G5248" s="137">
        <f t="shared" si="20"/>
        <v>24</v>
      </c>
      <c r="H5248" s="137"/>
      <c r="I5248" s="137"/>
      <c r="J5248" s="135"/>
      <c r="K5248" s="135"/>
      <c r="L5248" s="135"/>
      <c r="M5248" s="135"/>
      <c r="N5248" s="135"/>
      <c r="O5248" s="135"/>
      <c r="P5248" s="135"/>
      <c r="Q5248" s="135"/>
      <c r="R5248" s="135"/>
      <c r="S5248" s="135"/>
      <c r="T5248" s="135"/>
      <c r="U5248" s="135"/>
      <c r="V5248" s="135"/>
      <c r="W5248" s="135"/>
      <c r="X5248" s="135"/>
      <c r="Y5248" s="135"/>
      <c r="Z5248" s="135"/>
    </row>
    <row r="5249" spans="1:26" ht="25.5">
      <c r="A5249" s="136" t="s">
        <v>16</v>
      </c>
      <c r="B5249" s="136" t="s">
        <v>7971</v>
      </c>
      <c r="C5249" s="136" t="s">
        <v>8050</v>
      </c>
      <c r="D5249" s="136" t="s">
        <v>139</v>
      </c>
      <c r="E5249" s="136" t="s">
        <v>594</v>
      </c>
      <c r="F5249" s="136">
        <v>1794</v>
      </c>
      <c r="G5249" s="137">
        <f t="shared" si="20"/>
        <v>1</v>
      </c>
      <c r="H5249" s="137"/>
      <c r="I5249" s="137"/>
      <c r="J5249" s="135"/>
      <c r="K5249" s="135"/>
      <c r="L5249" s="135"/>
      <c r="M5249" s="135"/>
      <c r="N5249" s="135"/>
      <c r="O5249" s="135"/>
      <c r="P5249" s="135"/>
      <c r="Q5249" s="135"/>
      <c r="R5249" s="135"/>
      <c r="S5249" s="135"/>
      <c r="T5249" s="135"/>
      <c r="U5249" s="135"/>
      <c r="V5249" s="135"/>
      <c r="W5249" s="135"/>
      <c r="X5249" s="135"/>
      <c r="Y5249" s="135"/>
      <c r="Z5249" s="135"/>
    </row>
    <row r="5250" spans="1:26" ht="25.5">
      <c r="A5250" s="136" t="s">
        <v>16</v>
      </c>
      <c r="B5250" s="136" t="s">
        <v>7971</v>
      </c>
      <c r="C5250" s="136" t="s">
        <v>8050</v>
      </c>
      <c r="D5250" s="136" t="s">
        <v>1626</v>
      </c>
      <c r="E5250" s="136" t="s">
        <v>594</v>
      </c>
      <c r="F5250" s="136">
        <v>1537</v>
      </c>
      <c r="G5250" s="137">
        <f t="shared" si="20"/>
        <v>2</v>
      </c>
      <c r="H5250" s="137"/>
      <c r="I5250" s="137"/>
      <c r="J5250" s="135"/>
      <c r="K5250" s="135"/>
      <c r="L5250" s="135"/>
      <c r="M5250" s="135"/>
      <c r="N5250" s="135"/>
      <c r="O5250" s="135"/>
      <c r="P5250" s="135"/>
      <c r="Q5250" s="135"/>
      <c r="R5250" s="135"/>
      <c r="S5250" s="135"/>
      <c r="T5250" s="135"/>
      <c r="U5250" s="135"/>
      <c r="V5250" s="135"/>
      <c r="W5250" s="135"/>
      <c r="X5250" s="135"/>
      <c r="Y5250" s="135"/>
      <c r="Z5250" s="135"/>
    </row>
    <row r="5251" spans="1:26" ht="25.5">
      <c r="A5251" s="136" t="s">
        <v>16</v>
      </c>
      <c r="B5251" s="136" t="s">
        <v>7971</v>
      </c>
      <c r="C5251" s="136" t="s">
        <v>8050</v>
      </c>
      <c r="D5251" s="136" t="s">
        <v>1665</v>
      </c>
      <c r="E5251" s="136" t="s">
        <v>615</v>
      </c>
      <c r="F5251" s="136">
        <v>418</v>
      </c>
      <c r="G5251" s="137">
        <f t="shared" si="20"/>
        <v>3</v>
      </c>
      <c r="H5251" s="137"/>
      <c r="I5251" s="137"/>
      <c r="J5251" s="135"/>
      <c r="K5251" s="135"/>
      <c r="L5251" s="135"/>
      <c r="M5251" s="135"/>
      <c r="N5251" s="135"/>
      <c r="O5251" s="135"/>
      <c r="P5251" s="135"/>
      <c r="Q5251" s="135"/>
      <c r="R5251" s="135"/>
      <c r="S5251" s="135"/>
      <c r="T5251" s="135"/>
      <c r="U5251" s="135"/>
      <c r="V5251" s="135"/>
      <c r="W5251" s="135"/>
      <c r="X5251" s="135"/>
      <c r="Y5251" s="135"/>
      <c r="Z5251" s="135"/>
    </row>
    <row r="5252" spans="1:26" ht="25.5">
      <c r="A5252" s="136" t="s">
        <v>16</v>
      </c>
      <c r="B5252" s="136" t="s">
        <v>7971</v>
      </c>
      <c r="C5252" s="136" t="s">
        <v>8050</v>
      </c>
      <c r="D5252" s="136" t="s">
        <v>368</v>
      </c>
      <c r="E5252" s="136" t="s">
        <v>594</v>
      </c>
      <c r="F5252" s="136">
        <v>336</v>
      </c>
      <c r="G5252" s="137">
        <f t="shared" si="20"/>
        <v>4</v>
      </c>
      <c r="H5252" s="137"/>
      <c r="I5252" s="137"/>
      <c r="J5252" s="135"/>
      <c r="K5252" s="135"/>
      <c r="L5252" s="135"/>
      <c r="M5252" s="135"/>
      <c r="N5252" s="135"/>
      <c r="O5252" s="135"/>
      <c r="P5252" s="135"/>
      <c r="Q5252" s="135"/>
      <c r="R5252" s="135"/>
      <c r="S5252" s="135"/>
      <c r="T5252" s="135"/>
      <c r="U5252" s="135"/>
      <c r="V5252" s="135"/>
      <c r="W5252" s="135"/>
      <c r="X5252" s="135"/>
      <c r="Y5252" s="135"/>
      <c r="Z5252" s="135"/>
    </row>
    <row r="5253" spans="1:26" ht="25.5">
      <c r="A5253" s="136" t="s">
        <v>16</v>
      </c>
      <c r="B5253" s="136" t="s">
        <v>7971</v>
      </c>
      <c r="C5253" s="136" t="s">
        <v>8050</v>
      </c>
      <c r="D5253" s="136" t="s">
        <v>7993</v>
      </c>
      <c r="E5253" s="136" t="s">
        <v>615</v>
      </c>
      <c r="F5253" s="136">
        <v>260</v>
      </c>
      <c r="G5253" s="137">
        <f t="shared" si="20"/>
        <v>5</v>
      </c>
      <c r="H5253" s="137"/>
      <c r="I5253" s="137"/>
      <c r="J5253" s="135"/>
      <c r="K5253" s="135"/>
      <c r="L5253" s="135"/>
      <c r="M5253" s="135"/>
      <c r="N5253" s="135"/>
      <c r="O5253" s="135"/>
      <c r="P5253" s="135"/>
      <c r="Q5253" s="135"/>
      <c r="R5253" s="135"/>
      <c r="S5253" s="135"/>
      <c r="T5253" s="135"/>
      <c r="U5253" s="135"/>
      <c r="V5253" s="135"/>
      <c r="W5253" s="135"/>
      <c r="X5253" s="135"/>
      <c r="Y5253" s="135"/>
      <c r="Z5253" s="135"/>
    </row>
    <row r="5254" spans="1:26" ht="25.5">
      <c r="A5254" s="136" t="s">
        <v>16</v>
      </c>
      <c r="B5254" s="136" t="s">
        <v>7971</v>
      </c>
      <c r="C5254" s="136" t="s">
        <v>8050</v>
      </c>
      <c r="D5254" s="136" t="s">
        <v>7481</v>
      </c>
      <c r="E5254" s="136" t="s">
        <v>615</v>
      </c>
      <c r="F5254" s="136">
        <v>102</v>
      </c>
      <c r="G5254" s="137">
        <f t="shared" si="20"/>
        <v>6</v>
      </c>
      <c r="H5254" s="137"/>
      <c r="I5254" s="137"/>
      <c r="J5254" s="135"/>
      <c r="K5254" s="135"/>
      <c r="L5254" s="135"/>
      <c r="M5254" s="135"/>
      <c r="N5254" s="135"/>
      <c r="O5254" s="135"/>
      <c r="P5254" s="135"/>
      <c r="Q5254" s="135"/>
      <c r="R5254" s="135"/>
      <c r="S5254" s="135"/>
      <c r="T5254" s="135"/>
      <c r="U5254" s="135"/>
      <c r="V5254" s="135"/>
      <c r="W5254" s="135"/>
      <c r="X5254" s="135"/>
      <c r="Y5254" s="135"/>
      <c r="Z5254" s="135"/>
    </row>
    <row r="5255" spans="1:26" ht="25.5">
      <c r="A5255" s="136" t="s">
        <v>16</v>
      </c>
      <c r="B5255" s="136" t="s">
        <v>7971</v>
      </c>
      <c r="C5255" s="136" t="s">
        <v>8050</v>
      </c>
      <c r="D5255" s="136" t="s">
        <v>103</v>
      </c>
      <c r="E5255" s="136" t="s">
        <v>594</v>
      </c>
      <c r="F5255" s="136">
        <v>101</v>
      </c>
      <c r="G5255" s="137">
        <f t="shared" si="20"/>
        <v>7</v>
      </c>
      <c r="H5255" s="137"/>
      <c r="I5255" s="137"/>
      <c r="J5255" s="135"/>
      <c r="K5255" s="135"/>
      <c r="L5255" s="135"/>
      <c r="M5255" s="135"/>
      <c r="N5255" s="135"/>
      <c r="O5255" s="135"/>
      <c r="P5255" s="135"/>
      <c r="Q5255" s="135"/>
      <c r="R5255" s="135"/>
      <c r="S5255" s="135"/>
      <c r="T5255" s="135"/>
      <c r="U5255" s="135"/>
      <c r="V5255" s="135"/>
      <c r="W5255" s="135"/>
      <c r="X5255" s="135"/>
      <c r="Y5255" s="135"/>
      <c r="Z5255" s="135"/>
    </row>
    <row r="5256" spans="1:26" ht="25.5">
      <c r="A5256" s="136" t="s">
        <v>16</v>
      </c>
      <c r="B5256" s="136" t="s">
        <v>7971</v>
      </c>
      <c r="C5256" s="136" t="s">
        <v>8050</v>
      </c>
      <c r="D5256" s="136" t="s">
        <v>136</v>
      </c>
      <c r="E5256" s="136" t="s">
        <v>615</v>
      </c>
      <c r="F5256" s="136">
        <v>97</v>
      </c>
      <c r="G5256" s="137">
        <f t="shared" si="20"/>
        <v>8</v>
      </c>
      <c r="H5256" s="137"/>
      <c r="I5256" s="137"/>
      <c r="J5256" s="135"/>
      <c r="K5256" s="135"/>
      <c r="L5256" s="135"/>
      <c r="M5256" s="135"/>
      <c r="N5256" s="135"/>
      <c r="O5256" s="135"/>
      <c r="P5256" s="135"/>
      <c r="Q5256" s="135"/>
      <c r="R5256" s="135"/>
      <c r="S5256" s="135"/>
      <c r="T5256" s="135"/>
      <c r="U5256" s="135"/>
      <c r="V5256" s="135"/>
      <c r="W5256" s="135"/>
      <c r="X5256" s="135"/>
      <c r="Y5256" s="135"/>
      <c r="Z5256" s="135"/>
    </row>
    <row r="5257" spans="1:26" ht="25.5">
      <c r="A5257" s="136" t="s">
        <v>16</v>
      </c>
      <c r="B5257" s="136" t="s">
        <v>7971</v>
      </c>
      <c r="C5257" s="136" t="s">
        <v>8050</v>
      </c>
      <c r="D5257" s="136" t="s">
        <v>8020</v>
      </c>
      <c r="E5257" s="136" t="s">
        <v>594</v>
      </c>
      <c r="F5257" s="136">
        <v>65</v>
      </c>
      <c r="G5257" s="137">
        <f t="shared" si="20"/>
        <v>9</v>
      </c>
      <c r="H5257" s="137"/>
      <c r="I5257" s="137"/>
      <c r="J5257" s="135"/>
      <c r="K5257" s="135"/>
      <c r="L5257" s="135"/>
      <c r="M5257" s="135"/>
      <c r="N5257" s="135"/>
      <c r="O5257" s="135"/>
      <c r="P5257" s="135"/>
      <c r="Q5257" s="135"/>
      <c r="R5257" s="135"/>
      <c r="S5257" s="135"/>
      <c r="T5257" s="135"/>
      <c r="U5257" s="135"/>
      <c r="V5257" s="135"/>
      <c r="W5257" s="135"/>
      <c r="X5257" s="135"/>
      <c r="Y5257" s="135"/>
      <c r="Z5257" s="135"/>
    </row>
    <row r="5258" spans="1:26" ht="25.5">
      <c r="A5258" s="136" t="s">
        <v>16</v>
      </c>
      <c r="B5258" s="136" t="s">
        <v>7971</v>
      </c>
      <c r="C5258" s="136" t="s">
        <v>8050</v>
      </c>
      <c r="D5258" s="136" t="s">
        <v>437</v>
      </c>
      <c r="E5258" s="136" t="s">
        <v>594</v>
      </c>
      <c r="F5258" s="136">
        <v>53</v>
      </c>
      <c r="G5258" s="137">
        <f t="shared" si="20"/>
        <v>10</v>
      </c>
      <c r="H5258" s="137"/>
      <c r="I5258" s="137"/>
      <c r="J5258" s="135"/>
      <c r="K5258" s="135"/>
      <c r="L5258" s="135"/>
      <c r="M5258" s="135"/>
      <c r="N5258" s="135"/>
      <c r="O5258" s="135"/>
      <c r="P5258" s="135"/>
      <c r="Q5258" s="135"/>
      <c r="R5258" s="135"/>
      <c r="S5258" s="135"/>
      <c r="T5258" s="135"/>
      <c r="U5258" s="135"/>
      <c r="V5258" s="135"/>
      <c r="W5258" s="135"/>
      <c r="X5258" s="135"/>
      <c r="Y5258" s="135"/>
      <c r="Z5258" s="135"/>
    </row>
    <row r="5259" spans="1:26" ht="25.5">
      <c r="A5259" s="136" t="s">
        <v>16</v>
      </c>
      <c r="B5259" s="136" t="s">
        <v>7971</v>
      </c>
      <c r="C5259" s="136" t="s">
        <v>8050</v>
      </c>
      <c r="D5259" s="136" t="s">
        <v>114</v>
      </c>
      <c r="E5259" s="136" t="s">
        <v>85</v>
      </c>
      <c r="F5259" s="136">
        <v>41</v>
      </c>
      <c r="G5259" s="137">
        <f t="shared" si="20"/>
        <v>11</v>
      </c>
      <c r="H5259" s="137"/>
      <c r="I5259" s="137"/>
      <c r="J5259" s="135"/>
      <c r="K5259" s="135"/>
      <c r="L5259" s="135"/>
      <c r="M5259" s="135"/>
      <c r="N5259" s="135"/>
      <c r="O5259" s="135"/>
      <c r="P5259" s="135"/>
      <c r="Q5259" s="135"/>
      <c r="R5259" s="135"/>
      <c r="S5259" s="135"/>
      <c r="T5259" s="135"/>
      <c r="U5259" s="135"/>
      <c r="V5259" s="135"/>
      <c r="W5259" s="135"/>
      <c r="X5259" s="135"/>
      <c r="Y5259" s="135"/>
      <c r="Z5259" s="135"/>
    </row>
    <row r="5260" spans="1:26" ht="25.5">
      <c r="A5260" s="136" t="s">
        <v>16</v>
      </c>
      <c r="B5260" s="136" t="s">
        <v>7971</v>
      </c>
      <c r="C5260" s="136" t="s">
        <v>8050</v>
      </c>
      <c r="D5260" s="136" t="s">
        <v>1682</v>
      </c>
      <c r="E5260" s="136" t="s">
        <v>86</v>
      </c>
      <c r="F5260" s="136">
        <v>7</v>
      </c>
      <c r="G5260" s="137">
        <f t="shared" si="20"/>
        <v>12</v>
      </c>
      <c r="H5260" s="137"/>
      <c r="I5260" s="137"/>
      <c r="J5260" s="135"/>
      <c r="K5260" s="135"/>
      <c r="L5260" s="135"/>
      <c r="M5260" s="135"/>
      <c r="N5260" s="135"/>
      <c r="O5260" s="135"/>
      <c r="P5260" s="135"/>
      <c r="Q5260" s="135"/>
      <c r="R5260" s="135"/>
      <c r="S5260" s="135"/>
      <c r="T5260" s="135"/>
      <c r="U5260" s="135"/>
      <c r="V5260" s="135"/>
      <c r="W5260" s="135"/>
      <c r="X5260" s="135"/>
      <c r="Y5260" s="135"/>
      <c r="Z5260" s="135"/>
    </row>
    <row r="5261" spans="1:26" ht="25.5">
      <c r="A5261" s="136" t="s">
        <v>16</v>
      </c>
      <c r="B5261" s="136" t="s">
        <v>7971</v>
      </c>
      <c r="C5261" s="136" t="s">
        <v>8051</v>
      </c>
      <c r="D5261" s="136" t="s">
        <v>139</v>
      </c>
      <c r="E5261" s="136" t="s">
        <v>594</v>
      </c>
      <c r="F5261" s="136">
        <v>2020</v>
      </c>
      <c r="G5261" s="137">
        <f t="shared" si="20"/>
        <v>1</v>
      </c>
      <c r="H5261" s="137"/>
      <c r="I5261" s="137"/>
      <c r="J5261" s="135"/>
      <c r="K5261" s="135"/>
      <c r="L5261" s="135"/>
      <c r="M5261" s="135"/>
      <c r="N5261" s="135"/>
      <c r="O5261" s="135"/>
      <c r="P5261" s="135"/>
      <c r="Q5261" s="135"/>
      <c r="R5261" s="135"/>
      <c r="S5261" s="135"/>
      <c r="T5261" s="135"/>
      <c r="U5261" s="135"/>
      <c r="V5261" s="135"/>
      <c r="W5261" s="135"/>
      <c r="X5261" s="135"/>
      <c r="Y5261" s="135"/>
      <c r="Z5261" s="135"/>
    </row>
    <row r="5262" spans="1:26" ht="25.5">
      <c r="A5262" s="136" t="s">
        <v>16</v>
      </c>
      <c r="B5262" s="136" t="s">
        <v>7971</v>
      </c>
      <c r="C5262" s="136" t="s">
        <v>8051</v>
      </c>
      <c r="D5262" s="136" t="s">
        <v>1626</v>
      </c>
      <c r="E5262" s="136" t="s">
        <v>594</v>
      </c>
      <c r="F5262" s="136">
        <v>1228</v>
      </c>
      <c r="G5262" s="137">
        <f t="shared" si="20"/>
        <v>2</v>
      </c>
      <c r="H5262" s="137"/>
      <c r="I5262" s="137"/>
      <c r="J5262" s="135"/>
      <c r="K5262" s="135"/>
      <c r="L5262" s="135"/>
      <c r="M5262" s="135"/>
      <c r="N5262" s="135"/>
      <c r="O5262" s="135"/>
      <c r="P5262" s="135"/>
      <c r="Q5262" s="135"/>
      <c r="R5262" s="135"/>
      <c r="S5262" s="135"/>
      <c r="T5262" s="135"/>
      <c r="U5262" s="135"/>
      <c r="V5262" s="135"/>
      <c r="W5262" s="135"/>
      <c r="X5262" s="135"/>
      <c r="Y5262" s="135"/>
      <c r="Z5262" s="135"/>
    </row>
    <row r="5263" spans="1:26" ht="25.5">
      <c r="A5263" s="136" t="s">
        <v>16</v>
      </c>
      <c r="B5263" s="136" t="s">
        <v>7971</v>
      </c>
      <c r="C5263" s="136" t="s">
        <v>8051</v>
      </c>
      <c r="D5263" s="136" t="s">
        <v>7993</v>
      </c>
      <c r="E5263" s="136" t="s">
        <v>615</v>
      </c>
      <c r="F5263" s="136">
        <v>620</v>
      </c>
      <c r="G5263" s="137">
        <f t="shared" si="20"/>
        <v>3</v>
      </c>
      <c r="H5263" s="137"/>
      <c r="I5263" s="137"/>
      <c r="J5263" s="135"/>
      <c r="K5263" s="135"/>
      <c r="L5263" s="135"/>
      <c r="M5263" s="135"/>
      <c r="N5263" s="135"/>
      <c r="O5263" s="135"/>
      <c r="P5263" s="135"/>
      <c r="Q5263" s="135"/>
      <c r="R5263" s="135"/>
      <c r="S5263" s="135"/>
      <c r="T5263" s="135"/>
      <c r="U5263" s="135"/>
      <c r="V5263" s="135"/>
      <c r="W5263" s="135"/>
      <c r="X5263" s="135"/>
      <c r="Y5263" s="135"/>
      <c r="Z5263" s="135"/>
    </row>
    <row r="5264" spans="1:26" ht="25.5">
      <c r="A5264" s="136" t="s">
        <v>16</v>
      </c>
      <c r="B5264" s="136" t="s">
        <v>7971</v>
      </c>
      <c r="C5264" s="136" t="s">
        <v>8051</v>
      </c>
      <c r="D5264" s="136" t="s">
        <v>1665</v>
      </c>
      <c r="E5264" s="136" t="s">
        <v>615</v>
      </c>
      <c r="F5264" s="136">
        <v>378</v>
      </c>
      <c r="G5264" s="137">
        <f t="shared" si="20"/>
        <v>4</v>
      </c>
      <c r="H5264" s="137"/>
      <c r="I5264" s="137"/>
      <c r="J5264" s="135"/>
      <c r="K5264" s="135"/>
      <c r="L5264" s="135"/>
      <c r="M5264" s="135"/>
      <c r="N5264" s="135"/>
      <c r="O5264" s="135"/>
      <c r="P5264" s="135"/>
      <c r="Q5264" s="135"/>
      <c r="R5264" s="135"/>
      <c r="S5264" s="135"/>
      <c r="T5264" s="135"/>
      <c r="U5264" s="135"/>
      <c r="V5264" s="135"/>
      <c r="W5264" s="135"/>
      <c r="X5264" s="135"/>
      <c r="Y5264" s="135"/>
      <c r="Z5264" s="135"/>
    </row>
    <row r="5265" spans="1:26" ht="25.5">
      <c r="A5265" s="136" t="s">
        <v>16</v>
      </c>
      <c r="B5265" s="136" t="s">
        <v>7971</v>
      </c>
      <c r="C5265" s="136" t="s">
        <v>8051</v>
      </c>
      <c r="D5265" s="136" t="s">
        <v>368</v>
      </c>
      <c r="E5265" s="136" t="s">
        <v>594</v>
      </c>
      <c r="F5265" s="136">
        <v>321</v>
      </c>
      <c r="G5265" s="137">
        <f t="shared" si="20"/>
        <v>5</v>
      </c>
      <c r="H5265" s="137"/>
      <c r="I5265" s="137"/>
      <c r="J5265" s="135"/>
      <c r="K5265" s="135"/>
      <c r="L5265" s="135"/>
      <c r="M5265" s="135"/>
      <c r="N5265" s="135"/>
      <c r="O5265" s="135"/>
      <c r="P5265" s="135"/>
      <c r="Q5265" s="135"/>
      <c r="R5265" s="135"/>
      <c r="S5265" s="135"/>
      <c r="T5265" s="135"/>
      <c r="U5265" s="135"/>
      <c r="V5265" s="135"/>
      <c r="W5265" s="135"/>
      <c r="X5265" s="135"/>
      <c r="Y5265" s="135"/>
      <c r="Z5265" s="135"/>
    </row>
    <row r="5266" spans="1:26" ht="25.5">
      <c r="A5266" s="136" t="s">
        <v>16</v>
      </c>
      <c r="B5266" s="136" t="s">
        <v>7971</v>
      </c>
      <c r="C5266" s="136" t="s">
        <v>8051</v>
      </c>
      <c r="D5266" s="136" t="s">
        <v>131</v>
      </c>
      <c r="E5266" s="136" t="s">
        <v>594</v>
      </c>
      <c r="F5266" s="136">
        <v>288</v>
      </c>
      <c r="G5266" s="137">
        <f t="shared" si="20"/>
        <v>6</v>
      </c>
      <c r="H5266" s="137"/>
      <c r="I5266" s="137"/>
      <c r="J5266" s="135"/>
      <c r="K5266" s="135"/>
      <c r="L5266" s="135"/>
      <c r="M5266" s="135"/>
      <c r="N5266" s="135"/>
      <c r="O5266" s="135"/>
      <c r="P5266" s="135"/>
      <c r="Q5266" s="135"/>
      <c r="R5266" s="135"/>
      <c r="S5266" s="135"/>
      <c r="T5266" s="135"/>
      <c r="U5266" s="135"/>
      <c r="V5266" s="135"/>
      <c r="W5266" s="135"/>
      <c r="X5266" s="135"/>
      <c r="Y5266" s="135"/>
      <c r="Z5266" s="135"/>
    </row>
    <row r="5267" spans="1:26" ht="25.5">
      <c r="A5267" s="136" t="s">
        <v>16</v>
      </c>
      <c r="B5267" s="136" t="s">
        <v>7971</v>
      </c>
      <c r="C5267" s="136" t="s">
        <v>8051</v>
      </c>
      <c r="D5267" s="136" t="s">
        <v>103</v>
      </c>
      <c r="E5267" s="136" t="s">
        <v>594</v>
      </c>
      <c r="F5267" s="136">
        <v>235</v>
      </c>
      <c r="G5267" s="137">
        <f t="shared" si="20"/>
        <v>7</v>
      </c>
      <c r="H5267" s="137"/>
      <c r="I5267" s="137"/>
      <c r="J5267" s="135"/>
      <c r="K5267" s="135"/>
      <c r="L5267" s="135"/>
      <c r="M5267" s="135"/>
      <c r="N5267" s="135"/>
      <c r="O5267" s="135"/>
      <c r="P5267" s="135"/>
      <c r="Q5267" s="135"/>
      <c r="R5267" s="135"/>
      <c r="S5267" s="135"/>
      <c r="T5267" s="135"/>
      <c r="U5267" s="135"/>
      <c r="V5267" s="135"/>
      <c r="W5267" s="135"/>
      <c r="X5267" s="135"/>
      <c r="Y5267" s="135"/>
      <c r="Z5267" s="135"/>
    </row>
    <row r="5268" spans="1:26" ht="25.5">
      <c r="A5268" s="136" t="s">
        <v>16</v>
      </c>
      <c r="B5268" s="136" t="s">
        <v>7971</v>
      </c>
      <c r="C5268" s="136" t="s">
        <v>8051</v>
      </c>
      <c r="D5268" s="136" t="s">
        <v>165</v>
      </c>
      <c r="E5268" s="136" t="s">
        <v>615</v>
      </c>
      <c r="F5268" s="136">
        <v>220</v>
      </c>
      <c r="G5268" s="137">
        <f t="shared" si="20"/>
        <v>8</v>
      </c>
      <c r="H5268" s="137"/>
      <c r="I5268" s="137"/>
      <c r="J5268" s="135"/>
      <c r="K5268" s="135"/>
      <c r="L5268" s="135"/>
      <c r="M5268" s="135"/>
      <c r="N5268" s="135"/>
      <c r="O5268" s="135"/>
      <c r="P5268" s="135"/>
      <c r="Q5268" s="135"/>
      <c r="R5268" s="135"/>
      <c r="S5268" s="135"/>
      <c r="T5268" s="135"/>
      <c r="U5268" s="135"/>
      <c r="V5268" s="135"/>
      <c r="W5268" s="135"/>
      <c r="X5268" s="135"/>
      <c r="Y5268" s="135"/>
      <c r="Z5268" s="135"/>
    </row>
    <row r="5269" spans="1:26" ht="25.5">
      <c r="A5269" s="136" t="s">
        <v>16</v>
      </c>
      <c r="B5269" s="136" t="s">
        <v>7971</v>
      </c>
      <c r="C5269" s="136" t="s">
        <v>8051</v>
      </c>
      <c r="D5269" s="136" t="s">
        <v>7685</v>
      </c>
      <c r="E5269" s="136" t="s">
        <v>594</v>
      </c>
      <c r="F5269" s="136">
        <v>140</v>
      </c>
      <c r="G5269" s="137">
        <f t="shared" si="20"/>
        <v>9</v>
      </c>
      <c r="H5269" s="137"/>
      <c r="I5269" s="137"/>
      <c r="J5269" s="135"/>
      <c r="K5269" s="135"/>
      <c r="L5269" s="135"/>
      <c r="M5269" s="135"/>
      <c r="N5269" s="135"/>
      <c r="O5269" s="135"/>
      <c r="P5269" s="135"/>
      <c r="Q5269" s="135"/>
      <c r="R5269" s="135"/>
      <c r="S5269" s="135"/>
      <c r="T5269" s="135"/>
      <c r="U5269" s="135"/>
      <c r="V5269" s="135"/>
      <c r="W5269" s="135"/>
      <c r="X5269" s="135"/>
      <c r="Y5269" s="135"/>
      <c r="Z5269" s="135"/>
    </row>
    <row r="5270" spans="1:26" ht="25.5">
      <c r="A5270" s="136" t="s">
        <v>16</v>
      </c>
      <c r="B5270" s="136" t="s">
        <v>7971</v>
      </c>
      <c r="C5270" s="136" t="s">
        <v>8051</v>
      </c>
      <c r="D5270" s="136" t="s">
        <v>7481</v>
      </c>
      <c r="E5270" s="136" t="s">
        <v>615</v>
      </c>
      <c r="F5270" s="136">
        <v>134</v>
      </c>
      <c r="G5270" s="137">
        <f t="shared" si="20"/>
        <v>10</v>
      </c>
      <c r="H5270" s="137"/>
      <c r="I5270" s="137"/>
      <c r="J5270" s="135"/>
      <c r="K5270" s="135"/>
      <c r="L5270" s="135"/>
      <c r="M5270" s="135"/>
      <c r="N5270" s="135"/>
      <c r="O5270" s="135"/>
      <c r="P5270" s="135"/>
      <c r="Q5270" s="135"/>
      <c r="R5270" s="135"/>
      <c r="S5270" s="135"/>
      <c r="T5270" s="135"/>
      <c r="U5270" s="135"/>
      <c r="V5270" s="135"/>
      <c r="W5270" s="135"/>
      <c r="X5270" s="135"/>
      <c r="Y5270" s="135"/>
      <c r="Z5270" s="135"/>
    </row>
    <row r="5271" spans="1:26" ht="25.5">
      <c r="A5271" s="136" t="s">
        <v>16</v>
      </c>
      <c r="B5271" s="136" t="s">
        <v>7971</v>
      </c>
      <c r="C5271" s="136" t="s">
        <v>8051</v>
      </c>
      <c r="D5271" s="136" t="s">
        <v>114</v>
      </c>
      <c r="E5271" s="136" t="s">
        <v>85</v>
      </c>
      <c r="F5271" s="136">
        <v>92</v>
      </c>
      <c r="G5271" s="137">
        <f t="shared" si="20"/>
        <v>11</v>
      </c>
      <c r="H5271" s="137"/>
      <c r="I5271" s="137"/>
      <c r="J5271" s="135"/>
      <c r="K5271" s="135"/>
      <c r="L5271" s="135"/>
      <c r="M5271" s="135"/>
      <c r="N5271" s="135"/>
      <c r="O5271" s="135"/>
      <c r="P5271" s="135"/>
      <c r="Q5271" s="135"/>
      <c r="R5271" s="135"/>
      <c r="S5271" s="135"/>
      <c r="T5271" s="135"/>
      <c r="U5271" s="135"/>
      <c r="V5271" s="135"/>
      <c r="W5271" s="135"/>
      <c r="X5271" s="135"/>
      <c r="Y5271" s="135"/>
      <c r="Z5271" s="135"/>
    </row>
    <row r="5272" spans="1:26" ht="25.5">
      <c r="A5272" s="136" t="s">
        <v>16</v>
      </c>
      <c r="B5272" s="136" t="s">
        <v>7971</v>
      </c>
      <c r="C5272" s="136" t="s">
        <v>8051</v>
      </c>
      <c r="D5272" s="136" t="s">
        <v>107</v>
      </c>
      <c r="E5272" s="136" t="s">
        <v>615</v>
      </c>
      <c r="F5272" s="136">
        <v>63</v>
      </c>
      <c r="G5272" s="137">
        <f t="shared" si="20"/>
        <v>12</v>
      </c>
      <c r="H5272" s="137"/>
      <c r="I5272" s="137"/>
      <c r="J5272" s="135"/>
      <c r="K5272" s="135"/>
      <c r="L5272" s="135"/>
      <c r="M5272" s="135"/>
      <c r="N5272" s="135"/>
      <c r="O5272" s="135"/>
      <c r="P5272" s="135"/>
      <c r="Q5272" s="135"/>
      <c r="R5272" s="135"/>
      <c r="S5272" s="135"/>
      <c r="T5272" s="135"/>
      <c r="U5272" s="135"/>
      <c r="V5272" s="135"/>
      <c r="W5272" s="135"/>
      <c r="X5272" s="135"/>
      <c r="Y5272" s="135"/>
      <c r="Z5272" s="135"/>
    </row>
    <row r="5273" spans="1:26" ht="25.5">
      <c r="A5273" s="136" t="s">
        <v>16</v>
      </c>
      <c r="B5273" s="136" t="s">
        <v>7971</v>
      </c>
      <c r="C5273" s="136" t="s">
        <v>8051</v>
      </c>
      <c r="D5273" s="136" t="s">
        <v>7985</v>
      </c>
      <c r="E5273" s="136" t="s">
        <v>615</v>
      </c>
      <c r="F5273" s="136">
        <v>43</v>
      </c>
      <c r="G5273" s="137">
        <f t="shared" si="20"/>
        <v>13</v>
      </c>
      <c r="H5273" s="137"/>
      <c r="I5273" s="137"/>
      <c r="J5273" s="135"/>
      <c r="K5273" s="135"/>
      <c r="L5273" s="135"/>
      <c r="M5273" s="135"/>
      <c r="N5273" s="135"/>
      <c r="O5273" s="135"/>
      <c r="P5273" s="135"/>
      <c r="Q5273" s="135"/>
      <c r="R5273" s="135"/>
      <c r="S5273" s="135"/>
      <c r="T5273" s="135"/>
      <c r="U5273" s="135"/>
      <c r="V5273" s="135"/>
      <c r="W5273" s="135"/>
      <c r="X5273" s="135"/>
      <c r="Y5273" s="135"/>
      <c r="Z5273" s="135"/>
    </row>
    <row r="5274" spans="1:26" ht="25.5">
      <c r="A5274" s="136" t="s">
        <v>16</v>
      </c>
      <c r="B5274" s="136" t="s">
        <v>7971</v>
      </c>
      <c r="C5274" s="136" t="s">
        <v>8051</v>
      </c>
      <c r="D5274" s="136" t="s">
        <v>1680</v>
      </c>
      <c r="E5274" s="136" t="s">
        <v>615</v>
      </c>
      <c r="F5274" s="136">
        <v>38</v>
      </c>
      <c r="G5274" s="137">
        <f t="shared" si="20"/>
        <v>14</v>
      </c>
      <c r="H5274" s="137"/>
      <c r="I5274" s="137"/>
      <c r="J5274" s="135"/>
      <c r="K5274" s="135"/>
      <c r="L5274" s="135"/>
      <c r="M5274" s="135"/>
      <c r="N5274" s="135"/>
      <c r="O5274" s="135"/>
      <c r="P5274" s="135"/>
      <c r="Q5274" s="135"/>
      <c r="R5274" s="135"/>
      <c r="S5274" s="135"/>
      <c r="T5274" s="135"/>
      <c r="U5274" s="135"/>
      <c r="V5274" s="135"/>
      <c r="W5274" s="135"/>
      <c r="X5274" s="135"/>
      <c r="Y5274" s="135"/>
      <c r="Z5274" s="135"/>
    </row>
    <row r="5275" spans="1:26" ht="25.5">
      <c r="A5275" s="136" t="s">
        <v>16</v>
      </c>
      <c r="B5275" s="136" t="s">
        <v>7971</v>
      </c>
      <c r="C5275" s="136" t="s">
        <v>8051</v>
      </c>
      <c r="D5275" s="136" t="s">
        <v>136</v>
      </c>
      <c r="E5275" s="136" t="s">
        <v>615</v>
      </c>
      <c r="F5275" s="136">
        <v>35</v>
      </c>
      <c r="G5275" s="137">
        <f t="shared" si="20"/>
        <v>15</v>
      </c>
      <c r="H5275" s="137"/>
      <c r="I5275" s="137"/>
      <c r="J5275" s="135"/>
      <c r="K5275" s="135"/>
      <c r="L5275" s="135"/>
      <c r="M5275" s="135"/>
      <c r="N5275" s="135"/>
      <c r="O5275" s="135"/>
      <c r="P5275" s="135"/>
      <c r="Q5275" s="135"/>
      <c r="R5275" s="135"/>
      <c r="S5275" s="135"/>
      <c r="T5275" s="135"/>
      <c r="U5275" s="135"/>
      <c r="V5275" s="135"/>
      <c r="W5275" s="135"/>
      <c r="X5275" s="135"/>
      <c r="Y5275" s="135"/>
      <c r="Z5275" s="135"/>
    </row>
    <row r="5276" spans="1:26" ht="25.5">
      <c r="A5276" s="136" t="s">
        <v>16</v>
      </c>
      <c r="B5276" s="136" t="s">
        <v>7971</v>
      </c>
      <c r="C5276" s="136" t="s">
        <v>8051</v>
      </c>
      <c r="D5276" s="136" t="s">
        <v>98</v>
      </c>
      <c r="E5276" s="136" t="s">
        <v>594</v>
      </c>
      <c r="F5276" s="136">
        <v>34</v>
      </c>
      <c r="G5276" s="137">
        <f t="shared" si="20"/>
        <v>16</v>
      </c>
      <c r="H5276" s="137"/>
      <c r="I5276" s="137"/>
      <c r="J5276" s="135"/>
      <c r="K5276" s="135"/>
      <c r="L5276" s="135"/>
      <c r="M5276" s="135"/>
      <c r="N5276" s="135"/>
      <c r="O5276" s="135"/>
      <c r="P5276" s="135"/>
      <c r="Q5276" s="135"/>
      <c r="R5276" s="135"/>
      <c r="S5276" s="135"/>
      <c r="T5276" s="135"/>
      <c r="U5276" s="135"/>
      <c r="V5276" s="135"/>
      <c r="W5276" s="135"/>
      <c r="X5276" s="135"/>
      <c r="Y5276" s="135"/>
      <c r="Z5276" s="135"/>
    </row>
    <row r="5277" spans="1:26" ht="25.5">
      <c r="A5277" s="136" t="s">
        <v>16</v>
      </c>
      <c r="B5277" s="136" t="s">
        <v>7971</v>
      </c>
      <c r="C5277" s="136" t="s">
        <v>8051</v>
      </c>
      <c r="D5277" s="136" t="s">
        <v>467</v>
      </c>
      <c r="E5277" s="136" t="s">
        <v>85</v>
      </c>
      <c r="F5277" s="136">
        <v>17</v>
      </c>
      <c r="G5277" s="137">
        <f t="shared" si="20"/>
        <v>17</v>
      </c>
      <c r="H5277" s="137"/>
      <c r="I5277" s="137"/>
      <c r="J5277" s="135"/>
      <c r="K5277" s="135"/>
      <c r="L5277" s="135"/>
      <c r="M5277" s="135"/>
      <c r="N5277" s="135"/>
      <c r="O5277" s="135"/>
      <c r="P5277" s="135"/>
      <c r="Q5277" s="135"/>
      <c r="R5277" s="135"/>
      <c r="S5277" s="135"/>
      <c r="T5277" s="135"/>
      <c r="U5277" s="135"/>
      <c r="V5277" s="135"/>
      <c r="W5277" s="135"/>
      <c r="X5277" s="135"/>
      <c r="Y5277" s="135"/>
      <c r="Z5277" s="135"/>
    </row>
    <row r="5278" spans="1:26" ht="25.5">
      <c r="A5278" s="136" t="s">
        <v>16</v>
      </c>
      <c r="B5278" s="136" t="s">
        <v>7971</v>
      </c>
      <c r="C5278" s="136" t="s">
        <v>8051</v>
      </c>
      <c r="D5278" s="136" t="s">
        <v>120</v>
      </c>
      <c r="E5278" s="136" t="s">
        <v>615</v>
      </c>
      <c r="F5278" s="136">
        <v>12</v>
      </c>
      <c r="G5278" s="137">
        <f t="shared" si="20"/>
        <v>18</v>
      </c>
      <c r="H5278" s="137"/>
      <c r="I5278" s="137"/>
      <c r="J5278" s="135"/>
      <c r="K5278" s="135"/>
      <c r="L5278" s="135"/>
      <c r="M5278" s="135"/>
      <c r="N5278" s="135"/>
      <c r="O5278" s="135"/>
      <c r="P5278" s="135"/>
      <c r="Q5278" s="135"/>
      <c r="R5278" s="135"/>
      <c r="S5278" s="135"/>
      <c r="T5278" s="135"/>
      <c r="U5278" s="135"/>
      <c r="V5278" s="135"/>
      <c r="W5278" s="135"/>
      <c r="X5278" s="135"/>
      <c r="Y5278" s="135"/>
      <c r="Z5278" s="135"/>
    </row>
    <row r="5279" spans="1:26" ht="25.5">
      <c r="A5279" s="136" t="s">
        <v>16</v>
      </c>
      <c r="B5279" s="136" t="s">
        <v>7971</v>
      </c>
      <c r="C5279" s="136" t="s">
        <v>8051</v>
      </c>
      <c r="D5279" s="136" t="s">
        <v>1635</v>
      </c>
      <c r="E5279" s="136" t="s">
        <v>615</v>
      </c>
      <c r="F5279" s="136">
        <v>12</v>
      </c>
      <c r="G5279" s="137">
        <f t="shared" si="20"/>
        <v>19</v>
      </c>
      <c r="H5279" s="137"/>
      <c r="I5279" s="137"/>
      <c r="J5279" s="135"/>
      <c r="K5279" s="135"/>
      <c r="L5279" s="135"/>
      <c r="M5279" s="135"/>
      <c r="N5279" s="135"/>
      <c r="O5279" s="135"/>
      <c r="P5279" s="135"/>
      <c r="Q5279" s="135"/>
      <c r="R5279" s="135"/>
      <c r="S5279" s="135"/>
      <c r="T5279" s="135"/>
      <c r="U5279" s="135"/>
      <c r="V5279" s="135"/>
      <c r="W5279" s="135"/>
      <c r="X5279" s="135"/>
      <c r="Y5279" s="135"/>
      <c r="Z5279" s="135"/>
    </row>
    <row r="5280" spans="1:26" ht="25.5">
      <c r="A5280" s="136" t="s">
        <v>16</v>
      </c>
      <c r="B5280" s="136" t="s">
        <v>7971</v>
      </c>
      <c r="C5280" s="136" t="s">
        <v>8051</v>
      </c>
      <c r="D5280" s="136" t="s">
        <v>8034</v>
      </c>
      <c r="E5280" s="136" t="s">
        <v>615</v>
      </c>
      <c r="F5280" s="136">
        <v>7</v>
      </c>
      <c r="G5280" s="137">
        <f t="shared" si="20"/>
        <v>20</v>
      </c>
      <c r="H5280" s="137"/>
      <c r="I5280" s="137"/>
      <c r="J5280" s="135"/>
      <c r="K5280" s="135"/>
      <c r="L5280" s="135"/>
      <c r="M5280" s="135"/>
      <c r="N5280" s="135"/>
      <c r="O5280" s="135"/>
      <c r="P5280" s="135"/>
      <c r="Q5280" s="135"/>
      <c r="R5280" s="135"/>
      <c r="S5280" s="135"/>
      <c r="T5280" s="135"/>
      <c r="U5280" s="135"/>
      <c r="V5280" s="135"/>
      <c r="W5280" s="135"/>
      <c r="X5280" s="135"/>
      <c r="Y5280" s="135"/>
      <c r="Z5280" s="135"/>
    </row>
    <row r="5281" spans="1:26" ht="25.5">
      <c r="A5281" s="136" t="s">
        <v>16</v>
      </c>
      <c r="B5281" s="136" t="s">
        <v>7971</v>
      </c>
      <c r="C5281" s="136" t="s">
        <v>8051</v>
      </c>
      <c r="D5281" s="136" t="s">
        <v>1682</v>
      </c>
      <c r="E5281" s="136" t="s">
        <v>86</v>
      </c>
      <c r="F5281" s="136">
        <v>5</v>
      </c>
      <c r="G5281" s="137">
        <f t="shared" si="20"/>
        <v>21</v>
      </c>
      <c r="H5281" s="137"/>
      <c r="I5281" s="137"/>
      <c r="J5281" s="135"/>
      <c r="K5281" s="135"/>
      <c r="L5281" s="135"/>
      <c r="M5281" s="135"/>
      <c r="N5281" s="135"/>
      <c r="O5281" s="135"/>
      <c r="P5281" s="135"/>
      <c r="Q5281" s="135"/>
      <c r="R5281" s="135"/>
      <c r="S5281" s="135"/>
      <c r="T5281" s="135"/>
      <c r="U5281" s="135"/>
      <c r="V5281" s="135"/>
      <c r="W5281" s="135"/>
      <c r="X5281" s="135"/>
      <c r="Y5281" s="135"/>
      <c r="Z5281" s="135"/>
    </row>
    <row r="5282" spans="1:26" ht="25.5">
      <c r="A5282" s="136" t="s">
        <v>16</v>
      </c>
      <c r="B5282" s="136" t="s">
        <v>7971</v>
      </c>
      <c r="C5282" s="136" t="s">
        <v>8052</v>
      </c>
      <c r="D5282" s="136" t="s">
        <v>139</v>
      </c>
      <c r="E5282" s="136" t="s">
        <v>594</v>
      </c>
      <c r="F5282" s="136">
        <v>2384</v>
      </c>
      <c r="G5282" s="137">
        <f t="shared" si="20"/>
        <v>1</v>
      </c>
      <c r="H5282" s="137"/>
      <c r="I5282" s="137"/>
      <c r="J5282" s="135"/>
      <c r="K5282" s="135"/>
      <c r="L5282" s="135"/>
      <c r="M5282" s="135"/>
      <c r="N5282" s="135"/>
      <c r="O5282" s="135"/>
      <c r="P5282" s="135"/>
      <c r="Q5282" s="135"/>
      <c r="R5282" s="135"/>
      <c r="S5282" s="135"/>
      <c r="T5282" s="135"/>
      <c r="U5282" s="135"/>
      <c r="V5282" s="135"/>
      <c r="W5282" s="135"/>
      <c r="X5282" s="135"/>
      <c r="Y5282" s="135"/>
      <c r="Z5282" s="135"/>
    </row>
    <row r="5283" spans="1:26" ht="25.5">
      <c r="A5283" s="136" t="s">
        <v>16</v>
      </c>
      <c r="B5283" s="136" t="s">
        <v>7971</v>
      </c>
      <c r="C5283" s="136" t="s">
        <v>8052</v>
      </c>
      <c r="D5283" s="136" t="s">
        <v>7993</v>
      </c>
      <c r="E5283" s="136" t="s">
        <v>615</v>
      </c>
      <c r="F5283" s="136">
        <v>768</v>
      </c>
      <c r="G5283" s="137">
        <f t="shared" si="20"/>
        <v>2</v>
      </c>
      <c r="H5283" s="137"/>
      <c r="I5283" s="137"/>
      <c r="J5283" s="135"/>
      <c r="K5283" s="135"/>
      <c r="L5283" s="135"/>
      <c r="M5283" s="135"/>
      <c r="N5283" s="135"/>
      <c r="O5283" s="135"/>
      <c r="P5283" s="135"/>
      <c r="Q5283" s="135"/>
      <c r="R5283" s="135"/>
      <c r="S5283" s="135"/>
      <c r="T5283" s="135"/>
      <c r="U5283" s="135"/>
      <c r="V5283" s="135"/>
      <c r="W5283" s="135"/>
      <c r="X5283" s="135"/>
      <c r="Y5283" s="135"/>
      <c r="Z5283" s="135"/>
    </row>
    <row r="5284" spans="1:26" ht="25.5">
      <c r="A5284" s="136" t="s">
        <v>16</v>
      </c>
      <c r="B5284" s="136" t="s">
        <v>7971</v>
      </c>
      <c r="C5284" s="136" t="s">
        <v>8052</v>
      </c>
      <c r="D5284" s="136" t="s">
        <v>1626</v>
      </c>
      <c r="E5284" s="136" t="s">
        <v>594</v>
      </c>
      <c r="F5284" s="136">
        <v>542</v>
      </c>
      <c r="G5284" s="137">
        <f t="shared" si="20"/>
        <v>3</v>
      </c>
      <c r="H5284" s="137"/>
      <c r="I5284" s="137"/>
      <c r="J5284" s="135"/>
      <c r="K5284" s="135"/>
      <c r="L5284" s="135"/>
      <c r="M5284" s="135"/>
      <c r="N5284" s="135"/>
      <c r="O5284" s="135"/>
      <c r="P5284" s="135"/>
      <c r="Q5284" s="135"/>
      <c r="R5284" s="135"/>
      <c r="S5284" s="135"/>
      <c r="T5284" s="135"/>
      <c r="U5284" s="135"/>
      <c r="V5284" s="135"/>
      <c r="W5284" s="135"/>
      <c r="X5284" s="135"/>
      <c r="Y5284" s="135"/>
      <c r="Z5284" s="135"/>
    </row>
    <row r="5285" spans="1:26" ht="25.5">
      <c r="A5285" s="136" t="s">
        <v>16</v>
      </c>
      <c r="B5285" s="136" t="s">
        <v>7971</v>
      </c>
      <c r="C5285" s="136" t="s">
        <v>8052</v>
      </c>
      <c r="D5285" s="136" t="s">
        <v>1665</v>
      </c>
      <c r="E5285" s="136" t="s">
        <v>615</v>
      </c>
      <c r="F5285" s="136">
        <v>480</v>
      </c>
      <c r="G5285" s="137">
        <f t="shared" si="20"/>
        <v>4</v>
      </c>
      <c r="H5285" s="137"/>
      <c r="I5285" s="137"/>
      <c r="J5285" s="135"/>
      <c r="K5285" s="135"/>
      <c r="L5285" s="135"/>
      <c r="M5285" s="135"/>
      <c r="N5285" s="135"/>
      <c r="O5285" s="135"/>
      <c r="P5285" s="135"/>
      <c r="Q5285" s="135"/>
      <c r="R5285" s="135"/>
      <c r="S5285" s="135"/>
      <c r="T5285" s="135"/>
      <c r="U5285" s="135"/>
      <c r="V5285" s="135"/>
      <c r="W5285" s="135"/>
      <c r="X5285" s="135"/>
      <c r="Y5285" s="135"/>
      <c r="Z5285" s="135"/>
    </row>
    <row r="5286" spans="1:26" ht="25.5">
      <c r="A5286" s="136" t="s">
        <v>16</v>
      </c>
      <c r="B5286" s="136" t="s">
        <v>7971</v>
      </c>
      <c r="C5286" s="136" t="s">
        <v>8052</v>
      </c>
      <c r="D5286" s="136" t="s">
        <v>114</v>
      </c>
      <c r="E5286" s="136" t="s">
        <v>85</v>
      </c>
      <c r="F5286" s="136">
        <v>380</v>
      </c>
      <c r="G5286" s="137">
        <f t="shared" si="20"/>
        <v>5</v>
      </c>
      <c r="H5286" s="137"/>
      <c r="I5286" s="137"/>
      <c r="J5286" s="135"/>
      <c r="K5286" s="135"/>
      <c r="L5286" s="135"/>
      <c r="M5286" s="135"/>
      <c r="N5286" s="135"/>
      <c r="O5286" s="135"/>
      <c r="P5286" s="135"/>
      <c r="Q5286" s="135"/>
      <c r="R5286" s="135"/>
      <c r="S5286" s="135"/>
      <c r="T5286" s="135"/>
      <c r="U5286" s="135"/>
      <c r="V5286" s="135"/>
      <c r="W5286" s="135"/>
      <c r="X5286" s="135"/>
      <c r="Y5286" s="135"/>
      <c r="Z5286" s="135"/>
    </row>
    <row r="5287" spans="1:26" ht="25.5">
      <c r="A5287" s="136" t="s">
        <v>16</v>
      </c>
      <c r="B5287" s="136" t="s">
        <v>7971</v>
      </c>
      <c r="C5287" s="136" t="s">
        <v>8052</v>
      </c>
      <c r="D5287" s="136" t="s">
        <v>7685</v>
      </c>
      <c r="E5287" s="136" t="s">
        <v>594</v>
      </c>
      <c r="F5287" s="136">
        <v>361</v>
      </c>
      <c r="G5287" s="137">
        <f t="shared" si="20"/>
        <v>6</v>
      </c>
      <c r="H5287" s="137"/>
      <c r="I5287" s="137"/>
      <c r="J5287" s="135"/>
      <c r="K5287" s="135"/>
      <c r="L5287" s="135"/>
      <c r="M5287" s="135"/>
      <c r="N5287" s="135"/>
      <c r="O5287" s="135"/>
      <c r="P5287" s="135"/>
      <c r="Q5287" s="135"/>
      <c r="R5287" s="135"/>
      <c r="S5287" s="135"/>
      <c r="T5287" s="135"/>
      <c r="U5287" s="135"/>
      <c r="V5287" s="135"/>
      <c r="W5287" s="135"/>
      <c r="X5287" s="135"/>
      <c r="Y5287" s="135"/>
      <c r="Z5287" s="135"/>
    </row>
    <row r="5288" spans="1:26" ht="25.5">
      <c r="A5288" s="136" t="s">
        <v>16</v>
      </c>
      <c r="B5288" s="136" t="s">
        <v>7971</v>
      </c>
      <c r="C5288" s="136" t="s">
        <v>8052</v>
      </c>
      <c r="D5288" s="136" t="s">
        <v>7481</v>
      </c>
      <c r="E5288" s="136" t="s">
        <v>615</v>
      </c>
      <c r="F5288" s="136">
        <v>226</v>
      </c>
      <c r="G5288" s="137">
        <f t="shared" si="20"/>
        <v>7</v>
      </c>
      <c r="H5288" s="137"/>
      <c r="I5288" s="137"/>
      <c r="J5288" s="135"/>
      <c r="K5288" s="135"/>
      <c r="L5288" s="135"/>
      <c r="M5288" s="135"/>
      <c r="N5288" s="135"/>
      <c r="O5288" s="135"/>
      <c r="P5288" s="135"/>
      <c r="Q5288" s="135"/>
      <c r="R5288" s="135"/>
      <c r="S5288" s="135"/>
      <c r="T5288" s="135"/>
      <c r="U5288" s="135"/>
      <c r="V5288" s="135"/>
      <c r="W5288" s="135"/>
      <c r="X5288" s="135"/>
      <c r="Y5288" s="135"/>
      <c r="Z5288" s="135"/>
    </row>
    <row r="5289" spans="1:26" ht="25.5">
      <c r="A5289" s="136" t="s">
        <v>16</v>
      </c>
      <c r="B5289" s="136" t="s">
        <v>7971</v>
      </c>
      <c r="C5289" s="136" t="s">
        <v>8052</v>
      </c>
      <c r="D5289" s="136" t="s">
        <v>165</v>
      </c>
      <c r="E5289" s="136" t="s">
        <v>615</v>
      </c>
      <c r="F5289" s="136">
        <v>95</v>
      </c>
      <c r="G5289" s="137">
        <f t="shared" si="20"/>
        <v>8</v>
      </c>
      <c r="H5289" s="137"/>
      <c r="I5289" s="137"/>
      <c r="J5289" s="135"/>
      <c r="K5289" s="135"/>
      <c r="L5289" s="135"/>
      <c r="M5289" s="135"/>
      <c r="N5289" s="135"/>
      <c r="O5289" s="135"/>
      <c r="P5289" s="135"/>
      <c r="Q5289" s="135"/>
      <c r="R5289" s="135"/>
      <c r="S5289" s="135"/>
      <c r="T5289" s="135"/>
      <c r="U5289" s="135"/>
      <c r="V5289" s="135"/>
      <c r="W5289" s="135"/>
      <c r="X5289" s="135"/>
      <c r="Y5289" s="135"/>
      <c r="Z5289" s="135"/>
    </row>
    <row r="5290" spans="1:26" ht="25.5">
      <c r="A5290" s="136" t="s">
        <v>16</v>
      </c>
      <c r="B5290" s="136" t="s">
        <v>7971</v>
      </c>
      <c r="C5290" s="136" t="s">
        <v>8052</v>
      </c>
      <c r="D5290" s="136" t="s">
        <v>437</v>
      </c>
      <c r="E5290" s="136" t="s">
        <v>594</v>
      </c>
      <c r="F5290" s="136">
        <v>55</v>
      </c>
      <c r="G5290" s="137">
        <f t="shared" si="20"/>
        <v>9</v>
      </c>
      <c r="H5290" s="137"/>
      <c r="I5290" s="137"/>
      <c r="J5290" s="135"/>
      <c r="K5290" s="135"/>
      <c r="L5290" s="135"/>
      <c r="M5290" s="135"/>
      <c r="N5290" s="135"/>
      <c r="O5290" s="135"/>
      <c r="P5290" s="135"/>
      <c r="Q5290" s="135"/>
      <c r="R5290" s="135"/>
      <c r="S5290" s="135"/>
      <c r="T5290" s="135"/>
      <c r="U5290" s="135"/>
      <c r="V5290" s="135"/>
      <c r="W5290" s="135"/>
      <c r="X5290" s="135"/>
      <c r="Y5290" s="135"/>
      <c r="Z5290" s="135"/>
    </row>
    <row r="5291" spans="1:26" ht="25.5">
      <c r="A5291" s="136" t="s">
        <v>16</v>
      </c>
      <c r="B5291" s="136" t="s">
        <v>7971</v>
      </c>
      <c r="C5291" s="136" t="s">
        <v>8052</v>
      </c>
      <c r="D5291" s="136" t="s">
        <v>103</v>
      </c>
      <c r="E5291" s="136" t="s">
        <v>594</v>
      </c>
      <c r="F5291" s="136">
        <v>51</v>
      </c>
      <c r="G5291" s="137">
        <f t="shared" si="20"/>
        <v>10</v>
      </c>
      <c r="H5291" s="137"/>
      <c r="I5291" s="137"/>
      <c r="J5291" s="135"/>
      <c r="K5291" s="135"/>
      <c r="L5291" s="135"/>
      <c r="M5291" s="135"/>
      <c r="N5291" s="135"/>
      <c r="O5291" s="135"/>
      <c r="P5291" s="135"/>
      <c r="Q5291" s="135"/>
      <c r="R5291" s="135"/>
      <c r="S5291" s="135"/>
      <c r="T5291" s="135"/>
      <c r="U5291" s="135"/>
      <c r="V5291" s="135"/>
      <c r="W5291" s="135"/>
      <c r="X5291" s="135"/>
      <c r="Y5291" s="135"/>
      <c r="Z5291" s="135"/>
    </row>
    <row r="5292" spans="1:26" ht="25.5">
      <c r="A5292" s="136" t="s">
        <v>16</v>
      </c>
      <c r="B5292" s="136" t="s">
        <v>7971</v>
      </c>
      <c r="C5292" s="136" t="s">
        <v>8052</v>
      </c>
      <c r="D5292" s="136" t="s">
        <v>136</v>
      </c>
      <c r="E5292" s="136" t="s">
        <v>615</v>
      </c>
      <c r="F5292" s="136">
        <v>40</v>
      </c>
      <c r="G5292" s="137">
        <f t="shared" si="20"/>
        <v>11</v>
      </c>
      <c r="H5292" s="137"/>
      <c r="I5292" s="137"/>
      <c r="J5292" s="135"/>
      <c r="K5292" s="135"/>
      <c r="L5292" s="135"/>
      <c r="M5292" s="135"/>
      <c r="N5292" s="135"/>
      <c r="O5292" s="135"/>
      <c r="P5292" s="135"/>
      <c r="Q5292" s="135"/>
      <c r="R5292" s="135"/>
      <c r="S5292" s="135"/>
      <c r="T5292" s="135"/>
      <c r="U5292" s="135"/>
      <c r="V5292" s="135"/>
      <c r="W5292" s="135"/>
      <c r="X5292" s="135"/>
      <c r="Y5292" s="135"/>
      <c r="Z5292" s="135"/>
    </row>
    <row r="5293" spans="1:26" ht="25.5">
      <c r="A5293" s="136" t="s">
        <v>16</v>
      </c>
      <c r="B5293" s="136" t="s">
        <v>7971</v>
      </c>
      <c r="C5293" s="136" t="s">
        <v>8052</v>
      </c>
      <c r="D5293" s="136" t="s">
        <v>1639</v>
      </c>
      <c r="E5293" s="136" t="s">
        <v>615</v>
      </c>
      <c r="F5293" s="136">
        <v>35</v>
      </c>
      <c r="G5293" s="137">
        <f t="shared" si="20"/>
        <v>12</v>
      </c>
      <c r="H5293" s="137"/>
      <c r="I5293" s="137"/>
      <c r="J5293" s="135"/>
      <c r="K5293" s="135"/>
      <c r="L5293" s="135"/>
      <c r="M5293" s="135"/>
      <c r="N5293" s="135"/>
      <c r="O5293" s="135"/>
      <c r="P5293" s="135"/>
      <c r="Q5293" s="135"/>
      <c r="R5293" s="135"/>
      <c r="S5293" s="135"/>
      <c r="T5293" s="135"/>
      <c r="U5293" s="135"/>
      <c r="V5293" s="135"/>
      <c r="W5293" s="135"/>
      <c r="X5293" s="135"/>
      <c r="Y5293" s="135"/>
      <c r="Z5293" s="135"/>
    </row>
    <row r="5294" spans="1:26" ht="25.5">
      <c r="A5294" s="136" t="s">
        <v>16</v>
      </c>
      <c r="B5294" s="136" t="s">
        <v>7971</v>
      </c>
      <c r="C5294" s="136" t="s">
        <v>8052</v>
      </c>
      <c r="D5294" s="136" t="s">
        <v>467</v>
      </c>
      <c r="E5294" s="136" t="s">
        <v>85</v>
      </c>
      <c r="F5294" s="136">
        <v>34</v>
      </c>
      <c r="G5294" s="137">
        <f t="shared" si="20"/>
        <v>13</v>
      </c>
      <c r="H5294" s="137"/>
      <c r="I5294" s="137"/>
      <c r="J5294" s="135"/>
      <c r="K5294" s="135"/>
      <c r="L5294" s="135"/>
      <c r="M5294" s="135"/>
      <c r="N5294" s="135"/>
      <c r="O5294" s="135"/>
      <c r="P5294" s="135"/>
      <c r="Q5294" s="135"/>
      <c r="R5294" s="135"/>
      <c r="S5294" s="135"/>
      <c r="T5294" s="135"/>
      <c r="U5294" s="135"/>
      <c r="V5294" s="135"/>
      <c r="W5294" s="135"/>
      <c r="X5294" s="135"/>
      <c r="Y5294" s="135"/>
      <c r="Z5294" s="135"/>
    </row>
    <row r="5295" spans="1:26" ht="25.5">
      <c r="A5295" s="136" t="s">
        <v>16</v>
      </c>
      <c r="B5295" s="136" t="s">
        <v>7971</v>
      </c>
      <c r="C5295" s="136" t="s">
        <v>8052</v>
      </c>
      <c r="D5295" s="136" t="s">
        <v>1682</v>
      </c>
      <c r="E5295" s="136" t="s">
        <v>86</v>
      </c>
      <c r="F5295" s="136">
        <v>34</v>
      </c>
      <c r="G5295" s="137">
        <f t="shared" si="20"/>
        <v>14</v>
      </c>
      <c r="H5295" s="137"/>
      <c r="I5295" s="137"/>
      <c r="J5295" s="135"/>
      <c r="K5295" s="135"/>
      <c r="L5295" s="135"/>
      <c r="M5295" s="135"/>
      <c r="N5295" s="135"/>
      <c r="O5295" s="135"/>
      <c r="P5295" s="135"/>
      <c r="Q5295" s="135"/>
      <c r="R5295" s="135"/>
      <c r="S5295" s="135"/>
      <c r="T5295" s="135"/>
      <c r="U5295" s="135"/>
      <c r="V5295" s="135"/>
      <c r="W5295" s="135"/>
      <c r="X5295" s="135"/>
      <c r="Y5295" s="135"/>
      <c r="Z5295" s="135"/>
    </row>
    <row r="5296" spans="1:26" ht="25.5">
      <c r="A5296" s="136" t="s">
        <v>16</v>
      </c>
      <c r="B5296" s="136" t="s">
        <v>7971</v>
      </c>
      <c r="C5296" s="136" t="s">
        <v>8052</v>
      </c>
      <c r="D5296" s="136" t="s">
        <v>7544</v>
      </c>
      <c r="E5296" s="136" t="s">
        <v>615</v>
      </c>
      <c r="F5296" s="136">
        <v>20</v>
      </c>
      <c r="G5296" s="137">
        <f t="shared" si="20"/>
        <v>15</v>
      </c>
      <c r="H5296" s="137"/>
      <c r="I5296" s="137"/>
      <c r="J5296" s="135"/>
      <c r="K5296" s="135"/>
      <c r="L5296" s="135"/>
      <c r="M5296" s="135"/>
      <c r="N5296" s="135"/>
      <c r="O5296" s="135"/>
      <c r="P5296" s="135"/>
      <c r="Q5296" s="135"/>
      <c r="R5296" s="135"/>
      <c r="S5296" s="135"/>
      <c r="T5296" s="135"/>
      <c r="U5296" s="135"/>
      <c r="V5296" s="135"/>
      <c r="W5296" s="135"/>
      <c r="X5296" s="135"/>
      <c r="Y5296" s="135"/>
      <c r="Z5296" s="135"/>
    </row>
    <row r="5297" spans="1:26" ht="25.5">
      <c r="A5297" s="136" t="s">
        <v>16</v>
      </c>
      <c r="B5297" s="136" t="s">
        <v>7971</v>
      </c>
      <c r="C5297" s="136" t="s">
        <v>8052</v>
      </c>
      <c r="D5297" s="136" t="s">
        <v>1673</v>
      </c>
      <c r="E5297" s="136" t="s">
        <v>615</v>
      </c>
      <c r="F5297" s="136">
        <v>20</v>
      </c>
      <c r="G5297" s="137">
        <f t="shared" si="20"/>
        <v>16</v>
      </c>
      <c r="H5297" s="137"/>
      <c r="I5297" s="137"/>
      <c r="J5297" s="135"/>
      <c r="K5297" s="135"/>
      <c r="L5297" s="135"/>
      <c r="M5297" s="135"/>
      <c r="N5297" s="135"/>
      <c r="O5297" s="135"/>
      <c r="P5297" s="135"/>
      <c r="Q5297" s="135"/>
      <c r="R5297" s="135"/>
      <c r="S5297" s="135"/>
      <c r="T5297" s="135"/>
      <c r="U5297" s="135"/>
      <c r="V5297" s="135"/>
      <c r="W5297" s="135"/>
      <c r="X5297" s="135"/>
      <c r="Y5297" s="135"/>
      <c r="Z5297" s="135"/>
    </row>
    <row r="5298" spans="1:26" ht="25.5">
      <c r="A5298" s="136" t="s">
        <v>16</v>
      </c>
      <c r="B5298" s="136" t="s">
        <v>7971</v>
      </c>
      <c r="C5298" s="136" t="s">
        <v>8052</v>
      </c>
      <c r="D5298" s="136" t="s">
        <v>7985</v>
      </c>
      <c r="E5298" s="136" t="s">
        <v>615</v>
      </c>
      <c r="F5298" s="136">
        <v>15</v>
      </c>
      <c r="G5298" s="137">
        <f t="shared" si="20"/>
        <v>17</v>
      </c>
      <c r="H5298" s="137"/>
      <c r="I5298" s="137"/>
      <c r="J5298" s="135"/>
      <c r="K5298" s="135"/>
      <c r="L5298" s="135"/>
      <c r="M5298" s="135"/>
      <c r="N5298" s="135"/>
      <c r="O5298" s="135"/>
      <c r="P5298" s="135"/>
      <c r="Q5298" s="135"/>
      <c r="R5298" s="135"/>
      <c r="S5298" s="135"/>
      <c r="T5298" s="135"/>
      <c r="U5298" s="135"/>
      <c r="V5298" s="135"/>
      <c r="W5298" s="135"/>
      <c r="X5298" s="135"/>
      <c r="Y5298" s="135"/>
      <c r="Z5298" s="135"/>
    </row>
    <row r="5299" spans="1:26" ht="25.5">
      <c r="A5299" s="136" t="s">
        <v>16</v>
      </c>
      <c r="B5299" s="136" t="s">
        <v>7971</v>
      </c>
      <c r="C5299" s="136" t="s">
        <v>8053</v>
      </c>
      <c r="D5299" s="136" t="s">
        <v>139</v>
      </c>
      <c r="E5299" s="136" t="s">
        <v>594</v>
      </c>
      <c r="F5299" s="136">
        <v>1213</v>
      </c>
      <c r="G5299" s="137">
        <f t="shared" si="20"/>
        <v>1</v>
      </c>
      <c r="H5299" s="137"/>
      <c r="I5299" s="137"/>
      <c r="J5299" s="135"/>
      <c r="K5299" s="135"/>
      <c r="L5299" s="135"/>
      <c r="M5299" s="135"/>
      <c r="N5299" s="135"/>
      <c r="O5299" s="135"/>
      <c r="P5299" s="135"/>
      <c r="Q5299" s="135"/>
      <c r="R5299" s="135"/>
      <c r="S5299" s="135"/>
      <c r="T5299" s="135"/>
      <c r="U5299" s="135"/>
      <c r="V5299" s="135"/>
      <c r="W5299" s="135"/>
      <c r="X5299" s="135"/>
      <c r="Y5299" s="135"/>
      <c r="Z5299" s="135"/>
    </row>
    <row r="5300" spans="1:26" ht="25.5">
      <c r="A5300" s="136" t="s">
        <v>16</v>
      </c>
      <c r="B5300" s="136" t="s">
        <v>7971</v>
      </c>
      <c r="C5300" s="136" t="s">
        <v>8053</v>
      </c>
      <c r="D5300" s="136" t="s">
        <v>7481</v>
      </c>
      <c r="E5300" s="136" t="s">
        <v>615</v>
      </c>
      <c r="F5300" s="136">
        <v>1050</v>
      </c>
      <c r="G5300" s="137">
        <f t="shared" si="20"/>
        <v>2</v>
      </c>
      <c r="H5300" s="137"/>
      <c r="I5300" s="137"/>
      <c r="J5300" s="135"/>
      <c r="K5300" s="135"/>
      <c r="L5300" s="135"/>
      <c r="M5300" s="135"/>
      <c r="N5300" s="135"/>
      <c r="O5300" s="135"/>
      <c r="P5300" s="135"/>
      <c r="Q5300" s="135"/>
      <c r="R5300" s="135"/>
      <c r="S5300" s="135"/>
      <c r="T5300" s="135"/>
      <c r="U5300" s="135"/>
      <c r="V5300" s="135"/>
      <c r="W5300" s="135"/>
      <c r="X5300" s="135"/>
      <c r="Y5300" s="135"/>
      <c r="Z5300" s="135"/>
    </row>
    <row r="5301" spans="1:26" ht="25.5">
      <c r="A5301" s="136" t="s">
        <v>16</v>
      </c>
      <c r="B5301" s="136" t="s">
        <v>7971</v>
      </c>
      <c r="C5301" s="136" t="s">
        <v>8053</v>
      </c>
      <c r="D5301" s="136" t="s">
        <v>7993</v>
      </c>
      <c r="E5301" s="136" t="s">
        <v>615</v>
      </c>
      <c r="F5301" s="136">
        <v>971</v>
      </c>
      <c r="G5301" s="137">
        <f t="shared" si="20"/>
        <v>3</v>
      </c>
      <c r="H5301" s="137"/>
      <c r="I5301" s="137"/>
      <c r="J5301" s="135"/>
      <c r="K5301" s="135"/>
      <c r="L5301" s="135"/>
      <c r="M5301" s="135"/>
      <c r="N5301" s="135"/>
      <c r="O5301" s="135"/>
      <c r="P5301" s="135"/>
      <c r="Q5301" s="135"/>
      <c r="R5301" s="135"/>
      <c r="S5301" s="135"/>
      <c r="T5301" s="135"/>
      <c r="U5301" s="135"/>
      <c r="V5301" s="135"/>
      <c r="W5301" s="135"/>
      <c r="X5301" s="135"/>
      <c r="Y5301" s="135"/>
      <c r="Z5301" s="135"/>
    </row>
    <row r="5302" spans="1:26" ht="25.5">
      <c r="A5302" s="136" t="s">
        <v>16</v>
      </c>
      <c r="B5302" s="136" t="s">
        <v>7971</v>
      </c>
      <c r="C5302" s="136" t="s">
        <v>8053</v>
      </c>
      <c r="D5302" s="136" t="s">
        <v>1626</v>
      </c>
      <c r="E5302" s="136" t="s">
        <v>594</v>
      </c>
      <c r="F5302" s="136">
        <v>348</v>
      </c>
      <c r="G5302" s="137">
        <f t="shared" si="20"/>
        <v>4</v>
      </c>
      <c r="H5302" s="137"/>
      <c r="I5302" s="137"/>
      <c r="J5302" s="135"/>
      <c r="K5302" s="135"/>
      <c r="L5302" s="135"/>
      <c r="M5302" s="135"/>
      <c r="N5302" s="135"/>
      <c r="O5302" s="135"/>
      <c r="P5302" s="135"/>
      <c r="Q5302" s="135"/>
      <c r="R5302" s="135"/>
      <c r="S5302" s="135"/>
      <c r="T5302" s="135"/>
      <c r="U5302" s="135"/>
      <c r="V5302" s="135"/>
      <c r="W5302" s="135"/>
      <c r="X5302" s="135"/>
      <c r="Y5302" s="135"/>
      <c r="Z5302" s="135"/>
    </row>
    <row r="5303" spans="1:26" ht="25.5">
      <c r="A5303" s="136" t="s">
        <v>16</v>
      </c>
      <c r="B5303" s="136" t="s">
        <v>7971</v>
      </c>
      <c r="C5303" s="136" t="s">
        <v>8053</v>
      </c>
      <c r="D5303" s="136" t="s">
        <v>1665</v>
      </c>
      <c r="E5303" s="136" t="s">
        <v>615</v>
      </c>
      <c r="F5303" s="136">
        <v>250</v>
      </c>
      <c r="G5303" s="137">
        <f t="shared" si="20"/>
        <v>5</v>
      </c>
      <c r="H5303" s="137"/>
      <c r="I5303" s="137"/>
      <c r="J5303" s="135"/>
      <c r="K5303" s="135"/>
      <c r="L5303" s="135"/>
      <c r="M5303" s="135"/>
      <c r="N5303" s="135"/>
      <c r="O5303" s="135"/>
      <c r="P5303" s="135"/>
      <c r="Q5303" s="135"/>
      <c r="R5303" s="135"/>
      <c r="S5303" s="135"/>
      <c r="T5303" s="135"/>
      <c r="U5303" s="135"/>
      <c r="V5303" s="135"/>
      <c r="W5303" s="135"/>
      <c r="X5303" s="135"/>
      <c r="Y5303" s="135"/>
      <c r="Z5303" s="135"/>
    </row>
    <row r="5304" spans="1:26" ht="25.5">
      <c r="A5304" s="136" t="s">
        <v>16</v>
      </c>
      <c r="B5304" s="136" t="s">
        <v>7971</v>
      </c>
      <c r="C5304" s="136" t="s">
        <v>8053</v>
      </c>
      <c r="D5304" s="136" t="s">
        <v>107</v>
      </c>
      <c r="E5304" s="136" t="s">
        <v>615</v>
      </c>
      <c r="F5304" s="136">
        <v>200</v>
      </c>
      <c r="G5304" s="137">
        <f t="shared" si="20"/>
        <v>6</v>
      </c>
      <c r="H5304" s="137"/>
      <c r="I5304" s="137"/>
      <c r="J5304" s="135"/>
      <c r="K5304" s="135"/>
      <c r="L5304" s="135"/>
      <c r="M5304" s="135"/>
      <c r="N5304" s="135"/>
      <c r="O5304" s="135"/>
      <c r="P5304" s="135"/>
      <c r="Q5304" s="135"/>
      <c r="R5304" s="135"/>
      <c r="S5304" s="135"/>
      <c r="T5304" s="135"/>
      <c r="U5304" s="135"/>
      <c r="V5304" s="135"/>
      <c r="W5304" s="135"/>
      <c r="X5304" s="135"/>
      <c r="Y5304" s="135"/>
      <c r="Z5304" s="135"/>
    </row>
    <row r="5305" spans="1:26" ht="25.5">
      <c r="A5305" s="136" t="s">
        <v>16</v>
      </c>
      <c r="B5305" s="136" t="s">
        <v>7971</v>
      </c>
      <c r="C5305" s="136" t="s">
        <v>8053</v>
      </c>
      <c r="D5305" s="136" t="s">
        <v>114</v>
      </c>
      <c r="E5305" s="136" t="s">
        <v>85</v>
      </c>
      <c r="F5305" s="136">
        <v>183</v>
      </c>
      <c r="G5305" s="137">
        <f t="shared" si="20"/>
        <v>7</v>
      </c>
      <c r="H5305" s="137"/>
      <c r="I5305" s="137"/>
      <c r="J5305" s="135"/>
      <c r="K5305" s="135"/>
      <c r="L5305" s="135"/>
      <c r="M5305" s="135"/>
      <c r="N5305" s="135"/>
      <c r="O5305" s="135"/>
      <c r="P5305" s="135"/>
      <c r="Q5305" s="135"/>
      <c r="R5305" s="135"/>
      <c r="S5305" s="135"/>
      <c r="T5305" s="135"/>
      <c r="U5305" s="135"/>
      <c r="V5305" s="135"/>
      <c r="W5305" s="135"/>
      <c r="X5305" s="135"/>
      <c r="Y5305" s="135"/>
      <c r="Z5305" s="135"/>
    </row>
    <row r="5306" spans="1:26" ht="25.5">
      <c r="A5306" s="136" t="s">
        <v>16</v>
      </c>
      <c r="B5306" s="136" t="s">
        <v>7971</v>
      </c>
      <c r="C5306" s="136" t="s">
        <v>8053</v>
      </c>
      <c r="D5306" s="136" t="s">
        <v>433</v>
      </c>
      <c r="E5306" s="136" t="s">
        <v>594</v>
      </c>
      <c r="F5306" s="136">
        <v>158</v>
      </c>
      <c r="G5306" s="137">
        <f t="shared" si="20"/>
        <v>8</v>
      </c>
      <c r="H5306" s="137"/>
      <c r="I5306" s="137"/>
      <c r="J5306" s="135"/>
      <c r="K5306" s="135"/>
      <c r="L5306" s="135"/>
      <c r="M5306" s="135"/>
      <c r="N5306" s="135"/>
      <c r="O5306" s="135"/>
      <c r="P5306" s="135"/>
      <c r="Q5306" s="135"/>
      <c r="R5306" s="135"/>
      <c r="S5306" s="135"/>
      <c r="T5306" s="135"/>
      <c r="U5306" s="135"/>
      <c r="V5306" s="135"/>
      <c r="W5306" s="135"/>
      <c r="X5306" s="135"/>
      <c r="Y5306" s="135"/>
      <c r="Z5306" s="135"/>
    </row>
    <row r="5307" spans="1:26" ht="25.5">
      <c r="A5307" s="136" t="s">
        <v>16</v>
      </c>
      <c r="B5307" s="136" t="s">
        <v>7971</v>
      </c>
      <c r="C5307" s="136" t="s">
        <v>8053</v>
      </c>
      <c r="D5307" s="136" t="s">
        <v>136</v>
      </c>
      <c r="E5307" s="136" t="s">
        <v>615</v>
      </c>
      <c r="F5307" s="136">
        <v>110</v>
      </c>
      <c r="G5307" s="137">
        <f t="shared" si="20"/>
        <v>9</v>
      </c>
      <c r="H5307" s="137"/>
      <c r="I5307" s="137"/>
      <c r="J5307" s="135"/>
      <c r="K5307" s="135"/>
      <c r="L5307" s="135"/>
      <c r="M5307" s="135"/>
      <c r="N5307" s="135"/>
      <c r="O5307" s="135"/>
      <c r="P5307" s="135"/>
      <c r="Q5307" s="135"/>
      <c r="R5307" s="135"/>
      <c r="S5307" s="135"/>
      <c r="T5307" s="135"/>
      <c r="U5307" s="135"/>
      <c r="V5307" s="135"/>
      <c r="W5307" s="135"/>
      <c r="X5307" s="135"/>
      <c r="Y5307" s="135"/>
      <c r="Z5307" s="135"/>
    </row>
    <row r="5308" spans="1:26" ht="25.5">
      <c r="A5308" s="136" t="s">
        <v>16</v>
      </c>
      <c r="B5308" s="136" t="s">
        <v>7971</v>
      </c>
      <c r="C5308" s="136" t="s">
        <v>8053</v>
      </c>
      <c r="D5308" s="136" t="s">
        <v>165</v>
      </c>
      <c r="E5308" s="136" t="s">
        <v>615</v>
      </c>
      <c r="F5308" s="136">
        <v>82</v>
      </c>
      <c r="G5308" s="137">
        <f t="shared" si="20"/>
        <v>10</v>
      </c>
      <c r="H5308" s="137"/>
      <c r="I5308" s="137"/>
      <c r="J5308" s="135"/>
      <c r="K5308" s="135"/>
      <c r="L5308" s="135"/>
      <c r="M5308" s="135"/>
      <c r="N5308" s="135"/>
      <c r="O5308" s="135"/>
      <c r="P5308" s="135"/>
      <c r="Q5308" s="135"/>
      <c r="R5308" s="135"/>
      <c r="S5308" s="135"/>
      <c r="T5308" s="135"/>
      <c r="U5308" s="135"/>
      <c r="V5308" s="135"/>
      <c r="W5308" s="135"/>
      <c r="X5308" s="135"/>
      <c r="Y5308" s="135"/>
      <c r="Z5308" s="135"/>
    </row>
    <row r="5309" spans="1:26" ht="25.5">
      <c r="A5309" s="136" t="s">
        <v>16</v>
      </c>
      <c r="B5309" s="136" t="s">
        <v>7971</v>
      </c>
      <c r="C5309" s="136" t="s">
        <v>8053</v>
      </c>
      <c r="D5309" s="136" t="s">
        <v>1656</v>
      </c>
      <c r="E5309" s="136" t="s">
        <v>594</v>
      </c>
      <c r="F5309" s="136">
        <v>68</v>
      </c>
      <c r="G5309" s="137">
        <f t="shared" si="20"/>
        <v>11</v>
      </c>
      <c r="H5309" s="137"/>
      <c r="I5309" s="137"/>
      <c r="J5309" s="135"/>
      <c r="K5309" s="135"/>
      <c r="L5309" s="135"/>
      <c r="M5309" s="135"/>
      <c r="N5309" s="135"/>
      <c r="O5309" s="135"/>
      <c r="P5309" s="135"/>
      <c r="Q5309" s="135"/>
      <c r="R5309" s="135"/>
      <c r="S5309" s="135"/>
      <c r="T5309" s="135"/>
      <c r="U5309" s="135"/>
      <c r="V5309" s="135"/>
      <c r="W5309" s="135"/>
      <c r="X5309" s="135"/>
      <c r="Y5309" s="135"/>
      <c r="Z5309" s="135"/>
    </row>
    <row r="5310" spans="1:26" ht="25.5">
      <c r="A5310" s="136" t="s">
        <v>16</v>
      </c>
      <c r="B5310" s="136" t="s">
        <v>7971</v>
      </c>
      <c r="C5310" s="136" t="s">
        <v>8053</v>
      </c>
      <c r="D5310" s="136" t="s">
        <v>368</v>
      </c>
      <c r="E5310" s="136" t="s">
        <v>594</v>
      </c>
      <c r="F5310" s="136">
        <v>64</v>
      </c>
      <c r="G5310" s="137">
        <f t="shared" si="20"/>
        <v>12</v>
      </c>
      <c r="H5310" s="137"/>
      <c r="I5310" s="137"/>
      <c r="J5310" s="135"/>
      <c r="K5310" s="135"/>
      <c r="L5310" s="135"/>
      <c r="M5310" s="135"/>
      <c r="N5310" s="135"/>
      <c r="O5310" s="135"/>
      <c r="P5310" s="135"/>
      <c r="Q5310" s="135"/>
      <c r="R5310" s="135"/>
      <c r="S5310" s="135"/>
      <c r="T5310" s="135"/>
      <c r="U5310" s="135"/>
      <c r="V5310" s="135"/>
      <c r="W5310" s="135"/>
      <c r="X5310" s="135"/>
      <c r="Y5310" s="135"/>
      <c r="Z5310" s="135"/>
    </row>
    <row r="5311" spans="1:26" ht="25.5">
      <c r="A5311" s="136" t="s">
        <v>16</v>
      </c>
      <c r="B5311" s="136" t="s">
        <v>7971</v>
      </c>
      <c r="C5311" s="136" t="s">
        <v>8053</v>
      </c>
      <c r="D5311" s="136" t="s">
        <v>154</v>
      </c>
      <c r="E5311" s="136" t="s">
        <v>615</v>
      </c>
      <c r="F5311" s="136">
        <v>61</v>
      </c>
      <c r="G5311" s="137">
        <f t="shared" si="20"/>
        <v>13</v>
      </c>
      <c r="H5311" s="137"/>
      <c r="I5311" s="137"/>
      <c r="J5311" s="135"/>
      <c r="K5311" s="135"/>
      <c r="L5311" s="135"/>
      <c r="M5311" s="135"/>
      <c r="N5311" s="135"/>
      <c r="O5311" s="135"/>
      <c r="P5311" s="135"/>
      <c r="Q5311" s="135"/>
      <c r="R5311" s="135"/>
      <c r="S5311" s="135"/>
      <c r="T5311" s="135"/>
      <c r="U5311" s="135"/>
      <c r="V5311" s="135"/>
      <c r="W5311" s="135"/>
      <c r="X5311" s="135"/>
      <c r="Y5311" s="135"/>
      <c r="Z5311" s="135"/>
    </row>
    <row r="5312" spans="1:26" ht="25.5">
      <c r="A5312" s="136" t="s">
        <v>16</v>
      </c>
      <c r="B5312" s="136" t="s">
        <v>7971</v>
      </c>
      <c r="C5312" s="136" t="s">
        <v>8053</v>
      </c>
      <c r="D5312" s="136" t="s">
        <v>1680</v>
      </c>
      <c r="E5312" s="136" t="s">
        <v>615</v>
      </c>
      <c r="F5312" s="136">
        <v>53</v>
      </c>
      <c r="G5312" s="137">
        <f t="shared" si="20"/>
        <v>14</v>
      </c>
      <c r="H5312" s="137"/>
      <c r="I5312" s="137"/>
      <c r="J5312" s="135"/>
      <c r="K5312" s="135"/>
      <c r="L5312" s="135"/>
      <c r="M5312" s="135"/>
      <c r="N5312" s="135"/>
      <c r="O5312" s="135"/>
      <c r="P5312" s="135"/>
      <c r="Q5312" s="135"/>
      <c r="R5312" s="135"/>
      <c r="S5312" s="135"/>
      <c r="T5312" s="135"/>
      <c r="U5312" s="135"/>
      <c r="V5312" s="135"/>
      <c r="W5312" s="135"/>
      <c r="X5312" s="135"/>
      <c r="Y5312" s="135"/>
      <c r="Z5312" s="135"/>
    </row>
    <row r="5313" spans="1:26" ht="25.5">
      <c r="A5313" s="136" t="s">
        <v>16</v>
      </c>
      <c r="B5313" s="136" t="s">
        <v>7971</v>
      </c>
      <c r="C5313" s="136" t="s">
        <v>8053</v>
      </c>
      <c r="D5313" s="136" t="s">
        <v>1635</v>
      </c>
      <c r="E5313" s="136" t="s">
        <v>615</v>
      </c>
      <c r="F5313" s="136">
        <v>37</v>
      </c>
      <c r="G5313" s="137">
        <f t="shared" si="20"/>
        <v>15</v>
      </c>
      <c r="H5313" s="137"/>
      <c r="I5313" s="137"/>
      <c r="J5313" s="135"/>
      <c r="K5313" s="135"/>
      <c r="L5313" s="135"/>
      <c r="M5313" s="135"/>
      <c r="N5313" s="135"/>
      <c r="O5313" s="135"/>
      <c r="P5313" s="135"/>
      <c r="Q5313" s="135"/>
      <c r="R5313" s="135"/>
      <c r="S5313" s="135"/>
      <c r="T5313" s="135"/>
      <c r="U5313" s="135"/>
      <c r="V5313" s="135"/>
      <c r="W5313" s="135"/>
      <c r="X5313" s="135"/>
      <c r="Y5313" s="135"/>
      <c r="Z5313" s="135"/>
    </row>
    <row r="5314" spans="1:26" ht="25.5">
      <c r="A5314" s="136" t="s">
        <v>16</v>
      </c>
      <c r="B5314" s="136" t="s">
        <v>7971</v>
      </c>
      <c r="C5314" s="136" t="s">
        <v>8053</v>
      </c>
      <c r="D5314" s="136" t="s">
        <v>7985</v>
      </c>
      <c r="E5314" s="136" t="s">
        <v>615</v>
      </c>
      <c r="F5314" s="136">
        <v>37</v>
      </c>
      <c r="G5314" s="137">
        <f t="shared" si="20"/>
        <v>16</v>
      </c>
      <c r="H5314" s="137"/>
      <c r="I5314" s="137"/>
      <c r="J5314" s="135"/>
      <c r="K5314" s="135"/>
      <c r="L5314" s="135"/>
      <c r="M5314" s="135"/>
      <c r="N5314" s="135"/>
      <c r="O5314" s="135"/>
      <c r="P5314" s="135"/>
      <c r="Q5314" s="135"/>
      <c r="R5314" s="135"/>
      <c r="S5314" s="135"/>
      <c r="T5314" s="135"/>
      <c r="U5314" s="135"/>
      <c r="V5314" s="135"/>
      <c r="W5314" s="135"/>
      <c r="X5314" s="135"/>
      <c r="Y5314" s="135"/>
      <c r="Z5314" s="135"/>
    </row>
    <row r="5315" spans="1:26" ht="25.5">
      <c r="A5315" s="136" t="s">
        <v>16</v>
      </c>
      <c r="B5315" s="136" t="s">
        <v>7971</v>
      </c>
      <c r="C5315" s="136" t="s">
        <v>8053</v>
      </c>
      <c r="D5315" s="136" t="s">
        <v>103</v>
      </c>
      <c r="E5315" s="136" t="s">
        <v>594</v>
      </c>
      <c r="F5315" s="136">
        <v>36</v>
      </c>
      <c r="G5315" s="137">
        <f t="shared" si="20"/>
        <v>17</v>
      </c>
      <c r="H5315" s="137"/>
      <c r="I5315" s="137"/>
      <c r="J5315" s="135"/>
      <c r="K5315" s="135"/>
      <c r="L5315" s="135"/>
      <c r="M5315" s="135"/>
      <c r="N5315" s="135"/>
      <c r="O5315" s="135"/>
      <c r="P5315" s="135"/>
      <c r="Q5315" s="135"/>
      <c r="R5315" s="135"/>
      <c r="S5315" s="135"/>
      <c r="T5315" s="135"/>
      <c r="U5315" s="135"/>
      <c r="V5315" s="135"/>
      <c r="W5315" s="135"/>
      <c r="X5315" s="135"/>
      <c r="Y5315" s="135"/>
      <c r="Z5315" s="135"/>
    </row>
    <row r="5316" spans="1:26" ht="25.5">
      <c r="A5316" s="136" t="s">
        <v>16</v>
      </c>
      <c r="B5316" s="136" t="s">
        <v>7971</v>
      </c>
      <c r="C5316" s="136" t="s">
        <v>8053</v>
      </c>
      <c r="D5316" s="136" t="s">
        <v>1674</v>
      </c>
      <c r="E5316" s="136" t="s">
        <v>615</v>
      </c>
      <c r="F5316" s="136">
        <v>33</v>
      </c>
      <c r="G5316" s="137">
        <f t="shared" si="20"/>
        <v>18</v>
      </c>
      <c r="H5316" s="137"/>
      <c r="I5316" s="137"/>
      <c r="J5316" s="135"/>
      <c r="K5316" s="135"/>
      <c r="L5316" s="135"/>
      <c r="M5316" s="135"/>
      <c r="N5316" s="135"/>
      <c r="O5316" s="135"/>
      <c r="P5316" s="135"/>
      <c r="Q5316" s="135"/>
      <c r="R5316" s="135"/>
      <c r="S5316" s="135"/>
      <c r="T5316" s="135"/>
      <c r="U5316" s="135"/>
      <c r="V5316" s="135"/>
      <c r="W5316" s="135"/>
      <c r="X5316" s="135"/>
      <c r="Y5316" s="135"/>
      <c r="Z5316" s="135"/>
    </row>
    <row r="5317" spans="1:26" ht="25.5">
      <c r="A5317" s="136" t="s">
        <v>16</v>
      </c>
      <c r="B5317" s="136" t="s">
        <v>7971</v>
      </c>
      <c r="C5317" s="136" t="s">
        <v>8053</v>
      </c>
      <c r="D5317" s="136" t="s">
        <v>437</v>
      </c>
      <c r="E5317" s="136" t="s">
        <v>594</v>
      </c>
      <c r="F5317" s="136">
        <v>32</v>
      </c>
      <c r="G5317" s="137">
        <f t="shared" si="20"/>
        <v>19</v>
      </c>
      <c r="H5317" s="137"/>
      <c r="I5317" s="137"/>
      <c r="J5317" s="135"/>
      <c r="K5317" s="135"/>
      <c r="L5317" s="135"/>
      <c r="M5317" s="135"/>
      <c r="N5317" s="135"/>
      <c r="O5317" s="135"/>
      <c r="P5317" s="135"/>
      <c r="Q5317" s="135"/>
      <c r="R5317" s="135"/>
      <c r="S5317" s="135"/>
      <c r="T5317" s="135"/>
      <c r="U5317" s="135"/>
      <c r="V5317" s="135"/>
      <c r="W5317" s="135"/>
      <c r="X5317" s="135"/>
      <c r="Y5317" s="135"/>
      <c r="Z5317" s="135"/>
    </row>
    <row r="5318" spans="1:26" ht="25.5">
      <c r="A5318" s="136" t="s">
        <v>16</v>
      </c>
      <c r="B5318" s="136" t="s">
        <v>7971</v>
      </c>
      <c r="C5318" s="136" t="s">
        <v>8053</v>
      </c>
      <c r="D5318" s="136" t="s">
        <v>467</v>
      </c>
      <c r="E5318" s="136" t="s">
        <v>85</v>
      </c>
      <c r="F5318" s="136">
        <v>31</v>
      </c>
      <c r="G5318" s="137">
        <f t="shared" si="20"/>
        <v>20</v>
      </c>
      <c r="H5318" s="137"/>
      <c r="I5318" s="137"/>
      <c r="J5318" s="135"/>
      <c r="K5318" s="135"/>
      <c r="L5318" s="135"/>
      <c r="M5318" s="135"/>
      <c r="N5318" s="135"/>
      <c r="O5318" s="135"/>
      <c r="P5318" s="135"/>
      <c r="Q5318" s="135"/>
      <c r="R5318" s="135"/>
      <c r="S5318" s="135"/>
      <c r="T5318" s="135"/>
      <c r="U5318" s="135"/>
      <c r="V5318" s="135"/>
      <c r="W5318" s="135"/>
      <c r="X5318" s="135"/>
      <c r="Y5318" s="135"/>
      <c r="Z5318" s="135"/>
    </row>
    <row r="5319" spans="1:26" ht="25.5">
      <c r="A5319" s="136" t="s">
        <v>16</v>
      </c>
      <c r="B5319" s="136" t="s">
        <v>7971</v>
      </c>
      <c r="C5319" s="136" t="s">
        <v>8053</v>
      </c>
      <c r="D5319" s="136" t="s">
        <v>1673</v>
      </c>
      <c r="E5319" s="136" t="s">
        <v>615</v>
      </c>
      <c r="F5319" s="136">
        <v>23</v>
      </c>
      <c r="G5319" s="137">
        <f t="shared" si="20"/>
        <v>21</v>
      </c>
      <c r="H5319" s="137"/>
      <c r="I5319" s="137"/>
      <c r="J5319" s="135"/>
      <c r="K5319" s="135"/>
      <c r="L5319" s="135"/>
      <c r="M5319" s="135"/>
      <c r="N5319" s="135"/>
      <c r="O5319" s="135"/>
      <c r="P5319" s="135"/>
      <c r="Q5319" s="135"/>
      <c r="R5319" s="135"/>
      <c r="S5319" s="135"/>
      <c r="T5319" s="135"/>
      <c r="U5319" s="135"/>
      <c r="V5319" s="135"/>
      <c r="W5319" s="135"/>
      <c r="X5319" s="135"/>
      <c r="Y5319" s="135"/>
      <c r="Z5319" s="135"/>
    </row>
    <row r="5320" spans="1:26" ht="25.5">
      <c r="A5320" s="136" t="s">
        <v>16</v>
      </c>
      <c r="B5320" s="136" t="s">
        <v>7971</v>
      </c>
      <c r="C5320" s="136" t="s">
        <v>8053</v>
      </c>
      <c r="D5320" s="136" t="s">
        <v>1666</v>
      </c>
      <c r="E5320" s="136" t="s">
        <v>85</v>
      </c>
      <c r="F5320" s="136">
        <v>23</v>
      </c>
      <c r="G5320" s="137">
        <f t="shared" si="20"/>
        <v>22</v>
      </c>
      <c r="H5320" s="137"/>
      <c r="I5320" s="137"/>
      <c r="J5320" s="135"/>
      <c r="K5320" s="135"/>
      <c r="L5320" s="135"/>
      <c r="M5320" s="135"/>
      <c r="N5320" s="135"/>
      <c r="O5320" s="135"/>
      <c r="P5320" s="135"/>
      <c r="Q5320" s="135"/>
      <c r="R5320" s="135"/>
      <c r="S5320" s="135"/>
      <c r="T5320" s="135"/>
      <c r="U5320" s="135"/>
      <c r="V5320" s="135"/>
      <c r="W5320" s="135"/>
      <c r="X5320" s="135"/>
      <c r="Y5320" s="135"/>
      <c r="Z5320" s="135"/>
    </row>
    <row r="5321" spans="1:26" ht="25.5">
      <c r="A5321" s="136" t="s">
        <v>16</v>
      </c>
      <c r="B5321" s="136" t="s">
        <v>7971</v>
      </c>
      <c r="C5321" s="136" t="s">
        <v>8053</v>
      </c>
      <c r="D5321" s="136" t="s">
        <v>8054</v>
      </c>
      <c r="E5321" s="136" t="s">
        <v>86</v>
      </c>
      <c r="F5321" s="136">
        <v>13</v>
      </c>
      <c r="G5321" s="137">
        <f t="shared" si="20"/>
        <v>23</v>
      </c>
      <c r="H5321" s="137"/>
      <c r="I5321" s="137"/>
      <c r="J5321" s="135"/>
      <c r="K5321" s="135"/>
      <c r="L5321" s="135"/>
      <c r="M5321" s="135"/>
      <c r="N5321" s="135"/>
      <c r="O5321" s="135"/>
      <c r="P5321" s="135"/>
      <c r="Q5321" s="135"/>
      <c r="R5321" s="135"/>
      <c r="S5321" s="135"/>
      <c r="T5321" s="135"/>
      <c r="U5321" s="135"/>
      <c r="V5321" s="135"/>
      <c r="W5321" s="135"/>
      <c r="X5321" s="135"/>
      <c r="Y5321" s="135"/>
      <c r="Z5321" s="135"/>
    </row>
    <row r="5322" spans="1:26" ht="25.5">
      <c r="A5322" s="136" t="s">
        <v>16</v>
      </c>
      <c r="B5322" s="136" t="s">
        <v>7971</v>
      </c>
      <c r="C5322" s="136" t="s">
        <v>8053</v>
      </c>
      <c r="D5322" s="136" t="s">
        <v>98</v>
      </c>
      <c r="E5322" s="136" t="s">
        <v>594</v>
      </c>
      <c r="F5322" s="136">
        <v>10</v>
      </c>
      <c r="G5322" s="137">
        <f t="shared" si="20"/>
        <v>24</v>
      </c>
      <c r="H5322" s="137"/>
      <c r="I5322" s="137"/>
      <c r="J5322" s="135"/>
      <c r="K5322" s="135"/>
      <c r="L5322" s="135"/>
      <c r="M5322" s="135"/>
      <c r="N5322" s="135"/>
      <c r="O5322" s="135"/>
      <c r="P5322" s="135"/>
      <c r="Q5322" s="135"/>
      <c r="R5322" s="135"/>
      <c r="S5322" s="135"/>
      <c r="T5322" s="135"/>
      <c r="U5322" s="135"/>
      <c r="V5322" s="135"/>
      <c r="W5322" s="135"/>
      <c r="X5322" s="135"/>
      <c r="Y5322" s="135"/>
      <c r="Z5322" s="135"/>
    </row>
    <row r="5323" spans="1:26" ht="25.5">
      <c r="A5323" s="136" t="s">
        <v>16</v>
      </c>
      <c r="B5323" s="136" t="s">
        <v>7971</v>
      </c>
      <c r="C5323" s="136" t="s">
        <v>8053</v>
      </c>
      <c r="D5323" s="136" t="s">
        <v>7544</v>
      </c>
      <c r="E5323" s="136" t="s">
        <v>615</v>
      </c>
      <c r="F5323" s="136">
        <v>6</v>
      </c>
      <c r="G5323" s="137">
        <f t="shared" si="20"/>
        <v>25</v>
      </c>
      <c r="H5323" s="137"/>
      <c r="I5323" s="137"/>
      <c r="J5323" s="135"/>
      <c r="K5323" s="135"/>
      <c r="L5323" s="135"/>
      <c r="M5323" s="135"/>
      <c r="N5323" s="135"/>
      <c r="O5323" s="135"/>
      <c r="P5323" s="135"/>
      <c r="Q5323" s="135"/>
      <c r="R5323" s="135"/>
      <c r="S5323" s="135"/>
      <c r="T5323" s="135"/>
      <c r="U5323" s="135"/>
      <c r="V5323" s="135"/>
      <c r="W5323" s="135"/>
      <c r="X5323" s="135"/>
      <c r="Y5323" s="135"/>
      <c r="Z5323" s="135"/>
    </row>
    <row r="5324" spans="1:26" ht="25.5">
      <c r="A5324" s="136" t="s">
        <v>16</v>
      </c>
      <c r="B5324" s="136" t="s">
        <v>7971</v>
      </c>
      <c r="C5324" s="136" t="s">
        <v>8053</v>
      </c>
      <c r="D5324" s="136" t="s">
        <v>120</v>
      </c>
      <c r="E5324" s="136" t="s">
        <v>615</v>
      </c>
      <c r="F5324" s="136">
        <v>5</v>
      </c>
      <c r="G5324" s="137">
        <f t="shared" si="20"/>
        <v>26</v>
      </c>
      <c r="H5324" s="137"/>
      <c r="I5324" s="137"/>
      <c r="J5324" s="135"/>
      <c r="K5324" s="135"/>
      <c r="L5324" s="135"/>
      <c r="M5324" s="135"/>
      <c r="N5324" s="135"/>
      <c r="O5324" s="135"/>
      <c r="P5324" s="135"/>
      <c r="Q5324" s="135"/>
      <c r="R5324" s="135"/>
      <c r="S5324" s="135"/>
      <c r="T5324" s="135"/>
      <c r="U5324" s="135"/>
      <c r="V5324" s="135"/>
      <c r="W5324" s="135"/>
      <c r="X5324" s="135"/>
      <c r="Y5324" s="135"/>
      <c r="Z5324" s="135"/>
    </row>
    <row r="5325" spans="1:26" ht="25.5">
      <c r="A5325" s="136" t="s">
        <v>16</v>
      </c>
      <c r="B5325" s="136" t="s">
        <v>7971</v>
      </c>
      <c r="C5325" s="136" t="s">
        <v>8053</v>
      </c>
      <c r="D5325" s="136" t="s">
        <v>131</v>
      </c>
      <c r="E5325" s="136" t="s">
        <v>594</v>
      </c>
      <c r="F5325" s="136">
        <v>1</v>
      </c>
      <c r="G5325" s="137">
        <f t="shared" si="20"/>
        <v>27</v>
      </c>
      <c r="H5325" s="137"/>
      <c r="I5325" s="137"/>
      <c r="J5325" s="135"/>
      <c r="K5325" s="135"/>
      <c r="L5325" s="135"/>
      <c r="M5325" s="135"/>
      <c r="N5325" s="135"/>
      <c r="O5325" s="135"/>
      <c r="P5325" s="135"/>
      <c r="Q5325" s="135"/>
      <c r="R5325" s="135"/>
      <c r="S5325" s="135"/>
      <c r="T5325" s="135"/>
      <c r="U5325" s="135"/>
      <c r="V5325" s="135"/>
      <c r="W5325" s="135"/>
      <c r="X5325" s="135"/>
      <c r="Y5325" s="135"/>
      <c r="Z5325" s="135"/>
    </row>
    <row r="5326" spans="1:26" ht="25.5">
      <c r="A5326" s="136" t="s">
        <v>16</v>
      </c>
      <c r="B5326" s="136" t="s">
        <v>7971</v>
      </c>
      <c r="C5326" s="136" t="s">
        <v>8055</v>
      </c>
      <c r="D5326" s="136" t="s">
        <v>139</v>
      </c>
      <c r="E5326" s="136" t="s">
        <v>594</v>
      </c>
      <c r="F5326" s="136">
        <v>2830</v>
      </c>
      <c r="G5326" s="137">
        <f t="shared" si="20"/>
        <v>1</v>
      </c>
      <c r="H5326" s="137"/>
      <c r="I5326" s="137"/>
      <c r="J5326" s="135"/>
      <c r="K5326" s="135"/>
      <c r="L5326" s="135"/>
      <c r="M5326" s="135"/>
      <c r="N5326" s="135"/>
      <c r="O5326" s="135"/>
      <c r="P5326" s="135"/>
      <c r="Q5326" s="135"/>
      <c r="R5326" s="135"/>
      <c r="S5326" s="135"/>
      <c r="T5326" s="135"/>
      <c r="U5326" s="135"/>
      <c r="V5326" s="135"/>
      <c r="W5326" s="135"/>
      <c r="X5326" s="135"/>
      <c r="Y5326" s="135"/>
      <c r="Z5326" s="135"/>
    </row>
    <row r="5327" spans="1:26" ht="25.5">
      <c r="A5327" s="136" t="s">
        <v>16</v>
      </c>
      <c r="B5327" s="136" t="s">
        <v>7971</v>
      </c>
      <c r="C5327" s="136" t="s">
        <v>8055</v>
      </c>
      <c r="D5327" s="136" t="s">
        <v>433</v>
      </c>
      <c r="E5327" s="136" t="s">
        <v>594</v>
      </c>
      <c r="F5327" s="136">
        <v>612</v>
      </c>
      <c r="G5327" s="137">
        <f t="shared" si="20"/>
        <v>2</v>
      </c>
      <c r="H5327" s="137"/>
      <c r="I5327" s="137"/>
      <c r="J5327" s="135"/>
      <c r="K5327" s="135"/>
      <c r="L5327" s="135"/>
      <c r="M5327" s="135"/>
      <c r="N5327" s="135"/>
      <c r="O5327" s="135"/>
      <c r="P5327" s="135"/>
      <c r="Q5327" s="135"/>
      <c r="R5327" s="135"/>
      <c r="S5327" s="135"/>
      <c r="T5327" s="135"/>
      <c r="U5327" s="135"/>
      <c r="V5327" s="135"/>
      <c r="W5327" s="135"/>
      <c r="X5327" s="135"/>
      <c r="Y5327" s="135"/>
      <c r="Z5327" s="135"/>
    </row>
    <row r="5328" spans="1:26" ht="25.5">
      <c r="A5328" s="136" t="s">
        <v>16</v>
      </c>
      <c r="B5328" s="136" t="s">
        <v>7971</v>
      </c>
      <c r="C5328" s="136" t="s">
        <v>8055</v>
      </c>
      <c r="D5328" s="136" t="s">
        <v>1626</v>
      </c>
      <c r="E5328" s="136" t="s">
        <v>594</v>
      </c>
      <c r="F5328" s="136">
        <v>420</v>
      </c>
      <c r="G5328" s="137">
        <f t="shared" si="20"/>
        <v>3</v>
      </c>
      <c r="H5328" s="137"/>
      <c r="I5328" s="137"/>
      <c r="J5328" s="135"/>
      <c r="K5328" s="135"/>
      <c r="L5328" s="135"/>
      <c r="M5328" s="135"/>
      <c r="N5328" s="135"/>
      <c r="O5328" s="135"/>
      <c r="P5328" s="135"/>
      <c r="Q5328" s="135"/>
      <c r="R5328" s="135"/>
      <c r="S5328" s="135"/>
      <c r="T5328" s="135"/>
      <c r="U5328" s="135"/>
      <c r="V5328" s="135"/>
      <c r="W5328" s="135"/>
      <c r="X5328" s="135"/>
      <c r="Y5328" s="135"/>
      <c r="Z5328" s="135"/>
    </row>
    <row r="5329" spans="1:26" ht="25.5">
      <c r="A5329" s="136" t="s">
        <v>16</v>
      </c>
      <c r="B5329" s="136" t="s">
        <v>7971</v>
      </c>
      <c r="C5329" s="136" t="s">
        <v>8055</v>
      </c>
      <c r="D5329" s="136" t="s">
        <v>136</v>
      </c>
      <c r="E5329" s="136" t="s">
        <v>615</v>
      </c>
      <c r="F5329" s="136">
        <v>315</v>
      </c>
      <c r="G5329" s="137">
        <f t="shared" si="20"/>
        <v>4</v>
      </c>
      <c r="H5329" s="137"/>
      <c r="I5329" s="137"/>
      <c r="J5329" s="135"/>
      <c r="K5329" s="135"/>
      <c r="L5329" s="135"/>
      <c r="M5329" s="135"/>
      <c r="N5329" s="135"/>
      <c r="O5329" s="135"/>
      <c r="P5329" s="135"/>
      <c r="Q5329" s="135"/>
      <c r="R5329" s="135"/>
      <c r="S5329" s="135"/>
      <c r="T5329" s="135"/>
      <c r="U5329" s="135"/>
      <c r="V5329" s="135"/>
      <c r="W5329" s="135"/>
      <c r="X5329" s="135"/>
      <c r="Y5329" s="135"/>
      <c r="Z5329" s="135"/>
    </row>
    <row r="5330" spans="1:26" ht="25.5">
      <c r="A5330" s="136" t="s">
        <v>16</v>
      </c>
      <c r="B5330" s="136" t="s">
        <v>7971</v>
      </c>
      <c r="C5330" s="136" t="s">
        <v>8055</v>
      </c>
      <c r="D5330" s="136" t="s">
        <v>7481</v>
      </c>
      <c r="E5330" s="136" t="s">
        <v>615</v>
      </c>
      <c r="F5330" s="136">
        <v>201</v>
      </c>
      <c r="G5330" s="137">
        <f t="shared" si="20"/>
        <v>5</v>
      </c>
      <c r="H5330" s="137"/>
      <c r="I5330" s="137"/>
      <c r="J5330" s="135"/>
      <c r="K5330" s="135"/>
      <c r="L5330" s="135"/>
      <c r="M5330" s="135"/>
      <c r="N5330" s="135"/>
      <c r="O5330" s="135"/>
      <c r="P5330" s="135"/>
      <c r="Q5330" s="135"/>
      <c r="R5330" s="135"/>
      <c r="S5330" s="135"/>
      <c r="T5330" s="135"/>
      <c r="U5330" s="135"/>
      <c r="V5330" s="135"/>
      <c r="W5330" s="135"/>
      <c r="X5330" s="135"/>
      <c r="Y5330" s="135"/>
      <c r="Z5330" s="135"/>
    </row>
    <row r="5331" spans="1:26" ht="25.5">
      <c r="A5331" s="136" t="s">
        <v>16</v>
      </c>
      <c r="B5331" s="136" t="s">
        <v>7971</v>
      </c>
      <c r="C5331" s="136" t="s">
        <v>8055</v>
      </c>
      <c r="D5331" s="136" t="s">
        <v>114</v>
      </c>
      <c r="E5331" s="136" t="s">
        <v>85</v>
      </c>
      <c r="F5331" s="136">
        <v>182</v>
      </c>
      <c r="G5331" s="137">
        <f t="shared" si="20"/>
        <v>6</v>
      </c>
      <c r="H5331" s="137"/>
      <c r="I5331" s="137"/>
      <c r="J5331" s="135"/>
      <c r="K5331" s="135"/>
      <c r="L5331" s="135"/>
      <c r="M5331" s="135"/>
      <c r="N5331" s="135"/>
      <c r="O5331" s="135"/>
      <c r="P5331" s="135"/>
      <c r="Q5331" s="135"/>
      <c r="R5331" s="135"/>
      <c r="S5331" s="135"/>
      <c r="T5331" s="135"/>
      <c r="U5331" s="135"/>
      <c r="V5331" s="135"/>
      <c r="W5331" s="135"/>
      <c r="X5331" s="135"/>
      <c r="Y5331" s="135"/>
      <c r="Z5331" s="135"/>
    </row>
    <row r="5332" spans="1:26" ht="25.5">
      <c r="A5332" s="136" t="s">
        <v>16</v>
      </c>
      <c r="B5332" s="136" t="s">
        <v>7971</v>
      </c>
      <c r="C5332" s="136" t="s">
        <v>8055</v>
      </c>
      <c r="D5332" s="136" t="s">
        <v>7993</v>
      </c>
      <c r="E5332" s="136" t="s">
        <v>615</v>
      </c>
      <c r="F5332" s="136">
        <v>150</v>
      </c>
      <c r="G5332" s="137">
        <f t="shared" si="20"/>
        <v>7</v>
      </c>
      <c r="H5332" s="137"/>
      <c r="I5332" s="137"/>
      <c r="J5332" s="135"/>
      <c r="K5332" s="135"/>
      <c r="L5332" s="135"/>
      <c r="M5332" s="135"/>
      <c r="N5332" s="135"/>
      <c r="O5332" s="135"/>
      <c r="P5332" s="135"/>
      <c r="Q5332" s="135"/>
      <c r="R5332" s="135"/>
      <c r="S5332" s="135"/>
      <c r="T5332" s="135"/>
      <c r="U5332" s="135"/>
      <c r="V5332" s="135"/>
      <c r="W5332" s="135"/>
      <c r="X5332" s="135"/>
      <c r="Y5332" s="135"/>
      <c r="Z5332" s="135"/>
    </row>
    <row r="5333" spans="1:26" ht="25.5">
      <c r="A5333" s="136" t="s">
        <v>16</v>
      </c>
      <c r="B5333" s="136" t="s">
        <v>7971</v>
      </c>
      <c r="C5333" s="136" t="s">
        <v>8055</v>
      </c>
      <c r="D5333" s="136" t="s">
        <v>368</v>
      </c>
      <c r="E5333" s="136" t="s">
        <v>594</v>
      </c>
      <c r="F5333" s="136">
        <v>105</v>
      </c>
      <c r="G5333" s="137">
        <f t="shared" si="20"/>
        <v>8</v>
      </c>
      <c r="H5333" s="137"/>
      <c r="I5333" s="137"/>
      <c r="J5333" s="135"/>
      <c r="K5333" s="135"/>
      <c r="L5333" s="135"/>
      <c r="M5333" s="135"/>
      <c r="N5333" s="135"/>
      <c r="O5333" s="135"/>
      <c r="P5333" s="135"/>
      <c r="Q5333" s="135"/>
      <c r="R5333" s="135"/>
      <c r="S5333" s="135"/>
      <c r="T5333" s="135"/>
      <c r="U5333" s="135"/>
      <c r="V5333" s="135"/>
      <c r="W5333" s="135"/>
      <c r="X5333" s="135"/>
      <c r="Y5333" s="135"/>
      <c r="Z5333" s="135"/>
    </row>
    <row r="5334" spans="1:26" ht="25.5">
      <c r="A5334" s="136" t="s">
        <v>16</v>
      </c>
      <c r="B5334" s="136" t="s">
        <v>7971</v>
      </c>
      <c r="C5334" s="136" t="s">
        <v>8055</v>
      </c>
      <c r="D5334" s="136" t="s">
        <v>1680</v>
      </c>
      <c r="E5334" s="136" t="s">
        <v>615</v>
      </c>
      <c r="F5334" s="136">
        <v>70</v>
      </c>
      <c r="G5334" s="137">
        <f t="shared" si="20"/>
        <v>9</v>
      </c>
      <c r="H5334" s="137"/>
      <c r="I5334" s="137"/>
      <c r="J5334" s="135"/>
      <c r="K5334" s="135"/>
      <c r="L5334" s="135"/>
      <c r="M5334" s="135"/>
      <c r="N5334" s="135"/>
      <c r="O5334" s="135"/>
      <c r="P5334" s="135"/>
      <c r="Q5334" s="135"/>
      <c r="R5334" s="135"/>
      <c r="S5334" s="135"/>
      <c r="T5334" s="135"/>
      <c r="U5334" s="135"/>
      <c r="V5334" s="135"/>
      <c r="W5334" s="135"/>
      <c r="X5334" s="135"/>
      <c r="Y5334" s="135"/>
      <c r="Z5334" s="135"/>
    </row>
    <row r="5335" spans="1:26" ht="25.5">
      <c r="A5335" s="136" t="s">
        <v>16</v>
      </c>
      <c r="B5335" s="136" t="s">
        <v>7971</v>
      </c>
      <c r="C5335" s="136" t="s">
        <v>8055</v>
      </c>
      <c r="D5335" s="136" t="s">
        <v>107</v>
      </c>
      <c r="E5335" s="136" t="s">
        <v>615</v>
      </c>
      <c r="F5335" s="136">
        <v>65</v>
      </c>
      <c r="G5335" s="137">
        <f t="shared" si="20"/>
        <v>10</v>
      </c>
      <c r="H5335" s="137"/>
      <c r="I5335" s="137"/>
      <c r="J5335" s="135"/>
      <c r="K5335" s="135"/>
      <c r="L5335" s="135"/>
      <c r="M5335" s="135"/>
      <c r="N5335" s="135"/>
      <c r="O5335" s="135"/>
      <c r="P5335" s="135"/>
      <c r="Q5335" s="135"/>
      <c r="R5335" s="135"/>
      <c r="S5335" s="135"/>
      <c r="T5335" s="135"/>
      <c r="U5335" s="135"/>
      <c r="V5335" s="135"/>
      <c r="W5335" s="135"/>
      <c r="X5335" s="135"/>
      <c r="Y5335" s="135"/>
      <c r="Z5335" s="135"/>
    </row>
    <row r="5336" spans="1:26" ht="25.5">
      <c r="A5336" s="136" t="s">
        <v>16</v>
      </c>
      <c r="B5336" s="136" t="s">
        <v>7971</v>
      </c>
      <c r="C5336" s="136" t="s">
        <v>8055</v>
      </c>
      <c r="D5336" s="136" t="s">
        <v>437</v>
      </c>
      <c r="E5336" s="136" t="s">
        <v>594</v>
      </c>
      <c r="F5336" s="136">
        <v>58</v>
      </c>
      <c r="G5336" s="137">
        <f t="shared" si="20"/>
        <v>11</v>
      </c>
      <c r="H5336" s="137"/>
      <c r="I5336" s="137"/>
      <c r="J5336" s="135"/>
      <c r="K5336" s="135"/>
      <c r="L5336" s="135"/>
      <c r="M5336" s="135"/>
      <c r="N5336" s="135"/>
      <c r="O5336" s="135"/>
      <c r="P5336" s="135"/>
      <c r="Q5336" s="135"/>
      <c r="R5336" s="135"/>
      <c r="S5336" s="135"/>
      <c r="T5336" s="135"/>
      <c r="U5336" s="135"/>
      <c r="V5336" s="135"/>
      <c r="W5336" s="135"/>
      <c r="X5336" s="135"/>
      <c r="Y5336" s="135"/>
      <c r="Z5336" s="135"/>
    </row>
    <row r="5337" spans="1:26" ht="25.5">
      <c r="A5337" s="136" t="s">
        <v>16</v>
      </c>
      <c r="B5337" s="136" t="s">
        <v>7971</v>
      </c>
      <c r="C5337" s="136" t="s">
        <v>8055</v>
      </c>
      <c r="D5337" s="136" t="s">
        <v>1665</v>
      </c>
      <c r="E5337" s="136" t="s">
        <v>615</v>
      </c>
      <c r="F5337" s="136">
        <v>55</v>
      </c>
      <c r="G5337" s="137">
        <f t="shared" si="20"/>
        <v>12</v>
      </c>
      <c r="H5337" s="137"/>
      <c r="I5337" s="137"/>
      <c r="J5337" s="135"/>
      <c r="K5337" s="135"/>
      <c r="L5337" s="135"/>
      <c r="M5337" s="135"/>
      <c r="N5337" s="135"/>
      <c r="O5337" s="135"/>
      <c r="P5337" s="135"/>
      <c r="Q5337" s="135"/>
      <c r="R5337" s="135"/>
      <c r="S5337" s="135"/>
      <c r="T5337" s="135"/>
      <c r="U5337" s="135"/>
      <c r="V5337" s="135"/>
      <c r="W5337" s="135"/>
      <c r="X5337" s="135"/>
      <c r="Y5337" s="135"/>
      <c r="Z5337" s="135"/>
    </row>
    <row r="5338" spans="1:26" ht="25.5">
      <c r="A5338" s="136" t="s">
        <v>16</v>
      </c>
      <c r="B5338" s="136" t="s">
        <v>7971</v>
      </c>
      <c r="C5338" s="136" t="s">
        <v>8055</v>
      </c>
      <c r="D5338" s="136" t="s">
        <v>7544</v>
      </c>
      <c r="E5338" s="136" t="s">
        <v>615</v>
      </c>
      <c r="F5338" s="136">
        <v>45</v>
      </c>
      <c r="G5338" s="137">
        <f t="shared" si="20"/>
        <v>13</v>
      </c>
      <c r="H5338" s="137"/>
      <c r="I5338" s="137"/>
      <c r="J5338" s="135"/>
      <c r="K5338" s="135"/>
      <c r="L5338" s="135"/>
      <c r="M5338" s="135"/>
      <c r="N5338" s="135"/>
      <c r="O5338" s="135"/>
      <c r="P5338" s="135"/>
      <c r="Q5338" s="135"/>
      <c r="R5338" s="135"/>
      <c r="S5338" s="135"/>
      <c r="T5338" s="135"/>
      <c r="U5338" s="135"/>
      <c r="V5338" s="135"/>
      <c r="W5338" s="135"/>
      <c r="X5338" s="135"/>
      <c r="Y5338" s="135"/>
      <c r="Z5338" s="135"/>
    </row>
    <row r="5339" spans="1:26" ht="25.5">
      <c r="A5339" s="136" t="s">
        <v>16</v>
      </c>
      <c r="B5339" s="136" t="s">
        <v>7971</v>
      </c>
      <c r="C5339" s="136" t="s">
        <v>8055</v>
      </c>
      <c r="D5339" s="136" t="s">
        <v>1656</v>
      </c>
      <c r="E5339" s="136" t="s">
        <v>594</v>
      </c>
      <c r="F5339" s="136">
        <v>41</v>
      </c>
      <c r="G5339" s="137">
        <f t="shared" si="20"/>
        <v>14</v>
      </c>
      <c r="H5339" s="137"/>
      <c r="I5339" s="137"/>
      <c r="J5339" s="135"/>
      <c r="K5339" s="135"/>
      <c r="L5339" s="135"/>
      <c r="M5339" s="135"/>
      <c r="N5339" s="135"/>
      <c r="O5339" s="135"/>
      <c r="P5339" s="135"/>
      <c r="Q5339" s="135"/>
      <c r="R5339" s="135"/>
      <c r="S5339" s="135"/>
      <c r="T5339" s="135"/>
      <c r="U5339" s="135"/>
      <c r="V5339" s="135"/>
      <c r="W5339" s="135"/>
      <c r="X5339" s="135"/>
      <c r="Y5339" s="135"/>
      <c r="Z5339" s="135"/>
    </row>
    <row r="5340" spans="1:26" ht="25.5">
      <c r="A5340" s="136" t="s">
        <v>16</v>
      </c>
      <c r="B5340" s="136" t="s">
        <v>7971</v>
      </c>
      <c r="C5340" s="136" t="s">
        <v>8055</v>
      </c>
      <c r="D5340" s="136" t="s">
        <v>467</v>
      </c>
      <c r="E5340" s="136" t="s">
        <v>85</v>
      </c>
      <c r="F5340" s="136">
        <v>41</v>
      </c>
      <c r="G5340" s="137">
        <f t="shared" si="20"/>
        <v>15</v>
      </c>
      <c r="H5340" s="137"/>
      <c r="I5340" s="137"/>
      <c r="J5340" s="135"/>
      <c r="K5340" s="135"/>
      <c r="L5340" s="135"/>
      <c r="M5340" s="135"/>
      <c r="N5340" s="135"/>
      <c r="O5340" s="135"/>
      <c r="P5340" s="135"/>
      <c r="Q5340" s="135"/>
      <c r="R5340" s="135"/>
      <c r="S5340" s="135"/>
      <c r="T5340" s="135"/>
      <c r="U5340" s="135"/>
      <c r="V5340" s="135"/>
      <c r="W5340" s="135"/>
      <c r="X5340" s="135"/>
      <c r="Y5340" s="135"/>
      <c r="Z5340" s="135"/>
    </row>
    <row r="5341" spans="1:26" ht="25.5">
      <c r="A5341" s="136" t="s">
        <v>16</v>
      </c>
      <c r="B5341" s="136" t="s">
        <v>7971</v>
      </c>
      <c r="C5341" s="136" t="s">
        <v>8055</v>
      </c>
      <c r="D5341" s="136" t="s">
        <v>1666</v>
      </c>
      <c r="E5341" s="136" t="s">
        <v>85</v>
      </c>
      <c r="F5341" s="136">
        <v>40</v>
      </c>
      <c r="G5341" s="137">
        <f t="shared" si="20"/>
        <v>16</v>
      </c>
      <c r="H5341" s="137"/>
      <c r="I5341" s="137"/>
      <c r="J5341" s="135"/>
      <c r="K5341" s="135"/>
      <c r="L5341" s="135"/>
      <c r="M5341" s="135"/>
      <c r="N5341" s="135"/>
      <c r="O5341" s="135"/>
      <c r="P5341" s="135"/>
      <c r="Q5341" s="135"/>
      <c r="R5341" s="135"/>
      <c r="S5341" s="135"/>
      <c r="T5341" s="135"/>
      <c r="U5341" s="135"/>
      <c r="V5341" s="135"/>
      <c r="W5341" s="135"/>
      <c r="X5341" s="135"/>
      <c r="Y5341" s="135"/>
      <c r="Z5341" s="135"/>
    </row>
    <row r="5342" spans="1:26" ht="25.5">
      <c r="A5342" s="136" t="s">
        <v>16</v>
      </c>
      <c r="B5342" s="136" t="s">
        <v>7971</v>
      </c>
      <c r="C5342" s="136" t="s">
        <v>8055</v>
      </c>
      <c r="D5342" s="136" t="s">
        <v>7985</v>
      </c>
      <c r="E5342" s="136" t="s">
        <v>615</v>
      </c>
      <c r="F5342" s="136">
        <v>30</v>
      </c>
      <c r="G5342" s="137">
        <f t="shared" si="20"/>
        <v>17</v>
      </c>
      <c r="H5342" s="137"/>
      <c r="I5342" s="137"/>
      <c r="J5342" s="135"/>
      <c r="K5342" s="135"/>
      <c r="L5342" s="135"/>
      <c r="M5342" s="135"/>
      <c r="N5342" s="135"/>
      <c r="O5342" s="135"/>
      <c r="P5342" s="135"/>
      <c r="Q5342" s="135"/>
      <c r="R5342" s="135"/>
      <c r="S5342" s="135"/>
      <c r="T5342" s="135"/>
      <c r="U5342" s="135"/>
      <c r="V5342" s="135"/>
      <c r="W5342" s="135"/>
      <c r="X5342" s="135"/>
      <c r="Y5342" s="135"/>
      <c r="Z5342" s="135"/>
    </row>
    <row r="5343" spans="1:26" ht="25.5">
      <c r="A5343" s="136" t="s">
        <v>16</v>
      </c>
      <c r="B5343" s="136" t="s">
        <v>7971</v>
      </c>
      <c r="C5343" s="136" t="s">
        <v>8055</v>
      </c>
      <c r="D5343" s="136" t="s">
        <v>103</v>
      </c>
      <c r="E5343" s="136" t="s">
        <v>594</v>
      </c>
      <c r="F5343" s="136">
        <v>22</v>
      </c>
      <c r="G5343" s="137">
        <f t="shared" si="20"/>
        <v>18</v>
      </c>
      <c r="H5343" s="137"/>
      <c r="I5343" s="137"/>
      <c r="J5343" s="135"/>
      <c r="K5343" s="135"/>
      <c r="L5343" s="135"/>
      <c r="M5343" s="135"/>
      <c r="N5343" s="135"/>
      <c r="O5343" s="135"/>
      <c r="P5343" s="135"/>
      <c r="Q5343" s="135"/>
      <c r="R5343" s="135"/>
      <c r="S5343" s="135"/>
      <c r="T5343" s="135"/>
      <c r="U5343" s="135"/>
      <c r="V5343" s="135"/>
      <c r="W5343" s="135"/>
      <c r="X5343" s="135"/>
      <c r="Y5343" s="135"/>
      <c r="Z5343" s="135"/>
    </row>
    <row r="5344" spans="1:26" ht="25.5">
      <c r="A5344" s="136" t="s">
        <v>16</v>
      </c>
      <c r="B5344" s="136" t="s">
        <v>7971</v>
      </c>
      <c r="C5344" s="136" t="s">
        <v>8055</v>
      </c>
      <c r="D5344" s="136" t="s">
        <v>8054</v>
      </c>
      <c r="E5344" s="136" t="s">
        <v>86</v>
      </c>
      <c r="F5344" s="136">
        <v>8</v>
      </c>
      <c r="G5344" s="137">
        <f t="shared" si="20"/>
        <v>19</v>
      </c>
      <c r="H5344" s="137"/>
      <c r="I5344" s="137"/>
      <c r="J5344" s="135"/>
      <c r="K5344" s="135"/>
      <c r="L5344" s="135"/>
      <c r="M5344" s="135"/>
      <c r="N5344" s="135"/>
      <c r="O5344" s="135"/>
      <c r="P5344" s="135"/>
      <c r="Q5344" s="135"/>
      <c r="R5344" s="135"/>
      <c r="S5344" s="135"/>
      <c r="T5344" s="135"/>
      <c r="U5344" s="135"/>
      <c r="V5344" s="135"/>
      <c r="W5344" s="135"/>
      <c r="X5344" s="135"/>
      <c r="Y5344" s="135"/>
      <c r="Z5344" s="135"/>
    </row>
    <row r="5345" spans="1:26" ht="25.5">
      <c r="A5345" s="136" t="s">
        <v>16</v>
      </c>
      <c r="B5345" s="136" t="s">
        <v>7971</v>
      </c>
      <c r="C5345" s="136" t="s">
        <v>8055</v>
      </c>
      <c r="D5345" s="136" t="s">
        <v>131</v>
      </c>
      <c r="E5345" s="136" t="s">
        <v>594</v>
      </c>
      <c r="F5345" s="136">
        <v>6</v>
      </c>
      <c r="G5345" s="137">
        <f t="shared" si="20"/>
        <v>20</v>
      </c>
      <c r="H5345" s="137"/>
      <c r="I5345" s="137"/>
      <c r="J5345" s="135"/>
      <c r="K5345" s="135"/>
      <c r="L5345" s="135"/>
      <c r="M5345" s="135"/>
      <c r="N5345" s="135"/>
      <c r="O5345" s="135"/>
      <c r="P5345" s="135"/>
      <c r="Q5345" s="135"/>
      <c r="R5345" s="135"/>
      <c r="S5345" s="135"/>
      <c r="T5345" s="135"/>
      <c r="U5345" s="135"/>
      <c r="V5345" s="135"/>
      <c r="W5345" s="135"/>
      <c r="X5345" s="135"/>
      <c r="Y5345" s="135"/>
      <c r="Z5345" s="135"/>
    </row>
    <row r="5346" spans="1:26" ht="25.5">
      <c r="A5346" s="136" t="s">
        <v>16</v>
      </c>
      <c r="B5346" s="136" t="s">
        <v>7971</v>
      </c>
      <c r="C5346" s="136" t="s">
        <v>8055</v>
      </c>
      <c r="D5346" s="136" t="s">
        <v>98</v>
      </c>
      <c r="E5346" s="136" t="s">
        <v>594</v>
      </c>
      <c r="F5346" s="136">
        <v>4</v>
      </c>
      <c r="G5346" s="137">
        <f t="shared" si="20"/>
        <v>21</v>
      </c>
      <c r="H5346" s="137"/>
      <c r="I5346" s="137"/>
      <c r="J5346" s="135"/>
      <c r="K5346" s="135"/>
      <c r="L5346" s="135"/>
      <c r="M5346" s="135"/>
      <c r="N5346" s="135"/>
      <c r="O5346" s="135"/>
      <c r="P5346" s="135"/>
      <c r="Q5346" s="135"/>
      <c r="R5346" s="135"/>
      <c r="S5346" s="135"/>
      <c r="T5346" s="135"/>
      <c r="U5346" s="135"/>
      <c r="V5346" s="135"/>
      <c r="W5346" s="135"/>
      <c r="X5346" s="135"/>
      <c r="Y5346" s="135"/>
      <c r="Z5346" s="135"/>
    </row>
    <row r="5347" spans="1:26" ht="25.5">
      <c r="A5347" s="136" t="s">
        <v>16</v>
      </c>
      <c r="B5347" s="136" t="s">
        <v>7971</v>
      </c>
      <c r="C5347" s="136" t="s">
        <v>8056</v>
      </c>
      <c r="D5347" s="136" t="s">
        <v>139</v>
      </c>
      <c r="E5347" s="136" t="s">
        <v>594</v>
      </c>
      <c r="F5347" s="136">
        <v>2055</v>
      </c>
      <c r="G5347" s="137">
        <f t="shared" si="20"/>
        <v>1</v>
      </c>
      <c r="H5347" s="137"/>
      <c r="I5347" s="137"/>
      <c r="J5347" s="135"/>
      <c r="K5347" s="135"/>
      <c r="L5347" s="135"/>
      <c r="M5347" s="135"/>
      <c r="N5347" s="135"/>
      <c r="O5347" s="135"/>
      <c r="P5347" s="135"/>
      <c r="Q5347" s="135"/>
      <c r="R5347" s="135"/>
      <c r="S5347" s="135"/>
      <c r="T5347" s="135"/>
      <c r="U5347" s="135"/>
      <c r="V5347" s="135"/>
      <c r="W5347" s="135"/>
      <c r="X5347" s="135"/>
      <c r="Y5347" s="135"/>
      <c r="Z5347" s="135"/>
    </row>
    <row r="5348" spans="1:26" ht="25.5">
      <c r="A5348" s="136" t="s">
        <v>16</v>
      </c>
      <c r="B5348" s="136" t="s">
        <v>7971</v>
      </c>
      <c r="C5348" s="136" t="s">
        <v>8056</v>
      </c>
      <c r="D5348" s="136" t="s">
        <v>114</v>
      </c>
      <c r="E5348" s="136" t="s">
        <v>85</v>
      </c>
      <c r="F5348" s="136">
        <v>317</v>
      </c>
      <c r="G5348" s="137">
        <f t="shared" si="20"/>
        <v>2</v>
      </c>
      <c r="H5348" s="137"/>
      <c r="I5348" s="137"/>
      <c r="J5348" s="135"/>
      <c r="K5348" s="135"/>
      <c r="L5348" s="135"/>
      <c r="M5348" s="135"/>
      <c r="N5348" s="135"/>
      <c r="O5348" s="135"/>
      <c r="P5348" s="135"/>
      <c r="Q5348" s="135"/>
      <c r="R5348" s="135"/>
      <c r="S5348" s="135"/>
      <c r="T5348" s="135"/>
      <c r="U5348" s="135"/>
      <c r="V5348" s="135"/>
      <c r="W5348" s="135"/>
      <c r="X5348" s="135"/>
      <c r="Y5348" s="135"/>
      <c r="Z5348" s="135"/>
    </row>
    <row r="5349" spans="1:26" ht="25.5">
      <c r="A5349" s="136" t="s">
        <v>16</v>
      </c>
      <c r="B5349" s="136" t="s">
        <v>7971</v>
      </c>
      <c r="C5349" s="136" t="s">
        <v>8056</v>
      </c>
      <c r="D5349" s="136" t="s">
        <v>131</v>
      </c>
      <c r="E5349" s="136" t="s">
        <v>594</v>
      </c>
      <c r="F5349" s="136">
        <v>290</v>
      </c>
      <c r="G5349" s="137">
        <f t="shared" si="20"/>
        <v>3</v>
      </c>
      <c r="H5349" s="137"/>
      <c r="I5349" s="137"/>
      <c r="J5349" s="135"/>
      <c r="K5349" s="135"/>
      <c r="L5349" s="135"/>
      <c r="M5349" s="135"/>
      <c r="N5349" s="135"/>
      <c r="O5349" s="135"/>
      <c r="P5349" s="135"/>
      <c r="Q5349" s="135"/>
      <c r="R5349" s="135"/>
      <c r="S5349" s="135"/>
      <c r="T5349" s="135"/>
      <c r="U5349" s="135"/>
      <c r="V5349" s="135"/>
      <c r="W5349" s="135"/>
      <c r="X5349" s="135"/>
      <c r="Y5349" s="135"/>
      <c r="Z5349" s="135"/>
    </row>
    <row r="5350" spans="1:26" ht="25.5">
      <c r="A5350" s="136" t="s">
        <v>16</v>
      </c>
      <c r="B5350" s="136" t="s">
        <v>7971</v>
      </c>
      <c r="C5350" s="136" t="s">
        <v>8056</v>
      </c>
      <c r="D5350" s="136" t="s">
        <v>7993</v>
      </c>
      <c r="E5350" s="136" t="s">
        <v>615</v>
      </c>
      <c r="F5350" s="136">
        <v>223</v>
      </c>
      <c r="G5350" s="137">
        <f t="shared" si="20"/>
        <v>4</v>
      </c>
      <c r="H5350" s="137"/>
      <c r="I5350" s="137"/>
      <c r="J5350" s="135"/>
      <c r="K5350" s="135"/>
      <c r="L5350" s="135"/>
      <c r="M5350" s="135"/>
      <c r="N5350" s="135"/>
      <c r="O5350" s="135"/>
      <c r="P5350" s="135"/>
      <c r="Q5350" s="135"/>
      <c r="R5350" s="135"/>
      <c r="S5350" s="135"/>
      <c r="T5350" s="135"/>
      <c r="U5350" s="135"/>
      <c r="V5350" s="135"/>
      <c r="W5350" s="135"/>
      <c r="X5350" s="135"/>
      <c r="Y5350" s="135"/>
      <c r="Z5350" s="135"/>
    </row>
    <row r="5351" spans="1:26" ht="25.5">
      <c r="A5351" s="136" t="s">
        <v>16</v>
      </c>
      <c r="B5351" s="136" t="s">
        <v>7971</v>
      </c>
      <c r="C5351" s="136" t="s">
        <v>8056</v>
      </c>
      <c r="D5351" s="136" t="s">
        <v>103</v>
      </c>
      <c r="E5351" s="136" t="s">
        <v>594</v>
      </c>
      <c r="F5351" s="136">
        <v>210</v>
      </c>
      <c r="G5351" s="137">
        <f t="shared" si="20"/>
        <v>5</v>
      </c>
      <c r="H5351" s="137"/>
      <c r="I5351" s="137"/>
      <c r="J5351" s="135"/>
      <c r="K5351" s="135"/>
      <c r="L5351" s="135"/>
      <c r="M5351" s="135"/>
      <c r="N5351" s="135"/>
      <c r="O5351" s="135"/>
      <c r="P5351" s="135"/>
      <c r="Q5351" s="135"/>
      <c r="R5351" s="135"/>
      <c r="S5351" s="135"/>
      <c r="T5351" s="135"/>
      <c r="U5351" s="135"/>
      <c r="V5351" s="135"/>
      <c r="W5351" s="135"/>
      <c r="X5351" s="135"/>
      <c r="Y5351" s="135"/>
      <c r="Z5351" s="135"/>
    </row>
    <row r="5352" spans="1:26" ht="25.5">
      <c r="A5352" s="136" t="s">
        <v>16</v>
      </c>
      <c r="B5352" s="136" t="s">
        <v>7971</v>
      </c>
      <c r="C5352" s="136" t="s">
        <v>8056</v>
      </c>
      <c r="D5352" s="136" t="s">
        <v>1626</v>
      </c>
      <c r="E5352" s="136" t="s">
        <v>594</v>
      </c>
      <c r="F5352" s="136">
        <v>196</v>
      </c>
      <c r="G5352" s="137">
        <f t="shared" si="20"/>
        <v>6</v>
      </c>
      <c r="H5352" s="137"/>
      <c r="I5352" s="137"/>
      <c r="J5352" s="135"/>
      <c r="K5352" s="135"/>
      <c r="L5352" s="135"/>
      <c r="M5352" s="135"/>
      <c r="N5352" s="135"/>
      <c r="O5352" s="135"/>
      <c r="P5352" s="135"/>
      <c r="Q5352" s="135"/>
      <c r="R5352" s="135"/>
      <c r="S5352" s="135"/>
      <c r="T5352" s="135"/>
      <c r="U5352" s="135"/>
      <c r="V5352" s="135"/>
      <c r="W5352" s="135"/>
      <c r="X5352" s="135"/>
      <c r="Y5352" s="135"/>
      <c r="Z5352" s="135"/>
    </row>
    <row r="5353" spans="1:26" ht="25.5">
      <c r="A5353" s="136" t="s">
        <v>16</v>
      </c>
      <c r="B5353" s="136" t="s">
        <v>7971</v>
      </c>
      <c r="C5353" s="136" t="s">
        <v>8056</v>
      </c>
      <c r="D5353" s="136" t="s">
        <v>467</v>
      </c>
      <c r="E5353" s="136" t="s">
        <v>85</v>
      </c>
      <c r="F5353" s="136">
        <v>114</v>
      </c>
      <c r="G5353" s="137">
        <f t="shared" si="20"/>
        <v>7</v>
      </c>
      <c r="H5353" s="137"/>
      <c r="I5353" s="137"/>
      <c r="J5353" s="135"/>
      <c r="K5353" s="135"/>
      <c r="L5353" s="135"/>
      <c r="M5353" s="135"/>
      <c r="N5353" s="135"/>
      <c r="O5353" s="135"/>
      <c r="P5353" s="135"/>
      <c r="Q5353" s="135"/>
      <c r="R5353" s="135"/>
      <c r="S5353" s="135"/>
      <c r="T5353" s="135"/>
      <c r="U5353" s="135"/>
      <c r="V5353" s="135"/>
      <c r="W5353" s="135"/>
      <c r="X5353" s="135"/>
      <c r="Y5353" s="135"/>
      <c r="Z5353" s="135"/>
    </row>
    <row r="5354" spans="1:26" ht="25.5">
      <c r="A5354" s="136" t="s">
        <v>16</v>
      </c>
      <c r="B5354" s="136" t="s">
        <v>7971</v>
      </c>
      <c r="C5354" s="136" t="s">
        <v>8056</v>
      </c>
      <c r="D5354" s="136" t="s">
        <v>107</v>
      </c>
      <c r="E5354" s="136" t="s">
        <v>615</v>
      </c>
      <c r="F5354" s="136">
        <v>110</v>
      </c>
      <c r="G5354" s="137">
        <f t="shared" si="20"/>
        <v>8</v>
      </c>
      <c r="H5354" s="137"/>
      <c r="I5354" s="137"/>
      <c r="J5354" s="135"/>
      <c r="K5354" s="135"/>
      <c r="L5354" s="135"/>
      <c r="M5354" s="135"/>
      <c r="N5354" s="135"/>
      <c r="O5354" s="135"/>
      <c r="P5354" s="135"/>
      <c r="Q5354" s="135"/>
      <c r="R5354" s="135"/>
      <c r="S5354" s="135"/>
      <c r="T5354" s="135"/>
      <c r="U5354" s="135"/>
      <c r="V5354" s="135"/>
      <c r="W5354" s="135"/>
      <c r="X5354" s="135"/>
      <c r="Y5354" s="135"/>
      <c r="Z5354" s="135"/>
    </row>
    <row r="5355" spans="1:26" ht="25.5">
      <c r="A5355" s="136" t="s">
        <v>16</v>
      </c>
      <c r="B5355" s="136" t="s">
        <v>7971</v>
      </c>
      <c r="C5355" s="136" t="s">
        <v>8056</v>
      </c>
      <c r="D5355" s="136" t="s">
        <v>136</v>
      </c>
      <c r="E5355" s="136" t="s">
        <v>615</v>
      </c>
      <c r="F5355" s="136">
        <v>105</v>
      </c>
      <c r="G5355" s="137">
        <f t="shared" si="20"/>
        <v>9</v>
      </c>
      <c r="H5355" s="137"/>
      <c r="I5355" s="137"/>
      <c r="J5355" s="135"/>
      <c r="K5355" s="135"/>
      <c r="L5355" s="135"/>
      <c r="M5355" s="135"/>
      <c r="N5355" s="135"/>
      <c r="O5355" s="135"/>
      <c r="P5355" s="135"/>
      <c r="Q5355" s="135"/>
      <c r="R5355" s="135"/>
      <c r="S5355" s="135"/>
      <c r="T5355" s="135"/>
      <c r="U5355" s="135"/>
      <c r="V5355" s="135"/>
      <c r="W5355" s="135"/>
      <c r="X5355" s="135"/>
      <c r="Y5355" s="135"/>
      <c r="Z5355" s="135"/>
    </row>
    <row r="5356" spans="1:26" ht="25.5">
      <c r="A5356" s="136" t="s">
        <v>16</v>
      </c>
      <c r="B5356" s="136" t="s">
        <v>7971</v>
      </c>
      <c r="C5356" s="136" t="s">
        <v>8056</v>
      </c>
      <c r="D5356" s="136" t="s">
        <v>8057</v>
      </c>
      <c r="E5356" s="136" t="s">
        <v>594</v>
      </c>
      <c r="F5356" s="136">
        <v>100</v>
      </c>
      <c r="G5356" s="137">
        <f t="shared" si="20"/>
        <v>10</v>
      </c>
      <c r="H5356" s="137"/>
      <c r="I5356" s="137"/>
      <c r="J5356" s="135"/>
      <c r="K5356" s="135"/>
      <c r="L5356" s="135"/>
      <c r="M5356" s="135"/>
      <c r="N5356" s="135"/>
      <c r="O5356" s="135"/>
      <c r="P5356" s="135"/>
      <c r="Q5356" s="135"/>
      <c r="R5356" s="135"/>
      <c r="S5356" s="135"/>
      <c r="T5356" s="135"/>
      <c r="U5356" s="135"/>
      <c r="V5356" s="135"/>
      <c r="W5356" s="135"/>
      <c r="X5356" s="135"/>
      <c r="Y5356" s="135"/>
      <c r="Z5356" s="135"/>
    </row>
    <row r="5357" spans="1:26" ht="25.5">
      <c r="A5357" s="136" t="s">
        <v>16</v>
      </c>
      <c r="B5357" s="136" t="s">
        <v>7971</v>
      </c>
      <c r="C5357" s="136" t="s">
        <v>8056</v>
      </c>
      <c r="D5357" s="136" t="s">
        <v>7481</v>
      </c>
      <c r="E5357" s="136" t="s">
        <v>615</v>
      </c>
      <c r="F5357" s="136">
        <v>100</v>
      </c>
      <c r="G5357" s="137">
        <f t="shared" ref="G5357:G5370" si="21">COUNTIFS($C:$C,C5357,$F:$F,"&gt;"&amp;F5357)
 + COUNTIFS($C$2:C5357,C5357,$F$2:F5357,F5357)</f>
        <v>11</v>
      </c>
      <c r="H5357" s="137"/>
      <c r="I5357" s="137"/>
      <c r="J5357" s="135"/>
      <c r="K5357" s="135"/>
      <c r="L5357" s="135"/>
      <c r="M5357" s="135"/>
      <c r="N5357" s="135"/>
      <c r="O5357" s="135"/>
      <c r="P5357" s="135"/>
      <c r="Q5357" s="135"/>
      <c r="R5357" s="135"/>
      <c r="S5357" s="135"/>
      <c r="T5357" s="135"/>
      <c r="U5357" s="135"/>
      <c r="V5357" s="135"/>
      <c r="W5357" s="135"/>
      <c r="X5357" s="135"/>
      <c r="Y5357" s="135"/>
      <c r="Z5357" s="135"/>
    </row>
    <row r="5358" spans="1:26" ht="25.5">
      <c r="A5358" s="136" t="s">
        <v>16</v>
      </c>
      <c r="B5358" s="136" t="s">
        <v>7971</v>
      </c>
      <c r="C5358" s="136" t="s">
        <v>8056</v>
      </c>
      <c r="D5358" s="136" t="s">
        <v>7985</v>
      </c>
      <c r="E5358" s="136" t="s">
        <v>615</v>
      </c>
      <c r="F5358" s="136">
        <v>82</v>
      </c>
      <c r="G5358" s="137">
        <f t="shared" si="21"/>
        <v>12</v>
      </c>
      <c r="H5358" s="137"/>
      <c r="I5358" s="137"/>
      <c r="J5358" s="135"/>
      <c r="K5358" s="135"/>
      <c r="L5358" s="135"/>
      <c r="M5358" s="135"/>
      <c r="N5358" s="135"/>
      <c r="O5358" s="135"/>
      <c r="P5358" s="135"/>
      <c r="Q5358" s="135"/>
      <c r="R5358" s="135"/>
      <c r="S5358" s="135"/>
      <c r="T5358" s="135"/>
      <c r="U5358" s="135"/>
      <c r="V5358" s="135"/>
      <c r="W5358" s="135"/>
      <c r="X5358" s="135"/>
      <c r="Y5358" s="135"/>
      <c r="Z5358" s="135"/>
    </row>
    <row r="5359" spans="1:26" ht="25.5">
      <c r="A5359" s="136" t="s">
        <v>16</v>
      </c>
      <c r="B5359" s="136" t="s">
        <v>7971</v>
      </c>
      <c r="C5359" s="136" t="s">
        <v>8056</v>
      </c>
      <c r="D5359" s="136" t="s">
        <v>7685</v>
      </c>
      <c r="E5359" s="136" t="s">
        <v>594</v>
      </c>
      <c r="F5359" s="136">
        <v>65</v>
      </c>
      <c r="G5359" s="137">
        <f t="shared" si="21"/>
        <v>13</v>
      </c>
      <c r="H5359" s="137"/>
      <c r="I5359" s="137"/>
      <c r="J5359" s="135"/>
      <c r="K5359" s="135"/>
      <c r="L5359" s="135"/>
      <c r="M5359" s="135"/>
      <c r="N5359" s="135"/>
      <c r="O5359" s="135"/>
      <c r="P5359" s="135"/>
      <c r="Q5359" s="135"/>
      <c r="R5359" s="135"/>
      <c r="S5359" s="135"/>
      <c r="T5359" s="135"/>
      <c r="U5359" s="135"/>
      <c r="V5359" s="135"/>
      <c r="W5359" s="135"/>
      <c r="X5359" s="135"/>
      <c r="Y5359" s="135"/>
      <c r="Z5359" s="135"/>
    </row>
    <row r="5360" spans="1:26" ht="25.5">
      <c r="A5360" s="136" t="s">
        <v>16</v>
      </c>
      <c r="B5360" s="136" t="s">
        <v>7971</v>
      </c>
      <c r="C5360" s="136" t="s">
        <v>8056</v>
      </c>
      <c r="D5360" s="136" t="s">
        <v>8058</v>
      </c>
      <c r="E5360" s="136" t="s">
        <v>615</v>
      </c>
      <c r="F5360" s="136">
        <v>61</v>
      </c>
      <c r="G5360" s="137">
        <f t="shared" si="21"/>
        <v>14</v>
      </c>
      <c r="H5360" s="137"/>
      <c r="I5360" s="137"/>
      <c r="J5360" s="135"/>
      <c r="K5360" s="135"/>
      <c r="L5360" s="135"/>
      <c r="M5360" s="135"/>
      <c r="N5360" s="135"/>
      <c r="O5360" s="135"/>
      <c r="P5360" s="135"/>
      <c r="Q5360" s="135"/>
      <c r="R5360" s="135"/>
      <c r="S5360" s="135"/>
      <c r="T5360" s="135"/>
      <c r="U5360" s="135"/>
      <c r="V5360" s="135"/>
      <c r="W5360" s="135"/>
      <c r="X5360" s="135"/>
      <c r="Y5360" s="135"/>
      <c r="Z5360" s="135"/>
    </row>
    <row r="5361" spans="1:26" ht="25.5">
      <c r="A5361" s="136" t="s">
        <v>16</v>
      </c>
      <c r="B5361" s="136" t="s">
        <v>7971</v>
      </c>
      <c r="C5361" s="136" t="s">
        <v>8056</v>
      </c>
      <c r="D5361" s="136" t="s">
        <v>437</v>
      </c>
      <c r="E5361" s="136" t="s">
        <v>594</v>
      </c>
      <c r="F5361" s="136">
        <v>52</v>
      </c>
      <c r="G5361" s="137">
        <f t="shared" si="21"/>
        <v>15</v>
      </c>
      <c r="H5361" s="137"/>
      <c r="I5361" s="137"/>
      <c r="J5361" s="135"/>
      <c r="K5361" s="135"/>
      <c r="L5361" s="135"/>
      <c r="M5361" s="135"/>
      <c r="N5361" s="135"/>
      <c r="O5361" s="135"/>
      <c r="P5361" s="135"/>
      <c r="Q5361" s="135"/>
      <c r="R5361" s="135"/>
      <c r="S5361" s="135"/>
      <c r="T5361" s="135"/>
      <c r="U5361" s="135"/>
      <c r="V5361" s="135"/>
      <c r="W5361" s="135"/>
      <c r="X5361" s="135"/>
      <c r="Y5361" s="135"/>
      <c r="Z5361" s="135"/>
    </row>
    <row r="5362" spans="1:26" ht="25.5">
      <c r="A5362" s="136" t="s">
        <v>16</v>
      </c>
      <c r="B5362" s="136" t="s">
        <v>7971</v>
      </c>
      <c r="C5362" s="136" t="s">
        <v>8056</v>
      </c>
      <c r="D5362" s="136" t="s">
        <v>165</v>
      </c>
      <c r="E5362" s="136" t="s">
        <v>615</v>
      </c>
      <c r="F5362" s="136">
        <v>46</v>
      </c>
      <c r="G5362" s="137">
        <f t="shared" si="21"/>
        <v>16</v>
      </c>
      <c r="H5362" s="137"/>
      <c r="I5362" s="137"/>
      <c r="J5362" s="135"/>
      <c r="K5362" s="135"/>
      <c r="L5362" s="135"/>
      <c r="M5362" s="135"/>
      <c r="N5362" s="135"/>
      <c r="O5362" s="135"/>
      <c r="P5362" s="135"/>
      <c r="Q5362" s="135"/>
      <c r="R5362" s="135"/>
      <c r="S5362" s="135"/>
      <c r="T5362" s="135"/>
      <c r="U5362" s="135"/>
      <c r="V5362" s="135"/>
      <c r="W5362" s="135"/>
      <c r="X5362" s="135"/>
      <c r="Y5362" s="135"/>
      <c r="Z5362" s="135"/>
    </row>
    <row r="5363" spans="1:26" ht="25.5">
      <c r="A5363" s="136" t="s">
        <v>16</v>
      </c>
      <c r="B5363" s="136" t="s">
        <v>7971</v>
      </c>
      <c r="C5363" s="136" t="s">
        <v>8056</v>
      </c>
      <c r="D5363" s="136" t="s">
        <v>1639</v>
      </c>
      <c r="E5363" s="136" t="s">
        <v>615</v>
      </c>
      <c r="F5363" s="136">
        <v>40</v>
      </c>
      <c r="G5363" s="137">
        <f t="shared" si="21"/>
        <v>17</v>
      </c>
      <c r="H5363" s="137"/>
      <c r="I5363" s="137"/>
      <c r="J5363" s="135"/>
      <c r="K5363" s="135"/>
      <c r="L5363" s="135"/>
      <c r="M5363" s="135"/>
      <c r="N5363" s="135"/>
      <c r="O5363" s="135"/>
      <c r="P5363" s="135"/>
      <c r="Q5363" s="135"/>
      <c r="R5363" s="135"/>
      <c r="S5363" s="135"/>
      <c r="T5363" s="135"/>
      <c r="U5363" s="135"/>
      <c r="V5363" s="135"/>
      <c r="W5363" s="135"/>
      <c r="X5363" s="135"/>
      <c r="Y5363" s="135"/>
      <c r="Z5363" s="135"/>
    </row>
    <row r="5364" spans="1:26" ht="25.5">
      <c r="A5364" s="136" t="s">
        <v>16</v>
      </c>
      <c r="B5364" s="136" t="s">
        <v>7971</v>
      </c>
      <c r="C5364" s="136" t="s">
        <v>8056</v>
      </c>
      <c r="D5364" s="136" t="s">
        <v>368</v>
      </c>
      <c r="E5364" s="136" t="s">
        <v>594</v>
      </c>
      <c r="F5364" s="136">
        <v>33</v>
      </c>
      <c r="G5364" s="137">
        <f t="shared" si="21"/>
        <v>18</v>
      </c>
      <c r="H5364" s="137"/>
      <c r="I5364" s="137"/>
      <c r="J5364" s="135"/>
      <c r="K5364" s="135"/>
      <c r="L5364" s="135"/>
      <c r="M5364" s="135"/>
      <c r="N5364" s="135"/>
      <c r="O5364" s="135"/>
      <c r="P5364" s="135"/>
      <c r="Q5364" s="135"/>
      <c r="R5364" s="135"/>
      <c r="S5364" s="135"/>
      <c r="T5364" s="135"/>
      <c r="U5364" s="135"/>
      <c r="V5364" s="135"/>
      <c r="W5364" s="135"/>
      <c r="X5364" s="135"/>
      <c r="Y5364" s="135"/>
      <c r="Z5364" s="135"/>
    </row>
    <row r="5365" spans="1:26" ht="25.5">
      <c r="A5365" s="136" t="s">
        <v>16</v>
      </c>
      <c r="B5365" s="136" t="s">
        <v>7971</v>
      </c>
      <c r="C5365" s="136" t="s">
        <v>8056</v>
      </c>
      <c r="D5365" s="136" t="s">
        <v>7544</v>
      </c>
      <c r="E5365" s="136" t="s">
        <v>615</v>
      </c>
      <c r="F5365" s="136">
        <v>33</v>
      </c>
      <c r="G5365" s="137">
        <f t="shared" si="21"/>
        <v>19</v>
      </c>
      <c r="H5365" s="137"/>
      <c r="I5365" s="137"/>
      <c r="J5365" s="135"/>
      <c r="K5365" s="135"/>
      <c r="L5365" s="135"/>
      <c r="M5365" s="135"/>
      <c r="N5365" s="135"/>
      <c r="O5365" s="135"/>
      <c r="P5365" s="135"/>
      <c r="Q5365" s="135"/>
      <c r="R5365" s="135"/>
      <c r="S5365" s="135"/>
      <c r="T5365" s="135"/>
      <c r="U5365" s="135"/>
      <c r="V5365" s="135"/>
      <c r="W5365" s="135"/>
      <c r="X5365" s="135"/>
      <c r="Y5365" s="135"/>
      <c r="Z5365" s="135"/>
    </row>
    <row r="5366" spans="1:26" ht="25.5">
      <c r="A5366" s="136" t="s">
        <v>16</v>
      </c>
      <c r="B5366" s="136" t="s">
        <v>7971</v>
      </c>
      <c r="C5366" s="136" t="s">
        <v>8056</v>
      </c>
      <c r="D5366" s="136" t="s">
        <v>154</v>
      </c>
      <c r="E5366" s="136" t="s">
        <v>615</v>
      </c>
      <c r="F5366" s="136">
        <v>15</v>
      </c>
      <c r="G5366" s="137">
        <f t="shared" si="21"/>
        <v>20</v>
      </c>
      <c r="H5366" s="137"/>
      <c r="I5366" s="137"/>
      <c r="J5366" s="135"/>
      <c r="K5366" s="135"/>
      <c r="L5366" s="135"/>
      <c r="M5366" s="135"/>
      <c r="N5366" s="135"/>
      <c r="O5366" s="135"/>
      <c r="P5366" s="135"/>
      <c r="Q5366" s="135"/>
      <c r="R5366" s="135"/>
      <c r="S5366" s="135"/>
      <c r="T5366" s="135"/>
      <c r="U5366" s="135"/>
      <c r="V5366" s="135"/>
      <c r="W5366" s="135"/>
      <c r="X5366" s="135"/>
      <c r="Y5366" s="135"/>
      <c r="Z5366" s="135"/>
    </row>
    <row r="5367" spans="1:26" ht="25.5">
      <c r="A5367" s="136" t="s">
        <v>16</v>
      </c>
      <c r="B5367" s="136" t="s">
        <v>7971</v>
      </c>
      <c r="C5367" s="136" t="s">
        <v>8056</v>
      </c>
      <c r="D5367" s="136" t="s">
        <v>1665</v>
      </c>
      <c r="E5367" s="136" t="s">
        <v>615</v>
      </c>
      <c r="F5367" s="136">
        <v>10</v>
      </c>
      <c r="G5367" s="137">
        <f t="shared" si="21"/>
        <v>21</v>
      </c>
      <c r="H5367" s="137"/>
      <c r="I5367" s="137"/>
      <c r="J5367" s="135"/>
      <c r="K5367" s="135"/>
      <c r="L5367" s="135"/>
      <c r="M5367" s="135"/>
      <c r="N5367" s="135"/>
      <c r="O5367" s="135"/>
      <c r="P5367" s="135"/>
      <c r="Q5367" s="135"/>
      <c r="R5367" s="135"/>
      <c r="S5367" s="135"/>
      <c r="T5367" s="135"/>
      <c r="U5367" s="135"/>
      <c r="V5367" s="135"/>
      <c r="W5367" s="135"/>
      <c r="X5367" s="135"/>
      <c r="Y5367" s="135"/>
      <c r="Z5367" s="135"/>
    </row>
    <row r="5368" spans="1:26" ht="25.5">
      <c r="A5368" s="136" t="s">
        <v>16</v>
      </c>
      <c r="B5368" s="136" t="s">
        <v>7971</v>
      </c>
      <c r="C5368" s="136" t="s">
        <v>8056</v>
      </c>
      <c r="D5368" s="136" t="s">
        <v>7786</v>
      </c>
      <c r="E5368" s="136" t="s">
        <v>615</v>
      </c>
      <c r="F5368" s="136">
        <v>10</v>
      </c>
      <c r="G5368" s="137">
        <f t="shared" si="21"/>
        <v>22</v>
      </c>
      <c r="H5368" s="137"/>
      <c r="I5368" s="137"/>
      <c r="J5368" s="135"/>
      <c r="K5368" s="135"/>
      <c r="L5368" s="135"/>
      <c r="M5368" s="135"/>
      <c r="N5368" s="135"/>
      <c r="O5368" s="135"/>
      <c r="P5368" s="135"/>
      <c r="Q5368" s="135"/>
      <c r="R5368" s="135"/>
      <c r="S5368" s="135"/>
      <c r="T5368" s="135"/>
      <c r="U5368" s="135"/>
      <c r="V5368" s="135"/>
      <c r="W5368" s="135"/>
      <c r="X5368" s="135"/>
      <c r="Y5368" s="135"/>
      <c r="Z5368" s="135"/>
    </row>
    <row r="5369" spans="1:26" ht="25.5">
      <c r="A5369" s="136" t="s">
        <v>16</v>
      </c>
      <c r="B5369" s="136" t="s">
        <v>7971</v>
      </c>
      <c r="C5369" s="136" t="s">
        <v>8056</v>
      </c>
      <c r="D5369" s="136" t="s">
        <v>1682</v>
      </c>
      <c r="E5369" s="136" t="s">
        <v>86</v>
      </c>
      <c r="F5369" s="136">
        <v>6</v>
      </c>
      <c r="G5369" s="137">
        <f t="shared" si="21"/>
        <v>23</v>
      </c>
      <c r="H5369" s="137"/>
      <c r="I5369" s="137"/>
      <c r="J5369" s="135"/>
      <c r="K5369" s="135"/>
      <c r="L5369" s="135"/>
      <c r="M5369" s="135"/>
      <c r="N5369" s="135"/>
      <c r="O5369" s="135"/>
      <c r="P5369" s="135"/>
      <c r="Q5369" s="135"/>
      <c r="R5369" s="135"/>
      <c r="S5369" s="135"/>
      <c r="T5369" s="135"/>
      <c r="U5369" s="135"/>
      <c r="V5369" s="135"/>
      <c r="W5369" s="135"/>
      <c r="X5369" s="135"/>
      <c r="Y5369" s="135"/>
      <c r="Z5369" s="135"/>
    </row>
    <row r="5370" spans="1:26" ht="25.5">
      <c r="A5370" s="136" t="s">
        <v>16</v>
      </c>
      <c r="B5370" s="136" t="s">
        <v>7971</v>
      </c>
      <c r="C5370" s="136" t="s">
        <v>8056</v>
      </c>
      <c r="D5370" s="136" t="s">
        <v>1680</v>
      </c>
      <c r="E5370" s="136" t="s">
        <v>615</v>
      </c>
      <c r="F5370" s="136">
        <v>3</v>
      </c>
      <c r="G5370" s="137">
        <f t="shared" si="21"/>
        <v>24</v>
      </c>
      <c r="H5370" s="137"/>
      <c r="I5370" s="137"/>
      <c r="J5370" s="135"/>
      <c r="K5370" s="135"/>
      <c r="L5370" s="135"/>
      <c r="M5370" s="135"/>
      <c r="N5370" s="135"/>
      <c r="O5370" s="135"/>
      <c r="P5370" s="135"/>
      <c r="Q5370" s="135"/>
      <c r="R5370" s="135"/>
      <c r="S5370" s="135"/>
      <c r="T5370" s="135"/>
      <c r="U5370" s="135"/>
      <c r="V5370" s="135"/>
      <c r="W5370" s="135"/>
      <c r="X5370" s="135"/>
      <c r="Y5370" s="135"/>
      <c r="Z5370" s="135"/>
    </row>
  </sheetData>
  <autoFilter ref="A1:Z5370"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I1889"/>
  <sheetViews>
    <sheetView workbookViewId="0">
      <pane ySplit="1" topLeftCell="A2" activePane="bottomLeft" state="frozen"/>
      <selection pane="bottomLeft" activeCell="B3" sqref="B3"/>
    </sheetView>
  </sheetViews>
  <sheetFormatPr defaultColWidth="12.59765625" defaultRowHeight="15.75" customHeight="1"/>
  <sheetData>
    <row r="1" spans="1:35">
      <c r="A1" s="138" t="s">
        <v>8059</v>
      </c>
      <c r="B1" s="138" t="s">
        <v>8060</v>
      </c>
      <c r="C1" s="138" t="s">
        <v>8061</v>
      </c>
      <c r="D1" s="138" t="s">
        <v>8062</v>
      </c>
      <c r="E1" s="138" t="s">
        <v>8063</v>
      </c>
      <c r="F1" s="138" t="s">
        <v>8064</v>
      </c>
      <c r="G1" s="138" t="s">
        <v>8065</v>
      </c>
      <c r="H1" s="138" t="s">
        <v>8066</v>
      </c>
      <c r="I1" s="138" t="s">
        <v>31</v>
      </c>
      <c r="J1" s="138" t="s">
        <v>8067</v>
      </c>
      <c r="K1" s="138" t="s">
        <v>8068</v>
      </c>
      <c r="L1" s="138" t="s">
        <v>6</v>
      </c>
      <c r="M1" s="138" t="s">
        <v>35</v>
      </c>
      <c r="N1" s="138" t="s">
        <v>8069</v>
      </c>
      <c r="O1" s="138" t="s">
        <v>8070</v>
      </c>
      <c r="P1" s="138" t="s">
        <v>8071</v>
      </c>
      <c r="Q1" s="138" t="s">
        <v>8072</v>
      </c>
      <c r="R1" s="138" t="s">
        <v>8073</v>
      </c>
      <c r="S1" s="138" t="s">
        <v>38</v>
      </c>
      <c r="T1" s="138" t="s">
        <v>8074</v>
      </c>
      <c r="U1" s="138" t="s">
        <v>8075</v>
      </c>
      <c r="W1" s="138" t="s">
        <v>4</v>
      </c>
      <c r="X1" s="138" t="s">
        <v>5</v>
      </c>
      <c r="Y1" s="138" t="s">
        <v>6</v>
      </c>
      <c r="Z1" s="138" t="s">
        <v>35</v>
      </c>
      <c r="AA1" s="138" t="s">
        <v>36</v>
      </c>
      <c r="AB1" s="138" t="s">
        <v>37</v>
      </c>
      <c r="AC1" s="138" t="s">
        <v>8076</v>
      </c>
      <c r="AD1" s="138" t="s">
        <v>1605</v>
      </c>
      <c r="AE1" s="138" t="s">
        <v>8071</v>
      </c>
      <c r="AF1" s="138" t="s">
        <v>8072</v>
      </c>
      <c r="AG1" s="138" t="s">
        <v>8073</v>
      </c>
      <c r="AH1" s="138" t="s">
        <v>38</v>
      </c>
      <c r="AI1" s="138" t="s">
        <v>8074</v>
      </c>
    </row>
    <row r="2" spans="1:35">
      <c r="A2" s="138">
        <v>52</v>
      </c>
      <c r="B2" s="138" t="s">
        <v>8077</v>
      </c>
      <c r="C2" s="138" t="s">
        <v>4367</v>
      </c>
      <c r="D2" s="138" t="s">
        <v>19</v>
      </c>
      <c r="E2" s="138" t="s">
        <v>147</v>
      </c>
      <c r="F2" s="138" t="s">
        <v>8078</v>
      </c>
      <c r="H2" s="138">
        <v>1</v>
      </c>
      <c r="I2" s="138">
        <v>579</v>
      </c>
      <c r="J2" s="138">
        <v>360</v>
      </c>
      <c r="K2" s="138">
        <v>168</v>
      </c>
      <c r="N2" s="138">
        <v>2</v>
      </c>
      <c r="O2" s="138">
        <v>2</v>
      </c>
      <c r="S2" s="138">
        <v>41</v>
      </c>
      <c r="T2" s="138">
        <v>6</v>
      </c>
      <c r="U2" s="138">
        <f t="shared" ref="U2:U256" si="0">SUM(O2:T2)</f>
        <v>49</v>
      </c>
      <c r="W2" s="139">
        <f t="shared" ref="W2:AA2" si="1">J2/$I2</f>
        <v>0.62176165803108807</v>
      </c>
      <c r="X2" s="139">
        <f t="shared" si="1"/>
        <v>0.29015544041450775</v>
      </c>
      <c r="Y2" s="139">
        <f t="shared" si="1"/>
        <v>0</v>
      </c>
      <c r="Z2" s="139">
        <f t="shared" si="1"/>
        <v>0</v>
      </c>
      <c r="AA2" s="139">
        <f t="shared" si="1"/>
        <v>3.4542314335060447E-3</v>
      </c>
      <c r="AB2" s="139"/>
      <c r="AC2" s="139">
        <f t="shared" ref="AC2:AC256" si="2">U2/$I2</f>
        <v>8.46286701208981E-2</v>
      </c>
      <c r="AD2" s="139">
        <f t="shared" ref="AD2:AI2" si="3">O2/$I2</f>
        <v>3.4542314335060447E-3</v>
      </c>
      <c r="AE2" s="139">
        <f t="shared" si="3"/>
        <v>0</v>
      </c>
      <c r="AF2" s="139">
        <f t="shared" si="3"/>
        <v>0</v>
      </c>
      <c r="AG2" s="139">
        <f t="shared" si="3"/>
        <v>0</v>
      </c>
      <c r="AH2" s="139">
        <f t="shared" si="3"/>
        <v>7.0811744386873918E-2</v>
      </c>
      <c r="AI2" s="139">
        <f t="shared" si="3"/>
        <v>1.0362694300518135E-2</v>
      </c>
    </row>
    <row r="3" spans="1:35">
      <c r="A3" s="138">
        <v>52</v>
      </c>
      <c r="B3" s="138" t="s">
        <v>8077</v>
      </c>
      <c r="C3" s="138" t="s">
        <v>4367</v>
      </c>
      <c r="D3" s="138" t="s">
        <v>19</v>
      </c>
      <c r="E3" s="138" t="s">
        <v>147</v>
      </c>
      <c r="F3" s="138" t="s">
        <v>8078</v>
      </c>
      <c r="H3" s="138">
        <v>2</v>
      </c>
      <c r="I3" s="138">
        <v>627</v>
      </c>
      <c r="J3" s="138">
        <v>391</v>
      </c>
      <c r="K3" s="138">
        <v>206</v>
      </c>
      <c r="N3" s="138">
        <v>6</v>
      </c>
      <c r="O3" s="138">
        <v>0</v>
      </c>
      <c r="S3" s="138">
        <v>20</v>
      </c>
      <c r="T3" s="138">
        <v>4</v>
      </c>
      <c r="U3" s="138">
        <f t="shared" si="0"/>
        <v>24</v>
      </c>
      <c r="W3" s="139">
        <f t="shared" ref="W3:AA3" si="4">J3/$I3</f>
        <v>0.62360446570972883</v>
      </c>
      <c r="X3" s="139">
        <f t="shared" si="4"/>
        <v>0.32854864433811803</v>
      </c>
      <c r="Y3" s="139">
        <f t="shared" si="4"/>
        <v>0</v>
      </c>
      <c r="Z3" s="139">
        <f t="shared" si="4"/>
        <v>0</v>
      </c>
      <c r="AA3" s="139">
        <f t="shared" si="4"/>
        <v>9.5693779904306216E-3</v>
      </c>
      <c r="AB3" s="139"/>
      <c r="AC3" s="139">
        <f t="shared" si="2"/>
        <v>3.8277511961722487E-2</v>
      </c>
      <c r="AD3" s="139">
        <f t="shared" ref="AD3:AI3" si="5">O3/$I3</f>
        <v>0</v>
      </c>
      <c r="AE3" s="139">
        <f t="shared" si="5"/>
        <v>0</v>
      </c>
      <c r="AF3" s="139">
        <f t="shared" si="5"/>
        <v>0</v>
      </c>
      <c r="AG3" s="139">
        <f t="shared" si="5"/>
        <v>0</v>
      </c>
      <c r="AH3" s="139">
        <f t="shared" si="5"/>
        <v>3.1897926634768738E-2</v>
      </c>
      <c r="AI3" s="139">
        <f t="shared" si="5"/>
        <v>6.379585326953748E-3</v>
      </c>
    </row>
    <row r="4" spans="1:35">
      <c r="A4" s="138">
        <v>52</v>
      </c>
      <c r="B4" s="138" t="s">
        <v>8077</v>
      </c>
      <c r="C4" s="138" t="s">
        <v>4367</v>
      </c>
      <c r="D4" s="138" t="s">
        <v>19</v>
      </c>
      <c r="E4" s="138" t="s">
        <v>147</v>
      </c>
      <c r="F4" s="138" t="s">
        <v>8078</v>
      </c>
      <c r="H4" s="138">
        <v>3</v>
      </c>
      <c r="I4" s="138">
        <v>910</v>
      </c>
      <c r="J4" s="138">
        <v>519</v>
      </c>
      <c r="K4" s="138">
        <v>343</v>
      </c>
      <c r="N4" s="138">
        <v>6</v>
      </c>
      <c r="O4" s="138">
        <v>0</v>
      </c>
      <c r="S4" s="138">
        <v>32</v>
      </c>
      <c r="T4" s="138">
        <v>10</v>
      </c>
      <c r="U4" s="138">
        <f t="shared" si="0"/>
        <v>42</v>
      </c>
      <c r="W4" s="139">
        <f t="shared" ref="W4:AA4" si="6">J4/$I4</f>
        <v>0.5703296703296703</v>
      </c>
      <c r="X4" s="139">
        <f t="shared" si="6"/>
        <v>0.37692307692307692</v>
      </c>
      <c r="Y4" s="139">
        <f t="shared" si="6"/>
        <v>0</v>
      </c>
      <c r="Z4" s="139">
        <f t="shared" si="6"/>
        <v>0</v>
      </c>
      <c r="AA4" s="139">
        <f t="shared" si="6"/>
        <v>6.5934065934065934E-3</v>
      </c>
      <c r="AB4" s="139"/>
      <c r="AC4" s="139">
        <f t="shared" si="2"/>
        <v>4.6153846153846156E-2</v>
      </c>
      <c r="AD4" s="139">
        <f t="shared" ref="AD4:AI4" si="7">O4/$I4</f>
        <v>0</v>
      </c>
      <c r="AE4" s="139">
        <f t="shared" si="7"/>
        <v>0</v>
      </c>
      <c r="AF4" s="139">
        <f t="shared" si="7"/>
        <v>0</v>
      </c>
      <c r="AG4" s="139">
        <f t="shared" si="7"/>
        <v>0</v>
      </c>
      <c r="AH4" s="139">
        <f t="shared" si="7"/>
        <v>3.5164835164835165E-2</v>
      </c>
      <c r="AI4" s="139">
        <f t="shared" si="7"/>
        <v>1.098901098901099E-2</v>
      </c>
    </row>
    <row r="5" spans="1:35">
      <c r="A5" s="138">
        <v>52</v>
      </c>
      <c r="B5" s="138" t="s">
        <v>8077</v>
      </c>
      <c r="C5" s="138" t="s">
        <v>4367</v>
      </c>
      <c r="D5" s="138" t="s">
        <v>19</v>
      </c>
      <c r="E5" s="138" t="s">
        <v>147</v>
      </c>
      <c r="F5" s="138" t="s">
        <v>8078</v>
      </c>
      <c r="H5" s="138">
        <v>4</v>
      </c>
      <c r="I5" s="138">
        <v>891</v>
      </c>
      <c r="J5" s="138">
        <v>476</v>
      </c>
      <c r="K5" s="138">
        <v>347</v>
      </c>
      <c r="N5" s="138">
        <v>9</v>
      </c>
      <c r="O5" s="138">
        <v>2</v>
      </c>
      <c r="S5" s="138">
        <v>43</v>
      </c>
      <c r="T5" s="138">
        <v>14</v>
      </c>
      <c r="U5" s="138">
        <f t="shared" si="0"/>
        <v>59</v>
      </c>
      <c r="W5" s="139">
        <f t="shared" ref="W5:AA5" si="8">J5/$I5</f>
        <v>0.53423120089786758</v>
      </c>
      <c r="X5" s="139">
        <f t="shared" si="8"/>
        <v>0.38945005611672279</v>
      </c>
      <c r="Y5" s="139">
        <f t="shared" si="8"/>
        <v>0</v>
      </c>
      <c r="Z5" s="139">
        <f t="shared" si="8"/>
        <v>0</v>
      </c>
      <c r="AA5" s="139">
        <f t="shared" si="8"/>
        <v>1.0101010101010102E-2</v>
      </c>
      <c r="AB5" s="139"/>
      <c r="AC5" s="139">
        <f t="shared" si="2"/>
        <v>6.6217732884399555E-2</v>
      </c>
      <c r="AD5" s="139">
        <f t="shared" ref="AD5:AI5" si="9">O5/$I5</f>
        <v>2.2446689113355782E-3</v>
      </c>
      <c r="AE5" s="139">
        <f t="shared" si="9"/>
        <v>0</v>
      </c>
      <c r="AF5" s="139">
        <f t="shared" si="9"/>
        <v>0</v>
      </c>
      <c r="AG5" s="139">
        <f t="shared" si="9"/>
        <v>0</v>
      </c>
      <c r="AH5" s="139">
        <f t="shared" si="9"/>
        <v>4.8260381593714929E-2</v>
      </c>
      <c r="AI5" s="139">
        <f t="shared" si="9"/>
        <v>1.5712682379349047E-2</v>
      </c>
    </row>
    <row r="6" spans="1:35">
      <c r="A6" s="138">
        <v>52</v>
      </c>
      <c r="B6" s="138" t="s">
        <v>8077</v>
      </c>
      <c r="C6" s="138" t="s">
        <v>4367</v>
      </c>
      <c r="D6" s="138" t="s">
        <v>19</v>
      </c>
      <c r="E6" s="138" t="s">
        <v>147</v>
      </c>
      <c r="F6" s="138" t="s">
        <v>8078</v>
      </c>
      <c r="H6" s="138">
        <v>5</v>
      </c>
      <c r="I6" s="138">
        <v>1040</v>
      </c>
      <c r="J6" s="138">
        <v>597</v>
      </c>
      <c r="K6" s="138">
        <v>395</v>
      </c>
      <c r="N6" s="138">
        <v>5</v>
      </c>
      <c r="O6" s="138">
        <v>5</v>
      </c>
      <c r="S6" s="138">
        <v>27</v>
      </c>
      <c r="T6" s="138">
        <v>11</v>
      </c>
      <c r="U6" s="138">
        <f t="shared" si="0"/>
        <v>43</v>
      </c>
      <c r="W6" s="139">
        <f t="shared" ref="W6:AA6" si="10">J6/$I6</f>
        <v>0.5740384615384615</v>
      </c>
      <c r="X6" s="139">
        <f t="shared" si="10"/>
        <v>0.37980769230769229</v>
      </c>
      <c r="Y6" s="139">
        <f t="shared" si="10"/>
        <v>0</v>
      </c>
      <c r="Z6" s="139">
        <f t="shared" si="10"/>
        <v>0</v>
      </c>
      <c r="AA6" s="139">
        <f t="shared" si="10"/>
        <v>4.807692307692308E-3</v>
      </c>
      <c r="AB6" s="139"/>
      <c r="AC6" s="139">
        <f t="shared" si="2"/>
        <v>4.1346153846153845E-2</v>
      </c>
      <c r="AD6" s="139">
        <f t="shared" ref="AD6:AI6" si="11">O6/$I6</f>
        <v>4.807692307692308E-3</v>
      </c>
      <c r="AE6" s="139">
        <f t="shared" si="11"/>
        <v>0</v>
      </c>
      <c r="AF6" s="139">
        <f t="shared" si="11"/>
        <v>0</v>
      </c>
      <c r="AG6" s="139">
        <f t="shared" si="11"/>
        <v>0</v>
      </c>
      <c r="AH6" s="139">
        <f t="shared" si="11"/>
        <v>2.5961538461538463E-2</v>
      </c>
      <c r="AI6" s="139">
        <f t="shared" si="11"/>
        <v>1.0576923076923078E-2</v>
      </c>
    </row>
    <row r="7" spans="1:35">
      <c r="A7" s="138">
        <v>52</v>
      </c>
      <c r="B7" s="138" t="s">
        <v>8077</v>
      </c>
      <c r="C7" s="138" t="s">
        <v>4367</v>
      </c>
      <c r="D7" s="138" t="s">
        <v>19</v>
      </c>
      <c r="E7" s="138" t="s">
        <v>147</v>
      </c>
      <c r="F7" s="138" t="s">
        <v>1313</v>
      </c>
      <c r="H7" s="138">
        <v>6</v>
      </c>
      <c r="I7" s="138">
        <v>921</v>
      </c>
      <c r="J7" s="138">
        <v>640</v>
      </c>
      <c r="K7" s="138">
        <v>190</v>
      </c>
      <c r="N7" s="138">
        <v>3</v>
      </c>
      <c r="O7" s="138">
        <v>1</v>
      </c>
      <c r="S7" s="138">
        <v>81</v>
      </c>
      <c r="T7" s="138">
        <v>6</v>
      </c>
      <c r="U7" s="138">
        <f t="shared" si="0"/>
        <v>88</v>
      </c>
      <c r="W7" s="139">
        <f t="shared" ref="W7:AA7" si="12">J7/$I7</f>
        <v>0.69489685124864276</v>
      </c>
      <c r="X7" s="139">
        <f t="shared" si="12"/>
        <v>0.20629750271444083</v>
      </c>
      <c r="Y7" s="139">
        <f t="shared" si="12"/>
        <v>0</v>
      </c>
      <c r="Z7" s="139">
        <f t="shared" si="12"/>
        <v>0</v>
      </c>
      <c r="AA7" s="139">
        <f t="shared" si="12"/>
        <v>3.2573289902280132E-3</v>
      </c>
      <c r="AB7" s="139"/>
      <c r="AC7" s="139">
        <f t="shared" si="2"/>
        <v>9.5548317046688383E-2</v>
      </c>
      <c r="AD7" s="139">
        <f t="shared" ref="AD7:AI7" si="13">O7/$I7</f>
        <v>1.0857763300760044E-3</v>
      </c>
      <c r="AE7" s="139">
        <f t="shared" si="13"/>
        <v>0</v>
      </c>
      <c r="AF7" s="139">
        <f t="shared" si="13"/>
        <v>0</v>
      </c>
      <c r="AG7" s="139">
        <f t="shared" si="13"/>
        <v>0</v>
      </c>
      <c r="AH7" s="139">
        <f t="shared" si="13"/>
        <v>8.7947882736156349E-2</v>
      </c>
      <c r="AI7" s="139">
        <f t="shared" si="13"/>
        <v>6.5146579804560263E-3</v>
      </c>
    </row>
    <row r="8" spans="1:35">
      <c r="A8" s="138">
        <v>52</v>
      </c>
      <c r="B8" s="138" t="s">
        <v>8077</v>
      </c>
      <c r="C8" s="138" t="s">
        <v>4367</v>
      </c>
      <c r="D8" s="138" t="s">
        <v>19</v>
      </c>
      <c r="E8" s="138" t="s">
        <v>147</v>
      </c>
      <c r="F8" s="138" t="s">
        <v>1313</v>
      </c>
      <c r="H8" s="138">
        <v>7</v>
      </c>
      <c r="I8" s="138">
        <v>745</v>
      </c>
      <c r="J8" s="138">
        <v>518</v>
      </c>
      <c r="K8" s="138">
        <v>161</v>
      </c>
      <c r="N8" s="138">
        <v>7</v>
      </c>
      <c r="O8" s="138">
        <v>2</v>
      </c>
      <c r="S8" s="138">
        <v>53</v>
      </c>
      <c r="T8" s="138">
        <v>4</v>
      </c>
      <c r="U8" s="138">
        <f t="shared" si="0"/>
        <v>59</v>
      </c>
      <c r="W8" s="139">
        <f t="shared" ref="W8:AA8" si="14">J8/$I8</f>
        <v>0.69530201342281883</v>
      </c>
      <c r="X8" s="139">
        <f t="shared" si="14"/>
        <v>0.21610738255033557</v>
      </c>
      <c r="Y8" s="139">
        <f t="shared" si="14"/>
        <v>0</v>
      </c>
      <c r="Z8" s="139">
        <f t="shared" si="14"/>
        <v>0</v>
      </c>
      <c r="AA8" s="139">
        <f t="shared" si="14"/>
        <v>9.3959731543624154E-3</v>
      </c>
      <c r="AB8" s="139"/>
      <c r="AC8" s="139">
        <f t="shared" si="2"/>
        <v>7.9194630872483227E-2</v>
      </c>
      <c r="AD8" s="139">
        <f t="shared" ref="AD8:AI8" si="15">O8/$I8</f>
        <v>2.6845637583892616E-3</v>
      </c>
      <c r="AE8" s="139">
        <f t="shared" si="15"/>
        <v>0</v>
      </c>
      <c r="AF8" s="139">
        <f t="shared" si="15"/>
        <v>0</v>
      </c>
      <c r="AG8" s="139">
        <f t="shared" si="15"/>
        <v>0</v>
      </c>
      <c r="AH8" s="139">
        <f t="shared" si="15"/>
        <v>7.1140939597315433E-2</v>
      </c>
      <c r="AI8" s="139">
        <f t="shared" si="15"/>
        <v>5.3691275167785232E-3</v>
      </c>
    </row>
    <row r="9" spans="1:35">
      <c r="A9" s="138">
        <v>52</v>
      </c>
      <c r="B9" s="138" t="s">
        <v>8077</v>
      </c>
      <c r="C9" s="138" t="s">
        <v>4367</v>
      </c>
      <c r="D9" s="138" t="s">
        <v>19</v>
      </c>
      <c r="E9" s="138" t="s">
        <v>147</v>
      </c>
      <c r="F9" s="138" t="s">
        <v>1313</v>
      </c>
      <c r="H9" s="138">
        <v>8</v>
      </c>
      <c r="I9" s="138">
        <v>502</v>
      </c>
      <c r="J9" s="138">
        <v>300</v>
      </c>
      <c r="K9" s="138">
        <v>148</v>
      </c>
      <c r="N9" s="138">
        <v>6</v>
      </c>
      <c r="O9" s="138">
        <v>1</v>
      </c>
      <c r="S9" s="138">
        <v>43</v>
      </c>
      <c r="T9" s="138">
        <v>4</v>
      </c>
      <c r="U9" s="138">
        <f t="shared" si="0"/>
        <v>48</v>
      </c>
      <c r="W9" s="139">
        <f t="shared" ref="W9:AA9" si="16">J9/$I9</f>
        <v>0.59760956175298807</v>
      </c>
      <c r="X9" s="139">
        <f t="shared" si="16"/>
        <v>0.29482071713147412</v>
      </c>
      <c r="Y9" s="139">
        <f t="shared" si="16"/>
        <v>0</v>
      </c>
      <c r="Z9" s="139">
        <f t="shared" si="16"/>
        <v>0</v>
      </c>
      <c r="AA9" s="139">
        <f t="shared" si="16"/>
        <v>1.1952191235059761E-2</v>
      </c>
      <c r="AB9" s="139"/>
      <c r="AC9" s="139">
        <f t="shared" si="2"/>
        <v>9.5617529880478086E-2</v>
      </c>
      <c r="AD9" s="139">
        <f t="shared" ref="AD9:AI9" si="17">O9/$I9</f>
        <v>1.9920318725099601E-3</v>
      </c>
      <c r="AE9" s="139">
        <f t="shared" si="17"/>
        <v>0</v>
      </c>
      <c r="AF9" s="139">
        <f t="shared" si="17"/>
        <v>0</v>
      </c>
      <c r="AG9" s="139">
        <f t="shared" si="17"/>
        <v>0</v>
      </c>
      <c r="AH9" s="139">
        <f t="shared" si="17"/>
        <v>8.565737051792828E-2</v>
      </c>
      <c r="AI9" s="139">
        <f t="shared" si="17"/>
        <v>7.9681274900398405E-3</v>
      </c>
    </row>
    <row r="10" spans="1:35">
      <c r="A10" s="138">
        <v>52</v>
      </c>
      <c r="B10" s="138" t="s">
        <v>8077</v>
      </c>
      <c r="C10" s="138" t="s">
        <v>4367</v>
      </c>
      <c r="D10" s="138" t="s">
        <v>19</v>
      </c>
      <c r="E10" s="138" t="s">
        <v>147</v>
      </c>
      <c r="F10" s="138" t="s">
        <v>1313</v>
      </c>
      <c r="H10" s="138">
        <v>9</v>
      </c>
      <c r="I10" s="138">
        <v>675</v>
      </c>
      <c r="J10" s="138">
        <v>497</v>
      </c>
      <c r="K10" s="138">
        <v>133</v>
      </c>
      <c r="N10" s="138">
        <v>2</v>
      </c>
      <c r="O10" s="138">
        <v>2</v>
      </c>
      <c r="S10" s="138">
        <v>37</v>
      </c>
      <c r="T10" s="138">
        <v>4</v>
      </c>
      <c r="U10" s="138">
        <f t="shared" si="0"/>
        <v>43</v>
      </c>
      <c r="W10" s="139">
        <f t="shared" ref="W10:AA10" si="18">J10/$I10</f>
        <v>0.73629629629629634</v>
      </c>
      <c r="X10" s="139">
        <f t="shared" si="18"/>
        <v>0.19703703703703704</v>
      </c>
      <c r="Y10" s="139">
        <f t="shared" si="18"/>
        <v>0</v>
      </c>
      <c r="Z10" s="139">
        <f t="shared" si="18"/>
        <v>0</v>
      </c>
      <c r="AA10" s="139">
        <f t="shared" si="18"/>
        <v>2.9629629629629628E-3</v>
      </c>
      <c r="AB10" s="139"/>
      <c r="AC10" s="139">
        <f t="shared" si="2"/>
        <v>6.3703703703703707E-2</v>
      </c>
      <c r="AD10" s="139">
        <f t="shared" ref="AD10:AI10" si="19">O10/$I10</f>
        <v>2.9629629629629628E-3</v>
      </c>
      <c r="AE10" s="139">
        <f t="shared" si="19"/>
        <v>0</v>
      </c>
      <c r="AF10" s="139">
        <f t="shared" si="19"/>
        <v>0</v>
      </c>
      <c r="AG10" s="139">
        <f t="shared" si="19"/>
        <v>0</v>
      </c>
      <c r="AH10" s="139">
        <f t="shared" si="19"/>
        <v>5.4814814814814816E-2</v>
      </c>
      <c r="AI10" s="139">
        <f t="shared" si="19"/>
        <v>5.9259259259259256E-3</v>
      </c>
    </row>
    <row r="11" spans="1:35">
      <c r="A11" s="138">
        <v>52</v>
      </c>
      <c r="B11" s="138" t="s">
        <v>8077</v>
      </c>
      <c r="C11" s="138" t="s">
        <v>4367</v>
      </c>
      <c r="D11" s="138" t="s">
        <v>19</v>
      </c>
      <c r="E11" s="138" t="s">
        <v>147</v>
      </c>
      <c r="F11" s="138" t="s">
        <v>1313</v>
      </c>
      <c r="H11" s="138">
        <v>10</v>
      </c>
      <c r="I11" s="138">
        <v>840</v>
      </c>
      <c r="J11" s="138">
        <v>542</v>
      </c>
      <c r="K11" s="138">
        <v>221</v>
      </c>
      <c r="N11" s="138">
        <v>7</v>
      </c>
      <c r="O11" s="138">
        <v>4</v>
      </c>
      <c r="S11" s="138">
        <v>62</v>
      </c>
      <c r="T11" s="138">
        <v>4</v>
      </c>
      <c r="U11" s="138">
        <f t="shared" si="0"/>
        <v>70</v>
      </c>
      <c r="W11" s="139">
        <f t="shared" ref="W11:AA11" si="20">J11/$I11</f>
        <v>0.64523809523809528</v>
      </c>
      <c r="X11" s="139">
        <f t="shared" si="20"/>
        <v>0.2630952380952381</v>
      </c>
      <c r="Y11" s="139">
        <f t="shared" si="20"/>
        <v>0</v>
      </c>
      <c r="Z11" s="139">
        <f t="shared" si="20"/>
        <v>0</v>
      </c>
      <c r="AA11" s="139">
        <f t="shared" si="20"/>
        <v>8.3333333333333332E-3</v>
      </c>
      <c r="AB11" s="139"/>
      <c r="AC11" s="139">
        <f t="shared" si="2"/>
        <v>8.3333333333333329E-2</v>
      </c>
      <c r="AD11" s="139">
        <f t="shared" ref="AD11:AI11" si="21">O11/$I11</f>
        <v>4.7619047619047623E-3</v>
      </c>
      <c r="AE11" s="139">
        <f t="shared" si="21"/>
        <v>0</v>
      </c>
      <c r="AF11" s="139">
        <f t="shared" si="21"/>
        <v>0</v>
      </c>
      <c r="AG11" s="139">
        <f t="shared" si="21"/>
        <v>0</v>
      </c>
      <c r="AH11" s="139">
        <f t="shared" si="21"/>
        <v>7.3809523809523811E-2</v>
      </c>
      <c r="AI11" s="139">
        <f t="shared" si="21"/>
        <v>4.7619047619047623E-3</v>
      </c>
    </row>
    <row r="12" spans="1:35">
      <c r="A12" s="138">
        <v>52</v>
      </c>
      <c r="B12" s="138" t="s">
        <v>8077</v>
      </c>
      <c r="C12" s="138" t="s">
        <v>4367</v>
      </c>
      <c r="D12" s="138" t="s">
        <v>19</v>
      </c>
      <c r="E12" s="138" t="s">
        <v>147</v>
      </c>
      <c r="F12" s="138" t="s">
        <v>1313</v>
      </c>
      <c r="H12" s="138">
        <v>11</v>
      </c>
      <c r="I12" s="138">
        <v>857</v>
      </c>
      <c r="J12" s="138">
        <v>557</v>
      </c>
      <c r="K12" s="138">
        <v>190</v>
      </c>
      <c r="N12" s="138">
        <v>7</v>
      </c>
      <c r="O12" s="138">
        <v>5</v>
      </c>
      <c r="S12" s="138">
        <v>87</v>
      </c>
      <c r="T12" s="138">
        <v>11</v>
      </c>
      <c r="U12" s="138">
        <f t="shared" si="0"/>
        <v>103</v>
      </c>
      <c r="W12" s="139">
        <f t="shared" ref="W12:AA12" si="22">J12/$I12</f>
        <v>0.6499416569428238</v>
      </c>
      <c r="X12" s="139">
        <f t="shared" si="22"/>
        <v>0.22170361726954493</v>
      </c>
      <c r="Y12" s="139">
        <f t="shared" si="22"/>
        <v>0</v>
      </c>
      <c r="Z12" s="139">
        <f t="shared" si="22"/>
        <v>0</v>
      </c>
      <c r="AA12" s="139">
        <f t="shared" si="22"/>
        <v>8.1680280046674443E-3</v>
      </c>
      <c r="AB12" s="139"/>
      <c r="AC12" s="139">
        <f t="shared" si="2"/>
        <v>0.12018669778296383</v>
      </c>
      <c r="AD12" s="139">
        <f t="shared" ref="AD12:AI12" si="23">O12/$I12</f>
        <v>5.8343057176196032E-3</v>
      </c>
      <c r="AE12" s="139">
        <f t="shared" si="23"/>
        <v>0</v>
      </c>
      <c r="AF12" s="139">
        <f t="shared" si="23"/>
        <v>0</v>
      </c>
      <c r="AG12" s="139">
        <f t="shared" si="23"/>
        <v>0</v>
      </c>
      <c r="AH12" s="139">
        <f t="shared" si="23"/>
        <v>0.10151691948658109</v>
      </c>
      <c r="AI12" s="139">
        <f t="shared" si="23"/>
        <v>1.2835472578763127E-2</v>
      </c>
    </row>
    <row r="13" spans="1:35">
      <c r="A13" s="138">
        <v>52</v>
      </c>
      <c r="B13" s="138" t="s">
        <v>8077</v>
      </c>
      <c r="C13" s="138" t="s">
        <v>4367</v>
      </c>
      <c r="D13" s="138" t="s">
        <v>19</v>
      </c>
      <c r="E13" s="138" t="s">
        <v>147</v>
      </c>
      <c r="F13" s="138" t="s">
        <v>1313</v>
      </c>
      <c r="H13" s="138">
        <v>12</v>
      </c>
      <c r="I13" s="138">
        <v>659</v>
      </c>
      <c r="J13" s="138">
        <v>460</v>
      </c>
      <c r="K13" s="138">
        <v>162</v>
      </c>
      <c r="N13" s="138">
        <v>7</v>
      </c>
      <c r="O13" s="138">
        <v>5</v>
      </c>
      <c r="S13" s="138">
        <v>22</v>
      </c>
      <c r="T13" s="138">
        <v>3</v>
      </c>
      <c r="U13" s="138">
        <f t="shared" si="0"/>
        <v>30</v>
      </c>
      <c r="W13" s="139">
        <f t="shared" ref="W13:AA13" si="24">J13/$I13</f>
        <v>0.69802731411229135</v>
      </c>
      <c r="X13" s="139">
        <f t="shared" si="24"/>
        <v>0.24582701062215478</v>
      </c>
      <c r="Y13" s="139">
        <f t="shared" si="24"/>
        <v>0</v>
      </c>
      <c r="Z13" s="139">
        <f t="shared" si="24"/>
        <v>0</v>
      </c>
      <c r="AA13" s="139">
        <f t="shared" si="24"/>
        <v>1.0622154779969651E-2</v>
      </c>
      <c r="AB13" s="139"/>
      <c r="AC13" s="139">
        <f t="shared" si="2"/>
        <v>4.5523520485584217E-2</v>
      </c>
      <c r="AD13" s="139">
        <f t="shared" ref="AD13:AI13" si="25">O13/$I13</f>
        <v>7.5872534142640367E-3</v>
      </c>
      <c r="AE13" s="139">
        <f t="shared" si="25"/>
        <v>0</v>
      </c>
      <c r="AF13" s="139">
        <f t="shared" si="25"/>
        <v>0</v>
      </c>
      <c r="AG13" s="139">
        <f t="shared" si="25"/>
        <v>0</v>
      </c>
      <c r="AH13" s="139">
        <f t="shared" si="25"/>
        <v>3.3383915022761758E-2</v>
      </c>
      <c r="AI13" s="139">
        <f t="shared" si="25"/>
        <v>4.552352048558422E-3</v>
      </c>
    </row>
    <row r="14" spans="1:35">
      <c r="A14" s="138">
        <v>52</v>
      </c>
      <c r="B14" s="138" t="s">
        <v>8077</v>
      </c>
      <c r="C14" s="138" t="s">
        <v>4367</v>
      </c>
      <c r="D14" s="138" t="s">
        <v>19</v>
      </c>
      <c r="E14" s="138" t="s">
        <v>147</v>
      </c>
      <c r="F14" s="138" t="s">
        <v>1313</v>
      </c>
      <c r="H14" s="138">
        <v>13</v>
      </c>
      <c r="I14" s="138">
        <v>686</v>
      </c>
      <c r="J14" s="138">
        <v>373</v>
      </c>
      <c r="K14" s="138">
        <v>264</v>
      </c>
      <c r="N14" s="138">
        <v>4</v>
      </c>
      <c r="O14" s="138">
        <v>1</v>
      </c>
      <c r="S14" s="138">
        <v>38</v>
      </c>
      <c r="T14" s="138">
        <v>6</v>
      </c>
      <c r="U14" s="138">
        <f t="shared" si="0"/>
        <v>45</v>
      </c>
      <c r="W14" s="139">
        <f t="shared" ref="W14:AA14" si="26">J14/$I14</f>
        <v>0.54373177842565601</v>
      </c>
      <c r="X14" s="139">
        <f t="shared" si="26"/>
        <v>0.38483965014577259</v>
      </c>
      <c r="Y14" s="139">
        <f t="shared" si="26"/>
        <v>0</v>
      </c>
      <c r="Z14" s="139">
        <f t="shared" si="26"/>
        <v>0</v>
      </c>
      <c r="AA14" s="139">
        <f t="shared" si="26"/>
        <v>5.8309037900874635E-3</v>
      </c>
      <c r="AB14" s="139"/>
      <c r="AC14" s="139">
        <f t="shared" si="2"/>
        <v>6.5597667638483959E-2</v>
      </c>
      <c r="AD14" s="139">
        <f t="shared" ref="AD14:AI14" si="27">O14/$I14</f>
        <v>1.4577259475218659E-3</v>
      </c>
      <c r="AE14" s="139">
        <f t="shared" si="27"/>
        <v>0</v>
      </c>
      <c r="AF14" s="139">
        <f t="shared" si="27"/>
        <v>0</v>
      </c>
      <c r="AG14" s="139">
        <f t="shared" si="27"/>
        <v>0</v>
      </c>
      <c r="AH14" s="139">
        <f t="shared" si="27"/>
        <v>5.5393586005830907E-2</v>
      </c>
      <c r="AI14" s="139">
        <f t="shared" si="27"/>
        <v>8.7463556851311956E-3</v>
      </c>
    </row>
    <row r="15" spans="1:35">
      <c r="A15" s="138">
        <v>52</v>
      </c>
      <c r="B15" s="138" t="s">
        <v>8077</v>
      </c>
      <c r="C15" s="138" t="s">
        <v>4367</v>
      </c>
      <c r="D15" s="138" t="s">
        <v>19</v>
      </c>
      <c r="E15" s="138" t="s">
        <v>147</v>
      </c>
      <c r="F15" s="138" t="s">
        <v>1313</v>
      </c>
      <c r="H15" s="138">
        <v>14</v>
      </c>
      <c r="I15" s="138">
        <v>589</v>
      </c>
      <c r="J15" s="138">
        <v>226</v>
      </c>
      <c r="K15" s="138">
        <v>323</v>
      </c>
      <c r="N15" s="138">
        <v>10</v>
      </c>
      <c r="O15" s="138">
        <v>1</v>
      </c>
      <c r="S15" s="138">
        <v>25</v>
      </c>
      <c r="T15" s="138">
        <v>4</v>
      </c>
      <c r="U15" s="138">
        <f t="shared" si="0"/>
        <v>30</v>
      </c>
      <c r="W15" s="139">
        <f t="shared" ref="W15:AA15" si="28">J15/$I15</f>
        <v>0.3837011884550085</v>
      </c>
      <c r="X15" s="139">
        <f t="shared" si="28"/>
        <v>0.54838709677419351</v>
      </c>
      <c r="Y15" s="139">
        <f t="shared" si="28"/>
        <v>0</v>
      </c>
      <c r="Z15" s="139">
        <f t="shared" si="28"/>
        <v>0</v>
      </c>
      <c r="AA15" s="139">
        <f t="shared" si="28"/>
        <v>1.6977928692699491E-2</v>
      </c>
      <c r="AB15" s="139"/>
      <c r="AC15" s="139">
        <f t="shared" si="2"/>
        <v>5.0933786078098474E-2</v>
      </c>
      <c r="AD15" s="139">
        <f t="shared" ref="AD15:AI15" si="29">O15/$I15</f>
        <v>1.697792869269949E-3</v>
      </c>
      <c r="AE15" s="139">
        <f t="shared" si="29"/>
        <v>0</v>
      </c>
      <c r="AF15" s="139">
        <f t="shared" si="29"/>
        <v>0</v>
      </c>
      <c r="AG15" s="139">
        <f t="shared" si="29"/>
        <v>0</v>
      </c>
      <c r="AH15" s="139">
        <f t="shared" si="29"/>
        <v>4.2444821731748725E-2</v>
      </c>
      <c r="AI15" s="139">
        <f t="shared" si="29"/>
        <v>6.7911714770797962E-3</v>
      </c>
    </row>
    <row r="16" spans="1:35">
      <c r="A16" s="138">
        <v>52</v>
      </c>
      <c r="B16" s="138" t="s">
        <v>8077</v>
      </c>
      <c r="C16" s="138" t="s">
        <v>4367</v>
      </c>
      <c r="D16" s="138" t="s">
        <v>19</v>
      </c>
      <c r="E16" s="138" t="s">
        <v>147</v>
      </c>
      <c r="F16" s="138" t="s">
        <v>1313</v>
      </c>
      <c r="H16" s="138">
        <v>15</v>
      </c>
      <c r="I16" s="138">
        <v>897</v>
      </c>
      <c r="J16" s="138">
        <v>456</v>
      </c>
      <c r="K16" s="138">
        <v>350</v>
      </c>
      <c r="N16" s="138">
        <v>11</v>
      </c>
      <c r="O16" s="138">
        <v>1</v>
      </c>
      <c r="S16" s="138">
        <v>78</v>
      </c>
      <c r="T16" s="138">
        <v>1</v>
      </c>
      <c r="U16" s="138">
        <f t="shared" si="0"/>
        <v>80</v>
      </c>
      <c r="W16" s="139">
        <f t="shared" ref="W16:AA16" si="30">J16/$I16</f>
        <v>0.50836120401337792</v>
      </c>
      <c r="X16" s="139">
        <f t="shared" si="30"/>
        <v>0.39018952062430323</v>
      </c>
      <c r="Y16" s="139">
        <f t="shared" si="30"/>
        <v>0</v>
      </c>
      <c r="Z16" s="139">
        <f t="shared" si="30"/>
        <v>0</v>
      </c>
      <c r="AA16" s="139">
        <f t="shared" si="30"/>
        <v>1.2263099219620958E-2</v>
      </c>
      <c r="AB16" s="139"/>
      <c r="AC16" s="139">
        <f t="shared" si="2"/>
        <v>8.9186176142697887E-2</v>
      </c>
      <c r="AD16" s="139">
        <f t="shared" ref="AD16:AI16" si="31">O16/$I16</f>
        <v>1.1148272017837235E-3</v>
      </c>
      <c r="AE16" s="139">
        <f t="shared" si="31"/>
        <v>0</v>
      </c>
      <c r="AF16" s="139">
        <f t="shared" si="31"/>
        <v>0</v>
      </c>
      <c r="AG16" s="139">
        <f t="shared" si="31"/>
        <v>0</v>
      </c>
      <c r="AH16" s="139">
        <f t="shared" si="31"/>
        <v>8.6956521739130432E-2</v>
      </c>
      <c r="AI16" s="139">
        <f t="shared" si="31"/>
        <v>1.1148272017837235E-3</v>
      </c>
    </row>
    <row r="17" spans="1:35">
      <c r="A17" s="138">
        <v>52</v>
      </c>
      <c r="B17" s="138" t="s">
        <v>8077</v>
      </c>
      <c r="C17" s="138" t="s">
        <v>4367</v>
      </c>
      <c r="D17" s="138" t="s">
        <v>19</v>
      </c>
      <c r="E17" s="138" t="s">
        <v>147</v>
      </c>
      <c r="F17" s="138" t="s">
        <v>1313</v>
      </c>
      <c r="H17" s="138">
        <v>16</v>
      </c>
      <c r="I17" s="138">
        <v>758</v>
      </c>
      <c r="J17" s="138">
        <v>467</v>
      </c>
      <c r="K17" s="138">
        <v>200</v>
      </c>
      <c r="N17" s="138">
        <v>10</v>
      </c>
      <c r="O17" s="138">
        <v>3</v>
      </c>
      <c r="S17" s="138">
        <v>75</v>
      </c>
      <c r="T17" s="138">
        <v>3</v>
      </c>
      <c r="U17" s="138">
        <f t="shared" si="0"/>
        <v>81</v>
      </c>
      <c r="W17" s="139">
        <f t="shared" ref="W17:AA17" si="32">J17/$I17</f>
        <v>0.61609498680738783</v>
      </c>
      <c r="X17" s="139">
        <f t="shared" si="32"/>
        <v>0.26385224274406333</v>
      </c>
      <c r="Y17" s="139">
        <f t="shared" si="32"/>
        <v>0</v>
      </c>
      <c r="Z17" s="139">
        <f t="shared" si="32"/>
        <v>0</v>
      </c>
      <c r="AA17" s="139">
        <f t="shared" si="32"/>
        <v>1.3192612137203167E-2</v>
      </c>
      <c r="AB17" s="139"/>
      <c r="AC17" s="139">
        <f t="shared" si="2"/>
        <v>0.10686015831134564</v>
      </c>
      <c r="AD17" s="139">
        <f t="shared" ref="AD17:AI17" si="33">O17/$I17</f>
        <v>3.9577836411609502E-3</v>
      </c>
      <c r="AE17" s="139">
        <f t="shared" si="33"/>
        <v>0</v>
      </c>
      <c r="AF17" s="139">
        <f t="shared" si="33"/>
        <v>0</v>
      </c>
      <c r="AG17" s="139">
        <f t="shared" si="33"/>
        <v>0</v>
      </c>
      <c r="AH17" s="139">
        <f t="shared" si="33"/>
        <v>9.894459102902374E-2</v>
      </c>
      <c r="AI17" s="139">
        <f t="shared" si="33"/>
        <v>3.9577836411609502E-3</v>
      </c>
    </row>
    <row r="18" spans="1:35">
      <c r="A18" s="138">
        <v>52</v>
      </c>
      <c r="B18" s="138" t="s">
        <v>8077</v>
      </c>
      <c r="C18" s="138" t="s">
        <v>4367</v>
      </c>
      <c r="D18" s="138" t="s">
        <v>19</v>
      </c>
      <c r="E18" s="138" t="s">
        <v>147</v>
      </c>
      <c r="F18" s="138" t="s">
        <v>1313</v>
      </c>
      <c r="H18" s="138">
        <v>17</v>
      </c>
      <c r="I18" s="138">
        <v>896</v>
      </c>
      <c r="J18" s="138">
        <v>459</v>
      </c>
      <c r="K18" s="138">
        <v>369</v>
      </c>
      <c r="N18" s="138">
        <v>13</v>
      </c>
      <c r="O18" s="138">
        <v>2</v>
      </c>
      <c r="S18" s="138">
        <v>40</v>
      </c>
      <c r="T18" s="138">
        <v>13</v>
      </c>
      <c r="U18" s="138">
        <f t="shared" si="0"/>
        <v>55</v>
      </c>
      <c r="W18" s="139">
        <f t="shared" ref="W18:AA18" si="34">J18/$I18</f>
        <v>0.5122767857142857</v>
      </c>
      <c r="X18" s="139">
        <f t="shared" si="34"/>
        <v>0.41183035714285715</v>
      </c>
      <c r="Y18" s="139">
        <f t="shared" si="34"/>
        <v>0</v>
      </c>
      <c r="Z18" s="139">
        <f t="shared" si="34"/>
        <v>0</v>
      </c>
      <c r="AA18" s="139">
        <f t="shared" si="34"/>
        <v>1.4508928571428572E-2</v>
      </c>
      <c r="AB18" s="139"/>
      <c r="AC18" s="139">
        <f t="shared" si="2"/>
        <v>6.1383928571428568E-2</v>
      </c>
      <c r="AD18" s="139">
        <f t="shared" ref="AD18:AI18" si="35">O18/$I18</f>
        <v>2.232142857142857E-3</v>
      </c>
      <c r="AE18" s="139">
        <f t="shared" si="35"/>
        <v>0</v>
      </c>
      <c r="AF18" s="139">
        <f t="shared" si="35"/>
        <v>0</v>
      </c>
      <c r="AG18" s="139">
        <f t="shared" si="35"/>
        <v>0</v>
      </c>
      <c r="AH18" s="139">
        <f t="shared" si="35"/>
        <v>4.4642857142857144E-2</v>
      </c>
      <c r="AI18" s="139">
        <f t="shared" si="35"/>
        <v>1.4508928571428572E-2</v>
      </c>
    </row>
    <row r="19" spans="1:35">
      <c r="A19" s="138">
        <v>52</v>
      </c>
      <c r="B19" s="138" t="s">
        <v>8077</v>
      </c>
      <c r="C19" s="138" t="s">
        <v>4367</v>
      </c>
      <c r="D19" s="138" t="s">
        <v>19</v>
      </c>
      <c r="E19" s="138" t="s">
        <v>147</v>
      </c>
      <c r="F19" s="138" t="s">
        <v>1313</v>
      </c>
      <c r="H19" s="138">
        <v>18</v>
      </c>
      <c r="I19" s="138">
        <v>572</v>
      </c>
      <c r="J19" s="138">
        <v>296</v>
      </c>
      <c r="K19" s="138">
        <v>160</v>
      </c>
      <c r="N19" s="138">
        <v>2</v>
      </c>
      <c r="O19" s="138">
        <v>0</v>
      </c>
      <c r="S19" s="138">
        <v>113</v>
      </c>
      <c r="T19" s="138">
        <v>1</v>
      </c>
      <c r="U19" s="138">
        <f t="shared" si="0"/>
        <v>114</v>
      </c>
      <c r="W19" s="139">
        <f t="shared" ref="W19:AA19" si="36">J19/$I19</f>
        <v>0.5174825174825175</v>
      </c>
      <c r="X19" s="139">
        <f t="shared" si="36"/>
        <v>0.27972027972027974</v>
      </c>
      <c r="Y19" s="139">
        <f t="shared" si="36"/>
        <v>0</v>
      </c>
      <c r="Z19" s="139">
        <f t="shared" si="36"/>
        <v>0</v>
      </c>
      <c r="AA19" s="139">
        <f t="shared" si="36"/>
        <v>3.4965034965034965E-3</v>
      </c>
      <c r="AB19" s="139"/>
      <c r="AC19" s="139">
        <f t="shared" si="2"/>
        <v>0.1993006993006993</v>
      </c>
      <c r="AD19" s="139">
        <f t="shared" ref="AD19:AI19" si="37">O19/$I19</f>
        <v>0</v>
      </c>
      <c r="AE19" s="139">
        <f t="shared" si="37"/>
        <v>0</v>
      </c>
      <c r="AF19" s="139">
        <f t="shared" si="37"/>
        <v>0</v>
      </c>
      <c r="AG19" s="139">
        <f t="shared" si="37"/>
        <v>0</v>
      </c>
      <c r="AH19" s="139">
        <f t="shared" si="37"/>
        <v>0.19755244755244755</v>
      </c>
      <c r="AI19" s="139">
        <f t="shared" si="37"/>
        <v>1.7482517482517483E-3</v>
      </c>
    </row>
    <row r="20" spans="1:35">
      <c r="A20" s="138">
        <v>52</v>
      </c>
      <c r="B20" s="138" t="s">
        <v>8077</v>
      </c>
      <c r="C20" s="138" t="s">
        <v>4367</v>
      </c>
      <c r="D20" s="138" t="s">
        <v>19</v>
      </c>
      <c r="E20" s="138" t="s">
        <v>147</v>
      </c>
      <c r="F20" s="138" t="s">
        <v>8079</v>
      </c>
      <c r="H20" s="138">
        <v>19</v>
      </c>
      <c r="I20" s="138">
        <v>910</v>
      </c>
      <c r="J20" s="138">
        <v>561</v>
      </c>
      <c r="K20" s="138">
        <v>262</v>
      </c>
      <c r="N20" s="138">
        <v>7</v>
      </c>
      <c r="O20" s="138">
        <v>1</v>
      </c>
      <c r="S20" s="138">
        <v>64</v>
      </c>
      <c r="T20" s="138">
        <v>15</v>
      </c>
      <c r="U20" s="138">
        <f t="shared" si="0"/>
        <v>80</v>
      </c>
      <c r="W20" s="139">
        <f t="shared" ref="W20:AA20" si="38">J20/$I20</f>
        <v>0.61648351648351651</v>
      </c>
      <c r="X20" s="139">
        <f t="shared" si="38"/>
        <v>0.28791208791208789</v>
      </c>
      <c r="Y20" s="139">
        <f t="shared" si="38"/>
        <v>0</v>
      </c>
      <c r="Z20" s="139">
        <f t="shared" si="38"/>
        <v>0</v>
      </c>
      <c r="AA20" s="139">
        <f t="shared" si="38"/>
        <v>7.6923076923076927E-3</v>
      </c>
      <c r="AB20" s="139"/>
      <c r="AC20" s="139">
        <f t="shared" si="2"/>
        <v>8.7912087912087919E-2</v>
      </c>
      <c r="AD20" s="139">
        <f t="shared" ref="AD20:AI20" si="39">O20/$I20</f>
        <v>1.0989010989010989E-3</v>
      </c>
      <c r="AE20" s="139">
        <f t="shared" si="39"/>
        <v>0</v>
      </c>
      <c r="AF20" s="139">
        <f t="shared" si="39"/>
        <v>0</v>
      </c>
      <c r="AG20" s="139">
        <f t="shared" si="39"/>
        <v>0</v>
      </c>
      <c r="AH20" s="139">
        <f t="shared" si="39"/>
        <v>7.032967032967033E-2</v>
      </c>
      <c r="AI20" s="139">
        <f t="shared" si="39"/>
        <v>1.6483516483516484E-2</v>
      </c>
    </row>
    <row r="21" spans="1:35">
      <c r="A21" s="138">
        <v>52</v>
      </c>
      <c r="B21" s="138" t="s">
        <v>8077</v>
      </c>
      <c r="C21" s="138" t="s">
        <v>4367</v>
      </c>
      <c r="D21" s="138" t="s">
        <v>19</v>
      </c>
      <c r="E21" s="138" t="s">
        <v>147</v>
      </c>
      <c r="F21" s="138" t="s">
        <v>8079</v>
      </c>
      <c r="H21" s="138">
        <v>20</v>
      </c>
      <c r="I21" s="138">
        <v>764</v>
      </c>
      <c r="J21" s="138">
        <v>518</v>
      </c>
      <c r="K21" s="138">
        <v>190</v>
      </c>
      <c r="N21" s="138">
        <v>5</v>
      </c>
      <c r="O21" s="138">
        <v>2</v>
      </c>
      <c r="S21" s="138">
        <v>44</v>
      </c>
      <c r="T21" s="138">
        <v>5</v>
      </c>
      <c r="U21" s="138">
        <f t="shared" si="0"/>
        <v>51</v>
      </c>
      <c r="W21" s="139">
        <f t="shared" ref="W21:AA21" si="40">J21/$I21</f>
        <v>0.67801047120418845</v>
      </c>
      <c r="X21" s="139">
        <f t="shared" si="40"/>
        <v>0.2486910994764398</v>
      </c>
      <c r="Y21" s="139">
        <f t="shared" si="40"/>
        <v>0</v>
      </c>
      <c r="Z21" s="139">
        <f t="shared" si="40"/>
        <v>0</v>
      </c>
      <c r="AA21" s="139">
        <f t="shared" si="40"/>
        <v>6.5445026178010471E-3</v>
      </c>
      <c r="AB21" s="139"/>
      <c r="AC21" s="139">
        <f t="shared" si="2"/>
        <v>6.6753926701570682E-2</v>
      </c>
      <c r="AD21" s="139">
        <f t="shared" ref="AD21:AI21" si="41">O21/$I21</f>
        <v>2.617801047120419E-3</v>
      </c>
      <c r="AE21" s="139">
        <f t="shared" si="41"/>
        <v>0</v>
      </c>
      <c r="AF21" s="139">
        <f t="shared" si="41"/>
        <v>0</v>
      </c>
      <c r="AG21" s="139">
        <f t="shared" si="41"/>
        <v>0</v>
      </c>
      <c r="AH21" s="139">
        <f t="shared" si="41"/>
        <v>5.7591623036649213E-2</v>
      </c>
      <c r="AI21" s="139">
        <f t="shared" si="41"/>
        <v>6.5445026178010471E-3</v>
      </c>
    </row>
    <row r="22" spans="1:35">
      <c r="A22" s="138">
        <v>52</v>
      </c>
      <c r="B22" s="138" t="s">
        <v>8077</v>
      </c>
      <c r="C22" s="138" t="s">
        <v>4367</v>
      </c>
      <c r="D22" s="138" t="s">
        <v>19</v>
      </c>
      <c r="E22" s="138" t="s">
        <v>147</v>
      </c>
      <c r="F22" s="138" t="s">
        <v>8079</v>
      </c>
      <c r="H22" s="138">
        <v>21</v>
      </c>
      <c r="I22" s="138">
        <v>793</v>
      </c>
      <c r="J22" s="138">
        <v>564</v>
      </c>
      <c r="K22" s="138">
        <v>168</v>
      </c>
      <c r="N22" s="138">
        <v>4</v>
      </c>
      <c r="O22" s="138">
        <v>2</v>
      </c>
      <c r="S22" s="138">
        <v>51</v>
      </c>
      <c r="T22" s="138">
        <v>4</v>
      </c>
      <c r="U22" s="138">
        <f t="shared" si="0"/>
        <v>57</v>
      </c>
      <c r="W22" s="139">
        <f t="shared" ref="W22:AA22" si="42">J22/$I22</f>
        <v>0.71122320302648168</v>
      </c>
      <c r="X22" s="139">
        <f t="shared" si="42"/>
        <v>0.21185372005044137</v>
      </c>
      <c r="Y22" s="139">
        <f t="shared" si="42"/>
        <v>0</v>
      </c>
      <c r="Z22" s="139">
        <f t="shared" si="42"/>
        <v>0</v>
      </c>
      <c r="AA22" s="139">
        <f t="shared" si="42"/>
        <v>5.0441361916771753E-3</v>
      </c>
      <c r="AB22" s="139"/>
      <c r="AC22" s="139">
        <f t="shared" si="2"/>
        <v>7.1878940731399749E-2</v>
      </c>
      <c r="AD22" s="139">
        <f t="shared" ref="AD22:AI22" si="43">O22/$I22</f>
        <v>2.5220680958385876E-3</v>
      </c>
      <c r="AE22" s="139">
        <f t="shared" si="43"/>
        <v>0</v>
      </c>
      <c r="AF22" s="139">
        <f t="shared" si="43"/>
        <v>0</v>
      </c>
      <c r="AG22" s="139">
        <f t="shared" si="43"/>
        <v>0</v>
      </c>
      <c r="AH22" s="139">
        <f t="shared" si="43"/>
        <v>6.431273644388398E-2</v>
      </c>
      <c r="AI22" s="139">
        <f t="shared" si="43"/>
        <v>5.0441361916771753E-3</v>
      </c>
    </row>
    <row r="23" spans="1:35">
      <c r="A23" s="138">
        <v>52</v>
      </c>
      <c r="B23" s="138" t="s">
        <v>8077</v>
      </c>
      <c r="C23" s="138" t="s">
        <v>4367</v>
      </c>
      <c r="D23" s="138" t="s">
        <v>19</v>
      </c>
      <c r="E23" s="138" t="s">
        <v>147</v>
      </c>
      <c r="F23" s="138" t="s">
        <v>8079</v>
      </c>
      <c r="H23" s="138">
        <v>22</v>
      </c>
      <c r="I23" s="138">
        <v>748</v>
      </c>
      <c r="J23" s="138">
        <v>320</v>
      </c>
      <c r="K23" s="138">
        <v>360</v>
      </c>
      <c r="N23" s="138">
        <v>20</v>
      </c>
      <c r="O23" s="138">
        <v>1</v>
      </c>
      <c r="S23" s="138">
        <v>40</v>
      </c>
      <c r="T23" s="138">
        <v>7</v>
      </c>
      <c r="U23" s="138">
        <f t="shared" si="0"/>
        <v>48</v>
      </c>
      <c r="W23" s="139">
        <f t="shared" ref="W23:AA23" si="44">J23/$I23</f>
        <v>0.42780748663101603</v>
      </c>
      <c r="X23" s="139">
        <f t="shared" si="44"/>
        <v>0.48128342245989303</v>
      </c>
      <c r="Y23" s="139">
        <f t="shared" si="44"/>
        <v>0</v>
      </c>
      <c r="Z23" s="139">
        <f t="shared" si="44"/>
        <v>0</v>
      </c>
      <c r="AA23" s="139">
        <f t="shared" si="44"/>
        <v>2.6737967914438502E-2</v>
      </c>
      <c r="AB23" s="139"/>
      <c r="AC23" s="139">
        <f t="shared" si="2"/>
        <v>6.4171122994652413E-2</v>
      </c>
      <c r="AD23" s="139">
        <f t="shared" ref="AD23:AI23" si="45">O23/$I23</f>
        <v>1.3368983957219251E-3</v>
      </c>
      <c r="AE23" s="139">
        <f t="shared" si="45"/>
        <v>0</v>
      </c>
      <c r="AF23" s="139">
        <f t="shared" si="45"/>
        <v>0</v>
      </c>
      <c r="AG23" s="139">
        <f t="shared" si="45"/>
        <v>0</v>
      </c>
      <c r="AH23" s="139">
        <f t="shared" si="45"/>
        <v>5.3475935828877004E-2</v>
      </c>
      <c r="AI23" s="139">
        <f t="shared" si="45"/>
        <v>9.3582887700534752E-3</v>
      </c>
    </row>
    <row r="24" spans="1:35">
      <c r="A24" s="138">
        <v>52</v>
      </c>
      <c r="B24" s="138" t="s">
        <v>8077</v>
      </c>
      <c r="C24" s="138" t="s">
        <v>4367</v>
      </c>
      <c r="D24" s="138" t="s">
        <v>19</v>
      </c>
      <c r="E24" s="138" t="s">
        <v>147</v>
      </c>
      <c r="F24" s="138" t="s">
        <v>2081</v>
      </c>
      <c r="H24" s="138">
        <v>23</v>
      </c>
      <c r="I24" s="138">
        <v>821</v>
      </c>
      <c r="J24" s="138">
        <v>354</v>
      </c>
      <c r="K24" s="138">
        <v>317</v>
      </c>
      <c r="N24" s="138">
        <v>3</v>
      </c>
      <c r="O24" s="138">
        <v>0</v>
      </c>
      <c r="S24" s="138">
        <v>136</v>
      </c>
      <c r="T24" s="138">
        <v>11</v>
      </c>
      <c r="U24" s="138">
        <f t="shared" si="0"/>
        <v>147</v>
      </c>
      <c r="W24" s="139">
        <f t="shared" ref="W24:AA24" si="46">J24/$I24</f>
        <v>0.43118148599269185</v>
      </c>
      <c r="X24" s="139">
        <f t="shared" si="46"/>
        <v>0.38611449451887941</v>
      </c>
      <c r="Y24" s="139">
        <f t="shared" si="46"/>
        <v>0</v>
      </c>
      <c r="Z24" s="139">
        <f t="shared" si="46"/>
        <v>0</v>
      </c>
      <c r="AA24" s="139">
        <f t="shared" si="46"/>
        <v>3.6540803897685747E-3</v>
      </c>
      <c r="AB24" s="139"/>
      <c r="AC24" s="139">
        <f t="shared" si="2"/>
        <v>0.17904993909866018</v>
      </c>
      <c r="AD24" s="139">
        <f t="shared" ref="AD24:AI24" si="47">O24/$I24</f>
        <v>0</v>
      </c>
      <c r="AE24" s="139">
        <f t="shared" si="47"/>
        <v>0</v>
      </c>
      <c r="AF24" s="139">
        <f t="shared" si="47"/>
        <v>0</v>
      </c>
      <c r="AG24" s="139">
        <f t="shared" si="47"/>
        <v>0</v>
      </c>
      <c r="AH24" s="139">
        <f t="shared" si="47"/>
        <v>0.16565164433617541</v>
      </c>
      <c r="AI24" s="139">
        <f t="shared" si="47"/>
        <v>1.3398294762484775E-2</v>
      </c>
    </row>
    <row r="25" spans="1:35">
      <c r="A25" s="138">
        <v>52</v>
      </c>
      <c r="B25" s="138" t="s">
        <v>8077</v>
      </c>
      <c r="C25" s="138" t="s">
        <v>4367</v>
      </c>
      <c r="D25" s="138" t="s">
        <v>19</v>
      </c>
      <c r="E25" s="138" t="s">
        <v>147</v>
      </c>
      <c r="F25" s="138" t="s">
        <v>8080</v>
      </c>
      <c r="H25" s="138">
        <v>24</v>
      </c>
      <c r="I25" s="138">
        <v>957</v>
      </c>
      <c r="J25" s="138">
        <v>525</v>
      </c>
      <c r="K25" s="138">
        <v>231</v>
      </c>
      <c r="N25" s="138">
        <v>5</v>
      </c>
      <c r="O25" s="138">
        <v>5</v>
      </c>
      <c r="S25" s="138">
        <v>188</v>
      </c>
      <c r="T25" s="138">
        <v>3</v>
      </c>
      <c r="U25" s="138">
        <f t="shared" si="0"/>
        <v>196</v>
      </c>
      <c r="W25" s="139">
        <f t="shared" ref="W25:AA25" si="48">J25/$I25</f>
        <v>0.54858934169278994</v>
      </c>
      <c r="X25" s="139">
        <f t="shared" si="48"/>
        <v>0.2413793103448276</v>
      </c>
      <c r="Y25" s="139">
        <f t="shared" si="48"/>
        <v>0</v>
      </c>
      <c r="Z25" s="139">
        <f t="shared" si="48"/>
        <v>0</v>
      </c>
      <c r="AA25" s="139">
        <f t="shared" si="48"/>
        <v>5.2246603970741903E-3</v>
      </c>
      <c r="AB25" s="139"/>
      <c r="AC25" s="139">
        <f t="shared" si="2"/>
        <v>0.20480668756530826</v>
      </c>
      <c r="AD25" s="139">
        <f t="shared" ref="AD25:AI25" si="49">O25/$I25</f>
        <v>5.2246603970741903E-3</v>
      </c>
      <c r="AE25" s="139">
        <f t="shared" si="49"/>
        <v>0</v>
      </c>
      <c r="AF25" s="139">
        <f t="shared" si="49"/>
        <v>0</v>
      </c>
      <c r="AG25" s="139">
        <f t="shared" si="49"/>
        <v>0</v>
      </c>
      <c r="AH25" s="139">
        <f t="shared" si="49"/>
        <v>0.19644723092998956</v>
      </c>
      <c r="AI25" s="139">
        <f t="shared" si="49"/>
        <v>3.134796238244514E-3</v>
      </c>
    </row>
    <row r="26" spans="1:35">
      <c r="A26" s="138">
        <v>52</v>
      </c>
      <c r="B26" s="138" t="s">
        <v>8077</v>
      </c>
      <c r="C26" s="138" t="s">
        <v>4367</v>
      </c>
      <c r="D26" s="138" t="s">
        <v>19</v>
      </c>
      <c r="E26" s="138" t="s">
        <v>147</v>
      </c>
      <c r="F26" s="138" t="s">
        <v>8080</v>
      </c>
      <c r="H26" s="138">
        <v>25</v>
      </c>
      <c r="I26" s="138">
        <v>533</v>
      </c>
      <c r="J26" s="138">
        <v>279</v>
      </c>
      <c r="K26" s="138">
        <v>198</v>
      </c>
      <c r="N26" s="138">
        <v>7</v>
      </c>
      <c r="O26" s="138">
        <v>0</v>
      </c>
      <c r="S26" s="138">
        <v>46</v>
      </c>
      <c r="T26" s="138">
        <v>3</v>
      </c>
      <c r="U26" s="138">
        <f t="shared" si="0"/>
        <v>49</v>
      </c>
      <c r="W26" s="139">
        <f t="shared" ref="W26:AA26" si="50">J26/$I26</f>
        <v>0.52345215759849906</v>
      </c>
      <c r="X26" s="139">
        <f t="shared" si="50"/>
        <v>0.37148217636022512</v>
      </c>
      <c r="Y26" s="139">
        <f t="shared" si="50"/>
        <v>0</v>
      </c>
      <c r="Z26" s="139">
        <f t="shared" si="50"/>
        <v>0</v>
      </c>
      <c r="AA26" s="139">
        <f t="shared" si="50"/>
        <v>1.3133208255159476E-2</v>
      </c>
      <c r="AB26" s="139"/>
      <c r="AC26" s="139">
        <f t="shared" si="2"/>
        <v>9.193245778611632E-2</v>
      </c>
      <c r="AD26" s="139">
        <f t="shared" ref="AD26:AI26" si="51">O26/$I26</f>
        <v>0</v>
      </c>
      <c r="AE26" s="139">
        <f t="shared" si="51"/>
        <v>0</v>
      </c>
      <c r="AF26" s="139">
        <f t="shared" si="51"/>
        <v>0</v>
      </c>
      <c r="AG26" s="139">
        <f t="shared" si="51"/>
        <v>0</v>
      </c>
      <c r="AH26" s="139">
        <f t="shared" si="51"/>
        <v>8.6303939962476553E-2</v>
      </c>
      <c r="AI26" s="139">
        <f t="shared" si="51"/>
        <v>5.6285178236397749E-3</v>
      </c>
    </row>
    <row r="27" spans="1:35">
      <c r="A27" s="138">
        <v>52</v>
      </c>
      <c r="B27" s="138" t="s">
        <v>8077</v>
      </c>
      <c r="C27" s="138" t="s">
        <v>4367</v>
      </c>
      <c r="D27" s="138" t="s">
        <v>19</v>
      </c>
      <c r="E27" s="138" t="s">
        <v>147</v>
      </c>
      <c r="F27" s="138" t="s">
        <v>8080</v>
      </c>
      <c r="H27" s="138">
        <v>26</v>
      </c>
      <c r="I27" s="138">
        <v>906</v>
      </c>
      <c r="J27" s="138">
        <v>390</v>
      </c>
      <c r="K27" s="138">
        <v>310</v>
      </c>
      <c r="N27" s="138">
        <v>11</v>
      </c>
      <c r="O27" s="138">
        <v>1</v>
      </c>
      <c r="S27" s="138">
        <v>190</v>
      </c>
      <c r="T27" s="138">
        <v>4</v>
      </c>
      <c r="U27" s="138">
        <f t="shared" si="0"/>
        <v>195</v>
      </c>
      <c r="W27" s="139">
        <f t="shared" ref="W27:AA27" si="52">J27/$I27</f>
        <v>0.43046357615894038</v>
      </c>
      <c r="X27" s="139">
        <f t="shared" si="52"/>
        <v>0.34216335540838855</v>
      </c>
      <c r="Y27" s="139">
        <f t="shared" si="52"/>
        <v>0</v>
      </c>
      <c r="Z27" s="139">
        <f t="shared" si="52"/>
        <v>0</v>
      </c>
      <c r="AA27" s="139">
        <f t="shared" si="52"/>
        <v>1.2141280353200883E-2</v>
      </c>
      <c r="AB27" s="139"/>
      <c r="AC27" s="139">
        <f t="shared" si="2"/>
        <v>0.21523178807947019</v>
      </c>
      <c r="AD27" s="139">
        <f t="shared" ref="AD27:AI27" si="53">O27/$I27</f>
        <v>1.1037527593818985E-3</v>
      </c>
      <c r="AE27" s="139">
        <f t="shared" si="53"/>
        <v>0</v>
      </c>
      <c r="AF27" s="139">
        <f t="shared" si="53"/>
        <v>0</v>
      </c>
      <c r="AG27" s="139">
        <f t="shared" si="53"/>
        <v>0</v>
      </c>
      <c r="AH27" s="139">
        <f t="shared" si="53"/>
        <v>0.20971302428256069</v>
      </c>
      <c r="AI27" s="139">
        <f t="shared" si="53"/>
        <v>4.4150110375275938E-3</v>
      </c>
    </row>
    <row r="28" spans="1:35">
      <c r="A28" s="138">
        <v>52</v>
      </c>
      <c r="B28" s="138" t="s">
        <v>8077</v>
      </c>
      <c r="C28" s="138" t="s">
        <v>4367</v>
      </c>
      <c r="D28" s="138" t="s">
        <v>19</v>
      </c>
      <c r="E28" s="138" t="s">
        <v>147</v>
      </c>
      <c r="F28" s="138" t="s">
        <v>8080</v>
      </c>
      <c r="H28" s="138">
        <v>27</v>
      </c>
      <c r="I28" s="138">
        <v>750</v>
      </c>
      <c r="J28" s="138">
        <v>318</v>
      </c>
      <c r="K28" s="138">
        <v>186</v>
      </c>
      <c r="N28" s="138">
        <v>4</v>
      </c>
      <c r="O28" s="138">
        <v>4</v>
      </c>
      <c r="S28" s="138">
        <v>232</v>
      </c>
      <c r="T28" s="138">
        <v>6</v>
      </c>
      <c r="U28" s="138">
        <f t="shared" si="0"/>
        <v>242</v>
      </c>
      <c r="W28" s="139">
        <f t="shared" ref="W28:AA28" si="54">J28/$I28</f>
        <v>0.42399999999999999</v>
      </c>
      <c r="X28" s="139">
        <f t="shared" si="54"/>
        <v>0.248</v>
      </c>
      <c r="Y28" s="139">
        <f t="shared" si="54"/>
        <v>0</v>
      </c>
      <c r="Z28" s="139">
        <f t="shared" si="54"/>
        <v>0</v>
      </c>
      <c r="AA28" s="139">
        <f t="shared" si="54"/>
        <v>5.3333333333333332E-3</v>
      </c>
      <c r="AB28" s="139"/>
      <c r="AC28" s="139">
        <f t="shared" si="2"/>
        <v>0.32266666666666666</v>
      </c>
      <c r="AD28" s="139">
        <f t="shared" ref="AD28:AI28" si="55">O28/$I28</f>
        <v>5.3333333333333332E-3</v>
      </c>
      <c r="AE28" s="139">
        <f t="shared" si="55"/>
        <v>0</v>
      </c>
      <c r="AF28" s="139">
        <f t="shared" si="55"/>
        <v>0</v>
      </c>
      <c r="AG28" s="139">
        <f t="shared" si="55"/>
        <v>0</v>
      </c>
      <c r="AH28" s="139">
        <f t="shared" si="55"/>
        <v>0.30933333333333335</v>
      </c>
      <c r="AI28" s="139">
        <f t="shared" si="55"/>
        <v>8.0000000000000002E-3</v>
      </c>
    </row>
    <row r="29" spans="1:35">
      <c r="A29" s="138">
        <v>52</v>
      </c>
      <c r="B29" s="138" t="s">
        <v>8077</v>
      </c>
      <c r="C29" s="138" t="s">
        <v>4367</v>
      </c>
      <c r="D29" s="138" t="s">
        <v>19</v>
      </c>
      <c r="E29" s="138" t="s">
        <v>147</v>
      </c>
      <c r="F29" s="138" t="s">
        <v>8081</v>
      </c>
      <c r="H29" s="138">
        <v>28</v>
      </c>
      <c r="I29" s="138">
        <v>873</v>
      </c>
      <c r="J29" s="138">
        <v>425</v>
      </c>
      <c r="K29" s="138">
        <v>340</v>
      </c>
      <c r="N29" s="138">
        <v>5</v>
      </c>
      <c r="O29" s="138">
        <v>2</v>
      </c>
      <c r="S29" s="138">
        <v>91</v>
      </c>
      <c r="T29" s="138">
        <v>10</v>
      </c>
      <c r="U29" s="138">
        <f t="shared" si="0"/>
        <v>103</v>
      </c>
      <c r="W29" s="139">
        <f t="shared" ref="W29:AA29" si="56">J29/$I29</f>
        <v>0.48682703321878579</v>
      </c>
      <c r="X29" s="139">
        <f t="shared" si="56"/>
        <v>0.38946162657502864</v>
      </c>
      <c r="Y29" s="139">
        <f t="shared" si="56"/>
        <v>0</v>
      </c>
      <c r="Z29" s="139">
        <f t="shared" si="56"/>
        <v>0</v>
      </c>
      <c r="AA29" s="139">
        <f t="shared" si="56"/>
        <v>5.7273768613974796E-3</v>
      </c>
      <c r="AB29" s="139"/>
      <c r="AC29" s="139">
        <f t="shared" si="2"/>
        <v>0.11798396334478808</v>
      </c>
      <c r="AD29" s="139">
        <f t="shared" ref="AD29:AI29" si="57">O29/$I29</f>
        <v>2.2909507445589921E-3</v>
      </c>
      <c r="AE29" s="139">
        <f t="shared" si="57"/>
        <v>0</v>
      </c>
      <c r="AF29" s="139">
        <f t="shared" si="57"/>
        <v>0</v>
      </c>
      <c r="AG29" s="139">
        <f t="shared" si="57"/>
        <v>0</v>
      </c>
      <c r="AH29" s="139">
        <f t="shared" si="57"/>
        <v>0.10423825887743414</v>
      </c>
      <c r="AI29" s="139">
        <f t="shared" si="57"/>
        <v>1.1454753722794959E-2</v>
      </c>
    </row>
    <row r="30" spans="1:35">
      <c r="A30" s="138">
        <v>52</v>
      </c>
      <c r="B30" s="138" t="s">
        <v>8077</v>
      </c>
      <c r="C30" s="138" t="s">
        <v>4367</v>
      </c>
      <c r="D30" s="138" t="s">
        <v>19</v>
      </c>
      <c r="E30" s="138" t="s">
        <v>147</v>
      </c>
      <c r="F30" s="138" t="s">
        <v>8082</v>
      </c>
      <c r="H30" s="138">
        <v>29</v>
      </c>
      <c r="I30" s="138">
        <v>964</v>
      </c>
      <c r="J30" s="138">
        <v>616</v>
      </c>
      <c r="K30" s="138">
        <v>225</v>
      </c>
      <c r="N30" s="138">
        <v>9</v>
      </c>
      <c r="O30" s="138">
        <v>2</v>
      </c>
      <c r="S30" s="138">
        <v>108</v>
      </c>
      <c r="T30" s="138">
        <v>4</v>
      </c>
      <c r="U30" s="138">
        <f t="shared" si="0"/>
        <v>114</v>
      </c>
      <c r="W30" s="139">
        <f t="shared" ref="W30:AA30" si="58">J30/$I30</f>
        <v>0.63900414937759331</v>
      </c>
      <c r="X30" s="139">
        <f t="shared" si="58"/>
        <v>0.23340248962655602</v>
      </c>
      <c r="Y30" s="139">
        <f t="shared" si="58"/>
        <v>0</v>
      </c>
      <c r="Z30" s="139">
        <f t="shared" si="58"/>
        <v>0</v>
      </c>
      <c r="AA30" s="139">
        <f t="shared" si="58"/>
        <v>9.3360995850622405E-3</v>
      </c>
      <c r="AB30" s="139"/>
      <c r="AC30" s="139">
        <f t="shared" si="2"/>
        <v>0.11825726141078838</v>
      </c>
      <c r="AD30" s="139">
        <f t="shared" ref="AD30:AI30" si="59">O30/$I30</f>
        <v>2.0746887966804979E-3</v>
      </c>
      <c r="AE30" s="139">
        <f t="shared" si="59"/>
        <v>0</v>
      </c>
      <c r="AF30" s="139">
        <f t="shared" si="59"/>
        <v>0</v>
      </c>
      <c r="AG30" s="139">
        <f t="shared" si="59"/>
        <v>0</v>
      </c>
      <c r="AH30" s="139">
        <f t="shared" si="59"/>
        <v>0.11203319502074689</v>
      </c>
      <c r="AI30" s="139">
        <f t="shared" si="59"/>
        <v>4.1493775933609959E-3</v>
      </c>
    </row>
    <row r="31" spans="1:35">
      <c r="A31" s="138">
        <v>52</v>
      </c>
      <c r="B31" s="138" t="s">
        <v>8077</v>
      </c>
      <c r="C31" s="138" t="s">
        <v>4367</v>
      </c>
      <c r="D31" s="138" t="s">
        <v>19</v>
      </c>
      <c r="E31" s="138" t="s">
        <v>147</v>
      </c>
      <c r="F31" s="138" t="s">
        <v>8082</v>
      </c>
      <c r="H31" s="138">
        <v>30</v>
      </c>
      <c r="I31" s="138">
        <v>616</v>
      </c>
      <c r="J31" s="138">
        <v>299</v>
      </c>
      <c r="K31" s="138">
        <v>163</v>
      </c>
      <c r="N31" s="138">
        <v>0</v>
      </c>
      <c r="O31" s="138">
        <v>0</v>
      </c>
      <c r="S31" s="138">
        <v>148</v>
      </c>
      <c r="T31" s="138">
        <v>6</v>
      </c>
      <c r="U31" s="138">
        <f t="shared" si="0"/>
        <v>154</v>
      </c>
      <c r="W31" s="139">
        <f t="shared" ref="W31:AA31" si="60">J31/$I31</f>
        <v>0.48538961038961037</v>
      </c>
      <c r="X31" s="139">
        <f t="shared" si="60"/>
        <v>0.26461038961038963</v>
      </c>
      <c r="Y31" s="139">
        <f t="shared" si="60"/>
        <v>0</v>
      </c>
      <c r="Z31" s="139">
        <f t="shared" si="60"/>
        <v>0</v>
      </c>
      <c r="AA31" s="139">
        <f t="shared" si="60"/>
        <v>0</v>
      </c>
      <c r="AB31" s="139"/>
      <c r="AC31" s="139">
        <f t="shared" si="2"/>
        <v>0.25</v>
      </c>
      <c r="AD31" s="139">
        <f t="shared" ref="AD31:AI31" si="61">O31/$I31</f>
        <v>0</v>
      </c>
      <c r="AE31" s="139">
        <f t="shared" si="61"/>
        <v>0</v>
      </c>
      <c r="AF31" s="139">
        <f t="shared" si="61"/>
        <v>0</v>
      </c>
      <c r="AG31" s="139">
        <f t="shared" si="61"/>
        <v>0</v>
      </c>
      <c r="AH31" s="139">
        <f t="shared" si="61"/>
        <v>0.24025974025974026</v>
      </c>
      <c r="AI31" s="139">
        <f t="shared" si="61"/>
        <v>9.74025974025974E-3</v>
      </c>
    </row>
    <row r="32" spans="1:35">
      <c r="A32" s="138">
        <v>52</v>
      </c>
      <c r="B32" s="138" t="s">
        <v>8077</v>
      </c>
      <c r="C32" s="138" t="s">
        <v>4367</v>
      </c>
      <c r="D32" s="138" t="s">
        <v>19</v>
      </c>
      <c r="E32" s="138" t="s">
        <v>147</v>
      </c>
      <c r="F32" s="138" t="s">
        <v>2366</v>
      </c>
      <c r="H32" s="138">
        <v>31</v>
      </c>
      <c r="I32" s="138">
        <v>693</v>
      </c>
      <c r="J32" s="138">
        <v>504</v>
      </c>
      <c r="K32" s="138">
        <v>87</v>
      </c>
      <c r="N32" s="138">
        <v>1</v>
      </c>
      <c r="O32" s="138">
        <v>3</v>
      </c>
      <c r="S32" s="138">
        <v>91</v>
      </c>
      <c r="T32" s="138">
        <v>7</v>
      </c>
      <c r="U32" s="138">
        <f t="shared" si="0"/>
        <v>101</v>
      </c>
      <c r="W32" s="139">
        <f t="shared" ref="W32:AA32" si="62">J32/$I32</f>
        <v>0.72727272727272729</v>
      </c>
      <c r="X32" s="139">
        <f t="shared" si="62"/>
        <v>0.12554112554112554</v>
      </c>
      <c r="Y32" s="139">
        <f t="shared" si="62"/>
        <v>0</v>
      </c>
      <c r="Z32" s="139">
        <f t="shared" si="62"/>
        <v>0</v>
      </c>
      <c r="AA32" s="139">
        <f t="shared" si="62"/>
        <v>1.443001443001443E-3</v>
      </c>
      <c r="AB32" s="139"/>
      <c r="AC32" s="139">
        <f t="shared" si="2"/>
        <v>0.14574314574314573</v>
      </c>
      <c r="AD32" s="139">
        <f t="shared" ref="AD32:AI32" si="63">O32/$I32</f>
        <v>4.329004329004329E-3</v>
      </c>
      <c r="AE32" s="139">
        <f t="shared" si="63"/>
        <v>0</v>
      </c>
      <c r="AF32" s="139">
        <f t="shared" si="63"/>
        <v>0</v>
      </c>
      <c r="AG32" s="139">
        <f t="shared" si="63"/>
        <v>0</v>
      </c>
      <c r="AH32" s="139">
        <f t="shared" si="63"/>
        <v>0.13131313131313133</v>
      </c>
      <c r="AI32" s="139">
        <f t="shared" si="63"/>
        <v>1.0101010101010102E-2</v>
      </c>
    </row>
    <row r="33" spans="1:35">
      <c r="A33" s="138">
        <v>52</v>
      </c>
      <c r="B33" s="138" t="s">
        <v>8077</v>
      </c>
      <c r="C33" s="138" t="s">
        <v>4367</v>
      </c>
      <c r="D33" s="138" t="s">
        <v>19</v>
      </c>
      <c r="E33" s="138" t="s">
        <v>147</v>
      </c>
      <c r="F33" s="138" t="s">
        <v>2366</v>
      </c>
      <c r="H33" s="138">
        <v>32</v>
      </c>
      <c r="I33" s="138">
        <v>700</v>
      </c>
      <c r="J33" s="138">
        <v>488</v>
      </c>
      <c r="K33" s="138">
        <v>154</v>
      </c>
      <c r="N33" s="138">
        <v>1</v>
      </c>
      <c r="O33" s="138">
        <v>3</v>
      </c>
      <c r="S33" s="138">
        <v>52</v>
      </c>
      <c r="T33" s="138">
        <v>2</v>
      </c>
      <c r="U33" s="138">
        <f t="shared" si="0"/>
        <v>57</v>
      </c>
      <c r="W33" s="139">
        <f t="shared" ref="W33:AA33" si="64">J33/$I33</f>
        <v>0.69714285714285718</v>
      </c>
      <c r="X33" s="139">
        <f t="shared" si="64"/>
        <v>0.22</v>
      </c>
      <c r="Y33" s="139">
        <f t="shared" si="64"/>
        <v>0</v>
      </c>
      <c r="Z33" s="139">
        <f t="shared" si="64"/>
        <v>0</v>
      </c>
      <c r="AA33" s="139">
        <f t="shared" si="64"/>
        <v>1.4285714285714286E-3</v>
      </c>
      <c r="AB33" s="139"/>
      <c r="AC33" s="139">
        <f t="shared" si="2"/>
        <v>8.1428571428571433E-2</v>
      </c>
      <c r="AD33" s="139">
        <f t="shared" ref="AD33:AI33" si="65">O33/$I33</f>
        <v>4.2857142857142859E-3</v>
      </c>
      <c r="AE33" s="139">
        <f t="shared" si="65"/>
        <v>0</v>
      </c>
      <c r="AF33" s="139">
        <f t="shared" si="65"/>
        <v>0</v>
      </c>
      <c r="AG33" s="139">
        <f t="shared" si="65"/>
        <v>0</v>
      </c>
      <c r="AH33" s="139">
        <f t="shared" si="65"/>
        <v>7.4285714285714288E-2</v>
      </c>
      <c r="AI33" s="139">
        <f t="shared" si="65"/>
        <v>2.8571428571428571E-3</v>
      </c>
    </row>
    <row r="34" spans="1:35">
      <c r="A34" s="138">
        <v>52</v>
      </c>
      <c r="B34" s="138" t="s">
        <v>8077</v>
      </c>
      <c r="C34" s="138" t="s">
        <v>4367</v>
      </c>
      <c r="D34" s="138" t="s">
        <v>19</v>
      </c>
      <c r="E34" s="138" t="s">
        <v>147</v>
      </c>
      <c r="F34" s="138" t="s">
        <v>2366</v>
      </c>
      <c r="H34" s="138">
        <v>33</v>
      </c>
      <c r="I34" s="138">
        <v>668</v>
      </c>
      <c r="J34" s="138">
        <v>342</v>
      </c>
      <c r="K34" s="138">
        <v>247</v>
      </c>
      <c r="N34" s="138">
        <v>14</v>
      </c>
      <c r="O34" s="138">
        <v>3</v>
      </c>
      <c r="S34" s="138">
        <v>59</v>
      </c>
      <c r="T34" s="138">
        <v>3</v>
      </c>
      <c r="U34" s="138">
        <f t="shared" si="0"/>
        <v>65</v>
      </c>
      <c r="W34" s="139">
        <f t="shared" ref="W34:AA34" si="66">J34/$I34</f>
        <v>0.5119760479041916</v>
      </c>
      <c r="X34" s="139">
        <f t="shared" si="66"/>
        <v>0.36976047904191617</v>
      </c>
      <c r="Y34" s="139">
        <f t="shared" si="66"/>
        <v>0</v>
      </c>
      <c r="Z34" s="139">
        <f t="shared" si="66"/>
        <v>0</v>
      </c>
      <c r="AA34" s="139">
        <f t="shared" si="66"/>
        <v>2.0958083832335328E-2</v>
      </c>
      <c r="AB34" s="139"/>
      <c r="AC34" s="139">
        <f t="shared" si="2"/>
        <v>9.730538922155689E-2</v>
      </c>
      <c r="AD34" s="139">
        <f t="shared" ref="AD34:AI34" si="67">O34/$I34</f>
        <v>4.4910179640718561E-3</v>
      </c>
      <c r="AE34" s="139">
        <f t="shared" si="67"/>
        <v>0</v>
      </c>
      <c r="AF34" s="139">
        <f t="shared" si="67"/>
        <v>0</v>
      </c>
      <c r="AG34" s="139">
        <f t="shared" si="67"/>
        <v>0</v>
      </c>
      <c r="AH34" s="139">
        <f t="shared" si="67"/>
        <v>8.8323353293413176E-2</v>
      </c>
      <c r="AI34" s="139">
        <f t="shared" si="67"/>
        <v>4.4910179640718561E-3</v>
      </c>
    </row>
    <row r="35" spans="1:35">
      <c r="A35" s="138">
        <v>52</v>
      </c>
      <c r="B35" s="138" t="s">
        <v>8077</v>
      </c>
      <c r="C35" s="138" t="s">
        <v>4367</v>
      </c>
      <c r="D35" s="138" t="s">
        <v>19</v>
      </c>
      <c r="E35" s="138" t="s">
        <v>147</v>
      </c>
      <c r="F35" s="138" t="s">
        <v>2363</v>
      </c>
      <c r="H35" s="138">
        <v>34</v>
      </c>
      <c r="I35" s="138">
        <v>577</v>
      </c>
      <c r="J35" s="138">
        <v>255</v>
      </c>
      <c r="K35" s="138">
        <v>233</v>
      </c>
      <c r="N35" s="138">
        <v>14</v>
      </c>
      <c r="O35" s="138">
        <v>0</v>
      </c>
      <c r="S35" s="138">
        <v>65</v>
      </c>
      <c r="T35" s="138">
        <v>10</v>
      </c>
      <c r="U35" s="138">
        <f t="shared" si="0"/>
        <v>75</v>
      </c>
      <c r="W35" s="139">
        <f t="shared" ref="W35:AA35" si="68">J35/$I35</f>
        <v>0.44194107452339687</v>
      </c>
      <c r="X35" s="139">
        <f t="shared" si="68"/>
        <v>0.40381282495667242</v>
      </c>
      <c r="Y35" s="139">
        <f t="shared" si="68"/>
        <v>0</v>
      </c>
      <c r="Z35" s="139">
        <f t="shared" si="68"/>
        <v>0</v>
      </c>
      <c r="AA35" s="139">
        <f t="shared" si="68"/>
        <v>2.4263431542461005E-2</v>
      </c>
      <c r="AB35" s="139"/>
      <c r="AC35" s="139">
        <f t="shared" si="2"/>
        <v>0.12998266897746968</v>
      </c>
      <c r="AD35" s="139">
        <f t="shared" ref="AD35:AI35" si="69">O35/$I35</f>
        <v>0</v>
      </c>
      <c r="AE35" s="139">
        <f t="shared" si="69"/>
        <v>0</v>
      </c>
      <c r="AF35" s="139">
        <f t="shared" si="69"/>
        <v>0</v>
      </c>
      <c r="AG35" s="139">
        <f t="shared" si="69"/>
        <v>0</v>
      </c>
      <c r="AH35" s="139">
        <f t="shared" si="69"/>
        <v>0.11265164644714037</v>
      </c>
      <c r="AI35" s="139">
        <f t="shared" si="69"/>
        <v>1.7331022530329289E-2</v>
      </c>
    </row>
    <row r="36" spans="1:35">
      <c r="A36" s="138">
        <v>52</v>
      </c>
      <c r="B36" s="138" t="s">
        <v>8077</v>
      </c>
      <c r="C36" s="138" t="s">
        <v>4367</v>
      </c>
      <c r="D36" s="138" t="s">
        <v>19</v>
      </c>
      <c r="E36" s="138" t="s">
        <v>147</v>
      </c>
      <c r="F36" s="138" t="s">
        <v>2363</v>
      </c>
      <c r="H36" s="138">
        <v>35</v>
      </c>
      <c r="I36" s="138">
        <v>562</v>
      </c>
      <c r="J36" s="138">
        <v>238</v>
      </c>
      <c r="K36" s="138">
        <v>277</v>
      </c>
      <c r="N36" s="138">
        <v>14</v>
      </c>
      <c r="O36" s="138">
        <v>2</v>
      </c>
      <c r="S36" s="138">
        <v>28</v>
      </c>
      <c r="T36" s="138">
        <v>3</v>
      </c>
      <c r="U36" s="138">
        <f t="shared" si="0"/>
        <v>33</v>
      </c>
      <c r="W36" s="139">
        <f t="shared" ref="W36:AA36" si="70">J36/$I36</f>
        <v>0.42348754448398579</v>
      </c>
      <c r="X36" s="139">
        <f t="shared" si="70"/>
        <v>0.49288256227758009</v>
      </c>
      <c r="Y36" s="139">
        <f t="shared" si="70"/>
        <v>0</v>
      </c>
      <c r="Z36" s="139">
        <f t="shared" si="70"/>
        <v>0</v>
      </c>
      <c r="AA36" s="139">
        <f t="shared" si="70"/>
        <v>2.491103202846975E-2</v>
      </c>
      <c r="AB36" s="139"/>
      <c r="AC36" s="139">
        <f t="shared" si="2"/>
        <v>5.8718861209964411E-2</v>
      </c>
      <c r="AD36" s="139">
        <f t="shared" ref="AD36:AI36" si="71">O36/$I36</f>
        <v>3.5587188612099642E-3</v>
      </c>
      <c r="AE36" s="139">
        <f t="shared" si="71"/>
        <v>0</v>
      </c>
      <c r="AF36" s="139">
        <f t="shared" si="71"/>
        <v>0</v>
      </c>
      <c r="AG36" s="139">
        <f t="shared" si="71"/>
        <v>0</v>
      </c>
      <c r="AH36" s="139">
        <f t="shared" si="71"/>
        <v>4.9822064056939501E-2</v>
      </c>
      <c r="AI36" s="139">
        <f t="shared" si="71"/>
        <v>5.3380782918149468E-3</v>
      </c>
    </row>
    <row r="37" spans="1:35">
      <c r="A37" s="138">
        <v>52</v>
      </c>
      <c r="B37" s="138" t="s">
        <v>8077</v>
      </c>
      <c r="C37" s="138" t="s">
        <v>4367</v>
      </c>
      <c r="D37" s="138" t="s">
        <v>19</v>
      </c>
      <c r="E37" s="138" t="s">
        <v>147</v>
      </c>
      <c r="F37" s="138" t="s">
        <v>2363</v>
      </c>
      <c r="H37" s="138">
        <v>36</v>
      </c>
      <c r="I37" s="138">
        <v>597</v>
      </c>
      <c r="J37" s="138">
        <v>369</v>
      </c>
      <c r="K37" s="138">
        <v>177</v>
      </c>
      <c r="N37" s="138">
        <v>5</v>
      </c>
      <c r="O37" s="138">
        <v>2</v>
      </c>
      <c r="S37" s="138">
        <v>36</v>
      </c>
      <c r="T37" s="138">
        <v>8</v>
      </c>
      <c r="U37" s="138">
        <f t="shared" si="0"/>
        <v>46</v>
      </c>
      <c r="W37" s="139">
        <f t="shared" ref="W37:AA37" si="72">J37/$I37</f>
        <v>0.61809045226130654</v>
      </c>
      <c r="X37" s="139">
        <f t="shared" si="72"/>
        <v>0.29648241206030151</v>
      </c>
      <c r="Y37" s="139">
        <f t="shared" si="72"/>
        <v>0</v>
      </c>
      <c r="Z37" s="139">
        <f t="shared" si="72"/>
        <v>0</v>
      </c>
      <c r="AA37" s="139">
        <f t="shared" si="72"/>
        <v>8.3752093802345051E-3</v>
      </c>
      <c r="AB37" s="139"/>
      <c r="AC37" s="139">
        <f t="shared" si="2"/>
        <v>7.705192629815745E-2</v>
      </c>
      <c r="AD37" s="139">
        <f t="shared" ref="AD37:AI37" si="73">O37/$I37</f>
        <v>3.3500837520938024E-3</v>
      </c>
      <c r="AE37" s="139">
        <f t="shared" si="73"/>
        <v>0</v>
      </c>
      <c r="AF37" s="139">
        <f t="shared" si="73"/>
        <v>0</v>
      </c>
      <c r="AG37" s="139">
        <f t="shared" si="73"/>
        <v>0</v>
      </c>
      <c r="AH37" s="139">
        <f t="shared" si="73"/>
        <v>6.030150753768844E-2</v>
      </c>
      <c r="AI37" s="139">
        <f t="shared" si="73"/>
        <v>1.340033500837521E-2</v>
      </c>
    </row>
    <row r="38" spans="1:35">
      <c r="A38" s="138">
        <v>52</v>
      </c>
      <c r="B38" s="138" t="s">
        <v>8077</v>
      </c>
      <c r="C38" s="138" t="s">
        <v>4367</v>
      </c>
      <c r="D38" s="138" t="s">
        <v>19</v>
      </c>
      <c r="E38" s="138" t="s">
        <v>147</v>
      </c>
      <c r="F38" s="138" t="s">
        <v>2363</v>
      </c>
      <c r="H38" s="138">
        <v>37</v>
      </c>
      <c r="I38" s="138">
        <v>977</v>
      </c>
      <c r="J38" s="138">
        <v>570</v>
      </c>
      <c r="K38" s="138">
        <v>244</v>
      </c>
      <c r="N38" s="138">
        <v>3</v>
      </c>
      <c r="O38" s="138">
        <v>3</v>
      </c>
      <c r="S38" s="138">
        <v>146</v>
      </c>
      <c r="T38" s="138">
        <v>11</v>
      </c>
      <c r="U38" s="138">
        <f t="shared" si="0"/>
        <v>160</v>
      </c>
      <c r="W38" s="139">
        <f t="shared" ref="W38:AA38" si="74">J38/$I38</f>
        <v>0.58341862845445236</v>
      </c>
      <c r="X38" s="139">
        <f t="shared" si="74"/>
        <v>0.24974411463664278</v>
      </c>
      <c r="Y38" s="139">
        <f t="shared" si="74"/>
        <v>0</v>
      </c>
      <c r="Z38" s="139">
        <f t="shared" si="74"/>
        <v>0</v>
      </c>
      <c r="AA38" s="139">
        <f t="shared" si="74"/>
        <v>3.0706243602865915E-3</v>
      </c>
      <c r="AB38" s="139"/>
      <c r="AC38" s="139">
        <f t="shared" si="2"/>
        <v>0.16376663254861823</v>
      </c>
      <c r="AD38" s="139">
        <f t="shared" ref="AD38:AI38" si="75">O38/$I38</f>
        <v>3.0706243602865915E-3</v>
      </c>
      <c r="AE38" s="139">
        <f t="shared" si="75"/>
        <v>0</v>
      </c>
      <c r="AF38" s="139">
        <f t="shared" si="75"/>
        <v>0</v>
      </c>
      <c r="AG38" s="139">
        <f t="shared" si="75"/>
        <v>0</v>
      </c>
      <c r="AH38" s="139">
        <f t="shared" si="75"/>
        <v>0.14943705220061412</v>
      </c>
      <c r="AI38" s="139">
        <f t="shared" si="75"/>
        <v>1.1258955987717503E-2</v>
      </c>
    </row>
    <row r="39" spans="1:35">
      <c r="A39" s="138">
        <v>52</v>
      </c>
      <c r="B39" s="138" t="s">
        <v>8077</v>
      </c>
      <c r="C39" s="138" t="s">
        <v>4367</v>
      </c>
      <c r="D39" s="138" t="s">
        <v>19</v>
      </c>
      <c r="E39" s="138" t="s">
        <v>147</v>
      </c>
      <c r="F39" s="138" t="s">
        <v>2363</v>
      </c>
      <c r="H39" s="138">
        <v>38</v>
      </c>
      <c r="I39" s="138">
        <v>643</v>
      </c>
      <c r="J39" s="138">
        <v>366</v>
      </c>
      <c r="K39" s="138">
        <v>125</v>
      </c>
      <c r="N39" s="138">
        <v>14</v>
      </c>
      <c r="O39" s="138">
        <v>3</v>
      </c>
      <c r="S39" s="138">
        <v>124</v>
      </c>
      <c r="T39" s="138">
        <v>11</v>
      </c>
      <c r="U39" s="138">
        <f t="shared" si="0"/>
        <v>138</v>
      </c>
      <c r="W39" s="139">
        <f t="shared" ref="W39:AA39" si="76">J39/$I39</f>
        <v>0.56920684292379475</v>
      </c>
      <c r="X39" s="139">
        <f t="shared" si="76"/>
        <v>0.19440124416796267</v>
      </c>
      <c r="Y39" s="139">
        <f t="shared" si="76"/>
        <v>0</v>
      </c>
      <c r="Z39" s="139">
        <f t="shared" si="76"/>
        <v>0</v>
      </c>
      <c r="AA39" s="139">
        <f t="shared" si="76"/>
        <v>2.177293934681182E-2</v>
      </c>
      <c r="AB39" s="139"/>
      <c r="AC39" s="139">
        <f t="shared" si="2"/>
        <v>0.21461897356143078</v>
      </c>
      <c r="AD39" s="139">
        <f t="shared" ref="AD39:AI39" si="77">O39/$I39</f>
        <v>4.6656298600311046E-3</v>
      </c>
      <c r="AE39" s="139">
        <f t="shared" si="77"/>
        <v>0</v>
      </c>
      <c r="AF39" s="139">
        <f t="shared" si="77"/>
        <v>0</v>
      </c>
      <c r="AG39" s="139">
        <f t="shared" si="77"/>
        <v>0</v>
      </c>
      <c r="AH39" s="139">
        <f t="shared" si="77"/>
        <v>0.19284603421461896</v>
      </c>
      <c r="AI39" s="139">
        <f t="shared" si="77"/>
        <v>1.7107309486780714E-2</v>
      </c>
    </row>
    <row r="40" spans="1:35">
      <c r="A40" s="138">
        <v>52</v>
      </c>
      <c r="B40" s="138" t="s">
        <v>8077</v>
      </c>
      <c r="C40" s="138" t="s">
        <v>4367</v>
      </c>
      <c r="D40" s="138" t="s">
        <v>19</v>
      </c>
      <c r="E40" s="138" t="s">
        <v>147</v>
      </c>
      <c r="F40" s="138" t="s">
        <v>2363</v>
      </c>
      <c r="H40" s="138">
        <v>39</v>
      </c>
      <c r="I40" s="138">
        <v>677</v>
      </c>
      <c r="J40" s="138">
        <v>477</v>
      </c>
      <c r="K40" s="138">
        <v>123</v>
      </c>
      <c r="N40" s="138">
        <v>8</v>
      </c>
      <c r="O40" s="138">
        <v>1</v>
      </c>
      <c r="S40" s="138">
        <v>64</v>
      </c>
      <c r="T40" s="138">
        <v>4</v>
      </c>
      <c r="U40" s="138">
        <f t="shared" si="0"/>
        <v>69</v>
      </c>
      <c r="W40" s="139">
        <f t="shared" ref="W40:AA40" si="78">J40/$I40</f>
        <v>0.70457902511078285</v>
      </c>
      <c r="X40" s="139">
        <f t="shared" si="78"/>
        <v>0.18168389955686853</v>
      </c>
      <c r="Y40" s="139">
        <f t="shared" si="78"/>
        <v>0</v>
      </c>
      <c r="Z40" s="139">
        <f t="shared" si="78"/>
        <v>0</v>
      </c>
      <c r="AA40" s="139">
        <f t="shared" si="78"/>
        <v>1.1816838995568686E-2</v>
      </c>
      <c r="AB40" s="139"/>
      <c r="AC40" s="139">
        <f t="shared" si="2"/>
        <v>0.10192023633677991</v>
      </c>
      <c r="AD40" s="139">
        <f t="shared" ref="AD40:AI40" si="79">O40/$I40</f>
        <v>1.4771048744460858E-3</v>
      </c>
      <c r="AE40" s="139">
        <f t="shared" si="79"/>
        <v>0</v>
      </c>
      <c r="AF40" s="139">
        <f t="shared" si="79"/>
        <v>0</v>
      </c>
      <c r="AG40" s="139">
        <f t="shared" si="79"/>
        <v>0</v>
      </c>
      <c r="AH40" s="139">
        <f t="shared" si="79"/>
        <v>9.4534711964549489E-2</v>
      </c>
      <c r="AI40" s="139">
        <f t="shared" si="79"/>
        <v>5.9084194977843431E-3</v>
      </c>
    </row>
    <row r="41" spans="1:35">
      <c r="A41" s="138">
        <v>52</v>
      </c>
      <c r="B41" s="138" t="s">
        <v>8077</v>
      </c>
      <c r="C41" s="138" t="s">
        <v>4367</v>
      </c>
      <c r="D41" s="138" t="s">
        <v>19</v>
      </c>
      <c r="E41" s="138" t="s">
        <v>147</v>
      </c>
      <c r="F41" s="138" t="s">
        <v>2363</v>
      </c>
      <c r="H41" s="138">
        <v>40</v>
      </c>
      <c r="I41" s="138">
        <v>1132</v>
      </c>
      <c r="J41" s="138">
        <v>575</v>
      </c>
      <c r="K41" s="138">
        <v>372</v>
      </c>
      <c r="N41" s="138">
        <v>4</v>
      </c>
      <c r="O41" s="138">
        <v>5</v>
      </c>
      <c r="S41" s="138">
        <v>158</v>
      </c>
      <c r="T41" s="138">
        <v>18</v>
      </c>
      <c r="U41" s="138">
        <f t="shared" si="0"/>
        <v>181</v>
      </c>
      <c r="W41" s="139">
        <f t="shared" ref="W41:AA41" si="80">J41/$I41</f>
        <v>0.50795053003533563</v>
      </c>
      <c r="X41" s="139">
        <f t="shared" si="80"/>
        <v>0.32862190812720848</v>
      </c>
      <c r="Y41" s="139">
        <f t="shared" si="80"/>
        <v>0</v>
      </c>
      <c r="Z41" s="139">
        <f t="shared" si="80"/>
        <v>0</v>
      </c>
      <c r="AA41" s="139">
        <f t="shared" si="80"/>
        <v>3.5335689045936395E-3</v>
      </c>
      <c r="AB41" s="139"/>
      <c r="AC41" s="139">
        <f t="shared" si="2"/>
        <v>0.15989399293286219</v>
      </c>
      <c r="AD41" s="139">
        <f t="shared" ref="AD41:AI41" si="81">O41/$I41</f>
        <v>4.4169611307420496E-3</v>
      </c>
      <c r="AE41" s="139">
        <f t="shared" si="81"/>
        <v>0</v>
      </c>
      <c r="AF41" s="139">
        <f t="shared" si="81"/>
        <v>0</v>
      </c>
      <c r="AG41" s="139">
        <f t="shared" si="81"/>
        <v>0</v>
      </c>
      <c r="AH41" s="139">
        <f t="shared" si="81"/>
        <v>0.13957597173144876</v>
      </c>
      <c r="AI41" s="139">
        <f t="shared" si="81"/>
        <v>1.5901060070671377E-2</v>
      </c>
    </row>
    <row r="42" spans="1:35">
      <c r="A42" s="138">
        <v>52</v>
      </c>
      <c r="B42" s="138" t="s">
        <v>8077</v>
      </c>
      <c r="C42" s="138" t="s">
        <v>4367</v>
      </c>
      <c r="D42" s="138" t="s">
        <v>19</v>
      </c>
      <c r="E42" s="138" t="s">
        <v>147</v>
      </c>
      <c r="F42" s="138" t="s">
        <v>8083</v>
      </c>
      <c r="H42" s="138">
        <v>41</v>
      </c>
      <c r="I42" s="138">
        <v>487</v>
      </c>
      <c r="J42" s="138">
        <v>339</v>
      </c>
      <c r="K42" s="138">
        <v>118</v>
      </c>
      <c r="N42" s="138">
        <v>3</v>
      </c>
      <c r="O42" s="138">
        <v>1</v>
      </c>
      <c r="S42" s="138">
        <v>24</v>
      </c>
      <c r="T42" s="138">
        <v>2</v>
      </c>
      <c r="U42" s="138">
        <f t="shared" si="0"/>
        <v>27</v>
      </c>
      <c r="W42" s="139">
        <f t="shared" ref="W42:AA42" si="82">J42/$I42</f>
        <v>0.6960985626283368</v>
      </c>
      <c r="X42" s="139">
        <f t="shared" si="82"/>
        <v>0.24229979466119098</v>
      </c>
      <c r="Y42" s="139">
        <f t="shared" si="82"/>
        <v>0</v>
      </c>
      <c r="Z42" s="139">
        <f t="shared" si="82"/>
        <v>0</v>
      </c>
      <c r="AA42" s="139">
        <f t="shared" si="82"/>
        <v>6.1601642710472282E-3</v>
      </c>
      <c r="AB42" s="139"/>
      <c r="AC42" s="139">
        <f t="shared" si="2"/>
        <v>5.5441478439425054E-2</v>
      </c>
      <c r="AD42" s="139">
        <f t="shared" ref="AD42:AI42" si="83">O42/$I42</f>
        <v>2.0533880903490761E-3</v>
      </c>
      <c r="AE42" s="139">
        <f t="shared" si="83"/>
        <v>0</v>
      </c>
      <c r="AF42" s="139">
        <f t="shared" si="83"/>
        <v>0</v>
      </c>
      <c r="AG42" s="139">
        <f t="shared" si="83"/>
        <v>0</v>
      </c>
      <c r="AH42" s="139">
        <f t="shared" si="83"/>
        <v>4.9281314168377825E-2</v>
      </c>
      <c r="AI42" s="139">
        <f t="shared" si="83"/>
        <v>4.1067761806981521E-3</v>
      </c>
    </row>
    <row r="43" spans="1:35">
      <c r="A43" s="138">
        <v>52</v>
      </c>
      <c r="B43" s="138" t="s">
        <v>8077</v>
      </c>
      <c r="C43" s="138" t="s">
        <v>4367</v>
      </c>
      <c r="D43" s="138" t="s">
        <v>19</v>
      </c>
      <c r="E43" s="138" t="s">
        <v>147</v>
      </c>
      <c r="F43" s="138" t="s">
        <v>8083</v>
      </c>
      <c r="H43" s="138">
        <v>42</v>
      </c>
      <c r="I43" s="138">
        <v>810</v>
      </c>
      <c r="J43" s="138">
        <v>594</v>
      </c>
      <c r="K43" s="138">
        <v>91</v>
      </c>
      <c r="N43" s="138">
        <v>5</v>
      </c>
      <c r="O43" s="138">
        <v>5</v>
      </c>
      <c r="S43" s="138">
        <v>107</v>
      </c>
      <c r="T43" s="138">
        <v>8</v>
      </c>
      <c r="U43" s="138">
        <f t="shared" si="0"/>
        <v>120</v>
      </c>
      <c r="W43" s="139">
        <f t="shared" ref="W43:AA43" si="84">J43/$I43</f>
        <v>0.73333333333333328</v>
      </c>
      <c r="X43" s="139">
        <f t="shared" si="84"/>
        <v>0.11234567901234568</v>
      </c>
      <c r="Y43" s="139">
        <f t="shared" si="84"/>
        <v>0</v>
      </c>
      <c r="Z43" s="139">
        <f t="shared" si="84"/>
        <v>0</v>
      </c>
      <c r="AA43" s="139">
        <f t="shared" si="84"/>
        <v>6.1728395061728392E-3</v>
      </c>
      <c r="AB43" s="139"/>
      <c r="AC43" s="139">
        <f t="shared" si="2"/>
        <v>0.14814814814814814</v>
      </c>
      <c r="AD43" s="139">
        <f t="shared" ref="AD43:AI43" si="85">O43/$I43</f>
        <v>6.1728395061728392E-3</v>
      </c>
      <c r="AE43" s="139">
        <f t="shared" si="85"/>
        <v>0</v>
      </c>
      <c r="AF43" s="139">
        <f t="shared" si="85"/>
        <v>0</v>
      </c>
      <c r="AG43" s="139">
        <f t="shared" si="85"/>
        <v>0</v>
      </c>
      <c r="AH43" s="139">
        <f t="shared" si="85"/>
        <v>0.13209876543209875</v>
      </c>
      <c r="AI43" s="139">
        <f t="shared" si="85"/>
        <v>9.876543209876543E-3</v>
      </c>
    </row>
    <row r="44" spans="1:35">
      <c r="A44" s="138">
        <v>52</v>
      </c>
      <c r="B44" s="138" t="s">
        <v>8077</v>
      </c>
      <c r="C44" s="138" t="s">
        <v>4367</v>
      </c>
      <c r="D44" s="138" t="s">
        <v>19</v>
      </c>
      <c r="E44" s="138" t="s">
        <v>147</v>
      </c>
      <c r="F44" s="138" t="s">
        <v>8084</v>
      </c>
      <c r="H44" s="138">
        <v>43</v>
      </c>
      <c r="I44" s="138">
        <v>688</v>
      </c>
      <c r="J44" s="138">
        <v>517</v>
      </c>
      <c r="K44" s="138">
        <v>91</v>
      </c>
      <c r="N44" s="138">
        <v>5</v>
      </c>
      <c r="O44" s="138">
        <v>3</v>
      </c>
      <c r="S44" s="138">
        <v>70</v>
      </c>
      <c r="T44" s="138">
        <v>2</v>
      </c>
      <c r="U44" s="138">
        <f t="shared" si="0"/>
        <v>75</v>
      </c>
      <c r="W44" s="139">
        <f t="shared" ref="W44:AA44" si="86">J44/$I44</f>
        <v>0.75145348837209303</v>
      </c>
      <c r="X44" s="139">
        <f t="shared" si="86"/>
        <v>0.13226744186046513</v>
      </c>
      <c r="Y44" s="139">
        <f t="shared" si="86"/>
        <v>0</v>
      </c>
      <c r="Z44" s="139">
        <f t="shared" si="86"/>
        <v>0</v>
      </c>
      <c r="AA44" s="139">
        <f t="shared" si="86"/>
        <v>7.2674418604651162E-3</v>
      </c>
      <c r="AB44" s="139"/>
      <c r="AC44" s="139">
        <f t="shared" si="2"/>
        <v>0.10901162790697674</v>
      </c>
      <c r="AD44" s="139">
        <f t="shared" ref="AD44:AI44" si="87">O44/$I44</f>
        <v>4.3604651162790697E-3</v>
      </c>
      <c r="AE44" s="139">
        <f t="shared" si="87"/>
        <v>0</v>
      </c>
      <c r="AF44" s="139">
        <f t="shared" si="87"/>
        <v>0</v>
      </c>
      <c r="AG44" s="139">
        <f t="shared" si="87"/>
        <v>0</v>
      </c>
      <c r="AH44" s="139">
        <f t="shared" si="87"/>
        <v>0.10174418604651163</v>
      </c>
      <c r="AI44" s="139">
        <f t="shared" si="87"/>
        <v>2.9069767441860465E-3</v>
      </c>
    </row>
    <row r="45" spans="1:35">
      <c r="A45" s="138">
        <v>52</v>
      </c>
      <c r="B45" s="138" t="s">
        <v>8077</v>
      </c>
      <c r="C45" s="138" t="s">
        <v>4367</v>
      </c>
      <c r="D45" s="138" t="s">
        <v>19</v>
      </c>
      <c r="E45" s="138" t="s">
        <v>147</v>
      </c>
      <c r="F45" s="138" t="s">
        <v>8084</v>
      </c>
      <c r="H45" s="138">
        <v>44</v>
      </c>
      <c r="I45" s="138">
        <v>798</v>
      </c>
      <c r="J45" s="138">
        <v>625</v>
      </c>
      <c r="K45" s="138">
        <v>115</v>
      </c>
      <c r="N45" s="138">
        <v>3</v>
      </c>
      <c r="O45" s="138">
        <v>0</v>
      </c>
      <c r="S45" s="138">
        <v>53</v>
      </c>
      <c r="T45" s="138">
        <v>2</v>
      </c>
      <c r="U45" s="138">
        <f t="shared" si="0"/>
        <v>55</v>
      </c>
      <c r="W45" s="139">
        <f t="shared" ref="W45:AA45" si="88">J45/$I45</f>
        <v>0.78320802005012535</v>
      </c>
      <c r="X45" s="139">
        <f t="shared" si="88"/>
        <v>0.14411027568922305</v>
      </c>
      <c r="Y45" s="139">
        <f t="shared" si="88"/>
        <v>0</v>
      </c>
      <c r="Z45" s="139">
        <f t="shared" si="88"/>
        <v>0</v>
      </c>
      <c r="AA45" s="139">
        <f t="shared" si="88"/>
        <v>3.7593984962406013E-3</v>
      </c>
      <c r="AB45" s="139"/>
      <c r="AC45" s="139">
        <f t="shared" si="2"/>
        <v>6.8922305764411024E-2</v>
      </c>
      <c r="AD45" s="139">
        <f t="shared" ref="AD45:AI45" si="89">O45/$I45</f>
        <v>0</v>
      </c>
      <c r="AE45" s="139">
        <f t="shared" si="89"/>
        <v>0</v>
      </c>
      <c r="AF45" s="139">
        <f t="shared" si="89"/>
        <v>0</v>
      </c>
      <c r="AG45" s="139">
        <f t="shared" si="89"/>
        <v>0</v>
      </c>
      <c r="AH45" s="139">
        <f t="shared" si="89"/>
        <v>6.6416040100250623E-2</v>
      </c>
      <c r="AI45" s="139">
        <f t="shared" si="89"/>
        <v>2.5062656641604009E-3</v>
      </c>
    </row>
    <row r="46" spans="1:35">
      <c r="A46" s="138">
        <v>52</v>
      </c>
      <c r="B46" s="138" t="s">
        <v>8077</v>
      </c>
      <c r="C46" s="138" t="s">
        <v>4367</v>
      </c>
      <c r="D46" s="138" t="s">
        <v>19</v>
      </c>
      <c r="E46" s="138" t="s">
        <v>147</v>
      </c>
      <c r="F46" s="138" t="s">
        <v>8085</v>
      </c>
      <c r="H46" s="138">
        <v>45</v>
      </c>
      <c r="I46" s="138">
        <v>527</v>
      </c>
      <c r="J46" s="138">
        <v>236</v>
      </c>
      <c r="K46" s="138">
        <v>239</v>
      </c>
      <c r="N46" s="138">
        <v>17</v>
      </c>
      <c r="O46" s="138">
        <v>3</v>
      </c>
      <c r="S46" s="138">
        <v>28</v>
      </c>
      <c r="T46" s="138">
        <v>4</v>
      </c>
      <c r="U46" s="138">
        <f t="shared" si="0"/>
        <v>35</v>
      </c>
      <c r="W46" s="139">
        <f t="shared" ref="W46:AA46" si="90">J46/$I46</f>
        <v>0.44781783681214421</v>
      </c>
      <c r="X46" s="139">
        <f t="shared" si="90"/>
        <v>0.45351043643263755</v>
      </c>
      <c r="Y46" s="139">
        <f t="shared" si="90"/>
        <v>0</v>
      </c>
      <c r="Z46" s="139">
        <f t="shared" si="90"/>
        <v>0</v>
      </c>
      <c r="AA46" s="139">
        <f t="shared" si="90"/>
        <v>3.2258064516129031E-2</v>
      </c>
      <c r="AB46" s="139"/>
      <c r="AC46" s="139">
        <f t="shared" si="2"/>
        <v>6.6413662239089177E-2</v>
      </c>
      <c r="AD46" s="139">
        <f t="shared" ref="AD46:AI46" si="91">O46/$I46</f>
        <v>5.6925996204933585E-3</v>
      </c>
      <c r="AE46" s="139">
        <f t="shared" si="91"/>
        <v>0</v>
      </c>
      <c r="AF46" s="139">
        <f t="shared" si="91"/>
        <v>0</v>
      </c>
      <c r="AG46" s="139">
        <f t="shared" si="91"/>
        <v>0</v>
      </c>
      <c r="AH46" s="139">
        <f t="shared" si="91"/>
        <v>5.3130929791271347E-2</v>
      </c>
      <c r="AI46" s="139">
        <f t="shared" si="91"/>
        <v>7.5901328273244783E-3</v>
      </c>
    </row>
    <row r="47" spans="1:35">
      <c r="A47" s="138">
        <v>52</v>
      </c>
      <c r="B47" s="138" t="s">
        <v>8077</v>
      </c>
      <c r="C47" s="138" t="s">
        <v>4367</v>
      </c>
      <c r="D47" s="138" t="s">
        <v>19</v>
      </c>
      <c r="E47" s="138" t="s">
        <v>147</v>
      </c>
      <c r="F47" s="138" t="s">
        <v>8085</v>
      </c>
      <c r="H47" s="138">
        <v>46</v>
      </c>
      <c r="I47" s="138">
        <v>729</v>
      </c>
      <c r="J47" s="138">
        <v>360</v>
      </c>
      <c r="K47" s="138">
        <v>286</v>
      </c>
      <c r="N47" s="138">
        <v>10</v>
      </c>
      <c r="O47" s="138">
        <v>6</v>
      </c>
      <c r="S47" s="138">
        <v>55</v>
      </c>
      <c r="T47" s="138">
        <v>12</v>
      </c>
      <c r="U47" s="138">
        <f t="shared" si="0"/>
        <v>73</v>
      </c>
      <c r="W47" s="139">
        <f t="shared" ref="W47:AA47" si="92">J47/$I47</f>
        <v>0.49382716049382713</v>
      </c>
      <c r="X47" s="139">
        <f t="shared" si="92"/>
        <v>0.39231824417009603</v>
      </c>
      <c r="Y47" s="139">
        <f t="shared" si="92"/>
        <v>0</v>
      </c>
      <c r="Z47" s="139">
        <f t="shared" si="92"/>
        <v>0</v>
      </c>
      <c r="AA47" s="139">
        <f t="shared" si="92"/>
        <v>1.3717421124828532E-2</v>
      </c>
      <c r="AB47" s="139"/>
      <c r="AC47" s="139">
        <f t="shared" si="2"/>
        <v>0.10013717421124829</v>
      </c>
      <c r="AD47" s="139">
        <f t="shared" ref="AD47:AI47" si="93">O47/$I47</f>
        <v>8.23045267489712E-3</v>
      </c>
      <c r="AE47" s="139">
        <f t="shared" si="93"/>
        <v>0</v>
      </c>
      <c r="AF47" s="139">
        <f t="shared" si="93"/>
        <v>0</v>
      </c>
      <c r="AG47" s="139">
        <f t="shared" si="93"/>
        <v>0</v>
      </c>
      <c r="AH47" s="139">
        <f t="shared" si="93"/>
        <v>7.5445816186556922E-2</v>
      </c>
      <c r="AI47" s="139">
        <f t="shared" si="93"/>
        <v>1.646090534979424E-2</v>
      </c>
    </row>
    <row r="48" spans="1:35">
      <c r="A48" s="138">
        <v>52</v>
      </c>
      <c r="B48" s="138" t="s">
        <v>8077</v>
      </c>
      <c r="C48" s="138" t="s">
        <v>4367</v>
      </c>
      <c r="D48" s="138" t="s">
        <v>19</v>
      </c>
      <c r="E48" s="138" t="s">
        <v>147</v>
      </c>
      <c r="F48" s="138" t="s">
        <v>8085</v>
      </c>
      <c r="H48" s="138">
        <v>47</v>
      </c>
      <c r="I48" s="138">
        <v>915</v>
      </c>
      <c r="J48" s="138">
        <v>739</v>
      </c>
      <c r="K48" s="138">
        <v>119</v>
      </c>
      <c r="N48" s="138">
        <v>8</v>
      </c>
      <c r="O48" s="138">
        <v>3</v>
      </c>
      <c r="S48" s="138">
        <v>42</v>
      </c>
      <c r="T48" s="138">
        <v>4</v>
      </c>
      <c r="U48" s="138">
        <f t="shared" si="0"/>
        <v>49</v>
      </c>
      <c r="W48" s="139">
        <f t="shared" ref="W48:AA48" si="94">J48/$I48</f>
        <v>0.8076502732240437</v>
      </c>
      <c r="X48" s="139">
        <f t="shared" si="94"/>
        <v>0.13005464480874318</v>
      </c>
      <c r="Y48" s="139">
        <f t="shared" si="94"/>
        <v>0</v>
      </c>
      <c r="Z48" s="139">
        <f t="shared" si="94"/>
        <v>0</v>
      </c>
      <c r="AA48" s="139">
        <f t="shared" si="94"/>
        <v>8.7431693989071038E-3</v>
      </c>
      <c r="AB48" s="139"/>
      <c r="AC48" s="139">
        <f t="shared" si="2"/>
        <v>5.3551912568306013E-2</v>
      </c>
      <c r="AD48" s="139">
        <f t="shared" ref="AD48:AI48" si="95">O48/$I48</f>
        <v>3.2786885245901639E-3</v>
      </c>
      <c r="AE48" s="139">
        <f t="shared" si="95"/>
        <v>0</v>
      </c>
      <c r="AF48" s="139">
        <f t="shared" si="95"/>
        <v>0</v>
      </c>
      <c r="AG48" s="139">
        <f t="shared" si="95"/>
        <v>0</v>
      </c>
      <c r="AH48" s="139">
        <f t="shared" si="95"/>
        <v>4.5901639344262293E-2</v>
      </c>
      <c r="AI48" s="139">
        <f t="shared" si="95"/>
        <v>4.3715846994535519E-3</v>
      </c>
    </row>
    <row r="49" spans="1:35">
      <c r="A49" s="138">
        <v>52</v>
      </c>
      <c r="B49" s="138" t="s">
        <v>8077</v>
      </c>
      <c r="C49" s="138" t="s">
        <v>4367</v>
      </c>
      <c r="D49" s="138" t="s">
        <v>19</v>
      </c>
      <c r="E49" s="138" t="s">
        <v>147</v>
      </c>
      <c r="F49" s="138" t="s">
        <v>8085</v>
      </c>
      <c r="H49" s="138">
        <v>48</v>
      </c>
      <c r="I49" s="138">
        <v>646</v>
      </c>
      <c r="J49" s="138">
        <v>419</v>
      </c>
      <c r="K49" s="138">
        <v>129</v>
      </c>
      <c r="N49" s="138">
        <v>5</v>
      </c>
      <c r="O49" s="138">
        <v>8</v>
      </c>
      <c r="S49" s="138">
        <v>74</v>
      </c>
      <c r="T49" s="138">
        <v>11</v>
      </c>
      <c r="U49" s="138">
        <f t="shared" si="0"/>
        <v>93</v>
      </c>
      <c r="W49" s="139">
        <f t="shared" ref="W49:AA49" si="96">J49/$I49</f>
        <v>0.64860681114551089</v>
      </c>
      <c r="X49" s="139">
        <f t="shared" si="96"/>
        <v>0.19969040247678019</v>
      </c>
      <c r="Y49" s="139">
        <f t="shared" si="96"/>
        <v>0</v>
      </c>
      <c r="Z49" s="139">
        <f t="shared" si="96"/>
        <v>0</v>
      </c>
      <c r="AA49" s="139">
        <f t="shared" si="96"/>
        <v>7.7399380804953561E-3</v>
      </c>
      <c r="AB49" s="139"/>
      <c r="AC49" s="139">
        <f t="shared" si="2"/>
        <v>0.14396284829721362</v>
      </c>
      <c r="AD49" s="139">
        <f t="shared" ref="AD49:AI49" si="97">O49/$I49</f>
        <v>1.238390092879257E-2</v>
      </c>
      <c r="AE49" s="139">
        <f t="shared" si="97"/>
        <v>0</v>
      </c>
      <c r="AF49" s="139">
        <f t="shared" si="97"/>
        <v>0</v>
      </c>
      <c r="AG49" s="139">
        <f t="shared" si="97"/>
        <v>0</v>
      </c>
      <c r="AH49" s="139">
        <f t="shared" si="97"/>
        <v>0.11455108359133127</v>
      </c>
      <c r="AI49" s="139">
        <f t="shared" si="97"/>
        <v>1.7027863777089782E-2</v>
      </c>
    </row>
    <row r="50" spans="1:35">
      <c r="A50" s="138">
        <v>52</v>
      </c>
      <c r="B50" s="138" t="s">
        <v>8077</v>
      </c>
      <c r="C50" s="138" t="s">
        <v>4367</v>
      </c>
      <c r="D50" s="138" t="s">
        <v>19</v>
      </c>
      <c r="E50" s="138" t="s">
        <v>147</v>
      </c>
      <c r="F50" s="138" t="s">
        <v>8085</v>
      </c>
      <c r="H50" s="138">
        <v>49</v>
      </c>
      <c r="I50" s="138">
        <v>738</v>
      </c>
      <c r="J50" s="138">
        <v>447</v>
      </c>
      <c r="K50" s="138">
        <v>230</v>
      </c>
      <c r="N50" s="138">
        <v>8</v>
      </c>
      <c r="O50" s="138">
        <v>8</v>
      </c>
      <c r="S50" s="138">
        <v>35</v>
      </c>
      <c r="T50" s="138">
        <v>10</v>
      </c>
      <c r="U50" s="138">
        <f t="shared" si="0"/>
        <v>53</v>
      </c>
      <c r="W50" s="139">
        <f t="shared" ref="W50:AA50" si="98">J50/$I50</f>
        <v>0.60569105691056913</v>
      </c>
      <c r="X50" s="139">
        <f t="shared" si="98"/>
        <v>0.31165311653116529</v>
      </c>
      <c r="Y50" s="139">
        <f t="shared" si="98"/>
        <v>0</v>
      </c>
      <c r="Z50" s="139">
        <f t="shared" si="98"/>
        <v>0</v>
      </c>
      <c r="AA50" s="139">
        <f t="shared" si="98"/>
        <v>1.0840108401084011E-2</v>
      </c>
      <c r="AB50" s="139"/>
      <c r="AC50" s="139">
        <f t="shared" si="2"/>
        <v>7.1815718157181574E-2</v>
      </c>
      <c r="AD50" s="139">
        <f t="shared" ref="AD50:AI50" si="99">O50/$I50</f>
        <v>1.0840108401084011E-2</v>
      </c>
      <c r="AE50" s="139">
        <f t="shared" si="99"/>
        <v>0</v>
      </c>
      <c r="AF50" s="139">
        <f t="shared" si="99"/>
        <v>0</v>
      </c>
      <c r="AG50" s="139">
        <f t="shared" si="99"/>
        <v>0</v>
      </c>
      <c r="AH50" s="139">
        <f t="shared" si="99"/>
        <v>4.7425474254742549E-2</v>
      </c>
      <c r="AI50" s="139">
        <f t="shared" si="99"/>
        <v>1.3550135501355014E-2</v>
      </c>
    </row>
    <row r="51" spans="1:35">
      <c r="A51" s="138">
        <v>52</v>
      </c>
      <c r="B51" s="138" t="s">
        <v>8077</v>
      </c>
      <c r="C51" s="138" t="s">
        <v>4367</v>
      </c>
      <c r="D51" s="138" t="s">
        <v>19</v>
      </c>
      <c r="E51" s="138" t="s">
        <v>147</v>
      </c>
      <c r="F51" s="138" t="s">
        <v>8085</v>
      </c>
      <c r="H51" s="138">
        <v>50</v>
      </c>
      <c r="I51" s="138">
        <v>785</v>
      </c>
      <c r="J51" s="138">
        <v>646</v>
      </c>
      <c r="K51" s="138">
        <v>102</v>
      </c>
      <c r="N51" s="138">
        <v>3</v>
      </c>
      <c r="O51" s="138">
        <v>6</v>
      </c>
      <c r="S51" s="138">
        <v>25</v>
      </c>
      <c r="T51" s="138">
        <v>3</v>
      </c>
      <c r="U51" s="138">
        <f t="shared" si="0"/>
        <v>34</v>
      </c>
      <c r="W51" s="139">
        <f t="shared" ref="W51:AA51" si="100">J51/$I51</f>
        <v>0.82292993630573252</v>
      </c>
      <c r="X51" s="139">
        <f t="shared" si="100"/>
        <v>0.12993630573248408</v>
      </c>
      <c r="Y51" s="139">
        <f t="shared" si="100"/>
        <v>0</v>
      </c>
      <c r="Z51" s="139">
        <f t="shared" si="100"/>
        <v>0</v>
      </c>
      <c r="AA51" s="139">
        <f t="shared" si="100"/>
        <v>3.821656050955414E-3</v>
      </c>
      <c r="AB51" s="139"/>
      <c r="AC51" s="139">
        <f t="shared" si="2"/>
        <v>4.3312101910828023E-2</v>
      </c>
      <c r="AD51" s="139">
        <f t="shared" ref="AD51:AI51" si="101">O51/$I51</f>
        <v>7.6433121019108281E-3</v>
      </c>
      <c r="AE51" s="139">
        <f t="shared" si="101"/>
        <v>0</v>
      </c>
      <c r="AF51" s="139">
        <f t="shared" si="101"/>
        <v>0</v>
      </c>
      <c r="AG51" s="139">
        <f t="shared" si="101"/>
        <v>0</v>
      </c>
      <c r="AH51" s="139">
        <f t="shared" si="101"/>
        <v>3.1847133757961783E-2</v>
      </c>
      <c r="AI51" s="139">
        <f t="shared" si="101"/>
        <v>3.821656050955414E-3</v>
      </c>
    </row>
    <row r="52" spans="1:35">
      <c r="A52" s="138">
        <v>52</v>
      </c>
      <c r="B52" s="138" t="s">
        <v>8077</v>
      </c>
      <c r="C52" s="138" t="s">
        <v>4367</v>
      </c>
      <c r="D52" s="138" t="s">
        <v>19</v>
      </c>
      <c r="E52" s="138" t="s">
        <v>147</v>
      </c>
      <c r="F52" s="138" t="s">
        <v>8085</v>
      </c>
      <c r="H52" s="138">
        <v>51</v>
      </c>
      <c r="I52" s="138">
        <v>979</v>
      </c>
      <c r="J52" s="138">
        <v>641</v>
      </c>
      <c r="K52" s="138">
        <v>218</v>
      </c>
      <c r="N52" s="138">
        <v>8</v>
      </c>
      <c r="O52" s="138">
        <v>2</v>
      </c>
      <c r="S52" s="138">
        <v>104</v>
      </c>
      <c r="T52" s="138">
        <v>6</v>
      </c>
      <c r="U52" s="138">
        <f t="shared" si="0"/>
        <v>112</v>
      </c>
      <c r="W52" s="139">
        <f t="shared" ref="W52:AA52" si="102">J52/$I52</f>
        <v>0.65474974463738511</v>
      </c>
      <c r="X52" s="139">
        <f t="shared" si="102"/>
        <v>0.2226762002042901</v>
      </c>
      <c r="Y52" s="139">
        <f t="shared" si="102"/>
        <v>0</v>
      </c>
      <c r="Z52" s="139">
        <f t="shared" si="102"/>
        <v>0</v>
      </c>
      <c r="AA52" s="139">
        <f t="shared" si="102"/>
        <v>8.171603677221655E-3</v>
      </c>
      <c r="AB52" s="139"/>
      <c r="AC52" s="139">
        <f t="shared" si="2"/>
        <v>0.11440245148110317</v>
      </c>
      <c r="AD52" s="139">
        <f t="shared" ref="AD52:AI52" si="103">O52/$I52</f>
        <v>2.0429009193054137E-3</v>
      </c>
      <c r="AE52" s="139">
        <f t="shared" si="103"/>
        <v>0</v>
      </c>
      <c r="AF52" s="139">
        <f t="shared" si="103"/>
        <v>0</v>
      </c>
      <c r="AG52" s="139">
        <f t="shared" si="103"/>
        <v>0</v>
      </c>
      <c r="AH52" s="139">
        <f t="shared" si="103"/>
        <v>0.10623084780388151</v>
      </c>
      <c r="AI52" s="139">
        <f t="shared" si="103"/>
        <v>6.1287027579162408E-3</v>
      </c>
    </row>
    <row r="53" spans="1:35">
      <c r="A53" s="138">
        <v>52</v>
      </c>
      <c r="B53" s="138" t="s">
        <v>8077</v>
      </c>
      <c r="C53" s="138" t="s">
        <v>4367</v>
      </c>
      <c r="D53" s="138" t="s">
        <v>19</v>
      </c>
      <c r="E53" s="138" t="s">
        <v>147</v>
      </c>
      <c r="F53" s="138" t="s">
        <v>8086</v>
      </c>
      <c r="H53" s="138">
        <v>52</v>
      </c>
      <c r="I53" s="138">
        <v>898</v>
      </c>
      <c r="J53" s="138">
        <v>294</v>
      </c>
      <c r="K53" s="138">
        <v>467</v>
      </c>
      <c r="N53" s="138">
        <v>5</v>
      </c>
      <c r="O53" s="138">
        <v>10</v>
      </c>
      <c r="S53" s="138">
        <v>109</v>
      </c>
      <c r="T53" s="138">
        <v>13</v>
      </c>
      <c r="U53" s="138">
        <f t="shared" si="0"/>
        <v>132</v>
      </c>
      <c r="W53" s="139">
        <f t="shared" ref="W53:AA53" si="104">J53/$I53</f>
        <v>0.32739420935412028</v>
      </c>
      <c r="X53" s="139">
        <f t="shared" si="104"/>
        <v>0.52004454342984407</v>
      </c>
      <c r="Y53" s="139">
        <f t="shared" si="104"/>
        <v>0</v>
      </c>
      <c r="Z53" s="139">
        <f t="shared" si="104"/>
        <v>0</v>
      </c>
      <c r="AA53" s="139">
        <f t="shared" si="104"/>
        <v>5.5679287305122494E-3</v>
      </c>
      <c r="AB53" s="139"/>
      <c r="AC53" s="139">
        <f t="shared" si="2"/>
        <v>0.14699331848552338</v>
      </c>
      <c r="AD53" s="139">
        <f t="shared" ref="AD53:AI53" si="105">O53/$I53</f>
        <v>1.1135857461024499E-2</v>
      </c>
      <c r="AE53" s="139">
        <f t="shared" si="105"/>
        <v>0</v>
      </c>
      <c r="AF53" s="139">
        <f t="shared" si="105"/>
        <v>0</v>
      </c>
      <c r="AG53" s="139">
        <f t="shared" si="105"/>
        <v>0</v>
      </c>
      <c r="AH53" s="139">
        <f t="shared" si="105"/>
        <v>0.12138084632516703</v>
      </c>
      <c r="AI53" s="139">
        <f t="shared" si="105"/>
        <v>1.4476614699331848E-2</v>
      </c>
    </row>
    <row r="54" spans="1:35">
      <c r="A54" s="138">
        <v>52</v>
      </c>
      <c r="B54" s="138" t="s">
        <v>8077</v>
      </c>
      <c r="C54" s="138" t="s">
        <v>4367</v>
      </c>
      <c r="D54" s="138" t="s">
        <v>19</v>
      </c>
      <c r="E54" s="138" t="s">
        <v>147</v>
      </c>
      <c r="F54" s="138" t="s">
        <v>8086</v>
      </c>
      <c r="H54" s="138">
        <v>53</v>
      </c>
      <c r="I54" s="138">
        <v>840</v>
      </c>
      <c r="J54" s="138">
        <v>428</v>
      </c>
      <c r="K54" s="138">
        <v>299</v>
      </c>
      <c r="N54" s="138">
        <v>7</v>
      </c>
      <c r="O54" s="138">
        <v>1</v>
      </c>
      <c r="S54" s="138">
        <v>101</v>
      </c>
      <c r="T54" s="138">
        <v>4</v>
      </c>
      <c r="U54" s="138">
        <f t="shared" si="0"/>
        <v>106</v>
      </c>
      <c r="W54" s="139">
        <f t="shared" ref="W54:AA54" si="106">J54/$I54</f>
        <v>0.50952380952380949</v>
      </c>
      <c r="X54" s="139">
        <f t="shared" si="106"/>
        <v>0.35595238095238096</v>
      </c>
      <c r="Y54" s="139">
        <f t="shared" si="106"/>
        <v>0</v>
      </c>
      <c r="Z54" s="139">
        <f t="shared" si="106"/>
        <v>0</v>
      </c>
      <c r="AA54" s="139">
        <f t="shared" si="106"/>
        <v>8.3333333333333332E-3</v>
      </c>
      <c r="AB54" s="139"/>
      <c r="AC54" s="139">
        <f t="shared" si="2"/>
        <v>0.12619047619047619</v>
      </c>
      <c r="AD54" s="139">
        <f t="shared" ref="AD54:AI54" si="107">O54/$I54</f>
        <v>1.1904761904761906E-3</v>
      </c>
      <c r="AE54" s="139">
        <f t="shared" si="107"/>
        <v>0</v>
      </c>
      <c r="AF54" s="139">
        <f t="shared" si="107"/>
        <v>0</v>
      </c>
      <c r="AG54" s="139">
        <f t="shared" si="107"/>
        <v>0</v>
      </c>
      <c r="AH54" s="139">
        <f t="shared" si="107"/>
        <v>0.12023809523809524</v>
      </c>
      <c r="AI54" s="139">
        <f t="shared" si="107"/>
        <v>4.7619047619047623E-3</v>
      </c>
    </row>
    <row r="55" spans="1:35">
      <c r="A55" s="138">
        <v>52</v>
      </c>
      <c r="B55" s="138" t="s">
        <v>8077</v>
      </c>
      <c r="C55" s="138" t="s">
        <v>4367</v>
      </c>
      <c r="D55" s="138" t="s">
        <v>19</v>
      </c>
      <c r="E55" s="138" t="s">
        <v>147</v>
      </c>
      <c r="F55" s="138" t="s">
        <v>8086</v>
      </c>
      <c r="H55" s="138">
        <v>54</v>
      </c>
      <c r="I55" s="138">
        <v>973</v>
      </c>
      <c r="J55" s="138">
        <v>595</v>
      </c>
      <c r="K55" s="138">
        <v>231</v>
      </c>
      <c r="N55" s="138">
        <v>10</v>
      </c>
      <c r="O55" s="138">
        <v>3</v>
      </c>
      <c r="S55" s="138">
        <v>124</v>
      </c>
      <c r="T55" s="138">
        <v>10</v>
      </c>
      <c r="U55" s="138">
        <f t="shared" si="0"/>
        <v>137</v>
      </c>
      <c r="W55" s="139">
        <f t="shared" ref="W55:AA55" si="108">J55/$I55</f>
        <v>0.61151079136690645</v>
      </c>
      <c r="X55" s="139">
        <f t="shared" si="108"/>
        <v>0.23741007194244604</v>
      </c>
      <c r="Y55" s="139">
        <f t="shared" si="108"/>
        <v>0</v>
      </c>
      <c r="Z55" s="139">
        <f t="shared" si="108"/>
        <v>0</v>
      </c>
      <c r="AA55" s="139">
        <f t="shared" si="108"/>
        <v>1.0277492291880781E-2</v>
      </c>
      <c r="AB55" s="139"/>
      <c r="AC55" s="139">
        <f t="shared" si="2"/>
        <v>0.14080164439876669</v>
      </c>
      <c r="AD55" s="139">
        <f t="shared" ref="AD55:AI55" si="109">O55/$I55</f>
        <v>3.0832476875642342E-3</v>
      </c>
      <c r="AE55" s="139">
        <f t="shared" si="109"/>
        <v>0</v>
      </c>
      <c r="AF55" s="139">
        <f t="shared" si="109"/>
        <v>0</v>
      </c>
      <c r="AG55" s="139">
        <f t="shared" si="109"/>
        <v>0</v>
      </c>
      <c r="AH55" s="139">
        <f t="shared" si="109"/>
        <v>0.12744090441932168</v>
      </c>
      <c r="AI55" s="139">
        <f t="shared" si="109"/>
        <v>1.0277492291880781E-2</v>
      </c>
    </row>
    <row r="56" spans="1:35">
      <c r="A56" s="138">
        <v>52</v>
      </c>
      <c r="B56" s="138" t="s">
        <v>8077</v>
      </c>
      <c r="C56" s="138" t="s">
        <v>4367</v>
      </c>
      <c r="D56" s="138" t="s">
        <v>19</v>
      </c>
      <c r="E56" s="138" t="s">
        <v>147</v>
      </c>
      <c r="F56" s="138" t="s">
        <v>8086</v>
      </c>
      <c r="H56" s="138">
        <v>55</v>
      </c>
      <c r="I56" s="138">
        <v>871</v>
      </c>
      <c r="J56" s="138">
        <v>451</v>
      </c>
      <c r="K56" s="138">
        <v>297</v>
      </c>
      <c r="N56" s="138">
        <v>16</v>
      </c>
      <c r="O56" s="138">
        <v>6</v>
      </c>
      <c r="S56" s="138">
        <v>82</v>
      </c>
      <c r="T56" s="138">
        <v>19</v>
      </c>
      <c r="U56" s="138">
        <f t="shared" si="0"/>
        <v>107</v>
      </c>
      <c r="W56" s="139">
        <f t="shared" ref="W56:AA56" si="110">J56/$I56</f>
        <v>0.51779563719862232</v>
      </c>
      <c r="X56" s="139">
        <f t="shared" si="110"/>
        <v>0.34098737083811709</v>
      </c>
      <c r="Y56" s="139">
        <f t="shared" si="110"/>
        <v>0</v>
      </c>
      <c r="Z56" s="139">
        <f t="shared" si="110"/>
        <v>0</v>
      </c>
      <c r="AA56" s="139">
        <f t="shared" si="110"/>
        <v>1.8369690011481057E-2</v>
      </c>
      <c r="AB56" s="139"/>
      <c r="AC56" s="139">
        <f t="shared" si="2"/>
        <v>0.12284730195177956</v>
      </c>
      <c r="AD56" s="139">
        <f t="shared" ref="AD56:AI56" si="111">O56/$I56</f>
        <v>6.8886337543053958E-3</v>
      </c>
      <c r="AE56" s="139">
        <f t="shared" si="111"/>
        <v>0</v>
      </c>
      <c r="AF56" s="139">
        <f t="shared" si="111"/>
        <v>0</v>
      </c>
      <c r="AG56" s="139">
        <f t="shared" si="111"/>
        <v>0</v>
      </c>
      <c r="AH56" s="139">
        <f t="shared" si="111"/>
        <v>9.4144661308840416E-2</v>
      </c>
      <c r="AI56" s="139">
        <f t="shared" si="111"/>
        <v>2.1814006888633754E-2</v>
      </c>
    </row>
    <row r="57" spans="1:35">
      <c r="A57" s="138">
        <v>52</v>
      </c>
      <c r="B57" s="138" t="s">
        <v>8077</v>
      </c>
      <c r="C57" s="138" t="s">
        <v>4367</v>
      </c>
      <c r="D57" s="138" t="s">
        <v>19</v>
      </c>
      <c r="E57" s="138" t="s">
        <v>147</v>
      </c>
      <c r="F57" s="138" t="s">
        <v>8086</v>
      </c>
      <c r="H57" s="138">
        <v>56</v>
      </c>
      <c r="I57" s="138">
        <v>540</v>
      </c>
      <c r="J57" s="138">
        <v>355</v>
      </c>
      <c r="K57" s="138">
        <v>136</v>
      </c>
      <c r="N57" s="138">
        <v>2</v>
      </c>
      <c r="O57" s="138">
        <v>1</v>
      </c>
      <c r="S57" s="138">
        <v>44</v>
      </c>
      <c r="T57" s="138">
        <v>2</v>
      </c>
      <c r="U57" s="138">
        <f t="shared" si="0"/>
        <v>47</v>
      </c>
      <c r="W57" s="139">
        <f t="shared" ref="W57:AA57" si="112">J57/$I57</f>
        <v>0.65740740740740744</v>
      </c>
      <c r="X57" s="139">
        <f t="shared" si="112"/>
        <v>0.25185185185185183</v>
      </c>
      <c r="Y57" s="139">
        <f t="shared" si="112"/>
        <v>0</v>
      </c>
      <c r="Z57" s="139">
        <f t="shared" si="112"/>
        <v>0</v>
      </c>
      <c r="AA57" s="139">
        <f t="shared" si="112"/>
        <v>3.7037037037037038E-3</v>
      </c>
      <c r="AB57" s="139"/>
      <c r="AC57" s="139">
        <f t="shared" si="2"/>
        <v>8.7037037037037038E-2</v>
      </c>
      <c r="AD57" s="139">
        <f t="shared" ref="AD57:AI57" si="113">O57/$I57</f>
        <v>1.8518518518518519E-3</v>
      </c>
      <c r="AE57" s="139">
        <f t="shared" si="113"/>
        <v>0</v>
      </c>
      <c r="AF57" s="139">
        <f t="shared" si="113"/>
        <v>0</v>
      </c>
      <c r="AG57" s="139">
        <f t="shared" si="113"/>
        <v>0</v>
      </c>
      <c r="AH57" s="139">
        <f t="shared" si="113"/>
        <v>8.1481481481481488E-2</v>
      </c>
      <c r="AI57" s="139">
        <f t="shared" si="113"/>
        <v>3.7037037037037038E-3</v>
      </c>
    </row>
    <row r="58" spans="1:35">
      <c r="A58" s="138">
        <v>52</v>
      </c>
      <c r="B58" s="138" t="s">
        <v>8077</v>
      </c>
      <c r="C58" s="138" t="s">
        <v>4367</v>
      </c>
      <c r="D58" s="138" t="s">
        <v>19</v>
      </c>
      <c r="E58" s="138" t="s">
        <v>147</v>
      </c>
      <c r="F58" s="138" t="s">
        <v>8086</v>
      </c>
      <c r="H58" s="138">
        <v>57</v>
      </c>
      <c r="I58" s="138">
        <v>828</v>
      </c>
      <c r="J58" s="138">
        <v>463</v>
      </c>
      <c r="K58" s="138">
        <v>267</v>
      </c>
      <c r="N58" s="138">
        <v>7</v>
      </c>
      <c r="O58" s="138">
        <v>10</v>
      </c>
      <c r="S58" s="138">
        <v>63</v>
      </c>
      <c r="T58" s="138">
        <v>18</v>
      </c>
      <c r="U58" s="138">
        <f t="shared" si="0"/>
        <v>91</v>
      </c>
      <c r="W58" s="139">
        <f t="shared" ref="W58:AA58" si="114">J58/$I58</f>
        <v>0.5591787439613527</v>
      </c>
      <c r="X58" s="139">
        <f t="shared" si="114"/>
        <v>0.32246376811594202</v>
      </c>
      <c r="Y58" s="139">
        <f t="shared" si="114"/>
        <v>0</v>
      </c>
      <c r="Z58" s="139">
        <f t="shared" si="114"/>
        <v>0</v>
      </c>
      <c r="AA58" s="139">
        <f t="shared" si="114"/>
        <v>8.4541062801932361E-3</v>
      </c>
      <c r="AB58" s="139"/>
      <c r="AC58" s="139">
        <f t="shared" si="2"/>
        <v>0.10990338164251208</v>
      </c>
      <c r="AD58" s="139">
        <f t="shared" ref="AD58:AI58" si="115">O58/$I58</f>
        <v>1.2077294685990338E-2</v>
      </c>
      <c r="AE58" s="139">
        <f t="shared" si="115"/>
        <v>0</v>
      </c>
      <c r="AF58" s="139">
        <f t="shared" si="115"/>
        <v>0</v>
      </c>
      <c r="AG58" s="139">
        <f t="shared" si="115"/>
        <v>0</v>
      </c>
      <c r="AH58" s="139">
        <f t="shared" si="115"/>
        <v>7.6086956521739135E-2</v>
      </c>
      <c r="AI58" s="139">
        <f t="shared" si="115"/>
        <v>2.1739130434782608E-2</v>
      </c>
    </row>
    <row r="59" spans="1:35">
      <c r="A59" s="138">
        <v>52</v>
      </c>
      <c r="B59" s="138" t="s">
        <v>8077</v>
      </c>
      <c r="C59" s="138" t="s">
        <v>4367</v>
      </c>
      <c r="D59" s="138" t="s">
        <v>19</v>
      </c>
      <c r="E59" s="138" t="s">
        <v>147</v>
      </c>
      <c r="F59" s="138" t="s">
        <v>8086</v>
      </c>
      <c r="H59" s="138">
        <v>58</v>
      </c>
      <c r="I59" s="138">
        <v>492</v>
      </c>
      <c r="J59" s="138">
        <v>289</v>
      </c>
      <c r="K59" s="138">
        <v>170</v>
      </c>
      <c r="N59" s="138">
        <v>3</v>
      </c>
      <c r="O59" s="138">
        <v>1</v>
      </c>
      <c r="S59" s="138">
        <v>21</v>
      </c>
      <c r="T59" s="138">
        <v>8</v>
      </c>
      <c r="U59" s="138">
        <f t="shared" si="0"/>
        <v>30</v>
      </c>
      <c r="W59" s="139">
        <f t="shared" ref="W59:AA59" si="116">J59/$I59</f>
        <v>0.58739837398373984</v>
      </c>
      <c r="X59" s="139">
        <f t="shared" si="116"/>
        <v>0.34552845528455284</v>
      </c>
      <c r="Y59" s="139">
        <f t="shared" si="116"/>
        <v>0</v>
      </c>
      <c r="Z59" s="139">
        <f t="shared" si="116"/>
        <v>0</v>
      </c>
      <c r="AA59" s="139">
        <f t="shared" si="116"/>
        <v>6.0975609756097563E-3</v>
      </c>
      <c r="AB59" s="139"/>
      <c r="AC59" s="139">
        <f t="shared" si="2"/>
        <v>6.097560975609756E-2</v>
      </c>
      <c r="AD59" s="139">
        <f t="shared" ref="AD59:AI59" si="117">O59/$I59</f>
        <v>2.0325203252032522E-3</v>
      </c>
      <c r="AE59" s="139">
        <f t="shared" si="117"/>
        <v>0</v>
      </c>
      <c r="AF59" s="139">
        <f t="shared" si="117"/>
        <v>0</v>
      </c>
      <c r="AG59" s="139">
        <f t="shared" si="117"/>
        <v>0</v>
      </c>
      <c r="AH59" s="139">
        <f t="shared" si="117"/>
        <v>4.2682926829268296E-2</v>
      </c>
      <c r="AI59" s="139">
        <f t="shared" si="117"/>
        <v>1.6260162601626018E-2</v>
      </c>
    </row>
    <row r="60" spans="1:35">
      <c r="A60" s="138">
        <v>52</v>
      </c>
      <c r="B60" s="138" t="s">
        <v>8077</v>
      </c>
      <c r="C60" s="138" t="s">
        <v>4367</v>
      </c>
      <c r="D60" s="138" t="s">
        <v>19</v>
      </c>
      <c r="E60" s="138" t="s">
        <v>147</v>
      </c>
      <c r="F60" s="138" t="s">
        <v>2341</v>
      </c>
      <c r="H60" s="138">
        <v>59</v>
      </c>
      <c r="I60" s="138">
        <v>859</v>
      </c>
      <c r="J60" s="138">
        <v>338</v>
      </c>
      <c r="K60" s="138">
        <v>467</v>
      </c>
      <c r="N60" s="138">
        <v>3</v>
      </c>
      <c r="O60" s="138">
        <v>5</v>
      </c>
      <c r="S60" s="138">
        <v>37</v>
      </c>
      <c r="T60" s="138">
        <v>9</v>
      </c>
      <c r="U60" s="138">
        <f t="shared" si="0"/>
        <v>51</v>
      </c>
      <c r="W60" s="139">
        <f t="shared" ref="W60:AA60" si="118">J60/$I60</f>
        <v>0.39348079161816063</v>
      </c>
      <c r="X60" s="139">
        <f t="shared" si="118"/>
        <v>0.54365541327124567</v>
      </c>
      <c r="Y60" s="139">
        <f t="shared" si="118"/>
        <v>0</v>
      </c>
      <c r="Z60" s="139">
        <f t="shared" si="118"/>
        <v>0</v>
      </c>
      <c r="AA60" s="139">
        <f t="shared" si="118"/>
        <v>3.4924330616996507E-3</v>
      </c>
      <c r="AB60" s="139"/>
      <c r="AC60" s="139">
        <f t="shared" si="2"/>
        <v>5.9371362048894066E-2</v>
      </c>
      <c r="AD60" s="139">
        <f t="shared" ref="AD60:AI60" si="119">O60/$I60</f>
        <v>5.8207217694994182E-3</v>
      </c>
      <c r="AE60" s="139">
        <f t="shared" si="119"/>
        <v>0</v>
      </c>
      <c r="AF60" s="139">
        <f t="shared" si="119"/>
        <v>0</v>
      </c>
      <c r="AG60" s="139">
        <f t="shared" si="119"/>
        <v>0</v>
      </c>
      <c r="AH60" s="139">
        <f t="shared" si="119"/>
        <v>4.307334109429569E-2</v>
      </c>
      <c r="AI60" s="139">
        <f t="shared" si="119"/>
        <v>1.0477299185098952E-2</v>
      </c>
    </row>
    <row r="61" spans="1:35">
      <c r="A61" s="138">
        <v>52</v>
      </c>
      <c r="B61" s="138" t="s">
        <v>8077</v>
      </c>
      <c r="C61" s="138" t="s">
        <v>4367</v>
      </c>
      <c r="D61" s="138" t="s">
        <v>19</v>
      </c>
      <c r="E61" s="138" t="s">
        <v>147</v>
      </c>
      <c r="F61" s="138" t="s">
        <v>2341</v>
      </c>
      <c r="H61" s="138">
        <v>60</v>
      </c>
      <c r="I61" s="138">
        <v>562</v>
      </c>
      <c r="J61" s="138">
        <v>265</v>
      </c>
      <c r="K61" s="138">
        <v>243</v>
      </c>
      <c r="N61" s="138">
        <v>2</v>
      </c>
      <c r="O61" s="138">
        <v>5</v>
      </c>
      <c r="S61" s="138">
        <v>39</v>
      </c>
      <c r="T61" s="138">
        <v>8</v>
      </c>
      <c r="U61" s="138">
        <f t="shared" si="0"/>
        <v>52</v>
      </c>
      <c r="W61" s="139">
        <f t="shared" ref="W61:AA61" si="120">J61/$I61</f>
        <v>0.47153024911032027</v>
      </c>
      <c r="X61" s="139">
        <f t="shared" si="120"/>
        <v>0.43238434163701067</v>
      </c>
      <c r="Y61" s="139">
        <f t="shared" si="120"/>
        <v>0</v>
      </c>
      <c r="Z61" s="139">
        <f t="shared" si="120"/>
        <v>0</v>
      </c>
      <c r="AA61" s="139">
        <f t="shared" si="120"/>
        <v>3.5587188612099642E-3</v>
      </c>
      <c r="AB61" s="139"/>
      <c r="AC61" s="139">
        <f t="shared" si="2"/>
        <v>9.2526690391459068E-2</v>
      </c>
      <c r="AD61" s="139">
        <f t="shared" ref="AD61:AI61" si="121">O61/$I61</f>
        <v>8.8967971530249119E-3</v>
      </c>
      <c r="AE61" s="139">
        <f t="shared" si="121"/>
        <v>0</v>
      </c>
      <c r="AF61" s="139">
        <f t="shared" si="121"/>
        <v>0</v>
      </c>
      <c r="AG61" s="139">
        <f t="shared" si="121"/>
        <v>0</v>
      </c>
      <c r="AH61" s="139">
        <f t="shared" si="121"/>
        <v>6.9395017793594305E-2</v>
      </c>
      <c r="AI61" s="139">
        <f t="shared" si="121"/>
        <v>1.4234875444839857E-2</v>
      </c>
    </row>
    <row r="62" spans="1:35">
      <c r="A62" s="138">
        <v>52</v>
      </c>
      <c r="B62" s="138" t="s">
        <v>8077</v>
      </c>
      <c r="C62" s="138" t="s">
        <v>4367</v>
      </c>
      <c r="D62" s="138" t="s">
        <v>19</v>
      </c>
      <c r="E62" s="138" t="s">
        <v>147</v>
      </c>
      <c r="F62" s="138" t="s">
        <v>8083</v>
      </c>
      <c r="H62" s="138">
        <v>61</v>
      </c>
      <c r="I62" s="138">
        <v>691</v>
      </c>
      <c r="J62" s="138">
        <v>323</v>
      </c>
      <c r="K62" s="138">
        <v>214</v>
      </c>
      <c r="N62" s="138">
        <v>3</v>
      </c>
      <c r="O62" s="138">
        <v>4</v>
      </c>
      <c r="S62" s="138">
        <v>136</v>
      </c>
      <c r="T62" s="138">
        <v>11</v>
      </c>
      <c r="U62" s="138">
        <f t="shared" si="0"/>
        <v>151</v>
      </c>
      <c r="W62" s="139">
        <f t="shared" ref="W62:AA62" si="122">J62/$I62</f>
        <v>0.46743849493487699</v>
      </c>
      <c r="X62" s="139">
        <f t="shared" si="122"/>
        <v>0.30969609261939218</v>
      </c>
      <c r="Y62" s="139">
        <f t="shared" si="122"/>
        <v>0</v>
      </c>
      <c r="Z62" s="139">
        <f t="shared" si="122"/>
        <v>0</v>
      </c>
      <c r="AA62" s="139">
        <f t="shared" si="122"/>
        <v>4.3415340086830683E-3</v>
      </c>
      <c r="AB62" s="139"/>
      <c r="AC62" s="139">
        <f t="shared" si="2"/>
        <v>0.21852387843704776</v>
      </c>
      <c r="AD62" s="139">
        <f t="shared" ref="AD62:AI62" si="123">O62/$I62</f>
        <v>5.7887120115774236E-3</v>
      </c>
      <c r="AE62" s="139">
        <f t="shared" si="123"/>
        <v>0</v>
      </c>
      <c r="AF62" s="139">
        <f t="shared" si="123"/>
        <v>0</v>
      </c>
      <c r="AG62" s="139">
        <f t="shared" si="123"/>
        <v>0</v>
      </c>
      <c r="AH62" s="139">
        <f t="shared" si="123"/>
        <v>0.19681620839363242</v>
      </c>
      <c r="AI62" s="139">
        <f t="shared" si="123"/>
        <v>1.5918958031837915E-2</v>
      </c>
    </row>
    <row r="63" spans="1:35">
      <c r="A63" s="138">
        <v>52</v>
      </c>
      <c r="B63" s="138" t="s">
        <v>8077</v>
      </c>
      <c r="C63" s="138" t="s">
        <v>4367</v>
      </c>
      <c r="D63" s="138" t="s">
        <v>19</v>
      </c>
      <c r="E63" s="138" t="s">
        <v>147</v>
      </c>
      <c r="F63" s="138" t="s">
        <v>8083</v>
      </c>
      <c r="H63" s="138">
        <v>62</v>
      </c>
      <c r="I63" s="138">
        <v>537</v>
      </c>
      <c r="J63" s="138">
        <v>246</v>
      </c>
      <c r="K63" s="138">
        <v>180</v>
      </c>
      <c r="N63" s="138">
        <v>5</v>
      </c>
      <c r="O63" s="138">
        <v>2</v>
      </c>
      <c r="S63" s="138">
        <v>97</v>
      </c>
      <c r="T63" s="138">
        <v>7</v>
      </c>
      <c r="U63" s="138">
        <f t="shared" si="0"/>
        <v>106</v>
      </c>
      <c r="W63" s="139">
        <f t="shared" ref="W63:AA63" si="124">J63/$I63</f>
        <v>0.45810055865921789</v>
      </c>
      <c r="X63" s="139">
        <f t="shared" si="124"/>
        <v>0.33519553072625696</v>
      </c>
      <c r="Y63" s="139">
        <f t="shared" si="124"/>
        <v>0</v>
      </c>
      <c r="Z63" s="139">
        <f t="shared" si="124"/>
        <v>0</v>
      </c>
      <c r="AA63" s="139">
        <f t="shared" si="124"/>
        <v>9.3109869646182501E-3</v>
      </c>
      <c r="AB63" s="139"/>
      <c r="AC63" s="139">
        <f t="shared" si="2"/>
        <v>0.1973929236499069</v>
      </c>
      <c r="AD63" s="139">
        <f t="shared" ref="AD63:AI63" si="125">O63/$I63</f>
        <v>3.7243947858472998E-3</v>
      </c>
      <c r="AE63" s="139">
        <f t="shared" si="125"/>
        <v>0</v>
      </c>
      <c r="AF63" s="139">
        <f t="shared" si="125"/>
        <v>0</v>
      </c>
      <c r="AG63" s="139">
        <f t="shared" si="125"/>
        <v>0</v>
      </c>
      <c r="AH63" s="139">
        <f t="shared" si="125"/>
        <v>0.18063314711359404</v>
      </c>
      <c r="AI63" s="139">
        <f t="shared" si="125"/>
        <v>1.3035381750465549E-2</v>
      </c>
    </row>
    <row r="64" spans="1:35">
      <c r="A64" s="138">
        <v>52</v>
      </c>
      <c r="B64" s="138" t="s">
        <v>8077</v>
      </c>
      <c r="C64" s="138" t="s">
        <v>4367</v>
      </c>
      <c r="D64" s="138" t="s">
        <v>19</v>
      </c>
      <c r="E64" s="138" t="s">
        <v>147</v>
      </c>
      <c r="F64" s="138" t="s">
        <v>8083</v>
      </c>
      <c r="H64" s="138">
        <v>63</v>
      </c>
      <c r="I64" s="138">
        <v>656</v>
      </c>
      <c r="J64" s="138">
        <v>347</v>
      </c>
      <c r="K64" s="138">
        <v>189</v>
      </c>
      <c r="N64" s="138">
        <v>7</v>
      </c>
      <c r="O64" s="138">
        <v>2</v>
      </c>
      <c r="S64" s="138">
        <v>102</v>
      </c>
      <c r="T64" s="138">
        <v>9</v>
      </c>
      <c r="U64" s="138">
        <f t="shared" si="0"/>
        <v>113</v>
      </c>
      <c r="W64" s="139">
        <f t="shared" ref="W64:AA64" si="126">J64/$I64</f>
        <v>0.52896341463414631</v>
      </c>
      <c r="X64" s="139">
        <f t="shared" si="126"/>
        <v>0.28810975609756095</v>
      </c>
      <c r="Y64" s="139">
        <f t="shared" si="126"/>
        <v>0</v>
      </c>
      <c r="Z64" s="139">
        <f t="shared" si="126"/>
        <v>0</v>
      </c>
      <c r="AA64" s="139">
        <f t="shared" si="126"/>
        <v>1.0670731707317074E-2</v>
      </c>
      <c r="AB64" s="139"/>
      <c r="AC64" s="139">
        <f t="shared" si="2"/>
        <v>0.1722560975609756</v>
      </c>
      <c r="AD64" s="139">
        <f t="shared" ref="AD64:AI64" si="127">O64/$I64</f>
        <v>3.0487804878048782E-3</v>
      </c>
      <c r="AE64" s="139">
        <f t="shared" si="127"/>
        <v>0</v>
      </c>
      <c r="AF64" s="139">
        <f t="shared" si="127"/>
        <v>0</v>
      </c>
      <c r="AG64" s="139">
        <f t="shared" si="127"/>
        <v>0</v>
      </c>
      <c r="AH64" s="139">
        <f t="shared" si="127"/>
        <v>0.15548780487804878</v>
      </c>
      <c r="AI64" s="139">
        <f t="shared" si="127"/>
        <v>1.3719512195121951E-2</v>
      </c>
    </row>
    <row r="65" spans="1:35">
      <c r="A65" s="138">
        <v>52</v>
      </c>
      <c r="B65" s="138" t="s">
        <v>8077</v>
      </c>
      <c r="C65" s="138" t="s">
        <v>4367</v>
      </c>
      <c r="D65" s="138" t="s">
        <v>19</v>
      </c>
      <c r="E65" s="138" t="s">
        <v>147</v>
      </c>
      <c r="F65" s="138" t="s">
        <v>8083</v>
      </c>
      <c r="H65" s="138">
        <v>64</v>
      </c>
      <c r="I65" s="138">
        <v>710</v>
      </c>
      <c r="J65" s="138">
        <v>219</v>
      </c>
      <c r="K65" s="138">
        <v>366</v>
      </c>
      <c r="N65" s="138">
        <v>9</v>
      </c>
      <c r="O65" s="138">
        <v>1</v>
      </c>
      <c r="S65" s="138">
        <v>103</v>
      </c>
      <c r="T65" s="138">
        <v>12</v>
      </c>
      <c r="U65" s="138">
        <f t="shared" si="0"/>
        <v>116</v>
      </c>
      <c r="W65" s="139">
        <f t="shared" ref="W65:AA65" si="128">J65/$I65</f>
        <v>0.30845070422535209</v>
      </c>
      <c r="X65" s="139">
        <f t="shared" si="128"/>
        <v>0.51549295774647885</v>
      </c>
      <c r="Y65" s="139">
        <f t="shared" si="128"/>
        <v>0</v>
      </c>
      <c r="Z65" s="139">
        <f t="shared" si="128"/>
        <v>0</v>
      </c>
      <c r="AA65" s="139">
        <f t="shared" si="128"/>
        <v>1.2676056338028169E-2</v>
      </c>
      <c r="AB65" s="139"/>
      <c r="AC65" s="139">
        <f t="shared" si="2"/>
        <v>0.16338028169014085</v>
      </c>
      <c r="AD65" s="139">
        <f t="shared" ref="AD65:AI65" si="129">O65/$I65</f>
        <v>1.4084507042253522E-3</v>
      </c>
      <c r="AE65" s="139">
        <f t="shared" si="129"/>
        <v>0</v>
      </c>
      <c r="AF65" s="139">
        <f t="shared" si="129"/>
        <v>0</v>
      </c>
      <c r="AG65" s="139">
        <f t="shared" si="129"/>
        <v>0</v>
      </c>
      <c r="AH65" s="139">
        <f t="shared" si="129"/>
        <v>0.14507042253521127</v>
      </c>
      <c r="AI65" s="139">
        <f t="shared" si="129"/>
        <v>1.6901408450704224E-2</v>
      </c>
    </row>
    <row r="66" spans="1:35">
      <c r="A66" s="138">
        <v>52</v>
      </c>
      <c r="B66" s="138" t="s">
        <v>8077</v>
      </c>
      <c r="C66" s="138" t="s">
        <v>4367</v>
      </c>
      <c r="D66" s="138" t="s">
        <v>19</v>
      </c>
      <c r="E66" s="138" t="s">
        <v>88</v>
      </c>
      <c r="F66" s="138" t="s">
        <v>1026</v>
      </c>
      <c r="H66" s="138">
        <v>65</v>
      </c>
      <c r="I66" s="138">
        <v>906</v>
      </c>
      <c r="J66" s="138">
        <v>586</v>
      </c>
      <c r="K66" s="138">
        <v>228</v>
      </c>
      <c r="N66" s="138">
        <v>7</v>
      </c>
      <c r="O66" s="138">
        <v>4</v>
      </c>
      <c r="S66" s="138">
        <v>71</v>
      </c>
      <c r="T66" s="138">
        <v>10</v>
      </c>
      <c r="U66" s="138">
        <f t="shared" si="0"/>
        <v>85</v>
      </c>
      <c r="W66" s="139">
        <f t="shared" ref="W66:AA66" si="130">J66/$I66</f>
        <v>0.64679911699779247</v>
      </c>
      <c r="X66" s="139">
        <f t="shared" si="130"/>
        <v>0.25165562913907286</v>
      </c>
      <c r="Y66" s="139">
        <f t="shared" si="130"/>
        <v>0</v>
      </c>
      <c r="Z66" s="139">
        <f t="shared" si="130"/>
        <v>0</v>
      </c>
      <c r="AA66" s="139">
        <f t="shared" si="130"/>
        <v>7.7262693156732896E-3</v>
      </c>
      <c r="AB66" s="139"/>
      <c r="AC66" s="139">
        <f t="shared" si="2"/>
        <v>9.3818984547461362E-2</v>
      </c>
      <c r="AD66" s="139">
        <f t="shared" ref="AD66:AI66" si="131">O66/$I66</f>
        <v>4.4150110375275938E-3</v>
      </c>
      <c r="AE66" s="139">
        <f t="shared" si="131"/>
        <v>0</v>
      </c>
      <c r="AF66" s="139">
        <f t="shared" si="131"/>
        <v>0</v>
      </c>
      <c r="AG66" s="139">
        <f t="shared" si="131"/>
        <v>0</v>
      </c>
      <c r="AH66" s="139">
        <f t="shared" si="131"/>
        <v>7.8366445916114788E-2</v>
      </c>
      <c r="AI66" s="139">
        <f t="shared" si="131"/>
        <v>1.1037527593818985E-2</v>
      </c>
    </row>
    <row r="67" spans="1:35">
      <c r="A67" s="138">
        <v>52</v>
      </c>
      <c r="B67" s="138" t="s">
        <v>8077</v>
      </c>
      <c r="C67" s="138" t="s">
        <v>4367</v>
      </c>
      <c r="D67" s="138" t="s">
        <v>19</v>
      </c>
      <c r="E67" s="138" t="s">
        <v>88</v>
      </c>
      <c r="F67" s="138" t="s">
        <v>1026</v>
      </c>
      <c r="H67" s="138">
        <v>66</v>
      </c>
      <c r="I67" s="138">
        <v>735</v>
      </c>
      <c r="J67" s="138">
        <v>461</v>
      </c>
      <c r="K67" s="138">
        <v>207</v>
      </c>
      <c r="N67" s="138">
        <v>0</v>
      </c>
      <c r="O67" s="138">
        <v>3</v>
      </c>
      <c r="S67" s="138">
        <v>59</v>
      </c>
      <c r="T67" s="138">
        <v>5</v>
      </c>
      <c r="U67" s="138">
        <f t="shared" si="0"/>
        <v>67</v>
      </c>
      <c r="W67" s="139">
        <f t="shared" ref="W67:AA67" si="132">J67/$I67</f>
        <v>0.6272108843537415</v>
      </c>
      <c r="X67" s="139">
        <f t="shared" si="132"/>
        <v>0.28163265306122448</v>
      </c>
      <c r="Y67" s="139">
        <f t="shared" si="132"/>
        <v>0</v>
      </c>
      <c r="Z67" s="139">
        <f t="shared" si="132"/>
        <v>0</v>
      </c>
      <c r="AA67" s="139">
        <f t="shared" si="132"/>
        <v>0</v>
      </c>
      <c r="AB67" s="139"/>
      <c r="AC67" s="139">
        <f t="shared" si="2"/>
        <v>9.1156462585034015E-2</v>
      </c>
      <c r="AD67" s="139">
        <f t="shared" ref="AD67:AI67" si="133">O67/$I67</f>
        <v>4.0816326530612249E-3</v>
      </c>
      <c r="AE67" s="139">
        <f t="shared" si="133"/>
        <v>0</v>
      </c>
      <c r="AF67" s="139">
        <f t="shared" si="133"/>
        <v>0</v>
      </c>
      <c r="AG67" s="139">
        <f t="shared" si="133"/>
        <v>0</v>
      </c>
      <c r="AH67" s="139">
        <f t="shared" si="133"/>
        <v>8.0272108843537415E-2</v>
      </c>
      <c r="AI67" s="139">
        <f t="shared" si="133"/>
        <v>6.8027210884353739E-3</v>
      </c>
    </row>
    <row r="68" spans="1:35">
      <c r="A68" s="138">
        <v>52</v>
      </c>
      <c r="B68" s="138" t="s">
        <v>8077</v>
      </c>
      <c r="C68" s="138" t="s">
        <v>4367</v>
      </c>
      <c r="D68" s="138" t="s">
        <v>19</v>
      </c>
      <c r="E68" s="138" t="s">
        <v>88</v>
      </c>
      <c r="F68" s="138" t="s">
        <v>1026</v>
      </c>
      <c r="H68" s="138">
        <v>67</v>
      </c>
      <c r="I68" s="138">
        <v>823</v>
      </c>
      <c r="J68" s="138">
        <v>509</v>
      </c>
      <c r="K68" s="138">
        <v>232</v>
      </c>
      <c r="N68" s="138">
        <v>10</v>
      </c>
      <c r="O68" s="138">
        <v>1</v>
      </c>
      <c r="S68" s="138">
        <v>60</v>
      </c>
      <c r="T68" s="138">
        <v>11</v>
      </c>
      <c r="U68" s="138">
        <f t="shared" si="0"/>
        <v>72</v>
      </c>
      <c r="W68" s="139">
        <f t="shared" ref="W68:AA68" si="134">J68/$I68</f>
        <v>0.61846901579586877</v>
      </c>
      <c r="X68" s="139">
        <f t="shared" si="134"/>
        <v>0.28189550425273391</v>
      </c>
      <c r="Y68" s="139">
        <f t="shared" si="134"/>
        <v>0</v>
      </c>
      <c r="Z68" s="139">
        <f t="shared" si="134"/>
        <v>0</v>
      </c>
      <c r="AA68" s="139">
        <f t="shared" si="134"/>
        <v>1.2150668286755772E-2</v>
      </c>
      <c r="AB68" s="139"/>
      <c r="AC68" s="139">
        <f t="shared" si="2"/>
        <v>8.748481166464156E-2</v>
      </c>
      <c r="AD68" s="139">
        <f t="shared" ref="AD68:AI68" si="135">O68/$I68</f>
        <v>1.215066828675577E-3</v>
      </c>
      <c r="AE68" s="139">
        <f t="shared" si="135"/>
        <v>0</v>
      </c>
      <c r="AF68" s="139">
        <f t="shared" si="135"/>
        <v>0</v>
      </c>
      <c r="AG68" s="139">
        <f t="shared" si="135"/>
        <v>0</v>
      </c>
      <c r="AH68" s="139">
        <f t="shared" si="135"/>
        <v>7.2904009720534624E-2</v>
      </c>
      <c r="AI68" s="139">
        <f t="shared" si="135"/>
        <v>1.3365735115431349E-2</v>
      </c>
    </row>
    <row r="69" spans="1:35">
      <c r="A69" s="138">
        <v>52</v>
      </c>
      <c r="B69" s="138" t="s">
        <v>8077</v>
      </c>
      <c r="C69" s="138" t="s">
        <v>4367</v>
      </c>
      <c r="D69" s="138" t="s">
        <v>19</v>
      </c>
      <c r="E69" s="138" t="s">
        <v>88</v>
      </c>
      <c r="F69" s="138" t="s">
        <v>8087</v>
      </c>
      <c r="H69" s="138">
        <v>68</v>
      </c>
      <c r="I69" s="138">
        <v>793</v>
      </c>
      <c r="J69" s="138">
        <v>586</v>
      </c>
      <c r="K69" s="138">
        <v>174</v>
      </c>
      <c r="N69" s="138">
        <v>2</v>
      </c>
      <c r="O69" s="138">
        <v>1</v>
      </c>
      <c r="S69" s="138">
        <v>25</v>
      </c>
      <c r="T69" s="138">
        <v>5</v>
      </c>
      <c r="U69" s="138">
        <f t="shared" si="0"/>
        <v>31</v>
      </c>
      <c r="W69" s="139">
        <f t="shared" ref="W69:AA69" si="136">J69/$I69</f>
        <v>0.73896595208070615</v>
      </c>
      <c r="X69" s="139">
        <f t="shared" si="136"/>
        <v>0.21941992433795712</v>
      </c>
      <c r="Y69" s="139">
        <f t="shared" si="136"/>
        <v>0</v>
      </c>
      <c r="Z69" s="139">
        <f t="shared" si="136"/>
        <v>0</v>
      </c>
      <c r="AA69" s="139">
        <f t="shared" si="136"/>
        <v>2.5220680958385876E-3</v>
      </c>
      <c r="AB69" s="139"/>
      <c r="AC69" s="139">
        <f t="shared" si="2"/>
        <v>3.9092055485498108E-2</v>
      </c>
      <c r="AD69" s="139">
        <f t="shared" ref="AD69:AI69" si="137">O69/$I69</f>
        <v>1.2610340479192938E-3</v>
      </c>
      <c r="AE69" s="139">
        <f t="shared" si="137"/>
        <v>0</v>
      </c>
      <c r="AF69" s="139">
        <f t="shared" si="137"/>
        <v>0</v>
      </c>
      <c r="AG69" s="139">
        <f t="shared" si="137"/>
        <v>0</v>
      </c>
      <c r="AH69" s="139">
        <f t="shared" si="137"/>
        <v>3.1525851197982346E-2</v>
      </c>
      <c r="AI69" s="139">
        <f t="shared" si="137"/>
        <v>6.3051702395964691E-3</v>
      </c>
    </row>
    <row r="70" spans="1:35">
      <c r="A70" s="138">
        <v>52</v>
      </c>
      <c r="B70" s="138" t="s">
        <v>8077</v>
      </c>
      <c r="C70" s="138" t="s">
        <v>4367</v>
      </c>
      <c r="D70" s="138" t="s">
        <v>19</v>
      </c>
      <c r="E70" s="138" t="s">
        <v>88</v>
      </c>
      <c r="F70" s="138" t="s">
        <v>8087</v>
      </c>
      <c r="H70" s="138">
        <v>69</v>
      </c>
      <c r="I70" s="138">
        <v>660</v>
      </c>
      <c r="J70" s="138">
        <v>338</v>
      </c>
      <c r="K70" s="138">
        <v>270</v>
      </c>
      <c r="N70" s="138">
        <v>7</v>
      </c>
      <c r="O70" s="138">
        <v>4</v>
      </c>
      <c r="S70" s="138">
        <v>31</v>
      </c>
      <c r="T70" s="138">
        <v>10</v>
      </c>
      <c r="U70" s="138">
        <f t="shared" si="0"/>
        <v>45</v>
      </c>
      <c r="W70" s="139">
        <f t="shared" ref="W70:AA70" si="138">J70/$I70</f>
        <v>0.51212121212121209</v>
      </c>
      <c r="X70" s="139">
        <f t="shared" si="138"/>
        <v>0.40909090909090912</v>
      </c>
      <c r="Y70" s="139">
        <f t="shared" si="138"/>
        <v>0</v>
      </c>
      <c r="Z70" s="139">
        <f t="shared" si="138"/>
        <v>0</v>
      </c>
      <c r="AA70" s="139">
        <f t="shared" si="138"/>
        <v>1.0606060606060607E-2</v>
      </c>
      <c r="AB70" s="139"/>
      <c r="AC70" s="139">
        <f t="shared" si="2"/>
        <v>6.8181818181818177E-2</v>
      </c>
      <c r="AD70" s="139">
        <f t="shared" ref="AD70:AI70" si="139">O70/$I70</f>
        <v>6.0606060606060606E-3</v>
      </c>
      <c r="AE70" s="139">
        <f t="shared" si="139"/>
        <v>0</v>
      </c>
      <c r="AF70" s="139">
        <f t="shared" si="139"/>
        <v>0</v>
      </c>
      <c r="AG70" s="139">
        <f t="shared" si="139"/>
        <v>0</v>
      </c>
      <c r="AH70" s="139">
        <f t="shared" si="139"/>
        <v>4.6969696969696967E-2</v>
      </c>
      <c r="AI70" s="139">
        <f t="shared" si="139"/>
        <v>1.5151515151515152E-2</v>
      </c>
    </row>
    <row r="71" spans="1:35">
      <c r="A71" s="138">
        <v>52</v>
      </c>
      <c r="B71" s="138" t="s">
        <v>8077</v>
      </c>
      <c r="C71" s="138" t="s">
        <v>4367</v>
      </c>
      <c r="D71" s="138" t="s">
        <v>19</v>
      </c>
      <c r="E71" s="138" t="s">
        <v>88</v>
      </c>
      <c r="F71" s="138" t="s">
        <v>8087</v>
      </c>
      <c r="H71" s="138">
        <v>70</v>
      </c>
      <c r="I71" s="138">
        <v>810</v>
      </c>
      <c r="J71" s="138">
        <v>444</v>
      </c>
      <c r="K71" s="138">
        <v>318</v>
      </c>
      <c r="N71" s="138">
        <v>6</v>
      </c>
      <c r="O71" s="138">
        <v>4</v>
      </c>
      <c r="S71" s="138">
        <v>36</v>
      </c>
      <c r="T71" s="138">
        <v>2</v>
      </c>
      <c r="U71" s="138">
        <f t="shared" si="0"/>
        <v>42</v>
      </c>
      <c r="W71" s="139">
        <f t="shared" ref="W71:AA71" si="140">J71/$I71</f>
        <v>0.54814814814814816</v>
      </c>
      <c r="X71" s="139">
        <f t="shared" si="140"/>
        <v>0.3925925925925926</v>
      </c>
      <c r="Y71" s="139">
        <f t="shared" si="140"/>
        <v>0</v>
      </c>
      <c r="Z71" s="139">
        <f t="shared" si="140"/>
        <v>0</v>
      </c>
      <c r="AA71" s="139">
        <f t="shared" si="140"/>
        <v>7.4074074074074077E-3</v>
      </c>
      <c r="AB71" s="139"/>
      <c r="AC71" s="139">
        <f t="shared" si="2"/>
        <v>5.185185185185185E-2</v>
      </c>
      <c r="AD71" s="139">
        <f t="shared" ref="AD71:AI71" si="141">O71/$I71</f>
        <v>4.9382716049382715E-3</v>
      </c>
      <c r="AE71" s="139">
        <f t="shared" si="141"/>
        <v>0</v>
      </c>
      <c r="AF71" s="139">
        <f t="shared" si="141"/>
        <v>0</v>
      </c>
      <c r="AG71" s="139">
        <f t="shared" si="141"/>
        <v>0</v>
      </c>
      <c r="AH71" s="139">
        <f t="shared" si="141"/>
        <v>4.4444444444444446E-2</v>
      </c>
      <c r="AI71" s="139">
        <f t="shared" si="141"/>
        <v>2.4691358024691358E-3</v>
      </c>
    </row>
    <row r="72" spans="1:35">
      <c r="A72" s="138">
        <v>52</v>
      </c>
      <c r="B72" s="138" t="s">
        <v>8077</v>
      </c>
      <c r="C72" s="138" t="s">
        <v>4367</v>
      </c>
      <c r="D72" s="138" t="s">
        <v>19</v>
      </c>
      <c r="E72" s="138" t="s">
        <v>88</v>
      </c>
      <c r="F72" s="138" t="s">
        <v>1026</v>
      </c>
      <c r="H72" s="138">
        <v>71</v>
      </c>
      <c r="I72" s="138">
        <v>827</v>
      </c>
      <c r="J72" s="138">
        <v>565</v>
      </c>
      <c r="K72" s="138">
        <v>214</v>
      </c>
      <c r="N72" s="138">
        <v>6</v>
      </c>
      <c r="O72" s="138">
        <v>2</v>
      </c>
      <c r="S72" s="138">
        <v>38</v>
      </c>
      <c r="T72" s="138">
        <v>2</v>
      </c>
      <c r="U72" s="138">
        <f t="shared" si="0"/>
        <v>42</v>
      </c>
      <c r="W72" s="139">
        <f t="shared" ref="W72:AA72" si="142">J72/$I72</f>
        <v>0.68319226118500609</v>
      </c>
      <c r="X72" s="139">
        <f t="shared" si="142"/>
        <v>0.25876662636033859</v>
      </c>
      <c r="Y72" s="139">
        <f t="shared" si="142"/>
        <v>0</v>
      </c>
      <c r="Z72" s="139">
        <f t="shared" si="142"/>
        <v>0</v>
      </c>
      <c r="AA72" s="139">
        <f t="shared" si="142"/>
        <v>7.2551390568319227E-3</v>
      </c>
      <c r="AB72" s="139"/>
      <c r="AC72" s="139">
        <f t="shared" si="2"/>
        <v>5.078597339782346E-2</v>
      </c>
      <c r="AD72" s="139">
        <f t="shared" ref="AD72:AI72" si="143">O72/$I72</f>
        <v>2.4183796856106408E-3</v>
      </c>
      <c r="AE72" s="139">
        <f t="shared" si="143"/>
        <v>0</v>
      </c>
      <c r="AF72" s="139">
        <f t="shared" si="143"/>
        <v>0</v>
      </c>
      <c r="AG72" s="139">
        <f t="shared" si="143"/>
        <v>0</v>
      </c>
      <c r="AH72" s="139">
        <f t="shared" si="143"/>
        <v>4.5949214026602174E-2</v>
      </c>
      <c r="AI72" s="139">
        <f t="shared" si="143"/>
        <v>2.4183796856106408E-3</v>
      </c>
    </row>
    <row r="73" spans="1:35">
      <c r="A73" s="138">
        <v>52</v>
      </c>
      <c r="B73" s="138" t="s">
        <v>8077</v>
      </c>
      <c r="C73" s="138" t="s">
        <v>4367</v>
      </c>
      <c r="D73" s="138" t="s">
        <v>19</v>
      </c>
      <c r="E73" s="138" t="s">
        <v>88</v>
      </c>
      <c r="F73" s="138" t="s">
        <v>8088</v>
      </c>
      <c r="H73" s="138">
        <v>72</v>
      </c>
      <c r="I73" s="138">
        <v>972</v>
      </c>
      <c r="J73" s="138">
        <v>572</v>
      </c>
      <c r="K73" s="138">
        <v>352</v>
      </c>
      <c r="N73" s="138">
        <v>7</v>
      </c>
      <c r="O73" s="138">
        <v>1</v>
      </c>
      <c r="S73" s="138">
        <v>37</v>
      </c>
      <c r="T73" s="138">
        <v>3</v>
      </c>
      <c r="U73" s="138">
        <f t="shared" si="0"/>
        <v>41</v>
      </c>
      <c r="W73" s="139">
        <f t="shared" ref="W73:AA73" si="144">J73/$I73</f>
        <v>0.58847736625514402</v>
      </c>
      <c r="X73" s="139">
        <f t="shared" si="144"/>
        <v>0.36213991769547327</v>
      </c>
      <c r="Y73" s="139">
        <f t="shared" si="144"/>
        <v>0</v>
      </c>
      <c r="Z73" s="139">
        <f t="shared" si="144"/>
        <v>0</v>
      </c>
      <c r="AA73" s="139">
        <f t="shared" si="144"/>
        <v>7.2016460905349796E-3</v>
      </c>
      <c r="AB73" s="139"/>
      <c r="AC73" s="139">
        <f t="shared" si="2"/>
        <v>4.2181069958847739E-2</v>
      </c>
      <c r="AD73" s="139">
        <f t="shared" ref="AD73:AI73" si="145">O73/$I73</f>
        <v>1.02880658436214E-3</v>
      </c>
      <c r="AE73" s="139">
        <f t="shared" si="145"/>
        <v>0</v>
      </c>
      <c r="AF73" s="139">
        <f t="shared" si="145"/>
        <v>0</v>
      </c>
      <c r="AG73" s="139">
        <f t="shared" si="145"/>
        <v>0</v>
      </c>
      <c r="AH73" s="139">
        <f t="shared" si="145"/>
        <v>3.8065843621399177E-2</v>
      </c>
      <c r="AI73" s="139">
        <f t="shared" si="145"/>
        <v>3.0864197530864196E-3</v>
      </c>
    </row>
    <row r="74" spans="1:35">
      <c r="A74" s="138">
        <v>52</v>
      </c>
      <c r="B74" s="138" t="s">
        <v>8077</v>
      </c>
      <c r="C74" s="138" t="s">
        <v>4367</v>
      </c>
      <c r="D74" s="138" t="s">
        <v>19</v>
      </c>
      <c r="E74" s="138" t="s">
        <v>88</v>
      </c>
      <c r="F74" s="138" t="s">
        <v>8088</v>
      </c>
      <c r="H74" s="138">
        <v>73</v>
      </c>
      <c r="I74" s="138">
        <v>880</v>
      </c>
      <c r="J74" s="138">
        <v>538</v>
      </c>
      <c r="K74" s="138">
        <v>273</v>
      </c>
      <c r="N74" s="138">
        <v>9</v>
      </c>
      <c r="O74" s="138">
        <v>7</v>
      </c>
      <c r="S74" s="138">
        <v>49</v>
      </c>
      <c r="T74" s="138">
        <v>4</v>
      </c>
      <c r="U74" s="138">
        <f t="shared" si="0"/>
        <v>60</v>
      </c>
      <c r="W74" s="139">
        <f t="shared" ref="W74:AA74" si="146">J74/$I74</f>
        <v>0.61136363636363633</v>
      </c>
      <c r="X74" s="139">
        <f t="shared" si="146"/>
        <v>0.31022727272727274</v>
      </c>
      <c r="Y74" s="139">
        <f t="shared" si="146"/>
        <v>0</v>
      </c>
      <c r="Z74" s="139">
        <f t="shared" si="146"/>
        <v>0</v>
      </c>
      <c r="AA74" s="139">
        <f t="shared" si="146"/>
        <v>1.0227272727272727E-2</v>
      </c>
      <c r="AB74" s="139"/>
      <c r="AC74" s="139">
        <f t="shared" si="2"/>
        <v>6.8181818181818177E-2</v>
      </c>
      <c r="AD74" s="139">
        <f t="shared" ref="AD74:AI74" si="147">O74/$I74</f>
        <v>7.9545454545454537E-3</v>
      </c>
      <c r="AE74" s="139">
        <f t="shared" si="147"/>
        <v>0</v>
      </c>
      <c r="AF74" s="139">
        <f t="shared" si="147"/>
        <v>0</v>
      </c>
      <c r="AG74" s="139">
        <f t="shared" si="147"/>
        <v>0</v>
      </c>
      <c r="AH74" s="139">
        <f t="shared" si="147"/>
        <v>5.568181818181818E-2</v>
      </c>
      <c r="AI74" s="139">
        <f t="shared" si="147"/>
        <v>4.5454545454545452E-3</v>
      </c>
    </row>
    <row r="75" spans="1:35">
      <c r="A75" s="138">
        <v>52</v>
      </c>
      <c r="B75" s="138" t="s">
        <v>8077</v>
      </c>
      <c r="C75" s="138" t="s">
        <v>4367</v>
      </c>
      <c r="D75" s="138" t="s">
        <v>19</v>
      </c>
      <c r="E75" s="138" t="s">
        <v>88</v>
      </c>
      <c r="F75" s="138" t="s">
        <v>8088</v>
      </c>
      <c r="H75" s="138">
        <v>74</v>
      </c>
      <c r="I75" s="138">
        <v>805</v>
      </c>
      <c r="J75" s="138">
        <v>463</v>
      </c>
      <c r="K75" s="138">
        <v>272</v>
      </c>
      <c r="N75" s="138">
        <v>7</v>
      </c>
      <c r="O75" s="138">
        <v>2</v>
      </c>
      <c r="S75" s="138">
        <v>57</v>
      </c>
      <c r="T75" s="138">
        <v>4</v>
      </c>
      <c r="U75" s="138">
        <f t="shared" si="0"/>
        <v>63</v>
      </c>
      <c r="W75" s="139">
        <f t="shared" ref="W75:AA75" si="148">J75/$I75</f>
        <v>0.57515527950310563</v>
      </c>
      <c r="X75" s="139">
        <f t="shared" si="148"/>
        <v>0.33788819875776399</v>
      </c>
      <c r="Y75" s="139">
        <f t="shared" si="148"/>
        <v>0</v>
      </c>
      <c r="Z75" s="139">
        <f t="shared" si="148"/>
        <v>0</v>
      </c>
      <c r="AA75" s="139">
        <f t="shared" si="148"/>
        <v>8.6956521739130436E-3</v>
      </c>
      <c r="AB75" s="139"/>
      <c r="AC75" s="139">
        <f t="shared" si="2"/>
        <v>7.8260869565217397E-2</v>
      </c>
      <c r="AD75" s="139">
        <f t="shared" ref="AD75:AI75" si="149">O75/$I75</f>
        <v>2.4844720496894411E-3</v>
      </c>
      <c r="AE75" s="139">
        <f t="shared" si="149"/>
        <v>0</v>
      </c>
      <c r="AF75" s="139">
        <f t="shared" si="149"/>
        <v>0</v>
      </c>
      <c r="AG75" s="139">
        <f t="shared" si="149"/>
        <v>0</v>
      </c>
      <c r="AH75" s="139">
        <f t="shared" si="149"/>
        <v>7.0807453416149066E-2</v>
      </c>
      <c r="AI75" s="139">
        <f t="shared" si="149"/>
        <v>4.9689440993788822E-3</v>
      </c>
    </row>
    <row r="76" spans="1:35">
      <c r="A76" s="138">
        <v>52</v>
      </c>
      <c r="B76" s="138" t="s">
        <v>8077</v>
      </c>
      <c r="C76" s="138" t="s">
        <v>4367</v>
      </c>
      <c r="D76" s="138" t="s">
        <v>19</v>
      </c>
      <c r="E76" s="138" t="s">
        <v>88</v>
      </c>
      <c r="F76" s="138" t="s">
        <v>8089</v>
      </c>
      <c r="H76" s="138">
        <v>75</v>
      </c>
      <c r="I76" s="138">
        <v>991</v>
      </c>
      <c r="J76" s="138">
        <v>494</v>
      </c>
      <c r="K76" s="138">
        <v>454</v>
      </c>
      <c r="N76" s="138">
        <v>10</v>
      </c>
      <c r="O76" s="138">
        <v>4</v>
      </c>
      <c r="S76" s="138">
        <v>24</v>
      </c>
      <c r="T76" s="138">
        <v>5</v>
      </c>
      <c r="U76" s="138">
        <f t="shared" si="0"/>
        <v>33</v>
      </c>
      <c r="W76" s="139">
        <f t="shared" ref="W76:AA76" si="150">J76/$I76</f>
        <v>0.49848637739656915</v>
      </c>
      <c r="X76" s="139">
        <f t="shared" si="150"/>
        <v>0.45812310797174571</v>
      </c>
      <c r="Y76" s="139">
        <f t="shared" si="150"/>
        <v>0</v>
      </c>
      <c r="Z76" s="139">
        <f t="shared" si="150"/>
        <v>0</v>
      </c>
      <c r="AA76" s="139">
        <f t="shared" si="150"/>
        <v>1.0090817356205853E-2</v>
      </c>
      <c r="AB76" s="139"/>
      <c r="AC76" s="139">
        <f t="shared" si="2"/>
        <v>3.3299697275479316E-2</v>
      </c>
      <c r="AD76" s="139">
        <f t="shared" ref="AD76:AI76" si="151">O76/$I76</f>
        <v>4.0363269424823411E-3</v>
      </c>
      <c r="AE76" s="139">
        <f t="shared" si="151"/>
        <v>0</v>
      </c>
      <c r="AF76" s="139">
        <f t="shared" si="151"/>
        <v>0</v>
      </c>
      <c r="AG76" s="139">
        <f t="shared" si="151"/>
        <v>0</v>
      </c>
      <c r="AH76" s="139">
        <f t="shared" si="151"/>
        <v>2.4217961654894045E-2</v>
      </c>
      <c r="AI76" s="139">
        <f t="shared" si="151"/>
        <v>5.0454086781029266E-3</v>
      </c>
    </row>
    <row r="77" spans="1:35">
      <c r="A77" s="138">
        <v>52</v>
      </c>
      <c r="B77" s="138" t="s">
        <v>8077</v>
      </c>
      <c r="C77" s="138" t="s">
        <v>4367</v>
      </c>
      <c r="D77" s="138" t="s">
        <v>19</v>
      </c>
      <c r="E77" s="138" t="s">
        <v>88</v>
      </c>
      <c r="F77" s="138" t="s">
        <v>8089</v>
      </c>
      <c r="H77" s="138">
        <v>76</v>
      </c>
      <c r="I77" s="138">
        <v>807</v>
      </c>
      <c r="J77" s="138">
        <v>438</v>
      </c>
      <c r="K77" s="138">
        <v>280</v>
      </c>
      <c r="N77" s="138">
        <v>6</v>
      </c>
      <c r="O77" s="138">
        <v>5</v>
      </c>
      <c r="S77" s="138">
        <v>59</v>
      </c>
      <c r="T77" s="138">
        <v>19</v>
      </c>
      <c r="U77" s="138">
        <f t="shared" si="0"/>
        <v>83</v>
      </c>
      <c r="W77" s="139">
        <f t="shared" ref="W77:AA77" si="152">J77/$I77</f>
        <v>0.54275092936802971</v>
      </c>
      <c r="X77" s="139">
        <f t="shared" si="152"/>
        <v>0.34696406443618338</v>
      </c>
      <c r="Y77" s="139">
        <f t="shared" si="152"/>
        <v>0</v>
      </c>
      <c r="Z77" s="139">
        <f t="shared" si="152"/>
        <v>0</v>
      </c>
      <c r="AA77" s="139">
        <f t="shared" si="152"/>
        <v>7.4349442379182153E-3</v>
      </c>
      <c r="AB77" s="139"/>
      <c r="AC77" s="139">
        <f t="shared" si="2"/>
        <v>0.10285006195786865</v>
      </c>
      <c r="AD77" s="139">
        <f t="shared" ref="AD77:AI77" si="153">O77/$I77</f>
        <v>6.1957868649318466E-3</v>
      </c>
      <c r="AE77" s="139">
        <f t="shared" si="153"/>
        <v>0</v>
      </c>
      <c r="AF77" s="139">
        <f t="shared" si="153"/>
        <v>0</v>
      </c>
      <c r="AG77" s="139">
        <f t="shared" si="153"/>
        <v>0</v>
      </c>
      <c r="AH77" s="139">
        <f t="shared" si="153"/>
        <v>7.3110285006195791E-2</v>
      </c>
      <c r="AI77" s="139">
        <f t="shared" si="153"/>
        <v>2.3543990086741014E-2</v>
      </c>
    </row>
    <row r="78" spans="1:35">
      <c r="A78" s="138">
        <v>52</v>
      </c>
      <c r="B78" s="138" t="s">
        <v>8077</v>
      </c>
      <c r="C78" s="138" t="s">
        <v>4367</v>
      </c>
      <c r="D78" s="138" t="s">
        <v>19</v>
      </c>
      <c r="E78" s="138" t="s">
        <v>88</v>
      </c>
      <c r="F78" s="138" t="s">
        <v>8089</v>
      </c>
      <c r="H78" s="138">
        <v>77</v>
      </c>
      <c r="I78" s="138">
        <v>802</v>
      </c>
      <c r="J78" s="138">
        <v>518</v>
      </c>
      <c r="K78" s="138">
        <v>203</v>
      </c>
      <c r="N78" s="138">
        <v>3</v>
      </c>
      <c r="O78" s="138">
        <v>4</v>
      </c>
      <c r="S78" s="138">
        <v>69</v>
      </c>
      <c r="T78" s="138">
        <v>5</v>
      </c>
      <c r="U78" s="138">
        <f t="shared" si="0"/>
        <v>78</v>
      </c>
      <c r="W78" s="139">
        <f t="shared" ref="W78:AA78" si="154">J78/$I78</f>
        <v>0.64588528678304236</v>
      </c>
      <c r="X78" s="139">
        <f t="shared" si="154"/>
        <v>0.25311720698254364</v>
      </c>
      <c r="Y78" s="139">
        <f t="shared" si="154"/>
        <v>0</v>
      </c>
      <c r="Z78" s="139">
        <f t="shared" si="154"/>
        <v>0</v>
      </c>
      <c r="AA78" s="139">
        <f t="shared" si="154"/>
        <v>3.740648379052369E-3</v>
      </c>
      <c r="AB78" s="139"/>
      <c r="AC78" s="139">
        <f t="shared" si="2"/>
        <v>9.7256857855361589E-2</v>
      </c>
      <c r="AD78" s="139">
        <f t="shared" ref="AD78:AI78" si="155">O78/$I78</f>
        <v>4.9875311720698253E-3</v>
      </c>
      <c r="AE78" s="139">
        <f t="shared" si="155"/>
        <v>0</v>
      </c>
      <c r="AF78" s="139">
        <f t="shared" si="155"/>
        <v>0</v>
      </c>
      <c r="AG78" s="139">
        <f t="shared" si="155"/>
        <v>0</v>
      </c>
      <c r="AH78" s="139">
        <f t="shared" si="155"/>
        <v>8.6034912718204487E-2</v>
      </c>
      <c r="AI78" s="139">
        <f t="shared" si="155"/>
        <v>6.2344139650872821E-3</v>
      </c>
    </row>
    <row r="79" spans="1:35">
      <c r="A79" s="138">
        <v>52</v>
      </c>
      <c r="B79" s="138" t="s">
        <v>8077</v>
      </c>
      <c r="C79" s="138" t="s">
        <v>4367</v>
      </c>
      <c r="D79" s="138" t="s">
        <v>19</v>
      </c>
      <c r="E79" s="138" t="s">
        <v>88</v>
      </c>
      <c r="F79" s="138" t="s">
        <v>8089</v>
      </c>
      <c r="H79" s="138">
        <v>78</v>
      </c>
      <c r="I79" s="138">
        <v>648</v>
      </c>
      <c r="J79" s="138">
        <v>386</v>
      </c>
      <c r="K79" s="138">
        <v>210</v>
      </c>
      <c r="N79" s="138">
        <v>2</v>
      </c>
      <c r="O79" s="138">
        <v>1</v>
      </c>
      <c r="S79" s="138">
        <v>41</v>
      </c>
      <c r="T79" s="138">
        <v>8</v>
      </c>
      <c r="U79" s="138">
        <f t="shared" si="0"/>
        <v>50</v>
      </c>
      <c r="W79" s="139">
        <f t="shared" ref="W79:AA79" si="156">J79/$I79</f>
        <v>0.59567901234567899</v>
      </c>
      <c r="X79" s="139">
        <f t="shared" si="156"/>
        <v>0.32407407407407407</v>
      </c>
      <c r="Y79" s="139">
        <f t="shared" si="156"/>
        <v>0</v>
      </c>
      <c r="Z79" s="139">
        <f t="shared" si="156"/>
        <v>0</v>
      </c>
      <c r="AA79" s="139">
        <f t="shared" si="156"/>
        <v>3.0864197530864196E-3</v>
      </c>
      <c r="AB79" s="139"/>
      <c r="AC79" s="139">
        <f t="shared" si="2"/>
        <v>7.716049382716049E-2</v>
      </c>
      <c r="AD79" s="139">
        <f t="shared" ref="AD79:AI79" si="157">O79/$I79</f>
        <v>1.5432098765432098E-3</v>
      </c>
      <c r="AE79" s="139">
        <f t="shared" si="157"/>
        <v>0</v>
      </c>
      <c r="AF79" s="139">
        <f t="shared" si="157"/>
        <v>0</v>
      </c>
      <c r="AG79" s="139">
        <f t="shared" si="157"/>
        <v>0</v>
      </c>
      <c r="AH79" s="139">
        <f t="shared" si="157"/>
        <v>6.3271604938271608E-2</v>
      </c>
      <c r="AI79" s="139">
        <f t="shared" si="157"/>
        <v>1.2345679012345678E-2</v>
      </c>
    </row>
    <row r="80" spans="1:35">
      <c r="A80" s="138">
        <v>52</v>
      </c>
      <c r="B80" s="138" t="s">
        <v>8077</v>
      </c>
      <c r="C80" s="138" t="s">
        <v>4367</v>
      </c>
      <c r="D80" s="138" t="s">
        <v>19</v>
      </c>
      <c r="E80" s="138" t="s">
        <v>88</v>
      </c>
      <c r="F80" s="138" t="s">
        <v>1049</v>
      </c>
      <c r="H80" s="138">
        <v>79</v>
      </c>
      <c r="I80" s="138">
        <v>916</v>
      </c>
      <c r="J80" s="138">
        <v>555</v>
      </c>
      <c r="K80" s="138">
        <v>313</v>
      </c>
      <c r="N80" s="138">
        <v>3</v>
      </c>
      <c r="O80" s="138">
        <v>2</v>
      </c>
      <c r="S80" s="138">
        <v>39</v>
      </c>
      <c r="T80" s="138">
        <v>4</v>
      </c>
      <c r="U80" s="138">
        <f t="shared" si="0"/>
        <v>45</v>
      </c>
      <c r="W80" s="139">
        <f t="shared" ref="W80:AA80" si="158">J80/$I80</f>
        <v>0.60589519650655022</v>
      </c>
      <c r="X80" s="139">
        <f t="shared" si="158"/>
        <v>0.34170305676855894</v>
      </c>
      <c r="Y80" s="139">
        <f t="shared" si="158"/>
        <v>0</v>
      </c>
      <c r="Z80" s="139">
        <f t="shared" si="158"/>
        <v>0</v>
      </c>
      <c r="AA80" s="139">
        <f t="shared" si="158"/>
        <v>3.2751091703056767E-3</v>
      </c>
      <c r="AB80" s="139"/>
      <c r="AC80" s="139">
        <f t="shared" si="2"/>
        <v>4.9126637554585149E-2</v>
      </c>
      <c r="AD80" s="139">
        <f t="shared" ref="AD80:AI80" si="159">O80/$I80</f>
        <v>2.1834061135371178E-3</v>
      </c>
      <c r="AE80" s="139">
        <f t="shared" si="159"/>
        <v>0</v>
      </c>
      <c r="AF80" s="139">
        <f t="shared" si="159"/>
        <v>0</v>
      </c>
      <c r="AG80" s="139">
        <f t="shared" si="159"/>
        <v>0</v>
      </c>
      <c r="AH80" s="139">
        <f t="shared" si="159"/>
        <v>4.2576419213973801E-2</v>
      </c>
      <c r="AI80" s="139">
        <f t="shared" si="159"/>
        <v>4.3668122270742356E-3</v>
      </c>
    </row>
    <row r="81" spans="1:35">
      <c r="A81" s="138">
        <v>52</v>
      </c>
      <c r="B81" s="138" t="s">
        <v>8077</v>
      </c>
      <c r="C81" s="138" t="s">
        <v>4367</v>
      </c>
      <c r="D81" s="138" t="s">
        <v>19</v>
      </c>
      <c r="E81" s="138" t="s">
        <v>88</v>
      </c>
      <c r="F81" s="138" t="s">
        <v>8090</v>
      </c>
      <c r="H81" s="138">
        <v>80</v>
      </c>
      <c r="I81" s="138">
        <v>853</v>
      </c>
      <c r="J81" s="138">
        <v>505</v>
      </c>
      <c r="K81" s="138">
        <v>230</v>
      </c>
      <c r="N81" s="138">
        <v>6</v>
      </c>
      <c r="O81" s="138">
        <v>3</v>
      </c>
      <c r="S81" s="138">
        <v>97</v>
      </c>
      <c r="T81" s="138">
        <v>12</v>
      </c>
      <c r="U81" s="138">
        <f t="shared" si="0"/>
        <v>112</v>
      </c>
      <c r="W81" s="139">
        <f t="shared" ref="W81:AA81" si="160">J81/$I81</f>
        <v>0.59202813599062132</v>
      </c>
      <c r="X81" s="139">
        <f t="shared" si="160"/>
        <v>0.26963657678780772</v>
      </c>
      <c r="Y81" s="139">
        <f t="shared" si="160"/>
        <v>0</v>
      </c>
      <c r="Z81" s="139">
        <f t="shared" si="160"/>
        <v>0</v>
      </c>
      <c r="AA81" s="139">
        <f t="shared" si="160"/>
        <v>7.0339976553341153E-3</v>
      </c>
      <c r="AB81" s="139"/>
      <c r="AC81" s="139">
        <f t="shared" si="2"/>
        <v>0.13130128956623682</v>
      </c>
      <c r="AD81" s="139">
        <f t="shared" ref="AD81:AI81" si="161">O81/$I81</f>
        <v>3.5169988276670576E-3</v>
      </c>
      <c r="AE81" s="139">
        <f t="shared" si="161"/>
        <v>0</v>
      </c>
      <c r="AF81" s="139">
        <f t="shared" si="161"/>
        <v>0</v>
      </c>
      <c r="AG81" s="139">
        <f t="shared" si="161"/>
        <v>0</v>
      </c>
      <c r="AH81" s="139">
        <f t="shared" si="161"/>
        <v>0.11371629542790153</v>
      </c>
      <c r="AI81" s="139">
        <f t="shared" si="161"/>
        <v>1.4067995310668231E-2</v>
      </c>
    </row>
    <row r="82" spans="1:35">
      <c r="A82" s="138">
        <v>52</v>
      </c>
      <c r="B82" s="138" t="s">
        <v>8077</v>
      </c>
      <c r="C82" s="138" t="s">
        <v>4367</v>
      </c>
      <c r="D82" s="138" t="s">
        <v>19</v>
      </c>
      <c r="E82" s="138" t="s">
        <v>88</v>
      </c>
      <c r="F82" s="138" t="s">
        <v>8090</v>
      </c>
      <c r="H82" s="138">
        <v>81</v>
      </c>
      <c r="I82" s="138">
        <v>853</v>
      </c>
      <c r="J82" s="138">
        <v>421</v>
      </c>
      <c r="K82" s="138">
        <v>276</v>
      </c>
      <c r="N82" s="138">
        <v>9</v>
      </c>
      <c r="O82" s="138">
        <v>1</v>
      </c>
      <c r="S82" s="138">
        <v>131</v>
      </c>
      <c r="T82" s="138">
        <v>15</v>
      </c>
      <c r="U82" s="138">
        <f t="shared" si="0"/>
        <v>147</v>
      </c>
      <c r="W82" s="139">
        <f t="shared" ref="W82:AA82" si="162">J82/$I82</f>
        <v>0.49355216881594371</v>
      </c>
      <c r="X82" s="139">
        <f t="shared" si="162"/>
        <v>0.32356389214536929</v>
      </c>
      <c r="Y82" s="139">
        <f t="shared" si="162"/>
        <v>0</v>
      </c>
      <c r="Z82" s="139">
        <f t="shared" si="162"/>
        <v>0</v>
      </c>
      <c r="AA82" s="139">
        <f t="shared" si="162"/>
        <v>1.0550996483001172E-2</v>
      </c>
      <c r="AB82" s="139"/>
      <c r="AC82" s="139">
        <f t="shared" si="2"/>
        <v>0.17233294255568582</v>
      </c>
      <c r="AD82" s="139">
        <f t="shared" ref="AD82:AI82" si="163">O82/$I82</f>
        <v>1.1723329425556857E-3</v>
      </c>
      <c r="AE82" s="139">
        <f t="shared" si="163"/>
        <v>0</v>
      </c>
      <c r="AF82" s="139">
        <f t="shared" si="163"/>
        <v>0</v>
      </c>
      <c r="AG82" s="139">
        <f t="shared" si="163"/>
        <v>0</v>
      </c>
      <c r="AH82" s="139">
        <f t="shared" si="163"/>
        <v>0.15357561547479484</v>
      </c>
      <c r="AI82" s="139">
        <f t="shared" si="163"/>
        <v>1.7584994138335287E-2</v>
      </c>
    </row>
    <row r="83" spans="1:35">
      <c r="A83" s="138">
        <v>52</v>
      </c>
      <c r="B83" s="138" t="s">
        <v>8077</v>
      </c>
      <c r="C83" s="138" t="s">
        <v>4367</v>
      </c>
      <c r="D83" s="138" t="s">
        <v>19</v>
      </c>
      <c r="E83" s="138" t="s">
        <v>88</v>
      </c>
      <c r="F83" s="138" t="s">
        <v>8090</v>
      </c>
      <c r="H83" s="138">
        <v>82</v>
      </c>
      <c r="I83" s="138">
        <v>886</v>
      </c>
      <c r="J83" s="138">
        <v>560</v>
      </c>
      <c r="K83" s="138">
        <v>209</v>
      </c>
      <c r="N83" s="138">
        <v>7</v>
      </c>
      <c r="O83" s="138">
        <v>3</v>
      </c>
      <c r="S83" s="138">
        <v>95</v>
      </c>
      <c r="T83" s="138">
        <v>12</v>
      </c>
      <c r="U83" s="138">
        <f t="shared" si="0"/>
        <v>110</v>
      </c>
      <c r="W83" s="139">
        <f t="shared" ref="W83:AA83" si="164">J83/$I83</f>
        <v>0.6320541760722348</v>
      </c>
      <c r="X83" s="139">
        <f t="shared" si="164"/>
        <v>0.23589164785553046</v>
      </c>
      <c r="Y83" s="139">
        <f t="shared" si="164"/>
        <v>0</v>
      </c>
      <c r="Z83" s="139">
        <f t="shared" si="164"/>
        <v>0</v>
      </c>
      <c r="AA83" s="139">
        <f t="shared" si="164"/>
        <v>7.900677200902935E-3</v>
      </c>
      <c r="AB83" s="139"/>
      <c r="AC83" s="139">
        <f t="shared" si="2"/>
        <v>0.12415349887133183</v>
      </c>
      <c r="AD83" s="139">
        <f t="shared" ref="AD83:AI83" si="165">O83/$I83</f>
        <v>3.3860045146726862E-3</v>
      </c>
      <c r="AE83" s="139">
        <f t="shared" si="165"/>
        <v>0</v>
      </c>
      <c r="AF83" s="139">
        <f t="shared" si="165"/>
        <v>0</v>
      </c>
      <c r="AG83" s="139">
        <f t="shared" si="165"/>
        <v>0</v>
      </c>
      <c r="AH83" s="139">
        <f t="shared" si="165"/>
        <v>0.1072234762979684</v>
      </c>
      <c r="AI83" s="139">
        <f t="shared" si="165"/>
        <v>1.3544018058690745E-2</v>
      </c>
    </row>
    <row r="84" spans="1:35">
      <c r="A84" s="138">
        <v>52</v>
      </c>
      <c r="B84" s="138" t="s">
        <v>8077</v>
      </c>
      <c r="C84" s="138" t="s">
        <v>4367</v>
      </c>
      <c r="D84" s="138" t="s">
        <v>19</v>
      </c>
      <c r="E84" s="138" t="s">
        <v>88</v>
      </c>
      <c r="F84" s="138" t="s">
        <v>8090</v>
      </c>
      <c r="H84" s="138">
        <v>83</v>
      </c>
      <c r="I84" s="138">
        <v>890</v>
      </c>
      <c r="J84" s="138">
        <v>470</v>
      </c>
      <c r="K84" s="138">
        <v>306</v>
      </c>
      <c r="N84" s="138">
        <v>10</v>
      </c>
      <c r="O84" s="138">
        <v>3</v>
      </c>
      <c r="S84" s="138">
        <v>90</v>
      </c>
      <c r="T84" s="138">
        <v>11</v>
      </c>
      <c r="U84" s="138">
        <f t="shared" si="0"/>
        <v>104</v>
      </c>
      <c r="W84" s="139">
        <f t="shared" ref="W84:AA84" si="166">J84/$I84</f>
        <v>0.5280898876404494</v>
      </c>
      <c r="X84" s="139">
        <f t="shared" si="166"/>
        <v>0.34382022471910112</v>
      </c>
      <c r="Y84" s="139">
        <f t="shared" si="166"/>
        <v>0</v>
      </c>
      <c r="Z84" s="139">
        <f t="shared" si="166"/>
        <v>0</v>
      </c>
      <c r="AA84" s="139">
        <f t="shared" si="166"/>
        <v>1.1235955056179775E-2</v>
      </c>
      <c r="AB84" s="139"/>
      <c r="AC84" s="139">
        <f t="shared" si="2"/>
        <v>0.11685393258426967</v>
      </c>
      <c r="AD84" s="139">
        <f t="shared" ref="AD84:AI84" si="167">O84/$I84</f>
        <v>3.3707865168539327E-3</v>
      </c>
      <c r="AE84" s="139">
        <f t="shared" si="167"/>
        <v>0</v>
      </c>
      <c r="AF84" s="139">
        <f t="shared" si="167"/>
        <v>0</v>
      </c>
      <c r="AG84" s="139">
        <f t="shared" si="167"/>
        <v>0</v>
      </c>
      <c r="AH84" s="139">
        <f t="shared" si="167"/>
        <v>0.10112359550561797</v>
      </c>
      <c r="AI84" s="139">
        <f t="shared" si="167"/>
        <v>1.2359550561797753E-2</v>
      </c>
    </row>
    <row r="85" spans="1:35">
      <c r="A85" s="138">
        <v>52</v>
      </c>
      <c r="B85" s="138" t="s">
        <v>8077</v>
      </c>
      <c r="C85" s="138" t="s">
        <v>4367</v>
      </c>
      <c r="D85" s="138" t="s">
        <v>19</v>
      </c>
      <c r="E85" s="138" t="s">
        <v>88</v>
      </c>
      <c r="F85" s="138" t="s">
        <v>8090</v>
      </c>
      <c r="H85" s="138">
        <v>84</v>
      </c>
      <c r="I85" s="138">
        <v>909</v>
      </c>
      <c r="J85" s="138">
        <v>548</v>
      </c>
      <c r="K85" s="138">
        <v>192</v>
      </c>
      <c r="N85" s="138">
        <v>5</v>
      </c>
      <c r="O85" s="138">
        <v>1</v>
      </c>
      <c r="S85" s="138">
        <v>157</v>
      </c>
      <c r="T85" s="138">
        <v>6</v>
      </c>
      <c r="U85" s="138">
        <f t="shared" si="0"/>
        <v>164</v>
      </c>
      <c r="W85" s="139">
        <f t="shared" ref="W85:AA85" si="168">J85/$I85</f>
        <v>0.60286028602860287</v>
      </c>
      <c r="X85" s="139">
        <f t="shared" si="168"/>
        <v>0.21122112211221122</v>
      </c>
      <c r="Y85" s="139">
        <f t="shared" si="168"/>
        <v>0</v>
      </c>
      <c r="Z85" s="139">
        <f t="shared" si="168"/>
        <v>0</v>
      </c>
      <c r="AA85" s="139">
        <f t="shared" si="168"/>
        <v>5.5005500550055009E-3</v>
      </c>
      <c r="AB85" s="139"/>
      <c r="AC85" s="139">
        <f t="shared" si="2"/>
        <v>0.18041804180418042</v>
      </c>
      <c r="AD85" s="139">
        <f t="shared" ref="AD85:AI85" si="169">O85/$I85</f>
        <v>1.1001100110011001E-3</v>
      </c>
      <c r="AE85" s="139">
        <f t="shared" si="169"/>
        <v>0</v>
      </c>
      <c r="AF85" s="139">
        <f t="shared" si="169"/>
        <v>0</v>
      </c>
      <c r="AG85" s="139">
        <f t="shared" si="169"/>
        <v>0</v>
      </c>
      <c r="AH85" s="139">
        <f t="shared" si="169"/>
        <v>0.17271727172717272</v>
      </c>
      <c r="AI85" s="139">
        <f t="shared" si="169"/>
        <v>6.6006600660066007E-3</v>
      </c>
    </row>
    <row r="86" spans="1:35">
      <c r="A86" s="138">
        <v>52</v>
      </c>
      <c r="B86" s="138" t="s">
        <v>8077</v>
      </c>
      <c r="C86" s="138" t="s">
        <v>4367</v>
      </c>
      <c r="D86" s="138" t="s">
        <v>19</v>
      </c>
      <c r="E86" s="138" t="s">
        <v>88</v>
      </c>
      <c r="F86" s="138" t="s">
        <v>8091</v>
      </c>
      <c r="H86" s="138">
        <v>85</v>
      </c>
      <c r="I86" s="138">
        <v>705</v>
      </c>
      <c r="J86" s="138">
        <v>344</v>
      </c>
      <c r="K86" s="138">
        <v>243</v>
      </c>
      <c r="N86" s="138">
        <v>6</v>
      </c>
      <c r="O86" s="138">
        <v>1</v>
      </c>
      <c r="S86" s="138">
        <v>104</v>
      </c>
      <c r="T86" s="138">
        <v>7</v>
      </c>
      <c r="U86" s="138">
        <f t="shared" si="0"/>
        <v>112</v>
      </c>
      <c r="W86" s="139">
        <f t="shared" ref="W86:AA86" si="170">J86/$I86</f>
        <v>0.4879432624113475</v>
      </c>
      <c r="X86" s="139">
        <f t="shared" si="170"/>
        <v>0.34468085106382979</v>
      </c>
      <c r="Y86" s="139">
        <f t="shared" si="170"/>
        <v>0</v>
      </c>
      <c r="Z86" s="139">
        <f t="shared" si="170"/>
        <v>0</v>
      </c>
      <c r="AA86" s="139">
        <f t="shared" si="170"/>
        <v>8.5106382978723406E-3</v>
      </c>
      <c r="AB86" s="139"/>
      <c r="AC86" s="139">
        <f t="shared" si="2"/>
        <v>0.15886524822695036</v>
      </c>
      <c r="AD86" s="139">
        <f t="shared" ref="AD86:AI86" si="171">O86/$I86</f>
        <v>1.4184397163120568E-3</v>
      </c>
      <c r="AE86" s="139">
        <f t="shared" si="171"/>
        <v>0</v>
      </c>
      <c r="AF86" s="139">
        <f t="shared" si="171"/>
        <v>0</v>
      </c>
      <c r="AG86" s="139">
        <f t="shared" si="171"/>
        <v>0</v>
      </c>
      <c r="AH86" s="139">
        <f t="shared" si="171"/>
        <v>0.14751773049645389</v>
      </c>
      <c r="AI86" s="139">
        <f t="shared" si="171"/>
        <v>9.9290780141843976E-3</v>
      </c>
    </row>
    <row r="87" spans="1:35">
      <c r="A87" s="138">
        <v>52</v>
      </c>
      <c r="B87" s="138" t="s">
        <v>8077</v>
      </c>
      <c r="C87" s="138" t="s">
        <v>4367</v>
      </c>
      <c r="D87" s="138" t="s">
        <v>19</v>
      </c>
      <c r="E87" s="138" t="s">
        <v>88</v>
      </c>
      <c r="F87" s="138" t="s">
        <v>8091</v>
      </c>
      <c r="H87" s="138">
        <v>86</v>
      </c>
      <c r="I87" s="138">
        <v>610</v>
      </c>
      <c r="J87" s="138">
        <v>363</v>
      </c>
      <c r="K87" s="138">
        <v>170</v>
      </c>
      <c r="N87" s="138">
        <v>2</v>
      </c>
      <c r="O87" s="138">
        <v>3</v>
      </c>
      <c r="S87" s="138">
        <v>68</v>
      </c>
      <c r="T87" s="138">
        <v>4</v>
      </c>
      <c r="U87" s="138">
        <f t="shared" si="0"/>
        <v>75</v>
      </c>
      <c r="W87" s="139">
        <f t="shared" ref="W87:AA87" si="172">J87/$I87</f>
        <v>0.59508196721311479</v>
      </c>
      <c r="X87" s="139">
        <f t="shared" si="172"/>
        <v>0.27868852459016391</v>
      </c>
      <c r="Y87" s="139">
        <f t="shared" si="172"/>
        <v>0</v>
      </c>
      <c r="Z87" s="139">
        <f t="shared" si="172"/>
        <v>0</v>
      </c>
      <c r="AA87" s="139">
        <f t="shared" si="172"/>
        <v>3.2786885245901639E-3</v>
      </c>
      <c r="AB87" s="139"/>
      <c r="AC87" s="139">
        <f t="shared" si="2"/>
        <v>0.12295081967213115</v>
      </c>
      <c r="AD87" s="139">
        <f t="shared" ref="AD87:AI87" si="173">O87/$I87</f>
        <v>4.9180327868852463E-3</v>
      </c>
      <c r="AE87" s="139">
        <f t="shared" si="173"/>
        <v>0</v>
      </c>
      <c r="AF87" s="139">
        <f t="shared" si="173"/>
        <v>0</v>
      </c>
      <c r="AG87" s="139">
        <f t="shared" si="173"/>
        <v>0</v>
      </c>
      <c r="AH87" s="139">
        <f t="shared" si="173"/>
        <v>0.11147540983606558</v>
      </c>
      <c r="AI87" s="139">
        <f t="shared" si="173"/>
        <v>6.5573770491803279E-3</v>
      </c>
    </row>
    <row r="88" spans="1:35">
      <c r="A88" s="138">
        <v>52</v>
      </c>
      <c r="B88" s="138" t="s">
        <v>8077</v>
      </c>
      <c r="C88" s="138" t="s">
        <v>4367</v>
      </c>
      <c r="D88" s="138" t="s">
        <v>19</v>
      </c>
      <c r="E88" s="138" t="s">
        <v>88</v>
      </c>
      <c r="F88" s="138" t="s">
        <v>8092</v>
      </c>
      <c r="H88" s="138">
        <v>87</v>
      </c>
      <c r="I88" s="138">
        <v>749</v>
      </c>
      <c r="J88" s="138">
        <v>400</v>
      </c>
      <c r="K88" s="138">
        <v>308</v>
      </c>
      <c r="N88" s="138">
        <v>5</v>
      </c>
      <c r="O88" s="138">
        <v>3</v>
      </c>
      <c r="S88" s="138">
        <v>26</v>
      </c>
      <c r="T88" s="138">
        <v>7</v>
      </c>
      <c r="U88" s="138">
        <f t="shared" si="0"/>
        <v>36</v>
      </c>
      <c r="W88" s="139">
        <f t="shared" ref="W88:AA88" si="174">J88/$I88</f>
        <v>0.53404539385847793</v>
      </c>
      <c r="X88" s="139">
        <f t="shared" si="174"/>
        <v>0.41121495327102803</v>
      </c>
      <c r="Y88" s="139">
        <f t="shared" si="174"/>
        <v>0</v>
      </c>
      <c r="Z88" s="139">
        <f t="shared" si="174"/>
        <v>0</v>
      </c>
      <c r="AA88" s="139">
        <f t="shared" si="174"/>
        <v>6.6755674232309749E-3</v>
      </c>
      <c r="AB88" s="139"/>
      <c r="AC88" s="139">
        <f t="shared" si="2"/>
        <v>4.8064085447263018E-2</v>
      </c>
      <c r="AD88" s="139">
        <f t="shared" ref="AD88:AI88" si="175">O88/$I88</f>
        <v>4.0053404539385851E-3</v>
      </c>
      <c r="AE88" s="139">
        <f t="shared" si="175"/>
        <v>0</v>
      </c>
      <c r="AF88" s="139">
        <f t="shared" si="175"/>
        <v>0</v>
      </c>
      <c r="AG88" s="139">
        <f t="shared" si="175"/>
        <v>0</v>
      </c>
      <c r="AH88" s="139">
        <f t="shared" si="175"/>
        <v>3.4712950600801068E-2</v>
      </c>
      <c r="AI88" s="139">
        <f t="shared" si="175"/>
        <v>9.3457943925233638E-3</v>
      </c>
    </row>
    <row r="89" spans="1:35">
      <c r="A89" s="138">
        <v>52</v>
      </c>
      <c r="B89" s="138" t="s">
        <v>8077</v>
      </c>
      <c r="C89" s="138" t="s">
        <v>4367</v>
      </c>
      <c r="D89" s="138" t="s">
        <v>19</v>
      </c>
      <c r="E89" s="138" t="s">
        <v>88</v>
      </c>
      <c r="F89" s="138" t="s">
        <v>8092</v>
      </c>
      <c r="H89" s="138">
        <v>88</v>
      </c>
      <c r="I89" s="138">
        <v>609</v>
      </c>
      <c r="J89" s="138">
        <v>397</v>
      </c>
      <c r="K89" s="138">
        <v>163</v>
      </c>
      <c r="N89" s="138">
        <v>4</v>
      </c>
      <c r="O89" s="138">
        <v>0</v>
      </c>
      <c r="S89" s="138">
        <v>33</v>
      </c>
      <c r="T89" s="138">
        <v>12</v>
      </c>
      <c r="U89" s="138">
        <f t="shared" si="0"/>
        <v>45</v>
      </c>
      <c r="W89" s="139">
        <f t="shared" ref="W89:AA89" si="176">J89/$I89</f>
        <v>0.65188834154351394</v>
      </c>
      <c r="X89" s="139">
        <f t="shared" si="176"/>
        <v>0.26765188834154352</v>
      </c>
      <c r="Y89" s="139">
        <f t="shared" si="176"/>
        <v>0</v>
      </c>
      <c r="Z89" s="139">
        <f t="shared" si="176"/>
        <v>0</v>
      </c>
      <c r="AA89" s="139">
        <f t="shared" si="176"/>
        <v>6.5681444991789817E-3</v>
      </c>
      <c r="AB89" s="139"/>
      <c r="AC89" s="139">
        <f t="shared" si="2"/>
        <v>7.3891625615763554E-2</v>
      </c>
      <c r="AD89" s="139">
        <f t="shared" ref="AD89:AI89" si="177">O89/$I89</f>
        <v>0</v>
      </c>
      <c r="AE89" s="139">
        <f t="shared" si="177"/>
        <v>0</v>
      </c>
      <c r="AF89" s="139">
        <f t="shared" si="177"/>
        <v>0</v>
      </c>
      <c r="AG89" s="139">
        <f t="shared" si="177"/>
        <v>0</v>
      </c>
      <c r="AH89" s="139">
        <f t="shared" si="177"/>
        <v>5.4187192118226604E-2</v>
      </c>
      <c r="AI89" s="139">
        <f t="shared" si="177"/>
        <v>1.9704433497536946E-2</v>
      </c>
    </row>
    <row r="90" spans="1:35">
      <c r="A90" s="138">
        <v>52</v>
      </c>
      <c r="B90" s="138" t="s">
        <v>8077</v>
      </c>
      <c r="C90" s="138" t="s">
        <v>4367</v>
      </c>
      <c r="D90" s="138" t="s">
        <v>19</v>
      </c>
      <c r="E90" s="138" t="s">
        <v>88</v>
      </c>
      <c r="F90" s="138" t="s">
        <v>8092</v>
      </c>
      <c r="H90" s="138">
        <v>89</v>
      </c>
      <c r="I90" s="138">
        <v>943</v>
      </c>
      <c r="J90" s="138">
        <v>543</v>
      </c>
      <c r="K90" s="138">
        <v>283</v>
      </c>
      <c r="N90" s="138">
        <v>4</v>
      </c>
      <c r="O90" s="138">
        <v>0</v>
      </c>
      <c r="S90" s="138">
        <v>98</v>
      </c>
      <c r="T90" s="138">
        <v>15</v>
      </c>
      <c r="U90" s="138">
        <f t="shared" si="0"/>
        <v>113</v>
      </c>
      <c r="W90" s="139">
        <f t="shared" ref="W90:AA90" si="178">J90/$I90</f>
        <v>0.57582184517497348</v>
      </c>
      <c r="X90" s="139">
        <f t="shared" si="178"/>
        <v>0.30010604453870626</v>
      </c>
      <c r="Y90" s="139">
        <f t="shared" si="178"/>
        <v>0</v>
      </c>
      <c r="Z90" s="139">
        <f t="shared" si="178"/>
        <v>0</v>
      </c>
      <c r="AA90" s="139">
        <f t="shared" si="178"/>
        <v>4.2417815482502655E-3</v>
      </c>
      <c r="AB90" s="139"/>
      <c r="AC90" s="139">
        <f t="shared" si="2"/>
        <v>0.11983032873806999</v>
      </c>
      <c r="AD90" s="139">
        <f t="shared" ref="AD90:AI90" si="179">O90/$I90</f>
        <v>0</v>
      </c>
      <c r="AE90" s="139">
        <f t="shared" si="179"/>
        <v>0</v>
      </c>
      <c r="AF90" s="139">
        <f t="shared" si="179"/>
        <v>0</v>
      </c>
      <c r="AG90" s="139">
        <f t="shared" si="179"/>
        <v>0</v>
      </c>
      <c r="AH90" s="139">
        <f t="shared" si="179"/>
        <v>0.10392364793213149</v>
      </c>
      <c r="AI90" s="139">
        <f t="shared" si="179"/>
        <v>1.5906680805938492E-2</v>
      </c>
    </row>
    <row r="91" spans="1:35">
      <c r="A91" s="138">
        <v>52</v>
      </c>
      <c r="B91" s="138" t="s">
        <v>8077</v>
      </c>
      <c r="C91" s="138" t="s">
        <v>4367</v>
      </c>
      <c r="D91" s="138" t="s">
        <v>19</v>
      </c>
      <c r="E91" s="138" t="s">
        <v>88</v>
      </c>
      <c r="F91" s="138" t="s">
        <v>8093</v>
      </c>
      <c r="H91" s="138">
        <v>90</v>
      </c>
      <c r="I91" s="138">
        <v>985</v>
      </c>
      <c r="J91" s="138">
        <v>492</v>
      </c>
      <c r="K91" s="138">
        <v>395</v>
      </c>
      <c r="N91" s="138">
        <v>5</v>
      </c>
      <c r="O91" s="138">
        <v>1</v>
      </c>
      <c r="S91" s="138">
        <v>88</v>
      </c>
      <c r="T91" s="138">
        <v>4</v>
      </c>
      <c r="U91" s="138">
        <f t="shared" si="0"/>
        <v>93</v>
      </c>
      <c r="W91" s="139">
        <f t="shared" ref="W91:AA91" si="180">J91/$I91</f>
        <v>0.49949238578680205</v>
      </c>
      <c r="X91" s="139">
        <f t="shared" si="180"/>
        <v>0.40101522842639592</v>
      </c>
      <c r="Y91" s="139">
        <f t="shared" si="180"/>
        <v>0</v>
      </c>
      <c r="Z91" s="139">
        <f t="shared" si="180"/>
        <v>0</v>
      </c>
      <c r="AA91" s="139">
        <f t="shared" si="180"/>
        <v>5.076142131979695E-3</v>
      </c>
      <c r="AB91" s="139"/>
      <c r="AC91" s="139">
        <f t="shared" si="2"/>
        <v>9.4416243654822332E-2</v>
      </c>
      <c r="AD91" s="139">
        <f t="shared" ref="AD91:AI91" si="181">O91/$I91</f>
        <v>1.0152284263959391E-3</v>
      </c>
      <c r="AE91" s="139">
        <f t="shared" si="181"/>
        <v>0</v>
      </c>
      <c r="AF91" s="139">
        <f t="shared" si="181"/>
        <v>0</v>
      </c>
      <c r="AG91" s="139">
        <f t="shared" si="181"/>
        <v>0</v>
      </c>
      <c r="AH91" s="139">
        <f t="shared" si="181"/>
        <v>8.9340101522842635E-2</v>
      </c>
      <c r="AI91" s="139">
        <f t="shared" si="181"/>
        <v>4.0609137055837565E-3</v>
      </c>
    </row>
    <row r="92" spans="1:35">
      <c r="A92" s="138">
        <v>52</v>
      </c>
      <c r="B92" s="138" t="s">
        <v>8077</v>
      </c>
      <c r="C92" s="138" t="s">
        <v>4367</v>
      </c>
      <c r="D92" s="138" t="s">
        <v>19</v>
      </c>
      <c r="E92" s="138" t="s">
        <v>88</v>
      </c>
      <c r="F92" s="138" t="s">
        <v>8093</v>
      </c>
      <c r="H92" s="138">
        <v>91</v>
      </c>
      <c r="I92" s="138">
        <v>957</v>
      </c>
      <c r="J92" s="138">
        <v>466</v>
      </c>
      <c r="K92" s="138">
        <v>361</v>
      </c>
      <c r="N92" s="138">
        <v>15</v>
      </c>
      <c r="O92" s="138">
        <v>2</v>
      </c>
      <c r="S92" s="138">
        <v>93</v>
      </c>
      <c r="T92" s="138">
        <v>20</v>
      </c>
      <c r="U92" s="138">
        <f t="shared" si="0"/>
        <v>115</v>
      </c>
      <c r="W92" s="139">
        <f t="shared" ref="W92:AA92" si="182">J92/$I92</f>
        <v>0.48693834900731453</v>
      </c>
      <c r="X92" s="139">
        <f t="shared" si="182"/>
        <v>0.37722048066875652</v>
      </c>
      <c r="Y92" s="139">
        <f t="shared" si="182"/>
        <v>0</v>
      </c>
      <c r="Z92" s="139">
        <f t="shared" si="182"/>
        <v>0</v>
      </c>
      <c r="AA92" s="139">
        <f t="shared" si="182"/>
        <v>1.5673981191222569E-2</v>
      </c>
      <c r="AB92" s="139"/>
      <c r="AC92" s="139">
        <f t="shared" si="2"/>
        <v>0.12016718913270637</v>
      </c>
      <c r="AD92" s="139">
        <f t="shared" ref="AD92:AI92" si="183">O92/$I92</f>
        <v>2.0898641588296763E-3</v>
      </c>
      <c r="AE92" s="139">
        <f t="shared" si="183"/>
        <v>0</v>
      </c>
      <c r="AF92" s="139">
        <f t="shared" si="183"/>
        <v>0</v>
      </c>
      <c r="AG92" s="139">
        <f t="shared" si="183"/>
        <v>0</v>
      </c>
      <c r="AH92" s="139">
        <f t="shared" si="183"/>
        <v>9.7178683385579931E-2</v>
      </c>
      <c r="AI92" s="139">
        <f t="shared" si="183"/>
        <v>2.0898641588296761E-2</v>
      </c>
    </row>
    <row r="93" spans="1:35">
      <c r="A93" s="138">
        <v>52</v>
      </c>
      <c r="B93" s="138" t="s">
        <v>8077</v>
      </c>
      <c r="C93" s="138" t="s">
        <v>4367</v>
      </c>
      <c r="D93" s="138" t="s">
        <v>19</v>
      </c>
      <c r="E93" s="138" t="s">
        <v>88</v>
      </c>
      <c r="F93" s="138" t="s">
        <v>8093</v>
      </c>
      <c r="H93" s="138">
        <v>92</v>
      </c>
      <c r="I93" s="138">
        <v>918</v>
      </c>
      <c r="J93" s="138">
        <v>460</v>
      </c>
      <c r="K93" s="138">
        <v>384</v>
      </c>
      <c r="N93" s="138">
        <v>11</v>
      </c>
      <c r="O93" s="138">
        <v>3</v>
      </c>
      <c r="S93" s="138">
        <v>52</v>
      </c>
      <c r="T93" s="138">
        <v>8</v>
      </c>
      <c r="U93" s="138">
        <f t="shared" si="0"/>
        <v>63</v>
      </c>
      <c r="W93" s="139">
        <f t="shared" ref="W93:AA93" si="184">J93/$I93</f>
        <v>0.50108932461873634</v>
      </c>
      <c r="X93" s="139">
        <f t="shared" si="184"/>
        <v>0.41830065359477125</v>
      </c>
      <c r="Y93" s="139">
        <f t="shared" si="184"/>
        <v>0</v>
      </c>
      <c r="Z93" s="139">
        <f t="shared" si="184"/>
        <v>0</v>
      </c>
      <c r="AA93" s="139">
        <f t="shared" si="184"/>
        <v>1.1982570806100218E-2</v>
      </c>
      <c r="AB93" s="139"/>
      <c r="AC93" s="139">
        <f t="shared" si="2"/>
        <v>6.8627450980392163E-2</v>
      </c>
      <c r="AD93" s="139">
        <f t="shared" ref="AD93:AI93" si="185">O93/$I93</f>
        <v>3.2679738562091504E-3</v>
      </c>
      <c r="AE93" s="139">
        <f t="shared" si="185"/>
        <v>0</v>
      </c>
      <c r="AF93" s="139">
        <f t="shared" si="185"/>
        <v>0</v>
      </c>
      <c r="AG93" s="139">
        <f t="shared" si="185"/>
        <v>0</v>
      </c>
      <c r="AH93" s="139">
        <f t="shared" si="185"/>
        <v>5.6644880174291937E-2</v>
      </c>
      <c r="AI93" s="139">
        <f t="shared" si="185"/>
        <v>8.7145969498910684E-3</v>
      </c>
    </row>
    <row r="94" spans="1:35">
      <c r="A94" s="138">
        <v>52</v>
      </c>
      <c r="B94" s="138" t="s">
        <v>8077</v>
      </c>
      <c r="C94" s="138" t="s">
        <v>4367</v>
      </c>
      <c r="D94" s="138" t="s">
        <v>19</v>
      </c>
      <c r="E94" s="138" t="s">
        <v>88</v>
      </c>
      <c r="F94" s="138" t="s">
        <v>8093</v>
      </c>
      <c r="H94" s="138">
        <v>93</v>
      </c>
      <c r="I94" s="138">
        <v>947</v>
      </c>
      <c r="J94" s="138">
        <v>445</v>
      </c>
      <c r="K94" s="138">
        <v>393</v>
      </c>
      <c r="N94" s="138">
        <v>8</v>
      </c>
      <c r="O94" s="138">
        <v>8</v>
      </c>
      <c r="S94" s="138">
        <v>68</v>
      </c>
      <c r="T94" s="138">
        <v>25</v>
      </c>
      <c r="U94" s="138">
        <f t="shared" si="0"/>
        <v>101</v>
      </c>
      <c r="W94" s="139">
        <f t="shared" ref="W94:AA94" si="186">J94/$I94</f>
        <v>0.46990496304118268</v>
      </c>
      <c r="X94" s="139">
        <f t="shared" si="186"/>
        <v>0.41499472016895461</v>
      </c>
      <c r="Y94" s="139">
        <f t="shared" si="186"/>
        <v>0</v>
      </c>
      <c r="Z94" s="139">
        <f t="shared" si="186"/>
        <v>0</v>
      </c>
      <c r="AA94" s="139">
        <f t="shared" si="186"/>
        <v>8.4477296726504746E-3</v>
      </c>
      <c r="AB94" s="139"/>
      <c r="AC94" s="139">
        <f t="shared" si="2"/>
        <v>0.10665258711721225</v>
      </c>
      <c r="AD94" s="139">
        <f t="shared" ref="AD94:AI94" si="187">O94/$I94</f>
        <v>8.4477296726504746E-3</v>
      </c>
      <c r="AE94" s="139">
        <f t="shared" si="187"/>
        <v>0</v>
      </c>
      <c r="AF94" s="139">
        <f t="shared" si="187"/>
        <v>0</v>
      </c>
      <c r="AG94" s="139">
        <f t="shared" si="187"/>
        <v>0</v>
      </c>
      <c r="AH94" s="139">
        <f t="shared" si="187"/>
        <v>7.1805702217529035E-2</v>
      </c>
      <c r="AI94" s="139">
        <f t="shared" si="187"/>
        <v>2.6399155227032733E-2</v>
      </c>
    </row>
    <row r="95" spans="1:35">
      <c r="A95" s="138">
        <v>52</v>
      </c>
      <c r="B95" s="138" t="s">
        <v>8077</v>
      </c>
      <c r="C95" s="138" t="s">
        <v>4367</v>
      </c>
      <c r="D95" s="138" t="s">
        <v>19</v>
      </c>
      <c r="E95" s="138" t="s">
        <v>88</v>
      </c>
      <c r="F95" s="138" t="s">
        <v>8094</v>
      </c>
      <c r="H95" s="138">
        <v>94</v>
      </c>
      <c r="I95" s="138">
        <v>719</v>
      </c>
      <c r="J95" s="138">
        <v>394</v>
      </c>
      <c r="K95" s="138">
        <v>287</v>
      </c>
      <c r="N95" s="138">
        <v>3</v>
      </c>
      <c r="O95" s="138">
        <v>3</v>
      </c>
      <c r="S95" s="138">
        <v>20</v>
      </c>
      <c r="T95" s="138">
        <v>12</v>
      </c>
      <c r="U95" s="138">
        <f t="shared" si="0"/>
        <v>35</v>
      </c>
      <c r="W95" s="139">
        <f t="shared" ref="W95:AA95" si="188">J95/$I95</f>
        <v>0.54798331015299029</v>
      </c>
      <c r="X95" s="139">
        <f t="shared" si="188"/>
        <v>0.3991655076495132</v>
      </c>
      <c r="Y95" s="139">
        <f t="shared" si="188"/>
        <v>0</v>
      </c>
      <c r="Z95" s="139">
        <f t="shared" si="188"/>
        <v>0</v>
      </c>
      <c r="AA95" s="139">
        <f t="shared" si="188"/>
        <v>4.172461752433936E-3</v>
      </c>
      <c r="AB95" s="139"/>
      <c r="AC95" s="139">
        <f t="shared" si="2"/>
        <v>4.8678720445062586E-2</v>
      </c>
      <c r="AD95" s="139">
        <f t="shared" ref="AD95:AI95" si="189">O95/$I95</f>
        <v>4.172461752433936E-3</v>
      </c>
      <c r="AE95" s="139">
        <f t="shared" si="189"/>
        <v>0</v>
      </c>
      <c r="AF95" s="139">
        <f t="shared" si="189"/>
        <v>0</v>
      </c>
      <c r="AG95" s="139">
        <f t="shared" si="189"/>
        <v>0</v>
      </c>
      <c r="AH95" s="139">
        <f t="shared" si="189"/>
        <v>2.7816411682892908E-2</v>
      </c>
      <c r="AI95" s="139">
        <f t="shared" si="189"/>
        <v>1.6689847009735744E-2</v>
      </c>
    </row>
    <row r="96" spans="1:35">
      <c r="A96" s="138">
        <v>52</v>
      </c>
      <c r="B96" s="138" t="s">
        <v>8077</v>
      </c>
      <c r="C96" s="138" t="s">
        <v>4367</v>
      </c>
      <c r="D96" s="138" t="s">
        <v>19</v>
      </c>
      <c r="E96" s="138" t="s">
        <v>88</v>
      </c>
      <c r="F96" s="138" t="s">
        <v>8095</v>
      </c>
      <c r="H96" s="138">
        <v>95</v>
      </c>
      <c r="I96" s="138">
        <v>969</v>
      </c>
      <c r="J96" s="138">
        <v>708</v>
      </c>
      <c r="K96" s="138">
        <v>219</v>
      </c>
      <c r="N96" s="138">
        <v>2</v>
      </c>
      <c r="O96" s="138">
        <v>3</v>
      </c>
      <c r="S96" s="138">
        <v>31</v>
      </c>
      <c r="T96" s="138">
        <v>6</v>
      </c>
      <c r="U96" s="138">
        <f t="shared" si="0"/>
        <v>40</v>
      </c>
      <c r="W96" s="139">
        <f t="shared" ref="W96:AA96" si="190">J96/$I96</f>
        <v>0.73065015479876161</v>
      </c>
      <c r="X96" s="139">
        <f t="shared" si="190"/>
        <v>0.2260061919504644</v>
      </c>
      <c r="Y96" s="139">
        <f t="shared" si="190"/>
        <v>0</v>
      </c>
      <c r="Z96" s="139">
        <f t="shared" si="190"/>
        <v>0</v>
      </c>
      <c r="AA96" s="139">
        <f t="shared" si="190"/>
        <v>2.0639834881320948E-3</v>
      </c>
      <c r="AB96" s="139"/>
      <c r="AC96" s="139">
        <f t="shared" si="2"/>
        <v>4.1279669762641899E-2</v>
      </c>
      <c r="AD96" s="139">
        <f t="shared" ref="AD96:AI96" si="191">O96/$I96</f>
        <v>3.0959752321981426E-3</v>
      </c>
      <c r="AE96" s="139">
        <f t="shared" si="191"/>
        <v>0</v>
      </c>
      <c r="AF96" s="139">
        <f t="shared" si="191"/>
        <v>0</v>
      </c>
      <c r="AG96" s="139">
        <f t="shared" si="191"/>
        <v>0</v>
      </c>
      <c r="AH96" s="139">
        <f t="shared" si="191"/>
        <v>3.1991744066047469E-2</v>
      </c>
      <c r="AI96" s="139">
        <f t="shared" si="191"/>
        <v>6.1919504643962852E-3</v>
      </c>
    </row>
    <row r="97" spans="1:35">
      <c r="A97" s="138">
        <v>52</v>
      </c>
      <c r="B97" s="138" t="s">
        <v>8077</v>
      </c>
      <c r="C97" s="138" t="s">
        <v>4367</v>
      </c>
      <c r="D97" s="138" t="s">
        <v>19</v>
      </c>
      <c r="E97" s="138" t="s">
        <v>88</v>
      </c>
      <c r="F97" s="138" t="s">
        <v>8095</v>
      </c>
      <c r="H97" s="138">
        <v>96</v>
      </c>
      <c r="I97" s="138">
        <v>1019</v>
      </c>
      <c r="J97" s="138">
        <v>693</v>
      </c>
      <c r="K97" s="138">
        <v>268</v>
      </c>
      <c r="N97" s="138">
        <v>10</v>
      </c>
      <c r="O97" s="138">
        <v>4</v>
      </c>
      <c r="S97" s="138">
        <v>41</v>
      </c>
      <c r="T97" s="138">
        <v>3</v>
      </c>
      <c r="U97" s="138">
        <f t="shared" si="0"/>
        <v>48</v>
      </c>
      <c r="W97" s="139">
        <f t="shared" ref="W97:AA97" si="192">J97/$I97</f>
        <v>0.68007850834151129</v>
      </c>
      <c r="X97" s="139">
        <f t="shared" si="192"/>
        <v>0.26300294406280667</v>
      </c>
      <c r="Y97" s="139">
        <f t="shared" si="192"/>
        <v>0</v>
      </c>
      <c r="Z97" s="139">
        <f t="shared" si="192"/>
        <v>0</v>
      </c>
      <c r="AA97" s="139">
        <f t="shared" si="192"/>
        <v>9.8135426889106973E-3</v>
      </c>
      <c r="AB97" s="139"/>
      <c r="AC97" s="139">
        <f t="shared" si="2"/>
        <v>4.7105004906771344E-2</v>
      </c>
      <c r="AD97" s="139">
        <f t="shared" ref="AD97:AI97" si="193">O97/$I97</f>
        <v>3.9254170755642784E-3</v>
      </c>
      <c r="AE97" s="139">
        <f t="shared" si="193"/>
        <v>0</v>
      </c>
      <c r="AF97" s="139">
        <f t="shared" si="193"/>
        <v>0</v>
      </c>
      <c r="AG97" s="139">
        <f t="shared" si="193"/>
        <v>0</v>
      </c>
      <c r="AH97" s="139">
        <f t="shared" si="193"/>
        <v>4.0235525024533855E-2</v>
      </c>
      <c r="AI97" s="139">
        <f t="shared" si="193"/>
        <v>2.944062806673209E-3</v>
      </c>
    </row>
    <row r="98" spans="1:35">
      <c r="A98" s="138">
        <v>52</v>
      </c>
      <c r="B98" s="138" t="s">
        <v>8077</v>
      </c>
      <c r="C98" s="138" t="s">
        <v>4367</v>
      </c>
      <c r="D98" s="138" t="s">
        <v>19</v>
      </c>
      <c r="E98" s="138" t="s">
        <v>88</v>
      </c>
      <c r="F98" s="138" t="s">
        <v>8095</v>
      </c>
      <c r="H98" s="138">
        <v>97</v>
      </c>
      <c r="I98" s="138">
        <v>1029</v>
      </c>
      <c r="J98" s="138">
        <v>417</v>
      </c>
      <c r="K98" s="138">
        <v>535</v>
      </c>
      <c r="N98" s="138">
        <v>14</v>
      </c>
      <c r="O98" s="138">
        <v>8</v>
      </c>
      <c r="S98" s="138">
        <v>39</v>
      </c>
      <c r="T98" s="138">
        <v>16</v>
      </c>
      <c r="U98" s="138">
        <f t="shared" si="0"/>
        <v>63</v>
      </c>
      <c r="W98" s="139">
        <f t="shared" ref="W98:AA98" si="194">J98/$I98</f>
        <v>0.40524781341107874</v>
      </c>
      <c r="X98" s="139">
        <f t="shared" si="194"/>
        <v>0.51992225461613217</v>
      </c>
      <c r="Y98" s="139">
        <f t="shared" si="194"/>
        <v>0</v>
      </c>
      <c r="Z98" s="139">
        <f t="shared" si="194"/>
        <v>0</v>
      </c>
      <c r="AA98" s="139">
        <f t="shared" si="194"/>
        <v>1.3605442176870748E-2</v>
      </c>
      <c r="AB98" s="139"/>
      <c r="AC98" s="139">
        <f t="shared" si="2"/>
        <v>6.1224489795918366E-2</v>
      </c>
      <c r="AD98" s="139">
        <f t="shared" ref="AD98:AI98" si="195">O98/$I98</f>
        <v>7.7745383867832843E-3</v>
      </c>
      <c r="AE98" s="139">
        <f t="shared" si="195"/>
        <v>0</v>
      </c>
      <c r="AF98" s="139">
        <f t="shared" si="195"/>
        <v>0</v>
      </c>
      <c r="AG98" s="139">
        <f t="shared" si="195"/>
        <v>0</v>
      </c>
      <c r="AH98" s="139">
        <f t="shared" si="195"/>
        <v>3.7900874635568516E-2</v>
      </c>
      <c r="AI98" s="139">
        <f t="shared" si="195"/>
        <v>1.5549076773566569E-2</v>
      </c>
    </row>
    <row r="99" spans="1:35">
      <c r="A99" s="138">
        <v>52</v>
      </c>
      <c r="B99" s="138" t="s">
        <v>8077</v>
      </c>
      <c r="C99" s="138" t="s">
        <v>4367</v>
      </c>
      <c r="D99" s="138" t="s">
        <v>19</v>
      </c>
      <c r="E99" s="138" t="s">
        <v>88</v>
      </c>
      <c r="F99" s="138" t="s">
        <v>8095</v>
      </c>
      <c r="H99" s="138">
        <v>98</v>
      </c>
      <c r="I99" s="138">
        <v>929</v>
      </c>
      <c r="J99" s="138">
        <v>519</v>
      </c>
      <c r="K99" s="138">
        <v>356</v>
      </c>
      <c r="N99" s="138">
        <v>12</v>
      </c>
      <c r="O99" s="138">
        <v>1</v>
      </c>
      <c r="S99" s="138">
        <v>34</v>
      </c>
      <c r="T99" s="138">
        <v>7</v>
      </c>
      <c r="U99" s="138">
        <f t="shared" si="0"/>
        <v>42</v>
      </c>
      <c r="W99" s="139">
        <f t="shared" ref="W99:AA99" si="196">J99/$I99</f>
        <v>0.55866523143164692</v>
      </c>
      <c r="X99" s="139">
        <f t="shared" si="196"/>
        <v>0.38320775026910658</v>
      </c>
      <c r="Y99" s="139">
        <f t="shared" si="196"/>
        <v>0</v>
      </c>
      <c r="Z99" s="139">
        <f t="shared" si="196"/>
        <v>0</v>
      </c>
      <c r="AA99" s="139">
        <f t="shared" si="196"/>
        <v>1.2917115177610334E-2</v>
      </c>
      <c r="AB99" s="139"/>
      <c r="AC99" s="139">
        <f t="shared" si="2"/>
        <v>4.5209903121636169E-2</v>
      </c>
      <c r="AD99" s="139">
        <f t="shared" ref="AD99:AI99" si="197">O99/$I99</f>
        <v>1.076426264800861E-3</v>
      </c>
      <c r="AE99" s="139">
        <f t="shared" si="197"/>
        <v>0</v>
      </c>
      <c r="AF99" s="139">
        <f t="shared" si="197"/>
        <v>0</v>
      </c>
      <c r="AG99" s="139">
        <f t="shared" si="197"/>
        <v>0</v>
      </c>
      <c r="AH99" s="139">
        <f t="shared" si="197"/>
        <v>3.6598493003229281E-2</v>
      </c>
      <c r="AI99" s="139">
        <f t="shared" si="197"/>
        <v>7.5349838536060282E-3</v>
      </c>
    </row>
    <row r="100" spans="1:35">
      <c r="A100" s="138">
        <v>52</v>
      </c>
      <c r="B100" s="138" t="s">
        <v>8077</v>
      </c>
      <c r="C100" s="138" t="s">
        <v>4367</v>
      </c>
      <c r="D100" s="138" t="s">
        <v>19</v>
      </c>
      <c r="E100" s="138" t="s">
        <v>88</v>
      </c>
      <c r="F100" s="138" t="s">
        <v>8095</v>
      </c>
      <c r="H100" s="138">
        <v>99</v>
      </c>
      <c r="I100" s="138">
        <v>922</v>
      </c>
      <c r="J100" s="138">
        <v>646</v>
      </c>
      <c r="K100" s="138">
        <v>221</v>
      </c>
      <c r="N100" s="138">
        <v>8</v>
      </c>
      <c r="O100" s="138">
        <v>3</v>
      </c>
      <c r="S100" s="138">
        <v>42</v>
      </c>
      <c r="T100" s="138">
        <v>2</v>
      </c>
      <c r="U100" s="138">
        <f t="shared" si="0"/>
        <v>47</v>
      </c>
      <c r="W100" s="139">
        <f t="shared" ref="W100:AA100" si="198">J100/$I100</f>
        <v>0.70065075921908893</v>
      </c>
      <c r="X100" s="139">
        <f t="shared" si="198"/>
        <v>0.23969631236442515</v>
      </c>
      <c r="Y100" s="139">
        <f t="shared" si="198"/>
        <v>0</v>
      </c>
      <c r="Z100" s="139">
        <f t="shared" si="198"/>
        <v>0</v>
      </c>
      <c r="AA100" s="139">
        <f t="shared" si="198"/>
        <v>8.6767895878524948E-3</v>
      </c>
      <c r="AB100" s="139"/>
      <c r="AC100" s="139">
        <f t="shared" si="2"/>
        <v>5.0976138828633402E-2</v>
      </c>
      <c r="AD100" s="139">
        <f t="shared" ref="AD100:AI100" si="199">O100/$I100</f>
        <v>3.2537960954446853E-3</v>
      </c>
      <c r="AE100" s="139">
        <f t="shared" si="199"/>
        <v>0</v>
      </c>
      <c r="AF100" s="139">
        <f t="shared" si="199"/>
        <v>0</v>
      </c>
      <c r="AG100" s="139">
        <f t="shared" si="199"/>
        <v>0</v>
      </c>
      <c r="AH100" s="139">
        <f t="shared" si="199"/>
        <v>4.5553145336225599E-2</v>
      </c>
      <c r="AI100" s="139">
        <f t="shared" si="199"/>
        <v>2.1691973969631237E-3</v>
      </c>
    </row>
    <row r="101" spans="1:35">
      <c r="A101" s="138">
        <v>52</v>
      </c>
      <c r="B101" s="138" t="s">
        <v>8077</v>
      </c>
      <c r="C101" s="138" t="s">
        <v>4367</v>
      </c>
      <c r="D101" s="138" t="s">
        <v>19</v>
      </c>
      <c r="E101" s="138" t="s">
        <v>88</v>
      </c>
      <c r="F101" s="138" t="s">
        <v>8096</v>
      </c>
      <c r="H101" s="138">
        <v>100</v>
      </c>
      <c r="I101" s="138">
        <v>880</v>
      </c>
      <c r="J101" s="138">
        <v>400</v>
      </c>
      <c r="K101" s="138">
        <v>420</v>
      </c>
      <c r="N101" s="138">
        <v>6</v>
      </c>
      <c r="O101" s="138">
        <v>1</v>
      </c>
      <c r="S101" s="138">
        <v>45</v>
      </c>
      <c r="T101" s="138">
        <v>8</v>
      </c>
      <c r="U101" s="138">
        <f t="shared" si="0"/>
        <v>54</v>
      </c>
      <c r="W101" s="139">
        <f t="shared" ref="W101:AA101" si="200">J101/$I101</f>
        <v>0.45454545454545453</v>
      </c>
      <c r="X101" s="139">
        <f t="shared" si="200"/>
        <v>0.47727272727272729</v>
      </c>
      <c r="Y101" s="139">
        <f t="shared" si="200"/>
        <v>0</v>
      </c>
      <c r="Z101" s="139">
        <f t="shared" si="200"/>
        <v>0</v>
      </c>
      <c r="AA101" s="139">
        <f t="shared" si="200"/>
        <v>6.8181818181818179E-3</v>
      </c>
      <c r="AB101" s="139"/>
      <c r="AC101" s="139">
        <f t="shared" si="2"/>
        <v>6.1363636363636363E-2</v>
      </c>
      <c r="AD101" s="139">
        <f t="shared" ref="AD101:AI101" si="201">O101/$I101</f>
        <v>1.1363636363636363E-3</v>
      </c>
      <c r="AE101" s="139">
        <f t="shared" si="201"/>
        <v>0</v>
      </c>
      <c r="AF101" s="139">
        <f t="shared" si="201"/>
        <v>0</v>
      </c>
      <c r="AG101" s="139">
        <f t="shared" si="201"/>
        <v>0</v>
      </c>
      <c r="AH101" s="139">
        <f t="shared" si="201"/>
        <v>5.113636363636364E-2</v>
      </c>
      <c r="AI101" s="139">
        <f t="shared" si="201"/>
        <v>9.0909090909090905E-3</v>
      </c>
    </row>
    <row r="102" spans="1:35">
      <c r="A102" s="138">
        <v>52</v>
      </c>
      <c r="B102" s="138" t="s">
        <v>8077</v>
      </c>
      <c r="C102" s="138" t="s">
        <v>4367</v>
      </c>
      <c r="D102" s="138" t="s">
        <v>19</v>
      </c>
      <c r="E102" s="138" t="s">
        <v>88</v>
      </c>
      <c r="F102" s="138" t="s">
        <v>8096</v>
      </c>
      <c r="H102" s="138">
        <v>101</v>
      </c>
      <c r="I102" s="138">
        <v>532</v>
      </c>
      <c r="J102" s="138">
        <v>252</v>
      </c>
      <c r="K102" s="138">
        <v>238</v>
      </c>
      <c r="N102" s="138">
        <v>6</v>
      </c>
      <c r="O102" s="138">
        <v>1</v>
      </c>
      <c r="S102" s="138">
        <v>30</v>
      </c>
      <c r="T102" s="138">
        <v>5</v>
      </c>
      <c r="U102" s="138">
        <f t="shared" si="0"/>
        <v>36</v>
      </c>
      <c r="W102" s="139">
        <f t="shared" ref="W102:AA102" si="202">J102/$I102</f>
        <v>0.47368421052631576</v>
      </c>
      <c r="X102" s="139">
        <f t="shared" si="202"/>
        <v>0.44736842105263158</v>
      </c>
      <c r="Y102" s="139">
        <f t="shared" si="202"/>
        <v>0</v>
      </c>
      <c r="Z102" s="139">
        <f t="shared" si="202"/>
        <v>0</v>
      </c>
      <c r="AA102" s="139">
        <f t="shared" si="202"/>
        <v>1.1278195488721804E-2</v>
      </c>
      <c r="AB102" s="139"/>
      <c r="AC102" s="139">
        <f t="shared" si="2"/>
        <v>6.7669172932330823E-2</v>
      </c>
      <c r="AD102" s="139">
        <f t="shared" ref="AD102:AI102" si="203">O102/$I102</f>
        <v>1.8796992481203006E-3</v>
      </c>
      <c r="AE102" s="139">
        <f t="shared" si="203"/>
        <v>0</v>
      </c>
      <c r="AF102" s="139">
        <f t="shared" si="203"/>
        <v>0</v>
      </c>
      <c r="AG102" s="139">
        <f t="shared" si="203"/>
        <v>0</v>
      </c>
      <c r="AH102" s="139">
        <f t="shared" si="203"/>
        <v>5.6390977443609019E-2</v>
      </c>
      <c r="AI102" s="139">
        <f t="shared" si="203"/>
        <v>9.3984962406015032E-3</v>
      </c>
    </row>
    <row r="103" spans="1:35">
      <c r="A103" s="138">
        <v>52</v>
      </c>
      <c r="B103" s="138" t="s">
        <v>8077</v>
      </c>
      <c r="C103" s="138" t="s">
        <v>4367</v>
      </c>
      <c r="D103" s="138" t="s">
        <v>19</v>
      </c>
      <c r="E103" s="138" t="s">
        <v>88</v>
      </c>
      <c r="F103" s="138" t="s">
        <v>8096</v>
      </c>
      <c r="H103" s="138">
        <v>102</v>
      </c>
      <c r="I103" s="138">
        <v>863</v>
      </c>
      <c r="J103" s="138">
        <v>517</v>
      </c>
      <c r="K103" s="138">
        <v>261</v>
      </c>
      <c r="N103" s="138">
        <v>3</v>
      </c>
      <c r="O103" s="138">
        <v>1</v>
      </c>
      <c r="S103" s="138">
        <v>70</v>
      </c>
      <c r="T103" s="138">
        <v>11</v>
      </c>
      <c r="U103" s="138">
        <f t="shared" si="0"/>
        <v>82</v>
      </c>
      <c r="W103" s="139">
        <f t="shared" ref="W103:AA103" si="204">J103/$I103</f>
        <v>0.59907300115874851</v>
      </c>
      <c r="X103" s="139">
        <f t="shared" si="204"/>
        <v>0.30243337195828507</v>
      </c>
      <c r="Y103" s="139">
        <f t="shared" si="204"/>
        <v>0</v>
      </c>
      <c r="Z103" s="139">
        <f t="shared" si="204"/>
        <v>0</v>
      </c>
      <c r="AA103" s="139">
        <f t="shared" si="204"/>
        <v>3.4762456546929316E-3</v>
      </c>
      <c r="AB103" s="139"/>
      <c r="AC103" s="139">
        <f t="shared" si="2"/>
        <v>9.5017381228273468E-2</v>
      </c>
      <c r="AD103" s="139">
        <f t="shared" ref="AD103:AI103" si="205">O103/$I103</f>
        <v>1.1587485515643105E-3</v>
      </c>
      <c r="AE103" s="139">
        <f t="shared" si="205"/>
        <v>0</v>
      </c>
      <c r="AF103" s="139">
        <f t="shared" si="205"/>
        <v>0</v>
      </c>
      <c r="AG103" s="139">
        <f t="shared" si="205"/>
        <v>0</v>
      </c>
      <c r="AH103" s="139">
        <f t="shared" si="205"/>
        <v>8.1112398609501743E-2</v>
      </c>
      <c r="AI103" s="139">
        <f t="shared" si="205"/>
        <v>1.2746234067207415E-2</v>
      </c>
    </row>
    <row r="104" spans="1:35">
      <c r="A104" s="138">
        <v>52</v>
      </c>
      <c r="B104" s="138" t="s">
        <v>8077</v>
      </c>
      <c r="C104" s="138" t="s">
        <v>4367</v>
      </c>
      <c r="D104" s="138" t="s">
        <v>19</v>
      </c>
      <c r="E104" s="138" t="s">
        <v>88</v>
      </c>
      <c r="F104" s="138" t="s">
        <v>8097</v>
      </c>
      <c r="H104" s="138">
        <v>103</v>
      </c>
      <c r="I104" s="138">
        <v>834</v>
      </c>
      <c r="J104" s="138">
        <v>429</v>
      </c>
      <c r="K104" s="138">
        <v>303</v>
      </c>
      <c r="N104" s="138">
        <v>3</v>
      </c>
      <c r="O104" s="138">
        <v>3</v>
      </c>
      <c r="S104" s="138">
        <v>81</v>
      </c>
      <c r="T104" s="138">
        <v>15</v>
      </c>
      <c r="U104" s="138">
        <f t="shared" si="0"/>
        <v>99</v>
      </c>
      <c r="W104" s="139">
        <f t="shared" ref="W104:AA104" si="206">J104/$I104</f>
        <v>0.51438848920863312</v>
      </c>
      <c r="X104" s="139">
        <f t="shared" si="206"/>
        <v>0.36330935251798563</v>
      </c>
      <c r="Y104" s="139">
        <f t="shared" si="206"/>
        <v>0</v>
      </c>
      <c r="Z104" s="139">
        <f t="shared" si="206"/>
        <v>0</v>
      </c>
      <c r="AA104" s="139">
        <f t="shared" si="206"/>
        <v>3.5971223021582736E-3</v>
      </c>
      <c r="AB104" s="139"/>
      <c r="AC104" s="139">
        <f t="shared" si="2"/>
        <v>0.11870503597122302</v>
      </c>
      <c r="AD104" s="139">
        <f t="shared" ref="AD104:AI104" si="207">O104/$I104</f>
        <v>3.5971223021582736E-3</v>
      </c>
      <c r="AE104" s="139">
        <f t="shared" si="207"/>
        <v>0</v>
      </c>
      <c r="AF104" s="139">
        <f t="shared" si="207"/>
        <v>0</v>
      </c>
      <c r="AG104" s="139">
        <f t="shared" si="207"/>
        <v>0</v>
      </c>
      <c r="AH104" s="139">
        <f t="shared" si="207"/>
        <v>9.7122302158273388E-2</v>
      </c>
      <c r="AI104" s="139">
        <f t="shared" si="207"/>
        <v>1.7985611510791366E-2</v>
      </c>
    </row>
    <row r="105" spans="1:35">
      <c r="A105" s="138">
        <v>52</v>
      </c>
      <c r="B105" s="138" t="s">
        <v>8077</v>
      </c>
      <c r="C105" s="138" t="s">
        <v>4367</v>
      </c>
      <c r="D105" s="138" t="s">
        <v>19</v>
      </c>
      <c r="E105" s="138" t="s">
        <v>88</v>
      </c>
      <c r="F105" s="138" t="s">
        <v>8097</v>
      </c>
      <c r="H105" s="138">
        <v>104</v>
      </c>
      <c r="I105" s="138">
        <v>698</v>
      </c>
      <c r="J105" s="138">
        <v>380</v>
      </c>
      <c r="K105" s="138">
        <v>230</v>
      </c>
      <c r="N105" s="138">
        <v>11</v>
      </c>
      <c r="O105" s="138">
        <v>1</v>
      </c>
      <c r="S105" s="138">
        <v>74</v>
      </c>
      <c r="T105" s="138">
        <v>2</v>
      </c>
      <c r="U105" s="138">
        <f t="shared" si="0"/>
        <v>77</v>
      </c>
      <c r="W105" s="139">
        <f t="shared" ref="W105:AA105" si="208">J105/$I105</f>
        <v>0.54441260744985676</v>
      </c>
      <c r="X105" s="139">
        <f t="shared" si="208"/>
        <v>0.32951289398280803</v>
      </c>
      <c r="Y105" s="139">
        <f t="shared" si="208"/>
        <v>0</v>
      </c>
      <c r="Z105" s="139">
        <f t="shared" si="208"/>
        <v>0</v>
      </c>
      <c r="AA105" s="139">
        <f t="shared" si="208"/>
        <v>1.5759312320916905E-2</v>
      </c>
      <c r="AB105" s="139"/>
      <c r="AC105" s="139">
        <f t="shared" si="2"/>
        <v>0.11031518624641834</v>
      </c>
      <c r="AD105" s="139">
        <f t="shared" ref="AD105:AI105" si="209">O105/$I105</f>
        <v>1.4326647564469914E-3</v>
      </c>
      <c r="AE105" s="139">
        <f t="shared" si="209"/>
        <v>0</v>
      </c>
      <c r="AF105" s="139">
        <f t="shared" si="209"/>
        <v>0</v>
      </c>
      <c r="AG105" s="139">
        <f t="shared" si="209"/>
        <v>0</v>
      </c>
      <c r="AH105" s="139">
        <f t="shared" si="209"/>
        <v>0.10601719197707736</v>
      </c>
      <c r="AI105" s="139">
        <f t="shared" si="209"/>
        <v>2.8653295128939827E-3</v>
      </c>
    </row>
    <row r="106" spans="1:35">
      <c r="A106" s="138">
        <v>52</v>
      </c>
      <c r="B106" s="138" t="s">
        <v>8077</v>
      </c>
      <c r="C106" s="138" t="s">
        <v>4367</v>
      </c>
      <c r="D106" s="138" t="s">
        <v>19</v>
      </c>
      <c r="E106" s="138" t="s">
        <v>88</v>
      </c>
      <c r="F106" s="138" t="s">
        <v>8098</v>
      </c>
      <c r="H106" s="138">
        <v>105</v>
      </c>
      <c r="I106" s="138">
        <v>806</v>
      </c>
      <c r="J106" s="138">
        <v>465</v>
      </c>
      <c r="K106" s="138">
        <v>311</v>
      </c>
      <c r="N106" s="138">
        <v>7</v>
      </c>
      <c r="O106" s="138">
        <v>1</v>
      </c>
      <c r="S106" s="138">
        <v>21</v>
      </c>
      <c r="T106" s="138">
        <v>1</v>
      </c>
      <c r="U106" s="138">
        <f t="shared" si="0"/>
        <v>23</v>
      </c>
      <c r="W106" s="139">
        <f t="shared" ref="W106:AA106" si="210">J106/$I106</f>
        <v>0.57692307692307687</v>
      </c>
      <c r="X106" s="139">
        <f t="shared" si="210"/>
        <v>0.38585607940446648</v>
      </c>
      <c r="Y106" s="139">
        <f t="shared" si="210"/>
        <v>0</v>
      </c>
      <c r="Z106" s="139">
        <f t="shared" si="210"/>
        <v>0</v>
      </c>
      <c r="AA106" s="139">
        <f t="shared" si="210"/>
        <v>8.6848635235732014E-3</v>
      </c>
      <c r="AB106" s="139"/>
      <c r="AC106" s="139">
        <f t="shared" si="2"/>
        <v>2.8535980148883373E-2</v>
      </c>
      <c r="AD106" s="139">
        <f t="shared" ref="AD106:AI106" si="211">O106/$I106</f>
        <v>1.2406947890818859E-3</v>
      </c>
      <c r="AE106" s="139">
        <f t="shared" si="211"/>
        <v>0</v>
      </c>
      <c r="AF106" s="139">
        <f t="shared" si="211"/>
        <v>0</v>
      </c>
      <c r="AG106" s="139">
        <f t="shared" si="211"/>
        <v>0</v>
      </c>
      <c r="AH106" s="139">
        <f t="shared" si="211"/>
        <v>2.6054590570719603E-2</v>
      </c>
      <c r="AI106" s="139">
        <f t="shared" si="211"/>
        <v>1.2406947890818859E-3</v>
      </c>
    </row>
    <row r="107" spans="1:35">
      <c r="A107" s="138">
        <v>52</v>
      </c>
      <c r="B107" s="138" t="s">
        <v>8077</v>
      </c>
      <c r="C107" s="138" t="s">
        <v>4367</v>
      </c>
      <c r="D107" s="138" t="s">
        <v>19</v>
      </c>
      <c r="E107" s="138" t="s">
        <v>88</v>
      </c>
      <c r="F107" s="138" t="s">
        <v>8099</v>
      </c>
      <c r="H107" s="138">
        <v>106</v>
      </c>
      <c r="I107" s="138">
        <v>743</v>
      </c>
      <c r="J107" s="138">
        <v>364</v>
      </c>
      <c r="K107" s="138">
        <v>317</v>
      </c>
      <c r="N107" s="138">
        <v>5</v>
      </c>
      <c r="O107" s="138">
        <v>6</v>
      </c>
      <c r="S107" s="138">
        <v>44</v>
      </c>
      <c r="T107" s="138">
        <v>7</v>
      </c>
      <c r="U107" s="138">
        <f t="shared" si="0"/>
        <v>57</v>
      </c>
      <c r="W107" s="139">
        <f t="shared" ref="W107:AA107" si="212">J107/$I107</f>
        <v>0.48990578734858681</v>
      </c>
      <c r="X107" s="139">
        <f t="shared" si="212"/>
        <v>0.42664872139973081</v>
      </c>
      <c r="Y107" s="139">
        <f t="shared" si="212"/>
        <v>0</v>
      </c>
      <c r="Z107" s="139">
        <f t="shared" si="212"/>
        <v>0</v>
      </c>
      <c r="AA107" s="139">
        <f t="shared" si="212"/>
        <v>6.7294751009421266E-3</v>
      </c>
      <c r="AB107" s="139"/>
      <c r="AC107" s="139">
        <f t="shared" si="2"/>
        <v>7.6716016150740238E-2</v>
      </c>
      <c r="AD107" s="139">
        <f t="shared" ref="AD107:AI107" si="213">O107/$I107</f>
        <v>8.0753701211305519E-3</v>
      </c>
      <c r="AE107" s="139">
        <f t="shared" si="213"/>
        <v>0</v>
      </c>
      <c r="AF107" s="139">
        <f t="shared" si="213"/>
        <v>0</v>
      </c>
      <c r="AG107" s="139">
        <f t="shared" si="213"/>
        <v>0</v>
      </c>
      <c r="AH107" s="139">
        <f t="shared" si="213"/>
        <v>5.9219380888290714E-2</v>
      </c>
      <c r="AI107" s="139">
        <f t="shared" si="213"/>
        <v>9.4212651413189772E-3</v>
      </c>
    </row>
    <row r="108" spans="1:35">
      <c r="A108" s="138">
        <v>52</v>
      </c>
      <c r="B108" s="138" t="s">
        <v>8077</v>
      </c>
      <c r="C108" s="138" t="s">
        <v>4367</v>
      </c>
      <c r="D108" s="138" t="s">
        <v>19</v>
      </c>
      <c r="E108" s="138" t="s">
        <v>88</v>
      </c>
      <c r="F108" s="138" t="s">
        <v>8099</v>
      </c>
      <c r="H108" s="138">
        <v>107</v>
      </c>
      <c r="I108" s="138">
        <v>789</v>
      </c>
      <c r="J108" s="138">
        <v>406</v>
      </c>
      <c r="K108" s="138">
        <v>322</v>
      </c>
      <c r="N108" s="138">
        <v>10</v>
      </c>
      <c r="O108" s="138">
        <v>3</v>
      </c>
      <c r="S108" s="138">
        <v>38</v>
      </c>
      <c r="T108" s="138">
        <v>10</v>
      </c>
      <c r="U108" s="138">
        <f t="shared" si="0"/>
        <v>51</v>
      </c>
      <c r="W108" s="139">
        <f t="shared" ref="W108:AA108" si="214">J108/$I108</f>
        <v>0.51457541191381495</v>
      </c>
      <c r="X108" s="139">
        <f t="shared" si="214"/>
        <v>0.40811153358681873</v>
      </c>
      <c r="Y108" s="139">
        <f t="shared" si="214"/>
        <v>0</v>
      </c>
      <c r="Z108" s="139">
        <f t="shared" si="214"/>
        <v>0</v>
      </c>
      <c r="AA108" s="139">
        <f t="shared" si="214"/>
        <v>1.2674271229404309E-2</v>
      </c>
      <c r="AB108" s="139"/>
      <c r="AC108" s="139">
        <f t="shared" si="2"/>
        <v>6.4638783269961975E-2</v>
      </c>
      <c r="AD108" s="139">
        <f t="shared" ref="AD108:AI108" si="215">O108/$I108</f>
        <v>3.8022813688212928E-3</v>
      </c>
      <c r="AE108" s="139">
        <f t="shared" si="215"/>
        <v>0</v>
      </c>
      <c r="AF108" s="139">
        <f t="shared" si="215"/>
        <v>0</v>
      </c>
      <c r="AG108" s="139">
        <f t="shared" si="215"/>
        <v>0</v>
      </c>
      <c r="AH108" s="139">
        <f t="shared" si="215"/>
        <v>4.8162230671736375E-2</v>
      </c>
      <c r="AI108" s="139">
        <f t="shared" si="215"/>
        <v>1.2674271229404309E-2</v>
      </c>
    </row>
    <row r="109" spans="1:35">
      <c r="A109" s="138">
        <v>52</v>
      </c>
      <c r="B109" s="138" t="s">
        <v>8077</v>
      </c>
      <c r="C109" s="138" t="s">
        <v>4367</v>
      </c>
      <c r="D109" s="138" t="s">
        <v>19</v>
      </c>
      <c r="E109" s="138" t="s">
        <v>88</v>
      </c>
      <c r="F109" s="138" t="s">
        <v>8099</v>
      </c>
      <c r="H109" s="138">
        <v>108</v>
      </c>
      <c r="I109" s="138">
        <v>754</v>
      </c>
      <c r="J109" s="138">
        <v>444</v>
      </c>
      <c r="K109" s="138">
        <v>206</v>
      </c>
      <c r="N109" s="138">
        <v>7</v>
      </c>
      <c r="O109" s="138">
        <v>1</v>
      </c>
      <c r="S109" s="138">
        <v>90</v>
      </c>
      <c r="T109" s="138">
        <v>6</v>
      </c>
      <c r="U109" s="138">
        <f t="shared" si="0"/>
        <v>97</v>
      </c>
      <c r="W109" s="139">
        <f t="shared" ref="W109:AA109" si="216">J109/$I109</f>
        <v>0.58885941644562334</v>
      </c>
      <c r="X109" s="139">
        <f t="shared" si="216"/>
        <v>0.27320954907161804</v>
      </c>
      <c r="Y109" s="139">
        <f t="shared" si="216"/>
        <v>0</v>
      </c>
      <c r="Z109" s="139">
        <f t="shared" si="216"/>
        <v>0</v>
      </c>
      <c r="AA109" s="139">
        <f t="shared" si="216"/>
        <v>9.2838196286472146E-3</v>
      </c>
      <c r="AB109" s="139"/>
      <c r="AC109" s="139">
        <f t="shared" si="2"/>
        <v>0.1286472148541114</v>
      </c>
      <c r="AD109" s="139">
        <f t="shared" ref="AD109:AI109" si="217">O109/$I109</f>
        <v>1.3262599469496021E-3</v>
      </c>
      <c r="AE109" s="139">
        <f t="shared" si="217"/>
        <v>0</v>
      </c>
      <c r="AF109" s="139">
        <f t="shared" si="217"/>
        <v>0</v>
      </c>
      <c r="AG109" s="139">
        <f t="shared" si="217"/>
        <v>0</v>
      </c>
      <c r="AH109" s="139">
        <f t="shared" si="217"/>
        <v>0.11936339522546419</v>
      </c>
      <c r="AI109" s="139">
        <f t="shared" si="217"/>
        <v>7.9575596816976128E-3</v>
      </c>
    </row>
    <row r="110" spans="1:35">
      <c r="A110" s="138">
        <v>52</v>
      </c>
      <c r="B110" s="138" t="s">
        <v>8077</v>
      </c>
      <c r="C110" s="138" t="s">
        <v>4367</v>
      </c>
      <c r="D110" s="138" t="s">
        <v>19</v>
      </c>
      <c r="E110" s="138" t="s">
        <v>88</v>
      </c>
      <c r="F110" s="138" t="s">
        <v>8099</v>
      </c>
      <c r="H110" s="138">
        <v>109</v>
      </c>
      <c r="I110" s="138">
        <v>673</v>
      </c>
      <c r="J110" s="138">
        <v>419</v>
      </c>
      <c r="K110" s="138">
        <v>166</v>
      </c>
      <c r="N110" s="138">
        <v>5</v>
      </c>
      <c r="O110" s="138">
        <v>4</v>
      </c>
      <c r="S110" s="138">
        <v>76</v>
      </c>
      <c r="T110" s="138">
        <v>3</v>
      </c>
      <c r="U110" s="138">
        <f t="shared" si="0"/>
        <v>83</v>
      </c>
      <c r="W110" s="139">
        <f t="shared" ref="W110:AA110" si="218">J110/$I110</f>
        <v>0.62258543833580982</v>
      </c>
      <c r="X110" s="139">
        <f t="shared" si="218"/>
        <v>0.24665676077265974</v>
      </c>
      <c r="Y110" s="139">
        <f t="shared" si="218"/>
        <v>0</v>
      </c>
      <c r="Z110" s="139">
        <f t="shared" si="218"/>
        <v>0</v>
      </c>
      <c r="AA110" s="139">
        <f t="shared" si="218"/>
        <v>7.429420505200594E-3</v>
      </c>
      <c r="AB110" s="139"/>
      <c r="AC110" s="139">
        <f t="shared" si="2"/>
        <v>0.12332838038632987</v>
      </c>
      <c r="AD110" s="139">
        <f t="shared" ref="AD110:AI110" si="219">O110/$I110</f>
        <v>5.9435364041604752E-3</v>
      </c>
      <c r="AE110" s="139">
        <f t="shared" si="219"/>
        <v>0</v>
      </c>
      <c r="AF110" s="139">
        <f t="shared" si="219"/>
        <v>0</v>
      </c>
      <c r="AG110" s="139">
        <f t="shared" si="219"/>
        <v>0</v>
      </c>
      <c r="AH110" s="139">
        <f t="shared" si="219"/>
        <v>0.11292719167904904</v>
      </c>
      <c r="AI110" s="139">
        <f t="shared" si="219"/>
        <v>4.4576523031203564E-3</v>
      </c>
    </row>
    <row r="111" spans="1:35">
      <c r="A111" s="138">
        <v>52</v>
      </c>
      <c r="B111" s="138" t="s">
        <v>8077</v>
      </c>
      <c r="C111" s="138" t="s">
        <v>4367</v>
      </c>
      <c r="D111" s="138" t="s">
        <v>19</v>
      </c>
      <c r="E111" s="138" t="s">
        <v>88</v>
      </c>
      <c r="F111" s="138" t="s">
        <v>8100</v>
      </c>
      <c r="H111" s="138">
        <v>110</v>
      </c>
      <c r="I111" s="138">
        <v>683</v>
      </c>
      <c r="J111" s="138">
        <v>261</v>
      </c>
      <c r="K111" s="138">
        <v>265</v>
      </c>
      <c r="N111" s="138">
        <v>7</v>
      </c>
      <c r="O111" s="138">
        <v>2</v>
      </c>
      <c r="S111" s="138">
        <v>136</v>
      </c>
      <c r="T111" s="138">
        <v>12</v>
      </c>
      <c r="U111" s="138">
        <f t="shared" si="0"/>
        <v>150</v>
      </c>
      <c r="W111" s="139">
        <f t="shared" ref="W111:AA111" si="220">J111/$I111</f>
        <v>0.38213762811127377</v>
      </c>
      <c r="X111" s="139">
        <f t="shared" si="220"/>
        <v>0.38799414348462663</v>
      </c>
      <c r="Y111" s="139">
        <f t="shared" si="220"/>
        <v>0</v>
      </c>
      <c r="Z111" s="139">
        <f t="shared" si="220"/>
        <v>0</v>
      </c>
      <c r="AA111" s="139">
        <f t="shared" si="220"/>
        <v>1.0248901903367497E-2</v>
      </c>
      <c r="AB111" s="139"/>
      <c r="AC111" s="139">
        <f t="shared" si="2"/>
        <v>0.21961932650073207</v>
      </c>
      <c r="AD111" s="139">
        <f t="shared" ref="AD111:AI111" si="221">O111/$I111</f>
        <v>2.9282576866764276E-3</v>
      </c>
      <c r="AE111" s="139">
        <f t="shared" si="221"/>
        <v>0</v>
      </c>
      <c r="AF111" s="139">
        <f t="shared" si="221"/>
        <v>0</v>
      </c>
      <c r="AG111" s="139">
        <f t="shared" si="221"/>
        <v>0</v>
      </c>
      <c r="AH111" s="139">
        <f t="shared" si="221"/>
        <v>0.19912152269399708</v>
      </c>
      <c r="AI111" s="139">
        <f t="shared" si="221"/>
        <v>1.7569546120058566E-2</v>
      </c>
    </row>
    <row r="112" spans="1:35">
      <c r="A112" s="138">
        <v>52</v>
      </c>
      <c r="B112" s="138" t="s">
        <v>8077</v>
      </c>
      <c r="C112" s="138" t="s">
        <v>4367</v>
      </c>
      <c r="D112" s="138" t="s">
        <v>19</v>
      </c>
      <c r="E112" s="138" t="s">
        <v>88</v>
      </c>
      <c r="F112" s="138" t="s">
        <v>8100</v>
      </c>
      <c r="H112" s="138">
        <v>111</v>
      </c>
      <c r="I112" s="138">
        <v>599</v>
      </c>
      <c r="J112" s="138">
        <v>424</v>
      </c>
      <c r="K112" s="138">
        <v>125</v>
      </c>
      <c r="N112" s="138">
        <v>3</v>
      </c>
      <c r="O112" s="138">
        <v>1</v>
      </c>
      <c r="S112" s="138">
        <v>45</v>
      </c>
      <c r="T112" s="138">
        <v>1</v>
      </c>
      <c r="U112" s="138">
        <f t="shared" si="0"/>
        <v>47</v>
      </c>
      <c r="W112" s="139">
        <f t="shared" ref="W112:AA112" si="222">J112/$I112</f>
        <v>0.70784641068447407</v>
      </c>
      <c r="X112" s="139">
        <f t="shared" si="222"/>
        <v>0.20868113522537562</v>
      </c>
      <c r="Y112" s="139">
        <f t="shared" si="222"/>
        <v>0</v>
      </c>
      <c r="Z112" s="139">
        <f t="shared" si="222"/>
        <v>0</v>
      </c>
      <c r="AA112" s="139">
        <f t="shared" si="222"/>
        <v>5.008347245409015E-3</v>
      </c>
      <c r="AB112" s="139"/>
      <c r="AC112" s="139">
        <f t="shared" si="2"/>
        <v>7.8464106844741241E-2</v>
      </c>
      <c r="AD112" s="139">
        <f t="shared" ref="AD112:AI112" si="223">O112/$I112</f>
        <v>1.6694490818030051E-3</v>
      </c>
      <c r="AE112" s="139">
        <f t="shared" si="223"/>
        <v>0</v>
      </c>
      <c r="AF112" s="139">
        <f t="shared" si="223"/>
        <v>0</v>
      </c>
      <c r="AG112" s="139">
        <f t="shared" si="223"/>
        <v>0</v>
      </c>
      <c r="AH112" s="139">
        <f t="shared" si="223"/>
        <v>7.512520868113523E-2</v>
      </c>
      <c r="AI112" s="139">
        <f t="shared" si="223"/>
        <v>1.6694490818030051E-3</v>
      </c>
    </row>
    <row r="113" spans="1:35">
      <c r="A113" s="138">
        <v>52</v>
      </c>
      <c r="B113" s="138" t="s">
        <v>8077</v>
      </c>
      <c r="C113" s="138" t="s">
        <v>4367</v>
      </c>
      <c r="D113" s="138" t="s">
        <v>19</v>
      </c>
      <c r="E113" s="138" t="s">
        <v>19</v>
      </c>
      <c r="F113" s="138" t="s">
        <v>1101</v>
      </c>
      <c r="H113" s="138">
        <v>112</v>
      </c>
      <c r="I113" s="138">
        <v>887</v>
      </c>
      <c r="J113" s="138">
        <v>507</v>
      </c>
      <c r="K113" s="138">
        <v>267</v>
      </c>
      <c r="N113" s="138">
        <v>7</v>
      </c>
      <c r="O113" s="138">
        <v>1</v>
      </c>
      <c r="S113" s="138">
        <v>93</v>
      </c>
      <c r="T113" s="138">
        <v>12</v>
      </c>
      <c r="U113" s="138">
        <f t="shared" si="0"/>
        <v>106</v>
      </c>
      <c r="W113" s="139">
        <f t="shared" ref="W113:AA113" si="224">J113/$I113</f>
        <v>0.5715896279594137</v>
      </c>
      <c r="X113" s="139">
        <f t="shared" si="224"/>
        <v>0.30101465614430667</v>
      </c>
      <c r="Y113" s="139">
        <f t="shared" si="224"/>
        <v>0</v>
      </c>
      <c r="Z113" s="139">
        <f t="shared" si="224"/>
        <v>0</v>
      </c>
      <c r="AA113" s="139">
        <f t="shared" si="224"/>
        <v>7.8917700112739568E-3</v>
      </c>
      <c r="AB113" s="139"/>
      <c r="AC113" s="139">
        <f t="shared" si="2"/>
        <v>0.11950394588500564</v>
      </c>
      <c r="AD113" s="139">
        <f t="shared" ref="AD113:AI113" si="225">O113/$I113</f>
        <v>1.1273957158962795E-3</v>
      </c>
      <c r="AE113" s="139">
        <f t="shared" si="225"/>
        <v>0</v>
      </c>
      <c r="AF113" s="139">
        <f t="shared" si="225"/>
        <v>0</v>
      </c>
      <c r="AG113" s="139">
        <f t="shared" si="225"/>
        <v>0</v>
      </c>
      <c r="AH113" s="139">
        <f t="shared" si="225"/>
        <v>0.10484780157835401</v>
      </c>
      <c r="AI113" s="139">
        <f t="shared" si="225"/>
        <v>1.3528748590755355E-2</v>
      </c>
    </row>
    <row r="114" spans="1:35">
      <c r="A114" s="138">
        <v>52</v>
      </c>
      <c r="B114" s="138" t="s">
        <v>8077</v>
      </c>
      <c r="C114" s="138" t="s">
        <v>4367</v>
      </c>
      <c r="D114" s="138" t="s">
        <v>19</v>
      </c>
      <c r="E114" s="138" t="s">
        <v>19</v>
      </c>
      <c r="F114" s="138" t="s">
        <v>1101</v>
      </c>
      <c r="H114" s="138">
        <v>113</v>
      </c>
      <c r="I114" s="138">
        <v>718</v>
      </c>
      <c r="J114" s="138">
        <v>372</v>
      </c>
      <c r="K114" s="138">
        <v>226</v>
      </c>
      <c r="N114" s="138">
        <v>5</v>
      </c>
      <c r="O114" s="138">
        <v>4</v>
      </c>
      <c r="S114" s="138">
        <v>89</v>
      </c>
      <c r="T114" s="138">
        <v>22</v>
      </c>
      <c r="U114" s="138">
        <f t="shared" si="0"/>
        <v>115</v>
      </c>
      <c r="W114" s="139">
        <f t="shared" ref="W114:AA114" si="226">J114/$I114</f>
        <v>0.51810584958217265</v>
      </c>
      <c r="X114" s="139">
        <f t="shared" si="226"/>
        <v>0.31476323119777161</v>
      </c>
      <c r="Y114" s="139">
        <f t="shared" si="226"/>
        <v>0</v>
      </c>
      <c r="Z114" s="139">
        <f t="shared" si="226"/>
        <v>0</v>
      </c>
      <c r="AA114" s="139">
        <f t="shared" si="226"/>
        <v>6.9637883008356544E-3</v>
      </c>
      <c r="AB114" s="139"/>
      <c r="AC114" s="139">
        <f t="shared" si="2"/>
        <v>0.16016713091922005</v>
      </c>
      <c r="AD114" s="139">
        <f t="shared" ref="AD114:AI114" si="227">O114/$I114</f>
        <v>5.5710306406685237E-3</v>
      </c>
      <c r="AE114" s="139">
        <f t="shared" si="227"/>
        <v>0</v>
      </c>
      <c r="AF114" s="139">
        <f t="shared" si="227"/>
        <v>0</v>
      </c>
      <c r="AG114" s="139">
        <f t="shared" si="227"/>
        <v>0</v>
      </c>
      <c r="AH114" s="139">
        <f t="shared" si="227"/>
        <v>0.12395543175487465</v>
      </c>
      <c r="AI114" s="139">
        <f t="shared" si="227"/>
        <v>3.0640668523676879E-2</v>
      </c>
    </row>
    <row r="115" spans="1:35">
      <c r="A115" s="138">
        <v>52</v>
      </c>
      <c r="B115" s="138" t="s">
        <v>8077</v>
      </c>
      <c r="C115" s="138" t="s">
        <v>4367</v>
      </c>
      <c r="D115" s="138" t="s">
        <v>19</v>
      </c>
      <c r="E115" s="138" t="s">
        <v>19</v>
      </c>
      <c r="F115" s="138" t="s">
        <v>1101</v>
      </c>
      <c r="H115" s="138">
        <v>114</v>
      </c>
      <c r="I115" s="138">
        <v>853</v>
      </c>
      <c r="J115" s="138">
        <v>471</v>
      </c>
      <c r="K115" s="138">
        <v>295</v>
      </c>
      <c r="N115" s="138">
        <v>3</v>
      </c>
      <c r="O115" s="138">
        <v>3</v>
      </c>
      <c r="S115" s="138">
        <v>77</v>
      </c>
      <c r="T115" s="138">
        <v>4</v>
      </c>
      <c r="U115" s="138">
        <f t="shared" si="0"/>
        <v>84</v>
      </c>
      <c r="W115" s="139">
        <f t="shared" ref="W115:AA115" si="228">J115/$I115</f>
        <v>0.55216881594372802</v>
      </c>
      <c r="X115" s="139">
        <f t="shared" si="228"/>
        <v>0.34583821805392734</v>
      </c>
      <c r="Y115" s="139">
        <f t="shared" si="228"/>
        <v>0</v>
      </c>
      <c r="Z115" s="139">
        <f t="shared" si="228"/>
        <v>0</v>
      </c>
      <c r="AA115" s="139">
        <f t="shared" si="228"/>
        <v>3.5169988276670576E-3</v>
      </c>
      <c r="AB115" s="139"/>
      <c r="AC115" s="139">
        <f t="shared" si="2"/>
        <v>9.8475967174677603E-2</v>
      </c>
      <c r="AD115" s="139">
        <f t="shared" ref="AD115:AI115" si="229">O115/$I115</f>
        <v>3.5169988276670576E-3</v>
      </c>
      <c r="AE115" s="139">
        <f t="shared" si="229"/>
        <v>0</v>
      </c>
      <c r="AF115" s="139">
        <f t="shared" si="229"/>
        <v>0</v>
      </c>
      <c r="AG115" s="139">
        <f t="shared" si="229"/>
        <v>0</v>
      </c>
      <c r="AH115" s="139">
        <f t="shared" si="229"/>
        <v>9.0269636576787812E-2</v>
      </c>
      <c r="AI115" s="139">
        <f t="shared" si="229"/>
        <v>4.6893317702227429E-3</v>
      </c>
    </row>
    <row r="116" spans="1:35">
      <c r="A116" s="138">
        <v>52</v>
      </c>
      <c r="B116" s="138" t="s">
        <v>8077</v>
      </c>
      <c r="C116" s="138" t="s">
        <v>4367</v>
      </c>
      <c r="D116" s="138" t="s">
        <v>19</v>
      </c>
      <c r="E116" s="138" t="s">
        <v>19</v>
      </c>
      <c r="F116" s="138" t="s">
        <v>1101</v>
      </c>
      <c r="H116" s="138">
        <v>115</v>
      </c>
      <c r="I116" s="138">
        <v>921</v>
      </c>
      <c r="J116" s="138">
        <v>435</v>
      </c>
      <c r="K116" s="138">
        <v>378</v>
      </c>
      <c r="N116" s="138">
        <v>6</v>
      </c>
      <c r="O116" s="138">
        <v>2</v>
      </c>
      <c r="S116" s="138">
        <v>77</v>
      </c>
      <c r="T116" s="138">
        <v>23</v>
      </c>
      <c r="U116" s="138">
        <f t="shared" si="0"/>
        <v>102</v>
      </c>
      <c r="W116" s="139">
        <f t="shared" ref="W116:AA116" si="230">J116/$I116</f>
        <v>0.47231270358306188</v>
      </c>
      <c r="X116" s="139">
        <f t="shared" si="230"/>
        <v>0.41042345276872966</v>
      </c>
      <c r="Y116" s="139">
        <f t="shared" si="230"/>
        <v>0</v>
      </c>
      <c r="Z116" s="139">
        <f t="shared" si="230"/>
        <v>0</v>
      </c>
      <c r="AA116" s="139">
        <f t="shared" si="230"/>
        <v>6.5146579804560263E-3</v>
      </c>
      <c r="AB116" s="139"/>
      <c r="AC116" s="139">
        <f t="shared" si="2"/>
        <v>0.11074918566775244</v>
      </c>
      <c r="AD116" s="139">
        <f t="shared" ref="AD116:AI116" si="231">O116/$I116</f>
        <v>2.1715526601520088E-3</v>
      </c>
      <c r="AE116" s="139">
        <f t="shared" si="231"/>
        <v>0</v>
      </c>
      <c r="AF116" s="139">
        <f t="shared" si="231"/>
        <v>0</v>
      </c>
      <c r="AG116" s="139">
        <f t="shared" si="231"/>
        <v>0</v>
      </c>
      <c r="AH116" s="139">
        <f t="shared" si="231"/>
        <v>8.360477741585233E-2</v>
      </c>
      <c r="AI116" s="139">
        <f t="shared" si="231"/>
        <v>2.4972855591748101E-2</v>
      </c>
    </row>
    <row r="117" spans="1:35">
      <c r="A117" s="138">
        <v>52</v>
      </c>
      <c r="B117" s="138" t="s">
        <v>8077</v>
      </c>
      <c r="C117" s="138" t="s">
        <v>4367</v>
      </c>
      <c r="D117" s="138" t="s">
        <v>19</v>
      </c>
      <c r="E117" s="138" t="s">
        <v>19</v>
      </c>
      <c r="F117" s="138" t="s">
        <v>1129</v>
      </c>
      <c r="H117" s="138">
        <v>116</v>
      </c>
      <c r="I117" s="138">
        <v>778</v>
      </c>
      <c r="J117" s="138">
        <v>402</v>
      </c>
      <c r="K117" s="138">
        <v>309</v>
      </c>
      <c r="N117" s="138">
        <v>8</v>
      </c>
      <c r="O117" s="138">
        <v>5</v>
      </c>
      <c r="S117" s="138">
        <v>49</v>
      </c>
      <c r="T117" s="138">
        <v>5</v>
      </c>
      <c r="U117" s="138">
        <f t="shared" si="0"/>
        <v>59</v>
      </c>
      <c r="W117" s="139">
        <f t="shared" ref="W117:AA117" si="232">J117/$I117</f>
        <v>0.51670951156812339</v>
      </c>
      <c r="X117" s="139">
        <f t="shared" si="232"/>
        <v>0.39717223650385602</v>
      </c>
      <c r="Y117" s="139">
        <f t="shared" si="232"/>
        <v>0</v>
      </c>
      <c r="Z117" s="139">
        <f t="shared" si="232"/>
        <v>0</v>
      </c>
      <c r="AA117" s="139">
        <f t="shared" si="232"/>
        <v>1.0282776349614395E-2</v>
      </c>
      <c r="AB117" s="139"/>
      <c r="AC117" s="139">
        <f t="shared" si="2"/>
        <v>7.583547557840617E-2</v>
      </c>
      <c r="AD117" s="139">
        <f t="shared" ref="AD117:AI117" si="233">O117/$I117</f>
        <v>6.4267352185089976E-3</v>
      </c>
      <c r="AE117" s="139">
        <f t="shared" si="233"/>
        <v>0</v>
      </c>
      <c r="AF117" s="139">
        <f t="shared" si="233"/>
        <v>0</v>
      </c>
      <c r="AG117" s="139">
        <f t="shared" si="233"/>
        <v>0</v>
      </c>
      <c r="AH117" s="139">
        <f t="shared" si="233"/>
        <v>6.2982005141388173E-2</v>
      </c>
      <c r="AI117" s="139">
        <f t="shared" si="233"/>
        <v>6.4267352185089976E-3</v>
      </c>
    </row>
    <row r="118" spans="1:35">
      <c r="A118" s="138">
        <v>52</v>
      </c>
      <c r="B118" s="138" t="s">
        <v>8077</v>
      </c>
      <c r="C118" s="138" t="s">
        <v>4367</v>
      </c>
      <c r="D118" s="138" t="s">
        <v>19</v>
      </c>
      <c r="E118" s="138" t="s">
        <v>19</v>
      </c>
      <c r="F118" s="138" t="s">
        <v>1129</v>
      </c>
      <c r="H118" s="138">
        <v>117</v>
      </c>
      <c r="I118" s="138">
        <v>989</v>
      </c>
      <c r="J118" s="138">
        <v>511</v>
      </c>
      <c r="K118" s="138">
        <v>363</v>
      </c>
      <c r="N118" s="138">
        <v>14</v>
      </c>
      <c r="O118" s="138">
        <v>4</v>
      </c>
      <c r="S118" s="138">
        <v>85</v>
      </c>
      <c r="T118" s="138">
        <v>12</v>
      </c>
      <c r="U118" s="138">
        <f t="shared" si="0"/>
        <v>101</v>
      </c>
      <c r="W118" s="139">
        <f t="shared" ref="W118:AA118" si="234">J118/$I118</f>
        <v>0.51668351870576334</v>
      </c>
      <c r="X118" s="139">
        <f t="shared" si="234"/>
        <v>0.36703741152679475</v>
      </c>
      <c r="Y118" s="139">
        <f t="shared" si="234"/>
        <v>0</v>
      </c>
      <c r="Z118" s="139">
        <f t="shared" si="234"/>
        <v>0</v>
      </c>
      <c r="AA118" s="139">
        <f t="shared" si="234"/>
        <v>1.4155712841253791E-2</v>
      </c>
      <c r="AB118" s="139"/>
      <c r="AC118" s="139">
        <f t="shared" si="2"/>
        <v>0.10212335692618807</v>
      </c>
      <c r="AD118" s="139">
        <f t="shared" ref="AD118:AI118" si="235">O118/$I118</f>
        <v>4.0444893832153692E-3</v>
      </c>
      <c r="AE118" s="139">
        <f t="shared" si="235"/>
        <v>0</v>
      </c>
      <c r="AF118" s="139">
        <f t="shared" si="235"/>
        <v>0</v>
      </c>
      <c r="AG118" s="139">
        <f t="shared" si="235"/>
        <v>0</v>
      </c>
      <c r="AH118" s="139">
        <f t="shared" si="235"/>
        <v>8.5945399393326599E-2</v>
      </c>
      <c r="AI118" s="139">
        <f t="shared" si="235"/>
        <v>1.2133468149646108E-2</v>
      </c>
    </row>
    <row r="119" spans="1:35">
      <c r="A119" s="138">
        <v>52</v>
      </c>
      <c r="B119" s="138" t="s">
        <v>8077</v>
      </c>
      <c r="C119" s="138" t="s">
        <v>4367</v>
      </c>
      <c r="D119" s="138" t="s">
        <v>19</v>
      </c>
      <c r="E119" s="138" t="s">
        <v>19</v>
      </c>
      <c r="F119" s="138" t="s">
        <v>1129</v>
      </c>
      <c r="H119" s="138">
        <v>118</v>
      </c>
      <c r="I119" s="138">
        <v>992</v>
      </c>
      <c r="J119" s="138">
        <v>558</v>
      </c>
      <c r="K119" s="138">
        <v>317</v>
      </c>
      <c r="N119" s="138">
        <v>4</v>
      </c>
      <c r="O119" s="138">
        <v>9</v>
      </c>
      <c r="S119" s="138">
        <v>82</v>
      </c>
      <c r="T119" s="138">
        <v>22</v>
      </c>
      <c r="U119" s="138">
        <f t="shared" si="0"/>
        <v>113</v>
      </c>
      <c r="W119" s="139">
        <f t="shared" ref="W119:AA119" si="236">J119/$I119</f>
        <v>0.5625</v>
      </c>
      <c r="X119" s="139">
        <f t="shared" si="236"/>
        <v>0.31955645161290325</v>
      </c>
      <c r="Y119" s="139">
        <f t="shared" si="236"/>
        <v>0</v>
      </c>
      <c r="Z119" s="139">
        <f t="shared" si="236"/>
        <v>0</v>
      </c>
      <c r="AA119" s="139">
        <f t="shared" si="236"/>
        <v>4.0322580645161289E-3</v>
      </c>
      <c r="AB119" s="139"/>
      <c r="AC119" s="139">
        <f t="shared" si="2"/>
        <v>0.11391129032258064</v>
      </c>
      <c r="AD119" s="139">
        <f t="shared" ref="AD119:AI119" si="237">O119/$I119</f>
        <v>9.0725806451612909E-3</v>
      </c>
      <c r="AE119" s="139">
        <f t="shared" si="237"/>
        <v>0</v>
      </c>
      <c r="AF119" s="139">
        <f t="shared" si="237"/>
        <v>0</v>
      </c>
      <c r="AG119" s="139">
        <f t="shared" si="237"/>
        <v>0</v>
      </c>
      <c r="AH119" s="139">
        <f t="shared" si="237"/>
        <v>8.2661290322580641E-2</v>
      </c>
      <c r="AI119" s="139">
        <f t="shared" si="237"/>
        <v>2.2177419354838711E-2</v>
      </c>
    </row>
    <row r="120" spans="1:35">
      <c r="A120" s="138">
        <v>52</v>
      </c>
      <c r="B120" s="138" t="s">
        <v>8077</v>
      </c>
      <c r="C120" s="138" t="s">
        <v>4367</v>
      </c>
      <c r="D120" s="138" t="s">
        <v>19</v>
      </c>
      <c r="E120" s="138" t="s">
        <v>19</v>
      </c>
      <c r="F120" s="138" t="s">
        <v>1129</v>
      </c>
      <c r="H120" s="138">
        <v>119</v>
      </c>
      <c r="I120" s="138">
        <v>971</v>
      </c>
      <c r="J120" s="138">
        <v>525</v>
      </c>
      <c r="K120" s="138">
        <v>365</v>
      </c>
      <c r="N120" s="138">
        <v>5</v>
      </c>
      <c r="O120" s="138">
        <v>5</v>
      </c>
      <c r="S120" s="138">
        <v>62</v>
      </c>
      <c r="T120" s="138">
        <v>9</v>
      </c>
      <c r="U120" s="138">
        <f t="shared" si="0"/>
        <v>76</v>
      </c>
      <c r="W120" s="139">
        <f t="shared" ref="W120:AA120" si="238">J120/$I120</f>
        <v>0.54067971163748718</v>
      </c>
      <c r="X120" s="139">
        <f t="shared" si="238"/>
        <v>0.37590113285272914</v>
      </c>
      <c r="Y120" s="139">
        <f t="shared" si="238"/>
        <v>0</v>
      </c>
      <c r="Z120" s="139">
        <f t="shared" si="238"/>
        <v>0</v>
      </c>
      <c r="AA120" s="139">
        <f t="shared" si="238"/>
        <v>5.1493305870236872E-3</v>
      </c>
      <c r="AB120" s="139"/>
      <c r="AC120" s="139">
        <f t="shared" si="2"/>
        <v>7.8269824922760037E-2</v>
      </c>
      <c r="AD120" s="139">
        <f t="shared" ref="AD120:AI120" si="239">O120/$I120</f>
        <v>5.1493305870236872E-3</v>
      </c>
      <c r="AE120" s="139">
        <f t="shared" si="239"/>
        <v>0</v>
      </c>
      <c r="AF120" s="139">
        <f t="shared" si="239"/>
        <v>0</v>
      </c>
      <c r="AG120" s="139">
        <f t="shared" si="239"/>
        <v>0</v>
      </c>
      <c r="AH120" s="139">
        <f t="shared" si="239"/>
        <v>6.3851699279093718E-2</v>
      </c>
      <c r="AI120" s="139">
        <f t="shared" si="239"/>
        <v>9.2687950566426366E-3</v>
      </c>
    </row>
    <row r="121" spans="1:35">
      <c r="A121" s="138">
        <v>52</v>
      </c>
      <c r="B121" s="138" t="s">
        <v>8077</v>
      </c>
      <c r="C121" s="138" t="s">
        <v>4367</v>
      </c>
      <c r="D121" s="138" t="s">
        <v>19</v>
      </c>
      <c r="E121" s="138" t="s">
        <v>19</v>
      </c>
      <c r="F121" s="138" t="s">
        <v>1129</v>
      </c>
      <c r="H121" s="138">
        <v>120</v>
      </c>
      <c r="I121" s="138">
        <v>680</v>
      </c>
      <c r="J121" s="138">
        <v>358</v>
      </c>
      <c r="K121" s="138">
        <v>224</v>
      </c>
      <c r="N121" s="138">
        <v>11</v>
      </c>
      <c r="O121" s="138">
        <v>1</v>
      </c>
      <c r="S121" s="138">
        <v>73</v>
      </c>
      <c r="T121" s="138">
        <v>13</v>
      </c>
      <c r="U121" s="138">
        <f t="shared" si="0"/>
        <v>87</v>
      </c>
      <c r="W121" s="139">
        <f t="shared" ref="W121:AA121" si="240">J121/$I121</f>
        <v>0.52647058823529413</v>
      </c>
      <c r="X121" s="139">
        <f t="shared" si="240"/>
        <v>0.32941176470588235</v>
      </c>
      <c r="Y121" s="139">
        <f t="shared" si="240"/>
        <v>0</v>
      </c>
      <c r="Z121" s="139">
        <f t="shared" si="240"/>
        <v>0</v>
      </c>
      <c r="AA121" s="139">
        <f t="shared" si="240"/>
        <v>1.6176470588235296E-2</v>
      </c>
      <c r="AB121" s="139"/>
      <c r="AC121" s="139">
        <f t="shared" si="2"/>
        <v>0.12794117647058822</v>
      </c>
      <c r="AD121" s="139">
        <f t="shared" ref="AD121:AI121" si="241">O121/$I121</f>
        <v>1.4705882352941176E-3</v>
      </c>
      <c r="AE121" s="139">
        <f t="shared" si="241"/>
        <v>0</v>
      </c>
      <c r="AF121" s="139">
        <f t="shared" si="241"/>
        <v>0</v>
      </c>
      <c r="AG121" s="139">
        <f t="shared" si="241"/>
        <v>0</v>
      </c>
      <c r="AH121" s="139">
        <f t="shared" si="241"/>
        <v>0.10735294117647058</v>
      </c>
      <c r="AI121" s="139">
        <f t="shared" si="241"/>
        <v>1.9117647058823531E-2</v>
      </c>
    </row>
    <row r="122" spans="1:35">
      <c r="A122" s="138">
        <v>52</v>
      </c>
      <c r="B122" s="138" t="s">
        <v>8077</v>
      </c>
      <c r="C122" s="138" t="s">
        <v>4367</v>
      </c>
      <c r="D122" s="138" t="s">
        <v>19</v>
      </c>
      <c r="E122" s="138" t="s">
        <v>19</v>
      </c>
      <c r="F122" s="138" t="s">
        <v>1129</v>
      </c>
      <c r="H122" s="138">
        <v>121</v>
      </c>
      <c r="I122" s="138">
        <v>565</v>
      </c>
      <c r="J122" s="138">
        <v>366</v>
      </c>
      <c r="K122" s="138">
        <v>165</v>
      </c>
      <c r="N122" s="138">
        <v>4</v>
      </c>
      <c r="O122" s="138">
        <v>3</v>
      </c>
      <c r="S122" s="138">
        <v>21</v>
      </c>
      <c r="T122" s="138">
        <v>6</v>
      </c>
      <c r="U122" s="138">
        <f t="shared" si="0"/>
        <v>30</v>
      </c>
      <c r="W122" s="139">
        <f t="shared" ref="W122:AA122" si="242">J122/$I122</f>
        <v>0.64778761061946899</v>
      </c>
      <c r="X122" s="139">
        <f t="shared" si="242"/>
        <v>0.29203539823008851</v>
      </c>
      <c r="Y122" s="139">
        <f t="shared" si="242"/>
        <v>0</v>
      </c>
      <c r="Z122" s="139">
        <f t="shared" si="242"/>
        <v>0</v>
      </c>
      <c r="AA122" s="139">
        <f t="shared" si="242"/>
        <v>7.0796460176991149E-3</v>
      </c>
      <c r="AB122" s="139"/>
      <c r="AC122" s="139">
        <f t="shared" si="2"/>
        <v>5.3097345132743362E-2</v>
      </c>
      <c r="AD122" s="139">
        <f t="shared" ref="AD122:AI122" si="243">O122/$I122</f>
        <v>5.3097345132743362E-3</v>
      </c>
      <c r="AE122" s="139">
        <f t="shared" si="243"/>
        <v>0</v>
      </c>
      <c r="AF122" s="139">
        <f t="shared" si="243"/>
        <v>0</v>
      </c>
      <c r="AG122" s="139">
        <f t="shared" si="243"/>
        <v>0</v>
      </c>
      <c r="AH122" s="139">
        <f t="shared" si="243"/>
        <v>3.7168141592920353E-2</v>
      </c>
      <c r="AI122" s="139">
        <f t="shared" si="243"/>
        <v>1.0619469026548672E-2</v>
      </c>
    </row>
    <row r="123" spans="1:35">
      <c r="A123" s="138">
        <v>52</v>
      </c>
      <c r="B123" s="138" t="s">
        <v>8077</v>
      </c>
      <c r="C123" s="138" t="s">
        <v>4367</v>
      </c>
      <c r="D123" s="138" t="s">
        <v>19</v>
      </c>
      <c r="E123" s="138" t="s">
        <v>19</v>
      </c>
      <c r="F123" s="138" t="s">
        <v>1129</v>
      </c>
      <c r="H123" s="138">
        <v>122</v>
      </c>
      <c r="I123" s="138">
        <v>615</v>
      </c>
      <c r="J123" s="138">
        <v>335</v>
      </c>
      <c r="K123" s="138">
        <v>242</v>
      </c>
      <c r="N123" s="138">
        <v>2</v>
      </c>
      <c r="O123" s="138">
        <v>3</v>
      </c>
      <c r="S123" s="138">
        <v>25</v>
      </c>
      <c r="T123" s="138">
        <v>8</v>
      </c>
      <c r="U123" s="138">
        <f t="shared" si="0"/>
        <v>36</v>
      </c>
      <c r="W123" s="139">
        <f t="shared" ref="W123:AA123" si="244">J123/$I123</f>
        <v>0.54471544715447151</v>
      </c>
      <c r="X123" s="139">
        <f t="shared" si="244"/>
        <v>0.39349593495934959</v>
      </c>
      <c r="Y123" s="139">
        <f t="shared" si="244"/>
        <v>0</v>
      </c>
      <c r="Z123" s="139">
        <f t="shared" si="244"/>
        <v>0</v>
      </c>
      <c r="AA123" s="139">
        <f t="shared" si="244"/>
        <v>3.2520325203252032E-3</v>
      </c>
      <c r="AB123" s="139"/>
      <c r="AC123" s="139">
        <f t="shared" si="2"/>
        <v>5.8536585365853662E-2</v>
      </c>
      <c r="AD123" s="139">
        <f t="shared" ref="AD123:AI123" si="245">O123/$I123</f>
        <v>4.8780487804878049E-3</v>
      </c>
      <c r="AE123" s="139">
        <f t="shared" si="245"/>
        <v>0</v>
      </c>
      <c r="AF123" s="139">
        <f t="shared" si="245"/>
        <v>0</v>
      </c>
      <c r="AG123" s="139">
        <f t="shared" si="245"/>
        <v>0</v>
      </c>
      <c r="AH123" s="139">
        <f t="shared" si="245"/>
        <v>4.065040650406504E-2</v>
      </c>
      <c r="AI123" s="139">
        <f t="shared" si="245"/>
        <v>1.3008130081300813E-2</v>
      </c>
    </row>
    <row r="124" spans="1:35">
      <c r="A124" s="138">
        <v>52</v>
      </c>
      <c r="B124" s="138" t="s">
        <v>8077</v>
      </c>
      <c r="C124" s="138" t="s">
        <v>4367</v>
      </c>
      <c r="D124" s="138" t="s">
        <v>19</v>
      </c>
      <c r="E124" s="138" t="s">
        <v>19</v>
      </c>
      <c r="F124" s="138" t="s">
        <v>1145</v>
      </c>
      <c r="H124" s="138">
        <v>123</v>
      </c>
      <c r="I124" s="138">
        <v>842</v>
      </c>
      <c r="J124" s="138">
        <v>437</v>
      </c>
      <c r="K124" s="138">
        <v>371</v>
      </c>
      <c r="N124" s="138">
        <v>2</v>
      </c>
      <c r="O124" s="138">
        <v>1</v>
      </c>
      <c r="S124" s="138">
        <v>28</v>
      </c>
      <c r="T124" s="138">
        <v>3</v>
      </c>
      <c r="U124" s="138">
        <f t="shared" si="0"/>
        <v>32</v>
      </c>
      <c r="W124" s="139">
        <f t="shared" ref="W124:AA124" si="246">J124/$I124</f>
        <v>0.51900237529691207</v>
      </c>
      <c r="X124" s="139">
        <f t="shared" si="246"/>
        <v>0.44061757719714967</v>
      </c>
      <c r="Y124" s="139">
        <f t="shared" si="246"/>
        <v>0</v>
      </c>
      <c r="Z124" s="139">
        <f t="shared" si="246"/>
        <v>0</v>
      </c>
      <c r="AA124" s="139">
        <f t="shared" si="246"/>
        <v>2.3752969121140144E-3</v>
      </c>
      <c r="AB124" s="139"/>
      <c r="AC124" s="139">
        <f t="shared" si="2"/>
        <v>3.800475059382423E-2</v>
      </c>
      <c r="AD124" s="139">
        <f t="shared" ref="AD124:AI124" si="247">O124/$I124</f>
        <v>1.1876484560570072E-3</v>
      </c>
      <c r="AE124" s="139">
        <f t="shared" si="247"/>
        <v>0</v>
      </c>
      <c r="AF124" s="139">
        <f t="shared" si="247"/>
        <v>0</v>
      </c>
      <c r="AG124" s="139">
        <f t="shared" si="247"/>
        <v>0</v>
      </c>
      <c r="AH124" s="139">
        <f t="shared" si="247"/>
        <v>3.3254156769596199E-2</v>
      </c>
      <c r="AI124" s="139">
        <f t="shared" si="247"/>
        <v>3.5629453681710215E-3</v>
      </c>
    </row>
    <row r="125" spans="1:35">
      <c r="A125" s="138">
        <v>52</v>
      </c>
      <c r="B125" s="138" t="s">
        <v>8077</v>
      </c>
      <c r="C125" s="138" t="s">
        <v>4367</v>
      </c>
      <c r="D125" s="138" t="s">
        <v>19</v>
      </c>
      <c r="E125" s="138" t="s">
        <v>19</v>
      </c>
      <c r="F125" s="138" t="s">
        <v>1145</v>
      </c>
      <c r="H125" s="138">
        <v>124</v>
      </c>
      <c r="I125" s="138">
        <v>393</v>
      </c>
      <c r="J125" s="138">
        <v>247</v>
      </c>
      <c r="K125" s="138">
        <v>116</v>
      </c>
      <c r="N125" s="138">
        <v>5</v>
      </c>
      <c r="O125" s="138">
        <v>6</v>
      </c>
      <c r="S125" s="138">
        <v>17</v>
      </c>
      <c r="T125" s="138">
        <v>2</v>
      </c>
      <c r="U125" s="138">
        <f t="shared" si="0"/>
        <v>25</v>
      </c>
      <c r="W125" s="139">
        <f t="shared" ref="W125:AA125" si="248">J125/$I125</f>
        <v>0.62849872773536897</v>
      </c>
      <c r="X125" s="139">
        <f t="shared" si="248"/>
        <v>0.2951653944020356</v>
      </c>
      <c r="Y125" s="139">
        <f t="shared" si="248"/>
        <v>0</v>
      </c>
      <c r="Z125" s="139">
        <f t="shared" si="248"/>
        <v>0</v>
      </c>
      <c r="AA125" s="139">
        <f t="shared" si="248"/>
        <v>1.2722646310432569E-2</v>
      </c>
      <c r="AB125" s="139"/>
      <c r="AC125" s="139">
        <f t="shared" si="2"/>
        <v>6.3613231552162849E-2</v>
      </c>
      <c r="AD125" s="139">
        <f t="shared" ref="AD125:AI125" si="249">O125/$I125</f>
        <v>1.5267175572519083E-2</v>
      </c>
      <c r="AE125" s="139">
        <f t="shared" si="249"/>
        <v>0</v>
      </c>
      <c r="AF125" s="139">
        <f t="shared" si="249"/>
        <v>0</v>
      </c>
      <c r="AG125" s="139">
        <f t="shared" si="249"/>
        <v>0</v>
      </c>
      <c r="AH125" s="139">
        <f t="shared" si="249"/>
        <v>4.3256997455470736E-2</v>
      </c>
      <c r="AI125" s="139">
        <f t="shared" si="249"/>
        <v>5.0890585241730284E-3</v>
      </c>
    </row>
    <row r="126" spans="1:35">
      <c r="A126" s="138">
        <v>52</v>
      </c>
      <c r="B126" s="138" t="s">
        <v>8077</v>
      </c>
      <c r="C126" s="138" t="s">
        <v>4367</v>
      </c>
      <c r="D126" s="138" t="s">
        <v>19</v>
      </c>
      <c r="E126" s="138" t="s">
        <v>19</v>
      </c>
      <c r="F126" s="138" t="s">
        <v>1073</v>
      </c>
      <c r="H126" s="138">
        <v>125</v>
      </c>
      <c r="I126" s="138">
        <v>720</v>
      </c>
      <c r="J126" s="138">
        <v>330</v>
      </c>
      <c r="K126" s="138">
        <v>362</v>
      </c>
      <c r="N126" s="138">
        <v>5</v>
      </c>
      <c r="O126" s="138">
        <v>0</v>
      </c>
      <c r="S126" s="138">
        <v>19</v>
      </c>
      <c r="T126" s="138">
        <v>4</v>
      </c>
      <c r="U126" s="138">
        <f t="shared" si="0"/>
        <v>23</v>
      </c>
      <c r="W126" s="139">
        <f t="shared" ref="W126:AA126" si="250">J126/$I126</f>
        <v>0.45833333333333331</v>
      </c>
      <c r="X126" s="139">
        <f t="shared" si="250"/>
        <v>0.50277777777777777</v>
      </c>
      <c r="Y126" s="139">
        <f t="shared" si="250"/>
        <v>0</v>
      </c>
      <c r="Z126" s="139">
        <f t="shared" si="250"/>
        <v>0</v>
      </c>
      <c r="AA126" s="139">
        <f t="shared" si="250"/>
        <v>6.9444444444444441E-3</v>
      </c>
      <c r="AB126" s="139"/>
      <c r="AC126" s="139">
        <f t="shared" si="2"/>
        <v>3.1944444444444442E-2</v>
      </c>
      <c r="AD126" s="139">
        <f t="shared" ref="AD126:AI126" si="251">O126/$I126</f>
        <v>0</v>
      </c>
      <c r="AE126" s="139">
        <f t="shared" si="251"/>
        <v>0</v>
      </c>
      <c r="AF126" s="139">
        <f t="shared" si="251"/>
        <v>0</v>
      </c>
      <c r="AG126" s="139">
        <f t="shared" si="251"/>
        <v>0</v>
      </c>
      <c r="AH126" s="139">
        <f t="shared" si="251"/>
        <v>2.6388888888888889E-2</v>
      </c>
      <c r="AI126" s="139">
        <f t="shared" si="251"/>
        <v>5.5555555555555558E-3</v>
      </c>
    </row>
    <row r="127" spans="1:35">
      <c r="A127" s="138">
        <v>52</v>
      </c>
      <c r="B127" s="138" t="s">
        <v>8077</v>
      </c>
      <c r="C127" s="138" t="s">
        <v>4367</v>
      </c>
      <c r="D127" s="138" t="s">
        <v>19</v>
      </c>
      <c r="E127" s="138" t="s">
        <v>19</v>
      </c>
      <c r="F127" s="138" t="s">
        <v>1073</v>
      </c>
      <c r="H127" s="138">
        <v>126</v>
      </c>
      <c r="I127" s="138">
        <v>767</v>
      </c>
      <c r="J127" s="138">
        <v>412</v>
      </c>
      <c r="K127" s="138">
        <v>325</v>
      </c>
      <c r="N127" s="138">
        <v>2</v>
      </c>
      <c r="O127" s="138">
        <v>1</v>
      </c>
      <c r="S127" s="138">
        <v>18</v>
      </c>
      <c r="T127" s="138">
        <v>9</v>
      </c>
      <c r="U127" s="138">
        <f t="shared" si="0"/>
        <v>28</v>
      </c>
      <c r="W127" s="139">
        <f t="shared" ref="W127:AA127" si="252">J127/$I127</f>
        <v>0.53715775749674055</v>
      </c>
      <c r="X127" s="139">
        <f t="shared" si="252"/>
        <v>0.42372881355932202</v>
      </c>
      <c r="Y127" s="139">
        <f t="shared" si="252"/>
        <v>0</v>
      </c>
      <c r="Z127" s="139">
        <f t="shared" si="252"/>
        <v>0</v>
      </c>
      <c r="AA127" s="139">
        <f t="shared" si="252"/>
        <v>2.6075619295958278E-3</v>
      </c>
      <c r="AB127" s="139"/>
      <c r="AC127" s="139">
        <f t="shared" si="2"/>
        <v>3.6505867014341588E-2</v>
      </c>
      <c r="AD127" s="139">
        <f t="shared" ref="AD127:AI127" si="253">O127/$I127</f>
        <v>1.3037809647979139E-3</v>
      </c>
      <c r="AE127" s="139">
        <f t="shared" si="253"/>
        <v>0</v>
      </c>
      <c r="AF127" s="139">
        <f t="shared" si="253"/>
        <v>0</v>
      </c>
      <c r="AG127" s="139">
        <f t="shared" si="253"/>
        <v>0</v>
      </c>
      <c r="AH127" s="139">
        <f t="shared" si="253"/>
        <v>2.3468057366362451E-2</v>
      </c>
      <c r="AI127" s="139">
        <f t="shared" si="253"/>
        <v>1.1734028683181226E-2</v>
      </c>
    </row>
    <row r="128" spans="1:35">
      <c r="A128" s="138">
        <v>52</v>
      </c>
      <c r="B128" s="138" t="s">
        <v>8077</v>
      </c>
      <c r="C128" s="138" t="s">
        <v>4367</v>
      </c>
      <c r="D128" s="138" t="s">
        <v>19</v>
      </c>
      <c r="E128" s="138" t="s">
        <v>19</v>
      </c>
      <c r="F128" s="138" t="s">
        <v>8101</v>
      </c>
      <c r="H128" s="138">
        <v>127</v>
      </c>
      <c r="I128" s="138">
        <v>1036</v>
      </c>
      <c r="J128" s="138">
        <v>554</v>
      </c>
      <c r="K128" s="138">
        <v>324</v>
      </c>
      <c r="N128" s="138">
        <v>13</v>
      </c>
      <c r="O128" s="138">
        <v>5</v>
      </c>
      <c r="S128" s="138">
        <v>117</v>
      </c>
      <c r="T128" s="138">
        <v>23</v>
      </c>
      <c r="U128" s="138">
        <f t="shared" si="0"/>
        <v>145</v>
      </c>
      <c r="W128" s="139">
        <f t="shared" ref="W128:AA128" si="254">J128/$I128</f>
        <v>0.53474903474903479</v>
      </c>
      <c r="X128" s="139">
        <f t="shared" si="254"/>
        <v>0.31274131274131273</v>
      </c>
      <c r="Y128" s="139">
        <f t="shared" si="254"/>
        <v>0</v>
      </c>
      <c r="Z128" s="139">
        <f t="shared" si="254"/>
        <v>0</v>
      </c>
      <c r="AA128" s="139">
        <f t="shared" si="254"/>
        <v>1.2548262548262547E-2</v>
      </c>
      <c r="AB128" s="139"/>
      <c r="AC128" s="139">
        <f t="shared" si="2"/>
        <v>0.13996138996138996</v>
      </c>
      <c r="AD128" s="139">
        <f t="shared" ref="AD128:AI128" si="255">O128/$I128</f>
        <v>4.8262548262548262E-3</v>
      </c>
      <c r="AE128" s="139">
        <f t="shared" si="255"/>
        <v>0</v>
      </c>
      <c r="AF128" s="139">
        <f t="shared" si="255"/>
        <v>0</v>
      </c>
      <c r="AG128" s="139">
        <f t="shared" si="255"/>
        <v>0</v>
      </c>
      <c r="AH128" s="139">
        <f t="shared" si="255"/>
        <v>0.11293436293436293</v>
      </c>
      <c r="AI128" s="139">
        <f t="shared" si="255"/>
        <v>2.2200772200772202E-2</v>
      </c>
    </row>
    <row r="129" spans="1:35">
      <c r="A129" s="138">
        <v>52</v>
      </c>
      <c r="B129" s="138" t="s">
        <v>8077</v>
      </c>
      <c r="C129" s="138" t="s">
        <v>4367</v>
      </c>
      <c r="D129" s="138" t="s">
        <v>19</v>
      </c>
      <c r="E129" s="138" t="s">
        <v>19</v>
      </c>
      <c r="F129" s="138" t="s">
        <v>8101</v>
      </c>
      <c r="H129" s="138">
        <v>128</v>
      </c>
      <c r="I129" s="138">
        <v>1053</v>
      </c>
      <c r="J129" s="138">
        <v>550</v>
      </c>
      <c r="K129" s="138">
        <v>406</v>
      </c>
      <c r="N129" s="138">
        <v>6</v>
      </c>
      <c r="O129" s="138">
        <v>2</v>
      </c>
      <c r="S129" s="138">
        <v>82</v>
      </c>
      <c r="T129" s="138">
        <v>7</v>
      </c>
      <c r="U129" s="138">
        <f t="shared" si="0"/>
        <v>91</v>
      </c>
      <c r="W129" s="139">
        <f t="shared" ref="W129:AA129" si="256">J129/$I129</f>
        <v>0.5223171889838556</v>
      </c>
      <c r="X129" s="139">
        <f t="shared" si="256"/>
        <v>0.38556505223171889</v>
      </c>
      <c r="Y129" s="139">
        <f t="shared" si="256"/>
        <v>0</v>
      </c>
      <c r="Z129" s="139">
        <f t="shared" si="256"/>
        <v>0</v>
      </c>
      <c r="AA129" s="139">
        <f t="shared" si="256"/>
        <v>5.6980056980056983E-3</v>
      </c>
      <c r="AB129" s="139"/>
      <c r="AC129" s="139">
        <f t="shared" si="2"/>
        <v>8.6419753086419748E-2</v>
      </c>
      <c r="AD129" s="139">
        <f t="shared" ref="AD129:AI129" si="257">O129/$I129</f>
        <v>1.8993352326685661E-3</v>
      </c>
      <c r="AE129" s="139">
        <f t="shared" si="257"/>
        <v>0</v>
      </c>
      <c r="AF129" s="139">
        <f t="shared" si="257"/>
        <v>0</v>
      </c>
      <c r="AG129" s="139">
        <f t="shared" si="257"/>
        <v>0</v>
      </c>
      <c r="AH129" s="139">
        <f t="shared" si="257"/>
        <v>7.7872744539411204E-2</v>
      </c>
      <c r="AI129" s="139">
        <f t="shared" si="257"/>
        <v>6.6476733143399809E-3</v>
      </c>
    </row>
    <row r="130" spans="1:35">
      <c r="A130" s="138">
        <v>52</v>
      </c>
      <c r="B130" s="138" t="s">
        <v>8077</v>
      </c>
      <c r="C130" s="138" t="s">
        <v>4367</v>
      </c>
      <c r="D130" s="138" t="s">
        <v>19</v>
      </c>
      <c r="E130" s="138" t="s">
        <v>19</v>
      </c>
      <c r="F130" s="138" t="s">
        <v>8101</v>
      </c>
      <c r="H130" s="138">
        <v>129</v>
      </c>
      <c r="I130" s="138">
        <v>953</v>
      </c>
      <c r="J130" s="138">
        <v>518</v>
      </c>
      <c r="K130" s="138">
        <v>388</v>
      </c>
      <c r="N130" s="138">
        <v>10</v>
      </c>
      <c r="O130" s="138">
        <v>0</v>
      </c>
      <c r="S130" s="138">
        <v>28</v>
      </c>
      <c r="T130" s="138">
        <v>9</v>
      </c>
      <c r="U130" s="138">
        <f t="shared" si="0"/>
        <v>37</v>
      </c>
      <c r="W130" s="139">
        <f t="shared" ref="W130:AA130" si="258">J130/$I130</f>
        <v>0.54354669464847849</v>
      </c>
      <c r="X130" s="139">
        <f t="shared" si="258"/>
        <v>0.40713536201469047</v>
      </c>
      <c r="Y130" s="139">
        <f t="shared" si="258"/>
        <v>0</v>
      </c>
      <c r="Z130" s="139">
        <f t="shared" si="258"/>
        <v>0</v>
      </c>
      <c r="AA130" s="139">
        <f t="shared" si="258"/>
        <v>1.049317943336831E-2</v>
      </c>
      <c r="AB130" s="139"/>
      <c r="AC130" s="139">
        <f t="shared" si="2"/>
        <v>3.8824763903462747E-2</v>
      </c>
      <c r="AD130" s="139">
        <f t="shared" ref="AD130:AI130" si="259">O130/$I130</f>
        <v>0</v>
      </c>
      <c r="AE130" s="139">
        <f t="shared" si="259"/>
        <v>0</v>
      </c>
      <c r="AF130" s="139">
        <f t="shared" si="259"/>
        <v>0</v>
      </c>
      <c r="AG130" s="139">
        <f t="shared" si="259"/>
        <v>0</v>
      </c>
      <c r="AH130" s="139">
        <f t="shared" si="259"/>
        <v>2.9380902413431269E-2</v>
      </c>
      <c r="AI130" s="139">
        <f t="shared" si="259"/>
        <v>9.4438614900314802E-3</v>
      </c>
    </row>
    <row r="131" spans="1:35">
      <c r="A131" s="138">
        <v>52</v>
      </c>
      <c r="B131" s="138" t="s">
        <v>8077</v>
      </c>
      <c r="C131" s="138" t="s">
        <v>4367</v>
      </c>
      <c r="D131" s="138" t="s">
        <v>19</v>
      </c>
      <c r="E131" s="138" t="s">
        <v>19</v>
      </c>
      <c r="F131" s="138" t="s">
        <v>8102</v>
      </c>
      <c r="H131" s="138">
        <v>130</v>
      </c>
      <c r="I131" s="138">
        <v>998</v>
      </c>
      <c r="J131" s="138">
        <v>569</v>
      </c>
      <c r="K131" s="138">
        <v>368</v>
      </c>
      <c r="N131" s="138">
        <v>2</v>
      </c>
      <c r="O131" s="138">
        <v>1</v>
      </c>
      <c r="S131" s="138">
        <v>42</v>
      </c>
      <c r="T131" s="138">
        <v>16</v>
      </c>
      <c r="U131" s="138">
        <f t="shared" si="0"/>
        <v>59</v>
      </c>
      <c r="W131" s="139">
        <f t="shared" ref="W131:AA131" si="260">J131/$I131</f>
        <v>0.5701402805611222</v>
      </c>
      <c r="X131" s="139">
        <f t="shared" si="260"/>
        <v>0.36873747494989978</v>
      </c>
      <c r="Y131" s="139">
        <f t="shared" si="260"/>
        <v>0</v>
      </c>
      <c r="Z131" s="139">
        <f t="shared" si="260"/>
        <v>0</v>
      </c>
      <c r="AA131" s="139">
        <f t="shared" si="260"/>
        <v>2.004008016032064E-3</v>
      </c>
      <c r="AB131" s="139"/>
      <c r="AC131" s="139">
        <f t="shared" si="2"/>
        <v>5.9118236472945888E-2</v>
      </c>
      <c r="AD131" s="139">
        <f t="shared" ref="AD131:AI131" si="261">O131/$I131</f>
        <v>1.002004008016032E-3</v>
      </c>
      <c r="AE131" s="139">
        <f t="shared" si="261"/>
        <v>0</v>
      </c>
      <c r="AF131" s="139">
        <f t="shared" si="261"/>
        <v>0</v>
      </c>
      <c r="AG131" s="139">
        <f t="shared" si="261"/>
        <v>0</v>
      </c>
      <c r="AH131" s="139">
        <f t="shared" si="261"/>
        <v>4.2084168336673347E-2</v>
      </c>
      <c r="AI131" s="139">
        <f t="shared" si="261"/>
        <v>1.6032064128256512E-2</v>
      </c>
    </row>
    <row r="132" spans="1:35">
      <c r="A132" s="138">
        <v>52</v>
      </c>
      <c r="B132" s="138" t="s">
        <v>8077</v>
      </c>
      <c r="C132" s="138" t="s">
        <v>4367</v>
      </c>
      <c r="D132" s="138" t="s">
        <v>19</v>
      </c>
      <c r="E132" s="138" t="s">
        <v>19</v>
      </c>
      <c r="F132" s="138" t="s">
        <v>8102</v>
      </c>
      <c r="H132" s="138">
        <v>131</v>
      </c>
      <c r="I132" s="138">
        <v>948</v>
      </c>
      <c r="J132" s="138">
        <v>590</v>
      </c>
      <c r="K132" s="138">
        <v>256</v>
      </c>
      <c r="N132" s="138">
        <v>3</v>
      </c>
      <c r="O132" s="138">
        <v>0</v>
      </c>
      <c r="S132" s="138">
        <v>97</v>
      </c>
      <c r="T132" s="138">
        <v>2</v>
      </c>
      <c r="U132" s="138">
        <f t="shared" si="0"/>
        <v>99</v>
      </c>
      <c r="W132" s="139">
        <f t="shared" ref="W132:AA132" si="262">J132/$I132</f>
        <v>0.62236286919831219</v>
      </c>
      <c r="X132" s="139">
        <f t="shared" si="262"/>
        <v>0.27004219409282698</v>
      </c>
      <c r="Y132" s="139">
        <f t="shared" si="262"/>
        <v>0</v>
      </c>
      <c r="Z132" s="139">
        <f t="shared" si="262"/>
        <v>0</v>
      </c>
      <c r="AA132" s="139">
        <f t="shared" si="262"/>
        <v>3.1645569620253164E-3</v>
      </c>
      <c r="AB132" s="139"/>
      <c r="AC132" s="139">
        <f t="shared" si="2"/>
        <v>0.10443037974683544</v>
      </c>
      <c r="AD132" s="139">
        <f t="shared" ref="AD132:AI132" si="263">O132/$I132</f>
        <v>0</v>
      </c>
      <c r="AE132" s="139">
        <f t="shared" si="263"/>
        <v>0</v>
      </c>
      <c r="AF132" s="139">
        <f t="shared" si="263"/>
        <v>0</v>
      </c>
      <c r="AG132" s="139">
        <f t="shared" si="263"/>
        <v>0</v>
      </c>
      <c r="AH132" s="139">
        <f t="shared" si="263"/>
        <v>0.10232067510548523</v>
      </c>
      <c r="AI132" s="139">
        <f t="shared" si="263"/>
        <v>2.1097046413502108E-3</v>
      </c>
    </row>
    <row r="133" spans="1:35">
      <c r="A133" s="138">
        <v>52</v>
      </c>
      <c r="B133" s="138" t="s">
        <v>8077</v>
      </c>
      <c r="C133" s="138" t="s">
        <v>4367</v>
      </c>
      <c r="D133" s="138" t="s">
        <v>19</v>
      </c>
      <c r="E133" s="138" t="s">
        <v>19</v>
      </c>
      <c r="F133" s="138" t="s">
        <v>1071</v>
      </c>
      <c r="H133" s="138">
        <v>132</v>
      </c>
      <c r="I133" s="138">
        <v>699</v>
      </c>
      <c r="J133" s="138">
        <v>389</v>
      </c>
      <c r="K133" s="138">
        <v>267</v>
      </c>
      <c r="N133" s="138">
        <v>6</v>
      </c>
      <c r="O133" s="138">
        <v>0</v>
      </c>
      <c r="S133" s="138">
        <v>34</v>
      </c>
      <c r="T133" s="138">
        <v>3</v>
      </c>
      <c r="U133" s="138">
        <f t="shared" si="0"/>
        <v>37</v>
      </c>
      <c r="W133" s="139">
        <f t="shared" ref="W133:AA133" si="264">J133/$I133</f>
        <v>0.55650929899856938</v>
      </c>
      <c r="X133" s="139">
        <f t="shared" si="264"/>
        <v>0.38197424892703863</v>
      </c>
      <c r="Y133" s="139">
        <f t="shared" si="264"/>
        <v>0</v>
      </c>
      <c r="Z133" s="139">
        <f t="shared" si="264"/>
        <v>0</v>
      </c>
      <c r="AA133" s="139">
        <f t="shared" si="264"/>
        <v>8.5836909871244635E-3</v>
      </c>
      <c r="AB133" s="139"/>
      <c r="AC133" s="139">
        <f t="shared" si="2"/>
        <v>5.2932761087267528E-2</v>
      </c>
      <c r="AD133" s="139">
        <f t="shared" ref="AD133:AI133" si="265">O133/$I133</f>
        <v>0</v>
      </c>
      <c r="AE133" s="139">
        <f t="shared" si="265"/>
        <v>0</v>
      </c>
      <c r="AF133" s="139">
        <f t="shared" si="265"/>
        <v>0</v>
      </c>
      <c r="AG133" s="139">
        <f t="shared" si="265"/>
        <v>0</v>
      </c>
      <c r="AH133" s="139">
        <f t="shared" si="265"/>
        <v>4.8640915593705293E-2</v>
      </c>
      <c r="AI133" s="139">
        <f t="shared" si="265"/>
        <v>4.2918454935622317E-3</v>
      </c>
    </row>
    <row r="134" spans="1:35">
      <c r="A134" s="138">
        <v>52</v>
      </c>
      <c r="B134" s="138" t="s">
        <v>8077</v>
      </c>
      <c r="C134" s="138" t="s">
        <v>4367</v>
      </c>
      <c r="D134" s="138" t="s">
        <v>19</v>
      </c>
      <c r="E134" s="138" t="s">
        <v>19</v>
      </c>
      <c r="F134" s="138" t="s">
        <v>1071</v>
      </c>
      <c r="H134" s="138">
        <v>133</v>
      </c>
      <c r="I134" s="138">
        <v>588</v>
      </c>
      <c r="J134" s="138">
        <v>330</v>
      </c>
      <c r="K134" s="138">
        <v>212</v>
      </c>
      <c r="N134" s="138">
        <v>6</v>
      </c>
      <c r="O134" s="138">
        <v>1</v>
      </c>
      <c r="S134" s="138">
        <v>27</v>
      </c>
      <c r="T134" s="138">
        <v>12</v>
      </c>
      <c r="U134" s="138">
        <f t="shared" si="0"/>
        <v>40</v>
      </c>
      <c r="W134" s="139">
        <f t="shared" ref="W134:AA134" si="266">J134/$I134</f>
        <v>0.56122448979591832</v>
      </c>
      <c r="X134" s="139">
        <f t="shared" si="266"/>
        <v>0.36054421768707484</v>
      </c>
      <c r="Y134" s="139">
        <f t="shared" si="266"/>
        <v>0</v>
      </c>
      <c r="Z134" s="139">
        <f t="shared" si="266"/>
        <v>0</v>
      </c>
      <c r="AA134" s="139">
        <f t="shared" si="266"/>
        <v>1.020408163265306E-2</v>
      </c>
      <c r="AB134" s="139"/>
      <c r="AC134" s="139">
        <f t="shared" si="2"/>
        <v>6.8027210884353748E-2</v>
      </c>
      <c r="AD134" s="139">
        <f t="shared" ref="AD134:AI134" si="267">O134/$I134</f>
        <v>1.7006802721088435E-3</v>
      </c>
      <c r="AE134" s="139">
        <f t="shared" si="267"/>
        <v>0</v>
      </c>
      <c r="AF134" s="139">
        <f t="shared" si="267"/>
        <v>0</v>
      </c>
      <c r="AG134" s="139">
        <f t="shared" si="267"/>
        <v>0</v>
      </c>
      <c r="AH134" s="139">
        <f t="shared" si="267"/>
        <v>4.5918367346938778E-2</v>
      </c>
      <c r="AI134" s="139">
        <f t="shared" si="267"/>
        <v>2.0408163265306121E-2</v>
      </c>
    </row>
    <row r="135" spans="1:35">
      <c r="A135" s="138">
        <v>52</v>
      </c>
      <c r="B135" s="138" t="s">
        <v>8077</v>
      </c>
      <c r="C135" s="138" t="s">
        <v>4367</v>
      </c>
      <c r="D135" s="138" t="s">
        <v>19</v>
      </c>
      <c r="E135" s="138" t="s">
        <v>19</v>
      </c>
      <c r="F135" s="138" t="s">
        <v>1093</v>
      </c>
      <c r="H135" s="138">
        <v>134</v>
      </c>
      <c r="I135" s="138">
        <v>916</v>
      </c>
      <c r="J135" s="138">
        <v>511</v>
      </c>
      <c r="K135" s="138">
        <v>329</v>
      </c>
      <c r="N135" s="138">
        <v>4</v>
      </c>
      <c r="O135" s="138">
        <v>4</v>
      </c>
      <c r="S135" s="138">
        <v>59</v>
      </c>
      <c r="T135" s="138">
        <v>9</v>
      </c>
      <c r="U135" s="138">
        <f t="shared" si="0"/>
        <v>72</v>
      </c>
      <c r="W135" s="139">
        <f t="shared" ref="W135:AA135" si="268">J135/$I135</f>
        <v>0.55786026200873362</v>
      </c>
      <c r="X135" s="139">
        <f t="shared" si="268"/>
        <v>0.35917030567685587</v>
      </c>
      <c r="Y135" s="139">
        <f t="shared" si="268"/>
        <v>0</v>
      </c>
      <c r="Z135" s="139">
        <f t="shared" si="268"/>
        <v>0</v>
      </c>
      <c r="AA135" s="139">
        <f t="shared" si="268"/>
        <v>4.3668122270742356E-3</v>
      </c>
      <c r="AB135" s="139"/>
      <c r="AC135" s="139">
        <f t="shared" si="2"/>
        <v>7.8602620087336247E-2</v>
      </c>
      <c r="AD135" s="139">
        <f t="shared" ref="AD135:AI135" si="269">O135/$I135</f>
        <v>4.3668122270742356E-3</v>
      </c>
      <c r="AE135" s="139">
        <f t="shared" si="269"/>
        <v>0</v>
      </c>
      <c r="AF135" s="139">
        <f t="shared" si="269"/>
        <v>0</v>
      </c>
      <c r="AG135" s="139">
        <f t="shared" si="269"/>
        <v>0</v>
      </c>
      <c r="AH135" s="139">
        <f t="shared" si="269"/>
        <v>6.4410480349344976E-2</v>
      </c>
      <c r="AI135" s="139">
        <f t="shared" si="269"/>
        <v>9.8253275109170309E-3</v>
      </c>
    </row>
    <row r="136" spans="1:35">
      <c r="A136" s="138">
        <v>52</v>
      </c>
      <c r="B136" s="138" t="s">
        <v>8077</v>
      </c>
      <c r="C136" s="138" t="s">
        <v>4367</v>
      </c>
      <c r="D136" s="138" t="s">
        <v>19</v>
      </c>
      <c r="E136" s="138" t="s">
        <v>19</v>
      </c>
      <c r="F136" s="138" t="s">
        <v>1093</v>
      </c>
      <c r="H136" s="138">
        <v>135</v>
      </c>
      <c r="I136" s="138">
        <v>856</v>
      </c>
      <c r="J136" s="138">
        <v>427</v>
      </c>
      <c r="K136" s="138">
        <v>317</v>
      </c>
      <c r="N136" s="138">
        <v>6</v>
      </c>
      <c r="O136" s="138">
        <v>5</v>
      </c>
      <c r="S136" s="138">
        <v>91</v>
      </c>
      <c r="T136" s="138">
        <v>10</v>
      </c>
      <c r="U136" s="138">
        <f t="shared" si="0"/>
        <v>106</v>
      </c>
      <c r="W136" s="139">
        <f t="shared" ref="W136:AA136" si="270">J136/$I136</f>
        <v>0.49883177570093457</v>
      </c>
      <c r="X136" s="139">
        <f t="shared" si="270"/>
        <v>0.37032710280373832</v>
      </c>
      <c r="Y136" s="139">
        <f t="shared" si="270"/>
        <v>0</v>
      </c>
      <c r="Z136" s="139">
        <f t="shared" si="270"/>
        <v>0</v>
      </c>
      <c r="AA136" s="139">
        <f t="shared" si="270"/>
        <v>7.0093457943925233E-3</v>
      </c>
      <c r="AB136" s="139"/>
      <c r="AC136" s="139">
        <f t="shared" si="2"/>
        <v>0.12383177570093458</v>
      </c>
      <c r="AD136" s="139">
        <f t="shared" ref="AD136:AI136" si="271">O136/$I136</f>
        <v>5.8411214953271026E-3</v>
      </c>
      <c r="AE136" s="139">
        <f t="shared" si="271"/>
        <v>0</v>
      </c>
      <c r="AF136" s="139">
        <f t="shared" si="271"/>
        <v>0</v>
      </c>
      <c r="AG136" s="139">
        <f t="shared" si="271"/>
        <v>0</v>
      </c>
      <c r="AH136" s="139">
        <f t="shared" si="271"/>
        <v>0.10630841121495327</v>
      </c>
      <c r="AI136" s="139">
        <f t="shared" si="271"/>
        <v>1.1682242990654205E-2</v>
      </c>
    </row>
    <row r="137" spans="1:35">
      <c r="A137" s="138">
        <v>52</v>
      </c>
      <c r="B137" s="138" t="s">
        <v>8077</v>
      </c>
      <c r="C137" s="138" t="s">
        <v>4367</v>
      </c>
      <c r="D137" s="138" t="s">
        <v>19</v>
      </c>
      <c r="E137" s="138" t="s">
        <v>19</v>
      </c>
      <c r="F137" s="138" t="s">
        <v>1110</v>
      </c>
      <c r="H137" s="138">
        <v>136</v>
      </c>
      <c r="I137" s="138">
        <v>754</v>
      </c>
      <c r="J137" s="138">
        <v>417</v>
      </c>
      <c r="K137" s="138">
        <v>311</v>
      </c>
      <c r="N137" s="138">
        <v>0</v>
      </c>
      <c r="O137" s="138">
        <v>1</v>
      </c>
      <c r="S137" s="138">
        <v>19</v>
      </c>
      <c r="T137" s="138">
        <v>6</v>
      </c>
      <c r="U137" s="138">
        <f t="shared" si="0"/>
        <v>26</v>
      </c>
      <c r="W137" s="139">
        <f t="shared" ref="W137:AA137" si="272">J137/$I137</f>
        <v>0.55305039787798405</v>
      </c>
      <c r="X137" s="139">
        <f t="shared" si="272"/>
        <v>0.41246684350132629</v>
      </c>
      <c r="Y137" s="139">
        <f t="shared" si="272"/>
        <v>0</v>
      </c>
      <c r="Z137" s="139">
        <f t="shared" si="272"/>
        <v>0</v>
      </c>
      <c r="AA137" s="139">
        <f t="shared" si="272"/>
        <v>0</v>
      </c>
      <c r="AB137" s="139"/>
      <c r="AC137" s="139">
        <f t="shared" si="2"/>
        <v>3.4482758620689655E-2</v>
      </c>
      <c r="AD137" s="139">
        <f t="shared" ref="AD137:AI137" si="273">O137/$I137</f>
        <v>1.3262599469496021E-3</v>
      </c>
      <c r="AE137" s="139">
        <f t="shared" si="273"/>
        <v>0</v>
      </c>
      <c r="AF137" s="139">
        <f t="shared" si="273"/>
        <v>0</v>
      </c>
      <c r="AG137" s="139">
        <f t="shared" si="273"/>
        <v>0</v>
      </c>
      <c r="AH137" s="139">
        <f t="shared" si="273"/>
        <v>2.5198938992042442E-2</v>
      </c>
      <c r="AI137" s="139">
        <f t="shared" si="273"/>
        <v>7.9575596816976128E-3</v>
      </c>
    </row>
    <row r="138" spans="1:35">
      <c r="A138" s="138">
        <v>52</v>
      </c>
      <c r="B138" s="138" t="s">
        <v>8077</v>
      </c>
      <c r="C138" s="138" t="s">
        <v>4367</v>
      </c>
      <c r="D138" s="138" t="s">
        <v>19</v>
      </c>
      <c r="E138" s="138" t="s">
        <v>19</v>
      </c>
      <c r="F138" s="138" t="s">
        <v>1110</v>
      </c>
      <c r="H138" s="138">
        <v>137</v>
      </c>
      <c r="I138" s="138">
        <v>827</v>
      </c>
      <c r="J138" s="138">
        <v>477</v>
      </c>
      <c r="K138" s="138">
        <v>318</v>
      </c>
      <c r="N138" s="138">
        <v>3</v>
      </c>
      <c r="O138" s="138">
        <v>5</v>
      </c>
      <c r="S138" s="138">
        <v>18</v>
      </c>
      <c r="T138" s="138">
        <v>6</v>
      </c>
      <c r="U138" s="138">
        <f t="shared" si="0"/>
        <v>29</v>
      </c>
      <c r="W138" s="139">
        <f t="shared" ref="W138:AA138" si="274">J138/$I138</f>
        <v>0.57678355501813783</v>
      </c>
      <c r="X138" s="139">
        <f t="shared" si="274"/>
        <v>0.38452237001209189</v>
      </c>
      <c r="Y138" s="139">
        <f t="shared" si="274"/>
        <v>0</v>
      </c>
      <c r="Z138" s="139">
        <f t="shared" si="274"/>
        <v>0</v>
      </c>
      <c r="AA138" s="139">
        <f t="shared" si="274"/>
        <v>3.6275695284159614E-3</v>
      </c>
      <c r="AB138" s="139"/>
      <c r="AC138" s="139">
        <f t="shared" si="2"/>
        <v>3.5066505441354291E-2</v>
      </c>
      <c r="AD138" s="139">
        <f t="shared" ref="AD138:AI138" si="275">O138/$I138</f>
        <v>6.0459492140266021E-3</v>
      </c>
      <c r="AE138" s="139">
        <f t="shared" si="275"/>
        <v>0</v>
      </c>
      <c r="AF138" s="139">
        <f t="shared" si="275"/>
        <v>0</v>
      </c>
      <c r="AG138" s="139">
        <f t="shared" si="275"/>
        <v>0</v>
      </c>
      <c r="AH138" s="139">
        <f t="shared" si="275"/>
        <v>2.1765417170495769E-2</v>
      </c>
      <c r="AI138" s="139">
        <f t="shared" si="275"/>
        <v>7.2551390568319227E-3</v>
      </c>
    </row>
    <row r="139" spans="1:35">
      <c r="A139" s="138">
        <v>52</v>
      </c>
      <c r="B139" s="138" t="s">
        <v>8077</v>
      </c>
      <c r="C139" s="138" t="s">
        <v>4367</v>
      </c>
      <c r="D139" s="138" t="s">
        <v>19</v>
      </c>
      <c r="E139" s="138" t="s">
        <v>19</v>
      </c>
      <c r="F139" s="138" t="s">
        <v>1110</v>
      </c>
      <c r="H139" s="138">
        <v>138</v>
      </c>
      <c r="I139" s="138">
        <v>618</v>
      </c>
      <c r="J139" s="138">
        <v>333</v>
      </c>
      <c r="K139" s="138">
        <v>253</v>
      </c>
      <c r="N139" s="138">
        <v>4</v>
      </c>
      <c r="O139" s="138">
        <v>2</v>
      </c>
      <c r="S139" s="138">
        <v>17</v>
      </c>
      <c r="T139" s="138">
        <v>9</v>
      </c>
      <c r="U139" s="138">
        <f t="shared" si="0"/>
        <v>28</v>
      </c>
      <c r="W139" s="139">
        <f t="shared" ref="W139:AA139" si="276">J139/$I139</f>
        <v>0.53883495145631066</v>
      </c>
      <c r="X139" s="139">
        <f t="shared" si="276"/>
        <v>0.40938511326860844</v>
      </c>
      <c r="Y139" s="139">
        <f t="shared" si="276"/>
        <v>0</v>
      </c>
      <c r="Z139" s="139">
        <f t="shared" si="276"/>
        <v>0</v>
      </c>
      <c r="AA139" s="139">
        <f t="shared" si="276"/>
        <v>6.4724919093851136E-3</v>
      </c>
      <c r="AB139" s="139"/>
      <c r="AC139" s="139">
        <f t="shared" si="2"/>
        <v>4.5307443365695796E-2</v>
      </c>
      <c r="AD139" s="139">
        <f t="shared" ref="AD139:AI139" si="277">O139/$I139</f>
        <v>3.2362459546925568E-3</v>
      </c>
      <c r="AE139" s="139">
        <f t="shared" si="277"/>
        <v>0</v>
      </c>
      <c r="AF139" s="139">
        <f t="shared" si="277"/>
        <v>0</v>
      </c>
      <c r="AG139" s="139">
        <f t="shared" si="277"/>
        <v>0</v>
      </c>
      <c r="AH139" s="139">
        <f t="shared" si="277"/>
        <v>2.7508090614886731E-2</v>
      </c>
      <c r="AI139" s="139">
        <f t="shared" si="277"/>
        <v>1.4563106796116505E-2</v>
      </c>
    </row>
    <row r="140" spans="1:35">
      <c r="A140" s="138">
        <v>52</v>
      </c>
      <c r="B140" s="138" t="s">
        <v>8077</v>
      </c>
      <c r="C140" s="138" t="s">
        <v>4367</v>
      </c>
      <c r="D140" s="138" t="s">
        <v>19</v>
      </c>
      <c r="E140" s="138" t="s">
        <v>19</v>
      </c>
      <c r="F140" s="138" t="s">
        <v>1077</v>
      </c>
      <c r="H140" s="138">
        <v>139</v>
      </c>
      <c r="I140" s="138">
        <v>614</v>
      </c>
      <c r="J140" s="138">
        <v>423</v>
      </c>
      <c r="K140" s="138">
        <v>159</v>
      </c>
      <c r="N140" s="138">
        <v>1</v>
      </c>
      <c r="O140" s="138">
        <v>2</v>
      </c>
      <c r="S140" s="138">
        <v>22</v>
      </c>
      <c r="T140" s="138">
        <v>7</v>
      </c>
      <c r="U140" s="138">
        <f t="shared" si="0"/>
        <v>31</v>
      </c>
      <c r="W140" s="139">
        <f t="shared" ref="W140:AA140" si="278">J140/$I140</f>
        <v>0.68892508143322473</v>
      </c>
      <c r="X140" s="139">
        <f t="shared" si="278"/>
        <v>0.25895765472312704</v>
      </c>
      <c r="Y140" s="139">
        <f t="shared" si="278"/>
        <v>0</v>
      </c>
      <c r="Z140" s="139">
        <f t="shared" si="278"/>
        <v>0</v>
      </c>
      <c r="AA140" s="139">
        <f t="shared" si="278"/>
        <v>1.6286644951140066E-3</v>
      </c>
      <c r="AB140" s="139"/>
      <c r="AC140" s="139">
        <f t="shared" si="2"/>
        <v>5.0488599348534204E-2</v>
      </c>
      <c r="AD140" s="139">
        <f t="shared" ref="AD140:AI140" si="279">O140/$I140</f>
        <v>3.2573289902280132E-3</v>
      </c>
      <c r="AE140" s="139">
        <f t="shared" si="279"/>
        <v>0</v>
      </c>
      <c r="AF140" s="139">
        <f t="shared" si="279"/>
        <v>0</v>
      </c>
      <c r="AG140" s="139">
        <f t="shared" si="279"/>
        <v>0</v>
      </c>
      <c r="AH140" s="139">
        <f t="shared" si="279"/>
        <v>3.5830618892508145E-2</v>
      </c>
      <c r="AI140" s="139">
        <f t="shared" si="279"/>
        <v>1.1400651465798045E-2</v>
      </c>
    </row>
    <row r="141" spans="1:35">
      <c r="A141" s="138">
        <v>52</v>
      </c>
      <c r="B141" s="138" t="s">
        <v>8077</v>
      </c>
      <c r="C141" s="138" t="s">
        <v>4367</v>
      </c>
      <c r="D141" s="138" t="s">
        <v>19</v>
      </c>
      <c r="E141" s="138" t="s">
        <v>19</v>
      </c>
      <c r="F141" s="138" t="s">
        <v>1077</v>
      </c>
      <c r="H141" s="138">
        <v>140</v>
      </c>
      <c r="I141" s="138">
        <v>625</v>
      </c>
      <c r="J141" s="138">
        <v>486</v>
      </c>
      <c r="K141" s="138">
        <v>120</v>
      </c>
      <c r="N141" s="138">
        <v>0</v>
      </c>
      <c r="O141" s="138">
        <v>3</v>
      </c>
      <c r="S141" s="138">
        <v>14</v>
      </c>
      <c r="T141" s="138">
        <v>2</v>
      </c>
      <c r="U141" s="138">
        <f t="shared" si="0"/>
        <v>19</v>
      </c>
      <c r="W141" s="139">
        <f t="shared" ref="W141:AA141" si="280">J141/$I141</f>
        <v>0.77759999999999996</v>
      </c>
      <c r="X141" s="139">
        <f t="shared" si="280"/>
        <v>0.192</v>
      </c>
      <c r="Y141" s="139">
        <f t="shared" si="280"/>
        <v>0</v>
      </c>
      <c r="Z141" s="139">
        <f t="shared" si="280"/>
        <v>0</v>
      </c>
      <c r="AA141" s="139">
        <f t="shared" si="280"/>
        <v>0</v>
      </c>
      <c r="AB141" s="139"/>
      <c r="AC141" s="139">
        <f t="shared" si="2"/>
        <v>3.04E-2</v>
      </c>
      <c r="AD141" s="139">
        <f t="shared" ref="AD141:AI141" si="281">O141/$I141</f>
        <v>4.7999999999999996E-3</v>
      </c>
      <c r="AE141" s="139">
        <f t="shared" si="281"/>
        <v>0</v>
      </c>
      <c r="AF141" s="139">
        <f t="shared" si="281"/>
        <v>0</v>
      </c>
      <c r="AG141" s="139">
        <f t="shared" si="281"/>
        <v>0</v>
      </c>
      <c r="AH141" s="139">
        <f t="shared" si="281"/>
        <v>2.24E-2</v>
      </c>
      <c r="AI141" s="139">
        <f t="shared" si="281"/>
        <v>3.2000000000000002E-3</v>
      </c>
    </row>
    <row r="142" spans="1:35">
      <c r="A142" s="138">
        <v>52</v>
      </c>
      <c r="B142" s="138" t="s">
        <v>8077</v>
      </c>
      <c r="C142" s="138" t="s">
        <v>4367</v>
      </c>
      <c r="D142" s="138" t="s">
        <v>19</v>
      </c>
      <c r="E142" s="138" t="s">
        <v>19</v>
      </c>
      <c r="F142" s="138" t="s">
        <v>1077</v>
      </c>
      <c r="H142" s="138">
        <v>141</v>
      </c>
      <c r="I142" s="138">
        <v>685</v>
      </c>
      <c r="J142" s="138">
        <v>406</v>
      </c>
      <c r="K142" s="138">
        <v>237</v>
      </c>
      <c r="N142" s="138">
        <v>5</v>
      </c>
      <c r="O142" s="138">
        <v>2</v>
      </c>
      <c r="S142" s="138">
        <v>27</v>
      </c>
      <c r="T142" s="138">
        <v>8</v>
      </c>
      <c r="U142" s="138">
        <f t="shared" si="0"/>
        <v>37</v>
      </c>
      <c r="W142" s="139">
        <f t="shared" ref="W142:AA142" si="282">J142/$I142</f>
        <v>0.59270072992700729</v>
      </c>
      <c r="X142" s="139">
        <f t="shared" si="282"/>
        <v>0.34598540145985401</v>
      </c>
      <c r="Y142" s="139">
        <f t="shared" si="282"/>
        <v>0</v>
      </c>
      <c r="Z142" s="139">
        <f t="shared" si="282"/>
        <v>0</v>
      </c>
      <c r="AA142" s="139">
        <f t="shared" si="282"/>
        <v>7.2992700729927005E-3</v>
      </c>
      <c r="AB142" s="139"/>
      <c r="AC142" s="139">
        <f t="shared" si="2"/>
        <v>5.4014598540145987E-2</v>
      </c>
      <c r="AD142" s="139">
        <f t="shared" ref="AD142:AI142" si="283">O142/$I142</f>
        <v>2.9197080291970801E-3</v>
      </c>
      <c r="AE142" s="139">
        <f t="shared" si="283"/>
        <v>0</v>
      </c>
      <c r="AF142" s="139">
        <f t="shared" si="283"/>
        <v>0</v>
      </c>
      <c r="AG142" s="139">
        <f t="shared" si="283"/>
        <v>0</v>
      </c>
      <c r="AH142" s="139">
        <f t="shared" si="283"/>
        <v>3.9416058394160583E-2</v>
      </c>
      <c r="AI142" s="139">
        <f t="shared" si="283"/>
        <v>1.167883211678832E-2</v>
      </c>
    </row>
    <row r="143" spans="1:35">
      <c r="A143" s="138">
        <v>52</v>
      </c>
      <c r="B143" s="138" t="s">
        <v>8077</v>
      </c>
      <c r="C143" s="138" t="s">
        <v>4367</v>
      </c>
      <c r="D143" s="138" t="s">
        <v>19</v>
      </c>
      <c r="E143" s="138" t="s">
        <v>19</v>
      </c>
      <c r="F143" s="138" t="s">
        <v>1077</v>
      </c>
      <c r="H143" s="138">
        <v>142</v>
      </c>
      <c r="I143" s="138">
        <v>596</v>
      </c>
      <c r="J143" s="138">
        <v>382</v>
      </c>
      <c r="K143" s="138">
        <v>165</v>
      </c>
      <c r="N143" s="138">
        <v>2</v>
      </c>
      <c r="O143" s="138">
        <v>2</v>
      </c>
      <c r="S143" s="138">
        <v>35</v>
      </c>
      <c r="T143" s="138">
        <v>10</v>
      </c>
      <c r="U143" s="138">
        <f t="shared" si="0"/>
        <v>47</v>
      </c>
      <c r="W143" s="139">
        <f t="shared" ref="W143:AA143" si="284">J143/$I143</f>
        <v>0.64093959731543626</v>
      </c>
      <c r="X143" s="139">
        <f t="shared" si="284"/>
        <v>0.27684563758389263</v>
      </c>
      <c r="Y143" s="139">
        <f t="shared" si="284"/>
        <v>0</v>
      </c>
      <c r="Z143" s="139">
        <f t="shared" si="284"/>
        <v>0</v>
      </c>
      <c r="AA143" s="139">
        <f t="shared" si="284"/>
        <v>3.3557046979865771E-3</v>
      </c>
      <c r="AB143" s="139"/>
      <c r="AC143" s="139">
        <f t="shared" si="2"/>
        <v>7.8859060402684561E-2</v>
      </c>
      <c r="AD143" s="139">
        <f t="shared" ref="AD143:AI143" si="285">O143/$I143</f>
        <v>3.3557046979865771E-3</v>
      </c>
      <c r="AE143" s="139">
        <f t="shared" si="285"/>
        <v>0</v>
      </c>
      <c r="AF143" s="139">
        <f t="shared" si="285"/>
        <v>0</v>
      </c>
      <c r="AG143" s="139">
        <f t="shared" si="285"/>
        <v>0</v>
      </c>
      <c r="AH143" s="139">
        <f t="shared" si="285"/>
        <v>5.8724832214765099E-2</v>
      </c>
      <c r="AI143" s="139">
        <f t="shared" si="285"/>
        <v>1.6778523489932886E-2</v>
      </c>
    </row>
    <row r="144" spans="1:35">
      <c r="A144" s="138">
        <v>52</v>
      </c>
      <c r="B144" s="138" t="s">
        <v>8077</v>
      </c>
      <c r="C144" s="138" t="s">
        <v>4367</v>
      </c>
      <c r="D144" s="138" t="s">
        <v>19</v>
      </c>
      <c r="E144" s="138" t="s">
        <v>19</v>
      </c>
      <c r="F144" s="138" t="s">
        <v>1120</v>
      </c>
      <c r="H144" s="138">
        <v>143</v>
      </c>
      <c r="I144" s="138">
        <v>670</v>
      </c>
      <c r="J144" s="138">
        <v>337</v>
      </c>
      <c r="K144" s="138">
        <v>294</v>
      </c>
      <c r="N144" s="138">
        <v>5</v>
      </c>
      <c r="O144" s="138">
        <v>1</v>
      </c>
      <c r="S144" s="138">
        <v>29</v>
      </c>
      <c r="T144" s="138">
        <v>4</v>
      </c>
      <c r="U144" s="138">
        <f t="shared" si="0"/>
        <v>34</v>
      </c>
      <c r="W144" s="139">
        <f t="shared" ref="W144:AA144" si="286">J144/$I144</f>
        <v>0.5029850746268657</v>
      </c>
      <c r="X144" s="139">
        <f t="shared" si="286"/>
        <v>0.43880597014925371</v>
      </c>
      <c r="Y144" s="139">
        <f t="shared" si="286"/>
        <v>0</v>
      </c>
      <c r="Z144" s="139">
        <f t="shared" si="286"/>
        <v>0</v>
      </c>
      <c r="AA144" s="139">
        <f t="shared" si="286"/>
        <v>7.462686567164179E-3</v>
      </c>
      <c r="AB144" s="139"/>
      <c r="AC144" s="139">
        <f t="shared" si="2"/>
        <v>5.0746268656716415E-2</v>
      </c>
      <c r="AD144" s="139">
        <f t="shared" ref="AD144:AI144" si="287">O144/$I144</f>
        <v>1.4925373134328358E-3</v>
      </c>
      <c r="AE144" s="139">
        <f t="shared" si="287"/>
        <v>0</v>
      </c>
      <c r="AF144" s="139">
        <f t="shared" si="287"/>
        <v>0</v>
      </c>
      <c r="AG144" s="139">
        <f t="shared" si="287"/>
        <v>0</v>
      </c>
      <c r="AH144" s="139">
        <f t="shared" si="287"/>
        <v>4.3283582089552242E-2</v>
      </c>
      <c r="AI144" s="139">
        <f t="shared" si="287"/>
        <v>5.9701492537313433E-3</v>
      </c>
    </row>
    <row r="145" spans="1:35">
      <c r="A145" s="138">
        <v>52</v>
      </c>
      <c r="B145" s="138" t="s">
        <v>8077</v>
      </c>
      <c r="C145" s="138" t="s">
        <v>4367</v>
      </c>
      <c r="D145" s="138" t="s">
        <v>19</v>
      </c>
      <c r="E145" s="138" t="s">
        <v>19</v>
      </c>
      <c r="F145" s="138" t="s">
        <v>1120</v>
      </c>
      <c r="H145" s="138">
        <v>144</v>
      </c>
      <c r="I145" s="138">
        <v>717</v>
      </c>
      <c r="J145" s="138">
        <v>345</v>
      </c>
      <c r="K145" s="138">
        <v>320</v>
      </c>
      <c r="N145" s="138">
        <v>3</v>
      </c>
      <c r="O145" s="138">
        <v>5</v>
      </c>
      <c r="S145" s="138">
        <v>37</v>
      </c>
      <c r="T145" s="138">
        <v>7</v>
      </c>
      <c r="U145" s="138">
        <f t="shared" si="0"/>
        <v>49</v>
      </c>
      <c r="W145" s="139">
        <f t="shared" ref="W145:AA145" si="288">J145/$I145</f>
        <v>0.48117154811715479</v>
      </c>
      <c r="X145" s="139">
        <f t="shared" si="288"/>
        <v>0.44630404463040446</v>
      </c>
      <c r="Y145" s="139">
        <f t="shared" si="288"/>
        <v>0</v>
      </c>
      <c r="Z145" s="139">
        <f t="shared" si="288"/>
        <v>0</v>
      </c>
      <c r="AA145" s="139">
        <f t="shared" si="288"/>
        <v>4.1841004184100415E-3</v>
      </c>
      <c r="AB145" s="139"/>
      <c r="AC145" s="139">
        <f t="shared" si="2"/>
        <v>6.8340306834030681E-2</v>
      </c>
      <c r="AD145" s="139">
        <f t="shared" ref="AD145:AI145" si="289">O145/$I145</f>
        <v>6.9735006973500697E-3</v>
      </c>
      <c r="AE145" s="139">
        <f t="shared" si="289"/>
        <v>0</v>
      </c>
      <c r="AF145" s="139">
        <f t="shared" si="289"/>
        <v>0</v>
      </c>
      <c r="AG145" s="139">
        <f t="shared" si="289"/>
        <v>0</v>
      </c>
      <c r="AH145" s="139">
        <f t="shared" si="289"/>
        <v>5.1603905160390519E-2</v>
      </c>
      <c r="AI145" s="139">
        <f t="shared" si="289"/>
        <v>9.7629009762900971E-3</v>
      </c>
    </row>
    <row r="146" spans="1:35">
      <c r="A146" s="138">
        <v>52</v>
      </c>
      <c r="B146" s="138" t="s">
        <v>8077</v>
      </c>
      <c r="C146" s="138" t="s">
        <v>4367</v>
      </c>
      <c r="D146" s="138" t="s">
        <v>19</v>
      </c>
      <c r="E146" s="138" t="s">
        <v>19</v>
      </c>
      <c r="F146" s="138" t="s">
        <v>1137</v>
      </c>
      <c r="H146" s="138">
        <v>145</v>
      </c>
      <c r="I146" s="138">
        <v>932</v>
      </c>
      <c r="J146" s="138">
        <v>437</v>
      </c>
      <c r="K146" s="138">
        <v>390</v>
      </c>
      <c r="N146" s="138">
        <v>8</v>
      </c>
      <c r="O146" s="138">
        <v>8</v>
      </c>
      <c r="S146" s="138">
        <v>83</v>
      </c>
      <c r="T146" s="138">
        <v>6</v>
      </c>
      <c r="U146" s="138">
        <f t="shared" si="0"/>
        <v>97</v>
      </c>
      <c r="W146" s="139">
        <f t="shared" ref="W146:AA146" si="290">J146/$I146</f>
        <v>0.4688841201716738</v>
      </c>
      <c r="X146" s="139">
        <f t="shared" si="290"/>
        <v>0.41845493562231761</v>
      </c>
      <c r="Y146" s="139">
        <f t="shared" si="290"/>
        <v>0</v>
      </c>
      <c r="Z146" s="139">
        <f t="shared" si="290"/>
        <v>0</v>
      </c>
      <c r="AA146" s="139">
        <f t="shared" si="290"/>
        <v>8.5836909871244635E-3</v>
      </c>
      <c r="AB146" s="139"/>
      <c r="AC146" s="139">
        <f t="shared" si="2"/>
        <v>0.10407725321888411</v>
      </c>
      <c r="AD146" s="139">
        <f t="shared" ref="AD146:AI146" si="291">O146/$I146</f>
        <v>8.5836909871244635E-3</v>
      </c>
      <c r="AE146" s="139">
        <f t="shared" si="291"/>
        <v>0</v>
      </c>
      <c r="AF146" s="139">
        <f t="shared" si="291"/>
        <v>0</v>
      </c>
      <c r="AG146" s="139">
        <f t="shared" si="291"/>
        <v>0</v>
      </c>
      <c r="AH146" s="139">
        <f t="shared" si="291"/>
        <v>8.9055793991416304E-2</v>
      </c>
      <c r="AI146" s="139">
        <f t="shared" si="291"/>
        <v>6.4377682403433476E-3</v>
      </c>
    </row>
    <row r="147" spans="1:35">
      <c r="A147" s="138">
        <v>52</v>
      </c>
      <c r="B147" s="138" t="s">
        <v>8077</v>
      </c>
      <c r="C147" s="138" t="s">
        <v>4367</v>
      </c>
      <c r="D147" s="138" t="s">
        <v>19</v>
      </c>
      <c r="E147" s="138" t="s">
        <v>19</v>
      </c>
      <c r="F147" s="138" t="s">
        <v>1137</v>
      </c>
      <c r="H147" s="138">
        <v>146</v>
      </c>
      <c r="I147" s="138">
        <v>890</v>
      </c>
      <c r="J147" s="138">
        <v>457</v>
      </c>
      <c r="K147" s="138">
        <v>331</v>
      </c>
      <c r="N147" s="138">
        <v>3</v>
      </c>
      <c r="O147" s="138">
        <v>16</v>
      </c>
      <c r="S147" s="138">
        <v>61</v>
      </c>
      <c r="T147" s="138">
        <v>22</v>
      </c>
      <c r="U147" s="138">
        <f t="shared" si="0"/>
        <v>99</v>
      </c>
      <c r="W147" s="139">
        <f t="shared" ref="W147:AA147" si="292">J147/$I147</f>
        <v>0.51348314606741574</v>
      </c>
      <c r="X147" s="139">
        <f t="shared" si="292"/>
        <v>0.37191011235955057</v>
      </c>
      <c r="Y147" s="139">
        <f t="shared" si="292"/>
        <v>0</v>
      </c>
      <c r="Z147" s="139">
        <f t="shared" si="292"/>
        <v>0</v>
      </c>
      <c r="AA147" s="139">
        <f t="shared" si="292"/>
        <v>3.3707865168539327E-3</v>
      </c>
      <c r="AB147" s="139"/>
      <c r="AC147" s="139">
        <f t="shared" si="2"/>
        <v>0.11123595505617978</v>
      </c>
      <c r="AD147" s="139">
        <f t="shared" ref="AD147:AI147" si="293">O147/$I147</f>
        <v>1.7977528089887642E-2</v>
      </c>
      <c r="AE147" s="139">
        <f t="shared" si="293"/>
        <v>0</v>
      </c>
      <c r="AF147" s="139">
        <f t="shared" si="293"/>
        <v>0</v>
      </c>
      <c r="AG147" s="139">
        <f t="shared" si="293"/>
        <v>0</v>
      </c>
      <c r="AH147" s="139">
        <f t="shared" si="293"/>
        <v>6.8539325842696633E-2</v>
      </c>
      <c r="AI147" s="139">
        <f t="shared" si="293"/>
        <v>2.4719101123595506E-2</v>
      </c>
    </row>
    <row r="148" spans="1:35">
      <c r="A148" s="138">
        <v>52</v>
      </c>
      <c r="B148" s="138" t="s">
        <v>8077</v>
      </c>
      <c r="C148" s="138" t="s">
        <v>4367</v>
      </c>
      <c r="D148" s="138" t="s">
        <v>19</v>
      </c>
      <c r="E148" s="138" t="s">
        <v>19</v>
      </c>
      <c r="F148" s="138" t="s">
        <v>1137</v>
      </c>
      <c r="H148" s="138">
        <v>147</v>
      </c>
      <c r="I148" s="138">
        <v>1019</v>
      </c>
      <c r="J148" s="138">
        <v>563</v>
      </c>
      <c r="K148" s="138">
        <v>323</v>
      </c>
      <c r="N148" s="138">
        <v>2</v>
      </c>
      <c r="O148" s="138">
        <v>3</v>
      </c>
      <c r="S148" s="138">
        <v>120</v>
      </c>
      <c r="T148" s="138">
        <v>8</v>
      </c>
      <c r="U148" s="138">
        <f t="shared" si="0"/>
        <v>131</v>
      </c>
      <c r="W148" s="139">
        <f t="shared" ref="W148:AA148" si="294">J148/$I148</f>
        <v>0.55250245338567228</v>
      </c>
      <c r="X148" s="139">
        <f t="shared" si="294"/>
        <v>0.31697742885181551</v>
      </c>
      <c r="Y148" s="139">
        <f t="shared" si="294"/>
        <v>0</v>
      </c>
      <c r="Z148" s="139">
        <f t="shared" si="294"/>
        <v>0</v>
      </c>
      <c r="AA148" s="139">
        <f t="shared" si="294"/>
        <v>1.9627085377821392E-3</v>
      </c>
      <c r="AB148" s="139"/>
      <c r="AC148" s="139">
        <f t="shared" si="2"/>
        <v>0.12855740922473013</v>
      </c>
      <c r="AD148" s="139">
        <f t="shared" ref="AD148:AI148" si="295">O148/$I148</f>
        <v>2.944062806673209E-3</v>
      </c>
      <c r="AE148" s="139">
        <f t="shared" si="295"/>
        <v>0</v>
      </c>
      <c r="AF148" s="139">
        <f t="shared" si="295"/>
        <v>0</v>
      </c>
      <c r="AG148" s="139">
        <f t="shared" si="295"/>
        <v>0</v>
      </c>
      <c r="AH148" s="139">
        <f t="shared" si="295"/>
        <v>0.11776251226692837</v>
      </c>
      <c r="AI148" s="139">
        <f t="shared" si="295"/>
        <v>7.8508341511285568E-3</v>
      </c>
    </row>
    <row r="149" spans="1:35">
      <c r="A149" s="138">
        <v>52</v>
      </c>
      <c r="B149" s="138" t="s">
        <v>8077</v>
      </c>
      <c r="C149" s="138" t="s">
        <v>4367</v>
      </c>
      <c r="D149" s="138" t="s">
        <v>19</v>
      </c>
      <c r="E149" s="138" t="s">
        <v>19</v>
      </c>
      <c r="F149" s="138" t="s">
        <v>1137</v>
      </c>
      <c r="H149" s="138">
        <v>148</v>
      </c>
      <c r="I149" s="138">
        <v>1001</v>
      </c>
      <c r="J149" s="138">
        <v>529</v>
      </c>
      <c r="K149" s="138">
        <v>398</v>
      </c>
      <c r="N149" s="138">
        <v>8</v>
      </c>
      <c r="O149" s="138">
        <v>14</v>
      </c>
      <c r="S149" s="138">
        <v>42</v>
      </c>
      <c r="T149" s="138">
        <v>10</v>
      </c>
      <c r="U149" s="138">
        <f t="shared" si="0"/>
        <v>66</v>
      </c>
      <c r="W149" s="139">
        <f t="shared" ref="W149:AA149" si="296">J149/$I149</f>
        <v>0.52847152847152845</v>
      </c>
      <c r="X149" s="139">
        <f t="shared" si="296"/>
        <v>0.39760239760239763</v>
      </c>
      <c r="Y149" s="139">
        <f t="shared" si="296"/>
        <v>0</v>
      </c>
      <c r="Z149" s="139">
        <f t="shared" si="296"/>
        <v>0</v>
      </c>
      <c r="AA149" s="139">
        <f t="shared" si="296"/>
        <v>7.992007992007992E-3</v>
      </c>
      <c r="AB149" s="139"/>
      <c r="AC149" s="139">
        <f t="shared" si="2"/>
        <v>6.5934065934065936E-2</v>
      </c>
      <c r="AD149" s="139">
        <f t="shared" ref="AD149:AI149" si="297">O149/$I149</f>
        <v>1.3986013986013986E-2</v>
      </c>
      <c r="AE149" s="139">
        <f t="shared" si="297"/>
        <v>0</v>
      </c>
      <c r="AF149" s="139">
        <f t="shared" si="297"/>
        <v>0</v>
      </c>
      <c r="AG149" s="139">
        <f t="shared" si="297"/>
        <v>0</v>
      </c>
      <c r="AH149" s="139">
        <f t="shared" si="297"/>
        <v>4.195804195804196E-2</v>
      </c>
      <c r="AI149" s="139">
        <f t="shared" si="297"/>
        <v>9.99000999000999E-3</v>
      </c>
    </row>
    <row r="150" spans="1:35">
      <c r="A150" s="138">
        <v>52</v>
      </c>
      <c r="B150" s="138" t="s">
        <v>8077</v>
      </c>
      <c r="C150" s="138" t="s">
        <v>4367</v>
      </c>
      <c r="D150" s="138" t="s">
        <v>19</v>
      </c>
      <c r="E150" s="138" t="s">
        <v>19</v>
      </c>
      <c r="F150" s="138" t="s">
        <v>1085</v>
      </c>
      <c r="H150" s="138">
        <v>149</v>
      </c>
      <c r="I150" s="138">
        <v>822</v>
      </c>
      <c r="J150" s="138">
        <v>580</v>
      </c>
      <c r="K150" s="138">
        <v>205</v>
      </c>
      <c r="N150" s="138">
        <v>4</v>
      </c>
      <c r="O150" s="138">
        <v>1</v>
      </c>
      <c r="S150" s="138">
        <v>27</v>
      </c>
      <c r="T150" s="138">
        <v>5</v>
      </c>
      <c r="U150" s="138">
        <f t="shared" si="0"/>
        <v>33</v>
      </c>
      <c r="W150" s="139">
        <f t="shared" ref="W150:AA150" si="298">J150/$I150</f>
        <v>0.7055961070559611</v>
      </c>
      <c r="X150" s="139">
        <f t="shared" si="298"/>
        <v>0.24939172749391728</v>
      </c>
      <c r="Y150" s="139">
        <f t="shared" si="298"/>
        <v>0</v>
      </c>
      <c r="Z150" s="139">
        <f t="shared" si="298"/>
        <v>0</v>
      </c>
      <c r="AA150" s="139">
        <f t="shared" si="298"/>
        <v>4.8661800486618006E-3</v>
      </c>
      <c r="AB150" s="139"/>
      <c r="AC150" s="139">
        <f t="shared" si="2"/>
        <v>4.0145985401459854E-2</v>
      </c>
      <c r="AD150" s="139">
        <f t="shared" ref="AD150:AI150" si="299">O150/$I150</f>
        <v>1.2165450121654502E-3</v>
      </c>
      <c r="AE150" s="139">
        <f t="shared" si="299"/>
        <v>0</v>
      </c>
      <c r="AF150" s="139">
        <f t="shared" si="299"/>
        <v>0</v>
      </c>
      <c r="AG150" s="139">
        <f t="shared" si="299"/>
        <v>0</v>
      </c>
      <c r="AH150" s="139">
        <f t="shared" si="299"/>
        <v>3.2846715328467155E-2</v>
      </c>
      <c r="AI150" s="139">
        <f t="shared" si="299"/>
        <v>6.082725060827251E-3</v>
      </c>
    </row>
    <row r="151" spans="1:35">
      <c r="A151" s="138">
        <v>52</v>
      </c>
      <c r="B151" s="138" t="s">
        <v>8077</v>
      </c>
      <c r="C151" s="138" t="s">
        <v>4367</v>
      </c>
      <c r="D151" s="138" t="s">
        <v>19</v>
      </c>
      <c r="E151" s="138" t="s">
        <v>19</v>
      </c>
      <c r="F151" s="138" t="s">
        <v>1085</v>
      </c>
      <c r="H151" s="138">
        <v>150</v>
      </c>
      <c r="I151" s="138">
        <v>645</v>
      </c>
      <c r="J151" s="138">
        <v>454</v>
      </c>
      <c r="K151" s="138">
        <v>159</v>
      </c>
      <c r="N151" s="138">
        <v>3</v>
      </c>
      <c r="O151" s="138">
        <v>6</v>
      </c>
      <c r="S151" s="138">
        <v>19</v>
      </c>
      <c r="T151" s="138">
        <v>4</v>
      </c>
      <c r="U151" s="138">
        <f t="shared" si="0"/>
        <v>29</v>
      </c>
      <c r="W151" s="139">
        <f t="shared" ref="W151:AA151" si="300">J151/$I151</f>
        <v>0.70387596899224802</v>
      </c>
      <c r="X151" s="139">
        <f t="shared" si="300"/>
        <v>0.24651162790697675</v>
      </c>
      <c r="Y151" s="139">
        <f t="shared" si="300"/>
        <v>0</v>
      </c>
      <c r="Z151" s="139">
        <f t="shared" si="300"/>
        <v>0</v>
      </c>
      <c r="AA151" s="139">
        <f t="shared" si="300"/>
        <v>4.6511627906976744E-3</v>
      </c>
      <c r="AB151" s="139"/>
      <c r="AC151" s="139">
        <f t="shared" si="2"/>
        <v>4.4961240310077519E-2</v>
      </c>
      <c r="AD151" s="139">
        <f t="shared" ref="AD151:AI151" si="301">O151/$I151</f>
        <v>9.3023255813953487E-3</v>
      </c>
      <c r="AE151" s="139">
        <f t="shared" si="301"/>
        <v>0</v>
      </c>
      <c r="AF151" s="139">
        <f t="shared" si="301"/>
        <v>0</v>
      </c>
      <c r="AG151" s="139">
        <f t="shared" si="301"/>
        <v>0</v>
      </c>
      <c r="AH151" s="139">
        <f t="shared" si="301"/>
        <v>2.9457364341085271E-2</v>
      </c>
      <c r="AI151" s="139">
        <f t="shared" si="301"/>
        <v>6.2015503875968991E-3</v>
      </c>
    </row>
    <row r="152" spans="1:35">
      <c r="A152" s="138">
        <v>52</v>
      </c>
      <c r="B152" s="138" t="s">
        <v>8077</v>
      </c>
      <c r="C152" s="138" t="s">
        <v>4367</v>
      </c>
      <c r="D152" s="138" t="s">
        <v>19</v>
      </c>
      <c r="E152" s="138" t="s">
        <v>19</v>
      </c>
      <c r="F152" s="138" t="s">
        <v>1085</v>
      </c>
      <c r="H152" s="138">
        <v>151</v>
      </c>
      <c r="I152" s="138">
        <v>669</v>
      </c>
      <c r="J152" s="138">
        <v>483</v>
      </c>
      <c r="K152" s="138">
        <v>141</v>
      </c>
      <c r="N152" s="138">
        <v>4</v>
      </c>
      <c r="O152" s="138">
        <v>2</v>
      </c>
      <c r="S152" s="138">
        <v>30</v>
      </c>
      <c r="T152" s="138">
        <v>9</v>
      </c>
      <c r="U152" s="138">
        <f t="shared" si="0"/>
        <v>41</v>
      </c>
      <c r="W152" s="139">
        <f t="shared" ref="W152:AA152" si="302">J152/$I152</f>
        <v>0.72197309417040356</v>
      </c>
      <c r="X152" s="139">
        <f t="shared" si="302"/>
        <v>0.21076233183856502</v>
      </c>
      <c r="Y152" s="139">
        <f t="shared" si="302"/>
        <v>0</v>
      </c>
      <c r="Z152" s="139">
        <f t="shared" si="302"/>
        <v>0</v>
      </c>
      <c r="AA152" s="139">
        <f t="shared" si="302"/>
        <v>5.9790732436472349E-3</v>
      </c>
      <c r="AB152" s="139"/>
      <c r="AC152" s="139">
        <f t="shared" si="2"/>
        <v>6.1285500747384154E-2</v>
      </c>
      <c r="AD152" s="139">
        <f t="shared" ref="AD152:AI152" si="303">O152/$I152</f>
        <v>2.9895366218236174E-3</v>
      </c>
      <c r="AE152" s="139">
        <f t="shared" si="303"/>
        <v>0</v>
      </c>
      <c r="AF152" s="139">
        <f t="shared" si="303"/>
        <v>0</v>
      </c>
      <c r="AG152" s="139">
        <f t="shared" si="303"/>
        <v>0</v>
      </c>
      <c r="AH152" s="139">
        <f t="shared" si="303"/>
        <v>4.4843049327354258E-2</v>
      </c>
      <c r="AI152" s="139">
        <f t="shared" si="303"/>
        <v>1.3452914798206279E-2</v>
      </c>
    </row>
    <row r="153" spans="1:35">
      <c r="A153" s="138">
        <v>52</v>
      </c>
      <c r="B153" s="138" t="s">
        <v>8077</v>
      </c>
      <c r="C153" s="138" t="s">
        <v>4367</v>
      </c>
      <c r="D153" s="138" t="s">
        <v>19</v>
      </c>
      <c r="E153" s="138" t="s">
        <v>19</v>
      </c>
      <c r="F153" s="138" t="s">
        <v>1085</v>
      </c>
      <c r="H153" s="138">
        <v>152</v>
      </c>
      <c r="I153" s="138">
        <v>631</v>
      </c>
      <c r="J153" s="138">
        <v>463</v>
      </c>
      <c r="K153" s="138">
        <v>122</v>
      </c>
      <c r="N153" s="138">
        <v>7</v>
      </c>
      <c r="O153" s="138">
        <v>3</v>
      </c>
      <c r="S153" s="138">
        <v>31</v>
      </c>
      <c r="T153" s="138">
        <v>5</v>
      </c>
      <c r="U153" s="138">
        <f t="shared" si="0"/>
        <v>39</v>
      </c>
      <c r="W153" s="139">
        <f t="shared" ref="W153:AA153" si="304">J153/$I153</f>
        <v>0.73375594294770208</v>
      </c>
      <c r="X153" s="139">
        <f t="shared" si="304"/>
        <v>0.19334389857369255</v>
      </c>
      <c r="Y153" s="139">
        <f t="shared" si="304"/>
        <v>0</v>
      </c>
      <c r="Z153" s="139">
        <f t="shared" si="304"/>
        <v>0</v>
      </c>
      <c r="AA153" s="139">
        <f t="shared" si="304"/>
        <v>1.1093502377179081E-2</v>
      </c>
      <c r="AB153" s="139"/>
      <c r="AC153" s="139">
        <f t="shared" si="2"/>
        <v>6.1806656101426306E-2</v>
      </c>
      <c r="AD153" s="139">
        <f t="shared" ref="AD153:AI153" si="305">O153/$I153</f>
        <v>4.7543581616481777E-3</v>
      </c>
      <c r="AE153" s="139">
        <f t="shared" si="305"/>
        <v>0</v>
      </c>
      <c r="AF153" s="139">
        <f t="shared" si="305"/>
        <v>0</v>
      </c>
      <c r="AG153" s="139">
        <f t="shared" si="305"/>
        <v>0</v>
      </c>
      <c r="AH153" s="139">
        <f t="shared" si="305"/>
        <v>4.9128367670364499E-2</v>
      </c>
      <c r="AI153" s="139">
        <f t="shared" si="305"/>
        <v>7.9239302694136295E-3</v>
      </c>
    </row>
    <row r="154" spans="1:35">
      <c r="A154" s="138">
        <v>52</v>
      </c>
      <c r="B154" s="138" t="s">
        <v>8077</v>
      </c>
      <c r="C154" s="138" t="s">
        <v>4367</v>
      </c>
      <c r="D154" s="138" t="s">
        <v>19</v>
      </c>
      <c r="E154" s="138" t="s">
        <v>19</v>
      </c>
      <c r="F154" s="138" t="s">
        <v>1085</v>
      </c>
      <c r="H154" s="138">
        <v>153</v>
      </c>
      <c r="I154" s="138">
        <v>814</v>
      </c>
      <c r="J154" s="138">
        <v>581</v>
      </c>
      <c r="K154" s="138">
        <v>189</v>
      </c>
      <c r="N154" s="138">
        <v>9</v>
      </c>
      <c r="O154" s="138">
        <v>2</v>
      </c>
      <c r="S154" s="138">
        <v>29</v>
      </c>
      <c r="T154" s="138">
        <v>4</v>
      </c>
      <c r="U154" s="138">
        <f t="shared" si="0"/>
        <v>35</v>
      </c>
      <c r="W154" s="139">
        <f t="shared" ref="W154:AA154" si="306">J154/$I154</f>
        <v>0.71375921375921381</v>
      </c>
      <c r="X154" s="139">
        <f t="shared" si="306"/>
        <v>0.23218673218673219</v>
      </c>
      <c r="Y154" s="139">
        <f t="shared" si="306"/>
        <v>0</v>
      </c>
      <c r="Z154" s="139">
        <f t="shared" si="306"/>
        <v>0</v>
      </c>
      <c r="AA154" s="139">
        <f t="shared" si="306"/>
        <v>1.1056511056511056E-2</v>
      </c>
      <c r="AB154" s="139"/>
      <c r="AC154" s="139">
        <f t="shared" si="2"/>
        <v>4.2997542997542999E-2</v>
      </c>
      <c r="AD154" s="139">
        <f t="shared" ref="AD154:AI154" si="307">O154/$I154</f>
        <v>2.4570024570024569E-3</v>
      </c>
      <c r="AE154" s="139">
        <f t="shared" si="307"/>
        <v>0</v>
      </c>
      <c r="AF154" s="139">
        <f t="shared" si="307"/>
        <v>0</v>
      </c>
      <c r="AG154" s="139">
        <f t="shared" si="307"/>
        <v>0</v>
      </c>
      <c r="AH154" s="139">
        <f t="shared" si="307"/>
        <v>3.562653562653563E-2</v>
      </c>
      <c r="AI154" s="139">
        <f t="shared" si="307"/>
        <v>4.9140049140049139E-3</v>
      </c>
    </row>
    <row r="155" spans="1:35">
      <c r="A155" s="138">
        <v>52</v>
      </c>
      <c r="B155" s="138" t="s">
        <v>8077</v>
      </c>
      <c r="C155" s="138" t="s">
        <v>4367</v>
      </c>
      <c r="D155" s="138" t="s">
        <v>19</v>
      </c>
      <c r="E155" s="138" t="s">
        <v>19</v>
      </c>
      <c r="F155" s="138" t="s">
        <v>1085</v>
      </c>
      <c r="H155" s="138">
        <v>154</v>
      </c>
      <c r="I155" s="138">
        <v>871</v>
      </c>
      <c r="J155" s="138">
        <v>578</v>
      </c>
      <c r="K155" s="138">
        <v>257</v>
      </c>
      <c r="N155" s="138">
        <v>8</v>
      </c>
      <c r="O155" s="138">
        <v>2</v>
      </c>
      <c r="S155" s="138">
        <v>19</v>
      </c>
      <c r="T155" s="138">
        <v>7</v>
      </c>
      <c r="U155" s="138">
        <f t="shared" si="0"/>
        <v>28</v>
      </c>
      <c r="W155" s="139">
        <f t="shared" ref="W155:AA155" si="308">J155/$I155</f>
        <v>0.66360505166475314</v>
      </c>
      <c r="X155" s="139">
        <f t="shared" si="308"/>
        <v>0.29506314580941445</v>
      </c>
      <c r="Y155" s="139">
        <f t="shared" si="308"/>
        <v>0</v>
      </c>
      <c r="Z155" s="139">
        <f t="shared" si="308"/>
        <v>0</v>
      </c>
      <c r="AA155" s="139">
        <f t="shared" si="308"/>
        <v>9.1848450057405284E-3</v>
      </c>
      <c r="AB155" s="139"/>
      <c r="AC155" s="139">
        <f t="shared" si="2"/>
        <v>3.2146957520091848E-2</v>
      </c>
      <c r="AD155" s="139">
        <f t="shared" ref="AD155:AI155" si="309">O155/$I155</f>
        <v>2.2962112514351321E-3</v>
      </c>
      <c r="AE155" s="139">
        <f t="shared" si="309"/>
        <v>0</v>
      </c>
      <c r="AF155" s="139">
        <f t="shared" si="309"/>
        <v>0</v>
      </c>
      <c r="AG155" s="139">
        <f t="shared" si="309"/>
        <v>0</v>
      </c>
      <c r="AH155" s="139">
        <f t="shared" si="309"/>
        <v>2.1814006888633754E-2</v>
      </c>
      <c r="AI155" s="139">
        <f t="shared" si="309"/>
        <v>8.0367393800229621E-3</v>
      </c>
    </row>
    <row r="156" spans="1:35">
      <c r="A156" s="138">
        <v>52</v>
      </c>
      <c r="B156" s="138" t="s">
        <v>8077</v>
      </c>
      <c r="C156" s="138" t="s">
        <v>4367</v>
      </c>
      <c r="D156" s="138" t="s">
        <v>19</v>
      </c>
      <c r="E156" s="138" t="s">
        <v>19</v>
      </c>
      <c r="F156" s="138" t="s">
        <v>1085</v>
      </c>
      <c r="H156" s="138">
        <v>155</v>
      </c>
      <c r="I156" s="138">
        <v>657</v>
      </c>
      <c r="J156" s="138">
        <v>434</v>
      </c>
      <c r="K156" s="138">
        <v>179</v>
      </c>
      <c r="N156" s="138">
        <v>8</v>
      </c>
      <c r="O156" s="138">
        <v>1</v>
      </c>
      <c r="S156" s="138">
        <v>31</v>
      </c>
      <c r="T156" s="138">
        <v>4</v>
      </c>
      <c r="U156" s="138">
        <f t="shared" si="0"/>
        <v>36</v>
      </c>
      <c r="W156" s="139">
        <f t="shared" ref="W156:AA156" si="310">J156/$I156</f>
        <v>0.66057838660578383</v>
      </c>
      <c r="X156" s="139">
        <f t="shared" si="310"/>
        <v>0.27245053272450531</v>
      </c>
      <c r="Y156" s="139">
        <f t="shared" si="310"/>
        <v>0</v>
      </c>
      <c r="Z156" s="139">
        <f t="shared" si="310"/>
        <v>0</v>
      </c>
      <c r="AA156" s="139">
        <f t="shared" si="310"/>
        <v>1.2176560121765601E-2</v>
      </c>
      <c r="AB156" s="139"/>
      <c r="AC156" s="139">
        <f t="shared" si="2"/>
        <v>5.4794520547945202E-2</v>
      </c>
      <c r="AD156" s="139">
        <f t="shared" ref="AD156:AI156" si="311">O156/$I156</f>
        <v>1.5220700152207001E-3</v>
      </c>
      <c r="AE156" s="139">
        <f t="shared" si="311"/>
        <v>0</v>
      </c>
      <c r="AF156" s="139">
        <f t="shared" si="311"/>
        <v>0</v>
      </c>
      <c r="AG156" s="139">
        <f t="shared" si="311"/>
        <v>0</v>
      </c>
      <c r="AH156" s="139">
        <f t="shared" si="311"/>
        <v>4.7184170471841702E-2</v>
      </c>
      <c r="AI156" s="139">
        <f t="shared" si="311"/>
        <v>6.0882800608828003E-3</v>
      </c>
    </row>
    <row r="157" spans="1:35">
      <c r="A157" s="138">
        <v>52</v>
      </c>
      <c r="B157" s="138" t="s">
        <v>8077</v>
      </c>
      <c r="C157" s="138" t="s">
        <v>4367</v>
      </c>
      <c r="D157" s="138" t="s">
        <v>19</v>
      </c>
      <c r="E157" s="138" t="s">
        <v>19</v>
      </c>
      <c r="F157" s="138" t="s">
        <v>1085</v>
      </c>
      <c r="H157" s="138">
        <v>156</v>
      </c>
      <c r="I157" s="138">
        <v>575</v>
      </c>
      <c r="J157" s="138">
        <v>355</v>
      </c>
      <c r="K157" s="138">
        <v>187</v>
      </c>
      <c r="N157" s="138">
        <v>7</v>
      </c>
      <c r="O157" s="138">
        <v>4</v>
      </c>
      <c r="S157" s="138">
        <v>20</v>
      </c>
      <c r="T157" s="138">
        <v>2</v>
      </c>
      <c r="U157" s="138">
        <f t="shared" si="0"/>
        <v>26</v>
      </c>
      <c r="W157" s="139">
        <f t="shared" ref="W157:AA157" si="312">J157/$I157</f>
        <v>0.61739130434782608</v>
      </c>
      <c r="X157" s="139">
        <f t="shared" si="312"/>
        <v>0.32521739130434785</v>
      </c>
      <c r="Y157" s="139">
        <f t="shared" si="312"/>
        <v>0</v>
      </c>
      <c r="Z157" s="139">
        <f t="shared" si="312"/>
        <v>0</v>
      </c>
      <c r="AA157" s="139">
        <f t="shared" si="312"/>
        <v>1.2173913043478261E-2</v>
      </c>
      <c r="AB157" s="139"/>
      <c r="AC157" s="139">
        <f t="shared" si="2"/>
        <v>4.5217391304347827E-2</v>
      </c>
      <c r="AD157" s="139">
        <f t="shared" ref="AD157:AI157" si="313">O157/$I157</f>
        <v>6.956521739130435E-3</v>
      </c>
      <c r="AE157" s="139">
        <f t="shared" si="313"/>
        <v>0</v>
      </c>
      <c r="AF157" s="139">
        <f t="shared" si="313"/>
        <v>0</v>
      </c>
      <c r="AG157" s="139">
        <f t="shared" si="313"/>
        <v>0</v>
      </c>
      <c r="AH157" s="139">
        <f t="shared" si="313"/>
        <v>3.4782608695652174E-2</v>
      </c>
      <c r="AI157" s="139">
        <f t="shared" si="313"/>
        <v>3.4782608695652175E-3</v>
      </c>
    </row>
    <row r="158" spans="1:35">
      <c r="A158" s="138">
        <v>52</v>
      </c>
      <c r="B158" s="138" t="s">
        <v>8077</v>
      </c>
      <c r="C158" s="138" t="s">
        <v>4367</v>
      </c>
      <c r="D158" s="138" t="s">
        <v>19</v>
      </c>
      <c r="E158" s="138" t="s">
        <v>19</v>
      </c>
      <c r="F158" s="138" t="s">
        <v>1085</v>
      </c>
      <c r="H158" s="138">
        <v>157</v>
      </c>
      <c r="I158" s="138">
        <v>774</v>
      </c>
      <c r="J158" s="138">
        <v>517</v>
      </c>
      <c r="K158" s="138">
        <v>215</v>
      </c>
      <c r="N158" s="138">
        <v>13</v>
      </c>
      <c r="O158" s="138">
        <v>5</v>
      </c>
      <c r="S158" s="138">
        <v>23</v>
      </c>
      <c r="T158" s="138">
        <v>1</v>
      </c>
      <c r="U158" s="138">
        <f t="shared" si="0"/>
        <v>29</v>
      </c>
      <c r="W158" s="139">
        <f t="shared" ref="W158:AA158" si="314">J158/$I158</f>
        <v>0.66795865633074936</v>
      </c>
      <c r="X158" s="139">
        <f t="shared" si="314"/>
        <v>0.27777777777777779</v>
      </c>
      <c r="Y158" s="139">
        <f t="shared" si="314"/>
        <v>0</v>
      </c>
      <c r="Z158" s="139">
        <f t="shared" si="314"/>
        <v>0</v>
      </c>
      <c r="AA158" s="139">
        <f t="shared" si="314"/>
        <v>1.6795865633074936E-2</v>
      </c>
      <c r="AB158" s="139"/>
      <c r="AC158" s="139">
        <f t="shared" si="2"/>
        <v>3.7467700258397935E-2</v>
      </c>
      <c r="AD158" s="139">
        <f t="shared" ref="AD158:AI158" si="315">O158/$I158</f>
        <v>6.4599483204134363E-3</v>
      </c>
      <c r="AE158" s="139">
        <f t="shared" si="315"/>
        <v>0</v>
      </c>
      <c r="AF158" s="139">
        <f t="shared" si="315"/>
        <v>0</v>
      </c>
      <c r="AG158" s="139">
        <f t="shared" si="315"/>
        <v>0</v>
      </c>
      <c r="AH158" s="139">
        <f t="shared" si="315"/>
        <v>2.9715762273901807E-2</v>
      </c>
      <c r="AI158" s="139">
        <f t="shared" si="315"/>
        <v>1.2919896640826874E-3</v>
      </c>
    </row>
    <row r="159" spans="1:35">
      <c r="A159" s="138">
        <v>52</v>
      </c>
      <c r="B159" s="138" t="s">
        <v>8077</v>
      </c>
      <c r="C159" s="138" t="s">
        <v>4367</v>
      </c>
      <c r="D159" s="138" t="s">
        <v>19</v>
      </c>
      <c r="E159" s="138" t="s">
        <v>19</v>
      </c>
      <c r="F159" s="138" t="s">
        <v>1085</v>
      </c>
      <c r="H159" s="138">
        <v>158</v>
      </c>
      <c r="I159" s="138">
        <v>637</v>
      </c>
      <c r="J159" s="138">
        <v>467</v>
      </c>
      <c r="K159" s="138">
        <v>140</v>
      </c>
      <c r="N159" s="138">
        <v>3</v>
      </c>
      <c r="O159" s="138">
        <v>3</v>
      </c>
      <c r="S159" s="138">
        <v>20</v>
      </c>
      <c r="T159" s="138">
        <v>4</v>
      </c>
      <c r="U159" s="138">
        <f t="shared" si="0"/>
        <v>27</v>
      </c>
      <c r="W159" s="139">
        <f t="shared" ref="W159:AA159" si="316">J159/$I159</f>
        <v>0.73312401883830458</v>
      </c>
      <c r="X159" s="139">
        <f t="shared" si="316"/>
        <v>0.21978021978021978</v>
      </c>
      <c r="Y159" s="139">
        <f t="shared" si="316"/>
        <v>0</v>
      </c>
      <c r="Z159" s="139">
        <f t="shared" si="316"/>
        <v>0</v>
      </c>
      <c r="AA159" s="139">
        <f t="shared" si="316"/>
        <v>4.7095761381475663E-3</v>
      </c>
      <c r="AB159" s="139"/>
      <c r="AC159" s="139">
        <f t="shared" si="2"/>
        <v>4.2386185243328101E-2</v>
      </c>
      <c r="AD159" s="139">
        <f t="shared" ref="AD159:AI159" si="317">O159/$I159</f>
        <v>4.7095761381475663E-3</v>
      </c>
      <c r="AE159" s="139">
        <f t="shared" si="317"/>
        <v>0</v>
      </c>
      <c r="AF159" s="139">
        <f t="shared" si="317"/>
        <v>0</v>
      </c>
      <c r="AG159" s="139">
        <f t="shared" si="317"/>
        <v>0</v>
      </c>
      <c r="AH159" s="139">
        <f t="shared" si="317"/>
        <v>3.1397174254317109E-2</v>
      </c>
      <c r="AI159" s="139">
        <f t="shared" si="317"/>
        <v>6.2794348508634227E-3</v>
      </c>
    </row>
    <row r="160" spans="1:35">
      <c r="A160" s="138">
        <v>52</v>
      </c>
      <c r="B160" s="138" t="s">
        <v>8077</v>
      </c>
      <c r="C160" s="138" t="s">
        <v>4367</v>
      </c>
      <c r="D160" s="138" t="s">
        <v>19</v>
      </c>
      <c r="E160" s="138" t="s">
        <v>19</v>
      </c>
      <c r="F160" s="138" t="s">
        <v>1085</v>
      </c>
      <c r="H160" s="138">
        <v>159</v>
      </c>
      <c r="I160" s="138">
        <v>629</v>
      </c>
      <c r="J160" s="138">
        <v>447</v>
      </c>
      <c r="K160" s="138">
        <v>161</v>
      </c>
      <c r="N160" s="138">
        <v>3</v>
      </c>
      <c r="O160" s="138">
        <v>0</v>
      </c>
      <c r="S160" s="138">
        <v>17</v>
      </c>
      <c r="T160" s="138">
        <v>1</v>
      </c>
      <c r="U160" s="138">
        <f t="shared" si="0"/>
        <v>18</v>
      </c>
      <c r="W160" s="139">
        <f t="shared" ref="W160:AA160" si="318">J160/$I160</f>
        <v>0.71065182829888707</v>
      </c>
      <c r="X160" s="139">
        <f t="shared" si="318"/>
        <v>0.2559618441971383</v>
      </c>
      <c r="Y160" s="139">
        <f t="shared" si="318"/>
        <v>0</v>
      </c>
      <c r="Z160" s="139">
        <f t="shared" si="318"/>
        <v>0</v>
      </c>
      <c r="AA160" s="139">
        <f t="shared" si="318"/>
        <v>4.7694753577106515E-3</v>
      </c>
      <c r="AB160" s="139"/>
      <c r="AC160" s="139">
        <f t="shared" si="2"/>
        <v>2.8616852146263912E-2</v>
      </c>
      <c r="AD160" s="139">
        <f t="shared" ref="AD160:AI160" si="319">O160/$I160</f>
        <v>0</v>
      </c>
      <c r="AE160" s="139">
        <f t="shared" si="319"/>
        <v>0</v>
      </c>
      <c r="AF160" s="139">
        <f t="shared" si="319"/>
        <v>0</v>
      </c>
      <c r="AG160" s="139">
        <f t="shared" si="319"/>
        <v>0</v>
      </c>
      <c r="AH160" s="139">
        <f t="shared" si="319"/>
        <v>2.7027027027027029E-2</v>
      </c>
      <c r="AI160" s="139">
        <f t="shared" si="319"/>
        <v>1.589825119236884E-3</v>
      </c>
    </row>
    <row r="161" spans="1:35">
      <c r="A161" s="138">
        <v>52</v>
      </c>
      <c r="B161" s="138" t="s">
        <v>8077</v>
      </c>
      <c r="C161" s="138" t="s">
        <v>4367</v>
      </c>
      <c r="D161" s="138" t="s">
        <v>19</v>
      </c>
      <c r="E161" s="138" t="s">
        <v>19</v>
      </c>
      <c r="F161" s="138" t="s">
        <v>1085</v>
      </c>
      <c r="H161" s="138">
        <v>160</v>
      </c>
      <c r="I161" s="138">
        <v>538</v>
      </c>
      <c r="J161" s="138">
        <v>392</v>
      </c>
      <c r="K161" s="138">
        <v>127</v>
      </c>
      <c r="N161" s="138">
        <v>2</v>
      </c>
      <c r="O161" s="138">
        <v>2</v>
      </c>
      <c r="S161" s="138">
        <v>12</v>
      </c>
      <c r="T161" s="138">
        <v>3</v>
      </c>
      <c r="U161" s="138">
        <f t="shared" si="0"/>
        <v>17</v>
      </c>
      <c r="W161" s="139">
        <f t="shared" ref="W161:AA161" si="320">J161/$I161</f>
        <v>0.72862453531598514</v>
      </c>
      <c r="X161" s="139">
        <f t="shared" si="320"/>
        <v>0.23605947955390336</v>
      </c>
      <c r="Y161" s="139">
        <f t="shared" si="320"/>
        <v>0</v>
      </c>
      <c r="Z161" s="139">
        <f t="shared" si="320"/>
        <v>0</v>
      </c>
      <c r="AA161" s="139">
        <f t="shared" si="320"/>
        <v>3.7174721189591076E-3</v>
      </c>
      <c r="AB161" s="139"/>
      <c r="AC161" s="139">
        <f t="shared" si="2"/>
        <v>3.1598513011152414E-2</v>
      </c>
      <c r="AD161" s="139">
        <f t="shared" ref="AD161:AI161" si="321">O161/$I161</f>
        <v>3.7174721189591076E-3</v>
      </c>
      <c r="AE161" s="139">
        <f t="shared" si="321"/>
        <v>0</v>
      </c>
      <c r="AF161" s="139">
        <f t="shared" si="321"/>
        <v>0</v>
      </c>
      <c r="AG161" s="139">
        <f t="shared" si="321"/>
        <v>0</v>
      </c>
      <c r="AH161" s="139">
        <f t="shared" si="321"/>
        <v>2.2304832713754646E-2</v>
      </c>
      <c r="AI161" s="139">
        <f t="shared" si="321"/>
        <v>5.5762081784386614E-3</v>
      </c>
    </row>
    <row r="162" spans="1:35">
      <c r="A162" s="138">
        <v>52</v>
      </c>
      <c r="B162" s="138" t="s">
        <v>8077</v>
      </c>
      <c r="C162" s="138" t="s">
        <v>4367</v>
      </c>
      <c r="D162" s="138" t="s">
        <v>19</v>
      </c>
      <c r="E162" s="138" t="s">
        <v>19</v>
      </c>
      <c r="F162" s="138" t="s">
        <v>1085</v>
      </c>
      <c r="H162" s="138">
        <v>161</v>
      </c>
      <c r="I162" s="138">
        <v>716</v>
      </c>
      <c r="J162" s="138">
        <v>506</v>
      </c>
      <c r="K162" s="138">
        <v>176</v>
      </c>
      <c r="N162" s="138">
        <v>7</v>
      </c>
      <c r="O162" s="138">
        <v>4</v>
      </c>
      <c r="S162" s="138">
        <v>18</v>
      </c>
      <c r="T162" s="138">
        <v>5</v>
      </c>
      <c r="U162" s="138">
        <f t="shared" si="0"/>
        <v>27</v>
      </c>
      <c r="W162" s="139">
        <f t="shared" ref="W162:AA162" si="322">J162/$I162</f>
        <v>0.70670391061452509</v>
      </c>
      <c r="X162" s="139">
        <f t="shared" si="322"/>
        <v>0.24581005586592178</v>
      </c>
      <c r="Y162" s="139">
        <f t="shared" si="322"/>
        <v>0</v>
      </c>
      <c r="Z162" s="139">
        <f t="shared" si="322"/>
        <v>0</v>
      </c>
      <c r="AA162" s="139">
        <f t="shared" si="322"/>
        <v>9.7765363128491621E-3</v>
      </c>
      <c r="AB162" s="139"/>
      <c r="AC162" s="139">
        <f t="shared" si="2"/>
        <v>3.7709497206703912E-2</v>
      </c>
      <c r="AD162" s="139">
        <f t="shared" ref="AD162:AI162" si="323">O162/$I162</f>
        <v>5.5865921787709499E-3</v>
      </c>
      <c r="AE162" s="139">
        <f t="shared" si="323"/>
        <v>0</v>
      </c>
      <c r="AF162" s="139">
        <f t="shared" si="323"/>
        <v>0</v>
      </c>
      <c r="AG162" s="139">
        <f t="shared" si="323"/>
        <v>0</v>
      </c>
      <c r="AH162" s="139">
        <f t="shared" si="323"/>
        <v>2.5139664804469275E-2</v>
      </c>
      <c r="AI162" s="139">
        <f t="shared" si="323"/>
        <v>6.9832402234636867E-3</v>
      </c>
    </row>
    <row r="163" spans="1:35">
      <c r="A163" s="138">
        <v>52</v>
      </c>
      <c r="B163" s="138" t="s">
        <v>8077</v>
      </c>
      <c r="C163" s="138" t="s">
        <v>4367</v>
      </c>
      <c r="D163" s="138" t="s">
        <v>19</v>
      </c>
      <c r="E163" s="138" t="s">
        <v>19</v>
      </c>
      <c r="F163" s="138" t="s">
        <v>1085</v>
      </c>
      <c r="H163" s="138">
        <v>162</v>
      </c>
      <c r="I163" s="138">
        <v>683</v>
      </c>
      <c r="J163" s="138">
        <v>487</v>
      </c>
      <c r="K163" s="138">
        <v>162</v>
      </c>
      <c r="N163" s="138">
        <v>6</v>
      </c>
      <c r="O163" s="138">
        <v>2</v>
      </c>
      <c r="S163" s="138">
        <v>25</v>
      </c>
      <c r="T163" s="138">
        <v>1</v>
      </c>
      <c r="U163" s="138">
        <f t="shared" si="0"/>
        <v>28</v>
      </c>
      <c r="W163" s="139">
        <f t="shared" ref="W163:AA163" si="324">J163/$I163</f>
        <v>0.71303074670571009</v>
      </c>
      <c r="X163" s="139">
        <f t="shared" si="324"/>
        <v>0.23718887262079064</v>
      </c>
      <c r="Y163" s="139">
        <f t="shared" si="324"/>
        <v>0</v>
      </c>
      <c r="Z163" s="139">
        <f t="shared" si="324"/>
        <v>0</v>
      </c>
      <c r="AA163" s="139">
        <f t="shared" si="324"/>
        <v>8.7847730600292828E-3</v>
      </c>
      <c r="AB163" s="139"/>
      <c r="AC163" s="139">
        <f t="shared" si="2"/>
        <v>4.0995607613469986E-2</v>
      </c>
      <c r="AD163" s="139">
        <f t="shared" ref="AD163:AI163" si="325">O163/$I163</f>
        <v>2.9282576866764276E-3</v>
      </c>
      <c r="AE163" s="139">
        <f t="shared" si="325"/>
        <v>0</v>
      </c>
      <c r="AF163" s="139">
        <f t="shared" si="325"/>
        <v>0</v>
      </c>
      <c r="AG163" s="139">
        <f t="shared" si="325"/>
        <v>0</v>
      </c>
      <c r="AH163" s="139">
        <f t="shared" si="325"/>
        <v>3.6603221083455345E-2</v>
      </c>
      <c r="AI163" s="139">
        <f t="shared" si="325"/>
        <v>1.4641288433382138E-3</v>
      </c>
    </row>
    <row r="164" spans="1:35">
      <c r="A164" s="138">
        <v>52</v>
      </c>
      <c r="B164" s="138" t="s">
        <v>8077</v>
      </c>
      <c r="C164" s="138" t="s">
        <v>4367</v>
      </c>
      <c r="D164" s="138" t="s">
        <v>19</v>
      </c>
      <c r="E164" s="138" t="s">
        <v>19</v>
      </c>
      <c r="F164" s="138" t="s">
        <v>1085</v>
      </c>
      <c r="H164" s="138">
        <v>163</v>
      </c>
      <c r="I164" s="138">
        <v>734</v>
      </c>
      <c r="J164" s="138">
        <v>456</v>
      </c>
      <c r="K164" s="138">
        <v>235</v>
      </c>
      <c r="N164" s="138">
        <v>1</v>
      </c>
      <c r="O164" s="138">
        <v>3</v>
      </c>
      <c r="S164" s="138">
        <v>32</v>
      </c>
      <c r="T164" s="138">
        <v>7</v>
      </c>
      <c r="U164" s="138">
        <f t="shared" si="0"/>
        <v>42</v>
      </c>
      <c r="W164" s="139">
        <f t="shared" ref="W164:AA164" si="326">J164/$I164</f>
        <v>0.62125340599455037</v>
      </c>
      <c r="X164" s="139">
        <f t="shared" si="326"/>
        <v>0.32016348773841963</v>
      </c>
      <c r="Y164" s="139">
        <f t="shared" si="326"/>
        <v>0</v>
      </c>
      <c r="Z164" s="139">
        <f t="shared" si="326"/>
        <v>0</v>
      </c>
      <c r="AA164" s="139">
        <f t="shared" si="326"/>
        <v>1.3623978201634877E-3</v>
      </c>
      <c r="AB164" s="139"/>
      <c r="AC164" s="139">
        <f t="shared" si="2"/>
        <v>5.7220708446866483E-2</v>
      </c>
      <c r="AD164" s="139">
        <f t="shared" ref="AD164:AI164" si="327">O164/$I164</f>
        <v>4.0871934604904629E-3</v>
      </c>
      <c r="AE164" s="139">
        <f t="shared" si="327"/>
        <v>0</v>
      </c>
      <c r="AF164" s="139">
        <f t="shared" si="327"/>
        <v>0</v>
      </c>
      <c r="AG164" s="139">
        <f t="shared" si="327"/>
        <v>0</v>
      </c>
      <c r="AH164" s="139">
        <f t="shared" si="327"/>
        <v>4.3596730245231606E-2</v>
      </c>
      <c r="AI164" s="139">
        <f t="shared" si="327"/>
        <v>9.5367847411444145E-3</v>
      </c>
    </row>
    <row r="165" spans="1:35">
      <c r="A165" s="138">
        <v>52</v>
      </c>
      <c r="B165" s="138" t="s">
        <v>8077</v>
      </c>
      <c r="C165" s="138" t="s">
        <v>4367</v>
      </c>
      <c r="D165" s="138" t="s">
        <v>19</v>
      </c>
      <c r="E165" s="138" t="s">
        <v>19</v>
      </c>
      <c r="F165" s="138" t="s">
        <v>1085</v>
      </c>
      <c r="H165" s="138">
        <v>164</v>
      </c>
      <c r="I165" s="138">
        <v>865</v>
      </c>
      <c r="J165" s="138">
        <v>621</v>
      </c>
      <c r="K165" s="138">
        <v>197</v>
      </c>
      <c r="N165" s="138">
        <v>7</v>
      </c>
      <c r="O165" s="138">
        <v>4</v>
      </c>
      <c r="S165" s="138">
        <v>33</v>
      </c>
      <c r="T165" s="138">
        <v>3</v>
      </c>
      <c r="U165" s="138">
        <f t="shared" si="0"/>
        <v>40</v>
      </c>
      <c r="W165" s="139">
        <f t="shared" ref="W165:AA165" si="328">J165/$I165</f>
        <v>0.7179190751445087</v>
      </c>
      <c r="X165" s="139">
        <f t="shared" si="328"/>
        <v>0.22774566473988439</v>
      </c>
      <c r="Y165" s="139">
        <f t="shared" si="328"/>
        <v>0</v>
      </c>
      <c r="Z165" s="139">
        <f t="shared" si="328"/>
        <v>0</v>
      </c>
      <c r="AA165" s="139">
        <f t="shared" si="328"/>
        <v>8.0924855491329474E-3</v>
      </c>
      <c r="AB165" s="139"/>
      <c r="AC165" s="139">
        <f t="shared" si="2"/>
        <v>4.6242774566473986E-2</v>
      </c>
      <c r="AD165" s="139">
        <f t="shared" ref="AD165:AI165" si="329">O165/$I165</f>
        <v>4.6242774566473991E-3</v>
      </c>
      <c r="AE165" s="139">
        <f t="shared" si="329"/>
        <v>0</v>
      </c>
      <c r="AF165" s="139">
        <f t="shared" si="329"/>
        <v>0</v>
      </c>
      <c r="AG165" s="139">
        <f t="shared" si="329"/>
        <v>0</v>
      </c>
      <c r="AH165" s="139">
        <f t="shared" si="329"/>
        <v>3.8150289017341042E-2</v>
      </c>
      <c r="AI165" s="139">
        <f t="shared" si="329"/>
        <v>3.4682080924855491E-3</v>
      </c>
    </row>
    <row r="166" spans="1:35">
      <c r="A166" s="138">
        <v>52</v>
      </c>
      <c r="B166" s="138" t="s">
        <v>8077</v>
      </c>
      <c r="C166" s="138" t="s">
        <v>4367</v>
      </c>
      <c r="D166" s="138" t="s">
        <v>19</v>
      </c>
      <c r="E166" s="138" t="s">
        <v>19</v>
      </c>
      <c r="F166" s="138" t="s">
        <v>1085</v>
      </c>
      <c r="H166" s="138">
        <v>165</v>
      </c>
      <c r="I166" s="138">
        <v>698</v>
      </c>
      <c r="J166" s="138">
        <v>373</v>
      </c>
      <c r="K166" s="138">
        <v>301</v>
      </c>
      <c r="N166" s="138">
        <v>2</v>
      </c>
      <c r="O166" s="138">
        <v>3</v>
      </c>
      <c r="S166" s="138">
        <v>15</v>
      </c>
      <c r="T166" s="138">
        <v>4</v>
      </c>
      <c r="U166" s="138">
        <f t="shared" si="0"/>
        <v>22</v>
      </c>
      <c r="W166" s="139">
        <f t="shared" ref="W166:AA166" si="330">J166/$I166</f>
        <v>0.53438395415472784</v>
      </c>
      <c r="X166" s="139">
        <f t="shared" si="330"/>
        <v>0.43123209169054444</v>
      </c>
      <c r="Y166" s="139">
        <f t="shared" si="330"/>
        <v>0</v>
      </c>
      <c r="Z166" s="139">
        <f t="shared" si="330"/>
        <v>0</v>
      </c>
      <c r="AA166" s="139">
        <f t="shared" si="330"/>
        <v>2.8653295128939827E-3</v>
      </c>
      <c r="AB166" s="139"/>
      <c r="AC166" s="139">
        <f t="shared" si="2"/>
        <v>3.151862464183381E-2</v>
      </c>
      <c r="AD166" s="139">
        <f t="shared" ref="AD166:AI166" si="331">O166/$I166</f>
        <v>4.2979942693409743E-3</v>
      </c>
      <c r="AE166" s="139">
        <f t="shared" si="331"/>
        <v>0</v>
      </c>
      <c r="AF166" s="139">
        <f t="shared" si="331"/>
        <v>0</v>
      </c>
      <c r="AG166" s="139">
        <f t="shared" si="331"/>
        <v>0</v>
      </c>
      <c r="AH166" s="139">
        <f t="shared" si="331"/>
        <v>2.148997134670487E-2</v>
      </c>
      <c r="AI166" s="139">
        <f t="shared" si="331"/>
        <v>5.7306590257879654E-3</v>
      </c>
    </row>
    <row r="167" spans="1:35">
      <c r="A167" s="138">
        <v>52</v>
      </c>
      <c r="B167" s="138" t="s">
        <v>8077</v>
      </c>
      <c r="C167" s="138" t="s">
        <v>4367</v>
      </c>
      <c r="D167" s="138" t="s">
        <v>19</v>
      </c>
      <c r="E167" s="138" t="s">
        <v>19</v>
      </c>
      <c r="F167" s="138" t="s">
        <v>1085</v>
      </c>
      <c r="H167" s="138">
        <v>166</v>
      </c>
      <c r="I167" s="138">
        <v>534</v>
      </c>
      <c r="J167" s="138">
        <v>256</v>
      </c>
      <c r="K167" s="138">
        <v>253</v>
      </c>
      <c r="N167" s="138">
        <v>4</v>
      </c>
      <c r="O167" s="138">
        <v>3</v>
      </c>
      <c r="S167" s="138">
        <v>15</v>
      </c>
      <c r="T167" s="138">
        <v>3</v>
      </c>
      <c r="U167" s="138">
        <f t="shared" si="0"/>
        <v>21</v>
      </c>
      <c r="W167" s="139">
        <f t="shared" ref="W167:AA167" si="332">J167/$I167</f>
        <v>0.47940074906367042</v>
      </c>
      <c r="X167" s="139">
        <f t="shared" si="332"/>
        <v>0.47378277153558052</v>
      </c>
      <c r="Y167" s="139">
        <f t="shared" si="332"/>
        <v>0</v>
      </c>
      <c r="Z167" s="139">
        <f t="shared" si="332"/>
        <v>0</v>
      </c>
      <c r="AA167" s="139">
        <f t="shared" si="332"/>
        <v>7.4906367041198503E-3</v>
      </c>
      <c r="AB167" s="139"/>
      <c r="AC167" s="139">
        <f t="shared" si="2"/>
        <v>3.9325842696629212E-2</v>
      </c>
      <c r="AD167" s="139">
        <f t="shared" ref="AD167:AI167" si="333">O167/$I167</f>
        <v>5.6179775280898875E-3</v>
      </c>
      <c r="AE167" s="139">
        <f t="shared" si="333"/>
        <v>0</v>
      </c>
      <c r="AF167" s="139">
        <f t="shared" si="333"/>
        <v>0</v>
      </c>
      <c r="AG167" s="139">
        <f t="shared" si="333"/>
        <v>0</v>
      </c>
      <c r="AH167" s="139">
        <f t="shared" si="333"/>
        <v>2.8089887640449437E-2</v>
      </c>
      <c r="AI167" s="139">
        <f t="shared" si="333"/>
        <v>5.6179775280898875E-3</v>
      </c>
    </row>
    <row r="168" spans="1:35">
      <c r="A168" s="138">
        <v>52</v>
      </c>
      <c r="B168" s="138" t="s">
        <v>8077</v>
      </c>
      <c r="C168" s="138" t="s">
        <v>4367</v>
      </c>
      <c r="D168" s="138" t="s">
        <v>19</v>
      </c>
      <c r="E168" s="138" t="s">
        <v>19</v>
      </c>
      <c r="F168" s="138" t="s">
        <v>1085</v>
      </c>
      <c r="H168" s="138">
        <v>167</v>
      </c>
      <c r="I168" s="138">
        <v>909</v>
      </c>
      <c r="J168" s="138">
        <v>666</v>
      </c>
      <c r="K168" s="138">
        <v>178</v>
      </c>
      <c r="N168" s="138">
        <v>1</v>
      </c>
      <c r="O168" s="138">
        <v>0</v>
      </c>
      <c r="S168" s="138">
        <v>62</v>
      </c>
      <c r="T168" s="138">
        <v>2</v>
      </c>
      <c r="U168" s="138">
        <f t="shared" si="0"/>
        <v>64</v>
      </c>
      <c r="W168" s="139">
        <f t="shared" ref="W168:AA168" si="334">J168/$I168</f>
        <v>0.73267326732673266</v>
      </c>
      <c r="X168" s="139">
        <f t="shared" si="334"/>
        <v>0.19581958195819582</v>
      </c>
      <c r="Y168" s="139">
        <f t="shared" si="334"/>
        <v>0</v>
      </c>
      <c r="Z168" s="139">
        <f t="shared" si="334"/>
        <v>0</v>
      </c>
      <c r="AA168" s="139">
        <f t="shared" si="334"/>
        <v>1.1001100110011001E-3</v>
      </c>
      <c r="AB168" s="139"/>
      <c r="AC168" s="139">
        <f t="shared" si="2"/>
        <v>7.0407040704070403E-2</v>
      </c>
      <c r="AD168" s="139">
        <f t="shared" ref="AD168:AI168" si="335">O168/$I168</f>
        <v>0</v>
      </c>
      <c r="AE168" s="139">
        <f t="shared" si="335"/>
        <v>0</v>
      </c>
      <c r="AF168" s="139">
        <f t="shared" si="335"/>
        <v>0</v>
      </c>
      <c r="AG168" s="139">
        <f t="shared" si="335"/>
        <v>0</v>
      </c>
      <c r="AH168" s="139">
        <f t="shared" si="335"/>
        <v>6.8206820682068209E-2</v>
      </c>
      <c r="AI168" s="139">
        <f t="shared" si="335"/>
        <v>2.2002200220022001E-3</v>
      </c>
    </row>
    <row r="169" spans="1:35">
      <c r="A169" s="138">
        <v>52</v>
      </c>
      <c r="B169" s="138" t="s">
        <v>8077</v>
      </c>
      <c r="C169" s="138" t="s">
        <v>4367</v>
      </c>
      <c r="D169" s="138" t="s">
        <v>19</v>
      </c>
      <c r="E169" s="138" t="s">
        <v>19</v>
      </c>
      <c r="F169" s="138" t="s">
        <v>1083</v>
      </c>
      <c r="H169" s="138">
        <v>168</v>
      </c>
      <c r="I169" s="138">
        <v>970</v>
      </c>
      <c r="J169" s="138">
        <v>546</v>
      </c>
      <c r="K169" s="138">
        <v>355</v>
      </c>
      <c r="N169" s="138">
        <v>5</v>
      </c>
      <c r="O169" s="138">
        <v>2</v>
      </c>
      <c r="S169" s="138">
        <v>54</v>
      </c>
      <c r="T169" s="138">
        <v>8</v>
      </c>
      <c r="U169" s="138">
        <f t="shared" si="0"/>
        <v>64</v>
      </c>
      <c r="W169" s="139">
        <f t="shared" ref="W169:AA169" si="336">J169/$I169</f>
        <v>0.56288659793814433</v>
      </c>
      <c r="X169" s="139">
        <f t="shared" si="336"/>
        <v>0.36597938144329895</v>
      </c>
      <c r="Y169" s="139">
        <f t="shared" si="336"/>
        <v>0</v>
      </c>
      <c r="Z169" s="139">
        <f t="shared" si="336"/>
        <v>0</v>
      </c>
      <c r="AA169" s="139">
        <f t="shared" si="336"/>
        <v>5.1546391752577319E-3</v>
      </c>
      <c r="AB169" s="139"/>
      <c r="AC169" s="139">
        <f t="shared" si="2"/>
        <v>6.5979381443298971E-2</v>
      </c>
      <c r="AD169" s="139">
        <f t="shared" ref="AD169:AI169" si="337">O169/$I169</f>
        <v>2.0618556701030928E-3</v>
      </c>
      <c r="AE169" s="139">
        <f t="shared" si="337"/>
        <v>0</v>
      </c>
      <c r="AF169" s="139">
        <f t="shared" si="337"/>
        <v>0</v>
      </c>
      <c r="AG169" s="139">
        <f t="shared" si="337"/>
        <v>0</v>
      </c>
      <c r="AH169" s="139">
        <f t="shared" si="337"/>
        <v>5.5670103092783509E-2</v>
      </c>
      <c r="AI169" s="139">
        <f t="shared" si="337"/>
        <v>8.2474226804123713E-3</v>
      </c>
    </row>
    <row r="170" spans="1:35">
      <c r="A170" s="138">
        <v>52</v>
      </c>
      <c r="B170" s="138" t="s">
        <v>8077</v>
      </c>
      <c r="C170" s="138" t="s">
        <v>4367</v>
      </c>
      <c r="D170" s="138" t="s">
        <v>19</v>
      </c>
      <c r="E170" s="138" t="s">
        <v>19</v>
      </c>
      <c r="F170" s="138" t="s">
        <v>1083</v>
      </c>
      <c r="H170" s="138">
        <v>169</v>
      </c>
      <c r="I170" s="138">
        <v>891</v>
      </c>
      <c r="J170" s="138">
        <v>493</v>
      </c>
      <c r="K170" s="138">
        <v>316</v>
      </c>
      <c r="N170" s="138">
        <v>6</v>
      </c>
      <c r="O170" s="138">
        <v>3</v>
      </c>
      <c r="S170" s="138">
        <v>65</v>
      </c>
      <c r="T170" s="138">
        <v>8</v>
      </c>
      <c r="U170" s="138">
        <f t="shared" si="0"/>
        <v>76</v>
      </c>
      <c r="W170" s="139">
        <f t="shared" ref="W170:AA170" si="338">J170/$I170</f>
        <v>0.55331088664422001</v>
      </c>
      <c r="X170" s="139">
        <f t="shared" si="338"/>
        <v>0.35465768799102132</v>
      </c>
      <c r="Y170" s="139">
        <f t="shared" si="338"/>
        <v>0</v>
      </c>
      <c r="Z170" s="139">
        <f t="shared" si="338"/>
        <v>0</v>
      </c>
      <c r="AA170" s="139">
        <f t="shared" si="338"/>
        <v>6.7340067340067337E-3</v>
      </c>
      <c r="AB170" s="139"/>
      <c r="AC170" s="139">
        <f t="shared" si="2"/>
        <v>8.5297418630751964E-2</v>
      </c>
      <c r="AD170" s="139">
        <f t="shared" ref="AD170:AI170" si="339">O170/$I170</f>
        <v>3.3670033670033669E-3</v>
      </c>
      <c r="AE170" s="139">
        <f t="shared" si="339"/>
        <v>0</v>
      </c>
      <c r="AF170" s="139">
        <f t="shared" si="339"/>
        <v>0</v>
      </c>
      <c r="AG170" s="139">
        <f t="shared" si="339"/>
        <v>0</v>
      </c>
      <c r="AH170" s="139">
        <f t="shared" si="339"/>
        <v>7.2951739618406286E-2</v>
      </c>
      <c r="AI170" s="139">
        <f t="shared" si="339"/>
        <v>8.9786756453423128E-3</v>
      </c>
    </row>
    <row r="171" spans="1:35">
      <c r="A171" s="138">
        <v>52</v>
      </c>
      <c r="B171" s="138" t="s">
        <v>8077</v>
      </c>
      <c r="C171" s="138" t="s">
        <v>4367</v>
      </c>
      <c r="D171" s="138" t="s">
        <v>19</v>
      </c>
      <c r="E171" s="138" t="s">
        <v>19</v>
      </c>
      <c r="F171" s="138" t="s">
        <v>1083</v>
      </c>
      <c r="H171" s="138">
        <v>170</v>
      </c>
      <c r="I171" s="138">
        <v>737</v>
      </c>
      <c r="J171" s="138">
        <v>434</v>
      </c>
      <c r="K171" s="138">
        <v>235</v>
      </c>
      <c r="N171" s="138">
        <v>8</v>
      </c>
      <c r="O171" s="138">
        <v>1</v>
      </c>
      <c r="S171" s="138">
        <v>55</v>
      </c>
      <c r="T171" s="138">
        <v>4</v>
      </c>
      <c r="U171" s="138">
        <f t="shared" si="0"/>
        <v>60</v>
      </c>
      <c r="W171" s="139">
        <f t="shared" ref="W171:AA171" si="340">J171/$I171</f>
        <v>0.58887381275440975</v>
      </c>
      <c r="X171" s="139">
        <f t="shared" si="340"/>
        <v>0.31886024423337855</v>
      </c>
      <c r="Y171" s="139">
        <f t="shared" si="340"/>
        <v>0</v>
      </c>
      <c r="Z171" s="139">
        <f t="shared" si="340"/>
        <v>0</v>
      </c>
      <c r="AA171" s="139">
        <f t="shared" si="340"/>
        <v>1.0854816824966078E-2</v>
      </c>
      <c r="AB171" s="139"/>
      <c r="AC171" s="139">
        <f t="shared" si="2"/>
        <v>8.1411126187245594E-2</v>
      </c>
      <c r="AD171" s="139">
        <f t="shared" ref="AD171:AI171" si="341">O171/$I171</f>
        <v>1.3568521031207597E-3</v>
      </c>
      <c r="AE171" s="139">
        <f t="shared" si="341"/>
        <v>0</v>
      </c>
      <c r="AF171" s="139">
        <f t="shared" si="341"/>
        <v>0</v>
      </c>
      <c r="AG171" s="139">
        <f t="shared" si="341"/>
        <v>0</v>
      </c>
      <c r="AH171" s="139">
        <f t="shared" si="341"/>
        <v>7.4626865671641784E-2</v>
      </c>
      <c r="AI171" s="139">
        <f t="shared" si="341"/>
        <v>5.4274084124830389E-3</v>
      </c>
    </row>
    <row r="172" spans="1:35">
      <c r="A172" s="138">
        <v>52</v>
      </c>
      <c r="B172" s="138" t="s">
        <v>8077</v>
      </c>
      <c r="C172" s="138" t="s">
        <v>4367</v>
      </c>
      <c r="D172" s="138" t="s">
        <v>19</v>
      </c>
      <c r="E172" s="138" t="s">
        <v>19</v>
      </c>
      <c r="F172" s="138" t="s">
        <v>1122</v>
      </c>
      <c r="H172" s="138">
        <v>171</v>
      </c>
      <c r="I172" s="138">
        <v>355</v>
      </c>
      <c r="J172" s="138">
        <v>188</v>
      </c>
      <c r="K172" s="138">
        <v>89</v>
      </c>
      <c r="N172" s="138">
        <v>30</v>
      </c>
      <c r="O172" s="138">
        <v>0</v>
      </c>
      <c r="S172" s="138">
        <v>41</v>
      </c>
      <c r="T172" s="138">
        <v>7</v>
      </c>
      <c r="U172" s="138">
        <f t="shared" si="0"/>
        <v>48</v>
      </c>
      <c r="W172" s="139">
        <f t="shared" ref="W172:AA172" si="342">J172/$I172</f>
        <v>0.52957746478873235</v>
      </c>
      <c r="X172" s="139">
        <f t="shared" si="342"/>
        <v>0.25070422535211268</v>
      </c>
      <c r="Y172" s="139">
        <f t="shared" si="342"/>
        <v>0</v>
      </c>
      <c r="Z172" s="139">
        <f t="shared" si="342"/>
        <v>0</v>
      </c>
      <c r="AA172" s="139">
        <f t="shared" si="342"/>
        <v>8.4507042253521125E-2</v>
      </c>
      <c r="AB172" s="139"/>
      <c r="AC172" s="139">
        <f t="shared" si="2"/>
        <v>0.13521126760563379</v>
      </c>
      <c r="AD172" s="139">
        <f t="shared" ref="AD172:AI172" si="343">O172/$I172</f>
        <v>0</v>
      </c>
      <c r="AE172" s="139">
        <f t="shared" si="343"/>
        <v>0</v>
      </c>
      <c r="AF172" s="139">
        <f t="shared" si="343"/>
        <v>0</v>
      </c>
      <c r="AG172" s="139">
        <f t="shared" si="343"/>
        <v>0</v>
      </c>
      <c r="AH172" s="139">
        <f t="shared" si="343"/>
        <v>0.11549295774647887</v>
      </c>
      <c r="AI172" s="139">
        <f t="shared" si="343"/>
        <v>1.9718309859154931E-2</v>
      </c>
    </row>
    <row r="173" spans="1:35">
      <c r="A173" s="138">
        <v>52</v>
      </c>
      <c r="B173" s="138" t="s">
        <v>8077</v>
      </c>
      <c r="C173" s="138" t="s">
        <v>4367</v>
      </c>
      <c r="D173" s="138" t="s">
        <v>19</v>
      </c>
      <c r="E173" s="138" t="s">
        <v>19</v>
      </c>
      <c r="F173" s="138" t="s">
        <v>1122</v>
      </c>
      <c r="H173" s="138">
        <v>172</v>
      </c>
      <c r="I173" s="138">
        <v>892</v>
      </c>
      <c r="J173" s="138">
        <v>544</v>
      </c>
      <c r="K173" s="138">
        <v>298</v>
      </c>
      <c r="N173" s="138">
        <v>2</v>
      </c>
      <c r="O173" s="138">
        <v>2</v>
      </c>
      <c r="S173" s="138">
        <v>37</v>
      </c>
      <c r="T173" s="138">
        <v>9</v>
      </c>
      <c r="U173" s="138">
        <f t="shared" si="0"/>
        <v>48</v>
      </c>
      <c r="W173" s="139">
        <f t="shared" ref="W173:AA173" si="344">J173/$I173</f>
        <v>0.60986547085201792</v>
      </c>
      <c r="X173" s="139">
        <f t="shared" si="344"/>
        <v>0.33408071748878926</v>
      </c>
      <c r="Y173" s="139">
        <f t="shared" si="344"/>
        <v>0</v>
      </c>
      <c r="Z173" s="139">
        <f t="shared" si="344"/>
        <v>0</v>
      </c>
      <c r="AA173" s="139">
        <f t="shared" si="344"/>
        <v>2.242152466367713E-3</v>
      </c>
      <c r="AB173" s="139"/>
      <c r="AC173" s="139">
        <f t="shared" si="2"/>
        <v>5.3811659192825115E-2</v>
      </c>
      <c r="AD173" s="139">
        <f t="shared" ref="AD173:AI173" si="345">O173/$I173</f>
        <v>2.242152466367713E-3</v>
      </c>
      <c r="AE173" s="139">
        <f t="shared" si="345"/>
        <v>0</v>
      </c>
      <c r="AF173" s="139">
        <f t="shared" si="345"/>
        <v>0</v>
      </c>
      <c r="AG173" s="139">
        <f t="shared" si="345"/>
        <v>0</v>
      </c>
      <c r="AH173" s="139">
        <f t="shared" si="345"/>
        <v>4.1479820627802692E-2</v>
      </c>
      <c r="AI173" s="139">
        <f t="shared" si="345"/>
        <v>1.0089686098654708E-2</v>
      </c>
    </row>
    <row r="174" spans="1:35">
      <c r="A174" s="138">
        <v>52</v>
      </c>
      <c r="B174" s="138" t="s">
        <v>8077</v>
      </c>
      <c r="C174" s="138" t="s">
        <v>4367</v>
      </c>
      <c r="D174" s="138" t="s">
        <v>19</v>
      </c>
      <c r="E174" s="138" t="s">
        <v>19</v>
      </c>
      <c r="F174" s="138" t="s">
        <v>1122</v>
      </c>
      <c r="H174" s="138">
        <v>173</v>
      </c>
      <c r="I174" s="138">
        <v>980</v>
      </c>
      <c r="J174" s="138">
        <v>602</v>
      </c>
      <c r="K174" s="138">
        <v>351</v>
      </c>
      <c r="N174" s="138">
        <v>3</v>
      </c>
      <c r="O174" s="138">
        <v>1</v>
      </c>
      <c r="S174" s="138">
        <v>22</v>
      </c>
      <c r="T174" s="138">
        <v>1</v>
      </c>
      <c r="U174" s="138">
        <f t="shared" si="0"/>
        <v>24</v>
      </c>
      <c r="W174" s="139">
        <f t="shared" ref="W174:AA174" si="346">J174/$I174</f>
        <v>0.61428571428571432</v>
      </c>
      <c r="X174" s="139">
        <f t="shared" si="346"/>
        <v>0.35816326530612247</v>
      </c>
      <c r="Y174" s="139">
        <f t="shared" si="346"/>
        <v>0</v>
      </c>
      <c r="Z174" s="139">
        <f t="shared" si="346"/>
        <v>0</v>
      </c>
      <c r="AA174" s="139">
        <f t="shared" si="346"/>
        <v>3.0612244897959182E-3</v>
      </c>
      <c r="AB174" s="139"/>
      <c r="AC174" s="139">
        <f t="shared" si="2"/>
        <v>2.4489795918367346E-2</v>
      </c>
      <c r="AD174" s="139">
        <f t="shared" ref="AD174:AI174" si="347">O174/$I174</f>
        <v>1.0204081632653062E-3</v>
      </c>
      <c r="AE174" s="139">
        <f t="shared" si="347"/>
        <v>0</v>
      </c>
      <c r="AF174" s="139">
        <f t="shared" si="347"/>
        <v>0</v>
      </c>
      <c r="AG174" s="139">
        <f t="shared" si="347"/>
        <v>0</v>
      </c>
      <c r="AH174" s="139">
        <f t="shared" si="347"/>
        <v>2.2448979591836733E-2</v>
      </c>
      <c r="AI174" s="139">
        <f t="shared" si="347"/>
        <v>1.0204081632653062E-3</v>
      </c>
    </row>
    <row r="175" spans="1:35">
      <c r="A175" s="138">
        <v>52</v>
      </c>
      <c r="B175" s="138" t="s">
        <v>8077</v>
      </c>
      <c r="C175" s="138" t="s">
        <v>4367</v>
      </c>
      <c r="D175" s="138" t="s">
        <v>19</v>
      </c>
      <c r="E175" s="138" t="s">
        <v>19</v>
      </c>
      <c r="F175" s="138" t="s">
        <v>1095</v>
      </c>
      <c r="H175" s="138">
        <v>174</v>
      </c>
      <c r="I175" s="138">
        <v>714</v>
      </c>
      <c r="J175" s="138">
        <v>409</v>
      </c>
      <c r="K175" s="138">
        <v>269</v>
      </c>
      <c r="N175" s="138">
        <v>1</v>
      </c>
      <c r="O175" s="138">
        <v>1</v>
      </c>
      <c r="S175" s="138">
        <v>20</v>
      </c>
      <c r="T175" s="138">
        <v>14</v>
      </c>
      <c r="U175" s="138">
        <f t="shared" si="0"/>
        <v>35</v>
      </c>
      <c r="W175" s="139">
        <f t="shared" ref="W175:AA175" si="348">J175/$I175</f>
        <v>0.57282913165266103</v>
      </c>
      <c r="X175" s="139">
        <f t="shared" si="348"/>
        <v>0.37675070028011204</v>
      </c>
      <c r="Y175" s="139">
        <f t="shared" si="348"/>
        <v>0</v>
      </c>
      <c r="Z175" s="139">
        <f t="shared" si="348"/>
        <v>0</v>
      </c>
      <c r="AA175" s="139">
        <f t="shared" si="348"/>
        <v>1.4005602240896359E-3</v>
      </c>
      <c r="AB175" s="139"/>
      <c r="AC175" s="139">
        <f t="shared" si="2"/>
        <v>4.9019607843137254E-2</v>
      </c>
      <c r="AD175" s="139">
        <f t="shared" ref="AD175:AI175" si="349">O175/$I175</f>
        <v>1.4005602240896359E-3</v>
      </c>
      <c r="AE175" s="139">
        <f t="shared" si="349"/>
        <v>0</v>
      </c>
      <c r="AF175" s="139">
        <f t="shared" si="349"/>
        <v>0</v>
      </c>
      <c r="AG175" s="139">
        <f t="shared" si="349"/>
        <v>0</v>
      </c>
      <c r="AH175" s="139">
        <f t="shared" si="349"/>
        <v>2.8011204481792718E-2</v>
      </c>
      <c r="AI175" s="139">
        <f t="shared" si="349"/>
        <v>1.9607843137254902E-2</v>
      </c>
    </row>
    <row r="176" spans="1:35">
      <c r="A176" s="138">
        <v>52</v>
      </c>
      <c r="B176" s="138" t="s">
        <v>8077</v>
      </c>
      <c r="C176" s="138" t="s">
        <v>4367</v>
      </c>
      <c r="D176" s="138" t="s">
        <v>19</v>
      </c>
      <c r="E176" s="138" t="s">
        <v>19</v>
      </c>
      <c r="F176" s="138" t="s">
        <v>1095</v>
      </c>
      <c r="H176" s="138">
        <v>175</v>
      </c>
      <c r="I176" s="138">
        <v>1022</v>
      </c>
      <c r="J176" s="138">
        <v>614</v>
      </c>
      <c r="K176" s="138">
        <v>215</v>
      </c>
      <c r="N176" s="138">
        <v>7</v>
      </c>
      <c r="O176" s="138">
        <v>9</v>
      </c>
      <c r="S176" s="138">
        <v>163</v>
      </c>
      <c r="T176" s="138">
        <v>14</v>
      </c>
      <c r="U176" s="138">
        <f t="shared" si="0"/>
        <v>186</v>
      </c>
      <c r="W176" s="139">
        <f t="shared" ref="W176:AA176" si="350">J176/$I176</f>
        <v>0.60078277886497067</v>
      </c>
      <c r="X176" s="139">
        <f t="shared" si="350"/>
        <v>0.21037181996086105</v>
      </c>
      <c r="Y176" s="139">
        <f t="shared" si="350"/>
        <v>0</v>
      </c>
      <c r="Z176" s="139">
        <f t="shared" si="350"/>
        <v>0</v>
      </c>
      <c r="AA176" s="139">
        <f t="shared" si="350"/>
        <v>6.8493150684931503E-3</v>
      </c>
      <c r="AB176" s="139"/>
      <c r="AC176" s="139">
        <f t="shared" si="2"/>
        <v>0.18199608610567514</v>
      </c>
      <c r="AD176" s="139">
        <f t="shared" ref="AD176:AI176" si="351">O176/$I176</f>
        <v>8.8062622309197647E-3</v>
      </c>
      <c r="AE176" s="139">
        <f t="shared" si="351"/>
        <v>0</v>
      </c>
      <c r="AF176" s="139">
        <f t="shared" si="351"/>
        <v>0</v>
      </c>
      <c r="AG176" s="139">
        <f t="shared" si="351"/>
        <v>0</v>
      </c>
      <c r="AH176" s="139">
        <f t="shared" si="351"/>
        <v>0.15949119373776907</v>
      </c>
      <c r="AI176" s="139">
        <f t="shared" si="351"/>
        <v>1.3698630136986301E-2</v>
      </c>
    </row>
    <row r="177" spans="1:35">
      <c r="A177" s="138">
        <v>52</v>
      </c>
      <c r="B177" s="138" t="s">
        <v>8077</v>
      </c>
      <c r="C177" s="138" t="s">
        <v>4367</v>
      </c>
      <c r="D177" s="138" t="s">
        <v>19</v>
      </c>
      <c r="E177" s="138" t="s">
        <v>19</v>
      </c>
      <c r="F177" s="138" t="s">
        <v>1095</v>
      </c>
      <c r="H177" s="138">
        <v>176</v>
      </c>
      <c r="I177" s="138">
        <v>894</v>
      </c>
      <c r="J177" s="138">
        <v>625</v>
      </c>
      <c r="K177" s="138">
        <v>156</v>
      </c>
      <c r="N177" s="138">
        <v>4</v>
      </c>
      <c r="O177" s="138">
        <v>3</v>
      </c>
      <c r="S177" s="138">
        <v>99</v>
      </c>
      <c r="T177" s="138">
        <v>7</v>
      </c>
      <c r="U177" s="138">
        <f t="shared" si="0"/>
        <v>109</v>
      </c>
      <c r="W177" s="139">
        <f t="shared" ref="W177:AA177" si="352">J177/$I177</f>
        <v>0.69910514541387025</v>
      </c>
      <c r="X177" s="139">
        <f t="shared" si="352"/>
        <v>0.17449664429530201</v>
      </c>
      <c r="Y177" s="139">
        <f t="shared" si="352"/>
        <v>0</v>
      </c>
      <c r="Z177" s="139">
        <f t="shared" si="352"/>
        <v>0</v>
      </c>
      <c r="AA177" s="139">
        <f t="shared" si="352"/>
        <v>4.4742729306487695E-3</v>
      </c>
      <c r="AB177" s="139"/>
      <c r="AC177" s="139">
        <f t="shared" si="2"/>
        <v>0.12192393736017897</v>
      </c>
      <c r="AD177" s="139">
        <f t="shared" ref="AD177:AI177" si="353">O177/$I177</f>
        <v>3.3557046979865771E-3</v>
      </c>
      <c r="AE177" s="139">
        <f t="shared" si="353"/>
        <v>0</v>
      </c>
      <c r="AF177" s="139">
        <f t="shared" si="353"/>
        <v>0</v>
      </c>
      <c r="AG177" s="139">
        <f t="shared" si="353"/>
        <v>0</v>
      </c>
      <c r="AH177" s="139">
        <f t="shared" si="353"/>
        <v>0.11073825503355705</v>
      </c>
      <c r="AI177" s="139">
        <f t="shared" si="353"/>
        <v>7.829977628635347E-3</v>
      </c>
    </row>
    <row r="178" spans="1:35">
      <c r="A178" s="138">
        <v>52</v>
      </c>
      <c r="B178" s="138" t="s">
        <v>8077</v>
      </c>
      <c r="C178" s="138" t="s">
        <v>4367</v>
      </c>
      <c r="D178" s="138" t="s">
        <v>19</v>
      </c>
      <c r="E178" s="138" t="s">
        <v>19</v>
      </c>
      <c r="F178" s="138" t="s">
        <v>1095</v>
      </c>
      <c r="H178" s="138">
        <v>177</v>
      </c>
      <c r="I178" s="138">
        <v>828</v>
      </c>
      <c r="J178" s="138">
        <v>486</v>
      </c>
      <c r="K178" s="138">
        <v>247</v>
      </c>
      <c r="N178" s="138">
        <v>5</v>
      </c>
      <c r="O178" s="138">
        <v>0</v>
      </c>
      <c r="S178" s="138">
        <v>78</v>
      </c>
      <c r="T178" s="138">
        <v>12</v>
      </c>
      <c r="U178" s="138">
        <f t="shared" si="0"/>
        <v>90</v>
      </c>
      <c r="W178" s="139">
        <f t="shared" ref="W178:AA178" si="354">J178/$I178</f>
        <v>0.58695652173913049</v>
      </c>
      <c r="X178" s="139">
        <f t="shared" si="354"/>
        <v>0.29830917874396135</v>
      </c>
      <c r="Y178" s="139">
        <f t="shared" si="354"/>
        <v>0</v>
      </c>
      <c r="Z178" s="139">
        <f t="shared" si="354"/>
        <v>0</v>
      </c>
      <c r="AA178" s="139">
        <f t="shared" si="354"/>
        <v>6.038647342995169E-3</v>
      </c>
      <c r="AB178" s="139"/>
      <c r="AC178" s="139">
        <f t="shared" si="2"/>
        <v>0.10869565217391304</v>
      </c>
      <c r="AD178" s="139">
        <f t="shared" ref="AD178:AI178" si="355">O178/$I178</f>
        <v>0</v>
      </c>
      <c r="AE178" s="139">
        <f t="shared" si="355"/>
        <v>0</v>
      </c>
      <c r="AF178" s="139">
        <f t="shared" si="355"/>
        <v>0</v>
      </c>
      <c r="AG178" s="139">
        <f t="shared" si="355"/>
        <v>0</v>
      </c>
      <c r="AH178" s="139">
        <f t="shared" si="355"/>
        <v>9.420289855072464E-2</v>
      </c>
      <c r="AI178" s="139">
        <f t="shared" si="355"/>
        <v>1.4492753623188406E-2</v>
      </c>
    </row>
    <row r="179" spans="1:35">
      <c r="A179" s="138">
        <v>52</v>
      </c>
      <c r="B179" s="138" t="s">
        <v>8077</v>
      </c>
      <c r="C179" s="138" t="s">
        <v>4367</v>
      </c>
      <c r="D179" s="138" t="s">
        <v>19</v>
      </c>
      <c r="E179" s="138" t="s">
        <v>19</v>
      </c>
      <c r="F179" s="138" t="s">
        <v>1095</v>
      </c>
      <c r="H179" s="138">
        <v>178</v>
      </c>
      <c r="I179" s="138">
        <v>780</v>
      </c>
      <c r="J179" s="138">
        <v>413</v>
      </c>
      <c r="K179" s="138">
        <v>233</v>
      </c>
      <c r="N179" s="138">
        <v>7</v>
      </c>
      <c r="O179" s="138">
        <v>1</v>
      </c>
      <c r="S179" s="138">
        <v>119</v>
      </c>
      <c r="T179" s="138">
        <v>7</v>
      </c>
      <c r="U179" s="138">
        <f t="shared" si="0"/>
        <v>127</v>
      </c>
      <c r="W179" s="139">
        <f t="shared" ref="W179:AA179" si="356">J179/$I179</f>
        <v>0.52948717948717949</v>
      </c>
      <c r="X179" s="139">
        <f t="shared" si="356"/>
        <v>0.29871794871794871</v>
      </c>
      <c r="Y179" s="139">
        <f t="shared" si="356"/>
        <v>0</v>
      </c>
      <c r="Z179" s="139">
        <f t="shared" si="356"/>
        <v>0</v>
      </c>
      <c r="AA179" s="139">
        <f t="shared" si="356"/>
        <v>8.9743589743589737E-3</v>
      </c>
      <c r="AB179" s="139"/>
      <c r="AC179" s="139">
        <f t="shared" si="2"/>
        <v>0.16282051282051282</v>
      </c>
      <c r="AD179" s="139">
        <f t="shared" ref="AD179:AI179" si="357">O179/$I179</f>
        <v>1.2820512820512821E-3</v>
      </c>
      <c r="AE179" s="139">
        <f t="shared" si="357"/>
        <v>0</v>
      </c>
      <c r="AF179" s="139">
        <f t="shared" si="357"/>
        <v>0</v>
      </c>
      <c r="AG179" s="139">
        <f t="shared" si="357"/>
        <v>0</v>
      </c>
      <c r="AH179" s="139">
        <f t="shared" si="357"/>
        <v>0.15256410256410258</v>
      </c>
      <c r="AI179" s="139">
        <f t="shared" si="357"/>
        <v>8.9743589743589737E-3</v>
      </c>
    </row>
    <row r="180" spans="1:35">
      <c r="A180" s="138">
        <v>52</v>
      </c>
      <c r="B180" s="138" t="s">
        <v>8077</v>
      </c>
      <c r="C180" s="138" t="s">
        <v>4367</v>
      </c>
      <c r="D180" s="138" t="s">
        <v>19</v>
      </c>
      <c r="E180" s="138" t="s">
        <v>19</v>
      </c>
      <c r="F180" s="138" t="s">
        <v>1095</v>
      </c>
      <c r="H180" s="138">
        <v>179</v>
      </c>
      <c r="I180" s="138">
        <v>698</v>
      </c>
      <c r="J180" s="138">
        <v>457</v>
      </c>
      <c r="K180" s="138">
        <v>136</v>
      </c>
      <c r="N180" s="138">
        <v>9</v>
      </c>
      <c r="O180" s="138">
        <v>2</v>
      </c>
      <c r="S180" s="138">
        <v>86</v>
      </c>
      <c r="T180" s="138">
        <v>8</v>
      </c>
      <c r="U180" s="138">
        <f t="shared" si="0"/>
        <v>96</v>
      </c>
      <c r="W180" s="139">
        <f t="shared" ref="W180:AA180" si="358">J180/$I180</f>
        <v>0.6547277936962751</v>
      </c>
      <c r="X180" s="139">
        <f t="shared" si="358"/>
        <v>0.19484240687679083</v>
      </c>
      <c r="Y180" s="139">
        <f t="shared" si="358"/>
        <v>0</v>
      </c>
      <c r="Z180" s="139">
        <f t="shared" si="358"/>
        <v>0</v>
      </c>
      <c r="AA180" s="139">
        <f t="shared" si="358"/>
        <v>1.2893982808022923E-2</v>
      </c>
      <c r="AB180" s="139"/>
      <c r="AC180" s="139">
        <f t="shared" si="2"/>
        <v>0.13753581661891118</v>
      </c>
      <c r="AD180" s="139">
        <f t="shared" ref="AD180:AI180" si="359">O180/$I180</f>
        <v>2.8653295128939827E-3</v>
      </c>
      <c r="AE180" s="139">
        <f t="shared" si="359"/>
        <v>0</v>
      </c>
      <c r="AF180" s="139">
        <f t="shared" si="359"/>
        <v>0</v>
      </c>
      <c r="AG180" s="139">
        <f t="shared" si="359"/>
        <v>0</v>
      </c>
      <c r="AH180" s="139">
        <f t="shared" si="359"/>
        <v>0.12320916905444126</v>
      </c>
      <c r="AI180" s="139">
        <f t="shared" si="359"/>
        <v>1.1461318051575931E-2</v>
      </c>
    </row>
    <row r="181" spans="1:35">
      <c r="A181" s="138">
        <v>52</v>
      </c>
      <c r="B181" s="138" t="s">
        <v>8077</v>
      </c>
      <c r="C181" s="138" t="s">
        <v>4367</v>
      </c>
      <c r="D181" s="138" t="s">
        <v>19</v>
      </c>
      <c r="E181" s="138" t="s">
        <v>19</v>
      </c>
      <c r="F181" s="138" t="s">
        <v>1095</v>
      </c>
      <c r="H181" s="138">
        <v>180</v>
      </c>
      <c r="I181" s="138">
        <v>711</v>
      </c>
      <c r="J181" s="138">
        <v>452</v>
      </c>
      <c r="K181" s="138">
        <v>154</v>
      </c>
      <c r="N181" s="138">
        <v>7</v>
      </c>
      <c r="O181" s="138">
        <v>0</v>
      </c>
      <c r="S181" s="138">
        <v>97</v>
      </c>
      <c r="T181" s="138">
        <v>1</v>
      </c>
      <c r="U181" s="138">
        <f t="shared" si="0"/>
        <v>98</v>
      </c>
      <c r="W181" s="139">
        <f t="shared" ref="W181:AA181" si="360">J181/$I181</f>
        <v>0.63572433192686362</v>
      </c>
      <c r="X181" s="139">
        <f t="shared" si="360"/>
        <v>0.21659634317862167</v>
      </c>
      <c r="Y181" s="139">
        <f t="shared" si="360"/>
        <v>0</v>
      </c>
      <c r="Z181" s="139">
        <f t="shared" si="360"/>
        <v>0</v>
      </c>
      <c r="AA181" s="139">
        <f t="shared" si="360"/>
        <v>9.8452883263009851E-3</v>
      </c>
      <c r="AB181" s="139"/>
      <c r="AC181" s="139">
        <f t="shared" si="2"/>
        <v>0.13783403656821377</v>
      </c>
      <c r="AD181" s="139">
        <f t="shared" ref="AD181:AI181" si="361">O181/$I181</f>
        <v>0</v>
      </c>
      <c r="AE181" s="139">
        <f t="shared" si="361"/>
        <v>0</v>
      </c>
      <c r="AF181" s="139">
        <f t="shared" si="361"/>
        <v>0</v>
      </c>
      <c r="AG181" s="139">
        <f t="shared" si="361"/>
        <v>0</v>
      </c>
      <c r="AH181" s="139">
        <f t="shared" si="361"/>
        <v>0.13642756680731363</v>
      </c>
      <c r="AI181" s="139">
        <f t="shared" si="361"/>
        <v>1.4064697609001407E-3</v>
      </c>
    </row>
    <row r="182" spans="1:35">
      <c r="A182" s="138">
        <v>52</v>
      </c>
      <c r="B182" s="138" t="s">
        <v>8077</v>
      </c>
      <c r="C182" s="138" t="s">
        <v>4367</v>
      </c>
      <c r="D182" s="138" t="s">
        <v>19</v>
      </c>
      <c r="E182" s="138" t="s">
        <v>19</v>
      </c>
      <c r="F182" s="138" t="s">
        <v>1095</v>
      </c>
      <c r="H182" s="138">
        <v>181</v>
      </c>
      <c r="I182" s="138">
        <v>736</v>
      </c>
      <c r="J182" s="138">
        <v>463</v>
      </c>
      <c r="K182" s="138">
        <v>154</v>
      </c>
      <c r="N182" s="138">
        <v>9</v>
      </c>
      <c r="O182" s="138">
        <v>2</v>
      </c>
      <c r="S182" s="138">
        <v>105</v>
      </c>
      <c r="T182" s="138">
        <v>3</v>
      </c>
      <c r="U182" s="138">
        <f t="shared" si="0"/>
        <v>110</v>
      </c>
      <c r="W182" s="139">
        <f t="shared" ref="W182:AA182" si="362">J182/$I182</f>
        <v>0.62907608695652173</v>
      </c>
      <c r="X182" s="139">
        <f t="shared" si="362"/>
        <v>0.20923913043478262</v>
      </c>
      <c r="Y182" s="139">
        <f t="shared" si="362"/>
        <v>0</v>
      </c>
      <c r="Z182" s="139">
        <f t="shared" si="362"/>
        <v>0</v>
      </c>
      <c r="AA182" s="139">
        <f t="shared" si="362"/>
        <v>1.2228260869565218E-2</v>
      </c>
      <c r="AB182" s="139"/>
      <c r="AC182" s="139">
        <f t="shared" si="2"/>
        <v>0.14945652173913043</v>
      </c>
      <c r="AD182" s="139">
        <f t="shared" ref="AD182:AI182" si="363">O182/$I182</f>
        <v>2.717391304347826E-3</v>
      </c>
      <c r="AE182" s="139">
        <f t="shared" si="363"/>
        <v>0</v>
      </c>
      <c r="AF182" s="139">
        <f t="shared" si="363"/>
        <v>0</v>
      </c>
      <c r="AG182" s="139">
        <f t="shared" si="363"/>
        <v>0</v>
      </c>
      <c r="AH182" s="139">
        <f t="shared" si="363"/>
        <v>0.14266304347826086</v>
      </c>
      <c r="AI182" s="139">
        <f t="shared" si="363"/>
        <v>4.076086956521739E-3</v>
      </c>
    </row>
    <row r="183" spans="1:35">
      <c r="A183" s="138">
        <v>52</v>
      </c>
      <c r="B183" s="138" t="s">
        <v>8077</v>
      </c>
      <c r="C183" s="138" t="s">
        <v>4367</v>
      </c>
      <c r="D183" s="138" t="s">
        <v>19</v>
      </c>
      <c r="E183" s="138" t="s">
        <v>19</v>
      </c>
      <c r="F183" s="138" t="s">
        <v>1095</v>
      </c>
      <c r="H183" s="138">
        <v>182</v>
      </c>
      <c r="I183" s="138">
        <v>809</v>
      </c>
      <c r="J183" s="138">
        <v>470</v>
      </c>
      <c r="K183" s="138">
        <v>160</v>
      </c>
      <c r="N183" s="138">
        <v>7</v>
      </c>
      <c r="O183" s="138">
        <v>3</v>
      </c>
      <c r="S183" s="138">
        <v>158</v>
      </c>
      <c r="T183" s="138">
        <v>11</v>
      </c>
      <c r="U183" s="138">
        <f t="shared" si="0"/>
        <v>172</v>
      </c>
      <c r="W183" s="139">
        <f t="shared" ref="W183:AA183" si="364">J183/$I183</f>
        <v>0.58096415327564899</v>
      </c>
      <c r="X183" s="139">
        <f t="shared" si="364"/>
        <v>0.19777503090234858</v>
      </c>
      <c r="Y183" s="139">
        <f t="shared" si="364"/>
        <v>0</v>
      </c>
      <c r="Z183" s="139">
        <f t="shared" si="364"/>
        <v>0</v>
      </c>
      <c r="AA183" s="139">
        <f t="shared" si="364"/>
        <v>8.65265760197775E-3</v>
      </c>
      <c r="AB183" s="139"/>
      <c r="AC183" s="139">
        <f t="shared" si="2"/>
        <v>0.21260815822002471</v>
      </c>
      <c r="AD183" s="139">
        <f t="shared" ref="AD183:AI183" si="365">O183/$I183</f>
        <v>3.708281829419036E-3</v>
      </c>
      <c r="AE183" s="139">
        <f t="shared" si="365"/>
        <v>0</v>
      </c>
      <c r="AF183" s="139">
        <f t="shared" si="365"/>
        <v>0</v>
      </c>
      <c r="AG183" s="139">
        <f t="shared" si="365"/>
        <v>0</v>
      </c>
      <c r="AH183" s="139">
        <f t="shared" si="365"/>
        <v>0.19530284301606923</v>
      </c>
      <c r="AI183" s="139">
        <f t="shared" si="365"/>
        <v>1.3597033374536464E-2</v>
      </c>
    </row>
    <row r="184" spans="1:35">
      <c r="A184" s="138">
        <v>52</v>
      </c>
      <c r="B184" s="138" t="s">
        <v>8077</v>
      </c>
      <c r="C184" s="138" t="s">
        <v>4367</v>
      </c>
      <c r="D184" s="138" t="s">
        <v>19</v>
      </c>
      <c r="E184" s="138" t="s">
        <v>19</v>
      </c>
      <c r="F184" s="138" t="s">
        <v>1095</v>
      </c>
      <c r="H184" s="138">
        <v>183</v>
      </c>
      <c r="I184" s="138">
        <v>1015</v>
      </c>
      <c r="J184" s="138">
        <v>751</v>
      </c>
      <c r="K184" s="138">
        <v>145</v>
      </c>
      <c r="N184" s="138">
        <v>11</v>
      </c>
      <c r="O184" s="138">
        <v>2</v>
      </c>
      <c r="S184" s="138">
        <v>104</v>
      </c>
      <c r="T184" s="138">
        <v>2</v>
      </c>
      <c r="U184" s="138">
        <f t="shared" si="0"/>
        <v>108</v>
      </c>
      <c r="W184" s="139">
        <f t="shared" ref="W184:AA184" si="366">J184/$I184</f>
        <v>0.73990147783251237</v>
      </c>
      <c r="X184" s="139">
        <f t="shared" si="366"/>
        <v>0.14285714285714285</v>
      </c>
      <c r="Y184" s="139">
        <f t="shared" si="366"/>
        <v>0</v>
      </c>
      <c r="Z184" s="139">
        <f t="shared" si="366"/>
        <v>0</v>
      </c>
      <c r="AA184" s="139">
        <f t="shared" si="366"/>
        <v>1.083743842364532E-2</v>
      </c>
      <c r="AB184" s="139"/>
      <c r="AC184" s="139">
        <f t="shared" si="2"/>
        <v>0.10640394088669951</v>
      </c>
      <c r="AD184" s="139">
        <f t="shared" ref="AD184:AI184" si="367">O184/$I184</f>
        <v>1.9704433497536944E-3</v>
      </c>
      <c r="AE184" s="139">
        <f t="shared" si="367"/>
        <v>0</v>
      </c>
      <c r="AF184" s="139">
        <f t="shared" si="367"/>
        <v>0</v>
      </c>
      <c r="AG184" s="139">
        <f t="shared" si="367"/>
        <v>0</v>
      </c>
      <c r="AH184" s="139">
        <f t="shared" si="367"/>
        <v>0.10246305418719212</v>
      </c>
      <c r="AI184" s="139">
        <f t="shared" si="367"/>
        <v>1.9704433497536944E-3</v>
      </c>
    </row>
    <row r="185" spans="1:35">
      <c r="A185" s="138">
        <v>52</v>
      </c>
      <c r="B185" s="138" t="s">
        <v>8077</v>
      </c>
      <c r="C185" s="138" t="s">
        <v>4367</v>
      </c>
      <c r="D185" s="138" t="s">
        <v>19</v>
      </c>
      <c r="E185" s="138" t="s">
        <v>220</v>
      </c>
      <c r="F185" s="138" t="s">
        <v>8103</v>
      </c>
      <c r="H185" s="138">
        <v>184</v>
      </c>
      <c r="I185" s="138">
        <v>912</v>
      </c>
      <c r="J185" s="138">
        <v>548</v>
      </c>
      <c r="K185" s="138">
        <v>260</v>
      </c>
      <c r="N185" s="138">
        <v>2</v>
      </c>
      <c r="O185" s="138">
        <v>4</v>
      </c>
      <c r="S185" s="138">
        <v>87</v>
      </c>
      <c r="T185" s="138">
        <v>11</v>
      </c>
      <c r="U185" s="138">
        <f t="shared" si="0"/>
        <v>102</v>
      </c>
      <c r="W185" s="139">
        <f t="shared" ref="W185:AA185" si="368">J185/$I185</f>
        <v>0.60087719298245612</v>
      </c>
      <c r="X185" s="139">
        <f t="shared" si="368"/>
        <v>0.28508771929824561</v>
      </c>
      <c r="Y185" s="139">
        <f t="shared" si="368"/>
        <v>0</v>
      </c>
      <c r="Z185" s="139">
        <f t="shared" si="368"/>
        <v>0</v>
      </c>
      <c r="AA185" s="139">
        <f t="shared" si="368"/>
        <v>2.1929824561403508E-3</v>
      </c>
      <c r="AB185" s="139"/>
      <c r="AC185" s="139">
        <f t="shared" si="2"/>
        <v>0.1118421052631579</v>
      </c>
      <c r="AD185" s="139">
        <f t="shared" ref="AD185:AI185" si="369">O185/$I185</f>
        <v>4.3859649122807015E-3</v>
      </c>
      <c r="AE185" s="139">
        <f t="shared" si="369"/>
        <v>0</v>
      </c>
      <c r="AF185" s="139">
        <f t="shared" si="369"/>
        <v>0</v>
      </c>
      <c r="AG185" s="139">
        <f t="shared" si="369"/>
        <v>0</v>
      </c>
      <c r="AH185" s="139">
        <f t="shared" si="369"/>
        <v>9.5394736842105268E-2</v>
      </c>
      <c r="AI185" s="139">
        <f t="shared" si="369"/>
        <v>1.2061403508771929E-2</v>
      </c>
    </row>
    <row r="186" spans="1:35">
      <c r="A186" s="138">
        <v>52</v>
      </c>
      <c r="B186" s="138" t="s">
        <v>8077</v>
      </c>
      <c r="C186" s="138" t="s">
        <v>4367</v>
      </c>
      <c r="D186" s="138" t="s">
        <v>19</v>
      </c>
      <c r="E186" s="138" t="s">
        <v>220</v>
      </c>
      <c r="F186" s="138" t="s">
        <v>8103</v>
      </c>
      <c r="H186" s="138">
        <v>185</v>
      </c>
      <c r="I186" s="138">
        <v>1000</v>
      </c>
      <c r="J186" s="138">
        <v>655</v>
      </c>
      <c r="K186" s="138">
        <v>267</v>
      </c>
      <c r="N186" s="138">
        <v>5</v>
      </c>
      <c r="O186" s="138">
        <v>2</v>
      </c>
      <c r="S186" s="138">
        <v>65</v>
      </c>
      <c r="T186" s="138">
        <v>6</v>
      </c>
      <c r="U186" s="138">
        <f t="shared" si="0"/>
        <v>73</v>
      </c>
      <c r="W186" s="139">
        <f t="shared" ref="W186:AA186" si="370">J186/$I186</f>
        <v>0.65500000000000003</v>
      </c>
      <c r="X186" s="139">
        <f t="shared" si="370"/>
        <v>0.26700000000000002</v>
      </c>
      <c r="Y186" s="139">
        <f t="shared" si="370"/>
        <v>0</v>
      </c>
      <c r="Z186" s="139">
        <f t="shared" si="370"/>
        <v>0</v>
      </c>
      <c r="AA186" s="139">
        <f t="shared" si="370"/>
        <v>5.0000000000000001E-3</v>
      </c>
      <c r="AB186" s="139"/>
      <c r="AC186" s="139">
        <f t="shared" si="2"/>
        <v>7.2999999999999995E-2</v>
      </c>
      <c r="AD186" s="139">
        <f t="shared" ref="AD186:AI186" si="371">O186/$I186</f>
        <v>2E-3</v>
      </c>
      <c r="AE186" s="139">
        <f t="shared" si="371"/>
        <v>0</v>
      </c>
      <c r="AF186" s="139">
        <f t="shared" si="371"/>
        <v>0</v>
      </c>
      <c r="AG186" s="139">
        <f t="shared" si="371"/>
        <v>0</v>
      </c>
      <c r="AH186" s="139">
        <f t="shared" si="371"/>
        <v>6.5000000000000002E-2</v>
      </c>
      <c r="AI186" s="139">
        <f t="shared" si="371"/>
        <v>6.0000000000000001E-3</v>
      </c>
    </row>
    <row r="187" spans="1:35">
      <c r="A187" s="138">
        <v>52</v>
      </c>
      <c r="B187" s="138" t="s">
        <v>8077</v>
      </c>
      <c r="C187" s="138" t="s">
        <v>4367</v>
      </c>
      <c r="D187" s="138" t="s">
        <v>19</v>
      </c>
      <c r="E187" s="138" t="s">
        <v>220</v>
      </c>
      <c r="F187" s="138" t="s">
        <v>8103</v>
      </c>
      <c r="H187" s="138">
        <v>186</v>
      </c>
      <c r="I187" s="138">
        <v>966</v>
      </c>
      <c r="J187" s="138">
        <v>518</v>
      </c>
      <c r="K187" s="138">
        <v>293</v>
      </c>
      <c r="N187" s="138">
        <v>1</v>
      </c>
      <c r="O187" s="138">
        <v>3</v>
      </c>
      <c r="S187" s="138">
        <v>132</v>
      </c>
      <c r="T187" s="138">
        <v>19</v>
      </c>
      <c r="U187" s="138">
        <f t="shared" si="0"/>
        <v>154</v>
      </c>
      <c r="W187" s="139">
        <f t="shared" ref="W187:AA187" si="372">J187/$I187</f>
        <v>0.53623188405797106</v>
      </c>
      <c r="X187" s="139">
        <f t="shared" si="372"/>
        <v>0.30331262939958592</v>
      </c>
      <c r="Y187" s="139">
        <f t="shared" si="372"/>
        <v>0</v>
      </c>
      <c r="Z187" s="139">
        <f t="shared" si="372"/>
        <v>0</v>
      </c>
      <c r="AA187" s="139">
        <f t="shared" si="372"/>
        <v>1.0351966873706005E-3</v>
      </c>
      <c r="AB187" s="139"/>
      <c r="AC187" s="139">
        <f t="shared" si="2"/>
        <v>0.15942028985507245</v>
      </c>
      <c r="AD187" s="139">
        <f t="shared" ref="AD187:AI187" si="373">O187/$I187</f>
        <v>3.105590062111801E-3</v>
      </c>
      <c r="AE187" s="139">
        <f t="shared" si="373"/>
        <v>0</v>
      </c>
      <c r="AF187" s="139">
        <f t="shared" si="373"/>
        <v>0</v>
      </c>
      <c r="AG187" s="139">
        <f t="shared" si="373"/>
        <v>0</v>
      </c>
      <c r="AH187" s="139">
        <f t="shared" si="373"/>
        <v>0.13664596273291926</v>
      </c>
      <c r="AI187" s="139">
        <f t="shared" si="373"/>
        <v>1.9668737060041408E-2</v>
      </c>
    </row>
    <row r="188" spans="1:35">
      <c r="A188" s="138">
        <v>52</v>
      </c>
      <c r="B188" s="138" t="s">
        <v>8077</v>
      </c>
      <c r="C188" s="138" t="s">
        <v>4367</v>
      </c>
      <c r="D188" s="138" t="s">
        <v>19</v>
      </c>
      <c r="E188" s="138" t="s">
        <v>220</v>
      </c>
      <c r="F188" s="138" t="s">
        <v>8104</v>
      </c>
      <c r="H188" s="138">
        <v>187</v>
      </c>
      <c r="I188" s="138">
        <v>676</v>
      </c>
      <c r="J188" s="138">
        <v>239</v>
      </c>
      <c r="K188" s="138">
        <v>190</v>
      </c>
      <c r="N188" s="138">
        <v>2</v>
      </c>
      <c r="O188" s="138">
        <v>4</v>
      </c>
      <c r="S188" s="138">
        <v>235</v>
      </c>
      <c r="T188" s="138">
        <v>6</v>
      </c>
      <c r="U188" s="138">
        <f t="shared" si="0"/>
        <v>245</v>
      </c>
      <c r="W188" s="139">
        <f t="shared" ref="W188:AA188" si="374">J188/$I188</f>
        <v>0.35355029585798814</v>
      </c>
      <c r="X188" s="139">
        <f t="shared" si="374"/>
        <v>0.28106508875739644</v>
      </c>
      <c r="Y188" s="139">
        <f t="shared" si="374"/>
        <v>0</v>
      </c>
      <c r="Z188" s="139">
        <f t="shared" si="374"/>
        <v>0</v>
      </c>
      <c r="AA188" s="139">
        <f t="shared" si="374"/>
        <v>2.9585798816568047E-3</v>
      </c>
      <c r="AB188" s="139"/>
      <c r="AC188" s="139">
        <f t="shared" si="2"/>
        <v>0.3624260355029586</v>
      </c>
      <c r="AD188" s="139">
        <f t="shared" ref="AD188:AI188" si="375">O188/$I188</f>
        <v>5.9171597633136093E-3</v>
      </c>
      <c r="AE188" s="139">
        <f t="shared" si="375"/>
        <v>0</v>
      </c>
      <c r="AF188" s="139">
        <f t="shared" si="375"/>
        <v>0</v>
      </c>
      <c r="AG188" s="139">
        <f t="shared" si="375"/>
        <v>0</v>
      </c>
      <c r="AH188" s="139">
        <f t="shared" si="375"/>
        <v>0.34763313609467456</v>
      </c>
      <c r="AI188" s="139">
        <f t="shared" si="375"/>
        <v>8.8757396449704144E-3</v>
      </c>
    </row>
    <row r="189" spans="1:35">
      <c r="A189" s="138">
        <v>52</v>
      </c>
      <c r="B189" s="138" t="s">
        <v>8077</v>
      </c>
      <c r="C189" s="138" t="s">
        <v>4367</v>
      </c>
      <c r="D189" s="138" t="s">
        <v>19</v>
      </c>
      <c r="E189" s="138" t="s">
        <v>220</v>
      </c>
      <c r="F189" s="138" t="s">
        <v>8104</v>
      </c>
      <c r="H189" s="138">
        <v>188</v>
      </c>
      <c r="I189" s="138">
        <v>827</v>
      </c>
      <c r="J189" s="138">
        <v>296</v>
      </c>
      <c r="K189" s="138">
        <v>217</v>
      </c>
      <c r="N189" s="138">
        <v>6</v>
      </c>
      <c r="O189" s="138">
        <v>2</v>
      </c>
      <c r="S189" s="138">
        <v>292</v>
      </c>
      <c r="T189" s="138">
        <v>14</v>
      </c>
      <c r="U189" s="138">
        <f t="shared" si="0"/>
        <v>308</v>
      </c>
      <c r="W189" s="139">
        <f t="shared" ref="W189:AA189" si="376">J189/$I189</f>
        <v>0.35792019347037485</v>
      </c>
      <c r="X189" s="139">
        <f t="shared" si="376"/>
        <v>0.26239419588875451</v>
      </c>
      <c r="Y189" s="139">
        <f t="shared" si="376"/>
        <v>0</v>
      </c>
      <c r="Z189" s="139">
        <f t="shared" si="376"/>
        <v>0</v>
      </c>
      <c r="AA189" s="139">
        <f t="shared" si="376"/>
        <v>7.2551390568319227E-3</v>
      </c>
      <c r="AB189" s="139"/>
      <c r="AC189" s="139">
        <f t="shared" si="2"/>
        <v>0.37243047158403869</v>
      </c>
      <c r="AD189" s="139">
        <f t="shared" ref="AD189:AI189" si="377">O189/$I189</f>
        <v>2.4183796856106408E-3</v>
      </c>
      <c r="AE189" s="139">
        <f t="shared" si="377"/>
        <v>0</v>
      </c>
      <c r="AF189" s="139">
        <f t="shared" si="377"/>
        <v>0</v>
      </c>
      <c r="AG189" s="139">
        <f t="shared" si="377"/>
        <v>0</v>
      </c>
      <c r="AH189" s="139">
        <f t="shared" si="377"/>
        <v>0.35308343409915355</v>
      </c>
      <c r="AI189" s="139">
        <f t="shared" si="377"/>
        <v>1.6928657799274487E-2</v>
      </c>
    </row>
    <row r="190" spans="1:35">
      <c r="A190" s="138">
        <v>52</v>
      </c>
      <c r="B190" s="138" t="s">
        <v>8077</v>
      </c>
      <c r="C190" s="138" t="s">
        <v>4367</v>
      </c>
      <c r="D190" s="138" t="s">
        <v>19</v>
      </c>
      <c r="E190" s="138" t="s">
        <v>220</v>
      </c>
      <c r="F190" s="138" t="s">
        <v>8104</v>
      </c>
      <c r="H190" s="138">
        <v>189</v>
      </c>
      <c r="I190" s="138">
        <v>852</v>
      </c>
      <c r="J190" s="138">
        <v>266</v>
      </c>
      <c r="K190" s="138">
        <v>222</v>
      </c>
      <c r="N190" s="138">
        <v>9</v>
      </c>
      <c r="O190" s="138">
        <v>3</v>
      </c>
      <c r="S190" s="138">
        <v>345</v>
      </c>
      <c r="T190" s="138">
        <v>7</v>
      </c>
      <c r="U190" s="138">
        <f t="shared" si="0"/>
        <v>355</v>
      </c>
      <c r="W190" s="139">
        <f t="shared" ref="W190:AA190" si="378">J190/$I190</f>
        <v>0.31220657276995306</v>
      </c>
      <c r="X190" s="139">
        <f t="shared" si="378"/>
        <v>0.26056338028169013</v>
      </c>
      <c r="Y190" s="139">
        <f t="shared" si="378"/>
        <v>0</v>
      </c>
      <c r="Z190" s="139">
        <f t="shared" si="378"/>
        <v>0</v>
      </c>
      <c r="AA190" s="139">
        <f t="shared" si="378"/>
        <v>1.0563380281690141E-2</v>
      </c>
      <c r="AB190" s="139"/>
      <c r="AC190" s="139">
        <f t="shared" si="2"/>
        <v>0.41666666666666669</v>
      </c>
      <c r="AD190" s="139">
        <f t="shared" ref="AD190:AI190" si="379">O190/$I190</f>
        <v>3.5211267605633804E-3</v>
      </c>
      <c r="AE190" s="139">
        <f t="shared" si="379"/>
        <v>0</v>
      </c>
      <c r="AF190" s="139">
        <f t="shared" si="379"/>
        <v>0</v>
      </c>
      <c r="AG190" s="139">
        <f t="shared" si="379"/>
        <v>0</v>
      </c>
      <c r="AH190" s="139">
        <f t="shared" si="379"/>
        <v>0.40492957746478875</v>
      </c>
      <c r="AI190" s="139">
        <f t="shared" si="379"/>
        <v>8.2159624413145546E-3</v>
      </c>
    </row>
    <row r="191" spans="1:35">
      <c r="A191" s="138">
        <v>52</v>
      </c>
      <c r="B191" s="138" t="s">
        <v>8077</v>
      </c>
      <c r="C191" s="138" t="s">
        <v>4367</v>
      </c>
      <c r="D191" s="138" t="s">
        <v>19</v>
      </c>
      <c r="E191" s="138" t="s">
        <v>220</v>
      </c>
      <c r="F191" s="138" t="s">
        <v>8104</v>
      </c>
      <c r="H191" s="138">
        <v>190</v>
      </c>
      <c r="I191" s="138">
        <v>764</v>
      </c>
      <c r="J191" s="138">
        <v>246</v>
      </c>
      <c r="K191" s="138">
        <v>135</v>
      </c>
      <c r="N191" s="138">
        <v>5</v>
      </c>
      <c r="O191" s="138">
        <v>1</v>
      </c>
      <c r="S191" s="138">
        <v>354</v>
      </c>
      <c r="T191" s="138">
        <v>23</v>
      </c>
      <c r="U191" s="138">
        <f t="shared" si="0"/>
        <v>378</v>
      </c>
      <c r="W191" s="139">
        <f t="shared" ref="W191:AA191" si="380">J191/$I191</f>
        <v>0.3219895287958115</v>
      </c>
      <c r="X191" s="139">
        <f t="shared" si="380"/>
        <v>0.17670157068062828</v>
      </c>
      <c r="Y191" s="139">
        <f t="shared" si="380"/>
        <v>0</v>
      </c>
      <c r="Z191" s="139">
        <f t="shared" si="380"/>
        <v>0</v>
      </c>
      <c r="AA191" s="139">
        <f t="shared" si="380"/>
        <v>6.5445026178010471E-3</v>
      </c>
      <c r="AB191" s="139"/>
      <c r="AC191" s="139">
        <f t="shared" si="2"/>
        <v>0.49476439790575916</v>
      </c>
      <c r="AD191" s="139">
        <f t="shared" ref="AD191:AI191" si="381">O191/$I191</f>
        <v>1.3089005235602095E-3</v>
      </c>
      <c r="AE191" s="139">
        <f t="shared" si="381"/>
        <v>0</v>
      </c>
      <c r="AF191" s="139">
        <f t="shared" si="381"/>
        <v>0</v>
      </c>
      <c r="AG191" s="139">
        <f t="shared" si="381"/>
        <v>0</v>
      </c>
      <c r="AH191" s="139">
        <f t="shared" si="381"/>
        <v>0.46335078534031415</v>
      </c>
      <c r="AI191" s="139">
        <f t="shared" si="381"/>
        <v>3.0104712041884817E-2</v>
      </c>
    </row>
    <row r="192" spans="1:35">
      <c r="A192" s="138">
        <v>52</v>
      </c>
      <c r="B192" s="138" t="s">
        <v>8077</v>
      </c>
      <c r="C192" s="138" t="s">
        <v>4367</v>
      </c>
      <c r="D192" s="138" t="s">
        <v>19</v>
      </c>
      <c r="E192" s="138" t="s">
        <v>220</v>
      </c>
      <c r="F192" s="138" t="s">
        <v>8104</v>
      </c>
      <c r="H192" s="138">
        <v>191</v>
      </c>
      <c r="I192" s="138">
        <v>960</v>
      </c>
      <c r="J192" s="138">
        <v>328</v>
      </c>
      <c r="K192" s="138">
        <v>178</v>
      </c>
      <c r="N192" s="138">
        <v>5</v>
      </c>
      <c r="O192" s="138">
        <v>3</v>
      </c>
      <c r="S192" s="138">
        <v>439</v>
      </c>
      <c r="T192" s="138">
        <v>7</v>
      </c>
      <c r="U192" s="138">
        <f t="shared" si="0"/>
        <v>449</v>
      </c>
      <c r="W192" s="139">
        <f t="shared" ref="W192:AA192" si="382">J192/$I192</f>
        <v>0.34166666666666667</v>
      </c>
      <c r="X192" s="139">
        <f t="shared" si="382"/>
        <v>0.18541666666666667</v>
      </c>
      <c r="Y192" s="139">
        <f t="shared" si="382"/>
        <v>0</v>
      </c>
      <c r="Z192" s="139">
        <f t="shared" si="382"/>
        <v>0</v>
      </c>
      <c r="AA192" s="139">
        <f t="shared" si="382"/>
        <v>5.208333333333333E-3</v>
      </c>
      <c r="AB192" s="139"/>
      <c r="AC192" s="139">
        <f t="shared" si="2"/>
        <v>0.46770833333333334</v>
      </c>
      <c r="AD192" s="139">
        <f t="shared" ref="AD192:AI192" si="383">O192/$I192</f>
        <v>3.1250000000000002E-3</v>
      </c>
      <c r="AE192" s="139">
        <f t="shared" si="383"/>
        <v>0</v>
      </c>
      <c r="AF192" s="139">
        <f t="shared" si="383"/>
        <v>0</v>
      </c>
      <c r="AG192" s="139">
        <f t="shared" si="383"/>
        <v>0</v>
      </c>
      <c r="AH192" s="139">
        <f t="shared" si="383"/>
        <v>0.45729166666666665</v>
      </c>
      <c r="AI192" s="139">
        <f t="shared" si="383"/>
        <v>7.2916666666666668E-3</v>
      </c>
    </row>
    <row r="193" spans="1:35">
      <c r="A193" s="138">
        <v>52</v>
      </c>
      <c r="B193" s="138" t="s">
        <v>8077</v>
      </c>
      <c r="C193" s="138" t="s">
        <v>4367</v>
      </c>
      <c r="D193" s="138" t="s">
        <v>19</v>
      </c>
      <c r="E193" s="138" t="s">
        <v>220</v>
      </c>
      <c r="F193" s="138" t="s">
        <v>8105</v>
      </c>
      <c r="H193" s="138">
        <v>192</v>
      </c>
      <c r="I193" s="138">
        <v>477</v>
      </c>
      <c r="J193" s="138">
        <v>286</v>
      </c>
      <c r="K193" s="138">
        <v>159</v>
      </c>
      <c r="N193" s="138">
        <v>4</v>
      </c>
      <c r="O193" s="138">
        <v>1</v>
      </c>
      <c r="S193" s="138">
        <v>26</v>
      </c>
      <c r="T193" s="138">
        <v>1</v>
      </c>
      <c r="U193" s="138">
        <f t="shared" si="0"/>
        <v>28</v>
      </c>
      <c r="W193" s="139">
        <f t="shared" ref="W193:AA193" si="384">J193/$I193</f>
        <v>0.59958071278825997</v>
      </c>
      <c r="X193" s="139">
        <f t="shared" si="384"/>
        <v>0.33333333333333331</v>
      </c>
      <c r="Y193" s="139">
        <f t="shared" si="384"/>
        <v>0</v>
      </c>
      <c r="Z193" s="139">
        <f t="shared" si="384"/>
        <v>0</v>
      </c>
      <c r="AA193" s="139">
        <f t="shared" si="384"/>
        <v>8.385744234800839E-3</v>
      </c>
      <c r="AB193" s="139"/>
      <c r="AC193" s="139">
        <f t="shared" si="2"/>
        <v>5.8700209643605873E-2</v>
      </c>
      <c r="AD193" s="139">
        <f t="shared" ref="AD193:AI193" si="385">O193/$I193</f>
        <v>2.0964360587002098E-3</v>
      </c>
      <c r="AE193" s="139">
        <f t="shared" si="385"/>
        <v>0</v>
      </c>
      <c r="AF193" s="139">
        <f t="shared" si="385"/>
        <v>0</v>
      </c>
      <c r="AG193" s="139">
        <f t="shared" si="385"/>
        <v>0</v>
      </c>
      <c r="AH193" s="139">
        <f t="shared" si="385"/>
        <v>5.450733752620545E-2</v>
      </c>
      <c r="AI193" s="139">
        <f t="shared" si="385"/>
        <v>2.0964360587002098E-3</v>
      </c>
    </row>
    <row r="194" spans="1:35">
      <c r="A194" s="138">
        <v>52</v>
      </c>
      <c r="B194" s="138" t="s">
        <v>8077</v>
      </c>
      <c r="C194" s="138" t="s">
        <v>4367</v>
      </c>
      <c r="D194" s="138" t="s">
        <v>19</v>
      </c>
      <c r="E194" s="138" t="s">
        <v>220</v>
      </c>
      <c r="F194" s="138" t="s">
        <v>8105</v>
      </c>
      <c r="H194" s="138">
        <v>193</v>
      </c>
      <c r="I194" s="138">
        <v>827</v>
      </c>
      <c r="J194" s="138">
        <v>496</v>
      </c>
      <c r="K194" s="138">
        <v>285</v>
      </c>
      <c r="N194" s="138">
        <v>3</v>
      </c>
      <c r="O194" s="138">
        <v>0</v>
      </c>
      <c r="S194" s="138">
        <v>39</v>
      </c>
      <c r="T194" s="138">
        <v>4</v>
      </c>
      <c r="U194" s="138">
        <f t="shared" si="0"/>
        <v>43</v>
      </c>
      <c r="W194" s="139">
        <f t="shared" ref="W194:AA194" si="386">J194/$I194</f>
        <v>0.59975816203143895</v>
      </c>
      <c r="X194" s="139">
        <f t="shared" si="386"/>
        <v>0.34461910519951633</v>
      </c>
      <c r="Y194" s="139">
        <f t="shared" si="386"/>
        <v>0</v>
      </c>
      <c r="Z194" s="139">
        <f t="shared" si="386"/>
        <v>0</v>
      </c>
      <c r="AA194" s="139">
        <f t="shared" si="386"/>
        <v>3.6275695284159614E-3</v>
      </c>
      <c r="AB194" s="139"/>
      <c r="AC194" s="139">
        <f t="shared" si="2"/>
        <v>5.1995163240628778E-2</v>
      </c>
      <c r="AD194" s="139">
        <f t="shared" ref="AD194:AI194" si="387">O194/$I194</f>
        <v>0</v>
      </c>
      <c r="AE194" s="139">
        <f t="shared" si="387"/>
        <v>0</v>
      </c>
      <c r="AF194" s="139">
        <f t="shared" si="387"/>
        <v>0</v>
      </c>
      <c r="AG194" s="139">
        <f t="shared" si="387"/>
        <v>0</v>
      </c>
      <c r="AH194" s="139">
        <f t="shared" si="387"/>
        <v>4.7158403869407499E-2</v>
      </c>
      <c r="AI194" s="139">
        <f t="shared" si="387"/>
        <v>4.8367593712212815E-3</v>
      </c>
    </row>
    <row r="195" spans="1:35">
      <c r="A195" s="138">
        <v>52</v>
      </c>
      <c r="B195" s="138" t="s">
        <v>8077</v>
      </c>
      <c r="C195" s="138" t="s">
        <v>4367</v>
      </c>
      <c r="D195" s="138" t="s">
        <v>19</v>
      </c>
      <c r="E195" s="138" t="s">
        <v>220</v>
      </c>
      <c r="F195" s="138" t="s">
        <v>8106</v>
      </c>
      <c r="H195" s="138">
        <v>194</v>
      </c>
      <c r="I195" s="138">
        <v>579</v>
      </c>
      <c r="J195" s="138">
        <v>388</v>
      </c>
      <c r="K195" s="138">
        <v>144</v>
      </c>
      <c r="N195" s="138">
        <v>3</v>
      </c>
      <c r="O195" s="138">
        <v>1</v>
      </c>
      <c r="S195" s="138">
        <v>40</v>
      </c>
      <c r="T195" s="138">
        <v>3</v>
      </c>
      <c r="U195" s="138">
        <f t="shared" si="0"/>
        <v>44</v>
      </c>
      <c r="W195" s="139">
        <f t="shared" ref="W195:AA195" si="388">J195/$I195</f>
        <v>0.67012089810017272</v>
      </c>
      <c r="X195" s="139">
        <f t="shared" si="388"/>
        <v>0.24870466321243523</v>
      </c>
      <c r="Y195" s="139">
        <f t="shared" si="388"/>
        <v>0</v>
      </c>
      <c r="Z195" s="139">
        <f t="shared" si="388"/>
        <v>0</v>
      </c>
      <c r="AA195" s="139">
        <f t="shared" si="388"/>
        <v>5.1813471502590676E-3</v>
      </c>
      <c r="AB195" s="139"/>
      <c r="AC195" s="139">
        <f t="shared" si="2"/>
        <v>7.599309153713299E-2</v>
      </c>
      <c r="AD195" s="139">
        <f t="shared" ref="AD195:AI195" si="389">O195/$I195</f>
        <v>1.7271157167530224E-3</v>
      </c>
      <c r="AE195" s="139">
        <f t="shared" si="389"/>
        <v>0</v>
      </c>
      <c r="AF195" s="139">
        <f t="shared" si="389"/>
        <v>0</v>
      </c>
      <c r="AG195" s="139">
        <f t="shared" si="389"/>
        <v>0</v>
      </c>
      <c r="AH195" s="139">
        <f t="shared" si="389"/>
        <v>6.9084628670120898E-2</v>
      </c>
      <c r="AI195" s="139">
        <f t="shared" si="389"/>
        <v>5.1813471502590676E-3</v>
      </c>
    </row>
    <row r="196" spans="1:35">
      <c r="A196" s="138">
        <v>52</v>
      </c>
      <c r="B196" s="138" t="s">
        <v>8077</v>
      </c>
      <c r="C196" s="138" t="s">
        <v>4367</v>
      </c>
      <c r="D196" s="138" t="s">
        <v>19</v>
      </c>
      <c r="E196" s="138" t="s">
        <v>220</v>
      </c>
      <c r="F196" s="138" t="s">
        <v>8107</v>
      </c>
      <c r="H196" s="138">
        <v>195</v>
      </c>
      <c r="I196" s="138">
        <v>535</v>
      </c>
      <c r="J196" s="138">
        <v>318</v>
      </c>
      <c r="K196" s="138">
        <v>181</v>
      </c>
      <c r="N196" s="138">
        <v>1</v>
      </c>
      <c r="O196" s="138">
        <v>3</v>
      </c>
      <c r="S196" s="138">
        <v>27</v>
      </c>
      <c r="T196" s="138">
        <v>5</v>
      </c>
      <c r="U196" s="138">
        <f t="shared" si="0"/>
        <v>35</v>
      </c>
      <c r="W196" s="139">
        <f t="shared" ref="W196:AA196" si="390">J196/$I196</f>
        <v>0.594392523364486</v>
      </c>
      <c r="X196" s="139">
        <f t="shared" si="390"/>
        <v>0.3383177570093458</v>
      </c>
      <c r="Y196" s="139">
        <f t="shared" si="390"/>
        <v>0</v>
      </c>
      <c r="Z196" s="139">
        <f t="shared" si="390"/>
        <v>0</v>
      </c>
      <c r="AA196" s="139">
        <f t="shared" si="390"/>
        <v>1.869158878504673E-3</v>
      </c>
      <c r="AB196" s="139"/>
      <c r="AC196" s="139">
        <f t="shared" si="2"/>
        <v>6.5420560747663545E-2</v>
      </c>
      <c r="AD196" s="139">
        <f t="shared" ref="AD196:AI196" si="391">O196/$I196</f>
        <v>5.6074766355140183E-3</v>
      </c>
      <c r="AE196" s="139">
        <f t="shared" si="391"/>
        <v>0</v>
      </c>
      <c r="AF196" s="139">
        <f t="shared" si="391"/>
        <v>0</v>
      </c>
      <c r="AG196" s="139">
        <f t="shared" si="391"/>
        <v>0</v>
      </c>
      <c r="AH196" s="139">
        <f t="shared" si="391"/>
        <v>5.046728971962617E-2</v>
      </c>
      <c r="AI196" s="139">
        <f t="shared" si="391"/>
        <v>9.3457943925233638E-3</v>
      </c>
    </row>
    <row r="197" spans="1:35">
      <c r="A197" s="138">
        <v>52</v>
      </c>
      <c r="B197" s="138" t="s">
        <v>8077</v>
      </c>
      <c r="C197" s="138" t="s">
        <v>4367</v>
      </c>
      <c r="D197" s="138" t="s">
        <v>19</v>
      </c>
      <c r="E197" s="138" t="s">
        <v>220</v>
      </c>
      <c r="F197" s="138" t="s">
        <v>8107</v>
      </c>
      <c r="H197" s="138">
        <v>196</v>
      </c>
      <c r="I197" s="138">
        <v>942</v>
      </c>
      <c r="J197" s="138">
        <v>463</v>
      </c>
      <c r="K197" s="138">
        <v>441</v>
      </c>
      <c r="N197" s="138">
        <v>3</v>
      </c>
      <c r="O197" s="138">
        <v>2</v>
      </c>
      <c r="S197" s="138">
        <v>20</v>
      </c>
      <c r="T197" s="138">
        <v>13</v>
      </c>
      <c r="U197" s="138">
        <f t="shared" si="0"/>
        <v>35</v>
      </c>
      <c r="W197" s="139">
        <f t="shared" ref="W197:AA197" si="392">J197/$I197</f>
        <v>0.49150743099787686</v>
      </c>
      <c r="X197" s="139">
        <f t="shared" si="392"/>
        <v>0.46815286624203822</v>
      </c>
      <c r="Y197" s="139">
        <f t="shared" si="392"/>
        <v>0</v>
      </c>
      <c r="Z197" s="139">
        <f t="shared" si="392"/>
        <v>0</v>
      </c>
      <c r="AA197" s="139">
        <f t="shared" si="392"/>
        <v>3.1847133757961785E-3</v>
      </c>
      <c r="AB197" s="139"/>
      <c r="AC197" s="139">
        <f t="shared" si="2"/>
        <v>3.7154989384288746E-2</v>
      </c>
      <c r="AD197" s="139">
        <f t="shared" ref="AD197:AI197" si="393">O197/$I197</f>
        <v>2.1231422505307855E-3</v>
      </c>
      <c r="AE197" s="139">
        <f t="shared" si="393"/>
        <v>0</v>
      </c>
      <c r="AF197" s="139">
        <f t="shared" si="393"/>
        <v>0</v>
      </c>
      <c r="AG197" s="139">
        <f t="shared" si="393"/>
        <v>0</v>
      </c>
      <c r="AH197" s="139">
        <f t="shared" si="393"/>
        <v>2.1231422505307854E-2</v>
      </c>
      <c r="AI197" s="139">
        <f t="shared" si="393"/>
        <v>1.3800424628450107E-2</v>
      </c>
    </row>
    <row r="198" spans="1:35">
      <c r="A198" s="138">
        <v>52</v>
      </c>
      <c r="B198" s="138" t="s">
        <v>8077</v>
      </c>
      <c r="C198" s="138" t="s">
        <v>4367</v>
      </c>
      <c r="D198" s="138" t="s">
        <v>19</v>
      </c>
      <c r="E198" s="138" t="s">
        <v>220</v>
      </c>
      <c r="F198" s="138" t="s">
        <v>8107</v>
      </c>
      <c r="H198" s="138">
        <v>197</v>
      </c>
      <c r="I198" s="138">
        <v>925</v>
      </c>
      <c r="J198" s="138">
        <v>488</v>
      </c>
      <c r="K198" s="138">
        <v>412</v>
      </c>
      <c r="N198" s="138">
        <v>2</v>
      </c>
      <c r="O198" s="138">
        <v>2</v>
      </c>
      <c r="S198" s="138">
        <v>17</v>
      </c>
      <c r="T198" s="138">
        <v>4</v>
      </c>
      <c r="U198" s="138">
        <f t="shared" si="0"/>
        <v>23</v>
      </c>
      <c r="W198" s="139">
        <f t="shared" ref="W198:AA198" si="394">J198/$I198</f>
        <v>0.52756756756756762</v>
      </c>
      <c r="X198" s="139">
        <f t="shared" si="394"/>
        <v>0.44540540540540541</v>
      </c>
      <c r="Y198" s="139">
        <f t="shared" si="394"/>
        <v>0</v>
      </c>
      <c r="Z198" s="139">
        <f t="shared" si="394"/>
        <v>0</v>
      </c>
      <c r="AA198" s="139">
        <f t="shared" si="394"/>
        <v>2.1621621621621622E-3</v>
      </c>
      <c r="AB198" s="139"/>
      <c r="AC198" s="139">
        <f t="shared" si="2"/>
        <v>2.4864864864864864E-2</v>
      </c>
      <c r="AD198" s="139">
        <f t="shared" ref="AD198:AI198" si="395">O198/$I198</f>
        <v>2.1621621621621622E-3</v>
      </c>
      <c r="AE198" s="139">
        <f t="shared" si="395"/>
        <v>0</v>
      </c>
      <c r="AF198" s="139">
        <f t="shared" si="395"/>
        <v>0</v>
      </c>
      <c r="AG198" s="139">
        <f t="shared" si="395"/>
        <v>0</v>
      </c>
      <c r="AH198" s="139">
        <f t="shared" si="395"/>
        <v>1.8378378378378378E-2</v>
      </c>
      <c r="AI198" s="139">
        <f t="shared" si="395"/>
        <v>4.3243243243243244E-3</v>
      </c>
    </row>
    <row r="199" spans="1:35">
      <c r="A199" s="138">
        <v>52</v>
      </c>
      <c r="B199" s="138" t="s">
        <v>8077</v>
      </c>
      <c r="C199" s="138" t="s">
        <v>4367</v>
      </c>
      <c r="D199" s="138" t="s">
        <v>19</v>
      </c>
      <c r="E199" s="138" t="s">
        <v>220</v>
      </c>
      <c r="F199" s="138" t="s">
        <v>8108</v>
      </c>
      <c r="H199" s="138">
        <v>198</v>
      </c>
      <c r="I199" s="138">
        <v>787</v>
      </c>
      <c r="J199" s="138">
        <v>492</v>
      </c>
      <c r="K199" s="138">
        <v>221</v>
      </c>
      <c r="N199" s="138">
        <v>7</v>
      </c>
      <c r="O199" s="138">
        <v>2</v>
      </c>
      <c r="S199" s="138">
        <v>59</v>
      </c>
      <c r="T199" s="138">
        <v>6</v>
      </c>
      <c r="U199" s="138">
        <f t="shared" si="0"/>
        <v>67</v>
      </c>
      <c r="W199" s="139">
        <f t="shared" ref="W199:AA199" si="396">J199/$I199</f>
        <v>0.62515883100381198</v>
      </c>
      <c r="X199" s="139">
        <f t="shared" si="396"/>
        <v>0.28081321473951715</v>
      </c>
      <c r="Y199" s="139">
        <f t="shared" si="396"/>
        <v>0</v>
      </c>
      <c r="Z199" s="139">
        <f t="shared" si="396"/>
        <v>0</v>
      </c>
      <c r="AA199" s="139">
        <f t="shared" si="396"/>
        <v>8.8945362134688691E-3</v>
      </c>
      <c r="AB199" s="139"/>
      <c r="AC199" s="139">
        <f t="shared" si="2"/>
        <v>8.5133418043202028E-2</v>
      </c>
      <c r="AD199" s="139">
        <f t="shared" ref="AD199:AI199" si="397">O199/$I199</f>
        <v>2.5412960609911056E-3</v>
      </c>
      <c r="AE199" s="139">
        <f t="shared" si="397"/>
        <v>0</v>
      </c>
      <c r="AF199" s="139">
        <f t="shared" si="397"/>
        <v>0</v>
      </c>
      <c r="AG199" s="139">
        <f t="shared" si="397"/>
        <v>0</v>
      </c>
      <c r="AH199" s="139">
        <f t="shared" si="397"/>
        <v>7.4968233799237616E-2</v>
      </c>
      <c r="AI199" s="139">
        <f t="shared" si="397"/>
        <v>7.6238881829733167E-3</v>
      </c>
    </row>
    <row r="200" spans="1:35">
      <c r="A200" s="138">
        <v>52</v>
      </c>
      <c r="B200" s="138" t="s">
        <v>8077</v>
      </c>
      <c r="C200" s="138" t="s">
        <v>4367</v>
      </c>
      <c r="D200" s="138" t="s">
        <v>19</v>
      </c>
      <c r="E200" s="138" t="s">
        <v>220</v>
      </c>
      <c r="F200" s="138" t="s">
        <v>8108</v>
      </c>
      <c r="H200" s="138">
        <v>199</v>
      </c>
      <c r="I200" s="138">
        <v>663</v>
      </c>
      <c r="J200" s="138">
        <v>385</v>
      </c>
      <c r="K200" s="138">
        <v>187</v>
      </c>
      <c r="N200" s="138">
        <v>12</v>
      </c>
      <c r="O200" s="138">
        <v>6</v>
      </c>
      <c r="S200" s="138">
        <v>65</v>
      </c>
      <c r="T200" s="138">
        <v>8</v>
      </c>
      <c r="U200" s="138">
        <f t="shared" si="0"/>
        <v>79</v>
      </c>
      <c r="W200" s="139">
        <f t="shared" ref="W200:AA200" si="398">J200/$I200</f>
        <v>0.58069381598793368</v>
      </c>
      <c r="X200" s="139">
        <f t="shared" si="398"/>
        <v>0.28205128205128205</v>
      </c>
      <c r="Y200" s="139">
        <f t="shared" si="398"/>
        <v>0</v>
      </c>
      <c r="Z200" s="139">
        <f t="shared" si="398"/>
        <v>0</v>
      </c>
      <c r="AA200" s="139">
        <f t="shared" si="398"/>
        <v>1.8099547511312219E-2</v>
      </c>
      <c r="AB200" s="139"/>
      <c r="AC200" s="139">
        <f t="shared" si="2"/>
        <v>0.1191553544494721</v>
      </c>
      <c r="AD200" s="139">
        <f t="shared" ref="AD200:AI200" si="399">O200/$I200</f>
        <v>9.0497737556561094E-3</v>
      </c>
      <c r="AE200" s="139">
        <f t="shared" si="399"/>
        <v>0</v>
      </c>
      <c r="AF200" s="139">
        <f t="shared" si="399"/>
        <v>0</v>
      </c>
      <c r="AG200" s="139">
        <f t="shared" si="399"/>
        <v>0</v>
      </c>
      <c r="AH200" s="139">
        <f t="shared" si="399"/>
        <v>9.8039215686274508E-2</v>
      </c>
      <c r="AI200" s="139">
        <f t="shared" si="399"/>
        <v>1.2066365007541479E-2</v>
      </c>
    </row>
    <row r="201" spans="1:35">
      <c r="A201" s="138">
        <v>52</v>
      </c>
      <c r="B201" s="138" t="s">
        <v>8077</v>
      </c>
      <c r="C201" s="138" t="s">
        <v>4367</v>
      </c>
      <c r="D201" s="138" t="s">
        <v>19</v>
      </c>
      <c r="E201" s="138" t="s">
        <v>220</v>
      </c>
      <c r="F201" s="138" t="s">
        <v>8108</v>
      </c>
      <c r="H201" s="138">
        <v>200</v>
      </c>
      <c r="I201" s="138">
        <v>719</v>
      </c>
      <c r="J201" s="138">
        <v>310</v>
      </c>
      <c r="K201" s="138">
        <v>345</v>
      </c>
      <c r="N201" s="138">
        <v>10</v>
      </c>
      <c r="O201" s="138">
        <v>3</v>
      </c>
      <c r="S201" s="138">
        <v>29</v>
      </c>
      <c r="T201" s="138">
        <v>22</v>
      </c>
      <c r="U201" s="138">
        <f t="shared" si="0"/>
        <v>54</v>
      </c>
      <c r="W201" s="139">
        <f t="shared" ref="W201:AA201" si="400">J201/$I201</f>
        <v>0.43115438108484005</v>
      </c>
      <c r="X201" s="139">
        <f t="shared" si="400"/>
        <v>0.47983310152990266</v>
      </c>
      <c r="Y201" s="139">
        <f t="shared" si="400"/>
        <v>0</v>
      </c>
      <c r="Z201" s="139">
        <f t="shared" si="400"/>
        <v>0</v>
      </c>
      <c r="AA201" s="139">
        <f t="shared" si="400"/>
        <v>1.3908205841446454E-2</v>
      </c>
      <c r="AB201" s="139"/>
      <c r="AC201" s="139">
        <f t="shared" si="2"/>
        <v>7.5104311543810851E-2</v>
      </c>
      <c r="AD201" s="139">
        <f t="shared" ref="AD201:AI201" si="401">O201/$I201</f>
        <v>4.172461752433936E-3</v>
      </c>
      <c r="AE201" s="139">
        <f t="shared" si="401"/>
        <v>0</v>
      </c>
      <c r="AF201" s="139">
        <f t="shared" si="401"/>
        <v>0</v>
      </c>
      <c r="AG201" s="139">
        <f t="shared" si="401"/>
        <v>0</v>
      </c>
      <c r="AH201" s="139">
        <f t="shared" si="401"/>
        <v>4.0333796940194712E-2</v>
      </c>
      <c r="AI201" s="139">
        <f t="shared" si="401"/>
        <v>3.0598052851182198E-2</v>
      </c>
    </row>
    <row r="202" spans="1:35">
      <c r="A202" s="138">
        <v>52</v>
      </c>
      <c r="B202" s="138" t="s">
        <v>8077</v>
      </c>
      <c r="C202" s="138" t="s">
        <v>4367</v>
      </c>
      <c r="D202" s="138" t="s">
        <v>19</v>
      </c>
      <c r="E202" s="138" t="s">
        <v>220</v>
      </c>
      <c r="F202" s="138" t="s">
        <v>8108</v>
      </c>
      <c r="H202" s="138">
        <v>201</v>
      </c>
      <c r="I202" s="138">
        <v>886</v>
      </c>
      <c r="J202" s="138">
        <v>539</v>
      </c>
      <c r="K202" s="138">
        <v>239</v>
      </c>
      <c r="N202" s="138">
        <v>4</v>
      </c>
      <c r="O202" s="138">
        <v>1</v>
      </c>
      <c r="S202" s="138">
        <v>81</v>
      </c>
      <c r="T202" s="138">
        <v>22</v>
      </c>
      <c r="U202" s="138">
        <f t="shared" si="0"/>
        <v>104</v>
      </c>
      <c r="W202" s="139">
        <f t="shared" ref="W202:AA202" si="402">J202/$I202</f>
        <v>0.60835214446952601</v>
      </c>
      <c r="X202" s="139">
        <f t="shared" si="402"/>
        <v>0.26975169300225732</v>
      </c>
      <c r="Y202" s="139">
        <f t="shared" si="402"/>
        <v>0</v>
      </c>
      <c r="Z202" s="139">
        <f t="shared" si="402"/>
        <v>0</v>
      </c>
      <c r="AA202" s="139">
        <f t="shared" si="402"/>
        <v>4.5146726862302479E-3</v>
      </c>
      <c r="AB202" s="139"/>
      <c r="AC202" s="139">
        <f t="shared" si="2"/>
        <v>0.11738148984198646</v>
      </c>
      <c r="AD202" s="139">
        <f t="shared" ref="AD202:AI202" si="403">O202/$I202</f>
        <v>1.128668171557562E-3</v>
      </c>
      <c r="AE202" s="139">
        <f t="shared" si="403"/>
        <v>0</v>
      </c>
      <c r="AF202" s="139">
        <f t="shared" si="403"/>
        <v>0</v>
      </c>
      <c r="AG202" s="139">
        <f t="shared" si="403"/>
        <v>0</v>
      </c>
      <c r="AH202" s="139">
        <f t="shared" si="403"/>
        <v>9.1422121896162528E-2</v>
      </c>
      <c r="AI202" s="139">
        <f t="shared" si="403"/>
        <v>2.4830699774266364E-2</v>
      </c>
    </row>
    <row r="203" spans="1:35">
      <c r="A203" s="138">
        <v>52</v>
      </c>
      <c r="B203" s="138" t="s">
        <v>8077</v>
      </c>
      <c r="C203" s="138" t="s">
        <v>4367</v>
      </c>
      <c r="D203" s="138" t="s">
        <v>19</v>
      </c>
      <c r="E203" s="138" t="s">
        <v>220</v>
      </c>
      <c r="F203" s="138" t="s">
        <v>8109</v>
      </c>
      <c r="H203" s="138">
        <v>202</v>
      </c>
      <c r="I203" s="138">
        <v>802</v>
      </c>
      <c r="J203" s="138">
        <v>404</v>
      </c>
      <c r="K203" s="138">
        <v>351</v>
      </c>
      <c r="N203" s="138">
        <v>9</v>
      </c>
      <c r="O203" s="138">
        <v>5</v>
      </c>
      <c r="S203" s="138">
        <v>26</v>
      </c>
      <c r="T203" s="138">
        <v>7</v>
      </c>
      <c r="U203" s="138">
        <f t="shared" si="0"/>
        <v>38</v>
      </c>
      <c r="W203" s="139">
        <f t="shared" ref="W203:AA203" si="404">J203/$I203</f>
        <v>0.50374064837905241</v>
      </c>
      <c r="X203" s="139">
        <f t="shared" si="404"/>
        <v>0.43765586034912718</v>
      </c>
      <c r="Y203" s="139">
        <f t="shared" si="404"/>
        <v>0</v>
      </c>
      <c r="Z203" s="139">
        <f t="shared" si="404"/>
        <v>0</v>
      </c>
      <c r="AA203" s="139">
        <f t="shared" si="404"/>
        <v>1.1221945137157107E-2</v>
      </c>
      <c r="AB203" s="139"/>
      <c r="AC203" s="139">
        <f t="shared" si="2"/>
        <v>4.738154613466334E-2</v>
      </c>
      <c r="AD203" s="139">
        <f t="shared" ref="AD203:AI203" si="405">O203/$I203</f>
        <v>6.2344139650872821E-3</v>
      </c>
      <c r="AE203" s="139">
        <f t="shared" si="405"/>
        <v>0</v>
      </c>
      <c r="AF203" s="139">
        <f t="shared" si="405"/>
        <v>0</v>
      </c>
      <c r="AG203" s="139">
        <f t="shared" si="405"/>
        <v>0</v>
      </c>
      <c r="AH203" s="139">
        <f t="shared" si="405"/>
        <v>3.2418952618453865E-2</v>
      </c>
      <c r="AI203" s="139">
        <f t="shared" si="405"/>
        <v>8.7281795511221939E-3</v>
      </c>
    </row>
    <row r="204" spans="1:35">
      <c r="A204" s="138">
        <v>52</v>
      </c>
      <c r="B204" s="138" t="s">
        <v>8077</v>
      </c>
      <c r="C204" s="138" t="s">
        <v>4367</v>
      </c>
      <c r="D204" s="138" t="s">
        <v>19</v>
      </c>
      <c r="E204" s="138" t="s">
        <v>220</v>
      </c>
      <c r="F204" s="138" t="s">
        <v>8109</v>
      </c>
      <c r="H204" s="138">
        <v>203</v>
      </c>
      <c r="I204" s="138">
        <v>504</v>
      </c>
      <c r="J204" s="138">
        <v>339</v>
      </c>
      <c r="K204" s="138">
        <v>101</v>
      </c>
      <c r="N204" s="138">
        <v>1</v>
      </c>
      <c r="O204" s="138">
        <v>7</v>
      </c>
      <c r="S204" s="138">
        <v>55</v>
      </c>
      <c r="T204" s="138">
        <v>1</v>
      </c>
      <c r="U204" s="138">
        <f t="shared" si="0"/>
        <v>63</v>
      </c>
      <c r="W204" s="139">
        <f t="shared" ref="W204:AA204" si="406">J204/$I204</f>
        <v>0.67261904761904767</v>
      </c>
      <c r="X204" s="139">
        <f t="shared" si="406"/>
        <v>0.20039682539682541</v>
      </c>
      <c r="Y204" s="139">
        <f t="shared" si="406"/>
        <v>0</v>
      </c>
      <c r="Z204" s="139">
        <f t="shared" si="406"/>
        <v>0</v>
      </c>
      <c r="AA204" s="139">
        <f t="shared" si="406"/>
        <v>1.984126984126984E-3</v>
      </c>
      <c r="AB204" s="139"/>
      <c r="AC204" s="139">
        <f t="shared" si="2"/>
        <v>0.125</v>
      </c>
      <c r="AD204" s="139">
        <f t="shared" ref="AD204:AI204" si="407">O204/$I204</f>
        <v>1.3888888888888888E-2</v>
      </c>
      <c r="AE204" s="139">
        <f t="shared" si="407"/>
        <v>0</v>
      </c>
      <c r="AF204" s="139">
        <f t="shared" si="407"/>
        <v>0</v>
      </c>
      <c r="AG204" s="139">
        <f t="shared" si="407"/>
        <v>0</v>
      </c>
      <c r="AH204" s="139">
        <f t="shared" si="407"/>
        <v>0.10912698412698413</v>
      </c>
      <c r="AI204" s="139">
        <f t="shared" si="407"/>
        <v>1.984126984126984E-3</v>
      </c>
    </row>
    <row r="205" spans="1:35">
      <c r="A205" s="138">
        <v>52</v>
      </c>
      <c r="B205" s="138" t="s">
        <v>8077</v>
      </c>
      <c r="C205" s="138" t="s">
        <v>4367</v>
      </c>
      <c r="D205" s="138" t="s">
        <v>19</v>
      </c>
      <c r="E205" s="138" t="s">
        <v>220</v>
      </c>
      <c r="F205" s="138" t="s">
        <v>1209</v>
      </c>
      <c r="H205" s="138">
        <v>204</v>
      </c>
      <c r="I205" s="138">
        <v>1046</v>
      </c>
      <c r="J205" s="138">
        <v>627</v>
      </c>
      <c r="K205" s="138">
        <v>330</v>
      </c>
      <c r="N205" s="138">
        <v>9</v>
      </c>
      <c r="O205" s="138">
        <v>8</v>
      </c>
      <c r="S205" s="138">
        <v>62</v>
      </c>
      <c r="T205" s="138">
        <v>10</v>
      </c>
      <c r="U205" s="138">
        <f t="shared" si="0"/>
        <v>80</v>
      </c>
      <c r="W205" s="139">
        <f t="shared" ref="W205:AA205" si="408">J205/$I205</f>
        <v>0.5994263862332696</v>
      </c>
      <c r="X205" s="139">
        <f t="shared" si="408"/>
        <v>0.31548757170172081</v>
      </c>
      <c r="Y205" s="139">
        <f t="shared" si="408"/>
        <v>0</v>
      </c>
      <c r="Z205" s="139">
        <f t="shared" si="408"/>
        <v>0</v>
      </c>
      <c r="AA205" s="139">
        <f t="shared" si="408"/>
        <v>8.6042065009560229E-3</v>
      </c>
      <c r="AB205" s="139"/>
      <c r="AC205" s="139">
        <f t="shared" si="2"/>
        <v>7.6481835564053538E-2</v>
      </c>
      <c r="AD205" s="139">
        <f t="shared" ref="AD205:AI205" si="409">O205/$I205</f>
        <v>7.6481835564053535E-3</v>
      </c>
      <c r="AE205" s="139">
        <f t="shared" si="409"/>
        <v>0</v>
      </c>
      <c r="AF205" s="139">
        <f t="shared" si="409"/>
        <v>0</v>
      </c>
      <c r="AG205" s="139">
        <f t="shared" si="409"/>
        <v>0</v>
      </c>
      <c r="AH205" s="139">
        <f t="shared" si="409"/>
        <v>5.9273422562141492E-2</v>
      </c>
      <c r="AI205" s="139">
        <f t="shared" si="409"/>
        <v>9.5602294455066923E-3</v>
      </c>
    </row>
    <row r="206" spans="1:35">
      <c r="A206" s="138">
        <v>52</v>
      </c>
      <c r="B206" s="138" t="s">
        <v>8077</v>
      </c>
      <c r="C206" s="138" t="s">
        <v>4367</v>
      </c>
      <c r="D206" s="138" t="s">
        <v>19</v>
      </c>
      <c r="E206" s="138" t="s">
        <v>220</v>
      </c>
      <c r="F206" s="138" t="s">
        <v>1209</v>
      </c>
      <c r="H206" s="138">
        <v>205</v>
      </c>
      <c r="I206" s="138">
        <v>969</v>
      </c>
      <c r="J206" s="138">
        <v>605</v>
      </c>
      <c r="K206" s="138">
        <v>292</v>
      </c>
      <c r="N206" s="138">
        <v>7</v>
      </c>
      <c r="O206" s="138">
        <v>3</v>
      </c>
      <c r="S206" s="138">
        <v>49</v>
      </c>
      <c r="T206" s="138">
        <v>13</v>
      </c>
      <c r="U206" s="138">
        <f t="shared" si="0"/>
        <v>65</v>
      </c>
      <c r="W206" s="139">
        <f t="shared" ref="W206:AA206" si="410">J206/$I206</f>
        <v>0.62435500515995868</v>
      </c>
      <c r="X206" s="139">
        <f t="shared" si="410"/>
        <v>0.30134158926728588</v>
      </c>
      <c r="Y206" s="139">
        <f t="shared" si="410"/>
        <v>0</v>
      </c>
      <c r="Z206" s="139">
        <f t="shared" si="410"/>
        <v>0</v>
      </c>
      <c r="AA206" s="139">
        <f t="shared" si="410"/>
        <v>7.2239422084623322E-3</v>
      </c>
      <c r="AB206" s="139"/>
      <c r="AC206" s="139">
        <f t="shared" si="2"/>
        <v>6.7079463364293088E-2</v>
      </c>
      <c r="AD206" s="139">
        <f t="shared" ref="AD206:AI206" si="411">O206/$I206</f>
        <v>3.0959752321981426E-3</v>
      </c>
      <c r="AE206" s="139">
        <f t="shared" si="411"/>
        <v>0</v>
      </c>
      <c r="AF206" s="139">
        <f t="shared" si="411"/>
        <v>0</v>
      </c>
      <c r="AG206" s="139">
        <f t="shared" si="411"/>
        <v>0</v>
      </c>
      <c r="AH206" s="139">
        <f t="shared" si="411"/>
        <v>5.0567595459236329E-2</v>
      </c>
      <c r="AI206" s="139">
        <f t="shared" si="411"/>
        <v>1.3415892672858616E-2</v>
      </c>
    </row>
    <row r="207" spans="1:35">
      <c r="A207" s="138">
        <v>52</v>
      </c>
      <c r="B207" s="138" t="s">
        <v>8077</v>
      </c>
      <c r="C207" s="138" t="s">
        <v>4367</v>
      </c>
      <c r="D207" s="138" t="s">
        <v>19</v>
      </c>
      <c r="E207" s="138" t="s">
        <v>220</v>
      </c>
      <c r="F207" s="138" t="s">
        <v>8110</v>
      </c>
      <c r="H207" s="138">
        <v>206</v>
      </c>
      <c r="I207" s="138">
        <v>574</v>
      </c>
      <c r="J207" s="138">
        <v>318</v>
      </c>
      <c r="K207" s="138">
        <v>226</v>
      </c>
      <c r="N207" s="138">
        <v>1</v>
      </c>
      <c r="O207" s="138">
        <v>2</v>
      </c>
      <c r="S207" s="138">
        <v>19</v>
      </c>
      <c r="T207" s="138">
        <v>8</v>
      </c>
      <c r="U207" s="138">
        <f t="shared" si="0"/>
        <v>29</v>
      </c>
      <c r="W207" s="139">
        <f t="shared" ref="W207:AA207" si="412">J207/$I207</f>
        <v>0.55400696864111498</v>
      </c>
      <c r="X207" s="139">
        <f t="shared" si="412"/>
        <v>0.39372822299651566</v>
      </c>
      <c r="Y207" s="139">
        <f t="shared" si="412"/>
        <v>0</v>
      </c>
      <c r="Z207" s="139">
        <f t="shared" si="412"/>
        <v>0</v>
      </c>
      <c r="AA207" s="139">
        <f t="shared" si="412"/>
        <v>1.7421602787456446E-3</v>
      </c>
      <c r="AB207" s="139"/>
      <c r="AC207" s="139">
        <f t="shared" si="2"/>
        <v>5.0522648083623695E-2</v>
      </c>
      <c r="AD207" s="139">
        <f t="shared" ref="AD207:AI207" si="413">O207/$I207</f>
        <v>3.4843205574912892E-3</v>
      </c>
      <c r="AE207" s="139">
        <f t="shared" si="413"/>
        <v>0</v>
      </c>
      <c r="AF207" s="139">
        <f t="shared" si="413"/>
        <v>0</v>
      </c>
      <c r="AG207" s="139">
        <f t="shared" si="413"/>
        <v>0</v>
      </c>
      <c r="AH207" s="139">
        <f t="shared" si="413"/>
        <v>3.3101045296167246E-2</v>
      </c>
      <c r="AI207" s="139">
        <f t="shared" si="413"/>
        <v>1.3937282229965157E-2</v>
      </c>
    </row>
    <row r="208" spans="1:35">
      <c r="A208" s="138">
        <v>52</v>
      </c>
      <c r="B208" s="138" t="s">
        <v>8077</v>
      </c>
      <c r="C208" s="138" t="s">
        <v>4367</v>
      </c>
      <c r="D208" s="138" t="s">
        <v>19</v>
      </c>
      <c r="E208" s="138" t="s">
        <v>220</v>
      </c>
      <c r="F208" s="138" t="s">
        <v>8110</v>
      </c>
      <c r="H208" s="138">
        <v>207</v>
      </c>
      <c r="I208" s="138">
        <v>634</v>
      </c>
      <c r="J208" s="138">
        <v>344</v>
      </c>
      <c r="K208" s="138">
        <v>256</v>
      </c>
      <c r="N208" s="138">
        <v>6</v>
      </c>
      <c r="O208" s="138">
        <v>1</v>
      </c>
      <c r="S208" s="138">
        <v>18</v>
      </c>
      <c r="T208" s="138">
        <v>9</v>
      </c>
      <c r="U208" s="138">
        <f t="shared" si="0"/>
        <v>28</v>
      </c>
      <c r="W208" s="139">
        <f t="shared" ref="W208:AA208" si="414">J208/$I208</f>
        <v>0.54258675078864349</v>
      </c>
      <c r="X208" s="139">
        <f t="shared" si="414"/>
        <v>0.40378548895899052</v>
      </c>
      <c r="Y208" s="139">
        <f t="shared" si="414"/>
        <v>0</v>
      </c>
      <c r="Z208" s="139">
        <f t="shared" si="414"/>
        <v>0</v>
      </c>
      <c r="AA208" s="139">
        <f t="shared" si="414"/>
        <v>9.4637223974763408E-3</v>
      </c>
      <c r="AB208" s="139"/>
      <c r="AC208" s="139">
        <f t="shared" si="2"/>
        <v>4.4164037854889593E-2</v>
      </c>
      <c r="AD208" s="139">
        <f t="shared" ref="AD208:AI208" si="415">O208/$I208</f>
        <v>1.5772870662460567E-3</v>
      </c>
      <c r="AE208" s="139">
        <f t="shared" si="415"/>
        <v>0</v>
      </c>
      <c r="AF208" s="139">
        <f t="shared" si="415"/>
        <v>0</v>
      </c>
      <c r="AG208" s="139">
        <f t="shared" si="415"/>
        <v>0</v>
      </c>
      <c r="AH208" s="139">
        <f t="shared" si="415"/>
        <v>2.8391167192429023E-2</v>
      </c>
      <c r="AI208" s="139">
        <f t="shared" si="415"/>
        <v>1.4195583596214511E-2</v>
      </c>
    </row>
    <row r="209" spans="1:35">
      <c r="A209" s="138">
        <v>52</v>
      </c>
      <c r="B209" s="138" t="s">
        <v>8077</v>
      </c>
      <c r="C209" s="138" t="s">
        <v>4367</v>
      </c>
      <c r="D209" s="138" t="s">
        <v>19</v>
      </c>
      <c r="E209" s="138" t="s">
        <v>220</v>
      </c>
      <c r="F209" s="138" t="s">
        <v>8111</v>
      </c>
      <c r="H209" s="138">
        <v>208</v>
      </c>
      <c r="I209" s="138">
        <v>912</v>
      </c>
      <c r="J209" s="138">
        <v>572</v>
      </c>
      <c r="K209" s="138">
        <v>271</v>
      </c>
      <c r="N209" s="138">
        <v>5</v>
      </c>
      <c r="O209" s="138">
        <v>9</v>
      </c>
      <c r="S209" s="138">
        <v>45</v>
      </c>
      <c r="T209" s="138">
        <v>10</v>
      </c>
      <c r="U209" s="138">
        <f t="shared" si="0"/>
        <v>64</v>
      </c>
      <c r="W209" s="139">
        <f t="shared" ref="W209:AA209" si="416">J209/$I209</f>
        <v>0.6271929824561403</v>
      </c>
      <c r="X209" s="139">
        <f t="shared" si="416"/>
        <v>0.29714912280701755</v>
      </c>
      <c r="Y209" s="139">
        <f t="shared" si="416"/>
        <v>0</v>
      </c>
      <c r="Z209" s="139">
        <f t="shared" si="416"/>
        <v>0</v>
      </c>
      <c r="AA209" s="139">
        <f t="shared" si="416"/>
        <v>5.4824561403508769E-3</v>
      </c>
      <c r="AB209" s="139"/>
      <c r="AC209" s="139">
        <f t="shared" si="2"/>
        <v>7.0175438596491224E-2</v>
      </c>
      <c r="AD209" s="139">
        <f t="shared" ref="AD209:AI209" si="417">O209/$I209</f>
        <v>9.8684210526315784E-3</v>
      </c>
      <c r="AE209" s="139">
        <f t="shared" si="417"/>
        <v>0</v>
      </c>
      <c r="AF209" s="139">
        <f t="shared" si="417"/>
        <v>0</v>
      </c>
      <c r="AG209" s="139">
        <f t="shared" si="417"/>
        <v>0</v>
      </c>
      <c r="AH209" s="139">
        <f t="shared" si="417"/>
        <v>4.9342105263157895E-2</v>
      </c>
      <c r="AI209" s="139">
        <f t="shared" si="417"/>
        <v>1.0964912280701754E-2</v>
      </c>
    </row>
    <row r="210" spans="1:35">
      <c r="A210" s="138">
        <v>52</v>
      </c>
      <c r="B210" s="138" t="s">
        <v>8077</v>
      </c>
      <c r="C210" s="138" t="s">
        <v>4367</v>
      </c>
      <c r="D210" s="138" t="s">
        <v>19</v>
      </c>
      <c r="E210" s="138" t="s">
        <v>220</v>
      </c>
      <c r="F210" s="138" t="s">
        <v>8111</v>
      </c>
      <c r="H210" s="138">
        <v>209</v>
      </c>
      <c r="I210" s="138">
        <v>879</v>
      </c>
      <c r="J210" s="138">
        <v>469</v>
      </c>
      <c r="K210" s="138">
        <v>348</v>
      </c>
      <c r="N210" s="138">
        <v>5</v>
      </c>
      <c r="O210" s="138">
        <v>3</v>
      </c>
      <c r="S210" s="138">
        <v>45</v>
      </c>
      <c r="T210" s="138">
        <v>9</v>
      </c>
      <c r="U210" s="138">
        <f t="shared" si="0"/>
        <v>57</v>
      </c>
      <c r="W210" s="139">
        <f t="shared" ref="W210:AA210" si="418">J210/$I210</f>
        <v>0.53356086461888508</v>
      </c>
      <c r="X210" s="139">
        <f t="shared" si="418"/>
        <v>0.39590443686006827</v>
      </c>
      <c r="Y210" s="139">
        <f t="shared" si="418"/>
        <v>0</v>
      </c>
      <c r="Z210" s="139">
        <f t="shared" si="418"/>
        <v>0</v>
      </c>
      <c r="AA210" s="139">
        <f t="shared" si="418"/>
        <v>5.6882821387940841E-3</v>
      </c>
      <c r="AB210" s="139"/>
      <c r="AC210" s="139">
        <f t="shared" si="2"/>
        <v>6.4846416382252553E-2</v>
      </c>
      <c r="AD210" s="139">
        <f t="shared" ref="AD210:AI210" si="419">O210/$I210</f>
        <v>3.4129692832764505E-3</v>
      </c>
      <c r="AE210" s="139">
        <f t="shared" si="419"/>
        <v>0</v>
      </c>
      <c r="AF210" s="139">
        <f t="shared" si="419"/>
        <v>0</v>
      </c>
      <c r="AG210" s="139">
        <f t="shared" si="419"/>
        <v>0</v>
      </c>
      <c r="AH210" s="139">
        <f t="shared" si="419"/>
        <v>5.1194539249146756E-2</v>
      </c>
      <c r="AI210" s="139">
        <f t="shared" si="419"/>
        <v>1.0238907849829351E-2</v>
      </c>
    </row>
    <row r="211" spans="1:35">
      <c r="A211" s="138">
        <v>52</v>
      </c>
      <c r="B211" s="138" t="s">
        <v>8077</v>
      </c>
      <c r="C211" s="138" t="s">
        <v>4367</v>
      </c>
      <c r="D211" s="138" t="s">
        <v>19</v>
      </c>
      <c r="E211" s="138" t="s">
        <v>220</v>
      </c>
      <c r="F211" s="138" t="s">
        <v>8112</v>
      </c>
      <c r="H211" s="138">
        <v>210</v>
      </c>
      <c r="I211" s="138">
        <v>618</v>
      </c>
      <c r="J211" s="138">
        <v>400</v>
      </c>
      <c r="K211" s="138">
        <v>188</v>
      </c>
      <c r="N211" s="138">
        <v>2</v>
      </c>
      <c r="O211" s="138">
        <v>3</v>
      </c>
      <c r="S211" s="138">
        <v>18</v>
      </c>
      <c r="T211" s="138">
        <v>7</v>
      </c>
      <c r="U211" s="138">
        <f t="shared" si="0"/>
        <v>28</v>
      </c>
      <c r="W211" s="139">
        <f t="shared" ref="W211:AA211" si="420">J211/$I211</f>
        <v>0.6472491909385113</v>
      </c>
      <c r="X211" s="139">
        <f t="shared" si="420"/>
        <v>0.30420711974110032</v>
      </c>
      <c r="Y211" s="139">
        <f t="shared" si="420"/>
        <v>0</v>
      </c>
      <c r="Z211" s="139">
        <f t="shared" si="420"/>
        <v>0</v>
      </c>
      <c r="AA211" s="139">
        <f t="shared" si="420"/>
        <v>3.2362459546925568E-3</v>
      </c>
      <c r="AB211" s="139"/>
      <c r="AC211" s="139">
        <f t="shared" si="2"/>
        <v>4.5307443365695796E-2</v>
      </c>
      <c r="AD211" s="139">
        <f t="shared" ref="AD211:AI211" si="421">O211/$I211</f>
        <v>4.8543689320388345E-3</v>
      </c>
      <c r="AE211" s="139">
        <f t="shared" si="421"/>
        <v>0</v>
      </c>
      <c r="AF211" s="139">
        <f t="shared" si="421"/>
        <v>0</v>
      </c>
      <c r="AG211" s="139">
        <f t="shared" si="421"/>
        <v>0</v>
      </c>
      <c r="AH211" s="139">
        <f t="shared" si="421"/>
        <v>2.9126213592233011E-2</v>
      </c>
      <c r="AI211" s="139">
        <f t="shared" si="421"/>
        <v>1.1326860841423949E-2</v>
      </c>
    </row>
    <row r="212" spans="1:35">
      <c r="A212" s="138">
        <v>52</v>
      </c>
      <c r="B212" s="138" t="s">
        <v>8077</v>
      </c>
      <c r="C212" s="138" t="s">
        <v>4367</v>
      </c>
      <c r="D212" s="138" t="s">
        <v>19</v>
      </c>
      <c r="E212" s="138" t="s">
        <v>220</v>
      </c>
      <c r="F212" s="138" t="s">
        <v>8112</v>
      </c>
      <c r="H212" s="138">
        <v>211</v>
      </c>
      <c r="I212" s="138">
        <v>896</v>
      </c>
      <c r="J212" s="138">
        <v>489</v>
      </c>
      <c r="K212" s="138">
        <v>362</v>
      </c>
      <c r="N212" s="138">
        <v>7</v>
      </c>
      <c r="O212" s="138">
        <v>1</v>
      </c>
      <c r="S212" s="138">
        <v>26</v>
      </c>
      <c r="T212" s="138">
        <v>11</v>
      </c>
      <c r="U212" s="138">
        <f t="shared" si="0"/>
        <v>38</v>
      </c>
      <c r="W212" s="139">
        <f t="shared" ref="W212:AA212" si="422">J212/$I212</f>
        <v>0.5457589285714286</v>
      </c>
      <c r="X212" s="139">
        <f t="shared" si="422"/>
        <v>0.40401785714285715</v>
      </c>
      <c r="Y212" s="139">
        <f t="shared" si="422"/>
        <v>0</v>
      </c>
      <c r="Z212" s="139">
        <f t="shared" si="422"/>
        <v>0</v>
      </c>
      <c r="AA212" s="139">
        <f t="shared" si="422"/>
        <v>7.8125E-3</v>
      </c>
      <c r="AB212" s="139"/>
      <c r="AC212" s="139">
        <f t="shared" si="2"/>
        <v>4.2410714285714288E-2</v>
      </c>
      <c r="AD212" s="139">
        <f t="shared" ref="AD212:AI212" si="423">O212/$I212</f>
        <v>1.1160714285714285E-3</v>
      </c>
      <c r="AE212" s="139">
        <f t="shared" si="423"/>
        <v>0</v>
      </c>
      <c r="AF212" s="139">
        <f t="shared" si="423"/>
        <v>0</v>
      </c>
      <c r="AG212" s="139">
        <f t="shared" si="423"/>
        <v>0</v>
      </c>
      <c r="AH212" s="139">
        <f t="shared" si="423"/>
        <v>2.9017857142857144E-2</v>
      </c>
      <c r="AI212" s="139">
        <f t="shared" si="423"/>
        <v>1.2276785714285714E-2</v>
      </c>
    </row>
    <row r="213" spans="1:35">
      <c r="A213" s="138">
        <v>52</v>
      </c>
      <c r="B213" s="138" t="s">
        <v>8077</v>
      </c>
      <c r="C213" s="138" t="s">
        <v>4367</v>
      </c>
      <c r="D213" s="138" t="s">
        <v>19</v>
      </c>
      <c r="E213" s="138" t="s">
        <v>220</v>
      </c>
      <c r="F213" s="138" t="s">
        <v>8113</v>
      </c>
      <c r="H213" s="138">
        <v>212</v>
      </c>
      <c r="I213" s="138">
        <v>469</v>
      </c>
      <c r="J213" s="138">
        <v>200</v>
      </c>
      <c r="K213" s="138">
        <v>229</v>
      </c>
      <c r="N213" s="138">
        <v>4</v>
      </c>
      <c r="O213" s="138">
        <v>0</v>
      </c>
      <c r="S213" s="138">
        <v>25</v>
      </c>
      <c r="T213" s="138">
        <v>11</v>
      </c>
      <c r="U213" s="138">
        <f t="shared" si="0"/>
        <v>36</v>
      </c>
      <c r="W213" s="139">
        <f t="shared" ref="W213:AA213" si="424">J213/$I213</f>
        <v>0.42643923240938164</v>
      </c>
      <c r="X213" s="139">
        <f t="shared" si="424"/>
        <v>0.48827292110874199</v>
      </c>
      <c r="Y213" s="139">
        <f t="shared" si="424"/>
        <v>0</v>
      </c>
      <c r="Z213" s="139">
        <f t="shared" si="424"/>
        <v>0</v>
      </c>
      <c r="AA213" s="139">
        <f t="shared" si="424"/>
        <v>8.5287846481876331E-3</v>
      </c>
      <c r="AB213" s="139"/>
      <c r="AC213" s="139">
        <f t="shared" si="2"/>
        <v>7.6759061833688705E-2</v>
      </c>
      <c r="AD213" s="139">
        <f t="shared" ref="AD213:AI213" si="425">O213/$I213</f>
        <v>0</v>
      </c>
      <c r="AE213" s="139">
        <f t="shared" si="425"/>
        <v>0</v>
      </c>
      <c r="AF213" s="139">
        <f t="shared" si="425"/>
        <v>0</v>
      </c>
      <c r="AG213" s="139">
        <f t="shared" si="425"/>
        <v>0</v>
      </c>
      <c r="AH213" s="139">
        <f t="shared" si="425"/>
        <v>5.3304904051172705E-2</v>
      </c>
      <c r="AI213" s="139">
        <f t="shared" si="425"/>
        <v>2.3454157782515993E-2</v>
      </c>
    </row>
    <row r="214" spans="1:35">
      <c r="A214" s="138">
        <v>52</v>
      </c>
      <c r="B214" s="138" t="s">
        <v>8077</v>
      </c>
      <c r="C214" s="138" t="s">
        <v>4367</v>
      </c>
      <c r="D214" s="138" t="s">
        <v>19</v>
      </c>
      <c r="E214" s="138" t="s">
        <v>220</v>
      </c>
      <c r="F214" s="138" t="s">
        <v>8113</v>
      </c>
      <c r="H214" s="138">
        <v>213</v>
      </c>
      <c r="I214" s="138">
        <v>533</v>
      </c>
      <c r="J214" s="138">
        <v>179</v>
      </c>
      <c r="K214" s="138">
        <v>328</v>
      </c>
      <c r="N214" s="138">
        <v>6</v>
      </c>
      <c r="O214" s="138">
        <v>2</v>
      </c>
      <c r="S214" s="138">
        <v>15</v>
      </c>
      <c r="T214" s="138">
        <v>3</v>
      </c>
      <c r="U214" s="138">
        <f t="shared" si="0"/>
        <v>20</v>
      </c>
      <c r="W214" s="139">
        <f t="shared" ref="W214:AA214" si="426">J214/$I214</f>
        <v>0.33583489681050654</v>
      </c>
      <c r="X214" s="139">
        <f t="shared" si="426"/>
        <v>0.61538461538461542</v>
      </c>
      <c r="Y214" s="139">
        <f t="shared" si="426"/>
        <v>0</v>
      </c>
      <c r="Z214" s="139">
        <f t="shared" si="426"/>
        <v>0</v>
      </c>
      <c r="AA214" s="139">
        <f t="shared" si="426"/>
        <v>1.125703564727955E-2</v>
      </c>
      <c r="AB214" s="139"/>
      <c r="AC214" s="139">
        <f t="shared" si="2"/>
        <v>3.7523452157598502E-2</v>
      </c>
      <c r="AD214" s="139">
        <f t="shared" ref="AD214:AI214" si="427">O214/$I214</f>
        <v>3.7523452157598499E-3</v>
      </c>
      <c r="AE214" s="139">
        <f t="shared" si="427"/>
        <v>0</v>
      </c>
      <c r="AF214" s="139">
        <f t="shared" si="427"/>
        <v>0</v>
      </c>
      <c r="AG214" s="139">
        <f t="shared" si="427"/>
        <v>0</v>
      </c>
      <c r="AH214" s="139">
        <f t="shared" si="427"/>
        <v>2.8142589118198873E-2</v>
      </c>
      <c r="AI214" s="139">
        <f t="shared" si="427"/>
        <v>5.6285178236397749E-3</v>
      </c>
    </row>
    <row r="215" spans="1:35">
      <c r="A215" s="138">
        <v>52</v>
      </c>
      <c r="B215" s="138" t="s">
        <v>8077</v>
      </c>
      <c r="C215" s="138" t="s">
        <v>4367</v>
      </c>
      <c r="D215" s="138" t="s">
        <v>19</v>
      </c>
      <c r="E215" s="138" t="s">
        <v>220</v>
      </c>
      <c r="F215" s="138" t="s">
        <v>8113</v>
      </c>
      <c r="H215" s="138">
        <v>214</v>
      </c>
      <c r="I215" s="138">
        <v>756</v>
      </c>
      <c r="J215" s="138">
        <v>406</v>
      </c>
      <c r="K215" s="138">
        <v>300</v>
      </c>
      <c r="N215" s="138">
        <v>10</v>
      </c>
      <c r="O215" s="138">
        <v>1</v>
      </c>
      <c r="S215" s="138">
        <v>29</v>
      </c>
      <c r="T215" s="138">
        <v>10</v>
      </c>
      <c r="U215" s="138">
        <f t="shared" si="0"/>
        <v>40</v>
      </c>
      <c r="W215" s="139">
        <f t="shared" ref="W215:AA215" si="428">J215/$I215</f>
        <v>0.53703703703703709</v>
      </c>
      <c r="X215" s="139">
        <f t="shared" si="428"/>
        <v>0.3968253968253968</v>
      </c>
      <c r="Y215" s="139">
        <f t="shared" si="428"/>
        <v>0</v>
      </c>
      <c r="Z215" s="139">
        <f t="shared" si="428"/>
        <v>0</v>
      </c>
      <c r="AA215" s="139">
        <f t="shared" si="428"/>
        <v>1.3227513227513227E-2</v>
      </c>
      <c r="AB215" s="139"/>
      <c r="AC215" s="139">
        <f t="shared" si="2"/>
        <v>5.2910052910052907E-2</v>
      </c>
      <c r="AD215" s="139">
        <f t="shared" ref="AD215:AI215" si="429">O215/$I215</f>
        <v>1.3227513227513227E-3</v>
      </c>
      <c r="AE215" s="139">
        <f t="shared" si="429"/>
        <v>0</v>
      </c>
      <c r="AF215" s="139">
        <f t="shared" si="429"/>
        <v>0</v>
      </c>
      <c r="AG215" s="139">
        <f t="shared" si="429"/>
        <v>0</v>
      </c>
      <c r="AH215" s="139">
        <f t="shared" si="429"/>
        <v>3.8359788359788358E-2</v>
      </c>
      <c r="AI215" s="139">
        <f t="shared" si="429"/>
        <v>1.3227513227513227E-2</v>
      </c>
    </row>
    <row r="216" spans="1:35">
      <c r="A216" s="138">
        <v>52</v>
      </c>
      <c r="B216" s="138" t="s">
        <v>8077</v>
      </c>
      <c r="C216" s="138" t="s">
        <v>4367</v>
      </c>
      <c r="D216" s="138" t="s">
        <v>19</v>
      </c>
      <c r="E216" s="138" t="s">
        <v>220</v>
      </c>
      <c r="F216" s="138" t="s">
        <v>8113</v>
      </c>
      <c r="H216" s="138">
        <v>215</v>
      </c>
      <c r="I216" s="138">
        <v>611</v>
      </c>
      <c r="J216" s="138">
        <v>402</v>
      </c>
      <c r="K216" s="138">
        <v>170</v>
      </c>
      <c r="N216" s="138">
        <v>2</v>
      </c>
      <c r="O216" s="138">
        <v>2</v>
      </c>
      <c r="S216" s="138">
        <v>34</v>
      </c>
      <c r="T216" s="138">
        <v>1</v>
      </c>
      <c r="U216" s="138">
        <f t="shared" si="0"/>
        <v>37</v>
      </c>
      <c r="W216" s="139">
        <f t="shared" ref="W216:AA216" si="430">J216/$I216</f>
        <v>0.65793780687397707</v>
      </c>
      <c r="X216" s="139">
        <f t="shared" si="430"/>
        <v>0.27823240589198034</v>
      </c>
      <c r="Y216" s="139">
        <f t="shared" si="430"/>
        <v>0</v>
      </c>
      <c r="Z216" s="139">
        <f t="shared" si="430"/>
        <v>0</v>
      </c>
      <c r="AA216" s="139">
        <f t="shared" si="430"/>
        <v>3.2733224222585926E-3</v>
      </c>
      <c r="AB216" s="139"/>
      <c r="AC216" s="139">
        <f t="shared" si="2"/>
        <v>6.0556464811783964E-2</v>
      </c>
      <c r="AD216" s="139">
        <f t="shared" ref="AD216:AI216" si="431">O216/$I216</f>
        <v>3.2733224222585926E-3</v>
      </c>
      <c r="AE216" s="139">
        <f t="shared" si="431"/>
        <v>0</v>
      </c>
      <c r="AF216" s="139">
        <f t="shared" si="431"/>
        <v>0</v>
      </c>
      <c r="AG216" s="139">
        <f t="shared" si="431"/>
        <v>0</v>
      </c>
      <c r="AH216" s="139">
        <f t="shared" si="431"/>
        <v>5.5646481178396073E-2</v>
      </c>
      <c r="AI216" s="139">
        <f t="shared" si="431"/>
        <v>1.6366612111292963E-3</v>
      </c>
    </row>
    <row r="217" spans="1:35">
      <c r="A217" s="138">
        <v>52</v>
      </c>
      <c r="B217" s="138" t="s">
        <v>8077</v>
      </c>
      <c r="C217" s="138" t="s">
        <v>4367</v>
      </c>
      <c r="D217" s="138" t="s">
        <v>19</v>
      </c>
      <c r="E217" s="138" t="s">
        <v>220</v>
      </c>
      <c r="F217" s="138" t="s">
        <v>8113</v>
      </c>
      <c r="H217" s="138">
        <v>216</v>
      </c>
      <c r="I217" s="138">
        <v>410</v>
      </c>
      <c r="J217" s="138">
        <v>202</v>
      </c>
      <c r="K217" s="138">
        <v>177</v>
      </c>
      <c r="N217" s="138">
        <v>6</v>
      </c>
      <c r="O217" s="138">
        <v>0</v>
      </c>
      <c r="S217" s="138">
        <v>19</v>
      </c>
      <c r="T217" s="138">
        <v>6</v>
      </c>
      <c r="U217" s="138">
        <f t="shared" si="0"/>
        <v>25</v>
      </c>
      <c r="W217" s="139">
        <f t="shared" ref="W217:AA217" si="432">J217/$I217</f>
        <v>0.49268292682926829</v>
      </c>
      <c r="X217" s="139">
        <f t="shared" si="432"/>
        <v>0.43170731707317073</v>
      </c>
      <c r="Y217" s="139">
        <f t="shared" si="432"/>
        <v>0</v>
      </c>
      <c r="Z217" s="139">
        <f t="shared" si="432"/>
        <v>0</v>
      </c>
      <c r="AA217" s="139">
        <f t="shared" si="432"/>
        <v>1.4634146341463415E-2</v>
      </c>
      <c r="AB217" s="139"/>
      <c r="AC217" s="139">
        <f t="shared" si="2"/>
        <v>6.097560975609756E-2</v>
      </c>
      <c r="AD217" s="139">
        <f t="shared" ref="AD217:AI217" si="433">O217/$I217</f>
        <v>0</v>
      </c>
      <c r="AE217" s="139">
        <f t="shared" si="433"/>
        <v>0</v>
      </c>
      <c r="AF217" s="139">
        <f t="shared" si="433"/>
        <v>0</v>
      </c>
      <c r="AG217" s="139">
        <f t="shared" si="433"/>
        <v>0</v>
      </c>
      <c r="AH217" s="139">
        <f t="shared" si="433"/>
        <v>4.6341463414634146E-2</v>
      </c>
      <c r="AI217" s="139">
        <f t="shared" si="433"/>
        <v>1.4634146341463415E-2</v>
      </c>
    </row>
    <row r="218" spans="1:35">
      <c r="A218" s="138">
        <v>52</v>
      </c>
      <c r="B218" s="138" t="s">
        <v>8077</v>
      </c>
      <c r="C218" s="138" t="s">
        <v>4367</v>
      </c>
      <c r="D218" s="138" t="s">
        <v>19</v>
      </c>
      <c r="E218" s="138" t="s">
        <v>220</v>
      </c>
      <c r="F218" s="138" t="s">
        <v>8113</v>
      </c>
      <c r="H218" s="138">
        <v>217</v>
      </c>
      <c r="I218" s="138">
        <v>770</v>
      </c>
      <c r="J218" s="138">
        <v>436</v>
      </c>
      <c r="K218" s="138">
        <v>290</v>
      </c>
      <c r="N218" s="138">
        <v>2</v>
      </c>
      <c r="O218" s="138">
        <v>2</v>
      </c>
      <c r="S218" s="138">
        <v>33</v>
      </c>
      <c r="T218" s="138">
        <v>7</v>
      </c>
      <c r="U218" s="138">
        <f t="shared" si="0"/>
        <v>42</v>
      </c>
      <c r="W218" s="139">
        <f t="shared" ref="W218:AA218" si="434">J218/$I218</f>
        <v>0.5662337662337662</v>
      </c>
      <c r="X218" s="139">
        <f t="shared" si="434"/>
        <v>0.37662337662337664</v>
      </c>
      <c r="Y218" s="139">
        <f t="shared" si="434"/>
        <v>0</v>
      </c>
      <c r="Z218" s="139">
        <f t="shared" si="434"/>
        <v>0</v>
      </c>
      <c r="AA218" s="139">
        <f t="shared" si="434"/>
        <v>2.5974025974025974E-3</v>
      </c>
      <c r="AB218" s="139"/>
      <c r="AC218" s="139">
        <f t="shared" si="2"/>
        <v>5.4545454545454543E-2</v>
      </c>
      <c r="AD218" s="139">
        <f t="shared" ref="AD218:AI218" si="435">O218/$I218</f>
        <v>2.5974025974025974E-3</v>
      </c>
      <c r="AE218" s="139">
        <f t="shared" si="435"/>
        <v>0</v>
      </c>
      <c r="AF218" s="139">
        <f t="shared" si="435"/>
        <v>0</v>
      </c>
      <c r="AG218" s="139">
        <f t="shared" si="435"/>
        <v>0</v>
      </c>
      <c r="AH218" s="139">
        <f t="shared" si="435"/>
        <v>4.2857142857142858E-2</v>
      </c>
      <c r="AI218" s="139">
        <f t="shared" si="435"/>
        <v>9.0909090909090905E-3</v>
      </c>
    </row>
    <row r="219" spans="1:35">
      <c r="A219" s="138">
        <v>52</v>
      </c>
      <c r="B219" s="138" t="s">
        <v>8077</v>
      </c>
      <c r="C219" s="138" t="s">
        <v>4367</v>
      </c>
      <c r="D219" s="138" t="s">
        <v>19</v>
      </c>
      <c r="E219" s="138" t="s">
        <v>220</v>
      </c>
      <c r="F219" s="138" t="s">
        <v>8113</v>
      </c>
      <c r="H219" s="138">
        <v>218</v>
      </c>
      <c r="I219" s="138">
        <v>812</v>
      </c>
      <c r="J219" s="138">
        <v>519</v>
      </c>
      <c r="K219" s="138">
        <v>265</v>
      </c>
      <c r="N219" s="138">
        <v>4</v>
      </c>
      <c r="O219" s="138">
        <v>0</v>
      </c>
      <c r="S219" s="138">
        <v>21</v>
      </c>
      <c r="T219" s="138">
        <v>3</v>
      </c>
      <c r="U219" s="138">
        <f t="shared" si="0"/>
        <v>24</v>
      </c>
      <c r="W219" s="139">
        <f t="shared" ref="W219:AA219" si="436">J219/$I219</f>
        <v>0.63916256157635465</v>
      </c>
      <c r="X219" s="139">
        <f t="shared" si="436"/>
        <v>0.32635467980295568</v>
      </c>
      <c r="Y219" s="139">
        <f t="shared" si="436"/>
        <v>0</v>
      </c>
      <c r="Z219" s="139">
        <f t="shared" si="436"/>
        <v>0</v>
      </c>
      <c r="AA219" s="139">
        <f t="shared" si="436"/>
        <v>4.9261083743842365E-3</v>
      </c>
      <c r="AB219" s="139"/>
      <c r="AC219" s="139">
        <f t="shared" si="2"/>
        <v>2.9556650246305417E-2</v>
      </c>
      <c r="AD219" s="139">
        <f t="shared" ref="AD219:AI219" si="437">O219/$I219</f>
        <v>0</v>
      </c>
      <c r="AE219" s="139">
        <f t="shared" si="437"/>
        <v>0</v>
      </c>
      <c r="AF219" s="139">
        <f t="shared" si="437"/>
        <v>0</v>
      </c>
      <c r="AG219" s="139">
        <f t="shared" si="437"/>
        <v>0</v>
      </c>
      <c r="AH219" s="139">
        <f t="shared" si="437"/>
        <v>2.5862068965517241E-2</v>
      </c>
      <c r="AI219" s="139">
        <f t="shared" si="437"/>
        <v>3.6945812807881772E-3</v>
      </c>
    </row>
    <row r="220" spans="1:35">
      <c r="A220" s="138">
        <v>52</v>
      </c>
      <c r="B220" s="138" t="s">
        <v>8077</v>
      </c>
      <c r="C220" s="138" t="s">
        <v>4367</v>
      </c>
      <c r="D220" s="138" t="s">
        <v>19</v>
      </c>
      <c r="E220" s="138" t="s">
        <v>220</v>
      </c>
      <c r="F220" s="138" t="s">
        <v>8114</v>
      </c>
      <c r="H220" s="138">
        <v>219</v>
      </c>
      <c r="I220" s="138">
        <v>787</v>
      </c>
      <c r="J220" s="138">
        <v>398</v>
      </c>
      <c r="K220" s="138">
        <v>316</v>
      </c>
      <c r="N220" s="138">
        <v>6</v>
      </c>
      <c r="O220" s="138">
        <v>3</v>
      </c>
      <c r="S220" s="138">
        <v>51</v>
      </c>
      <c r="T220" s="138">
        <v>13</v>
      </c>
      <c r="U220" s="138">
        <f t="shared" si="0"/>
        <v>67</v>
      </c>
      <c r="W220" s="139">
        <f t="shared" ref="W220:AA220" si="438">J220/$I220</f>
        <v>0.50571791613722994</v>
      </c>
      <c r="X220" s="139">
        <f t="shared" si="438"/>
        <v>0.40152477763659467</v>
      </c>
      <c r="Y220" s="139">
        <f t="shared" si="438"/>
        <v>0</v>
      </c>
      <c r="Z220" s="139">
        <f t="shared" si="438"/>
        <v>0</v>
      </c>
      <c r="AA220" s="139">
        <f t="shared" si="438"/>
        <v>7.6238881829733167E-3</v>
      </c>
      <c r="AB220" s="139"/>
      <c r="AC220" s="139">
        <f t="shared" si="2"/>
        <v>8.5133418043202028E-2</v>
      </c>
      <c r="AD220" s="139">
        <f t="shared" ref="AD220:AI220" si="439">O220/$I220</f>
        <v>3.8119440914866584E-3</v>
      </c>
      <c r="AE220" s="139">
        <f t="shared" si="439"/>
        <v>0</v>
      </c>
      <c r="AF220" s="139">
        <f t="shared" si="439"/>
        <v>0</v>
      </c>
      <c r="AG220" s="139">
        <f t="shared" si="439"/>
        <v>0</v>
      </c>
      <c r="AH220" s="139">
        <f t="shared" si="439"/>
        <v>6.480304955527319E-2</v>
      </c>
      <c r="AI220" s="139">
        <f t="shared" si="439"/>
        <v>1.6518424396442185E-2</v>
      </c>
    </row>
    <row r="221" spans="1:35">
      <c r="A221" s="138">
        <v>52</v>
      </c>
      <c r="B221" s="138" t="s">
        <v>8077</v>
      </c>
      <c r="C221" s="138" t="s">
        <v>4367</v>
      </c>
      <c r="D221" s="138" t="s">
        <v>19</v>
      </c>
      <c r="E221" s="138" t="s">
        <v>220</v>
      </c>
      <c r="F221" s="138" t="s">
        <v>8114</v>
      </c>
      <c r="H221" s="138">
        <v>220</v>
      </c>
      <c r="I221" s="138">
        <v>627</v>
      </c>
      <c r="J221" s="138">
        <v>435</v>
      </c>
      <c r="K221" s="138">
        <v>163</v>
      </c>
      <c r="N221" s="138">
        <v>1</v>
      </c>
      <c r="O221" s="138">
        <v>2</v>
      </c>
      <c r="S221" s="138">
        <v>23</v>
      </c>
      <c r="T221" s="138">
        <v>3</v>
      </c>
      <c r="U221" s="138">
        <f t="shared" si="0"/>
        <v>28</v>
      </c>
      <c r="W221" s="139">
        <f t="shared" ref="W221:AA221" si="440">J221/$I221</f>
        <v>0.69377990430622005</v>
      </c>
      <c r="X221" s="139">
        <f t="shared" si="440"/>
        <v>0.25996810207336524</v>
      </c>
      <c r="Y221" s="139">
        <f t="shared" si="440"/>
        <v>0</v>
      </c>
      <c r="Z221" s="139">
        <f t="shared" si="440"/>
        <v>0</v>
      </c>
      <c r="AA221" s="139">
        <f t="shared" si="440"/>
        <v>1.594896331738437E-3</v>
      </c>
      <c r="AB221" s="139"/>
      <c r="AC221" s="139">
        <f t="shared" si="2"/>
        <v>4.4657097288676235E-2</v>
      </c>
      <c r="AD221" s="139">
        <f t="shared" ref="AD221:AI221" si="441">O221/$I221</f>
        <v>3.189792663476874E-3</v>
      </c>
      <c r="AE221" s="139">
        <f t="shared" si="441"/>
        <v>0</v>
      </c>
      <c r="AF221" s="139">
        <f t="shared" si="441"/>
        <v>0</v>
      </c>
      <c r="AG221" s="139">
        <f t="shared" si="441"/>
        <v>0</v>
      </c>
      <c r="AH221" s="139">
        <f t="shared" si="441"/>
        <v>3.6682615629984053E-2</v>
      </c>
      <c r="AI221" s="139">
        <f t="shared" si="441"/>
        <v>4.7846889952153108E-3</v>
      </c>
    </row>
    <row r="222" spans="1:35">
      <c r="A222" s="138">
        <v>52</v>
      </c>
      <c r="B222" s="138" t="s">
        <v>8077</v>
      </c>
      <c r="C222" s="138" t="s">
        <v>4367</v>
      </c>
      <c r="D222" s="138" t="s">
        <v>19</v>
      </c>
      <c r="E222" s="138" t="s">
        <v>220</v>
      </c>
      <c r="F222" s="138" t="s">
        <v>8114</v>
      </c>
      <c r="H222" s="138">
        <v>221</v>
      </c>
      <c r="I222" s="138">
        <v>573</v>
      </c>
      <c r="J222" s="138">
        <v>384</v>
      </c>
      <c r="K222" s="138">
        <v>149</v>
      </c>
      <c r="N222" s="138">
        <v>5</v>
      </c>
      <c r="O222" s="138">
        <v>0</v>
      </c>
      <c r="S222" s="138">
        <v>31</v>
      </c>
      <c r="T222" s="138">
        <v>4</v>
      </c>
      <c r="U222" s="138">
        <f t="shared" si="0"/>
        <v>35</v>
      </c>
      <c r="W222" s="139">
        <f t="shared" ref="W222:AA222" si="442">J222/$I222</f>
        <v>0.67015706806282727</v>
      </c>
      <c r="X222" s="139">
        <f t="shared" si="442"/>
        <v>0.26003490401396162</v>
      </c>
      <c r="Y222" s="139">
        <f t="shared" si="442"/>
        <v>0</v>
      </c>
      <c r="Z222" s="139">
        <f t="shared" si="442"/>
        <v>0</v>
      </c>
      <c r="AA222" s="139">
        <f t="shared" si="442"/>
        <v>8.7260034904013961E-3</v>
      </c>
      <c r="AB222" s="139"/>
      <c r="AC222" s="139">
        <f t="shared" si="2"/>
        <v>6.1082024432809773E-2</v>
      </c>
      <c r="AD222" s="139">
        <f t="shared" ref="AD222:AI222" si="443">O222/$I222</f>
        <v>0</v>
      </c>
      <c r="AE222" s="139">
        <f t="shared" si="443"/>
        <v>0</v>
      </c>
      <c r="AF222" s="139">
        <f t="shared" si="443"/>
        <v>0</v>
      </c>
      <c r="AG222" s="139">
        <f t="shared" si="443"/>
        <v>0</v>
      </c>
      <c r="AH222" s="139">
        <f t="shared" si="443"/>
        <v>5.4101221640488653E-2</v>
      </c>
      <c r="AI222" s="139">
        <f t="shared" si="443"/>
        <v>6.9808027923211171E-3</v>
      </c>
    </row>
    <row r="223" spans="1:35">
      <c r="A223" s="138">
        <v>52</v>
      </c>
      <c r="B223" s="138" t="s">
        <v>8077</v>
      </c>
      <c r="C223" s="138" t="s">
        <v>4367</v>
      </c>
      <c r="D223" s="138" t="s">
        <v>19</v>
      </c>
      <c r="E223" s="138" t="s">
        <v>220</v>
      </c>
      <c r="F223" s="138" t="s">
        <v>8115</v>
      </c>
      <c r="H223" s="138">
        <v>222</v>
      </c>
      <c r="I223" s="138">
        <v>856</v>
      </c>
      <c r="J223" s="138">
        <v>570</v>
      </c>
      <c r="K223" s="138">
        <v>218</v>
      </c>
      <c r="N223" s="138">
        <v>4</v>
      </c>
      <c r="O223" s="138">
        <v>0</v>
      </c>
      <c r="S223" s="138">
        <v>55</v>
      </c>
      <c r="T223" s="138">
        <v>9</v>
      </c>
      <c r="U223" s="138">
        <f t="shared" si="0"/>
        <v>64</v>
      </c>
      <c r="W223" s="139">
        <f t="shared" ref="W223:AA223" si="444">J223/$I223</f>
        <v>0.66588785046728971</v>
      </c>
      <c r="X223" s="139">
        <f t="shared" si="444"/>
        <v>0.25467289719626168</v>
      </c>
      <c r="Y223" s="139">
        <f t="shared" si="444"/>
        <v>0</v>
      </c>
      <c r="Z223" s="139">
        <f t="shared" si="444"/>
        <v>0</v>
      </c>
      <c r="AA223" s="139">
        <f t="shared" si="444"/>
        <v>4.6728971962616819E-3</v>
      </c>
      <c r="AB223" s="139"/>
      <c r="AC223" s="139">
        <f t="shared" si="2"/>
        <v>7.476635514018691E-2</v>
      </c>
      <c r="AD223" s="139">
        <f t="shared" ref="AD223:AI223" si="445">O223/$I223</f>
        <v>0</v>
      </c>
      <c r="AE223" s="139">
        <f t="shared" si="445"/>
        <v>0</v>
      </c>
      <c r="AF223" s="139">
        <f t="shared" si="445"/>
        <v>0</v>
      </c>
      <c r="AG223" s="139">
        <f t="shared" si="445"/>
        <v>0</v>
      </c>
      <c r="AH223" s="139">
        <f t="shared" si="445"/>
        <v>6.4252336448598124E-2</v>
      </c>
      <c r="AI223" s="139">
        <f t="shared" si="445"/>
        <v>1.0514018691588784E-2</v>
      </c>
    </row>
    <row r="224" spans="1:35">
      <c r="A224" s="138">
        <v>52</v>
      </c>
      <c r="B224" s="138" t="s">
        <v>8077</v>
      </c>
      <c r="C224" s="138" t="s">
        <v>4367</v>
      </c>
      <c r="D224" s="138" t="s">
        <v>19</v>
      </c>
      <c r="E224" s="138" t="s">
        <v>220</v>
      </c>
      <c r="F224" s="138" t="s">
        <v>8116</v>
      </c>
      <c r="H224" s="138">
        <v>223</v>
      </c>
      <c r="I224" s="138">
        <v>908</v>
      </c>
      <c r="J224" s="138">
        <v>542</v>
      </c>
      <c r="K224" s="138">
        <v>249</v>
      </c>
      <c r="N224" s="138">
        <v>3</v>
      </c>
      <c r="O224" s="138">
        <v>3</v>
      </c>
      <c r="S224" s="138">
        <v>106</v>
      </c>
      <c r="T224" s="138">
        <v>5</v>
      </c>
      <c r="U224" s="138">
        <f t="shared" si="0"/>
        <v>114</v>
      </c>
      <c r="W224" s="139">
        <f t="shared" ref="W224:AA224" si="446">J224/$I224</f>
        <v>0.59691629955947134</v>
      </c>
      <c r="X224" s="139">
        <f t="shared" si="446"/>
        <v>0.27422907488986786</v>
      </c>
      <c r="Y224" s="139">
        <f t="shared" si="446"/>
        <v>0</v>
      </c>
      <c r="Z224" s="139">
        <f t="shared" si="446"/>
        <v>0</v>
      </c>
      <c r="AA224" s="139">
        <f t="shared" si="446"/>
        <v>3.3039647577092512E-3</v>
      </c>
      <c r="AB224" s="139"/>
      <c r="AC224" s="139">
        <f t="shared" si="2"/>
        <v>0.12555066079295155</v>
      </c>
      <c r="AD224" s="139">
        <f t="shared" ref="AD224:AI224" si="447">O224/$I224</f>
        <v>3.3039647577092512E-3</v>
      </c>
      <c r="AE224" s="139">
        <f t="shared" si="447"/>
        <v>0</v>
      </c>
      <c r="AF224" s="139">
        <f t="shared" si="447"/>
        <v>0</v>
      </c>
      <c r="AG224" s="139">
        <f t="shared" si="447"/>
        <v>0</v>
      </c>
      <c r="AH224" s="139">
        <f t="shared" si="447"/>
        <v>0.11674008810572688</v>
      </c>
      <c r="AI224" s="139">
        <f t="shared" si="447"/>
        <v>5.5066079295154188E-3</v>
      </c>
    </row>
    <row r="225" spans="1:35">
      <c r="A225" s="138">
        <v>52</v>
      </c>
      <c r="B225" s="138" t="s">
        <v>8077</v>
      </c>
      <c r="C225" s="138" t="s">
        <v>4367</v>
      </c>
      <c r="D225" s="138" t="s">
        <v>19</v>
      </c>
      <c r="E225" s="138" t="s">
        <v>220</v>
      </c>
      <c r="F225" s="138" t="s">
        <v>8116</v>
      </c>
      <c r="H225" s="138">
        <v>224</v>
      </c>
      <c r="I225" s="138">
        <v>907</v>
      </c>
      <c r="J225" s="138">
        <v>574</v>
      </c>
      <c r="K225" s="138">
        <v>244</v>
      </c>
      <c r="N225" s="138">
        <v>5</v>
      </c>
      <c r="O225" s="138">
        <v>5</v>
      </c>
      <c r="S225" s="138">
        <v>71</v>
      </c>
      <c r="T225" s="138">
        <v>8</v>
      </c>
      <c r="U225" s="138">
        <f t="shared" si="0"/>
        <v>84</v>
      </c>
      <c r="W225" s="139">
        <f t="shared" ref="W225:AA225" si="448">J225/$I225</f>
        <v>0.63285556780595364</v>
      </c>
      <c r="X225" s="139">
        <f t="shared" si="448"/>
        <v>0.26901874310915103</v>
      </c>
      <c r="Y225" s="139">
        <f t="shared" si="448"/>
        <v>0</v>
      </c>
      <c r="Z225" s="139">
        <f t="shared" si="448"/>
        <v>0</v>
      </c>
      <c r="AA225" s="139">
        <f t="shared" si="448"/>
        <v>5.512679162072767E-3</v>
      </c>
      <c r="AB225" s="139"/>
      <c r="AC225" s="139">
        <f t="shared" si="2"/>
        <v>9.2613009922822495E-2</v>
      </c>
      <c r="AD225" s="139">
        <f t="shared" ref="AD225:AI225" si="449">O225/$I225</f>
        <v>5.512679162072767E-3</v>
      </c>
      <c r="AE225" s="139">
        <f t="shared" si="449"/>
        <v>0</v>
      </c>
      <c r="AF225" s="139">
        <f t="shared" si="449"/>
        <v>0</v>
      </c>
      <c r="AG225" s="139">
        <f t="shared" si="449"/>
        <v>0</v>
      </c>
      <c r="AH225" s="139">
        <f t="shared" si="449"/>
        <v>7.8280044101433299E-2</v>
      </c>
      <c r="AI225" s="139">
        <f t="shared" si="449"/>
        <v>8.8202866593164279E-3</v>
      </c>
    </row>
    <row r="226" spans="1:35">
      <c r="A226" s="138">
        <v>52</v>
      </c>
      <c r="B226" s="138" t="s">
        <v>8077</v>
      </c>
      <c r="C226" s="138" t="s">
        <v>4367</v>
      </c>
      <c r="D226" s="138" t="s">
        <v>19</v>
      </c>
      <c r="E226" s="138" t="s">
        <v>220</v>
      </c>
      <c r="F226" s="138" t="s">
        <v>8116</v>
      </c>
      <c r="H226" s="138">
        <v>225</v>
      </c>
      <c r="I226" s="138">
        <v>689</v>
      </c>
      <c r="J226" s="138">
        <v>449</v>
      </c>
      <c r="K226" s="138">
        <v>158</v>
      </c>
      <c r="N226" s="138">
        <v>1</v>
      </c>
      <c r="O226" s="138">
        <v>3</v>
      </c>
      <c r="S226" s="138">
        <v>68</v>
      </c>
      <c r="T226" s="138">
        <v>10</v>
      </c>
      <c r="U226" s="138">
        <f t="shared" si="0"/>
        <v>81</v>
      </c>
      <c r="W226" s="139">
        <f t="shared" ref="W226:AA226" si="450">J226/$I226</f>
        <v>0.65166908563134973</v>
      </c>
      <c r="X226" s="139">
        <f t="shared" si="450"/>
        <v>0.22931785195936139</v>
      </c>
      <c r="Y226" s="139">
        <f t="shared" si="450"/>
        <v>0</v>
      </c>
      <c r="Z226" s="139">
        <f t="shared" si="450"/>
        <v>0</v>
      </c>
      <c r="AA226" s="139">
        <f t="shared" si="450"/>
        <v>1.4513788098693759E-3</v>
      </c>
      <c r="AB226" s="139"/>
      <c r="AC226" s="139">
        <f t="shared" si="2"/>
        <v>0.11756168359941944</v>
      </c>
      <c r="AD226" s="139">
        <f t="shared" ref="AD226:AI226" si="451">O226/$I226</f>
        <v>4.3541364296081275E-3</v>
      </c>
      <c r="AE226" s="139">
        <f t="shared" si="451"/>
        <v>0</v>
      </c>
      <c r="AF226" s="139">
        <f t="shared" si="451"/>
        <v>0</v>
      </c>
      <c r="AG226" s="139">
        <f t="shared" si="451"/>
        <v>0</v>
      </c>
      <c r="AH226" s="139">
        <f t="shared" si="451"/>
        <v>9.8693759071117562E-2</v>
      </c>
      <c r="AI226" s="139">
        <f t="shared" si="451"/>
        <v>1.4513788098693759E-2</v>
      </c>
    </row>
    <row r="227" spans="1:35">
      <c r="A227" s="138">
        <v>52</v>
      </c>
      <c r="B227" s="138" t="s">
        <v>8077</v>
      </c>
      <c r="C227" s="138" t="s">
        <v>4367</v>
      </c>
      <c r="D227" s="138" t="s">
        <v>19</v>
      </c>
      <c r="E227" s="138" t="s">
        <v>220</v>
      </c>
      <c r="F227" s="138" t="s">
        <v>8116</v>
      </c>
      <c r="H227" s="138">
        <v>226</v>
      </c>
      <c r="I227" s="138">
        <v>686</v>
      </c>
      <c r="J227" s="138">
        <v>328</v>
      </c>
      <c r="K227" s="138">
        <v>252</v>
      </c>
      <c r="N227" s="138">
        <v>3</v>
      </c>
      <c r="O227" s="138">
        <v>2</v>
      </c>
      <c r="S227" s="138">
        <v>89</v>
      </c>
      <c r="T227" s="138">
        <v>12</v>
      </c>
      <c r="U227" s="138">
        <f t="shared" si="0"/>
        <v>103</v>
      </c>
      <c r="W227" s="139">
        <f t="shared" ref="W227:AA227" si="452">J227/$I227</f>
        <v>0.478134110787172</v>
      </c>
      <c r="X227" s="139">
        <f t="shared" si="452"/>
        <v>0.36734693877551022</v>
      </c>
      <c r="Y227" s="139">
        <f t="shared" si="452"/>
        <v>0</v>
      </c>
      <c r="Z227" s="139">
        <f t="shared" si="452"/>
        <v>0</v>
      </c>
      <c r="AA227" s="139">
        <f t="shared" si="452"/>
        <v>4.3731778425655978E-3</v>
      </c>
      <c r="AB227" s="139"/>
      <c r="AC227" s="139">
        <f t="shared" si="2"/>
        <v>0.15014577259475217</v>
      </c>
      <c r="AD227" s="139">
        <f t="shared" ref="AD227:AI227" si="453">O227/$I227</f>
        <v>2.9154518950437317E-3</v>
      </c>
      <c r="AE227" s="139">
        <f t="shared" si="453"/>
        <v>0</v>
      </c>
      <c r="AF227" s="139">
        <f t="shared" si="453"/>
        <v>0</v>
      </c>
      <c r="AG227" s="139">
        <f t="shared" si="453"/>
        <v>0</v>
      </c>
      <c r="AH227" s="139">
        <f t="shared" si="453"/>
        <v>0.12973760932944606</v>
      </c>
      <c r="AI227" s="139">
        <f t="shared" si="453"/>
        <v>1.7492711370262391E-2</v>
      </c>
    </row>
    <row r="228" spans="1:35">
      <c r="A228" s="138">
        <v>52</v>
      </c>
      <c r="B228" s="138" t="s">
        <v>8077</v>
      </c>
      <c r="C228" s="138" t="s">
        <v>4367</v>
      </c>
      <c r="D228" s="138" t="s">
        <v>19</v>
      </c>
      <c r="E228" s="138" t="s">
        <v>220</v>
      </c>
      <c r="F228" s="138" t="s">
        <v>1174</v>
      </c>
      <c r="H228" s="138">
        <v>227</v>
      </c>
      <c r="I228" s="138">
        <v>867</v>
      </c>
      <c r="J228" s="138">
        <v>634</v>
      </c>
      <c r="K228" s="138">
        <v>185</v>
      </c>
      <c r="N228" s="138">
        <v>8</v>
      </c>
      <c r="O228" s="138">
        <v>2</v>
      </c>
      <c r="S228" s="138">
        <v>33</v>
      </c>
      <c r="T228" s="138">
        <v>5</v>
      </c>
      <c r="U228" s="138">
        <f t="shared" si="0"/>
        <v>40</v>
      </c>
      <c r="W228" s="139">
        <f t="shared" ref="W228:AA228" si="454">J228/$I228</f>
        <v>0.73125720876585931</v>
      </c>
      <c r="X228" s="139">
        <f t="shared" si="454"/>
        <v>0.21337946943483277</v>
      </c>
      <c r="Y228" s="139">
        <f t="shared" si="454"/>
        <v>0</v>
      </c>
      <c r="Z228" s="139">
        <f t="shared" si="454"/>
        <v>0</v>
      </c>
      <c r="AA228" s="139">
        <f t="shared" si="454"/>
        <v>9.22722029988466E-3</v>
      </c>
      <c r="AB228" s="139"/>
      <c r="AC228" s="139">
        <f t="shared" si="2"/>
        <v>4.61361014994233E-2</v>
      </c>
      <c r="AD228" s="139">
        <f t="shared" ref="AD228:AI228" si="455">O228/$I228</f>
        <v>2.306805074971165E-3</v>
      </c>
      <c r="AE228" s="139">
        <f t="shared" si="455"/>
        <v>0</v>
      </c>
      <c r="AF228" s="139">
        <f t="shared" si="455"/>
        <v>0</v>
      </c>
      <c r="AG228" s="139">
        <f t="shared" si="455"/>
        <v>0</v>
      </c>
      <c r="AH228" s="139">
        <f t="shared" si="455"/>
        <v>3.8062283737024222E-2</v>
      </c>
      <c r="AI228" s="139">
        <f t="shared" si="455"/>
        <v>5.7670126874279125E-3</v>
      </c>
    </row>
    <row r="229" spans="1:35">
      <c r="A229" s="138">
        <v>52</v>
      </c>
      <c r="B229" s="138" t="s">
        <v>8077</v>
      </c>
      <c r="C229" s="138" t="s">
        <v>4367</v>
      </c>
      <c r="D229" s="138" t="s">
        <v>19</v>
      </c>
      <c r="E229" s="138" t="s">
        <v>220</v>
      </c>
      <c r="F229" s="138" t="s">
        <v>1174</v>
      </c>
      <c r="H229" s="138">
        <v>228</v>
      </c>
      <c r="I229" s="138">
        <v>901</v>
      </c>
      <c r="J229" s="138">
        <v>641</v>
      </c>
      <c r="K229" s="138">
        <v>196</v>
      </c>
      <c r="N229" s="138">
        <v>8</v>
      </c>
      <c r="O229" s="138">
        <v>3</v>
      </c>
      <c r="S229" s="138">
        <v>42</v>
      </c>
      <c r="T229" s="138">
        <v>11</v>
      </c>
      <c r="U229" s="138">
        <f t="shared" si="0"/>
        <v>56</v>
      </c>
      <c r="W229" s="139">
        <f t="shared" ref="W229:AA229" si="456">J229/$I229</f>
        <v>0.71143174250832408</v>
      </c>
      <c r="X229" s="139">
        <f t="shared" si="456"/>
        <v>0.21753607103218647</v>
      </c>
      <c r="Y229" s="139">
        <f t="shared" si="456"/>
        <v>0</v>
      </c>
      <c r="Z229" s="139">
        <f t="shared" si="456"/>
        <v>0</v>
      </c>
      <c r="AA229" s="139">
        <f t="shared" si="456"/>
        <v>8.8790233074361822E-3</v>
      </c>
      <c r="AB229" s="139"/>
      <c r="AC229" s="139">
        <f t="shared" si="2"/>
        <v>6.2153163152053277E-2</v>
      </c>
      <c r="AD229" s="139">
        <f t="shared" ref="AD229:AI229" si="457">O229/$I229</f>
        <v>3.3296337402885681E-3</v>
      </c>
      <c r="AE229" s="139">
        <f t="shared" si="457"/>
        <v>0</v>
      </c>
      <c r="AF229" s="139">
        <f t="shared" si="457"/>
        <v>0</v>
      </c>
      <c r="AG229" s="139">
        <f t="shared" si="457"/>
        <v>0</v>
      </c>
      <c r="AH229" s="139">
        <f t="shared" si="457"/>
        <v>4.6614872364039953E-2</v>
      </c>
      <c r="AI229" s="139">
        <f t="shared" si="457"/>
        <v>1.2208657047724751E-2</v>
      </c>
    </row>
    <row r="230" spans="1:35">
      <c r="A230" s="138">
        <v>52</v>
      </c>
      <c r="B230" s="138" t="s">
        <v>8077</v>
      </c>
      <c r="C230" s="138" t="s">
        <v>4367</v>
      </c>
      <c r="D230" s="138" t="s">
        <v>19</v>
      </c>
      <c r="E230" s="138" t="s">
        <v>220</v>
      </c>
      <c r="F230" s="138" t="s">
        <v>1174</v>
      </c>
      <c r="H230" s="138">
        <v>229</v>
      </c>
      <c r="I230" s="138">
        <v>1010</v>
      </c>
      <c r="J230" s="138">
        <v>719</v>
      </c>
      <c r="K230" s="138">
        <v>222</v>
      </c>
      <c r="N230" s="138">
        <v>7</v>
      </c>
      <c r="O230" s="138">
        <v>5</v>
      </c>
      <c r="S230" s="138">
        <v>49</v>
      </c>
      <c r="T230" s="138">
        <v>8</v>
      </c>
      <c r="U230" s="138">
        <f t="shared" si="0"/>
        <v>62</v>
      </c>
      <c r="W230" s="139">
        <f t="shared" ref="W230:AA230" si="458">J230/$I230</f>
        <v>0.71188118811881185</v>
      </c>
      <c r="X230" s="139">
        <f t="shared" si="458"/>
        <v>0.2198019801980198</v>
      </c>
      <c r="Y230" s="139">
        <f t="shared" si="458"/>
        <v>0</v>
      </c>
      <c r="Z230" s="139">
        <f t="shared" si="458"/>
        <v>0</v>
      </c>
      <c r="AA230" s="139">
        <f t="shared" si="458"/>
        <v>6.9306930693069308E-3</v>
      </c>
      <c r="AB230" s="139"/>
      <c r="AC230" s="139">
        <f t="shared" si="2"/>
        <v>6.1386138613861385E-2</v>
      </c>
      <c r="AD230" s="139">
        <f t="shared" ref="AD230:AI230" si="459">O230/$I230</f>
        <v>4.9504950495049506E-3</v>
      </c>
      <c r="AE230" s="139">
        <f t="shared" si="459"/>
        <v>0</v>
      </c>
      <c r="AF230" s="139">
        <f t="shared" si="459"/>
        <v>0</v>
      </c>
      <c r="AG230" s="139">
        <f t="shared" si="459"/>
        <v>0</v>
      </c>
      <c r="AH230" s="139">
        <f t="shared" si="459"/>
        <v>4.8514851485148516E-2</v>
      </c>
      <c r="AI230" s="139">
        <f t="shared" si="459"/>
        <v>7.9207920792079209E-3</v>
      </c>
    </row>
    <row r="231" spans="1:35">
      <c r="A231" s="138">
        <v>52</v>
      </c>
      <c r="B231" s="138" t="s">
        <v>8077</v>
      </c>
      <c r="C231" s="138" t="s">
        <v>4367</v>
      </c>
      <c r="D231" s="138" t="s">
        <v>19</v>
      </c>
      <c r="E231" s="138" t="s">
        <v>220</v>
      </c>
      <c r="F231" s="138" t="s">
        <v>1174</v>
      </c>
      <c r="H231" s="138">
        <v>230</v>
      </c>
      <c r="I231" s="138">
        <v>997</v>
      </c>
      <c r="J231" s="138">
        <v>716</v>
      </c>
      <c r="K231" s="138">
        <v>193</v>
      </c>
      <c r="N231" s="138">
        <v>8</v>
      </c>
      <c r="O231" s="138">
        <v>10</v>
      </c>
      <c r="S231" s="138">
        <v>54</v>
      </c>
      <c r="T231" s="138">
        <v>16</v>
      </c>
      <c r="U231" s="138">
        <f t="shared" si="0"/>
        <v>80</v>
      </c>
      <c r="W231" s="139">
        <f t="shared" ref="W231:AA231" si="460">J231/$I231</f>
        <v>0.71815446339017053</v>
      </c>
      <c r="X231" s="139">
        <f t="shared" si="460"/>
        <v>0.19358074222668004</v>
      </c>
      <c r="Y231" s="139">
        <f t="shared" si="460"/>
        <v>0</v>
      </c>
      <c r="Z231" s="139">
        <f t="shared" si="460"/>
        <v>0</v>
      </c>
      <c r="AA231" s="139">
        <f t="shared" si="460"/>
        <v>8.0240722166499499E-3</v>
      </c>
      <c r="AB231" s="139"/>
      <c r="AC231" s="139">
        <f t="shared" si="2"/>
        <v>8.0240722166499495E-2</v>
      </c>
      <c r="AD231" s="139">
        <f t="shared" ref="AD231:AI231" si="461">O231/$I231</f>
        <v>1.0030090270812437E-2</v>
      </c>
      <c r="AE231" s="139">
        <f t="shared" si="461"/>
        <v>0</v>
      </c>
      <c r="AF231" s="139">
        <f t="shared" si="461"/>
        <v>0</v>
      </c>
      <c r="AG231" s="139">
        <f t="shared" si="461"/>
        <v>0</v>
      </c>
      <c r="AH231" s="139">
        <f t="shared" si="461"/>
        <v>5.4162487462387159E-2</v>
      </c>
      <c r="AI231" s="139">
        <f t="shared" si="461"/>
        <v>1.60481444332999E-2</v>
      </c>
    </row>
    <row r="232" spans="1:35">
      <c r="A232" s="138">
        <v>52</v>
      </c>
      <c r="B232" s="138" t="s">
        <v>8077</v>
      </c>
      <c r="C232" s="138" t="s">
        <v>4367</v>
      </c>
      <c r="D232" s="138" t="s">
        <v>19</v>
      </c>
      <c r="E232" s="138" t="s">
        <v>220</v>
      </c>
      <c r="F232" s="138" t="s">
        <v>1174</v>
      </c>
      <c r="H232" s="138">
        <v>231</v>
      </c>
      <c r="I232" s="138">
        <v>902</v>
      </c>
      <c r="J232" s="138">
        <v>602</v>
      </c>
      <c r="K232" s="138">
        <v>217</v>
      </c>
      <c r="N232" s="138">
        <v>8</v>
      </c>
      <c r="O232" s="138">
        <v>4</v>
      </c>
      <c r="S232" s="138">
        <v>60</v>
      </c>
      <c r="T232" s="138">
        <v>11</v>
      </c>
      <c r="U232" s="138">
        <f t="shared" si="0"/>
        <v>75</v>
      </c>
      <c r="W232" s="139">
        <f t="shared" ref="W232:AA232" si="462">J232/$I232</f>
        <v>0.66740576496674053</v>
      </c>
      <c r="X232" s="139">
        <f t="shared" si="462"/>
        <v>0.24057649667405764</v>
      </c>
      <c r="Y232" s="139">
        <f t="shared" si="462"/>
        <v>0</v>
      </c>
      <c r="Z232" s="139">
        <f t="shared" si="462"/>
        <v>0</v>
      </c>
      <c r="AA232" s="139">
        <f t="shared" si="462"/>
        <v>8.869179600886918E-3</v>
      </c>
      <c r="AB232" s="139"/>
      <c r="AC232" s="139">
        <f t="shared" si="2"/>
        <v>8.3148558758314853E-2</v>
      </c>
      <c r="AD232" s="139">
        <f t="shared" ref="AD232:AI232" si="463">O232/$I232</f>
        <v>4.434589800443459E-3</v>
      </c>
      <c r="AE232" s="139">
        <f t="shared" si="463"/>
        <v>0</v>
      </c>
      <c r="AF232" s="139">
        <f t="shared" si="463"/>
        <v>0</v>
      </c>
      <c r="AG232" s="139">
        <f t="shared" si="463"/>
        <v>0</v>
      </c>
      <c r="AH232" s="139">
        <f t="shared" si="463"/>
        <v>6.6518847006651879E-2</v>
      </c>
      <c r="AI232" s="139">
        <f t="shared" si="463"/>
        <v>1.2195121951219513E-2</v>
      </c>
    </row>
    <row r="233" spans="1:35">
      <c r="A233" s="138">
        <v>52</v>
      </c>
      <c r="B233" s="138" t="s">
        <v>8077</v>
      </c>
      <c r="C233" s="138" t="s">
        <v>4367</v>
      </c>
      <c r="D233" s="138" t="s">
        <v>19</v>
      </c>
      <c r="E233" s="138" t="s">
        <v>220</v>
      </c>
      <c r="F233" s="138" t="s">
        <v>8117</v>
      </c>
      <c r="H233" s="138">
        <v>232</v>
      </c>
      <c r="I233" s="138">
        <v>627</v>
      </c>
      <c r="J233" s="138">
        <v>457</v>
      </c>
      <c r="K233" s="138">
        <v>157</v>
      </c>
      <c r="N233" s="138">
        <v>3</v>
      </c>
      <c r="O233" s="138">
        <v>1</v>
      </c>
      <c r="S233" s="138">
        <v>7</v>
      </c>
      <c r="T233" s="138">
        <v>2</v>
      </c>
      <c r="U233" s="138">
        <f t="shared" si="0"/>
        <v>10</v>
      </c>
      <c r="W233" s="139">
        <f t="shared" ref="W233:AA233" si="464">J233/$I233</f>
        <v>0.72886762360446566</v>
      </c>
      <c r="X233" s="139">
        <f t="shared" si="464"/>
        <v>0.25039872408293462</v>
      </c>
      <c r="Y233" s="139">
        <f t="shared" si="464"/>
        <v>0</v>
      </c>
      <c r="Z233" s="139">
        <f t="shared" si="464"/>
        <v>0</v>
      </c>
      <c r="AA233" s="139">
        <f t="shared" si="464"/>
        <v>4.7846889952153108E-3</v>
      </c>
      <c r="AB233" s="139"/>
      <c r="AC233" s="139">
        <f t="shared" si="2"/>
        <v>1.5948963317384369E-2</v>
      </c>
      <c r="AD233" s="139">
        <f t="shared" ref="AD233:AI233" si="465">O233/$I233</f>
        <v>1.594896331738437E-3</v>
      </c>
      <c r="AE233" s="139">
        <f t="shared" si="465"/>
        <v>0</v>
      </c>
      <c r="AF233" s="139">
        <f t="shared" si="465"/>
        <v>0</v>
      </c>
      <c r="AG233" s="139">
        <f t="shared" si="465"/>
        <v>0</v>
      </c>
      <c r="AH233" s="139">
        <f t="shared" si="465"/>
        <v>1.1164274322169059E-2</v>
      </c>
      <c r="AI233" s="139">
        <f t="shared" si="465"/>
        <v>3.189792663476874E-3</v>
      </c>
    </row>
    <row r="234" spans="1:35">
      <c r="A234" s="138">
        <v>52</v>
      </c>
      <c r="B234" s="138" t="s">
        <v>8077</v>
      </c>
      <c r="C234" s="138" t="s">
        <v>4367</v>
      </c>
      <c r="D234" s="138" t="s">
        <v>19</v>
      </c>
      <c r="E234" s="138" t="s">
        <v>220</v>
      </c>
      <c r="F234" s="138" t="s">
        <v>8117</v>
      </c>
      <c r="H234" s="138">
        <v>233</v>
      </c>
      <c r="I234" s="138">
        <v>687</v>
      </c>
      <c r="J234" s="138">
        <v>512</v>
      </c>
      <c r="K234" s="138">
        <v>144</v>
      </c>
      <c r="N234" s="138">
        <v>5</v>
      </c>
      <c r="O234" s="138">
        <v>0</v>
      </c>
      <c r="S234" s="138">
        <v>20</v>
      </c>
      <c r="T234" s="138">
        <v>6</v>
      </c>
      <c r="U234" s="138">
        <f t="shared" si="0"/>
        <v>26</v>
      </c>
      <c r="W234" s="139">
        <f t="shared" ref="W234:AA234" si="466">J234/$I234</f>
        <v>0.74526928675400295</v>
      </c>
      <c r="X234" s="139">
        <f t="shared" si="466"/>
        <v>0.20960698689956331</v>
      </c>
      <c r="Y234" s="139">
        <f t="shared" si="466"/>
        <v>0</v>
      </c>
      <c r="Z234" s="139">
        <f t="shared" si="466"/>
        <v>0</v>
      </c>
      <c r="AA234" s="139">
        <f t="shared" si="466"/>
        <v>7.2780203784570596E-3</v>
      </c>
      <c r="AB234" s="139"/>
      <c r="AC234" s="139">
        <f t="shared" si="2"/>
        <v>3.7845705967976713E-2</v>
      </c>
      <c r="AD234" s="139">
        <f t="shared" ref="AD234:AI234" si="467">O234/$I234</f>
        <v>0</v>
      </c>
      <c r="AE234" s="139">
        <f t="shared" si="467"/>
        <v>0</v>
      </c>
      <c r="AF234" s="139">
        <f t="shared" si="467"/>
        <v>0</v>
      </c>
      <c r="AG234" s="139">
        <f t="shared" si="467"/>
        <v>0</v>
      </c>
      <c r="AH234" s="139">
        <f t="shared" si="467"/>
        <v>2.9112081513828238E-2</v>
      </c>
      <c r="AI234" s="139">
        <f t="shared" si="467"/>
        <v>8.7336244541484712E-3</v>
      </c>
    </row>
    <row r="235" spans="1:35">
      <c r="A235" s="138">
        <v>52</v>
      </c>
      <c r="B235" s="138" t="s">
        <v>8077</v>
      </c>
      <c r="C235" s="138" t="s">
        <v>4367</v>
      </c>
      <c r="D235" s="138" t="s">
        <v>19</v>
      </c>
      <c r="E235" s="138" t="s">
        <v>220</v>
      </c>
      <c r="F235" s="138" t="s">
        <v>8117</v>
      </c>
      <c r="H235" s="138">
        <v>234</v>
      </c>
      <c r="I235" s="138">
        <v>843</v>
      </c>
      <c r="J235" s="138">
        <v>526</v>
      </c>
      <c r="K235" s="138">
        <v>294</v>
      </c>
      <c r="N235" s="138">
        <v>3</v>
      </c>
      <c r="O235" s="138">
        <v>1</v>
      </c>
      <c r="S235" s="138">
        <v>18</v>
      </c>
      <c r="T235" s="138">
        <v>1</v>
      </c>
      <c r="U235" s="138">
        <f t="shared" si="0"/>
        <v>20</v>
      </c>
      <c r="W235" s="139">
        <f t="shared" ref="W235:AA235" si="468">J235/$I235</f>
        <v>0.62396204033214708</v>
      </c>
      <c r="X235" s="139">
        <f t="shared" si="468"/>
        <v>0.3487544483985765</v>
      </c>
      <c r="Y235" s="139">
        <f t="shared" si="468"/>
        <v>0</v>
      </c>
      <c r="Z235" s="139">
        <f t="shared" si="468"/>
        <v>0</v>
      </c>
      <c r="AA235" s="139">
        <f t="shared" si="468"/>
        <v>3.5587188612099642E-3</v>
      </c>
      <c r="AB235" s="139"/>
      <c r="AC235" s="139">
        <f t="shared" si="2"/>
        <v>2.3724792408066429E-2</v>
      </c>
      <c r="AD235" s="139">
        <f t="shared" ref="AD235:AI235" si="469">O235/$I235</f>
        <v>1.1862396204033216E-3</v>
      </c>
      <c r="AE235" s="139">
        <f t="shared" si="469"/>
        <v>0</v>
      </c>
      <c r="AF235" s="139">
        <f t="shared" si="469"/>
        <v>0</v>
      </c>
      <c r="AG235" s="139">
        <f t="shared" si="469"/>
        <v>0</v>
      </c>
      <c r="AH235" s="139">
        <f t="shared" si="469"/>
        <v>2.1352313167259787E-2</v>
      </c>
      <c r="AI235" s="139">
        <f t="shared" si="469"/>
        <v>1.1862396204033216E-3</v>
      </c>
    </row>
    <row r="236" spans="1:35">
      <c r="A236" s="138">
        <v>52</v>
      </c>
      <c r="B236" s="138" t="s">
        <v>8077</v>
      </c>
      <c r="C236" s="138" t="s">
        <v>4367</v>
      </c>
      <c r="D236" s="138" t="s">
        <v>19</v>
      </c>
      <c r="E236" s="138" t="s">
        <v>220</v>
      </c>
      <c r="F236" s="138" t="s">
        <v>8117</v>
      </c>
      <c r="H236" s="138">
        <v>235</v>
      </c>
      <c r="I236" s="138">
        <v>692</v>
      </c>
      <c r="J236" s="138">
        <v>368</v>
      </c>
      <c r="K236" s="138">
        <v>294</v>
      </c>
      <c r="N236" s="138">
        <v>6</v>
      </c>
      <c r="O236" s="138">
        <v>1</v>
      </c>
      <c r="S236" s="138">
        <v>18</v>
      </c>
      <c r="T236" s="138">
        <v>5</v>
      </c>
      <c r="U236" s="138">
        <f t="shared" si="0"/>
        <v>24</v>
      </c>
      <c r="W236" s="139">
        <f t="shared" ref="W236:AA236" si="470">J236/$I236</f>
        <v>0.53179190751445082</v>
      </c>
      <c r="X236" s="139">
        <f t="shared" si="470"/>
        <v>0.42485549132947975</v>
      </c>
      <c r="Y236" s="139">
        <f t="shared" si="470"/>
        <v>0</v>
      </c>
      <c r="Z236" s="139">
        <f t="shared" si="470"/>
        <v>0</v>
      </c>
      <c r="AA236" s="139">
        <f t="shared" si="470"/>
        <v>8.670520231213872E-3</v>
      </c>
      <c r="AB236" s="139"/>
      <c r="AC236" s="139">
        <f t="shared" si="2"/>
        <v>3.4682080924855488E-2</v>
      </c>
      <c r="AD236" s="139">
        <f t="shared" ref="AD236:AI236" si="471">O236/$I236</f>
        <v>1.4450867052023121E-3</v>
      </c>
      <c r="AE236" s="139">
        <f t="shared" si="471"/>
        <v>0</v>
      </c>
      <c r="AF236" s="139">
        <f t="shared" si="471"/>
        <v>0</v>
      </c>
      <c r="AG236" s="139">
        <f t="shared" si="471"/>
        <v>0</v>
      </c>
      <c r="AH236" s="139">
        <f t="shared" si="471"/>
        <v>2.6011560693641619E-2</v>
      </c>
      <c r="AI236" s="139">
        <f t="shared" si="471"/>
        <v>7.2254335260115606E-3</v>
      </c>
    </row>
    <row r="237" spans="1:35">
      <c r="A237" s="138">
        <v>52</v>
      </c>
      <c r="B237" s="138" t="s">
        <v>8077</v>
      </c>
      <c r="C237" s="138" t="s">
        <v>4367</v>
      </c>
      <c r="D237" s="138" t="s">
        <v>19</v>
      </c>
      <c r="E237" s="138" t="s">
        <v>220</v>
      </c>
      <c r="F237" s="138" t="s">
        <v>1174</v>
      </c>
      <c r="H237" s="138">
        <v>236</v>
      </c>
      <c r="I237" s="138">
        <v>807</v>
      </c>
      <c r="J237" s="138">
        <v>635</v>
      </c>
      <c r="K237" s="138">
        <v>138</v>
      </c>
      <c r="N237" s="138">
        <v>7</v>
      </c>
      <c r="O237" s="138">
        <v>5</v>
      </c>
      <c r="S237" s="138">
        <v>21</v>
      </c>
      <c r="T237" s="138">
        <v>1</v>
      </c>
      <c r="U237" s="138">
        <f t="shared" si="0"/>
        <v>27</v>
      </c>
      <c r="W237" s="139">
        <f t="shared" ref="W237:AA237" si="472">J237/$I237</f>
        <v>0.78686493184634454</v>
      </c>
      <c r="X237" s="139">
        <f t="shared" si="472"/>
        <v>0.17100371747211895</v>
      </c>
      <c r="Y237" s="139">
        <f t="shared" si="472"/>
        <v>0</v>
      </c>
      <c r="Z237" s="139">
        <f t="shared" si="472"/>
        <v>0</v>
      </c>
      <c r="AA237" s="139">
        <f t="shared" si="472"/>
        <v>8.6741016109045856E-3</v>
      </c>
      <c r="AB237" s="139"/>
      <c r="AC237" s="139">
        <f t="shared" si="2"/>
        <v>3.3457249070631967E-2</v>
      </c>
      <c r="AD237" s="139">
        <f t="shared" ref="AD237:AI237" si="473">O237/$I237</f>
        <v>6.1957868649318466E-3</v>
      </c>
      <c r="AE237" s="139">
        <f t="shared" si="473"/>
        <v>0</v>
      </c>
      <c r="AF237" s="139">
        <f t="shared" si="473"/>
        <v>0</v>
      </c>
      <c r="AG237" s="139">
        <f t="shared" si="473"/>
        <v>0</v>
      </c>
      <c r="AH237" s="139">
        <f t="shared" si="473"/>
        <v>2.6022304832713755E-2</v>
      </c>
      <c r="AI237" s="139">
        <f t="shared" si="473"/>
        <v>1.2391573729863693E-3</v>
      </c>
    </row>
    <row r="238" spans="1:35">
      <c r="A238" s="138">
        <v>52</v>
      </c>
      <c r="B238" s="138" t="s">
        <v>8077</v>
      </c>
      <c r="C238" s="138" t="s">
        <v>4367</v>
      </c>
      <c r="D238" s="138" t="s">
        <v>19</v>
      </c>
      <c r="E238" s="138" t="s">
        <v>220</v>
      </c>
      <c r="F238" s="138" t="s">
        <v>1174</v>
      </c>
      <c r="H238" s="138">
        <v>237</v>
      </c>
      <c r="I238" s="138">
        <v>886</v>
      </c>
      <c r="J238" s="138">
        <v>747</v>
      </c>
      <c r="K238" s="138">
        <v>114</v>
      </c>
      <c r="N238" s="138">
        <v>4</v>
      </c>
      <c r="O238" s="138">
        <v>1</v>
      </c>
      <c r="S238" s="138">
        <v>18</v>
      </c>
      <c r="T238" s="138">
        <v>2</v>
      </c>
      <c r="U238" s="138">
        <f t="shared" si="0"/>
        <v>21</v>
      </c>
      <c r="W238" s="139">
        <f t="shared" ref="W238:AA238" si="474">J238/$I238</f>
        <v>0.84311512415349887</v>
      </c>
      <c r="X238" s="139">
        <f t="shared" si="474"/>
        <v>0.12866817155756208</v>
      </c>
      <c r="Y238" s="139">
        <f t="shared" si="474"/>
        <v>0</v>
      </c>
      <c r="Z238" s="139">
        <f t="shared" si="474"/>
        <v>0</v>
      </c>
      <c r="AA238" s="139">
        <f t="shared" si="474"/>
        <v>4.5146726862302479E-3</v>
      </c>
      <c r="AB238" s="139"/>
      <c r="AC238" s="139">
        <f t="shared" si="2"/>
        <v>2.3702031602708805E-2</v>
      </c>
      <c r="AD238" s="139">
        <f t="shared" ref="AD238:AI238" si="475">O238/$I238</f>
        <v>1.128668171557562E-3</v>
      </c>
      <c r="AE238" s="139">
        <f t="shared" si="475"/>
        <v>0</v>
      </c>
      <c r="AF238" s="139">
        <f t="shared" si="475"/>
        <v>0</v>
      </c>
      <c r="AG238" s="139">
        <f t="shared" si="475"/>
        <v>0</v>
      </c>
      <c r="AH238" s="139">
        <f t="shared" si="475"/>
        <v>2.0316027088036117E-2</v>
      </c>
      <c r="AI238" s="139">
        <f t="shared" si="475"/>
        <v>2.257336343115124E-3</v>
      </c>
    </row>
    <row r="239" spans="1:35">
      <c r="A239" s="138">
        <v>52</v>
      </c>
      <c r="B239" s="138" t="s">
        <v>8077</v>
      </c>
      <c r="C239" s="138" t="s">
        <v>4367</v>
      </c>
      <c r="D239" s="138" t="s">
        <v>19</v>
      </c>
      <c r="E239" s="138" t="s">
        <v>220</v>
      </c>
      <c r="F239" s="138" t="s">
        <v>1174</v>
      </c>
      <c r="H239" s="138">
        <v>238</v>
      </c>
      <c r="I239" s="138">
        <v>830</v>
      </c>
      <c r="J239" s="138">
        <v>484</v>
      </c>
      <c r="K239" s="138">
        <v>280</v>
      </c>
      <c r="N239" s="138">
        <v>3</v>
      </c>
      <c r="O239" s="138">
        <v>6</v>
      </c>
      <c r="S239" s="138">
        <v>34</v>
      </c>
      <c r="T239" s="138">
        <v>23</v>
      </c>
      <c r="U239" s="138">
        <f t="shared" si="0"/>
        <v>63</v>
      </c>
      <c r="W239" s="139">
        <f t="shared" ref="W239:AA239" si="476">J239/$I239</f>
        <v>0.58313253012048194</v>
      </c>
      <c r="X239" s="139">
        <f t="shared" si="476"/>
        <v>0.33734939759036142</v>
      </c>
      <c r="Y239" s="139">
        <f t="shared" si="476"/>
        <v>0</v>
      </c>
      <c r="Z239" s="139">
        <f t="shared" si="476"/>
        <v>0</v>
      </c>
      <c r="AA239" s="139">
        <f t="shared" si="476"/>
        <v>3.6144578313253013E-3</v>
      </c>
      <c r="AB239" s="139"/>
      <c r="AC239" s="139">
        <f t="shared" si="2"/>
        <v>7.5903614457831323E-2</v>
      </c>
      <c r="AD239" s="139">
        <f t="shared" ref="AD239:AI239" si="477">O239/$I239</f>
        <v>7.2289156626506026E-3</v>
      </c>
      <c r="AE239" s="139">
        <f t="shared" si="477"/>
        <v>0</v>
      </c>
      <c r="AF239" s="139">
        <f t="shared" si="477"/>
        <v>0</v>
      </c>
      <c r="AG239" s="139">
        <f t="shared" si="477"/>
        <v>0</v>
      </c>
      <c r="AH239" s="139">
        <f t="shared" si="477"/>
        <v>4.0963855421686748E-2</v>
      </c>
      <c r="AI239" s="139">
        <f t="shared" si="477"/>
        <v>2.7710843373493974E-2</v>
      </c>
    </row>
    <row r="240" spans="1:35">
      <c r="A240" s="138">
        <v>52</v>
      </c>
      <c r="B240" s="138" t="s">
        <v>8077</v>
      </c>
      <c r="C240" s="138" t="s">
        <v>4367</v>
      </c>
      <c r="D240" s="138" t="s">
        <v>19</v>
      </c>
      <c r="E240" s="138" t="s">
        <v>220</v>
      </c>
      <c r="F240" s="138" t="s">
        <v>1200</v>
      </c>
      <c r="H240" s="138">
        <v>239</v>
      </c>
      <c r="I240" s="138">
        <v>945</v>
      </c>
      <c r="J240" s="138">
        <v>655</v>
      </c>
      <c r="K240" s="138">
        <v>254</v>
      </c>
      <c r="N240" s="138">
        <v>5</v>
      </c>
      <c r="O240" s="138">
        <v>5</v>
      </c>
      <c r="S240" s="138">
        <v>21</v>
      </c>
      <c r="T240" s="138">
        <v>5</v>
      </c>
      <c r="U240" s="138">
        <f t="shared" si="0"/>
        <v>31</v>
      </c>
      <c r="W240" s="139">
        <f t="shared" ref="W240:AA240" si="478">J240/$I240</f>
        <v>0.69312169312169314</v>
      </c>
      <c r="X240" s="139">
        <f t="shared" si="478"/>
        <v>0.26878306878306879</v>
      </c>
      <c r="Y240" s="139">
        <f t="shared" si="478"/>
        <v>0</v>
      </c>
      <c r="Z240" s="139">
        <f t="shared" si="478"/>
        <v>0</v>
      </c>
      <c r="AA240" s="139">
        <f t="shared" si="478"/>
        <v>5.2910052910052907E-3</v>
      </c>
      <c r="AB240" s="139"/>
      <c r="AC240" s="139">
        <f t="shared" si="2"/>
        <v>3.2804232804232801E-2</v>
      </c>
      <c r="AD240" s="139">
        <f t="shared" ref="AD240:AI240" si="479">O240/$I240</f>
        <v>5.2910052910052907E-3</v>
      </c>
      <c r="AE240" s="139">
        <f t="shared" si="479"/>
        <v>0</v>
      </c>
      <c r="AF240" s="139">
        <f t="shared" si="479"/>
        <v>0</v>
      </c>
      <c r="AG240" s="139">
        <f t="shared" si="479"/>
        <v>0</v>
      </c>
      <c r="AH240" s="139">
        <f t="shared" si="479"/>
        <v>2.2222222222222223E-2</v>
      </c>
      <c r="AI240" s="139">
        <f t="shared" si="479"/>
        <v>5.2910052910052907E-3</v>
      </c>
    </row>
    <row r="241" spans="1:35">
      <c r="A241" s="138">
        <v>52</v>
      </c>
      <c r="B241" s="138" t="s">
        <v>8077</v>
      </c>
      <c r="C241" s="138" t="s">
        <v>4367</v>
      </c>
      <c r="D241" s="138" t="s">
        <v>19</v>
      </c>
      <c r="E241" s="138" t="s">
        <v>220</v>
      </c>
      <c r="F241" s="138" t="s">
        <v>1174</v>
      </c>
      <c r="H241" s="138">
        <v>240</v>
      </c>
      <c r="I241" s="138">
        <v>689</v>
      </c>
      <c r="J241" s="138">
        <v>507</v>
      </c>
      <c r="K241" s="138">
        <v>160</v>
      </c>
      <c r="N241" s="138">
        <v>6</v>
      </c>
      <c r="O241" s="138">
        <v>1</v>
      </c>
      <c r="S241" s="138">
        <v>13</v>
      </c>
      <c r="T241" s="138">
        <v>2</v>
      </c>
      <c r="U241" s="138">
        <f t="shared" si="0"/>
        <v>16</v>
      </c>
      <c r="W241" s="139">
        <f t="shared" ref="W241:AA241" si="480">J241/$I241</f>
        <v>0.73584905660377353</v>
      </c>
      <c r="X241" s="139">
        <f t="shared" si="480"/>
        <v>0.23222060957910015</v>
      </c>
      <c r="Y241" s="139">
        <f t="shared" si="480"/>
        <v>0</v>
      </c>
      <c r="Z241" s="139">
        <f t="shared" si="480"/>
        <v>0</v>
      </c>
      <c r="AA241" s="139">
        <f t="shared" si="480"/>
        <v>8.708272859216255E-3</v>
      </c>
      <c r="AB241" s="139"/>
      <c r="AC241" s="139">
        <f t="shared" si="2"/>
        <v>2.3222060957910014E-2</v>
      </c>
      <c r="AD241" s="139">
        <f t="shared" ref="AD241:AI241" si="481">O241/$I241</f>
        <v>1.4513788098693759E-3</v>
      </c>
      <c r="AE241" s="139">
        <f t="shared" si="481"/>
        <v>0</v>
      </c>
      <c r="AF241" s="139">
        <f t="shared" si="481"/>
        <v>0</v>
      </c>
      <c r="AG241" s="139">
        <f t="shared" si="481"/>
        <v>0</v>
      </c>
      <c r="AH241" s="139">
        <f t="shared" si="481"/>
        <v>1.8867924528301886E-2</v>
      </c>
      <c r="AI241" s="139">
        <f t="shared" si="481"/>
        <v>2.9027576197387518E-3</v>
      </c>
    </row>
    <row r="242" spans="1:35">
      <c r="A242" s="138">
        <v>52</v>
      </c>
      <c r="B242" s="138" t="s">
        <v>8077</v>
      </c>
      <c r="C242" s="138" t="s">
        <v>4367</v>
      </c>
      <c r="D242" s="138" t="s">
        <v>19</v>
      </c>
      <c r="E242" s="138" t="s">
        <v>220</v>
      </c>
      <c r="F242" s="138" t="s">
        <v>1174</v>
      </c>
      <c r="H242" s="138">
        <v>241</v>
      </c>
      <c r="I242" s="138">
        <v>697</v>
      </c>
      <c r="J242" s="138">
        <v>388</v>
      </c>
      <c r="K242" s="138">
        <v>263</v>
      </c>
      <c r="N242" s="138">
        <v>3</v>
      </c>
      <c r="O242" s="138">
        <v>1</v>
      </c>
      <c r="S242" s="138">
        <v>26</v>
      </c>
      <c r="T242" s="138">
        <v>16</v>
      </c>
      <c r="U242" s="138">
        <f t="shared" si="0"/>
        <v>43</v>
      </c>
      <c r="W242" s="139">
        <f t="shared" ref="W242:AA242" si="482">J242/$I242</f>
        <v>0.55667144906743182</v>
      </c>
      <c r="X242" s="139">
        <f t="shared" si="482"/>
        <v>0.37733142037302725</v>
      </c>
      <c r="Y242" s="139">
        <f t="shared" si="482"/>
        <v>0</v>
      </c>
      <c r="Z242" s="139">
        <f t="shared" si="482"/>
        <v>0</v>
      </c>
      <c r="AA242" s="139">
        <f t="shared" si="482"/>
        <v>4.30416068866571E-3</v>
      </c>
      <c r="AB242" s="139"/>
      <c r="AC242" s="139">
        <f t="shared" si="2"/>
        <v>6.1692969870875178E-2</v>
      </c>
      <c r="AD242" s="139">
        <f t="shared" ref="AD242:AI242" si="483">O242/$I242</f>
        <v>1.4347202295552368E-3</v>
      </c>
      <c r="AE242" s="139">
        <f t="shared" si="483"/>
        <v>0</v>
      </c>
      <c r="AF242" s="139">
        <f t="shared" si="483"/>
        <v>0</v>
      </c>
      <c r="AG242" s="139">
        <f t="shared" si="483"/>
        <v>0</v>
      </c>
      <c r="AH242" s="139">
        <f t="shared" si="483"/>
        <v>3.7302725968436153E-2</v>
      </c>
      <c r="AI242" s="139">
        <f t="shared" si="483"/>
        <v>2.2955523672883789E-2</v>
      </c>
    </row>
    <row r="243" spans="1:35">
      <c r="A243" s="138">
        <v>52</v>
      </c>
      <c r="B243" s="138" t="s">
        <v>8077</v>
      </c>
      <c r="C243" s="138" t="s">
        <v>4367</v>
      </c>
      <c r="D243" s="138" t="s">
        <v>19</v>
      </c>
      <c r="E243" s="138" t="s">
        <v>220</v>
      </c>
      <c r="F243" s="138" t="s">
        <v>1174</v>
      </c>
      <c r="H243" s="138">
        <v>242</v>
      </c>
      <c r="I243" s="138">
        <v>821</v>
      </c>
      <c r="J243" s="138">
        <v>586</v>
      </c>
      <c r="K243" s="138">
        <v>185</v>
      </c>
      <c r="N243" s="138">
        <v>8</v>
      </c>
      <c r="O243" s="138">
        <v>2</v>
      </c>
      <c r="S243" s="138">
        <v>35</v>
      </c>
      <c r="T243" s="138">
        <v>5</v>
      </c>
      <c r="U243" s="138">
        <f t="shared" si="0"/>
        <v>42</v>
      </c>
      <c r="W243" s="139">
        <f t="shared" ref="W243:AA243" si="484">J243/$I243</f>
        <v>0.71376370280146162</v>
      </c>
      <c r="X243" s="139">
        <f t="shared" si="484"/>
        <v>0.22533495736906212</v>
      </c>
      <c r="Y243" s="139">
        <f t="shared" si="484"/>
        <v>0</v>
      </c>
      <c r="Z243" s="139">
        <f t="shared" si="484"/>
        <v>0</v>
      </c>
      <c r="AA243" s="139">
        <f t="shared" si="484"/>
        <v>9.7442143727161992E-3</v>
      </c>
      <c r="AB243" s="139"/>
      <c r="AC243" s="139">
        <f t="shared" si="2"/>
        <v>5.1157125456760051E-2</v>
      </c>
      <c r="AD243" s="139">
        <f t="shared" ref="AD243:AI243" si="485">O243/$I243</f>
        <v>2.4360535931790498E-3</v>
      </c>
      <c r="AE243" s="139">
        <f t="shared" si="485"/>
        <v>0</v>
      </c>
      <c r="AF243" s="139">
        <f t="shared" si="485"/>
        <v>0</v>
      </c>
      <c r="AG243" s="139">
        <f t="shared" si="485"/>
        <v>0</v>
      </c>
      <c r="AH243" s="139">
        <f t="shared" si="485"/>
        <v>4.2630937880633372E-2</v>
      </c>
      <c r="AI243" s="139">
        <f t="shared" si="485"/>
        <v>6.0901339829476245E-3</v>
      </c>
    </row>
    <row r="244" spans="1:35">
      <c r="A244" s="138">
        <v>52</v>
      </c>
      <c r="B244" s="138" t="s">
        <v>8077</v>
      </c>
      <c r="C244" s="138" t="s">
        <v>4367</v>
      </c>
      <c r="D244" s="138" t="s">
        <v>19</v>
      </c>
      <c r="E244" s="138" t="s">
        <v>220</v>
      </c>
      <c r="F244" s="138" t="s">
        <v>1174</v>
      </c>
      <c r="H244" s="138">
        <v>243</v>
      </c>
      <c r="I244" s="138">
        <v>620</v>
      </c>
      <c r="J244" s="138">
        <v>418</v>
      </c>
      <c r="K244" s="138">
        <v>163</v>
      </c>
      <c r="N244" s="138">
        <v>5</v>
      </c>
      <c r="O244" s="138">
        <v>5</v>
      </c>
      <c r="S244" s="138">
        <v>28</v>
      </c>
      <c r="T244" s="138">
        <v>1</v>
      </c>
      <c r="U244" s="138">
        <f t="shared" si="0"/>
        <v>34</v>
      </c>
      <c r="W244" s="139">
        <f t="shared" ref="W244:AA244" si="486">J244/$I244</f>
        <v>0.67419354838709677</v>
      </c>
      <c r="X244" s="139">
        <f t="shared" si="486"/>
        <v>0.26290322580645159</v>
      </c>
      <c r="Y244" s="139">
        <f t="shared" si="486"/>
        <v>0</v>
      </c>
      <c r="Z244" s="139">
        <f t="shared" si="486"/>
        <v>0</v>
      </c>
      <c r="AA244" s="139">
        <f t="shared" si="486"/>
        <v>8.0645161290322578E-3</v>
      </c>
      <c r="AB244" s="139"/>
      <c r="AC244" s="139">
        <f t="shared" si="2"/>
        <v>5.4838709677419356E-2</v>
      </c>
      <c r="AD244" s="139">
        <f t="shared" ref="AD244:AI244" si="487">O244/$I244</f>
        <v>8.0645161290322578E-3</v>
      </c>
      <c r="AE244" s="139">
        <f t="shared" si="487"/>
        <v>0</v>
      </c>
      <c r="AF244" s="139">
        <f t="shared" si="487"/>
        <v>0</v>
      </c>
      <c r="AG244" s="139">
        <f t="shared" si="487"/>
        <v>0</v>
      </c>
      <c r="AH244" s="139">
        <f t="shared" si="487"/>
        <v>4.5161290322580643E-2</v>
      </c>
      <c r="AI244" s="139">
        <f t="shared" si="487"/>
        <v>1.6129032258064516E-3</v>
      </c>
    </row>
    <row r="245" spans="1:35">
      <c r="A245" s="138">
        <v>52</v>
      </c>
      <c r="B245" s="138" t="s">
        <v>8077</v>
      </c>
      <c r="C245" s="138" t="s">
        <v>4367</v>
      </c>
      <c r="D245" s="138" t="s">
        <v>19</v>
      </c>
      <c r="E245" s="138" t="s">
        <v>220</v>
      </c>
      <c r="F245" s="138" t="s">
        <v>1174</v>
      </c>
      <c r="H245" s="138">
        <v>244</v>
      </c>
      <c r="I245" s="138">
        <v>743</v>
      </c>
      <c r="J245" s="138">
        <v>433</v>
      </c>
      <c r="K245" s="138">
        <v>268</v>
      </c>
      <c r="N245" s="138">
        <v>6</v>
      </c>
      <c r="O245" s="138">
        <v>3</v>
      </c>
      <c r="S245" s="138">
        <v>21</v>
      </c>
      <c r="T245" s="138">
        <v>12</v>
      </c>
      <c r="U245" s="138">
        <f t="shared" si="0"/>
        <v>36</v>
      </c>
      <c r="W245" s="139">
        <f t="shared" ref="W245:AA245" si="488">J245/$I245</f>
        <v>0.58277254374158816</v>
      </c>
      <c r="X245" s="139">
        <f t="shared" si="488"/>
        <v>0.36069986541049798</v>
      </c>
      <c r="Y245" s="139">
        <f t="shared" si="488"/>
        <v>0</v>
      </c>
      <c r="Z245" s="139">
        <f t="shared" si="488"/>
        <v>0</v>
      </c>
      <c r="AA245" s="139">
        <f t="shared" si="488"/>
        <v>8.0753701211305519E-3</v>
      </c>
      <c r="AB245" s="139"/>
      <c r="AC245" s="139">
        <f t="shared" si="2"/>
        <v>4.8452220726783311E-2</v>
      </c>
      <c r="AD245" s="139">
        <f t="shared" ref="AD245:AI245" si="489">O245/$I245</f>
        <v>4.0376850605652759E-3</v>
      </c>
      <c r="AE245" s="139">
        <f t="shared" si="489"/>
        <v>0</v>
      </c>
      <c r="AF245" s="139">
        <f t="shared" si="489"/>
        <v>0</v>
      </c>
      <c r="AG245" s="139">
        <f t="shared" si="489"/>
        <v>0</v>
      </c>
      <c r="AH245" s="139">
        <f t="shared" si="489"/>
        <v>2.826379542395693E-2</v>
      </c>
      <c r="AI245" s="139">
        <f t="shared" si="489"/>
        <v>1.6150740242261104E-2</v>
      </c>
    </row>
    <row r="246" spans="1:35">
      <c r="A246" s="138">
        <v>52</v>
      </c>
      <c r="B246" s="138" t="s">
        <v>8077</v>
      </c>
      <c r="C246" s="138" t="s">
        <v>4367</v>
      </c>
      <c r="D246" s="138" t="s">
        <v>19</v>
      </c>
      <c r="E246" s="138" t="s">
        <v>220</v>
      </c>
      <c r="F246" s="138" t="s">
        <v>1174</v>
      </c>
      <c r="H246" s="138">
        <v>245</v>
      </c>
      <c r="I246" s="138">
        <v>484</v>
      </c>
      <c r="J246" s="138">
        <v>301</v>
      </c>
      <c r="K246" s="138">
        <v>150</v>
      </c>
      <c r="N246" s="138">
        <v>3</v>
      </c>
      <c r="O246" s="138">
        <v>4</v>
      </c>
      <c r="S246" s="138">
        <v>18</v>
      </c>
      <c r="T246" s="138">
        <v>8</v>
      </c>
      <c r="U246" s="138">
        <f t="shared" si="0"/>
        <v>30</v>
      </c>
      <c r="W246" s="139">
        <f t="shared" ref="W246:AA246" si="490">J246/$I246</f>
        <v>0.62190082644628097</v>
      </c>
      <c r="X246" s="139">
        <f t="shared" si="490"/>
        <v>0.30991735537190085</v>
      </c>
      <c r="Y246" s="139">
        <f t="shared" si="490"/>
        <v>0</v>
      </c>
      <c r="Z246" s="139">
        <f t="shared" si="490"/>
        <v>0</v>
      </c>
      <c r="AA246" s="139">
        <f t="shared" si="490"/>
        <v>6.1983471074380167E-3</v>
      </c>
      <c r="AB246" s="139"/>
      <c r="AC246" s="139">
        <f t="shared" si="2"/>
        <v>6.1983471074380167E-2</v>
      </c>
      <c r="AD246" s="139">
        <f t="shared" ref="AD246:AI246" si="491">O246/$I246</f>
        <v>8.2644628099173556E-3</v>
      </c>
      <c r="AE246" s="139">
        <f t="shared" si="491"/>
        <v>0</v>
      </c>
      <c r="AF246" s="139">
        <f t="shared" si="491"/>
        <v>0</v>
      </c>
      <c r="AG246" s="139">
        <f t="shared" si="491"/>
        <v>0</v>
      </c>
      <c r="AH246" s="139">
        <f t="shared" si="491"/>
        <v>3.71900826446281E-2</v>
      </c>
      <c r="AI246" s="139">
        <f t="shared" si="491"/>
        <v>1.6528925619834711E-2</v>
      </c>
    </row>
    <row r="247" spans="1:35">
      <c r="A247" s="138">
        <v>52</v>
      </c>
      <c r="B247" s="138" t="s">
        <v>8077</v>
      </c>
      <c r="C247" s="138" t="s">
        <v>4367</v>
      </c>
      <c r="D247" s="138" t="s">
        <v>19</v>
      </c>
      <c r="E247" s="138" t="s">
        <v>220</v>
      </c>
      <c r="F247" s="138" t="s">
        <v>8118</v>
      </c>
      <c r="H247" s="138">
        <v>246</v>
      </c>
      <c r="I247" s="138">
        <v>695</v>
      </c>
      <c r="J247" s="138">
        <v>490</v>
      </c>
      <c r="K247" s="138">
        <v>174</v>
      </c>
      <c r="N247" s="138">
        <v>4</v>
      </c>
      <c r="O247" s="138">
        <v>0</v>
      </c>
      <c r="S247" s="138">
        <v>21</v>
      </c>
      <c r="T247" s="138">
        <v>6</v>
      </c>
      <c r="U247" s="138">
        <f t="shared" si="0"/>
        <v>27</v>
      </c>
      <c r="W247" s="139">
        <f t="shared" ref="W247:AA247" si="492">J247/$I247</f>
        <v>0.70503597122302153</v>
      </c>
      <c r="X247" s="139">
        <f t="shared" si="492"/>
        <v>0.2503597122302158</v>
      </c>
      <c r="Y247" s="139">
        <f t="shared" si="492"/>
        <v>0</v>
      </c>
      <c r="Z247" s="139">
        <f t="shared" si="492"/>
        <v>0</v>
      </c>
      <c r="AA247" s="139">
        <f t="shared" si="492"/>
        <v>5.7553956834532375E-3</v>
      </c>
      <c r="AB247" s="139"/>
      <c r="AC247" s="139">
        <f t="shared" si="2"/>
        <v>3.884892086330935E-2</v>
      </c>
      <c r="AD247" s="139">
        <f t="shared" ref="AD247:AI247" si="493">O247/$I247</f>
        <v>0</v>
      </c>
      <c r="AE247" s="139">
        <f t="shared" si="493"/>
        <v>0</v>
      </c>
      <c r="AF247" s="139">
        <f t="shared" si="493"/>
        <v>0</v>
      </c>
      <c r="AG247" s="139">
        <f t="shared" si="493"/>
        <v>0</v>
      </c>
      <c r="AH247" s="139">
        <f t="shared" si="493"/>
        <v>3.0215827338129497E-2</v>
      </c>
      <c r="AI247" s="139">
        <f t="shared" si="493"/>
        <v>8.6330935251798559E-3</v>
      </c>
    </row>
    <row r="248" spans="1:35">
      <c r="A248" s="138">
        <v>52</v>
      </c>
      <c r="B248" s="138" t="s">
        <v>8077</v>
      </c>
      <c r="C248" s="138" t="s">
        <v>4367</v>
      </c>
      <c r="D248" s="138" t="s">
        <v>19</v>
      </c>
      <c r="E248" s="138" t="s">
        <v>220</v>
      </c>
      <c r="F248" s="138" t="s">
        <v>8118</v>
      </c>
      <c r="H248" s="138">
        <v>247</v>
      </c>
      <c r="I248" s="138">
        <v>673</v>
      </c>
      <c r="J248" s="138">
        <v>420</v>
      </c>
      <c r="K248" s="138">
        <v>211</v>
      </c>
      <c r="N248" s="138">
        <v>2</v>
      </c>
      <c r="O248" s="138">
        <v>4</v>
      </c>
      <c r="S248" s="138">
        <v>31</v>
      </c>
      <c r="T248" s="138">
        <v>5</v>
      </c>
      <c r="U248" s="138">
        <f t="shared" si="0"/>
        <v>40</v>
      </c>
      <c r="W248" s="139">
        <f t="shared" ref="W248:AA248" si="494">J248/$I248</f>
        <v>0.62407132243684993</v>
      </c>
      <c r="X248" s="139">
        <f t="shared" si="494"/>
        <v>0.31352154531946508</v>
      </c>
      <c r="Y248" s="139">
        <f t="shared" si="494"/>
        <v>0</v>
      </c>
      <c r="Z248" s="139">
        <f t="shared" si="494"/>
        <v>0</v>
      </c>
      <c r="AA248" s="139">
        <f t="shared" si="494"/>
        <v>2.9717682020802376E-3</v>
      </c>
      <c r="AB248" s="139"/>
      <c r="AC248" s="139">
        <f t="shared" si="2"/>
        <v>5.9435364041604752E-2</v>
      </c>
      <c r="AD248" s="139">
        <f t="shared" ref="AD248:AI248" si="495">O248/$I248</f>
        <v>5.9435364041604752E-3</v>
      </c>
      <c r="AE248" s="139">
        <f t="shared" si="495"/>
        <v>0</v>
      </c>
      <c r="AF248" s="139">
        <f t="shared" si="495"/>
        <v>0</v>
      </c>
      <c r="AG248" s="139">
        <f t="shared" si="495"/>
        <v>0</v>
      </c>
      <c r="AH248" s="139">
        <f t="shared" si="495"/>
        <v>4.6062407132243688E-2</v>
      </c>
      <c r="AI248" s="139">
        <f t="shared" si="495"/>
        <v>7.429420505200594E-3</v>
      </c>
    </row>
    <row r="249" spans="1:35">
      <c r="A249" s="138">
        <v>52</v>
      </c>
      <c r="B249" s="138" t="s">
        <v>8077</v>
      </c>
      <c r="C249" s="138" t="s">
        <v>4367</v>
      </c>
      <c r="D249" s="138" t="s">
        <v>19</v>
      </c>
      <c r="E249" s="138" t="s">
        <v>220</v>
      </c>
      <c r="F249" s="138" t="s">
        <v>8118</v>
      </c>
      <c r="H249" s="138">
        <v>248</v>
      </c>
      <c r="I249" s="138">
        <v>703</v>
      </c>
      <c r="J249" s="138">
        <v>473</v>
      </c>
      <c r="K249" s="138">
        <v>171</v>
      </c>
      <c r="N249" s="138">
        <v>2</v>
      </c>
      <c r="O249" s="138">
        <v>2</v>
      </c>
      <c r="S249" s="138">
        <v>44</v>
      </c>
      <c r="T249" s="138">
        <v>11</v>
      </c>
      <c r="U249" s="138">
        <f t="shared" si="0"/>
        <v>57</v>
      </c>
      <c r="W249" s="139">
        <f t="shared" ref="W249:AA249" si="496">J249/$I249</f>
        <v>0.67283072546230438</v>
      </c>
      <c r="X249" s="139">
        <f t="shared" si="496"/>
        <v>0.24324324324324326</v>
      </c>
      <c r="Y249" s="139">
        <f t="shared" si="496"/>
        <v>0</v>
      </c>
      <c r="Z249" s="139">
        <f t="shared" si="496"/>
        <v>0</v>
      </c>
      <c r="AA249" s="139">
        <f t="shared" si="496"/>
        <v>2.8449502133712661E-3</v>
      </c>
      <c r="AB249" s="139"/>
      <c r="AC249" s="139">
        <f t="shared" si="2"/>
        <v>8.1081081081081086E-2</v>
      </c>
      <c r="AD249" s="139">
        <f t="shared" ref="AD249:AI249" si="497">O249/$I249</f>
        <v>2.8449502133712661E-3</v>
      </c>
      <c r="AE249" s="139">
        <f t="shared" si="497"/>
        <v>0</v>
      </c>
      <c r="AF249" s="139">
        <f t="shared" si="497"/>
        <v>0</v>
      </c>
      <c r="AG249" s="139">
        <f t="shared" si="497"/>
        <v>0</v>
      </c>
      <c r="AH249" s="139">
        <f t="shared" si="497"/>
        <v>6.2588904694167849E-2</v>
      </c>
      <c r="AI249" s="139">
        <f t="shared" si="497"/>
        <v>1.5647226173541962E-2</v>
      </c>
    </row>
    <row r="250" spans="1:35">
      <c r="B250" s="138" t="s">
        <v>8077</v>
      </c>
      <c r="C250" s="138" t="s">
        <v>4367</v>
      </c>
      <c r="D250" s="138" t="s">
        <v>792</v>
      </c>
      <c r="E250" s="138" t="s">
        <v>8119</v>
      </c>
      <c r="F250" s="138" t="s">
        <v>8119</v>
      </c>
      <c r="H250" s="138">
        <v>1</v>
      </c>
      <c r="I250" s="138">
        <v>513</v>
      </c>
      <c r="J250" s="138">
        <v>372</v>
      </c>
      <c r="K250" s="138">
        <v>125</v>
      </c>
      <c r="N250" s="138">
        <v>6</v>
      </c>
      <c r="O250" s="138">
        <v>0</v>
      </c>
      <c r="S250" s="138">
        <v>6</v>
      </c>
      <c r="T250" s="138">
        <v>4</v>
      </c>
      <c r="U250" s="138">
        <f t="shared" si="0"/>
        <v>10</v>
      </c>
      <c r="W250" s="139">
        <f t="shared" ref="W250:AA250" si="498">J250/$I250</f>
        <v>0.72514619883040932</v>
      </c>
      <c r="X250" s="139">
        <f t="shared" si="498"/>
        <v>0.24366471734892786</v>
      </c>
      <c r="Y250" s="139">
        <f t="shared" si="498"/>
        <v>0</v>
      </c>
      <c r="Z250" s="139">
        <f t="shared" si="498"/>
        <v>0</v>
      </c>
      <c r="AA250" s="139">
        <f t="shared" si="498"/>
        <v>1.1695906432748537E-2</v>
      </c>
      <c r="AB250" s="139"/>
      <c r="AC250" s="139">
        <f t="shared" si="2"/>
        <v>1.9493177387914229E-2</v>
      </c>
      <c r="AD250" s="139">
        <f t="shared" ref="AD250:AI250" si="499">O250/$I250</f>
        <v>0</v>
      </c>
      <c r="AE250" s="139">
        <f t="shared" si="499"/>
        <v>0</v>
      </c>
      <c r="AF250" s="139">
        <f t="shared" si="499"/>
        <v>0</v>
      </c>
      <c r="AG250" s="139">
        <f t="shared" si="499"/>
        <v>0</v>
      </c>
      <c r="AH250" s="139">
        <f t="shared" si="499"/>
        <v>1.1695906432748537E-2</v>
      </c>
      <c r="AI250" s="139">
        <f t="shared" si="499"/>
        <v>7.7972709551656916E-3</v>
      </c>
    </row>
    <row r="251" spans="1:35">
      <c r="B251" s="138" t="s">
        <v>8077</v>
      </c>
      <c r="C251" s="138" t="s">
        <v>4367</v>
      </c>
      <c r="D251" s="138" t="s">
        <v>792</v>
      </c>
      <c r="E251" s="138" t="s">
        <v>8119</v>
      </c>
      <c r="F251" s="138" t="s">
        <v>8119</v>
      </c>
      <c r="H251" s="138">
        <v>2</v>
      </c>
      <c r="I251" s="138">
        <v>539</v>
      </c>
      <c r="J251" s="138">
        <v>389</v>
      </c>
      <c r="K251" s="138">
        <v>126</v>
      </c>
      <c r="N251" s="138">
        <v>9</v>
      </c>
      <c r="O251" s="138">
        <v>0</v>
      </c>
      <c r="S251" s="138">
        <v>9</v>
      </c>
      <c r="T251" s="138">
        <v>6</v>
      </c>
      <c r="U251" s="138">
        <f t="shared" si="0"/>
        <v>15</v>
      </c>
      <c r="W251" s="139">
        <f t="shared" ref="W251:AA251" si="500">J251/$I251</f>
        <v>0.72170686456400746</v>
      </c>
      <c r="X251" s="139">
        <f t="shared" si="500"/>
        <v>0.23376623376623376</v>
      </c>
      <c r="Y251" s="139">
        <f t="shared" si="500"/>
        <v>0</v>
      </c>
      <c r="Z251" s="139">
        <f t="shared" si="500"/>
        <v>0</v>
      </c>
      <c r="AA251" s="139">
        <f t="shared" si="500"/>
        <v>1.6697588126159554E-2</v>
      </c>
      <c r="AB251" s="139"/>
      <c r="AC251" s="139">
        <f t="shared" si="2"/>
        <v>2.7829313543599257E-2</v>
      </c>
      <c r="AD251" s="139">
        <f t="shared" ref="AD251:AI251" si="501">O251/$I251</f>
        <v>0</v>
      </c>
      <c r="AE251" s="139">
        <f t="shared" si="501"/>
        <v>0</v>
      </c>
      <c r="AF251" s="139">
        <f t="shared" si="501"/>
        <v>0</v>
      </c>
      <c r="AG251" s="139">
        <f t="shared" si="501"/>
        <v>0</v>
      </c>
      <c r="AH251" s="139">
        <f t="shared" si="501"/>
        <v>1.6697588126159554E-2</v>
      </c>
      <c r="AI251" s="139">
        <f t="shared" si="501"/>
        <v>1.1131725417439703E-2</v>
      </c>
    </row>
    <row r="252" spans="1:35">
      <c r="B252" s="138" t="s">
        <v>8077</v>
      </c>
      <c r="C252" s="138" t="s">
        <v>4367</v>
      </c>
      <c r="D252" s="138" t="s">
        <v>792</v>
      </c>
      <c r="E252" s="138" t="s">
        <v>8119</v>
      </c>
      <c r="F252" s="138" t="s">
        <v>8119</v>
      </c>
      <c r="H252" s="138">
        <v>3</v>
      </c>
      <c r="I252" s="138">
        <v>865</v>
      </c>
      <c r="J252" s="138">
        <v>571</v>
      </c>
      <c r="K252" s="138">
        <v>257</v>
      </c>
      <c r="N252" s="138">
        <v>10</v>
      </c>
      <c r="O252" s="138">
        <v>2</v>
      </c>
      <c r="S252" s="138">
        <v>21</v>
      </c>
      <c r="T252" s="138">
        <v>4</v>
      </c>
      <c r="U252" s="138">
        <f t="shared" si="0"/>
        <v>27</v>
      </c>
      <c r="W252" s="139">
        <f t="shared" ref="W252:AA252" si="502">J252/$I252</f>
        <v>0.66011560693641613</v>
      </c>
      <c r="X252" s="139">
        <f t="shared" si="502"/>
        <v>0.29710982658959539</v>
      </c>
      <c r="Y252" s="139">
        <f t="shared" si="502"/>
        <v>0</v>
      </c>
      <c r="Z252" s="139">
        <f t="shared" si="502"/>
        <v>0</v>
      </c>
      <c r="AA252" s="139">
        <f t="shared" si="502"/>
        <v>1.1560693641618497E-2</v>
      </c>
      <c r="AB252" s="139"/>
      <c r="AC252" s="139">
        <f t="shared" si="2"/>
        <v>3.121387283236994E-2</v>
      </c>
      <c r="AD252" s="139">
        <f t="shared" ref="AD252:AI252" si="503">O252/$I252</f>
        <v>2.3121387283236996E-3</v>
      </c>
      <c r="AE252" s="139">
        <f t="shared" si="503"/>
        <v>0</v>
      </c>
      <c r="AF252" s="139">
        <f t="shared" si="503"/>
        <v>0</v>
      </c>
      <c r="AG252" s="139">
        <f t="shared" si="503"/>
        <v>0</v>
      </c>
      <c r="AH252" s="139">
        <f t="shared" si="503"/>
        <v>2.4277456647398842E-2</v>
      </c>
      <c r="AI252" s="139">
        <f t="shared" si="503"/>
        <v>4.6242774566473991E-3</v>
      </c>
    </row>
    <row r="253" spans="1:35">
      <c r="B253" s="138" t="s">
        <v>8077</v>
      </c>
      <c r="C253" s="138" t="s">
        <v>4367</v>
      </c>
      <c r="D253" s="138" t="s">
        <v>792</v>
      </c>
      <c r="E253" s="138" t="s">
        <v>8119</v>
      </c>
      <c r="F253" s="138" t="s">
        <v>8119</v>
      </c>
      <c r="H253" s="138">
        <v>4</v>
      </c>
      <c r="I253" s="138">
        <v>878</v>
      </c>
      <c r="J253" s="138">
        <v>616</v>
      </c>
      <c r="K253" s="138">
        <v>208</v>
      </c>
      <c r="N253" s="138">
        <v>10</v>
      </c>
      <c r="O253" s="138">
        <v>3</v>
      </c>
      <c r="S253" s="138">
        <v>37</v>
      </c>
      <c r="T253" s="138">
        <v>4</v>
      </c>
      <c r="U253" s="138">
        <f t="shared" si="0"/>
        <v>44</v>
      </c>
      <c r="W253" s="139">
        <f t="shared" ref="W253:AA253" si="504">J253/$I253</f>
        <v>0.70159453302961272</v>
      </c>
      <c r="X253" s="139">
        <f t="shared" si="504"/>
        <v>0.23690205011389523</v>
      </c>
      <c r="Y253" s="139">
        <f t="shared" si="504"/>
        <v>0</v>
      </c>
      <c r="Z253" s="139">
        <f t="shared" si="504"/>
        <v>0</v>
      </c>
      <c r="AA253" s="139">
        <f t="shared" si="504"/>
        <v>1.1389521640091117E-2</v>
      </c>
      <c r="AB253" s="139"/>
      <c r="AC253" s="139">
        <f t="shared" si="2"/>
        <v>5.011389521640091E-2</v>
      </c>
      <c r="AD253" s="139">
        <f t="shared" ref="AD253:AI253" si="505">O253/$I253</f>
        <v>3.4168564920273349E-3</v>
      </c>
      <c r="AE253" s="139">
        <f t="shared" si="505"/>
        <v>0</v>
      </c>
      <c r="AF253" s="139">
        <f t="shared" si="505"/>
        <v>0</v>
      </c>
      <c r="AG253" s="139">
        <f t="shared" si="505"/>
        <v>0</v>
      </c>
      <c r="AH253" s="139">
        <f t="shared" si="505"/>
        <v>4.2141230068337129E-2</v>
      </c>
      <c r="AI253" s="139">
        <f t="shared" si="505"/>
        <v>4.5558086560364463E-3</v>
      </c>
    </row>
    <row r="254" spans="1:35">
      <c r="B254" s="138" t="s">
        <v>8077</v>
      </c>
      <c r="C254" s="138" t="s">
        <v>4367</v>
      </c>
      <c r="D254" s="138" t="s">
        <v>792</v>
      </c>
      <c r="E254" s="138" t="s">
        <v>8119</v>
      </c>
      <c r="F254" s="138" t="s">
        <v>8119</v>
      </c>
      <c r="H254" s="138">
        <v>5</v>
      </c>
      <c r="I254" s="138">
        <v>803</v>
      </c>
      <c r="J254" s="138">
        <v>585</v>
      </c>
      <c r="K254" s="138">
        <v>185</v>
      </c>
      <c r="N254" s="138">
        <v>10</v>
      </c>
      <c r="O254" s="138">
        <v>2</v>
      </c>
      <c r="S254" s="138">
        <v>15</v>
      </c>
      <c r="T254" s="138">
        <v>6</v>
      </c>
      <c r="U254" s="138">
        <f t="shared" si="0"/>
        <v>23</v>
      </c>
      <c r="W254" s="139">
        <f t="shared" ref="W254:AA254" si="506">J254/$I254</f>
        <v>0.7285180572851806</v>
      </c>
      <c r="X254" s="139">
        <f t="shared" si="506"/>
        <v>0.23038605230386053</v>
      </c>
      <c r="Y254" s="139">
        <f t="shared" si="506"/>
        <v>0</v>
      </c>
      <c r="Z254" s="139">
        <f t="shared" si="506"/>
        <v>0</v>
      </c>
      <c r="AA254" s="139">
        <f t="shared" si="506"/>
        <v>1.2453300124533001E-2</v>
      </c>
      <c r="AB254" s="139"/>
      <c r="AC254" s="139">
        <f t="shared" si="2"/>
        <v>2.8642590286425903E-2</v>
      </c>
      <c r="AD254" s="139">
        <f t="shared" ref="AD254:AI254" si="507">O254/$I254</f>
        <v>2.4906600249066002E-3</v>
      </c>
      <c r="AE254" s="139">
        <f t="shared" si="507"/>
        <v>0</v>
      </c>
      <c r="AF254" s="139">
        <f t="shared" si="507"/>
        <v>0</v>
      </c>
      <c r="AG254" s="139">
        <f t="shared" si="507"/>
        <v>0</v>
      </c>
      <c r="AH254" s="139">
        <f t="shared" si="507"/>
        <v>1.86799501867995E-2</v>
      </c>
      <c r="AI254" s="139">
        <f t="shared" si="507"/>
        <v>7.4719800747198011E-3</v>
      </c>
    </row>
    <row r="255" spans="1:35">
      <c r="B255" s="138" t="s">
        <v>8077</v>
      </c>
      <c r="C255" s="138" t="s">
        <v>4367</v>
      </c>
      <c r="D255" s="138" t="s">
        <v>792</v>
      </c>
      <c r="E255" s="138" t="s">
        <v>8119</v>
      </c>
      <c r="F255" s="138" t="s">
        <v>8119</v>
      </c>
      <c r="H255" s="138">
        <v>6</v>
      </c>
      <c r="I255" s="138">
        <v>468</v>
      </c>
      <c r="J255" s="138">
        <v>324</v>
      </c>
      <c r="K255" s="138">
        <v>124</v>
      </c>
      <c r="N255" s="138">
        <v>3</v>
      </c>
      <c r="O255" s="138">
        <v>0</v>
      </c>
      <c r="S255" s="138">
        <v>14</v>
      </c>
      <c r="T255" s="138">
        <v>3</v>
      </c>
      <c r="U255" s="138">
        <f t="shared" si="0"/>
        <v>17</v>
      </c>
      <c r="W255" s="139">
        <f t="shared" ref="W255:AA255" si="508">J255/$I255</f>
        <v>0.69230769230769229</v>
      </c>
      <c r="X255" s="139">
        <f t="shared" si="508"/>
        <v>0.26495726495726496</v>
      </c>
      <c r="Y255" s="139">
        <f t="shared" si="508"/>
        <v>0</v>
      </c>
      <c r="Z255" s="139">
        <f t="shared" si="508"/>
        <v>0</v>
      </c>
      <c r="AA255" s="139">
        <f t="shared" si="508"/>
        <v>6.41025641025641E-3</v>
      </c>
      <c r="AB255" s="139"/>
      <c r="AC255" s="139">
        <f t="shared" si="2"/>
        <v>3.6324786324786328E-2</v>
      </c>
      <c r="AD255" s="139">
        <f t="shared" ref="AD255:AI255" si="509">O255/$I255</f>
        <v>0</v>
      </c>
      <c r="AE255" s="139">
        <f t="shared" si="509"/>
        <v>0</v>
      </c>
      <c r="AF255" s="139">
        <f t="shared" si="509"/>
        <v>0</v>
      </c>
      <c r="AG255" s="139">
        <f t="shared" si="509"/>
        <v>0</v>
      </c>
      <c r="AH255" s="139">
        <f t="shared" si="509"/>
        <v>2.9914529914529916E-2</v>
      </c>
      <c r="AI255" s="139">
        <f t="shared" si="509"/>
        <v>6.41025641025641E-3</v>
      </c>
    </row>
    <row r="256" spans="1:35">
      <c r="B256" s="138" t="s">
        <v>8077</v>
      </c>
      <c r="C256" s="138" t="s">
        <v>4367</v>
      </c>
      <c r="D256" s="138" t="s">
        <v>792</v>
      </c>
      <c r="E256" s="138" t="s">
        <v>8119</v>
      </c>
      <c r="F256" s="138" t="s">
        <v>8119</v>
      </c>
      <c r="H256" s="138" t="s">
        <v>8120</v>
      </c>
      <c r="I256" s="138">
        <v>453</v>
      </c>
      <c r="J256" s="138">
        <v>302</v>
      </c>
      <c r="K256" s="138">
        <v>128</v>
      </c>
      <c r="N256" s="138">
        <v>3</v>
      </c>
      <c r="O256" s="138">
        <v>0</v>
      </c>
      <c r="S256" s="138">
        <v>11</v>
      </c>
      <c r="T256" s="138">
        <v>9</v>
      </c>
      <c r="U256" s="138">
        <f t="shared" si="0"/>
        <v>20</v>
      </c>
      <c r="W256" s="139">
        <f t="shared" ref="W256:AA256" si="510">J256/$I256</f>
        <v>0.66666666666666663</v>
      </c>
      <c r="X256" s="139">
        <f t="shared" si="510"/>
        <v>0.282560706401766</v>
      </c>
      <c r="Y256" s="139">
        <f t="shared" si="510"/>
        <v>0</v>
      </c>
      <c r="Z256" s="139">
        <f t="shared" si="510"/>
        <v>0</v>
      </c>
      <c r="AA256" s="139">
        <f t="shared" si="510"/>
        <v>6.6225165562913907E-3</v>
      </c>
      <c r="AB256" s="139"/>
      <c r="AC256" s="139">
        <f t="shared" si="2"/>
        <v>4.4150110375275942E-2</v>
      </c>
      <c r="AD256" s="139">
        <f t="shared" ref="AD256:AI256" si="511">O256/$I256</f>
        <v>0</v>
      </c>
      <c r="AE256" s="139">
        <f t="shared" si="511"/>
        <v>0</v>
      </c>
      <c r="AF256" s="139">
        <f t="shared" si="511"/>
        <v>0</v>
      </c>
      <c r="AG256" s="139">
        <f t="shared" si="511"/>
        <v>0</v>
      </c>
      <c r="AH256" s="139">
        <f t="shared" si="511"/>
        <v>2.4282560706401765E-2</v>
      </c>
      <c r="AI256" s="139">
        <f t="shared" si="511"/>
        <v>1.9867549668874173E-2</v>
      </c>
    </row>
    <row r="257" spans="2:35">
      <c r="B257" s="138" t="s">
        <v>8077</v>
      </c>
      <c r="C257" s="138" t="s">
        <v>4367</v>
      </c>
      <c r="D257" s="138" t="s">
        <v>792</v>
      </c>
      <c r="E257" s="138" t="s">
        <v>8119</v>
      </c>
      <c r="F257" s="138" t="s">
        <v>8119</v>
      </c>
      <c r="H257" s="138">
        <v>7</v>
      </c>
      <c r="I257" s="138">
        <v>917</v>
      </c>
      <c r="J257" s="138">
        <v>660</v>
      </c>
      <c r="K257" s="138">
        <v>210</v>
      </c>
      <c r="N257" s="138">
        <v>18</v>
      </c>
      <c r="O257" s="138">
        <v>4</v>
      </c>
      <c r="S257" s="138">
        <v>21</v>
      </c>
      <c r="T257" s="138">
        <v>4</v>
      </c>
      <c r="U257" s="138">
        <f t="shared" ref="U257:U511" si="512">SUM(O257:T257)</f>
        <v>29</v>
      </c>
      <c r="W257" s="139">
        <f t="shared" ref="W257:AA257" si="513">J257/$I257</f>
        <v>0.71973827699018533</v>
      </c>
      <c r="X257" s="139">
        <f t="shared" si="513"/>
        <v>0.22900763358778625</v>
      </c>
      <c r="Y257" s="139">
        <f t="shared" si="513"/>
        <v>0</v>
      </c>
      <c r="Z257" s="139">
        <f t="shared" si="513"/>
        <v>0</v>
      </c>
      <c r="AA257" s="139">
        <f t="shared" si="513"/>
        <v>1.9629225736095966E-2</v>
      </c>
      <c r="AB257" s="139"/>
      <c r="AC257" s="139">
        <f t="shared" ref="AC257:AC511" si="514">U257/$I257</f>
        <v>3.162486368593239E-2</v>
      </c>
      <c r="AD257" s="139">
        <f t="shared" ref="AD257:AI257" si="515">O257/$I257</f>
        <v>4.3620501635768813E-3</v>
      </c>
      <c r="AE257" s="139">
        <f t="shared" si="515"/>
        <v>0</v>
      </c>
      <c r="AF257" s="139">
        <f t="shared" si="515"/>
        <v>0</v>
      </c>
      <c r="AG257" s="139">
        <f t="shared" si="515"/>
        <v>0</v>
      </c>
      <c r="AH257" s="139">
        <f t="shared" si="515"/>
        <v>2.2900763358778626E-2</v>
      </c>
      <c r="AI257" s="139">
        <f t="shared" si="515"/>
        <v>4.3620501635768813E-3</v>
      </c>
    </row>
    <row r="258" spans="2:35">
      <c r="B258" s="138" t="s">
        <v>8077</v>
      </c>
      <c r="C258" s="138" t="s">
        <v>4367</v>
      </c>
      <c r="D258" s="138" t="s">
        <v>792</v>
      </c>
      <c r="E258" s="138" t="s">
        <v>8119</v>
      </c>
      <c r="F258" s="138" t="s">
        <v>8119</v>
      </c>
      <c r="H258" s="138">
        <v>8</v>
      </c>
      <c r="I258" s="138">
        <v>976</v>
      </c>
      <c r="J258" s="138">
        <v>640</v>
      </c>
      <c r="K258" s="138">
        <v>280</v>
      </c>
      <c r="N258" s="138">
        <v>7</v>
      </c>
      <c r="O258" s="138">
        <v>1</v>
      </c>
      <c r="S258" s="138">
        <v>30</v>
      </c>
      <c r="T258" s="138">
        <v>18</v>
      </c>
      <c r="U258" s="138">
        <f t="shared" si="512"/>
        <v>49</v>
      </c>
      <c r="W258" s="139">
        <f t="shared" ref="W258:AA258" si="516">J258/$I258</f>
        <v>0.65573770491803274</v>
      </c>
      <c r="X258" s="139">
        <f t="shared" si="516"/>
        <v>0.28688524590163933</v>
      </c>
      <c r="Y258" s="139">
        <f t="shared" si="516"/>
        <v>0</v>
      </c>
      <c r="Z258" s="139">
        <f t="shared" si="516"/>
        <v>0</v>
      </c>
      <c r="AA258" s="139">
        <f t="shared" si="516"/>
        <v>7.1721311475409838E-3</v>
      </c>
      <c r="AB258" s="139"/>
      <c r="AC258" s="139">
        <f t="shared" si="514"/>
        <v>5.0204918032786885E-2</v>
      </c>
      <c r="AD258" s="139">
        <f t="shared" ref="AD258:AI258" si="517">O258/$I258</f>
        <v>1.0245901639344263E-3</v>
      </c>
      <c r="AE258" s="139">
        <f t="shared" si="517"/>
        <v>0</v>
      </c>
      <c r="AF258" s="139">
        <f t="shared" si="517"/>
        <v>0</v>
      </c>
      <c r="AG258" s="139">
        <f t="shared" si="517"/>
        <v>0</v>
      </c>
      <c r="AH258" s="139">
        <f t="shared" si="517"/>
        <v>3.0737704918032786E-2</v>
      </c>
      <c r="AI258" s="139">
        <f t="shared" si="517"/>
        <v>1.8442622950819672E-2</v>
      </c>
    </row>
    <row r="259" spans="2:35">
      <c r="B259" s="138" t="s">
        <v>8077</v>
      </c>
      <c r="C259" s="138" t="s">
        <v>4367</v>
      </c>
      <c r="D259" s="138" t="s">
        <v>792</v>
      </c>
      <c r="E259" s="138" t="s">
        <v>8119</v>
      </c>
      <c r="F259" s="138" t="s">
        <v>8119</v>
      </c>
      <c r="H259" s="138">
        <v>9</v>
      </c>
      <c r="I259" s="138">
        <v>781</v>
      </c>
      <c r="J259" s="138">
        <v>538</v>
      </c>
      <c r="K259" s="138">
        <v>219</v>
      </c>
      <c r="N259" s="138">
        <v>8</v>
      </c>
      <c r="O259" s="138">
        <v>0</v>
      </c>
      <c r="S259" s="138">
        <v>13</v>
      </c>
      <c r="T259" s="138">
        <v>3</v>
      </c>
      <c r="U259" s="138">
        <f t="shared" si="512"/>
        <v>16</v>
      </c>
      <c r="W259" s="139">
        <f t="shared" ref="W259:AA259" si="518">J259/$I259</f>
        <v>0.68886043533930863</v>
      </c>
      <c r="X259" s="139">
        <f t="shared" si="518"/>
        <v>0.28040973111395645</v>
      </c>
      <c r="Y259" s="139">
        <f t="shared" si="518"/>
        <v>0</v>
      </c>
      <c r="Z259" s="139">
        <f t="shared" si="518"/>
        <v>0</v>
      </c>
      <c r="AA259" s="139">
        <f t="shared" si="518"/>
        <v>1.0243277848911651E-2</v>
      </c>
      <c r="AB259" s="139"/>
      <c r="AC259" s="139">
        <f t="shared" si="514"/>
        <v>2.0486555697823303E-2</v>
      </c>
      <c r="AD259" s="139">
        <f t="shared" ref="AD259:AI259" si="519">O259/$I259</f>
        <v>0</v>
      </c>
      <c r="AE259" s="139">
        <f t="shared" si="519"/>
        <v>0</v>
      </c>
      <c r="AF259" s="139">
        <f t="shared" si="519"/>
        <v>0</v>
      </c>
      <c r="AG259" s="139">
        <f t="shared" si="519"/>
        <v>0</v>
      </c>
      <c r="AH259" s="139">
        <f t="shared" si="519"/>
        <v>1.6645326504481434E-2</v>
      </c>
      <c r="AI259" s="139">
        <f t="shared" si="519"/>
        <v>3.8412291933418692E-3</v>
      </c>
    </row>
    <row r="260" spans="2:35">
      <c r="B260" s="138" t="s">
        <v>8077</v>
      </c>
      <c r="C260" s="138" t="s">
        <v>4367</v>
      </c>
      <c r="D260" s="138" t="s">
        <v>792</v>
      </c>
      <c r="E260" s="138" t="s">
        <v>8119</v>
      </c>
      <c r="F260" s="138" t="s">
        <v>8119</v>
      </c>
      <c r="H260" s="138">
        <v>10</v>
      </c>
      <c r="I260" s="138">
        <v>753</v>
      </c>
      <c r="J260" s="138">
        <v>495</v>
      </c>
      <c r="K260" s="138">
        <v>234</v>
      </c>
      <c r="N260" s="138">
        <v>4</v>
      </c>
      <c r="O260" s="138">
        <v>2</v>
      </c>
      <c r="S260" s="138">
        <v>12</v>
      </c>
      <c r="T260" s="138">
        <v>6</v>
      </c>
      <c r="U260" s="138">
        <f t="shared" si="512"/>
        <v>20</v>
      </c>
      <c r="W260" s="139">
        <f t="shared" ref="W260:AA260" si="520">J260/$I260</f>
        <v>0.65737051792828682</v>
      </c>
      <c r="X260" s="139">
        <f t="shared" si="520"/>
        <v>0.31075697211155379</v>
      </c>
      <c r="Y260" s="139">
        <f t="shared" si="520"/>
        <v>0</v>
      </c>
      <c r="Z260" s="139">
        <f t="shared" si="520"/>
        <v>0</v>
      </c>
      <c r="AA260" s="139">
        <f t="shared" si="520"/>
        <v>5.3120849933598934E-3</v>
      </c>
      <c r="AB260" s="139"/>
      <c r="AC260" s="139">
        <f t="shared" si="514"/>
        <v>2.6560424966799469E-2</v>
      </c>
      <c r="AD260" s="139">
        <f t="shared" ref="AD260:AI260" si="521">O260/$I260</f>
        <v>2.6560424966799467E-3</v>
      </c>
      <c r="AE260" s="139">
        <f t="shared" si="521"/>
        <v>0</v>
      </c>
      <c r="AF260" s="139">
        <f t="shared" si="521"/>
        <v>0</v>
      </c>
      <c r="AG260" s="139">
        <f t="shared" si="521"/>
        <v>0</v>
      </c>
      <c r="AH260" s="139">
        <f t="shared" si="521"/>
        <v>1.5936254980079681E-2</v>
      </c>
      <c r="AI260" s="139">
        <f t="shared" si="521"/>
        <v>7.9681274900398405E-3</v>
      </c>
    </row>
    <row r="261" spans="2:35">
      <c r="B261" s="138" t="s">
        <v>8077</v>
      </c>
      <c r="C261" s="138" t="s">
        <v>4367</v>
      </c>
      <c r="D261" s="138" t="s">
        <v>792</v>
      </c>
      <c r="E261" s="138" t="s">
        <v>8119</v>
      </c>
      <c r="F261" s="138" t="s">
        <v>8119</v>
      </c>
      <c r="H261" s="138">
        <v>11</v>
      </c>
      <c r="I261" s="138">
        <v>955</v>
      </c>
      <c r="J261" s="138">
        <v>612</v>
      </c>
      <c r="K261" s="138">
        <v>311</v>
      </c>
      <c r="N261" s="138">
        <v>12</v>
      </c>
      <c r="O261" s="138">
        <v>2</v>
      </c>
      <c r="S261" s="138">
        <v>14</v>
      </c>
      <c r="T261" s="138">
        <v>4</v>
      </c>
      <c r="U261" s="138">
        <f t="shared" si="512"/>
        <v>20</v>
      </c>
      <c r="W261" s="139">
        <f t="shared" ref="W261:AA261" si="522">J261/$I261</f>
        <v>0.64083769633507859</v>
      </c>
      <c r="X261" s="139">
        <f t="shared" si="522"/>
        <v>0.32565445026178008</v>
      </c>
      <c r="Y261" s="139">
        <f t="shared" si="522"/>
        <v>0</v>
      </c>
      <c r="Z261" s="139">
        <f t="shared" si="522"/>
        <v>0</v>
      </c>
      <c r="AA261" s="139">
        <f t="shared" si="522"/>
        <v>1.2565445026178011E-2</v>
      </c>
      <c r="AB261" s="139"/>
      <c r="AC261" s="139">
        <f t="shared" si="514"/>
        <v>2.0942408376963352E-2</v>
      </c>
      <c r="AD261" s="139">
        <f t="shared" ref="AD261:AI261" si="523">O261/$I261</f>
        <v>2.0942408376963353E-3</v>
      </c>
      <c r="AE261" s="139">
        <f t="shared" si="523"/>
        <v>0</v>
      </c>
      <c r="AF261" s="139">
        <f t="shared" si="523"/>
        <v>0</v>
      </c>
      <c r="AG261" s="139">
        <f t="shared" si="523"/>
        <v>0</v>
      </c>
      <c r="AH261" s="139">
        <f t="shared" si="523"/>
        <v>1.4659685863874346E-2</v>
      </c>
      <c r="AI261" s="139">
        <f t="shared" si="523"/>
        <v>4.1884816753926706E-3</v>
      </c>
    </row>
    <row r="262" spans="2:35">
      <c r="B262" s="138" t="s">
        <v>8077</v>
      </c>
      <c r="C262" s="138" t="s">
        <v>4367</v>
      </c>
      <c r="D262" s="138" t="s">
        <v>792</v>
      </c>
      <c r="E262" s="138" t="s">
        <v>8119</v>
      </c>
      <c r="F262" s="138" t="s">
        <v>8119</v>
      </c>
      <c r="H262" s="138">
        <v>12</v>
      </c>
      <c r="I262" s="138">
        <v>913</v>
      </c>
      <c r="J262" s="138">
        <v>598</v>
      </c>
      <c r="K262" s="138">
        <v>281</v>
      </c>
      <c r="N262" s="138">
        <v>11</v>
      </c>
      <c r="O262" s="138">
        <v>2</v>
      </c>
      <c r="S262" s="138">
        <v>10</v>
      </c>
      <c r="T262" s="138">
        <v>11</v>
      </c>
      <c r="U262" s="138">
        <f t="shared" si="512"/>
        <v>23</v>
      </c>
      <c r="W262" s="139">
        <f t="shared" ref="W262:AA262" si="524">J262/$I262</f>
        <v>0.65498357064622126</v>
      </c>
      <c r="X262" s="139">
        <f t="shared" si="524"/>
        <v>0.30777656078860899</v>
      </c>
      <c r="Y262" s="139">
        <f t="shared" si="524"/>
        <v>0</v>
      </c>
      <c r="Z262" s="139">
        <f t="shared" si="524"/>
        <v>0</v>
      </c>
      <c r="AA262" s="139">
        <f t="shared" si="524"/>
        <v>1.2048192771084338E-2</v>
      </c>
      <c r="AB262" s="139"/>
      <c r="AC262" s="139">
        <f t="shared" si="514"/>
        <v>2.5191675794085433E-2</v>
      </c>
      <c r="AD262" s="139">
        <f t="shared" ref="AD262:AI262" si="525">O262/$I262</f>
        <v>2.1905805038335158E-3</v>
      </c>
      <c r="AE262" s="139">
        <f t="shared" si="525"/>
        <v>0</v>
      </c>
      <c r="AF262" s="139">
        <f t="shared" si="525"/>
        <v>0</v>
      </c>
      <c r="AG262" s="139">
        <f t="shared" si="525"/>
        <v>0</v>
      </c>
      <c r="AH262" s="139">
        <f t="shared" si="525"/>
        <v>1.0952902519167579E-2</v>
      </c>
      <c r="AI262" s="139">
        <f t="shared" si="525"/>
        <v>1.2048192771084338E-2</v>
      </c>
    </row>
    <row r="263" spans="2:35">
      <c r="B263" s="138" t="s">
        <v>8077</v>
      </c>
      <c r="C263" s="138" t="s">
        <v>4367</v>
      </c>
      <c r="D263" s="138" t="s">
        <v>792</v>
      </c>
      <c r="E263" s="138" t="s">
        <v>8119</v>
      </c>
      <c r="F263" s="138" t="s">
        <v>8119</v>
      </c>
      <c r="H263" s="138">
        <v>13</v>
      </c>
      <c r="I263" s="138">
        <v>989</v>
      </c>
      <c r="J263" s="138">
        <v>676</v>
      </c>
      <c r="K263" s="138">
        <v>283</v>
      </c>
      <c r="N263" s="138">
        <v>7</v>
      </c>
      <c r="O263" s="138">
        <v>0</v>
      </c>
      <c r="S263" s="138">
        <v>15</v>
      </c>
      <c r="T263" s="138">
        <v>8</v>
      </c>
      <c r="U263" s="138">
        <f t="shared" si="512"/>
        <v>23</v>
      </c>
      <c r="W263" s="139">
        <f t="shared" ref="W263:AA263" si="526">J263/$I263</f>
        <v>0.68351870576339735</v>
      </c>
      <c r="X263" s="139">
        <f t="shared" si="526"/>
        <v>0.28614762386248738</v>
      </c>
      <c r="Y263" s="139">
        <f t="shared" si="526"/>
        <v>0</v>
      </c>
      <c r="Z263" s="139">
        <f t="shared" si="526"/>
        <v>0</v>
      </c>
      <c r="AA263" s="139">
        <f t="shared" si="526"/>
        <v>7.0778564206268957E-3</v>
      </c>
      <c r="AB263" s="139"/>
      <c r="AC263" s="139">
        <f t="shared" si="514"/>
        <v>2.3255813953488372E-2</v>
      </c>
      <c r="AD263" s="139">
        <f t="shared" ref="AD263:AI263" si="527">O263/$I263</f>
        <v>0</v>
      </c>
      <c r="AE263" s="139">
        <f t="shared" si="527"/>
        <v>0</v>
      </c>
      <c r="AF263" s="139">
        <f t="shared" si="527"/>
        <v>0</v>
      </c>
      <c r="AG263" s="139">
        <f t="shared" si="527"/>
        <v>0</v>
      </c>
      <c r="AH263" s="139">
        <f t="shared" si="527"/>
        <v>1.5166835187057633E-2</v>
      </c>
      <c r="AI263" s="139">
        <f t="shared" si="527"/>
        <v>8.0889787664307385E-3</v>
      </c>
    </row>
    <row r="264" spans="2:35">
      <c r="B264" s="138" t="s">
        <v>8077</v>
      </c>
      <c r="C264" s="138" t="s">
        <v>4367</v>
      </c>
      <c r="D264" s="138" t="s">
        <v>792</v>
      </c>
      <c r="E264" s="138" t="s">
        <v>8119</v>
      </c>
      <c r="F264" s="138" t="s">
        <v>8119</v>
      </c>
      <c r="H264" s="138">
        <v>14</v>
      </c>
      <c r="I264" s="138">
        <v>591</v>
      </c>
      <c r="J264" s="138">
        <v>395</v>
      </c>
      <c r="K264" s="138">
        <v>175</v>
      </c>
      <c r="N264" s="138">
        <v>9</v>
      </c>
      <c r="O264" s="138">
        <v>0</v>
      </c>
      <c r="S264" s="138">
        <v>4</v>
      </c>
      <c r="T264" s="138">
        <v>8</v>
      </c>
      <c r="U264" s="138">
        <f t="shared" si="512"/>
        <v>12</v>
      </c>
      <c r="W264" s="139">
        <f t="shared" ref="W264:AA264" si="528">J264/$I264</f>
        <v>0.66835871404399327</v>
      </c>
      <c r="X264" s="139">
        <f t="shared" si="528"/>
        <v>0.29610829103214892</v>
      </c>
      <c r="Y264" s="139">
        <f t="shared" si="528"/>
        <v>0</v>
      </c>
      <c r="Z264" s="139">
        <f t="shared" si="528"/>
        <v>0</v>
      </c>
      <c r="AA264" s="139">
        <f t="shared" si="528"/>
        <v>1.5228426395939087E-2</v>
      </c>
      <c r="AB264" s="139"/>
      <c r="AC264" s="139">
        <f t="shared" si="514"/>
        <v>2.030456852791878E-2</v>
      </c>
      <c r="AD264" s="139">
        <f t="shared" ref="AD264:AI264" si="529">O264/$I264</f>
        <v>0</v>
      </c>
      <c r="AE264" s="139">
        <f t="shared" si="529"/>
        <v>0</v>
      </c>
      <c r="AF264" s="139">
        <f t="shared" si="529"/>
        <v>0</v>
      </c>
      <c r="AG264" s="139">
        <f t="shared" si="529"/>
        <v>0</v>
      </c>
      <c r="AH264" s="139">
        <f t="shared" si="529"/>
        <v>6.7681895093062603E-3</v>
      </c>
      <c r="AI264" s="139">
        <f t="shared" si="529"/>
        <v>1.3536379018612521E-2</v>
      </c>
    </row>
    <row r="265" spans="2:35">
      <c r="B265" s="138" t="s">
        <v>8077</v>
      </c>
      <c r="C265" s="138" t="s">
        <v>4367</v>
      </c>
      <c r="D265" s="138" t="s">
        <v>792</v>
      </c>
      <c r="E265" s="138" t="s">
        <v>8119</v>
      </c>
      <c r="F265" s="138" t="s">
        <v>8119</v>
      </c>
      <c r="H265" s="138">
        <v>15</v>
      </c>
      <c r="I265" s="138">
        <v>926</v>
      </c>
      <c r="J265" s="138">
        <v>619</v>
      </c>
      <c r="K265" s="138">
        <v>271</v>
      </c>
      <c r="N265" s="138">
        <v>6</v>
      </c>
      <c r="O265" s="138">
        <v>2</v>
      </c>
      <c r="S265" s="138">
        <v>20</v>
      </c>
      <c r="T265" s="138">
        <v>8</v>
      </c>
      <c r="U265" s="138">
        <f t="shared" si="512"/>
        <v>30</v>
      </c>
      <c r="W265" s="139">
        <f t="shared" ref="W265:AA265" si="530">J265/$I265</f>
        <v>0.66846652267818574</v>
      </c>
      <c r="X265" s="139">
        <f t="shared" si="530"/>
        <v>0.29265658747300216</v>
      </c>
      <c r="Y265" s="139">
        <f t="shared" si="530"/>
        <v>0</v>
      </c>
      <c r="Z265" s="139">
        <f t="shared" si="530"/>
        <v>0</v>
      </c>
      <c r="AA265" s="139">
        <f t="shared" si="530"/>
        <v>6.4794816414686825E-3</v>
      </c>
      <c r="AB265" s="139"/>
      <c r="AC265" s="139">
        <f t="shared" si="514"/>
        <v>3.2397408207343416E-2</v>
      </c>
      <c r="AD265" s="139">
        <f t="shared" ref="AD265:AI265" si="531">O265/$I265</f>
        <v>2.1598272138228943E-3</v>
      </c>
      <c r="AE265" s="139">
        <f t="shared" si="531"/>
        <v>0</v>
      </c>
      <c r="AF265" s="139">
        <f t="shared" si="531"/>
        <v>0</v>
      </c>
      <c r="AG265" s="139">
        <f t="shared" si="531"/>
        <v>0</v>
      </c>
      <c r="AH265" s="139">
        <f t="shared" si="531"/>
        <v>2.159827213822894E-2</v>
      </c>
      <c r="AI265" s="139">
        <f t="shared" si="531"/>
        <v>8.6393088552915772E-3</v>
      </c>
    </row>
    <row r="266" spans="2:35">
      <c r="B266" s="138" t="s">
        <v>8077</v>
      </c>
      <c r="C266" s="138" t="s">
        <v>4367</v>
      </c>
      <c r="D266" s="138" t="s">
        <v>792</v>
      </c>
      <c r="E266" s="138" t="s">
        <v>8119</v>
      </c>
      <c r="F266" s="138" t="s">
        <v>8119</v>
      </c>
      <c r="H266" s="138">
        <v>16</v>
      </c>
      <c r="I266" s="138">
        <v>894</v>
      </c>
      <c r="J266" s="138">
        <v>605</v>
      </c>
      <c r="K266" s="138">
        <v>260</v>
      </c>
      <c r="N266" s="138">
        <v>6</v>
      </c>
      <c r="O266" s="138">
        <v>0</v>
      </c>
      <c r="S266" s="138">
        <v>18</v>
      </c>
      <c r="T266" s="138">
        <v>5</v>
      </c>
      <c r="U266" s="138">
        <f t="shared" si="512"/>
        <v>23</v>
      </c>
      <c r="W266" s="139">
        <f t="shared" ref="W266:AA266" si="532">J266/$I266</f>
        <v>0.6767337807606264</v>
      </c>
      <c r="X266" s="139">
        <f t="shared" si="532"/>
        <v>0.29082774049217003</v>
      </c>
      <c r="Y266" s="139">
        <f t="shared" si="532"/>
        <v>0</v>
      </c>
      <c r="Z266" s="139">
        <f t="shared" si="532"/>
        <v>0</v>
      </c>
      <c r="AA266" s="139">
        <f t="shared" si="532"/>
        <v>6.7114093959731542E-3</v>
      </c>
      <c r="AB266" s="139"/>
      <c r="AC266" s="139">
        <f t="shared" si="514"/>
        <v>2.5727069351230425E-2</v>
      </c>
      <c r="AD266" s="139">
        <f t="shared" ref="AD266:AI266" si="533">O266/$I266</f>
        <v>0</v>
      </c>
      <c r="AE266" s="139">
        <f t="shared" si="533"/>
        <v>0</v>
      </c>
      <c r="AF266" s="139">
        <f t="shared" si="533"/>
        <v>0</v>
      </c>
      <c r="AG266" s="139">
        <f t="shared" si="533"/>
        <v>0</v>
      </c>
      <c r="AH266" s="139">
        <f t="shared" si="533"/>
        <v>2.0134228187919462E-2</v>
      </c>
      <c r="AI266" s="139">
        <f t="shared" si="533"/>
        <v>5.5928411633109623E-3</v>
      </c>
    </row>
    <row r="267" spans="2:35">
      <c r="B267" s="138" t="s">
        <v>8077</v>
      </c>
      <c r="C267" s="138" t="s">
        <v>4367</v>
      </c>
      <c r="D267" s="138" t="s">
        <v>792</v>
      </c>
      <c r="E267" s="138" t="s">
        <v>8119</v>
      </c>
      <c r="F267" s="138" t="s">
        <v>8119</v>
      </c>
      <c r="H267" s="138">
        <v>17</v>
      </c>
      <c r="I267" s="138">
        <v>759</v>
      </c>
      <c r="J267" s="138">
        <v>556</v>
      </c>
      <c r="K267" s="138">
        <v>187</v>
      </c>
      <c r="N267" s="138">
        <v>6</v>
      </c>
      <c r="O267" s="138">
        <v>1</v>
      </c>
      <c r="S267" s="138">
        <v>7</v>
      </c>
      <c r="T267" s="138">
        <v>2</v>
      </c>
      <c r="U267" s="138">
        <f t="shared" si="512"/>
        <v>10</v>
      </c>
      <c r="W267" s="139">
        <f t="shared" ref="W267:AA267" si="534">J267/$I267</f>
        <v>0.73254281949934119</v>
      </c>
      <c r="X267" s="139">
        <f t="shared" si="534"/>
        <v>0.24637681159420291</v>
      </c>
      <c r="Y267" s="139">
        <f t="shared" si="534"/>
        <v>0</v>
      </c>
      <c r="Z267" s="139">
        <f t="shared" si="534"/>
        <v>0</v>
      </c>
      <c r="AA267" s="139">
        <f t="shared" si="534"/>
        <v>7.9051383399209481E-3</v>
      </c>
      <c r="AB267" s="139"/>
      <c r="AC267" s="139">
        <f t="shared" si="514"/>
        <v>1.3175230566534914E-2</v>
      </c>
      <c r="AD267" s="139">
        <f t="shared" ref="AD267:AI267" si="535">O267/$I267</f>
        <v>1.3175230566534915E-3</v>
      </c>
      <c r="AE267" s="139">
        <f t="shared" si="535"/>
        <v>0</v>
      </c>
      <c r="AF267" s="139">
        <f t="shared" si="535"/>
        <v>0</v>
      </c>
      <c r="AG267" s="139">
        <f t="shared" si="535"/>
        <v>0</v>
      </c>
      <c r="AH267" s="139">
        <f t="shared" si="535"/>
        <v>9.22266139657444E-3</v>
      </c>
      <c r="AI267" s="139">
        <f t="shared" si="535"/>
        <v>2.635046113306983E-3</v>
      </c>
    </row>
    <row r="268" spans="2:35">
      <c r="B268" s="138" t="s">
        <v>8077</v>
      </c>
      <c r="C268" s="138" t="s">
        <v>4367</v>
      </c>
      <c r="D268" s="138" t="s">
        <v>792</v>
      </c>
      <c r="E268" s="138" t="s">
        <v>8119</v>
      </c>
      <c r="F268" s="138" t="s">
        <v>8119</v>
      </c>
      <c r="H268" s="138">
        <v>18</v>
      </c>
      <c r="I268" s="138">
        <v>245</v>
      </c>
      <c r="J268" s="138">
        <v>138</v>
      </c>
      <c r="K268" s="138">
        <v>90</v>
      </c>
      <c r="N268" s="138">
        <v>5</v>
      </c>
      <c r="O268" s="138">
        <v>0</v>
      </c>
      <c r="S268" s="138">
        <v>7</v>
      </c>
      <c r="T268" s="138">
        <v>5</v>
      </c>
      <c r="U268" s="138">
        <f t="shared" si="512"/>
        <v>12</v>
      </c>
      <c r="W268" s="139">
        <f t="shared" ref="W268:AA268" si="536">J268/$I268</f>
        <v>0.56326530612244896</v>
      </c>
      <c r="X268" s="139">
        <f t="shared" si="536"/>
        <v>0.36734693877551022</v>
      </c>
      <c r="Y268" s="139">
        <f t="shared" si="536"/>
        <v>0</v>
      </c>
      <c r="Z268" s="139">
        <f t="shared" si="536"/>
        <v>0</v>
      </c>
      <c r="AA268" s="139">
        <f t="shared" si="536"/>
        <v>2.0408163265306121E-2</v>
      </c>
      <c r="AB268" s="139"/>
      <c r="AC268" s="139">
        <f t="shared" si="514"/>
        <v>4.8979591836734691E-2</v>
      </c>
      <c r="AD268" s="139">
        <f t="shared" ref="AD268:AI268" si="537">O268/$I268</f>
        <v>0</v>
      </c>
      <c r="AE268" s="139">
        <f t="shared" si="537"/>
        <v>0</v>
      </c>
      <c r="AF268" s="139">
        <f t="shared" si="537"/>
        <v>0</v>
      </c>
      <c r="AG268" s="139">
        <f t="shared" si="537"/>
        <v>0</v>
      </c>
      <c r="AH268" s="139">
        <f t="shared" si="537"/>
        <v>2.8571428571428571E-2</v>
      </c>
      <c r="AI268" s="139">
        <f t="shared" si="537"/>
        <v>2.0408163265306121E-2</v>
      </c>
    </row>
    <row r="269" spans="2:35">
      <c r="B269" s="138" t="s">
        <v>8077</v>
      </c>
      <c r="C269" s="138" t="s">
        <v>4367</v>
      </c>
      <c r="D269" s="138" t="s">
        <v>792</v>
      </c>
      <c r="E269" s="138" t="s">
        <v>8119</v>
      </c>
      <c r="F269" s="138" t="s">
        <v>8119</v>
      </c>
      <c r="H269" s="138">
        <v>19</v>
      </c>
      <c r="I269" s="138">
        <v>706</v>
      </c>
      <c r="J269" s="138">
        <v>484</v>
      </c>
      <c r="K269" s="138">
        <v>194</v>
      </c>
      <c r="N269" s="138">
        <v>9</v>
      </c>
      <c r="O269" s="138">
        <v>3</v>
      </c>
      <c r="S269" s="138">
        <v>13</v>
      </c>
      <c r="T269" s="138">
        <v>3</v>
      </c>
      <c r="U269" s="138">
        <f t="shared" si="512"/>
        <v>19</v>
      </c>
      <c r="W269" s="139">
        <f t="shared" ref="W269:AA269" si="538">J269/$I269</f>
        <v>0.68555240793201133</v>
      </c>
      <c r="X269" s="139">
        <f t="shared" si="538"/>
        <v>0.27478753541076489</v>
      </c>
      <c r="Y269" s="139">
        <f t="shared" si="538"/>
        <v>0</v>
      </c>
      <c r="Z269" s="139">
        <f t="shared" si="538"/>
        <v>0</v>
      </c>
      <c r="AA269" s="139">
        <f t="shared" si="538"/>
        <v>1.2747875354107648E-2</v>
      </c>
      <c r="AB269" s="139"/>
      <c r="AC269" s="139">
        <f t="shared" si="514"/>
        <v>2.6912181303116147E-2</v>
      </c>
      <c r="AD269" s="139">
        <f t="shared" ref="AD269:AI269" si="539">O269/$I269</f>
        <v>4.24929178470255E-3</v>
      </c>
      <c r="AE269" s="139">
        <f t="shared" si="539"/>
        <v>0</v>
      </c>
      <c r="AF269" s="139">
        <f t="shared" si="539"/>
        <v>0</v>
      </c>
      <c r="AG269" s="139">
        <f t="shared" si="539"/>
        <v>0</v>
      </c>
      <c r="AH269" s="139">
        <f t="shared" si="539"/>
        <v>1.8413597733711047E-2</v>
      </c>
      <c r="AI269" s="139">
        <f t="shared" si="539"/>
        <v>4.24929178470255E-3</v>
      </c>
    </row>
    <row r="270" spans="2:35">
      <c r="B270" s="138" t="s">
        <v>8077</v>
      </c>
      <c r="C270" s="138" t="s">
        <v>4367</v>
      </c>
      <c r="D270" s="138" t="s">
        <v>792</v>
      </c>
      <c r="E270" s="138" t="s">
        <v>8119</v>
      </c>
      <c r="F270" s="138" t="s">
        <v>8119</v>
      </c>
      <c r="H270" s="138">
        <v>20</v>
      </c>
      <c r="I270" s="138">
        <v>730</v>
      </c>
      <c r="J270" s="138">
        <v>568</v>
      </c>
      <c r="K270" s="138">
        <v>146</v>
      </c>
      <c r="N270" s="138">
        <v>4</v>
      </c>
      <c r="O270" s="138">
        <v>0</v>
      </c>
      <c r="S270" s="138">
        <v>11</v>
      </c>
      <c r="T270" s="138">
        <v>1</v>
      </c>
      <c r="U270" s="138">
        <f t="shared" si="512"/>
        <v>12</v>
      </c>
      <c r="W270" s="139">
        <f t="shared" ref="W270:AA270" si="540">J270/$I270</f>
        <v>0.77808219178082194</v>
      </c>
      <c r="X270" s="139">
        <f t="shared" si="540"/>
        <v>0.2</v>
      </c>
      <c r="Y270" s="139">
        <f t="shared" si="540"/>
        <v>0</v>
      </c>
      <c r="Z270" s="139">
        <f t="shared" si="540"/>
        <v>0</v>
      </c>
      <c r="AA270" s="139">
        <f t="shared" si="540"/>
        <v>5.4794520547945206E-3</v>
      </c>
      <c r="AB270" s="139"/>
      <c r="AC270" s="139">
        <f t="shared" si="514"/>
        <v>1.643835616438356E-2</v>
      </c>
      <c r="AD270" s="139">
        <f t="shared" ref="AD270:AI270" si="541">O270/$I270</f>
        <v>0</v>
      </c>
      <c r="AE270" s="139">
        <f t="shared" si="541"/>
        <v>0</v>
      </c>
      <c r="AF270" s="139">
        <f t="shared" si="541"/>
        <v>0</v>
      </c>
      <c r="AG270" s="139">
        <f t="shared" si="541"/>
        <v>0</v>
      </c>
      <c r="AH270" s="139">
        <f t="shared" si="541"/>
        <v>1.5068493150684932E-2</v>
      </c>
      <c r="AI270" s="139">
        <f t="shared" si="541"/>
        <v>1.3698630136986301E-3</v>
      </c>
    </row>
    <row r="271" spans="2:35">
      <c r="B271" s="138" t="s">
        <v>8077</v>
      </c>
      <c r="C271" s="138" t="s">
        <v>4367</v>
      </c>
      <c r="D271" s="138" t="s">
        <v>792</v>
      </c>
      <c r="E271" s="138" t="s">
        <v>8119</v>
      </c>
      <c r="F271" s="138" t="s">
        <v>8119</v>
      </c>
      <c r="H271" s="138">
        <v>21</v>
      </c>
      <c r="I271" s="138">
        <v>511</v>
      </c>
      <c r="J271" s="138">
        <v>365</v>
      </c>
      <c r="K271" s="138">
        <v>133</v>
      </c>
      <c r="N271" s="138">
        <v>2</v>
      </c>
      <c r="O271" s="138">
        <v>1</v>
      </c>
      <c r="S271" s="138">
        <v>7</v>
      </c>
      <c r="T271" s="138">
        <v>3</v>
      </c>
      <c r="U271" s="138">
        <f t="shared" si="512"/>
        <v>11</v>
      </c>
      <c r="W271" s="139">
        <f t="shared" ref="W271:AA271" si="542">J271/$I271</f>
        <v>0.7142857142857143</v>
      </c>
      <c r="X271" s="139">
        <f t="shared" si="542"/>
        <v>0.26027397260273971</v>
      </c>
      <c r="Y271" s="139">
        <f t="shared" si="542"/>
        <v>0</v>
      </c>
      <c r="Z271" s="139">
        <f t="shared" si="542"/>
        <v>0</v>
      </c>
      <c r="AA271" s="139">
        <f t="shared" si="542"/>
        <v>3.9138943248532287E-3</v>
      </c>
      <c r="AB271" s="139"/>
      <c r="AC271" s="139">
        <f t="shared" si="514"/>
        <v>2.1526418786692758E-2</v>
      </c>
      <c r="AD271" s="139">
        <f t="shared" ref="AD271:AI271" si="543">O271/$I271</f>
        <v>1.9569471624266144E-3</v>
      </c>
      <c r="AE271" s="139">
        <f t="shared" si="543"/>
        <v>0</v>
      </c>
      <c r="AF271" s="139">
        <f t="shared" si="543"/>
        <v>0</v>
      </c>
      <c r="AG271" s="139">
        <f t="shared" si="543"/>
        <v>0</v>
      </c>
      <c r="AH271" s="139">
        <f t="shared" si="543"/>
        <v>1.3698630136986301E-2</v>
      </c>
      <c r="AI271" s="139">
        <f t="shared" si="543"/>
        <v>5.8708414872798431E-3</v>
      </c>
    </row>
    <row r="272" spans="2:35">
      <c r="B272" s="138" t="s">
        <v>8077</v>
      </c>
      <c r="C272" s="138" t="s">
        <v>4367</v>
      </c>
      <c r="D272" s="138" t="s">
        <v>792</v>
      </c>
      <c r="E272" s="138" t="s">
        <v>8119</v>
      </c>
      <c r="F272" s="138" t="s">
        <v>8119</v>
      </c>
      <c r="H272" s="138">
        <v>22</v>
      </c>
      <c r="I272" s="138">
        <v>580</v>
      </c>
      <c r="J272" s="138">
        <v>348</v>
      </c>
      <c r="K272" s="138">
        <v>210</v>
      </c>
      <c r="N272" s="138">
        <v>3</v>
      </c>
      <c r="O272" s="138">
        <v>3</v>
      </c>
      <c r="S272" s="138">
        <v>12</v>
      </c>
      <c r="T272" s="138">
        <v>4</v>
      </c>
      <c r="U272" s="138">
        <f t="shared" si="512"/>
        <v>19</v>
      </c>
      <c r="W272" s="139">
        <f t="shared" ref="W272:AA272" si="544">J272/$I272</f>
        <v>0.6</v>
      </c>
      <c r="X272" s="139">
        <f t="shared" si="544"/>
        <v>0.36206896551724138</v>
      </c>
      <c r="Y272" s="139">
        <f t="shared" si="544"/>
        <v>0</v>
      </c>
      <c r="Z272" s="139">
        <f t="shared" si="544"/>
        <v>0</v>
      </c>
      <c r="AA272" s="139">
        <f t="shared" si="544"/>
        <v>5.1724137931034482E-3</v>
      </c>
      <c r="AB272" s="139"/>
      <c r="AC272" s="139">
        <f t="shared" si="514"/>
        <v>3.2758620689655175E-2</v>
      </c>
      <c r="AD272" s="139">
        <f t="shared" ref="AD272:AI272" si="545">O272/$I272</f>
        <v>5.1724137931034482E-3</v>
      </c>
      <c r="AE272" s="139">
        <f t="shared" si="545"/>
        <v>0</v>
      </c>
      <c r="AF272" s="139">
        <f t="shared" si="545"/>
        <v>0</v>
      </c>
      <c r="AG272" s="139">
        <f t="shared" si="545"/>
        <v>0</v>
      </c>
      <c r="AH272" s="139">
        <f t="shared" si="545"/>
        <v>2.0689655172413793E-2</v>
      </c>
      <c r="AI272" s="139">
        <f t="shared" si="545"/>
        <v>6.8965517241379309E-3</v>
      </c>
    </row>
    <row r="273" spans="2:35">
      <c r="B273" s="138" t="s">
        <v>8077</v>
      </c>
      <c r="C273" s="138" t="s">
        <v>4367</v>
      </c>
      <c r="D273" s="138" t="s">
        <v>792</v>
      </c>
      <c r="E273" s="138" t="s">
        <v>8119</v>
      </c>
      <c r="F273" s="138" t="s">
        <v>8119</v>
      </c>
      <c r="H273" s="138">
        <v>23</v>
      </c>
      <c r="I273" s="138">
        <v>735</v>
      </c>
      <c r="J273" s="138">
        <v>511</v>
      </c>
      <c r="K273" s="138">
        <v>190</v>
      </c>
      <c r="N273" s="138">
        <v>8</v>
      </c>
      <c r="O273" s="138">
        <v>0</v>
      </c>
      <c r="S273" s="138">
        <v>15</v>
      </c>
      <c r="T273" s="138">
        <v>11</v>
      </c>
      <c r="U273" s="138">
        <f t="shared" si="512"/>
        <v>26</v>
      </c>
      <c r="W273" s="139">
        <f t="shared" ref="W273:AA273" si="546">J273/$I273</f>
        <v>0.69523809523809521</v>
      </c>
      <c r="X273" s="139">
        <f t="shared" si="546"/>
        <v>0.25850340136054423</v>
      </c>
      <c r="Y273" s="139">
        <f t="shared" si="546"/>
        <v>0</v>
      </c>
      <c r="Z273" s="139">
        <f t="shared" si="546"/>
        <v>0</v>
      </c>
      <c r="AA273" s="139">
        <f t="shared" si="546"/>
        <v>1.0884353741496598E-2</v>
      </c>
      <c r="AB273" s="139"/>
      <c r="AC273" s="139">
        <f t="shared" si="514"/>
        <v>3.5374149659863949E-2</v>
      </c>
      <c r="AD273" s="139">
        <f t="shared" ref="AD273:AI273" si="547">O273/$I273</f>
        <v>0</v>
      </c>
      <c r="AE273" s="139">
        <f t="shared" si="547"/>
        <v>0</v>
      </c>
      <c r="AF273" s="139">
        <f t="shared" si="547"/>
        <v>0</v>
      </c>
      <c r="AG273" s="139">
        <f t="shared" si="547"/>
        <v>0</v>
      </c>
      <c r="AH273" s="139">
        <f t="shared" si="547"/>
        <v>2.0408163265306121E-2</v>
      </c>
      <c r="AI273" s="139">
        <f t="shared" si="547"/>
        <v>1.4965986394557823E-2</v>
      </c>
    </row>
    <row r="274" spans="2:35">
      <c r="B274" s="138" t="s">
        <v>8077</v>
      </c>
      <c r="C274" s="138" t="s">
        <v>4367</v>
      </c>
      <c r="D274" s="138" t="s">
        <v>792</v>
      </c>
      <c r="E274" s="138" t="s">
        <v>8119</v>
      </c>
      <c r="F274" s="138" t="s">
        <v>8119</v>
      </c>
      <c r="H274" s="138">
        <v>24</v>
      </c>
      <c r="I274" s="138">
        <v>777</v>
      </c>
      <c r="J274" s="138">
        <v>519</v>
      </c>
      <c r="K274" s="138">
        <v>228</v>
      </c>
      <c r="N274" s="138">
        <v>5</v>
      </c>
      <c r="O274" s="138">
        <v>1</v>
      </c>
      <c r="S274" s="138">
        <v>17</v>
      </c>
      <c r="T274" s="138">
        <v>7</v>
      </c>
      <c r="U274" s="138">
        <f t="shared" si="512"/>
        <v>25</v>
      </c>
      <c r="W274" s="139">
        <f t="shared" ref="W274:AA274" si="548">J274/$I274</f>
        <v>0.66795366795366795</v>
      </c>
      <c r="X274" s="139">
        <f t="shared" si="548"/>
        <v>0.29343629343629346</v>
      </c>
      <c r="Y274" s="139">
        <f t="shared" si="548"/>
        <v>0</v>
      </c>
      <c r="Z274" s="139">
        <f t="shared" si="548"/>
        <v>0</v>
      </c>
      <c r="AA274" s="139">
        <f t="shared" si="548"/>
        <v>6.4350064350064346E-3</v>
      </c>
      <c r="AB274" s="139"/>
      <c r="AC274" s="139">
        <f t="shared" si="514"/>
        <v>3.2175032175032175E-2</v>
      </c>
      <c r="AD274" s="139">
        <f t="shared" ref="AD274:AI274" si="549">O274/$I274</f>
        <v>1.287001287001287E-3</v>
      </c>
      <c r="AE274" s="139">
        <f t="shared" si="549"/>
        <v>0</v>
      </c>
      <c r="AF274" s="139">
        <f t="shared" si="549"/>
        <v>0</v>
      </c>
      <c r="AG274" s="139">
        <f t="shared" si="549"/>
        <v>0</v>
      </c>
      <c r="AH274" s="139">
        <f t="shared" si="549"/>
        <v>2.1879021879021878E-2</v>
      </c>
      <c r="AI274" s="139">
        <f t="shared" si="549"/>
        <v>9.0090090090090089E-3</v>
      </c>
    </row>
    <row r="275" spans="2:35">
      <c r="B275" s="138" t="s">
        <v>8077</v>
      </c>
      <c r="C275" s="138" t="s">
        <v>4367</v>
      </c>
      <c r="D275" s="138" t="s">
        <v>792</v>
      </c>
      <c r="E275" s="138" t="s">
        <v>8119</v>
      </c>
      <c r="F275" s="138" t="s">
        <v>8119</v>
      </c>
      <c r="H275" s="138">
        <v>25</v>
      </c>
      <c r="I275" s="138">
        <v>681</v>
      </c>
      <c r="J275" s="138">
        <v>470</v>
      </c>
      <c r="K275" s="138">
        <v>190</v>
      </c>
      <c r="N275" s="138">
        <v>5</v>
      </c>
      <c r="O275" s="138">
        <v>1</v>
      </c>
      <c r="S275" s="138">
        <v>12</v>
      </c>
      <c r="T275" s="138">
        <v>3</v>
      </c>
      <c r="U275" s="138">
        <f t="shared" si="512"/>
        <v>16</v>
      </c>
      <c r="W275" s="139">
        <f t="shared" ref="W275:AA275" si="550">J275/$I275</f>
        <v>0.69016152716593249</v>
      </c>
      <c r="X275" s="139">
        <f t="shared" si="550"/>
        <v>0.27900146842878121</v>
      </c>
      <c r="Y275" s="139">
        <f t="shared" si="550"/>
        <v>0</v>
      </c>
      <c r="Z275" s="139">
        <f t="shared" si="550"/>
        <v>0</v>
      </c>
      <c r="AA275" s="139">
        <f t="shared" si="550"/>
        <v>7.3421439060205578E-3</v>
      </c>
      <c r="AB275" s="139"/>
      <c r="AC275" s="139">
        <f t="shared" si="514"/>
        <v>2.3494860499265784E-2</v>
      </c>
      <c r="AD275" s="139">
        <f t="shared" ref="AD275:AI275" si="551">O275/$I275</f>
        <v>1.4684287812041115E-3</v>
      </c>
      <c r="AE275" s="139">
        <f t="shared" si="551"/>
        <v>0</v>
      </c>
      <c r="AF275" s="139">
        <f t="shared" si="551"/>
        <v>0</v>
      </c>
      <c r="AG275" s="139">
        <f t="shared" si="551"/>
        <v>0</v>
      </c>
      <c r="AH275" s="139">
        <f t="shared" si="551"/>
        <v>1.7621145374449341E-2</v>
      </c>
      <c r="AI275" s="139">
        <f t="shared" si="551"/>
        <v>4.4052863436123352E-3</v>
      </c>
    </row>
    <row r="276" spans="2:35">
      <c r="B276" s="138" t="s">
        <v>8077</v>
      </c>
      <c r="C276" s="138" t="s">
        <v>4367</v>
      </c>
      <c r="D276" s="138" t="s">
        <v>792</v>
      </c>
      <c r="E276" s="138" t="s">
        <v>8119</v>
      </c>
      <c r="F276" s="138" t="s">
        <v>8119</v>
      </c>
      <c r="H276" s="138">
        <v>26</v>
      </c>
      <c r="I276" s="138">
        <v>571</v>
      </c>
      <c r="J276" s="138">
        <v>402</v>
      </c>
      <c r="K276" s="138">
        <v>156</v>
      </c>
      <c r="N276" s="138">
        <v>5</v>
      </c>
      <c r="O276" s="138">
        <v>0</v>
      </c>
      <c r="S276" s="138">
        <v>4</v>
      </c>
      <c r="T276" s="138">
        <v>4</v>
      </c>
      <c r="U276" s="138">
        <f t="shared" si="512"/>
        <v>8</v>
      </c>
      <c r="W276" s="139">
        <f t="shared" ref="W276:AA276" si="552">J276/$I276</f>
        <v>0.70402802101576178</v>
      </c>
      <c r="X276" s="139">
        <f t="shared" si="552"/>
        <v>0.27320490367775829</v>
      </c>
      <c r="Y276" s="139">
        <f t="shared" si="552"/>
        <v>0</v>
      </c>
      <c r="Z276" s="139">
        <f t="shared" si="552"/>
        <v>0</v>
      </c>
      <c r="AA276" s="139">
        <f t="shared" si="552"/>
        <v>8.7565674255691769E-3</v>
      </c>
      <c r="AB276" s="139"/>
      <c r="AC276" s="139">
        <f t="shared" si="514"/>
        <v>1.4010507880910683E-2</v>
      </c>
      <c r="AD276" s="139">
        <f t="shared" ref="AD276:AI276" si="553">O276/$I276</f>
        <v>0</v>
      </c>
      <c r="AE276" s="139">
        <f t="shared" si="553"/>
        <v>0</v>
      </c>
      <c r="AF276" s="139">
        <f t="shared" si="553"/>
        <v>0</v>
      </c>
      <c r="AG276" s="139">
        <f t="shared" si="553"/>
        <v>0</v>
      </c>
      <c r="AH276" s="139">
        <f t="shared" si="553"/>
        <v>7.0052539404553416E-3</v>
      </c>
      <c r="AI276" s="139">
        <f t="shared" si="553"/>
        <v>7.0052539404553416E-3</v>
      </c>
    </row>
    <row r="277" spans="2:35">
      <c r="B277" s="138" t="s">
        <v>8077</v>
      </c>
      <c r="C277" s="138" t="s">
        <v>4367</v>
      </c>
      <c r="D277" s="138" t="s">
        <v>792</v>
      </c>
      <c r="E277" s="138" t="s">
        <v>8119</v>
      </c>
      <c r="F277" s="138" t="s">
        <v>8119</v>
      </c>
      <c r="H277" s="138">
        <v>27</v>
      </c>
      <c r="I277" s="138">
        <v>403</v>
      </c>
      <c r="J277" s="138">
        <v>307</v>
      </c>
      <c r="K277" s="138">
        <v>80</v>
      </c>
      <c r="N277" s="138">
        <v>6</v>
      </c>
      <c r="O277" s="138">
        <v>2</v>
      </c>
      <c r="S277" s="138">
        <v>4</v>
      </c>
      <c r="T277" s="138">
        <v>4</v>
      </c>
      <c r="U277" s="138">
        <f t="shared" si="512"/>
        <v>10</v>
      </c>
      <c r="W277" s="139">
        <f t="shared" ref="W277:AA277" si="554">J277/$I277</f>
        <v>0.76178660049627789</v>
      </c>
      <c r="X277" s="139">
        <f t="shared" si="554"/>
        <v>0.19851116625310175</v>
      </c>
      <c r="Y277" s="139">
        <f t="shared" si="554"/>
        <v>0</v>
      </c>
      <c r="Z277" s="139">
        <f t="shared" si="554"/>
        <v>0</v>
      </c>
      <c r="AA277" s="139">
        <f t="shared" si="554"/>
        <v>1.488833746898263E-2</v>
      </c>
      <c r="AB277" s="139"/>
      <c r="AC277" s="139">
        <f t="shared" si="514"/>
        <v>2.4813895781637719E-2</v>
      </c>
      <c r="AD277" s="139">
        <f t="shared" ref="AD277:AI277" si="555">O277/$I277</f>
        <v>4.9627791563275434E-3</v>
      </c>
      <c r="AE277" s="139">
        <f t="shared" si="555"/>
        <v>0</v>
      </c>
      <c r="AF277" s="139">
        <f t="shared" si="555"/>
        <v>0</v>
      </c>
      <c r="AG277" s="139">
        <f t="shared" si="555"/>
        <v>0</v>
      </c>
      <c r="AH277" s="139">
        <f t="shared" si="555"/>
        <v>9.9255583126550868E-3</v>
      </c>
      <c r="AI277" s="139">
        <f t="shared" si="555"/>
        <v>9.9255583126550868E-3</v>
      </c>
    </row>
    <row r="278" spans="2:35">
      <c r="B278" s="138" t="s">
        <v>8077</v>
      </c>
      <c r="C278" s="138" t="s">
        <v>4367</v>
      </c>
      <c r="D278" s="138" t="s">
        <v>792</v>
      </c>
      <c r="E278" s="138" t="s">
        <v>8119</v>
      </c>
      <c r="F278" s="138" t="s">
        <v>8119</v>
      </c>
      <c r="H278" s="138">
        <v>28</v>
      </c>
      <c r="I278" s="138">
        <v>559</v>
      </c>
      <c r="J278" s="138">
        <v>416</v>
      </c>
      <c r="K278" s="138">
        <v>127</v>
      </c>
      <c r="N278" s="138">
        <v>5</v>
      </c>
      <c r="O278" s="138">
        <v>1</v>
      </c>
      <c r="S278" s="138">
        <v>8</v>
      </c>
      <c r="T278" s="138">
        <v>2</v>
      </c>
      <c r="U278" s="138">
        <f t="shared" si="512"/>
        <v>11</v>
      </c>
      <c r="W278" s="139">
        <f t="shared" ref="W278:AA278" si="556">J278/$I278</f>
        <v>0.7441860465116279</v>
      </c>
      <c r="X278" s="139">
        <f t="shared" si="556"/>
        <v>0.22719141323792486</v>
      </c>
      <c r="Y278" s="139">
        <f t="shared" si="556"/>
        <v>0</v>
      </c>
      <c r="Z278" s="139">
        <f t="shared" si="556"/>
        <v>0</v>
      </c>
      <c r="AA278" s="139">
        <f t="shared" si="556"/>
        <v>8.9445438282647581E-3</v>
      </c>
      <c r="AB278" s="139"/>
      <c r="AC278" s="139">
        <f t="shared" si="514"/>
        <v>1.9677996422182469E-2</v>
      </c>
      <c r="AD278" s="139">
        <f t="shared" ref="AD278:AI278" si="557">O278/$I278</f>
        <v>1.7889087656529517E-3</v>
      </c>
      <c r="AE278" s="139">
        <f t="shared" si="557"/>
        <v>0</v>
      </c>
      <c r="AF278" s="139">
        <f t="shared" si="557"/>
        <v>0</v>
      </c>
      <c r="AG278" s="139">
        <f t="shared" si="557"/>
        <v>0</v>
      </c>
      <c r="AH278" s="139">
        <f t="shared" si="557"/>
        <v>1.4311270125223614E-2</v>
      </c>
      <c r="AI278" s="139">
        <f t="shared" si="557"/>
        <v>3.5778175313059034E-3</v>
      </c>
    </row>
    <row r="279" spans="2:35">
      <c r="B279" s="138" t="s">
        <v>8077</v>
      </c>
      <c r="C279" s="138" t="s">
        <v>4367</v>
      </c>
      <c r="D279" s="138" t="s">
        <v>792</v>
      </c>
      <c r="E279" s="138" t="s">
        <v>8119</v>
      </c>
      <c r="F279" s="138" t="s">
        <v>8119</v>
      </c>
      <c r="H279" s="138">
        <v>29</v>
      </c>
      <c r="I279" s="138">
        <v>413</v>
      </c>
      <c r="J279" s="138">
        <v>292</v>
      </c>
      <c r="K279" s="138">
        <v>106</v>
      </c>
      <c r="N279" s="138">
        <v>4</v>
      </c>
      <c r="O279" s="138">
        <v>0</v>
      </c>
      <c r="S279" s="138">
        <v>5</v>
      </c>
      <c r="T279" s="138">
        <v>6</v>
      </c>
      <c r="U279" s="138">
        <f t="shared" si="512"/>
        <v>11</v>
      </c>
      <c r="W279" s="139">
        <f t="shared" ref="W279:AA279" si="558">J279/$I279</f>
        <v>0.70702179176755453</v>
      </c>
      <c r="X279" s="139">
        <f t="shared" si="558"/>
        <v>0.2566585956416465</v>
      </c>
      <c r="Y279" s="139">
        <f t="shared" si="558"/>
        <v>0</v>
      </c>
      <c r="Z279" s="139">
        <f t="shared" si="558"/>
        <v>0</v>
      </c>
      <c r="AA279" s="139">
        <f t="shared" si="558"/>
        <v>9.6852300242130755E-3</v>
      </c>
      <c r="AB279" s="139"/>
      <c r="AC279" s="139">
        <f t="shared" si="514"/>
        <v>2.6634382566585957E-2</v>
      </c>
      <c r="AD279" s="139">
        <f t="shared" ref="AD279:AI279" si="559">O279/$I279</f>
        <v>0</v>
      </c>
      <c r="AE279" s="139">
        <f t="shared" si="559"/>
        <v>0</v>
      </c>
      <c r="AF279" s="139">
        <f t="shared" si="559"/>
        <v>0</v>
      </c>
      <c r="AG279" s="139">
        <f t="shared" si="559"/>
        <v>0</v>
      </c>
      <c r="AH279" s="139">
        <f t="shared" si="559"/>
        <v>1.2106537530266344E-2</v>
      </c>
      <c r="AI279" s="139">
        <f t="shared" si="559"/>
        <v>1.4527845036319613E-2</v>
      </c>
    </row>
    <row r="280" spans="2:35">
      <c r="B280" s="138" t="s">
        <v>8077</v>
      </c>
      <c r="C280" s="138" t="s">
        <v>4367</v>
      </c>
      <c r="D280" s="138" t="s">
        <v>792</v>
      </c>
      <c r="E280" s="138" t="s">
        <v>8119</v>
      </c>
      <c r="F280" s="138" t="s">
        <v>8119</v>
      </c>
      <c r="H280" s="138">
        <v>30</v>
      </c>
      <c r="I280" s="138">
        <v>528</v>
      </c>
      <c r="J280" s="138">
        <v>372</v>
      </c>
      <c r="K280" s="138">
        <v>147</v>
      </c>
      <c r="N280" s="138">
        <v>4</v>
      </c>
      <c r="O280" s="138">
        <v>0</v>
      </c>
      <c r="S280" s="138">
        <v>3</v>
      </c>
      <c r="T280" s="138">
        <v>2</v>
      </c>
      <c r="U280" s="138">
        <f t="shared" si="512"/>
        <v>5</v>
      </c>
      <c r="W280" s="139">
        <f t="shared" ref="W280:AA280" si="560">J280/$I280</f>
        <v>0.70454545454545459</v>
      </c>
      <c r="X280" s="139">
        <f t="shared" si="560"/>
        <v>0.27840909090909088</v>
      </c>
      <c r="Y280" s="139">
        <f t="shared" si="560"/>
        <v>0</v>
      </c>
      <c r="Z280" s="139">
        <f t="shared" si="560"/>
        <v>0</v>
      </c>
      <c r="AA280" s="139">
        <f t="shared" si="560"/>
        <v>7.575757575757576E-3</v>
      </c>
      <c r="AB280" s="139"/>
      <c r="AC280" s="139">
        <f t="shared" si="514"/>
        <v>9.46969696969697E-3</v>
      </c>
      <c r="AD280" s="139">
        <f t="shared" ref="AD280:AI280" si="561">O280/$I280</f>
        <v>0</v>
      </c>
      <c r="AE280" s="139">
        <f t="shared" si="561"/>
        <v>0</v>
      </c>
      <c r="AF280" s="139">
        <f t="shared" si="561"/>
        <v>0</v>
      </c>
      <c r="AG280" s="139">
        <f t="shared" si="561"/>
        <v>0</v>
      </c>
      <c r="AH280" s="139">
        <f t="shared" si="561"/>
        <v>5.681818181818182E-3</v>
      </c>
      <c r="AI280" s="139">
        <f t="shared" si="561"/>
        <v>3.787878787878788E-3</v>
      </c>
    </row>
    <row r="281" spans="2:35">
      <c r="B281" s="138" t="s">
        <v>8077</v>
      </c>
      <c r="C281" s="138" t="s">
        <v>4367</v>
      </c>
      <c r="D281" s="138" t="s">
        <v>792</v>
      </c>
      <c r="E281" s="138" t="s">
        <v>8119</v>
      </c>
      <c r="F281" s="138" t="s">
        <v>8119</v>
      </c>
      <c r="H281" s="138">
        <v>31</v>
      </c>
      <c r="I281" s="138">
        <v>688</v>
      </c>
      <c r="J281" s="138">
        <v>418</v>
      </c>
      <c r="K281" s="138">
        <v>237</v>
      </c>
      <c r="N281" s="138">
        <v>13</v>
      </c>
      <c r="O281" s="138">
        <v>1</v>
      </c>
      <c r="S281" s="138">
        <v>14</v>
      </c>
      <c r="T281" s="138">
        <v>5</v>
      </c>
      <c r="U281" s="138">
        <f t="shared" si="512"/>
        <v>20</v>
      </c>
      <c r="W281" s="139">
        <f t="shared" ref="W281:AA281" si="562">J281/$I281</f>
        <v>0.60755813953488369</v>
      </c>
      <c r="X281" s="139">
        <f t="shared" si="562"/>
        <v>0.34447674418604651</v>
      </c>
      <c r="Y281" s="139">
        <f t="shared" si="562"/>
        <v>0</v>
      </c>
      <c r="Z281" s="139">
        <f t="shared" si="562"/>
        <v>0</v>
      </c>
      <c r="AA281" s="139">
        <f t="shared" si="562"/>
        <v>1.8895348837209301E-2</v>
      </c>
      <c r="AB281" s="139"/>
      <c r="AC281" s="139">
        <f t="shared" si="514"/>
        <v>2.9069767441860465E-2</v>
      </c>
      <c r="AD281" s="139">
        <f t="shared" ref="AD281:AI281" si="563">O281/$I281</f>
        <v>1.4534883720930232E-3</v>
      </c>
      <c r="AE281" s="139">
        <f t="shared" si="563"/>
        <v>0</v>
      </c>
      <c r="AF281" s="139">
        <f t="shared" si="563"/>
        <v>0</v>
      </c>
      <c r="AG281" s="139">
        <f t="shared" si="563"/>
        <v>0</v>
      </c>
      <c r="AH281" s="139">
        <f t="shared" si="563"/>
        <v>2.0348837209302327E-2</v>
      </c>
      <c r="AI281" s="139">
        <f t="shared" si="563"/>
        <v>7.2674418604651162E-3</v>
      </c>
    </row>
    <row r="282" spans="2:35">
      <c r="B282" s="138" t="s">
        <v>8077</v>
      </c>
      <c r="C282" s="138" t="s">
        <v>4367</v>
      </c>
      <c r="D282" s="138" t="s">
        <v>792</v>
      </c>
      <c r="E282" s="138" t="s">
        <v>8119</v>
      </c>
      <c r="F282" s="138" t="s">
        <v>8119</v>
      </c>
      <c r="H282" s="138">
        <v>32</v>
      </c>
      <c r="I282" s="138">
        <v>737</v>
      </c>
      <c r="J282" s="138">
        <v>424</v>
      </c>
      <c r="K282" s="138">
        <v>268</v>
      </c>
      <c r="N282" s="138">
        <v>13</v>
      </c>
      <c r="O282" s="138">
        <v>2</v>
      </c>
      <c r="S282" s="138">
        <v>24</v>
      </c>
      <c r="T282" s="138">
        <v>6</v>
      </c>
      <c r="U282" s="138">
        <f t="shared" si="512"/>
        <v>32</v>
      </c>
      <c r="W282" s="139">
        <f t="shared" ref="W282:AA282" si="564">J282/$I282</f>
        <v>0.57530529172320222</v>
      </c>
      <c r="X282" s="139">
        <f t="shared" si="564"/>
        <v>0.36363636363636365</v>
      </c>
      <c r="Y282" s="139">
        <f t="shared" si="564"/>
        <v>0</v>
      </c>
      <c r="Z282" s="139">
        <f t="shared" si="564"/>
        <v>0</v>
      </c>
      <c r="AA282" s="139">
        <f t="shared" si="564"/>
        <v>1.7639077340569877E-2</v>
      </c>
      <c r="AB282" s="139"/>
      <c r="AC282" s="139">
        <f t="shared" si="514"/>
        <v>4.3419267299864311E-2</v>
      </c>
      <c r="AD282" s="139">
        <f t="shared" ref="AD282:AI282" si="565">O282/$I282</f>
        <v>2.7137042062415195E-3</v>
      </c>
      <c r="AE282" s="139">
        <f t="shared" si="565"/>
        <v>0</v>
      </c>
      <c r="AF282" s="139">
        <f t="shared" si="565"/>
        <v>0</v>
      </c>
      <c r="AG282" s="139">
        <f t="shared" si="565"/>
        <v>0</v>
      </c>
      <c r="AH282" s="139">
        <f t="shared" si="565"/>
        <v>3.2564450474898234E-2</v>
      </c>
      <c r="AI282" s="139">
        <f t="shared" si="565"/>
        <v>8.1411126187245584E-3</v>
      </c>
    </row>
    <row r="283" spans="2:35">
      <c r="B283" s="138" t="s">
        <v>8077</v>
      </c>
      <c r="C283" s="138" t="s">
        <v>4367</v>
      </c>
      <c r="D283" s="138" t="s">
        <v>792</v>
      </c>
      <c r="E283" s="138" t="s">
        <v>8119</v>
      </c>
      <c r="F283" s="138" t="s">
        <v>8119</v>
      </c>
      <c r="H283" s="138">
        <v>33</v>
      </c>
      <c r="I283" s="138">
        <v>513</v>
      </c>
      <c r="J283" s="138">
        <v>350</v>
      </c>
      <c r="K283" s="138">
        <v>148</v>
      </c>
      <c r="N283" s="138">
        <v>2</v>
      </c>
      <c r="O283" s="138">
        <v>2</v>
      </c>
      <c r="S283" s="138">
        <v>7</v>
      </c>
      <c r="T283" s="138">
        <v>4</v>
      </c>
      <c r="U283" s="138">
        <f t="shared" si="512"/>
        <v>13</v>
      </c>
      <c r="W283" s="139">
        <f t="shared" ref="W283:AA283" si="566">J283/$I283</f>
        <v>0.68226120857699801</v>
      </c>
      <c r="X283" s="139">
        <f t="shared" si="566"/>
        <v>0.28849902534113059</v>
      </c>
      <c r="Y283" s="139">
        <f t="shared" si="566"/>
        <v>0</v>
      </c>
      <c r="Z283" s="139">
        <f t="shared" si="566"/>
        <v>0</v>
      </c>
      <c r="AA283" s="139">
        <f t="shared" si="566"/>
        <v>3.8986354775828458E-3</v>
      </c>
      <c r="AB283" s="139"/>
      <c r="AC283" s="139">
        <f t="shared" si="514"/>
        <v>2.5341130604288498E-2</v>
      </c>
      <c r="AD283" s="139">
        <f t="shared" ref="AD283:AI283" si="567">O283/$I283</f>
        <v>3.8986354775828458E-3</v>
      </c>
      <c r="AE283" s="139">
        <f t="shared" si="567"/>
        <v>0</v>
      </c>
      <c r="AF283" s="139">
        <f t="shared" si="567"/>
        <v>0</v>
      </c>
      <c r="AG283" s="139">
        <f t="shared" si="567"/>
        <v>0</v>
      </c>
      <c r="AH283" s="139">
        <f t="shared" si="567"/>
        <v>1.364522417153996E-2</v>
      </c>
      <c r="AI283" s="139">
        <f t="shared" si="567"/>
        <v>7.7972709551656916E-3</v>
      </c>
    </row>
    <row r="284" spans="2:35">
      <c r="B284" s="138" t="s">
        <v>8077</v>
      </c>
      <c r="C284" s="138" t="s">
        <v>4367</v>
      </c>
      <c r="D284" s="138" t="s">
        <v>792</v>
      </c>
      <c r="E284" s="138" t="s">
        <v>8119</v>
      </c>
      <c r="F284" s="138" t="s">
        <v>8119</v>
      </c>
      <c r="H284" s="138">
        <v>34</v>
      </c>
      <c r="I284" s="138">
        <v>688</v>
      </c>
      <c r="J284" s="138">
        <v>480</v>
      </c>
      <c r="K284" s="138">
        <v>172</v>
      </c>
      <c r="N284" s="138">
        <v>9</v>
      </c>
      <c r="O284" s="138">
        <v>1</v>
      </c>
      <c r="S284" s="138">
        <v>17</v>
      </c>
      <c r="T284" s="138">
        <v>9</v>
      </c>
      <c r="U284" s="138">
        <f t="shared" si="512"/>
        <v>27</v>
      </c>
      <c r="W284" s="139">
        <f t="shared" ref="W284:AA284" si="568">J284/$I284</f>
        <v>0.69767441860465118</v>
      </c>
      <c r="X284" s="139">
        <f t="shared" si="568"/>
        <v>0.25</v>
      </c>
      <c r="Y284" s="139">
        <f t="shared" si="568"/>
        <v>0</v>
      </c>
      <c r="Z284" s="139">
        <f t="shared" si="568"/>
        <v>0</v>
      </c>
      <c r="AA284" s="139">
        <f t="shared" si="568"/>
        <v>1.308139534883721E-2</v>
      </c>
      <c r="AB284" s="139"/>
      <c r="AC284" s="139">
        <f t="shared" si="514"/>
        <v>3.9244186046511628E-2</v>
      </c>
      <c r="AD284" s="139">
        <f t="shared" ref="AD284:AI284" si="569">O284/$I284</f>
        <v>1.4534883720930232E-3</v>
      </c>
      <c r="AE284" s="139">
        <f t="shared" si="569"/>
        <v>0</v>
      </c>
      <c r="AF284" s="139">
        <f t="shared" si="569"/>
        <v>0</v>
      </c>
      <c r="AG284" s="139">
        <f t="shared" si="569"/>
        <v>0</v>
      </c>
      <c r="AH284" s="139">
        <f t="shared" si="569"/>
        <v>2.4709302325581394E-2</v>
      </c>
      <c r="AI284" s="139">
        <f t="shared" si="569"/>
        <v>1.308139534883721E-2</v>
      </c>
    </row>
    <row r="285" spans="2:35">
      <c r="B285" s="138" t="s">
        <v>8077</v>
      </c>
      <c r="C285" s="138" t="s">
        <v>4367</v>
      </c>
      <c r="D285" s="138" t="s">
        <v>792</v>
      </c>
      <c r="E285" s="138" t="s">
        <v>8119</v>
      </c>
      <c r="F285" s="138" t="s">
        <v>8119</v>
      </c>
      <c r="H285" s="138">
        <v>35</v>
      </c>
      <c r="I285" s="138">
        <v>665</v>
      </c>
      <c r="J285" s="138">
        <v>449</v>
      </c>
      <c r="K285" s="138">
        <v>180</v>
      </c>
      <c r="N285" s="138">
        <v>5</v>
      </c>
      <c r="O285" s="138">
        <v>2</v>
      </c>
      <c r="S285" s="138">
        <v>23</v>
      </c>
      <c r="T285" s="138">
        <v>6</v>
      </c>
      <c r="U285" s="138">
        <f t="shared" si="512"/>
        <v>31</v>
      </c>
      <c r="W285" s="139">
        <f t="shared" ref="W285:AA285" si="570">J285/$I285</f>
        <v>0.675187969924812</v>
      </c>
      <c r="X285" s="139">
        <f t="shared" si="570"/>
        <v>0.27067669172932329</v>
      </c>
      <c r="Y285" s="139">
        <f t="shared" si="570"/>
        <v>0</v>
      </c>
      <c r="Z285" s="139">
        <f t="shared" si="570"/>
        <v>0</v>
      </c>
      <c r="AA285" s="139">
        <f t="shared" si="570"/>
        <v>7.5187969924812026E-3</v>
      </c>
      <c r="AB285" s="139"/>
      <c r="AC285" s="139">
        <f t="shared" si="514"/>
        <v>4.6616541353383459E-2</v>
      </c>
      <c r="AD285" s="139">
        <f t="shared" ref="AD285:AI285" si="571">O285/$I285</f>
        <v>3.0075187969924814E-3</v>
      </c>
      <c r="AE285" s="139">
        <f t="shared" si="571"/>
        <v>0</v>
      </c>
      <c r="AF285" s="139">
        <f t="shared" si="571"/>
        <v>0</v>
      </c>
      <c r="AG285" s="139">
        <f t="shared" si="571"/>
        <v>0</v>
      </c>
      <c r="AH285" s="139">
        <f t="shared" si="571"/>
        <v>3.4586466165413533E-2</v>
      </c>
      <c r="AI285" s="139">
        <f t="shared" si="571"/>
        <v>9.0225563909774441E-3</v>
      </c>
    </row>
    <row r="286" spans="2:35">
      <c r="B286" s="138" t="s">
        <v>8077</v>
      </c>
      <c r="C286" s="138" t="s">
        <v>4367</v>
      </c>
      <c r="D286" s="138" t="s">
        <v>792</v>
      </c>
      <c r="E286" s="138" t="s">
        <v>8119</v>
      </c>
      <c r="F286" s="138" t="s">
        <v>8119</v>
      </c>
      <c r="H286" s="138">
        <v>36</v>
      </c>
      <c r="I286" s="138">
        <v>704</v>
      </c>
      <c r="J286" s="138">
        <v>478</v>
      </c>
      <c r="K286" s="138">
        <v>199</v>
      </c>
      <c r="N286" s="138">
        <v>6</v>
      </c>
      <c r="O286" s="138">
        <v>2</v>
      </c>
      <c r="S286" s="138">
        <v>16</v>
      </c>
      <c r="T286" s="138">
        <v>3</v>
      </c>
      <c r="U286" s="138">
        <f t="shared" si="512"/>
        <v>21</v>
      </c>
      <c r="W286" s="139">
        <f t="shared" ref="W286:AA286" si="572">J286/$I286</f>
        <v>0.67897727272727271</v>
      </c>
      <c r="X286" s="139">
        <f t="shared" si="572"/>
        <v>0.28267045454545453</v>
      </c>
      <c r="Y286" s="139">
        <f t="shared" si="572"/>
        <v>0</v>
      </c>
      <c r="Z286" s="139">
        <f t="shared" si="572"/>
        <v>0</v>
      </c>
      <c r="AA286" s="139">
        <f t="shared" si="572"/>
        <v>8.5227272727272721E-3</v>
      </c>
      <c r="AB286" s="139"/>
      <c r="AC286" s="139">
        <f t="shared" si="514"/>
        <v>2.9829545454545456E-2</v>
      </c>
      <c r="AD286" s="139">
        <f t="shared" ref="AD286:AI286" si="573">O286/$I286</f>
        <v>2.840909090909091E-3</v>
      </c>
      <c r="AE286" s="139">
        <f t="shared" si="573"/>
        <v>0</v>
      </c>
      <c r="AF286" s="139">
        <f t="shared" si="573"/>
        <v>0</v>
      </c>
      <c r="AG286" s="139">
        <f t="shared" si="573"/>
        <v>0</v>
      </c>
      <c r="AH286" s="139">
        <f t="shared" si="573"/>
        <v>2.2727272727272728E-2</v>
      </c>
      <c r="AI286" s="139">
        <f t="shared" si="573"/>
        <v>4.261363636363636E-3</v>
      </c>
    </row>
    <row r="287" spans="2:35">
      <c r="B287" s="138" t="s">
        <v>8077</v>
      </c>
      <c r="C287" s="138" t="s">
        <v>4367</v>
      </c>
      <c r="D287" s="138" t="s">
        <v>792</v>
      </c>
      <c r="E287" s="138" t="s">
        <v>8119</v>
      </c>
      <c r="F287" s="138" t="s">
        <v>8119</v>
      </c>
      <c r="H287" s="138">
        <v>37</v>
      </c>
      <c r="I287" s="138">
        <v>750</v>
      </c>
      <c r="J287" s="138">
        <v>430</v>
      </c>
      <c r="K287" s="138">
        <v>297</v>
      </c>
      <c r="N287" s="138">
        <v>8</v>
      </c>
      <c r="O287" s="138">
        <v>1</v>
      </c>
      <c r="S287" s="138">
        <v>12</v>
      </c>
      <c r="T287" s="138">
        <v>2</v>
      </c>
      <c r="U287" s="138">
        <f t="shared" si="512"/>
        <v>15</v>
      </c>
      <c r="W287" s="139">
        <f t="shared" ref="W287:AA287" si="574">J287/$I287</f>
        <v>0.57333333333333336</v>
      </c>
      <c r="X287" s="139">
        <f t="shared" si="574"/>
        <v>0.39600000000000002</v>
      </c>
      <c r="Y287" s="139">
        <f t="shared" si="574"/>
        <v>0</v>
      </c>
      <c r="Z287" s="139">
        <f t="shared" si="574"/>
        <v>0</v>
      </c>
      <c r="AA287" s="139">
        <f t="shared" si="574"/>
        <v>1.0666666666666666E-2</v>
      </c>
      <c r="AB287" s="139"/>
      <c r="AC287" s="139">
        <f t="shared" si="514"/>
        <v>0.02</v>
      </c>
      <c r="AD287" s="139">
        <f t="shared" ref="AD287:AI287" si="575">O287/$I287</f>
        <v>1.3333333333333333E-3</v>
      </c>
      <c r="AE287" s="139">
        <f t="shared" si="575"/>
        <v>0</v>
      </c>
      <c r="AF287" s="139">
        <f t="shared" si="575"/>
        <v>0</v>
      </c>
      <c r="AG287" s="139">
        <f t="shared" si="575"/>
        <v>0</v>
      </c>
      <c r="AH287" s="139">
        <f t="shared" si="575"/>
        <v>1.6E-2</v>
      </c>
      <c r="AI287" s="139">
        <f t="shared" si="575"/>
        <v>2.6666666666666666E-3</v>
      </c>
    </row>
    <row r="288" spans="2:35">
      <c r="B288" s="138" t="s">
        <v>8077</v>
      </c>
      <c r="C288" s="138" t="s">
        <v>4367</v>
      </c>
      <c r="D288" s="138" t="s">
        <v>792</v>
      </c>
      <c r="E288" s="138" t="s">
        <v>8119</v>
      </c>
      <c r="F288" s="138" t="s">
        <v>8119</v>
      </c>
      <c r="H288" s="138">
        <v>38</v>
      </c>
      <c r="I288" s="138">
        <v>747</v>
      </c>
      <c r="J288" s="138">
        <v>366</v>
      </c>
      <c r="K288" s="138">
        <v>346</v>
      </c>
      <c r="N288" s="138">
        <v>10</v>
      </c>
      <c r="O288" s="138">
        <v>6</v>
      </c>
      <c r="S288" s="138">
        <v>11</v>
      </c>
      <c r="T288" s="138">
        <v>8</v>
      </c>
      <c r="U288" s="138">
        <f t="shared" si="512"/>
        <v>25</v>
      </c>
      <c r="W288" s="139">
        <f t="shared" ref="W288:AA288" si="576">J288/$I288</f>
        <v>0.48995983935742971</v>
      </c>
      <c r="X288" s="139">
        <f t="shared" si="576"/>
        <v>0.46318607764390896</v>
      </c>
      <c r="Y288" s="139">
        <f t="shared" si="576"/>
        <v>0</v>
      </c>
      <c r="Z288" s="139">
        <f t="shared" si="576"/>
        <v>0</v>
      </c>
      <c r="AA288" s="139">
        <f t="shared" si="576"/>
        <v>1.3386880856760375E-2</v>
      </c>
      <c r="AB288" s="139"/>
      <c r="AC288" s="139">
        <f t="shared" si="514"/>
        <v>3.3467202141900937E-2</v>
      </c>
      <c r="AD288" s="139">
        <f t="shared" ref="AD288:AI288" si="577">O288/$I288</f>
        <v>8.0321285140562242E-3</v>
      </c>
      <c r="AE288" s="139">
        <f t="shared" si="577"/>
        <v>0</v>
      </c>
      <c r="AF288" s="139">
        <f t="shared" si="577"/>
        <v>0</v>
      </c>
      <c r="AG288" s="139">
        <f t="shared" si="577"/>
        <v>0</v>
      </c>
      <c r="AH288" s="139">
        <f t="shared" si="577"/>
        <v>1.4725568942436412E-2</v>
      </c>
      <c r="AI288" s="139">
        <f t="shared" si="577"/>
        <v>1.0709504685408299E-2</v>
      </c>
    </row>
    <row r="289" spans="2:35">
      <c r="B289" s="138" t="s">
        <v>8077</v>
      </c>
      <c r="C289" s="138" t="s">
        <v>4367</v>
      </c>
      <c r="D289" s="138" t="s">
        <v>792</v>
      </c>
      <c r="E289" s="138" t="s">
        <v>8119</v>
      </c>
      <c r="F289" s="138" t="s">
        <v>8119</v>
      </c>
      <c r="H289" s="138">
        <v>39</v>
      </c>
      <c r="I289" s="138">
        <v>702</v>
      </c>
      <c r="J289" s="138">
        <v>322</v>
      </c>
      <c r="K289" s="138">
        <v>342</v>
      </c>
      <c r="N289" s="138">
        <v>13</v>
      </c>
      <c r="O289" s="138">
        <v>3</v>
      </c>
      <c r="S289" s="138">
        <v>15</v>
      </c>
      <c r="T289" s="138">
        <v>7</v>
      </c>
      <c r="U289" s="138">
        <f t="shared" si="512"/>
        <v>25</v>
      </c>
      <c r="W289" s="139">
        <f t="shared" ref="W289:AA289" si="578">J289/$I289</f>
        <v>0.45868945868945871</v>
      </c>
      <c r="X289" s="139">
        <f t="shared" si="578"/>
        <v>0.48717948717948717</v>
      </c>
      <c r="Y289" s="139">
        <f t="shared" si="578"/>
        <v>0</v>
      </c>
      <c r="Z289" s="139">
        <f t="shared" si="578"/>
        <v>0</v>
      </c>
      <c r="AA289" s="139">
        <f t="shared" si="578"/>
        <v>1.8518518518518517E-2</v>
      </c>
      <c r="AB289" s="139"/>
      <c r="AC289" s="139">
        <f t="shared" si="514"/>
        <v>3.5612535612535613E-2</v>
      </c>
      <c r="AD289" s="139">
        <f t="shared" ref="AD289:AI289" si="579">O289/$I289</f>
        <v>4.2735042735042739E-3</v>
      </c>
      <c r="AE289" s="139">
        <f t="shared" si="579"/>
        <v>0</v>
      </c>
      <c r="AF289" s="139">
        <f t="shared" si="579"/>
        <v>0</v>
      </c>
      <c r="AG289" s="139">
        <f t="shared" si="579"/>
        <v>0</v>
      </c>
      <c r="AH289" s="139">
        <f t="shared" si="579"/>
        <v>2.1367521367521368E-2</v>
      </c>
      <c r="AI289" s="139">
        <f t="shared" si="579"/>
        <v>9.9715099715099714E-3</v>
      </c>
    </row>
    <row r="290" spans="2:35">
      <c r="B290" s="138" t="s">
        <v>8077</v>
      </c>
      <c r="C290" s="138" t="s">
        <v>4367</v>
      </c>
      <c r="D290" s="138" t="s">
        <v>792</v>
      </c>
      <c r="E290" s="138" t="s">
        <v>8119</v>
      </c>
      <c r="F290" s="138" t="s">
        <v>8119</v>
      </c>
      <c r="H290" s="138">
        <v>40</v>
      </c>
      <c r="I290" s="138">
        <v>701</v>
      </c>
      <c r="J290" s="138">
        <v>278</v>
      </c>
      <c r="K290" s="138">
        <v>398</v>
      </c>
      <c r="N290" s="138">
        <v>6</v>
      </c>
      <c r="O290" s="138">
        <v>1</v>
      </c>
      <c r="S290" s="138">
        <v>11</v>
      </c>
      <c r="T290" s="138">
        <v>7</v>
      </c>
      <c r="U290" s="138">
        <f t="shared" si="512"/>
        <v>19</v>
      </c>
      <c r="W290" s="139">
        <f t="shared" ref="W290:AA290" si="580">J290/$I290</f>
        <v>0.39657631954350925</v>
      </c>
      <c r="X290" s="139">
        <f t="shared" si="580"/>
        <v>0.56776034236804562</v>
      </c>
      <c r="Y290" s="139">
        <f t="shared" si="580"/>
        <v>0</v>
      </c>
      <c r="Z290" s="139">
        <f t="shared" si="580"/>
        <v>0</v>
      </c>
      <c r="AA290" s="139">
        <f t="shared" si="580"/>
        <v>8.5592011412268191E-3</v>
      </c>
      <c r="AB290" s="139"/>
      <c r="AC290" s="139">
        <f t="shared" si="514"/>
        <v>2.710413694721826E-2</v>
      </c>
      <c r="AD290" s="139">
        <f t="shared" ref="AD290:AI290" si="581">O290/$I290</f>
        <v>1.4265335235378032E-3</v>
      </c>
      <c r="AE290" s="139">
        <f t="shared" si="581"/>
        <v>0</v>
      </c>
      <c r="AF290" s="139">
        <f t="shared" si="581"/>
        <v>0</v>
      </c>
      <c r="AG290" s="139">
        <f t="shared" si="581"/>
        <v>0</v>
      </c>
      <c r="AH290" s="139">
        <f t="shared" si="581"/>
        <v>1.5691868758915834E-2</v>
      </c>
      <c r="AI290" s="139">
        <f t="shared" si="581"/>
        <v>9.9857346647646214E-3</v>
      </c>
    </row>
    <row r="291" spans="2:35">
      <c r="B291" s="138" t="s">
        <v>8077</v>
      </c>
      <c r="C291" s="138" t="s">
        <v>4367</v>
      </c>
      <c r="D291" s="138" t="s">
        <v>792</v>
      </c>
      <c r="E291" s="138" t="s">
        <v>8119</v>
      </c>
      <c r="F291" s="138" t="s">
        <v>8119</v>
      </c>
      <c r="H291" s="138">
        <v>41</v>
      </c>
      <c r="I291" s="138">
        <v>898</v>
      </c>
      <c r="J291" s="138">
        <v>402</v>
      </c>
      <c r="K291" s="138">
        <v>463</v>
      </c>
      <c r="N291" s="138">
        <v>15</v>
      </c>
      <c r="O291" s="138">
        <v>0</v>
      </c>
      <c r="S291" s="138">
        <v>14</v>
      </c>
      <c r="T291" s="138">
        <v>4</v>
      </c>
      <c r="U291" s="138">
        <f t="shared" si="512"/>
        <v>18</v>
      </c>
      <c r="W291" s="139">
        <f t="shared" ref="W291:AA291" si="582">J291/$I291</f>
        <v>0.44766146993318484</v>
      </c>
      <c r="X291" s="139">
        <f t="shared" si="582"/>
        <v>0.51559020044543424</v>
      </c>
      <c r="Y291" s="139">
        <f t="shared" si="582"/>
        <v>0</v>
      </c>
      <c r="Z291" s="139">
        <f t="shared" si="582"/>
        <v>0</v>
      </c>
      <c r="AA291" s="139">
        <f t="shared" si="582"/>
        <v>1.670378619153675E-2</v>
      </c>
      <c r="AB291" s="139"/>
      <c r="AC291" s="139">
        <f t="shared" si="514"/>
        <v>2.0044543429844099E-2</v>
      </c>
      <c r="AD291" s="139">
        <f t="shared" ref="AD291:AI291" si="583">O291/$I291</f>
        <v>0</v>
      </c>
      <c r="AE291" s="139">
        <f t="shared" si="583"/>
        <v>0</v>
      </c>
      <c r="AF291" s="139">
        <f t="shared" si="583"/>
        <v>0</v>
      </c>
      <c r="AG291" s="139">
        <f t="shared" si="583"/>
        <v>0</v>
      </c>
      <c r="AH291" s="139">
        <f t="shared" si="583"/>
        <v>1.5590200445434299E-2</v>
      </c>
      <c r="AI291" s="139">
        <f t="shared" si="583"/>
        <v>4.4543429844097994E-3</v>
      </c>
    </row>
    <row r="292" spans="2:35">
      <c r="B292" s="138" t="s">
        <v>8077</v>
      </c>
      <c r="C292" s="138" t="s">
        <v>4367</v>
      </c>
      <c r="D292" s="138" t="s">
        <v>792</v>
      </c>
      <c r="E292" s="138" t="s">
        <v>8119</v>
      </c>
      <c r="F292" s="138" t="s">
        <v>8119</v>
      </c>
      <c r="H292" s="138">
        <v>42</v>
      </c>
      <c r="I292" s="138">
        <v>736</v>
      </c>
      <c r="J292" s="138">
        <v>358</v>
      </c>
      <c r="K292" s="138">
        <v>358</v>
      </c>
      <c r="N292" s="138">
        <v>13</v>
      </c>
      <c r="O292" s="138">
        <v>1</v>
      </c>
      <c r="S292" s="138">
        <v>5</v>
      </c>
      <c r="T292" s="138">
        <v>1</v>
      </c>
      <c r="U292" s="138">
        <f t="shared" si="512"/>
        <v>7</v>
      </c>
      <c r="W292" s="139">
        <f t="shared" ref="W292:AA292" si="584">J292/$I292</f>
        <v>0.48641304347826086</v>
      </c>
      <c r="X292" s="139">
        <f t="shared" si="584"/>
        <v>0.48641304347826086</v>
      </c>
      <c r="Y292" s="139">
        <f t="shared" si="584"/>
        <v>0</v>
      </c>
      <c r="Z292" s="139">
        <f t="shared" si="584"/>
        <v>0</v>
      </c>
      <c r="AA292" s="139">
        <f t="shared" si="584"/>
        <v>1.7663043478260868E-2</v>
      </c>
      <c r="AB292" s="139"/>
      <c r="AC292" s="139">
        <f t="shared" si="514"/>
        <v>9.5108695652173919E-3</v>
      </c>
      <c r="AD292" s="139">
        <f t="shared" ref="AD292:AI292" si="585">O292/$I292</f>
        <v>1.358695652173913E-3</v>
      </c>
      <c r="AE292" s="139">
        <f t="shared" si="585"/>
        <v>0</v>
      </c>
      <c r="AF292" s="139">
        <f t="shared" si="585"/>
        <v>0</v>
      </c>
      <c r="AG292" s="139">
        <f t="shared" si="585"/>
        <v>0</v>
      </c>
      <c r="AH292" s="139">
        <f t="shared" si="585"/>
        <v>6.793478260869565E-3</v>
      </c>
      <c r="AI292" s="139">
        <f t="shared" si="585"/>
        <v>1.358695652173913E-3</v>
      </c>
    </row>
    <row r="293" spans="2:35">
      <c r="B293" s="138" t="s">
        <v>8077</v>
      </c>
      <c r="C293" s="138" t="s">
        <v>4367</v>
      </c>
      <c r="D293" s="138" t="s">
        <v>792</v>
      </c>
      <c r="E293" s="138" t="s">
        <v>8119</v>
      </c>
      <c r="F293" s="138" t="s">
        <v>8119</v>
      </c>
      <c r="H293" s="138">
        <v>43</v>
      </c>
      <c r="I293" s="138">
        <v>780</v>
      </c>
      <c r="J293" s="138">
        <v>378</v>
      </c>
      <c r="K293" s="138">
        <v>365</v>
      </c>
      <c r="N293" s="138">
        <v>17</v>
      </c>
      <c r="O293" s="138">
        <v>3</v>
      </c>
      <c r="S293" s="138">
        <v>5</v>
      </c>
      <c r="T293" s="138">
        <v>12</v>
      </c>
      <c r="U293" s="138">
        <f t="shared" si="512"/>
        <v>20</v>
      </c>
      <c r="W293" s="139">
        <f t="shared" ref="W293:AA293" si="586">J293/$I293</f>
        <v>0.48461538461538461</v>
      </c>
      <c r="X293" s="139">
        <f t="shared" si="586"/>
        <v>0.46794871794871795</v>
      </c>
      <c r="Y293" s="139">
        <f t="shared" si="586"/>
        <v>0</v>
      </c>
      <c r="Z293" s="139">
        <f t="shared" si="586"/>
        <v>0</v>
      </c>
      <c r="AA293" s="139">
        <f t="shared" si="586"/>
        <v>2.1794871794871794E-2</v>
      </c>
      <c r="AB293" s="139"/>
      <c r="AC293" s="139">
        <f t="shared" si="514"/>
        <v>2.564102564102564E-2</v>
      </c>
      <c r="AD293" s="139">
        <f t="shared" ref="AD293:AI293" si="587">O293/$I293</f>
        <v>3.8461538461538464E-3</v>
      </c>
      <c r="AE293" s="139">
        <f t="shared" si="587"/>
        <v>0</v>
      </c>
      <c r="AF293" s="139">
        <f t="shared" si="587"/>
        <v>0</v>
      </c>
      <c r="AG293" s="139">
        <f t="shared" si="587"/>
        <v>0</v>
      </c>
      <c r="AH293" s="139">
        <f t="shared" si="587"/>
        <v>6.41025641025641E-3</v>
      </c>
      <c r="AI293" s="139">
        <f t="shared" si="587"/>
        <v>1.5384615384615385E-2</v>
      </c>
    </row>
    <row r="294" spans="2:35">
      <c r="B294" s="138" t="s">
        <v>8077</v>
      </c>
      <c r="C294" s="138" t="s">
        <v>4367</v>
      </c>
      <c r="D294" s="138" t="s">
        <v>792</v>
      </c>
      <c r="E294" s="138" t="s">
        <v>8119</v>
      </c>
      <c r="F294" s="138" t="s">
        <v>8119</v>
      </c>
      <c r="H294" s="138">
        <v>44</v>
      </c>
      <c r="I294" s="138">
        <v>723</v>
      </c>
      <c r="J294" s="138">
        <v>393</v>
      </c>
      <c r="K294" s="138">
        <v>297</v>
      </c>
      <c r="N294" s="138">
        <v>8</v>
      </c>
      <c r="O294" s="138">
        <v>1</v>
      </c>
      <c r="S294" s="138">
        <v>13</v>
      </c>
      <c r="T294" s="138">
        <v>11</v>
      </c>
      <c r="U294" s="138">
        <f t="shared" si="512"/>
        <v>25</v>
      </c>
      <c r="W294" s="139">
        <f t="shared" ref="W294:AA294" si="588">J294/$I294</f>
        <v>0.54356846473029041</v>
      </c>
      <c r="X294" s="139">
        <f t="shared" si="588"/>
        <v>0.41078838174273857</v>
      </c>
      <c r="Y294" s="139">
        <f t="shared" si="588"/>
        <v>0</v>
      </c>
      <c r="Z294" s="139">
        <f t="shared" si="588"/>
        <v>0</v>
      </c>
      <c r="AA294" s="139">
        <f t="shared" si="588"/>
        <v>1.1065006915629323E-2</v>
      </c>
      <c r="AB294" s="139"/>
      <c r="AC294" s="139">
        <f t="shared" si="514"/>
        <v>3.4578146611341634E-2</v>
      </c>
      <c r="AD294" s="139">
        <f t="shared" ref="AD294:AI294" si="589">O294/$I294</f>
        <v>1.3831258644536654E-3</v>
      </c>
      <c r="AE294" s="139">
        <f t="shared" si="589"/>
        <v>0</v>
      </c>
      <c r="AF294" s="139">
        <f t="shared" si="589"/>
        <v>0</v>
      </c>
      <c r="AG294" s="139">
        <f t="shared" si="589"/>
        <v>0</v>
      </c>
      <c r="AH294" s="139">
        <f t="shared" si="589"/>
        <v>1.7980636237897647E-2</v>
      </c>
      <c r="AI294" s="139">
        <f t="shared" si="589"/>
        <v>1.5214384508990318E-2</v>
      </c>
    </row>
    <row r="295" spans="2:35">
      <c r="B295" s="138" t="s">
        <v>8077</v>
      </c>
      <c r="C295" s="138" t="s">
        <v>4367</v>
      </c>
      <c r="D295" s="138" t="s">
        <v>792</v>
      </c>
      <c r="E295" s="138" t="s">
        <v>8119</v>
      </c>
      <c r="F295" s="138" t="s">
        <v>8119</v>
      </c>
      <c r="H295" s="138">
        <v>45</v>
      </c>
      <c r="I295" s="138">
        <v>717</v>
      </c>
      <c r="J295" s="138">
        <v>402</v>
      </c>
      <c r="K295" s="138">
        <v>282</v>
      </c>
      <c r="N295" s="138">
        <v>21</v>
      </c>
      <c r="O295" s="138">
        <v>1</v>
      </c>
      <c r="S295" s="138">
        <v>7</v>
      </c>
      <c r="T295" s="138">
        <v>4</v>
      </c>
      <c r="U295" s="138">
        <f t="shared" si="512"/>
        <v>12</v>
      </c>
      <c r="W295" s="139">
        <f t="shared" ref="W295:AA295" si="590">J295/$I295</f>
        <v>0.56066945606694563</v>
      </c>
      <c r="X295" s="139">
        <f t="shared" si="590"/>
        <v>0.39330543933054396</v>
      </c>
      <c r="Y295" s="139">
        <f t="shared" si="590"/>
        <v>0</v>
      </c>
      <c r="Z295" s="139">
        <f t="shared" si="590"/>
        <v>0</v>
      </c>
      <c r="AA295" s="139">
        <f t="shared" si="590"/>
        <v>2.9288702928870293E-2</v>
      </c>
      <c r="AB295" s="139"/>
      <c r="AC295" s="139">
        <f t="shared" si="514"/>
        <v>1.6736401673640166E-2</v>
      </c>
      <c r="AD295" s="139">
        <f t="shared" ref="AD295:AI295" si="591">O295/$I295</f>
        <v>1.3947001394700139E-3</v>
      </c>
      <c r="AE295" s="139">
        <f t="shared" si="591"/>
        <v>0</v>
      </c>
      <c r="AF295" s="139">
        <f t="shared" si="591"/>
        <v>0</v>
      </c>
      <c r="AG295" s="139">
        <f t="shared" si="591"/>
        <v>0</v>
      </c>
      <c r="AH295" s="139">
        <f t="shared" si="591"/>
        <v>9.7629009762900971E-3</v>
      </c>
      <c r="AI295" s="139">
        <f t="shared" si="591"/>
        <v>5.5788005578800556E-3</v>
      </c>
    </row>
    <row r="296" spans="2:35">
      <c r="B296" s="138" t="s">
        <v>8077</v>
      </c>
      <c r="C296" s="138" t="s">
        <v>4367</v>
      </c>
      <c r="D296" s="138" t="s">
        <v>792</v>
      </c>
      <c r="E296" s="138" t="s">
        <v>8119</v>
      </c>
      <c r="F296" s="138" t="s">
        <v>8119</v>
      </c>
      <c r="H296" s="138">
        <v>46</v>
      </c>
      <c r="I296" s="138">
        <v>432</v>
      </c>
      <c r="J296" s="138">
        <v>301</v>
      </c>
      <c r="K296" s="138">
        <v>121</v>
      </c>
      <c r="N296" s="138">
        <v>7</v>
      </c>
      <c r="O296" s="138">
        <v>0</v>
      </c>
      <c r="S296" s="138">
        <v>2</v>
      </c>
      <c r="T296" s="138">
        <v>1</v>
      </c>
      <c r="U296" s="138">
        <f t="shared" si="512"/>
        <v>3</v>
      </c>
      <c r="W296" s="139">
        <f t="shared" ref="W296:AA296" si="592">J296/$I296</f>
        <v>0.6967592592592593</v>
      </c>
      <c r="X296" s="139">
        <f t="shared" si="592"/>
        <v>0.28009259259259262</v>
      </c>
      <c r="Y296" s="139">
        <f t="shared" si="592"/>
        <v>0</v>
      </c>
      <c r="Z296" s="139">
        <f t="shared" si="592"/>
        <v>0</v>
      </c>
      <c r="AA296" s="139">
        <f t="shared" si="592"/>
        <v>1.6203703703703703E-2</v>
      </c>
      <c r="AB296" s="139"/>
      <c r="AC296" s="139">
        <f t="shared" si="514"/>
        <v>6.9444444444444441E-3</v>
      </c>
      <c r="AD296" s="139">
        <f t="shared" ref="AD296:AI296" si="593">O296/$I296</f>
        <v>0</v>
      </c>
      <c r="AE296" s="139">
        <f t="shared" si="593"/>
        <v>0</v>
      </c>
      <c r="AF296" s="139">
        <f t="shared" si="593"/>
        <v>0</v>
      </c>
      <c r="AG296" s="139">
        <f t="shared" si="593"/>
        <v>0</v>
      </c>
      <c r="AH296" s="139">
        <f t="shared" si="593"/>
        <v>4.6296296296296294E-3</v>
      </c>
      <c r="AI296" s="139">
        <f t="shared" si="593"/>
        <v>2.3148148148148147E-3</v>
      </c>
    </row>
    <row r="297" spans="2:35">
      <c r="B297" s="138" t="s">
        <v>8077</v>
      </c>
      <c r="C297" s="138" t="s">
        <v>4367</v>
      </c>
      <c r="D297" s="138" t="s">
        <v>792</v>
      </c>
      <c r="E297" s="138" t="s">
        <v>8119</v>
      </c>
      <c r="F297" s="138" t="s">
        <v>8119</v>
      </c>
      <c r="H297" s="138">
        <v>47</v>
      </c>
      <c r="I297" s="138">
        <v>628</v>
      </c>
      <c r="J297" s="138">
        <v>469</v>
      </c>
      <c r="K297" s="138">
        <v>147</v>
      </c>
      <c r="N297" s="138">
        <v>5</v>
      </c>
      <c r="O297" s="138">
        <v>0</v>
      </c>
      <c r="S297" s="138">
        <v>2</v>
      </c>
      <c r="T297" s="138">
        <v>5</v>
      </c>
      <c r="U297" s="138">
        <f t="shared" si="512"/>
        <v>7</v>
      </c>
      <c r="W297" s="139">
        <f t="shared" ref="W297:AA297" si="594">J297/$I297</f>
        <v>0.74681528662420382</v>
      </c>
      <c r="X297" s="139">
        <f t="shared" si="594"/>
        <v>0.23407643312101911</v>
      </c>
      <c r="Y297" s="139">
        <f t="shared" si="594"/>
        <v>0</v>
      </c>
      <c r="Z297" s="139">
        <f t="shared" si="594"/>
        <v>0</v>
      </c>
      <c r="AA297" s="139">
        <f t="shared" si="594"/>
        <v>7.9617834394904458E-3</v>
      </c>
      <c r="AB297" s="139"/>
      <c r="AC297" s="139">
        <f t="shared" si="514"/>
        <v>1.1146496815286623E-2</v>
      </c>
      <c r="AD297" s="139">
        <f t="shared" ref="AD297:AI297" si="595">O297/$I297</f>
        <v>0</v>
      </c>
      <c r="AE297" s="139">
        <f t="shared" si="595"/>
        <v>0</v>
      </c>
      <c r="AF297" s="139">
        <f t="shared" si="595"/>
        <v>0</v>
      </c>
      <c r="AG297" s="139">
        <f t="shared" si="595"/>
        <v>0</v>
      </c>
      <c r="AH297" s="139">
        <f t="shared" si="595"/>
        <v>3.1847133757961785E-3</v>
      </c>
      <c r="AI297" s="139">
        <f t="shared" si="595"/>
        <v>7.9617834394904458E-3</v>
      </c>
    </row>
    <row r="298" spans="2:35">
      <c r="B298" s="138" t="s">
        <v>8077</v>
      </c>
      <c r="C298" s="138" t="s">
        <v>4367</v>
      </c>
      <c r="D298" s="138" t="s">
        <v>792</v>
      </c>
      <c r="E298" s="138" t="s">
        <v>8119</v>
      </c>
      <c r="F298" s="138" t="s">
        <v>8119</v>
      </c>
      <c r="H298" s="138">
        <v>48</v>
      </c>
      <c r="I298" s="138">
        <v>477</v>
      </c>
      <c r="J298" s="138">
        <v>305</v>
      </c>
      <c r="K298" s="138">
        <v>154</v>
      </c>
      <c r="N298" s="138">
        <v>3</v>
      </c>
      <c r="O298" s="138">
        <v>0</v>
      </c>
      <c r="S298" s="138">
        <v>12</v>
      </c>
      <c r="T298" s="138">
        <v>3</v>
      </c>
      <c r="U298" s="138">
        <f t="shared" si="512"/>
        <v>15</v>
      </c>
      <c r="W298" s="139">
        <f t="shared" ref="W298:AA298" si="596">J298/$I298</f>
        <v>0.63941299790356398</v>
      </c>
      <c r="X298" s="139">
        <f t="shared" si="596"/>
        <v>0.32285115303983231</v>
      </c>
      <c r="Y298" s="139">
        <f t="shared" si="596"/>
        <v>0</v>
      </c>
      <c r="Z298" s="139">
        <f t="shared" si="596"/>
        <v>0</v>
      </c>
      <c r="AA298" s="139">
        <f t="shared" si="596"/>
        <v>6.2893081761006293E-3</v>
      </c>
      <c r="AB298" s="139"/>
      <c r="AC298" s="139">
        <f t="shared" si="514"/>
        <v>3.1446540880503145E-2</v>
      </c>
      <c r="AD298" s="139">
        <f t="shared" ref="AD298:AI298" si="597">O298/$I298</f>
        <v>0</v>
      </c>
      <c r="AE298" s="139">
        <f t="shared" si="597"/>
        <v>0</v>
      </c>
      <c r="AF298" s="139">
        <f t="shared" si="597"/>
        <v>0</v>
      </c>
      <c r="AG298" s="139">
        <f t="shared" si="597"/>
        <v>0</v>
      </c>
      <c r="AH298" s="139">
        <f t="shared" si="597"/>
        <v>2.5157232704402517E-2</v>
      </c>
      <c r="AI298" s="139">
        <f t="shared" si="597"/>
        <v>6.2893081761006293E-3</v>
      </c>
    </row>
    <row r="299" spans="2:35">
      <c r="B299" s="138" t="s">
        <v>8077</v>
      </c>
      <c r="C299" s="138" t="s">
        <v>4367</v>
      </c>
      <c r="D299" s="138" t="s">
        <v>792</v>
      </c>
      <c r="E299" s="138" t="s">
        <v>8119</v>
      </c>
      <c r="F299" s="138" t="s">
        <v>8119</v>
      </c>
      <c r="H299" s="138">
        <v>49</v>
      </c>
      <c r="I299" s="138">
        <v>675</v>
      </c>
      <c r="J299" s="138">
        <v>413</v>
      </c>
      <c r="K299" s="138">
        <v>237</v>
      </c>
      <c r="N299" s="138">
        <v>9</v>
      </c>
      <c r="O299" s="138">
        <v>1</v>
      </c>
      <c r="S299" s="138">
        <v>9</v>
      </c>
      <c r="T299" s="138">
        <v>6</v>
      </c>
      <c r="U299" s="138">
        <f t="shared" si="512"/>
        <v>16</v>
      </c>
      <c r="W299" s="139">
        <f t="shared" ref="W299:AA299" si="598">J299/$I299</f>
        <v>0.61185185185185187</v>
      </c>
      <c r="X299" s="139">
        <f t="shared" si="598"/>
        <v>0.3511111111111111</v>
      </c>
      <c r="Y299" s="139">
        <f t="shared" si="598"/>
        <v>0</v>
      </c>
      <c r="Z299" s="139">
        <f t="shared" si="598"/>
        <v>0</v>
      </c>
      <c r="AA299" s="139">
        <f t="shared" si="598"/>
        <v>1.3333333333333334E-2</v>
      </c>
      <c r="AB299" s="139"/>
      <c r="AC299" s="139">
        <f t="shared" si="514"/>
        <v>2.3703703703703703E-2</v>
      </c>
      <c r="AD299" s="139">
        <f t="shared" ref="AD299:AI299" si="599">O299/$I299</f>
        <v>1.4814814814814814E-3</v>
      </c>
      <c r="AE299" s="139">
        <f t="shared" si="599"/>
        <v>0</v>
      </c>
      <c r="AF299" s="139">
        <f t="shared" si="599"/>
        <v>0</v>
      </c>
      <c r="AG299" s="139">
        <f t="shared" si="599"/>
        <v>0</v>
      </c>
      <c r="AH299" s="139">
        <f t="shared" si="599"/>
        <v>1.3333333333333334E-2</v>
      </c>
      <c r="AI299" s="139">
        <f t="shared" si="599"/>
        <v>8.8888888888888889E-3</v>
      </c>
    </row>
    <row r="300" spans="2:35">
      <c r="B300" s="138" t="s">
        <v>8077</v>
      </c>
      <c r="C300" s="138" t="s">
        <v>4367</v>
      </c>
      <c r="D300" s="138" t="s">
        <v>792</v>
      </c>
      <c r="E300" s="138" t="s">
        <v>8119</v>
      </c>
      <c r="F300" s="138" t="s">
        <v>8119</v>
      </c>
      <c r="H300" s="138">
        <v>50</v>
      </c>
      <c r="I300" s="138">
        <v>727</v>
      </c>
      <c r="J300" s="138">
        <v>484</v>
      </c>
      <c r="K300" s="138">
        <v>205</v>
      </c>
      <c r="N300" s="138">
        <v>9</v>
      </c>
      <c r="O300" s="138">
        <v>3</v>
      </c>
      <c r="S300" s="138">
        <v>23</v>
      </c>
      <c r="T300" s="138">
        <v>3</v>
      </c>
      <c r="U300" s="138">
        <f t="shared" si="512"/>
        <v>29</v>
      </c>
      <c r="W300" s="139">
        <f t="shared" ref="W300:AA300" si="600">J300/$I300</f>
        <v>0.66574965612104542</v>
      </c>
      <c r="X300" s="139">
        <f t="shared" si="600"/>
        <v>0.28198074277854196</v>
      </c>
      <c r="Y300" s="139">
        <f t="shared" si="600"/>
        <v>0</v>
      </c>
      <c r="Z300" s="139">
        <f t="shared" si="600"/>
        <v>0</v>
      </c>
      <c r="AA300" s="139">
        <f t="shared" si="600"/>
        <v>1.2379642365887207E-2</v>
      </c>
      <c r="AB300" s="139"/>
      <c r="AC300" s="139">
        <f t="shared" si="514"/>
        <v>3.9889958734525444E-2</v>
      </c>
      <c r="AD300" s="139">
        <f t="shared" ref="AD300:AI300" si="601">O300/$I300</f>
        <v>4.1265474552957355E-3</v>
      </c>
      <c r="AE300" s="139">
        <f t="shared" si="601"/>
        <v>0</v>
      </c>
      <c r="AF300" s="139">
        <f t="shared" si="601"/>
        <v>0</v>
      </c>
      <c r="AG300" s="139">
        <f t="shared" si="601"/>
        <v>0</v>
      </c>
      <c r="AH300" s="139">
        <f t="shared" si="601"/>
        <v>3.1636863823933978E-2</v>
      </c>
      <c r="AI300" s="139">
        <f t="shared" si="601"/>
        <v>4.1265474552957355E-3</v>
      </c>
    </row>
    <row r="301" spans="2:35">
      <c r="B301" s="138" t="s">
        <v>8077</v>
      </c>
      <c r="C301" s="138" t="s">
        <v>4367</v>
      </c>
      <c r="D301" s="138" t="s">
        <v>792</v>
      </c>
      <c r="E301" s="138" t="s">
        <v>8119</v>
      </c>
      <c r="F301" s="138" t="s">
        <v>8119</v>
      </c>
      <c r="H301" s="138">
        <v>51</v>
      </c>
      <c r="I301" s="138">
        <v>500</v>
      </c>
      <c r="J301" s="138">
        <v>346</v>
      </c>
      <c r="K301" s="138">
        <v>138</v>
      </c>
      <c r="N301" s="138">
        <v>9</v>
      </c>
      <c r="O301" s="138">
        <v>1</v>
      </c>
      <c r="S301" s="138">
        <v>5</v>
      </c>
      <c r="T301" s="138">
        <v>1</v>
      </c>
      <c r="U301" s="138">
        <f t="shared" si="512"/>
        <v>7</v>
      </c>
      <c r="W301" s="139">
        <f t="shared" ref="W301:AA301" si="602">J301/$I301</f>
        <v>0.69199999999999995</v>
      </c>
      <c r="X301" s="139">
        <f t="shared" si="602"/>
        <v>0.27600000000000002</v>
      </c>
      <c r="Y301" s="139">
        <f t="shared" si="602"/>
        <v>0</v>
      </c>
      <c r="Z301" s="139">
        <f t="shared" si="602"/>
        <v>0</v>
      </c>
      <c r="AA301" s="139">
        <f t="shared" si="602"/>
        <v>1.7999999999999999E-2</v>
      </c>
      <c r="AB301" s="139"/>
      <c r="AC301" s="139">
        <f t="shared" si="514"/>
        <v>1.4E-2</v>
      </c>
      <c r="AD301" s="139">
        <f t="shared" ref="AD301:AI301" si="603">O301/$I301</f>
        <v>2E-3</v>
      </c>
      <c r="AE301" s="139">
        <f t="shared" si="603"/>
        <v>0</v>
      </c>
      <c r="AF301" s="139">
        <f t="shared" si="603"/>
        <v>0</v>
      </c>
      <c r="AG301" s="139">
        <f t="shared" si="603"/>
        <v>0</v>
      </c>
      <c r="AH301" s="139">
        <f t="shared" si="603"/>
        <v>0.01</v>
      </c>
      <c r="AI301" s="139">
        <f t="shared" si="603"/>
        <v>2E-3</v>
      </c>
    </row>
    <row r="302" spans="2:35">
      <c r="B302" s="138" t="s">
        <v>8077</v>
      </c>
      <c r="C302" s="138" t="s">
        <v>4367</v>
      </c>
      <c r="D302" s="138" t="s">
        <v>792</v>
      </c>
      <c r="E302" s="138" t="s">
        <v>8119</v>
      </c>
      <c r="F302" s="138" t="s">
        <v>8119</v>
      </c>
      <c r="H302" s="138">
        <v>52</v>
      </c>
      <c r="I302" s="138">
        <v>852</v>
      </c>
      <c r="J302" s="138">
        <v>577</v>
      </c>
      <c r="K302" s="138">
        <v>243</v>
      </c>
      <c r="N302" s="138">
        <v>9</v>
      </c>
      <c r="O302" s="138">
        <v>0</v>
      </c>
      <c r="S302" s="138">
        <v>18</v>
      </c>
      <c r="T302" s="138">
        <v>5</v>
      </c>
      <c r="U302" s="138">
        <f t="shared" si="512"/>
        <v>23</v>
      </c>
      <c r="W302" s="139">
        <f t="shared" ref="W302:AA302" si="604">J302/$I302</f>
        <v>0.67723004694835676</v>
      </c>
      <c r="X302" s="139">
        <f t="shared" si="604"/>
        <v>0.28521126760563381</v>
      </c>
      <c r="Y302" s="139">
        <f t="shared" si="604"/>
        <v>0</v>
      </c>
      <c r="Z302" s="139">
        <f t="shared" si="604"/>
        <v>0</v>
      </c>
      <c r="AA302" s="139">
        <f t="shared" si="604"/>
        <v>1.0563380281690141E-2</v>
      </c>
      <c r="AB302" s="139"/>
      <c r="AC302" s="139">
        <f t="shared" si="514"/>
        <v>2.699530516431925E-2</v>
      </c>
      <c r="AD302" s="139">
        <f t="shared" ref="AD302:AI302" si="605">O302/$I302</f>
        <v>0</v>
      </c>
      <c r="AE302" s="139">
        <f t="shared" si="605"/>
        <v>0</v>
      </c>
      <c r="AF302" s="139">
        <f t="shared" si="605"/>
        <v>0</v>
      </c>
      <c r="AG302" s="139">
        <f t="shared" si="605"/>
        <v>0</v>
      </c>
      <c r="AH302" s="139">
        <f t="shared" si="605"/>
        <v>2.1126760563380281E-2</v>
      </c>
      <c r="AI302" s="139">
        <f t="shared" si="605"/>
        <v>5.8685446009389668E-3</v>
      </c>
    </row>
    <row r="303" spans="2:35">
      <c r="B303" s="138" t="s">
        <v>8077</v>
      </c>
      <c r="C303" s="138" t="s">
        <v>4367</v>
      </c>
      <c r="D303" s="138" t="s">
        <v>792</v>
      </c>
      <c r="E303" s="138" t="s">
        <v>8119</v>
      </c>
      <c r="F303" s="138" t="s">
        <v>8119</v>
      </c>
      <c r="H303" s="138">
        <v>53</v>
      </c>
      <c r="I303" s="138">
        <v>829</v>
      </c>
      <c r="J303" s="138">
        <v>623</v>
      </c>
      <c r="K303" s="138">
        <v>183</v>
      </c>
      <c r="N303" s="138">
        <v>6</v>
      </c>
      <c r="O303" s="138">
        <v>0</v>
      </c>
      <c r="S303" s="138">
        <v>11</v>
      </c>
      <c r="T303" s="138">
        <v>6</v>
      </c>
      <c r="U303" s="138">
        <f t="shared" si="512"/>
        <v>17</v>
      </c>
      <c r="W303" s="139">
        <f t="shared" ref="W303:AA303" si="606">J303/$I303</f>
        <v>0.75150784077201449</v>
      </c>
      <c r="X303" s="139">
        <f t="shared" si="606"/>
        <v>0.22074788902291917</v>
      </c>
      <c r="Y303" s="139">
        <f t="shared" si="606"/>
        <v>0</v>
      </c>
      <c r="Z303" s="139">
        <f t="shared" si="606"/>
        <v>0</v>
      </c>
      <c r="AA303" s="139">
        <f t="shared" si="606"/>
        <v>7.2376357056694813E-3</v>
      </c>
      <c r="AB303" s="139"/>
      <c r="AC303" s="139">
        <f t="shared" si="514"/>
        <v>2.0506634499396863E-2</v>
      </c>
      <c r="AD303" s="139">
        <f t="shared" ref="AD303:AI303" si="607">O303/$I303</f>
        <v>0</v>
      </c>
      <c r="AE303" s="139">
        <f t="shared" si="607"/>
        <v>0</v>
      </c>
      <c r="AF303" s="139">
        <f t="shared" si="607"/>
        <v>0</v>
      </c>
      <c r="AG303" s="139">
        <f t="shared" si="607"/>
        <v>0</v>
      </c>
      <c r="AH303" s="139">
        <f t="shared" si="607"/>
        <v>1.3268998793727383E-2</v>
      </c>
      <c r="AI303" s="139">
        <f t="shared" si="607"/>
        <v>7.2376357056694813E-3</v>
      </c>
    </row>
    <row r="304" spans="2:35">
      <c r="B304" s="138" t="s">
        <v>8077</v>
      </c>
      <c r="C304" s="138" t="s">
        <v>4367</v>
      </c>
      <c r="D304" s="138" t="s">
        <v>792</v>
      </c>
      <c r="E304" s="138" t="s">
        <v>8119</v>
      </c>
      <c r="F304" s="138" t="s">
        <v>8119</v>
      </c>
      <c r="H304" s="138">
        <v>54</v>
      </c>
      <c r="I304" s="138">
        <v>633</v>
      </c>
      <c r="J304" s="138">
        <v>430</v>
      </c>
      <c r="K304" s="138">
        <v>164</v>
      </c>
      <c r="N304" s="138">
        <v>10</v>
      </c>
      <c r="O304" s="138">
        <v>4</v>
      </c>
      <c r="S304" s="138">
        <v>19</v>
      </c>
      <c r="T304" s="138">
        <v>6</v>
      </c>
      <c r="U304" s="138">
        <f t="shared" si="512"/>
        <v>29</v>
      </c>
      <c r="W304" s="139">
        <f t="shared" ref="W304:AA304" si="608">J304/$I304</f>
        <v>0.67930489731437593</v>
      </c>
      <c r="X304" s="139">
        <f t="shared" si="608"/>
        <v>0.25908372827804105</v>
      </c>
      <c r="Y304" s="139">
        <f t="shared" si="608"/>
        <v>0</v>
      </c>
      <c r="Z304" s="139">
        <f t="shared" si="608"/>
        <v>0</v>
      </c>
      <c r="AA304" s="139">
        <f t="shared" si="608"/>
        <v>1.579778830963665E-2</v>
      </c>
      <c r="AB304" s="139"/>
      <c r="AC304" s="139">
        <f t="shared" si="514"/>
        <v>4.5813586097946286E-2</v>
      </c>
      <c r="AD304" s="139">
        <f t="shared" ref="AD304:AI304" si="609">O304/$I304</f>
        <v>6.3191153238546603E-3</v>
      </c>
      <c r="AE304" s="139">
        <f t="shared" si="609"/>
        <v>0</v>
      </c>
      <c r="AF304" s="139">
        <f t="shared" si="609"/>
        <v>0</v>
      </c>
      <c r="AG304" s="139">
        <f t="shared" si="609"/>
        <v>0</v>
      </c>
      <c r="AH304" s="139">
        <f t="shared" si="609"/>
        <v>3.0015797788309637E-2</v>
      </c>
      <c r="AI304" s="139">
        <f t="shared" si="609"/>
        <v>9.4786729857819912E-3</v>
      </c>
    </row>
    <row r="305" spans="2:35">
      <c r="B305" s="138" t="s">
        <v>8077</v>
      </c>
      <c r="C305" s="138" t="s">
        <v>4367</v>
      </c>
      <c r="D305" s="138" t="s">
        <v>792</v>
      </c>
      <c r="E305" s="138" t="s">
        <v>8119</v>
      </c>
      <c r="F305" s="138" t="s">
        <v>8119</v>
      </c>
      <c r="H305" s="138">
        <v>55</v>
      </c>
      <c r="I305" s="138">
        <v>704</v>
      </c>
      <c r="J305" s="138">
        <v>491</v>
      </c>
      <c r="K305" s="138">
        <v>193</v>
      </c>
      <c r="N305" s="138">
        <v>3</v>
      </c>
      <c r="O305" s="138">
        <v>1</v>
      </c>
      <c r="S305" s="138">
        <v>12</v>
      </c>
      <c r="T305" s="138">
        <v>4</v>
      </c>
      <c r="U305" s="138">
        <f t="shared" si="512"/>
        <v>17</v>
      </c>
      <c r="W305" s="139">
        <f t="shared" ref="W305:AA305" si="610">J305/$I305</f>
        <v>0.69744318181818177</v>
      </c>
      <c r="X305" s="139">
        <f t="shared" si="610"/>
        <v>0.27414772727272729</v>
      </c>
      <c r="Y305" s="139">
        <f t="shared" si="610"/>
        <v>0</v>
      </c>
      <c r="Z305" s="139">
        <f t="shared" si="610"/>
        <v>0</v>
      </c>
      <c r="AA305" s="139">
        <f t="shared" si="610"/>
        <v>4.261363636363636E-3</v>
      </c>
      <c r="AB305" s="139"/>
      <c r="AC305" s="139">
        <f t="shared" si="514"/>
        <v>2.4147727272727272E-2</v>
      </c>
      <c r="AD305" s="139">
        <f t="shared" ref="AD305:AI305" si="611">O305/$I305</f>
        <v>1.4204545454545455E-3</v>
      </c>
      <c r="AE305" s="139">
        <f t="shared" si="611"/>
        <v>0</v>
      </c>
      <c r="AF305" s="139">
        <f t="shared" si="611"/>
        <v>0</v>
      </c>
      <c r="AG305" s="139">
        <f t="shared" si="611"/>
        <v>0</v>
      </c>
      <c r="AH305" s="139">
        <f t="shared" si="611"/>
        <v>1.7045454545454544E-2</v>
      </c>
      <c r="AI305" s="139">
        <f t="shared" si="611"/>
        <v>5.681818181818182E-3</v>
      </c>
    </row>
    <row r="306" spans="2:35">
      <c r="B306" s="138" t="s">
        <v>8077</v>
      </c>
      <c r="C306" s="138" t="s">
        <v>4367</v>
      </c>
      <c r="D306" s="138" t="s">
        <v>792</v>
      </c>
      <c r="E306" s="138" t="s">
        <v>8119</v>
      </c>
      <c r="F306" s="138" t="s">
        <v>8119</v>
      </c>
      <c r="H306" s="138">
        <v>56</v>
      </c>
      <c r="I306" s="138">
        <v>803</v>
      </c>
      <c r="J306" s="138">
        <v>578</v>
      </c>
      <c r="K306" s="138">
        <v>204</v>
      </c>
      <c r="N306" s="138">
        <v>6</v>
      </c>
      <c r="O306" s="138">
        <v>0</v>
      </c>
      <c r="S306" s="138">
        <v>10</v>
      </c>
      <c r="T306" s="138">
        <v>5</v>
      </c>
      <c r="U306" s="138">
        <f t="shared" si="512"/>
        <v>15</v>
      </c>
      <c r="W306" s="139">
        <f t="shared" ref="W306:AA306" si="612">J306/$I306</f>
        <v>0.71980074719800746</v>
      </c>
      <c r="X306" s="139">
        <f t="shared" si="612"/>
        <v>0.25404732254047324</v>
      </c>
      <c r="Y306" s="139">
        <f t="shared" si="612"/>
        <v>0</v>
      </c>
      <c r="Z306" s="139">
        <f t="shared" si="612"/>
        <v>0</v>
      </c>
      <c r="AA306" s="139">
        <f t="shared" si="612"/>
        <v>7.4719800747198011E-3</v>
      </c>
      <c r="AB306" s="139"/>
      <c r="AC306" s="139">
        <f t="shared" si="514"/>
        <v>1.86799501867995E-2</v>
      </c>
      <c r="AD306" s="139">
        <f t="shared" ref="AD306:AI306" si="613">O306/$I306</f>
        <v>0</v>
      </c>
      <c r="AE306" s="139">
        <f t="shared" si="613"/>
        <v>0</v>
      </c>
      <c r="AF306" s="139">
        <f t="shared" si="613"/>
        <v>0</v>
      </c>
      <c r="AG306" s="139">
        <f t="shared" si="613"/>
        <v>0</v>
      </c>
      <c r="AH306" s="139">
        <f t="shared" si="613"/>
        <v>1.2453300124533001E-2</v>
      </c>
      <c r="AI306" s="139">
        <f t="shared" si="613"/>
        <v>6.2266500622665004E-3</v>
      </c>
    </row>
    <row r="307" spans="2:35">
      <c r="B307" s="138" t="s">
        <v>8077</v>
      </c>
      <c r="C307" s="138" t="s">
        <v>4367</v>
      </c>
      <c r="D307" s="138" t="s">
        <v>792</v>
      </c>
      <c r="E307" s="138" t="s">
        <v>8119</v>
      </c>
      <c r="F307" s="138" t="s">
        <v>8119</v>
      </c>
      <c r="H307" s="138">
        <v>57</v>
      </c>
      <c r="I307" s="138">
        <v>798</v>
      </c>
      <c r="J307" s="138">
        <v>568</v>
      </c>
      <c r="K307" s="138">
        <v>192</v>
      </c>
      <c r="N307" s="138">
        <v>13</v>
      </c>
      <c r="O307" s="138">
        <v>2</v>
      </c>
      <c r="S307" s="138">
        <v>11</v>
      </c>
      <c r="T307" s="138">
        <v>12</v>
      </c>
      <c r="U307" s="138">
        <f t="shared" si="512"/>
        <v>25</v>
      </c>
      <c r="W307" s="139">
        <f t="shared" ref="W307:AA307" si="614">J307/$I307</f>
        <v>0.71177944862155385</v>
      </c>
      <c r="X307" s="139">
        <f t="shared" si="614"/>
        <v>0.24060150375939848</v>
      </c>
      <c r="Y307" s="139">
        <f t="shared" si="614"/>
        <v>0</v>
      </c>
      <c r="Z307" s="139">
        <f t="shared" si="614"/>
        <v>0</v>
      </c>
      <c r="AA307" s="139">
        <f t="shared" si="614"/>
        <v>1.6290726817042606E-2</v>
      </c>
      <c r="AB307" s="139"/>
      <c r="AC307" s="139">
        <f t="shared" si="514"/>
        <v>3.1328320802005011E-2</v>
      </c>
      <c r="AD307" s="139">
        <f t="shared" ref="AD307:AI307" si="615">O307/$I307</f>
        <v>2.5062656641604009E-3</v>
      </c>
      <c r="AE307" s="139">
        <f t="shared" si="615"/>
        <v>0</v>
      </c>
      <c r="AF307" s="139">
        <f t="shared" si="615"/>
        <v>0</v>
      </c>
      <c r="AG307" s="139">
        <f t="shared" si="615"/>
        <v>0</v>
      </c>
      <c r="AH307" s="139">
        <f t="shared" si="615"/>
        <v>1.3784461152882205E-2</v>
      </c>
      <c r="AI307" s="139">
        <f t="shared" si="615"/>
        <v>1.5037593984962405E-2</v>
      </c>
    </row>
    <row r="308" spans="2:35">
      <c r="B308" s="138" t="s">
        <v>8077</v>
      </c>
      <c r="C308" s="138" t="s">
        <v>4367</v>
      </c>
      <c r="D308" s="138" t="s">
        <v>792</v>
      </c>
      <c r="E308" s="138" t="s">
        <v>8119</v>
      </c>
      <c r="F308" s="138" t="s">
        <v>8119</v>
      </c>
      <c r="H308" s="138">
        <v>58</v>
      </c>
      <c r="I308" s="138">
        <v>729</v>
      </c>
      <c r="J308" s="138">
        <v>376</v>
      </c>
      <c r="K308" s="138">
        <v>314</v>
      </c>
      <c r="N308" s="138">
        <v>8</v>
      </c>
      <c r="O308" s="138">
        <v>1</v>
      </c>
      <c r="S308" s="138">
        <v>22</v>
      </c>
      <c r="T308" s="138">
        <v>8</v>
      </c>
      <c r="U308" s="138">
        <f t="shared" si="512"/>
        <v>31</v>
      </c>
      <c r="W308" s="139">
        <f t="shared" ref="W308:AA308" si="616">J308/$I308</f>
        <v>0.51577503429355276</v>
      </c>
      <c r="X308" s="139">
        <f t="shared" si="616"/>
        <v>0.43072702331961593</v>
      </c>
      <c r="Y308" s="139">
        <f t="shared" si="616"/>
        <v>0</v>
      </c>
      <c r="Z308" s="139">
        <f t="shared" si="616"/>
        <v>0</v>
      </c>
      <c r="AA308" s="139">
        <f t="shared" si="616"/>
        <v>1.0973936899862825E-2</v>
      </c>
      <c r="AB308" s="139"/>
      <c r="AC308" s="139">
        <f t="shared" si="514"/>
        <v>4.2524005486968448E-2</v>
      </c>
      <c r="AD308" s="139">
        <f t="shared" ref="AD308:AI308" si="617">O308/$I308</f>
        <v>1.3717421124828531E-3</v>
      </c>
      <c r="AE308" s="139">
        <f t="shared" si="617"/>
        <v>0</v>
      </c>
      <c r="AF308" s="139">
        <f t="shared" si="617"/>
        <v>0</v>
      </c>
      <c r="AG308" s="139">
        <f t="shared" si="617"/>
        <v>0</v>
      </c>
      <c r="AH308" s="139">
        <f t="shared" si="617"/>
        <v>3.017832647462277E-2</v>
      </c>
      <c r="AI308" s="139">
        <f t="shared" si="617"/>
        <v>1.0973936899862825E-2</v>
      </c>
    </row>
    <row r="309" spans="2:35">
      <c r="B309" s="138" t="s">
        <v>8077</v>
      </c>
      <c r="C309" s="138" t="s">
        <v>4367</v>
      </c>
      <c r="D309" s="138" t="s">
        <v>792</v>
      </c>
      <c r="E309" s="138" t="s">
        <v>8119</v>
      </c>
      <c r="F309" s="138" t="s">
        <v>8119</v>
      </c>
      <c r="H309" s="138">
        <v>59</v>
      </c>
      <c r="I309" s="138">
        <v>905</v>
      </c>
      <c r="J309" s="138">
        <v>444</v>
      </c>
      <c r="K309" s="138">
        <v>434</v>
      </c>
      <c r="N309" s="138">
        <v>7</v>
      </c>
      <c r="O309" s="138">
        <v>1</v>
      </c>
      <c r="S309" s="138">
        <v>12</v>
      </c>
      <c r="T309" s="138">
        <v>7</v>
      </c>
      <c r="U309" s="138">
        <f t="shared" si="512"/>
        <v>20</v>
      </c>
      <c r="W309" s="139">
        <f t="shared" ref="W309:AA309" si="618">J309/$I309</f>
        <v>0.49060773480662984</v>
      </c>
      <c r="X309" s="139">
        <f t="shared" si="618"/>
        <v>0.47955801104972373</v>
      </c>
      <c r="Y309" s="139">
        <f t="shared" si="618"/>
        <v>0</v>
      </c>
      <c r="Z309" s="139">
        <f t="shared" si="618"/>
        <v>0</v>
      </c>
      <c r="AA309" s="139">
        <f t="shared" si="618"/>
        <v>7.7348066298342545E-3</v>
      </c>
      <c r="AB309" s="139"/>
      <c r="AC309" s="139">
        <f t="shared" si="514"/>
        <v>2.2099447513812154E-2</v>
      </c>
      <c r="AD309" s="139">
        <f t="shared" ref="AD309:AI309" si="619">O309/$I309</f>
        <v>1.1049723756906078E-3</v>
      </c>
      <c r="AE309" s="139">
        <f t="shared" si="619"/>
        <v>0</v>
      </c>
      <c r="AF309" s="139">
        <f t="shared" si="619"/>
        <v>0</v>
      </c>
      <c r="AG309" s="139">
        <f t="shared" si="619"/>
        <v>0</v>
      </c>
      <c r="AH309" s="139">
        <f t="shared" si="619"/>
        <v>1.3259668508287293E-2</v>
      </c>
      <c r="AI309" s="139">
        <f t="shared" si="619"/>
        <v>7.7348066298342545E-3</v>
      </c>
    </row>
    <row r="310" spans="2:35">
      <c r="B310" s="138" t="s">
        <v>8077</v>
      </c>
      <c r="C310" s="138" t="s">
        <v>4367</v>
      </c>
      <c r="D310" s="138" t="s">
        <v>792</v>
      </c>
      <c r="E310" s="138" t="s">
        <v>8119</v>
      </c>
      <c r="F310" s="138" t="s">
        <v>8119</v>
      </c>
      <c r="H310" s="138">
        <v>60</v>
      </c>
      <c r="I310" s="138">
        <v>831</v>
      </c>
      <c r="J310" s="138">
        <v>477</v>
      </c>
      <c r="K310" s="138">
        <v>316</v>
      </c>
      <c r="N310" s="138">
        <v>14</v>
      </c>
      <c r="O310" s="138">
        <v>2</v>
      </c>
      <c r="S310" s="138">
        <v>10</v>
      </c>
      <c r="T310" s="138">
        <v>12</v>
      </c>
      <c r="U310" s="138">
        <f t="shared" si="512"/>
        <v>24</v>
      </c>
      <c r="W310" s="139">
        <f t="shared" ref="W310:AA310" si="620">J310/$I310</f>
        <v>0.57400722021660655</v>
      </c>
      <c r="X310" s="139">
        <f t="shared" si="620"/>
        <v>0.38026474127557158</v>
      </c>
      <c r="Y310" s="139">
        <f t="shared" si="620"/>
        <v>0</v>
      </c>
      <c r="Z310" s="139">
        <f t="shared" si="620"/>
        <v>0</v>
      </c>
      <c r="AA310" s="139">
        <f t="shared" si="620"/>
        <v>1.684717208182912E-2</v>
      </c>
      <c r="AB310" s="139"/>
      <c r="AC310" s="139">
        <f t="shared" si="514"/>
        <v>2.8880866425992781E-2</v>
      </c>
      <c r="AD310" s="139">
        <f t="shared" ref="AD310:AI310" si="621">O310/$I310</f>
        <v>2.4067388688327317E-3</v>
      </c>
      <c r="AE310" s="139">
        <f t="shared" si="621"/>
        <v>0</v>
      </c>
      <c r="AF310" s="139">
        <f t="shared" si="621"/>
        <v>0</v>
      </c>
      <c r="AG310" s="139">
        <f t="shared" si="621"/>
        <v>0</v>
      </c>
      <c r="AH310" s="139">
        <f t="shared" si="621"/>
        <v>1.2033694344163659E-2</v>
      </c>
      <c r="AI310" s="139">
        <f t="shared" si="621"/>
        <v>1.444043321299639E-2</v>
      </c>
    </row>
    <row r="311" spans="2:35">
      <c r="B311" s="138" t="s">
        <v>8077</v>
      </c>
      <c r="C311" s="138" t="s">
        <v>4367</v>
      </c>
      <c r="D311" s="138" t="s">
        <v>792</v>
      </c>
      <c r="E311" s="138" t="s">
        <v>8119</v>
      </c>
      <c r="F311" s="138" t="s">
        <v>8119</v>
      </c>
      <c r="H311" s="138">
        <v>61</v>
      </c>
      <c r="I311" s="138">
        <v>1009</v>
      </c>
      <c r="J311" s="138">
        <v>544</v>
      </c>
      <c r="K311" s="138">
        <v>405</v>
      </c>
      <c r="N311" s="138">
        <v>15</v>
      </c>
      <c r="O311" s="138">
        <v>3</v>
      </c>
      <c r="S311" s="138">
        <v>29</v>
      </c>
      <c r="T311" s="138">
        <v>13</v>
      </c>
      <c r="U311" s="138">
        <f t="shared" si="512"/>
        <v>45</v>
      </c>
      <c r="W311" s="139">
        <f t="shared" ref="W311:AA311" si="622">J311/$I311</f>
        <v>0.53914767096134786</v>
      </c>
      <c r="X311" s="139">
        <f t="shared" si="622"/>
        <v>0.40138751238850345</v>
      </c>
      <c r="Y311" s="139">
        <f t="shared" si="622"/>
        <v>0</v>
      </c>
      <c r="Z311" s="139">
        <f t="shared" si="622"/>
        <v>0</v>
      </c>
      <c r="AA311" s="139">
        <f t="shared" si="622"/>
        <v>1.4866204162537165E-2</v>
      </c>
      <c r="AB311" s="139"/>
      <c r="AC311" s="139">
        <f t="shared" si="514"/>
        <v>4.4598612487611496E-2</v>
      </c>
      <c r="AD311" s="139">
        <f t="shared" ref="AD311:AI311" si="623">O311/$I311</f>
        <v>2.973240832507433E-3</v>
      </c>
      <c r="AE311" s="139">
        <f t="shared" si="623"/>
        <v>0</v>
      </c>
      <c r="AF311" s="139">
        <f t="shared" si="623"/>
        <v>0</v>
      </c>
      <c r="AG311" s="139">
        <f t="shared" si="623"/>
        <v>0</v>
      </c>
      <c r="AH311" s="139">
        <f t="shared" si="623"/>
        <v>2.8741328047571853E-2</v>
      </c>
      <c r="AI311" s="139">
        <f t="shared" si="623"/>
        <v>1.288404360753221E-2</v>
      </c>
    </row>
    <row r="312" spans="2:35">
      <c r="B312" s="138" t="s">
        <v>8077</v>
      </c>
      <c r="C312" s="138" t="s">
        <v>4367</v>
      </c>
      <c r="D312" s="138" t="s">
        <v>792</v>
      </c>
      <c r="E312" s="138" t="s">
        <v>8119</v>
      </c>
      <c r="F312" s="138" t="s">
        <v>8119</v>
      </c>
      <c r="H312" s="138">
        <v>62</v>
      </c>
      <c r="I312" s="138">
        <v>887</v>
      </c>
      <c r="J312" s="138">
        <v>630</v>
      </c>
      <c r="K312" s="138">
        <v>217</v>
      </c>
      <c r="N312" s="138">
        <v>16</v>
      </c>
      <c r="O312" s="138">
        <v>1</v>
      </c>
      <c r="S312" s="138">
        <v>12</v>
      </c>
      <c r="T312" s="138">
        <v>11</v>
      </c>
      <c r="U312" s="138">
        <f t="shared" si="512"/>
        <v>24</v>
      </c>
      <c r="W312" s="139">
        <f t="shared" ref="W312:AA312" si="624">J312/$I312</f>
        <v>0.71025930101465617</v>
      </c>
      <c r="X312" s="139">
        <f t="shared" si="624"/>
        <v>0.24464487034949267</v>
      </c>
      <c r="Y312" s="139">
        <f t="shared" si="624"/>
        <v>0</v>
      </c>
      <c r="Z312" s="139">
        <f t="shared" si="624"/>
        <v>0</v>
      </c>
      <c r="AA312" s="139">
        <f t="shared" si="624"/>
        <v>1.8038331454340473E-2</v>
      </c>
      <c r="AB312" s="139"/>
      <c r="AC312" s="139">
        <f t="shared" si="514"/>
        <v>2.7057497181510709E-2</v>
      </c>
      <c r="AD312" s="139">
        <f t="shared" ref="AD312:AI312" si="625">O312/$I312</f>
        <v>1.1273957158962795E-3</v>
      </c>
      <c r="AE312" s="139">
        <f t="shared" si="625"/>
        <v>0</v>
      </c>
      <c r="AF312" s="139">
        <f t="shared" si="625"/>
        <v>0</v>
      </c>
      <c r="AG312" s="139">
        <f t="shared" si="625"/>
        <v>0</v>
      </c>
      <c r="AH312" s="139">
        <f t="shared" si="625"/>
        <v>1.3528748590755355E-2</v>
      </c>
      <c r="AI312" s="139">
        <f t="shared" si="625"/>
        <v>1.2401352874859075E-2</v>
      </c>
    </row>
    <row r="313" spans="2:35">
      <c r="B313" s="138" t="s">
        <v>8077</v>
      </c>
      <c r="C313" s="138" t="s">
        <v>4367</v>
      </c>
      <c r="D313" s="138" t="s">
        <v>792</v>
      </c>
      <c r="E313" s="138" t="s">
        <v>8119</v>
      </c>
      <c r="F313" s="138" t="s">
        <v>8119</v>
      </c>
      <c r="H313" s="138">
        <v>63</v>
      </c>
      <c r="I313" s="138">
        <v>710</v>
      </c>
      <c r="J313" s="138">
        <v>501</v>
      </c>
      <c r="K313" s="138">
        <v>185</v>
      </c>
      <c r="N313" s="138">
        <v>9</v>
      </c>
      <c r="O313" s="138">
        <v>0</v>
      </c>
      <c r="S313" s="138">
        <v>8</v>
      </c>
      <c r="T313" s="138">
        <v>7</v>
      </c>
      <c r="U313" s="138">
        <f t="shared" si="512"/>
        <v>15</v>
      </c>
      <c r="W313" s="139">
        <f t="shared" ref="W313:AA313" si="626">J313/$I313</f>
        <v>0.70563380281690136</v>
      </c>
      <c r="X313" s="139">
        <f t="shared" si="626"/>
        <v>0.26056338028169013</v>
      </c>
      <c r="Y313" s="139">
        <f t="shared" si="626"/>
        <v>0</v>
      </c>
      <c r="Z313" s="139">
        <f t="shared" si="626"/>
        <v>0</v>
      </c>
      <c r="AA313" s="139">
        <f t="shared" si="626"/>
        <v>1.2676056338028169E-2</v>
      </c>
      <c r="AB313" s="139"/>
      <c r="AC313" s="139">
        <f t="shared" si="514"/>
        <v>2.1126760563380281E-2</v>
      </c>
      <c r="AD313" s="139">
        <f t="shared" ref="AD313:AI313" si="627">O313/$I313</f>
        <v>0</v>
      </c>
      <c r="AE313" s="139">
        <f t="shared" si="627"/>
        <v>0</v>
      </c>
      <c r="AF313" s="139">
        <f t="shared" si="627"/>
        <v>0</v>
      </c>
      <c r="AG313" s="139">
        <f t="shared" si="627"/>
        <v>0</v>
      </c>
      <c r="AH313" s="139">
        <f t="shared" si="627"/>
        <v>1.1267605633802818E-2</v>
      </c>
      <c r="AI313" s="139">
        <f t="shared" si="627"/>
        <v>9.8591549295774655E-3</v>
      </c>
    </row>
    <row r="314" spans="2:35">
      <c r="B314" s="138" t="s">
        <v>8077</v>
      </c>
      <c r="C314" s="138" t="s">
        <v>4367</v>
      </c>
      <c r="D314" s="138" t="s">
        <v>792</v>
      </c>
      <c r="E314" s="138" t="s">
        <v>8119</v>
      </c>
      <c r="F314" s="138" t="s">
        <v>8119</v>
      </c>
      <c r="H314" s="138">
        <v>64</v>
      </c>
      <c r="I314" s="138">
        <v>865</v>
      </c>
      <c r="J314" s="138">
        <v>589</v>
      </c>
      <c r="K314" s="138">
        <v>237</v>
      </c>
      <c r="N314" s="138">
        <v>9</v>
      </c>
      <c r="O314" s="138">
        <v>4</v>
      </c>
      <c r="S314" s="138">
        <v>15</v>
      </c>
      <c r="T314" s="138">
        <v>11</v>
      </c>
      <c r="U314" s="138">
        <f t="shared" si="512"/>
        <v>30</v>
      </c>
      <c r="W314" s="139">
        <f t="shared" ref="W314:AA314" si="628">J314/$I314</f>
        <v>0.68092485549132953</v>
      </c>
      <c r="X314" s="139">
        <f t="shared" si="628"/>
        <v>0.27398843930635836</v>
      </c>
      <c r="Y314" s="139">
        <f t="shared" si="628"/>
        <v>0</v>
      </c>
      <c r="Z314" s="139">
        <f t="shared" si="628"/>
        <v>0</v>
      </c>
      <c r="AA314" s="139">
        <f t="shared" si="628"/>
        <v>1.0404624277456647E-2</v>
      </c>
      <c r="AB314" s="139"/>
      <c r="AC314" s="139">
        <f t="shared" si="514"/>
        <v>3.4682080924855488E-2</v>
      </c>
      <c r="AD314" s="139">
        <f t="shared" ref="AD314:AI314" si="629">O314/$I314</f>
        <v>4.6242774566473991E-3</v>
      </c>
      <c r="AE314" s="139">
        <f t="shared" si="629"/>
        <v>0</v>
      </c>
      <c r="AF314" s="139">
        <f t="shared" si="629"/>
        <v>0</v>
      </c>
      <c r="AG314" s="139">
        <f t="shared" si="629"/>
        <v>0</v>
      </c>
      <c r="AH314" s="139">
        <f t="shared" si="629"/>
        <v>1.7341040462427744E-2</v>
      </c>
      <c r="AI314" s="139">
        <f t="shared" si="629"/>
        <v>1.2716763005780347E-2</v>
      </c>
    </row>
    <row r="315" spans="2:35">
      <c r="B315" s="138" t="s">
        <v>8077</v>
      </c>
      <c r="C315" s="138" t="s">
        <v>4367</v>
      </c>
      <c r="D315" s="138" t="s">
        <v>792</v>
      </c>
      <c r="E315" s="138" t="s">
        <v>8119</v>
      </c>
      <c r="F315" s="138" t="s">
        <v>8119</v>
      </c>
      <c r="H315" s="138">
        <v>65</v>
      </c>
      <c r="I315" s="138">
        <v>915</v>
      </c>
      <c r="J315" s="138">
        <v>541</v>
      </c>
      <c r="K315" s="138">
        <v>322</v>
      </c>
      <c r="N315" s="138">
        <v>20</v>
      </c>
      <c r="O315" s="138">
        <v>3</v>
      </c>
      <c r="S315" s="138">
        <v>15</v>
      </c>
      <c r="T315" s="138">
        <v>14</v>
      </c>
      <c r="U315" s="138">
        <f t="shared" si="512"/>
        <v>32</v>
      </c>
      <c r="W315" s="139">
        <f t="shared" ref="W315:AA315" si="630">J315/$I315</f>
        <v>0.59125683060109291</v>
      </c>
      <c r="X315" s="139">
        <f t="shared" si="630"/>
        <v>0.35191256830601092</v>
      </c>
      <c r="Y315" s="139">
        <f t="shared" si="630"/>
        <v>0</v>
      </c>
      <c r="Z315" s="139">
        <f t="shared" si="630"/>
        <v>0</v>
      </c>
      <c r="AA315" s="139">
        <f t="shared" si="630"/>
        <v>2.185792349726776E-2</v>
      </c>
      <c r="AB315" s="139"/>
      <c r="AC315" s="139">
        <f t="shared" si="514"/>
        <v>3.4972677595628415E-2</v>
      </c>
      <c r="AD315" s="139">
        <f t="shared" ref="AD315:AI315" si="631">O315/$I315</f>
        <v>3.2786885245901639E-3</v>
      </c>
      <c r="AE315" s="139">
        <f t="shared" si="631"/>
        <v>0</v>
      </c>
      <c r="AF315" s="139">
        <f t="shared" si="631"/>
        <v>0</v>
      </c>
      <c r="AG315" s="139">
        <f t="shared" si="631"/>
        <v>0</v>
      </c>
      <c r="AH315" s="139">
        <f t="shared" si="631"/>
        <v>1.6393442622950821E-2</v>
      </c>
      <c r="AI315" s="139">
        <f t="shared" si="631"/>
        <v>1.5300546448087432E-2</v>
      </c>
    </row>
    <row r="316" spans="2:35">
      <c r="B316" s="138" t="s">
        <v>8077</v>
      </c>
      <c r="C316" s="138" t="s">
        <v>4367</v>
      </c>
      <c r="D316" s="138" t="s">
        <v>792</v>
      </c>
      <c r="E316" s="138" t="s">
        <v>8119</v>
      </c>
      <c r="F316" s="138" t="s">
        <v>8119</v>
      </c>
      <c r="H316" s="138">
        <v>66</v>
      </c>
      <c r="I316" s="138">
        <v>574</v>
      </c>
      <c r="J316" s="138">
        <v>392</v>
      </c>
      <c r="K316" s="138">
        <v>162</v>
      </c>
      <c r="N316" s="138">
        <v>7</v>
      </c>
      <c r="O316" s="138">
        <v>2</v>
      </c>
      <c r="S316" s="138">
        <v>8</v>
      </c>
      <c r="T316" s="138">
        <v>3</v>
      </c>
      <c r="U316" s="138">
        <f t="shared" si="512"/>
        <v>13</v>
      </c>
      <c r="W316" s="139">
        <f t="shared" ref="W316:AA316" si="632">J316/$I316</f>
        <v>0.68292682926829273</v>
      </c>
      <c r="X316" s="139">
        <f t="shared" si="632"/>
        <v>0.28222996515679444</v>
      </c>
      <c r="Y316" s="139">
        <f t="shared" si="632"/>
        <v>0</v>
      </c>
      <c r="Z316" s="139">
        <f t="shared" si="632"/>
        <v>0</v>
      </c>
      <c r="AA316" s="139">
        <f t="shared" si="632"/>
        <v>1.2195121951219513E-2</v>
      </c>
      <c r="AB316" s="139"/>
      <c r="AC316" s="139">
        <f t="shared" si="514"/>
        <v>2.2648083623693381E-2</v>
      </c>
      <c r="AD316" s="139">
        <f t="shared" ref="AD316:AI316" si="633">O316/$I316</f>
        <v>3.4843205574912892E-3</v>
      </c>
      <c r="AE316" s="139">
        <f t="shared" si="633"/>
        <v>0</v>
      </c>
      <c r="AF316" s="139">
        <f t="shared" si="633"/>
        <v>0</v>
      </c>
      <c r="AG316" s="139">
        <f t="shared" si="633"/>
        <v>0</v>
      </c>
      <c r="AH316" s="139">
        <f t="shared" si="633"/>
        <v>1.3937282229965157E-2</v>
      </c>
      <c r="AI316" s="139">
        <f t="shared" si="633"/>
        <v>5.2264808362369342E-3</v>
      </c>
    </row>
    <row r="317" spans="2:35">
      <c r="B317" s="138" t="s">
        <v>8077</v>
      </c>
      <c r="C317" s="138" t="s">
        <v>4367</v>
      </c>
      <c r="D317" s="138" t="s">
        <v>792</v>
      </c>
      <c r="E317" s="138" t="s">
        <v>8119</v>
      </c>
      <c r="F317" s="138" t="s">
        <v>8119</v>
      </c>
      <c r="H317" s="138">
        <v>67</v>
      </c>
      <c r="I317" s="138">
        <v>522</v>
      </c>
      <c r="J317" s="138">
        <v>340</v>
      </c>
      <c r="K317" s="138">
        <v>157</v>
      </c>
      <c r="N317" s="138">
        <v>12</v>
      </c>
      <c r="O317" s="138">
        <v>0</v>
      </c>
      <c r="S317" s="138">
        <v>9</v>
      </c>
      <c r="T317" s="138">
        <v>4</v>
      </c>
      <c r="U317" s="138">
        <f t="shared" si="512"/>
        <v>13</v>
      </c>
      <c r="W317" s="139">
        <f t="shared" ref="W317:AA317" si="634">J317/$I317</f>
        <v>0.65134099616858232</v>
      </c>
      <c r="X317" s="139">
        <f t="shared" si="634"/>
        <v>0.3007662835249042</v>
      </c>
      <c r="Y317" s="139">
        <f t="shared" si="634"/>
        <v>0</v>
      </c>
      <c r="Z317" s="139">
        <f t="shared" si="634"/>
        <v>0</v>
      </c>
      <c r="AA317" s="139">
        <f t="shared" si="634"/>
        <v>2.2988505747126436E-2</v>
      </c>
      <c r="AB317" s="139"/>
      <c r="AC317" s="139">
        <f t="shared" si="514"/>
        <v>2.4904214559386972E-2</v>
      </c>
      <c r="AD317" s="139">
        <f t="shared" ref="AD317:AI317" si="635">O317/$I317</f>
        <v>0</v>
      </c>
      <c r="AE317" s="139">
        <f t="shared" si="635"/>
        <v>0</v>
      </c>
      <c r="AF317" s="139">
        <f t="shared" si="635"/>
        <v>0</v>
      </c>
      <c r="AG317" s="139">
        <f t="shared" si="635"/>
        <v>0</v>
      </c>
      <c r="AH317" s="139">
        <f t="shared" si="635"/>
        <v>1.7241379310344827E-2</v>
      </c>
      <c r="AI317" s="139">
        <f t="shared" si="635"/>
        <v>7.6628352490421452E-3</v>
      </c>
    </row>
    <row r="318" spans="2:35">
      <c r="B318" s="138" t="s">
        <v>8077</v>
      </c>
      <c r="C318" s="138" t="s">
        <v>4367</v>
      </c>
      <c r="D318" s="138" t="s">
        <v>792</v>
      </c>
      <c r="E318" s="138" t="s">
        <v>8119</v>
      </c>
      <c r="F318" s="138" t="s">
        <v>8119</v>
      </c>
      <c r="H318" s="138">
        <v>68</v>
      </c>
      <c r="I318" s="138">
        <v>582</v>
      </c>
      <c r="J318" s="138">
        <v>427</v>
      </c>
      <c r="K318" s="138">
        <v>132</v>
      </c>
      <c r="N318" s="138">
        <v>3</v>
      </c>
      <c r="O318" s="138">
        <v>0</v>
      </c>
      <c r="S318" s="138">
        <v>9</v>
      </c>
      <c r="T318" s="138">
        <v>11</v>
      </c>
      <c r="U318" s="138">
        <f t="shared" si="512"/>
        <v>20</v>
      </c>
      <c r="W318" s="139">
        <f t="shared" ref="W318:AA318" si="636">J318/$I318</f>
        <v>0.73367697594501713</v>
      </c>
      <c r="X318" s="139">
        <f t="shared" si="636"/>
        <v>0.22680412371134021</v>
      </c>
      <c r="Y318" s="139">
        <f t="shared" si="636"/>
        <v>0</v>
      </c>
      <c r="Z318" s="139">
        <f t="shared" si="636"/>
        <v>0</v>
      </c>
      <c r="AA318" s="139">
        <f t="shared" si="636"/>
        <v>5.1546391752577319E-3</v>
      </c>
      <c r="AB318" s="139"/>
      <c r="AC318" s="139">
        <f t="shared" si="514"/>
        <v>3.4364261168384883E-2</v>
      </c>
      <c r="AD318" s="139">
        <f t="shared" ref="AD318:AI318" si="637">O318/$I318</f>
        <v>0</v>
      </c>
      <c r="AE318" s="139">
        <f t="shared" si="637"/>
        <v>0</v>
      </c>
      <c r="AF318" s="139">
        <f t="shared" si="637"/>
        <v>0</v>
      </c>
      <c r="AG318" s="139">
        <f t="shared" si="637"/>
        <v>0</v>
      </c>
      <c r="AH318" s="139">
        <f t="shared" si="637"/>
        <v>1.5463917525773196E-2</v>
      </c>
      <c r="AI318" s="139">
        <f t="shared" si="637"/>
        <v>1.8900343642611683E-2</v>
      </c>
    </row>
    <row r="319" spans="2:35">
      <c r="B319" s="138" t="s">
        <v>8077</v>
      </c>
      <c r="C319" s="138" t="s">
        <v>4367</v>
      </c>
      <c r="D319" s="138" t="s">
        <v>792</v>
      </c>
      <c r="E319" s="138" t="s">
        <v>8119</v>
      </c>
      <c r="F319" s="138" t="s">
        <v>8119</v>
      </c>
      <c r="H319" s="138">
        <v>69</v>
      </c>
      <c r="I319" s="138">
        <v>587</v>
      </c>
      <c r="J319" s="138">
        <v>430</v>
      </c>
      <c r="K319" s="138">
        <v>135</v>
      </c>
      <c r="N319" s="138">
        <v>3</v>
      </c>
      <c r="O319" s="138">
        <v>0</v>
      </c>
      <c r="S319" s="138">
        <v>12</v>
      </c>
      <c r="T319" s="138">
        <v>7</v>
      </c>
      <c r="U319" s="138">
        <f t="shared" si="512"/>
        <v>19</v>
      </c>
      <c r="W319" s="139">
        <f t="shared" ref="W319:AA319" si="638">J319/$I319</f>
        <v>0.73253833049403749</v>
      </c>
      <c r="X319" s="139">
        <f t="shared" si="638"/>
        <v>0.22998296422487224</v>
      </c>
      <c r="Y319" s="139">
        <f t="shared" si="638"/>
        <v>0</v>
      </c>
      <c r="Z319" s="139">
        <f t="shared" si="638"/>
        <v>0</v>
      </c>
      <c r="AA319" s="139">
        <f t="shared" si="638"/>
        <v>5.1107325383304937E-3</v>
      </c>
      <c r="AB319" s="139"/>
      <c r="AC319" s="139">
        <f t="shared" si="514"/>
        <v>3.2367972742759793E-2</v>
      </c>
      <c r="AD319" s="139">
        <f t="shared" ref="AD319:AI319" si="639">O319/$I319</f>
        <v>0</v>
      </c>
      <c r="AE319" s="139">
        <f t="shared" si="639"/>
        <v>0</v>
      </c>
      <c r="AF319" s="139">
        <f t="shared" si="639"/>
        <v>0</v>
      </c>
      <c r="AG319" s="139">
        <f t="shared" si="639"/>
        <v>0</v>
      </c>
      <c r="AH319" s="139">
        <f t="shared" si="639"/>
        <v>2.0442930153321975E-2</v>
      </c>
      <c r="AI319" s="139">
        <f t="shared" si="639"/>
        <v>1.192504258943782E-2</v>
      </c>
    </row>
    <row r="320" spans="2:35">
      <c r="B320" s="138" t="s">
        <v>8077</v>
      </c>
      <c r="C320" s="138" t="s">
        <v>4367</v>
      </c>
      <c r="D320" s="138" t="s">
        <v>792</v>
      </c>
      <c r="E320" s="138" t="s">
        <v>8119</v>
      </c>
      <c r="F320" s="138" t="s">
        <v>8119</v>
      </c>
      <c r="H320" s="138">
        <v>70</v>
      </c>
      <c r="I320" s="138">
        <v>853</v>
      </c>
      <c r="J320" s="138">
        <v>648</v>
      </c>
      <c r="K320" s="138">
        <v>186</v>
      </c>
      <c r="N320" s="138">
        <v>4</v>
      </c>
      <c r="O320" s="138">
        <v>1</v>
      </c>
      <c r="S320" s="138">
        <v>9</v>
      </c>
      <c r="T320" s="138">
        <v>5</v>
      </c>
      <c r="U320" s="138">
        <f t="shared" si="512"/>
        <v>15</v>
      </c>
      <c r="W320" s="139">
        <f t="shared" ref="W320:AA320" si="640">J320/$I320</f>
        <v>0.7596717467760844</v>
      </c>
      <c r="X320" s="139">
        <f t="shared" si="640"/>
        <v>0.21805392731535755</v>
      </c>
      <c r="Y320" s="139">
        <f t="shared" si="640"/>
        <v>0</v>
      </c>
      <c r="Z320" s="139">
        <f t="shared" si="640"/>
        <v>0</v>
      </c>
      <c r="AA320" s="139">
        <f t="shared" si="640"/>
        <v>4.6893317702227429E-3</v>
      </c>
      <c r="AB320" s="139"/>
      <c r="AC320" s="139">
        <f t="shared" si="514"/>
        <v>1.7584994138335287E-2</v>
      </c>
      <c r="AD320" s="139">
        <f t="shared" ref="AD320:AI320" si="641">O320/$I320</f>
        <v>1.1723329425556857E-3</v>
      </c>
      <c r="AE320" s="139">
        <f t="shared" si="641"/>
        <v>0</v>
      </c>
      <c r="AF320" s="139">
        <f t="shared" si="641"/>
        <v>0</v>
      </c>
      <c r="AG320" s="139">
        <f t="shared" si="641"/>
        <v>0</v>
      </c>
      <c r="AH320" s="139">
        <f t="shared" si="641"/>
        <v>1.0550996483001172E-2</v>
      </c>
      <c r="AI320" s="139">
        <f t="shared" si="641"/>
        <v>5.8616647127784291E-3</v>
      </c>
    </row>
    <row r="321" spans="2:35">
      <c r="B321" s="138" t="s">
        <v>8077</v>
      </c>
      <c r="C321" s="138" t="s">
        <v>4367</v>
      </c>
      <c r="D321" s="138" t="s">
        <v>792</v>
      </c>
      <c r="E321" s="138" t="s">
        <v>8119</v>
      </c>
      <c r="F321" s="138" t="s">
        <v>8119</v>
      </c>
      <c r="H321" s="138">
        <v>71</v>
      </c>
      <c r="I321" s="138">
        <v>576</v>
      </c>
      <c r="J321" s="138">
        <v>398</v>
      </c>
      <c r="K321" s="138">
        <v>161</v>
      </c>
      <c r="N321" s="138">
        <v>9</v>
      </c>
      <c r="O321" s="138">
        <v>1</v>
      </c>
      <c r="S321" s="138">
        <v>3</v>
      </c>
      <c r="T321" s="138">
        <v>4</v>
      </c>
      <c r="U321" s="138">
        <f t="shared" si="512"/>
        <v>8</v>
      </c>
      <c r="W321" s="139">
        <f t="shared" ref="W321:AA321" si="642">J321/$I321</f>
        <v>0.69097222222222221</v>
      </c>
      <c r="X321" s="139">
        <f t="shared" si="642"/>
        <v>0.2795138888888889</v>
      </c>
      <c r="Y321" s="139">
        <f t="shared" si="642"/>
        <v>0</v>
      </c>
      <c r="Z321" s="139">
        <f t="shared" si="642"/>
        <v>0</v>
      </c>
      <c r="AA321" s="139">
        <f t="shared" si="642"/>
        <v>1.5625E-2</v>
      </c>
      <c r="AB321" s="139"/>
      <c r="AC321" s="139">
        <f t="shared" si="514"/>
        <v>1.3888888888888888E-2</v>
      </c>
      <c r="AD321" s="139">
        <f t="shared" ref="AD321:AI321" si="643">O321/$I321</f>
        <v>1.736111111111111E-3</v>
      </c>
      <c r="AE321" s="139">
        <f t="shared" si="643"/>
        <v>0</v>
      </c>
      <c r="AF321" s="139">
        <f t="shared" si="643"/>
        <v>0</v>
      </c>
      <c r="AG321" s="139">
        <f t="shared" si="643"/>
        <v>0</v>
      </c>
      <c r="AH321" s="139">
        <f t="shared" si="643"/>
        <v>5.208333333333333E-3</v>
      </c>
      <c r="AI321" s="139">
        <f t="shared" si="643"/>
        <v>6.9444444444444441E-3</v>
      </c>
    </row>
    <row r="322" spans="2:35">
      <c r="B322" s="138" t="s">
        <v>8077</v>
      </c>
      <c r="C322" s="138" t="s">
        <v>4367</v>
      </c>
      <c r="D322" s="138" t="s">
        <v>792</v>
      </c>
      <c r="E322" s="138" t="s">
        <v>8119</v>
      </c>
      <c r="F322" s="138" t="s">
        <v>8119</v>
      </c>
      <c r="H322" s="138">
        <v>72</v>
      </c>
      <c r="I322" s="138">
        <v>434</v>
      </c>
      <c r="J322" s="138">
        <v>341</v>
      </c>
      <c r="K322" s="138">
        <v>86</v>
      </c>
      <c r="N322" s="138">
        <v>2</v>
      </c>
      <c r="O322" s="138">
        <v>0</v>
      </c>
      <c r="S322" s="138">
        <v>4</v>
      </c>
      <c r="T322" s="138">
        <v>1</v>
      </c>
      <c r="U322" s="138">
        <f t="shared" si="512"/>
        <v>5</v>
      </c>
      <c r="W322" s="139">
        <f t="shared" ref="W322:AA322" si="644">J322/$I322</f>
        <v>0.7857142857142857</v>
      </c>
      <c r="X322" s="139">
        <f t="shared" si="644"/>
        <v>0.19815668202764977</v>
      </c>
      <c r="Y322" s="139">
        <f t="shared" si="644"/>
        <v>0</v>
      </c>
      <c r="Z322" s="139">
        <f t="shared" si="644"/>
        <v>0</v>
      </c>
      <c r="AA322" s="139">
        <f t="shared" si="644"/>
        <v>4.608294930875576E-3</v>
      </c>
      <c r="AB322" s="139"/>
      <c r="AC322" s="139">
        <f t="shared" si="514"/>
        <v>1.1520737327188941E-2</v>
      </c>
      <c r="AD322" s="139">
        <f t="shared" ref="AD322:AI322" si="645">O322/$I322</f>
        <v>0</v>
      </c>
      <c r="AE322" s="139">
        <f t="shared" si="645"/>
        <v>0</v>
      </c>
      <c r="AF322" s="139">
        <f t="shared" si="645"/>
        <v>0</v>
      </c>
      <c r="AG322" s="139">
        <f t="shared" si="645"/>
        <v>0</v>
      </c>
      <c r="AH322" s="139">
        <f t="shared" si="645"/>
        <v>9.2165898617511521E-3</v>
      </c>
      <c r="AI322" s="139">
        <f t="shared" si="645"/>
        <v>2.304147465437788E-3</v>
      </c>
    </row>
    <row r="323" spans="2:35">
      <c r="B323" s="138" t="s">
        <v>8077</v>
      </c>
      <c r="C323" s="138" t="s">
        <v>4367</v>
      </c>
      <c r="D323" s="138" t="s">
        <v>792</v>
      </c>
      <c r="E323" s="138" t="s">
        <v>8119</v>
      </c>
      <c r="F323" s="138" t="s">
        <v>8119</v>
      </c>
      <c r="H323" s="138">
        <v>73</v>
      </c>
      <c r="I323" s="138">
        <v>316</v>
      </c>
      <c r="J323" s="138">
        <v>232</v>
      </c>
      <c r="K323" s="138">
        <v>69</v>
      </c>
      <c r="N323" s="138">
        <v>12</v>
      </c>
      <c r="O323" s="138">
        <v>0</v>
      </c>
      <c r="S323" s="138">
        <v>1</v>
      </c>
      <c r="T323" s="138">
        <v>2</v>
      </c>
      <c r="U323" s="138">
        <f t="shared" si="512"/>
        <v>3</v>
      </c>
      <c r="W323" s="139">
        <f t="shared" ref="W323:AA323" si="646">J323/$I323</f>
        <v>0.73417721518987344</v>
      </c>
      <c r="X323" s="139">
        <f t="shared" si="646"/>
        <v>0.21835443037974683</v>
      </c>
      <c r="Y323" s="139">
        <f t="shared" si="646"/>
        <v>0</v>
      </c>
      <c r="Z323" s="139">
        <f t="shared" si="646"/>
        <v>0</v>
      </c>
      <c r="AA323" s="139">
        <f t="shared" si="646"/>
        <v>3.7974683544303799E-2</v>
      </c>
      <c r="AB323" s="139"/>
      <c r="AC323" s="139">
        <f t="shared" si="514"/>
        <v>9.4936708860759497E-3</v>
      </c>
      <c r="AD323" s="139">
        <f t="shared" ref="AD323:AI323" si="647">O323/$I323</f>
        <v>0</v>
      </c>
      <c r="AE323" s="139">
        <f t="shared" si="647"/>
        <v>0</v>
      </c>
      <c r="AF323" s="139">
        <f t="shared" si="647"/>
        <v>0</v>
      </c>
      <c r="AG323" s="139">
        <f t="shared" si="647"/>
        <v>0</v>
      </c>
      <c r="AH323" s="139">
        <f t="shared" si="647"/>
        <v>3.1645569620253164E-3</v>
      </c>
      <c r="AI323" s="139">
        <f t="shared" si="647"/>
        <v>6.3291139240506328E-3</v>
      </c>
    </row>
    <row r="324" spans="2:35">
      <c r="B324" s="138" t="s">
        <v>8077</v>
      </c>
      <c r="C324" s="138" t="s">
        <v>4367</v>
      </c>
      <c r="D324" s="138" t="s">
        <v>792</v>
      </c>
      <c r="E324" s="138" t="s">
        <v>8119</v>
      </c>
      <c r="F324" s="138" t="s">
        <v>8119</v>
      </c>
      <c r="H324" s="138">
        <v>74</v>
      </c>
      <c r="I324" s="138">
        <v>713</v>
      </c>
      <c r="J324" s="138">
        <v>500</v>
      </c>
      <c r="K324" s="138">
        <v>197</v>
      </c>
      <c r="N324" s="138">
        <v>7</v>
      </c>
      <c r="O324" s="138">
        <v>0</v>
      </c>
      <c r="S324" s="138">
        <v>5</v>
      </c>
      <c r="T324" s="138">
        <v>4</v>
      </c>
      <c r="U324" s="138">
        <f t="shared" si="512"/>
        <v>9</v>
      </c>
      <c r="W324" s="139">
        <f t="shared" ref="W324:AA324" si="648">J324/$I324</f>
        <v>0.70126227208976155</v>
      </c>
      <c r="X324" s="139">
        <f t="shared" si="648"/>
        <v>0.27629733520336608</v>
      </c>
      <c r="Y324" s="139">
        <f t="shared" si="648"/>
        <v>0</v>
      </c>
      <c r="Z324" s="139">
        <f t="shared" si="648"/>
        <v>0</v>
      </c>
      <c r="AA324" s="139">
        <f t="shared" si="648"/>
        <v>9.8176718092566617E-3</v>
      </c>
      <c r="AB324" s="139"/>
      <c r="AC324" s="139">
        <f t="shared" si="514"/>
        <v>1.2622720897615708E-2</v>
      </c>
      <c r="AD324" s="139">
        <f t="shared" ref="AD324:AI324" si="649">O324/$I324</f>
        <v>0</v>
      </c>
      <c r="AE324" s="139">
        <f t="shared" si="649"/>
        <v>0</v>
      </c>
      <c r="AF324" s="139">
        <f t="shared" si="649"/>
        <v>0</v>
      </c>
      <c r="AG324" s="139">
        <f t="shared" si="649"/>
        <v>0</v>
      </c>
      <c r="AH324" s="139">
        <f t="shared" si="649"/>
        <v>7.0126227208976155E-3</v>
      </c>
      <c r="AI324" s="139">
        <f t="shared" si="649"/>
        <v>5.6100981767180924E-3</v>
      </c>
    </row>
    <row r="325" spans="2:35">
      <c r="B325" s="138" t="s">
        <v>8077</v>
      </c>
      <c r="C325" s="138" t="s">
        <v>4367</v>
      </c>
      <c r="D325" s="138" t="s">
        <v>792</v>
      </c>
      <c r="E325" s="138" t="s">
        <v>8119</v>
      </c>
      <c r="F325" s="138" t="s">
        <v>8119</v>
      </c>
      <c r="H325" s="138">
        <v>75</v>
      </c>
      <c r="I325" s="138">
        <v>818</v>
      </c>
      <c r="J325" s="138">
        <v>393</v>
      </c>
      <c r="K325" s="138">
        <v>392</v>
      </c>
      <c r="N325" s="138">
        <v>13</v>
      </c>
      <c r="O325" s="138">
        <v>1</v>
      </c>
      <c r="S325" s="138">
        <v>11</v>
      </c>
      <c r="T325" s="138">
        <v>8</v>
      </c>
      <c r="U325" s="138">
        <f t="shared" si="512"/>
        <v>20</v>
      </c>
      <c r="W325" s="139">
        <f t="shared" ref="W325:AA325" si="650">J325/$I325</f>
        <v>0.48044009779951102</v>
      </c>
      <c r="X325" s="139">
        <f t="shared" si="650"/>
        <v>0.47921760391198043</v>
      </c>
      <c r="Y325" s="139">
        <f t="shared" si="650"/>
        <v>0</v>
      </c>
      <c r="Z325" s="139">
        <f t="shared" si="650"/>
        <v>0</v>
      </c>
      <c r="AA325" s="139">
        <f t="shared" si="650"/>
        <v>1.5892420537897311E-2</v>
      </c>
      <c r="AB325" s="139"/>
      <c r="AC325" s="139">
        <f t="shared" si="514"/>
        <v>2.4449877750611249E-2</v>
      </c>
      <c r="AD325" s="139">
        <f t="shared" ref="AD325:AI325" si="651">O325/$I325</f>
        <v>1.2224938875305623E-3</v>
      </c>
      <c r="AE325" s="139">
        <f t="shared" si="651"/>
        <v>0</v>
      </c>
      <c r="AF325" s="139">
        <f t="shared" si="651"/>
        <v>0</v>
      </c>
      <c r="AG325" s="139">
        <f t="shared" si="651"/>
        <v>0</v>
      </c>
      <c r="AH325" s="139">
        <f t="shared" si="651"/>
        <v>1.3447432762836185E-2</v>
      </c>
      <c r="AI325" s="139">
        <f t="shared" si="651"/>
        <v>9.7799511002444987E-3</v>
      </c>
    </row>
    <row r="326" spans="2:35">
      <c r="B326" s="138" t="s">
        <v>8077</v>
      </c>
      <c r="C326" s="138" t="s">
        <v>4367</v>
      </c>
      <c r="D326" s="138" t="s">
        <v>792</v>
      </c>
      <c r="E326" s="138" t="s">
        <v>8119</v>
      </c>
      <c r="F326" s="138" t="s">
        <v>8119</v>
      </c>
      <c r="H326" s="138">
        <v>76</v>
      </c>
      <c r="I326" s="138">
        <v>582</v>
      </c>
      <c r="J326" s="138">
        <v>211</v>
      </c>
      <c r="K326" s="138">
        <v>337</v>
      </c>
      <c r="N326" s="138">
        <v>20</v>
      </c>
      <c r="O326" s="138">
        <v>2</v>
      </c>
      <c r="S326" s="138">
        <v>4</v>
      </c>
      <c r="T326" s="138">
        <v>8</v>
      </c>
      <c r="U326" s="138">
        <f t="shared" si="512"/>
        <v>14</v>
      </c>
      <c r="W326" s="139">
        <f t="shared" ref="W326:AA326" si="652">J326/$I326</f>
        <v>0.36254295532646047</v>
      </c>
      <c r="X326" s="139">
        <f t="shared" si="652"/>
        <v>0.57903780068728528</v>
      </c>
      <c r="Y326" s="139">
        <f t="shared" si="652"/>
        <v>0</v>
      </c>
      <c r="Z326" s="139">
        <f t="shared" si="652"/>
        <v>0</v>
      </c>
      <c r="AA326" s="139">
        <f t="shared" si="652"/>
        <v>3.4364261168384883E-2</v>
      </c>
      <c r="AB326" s="139"/>
      <c r="AC326" s="139">
        <f t="shared" si="514"/>
        <v>2.4054982817869417E-2</v>
      </c>
      <c r="AD326" s="139">
        <f t="shared" ref="AD326:AI326" si="653">O326/$I326</f>
        <v>3.4364261168384879E-3</v>
      </c>
      <c r="AE326" s="139">
        <f t="shared" si="653"/>
        <v>0</v>
      </c>
      <c r="AF326" s="139">
        <f t="shared" si="653"/>
        <v>0</v>
      </c>
      <c r="AG326" s="139">
        <f t="shared" si="653"/>
        <v>0</v>
      </c>
      <c r="AH326" s="139">
        <f t="shared" si="653"/>
        <v>6.8728522336769758E-3</v>
      </c>
      <c r="AI326" s="139">
        <f t="shared" si="653"/>
        <v>1.3745704467353952E-2</v>
      </c>
    </row>
    <row r="327" spans="2:35">
      <c r="B327" s="138" t="s">
        <v>8077</v>
      </c>
      <c r="C327" s="138" t="s">
        <v>4367</v>
      </c>
      <c r="D327" s="138" t="s">
        <v>792</v>
      </c>
      <c r="E327" s="138" t="s">
        <v>8119</v>
      </c>
      <c r="F327" s="138" t="s">
        <v>8119</v>
      </c>
      <c r="H327" s="138">
        <v>77</v>
      </c>
      <c r="I327" s="138">
        <v>528</v>
      </c>
      <c r="J327" s="138">
        <v>202</v>
      </c>
      <c r="K327" s="138">
        <v>299</v>
      </c>
      <c r="N327" s="138">
        <v>22</v>
      </c>
      <c r="O327" s="138">
        <v>1</v>
      </c>
      <c r="S327" s="138">
        <v>2</v>
      </c>
      <c r="T327" s="138">
        <v>2</v>
      </c>
      <c r="U327" s="138">
        <f t="shared" si="512"/>
        <v>5</v>
      </c>
      <c r="W327" s="139">
        <f t="shared" ref="W327:AA327" si="654">J327/$I327</f>
        <v>0.38257575757575757</v>
      </c>
      <c r="X327" s="139">
        <f t="shared" si="654"/>
        <v>0.56628787878787878</v>
      </c>
      <c r="Y327" s="139">
        <f t="shared" si="654"/>
        <v>0</v>
      </c>
      <c r="Z327" s="139">
        <f t="shared" si="654"/>
        <v>0</v>
      </c>
      <c r="AA327" s="139">
        <f t="shared" si="654"/>
        <v>4.1666666666666664E-2</v>
      </c>
      <c r="AB327" s="139"/>
      <c r="AC327" s="139">
        <f t="shared" si="514"/>
        <v>9.46969696969697E-3</v>
      </c>
      <c r="AD327" s="139">
        <f t="shared" ref="AD327:AI327" si="655">O327/$I327</f>
        <v>1.893939393939394E-3</v>
      </c>
      <c r="AE327" s="139">
        <f t="shared" si="655"/>
        <v>0</v>
      </c>
      <c r="AF327" s="139">
        <f t="shared" si="655"/>
        <v>0</v>
      </c>
      <c r="AG327" s="139">
        <f t="shared" si="655"/>
        <v>0</v>
      </c>
      <c r="AH327" s="139">
        <f t="shared" si="655"/>
        <v>3.787878787878788E-3</v>
      </c>
      <c r="AI327" s="139">
        <f t="shared" si="655"/>
        <v>3.787878787878788E-3</v>
      </c>
    </row>
    <row r="328" spans="2:35">
      <c r="B328" s="138" t="s">
        <v>8077</v>
      </c>
      <c r="C328" s="138" t="s">
        <v>4367</v>
      </c>
      <c r="D328" s="138" t="s">
        <v>792</v>
      </c>
      <c r="E328" s="138" t="s">
        <v>8119</v>
      </c>
      <c r="F328" s="138" t="s">
        <v>8119</v>
      </c>
      <c r="H328" s="138">
        <v>78</v>
      </c>
      <c r="I328" s="138">
        <v>733</v>
      </c>
      <c r="J328" s="138">
        <v>460</v>
      </c>
      <c r="K328" s="138">
        <v>245</v>
      </c>
      <c r="N328" s="138">
        <v>14</v>
      </c>
      <c r="O328" s="138">
        <v>1</v>
      </c>
      <c r="S328" s="138">
        <v>11</v>
      </c>
      <c r="T328" s="138">
        <v>2</v>
      </c>
      <c r="U328" s="138">
        <f t="shared" si="512"/>
        <v>14</v>
      </c>
      <c r="W328" s="139">
        <f t="shared" ref="W328:AA328" si="656">J328/$I328</f>
        <v>0.62755798090040926</v>
      </c>
      <c r="X328" s="139">
        <f t="shared" si="656"/>
        <v>0.33424283765347884</v>
      </c>
      <c r="Y328" s="139">
        <f t="shared" si="656"/>
        <v>0</v>
      </c>
      <c r="Z328" s="139">
        <f t="shared" si="656"/>
        <v>0</v>
      </c>
      <c r="AA328" s="139">
        <f t="shared" si="656"/>
        <v>1.9099590723055934E-2</v>
      </c>
      <c r="AB328" s="139"/>
      <c r="AC328" s="139">
        <f t="shared" si="514"/>
        <v>1.9099590723055934E-2</v>
      </c>
      <c r="AD328" s="139">
        <f t="shared" ref="AD328:AI328" si="657">O328/$I328</f>
        <v>1.364256480218281E-3</v>
      </c>
      <c r="AE328" s="139">
        <f t="shared" si="657"/>
        <v>0</v>
      </c>
      <c r="AF328" s="139">
        <f t="shared" si="657"/>
        <v>0</v>
      </c>
      <c r="AG328" s="139">
        <f t="shared" si="657"/>
        <v>0</v>
      </c>
      <c r="AH328" s="139">
        <f t="shared" si="657"/>
        <v>1.5006821282401092E-2</v>
      </c>
      <c r="AI328" s="139">
        <f t="shared" si="657"/>
        <v>2.7285129604365621E-3</v>
      </c>
    </row>
    <row r="329" spans="2:35">
      <c r="B329" s="138" t="s">
        <v>8077</v>
      </c>
      <c r="C329" s="138" t="s">
        <v>4367</v>
      </c>
      <c r="D329" s="138" t="s">
        <v>792</v>
      </c>
      <c r="E329" s="138" t="s">
        <v>8119</v>
      </c>
      <c r="F329" s="138" t="s">
        <v>8119</v>
      </c>
      <c r="H329" s="138">
        <v>79</v>
      </c>
      <c r="I329" s="138">
        <v>792</v>
      </c>
      <c r="J329" s="138">
        <v>425</v>
      </c>
      <c r="K329" s="138">
        <v>321</v>
      </c>
      <c r="N329" s="138">
        <v>7</v>
      </c>
      <c r="O329" s="138">
        <v>4</v>
      </c>
      <c r="S329" s="138">
        <v>24</v>
      </c>
      <c r="T329" s="138">
        <v>11</v>
      </c>
      <c r="U329" s="138">
        <f t="shared" si="512"/>
        <v>39</v>
      </c>
      <c r="W329" s="139">
        <f t="shared" ref="W329:AA329" si="658">J329/$I329</f>
        <v>0.53661616161616166</v>
      </c>
      <c r="X329" s="139">
        <f t="shared" si="658"/>
        <v>0.40530303030303028</v>
      </c>
      <c r="Y329" s="139">
        <f t="shared" si="658"/>
        <v>0</v>
      </c>
      <c r="Z329" s="139">
        <f t="shared" si="658"/>
        <v>0</v>
      </c>
      <c r="AA329" s="139">
        <f t="shared" si="658"/>
        <v>8.8383838383838381E-3</v>
      </c>
      <c r="AB329" s="139"/>
      <c r="AC329" s="139">
        <f t="shared" si="514"/>
        <v>4.924242424242424E-2</v>
      </c>
      <c r="AD329" s="139">
        <f t="shared" ref="AD329:AI329" si="659">O329/$I329</f>
        <v>5.0505050505050509E-3</v>
      </c>
      <c r="AE329" s="139">
        <f t="shared" si="659"/>
        <v>0</v>
      </c>
      <c r="AF329" s="139">
        <f t="shared" si="659"/>
        <v>0</v>
      </c>
      <c r="AG329" s="139">
        <f t="shared" si="659"/>
        <v>0</v>
      </c>
      <c r="AH329" s="139">
        <f t="shared" si="659"/>
        <v>3.0303030303030304E-2</v>
      </c>
      <c r="AI329" s="139">
        <f t="shared" si="659"/>
        <v>1.3888888888888888E-2</v>
      </c>
    </row>
    <row r="330" spans="2:35">
      <c r="B330" s="138" t="s">
        <v>8077</v>
      </c>
      <c r="C330" s="138" t="s">
        <v>4367</v>
      </c>
      <c r="D330" s="138" t="s">
        <v>792</v>
      </c>
      <c r="E330" s="138" t="s">
        <v>8119</v>
      </c>
      <c r="F330" s="138" t="s">
        <v>8119</v>
      </c>
      <c r="H330" s="138">
        <v>80</v>
      </c>
      <c r="I330" s="138">
        <v>913</v>
      </c>
      <c r="J330" s="138">
        <v>487</v>
      </c>
      <c r="K330" s="138">
        <v>374</v>
      </c>
      <c r="N330" s="138">
        <v>22</v>
      </c>
      <c r="O330" s="138">
        <v>1</v>
      </c>
      <c r="S330" s="138">
        <v>23</v>
      </c>
      <c r="T330" s="138">
        <v>6</v>
      </c>
      <c r="U330" s="138">
        <f t="shared" si="512"/>
        <v>30</v>
      </c>
      <c r="W330" s="139">
        <f t="shared" ref="W330:AA330" si="660">J330/$I330</f>
        <v>0.53340635268346115</v>
      </c>
      <c r="X330" s="139">
        <f t="shared" si="660"/>
        <v>0.40963855421686746</v>
      </c>
      <c r="Y330" s="139">
        <f t="shared" si="660"/>
        <v>0</v>
      </c>
      <c r="Z330" s="139">
        <f t="shared" si="660"/>
        <v>0</v>
      </c>
      <c r="AA330" s="139">
        <f t="shared" si="660"/>
        <v>2.4096385542168676E-2</v>
      </c>
      <c r="AB330" s="139"/>
      <c r="AC330" s="139">
        <f t="shared" si="514"/>
        <v>3.2858707557502739E-2</v>
      </c>
      <c r="AD330" s="139">
        <f t="shared" ref="AD330:AI330" si="661">O330/$I330</f>
        <v>1.0952902519167579E-3</v>
      </c>
      <c r="AE330" s="139">
        <f t="shared" si="661"/>
        <v>0</v>
      </c>
      <c r="AF330" s="139">
        <f t="shared" si="661"/>
        <v>0</v>
      </c>
      <c r="AG330" s="139">
        <f t="shared" si="661"/>
        <v>0</v>
      </c>
      <c r="AH330" s="139">
        <f t="shared" si="661"/>
        <v>2.5191675794085433E-2</v>
      </c>
      <c r="AI330" s="139">
        <f t="shared" si="661"/>
        <v>6.5717415115005475E-3</v>
      </c>
    </row>
    <row r="331" spans="2:35">
      <c r="B331" s="138" t="s">
        <v>8077</v>
      </c>
      <c r="C331" s="138" t="s">
        <v>4367</v>
      </c>
      <c r="D331" s="138" t="s">
        <v>792</v>
      </c>
      <c r="E331" s="138" t="s">
        <v>8119</v>
      </c>
      <c r="F331" s="138" t="s">
        <v>8119</v>
      </c>
      <c r="H331" s="138">
        <v>81</v>
      </c>
      <c r="I331" s="138">
        <v>820</v>
      </c>
      <c r="J331" s="138">
        <v>403</v>
      </c>
      <c r="K331" s="138">
        <v>374</v>
      </c>
      <c r="N331" s="138">
        <v>14</v>
      </c>
      <c r="O331" s="138">
        <v>4</v>
      </c>
      <c r="S331" s="138">
        <v>12</v>
      </c>
      <c r="T331" s="138">
        <v>13</v>
      </c>
      <c r="U331" s="138">
        <f t="shared" si="512"/>
        <v>29</v>
      </c>
      <c r="W331" s="139">
        <f t="shared" ref="W331:AA331" si="662">J331/$I331</f>
        <v>0.49146341463414633</v>
      </c>
      <c r="X331" s="139">
        <f t="shared" si="662"/>
        <v>0.45609756097560977</v>
      </c>
      <c r="Y331" s="139">
        <f t="shared" si="662"/>
        <v>0</v>
      </c>
      <c r="Z331" s="139">
        <f t="shared" si="662"/>
        <v>0</v>
      </c>
      <c r="AA331" s="139">
        <f t="shared" si="662"/>
        <v>1.7073170731707318E-2</v>
      </c>
      <c r="AB331" s="139"/>
      <c r="AC331" s="139">
        <f t="shared" si="514"/>
        <v>3.5365853658536582E-2</v>
      </c>
      <c r="AD331" s="139">
        <f t="shared" ref="AD331:AI331" si="663">O331/$I331</f>
        <v>4.8780487804878049E-3</v>
      </c>
      <c r="AE331" s="139">
        <f t="shared" si="663"/>
        <v>0</v>
      </c>
      <c r="AF331" s="139">
        <f t="shared" si="663"/>
        <v>0</v>
      </c>
      <c r="AG331" s="139">
        <f t="shared" si="663"/>
        <v>0</v>
      </c>
      <c r="AH331" s="139">
        <f t="shared" si="663"/>
        <v>1.4634146341463415E-2</v>
      </c>
      <c r="AI331" s="139">
        <f t="shared" si="663"/>
        <v>1.5853658536585366E-2</v>
      </c>
    </row>
    <row r="332" spans="2:35">
      <c r="B332" s="138" t="s">
        <v>8077</v>
      </c>
      <c r="C332" s="138" t="s">
        <v>4367</v>
      </c>
      <c r="D332" s="138" t="s">
        <v>792</v>
      </c>
      <c r="E332" s="138" t="s">
        <v>8119</v>
      </c>
      <c r="F332" s="138" t="s">
        <v>8119</v>
      </c>
      <c r="H332" s="138">
        <v>82</v>
      </c>
      <c r="I332" s="138">
        <v>833</v>
      </c>
      <c r="J332" s="138">
        <v>450</v>
      </c>
      <c r="K332" s="138">
        <v>344</v>
      </c>
      <c r="N332" s="138">
        <v>13</v>
      </c>
      <c r="O332" s="138">
        <v>1</v>
      </c>
      <c r="S332" s="138">
        <v>15</v>
      </c>
      <c r="T332" s="138">
        <v>10</v>
      </c>
      <c r="U332" s="138">
        <f t="shared" si="512"/>
        <v>26</v>
      </c>
      <c r="W332" s="139">
        <f t="shared" ref="W332:AA332" si="664">J332/$I332</f>
        <v>0.54021608643457386</v>
      </c>
      <c r="X332" s="139">
        <f t="shared" si="664"/>
        <v>0.41296518607442978</v>
      </c>
      <c r="Y332" s="139">
        <f t="shared" si="664"/>
        <v>0</v>
      </c>
      <c r="Z332" s="139">
        <f t="shared" si="664"/>
        <v>0</v>
      </c>
      <c r="AA332" s="139">
        <f t="shared" si="664"/>
        <v>1.5606242496998799E-2</v>
      </c>
      <c r="AB332" s="139"/>
      <c r="AC332" s="139">
        <f t="shared" si="514"/>
        <v>3.1212484993997598E-2</v>
      </c>
      <c r="AD332" s="139">
        <f t="shared" ref="AD332:AI332" si="665">O332/$I332</f>
        <v>1.2004801920768306E-3</v>
      </c>
      <c r="AE332" s="139">
        <f t="shared" si="665"/>
        <v>0</v>
      </c>
      <c r="AF332" s="139">
        <f t="shared" si="665"/>
        <v>0</v>
      </c>
      <c r="AG332" s="139">
        <f t="shared" si="665"/>
        <v>0</v>
      </c>
      <c r="AH332" s="139">
        <f t="shared" si="665"/>
        <v>1.800720288115246E-2</v>
      </c>
      <c r="AI332" s="139">
        <f t="shared" si="665"/>
        <v>1.2004801920768308E-2</v>
      </c>
    </row>
    <row r="333" spans="2:35">
      <c r="B333" s="138" t="s">
        <v>8077</v>
      </c>
      <c r="C333" s="138" t="s">
        <v>4367</v>
      </c>
      <c r="D333" s="138" t="s">
        <v>792</v>
      </c>
      <c r="E333" s="138" t="s">
        <v>8119</v>
      </c>
      <c r="F333" s="138" t="s">
        <v>8119</v>
      </c>
      <c r="H333" s="138">
        <v>83</v>
      </c>
      <c r="I333" s="138">
        <v>879</v>
      </c>
      <c r="J333" s="138">
        <v>447</v>
      </c>
      <c r="K333" s="138">
        <v>372</v>
      </c>
      <c r="N333" s="138">
        <v>22</v>
      </c>
      <c r="O333" s="138">
        <v>5</v>
      </c>
      <c r="S333" s="138">
        <v>20</v>
      </c>
      <c r="T333" s="138">
        <v>13</v>
      </c>
      <c r="U333" s="138">
        <f t="shared" si="512"/>
        <v>38</v>
      </c>
      <c r="W333" s="139">
        <f t="shared" ref="W333:AA333" si="666">J333/$I333</f>
        <v>0.50853242320819114</v>
      </c>
      <c r="X333" s="139">
        <f t="shared" si="666"/>
        <v>0.42320819112627989</v>
      </c>
      <c r="Y333" s="139">
        <f t="shared" si="666"/>
        <v>0</v>
      </c>
      <c r="Z333" s="139">
        <f t="shared" si="666"/>
        <v>0</v>
      </c>
      <c r="AA333" s="139">
        <f t="shared" si="666"/>
        <v>2.502844141069397E-2</v>
      </c>
      <c r="AB333" s="139"/>
      <c r="AC333" s="139">
        <f t="shared" si="514"/>
        <v>4.3230944254835042E-2</v>
      </c>
      <c r="AD333" s="139">
        <f t="shared" ref="AD333:AI333" si="667">O333/$I333</f>
        <v>5.6882821387940841E-3</v>
      </c>
      <c r="AE333" s="139">
        <f t="shared" si="667"/>
        <v>0</v>
      </c>
      <c r="AF333" s="139">
        <f t="shared" si="667"/>
        <v>0</v>
      </c>
      <c r="AG333" s="139">
        <f t="shared" si="667"/>
        <v>0</v>
      </c>
      <c r="AH333" s="139">
        <f t="shared" si="667"/>
        <v>2.2753128555176336E-2</v>
      </c>
      <c r="AI333" s="139">
        <f t="shared" si="667"/>
        <v>1.4789533560864619E-2</v>
      </c>
    </row>
    <row r="334" spans="2:35">
      <c r="B334" s="138" t="s">
        <v>8077</v>
      </c>
      <c r="C334" s="138" t="s">
        <v>4367</v>
      </c>
      <c r="D334" s="138" t="s">
        <v>792</v>
      </c>
      <c r="E334" s="138" t="s">
        <v>8119</v>
      </c>
      <c r="F334" s="138" t="s">
        <v>8119</v>
      </c>
      <c r="H334" s="138">
        <v>84</v>
      </c>
      <c r="I334" s="138">
        <v>909</v>
      </c>
      <c r="J334" s="138">
        <v>451</v>
      </c>
      <c r="K334" s="138">
        <v>417</v>
      </c>
      <c r="N334" s="138">
        <v>16</v>
      </c>
      <c r="O334" s="138">
        <v>3</v>
      </c>
      <c r="S334" s="138">
        <v>14</v>
      </c>
      <c r="T334" s="138">
        <v>8</v>
      </c>
      <c r="U334" s="138">
        <f t="shared" si="512"/>
        <v>25</v>
      </c>
      <c r="W334" s="139">
        <f t="shared" ref="W334:AA334" si="668">J334/$I334</f>
        <v>0.49614961496149618</v>
      </c>
      <c r="X334" s="139">
        <f t="shared" si="668"/>
        <v>0.45874587458745875</v>
      </c>
      <c r="Y334" s="139">
        <f t="shared" si="668"/>
        <v>0</v>
      </c>
      <c r="Z334" s="139">
        <f t="shared" si="668"/>
        <v>0</v>
      </c>
      <c r="AA334" s="139">
        <f t="shared" si="668"/>
        <v>1.7601760176017601E-2</v>
      </c>
      <c r="AB334" s="139"/>
      <c r="AC334" s="139">
        <f t="shared" si="514"/>
        <v>2.7502750275027504E-2</v>
      </c>
      <c r="AD334" s="139">
        <f t="shared" ref="AD334:AI334" si="669">O334/$I334</f>
        <v>3.3003300330033004E-3</v>
      </c>
      <c r="AE334" s="139">
        <f t="shared" si="669"/>
        <v>0</v>
      </c>
      <c r="AF334" s="139">
        <f t="shared" si="669"/>
        <v>0</v>
      </c>
      <c r="AG334" s="139">
        <f t="shared" si="669"/>
        <v>0</v>
      </c>
      <c r="AH334" s="139">
        <f t="shared" si="669"/>
        <v>1.5401540154015401E-2</v>
      </c>
      <c r="AI334" s="139">
        <f t="shared" si="669"/>
        <v>8.8008800880088004E-3</v>
      </c>
    </row>
    <row r="335" spans="2:35">
      <c r="B335" s="138" t="s">
        <v>8077</v>
      </c>
      <c r="C335" s="138" t="s">
        <v>4367</v>
      </c>
      <c r="D335" s="138" t="s">
        <v>792</v>
      </c>
      <c r="E335" s="138" t="s">
        <v>8119</v>
      </c>
      <c r="F335" s="138" t="s">
        <v>8119</v>
      </c>
      <c r="H335" s="138">
        <v>85</v>
      </c>
      <c r="I335" s="138">
        <v>698</v>
      </c>
      <c r="J335" s="138">
        <v>385</v>
      </c>
      <c r="K335" s="138">
        <v>265</v>
      </c>
      <c r="N335" s="138">
        <v>10</v>
      </c>
      <c r="O335" s="138">
        <v>5</v>
      </c>
      <c r="S335" s="138">
        <v>26</v>
      </c>
      <c r="T335" s="138">
        <v>7</v>
      </c>
      <c r="U335" s="138">
        <f t="shared" si="512"/>
        <v>38</v>
      </c>
      <c r="W335" s="139">
        <f t="shared" ref="W335:AA335" si="670">J335/$I335</f>
        <v>0.5515759312320917</v>
      </c>
      <c r="X335" s="139">
        <f t="shared" si="670"/>
        <v>0.37965616045845274</v>
      </c>
      <c r="Y335" s="139">
        <f t="shared" si="670"/>
        <v>0</v>
      </c>
      <c r="Z335" s="139">
        <f t="shared" si="670"/>
        <v>0</v>
      </c>
      <c r="AA335" s="139">
        <f t="shared" si="670"/>
        <v>1.4326647564469915E-2</v>
      </c>
      <c r="AB335" s="139"/>
      <c r="AC335" s="139">
        <f t="shared" si="514"/>
        <v>5.4441260744985676E-2</v>
      </c>
      <c r="AD335" s="139">
        <f t="shared" ref="AD335:AI335" si="671">O335/$I335</f>
        <v>7.1633237822349575E-3</v>
      </c>
      <c r="AE335" s="139">
        <f t="shared" si="671"/>
        <v>0</v>
      </c>
      <c r="AF335" s="139">
        <f t="shared" si="671"/>
        <v>0</v>
      </c>
      <c r="AG335" s="139">
        <f t="shared" si="671"/>
        <v>0</v>
      </c>
      <c r="AH335" s="139">
        <f t="shared" si="671"/>
        <v>3.7249283667621778E-2</v>
      </c>
      <c r="AI335" s="139">
        <f t="shared" si="671"/>
        <v>1.0028653295128941E-2</v>
      </c>
    </row>
    <row r="336" spans="2:35">
      <c r="B336" s="138" t="s">
        <v>8077</v>
      </c>
      <c r="C336" s="138" t="s">
        <v>4367</v>
      </c>
      <c r="D336" s="138" t="s">
        <v>792</v>
      </c>
      <c r="E336" s="138" t="s">
        <v>8119</v>
      </c>
      <c r="F336" s="138" t="s">
        <v>8119</v>
      </c>
      <c r="H336" s="138">
        <v>86</v>
      </c>
      <c r="I336" s="138">
        <v>767</v>
      </c>
      <c r="J336" s="138">
        <v>380</v>
      </c>
      <c r="K336" s="138">
        <v>356</v>
      </c>
      <c r="N336" s="138">
        <v>6</v>
      </c>
      <c r="O336" s="138">
        <v>1</v>
      </c>
      <c r="S336" s="138">
        <v>16</v>
      </c>
      <c r="T336" s="138">
        <v>8</v>
      </c>
      <c r="U336" s="138">
        <f t="shared" si="512"/>
        <v>25</v>
      </c>
      <c r="W336" s="139">
        <f t="shared" ref="W336:AA336" si="672">J336/$I336</f>
        <v>0.49543676662320729</v>
      </c>
      <c r="X336" s="139">
        <f t="shared" si="672"/>
        <v>0.46414602346805739</v>
      </c>
      <c r="Y336" s="139">
        <f t="shared" si="672"/>
        <v>0</v>
      </c>
      <c r="Z336" s="139">
        <f t="shared" si="672"/>
        <v>0</v>
      </c>
      <c r="AA336" s="139">
        <f t="shared" si="672"/>
        <v>7.8226857887874843E-3</v>
      </c>
      <c r="AB336" s="139"/>
      <c r="AC336" s="139">
        <f t="shared" si="514"/>
        <v>3.259452411994785E-2</v>
      </c>
      <c r="AD336" s="139">
        <f t="shared" ref="AD336:AI336" si="673">O336/$I336</f>
        <v>1.3037809647979139E-3</v>
      </c>
      <c r="AE336" s="139">
        <f t="shared" si="673"/>
        <v>0</v>
      </c>
      <c r="AF336" s="139">
        <f t="shared" si="673"/>
        <v>0</v>
      </c>
      <c r="AG336" s="139">
        <f t="shared" si="673"/>
        <v>0</v>
      </c>
      <c r="AH336" s="139">
        <f t="shared" si="673"/>
        <v>2.0860495436766623E-2</v>
      </c>
      <c r="AI336" s="139">
        <f t="shared" si="673"/>
        <v>1.0430247718383311E-2</v>
      </c>
    </row>
    <row r="337" spans="2:35">
      <c r="B337" s="138" t="s">
        <v>8077</v>
      </c>
      <c r="C337" s="138" t="s">
        <v>4367</v>
      </c>
      <c r="D337" s="138" t="s">
        <v>792</v>
      </c>
      <c r="E337" s="138" t="s">
        <v>8119</v>
      </c>
      <c r="F337" s="138" t="s">
        <v>8119</v>
      </c>
      <c r="H337" s="138">
        <v>87</v>
      </c>
      <c r="I337" s="138">
        <v>529</v>
      </c>
      <c r="J337" s="138">
        <v>244</v>
      </c>
      <c r="K337" s="138">
        <v>250</v>
      </c>
      <c r="N337" s="138">
        <v>9</v>
      </c>
      <c r="O337" s="138">
        <v>6</v>
      </c>
      <c r="S337" s="138">
        <v>15</v>
      </c>
      <c r="T337" s="138">
        <v>5</v>
      </c>
      <c r="U337" s="138">
        <f t="shared" si="512"/>
        <v>26</v>
      </c>
      <c r="W337" s="139">
        <f t="shared" ref="W337:AA337" si="674">J337/$I337</f>
        <v>0.46124763705103972</v>
      </c>
      <c r="X337" s="139">
        <f t="shared" si="674"/>
        <v>0.47258979206049151</v>
      </c>
      <c r="Y337" s="139">
        <f t="shared" si="674"/>
        <v>0</v>
      </c>
      <c r="Z337" s="139">
        <f t="shared" si="674"/>
        <v>0</v>
      </c>
      <c r="AA337" s="139">
        <f t="shared" si="674"/>
        <v>1.7013232514177693E-2</v>
      </c>
      <c r="AB337" s="139"/>
      <c r="AC337" s="139">
        <f t="shared" si="514"/>
        <v>4.9149338374291113E-2</v>
      </c>
      <c r="AD337" s="139">
        <f t="shared" ref="AD337:AI337" si="675">O337/$I337</f>
        <v>1.1342155009451797E-2</v>
      </c>
      <c r="AE337" s="139">
        <f t="shared" si="675"/>
        <v>0</v>
      </c>
      <c r="AF337" s="139">
        <f t="shared" si="675"/>
        <v>0</v>
      </c>
      <c r="AG337" s="139">
        <f t="shared" si="675"/>
        <v>0</v>
      </c>
      <c r="AH337" s="139">
        <f t="shared" si="675"/>
        <v>2.835538752362949E-2</v>
      </c>
      <c r="AI337" s="139">
        <f t="shared" si="675"/>
        <v>9.4517958412098299E-3</v>
      </c>
    </row>
    <row r="338" spans="2:35">
      <c r="B338" s="138" t="s">
        <v>8077</v>
      </c>
      <c r="C338" s="138" t="s">
        <v>4367</v>
      </c>
      <c r="D338" s="138" t="s">
        <v>792</v>
      </c>
      <c r="E338" s="138" t="s">
        <v>8119</v>
      </c>
      <c r="F338" s="138" t="s">
        <v>8119</v>
      </c>
      <c r="H338" s="138">
        <v>88</v>
      </c>
      <c r="I338" s="138">
        <v>853</v>
      </c>
      <c r="J338" s="138">
        <v>435</v>
      </c>
      <c r="K338" s="138">
        <v>373</v>
      </c>
      <c r="N338" s="138">
        <v>15</v>
      </c>
      <c r="O338" s="138">
        <v>2</v>
      </c>
      <c r="S338" s="138">
        <v>20</v>
      </c>
      <c r="T338" s="138">
        <v>8</v>
      </c>
      <c r="U338" s="138">
        <f t="shared" si="512"/>
        <v>30</v>
      </c>
      <c r="W338" s="139">
        <f t="shared" ref="W338:AA338" si="676">J338/$I338</f>
        <v>0.50996483001172332</v>
      </c>
      <c r="X338" s="139">
        <f t="shared" si="676"/>
        <v>0.43728018757327081</v>
      </c>
      <c r="Y338" s="139">
        <f t="shared" si="676"/>
        <v>0</v>
      </c>
      <c r="Z338" s="139">
        <f t="shared" si="676"/>
        <v>0</v>
      </c>
      <c r="AA338" s="139">
        <f t="shared" si="676"/>
        <v>1.7584994138335287E-2</v>
      </c>
      <c r="AB338" s="139"/>
      <c r="AC338" s="139">
        <f t="shared" si="514"/>
        <v>3.5169988276670575E-2</v>
      </c>
      <c r="AD338" s="139">
        <f t="shared" ref="AD338:AI338" si="677">O338/$I338</f>
        <v>2.3446658851113715E-3</v>
      </c>
      <c r="AE338" s="139">
        <f t="shared" si="677"/>
        <v>0</v>
      </c>
      <c r="AF338" s="139">
        <f t="shared" si="677"/>
        <v>0</v>
      </c>
      <c r="AG338" s="139">
        <f t="shared" si="677"/>
        <v>0</v>
      </c>
      <c r="AH338" s="139">
        <f t="shared" si="677"/>
        <v>2.3446658851113716E-2</v>
      </c>
      <c r="AI338" s="139">
        <f t="shared" si="677"/>
        <v>9.3786635404454859E-3</v>
      </c>
    </row>
    <row r="339" spans="2:35">
      <c r="B339" s="138" t="s">
        <v>8077</v>
      </c>
      <c r="C339" s="138" t="s">
        <v>4367</v>
      </c>
      <c r="D339" s="138" t="s">
        <v>792</v>
      </c>
      <c r="E339" s="138" t="s">
        <v>8119</v>
      </c>
      <c r="F339" s="138" t="s">
        <v>8119</v>
      </c>
      <c r="H339" s="138">
        <v>89</v>
      </c>
      <c r="I339" s="138">
        <v>933</v>
      </c>
      <c r="J339" s="138">
        <v>502</v>
      </c>
      <c r="K339" s="138">
        <v>380</v>
      </c>
      <c r="N339" s="138">
        <v>13</v>
      </c>
      <c r="O339" s="138">
        <v>3</v>
      </c>
      <c r="S339" s="138">
        <v>23</v>
      </c>
      <c r="T339" s="138">
        <v>12</v>
      </c>
      <c r="U339" s="138">
        <f t="shared" si="512"/>
        <v>38</v>
      </c>
      <c r="W339" s="139">
        <f t="shared" ref="W339:AA339" si="678">J339/$I339</f>
        <v>0.53804930332261525</v>
      </c>
      <c r="X339" s="139">
        <f t="shared" si="678"/>
        <v>0.40728831725616294</v>
      </c>
      <c r="Y339" s="139">
        <f t="shared" si="678"/>
        <v>0</v>
      </c>
      <c r="Z339" s="139">
        <f t="shared" si="678"/>
        <v>0</v>
      </c>
      <c r="AA339" s="139">
        <f t="shared" si="678"/>
        <v>1.3933547695605574E-2</v>
      </c>
      <c r="AB339" s="139"/>
      <c r="AC339" s="139">
        <f t="shared" si="514"/>
        <v>4.0728831725616289E-2</v>
      </c>
      <c r="AD339" s="139">
        <f t="shared" ref="AD339:AI339" si="679">O339/$I339</f>
        <v>3.2154340836012861E-3</v>
      </c>
      <c r="AE339" s="139">
        <f t="shared" si="679"/>
        <v>0</v>
      </c>
      <c r="AF339" s="139">
        <f t="shared" si="679"/>
        <v>0</v>
      </c>
      <c r="AG339" s="139">
        <f t="shared" si="679"/>
        <v>0</v>
      </c>
      <c r="AH339" s="139">
        <f t="shared" si="679"/>
        <v>2.465166130760986E-2</v>
      </c>
      <c r="AI339" s="139">
        <f t="shared" si="679"/>
        <v>1.2861736334405145E-2</v>
      </c>
    </row>
    <row r="340" spans="2:35">
      <c r="B340" s="138" t="s">
        <v>8077</v>
      </c>
      <c r="C340" s="138" t="s">
        <v>4367</v>
      </c>
      <c r="D340" s="138" t="s">
        <v>792</v>
      </c>
      <c r="E340" s="138" t="s">
        <v>8119</v>
      </c>
      <c r="F340" s="138" t="s">
        <v>8119</v>
      </c>
      <c r="H340" s="138">
        <v>90</v>
      </c>
      <c r="I340" s="138">
        <v>856</v>
      </c>
      <c r="J340" s="138">
        <v>457</v>
      </c>
      <c r="K340" s="138">
        <v>349</v>
      </c>
      <c r="N340" s="138">
        <v>14</v>
      </c>
      <c r="O340" s="138">
        <v>2</v>
      </c>
      <c r="S340" s="138">
        <v>23</v>
      </c>
      <c r="T340" s="138">
        <v>11</v>
      </c>
      <c r="U340" s="138">
        <f t="shared" si="512"/>
        <v>36</v>
      </c>
      <c r="W340" s="139">
        <f t="shared" ref="W340:AA340" si="680">J340/$I340</f>
        <v>0.53387850467289721</v>
      </c>
      <c r="X340" s="139">
        <f t="shared" si="680"/>
        <v>0.40771028037383178</v>
      </c>
      <c r="Y340" s="139">
        <f t="shared" si="680"/>
        <v>0</v>
      </c>
      <c r="Z340" s="139">
        <f t="shared" si="680"/>
        <v>0</v>
      </c>
      <c r="AA340" s="139">
        <f t="shared" si="680"/>
        <v>1.6355140186915886E-2</v>
      </c>
      <c r="AB340" s="139"/>
      <c r="AC340" s="139">
        <f t="shared" si="514"/>
        <v>4.2056074766355138E-2</v>
      </c>
      <c r="AD340" s="139">
        <f t="shared" ref="AD340:AI340" si="681">O340/$I340</f>
        <v>2.3364485981308409E-3</v>
      </c>
      <c r="AE340" s="139">
        <f t="shared" si="681"/>
        <v>0</v>
      </c>
      <c r="AF340" s="139">
        <f t="shared" si="681"/>
        <v>0</v>
      </c>
      <c r="AG340" s="139">
        <f t="shared" si="681"/>
        <v>0</v>
      </c>
      <c r="AH340" s="139">
        <f t="shared" si="681"/>
        <v>2.6869158878504672E-2</v>
      </c>
      <c r="AI340" s="139">
        <f t="shared" si="681"/>
        <v>1.2850467289719626E-2</v>
      </c>
    </row>
    <row r="341" spans="2:35">
      <c r="B341" s="138" t="s">
        <v>8077</v>
      </c>
      <c r="C341" s="138" t="s">
        <v>4367</v>
      </c>
      <c r="D341" s="138" t="s">
        <v>792</v>
      </c>
      <c r="E341" s="138" t="s">
        <v>8119</v>
      </c>
      <c r="F341" s="138" t="s">
        <v>8119</v>
      </c>
      <c r="H341" s="138">
        <v>91</v>
      </c>
      <c r="I341" s="138">
        <v>500</v>
      </c>
      <c r="J341" s="138">
        <v>261</v>
      </c>
      <c r="K341" s="138">
        <v>212</v>
      </c>
      <c r="N341" s="138">
        <v>7</v>
      </c>
      <c r="O341" s="138">
        <v>2</v>
      </c>
      <c r="S341" s="138">
        <v>15</v>
      </c>
      <c r="T341" s="138">
        <v>3</v>
      </c>
      <c r="U341" s="138">
        <f t="shared" si="512"/>
        <v>20</v>
      </c>
      <c r="W341" s="139">
        <f t="shared" ref="W341:AA341" si="682">J341/$I341</f>
        <v>0.52200000000000002</v>
      </c>
      <c r="X341" s="139">
        <f t="shared" si="682"/>
        <v>0.42399999999999999</v>
      </c>
      <c r="Y341" s="139">
        <f t="shared" si="682"/>
        <v>0</v>
      </c>
      <c r="Z341" s="139">
        <f t="shared" si="682"/>
        <v>0</v>
      </c>
      <c r="AA341" s="139">
        <f t="shared" si="682"/>
        <v>1.4E-2</v>
      </c>
      <c r="AB341" s="139"/>
      <c r="AC341" s="139">
        <f t="shared" si="514"/>
        <v>0.04</v>
      </c>
      <c r="AD341" s="139">
        <f t="shared" ref="AD341:AI341" si="683">O341/$I341</f>
        <v>4.0000000000000001E-3</v>
      </c>
      <c r="AE341" s="139">
        <f t="shared" si="683"/>
        <v>0</v>
      </c>
      <c r="AF341" s="139">
        <f t="shared" si="683"/>
        <v>0</v>
      </c>
      <c r="AG341" s="139">
        <f t="shared" si="683"/>
        <v>0</v>
      </c>
      <c r="AH341" s="139">
        <f t="shared" si="683"/>
        <v>0.03</v>
      </c>
      <c r="AI341" s="139">
        <f t="shared" si="683"/>
        <v>6.0000000000000001E-3</v>
      </c>
    </row>
    <row r="342" spans="2:35">
      <c r="B342" s="138" t="s">
        <v>8077</v>
      </c>
      <c r="C342" s="138" t="s">
        <v>4367</v>
      </c>
      <c r="D342" s="138" t="s">
        <v>792</v>
      </c>
      <c r="E342" s="138" t="s">
        <v>8119</v>
      </c>
      <c r="F342" s="138" t="s">
        <v>8119</v>
      </c>
      <c r="H342" s="138">
        <v>92</v>
      </c>
      <c r="I342" s="138">
        <v>1175</v>
      </c>
      <c r="J342" s="138">
        <v>847</v>
      </c>
      <c r="K342" s="138">
        <v>260</v>
      </c>
      <c r="N342" s="138">
        <v>10</v>
      </c>
      <c r="O342" s="138">
        <v>4</v>
      </c>
      <c r="S342" s="138">
        <v>36</v>
      </c>
      <c r="T342" s="138">
        <v>18</v>
      </c>
      <c r="U342" s="138">
        <f t="shared" si="512"/>
        <v>58</v>
      </c>
      <c r="W342" s="139">
        <f t="shared" ref="W342:AA342" si="684">J342/$I342</f>
        <v>0.72085106382978725</v>
      </c>
      <c r="X342" s="139">
        <f t="shared" si="684"/>
        <v>0.22127659574468084</v>
      </c>
      <c r="Y342" s="139">
        <f t="shared" si="684"/>
        <v>0</v>
      </c>
      <c r="Z342" s="139">
        <f t="shared" si="684"/>
        <v>0</v>
      </c>
      <c r="AA342" s="139">
        <f t="shared" si="684"/>
        <v>8.5106382978723406E-3</v>
      </c>
      <c r="AB342" s="139"/>
      <c r="AC342" s="139">
        <f t="shared" si="514"/>
        <v>4.9361702127659578E-2</v>
      </c>
      <c r="AD342" s="139">
        <f t="shared" ref="AD342:AI342" si="685">O342/$I342</f>
        <v>3.4042553191489361E-3</v>
      </c>
      <c r="AE342" s="139">
        <f t="shared" si="685"/>
        <v>0</v>
      </c>
      <c r="AF342" s="139">
        <f t="shared" si="685"/>
        <v>0</v>
      </c>
      <c r="AG342" s="139">
        <f t="shared" si="685"/>
        <v>0</v>
      </c>
      <c r="AH342" s="139">
        <f t="shared" si="685"/>
        <v>3.0638297872340424E-2</v>
      </c>
      <c r="AI342" s="139">
        <f t="shared" si="685"/>
        <v>1.5319148936170212E-2</v>
      </c>
    </row>
    <row r="343" spans="2:35">
      <c r="B343" s="138" t="s">
        <v>8077</v>
      </c>
      <c r="C343" s="138" t="s">
        <v>4367</v>
      </c>
      <c r="D343" s="138" t="s">
        <v>792</v>
      </c>
      <c r="E343" s="138" t="s">
        <v>8119</v>
      </c>
      <c r="F343" s="138" t="s">
        <v>8119</v>
      </c>
      <c r="H343" s="138">
        <v>93</v>
      </c>
      <c r="I343" s="138">
        <v>1053</v>
      </c>
      <c r="J343" s="138">
        <v>738</v>
      </c>
      <c r="K343" s="138">
        <v>279</v>
      </c>
      <c r="N343" s="138">
        <v>8</v>
      </c>
      <c r="O343" s="138">
        <v>3</v>
      </c>
      <c r="S343" s="138">
        <v>22</v>
      </c>
      <c r="T343" s="138">
        <v>3</v>
      </c>
      <c r="U343" s="138">
        <f t="shared" si="512"/>
        <v>28</v>
      </c>
      <c r="W343" s="139">
        <f t="shared" ref="W343:AA343" si="686">J343/$I343</f>
        <v>0.70085470085470081</v>
      </c>
      <c r="X343" s="139">
        <f t="shared" si="686"/>
        <v>0.26495726495726496</v>
      </c>
      <c r="Y343" s="139">
        <f t="shared" si="686"/>
        <v>0</v>
      </c>
      <c r="Z343" s="139">
        <f t="shared" si="686"/>
        <v>0</v>
      </c>
      <c r="AA343" s="139">
        <f t="shared" si="686"/>
        <v>7.5973409306742644E-3</v>
      </c>
      <c r="AB343" s="139"/>
      <c r="AC343" s="139">
        <f t="shared" si="514"/>
        <v>2.6590693257359924E-2</v>
      </c>
      <c r="AD343" s="139">
        <f t="shared" ref="AD343:AI343" si="687">O343/$I343</f>
        <v>2.8490028490028491E-3</v>
      </c>
      <c r="AE343" s="139">
        <f t="shared" si="687"/>
        <v>0</v>
      </c>
      <c r="AF343" s="139">
        <f t="shared" si="687"/>
        <v>0</v>
      </c>
      <c r="AG343" s="139">
        <f t="shared" si="687"/>
        <v>0</v>
      </c>
      <c r="AH343" s="139">
        <f t="shared" si="687"/>
        <v>2.0892687559354226E-2</v>
      </c>
      <c r="AI343" s="139">
        <f t="shared" si="687"/>
        <v>2.8490028490028491E-3</v>
      </c>
    </row>
    <row r="344" spans="2:35">
      <c r="B344" s="138" t="s">
        <v>8077</v>
      </c>
      <c r="C344" s="138" t="s">
        <v>4367</v>
      </c>
      <c r="D344" s="138" t="s">
        <v>792</v>
      </c>
      <c r="E344" s="138" t="s">
        <v>8119</v>
      </c>
      <c r="F344" s="138" t="s">
        <v>8119</v>
      </c>
      <c r="H344" s="138">
        <v>94</v>
      </c>
      <c r="I344" s="138">
        <v>1073</v>
      </c>
      <c r="J344" s="138">
        <v>760</v>
      </c>
      <c r="K344" s="138">
        <v>251</v>
      </c>
      <c r="N344" s="138">
        <v>9</v>
      </c>
      <c r="O344" s="138">
        <v>3</v>
      </c>
      <c r="S344" s="138">
        <v>42</v>
      </c>
      <c r="T344" s="138">
        <v>8</v>
      </c>
      <c r="U344" s="138">
        <f t="shared" si="512"/>
        <v>53</v>
      </c>
      <c r="W344" s="139">
        <f t="shared" ref="W344:AA344" si="688">J344/$I344</f>
        <v>0.70829450139794969</v>
      </c>
      <c r="X344" s="139">
        <f t="shared" si="688"/>
        <v>0.23392357875116496</v>
      </c>
      <c r="Y344" s="139">
        <f t="shared" si="688"/>
        <v>0</v>
      </c>
      <c r="Z344" s="139">
        <f t="shared" si="688"/>
        <v>0</v>
      </c>
      <c r="AA344" s="139">
        <f t="shared" si="688"/>
        <v>8.3876980428704562E-3</v>
      </c>
      <c r="AB344" s="139"/>
      <c r="AC344" s="139">
        <f t="shared" si="514"/>
        <v>4.9394221808014914E-2</v>
      </c>
      <c r="AD344" s="139">
        <f t="shared" ref="AD344:AI344" si="689">O344/$I344</f>
        <v>2.7958993476234857E-3</v>
      </c>
      <c r="AE344" s="139">
        <f t="shared" si="689"/>
        <v>0</v>
      </c>
      <c r="AF344" s="139">
        <f t="shared" si="689"/>
        <v>0</v>
      </c>
      <c r="AG344" s="139">
        <f t="shared" si="689"/>
        <v>0</v>
      </c>
      <c r="AH344" s="139">
        <f t="shared" si="689"/>
        <v>3.9142590866728798E-2</v>
      </c>
      <c r="AI344" s="139">
        <f t="shared" si="689"/>
        <v>7.4557315936626279E-3</v>
      </c>
    </row>
    <row r="345" spans="2:35">
      <c r="B345" s="138" t="s">
        <v>8077</v>
      </c>
      <c r="C345" s="138" t="s">
        <v>4367</v>
      </c>
      <c r="D345" s="138" t="s">
        <v>792</v>
      </c>
      <c r="E345" s="138" t="s">
        <v>8119</v>
      </c>
      <c r="F345" s="138" t="s">
        <v>8119</v>
      </c>
      <c r="H345" s="138">
        <v>95</v>
      </c>
      <c r="I345" s="138">
        <v>1007</v>
      </c>
      <c r="J345" s="138">
        <v>695</v>
      </c>
      <c r="K345" s="138">
        <v>268</v>
      </c>
      <c r="N345" s="138">
        <v>11</v>
      </c>
      <c r="O345" s="138">
        <v>3</v>
      </c>
      <c r="S345" s="138">
        <v>27</v>
      </c>
      <c r="T345" s="138">
        <v>3</v>
      </c>
      <c r="U345" s="138">
        <f t="shared" si="512"/>
        <v>33</v>
      </c>
      <c r="W345" s="139">
        <f t="shared" ref="W345:AA345" si="690">J345/$I345</f>
        <v>0.69016881827209531</v>
      </c>
      <c r="X345" s="139">
        <f t="shared" si="690"/>
        <v>0.26613704071499505</v>
      </c>
      <c r="Y345" s="139">
        <f t="shared" si="690"/>
        <v>0</v>
      </c>
      <c r="Z345" s="139">
        <f t="shared" si="690"/>
        <v>0</v>
      </c>
      <c r="AA345" s="139">
        <f t="shared" si="690"/>
        <v>1.0923535253227408E-2</v>
      </c>
      <c r="AB345" s="139"/>
      <c r="AC345" s="139">
        <f t="shared" si="514"/>
        <v>3.2770605759682221E-2</v>
      </c>
      <c r="AD345" s="139">
        <f t="shared" ref="AD345:AI345" si="691">O345/$I345</f>
        <v>2.9791459781529296E-3</v>
      </c>
      <c r="AE345" s="139">
        <f t="shared" si="691"/>
        <v>0</v>
      </c>
      <c r="AF345" s="139">
        <f t="shared" si="691"/>
        <v>0</v>
      </c>
      <c r="AG345" s="139">
        <f t="shared" si="691"/>
        <v>0</v>
      </c>
      <c r="AH345" s="139">
        <f t="shared" si="691"/>
        <v>2.6812313803376366E-2</v>
      </c>
      <c r="AI345" s="139">
        <f t="shared" si="691"/>
        <v>2.9791459781529296E-3</v>
      </c>
    </row>
    <row r="346" spans="2:35">
      <c r="B346" s="138" t="s">
        <v>8077</v>
      </c>
      <c r="C346" s="138" t="s">
        <v>4367</v>
      </c>
      <c r="D346" s="138" t="s">
        <v>792</v>
      </c>
      <c r="E346" s="138" t="s">
        <v>8119</v>
      </c>
      <c r="F346" s="138" t="s">
        <v>8119</v>
      </c>
      <c r="H346" s="138">
        <v>96</v>
      </c>
      <c r="I346" s="138">
        <v>1096</v>
      </c>
      <c r="J346" s="138">
        <v>699</v>
      </c>
      <c r="K346" s="138">
        <v>322</v>
      </c>
      <c r="N346" s="138">
        <v>15</v>
      </c>
      <c r="O346" s="138">
        <v>4</v>
      </c>
      <c r="S346" s="138">
        <v>46</v>
      </c>
      <c r="T346" s="138">
        <v>10</v>
      </c>
      <c r="U346" s="138">
        <f t="shared" si="512"/>
        <v>60</v>
      </c>
      <c r="W346" s="139">
        <f t="shared" ref="W346:AA346" si="692">J346/$I346</f>
        <v>0.63777372262773724</v>
      </c>
      <c r="X346" s="139">
        <f t="shared" si="692"/>
        <v>0.29379562043795621</v>
      </c>
      <c r="Y346" s="139">
        <f t="shared" si="692"/>
        <v>0</v>
      </c>
      <c r="Z346" s="139">
        <f t="shared" si="692"/>
        <v>0</v>
      </c>
      <c r="AA346" s="139">
        <f t="shared" si="692"/>
        <v>1.3686131386861315E-2</v>
      </c>
      <c r="AB346" s="139"/>
      <c r="AC346" s="139">
        <f t="shared" si="514"/>
        <v>5.4744525547445258E-2</v>
      </c>
      <c r="AD346" s="139">
        <f t="shared" ref="AD346:AI346" si="693">O346/$I346</f>
        <v>3.6496350364963502E-3</v>
      </c>
      <c r="AE346" s="139">
        <f t="shared" si="693"/>
        <v>0</v>
      </c>
      <c r="AF346" s="139">
        <f t="shared" si="693"/>
        <v>0</v>
      </c>
      <c r="AG346" s="139">
        <f t="shared" si="693"/>
        <v>0</v>
      </c>
      <c r="AH346" s="139">
        <f t="shared" si="693"/>
        <v>4.1970802919708027E-2</v>
      </c>
      <c r="AI346" s="139">
        <f t="shared" si="693"/>
        <v>9.1240875912408752E-3</v>
      </c>
    </row>
    <row r="347" spans="2:35">
      <c r="B347" s="138" t="s">
        <v>8077</v>
      </c>
      <c r="C347" s="138" t="s">
        <v>4367</v>
      </c>
      <c r="D347" s="138" t="s">
        <v>792</v>
      </c>
      <c r="E347" s="138" t="s">
        <v>8119</v>
      </c>
      <c r="F347" s="138" t="s">
        <v>8119</v>
      </c>
      <c r="H347" s="138">
        <v>97</v>
      </c>
      <c r="I347" s="138">
        <v>1174</v>
      </c>
      <c r="J347" s="138">
        <v>772</v>
      </c>
      <c r="K347" s="138">
        <v>327</v>
      </c>
      <c r="N347" s="138">
        <v>11</v>
      </c>
      <c r="O347" s="138">
        <v>8</v>
      </c>
      <c r="S347" s="138">
        <v>44</v>
      </c>
      <c r="T347" s="138">
        <v>12</v>
      </c>
      <c r="U347" s="138">
        <f t="shared" si="512"/>
        <v>64</v>
      </c>
      <c r="W347" s="139">
        <f t="shared" ref="W347:AA347" si="694">J347/$I347</f>
        <v>0.65758091993185686</v>
      </c>
      <c r="X347" s="139">
        <f t="shared" si="694"/>
        <v>0.27853492333901192</v>
      </c>
      <c r="Y347" s="139">
        <f t="shared" si="694"/>
        <v>0</v>
      </c>
      <c r="Z347" s="139">
        <f t="shared" si="694"/>
        <v>0</v>
      </c>
      <c r="AA347" s="139">
        <f t="shared" si="694"/>
        <v>9.3696763202725727E-3</v>
      </c>
      <c r="AB347" s="139"/>
      <c r="AC347" s="139">
        <f t="shared" si="514"/>
        <v>5.4514480408858604E-2</v>
      </c>
      <c r="AD347" s="139">
        <f t="shared" ref="AD347:AI347" si="695">O347/$I347</f>
        <v>6.8143100511073255E-3</v>
      </c>
      <c r="AE347" s="139">
        <f t="shared" si="695"/>
        <v>0</v>
      </c>
      <c r="AF347" s="139">
        <f t="shared" si="695"/>
        <v>0</v>
      </c>
      <c r="AG347" s="139">
        <f t="shared" si="695"/>
        <v>0</v>
      </c>
      <c r="AH347" s="139">
        <f t="shared" si="695"/>
        <v>3.7478705281090291E-2</v>
      </c>
      <c r="AI347" s="139">
        <f t="shared" si="695"/>
        <v>1.0221465076660987E-2</v>
      </c>
    </row>
    <row r="348" spans="2:35">
      <c r="B348" s="138" t="s">
        <v>8077</v>
      </c>
      <c r="C348" s="138" t="s">
        <v>4367</v>
      </c>
      <c r="D348" s="138" t="s">
        <v>792</v>
      </c>
      <c r="E348" s="138" t="s">
        <v>8119</v>
      </c>
      <c r="F348" s="138" t="s">
        <v>8119</v>
      </c>
      <c r="H348" s="138">
        <v>98</v>
      </c>
      <c r="I348" s="138">
        <v>643</v>
      </c>
      <c r="J348" s="138">
        <v>357</v>
      </c>
      <c r="K348" s="138">
        <v>255</v>
      </c>
      <c r="N348" s="138">
        <v>8</v>
      </c>
      <c r="O348" s="138">
        <v>1</v>
      </c>
      <c r="S348" s="138">
        <v>22</v>
      </c>
      <c r="T348" s="138">
        <v>0</v>
      </c>
      <c r="U348" s="138">
        <f t="shared" si="512"/>
        <v>23</v>
      </c>
      <c r="W348" s="139">
        <f t="shared" ref="W348:AA348" si="696">J348/$I348</f>
        <v>0.55520995334370138</v>
      </c>
      <c r="X348" s="139">
        <f t="shared" si="696"/>
        <v>0.39657853810264387</v>
      </c>
      <c r="Y348" s="139">
        <f t="shared" si="696"/>
        <v>0</v>
      </c>
      <c r="Z348" s="139">
        <f t="shared" si="696"/>
        <v>0</v>
      </c>
      <c r="AA348" s="139">
        <f t="shared" si="696"/>
        <v>1.2441679626749611E-2</v>
      </c>
      <c r="AB348" s="139"/>
      <c r="AC348" s="139">
        <f t="shared" si="514"/>
        <v>3.5769828926905133E-2</v>
      </c>
      <c r="AD348" s="139">
        <f t="shared" ref="AD348:AI348" si="697">O348/$I348</f>
        <v>1.5552099533437014E-3</v>
      </c>
      <c r="AE348" s="139">
        <f t="shared" si="697"/>
        <v>0</v>
      </c>
      <c r="AF348" s="139">
        <f t="shared" si="697"/>
        <v>0</v>
      </c>
      <c r="AG348" s="139">
        <f t="shared" si="697"/>
        <v>0</v>
      </c>
      <c r="AH348" s="139">
        <f t="shared" si="697"/>
        <v>3.4214618973561428E-2</v>
      </c>
      <c r="AI348" s="139">
        <f t="shared" si="697"/>
        <v>0</v>
      </c>
    </row>
    <row r="349" spans="2:35">
      <c r="B349" s="138" t="s">
        <v>8077</v>
      </c>
      <c r="C349" s="138" t="s">
        <v>4367</v>
      </c>
      <c r="D349" s="138" t="s">
        <v>792</v>
      </c>
      <c r="E349" s="138" t="s">
        <v>8119</v>
      </c>
      <c r="F349" s="138" t="s">
        <v>8119</v>
      </c>
      <c r="H349" s="138">
        <v>99</v>
      </c>
      <c r="I349" s="138">
        <v>453</v>
      </c>
      <c r="J349" s="138">
        <v>298</v>
      </c>
      <c r="K349" s="138">
        <v>136</v>
      </c>
      <c r="N349" s="138">
        <v>3</v>
      </c>
      <c r="O349" s="138">
        <v>2</v>
      </c>
      <c r="S349" s="138">
        <v>13</v>
      </c>
      <c r="T349" s="138">
        <v>1</v>
      </c>
      <c r="U349" s="138">
        <f t="shared" si="512"/>
        <v>16</v>
      </c>
      <c r="W349" s="139">
        <f t="shared" ref="W349:AA349" si="698">J349/$I349</f>
        <v>0.65783664459161151</v>
      </c>
      <c r="X349" s="139">
        <f t="shared" si="698"/>
        <v>0.30022075055187636</v>
      </c>
      <c r="Y349" s="139">
        <f t="shared" si="698"/>
        <v>0</v>
      </c>
      <c r="Z349" s="139">
        <f t="shared" si="698"/>
        <v>0</v>
      </c>
      <c r="AA349" s="139">
        <f t="shared" si="698"/>
        <v>6.6225165562913907E-3</v>
      </c>
      <c r="AB349" s="139"/>
      <c r="AC349" s="139">
        <f t="shared" si="514"/>
        <v>3.5320088300220751E-2</v>
      </c>
      <c r="AD349" s="139">
        <f t="shared" ref="AD349:AI349" si="699">O349/$I349</f>
        <v>4.4150110375275938E-3</v>
      </c>
      <c r="AE349" s="139">
        <f t="shared" si="699"/>
        <v>0</v>
      </c>
      <c r="AF349" s="139">
        <f t="shared" si="699"/>
        <v>0</v>
      </c>
      <c r="AG349" s="139">
        <f t="shared" si="699"/>
        <v>0</v>
      </c>
      <c r="AH349" s="139">
        <f t="shared" si="699"/>
        <v>2.8697571743929361E-2</v>
      </c>
      <c r="AI349" s="139">
        <f t="shared" si="699"/>
        <v>2.2075055187637969E-3</v>
      </c>
    </row>
    <row r="350" spans="2:35">
      <c r="B350" s="138" t="s">
        <v>8077</v>
      </c>
      <c r="C350" s="138" t="s">
        <v>4367</v>
      </c>
      <c r="D350" s="138" t="s">
        <v>792</v>
      </c>
      <c r="E350" s="138" t="s">
        <v>8119</v>
      </c>
      <c r="F350" s="138" t="s">
        <v>8119</v>
      </c>
      <c r="H350" s="138">
        <v>100</v>
      </c>
      <c r="I350" s="138">
        <v>507</v>
      </c>
      <c r="J350" s="138">
        <v>339</v>
      </c>
      <c r="K350" s="138">
        <v>144</v>
      </c>
      <c r="N350" s="138">
        <v>11</v>
      </c>
      <c r="O350" s="138">
        <v>1</v>
      </c>
      <c r="S350" s="138">
        <v>7</v>
      </c>
      <c r="T350" s="138">
        <v>5</v>
      </c>
      <c r="U350" s="138">
        <f t="shared" si="512"/>
        <v>13</v>
      </c>
      <c r="W350" s="139">
        <f t="shared" ref="W350:AA350" si="700">J350/$I350</f>
        <v>0.66863905325443784</v>
      </c>
      <c r="X350" s="139">
        <f t="shared" si="700"/>
        <v>0.28402366863905326</v>
      </c>
      <c r="Y350" s="139">
        <f t="shared" si="700"/>
        <v>0</v>
      </c>
      <c r="Z350" s="139">
        <f t="shared" si="700"/>
        <v>0</v>
      </c>
      <c r="AA350" s="139">
        <f t="shared" si="700"/>
        <v>2.1696252465483234E-2</v>
      </c>
      <c r="AB350" s="139"/>
      <c r="AC350" s="139">
        <f t="shared" si="514"/>
        <v>2.564102564102564E-2</v>
      </c>
      <c r="AD350" s="139">
        <f t="shared" ref="AD350:AI350" si="701">O350/$I350</f>
        <v>1.9723865877712033E-3</v>
      </c>
      <c r="AE350" s="139">
        <f t="shared" si="701"/>
        <v>0</v>
      </c>
      <c r="AF350" s="139">
        <f t="shared" si="701"/>
        <v>0</v>
      </c>
      <c r="AG350" s="139">
        <f t="shared" si="701"/>
        <v>0</v>
      </c>
      <c r="AH350" s="139">
        <f t="shared" si="701"/>
        <v>1.3806706114398421E-2</v>
      </c>
      <c r="AI350" s="139">
        <f t="shared" si="701"/>
        <v>9.8619329388560158E-3</v>
      </c>
    </row>
    <row r="351" spans="2:35">
      <c r="B351" s="138" t="s">
        <v>8077</v>
      </c>
      <c r="C351" s="138" t="s">
        <v>4367</v>
      </c>
      <c r="D351" s="138" t="s">
        <v>792</v>
      </c>
      <c r="E351" s="138" t="s">
        <v>8119</v>
      </c>
      <c r="F351" s="138" t="s">
        <v>8119</v>
      </c>
      <c r="H351" s="138">
        <v>101</v>
      </c>
      <c r="I351" s="138">
        <v>519</v>
      </c>
      <c r="J351" s="138">
        <v>322</v>
      </c>
      <c r="K351" s="138">
        <v>178</v>
      </c>
      <c r="N351" s="138">
        <v>9</v>
      </c>
      <c r="O351" s="138">
        <v>3</v>
      </c>
      <c r="S351" s="138">
        <v>6</v>
      </c>
      <c r="T351" s="138">
        <v>1</v>
      </c>
      <c r="U351" s="138">
        <f t="shared" si="512"/>
        <v>10</v>
      </c>
      <c r="W351" s="139">
        <f t="shared" ref="W351:AA351" si="702">J351/$I351</f>
        <v>0.62042389210019266</v>
      </c>
      <c r="X351" s="139">
        <f t="shared" si="702"/>
        <v>0.34296724470134876</v>
      </c>
      <c r="Y351" s="139">
        <f t="shared" si="702"/>
        <v>0</v>
      </c>
      <c r="Z351" s="139">
        <f t="shared" si="702"/>
        <v>0</v>
      </c>
      <c r="AA351" s="139">
        <f t="shared" si="702"/>
        <v>1.7341040462427744E-2</v>
      </c>
      <c r="AB351" s="139"/>
      <c r="AC351" s="139">
        <f t="shared" si="514"/>
        <v>1.9267822736030827E-2</v>
      </c>
      <c r="AD351" s="139">
        <f t="shared" ref="AD351:AI351" si="703">O351/$I351</f>
        <v>5.7803468208092483E-3</v>
      </c>
      <c r="AE351" s="139">
        <f t="shared" si="703"/>
        <v>0</v>
      </c>
      <c r="AF351" s="139">
        <f t="shared" si="703"/>
        <v>0</v>
      </c>
      <c r="AG351" s="139">
        <f t="shared" si="703"/>
        <v>0</v>
      </c>
      <c r="AH351" s="139">
        <f t="shared" si="703"/>
        <v>1.1560693641618497E-2</v>
      </c>
      <c r="AI351" s="139">
        <f t="shared" si="703"/>
        <v>1.9267822736030828E-3</v>
      </c>
    </row>
    <row r="352" spans="2:35">
      <c r="B352" s="138" t="s">
        <v>8077</v>
      </c>
      <c r="C352" s="138" t="s">
        <v>4367</v>
      </c>
      <c r="D352" s="138" t="s">
        <v>792</v>
      </c>
      <c r="E352" s="138" t="s">
        <v>8119</v>
      </c>
      <c r="F352" s="138" t="s">
        <v>8119</v>
      </c>
      <c r="H352" s="138">
        <v>102</v>
      </c>
      <c r="I352" s="138">
        <v>407</v>
      </c>
      <c r="J352" s="138">
        <v>209</v>
      </c>
      <c r="K352" s="138">
        <v>178</v>
      </c>
      <c r="N352" s="138">
        <v>7</v>
      </c>
      <c r="O352" s="138">
        <v>1</v>
      </c>
      <c r="S352" s="138">
        <v>8</v>
      </c>
      <c r="T352" s="138">
        <v>4</v>
      </c>
      <c r="U352" s="138">
        <f t="shared" si="512"/>
        <v>13</v>
      </c>
      <c r="W352" s="139">
        <f t="shared" ref="W352:AA352" si="704">J352/$I352</f>
        <v>0.51351351351351349</v>
      </c>
      <c r="X352" s="139">
        <f t="shared" si="704"/>
        <v>0.43734643734643736</v>
      </c>
      <c r="Y352" s="139">
        <f t="shared" si="704"/>
        <v>0</v>
      </c>
      <c r="Z352" s="139">
        <f t="shared" si="704"/>
        <v>0</v>
      </c>
      <c r="AA352" s="139">
        <f t="shared" si="704"/>
        <v>1.7199017199017199E-2</v>
      </c>
      <c r="AB352" s="139"/>
      <c r="AC352" s="139">
        <f t="shared" si="514"/>
        <v>3.1941031941031942E-2</v>
      </c>
      <c r="AD352" s="139">
        <f t="shared" ref="AD352:AI352" si="705">O352/$I352</f>
        <v>2.4570024570024569E-3</v>
      </c>
      <c r="AE352" s="139">
        <f t="shared" si="705"/>
        <v>0</v>
      </c>
      <c r="AF352" s="139">
        <f t="shared" si="705"/>
        <v>0</v>
      </c>
      <c r="AG352" s="139">
        <f t="shared" si="705"/>
        <v>0</v>
      </c>
      <c r="AH352" s="139">
        <f t="shared" si="705"/>
        <v>1.9656019656019656E-2</v>
      </c>
      <c r="AI352" s="139">
        <f t="shared" si="705"/>
        <v>9.8280098280098278E-3</v>
      </c>
    </row>
    <row r="353" spans="2:35">
      <c r="B353" s="138" t="s">
        <v>8077</v>
      </c>
      <c r="C353" s="138" t="s">
        <v>4367</v>
      </c>
      <c r="D353" s="138" t="s">
        <v>792</v>
      </c>
      <c r="E353" s="138" t="s">
        <v>8119</v>
      </c>
      <c r="F353" s="138" t="s">
        <v>8119</v>
      </c>
      <c r="H353" s="138">
        <v>103</v>
      </c>
      <c r="I353" s="138">
        <v>874</v>
      </c>
      <c r="J353" s="138">
        <v>350</v>
      </c>
      <c r="K353" s="138">
        <v>483</v>
      </c>
      <c r="N353" s="138">
        <v>24</v>
      </c>
      <c r="O353" s="138">
        <v>2</v>
      </c>
      <c r="S353" s="138">
        <v>8</v>
      </c>
      <c r="T353" s="138">
        <v>7</v>
      </c>
      <c r="U353" s="138">
        <f t="shared" si="512"/>
        <v>17</v>
      </c>
      <c r="W353" s="139">
        <f t="shared" ref="W353:AA353" si="706">J353/$I353</f>
        <v>0.40045766590389015</v>
      </c>
      <c r="X353" s="139">
        <f t="shared" si="706"/>
        <v>0.55263157894736847</v>
      </c>
      <c r="Y353" s="139">
        <f t="shared" si="706"/>
        <v>0</v>
      </c>
      <c r="Z353" s="139">
        <f t="shared" si="706"/>
        <v>0</v>
      </c>
      <c r="AA353" s="139">
        <f t="shared" si="706"/>
        <v>2.7459954233409609E-2</v>
      </c>
      <c r="AB353" s="139"/>
      <c r="AC353" s="139">
        <f t="shared" si="514"/>
        <v>1.9450800915331808E-2</v>
      </c>
      <c r="AD353" s="139">
        <f t="shared" ref="AD353:AI353" si="707">O353/$I353</f>
        <v>2.2883295194508009E-3</v>
      </c>
      <c r="AE353" s="139">
        <f t="shared" si="707"/>
        <v>0</v>
      </c>
      <c r="AF353" s="139">
        <f t="shared" si="707"/>
        <v>0</v>
      </c>
      <c r="AG353" s="139">
        <f t="shared" si="707"/>
        <v>0</v>
      </c>
      <c r="AH353" s="139">
        <f t="shared" si="707"/>
        <v>9.1533180778032037E-3</v>
      </c>
      <c r="AI353" s="139">
        <f t="shared" si="707"/>
        <v>8.0091533180778034E-3</v>
      </c>
    </row>
    <row r="354" spans="2:35">
      <c r="B354" s="138" t="s">
        <v>8077</v>
      </c>
      <c r="C354" s="138" t="s">
        <v>4367</v>
      </c>
      <c r="D354" s="138" t="s">
        <v>792</v>
      </c>
      <c r="E354" s="138" t="s">
        <v>8119</v>
      </c>
      <c r="F354" s="138" t="s">
        <v>8119</v>
      </c>
      <c r="H354" s="138">
        <v>104</v>
      </c>
      <c r="I354" s="138">
        <v>657</v>
      </c>
      <c r="J354" s="138">
        <v>313</v>
      </c>
      <c r="K354" s="138">
        <v>311</v>
      </c>
      <c r="N354" s="138">
        <v>20</v>
      </c>
      <c r="O354" s="138">
        <v>1</v>
      </c>
      <c r="S354" s="138">
        <v>8</v>
      </c>
      <c r="T354" s="138">
        <v>4</v>
      </c>
      <c r="U354" s="138">
        <f t="shared" si="512"/>
        <v>13</v>
      </c>
      <c r="W354" s="139">
        <f t="shared" ref="W354:AA354" si="708">J354/$I354</f>
        <v>0.47640791476407912</v>
      </c>
      <c r="X354" s="139">
        <f t="shared" si="708"/>
        <v>0.47336377473363772</v>
      </c>
      <c r="Y354" s="139">
        <f t="shared" si="708"/>
        <v>0</v>
      </c>
      <c r="Z354" s="139">
        <f t="shared" si="708"/>
        <v>0</v>
      </c>
      <c r="AA354" s="139">
        <f t="shared" si="708"/>
        <v>3.0441400304414001E-2</v>
      </c>
      <c r="AB354" s="139"/>
      <c r="AC354" s="139">
        <f t="shared" si="514"/>
        <v>1.9786910197869101E-2</v>
      </c>
      <c r="AD354" s="139">
        <f t="shared" ref="AD354:AI354" si="709">O354/$I354</f>
        <v>1.5220700152207001E-3</v>
      </c>
      <c r="AE354" s="139">
        <f t="shared" si="709"/>
        <v>0</v>
      </c>
      <c r="AF354" s="139">
        <f t="shared" si="709"/>
        <v>0</v>
      </c>
      <c r="AG354" s="139">
        <f t="shared" si="709"/>
        <v>0</v>
      </c>
      <c r="AH354" s="139">
        <f t="shared" si="709"/>
        <v>1.2176560121765601E-2</v>
      </c>
      <c r="AI354" s="139">
        <f t="shared" si="709"/>
        <v>6.0882800608828003E-3</v>
      </c>
    </row>
    <row r="355" spans="2:35">
      <c r="B355" s="138" t="s">
        <v>8077</v>
      </c>
      <c r="C355" s="138" t="s">
        <v>4367</v>
      </c>
      <c r="D355" s="138" t="s">
        <v>792</v>
      </c>
      <c r="E355" s="138" t="s">
        <v>8119</v>
      </c>
      <c r="F355" s="138" t="s">
        <v>8119</v>
      </c>
      <c r="H355" s="138">
        <v>105</v>
      </c>
      <c r="I355" s="138">
        <v>560</v>
      </c>
      <c r="J355" s="138">
        <v>311</v>
      </c>
      <c r="K355" s="138">
        <v>218</v>
      </c>
      <c r="N355" s="138">
        <v>15</v>
      </c>
      <c r="O355" s="138">
        <v>0</v>
      </c>
      <c r="S355" s="138">
        <v>11</v>
      </c>
      <c r="T355" s="138">
        <v>5</v>
      </c>
      <c r="U355" s="138">
        <f t="shared" si="512"/>
        <v>16</v>
      </c>
      <c r="W355" s="139">
        <f t="shared" ref="W355:AA355" si="710">J355/$I355</f>
        <v>0.55535714285714288</v>
      </c>
      <c r="X355" s="139">
        <f t="shared" si="710"/>
        <v>0.38928571428571429</v>
      </c>
      <c r="Y355" s="139">
        <f t="shared" si="710"/>
        <v>0</v>
      </c>
      <c r="Z355" s="139">
        <f t="shared" si="710"/>
        <v>0</v>
      </c>
      <c r="AA355" s="139">
        <f t="shared" si="710"/>
        <v>2.6785714285714284E-2</v>
      </c>
      <c r="AB355" s="139"/>
      <c r="AC355" s="139">
        <f t="shared" si="514"/>
        <v>2.8571428571428571E-2</v>
      </c>
      <c r="AD355" s="139">
        <f t="shared" ref="AD355:AI355" si="711">O355/$I355</f>
        <v>0</v>
      </c>
      <c r="AE355" s="139">
        <f t="shared" si="711"/>
        <v>0</v>
      </c>
      <c r="AF355" s="139">
        <f t="shared" si="711"/>
        <v>0</v>
      </c>
      <c r="AG355" s="139">
        <f t="shared" si="711"/>
        <v>0</v>
      </c>
      <c r="AH355" s="139">
        <f t="shared" si="711"/>
        <v>1.9642857142857142E-2</v>
      </c>
      <c r="AI355" s="139">
        <f t="shared" si="711"/>
        <v>8.9285714285714281E-3</v>
      </c>
    </row>
    <row r="356" spans="2:35">
      <c r="B356" s="138" t="s">
        <v>8077</v>
      </c>
      <c r="C356" s="138" t="s">
        <v>4367</v>
      </c>
      <c r="D356" s="138" t="s">
        <v>792</v>
      </c>
      <c r="E356" s="138" t="s">
        <v>8119</v>
      </c>
      <c r="F356" s="138" t="s">
        <v>8119</v>
      </c>
      <c r="H356" s="138">
        <v>106</v>
      </c>
      <c r="I356" s="138">
        <v>628</v>
      </c>
      <c r="J356" s="138">
        <v>355</v>
      </c>
      <c r="K356" s="138">
        <v>241</v>
      </c>
      <c r="N356" s="138">
        <v>10</v>
      </c>
      <c r="O356" s="138">
        <v>2</v>
      </c>
      <c r="S356" s="138">
        <v>16</v>
      </c>
      <c r="T356" s="138">
        <v>4</v>
      </c>
      <c r="U356" s="138">
        <f t="shared" si="512"/>
        <v>22</v>
      </c>
      <c r="W356" s="139">
        <f t="shared" ref="W356:AA356" si="712">J356/$I356</f>
        <v>0.5652866242038217</v>
      </c>
      <c r="X356" s="139">
        <f t="shared" si="712"/>
        <v>0.38375796178343952</v>
      </c>
      <c r="Y356" s="139">
        <f t="shared" si="712"/>
        <v>0</v>
      </c>
      <c r="Z356" s="139">
        <f t="shared" si="712"/>
        <v>0</v>
      </c>
      <c r="AA356" s="139">
        <f t="shared" si="712"/>
        <v>1.5923566878980892E-2</v>
      </c>
      <c r="AB356" s="139"/>
      <c r="AC356" s="139">
        <f t="shared" si="514"/>
        <v>3.5031847133757961E-2</v>
      </c>
      <c r="AD356" s="139">
        <f t="shared" ref="AD356:AI356" si="713">O356/$I356</f>
        <v>3.1847133757961785E-3</v>
      </c>
      <c r="AE356" s="139">
        <f t="shared" si="713"/>
        <v>0</v>
      </c>
      <c r="AF356" s="139">
        <f t="shared" si="713"/>
        <v>0</v>
      </c>
      <c r="AG356" s="139">
        <f t="shared" si="713"/>
        <v>0</v>
      </c>
      <c r="AH356" s="139">
        <f t="shared" si="713"/>
        <v>2.5477707006369428E-2</v>
      </c>
      <c r="AI356" s="139">
        <f t="shared" si="713"/>
        <v>6.369426751592357E-3</v>
      </c>
    </row>
    <row r="357" spans="2:35">
      <c r="B357" s="138" t="s">
        <v>8077</v>
      </c>
      <c r="C357" s="138" t="s">
        <v>4367</v>
      </c>
      <c r="D357" s="138" t="s">
        <v>792</v>
      </c>
      <c r="E357" s="138" t="s">
        <v>8119</v>
      </c>
      <c r="F357" s="138" t="s">
        <v>8119</v>
      </c>
      <c r="H357" s="138">
        <v>107</v>
      </c>
      <c r="I357" s="138">
        <v>540</v>
      </c>
      <c r="J357" s="138">
        <v>312</v>
      </c>
      <c r="K357" s="138">
        <v>217</v>
      </c>
      <c r="N357" s="138">
        <v>4</v>
      </c>
      <c r="O357" s="138">
        <v>0</v>
      </c>
      <c r="S357" s="138">
        <v>5</v>
      </c>
      <c r="T357" s="138">
        <v>2</v>
      </c>
      <c r="U357" s="138">
        <f t="shared" si="512"/>
        <v>7</v>
      </c>
      <c r="W357" s="139">
        <f t="shared" ref="W357:AA357" si="714">J357/$I357</f>
        <v>0.57777777777777772</v>
      </c>
      <c r="X357" s="139">
        <f t="shared" si="714"/>
        <v>0.40185185185185185</v>
      </c>
      <c r="Y357" s="139">
        <f t="shared" si="714"/>
        <v>0</v>
      </c>
      <c r="Z357" s="139">
        <f t="shared" si="714"/>
        <v>0</v>
      </c>
      <c r="AA357" s="139">
        <f t="shared" si="714"/>
        <v>7.4074074074074077E-3</v>
      </c>
      <c r="AB357" s="139"/>
      <c r="AC357" s="139">
        <f t="shared" si="514"/>
        <v>1.2962962962962963E-2</v>
      </c>
      <c r="AD357" s="139">
        <f t="shared" ref="AD357:AI357" si="715">O357/$I357</f>
        <v>0</v>
      </c>
      <c r="AE357" s="139">
        <f t="shared" si="715"/>
        <v>0</v>
      </c>
      <c r="AF357" s="139">
        <f t="shared" si="715"/>
        <v>0</v>
      </c>
      <c r="AG357" s="139">
        <f t="shared" si="715"/>
        <v>0</v>
      </c>
      <c r="AH357" s="139">
        <f t="shared" si="715"/>
        <v>9.2592592592592587E-3</v>
      </c>
      <c r="AI357" s="139">
        <f t="shared" si="715"/>
        <v>3.7037037037037038E-3</v>
      </c>
    </row>
    <row r="358" spans="2:35">
      <c r="B358" s="138" t="s">
        <v>8077</v>
      </c>
      <c r="C358" s="138" t="s">
        <v>4367</v>
      </c>
      <c r="D358" s="138" t="s">
        <v>792</v>
      </c>
      <c r="E358" s="138" t="s">
        <v>8119</v>
      </c>
      <c r="F358" s="138" t="s">
        <v>8119</v>
      </c>
      <c r="H358" s="138">
        <v>108</v>
      </c>
      <c r="I358" s="138">
        <v>595</v>
      </c>
      <c r="J358" s="138">
        <v>317</v>
      </c>
      <c r="K358" s="138">
        <v>256</v>
      </c>
      <c r="N358" s="138">
        <v>11</v>
      </c>
      <c r="O358" s="138">
        <v>2</v>
      </c>
      <c r="S358" s="138">
        <v>5</v>
      </c>
      <c r="T358" s="138">
        <v>4</v>
      </c>
      <c r="U358" s="138">
        <f t="shared" si="512"/>
        <v>11</v>
      </c>
      <c r="W358" s="139">
        <f t="shared" ref="W358:AA358" si="716">J358/$I358</f>
        <v>0.53277310924369747</v>
      </c>
      <c r="X358" s="139">
        <f t="shared" si="716"/>
        <v>0.43025210084033616</v>
      </c>
      <c r="Y358" s="139">
        <f t="shared" si="716"/>
        <v>0</v>
      </c>
      <c r="Z358" s="139">
        <f t="shared" si="716"/>
        <v>0</v>
      </c>
      <c r="AA358" s="139">
        <f t="shared" si="716"/>
        <v>1.8487394957983194E-2</v>
      </c>
      <c r="AB358" s="139"/>
      <c r="AC358" s="139">
        <f t="shared" si="514"/>
        <v>1.8487394957983194E-2</v>
      </c>
      <c r="AD358" s="139">
        <f t="shared" ref="AD358:AI358" si="717">O358/$I358</f>
        <v>3.3613445378151263E-3</v>
      </c>
      <c r="AE358" s="139">
        <f t="shared" si="717"/>
        <v>0</v>
      </c>
      <c r="AF358" s="139">
        <f t="shared" si="717"/>
        <v>0</v>
      </c>
      <c r="AG358" s="139">
        <f t="shared" si="717"/>
        <v>0</v>
      </c>
      <c r="AH358" s="139">
        <f t="shared" si="717"/>
        <v>8.4033613445378148E-3</v>
      </c>
      <c r="AI358" s="139">
        <f t="shared" si="717"/>
        <v>6.7226890756302525E-3</v>
      </c>
    </row>
    <row r="359" spans="2:35">
      <c r="B359" s="138" t="s">
        <v>8077</v>
      </c>
      <c r="C359" s="138" t="s">
        <v>4367</v>
      </c>
      <c r="D359" s="138" t="s">
        <v>792</v>
      </c>
      <c r="E359" s="138" t="s">
        <v>8119</v>
      </c>
      <c r="F359" s="138" t="s">
        <v>8119</v>
      </c>
      <c r="H359" s="138">
        <v>109</v>
      </c>
      <c r="I359" s="138">
        <v>610</v>
      </c>
      <c r="J359" s="138">
        <v>339</v>
      </c>
      <c r="K359" s="138">
        <v>256</v>
      </c>
      <c r="N359" s="138">
        <v>7</v>
      </c>
      <c r="O359" s="138">
        <v>0</v>
      </c>
      <c r="S359" s="138">
        <v>4</v>
      </c>
      <c r="T359" s="138">
        <v>4</v>
      </c>
      <c r="U359" s="138">
        <f t="shared" si="512"/>
        <v>8</v>
      </c>
      <c r="W359" s="139">
        <f t="shared" ref="W359:AA359" si="718">J359/$I359</f>
        <v>0.55573770491803276</v>
      </c>
      <c r="X359" s="139">
        <f t="shared" si="718"/>
        <v>0.41967213114754098</v>
      </c>
      <c r="Y359" s="139">
        <f t="shared" si="718"/>
        <v>0</v>
      </c>
      <c r="Z359" s="139">
        <f t="shared" si="718"/>
        <v>0</v>
      </c>
      <c r="AA359" s="139">
        <f t="shared" si="718"/>
        <v>1.1475409836065573E-2</v>
      </c>
      <c r="AB359" s="139"/>
      <c r="AC359" s="139">
        <f t="shared" si="514"/>
        <v>1.3114754098360656E-2</v>
      </c>
      <c r="AD359" s="139">
        <f t="shared" ref="AD359:AI359" si="719">O359/$I359</f>
        <v>0</v>
      </c>
      <c r="AE359" s="139">
        <f t="shared" si="719"/>
        <v>0</v>
      </c>
      <c r="AF359" s="139">
        <f t="shared" si="719"/>
        <v>0</v>
      </c>
      <c r="AG359" s="139">
        <f t="shared" si="719"/>
        <v>0</v>
      </c>
      <c r="AH359" s="139">
        <f t="shared" si="719"/>
        <v>6.5573770491803279E-3</v>
      </c>
      <c r="AI359" s="139">
        <f t="shared" si="719"/>
        <v>6.5573770491803279E-3</v>
      </c>
    </row>
    <row r="360" spans="2:35">
      <c r="B360" s="138" t="s">
        <v>8077</v>
      </c>
      <c r="C360" s="138" t="s">
        <v>4367</v>
      </c>
      <c r="D360" s="138" t="s">
        <v>792</v>
      </c>
      <c r="E360" s="138" t="s">
        <v>8119</v>
      </c>
      <c r="F360" s="138" t="s">
        <v>8119</v>
      </c>
      <c r="H360" s="138">
        <v>110</v>
      </c>
      <c r="I360" s="138">
        <v>805</v>
      </c>
      <c r="J360" s="138">
        <v>443</v>
      </c>
      <c r="K360" s="138">
        <v>319</v>
      </c>
      <c r="N360" s="138">
        <v>6</v>
      </c>
      <c r="O360" s="138">
        <v>4</v>
      </c>
      <c r="S360" s="138">
        <v>30</v>
      </c>
      <c r="T360" s="138">
        <v>3</v>
      </c>
      <c r="U360" s="138">
        <f t="shared" si="512"/>
        <v>37</v>
      </c>
      <c r="W360" s="139">
        <f t="shared" ref="W360:AA360" si="720">J360/$I360</f>
        <v>0.55031055900621118</v>
      </c>
      <c r="X360" s="139">
        <f t="shared" si="720"/>
        <v>0.39627329192546584</v>
      </c>
      <c r="Y360" s="139">
        <f t="shared" si="720"/>
        <v>0</v>
      </c>
      <c r="Z360" s="139">
        <f t="shared" si="720"/>
        <v>0</v>
      </c>
      <c r="AA360" s="139">
        <f t="shared" si="720"/>
        <v>7.4534161490683228E-3</v>
      </c>
      <c r="AB360" s="139"/>
      <c r="AC360" s="139">
        <f t="shared" si="514"/>
        <v>4.5962732919254658E-2</v>
      </c>
      <c r="AD360" s="139">
        <f t="shared" ref="AD360:AI360" si="721">O360/$I360</f>
        <v>4.9689440993788822E-3</v>
      </c>
      <c r="AE360" s="139">
        <f t="shared" si="721"/>
        <v>0</v>
      </c>
      <c r="AF360" s="139">
        <f t="shared" si="721"/>
        <v>0</v>
      </c>
      <c r="AG360" s="139">
        <f t="shared" si="721"/>
        <v>0</v>
      </c>
      <c r="AH360" s="139">
        <f t="shared" si="721"/>
        <v>3.7267080745341616E-2</v>
      </c>
      <c r="AI360" s="139">
        <f t="shared" si="721"/>
        <v>3.7267080745341614E-3</v>
      </c>
    </row>
    <row r="361" spans="2:35">
      <c r="B361" s="138" t="s">
        <v>8077</v>
      </c>
      <c r="C361" s="138" t="s">
        <v>4367</v>
      </c>
      <c r="D361" s="138" t="s">
        <v>792</v>
      </c>
      <c r="E361" s="138" t="s">
        <v>8119</v>
      </c>
      <c r="F361" s="138" t="s">
        <v>8119</v>
      </c>
      <c r="H361" s="138">
        <v>111</v>
      </c>
      <c r="I361" s="138">
        <v>770</v>
      </c>
      <c r="J361" s="138">
        <v>424</v>
      </c>
      <c r="K361" s="138">
        <v>325</v>
      </c>
      <c r="N361" s="138">
        <v>4</v>
      </c>
      <c r="O361" s="138">
        <v>2</v>
      </c>
      <c r="S361" s="138">
        <v>13</v>
      </c>
      <c r="T361" s="138">
        <v>2</v>
      </c>
      <c r="U361" s="138">
        <f t="shared" si="512"/>
        <v>17</v>
      </c>
      <c r="W361" s="139">
        <f t="shared" ref="W361:AA361" si="722">J361/$I361</f>
        <v>0.55064935064935061</v>
      </c>
      <c r="X361" s="139">
        <f t="shared" si="722"/>
        <v>0.42207792207792205</v>
      </c>
      <c r="Y361" s="139">
        <f t="shared" si="722"/>
        <v>0</v>
      </c>
      <c r="Z361" s="139">
        <f t="shared" si="722"/>
        <v>0</v>
      </c>
      <c r="AA361" s="139">
        <f t="shared" si="722"/>
        <v>5.1948051948051948E-3</v>
      </c>
      <c r="AB361" s="139"/>
      <c r="AC361" s="139">
        <f t="shared" si="514"/>
        <v>2.2077922077922078E-2</v>
      </c>
      <c r="AD361" s="139">
        <f t="shared" ref="AD361:AI361" si="723">O361/$I361</f>
        <v>2.5974025974025974E-3</v>
      </c>
      <c r="AE361" s="139">
        <f t="shared" si="723"/>
        <v>0</v>
      </c>
      <c r="AF361" s="139">
        <f t="shared" si="723"/>
        <v>0</v>
      </c>
      <c r="AG361" s="139">
        <f t="shared" si="723"/>
        <v>0</v>
      </c>
      <c r="AH361" s="139">
        <f t="shared" si="723"/>
        <v>1.6883116883116882E-2</v>
      </c>
      <c r="AI361" s="139">
        <f t="shared" si="723"/>
        <v>2.5974025974025974E-3</v>
      </c>
    </row>
    <row r="362" spans="2:35">
      <c r="B362" s="138" t="s">
        <v>8077</v>
      </c>
      <c r="C362" s="138" t="s">
        <v>4367</v>
      </c>
      <c r="D362" s="138" t="s">
        <v>792</v>
      </c>
      <c r="E362" s="138" t="s">
        <v>8119</v>
      </c>
      <c r="F362" s="138" t="s">
        <v>8119</v>
      </c>
      <c r="H362" s="138">
        <v>112</v>
      </c>
      <c r="I362" s="138">
        <v>514</v>
      </c>
      <c r="J362" s="138">
        <v>291</v>
      </c>
      <c r="K362" s="138">
        <v>204</v>
      </c>
      <c r="N362" s="138">
        <v>10</v>
      </c>
      <c r="O362" s="138">
        <v>0</v>
      </c>
      <c r="S362" s="138">
        <v>5</v>
      </c>
      <c r="T362" s="138">
        <v>4</v>
      </c>
      <c r="U362" s="138">
        <f t="shared" si="512"/>
        <v>9</v>
      </c>
      <c r="W362" s="139">
        <f t="shared" ref="W362:AA362" si="724">J362/$I362</f>
        <v>0.56614785992217898</v>
      </c>
      <c r="X362" s="139">
        <f t="shared" si="724"/>
        <v>0.39688715953307391</v>
      </c>
      <c r="Y362" s="139">
        <f t="shared" si="724"/>
        <v>0</v>
      </c>
      <c r="Z362" s="139">
        <f t="shared" si="724"/>
        <v>0</v>
      </c>
      <c r="AA362" s="139">
        <f t="shared" si="724"/>
        <v>1.9455252918287938E-2</v>
      </c>
      <c r="AB362" s="139"/>
      <c r="AC362" s="139">
        <f t="shared" si="514"/>
        <v>1.7509727626459144E-2</v>
      </c>
      <c r="AD362" s="139">
        <f t="shared" ref="AD362:AI362" si="725">O362/$I362</f>
        <v>0</v>
      </c>
      <c r="AE362" s="139">
        <f t="shared" si="725"/>
        <v>0</v>
      </c>
      <c r="AF362" s="139">
        <f t="shared" si="725"/>
        <v>0</v>
      </c>
      <c r="AG362" s="139">
        <f t="shared" si="725"/>
        <v>0</v>
      </c>
      <c r="AH362" s="139">
        <f t="shared" si="725"/>
        <v>9.727626459143969E-3</v>
      </c>
      <c r="AI362" s="139">
        <f t="shared" si="725"/>
        <v>7.7821011673151752E-3</v>
      </c>
    </row>
    <row r="363" spans="2:35">
      <c r="B363" s="138" t="s">
        <v>8077</v>
      </c>
      <c r="C363" s="138" t="s">
        <v>4367</v>
      </c>
      <c r="D363" s="138" t="s">
        <v>792</v>
      </c>
      <c r="E363" s="138" t="s">
        <v>8119</v>
      </c>
      <c r="F363" s="138" t="s">
        <v>8119</v>
      </c>
      <c r="H363" s="138">
        <v>113</v>
      </c>
      <c r="I363" s="138">
        <v>612</v>
      </c>
      <c r="J363" s="138">
        <v>288</v>
      </c>
      <c r="K363" s="138">
        <v>297</v>
      </c>
      <c r="N363" s="138">
        <v>7</v>
      </c>
      <c r="O363" s="138">
        <v>2</v>
      </c>
      <c r="S363" s="138">
        <v>9</v>
      </c>
      <c r="T363" s="138">
        <v>9</v>
      </c>
      <c r="U363" s="138">
        <f t="shared" si="512"/>
        <v>20</v>
      </c>
      <c r="W363" s="139">
        <f t="shared" ref="W363:AA363" si="726">J363/$I363</f>
        <v>0.47058823529411764</v>
      </c>
      <c r="X363" s="139">
        <f t="shared" si="726"/>
        <v>0.48529411764705882</v>
      </c>
      <c r="Y363" s="139">
        <f t="shared" si="726"/>
        <v>0</v>
      </c>
      <c r="Z363" s="139">
        <f t="shared" si="726"/>
        <v>0</v>
      </c>
      <c r="AA363" s="139">
        <f t="shared" si="726"/>
        <v>1.1437908496732025E-2</v>
      </c>
      <c r="AB363" s="139"/>
      <c r="AC363" s="139">
        <f t="shared" si="514"/>
        <v>3.2679738562091505E-2</v>
      </c>
      <c r="AD363" s="139">
        <f t="shared" ref="AD363:AI363" si="727">O363/$I363</f>
        <v>3.2679738562091504E-3</v>
      </c>
      <c r="AE363" s="139">
        <f t="shared" si="727"/>
        <v>0</v>
      </c>
      <c r="AF363" s="139">
        <f t="shared" si="727"/>
        <v>0</v>
      </c>
      <c r="AG363" s="139">
        <f t="shared" si="727"/>
        <v>0</v>
      </c>
      <c r="AH363" s="139">
        <f t="shared" si="727"/>
        <v>1.4705882352941176E-2</v>
      </c>
      <c r="AI363" s="139">
        <f t="shared" si="727"/>
        <v>1.4705882352941176E-2</v>
      </c>
    </row>
    <row r="364" spans="2:35">
      <c r="B364" s="138" t="s">
        <v>8077</v>
      </c>
      <c r="C364" s="138" t="s">
        <v>4367</v>
      </c>
      <c r="D364" s="138" t="s">
        <v>792</v>
      </c>
      <c r="E364" s="138" t="s">
        <v>8119</v>
      </c>
      <c r="F364" s="138" t="s">
        <v>8119</v>
      </c>
      <c r="H364" s="138">
        <v>114</v>
      </c>
      <c r="I364" s="138">
        <v>603</v>
      </c>
      <c r="J364" s="138">
        <v>425</v>
      </c>
      <c r="K364" s="138">
        <v>151</v>
      </c>
      <c r="N364" s="138">
        <v>18</v>
      </c>
      <c r="O364" s="138">
        <v>0</v>
      </c>
      <c r="S364" s="138">
        <v>6</v>
      </c>
      <c r="T364" s="138">
        <v>3</v>
      </c>
      <c r="U364" s="138">
        <f t="shared" si="512"/>
        <v>9</v>
      </c>
      <c r="W364" s="139">
        <f t="shared" ref="W364:AA364" si="728">J364/$I364</f>
        <v>0.70480928689883915</v>
      </c>
      <c r="X364" s="139">
        <f t="shared" si="728"/>
        <v>0.25041459369817581</v>
      </c>
      <c r="Y364" s="139">
        <f t="shared" si="728"/>
        <v>0</v>
      </c>
      <c r="Z364" s="139">
        <f t="shared" si="728"/>
        <v>0</v>
      </c>
      <c r="AA364" s="139">
        <f t="shared" si="728"/>
        <v>2.9850746268656716E-2</v>
      </c>
      <c r="AB364" s="139"/>
      <c r="AC364" s="139">
        <f t="shared" si="514"/>
        <v>1.4925373134328358E-2</v>
      </c>
      <c r="AD364" s="139">
        <f t="shared" ref="AD364:AI364" si="729">O364/$I364</f>
        <v>0</v>
      </c>
      <c r="AE364" s="139">
        <f t="shared" si="729"/>
        <v>0</v>
      </c>
      <c r="AF364" s="139">
        <f t="shared" si="729"/>
        <v>0</v>
      </c>
      <c r="AG364" s="139">
        <f t="shared" si="729"/>
        <v>0</v>
      </c>
      <c r="AH364" s="139">
        <f t="shared" si="729"/>
        <v>9.9502487562189053E-3</v>
      </c>
      <c r="AI364" s="139">
        <f t="shared" si="729"/>
        <v>4.9751243781094526E-3</v>
      </c>
    </row>
    <row r="365" spans="2:35">
      <c r="B365" s="138" t="s">
        <v>8077</v>
      </c>
      <c r="C365" s="138" t="s">
        <v>4367</v>
      </c>
      <c r="D365" s="138" t="s">
        <v>792</v>
      </c>
      <c r="E365" s="138" t="s">
        <v>8119</v>
      </c>
      <c r="F365" s="138" t="s">
        <v>8119</v>
      </c>
      <c r="H365" s="138">
        <v>115</v>
      </c>
      <c r="I365" s="138">
        <v>771</v>
      </c>
      <c r="J365" s="138">
        <v>552</v>
      </c>
      <c r="K365" s="138">
        <v>186</v>
      </c>
      <c r="N365" s="138">
        <v>8</v>
      </c>
      <c r="O365" s="138">
        <v>2</v>
      </c>
      <c r="S365" s="138">
        <v>16</v>
      </c>
      <c r="T365" s="138">
        <v>7</v>
      </c>
      <c r="U365" s="138">
        <f t="shared" si="512"/>
        <v>25</v>
      </c>
      <c r="W365" s="139">
        <f t="shared" ref="W365:AA365" si="730">J365/$I365</f>
        <v>0.71595330739299612</v>
      </c>
      <c r="X365" s="139">
        <f t="shared" si="730"/>
        <v>0.24124513618677043</v>
      </c>
      <c r="Y365" s="139">
        <f t="shared" si="730"/>
        <v>0</v>
      </c>
      <c r="Z365" s="139">
        <f t="shared" si="730"/>
        <v>0</v>
      </c>
      <c r="AA365" s="139">
        <f t="shared" si="730"/>
        <v>1.0376134889753566E-2</v>
      </c>
      <c r="AB365" s="139"/>
      <c r="AC365" s="139">
        <f t="shared" si="514"/>
        <v>3.2425421530479899E-2</v>
      </c>
      <c r="AD365" s="139">
        <f t="shared" ref="AD365:AI365" si="731">O365/$I365</f>
        <v>2.5940337224383916E-3</v>
      </c>
      <c r="AE365" s="139">
        <f t="shared" si="731"/>
        <v>0</v>
      </c>
      <c r="AF365" s="139">
        <f t="shared" si="731"/>
        <v>0</v>
      </c>
      <c r="AG365" s="139">
        <f t="shared" si="731"/>
        <v>0</v>
      </c>
      <c r="AH365" s="139">
        <f t="shared" si="731"/>
        <v>2.0752269779507133E-2</v>
      </c>
      <c r="AI365" s="139">
        <f t="shared" si="731"/>
        <v>9.0791180285343717E-3</v>
      </c>
    </row>
    <row r="366" spans="2:35">
      <c r="B366" s="138" t="s">
        <v>8077</v>
      </c>
      <c r="C366" s="138" t="s">
        <v>4367</v>
      </c>
      <c r="D366" s="138" t="s">
        <v>792</v>
      </c>
      <c r="E366" s="138" t="s">
        <v>8119</v>
      </c>
      <c r="F366" s="138" t="s">
        <v>8119</v>
      </c>
      <c r="H366" s="138">
        <v>116</v>
      </c>
      <c r="I366" s="138">
        <v>716</v>
      </c>
      <c r="J366" s="138">
        <v>486</v>
      </c>
      <c r="K366" s="138">
        <v>204</v>
      </c>
      <c r="N366" s="138">
        <v>3</v>
      </c>
      <c r="O366" s="138">
        <v>0</v>
      </c>
      <c r="S366" s="138">
        <v>15</v>
      </c>
      <c r="T366" s="138">
        <v>8</v>
      </c>
      <c r="U366" s="138">
        <f t="shared" si="512"/>
        <v>23</v>
      </c>
      <c r="W366" s="139">
        <f t="shared" ref="W366:AA366" si="732">J366/$I366</f>
        <v>0.67877094972067042</v>
      </c>
      <c r="X366" s="139">
        <f t="shared" si="732"/>
        <v>0.28491620111731841</v>
      </c>
      <c r="Y366" s="139">
        <f t="shared" si="732"/>
        <v>0</v>
      </c>
      <c r="Z366" s="139">
        <f t="shared" si="732"/>
        <v>0</v>
      </c>
      <c r="AA366" s="139">
        <f t="shared" si="732"/>
        <v>4.1899441340782122E-3</v>
      </c>
      <c r="AB366" s="139"/>
      <c r="AC366" s="139">
        <f t="shared" si="514"/>
        <v>3.2122905027932962E-2</v>
      </c>
      <c r="AD366" s="139">
        <f t="shared" ref="AD366:AI366" si="733">O366/$I366</f>
        <v>0</v>
      </c>
      <c r="AE366" s="139">
        <f t="shared" si="733"/>
        <v>0</v>
      </c>
      <c r="AF366" s="139">
        <f t="shared" si="733"/>
        <v>0</v>
      </c>
      <c r="AG366" s="139">
        <f t="shared" si="733"/>
        <v>0</v>
      </c>
      <c r="AH366" s="139">
        <f t="shared" si="733"/>
        <v>2.094972067039106E-2</v>
      </c>
      <c r="AI366" s="139">
        <f t="shared" si="733"/>
        <v>1.11731843575419E-2</v>
      </c>
    </row>
    <row r="367" spans="2:35">
      <c r="B367" s="138" t="s">
        <v>8077</v>
      </c>
      <c r="C367" s="138" t="s">
        <v>4367</v>
      </c>
      <c r="D367" s="138" t="s">
        <v>792</v>
      </c>
      <c r="E367" s="138" t="s">
        <v>8119</v>
      </c>
      <c r="F367" s="138" t="s">
        <v>8119</v>
      </c>
      <c r="H367" s="138">
        <v>117</v>
      </c>
      <c r="I367" s="138">
        <v>763</v>
      </c>
      <c r="J367" s="138">
        <v>239</v>
      </c>
      <c r="K367" s="138">
        <v>485</v>
      </c>
      <c r="N367" s="138">
        <v>18</v>
      </c>
      <c r="O367" s="138">
        <v>0</v>
      </c>
      <c r="S367" s="138">
        <v>10</v>
      </c>
      <c r="T367" s="138">
        <v>11</v>
      </c>
      <c r="U367" s="138">
        <f t="shared" si="512"/>
        <v>21</v>
      </c>
      <c r="W367" s="139">
        <f t="shared" ref="W367:AA367" si="734">J367/$I367</f>
        <v>0.31323722149410221</v>
      </c>
      <c r="X367" s="139">
        <f t="shared" si="734"/>
        <v>0.63564875491480999</v>
      </c>
      <c r="Y367" s="139">
        <f t="shared" si="734"/>
        <v>0</v>
      </c>
      <c r="Z367" s="139">
        <f t="shared" si="734"/>
        <v>0</v>
      </c>
      <c r="AA367" s="139">
        <f t="shared" si="734"/>
        <v>2.3591087811271297E-2</v>
      </c>
      <c r="AB367" s="139"/>
      <c r="AC367" s="139">
        <f t="shared" si="514"/>
        <v>2.7522935779816515E-2</v>
      </c>
      <c r="AD367" s="139">
        <f t="shared" ref="AD367:AI367" si="735">O367/$I367</f>
        <v>0</v>
      </c>
      <c r="AE367" s="139">
        <f t="shared" si="735"/>
        <v>0</v>
      </c>
      <c r="AF367" s="139">
        <f t="shared" si="735"/>
        <v>0</v>
      </c>
      <c r="AG367" s="139">
        <f t="shared" si="735"/>
        <v>0</v>
      </c>
      <c r="AH367" s="139">
        <f t="shared" si="735"/>
        <v>1.310615989515072E-2</v>
      </c>
      <c r="AI367" s="139">
        <f t="shared" si="735"/>
        <v>1.4416775884665793E-2</v>
      </c>
    </row>
    <row r="368" spans="2:35">
      <c r="B368" s="138" t="s">
        <v>8077</v>
      </c>
      <c r="C368" s="138" t="s">
        <v>4367</v>
      </c>
      <c r="D368" s="138" t="s">
        <v>792</v>
      </c>
      <c r="E368" s="138" t="s">
        <v>8119</v>
      </c>
      <c r="F368" s="138" t="s">
        <v>8119</v>
      </c>
      <c r="H368" s="138">
        <v>118</v>
      </c>
      <c r="I368" s="138">
        <v>943</v>
      </c>
      <c r="J368" s="138">
        <v>625</v>
      </c>
      <c r="K368" s="138">
        <v>298</v>
      </c>
      <c r="N368" s="138">
        <v>3</v>
      </c>
      <c r="O368" s="138">
        <v>1</v>
      </c>
      <c r="S368" s="138">
        <v>13</v>
      </c>
      <c r="T368" s="138">
        <v>3</v>
      </c>
      <c r="U368" s="138">
        <f t="shared" si="512"/>
        <v>17</v>
      </c>
      <c r="W368" s="139">
        <f t="shared" ref="W368:AA368" si="736">J368/$I368</f>
        <v>0.66277836691410397</v>
      </c>
      <c r="X368" s="139">
        <f t="shared" si="736"/>
        <v>0.31601272534464475</v>
      </c>
      <c r="Y368" s="139">
        <f t="shared" si="736"/>
        <v>0</v>
      </c>
      <c r="Z368" s="139">
        <f t="shared" si="736"/>
        <v>0</v>
      </c>
      <c r="AA368" s="139">
        <f t="shared" si="736"/>
        <v>3.1813361611876989E-3</v>
      </c>
      <c r="AB368" s="139"/>
      <c r="AC368" s="139">
        <f t="shared" si="514"/>
        <v>1.8027571580063628E-2</v>
      </c>
      <c r="AD368" s="139">
        <f t="shared" ref="AD368:AI368" si="737">O368/$I368</f>
        <v>1.0604453870625664E-3</v>
      </c>
      <c r="AE368" s="139">
        <f t="shared" si="737"/>
        <v>0</v>
      </c>
      <c r="AF368" s="139">
        <f t="shared" si="737"/>
        <v>0</v>
      </c>
      <c r="AG368" s="139">
        <f t="shared" si="737"/>
        <v>0</v>
      </c>
      <c r="AH368" s="139">
        <f t="shared" si="737"/>
        <v>1.3785790031813362E-2</v>
      </c>
      <c r="AI368" s="139">
        <f t="shared" si="737"/>
        <v>3.1813361611876989E-3</v>
      </c>
    </row>
    <row r="369" spans="2:35">
      <c r="B369" s="138" t="s">
        <v>8077</v>
      </c>
      <c r="C369" s="138" t="s">
        <v>4367</v>
      </c>
      <c r="D369" s="138" t="s">
        <v>792</v>
      </c>
      <c r="E369" s="138" t="s">
        <v>8119</v>
      </c>
      <c r="F369" s="138" t="s">
        <v>8119</v>
      </c>
      <c r="H369" s="138">
        <v>119</v>
      </c>
      <c r="I369" s="138">
        <v>943</v>
      </c>
      <c r="J369" s="138">
        <v>502</v>
      </c>
      <c r="K369" s="138">
        <v>384</v>
      </c>
      <c r="N369" s="138">
        <v>13</v>
      </c>
      <c r="O369" s="138">
        <v>0</v>
      </c>
      <c r="S369" s="138">
        <v>29</v>
      </c>
      <c r="T369" s="138">
        <v>15</v>
      </c>
      <c r="U369" s="138">
        <f t="shared" si="512"/>
        <v>44</v>
      </c>
      <c r="W369" s="139">
        <f t="shared" ref="W369:AA369" si="738">J369/$I369</f>
        <v>0.53234358430540829</v>
      </c>
      <c r="X369" s="139">
        <f t="shared" si="738"/>
        <v>0.40721102863202546</v>
      </c>
      <c r="Y369" s="139">
        <f t="shared" si="738"/>
        <v>0</v>
      </c>
      <c r="Z369" s="139">
        <f t="shared" si="738"/>
        <v>0</v>
      </c>
      <c r="AA369" s="139">
        <f t="shared" si="738"/>
        <v>1.3785790031813362E-2</v>
      </c>
      <c r="AB369" s="139"/>
      <c r="AC369" s="139">
        <f t="shared" si="514"/>
        <v>4.6659597030752918E-2</v>
      </c>
      <c r="AD369" s="139">
        <f t="shared" ref="AD369:AI369" si="739">O369/$I369</f>
        <v>0</v>
      </c>
      <c r="AE369" s="139">
        <f t="shared" si="739"/>
        <v>0</v>
      </c>
      <c r="AF369" s="139">
        <f t="shared" si="739"/>
        <v>0</v>
      </c>
      <c r="AG369" s="139">
        <f t="shared" si="739"/>
        <v>0</v>
      </c>
      <c r="AH369" s="139">
        <f t="shared" si="739"/>
        <v>3.0752916224814422E-2</v>
      </c>
      <c r="AI369" s="139">
        <f t="shared" si="739"/>
        <v>1.5906680805938492E-2</v>
      </c>
    </row>
    <row r="370" spans="2:35">
      <c r="B370" s="138" t="s">
        <v>8077</v>
      </c>
      <c r="C370" s="138" t="s">
        <v>4367</v>
      </c>
      <c r="D370" s="138" t="s">
        <v>792</v>
      </c>
      <c r="E370" s="138" t="s">
        <v>8119</v>
      </c>
      <c r="F370" s="138" t="s">
        <v>8119</v>
      </c>
      <c r="H370" s="138">
        <v>120</v>
      </c>
      <c r="I370" s="138">
        <v>914</v>
      </c>
      <c r="J370" s="138">
        <v>697</v>
      </c>
      <c r="K370" s="138">
        <v>175</v>
      </c>
      <c r="N370" s="138">
        <v>4</v>
      </c>
      <c r="O370" s="138">
        <v>3</v>
      </c>
      <c r="S370" s="138">
        <v>31</v>
      </c>
      <c r="T370" s="138">
        <v>4</v>
      </c>
      <c r="U370" s="138">
        <f t="shared" si="512"/>
        <v>38</v>
      </c>
      <c r="W370" s="139">
        <f t="shared" ref="W370:AA370" si="740">J370/$I370</f>
        <v>0.76258205689277903</v>
      </c>
      <c r="X370" s="139">
        <f t="shared" si="740"/>
        <v>0.19146608315098468</v>
      </c>
      <c r="Y370" s="139">
        <f t="shared" si="740"/>
        <v>0</v>
      </c>
      <c r="Z370" s="139">
        <f t="shared" si="740"/>
        <v>0</v>
      </c>
      <c r="AA370" s="139">
        <f t="shared" si="740"/>
        <v>4.3763676148796497E-3</v>
      </c>
      <c r="AB370" s="139"/>
      <c r="AC370" s="139">
        <f t="shared" si="514"/>
        <v>4.1575492341356671E-2</v>
      </c>
      <c r="AD370" s="139">
        <f t="shared" ref="AD370:AI370" si="741">O370/$I370</f>
        <v>3.2822757111597373E-3</v>
      </c>
      <c r="AE370" s="139">
        <f t="shared" si="741"/>
        <v>0</v>
      </c>
      <c r="AF370" s="139">
        <f t="shared" si="741"/>
        <v>0</v>
      </c>
      <c r="AG370" s="139">
        <f t="shared" si="741"/>
        <v>0</v>
      </c>
      <c r="AH370" s="139">
        <f t="shared" si="741"/>
        <v>3.3916849015317288E-2</v>
      </c>
      <c r="AI370" s="139">
        <f t="shared" si="741"/>
        <v>4.3763676148796497E-3</v>
      </c>
    </row>
    <row r="371" spans="2:35">
      <c r="B371" s="138" t="s">
        <v>8077</v>
      </c>
      <c r="C371" s="138" t="s">
        <v>4367</v>
      </c>
      <c r="D371" s="138" t="s">
        <v>792</v>
      </c>
      <c r="E371" s="138" t="s">
        <v>8119</v>
      </c>
      <c r="F371" s="138" t="s">
        <v>8119</v>
      </c>
      <c r="H371" s="138">
        <v>121</v>
      </c>
      <c r="I371" s="138">
        <v>1023</v>
      </c>
      <c r="J371" s="138">
        <v>768</v>
      </c>
      <c r="K371" s="138">
        <v>205</v>
      </c>
      <c r="N371" s="138">
        <v>8</v>
      </c>
      <c r="O371" s="138">
        <v>3</v>
      </c>
      <c r="S371" s="138">
        <v>28</v>
      </c>
      <c r="T371" s="138">
        <v>11</v>
      </c>
      <c r="U371" s="138">
        <f t="shared" si="512"/>
        <v>42</v>
      </c>
      <c r="W371" s="139">
        <f t="shared" ref="W371:AA371" si="742">J371/$I371</f>
        <v>0.75073313782991202</v>
      </c>
      <c r="X371" s="139">
        <f t="shared" si="742"/>
        <v>0.20039100684261973</v>
      </c>
      <c r="Y371" s="139">
        <f t="shared" si="742"/>
        <v>0</v>
      </c>
      <c r="Z371" s="139">
        <f t="shared" si="742"/>
        <v>0</v>
      </c>
      <c r="AA371" s="139">
        <f t="shared" si="742"/>
        <v>7.8201368523949169E-3</v>
      </c>
      <c r="AB371" s="139"/>
      <c r="AC371" s="139">
        <f t="shared" si="514"/>
        <v>4.1055718475073312E-2</v>
      </c>
      <c r="AD371" s="139">
        <f t="shared" ref="AD371:AI371" si="743">O371/$I371</f>
        <v>2.9325513196480938E-3</v>
      </c>
      <c r="AE371" s="139">
        <f t="shared" si="743"/>
        <v>0</v>
      </c>
      <c r="AF371" s="139">
        <f t="shared" si="743"/>
        <v>0</v>
      </c>
      <c r="AG371" s="139">
        <f t="shared" si="743"/>
        <v>0</v>
      </c>
      <c r="AH371" s="139">
        <f t="shared" si="743"/>
        <v>2.7370478983382209E-2</v>
      </c>
      <c r="AI371" s="139">
        <f t="shared" si="743"/>
        <v>1.0752688172043012E-2</v>
      </c>
    </row>
    <row r="372" spans="2:35">
      <c r="B372" s="138" t="s">
        <v>8077</v>
      </c>
      <c r="C372" s="138" t="s">
        <v>4367</v>
      </c>
      <c r="D372" s="138" t="s">
        <v>792</v>
      </c>
      <c r="E372" s="138" t="s">
        <v>8119</v>
      </c>
      <c r="F372" s="138" t="s">
        <v>8119</v>
      </c>
      <c r="H372" s="138">
        <v>122</v>
      </c>
      <c r="I372" s="138">
        <v>500</v>
      </c>
      <c r="J372" s="138">
        <v>332</v>
      </c>
      <c r="K372" s="138">
        <v>142</v>
      </c>
      <c r="N372" s="138">
        <v>4</v>
      </c>
      <c r="O372" s="138">
        <v>1</v>
      </c>
      <c r="S372" s="138">
        <v>12</v>
      </c>
      <c r="T372" s="138">
        <v>9</v>
      </c>
      <c r="U372" s="138">
        <f t="shared" si="512"/>
        <v>22</v>
      </c>
      <c r="W372" s="139">
        <f t="shared" ref="W372:AA372" si="744">J372/$I372</f>
        <v>0.66400000000000003</v>
      </c>
      <c r="X372" s="139">
        <f t="shared" si="744"/>
        <v>0.28399999999999997</v>
      </c>
      <c r="Y372" s="139">
        <f t="shared" si="744"/>
        <v>0</v>
      </c>
      <c r="Z372" s="139">
        <f t="shared" si="744"/>
        <v>0</v>
      </c>
      <c r="AA372" s="139">
        <f t="shared" si="744"/>
        <v>8.0000000000000002E-3</v>
      </c>
      <c r="AB372" s="139"/>
      <c r="AC372" s="139">
        <f t="shared" si="514"/>
        <v>4.3999999999999997E-2</v>
      </c>
      <c r="AD372" s="139">
        <f t="shared" ref="AD372:AI372" si="745">O372/$I372</f>
        <v>2E-3</v>
      </c>
      <c r="AE372" s="139">
        <f t="shared" si="745"/>
        <v>0</v>
      </c>
      <c r="AF372" s="139">
        <f t="shared" si="745"/>
        <v>0</v>
      </c>
      <c r="AG372" s="139">
        <f t="shared" si="745"/>
        <v>0</v>
      </c>
      <c r="AH372" s="139">
        <f t="shared" si="745"/>
        <v>2.4E-2</v>
      </c>
      <c r="AI372" s="139">
        <f t="shared" si="745"/>
        <v>1.7999999999999999E-2</v>
      </c>
    </row>
    <row r="373" spans="2:35">
      <c r="B373" s="138" t="s">
        <v>8077</v>
      </c>
      <c r="C373" s="138" t="s">
        <v>4367</v>
      </c>
      <c r="D373" s="138" t="s">
        <v>792</v>
      </c>
      <c r="E373" s="138" t="s">
        <v>8119</v>
      </c>
      <c r="F373" s="138" t="s">
        <v>8119</v>
      </c>
      <c r="H373" s="138">
        <v>123</v>
      </c>
      <c r="I373" s="138">
        <v>411</v>
      </c>
      <c r="J373" s="138">
        <v>331</v>
      </c>
      <c r="K373" s="138">
        <v>71</v>
      </c>
      <c r="N373" s="138">
        <v>1</v>
      </c>
      <c r="O373" s="138">
        <v>1</v>
      </c>
      <c r="S373" s="138">
        <v>4</v>
      </c>
      <c r="T373" s="138">
        <v>3</v>
      </c>
      <c r="U373" s="138">
        <f t="shared" si="512"/>
        <v>8</v>
      </c>
      <c r="W373" s="139">
        <f t="shared" ref="W373:AA373" si="746">J373/$I373</f>
        <v>0.805352798053528</v>
      </c>
      <c r="X373" s="139">
        <f t="shared" si="746"/>
        <v>0.17274939172749393</v>
      </c>
      <c r="Y373" s="139">
        <f t="shared" si="746"/>
        <v>0</v>
      </c>
      <c r="Z373" s="139">
        <f t="shared" si="746"/>
        <v>0</v>
      </c>
      <c r="AA373" s="139">
        <f t="shared" si="746"/>
        <v>2.4330900243309003E-3</v>
      </c>
      <c r="AB373" s="139"/>
      <c r="AC373" s="139">
        <f t="shared" si="514"/>
        <v>1.9464720194647202E-2</v>
      </c>
      <c r="AD373" s="139">
        <f t="shared" ref="AD373:AI373" si="747">O373/$I373</f>
        <v>2.4330900243309003E-3</v>
      </c>
      <c r="AE373" s="139">
        <f t="shared" si="747"/>
        <v>0</v>
      </c>
      <c r="AF373" s="139">
        <f t="shared" si="747"/>
        <v>0</v>
      </c>
      <c r="AG373" s="139">
        <f t="shared" si="747"/>
        <v>0</v>
      </c>
      <c r="AH373" s="139">
        <f t="shared" si="747"/>
        <v>9.7323600973236012E-3</v>
      </c>
      <c r="AI373" s="139">
        <f t="shared" si="747"/>
        <v>7.2992700729927005E-3</v>
      </c>
    </row>
    <row r="374" spans="2:35">
      <c r="B374" s="138" t="s">
        <v>8077</v>
      </c>
      <c r="C374" s="138" t="s">
        <v>4367</v>
      </c>
      <c r="D374" s="138" t="s">
        <v>792</v>
      </c>
      <c r="E374" s="138" t="s">
        <v>8119</v>
      </c>
      <c r="F374" s="138" t="s">
        <v>8119</v>
      </c>
      <c r="H374" s="138">
        <v>124</v>
      </c>
      <c r="I374" s="138">
        <v>1047</v>
      </c>
      <c r="J374" s="138">
        <v>654</v>
      </c>
      <c r="K374" s="138">
        <v>319</v>
      </c>
      <c r="N374" s="138">
        <v>11</v>
      </c>
      <c r="O374" s="138">
        <v>8</v>
      </c>
      <c r="S374" s="138">
        <v>42</v>
      </c>
      <c r="T374" s="138">
        <v>13</v>
      </c>
      <c r="U374" s="138">
        <f t="shared" si="512"/>
        <v>63</v>
      </c>
      <c r="W374" s="139">
        <f t="shared" ref="W374:AA374" si="748">J374/$I374</f>
        <v>0.62464183381088823</v>
      </c>
      <c r="X374" s="139">
        <f t="shared" si="748"/>
        <v>0.30468003820439349</v>
      </c>
      <c r="Y374" s="139">
        <f t="shared" si="748"/>
        <v>0</v>
      </c>
      <c r="Z374" s="139">
        <f t="shared" si="748"/>
        <v>0</v>
      </c>
      <c r="AA374" s="139">
        <f t="shared" si="748"/>
        <v>1.0506208213944603E-2</v>
      </c>
      <c r="AB374" s="139"/>
      <c r="AC374" s="139">
        <f t="shared" si="514"/>
        <v>6.0171919770773637E-2</v>
      </c>
      <c r="AD374" s="139">
        <f t="shared" ref="AD374:AI374" si="749">O374/$I374</f>
        <v>7.6408787010506206E-3</v>
      </c>
      <c r="AE374" s="139">
        <f t="shared" si="749"/>
        <v>0</v>
      </c>
      <c r="AF374" s="139">
        <f t="shared" si="749"/>
        <v>0</v>
      </c>
      <c r="AG374" s="139">
        <f t="shared" si="749"/>
        <v>0</v>
      </c>
      <c r="AH374" s="139">
        <f t="shared" si="749"/>
        <v>4.0114613180515762E-2</v>
      </c>
      <c r="AI374" s="139">
        <f t="shared" si="749"/>
        <v>1.2416427889207259E-2</v>
      </c>
    </row>
    <row r="375" spans="2:35">
      <c r="B375" s="138" t="s">
        <v>8077</v>
      </c>
      <c r="C375" s="138" t="s">
        <v>4367</v>
      </c>
      <c r="D375" s="138" t="s">
        <v>792</v>
      </c>
      <c r="E375" s="138" t="s">
        <v>8119</v>
      </c>
      <c r="F375" s="138" t="s">
        <v>8119</v>
      </c>
      <c r="H375" s="138">
        <v>125</v>
      </c>
      <c r="I375" s="138">
        <v>958</v>
      </c>
      <c r="J375" s="138">
        <v>563</v>
      </c>
      <c r="K375" s="138">
        <v>339</v>
      </c>
      <c r="N375" s="138">
        <v>11</v>
      </c>
      <c r="O375" s="138">
        <v>4</v>
      </c>
      <c r="S375" s="138">
        <v>34</v>
      </c>
      <c r="T375" s="138">
        <v>7</v>
      </c>
      <c r="U375" s="138">
        <f t="shared" si="512"/>
        <v>45</v>
      </c>
      <c r="W375" s="139">
        <f t="shared" ref="W375:AA375" si="750">J375/$I375</f>
        <v>0.58768267223382042</v>
      </c>
      <c r="X375" s="139">
        <f t="shared" si="750"/>
        <v>0.35386221294363257</v>
      </c>
      <c r="Y375" s="139">
        <f t="shared" si="750"/>
        <v>0</v>
      </c>
      <c r="Z375" s="139">
        <f t="shared" si="750"/>
        <v>0</v>
      </c>
      <c r="AA375" s="139">
        <f t="shared" si="750"/>
        <v>1.1482254697286013E-2</v>
      </c>
      <c r="AB375" s="139"/>
      <c r="AC375" s="139">
        <f t="shared" si="514"/>
        <v>4.697286012526096E-2</v>
      </c>
      <c r="AD375" s="139">
        <f t="shared" ref="AD375:AI375" si="751">O375/$I375</f>
        <v>4.1753653444676405E-3</v>
      </c>
      <c r="AE375" s="139">
        <f t="shared" si="751"/>
        <v>0</v>
      </c>
      <c r="AF375" s="139">
        <f t="shared" si="751"/>
        <v>0</v>
      </c>
      <c r="AG375" s="139">
        <f t="shared" si="751"/>
        <v>0</v>
      </c>
      <c r="AH375" s="139">
        <f t="shared" si="751"/>
        <v>3.5490605427974949E-2</v>
      </c>
      <c r="AI375" s="139">
        <f t="shared" si="751"/>
        <v>7.3068893528183713E-3</v>
      </c>
    </row>
    <row r="376" spans="2:35">
      <c r="B376" s="138" t="s">
        <v>8077</v>
      </c>
      <c r="C376" s="138" t="s">
        <v>4367</v>
      </c>
      <c r="D376" s="138" t="s">
        <v>792</v>
      </c>
      <c r="E376" s="138" t="s">
        <v>8119</v>
      </c>
      <c r="F376" s="138" t="s">
        <v>8119</v>
      </c>
      <c r="H376" s="138">
        <v>126</v>
      </c>
      <c r="I376" s="138">
        <v>652</v>
      </c>
      <c r="J376" s="138">
        <v>422</v>
      </c>
      <c r="K376" s="138">
        <v>199</v>
      </c>
      <c r="N376" s="138">
        <v>7</v>
      </c>
      <c r="O376" s="138">
        <v>0</v>
      </c>
      <c r="S376" s="138">
        <v>18</v>
      </c>
      <c r="T376" s="138">
        <v>6</v>
      </c>
      <c r="U376" s="138">
        <f t="shared" si="512"/>
        <v>24</v>
      </c>
      <c r="W376" s="139">
        <f t="shared" ref="W376:AA376" si="752">J376/$I376</f>
        <v>0.64723926380368102</v>
      </c>
      <c r="X376" s="139">
        <f t="shared" si="752"/>
        <v>0.30521472392638038</v>
      </c>
      <c r="Y376" s="139">
        <f t="shared" si="752"/>
        <v>0</v>
      </c>
      <c r="Z376" s="139">
        <f t="shared" si="752"/>
        <v>0</v>
      </c>
      <c r="AA376" s="139">
        <f t="shared" si="752"/>
        <v>1.0736196319018405E-2</v>
      </c>
      <c r="AB376" s="139"/>
      <c r="AC376" s="139">
        <f t="shared" si="514"/>
        <v>3.6809815950920248E-2</v>
      </c>
      <c r="AD376" s="139">
        <f t="shared" ref="AD376:AI376" si="753">O376/$I376</f>
        <v>0</v>
      </c>
      <c r="AE376" s="139">
        <f t="shared" si="753"/>
        <v>0</v>
      </c>
      <c r="AF376" s="139">
        <f t="shared" si="753"/>
        <v>0</v>
      </c>
      <c r="AG376" s="139">
        <f t="shared" si="753"/>
        <v>0</v>
      </c>
      <c r="AH376" s="139">
        <f t="shared" si="753"/>
        <v>2.7607361963190184E-2</v>
      </c>
      <c r="AI376" s="139">
        <f t="shared" si="753"/>
        <v>9.202453987730062E-3</v>
      </c>
    </row>
    <row r="377" spans="2:35">
      <c r="B377" s="138" t="s">
        <v>8077</v>
      </c>
      <c r="C377" s="138" t="s">
        <v>4367</v>
      </c>
      <c r="D377" s="138" t="s">
        <v>792</v>
      </c>
      <c r="E377" s="138" t="s">
        <v>8119</v>
      </c>
      <c r="F377" s="138" t="s">
        <v>8119</v>
      </c>
      <c r="H377" s="138">
        <v>127</v>
      </c>
      <c r="I377" s="138">
        <v>734</v>
      </c>
      <c r="J377" s="138">
        <v>436</v>
      </c>
      <c r="K377" s="138">
        <v>241</v>
      </c>
      <c r="N377" s="138">
        <v>8</v>
      </c>
      <c r="O377" s="138">
        <v>2</v>
      </c>
      <c r="S377" s="138">
        <v>37</v>
      </c>
      <c r="T377" s="138">
        <v>10</v>
      </c>
      <c r="U377" s="138">
        <f t="shared" si="512"/>
        <v>49</v>
      </c>
      <c r="W377" s="139">
        <f t="shared" ref="W377:AA377" si="754">J377/$I377</f>
        <v>0.59400544959128065</v>
      </c>
      <c r="X377" s="139">
        <f t="shared" si="754"/>
        <v>0.32833787465940056</v>
      </c>
      <c r="Y377" s="139">
        <f t="shared" si="754"/>
        <v>0</v>
      </c>
      <c r="Z377" s="139">
        <f t="shared" si="754"/>
        <v>0</v>
      </c>
      <c r="AA377" s="139">
        <f t="shared" si="754"/>
        <v>1.0899182561307902E-2</v>
      </c>
      <c r="AB377" s="139"/>
      <c r="AC377" s="139">
        <f t="shared" si="514"/>
        <v>6.67574931880109E-2</v>
      </c>
      <c r="AD377" s="139">
        <f t="shared" ref="AD377:AI377" si="755">O377/$I377</f>
        <v>2.7247956403269754E-3</v>
      </c>
      <c r="AE377" s="139">
        <f t="shared" si="755"/>
        <v>0</v>
      </c>
      <c r="AF377" s="139">
        <f t="shared" si="755"/>
        <v>0</v>
      </c>
      <c r="AG377" s="139">
        <f t="shared" si="755"/>
        <v>0</v>
      </c>
      <c r="AH377" s="139">
        <f t="shared" si="755"/>
        <v>5.0408719346049048E-2</v>
      </c>
      <c r="AI377" s="139">
        <f t="shared" si="755"/>
        <v>1.3623978201634877E-2</v>
      </c>
    </row>
    <row r="378" spans="2:35">
      <c r="B378" s="138" t="s">
        <v>8077</v>
      </c>
      <c r="C378" s="138" t="s">
        <v>4367</v>
      </c>
      <c r="D378" s="138" t="s">
        <v>792</v>
      </c>
      <c r="E378" s="138" t="s">
        <v>8119</v>
      </c>
      <c r="F378" s="138" t="s">
        <v>8119</v>
      </c>
      <c r="H378" s="138">
        <v>128</v>
      </c>
      <c r="I378" s="138">
        <v>697</v>
      </c>
      <c r="J378" s="138">
        <v>433</v>
      </c>
      <c r="K378" s="138">
        <v>197</v>
      </c>
      <c r="N378" s="138">
        <v>7</v>
      </c>
      <c r="O378" s="138">
        <v>2</v>
      </c>
      <c r="S378" s="138">
        <v>47</v>
      </c>
      <c r="T378" s="138">
        <v>11</v>
      </c>
      <c r="U378" s="138">
        <f t="shared" si="512"/>
        <v>60</v>
      </c>
      <c r="W378" s="139">
        <f t="shared" ref="W378:AA378" si="756">J378/$I378</f>
        <v>0.62123385939741749</v>
      </c>
      <c r="X378" s="139">
        <f t="shared" si="756"/>
        <v>0.28263988522238165</v>
      </c>
      <c r="Y378" s="139">
        <f t="shared" si="756"/>
        <v>0</v>
      </c>
      <c r="Z378" s="139">
        <f t="shared" si="756"/>
        <v>0</v>
      </c>
      <c r="AA378" s="139">
        <f t="shared" si="756"/>
        <v>1.0043041606886656E-2</v>
      </c>
      <c r="AB378" s="139"/>
      <c r="AC378" s="139">
        <f t="shared" si="514"/>
        <v>8.608321377331421E-2</v>
      </c>
      <c r="AD378" s="139">
        <f t="shared" ref="AD378:AI378" si="757">O378/$I378</f>
        <v>2.8694404591104736E-3</v>
      </c>
      <c r="AE378" s="139">
        <f t="shared" si="757"/>
        <v>0</v>
      </c>
      <c r="AF378" s="139">
        <f t="shared" si="757"/>
        <v>0</v>
      </c>
      <c r="AG378" s="139">
        <f t="shared" si="757"/>
        <v>0</v>
      </c>
      <c r="AH378" s="139">
        <f t="shared" si="757"/>
        <v>6.7431850789096123E-2</v>
      </c>
      <c r="AI378" s="139">
        <f t="shared" si="757"/>
        <v>1.5781922525107604E-2</v>
      </c>
    </row>
    <row r="379" spans="2:35">
      <c r="B379" s="138" t="s">
        <v>8077</v>
      </c>
      <c r="C379" s="138" t="s">
        <v>4367</v>
      </c>
      <c r="D379" s="138" t="s">
        <v>792</v>
      </c>
      <c r="E379" s="138" t="s">
        <v>8119</v>
      </c>
      <c r="F379" s="138" t="s">
        <v>8119</v>
      </c>
      <c r="H379" s="138">
        <v>129</v>
      </c>
      <c r="I379" s="138">
        <v>826</v>
      </c>
      <c r="J379" s="138">
        <v>478</v>
      </c>
      <c r="K379" s="138">
        <v>307</v>
      </c>
      <c r="N379" s="138">
        <v>9</v>
      </c>
      <c r="O379" s="138">
        <v>5</v>
      </c>
      <c r="S379" s="138">
        <v>22</v>
      </c>
      <c r="T379" s="138">
        <v>5</v>
      </c>
      <c r="U379" s="138">
        <f t="shared" si="512"/>
        <v>32</v>
      </c>
      <c r="W379" s="139">
        <f t="shared" ref="W379:AA379" si="758">J379/$I379</f>
        <v>0.57869249394673128</v>
      </c>
      <c r="X379" s="139">
        <f t="shared" si="758"/>
        <v>0.37167070217917675</v>
      </c>
      <c r="Y379" s="139">
        <f t="shared" si="758"/>
        <v>0</v>
      </c>
      <c r="Z379" s="139">
        <f t="shared" si="758"/>
        <v>0</v>
      </c>
      <c r="AA379" s="139">
        <f t="shared" si="758"/>
        <v>1.0895883777239709E-2</v>
      </c>
      <c r="AB379" s="139"/>
      <c r="AC379" s="139">
        <f t="shared" si="514"/>
        <v>3.8740920096852302E-2</v>
      </c>
      <c r="AD379" s="139">
        <f t="shared" ref="AD379:AI379" si="759">O379/$I379</f>
        <v>6.0532687651331718E-3</v>
      </c>
      <c r="AE379" s="139">
        <f t="shared" si="759"/>
        <v>0</v>
      </c>
      <c r="AF379" s="139">
        <f t="shared" si="759"/>
        <v>0</v>
      </c>
      <c r="AG379" s="139">
        <f t="shared" si="759"/>
        <v>0</v>
      </c>
      <c r="AH379" s="139">
        <f t="shared" si="759"/>
        <v>2.6634382566585957E-2</v>
      </c>
      <c r="AI379" s="139">
        <f t="shared" si="759"/>
        <v>6.0532687651331718E-3</v>
      </c>
    </row>
    <row r="380" spans="2:35">
      <c r="B380" s="138" t="s">
        <v>8077</v>
      </c>
      <c r="C380" s="138" t="s">
        <v>4367</v>
      </c>
      <c r="D380" s="138" t="s">
        <v>792</v>
      </c>
      <c r="E380" s="138" t="s">
        <v>8119</v>
      </c>
      <c r="F380" s="138" t="s">
        <v>8119</v>
      </c>
      <c r="H380" s="138">
        <v>130</v>
      </c>
      <c r="I380" s="138">
        <v>894</v>
      </c>
      <c r="J380" s="138">
        <v>514</v>
      </c>
      <c r="K380" s="138">
        <v>336</v>
      </c>
      <c r="N380" s="138">
        <v>16</v>
      </c>
      <c r="O380" s="138">
        <v>1</v>
      </c>
      <c r="S380" s="138">
        <v>23</v>
      </c>
      <c r="T380" s="138">
        <v>4</v>
      </c>
      <c r="U380" s="138">
        <f t="shared" si="512"/>
        <v>28</v>
      </c>
      <c r="W380" s="139">
        <f t="shared" ref="W380:AA380" si="760">J380/$I380</f>
        <v>0.57494407158836691</v>
      </c>
      <c r="X380" s="139">
        <f t="shared" si="760"/>
        <v>0.37583892617449666</v>
      </c>
      <c r="Y380" s="139">
        <f t="shared" si="760"/>
        <v>0</v>
      </c>
      <c r="Z380" s="139">
        <f t="shared" si="760"/>
        <v>0</v>
      </c>
      <c r="AA380" s="139">
        <f t="shared" si="760"/>
        <v>1.7897091722595078E-2</v>
      </c>
      <c r="AB380" s="139"/>
      <c r="AC380" s="139">
        <f t="shared" si="514"/>
        <v>3.1319910514541388E-2</v>
      </c>
      <c r="AD380" s="139">
        <f t="shared" ref="AD380:AI380" si="761">O380/$I380</f>
        <v>1.1185682326621924E-3</v>
      </c>
      <c r="AE380" s="139">
        <f t="shared" si="761"/>
        <v>0</v>
      </c>
      <c r="AF380" s="139">
        <f t="shared" si="761"/>
        <v>0</v>
      </c>
      <c r="AG380" s="139">
        <f t="shared" si="761"/>
        <v>0</v>
      </c>
      <c r="AH380" s="139">
        <f t="shared" si="761"/>
        <v>2.5727069351230425E-2</v>
      </c>
      <c r="AI380" s="139">
        <f t="shared" si="761"/>
        <v>4.4742729306487695E-3</v>
      </c>
    </row>
    <row r="381" spans="2:35">
      <c r="B381" s="138" t="s">
        <v>8077</v>
      </c>
      <c r="C381" s="138" t="s">
        <v>4367</v>
      </c>
      <c r="D381" s="138" t="s">
        <v>792</v>
      </c>
      <c r="E381" s="138" t="s">
        <v>8119</v>
      </c>
      <c r="F381" s="138" t="s">
        <v>8119</v>
      </c>
      <c r="H381" s="138">
        <v>131</v>
      </c>
      <c r="I381" s="138">
        <v>939</v>
      </c>
      <c r="J381" s="138">
        <v>543</v>
      </c>
      <c r="K381" s="138">
        <v>341</v>
      </c>
      <c r="N381" s="138">
        <v>8</v>
      </c>
      <c r="O381" s="138">
        <v>0</v>
      </c>
      <c r="S381" s="138">
        <v>34</v>
      </c>
      <c r="T381" s="138">
        <v>13</v>
      </c>
      <c r="U381" s="138">
        <f t="shared" si="512"/>
        <v>47</v>
      </c>
      <c r="W381" s="139">
        <f t="shared" ref="W381:AA381" si="762">J381/$I381</f>
        <v>0.57827476038338654</v>
      </c>
      <c r="X381" s="139">
        <f t="shared" si="762"/>
        <v>0.36315228966986157</v>
      </c>
      <c r="Y381" s="139">
        <f t="shared" si="762"/>
        <v>0</v>
      </c>
      <c r="Z381" s="139">
        <f t="shared" si="762"/>
        <v>0</v>
      </c>
      <c r="AA381" s="139">
        <f t="shared" si="762"/>
        <v>8.5197018104366355E-3</v>
      </c>
      <c r="AB381" s="139"/>
      <c r="AC381" s="139">
        <f t="shared" si="514"/>
        <v>5.0053248136315232E-2</v>
      </c>
      <c r="AD381" s="139">
        <f t="shared" ref="AD381:AI381" si="763">O381/$I381</f>
        <v>0</v>
      </c>
      <c r="AE381" s="139">
        <f t="shared" si="763"/>
        <v>0</v>
      </c>
      <c r="AF381" s="139">
        <f t="shared" si="763"/>
        <v>0</v>
      </c>
      <c r="AG381" s="139">
        <f t="shared" si="763"/>
        <v>0</v>
      </c>
      <c r="AH381" s="139">
        <f t="shared" si="763"/>
        <v>3.6208732694355698E-2</v>
      </c>
      <c r="AI381" s="139">
        <f t="shared" si="763"/>
        <v>1.3844515441959531E-2</v>
      </c>
    </row>
    <row r="382" spans="2:35">
      <c r="B382" s="138" t="s">
        <v>8077</v>
      </c>
      <c r="C382" s="138" t="s">
        <v>4367</v>
      </c>
      <c r="D382" s="138" t="s">
        <v>792</v>
      </c>
      <c r="E382" s="138" t="s">
        <v>8119</v>
      </c>
      <c r="F382" s="138" t="s">
        <v>8119</v>
      </c>
      <c r="H382" s="138">
        <v>132</v>
      </c>
      <c r="I382" s="138">
        <v>1071</v>
      </c>
      <c r="J382" s="138">
        <v>595</v>
      </c>
      <c r="K382" s="138">
        <v>402</v>
      </c>
      <c r="N382" s="138">
        <v>19</v>
      </c>
      <c r="O382" s="138">
        <v>2</v>
      </c>
      <c r="S382" s="138">
        <v>37</v>
      </c>
      <c r="T382" s="138">
        <v>16</v>
      </c>
      <c r="U382" s="138">
        <f t="shared" si="512"/>
        <v>55</v>
      </c>
      <c r="W382" s="139">
        <f t="shared" ref="W382:AA382" si="764">J382/$I382</f>
        <v>0.55555555555555558</v>
      </c>
      <c r="X382" s="139">
        <f t="shared" si="764"/>
        <v>0.37535014005602241</v>
      </c>
      <c r="Y382" s="139">
        <f t="shared" si="764"/>
        <v>0</v>
      </c>
      <c r="Z382" s="139">
        <f t="shared" si="764"/>
        <v>0</v>
      </c>
      <c r="AA382" s="139">
        <f t="shared" si="764"/>
        <v>1.7740429505135387E-2</v>
      </c>
      <c r="AB382" s="139"/>
      <c r="AC382" s="139">
        <f t="shared" si="514"/>
        <v>5.1353874883286646E-2</v>
      </c>
      <c r="AD382" s="139">
        <f t="shared" ref="AD382:AI382" si="765">O382/$I382</f>
        <v>1.8674136321195146E-3</v>
      </c>
      <c r="AE382" s="139">
        <f t="shared" si="765"/>
        <v>0</v>
      </c>
      <c r="AF382" s="139">
        <f t="shared" si="765"/>
        <v>0</v>
      </c>
      <c r="AG382" s="139">
        <f t="shared" si="765"/>
        <v>0</v>
      </c>
      <c r="AH382" s="139">
        <f t="shared" si="765"/>
        <v>3.454715219421102E-2</v>
      </c>
      <c r="AI382" s="139">
        <f t="shared" si="765"/>
        <v>1.4939309056956116E-2</v>
      </c>
    </row>
    <row r="383" spans="2:35">
      <c r="B383" s="138" t="s">
        <v>8077</v>
      </c>
      <c r="C383" s="138" t="s">
        <v>4367</v>
      </c>
      <c r="D383" s="138" t="s">
        <v>792</v>
      </c>
      <c r="E383" s="138" t="s">
        <v>8119</v>
      </c>
      <c r="F383" s="138" t="s">
        <v>8119</v>
      </c>
      <c r="H383" s="138">
        <v>133</v>
      </c>
      <c r="I383" s="138">
        <v>669</v>
      </c>
      <c r="J383" s="138">
        <v>386</v>
      </c>
      <c r="K383" s="138">
        <v>250</v>
      </c>
      <c r="N383" s="138">
        <v>5</v>
      </c>
      <c r="O383" s="138">
        <v>3</v>
      </c>
      <c r="S383" s="138">
        <v>21</v>
      </c>
      <c r="T383" s="138">
        <v>4</v>
      </c>
      <c r="U383" s="138">
        <f t="shared" si="512"/>
        <v>28</v>
      </c>
      <c r="W383" s="139">
        <f t="shared" ref="W383:AA383" si="766">J383/$I383</f>
        <v>0.57698056801195818</v>
      </c>
      <c r="X383" s="139">
        <f t="shared" si="766"/>
        <v>0.37369207772795215</v>
      </c>
      <c r="Y383" s="139">
        <f t="shared" si="766"/>
        <v>0</v>
      </c>
      <c r="Z383" s="139">
        <f t="shared" si="766"/>
        <v>0</v>
      </c>
      <c r="AA383" s="139">
        <f t="shared" si="766"/>
        <v>7.4738415545590429E-3</v>
      </c>
      <c r="AB383" s="139"/>
      <c r="AC383" s="139">
        <f t="shared" si="514"/>
        <v>4.1853512705530643E-2</v>
      </c>
      <c r="AD383" s="139">
        <f t="shared" ref="AD383:AI383" si="767">O383/$I383</f>
        <v>4.4843049327354259E-3</v>
      </c>
      <c r="AE383" s="139">
        <f t="shared" si="767"/>
        <v>0</v>
      </c>
      <c r="AF383" s="139">
        <f t="shared" si="767"/>
        <v>0</v>
      </c>
      <c r="AG383" s="139">
        <f t="shared" si="767"/>
        <v>0</v>
      </c>
      <c r="AH383" s="139">
        <f t="shared" si="767"/>
        <v>3.1390134529147982E-2</v>
      </c>
      <c r="AI383" s="139">
        <f t="shared" si="767"/>
        <v>5.9790732436472349E-3</v>
      </c>
    </row>
    <row r="384" spans="2:35">
      <c r="B384" s="138" t="s">
        <v>8077</v>
      </c>
      <c r="C384" s="138" t="s">
        <v>4367</v>
      </c>
      <c r="D384" s="138" t="s">
        <v>792</v>
      </c>
      <c r="E384" s="138" t="s">
        <v>8119</v>
      </c>
      <c r="F384" s="138" t="s">
        <v>8119</v>
      </c>
      <c r="H384" s="138">
        <v>134</v>
      </c>
      <c r="I384" s="138">
        <v>412</v>
      </c>
      <c r="J384" s="138">
        <v>230</v>
      </c>
      <c r="K384" s="138">
        <v>167</v>
      </c>
      <c r="N384" s="138">
        <v>7</v>
      </c>
      <c r="O384" s="138">
        <v>0</v>
      </c>
      <c r="S384" s="138">
        <v>3</v>
      </c>
      <c r="T384" s="138">
        <v>5</v>
      </c>
      <c r="U384" s="138">
        <f t="shared" si="512"/>
        <v>8</v>
      </c>
      <c r="W384" s="139">
        <f t="shared" ref="W384:AA384" si="768">J384/$I384</f>
        <v>0.55825242718446599</v>
      </c>
      <c r="X384" s="139">
        <f t="shared" si="768"/>
        <v>0.4053398058252427</v>
      </c>
      <c r="Y384" s="139">
        <f t="shared" si="768"/>
        <v>0</v>
      </c>
      <c r="Z384" s="139">
        <f t="shared" si="768"/>
        <v>0</v>
      </c>
      <c r="AA384" s="139">
        <f t="shared" si="768"/>
        <v>1.6990291262135922E-2</v>
      </c>
      <c r="AB384" s="139"/>
      <c r="AC384" s="139">
        <f t="shared" si="514"/>
        <v>1.9417475728155338E-2</v>
      </c>
      <c r="AD384" s="139">
        <f t="shared" ref="AD384:AI384" si="769">O384/$I384</f>
        <v>0</v>
      </c>
      <c r="AE384" s="139">
        <f t="shared" si="769"/>
        <v>0</v>
      </c>
      <c r="AF384" s="139">
        <f t="shared" si="769"/>
        <v>0</v>
      </c>
      <c r="AG384" s="139">
        <f t="shared" si="769"/>
        <v>0</v>
      </c>
      <c r="AH384" s="139">
        <f t="shared" si="769"/>
        <v>7.2815533980582527E-3</v>
      </c>
      <c r="AI384" s="139">
        <f t="shared" si="769"/>
        <v>1.2135922330097087E-2</v>
      </c>
    </row>
    <row r="385" spans="2:35">
      <c r="B385" s="138" t="s">
        <v>8077</v>
      </c>
      <c r="C385" s="138" t="s">
        <v>4367</v>
      </c>
      <c r="D385" s="138" t="s">
        <v>792</v>
      </c>
      <c r="E385" s="138" t="s">
        <v>8119</v>
      </c>
      <c r="F385" s="138" t="s">
        <v>8119</v>
      </c>
      <c r="H385" s="138">
        <v>135</v>
      </c>
      <c r="I385" s="138">
        <v>666</v>
      </c>
      <c r="J385" s="138">
        <v>370</v>
      </c>
      <c r="K385" s="138">
        <v>253</v>
      </c>
      <c r="N385" s="138">
        <v>8</v>
      </c>
      <c r="O385" s="138">
        <v>4</v>
      </c>
      <c r="S385" s="138">
        <v>20</v>
      </c>
      <c r="T385" s="138">
        <v>11</v>
      </c>
      <c r="U385" s="138">
        <f t="shared" si="512"/>
        <v>35</v>
      </c>
      <c r="W385" s="139">
        <f t="shared" ref="W385:AA385" si="770">J385/$I385</f>
        <v>0.55555555555555558</v>
      </c>
      <c r="X385" s="139">
        <f t="shared" si="770"/>
        <v>0.37987987987987987</v>
      </c>
      <c r="Y385" s="139">
        <f t="shared" si="770"/>
        <v>0</v>
      </c>
      <c r="Z385" s="139">
        <f t="shared" si="770"/>
        <v>0</v>
      </c>
      <c r="AA385" s="139">
        <f t="shared" si="770"/>
        <v>1.2012012012012012E-2</v>
      </c>
      <c r="AB385" s="139"/>
      <c r="AC385" s="139">
        <f t="shared" si="514"/>
        <v>5.2552552552552555E-2</v>
      </c>
      <c r="AD385" s="139">
        <f t="shared" ref="AD385:AI385" si="771">O385/$I385</f>
        <v>6.006006006006006E-3</v>
      </c>
      <c r="AE385" s="139">
        <f t="shared" si="771"/>
        <v>0</v>
      </c>
      <c r="AF385" s="139">
        <f t="shared" si="771"/>
        <v>0</v>
      </c>
      <c r="AG385" s="139">
        <f t="shared" si="771"/>
        <v>0</v>
      </c>
      <c r="AH385" s="139">
        <f t="shared" si="771"/>
        <v>3.003003003003003E-2</v>
      </c>
      <c r="AI385" s="139">
        <f t="shared" si="771"/>
        <v>1.6516516516516516E-2</v>
      </c>
    </row>
    <row r="386" spans="2:35">
      <c r="B386" s="138" t="s">
        <v>8077</v>
      </c>
      <c r="C386" s="138" t="s">
        <v>4367</v>
      </c>
      <c r="D386" s="138" t="s">
        <v>792</v>
      </c>
      <c r="E386" s="138" t="s">
        <v>8119</v>
      </c>
      <c r="F386" s="138" t="s">
        <v>8119</v>
      </c>
      <c r="H386" s="138">
        <v>136</v>
      </c>
      <c r="I386" s="138">
        <v>980</v>
      </c>
      <c r="J386" s="138">
        <v>558</v>
      </c>
      <c r="K386" s="138">
        <v>394</v>
      </c>
      <c r="N386" s="138">
        <v>12</v>
      </c>
      <c r="O386" s="138">
        <v>3</v>
      </c>
      <c r="S386" s="138">
        <v>12</v>
      </c>
      <c r="T386" s="138">
        <v>1</v>
      </c>
      <c r="U386" s="138">
        <f t="shared" si="512"/>
        <v>16</v>
      </c>
      <c r="W386" s="139">
        <f t="shared" ref="W386:AA386" si="772">J386/$I386</f>
        <v>0.56938775510204087</v>
      </c>
      <c r="X386" s="139">
        <f t="shared" si="772"/>
        <v>0.4020408163265306</v>
      </c>
      <c r="Y386" s="139">
        <f t="shared" si="772"/>
        <v>0</v>
      </c>
      <c r="Z386" s="139">
        <f t="shared" si="772"/>
        <v>0</v>
      </c>
      <c r="AA386" s="139">
        <f t="shared" si="772"/>
        <v>1.2244897959183673E-2</v>
      </c>
      <c r="AB386" s="139"/>
      <c r="AC386" s="139">
        <f t="shared" si="514"/>
        <v>1.6326530612244899E-2</v>
      </c>
      <c r="AD386" s="139">
        <f t="shared" ref="AD386:AI386" si="773">O386/$I386</f>
        <v>3.0612244897959182E-3</v>
      </c>
      <c r="AE386" s="139">
        <f t="shared" si="773"/>
        <v>0</v>
      </c>
      <c r="AF386" s="139">
        <f t="shared" si="773"/>
        <v>0</v>
      </c>
      <c r="AG386" s="139">
        <f t="shared" si="773"/>
        <v>0</v>
      </c>
      <c r="AH386" s="139">
        <f t="shared" si="773"/>
        <v>1.2244897959183673E-2</v>
      </c>
      <c r="AI386" s="139">
        <f t="shared" si="773"/>
        <v>1.0204081632653062E-3</v>
      </c>
    </row>
    <row r="387" spans="2:35">
      <c r="B387" s="138" t="s">
        <v>8077</v>
      </c>
      <c r="C387" s="138" t="s">
        <v>4367</v>
      </c>
      <c r="D387" s="138" t="s">
        <v>792</v>
      </c>
      <c r="E387" s="138" t="s">
        <v>8119</v>
      </c>
      <c r="F387" s="138" t="s">
        <v>8119</v>
      </c>
      <c r="H387" s="138">
        <v>137</v>
      </c>
      <c r="I387" s="138">
        <v>938</v>
      </c>
      <c r="J387" s="138">
        <v>567</v>
      </c>
      <c r="K387" s="138">
        <v>317</v>
      </c>
      <c r="N387" s="138">
        <v>9</v>
      </c>
      <c r="O387" s="138">
        <v>5</v>
      </c>
      <c r="S387" s="138">
        <v>31</v>
      </c>
      <c r="T387" s="138">
        <v>9</v>
      </c>
      <c r="U387" s="138">
        <f t="shared" si="512"/>
        <v>45</v>
      </c>
      <c r="W387" s="139">
        <f t="shared" ref="W387:AA387" si="774">J387/$I387</f>
        <v>0.60447761194029848</v>
      </c>
      <c r="X387" s="139">
        <f t="shared" si="774"/>
        <v>0.33795309168443499</v>
      </c>
      <c r="Y387" s="139">
        <f t="shared" si="774"/>
        <v>0</v>
      </c>
      <c r="Z387" s="139">
        <f t="shared" si="774"/>
        <v>0</v>
      </c>
      <c r="AA387" s="139">
        <f t="shared" si="774"/>
        <v>9.5948827292110881E-3</v>
      </c>
      <c r="AB387" s="139"/>
      <c r="AC387" s="139">
        <f t="shared" si="514"/>
        <v>4.7974413646055439E-2</v>
      </c>
      <c r="AD387" s="139">
        <f t="shared" ref="AD387:AI387" si="775">O387/$I387</f>
        <v>5.3304904051172707E-3</v>
      </c>
      <c r="AE387" s="139">
        <f t="shared" si="775"/>
        <v>0</v>
      </c>
      <c r="AF387" s="139">
        <f t="shared" si="775"/>
        <v>0</v>
      </c>
      <c r="AG387" s="139">
        <f t="shared" si="775"/>
        <v>0</v>
      </c>
      <c r="AH387" s="139">
        <f t="shared" si="775"/>
        <v>3.3049040511727079E-2</v>
      </c>
      <c r="AI387" s="139">
        <f t="shared" si="775"/>
        <v>9.5948827292110881E-3</v>
      </c>
    </row>
    <row r="388" spans="2:35">
      <c r="B388" s="138" t="s">
        <v>8077</v>
      </c>
      <c r="C388" s="138" t="s">
        <v>4367</v>
      </c>
      <c r="D388" s="138" t="s">
        <v>792</v>
      </c>
      <c r="E388" s="138" t="s">
        <v>8119</v>
      </c>
      <c r="F388" s="138" t="s">
        <v>8119</v>
      </c>
      <c r="H388" s="138">
        <v>138</v>
      </c>
      <c r="I388" s="138">
        <v>490</v>
      </c>
      <c r="J388" s="138">
        <v>249</v>
      </c>
      <c r="K388" s="138">
        <v>214</v>
      </c>
      <c r="N388" s="138">
        <v>11</v>
      </c>
      <c r="O388" s="138">
        <v>3</v>
      </c>
      <c r="S388" s="138">
        <v>8</v>
      </c>
      <c r="T388" s="138">
        <v>5</v>
      </c>
      <c r="U388" s="138">
        <f t="shared" si="512"/>
        <v>16</v>
      </c>
      <c r="W388" s="139">
        <f t="shared" ref="W388:AA388" si="776">J388/$I388</f>
        <v>0.50816326530612244</v>
      </c>
      <c r="X388" s="139">
        <f t="shared" si="776"/>
        <v>0.43673469387755104</v>
      </c>
      <c r="Y388" s="139">
        <f t="shared" si="776"/>
        <v>0</v>
      </c>
      <c r="Z388" s="139">
        <f t="shared" si="776"/>
        <v>0</v>
      </c>
      <c r="AA388" s="139">
        <f t="shared" si="776"/>
        <v>2.2448979591836733E-2</v>
      </c>
      <c r="AB388" s="139"/>
      <c r="AC388" s="139">
        <f t="shared" si="514"/>
        <v>3.2653061224489799E-2</v>
      </c>
      <c r="AD388" s="139">
        <f t="shared" ref="AD388:AI388" si="777">O388/$I388</f>
        <v>6.1224489795918364E-3</v>
      </c>
      <c r="AE388" s="139">
        <f t="shared" si="777"/>
        <v>0</v>
      </c>
      <c r="AF388" s="139">
        <f t="shared" si="777"/>
        <v>0</v>
      </c>
      <c r="AG388" s="139">
        <f t="shared" si="777"/>
        <v>0</v>
      </c>
      <c r="AH388" s="139">
        <f t="shared" si="777"/>
        <v>1.6326530612244899E-2</v>
      </c>
      <c r="AI388" s="139">
        <f t="shared" si="777"/>
        <v>1.020408163265306E-2</v>
      </c>
    </row>
    <row r="389" spans="2:35">
      <c r="B389" s="138" t="s">
        <v>8077</v>
      </c>
      <c r="C389" s="138" t="s">
        <v>4367</v>
      </c>
      <c r="D389" s="138" t="s">
        <v>792</v>
      </c>
      <c r="E389" s="138" t="s">
        <v>8119</v>
      </c>
      <c r="F389" s="138" t="s">
        <v>8119</v>
      </c>
      <c r="H389" s="138">
        <v>139</v>
      </c>
      <c r="I389" s="138">
        <v>538</v>
      </c>
      <c r="J389" s="138">
        <v>265</v>
      </c>
      <c r="K389" s="138">
        <v>242</v>
      </c>
      <c r="N389" s="138">
        <v>8</v>
      </c>
      <c r="O389" s="138">
        <v>7</v>
      </c>
      <c r="S389" s="138">
        <v>12</v>
      </c>
      <c r="T389" s="138">
        <v>4</v>
      </c>
      <c r="U389" s="138">
        <f t="shared" si="512"/>
        <v>23</v>
      </c>
      <c r="W389" s="139">
        <f t="shared" ref="W389:AA389" si="778">J389/$I389</f>
        <v>0.49256505576208176</v>
      </c>
      <c r="X389" s="139">
        <f t="shared" si="778"/>
        <v>0.44981412639405205</v>
      </c>
      <c r="Y389" s="139">
        <f t="shared" si="778"/>
        <v>0</v>
      </c>
      <c r="Z389" s="139">
        <f t="shared" si="778"/>
        <v>0</v>
      </c>
      <c r="AA389" s="139">
        <f t="shared" si="778"/>
        <v>1.4869888475836431E-2</v>
      </c>
      <c r="AB389" s="139"/>
      <c r="AC389" s="139">
        <f t="shared" si="514"/>
        <v>4.2750929368029739E-2</v>
      </c>
      <c r="AD389" s="139">
        <f t="shared" ref="AD389:AI389" si="779">O389/$I389</f>
        <v>1.3011152416356878E-2</v>
      </c>
      <c r="AE389" s="139">
        <f t="shared" si="779"/>
        <v>0</v>
      </c>
      <c r="AF389" s="139">
        <f t="shared" si="779"/>
        <v>0</v>
      </c>
      <c r="AG389" s="139">
        <f t="shared" si="779"/>
        <v>0</v>
      </c>
      <c r="AH389" s="139">
        <f t="shared" si="779"/>
        <v>2.2304832713754646E-2</v>
      </c>
      <c r="AI389" s="139">
        <f t="shared" si="779"/>
        <v>7.4349442379182153E-3</v>
      </c>
    </row>
    <row r="390" spans="2:35">
      <c r="B390" s="138" t="s">
        <v>8077</v>
      </c>
      <c r="C390" s="138" t="s">
        <v>4367</v>
      </c>
      <c r="D390" s="138" t="s">
        <v>792</v>
      </c>
      <c r="E390" s="138" t="s">
        <v>8119</v>
      </c>
      <c r="F390" s="138" t="s">
        <v>8119</v>
      </c>
      <c r="H390" s="138">
        <v>140</v>
      </c>
      <c r="I390" s="138">
        <v>830</v>
      </c>
      <c r="J390" s="138">
        <v>480</v>
      </c>
      <c r="K390" s="138">
        <v>293</v>
      </c>
      <c r="N390" s="138">
        <v>20</v>
      </c>
      <c r="O390" s="138">
        <v>6</v>
      </c>
      <c r="S390" s="138">
        <v>23</v>
      </c>
      <c r="T390" s="138">
        <v>8</v>
      </c>
      <c r="U390" s="138">
        <f t="shared" si="512"/>
        <v>37</v>
      </c>
      <c r="W390" s="139">
        <f t="shared" ref="W390:AA390" si="780">J390/$I390</f>
        <v>0.57831325301204817</v>
      </c>
      <c r="X390" s="139">
        <f t="shared" si="780"/>
        <v>0.3530120481927711</v>
      </c>
      <c r="Y390" s="139">
        <f t="shared" si="780"/>
        <v>0</v>
      </c>
      <c r="Z390" s="139">
        <f t="shared" si="780"/>
        <v>0</v>
      </c>
      <c r="AA390" s="139">
        <f t="shared" si="780"/>
        <v>2.4096385542168676E-2</v>
      </c>
      <c r="AB390" s="139"/>
      <c r="AC390" s="139">
        <f t="shared" si="514"/>
        <v>4.457831325301205E-2</v>
      </c>
      <c r="AD390" s="139">
        <f t="shared" ref="AD390:AI390" si="781">O390/$I390</f>
        <v>7.2289156626506026E-3</v>
      </c>
      <c r="AE390" s="139">
        <f t="shared" si="781"/>
        <v>0</v>
      </c>
      <c r="AF390" s="139">
        <f t="shared" si="781"/>
        <v>0</v>
      </c>
      <c r="AG390" s="139">
        <f t="shared" si="781"/>
        <v>0</v>
      </c>
      <c r="AH390" s="139">
        <f t="shared" si="781"/>
        <v>2.7710843373493974E-2</v>
      </c>
      <c r="AI390" s="139">
        <f t="shared" si="781"/>
        <v>9.6385542168674707E-3</v>
      </c>
    </row>
    <row r="391" spans="2:35">
      <c r="B391" s="138" t="s">
        <v>8077</v>
      </c>
      <c r="C391" s="138" t="s">
        <v>4367</v>
      </c>
      <c r="D391" s="138" t="s">
        <v>792</v>
      </c>
      <c r="E391" s="138" t="s">
        <v>8119</v>
      </c>
      <c r="F391" s="138" t="s">
        <v>8119</v>
      </c>
      <c r="H391" s="138">
        <v>141</v>
      </c>
      <c r="I391" s="138">
        <v>816</v>
      </c>
      <c r="J391" s="138">
        <v>468</v>
      </c>
      <c r="K391" s="138">
        <v>308</v>
      </c>
      <c r="N391" s="138">
        <v>11</v>
      </c>
      <c r="O391" s="138">
        <v>3</v>
      </c>
      <c r="S391" s="138">
        <v>17</v>
      </c>
      <c r="T391" s="138">
        <v>9</v>
      </c>
      <c r="U391" s="138">
        <f t="shared" si="512"/>
        <v>29</v>
      </c>
      <c r="W391" s="139">
        <f t="shared" ref="W391:AA391" si="782">J391/$I391</f>
        <v>0.57352941176470584</v>
      </c>
      <c r="X391" s="139">
        <f t="shared" si="782"/>
        <v>0.37745098039215685</v>
      </c>
      <c r="Y391" s="139">
        <f t="shared" si="782"/>
        <v>0</v>
      </c>
      <c r="Z391" s="139">
        <f t="shared" si="782"/>
        <v>0</v>
      </c>
      <c r="AA391" s="139">
        <f t="shared" si="782"/>
        <v>1.3480392156862746E-2</v>
      </c>
      <c r="AB391" s="139"/>
      <c r="AC391" s="139">
        <f t="shared" si="514"/>
        <v>3.5539215686274508E-2</v>
      </c>
      <c r="AD391" s="139">
        <f t="shared" ref="AD391:AI391" si="783">O391/$I391</f>
        <v>3.6764705882352941E-3</v>
      </c>
      <c r="AE391" s="139">
        <f t="shared" si="783"/>
        <v>0</v>
      </c>
      <c r="AF391" s="139">
        <f t="shared" si="783"/>
        <v>0</v>
      </c>
      <c r="AG391" s="139">
        <f t="shared" si="783"/>
        <v>0</v>
      </c>
      <c r="AH391" s="139">
        <f t="shared" si="783"/>
        <v>2.0833333333333332E-2</v>
      </c>
      <c r="AI391" s="139">
        <f t="shared" si="783"/>
        <v>1.1029411764705883E-2</v>
      </c>
    </row>
    <row r="392" spans="2:35">
      <c r="B392" s="138" t="s">
        <v>8077</v>
      </c>
      <c r="C392" s="138" t="s">
        <v>4367</v>
      </c>
      <c r="D392" s="138" t="s">
        <v>792</v>
      </c>
      <c r="E392" s="138" t="s">
        <v>8119</v>
      </c>
      <c r="F392" s="138" t="s">
        <v>8119</v>
      </c>
      <c r="H392" s="138">
        <v>142</v>
      </c>
      <c r="I392" s="138">
        <v>566</v>
      </c>
      <c r="J392" s="138">
        <v>340</v>
      </c>
      <c r="K392" s="138">
        <v>203</v>
      </c>
      <c r="N392" s="138">
        <v>6</v>
      </c>
      <c r="O392" s="138">
        <v>0</v>
      </c>
      <c r="S392" s="138">
        <v>15</v>
      </c>
      <c r="T392" s="138">
        <v>2</v>
      </c>
      <c r="U392" s="138">
        <f t="shared" si="512"/>
        <v>17</v>
      </c>
      <c r="W392" s="139">
        <f t="shared" ref="W392:AA392" si="784">J392/$I392</f>
        <v>0.60070671378091878</v>
      </c>
      <c r="X392" s="139">
        <f t="shared" si="784"/>
        <v>0.35865724381625441</v>
      </c>
      <c r="Y392" s="139">
        <f t="shared" si="784"/>
        <v>0</v>
      </c>
      <c r="Z392" s="139">
        <f t="shared" si="784"/>
        <v>0</v>
      </c>
      <c r="AA392" s="139">
        <f t="shared" si="784"/>
        <v>1.0600706713780919E-2</v>
      </c>
      <c r="AB392" s="139"/>
      <c r="AC392" s="139">
        <f t="shared" si="514"/>
        <v>3.0035335689045935E-2</v>
      </c>
      <c r="AD392" s="139">
        <f t="shared" ref="AD392:AI392" si="785">O392/$I392</f>
        <v>0</v>
      </c>
      <c r="AE392" s="139">
        <f t="shared" si="785"/>
        <v>0</v>
      </c>
      <c r="AF392" s="139">
        <f t="shared" si="785"/>
        <v>0</v>
      </c>
      <c r="AG392" s="139">
        <f t="shared" si="785"/>
        <v>0</v>
      </c>
      <c r="AH392" s="139">
        <f t="shared" si="785"/>
        <v>2.6501766784452298E-2</v>
      </c>
      <c r="AI392" s="139">
        <f t="shared" si="785"/>
        <v>3.5335689045936395E-3</v>
      </c>
    </row>
    <row r="393" spans="2:35">
      <c r="B393" s="138" t="s">
        <v>8077</v>
      </c>
      <c r="C393" s="138" t="s">
        <v>4367</v>
      </c>
      <c r="D393" s="138" t="s">
        <v>792</v>
      </c>
      <c r="E393" s="138" t="s">
        <v>8119</v>
      </c>
      <c r="F393" s="138" t="s">
        <v>8119</v>
      </c>
      <c r="H393" s="138">
        <v>143</v>
      </c>
      <c r="I393" s="138">
        <v>532</v>
      </c>
      <c r="J393" s="138">
        <v>378</v>
      </c>
      <c r="K393" s="138">
        <v>142</v>
      </c>
      <c r="N393" s="138">
        <v>2</v>
      </c>
      <c r="O393" s="138">
        <v>1</v>
      </c>
      <c r="S393" s="138">
        <v>6</v>
      </c>
      <c r="T393" s="138">
        <v>3</v>
      </c>
      <c r="U393" s="138">
        <f t="shared" si="512"/>
        <v>10</v>
      </c>
      <c r="W393" s="139">
        <f t="shared" ref="W393:AA393" si="786">J393/$I393</f>
        <v>0.71052631578947367</v>
      </c>
      <c r="X393" s="139">
        <f t="shared" si="786"/>
        <v>0.26691729323308272</v>
      </c>
      <c r="Y393" s="139">
        <f t="shared" si="786"/>
        <v>0</v>
      </c>
      <c r="Z393" s="139">
        <f t="shared" si="786"/>
        <v>0</v>
      </c>
      <c r="AA393" s="139">
        <f t="shared" si="786"/>
        <v>3.7593984962406013E-3</v>
      </c>
      <c r="AB393" s="139"/>
      <c r="AC393" s="139">
        <f t="shared" si="514"/>
        <v>1.8796992481203006E-2</v>
      </c>
      <c r="AD393" s="139">
        <f t="shared" ref="AD393:AI393" si="787">O393/$I393</f>
        <v>1.8796992481203006E-3</v>
      </c>
      <c r="AE393" s="139">
        <f t="shared" si="787"/>
        <v>0</v>
      </c>
      <c r="AF393" s="139">
        <f t="shared" si="787"/>
        <v>0</v>
      </c>
      <c r="AG393" s="139">
        <f t="shared" si="787"/>
        <v>0</v>
      </c>
      <c r="AH393" s="139">
        <f t="shared" si="787"/>
        <v>1.1278195488721804E-2</v>
      </c>
      <c r="AI393" s="139">
        <f t="shared" si="787"/>
        <v>5.6390977443609019E-3</v>
      </c>
    </row>
    <row r="394" spans="2:35">
      <c r="B394" s="138" t="s">
        <v>8077</v>
      </c>
      <c r="C394" s="138" t="s">
        <v>4367</v>
      </c>
      <c r="D394" s="138" t="s">
        <v>792</v>
      </c>
      <c r="E394" s="138" t="s">
        <v>8119</v>
      </c>
      <c r="F394" s="138" t="s">
        <v>8119</v>
      </c>
      <c r="H394" s="138">
        <v>144</v>
      </c>
      <c r="I394" s="138">
        <v>1033</v>
      </c>
      <c r="J394" s="138">
        <v>765</v>
      </c>
      <c r="K394" s="138">
        <v>238</v>
      </c>
      <c r="N394" s="138">
        <v>2</v>
      </c>
      <c r="O394" s="138">
        <v>0</v>
      </c>
      <c r="S394" s="138">
        <v>23</v>
      </c>
      <c r="T394" s="138">
        <v>5</v>
      </c>
      <c r="U394" s="138">
        <f t="shared" si="512"/>
        <v>28</v>
      </c>
      <c r="W394" s="139">
        <f t="shared" ref="W394:AA394" si="788">J394/$I394</f>
        <v>0.74056147144240081</v>
      </c>
      <c r="X394" s="139">
        <f t="shared" si="788"/>
        <v>0.23039690222652467</v>
      </c>
      <c r="Y394" s="139">
        <f t="shared" si="788"/>
        <v>0</v>
      </c>
      <c r="Z394" s="139">
        <f t="shared" si="788"/>
        <v>0</v>
      </c>
      <c r="AA394" s="139">
        <f t="shared" si="788"/>
        <v>1.9361084220716361E-3</v>
      </c>
      <c r="AB394" s="139"/>
      <c r="AC394" s="139">
        <f t="shared" si="514"/>
        <v>2.7105517909002903E-2</v>
      </c>
      <c r="AD394" s="139">
        <f t="shared" ref="AD394:AI394" si="789">O394/$I394</f>
        <v>0</v>
      </c>
      <c r="AE394" s="139">
        <f t="shared" si="789"/>
        <v>0</v>
      </c>
      <c r="AF394" s="139">
        <f t="shared" si="789"/>
        <v>0</v>
      </c>
      <c r="AG394" s="139">
        <f t="shared" si="789"/>
        <v>0</v>
      </c>
      <c r="AH394" s="139">
        <f t="shared" si="789"/>
        <v>2.2265246853823813E-2</v>
      </c>
      <c r="AI394" s="139">
        <f t="shared" si="789"/>
        <v>4.8402710551790898E-3</v>
      </c>
    </row>
    <row r="395" spans="2:35">
      <c r="B395" s="138" t="s">
        <v>8077</v>
      </c>
      <c r="C395" s="138" t="s">
        <v>4367</v>
      </c>
      <c r="D395" s="138" t="s">
        <v>792</v>
      </c>
      <c r="E395" s="138" t="s">
        <v>8119</v>
      </c>
      <c r="F395" s="138" t="s">
        <v>8119</v>
      </c>
      <c r="H395" s="138">
        <v>145</v>
      </c>
      <c r="I395" s="138">
        <v>661</v>
      </c>
      <c r="J395" s="138">
        <v>457</v>
      </c>
      <c r="K395" s="138">
        <v>179</v>
      </c>
      <c r="N395" s="138">
        <v>9</v>
      </c>
      <c r="O395" s="138">
        <v>1</v>
      </c>
      <c r="S395" s="138">
        <v>12</v>
      </c>
      <c r="T395" s="138">
        <v>3</v>
      </c>
      <c r="U395" s="138">
        <f t="shared" si="512"/>
        <v>16</v>
      </c>
      <c r="W395" s="139">
        <f t="shared" ref="W395:AA395" si="790">J395/$I395</f>
        <v>0.69137670196671708</v>
      </c>
      <c r="X395" s="139">
        <f t="shared" si="790"/>
        <v>0.27080181543116488</v>
      </c>
      <c r="Y395" s="139">
        <f t="shared" si="790"/>
        <v>0</v>
      </c>
      <c r="Z395" s="139">
        <f t="shared" si="790"/>
        <v>0</v>
      </c>
      <c r="AA395" s="139">
        <f t="shared" si="790"/>
        <v>1.3615733736762481E-2</v>
      </c>
      <c r="AB395" s="139"/>
      <c r="AC395" s="139">
        <f t="shared" si="514"/>
        <v>2.4205748865355523E-2</v>
      </c>
      <c r="AD395" s="139">
        <f t="shared" ref="AD395:AI395" si="791">O395/$I395</f>
        <v>1.5128593040847202E-3</v>
      </c>
      <c r="AE395" s="139">
        <f t="shared" si="791"/>
        <v>0</v>
      </c>
      <c r="AF395" s="139">
        <f t="shared" si="791"/>
        <v>0</v>
      </c>
      <c r="AG395" s="139">
        <f t="shared" si="791"/>
        <v>0</v>
      </c>
      <c r="AH395" s="139">
        <f t="shared" si="791"/>
        <v>1.8154311649016642E-2</v>
      </c>
      <c r="AI395" s="139">
        <f t="shared" si="791"/>
        <v>4.5385779122541605E-3</v>
      </c>
    </row>
    <row r="396" spans="2:35">
      <c r="B396" s="138" t="s">
        <v>8077</v>
      </c>
      <c r="C396" s="138" t="s">
        <v>4367</v>
      </c>
      <c r="D396" s="138" t="s">
        <v>792</v>
      </c>
      <c r="E396" s="138" t="s">
        <v>8119</v>
      </c>
      <c r="F396" s="138" t="s">
        <v>8119</v>
      </c>
      <c r="H396" s="138">
        <v>146</v>
      </c>
      <c r="I396" s="138">
        <v>650</v>
      </c>
      <c r="J396" s="138">
        <v>469</v>
      </c>
      <c r="K396" s="138">
        <v>151</v>
      </c>
      <c r="N396" s="138">
        <v>4</v>
      </c>
      <c r="O396" s="138">
        <v>1</v>
      </c>
      <c r="S396" s="138">
        <v>20</v>
      </c>
      <c r="T396" s="138">
        <v>5</v>
      </c>
      <c r="U396" s="138">
        <f t="shared" si="512"/>
        <v>26</v>
      </c>
      <c r="W396" s="139">
        <f t="shared" ref="W396:AA396" si="792">J396/$I396</f>
        <v>0.72153846153846157</v>
      </c>
      <c r="X396" s="139">
        <f t="shared" si="792"/>
        <v>0.2323076923076923</v>
      </c>
      <c r="Y396" s="139">
        <f t="shared" si="792"/>
        <v>0</v>
      </c>
      <c r="Z396" s="139">
        <f t="shared" si="792"/>
        <v>0</v>
      </c>
      <c r="AA396" s="139">
        <f t="shared" si="792"/>
        <v>6.1538461538461538E-3</v>
      </c>
      <c r="AB396" s="139"/>
      <c r="AC396" s="139">
        <f t="shared" si="514"/>
        <v>0.04</v>
      </c>
      <c r="AD396" s="139">
        <f t="shared" ref="AD396:AI396" si="793">O396/$I396</f>
        <v>1.5384615384615385E-3</v>
      </c>
      <c r="AE396" s="139">
        <f t="shared" si="793"/>
        <v>0</v>
      </c>
      <c r="AF396" s="139">
        <f t="shared" si="793"/>
        <v>0</v>
      </c>
      <c r="AG396" s="139">
        <f t="shared" si="793"/>
        <v>0</v>
      </c>
      <c r="AH396" s="139">
        <f t="shared" si="793"/>
        <v>3.0769230769230771E-2</v>
      </c>
      <c r="AI396" s="139">
        <f t="shared" si="793"/>
        <v>7.6923076923076927E-3</v>
      </c>
    </row>
    <row r="397" spans="2:35">
      <c r="B397" s="138" t="s">
        <v>8077</v>
      </c>
      <c r="C397" s="138" t="s">
        <v>4367</v>
      </c>
      <c r="D397" s="138" t="s">
        <v>792</v>
      </c>
      <c r="E397" s="138" t="s">
        <v>8119</v>
      </c>
      <c r="F397" s="138" t="s">
        <v>8119</v>
      </c>
      <c r="H397" s="138">
        <v>147</v>
      </c>
      <c r="I397" s="138">
        <v>787</v>
      </c>
      <c r="J397" s="138">
        <v>587</v>
      </c>
      <c r="K397" s="138">
        <v>181</v>
      </c>
      <c r="N397" s="138">
        <v>9</v>
      </c>
      <c r="O397" s="138">
        <v>0</v>
      </c>
      <c r="S397" s="138">
        <v>7</v>
      </c>
      <c r="T397" s="138">
        <v>3</v>
      </c>
      <c r="U397" s="138">
        <f t="shared" si="512"/>
        <v>10</v>
      </c>
      <c r="W397" s="139">
        <f t="shared" ref="W397:AA397" si="794">J397/$I397</f>
        <v>0.74587039390088949</v>
      </c>
      <c r="X397" s="139">
        <f t="shared" si="794"/>
        <v>0.22998729351969505</v>
      </c>
      <c r="Y397" s="139">
        <f t="shared" si="794"/>
        <v>0</v>
      </c>
      <c r="Z397" s="139">
        <f t="shared" si="794"/>
        <v>0</v>
      </c>
      <c r="AA397" s="139">
        <f t="shared" si="794"/>
        <v>1.1435832274459974E-2</v>
      </c>
      <c r="AB397" s="139"/>
      <c r="AC397" s="139">
        <f t="shared" si="514"/>
        <v>1.2706480304955527E-2</v>
      </c>
      <c r="AD397" s="139">
        <f t="shared" ref="AD397:AI397" si="795">O397/$I397</f>
        <v>0</v>
      </c>
      <c r="AE397" s="139">
        <f t="shared" si="795"/>
        <v>0</v>
      </c>
      <c r="AF397" s="139">
        <f t="shared" si="795"/>
        <v>0</v>
      </c>
      <c r="AG397" s="139">
        <f t="shared" si="795"/>
        <v>0</v>
      </c>
      <c r="AH397" s="139">
        <f t="shared" si="795"/>
        <v>8.8945362134688691E-3</v>
      </c>
      <c r="AI397" s="139">
        <f t="shared" si="795"/>
        <v>3.8119440914866584E-3</v>
      </c>
    </row>
    <row r="398" spans="2:35">
      <c r="B398" s="138" t="s">
        <v>8077</v>
      </c>
      <c r="C398" s="138" t="s">
        <v>4367</v>
      </c>
      <c r="D398" s="138" t="s">
        <v>792</v>
      </c>
      <c r="E398" s="138" t="s">
        <v>8119</v>
      </c>
      <c r="F398" s="138" t="s">
        <v>8119</v>
      </c>
      <c r="H398" s="138">
        <v>148</v>
      </c>
      <c r="I398" s="138">
        <v>845</v>
      </c>
      <c r="J398" s="138">
        <v>610</v>
      </c>
      <c r="K398" s="138">
        <v>198</v>
      </c>
      <c r="N398" s="138">
        <v>17</v>
      </c>
      <c r="O398" s="138">
        <v>0</v>
      </c>
      <c r="S398" s="138">
        <v>12</v>
      </c>
      <c r="T398" s="138">
        <v>8</v>
      </c>
      <c r="U398" s="138">
        <f t="shared" si="512"/>
        <v>20</v>
      </c>
      <c r="W398" s="139">
        <f t="shared" ref="W398:AA398" si="796">J398/$I398</f>
        <v>0.72189349112426038</v>
      </c>
      <c r="X398" s="139">
        <f t="shared" si="796"/>
        <v>0.23431952662721894</v>
      </c>
      <c r="Y398" s="139">
        <f t="shared" si="796"/>
        <v>0</v>
      </c>
      <c r="Z398" s="139">
        <f t="shared" si="796"/>
        <v>0</v>
      </c>
      <c r="AA398" s="139">
        <f t="shared" si="796"/>
        <v>2.0118343195266272E-2</v>
      </c>
      <c r="AB398" s="139"/>
      <c r="AC398" s="139">
        <f t="shared" si="514"/>
        <v>2.3668639053254437E-2</v>
      </c>
      <c r="AD398" s="139">
        <f t="shared" ref="AD398:AI398" si="797">O398/$I398</f>
        <v>0</v>
      </c>
      <c r="AE398" s="139">
        <f t="shared" si="797"/>
        <v>0</v>
      </c>
      <c r="AF398" s="139">
        <f t="shared" si="797"/>
        <v>0</v>
      </c>
      <c r="AG398" s="139">
        <f t="shared" si="797"/>
        <v>0</v>
      </c>
      <c r="AH398" s="139">
        <f t="shared" si="797"/>
        <v>1.4201183431952662E-2</v>
      </c>
      <c r="AI398" s="139">
        <f t="shared" si="797"/>
        <v>9.4674556213017753E-3</v>
      </c>
    </row>
    <row r="399" spans="2:35">
      <c r="B399" s="138" t="s">
        <v>8077</v>
      </c>
      <c r="C399" s="138" t="s">
        <v>4367</v>
      </c>
      <c r="D399" s="138" t="s">
        <v>792</v>
      </c>
      <c r="E399" s="138" t="s">
        <v>8119</v>
      </c>
      <c r="F399" s="138" t="s">
        <v>8119</v>
      </c>
      <c r="H399" s="138">
        <v>149</v>
      </c>
      <c r="I399" s="138">
        <v>790</v>
      </c>
      <c r="J399" s="138">
        <v>586</v>
      </c>
      <c r="K399" s="138">
        <v>183</v>
      </c>
      <c r="N399" s="138">
        <v>9</v>
      </c>
      <c r="O399" s="138">
        <v>2</v>
      </c>
      <c r="S399" s="138">
        <v>7</v>
      </c>
      <c r="T399" s="138">
        <v>3</v>
      </c>
      <c r="U399" s="138">
        <f t="shared" si="512"/>
        <v>12</v>
      </c>
      <c r="W399" s="139">
        <f t="shared" ref="W399:AA399" si="798">J399/$I399</f>
        <v>0.74177215189873413</v>
      </c>
      <c r="X399" s="139">
        <f t="shared" si="798"/>
        <v>0.23164556962025318</v>
      </c>
      <c r="Y399" s="139">
        <f t="shared" si="798"/>
        <v>0</v>
      </c>
      <c r="Z399" s="139">
        <f t="shared" si="798"/>
        <v>0</v>
      </c>
      <c r="AA399" s="139">
        <f t="shared" si="798"/>
        <v>1.1392405063291139E-2</v>
      </c>
      <c r="AB399" s="139"/>
      <c r="AC399" s="139">
        <f t="shared" si="514"/>
        <v>1.5189873417721518E-2</v>
      </c>
      <c r="AD399" s="139">
        <f t="shared" ref="AD399:AI399" si="799">O399/$I399</f>
        <v>2.5316455696202532E-3</v>
      </c>
      <c r="AE399" s="139">
        <f t="shared" si="799"/>
        <v>0</v>
      </c>
      <c r="AF399" s="139">
        <f t="shared" si="799"/>
        <v>0</v>
      </c>
      <c r="AG399" s="139">
        <f t="shared" si="799"/>
        <v>0</v>
      </c>
      <c r="AH399" s="139">
        <f t="shared" si="799"/>
        <v>8.8607594936708865E-3</v>
      </c>
      <c r="AI399" s="139">
        <f t="shared" si="799"/>
        <v>3.7974683544303796E-3</v>
      </c>
    </row>
    <row r="400" spans="2:35">
      <c r="B400" s="138" t="s">
        <v>8077</v>
      </c>
      <c r="C400" s="138" t="s">
        <v>4367</v>
      </c>
      <c r="D400" s="138" t="s">
        <v>792</v>
      </c>
      <c r="E400" s="138" t="s">
        <v>8119</v>
      </c>
      <c r="F400" s="138" t="s">
        <v>8119</v>
      </c>
      <c r="H400" s="138">
        <v>150</v>
      </c>
      <c r="I400" s="138">
        <v>678</v>
      </c>
      <c r="J400" s="138">
        <v>454</v>
      </c>
      <c r="K400" s="138">
        <v>198</v>
      </c>
      <c r="N400" s="138">
        <v>4</v>
      </c>
      <c r="O400" s="138">
        <v>1</v>
      </c>
      <c r="S400" s="138">
        <v>14</v>
      </c>
      <c r="T400" s="138">
        <v>7</v>
      </c>
      <c r="U400" s="138">
        <f t="shared" si="512"/>
        <v>22</v>
      </c>
      <c r="W400" s="139">
        <f t="shared" ref="W400:AA400" si="800">J400/$I400</f>
        <v>0.6696165191740413</v>
      </c>
      <c r="X400" s="139">
        <f t="shared" si="800"/>
        <v>0.29203539823008851</v>
      </c>
      <c r="Y400" s="139">
        <f t="shared" si="800"/>
        <v>0</v>
      </c>
      <c r="Z400" s="139">
        <f t="shared" si="800"/>
        <v>0</v>
      </c>
      <c r="AA400" s="139">
        <f t="shared" si="800"/>
        <v>5.8997050147492625E-3</v>
      </c>
      <c r="AB400" s="139"/>
      <c r="AC400" s="139">
        <f t="shared" si="514"/>
        <v>3.2448377581120944E-2</v>
      </c>
      <c r="AD400" s="139">
        <f t="shared" ref="AD400:AI400" si="801">O400/$I400</f>
        <v>1.4749262536873156E-3</v>
      </c>
      <c r="AE400" s="139">
        <f t="shared" si="801"/>
        <v>0</v>
      </c>
      <c r="AF400" s="139">
        <f t="shared" si="801"/>
        <v>0</v>
      </c>
      <c r="AG400" s="139">
        <f t="shared" si="801"/>
        <v>0</v>
      </c>
      <c r="AH400" s="139">
        <f t="shared" si="801"/>
        <v>2.0648967551622419E-2</v>
      </c>
      <c r="AI400" s="139">
        <f t="shared" si="801"/>
        <v>1.0324483775811209E-2</v>
      </c>
    </row>
    <row r="401" spans="2:35">
      <c r="B401" s="138" t="s">
        <v>8077</v>
      </c>
      <c r="C401" s="138" t="s">
        <v>4367</v>
      </c>
      <c r="D401" s="138" t="s">
        <v>792</v>
      </c>
      <c r="E401" s="138" t="s">
        <v>8119</v>
      </c>
      <c r="F401" s="138" t="s">
        <v>8119</v>
      </c>
      <c r="H401" s="138">
        <v>151</v>
      </c>
      <c r="I401" s="138">
        <v>918</v>
      </c>
      <c r="J401" s="138">
        <v>666</v>
      </c>
      <c r="K401" s="138">
        <v>211</v>
      </c>
      <c r="N401" s="138">
        <v>9</v>
      </c>
      <c r="O401" s="138">
        <v>2</v>
      </c>
      <c r="S401" s="138">
        <v>22</v>
      </c>
      <c r="T401" s="138">
        <v>8</v>
      </c>
      <c r="U401" s="138">
        <f t="shared" si="512"/>
        <v>32</v>
      </c>
      <c r="W401" s="139">
        <f t="shared" ref="W401:AA401" si="802">J401/$I401</f>
        <v>0.72549019607843135</v>
      </c>
      <c r="X401" s="139">
        <f t="shared" si="802"/>
        <v>0.22984749455337691</v>
      </c>
      <c r="Y401" s="139">
        <f t="shared" si="802"/>
        <v>0</v>
      </c>
      <c r="Z401" s="139">
        <f t="shared" si="802"/>
        <v>0</v>
      </c>
      <c r="AA401" s="139">
        <f t="shared" si="802"/>
        <v>9.8039215686274508E-3</v>
      </c>
      <c r="AB401" s="139"/>
      <c r="AC401" s="139">
        <f t="shared" si="514"/>
        <v>3.4858387799564274E-2</v>
      </c>
      <c r="AD401" s="139">
        <f t="shared" ref="AD401:AI401" si="803">O401/$I401</f>
        <v>2.1786492374727671E-3</v>
      </c>
      <c r="AE401" s="139">
        <f t="shared" si="803"/>
        <v>0</v>
      </c>
      <c r="AF401" s="139">
        <f t="shared" si="803"/>
        <v>0</v>
      </c>
      <c r="AG401" s="139">
        <f t="shared" si="803"/>
        <v>0</v>
      </c>
      <c r="AH401" s="139">
        <f t="shared" si="803"/>
        <v>2.3965141612200435E-2</v>
      </c>
      <c r="AI401" s="139">
        <f t="shared" si="803"/>
        <v>8.7145969498910684E-3</v>
      </c>
    </row>
    <row r="402" spans="2:35">
      <c r="B402" s="138" t="s">
        <v>8077</v>
      </c>
      <c r="C402" s="138" t="s">
        <v>4367</v>
      </c>
      <c r="D402" s="138" t="s">
        <v>792</v>
      </c>
      <c r="E402" s="138" t="s">
        <v>8119</v>
      </c>
      <c r="F402" s="138" t="s">
        <v>8119</v>
      </c>
      <c r="H402" s="138">
        <v>152</v>
      </c>
      <c r="I402" s="138">
        <v>907</v>
      </c>
      <c r="J402" s="138">
        <v>720</v>
      </c>
      <c r="K402" s="138">
        <v>167</v>
      </c>
      <c r="N402" s="138">
        <v>6</v>
      </c>
      <c r="O402" s="138">
        <v>0</v>
      </c>
      <c r="S402" s="138">
        <v>9</v>
      </c>
      <c r="T402" s="138">
        <v>5</v>
      </c>
      <c r="U402" s="138">
        <f t="shared" si="512"/>
        <v>14</v>
      </c>
      <c r="W402" s="139">
        <f t="shared" ref="W402:AA402" si="804">J402/$I402</f>
        <v>0.79382579933847852</v>
      </c>
      <c r="X402" s="139">
        <f t="shared" si="804"/>
        <v>0.18412348401323042</v>
      </c>
      <c r="Y402" s="139">
        <f t="shared" si="804"/>
        <v>0</v>
      </c>
      <c r="Z402" s="139">
        <f t="shared" si="804"/>
        <v>0</v>
      </c>
      <c r="AA402" s="139">
        <f t="shared" si="804"/>
        <v>6.615214994487321E-3</v>
      </c>
      <c r="AB402" s="139"/>
      <c r="AC402" s="139">
        <f t="shared" si="514"/>
        <v>1.5435501653803748E-2</v>
      </c>
      <c r="AD402" s="139">
        <f t="shared" ref="AD402:AI402" si="805">O402/$I402</f>
        <v>0</v>
      </c>
      <c r="AE402" s="139">
        <f t="shared" si="805"/>
        <v>0</v>
      </c>
      <c r="AF402" s="139">
        <f t="shared" si="805"/>
        <v>0</v>
      </c>
      <c r="AG402" s="139">
        <f t="shared" si="805"/>
        <v>0</v>
      </c>
      <c r="AH402" s="139">
        <f t="shared" si="805"/>
        <v>9.9228224917309819E-3</v>
      </c>
      <c r="AI402" s="139">
        <f t="shared" si="805"/>
        <v>5.512679162072767E-3</v>
      </c>
    </row>
    <row r="403" spans="2:35">
      <c r="B403" s="138" t="s">
        <v>8077</v>
      </c>
      <c r="C403" s="138" t="s">
        <v>4367</v>
      </c>
      <c r="D403" s="138" t="s">
        <v>792</v>
      </c>
      <c r="E403" s="138" t="s">
        <v>8119</v>
      </c>
      <c r="F403" s="138" t="s">
        <v>8119</v>
      </c>
      <c r="H403" s="138">
        <v>153</v>
      </c>
      <c r="I403" s="138">
        <v>514</v>
      </c>
      <c r="J403" s="138">
        <v>319</v>
      </c>
      <c r="K403" s="138">
        <v>167</v>
      </c>
      <c r="N403" s="138">
        <v>7</v>
      </c>
      <c r="O403" s="138">
        <v>0</v>
      </c>
      <c r="S403" s="138">
        <v>19</v>
      </c>
      <c r="T403" s="138">
        <v>2</v>
      </c>
      <c r="U403" s="138">
        <f t="shared" si="512"/>
        <v>21</v>
      </c>
      <c r="W403" s="139">
        <f t="shared" ref="W403:AA403" si="806">J403/$I403</f>
        <v>0.62062256809338523</v>
      </c>
      <c r="X403" s="139">
        <f t="shared" si="806"/>
        <v>0.32490272373540857</v>
      </c>
      <c r="Y403" s="139">
        <f t="shared" si="806"/>
        <v>0</v>
      </c>
      <c r="Z403" s="139">
        <f t="shared" si="806"/>
        <v>0</v>
      </c>
      <c r="AA403" s="139">
        <f t="shared" si="806"/>
        <v>1.3618677042801557E-2</v>
      </c>
      <c r="AB403" s="139"/>
      <c r="AC403" s="139">
        <f t="shared" si="514"/>
        <v>4.085603112840467E-2</v>
      </c>
      <c r="AD403" s="139">
        <f t="shared" ref="AD403:AI403" si="807">O403/$I403</f>
        <v>0</v>
      </c>
      <c r="AE403" s="139">
        <f t="shared" si="807"/>
        <v>0</v>
      </c>
      <c r="AF403" s="139">
        <f t="shared" si="807"/>
        <v>0</v>
      </c>
      <c r="AG403" s="139">
        <f t="shared" si="807"/>
        <v>0</v>
      </c>
      <c r="AH403" s="139">
        <f t="shared" si="807"/>
        <v>3.6964980544747082E-2</v>
      </c>
      <c r="AI403" s="139">
        <f t="shared" si="807"/>
        <v>3.8910505836575876E-3</v>
      </c>
    </row>
    <row r="404" spans="2:35">
      <c r="B404" s="138" t="s">
        <v>8077</v>
      </c>
      <c r="C404" s="138" t="s">
        <v>4367</v>
      </c>
      <c r="D404" s="138" t="s">
        <v>792</v>
      </c>
      <c r="E404" s="138" t="s">
        <v>8119</v>
      </c>
      <c r="F404" s="138" t="s">
        <v>8119</v>
      </c>
      <c r="H404" s="138">
        <v>154</v>
      </c>
      <c r="I404" s="138">
        <v>780</v>
      </c>
      <c r="J404" s="138">
        <v>575</v>
      </c>
      <c r="K404" s="138">
        <v>189</v>
      </c>
      <c r="N404" s="138">
        <v>6</v>
      </c>
      <c r="O404" s="138">
        <v>2</v>
      </c>
      <c r="S404" s="138">
        <v>8</v>
      </c>
      <c r="T404" s="138">
        <v>0</v>
      </c>
      <c r="U404" s="138">
        <f t="shared" si="512"/>
        <v>10</v>
      </c>
      <c r="W404" s="139">
        <f t="shared" ref="W404:AA404" si="808">J404/$I404</f>
        <v>0.73717948717948723</v>
      </c>
      <c r="X404" s="139">
        <f t="shared" si="808"/>
        <v>0.24230769230769231</v>
      </c>
      <c r="Y404" s="139">
        <f t="shared" si="808"/>
        <v>0</v>
      </c>
      <c r="Z404" s="139">
        <f t="shared" si="808"/>
        <v>0</v>
      </c>
      <c r="AA404" s="139">
        <f t="shared" si="808"/>
        <v>7.6923076923076927E-3</v>
      </c>
      <c r="AB404" s="139"/>
      <c r="AC404" s="139">
        <f t="shared" si="514"/>
        <v>1.282051282051282E-2</v>
      </c>
      <c r="AD404" s="139">
        <f t="shared" ref="AD404:AI404" si="809">O404/$I404</f>
        <v>2.5641025641025641E-3</v>
      </c>
      <c r="AE404" s="139">
        <f t="shared" si="809"/>
        <v>0</v>
      </c>
      <c r="AF404" s="139">
        <f t="shared" si="809"/>
        <v>0</v>
      </c>
      <c r="AG404" s="139">
        <f t="shared" si="809"/>
        <v>0</v>
      </c>
      <c r="AH404" s="139">
        <f t="shared" si="809"/>
        <v>1.0256410256410256E-2</v>
      </c>
      <c r="AI404" s="139">
        <f t="shared" si="809"/>
        <v>0</v>
      </c>
    </row>
    <row r="405" spans="2:35">
      <c r="B405" s="138" t="s">
        <v>8077</v>
      </c>
      <c r="C405" s="138" t="s">
        <v>4367</v>
      </c>
      <c r="D405" s="138" t="s">
        <v>792</v>
      </c>
      <c r="E405" s="138" t="s">
        <v>8119</v>
      </c>
      <c r="F405" s="138" t="s">
        <v>8119</v>
      </c>
      <c r="H405" s="138">
        <v>155</v>
      </c>
      <c r="I405" s="138">
        <v>794</v>
      </c>
      <c r="J405" s="138">
        <v>582</v>
      </c>
      <c r="K405" s="138">
        <v>199</v>
      </c>
      <c r="N405" s="138">
        <v>4</v>
      </c>
      <c r="O405" s="138">
        <v>0</v>
      </c>
      <c r="S405" s="138">
        <v>7</v>
      </c>
      <c r="T405" s="138">
        <v>2</v>
      </c>
      <c r="U405" s="138">
        <f t="shared" si="512"/>
        <v>9</v>
      </c>
      <c r="W405" s="139">
        <f t="shared" ref="W405:AA405" si="810">J405/$I405</f>
        <v>0.73299748110831231</v>
      </c>
      <c r="X405" s="139">
        <f t="shared" si="810"/>
        <v>0.25062972292191438</v>
      </c>
      <c r="Y405" s="139">
        <f t="shared" si="810"/>
        <v>0</v>
      </c>
      <c r="Z405" s="139">
        <f t="shared" si="810"/>
        <v>0</v>
      </c>
      <c r="AA405" s="139">
        <f t="shared" si="810"/>
        <v>5.0377833753148613E-3</v>
      </c>
      <c r="AB405" s="139"/>
      <c r="AC405" s="139">
        <f t="shared" si="514"/>
        <v>1.1335012594458438E-2</v>
      </c>
      <c r="AD405" s="139">
        <f t="shared" ref="AD405:AI405" si="811">O405/$I405</f>
        <v>0</v>
      </c>
      <c r="AE405" s="139">
        <f t="shared" si="811"/>
        <v>0</v>
      </c>
      <c r="AF405" s="139">
        <f t="shared" si="811"/>
        <v>0</v>
      </c>
      <c r="AG405" s="139">
        <f t="shared" si="811"/>
        <v>0</v>
      </c>
      <c r="AH405" s="139">
        <f t="shared" si="811"/>
        <v>8.8161209068010078E-3</v>
      </c>
      <c r="AI405" s="139">
        <f t="shared" si="811"/>
        <v>2.5188916876574307E-3</v>
      </c>
    </row>
    <row r="406" spans="2:35">
      <c r="B406" s="138" t="s">
        <v>8077</v>
      </c>
      <c r="C406" s="138" t="s">
        <v>4367</v>
      </c>
      <c r="D406" s="138" t="s">
        <v>792</v>
      </c>
      <c r="E406" s="138" t="s">
        <v>8119</v>
      </c>
      <c r="F406" s="138" t="s">
        <v>8119</v>
      </c>
      <c r="H406" s="138">
        <v>156</v>
      </c>
      <c r="I406" s="138">
        <v>915</v>
      </c>
      <c r="J406" s="138">
        <v>734</v>
      </c>
      <c r="K406" s="138">
        <v>154</v>
      </c>
      <c r="N406" s="138">
        <v>6</v>
      </c>
      <c r="O406" s="138">
        <v>1</v>
      </c>
      <c r="S406" s="138">
        <v>16</v>
      </c>
      <c r="T406" s="138">
        <v>4</v>
      </c>
      <c r="U406" s="138">
        <f t="shared" si="512"/>
        <v>21</v>
      </c>
      <c r="W406" s="139">
        <f t="shared" ref="W406:AA406" si="812">J406/$I406</f>
        <v>0.80218579234972676</v>
      </c>
      <c r="X406" s="139">
        <f t="shared" si="812"/>
        <v>0.16830601092896175</v>
      </c>
      <c r="Y406" s="139">
        <f t="shared" si="812"/>
        <v>0</v>
      </c>
      <c r="Z406" s="139">
        <f t="shared" si="812"/>
        <v>0</v>
      </c>
      <c r="AA406" s="139">
        <f t="shared" si="812"/>
        <v>6.5573770491803279E-3</v>
      </c>
      <c r="AB406" s="139"/>
      <c r="AC406" s="139">
        <f t="shared" si="514"/>
        <v>2.2950819672131147E-2</v>
      </c>
      <c r="AD406" s="139">
        <f t="shared" ref="AD406:AI406" si="813">O406/$I406</f>
        <v>1.092896174863388E-3</v>
      </c>
      <c r="AE406" s="139">
        <f t="shared" si="813"/>
        <v>0</v>
      </c>
      <c r="AF406" s="139">
        <f t="shared" si="813"/>
        <v>0</v>
      </c>
      <c r="AG406" s="139">
        <f t="shared" si="813"/>
        <v>0</v>
      </c>
      <c r="AH406" s="139">
        <f t="shared" si="813"/>
        <v>1.7486338797814208E-2</v>
      </c>
      <c r="AI406" s="139">
        <f t="shared" si="813"/>
        <v>4.3715846994535519E-3</v>
      </c>
    </row>
    <row r="407" spans="2:35">
      <c r="B407" s="138" t="s">
        <v>8077</v>
      </c>
      <c r="C407" s="138" t="s">
        <v>4367</v>
      </c>
      <c r="D407" s="138" t="s">
        <v>792</v>
      </c>
      <c r="E407" s="138" t="s">
        <v>8119</v>
      </c>
      <c r="F407" s="138" t="s">
        <v>8119</v>
      </c>
      <c r="H407" s="138">
        <v>157</v>
      </c>
      <c r="I407" s="138">
        <v>866</v>
      </c>
      <c r="J407" s="138">
        <v>622</v>
      </c>
      <c r="K407" s="138">
        <v>207</v>
      </c>
      <c r="N407" s="138">
        <v>7</v>
      </c>
      <c r="O407" s="138">
        <v>0</v>
      </c>
      <c r="S407" s="138">
        <v>25</v>
      </c>
      <c r="T407" s="138">
        <v>5</v>
      </c>
      <c r="U407" s="138">
        <f t="shared" si="512"/>
        <v>30</v>
      </c>
      <c r="W407" s="139">
        <f t="shared" ref="W407:AA407" si="814">J407/$I407</f>
        <v>0.71824480369515009</v>
      </c>
      <c r="X407" s="139">
        <f t="shared" si="814"/>
        <v>0.23903002309468821</v>
      </c>
      <c r="Y407" s="139">
        <f t="shared" si="814"/>
        <v>0</v>
      </c>
      <c r="Z407" s="139">
        <f t="shared" si="814"/>
        <v>0</v>
      </c>
      <c r="AA407" s="139">
        <f t="shared" si="814"/>
        <v>8.0831408775981529E-3</v>
      </c>
      <c r="AB407" s="139"/>
      <c r="AC407" s="139">
        <f t="shared" si="514"/>
        <v>3.4642032332563508E-2</v>
      </c>
      <c r="AD407" s="139">
        <f t="shared" ref="AD407:AI407" si="815">O407/$I407</f>
        <v>0</v>
      </c>
      <c r="AE407" s="139">
        <f t="shared" si="815"/>
        <v>0</v>
      </c>
      <c r="AF407" s="139">
        <f t="shared" si="815"/>
        <v>0</v>
      </c>
      <c r="AG407" s="139">
        <f t="shared" si="815"/>
        <v>0</v>
      </c>
      <c r="AH407" s="139">
        <f t="shared" si="815"/>
        <v>2.8868360277136258E-2</v>
      </c>
      <c r="AI407" s="139">
        <f t="shared" si="815"/>
        <v>5.7736720554272519E-3</v>
      </c>
    </row>
    <row r="408" spans="2:35">
      <c r="B408" s="138" t="s">
        <v>8077</v>
      </c>
      <c r="C408" s="138" t="s">
        <v>4367</v>
      </c>
      <c r="D408" s="138" t="s">
        <v>792</v>
      </c>
      <c r="E408" s="138" t="s">
        <v>8119</v>
      </c>
      <c r="F408" s="138" t="s">
        <v>8119</v>
      </c>
      <c r="H408" s="138">
        <v>158</v>
      </c>
      <c r="I408" s="138">
        <v>814</v>
      </c>
      <c r="J408" s="138">
        <v>502</v>
      </c>
      <c r="K408" s="138">
        <v>281</v>
      </c>
      <c r="N408" s="138">
        <v>8</v>
      </c>
      <c r="O408" s="138">
        <v>1</v>
      </c>
      <c r="S408" s="138">
        <v>19</v>
      </c>
      <c r="T408" s="138">
        <v>3</v>
      </c>
      <c r="U408" s="138">
        <f t="shared" si="512"/>
        <v>23</v>
      </c>
      <c r="W408" s="139">
        <f t="shared" ref="W408:AA408" si="816">J408/$I408</f>
        <v>0.61670761670761676</v>
      </c>
      <c r="X408" s="139">
        <f t="shared" si="816"/>
        <v>0.34520884520884521</v>
      </c>
      <c r="Y408" s="139">
        <f t="shared" si="816"/>
        <v>0</v>
      </c>
      <c r="Z408" s="139">
        <f t="shared" si="816"/>
        <v>0</v>
      </c>
      <c r="AA408" s="139">
        <f t="shared" si="816"/>
        <v>9.8280098280098278E-3</v>
      </c>
      <c r="AB408" s="139"/>
      <c r="AC408" s="139">
        <f t="shared" si="514"/>
        <v>2.8255528255528257E-2</v>
      </c>
      <c r="AD408" s="139">
        <f t="shared" ref="AD408:AI408" si="817">O408/$I408</f>
        <v>1.2285012285012285E-3</v>
      </c>
      <c r="AE408" s="139">
        <f t="shared" si="817"/>
        <v>0</v>
      </c>
      <c r="AF408" s="139">
        <f t="shared" si="817"/>
        <v>0</v>
      </c>
      <c r="AG408" s="139">
        <f t="shared" si="817"/>
        <v>0</v>
      </c>
      <c r="AH408" s="139">
        <f t="shared" si="817"/>
        <v>2.334152334152334E-2</v>
      </c>
      <c r="AI408" s="139">
        <f t="shared" si="817"/>
        <v>3.6855036855036856E-3</v>
      </c>
    </row>
    <row r="409" spans="2:35">
      <c r="B409" s="138" t="s">
        <v>8077</v>
      </c>
      <c r="C409" s="138" t="s">
        <v>4367</v>
      </c>
      <c r="D409" s="138" t="s">
        <v>792</v>
      </c>
      <c r="E409" s="138" t="s">
        <v>8119</v>
      </c>
      <c r="F409" s="138" t="s">
        <v>8119</v>
      </c>
      <c r="H409" s="138">
        <v>159</v>
      </c>
      <c r="I409" s="138">
        <v>793</v>
      </c>
      <c r="J409" s="138">
        <v>546</v>
      </c>
      <c r="K409" s="138">
        <v>206</v>
      </c>
      <c r="N409" s="138">
        <v>9</v>
      </c>
      <c r="O409" s="138">
        <v>3</v>
      </c>
      <c r="S409" s="138">
        <v>25</v>
      </c>
      <c r="T409" s="138">
        <v>4</v>
      </c>
      <c r="U409" s="138">
        <f t="shared" si="512"/>
        <v>32</v>
      </c>
      <c r="W409" s="139">
        <f t="shared" ref="W409:AA409" si="818">J409/$I409</f>
        <v>0.68852459016393441</v>
      </c>
      <c r="X409" s="139">
        <f t="shared" si="818"/>
        <v>0.25977301387137453</v>
      </c>
      <c r="Y409" s="139">
        <f t="shared" si="818"/>
        <v>0</v>
      </c>
      <c r="Z409" s="139">
        <f t="shared" si="818"/>
        <v>0</v>
      </c>
      <c r="AA409" s="139">
        <f t="shared" si="818"/>
        <v>1.1349306431273645E-2</v>
      </c>
      <c r="AB409" s="139"/>
      <c r="AC409" s="139">
        <f t="shared" si="514"/>
        <v>4.0353089533417402E-2</v>
      </c>
      <c r="AD409" s="139">
        <f t="shared" ref="AD409:AI409" si="819">O409/$I409</f>
        <v>3.7831021437578815E-3</v>
      </c>
      <c r="AE409" s="139">
        <f t="shared" si="819"/>
        <v>0</v>
      </c>
      <c r="AF409" s="139">
        <f t="shared" si="819"/>
        <v>0</v>
      </c>
      <c r="AG409" s="139">
        <f t="shared" si="819"/>
        <v>0</v>
      </c>
      <c r="AH409" s="139">
        <f t="shared" si="819"/>
        <v>3.1525851197982346E-2</v>
      </c>
      <c r="AI409" s="139">
        <f t="shared" si="819"/>
        <v>5.0441361916771753E-3</v>
      </c>
    </row>
    <row r="410" spans="2:35">
      <c r="B410" s="138" t="s">
        <v>8077</v>
      </c>
      <c r="C410" s="138" t="s">
        <v>4367</v>
      </c>
      <c r="D410" s="138" t="s">
        <v>792</v>
      </c>
      <c r="E410" s="138" t="s">
        <v>8119</v>
      </c>
      <c r="F410" s="138" t="s">
        <v>8119</v>
      </c>
      <c r="H410" s="138">
        <v>160</v>
      </c>
      <c r="I410" s="138">
        <v>774</v>
      </c>
      <c r="J410" s="138">
        <v>519</v>
      </c>
      <c r="K410" s="138">
        <v>219</v>
      </c>
      <c r="N410" s="138">
        <v>6</v>
      </c>
      <c r="O410" s="138">
        <v>3</v>
      </c>
      <c r="S410" s="138">
        <v>21</v>
      </c>
      <c r="T410" s="138">
        <v>6</v>
      </c>
      <c r="U410" s="138">
        <f t="shared" si="512"/>
        <v>30</v>
      </c>
      <c r="W410" s="139">
        <f t="shared" ref="W410:AA410" si="820">J410/$I410</f>
        <v>0.6705426356589147</v>
      </c>
      <c r="X410" s="139">
        <f t="shared" si="820"/>
        <v>0.28294573643410853</v>
      </c>
      <c r="Y410" s="139">
        <f t="shared" si="820"/>
        <v>0</v>
      </c>
      <c r="Z410" s="139">
        <f t="shared" si="820"/>
        <v>0</v>
      </c>
      <c r="AA410" s="139">
        <f t="shared" si="820"/>
        <v>7.7519379844961239E-3</v>
      </c>
      <c r="AB410" s="139"/>
      <c r="AC410" s="139">
        <f t="shared" si="514"/>
        <v>3.875968992248062E-2</v>
      </c>
      <c r="AD410" s="139">
        <f t="shared" ref="AD410:AI410" si="821">O410/$I410</f>
        <v>3.875968992248062E-3</v>
      </c>
      <c r="AE410" s="139">
        <f t="shared" si="821"/>
        <v>0</v>
      </c>
      <c r="AF410" s="139">
        <f t="shared" si="821"/>
        <v>0</v>
      </c>
      <c r="AG410" s="139">
        <f t="shared" si="821"/>
        <v>0</v>
      </c>
      <c r="AH410" s="139">
        <f t="shared" si="821"/>
        <v>2.7131782945736434E-2</v>
      </c>
      <c r="AI410" s="139">
        <f t="shared" si="821"/>
        <v>7.7519379844961239E-3</v>
      </c>
    </row>
    <row r="411" spans="2:35">
      <c r="B411" s="138" t="s">
        <v>8077</v>
      </c>
      <c r="C411" s="138" t="s">
        <v>4367</v>
      </c>
      <c r="D411" s="138" t="s">
        <v>792</v>
      </c>
      <c r="E411" s="138" t="s">
        <v>8119</v>
      </c>
      <c r="F411" s="138" t="s">
        <v>8119</v>
      </c>
      <c r="H411" s="138">
        <v>161</v>
      </c>
      <c r="I411" s="138">
        <v>762</v>
      </c>
      <c r="J411" s="138">
        <v>509</v>
      </c>
      <c r="K411" s="138">
        <v>224</v>
      </c>
      <c r="N411" s="138">
        <v>4</v>
      </c>
      <c r="O411" s="138">
        <v>2</v>
      </c>
      <c r="S411" s="138">
        <v>19</v>
      </c>
      <c r="T411" s="138">
        <v>4</v>
      </c>
      <c r="U411" s="138">
        <f t="shared" si="512"/>
        <v>25</v>
      </c>
      <c r="W411" s="139">
        <f t="shared" ref="W411:AA411" si="822">J411/$I411</f>
        <v>0.66797900262467191</v>
      </c>
      <c r="X411" s="139">
        <f t="shared" si="822"/>
        <v>0.29396325459317585</v>
      </c>
      <c r="Y411" s="139">
        <f t="shared" si="822"/>
        <v>0</v>
      </c>
      <c r="Z411" s="139">
        <f t="shared" si="822"/>
        <v>0</v>
      </c>
      <c r="AA411" s="139">
        <f t="shared" si="822"/>
        <v>5.2493438320209973E-3</v>
      </c>
      <c r="AB411" s="139"/>
      <c r="AC411" s="139">
        <f t="shared" si="514"/>
        <v>3.2808398950131233E-2</v>
      </c>
      <c r="AD411" s="139">
        <f t="shared" ref="AD411:AI411" si="823">O411/$I411</f>
        <v>2.6246719160104987E-3</v>
      </c>
      <c r="AE411" s="139">
        <f t="shared" si="823"/>
        <v>0</v>
      </c>
      <c r="AF411" s="139">
        <f t="shared" si="823"/>
        <v>0</v>
      </c>
      <c r="AG411" s="139">
        <f t="shared" si="823"/>
        <v>0</v>
      </c>
      <c r="AH411" s="139">
        <f t="shared" si="823"/>
        <v>2.4934383202099737E-2</v>
      </c>
      <c r="AI411" s="139">
        <f t="shared" si="823"/>
        <v>5.2493438320209973E-3</v>
      </c>
    </row>
    <row r="412" spans="2:35">
      <c r="B412" s="138" t="s">
        <v>8077</v>
      </c>
      <c r="C412" s="138" t="s">
        <v>4367</v>
      </c>
      <c r="D412" s="138" t="s">
        <v>792</v>
      </c>
      <c r="E412" s="138" t="s">
        <v>8119</v>
      </c>
      <c r="F412" s="138" t="s">
        <v>8119</v>
      </c>
      <c r="H412" s="138">
        <v>162</v>
      </c>
      <c r="I412" s="138">
        <v>821</v>
      </c>
      <c r="J412" s="138">
        <v>531</v>
      </c>
      <c r="K412" s="138">
        <v>257</v>
      </c>
      <c r="N412" s="138">
        <v>9</v>
      </c>
      <c r="O412" s="138">
        <v>4</v>
      </c>
      <c r="S412" s="138">
        <v>12</v>
      </c>
      <c r="T412" s="138">
        <v>8</v>
      </c>
      <c r="U412" s="138">
        <f t="shared" si="512"/>
        <v>24</v>
      </c>
      <c r="W412" s="139">
        <f t="shared" ref="W412:AA412" si="824">J412/$I412</f>
        <v>0.64677222898903775</v>
      </c>
      <c r="X412" s="139">
        <f t="shared" si="824"/>
        <v>0.31303288672350793</v>
      </c>
      <c r="Y412" s="139">
        <f t="shared" si="824"/>
        <v>0</v>
      </c>
      <c r="Z412" s="139">
        <f t="shared" si="824"/>
        <v>0</v>
      </c>
      <c r="AA412" s="139">
        <f t="shared" si="824"/>
        <v>1.0962241169305725E-2</v>
      </c>
      <c r="AB412" s="139"/>
      <c r="AC412" s="139">
        <f t="shared" si="514"/>
        <v>2.9232643118148598E-2</v>
      </c>
      <c r="AD412" s="139">
        <f t="shared" ref="AD412:AI412" si="825">O412/$I412</f>
        <v>4.8721071863580996E-3</v>
      </c>
      <c r="AE412" s="139">
        <f t="shared" si="825"/>
        <v>0</v>
      </c>
      <c r="AF412" s="139">
        <f t="shared" si="825"/>
        <v>0</v>
      </c>
      <c r="AG412" s="139">
        <f t="shared" si="825"/>
        <v>0</v>
      </c>
      <c r="AH412" s="139">
        <f t="shared" si="825"/>
        <v>1.4616321559074299E-2</v>
      </c>
      <c r="AI412" s="139">
        <f t="shared" si="825"/>
        <v>9.7442143727161992E-3</v>
      </c>
    </row>
    <row r="413" spans="2:35">
      <c r="B413" s="138" t="s">
        <v>8077</v>
      </c>
      <c r="C413" s="138" t="s">
        <v>4367</v>
      </c>
      <c r="D413" s="138" t="s">
        <v>792</v>
      </c>
      <c r="E413" s="138" t="s">
        <v>8119</v>
      </c>
      <c r="F413" s="138" t="s">
        <v>8119</v>
      </c>
      <c r="H413" s="138">
        <v>163</v>
      </c>
      <c r="I413" s="138">
        <v>733</v>
      </c>
      <c r="J413" s="138">
        <v>448</v>
      </c>
      <c r="K413" s="138">
        <v>254</v>
      </c>
      <c r="N413" s="138">
        <v>6</v>
      </c>
      <c r="O413" s="138">
        <v>0</v>
      </c>
      <c r="S413" s="138">
        <v>18</v>
      </c>
      <c r="T413" s="138">
        <v>7</v>
      </c>
      <c r="U413" s="138">
        <f t="shared" si="512"/>
        <v>25</v>
      </c>
      <c r="W413" s="139">
        <f t="shared" ref="W413:AA413" si="826">J413/$I413</f>
        <v>0.61118690313778989</v>
      </c>
      <c r="X413" s="139">
        <f t="shared" si="826"/>
        <v>0.34652114597544337</v>
      </c>
      <c r="Y413" s="139">
        <f t="shared" si="826"/>
        <v>0</v>
      </c>
      <c r="Z413" s="139">
        <f t="shared" si="826"/>
        <v>0</v>
      </c>
      <c r="AA413" s="139">
        <f t="shared" si="826"/>
        <v>8.1855388813096858E-3</v>
      </c>
      <c r="AB413" s="139"/>
      <c r="AC413" s="139">
        <f t="shared" si="514"/>
        <v>3.4106412005457026E-2</v>
      </c>
      <c r="AD413" s="139">
        <f t="shared" ref="AD413:AI413" si="827">O413/$I413</f>
        <v>0</v>
      </c>
      <c r="AE413" s="139">
        <f t="shared" si="827"/>
        <v>0</v>
      </c>
      <c r="AF413" s="139">
        <f t="shared" si="827"/>
        <v>0</v>
      </c>
      <c r="AG413" s="139">
        <f t="shared" si="827"/>
        <v>0</v>
      </c>
      <c r="AH413" s="139">
        <f t="shared" si="827"/>
        <v>2.4556616643929059E-2</v>
      </c>
      <c r="AI413" s="139">
        <f t="shared" si="827"/>
        <v>9.5497953615279671E-3</v>
      </c>
    </row>
    <row r="414" spans="2:35">
      <c r="B414" s="138" t="s">
        <v>8077</v>
      </c>
      <c r="C414" s="138" t="s">
        <v>4367</v>
      </c>
      <c r="D414" s="138" t="s">
        <v>792</v>
      </c>
      <c r="E414" s="138" t="s">
        <v>8119</v>
      </c>
      <c r="F414" s="138" t="s">
        <v>8119</v>
      </c>
      <c r="H414" s="138">
        <v>164</v>
      </c>
      <c r="I414" s="138">
        <v>710</v>
      </c>
      <c r="J414" s="138">
        <v>458</v>
      </c>
      <c r="K414" s="138">
        <v>236</v>
      </c>
      <c r="N414" s="138">
        <v>7</v>
      </c>
      <c r="O414" s="138">
        <v>2</v>
      </c>
      <c r="S414" s="138">
        <v>5</v>
      </c>
      <c r="T414" s="138">
        <v>2</v>
      </c>
      <c r="U414" s="138">
        <f t="shared" si="512"/>
        <v>9</v>
      </c>
      <c r="W414" s="139">
        <f t="shared" ref="W414:AA414" si="828">J414/$I414</f>
        <v>0.6450704225352113</v>
      </c>
      <c r="X414" s="139">
        <f t="shared" si="828"/>
        <v>0.3323943661971831</v>
      </c>
      <c r="Y414" s="139">
        <f t="shared" si="828"/>
        <v>0</v>
      </c>
      <c r="Z414" s="139">
        <f t="shared" si="828"/>
        <v>0</v>
      </c>
      <c r="AA414" s="139">
        <f t="shared" si="828"/>
        <v>9.8591549295774655E-3</v>
      </c>
      <c r="AB414" s="139"/>
      <c r="AC414" s="139">
        <f t="shared" si="514"/>
        <v>1.2676056338028169E-2</v>
      </c>
      <c r="AD414" s="139">
        <f t="shared" ref="AD414:AI414" si="829">O414/$I414</f>
        <v>2.8169014084507044E-3</v>
      </c>
      <c r="AE414" s="139">
        <f t="shared" si="829"/>
        <v>0</v>
      </c>
      <c r="AF414" s="139">
        <f t="shared" si="829"/>
        <v>0</v>
      </c>
      <c r="AG414" s="139">
        <f t="shared" si="829"/>
        <v>0</v>
      </c>
      <c r="AH414" s="139">
        <f t="shared" si="829"/>
        <v>7.0422535211267607E-3</v>
      </c>
      <c r="AI414" s="139">
        <f t="shared" si="829"/>
        <v>2.8169014084507044E-3</v>
      </c>
    </row>
    <row r="415" spans="2:35">
      <c r="B415" s="138" t="s">
        <v>8077</v>
      </c>
      <c r="C415" s="138" t="s">
        <v>4367</v>
      </c>
      <c r="D415" s="138" t="s">
        <v>792</v>
      </c>
      <c r="E415" s="138" t="s">
        <v>8119</v>
      </c>
      <c r="F415" s="138" t="s">
        <v>8119</v>
      </c>
      <c r="H415" s="138">
        <v>165</v>
      </c>
      <c r="I415" s="138">
        <v>636</v>
      </c>
      <c r="J415" s="138">
        <v>434</v>
      </c>
      <c r="K415" s="138">
        <v>175</v>
      </c>
      <c r="N415" s="138">
        <v>8</v>
      </c>
      <c r="O415" s="138">
        <v>2</v>
      </c>
      <c r="S415" s="138">
        <v>14</v>
      </c>
      <c r="T415" s="138">
        <v>3</v>
      </c>
      <c r="U415" s="138">
        <f t="shared" si="512"/>
        <v>19</v>
      </c>
      <c r="W415" s="139">
        <f t="shared" ref="W415:AA415" si="830">J415/$I415</f>
        <v>0.6823899371069182</v>
      </c>
      <c r="X415" s="139">
        <f t="shared" si="830"/>
        <v>0.27515723270440251</v>
      </c>
      <c r="Y415" s="139">
        <f t="shared" si="830"/>
        <v>0</v>
      </c>
      <c r="Z415" s="139">
        <f t="shared" si="830"/>
        <v>0</v>
      </c>
      <c r="AA415" s="139">
        <f t="shared" si="830"/>
        <v>1.2578616352201259E-2</v>
      </c>
      <c r="AB415" s="139"/>
      <c r="AC415" s="139">
        <f t="shared" si="514"/>
        <v>2.9874213836477988E-2</v>
      </c>
      <c r="AD415" s="139">
        <f t="shared" ref="AD415:AI415" si="831">O415/$I415</f>
        <v>3.1446540880503146E-3</v>
      </c>
      <c r="AE415" s="139">
        <f t="shared" si="831"/>
        <v>0</v>
      </c>
      <c r="AF415" s="139">
        <f t="shared" si="831"/>
        <v>0</v>
      </c>
      <c r="AG415" s="139">
        <f t="shared" si="831"/>
        <v>0</v>
      </c>
      <c r="AH415" s="139">
        <f t="shared" si="831"/>
        <v>2.20125786163522E-2</v>
      </c>
      <c r="AI415" s="139">
        <f t="shared" si="831"/>
        <v>4.7169811320754715E-3</v>
      </c>
    </row>
    <row r="416" spans="2:35">
      <c r="B416" s="138" t="s">
        <v>8077</v>
      </c>
      <c r="C416" s="138" t="s">
        <v>4367</v>
      </c>
      <c r="D416" s="138" t="s">
        <v>792</v>
      </c>
      <c r="E416" s="138" t="s">
        <v>8119</v>
      </c>
      <c r="F416" s="138" t="s">
        <v>8119</v>
      </c>
      <c r="H416" s="138">
        <v>166</v>
      </c>
      <c r="I416" s="138">
        <v>755</v>
      </c>
      <c r="J416" s="138">
        <v>453</v>
      </c>
      <c r="K416" s="138">
        <v>270</v>
      </c>
      <c r="N416" s="138">
        <v>13</v>
      </c>
      <c r="O416" s="138">
        <v>3</v>
      </c>
      <c r="S416" s="138">
        <v>10</v>
      </c>
      <c r="T416" s="138">
        <v>6</v>
      </c>
      <c r="U416" s="138">
        <f t="shared" si="512"/>
        <v>19</v>
      </c>
      <c r="W416" s="139">
        <f t="shared" ref="W416:AA416" si="832">J416/$I416</f>
        <v>0.6</v>
      </c>
      <c r="X416" s="139">
        <f t="shared" si="832"/>
        <v>0.35761589403973509</v>
      </c>
      <c r="Y416" s="139">
        <f t="shared" si="832"/>
        <v>0</v>
      </c>
      <c r="Z416" s="139">
        <f t="shared" si="832"/>
        <v>0</v>
      </c>
      <c r="AA416" s="139">
        <f t="shared" si="832"/>
        <v>1.7218543046357615E-2</v>
      </c>
      <c r="AB416" s="139"/>
      <c r="AC416" s="139">
        <f t="shared" si="514"/>
        <v>2.5165562913907286E-2</v>
      </c>
      <c r="AD416" s="139">
        <f t="shared" ref="AD416:AI416" si="833">O416/$I416</f>
        <v>3.9735099337748344E-3</v>
      </c>
      <c r="AE416" s="139">
        <f t="shared" si="833"/>
        <v>0</v>
      </c>
      <c r="AF416" s="139">
        <f t="shared" si="833"/>
        <v>0</v>
      </c>
      <c r="AG416" s="139">
        <f t="shared" si="833"/>
        <v>0</v>
      </c>
      <c r="AH416" s="139">
        <f t="shared" si="833"/>
        <v>1.3245033112582781E-2</v>
      </c>
      <c r="AI416" s="139">
        <f t="shared" si="833"/>
        <v>7.9470198675496689E-3</v>
      </c>
    </row>
    <row r="417" spans="2:35">
      <c r="B417" s="138" t="s">
        <v>8077</v>
      </c>
      <c r="C417" s="138" t="s">
        <v>4367</v>
      </c>
      <c r="D417" s="138" t="s">
        <v>792</v>
      </c>
      <c r="E417" s="138" t="s">
        <v>8119</v>
      </c>
      <c r="F417" s="138" t="s">
        <v>8119</v>
      </c>
      <c r="H417" s="138">
        <v>167</v>
      </c>
      <c r="I417" s="138">
        <v>888</v>
      </c>
      <c r="J417" s="138">
        <v>636</v>
      </c>
      <c r="K417" s="138">
        <v>215</v>
      </c>
      <c r="N417" s="138">
        <v>14</v>
      </c>
      <c r="O417" s="138">
        <v>3</v>
      </c>
      <c r="S417" s="138">
        <v>18</v>
      </c>
      <c r="T417" s="138">
        <v>2</v>
      </c>
      <c r="U417" s="138">
        <f t="shared" si="512"/>
        <v>23</v>
      </c>
      <c r="W417" s="139">
        <f t="shared" ref="W417:AA417" si="834">J417/$I417</f>
        <v>0.71621621621621623</v>
      </c>
      <c r="X417" s="139">
        <f t="shared" si="834"/>
        <v>0.24211711711711711</v>
      </c>
      <c r="Y417" s="139">
        <f t="shared" si="834"/>
        <v>0</v>
      </c>
      <c r="Z417" s="139">
        <f t="shared" si="834"/>
        <v>0</v>
      </c>
      <c r="AA417" s="139">
        <f t="shared" si="834"/>
        <v>1.5765765765765764E-2</v>
      </c>
      <c r="AB417" s="139"/>
      <c r="AC417" s="139">
        <f t="shared" si="514"/>
        <v>2.59009009009009E-2</v>
      </c>
      <c r="AD417" s="139">
        <f t="shared" ref="AD417:AI417" si="835">O417/$I417</f>
        <v>3.3783783783783786E-3</v>
      </c>
      <c r="AE417" s="139">
        <f t="shared" si="835"/>
        <v>0</v>
      </c>
      <c r="AF417" s="139">
        <f t="shared" si="835"/>
        <v>0</v>
      </c>
      <c r="AG417" s="139">
        <f t="shared" si="835"/>
        <v>0</v>
      </c>
      <c r="AH417" s="139">
        <f t="shared" si="835"/>
        <v>2.0270270270270271E-2</v>
      </c>
      <c r="AI417" s="139">
        <f t="shared" si="835"/>
        <v>2.2522522522522522E-3</v>
      </c>
    </row>
    <row r="418" spans="2:35">
      <c r="B418" s="138" t="s">
        <v>8077</v>
      </c>
      <c r="C418" s="138" t="s">
        <v>4367</v>
      </c>
      <c r="D418" s="138" t="s">
        <v>792</v>
      </c>
      <c r="E418" s="138" t="s">
        <v>8119</v>
      </c>
      <c r="F418" s="138" t="s">
        <v>8119</v>
      </c>
      <c r="H418" s="138">
        <v>168</v>
      </c>
      <c r="I418" s="138">
        <v>819</v>
      </c>
      <c r="J418" s="138">
        <v>608</v>
      </c>
      <c r="K418" s="138">
        <v>175</v>
      </c>
      <c r="N418" s="138">
        <v>6</v>
      </c>
      <c r="O418" s="138">
        <v>1</v>
      </c>
      <c r="S418" s="138">
        <v>24</v>
      </c>
      <c r="T418" s="138">
        <v>5</v>
      </c>
      <c r="U418" s="138">
        <f t="shared" si="512"/>
        <v>30</v>
      </c>
      <c r="W418" s="139">
        <f t="shared" ref="W418:AA418" si="836">J418/$I418</f>
        <v>0.7423687423687424</v>
      </c>
      <c r="X418" s="139">
        <f t="shared" si="836"/>
        <v>0.21367521367521367</v>
      </c>
      <c r="Y418" s="139">
        <f t="shared" si="836"/>
        <v>0</v>
      </c>
      <c r="Z418" s="139">
        <f t="shared" si="836"/>
        <v>0</v>
      </c>
      <c r="AA418" s="139">
        <f t="shared" si="836"/>
        <v>7.326007326007326E-3</v>
      </c>
      <c r="AB418" s="139"/>
      <c r="AC418" s="139">
        <f t="shared" si="514"/>
        <v>3.6630036630036632E-2</v>
      </c>
      <c r="AD418" s="139">
        <f t="shared" ref="AD418:AI418" si="837">O418/$I418</f>
        <v>1.221001221001221E-3</v>
      </c>
      <c r="AE418" s="139">
        <f t="shared" si="837"/>
        <v>0</v>
      </c>
      <c r="AF418" s="139">
        <f t="shared" si="837"/>
        <v>0</v>
      </c>
      <c r="AG418" s="139">
        <f t="shared" si="837"/>
        <v>0</v>
      </c>
      <c r="AH418" s="139">
        <f t="shared" si="837"/>
        <v>2.9304029304029304E-2</v>
      </c>
      <c r="AI418" s="139">
        <f t="shared" si="837"/>
        <v>6.105006105006105E-3</v>
      </c>
    </row>
    <row r="419" spans="2:35">
      <c r="B419" s="138" t="s">
        <v>8077</v>
      </c>
      <c r="C419" s="138" t="s">
        <v>4367</v>
      </c>
      <c r="D419" s="138" t="s">
        <v>792</v>
      </c>
      <c r="E419" s="138" t="s">
        <v>8119</v>
      </c>
      <c r="F419" s="138" t="s">
        <v>8119</v>
      </c>
      <c r="H419" s="138">
        <v>169</v>
      </c>
      <c r="I419" s="138">
        <v>870</v>
      </c>
      <c r="J419" s="138">
        <v>580</v>
      </c>
      <c r="K419" s="138">
        <v>225</v>
      </c>
      <c r="N419" s="138">
        <v>10</v>
      </c>
      <c r="O419" s="138">
        <v>3</v>
      </c>
      <c r="S419" s="138">
        <v>42</v>
      </c>
      <c r="T419" s="138">
        <v>10</v>
      </c>
      <c r="U419" s="138">
        <f t="shared" si="512"/>
        <v>55</v>
      </c>
      <c r="W419" s="139">
        <f t="shared" ref="W419:AA419" si="838">J419/$I419</f>
        <v>0.66666666666666663</v>
      </c>
      <c r="X419" s="139">
        <f t="shared" si="838"/>
        <v>0.25862068965517243</v>
      </c>
      <c r="Y419" s="139">
        <f t="shared" si="838"/>
        <v>0</v>
      </c>
      <c r="Z419" s="139">
        <f t="shared" si="838"/>
        <v>0</v>
      </c>
      <c r="AA419" s="139">
        <f t="shared" si="838"/>
        <v>1.1494252873563218E-2</v>
      </c>
      <c r="AB419" s="139"/>
      <c r="AC419" s="139">
        <f t="shared" si="514"/>
        <v>6.3218390804597707E-2</v>
      </c>
      <c r="AD419" s="139">
        <f t="shared" ref="AD419:AI419" si="839">O419/$I419</f>
        <v>3.4482758620689655E-3</v>
      </c>
      <c r="AE419" s="139">
        <f t="shared" si="839"/>
        <v>0</v>
      </c>
      <c r="AF419" s="139">
        <f t="shared" si="839"/>
        <v>0</v>
      </c>
      <c r="AG419" s="139">
        <f t="shared" si="839"/>
        <v>0</v>
      </c>
      <c r="AH419" s="139">
        <f t="shared" si="839"/>
        <v>4.8275862068965517E-2</v>
      </c>
      <c r="AI419" s="139">
        <f t="shared" si="839"/>
        <v>1.1494252873563218E-2</v>
      </c>
    </row>
    <row r="420" spans="2:35">
      <c r="B420" s="138" t="s">
        <v>8077</v>
      </c>
      <c r="C420" s="138" t="s">
        <v>4367</v>
      </c>
      <c r="D420" s="138" t="s">
        <v>792</v>
      </c>
      <c r="E420" s="138" t="s">
        <v>8119</v>
      </c>
      <c r="F420" s="138" t="s">
        <v>8119</v>
      </c>
      <c r="H420" s="138">
        <v>170</v>
      </c>
      <c r="I420" s="138">
        <v>812</v>
      </c>
      <c r="J420" s="138">
        <v>568</v>
      </c>
      <c r="K420" s="138">
        <v>209</v>
      </c>
      <c r="N420" s="138">
        <v>5</v>
      </c>
      <c r="O420" s="138">
        <v>4</v>
      </c>
      <c r="S420" s="138">
        <v>22</v>
      </c>
      <c r="T420" s="138">
        <v>4</v>
      </c>
      <c r="U420" s="138">
        <f t="shared" si="512"/>
        <v>30</v>
      </c>
      <c r="W420" s="139">
        <f t="shared" ref="W420:AA420" si="840">J420/$I420</f>
        <v>0.69950738916256161</v>
      </c>
      <c r="X420" s="139">
        <f t="shared" si="840"/>
        <v>0.25738916256157635</v>
      </c>
      <c r="Y420" s="139">
        <f t="shared" si="840"/>
        <v>0</v>
      </c>
      <c r="Z420" s="139">
        <f t="shared" si="840"/>
        <v>0</v>
      </c>
      <c r="AA420" s="139">
        <f t="shared" si="840"/>
        <v>6.1576354679802959E-3</v>
      </c>
      <c r="AB420" s="139"/>
      <c r="AC420" s="139">
        <f t="shared" si="514"/>
        <v>3.6945812807881777E-2</v>
      </c>
      <c r="AD420" s="139">
        <f t="shared" ref="AD420:AI420" si="841">O420/$I420</f>
        <v>4.9261083743842365E-3</v>
      </c>
      <c r="AE420" s="139">
        <f t="shared" si="841"/>
        <v>0</v>
      </c>
      <c r="AF420" s="139">
        <f t="shared" si="841"/>
        <v>0</v>
      </c>
      <c r="AG420" s="139">
        <f t="shared" si="841"/>
        <v>0</v>
      </c>
      <c r="AH420" s="139">
        <f t="shared" si="841"/>
        <v>2.7093596059113302E-2</v>
      </c>
      <c r="AI420" s="139">
        <f t="shared" si="841"/>
        <v>4.9261083743842365E-3</v>
      </c>
    </row>
    <row r="421" spans="2:35">
      <c r="B421" s="138" t="s">
        <v>8077</v>
      </c>
      <c r="C421" s="138" t="s">
        <v>4367</v>
      </c>
      <c r="D421" s="138" t="s">
        <v>792</v>
      </c>
      <c r="E421" s="138" t="s">
        <v>8119</v>
      </c>
      <c r="F421" s="138" t="s">
        <v>8119</v>
      </c>
      <c r="H421" s="138">
        <v>171</v>
      </c>
      <c r="I421" s="138">
        <v>902</v>
      </c>
      <c r="J421" s="138">
        <v>594</v>
      </c>
      <c r="K421" s="138">
        <v>239</v>
      </c>
      <c r="N421" s="138">
        <v>9</v>
      </c>
      <c r="O421" s="138">
        <v>5</v>
      </c>
      <c r="S421" s="138">
        <v>43</v>
      </c>
      <c r="T421" s="138">
        <v>12</v>
      </c>
      <c r="U421" s="138">
        <f t="shared" si="512"/>
        <v>60</v>
      </c>
      <c r="W421" s="139">
        <f t="shared" ref="W421:AA421" si="842">J421/$I421</f>
        <v>0.65853658536585369</v>
      </c>
      <c r="X421" s="139">
        <f t="shared" si="842"/>
        <v>0.26496674057649666</v>
      </c>
      <c r="Y421" s="139">
        <f t="shared" si="842"/>
        <v>0</v>
      </c>
      <c r="Z421" s="139">
        <f t="shared" si="842"/>
        <v>0</v>
      </c>
      <c r="AA421" s="139">
        <f t="shared" si="842"/>
        <v>9.9778270509977823E-3</v>
      </c>
      <c r="AB421" s="139"/>
      <c r="AC421" s="139">
        <f t="shared" si="514"/>
        <v>6.6518847006651879E-2</v>
      </c>
      <c r="AD421" s="139">
        <f t="shared" ref="AD421:AI421" si="843">O421/$I421</f>
        <v>5.5432372505543242E-3</v>
      </c>
      <c r="AE421" s="139">
        <f t="shared" si="843"/>
        <v>0</v>
      </c>
      <c r="AF421" s="139">
        <f t="shared" si="843"/>
        <v>0</v>
      </c>
      <c r="AG421" s="139">
        <f t="shared" si="843"/>
        <v>0</v>
      </c>
      <c r="AH421" s="139">
        <f t="shared" si="843"/>
        <v>4.7671840354767181E-2</v>
      </c>
      <c r="AI421" s="139">
        <f t="shared" si="843"/>
        <v>1.3303769401330377E-2</v>
      </c>
    </row>
    <row r="422" spans="2:35">
      <c r="B422" s="138" t="s">
        <v>8077</v>
      </c>
      <c r="C422" s="138" t="s">
        <v>4367</v>
      </c>
      <c r="D422" s="138" t="s">
        <v>792</v>
      </c>
      <c r="E422" s="138" t="s">
        <v>8119</v>
      </c>
      <c r="F422" s="138" t="s">
        <v>8119</v>
      </c>
      <c r="H422" s="138">
        <v>172</v>
      </c>
      <c r="I422" s="138">
        <v>878</v>
      </c>
      <c r="J422" s="138">
        <v>554</v>
      </c>
      <c r="K422" s="138">
        <v>296</v>
      </c>
      <c r="N422" s="138">
        <v>15</v>
      </c>
      <c r="O422" s="138">
        <v>1</v>
      </c>
      <c r="S422" s="138">
        <v>7</v>
      </c>
      <c r="T422" s="138">
        <v>5</v>
      </c>
      <c r="U422" s="138">
        <f t="shared" si="512"/>
        <v>13</v>
      </c>
      <c r="W422" s="139">
        <f t="shared" ref="W422:AA422" si="844">J422/$I422</f>
        <v>0.63097949886104787</v>
      </c>
      <c r="X422" s="139">
        <f t="shared" si="844"/>
        <v>0.33712984054669703</v>
      </c>
      <c r="Y422" s="139">
        <f t="shared" si="844"/>
        <v>0</v>
      </c>
      <c r="Z422" s="139">
        <f t="shared" si="844"/>
        <v>0</v>
      </c>
      <c r="AA422" s="139">
        <f t="shared" si="844"/>
        <v>1.7084282460136675E-2</v>
      </c>
      <c r="AB422" s="139"/>
      <c r="AC422" s="139">
        <f t="shared" si="514"/>
        <v>1.4806378132118452E-2</v>
      </c>
      <c r="AD422" s="139">
        <f t="shared" ref="AD422:AI422" si="845">O422/$I422</f>
        <v>1.1389521640091116E-3</v>
      </c>
      <c r="AE422" s="139">
        <f t="shared" si="845"/>
        <v>0</v>
      </c>
      <c r="AF422" s="139">
        <f t="shared" si="845"/>
        <v>0</v>
      </c>
      <c r="AG422" s="139">
        <f t="shared" si="845"/>
        <v>0</v>
      </c>
      <c r="AH422" s="139">
        <f t="shared" si="845"/>
        <v>7.972665148063782E-3</v>
      </c>
      <c r="AI422" s="139">
        <f t="shared" si="845"/>
        <v>5.6947608200455585E-3</v>
      </c>
    </row>
    <row r="423" spans="2:35">
      <c r="B423" s="138" t="s">
        <v>8077</v>
      </c>
      <c r="C423" s="138" t="s">
        <v>4367</v>
      </c>
      <c r="D423" s="138" t="s">
        <v>792</v>
      </c>
      <c r="E423" s="138" t="s">
        <v>8119</v>
      </c>
      <c r="F423" s="138" t="s">
        <v>8119</v>
      </c>
      <c r="H423" s="138">
        <v>173</v>
      </c>
      <c r="I423" s="138">
        <v>522</v>
      </c>
      <c r="J423" s="138">
        <v>409</v>
      </c>
      <c r="K423" s="138">
        <v>100</v>
      </c>
      <c r="N423" s="138">
        <v>4</v>
      </c>
      <c r="O423" s="138">
        <v>1</v>
      </c>
      <c r="S423" s="138">
        <v>4</v>
      </c>
      <c r="T423" s="138">
        <v>4</v>
      </c>
      <c r="U423" s="138">
        <f t="shared" si="512"/>
        <v>9</v>
      </c>
      <c r="W423" s="139">
        <f t="shared" ref="W423:AA423" si="846">J423/$I423</f>
        <v>0.78352490421455934</v>
      </c>
      <c r="X423" s="139">
        <f t="shared" si="846"/>
        <v>0.19157088122605365</v>
      </c>
      <c r="Y423" s="139">
        <f t="shared" si="846"/>
        <v>0</v>
      </c>
      <c r="Z423" s="139">
        <f t="shared" si="846"/>
        <v>0</v>
      </c>
      <c r="AA423" s="139">
        <f t="shared" si="846"/>
        <v>7.6628352490421452E-3</v>
      </c>
      <c r="AB423" s="139"/>
      <c r="AC423" s="139">
        <f t="shared" si="514"/>
        <v>1.7241379310344827E-2</v>
      </c>
      <c r="AD423" s="139">
        <f t="shared" ref="AD423:AI423" si="847">O423/$I423</f>
        <v>1.9157088122605363E-3</v>
      </c>
      <c r="AE423" s="139">
        <f t="shared" si="847"/>
        <v>0</v>
      </c>
      <c r="AF423" s="139">
        <f t="shared" si="847"/>
        <v>0</v>
      </c>
      <c r="AG423" s="139">
        <f t="shared" si="847"/>
        <v>0</v>
      </c>
      <c r="AH423" s="139">
        <f t="shared" si="847"/>
        <v>7.6628352490421452E-3</v>
      </c>
      <c r="AI423" s="139">
        <f t="shared" si="847"/>
        <v>7.6628352490421452E-3</v>
      </c>
    </row>
    <row r="424" spans="2:35">
      <c r="B424" s="138" t="s">
        <v>8077</v>
      </c>
      <c r="C424" s="138" t="s">
        <v>4367</v>
      </c>
      <c r="D424" s="138" t="s">
        <v>792</v>
      </c>
      <c r="E424" s="138" t="s">
        <v>8119</v>
      </c>
      <c r="F424" s="138" t="s">
        <v>8119</v>
      </c>
      <c r="H424" s="138">
        <v>174</v>
      </c>
      <c r="I424" s="138">
        <v>511</v>
      </c>
      <c r="J424" s="138">
        <v>389</v>
      </c>
      <c r="K424" s="138">
        <v>103</v>
      </c>
      <c r="N424" s="138">
        <v>4</v>
      </c>
      <c r="O424" s="138">
        <v>0</v>
      </c>
      <c r="S424" s="138">
        <v>6</v>
      </c>
      <c r="T424" s="138">
        <v>9</v>
      </c>
      <c r="U424" s="138">
        <f t="shared" si="512"/>
        <v>15</v>
      </c>
      <c r="W424" s="139">
        <f t="shared" ref="W424:AA424" si="848">J424/$I424</f>
        <v>0.76125244618395305</v>
      </c>
      <c r="X424" s="139">
        <f t="shared" si="848"/>
        <v>0.20156555772994128</v>
      </c>
      <c r="Y424" s="139">
        <f t="shared" si="848"/>
        <v>0</v>
      </c>
      <c r="Z424" s="139">
        <f t="shared" si="848"/>
        <v>0</v>
      </c>
      <c r="AA424" s="139">
        <f t="shared" si="848"/>
        <v>7.8277886497064575E-3</v>
      </c>
      <c r="AB424" s="139"/>
      <c r="AC424" s="139">
        <f t="shared" si="514"/>
        <v>2.9354207436399216E-2</v>
      </c>
      <c r="AD424" s="139">
        <f t="shared" ref="AD424:AI424" si="849">O424/$I424</f>
        <v>0</v>
      </c>
      <c r="AE424" s="139">
        <f t="shared" si="849"/>
        <v>0</v>
      </c>
      <c r="AF424" s="139">
        <f t="shared" si="849"/>
        <v>0</v>
      </c>
      <c r="AG424" s="139">
        <f t="shared" si="849"/>
        <v>0</v>
      </c>
      <c r="AH424" s="139">
        <f t="shared" si="849"/>
        <v>1.1741682974559686E-2</v>
      </c>
      <c r="AI424" s="139">
        <f t="shared" si="849"/>
        <v>1.7612524461839529E-2</v>
      </c>
    </row>
    <row r="425" spans="2:35">
      <c r="B425" s="138" t="s">
        <v>8077</v>
      </c>
      <c r="C425" s="138" t="s">
        <v>4367</v>
      </c>
      <c r="D425" s="138" t="s">
        <v>792</v>
      </c>
      <c r="E425" s="138" t="s">
        <v>8119</v>
      </c>
      <c r="F425" s="138" t="s">
        <v>8119</v>
      </c>
      <c r="H425" s="138">
        <v>175</v>
      </c>
      <c r="I425" s="138">
        <v>508</v>
      </c>
      <c r="J425" s="138">
        <v>392</v>
      </c>
      <c r="K425" s="138">
        <v>95</v>
      </c>
      <c r="N425" s="138">
        <v>7</v>
      </c>
      <c r="O425" s="138">
        <v>0</v>
      </c>
      <c r="S425" s="138">
        <v>7</v>
      </c>
      <c r="T425" s="138">
        <v>7</v>
      </c>
      <c r="U425" s="138">
        <f t="shared" si="512"/>
        <v>14</v>
      </c>
      <c r="W425" s="139">
        <f t="shared" ref="W425:AA425" si="850">J425/$I425</f>
        <v>0.77165354330708658</v>
      </c>
      <c r="X425" s="139">
        <f t="shared" si="850"/>
        <v>0.18700787401574803</v>
      </c>
      <c r="Y425" s="139">
        <f t="shared" si="850"/>
        <v>0</v>
      </c>
      <c r="Z425" s="139">
        <f t="shared" si="850"/>
        <v>0</v>
      </c>
      <c r="AA425" s="139">
        <f t="shared" si="850"/>
        <v>1.3779527559055118E-2</v>
      </c>
      <c r="AB425" s="139"/>
      <c r="AC425" s="139">
        <f t="shared" si="514"/>
        <v>2.7559055118110236E-2</v>
      </c>
      <c r="AD425" s="139">
        <f t="shared" ref="AD425:AI425" si="851">O425/$I425</f>
        <v>0</v>
      </c>
      <c r="AE425" s="139">
        <f t="shared" si="851"/>
        <v>0</v>
      </c>
      <c r="AF425" s="139">
        <f t="shared" si="851"/>
        <v>0</v>
      </c>
      <c r="AG425" s="139">
        <f t="shared" si="851"/>
        <v>0</v>
      </c>
      <c r="AH425" s="139">
        <f t="shared" si="851"/>
        <v>1.3779527559055118E-2</v>
      </c>
      <c r="AI425" s="139">
        <f t="shared" si="851"/>
        <v>1.3779527559055118E-2</v>
      </c>
    </row>
    <row r="426" spans="2:35">
      <c r="B426" s="138" t="s">
        <v>8077</v>
      </c>
      <c r="C426" s="138" t="s">
        <v>4367</v>
      </c>
      <c r="D426" s="138" t="s">
        <v>792</v>
      </c>
      <c r="E426" s="138" t="s">
        <v>8119</v>
      </c>
      <c r="F426" s="138" t="s">
        <v>8119</v>
      </c>
      <c r="H426" s="138">
        <v>176</v>
      </c>
      <c r="I426" s="138">
        <v>590</v>
      </c>
      <c r="J426" s="138">
        <v>388</v>
      </c>
      <c r="K426" s="138">
        <v>184</v>
      </c>
      <c r="N426" s="138">
        <v>5</v>
      </c>
      <c r="O426" s="138">
        <v>1</v>
      </c>
      <c r="S426" s="138">
        <v>7</v>
      </c>
      <c r="T426" s="138">
        <v>5</v>
      </c>
      <c r="U426" s="138">
        <f t="shared" si="512"/>
        <v>13</v>
      </c>
      <c r="W426" s="139">
        <f t="shared" ref="W426:AA426" si="852">J426/$I426</f>
        <v>0.65762711864406775</v>
      </c>
      <c r="X426" s="139">
        <f t="shared" si="852"/>
        <v>0.31186440677966104</v>
      </c>
      <c r="Y426" s="139">
        <f t="shared" si="852"/>
        <v>0</v>
      </c>
      <c r="Z426" s="139">
        <f t="shared" si="852"/>
        <v>0</v>
      </c>
      <c r="AA426" s="139">
        <f t="shared" si="852"/>
        <v>8.4745762711864406E-3</v>
      </c>
      <c r="AB426" s="139"/>
      <c r="AC426" s="139">
        <f t="shared" si="514"/>
        <v>2.2033898305084745E-2</v>
      </c>
      <c r="AD426" s="139">
        <f t="shared" ref="AD426:AI426" si="853">O426/$I426</f>
        <v>1.6949152542372881E-3</v>
      </c>
      <c r="AE426" s="139">
        <f t="shared" si="853"/>
        <v>0</v>
      </c>
      <c r="AF426" s="139">
        <f t="shared" si="853"/>
        <v>0</v>
      </c>
      <c r="AG426" s="139">
        <f t="shared" si="853"/>
        <v>0</v>
      </c>
      <c r="AH426" s="139">
        <f t="shared" si="853"/>
        <v>1.1864406779661017E-2</v>
      </c>
      <c r="AI426" s="139">
        <f t="shared" si="853"/>
        <v>8.4745762711864406E-3</v>
      </c>
    </row>
    <row r="427" spans="2:35">
      <c r="B427" s="138" t="s">
        <v>8077</v>
      </c>
      <c r="C427" s="138" t="s">
        <v>4367</v>
      </c>
      <c r="D427" s="138" t="s">
        <v>792</v>
      </c>
      <c r="E427" s="138" t="s">
        <v>8119</v>
      </c>
      <c r="F427" s="138" t="s">
        <v>8119</v>
      </c>
      <c r="H427" s="138">
        <v>177</v>
      </c>
      <c r="I427" s="138">
        <v>536</v>
      </c>
      <c r="J427" s="138">
        <v>322</v>
      </c>
      <c r="K427" s="138">
        <v>205</v>
      </c>
      <c r="N427" s="138">
        <v>2</v>
      </c>
      <c r="O427" s="138">
        <v>0</v>
      </c>
      <c r="S427" s="138">
        <v>4</v>
      </c>
      <c r="T427" s="138">
        <v>3</v>
      </c>
      <c r="U427" s="138">
        <f t="shared" si="512"/>
        <v>7</v>
      </c>
      <c r="W427" s="139">
        <f t="shared" ref="W427:AA427" si="854">J427/$I427</f>
        <v>0.60074626865671643</v>
      </c>
      <c r="X427" s="139">
        <f t="shared" si="854"/>
        <v>0.3824626865671642</v>
      </c>
      <c r="Y427" s="139">
        <f t="shared" si="854"/>
        <v>0</v>
      </c>
      <c r="Z427" s="139">
        <f t="shared" si="854"/>
        <v>0</v>
      </c>
      <c r="AA427" s="139">
        <f t="shared" si="854"/>
        <v>3.7313432835820895E-3</v>
      </c>
      <c r="AB427" s="139"/>
      <c r="AC427" s="139">
        <f t="shared" si="514"/>
        <v>1.3059701492537313E-2</v>
      </c>
      <c r="AD427" s="139">
        <f t="shared" ref="AD427:AI427" si="855">O427/$I427</f>
        <v>0</v>
      </c>
      <c r="AE427" s="139">
        <f t="shared" si="855"/>
        <v>0</v>
      </c>
      <c r="AF427" s="139">
        <f t="shared" si="855"/>
        <v>0</v>
      </c>
      <c r="AG427" s="139">
        <f t="shared" si="855"/>
        <v>0</v>
      </c>
      <c r="AH427" s="139">
        <f t="shared" si="855"/>
        <v>7.462686567164179E-3</v>
      </c>
      <c r="AI427" s="139">
        <f t="shared" si="855"/>
        <v>5.597014925373134E-3</v>
      </c>
    </row>
    <row r="428" spans="2:35">
      <c r="B428" s="138" t="s">
        <v>8077</v>
      </c>
      <c r="C428" s="138" t="s">
        <v>4367</v>
      </c>
      <c r="D428" s="138" t="s">
        <v>792</v>
      </c>
      <c r="E428" s="138" t="s">
        <v>8119</v>
      </c>
      <c r="F428" s="138" t="s">
        <v>8119</v>
      </c>
      <c r="H428" s="138">
        <v>178</v>
      </c>
      <c r="I428" s="138">
        <v>844</v>
      </c>
      <c r="J428" s="138">
        <v>585</v>
      </c>
      <c r="K428" s="138">
        <v>224</v>
      </c>
      <c r="N428" s="138">
        <v>5</v>
      </c>
      <c r="O428" s="138">
        <v>2</v>
      </c>
      <c r="S428" s="138">
        <v>18</v>
      </c>
      <c r="T428" s="138">
        <v>10</v>
      </c>
      <c r="U428" s="138">
        <f t="shared" si="512"/>
        <v>30</v>
      </c>
      <c r="W428" s="139">
        <f t="shared" ref="W428:AA428" si="856">J428/$I428</f>
        <v>0.69312796208530802</v>
      </c>
      <c r="X428" s="139">
        <f t="shared" si="856"/>
        <v>0.26540284360189575</v>
      </c>
      <c r="Y428" s="139">
        <f t="shared" si="856"/>
        <v>0</v>
      </c>
      <c r="Z428" s="139">
        <f t="shared" si="856"/>
        <v>0</v>
      </c>
      <c r="AA428" s="139">
        <f t="shared" si="856"/>
        <v>5.9241706161137437E-3</v>
      </c>
      <c r="AB428" s="139"/>
      <c r="AC428" s="139">
        <f t="shared" si="514"/>
        <v>3.5545023696682464E-2</v>
      </c>
      <c r="AD428" s="139">
        <f t="shared" ref="AD428:AI428" si="857">O428/$I428</f>
        <v>2.3696682464454978E-3</v>
      </c>
      <c r="AE428" s="139">
        <f t="shared" si="857"/>
        <v>0</v>
      </c>
      <c r="AF428" s="139">
        <f t="shared" si="857"/>
        <v>0</v>
      </c>
      <c r="AG428" s="139">
        <f t="shared" si="857"/>
        <v>0</v>
      </c>
      <c r="AH428" s="139">
        <f t="shared" si="857"/>
        <v>2.132701421800948E-2</v>
      </c>
      <c r="AI428" s="139">
        <f t="shared" si="857"/>
        <v>1.1848341232227487E-2</v>
      </c>
    </row>
    <row r="429" spans="2:35">
      <c r="B429" s="138" t="s">
        <v>8077</v>
      </c>
      <c r="C429" s="138" t="s">
        <v>4367</v>
      </c>
      <c r="D429" s="138" t="s">
        <v>792</v>
      </c>
      <c r="E429" s="138" t="s">
        <v>8119</v>
      </c>
      <c r="F429" s="138" t="s">
        <v>8119</v>
      </c>
      <c r="H429" s="138">
        <v>179</v>
      </c>
      <c r="I429" s="138">
        <v>592</v>
      </c>
      <c r="J429" s="138">
        <v>401</v>
      </c>
      <c r="K429" s="138">
        <v>168</v>
      </c>
      <c r="N429" s="138">
        <v>10</v>
      </c>
      <c r="O429" s="138">
        <v>0</v>
      </c>
      <c r="S429" s="138">
        <v>10</v>
      </c>
      <c r="T429" s="138">
        <v>3</v>
      </c>
      <c r="U429" s="138">
        <f t="shared" si="512"/>
        <v>13</v>
      </c>
      <c r="W429" s="139">
        <f t="shared" ref="W429:AA429" si="858">J429/$I429</f>
        <v>0.67736486486486491</v>
      </c>
      <c r="X429" s="139">
        <f t="shared" si="858"/>
        <v>0.28378378378378377</v>
      </c>
      <c r="Y429" s="139">
        <f t="shared" si="858"/>
        <v>0</v>
      </c>
      <c r="Z429" s="139">
        <f t="shared" si="858"/>
        <v>0</v>
      </c>
      <c r="AA429" s="139">
        <f t="shared" si="858"/>
        <v>1.6891891891891893E-2</v>
      </c>
      <c r="AB429" s="139"/>
      <c r="AC429" s="139">
        <f t="shared" si="514"/>
        <v>2.1959459459459461E-2</v>
      </c>
      <c r="AD429" s="139">
        <f t="shared" ref="AD429:AI429" si="859">O429/$I429</f>
        <v>0</v>
      </c>
      <c r="AE429" s="139">
        <f t="shared" si="859"/>
        <v>0</v>
      </c>
      <c r="AF429" s="139">
        <f t="shared" si="859"/>
        <v>0</v>
      </c>
      <c r="AG429" s="139">
        <f t="shared" si="859"/>
        <v>0</v>
      </c>
      <c r="AH429" s="139">
        <f t="shared" si="859"/>
        <v>1.6891891891891893E-2</v>
      </c>
      <c r="AI429" s="139">
        <f t="shared" si="859"/>
        <v>5.0675675675675678E-3</v>
      </c>
    </row>
    <row r="430" spans="2:35">
      <c r="B430" s="138" t="s">
        <v>8077</v>
      </c>
      <c r="C430" s="138" t="s">
        <v>4367</v>
      </c>
      <c r="D430" s="138" t="s">
        <v>792</v>
      </c>
      <c r="E430" s="138" t="s">
        <v>8119</v>
      </c>
      <c r="F430" s="138" t="s">
        <v>8119</v>
      </c>
      <c r="H430" s="138">
        <v>180</v>
      </c>
      <c r="I430" s="138">
        <v>728</v>
      </c>
      <c r="J430" s="138">
        <v>476</v>
      </c>
      <c r="K430" s="138">
        <v>217</v>
      </c>
      <c r="N430" s="138">
        <v>9</v>
      </c>
      <c r="O430" s="138">
        <v>5</v>
      </c>
      <c r="S430" s="138">
        <v>17</v>
      </c>
      <c r="T430" s="138">
        <v>4</v>
      </c>
      <c r="U430" s="138">
        <f t="shared" si="512"/>
        <v>26</v>
      </c>
      <c r="W430" s="139">
        <f t="shared" ref="W430:AA430" si="860">J430/$I430</f>
        <v>0.65384615384615385</v>
      </c>
      <c r="X430" s="139">
        <f t="shared" si="860"/>
        <v>0.29807692307692307</v>
      </c>
      <c r="Y430" s="139">
        <f t="shared" si="860"/>
        <v>0</v>
      </c>
      <c r="Z430" s="139">
        <f t="shared" si="860"/>
        <v>0</v>
      </c>
      <c r="AA430" s="139">
        <f t="shared" si="860"/>
        <v>1.2362637362637362E-2</v>
      </c>
      <c r="AB430" s="139"/>
      <c r="AC430" s="139">
        <f t="shared" si="514"/>
        <v>3.5714285714285712E-2</v>
      </c>
      <c r="AD430" s="139">
        <f t="shared" ref="AD430:AI430" si="861">O430/$I430</f>
        <v>6.868131868131868E-3</v>
      </c>
      <c r="AE430" s="139">
        <f t="shared" si="861"/>
        <v>0</v>
      </c>
      <c r="AF430" s="139">
        <f t="shared" si="861"/>
        <v>0</v>
      </c>
      <c r="AG430" s="139">
        <f t="shared" si="861"/>
        <v>0</v>
      </c>
      <c r="AH430" s="139">
        <f t="shared" si="861"/>
        <v>2.3351648351648352E-2</v>
      </c>
      <c r="AI430" s="139">
        <f t="shared" si="861"/>
        <v>5.4945054945054949E-3</v>
      </c>
    </row>
    <row r="431" spans="2:35">
      <c r="B431" s="138" t="s">
        <v>8077</v>
      </c>
      <c r="C431" s="138" t="s">
        <v>4367</v>
      </c>
      <c r="D431" s="138" t="s">
        <v>792</v>
      </c>
      <c r="E431" s="138" t="s">
        <v>8119</v>
      </c>
      <c r="F431" s="138" t="s">
        <v>8119</v>
      </c>
      <c r="H431" s="138">
        <v>181</v>
      </c>
      <c r="I431" s="138">
        <v>615</v>
      </c>
      <c r="J431" s="138">
        <v>303</v>
      </c>
      <c r="K431" s="138">
        <v>285</v>
      </c>
      <c r="N431" s="138">
        <v>7</v>
      </c>
      <c r="O431" s="138">
        <v>0</v>
      </c>
      <c r="S431" s="138">
        <v>12</v>
      </c>
      <c r="T431" s="138">
        <v>8</v>
      </c>
      <c r="U431" s="138">
        <f t="shared" si="512"/>
        <v>20</v>
      </c>
      <c r="W431" s="139">
        <f t="shared" ref="W431:AA431" si="862">J431/$I431</f>
        <v>0.49268292682926829</v>
      </c>
      <c r="X431" s="139">
        <f t="shared" si="862"/>
        <v>0.46341463414634149</v>
      </c>
      <c r="Y431" s="139">
        <f t="shared" si="862"/>
        <v>0</v>
      </c>
      <c r="Z431" s="139">
        <f t="shared" si="862"/>
        <v>0</v>
      </c>
      <c r="AA431" s="139">
        <f t="shared" si="862"/>
        <v>1.1382113821138212E-2</v>
      </c>
      <c r="AB431" s="139"/>
      <c r="AC431" s="139">
        <f t="shared" si="514"/>
        <v>3.2520325203252036E-2</v>
      </c>
      <c r="AD431" s="139">
        <f t="shared" ref="AD431:AI431" si="863">O431/$I431</f>
        <v>0</v>
      </c>
      <c r="AE431" s="139">
        <f t="shared" si="863"/>
        <v>0</v>
      </c>
      <c r="AF431" s="139">
        <f t="shared" si="863"/>
        <v>0</v>
      </c>
      <c r="AG431" s="139">
        <f t="shared" si="863"/>
        <v>0</v>
      </c>
      <c r="AH431" s="139">
        <f t="shared" si="863"/>
        <v>1.9512195121951219E-2</v>
      </c>
      <c r="AI431" s="139">
        <f t="shared" si="863"/>
        <v>1.3008130081300813E-2</v>
      </c>
    </row>
    <row r="432" spans="2:35">
      <c r="B432" s="138" t="s">
        <v>8077</v>
      </c>
      <c r="C432" s="138" t="s">
        <v>4367</v>
      </c>
      <c r="D432" s="138" t="s">
        <v>792</v>
      </c>
      <c r="E432" s="138" t="s">
        <v>8119</v>
      </c>
      <c r="F432" s="138" t="s">
        <v>8119</v>
      </c>
      <c r="H432" s="138">
        <v>182</v>
      </c>
      <c r="I432" s="138">
        <v>1136</v>
      </c>
      <c r="J432" s="138">
        <v>908</v>
      </c>
      <c r="K432" s="138">
        <v>185</v>
      </c>
      <c r="N432" s="138">
        <v>5</v>
      </c>
      <c r="O432" s="138">
        <v>2</v>
      </c>
      <c r="S432" s="138">
        <v>34</v>
      </c>
      <c r="T432" s="138">
        <v>2</v>
      </c>
      <c r="U432" s="138">
        <f t="shared" si="512"/>
        <v>38</v>
      </c>
      <c r="W432" s="139">
        <f t="shared" ref="W432:AA432" si="864">J432/$I432</f>
        <v>0.79929577464788737</v>
      </c>
      <c r="X432" s="139">
        <f t="shared" si="864"/>
        <v>0.16285211267605634</v>
      </c>
      <c r="Y432" s="139">
        <f t="shared" si="864"/>
        <v>0</v>
      </c>
      <c r="Z432" s="139">
        <f t="shared" si="864"/>
        <v>0</v>
      </c>
      <c r="AA432" s="139">
        <f t="shared" si="864"/>
        <v>4.4014084507042256E-3</v>
      </c>
      <c r="AB432" s="139"/>
      <c r="AC432" s="139">
        <f t="shared" si="514"/>
        <v>3.345070422535211E-2</v>
      </c>
      <c r="AD432" s="139">
        <f t="shared" ref="AD432:AI432" si="865">O432/$I432</f>
        <v>1.7605633802816902E-3</v>
      </c>
      <c r="AE432" s="139">
        <f t="shared" si="865"/>
        <v>0</v>
      </c>
      <c r="AF432" s="139">
        <f t="shared" si="865"/>
        <v>0</v>
      </c>
      <c r="AG432" s="139">
        <f t="shared" si="865"/>
        <v>0</v>
      </c>
      <c r="AH432" s="139">
        <f t="shared" si="865"/>
        <v>2.9929577464788731E-2</v>
      </c>
      <c r="AI432" s="139">
        <f t="shared" si="865"/>
        <v>1.7605633802816902E-3</v>
      </c>
    </row>
    <row r="433" spans="2:35">
      <c r="B433" s="138" t="s">
        <v>8077</v>
      </c>
      <c r="C433" s="138" t="s">
        <v>4367</v>
      </c>
      <c r="D433" s="138" t="s">
        <v>792</v>
      </c>
      <c r="E433" s="138" t="s">
        <v>8119</v>
      </c>
      <c r="F433" s="138" t="s">
        <v>8119</v>
      </c>
      <c r="H433" s="138">
        <v>183</v>
      </c>
      <c r="I433" s="138">
        <v>975</v>
      </c>
      <c r="J433" s="138">
        <v>756</v>
      </c>
      <c r="K433" s="138">
        <v>186</v>
      </c>
      <c r="N433" s="138">
        <v>5</v>
      </c>
      <c r="O433" s="138">
        <v>3</v>
      </c>
      <c r="S433" s="138">
        <v>22</v>
      </c>
      <c r="T433" s="138">
        <v>3</v>
      </c>
      <c r="U433" s="138">
        <f t="shared" si="512"/>
        <v>28</v>
      </c>
      <c r="W433" s="139">
        <f t="shared" ref="W433:AA433" si="866">J433/$I433</f>
        <v>0.77538461538461534</v>
      </c>
      <c r="X433" s="139">
        <f t="shared" si="866"/>
        <v>0.19076923076923077</v>
      </c>
      <c r="Y433" s="139">
        <f t="shared" si="866"/>
        <v>0</v>
      </c>
      <c r="Z433" s="139">
        <f t="shared" si="866"/>
        <v>0</v>
      </c>
      <c r="AA433" s="139">
        <f t="shared" si="866"/>
        <v>5.1282051282051282E-3</v>
      </c>
      <c r="AB433" s="139"/>
      <c r="AC433" s="139">
        <f t="shared" si="514"/>
        <v>2.8717948717948718E-2</v>
      </c>
      <c r="AD433" s="139">
        <f t="shared" ref="AD433:AI433" si="867">O433/$I433</f>
        <v>3.0769230769230769E-3</v>
      </c>
      <c r="AE433" s="139">
        <f t="shared" si="867"/>
        <v>0</v>
      </c>
      <c r="AF433" s="139">
        <f t="shared" si="867"/>
        <v>0</v>
      </c>
      <c r="AG433" s="139">
        <f t="shared" si="867"/>
        <v>0</v>
      </c>
      <c r="AH433" s="139">
        <f t="shared" si="867"/>
        <v>2.2564102564102566E-2</v>
      </c>
      <c r="AI433" s="139">
        <f t="shared" si="867"/>
        <v>3.0769230769230769E-3</v>
      </c>
    </row>
    <row r="434" spans="2:35">
      <c r="B434" s="138" t="s">
        <v>8077</v>
      </c>
      <c r="C434" s="138" t="s">
        <v>4367</v>
      </c>
      <c r="D434" s="138" t="s">
        <v>792</v>
      </c>
      <c r="E434" s="138" t="s">
        <v>8119</v>
      </c>
      <c r="F434" s="138" t="s">
        <v>8119</v>
      </c>
      <c r="H434" s="138">
        <v>184</v>
      </c>
      <c r="I434" s="138">
        <v>875</v>
      </c>
      <c r="J434" s="138">
        <v>697</v>
      </c>
      <c r="K434" s="138">
        <v>149</v>
      </c>
      <c r="N434" s="138">
        <v>6</v>
      </c>
      <c r="O434" s="138">
        <v>2</v>
      </c>
      <c r="S434" s="138">
        <v>17</v>
      </c>
      <c r="T434" s="138">
        <v>4</v>
      </c>
      <c r="U434" s="138">
        <f t="shared" si="512"/>
        <v>23</v>
      </c>
      <c r="W434" s="139">
        <f t="shared" ref="W434:AA434" si="868">J434/$I434</f>
        <v>0.7965714285714286</v>
      </c>
      <c r="X434" s="139">
        <f t="shared" si="868"/>
        <v>0.17028571428571429</v>
      </c>
      <c r="Y434" s="139">
        <f t="shared" si="868"/>
        <v>0</v>
      </c>
      <c r="Z434" s="139">
        <f t="shared" si="868"/>
        <v>0</v>
      </c>
      <c r="AA434" s="139">
        <f t="shared" si="868"/>
        <v>6.8571428571428568E-3</v>
      </c>
      <c r="AB434" s="139"/>
      <c r="AC434" s="139">
        <f t="shared" si="514"/>
        <v>2.6285714285714287E-2</v>
      </c>
      <c r="AD434" s="139">
        <f t="shared" ref="AD434:AI434" si="869">O434/$I434</f>
        <v>2.2857142857142859E-3</v>
      </c>
      <c r="AE434" s="139">
        <f t="shared" si="869"/>
        <v>0</v>
      </c>
      <c r="AF434" s="139">
        <f t="shared" si="869"/>
        <v>0</v>
      </c>
      <c r="AG434" s="139">
        <f t="shared" si="869"/>
        <v>0</v>
      </c>
      <c r="AH434" s="139">
        <f t="shared" si="869"/>
        <v>1.9428571428571427E-2</v>
      </c>
      <c r="AI434" s="139">
        <f t="shared" si="869"/>
        <v>4.5714285714285718E-3</v>
      </c>
    </row>
    <row r="435" spans="2:35">
      <c r="B435" s="138" t="s">
        <v>8077</v>
      </c>
      <c r="C435" s="138" t="s">
        <v>4367</v>
      </c>
      <c r="D435" s="138" t="s">
        <v>792</v>
      </c>
      <c r="E435" s="138" t="s">
        <v>8119</v>
      </c>
      <c r="F435" s="138" t="s">
        <v>8119</v>
      </c>
      <c r="H435" s="138">
        <v>185</v>
      </c>
      <c r="I435" s="138">
        <v>873</v>
      </c>
      <c r="J435" s="138">
        <v>694</v>
      </c>
      <c r="K435" s="138">
        <v>143</v>
      </c>
      <c r="N435" s="138">
        <v>5</v>
      </c>
      <c r="O435" s="138">
        <v>2</v>
      </c>
      <c r="S435" s="138">
        <v>26</v>
      </c>
      <c r="T435" s="138">
        <v>3</v>
      </c>
      <c r="U435" s="138">
        <f t="shared" si="512"/>
        <v>31</v>
      </c>
      <c r="W435" s="139">
        <f t="shared" ref="W435:AA435" si="870">J435/$I435</f>
        <v>0.79495990836197017</v>
      </c>
      <c r="X435" s="139">
        <f t="shared" si="870"/>
        <v>0.16380297823596793</v>
      </c>
      <c r="Y435" s="139">
        <f t="shared" si="870"/>
        <v>0</v>
      </c>
      <c r="Z435" s="139">
        <f t="shared" si="870"/>
        <v>0</v>
      </c>
      <c r="AA435" s="139">
        <f t="shared" si="870"/>
        <v>5.7273768613974796E-3</v>
      </c>
      <c r="AB435" s="139"/>
      <c r="AC435" s="139">
        <f t="shared" si="514"/>
        <v>3.5509736540664374E-2</v>
      </c>
      <c r="AD435" s="139">
        <f t="shared" ref="AD435:AI435" si="871">O435/$I435</f>
        <v>2.2909507445589921E-3</v>
      </c>
      <c r="AE435" s="139">
        <f t="shared" si="871"/>
        <v>0</v>
      </c>
      <c r="AF435" s="139">
        <f t="shared" si="871"/>
        <v>0</v>
      </c>
      <c r="AG435" s="139">
        <f t="shared" si="871"/>
        <v>0</v>
      </c>
      <c r="AH435" s="139">
        <f t="shared" si="871"/>
        <v>2.9782359679266894E-2</v>
      </c>
      <c r="AI435" s="139">
        <f t="shared" si="871"/>
        <v>3.4364261168384879E-3</v>
      </c>
    </row>
    <row r="436" spans="2:35">
      <c r="B436" s="138" t="s">
        <v>8077</v>
      </c>
      <c r="C436" s="138" t="s">
        <v>4367</v>
      </c>
      <c r="D436" s="138" t="s">
        <v>792</v>
      </c>
      <c r="E436" s="138" t="s">
        <v>8119</v>
      </c>
      <c r="F436" s="138" t="s">
        <v>8119</v>
      </c>
      <c r="H436" s="138">
        <v>186</v>
      </c>
      <c r="I436" s="138">
        <v>908</v>
      </c>
      <c r="J436" s="138">
        <v>637</v>
      </c>
      <c r="K436" s="138">
        <v>223</v>
      </c>
      <c r="N436" s="138">
        <v>7</v>
      </c>
      <c r="O436" s="138">
        <v>2</v>
      </c>
      <c r="S436" s="138">
        <v>36</v>
      </c>
      <c r="T436" s="138">
        <v>3</v>
      </c>
      <c r="U436" s="138">
        <f t="shared" si="512"/>
        <v>41</v>
      </c>
      <c r="W436" s="139">
        <f t="shared" ref="W436:AA436" si="872">J436/$I436</f>
        <v>0.70154185022026427</v>
      </c>
      <c r="X436" s="139">
        <f t="shared" si="872"/>
        <v>0.24559471365638766</v>
      </c>
      <c r="Y436" s="139">
        <f t="shared" si="872"/>
        <v>0</v>
      </c>
      <c r="Z436" s="139">
        <f t="shared" si="872"/>
        <v>0</v>
      </c>
      <c r="AA436" s="139">
        <f t="shared" si="872"/>
        <v>7.709251101321586E-3</v>
      </c>
      <c r="AB436" s="139"/>
      <c r="AC436" s="139">
        <f t="shared" si="514"/>
        <v>4.5154185022026429E-2</v>
      </c>
      <c r="AD436" s="139">
        <f t="shared" ref="AD436:AI436" si="873">O436/$I436</f>
        <v>2.2026431718061676E-3</v>
      </c>
      <c r="AE436" s="139">
        <f t="shared" si="873"/>
        <v>0</v>
      </c>
      <c r="AF436" s="139">
        <f t="shared" si="873"/>
        <v>0</v>
      </c>
      <c r="AG436" s="139">
        <f t="shared" si="873"/>
        <v>0</v>
      </c>
      <c r="AH436" s="139">
        <f t="shared" si="873"/>
        <v>3.9647577092511016E-2</v>
      </c>
      <c r="AI436" s="139">
        <f t="shared" si="873"/>
        <v>3.3039647577092512E-3</v>
      </c>
    </row>
    <row r="437" spans="2:35">
      <c r="B437" s="138" t="s">
        <v>8077</v>
      </c>
      <c r="C437" s="138" t="s">
        <v>4367</v>
      </c>
      <c r="D437" s="138" t="s">
        <v>792</v>
      </c>
      <c r="E437" s="138" t="s">
        <v>8119</v>
      </c>
      <c r="F437" s="138" t="s">
        <v>8119</v>
      </c>
      <c r="H437" s="138">
        <v>187</v>
      </c>
      <c r="I437" s="138">
        <v>707</v>
      </c>
      <c r="J437" s="138">
        <v>438</v>
      </c>
      <c r="K437" s="138">
        <v>230</v>
      </c>
      <c r="N437" s="138">
        <v>11</v>
      </c>
      <c r="O437" s="138">
        <v>1</v>
      </c>
      <c r="S437" s="138">
        <v>20</v>
      </c>
      <c r="T437" s="138">
        <v>7</v>
      </c>
      <c r="U437" s="138">
        <f t="shared" si="512"/>
        <v>28</v>
      </c>
      <c r="W437" s="139">
        <f t="shared" ref="W437:AA437" si="874">J437/$I437</f>
        <v>0.61951909476661948</v>
      </c>
      <c r="X437" s="139">
        <f t="shared" si="874"/>
        <v>0.32531824611032534</v>
      </c>
      <c r="Y437" s="139">
        <f t="shared" si="874"/>
        <v>0</v>
      </c>
      <c r="Z437" s="139">
        <f t="shared" si="874"/>
        <v>0</v>
      </c>
      <c r="AA437" s="139">
        <f t="shared" si="874"/>
        <v>1.5558698727015558E-2</v>
      </c>
      <c r="AB437" s="139"/>
      <c r="AC437" s="139">
        <f t="shared" si="514"/>
        <v>3.9603960396039604E-2</v>
      </c>
      <c r="AD437" s="139">
        <f t="shared" ref="AD437:AI437" si="875">O437/$I437</f>
        <v>1.4144271570014145E-3</v>
      </c>
      <c r="AE437" s="139">
        <f t="shared" si="875"/>
        <v>0</v>
      </c>
      <c r="AF437" s="139">
        <f t="shared" si="875"/>
        <v>0</v>
      </c>
      <c r="AG437" s="139">
        <f t="shared" si="875"/>
        <v>0</v>
      </c>
      <c r="AH437" s="139">
        <f t="shared" si="875"/>
        <v>2.8288543140028287E-2</v>
      </c>
      <c r="AI437" s="139">
        <f t="shared" si="875"/>
        <v>9.9009900990099011E-3</v>
      </c>
    </row>
    <row r="438" spans="2:35">
      <c r="B438" s="138" t="s">
        <v>8077</v>
      </c>
      <c r="C438" s="138" t="s">
        <v>4367</v>
      </c>
      <c r="D438" s="138" t="s">
        <v>792</v>
      </c>
      <c r="E438" s="138" t="s">
        <v>8119</v>
      </c>
      <c r="F438" s="138" t="s">
        <v>8119</v>
      </c>
      <c r="H438" s="138">
        <v>188</v>
      </c>
      <c r="I438" s="138">
        <v>524</v>
      </c>
      <c r="J438" s="138">
        <v>402</v>
      </c>
      <c r="K438" s="138">
        <v>103</v>
      </c>
      <c r="N438" s="138">
        <v>2</v>
      </c>
      <c r="O438" s="138">
        <v>2</v>
      </c>
      <c r="S438" s="138">
        <v>14</v>
      </c>
      <c r="T438" s="138">
        <v>1</v>
      </c>
      <c r="U438" s="138">
        <f t="shared" si="512"/>
        <v>17</v>
      </c>
      <c r="W438" s="139">
        <f t="shared" ref="W438:AA438" si="876">J438/$I438</f>
        <v>0.76717557251908397</v>
      </c>
      <c r="X438" s="139">
        <f t="shared" si="876"/>
        <v>0.1965648854961832</v>
      </c>
      <c r="Y438" s="139">
        <f t="shared" si="876"/>
        <v>0</v>
      </c>
      <c r="Z438" s="139">
        <f t="shared" si="876"/>
        <v>0</v>
      </c>
      <c r="AA438" s="139">
        <f t="shared" si="876"/>
        <v>3.8167938931297708E-3</v>
      </c>
      <c r="AB438" s="139"/>
      <c r="AC438" s="139">
        <f t="shared" si="514"/>
        <v>3.2442748091603052E-2</v>
      </c>
      <c r="AD438" s="139">
        <f t="shared" ref="AD438:AI438" si="877">O438/$I438</f>
        <v>3.8167938931297708E-3</v>
      </c>
      <c r="AE438" s="139">
        <f t="shared" si="877"/>
        <v>0</v>
      </c>
      <c r="AF438" s="139">
        <f t="shared" si="877"/>
        <v>0</v>
      </c>
      <c r="AG438" s="139">
        <f t="shared" si="877"/>
        <v>0</v>
      </c>
      <c r="AH438" s="139">
        <f t="shared" si="877"/>
        <v>2.6717557251908396E-2</v>
      </c>
      <c r="AI438" s="139">
        <f t="shared" si="877"/>
        <v>1.9083969465648854E-3</v>
      </c>
    </row>
    <row r="439" spans="2:35">
      <c r="B439" s="138" t="s">
        <v>8077</v>
      </c>
      <c r="C439" s="138" t="s">
        <v>4367</v>
      </c>
      <c r="D439" s="138" t="s">
        <v>792</v>
      </c>
      <c r="E439" s="138" t="s">
        <v>8119</v>
      </c>
      <c r="F439" s="138" t="s">
        <v>8119</v>
      </c>
      <c r="H439" s="138">
        <v>189</v>
      </c>
      <c r="I439" s="138">
        <v>1006</v>
      </c>
      <c r="J439" s="138">
        <v>708</v>
      </c>
      <c r="K439" s="138">
        <v>270</v>
      </c>
      <c r="N439" s="138">
        <v>9</v>
      </c>
      <c r="O439" s="138">
        <v>2</v>
      </c>
      <c r="S439" s="138">
        <v>16</v>
      </c>
      <c r="T439" s="138">
        <v>1</v>
      </c>
      <c r="U439" s="138">
        <f t="shared" si="512"/>
        <v>19</v>
      </c>
      <c r="W439" s="139">
        <f t="shared" ref="W439:AA439" si="878">J439/$I439</f>
        <v>0.70377733598409542</v>
      </c>
      <c r="X439" s="139">
        <f t="shared" si="878"/>
        <v>0.26838966202783299</v>
      </c>
      <c r="Y439" s="139">
        <f t="shared" si="878"/>
        <v>0</v>
      </c>
      <c r="Z439" s="139">
        <f t="shared" si="878"/>
        <v>0</v>
      </c>
      <c r="AA439" s="139">
        <f t="shared" si="878"/>
        <v>8.9463220675944331E-3</v>
      </c>
      <c r="AB439" s="139"/>
      <c r="AC439" s="139">
        <f t="shared" si="514"/>
        <v>1.8886679920477135E-2</v>
      </c>
      <c r="AD439" s="139">
        <f t="shared" ref="AD439:AI439" si="879">O439/$I439</f>
        <v>1.9880715705765406E-3</v>
      </c>
      <c r="AE439" s="139">
        <f t="shared" si="879"/>
        <v>0</v>
      </c>
      <c r="AF439" s="139">
        <f t="shared" si="879"/>
        <v>0</v>
      </c>
      <c r="AG439" s="139">
        <f t="shared" si="879"/>
        <v>0</v>
      </c>
      <c r="AH439" s="139">
        <f t="shared" si="879"/>
        <v>1.5904572564612324E-2</v>
      </c>
      <c r="AI439" s="139">
        <f t="shared" si="879"/>
        <v>9.9403578528827028E-4</v>
      </c>
    </row>
    <row r="440" spans="2:35">
      <c r="B440" s="138" t="s">
        <v>8077</v>
      </c>
      <c r="C440" s="138" t="s">
        <v>4367</v>
      </c>
      <c r="D440" s="138" t="s">
        <v>792</v>
      </c>
      <c r="E440" s="138" t="s">
        <v>8119</v>
      </c>
      <c r="F440" s="138" t="s">
        <v>8119</v>
      </c>
      <c r="H440" s="138">
        <v>190</v>
      </c>
      <c r="I440" s="138">
        <v>1034</v>
      </c>
      <c r="J440" s="138">
        <v>747</v>
      </c>
      <c r="K440" s="138">
        <v>255</v>
      </c>
      <c r="N440" s="138">
        <v>6</v>
      </c>
      <c r="O440" s="138">
        <v>0</v>
      </c>
      <c r="S440" s="138">
        <v>24</v>
      </c>
      <c r="T440" s="138">
        <v>2</v>
      </c>
      <c r="U440" s="138">
        <f t="shared" si="512"/>
        <v>26</v>
      </c>
      <c r="W440" s="139">
        <f t="shared" ref="W440:AA440" si="880">J440/$I440</f>
        <v>0.72243713733075432</v>
      </c>
      <c r="X440" s="139">
        <f t="shared" si="880"/>
        <v>0.24661508704061896</v>
      </c>
      <c r="Y440" s="139">
        <f t="shared" si="880"/>
        <v>0</v>
      </c>
      <c r="Z440" s="139">
        <f t="shared" si="880"/>
        <v>0</v>
      </c>
      <c r="AA440" s="139">
        <f t="shared" si="880"/>
        <v>5.8027079303675051E-3</v>
      </c>
      <c r="AB440" s="139"/>
      <c r="AC440" s="139">
        <f t="shared" si="514"/>
        <v>2.5145067698259187E-2</v>
      </c>
      <c r="AD440" s="139">
        <f t="shared" ref="AD440:AI440" si="881">O440/$I440</f>
        <v>0</v>
      </c>
      <c r="AE440" s="139">
        <f t="shared" si="881"/>
        <v>0</v>
      </c>
      <c r="AF440" s="139">
        <f t="shared" si="881"/>
        <v>0</v>
      </c>
      <c r="AG440" s="139">
        <f t="shared" si="881"/>
        <v>0</v>
      </c>
      <c r="AH440" s="139">
        <f t="shared" si="881"/>
        <v>2.321083172147002E-2</v>
      </c>
      <c r="AI440" s="139">
        <f t="shared" si="881"/>
        <v>1.9342359767891683E-3</v>
      </c>
    </row>
    <row r="441" spans="2:35">
      <c r="B441" s="138" t="s">
        <v>8077</v>
      </c>
      <c r="C441" s="138" t="s">
        <v>4367</v>
      </c>
      <c r="D441" s="138" t="s">
        <v>792</v>
      </c>
      <c r="E441" s="138" t="s">
        <v>8119</v>
      </c>
      <c r="F441" s="138" t="s">
        <v>8119</v>
      </c>
      <c r="H441" s="138">
        <v>191</v>
      </c>
      <c r="I441" s="138">
        <v>701</v>
      </c>
      <c r="J441" s="138">
        <v>451</v>
      </c>
      <c r="K441" s="138">
        <v>209</v>
      </c>
      <c r="N441" s="138">
        <v>5</v>
      </c>
      <c r="O441" s="138">
        <v>4</v>
      </c>
      <c r="S441" s="138">
        <v>23</v>
      </c>
      <c r="T441" s="138">
        <v>9</v>
      </c>
      <c r="U441" s="138">
        <f t="shared" si="512"/>
        <v>36</v>
      </c>
      <c r="W441" s="139">
        <f t="shared" ref="W441:AA441" si="882">J441/$I441</f>
        <v>0.64336661911554927</v>
      </c>
      <c r="X441" s="139">
        <f t="shared" si="882"/>
        <v>0.29814550641940085</v>
      </c>
      <c r="Y441" s="139">
        <f t="shared" si="882"/>
        <v>0</v>
      </c>
      <c r="Z441" s="139">
        <f t="shared" si="882"/>
        <v>0</v>
      </c>
      <c r="AA441" s="139">
        <f t="shared" si="882"/>
        <v>7.1326676176890159E-3</v>
      </c>
      <c r="AB441" s="139"/>
      <c r="AC441" s="139">
        <f t="shared" si="514"/>
        <v>5.1355206847360911E-2</v>
      </c>
      <c r="AD441" s="139">
        <f t="shared" ref="AD441:AI441" si="883">O441/$I441</f>
        <v>5.7061340941512127E-3</v>
      </c>
      <c r="AE441" s="139">
        <f t="shared" si="883"/>
        <v>0</v>
      </c>
      <c r="AF441" s="139">
        <f t="shared" si="883"/>
        <v>0</v>
      </c>
      <c r="AG441" s="139">
        <f t="shared" si="883"/>
        <v>0</v>
      </c>
      <c r="AH441" s="139">
        <f t="shared" si="883"/>
        <v>3.2810271041369472E-2</v>
      </c>
      <c r="AI441" s="139">
        <f t="shared" si="883"/>
        <v>1.2838801711840228E-2</v>
      </c>
    </row>
    <row r="442" spans="2:35">
      <c r="B442" s="138" t="s">
        <v>8077</v>
      </c>
      <c r="C442" s="138" t="s">
        <v>4367</v>
      </c>
      <c r="D442" s="138" t="s">
        <v>792</v>
      </c>
      <c r="E442" s="138" t="s">
        <v>8119</v>
      </c>
      <c r="F442" s="138" t="s">
        <v>8119</v>
      </c>
      <c r="H442" s="138">
        <v>192</v>
      </c>
      <c r="I442" s="138">
        <v>499</v>
      </c>
      <c r="J442" s="138">
        <v>369</v>
      </c>
      <c r="K442" s="138">
        <v>113</v>
      </c>
      <c r="N442" s="138">
        <v>2</v>
      </c>
      <c r="O442" s="138">
        <v>0</v>
      </c>
      <c r="S442" s="138">
        <v>11</v>
      </c>
      <c r="T442" s="138">
        <v>4</v>
      </c>
      <c r="U442" s="138">
        <f t="shared" si="512"/>
        <v>15</v>
      </c>
      <c r="W442" s="139">
        <f t="shared" ref="W442:AA442" si="884">J442/$I442</f>
        <v>0.73947895791583163</v>
      </c>
      <c r="X442" s="139">
        <f t="shared" si="884"/>
        <v>0.22645290581162325</v>
      </c>
      <c r="Y442" s="139">
        <f t="shared" si="884"/>
        <v>0</v>
      </c>
      <c r="Z442" s="139">
        <f t="shared" si="884"/>
        <v>0</v>
      </c>
      <c r="AA442" s="139">
        <f t="shared" si="884"/>
        <v>4.0080160320641279E-3</v>
      </c>
      <c r="AB442" s="139"/>
      <c r="AC442" s="139">
        <f t="shared" si="514"/>
        <v>3.0060120240480961E-2</v>
      </c>
      <c r="AD442" s="139">
        <f t="shared" ref="AD442:AI442" si="885">O442/$I442</f>
        <v>0</v>
      </c>
      <c r="AE442" s="139">
        <f t="shared" si="885"/>
        <v>0</v>
      </c>
      <c r="AF442" s="139">
        <f t="shared" si="885"/>
        <v>0</v>
      </c>
      <c r="AG442" s="139">
        <f t="shared" si="885"/>
        <v>0</v>
      </c>
      <c r="AH442" s="139">
        <f t="shared" si="885"/>
        <v>2.2044088176352707E-2</v>
      </c>
      <c r="AI442" s="139">
        <f t="shared" si="885"/>
        <v>8.0160320641282558E-3</v>
      </c>
    </row>
    <row r="443" spans="2:35">
      <c r="B443" s="138" t="s">
        <v>8077</v>
      </c>
      <c r="C443" s="138" t="s">
        <v>4367</v>
      </c>
      <c r="D443" s="138" t="s">
        <v>792</v>
      </c>
      <c r="E443" s="138" t="s">
        <v>8119</v>
      </c>
      <c r="F443" s="138" t="s">
        <v>8119</v>
      </c>
      <c r="H443" s="138">
        <v>193</v>
      </c>
      <c r="I443" s="138">
        <v>842</v>
      </c>
      <c r="J443" s="138">
        <v>537</v>
      </c>
      <c r="K443" s="138">
        <v>251</v>
      </c>
      <c r="N443" s="138">
        <v>11</v>
      </c>
      <c r="O443" s="138">
        <v>4</v>
      </c>
      <c r="S443" s="138">
        <v>29</v>
      </c>
      <c r="T443" s="138">
        <v>10</v>
      </c>
      <c r="U443" s="138">
        <f t="shared" si="512"/>
        <v>43</v>
      </c>
      <c r="W443" s="139">
        <f t="shared" ref="W443:AA443" si="886">J443/$I443</f>
        <v>0.63776722090261284</v>
      </c>
      <c r="X443" s="139">
        <f t="shared" si="886"/>
        <v>0.29809976247030878</v>
      </c>
      <c r="Y443" s="139">
        <f t="shared" si="886"/>
        <v>0</v>
      </c>
      <c r="Z443" s="139">
        <f t="shared" si="886"/>
        <v>0</v>
      </c>
      <c r="AA443" s="139">
        <f t="shared" si="886"/>
        <v>1.3064133016627079E-2</v>
      </c>
      <c r="AB443" s="139"/>
      <c r="AC443" s="139">
        <f t="shared" si="514"/>
        <v>5.1068883610451303E-2</v>
      </c>
      <c r="AD443" s="139">
        <f t="shared" ref="AD443:AI443" si="887">O443/$I443</f>
        <v>4.7505938242280287E-3</v>
      </c>
      <c r="AE443" s="139">
        <f t="shared" si="887"/>
        <v>0</v>
      </c>
      <c r="AF443" s="139">
        <f t="shared" si="887"/>
        <v>0</v>
      </c>
      <c r="AG443" s="139">
        <f t="shared" si="887"/>
        <v>0</v>
      </c>
      <c r="AH443" s="139">
        <f t="shared" si="887"/>
        <v>3.4441805225653203E-2</v>
      </c>
      <c r="AI443" s="139">
        <f t="shared" si="887"/>
        <v>1.1876484560570071E-2</v>
      </c>
    </row>
    <row r="444" spans="2:35">
      <c r="B444" s="138" t="s">
        <v>8077</v>
      </c>
      <c r="C444" s="138" t="s">
        <v>4367</v>
      </c>
      <c r="D444" s="138" t="s">
        <v>792</v>
      </c>
      <c r="E444" s="138" t="s">
        <v>8119</v>
      </c>
      <c r="F444" s="138" t="s">
        <v>8119</v>
      </c>
      <c r="H444" s="138">
        <v>194</v>
      </c>
      <c r="I444" s="138">
        <v>760</v>
      </c>
      <c r="J444" s="138">
        <v>508</v>
      </c>
      <c r="K444" s="138">
        <v>224</v>
      </c>
      <c r="N444" s="138">
        <v>4</v>
      </c>
      <c r="O444" s="138">
        <v>5</v>
      </c>
      <c r="S444" s="138">
        <v>14</v>
      </c>
      <c r="T444" s="138">
        <v>5</v>
      </c>
      <c r="U444" s="138">
        <f t="shared" si="512"/>
        <v>24</v>
      </c>
      <c r="W444" s="139">
        <f t="shared" ref="W444:AA444" si="888">J444/$I444</f>
        <v>0.66842105263157892</v>
      </c>
      <c r="X444" s="139">
        <f t="shared" si="888"/>
        <v>0.29473684210526313</v>
      </c>
      <c r="Y444" s="139">
        <f t="shared" si="888"/>
        <v>0</v>
      </c>
      <c r="Z444" s="139">
        <f t="shared" si="888"/>
        <v>0</v>
      </c>
      <c r="AA444" s="139">
        <f t="shared" si="888"/>
        <v>5.263157894736842E-3</v>
      </c>
      <c r="AB444" s="139"/>
      <c r="AC444" s="139">
        <f t="shared" si="514"/>
        <v>3.1578947368421054E-2</v>
      </c>
      <c r="AD444" s="139">
        <f t="shared" ref="AD444:AI444" si="889">O444/$I444</f>
        <v>6.5789473684210523E-3</v>
      </c>
      <c r="AE444" s="139">
        <f t="shared" si="889"/>
        <v>0</v>
      </c>
      <c r="AF444" s="139">
        <f t="shared" si="889"/>
        <v>0</v>
      </c>
      <c r="AG444" s="139">
        <f t="shared" si="889"/>
        <v>0</v>
      </c>
      <c r="AH444" s="139">
        <f t="shared" si="889"/>
        <v>1.8421052631578946E-2</v>
      </c>
      <c r="AI444" s="139">
        <f t="shared" si="889"/>
        <v>6.5789473684210523E-3</v>
      </c>
    </row>
    <row r="445" spans="2:35">
      <c r="B445" s="138" t="s">
        <v>8077</v>
      </c>
      <c r="C445" s="138" t="s">
        <v>4367</v>
      </c>
      <c r="D445" s="138" t="s">
        <v>792</v>
      </c>
      <c r="E445" s="138" t="s">
        <v>8119</v>
      </c>
      <c r="F445" s="138" t="s">
        <v>8119</v>
      </c>
      <c r="H445" s="138">
        <v>195</v>
      </c>
      <c r="I445" s="138">
        <v>584</v>
      </c>
      <c r="J445" s="138">
        <v>373</v>
      </c>
      <c r="K445" s="138">
        <v>188</v>
      </c>
      <c r="N445" s="138">
        <v>5</v>
      </c>
      <c r="O445" s="138">
        <v>1</v>
      </c>
      <c r="S445" s="138">
        <v>11</v>
      </c>
      <c r="T445" s="138">
        <v>6</v>
      </c>
      <c r="U445" s="138">
        <f t="shared" si="512"/>
        <v>18</v>
      </c>
      <c r="W445" s="139">
        <f t="shared" ref="W445:AA445" si="890">J445/$I445</f>
        <v>0.63869863013698636</v>
      </c>
      <c r="X445" s="139">
        <f t="shared" si="890"/>
        <v>0.32191780821917809</v>
      </c>
      <c r="Y445" s="139">
        <f t="shared" si="890"/>
        <v>0</v>
      </c>
      <c r="Z445" s="139">
        <f t="shared" si="890"/>
        <v>0</v>
      </c>
      <c r="AA445" s="139">
        <f t="shared" si="890"/>
        <v>8.5616438356164379E-3</v>
      </c>
      <c r="AB445" s="139"/>
      <c r="AC445" s="139">
        <f t="shared" si="514"/>
        <v>3.0821917808219176E-2</v>
      </c>
      <c r="AD445" s="139">
        <f t="shared" ref="AD445:AI445" si="891">O445/$I445</f>
        <v>1.7123287671232876E-3</v>
      </c>
      <c r="AE445" s="139">
        <f t="shared" si="891"/>
        <v>0</v>
      </c>
      <c r="AF445" s="139">
        <f t="shared" si="891"/>
        <v>0</v>
      </c>
      <c r="AG445" s="139">
        <f t="shared" si="891"/>
        <v>0</v>
      </c>
      <c r="AH445" s="139">
        <f t="shared" si="891"/>
        <v>1.8835616438356163E-2</v>
      </c>
      <c r="AI445" s="139">
        <f t="shared" si="891"/>
        <v>1.0273972602739725E-2</v>
      </c>
    </row>
    <row r="446" spans="2:35">
      <c r="B446" s="138" t="s">
        <v>8077</v>
      </c>
      <c r="C446" s="138" t="s">
        <v>4367</v>
      </c>
      <c r="D446" s="138" t="s">
        <v>792</v>
      </c>
      <c r="E446" s="138" t="s">
        <v>8119</v>
      </c>
      <c r="F446" s="138" t="s">
        <v>8119</v>
      </c>
      <c r="H446" s="138">
        <v>196</v>
      </c>
      <c r="I446" s="138">
        <v>437</v>
      </c>
      <c r="J446" s="138">
        <v>260</v>
      </c>
      <c r="K446" s="138">
        <v>162</v>
      </c>
      <c r="N446" s="138">
        <v>1</v>
      </c>
      <c r="O446" s="138">
        <v>0</v>
      </c>
      <c r="S446" s="138">
        <v>8</v>
      </c>
      <c r="T446" s="138">
        <v>6</v>
      </c>
      <c r="U446" s="138">
        <f t="shared" si="512"/>
        <v>14</v>
      </c>
      <c r="W446" s="139">
        <f t="shared" ref="W446:AA446" si="892">J446/$I446</f>
        <v>0.59496567505720821</v>
      </c>
      <c r="X446" s="139">
        <f t="shared" si="892"/>
        <v>0.37070938215102978</v>
      </c>
      <c r="Y446" s="139">
        <f t="shared" si="892"/>
        <v>0</v>
      </c>
      <c r="Z446" s="139">
        <f t="shared" si="892"/>
        <v>0</v>
      </c>
      <c r="AA446" s="139">
        <f t="shared" si="892"/>
        <v>2.2883295194508009E-3</v>
      </c>
      <c r="AB446" s="139"/>
      <c r="AC446" s="139">
        <f t="shared" si="514"/>
        <v>3.2036613272311214E-2</v>
      </c>
      <c r="AD446" s="139">
        <f t="shared" ref="AD446:AI446" si="893">O446/$I446</f>
        <v>0</v>
      </c>
      <c r="AE446" s="139">
        <f t="shared" si="893"/>
        <v>0</v>
      </c>
      <c r="AF446" s="139">
        <f t="shared" si="893"/>
        <v>0</v>
      </c>
      <c r="AG446" s="139">
        <f t="shared" si="893"/>
        <v>0</v>
      </c>
      <c r="AH446" s="139">
        <f t="shared" si="893"/>
        <v>1.8306636155606407E-2</v>
      </c>
      <c r="AI446" s="139">
        <f t="shared" si="893"/>
        <v>1.3729977116704805E-2</v>
      </c>
    </row>
    <row r="447" spans="2:35">
      <c r="B447" s="138" t="s">
        <v>8077</v>
      </c>
      <c r="C447" s="138" t="s">
        <v>4367</v>
      </c>
      <c r="D447" s="138" t="s">
        <v>792</v>
      </c>
      <c r="E447" s="138" t="s">
        <v>8119</v>
      </c>
      <c r="F447" s="138" t="s">
        <v>8119</v>
      </c>
      <c r="H447" s="138">
        <v>197</v>
      </c>
      <c r="I447" s="138">
        <v>659</v>
      </c>
      <c r="J447" s="138">
        <v>419</v>
      </c>
      <c r="K447" s="138">
        <v>209</v>
      </c>
      <c r="N447" s="138">
        <v>20</v>
      </c>
      <c r="O447" s="138">
        <v>1</v>
      </c>
      <c r="S447" s="138">
        <v>6</v>
      </c>
      <c r="T447" s="138">
        <v>4</v>
      </c>
      <c r="U447" s="138">
        <f t="shared" si="512"/>
        <v>11</v>
      </c>
      <c r="W447" s="139">
        <f t="shared" ref="W447:AA447" si="894">J447/$I447</f>
        <v>0.63581183611532621</v>
      </c>
      <c r="X447" s="139">
        <f t="shared" si="894"/>
        <v>0.3171471927162367</v>
      </c>
      <c r="Y447" s="139">
        <f t="shared" si="894"/>
        <v>0</v>
      </c>
      <c r="Z447" s="139">
        <f t="shared" si="894"/>
        <v>0</v>
      </c>
      <c r="AA447" s="139">
        <f t="shared" si="894"/>
        <v>3.0349013657056147E-2</v>
      </c>
      <c r="AB447" s="139"/>
      <c r="AC447" s="139">
        <f t="shared" si="514"/>
        <v>1.6691957511380879E-2</v>
      </c>
      <c r="AD447" s="139">
        <f t="shared" ref="AD447:AI447" si="895">O447/$I447</f>
        <v>1.5174506828528073E-3</v>
      </c>
      <c r="AE447" s="139">
        <f t="shared" si="895"/>
        <v>0</v>
      </c>
      <c r="AF447" s="139">
        <f t="shared" si="895"/>
        <v>0</v>
      </c>
      <c r="AG447" s="139">
        <f t="shared" si="895"/>
        <v>0</v>
      </c>
      <c r="AH447" s="139">
        <f t="shared" si="895"/>
        <v>9.104704097116844E-3</v>
      </c>
      <c r="AI447" s="139">
        <f t="shared" si="895"/>
        <v>6.0698027314112293E-3</v>
      </c>
    </row>
    <row r="448" spans="2:35">
      <c r="B448" s="138" t="s">
        <v>8077</v>
      </c>
      <c r="C448" s="138" t="s">
        <v>4367</v>
      </c>
      <c r="D448" s="138" t="s">
        <v>792</v>
      </c>
      <c r="E448" s="138" t="s">
        <v>8119</v>
      </c>
      <c r="F448" s="138" t="s">
        <v>8119</v>
      </c>
      <c r="H448" s="138">
        <v>198</v>
      </c>
      <c r="I448" s="138">
        <v>979</v>
      </c>
      <c r="J448" s="138">
        <v>602</v>
      </c>
      <c r="K448" s="138">
        <v>333</v>
      </c>
      <c r="N448" s="138">
        <v>15</v>
      </c>
      <c r="O448" s="138">
        <v>7</v>
      </c>
      <c r="S448" s="138">
        <v>18</v>
      </c>
      <c r="T448" s="138">
        <v>4</v>
      </c>
      <c r="U448" s="138">
        <f t="shared" si="512"/>
        <v>29</v>
      </c>
      <c r="W448" s="139">
        <f t="shared" ref="W448:AA448" si="896">J448/$I448</f>
        <v>0.61491317671092949</v>
      </c>
      <c r="X448" s="139">
        <f t="shared" si="896"/>
        <v>0.34014300306435136</v>
      </c>
      <c r="Y448" s="139">
        <f t="shared" si="896"/>
        <v>0</v>
      </c>
      <c r="Z448" s="139">
        <f t="shared" si="896"/>
        <v>0</v>
      </c>
      <c r="AA448" s="139">
        <f t="shared" si="896"/>
        <v>1.5321756894790603E-2</v>
      </c>
      <c r="AB448" s="139"/>
      <c r="AC448" s="139">
        <f t="shared" si="514"/>
        <v>2.9622063329928498E-2</v>
      </c>
      <c r="AD448" s="139">
        <f t="shared" ref="AD448:AI448" si="897">O448/$I448</f>
        <v>7.1501532175689483E-3</v>
      </c>
      <c r="AE448" s="139">
        <f t="shared" si="897"/>
        <v>0</v>
      </c>
      <c r="AF448" s="139">
        <f t="shared" si="897"/>
        <v>0</v>
      </c>
      <c r="AG448" s="139">
        <f t="shared" si="897"/>
        <v>0</v>
      </c>
      <c r="AH448" s="139">
        <f t="shared" si="897"/>
        <v>1.8386108273748723E-2</v>
      </c>
      <c r="AI448" s="139">
        <f t="shared" si="897"/>
        <v>4.0858018386108275E-3</v>
      </c>
    </row>
    <row r="449" spans="2:35">
      <c r="B449" s="138" t="s">
        <v>8077</v>
      </c>
      <c r="C449" s="138" t="s">
        <v>4367</v>
      </c>
      <c r="D449" s="138" t="s">
        <v>792</v>
      </c>
      <c r="E449" s="138" t="s">
        <v>8119</v>
      </c>
      <c r="F449" s="138" t="s">
        <v>8119</v>
      </c>
      <c r="H449" s="138">
        <v>199</v>
      </c>
      <c r="I449" s="138">
        <v>889</v>
      </c>
      <c r="J449" s="138">
        <v>590</v>
      </c>
      <c r="K449" s="138">
        <v>237</v>
      </c>
      <c r="N449" s="138">
        <v>24</v>
      </c>
      <c r="O449" s="138">
        <v>5</v>
      </c>
      <c r="S449" s="138">
        <v>23</v>
      </c>
      <c r="T449" s="138">
        <v>10</v>
      </c>
      <c r="U449" s="138">
        <f t="shared" si="512"/>
        <v>38</v>
      </c>
      <c r="W449" s="139">
        <f t="shared" ref="W449:AA449" si="898">J449/$I449</f>
        <v>0.6636670416197975</v>
      </c>
      <c r="X449" s="139">
        <f t="shared" si="898"/>
        <v>0.26659167604049494</v>
      </c>
      <c r="Y449" s="139">
        <f t="shared" si="898"/>
        <v>0</v>
      </c>
      <c r="Z449" s="139">
        <f t="shared" si="898"/>
        <v>0</v>
      </c>
      <c r="AA449" s="139">
        <f t="shared" si="898"/>
        <v>2.6996625421822271E-2</v>
      </c>
      <c r="AB449" s="139"/>
      <c r="AC449" s="139">
        <f t="shared" si="514"/>
        <v>4.2744656917885267E-2</v>
      </c>
      <c r="AD449" s="139">
        <f t="shared" ref="AD449:AI449" si="899">O449/$I449</f>
        <v>5.6242969628796397E-3</v>
      </c>
      <c r="AE449" s="139">
        <f t="shared" si="899"/>
        <v>0</v>
      </c>
      <c r="AF449" s="139">
        <f t="shared" si="899"/>
        <v>0</v>
      </c>
      <c r="AG449" s="139">
        <f t="shared" si="899"/>
        <v>0</v>
      </c>
      <c r="AH449" s="139">
        <f t="shared" si="899"/>
        <v>2.5871766029246346E-2</v>
      </c>
      <c r="AI449" s="139">
        <f t="shared" si="899"/>
        <v>1.1248593925759279E-2</v>
      </c>
    </row>
    <row r="450" spans="2:35">
      <c r="B450" s="138" t="s">
        <v>8077</v>
      </c>
      <c r="C450" s="138" t="s">
        <v>4367</v>
      </c>
      <c r="D450" s="138" t="s">
        <v>792</v>
      </c>
      <c r="E450" s="138" t="s">
        <v>8119</v>
      </c>
      <c r="F450" s="138" t="s">
        <v>8119</v>
      </c>
      <c r="H450" s="138">
        <v>200</v>
      </c>
      <c r="I450" s="138">
        <v>943</v>
      </c>
      <c r="J450" s="138">
        <v>681</v>
      </c>
      <c r="K450" s="138">
        <v>207</v>
      </c>
      <c r="N450" s="138">
        <v>13</v>
      </c>
      <c r="O450" s="138">
        <v>5</v>
      </c>
      <c r="S450" s="138">
        <v>22</v>
      </c>
      <c r="T450" s="138">
        <v>15</v>
      </c>
      <c r="U450" s="138">
        <f t="shared" si="512"/>
        <v>42</v>
      </c>
      <c r="W450" s="139">
        <f t="shared" ref="W450:AA450" si="900">J450/$I450</f>
        <v>0.72216330858960764</v>
      </c>
      <c r="X450" s="139">
        <f t="shared" si="900"/>
        <v>0.21951219512195122</v>
      </c>
      <c r="Y450" s="139">
        <f t="shared" si="900"/>
        <v>0</v>
      </c>
      <c r="Z450" s="139">
        <f t="shared" si="900"/>
        <v>0</v>
      </c>
      <c r="AA450" s="139">
        <f t="shared" si="900"/>
        <v>1.3785790031813362E-2</v>
      </c>
      <c r="AB450" s="139"/>
      <c r="AC450" s="139">
        <f t="shared" si="514"/>
        <v>4.4538706256627786E-2</v>
      </c>
      <c r="AD450" s="139">
        <f t="shared" ref="AD450:AI450" si="901">O450/$I450</f>
        <v>5.3022269353128317E-3</v>
      </c>
      <c r="AE450" s="139">
        <f t="shared" si="901"/>
        <v>0</v>
      </c>
      <c r="AF450" s="139">
        <f t="shared" si="901"/>
        <v>0</v>
      </c>
      <c r="AG450" s="139">
        <f t="shared" si="901"/>
        <v>0</v>
      </c>
      <c r="AH450" s="139">
        <f t="shared" si="901"/>
        <v>2.3329798515376459E-2</v>
      </c>
      <c r="AI450" s="139">
        <f t="shared" si="901"/>
        <v>1.5906680805938492E-2</v>
      </c>
    </row>
    <row r="451" spans="2:35">
      <c r="B451" s="138" t="s">
        <v>8077</v>
      </c>
      <c r="C451" s="138" t="s">
        <v>4367</v>
      </c>
      <c r="D451" s="138" t="s">
        <v>792</v>
      </c>
      <c r="E451" s="138" t="s">
        <v>8119</v>
      </c>
      <c r="F451" s="138" t="s">
        <v>8119</v>
      </c>
      <c r="H451" s="138">
        <v>201</v>
      </c>
      <c r="I451" s="138">
        <v>952</v>
      </c>
      <c r="J451" s="138">
        <v>551</v>
      </c>
      <c r="K451" s="138">
        <v>362</v>
      </c>
      <c r="N451" s="138">
        <v>11</v>
      </c>
      <c r="O451" s="138">
        <v>1</v>
      </c>
      <c r="S451" s="138">
        <v>21</v>
      </c>
      <c r="T451" s="138">
        <v>6</v>
      </c>
      <c r="U451" s="138">
        <f t="shared" si="512"/>
        <v>28</v>
      </c>
      <c r="W451" s="139">
        <f t="shared" ref="W451:AA451" si="902">J451/$I451</f>
        <v>0.57878151260504207</v>
      </c>
      <c r="X451" s="139">
        <f t="shared" si="902"/>
        <v>0.38025210084033612</v>
      </c>
      <c r="Y451" s="139">
        <f t="shared" si="902"/>
        <v>0</v>
      </c>
      <c r="Z451" s="139">
        <f t="shared" si="902"/>
        <v>0</v>
      </c>
      <c r="AA451" s="139">
        <f t="shared" si="902"/>
        <v>1.1554621848739496E-2</v>
      </c>
      <c r="AB451" s="139"/>
      <c r="AC451" s="139">
        <f t="shared" si="514"/>
        <v>2.9411764705882353E-2</v>
      </c>
      <c r="AD451" s="139">
        <f t="shared" ref="AD451:AI451" si="903">O451/$I451</f>
        <v>1.0504201680672268E-3</v>
      </c>
      <c r="AE451" s="139">
        <f t="shared" si="903"/>
        <v>0</v>
      </c>
      <c r="AF451" s="139">
        <f t="shared" si="903"/>
        <v>0</v>
      </c>
      <c r="AG451" s="139">
        <f t="shared" si="903"/>
        <v>0</v>
      </c>
      <c r="AH451" s="139">
        <f t="shared" si="903"/>
        <v>2.2058823529411766E-2</v>
      </c>
      <c r="AI451" s="139">
        <f t="shared" si="903"/>
        <v>6.3025210084033615E-3</v>
      </c>
    </row>
    <row r="452" spans="2:35">
      <c r="B452" s="138" t="s">
        <v>8077</v>
      </c>
      <c r="C452" s="138" t="s">
        <v>4367</v>
      </c>
      <c r="D452" s="138" t="s">
        <v>792</v>
      </c>
      <c r="E452" s="138" t="s">
        <v>8119</v>
      </c>
      <c r="F452" s="138" t="s">
        <v>8119</v>
      </c>
      <c r="H452" s="138">
        <v>202</v>
      </c>
      <c r="I452" s="138">
        <v>602</v>
      </c>
      <c r="J452" s="138">
        <v>465</v>
      </c>
      <c r="K452" s="138">
        <v>120</v>
      </c>
      <c r="N452" s="138">
        <v>4</v>
      </c>
      <c r="O452" s="138">
        <v>1</v>
      </c>
      <c r="S452" s="138">
        <v>9</v>
      </c>
      <c r="T452" s="138">
        <v>3</v>
      </c>
      <c r="U452" s="138">
        <f t="shared" si="512"/>
        <v>13</v>
      </c>
      <c r="W452" s="139">
        <f t="shared" ref="W452:AA452" si="904">J452/$I452</f>
        <v>0.77242524916943522</v>
      </c>
      <c r="X452" s="139">
        <f t="shared" si="904"/>
        <v>0.19933554817275748</v>
      </c>
      <c r="Y452" s="139">
        <f t="shared" si="904"/>
        <v>0</v>
      </c>
      <c r="Z452" s="139">
        <f t="shared" si="904"/>
        <v>0</v>
      </c>
      <c r="AA452" s="139">
        <f t="shared" si="904"/>
        <v>6.6445182724252493E-3</v>
      </c>
      <c r="AB452" s="139"/>
      <c r="AC452" s="139">
        <f t="shared" si="514"/>
        <v>2.1594684385382059E-2</v>
      </c>
      <c r="AD452" s="139">
        <f t="shared" ref="AD452:AI452" si="905">O452/$I452</f>
        <v>1.6611295681063123E-3</v>
      </c>
      <c r="AE452" s="139">
        <f t="shared" si="905"/>
        <v>0</v>
      </c>
      <c r="AF452" s="139">
        <f t="shared" si="905"/>
        <v>0</v>
      </c>
      <c r="AG452" s="139">
        <f t="shared" si="905"/>
        <v>0</v>
      </c>
      <c r="AH452" s="139">
        <f t="shared" si="905"/>
        <v>1.4950166112956811E-2</v>
      </c>
      <c r="AI452" s="139">
        <f t="shared" si="905"/>
        <v>4.9833887043189366E-3</v>
      </c>
    </row>
    <row r="453" spans="2:35">
      <c r="B453" s="138" t="s">
        <v>8077</v>
      </c>
      <c r="C453" s="138" t="s">
        <v>4367</v>
      </c>
      <c r="D453" s="138" t="s">
        <v>792</v>
      </c>
      <c r="E453" s="138" t="s">
        <v>8119</v>
      </c>
      <c r="F453" s="138" t="s">
        <v>8119</v>
      </c>
      <c r="H453" s="138">
        <v>203</v>
      </c>
      <c r="I453" s="138">
        <v>663</v>
      </c>
      <c r="J453" s="138">
        <v>427</v>
      </c>
      <c r="K453" s="138">
        <v>213</v>
      </c>
      <c r="N453" s="138">
        <v>6</v>
      </c>
      <c r="O453" s="138">
        <v>1</v>
      </c>
      <c r="S453" s="138">
        <v>5</v>
      </c>
      <c r="T453" s="138">
        <v>11</v>
      </c>
      <c r="U453" s="138">
        <f t="shared" si="512"/>
        <v>17</v>
      </c>
      <c r="W453" s="139">
        <f t="shared" ref="W453:AA453" si="906">J453/$I453</f>
        <v>0.64404223227752644</v>
      </c>
      <c r="X453" s="139">
        <f t="shared" si="906"/>
        <v>0.32126696832579188</v>
      </c>
      <c r="Y453" s="139">
        <f t="shared" si="906"/>
        <v>0</v>
      </c>
      <c r="Z453" s="139">
        <f t="shared" si="906"/>
        <v>0</v>
      </c>
      <c r="AA453" s="139">
        <f t="shared" si="906"/>
        <v>9.0497737556561094E-3</v>
      </c>
      <c r="AB453" s="139"/>
      <c r="AC453" s="139">
        <f t="shared" si="514"/>
        <v>2.564102564102564E-2</v>
      </c>
      <c r="AD453" s="139">
        <f t="shared" ref="AD453:AI453" si="907">O453/$I453</f>
        <v>1.5082956259426848E-3</v>
      </c>
      <c r="AE453" s="139">
        <f t="shared" si="907"/>
        <v>0</v>
      </c>
      <c r="AF453" s="139">
        <f t="shared" si="907"/>
        <v>0</v>
      </c>
      <c r="AG453" s="139">
        <f t="shared" si="907"/>
        <v>0</v>
      </c>
      <c r="AH453" s="139">
        <f t="shared" si="907"/>
        <v>7.5414781297134239E-3</v>
      </c>
      <c r="AI453" s="139">
        <f t="shared" si="907"/>
        <v>1.6591251885369532E-2</v>
      </c>
    </row>
    <row r="454" spans="2:35">
      <c r="B454" s="138" t="s">
        <v>8077</v>
      </c>
      <c r="C454" s="138" t="s">
        <v>4367</v>
      </c>
      <c r="D454" s="138" t="s">
        <v>792</v>
      </c>
      <c r="E454" s="138" t="s">
        <v>8119</v>
      </c>
      <c r="F454" s="138" t="s">
        <v>8119</v>
      </c>
      <c r="H454" s="138">
        <v>204</v>
      </c>
      <c r="I454" s="138">
        <v>760</v>
      </c>
      <c r="J454" s="138">
        <v>428</v>
      </c>
      <c r="K454" s="138">
        <v>314</v>
      </c>
      <c r="N454" s="138">
        <v>0</v>
      </c>
      <c r="O454" s="138">
        <v>0</v>
      </c>
      <c r="S454" s="138">
        <v>11</v>
      </c>
      <c r="T454" s="138">
        <v>7</v>
      </c>
      <c r="U454" s="138">
        <f t="shared" si="512"/>
        <v>18</v>
      </c>
      <c r="W454" s="139">
        <f t="shared" ref="W454:AA454" si="908">J454/$I454</f>
        <v>0.56315789473684208</v>
      </c>
      <c r="X454" s="139">
        <f t="shared" si="908"/>
        <v>0.41315789473684211</v>
      </c>
      <c r="Y454" s="139">
        <f t="shared" si="908"/>
        <v>0</v>
      </c>
      <c r="Z454" s="139">
        <f t="shared" si="908"/>
        <v>0</v>
      </c>
      <c r="AA454" s="139">
        <f t="shared" si="908"/>
        <v>0</v>
      </c>
      <c r="AB454" s="139"/>
      <c r="AC454" s="139">
        <f t="shared" si="514"/>
        <v>2.368421052631579E-2</v>
      </c>
      <c r="AD454" s="139">
        <f t="shared" ref="AD454:AI454" si="909">O454/$I454</f>
        <v>0</v>
      </c>
      <c r="AE454" s="139">
        <f t="shared" si="909"/>
        <v>0</v>
      </c>
      <c r="AF454" s="139">
        <f t="shared" si="909"/>
        <v>0</v>
      </c>
      <c r="AG454" s="139">
        <f t="shared" si="909"/>
        <v>0</v>
      </c>
      <c r="AH454" s="139">
        <f t="shared" si="909"/>
        <v>1.4473684210526316E-2</v>
      </c>
      <c r="AI454" s="139">
        <f t="shared" si="909"/>
        <v>9.2105263157894728E-3</v>
      </c>
    </row>
    <row r="455" spans="2:35">
      <c r="B455" s="138" t="s">
        <v>8077</v>
      </c>
      <c r="C455" s="138" t="s">
        <v>4367</v>
      </c>
      <c r="D455" s="138" t="s">
        <v>792</v>
      </c>
      <c r="E455" s="138" t="s">
        <v>8119</v>
      </c>
      <c r="F455" s="138" t="s">
        <v>8119</v>
      </c>
      <c r="H455" s="138">
        <v>205</v>
      </c>
      <c r="I455" s="138">
        <v>957</v>
      </c>
      <c r="J455" s="138">
        <v>548</v>
      </c>
      <c r="K455" s="138">
        <v>363</v>
      </c>
      <c r="N455" s="138">
        <v>10</v>
      </c>
      <c r="O455" s="138">
        <v>4</v>
      </c>
      <c r="S455" s="138">
        <v>24</v>
      </c>
      <c r="T455" s="138">
        <v>8</v>
      </c>
      <c r="U455" s="138">
        <f t="shared" si="512"/>
        <v>36</v>
      </c>
      <c r="W455" s="139">
        <f t="shared" ref="W455:AA455" si="910">J455/$I455</f>
        <v>0.57262277951933127</v>
      </c>
      <c r="X455" s="139">
        <f t="shared" si="910"/>
        <v>0.37931034482758619</v>
      </c>
      <c r="Y455" s="139">
        <f t="shared" si="910"/>
        <v>0</v>
      </c>
      <c r="Z455" s="139">
        <f t="shared" si="910"/>
        <v>0</v>
      </c>
      <c r="AA455" s="139">
        <f t="shared" si="910"/>
        <v>1.0449320794148381E-2</v>
      </c>
      <c r="AB455" s="139"/>
      <c r="AC455" s="139">
        <f t="shared" si="514"/>
        <v>3.7617554858934171E-2</v>
      </c>
      <c r="AD455" s="139">
        <f t="shared" ref="AD455:AI455" si="911">O455/$I455</f>
        <v>4.1797283176593526E-3</v>
      </c>
      <c r="AE455" s="139">
        <f t="shared" si="911"/>
        <v>0</v>
      </c>
      <c r="AF455" s="139">
        <f t="shared" si="911"/>
        <v>0</v>
      </c>
      <c r="AG455" s="139">
        <f t="shared" si="911"/>
        <v>0</v>
      </c>
      <c r="AH455" s="139">
        <f t="shared" si="911"/>
        <v>2.5078369905956112E-2</v>
      </c>
      <c r="AI455" s="139">
        <f t="shared" si="911"/>
        <v>8.3594566353187051E-3</v>
      </c>
    </row>
    <row r="456" spans="2:35">
      <c r="B456" s="138" t="s">
        <v>8077</v>
      </c>
      <c r="C456" s="138" t="s">
        <v>4367</v>
      </c>
      <c r="D456" s="138" t="s">
        <v>792</v>
      </c>
      <c r="E456" s="138" t="s">
        <v>8119</v>
      </c>
      <c r="F456" s="138" t="s">
        <v>8119</v>
      </c>
      <c r="H456" s="138">
        <v>206</v>
      </c>
      <c r="I456" s="138">
        <v>821</v>
      </c>
      <c r="J456" s="138">
        <v>486</v>
      </c>
      <c r="K456" s="138">
        <v>292</v>
      </c>
      <c r="N456" s="138">
        <v>10</v>
      </c>
      <c r="O456" s="138">
        <v>4</v>
      </c>
      <c r="S456" s="138">
        <v>23</v>
      </c>
      <c r="T456" s="138">
        <v>6</v>
      </c>
      <c r="U456" s="138">
        <f t="shared" si="512"/>
        <v>33</v>
      </c>
      <c r="W456" s="139">
        <f t="shared" ref="W456:AA456" si="912">J456/$I456</f>
        <v>0.59196102314250909</v>
      </c>
      <c r="X456" s="139">
        <f t="shared" si="912"/>
        <v>0.35566382460414131</v>
      </c>
      <c r="Y456" s="139">
        <f t="shared" si="912"/>
        <v>0</v>
      </c>
      <c r="Z456" s="139">
        <f t="shared" si="912"/>
        <v>0</v>
      </c>
      <c r="AA456" s="139">
        <f t="shared" si="912"/>
        <v>1.2180267965895249E-2</v>
      </c>
      <c r="AB456" s="139"/>
      <c r="AC456" s="139">
        <f t="shared" si="514"/>
        <v>4.0194884287454324E-2</v>
      </c>
      <c r="AD456" s="139">
        <f t="shared" ref="AD456:AI456" si="913">O456/$I456</f>
        <v>4.8721071863580996E-3</v>
      </c>
      <c r="AE456" s="139">
        <f t="shared" si="913"/>
        <v>0</v>
      </c>
      <c r="AF456" s="139">
        <f t="shared" si="913"/>
        <v>0</v>
      </c>
      <c r="AG456" s="139">
        <f t="shared" si="913"/>
        <v>0</v>
      </c>
      <c r="AH456" s="139">
        <f t="shared" si="913"/>
        <v>2.8014616321559074E-2</v>
      </c>
      <c r="AI456" s="139">
        <f t="shared" si="913"/>
        <v>7.3081607795371494E-3</v>
      </c>
    </row>
    <row r="457" spans="2:35">
      <c r="B457" s="138" t="s">
        <v>8077</v>
      </c>
      <c r="C457" s="138" t="s">
        <v>4367</v>
      </c>
      <c r="D457" s="138" t="s">
        <v>792</v>
      </c>
      <c r="E457" s="138" t="s">
        <v>8119</v>
      </c>
      <c r="F457" s="138" t="s">
        <v>8119</v>
      </c>
      <c r="H457" s="138">
        <v>207</v>
      </c>
      <c r="I457" s="138">
        <v>885</v>
      </c>
      <c r="J457" s="138">
        <v>595</v>
      </c>
      <c r="K457" s="138">
        <v>254</v>
      </c>
      <c r="N457" s="138">
        <v>7</v>
      </c>
      <c r="O457" s="138">
        <v>3</v>
      </c>
      <c r="S457" s="138">
        <v>19</v>
      </c>
      <c r="T457" s="138">
        <v>7</v>
      </c>
      <c r="U457" s="138">
        <f t="shared" si="512"/>
        <v>29</v>
      </c>
      <c r="W457" s="139">
        <f t="shared" ref="W457:AA457" si="914">J457/$I457</f>
        <v>0.67231638418079098</v>
      </c>
      <c r="X457" s="139">
        <f t="shared" si="914"/>
        <v>0.28700564971751413</v>
      </c>
      <c r="Y457" s="139">
        <f t="shared" si="914"/>
        <v>0</v>
      </c>
      <c r="Z457" s="139">
        <f t="shared" si="914"/>
        <v>0</v>
      </c>
      <c r="AA457" s="139">
        <f t="shared" si="914"/>
        <v>7.9096045197740109E-3</v>
      </c>
      <c r="AB457" s="139"/>
      <c r="AC457" s="139">
        <f t="shared" si="514"/>
        <v>3.2768361581920903E-2</v>
      </c>
      <c r="AD457" s="139">
        <f t="shared" ref="AD457:AI457" si="915">O457/$I457</f>
        <v>3.3898305084745762E-3</v>
      </c>
      <c r="AE457" s="139">
        <f t="shared" si="915"/>
        <v>0</v>
      </c>
      <c r="AF457" s="139">
        <f t="shared" si="915"/>
        <v>0</v>
      </c>
      <c r="AG457" s="139">
        <f t="shared" si="915"/>
        <v>0</v>
      </c>
      <c r="AH457" s="139">
        <f t="shared" si="915"/>
        <v>2.1468926553672316E-2</v>
      </c>
      <c r="AI457" s="139">
        <f t="shared" si="915"/>
        <v>7.9096045197740109E-3</v>
      </c>
    </row>
    <row r="458" spans="2:35">
      <c r="B458" s="138" t="s">
        <v>8077</v>
      </c>
      <c r="C458" s="138" t="s">
        <v>4367</v>
      </c>
      <c r="D458" s="138" t="s">
        <v>792</v>
      </c>
      <c r="E458" s="138" t="s">
        <v>8119</v>
      </c>
      <c r="F458" s="138" t="s">
        <v>8119</v>
      </c>
      <c r="H458" s="138">
        <v>208</v>
      </c>
      <c r="I458" s="138">
        <v>608</v>
      </c>
      <c r="J458" s="138">
        <v>441</v>
      </c>
      <c r="K458" s="138">
        <v>148</v>
      </c>
      <c r="N458" s="138">
        <v>3</v>
      </c>
      <c r="O458" s="138">
        <v>6</v>
      </c>
      <c r="S458" s="138">
        <v>10</v>
      </c>
      <c r="T458" s="138">
        <v>0</v>
      </c>
      <c r="U458" s="138">
        <f t="shared" si="512"/>
        <v>16</v>
      </c>
      <c r="W458" s="139">
        <f t="shared" ref="W458:AA458" si="916">J458/$I458</f>
        <v>0.72532894736842102</v>
      </c>
      <c r="X458" s="139">
        <f t="shared" si="916"/>
        <v>0.24342105263157895</v>
      </c>
      <c r="Y458" s="139">
        <f t="shared" si="916"/>
        <v>0</v>
      </c>
      <c r="Z458" s="139">
        <f t="shared" si="916"/>
        <v>0</v>
      </c>
      <c r="AA458" s="139">
        <f t="shared" si="916"/>
        <v>4.9342105263157892E-3</v>
      </c>
      <c r="AB458" s="139"/>
      <c r="AC458" s="139">
        <f t="shared" si="514"/>
        <v>2.6315789473684209E-2</v>
      </c>
      <c r="AD458" s="139">
        <f t="shared" ref="AD458:AI458" si="917">O458/$I458</f>
        <v>9.8684210526315784E-3</v>
      </c>
      <c r="AE458" s="139">
        <f t="shared" si="917"/>
        <v>0</v>
      </c>
      <c r="AF458" s="139">
        <f t="shared" si="917"/>
        <v>0</v>
      </c>
      <c r="AG458" s="139">
        <f t="shared" si="917"/>
        <v>0</v>
      </c>
      <c r="AH458" s="139">
        <f t="shared" si="917"/>
        <v>1.6447368421052631E-2</v>
      </c>
      <c r="AI458" s="139">
        <f t="shared" si="917"/>
        <v>0</v>
      </c>
    </row>
    <row r="459" spans="2:35">
      <c r="B459" s="138" t="s">
        <v>8077</v>
      </c>
      <c r="C459" s="138" t="s">
        <v>4367</v>
      </c>
      <c r="D459" s="138" t="s">
        <v>792</v>
      </c>
      <c r="E459" s="138" t="s">
        <v>8119</v>
      </c>
      <c r="F459" s="138" t="s">
        <v>8119</v>
      </c>
      <c r="H459" s="138">
        <v>209</v>
      </c>
      <c r="I459" s="138">
        <v>842</v>
      </c>
      <c r="J459" s="138">
        <v>601</v>
      </c>
      <c r="K459" s="138">
        <v>215</v>
      </c>
      <c r="N459" s="138">
        <v>6</v>
      </c>
      <c r="O459" s="138">
        <v>4</v>
      </c>
      <c r="S459" s="138">
        <v>11</v>
      </c>
      <c r="T459" s="138">
        <v>5</v>
      </c>
      <c r="U459" s="138">
        <f t="shared" si="512"/>
        <v>20</v>
      </c>
      <c r="W459" s="139">
        <f t="shared" ref="W459:AA459" si="918">J459/$I459</f>
        <v>0.71377672209026133</v>
      </c>
      <c r="X459" s="139">
        <f t="shared" si="918"/>
        <v>0.25534441805225655</v>
      </c>
      <c r="Y459" s="139">
        <f t="shared" si="918"/>
        <v>0</v>
      </c>
      <c r="Z459" s="139">
        <f t="shared" si="918"/>
        <v>0</v>
      </c>
      <c r="AA459" s="139">
        <f t="shared" si="918"/>
        <v>7.1258907363420431E-3</v>
      </c>
      <c r="AB459" s="139"/>
      <c r="AC459" s="139">
        <f t="shared" si="514"/>
        <v>2.3752969121140142E-2</v>
      </c>
      <c r="AD459" s="139">
        <f t="shared" ref="AD459:AI459" si="919">O459/$I459</f>
        <v>4.7505938242280287E-3</v>
      </c>
      <c r="AE459" s="139">
        <f t="shared" si="919"/>
        <v>0</v>
      </c>
      <c r="AF459" s="139">
        <f t="shared" si="919"/>
        <v>0</v>
      </c>
      <c r="AG459" s="139">
        <f t="shared" si="919"/>
        <v>0</v>
      </c>
      <c r="AH459" s="139">
        <f t="shared" si="919"/>
        <v>1.3064133016627079E-2</v>
      </c>
      <c r="AI459" s="139">
        <f t="shared" si="919"/>
        <v>5.9382422802850355E-3</v>
      </c>
    </row>
    <row r="460" spans="2:35">
      <c r="B460" s="138" t="s">
        <v>8077</v>
      </c>
      <c r="C460" s="138" t="s">
        <v>4367</v>
      </c>
      <c r="D460" s="138" t="s">
        <v>792</v>
      </c>
      <c r="E460" s="138" t="s">
        <v>8119</v>
      </c>
      <c r="F460" s="138" t="s">
        <v>8119</v>
      </c>
      <c r="H460" s="138">
        <v>210</v>
      </c>
      <c r="I460" s="138">
        <v>686</v>
      </c>
      <c r="J460" s="138">
        <v>400</v>
      </c>
      <c r="K460" s="138">
        <v>253</v>
      </c>
      <c r="N460" s="138">
        <v>10</v>
      </c>
      <c r="O460" s="138">
        <v>0</v>
      </c>
      <c r="S460" s="138">
        <v>20</v>
      </c>
      <c r="T460" s="138">
        <v>3</v>
      </c>
      <c r="U460" s="138">
        <f t="shared" si="512"/>
        <v>23</v>
      </c>
      <c r="W460" s="139">
        <f t="shared" ref="W460:AA460" si="920">J460/$I460</f>
        <v>0.58309037900874638</v>
      </c>
      <c r="X460" s="139">
        <f t="shared" si="920"/>
        <v>0.36880466472303208</v>
      </c>
      <c r="Y460" s="139">
        <f t="shared" si="920"/>
        <v>0</v>
      </c>
      <c r="Z460" s="139">
        <f t="shared" si="920"/>
        <v>0</v>
      </c>
      <c r="AA460" s="139">
        <f t="shared" si="920"/>
        <v>1.4577259475218658E-2</v>
      </c>
      <c r="AB460" s="139"/>
      <c r="AC460" s="139">
        <f t="shared" si="514"/>
        <v>3.3527696793002916E-2</v>
      </c>
      <c r="AD460" s="139">
        <f t="shared" ref="AD460:AI460" si="921">O460/$I460</f>
        <v>0</v>
      </c>
      <c r="AE460" s="139">
        <f t="shared" si="921"/>
        <v>0</v>
      </c>
      <c r="AF460" s="139">
        <f t="shared" si="921"/>
        <v>0</v>
      </c>
      <c r="AG460" s="139">
        <f t="shared" si="921"/>
        <v>0</v>
      </c>
      <c r="AH460" s="139">
        <f t="shared" si="921"/>
        <v>2.9154518950437316E-2</v>
      </c>
      <c r="AI460" s="139">
        <f t="shared" si="921"/>
        <v>4.3731778425655978E-3</v>
      </c>
    </row>
    <row r="461" spans="2:35">
      <c r="B461" s="138" t="s">
        <v>8077</v>
      </c>
      <c r="C461" s="138" t="s">
        <v>4367</v>
      </c>
      <c r="D461" s="138" t="s">
        <v>792</v>
      </c>
      <c r="E461" s="138" t="s">
        <v>8119</v>
      </c>
      <c r="F461" s="138" t="s">
        <v>8119</v>
      </c>
      <c r="H461" s="138">
        <v>211</v>
      </c>
      <c r="I461" s="138">
        <v>486</v>
      </c>
      <c r="J461" s="138">
        <v>342</v>
      </c>
      <c r="K461" s="138">
        <v>123</v>
      </c>
      <c r="N461" s="138">
        <v>7</v>
      </c>
      <c r="O461" s="138">
        <v>1</v>
      </c>
      <c r="S461" s="138">
        <v>7</v>
      </c>
      <c r="T461" s="138">
        <v>6</v>
      </c>
      <c r="U461" s="138">
        <f t="shared" si="512"/>
        <v>14</v>
      </c>
      <c r="W461" s="139">
        <f t="shared" ref="W461:AA461" si="922">J461/$I461</f>
        <v>0.70370370370370372</v>
      </c>
      <c r="X461" s="139">
        <f t="shared" si="922"/>
        <v>0.25308641975308643</v>
      </c>
      <c r="Y461" s="139">
        <f t="shared" si="922"/>
        <v>0</v>
      </c>
      <c r="Z461" s="139">
        <f t="shared" si="922"/>
        <v>0</v>
      </c>
      <c r="AA461" s="139">
        <f t="shared" si="922"/>
        <v>1.4403292181069959E-2</v>
      </c>
      <c r="AB461" s="139"/>
      <c r="AC461" s="139">
        <f t="shared" si="514"/>
        <v>2.8806584362139918E-2</v>
      </c>
      <c r="AD461" s="139">
        <f t="shared" ref="AD461:AI461" si="923">O461/$I461</f>
        <v>2.05761316872428E-3</v>
      </c>
      <c r="AE461" s="139">
        <f t="shared" si="923"/>
        <v>0</v>
      </c>
      <c r="AF461" s="139">
        <f t="shared" si="923"/>
        <v>0</v>
      </c>
      <c r="AG461" s="139">
        <f t="shared" si="923"/>
        <v>0</v>
      </c>
      <c r="AH461" s="139">
        <f t="shared" si="923"/>
        <v>1.4403292181069959E-2</v>
      </c>
      <c r="AI461" s="139">
        <f t="shared" si="923"/>
        <v>1.2345679012345678E-2</v>
      </c>
    </row>
    <row r="462" spans="2:35">
      <c r="B462" s="138" t="s">
        <v>8077</v>
      </c>
      <c r="C462" s="138" t="s">
        <v>4367</v>
      </c>
      <c r="D462" s="138" t="s">
        <v>792</v>
      </c>
      <c r="E462" s="138" t="s">
        <v>8119</v>
      </c>
      <c r="F462" s="138" t="s">
        <v>8119</v>
      </c>
      <c r="H462" s="138">
        <v>212</v>
      </c>
      <c r="I462" s="138">
        <v>779</v>
      </c>
      <c r="J462" s="138">
        <v>527</v>
      </c>
      <c r="K462" s="138">
        <v>227</v>
      </c>
      <c r="N462" s="138">
        <v>6</v>
      </c>
      <c r="O462" s="138">
        <v>1</v>
      </c>
      <c r="S462" s="138">
        <v>12</v>
      </c>
      <c r="T462" s="138">
        <v>6</v>
      </c>
      <c r="U462" s="138">
        <f t="shared" si="512"/>
        <v>19</v>
      </c>
      <c r="W462" s="139">
        <f t="shared" ref="W462:AA462" si="924">J462/$I462</f>
        <v>0.67650834403080873</v>
      </c>
      <c r="X462" s="139">
        <f t="shared" si="924"/>
        <v>0.29139922978177152</v>
      </c>
      <c r="Y462" s="139">
        <f t="shared" si="924"/>
        <v>0</v>
      </c>
      <c r="Z462" s="139">
        <f t="shared" si="924"/>
        <v>0</v>
      </c>
      <c r="AA462" s="139">
        <f t="shared" si="924"/>
        <v>7.7021822849807449E-3</v>
      </c>
      <c r="AB462" s="139"/>
      <c r="AC462" s="139">
        <f t="shared" si="514"/>
        <v>2.4390243902439025E-2</v>
      </c>
      <c r="AD462" s="139">
        <f t="shared" ref="AD462:AI462" si="925">O462/$I462</f>
        <v>1.2836970474967907E-3</v>
      </c>
      <c r="AE462" s="139">
        <f t="shared" si="925"/>
        <v>0</v>
      </c>
      <c r="AF462" s="139">
        <f t="shared" si="925"/>
        <v>0</v>
      </c>
      <c r="AG462" s="139">
        <f t="shared" si="925"/>
        <v>0</v>
      </c>
      <c r="AH462" s="139">
        <f t="shared" si="925"/>
        <v>1.540436456996149E-2</v>
      </c>
      <c r="AI462" s="139">
        <f t="shared" si="925"/>
        <v>7.7021822849807449E-3</v>
      </c>
    </row>
    <row r="463" spans="2:35">
      <c r="B463" s="138" t="s">
        <v>8077</v>
      </c>
      <c r="C463" s="138" t="s">
        <v>4367</v>
      </c>
      <c r="D463" s="138" t="s">
        <v>792</v>
      </c>
      <c r="E463" s="138" t="s">
        <v>8119</v>
      </c>
      <c r="F463" s="138" t="s">
        <v>8119</v>
      </c>
      <c r="H463" s="138">
        <v>213</v>
      </c>
      <c r="I463" s="138">
        <v>1042</v>
      </c>
      <c r="J463" s="138">
        <v>581</v>
      </c>
      <c r="K463" s="138">
        <v>430</v>
      </c>
      <c r="N463" s="138">
        <v>13</v>
      </c>
      <c r="O463" s="138">
        <v>2</v>
      </c>
      <c r="S463" s="138">
        <v>11</v>
      </c>
      <c r="T463" s="138">
        <v>5</v>
      </c>
      <c r="U463" s="138">
        <f t="shared" si="512"/>
        <v>18</v>
      </c>
      <c r="W463" s="139">
        <f t="shared" ref="W463:AA463" si="926">J463/$I463</f>
        <v>0.55758157389635321</v>
      </c>
      <c r="X463" s="139">
        <f t="shared" si="926"/>
        <v>0.41266794625719772</v>
      </c>
      <c r="Y463" s="139">
        <f t="shared" si="926"/>
        <v>0</v>
      </c>
      <c r="Z463" s="139">
        <f t="shared" si="926"/>
        <v>0</v>
      </c>
      <c r="AA463" s="139">
        <f t="shared" si="926"/>
        <v>1.2476007677543186E-2</v>
      </c>
      <c r="AB463" s="139"/>
      <c r="AC463" s="139">
        <f t="shared" si="514"/>
        <v>1.7274472168905951E-2</v>
      </c>
      <c r="AD463" s="139">
        <f t="shared" ref="AD463:AI463" si="927">O463/$I463</f>
        <v>1.9193857965451055E-3</v>
      </c>
      <c r="AE463" s="139">
        <f t="shared" si="927"/>
        <v>0</v>
      </c>
      <c r="AF463" s="139">
        <f t="shared" si="927"/>
        <v>0</v>
      </c>
      <c r="AG463" s="139">
        <f t="shared" si="927"/>
        <v>0</v>
      </c>
      <c r="AH463" s="139">
        <f t="shared" si="927"/>
        <v>1.055662188099808E-2</v>
      </c>
      <c r="AI463" s="139">
        <f t="shared" si="927"/>
        <v>4.7984644913627635E-3</v>
      </c>
    </row>
    <row r="464" spans="2:35">
      <c r="B464" s="138" t="s">
        <v>8077</v>
      </c>
      <c r="C464" s="138" t="s">
        <v>4367</v>
      </c>
      <c r="D464" s="138" t="s">
        <v>792</v>
      </c>
      <c r="E464" s="138" t="s">
        <v>8119</v>
      </c>
      <c r="F464" s="138" t="s">
        <v>8119</v>
      </c>
      <c r="H464" s="138">
        <v>214</v>
      </c>
      <c r="I464" s="138">
        <v>944</v>
      </c>
      <c r="J464" s="138">
        <v>563</v>
      </c>
      <c r="K464" s="138">
        <v>327</v>
      </c>
      <c r="N464" s="138">
        <v>15</v>
      </c>
      <c r="O464" s="138">
        <v>3</v>
      </c>
      <c r="S464" s="138">
        <v>26</v>
      </c>
      <c r="T464" s="138">
        <v>10</v>
      </c>
      <c r="U464" s="138">
        <f t="shared" si="512"/>
        <v>39</v>
      </c>
      <c r="W464" s="139">
        <f t="shared" ref="W464:AA464" si="928">J464/$I464</f>
        <v>0.59639830508474578</v>
      </c>
      <c r="X464" s="139">
        <f t="shared" si="928"/>
        <v>0.34639830508474578</v>
      </c>
      <c r="Y464" s="139">
        <f t="shared" si="928"/>
        <v>0</v>
      </c>
      <c r="Z464" s="139">
        <f t="shared" si="928"/>
        <v>0</v>
      </c>
      <c r="AA464" s="139">
        <f t="shared" si="928"/>
        <v>1.5889830508474576E-2</v>
      </c>
      <c r="AB464" s="139"/>
      <c r="AC464" s="139">
        <f t="shared" si="514"/>
        <v>4.1313559322033899E-2</v>
      </c>
      <c r="AD464" s="139">
        <f t="shared" ref="AD464:AI464" si="929">O464/$I464</f>
        <v>3.1779661016949155E-3</v>
      </c>
      <c r="AE464" s="139">
        <f t="shared" si="929"/>
        <v>0</v>
      </c>
      <c r="AF464" s="139">
        <f t="shared" si="929"/>
        <v>0</v>
      </c>
      <c r="AG464" s="139">
        <f t="shared" si="929"/>
        <v>0</v>
      </c>
      <c r="AH464" s="139">
        <f t="shared" si="929"/>
        <v>2.7542372881355932E-2</v>
      </c>
      <c r="AI464" s="139">
        <f t="shared" si="929"/>
        <v>1.059322033898305E-2</v>
      </c>
    </row>
    <row r="465" spans="2:35">
      <c r="B465" s="138" t="s">
        <v>8077</v>
      </c>
      <c r="C465" s="138" t="s">
        <v>4367</v>
      </c>
      <c r="D465" s="138" t="s">
        <v>792</v>
      </c>
      <c r="E465" s="138" t="s">
        <v>8119</v>
      </c>
      <c r="F465" s="138" t="s">
        <v>8119</v>
      </c>
      <c r="H465" s="138">
        <v>215</v>
      </c>
      <c r="I465" s="138">
        <v>849</v>
      </c>
      <c r="J465" s="138">
        <v>489</v>
      </c>
      <c r="K465" s="138">
        <v>311</v>
      </c>
      <c r="N465" s="138">
        <v>11</v>
      </c>
      <c r="O465" s="138">
        <v>1</v>
      </c>
      <c r="S465" s="138">
        <v>25</v>
      </c>
      <c r="T465" s="138">
        <v>12</v>
      </c>
      <c r="U465" s="138">
        <f t="shared" si="512"/>
        <v>38</v>
      </c>
      <c r="W465" s="139">
        <f t="shared" ref="W465:AA465" si="930">J465/$I465</f>
        <v>0.57597173144876324</v>
      </c>
      <c r="X465" s="139">
        <f t="shared" si="930"/>
        <v>0.3663133097762073</v>
      </c>
      <c r="Y465" s="139">
        <f t="shared" si="930"/>
        <v>0</v>
      </c>
      <c r="Z465" s="139">
        <f t="shared" si="930"/>
        <v>0</v>
      </c>
      <c r="AA465" s="139">
        <f t="shared" si="930"/>
        <v>1.2956419316843345E-2</v>
      </c>
      <c r="AB465" s="139"/>
      <c r="AC465" s="139">
        <f t="shared" si="514"/>
        <v>4.47585394581861E-2</v>
      </c>
      <c r="AD465" s="139">
        <f t="shared" ref="AD465:AI465" si="931">O465/$I465</f>
        <v>1.1778563015312131E-3</v>
      </c>
      <c r="AE465" s="139">
        <f t="shared" si="931"/>
        <v>0</v>
      </c>
      <c r="AF465" s="139">
        <f t="shared" si="931"/>
        <v>0</v>
      </c>
      <c r="AG465" s="139">
        <f t="shared" si="931"/>
        <v>0</v>
      </c>
      <c r="AH465" s="139">
        <f t="shared" si="931"/>
        <v>2.9446407538280331E-2</v>
      </c>
      <c r="AI465" s="139">
        <f t="shared" si="931"/>
        <v>1.4134275618374558E-2</v>
      </c>
    </row>
    <row r="466" spans="2:35">
      <c r="B466" s="138" t="s">
        <v>8077</v>
      </c>
      <c r="C466" s="138" t="s">
        <v>4367</v>
      </c>
      <c r="D466" s="138" t="s">
        <v>792</v>
      </c>
      <c r="E466" s="138" t="s">
        <v>8119</v>
      </c>
      <c r="F466" s="138" t="s">
        <v>8119</v>
      </c>
      <c r="H466" s="138">
        <v>216</v>
      </c>
      <c r="I466" s="138">
        <v>702</v>
      </c>
      <c r="J466" s="138">
        <v>491</v>
      </c>
      <c r="K466" s="138">
        <v>177</v>
      </c>
      <c r="N466" s="138">
        <v>6</v>
      </c>
      <c r="O466" s="138">
        <v>2</v>
      </c>
      <c r="S466" s="138">
        <v>21</v>
      </c>
      <c r="T466" s="138">
        <v>5</v>
      </c>
      <c r="U466" s="138">
        <f t="shared" si="512"/>
        <v>28</v>
      </c>
      <c r="W466" s="139">
        <f t="shared" ref="W466:AA466" si="932">J466/$I466</f>
        <v>0.69943019943019946</v>
      </c>
      <c r="X466" s="139">
        <f t="shared" si="932"/>
        <v>0.25213675213675213</v>
      </c>
      <c r="Y466" s="139">
        <f t="shared" si="932"/>
        <v>0</v>
      </c>
      <c r="Z466" s="139">
        <f t="shared" si="932"/>
        <v>0</v>
      </c>
      <c r="AA466" s="139">
        <f t="shared" si="932"/>
        <v>8.5470085470085479E-3</v>
      </c>
      <c r="AB466" s="139"/>
      <c r="AC466" s="139">
        <f t="shared" si="514"/>
        <v>3.9886039886039885E-2</v>
      </c>
      <c r="AD466" s="139">
        <f t="shared" ref="AD466:AI466" si="933">O466/$I466</f>
        <v>2.8490028490028491E-3</v>
      </c>
      <c r="AE466" s="139">
        <f t="shared" si="933"/>
        <v>0</v>
      </c>
      <c r="AF466" s="139">
        <f t="shared" si="933"/>
        <v>0</v>
      </c>
      <c r="AG466" s="139">
        <f t="shared" si="933"/>
        <v>0</v>
      </c>
      <c r="AH466" s="139">
        <f t="shared" si="933"/>
        <v>2.9914529914529916E-2</v>
      </c>
      <c r="AI466" s="139">
        <f t="shared" si="933"/>
        <v>7.1225071225071226E-3</v>
      </c>
    </row>
    <row r="467" spans="2:35">
      <c r="B467" s="138" t="s">
        <v>8077</v>
      </c>
      <c r="C467" s="138" t="s">
        <v>4367</v>
      </c>
      <c r="D467" s="138" t="s">
        <v>792</v>
      </c>
      <c r="E467" s="138" t="s">
        <v>8119</v>
      </c>
      <c r="F467" s="138" t="s">
        <v>8119</v>
      </c>
      <c r="H467" s="138">
        <v>217</v>
      </c>
      <c r="I467" s="138">
        <v>834</v>
      </c>
      <c r="J467" s="138">
        <v>632</v>
      </c>
      <c r="K467" s="138">
        <v>167</v>
      </c>
      <c r="N467" s="138">
        <v>12</v>
      </c>
      <c r="O467" s="138">
        <v>3</v>
      </c>
      <c r="S467" s="138">
        <v>16</v>
      </c>
      <c r="T467" s="138">
        <v>4</v>
      </c>
      <c r="U467" s="138">
        <f t="shared" si="512"/>
        <v>23</v>
      </c>
      <c r="W467" s="139">
        <f t="shared" ref="W467:AA467" si="934">J467/$I467</f>
        <v>0.75779376498800954</v>
      </c>
      <c r="X467" s="139">
        <f t="shared" si="934"/>
        <v>0.20023980815347722</v>
      </c>
      <c r="Y467" s="139">
        <f t="shared" si="934"/>
        <v>0</v>
      </c>
      <c r="Z467" s="139">
        <f t="shared" si="934"/>
        <v>0</v>
      </c>
      <c r="AA467" s="139">
        <f t="shared" si="934"/>
        <v>1.4388489208633094E-2</v>
      </c>
      <c r="AB467" s="139"/>
      <c r="AC467" s="139">
        <f t="shared" si="514"/>
        <v>2.7577937649880094E-2</v>
      </c>
      <c r="AD467" s="139">
        <f t="shared" ref="AD467:AI467" si="935">O467/$I467</f>
        <v>3.5971223021582736E-3</v>
      </c>
      <c r="AE467" s="139">
        <f t="shared" si="935"/>
        <v>0</v>
      </c>
      <c r="AF467" s="139">
        <f t="shared" si="935"/>
        <v>0</v>
      </c>
      <c r="AG467" s="139">
        <f t="shared" si="935"/>
        <v>0</v>
      </c>
      <c r="AH467" s="139">
        <f t="shared" si="935"/>
        <v>1.9184652278177457E-2</v>
      </c>
      <c r="AI467" s="139">
        <f t="shared" si="935"/>
        <v>4.7961630695443642E-3</v>
      </c>
    </row>
    <row r="468" spans="2:35">
      <c r="B468" s="138" t="s">
        <v>8077</v>
      </c>
      <c r="C468" s="138" t="s">
        <v>4367</v>
      </c>
      <c r="D468" s="138" t="s">
        <v>792</v>
      </c>
      <c r="E468" s="138" t="s">
        <v>8119</v>
      </c>
      <c r="F468" s="138" t="s">
        <v>8119</v>
      </c>
      <c r="H468" s="138">
        <v>218</v>
      </c>
      <c r="I468" s="138">
        <v>704</v>
      </c>
      <c r="J468" s="138">
        <v>425</v>
      </c>
      <c r="K468" s="138">
        <v>249</v>
      </c>
      <c r="N468" s="138">
        <v>9</v>
      </c>
      <c r="O468" s="138">
        <v>2</v>
      </c>
      <c r="S468" s="138">
        <v>6</v>
      </c>
      <c r="T468" s="138">
        <v>13</v>
      </c>
      <c r="U468" s="138">
        <f t="shared" si="512"/>
        <v>21</v>
      </c>
      <c r="W468" s="139">
        <f t="shared" ref="W468:AA468" si="936">J468/$I468</f>
        <v>0.60369318181818177</v>
      </c>
      <c r="X468" s="139">
        <f t="shared" si="936"/>
        <v>0.35369318181818182</v>
      </c>
      <c r="Y468" s="139">
        <f t="shared" si="936"/>
        <v>0</v>
      </c>
      <c r="Z468" s="139">
        <f t="shared" si="936"/>
        <v>0</v>
      </c>
      <c r="AA468" s="139">
        <f t="shared" si="936"/>
        <v>1.278409090909091E-2</v>
      </c>
      <c r="AB468" s="139"/>
      <c r="AC468" s="139">
        <f t="shared" si="514"/>
        <v>2.9829545454545456E-2</v>
      </c>
      <c r="AD468" s="139">
        <f t="shared" ref="AD468:AI468" si="937">O468/$I468</f>
        <v>2.840909090909091E-3</v>
      </c>
      <c r="AE468" s="139">
        <f t="shared" si="937"/>
        <v>0</v>
      </c>
      <c r="AF468" s="139">
        <f t="shared" si="937"/>
        <v>0</v>
      </c>
      <c r="AG468" s="139">
        <f t="shared" si="937"/>
        <v>0</v>
      </c>
      <c r="AH468" s="139">
        <f t="shared" si="937"/>
        <v>8.5227272727272721E-3</v>
      </c>
      <c r="AI468" s="139">
        <f t="shared" si="937"/>
        <v>1.8465909090909092E-2</v>
      </c>
    </row>
    <row r="469" spans="2:35">
      <c r="B469" s="138" t="s">
        <v>8077</v>
      </c>
      <c r="C469" s="138" t="s">
        <v>4367</v>
      </c>
      <c r="D469" s="138" t="s">
        <v>792</v>
      </c>
      <c r="E469" s="138" t="s">
        <v>8119</v>
      </c>
      <c r="F469" s="138" t="s">
        <v>8119</v>
      </c>
      <c r="H469" s="138">
        <v>219</v>
      </c>
      <c r="I469" s="138">
        <v>681</v>
      </c>
      <c r="J469" s="138">
        <v>380</v>
      </c>
      <c r="K469" s="138">
        <v>265</v>
      </c>
      <c r="N469" s="138">
        <v>11</v>
      </c>
      <c r="O469" s="138">
        <v>1</v>
      </c>
      <c r="S469" s="138">
        <v>14</v>
      </c>
      <c r="T469" s="138">
        <v>10</v>
      </c>
      <c r="U469" s="138">
        <f t="shared" si="512"/>
        <v>25</v>
      </c>
      <c r="W469" s="139">
        <f t="shared" ref="W469:AA469" si="938">J469/$I469</f>
        <v>0.55800293685756241</v>
      </c>
      <c r="X469" s="139">
        <f t="shared" si="938"/>
        <v>0.3891336270190896</v>
      </c>
      <c r="Y469" s="139">
        <f t="shared" si="938"/>
        <v>0</v>
      </c>
      <c r="Z469" s="139">
        <f t="shared" si="938"/>
        <v>0</v>
      </c>
      <c r="AA469" s="139">
        <f t="shared" si="938"/>
        <v>1.6152716593245228E-2</v>
      </c>
      <c r="AB469" s="139"/>
      <c r="AC469" s="139">
        <f t="shared" si="514"/>
        <v>3.6710719530102791E-2</v>
      </c>
      <c r="AD469" s="139">
        <f t="shared" ref="AD469:AI469" si="939">O469/$I469</f>
        <v>1.4684287812041115E-3</v>
      </c>
      <c r="AE469" s="139">
        <f t="shared" si="939"/>
        <v>0</v>
      </c>
      <c r="AF469" s="139">
        <f t="shared" si="939"/>
        <v>0</v>
      </c>
      <c r="AG469" s="139">
        <f t="shared" si="939"/>
        <v>0</v>
      </c>
      <c r="AH469" s="139">
        <f t="shared" si="939"/>
        <v>2.0558002936857563E-2</v>
      </c>
      <c r="AI469" s="139">
        <f t="shared" si="939"/>
        <v>1.4684287812041116E-2</v>
      </c>
    </row>
    <row r="470" spans="2:35">
      <c r="B470" s="138" t="s">
        <v>8077</v>
      </c>
      <c r="C470" s="138" t="s">
        <v>4367</v>
      </c>
      <c r="D470" s="138" t="s">
        <v>792</v>
      </c>
      <c r="E470" s="138" t="s">
        <v>8119</v>
      </c>
      <c r="F470" s="138" t="s">
        <v>8119</v>
      </c>
      <c r="H470" s="138">
        <v>220</v>
      </c>
      <c r="I470" s="138">
        <v>877</v>
      </c>
      <c r="J470" s="138">
        <v>515</v>
      </c>
      <c r="K470" s="138">
        <v>316</v>
      </c>
      <c r="N470" s="138">
        <v>9</v>
      </c>
      <c r="O470" s="138">
        <v>1</v>
      </c>
      <c r="S470" s="138">
        <v>22</v>
      </c>
      <c r="T470" s="138">
        <v>14</v>
      </c>
      <c r="U470" s="138">
        <f t="shared" si="512"/>
        <v>37</v>
      </c>
      <c r="W470" s="139">
        <f t="shared" ref="W470:AA470" si="940">J470/$I470</f>
        <v>0.58722919042189281</v>
      </c>
      <c r="X470" s="139">
        <f t="shared" si="940"/>
        <v>0.3603192702394527</v>
      </c>
      <c r="Y470" s="139">
        <f t="shared" si="940"/>
        <v>0</v>
      </c>
      <c r="Z470" s="139">
        <f t="shared" si="940"/>
        <v>0</v>
      </c>
      <c r="AA470" s="139">
        <f t="shared" si="940"/>
        <v>1.0262257696693273E-2</v>
      </c>
      <c r="AB470" s="139"/>
      <c r="AC470" s="139">
        <f t="shared" si="514"/>
        <v>4.2189281641961229E-2</v>
      </c>
      <c r="AD470" s="139">
        <f t="shared" ref="AD470:AI470" si="941">O470/$I470</f>
        <v>1.1402508551881414E-3</v>
      </c>
      <c r="AE470" s="139">
        <f t="shared" si="941"/>
        <v>0</v>
      </c>
      <c r="AF470" s="139">
        <f t="shared" si="941"/>
        <v>0</v>
      </c>
      <c r="AG470" s="139">
        <f t="shared" si="941"/>
        <v>0</v>
      </c>
      <c r="AH470" s="139">
        <f t="shared" si="941"/>
        <v>2.5085518814139111E-2</v>
      </c>
      <c r="AI470" s="139">
        <f t="shared" si="941"/>
        <v>1.596351197263398E-2</v>
      </c>
    </row>
    <row r="471" spans="2:35">
      <c r="B471" s="138" t="s">
        <v>8077</v>
      </c>
      <c r="C471" s="138" t="s">
        <v>4367</v>
      </c>
      <c r="D471" s="138" t="s">
        <v>792</v>
      </c>
      <c r="E471" s="138" t="s">
        <v>8119</v>
      </c>
      <c r="F471" s="138" t="s">
        <v>8119</v>
      </c>
      <c r="H471" s="138">
        <v>221</v>
      </c>
      <c r="I471" s="138">
        <v>848</v>
      </c>
      <c r="J471" s="138">
        <v>465</v>
      </c>
      <c r="K471" s="138">
        <v>352</v>
      </c>
      <c r="N471" s="138">
        <v>8</v>
      </c>
      <c r="O471" s="138">
        <v>2</v>
      </c>
      <c r="S471" s="138">
        <v>15</v>
      </c>
      <c r="T471" s="138">
        <v>6</v>
      </c>
      <c r="U471" s="138">
        <f t="shared" si="512"/>
        <v>23</v>
      </c>
      <c r="W471" s="139">
        <f t="shared" ref="W471:AA471" si="942">J471/$I471</f>
        <v>0.54834905660377353</v>
      </c>
      <c r="X471" s="139">
        <f t="shared" si="942"/>
        <v>0.41509433962264153</v>
      </c>
      <c r="Y471" s="139">
        <f t="shared" si="942"/>
        <v>0</v>
      </c>
      <c r="Z471" s="139">
        <f t="shared" si="942"/>
        <v>0</v>
      </c>
      <c r="AA471" s="139">
        <f t="shared" si="942"/>
        <v>9.433962264150943E-3</v>
      </c>
      <c r="AB471" s="139"/>
      <c r="AC471" s="139">
        <f t="shared" si="514"/>
        <v>2.7122641509433963E-2</v>
      </c>
      <c r="AD471" s="139">
        <f t="shared" ref="AD471:AI471" si="943">O471/$I471</f>
        <v>2.3584905660377358E-3</v>
      </c>
      <c r="AE471" s="139">
        <f t="shared" si="943"/>
        <v>0</v>
      </c>
      <c r="AF471" s="139">
        <f t="shared" si="943"/>
        <v>0</v>
      </c>
      <c r="AG471" s="139">
        <f t="shared" si="943"/>
        <v>0</v>
      </c>
      <c r="AH471" s="139">
        <f t="shared" si="943"/>
        <v>1.7688679245283018E-2</v>
      </c>
      <c r="AI471" s="139">
        <f t="shared" si="943"/>
        <v>7.0754716981132077E-3</v>
      </c>
    </row>
    <row r="472" spans="2:35">
      <c r="B472" s="138" t="s">
        <v>8077</v>
      </c>
      <c r="C472" s="138" t="s">
        <v>4367</v>
      </c>
      <c r="D472" s="138" t="s">
        <v>792</v>
      </c>
      <c r="E472" s="138" t="s">
        <v>8119</v>
      </c>
      <c r="F472" s="138" t="s">
        <v>8119</v>
      </c>
      <c r="H472" s="138">
        <v>222</v>
      </c>
      <c r="I472" s="138">
        <v>945</v>
      </c>
      <c r="J472" s="138">
        <v>389</v>
      </c>
      <c r="K472" s="138">
        <v>502</v>
      </c>
      <c r="N472" s="138">
        <v>30</v>
      </c>
      <c r="O472" s="138">
        <v>1</v>
      </c>
      <c r="S472" s="138">
        <v>14</v>
      </c>
      <c r="T472" s="138">
        <v>9</v>
      </c>
      <c r="U472" s="138">
        <f t="shared" si="512"/>
        <v>24</v>
      </c>
      <c r="W472" s="139">
        <f t="shared" ref="W472:AA472" si="944">J472/$I472</f>
        <v>0.41164021164021164</v>
      </c>
      <c r="X472" s="139">
        <f t="shared" si="944"/>
        <v>0.53121693121693125</v>
      </c>
      <c r="Y472" s="139">
        <f t="shared" si="944"/>
        <v>0</v>
      </c>
      <c r="Z472" s="139">
        <f t="shared" si="944"/>
        <v>0</v>
      </c>
      <c r="AA472" s="139">
        <f t="shared" si="944"/>
        <v>3.1746031746031744E-2</v>
      </c>
      <c r="AB472" s="139"/>
      <c r="AC472" s="139">
        <f t="shared" si="514"/>
        <v>2.5396825396825397E-2</v>
      </c>
      <c r="AD472" s="139">
        <f t="shared" ref="AD472:AI472" si="945">O472/$I472</f>
        <v>1.0582010582010583E-3</v>
      </c>
      <c r="AE472" s="139">
        <f t="shared" si="945"/>
        <v>0</v>
      </c>
      <c r="AF472" s="139">
        <f t="shared" si="945"/>
        <v>0</v>
      </c>
      <c r="AG472" s="139">
        <f t="shared" si="945"/>
        <v>0</v>
      </c>
      <c r="AH472" s="139">
        <f t="shared" si="945"/>
        <v>1.4814814814814815E-2</v>
      </c>
      <c r="AI472" s="139">
        <f t="shared" si="945"/>
        <v>9.5238095238095247E-3</v>
      </c>
    </row>
    <row r="473" spans="2:35">
      <c r="B473" s="138" t="s">
        <v>8077</v>
      </c>
      <c r="C473" s="138" t="s">
        <v>4367</v>
      </c>
      <c r="D473" s="138" t="s">
        <v>792</v>
      </c>
      <c r="E473" s="138" t="s">
        <v>8119</v>
      </c>
      <c r="F473" s="138" t="s">
        <v>8119</v>
      </c>
      <c r="H473" s="138">
        <v>223</v>
      </c>
      <c r="I473" s="138">
        <v>555</v>
      </c>
      <c r="J473" s="138">
        <v>287</v>
      </c>
      <c r="K473" s="138">
        <v>234</v>
      </c>
      <c r="N473" s="138">
        <v>14</v>
      </c>
      <c r="O473" s="138">
        <v>0</v>
      </c>
      <c r="S473" s="138">
        <v>17</v>
      </c>
      <c r="T473" s="138">
        <v>3</v>
      </c>
      <c r="U473" s="138">
        <f t="shared" si="512"/>
        <v>20</v>
      </c>
      <c r="W473" s="139">
        <f t="shared" ref="W473:AA473" si="946">J473/$I473</f>
        <v>0.51711711711711716</v>
      </c>
      <c r="X473" s="139">
        <f t="shared" si="946"/>
        <v>0.42162162162162165</v>
      </c>
      <c r="Y473" s="139">
        <f t="shared" si="946"/>
        <v>0</v>
      </c>
      <c r="Z473" s="139">
        <f t="shared" si="946"/>
        <v>0</v>
      </c>
      <c r="AA473" s="139">
        <f t="shared" si="946"/>
        <v>2.5225225225225224E-2</v>
      </c>
      <c r="AB473" s="139"/>
      <c r="AC473" s="139">
        <f t="shared" si="514"/>
        <v>3.6036036036036036E-2</v>
      </c>
      <c r="AD473" s="139">
        <f t="shared" ref="AD473:AI473" si="947">O473/$I473</f>
        <v>0</v>
      </c>
      <c r="AE473" s="139">
        <f t="shared" si="947"/>
        <v>0</v>
      </c>
      <c r="AF473" s="139">
        <f t="shared" si="947"/>
        <v>0</v>
      </c>
      <c r="AG473" s="139">
        <f t="shared" si="947"/>
        <v>0</v>
      </c>
      <c r="AH473" s="139">
        <f t="shared" si="947"/>
        <v>3.063063063063063E-2</v>
      </c>
      <c r="AI473" s="139">
        <f t="shared" si="947"/>
        <v>5.4054054054054057E-3</v>
      </c>
    </row>
    <row r="474" spans="2:35">
      <c r="B474" s="138" t="s">
        <v>8077</v>
      </c>
      <c r="C474" s="138" t="s">
        <v>4367</v>
      </c>
      <c r="D474" s="138" t="s">
        <v>792</v>
      </c>
      <c r="E474" s="138" t="s">
        <v>8119</v>
      </c>
      <c r="F474" s="138" t="s">
        <v>8119</v>
      </c>
      <c r="H474" s="138">
        <v>224</v>
      </c>
      <c r="I474" s="138">
        <v>519</v>
      </c>
      <c r="J474" s="138">
        <v>325</v>
      </c>
      <c r="K474" s="138">
        <v>164</v>
      </c>
      <c r="N474" s="138">
        <v>10</v>
      </c>
      <c r="O474" s="138">
        <v>1</v>
      </c>
      <c r="S474" s="138">
        <v>14</v>
      </c>
      <c r="T474" s="138">
        <v>5</v>
      </c>
      <c r="U474" s="138">
        <f t="shared" si="512"/>
        <v>20</v>
      </c>
      <c r="W474" s="139">
        <f t="shared" ref="W474:AA474" si="948">J474/$I474</f>
        <v>0.62620423892100197</v>
      </c>
      <c r="X474" s="139">
        <f t="shared" si="948"/>
        <v>0.31599229287090558</v>
      </c>
      <c r="Y474" s="139">
        <f t="shared" si="948"/>
        <v>0</v>
      </c>
      <c r="Z474" s="139">
        <f t="shared" si="948"/>
        <v>0</v>
      </c>
      <c r="AA474" s="139">
        <f t="shared" si="948"/>
        <v>1.9267822736030827E-2</v>
      </c>
      <c r="AB474" s="139"/>
      <c r="AC474" s="139">
        <f t="shared" si="514"/>
        <v>3.8535645472061654E-2</v>
      </c>
      <c r="AD474" s="139">
        <f t="shared" ref="AD474:AI474" si="949">O474/$I474</f>
        <v>1.9267822736030828E-3</v>
      </c>
      <c r="AE474" s="139">
        <f t="shared" si="949"/>
        <v>0</v>
      </c>
      <c r="AF474" s="139">
        <f t="shared" si="949"/>
        <v>0</v>
      </c>
      <c r="AG474" s="139">
        <f t="shared" si="949"/>
        <v>0</v>
      </c>
      <c r="AH474" s="139">
        <f t="shared" si="949"/>
        <v>2.6974951830443159E-2</v>
      </c>
      <c r="AI474" s="139">
        <f t="shared" si="949"/>
        <v>9.6339113680154135E-3</v>
      </c>
    </row>
    <row r="475" spans="2:35">
      <c r="B475" s="138" t="s">
        <v>8077</v>
      </c>
      <c r="C475" s="138" t="s">
        <v>4367</v>
      </c>
      <c r="D475" s="138" t="s">
        <v>792</v>
      </c>
      <c r="E475" s="138" t="s">
        <v>8119</v>
      </c>
      <c r="F475" s="138" t="s">
        <v>8119</v>
      </c>
      <c r="H475" s="138">
        <v>225</v>
      </c>
      <c r="I475" s="138">
        <v>678</v>
      </c>
      <c r="J475" s="138">
        <v>455</v>
      </c>
      <c r="K475" s="138">
        <v>205</v>
      </c>
      <c r="N475" s="138">
        <v>3</v>
      </c>
      <c r="O475" s="138">
        <v>1</v>
      </c>
      <c r="S475" s="138">
        <v>10</v>
      </c>
      <c r="T475" s="138">
        <v>4</v>
      </c>
      <c r="U475" s="138">
        <f t="shared" si="512"/>
        <v>15</v>
      </c>
      <c r="W475" s="139">
        <f t="shared" ref="W475:AA475" si="950">J475/$I475</f>
        <v>0.67109144542772858</v>
      </c>
      <c r="X475" s="139">
        <f t="shared" si="950"/>
        <v>0.30235988200589969</v>
      </c>
      <c r="Y475" s="139">
        <f t="shared" si="950"/>
        <v>0</v>
      </c>
      <c r="Z475" s="139">
        <f t="shared" si="950"/>
        <v>0</v>
      </c>
      <c r="AA475" s="139">
        <f t="shared" si="950"/>
        <v>4.4247787610619468E-3</v>
      </c>
      <c r="AB475" s="139"/>
      <c r="AC475" s="139">
        <f t="shared" si="514"/>
        <v>2.2123893805309734E-2</v>
      </c>
      <c r="AD475" s="139">
        <f t="shared" ref="AD475:AI475" si="951">O475/$I475</f>
        <v>1.4749262536873156E-3</v>
      </c>
      <c r="AE475" s="139">
        <f t="shared" si="951"/>
        <v>0</v>
      </c>
      <c r="AF475" s="139">
        <f t="shared" si="951"/>
        <v>0</v>
      </c>
      <c r="AG475" s="139">
        <f t="shared" si="951"/>
        <v>0</v>
      </c>
      <c r="AH475" s="139">
        <f t="shared" si="951"/>
        <v>1.4749262536873156E-2</v>
      </c>
      <c r="AI475" s="139">
        <f t="shared" si="951"/>
        <v>5.8997050147492625E-3</v>
      </c>
    </row>
    <row r="476" spans="2:35">
      <c r="B476" s="138" t="s">
        <v>8077</v>
      </c>
      <c r="C476" s="138" t="s">
        <v>4367</v>
      </c>
      <c r="D476" s="138" t="s">
        <v>792</v>
      </c>
      <c r="E476" s="138" t="s">
        <v>8119</v>
      </c>
      <c r="F476" s="138" t="s">
        <v>8119</v>
      </c>
      <c r="H476" s="138">
        <v>226</v>
      </c>
      <c r="I476" s="138">
        <v>682</v>
      </c>
      <c r="J476" s="138">
        <v>394</v>
      </c>
      <c r="K476" s="138">
        <v>246</v>
      </c>
      <c r="N476" s="138">
        <v>20</v>
      </c>
      <c r="O476" s="138">
        <v>2</v>
      </c>
      <c r="S476" s="138">
        <v>17</v>
      </c>
      <c r="T476" s="138">
        <v>3</v>
      </c>
      <c r="U476" s="138">
        <f t="shared" si="512"/>
        <v>22</v>
      </c>
      <c r="W476" s="139">
        <f t="shared" ref="W476:AA476" si="952">J476/$I476</f>
        <v>0.57771260997067453</v>
      </c>
      <c r="X476" s="139">
        <f t="shared" si="952"/>
        <v>0.36070381231671556</v>
      </c>
      <c r="Y476" s="139">
        <f t="shared" si="952"/>
        <v>0</v>
      </c>
      <c r="Z476" s="139">
        <f t="shared" si="952"/>
        <v>0</v>
      </c>
      <c r="AA476" s="139">
        <f t="shared" si="952"/>
        <v>2.932551319648094E-2</v>
      </c>
      <c r="AB476" s="139"/>
      <c r="AC476" s="139">
        <f t="shared" si="514"/>
        <v>3.2258064516129031E-2</v>
      </c>
      <c r="AD476" s="139">
        <f t="shared" ref="AD476:AI476" si="953">O476/$I476</f>
        <v>2.9325513196480938E-3</v>
      </c>
      <c r="AE476" s="139">
        <f t="shared" si="953"/>
        <v>0</v>
      </c>
      <c r="AF476" s="139">
        <f t="shared" si="953"/>
        <v>0</v>
      </c>
      <c r="AG476" s="139">
        <f t="shared" si="953"/>
        <v>0</v>
      </c>
      <c r="AH476" s="139">
        <f t="shared" si="953"/>
        <v>2.4926686217008796E-2</v>
      </c>
      <c r="AI476" s="139">
        <f t="shared" si="953"/>
        <v>4.3988269794721412E-3</v>
      </c>
    </row>
    <row r="477" spans="2:35">
      <c r="B477" s="138" t="s">
        <v>8077</v>
      </c>
      <c r="C477" s="138" t="s">
        <v>4367</v>
      </c>
      <c r="D477" s="138" t="s">
        <v>792</v>
      </c>
      <c r="E477" s="138" t="s">
        <v>8119</v>
      </c>
      <c r="F477" s="138" t="s">
        <v>8119</v>
      </c>
      <c r="H477" s="138">
        <v>227</v>
      </c>
      <c r="I477" s="138">
        <v>971</v>
      </c>
      <c r="J477" s="138">
        <v>584</v>
      </c>
      <c r="K477" s="138">
        <v>352</v>
      </c>
      <c r="N477" s="138">
        <v>5</v>
      </c>
      <c r="O477" s="138">
        <v>3</v>
      </c>
      <c r="S477" s="138">
        <v>21</v>
      </c>
      <c r="T477" s="138">
        <v>6</v>
      </c>
      <c r="U477" s="138">
        <f t="shared" si="512"/>
        <v>30</v>
      </c>
      <c r="W477" s="139">
        <f t="shared" ref="W477:AA477" si="954">J477/$I477</f>
        <v>0.60144181256436668</v>
      </c>
      <c r="X477" s="139">
        <f t="shared" si="954"/>
        <v>0.36251287332646753</v>
      </c>
      <c r="Y477" s="139">
        <f t="shared" si="954"/>
        <v>0</v>
      </c>
      <c r="Z477" s="139">
        <f t="shared" si="954"/>
        <v>0</v>
      </c>
      <c r="AA477" s="139">
        <f t="shared" si="954"/>
        <v>5.1493305870236872E-3</v>
      </c>
      <c r="AB477" s="139"/>
      <c r="AC477" s="139">
        <f t="shared" si="514"/>
        <v>3.0895983522142123E-2</v>
      </c>
      <c r="AD477" s="139">
        <f t="shared" ref="AD477:AI477" si="955">O477/$I477</f>
        <v>3.089598352214212E-3</v>
      </c>
      <c r="AE477" s="139">
        <f t="shared" si="955"/>
        <v>0</v>
      </c>
      <c r="AF477" s="139">
        <f t="shared" si="955"/>
        <v>0</v>
      </c>
      <c r="AG477" s="139">
        <f t="shared" si="955"/>
        <v>0</v>
      </c>
      <c r="AH477" s="139">
        <f t="shared" si="955"/>
        <v>2.1627188465499485E-2</v>
      </c>
      <c r="AI477" s="139">
        <f t="shared" si="955"/>
        <v>6.1791967044284241E-3</v>
      </c>
    </row>
    <row r="478" spans="2:35">
      <c r="B478" s="138" t="s">
        <v>8077</v>
      </c>
      <c r="C478" s="138" t="s">
        <v>4367</v>
      </c>
      <c r="D478" s="138" t="s">
        <v>792</v>
      </c>
      <c r="E478" s="138" t="s">
        <v>8119</v>
      </c>
      <c r="F478" s="138" t="s">
        <v>8119</v>
      </c>
      <c r="H478" s="138">
        <v>228</v>
      </c>
      <c r="I478" s="138">
        <v>949</v>
      </c>
      <c r="J478" s="138">
        <v>614</v>
      </c>
      <c r="K478" s="138">
        <v>301</v>
      </c>
      <c r="N478" s="138">
        <v>6</v>
      </c>
      <c r="O478" s="138">
        <v>4</v>
      </c>
      <c r="S478" s="138">
        <v>18</v>
      </c>
      <c r="T478" s="138">
        <v>6</v>
      </c>
      <c r="U478" s="138">
        <f t="shared" si="512"/>
        <v>28</v>
      </c>
      <c r="W478" s="139">
        <f t="shared" ref="W478:AA478" si="956">J478/$I478</f>
        <v>0.64699683877766068</v>
      </c>
      <c r="X478" s="139">
        <f t="shared" si="956"/>
        <v>0.3171759747102213</v>
      </c>
      <c r="Y478" s="139">
        <f t="shared" si="956"/>
        <v>0</v>
      </c>
      <c r="Z478" s="139">
        <f t="shared" si="956"/>
        <v>0</v>
      </c>
      <c r="AA478" s="139">
        <f t="shared" si="956"/>
        <v>6.3224446786090622E-3</v>
      </c>
      <c r="AB478" s="139"/>
      <c r="AC478" s="139">
        <f t="shared" si="514"/>
        <v>2.9504741833508957E-2</v>
      </c>
      <c r="AD478" s="139">
        <f t="shared" ref="AD478:AI478" si="957">O478/$I478</f>
        <v>4.2149631190727078E-3</v>
      </c>
      <c r="AE478" s="139">
        <f t="shared" si="957"/>
        <v>0</v>
      </c>
      <c r="AF478" s="139">
        <f t="shared" si="957"/>
        <v>0</v>
      </c>
      <c r="AG478" s="139">
        <f t="shared" si="957"/>
        <v>0</v>
      </c>
      <c r="AH478" s="139">
        <f t="shared" si="957"/>
        <v>1.8967334035827187E-2</v>
      </c>
      <c r="AI478" s="139">
        <f t="shared" si="957"/>
        <v>6.3224446786090622E-3</v>
      </c>
    </row>
    <row r="479" spans="2:35">
      <c r="B479" s="138" t="s">
        <v>8077</v>
      </c>
      <c r="C479" s="138" t="s">
        <v>4367</v>
      </c>
      <c r="D479" s="138" t="s">
        <v>792</v>
      </c>
      <c r="E479" s="138" t="s">
        <v>8119</v>
      </c>
      <c r="F479" s="138" t="s">
        <v>8119</v>
      </c>
      <c r="H479" s="138">
        <v>229</v>
      </c>
      <c r="I479" s="138">
        <v>920</v>
      </c>
      <c r="J479" s="138">
        <v>599</v>
      </c>
      <c r="K479" s="138">
        <v>267</v>
      </c>
      <c r="N479" s="138">
        <v>20</v>
      </c>
      <c r="O479" s="138">
        <v>3</v>
      </c>
      <c r="S479" s="138">
        <v>23</v>
      </c>
      <c r="T479" s="138">
        <v>8</v>
      </c>
      <c r="U479" s="138">
        <f t="shared" si="512"/>
        <v>34</v>
      </c>
      <c r="W479" s="139">
        <f t="shared" ref="W479:AA479" si="958">J479/$I479</f>
        <v>0.65108695652173909</v>
      </c>
      <c r="X479" s="139">
        <f t="shared" si="958"/>
        <v>0.29021739130434782</v>
      </c>
      <c r="Y479" s="139">
        <f t="shared" si="958"/>
        <v>0</v>
      </c>
      <c r="Z479" s="139">
        <f t="shared" si="958"/>
        <v>0</v>
      </c>
      <c r="AA479" s="139">
        <f t="shared" si="958"/>
        <v>2.1739130434782608E-2</v>
      </c>
      <c r="AB479" s="139"/>
      <c r="AC479" s="139">
        <f t="shared" si="514"/>
        <v>3.6956521739130437E-2</v>
      </c>
      <c r="AD479" s="139">
        <f t="shared" ref="AD479:AI479" si="959">O479/$I479</f>
        <v>3.2608695652173911E-3</v>
      </c>
      <c r="AE479" s="139">
        <f t="shared" si="959"/>
        <v>0</v>
      </c>
      <c r="AF479" s="139">
        <f t="shared" si="959"/>
        <v>0</v>
      </c>
      <c r="AG479" s="139">
        <f t="shared" si="959"/>
        <v>0</v>
      </c>
      <c r="AH479" s="139">
        <f t="shared" si="959"/>
        <v>2.5000000000000001E-2</v>
      </c>
      <c r="AI479" s="139">
        <f t="shared" si="959"/>
        <v>8.6956521739130436E-3</v>
      </c>
    </row>
    <row r="480" spans="2:35">
      <c r="B480" s="138" t="s">
        <v>8077</v>
      </c>
      <c r="C480" s="138" t="s">
        <v>4367</v>
      </c>
      <c r="D480" s="138" t="s">
        <v>792</v>
      </c>
      <c r="E480" s="138" t="s">
        <v>8119</v>
      </c>
      <c r="F480" s="138" t="s">
        <v>8119</v>
      </c>
      <c r="H480" s="138">
        <v>230</v>
      </c>
      <c r="I480" s="138">
        <v>696</v>
      </c>
      <c r="J480" s="138">
        <v>419</v>
      </c>
      <c r="K480" s="138">
        <v>240</v>
      </c>
      <c r="N480" s="138">
        <v>10</v>
      </c>
      <c r="O480" s="138">
        <v>0</v>
      </c>
      <c r="S480" s="138">
        <v>18</v>
      </c>
      <c r="T480" s="138">
        <v>9</v>
      </c>
      <c r="U480" s="138">
        <f t="shared" si="512"/>
        <v>27</v>
      </c>
      <c r="W480" s="139">
        <f t="shared" ref="W480:AA480" si="960">J480/$I480</f>
        <v>0.60201149425287359</v>
      </c>
      <c r="X480" s="139">
        <f t="shared" si="960"/>
        <v>0.34482758620689657</v>
      </c>
      <c r="Y480" s="139">
        <f t="shared" si="960"/>
        <v>0</v>
      </c>
      <c r="Z480" s="139">
        <f t="shared" si="960"/>
        <v>0</v>
      </c>
      <c r="AA480" s="139">
        <f t="shared" si="960"/>
        <v>1.4367816091954023E-2</v>
      </c>
      <c r="AB480" s="139"/>
      <c r="AC480" s="139">
        <f t="shared" si="514"/>
        <v>3.8793103448275863E-2</v>
      </c>
      <c r="AD480" s="139">
        <f t="shared" ref="AD480:AI480" si="961">O480/$I480</f>
        <v>0</v>
      </c>
      <c r="AE480" s="139">
        <f t="shared" si="961"/>
        <v>0</v>
      </c>
      <c r="AF480" s="139">
        <f t="shared" si="961"/>
        <v>0</v>
      </c>
      <c r="AG480" s="139">
        <f t="shared" si="961"/>
        <v>0</v>
      </c>
      <c r="AH480" s="139">
        <f t="shared" si="961"/>
        <v>2.5862068965517241E-2</v>
      </c>
      <c r="AI480" s="139">
        <f t="shared" si="961"/>
        <v>1.2931034482758621E-2</v>
      </c>
    </row>
    <row r="481" spans="2:35">
      <c r="B481" s="138" t="s">
        <v>8077</v>
      </c>
      <c r="C481" s="138" t="s">
        <v>4367</v>
      </c>
      <c r="D481" s="138" t="s">
        <v>792</v>
      </c>
      <c r="E481" s="138" t="s">
        <v>8119</v>
      </c>
      <c r="F481" s="138" t="s">
        <v>8119</v>
      </c>
      <c r="H481" s="138">
        <v>231</v>
      </c>
      <c r="I481" s="138">
        <v>684</v>
      </c>
      <c r="J481" s="138">
        <v>437</v>
      </c>
      <c r="K481" s="138">
        <v>222</v>
      </c>
      <c r="N481" s="138">
        <v>4</v>
      </c>
      <c r="O481" s="138">
        <v>5</v>
      </c>
      <c r="S481" s="138">
        <v>12</v>
      </c>
      <c r="T481" s="138">
        <v>4</v>
      </c>
      <c r="U481" s="138">
        <f t="shared" si="512"/>
        <v>21</v>
      </c>
      <c r="W481" s="139">
        <f t="shared" ref="W481:AA481" si="962">J481/$I481</f>
        <v>0.63888888888888884</v>
      </c>
      <c r="X481" s="139">
        <f t="shared" si="962"/>
        <v>0.32456140350877194</v>
      </c>
      <c r="Y481" s="139">
        <f t="shared" si="962"/>
        <v>0</v>
      </c>
      <c r="Z481" s="139">
        <f t="shared" si="962"/>
        <v>0</v>
      </c>
      <c r="AA481" s="139">
        <f t="shared" si="962"/>
        <v>5.8479532163742687E-3</v>
      </c>
      <c r="AB481" s="139"/>
      <c r="AC481" s="139">
        <f t="shared" si="514"/>
        <v>3.0701754385964911E-2</v>
      </c>
      <c r="AD481" s="139">
        <f t="shared" ref="AD481:AI481" si="963">O481/$I481</f>
        <v>7.3099415204678359E-3</v>
      </c>
      <c r="AE481" s="139">
        <f t="shared" si="963"/>
        <v>0</v>
      </c>
      <c r="AF481" s="139">
        <f t="shared" si="963"/>
        <v>0</v>
      </c>
      <c r="AG481" s="139">
        <f t="shared" si="963"/>
        <v>0</v>
      </c>
      <c r="AH481" s="139">
        <f t="shared" si="963"/>
        <v>1.7543859649122806E-2</v>
      </c>
      <c r="AI481" s="139">
        <f t="shared" si="963"/>
        <v>5.8479532163742687E-3</v>
      </c>
    </row>
    <row r="482" spans="2:35">
      <c r="B482" s="138" t="s">
        <v>8077</v>
      </c>
      <c r="C482" s="138" t="s">
        <v>4367</v>
      </c>
      <c r="D482" s="138" t="s">
        <v>792</v>
      </c>
      <c r="E482" s="138" t="s">
        <v>8119</v>
      </c>
      <c r="F482" s="138" t="s">
        <v>8119</v>
      </c>
      <c r="H482" s="138">
        <v>232</v>
      </c>
      <c r="I482" s="138">
        <v>957</v>
      </c>
      <c r="J482" s="138">
        <v>662</v>
      </c>
      <c r="K482" s="138">
        <v>247</v>
      </c>
      <c r="N482" s="138">
        <v>7</v>
      </c>
      <c r="O482" s="138">
        <v>2</v>
      </c>
      <c r="S482" s="138">
        <v>25</v>
      </c>
      <c r="T482" s="138">
        <v>14</v>
      </c>
      <c r="U482" s="138">
        <f t="shared" si="512"/>
        <v>41</v>
      </c>
      <c r="W482" s="139">
        <f t="shared" ref="W482:AA482" si="964">J482/$I482</f>
        <v>0.69174503657262276</v>
      </c>
      <c r="X482" s="139">
        <f t="shared" si="964"/>
        <v>0.25809822361546497</v>
      </c>
      <c r="Y482" s="139">
        <f t="shared" si="964"/>
        <v>0</v>
      </c>
      <c r="Z482" s="139">
        <f t="shared" si="964"/>
        <v>0</v>
      </c>
      <c r="AA482" s="139">
        <f t="shared" si="964"/>
        <v>7.3145245559038665E-3</v>
      </c>
      <c r="AB482" s="139"/>
      <c r="AC482" s="139">
        <f t="shared" si="514"/>
        <v>4.2842215256008356E-2</v>
      </c>
      <c r="AD482" s="139">
        <f t="shared" ref="AD482:AI482" si="965">O482/$I482</f>
        <v>2.0898641588296763E-3</v>
      </c>
      <c r="AE482" s="139">
        <f t="shared" si="965"/>
        <v>0</v>
      </c>
      <c r="AF482" s="139">
        <f t="shared" si="965"/>
        <v>0</v>
      </c>
      <c r="AG482" s="139">
        <f t="shared" si="965"/>
        <v>0</v>
      </c>
      <c r="AH482" s="139">
        <f t="shared" si="965"/>
        <v>2.612330198537095E-2</v>
      </c>
      <c r="AI482" s="139">
        <f t="shared" si="965"/>
        <v>1.4629049111807733E-2</v>
      </c>
    </row>
    <row r="483" spans="2:35">
      <c r="B483" s="138" t="s">
        <v>8077</v>
      </c>
      <c r="C483" s="138" t="s">
        <v>4367</v>
      </c>
      <c r="D483" s="138" t="s">
        <v>792</v>
      </c>
      <c r="E483" s="138" t="s">
        <v>8119</v>
      </c>
      <c r="F483" s="138" t="s">
        <v>8119</v>
      </c>
      <c r="H483" s="138">
        <v>233</v>
      </c>
      <c r="I483" s="138">
        <v>1054</v>
      </c>
      <c r="J483" s="138">
        <v>697</v>
      </c>
      <c r="K483" s="138">
        <v>312</v>
      </c>
      <c r="N483" s="138">
        <v>13</v>
      </c>
      <c r="O483" s="138">
        <v>1</v>
      </c>
      <c r="S483" s="138">
        <v>29</v>
      </c>
      <c r="T483" s="138">
        <v>2</v>
      </c>
      <c r="U483" s="138">
        <f t="shared" si="512"/>
        <v>32</v>
      </c>
      <c r="W483" s="139">
        <f t="shared" ref="W483:AA483" si="966">J483/$I483</f>
        <v>0.66129032258064513</v>
      </c>
      <c r="X483" s="139">
        <f t="shared" si="966"/>
        <v>0.29601518026565465</v>
      </c>
      <c r="Y483" s="139">
        <f t="shared" si="966"/>
        <v>0</v>
      </c>
      <c r="Z483" s="139">
        <f t="shared" si="966"/>
        <v>0</v>
      </c>
      <c r="AA483" s="139">
        <f t="shared" si="966"/>
        <v>1.2333965844402278E-2</v>
      </c>
      <c r="AB483" s="139"/>
      <c r="AC483" s="139">
        <f t="shared" si="514"/>
        <v>3.0360531309297913E-2</v>
      </c>
      <c r="AD483" s="139">
        <f t="shared" ref="AD483:AI483" si="967">O483/$I483</f>
        <v>9.4876660341555979E-4</v>
      </c>
      <c r="AE483" s="139">
        <f t="shared" si="967"/>
        <v>0</v>
      </c>
      <c r="AF483" s="139">
        <f t="shared" si="967"/>
        <v>0</v>
      </c>
      <c r="AG483" s="139">
        <f t="shared" si="967"/>
        <v>0</v>
      </c>
      <c r="AH483" s="139">
        <f t="shared" si="967"/>
        <v>2.7514231499051234E-2</v>
      </c>
      <c r="AI483" s="139">
        <f t="shared" si="967"/>
        <v>1.8975332068311196E-3</v>
      </c>
    </row>
    <row r="484" spans="2:35">
      <c r="B484" s="138" t="s">
        <v>8077</v>
      </c>
      <c r="C484" s="138" t="s">
        <v>4367</v>
      </c>
      <c r="D484" s="138" t="s">
        <v>15</v>
      </c>
      <c r="E484" s="138" t="s">
        <v>15</v>
      </c>
      <c r="F484" s="138" t="s">
        <v>8121</v>
      </c>
      <c r="H484" s="138">
        <v>1</v>
      </c>
      <c r="I484" s="138">
        <v>835</v>
      </c>
      <c r="J484" s="138">
        <v>360</v>
      </c>
      <c r="K484" s="138">
        <v>443</v>
      </c>
      <c r="N484" s="138">
        <v>8</v>
      </c>
      <c r="O484" s="138">
        <v>4</v>
      </c>
      <c r="S484" s="138">
        <v>10</v>
      </c>
      <c r="T484" s="138">
        <v>10</v>
      </c>
      <c r="U484" s="138">
        <f t="shared" si="512"/>
        <v>24</v>
      </c>
      <c r="W484" s="139">
        <f t="shared" ref="W484:AA484" si="968">J484/$I484</f>
        <v>0.43113772455089822</v>
      </c>
      <c r="X484" s="139">
        <f t="shared" si="968"/>
        <v>0.53053892215568865</v>
      </c>
      <c r="Y484" s="139">
        <f t="shared" si="968"/>
        <v>0</v>
      </c>
      <c r="Z484" s="139">
        <f t="shared" si="968"/>
        <v>0</v>
      </c>
      <c r="AA484" s="139">
        <f t="shared" si="968"/>
        <v>9.5808383233532933E-3</v>
      </c>
      <c r="AB484" s="139"/>
      <c r="AC484" s="139">
        <f t="shared" si="514"/>
        <v>2.874251497005988E-2</v>
      </c>
      <c r="AD484" s="139">
        <f t="shared" ref="AD484:AI484" si="969">O484/$I484</f>
        <v>4.7904191616766467E-3</v>
      </c>
      <c r="AE484" s="139">
        <f t="shared" si="969"/>
        <v>0</v>
      </c>
      <c r="AF484" s="139">
        <f t="shared" si="969"/>
        <v>0</v>
      </c>
      <c r="AG484" s="139">
        <f t="shared" si="969"/>
        <v>0</v>
      </c>
      <c r="AH484" s="139">
        <f t="shared" si="969"/>
        <v>1.1976047904191617E-2</v>
      </c>
      <c r="AI484" s="139">
        <f t="shared" si="969"/>
        <v>1.1976047904191617E-2</v>
      </c>
    </row>
    <row r="485" spans="2:35">
      <c r="B485" s="138" t="s">
        <v>8077</v>
      </c>
      <c r="C485" s="138" t="s">
        <v>4367</v>
      </c>
      <c r="D485" s="138" t="s">
        <v>15</v>
      </c>
      <c r="E485" s="138" t="s">
        <v>15</v>
      </c>
      <c r="F485" s="138" t="s">
        <v>8121</v>
      </c>
      <c r="H485" s="138">
        <v>2</v>
      </c>
      <c r="I485" s="138">
        <v>1010</v>
      </c>
      <c r="J485" s="138">
        <v>582</v>
      </c>
      <c r="K485" s="138">
        <v>349</v>
      </c>
      <c r="N485" s="138">
        <v>12</v>
      </c>
      <c r="O485" s="138">
        <v>10</v>
      </c>
      <c r="S485" s="138">
        <v>26</v>
      </c>
      <c r="T485" s="138">
        <v>31</v>
      </c>
      <c r="U485" s="138">
        <f t="shared" si="512"/>
        <v>67</v>
      </c>
      <c r="W485" s="139">
        <f t="shared" ref="W485:AA485" si="970">J485/$I485</f>
        <v>0.57623762376237619</v>
      </c>
      <c r="X485" s="139">
        <f t="shared" si="970"/>
        <v>0.34554455445544552</v>
      </c>
      <c r="Y485" s="139">
        <f t="shared" si="970"/>
        <v>0</v>
      </c>
      <c r="Z485" s="139">
        <f t="shared" si="970"/>
        <v>0</v>
      </c>
      <c r="AA485" s="139">
        <f t="shared" si="970"/>
        <v>1.1881188118811881E-2</v>
      </c>
      <c r="AB485" s="139"/>
      <c r="AC485" s="139">
        <f t="shared" si="514"/>
        <v>6.633663366336634E-2</v>
      </c>
      <c r="AD485" s="139">
        <f t="shared" ref="AD485:AI485" si="971">O485/$I485</f>
        <v>9.9009900990099011E-3</v>
      </c>
      <c r="AE485" s="139">
        <f t="shared" si="971"/>
        <v>0</v>
      </c>
      <c r="AF485" s="139">
        <f t="shared" si="971"/>
        <v>0</v>
      </c>
      <c r="AG485" s="139">
        <f t="shared" si="971"/>
        <v>0</v>
      </c>
      <c r="AH485" s="139">
        <f t="shared" si="971"/>
        <v>2.5742574257425741E-2</v>
      </c>
      <c r="AI485" s="139">
        <f t="shared" si="971"/>
        <v>3.0693069306930693E-2</v>
      </c>
    </row>
    <row r="486" spans="2:35">
      <c r="B486" s="138" t="s">
        <v>8077</v>
      </c>
      <c r="C486" s="138" t="s">
        <v>4367</v>
      </c>
      <c r="D486" s="138" t="s">
        <v>15</v>
      </c>
      <c r="E486" s="138" t="s">
        <v>15</v>
      </c>
      <c r="F486" s="138" t="s">
        <v>8121</v>
      </c>
      <c r="H486" s="138">
        <v>3</v>
      </c>
      <c r="I486" s="138">
        <v>906</v>
      </c>
      <c r="J486" s="138">
        <v>598</v>
      </c>
      <c r="K486" s="138">
        <v>274</v>
      </c>
      <c r="N486" s="138">
        <v>9</v>
      </c>
      <c r="O486" s="138">
        <v>5</v>
      </c>
      <c r="S486" s="138">
        <v>12</v>
      </c>
      <c r="T486" s="138">
        <v>8</v>
      </c>
      <c r="U486" s="138">
        <f t="shared" si="512"/>
        <v>25</v>
      </c>
      <c r="W486" s="139">
        <f t="shared" ref="W486:AA486" si="972">J486/$I486</f>
        <v>0.66004415011037532</v>
      </c>
      <c r="X486" s="139">
        <f t="shared" si="972"/>
        <v>0.30242825607064017</v>
      </c>
      <c r="Y486" s="139">
        <f t="shared" si="972"/>
        <v>0</v>
      </c>
      <c r="Z486" s="139">
        <f t="shared" si="972"/>
        <v>0</v>
      </c>
      <c r="AA486" s="139">
        <f t="shared" si="972"/>
        <v>9.9337748344370865E-3</v>
      </c>
      <c r="AB486" s="139"/>
      <c r="AC486" s="139">
        <f t="shared" si="514"/>
        <v>2.759381898454746E-2</v>
      </c>
      <c r="AD486" s="139">
        <f t="shared" ref="AD486:AI486" si="973">O486/$I486</f>
        <v>5.5187637969094927E-3</v>
      </c>
      <c r="AE486" s="139">
        <f t="shared" si="973"/>
        <v>0</v>
      </c>
      <c r="AF486" s="139">
        <f t="shared" si="973"/>
        <v>0</v>
      </c>
      <c r="AG486" s="139">
        <f t="shared" si="973"/>
        <v>0</v>
      </c>
      <c r="AH486" s="139">
        <f t="shared" si="973"/>
        <v>1.3245033112582781E-2</v>
      </c>
      <c r="AI486" s="139">
        <f t="shared" si="973"/>
        <v>8.8300220750551876E-3</v>
      </c>
    </row>
    <row r="487" spans="2:35">
      <c r="B487" s="138" t="s">
        <v>8077</v>
      </c>
      <c r="C487" s="138" t="s">
        <v>4367</v>
      </c>
      <c r="D487" s="138" t="s">
        <v>15</v>
      </c>
      <c r="E487" s="138" t="s">
        <v>15</v>
      </c>
      <c r="F487" s="138" t="s">
        <v>7710</v>
      </c>
      <c r="H487" s="138">
        <v>4</v>
      </c>
      <c r="I487" s="138">
        <v>735</v>
      </c>
      <c r="J487" s="138">
        <v>465</v>
      </c>
      <c r="K487" s="138">
        <v>242</v>
      </c>
      <c r="N487" s="138">
        <v>7</v>
      </c>
      <c r="O487" s="138">
        <v>4</v>
      </c>
      <c r="S487" s="138">
        <v>9</v>
      </c>
      <c r="T487" s="138">
        <v>8</v>
      </c>
      <c r="U487" s="138">
        <f t="shared" si="512"/>
        <v>21</v>
      </c>
      <c r="W487" s="139">
        <f t="shared" ref="W487:AA487" si="974">J487/$I487</f>
        <v>0.63265306122448983</v>
      </c>
      <c r="X487" s="139">
        <f t="shared" si="974"/>
        <v>0.3292517006802721</v>
      </c>
      <c r="Y487" s="139">
        <f t="shared" si="974"/>
        <v>0</v>
      </c>
      <c r="Z487" s="139">
        <f t="shared" si="974"/>
        <v>0</v>
      </c>
      <c r="AA487" s="139">
        <f t="shared" si="974"/>
        <v>9.5238095238095247E-3</v>
      </c>
      <c r="AB487" s="139"/>
      <c r="AC487" s="139">
        <f t="shared" si="514"/>
        <v>2.8571428571428571E-2</v>
      </c>
      <c r="AD487" s="139">
        <f t="shared" ref="AD487:AI487" si="975">O487/$I487</f>
        <v>5.4421768707482989E-3</v>
      </c>
      <c r="AE487" s="139">
        <f t="shared" si="975"/>
        <v>0</v>
      </c>
      <c r="AF487" s="139">
        <f t="shared" si="975"/>
        <v>0</v>
      </c>
      <c r="AG487" s="139">
        <f t="shared" si="975"/>
        <v>0</v>
      </c>
      <c r="AH487" s="139">
        <f t="shared" si="975"/>
        <v>1.2244897959183673E-2</v>
      </c>
      <c r="AI487" s="139">
        <f t="shared" si="975"/>
        <v>1.0884353741496598E-2</v>
      </c>
    </row>
    <row r="488" spans="2:35">
      <c r="B488" s="138" t="s">
        <v>8077</v>
      </c>
      <c r="C488" s="138" t="s">
        <v>4367</v>
      </c>
      <c r="D488" s="138" t="s">
        <v>15</v>
      </c>
      <c r="E488" s="138" t="s">
        <v>15</v>
      </c>
      <c r="F488" s="138" t="s">
        <v>7710</v>
      </c>
      <c r="H488" s="138">
        <v>5</v>
      </c>
      <c r="I488" s="138">
        <v>657</v>
      </c>
      <c r="J488" s="138">
        <v>373</v>
      </c>
      <c r="K488" s="138">
        <v>247</v>
      </c>
      <c r="N488" s="138">
        <v>10</v>
      </c>
      <c r="O488" s="138">
        <v>1</v>
      </c>
      <c r="S488" s="138">
        <v>21</v>
      </c>
      <c r="T488" s="138">
        <v>5</v>
      </c>
      <c r="U488" s="138">
        <f t="shared" si="512"/>
        <v>27</v>
      </c>
      <c r="W488" s="139">
        <f t="shared" ref="W488:AA488" si="976">J488/$I488</f>
        <v>0.56773211567732118</v>
      </c>
      <c r="X488" s="139">
        <f t="shared" si="976"/>
        <v>0.37595129375951292</v>
      </c>
      <c r="Y488" s="139">
        <f t="shared" si="976"/>
        <v>0</v>
      </c>
      <c r="Z488" s="139">
        <f t="shared" si="976"/>
        <v>0</v>
      </c>
      <c r="AA488" s="139">
        <f t="shared" si="976"/>
        <v>1.5220700152207001E-2</v>
      </c>
      <c r="AB488" s="139"/>
      <c r="AC488" s="139">
        <f t="shared" si="514"/>
        <v>4.1095890410958902E-2</v>
      </c>
      <c r="AD488" s="139">
        <f t="shared" ref="AD488:AI488" si="977">O488/$I488</f>
        <v>1.5220700152207001E-3</v>
      </c>
      <c r="AE488" s="139">
        <f t="shared" si="977"/>
        <v>0</v>
      </c>
      <c r="AF488" s="139">
        <f t="shared" si="977"/>
        <v>0</v>
      </c>
      <c r="AG488" s="139">
        <f t="shared" si="977"/>
        <v>0</v>
      </c>
      <c r="AH488" s="139">
        <f t="shared" si="977"/>
        <v>3.1963470319634701E-2</v>
      </c>
      <c r="AI488" s="139">
        <f t="shared" si="977"/>
        <v>7.6103500761035003E-3</v>
      </c>
    </row>
    <row r="489" spans="2:35">
      <c r="B489" s="138" t="s">
        <v>8077</v>
      </c>
      <c r="C489" s="138" t="s">
        <v>4367</v>
      </c>
      <c r="D489" s="138" t="s">
        <v>15</v>
      </c>
      <c r="E489" s="138" t="s">
        <v>15</v>
      </c>
      <c r="F489" s="138" t="s">
        <v>7710</v>
      </c>
      <c r="H489" s="138">
        <v>6</v>
      </c>
      <c r="I489" s="138">
        <v>523</v>
      </c>
      <c r="J489" s="138">
        <v>338</v>
      </c>
      <c r="K489" s="138">
        <v>163</v>
      </c>
      <c r="N489" s="138">
        <v>4</v>
      </c>
      <c r="O489" s="138">
        <v>4</v>
      </c>
      <c r="S489" s="138">
        <v>6</v>
      </c>
      <c r="T489" s="138">
        <v>8</v>
      </c>
      <c r="U489" s="138">
        <f t="shared" si="512"/>
        <v>18</v>
      </c>
      <c r="W489" s="139">
        <f t="shared" ref="W489:AA489" si="978">J489/$I489</f>
        <v>0.64627151051625242</v>
      </c>
      <c r="X489" s="139">
        <f t="shared" si="978"/>
        <v>0.31166347992351817</v>
      </c>
      <c r="Y489" s="139">
        <f t="shared" si="978"/>
        <v>0</v>
      </c>
      <c r="Z489" s="139">
        <f t="shared" si="978"/>
        <v>0</v>
      </c>
      <c r="AA489" s="139">
        <f t="shared" si="978"/>
        <v>7.6481835564053535E-3</v>
      </c>
      <c r="AB489" s="139"/>
      <c r="AC489" s="139">
        <f t="shared" si="514"/>
        <v>3.4416826003824091E-2</v>
      </c>
      <c r="AD489" s="139">
        <f t="shared" ref="AD489:AI489" si="979">O489/$I489</f>
        <v>7.6481835564053535E-3</v>
      </c>
      <c r="AE489" s="139">
        <f t="shared" si="979"/>
        <v>0</v>
      </c>
      <c r="AF489" s="139">
        <f t="shared" si="979"/>
        <v>0</v>
      </c>
      <c r="AG489" s="139">
        <f t="shared" si="979"/>
        <v>0</v>
      </c>
      <c r="AH489" s="139">
        <f t="shared" si="979"/>
        <v>1.1472275334608031E-2</v>
      </c>
      <c r="AI489" s="139">
        <f t="shared" si="979"/>
        <v>1.5296367112810707E-2</v>
      </c>
    </row>
    <row r="490" spans="2:35">
      <c r="B490" s="138" t="s">
        <v>8077</v>
      </c>
      <c r="C490" s="138" t="s">
        <v>4367</v>
      </c>
      <c r="D490" s="138" t="s">
        <v>15</v>
      </c>
      <c r="E490" s="138" t="s">
        <v>15</v>
      </c>
      <c r="F490" s="138" t="s">
        <v>7710</v>
      </c>
      <c r="H490" s="138">
        <v>7</v>
      </c>
      <c r="I490" s="138">
        <v>1058</v>
      </c>
      <c r="J490" s="138">
        <v>544</v>
      </c>
      <c r="K490" s="138">
        <v>451</v>
      </c>
      <c r="N490" s="138">
        <v>8</v>
      </c>
      <c r="O490" s="138">
        <v>5</v>
      </c>
      <c r="S490" s="138">
        <v>33</v>
      </c>
      <c r="T490" s="138">
        <v>17</v>
      </c>
      <c r="U490" s="138">
        <f t="shared" si="512"/>
        <v>55</v>
      </c>
      <c r="W490" s="139">
        <f t="shared" ref="W490:AA490" si="980">J490/$I490</f>
        <v>0.51417769376181477</v>
      </c>
      <c r="X490" s="139">
        <f t="shared" si="980"/>
        <v>0.42627599243856334</v>
      </c>
      <c r="Y490" s="139">
        <f t="shared" si="980"/>
        <v>0</v>
      </c>
      <c r="Z490" s="139">
        <f t="shared" si="980"/>
        <v>0</v>
      </c>
      <c r="AA490" s="139">
        <f t="shared" si="980"/>
        <v>7.5614366729678641E-3</v>
      </c>
      <c r="AB490" s="139"/>
      <c r="AC490" s="139">
        <f t="shared" si="514"/>
        <v>5.1984877126654061E-2</v>
      </c>
      <c r="AD490" s="139">
        <f t="shared" ref="AD490:AI490" si="981">O490/$I490</f>
        <v>4.725897920604915E-3</v>
      </c>
      <c r="AE490" s="139">
        <f t="shared" si="981"/>
        <v>0</v>
      </c>
      <c r="AF490" s="139">
        <f t="shared" si="981"/>
        <v>0</v>
      </c>
      <c r="AG490" s="139">
        <f t="shared" si="981"/>
        <v>0</v>
      </c>
      <c r="AH490" s="139">
        <f t="shared" si="981"/>
        <v>3.1190926275992438E-2</v>
      </c>
      <c r="AI490" s="139">
        <f t="shared" si="981"/>
        <v>1.6068052930056712E-2</v>
      </c>
    </row>
    <row r="491" spans="2:35">
      <c r="B491" s="138" t="s">
        <v>8077</v>
      </c>
      <c r="C491" s="138" t="s">
        <v>4367</v>
      </c>
      <c r="D491" s="138" t="s">
        <v>15</v>
      </c>
      <c r="E491" s="138" t="s">
        <v>15</v>
      </c>
      <c r="F491" s="138" t="s">
        <v>7710</v>
      </c>
      <c r="H491" s="138">
        <v>8</v>
      </c>
      <c r="I491" s="138">
        <v>493</v>
      </c>
      <c r="J491" s="138">
        <v>166</v>
      </c>
      <c r="K491" s="138">
        <v>300</v>
      </c>
      <c r="N491" s="138">
        <v>7</v>
      </c>
      <c r="O491" s="138">
        <v>3</v>
      </c>
      <c r="S491" s="138">
        <v>10</v>
      </c>
      <c r="T491" s="138">
        <v>7</v>
      </c>
      <c r="U491" s="138">
        <f t="shared" si="512"/>
        <v>20</v>
      </c>
      <c r="W491" s="139">
        <f t="shared" ref="W491:AA491" si="982">J491/$I491</f>
        <v>0.33671399594320489</v>
      </c>
      <c r="X491" s="139">
        <f t="shared" si="982"/>
        <v>0.60851926977687631</v>
      </c>
      <c r="Y491" s="139">
        <f t="shared" si="982"/>
        <v>0</v>
      </c>
      <c r="Z491" s="139">
        <f t="shared" si="982"/>
        <v>0</v>
      </c>
      <c r="AA491" s="139">
        <f t="shared" si="982"/>
        <v>1.4198782961460446E-2</v>
      </c>
      <c r="AB491" s="139"/>
      <c r="AC491" s="139">
        <f t="shared" si="514"/>
        <v>4.0567951318458417E-2</v>
      </c>
      <c r="AD491" s="139">
        <f t="shared" ref="AD491:AI491" si="983">O491/$I491</f>
        <v>6.0851926977687626E-3</v>
      </c>
      <c r="AE491" s="139">
        <f t="shared" si="983"/>
        <v>0</v>
      </c>
      <c r="AF491" s="139">
        <f t="shared" si="983"/>
        <v>0</v>
      </c>
      <c r="AG491" s="139">
        <f t="shared" si="983"/>
        <v>0</v>
      </c>
      <c r="AH491" s="139">
        <f t="shared" si="983"/>
        <v>2.0283975659229209E-2</v>
      </c>
      <c r="AI491" s="139">
        <f t="shared" si="983"/>
        <v>1.4198782961460446E-2</v>
      </c>
    </row>
    <row r="492" spans="2:35">
      <c r="B492" s="138" t="s">
        <v>8077</v>
      </c>
      <c r="C492" s="138" t="s">
        <v>4367</v>
      </c>
      <c r="D492" s="138" t="s">
        <v>15</v>
      </c>
      <c r="E492" s="138" t="s">
        <v>15</v>
      </c>
      <c r="F492" s="138" t="s">
        <v>8122</v>
      </c>
      <c r="H492" s="138">
        <v>9</v>
      </c>
      <c r="I492" s="138">
        <v>881</v>
      </c>
      <c r="J492" s="138">
        <v>513</v>
      </c>
      <c r="K492" s="138">
        <v>323</v>
      </c>
      <c r="N492" s="138">
        <v>11</v>
      </c>
      <c r="O492" s="138">
        <v>3</v>
      </c>
      <c r="S492" s="138">
        <v>23</v>
      </c>
      <c r="T492" s="138">
        <v>8</v>
      </c>
      <c r="U492" s="138">
        <f t="shared" si="512"/>
        <v>34</v>
      </c>
      <c r="W492" s="139">
        <f t="shared" ref="W492:AA492" si="984">J492/$I492</f>
        <v>0.5822928490351873</v>
      </c>
      <c r="X492" s="139">
        <f t="shared" si="984"/>
        <v>0.36662883087400683</v>
      </c>
      <c r="Y492" s="139">
        <f t="shared" si="984"/>
        <v>0</v>
      </c>
      <c r="Z492" s="139">
        <f t="shared" si="984"/>
        <v>0</v>
      </c>
      <c r="AA492" s="139">
        <f t="shared" si="984"/>
        <v>1.2485811577752554E-2</v>
      </c>
      <c r="AB492" s="139"/>
      <c r="AC492" s="139">
        <f t="shared" si="514"/>
        <v>3.8592508513053347E-2</v>
      </c>
      <c r="AD492" s="139">
        <f t="shared" ref="AD492:AI492" si="985">O492/$I492</f>
        <v>3.4052213393870601E-3</v>
      </c>
      <c r="AE492" s="139">
        <f t="shared" si="985"/>
        <v>0</v>
      </c>
      <c r="AF492" s="139">
        <f t="shared" si="985"/>
        <v>0</v>
      </c>
      <c r="AG492" s="139">
        <f t="shared" si="985"/>
        <v>0</v>
      </c>
      <c r="AH492" s="139">
        <f t="shared" si="985"/>
        <v>2.6106696935300794E-2</v>
      </c>
      <c r="AI492" s="139">
        <f t="shared" si="985"/>
        <v>9.0805902383654935E-3</v>
      </c>
    </row>
    <row r="493" spans="2:35">
      <c r="B493" s="138" t="s">
        <v>8077</v>
      </c>
      <c r="C493" s="138" t="s">
        <v>4367</v>
      </c>
      <c r="D493" s="138" t="s">
        <v>15</v>
      </c>
      <c r="E493" s="138" t="s">
        <v>15</v>
      </c>
      <c r="F493" s="138" t="s">
        <v>8123</v>
      </c>
      <c r="H493" s="138">
        <v>10</v>
      </c>
      <c r="I493" s="138">
        <v>978</v>
      </c>
      <c r="J493" s="138">
        <v>580</v>
      </c>
      <c r="K493" s="138">
        <v>383</v>
      </c>
      <c r="N493" s="138">
        <v>9</v>
      </c>
      <c r="O493" s="138">
        <v>0</v>
      </c>
      <c r="S493" s="138">
        <v>5</v>
      </c>
      <c r="T493" s="138">
        <v>1</v>
      </c>
      <c r="U493" s="138">
        <f t="shared" si="512"/>
        <v>6</v>
      </c>
      <c r="W493" s="139">
        <f t="shared" ref="W493:AA493" si="986">J493/$I493</f>
        <v>0.59304703476482623</v>
      </c>
      <c r="X493" s="139">
        <f t="shared" si="986"/>
        <v>0.39161554192229037</v>
      </c>
      <c r="Y493" s="139">
        <f t="shared" si="986"/>
        <v>0</v>
      </c>
      <c r="Z493" s="139">
        <f t="shared" si="986"/>
        <v>0</v>
      </c>
      <c r="AA493" s="139">
        <f t="shared" si="986"/>
        <v>9.202453987730062E-3</v>
      </c>
      <c r="AB493" s="139"/>
      <c r="AC493" s="139">
        <f t="shared" si="514"/>
        <v>6.1349693251533744E-3</v>
      </c>
      <c r="AD493" s="139">
        <f t="shared" ref="AD493:AI493" si="987">O493/$I493</f>
        <v>0</v>
      </c>
      <c r="AE493" s="139">
        <f t="shared" si="987"/>
        <v>0</v>
      </c>
      <c r="AF493" s="139">
        <f t="shared" si="987"/>
        <v>0</v>
      </c>
      <c r="AG493" s="139">
        <f t="shared" si="987"/>
        <v>0</v>
      </c>
      <c r="AH493" s="139">
        <f t="shared" si="987"/>
        <v>5.1124744376278121E-3</v>
      </c>
      <c r="AI493" s="139">
        <f t="shared" si="987"/>
        <v>1.0224948875255625E-3</v>
      </c>
    </row>
    <row r="494" spans="2:35">
      <c r="B494" s="138" t="s">
        <v>8077</v>
      </c>
      <c r="C494" s="138" t="s">
        <v>4367</v>
      </c>
      <c r="D494" s="138" t="s">
        <v>15</v>
      </c>
      <c r="E494" s="138" t="s">
        <v>15</v>
      </c>
      <c r="F494" s="138" t="s">
        <v>8123</v>
      </c>
      <c r="H494" s="138">
        <v>11</v>
      </c>
      <c r="I494" s="138">
        <v>990</v>
      </c>
      <c r="J494" s="138">
        <v>579</v>
      </c>
      <c r="K494" s="138">
        <v>343</v>
      </c>
      <c r="N494" s="138">
        <v>13</v>
      </c>
      <c r="O494" s="138">
        <v>3</v>
      </c>
      <c r="S494" s="138">
        <v>33</v>
      </c>
      <c r="T494" s="138">
        <v>19</v>
      </c>
      <c r="U494" s="138">
        <f t="shared" si="512"/>
        <v>55</v>
      </c>
      <c r="W494" s="139">
        <f t="shared" ref="W494:AA494" si="988">J494/$I494</f>
        <v>0.58484848484848484</v>
      </c>
      <c r="X494" s="139">
        <f t="shared" si="988"/>
        <v>0.34646464646464648</v>
      </c>
      <c r="Y494" s="139">
        <f t="shared" si="988"/>
        <v>0</v>
      </c>
      <c r="Z494" s="139">
        <f t="shared" si="988"/>
        <v>0</v>
      </c>
      <c r="AA494" s="139">
        <f t="shared" si="988"/>
        <v>1.3131313131313131E-2</v>
      </c>
      <c r="AB494" s="139"/>
      <c r="AC494" s="139">
        <f t="shared" si="514"/>
        <v>5.5555555555555552E-2</v>
      </c>
      <c r="AD494" s="139">
        <f t="shared" ref="AD494:AI494" si="989">O494/$I494</f>
        <v>3.0303030303030303E-3</v>
      </c>
      <c r="AE494" s="139">
        <f t="shared" si="989"/>
        <v>0</v>
      </c>
      <c r="AF494" s="139">
        <f t="shared" si="989"/>
        <v>0</v>
      </c>
      <c r="AG494" s="139">
        <f t="shared" si="989"/>
        <v>0</v>
      </c>
      <c r="AH494" s="139">
        <f t="shared" si="989"/>
        <v>3.3333333333333333E-2</v>
      </c>
      <c r="AI494" s="139">
        <f t="shared" si="989"/>
        <v>1.9191919191919191E-2</v>
      </c>
    </row>
    <row r="495" spans="2:35">
      <c r="B495" s="138" t="s">
        <v>8077</v>
      </c>
      <c r="C495" s="138" t="s">
        <v>4367</v>
      </c>
      <c r="D495" s="138" t="s">
        <v>15</v>
      </c>
      <c r="E495" s="138" t="s">
        <v>15</v>
      </c>
      <c r="F495" s="138" t="s">
        <v>8123</v>
      </c>
      <c r="H495" s="138">
        <v>12</v>
      </c>
      <c r="I495" s="138">
        <v>536</v>
      </c>
      <c r="J495" s="138">
        <v>407</v>
      </c>
      <c r="K495" s="138">
        <v>110</v>
      </c>
      <c r="N495" s="138">
        <v>4</v>
      </c>
      <c r="O495" s="138">
        <v>1</v>
      </c>
      <c r="S495" s="138">
        <v>10</v>
      </c>
      <c r="T495" s="138">
        <v>4</v>
      </c>
      <c r="U495" s="138">
        <f t="shared" si="512"/>
        <v>15</v>
      </c>
      <c r="W495" s="139">
        <f t="shared" ref="W495:AA495" si="990">J495/$I495</f>
        <v>0.75932835820895528</v>
      </c>
      <c r="X495" s="139">
        <f t="shared" si="990"/>
        <v>0.20522388059701493</v>
      </c>
      <c r="Y495" s="139">
        <f t="shared" si="990"/>
        <v>0</v>
      </c>
      <c r="Z495" s="139">
        <f t="shared" si="990"/>
        <v>0</v>
      </c>
      <c r="AA495" s="139">
        <f t="shared" si="990"/>
        <v>7.462686567164179E-3</v>
      </c>
      <c r="AB495" s="139"/>
      <c r="AC495" s="139">
        <f t="shared" si="514"/>
        <v>2.7985074626865673E-2</v>
      </c>
      <c r="AD495" s="139">
        <f t="shared" ref="AD495:AI495" si="991">O495/$I495</f>
        <v>1.8656716417910447E-3</v>
      </c>
      <c r="AE495" s="139">
        <f t="shared" si="991"/>
        <v>0</v>
      </c>
      <c r="AF495" s="139">
        <f t="shared" si="991"/>
        <v>0</v>
      </c>
      <c r="AG495" s="139">
        <f t="shared" si="991"/>
        <v>0</v>
      </c>
      <c r="AH495" s="139">
        <f t="shared" si="991"/>
        <v>1.8656716417910446E-2</v>
      </c>
      <c r="AI495" s="139">
        <f t="shared" si="991"/>
        <v>7.462686567164179E-3</v>
      </c>
    </row>
    <row r="496" spans="2:35">
      <c r="B496" s="138" t="s">
        <v>8077</v>
      </c>
      <c r="C496" s="138" t="s">
        <v>4367</v>
      </c>
      <c r="D496" s="138" t="s">
        <v>15</v>
      </c>
      <c r="E496" s="138" t="s">
        <v>15</v>
      </c>
      <c r="F496" s="138" t="s">
        <v>8123</v>
      </c>
      <c r="H496" s="138">
        <v>13</v>
      </c>
      <c r="I496" s="138">
        <v>891</v>
      </c>
      <c r="J496" s="138">
        <v>523</v>
      </c>
      <c r="K496" s="138">
        <v>336</v>
      </c>
      <c r="N496" s="138">
        <v>11</v>
      </c>
      <c r="O496" s="138">
        <v>5</v>
      </c>
      <c r="S496" s="138">
        <v>12</v>
      </c>
      <c r="T496" s="138">
        <v>4</v>
      </c>
      <c r="U496" s="138">
        <f t="shared" si="512"/>
        <v>21</v>
      </c>
      <c r="W496" s="139">
        <f t="shared" ref="W496:AA496" si="992">J496/$I496</f>
        <v>0.58698092031425364</v>
      </c>
      <c r="X496" s="139">
        <f t="shared" si="992"/>
        <v>0.37710437710437711</v>
      </c>
      <c r="Y496" s="139">
        <f t="shared" si="992"/>
        <v>0</v>
      </c>
      <c r="Z496" s="139">
        <f t="shared" si="992"/>
        <v>0</v>
      </c>
      <c r="AA496" s="139">
        <f t="shared" si="992"/>
        <v>1.2345679012345678E-2</v>
      </c>
      <c r="AB496" s="139"/>
      <c r="AC496" s="139">
        <f t="shared" si="514"/>
        <v>2.3569023569023569E-2</v>
      </c>
      <c r="AD496" s="139">
        <f t="shared" ref="AD496:AI496" si="993">O496/$I496</f>
        <v>5.6116722783389446E-3</v>
      </c>
      <c r="AE496" s="139">
        <f t="shared" si="993"/>
        <v>0</v>
      </c>
      <c r="AF496" s="139">
        <f t="shared" si="993"/>
        <v>0</v>
      </c>
      <c r="AG496" s="139">
        <f t="shared" si="993"/>
        <v>0</v>
      </c>
      <c r="AH496" s="139">
        <f t="shared" si="993"/>
        <v>1.3468013468013467E-2</v>
      </c>
      <c r="AI496" s="139">
        <f t="shared" si="993"/>
        <v>4.4893378226711564E-3</v>
      </c>
    </row>
    <row r="497" spans="2:35">
      <c r="B497" s="138" t="s">
        <v>8077</v>
      </c>
      <c r="C497" s="138" t="s">
        <v>4367</v>
      </c>
      <c r="D497" s="138" t="s">
        <v>15</v>
      </c>
      <c r="E497" s="138" t="s">
        <v>15</v>
      </c>
      <c r="F497" s="138" t="s">
        <v>8123</v>
      </c>
      <c r="H497" s="138">
        <v>14</v>
      </c>
      <c r="I497" s="138">
        <v>595</v>
      </c>
      <c r="J497" s="138">
        <v>388</v>
      </c>
      <c r="K497" s="138">
        <v>180</v>
      </c>
      <c r="N497" s="138">
        <v>7</v>
      </c>
      <c r="O497" s="138">
        <v>3</v>
      </c>
      <c r="S497" s="138">
        <v>12</v>
      </c>
      <c r="T497" s="138">
        <v>5</v>
      </c>
      <c r="U497" s="138">
        <f t="shared" si="512"/>
        <v>20</v>
      </c>
      <c r="W497" s="139">
        <f t="shared" ref="W497:AA497" si="994">J497/$I497</f>
        <v>0.65210084033613447</v>
      </c>
      <c r="X497" s="139">
        <f t="shared" si="994"/>
        <v>0.30252100840336132</v>
      </c>
      <c r="Y497" s="139">
        <f t="shared" si="994"/>
        <v>0</v>
      </c>
      <c r="Z497" s="139">
        <f t="shared" si="994"/>
        <v>0</v>
      </c>
      <c r="AA497" s="139">
        <f t="shared" si="994"/>
        <v>1.1764705882352941E-2</v>
      </c>
      <c r="AB497" s="139"/>
      <c r="AC497" s="139">
        <f t="shared" si="514"/>
        <v>3.3613445378151259E-2</v>
      </c>
      <c r="AD497" s="139">
        <f t="shared" ref="AD497:AI497" si="995">O497/$I497</f>
        <v>5.0420168067226894E-3</v>
      </c>
      <c r="AE497" s="139">
        <f t="shared" si="995"/>
        <v>0</v>
      </c>
      <c r="AF497" s="139">
        <f t="shared" si="995"/>
        <v>0</v>
      </c>
      <c r="AG497" s="139">
        <f t="shared" si="995"/>
        <v>0</v>
      </c>
      <c r="AH497" s="139">
        <f t="shared" si="995"/>
        <v>2.0168067226890758E-2</v>
      </c>
      <c r="AI497" s="139">
        <f t="shared" si="995"/>
        <v>8.4033613445378148E-3</v>
      </c>
    </row>
    <row r="498" spans="2:35">
      <c r="B498" s="138" t="s">
        <v>8077</v>
      </c>
      <c r="C498" s="138" t="s">
        <v>4367</v>
      </c>
      <c r="D498" s="138" t="s">
        <v>15</v>
      </c>
      <c r="E498" s="138" t="s">
        <v>15</v>
      </c>
      <c r="F498" s="138" t="s">
        <v>8123</v>
      </c>
      <c r="H498" s="138">
        <v>15</v>
      </c>
      <c r="I498" s="138">
        <v>983</v>
      </c>
      <c r="J498" s="138">
        <v>302</v>
      </c>
      <c r="K498" s="138">
        <v>621</v>
      </c>
      <c r="N498" s="138">
        <v>13</v>
      </c>
      <c r="O498" s="138">
        <v>4</v>
      </c>
      <c r="S498" s="138">
        <v>18</v>
      </c>
      <c r="T498" s="138">
        <v>25</v>
      </c>
      <c r="U498" s="138">
        <f t="shared" si="512"/>
        <v>47</v>
      </c>
      <c r="W498" s="139">
        <f t="shared" ref="W498:AA498" si="996">J498/$I498</f>
        <v>0.30722278738555442</v>
      </c>
      <c r="X498" s="139">
        <f t="shared" si="996"/>
        <v>0.63173957273652082</v>
      </c>
      <c r="Y498" s="139">
        <f t="shared" si="996"/>
        <v>0</v>
      </c>
      <c r="Z498" s="139">
        <f t="shared" si="996"/>
        <v>0</v>
      </c>
      <c r="AA498" s="139">
        <f t="shared" si="996"/>
        <v>1.3224821973550356E-2</v>
      </c>
      <c r="AB498" s="139"/>
      <c r="AC498" s="139">
        <f t="shared" si="514"/>
        <v>4.7812817904374368E-2</v>
      </c>
      <c r="AD498" s="139">
        <f t="shared" ref="AD498:AI498" si="997">O498/$I498</f>
        <v>4.0691759918616479E-3</v>
      </c>
      <c r="AE498" s="139">
        <f t="shared" si="997"/>
        <v>0</v>
      </c>
      <c r="AF498" s="139">
        <f t="shared" si="997"/>
        <v>0</v>
      </c>
      <c r="AG498" s="139">
        <f t="shared" si="997"/>
        <v>0</v>
      </c>
      <c r="AH498" s="139">
        <f t="shared" si="997"/>
        <v>1.8311291963377416E-2</v>
      </c>
      <c r="AI498" s="139">
        <f t="shared" si="997"/>
        <v>2.5432349949135302E-2</v>
      </c>
    </row>
    <row r="499" spans="2:35">
      <c r="B499" s="138" t="s">
        <v>8077</v>
      </c>
      <c r="C499" s="138" t="s">
        <v>4367</v>
      </c>
      <c r="D499" s="138" t="s">
        <v>15</v>
      </c>
      <c r="E499" s="138" t="s">
        <v>15</v>
      </c>
      <c r="F499" s="138" t="s">
        <v>8123</v>
      </c>
      <c r="H499" s="138">
        <v>16</v>
      </c>
      <c r="I499" s="138">
        <v>780</v>
      </c>
      <c r="J499" s="138">
        <v>522</v>
      </c>
      <c r="K499" s="138">
        <v>192</v>
      </c>
      <c r="N499" s="138">
        <v>10</v>
      </c>
      <c r="O499" s="138">
        <v>3</v>
      </c>
      <c r="S499" s="138">
        <v>27</v>
      </c>
      <c r="T499" s="138">
        <v>26</v>
      </c>
      <c r="U499" s="138">
        <f t="shared" si="512"/>
        <v>56</v>
      </c>
      <c r="W499" s="139">
        <f t="shared" ref="W499:AA499" si="998">J499/$I499</f>
        <v>0.66923076923076918</v>
      </c>
      <c r="X499" s="139">
        <f t="shared" si="998"/>
        <v>0.24615384615384617</v>
      </c>
      <c r="Y499" s="139">
        <f t="shared" si="998"/>
        <v>0</v>
      </c>
      <c r="Z499" s="139">
        <f t="shared" si="998"/>
        <v>0</v>
      </c>
      <c r="AA499" s="139">
        <f t="shared" si="998"/>
        <v>1.282051282051282E-2</v>
      </c>
      <c r="AB499" s="139"/>
      <c r="AC499" s="139">
        <f t="shared" si="514"/>
        <v>7.179487179487179E-2</v>
      </c>
      <c r="AD499" s="139">
        <f t="shared" ref="AD499:AI499" si="999">O499/$I499</f>
        <v>3.8461538461538464E-3</v>
      </c>
      <c r="AE499" s="139">
        <f t="shared" si="999"/>
        <v>0</v>
      </c>
      <c r="AF499" s="139">
        <f t="shared" si="999"/>
        <v>0</v>
      </c>
      <c r="AG499" s="139">
        <f t="shared" si="999"/>
        <v>0</v>
      </c>
      <c r="AH499" s="139">
        <f t="shared" si="999"/>
        <v>3.4615384615384617E-2</v>
      </c>
      <c r="AI499" s="139">
        <f t="shared" si="999"/>
        <v>3.3333333333333333E-2</v>
      </c>
    </row>
    <row r="500" spans="2:35">
      <c r="B500" s="138" t="s">
        <v>8077</v>
      </c>
      <c r="C500" s="138" t="s">
        <v>4367</v>
      </c>
      <c r="D500" s="138" t="s">
        <v>15</v>
      </c>
      <c r="E500" s="138" t="s">
        <v>15</v>
      </c>
      <c r="F500" s="138" t="s">
        <v>8124</v>
      </c>
      <c r="H500" s="138">
        <v>17</v>
      </c>
      <c r="I500" s="138">
        <v>1209</v>
      </c>
      <c r="J500" s="138">
        <v>646</v>
      </c>
      <c r="K500" s="138">
        <v>514</v>
      </c>
      <c r="N500" s="138">
        <v>11</v>
      </c>
      <c r="O500" s="138">
        <v>2</v>
      </c>
      <c r="S500" s="138">
        <v>24</v>
      </c>
      <c r="T500" s="138">
        <v>12</v>
      </c>
      <c r="U500" s="138">
        <f t="shared" si="512"/>
        <v>38</v>
      </c>
      <c r="W500" s="139">
        <f t="shared" ref="W500:AA500" si="1000">J500/$I500</f>
        <v>0.53432588916459889</v>
      </c>
      <c r="X500" s="139">
        <f t="shared" si="1000"/>
        <v>0.4251447477253929</v>
      </c>
      <c r="Y500" s="139">
        <f t="shared" si="1000"/>
        <v>0</v>
      </c>
      <c r="Z500" s="139">
        <f t="shared" si="1000"/>
        <v>0</v>
      </c>
      <c r="AA500" s="139">
        <f t="shared" si="1000"/>
        <v>9.0984284532671638E-3</v>
      </c>
      <c r="AB500" s="139"/>
      <c r="AC500" s="139">
        <f t="shared" si="514"/>
        <v>3.1430934656741107E-2</v>
      </c>
      <c r="AD500" s="139">
        <f t="shared" ref="AD500:AI500" si="1001">O500/$I500</f>
        <v>1.6542597187758478E-3</v>
      </c>
      <c r="AE500" s="139">
        <f t="shared" si="1001"/>
        <v>0</v>
      </c>
      <c r="AF500" s="139">
        <f t="shared" si="1001"/>
        <v>0</v>
      </c>
      <c r="AG500" s="139">
        <f t="shared" si="1001"/>
        <v>0</v>
      </c>
      <c r="AH500" s="139">
        <f t="shared" si="1001"/>
        <v>1.9851116625310174E-2</v>
      </c>
      <c r="AI500" s="139">
        <f t="shared" si="1001"/>
        <v>9.9255583126550868E-3</v>
      </c>
    </row>
    <row r="501" spans="2:35">
      <c r="B501" s="138" t="s">
        <v>8077</v>
      </c>
      <c r="C501" s="138" t="s">
        <v>4367</v>
      </c>
      <c r="D501" s="138" t="s">
        <v>15</v>
      </c>
      <c r="E501" s="138" t="s">
        <v>15</v>
      </c>
      <c r="F501" s="138" t="s">
        <v>8124</v>
      </c>
      <c r="H501" s="138">
        <v>18</v>
      </c>
      <c r="I501" s="138">
        <v>501</v>
      </c>
      <c r="J501" s="138">
        <v>330</v>
      </c>
      <c r="K501" s="138">
        <v>156</v>
      </c>
      <c r="N501" s="138">
        <v>6</v>
      </c>
      <c r="O501" s="138">
        <v>0</v>
      </c>
      <c r="S501" s="138">
        <v>8</v>
      </c>
      <c r="T501" s="138">
        <v>1</v>
      </c>
      <c r="U501" s="138">
        <f t="shared" si="512"/>
        <v>9</v>
      </c>
      <c r="W501" s="139">
        <f t="shared" ref="W501:AA501" si="1002">J501/$I501</f>
        <v>0.6586826347305389</v>
      </c>
      <c r="X501" s="139">
        <f t="shared" si="1002"/>
        <v>0.31137724550898205</v>
      </c>
      <c r="Y501" s="139">
        <f t="shared" si="1002"/>
        <v>0</v>
      </c>
      <c r="Z501" s="139">
        <f t="shared" si="1002"/>
        <v>0</v>
      </c>
      <c r="AA501" s="139">
        <f t="shared" si="1002"/>
        <v>1.1976047904191617E-2</v>
      </c>
      <c r="AB501" s="139"/>
      <c r="AC501" s="139">
        <f t="shared" si="514"/>
        <v>1.7964071856287425E-2</v>
      </c>
      <c r="AD501" s="139">
        <f t="shared" ref="AD501:AI501" si="1003">O501/$I501</f>
        <v>0</v>
      </c>
      <c r="AE501" s="139">
        <f t="shared" si="1003"/>
        <v>0</v>
      </c>
      <c r="AF501" s="139">
        <f t="shared" si="1003"/>
        <v>0</v>
      </c>
      <c r="AG501" s="139">
        <f t="shared" si="1003"/>
        <v>0</v>
      </c>
      <c r="AH501" s="139">
        <f t="shared" si="1003"/>
        <v>1.5968063872255488E-2</v>
      </c>
      <c r="AI501" s="139">
        <f t="shared" si="1003"/>
        <v>1.996007984031936E-3</v>
      </c>
    </row>
    <row r="502" spans="2:35">
      <c r="B502" s="138" t="s">
        <v>8077</v>
      </c>
      <c r="C502" s="138" t="s">
        <v>4367</v>
      </c>
      <c r="D502" s="138" t="s">
        <v>15</v>
      </c>
      <c r="E502" s="138" t="s">
        <v>15</v>
      </c>
      <c r="F502" s="138" t="s">
        <v>8125</v>
      </c>
      <c r="H502" s="138">
        <v>19</v>
      </c>
      <c r="I502" s="138">
        <v>976</v>
      </c>
      <c r="J502" s="138">
        <v>467</v>
      </c>
      <c r="K502" s="138">
        <v>484</v>
      </c>
      <c r="N502" s="138">
        <v>8</v>
      </c>
      <c r="O502" s="138">
        <v>2</v>
      </c>
      <c r="S502" s="138">
        <v>8</v>
      </c>
      <c r="T502" s="138">
        <v>7</v>
      </c>
      <c r="U502" s="138">
        <f t="shared" si="512"/>
        <v>17</v>
      </c>
      <c r="W502" s="139">
        <f t="shared" ref="W502:AA502" si="1004">J502/$I502</f>
        <v>0.47848360655737704</v>
      </c>
      <c r="X502" s="139">
        <f t="shared" si="1004"/>
        <v>0.49590163934426229</v>
      </c>
      <c r="Y502" s="139">
        <f t="shared" si="1004"/>
        <v>0</v>
      </c>
      <c r="Z502" s="139">
        <f t="shared" si="1004"/>
        <v>0</v>
      </c>
      <c r="AA502" s="139">
        <f t="shared" si="1004"/>
        <v>8.1967213114754103E-3</v>
      </c>
      <c r="AB502" s="139"/>
      <c r="AC502" s="139">
        <f t="shared" si="514"/>
        <v>1.7418032786885244E-2</v>
      </c>
      <c r="AD502" s="139">
        <f t="shared" ref="AD502:AI502" si="1005">O502/$I502</f>
        <v>2.0491803278688526E-3</v>
      </c>
      <c r="AE502" s="139">
        <f t="shared" si="1005"/>
        <v>0</v>
      </c>
      <c r="AF502" s="139">
        <f t="shared" si="1005"/>
        <v>0</v>
      </c>
      <c r="AG502" s="139">
        <f t="shared" si="1005"/>
        <v>0</v>
      </c>
      <c r="AH502" s="139">
        <f t="shared" si="1005"/>
        <v>8.1967213114754103E-3</v>
      </c>
      <c r="AI502" s="139">
        <f t="shared" si="1005"/>
        <v>7.1721311475409838E-3</v>
      </c>
    </row>
    <row r="503" spans="2:35">
      <c r="B503" s="138" t="s">
        <v>8077</v>
      </c>
      <c r="C503" s="138" t="s">
        <v>4367</v>
      </c>
      <c r="D503" s="138" t="s">
        <v>15</v>
      </c>
      <c r="E503" s="138" t="s">
        <v>15</v>
      </c>
      <c r="F503" s="138" t="s">
        <v>8126</v>
      </c>
      <c r="H503" s="138">
        <v>20</v>
      </c>
      <c r="I503" s="138">
        <v>856</v>
      </c>
      <c r="J503" s="138">
        <v>505</v>
      </c>
      <c r="K503" s="138">
        <v>321</v>
      </c>
      <c r="N503" s="138">
        <v>1</v>
      </c>
      <c r="O503" s="138">
        <v>3</v>
      </c>
      <c r="S503" s="138">
        <v>18</v>
      </c>
      <c r="T503" s="138">
        <v>8</v>
      </c>
      <c r="U503" s="138">
        <f t="shared" si="512"/>
        <v>29</v>
      </c>
      <c r="W503" s="139">
        <f t="shared" ref="W503:AA503" si="1006">J503/$I503</f>
        <v>0.58995327102803741</v>
      </c>
      <c r="X503" s="139">
        <f t="shared" si="1006"/>
        <v>0.375</v>
      </c>
      <c r="Y503" s="139">
        <f t="shared" si="1006"/>
        <v>0</v>
      </c>
      <c r="Z503" s="139">
        <f t="shared" si="1006"/>
        <v>0</v>
      </c>
      <c r="AA503" s="139">
        <f t="shared" si="1006"/>
        <v>1.1682242990654205E-3</v>
      </c>
      <c r="AB503" s="139"/>
      <c r="AC503" s="139">
        <f t="shared" si="514"/>
        <v>3.3878504672897193E-2</v>
      </c>
      <c r="AD503" s="139">
        <f t="shared" ref="AD503:AI503" si="1007">O503/$I503</f>
        <v>3.5046728971962616E-3</v>
      </c>
      <c r="AE503" s="139">
        <f t="shared" si="1007"/>
        <v>0</v>
      </c>
      <c r="AF503" s="139">
        <f t="shared" si="1007"/>
        <v>0</v>
      </c>
      <c r="AG503" s="139">
        <f t="shared" si="1007"/>
        <v>0</v>
      </c>
      <c r="AH503" s="139">
        <f t="shared" si="1007"/>
        <v>2.1028037383177569E-2</v>
      </c>
      <c r="AI503" s="139">
        <f t="shared" si="1007"/>
        <v>9.3457943925233638E-3</v>
      </c>
    </row>
    <row r="504" spans="2:35">
      <c r="B504" s="138" t="s">
        <v>8077</v>
      </c>
      <c r="C504" s="138" t="s">
        <v>4367</v>
      </c>
      <c r="D504" s="138" t="s">
        <v>15</v>
      </c>
      <c r="E504" s="138" t="s">
        <v>15</v>
      </c>
      <c r="F504" s="138" t="s">
        <v>8126</v>
      </c>
      <c r="H504" s="138">
        <v>21</v>
      </c>
      <c r="I504" s="138">
        <v>692</v>
      </c>
      <c r="J504" s="138">
        <v>377</v>
      </c>
      <c r="K504" s="138">
        <v>298</v>
      </c>
      <c r="N504" s="138">
        <v>5</v>
      </c>
      <c r="O504" s="138">
        <v>2</v>
      </c>
      <c r="S504" s="138">
        <v>8</v>
      </c>
      <c r="T504" s="138">
        <v>2</v>
      </c>
      <c r="U504" s="138">
        <f t="shared" si="512"/>
        <v>12</v>
      </c>
      <c r="W504" s="139">
        <f t="shared" ref="W504:AA504" si="1008">J504/$I504</f>
        <v>0.5447976878612717</v>
      </c>
      <c r="X504" s="139">
        <f t="shared" si="1008"/>
        <v>0.430635838150289</v>
      </c>
      <c r="Y504" s="139">
        <f t="shared" si="1008"/>
        <v>0</v>
      </c>
      <c r="Z504" s="139">
        <f t="shared" si="1008"/>
        <v>0</v>
      </c>
      <c r="AA504" s="139">
        <f t="shared" si="1008"/>
        <v>7.2254335260115606E-3</v>
      </c>
      <c r="AB504" s="139"/>
      <c r="AC504" s="139">
        <f t="shared" si="514"/>
        <v>1.7341040462427744E-2</v>
      </c>
      <c r="AD504" s="139">
        <f t="shared" ref="AD504:AI504" si="1009">O504/$I504</f>
        <v>2.8901734104046241E-3</v>
      </c>
      <c r="AE504" s="139">
        <f t="shared" si="1009"/>
        <v>0</v>
      </c>
      <c r="AF504" s="139">
        <f t="shared" si="1009"/>
        <v>0</v>
      </c>
      <c r="AG504" s="139">
        <f t="shared" si="1009"/>
        <v>0</v>
      </c>
      <c r="AH504" s="139">
        <f t="shared" si="1009"/>
        <v>1.1560693641618497E-2</v>
      </c>
      <c r="AI504" s="139">
        <f t="shared" si="1009"/>
        <v>2.8901734104046241E-3</v>
      </c>
    </row>
    <row r="505" spans="2:35">
      <c r="B505" s="138" t="s">
        <v>8077</v>
      </c>
      <c r="C505" s="138" t="s">
        <v>4367</v>
      </c>
      <c r="D505" s="138" t="s">
        <v>15</v>
      </c>
      <c r="E505" s="138" t="s">
        <v>15</v>
      </c>
      <c r="F505" s="138" t="s">
        <v>7694</v>
      </c>
      <c r="H505" s="138">
        <v>22</v>
      </c>
      <c r="I505" s="138">
        <v>800</v>
      </c>
      <c r="J505" s="138">
        <v>418</v>
      </c>
      <c r="K505" s="138">
        <v>346</v>
      </c>
      <c r="N505" s="138">
        <v>6</v>
      </c>
      <c r="O505" s="138">
        <v>2</v>
      </c>
      <c r="S505" s="138">
        <v>20</v>
      </c>
      <c r="T505" s="138">
        <v>8</v>
      </c>
      <c r="U505" s="138">
        <f t="shared" si="512"/>
        <v>30</v>
      </c>
      <c r="W505" s="139">
        <f t="shared" ref="W505:AA505" si="1010">J505/$I505</f>
        <v>0.52249999999999996</v>
      </c>
      <c r="X505" s="139">
        <f t="shared" si="1010"/>
        <v>0.4325</v>
      </c>
      <c r="Y505" s="139">
        <f t="shared" si="1010"/>
        <v>0</v>
      </c>
      <c r="Z505" s="139">
        <f t="shared" si="1010"/>
        <v>0</v>
      </c>
      <c r="AA505" s="139">
        <f t="shared" si="1010"/>
        <v>7.4999999999999997E-3</v>
      </c>
      <c r="AB505" s="139"/>
      <c r="AC505" s="139">
        <f t="shared" si="514"/>
        <v>3.7499999999999999E-2</v>
      </c>
      <c r="AD505" s="139">
        <f t="shared" ref="AD505:AI505" si="1011">O505/$I505</f>
        <v>2.5000000000000001E-3</v>
      </c>
      <c r="AE505" s="139">
        <f t="shared" si="1011"/>
        <v>0</v>
      </c>
      <c r="AF505" s="139">
        <f t="shared" si="1011"/>
        <v>0</v>
      </c>
      <c r="AG505" s="139">
        <f t="shared" si="1011"/>
        <v>0</v>
      </c>
      <c r="AH505" s="139">
        <f t="shared" si="1011"/>
        <v>2.5000000000000001E-2</v>
      </c>
      <c r="AI505" s="139">
        <f t="shared" si="1011"/>
        <v>0.01</v>
      </c>
    </row>
    <row r="506" spans="2:35">
      <c r="B506" s="138" t="s">
        <v>8077</v>
      </c>
      <c r="C506" s="138" t="s">
        <v>4367</v>
      </c>
      <c r="D506" s="138" t="s">
        <v>15</v>
      </c>
      <c r="E506" s="138" t="s">
        <v>15</v>
      </c>
      <c r="F506" s="138" t="s">
        <v>7694</v>
      </c>
      <c r="H506" s="138">
        <v>23</v>
      </c>
      <c r="I506" s="138">
        <v>822</v>
      </c>
      <c r="J506" s="138">
        <v>460</v>
      </c>
      <c r="K506" s="138">
        <v>332</v>
      </c>
      <c r="N506" s="138">
        <v>8</v>
      </c>
      <c r="O506" s="138">
        <v>5</v>
      </c>
      <c r="S506" s="138">
        <v>11</v>
      </c>
      <c r="T506" s="138">
        <v>6</v>
      </c>
      <c r="U506" s="138">
        <f t="shared" si="512"/>
        <v>22</v>
      </c>
      <c r="W506" s="139">
        <f t="shared" ref="W506:AA506" si="1012">J506/$I506</f>
        <v>0.55961070559610704</v>
      </c>
      <c r="X506" s="139">
        <f t="shared" si="1012"/>
        <v>0.40389294403892945</v>
      </c>
      <c r="Y506" s="139">
        <f t="shared" si="1012"/>
        <v>0</v>
      </c>
      <c r="Z506" s="139">
        <f t="shared" si="1012"/>
        <v>0</v>
      </c>
      <c r="AA506" s="139">
        <f t="shared" si="1012"/>
        <v>9.7323600973236012E-3</v>
      </c>
      <c r="AB506" s="139"/>
      <c r="AC506" s="139">
        <f t="shared" si="514"/>
        <v>2.6763990267639901E-2</v>
      </c>
      <c r="AD506" s="139">
        <f t="shared" ref="AD506:AI506" si="1013">O506/$I506</f>
        <v>6.082725060827251E-3</v>
      </c>
      <c r="AE506" s="139">
        <f t="shared" si="1013"/>
        <v>0</v>
      </c>
      <c r="AF506" s="139">
        <f t="shared" si="1013"/>
        <v>0</v>
      </c>
      <c r="AG506" s="139">
        <f t="shared" si="1013"/>
        <v>0</v>
      </c>
      <c r="AH506" s="139">
        <f t="shared" si="1013"/>
        <v>1.3381995133819951E-2</v>
      </c>
      <c r="AI506" s="139">
        <f t="shared" si="1013"/>
        <v>7.2992700729927005E-3</v>
      </c>
    </row>
    <row r="507" spans="2:35">
      <c r="B507" s="138" t="s">
        <v>8077</v>
      </c>
      <c r="C507" s="138" t="s">
        <v>4367</v>
      </c>
      <c r="D507" s="138" t="s">
        <v>15</v>
      </c>
      <c r="E507" s="138" t="s">
        <v>15</v>
      </c>
      <c r="F507" s="138" t="s">
        <v>1277</v>
      </c>
      <c r="H507" s="138">
        <v>24</v>
      </c>
      <c r="I507" s="138">
        <v>1102</v>
      </c>
      <c r="J507" s="138">
        <v>588</v>
      </c>
      <c r="K507" s="138">
        <v>475</v>
      </c>
      <c r="N507" s="138">
        <v>9</v>
      </c>
      <c r="O507" s="138">
        <v>4</v>
      </c>
      <c r="S507" s="138">
        <v>12</v>
      </c>
      <c r="T507" s="138">
        <v>14</v>
      </c>
      <c r="U507" s="138">
        <f t="shared" si="512"/>
        <v>30</v>
      </c>
      <c r="W507" s="139">
        <f t="shared" ref="W507:AA507" si="1014">J507/$I507</f>
        <v>0.53357531760435573</v>
      </c>
      <c r="X507" s="139">
        <f t="shared" si="1014"/>
        <v>0.43103448275862066</v>
      </c>
      <c r="Y507" s="139">
        <f t="shared" si="1014"/>
        <v>0</v>
      </c>
      <c r="Z507" s="139">
        <f t="shared" si="1014"/>
        <v>0</v>
      </c>
      <c r="AA507" s="139">
        <f t="shared" si="1014"/>
        <v>8.1669691470054439E-3</v>
      </c>
      <c r="AB507" s="139"/>
      <c r="AC507" s="139">
        <f t="shared" si="514"/>
        <v>2.7223230490018149E-2</v>
      </c>
      <c r="AD507" s="139">
        <f t="shared" ref="AD507:AI507" si="1015">O507/$I507</f>
        <v>3.629764065335753E-3</v>
      </c>
      <c r="AE507" s="139">
        <f t="shared" si="1015"/>
        <v>0</v>
      </c>
      <c r="AF507" s="139">
        <f t="shared" si="1015"/>
        <v>0</v>
      </c>
      <c r="AG507" s="139">
        <f t="shared" si="1015"/>
        <v>0</v>
      </c>
      <c r="AH507" s="139">
        <f t="shared" si="1015"/>
        <v>1.0889292196007259E-2</v>
      </c>
      <c r="AI507" s="139">
        <f t="shared" si="1015"/>
        <v>1.2704174228675136E-2</v>
      </c>
    </row>
    <row r="508" spans="2:35">
      <c r="B508" s="138" t="s">
        <v>8077</v>
      </c>
      <c r="C508" s="138" t="s">
        <v>4367</v>
      </c>
      <c r="D508" s="138" t="s">
        <v>15</v>
      </c>
      <c r="E508" s="138" t="s">
        <v>15</v>
      </c>
      <c r="F508" s="138" t="s">
        <v>1277</v>
      </c>
      <c r="H508" s="138">
        <v>25</v>
      </c>
      <c r="I508" s="138">
        <v>1080</v>
      </c>
      <c r="J508" s="138">
        <v>547</v>
      </c>
      <c r="K508" s="138">
        <v>496</v>
      </c>
      <c r="N508" s="138">
        <v>9</v>
      </c>
      <c r="O508" s="138">
        <v>2</v>
      </c>
      <c r="S508" s="138">
        <v>16</v>
      </c>
      <c r="T508" s="138">
        <v>10</v>
      </c>
      <c r="U508" s="138">
        <f t="shared" si="512"/>
        <v>28</v>
      </c>
      <c r="W508" s="139">
        <f t="shared" ref="W508:AA508" si="1016">J508/$I508</f>
        <v>0.50648148148148153</v>
      </c>
      <c r="X508" s="139">
        <f t="shared" si="1016"/>
        <v>0.45925925925925926</v>
      </c>
      <c r="Y508" s="139">
        <f t="shared" si="1016"/>
        <v>0</v>
      </c>
      <c r="Z508" s="139">
        <f t="shared" si="1016"/>
        <v>0</v>
      </c>
      <c r="AA508" s="139">
        <f t="shared" si="1016"/>
        <v>8.3333333333333332E-3</v>
      </c>
      <c r="AB508" s="139"/>
      <c r="AC508" s="139">
        <f t="shared" si="514"/>
        <v>2.5925925925925925E-2</v>
      </c>
      <c r="AD508" s="139">
        <f t="shared" ref="AD508:AI508" si="1017">O508/$I508</f>
        <v>1.8518518518518519E-3</v>
      </c>
      <c r="AE508" s="139">
        <f t="shared" si="1017"/>
        <v>0</v>
      </c>
      <c r="AF508" s="139">
        <f t="shared" si="1017"/>
        <v>0</v>
      </c>
      <c r="AG508" s="139">
        <f t="shared" si="1017"/>
        <v>0</v>
      </c>
      <c r="AH508" s="139">
        <f t="shared" si="1017"/>
        <v>1.4814814814814815E-2</v>
      </c>
      <c r="AI508" s="139">
        <f t="shared" si="1017"/>
        <v>9.2592592592592587E-3</v>
      </c>
    </row>
    <row r="509" spans="2:35">
      <c r="B509" s="138" t="s">
        <v>8077</v>
      </c>
      <c r="C509" s="138" t="s">
        <v>4367</v>
      </c>
      <c r="D509" s="138" t="s">
        <v>15</v>
      </c>
      <c r="E509" s="138" t="s">
        <v>15</v>
      </c>
      <c r="F509" s="138" t="s">
        <v>1286</v>
      </c>
      <c r="H509" s="138">
        <v>26</v>
      </c>
      <c r="I509" s="138">
        <v>1103</v>
      </c>
      <c r="J509" s="138">
        <v>514</v>
      </c>
      <c r="K509" s="138">
        <v>501</v>
      </c>
      <c r="N509" s="138">
        <v>13</v>
      </c>
      <c r="O509" s="138">
        <v>9</v>
      </c>
      <c r="S509" s="138">
        <v>36</v>
      </c>
      <c r="T509" s="138">
        <v>30</v>
      </c>
      <c r="U509" s="138">
        <f t="shared" si="512"/>
        <v>75</v>
      </c>
      <c r="W509" s="139">
        <f t="shared" ref="W509:AA509" si="1018">J509/$I509</f>
        <v>0.46600181323662737</v>
      </c>
      <c r="X509" s="139">
        <f t="shared" si="1018"/>
        <v>0.45421577515865819</v>
      </c>
      <c r="Y509" s="139">
        <f t="shared" si="1018"/>
        <v>0</v>
      </c>
      <c r="Z509" s="139">
        <f t="shared" si="1018"/>
        <v>0</v>
      </c>
      <c r="AA509" s="139">
        <f t="shared" si="1018"/>
        <v>1.1786038077969175E-2</v>
      </c>
      <c r="AB509" s="139"/>
      <c r="AC509" s="139">
        <f t="shared" si="514"/>
        <v>6.7996373526745243E-2</v>
      </c>
      <c r="AD509" s="139">
        <f t="shared" ref="AD509:AI509" si="1019">O509/$I509</f>
        <v>8.1595648232094288E-3</v>
      </c>
      <c r="AE509" s="139">
        <f t="shared" si="1019"/>
        <v>0</v>
      </c>
      <c r="AF509" s="139">
        <f t="shared" si="1019"/>
        <v>0</v>
      </c>
      <c r="AG509" s="139">
        <f t="shared" si="1019"/>
        <v>0</v>
      </c>
      <c r="AH509" s="139">
        <f t="shared" si="1019"/>
        <v>3.2638259292837715E-2</v>
      </c>
      <c r="AI509" s="139">
        <f t="shared" si="1019"/>
        <v>2.7198549410698096E-2</v>
      </c>
    </row>
    <row r="510" spans="2:35">
      <c r="B510" s="138" t="s">
        <v>8077</v>
      </c>
      <c r="C510" s="138" t="s">
        <v>4367</v>
      </c>
      <c r="D510" s="138" t="s">
        <v>15</v>
      </c>
      <c r="E510" s="138" t="s">
        <v>15</v>
      </c>
      <c r="F510" s="138" t="s">
        <v>1286</v>
      </c>
      <c r="H510" s="138">
        <v>27</v>
      </c>
      <c r="I510" s="138">
        <v>1130</v>
      </c>
      <c r="J510" s="138">
        <v>601</v>
      </c>
      <c r="K510" s="138">
        <v>475</v>
      </c>
      <c r="N510" s="138">
        <v>9</v>
      </c>
      <c r="O510" s="138">
        <v>6</v>
      </c>
      <c r="S510" s="138">
        <v>18</v>
      </c>
      <c r="T510" s="138">
        <v>21</v>
      </c>
      <c r="U510" s="138">
        <f t="shared" si="512"/>
        <v>45</v>
      </c>
      <c r="W510" s="139">
        <f t="shared" ref="W510:AA510" si="1020">J510/$I510</f>
        <v>0.53185840707964605</v>
      </c>
      <c r="X510" s="139">
        <f t="shared" si="1020"/>
        <v>0.42035398230088494</v>
      </c>
      <c r="Y510" s="139">
        <f t="shared" si="1020"/>
        <v>0</v>
      </c>
      <c r="Z510" s="139">
        <f t="shared" si="1020"/>
        <v>0</v>
      </c>
      <c r="AA510" s="139">
        <f t="shared" si="1020"/>
        <v>7.9646017699115043E-3</v>
      </c>
      <c r="AB510" s="139"/>
      <c r="AC510" s="139">
        <f t="shared" si="514"/>
        <v>3.9823008849557522E-2</v>
      </c>
      <c r="AD510" s="139">
        <f t="shared" ref="AD510:AI510" si="1021">O510/$I510</f>
        <v>5.3097345132743362E-3</v>
      </c>
      <c r="AE510" s="139">
        <f t="shared" si="1021"/>
        <v>0</v>
      </c>
      <c r="AF510" s="139">
        <f t="shared" si="1021"/>
        <v>0</v>
      </c>
      <c r="AG510" s="139">
        <f t="shared" si="1021"/>
        <v>0</v>
      </c>
      <c r="AH510" s="139">
        <f t="shared" si="1021"/>
        <v>1.5929203539823009E-2</v>
      </c>
      <c r="AI510" s="139">
        <f t="shared" si="1021"/>
        <v>1.8584070796460177E-2</v>
      </c>
    </row>
    <row r="511" spans="2:35">
      <c r="B511" s="138" t="s">
        <v>8077</v>
      </c>
      <c r="C511" s="138" t="s">
        <v>4367</v>
      </c>
      <c r="D511" s="138" t="s">
        <v>15</v>
      </c>
      <c r="E511" s="138" t="s">
        <v>15</v>
      </c>
      <c r="F511" s="138" t="s">
        <v>1286</v>
      </c>
      <c r="H511" s="138">
        <v>28</v>
      </c>
      <c r="I511" s="138">
        <v>970</v>
      </c>
      <c r="J511" s="138">
        <v>490</v>
      </c>
      <c r="K511" s="138">
        <v>430</v>
      </c>
      <c r="N511" s="138">
        <v>9</v>
      </c>
      <c r="O511" s="138">
        <v>3</v>
      </c>
      <c r="S511" s="138">
        <v>17</v>
      </c>
      <c r="T511" s="138">
        <v>21</v>
      </c>
      <c r="U511" s="138">
        <f t="shared" si="512"/>
        <v>41</v>
      </c>
      <c r="W511" s="139">
        <f t="shared" ref="W511:AA511" si="1022">J511/$I511</f>
        <v>0.50515463917525771</v>
      </c>
      <c r="X511" s="139">
        <f t="shared" si="1022"/>
        <v>0.44329896907216493</v>
      </c>
      <c r="Y511" s="139">
        <f t="shared" si="1022"/>
        <v>0</v>
      </c>
      <c r="Z511" s="139">
        <f t="shared" si="1022"/>
        <v>0</v>
      </c>
      <c r="AA511" s="139">
        <f t="shared" si="1022"/>
        <v>9.2783505154639175E-3</v>
      </c>
      <c r="AB511" s="139"/>
      <c r="AC511" s="139">
        <f t="shared" si="514"/>
        <v>4.2268041237113405E-2</v>
      </c>
      <c r="AD511" s="139">
        <f t="shared" ref="AD511:AI511" si="1023">O511/$I511</f>
        <v>3.092783505154639E-3</v>
      </c>
      <c r="AE511" s="139">
        <f t="shared" si="1023"/>
        <v>0</v>
      </c>
      <c r="AF511" s="139">
        <f t="shared" si="1023"/>
        <v>0</v>
      </c>
      <c r="AG511" s="139">
        <f t="shared" si="1023"/>
        <v>0</v>
      </c>
      <c r="AH511" s="139">
        <f t="shared" si="1023"/>
        <v>1.7525773195876289E-2</v>
      </c>
      <c r="AI511" s="139">
        <f t="shared" si="1023"/>
        <v>2.1649484536082474E-2</v>
      </c>
    </row>
    <row r="512" spans="2:35">
      <c r="B512" s="138" t="s">
        <v>8077</v>
      </c>
      <c r="C512" s="138" t="s">
        <v>4367</v>
      </c>
      <c r="D512" s="138" t="s">
        <v>15</v>
      </c>
      <c r="E512" s="138" t="s">
        <v>15</v>
      </c>
      <c r="F512" s="138" t="s">
        <v>1286</v>
      </c>
      <c r="H512" s="138">
        <v>29</v>
      </c>
      <c r="I512" s="138">
        <v>837</v>
      </c>
      <c r="J512" s="138">
        <v>405</v>
      </c>
      <c r="K512" s="138">
        <v>408</v>
      </c>
      <c r="N512" s="138">
        <v>6</v>
      </c>
      <c r="O512" s="138">
        <v>6</v>
      </c>
      <c r="S512" s="138">
        <v>10</v>
      </c>
      <c r="T512" s="138">
        <v>2</v>
      </c>
      <c r="U512" s="138">
        <f t="shared" ref="U512:U766" si="1024">SUM(O512:T512)</f>
        <v>18</v>
      </c>
      <c r="W512" s="139">
        <f t="shared" ref="W512:AA512" si="1025">J512/$I512</f>
        <v>0.4838709677419355</v>
      </c>
      <c r="X512" s="139">
        <f t="shared" si="1025"/>
        <v>0.48745519713261648</v>
      </c>
      <c r="Y512" s="139">
        <f t="shared" si="1025"/>
        <v>0</v>
      </c>
      <c r="Z512" s="139">
        <f t="shared" si="1025"/>
        <v>0</v>
      </c>
      <c r="AA512" s="139">
        <f t="shared" si="1025"/>
        <v>7.1684587813620072E-3</v>
      </c>
      <c r="AB512" s="139"/>
      <c r="AC512" s="139">
        <f t="shared" ref="AC512:AC766" si="1026">U512/$I512</f>
        <v>2.1505376344086023E-2</v>
      </c>
      <c r="AD512" s="139">
        <f t="shared" ref="AD512:AI512" si="1027">O512/$I512</f>
        <v>7.1684587813620072E-3</v>
      </c>
      <c r="AE512" s="139">
        <f t="shared" si="1027"/>
        <v>0</v>
      </c>
      <c r="AF512" s="139">
        <f t="shared" si="1027"/>
        <v>0</v>
      </c>
      <c r="AG512" s="139">
        <f t="shared" si="1027"/>
        <v>0</v>
      </c>
      <c r="AH512" s="139">
        <f t="shared" si="1027"/>
        <v>1.1947431302270013E-2</v>
      </c>
      <c r="AI512" s="139">
        <f t="shared" si="1027"/>
        <v>2.3894862604540022E-3</v>
      </c>
    </row>
    <row r="513" spans="2:35">
      <c r="B513" s="138" t="s">
        <v>8077</v>
      </c>
      <c r="C513" s="138" t="s">
        <v>4367</v>
      </c>
      <c r="D513" s="138" t="s">
        <v>15</v>
      </c>
      <c r="E513" s="138" t="s">
        <v>15</v>
      </c>
      <c r="F513" s="138" t="s">
        <v>8127</v>
      </c>
      <c r="H513" s="138">
        <v>30</v>
      </c>
      <c r="I513" s="138">
        <v>621</v>
      </c>
      <c r="J513" s="138">
        <v>354</v>
      </c>
      <c r="K513" s="138">
        <v>254</v>
      </c>
      <c r="N513" s="138">
        <v>4</v>
      </c>
      <c r="O513" s="138">
        <v>0</v>
      </c>
      <c r="S513" s="138">
        <v>4</v>
      </c>
      <c r="T513" s="138">
        <v>5</v>
      </c>
      <c r="U513" s="138">
        <f t="shared" si="1024"/>
        <v>9</v>
      </c>
      <c r="W513" s="139">
        <f t="shared" ref="W513:AA513" si="1028">J513/$I513</f>
        <v>0.57004830917874394</v>
      </c>
      <c r="X513" s="139">
        <f t="shared" si="1028"/>
        <v>0.40901771336553944</v>
      </c>
      <c r="Y513" s="139">
        <f t="shared" si="1028"/>
        <v>0</v>
      </c>
      <c r="Z513" s="139">
        <f t="shared" si="1028"/>
        <v>0</v>
      </c>
      <c r="AA513" s="139">
        <f t="shared" si="1028"/>
        <v>6.4412238325281803E-3</v>
      </c>
      <c r="AB513" s="139"/>
      <c r="AC513" s="139">
        <f t="shared" si="1026"/>
        <v>1.4492753623188406E-2</v>
      </c>
      <c r="AD513" s="139">
        <f t="shared" ref="AD513:AI513" si="1029">O513/$I513</f>
        <v>0</v>
      </c>
      <c r="AE513" s="139">
        <f t="shared" si="1029"/>
        <v>0</v>
      </c>
      <c r="AF513" s="139">
        <f t="shared" si="1029"/>
        <v>0</v>
      </c>
      <c r="AG513" s="139">
        <f t="shared" si="1029"/>
        <v>0</v>
      </c>
      <c r="AH513" s="139">
        <f t="shared" si="1029"/>
        <v>6.4412238325281803E-3</v>
      </c>
      <c r="AI513" s="139">
        <f t="shared" si="1029"/>
        <v>8.0515297906602248E-3</v>
      </c>
    </row>
    <row r="514" spans="2:35">
      <c r="B514" s="138" t="s">
        <v>8077</v>
      </c>
      <c r="C514" s="138" t="s">
        <v>4367</v>
      </c>
      <c r="D514" s="138" t="s">
        <v>15</v>
      </c>
      <c r="E514" s="138" t="s">
        <v>15</v>
      </c>
      <c r="F514" s="138" t="s">
        <v>8127</v>
      </c>
      <c r="H514" s="138">
        <v>31</v>
      </c>
      <c r="I514" s="138">
        <v>768</v>
      </c>
      <c r="J514" s="138">
        <v>449</v>
      </c>
      <c r="K514" s="138">
        <v>278</v>
      </c>
      <c r="N514" s="138">
        <v>7</v>
      </c>
      <c r="O514" s="138">
        <v>4</v>
      </c>
      <c r="S514" s="138">
        <v>6</v>
      </c>
      <c r="T514" s="138">
        <v>24</v>
      </c>
      <c r="U514" s="138">
        <f t="shared" si="1024"/>
        <v>34</v>
      </c>
      <c r="W514" s="139">
        <f t="shared" ref="W514:AA514" si="1030">J514/$I514</f>
        <v>0.58463541666666663</v>
      </c>
      <c r="X514" s="139">
        <f t="shared" si="1030"/>
        <v>0.36197916666666669</v>
      </c>
      <c r="Y514" s="139">
        <f t="shared" si="1030"/>
        <v>0</v>
      </c>
      <c r="Z514" s="139">
        <f t="shared" si="1030"/>
        <v>0</v>
      </c>
      <c r="AA514" s="139">
        <f t="shared" si="1030"/>
        <v>9.1145833333333339E-3</v>
      </c>
      <c r="AB514" s="139"/>
      <c r="AC514" s="139">
        <f t="shared" si="1026"/>
        <v>4.4270833333333336E-2</v>
      </c>
      <c r="AD514" s="139">
        <f t="shared" ref="AD514:AI514" si="1031">O514/$I514</f>
        <v>5.208333333333333E-3</v>
      </c>
      <c r="AE514" s="139">
        <f t="shared" si="1031"/>
        <v>0</v>
      </c>
      <c r="AF514" s="139">
        <f t="shared" si="1031"/>
        <v>0</v>
      </c>
      <c r="AG514" s="139">
        <f t="shared" si="1031"/>
        <v>0</v>
      </c>
      <c r="AH514" s="139">
        <f t="shared" si="1031"/>
        <v>7.8125E-3</v>
      </c>
      <c r="AI514" s="139">
        <f t="shared" si="1031"/>
        <v>3.125E-2</v>
      </c>
    </row>
    <row r="515" spans="2:35">
      <c r="B515" s="138" t="s">
        <v>8077</v>
      </c>
      <c r="C515" s="138" t="s">
        <v>4367</v>
      </c>
      <c r="D515" s="138" t="s">
        <v>15</v>
      </c>
      <c r="E515" s="138" t="s">
        <v>15</v>
      </c>
      <c r="F515" s="138" t="s">
        <v>8128</v>
      </c>
      <c r="H515" s="138">
        <v>32</v>
      </c>
      <c r="I515" s="138">
        <v>1047</v>
      </c>
      <c r="J515" s="138">
        <v>543</v>
      </c>
      <c r="K515" s="138">
        <v>467</v>
      </c>
      <c r="N515" s="138">
        <v>7</v>
      </c>
      <c r="O515" s="138">
        <v>4</v>
      </c>
      <c r="S515" s="138">
        <v>14</v>
      </c>
      <c r="T515" s="138">
        <v>12</v>
      </c>
      <c r="U515" s="138">
        <f t="shared" si="1024"/>
        <v>30</v>
      </c>
      <c r="W515" s="139">
        <f t="shared" ref="W515:AA515" si="1032">J515/$I515</f>
        <v>0.51862464183381085</v>
      </c>
      <c r="X515" s="139">
        <f t="shared" si="1032"/>
        <v>0.44603629417383001</v>
      </c>
      <c r="Y515" s="139">
        <f t="shared" si="1032"/>
        <v>0</v>
      </c>
      <c r="Z515" s="139">
        <f t="shared" si="1032"/>
        <v>0</v>
      </c>
      <c r="AA515" s="139">
        <f t="shared" si="1032"/>
        <v>6.6857688634192934E-3</v>
      </c>
      <c r="AB515" s="139"/>
      <c r="AC515" s="139">
        <f t="shared" si="1026"/>
        <v>2.865329512893983E-2</v>
      </c>
      <c r="AD515" s="139">
        <f t="shared" ref="AD515:AI515" si="1033">O515/$I515</f>
        <v>3.8204393505253103E-3</v>
      </c>
      <c r="AE515" s="139">
        <f t="shared" si="1033"/>
        <v>0</v>
      </c>
      <c r="AF515" s="139">
        <f t="shared" si="1033"/>
        <v>0</v>
      </c>
      <c r="AG515" s="139">
        <f t="shared" si="1033"/>
        <v>0</v>
      </c>
      <c r="AH515" s="139">
        <f t="shared" si="1033"/>
        <v>1.3371537726838587E-2</v>
      </c>
      <c r="AI515" s="139">
        <f t="shared" si="1033"/>
        <v>1.1461318051575931E-2</v>
      </c>
    </row>
    <row r="516" spans="2:35">
      <c r="B516" s="138" t="s">
        <v>8077</v>
      </c>
      <c r="C516" s="138" t="s">
        <v>4367</v>
      </c>
      <c r="D516" s="138" t="s">
        <v>15</v>
      </c>
      <c r="E516" s="138" t="s">
        <v>15</v>
      </c>
      <c r="F516" s="138" t="s">
        <v>8128</v>
      </c>
      <c r="H516" s="138">
        <v>33</v>
      </c>
      <c r="I516" s="138">
        <v>1002</v>
      </c>
      <c r="J516" s="138">
        <v>567</v>
      </c>
      <c r="K516" s="138">
        <v>371</v>
      </c>
      <c r="N516" s="138">
        <v>14</v>
      </c>
      <c r="O516" s="138">
        <v>4</v>
      </c>
      <c r="S516" s="138">
        <v>30</v>
      </c>
      <c r="T516" s="138">
        <v>16</v>
      </c>
      <c r="U516" s="138">
        <f t="shared" si="1024"/>
        <v>50</v>
      </c>
      <c r="W516" s="139">
        <f t="shared" ref="W516:AA516" si="1034">J516/$I516</f>
        <v>0.56586826347305386</v>
      </c>
      <c r="X516" s="139">
        <f t="shared" si="1034"/>
        <v>0.37025948103792417</v>
      </c>
      <c r="Y516" s="139">
        <f t="shared" si="1034"/>
        <v>0</v>
      </c>
      <c r="Z516" s="139">
        <f t="shared" si="1034"/>
        <v>0</v>
      </c>
      <c r="AA516" s="139">
        <f t="shared" si="1034"/>
        <v>1.3972055888223553E-2</v>
      </c>
      <c r="AB516" s="139"/>
      <c r="AC516" s="139">
        <f t="shared" si="1026"/>
        <v>4.9900199600798403E-2</v>
      </c>
      <c r="AD516" s="139">
        <f t="shared" ref="AD516:AI516" si="1035">O516/$I516</f>
        <v>3.9920159680638719E-3</v>
      </c>
      <c r="AE516" s="139">
        <f t="shared" si="1035"/>
        <v>0</v>
      </c>
      <c r="AF516" s="139">
        <f t="shared" si="1035"/>
        <v>0</v>
      </c>
      <c r="AG516" s="139">
        <f t="shared" si="1035"/>
        <v>0</v>
      </c>
      <c r="AH516" s="139">
        <f t="shared" si="1035"/>
        <v>2.9940119760479042E-2</v>
      </c>
      <c r="AI516" s="139">
        <f t="shared" si="1035"/>
        <v>1.5968063872255488E-2</v>
      </c>
    </row>
    <row r="517" spans="2:35">
      <c r="B517" s="138" t="s">
        <v>8077</v>
      </c>
      <c r="C517" s="138" t="s">
        <v>4367</v>
      </c>
      <c r="D517" s="138" t="s">
        <v>15</v>
      </c>
      <c r="E517" s="138" t="s">
        <v>15</v>
      </c>
      <c r="F517" s="138" t="s">
        <v>8128</v>
      </c>
      <c r="H517" s="138">
        <v>34</v>
      </c>
      <c r="I517" s="138">
        <v>1063</v>
      </c>
      <c r="J517" s="138">
        <v>674</v>
      </c>
      <c r="K517" s="138">
        <v>329</v>
      </c>
      <c r="N517" s="138">
        <v>21</v>
      </c>
      <c r="O517" s="138">
        <v>2</v>
      </c>
      <c r="S517" s="138">
        <v>21</v>
      </c>
      <c r="T517" s="138">
        <v>16</v>
      </c>
      <c r="U517" s="138">
        <f t="shared" si="1024"/>
        <v>39</v>
      </c>
      <c r="W517" s="139">
        <f t="shared" ref="W517:AA517" si="1036">J517/$I517</f>
        <v>0.63405456255879589</v>
      </c>
      <c r="X517" s="139">
        <f t="shared" si="1036"/>
        <v>0.30950141110065854</v>
      </c>
      <c r="Y517" s="139">
        <f t="shared" si="1036"/>
        <v>0</v>
      </c>
      <c r="Z517" s="139">
        <f t="shared" si="1036"/>
        <v>0</v>
      </c>
      <c r="AA517" s="139">
        <f t="shared" si="1036"/>
        <v>1.9755409219190969E-2</v>
      </c>
      <c r="AB517" s="139"/>
      <c r="AC517" s="139">
        <f t="shared" si="1026"/>
        <v>3.6688617121354655E-2</v>
      </c>
      <c r="AD517" s="139">
        <f t="shared" ref="AD517:AI517" si="1037">O517/$I517</f>
        <v>1.8814675446848542E-3</v>
      </c>
      <c r="AE517" s="139">
        <f t="shared" si="1037"/>
        <v>0</v>
      </c>
      <c r="AF517" s="139">
        <f t="shared" si="1037"/>
        <v>0</v>
      </c>
      <c r="AG517" s="139">
        <f t="shared" si="1037"/>
        <v>0</v>
      </c>
      <c r="AH517" s="139">
        <f t="shared" si="1037"/>
        <v>1.9755409219190969E-2</v>
      </c>
      <c r="AI517" s="139">
        <f t="shared" si="1037"/>
        <v>1.5051740357478834E-2</v>
      </c>
    </row>
    <row r="518" spans="2:35">
      <c r="B518" s="138" t="s">
        <v>8077</v>
      </c>
      <c r="C518" s="138" t="s">
        <v>4367</v>
      </c>
      <c r="D518" s="138" t="s">
        <v>15</v>
      </c>
      <c r="E518" s="138" t="s">
        <v>15</v>
      </c>
      <c r="F518" s="138" t="s">
        <v>7718</v>
      </c>
      <c r="H518" s="138">
        <v>35</v>
      </c>
      <c r="I518" s="138">
        <v>851</v>
      </c>
      <c r="J518" s="138">
        <v>440</v>
      </c>
      <c r="K518" s="138">
        <v>345</v>
      </c>
      <c r="N518" s="138">
        <v>22</v>
      </c>
      <c r="O518" s="138">
        <v>6</v>
      </c>
      <c r="S518" s="138">
        <v>24</v>
      </c>
      <c r="T518" s="138">
        <v>14</v>
      </c>
      <c r="U518" s="138">
        <f t="shared" si="1024"/>
        <v>44</v>
      </c>
      <c r="W518" s="139">
        <f t="shared" ref="W518:AA518" si="1038">J518/$I518</f>
        <v>0.51703877790834307</v>
      </c>
      <c r="X518" s="139">
        <f t="shared" si="1038"/>
        <v>0.40540540540540543</v>
      </c>
      <c r="Y518" s="139">
        <f t="shared" si="1038"/>
        <v>0</v>
      </c>
      <c r="Z518" s="139">
        <f t="shared" si="1038"/>
        <v>0</v>
      </c>
      <c r="AA518" s="139">
        <f t="shared" si="1038"/>
        <v>2.5851938895417155E-2</v>
      </c>
      <c r="AB518" s="139"/>
      <c r="AC518" s="139">
        <f t="shared" si="1026"/>
        <v>5.170387779083431E-2</v>
      </c>
      <c r="AD518" s="139">
        <f t="shared" ref="AD518:AI518" si="1039">O518/$I518</f>
        <v>7.0505287896592246E-3</v>
      </c>
      <c r="AE518" s="139">
        <f t="shared" si="1039"/>
        <v>0</v>
      </c>
      <c r="AF518" s="139">
        <f t="shared" si="1039"/>
        <v>0</v>
      </c>
      <c r="AG518" s="139">
        <f t="shared" si="1039"/>
        <v>0</v>
      </c>
      <c r="AH518" s="139">
        <f t="shared" si="1039"/>
        <v>2.8202115158636899E-2</v>
      </c>
      <c r="AI518" s="139">
        <f t="shared" si="1039"/>
        <v>1.6451233842538191E-2</v>
      </c>
    </row>
    <row r="519" spans="2:35">
      <c r="B519" s="138" t="s">
        <v>8077</v>
      </c>
      <c r="C519" s="138" t="s">
        <v>4367</v>
      </c>
      <c r="D519" s="138" t="s">
        <v>15</v>
      </c>
      <c r="E519" s="138" t="s">
        <v>15</v>
      </c>
      <c r="F519" s="138" t="s">
        <v>7718</v>
      </c>
      <c r="H519" s="138">
        <v>36</v>
      </c>
      <c r="I519" s="138">
        <v>852</v>
      </c>
      <c r="J519" s="138">
        <v>507</v>
      </c>
      <c r="K519" s="138">
        <v>285</v>
      </c>
      <c r="N519" s="138">
        <v>28</v>
      </c>
      <c r="O519" s="138">
        <v>4</v>
      </c>
      <c r="S519" s="138">
        <v>14</v>
      </c>
      <c r="T519" s="138">
        <v>14</v>
      </c>
      <c r="U519" s="138">
        <f t="shared" si="1024"/>
        <v>32</v>
      </c>
      <c r="W519" s="139">
        <f t="shared" ref="W519:AA519" si="1040">J519/$I519</f>
        <v>0.59507042253521125</v>
      </c>
      <c r="X519" s="139">
        <f t="shared" si="1040"/>
        <v>0.33450704225352113</v>
      </c>
      <c r="Y519" s="139">
        <f t="shared" si="1040"/>
        <v>0</v>
      </c>
      <c r="Z519" s="139">
        <f t="shared" si="1040"/>
        <v>0</v>
      </c>
      <c r="AA519" s="139">
        <f t="shared" si="1040"/>
        <v>3.2863849765258218E-2</v>
      </c>
      <c r="AB519" s="139"/>
      <c r="AC519" s="139">
        <f t="shared" si="1026"/>
        <v>3.7558685446009391E-2</v>
      </c>
      <c r="AD519" s="139">
        <f t="shared" ref="AD519:AI519" si="1041">O519/$I519</f>
        <v>4.6948356807511738E-3</v>
      </c>
      <c r="AE519" s="139">
        <f t="shared" si="1041"/>
        <v>0</v>
      </c>
      <c r="AF519" s="139">
        <f t="shared" si="1041"/>
        <v>0</v>
      </c>
      <c r="AG519" s="139">
        <f t="shared" si="1041"/>
        <v>0</v>
      </c>
      <c r="AH519" s="139">
        <f t="shared" si="1041"/>
        <v>1.6431924882629109E-2</v>
      </c>
      <c r="AI519" s="139">
        <f t="shared" si="1041"/>
        <v>1.6431924882629109E-2</v>
      </c>
    </row>
    <row r="520" spans="2:35">
      <c r="B520" s="138" t="s">
        <v>8077</v>
      </c>
      <c r="C520" s="138" t="s">
        <v>4367</v>
      </c>
      <c r="D520" s="138" t="s">
        <v>15</v>
      </c>
      <c r="E520" s="138" t="s">
        <v>15</v>
      </c>
      <c r="F520" s="138" t="s">
        <v>7718</v>
      </c>
      <c r="H520" s="138">
        <v>37</v>
      </c>
      <c r="I520" s="138">
        <v>959</v>
      </c>
      <c r="J520" s="138">
        <v>351</v>
      </c>
      <c r="K520" s="138">
        <v>544</v>
      </c>
      <c r="N520" s="138">
        <v>24</v>
      </c>
      <c r="O520" s="138">
        <v>6</v>
      </c>
      <c r="S520" s="138">
        <v>18</v>
      </c>
      <c r="T520" s="138">
        <v>16</v>
      </c>
      <c r="U520" s="138">
        <f t="shared" si="1024"/>
        <v>40</v>
      </c>
      <c r="W520" s="139">
        <f t="shared" ref="W520:AA520" si="1042">J520/$I520</f>
        <v>0.36600625651720542</v>
      </c>
      <c r="X520" s="139">
        <f t="shared" si="1042"/>
        <v>0.56725755995828986</v>
      </c>
      <c r="Y520" s="139">
        <f t="shared" si="1042"/>
        <v>0</v>
      </c>
      <c r="Z520" s="139">
        <f t="shared" si="1042"/>
        <v>0</v>
      </c>
      <c r="AA520" s="139">
        <f t="shared" si="1042"/>
        <v>2.502606882168926E-2</v>
      </c>
      <c r="AB520" s="139"/>
      <c r="AC520" s="139">
        <f t="shared" si="1026"/>
        <v>4.171011470281543E-2</v>
      </c>
      <c r="AD520" s="139">
        <f t="shared" ref="AD520:AI520" si="1043">O520/$I520</f>
        <v>6.2565172054223151E-3</v>
      </c>
      <c r="AE520" s="139">
        <f t="shared" si="1043"/>
        <v>0</v>
      </c>
      <c r="AF520" s="139">
        <f t="shared" si="1043"/>
        <v>0</v>
      </c>
      <c r="AG520" s="139">
        <f t="shared" si="1043"/>
        <v>0</v>
      </c>
      <c r="AH520" s="139">
        <f t="shared" si="1043"/>
        <v>1.8769551616266946E-2</v>
      </c>
      <c r="AI520" s="139">
        <f t="shared" si="1043"/>
        <v>1.6684045881126174E-2</v>
      </c>
    </row>
    <row r="521" spans="2:35">
      <c r="B521" s="138" t="s">
        <v>8077</v>
      </c>
      <c r="C521" s="138" t="s">
        <v>4367</v>
      </c>
      <c r="D521" s="138" t="s">
        <v>15</v>
      </c>
      <c r="E521" s="138" t="s">
        <v>15</v>
      </c>
      <c r="F521" s="138" t="s">
        <v>7706</v>
      </c>
      <c r="H521" s="138">
        <v>38</v>
      </c>
      <c r="I521" s="138">
        <v>858</v>
      </c>
      <c r="J521" s="138">
        <v>465</v>
      </c>
      <c r="K521" s="138">
        <v>366</v>
      </c>
      <c r="N521" s="138">
        <v>6</v>
      </c>
      <c r="O521" s="138">
        <v>3</v>
      </c>
      <c r="S521" s="138">
        <v>15</v>
      </c>
      <c r="T521" s="138">
        <v>3</v>
      </c>
      <c r="U521" s="138">
        <f t="shared" si="1024"/>
        <v>21</v>
      </c>
      <c r="W521" s="139">
        <f t="shared" ref="W521:AA521" si="1044">J521/$I521</f>
        <v>0.54195804195804198</v>
      </c>
      <c r="X521" s="139">
        <f t="shared" si="1044"/>
        <v>0.42657342657342656</v>
      </c>
      <c r="Y521" s="139">
        <f t="shared" si="1044"/>
        <v>0</v>
      </c>
      <c r="Z521" s="139">
        <f t="shared" si="1044"/>
        <v>0</v>
      </c>
      <c r="AA521" s="139">
        <f t="shared" si="1044"/>
        <v>6.993006993006993E-3</v>
      </c>
      <c r="AB521" s="139"/>
      <c r="AC521" s="139">
        <f t="shared" si="1026"/>
        <v>2.4475524475524476E-2</v>
      </c>
      <c r="AD521" s="139">
        <f t="shared" ref="AD521:AI521" si="1045">O521/$I521</f>
        <v>3.4965034965034965E-3</v>
      </c>
      <c r="AE521" s="139">
        <f t="shared" si="1045"/>
        <v>0</v>
      </c>
      <c r="AF521" s="139">
        <f t="shared" si="1045"/>
        <v>0</v>
      </c>
      <c r="AG521" s="139">
        <f t="shared" si="1045"/>
        <v>0</v>
      </c>
      <c r="AH521" s="139">
        <f t="shared" si="1045"/>
        <v>1.7482517482517484E-2</v>
      </c>
      <c r="AI521" s="139">
        <f t="shared" si="1045"/>
        <v>3.4965034965034965E-3</v>
      </c>
    </row>
    <row r="522" spans="2:35">
      <c r="B522" s="138" t="s">
        <v>8077</v>
      </c>
      <c r="C522" s="138" t="s">
        <v>4367</v>
      </c>
      <c r="D522" s="138" t="s">
        <v>15</v>
      </c>
      <c r="E522" s="138" t="s">
        <v>15</v>
      </c>
      <c r="F522" s="138" t="s">
        <v>7706</v>
      </c>
      <c r="H522" s="138">
        <v>39</v>
      </c>
      <c r="I522" s="138">
        <v>772</v>
      </c>
      <c r="J522" s="138">
        <v>436</v>
      </c>
      <c r="K522" s="138">
        <v>306</v>
      </c>
      <c r="N522" s="138">
        <v>6</v>
      </c>
      <c r="O522" s="138">
        <v>5</v>
      </c>
      <c r="S522" s="138">
        <v>14</v>
      </c>
      <c r="T522" s="138">
        <v>5</v>
      </c>
      <c r="U522" s="138">
        <f t="shared" si="1024"/>
        <v>24</v>
      </c>
      <c r="W522" s="139">
        <f t="shared" ref="W522:AA522" si="1046">J522/$I522</f>
        <v>0.56476683937823835</v>
      </c>
      <c r="X522" s="139">
        <f t="shared" si="1046"/>
        <v>0.39637305699481867</v>
      </c>
      <c r="Y522" s="139">
        <f t="shared" si="1046"/>
        <v>0</v>
      </c>
      <c r="Z522" s="139">
        <f t="shared" si="1046"/>
        <v>0</v>
      </c>
      <c r="AA522" s="139">
        <f t="shared" si="1046"/>
        <v>7.7720207253886009E-3</v>
      </c>
      <c r="AB522" s="139"/>
      <c r="AC522" s="139">
        <f t="shared" si="1026"/>
        <v>3.1088082901554404E-2</v>
      </c>
      <c r="AD522" s="139">
        <f t="shared" ref="AD522:AI522" si="1047">O522/$I522</f>
        <v>6.4766839378238338E-3</v>
      </c>
      <c r="AE522" s="139">
        <f t="shared" si="1047"/>
        <v>0</v>
      </c>
      <c r="AF522" s="139">
        <f t="shared" si="1047"/>
        <v>0</v>
      </c>
      <c r="AG522" s="139">
        <f t="shared" si="1047"/>
        <v>0</v>
      </c>
      <c r="AH522" s="139">
        <f t="shared" si="1047"/>
        <v>1.8134715025906734E-2</v>
      </c>
      <c r="AI522" s="139">
        <f t="shared" si="1047"/>
        <v>6.4766839378238338E-3</v>
      </c>
    </row>
    <row r="523" spans="2:35">
      <c r="B523" s="138" t="s">
        <v>8077</v>
      </c>
      <c r="C523" s="138" t="s">
        <v>4367</v>
      </c>
      <c r="D523" s="138" t="s">
        <v>15</v>
      </c>
      <c r="E523" s="138" t="s">
        <v>15</v>
      </c>
      <c r="F523" s="138" t="s">
        <v>7706</v>
      </c>
      <c r="H523" s="138">
        <v>40</v>
      </c>
      <c r="I523" s="138">
        <v>826</v>
      </c>
      <c r="J523" s="138">
        <v>444</v>
      </c>
      <c r="K523" s="138">
        <v>358</v>
      </c>
      <c r="N523" s="138">
        <v>4</v>
      </c>
      <c r="O523" s="138">
        <v>1</v>
      </c>
      <c r="S523" s="138">
        <v>10</v>
      </c>
      <c r="T523" s="138">
        <v>9</v>
      </c>
      <c r="U523" s="138">
        <f t="shared" si="1024"/>
        <v>20</v>
      </c>
      <c r="W523" s="139">
        <f t="shared" ref="W523:AA523" si="1048">J523/$I523</f>
        <v>0.53753026634382561</v>
      </c>
      <c r="X523" s="139">
        <f t="shared" si="1048"/>
        <v>0.43341404358353514</v>
      </c>
      <c r="Y523" s="139">
        <f t="shared" si="1048"/>
        <v>0</v>
      </c>
      <c r="Z523" s="139">
        <f t="shared" si="1048"/>
        <v>0</v>
      </c>
      <c r="AA523" s="139">
        <f t="shared" si="1048"/>
        <v>4.8426150121065378E-3</v>
      </c>
      <c r="AB523" s="139"/>
      <c r="AC523" s="139">
        <f t="shared" si="1026"/>
        <v>2.4213075060532687E-2</v>
      </c>
      <c r="AD523" s="139">
        <f t="shared" ref="AD523:AI523" si="1049">O523/$I523</f>
        <v>1.2106537530266344E-3</v>
      </c>
      <c r="AE523" s="139">
        <f t="shared" si="1049"/>
        <v>0</v>
      </c>
      <c r="AF523" s="139">
        <f t="shared" si="1049"/>
        <v>0</v>
      </c>
      <c r="AG523" s="139">
        <f t="shared" si="1049"/>
        <v>0</v>
      </c>
      <c r="AH523" s="139">
        <f t="shared" si="1049"/>
        <v>1.2106537530266344E-2</v>
      </c>
      <c r="AI523" s="139">
        <f t="shared" si="1049"/>
        <v>1.0895883777239709E-2</v>
      </c>
    </row>
    <row r="524" spans="2:35">
      <c r="B524" s="138" t="s">
        <v>8077</v>
      </c>
      <c r="C524" s="138" t="s">
        <v>4367</v>
      </c>
      <c r="D524" s="138" t="s">
        <v>15</v>
      </c>
      <c r="E524" s="138" t="s">
        <v>15</v>
      </c>
      <c r="F524" s="138" t="s">
        <v>8129</v>
      </c>
      <c r="H524" s="138">
        <v>41</v>
      </c>
      <c r="I524" s="138">
        <v>1174</v>
      </c>
      <c r="J524" s="138">
        <v>703</v>
      </c>
      <c r="K524" s="138">
        <v>418</v>
      </c>
      <c r="N524" s="138">
        <v>17</v>
      </c>
      <c r="O524" s="138">
        <v>7</v>
      </c>
      <c r="S524" s="138">
        <v>21</v>
      </c>
      <c r="T524" s="138">
        <v>8</v>
      </c>
      <c r="U524" s="138">
        <f t="shared" si="1024"/>
        <v>36</v>
      </c>
      <c r="W524" s="139">
        <f t="shared" ref="W524:AA524" si="1050">J524/$I524</f>
        <v>0.59880749574105618</v>
      </c>
      <c r="X524" s="139">
        <f t="shared" si="1050"/>
        <v>0.35604770017035775</v>
      </c>
      <c r="Y524" s="139">
        <f t="shared" si="1050"/>
        <v>0</v>
      </c>
      <c r="Z524" s="139">
        <f t="shared" si="1050"/>
        <v>0</v>
      </c>
      <c r="AA524" s="139">
        <f t="shared" si="1050"/>
        <v>1.4480408858603067E-2</v>
      </c>
      <c r="AB524" s="139"/>
      <c r="AC524" s="139">
        <f t="shared" si="1026"/>
        <v>3.0664395229982964E-2</v>
      </c>
      <c r="AD524" s="139">
        <f t="shared" ref="AD524:AI524" si="1051">O524/$I524</f>
        <v>5.96252129471891E-3</v>
      </c>
      <c r="AE524" s="139">
        <f t="shared" si="1051"/>
        <v>0</v>
      </c>
      <c r="AF524" s="139">
        <f t="shared" si="1051"/>
        <v>0</v>
      </c>
      <c r="AG524" s="139">
        <f t="shared" si="1051"/>
        <v>0</v>
      </c>
      <c r="AH524" s="139">
        <f t="shared" si="1051"/>
        <v>1.7887563884156729E-2</v>
      </c>
      <c r="AI524" s="139">
        <f t="shared" si="1051"/>
        <v>6.8143100511073255E-3</v>
      </c>
    </row>
    <row r="525" spans="2:35">
      <c r="B525" s="138" t="s">
        <v>8077</v>
      </c>
      <c r="C525" s="138" t="s">
        <v>4367</v>
      </c>
      <c r="D525" s="138" t="s">
        <v>15</v>
      </c>
      <c r="E525" s="138" t="s">
        <v>15</v>
      </c>
      <c r="F525" s="138" t="s">
        <v>8129</v>
      </c>
      <c r="H525" s="138">
        <v>42</v>
      </c>
      <c r="I525" s="138">
        <v>664</v>
      </c>
      <c r="J525" s="138">
        <v>421</v>
      </c>
      <c r="K525" s="138">
        <v>227</v>
      </c>
      <c r="N525" s="138">
        <v>2</v>
      </c>
      <c r="O525" s="138">
        <v>3</v>
      </c>
      <c r="S525" s="138">
        <v>7</v>
      </c>
      <c r="T525" s="138">
        <v>4</v>
      </c>
      <c r="U525" s="138">
        <f t="shared" si="1024"/>
        <v>14</v>
      </c>
      <c r="W525" s="139">
        <f t="shared" ref="W525:AA525" si="1052">J525/$I525</f>
        <v>0.63403614457831325</v>
      </c>
      <c r="X525" s="139">
        <f t="shared" si="1052"/>
        <v>0.34186746987951805</v>
      </c>
      <c r="Y525" s="139">
        <f t="shared" si="1052"/>
        <v>0</v>
      </c>
      <c r="Z525" s="139">
        <f t="shared" si="1052"/>
        <v>0</v>
      </c>
      <c r="AA525" s="139">
        <f t="shared" si="1052"/>
        <v>3.0120481927710845E-3</v>
      </c>
      <c r="AB525" s="139"/>
      <c r="AC525" s="139">
        <f t="shared" si="1026"/>
        <v>2.1084337349397589E-2</v>
      </c>
      <c r="AD525" s="139">
        <f t="shared" ref="AD525:AI525" si="1053">O525/$I525</f>
        <v>4.5180722891566263E-3</v>
      </c>
      <c r="AE525" s="139">
        <f t="shared" si="1053"/>
        <v>0</v>
      </c>
      <c r="AF525" s="139">
        <f t="shared" si="1053"/>
        <v>0</v>
      </c>
      <c r="AG525" s="139">
        <f t="shared" si="1053"/>
        <v>0</v>
      </c>
      <c r="AH525" s="139">
        <f t="shared" si="1053"/>
        <v>1.0542168674698794E-2</v>
      </c>
      <c r="AI525" s="139">
        <f t="shared" si="1053"/>
        <v>6.024096385542169E-3</v>
      </c>
    </row>
    <row r="526" spans="2:35">
      <c r="B526" s="138" t="s">
        <v>8077</v>
      </c>
      <c r="C526" s="138" t="s">
        <v>4367</v>
      </c>
      <c r="D526" s="138" t="s">
        <v>15</v>
      </c>
      <c r="E526" s="138" t="s">
        <v>15</v>
      </c>
      <c r="F526" s="138" t="s">
        <v>8129</v>
      </c>
      <c r="H526" s="138">
        <v>43</v>
      </c>
      <c r="I526" s="138">
        <v>1032</v>
      </c>
      <c r="J526" s="138">
        <v>577</v>
      </c>
      <c r="K526" s="138">
        <v>412</v>
      </c>
      <c r="N526" s="138">
        <v>17</v>
      </c>
      <c r="O526" s="138">
        <v>7</v>
      </c>
      <c r="S526" s="138">
        <v>12</v>
      </c>
      <c r="T526" s="138">
        <v>7</v>
      </c>
      <c r="U526" s="138">
        <f t="shared" si="1024"/>
        <v>26</v>
      </c>
      <c r="W526" s="139">
        <f t="shared" ref="W526:AA526" si="1054">J526/$I526</f>
        <v>0.55910852713178294</v>
      </c>
      <c r="X526" s="139">
        <f t="shared" si="1054"/>
        <v>0.39922480620155038</v>
      </c>
      <c r="Y526" s="139">
        <f t="shared" si="1054"/>
        <v>0</v>
      </c>
      <c r="Z526" s="139">
        <f t="shared" si="1054"/>
        <v>0</v>
      </c>
      <c r="AA526" s="139">
        <f t="shared" si="1054"/>
        <v>1.6472868217054265E-2</v>
      </c>
      <c r="AB526" s="139"/>
      <c r="AC526" s="139">
        <f t="shared" si="1026"/>
        <v>2.5193798449612403E-2</v>
      </c>
      <c r="AD526" s="139">
        <f t="shared" ref="AD526:AI526" si="1055">O526/$I526</f>
        <v>6.7829457364341084E-3</v>
      </c>
      <c r="AE526" s="139">
        <f t="shared" si="1055"/>
        <v>0</v>
      </c>
      <c r="AF526" s="139">
        <f t="shared" si="1055"/>
        <v>0</v>
      </c>
      <c r="AG526" s="139">
        <f t="shared" si="1055"/>
        <v>0</v>
      </c>
      <c r="AH526" s="139">
        <f t="shared" si="1055"/>
        <v>1.1627906976744186E-2</v>
      </c>
      <c r="AI526" s="139">
        <f t="shared" si="1055"/>
        <v>6.7829457364341084E-3</v>
      </c>
    </row>
    <row r="527" spans="2:35">
      <c r="B527" s="138" t="s">
        <v>8077</v>
      </c>
      <c r="C527" s="138" t="s">
        <v>4367</v>
      </c>
      <c r="D527" s="138" t="s">
        <v>15</v>
      </c>
      <c r="E527" s="138" t="s">
        <v>15</v>
      </c>
      <c r="F527" s="138" t="s">
        <v>8130</v>
      </c>
      <c r="H527" s="138">
        <v>44</v>
      </c>
      <c r="I527" s="138">
        <v>834</v>
      </c>
      <c r="J527" s="138">
        <v>335</v>
      </c>
      <c r="K527" s="138">
        <v>458</v>
      </c>
      <c r="N527" s="138">
        <v>12</v>
      </c>
      <c r="O527" s="138">
        <v>4</v>
      </c>
      <c r="S527" s="138">
        <v>15</v>
      </c>
      <c r="T527" s="138">
        <v>10</v>
      </c>
      <c r="U527" s="138">
        <f t="shared" si="1024"/>
        <v>29</v>
      </c>
      <c r="W527" s="139">
        <f t="shared" ref="W527:AA527" si="1056">J527/$I527</f>
        <v>0.40167865707434053</v>
      </c>
      <c r="X527" s="139">
        <f t="shared" si="1056"/>
        <v>0.54916067146282976</v>
      </c>
      <c r="Y527" s="139">
        <f t="shared" si="1056"/>
        <v>0</v>
      </c>
      <c r="Z527" s="139">
        <f t="shared" si="1056"/>
        <v>0</v>
      </c>
      <c r="AA527" s="139">
        <f t="shared" si="1056"/>
        <v>1.4388489208633094E-2</v>
      </c>
      <c r="AB527" s="139"/>
      <c r="AC527" s="139">
        <f t="shared" si="1026"/>
        <v>3.4772182254196642E-2</v>
      </c>
      <c r="AD527" s="139">
        <f t="shared" ref="AD527:AI527" si="1057">O527/$I527</f>
        <v>4.7961630695443642E-3</v>
      </c>
      <c r="AE527" s="139">
        <f t="shared" si="1057"/>
        <v>0</v>
      </c>
      <c r="AF527" s="139">
        <f t="shared" si="1057"/>
        <v>0</v>
      </c>
      <c r="AG527" s="139">
        <f t="shared" si="1057"/>
        <v>0</v>
      </c>
      <c r="AH527" s="139">
        <f t="shared" si="1057"/>
        <v>1.7985611510791366E-2</v>
      </c>
      <c r="AI527" s="139">
        <f t="shared" si="1057"/>
        <v>1.1990407673860911E-2</v>
      </c>
    </row>
    <row r="528" spans="2:35">
      <c r="B528" s="138" t="s">
        <v>8077</v>
      </c>
      <c r="C528" s="138" t="s">
        <v>4367</v>
      </c>
      <c r="D528" s="138" t="s">
        <v>15</v>
      </c>
      <c r="E528" s="138" t="s">
        <v>15</v>
      </c>
      <c r="F528" s="138" t="s">
        <v>8130</v>
      </c>
      <c r="H528" s="138">
        <v>45</v>
      </c>
      <c r="I528" s="138">
        <v>963</v>
      </c>
      <c r="J528" s="138">
        <v>469</v>
      </c>
      <c r="K528" s="138">
        <v>463</v>
      </c>
      <c r="N528" s="138">
        <v>10</v>
      </c>
      <c r="O528" s="138">
        <v>3</v>
      </c>
      <c r="S528" s="138">
        <v>10</v>
      </c>
      <c r="T528" s="138">
        <v>8</v>
      </c>
      <c r="U528" s="138">
        <f t="shared" si="1024"/>
        <v>21</v>
      </c>
      <c r="W528" s="139">
        <f t="shared" ref="W528:AA528" si="1058">J528/$I528</f>
        <v>0.48701973001038423</v>
      </c>
      <c r="X528" s="139">
        <f t="shared" si="1058"/>
        <v>0.48078920041536866</v>
      </c>
      <c r="Y528" s="139">
        <f t="shared" si="1058"/>
        <v>0</v>
      </c>
      <c r="Z528" s="139">
        <f t="shared" si="1058"/>
        <v>0</v>
      </c>
      <c r="AA528" s="139">
        <f t="shared" si="1058"/>
        <v>1.0384215991692628E-2</v>
      </c>
      <c r="AB528" s="139"/>
      <c r="AC528" s="139">
        <f t="shared" si="1026"/>
        <v>2.1806853582554516E-2</v>
      </c>
      <c r="AD528" s="139">
        <f t="shared" ref="AD528:AI528" si="1059">O528/$I528</f>
        <v>3.1152647975077881E-3</v>
      </c>
      <c r="AE528" s="139">
        <f t="shared" si="1059"/>
        <v>0</v>
      </c>
      <c r="AF528" s="139">
        <f t="shared" si="1059"/>
        <v>0</v>
      </c>
      <c r="AG528" s="139">
        <f t="shared" si="1059"/>
        <v>0</v>
      </c>
      <c r="AH528" s="139">
        <f t="shared" si="1059"/>
        <v>1.0384215991692628E-2</v>
      </c>
      <c r="AI528" s="139">
        <f t="shared" si="1059"/>
        <v>8.3073727933541015E-3</v>
      </c>
    </row>
    <row r="529" spans="2:35">
      <c r="B529" s="138" t="s">
        <v>8077</v>
      </c>
      <c r="C529" s="138" t="s">
        <v>4367</v>
      </c>
      <c r="D529" s="138" t="s">
        <v>15</v>
      </c>
      <c r="E529" s="138" t="s">
        <v>15</v>
      </c>
      <c r="F529" s="138" t="s">
        <v>8130</v>
      </c>
      <c r="H529" s="138">
        <v>46</v>
      </c>
      <c r="I529" s="138">
        <v>857</v>
      </c>
      <c r="J529" s="138">
        <v>491</v>
      </c>
      <c r="K529" s="138">
        <v>312</v>
      </c>
      <c r="N529" s="138">
        <v>18</v>
      </c>
      <c r="O529" s="138">
        <v>10</v>
      </c>
      <c r="S529" s="138">
        <v>21</v>
      </c>
      <c r="T529" s="138">
        <v>5</v>
      </c>
      <c r="U529" s="138">
        <f t="shared" si="1024"/>
        <v>36</v>
      </c>
      <c r="W529" s="139">
        <f t="shared" ref="W529:AA529" si="1060">J529/$I529</f>
        <v>0.57292882147024504</v>
      </c>
      <c r="X529" s="139">
        <f t="shared" si="1060"/>
        <v>0.36406067677946324</v>
      </c>
      <c r="Y529" s="139">
        <f t="shared" si="1060"/>
        <v>0</v>
      </c>
      <c r="Z529" s="139">
        <f t="shared" si="1060"/>
        <v>0</v>
      </c>
      <c r="AA529" s="139">
        <f t="shared" si="1060"/>
        <v>2.1003500583430573E-2</v>
      </c>
      <c r="AB529" s="139"/>
      <c r="AC529" s="139">
        <f t="shared" si="1026"/>
        <v>4.2007001166861145E-2</v>
      </c>
      <c r="AD529" s="139">
        <f t="shared" ref="AD529:AI529" si="1061">O529/$I529</f>
        <v>1.1668611435239206E-2</v>
      </c>
      <c r="AE529" s="139">
        <f t="shared" si="1061"/>
        <v>0</v>
      </c>
      <c r="AF529" s="139">
        <f t="shared" si="1061"/>
        <v>0</v>
      </c>
      <c r="AG529" s="139">
        <f t="shared" si="1061"/>
        <v>0</v>
      </c>
      <c r="AH529" s="139">
        <f t="shared" si="1061"/>
        <v>2.4504084014002333E-2</v>
      </c>
      <c r="AI529" s="139">
        <f t="shared" si="1061"/>
        <v>5.8343057176196032E-3</v>
      </c>
    </row>
    <row r="530" spans="2:35">
      <c r="B530" s="138" t="s">
        <v>8077</v>
      </c>
      <c r="C530" s="138" t="s">
        <v>4367</v>
      </c>
      <c r="D530" s="138" t="s">
        <v>15</v>
      </c>
      <c r="E530" s="138" t="s">
        <v>789</v>
      </c>
      <c r="F530" s="138" t="s">
        <v>789</v>
      </c>
      <c r="H530" s="138">
        <v>47</v>
      </c>
      <c r="I530" s="138">
        <v>1018</v>
      </c>
      <c r="J530" s="138">
        <v>482</v>
      </c>
      <c r="K530" s="138">
        <v>517</v>
      </c>
      <c r="N530" s="138">
        <v>6</v>
      </c>
      <c r="O530" s="138">
        <v>3</v>
      </c>
      <c r="S530" s="138">
        <v>8</v>
      </c>
      <c r="T530" s="138">
        <v>2</v>
      </c>
      <c r="U530" s="138">
        <f t="shared" si="1024"/>
        <v>13</v>
      </c>
      <c r="W530" s="139">
        <f t="shared" ref="W530:AA530" si="1062">J530/$I530</f>
        <v>0.47347740667976423</v>
      </c>
      <c r="X530" s="139">
        <f t="shared" si="1062"/>
        <v>0.50785854616895876</v>
      </c>
      <c r="Y530" s="139">
        <f t="shared" si="1062"/>
        <v>0</v>
      </c>
      <c r="Z530" s="139">
        <f t="shared" si="1062"/>
        <v>0</v>
      </c>
      <c r="AA530" s="139">
        <f t="shared" si="1062"/>
        <v>5.893909626719057E-3</v>
      </c>
      <c r="AB530" s="139"/>
      <c r="AC530" s="139">
        <f t="shared" si="1026"/>
        <v>1.2770137524557957E-2</v>
      </c>
      <c r="AD530" s="139">
        <f t="shared" ref="AD530:AI530" si="1063">O530/$I530</f>
        <v>2.9469548133595285E-3</v>
      </c>
      <c r="AE530" s="139">
        <f t="shared" si="1063"/>
        <v>0</v>
      </c>
      <c r="AF530" s="139">
        <f t="shared" si="1063"/>
        <v>0</v>
      </c>
      <c r="AG530" s="139">
        <f t="shared" si="1063"/>
        <v>0</v>
      </c>
      <c r="AH530" s="139">
        <f t="shared" si="1063"/>
        <v>7.8585461689587421E-3</v>
      </c>
      <c r="AI530" s="139">
        <f t="shared" si="1063"/>
        <v>1.9646365422396855E-3</v>
      </c>
    </row>
    <row r="531" spans="2:35">
      <c r="B531" s="138" t="s">
        <v>8077</v>
      </c>
      <c r="C531" s="138" t="s">
        <v>4367</v>
      </c>
      <c r="D531" s="138" t="s">
        <v>15</v>
      </c>
      <c r="E531" s="138" t="s">
        <v>789</v>
      </c>
      <c r="F531" s="138" t="s">
        <v>789</v>
      </c>
      <c r="H531" s="138">
        <v>48</v>
      </c>
      <c r="I531" s="138">
        <v>733</v>
      </c>
      <c r="J531" s="138">
        <v>346</v>
      </c>
      <c r="K531" s="138">
        <v>360</v>
      </c>
      <c r="N531" s="138">
        <v>11</v>
      </c>
      <c r="O531" s="138">
        <v>5</v>
      </c>
      <c r="S531" s="138">
        <v>7</v>
      </c>
      <c r="T531" s="138">
        <v>4</v>
      </c>
      <c r="U531" s="138">
        <f t="shared" si="1024"/>
        <v>16</v>
      </c>
      <c r="W531" s="139">
        <f t="shared" ref="W531:AA531" si="1064">J531/$I531</f>
        <v>0.47203274215552526</v>
      </c>
      <c r="X531" s="139">
        <f t="shared" si="1064"/>
        <v>0.49113233287858116</v>
      </c>
      <c r="Y531" s="139">
        <f t="shared" si="1064"/>
        <v>0</v>
      </c>
      <c r="Z531" s="139">
        <f t="shared" si="1064"/>
        <v>0</v>
      </c>
      <c r="AA531" s="139">
        <f t="shared" si="1064"/>
        <v>1.5006821282401092E-2</v>
      </c>
      <c r="AB531" s="139"/>
      <c r="AC531" s="139">
        <f t="shared" si="1026"/>
        <v>2.1828103683492497E-2</v>
      </c>
      <c r="AD531" s="139">
        <f t="shared" ref="AD531:AI531" si="1065">O531/$I531</f>
        <v>6.8212824010914054E-3</v>
      </c>
      <c r="AE531" s="139">
        <f t="shared" si="1065"/>
        <v>0</v>
      </c>
      <c r="AF531" s="139">
        <f t="shared" si="1065"/>
        <v>0</v>
      </c>
      <c r="AG531" s="139">
        <f t="shared" si="1065"/>
        <v>0</v>
      </c>
      <c r="AH531" s="139">
        <f t="shared" si="1065"/>
        <v>9.5497953615279671E-3</v>
      </c>
      <c r="AI531" s="139">
        <f t="shared" si="1065"/>
        <v>5.4570259208731242E-3</v>
      </c>
    </row>
    <row r="532" spans="2:35">
      <c r="B532" s="138" t="s">
        <v>8077</v>
      </c>
      <c r="C532" s="138" t="s">
        <v>4367</v>
      </c>
      <c r="D532" s="138" t="s">
        <v>15</v>
      </c>
      <c r="E532" s="138" t="s">
        <v>789</v>
      </c>
      <c r="F532" s="138" t="s">
        <v>789</v>
      </c>
      <c r="H532" s="138">
        <v>49</v>
      </c>
      <c r="I532" s="138">
        <v>997</v>
      </c>
      <c r="J532" s="138">
        <v>643</v>
      </c>
      <c r="K532" s="138">
        <v>285</v>
      </c>
      <c r="N532" s="138">
        <v>20</v>
      </c>
      <c r="O532" s="138">
        <v>7</v>
      </c>
      <c r="S532" s="138">
        <v>28</v>
      </c>
      <c r="T532" s="138">
        <v>14</v>
      </c>
      <c r="U532" s="138">
        <f t="shared" si="1024"/>
        <v>49</v>
      </c>
      <c r="W532" s="139">
        <f t="shared" ref="W532:AA532" si="1066">J532/$I532</f>
        <v>0.64493480441323969</v>
      </c>
      <c r="X532" s="139">
        <f t="shared" si="1066"/>
        <v>0.28585757271815448</v>
      </c>
      <c r="Y532" s="139">
        <f t="shared" si="1066"/>
        <v>0</v>
      </c>
      <c r="Z532" s="139">
        <f t="shared" si="1066"/>
        <v>0</v>
      </c>
      <c r="AA532" s="139">
        <f t="shared" si="1066"/>
        <v>2.0060180541624874E-2</v>
      </c>
      <c r="AB532" s="139"/>
      <c r="AC532" s="139">
        <f t="shared" si="1026"/>
        <v>4.9147442326980942E-2</v>
      </c>
      <c r="AD532" s="139">
        <f t="shared" ref="AD532:AI532" si="1067">O532/$I532</f>
        <v>7.0210631895687063E-3</v>
      </c>
      <c r="AE532" s="139">
        <f t="shared" si="1067"/>
        <v>0</v>
      </c>
      <c r="AF532" s="139">
        <f t="shared" si="1067"/>
        <v>0</v>
      </c>
      <c r="AG532" s="139">
        <f t="shared" si="1067"/>
        <v>0</v>
      </c>
      <c r="AH532" s="139">
        <f t="shared" si="1067"/>
        <v>2.8084252758274825E-2</v>
      </c>
      <c r="AI532" s="139">
        <f t="shared" si="1067"/>
        <v>1.4042126379137413E-2</v>
      </c>
    </row>
    <row r="533" spans="2:35">
      <c r="B533" s="138" t="s">
        <v>8077</v>
      </c>
      <c r="C533" s="138" t="s">
        <v>4367</v>
      </c>
      <c r="D533" s="138" t="s">
        <v>15</v>
      </c>
      <c r="E533" s="138" t="s">
        <v>789</v>
      </c>
      <c r="F533" s="138" t="s">
        <v>789</v>
      </c>
      <c r="H533" s="138">
        <v>50</v>
      </c>
      <c r="I533" s="138">
        <v>812</v>
      </c>
      <c r="J533" s="138">
        <v>511</v>
      </c>
      <c r="K533" s="138">
        <v>271</v>
      </c>
      <c r="N533" s="138">
        <v>11</v>
      </c>
      <c r="O533" s="138">
        <v>3</v>
      </c>
      <c r="S533" s="138">
        <v>9</v>
      </c>
      <c r="T533" s="138">
        <v>7</v>
      </c>
      <c r="U533" s="138">
        <f t="shared" si="1024"/>
        <v>19</v>
      </c>
      <c r="W533" s="139">
        <f t="shared" ref="W533:AA533" si="1068">J533/$I533</f>
        <v>0.62931034482758619</v>
      </c>
      <c r="X533" s="139">
        <f t="shared" si="1068"/>
        <v>0.33374384236453203</v>
      </c>
      <c r="Y533" s="139">
        <f t="shared" si="1068"/>
        <v>0</v>
      </c>
      <c r="Z533" s="139">
        <f t="shared" si="1068"/>
        <v>0</v>
      </c>
      <c r="AA533" s="139">
        <f t="shared" si="1068"/>
        <v>1.3546798029556651E-2</v>
      </c>
      <c r="AB533" s="139"/>
      <c r="AC533" s="139">
        <f t="shared" si="1026"/>
        <v>2.3399014778325122E-2</v>
      </c>
      <c r="AD533" s="139">
        <f t="shared" ref="AD533:AI533" si="1069">O533/$I533</f>
        <v>3.6945812807881772E-3</v>
      </c>
      <c r="AE533" s="139">
        <f t="shared" si="1069"/>
        <v>0</v>
      </c>
      <c r="AF533" s="139">
        <f t="shared" si="1069"/>
        <v>0</v>
      </c>
      <c r="AG533" s="139">
        <f t="shared" si="1069"/>
        <v>0</v>
      </c>
      <c r="AH533" s="139">
        <f t="shared" si="1069"/>
        <v>1.1083743842364532E-2</v>
      </c>
      <c r="AI533" s="139">
        <f t="shared" si="1069"/>
        <v>8.6206896551724137E-3</v>
      </c>
    </row>
    <row r="534" spans="2:35">
      <c r="B534" s="138" t="s">
        <v>8077</v>
      </c>
      <c r="C534" s="138" t="s">
        <v>4367</v>
      </c>
      <c r="D534" s="138" t="s">
        <v>15</v>
      </c>
      <c r="E534" s="138" t="s">
        <v>789</v>
      </c>
      <c r="F534" s="138" t="s">
        <v>789</v>
      </c>
      <c r="H534" s="138">
        <v>51</v>
      </c>
      <c r="I534" s="138">
        <v>1012</v>
      </c>
      <c r="J534" s="138">
        <v>674</v>
      </c>
      <c r="K534" s="138">
        <v>291</v>
      </c>
      <c r="N534" s="138">
        <v>13</v>
      </c>
      <c r="O534" s="138">
        <v>3</v>
      </c>
      <c r="S534" s="138">
        <v>21</v>
      </c>
      <c r="T534" s="138">
        <v>10</v>
      </c>
      <c r="U534" s="138">
        <f t="shared" si="1024"/>
        <v>34</v>
      </c>
      <c r="W534" s="139">
        <f t="shared" ref="W534:AA534" si="1070">J534/$I534</f>
        <v>0.66600790513833996</v>
      </c>
      <c r="X534" s="139">
        <f t="shared" si="1070"/>
        <v>0.28754940711462451</v>
      </c>
      <c r="Y534" s="139">
        <f t="shared" si="1070"/>
        <v>0</v>
      </c>
      <c r="Z534" s="139">
        <f t="shared" si="1070"/>
        <v>0</v>
      </c>
      <c r="AA534" s="139">
        <f t="shared" si="1070"/>
        <v>1.2845849802371542E-2</v>
      </c>
      <c r="AB534" s="139"/>
      <c r="AC534" s="139">
        <f t="shared" si="1026"/>
        <v>3.3596837944664032E-2</v>
      </c>
      <c r="AD534" s="139">
        <f t="shared" ref="AD534:AI534" si="1071">O534/$I534</f>
        <v>2.9644268774703555E-3</v>
      </c>
      <c r="AE534" s="139">
        <f t="shared" si="1071"/>
        <v>0</v>
      </c>
      <c r="AF534" s="139">
        <f t="shared" si="1071"/>
        <v>0</v>
      </c>
      <c r="AG534" s="139">
        <f t="shared" si="1071"/>
        <v>0</v>
      </c>
      <c r="AH534" s="139">
        <f t="shared" si="1071"/>
        <v>2.0750988142292492E-2</v>
      </c>
      <c r="AI534" s="139">
        <f t="shared" si="1071"/>
        <v>9.881422924901186E-3</v>
      </c>
    </row>
    <row r="535" spans="2:35">
      <c r="B535" s="138" t="s">
        <v>8077</v>
      </c>
      <c r="C535" s="138" t="s">
        <v>4367</v>
      </c>
      <c r="D535" s="138" t="s">
        <v>15</v>
      </c>
      <c r="E535" s="138" t="s">
        <v>789</v>
      </c>
      <c r="F535" s="138" t="s">
        <v>789</v>
      </c>
      <c r="H535" s="138">
        <v>52</v>
      </c>
      <c r="I535" s="138">
        <v>755</v>
      </c>
      <c r="J535" s="138">
        <v>337</v>
      </c>
      <c r="K535" s="138">
        <v>387</v>
      </c>
      <c r="N535" s="138">
        <v>14</v>
      </c>
      <c r="O535" s="138">
        <v>2</v>
      </c>
      <c r="S535" s="138">
        <v>7</v>
      </c>
      <c r="T535" s="138">
        <v>8</v>
      </c>
      <c r="U535" s="138">
        <f t="shared" si="1024"/>
        <v>17</v>
      </c>
      <c r="W535" s="139">
        <f t="shared" ref="W535:AA535" si="1072">J535/$I535</f>
        <v>0.44635761589403972</v>
      </c>
      <c r="X535" s="139">
        <f t="shared" si="1072"/>
        <v>0.51258278145695368</v>
      </c>
      <c r="Y535" s="139">
        <f t="shared" si="1072"/>
        <v>0</v>
      </c>
      <c r="Z535" s="139">
        <f t="shared" si="1072"/>
        <v>0</v>
      </c>
      <c r="AA535" s="139">
        <f t="shared" si="1072"/>
        <v>1.8543046357615896E-2</v>
      </c>
      <c r="AB535" s="139"/>
      <c r="AC535" s="139">
        <f t="shared" si="1026"/>
        <v>2.2516556291390728E-2</v>
      </c>
      <c r="AD535" s="139">
        <f t="shared" ref="AD535:AI535" si="1073">O535/$I535</f>
        <v>2.6490066225165563E-3</v>
      </c>
      <c r="AE535" s="139">
        <f t="shared" si="1073"/>
        <v>0</v>
      </c>
      <c r="AF535" s="139">
        <f t="shared" si="1073"/>
        <v>0</v>
      </c>
      <c r="AG535" s="139">
        <f t="shared" si="1073"/>
        <v>0</v>
      </c>
      <c r="AH535" s="139">
        <f t="shared" si="1073"/>
        <v>9.2715231788079479E-3</v>
      </c>
      <c r="AI535" s="139">
        <f t="shared" si="1073"/>
        <v>1.0596026490066225E-2</v>
      </c>
    </row>
    <row r="536" spans="2:35">
      <c r="B536" s="138" t="s">
        <v>8077</v>
      </c>
      <c r="C536" s="138" t="s">
        <v>4367</v>
      </c>
      <c r="D536" s="138" t="s">
        <v>15</v>
      </c>
      <c r="E536" s="138" t="s">
        <v>789</v>
      </c>
      <c r="F536" s="138" t="s">
        <v>789</v>
      </c>
      <c r="H536" s="138">
        <v>53</v>
      </c>
      <c r="I536" s="138">
        <v>1035</v>
      </c>
      <c r="J536" s="138">
        <v>641</v>
      </c>
      <c r="K536" s="138">
        <v>348</v>
      </c>
      <c r="N536" s="138">
        <v>13</v>
      </c>
      <c r="O536" s="138">
        <v>4</v>
      </c>
      <c r="S536" s="138">
        <v>19</v>
      </c>
      <c r="T536" s="138">
        <v>10</v>
      </c>
      <c r="U536" s="138">
        <f t="shared" si="1024"/>
        <v>33</v>
      </c>
      <c r="W536" s="139">
        <f t="shared" ref="W536:AA536" si="1074">J536/$I536</f>
        <v>0.61932367149758449</v>
      </c>
      <c r="X536" s="139">
        <f t="shared" si="1074"/>
        <v>0.336231884057971</v>
      </c>
      <c r="Y536" s="139">
        <f t="shared" si="1074"/>
        <v>0</v>
      </c>
      <c r="Z536" s="139">
        <f t="shared" si="1074"/>
        <v>0</v>
      </c>
      <c r="AA536" s="139">
        <f t="shared" si="1074"/>
        <v>1.2560386473429951E-2</v>
      </c>
      <c r="AB536" s="139"/>
      <c r="AC536" s="139">
        <f t="shared" si="1026"/>
        <v>3.1884057971014491E-2</v>
      </c>
      <c r="AD536" s="139">
        <f t="shared" ref="AD536:AI536" si="1075">O536/$I536</f>
        <v>3.8647342995169081E-3</v>
      </c>
      <c r="AE536" s="139">
        <f t="shared" si="1075"/>
        <v>0</v>
      </c>
      <c r="AF536" s="139">
        <f t="shared" si="1075"/>
        <v>0</v>
      </c>
      <c r="AG536" s="139">
        <f t="shared" si="1075"/>
        <v>0</v>
      </c>
      <c r="AH536" s="139">
        <f t="shared" si="1075"/>
        <v>1.8357487922705314E-2</v>
      </c>
      <c r="AI536" s="139">
        <f t="shared" si="1075"/>
        <v>9.6618357487922701E-3</v>
      </c>
    </row>
    <row r="537" spans="2:35">
      <c r="B537" s="138" t="s">
        <v>8077</v>
      </c>
      <c r="C537" s="138" t="s">
        <v>4367</v>
      </c>
      <c r="D537" s="138" t="s">
        <v>15</v>
      </c>
      <c r="E537" s="138" t="s">
        <v>789</v>
      </c>
      <c r="F537" s="138" t="s">
        <v>789</v>
      </c>
      <c r="H537" s="138">
        <v>54</v>
      </c>
      <c r="I537" s="138">
        <v>827</v>
      </c>
      <c r="J537" s="138">
        <v>607</v>
      </c>
      <c r="K537" s="138">
        <v>207</v>
      </c>
      <c r="N537" s="138">
        <v>6</v>
      </c>
      <c r="O537" s="138">
        <v>1</v>
      </c>
      <c r="S537" s="138">
        <v>2</v>
      </c>
      <c r="T537" s="138">
        <v>4</v>
      </c>
      <c r="U537" s="138">
        <f t="shared" si="1024"/>
        <v>7</v>
      </c>
      <c r="W537" s="139">
        <f t="shared" ref="W537:AA537" si="1076">J537/$I537</f>
        <v>0.73397823458282951</v>
      </c>
      <c r="X537" s="139">
        <f t="shared" si="1076"/>
        <v>0.25030229746070132</v>
      </c>
      <c r="Y537" s="139">
        <f t="shared" si="1076"/>
        <v>0</v>
      </c>
      <c r="Z537" s="139">
        <f t="shared" si="1076"/>
        <v>0</v>
      </c>
      <c r="AA537" s="139">
        <f t="shared" si="1076"/>
        <v>7.2551390568319227E-3</v>
      </c>
      <c r="AB537" s="139"/>
      <c r="AC537" s="139">
        <f t="shared" si="1026"/>
        <v>8.4643288996372433E-3</v>
      </c>
      <c r="AD537" s="139">
        <f t="shared" ref="AD537:AI537" si="1077">O537/$I537</f>
        <v>1.2091898428053204E-3</v>
      </c>
      <c r="AE537" s="139">
        <f t="shared" si="1077"/>
        <v>0</v>
      </c>
      <c r="AF537" s="139">
        <f t="shared" si="1077"/>
        <v>0</v>
      </c>
      <c r="AG537" s="139">
        <f t="shared" si="1077"/>
        <v>0</v>
      </c>
      <c r="AH537" s="139">
        <f t="shared" si="1077"/>
        <v>2.4183796856106408E-3</v>
      </c>
      <c r="AI537" s="139">
        <f t="shared" si="1077"/>
        <v>4.8367593712212815E-3</v>
      </c>
    </row>
    <row r="538" spans="2:35">
      <c r="B538" s="138" t="s">
        <v>8077</v>
      </c>
      <c r="C538" s="138" t="s">
        <v>4367</v>
      </c>
      <c r="D538" s="138" t="s">
        <v>15</v>
      </c>
      <c r="E538" s="138" t="s">
        <v>789</v>
      </c>
      <c r="F538" s="138" t="s">
        <v>789</v>
      </c>
      <c r="H538" s="138">
        <v>55</v>
      </c>
      <c r="I538" s="138">
        <v>680</v>
      </c>
      <c r="J538" s="138">
        <v>498</v>
      </c>
      <c r="K538" s="138">
        <v>160</v>
      </c>
      <c r="N538" s="138">
        <v>4</v>
      </c>
      <c r="O538" s="138">
        <v>1</v>
      </c>
      <c r="S538" s="138">
        <v>9</v>
      </c>
      <c r="T538" s="138">
        <v>8</v>
      </c>
      <c r="U538" s="138">
        <f t="shared" si="1024"/>
        <v>18</v>
      </c>
      <c r="W538" s="139">
        <f t="shared" ref="W538:AA538" si="1078">J538/$I538</f>
        <v>0.73235294117647054</v>
      </c>
      <c r="X538" s="139">
        <f t="shared" si="1078"/>
        <v>0.23529411764705882</v>
      </c>
      <c r="Y538" s="139">
        <f t="shared" si="1078"/>
        <v>0</v>
      </c>
      <c r="Z538" s="139">
        <f t="shared" si="1078"/>
        <v>0</v>
      </c>
      <c r="AA538" s="139">
        <f t="shared" si="1078"/>
        <v>5.8823529411764705E-3</v>
      </c>
      <c r="AB538" s="139"/>
      <c r="AC538" s="139">
        <f t="shared" si="1026"/>
        <v>2.6470588235294117E-2</v>
      </c>
      <c r="AD538" s="139">
        <f t="shared" ref="AD538:AI538" si="1079">O538/$I538</f>
        <v>1.4705882352941176E-3</v>
      </c>
      <c r="AE538" s="139">
        <f t="shared" si="1079"/>
        <v>0</v>
      </c>
      <c r="AF538" s="139">
        <f t="shared" si="1079"/>
        <v>0</v>
      </c>
      <c r="AG538" s="139">
        <f t="shared" si="1079"/>
        <v>0</v>
      </c>
      <c r="AH538" s="139">
        <f t="shared" si="1079"/>
        <v>1.3235294117647059E-2</v>
      </c>
      <c r="AI538" s="139">
        <f t="shared" si="1079"/>
        <v>1.1764705882352941E-2</v>
      </c>
    </row>
    <row r="539" spans="2:35">
      <c r="B539" s="138" t="s">
        <v>8077</v>
      </c>
      <c r="C539" s="138" t="s">
        <v>4367</v>
      </c>
      <c r="D539" s="138" t="s">
        <v>15</v>
      </c>
      <c r="E539" s="138" t="s">
        <v>789</v>
      </c>
      <c r="F539" s="138" t="s">
        <v>789</v>
      </c>
      <c r="H539" s="138">
        <v>56</v>
      </c>
      <c r="I539" s="138">
        <v>419</v>
      </c>
      <c r="J539" s="138">
        <v>288</v>
      </c>
      <c r="K539" s="138">
        <v>118</v>
      </c>
      <c r="N539" s="138">
        <v>8</v>
      </c>
      <c r="O539" s="138">
        <v>1</v>
      </c>
      <c r="S539" s="138">
        <v>2</v>
      </c>
      <c r="T539" s="138">
        <v>2</v>
      </c>
      <c r="U539" s="138">
        <f t="shared" si="1024"/>
        <v>5</v>
      </c>
      <c r="W539" s="139">
        <f t="shared" ref="W539:AA539" si="1080">J539/$I539</f>
        <v>0.68735083532219565</v>
      </c>
      <c r="X539" s="139">
        <f t="shared" si="1080"/>
        <v>0.28162291169451076</v>
      </c>
      <c r="Y539" s="139">
        <f t="shared" si="1080"/>
        <v>0</v>
      </c>
      <c r="Z539" s="139">
        <f t="shared" si="1080"/>
        <v>0</v>
      </c>
      <c r="AA539" s="139">
        <f t="shared" si="1080"/>
        <v>1.9093078758949882E-2</v>
      </c>
      <c r="AB539" s="139"/>
      <c r="AC539" s="139">
        <f t="shared" si="1026"/>
        <v>1.1933174224343675E-2</v>
      </c>
      <c r="AD539" s="139">
        <f t="shared" ref="AD539:AI539" si="1081">O539/$I539</f>
        <v>2.3866348448687352E-3</v>
      </c>
      <c r="AE539" s="139">
        <f t="shared" si="1081"/>
        <v>0</v>
      </c>
      <c r="AF539" s="139">
        <f t="shared" si="1081"/>
        <v>0</v>
      </c>
      <c r="AG539" s="139">
        <f t="shared" si="1081"/>
        <v>0</v>
      </c>
      <c r="AH539" s="139">
        <f t="shared" si="1081"/>
        <v>4.7732696897374704E-3</v>
      </c>
      <c r="AI539" s="139">
        <f t="shared" si="1081"/>
        <v>4.7732696897374704E-3</v>
      </c>
    </row>
    <row r="540" spans="2:35">
      <c r="B540" s="138" t="s">
        <v>8077</v>
      </c>
      <c r="C540" s="138" t="s">
        <v>4367</v>
      </c>
      <c r="D540" s="138" t="s">
        <v>15</v>
      </c>
      <c r="E540" s="138" t="s">
        <v>789</v>
      </c>
      <c r="F540" s="138" t="s">
        <v>789</v>
      </c>
      <c r="H540" s="138">
        <v>57</v>
      </c>
      <c r="I540" s="138">
        <v>1095</v>
      </c>
      <c r="J540" s="138">
        <v>853</v>
      </c>
      <c r="K540" s="138">
        <v>202</v>
      </c>
      <c r="N540" s="138">
        <v>13</v>
      </c>
      <c r="O540" s="138">
        <v>1</v>
      </c>
      <c r="S540" s="138">
        <v>15</v>
      </c>
      <c r="T540" s="138">
        <v>11</v>
      </c>
      <c r="U540" s="138">
        <f t="shared" si="1024"/>
        <v>27</v>
      </c>
      <c r="W540" s="139">
        <f t="shared" ref="W540:AA540" si="1082">J540/$I540</f>
        <v>0.77899543378995428</v>
      </c>
      <c r="X540" s="139">
        <f t="shared" si="1082"/>
        <v>0.18447488584474886</v>
      </c>
      <c r="Y540" s="139">
        <f t="shared" si="1082"/>
        <v>0</v>
      </c>
      <c r="Z540" s="139">
        <f t="shared" si="1082"/>
        <v>0</v>
      </c>
      <c r="AA540" s="139">
        <f t="shared" si="1082"/>
        <v>1.1872146118721462E-2</v>
      </c>
      <c r="AB540" s="139"/>
      <c r="AC540" s="139">
        <f t="shared" si="1026"/>
        <v>2.4657534246575342E-2</v>
      </c>
      <c r="AD540" s="139">
        <f t="shared" ref="AD540:AI540" si="1083">O540/$I540</f>
        <v>9.1324200913242006E-4</v>
      </c>
      <c r="AE540" s="139">
        <f t="shared" si="1083"/>
        <v>0</v>
      </c>
      <c r="AF540" s="139">
        <f t="shared" si="1083"/>
        <v>0</v>
      </c>
      <c r="AG540" s="139">
        <f t="shared" si="1083"/>
        <v>0</v>
      </c>
      <c r="AH540" s="139">
        <f t="shared" si="1083"/>
        <v>1.3698630136986301E-2</v>
      </c>
      <c r="AI540" s="139">
        <f t="shared" si="1083"/>
        <v>1.0045662100456621E-2</v>
      </c>
    </row>
    <row r="541" spans="2:35">
      <c r="B541" s="138" t="s">
        <v>8077</v>
      </c>
      <c r="C541" s="138" t="s">
        <v>4367</v>
      </c>
      <c r="D541" s="138" t="s">
        <v>15</v>
      </c>
      <c r="E541" s="138" t="s">
        <v>789</v>
      </c>
      <c r="F541" s="138" t="s">
        <v>789</v>
      </c>
      <c r="H541" s="138">
        <v>58</v>
      </c>
      <c r="I541" s="138">
        <v>913</v>
      </c>
      <c r="J541" s="138">
        <v>703</v>
      </c>
      <c r="K541" s="138">
        <v>173</v>
      </c>
      <c r="N541" s="138">
        <v>14</v>
      </c>
      <c r="O541" s="138">
        <v>0</v>
      </c>
      <c r="S541" s="138">
        <v>17</v>
      </c>
      <c r="T541" s="138">
        <v>6</v>
      </c>
      <c r="U541" s="138">
        <f t="shared" si="1024"/>
        <v>23</v>
      </c>
      <c r="W541" s="139">
        <f t="shared" ref="W541:AA541" si="1084">J541/$I541</f>
        <v>0.76998904709748084</v>
      </c>
      <c r="X541" s="139">
        <f t="shared" si="1084"/>
        <v>0.18948521358159912</v>
      </c>
      <c r="Y541" s="139">
        <f t="shared" si="1084"/>
        <v>0</v>
      </c>
      <c r="Z541" s="139">
        <f t="shared" si="1084"/>
        <v>0</v>
      </c>
      <c r="AA541" s="139">
        <f t="shared" si="1084"/>
        <v>1.5334063526834611E-2</v>
      </c>
      <c r="AB541" s="139"/>
      <c r="AC541" s="139">
        <f t="shared" si="1026"/>
        <v>2.5191675794085433E-2</v>
      </c>
      <c r="AD541" s="139">
        <f t="shared" ref="AD541:AI541" si="1085">O541/$I541</f>
        <v>0</v>
      </c>
      <c r="AE541" s="139">
        <f t="shared" si="1085"/>
        <v>0</v>
      </c>
      <c r="AF541" s="139">
        <f t="shared" si="1085"/>
        <v>0</v>
      </c>
      <c r="AG541" s="139">
        <f t="shared" si="1085"/>
        <v>0</v>
      </c>
      <c r="AH541" s="139">
        <f t="shared" si="1085"/>
        <v>1.8619934282584884E-2</v>
      </c>
      <c r="AI541" s="139">
        <f t="shared" si="1085"/>
        <v>6.5717415115005475E-3</v>
      </c>
    </row>
    <row r="542" spans="2:35">
      <c r="B542" s="138" t="s">
        <v>8077</v>
      </c>
      <c r="C542" s="138" t="s">
        <v>4367</v>
      </c>
      <c r="D542" s="138" t="s">
        <v>15</v>
      </c>
      <c r="E542" s="138" t="s">
        <v>789</v>
      </c>
      <c r="F542" s="138" t="s">
        <v>789</v>
      </c>
      <c r="H542" s="138">
        <v>59</v>
      </c>
      <c r="I542" s="138">
        <v>1070</v>
      </c>
      <c r="J542" s="138">
        <v>735</v>
      </c>
      <c r="K542" s="138">
        <v>276</v>
      </c>
      <c r="N542" s="138">
        <v>18</v>
      </c>
      <c r="O542" s="138">
        <v>3</v>
      </c>
      <c r="S542" s="138">
        <v>31</v>
      </c>
      <c r="T542" s="138">
        <v>7</v>
      </c>
      <c r="U542" s="138">
        <f t="shared" si="1024"/>
        <v>41</v>
      </c>
      <c r="W542" s="139">
        <f t="shared" ref="W542:AA542" si="1086">J542/$I542</f>
        <v>0.68691588785046731</v>
      </c>
      <c r="X542" s="139">
        <f t="shared" si="1086"/>
        <v>0.25794392523364484</v>
      </c>
      <c r="Y542" s="139">
        <f t="shared" si="1086"/>
        <v>0</v>
      </c>
      <c r="Z542" s="139">
        <f t="shared" si="1086"/>
        <v>0</v>
      </c>
      <c r="AA542" s="139">
        <f t="shared" si="1086"/>
        <v>1.6822429906542057E-2</v>
      </c>
      <c r="AB542" s="139"/>
      <c r="AC542" s="139">
        <f t="shared" si="1026"/>
        <v>3.8317757009345796E-2</v>
      </c>
      <c r="AD542" s="139">
        <f t="shared" ref="AD542:AI542" si="1087">O542/$I542</f>
        <v>2.8037383177570091E-3</v>
      </c>
      <c r="AE542" s="139">
        <f t="shared" si="1087"/>
        <v>0</v>
      </c>
      <c r="AF542" s="139">
        <f t="shared" si="1087"/>
        <v>0</v>
      </c>
      <c r="AG542" s="139">
        <f t="shared" si="1087"/>
        <v>0</v>
      </c>
      <c r="AH542" s="139">
        <f t="shared" si="1087"/>
        <v>2.897196261682243E-2</v>
      </c>
      <c r="AI542" s="139">
        <f t="shared" si="1087"/>
        <v>6.5420560747663555E-3</v>
      </c>
    </row>
    <row r="543" spans="2:35">
      <c r="B543" s="138" t="s">
        <v>8077</v>
      </c>
      <c r="C543" s="138" t="s">
        <v>4367</v>
      </c>
      <c r="D543" s="138" t="s">
        <v>15</v>
      </c>
      <c r="E543" s="138" t="s">
        <v>789</v>
      </c>
      <c r="F543" s="138" t="s">
        <v>789</v>
      </c>
      <c r="H543" s="138">
        <v>60</v>
      </c>
      <c r="I543" s="138">
        <v>1060</v>
      </c>
      <c r="J543" s="138">
        <v>807</v>
      </c>
      <c r="K543" s="138">
        <v>203</v>
      </c>
      <c r="N543" s="138">
        <v>13</v>
      </c>
      <c r="O543" s="138">
        <v>6</v>
      </c>
      <c r="S543" s="138">
        <v>18</v>
      </c>
      <c r="T543" s="138">
        <v>13</v>
      </c>
      <c r="U543" s="138">
        <f t="shared" si="1024"/>
        <v>37</v>
      </c>
      <c r="W543" s="139">
        <f t="shared" ref="W543:AA543" si="1088">J543/$I543</f>
        <v>0.76132075471698113</v>
      </c>
      <c r="X543" s="139">
        <f t="shared" si="1088"/>
        <v>0.19150943396226416</v>
      </c>
      <c r="Y543" s="139">
        <f t="shared" si="1088"/>
        <v>0</v>
      </c>
      <c r="Z543" s="139">
        <f t="shared" si="1088"/>
        <v>0</v>
      </c>
      <c r="AA543" s="139">
        <f t="shared" si="1088"/>
        <v>1.2264150943396227E-2</v>
      </c>
      <c r="AB543" s="139"/>
      <c r="AC543" s="139">
        <f t="shared" si="1026"/>
        <v>3.490566037735849E-2</v>
      </c>
      <c r="AD543" s="139">
        <f t="shared" ref="AD543:AI543" si="1089">O543/$I543</f>
        <v>5.6603773584905656E-3</v>
      </c>
      <c r="AE543" s="139">
        <f t="shared" si="1089"/>
        <v>0</v>
      </c>
      <c r="AF543" s="139">
        <f t="shared" si="1089"/>
        <v>0</v>
      </c>
      <c r="AG543" s="139">
        <f t="shared" si="1089"/>
        <v>0</v>
      </c>
      <c r="AH543" s="139">
        <f t="shared" si="1089"/>
        <v>1.6981132075471698E-2</v>
      </c>
      <c r="AI543" s="139">
        <f t="shared" si="1089"/>
        <v>1.2264150943396227E-2</v>
      </c>
    </row>
    <row r="544" spans="2:35">
      <c r="B544" s="138" t="s">
        <v>8077</v>
      </c>
      <c r="C544" s="138" t="s">
        <v>4367</v>
      </c>
      <c r="D544" s="138" t="s">
        <v>15</v>
      </c>
      <c r="E544" s="138" t="s">
        <v>789</v>
      </c>
      <c r="F544" s="138" t="s">
        <v>789</v>
      </c>
      <c r="H544" s="138">
        <v>61</v>
      </c>
      <c r="I544" s="138">
        <v>1103</v>
      </c>
      <c r="J544" s="138">
        <v>824</v>
      </c>
      <c r="K544" s="138">
        <v>223</v>
      </c>
      <c r="N544" s="138">
        <v>11</v>
      </c>
      <c r="O544" s="138">
        <v>6</v>
      </c>
      <c r="S544" s="138">
        <v>24</v>
      </c>
      <c r="T544" s="138">
        <v>15</v>
      </c>
      <c r="U544" s="138">
        <f t="shared" si="1024"/>
        <v>45</v>
      </c>
      <c r="W544" s="139">
        <f t="shared" ref="W544:AA544" si="1090">J544/$I544</f>
        <v>0.74705349048050773</v>
      </c>
      <c r="X544" s="139">
        <f t="shared" si="1090"/>
        <v>0.20217588395285585</v>
      </c>
      <c r="Y544" s="139">
        <f t="shared" si="1090"/>
        <v>0</v>
      </c>
      <c r="Z544" s="139">
        <f t="shared" si="1090"/>
        <v>0</v>
      </c>
      <c r="AA544" s="139">
        <f t="shared" si="1090"/>
        <v>9.9728014505893019E-3</v>
      </c>
      <c r="AB544" s="139"/>
      <c r="AC544" s="139">
        <f t="shared" si="1026"/>
        <v>4.0797824116047147E-2</v>
      </c>
      <c r="AD544" s="139">
        <f t="shared" ref="AD544:AI544" si="1091">O544/$I544</f>
        <v>5.4397098821396192E-3</v>
      </c>
      <c r="AE544" s="139">
        <f t="shared" si="1091"/>
        <v>0</v>
      </c>
      <c r="AF544" s="139">
        <f t="shared" si="1091"/>
        <v>0</v>
      </c>
      <c r="AG544" s="139">
        <f t="shared" si="1091"/>
        <v>0</v>
      </c>
      <c r="AH544" s="139">
        <f t="shared" si="1091"/>
        <v>2.1758839528558477E-2</v>
      </c>
      <c r="AI544" s="139">
        <f t="shared" si="1091"/>
        <v>1.3599274705349048E-2</v>
      </c>
    </row>
    <row r="545" spans="2:35">
      <c r="B545" s="138" t="s">
        <v>8077</v>
      </c>
      <c r="C545" s="138" t="s">
        <v>4367</v>
      </c>
      <c r="D545" s="138" t="s">
        <v>15</v>
      </c>
      <c r="E545" s="138" t="s">
        <v>789</v>
      </c>
      <c r="F545" s="138" t="s">
        <v>789</v>
      </c>
      <c r="H545" s="138">
        <v>62</v>
      </c>
      <c r="I545" s="138">
        <v>734</v>
      </c>
      <c r="J545" s="138">
        <v>492</v>
      </c>
      <c r="K545" s="138">
        <v>209</v>
      </c>
      <c r="N545" s="138">
        <v>5</v>
      </c>
      <c r="O545" s="138">
        <v>0</v>
      </c>
      <c r="S545" s="138">
        <v>14</v>
      </c>
      <c r="T545" s="138">
        <v>14</v>
      </c>
      <c r="U545" s="138">
        <f t="shared" si="1024"/>
        <v>28</v>
      </c>
      <c r="W545" s="139">
        <f t="shared" ref="W545:AA545" si="1092">J545/$I545</f>
        <v>0.67029972752043598</v>
      </c>
      <c r="X545" s="139">
        <f t="shared" si="1092"/>
        <v>0.28474114441416892</v>
      </c>
      <c r="Y545" s="139">
        <f t="shared" si="1092"/>
        <v>0</v>
      </c>
      <c r="Z545" s="139">
        <f t="shared" si="1092"/>
        <v>0</v>
      </c>
      <c r="AA545" s="139">
        <f t="shared" si="1092"/>
        <v>6.8119891008174387E-3</v>
      </c>
      <c r="AB545" s="139"/>
      <c r="AC545" s="139">
        <f t="shared" si="1026"/>
        <v>3.8147138964577658E-2</v>
      </c>
      <c r="AD545" s="139">
        <f t="shared" ref="AD545:AI545" si="1093">O545/$I545</f>
        <v>0</v>
      </c>
      <c r="AE545" s="139">
        <f t="shared" si="1093"/>
        <v>0</v>
      </c>
      <c r="AF545" s="139">
        <f t="shared" si="1093"/>
        <v>0</v>
      </c>
      <c r="AG545" s="139">
        <f t="shared" si="1093"/>
        <v>0</v>
      </c>
      <c r="AH545" s="139">
        <f t="shared" si="1093"/>
        <v>1.9073569482288829E-2</v>
      </c>
      <c r="AI545" s="139">
        <f t="shared" si="1093"/>
        <v>1.9073569482288829E-2</v>
      </c>
    </row>
    <row r="546" spans="2:35">
      <c r="B546" s="138" t="s">
        <v>8077</v>
      </c>
      <c r="C546" s="138" t="s">
        <v>4367</v>
      </c>
      <c r="D546" s="138" t="s">
        <v>15</v>
      </c>
      <c r="E546" s="138" t="s">
        <v>789</v>
      </c>
      <c r="F546" s="138" t="s">
        <v>789</v>
      </c>
      <c r="H546" s="138" t="s">
        <v>8131</v>
      </c>
      <c r="I546" s="138">
        <v>418</v>
      </c>
      <c r="J546" s="138">
        <v>277</v>
      </c>
      <c r="K546" s="138">
        <v>135</v>
      </c>
      <c r="N546" s="138">
        <v>3</v>
      </c>
      <c r="O546" s="138">
        <v>1</v>
      </c>
      <c r="S546" s="138">
        <v>1</v>
      </c>
      <c r="T546" s="138">
        <v>1</v>
      </c>
      <c r="U546" s="138">
        <f t="shared" si="1024"/>
        <v>3</v>
      </c>
      <c r="W546" s="139">
        <f t="shared" ref="W546:AA546" si="1094">J546/$I546</f>
        <v>0.66267942583732053</v>
      </c>
      <c r="X546" s="139">
        <f t="shared" si="1094"/>
        <v>0.32296650717703351</v>
      </c>
      <c r="Y546" s="139">
        <f t="shared" si="1094"/>
        <v>0</v>
      </c>
      <c r="Z546" s="139">
        <f t="shared" si="1094"/>
        <v>0</v>
      </c>
      <c r="AA546" s="139">
        <f t="shared" si="1094"/>
        <v>7.1770334928229667E-3</v>
      </c>
      <c r="AB546" s="139"/>
      <c r="AC546" s="139">
        <f t="shared" si="1026"/>
        <v>7.1770334928229667E-3</v>
      </c>
      <c r="AD546" s="139">
        <f t="shared" ref="AD546:AI546" si="1095">O546/$I546</f>
        <v>2.3923444976076554E-3</v>
      </c>
      <c r="AE546" s="139">
        <f t="shared" si="1095"/>
        <v>0</v>
      </c>
      <c r="AF546" s="139">
        <f t="shared" si="1095"/>
        <v>0</v>
      </c>
      <c r="AG546" s="139">
        <f t="shared" si="1095"/>
        <v>0</v>
      </c>
      <c r="AH546" s="139">
        <f t="shared" si="1095"/>
        <v>2.3923444976076554E-3</v>
      </c>
      <c r="AI546" s="139">
        <f t="shared" si="1095"/>
        <v>2.3923444976076554E-3</v>
      </c>
    </row>
    <row r="547" spans="2:35">
      <c r="B547" s="138" t="s">
        <v>8077</v>
      </c>
      <c r="C547" s="138" t="s">
        <v>4367</v>
      </c>
      <c r="D547" s="138" t="s">
        <v>15</v>
      </c>
      <c r="E547" s="138" t="s">
        <v>789</v>
      </c>
      <c r="F547" s="138" t="s">
        <v>789</v>
      </c>
      <c r="H547" s="138">
        <v>63</v>
      </c>
      <c r="I547" s="138">
        <v>1212</v>
      </c>
      <c r="J547" s="138">
        <v>832</v>
      </c>
      <c r="K547" s="138">
        <v>346</v>
      </c>
      <c r="N547" s="138">
        <v>7</v>
      </c>
      <c r="O547" s="138">
        <v>5</v>
      </c>
      <c r="S547" s="138">
        <v>17</v>
      </c>
      <c r="T547" s="138">
        <v>5</v>
      </c>
      <c r="U547" s="138">
        <f t="shared" si="1024"/>
        <v>27</v>
      </c>
      <c r="W547" s="139">
        <f t="shared" ref="W547:AA547" si="1096">J547/$I547</f>
        <v>0.68646864686468645</v>
      </c>
      <c r="X547" s="139">
        <f t="shared" si="1096"/>
        <v>0.28547854785478549</v>
      </c>
      <c r="Y547" s="139">
        <f t="shared" si="1096"/>
        <v>0</v>
      </c>
      <c r="Z547" s="139">
        <f t="shared" si="1096"/>
        <v>0</v>
      </c>
      <c r="AA547" s="139">
        <f t="shared" si="1096"/>
        <v>5.7755775577557752E-3</v>
      </c>
      <c r="AB547" s="139"/>
      <c r="AC547" s="139">
        <f t="shared" si="1026"/>
        <v>2.2277227722772276E-2</v>
      </c>
      <c r="AD547" s="139">
        <f t="shared" ref="AD547:AI547" si="1097">O547/$I547</f>
        <v>4.125412541254125E-3</v>
      </c>
      <c r="AE547" s="139">
        <f t="shared" si="1097"/>
        <v>0</v>
      </c>
      <c r="AF547" s="139">
        <f t="shared" si="1097"/>
        <v>0</v>
      </c>
      <c r="AG547" s="139">
        <f t="shared" si="1097"/>
        <v>0</v>
      </c>
      <c r="AH547" s="139">
        <f t="shared" si="1097"/>
        <v>1.4026402640264026E-2</v>
      </c>
      <c r="AI547" s="139">
        <f t="shared" si="1097"/>
        <v>4.125412541254125E-3</v>
      </c>
    </row>
    <row r="548" spans="2:35">
      <c r="B548" s="138" t="s">
        <v>8077</v>
      </c>
      <c r="C548" s="138" t="s">
        <v>4367</v>
      </c>
      <c r="D548" s="138" t="s">
        <v>15</v>
      </c>
      <c r="E548" s="138" t="s">
        <v>789</v>
      </c>
      <c r="F548" s="138" t="s">
        <v>789</v>
      </c>
      <c r="H548" s="138">
        <v>64</v>
      </c>
      <c r="I548" s="138">
        <v>1153</v>
      </c>
      <c r="J548" s="138">
        <v>608</v>
      </c>
      <c r="K548" s="138">
        <v>491</v>
      </c>
      <c r="N548" s="138">
        <v>22</v>
      </c>
      <c r="O548" s="138">
        <v>3</v>
      </c>
      <c r="S548" s="138">
        <v>19</v>
      </c>
      <c r="T548" s="138">
        <v>10</v>
      </c>
      <c r="U548" s="138">
        <f t="shared" si="1024"/>
        <v>32</v>
      </c>
      <c r="W548" s="139">
        <f t="shared" ref="W548:AA548" si="1098">J548/$I548</f>
        <v>0.52732003469210753</v>
      </c>
      <c r="X548" s="139">
        <f t="shared" si="1098"/>
        <v>0.42584562012142235</v>
      </c>
      <c r="Y548" s="139">
        <f t="shared" si="1098"/>
        <v>0</v>
      </c>
      <c r="Z548" s="139">
        <f t="shared" si="1098"/>
        <v>0</v>
      </c>
      <c r="AA548" s="139">
        <f t="shared" si="1098"/>
        <v>1.9080659150043366E-2</v>
      </c>
      <c r="AB548" s="139"/>
      <c r="AC548" s="139">
        <f t="shared" si="1026"/>
        <v>2.7753686036426712E-2</v>
      </c>
      <c r="AD548" s="139">
        <f t="shared" ref="AD548:AI548" si="1099">O548/$I548</f>
        <v>2.6019080659150044E-3</v>
      </c>
      <c r="AE548" s="139">
        <f t="shared" si="1099"/>
        <v>0</v>
      </c>
      <c r="AF548" s="139">
        <f t="shared" si="1099"/>
        <v>0</v>
      </c>
      <c r="AG548" s="139">
        <f t="shared" si="1099"/>
        <v>0</v>
      </c>
      <c r="AH548" s="139">
        <f t="shared" si="1099"/>
        <v>1.647875108412836E-2</v>
      </c>
      <c r="AI548" s="139">
        <f t="shared" si="1099"/>
        <v>8.6730268863833473E-3</v>
      </c>
    </row>
    <row r="549" spans="2:35">
      <c r="B549" s="138" t="s">
        <v>8077</v>
      </c>
      <c r="C549" s="138" t="s">
        <v>4367</v>
      </c>
      <c r="D549" s="138" t="s">
        <v>15</v>
      </c>
      <c r="E549" s="138" t="s">
        <v>789</v>
      </c>
      <c r="F549" s="138" t="s">
        <v>789</v>
      </c>
      <c r="H549" s="138">
        <v>65</v>
      </c>
      <c r="I549" s="138">
        <v>1028</v>
      </c>
      <c r="J549" s="138">
        <v>722</v>
      </c>
      <c r="K549" s="138">
        <v>265</v>
      </c>
      <c r="N549" s="138">
        <v>11</v>
      </c>
      <c r="O549" s="138">
        <v>5</v>
      </c>
      <c r="S549" s="138">
        <v>11</v>
      </c>
      <c r="T549" s="138">
        <v>14</v>
      </c>
      <c r="U549" s="138">
        <f t="shared" si="1024"/>
        <v>30</v>
      </c>
      <c r="W549" s="139">
        <f t="shared" ref="W549:AA549" si="1100">J549/$I549</f>
        <v>0.7023346303501945</v>
      </c>
      <c r="X549" s="139">
        <f t="shared" si="1100"/>
        <v>0.25778210116731515</v>
      </c>
      <c r="Y549" s="139">
        <f t="shared" si="1100"/>
        <v>0</v>
      </c>
      <c r="Z549" s="139">
        <f t="shared" si="1100"/>
        <v>0</v>
      </c>
      <c r="AA549" s="139">
        <f t="shared" si="1100"/>
        <v>1.0700389105058366E-2</v>
      </c>
      <c r="AB549" s="139"/>
      <c r="AC549" s="139">
        <f t="shared" si="1026"/>
        <v>2.9182879377431907E-2</v>
      </c>
      <c r="AD549" s="139">
        <f t="shared" ref="AD549:AI549" si="1101">O549/$I549</f>
        <v>4.8638132295719845E-3</v>
      </c>
      <c r="AE549" s="139">
        <f t="shared" si="1101"/>
        <v>0</v>
      </c>
      <c r="AF549" s="139">
        <f t="shared" si="1101"/>
        <v>0</v>
      </c>
      <c r="AG549" s="139">
        <f t="shared" si="1101"/>
        <v>0</v>
      </c>
      <c r="AH549" s="139">
        <f t="shared" si="1101"/>
        <v>1.0700389105058366E-2</v>
      </c>
      <c r="AI549" s="139">
        <f t="shared" si="1101"/>
        <v>1.3618677042801557E-2</v>
      </c>
    </row>
    <row r="550" spans="2:35">
      <c r="B550" s="138" t="s">
        <v>8077</v>
      </c>
      <c r="C550" s="138" t="s">
        <v>4367</v>
      </c>
      <c r="D550" s="138" t="s">
        <v>15</v>
      </c>
      <c r="E550" s="138" t="s">
        <v>789</v>
      </c>
      <c r="F550" s="138" t="s">
        <v>789</v>
      </c>
      <c r="H550" s="138">
        <v>66</v>
      </c>
      <c r="I550" s="138">
        <v>950</v>
      </c>
      <c r="J550" s="138">
        <v>643</v>
      </c>
      <c r="K550" s="138">
        <v>270</v>
      </c>
      <c r="N550" s="138">
        <v>8</v>
      </c>
      <c r="O550" s="138">
        <v>3</v>
      </c>
      <c r="S550" s="138">
        <v>18</v>
      </c>
      <c r="T550" s="138">
        <v>8</v>
      </c>
      <c r="U550" s="138">
        <f t="shared" si="1024"/>
        <v>29</v>
      </c>
      <c r="W550" s="139">
        <f t="shared" ref="W550:AA550" si="1102">J550/$I550</f>
        <v>0.67684210526315791</v>
      </c>
      <c r="X550" s="139">
        <f t="shared" si="1102"/>
        <v>0.28421052631578947</v>
      </c>
      <c r="Y550" s="139">
        <f t="shared" si="1102"/>
        <v>0</v>
      </c>
      <c r="Z550" s="139">
        <f t="shared" si="1102"/>
        <v>0</v>
      </c>
      <c r="AA550" s="139">
        <f t="shared" si="1102"/>
        <v>8.4210526315789472E-3</v>
      </c>
      <c r="AB550" s="139"/>
      <c r="AC550" s="139">
        <f t="shared" si="1026"/>
        <v>3.0526315789473683E-2</v>
      </c>
      <c r="AD550" s="139">
        <f t="shared" ref="AD550:AI550" si="1103">O550/$I550</f>
        <v>3.1578947368421052E-3</v>
      </c>
      <c r="AE550" s="139">
        <f t="shared" si="1103"/>
        <v>0</v>
      </c>
      <c r="AF550" s="139">
        <f t="shared" si="1103"/>
        <v>0</v>
      </c>
      <c r="AG550" s="139">
        <f t="shared" si="1103"/>
        <v>0</v>
      </c>
      <c r="AH550" s="139">
        <f t="shared" si="1103"/>
        <v>1.8947368421052633E-2</v>
      </c>
      <c r="AI550" s="139">
        <f t="shared" si="1103"/>
        <v>8.4210526315789472E-3</v>
      </c>
    </row>
    <row r="551" spans="2:35">
      <c r="B551" s="138" t="s">
        <v>8077</v>
      </c>
      <c r="C551" s="138" t="s">
        <v>4367</v>
      </c>
      <c r="D551" s="138" t="s">
        <v>15</v>
      </c>
      <c r="E551" s="138" t="s">
        <v>789</v>
      </c>
      <c r="F551" s="138" t="s">
        <v>789</v>
      </c>
      <c r="H551" s="138">
        <v>67</v>
      </c>
      <c r="I551" s="138">
        <v>862</v>
      </c>
      <c r="J551" s="138">
        <v>556</v>
      </c>
      <c r="K551" s="138">
        <v>257</v>
      </c>
      <c r="N551" s="138">
        <v>22</v>
      </c>
      <c r="O551" s="138">
        <v>4</v>
      </c>
      <c r="S551" s="138">
        <v>15</v>
      </c>
      <c r="T551" s="138">
        <v>8</v>
      </c>
      <c r="U551" s="138">
        <f t="shared" si="1024"/>
        <v>27</v>
      </c>
      <c r="W551" s="139">
        <f t="shared" ref="W551:AA551" si="1104">J551/$I551</f>
        <v>0.64501160092807419</v>
      </c>
      <c r="X551" s="139">
        <f t="shared" si="1104"/>
        <v>0.29814385150812067</v>
      </c>
      <c r="Y551" s="139">
        <f t="shared" si="1104"/>
        <v>0</v>
      </c>
      <c r="Z551" s="139">
        <f t="shared" si="1104"/>
        <v>0</v>
      </c>
      <c r="AA551" s="139">
        <f t="shared" si="1104"/>
        <v>2.5522041763341066E-2</v>
      </c>
      <c r="AB551" s="139"/>
      <c r="AC551" s="139">
        <f t="shared" si="1026"/>
        <v>3.1322505800464036E-2</v>
      </c>
      <c r="AD551" s="139">
        <f t="shared" ref="AD551:AI551" si="1105">O551/$I551</f>
        <v>4.6403712296983757E-3</v>
      </c>
      <c r="AE551" s="139">
        <f t="shared" si="1105"/>
        <v>0</v>
      </c>
      <c r="AF551" s="139">
        <f t="shared" si="1105"/>
        <v>0</v>
      </c>
      <c r="AG551" s="139">
        <f t="shared" si="1105"/>
        <v>0</v>
      </c>
      <c r="AH551" s="139">
        <f t="shared" si="1105"/>
        <v>1.7401392111368909E-2</v>
      </c>
      <c r="AI551" s="139">
        <f t="shared" si="1105"/>
        <v>9.2807424593967514E-3</v>
      </c>
    </row>
    <row r="552" spans="2:35">
      <c r="B552" s="138" t="s">
        <v>8077</v>
      </c>
      <c r="C552" s="138" t="s">
        <v>4367</v>
      </c>
      <c r="D552" s="138" t="s">
        <v>15</v>
      </c>
      <c r="E552" s="138" t="s">
        <v>789</v>
      </c>
      <c r="F552" s="138" t="s">
        <v>789</v>
      </c>
      <c r="H552" s="138">
        <v>68</v>
      </c>
      <c r="I552" s="138">
        <v>998</v>
      </c>
      <c r="J552" s="138">
        <v>656</v>
      </c>
      <c r="K552" s="138">
        <v>295</v>
      </c>
      <c r="N552" s="138">
        <v>11</v>
      </c>
      <c r="O552" s="138">
        <v>1</v>
      </c>
      <c r="S552" s="138">
        <v>21</v>
      </c>
      <c r="T552" s="138">
        <v>14</v>
      </c>
      <c r="U552" s="138">
        <f t="shared" si="1024"/>
        <v>36</v>
      </c>
      <c r="W552" s="139">
        <f t="shared" ref="W552:AA552" si="1106">J552/$I552</f>
        <v>0.65731462925851702</v>
      </c>
      <c r="X552" s="139">
        <f t="shared" si="1106"/>
        <v>0.29559118236472948</v>
      </c>
      <c r="Y552" s="139">
        <f t="shared" si="1106"/>
        <v>0</v>
      </c>
      <c r="Z552" s="139">
        <f t="shared" si="1106"/>
        <v>0</v>
      </c>
      <c r="AA552" s="139">
        <f t="shared" si="1106"/>
        <v>1.1022044088176353E-2</v>
      </c>
      <c r="AB552" s="139"/>
      <c r="AC552" s="139">
        <f t="shared" si="1026"/>
        <v>3.6072144288577156E-2</v>
      </c>
      <c r="AD552" s="139">
        <f t="shared" ref="AD552:AI552" si="1107">O552/$I552</f>
        <v>1.002004008016032E-3</v>
      </c>
      <c r="AE552" s="139">
        <f t="shared" si="1107"/>
        <v>0</v>
      </c>
      <c r="AF552" s="139">
        <f t="shared" si="1107"/>
        <v>0</v>
      </c>
      <c r="AG552" s="139">
        <f t="shared" si="1107"/>
        <v>0</v>
      </c>
      <c r="AH552" s="139">
        <f t="shared" si="1107"/>
        <v>2.1042084168336674E-2</v>
      </c>
      <c r="AI552" s="139">
        <f t="shared" si="1107"/>
        <v>1.4028056112224449E-2</v>
      </c>
    </row>
    <row r="553" spans="2:35">
      <c r="B553" s="138" t="s">
        <v>8077</v>
      </c>
      <c r="C553" s="138" t="s">
        <v>4367</v>
      </c>
      <c r="D553" s="138" t="s">
        <v>15</v>
      </c>
      <c r="E553" s="138" t="s">
        <v>789</v>
      </c>
      <c r="F553" s="138" t="s">
        <v>789</v>
      </c>
      <c r="H553" s="138">
        <v>69</v>
      </c>
      <c r="I553" s="138">
        <v>949</v>
      </c>
      <c r="J553" s="138">
        <v>616</v>
      </c>
      <c r="K553" s="138">
        <v>283</v>
      </c>
      <c r="N553" s="138">
        <v>14</v>
      </c>
      <c r="O553" s="138">
        <v>5</v>
      </c>
      <c r="S553" s="138">
        <v>21</v>
      </c>
      <c r="T553" s="138">
        <v>10</v>
      </c>
      <c r="U553" s="138">
        <f t="shared" si="1024"/>
        <v>36</v>
      </c>
      <c r="W553" s="139">
        <f t="shared" ref="W553:AA553" si="1108">J553/$I553</f>
        <v>0.649104320337197</v>
      </c>
      <c r="X553" s="139">
        <f t="shared" si="1108"/>
        <v>0.29820864067439412</v>
      </c>
      <c r="Y553" s="139">
        <f t="shared" si="1108"/>
        <v>0</v>
      </c>
      <c r="Z553" s="139">
        <f t="shared" si="1108"/>
        <v>0</v>
      </c>
      <c r="AA553" s="139">
        <f t="shared" si="1108"/>
        <v>1.4752370916754479E-2</v>
      </c>
      <c r="AB553" s="139"/>
      <c r="AC553" s="139">
        <f t="shared" si="1026"/>
        <v>3.7934668071654375E-2</v>
      </c>
      <c r="AD553" s="139">
        <f t="shared" ref="AD553:AI553" si="1109">O553/$I553</f>
        <v>5.268703898840885E-3</v>
      </c>
      <c r="AE553" s="139">
        <f t="shared" si="1109"/>
        <v>0</v>
      </c>
      <c r="AF553" s="139">
        <f t="shared" si="1109"/>
        <v>0</v>
      </c>
      <c r="AG553" s="139">
        <f t="shared" si="1109"/>
        <v>0</v>
      </c>
      <c r="AH553" s="139">
        <f t="shared" si="1109"/>
        <v>2.2128556375131718E-2</v>
      </c>
      <c r="AI553" s="139">
        <f t="shared" si="1109"/>
        <v>1.053740779768177E-2</v>
      </c>
    </row>
    <row r="554" spans="2:35">
      <c r="B554" s="138" t="s">
        <v>8077</v>
      </c>
      <c r="C554" s="138" t="s">
        <v>4367</v>
      </c>
      <c r="D554" s="138" t="s">
        <v>15</v>
      </c>
      <c r="E554" s="138" t="s">
        <v>789</v>
      </c>
      <c r="F554" s="138" t="s">
        <v>789</v>
      </c>
      <c r="H554" s="138">
        <v>70</v>
      </c>
      <c r="I554" s="138">
        <v>579</v>
      </c>
      <c r="J554" s="138">
        <v>427</v>
      </c>
      <c r="K554" s="138">
        <v>128</v>
      </c>
      <c r="N554" s="138">
        <v>8</v>
      </c>
      <c r="O554" s="138">
        <v>1</v>
      </c>
      <c r="S554" s="138">
        <v>9</v>
      </c>
      <c r="T554" s="138">
        <v>6</v>
      </c>
      <c r="U554" s="138">
        <f t="shared" si="1024"/>
        <v>16</v>
      </c>
      <c r="W554" s="139">
        <f t="shared" ref="W554:AA554" si="1110">J554/$I554</f>
        <v>0.73747841105354062</v>
      </c>
      <c r="X554" s="139">
        <f t="shared" si="1110"/>
        <v>0.22107081174438686</v>
      </c>
      <c r="Y554" s="139">
        <f t="shared" si="1110"/>
        <v>0</v>
      </c>
      <c r="Z554" s="139">
        <f t="shared" si="1110"/>
        <v>0</v>
      </c>
      <c r="AA554" s="139">
        <f t="shared" si="1110"/>
        <v>1.3816925734024179E-2</v>
      </c>
      <c r="AB554" s="139"/>
      <c r="AC554" s="139">
        <f t="shared" si="1026"/>
        <v>2.7633851468048358E-2</v>
      </c>
      <c r="AD554" s="139">
        <f t="shared" ref="AD554:AI554" si="1111">O554/$I554</f>
        <v>1.7271157167530224E-3</v>
      </c>
      <c r="AE554" s="139">
        <f t="shared" si="1111"/>
        <v>0</v>
      </c>
      <c r="AF554" s="139">
        <f t="shared" si="1111"/>
        <v>0</v>
      </c>
      <c r="AG554" s="139">
        <f t="shared" si="1111"/>
        <v>0</v>
      </c>
      <c r="AH554" s="139">
        <f t="shared" si="1111"/>
        <v>1.5544041450777202E-2</v>
      </c>
      <c r="AI554" s="139">
        <f t="shared" si="1111"/>
        <v>1.0362694300518135E-2</v>
      </c>
    </row>
    <row r="555" spans="2:35">
      <c r="B555" s="138" t="s">
        <v>8077</v>
      </c>
      <c r="C555" s="138" t="s">
        <v>4367</v>
      </c>
      <c r="D555" s="138" t="s">
        <v>15</v>
      </c>
      <c r="E555" s="138" t="s">
        <v>789</v>
      </c>
      <c r="F555" s="138" t="s">
        <v>789</v>
      </c>
      <c r="H555" s="138">
        <v>71</v>
      </c>
      <c r="I555" s="138">
        <v>824</v>
      </c>
      <c r="J555" s="138">
        <v>602</v>
      </c>
      <c r="K555" s="138">
        <v>194</v>
      </c>
      <c r="N555" s="138">
        <v>13</v>
      </c>
      <c r="O555" s="138">
        <v>1</v>
      </c>
      <c r="S555" s="138">
        <v>12</v>
      </c>
      <c r="T555" s="138">
        <v>2</v>
      </c>
      <c r="U555" s="138">
        <f t="shared" si="1024"/>
        <v>15</v>
      </c>
      <c r="W555" s="139">
        <f t="shared" ref="W555:AA555" si="1112">J555/$I555</f>
        <v>0.73058252427184467</v>
      </c>
      <c r="X555" s="139">
        <f t="shared" si="1112"/>
        <v>0.2354368932038835</v>
      </c>
      <c r="Y555" s="139">
        <f t="shared" si="1112"/>
        <v>0</v>
      </c>
      <c r="Z555" s="139">
        <f t="shared" si="1112"/>
        <v>0</v>
      </c>
      <c r="AA555" s="139">
        <f t="shared" si="1112"/>
        <v>1.5776699029126214E-2</v>
      </c>
      <c r="AB555" s="139"/>
      <c r="AC555" s="139">
        <f t="shared" si="1026"/>
        <v>1.820388349514563E-2</v>
      </c>
      <c r="AD555" s="139">
        <f t="shared" ref="AD555:AI555" si="1113">O555/$I555</f>
        <v>1.2135922330097086E-3</v>
      </c>
      <c r="AE555" s="139">
        <f t="shared" si="1113"/>
        <v>0</v>
      </c>
      <c r="AF555" s="139">
        <f t="shared" si="1113"/>
        <v>0</v>
      </c>
      <c r="AG555" s="139">
        <f t="shared" si="1113"/>
        <v>0</v>
      </c>
      <c r="AH555" s="139">
        <f t="shared" si="1113"/>
        <v>1.4563106796116505E-2</v>
      </c>
      <c r="AI555" s="139">
        <f t="shared" si="1113"/>
        <v>2.4271844660194173E-3</v>
      </c>
    </row>
    <row r="556" spans="2:35">
      <c r="B556" s="138" t="s">
        <v>8077</v>
      </c>
      <c r="C556" s="138" t="s">
        <v>4367</v>
      </c>
      <c r="D556" s="138" t="s">
        <v>15</v>
      </c>
      <c r="E556" s="138" t="s">
        <v>789</v>
      </c>
      <c r="F556" s="138" t="s">
        <v>789</v>
      </c>
      <c r="H556" s="138">
        <v>72</v>
      </c>
      <c r="I556" s="138">
        <v>1128</v>
      </c>
      <c r="J556" s="138">
        <v>810</v>
      </c>
      <c r="K556" s="138">
        <v>238</v>
      </c>
      <c r="N556" s="138">
        <v>15</v>
      </c>
      <c r="O556" s="138">
        <v>8</v>
      </c>
      <c r="S556" s="138">
        <v>35</v>
      </c>
      <c r="T556" s="138">
        <v>22</v>
      </c>
      <c r="U556" s="138">
        <f t="shared" si="1024"/>
        <v>65</v>
      </c>
      <c r="W556" s="139">
        <f t="shared" ref="W556:AA556" si="1114">J556/$I556</f>
        <v>0.71808510638297873</v>
      </c>
      <c r="X556" s="139">
        <f t="shared" si="1114"/>
        <v>0.21099290780141844</v>
      </c>
      <c r="Y556" s="139">
        <f t="shared" si="1114"/>
        <v>0</v>
      </c>
      <c r="Z556" s="139">
        <f t="shared" si="1114"/>
        <v>0</v>
      </c>
      <c r="AA556" s="139">
        <f t="shared" si="1114"/>
        <v>1.3297872340425532E-2</v>
      </c>
      <c r="AB556" s="139"/>
      <c r="AC556" s="139">
        <f t="shared" si="1026"/>
        <v>5.7624113475177305E-2</v>
      </c>
      <c r="AD556" s="139">
        <f t="shared" ref="AD556:AI556" si="1115">O556/$I556</f>
        <v>7.0921985815602835E-3</v>
      </c>
      <c r="AE556" s="139">
        <f t="shared" si="1115"/>
        <v>0</v>
      </c>
      <c r="AF556" s="139">
        <f t="shared" si="1115"/>
        <v>0</v>
      </c>
      <c r="AG556" s="139">
        <f t="shared" si="1115"/>
        <v>0</v>
      </c>
      <c r="AH556" s="139">
        <f t="shared" si="1115"/>
        <v>3.1028368794326241E-2</v>
      </c>
      <c r="AI556" s="139">
        <f t="shared" si="1115"/>
        <v>1.9503546099290781E-2</v>
      </c>
    </row>
    <row r="557" spans="2:35">
      <c r="B557" s="138" t="s">
        <v>8077</v>
      </c>
      <c r="C557" s="138" t="s">
        <v>4367</v>
      </c>
      <c r="D557" s="138" t="s">
        <v>15</v>
      </c>
      <c r="E557" s="138" t="s">
        <v>789</v>
      </c>
      <c r="F557" s="138" t="s">
        <v>789</v>
      </c>
      <c r="H557" s="138">
        <v>73</v>
      </c>
      <c r="I557" s="138">
        <v>787</v>
      </c>
      <c r="J557" s="138">
        <v>530</v>
      </c>
      <c r="K557" s="138">
        <v>234</v>
      </c>
      <c r="N557" s="138">
        <v>8</v>
      </c>
      <c r="O557" s="138">
        <v>2</v>
      </c>
      <c r="S557" s="138">
        <v>8</v>
      </c>
      <c r="T557" s="138">
        <v>5</v>
      </c>
      <c r="U557" s="138">
        <f t="shared" si="1024"/>
        <v>15</v>
      </c>
      <c r="W557" s="139">
        <f t="shared" ref="W557:AA557" si="1116">J557/$I557</f>
        <v>0.6734434561626429</v>
      </c>
      <c r="X557" s="139">
        <f t="shared" si="1116"/>
        <v>0.29733163913595934</v>
      </c>
      <c r="Y557" s="139">
        <f t="shared" si="1116"/>
        <v>0</v>
      </c>
      <c r="Z557" s="139">
        <f t="shared" si="1116"/>
        <v>0</v>
      </c>
      <c r="AA557" s="139">
        <f t="shared" si="1116"/>
        <v>1.0165184243964422E-2</v>
      </c>
      <c r="AB557" s="139"/>
      <c r="AC557" s="139">
        <f t="shared" si="1026"/>
        <v>1.9059720457433291E-2</v>
      </c>
      <c r="AD557" s="139">
        <f t="shared" ref="AD557:AI557" si="1117">O557/$I557</f>
        <v>2.5412960609911056E-3</v>
      </c>
      <c r="AE557" s="139">
        <f t="shared" si="1117"/>
        <v>0</v>
      </c>
      <c r="AF557" s="139">
        <f t="shared" si="1117"/>
        <v>0</v>
      </c>
      <c r="AG557" s="139">
        <f t="shared" si="1117"/>
        <v>0</v>
      </c>
      <c r="AH557" s="139">
        <f t="shared" si="1117"/>
        <v>1.0165184243964422E-2</v>
      </c>
      <c r="AI557" s="139">
        <f t="shared" si="1117"/>
        <v>6.3532401524777635E-3</v>
      </c>
    </row>
    <row r="558" spans="2:35">
      <c r="B558" s="138" t="s">
        <v>8077</v>
      </c>
      <c r="C558" s="138" t="s">
        <v>4367</v>
      </c>
      <c r="D558" s="138" t="s">
        <v>15</v>
      </c>
      <c r="E558" s="138" t="s">
        <v>789</v>
      </c>
      <c r="F558" s="138" t="s">
        <v>789</v>
      </c>
      <c r="H558" s="138">
        <v>74</v>
      </c>
      <c r="I558" s="138">
        <v>891</v>
      </c>
      <c r="J558" s="138">
        <v>642</v>
      </c>
      <c r="K558" s="138">
        <v>217</v>
      </c>
      <c r="N558" s="138">
        <v>10</v>
      </c>
      <c r="O558" s="138">
        <v>3</v>
      </c>
      <c r="S558" s="138">
        <v>16</v>
      </c>
      <c r="T558" s="138">
        <v>3</v>
      </c>
      <c r="U558" s="138">
        <f t="shared" si="1024"/>
        <v>22</v>
      </c>
      <c r="W558" s="139">
        <f t="shared" ref="W558:AA558" si="1118">J558/$I558</f>
        <v>0.72053872053872059</v>
      </c>
      <c r="X558" s="139">
        <f t="shared" si="1118"/>
        <v>0.24354657687991021</v>
      </c>
      <c r="Y558" s="139">
        <f t="shared" si="1118"/>
        <v>0</v>
      </c>
      <c r="Z558" s="139">
        <f t="shared" si="1118"/>
        <v>0</v>
      </c>
      <c r="AA558" s="139">
        <f t="shared" si="1118"/>
        <v>1.1223344556677889E-2</v>
      </c>
      <c r="AB558" s="139"/>
      <c r="AC558" s="139">
        <f t="shared" si="1026"/>
        <v>2.4691358024691357E-2</v>
      </c>
      <c r="AD558" s="139">
        <f t="shared" ref="AD558:AI558" si="1119">O558/$I558</f>
        <v>3.3670033670033669E-3</v>
      </c>
      <c r="AE558" s="139">
        <f t="shared" si="1119"/>
        <v>0</v>
      </c>
      <c r="AF558" s="139">
        <f t="shared" si="1119"/>
        <v>0</v>
      </c>
      <c r="AG558" s="139">
        <f t="shared" si="1119"/>
        <v>0</v>
      </c>
      <c r="AH558" s="139">
        <f t="shared" si="1119"/>
        <v>1.7957351290684626E-2</v>
      </c>
      <c r="AI558" s="139">
        <f t="shared" si="1119"/>
        <v>3.3670033670033669E-3</v>
      </c>
    </row>
    <row r="559" spans="2:35">
      <c r="B559" s="138" t="s">
        <v>8077</v>
      </c>
      <c r="C559" s="138" t="s">
        <v>4367</v>
      </c>
      <c r="D559" s="138" t="s">
        <v>15</v>
      </c>
      <c r="E559" s="138" t="s">
        <v>789</v>
      </c>
      <c r="F559" s="138" t="s">
        <v>789</v>
      </c>
      <c r="H559" s="138">
        <v>75</v>
      </c>
      <c r="I559" s="138">
        <v>1028</v>
      </c>
      <c r="J559" s="138">
        <v>688</v>
      </c>
      <c r="K559" s="138">
        <v>302</v>
      </c>
      <c r="N559" s="138">
        <v>11</v>
      </c>
      <c r="O559" s="138">
        <v>3</v>
      </c>
      <c r="S559" s="138">
        <v>16</v>
      </c>
      <c r="T559" s="138">
        <v>8</v>
      </c>
      <c r="U559" s="138">
        <f t="shared" si="1024"/>
        <v>27</v>
      </c>
      <c r="W559" s="139">
        <f t="shared" ref="W559:AA559" si="1120">J559/$I559</f>
        <v>0.66926070038910501</v>
      </c>
      <c r="X559" s="139">
        <f t="shared" si="1120"/>
        <v>0.29377431906614787</v>
      </c>
      <c r="Y559" s="139">
        <f t="shared" si="1120"/>
        <v>0</v>
      </c>
      <c r="Z559" s="139">
        <f t="shared" si="1120"/>
        <v>0</v>
      </c>
      <c r="AA559" s="139">
        <f t="shared" si="1120"/>
        <v>1.0700389105058366E-2</v>
      </c>
      <c r="AB559" s="139"/>
      <c r="AC559" s="139">
        <f t="shared" si="1026"/>
        <v>2.6264591439688716E-2</v>
      </c>
      <c r="AD559" s="139">
        <f t="shared" ref="AD559:AI559" si="1121">O559/$I559</f>
        <v>2.9182879377431907E-3</v>
      </c>
      <c r="AE559" s="139">
        <f t="shared" si="1121"/>
        <v>0</v>
      </c>
      <c r="AF559" s="139">
        <f t="shared" si="1121"/>
        <v>0</v>
      </c>
      <c r="AG559" s="139">
        <f t="shared" si="1121"/>
        <v>0</v>
      </c>
      <c r="AH559" s="139">
        <f t="shared" si="1121"/>
        <v>1.556420233463035E-2</v>
      </c>
      <c r="AI559" s="139">
        <f t="shared" si="1121"/>
        <v>7.7821011673151752E-3</v>
      </c>
    </row>
    <row r="560" spans="2:35">
      <c r="B560" s="138" t="s">
        <v>8077</v>
      </c>
      <c r="C560" s="138" t="s">
        <v>4367</v>
      </c>
      <c r="D560" s="138" t="s">
        <v>15</v>
      </c>
      <c r="E560" s="138" t="s">
        <v>789</v>
      </c>
      <c r="F560" s="138" t="s">
        <v>789</v>
      </c>
      <c r="H560" s="138">
        <v>76</v>
      </c>
      <c r="I560" s="138">
        <v>657</v>
      </c>
      <c r="J560" s="138">
        <v>432</v>
      </c>
      <c r="K560" s="138">
        <v>208</v>
      </c>
      <c r="N560" s="138">
        <v>10</v>
      </c>
      <c r="O560" s="138">
        <v>0</v>
      </c>
      <c r="S560" s="138">
        <v>5</v>
      </c>
      <c r="T560" s="138">
        <v>2</v>
      </c>
      <c r="U560" s="138">
        <f t="shared" si="1024"/>
        <v>7</v>
      </c>
      <c r="W560" s="139">
        <f t="shared" ref="W560:AA560" si="1122">J560/$I560</f>
        <v>0.65753424657534243</v>
      </c>
      <c r="X560" s="139">
        <f t="shared" si="1122"/>
        <v>0.31659056316590561</v>
      </c>
      <c r="Y560" s="139">
        <f t="shared" si="1122"/>
        <v>0</v>
      </c>
      <c r="Z560" s="139">
        <f t="shared" si="1122"/>
        <v>0</v>
      </c>
      <c r="AA560" s="139">
        <f t="shared" si="1122"/>
        <v>1.5220700152207001E-2</v>
      </c>
      <c r="AB560" s="139"/>
      <c r="AC560" s="139">
        <f t="shared" si="1026"/>
        <v>1.06544901065449E-2</v>
      </c>
      <c r="AD560" s="139">
        <f t="shared" ref="AD560:AI560" si="1123">O560/$I560</f>
        <v>0</v>
      </c>
      <c r="AE560" s="139">
        <f t="shared" si="1123"/>
        <v>0</v>
      </c>
      <c r="AF560" s="139">
        <f t="shared" si="1123"/>
        <v>0</v>
      </c>
      <c r="AG560" s="139">
        <f t="shared" si="1123"/>
        <v>0</v>
      </c>
      <c r="AH560" s="139">
        <f t="shared" si="1123"/>
        <v>7.6103500761035003E-3</v>
      </c>
      <c r="AI560" s="139">
        <f t="shared" si="1123"/>
        <v>3.0441400304414001E-3</v>
      </c>
    </row>
    <row r="561" spans="2:35">
      <c r="B561" s="138" t="s">
        <v>8077</v>
      </c>
      <c r="C561" s="138" t="s">
        <v>4367</v>
      </c>
      <c r="D561" s="138" t="s">
        <v>15</v>
      </c>
      <c r="E561" s="138" t="s">
        <v>789</v>
      </c>
      <c r="F561" s="138" t="s">
        <v>789</v>
      </c>
      <c r="H561" s="138">
        <v>77</v>
      </c>
      <c r="I561" s="138">
        <v>881</v>
      </c>
      <c r="J561" s="138">
        <v>580</v>
      </c>
      <c r="K561" s="138">
        <v>270</v>
      </c>
      <c r="N561" s="138">
        <v>11</v>
      </c>
      <c r="O561" s="138">
        <v>7</v>
      </c>
      <c r="S561" s="138">
        <v>9</v>
      </c>
      <c r="T561" s="138">
        <v>4</v>
      </c>
      <c r="U561" s="138">
        <f t="shared" si="1024"/>
        <v>20</v>
      </c>
      <c r="W561" s="139">
        <f t="shared" ref="W561:AA561" si="1124">J561/$I561</f>
        <v>0.65834279228149828</v>
      </c>
      <c r="X561" s="139">
        <f t="shared" si="1124"/>
        <v>0.30646992054483541</v>
      </c>
      <c r="Y561" s="139">
        <f t="shared" si="1124"/>
        <v>0</v>
      </c>
      <c r="Z561" s="139">
        <f t="shared" si="1124"/>
        <v>0</v>
      </c>
      <c r="AA561" s="139">
        <f t="shared" si="1124"/>
        <v>1.2485811577752554E-2</v>
      </c>
      <c r="AB561" s="139"/>
      <c r="AC561" s="139">
        <f t="shared" si="1026"/>
        <v>2.2701475595913734E-2</v>
      </c>
      <c r="AD561" s="139">
        <f t="shared" ref="AD561:AI561" si="1125">O561/$I561</f>
        <v>7.9455164585698068E-3</v>
      </c>
      <c r="AE561" s="139">
        <f t="shared" si="1125"/>
        <v>0</v>
      </c>
      <c r="AF561" s="139">
        <f t="shared" si="1125"/>
        <v>0</v>
      </c>
      <c r="AG561" s="139">
        <f t="shared" si="1125"/>
        <v>0</v>
      </c>
      <c r="AH561" s="139">
        <f t="shared" si="1125"/>
        <v>1.021566401816118E-2</v>
      </c>
      <c r="AI561" s="139">
        <f t="shared" si="1125"/>
        <v>4.5402951191827468E-3</v>
      </c>
    </row>
    <row r="562" spans="2:35">
      <c r="B562" s="138" t="s">
        <v>8077</v>
      </c>
      <c r="C562" s="138" t="s">
        <v>4367</v>
      </c>
      <c r="D562" s="138" t="s">
        <v>15</v>
      </c>
      <c r="E562" s="138" t="s">
        <v>789</v>
      </c>
      <c r="F562" s="138" t="s">
        <v>789</v>
      </c>
      <c r="H562" s="138">
        <v>78</v>
      </c>
      <c r="I562" s="138">
        <v>629</v>
      </c>
      <c r="J562" s="138">
        <v>454</v>
      </c>
      <c r="K562" s="138">
        <v>162</v>
      </c>
      <c r="N562" s="138">
        <v>5</v>
      </c>
      <c r="O562" s="138">
        <v>1</v>
      </c>
      <c r="S562" s="138">
        <v>6</v>
      </c>
      <c r="T562" s="138">
        <v>1</v>
      </c>
      <c r="U562" s="138">
        <f t="shared" si="1024"/>
        <v>8</v>
      </c>
      <c r="W562" s="139">
        <f t="shared" ref="W562:AA562" si="1126">J562/$I562</f>
        <v>0.72178060413354528</v>
      </c>
      <c r="X562" s="139">
        <f t="shared" si="1126"/>
        <v>0.25755166931637519</v>
      </c>
      <c r="Y562" s="139">
        <f t="shared" si="1126"/>
        <v>0</v>
      </c>
      <c r="Z562" s="139">
        <f t="shared" si="1126"/>
        <v>0</v>
      </c>
      <c r="AA562" s="139">
        <f t="shared" si="1126"/>
        <v>7.9491255961844191E-3</v>
      </c>
      <c r="AB562" s="139"/>
      <c r="AC562" s="139">
        <f t="shared" si="1026"/>
        <v>1.2718600953895072E-2</v>
      </c>
      <c r="AD562" s="139">
        <f t="shared" ref="AD562:AI562" si="1127">O562/$I562</f>
        <v>1.589825119236884E-3</v>
      </c>
      <c r="AE562" s="139">
        <f t="shared" si="1127"/>
        <v>0</v>
      </c>
      <c r="AF562" s="139">
        <f t="shared" si="1127"/>
        <v>0</v>
      </c>
      <c r="AG562" s="139">
        <f t="shared" si="1127"/>
        <v>0</v>
      </c>
      <c r="AH562" s="139">
        <f t="shared" si="1127"/>
        <v>9.538950715421303E-3</v>
      </c>
      <c r="AI562" s="139">
        <f t="shared" si="1127"/>
        <v>1.589825119236884E-3</v>
      </c>
    </row>
    <row r="563" spans="2:35">
      <c r="B563" s="138" t="s">
        <v>8077</v>
      </c>
      <c r="C563" s="138" t="s">
        <v>4367</v>
      </c>
      <c r="D563" s="138" t="s">
        <v>15</v>
      </c>
      <c r="E563" s="138" t="s">
        <v>789</v>
      </c>
      <c r="F563" s="138" t="s">
        <v>789</v>
      </c>
      <c r="H563" s="138">
        <v>79</v>
      </c>
      <c r="I563" s="138">
        <v>594</v>
      </c>
      <c r="J563" s="138">
        <v>390</v>
      </c>
      <c r="K563" s="138">
        <v>179</v>
      </c>
      <c r="N563" s="138">
        <v>6</v>
      </c>
      <c r="O563" s="138">
        <v>1</v>
      </c>
      <c r="S563" s="138">
        <v>12</v>
      </c>
      <c r="T563" s="138">
        <v>6</v>
      </c>
      <c r="U563" s="138">
        <f t="shared" si="1024"/>
        <v>19</v>
      </c>
      <c r="W563" s="139">
        <f t="shared" ref="W563:AA563" si="1128">J563/$I563</f>
        <v>0.65656565656565657</v>
      </c>
      <c r="X563" s="139">
        <f t="shared" si="1128"/>
        <v>0.30134680134680136</v>
      </c>
      <c r="Y563" s="139">
        <f t="shared" si="1128"/>
        <v>0</v>
      </c>
      <c r="Z563" s="139">
        <f t="shared" si="1128"/>
        <v>0</v>
      </c>
      <c r="AA563" s="139">
        <f t="shared" si="1128"/>
        <v>1.0101010101010102E-2</v>
      </c>
      <c r="AB563" s="139"/>
      <c r="AC563" s="139">
        <f t="shared" si="1026"/>
        <v>3.1986531986531987E-2</v>
      </c>
      <c r="AD563" s="139">
        <f t="shared" ref="AD563:AI563" si="1129">O563/$I563</f>
        <v>1.6835016835016834E-3</v>
      </c>
      <c r="AE563" s="139">
        <f t="shared" si="1129"/>
        <v>0</v>
      </c>
      <c r="AF563" s="139">
        <f t="shared" si="1129"/>
        <v>0</v>
      </c>
      <c r="AG563" s="139">
        <f t="shared" si="1129"/>
        <v>0</v>
      </c>
      <c r="AH563" s="139">
        <f t="shared" si="1129"/>
        <v>2.0202020202020204E-2</v>
      </c>
      <c r="AI563" s="139">
        <f t="shared" si="1129"/>
        <v>1.0101010101010102E-2</v>
      </c>
    </row>
    <row r="564" spans="2:35">
      <c r="B564" s="138" t="s">
        <v>8077</v>
      </c>
      <c r="C564" s="138" t="s">
        <v>4367</v>
      </c>
      <c r="D564" s="138" t="s">
        <v>15</v>
      </c>
      <c r="E564" s="138" t="s">
        <v>789</v>
      </c>
      <c r="F564" s="138" t="s">
        <v>789</v>
      </c>
      <c r="H564" s="138">
        <v>80</v>
      </c>
      <c r="I564" s="138">
        <v>536</v>
      </c>
      <c r="J564" s="138">
        <v>406</v>
      </c>
      <c r="K564" s="138">
        <v>118</v>
      </c>
      <c r="N564" s="138">
        <v>5</v>
      </c>
      <c r="O564" s="138">
        <v>0</v>
      </c>
      <c r="S564" s="138">
        <v>5</v>
      </c>
      <c r="T564" s="138">
        <v>2</v>
      </c>
      <c r="U564" s="138">
        <f t="shared" si="1024"/>
        <v>7</v>
      </c>
      <c r="W564" s="139">
        <f t="shared" ref="W564:AA564" si="1130">J564/$I564</f>
        <v>0.7574626865671642</v>
      </c>
      <c r="X564" s="139">
        <f t="shared" si="1130"/>
        <v>0.22014925373134328</v>
      </c>
      <c r="Y564" s="139">
        <f t="shared" si="1130"/>
        <v>0</v>
      </c>
      <c r="Z564" s="139">
        <f t="shared" si="1130"/>
        <v>0</v>
      </c>
      <c r="AA564" s="139">
        <f t="shared" si="1130"/>
        <v>9.3283582089552231E-3</v>
      </c>
      <c r="AB564" s="139"/>
      <c r="AC564" s="139">
        <f t="shared" si="1026"/>
        <v>1.3059701492537313E-2</v>
      </c>
      <c r="AD564" s="139">
        <f t="shared" ref="AD564:AI564" si="1131">O564/$I564</f>
        <v>0</v>
      </c>
      <c r="AE564" s="139">
        <f t="shared" si="1131"/>
        <v>0</v>
      </c>
      <c r="AF564" s="139">
        <f t="shared" si="1131"/>
        <v>0</v>
      </c>
      <c r="AG564" s="139">
        <f t="shared" si="1131"/>
        <v>0</v>
      </c>
      <c r="AH564" s="139">
        <f t="shared" si="1131"/>
        <v>9.3283582089552231E-3</v>
      </c>
      <c r="AI564" s="139">
        <f t="shared" si="1131"/>
        <v>3.7313432835820895E-3</v>
      </c>
    </row>
    <row r="565" spans="2:35">
      <c r="B565" s="138" t="s">
        <v>8077</v>
      </c>
      <c r="C565" s="138" t="s">
        <v>4367</v>
      </c>
      <c r="D565" s="138" t="s">
        <v>15</v>
      </c>
      <c r="E565" s="138" t="s">
        <v>789</v>
      </c>
      <c r="F565" s="138" t="s">
        <v>789</v>
      </c>
      <c r="H565" s="138">
        <v>81</v>
      </c>
      <c r="I565" s="138">
        <v>614</v>
      </c>
      <c r="J565" s="138">
        <v>445</v>
      </c>
      <c r="K565" s="138">
        <v>151</v>
      </c>
      <c r="N565" s="138">
        <v>10</v>
      </c>
      <c r="O565" s="138">
        <v>0</v>
      </c>
      <c r="S565" s="138">
        <v>6</v>
      </c>
      <c r="T565" s="138">
        <v>2</v>
      </c>
      <c r="U565" s="138">
        <f t="shared" si="1024"/>
        <v>8</v>
      </c>
      <c r="W565" s="139">
        <f t="shared" ref="W565:AA565" si="1132">J565/$I565</f>
        <v>0.72475570032573289</v>
      </c>
      <c r="X565" s="139">
        <f t="shared" si="1132"/>
        <v>0.24592833876221498</v>
      </c>
      <c r="Y565" s="139">
        <f t="shared" si="1132"/>
        <v>0</v>
      </c>
      <c r="Z565" s="139">
        <f t="shared" si="1132"/>
        <v>0</v>
      </c>
      <c r="AA565" s="139">
        <f t="shared" si="1132"/>
        <v>1.6286644951140065E-2</v>
      </c>
      <c r="AB565" s="139"/>
      <c r="AC565" s="139">
        <f t="shared" si="1026"/>
        <v>1.3029315960912053E-2</v>
      </c>
      <c r="AD565" s="139">
        <f t="shared" ref="AD565:AI565" si="1133">O565/$I565</f>
        <v>0</v>
      </c>
      <c r="AE565" s="139">
        <f t="shared" si="1133"/>
        <v>0</v>
      </c>
      <c r="AF565" s="139">
        <f t="shared" si="1133"/>
        <v>0</v>
      </c>
      <c r="AG565" s="139">
        <f t="shared" si="1133"/>
        <v>0</v>
      </c>
      <c r="AH565" s="139">
        <f t="shared" si="1133"/>
        <v>9.7719869706840382E-3</v>
      </c>
      <c r="AI565" s="139">
        <f t="shared" si="1133"/>
        <v>3.2573289902280132E-3</v>
      </c>
    </row>
    <row r="566" spans="2:35">
      <c r="B566" s="138" t="s">
        <v>8077</v>
      </c>
      <c r="C566" s="138" t="s">
        <v>4367</v>
      </c>
      <c r="D566" s="138" t="s">
        <v>15</v>
      </c>
      <c r="E566" s="138" t="s">
        <v>389</v>
      </c>
      <c r="F566" s="138" t="s">
        <v>946</v>
      </c>
      <c r="H566" s="138">
        <v>82</v>
      </c>
      <c r="I566" s="138">
        <v>1076</v>
      </c>
      <c r="J566" s="138">
        <v>709</v>
      </c>
      <c r="K566" s="138">
        <v>333</v>
      </c>
      <c r="N566" s="138">
        <v>15</v>
      </c>
      <c r="O566" s="138">
        <v>2</v>
      </c>
      <c r="S566" s="138">
        <v>12</v>
      </c>
      <c r="T566" s="138">
        <v>5</v>
      </c>
      <c r="U566" s="138">
        <f t="shared" si="1024"/>
        <v>19</v>
      </c>
      <c r="W566" s="139">
        <f t="shared" ref="W566:AA566" si="1134">J566/$I566</f>
        <v>0.65892193308550184</v>
      </c>
      <c r="X566" s="139">
        <f t="shared" si="1134"/>
        <v>0.30947955390334575</v>
      </c>
      <c r="Y566" s="139">
        <f t="shared" si="1134"/>
        <v>0</v>
      </c>
      <c r="Z566" s="139">
        <f t="shared" si="1134"/>
        <v>0</v>
      </c>
      <c r="AA566" s="139">
        <f t="shared" si="1134"/>
        <v>1.3940520446096654E-2</v>
      </c>
      <c r="AB566" s="139"/>
      <c r="AC566" s="139">
        <f t="shared" si="1026"/>
        <v>1.7657992565055763E-2</v>
      </c>
      <c r="AD566" s="139">
        <f t="shared" ref="AD566:AI566" si="1135">O566/$I566</f>
        <v>1.8587360594795538E-3</v>
      </c>
      <c r="AE566" s="139">
        <f t="shared" si="1135"/>
        <v>0</v>
      </c>
      <c r="AF566" s="139">
        <f t="shared" si="1135"/>
        <v>0</v>
      </c>
      <c r="AG566" s="139">
        <f t="shared" si="1135"/>
        <v>0</v>
      </c>
      <c r="AH566" s="139">
        <f t="shared" si="1135"/>
        <v>1.1152416356877323E-2</v>
      </c>
      <c r="AI566" s="139">
        <f t="shared" si="1135"/>
        <v>4.646840148698885E-3</v>
      </c>
    </row>
    <row r="567" spans="2:35">
      <c r="B567" s="138" t="s">
        <v>8077</v>
      </c>
      <c r="C567" s="138" t="s">
        <v>4367</v>
      </c>
      <c r="D567" s="138" t="s">
        <v>15</v>
      </c>
      <c r="E567" s="138" t="s">
        <v>389</v>
      </c>
      <c r="F567" s="138" t="s">
        <v>946</v>
      </c>
      <c r="H567" s="138">
        <v>83</v>
      </c>
      <c r="I567" s="138">
        <v>880</v>
      </c>
      <c r="J567" s="138">
        <v>535</v>
      </c>
      <c r="K567" s="138">
        <v>312</v>
      </c>
      <c r="N567" s="138">
        <v>7</v>
      </c>
      <c r="O567" s="138">
        <v>6</v>
      </c>
      <c r="S567" s="138">
        <v>13</v>
      </c>
      <c r="T567" s="138">
        <v>7</v>
      </c>
      <c r="U567" s="138">
        <f t="shared" si="1024"/>
        <v>26</v>
      </c>
      <c r="W567" s="139">
        <f t="shared" ref="W567:AA567" si="1136">J567/$I567</f>
        <v>0.60795454545454541</v>
      </c>
      <c r="X567" s="139">
        <f t="shared" si="1136"/>
        <v>0.35454545454545455</v>
      </c>
      <c r="Y567" s="139">
        <f t="shared" si="1136"/>
        <v>0</v>
      </c>
      <c r="Z567" s="139">
        <f t="shared" si="1136"/>
        <v>0</v>
      </c>
      <c r="AA567" s="139">
        <f t="shared" si="1136"/>
        <v>7.9545454545454537E-3</v>
      </c>
      <c r="AB567" s="139"/>
      <c r="AC567" s="139">
        <f t="shared" si="1026"/>
        <v>2.9545454545454545E-2</v>
      </c>
      <c r="AD567" s="139">
        <f t="shared" ref="AD567:AI567" si="1137">O567/$I567</f>
        <v>6.8181818181818179E-3</v>
      </c>
      <c r="AE567" s="139">
        <f t="shared" si="1137"/>
        <v>0</v>
      </c>
      <c r="AF567" s="139">
        <f t="shared" si="1137"/>
        <v>0</v>
      </c>
      <c r="AG567" s="139">
        <f t="shared" si="1137"/>
        <v>0</v>
      </c>
      <c r="AH567" s="139">
        <f t="shared" si="1137"/>
        <v>1.4772727272727272E-2</v>
      </c>
      <c r="AI567" s="139">
        <f t="shared" si="1137"/>
        <v>7.9545454545454537E-3</v>
      </c>
    </row>
    <row r="568" spans="2:35">
      <c r="B568" s="138" t="s">
        <v>8077</v>
      </c>
      <c r="C568" s="138" t="s">
        <v>4367</v>
      </c>
      <c r="D568" s="138" t="s">
        <v>15</v>
      </c>
      <c r="E568" s="138" t="s">
        <v>389</v>
      </c>
      <c r="F568" s="138" t="s">
        <v>946</v>
      </c>
      <c r="H568" s="138">
        <v>84</v>
      </c>
      <c r="I568" s="138">
        <v>866</v>
      </c>
      <c r="J568" s="138">
        <v>364</v>
      </c>
      <c r="K568" s="138">
        <v>454</v>
      </c>
      <c r="N568" s="138">
        <v>14</v>
      </c>
      <c r="O568" s="138">
        <v>1</v>
      </c>
      <c r="S568" s="138">
        <v>12</v>
      </c>
      <c r="T568" s="138">
        <v>21</v>
      </c>
      <c r="U568" s="138">
        <f t="shared" si="1024"/>
        <v>34</v>
      </c>
      <c r="W568" s="139">
        <f t="shared" ref="W568:AA568" si="1138">J568/$I568</f>
        <v>0.42032332563510394</v>
      </c>
      <c r="X568" s="139">
        <f t="shared" si="1138"/>
        <v>0.5242494226327945</v>
      </c>
      <c r="Y568" s="139">
        <f t="shared" si="1138"/>
        <v>0</v>
      </c>
      <c r="Z568" s="139">
        <f t="shared" si="1138"/>
        <v>0</v>
      </c>
      <c r="AA568" s="139">
        <f t="shared" si="1138"/>
        <v>1.6166281755196306E-2</v>
      </c>
      <c r="AB568" s="139"/>
      <c r="AC568" s="139">
        <f t="shared" si="1026"/>
        <v>3.9260969976905313E-2</v>
      </c>
      <c r="AD568" s="139">
        <f t="shared" ref="AD568:AI568" si="1139">O568/$I568</f>
        <v>1.1547344110854503E-3</v>
      </c>
      <c r="AE568" s="139">
        <f t="shared" si="1139"/>
        <v>0</v>
      </c>
      <c r="AF568" s="139">
        <f t="shared" si="1139"/>
        <v>0</v>
      </c>
      <c r="AG568" s="139">
        <f t="shared" si="1139"/>
        <v>0</v>
      </c>
      <c r="AH568" s="139">
        <f t="shared" si="1139"/>
        <v>1.3856812933025405E-2</v>
      </c>
      <c r="AI568" s="139">
        <f t="shared" si="1139"/>
        <v>2.4249422632794459E-2</v>
      </c>
    </row>
    <row r="569" spans="2:35">
      <c r="B569" s="138" t="s">
        <v>8077</v>
      </c>
      <c r="C569" s="138" t="s">
        <v>4367</v>
      </c>
      <c r="D569" s="138" t="s">
        <v>15</v>
      </c>
      <c r="E569" s="138" t="s">
        <v>15</v>
      </c>
      <c r="F569" s="138" t="s">
        <v>8132</v>
      </c>
      <c r="H569" s="138">
        <v>85</v>
      </c>
      <c r="I569" s="138">
        <v>796</v>
      </c>
      <c r="J569" s="138">
        <v>363</v>
      </c>
      <c r="K569" s="138">
        <v>371</v>
      </c>
      <c r="N569" s="138">
        <v>11</v>
      </c>
      <c r="O569" s="138">
        <v>12</v>
      </c>
      <c r="S569" s="138">
        <v>18</v>
      </c>
      <c r="T569" s="138">
        <v>21</v>
      </c>
      <c r="U569" s="138">
        <f t="shared" si="1024"/>
        <v>51</v>
      </c>
      <c r="W569" s="139">
        <f t="shared" ref="W569:AA569" si="1140">J569/$I569</f>
        <v>0.45603015075376885</v>
      </c>
      <c r="X569" s="139">
        <f t="shared" si="1140"/>
        <v>0.46608040201005024</v>
      </c>
      <c r="Y569" s="139">
        <f t="shared" si="1140"/>
        <v>0</v>
      </c>
      <c r="Z569" s="139">
        <f t="shared" si="1140"/>
        <v>0</v>
      </c>
      <c r="AA569" s="139">
        <f t="shared" si="1140"/>
        <v>1.3819095477386936E-2</v>
      </c>
      <c r="AB569" s="139"/>
      <c r="AC569" s="139">
        <f t="shared" si="1026"/>
        <v>6.407035175879397E-2</v>
      </c>
      <c r="AD569" s="139">
        <f t="shared" ref="AD569:AI569" si="1141">O569/$I569</f>
        <v>1.507537688442211E-2</v>
      </c>
      <c r="AE569" s="139">
        <f t="shared" si="1141"/>
        <v>0</v>
      </c>
      <c r="AF569" s="139">
        <f t="shared" si="1141"/>
        <v>0</v>
      </c>
      <c r="AG569" s="139">
        <f t="shared" si="1141"/>
        <v>0</v>
      </c>
      <c r="AH569" s="139">
        <f t="shared" si="1141"/>
        <v>2.2613065326633167E-2</v>
      </c>
      <c r="AI569" s="139">
        <f t="shared" si="1141"/>
        <v>2.6381909547738693E-2</v>
      </c>
    </row>
    <row r="570" spans="2:35">
      <c r="B570" s="138" t="s">
        <v>8077</v>
      </c>
      <c r="C570" s="138" t="s">
        <v>4367</v>
      </c>
      <c r="D570" s="138" t="s">
        <v>15</v>
      </c>
      <c r="E570" s="138" t="s">
        <v>15</v>
      </c>
      <c r="F570" s="138" t="s">
        <v>8132</v>
      </c>
      <c r="H570" s="138">
        <v>86</v>
      </c>
      <c r="I570" s="138">
        <v>1019</v>
      </c>
      <c r="J570" s="138">
        <v>433</v>
      </c>
      <c r="K570" s="138">
        <v>503</v>
      </c>
      <c r="N570" s="138">
        <v>18</v>
      </c>
      <c r="O570" s="138">
        <v>11</v>
      </c>
      <c r="S570" s="138">
        <v>23</v>
      </c>
      <c r="T570" s="138">
        <v>31</v>
      </c>
      <c r="U570" s="138">
        <f t="shared" si="1024"/>
        <v>65</v>
      </c>
      <c r="W570" s="139">
        <f t="shared" ref="W570:AA570" si="1142">J570/$I570</f>
        <v>0.42492639842983315</v>
      </c>
      <c r="X570" s="139">
        <f t="shared" si="1142"/>
        <v>0.49362119725220804</v>
      </c>
      <c r="Y570" s="139">
        <f t="shared" si="1142"/>
        <v>0</v>
      </c>
      <c r="Z570" s="139">
        <f t="shared" si="1142"/>
        <v>0</v>
      </c>
      <c r="AA570" s="139">
        <f t="shared" si="1142"/>
        <v>1.7664376840039256E-2</v>
      </c>
      <c r="AB570" s="139"/>
      <c r="AC570" s="139">
        <f t="shared" si="1026"/>
        <v>6.3788027477919534E-2</v>
      </c>
      <c r="AD570" s="139">
        <f t="shared" ref="AD570:AI570" si="1143">O570/$I570</f>
        <v>1.0794896957801767E-2</v>
      </c>
      <c r="AE570" s="139">
        <f t="shared" si="1143"/>
        <v>0</v>
      </c>
      <c r="AF570" s="139">
        <f t="shared" si="1143"/>
        <v>0</v>
      </c>
      <c r="AG570" s="139">
        <f t="shared" si="1143"/>
        <v>0</v>
      </c>
      <c r="AH570" s="139">
        <f t="shared" si="1143"/>
        <v>2.2571148184494603E-2</v>
      </c>
      <c r="AI570" s="139">
        <f t="shared" si="1143"/>
        <v>3.0421982335623161E-2</v>
      </c>
    </row>
    <row r="571" spans="2:35">
      <c r="B571" s="138" t="s">
        <v>8077</v>
      </c>
      <c r="C571" s="138" t="s">
        <v>4367</v>
      </c>
      <c r="D571" s="138" t="s">
        <v>15</v>
      </c>
      <c r="E571" s="138" t="s">
        <v>15</v>
      </c>
      <c r="F571" s="138" t="s">
        <v>8132</v>
      </c>
      <c r="H571" s="138">
        <v>87</v>
      </c>
      <c r="I571" s="138">
        <v>910</v>
      </c>
      <c r="J571" s="138">
        <v>454</v>
      </c>
      <c r="K571" s="138">
        <v>419</v>
      </c>
      <c r="N571" s="138">
        <v>14</v>
      </c>
      <c r="O571" s="138">
        <v>4</v>
      </c>
      <c r="S571" s="138">
        <v>14</v>
      </c>
      <c r="T571" s="138">
        <v>5</v>
      </c>
      <c r="U571" s="138">
        <f t="shared" si="1024"/>
        <v>23</v>
      </c>
      <c r="W571" s="139">
        <f t="shared" ref="W571:AA571" si="1144">J571/$I571</f>
        <v>0.49890109890109891</v>
      </c>
      <c r="X571" s="139">
        <f t="shared" si="1144"/>
        <v>0.46043956043956041</v>
      </c>
      <c r="Y571" s="139">
        <f t="shared" si="1144"/>
        <v>0</v>
      </c>
      <c r="Z571" s="139">
        <f t="shared" si="1144"/>
        <v>0</v>
      </c>
      <c r="AA571" s="139">
        <f t="shared" si="1144"/>
        <v>1.5384615384615385E-2</v>
      </c>
      <c r="AB571" s="139"/>
      <c r="AC571" s="139">
        <f t="shared" si="1026"/>
        <v>2.5274725274725275E-2</v>
      </c>
      <c r="AD571" s="139">
        <f t="shared" ref="AD571:AI571" si="1145">O571/$I571</f>
        <v>4.3956043956043956E-3</v>
      </c>
      <c r="AE571" s="139">
        <f t="shared" si="1145"/>
        <v>0</v>
      </c>
      <c r="AF571" s="139">
        <f t="shared" si="1145"/>
        <v>0</v>
      </c>
      <c r="AG571" s="139">
        <f t="shared" si="1145"/>
        <v>0</v>
      </c>
      <c r="AH571" s="139">
        <f t="shared" si="1145"/>
        <v>1.5384615384615385E-2</v>
      </c>
      <c r="AI571" s="139">
        <f t="shared" si="1145"/>
        <v>5.4945054945054949E-3</v>
      </c>
    </row>
    <row r="572" spans="2:35">
      <c r="B572" s="138" t="s">
        <v>8077</v>
      </c>
      <c r="C572" s="138" t="s">
        <v>4367</v>
      </c>
      <c r="D572" s="138" t="s">
        <v>15</v>
      </c>
      <c r="E572" s="138" t="s">
        <v>15</v>
      </c>
      <c r="F572" s="138" t="s">
        <v>1263</v>
      </c>
      <c r="H572" s="138">
        <v>88</v>
      </c>
      <c r="I572" s="138">
        <v>1059</v>
      </c>
      <c r="J572" s="138">
        <v>621</v>
      </c>
      <c r="K572" s="138">
        <v>373</v>
      </c>
      <c r="N572" s="138">
        <v>14</v>
      </c>
      <c r="O572" s="138">
        <v>2</v>
      </c>
      <c r="S572" s="138">
        <v>32</v>
      </c>
      <c r="T572" s="138">
        <v>17</v>
      </c>
      <c r="U572" s="138">
        <f t="shared" si="1024"/>
        <v>51</v>
      </c>
      <c r="W572" s="139">
        <f t="shared" ref="W572:AA572" si="1146">J572/$I572</f>
        <v>0.58640226628895187</v>
      </c>
      <c r="X572" s="139">
        <f t="shared" si="1146"/>
        <v>0.35221907459867802</v>
      </c>
      <c r="Y572" s="139">
        <f t="shared" si="1146"/>
        <v>0</v>
      </c>
      <c r="Z572" s="139">
        <f t="shared" si="1146"/>
        <v>0</v>
      </c>
      <c r="AA572" s="139">
        <f t="shared" si="1146"/>
        <v>1.3220018885741265E-2</v>
      </c>
      <c r="AB572" s="139"/>
      <c r="AC572" s="139">
        <f t="shared" si="1026"/>
        <v>4.8158640226628892E-2</v>
      </c>
      <c r="AD572" s="139">
        <f t="shared" ref="AD572:AI572" si="1147">O572/$I572</f>
        <v>1.8885741265344666E-3</v>
      </c>
      <c r="AE572" s="139">
        <f t="shared" si="1147"/>
        <v>0</v>
      </c>
      <c r="AF572" s="139">
        <f t="shared" si="1147"/>
        <v>0</v>
      </c>
      <c r="AG572" s="139">
        <f t="shared" si="1147"/>
        <v>0</v>
      </c>
      <c r="AH572" s="139">
        <f t="shared" si="1147"/>
        <v>3.0217186024551465E-2</v>
      </c>
      <c r="AI572" s="139">
        <f t="shared" si="1147"/>
        <v>1.6052880075542966E-2</v>
      </c>
    </row>
    <row r="573" spans="2:35">
      <c r="B573" s="138" t="s">
        <v>8077</v>
      </c>
      <c r="C573" s="138" t="s">
        <v>4367</v>
      </c>
      <c r="D573" s="138" t="s">
        <v>15</v>
      </c>
      <c r="E573" s="138" t="s">
        <v>15</v>
      </c>
      <c r="F573" s="138" t="s">
        <v>1263</v>
      </c>
      <c r="H573" s="138">
        <v>89</v>
      </c>
      <c r="I573" s="138">
        <v>897</v>
      </c>
      <c r="J573" s="138">
        <v>614</v>
      </c>
      <c r="K573" s="138">
        <v>252</v>
      </c>
      <c r="N573" s="138">
        <v>5</v>
      </c>
      <c r="O573" s="138">
        <v>2</v>
      </c>
      <c r="S573" s="138">
        <v>17</v>
      </c>
      <c r="T573" s="138">
        <v>7</v>
      </c>
      <c r="U573" s="138">
        <f t="shared" si="1024"/>
        <v>26</v>
      </c>
      <c r="W573" s="139">
        <f t="shared" ref="W573:AA573" si="1148">J573/$I573</f>
        <v>0.68450390189520627</v>
      </c>
      <c r="X573" s="139">
        <f t="shared" si="1148"/>
        <v>0.28093645484949831</v>
      </c>
      <c r="Y573" s="139">
        <f t="shared" si="1148"/>
        <v>0</v>
      </c>
      <c r="Z573" s="139">
        <f t="shared" si="1148"/>
        <v>0</v>
      </c>
      <c r="AA573" s="139">
        <f t="shared" si="1148"/>
        <v>5.5741360089186179E-3</v>
      </c>
      <c r="AB573" s="139"/>
      <c r="AC573" s="139">
        <f t="shared" si="1026"/>
        <v>2.8985507246376812E-2</v>
      </c>
      <c r="AD573" s="139">
        <f t="shared" ref="AD573:AI573" si="1149">O573/$I573</f>
        <v>2.229654403567447E-3</v>
      </c>
      <c r="AE573" s="139">
        <f t="shared" si="1149"/>
        <v>0</v>
      </c>
      <c r="AF573" s="139">
        <f t="shared" si="1149"/>
        <v>0</v>
      </c>
      <c r="AG573" s="139">
        <f t="shared" si="1149"/>
        <v>0</v>
      </c>
      <c r="AH573" s="139">
        <f t="shared" si="1149"/>
        <v>1.89520624303233E-2</v>
      </c>
      <c r="AI573" s="139">
        <f t="shared" si="1149"/>
        <v>7.803790412486065E-3</v>
      </c>
    </row>
    <row r="574" spans="2:35">
      <c r="B574" s="138" t="s">
        <v>8077</v>
      </c>
      <c r="C574" s="138" t="s">
        <v>4367</v>
      </c>
      <c r="D574" s="138" t="s">
        <v>15</v>
      </c>
      <c r="E574" s="138" t="s">
        <v>15</v>
      </c>
      <c r="F574" s="138" t="s">
        <v>1292</v>
      </c>
      <c r="H574" s="138">
        <v>90</v>
      </c>
      <c r="I574" s="138">
        <v>1103</v>
      </c>
      <c r="J574" s="138">
        <v>429</v>
      </c>
      <c r="K574" s="138">
        <v>617</v>
      </c>
      <c r="N574" s="138">
        <v>18</v>
      </c>
      <c r="O574" s="138">
        <v>5</v>
      </c>
      <c r="S574" s="138">
        <v>19</v>
      </c>
      <c r="T574" s="138">
        <v>15</v>
      </c>
      <c r="U574" s="138">
        <f t="shared" si="1024"/>
        <v>39</v>
      </c>
      <c r="W574" s="139">
        <f t="shared" ref="W574:AA574" si="1150">J574/$I574</f>
        <v>0.38893925657298278</v>
      </c>
      <c r="X574" s="139">
        <f t="shared" si="1150"/>
        <v>0.55938349954669087</v>
      </c>
      <c r="Y574" s="139">
        <f t="shared" si="1150"/>
        <v>0</v>
      </c>
      <c r="Z574" s="139">
        <f t="shared" si="1150"/>
        <v>0</v>
      </c>
      <c r="AA574" s="139">
        <f t="shared" si="1150"/>
        <v>1.6319129646418858E-2</v>
      </c>
      <c r="AB574" s="139"/>
      <c r="AC574" s="139">
        <f t="shared" si="1026"/>
        <v>3.5358114233907528E-2</v>
      </c>
      <c r="AD574" s="139">
        <f t="shared" ref="AD574:AI574" si="1151">O574/$I574</f>
        <v>4.5330915684496827E-3</v>
      </c>
      <c r="AE574" s="139">
        <f t="shared" si="1151"/>
        <v>0</v>
      </c>
      <c r="AF574" s="139">
        <f t="shared" si="1151"/>
        <v>0</v>
      </c>
      <c r="AG574" s="139">
        <f t="shared" si="1151"/>
        <v>0</v>
      </c>
      <c r="AH574" s="139">
        <f t="shared" si="1151"/>
        <v>1.7225747960108794E-2</v>
      </c>
      <c r="AI574" s="139">
        <f t="shared" si="1151"/>
        <v>1.3599274705349048E-2</v>
      </c>
    </row>
    <row r="575" spans="2:35">
      <c r="B575" s="138" t="s">
        <v>8077</v>
      </c>
      <c r="C575" s="138" t="s">
        <v>4367</v>
      </c>
      <c r="D575" s="138" t="s">
        <v>15</v>
      </c>
      <c r="E575" s="138" t="s">
        <v>15</v>
      </c>
      <c r="F575" s="138" t="s">
        <v>7691</v>
      </c>
      <c r="H575" s="138">
        <v>91</v>
      </c>
      <c r="I575" s="138">
        <v>1214</v>
      </c>
      <c r="J575" s="138">
        <v>607</v>
      </c>
      <c r="K575" s="138">
        <v>525</v>
      </c>
      <c r="N575" s="138">
        <v>14</v>
      </c>
      <c r="O575" s="138">
        <v>11</v>
      </c>
      <c r="S575" s="138">
        <v>30</v>
      </c>
      <c r="T575" s="138">
        <v>27</v>
      </c>
      <c r="U575" s="138">
        <f t="shared" si="1024"/>
        <v>68</v>
      </c>
      <c r="W575" s="139">
        <f t="shared" ref="W575:AA575" si="1152">J575/$I575</f>
        <v>0.5</v>
      </c>
      <c r="X575" s="139">
        <f t="shared" si="1152"/>
        <v>0.43245469522240526</v>
      </c>
      <c r="Y575" s="139">
        <f t="shared" si="1152"/>
        <v>0</v>
      </c>
      <c r="Z575" s="139">
        <f t="shared" si="1152"/>
        <v>0</v>
      </c>
      <c r="AA575" s="139">
        <f t="shared" si="1152"/>
        <v>1.1532125205930808E-2</v>
      </c>
      <c r="AB575" s="139"/>
      <c r="AC575" s="139">
        <f t="shared" si="1026"/>
        <v>5.6013179571663921E-2</v>
      </c>
      <c r="AD575" s="139">
        <f t="shared" ref="AD575:AI575" si="1153">O575/$I575</f>
        <v>9.0609555189456337E-3</v>
      </c>
      <c r="AE575" s="139">
        <f t="shared" si="1153"/>
        <v>0</v>
      </c>
      <c r="AF575" s="139">
        <f t="shared" si="1153"/>
        <v>0</v>
      </c>
      <c r="AG575" s="139">
        <f t="shared" si="1153"/>
        <v>0</v>
      </c>
      <c r="AH575" s="139">
        <f t="shared" si="1153"/>
        <v>2.4711696869851731E-2</v>
      </c>
      <c r="AI575" s="139">
        <f t="shared" si="1153"/>
        <v>2.2240527182866558E-2</v>
      </c>
    </row>
    <row r="576" spans="2:35">
      <c r="B576" s="138" t="s">
        <v>8077</v>
      </c>
      <c r="C576" s="138" t="s">
        <v>4367</v>
      </c>
      <c r="D576" s="138" t="s">
        <v>15</v>
      </c>
      <c r="E576" s="138" t="s">
        <v>15</v>
      </c>
      <c r="F576" s="138" t="s">
        <v>7691</v>
      </c>
      <c r="H576" s="138">
        <v>92</v>
      </c>
      <c r="I576" s="138">
        <v>1270</v>
      </c>
      <c r="J576" s="138">
        <v>736</v>
      </c>
      <c r="K576" s="138">
        <v>476</v>
      </c>
      <c r="N576" s="138">
        <v>19</v>
      </c>
      <c r="O576" s="138">
        <v>2</v>
      </c>
      <c r="S576" s="138">
        <v>24</v>
      </c>
      <c r="T576" s="138">
        <v>13</v>
      </c>
      <c r="U576" s="138">
        <f t="shared" si="1024"/>
        <v>39</v>
      </c>
      <c r="W576" s="139">
        <f t="shared" ref="W576:AA576" si="1154">J576/$I576</f>
        <v>0.5795275590551181</v>
      </c>
      <c r="X576" s="139">
        <f t="shared" si="1154"/>
        <v>0.37480314960629924</v>
      </c>
      <c r="Y576" s="139">
        <f t="shared" si="1154"/>
        <v>0</v>
      </c>
      <c r="Z576" s="139">
        <f t="shared" si="1154"/>
        <v>0</v>
      </c>
      <c r="AA576" s="139">
        <f t="shared" si="1154"/>
        <v>1.4960629921259842E-2</v>
      </c>
      <c r="AB576" s="139"/>
      <c r="AC576" s="139">
        <f t="shared" si="1026"/>
        <v>3.0708661417322834E-2</v>
      </c>
      <c r="AD576" s="139">
        <f t="shared" ref="AD576:AI576" si="1155">O576/$I576</f>
        <v>1.5748031496062992E-3</v>
      </c>
      <c r="AE576" s="139">
        <f t="shared" si="1155"/>
        <v>0</v>
      </c>
      <c r="AF576" s="139">
        <f t="shared" si="1155"/>
        <v>0</v>
      </c>
      <c r="AG576" s="139">
        <f t="shared" si="1155"/>
        <v>0</v>
      </c>
      <c r="AH576" s="139">
        <f t="shared" si="1155"/>
        <v>1.889763779527559E-2</v>
      </c>
      <c r="AI576" s="139">
        <f t="shared" si="1155"/>
        <v>1.0236220472440945E-2</v>
      </c>
    </row>
    <row r="577" spans="2:35">
      <c r="B577" s="138" t="s">
        <v>8077</v>
      </c>
      <c r="C577" s="138" t="s">
        <v>4367</v>
      </c>
      <c r="D577" s="138" t="s">
        <v>15</v>
      </c>
      <c r="E577" s="138" t="s">
        <v>15</v>
      </c>
      <c r="F577" s="138" t="s">
        <v>8133</v>
      </c>
      <c r="H577" s="138">
        <v>93</v>
      </c>
      <c r="I577" s="138">
        <v>1045</v>
      </c>
      <c r="J577" s="138">
        <v>635</v>
      </c>
      <c r="K577" s="138">
        <v>358</v>
      </c>
      <c r="N577" s="138">
        <v>16</v>
      </c>
      <c r="O577" s="138">
        <v>2</v>
      </c>
      <c r="S577" s="138">
        <v>23</v>
      </c>
      <c r="T577" s="138">
        <v>11</v>
      </c>
      <c r="U577" s="138">
        <f t="shared" si="1024"/>
        <v>36</v>
      </c>
      <c r="W577" s="139">
        <f t="shared" ref="W577:AA577" si="1156">J577/$I577</f>
        <v>0.60765550239234445</v>
      </c>
      <c r="X577" s="139">
        <f t="shared" si="1156"/>
        <v>0.34258373205741627</v>
      </c>
      <c r="Y577" s="139">
        <f t="shared" si="1156"/>
        <v>0</v>
      </c>
      <c r="Z577" s="139">
        <f t="shared" si="1156"/>
        <v>0</v>
      </c>
      <c r="AA577" s="139">
        <f t="shared" si="1156"/>
        <v>1.5311004784688996E-2</v>
      </c>
      <c r="AB577" s="139"/>
      <c r="AC577" s="139">
        <f t="shared" si="1026"/>
        <v>3.4449760765550237E-2</v>
      </c>
      <c r="AD577" s="139">
        <f t="shared" ref="AD577:AI577" si="1157">O577/$I577</f>
        <v>1.9138755980861245E-3</v>
      </c>
      <c r="AE577" s="139">
        <f t="shared" si="1157"/>
        <v>0</v>
      </c>
      <c r="AF577" s="139">
        <f t="shared" si="1157"/>
        <v>0</v>
      </c>
      <c r="AG577" s="139">
        <f t="shared" si="1157"/>
        <v>0</v>
      </c>
      <c r="AH577" s="139">
        <f t="shared" si="1157"/>
        <v>2.200956937799043E-2</v>
      </c>
      <c r="AI577" s="139">
        <f t="shared" si="1157"/>
        <v>1.0526315789473684E-2</v>
      </c>
    </row>
    <row r="578" spans="2:35">
      <c r="B578" s="138" t="s">
        <v>8077</v>
      </c>
      <c r="C578" s="138" t="s">
        <v>4367</v>
      </c>
      <c r="D578" s="138" t="s">
        <v>15</v>
      </c>
      <c r="E578" s="138" t="s">
        <v>389</v>
      </c>
      <c r="F578" s="138" t="s">
        <v>8133</v>
      </c>
      <c r="H578" s="138">
        <v>94</v>
      </c>
      <c r="I578" s="138">
        <v>1004</v>
      </c>
      <c r="J578" s="138">
        <v>562</v>
      </c>
      <c r="K578" s="138">
        <v>382</v>
      </c>
      <c r="N578" s="138">
        <v>13</v>
      </c>
      <c r="O578" s="138">
        <v>8</v>
      </c>
      <c r="S578" s="138">
        <v>28</v>
      </c>
      <c r="T578" s="138">
        <v>11</v>
      </c>
      <c r="U578" s="138">
        <f t="shared" si="1024"/>
        <v>47</v>
      </c>
      <c r="W578" s="139">
        <f t="shared" ref="W578:AA578" si="1158">J578/$I578</f>
        <v>0.55976095617529875</v>
      </c>
      <c r="X578" s="139">
        <f t="shared" si="1158"/>
        <v>0.38047808764940239</v>
      </c>
      <c r="Y578" s="139">
        <f t="shared" si="1158"/>
        <v>0</v>
      </c>
      <c r="Z578" s="139">
        <f t="shared" si="1158"/>
        <v>0</v>
      </c>
      <c r="AA578" s="139">
        <f t="shared" si="1158"/>
        <v>1.2948207171314742E-2</v>
      </c>
      <c r="AB578" s="139"/>
      <c r="AC578" s="139">
        <f t="shared" si="1026"/>
        <v>4.6812749003984064E-2</v>
      </c>
      <c r="AD578" s="139">
        <f t="shared" ref="AD578:AI578" si="1159">O578/$I578</f>
        <v>7.9681274900398405E-3</v>
      </c>
      <c r="AE578" s="139">
        <f t="shared" si="1159"/>
        <v>0</v>
      </c>
      <c r="AF578" s="139">
        <f t="shared" si="1159"/>
        <v>0</v>
      </c>
      <c r="AG578" s="139">
        <f t="shared" si="1159"/>
        <v>0</v>
      </c>
      <c r="AH578" s="139">
        <f t="shared" si="1159"/>
        <v>2.7888446215139442E-2</v>
      </c>
      <c r="AI578" s="139">
        <f t="shared" si="1159"/>
        <v>1.0956175298804782E-2</v>
      </c>
    </row>
    <row r="579" spans="2:35">
      <c r="B579" s="138" t="s">
        <v>8077</v>
      </c>
      <c r="C579" s="138" t="s">
        <v>4367</v>
      </c>
      <c r="D579" s="138" t="s">
        <v>15</v>
      </c>
      <c r="E579" s="138" t="s">
        <v>389</v>
      </c>
      <c r="F579" s="138" t="s">
        <v>946</v>
      </c>
      <c r="H579" s="138">
        <v>95</v>
      </c>
      <c r="I579" s="138">
        <v>976</v>
      </c>
      <c r="J579" s="138">
        <v>572</v>
      </c>
      <c r="K579" s="138">
        <v>349</v>
      </c>
      <c r="N579" s="138">
        <v>10</v>
      </c>
      <c r="O579" s="138">
        <v>4</v>
      </c>
      <c r="S579" s="138">
        <v>16</v>
      </c>
      <c r="T579" s="138">
        <v>25</v>
      </c>
      <c r="U579" s="138">
        <f t="shared" si="1024"/>
        <v>45</v>
      </c>
      <c r="W579" s="139">
        <f t="shared" ref="W579:AA579" si="1160">J579/$I579</f>
        <v>0.58606557377049184</v>
      </c>
      <c r="X579" s="139">
        <f t="shared" si="1160"/>
        <v>0.35758196721311475</v>
      </c>
      <c r="Y579" s="139">
        <f t="shared" si="1160"/>
        <v>0</v>
      </c>
      <c r="Z579" s="139">
        <f t="shared" si="1160"/>
        <v>0</v>
      </c>
      <c r="AA579" s="139">
        <f t="shared" si="1160"/>
        <v>1.0245901639344262E-2</v>
      </c>
      <c r="AB579" s="139"/>
      <c r="AC579" s="139">
        <f t="shared" si="1026"/>
        <v>4.6106557377049183E-2</v>
      </c>
      <c r="AD579" s="139">
        <f t="shared" ref="AD579:AI579" si="1161">O579/$I579</f>
        <v>4.0983606557377051E-3</v>
      </c>
      <c r="AE579" s="139">
        <f t="shared" si="1161"/>
        <v>0</v>
      </c>
      <c r="AF579" s="139">
        <f t="shared" si="1161"/>
        <v>0</v>
      </c>
      <c r="AG579" s="139">
        <f t="shared" si="1161"/>
        <v>0</v>
      </c>
      <c r="AH579" s="139">
        <f t="shared" si="1161"/>
        <v>1.6393442622950821E-2</v>
      </c>
      <c r="AI579" s="139">
        <f t="shared" si="1161"/>
        <v>2.5614754098360656E-2</v>
      </c>
    </row>
    <row r="580" spans="2:35">
      <c r="B580" s="138" t="s">
        <v>8077</v>
      </c>
      <c r="C580" s="138" t="s">
        <v>4367</v>
      </c>
      <c r="D580" s="138" t="s">
        <v>15</v>
      </c>
      <c r="E580" s="138" t="s">
        <v>389</v>
      </c>
      <c r="F580" s="138" t="s">
        <v>946</v>
      </c>
      <c r="H580" s="138">
        <v>96</v>
      </c>
      <c r="I580" s="138">
        <v>1001</v>
      </c>
      <c r="J580" s="138">
        <v>623</v>
      </c>
      <c r="K580" s="138">
        <v>319</v>
      </c>
      <c r="N580" s="138">
        <v>13</v>
      </c>
      <c r="O580" s="138">
        <v>2</v>
      </c>
      <c r="S580" s="138">
        <v>27</v>
      </c>
      <c r="T580" s="138">
        <v>17</v>
      </c>
      <c r="U580" s="138">
        <f t="shared" si="1024"/>
        <v>46</v>
      </c>
      <c r="W580" s="139">
        <f t="shared" ref="W580:AA580" si="1162">J580/$I580</f>
        <v>0.6223776223776224</v>
      </c>
      <c r="X580" s="139">
        <f t="shared" si="1162"/>
        <v>0.31868131868131866</v>
      </c>
      <c r="Y580" s="139">
        <f t="shared" si="1162"/>
        <v>0</v>
      </c>
      <c r="Z580" s="139">
        <f t="shared" si="1162"/>
        <v>0</v>
      </c>
      <c r="AA580" s="139">
        <f t="shared" si="1162"/>
        <v>1.2987012987012988E-2</v>
      </c>
      <c r="AB580" s="139"/>
      <c r="AC580" s="139">
        <f t="shared" si="1026"/>
        <v>4.5954045954045952E-2</v>
      </c>
      <c r="AD580" s="139">
        <f t="shared" ref="AD580:AI580" si="1163">O580/$I580</f>
        <v>1.998001998001998E-3</v>
      </c>
      <c r="AE580" s="139">
        <f t="shared" si="1163"/>
        <v>0</v>
      </c>
      <c r="AF580" s="139">
        <f t="shared" si="1163"/>
        <v>0</v>
      </c>
      <c r="AG580" s="139">
        <f t="shared" si="1163"/>
        <v>0</v>
      </c>
      <c r="AH580" s="139">
        <f t="shared" si="1163"/>
        <v>2.6973026973026972E-2</v>
      </c>
      <c r="AI580" s="139">
        <f t="shared" si="1163"/>
        <v>1.6983016983016984E-2</v>
      </c>
    </row>
    <row r="581" spans="2:35">
      <c r="B581" s="138" t="s">
        <v>8077</v>
      </c>
      <c r="C581" s="138" t="s">
        <v>4367</v>
      </c>
      <c r="D581" s="138" t="s">
        <v>15</v>
      </c>
      <c r="E581" s="138" t="s">
        <v>389</v>
      </c>
      <c r="F581" s="138" t="s">
        <v>946</v>
      </c>
      <c r="H581" s="138">
        <v>97</v>
      </c>
      <c r="I581" s="138">
        <v>930</v>
      </c>
      <c r="J581" s="138">
        <v>547</v>
      </c>
      <c r="K581" s="138">
        <v>325</v>
      </c>
      <c r="N581" s="138">
        <v>12</v>
      </c>
      <c r="O581" s="138">
        <v>3</v>
      </c>
      <c r="S581" s="138">
        <v>22</v>
      </c>
      <c r="T581" s="138">
        <v>21</v>
      </c>
      <c r="U581" s="138">
        <f t="shared" si="1024"/>
        <v>46</v>
      </c>
      <c r="W581" s="139">
        <f t="shared" ref="W581:AA581" si="1164">J581/$I581</f>
        <v>0.58817204301075265</v>
      </c>
      <c r="X581" s="139">
        <f t="shared" si="1164"/>
        <v>0.34946236559139787</v>
      </c>
      <c r="Y581" s="139">
        <f t="shared" si="1164"/>
        <v>0</v>
      </c>
      <c r="Z581" s="139">
        <f t="shared" si="1164"/>
        <v>0</v>
      </c>
      <c r="AA581" s="139">
        <f t="shared" si="1164"/>
        <v>1.2903225806451613E-2</v>
      </c>
      <c r="AB581" s="139"/>
      <c r="AC581" s="139">
        <f t="shared" si="1026"/>
        <v>4.9462365591397849E-2</v>
      </c>
      <c r="AD581" s="139">
        <f t="shared" ref="AD581:AI581" si="1165">O581/$I581</f>
        <v>3.2258064516129032E-3</v>
      </c>
      <c r="AE581" s="139">
        <f t="shared" si="1165"/>
        <v>0</v>
      </c>
      <c r="AF581" s="139">
        <f t="shared" si="1165"/>
        <v>0</v>
      </c>
      <c r="AG581" s="139">
        <f t="shared" si="1165"/>
        <v>0</v>
      </c>
      <c r="AH581" s="139">
        <f t="shared" si="1165"/>
        <v>2.3655913978494623E-2</v>
      </c>
      <c r="AI581" s="139">
        <f t="shared" si="1165"/>
        <v>2.2580645161290321E-2</v>
      </c>
    </row>
    <row r="582" spans="2:35">
      <c r="B582" s="138" t="s">
        <v>8077</v>
      </c>
      <c r="C582" s="138" t="s">
        <v>4367</v>
      </c>
      <c r="D582" s="138" t="s">
        <v>15</v>
      </c>
      <c r="E582" s="138" t="s">
        <v>389</v>
      </c>
      <c r="F582" s="138" t="s">
        <v>946</v>
      </c>
      <c r="H582" s="138">
        <v>98</v>
      </c>
      <c r="I582" s="138">
        <v>1074</v>
      </c>
      <c r="J582" s="138">
        <v>670</v>
      </c>
      <c r="K582" s="138">
        <v>330</v>
      </c>
      <c r="N582" s="138">
        <v>14</v>
      </c>
      <c r="O582" s="138">
        <v>5</v>
      </c>
      <c r="S582" s="138">
        <v>27</v>
      </c>
      <c r="T582" s="138">
        <v>28</v>
      </c>
      <c r="U582" s="138">
        <f t="shared" si="1024"/>
        <v>60</v>
      </c>
      <c r="W582" s="139">
        <f t="shared" ref="W582:AA582" si="1166">J582/$I582</f>
        <v>0.62383612662942267</v>
      </c>
      <c r="X582" s="139">
        <f t="shared" si="1166"/>
        <v>0.30726256983240224</v>
      </c>
      <c r="Y582" s="139">
        <f t="shared" si="1166"/>
        <v>0</v>
      </c>
      <c r="Z582" s="139">
        <f t="shared" si="1166"/>
        <v>0</v>
      </c>
      <c r="AA582" s="139">
        <f t="shared" si="1166"/>
        <v>1.3035381750465549E-2</v>
      </c>
      <c r="AB582" s="139"/>
      <c r="AC582" s="139">
        <f t="shared" si="1026"/>
        <v>5.5865921787709494E-2</v>
      </c>
      <c r="AD582" s="139">
        <f t="shared" ref="AD582:AI582" si="1167">O582/$I582</f>
        <v>4.6554934823091251E-3</v>
      </c>
      <c r="AE582" s="139">
        <f t="shared" si="1167"/>
        <v>0</v>
      </c>
      <c r="AF582" s="139">
        <f t="shared" si="1167"/>
        <v>0</v>
      </c>
      <c r="AG582" s="139">
        <f t="shared" si="1167"/>
        <v>0</v>
      </c>
      <c r="AH582" s="139">
        <f t="shared" si="1167"/>
        <v>2.5139664804469275E-2</v>
      </c>
      <c r="AI582" s="139">
        <f t="shared" si="1167"/>
        <v>2.6070763500931099E-2</v>
      </c>
    </row>
    <row r="583" spans="2:35">
      <c r="B583" s="138" t="s">
        <v>8077</v>
      </c>
      <c r="C583" s="138" t="s">
        <v>4367</v>
      </c>
      <c r="D583" s="138" t="s">
        <v>15</v>
      </c>
      <c r="E583" s="138" t="s">
        <v>389</v>
      </c>
      <c r="F583" s="138" t="s">
        <v>946</v>
      </c>
      <c r="H583" s="138">
        <v>99</v>
      </c>
      <c r="I583" s="138">
        <v>691</v>
      </c>
      <c r="J583" s="138">
        <v>533</v>
      </c>
      <c r="K583" s="138">
        <v>137</v>
      </c>
      <c r="N583" s="138">
        <v>11</v>
      </c>
      <c r="O583" s="138">
        <v>0</v>
      </c>
      <c r="S583" s="138">
        <v>8</v>
      </c>
      <c r="T583" s="138">
        <v>2</v>
      </c>
      <c r="U583" s="138">
        <f t="shared" si="1024"/>
        <v>10</v>
      </c>
      <c r="W583" s="139">
        <f t="shared" ref="W583:AA583" si="1168">J583/$I583</f>
        <v>0.77134587554269174</v>
      </c>
      <c r="X583" s="139">
        <f t="shared" si="1168"/>
        <v>0.19826338639652677</v>
      </c>
      <c r="Y583" s="139">
        <f t="shared" si="1168"/>
        <v>0</v>
      </c>
      <c r="Z583" s="139">
        <f t="shared" si="1168"/>
        <v>0</v>
      </c>
      <c r="AA583" s="139">
        <f t="shared" si="1168"/>
        <v>1.5918958031837915E-2</v>
      </c>
      <c r="AB583" s="139"/>
      <c r="AC583" s="139">
        <f t="shared" si="1026"/>
        <v>1.4471780028943559E-2</v>
      </c>
      <c r="AD583" s="139">
        <f t="shared" ref="AD583:AI583" si="1169">O583/$I583</f>
        <v>0</v>
      </c>
      <c r="AE583" s="139">
        <f t="shared" si="1169"/>
        <v>0</v>
      </c>
      <c r="AF583" s="139">
        <f t="shared" si="1169"/>
        <v>0</v>
      </c>
      <c r="AG583" s="139">
        <f t="shared" si="1169"/>
        <v>0</v>
      </c>
      <c r="AH583" s="139">
        <f t="shared" si="1169"/>
        <v>1.1577424023154847E-2</v>
      </c>
      <c r="AI583" s="139">
        <f t="shared" si="1169"/>
        <v>2.8943560057887118E-3</v>
      </c>
    </row>
    <row r="584" spans="2:35">
      <c r="B584" s="138" t="s">
        <v>8077</v>
      </c>
      <c r="C584" s="138" t="s">
        <v>4367</v>
      </c>
      <c r="D584" s="138" t="s">
        <v>15</v>
      </c>
      <c r="E584" s="138" t="s">
        <v>389</v>
      </c>
      <c r="F584" s="138" t="s">
        <v>946</v>
      </c>
      <c r="H584" s="138">
        <v>100</v>
      </c>
      <c r="I584" s="138">
        <v>623</v>
      </c>
      <c r="J584" s="138">
        <v>379</v>
      </c>
      <c r="K584" s="138">
        <v>205</v>
      </c>
      <c r="N584" s="138">
        <v>7</v>
      </c>
      <c r="O584" s="138">
        <v>2</v>
      </c>
      <c r="S584" s="138">
        <v>15</v>
      </c>
      <c r="T584" s="138">
        <v>15</v>
      </c>
      <c r="U584" s="138">
        <f t="shared" si="1024"/>
        <v>32</v>
      </c>
      <c r="W584" s="139">
        <f t="shared" ref="W584:AA584" si="1170">J584/$I584</f>
        <v>0.608346709470305</v>
      </c>
      <c r="X584" s="139">
        <f t="shared" si="1170"/>
        <v>0.3290529695024077</v>
      </c>
      <c r="Y584" s="139">
        <f t="shared" si="1170"/>
        <v>0</v>
      </c>
      <c r="Z584" s="139">
        <f t="shared" si="1170"/>
        <v>0</v>
      </c>
      <c r="AA584" s="139">
        <f t="shared" si="1170"/>
        <v>1.1235955056179775E-2</v>
      </c>
      <c r="AB584" s="139"/>
      <c r="AC584" s="139">
        <f t="shared" si="1026"/>
        <v>5.1364365971107544E-2</v>
      </c>
      <c r="AD584" s="139">
        <f t="shared" ref="AD584:AI584" si="1171">O584/$I584</f>
        <v>3.2102728731942215E-3</v>
      </c>
      <c r="AE584" s="139">
        <f t="shared" si="1171"/>
        <v>0</v>
      </c>
      <c r="AF584" s="139">
        <f t="shared" si="1171"/>
        <v>0</v>
      </c>
      <c r="AG584" s="139">
        <f t="shared" si="1171"/>
        <v>0</v>
      </c>
      <c r="AH584" s="139">
        <f t="shared" si="1171"/>
        <v>2.4077046548956663E-2</v>
      </c>
      <c r="AI584" s="139">
        <f t="shared" si="1171"/>
        <v>2.4077046548956663E-2</v>
      </c>
    </row>
    <row r="585" spans="2:35">
      <c r="B585" s="138" t="s">
        <v>8077</v>
      </c>
      <c r="C585" s="138" t="s">
        <v>4367</v>
      </c>
      <c r="D585" s="138" t="s">
        <v>15</v>
      </c>
      <c r="E585" s="138" t="s">
        <v>389</v>
      </c>
      <c r="F585" s="138" t="s">
        <v>946</v>
      </c>
      <c r="H585" s="138">
        <v>101</v>
      </c>
      <c r="I585" s="138">
        <v>734</v>
      </c>
      <c r="J585" s="138">
        <v>440</v>
      </c>
      <c r="K585" s="138">
        <v>250</v>
      </c>
      <c r="N585" s="138">
        <v>9</v>
      </c>
      <c r="O585" s="138">
        <v>3</v>
      </c>
      <c r="S585" s="138">
        <v>17</v>
      </c>
      <c r="T585" s="138">
        <v>15</v>
      </c>
      <c r="U585" s="138">
        <f t="shared" si="1024"/>
        <v>35</v>
      </c>
      <c r="W585" s="139">
        <f t="shared" ref="W585:AA585" si="1172">J585/$I585</f>
        <v>0.59945504087193457</v>
      </c>
      <c r="X585" s="139">
        <f t="shared" si="1172"/>
        <v>0.34059945504087191</v>
      </c>
      <c r="Y585" s="139">
        <f t="shared" si="1172"/>
        <v>0</v>
      </c>
      <c r="Z585" s="139">
        <f t="shared" si="1172"/>
        <v>0</v>
      </c>
      <c r="AA585" s="139">
        <f t="shared" si="1172"/>
        <v>1.226158038147139E-2</v>
      </c>
      <c r="AB585" s="139"/>
      <c r="AC585" s="139">
        <f t="shared" si="1026"/>
        <v>4.7683923705722074E-2</v>
      </c>
      <c r="AD585" s="139">
        <f t="shared" ref="AD585:AI585" si="1173">O585/$I585</f>
        <v>4.0871934604904629E-3</v>
      </c>
      <c r="AE585" s="139">
        <f t="shared" si="1173"/>
        <v>0</v>
      </c>
      <c r="AF585" s="139">
        <f t="shared" si="1173"/>
        <v>0</v>
      </c>
      <c r="AG585" s="139">
        <f t="shared" si="1173"/>
        <v>0</v>
      </c>
      <c r="AH585" s="139">
        <f t="shared" si="1173"/>
        <v>2.316076294277929E-2</v>
      </c>
      <c r="AI585" s="139">
        <f t="shared" si="1173"/>
        <v>2.0435967302452316E-2</v>
      </c>
    </row>
    <row r="586" spans="2:35">
      <c r="B586" s="138" t="s">
        <v>8077</v>
      </c>
      <c r="C586" s="138" t="s">
        <v>4367</v>
      </c>
      <c r="D586" s="138" t="s">
        <v>15</v>
      </c>
      <c r="E586" s="138" t="s">
        <v>389</v>
      </c>
      <c r="F586" s="138" t="s">
        <v>8134</v>
      </c>
      <c r="H586" s="138">
        <v>102</v>
      </c>
      <c r="I586" s="138">
        <v>814</v>
      </c>
      <c r="J586" s="138">
        <v>435</v>
      </c>
      <c r="K586" s="138">
        <v>328</v>
      </c>
      <c r="N586" s="138">
        <v>15</v>
      </c>
      <c r="O586" s="138">
        <v>8</v>
      </c>
      <c r="S586" s="138">
        <v>8</v>
      </c>
      <c r="T586" s="138">
        <v>20</v>
      </c>
      <c r="U586" s="138">
        <f t="shared" si="1024"/>
        <v>36</v>
      </c>
      <c r="W586" s="139">
        <f t="shared" ref="W586:AA586" si="1174">J586/$I586</f>
        <v>0.53439803439803435</v>
      </c>
      <c r="X586" s="139">
        <f t="shared" si="1174"/>
        <v>0.40294840294840295</v>
      </c>
      <c r="Y586" s="139">
        <f t="shared" si="1174"/>
        <v>0</v>
      </c>
      <c r="Z586" s="139">
        <f t="shared" si="1174"/>
        <v>0</v>
      </c>
      <c r="AA586" s="139">
        <f t="shared" si="1174"/>
        <v>1.8427518427518427E-2</v>
      </c>
      <c r="AB586" s="139"/>
      <c r="AC586" s="139">
        <f t="shared" si="1026"/>
        <v>4.4226044226044224E-2</v>
      </c>
      <c r="AD586" s="139">
        <f t="shared" ref="AD586:AI586" si="1175">O586/$I586</f>
        <v>9.8280098280098278E-3</v>
      </c>
      <c r="AE586" s="139">
        <f t="shared" si="1175"/>
        <v>0</v>
      </c>
      <c r="AF586" s="139">
        <f t="shared" si="1175"/>
        <v>0</v>
      </c>
      <c r="AG586" s="139">
        <f t="shared" si="1175"/>
        <v>0</v>
      </c>
      <c r="AH586" s="139">
        <f t="shared" si="1175"/>
        <v>9.8280098280098278E-3</v>
      </c>
      <c r="AI586" s="139">
        <f t="shared" si="1175"/>
        <v>2.4570024570024569E-2</v>
      </c>
    </row>
    <row r="587" spans="2:35">
      <c r="B587" s="138" t="s">
        <v>8077</v>
      </c>
      <c r="C587" s="138" t="s">
        <v>4367</v>
      </c>
      <c r="D587" s="138" t="s">
        <v>15</v>
      </c>
      <c r="E587" s="138" t="s">
        <v>389</v>
      </c>
      <c r="F587" s="138" t="s">
        <v>8134</v>
      </c>
      <c r="H587" s="138">
        <v>103</v>
      </c>
      <c r="I587" s="138">
        <v>1023</v>
      </c>
      <c r="J587" s="138">
        <v>573</v>
      </c>
      <c r="K587" s="138">
        <v>408</v>
      </c>
      <c r="N587" s="138">
        <v>6</v>
      </c>
      <c r="O587" s="138">
        <v>4</v>
      </c>
      <c r="S587" s="138">
        <v>20</v>
      </c>
      <c r="T587" s="138">
        <v>12</v>
      </c>
      <c r="U587" s="138">
        <f t="shared" si="1024"/>
        <v>36</v>
      </c>
      <c r="W587" s="139">
        <f t="shared" ref="W587:AA587" si="1176">J587/$I587</f>
        <v>0.56011730205278587</v>
      </c>
      <c r="X587" s="139">
        <f t="shared" si="1176"/>
        <v>0.39882697947214074</v>
      </c>
      <c r="Y587" s="139">
        <f t="shared" si="1176"/>
        <v>0</v>
      </c>
      <c r="Z587" s="139">
        <f t="shared" si="1176"/>
        <v>0</v>
      </c>
      <c r="AA587" s="139">
        <f t="shared" si="1176"/>
        <v>5.8651026392961877E-3</v>
      </c>
      <c r="AB587" s="139"/>
      <c r="AC587" s="139">
        <f t="shared" si="1026"/>
        <v>3.519061583577713E-2</v>
      </c>
      <c r="AD587" s="139">
        <f t="shared" ref="AD587:AI587" si="1177">O587/$I587</f>
        <v>3.9100684261974585E-3</v>
      </c>
      <c r="AE587" s="139">
        <f t="shared" si="1177"/>
        <v>0</v>
      </c>
      <c r="AF587" s="139">
        <f t="shared" si="1177"/>
        <v>0</v>
      </c>
      <c r="AG587" s="139">
        <f t="shared" si="1177"/>
        <v>0</v>
      </c>
      <c r="AH587" s="139">
        <f t="shared" si="1177"/>
        <v>1.9550342130987292E-2</v>
      </c>
      <c r="AI587" s="139">
        <f t="shared" si="1177"/>
        <v>1.1730205278592375E-2</v>
      </c>
    </row>
    <row r="588" spans="2:35">
      <c r="B588" s="138" t="s">
        <v>8077</v>
      </c>
      <c r="C588" s="138" t="s">
        <v>4367</v>
      </c>
      <c r="D588" s="138" t="s">
        <v>15</v>
      </c>
      <c r="E588" s="138" t="s">
        <v>389</v>
      </c>
      <c r="F588" s="138" t="s">
        <v>8135</v>
      </c>
      <c r="H588" s="138">
        <v>104</v>
      </c>
      <c r="I588" s="138">
        <v>711</v>
      </c>
      <c r="J588" s="138">
        <v>382</v>
      </c>
      <c r="K588" s="138">
        <v>290</v>
      </c>
      <c r="N588" s="138">
        <v>6</v>
      </c>
      <c r="O588" s="138">
        <v>6</v>
      </c>
      <c r="S588" s="138">
        <v>17</v>
      </c>
      <c r="T588" s="138">
        <v>10</v>
      </c>
      <c r="U588" s="138">
        <f t="shared" si="1024"/>
        <v>33</v>
      </c>
      <c r="W588" s="139">
        <f t="shared" ref="W588:AA588" si="1178">J588/$I588</f>
        <v>0.53727144866385368</v>
      </c>
      <c r="X588" s="139">
        <f t="shared" si="1178"/>
        <v>0.40787623066104078</v>
      </c>
      <c r="Y588" s="139">
        <f t="shared" si="1178"/>
        <v>0</v>
      </c>
      <c r="Z588" s="139">
        <f t="shared" si="1178"/>
        <v>0</v>
      </c>
      <c r="AA588" s="139">
        <f t="shared" si="1178"/>
        <v>8.4388185654008432E-3</v>
      </c>
      <c r="AB588" s="139"/>
      <c r="AC588" s="139">
        <f t="shared" si="1026"/>
        <v>4.6413502109704644E-2</v>
      </c>
      <c r="AD588" s="139">
        <f t="shared" ref="AD588:AI588" si="1179">O588/$I588</f>
        <v>8.4388185654008432E-3</v>
      </c>
      <c r="AE588" s="139">
        <f t="shared" si="1179"/>
        <v>0</v>
      </c>
      <c r="AF588" s="139">
        <f t="shared" si="1179"/>
        <v>0</v>
      </c>
      <c r="AG588" s="139">
        <f t="shared" si="1179"/>
        <v>0</v>
      </c>
      <c r="AH588" s="139">
        <f t="shared" si="1179"/>
        <v>2.3909985935302389E-2</v>
      </c>
      <c r="AI588" s="139">
        <f t="shared" si="1179"/>
        <v>1.4064697609001406E-2</v>
      </c>
    </row>
    <row r="589" spans="2:35">
      <c r="B589" s="138" t="s">
        <v>8077</v>
      </c>
      <c r="C589" s="138" t="s">
        <v>4367</v>
      </c>
      <c r="D589" s="138" t="s">
        <v>15</v>
      </c>
      <c r="E589" s="138" t="s">
        <v>389</v>
      </c>
      <c r="F589" s="138" t="s">
        <v>8135</v>
      </c>
      <c r="H589" s="138">
        <v>105</v>
      </c>
      <c r="I589" s="138">
        <v>886</v>
      </c>
      <c r="J589" s="138">
        <v>544</v>
      </c>
      <c r="K589" s="138">
        <v>305</v>
      </c>
      <c r="N589" s="138">
        <v>9</v>
      </c>
      <c r="O589" s="138">
        <v>5</v>
      </c>
      <c r="S589" s="138">
        <v>12</v>
      </c>
      <c r="T589" s="138">
        <v>11</v>
      </c>
      <c r="U589" s="138">
        <f t="shared" si="1024"/>
        <v>28</v>
      </c>
      <c r="W589" s="139">
        <f t="shared" ref="W589:AA589" si="1180">J589/$I589</f>
        <v>0.61399548532731374</v>
      </c>
      <c r="X589" s="139">
        <f t="shared" si="1180"/>
        <v>0.34424379232505642</v>
      </c>
      <c r="Y589" s="139">
        <f t="shared" si="1180"/>
        <v>0</v>
      </c>
      <c r="Z589" s="139">
        <f t="shared" si="1180"/>
        <v>0</v>
      </c>
      <c r="AA589" s="139">
        <f t="shared" si="1180"/>
        <v>1.0158013544018058E-2</v>
      </c>
      <c r="AB589" s="139"/>
      <c r="AC589" s="139">
        <f t="shared" si="1026"/>
        <v>3.160270880361174E-2</v>
      </c>
      <c r="AD589" s="139">
        <f t="shared" ref="AD589:AI589" si="1181">O589/$I589</f>
        <v>5.6433408577878106E-3</v>
      </c>
      <c r="AE589" s="139">
        <f t="shared" si="1181"/>
        <v>0</v>
      </c>
      <c r="AF589" s="139">
        <f t="shared" si="1181"/>
        <v>0</v>
      </c>
      <c r="AG589" s="139">
        <f t="shared" si="1181"/>
        <v>0</v>
      </c>
      <c r="AH589" s="139">
        <f t="shared" si="1181"/>
        <v>1.3544018058690745E-2</v>
      </c>
      <c r="AI589" s="139">
        <f t="shared" si="1181"/>
        <v>1.2415349887133182E-2</v>
      </c>
    </row>
    <row r="590" spans="2:35">
      <c r="B590" s="138" t="s">
        <v>8077</v>
      </c>
      <c r="C590" s="138" t="s">
        <v>4367</v>
      </c>
      <c r="D590" s="138" t="s">
        <v>15</v>
      </c>
      <c r="E590" s="138" t="s">
        <v>389</v>
      </c>
      <c r="F590" s="138" t="s">
        <v>8135</v>
      </c>
      <c r="H590" s="138">
        <v>106</v>
      </c>
      <c r="I590" s="138">
        <v>415</v>
      </c>
      <c r="J590" s="138">
        <v>174</v>
      </c>
      <c r="K590" s="138">
        <v>213</v>
      </c>
      <c r="N590" s="138">
        <v>5</v>
      </c>
      <c r="O590" s="138">
        <v>6</v>
      </c>
      <c r="S590" s="138">
        <v>8</v>
      </c>
      <c r="T590" s="138">
        <v>9</v>
      </c>
      <c r="U590" s="138">
        <f t="shared" si="1024"/>
        <v>23</v>
      </c>
      <c r="W590" s="139">
        <f t="shared" ref="W590:AA590" si="1182">J590/$I590</f>
        <v>0.41927710843373495</v>
      </c>
      <c r="X590" s="139">
        <f t="shared" si="1182"/>
        <v>0.51325301204819274</v>
      </c>
      <c r="Y590" s="139">
        <f t="shared" si="1182"/>
        <v>0</v>
      </c>
      <c r="Z590" s="139">
        <f t="shared" si="1182"/>
        <v>0</v>
      </c>
      <c r="AA590" s="139">
        <f t="shared" si="1182"/>
        <v>1.2048192771084338E-2</v>
      </c>
      <c r="AB590" s="139"/>
      <c r="AC590" s="139">
        <f t="shared" si="1026"/>
        <v>5.5421686746987948E-2</v>
      </c>
      <c r="AD590" s="139">
        <f t="shared" ref="AD590:AI590" si="1183">O590/$I590</f>
        <v>1.4457831325301205E-2</v>
      </c>
      <c r="AE590" s="139">
        <f t="shared" si="1183"/>
        <v>0</v>
      </c>
      <c r="AF590" s="139">
        <f t="shared" si="1183"/>
        <v>0</v>
      </c>
      <c r="AG590" s="139">
        <f t="shared" si="1183"/>
        <v>0</v>
      </c>
      <c r="AH590" s="139">
        <f t="shared" si="1183"/>
        <v>1.9277108433734941E-2</v>
      </c>
      <c r="AI590" s="139">
        <f t="shared" si="1183"/>
        <v>2.1686746987951807E-2</v>
      </c>
    </row>
    <row r="591" spans="2:35">
      <c r="B591" s="138" t="s">
        <v>8077</v>
      </c>
      <c r="C591" s="138" t="s">
        <v>4367</v>
      </c>
      <c r="D591" s="138" t="s">
        <v>15</v>
      </c>
      <c r="E591" s="138" t="s">
        <v>389</v>
      </c>
      <c r="F591" s="138" t="s">
        <v>8135</v>
      </c>
      <c r="H591" s="138">
        <v>107</v>
      </c>
      <c r="I591" s="138">
        <v>978</v>
      </c>
      <c r="J591" s="138">
        <v>547</v>
      </c>
      <c r="K591" s="138">
        <v>410</v>
      </c>
      <c r="N591" s="138">
        <v>10</v>
      </c>
      <c r="O591" s="138">
        <v>1</v>
      </c>
      <c r="S591" s="138">
        <v>6</v>
      </c>
      <c r="T591" s="138">
        <v>4</v>
      </c>
      <c r="U591" s="138">
        <f t="shared" si="1024"/>
        <v>11</v>
      </c>
      <c r="W591" s="139">
        <f t="shared" ref="W591:AA591" si="1184">J591/$I591</f>
        <v>0.55930470347648265</v>
      </c>
      <c r="X591" s="139">
        <f t="shared" si="1184"/>
        <v>0.41922290388548056</v>
      </c>
      <c r="Y591" s="139">
        <f t="shared" si="1184"/>
        <v>0</v>
      </c>
      <c r="Z591" s="139">
        <f t="shared" si="1184"/>
        <v>0</v>
      </c>
      <c r="AA591" s="139">
        <f t="shared" si="1184"/>
        <v>1.0224948875255624E-2</v>
      </c>
      <c r="AB591" s="139"/>
      <c r="AC591" s="139">
        <f t="shared" si="1026"/>
        <v>1.1247443762781187E-2</v>
      </c>
      <c r="AD591" s="139">
        <f t="shared" ref="AD591:AI591" si="1185">O591/$I591</f>
        <v>1.0224948875255625E-3</v>
      </c>
      <c r="AE591" s="139">
        <f t="shared" si="1185"/>
        <v>0</v>
      </c>
      <c r="AF591" s="139">
        <f t="shared" si="1185"/>
        <v>0</v>
      </c>
      <c r="AG591" s="139">
        <f t="shared" si="1185"/>
        <v>0</v>
      </c>
      <c r="AH591" s="139">
        <f t="shared" si="1185"/>
        <v>6.1349693251533744E-3</v>
      </c>
      <c r="AI591" s="139">
        <f t="shared" si="1185"/>
        <v>4.0899795501022499E-3</v>
      </c>
    </row>
    <row r="592" spans="2:35">
      <c r="B592" s="138" t="s">
        <v>8077</v>
      </c>
      <c r="C592" s="138" t="s">
        <v>4367</v>
      </c>
      <c r="D592" s="138" t="s">
        <v>15</v>
      </c>
      <c r="E592" s="138" t="s">
        <v>389</v>
      </c>
      <c r="F592" s="138" t="s">
        <v>8135</v>
      </c>
      <c r="H592" s="138">
        <v>108</v>
      </c>
      <c r="I592" s="138">
        <v>729</v>
      </c>
      <c r="J592" s="138">
        <v>518</v>
      </c>
      <c r="K592" s="138">
        <v>170</v>
      </c>
      <c r="N592" s="138">
        <v>8</v>
      </c>
      <c r="O592" s="138">
        <v>8</v>
      </c>
      <c r="S592" s="138">
        <v>16</v>
      </c>
      <c r="T592" s="138">
        <v>9</v>
      </c>
      <c r="U592" s="138">
        <f t="shared" si="1024"/>
        <v>33</v>
      </c>
      <c r="W592" s="139">
        <f t="shared" ref="W592:AA592" si="1186">J592/$I592</f>
        <v>0.71056241426611799</v>
      </c>
      <c r="X592" s="139">
        <f t="shared" si="1186"/>
        <v>0.23319615912208505</v>
      </c>
      <c r="Y592" s="139">
        <f t="shared" si="1186"/>
        <v>0</v>
      </c>
      <c r="Z592" s="139">
        <f t="shared" si="1186"/>
        <v>0</v>
      </c>
      <c r="AA592" s="139">
        <f t="shared" si="1186"/>
        <v>1.0973936899862825E-2</v>
      </c>
      <c r="AB592" s="139"/>
      <c r="AC592" s="139">
        <f t="shared" si="1026"/>
        <v>4.5267489711934158E-2</v>
      </c>
      <c r="AD592" s="139">
        <f t="shared" ref="AD592:AI592" si="1187">O592/$I592</f>
        <v>1.0973936899862825E-2</v>
      </c>
      <c r="AE592" s="139">
        <f t="shared" si="1187"/>
        <v>0</v>
      </c>
      <c r="AF592" s="139">
        <f t="shared" si="1187"/>
        <v>0</v>
      </c>
      <c r="AG592" s="139">
        <f t="shared" si="1187"/>
        <v>0</v>
      </c>
      <c r="AH592" s="139">
        <f t="shared" si="1187"/>
        <v>2.194787379972565E-2</v>
      </c>
      <c r="AI592" s="139">
        <f t="shared" si="1187"/>
        <v>1.2345679012345678E-2</v>
      </c>
    </row>
    <row r="593" spans="2:35">
      <c r="B593" s="138" t="s">
        <v>8077</v>
      </c>
      <c r="C593" s="138" t="s">
        <v>4367</v>
      </c>
      <c r="D593" s="138" t="s">
        <v>15</v>
      </c>
      <c r="E593" s="138" t="s">
        <v>389</v>
      </c>
      <c r="F593" s="138" t="s">
        <v>8135</v>
      </c>
      <c r="H593" s="138">
        <v>109</v>
      </c>
      <c r="I593" s="138">
        <v>857</v>
      </c>
      <c r="J593" s="138">
        <v>486</v>
      </c>
      <c r="K593" s="138">
        <v>349</v>
      </c>
      <c r="N593" s="138">
        <v>8</v>
      </c>
      <c r="O593" s="138">
        <v>3</v>
      </c>
      <c r="S593" s="138">
        <v>6</v>
      </c>
      <c r="T593" s="138">
        <v>5</v>
      </c>
      <c r="U593" s="138">
        <f t="shared" si="1024"/>
        <v>14</v>
      </c>
      <c r="W593" s="139">
        <f t="shared" ref="W593:AA593" si="1188">J593/$I593</f>
        <v>0.56709451575262548</v>
      </c>
      <c r="X593" s="139">
        <f t="shared" si="1188"/>
        <v>0.4072345390898483</v>
      </c>
      <c r="Y593" s="139">
        <f t="shared" si="1188"/>
        <v>0</v>
      </c>
      <c r="Z593" s="139">
        <f t="shared" si="1188"/>
        <v>0</v>
      </c>
      <c r="AA593" s="139">
        <f t="shared" si="1188"/>
        <v>9.3348891481913644E-3</v>
      </c>
      <c r="AB593" s="139"/>
      <c r="AC593" s="139">
        <f t="shared" si="1026"/>
        <v>1.6336056009334889E-2</v>
      </c>
      <c r="AD593" s="139">
        <f t="shared" ref="AD593:AI593" si="1189">O593/$I593</f>
        <v>3.5005834305717621E-3</v>
      </c>
      <c r="AE593" s="139">
        <f t="shared" si="1189"/>
        <v>0</v>
      </c>
      <c r="AF593" s="139">
        <f t="shared" si="1189"/>
        <v>0</v>
      </c>
      <c r="AG593" s="139">
        <f t="shared" si="1189"/>
        <v>0</v>
      </c>
      <c r="AH593" s="139">
        <f t="shared" si="1189"/>
        <v>7.0011668611435242E-3</v>
      </c>
      <c r="AI593" s="139">
        <f t="shared" si="1189"/>
        <v>5.8343057176196032E-3</v>
      </c>
    </row>
    <row r="594" spans="2:35">
      <c r="B594" s="138" t="s">
        <v>8077</v>
      </c>
      <c r="C594" s="138" t="s">
        <v>4367</v>
      </c>
      <c r="D594" s="138" t="s">
        <v>15</v>
      </c>
      <c r="E594" s="138" t="s">
        <v>389</v>
      </c>
      <c r="F594" s="138" t="s">
        <v>952</v>
      </c>
      <c r="H594" s="138">
        <v>110</v>
      </c>
      <c r="I594" s="138">
        <v>938</v>
      </c>
      <c r="J594" s="138">
        <v>292</v>
      </c>
      <c r="K594" s="138">
        <v>582</v>
      </c>
      <c r="N594" s="138">
        <v>13</v>
      </c>
      <c r="O594" s="138">
        <v>9</v>
      </c>
      <c r="S594" s="138">
        <v>22</v>
      </c>
      <c r="T594" s="138">
        <v>20</v>
      </c>
      <c r="U594" s="138">
        <f t="shared" si="1024"/>
        <v>51</v>
      </c>
      <c r="W594" s="139">
        <f t="shared" ref="W594:AA594" si="1190">J594/$I594</f>
        <v>0.31130063965884863</v>
      </c>
      <c r="X594" s="139">
        <f t="shared" si="1190"/>
        <v>0.6204690831556503</v>
      </c>
      <c r="Y594" s="139">
        <f t="shared" si="1190"/>
        <v>0</v>
      </c>
      <c r="Z594" s="139">
        <f t="shared" si="1190"/>
        <v>0</v>
      </c>
      <c r="AA594" s="139">
        <f t="shared" si="1190"/>
        <v>1.3859275053304905E-2</v>
      </c>
      <c r="AB594" s="139"/>
      <c r="AC594" s="139">
        <f t="shared" si="1026"/>
        <v>5.4371002132196165E-2</v>
      </c>
      <c r="AD594" s="139">
        <f t="shared" ref="AD594:AI594" si="1191">O594/$I594</f>
        <v>9.5948827292110881E-3</v>
      </c>
      <c r="AE594" s="139">
        <f t="shared" si="1191"/>
        <v>0</v>
      </c>
      <c r="AF594" s="139">
        <f t="shared" si="1191"/>
        <v>0</v>
      </c>
      <c r="AG594" s="139">
        <f t="shared" si="1191"/>
        <v>0</v>
      </c>
      <c r="AH594" s="139">
        <f t="shared" si="1191"/>
        <v>2.3454157782515993E-2</v>
      </c>
      <c r="AI594" s="139">
        <f t="shared" si="1191"/>
        <v>2.1321961620469083E-2</v>
      </c>
    </row>
    <row r="595" spans="2:35">
      <c r="B595" s="138" t="s">
        <v>8077</v>
      </c>
      <c r="C595" s="138" t="s">
        <v>4367</v>
      </c>
      <c r="D595" s="138" t="s">
        <v>15</v>
      </c>
      <c r="E595" s="138" t="s">
        <v>389</v>
      </c>
      <c r="F595" s="138" t="s">
        <v>952</v>
      </c>
      <c r="H595" s="138">
        <v>111</v>
      </c>
      <c r="I595" s="138">
        <v>935</v>
      </c>
      <c r="J595" s="138">
        <v>650</v>
      </c>
      <c r="K595" s="138">
        <v>224</v>
      </c>
      <c r="N595" s="138">
        <v>17</v>
      </c>
      <c r="O595" s="138">
        <v>5</v>
      </c>
      <c r="S595" s="138">
        <v>23</v>
      </c>
      <c r="T595" s="138">
        <v>16</v>
      </c>
      <c r="U595" s="138">
        <f t="shared" si="1024"/>
        <v>44</v>
      </c>
      <c r="W595" s="139">
        <f t="shared" ref="W595:AA595" si="1192">J595/$I595</f>
        <v>0.69518716577540107</v>
      </c>
      <c r="X595" s="139">
        <f t="shared" si="1192"/>
        <v>0.23957219251336898</v>
      </c>
      <c r="Y595" s="139">
        <f t="shared" si="1192"/>
        <v>0</v>
      </c>
      <c r="Z595" s="139">
        <f t="shared" si="1192"/>
        <v>0</v>
      </c>
      <c r="AA595" s="139">
        <f t="shared" si="1192"/>
        <v>1.8181818181818181E-2</v>
      </c>
      <c r="AB595" s="139"/>
      <c r="AC595" s="139">
        <f t="shared" si="1026"/>
        <v>4.7058823529411764E-2</v>
      </c>
      <c r="AD595" s="139">
        <f t="shared" ref="AD595:AI595" si="1193">O595/$I595</f>
        <v>5.3475935828877002E-3</v>
      </c>
      <c r="AE595" s="139">
        <f t="shared" si="1193"/>
        <v>0</v>
      </c>
      <c r="AF595" s="139">
        <f t="shared" si="1193"/>
        <v>0</v>
      </c>
      <c r="AG595" s="139">
        <f t="shared" si="1193"/>
        <v>0</v>
      </c>
      <c r="AH595" s="139">
        <f t="shared" si="1193"/>
        <v>2.4598930481283421E-2</v>
      </c>
      <c r="AI595" s="139">
        <f t="shared" si="1193"/>
        <v>1.7112299465240642E-2</v>
      </c>
    </row>
    <row r="596" spans="2:35">
      <c r="B596" s="138" t="s">
        <v>8077</v>
      </c>
      <c r="C596" s="138" t="s">
        <v>4367</v>
      </c>
      <c r="D596" s="138" t="s">
        <v>15</v>
      </c>
      <c r="E596" s="138" t="s">
        <v>389</v>
      </c>
      <c r="F596" s="138" t="s">
        <v>952</v>
      </c>
      <c r="H596" s="138">
        <v>112</v>
      </c>
      <c r="I596" s="138">
        <v>817</v>
      </c>
      <c r="J596" s="138">
        <v>431</v>
      </c>
      <c r="K596" s="138">
        <v>317</v>
      </c>
      <c r="N596" s="138">
        <v>19</v>
      </c>
      <c r="O596" s="138">
        <v>4</v>
      </c>
      <c r="S596" s="138">
        <v>20</v>
      </c>
      <c r="T596" s="138">
        <v>26</v>
      </c>
      <c r="U596" s="138">
        <f t="shared" si="1024"/>
        <v>50</v>
      </c>
      <c r="W596" s="139">
        <f t="shared" ref="W596:AA596" si="1194">J596/$I596</f>
        <v>0.52753977968176258</v>
      </c>
      <c r="X596" s="139">
        <f t="shared" si="1194"/>
        <v>0.38800489596083232</v>
      </c>
      <c r="Y596" s="139">
        <f t="shared" si="1194"/>
        <v>0</v>
      </c>
      <c r="Z596" s="139">
        <f t="shared" si="1194"/>
        <v>0</v>
      </c>
      <c r="AA596" s="139">
        <f t="shared" si="1194"/>
        <v>2.3255813953488372E-2</v>
      </c>
      <c r="AB596" s="139"/>
      <c r="AC596" s="139">
        <f t="shared" si="1026"/>
        <v>6.1199510403916767E-2</v>
      </c>
      <c r="AD596" s="139">
        <f t="shared" ref="AD596:AI596" si="1195">O596/$I596</f>
        <v>4.8959608323133411E-3</v>
      </c>
      <c r="AE596" s="139">
        <f t="shared" si="1195"/>
        <v>0</v>
      </c>
      <c r="AF596" s="139">
        <f t="shared" si="1195"/>
        <v>0</v>
      </c>
      <c r="AG596" s="139">
        <f t="shared" si="1195"/>
        <v>0</v>
      </c>
      <c r="AH596" s="139">
        <f t="shared" si="1195"/>
        <v>2.4479804161566709E-2</v>
      </c>
      <c r="AI596" s="139">
        <f t="shared" si="1195"/>
        <v>3.182374541003672E-2</v>
      </c>
    </row>
    <row r="597" spans="2:35">
      <c r="B597" s="138" t="s">
        <v>8077</v>
      </c>
      <c r="C597" s="138" t="s">
        <v>4367</v>
      </c>
      <c r="D597" s="138" t="s">
        <v>15</v>
      </c>
      <c r="E597" s="138" t="s">
        <v>389</v>
      </c>
      <c r="F597" s="138" t="s">
        <v>952</v>
      </c>
      <c r="H597" s="138">
        <v>113</v>
      </c>
      <c r="I597" s="138">
        <v>825</v>
      </c>
      <c r="J597" s="138">
        <v>517</v>
      </c>
      <c r="K597" s="138">
        <v>272</v>
      </c>
      <c r="N597" s="138">
        <v>8</v>
      </c>
      <c r="O597" s="138">
        <v>3</v>
      </c>
      <c r="S597" s="138">
        <v>14</v>
      </c>
      <c r="T597" s="138">
        <v>11</v>
      </c>
      <c r="U597" s="138">
        <f t="shared" si="1024"/>
        <v>28</v>
      </c>
      <c r="W597" s="139">
        <f t="shared" ref="W597:AA597" si="1196">J597/$I597</f>
        <v>0.62666666666666671</v>
      </c>
      <c r="X597" s="139">
        <f t="shared" si="1196"/>
        <v>0.32969696969696971</v>
      </c>
      <c r="Y597" s="139">
        <f t="shared" si="1196"/>
        <v>0</v>
      </c>
      <c r="Z597" s="139">
        <f t="shared" si="1196"/>
        <v>0</v>
      </c>
      <c r="AA597" s="139">
        <f t="shared" si="1196"/>
        <v>9.696969696969697E-3</v>
      </c>
      <c r="AB597" s="139"/>
      <c r="AC597" s="139">
        <f t="shared" si="1026"/>
        <v>3.3939393939393943E-2</v>
      </c>
      <c r="AD597" s="139">
        <f t="shared" ref="AD597:AI597" si="1197">O597/$I597</f>
        <v>3.6363636363636364E-3</v>
      </c>
      <c r="AE597" s="139">
        <f t="shared" si="1197"/>
        <v>0</v>
      </c>
      <c r="AF597" s="139">
        <f t="shared" si="1197"/>
        <v>0</v>
      </c>
      <c r="AG597" s="139">
        <f t="shared" si="1197"/>
        <v>0</v>
      </c>
      <c r="AH597" s="139">
        <f t="shared" si="1197"/>
        <v>1.6969696969696971E-2</v>
      </c>
      <c r="AI597" s="139">
        <f t="shared" si="1197"/>
        <v>1.3333333333333334E-2</v>
      </c>
    </row>
    <row r="598" spans="2:35">
      <c r="B598" s="138" t="s">
        <v>8077</v>
      </c>
      <c r="C598" s="138" t="s">
        <v>4367</v>
      </c>
      <c r="D598" s="138" t="s">
        <v>15</v>
      </c>
      <c r="E598" s="138" t="s">
        <v>389</v>
      </c>
      <c r="F598" s="138" t="s">
        <v>952</v>
      </c>
      <c r="H598" s="138">
        <v>114</v>
      </c>
      <c r="I598" s="138">
        <v>663</v>
      </c>
      <c r="J598" s="138">
        <v>384</v>
      </c>
      <c r="K598" s="138">
        <v>245</v>
      </c>
      <c r="N598" s="138">
        <v>17</v>
      </c>
      <c r="O598" s="138">
        <v>3</v>
      </c>
      <c r="S598" s="138">
        <v>9</v>
      </c>
      <c r="T598" s="138">
        <v>5</v>
      </c>
      <c r="U598" s="138">
        <f t="shared" si="1024"/>
        <v>17</v>
      </c>
      <c r="W598" s="139">
        <f t="shared" ref="W598:AA598" si="1198">J598/$I598</f>
        <v>0.579185520361991</v>
      </c>
      <c r="X598" s="139">
        <f t="shared" si="1198"/>
        <v>0.36953242835595779</v>
      </c>
      <c r="Y598" s="139">
        <f t="shared" si="1198"/>
        <v>0</v>
      </c>
      <c r="Z598" s="139">
        <f t="shared" si="1198"/>
        <v>0</v>
      </c>
      <c r="AA598" s="139">
        <f t="shared" si="1198"/>
        <v>2.564102564102564E-2</v>
      </c>
      <c r="AB598" s="139"/>
      <c r="AC598" s="139">
        <f t="shared" si="1026"/>
        <v>2.564102564102564E-2</v>
      </c>
      <c r="AD598" s="139">
        <f t="shared" ref="AD598:AI598" si="1199">O598/$I598</f>
        <v>4.5248868778280547E-3</v>
      </c>
      <c r="AE598" s="139">
        <f t="shared" si="1199"/>
        <v>0</v>
      </c>
      <c r="AF598" s="139">
        <f t="shared" si="1199"/>
        <v>0</v>
      </c>
      <c r="AG598" s="139">
        <f t="shared" si="1199"/>
        <v>0</v>
      </c>
      <c r="AH598" s="139">
        <f t="shared" si="1199"/>
        <v>1.3574660633484163E-2</v>
      </c>
      <c r="AI598" s="139">
        <f t="shared" si="1199"/>
        <v>7.5414781297134239E-3</v>
      </c>
    </row>
    <row r="599" spans="2:35">
      <c r="B599" s="138" t="s">
        <v>8077</v>
      </c>
      <c r="C599" s="138" t="s">
        <v>4367</v>
      </c>
      <c r="D599" s="138" t="s">
        <v>15</v>
      </c>
      <c r="E599" s="138" t="s">
        <v>389</v>
      </c>
      <c r="F599" s="138" t="s">
        <v>952</v>
      </c>
      <c r="H599" s="138">
        <v>115</v>
      </c>
      <c r="I599" s="138">
        <v>658</v>
      </c>
      <c r="J599" s="138">
        <v>502</v>
      </c>
      <c r="K599" s="138">
        <v>138</v>
      </c>
      <c r="N599" s="138">
        <v>4</v>
      </c>
      <c r="O599" s="138">
        <v>2</v>
      </c>
      <c r="S599" s="138">
        <v>7</v>
      </c>
      <c r="T599" s="138">
        <v>5</v>
      </c>
      <c r="U599" s="138">
        <f t="shared" si="1024"/>
        <v>14</v>
      </c>
      <c r="W599" s="139">
        <f t="shared" ref="W599:AA599" si="1200">J599/$I599</f>
        <v>0.76291793313069911</v>
      </c>
      <c r="X599" s="139">
        <f t="shared" si="1200"/>
        <v>0.20972644376899696</v>
      </c>
      <c r="Y599" s="139">
        <f t="shared" si="1200"/>
        <v>0</v>
      </c>
      <c r="Z599" s="139">
        <f t="shared" si="1200"/>
        <v>0</v>
      </c>
      <c r="AA599" s="139">
        <f t="shared" si="1200"/>
        <v>6.0790273556231003E-3</v>
      </c>
      <c r="AB599" s="139"/>
      <c r="AC599" s="139">
        <f t="shared" si="1026"/>
        <v>2.1276595744680851E-2</v>
      </c>
      <c r="AD599" s="139">
        <f t="shared" ref="AD599:AI599" si="1201">O599/$I599</f>
        <v>3.0395136778115501E-3</v>
      </c>
      <c r="AE599" s="139">
        <f t="shared" si="1201"/>
        <v>0</v>
      </c>
      <c r="AF599" s="139">
        <f t="shared" si="1201"/>
        <v>0</v>
      </c>
      <c r="AG599" s="139">
        <f t="shared" si="1201"/>
        <v>0</v>
      </c>
      <c r="AH599" s="139">
        <f t="shared" si="1201"/>
        <v>1.0638297872340425E-2</v>
      </c>
      <c r="AI599" s="139">
        <f t="shared" si="1201"/>
        <v>7.5987841945288756E-3</v>
      </c>
    </row>
    <row r="600" spans="2:35">
      <c r="B600" s="138" t="s">
        <v>8077</v>
      </c>
      <c r="C600" s="138" t="s">
        <v>4367</v>
      </c>
      <c r="D600" s="138" t="s">
        <v>15</v>
      </c>
      <c r="E600" s="138" t="s">
        <v>389</v>
      </c>
      <c r="F600" s="138" t="s">
        <v>952</v>
      </c>
      <c r="H600" s="138">
        <v>116</v>
      </c>
      <c r="I600" s="138">
        <v>741</v>
      </c>
      <c r="J600" s="138">
        <v>395</v>
      </c>
      <c r="K600" s="138">
        <v>306</v>
      </c>
      <c r="N600" s="138">
        <v>9</v>
      </c>
      <c r="O600" s="138">
        <v>1</v>
      </c>
      <c r="S600" s="138">
        <v>22</v>
      </c>
      <c r="T600" s="138">
        <v>8</v>
      </c>
      <c r="U600" s="138">
        <f t="shared" si="1024"/>
        <v>31</v>
      </c>
      <c r="W600" s="139">
        <f t="shared" ref="W600:AA600" si="1202">J600/$I600</f>
        <v>0.53306342780026994</v>
      </c>
      <c r="X600" s="139">
        <f t="shared" si="1202"/>
        <v>0.41295546558704455</v>
      </c>
      <c r="Y600" s="139">
        <f t="shared" si="1202"/>
        <v>0</v>
      </c>
      <c r="Z600" s="139">
        <f t="shared" si="1202"/>
        <v>0</v>
      </c>
      <c r="AA600" s="139">
        <f t="shared" si="1202"/>
        <v>1.2145748987854251E-2</v>
      </c>
      <c r="AB600" s="139"/>
      <c r="AC600" s="139">
        <f t="shared" si="1026"/>
        <v>4.1835357624831308E-2</v>
      </c>
      <c r="AD600" s="139">
        <f t="shared" ref="AD600:AI600" si="1203">O600/$I600</f>
        <v>1.3495276653171389E-3</v>
      </c>
      <c r="AE600" s="139">
        <f t="shared" si="1203"/>
        <v>0</v>
      </c>
      <c r="AF600" s="139">
        <f t="shared" si="1203"/>
        <v>0</v>
      </c>
      <c r="AG600" s="139">
        <f t="shared" si="1203"/>
        <v>0</v>
      </c>
      <c r="AH600" s="139">
        <f t="shared" si="1203"/>
        <v>2.9689608636977057E-2</v>
      </c>
      <c r="AI600" s="139">
        <f t="shared" si="1203"/>
        <v>1.0796221322537112E-2</v>
      </c>
    </row>
    <row r="601" spans="2:35">
      <c r="B601" s="138" t="s">
        <v>8077</v>
      </c>
      <c r="C601" s="138" t="s">
        <v>4367</v>
      </c>
      <c r="D601" s="138" t="s">
        <v>15</v>
      </c>
      <c r="E601" s="138" t="s">
        <v>389</v>
      </c>
      <c r="F601" s="138" t="s">
        <v>952</v>
      </c>
      <c r="H601" s="138">
        <v>117</v>
      </c>
      <c r="I601" s="138">
        <v>754</v>
      </c>
      <c r="J601" s="138">
        <v>342</v>
      </c>
      <c r="K601" s="138">
        <v>365</v>
      </c>
      <c r="N601" s="138">
        <v>13</v>
      </c>
      <c r="O601" s="138">
        <v>3</v>
      </c>
      <c r="S601" s="138">
        <v>24</v>
      </c>
      <c r="T601" s="138">
        <v>7</v>
      </c>
      <c r="U601" s="138">
        <f t="shared" si="1024"/>
        <v>34</v>
      </c>
      <c r="W601" s="139">
        <f t="shared" ref="W601:AA601" si="1204">J601/$I601</f>
        <v>0.45358090185676392</v>
      </c>
      <c r="X601" s="139">
        <f t="shared" si="1204"/>
        <v>0.48408488063660476</v>
      </c>
      <c r="Y601" s="139">
        <f t="shared" si="1204"/>
        <v>0</v>
      </c>
      <c r="Z601" s="139">
        <f t="shared" si="1204"/>
        <v>0</v>
      </c>
      <c r="AA601" s="139">
        <f t="shared" si="1204"/>
        <v>1.7241379310344827E-2</v>
      </c>
      <c r="AB601" s="139"/>
      <c r="AC601" s="139">
        <f t="shared" si="1026"/>
        <v>4.5092838196286469E-2</v>
      </c>
      <c r="AD601" s="139">
        <f t="shared" ref="AD601:AI601" si="1205">O601/$I601</f>
        <v>3.9787798408488064E-3</v>
      </c>
      <c r="AE601" s="139">
        <f t="shared" si="1205"/>
        <v>0</v>
      </c>
      <c r="AF601" s="139">
        <f t="shared" si="1205"/>
        <v>0</v>
      </c>
      <c r="AG601" s="139">
        <f t="shared" si="1205"/>
        <v>0</v>
      </c>
      <c r="AH601" s="139">
        <f t="shared" si="1205"/>
        <v>3.1830238726790451E-2</v>
      </c>
      <c r="AI601" s="139">
        <f t="shared" si="1205"/>
        <v>9.2838196286472146E-3</v>
      </c>
    </row>
    <row r="602" spans="2:35">
      <c r="B602" s="138" t="s">
        <v>8077</v>
      </c>
      <c r="C602" s="138" t="s">
        <v>4367</v>
      </c>
      <c r="D602" s="138" t="s">
        <v>15</v>
      </c>
      <c r="E602" s="138" t="s">
        <v>389</v>
      </c>
      <c r="F602" s="138" t="s">
        <v>952</v>
      </c>
      <c r="H602" s="138">
        <v>118</v>
      </c>
      <c r="I602" s="138">
        <v>799</v>
      </c>
      <c r="J602" s="138">
        <v>525</v>
      </c>
      <c r="K602" s="138">
        <v>242</v>
      </c>
      <c r="N602" s="138">
        <v>9</v>
      </c>
      <c r="O602" s="138">
        <v>7</v>
      </c>
      <c r="S602" s="138">
        <v>11</v>
      </c>
      <c r="T602" s="138">
        <v>5</v>
      </c>
      <c r="U602" s="138">
        <f t="shared" si="1024"/>
        <v>23</v>
      </c>
      <c r="W602" s="139">
        <f t="shared" ref="W602:AA602" si="1206">J602/$I602</f>
        <v>0.65707133917396743</v>
      </c>
      <c r="X602" s="139">
        <f t="shared" si="1206"/>
        <v>0.30287859824780977</v>
      </c>
      <c r="Y602" s="139">
        <f t="shared" si="1206"/>
        <v>0</v>
      </c>
      <c r="Z602" s="139">
        <f t="shared" si="1206"/>
        <v>0</v>
      </c>
      <c r="AA602" s="139">
        <f t="shared" si="1206"/>
        <v>1.1264080100125156E-2</v>
      </c>
      <c r="AB602" s="139"/>
      <c r="AC602" s="139">
        <f t="shared" si="1026"/>
        <v>2.8785982478097622E-2</v>
      </c>
      <c r="AD602" s="139">
        <f t="shared" ref="AD602:AI602" si="1207">O602/$I602</f>
        <v>8.7609511889862324E-3</v>
      </c>
      <c r="AE602" s="139">
        <f t="shared" si="1207"/>
        <v>0</v>
      </c>
      <c r="AF602" s="139">
        <f t="shared" si="1207"/>
        <v>0</v>
      </c>
      <c r="AG602" s="139">
        <f t="shared" si="1207"/>
        <v>0</v>
      </c>
      <c r="AH602" s="139">
        <f t="shared" si="1207"/>
        <v>1.3767209011264081E-2</v>
      </c>
      <c r="AI602" s="139">
        <f t="shared" si="1207"/>
        <v>6.2578222778473091E-3</v>
      </c>
    </row>
    <row r="603" spans="2:35">
      <c r="B603" s="138" t="s">
        <v>8077</v>
      </c>
      <c r="C603" s="138" t="s">
        <v>4367</v>
      </c>
      <c r="D603" s="138" t="s">
        <v>15</v>
      </c>
      <c r="E603" s="138" t="s">
        <v>389</v>
      </c>
      <c r="F603" s="138" t="s">
        <v>952</v>
      </c>
      <c r="H603" s="138">
        <v>119</v>
      </c>
      <c r="I603" s="138">
        <v>829</v>
      </c>
      <c r="J603" s="138">
        <v>349</v>
      </c>
      <c r="K603" s="138">
        <v>435</v>
      </c>
      <c r="N603" s="138">
        <v>14</v>
      </c>
      <c r="O603" s="138">
        <v>5</v>
      </c>
      <c r="S603" s="138">
        <v>11</v>
      </c>
      <c r="T603" s="138">
        <v>15</v>
      </c>
      <c r="U603" s="138">
        <f t="shared" si="1024"/>
        <v>31</v>
      </c>
      <c r="W603" s="139">
        <f t="shared" ref="W603:AA603" si="1208">J603/$I603</f>
        <v>0.42098914354644151</v>
      </c>
      <c r="X603" s="139">
        <f t="shared" si="1208"/>
        <v>0.52472858866103744</v>
      </c>
      <c r="Y603" s="139">
        <f t="shared" si="1208"/>
        <v>0</v>
      </c>
      <c r="Z603" s="139">
        <f t="shared" si="1208"/>
        <v>0</v>
      </c>
      <c r="AA603" s="139">
        <f t="shared" si="1208"/>
        <v>1.6887816646562123E-2</v>
      </c>
      <c r="AB603" s="139"/>
      <c r="AC603" s="139">
        <f t="shared" si="1026"/>
        <v>3.739445114595899E-2</v>
      </c>
      <c r="AD603" s="139">
        <f t="shared" ref="AD603:AI603" si="1209">O603/$I603</f>
        <v>6.0313630880579009E-3</v>
      </c>
      <c r="AE603" s="139">
        <f t="shared" si="1209"/>
        <v>0</v>
      </c>
      <c r="AF603" s="139">
        <f t="shared" si="1209"/>
        <v>0</v>
      </c>
      <c r="AG603" s="139">
        <f t="shared" si="1209"/>
        <v>0</v>
      </c>
      <c r="AH603" s="139">
        <f t="shared" si="1209"/>
        <v>1.3268998793727383E-2</v>
      </c>
      <c r="AI603" s="139">
        <f t="shared" si="1209"/>
        <v>1.8094089264173704E-2</v>
      </c>
    </row>
    <row r="604" spans="2:35">
      <c r="B604" s="138" t="s">
        <v>8077</v>
      </c>
      <c r="C604" s="138" t="s">
        <v>4367</v>
      </c>
      <c r="D604" s="138" t="s">
        <v>15</v>
      </c>
      <c r="E604" s="138" t="s">
        <v>389</v>
      </c>
      <c r="F604" s="138" t="s">
        <v>952</v>
      </c>
      <c r="H604" s="138">
        <v>120</v>
      </c>
      <c r="I604" s="138">
        <v>724</v>
      </c>
      <c r="J604" s="138">
        <v>371</v>
      </c>
      <c r="K604" s="138">
        <v>318</v>
      </c>
      <c r="N604" s="138">
        <v>10</v>
      </c>
      <c r="O604" s="138">
        <v>1</v>
      </c>
      <c r="S604" s="138">
        <v>12</v>
      </c>
      <c r="T604" s="138">
        <v>12</v>
      </c>
      <c r="U604" s="138">
        <f t="shared" si="1024"/>
        <v>25</v>
      </c>
      <c r="W604" s="139">
        <f t="shared" ref="W604:AA604" si="1210">J604/$I604</f>
        <v>0.51243093922651939</v>
      </c>
      <c r="X604" s="139">
        <f t="shared" si="1210"/>
        <v>0.43922651933701656</v>
      </c>
      <c r="Y604" s="139">
        <f t="shared" si="1210"/>
        <v>0</v>
      </c>
      <c r="Z604" s="139">
        <f t="shared" si="1210"/>
        <v>0</v>
      </c>
      <c r="AA604" s="139">
        <f t="shared" si="1210"/>
        <v>1.3812154696132596E-2</v>
      </c>
      <c r="AB604" s="139"/>
      <c r="AC604" s="139">
        <f t="shared" si="1026"/>
        <v>3.4530386740331494E-2</v>
      </c>
      <c r="AD604" s="139">
        <f t="shared" ref="AD604:AI604" si="1211">O604/$I604</f>
        <v>1.3812154696132596E-3</v>
      </c>
      <c r="AE604" s="139">
        <f t="shared" si="1211"/>
        <v>0</v>
      </c>
      <c r="AF604" s="139">
        <f t="shared" si="1211"/>
        <v>0</v>
      </c>
      <c r="AG604" s="139">
        <f t="shared" si="1211"/>
        <v>0</v>
      </c>
      <c r="AH604" s="139">
        <f t="shared" si="1211"/>
        <v>1.6574585635359115E-2</v>
      </c>
      <c r="AI604" s="139">
        <f t="shared" si="1211"/>
        <v>1.6574585635359115E-2</v>
      </c>
    </row>
    <row r="605" spans="2:35">
      <c r="B605" s="138" t="s">
        <v>8077</v>
      </c>
      <c r="C605" s="138" t="s">
        <v>4367</v>
      </c>
      <c r="D605" s="138" t="s">
        <v>15</v>
      </c>
      <c r="E605" s="138" t="s">
        <v>389</v>
      </c>
      <c r="F605" s="138" t="s">
        <v>952</v>
      </c>
      <c r="H605" s="138">
        <v>121</v>
      </c>
      <c r="I605" s="138">
        <v>664</v>
      </c>
      <c r="J605" s="138">
        <v>368</v>
      </c>
      <c r="K605" s="138">
        <v>236</v>
      </c>
      <c r="N605" s="138">
        <v>17</v>
      </c>
      <c r="O605" s="138">
        <v>6</v>
      </c>
      <c r="S605" s="138">
        <v>22</v>
      </c>
      <c r="T605" s="138">
        <v>15</v>
      </c>
      <c r="U605" s="138">
        <f t="shared" si="1024"/>
        <v>43</v>
      </c>
      <c r="W605" s="139">
        <f t="shared" ref="W605:AA605" si="1212">J605/$I605</f>
        <v>0.55421686746987953</v>
      </c>
      <c r="X605" s="139">
        <f t="shared" si="1212"/>
        <v>0.35542168674698793</v>
      </c>
      <c r="Y605" s="139">
        <f t="shared" si="1212"/>
        <v>0</v>
      </c>
      <c r="Z605" s="139">
        <f t="shared" si="1212"/>
        <v>0</v>
      </c>
      <c r="AA605" s="139">
        <f t="shared" si="1212"/>
        <v>2.5602409638554216E-2</v>
      </c>
      <c r="AB605" s="139"/>
      <c r="AC605" s="139">
        <f t="shared" si="1026"/>
        <v>6.4759036144578314E-2</v>
      </c>
      <c r="AD605" s="139">
        <f t="shared" ref="AD605:AI605" si="1213">O605/$I605</f>
        <v>9.0361445783132526E-3</v>
      </c>
      <c r="AE605" s="139">
        <f t="shared" si="1213"/>
        <v>0</v>
      </c>
      <c r="AF605" s="139">
        <f t="shared" si="1213"/>
        <v>0</v>
      </c>
      <c r="AG605" s="139">
        <f t="shared" si="1213"/>
        <v>0</v>
      </c>
      <c r="AH605" s="139">
        <f t="shared" si="1213"/>
        <v>3.313253012048193E-2</v>
      </c>
      <c r="AI605" s="139">
        <f t="shared" si="1213"/>
        <v>2.2590361445783132E-2</v>
      </c>
    </row>
    <row r="606" spans="2:35">
      <c r="B606" s="138" t="s">
        <v>8077</v>
      </c>
      <c r="C606" s="138" t="s">
        <v>4367</v>
      </c>
      <c r="D606" s="138" t="s">
        <v>15</v>
      </c>
      <c r="E606" s="138" t="s">
        <v>389</v>
      </c>
      <c r="F606" s="138" t="s">
        <v>952</v>
      </c>
      <c r="H606" s="138">
        <v>122</v>
      </c>
      <c r="I606" s="138">
        <v>648</v>
      </c>
      <c r="J606" s="138">
        <v>467</v>
      </c>
      <c r="K606" s="138">
        <v>159</v>
      </c>
      <c r="N606" s="138">
        <v>7</v>
      </c>
      <c r="O606" s="138">
        <v>2</v>
      </c>
      <c r="S606" s="138">
        <v>10</v>
      </c>
      <c r="T606" s="138">
        <v>3</v>
      </c>
      <c r="U606" s="138">
        <f t="shared" si="1024"/>
        <v>15</v>
      </c>
      <c r="W606" s="139">
        <f t="shared" ref="W606:AA606" si="1214">J606/$I606</f>
        <v>0.72067901234567899</v>
      </c>
      <c r="X606" s="139">
        <f t="shared" si="1214"/>
        <v>0.24537037037037038</v>
      </c>
      <c r="Y606" s="139">
        <f t="shared" si="1214"/>
        <v>0</v>
      </c>
      <c r="Z606" s="139">
        <f t="shared" si="1214"/>
        <v>0</v>
      </c>
      <c r="AA606" s="139">
        <f t="shared" si="1214"/>
        <v>1.0802469135802469E-2</v>
      </c>
      <c r="AB606" s="139"/>
      <c r="AC606" s="139">
        <f t="shared" si="1026"/>
        <v>2.3148148148148147E-2</v>
      </c>
      <c r="AD606" s="139">
        <f t="shared" ref="AD606:AI606" si="1215">O606/$I606</f>
        <v>3.0864197530864196E-3</v>
      </c>
      <c r="AE606" s="139">
        <f t="shared" si="1215"/>
        <v>0</v>
      </c>
      <c r="AF606" s="139">
        <f t="shared" si="1215"/>
        <v>0</v>
      </c>
      <c r="AG606" s="139">
        <f t="shared" si="1215"/>
        <v>0</v>
      </c>
      <c r="AH606" s="139">
        <f t="shared" si="1215"/>
        <v>1.5432098765432098E-2</v>
      </c>
      <c r="AI606" s="139">
        <f t="shared" si="1215"/>
        <v>4.6296296296296294E-3</v>
      </c>
    </row>
    <row r="607" spans="2:35">
      <c r="B607" s="138" t="s">
        <v>8077</v>
      </c>
      <c r="C607" s="138" t="s">
        <v>4367</v>
      </c>
      <c r="D607" s="138" t="s">
        <v>15</v>
      </c>
      <c r="E607" s="138" t="s">
        <v>389</v>
      </c>
      <c r="F607" s="138" t="s">
        <v>952</v>
      </c>
      <c r="H607" s="138">
        <v>123</v>
      </c>
      <c r="I607" s="138">
        <v>373</v>
      </c>
      <c r="J607" s="138">
        <v>150</v>
      </c>
      <c r="K607" s="138">
        <v>211</v>
      </c>
      <c r="N607" s="138">
        <v>3</v>
      </c>
      <c r="O607" s="138">
        <v>1</v>
      </c>
      <c r="S607" s="138">
        <v>4</v>
      </c>
      <c r="T607" s="138">
        <v>4</v>
      </c>
      <c r="U607" s="138">
        <f t="shared" si="1024"/>
        <v>9</v>
      </c>
      <c r="W607" s="139">
        <f t="shared" ref="W607:AA607" si="1216">J607/$I607</f>
        <v>0.40214477211796246</v>
      </c>
      <c r="X607" s="139">
        <f t="shared" si="1216"/>
        <v>0.56568364611260058</v>
      </c>
      <c r="Y607" s="139">
        <f t="shared" si="1216"/>
        <v>0</v>
      </c>
      <c r="Z607" s="139">
        <f t="shared" si="1216"/>
        <v>0</v>
      </c>
      <c r="AA607" s="139">
        <f t="shared" si="1216"/>
        <v>8.0428954423592495E-3</v>
      </c>
      <c r="AB607" s="139"/>
      <c r="AC607" s="139">
        <f t="shared" si="1026"/>
        <v>2.4128686327077747E-2</v>
      </c>
      <c r="AD607" s="139">
        <f t="shared" ref="AD607:AI607" si="1217">O607/$I607</f>
        <v>2.6809651474530832E-3</v>
      </c>
      <c r="AE607" s="139">
        <f t="shared" si="1217"/>
        <v>0</v>
      </c>
      <c r="AF607" s="139">
        <f t="shared" si="1217"/>
        <v>0</v>
      </c>
      <c r="AG607" s="139">
        <f t="shared" si="1217"/>
        <v>0</v>
      </c>
      <c r="AH607" s="139">
        <f t="shared" si="1217"/>
        <v>1.0723860589812333E-2</v>
      </c>
      <c r="AI607" s="139">
        <f t="shared" si="1217"/>
        <v>1.0723860589812333E-2</v>
      </c>
    </row>
    <row r="608" spans="2:35">
      <c r="B608" s="138" t="s">
        <v>8077</v>
      </c>
      <c r="C608" s="138" t="s">
        <v>4367</v>
      </c>
      <c r="D608" s="138" t="s">
        <v>15</v>
      </c>
      <c r="E608" s="138" t="s">
        <v>389</v>
      </c>
      <c r="F608" s="138" t="s">
        <v>952</v>
      </c>
      <c r="H608" s="138">
        <v>124</v>
      </c>
      <c r="I608" s="138">
        <v>523</v>
      </c>
      <c r="J608" s="138">
        <v>354</v>
      </c>
      <c r="K608" s="138">
        <v>140</v>
      </c>
      <c r="N608" s="138">
        <v>12</v>
      </c>
      <c r="O608" s="138">
        <v>2</v>
      </c>
      <c r="S608" s="138">
        <v>11</v>
      </c>
      <c r="T608" s="138">
        <v>4</v>
      </c>
      <c r="U608" s="138">
        <f t="shared" si="1024"/>
        <v>17</v>
      </c>
      <c r="W608" s="139">
        <f t="shared" ref="W608:AA608" si="1218">J608/$I608</f>
        <v>0.67686424474187379</v>
      </c>
      <c r="X608" s="139">
        <f t="shared" si="1218"/>
        <v>0.26768642447418739</v>
      </c>
      <c r="Y608" s="139">
        <f t="shared" si="1218"/>
        <v>0</v>
      </c>
      <c r="Z608" s="139">
        <f t="shared" si="1218"/>
        <v>0</v>
      </c>
      <c r="AA608" s="139">
        <f t="shared" si="1218"/>
        <v>2.2944550669216062E-2</v>
      </c>
      <c r="AB608" s="139"/>
      <c r="AC608" s="139">
        <f t="shared" si="1026"/>
        <v>3.2504780114722756E-2</v>
      </c>
      <c r="AD608" s="139">
        <f t="shared" ref="AD608:AI608" si="1219">O608/$I608</f>
        <v>3.8240917782026767E-3</v>
      </c>
      <c r="AE608" s="139">
        <f t="shared" si="1219"/>
        <v>0</v>
      </c>
      <c r="AF608" s="139">
        <f t="shared" si="1219"/>
        <v>0</v>
      </c>
      <c r="AG608" s="139">
        <f t="shared" si="1219"/>
        <v>0</v>
      </c>
      <c r="AH608" s="139">
        <f t="shared" si="1219"/>
        <v>2.1032504780114723E-2</v>
      </c>
      <c r="AI608" s="139">
        <f t="shared" si="1219"/>
        <v>7.6481835564053535E-3</v>
      </c>
    </row>
    <row r="609" spans="2:35">
      <c r="B609" s="138" t="s">
        <v>8077</v>
      </c>
      <c r="C609" s="138" t="s">
        <v>4367</v>
      </c>
      <c r="D609" s="138" t="s">
        <v>15</v>
      </c>
      <c r="E609" s="138" t="s">
        <v>790</v>
      </c>
      <c r="F609" s="138" t="s">
        <v>790</v>
      </c>
      <c r="H609" s="138">
        <v>125</v>
      </c>
      <c r="I609" s="138">
        <v>965</v>
      </c>
      <c r="J609" s="138">
        <v>390</v>
      </c>
      <c r="K609" s="138">
        <v>523</v>
      </c>
      <c r="N609" s="138">
        <v>26</v>
      </c>
      <c r="O609" s="138">
        <v>0</v>
      </c>
      <c r="S609" s="138">
        <v>14</v>
      </c>
      <c r="T609" s="138">
        <v>12</v>
      </c>
      <c r="U609" s="138">
        <f t="shared" si="1024"/>
        <v>26</v>
      </c>
      <c r="W609" s="139">
        <f t="shared" ref="W609:AA609" si="1220">J609/$I609</f>
        <v>0.40414507772020725</v>
      </c>
      <c r="X609" s="139">
        <f t="shared" si="1220"/>
        <v>0.54196891191709839</v>
      </c>
      <c r="Y609" s="139">
        <f t="shared" si="1220"/>
        <v>0</v>
      </c>
      <c r="Z609" s="139">
        <f t="shared" si="1220"/>
        <v>0</v>
      </c>
      <c r="AA609" s="139">
        <f t="shared" si="1220"/>
        <v>2.6943005181347152E-2</v>
      </c>
      <c r="AB609" s="139"/>
      <c r="AC609" s="139">
        <f t="shared" si="1026"/>
        <v>2.6943005181347152E-2</v>
      </c>
      <c r="AD609" s="139">
        <f t="shared" ref="AD609:AI609" si="1221">O609/$I609</f>
        <v>0</v>
      </c>
      <c r="AE609" s="139">
        <f t="shared" si="1221"/>
        <v>0</v>
      </c>
      <c r="AF609" s="139">
        <f t="shared" si="1221"/>
        <v>0</v>
      </c>
      <c r="AG609" s="139">
        <f t="shared" si="1221"/>
        <v>0</v>
      </c>
      <c r="AH609" s="139">
        <f t="shared" si="1221"/>
        <v>1.4507772020725389E-2</v>
      </c>
      <c r="AI609" s="139">
        <f t="shared" si="1221"/>
        <v>1.2435233160621761E-2</v>
      </c>
    </row>
    <row r="610" spans="2:35">
      <c r="B610" s="138" t="s">
        <v>8077</v>
      </c>
      <c r="C610" s="138" t="s">
        <v>4367</v>
      </c>
      <c r="D610" s="138" t="s">
        <v>15</v>
      </c>
      <c r="E610" s="138" t="s">
        <v>790</v>
      </c>
      <c r="F610" s="138" t="s">
        <v>790</v>
      </c>
      <c r="H610" s="138">
        <v>126</v>
      </c>
      <c r="I610" s="138">
        <v>189</v>
      </c>
      <c r="J610" s="138">
        <v>53</v>
      </c>
      <c r="K610" s="138">
        <v>128</v>
      </c>
      <c r="N610" s="138">
        <v>3</v>
      </c>
      <c r="O610" s="138">
        <v>1</v>
      </c>
      <c r="S610" s="138">
        <v>3</v>
      </c>
      <c r="T610" s="138">
        <v>1</v>
      </c>
      <c r="U610" s="138">
        <f t="shared" si="1024"/>
        <v>5</v>
      </c>
      <c r="W610" s="139">
        <f t="shared" ref="W610:AA610" si="1222">J610/$I610</f>
        <v>0.28042328042328041</v>
      </c>
      <c r="X610" s="139">
        <f t="shared" si="1222"/>
        <v>0.67724867724867721</v>
      </c>
      <c r="Y610" s="139">
        <f t="shared" si="1222"/>
        <v>0</v>
      </c>
      <c r="Z610" s="139">
        <f t="shared" si="1222"/>
        <v>0</v>
      </c>
      <c r="AA610" s="139">
        <f t="shared" si="1222"/>
        <v>1.5873015873015872E-2</v>
      </c>
      <c r="AB610" s="139"/>
      <c r="AC610" s="139">
        <f t="shared" si="1026"/>
        <v>2.6455026455026454E-2</v>
      </c>
      <c r="AD610" s="139">
        <f t="shared" ref="AD610:AI610" si="1223">O610/$I610</f>
        <v>5.2910052910052907E-3</v>
      </c>
      <c r="AE610" s="139">
        <f t="shared" si="1223"/>
        <v>0</v>
      </c>
      <c r="AF610" s="139">
        <f t="shared" si="1223"/>
        <v>0</v>
      </c>
      <c r="AG610" s="139">
        <f t="shared" si="1223"/>
        <v>0</v>
      </c>
      <c r="AH610" s="139">
        <f t="shared" si="1223"/>
        <v>1.5873015873015872E-2</v>
      </c>
      <c r="AI610" s="139">
        <f t="shared" si="1223"/>
        <v>5.2910052910052907E-3</v>
      </c>
    </row>
    <row r="611" spans="2:35">
      <c r="B611" s="138" t="s">
        <v>8077</v>
      </c>
      <c r="C611" s="138" t="s">
        <v>4367</v>
      </c>
      <c r="D611" s="138" t="s">
        <v>15</v>
      </c>
      <c r="E611" s="138" t="s">
        <v>790</v>
      </c>
      <c r="F611" s="138" t="s">
        <v>790</v>
      </c>
      <c r="H611" s="138">
        <v>127</v>
      </c>
      <c r="I611" s="138">
        <v>972</v>
      </c>
      <c r="J611" s="138">
        <v>505</v>
      </c>
      <c r="K611" s="138">
        <v>421</v>
      </c>
      <c r="N611" s="138">
        <v>19</v>
      </c>
      <c r="O611" s="138">
        <v>3</v>
      </c>
      <c r="S611" s="138">
        <v>16</v>
      </c>
      <c r="T611" s="138">
        <v>8</v>
      </c>
      <c r="U611" s="138">
        <f t="shared" si="1024"/>
        <v>27</v>
      </c>
      <c r="W611" s="139">
        <f t="shared" ref="W611:AA611" si="1224">J611/$I611</f>
        <v>0.51954732510288071</v>
      </c>
      <c r="X611" s="139">
        <f t="shared" si="1224"/>
        <v>0.4331275720164609</v>
      </c>
      <c r="Y611" s="139">
        <f t="shared" si="1224"/>
        <v>0</v>
      </c>
      <c r="Z611" s="139">
        <f t="shared" si="1224"/>
        <v>0</v>
      </c>
      <c r="AA611" s="139">
        <f t="shared" si="1224"/>
        <v>1.954732510288066E-2</v>
      </c>
      <c r="AB611" s="139"/>
      <c r="AC611" s="139">
        <f t="shared" si="1026"/>
        <v>2.7777777777777776E-2</v>
      </c>
      <c r="AD611" s="139">
        <f t="shared" ref="AD611:AI611" si="1225">O611/$I611</f>
        <v>3.0864197530864196E-3</v>
      </c>
      <c r="AE611" s="139">
        <f t="shared" si="1225"/>
        <v>0</v>
      </c>
      <c r="AF611" s="139">
        <f t="shared" si="1225"/>
        <v>0</v>
      </c>
      <c r="AG611" s="139">
        <f t="shared" si="1225"/>
        <v>0</v>
      </c>
      <c r="AH611" s="139">
        <f t="shared" si="1225"/>
        <v>1.646090534979424E-2</v>
      </c>
      <c r="AI611" s="139">
        <f t="shared" si="1225"/>
        <v>8.23045267489712E-3</v>
      </c>
    </row>
    <row r="612" spans="2:35">
      <c r="B612" s="138" t="s">
        <v>8077</v>
      </c>
      <c r="C612" s="138" t="s">
        <v>4367</v>
      </c>
      <c r="D612" s="138" t="s">
        <v>15</v>
      </c>
      <c r="E612" s="138" t="s">
        <v>790</v>
      </c>
      <c r="F612" s="138" t="s">
        <v>790</v>
      </c>
      <c r="H612" s="138">
        <v>128</v>
      </c>
      <c r="I612" s="138">
        <v>911</v>
      </c>
      <c r="J612" s="138">
        <v>257</v>
      </c>
      <c r="K612" s="138">
        <v>605</v>
      </c>
      <c r="N612" s="138">
        <v>19</v>
      </c>
      <c r="O612" s="138">
        <v>3</v>
      </c>
      <c r="S612" s="138">
        <v>16</v>
      </c>
      <c r="T612" s="138">
        <v>11</v>
      </c>
      <c r="U612" s="138">
        <f t="shared" si="1024"/>
        <v>30</v>
      </c>
      <c r="W612" s="139">
        <f t="shared" ref="W612:AA612" si="1226">J612/$I612</f>
        <v>0.28210757409440174</v>
      </c>
      <c r="X612" s="139">
        <f t="shared" si="1226"/>
        <v>0.66410537870472008</v>
      </c>
      <c r="Y612" s="139">
        <f t="shared" si="1226"/>
        <v>0</v>
      </c>
      <c r="Z612" s="139">
        <f t="shared" si="1226"/>
        <v>0</v>
      </c>
      <c r="AA612" s="139">
        <f t="shared" si="1226"/>
        <v>2.0856201975850714E-2</v>
      </c>
      <c r="AB612" s="139"/>
      <c r="AC612" s="139">
        <f t="shared" si="1026"/>
        <v>3.2930845225027441E-2</v>
      </c>
      <c r="AD612" s="139">
        <f t="shared" ref="AD612:AI612" si="1227">O612/$I612</f>
        <v>3.2930845225027441E-3</v>
      </c>
      <c r="AE612" s="139">
        <f t="shared" si="1227"/>
        <v>0</v>
      </c>
      <c r="AF612" s="139">
        <f t="shared" si="1227"/>
        <v>0</v>
      </c>
      <c r="AG612" s="139">
        <f t="shared" si="1227"/>
        <v>0</v>
      </c>
      <c r="AH612" s="139">
        <f t="shared" si="1227"/>
        <v>1.756311745334797E-2</v>
      </c>
      <c r="AI612" s="139">
        <f t="shared" si="1227"/>
        <v>1.2074643249176729E-2</v>
      </c>
    </row>
    <row r="613" spans="2:35">
      <c r="B613" s="138" t="s">
        <v>8077</v>
      </c>
      <c r="C613" s="138" t="s">
        <v>4367</v>
      </c>
      <c r="D613" s="138" t="s">
        <v>15</v>
      </c>
      <c r="E613" s="138" t="s">
        <v>790</v>
      </c>
      <c r="F613" s="138" t="s">
        <v>790</v>
      </c>
      <c r="H613" s="138">
        <v>129</v>
      </c>
      <c r="I613" s="138">
        <v>846</v>
      </c>
      <c r="J613" s="138">
        <v>246</v>
      </c>
      <c r="K613" s="138">
        <v>564</v>
      </c>
      <c r="N613" s="138">
        <v>17</v>
      </c>
      <c r="O613" s="138">
        <v>2</v>
      </c>
      <c r="S613" s="138">
        <v>8</v>
      </c>
      <c r="T613" s="138">
        <v>9</v>
      </c>
      <c r="U613" s="138">
        <f t="shared" si="1024"/>
        <v>19</v>
      </c>
      <c r="W613" s="139">
        <f t="shared" ref="W613:AA613" si="1228">J613/$I613</f>
        <v>0.29078014184397161</v>
      </c>
      <c r="X613" s="139">
        <f t="shared" si="1228"/>
        <v>0.66666666666666663</v>
      </c>
      <c r="Y613" s="139">
        <f t="shared" si="1228"/>
        <v>0</v>
      </c>
      <c r="Z613" s="139">
        <f t="shared" si="1228"/>
        <v>0</v>
      </c>
      <c r="AA613" s="139">
        <f t="shared" si="1228"/>
        <v>2.0094562647754138E-2</v>
      </c>
      <c r="AB613" s="139"/>
      <c r="AC613" s="139">
        <f t="shared" si="1026"/>
        <v>2.2458628841607566E-2</v>
      </c>
      <c r="AD613" s="139">
        <f t="shared" ref="AD613:AI613" si="1229">O613/$I613</f>
        <v>2.3640661938534278E-3</v>
      </c>
      <c r="AE613" s="139">
        <f t="shared" si="1229"/>
        <v>0</v>
      </c>
      <c r="AF613" s="139">
        <f t="shared" si="1229"/>
        <v>0</v>
      </c>
      <c r="AG613" s="139">
        <f t="shared" si="1229"/>
        <v>0</v>
      </c>
      <c r="AH613" s="139">
        <f t="shared" si="1229"/>
        <v>9.4562647754137114E-3</v>
      </c>
      <c r="AI613" s="139">
        <f t="shared" si="1229"/>
        <v>1.0638297872340425E-2</v>
      </c>
    </row>
    <row r="614" spans="2:35">
      <c r="B614" s="138" t="s">
        <v>8077</v>
      </c>
      <c r="C614" s="138" t="s">
        <v>4367</v>
      </c>
      <c r="D614" s="138" t="s">
        <v>15</v>
      </c>
      <c r="E614" s="138" t="s">
        <v>790</v>
      </c>
      <c r="F614" s="138" t="s">
        <v>790</v>
      </c>
      <c r="H614" s="138">
        <v>130</v>
      </c>
      <c r="I614" s="138">
        <v>1040</v>
      </c>
      <c r="J614" s="138">
        <v>764</v>
      </c>
      <c r="K614" s="138">
        <v>226</v>
      </c>
      <c r="N614" s="138">
        <v>13</v>
      </c>
      <c r="O614" s="138">
        <v>4</v>
      </c>
      <c r="S614" s="138">
        <v>28</v>
      </c>
      <c r="T614" s="138">
        <v>5</v>
      </c>
      <c r="U614" s="138">
        <f t="shared" si="1024"/>
        <v>37</v>
      </c>
      <c r="W614" s="139">
        <f t="shared" ref="W614:AA614" si="1230">J614/$I614</f>
        <v>0.73461538461538467</v>
      </c>
      <c r="X614" s="139">
        <f t="shared" si="1230"/>
        <v>0.21730769230769231</v>
      </c>
      <c r="Y614" s="139">
        <f t="shared" si="1230"/>
        <v>0</v>
      </c>
      <c r="Z614" s="139">
        <f t="shared" si="1230"/>
        <v>0</v>
      </c>
      <c r="AA614" s="139">
        <f t="shared" si="1230"/>
        <v>1.2500000000000001E-2</v>
      </c>
      <c r="AB614" s="139"/>
      <c r="AC614" s="139">
        <f t="shared" si="1026"/>
        <v>3.5576923076923075E-2</v>
      </c>
      <c r="AD614" s="139">
        <f t="shared" ref="AD614:AI614" si="1231">O614/$I614</f>
        <v>3.8461538461538464E-3</v>
      </c>
      <c r="AE614" s="139">
        <f t="shared" si="1231"/>
        <v>0</v>
      </c>
      <c r="AF614" s="139">
        <f t="shared" si="1231"/>
        <v>0</v>
      </c>
      <c r="AG614" s="139">
        <f t="shared" si="1231"/>
        <v>0</v>
      </c>
      <c r="AH614" s="139">
        <f t="shared" si="1231"/>
        <v>2.6923076923076925E-2</v>
      </c>
      <c r="AI614" s="139">
        <f t="shared" si="1231"/>
        <v>4.807692307692308E-3</v>
      </c>
    </row>
    <row r="615" spans="2:35">
      <c r="B615" s="138" t="s">
        <v>8077</v>
      </c>
      <c r="C615" s="138" t="s">
        <v>4367</v>
      </c>
      <c r="D615" s="138" t="s">
        <v>15</v>
      </c>
      <c r="E615" s="138" t="s">
        <v>790</v>
      </c>
      <c r="F615" s="138" t="s">
        <v>790</v>
      </c>
      <c r="H615" s="138">
        <v>131</v>
      </c>
      <c r="I615" s="138">
        <v>994</v>
      </c>
      <c r="J615" s="138">
        <v>401</v>
      </c>
      <c r="K615" s="138">
        <v>558</v>
      </c>
      <c r="N615" s="138">
        <v>20</v>
      </c>
      <c r="O615" s="138">
        <v>1</v>
      </c>
      <c r="S615" s="138">
        <v>6</v>
      </c>
      <c r="T615" s="138">
        <v>8</v>
      </c>
      <c r="U615" s="138">
        <f t="shared" si="1024"/>
        <v>15</v>
      </c>
      <c r="W615" s="139">
        <f t="shared" ref="W615:AA615" si="1232">J615/$I615</f>
        <v>0.40342052313883298</v>
      </c>
      <c r="X615" s="139">
        <f t="shared" si="1232"/>
        <v>0.56136820925553321</v>
      </c>
      <c r="Y615" s="139">
        <f t="shared" si="1232"/>
        <v>0</v>
      </c>
      <c r="Z615" s="139">
        <f t="shared" si="1232"/>
        <v>0</v>
      </c>
      <c r="AA615" s="139">
        <f t="shared" si="1232"/>
        <v>2.0120724346076459E-2</v>
      </c>
      <c r="AB615" s="139"/>
      <c r="AC615" s="139">
        <f t="shared" si="1026"/>
        <v>1.5090543259557344E-2</v>
      </c>
      <c r="AD615" s="139">
        <f t="shared" ref="AD615:AI615" si="1233">O615/$I615</f>
        <v>1.006036217303823E-3</v>
      </c>
      <c r="AE615" s="139">
        <f t="shared" si="1233"/>
        <v>0</v>
      </c>
      <c r="AF615" s="139">
        <f t="shared" si="1233"/>
        <v>0</v>
      </c>
      <c r="AG615" s="139">
        <f t="shared" si="1233"/>
        <v>0</v>
      </c>
      <c r="AH615" s="139">
        <f t="shared" si="1233"/>
        <v>6.0362173038229373E-3</v>
      </c>
      <c r="AI615" s="139">
        <f t="shared" si="1233"/>
        <v>8.0482897384305842E-3</v>
      </c>
    </row>
    <row r="616" spans="2:35">
      <c r="B616" s="138" t="s">
        <v>8077</v>
      </c>
      <c r="C616" s="138" t="s">
        <v>4367</v>
      </c>
      <c r="D616" s="138" t="s">
        <v>15</v>
      </c>
      <c r="E616" s="138" t="s">
        <v>790</v>
      </c>
      <c r="F616" s="138" t="s">
        <v>790</v>
      </c>
      <c r="H616" s="138">
        <v>132</v>
      </c>
      <c r="I616" s="138">
        <v>897</v>
      </c>
      <c r="J616" s="138">
        <v>355</v>
      </c>
      <c r="K616" s="138">
        <v>515</v>
      </c>
      <c r="N616" s="138">
        <v>10</v>
      </c>
      <c r="O616" s="138">
        <v>3</v>
      </c>
      <c r="S616" s="138">
        <v>12</v>
      </c>
      <c r="T616" s="138">
        <v>2</v>
      </c>
      <c r="U616" s="138">
        <f t="shared" si="1024"/>
        <v>17</v>
      </c>
      <c r="W616" s="139">
        <f t="shared" ref="W616:AA616" si="1234">J616/$I616</f>
        <v>0.39576365663322183</v>
      </c>
      <c r="X616" s="139">
        <f t="shared" si="1234"/>
        <v>0.5741360089186176</v>
      </c>
      <c r="Y616" s="139">
        <f t="shared" si="1234"/>
        <v>0</v>
      </c>
      <c r="Z616" s="139">
        <f t="shared" si="1234"/>
        <v>0</v>
      </c>
      <c r="AA616" s="139">
        <f t="shared" si="1234"/>
        <v>1.1148272017837236E-2</v>
      </c>
      <c r="AB616" s="139"/>
      <c r="AC616" s="139">
        <f t="shared" si="1026"/>
        <v>1.89520624303233E-2</v>
      </c>
      <c r="AD616" s="139">
        <f t="shared" ref="AD616:AI616" si="1235">O616/$I616</f>
        <v>3.3444816053511705E-3</v>
      </c>
      <c r="AE616" s="139">
        <f t="shared" si="1235"/>
        <v>0</v>
      </c>
      <c r="AF616" s="139">
        <f t="shared" si="1235"/>
        <v>0</v>
      </c>
      <c r="AG616" s="139">
        <f t="shared" si="1235"/>
        <v>0</v>
      </c>
      <c r="AH616" s="139">
        <f t="shared" si="1235"/>
        <v>1.3377926421404682E-2</v>
      </c>
      <c r="AI616" s="139">
        <f t="shared" si="1235"/>
        <v>2.229654403567447E-3</v>
      </c>
    </row>
    <row r="617" spans="2:35">
      <c r="B617" s="138" t="s">
        <v>8077</v>
      </c>
      <c r="C617" s="138" t="s">
        <v>4367</v>
      </c>
      <c r="D617" s="138" t="s">
        <v>15</v>
      </c>
      <c r="E617" s="138" t="s">
        <v>790</v>
      </c>
      <c r="F617" s="138" t="s">
        <v>790</v>
      </c>
      <c r="H617" s="138">
        <v>133</v>
      </c>
      <c r="I617" s="138">
        <v>887</v>
      </c>
      <c r="J617" s="138">
        <v>414</v>
      </c>
      <c r="K617" s="138">
        <v>410</v>
      </c>
      <c r="N617" s="138">
        <v>12</v>
      </c>
      <c r="O617" s="138">
        <v>5</v>
      </c>
      <c r="S617" s="138">
        <v>26</v>
      </c>
      <c r="T617" s="138">
        <v>20</v>
      </c>
      <c r="U617" s="138">
        <f t="shared" si="1024"/>
        <v>51</v>
      </c>
      <c r="W617" s="139">
        <f t="shared" ref="W617:AA617" si="1236">J617/$I617</f>
        <v>0.46674182638105977</v>
      </c>
      <c r="X617" s="139">
        <f t="shared" si="1236"/>
        <v>0.46223224351747466</v>
      </c>
      <c r="Y617" s="139">
        <f t="shared" si="1236"/>
        <v>0</v>
      </c>
      <c r="Z617" s="139">
        <f t="shared" si="1236"/>
        <v>0</v>
      </c>
      <c r="AA617" s="139">
        <f t="shared" si="1236"/>
        <v>1.3528748590755355E-2</v>
      </c>
      <c r="AB617" s="139"/>
      <c r="AC617" s="139">
        <f t="shared" si="1026"/>
        <v>5.749718151071026E-2</v>
      </c>
      <c r="AD617" s="139">
        <f t="shared" ref="AD617:AI617" si="1237">O617/$I617</f>
        <v>5.6369785794813977E-3</v>
      </c>
      <c r="AE617" s="139">
        <f t="shared" si="1237"/>
        <v>0</v>
      </c>
      <c r="AF617" s="139">
        <f t="shared" si="1237"/>
        <v>0</v>
      </c>
      <c r="AG617" s="139">
        <f t="shared" si="1237"/>
        <v>0</v>
      </c>
      <c r="AH617" s="139">
        <f t="shared" si="1237"/>
        <v>2.9312288613303268E-2</v>
      </c>
      <c r="AI617" s="139">
        <f t="shared" si="1237"/>
        <v>2.2547914317925591E-2</v>
      </c>
    </row>
    <row r="618" spans="2:35">
      <c r="B618" s="138" t="s">
        <v>8077</v>
      </c>
      <c r="C618" s="138" t="s">
        <v>4367</v>
      </c>
      <c r="D618" s="138" t="s">
        <v>15</v>
      </c>
      <c r="E618" s="138" t="s">
        <v>790</v>
      </c>
      <c r="F618" s="138" t="s">
        <v>790</v>
      </c>
      <c r="H618" s="138">
        <v>134</v>
      </c>
      <c r="I618" s="138">
        <v>1114</v>
      </c>
      <c r="J618" s="138">
        <v>707</v>
      </c>
      <c r="K618" s="138">
        <v>368</v>
      </c>
      <c r="N618" s="138">
        <v>13</v>
      </c>
      <c r="O618" s="138">
        <v>2</v>
      </c>
      <c r="S618" s="138">
        <v>13</v>
      </c>
      <c r="T618" s="138">
        <v>11</v>
      </c>
      <c r="U618" s="138">
        <f t="shared" si="1024"/>
        <v>26</v>
      </c>
      <c r="W618" s="139">
        <f t="shared" ref="W618:AA618" si="1238">J618/$I618</f>
        <v>0.63464991023339323</v>
      </c>
      <c r="X618" s="139">
        <f t="shared" si="1238"/>
        <v>0.33034111310592462</v>
      </c>
      <c r="Y618" s="139">
        <f t="shared" si="1238"/>
        <v>0</v>
      </c>
      <c r="Z618" s="139">
        <f t="shared" si="1238"/>
        <v>0</v>
      </c>
      <c r="AA618" s="139">
        <f t="shared" si="1238"/>
        <v>1.1669658886894075E-2</v>
      </c>
      <c r="AB618" s="139"/>
      <c r="AC618" s="139">
        <f t="shared" si="1026"/>
        <v>2.333931777378815E-2</v>
      </c>
      <c r="AD618" s="139">
        <f t="shared" ref="AD618:AI618" si="1239">O618/$I618</f>
        <v>1.7953321364452424E-3</v>
      </c>
      <c r="AE618" s="139">
        <f t="shared" si="1239"/>
        <v>0</v>
      </c>
      <c r="AF618" s="139">
        <f t="shared" si="1239"/>
        <v>0</v>
      </c>
      <c r="AG618" s="139">
        <f t="shared" si="1239"/>
        <v>0</v>
      </c>
      <c r="AH618" s="139">
        <f t="shared" si="1239"/>
        <v>1.1669658886894075E-2</v>
      </c>
      <c r="AI618" s="139">
        <f t="shared" si="1239"/>
        <v>9.8743267504488325E-3</v>
      </c>
    </row>
    <row r="619" spans="2:35">
      <c r="B619" s="138" t="s">
        <v>8077</v>
      </c>
      <c r="C619" s="138" t="s">
        <v>4367</v>
      </c>
      <c r="D619" s="138" t="s">
        <v>15</v>
      </c>
      <c r="E619" s="138" t="s">
        <v>790</v>
      </c>
      <c r="F619" s="138" t="s">
        <v>790</v>
      </c>
      <c r="H619" s="138">
        <v>135</v>
      </c>
      <c r="I619" s="138">
        <v>1010</v>
      </c>
      <c r="J619" s="138">
        <v>588</v>
      </c>
      <c r="K619" s="138">
        <v>384</v>
      </c>
      <c r="N619" s="138">
        <v>7</v>
      </c>
      <c r="O619" s="138">
        <v>4</v>
      </c>
      <c r="S619" s="138">
        <v>13</v>
      </c>
      <c r="T619" s="138">
        <v>14</v>
      </c>
      <c r="U619" s="138">
        <f t="shared" si="1024"/>
        <v>31</v>
      </c>
      <c r="W619" s="139">
        <f t="shared" ref="W619:AA619" si="1240">J619/$I619</f>
        <v>0.58217821782178214</v>
      </c>
      <c r="X619" s="139">
        <f t="shared" si="1240"/>
        <v>0.3801980198019802</v>
      </c>
      <c r="Y619" s="139">
        <f t="shared" si="1240"/>
        <v>0</v>
      </c>
      <c r="Z619" s="139">
        <f t="shared" si="1240"/>
        <v>0</v>
      </c>
      <c r="AA619" s="139">
        <f t="shared" si="1240"/>
        <v>6.9306930693069308E-3</v>
      </c>
      <c r="AB619" s="139"/>
      <c r="AC619" s="139">
        <f t="shared" si="1026"/>
        <v>3.0693069306930693E-2</v>
      </c>
      <c r="AD619" s="139">
        <f t="shared" ref="AD619:AI619" si="1241">O619/$I619</f>
        <v>3.9603960396039604E-3</v>
      </c>
      <c r="AE619" s="139">
        <f t="shared" si="1241"/>
        <v>0</v>
      </c>
      <c r="AF619" s="139">
        <f t="shared" si="1241"/>
        <v>0</v>
      </c>
      <c r="AG619" s="139">
        <f t="shared" si="1241"/>
        <v>0</v>
      </c>
      <c r="AH619" s="139">
        <f t="shared" si="1241"/>
        <v>1.2871287128712871E-2</v>
      </c>
      <c r="AI619" s="139">
        <f t="shared" si="1241"/>
        <v>1.3861386138613862E-2</v>
      </c>
    </row>
    <row r="620" spans="2:35">
      <c r="B620" s="138" t="s">
        <v>8077</v>
      </c>
      <c r="C620" s="138" t="s">
        <v>4367</v>
      </c>
      <c r="D620" s="138" t="s">
        <v>15</v>
      </c>
      <c r="E620" s="138" t="s">
        <v>790</v>
      </c>
      <c r="F620" s="138" t="s">
        <v>790</v>
      </c>
      <c r="H620" s="138">
        <v>136</v>
      </c>
      <c r="I620" s="138">
        <v>888</v>
      </c>
      <c r="J620" s="138">
        <v>608</v>
      </c>
      <c r="K620" s="138">
        <v>245</v>
      </c>
      <c r="N620" s="138">
        <v>7</v>
      </c>
      <c r="O620" s="138">
        <v>3</v>
      </c>
      <c r="S620" s="138">
        <v>20</v>
      </c>
      <c r="T620" s="138">
        <v>5</v>
      </c>
      <c r="U620" s="138">
        <f t="shared" si="1024"/>
        <v>28</v>
      </c>
      <c r="W620" s="139">
        <f t="shared" ref="W620:AA620" si="1242">J620/$I620</f>
        <v>0.68468468468468469</v>
      </c>
      <c r="X620" s="139">
        <f t="shared" si="1242"/>
        <v>0.27590090090090091</v>
      </c>
      <c r="Y620" s="139">
        <f t="shared" si="1242"/>
        <v>0</v>
      </c>
      <c r="Z620" s="139">
        <f t="shared" si="1242"/>
        <v>0</v>
      </c>
      <c r="AA620" s="139">
        <f t="shared" si="1242"/>
        <v>7.8828828828828822E-3</v>
      </c>
      <c r="AB620" s="139"/>
      <c r="AC620" s="139">
        <f t="shared" si="1026"/>
        <v>3.1531531531531529E-2</v>
      </c>
      <c r="AD620" s="139">
        <f t="shared" ref="AD620:AI620" si="1243">O620/$I620</f>
        <v>3.3783783783783786E-3</v>
      </c>
      <c r="AE620" s="139">
        <f t="shared" si="1243"/>
        <v>0</v>
      </c>
      <c r="AF620" s="139">
        <f t="shared" si="1243"/>
        <v>0</v>
      </c>
      <c r="AG620" s="139">
        <f t="shared" si="1243"/>
        <v>0</v>
      </c>
      <c r="AH620" s="139">
        <f t="shared" si="1243"/>
        <v>2.2522522522522521E-2</v>
      </c>
      <c r="AI620" s="139">
        <f t="shared" si="1243"/>
        <v>5.6306306306306304E-3</v>
      </c>
    </row>
    <row r="621" spans="2:35">
      <c r="B621" s="138" t="s">
        <v>8077</v>
      </c>
      <c r="C621" s="138" t="s">
        <v>4367</v>
      </c>
      <c r="D621" s="138" t="s">
        <v>15</v>
      </c>
      <c r="E621" s="138" t="s">
        <v>790</v>
      </c>
      <c r="F621" s="138" t="s">
        <v>790</v>
      </c>
      <c r="H621" s="138">
        <v>137</v>
      </c>
      <c r="I621" s="138">
        <v>1174</v>
      </c>
      <c r="J621" s="138">
        <v>458</v>
      </c>
      <c r="K621" s="138">
        <v>660</v>
      </c>
      <c r="N621" s="138">
        <v>18</v>
      </c>
      <c r="O621" s="138">
        <v>9</v>
      </c>
      <c r="S621" s="138">
        <v>15</v>
      </c>
      <c r="T621" s="138">
        <v>14</v>
      </c>
      <c r="U621" s="138">
        <f t="shared" si="1024"/>
        <v>38</v>
      </c>
      <c r="W621" s="139">
        <f t="shared" ref="W621:AA621" si="1244">J621/$I621</f>
        <v>0.3901192504258944</v>
      </c>
      <c r="X621" s="139">
        <f t="shared" si="1244"/>
        <v>0.56218057921635434</v>
      </c>
      <c r="Y621" s="139">
        <f t="shared" si="1244"/>
        <v>0</v>
      </c>
      <c r="Z621" s="139">
        <f t="shared" si="1244"/>
        <v>0</v>
      </c>
      <c r="AA621" s="139">
        <f t="shared" si="1244"/>
        <v>1.5332197614991482E-2</v>
      </c>
      <c r="AB621" s="139"/>
      <c r="AC621" s="139">
        <f t="shared" si="1026"/>
        <v>3.2367972742759793E-2</v>
      </c>
      <c r="AD621" s="139">
        <f t="shared" ref="AD621:AI621" si="1245">O621/$I621</f>
        <v>7.6660988074957409E-3</v>
      </c>
      <c r="AE621" s="139">
        <f t="shared" si="1245"/>
        <v>0</v>
      </c>
      <c r="AF621" s="139">
        <f t="shared" si="1245"/>
        <v>0</v>
      </c>
      <c r="AG621" s="139">
        <f t="shared" si="1245"/>
        <v>0</v>
      </c>
      <c r="AH621" s="139">
        <f t="shared" si="1245"/>
        <v>1.2776831345826235E-2</v>
      </c>
      <c r="AI621" s="139">
        <f t="shared" si="1245"/>
        <v>1.192504258943782E-2</v>
      </c>
    </row>
    <row r="622" spans="2:35">
      <c r="B622" s="138" t="s">
        <v>8077</v>
      </c>
      <c r="C622" s="138" t="s">
        <v>4367</v>
      </c>
      <c r="D622" s="138" t="s">
        <v>15</v>
      </c>
      <c r="E622" s="138" t="s">
        <v>790</v>
      </c>
      <c r="F622" s="138" t="s">
        <v>790</v>
      </c>
      <c r="H622" s="138">
        <v>138</v>
      </c>
      <c r="I622" s="138">
        <v>1034</v>
      </c>
      <c r="J622" s="138">
        <v>462</v>
      </c>
      <c r="K622" s="138">
        <v>508</v>
      </c>
      <c r="N622" s="138">
        <v>22</v>
      </c>
      <c r="O622" s="138">
        <v>10</v>
      </c>
      <c r="S622" s="138">
        <v>19</v>
      </c>
      <c r="T622" s="138">
        <v>13</v>
      </c>
      <c r="U622" s="138">
        <f t="shared" si="1024"/>
        <v>42</v>
      </c>
      <c r="W622" s="139">
        <f t="shared" ref="W622:AA622" si="1246">J622/$I622</f>
        <v>0.44680851063829785</v>
      </c>
      <c r="X622" s="139">
        <f t="shared" si="1246"/>
        <v>0.49129593810444872</v>
      </c>
      <c r="Y622" s="139">
        <f t="shared" si="1246"/>
        <v>0</v>
      </c>
      <c r="Z622" s="139">
        <f t="shared" si="1246"/>
        <v>0</v>
      </c>
      <c r="AA622" s="139">
        <f t="shared" si="1246"/>
        <v>2.1276595744680851E-2</v>
      </c>
      <c r="AB622" s="139"/>
      <c r="AC622" s="139">
        <f t="shared" si="1026"/>
        <v>4.0618955512572531E-2</v>
      </c>
      <c r="AD622" s="139">
        <f t="shared" ref="AD622:AI622" si="1247">O622/$I622</f>
        <v>9.6711798839458421E-3</v>
      </c>
      <c r="AE622" s="139">
        <f t="shared" si="1247"/>
        <v>0</v>
      </c>
      <c r="AF622" s="139">
        <f t="shared" si="1247"/>
        <v>0</v>
      </c>
      <c r="AG622" s="139">
        <f t="shared" si="1247"/>
        <v>0</v>
      </c>
      <c r="AH622" s="139">
        <f t="shared" si="1247"/>
        <v>1.8375241779497099E-2</v>
      </c>
      <c r="AI622" s="139">
        <f t="shared" si="1247"/>
        <v>1.2572533849129593E-2</v>
      </c>
    </row>
    <row r="623" spans="2:35">
      <c r="B623" s="138" t="s">
        <v>8077</v>
      </c>
      <c r="C623" s="138" t="s">
        <v>4367</v>
      </c>
      <c r="D623" s="138" t="s">
        <v>15</v>
      </c>
      <c r="E623" s="138" t="s">
        <v>790</v>
      </c>
      <c r="F623" s="138" t="s">
        <v>790</v>
      </c>
      <c r="H623" s="138">
        <v>139</v>
      </c>
      <c r="I623" s="138">
        <v>1012</v>
      </c>
      <c r="J623" s="138">
        <v>334</v>
      </c>
      <c r="K623" s="138">
        <v>616</v>
      </c>
      <c r="N623" s="138">
        <v>16</v>
      </c>
      <c r="O623" s="138">
        <v>6</v>
      </c>
      <c r="S623" s="138">
        <v>25</v>
      </c>
      <c r="T623" s="138">
        <v>15</v>
      </c>
      <c r="U623" s="138">
        <f t="shared" si="1024"/>
        <v>46</v>
      </c>
      <c r="W623" s="139">
        <f t="shared" ref="W623:AA623" si="1248">J623/$I623</f>
        <v>0.33003952569169959</v>
      </c>
      <c r="X623" s="139">
        <f t="shared" si="1248"/>
        <v>0.60869565217391308</v>
      </c>
      <c r="Y623" s="139">
        <f t="shared" si="1248"/>
        <v>0</v>
      </c>
      <c r="Z623" s="139">
        <f t="shared" si="1248"/>
        <v>0</v>
      </c>
      <c r="AA623" s="139">
        <f t="shared" si="1248"/>
        <v>1.5810276679841896E-2</v>
      </c>
      <c r="AB623" s="139"/>
      <c r="AC623" s="139">
        <f t="shared" si="1026"/>
        <v>4.5454545454545456E-2</v>
      </c>
      <c r="AD623" s="139">
        <f t="shared" ref="AD623:AI623" si="1249">O623/$I623</f>
        <v>5.9288537549407111E-3</v>
      </c>
      <c r="AE623" s="139">
        <f t="shared" si="1249"/>
        <v>0</v>
      </c>
      <c r="AF623" s="139">
        <f t="shared" si="1249"/>
        <v>0</v>
      </c>
      <c r="AG623" s="139">
        <f t="shared" si="1249"/>
        <v>0</v>
      </c>
      <c r="AH623" s="139">
        <f t="shared" si="1249"/>
        <v>2.4703557312252964E-2</v>
      </c>
      <c r="AI623" s="139">
        <f t="shared" si="1249"/>
        <v>1.4822134387351778E-2</v>
      </c>
    </row>
    <row r="624" spans="2:35">
      <c r="B624" s="138" t="s">
        <v>8077</v>
      </c>
      <c r="C624" s="138" t="s">
        <v>4367</v>
      </c>
      <c r="D624" s="138" t="s">
        <v>15</v>
      </c>
      <c r="E624" s="138" t="s">
        <v>790</v>
      </c>
      <c r="F624" s="138" t="s">
        <v>790</v>
      </c>
      <c r="H624" s="138">
        <v>140</v>
      </c>
      <c r="I624" s="138">
        <v>1058</v>
      </c>
      <c r="J624" s="138">
        <v>615</v>
      </c>
      <c r="K624" s="138">
        <v>409</v>
      </c>
      <c r="N624" s="138">
        <v>4</v>
      </c>
      <c r="O624" s="138">
        <v>4</v>
      </c>
      <c r="S624" s="138">
        <v>19</v>
      </c>
      <c r="T624" s="138">
        <v>7</v>
      </c>
      <c r="U624" s="138">
        <f t="shared" si="1024"/>
        <v>30</v>
      </c>
      <c r="W624" s="139">
        <f t="shared" ref="W624:AA624" si="1250">J624/$I624</f>
        <v>0.58128544423440454</v>
      </c>
      <c r="X624" s="139">
        <f t="shared" si="1250"/>
        <v>0.38657844990548207</v>
      </c>
      <c r="Y624" s="139">
        <f t="shared" si="1250"/>
        <v>0</v>
      </c>
      <c r="Z624" s="139">
        <f t="shared" si="1250"/>
        <v>0</v>
      </c>
      <c r="AA624" s="139">
        <f t="shared" si="1250"/>
        <v>3.780718336483932E-3</v>
      </c>
      <c r="AB624" s="139"/>
      <c r="AC624" s="139">
        <f t="shared" si="1026"/>
        <v>2.835538752362949E-2</v>
      </c>
      <c r="AD624" s="139">
        <f t="shared" ref="AD624:AI624" si="1251">O624/$I624</f>
        <v>3.780718336483932E-3</v>
      </c>
      <c r="AE624" s="139">
        <f t="shared" si="1251"/>
        <v>0</v>
      </c>
      <c r="AF624" s="139">
        <f t="shared" si="1251"/>
        <v>0</v>
      </c>
      <c r="AG624" s="139">
        <f t="shared" si="1251"/>
        <v>0</v>
      </c>
      <c r="AH624" s="139">
        <f t="shared" si="1251"/>
        <v>1.7958412098298678E-2</v>
      </c>
      <c r="AI624" s="139">
        <f t="shared" si="1251"/>
        <v>6.6162570888468808E-3</v>
      </c>
    </row>
    <row r="625" spans="2:35">
      <c r="B625" s="138" t="s">
        <v>8077</v>
      </c>
      <c r="C625" s="138" t="s">
        <v>4367</v>
      </c>
      <c r="D625" s="138" t="s">
        <v>15</v>
      </c>
      <c r="E625" s="138" t="s">
        <v>790</v>
      </c>
      <c r="F625" s="138" t="s">
        <v>790</v>
      </c>
      <c r="H625" s="138">
        <v>141</v>
      </c>
      <c r="I625" s="138">
        <v>938</v>
      </c>
      <c r="J625" s="138">
        <v>632</v>
      </c>
      <c r="K625" s="138">
        <v>276</v>
      </c>
      <c r="N625" s="138">
        <v>11</v>
      </c>
      <c r="O625" s="138">
        <v>2</v>
      </c>
      <c r="S625" s="138">
        <v>13</v>
      </c>
      <c r="T625" s="138">
        <v>4</v>
      </c>
      <c r="U625" s="138">
        <f t="shared" si="1024"/>
        <v>19</v>
      </c>
      <c r="W625" s="139">
        <f t="shared" ref="W625:AA625" si="1252">J625/$I625</f>
        <v>0.67377398720682302</v>
      </c>
      <c r="X625" s="139">
        <f t="shared" si="1252"/>
        <v>0.29424307036247332</v>
      </c>
      <c r="Y625" s="139">
        <f t="shared" si="1252"/>
        <v>0</v>
      </c>
      <c r="Z625" s="139">
        <f t="shared" si="1252"/>
        <v>0</v>
      </c>
      <c r="AA625" s="139">
        <f t="shared" si="1252"/>
        <v>1.1727078891257996E-2</v>
      </c>
      <c r="AB625" s="139"/>
      <c r="AC625" s="139">
        <f t="shared" si="1026"/>
        <v>2.0255863539445629E-2</v>
      </c>
      <c r="AD625" s="139">
        <f t="shared" ref="AD625:AI625" si="1253">O625/$I625</f>
        <v>2.1321961620469083E-3</v>
      </c>
      <c r="AE625" s="139">
        <f t="shared" si="1253"/>
        <v>0</v>
      </c>
      <c r="AF625" s="139">
        <f t="shared" si="1253"/>
        <v>0</v>
      </c>
      <c r="AG625" s="139">
        <f t="shared" si="1253"/>
        <v>0</v>
      </c>
      <c r="AH625" s="139">
        <f t="shared" si="1253"/>
        <v>1.3859275053304905E-2</v>
      </c>
      <c r="AI625" s="139">
        <f t="shared" si="1253"/>
        <v>4.2643923240938165E-3</v>
      </c>
    </row>
    <row r="626" spans="2:35">
      <c r="B626" s="138" t="s">
        <v>8077</v>
      </c>
      <c r="C626" s="138" t="s">
        <v>4367</v>
      </c>
      <c r="D626" s="138" t="s">
        <v>15</v>
      </c>
      <c r="E626" s="138" t="s">
        <v>790</v>
      </c>
      <c r="F626" s="138" t="s">
        <v>790</v>
      </c>
      <c r="H626" s="138">
        <v>142</v>
      </c>
      <c r="I626" s="138">
        <v>615</v>
      </c>
      <c r="J626" s="138">
        <v>426</v>
      </c>
      <c r="K626" s="138">
        <v>163</v>
      </c>
      <c r="N626" s="138">
        <v>6</v>
      </c>
      <c r="O626" s="138">
        <v>5</v>
      </c>
      <c r="S626" s="138">
        <v>10</v>
      </c>
      <c r="T626" s="138">
        <v>5</v>
      </c>
      <c r="U626" s="138">
        <f t="shared" si="1024"/>
        <v>20</v>
      </c>
      <c r="W626" s="139">
        <f t="shared" ref="W626:AA626" si="1254">J626/$I626</f>
        <v>0.69268292682926824</v>
      </c>
      <c r="X626" s="139">
        <f t="shared" si="1254"/>
        <v>0.26504065040650404</v>
      </c>
      <c r="Y626" s="139">
        <f t="shared" si="1254"/>
        <v>0</v>
      </c>
      <c r="Z626" s="139">
        <f t="shared" si="1254"/>
        <v>0</v>
      </c>
      <c r="AA626" s="139">
        <f t="shared" si="1254"/>
        <v>9.7560975609756097E-3</v>
      </c>
      <c r="AB626" s="139"/>
      <c r="AC626" s="139">
        <f t="shared" si="1026"/>
        <v>3.2520325203252036E-2</v>
      </c>
      <c r="AD626" s="139">
        <f t="shared" ref="AD626:AI626" si="1255">O626/$I626</f>
        <v>8.130081300813009E-3</v>
      </c>
      <c r="AE626" s="139">
        <f t="shared" si="1255"/>
        <v>0</v>
      </c>
      <c r="AF626" s="139">
        <f t="shared" si="1255"/>
        <v>0</v>
      </c>
      <c r="AG626" s="139">
        <f t="shared" si="1255"/>
        <v>0</v>
      </c>
      <c r="AH626" s="139">
        <f t="shared" si="1255"/>
        <v>1.6260162601626018E-2</v>
      </c>
      <c r="AI626" s="139">
        <f t="shared" si="1255"/>
        <v>8.130081300813009E-3</v>
      </c>
    </row>
    <row r="627" spans="2:35">
      <c r="B627" s="138" t="s">
        <v>8077</v>
      </c>
      <c r="C627" s="138" t="s">
        <v>4367</v>
      </c>
      <c r="D627" s="138" t="s">
        <v>15</v>
      </c>
      <c r="E627" s="138" t="s">
        <v>790</v>
      </c>
      <c r="F627" s="138" t="s">
        <v>790</v>
      </c>
      <c r="H627" s="138">
        <v>143</v>
      </c>
      <c r="I627" s="138">
        <v>1003</v>
      </c>
      <c r="J627" s="138">
        <v>765</v>
      </c>
      <c r="K627" s="138">
        <v>204</v>
      </c>
      <c r="N627" s="138">
        <v>7</v>
      </c>
      <c r="O627" s="138">
        <v>5</v>
      </c>
      <c r="S627" s="138">
        <v>13</v>
      </c>
      <c r="T627" s="138">
        <v>9</v>
      </c>
      <c r="U627" s="138">
        <f t="shared" si="1024"/>
        <v>27</v>
      </c>
      <c r="W627" s="139">
        <f t="shared" ref="W627:AA627" si="1256">J627/$I627</f>
        <v>0.76271186440677963</v>
      </c>
      <c r="X627" s="139">
        <f t="shared" si="1256"/>
        <v>0.20338983050847459</v>
      </c>
      <c r="Y627" s="139">
        <f t="shared" si="1256"/>
        <v>0</v>
      </c>
      <c r="Z627" s="139">
        <f t="shared" si="1256"/>
        <v>0</v>
      </c>
      <c r="AA627" s="139">
        <f t="shared" si="1256"/>
        <v>6.979062811565304E-3</v>
      </c>
      <c r="AB627" s="139"/>
      <c r="AC627" s="139">
        <f t="shared" si="1026"/>
        <v>2.6919242273180457E-2</v>
      </c>
      <c r="AD627" s="139">
        <f t="shared" ref="AD627:AI627" si="1257">O627/$I627</f>
        <v>4.9850448654037887E-3</v>
      </c>
      <c r="AE627" s="139">
        <f t="shared" si="1257"/>
        <v>0</v>
      </c>
      <c r="AF627" s="139">
        <f t="shared" si="1257"/>
        <v>0</v>
      </c>
      <c r="AG627" s="139">
        <f t="shared" si="1257"/>
        <v>0</v>
      </c>
      <c r="AH627" s="139">
        <f t="shared" si="1257"/>
        <v>1.2961116650049851E-2</v>
      </c>
      <c r="AI627" s="139">
        <f t="shared" si="1257"/>
        <v>8.9730807577268201E-3</v>
      </c>
    </row>
    <row r="628" spans="2:35">
      <c r="B628" s="138" t="s">
        <v>8077</v>
      </c>
      <c r="C628" s="138" t="s">
        <v>4367</v>
      </c>
      <c r="D628" s="138" t="s">
        <v>15</v>
      </c>
      <c r="E628" s="138" t="s">
        <v>790</v>
      </c>
      <c r="F628" s="138" t="s">
        <v>790</v>
      </c>
      <c r="H628" s="138">
        <v>144</v>
      </c>
      <c r="I628" s="138">
        <v>501</v>
      </c>
      <c r="J628" s="138">
        <v>365</v>
      </c>
      <c r="K628" s="138">
        <v>111</v>
      </c>
      <c r="N628" s="138">
        <v>4</v>
      </c>
      <c r="O628" s="138">
        <v>1</v>
      </c>
      <c r="S628" s="138">
        <v>14</v>
      </c>
      <c r="T628" s="138">
        <v>6</v>
      </c>
      <c r="U628" s="138">
        <f t="shared" si="1024"/>
        <v>21</v>
      </c>
      <c r="W628" s="139">
        <f t="shared" ref="W628:AA628" si="1258">J628/$I628</f>
        <v>0.72854291417165673</v>
      </c>
      <c r="X628" s="139">
        <f t="shared" si="1258"/>
        <v>0.22155688622754491</v>
      </c>
      <c r="Y628" s="139">
        <f t="shared" si="1258"/>
        <v>0</v>
      </c>
      <c r="Z628" s="139">
        <f t="shared" si="1258"/>
        <v>0</v>
      </c>
      <c r="AA628" s="139">
        <f t="shared" si="1258"/>
        <v>7.9840319361277438E-3</v>
      </c>
      <c r="AB628" s="139"/>
      <c r="AC628" s="139">
        <f t="shared" si="1026"/>
        <v>4.1916167664670656E-2</v>
      </c>
      <c r="AD628" s="139">
        <f t="shared" ref="AD628:AI628" si="1259">O628/$I628</f>
        <v>1.996007984031936E-3</v>
      </c>
      <c r="AE628" s="139">
        <f t="shared" si="1259"/>
        <v>0</v>
      </c>
      <c r="AF628" s="139">
        <f t="shared" si="1259"/>
        <v>0</v>
      </c>
      <c r="AG628" s="139">
        <f t="shared" si="1259"/>
        <v>0</v>
      </c>
      <c r="AH628" s="139">
        <f t="shared" si="1259"/>
        <v>2.7944111776447105E-2</v>
      </c>
      <c r="AI628" s="139">
        <f t="shared" si="1259"/>
        <v>1.1976047904191617E-2</v>
      </c>
    </row>
    <row r="629" spans="2:35">
      <c r="B629" s="138" t="s">
        <v>8077</v>
      </c>
      <c r="C629" s="138" t="s">
        <v>4367</v>
      </c>
      <c r="D629" s="138" t="s">
        <v>15</v>
      </c>
      <c r="E629" s="138" t="s">
        <v>790</v>
      </c>
      <c r="F629" s="138" t="s">
        <v>790</v>
      </c>
      <c r="H629" s="138">
        <v>145</v>
      </c>
      <c r="I629" s="138">
        <v>891</v>
      </c>
      <c r="J629" s="138">
        <v>694</v>
      </c>
      <c r="K629" s="138">
        <v>167</v>
      </c>
      <c r="N629" s="138">
        <v>6</v>
      </c>
      <c r="O629" s="138">
        <v>5</v>
      </c>
      <c r="S629" s="138">
        <v>16</v>
      </c>
      <c r="T629" s="138">
        <v>3</v>
      </c>
      <c r="U629" s="138">
        <f t="shared" si="1024"/>
        <v>24</v>
      </c>
      <c r="W629" s="139">
        <f t="shared" ref="W629:AA629" si="1260">J629/$I629</f>
        <v>0.77890011223344557</v>
      </c>
      <c r="X629" s="139">
        <f t="shared" si="1260"/>
        <v>0.18742985409652077</v>
      </c>
      <c r="Y629" s="139">
        <f t="shared" si="1260"/>
        <v>0</v>
      </c>
      <c r="Z629" s="139">
        <f t="shared" si="1260"/>
        <v>0</v>
      </c>
      <c r="AA629" s="139">
        <f t="shared" si="1260"/>
        <v>6.7340067340067337E-3</v>
      </c>
      <c r="AB629" s="139"/>
      <c r="AC629" s="139">
        <f t="shared" si="1026"/>
        <v>2.6936026936026935E-2</v>
      </c>
      <c r="AD629" s="139">
        <f t="shared" ref="AD629:AI629" si="1261">O629/$I629</f>
        <v>5.6116722783389446E-3</v>
      </c>
      <c r="AE629" s="139">
        <f t="shared" si="1261"/>
        <v>0</v>
      </c>
      <c r="AF629" s="139">
        <f t="shared" si="1261"/>
        <v>0</v>
      </c>
      <c r="AG629" s="139">
        <f t="shared" si="1261"/>
        <v>0</v>
      </c>
      <c r="AH629" s="139">
        <f t="shared" si="1261"/>
        <v>1.7957351290684626E-2</v>
      </c>
      <c r="AI629" s="139">
        <f t="shared" si="1261"/>
        <v>3.3670033670033669E-3</v>
      </c>
    </row>
    <row r="630" spans="2:35">
      <c r="B630" s="138" t="s">
        <v>8077</v>
      </c>
      <c r="C630" s="138" t="s">
        <v>4367</v>
      </c>
      <c r="D630" s="138" t="s">
        <v>15</v>
      </c>
      <c r="E630" s="138" t="s">
        <v>790</v>
      </c>
      <c r="F630" s="138" t="s">
        <v>790</v>
      </c>
      <c r="H630" s="138">
        <v>146</v>
      </c>
      <c r="I630" s="138">
        <v>1004</v>
      </c>
      <c r="J630" s="138">
        <v>798</v>
      </c>
      <c r="K630" s="138">
        <v>193</v>
      </c>
      <c r="N630" s="138">
        <v>5</v>
      </c>
      <c r="O630" s="138">
        <v>0</v>
      </c>
      <c r="S630" s="138">
        <v>5</v>
      </c>
      <c r="T630" s="138">
        <v>3</v>
      </c>
      <c r="U630" s="138">
        <f t="shared" si="1024"/>
        <v>8</v>
      </c>
      <c r="W630" s="139">
        <f t="shared" ref="W630:AA630" si="1262">J630/$I630</f>
        <v>0.79482071713147406</v>
      </c>
      <c r="X630" s="139">
        <f t="shared" si="1262"/>
        <v>0.19223107569721115</v>
      </c>
      <c r="Y630" s="139">
        <f t="shared" si="1262"/>
        <v>0</v>
      </c>
      <c r="Z630" s="139">
        <f t="shared" si="1262"/>
        <v>0</v>
      </c>
      <c r="AA630" s="139">
        <f t="shared" si="1262"/>
        <v>4.9800796812749003E-3</v>
      </c>
      <c r="AB630" s="139"/>
      <c r="AC630" s="139">
        <f t="shared" si="1026"/>
        <v>7.9681274900398405E-3</v>
      </c>
      <c r="AD630" s="139">
        <f t="shared" ref="AD630:AI630" si="1263">O630/$I630</f>
        <v>0</v>
      </c>
      <c r="AE630" s="139">
        <f t="shared" si="1263"/>
        <v>0</v>
      </c>
      <c r="AF630" s="139">
        <f t="shared" si="1263"/>
        <v>0</v>
      </c>
      <c r="AG630" s="139">
        <f t="shared" si="1263"/>
        <v>0</v>
      </c>
      <c r="AH630" s="139">
        <f t="shared" si="1263"/>
        <v>4.9800796812749003E-3</v>
      </c>
      <c r="AI630" s="139">
        <f t="shared" si="1263"/>
        <v>2.9880478087649402E-3</v>
      </c>
    </row>
    <row r="631" spans="2:35">
      <c r="B631" s="138" t="s">
        <v>8077</v>
      </c>
      <c r="C631" s="138" t="s">
        <v>4367</v>
      </c>
      <c r="D631" s="138" t="s">
        <v>15</v>
      </c>
      <c r="E631" s="138" t="s">
        <v>790</v>
      </c>
      <c r="F631" s="138" t="s">
        <v>790</v>
      </c>
      <c r="H631" s="138">
        <v>147</v>
      </c>
      <c r="I631" s="138">
        <v>706</v>
      </c>
      <c r="J631" s="138">
        <v>506</v>
      </c>
      <c r="K631" s="138">
        <v>165</v>
      </c>
      <c r="N631" s="138">
        <v>6</v>
      </c>
      <c r="O631" s="138">
        <v>8</v>
      </c>
      <c r="S631" s="138">
        <v>16</v>
      </c>
      <c r="T631" s="138">
        <v>5</v>
      </c>
      <c r="U631" s="138">
        <f t="shared" si="1024"/>
        <v>29</v>
      </c>
      <c r="W631" s="139">
        <f t="shared" ref="W631:AA631" si="1264">J631/$I631</f>
        <v>0.71671388101983002</v>
      </c>
      <c r="X631" s="139">
        <f t="shared" si="1264"/>
        <v>0.23371104815864022</v>
      </c>
      <c r="Y631" s="139">
        <f t="shared" si="1264"/>
        <v>0</v>
      </c>
      <c r="Z631" s="139">
        <f t="shared" si="1264"/>
        <v>0</v>
      </c>
      <c r="AA631" s="139">
        <f t="shared" si="1264"/>
        <v>8.4985835694051E-3</v>
      </c>
      <c r="AB631" s="139"/>
      <c r="AC631" s="139">
        <f t="shared" si="1026"/>
        <v>4.1076487252124649E-2</v>
      </c>
      <c r="AD631" s="139">
        <f t="shared" ref="AD631:AI631" si="1265">O631/$I631</f>
        <v>1.1331444759206799E-2</v>
      </c>
      <c r="AE631" s="139">
        <f t="shared" si="1265"/>
        <v>0</v>
      </c>
      <c r="AF631" s="139">
        <f t="shared" si="1265"/>
        <v>0</v>
      </c>
      <c r="AG631" s="139">
        <f t="shared" si="1265"/>
        <v>0</v>
      </c>
      <c r="AH631" s="139">
        <f t="shared" si="1265"/>
        <v>2.2662889518413599E-2</v>
      </c>
      <c r="AI631" s="139">
        <f t="shared" si="1265"/>
        <v>7.0821529745042494E-3</v>
      </c>
    </row>
    <row r="632" spans="2:35">
      <c r="B632" s="138" t="s">
        <v>8077</v>
      </c>
      <c r="C632" s="138" t="s">
        <v>4367</v>
      </c>
      <c r="D632" s="138" t="s">
        <v>15</v>
      </c>
      <c r="E632" s="138" t="s">
        <v>790</v>
      </c>
      <c r="F632" s="138" t="s">
        <v>790</v>
      </c>
      <c r="H632" s="138">
        <v>148</v>
      </c>
      <c r="I632" s="138">
        <v>661</v>
      </c>
      <c r="J632" s="138">
        <v>398</v>
      </c>
      <c r="K632" s="138">
        <v>226</v>
      </c>
      <c r="N632" s="138">
        <v>10</v>
      </c>
      <c r="O632" s="138">
        <v>3</v>
      </c>
      <c r="S632" s="138">
        <v>16</v>
      </c>
      <c r="T632" s="138">
        <v>8</v>
      </c>
      <c r="U632" s="138">
        <f t="shared" si="1024"/>
        <v>27</v>
      </c>
      <c r="W632" s="139">
        <f t="shared" ref="W632:AA632" si="1266">J632/$I632</f>
        <v>0.60211800302571861</v>
      </c>
      <c r="X632" s="139">
        <f t="shared" si="1266"/>
        <v>0.34190620272314676</v>
      </c>
      <c r="Y632" s="139">
        <f t="shared" si="1266"/>
        <v>0</v>
      </c>
      <c r="Z632" s="139">
        <f t="shared" si="1266"/>
        <v>0</v>
      </c>
      <c r="AA632" s="139">
        <f t="shared" si="1266"/>
        <v>1.5128593040847202E-2</v>
      </c>
      <c r="AB632" s="139"/>
      <c r="AC632" s="139">
        <f t="shared" si="1026"/>
        <v>4.084720121028744E-2</v>
      </c>
      <c r="AD632" s="139">
        <f t="shared" ref="AD632:AI632" si="1267">O632/$I632</f>
        <v>4.5385779122541605E-3</v>
      </c>
      <c r="AE632" s="139">
        <f t="shared" si="1267"/>
        <v>0</v>
      </c>
      <c r="AF632" s="139">
        <f t="shared" si="1267"/>
        <v>0</v>
      </c>
      <c r="AG632" s="139">
        <f t="shared" si="1267"/>
        <v>0</v>
      </c>
      <c r="AH632" s="139">
        <f t="shared" si="1267"/>
        <v>2.4205748865355523E-2</v>
      </c>
      <c r="AI632" s="139">
        <f t="shared" si="1267"/>
        <v>1.2102874432677761E-2</v>
      </c>
    </row>
    <row r="633" spans="2:35">
      <c r="B633" s="138" t="s">
        <v>8077</v>
      </c>
      <c r="C633" s="138" t="s">
        <v>4367</v>
      </c>
      <c r="D633" s="138" t="s">
        <v>15</v>
      </c>
      <c r="E633" s="138" t="s">
        <v>790</v>
      </c>
      <c r="F633" s="138" t="s">
        <v>790</v>
      </c>
      <c r="H633" s="138">
        <v>149</v>
      </c>
      <c r="I633" s="138">
        <v>1099</v>
      </c>
      <c r="J633" s="138">
        <v>741</v>
      </c>
      <c r="K633" s="138">
        <v>320</v>
      </c>
      <c r="N633" s="138">
        <v>14</v>
      </c>
      <c r="O633" s="138">
        <v>1</v>
      </c>
      <c r="S633" s="138">
        <v>14</v>
      </c>
      <c r="T633" s="138">
        <v>9</v>
      </c>
      <c r="U633" s="138">
        <f t="shared" si="1024"/>
        <v>24</v>
      </c>
      <c r="W633" s="139">
        <f t="shared" ref="W633:AA633" si="1268">J633/$I633</f>
        <v>0.67424931756141948</v>
      </c>
      <c r="X633" s="139">
        <f t="shared" si="1268"/>
        <v>0.29117379435850771</v>
      </c>
      <c r="Y633" s="139">
        <f t="shared" si="1268"/>
        <v>0</v>
      </c>
      <c r="Z633" s="139">
        <f t="shared" si="1268"/>
        <v>0</v>
      </c>
      <c r="AA633" s="139">
        <f t="shared" si="1268"/>
        <v>1.2738853503184714E-2</v>
      </c>
      <c r="AB633" s="139"/>
      <c r="AC633" s="139">
        <f t="shared" si="1026"/>
        <v>2.1838034576888082E-2</v>
      </c>
      <c r="AD633" s="139">
        <f t="shared" ref="AD633:AI633" si="1269">O633/$I633</f>
        <v>9.099181073703367E-4</v>
      </c>
      <c r="AE633" s="139">
        <f t="shared" si="1269"/>
        <v>0</v>
      </c>
      <c r="AF633" s="139">
        <f t="shared" si="1269"/>
        <v>0</v>
      </c>
      <c r="AG633" s="139">
        <f t="shared" si="1269"/>
        <v>0</v>
      </c>
      <c r="AH633" s="139">
        <f t="shared" si="1269"/>
        <v>1.2738853503184714E-2</v>
      </c>
      <c r="AI633" s="139">
        <f t="shared" si="1269"/>
        <v>8.1892629663330302E-3</v>
      </c>
    </row>
    <row r="634" spans="2:35">
      <c r="B634" s="138" t="s">
        <v>8077</v>
      </c>
      <c r="C634" s="138" t="s">
        <v>4367</v>
      </c>
      <c r="D634" s="138" t="s">
        <v>15</v>
      </c>
      <c r="E634" s="138" t="s">
        <v>790</v>
      </c>
      <c r="F634" s="138" t="s">
        <v>790</v>
      </c>
      <c r="H634" s="138">
        <v>150</v>
      </c>
      <c r="I634" s="138">
        <v>845</v>
      </c>
      <c r="J634" s="138">
        <v>617</v>
      </c>
      <c r="K634" s="138">
        <v>203</v>
      </c>
      <c r="N634" s="138">
        <v>8</v>
      </c>
      <c r="O634" s="138">
        <v>2</v>
      </c>
      <c r="S634" s="138">
        <v>11</v>
      </c>
      <c r="T634" s="138">
        <v>4</v>
      </c>
      <c r="U634" s="138">
        <f t="shared" si="1024"/>
        <v>17</v>
      </c>
      <c r="W634" s="139">
        <f t="shared" ref="W634:AA634" si="1270">J634/$I634</f>
        <v>0.73017751479289938</v>
      </c>
      <c r="X634" s="139">
        <f t="shared" si="1270"/>
        <v>0.24023668639053256</v>
      </c>
      <c r="Y634" s="139">
        <f t="shared" si="1270"/>
        <v>0</v>
      </c>
      <c r="Z634" s="139">
        <f t="shared" si="1270"/>
        <v>0</v>
      </c>
      <c r="AA634" s="139">
        <f t="shared" si="1270"/>
        <v>9.4674556213017753E-3</v>
      </c>
      <c r="AB634" s="139"/>
      <c r="AC634" s="139">
        <f t="shared" si="1026"/>
        <v>2.0118343195266272E-2</v>
      </c>
      <c r="AD634" s="139">
        <f t="shared" ref="AD634:AI634" si="1271">O634/$I634</f>
        <v>2.3668639053254438E-3</v>
      </c>
      <c r="AE634" s="139">
        <f t="shared" si="1271"/>
        <v>0</v>
      </c>
      <c r="AF634" s="139">
        <f t="shared" si="1271"/>
        <v>0</v>
      </c>
      <c r="AG634" s="139">
        <f t="shared" si="1271"/>
        <v>0</v>
      </c>
      <c r="AH634" s="139">
        <f t="shared" si="1271"/>
        <v>1.301775147928994E-2</v>
      </c>
      <c r="AI634" s="139">
        <f t="shared" si="1271"/>
        <v>4.7337278106508876E-3</v>
      </c>
    </row>
    <row r="635" spans="2:35">
      <c r="B635" s="138" t="s">
        <v>8077</v>
      </c>
      <c r="C635" s="138" t="s">
        <v>4367</v>
      </c>
      <c r="D635" s="138" t="s">
        <v>15</v>
      </c>
      <c r="E635" s="138" t="s">
        <v>790</v>
      </c>
      <c r="F635" s="138" t="s">
        <v>790</v>
      </c>
      <c r="H635" s="138">
        <v>151</v>
      </c>
      <c r="I635" s="138">
        <v>994</v>
      </c>
      <c r="J635" s="138">
        <v>698</v>
      </c>
      <c r="K635" s="138">
        <v>259</v>
      </c>
      <c r="N635" s="138">
        <v>11</v>
      </c>
      <c r="O635" s="138">
        <v>6</v>
      </c>
      <c r="S635" s="138">
        <v>15</v>
      </c>
      <c r="T635" s="138">
        <v>5</v>
      </c>
      <c r="U635" s="138">
        <f t="shared" si="1024"/>
        <v>26</v>
      </c>
      <c r="W635" s="139">
        <f t="shared" ref="W635:AA635" si="1272">J635/$I635</f>
        <v>0.70221327967806846</v>
      </c>
      <c r="X635" s="139">
        <f t="shared" si="1272"/>
        <v>0.26056338028169013</v>
      </c>
      <c r="Y635" s="139">
        <f t="shared" si="1272"/>
        <v>0</v>
      </c>
      <c r="Z635" s="139">
        <f t="shared" si="1272"/>
        <v>0</v>
      </c>
      <c r="AA635" s="139">
        <f t="shared" si="1272"/>
        <v>1.1066398390342052E-2</v>
      </c>
      <c r="AB635" s="139"/>
      <c r="AC635" s="139">
        <f t="shared" si="1026"/>
        <v>2.6156941649899398E-2</v>
      </c>
      <c r="AD635" s="139">
        <f t="shared" ref="AD635:AI635" si="1273">O635/$I635</f>
        <v>6.0362173038229373E-3</v>
      </c>
      <c r="AE635" s="139">
        <f t="shared" si="1273"/>
        <v>0</v>
      </c>
      <c r="AF635" s="139">
        <f t="shared" si="1273"/>
        <v>0</v>
      </c>
      <c r="AG635" s="139">
        <f t="shared" si="1273"/>
        <v>0</v>
      </c>
      <c r="AH635" s="139">
        <f t="shared" si="1273"/>
        <v>1.5090543259557344E-2</v>
      </c>
      <c r="AI635" s="139">
        <f t="shared" si="1273"/>
        <v>5.0301810865191147E-3</v>
      </c>
    </row>
    <row r="636" spans="2:35">
      <c r="B636" s="138" t="s">
        <v>8077</v>
      </c>
      <c r="C636" s="138" t="s">
        <v>4367</v>
      </c>
      <c r="D636" s="138" t="s">
        <v>15</v>
      </c>
      <c r="E636" s="138" t="s">
        <v>790</v>
      </c>
      <c r="F636" s="138" t="s">
        <v>790</v>
      </c>
      <c r="H636" s="138">
        <v>152</v>
      </c>
      <c r="I636" s="138">
        <v>987</v>
      </c>
      <c r="J636" s="138">
        <v>768</v>
      </c>
      <c r="K636" s="138">
        <v>194</v>
      </c>
      <c r="N636" s="138">
        <v>12</v>
      </c>
      <c r="O636" s="138">
        <v>2</v>
      </c>
      <c r="S636" s="138">
        <v>9</v>
      </c>
      <c r="T636" s="138">
        <v>2</v>
      </c>
      <c r="U636" s="138">
        <f t="shared" si="1024"/>
        <v>13</v>
      </c>
      <c r="W636" s="139">
        <f t="shared" ref="W636:AA636" si="1274">J636/$I636</f>
        <v>0.77811550151975684</v>
      </c>
      <c r="X636" s="139">
        <f t="shared" si="1274"/>
        <v>0.19655521783181357</v>
      </c>
      <c r="Y636" s="139">
        <f t="shared" si="1274"/>
        <v>0</v>
      </c>
      <c r="Z636" s="139">
        <f t="shared" si="1274"/>
        <v>0</v>
      </c>
      <c r="AA636" s="139">
        <f t="shared" si="1274"/>
        <v>1.2158054711246201E-2</v>
      </c>
      <c r="AB636" s="139"/>
      <c r="AC636" s="139">
        <f t="shared" si="1026"/>
        <v>1.3171225937183385E-2</v>
      </c>
      <c r="AD636" s="139">
        <f t="shared" ref="AD636:AI636" si="1275">O636/$I636</f>
        <v>2.0263424518743669E-3</v>
      </c>
      <c r="AE636" s="139">
        <f t="shared" si="1275"/>
        <v>0</v>
      </c>
      <c r="AF636" s="139">
        <f t="shared" si="1275"/>
        <v>0</v>
      </c>
      <c r="AG636" s="139">
        <f t="shared" si="1275"/>
        <v>0</v>
      </c>
      <c r="AH636" s="139">
        <f t="shared" si="1275"/>
        <v>9.11854103343465E-3</v>
      </c>
      <c r="AI636" s="139">
        <f t="shared" si="1275"/>
        <v>2.0263424518743669E-3</v>
      </c>
    </row>
    <row r="637" spans="2:35">
      <c r="B637" s="138" t="s">
        <v>8077</v>
      </c>
      <c r="C637" s="138" t="s">
        <v>4367</v>
      </c>
      <c r="D637" s="138" t="s">
        <v>15</v>
      </c>
      <c r="E637" s="138" t="s">
        <v>790</v>
      </c>
      <c r="F637" s="138" t="s">
        <v>790</v>
      </c>
      <c r="H637" s="138">
        <v>153</v>
      </c>
      <c r="I637" s="138">
        <v>1012</v>
      </c>
      <c r="J637" s="138">
        <v>709</v>
      </c>
      <c r="K637" s="138">
        <v>244</v>
      </c>
      <c r="N637" s="138">
        <v>18</v>
      </c>
      <c r="O637" s="138">
        <v>4</v>
      </c>
      <c r="S637" s="138">
        <v>18</v>
      </c>
      <c r="T637" s="138">
        <v>19</v>
      </c>
      <c r="U637" s="138">
        <f t="shared" si="1024"/>
        <v>41</v>
      </c>
      <c r="W637" s="139">
        <f t="shared" ref="W637:AA637" si="1276">J637/$I637</f>
        <v>0.70059288537549402</v>
      </c>
      <c r="X637" s="139">
        <f t="shared" si="1276"/>
        <v>0.24110671936758893</v>
      </c>
      <c r="Y637" s="139">
        <f t="shared" si="1276"/>
        <v>0</v>
      </c>
      <c r="Z637" s="139">
        <f t="shared" si="1276"/>
        <v>0</v>
      </c>
      <c r="AA637" s="139">
        <f t="shared" si="1276"/>
        <v>1.7786561264822136E-2</v>
      </c>
      <c r="AB637" s="139"/>
      <c r="AC637" s="139">
        <f t="shared" si="1026"/>
        <v>4.0513833992094864E-2</v>
      </c>
      <c r="AD637" s="139">
        <f t="shared" ref="AD637:AI637" si="1277">O637/$I637</f>
        <v>3.952569169960474E-3</v>
      </c>
      <c r="AE637" s="139">
        <f t="shared" si="1277"/>
        <v>0</v>
      </c>
      <c r="AF637" s="139">
        <f t="shared" si="1277"/>
        <v>0</v>
      </c>
      <c r="AG637" s="139">
        <f t="shared" si="1277"/>
        <v>0</v>
      </c>
      <c r="AH637" s="139">
        <f t="shared" si="1277"/>
        <v>1.7786561264822136E-2</v>
      </c>
      <c r="AI637" s="139">
        <f t="shared" si="1277"/>
        <v>1.8774703557312252E-2</v>
      </c>
    </row>
    <row r="638" spans="2:35">
      <c r="B638" s="138" t="s">
        <v>8077</v>
      </c>
      <c r="C638" s="138" t="s">
        <v>4367</v>
      </c>
      <c r="D638" s="138" t="s">
        <v>15</v>
      </c>
      <c r="E638" s="138" t="s">
        <v>790</v>
      </c>
      <c r="F638" s="138" t="s">
        <v>790</v>
      </c>
      <c r="H638" s="138">
        <v>154</v>
      </c>
      <c r="I638" s="138">
        <v>916</v>
      </c>
      <c r="J638" s="138">
        <v>553</v>
      </c>
      <c r="K638" s="138">
        <v>311</v>
      </c>
      <c r="N638" s="138">
        <v>21</v>
      </c>
      <c r="O638" s="138">
        <v>8</v>
      </c>
      <c r="S638" s="138">
        <v>15</v>
      </c>
      <c r="T638" s="138">
        <v>8</v>
      </c>
      <c r="U638" s="138">
        <f t="shared" si="1024"/>
        <v>31</v>
      </c>
      <c r="W638" s="139">
        <f t="shared" ref="W638:AA638" si="1278">J638/$I638</f>
        <v>0.60371179039301315</v>
      </c>
      <c r="X638" s="139">
        <f t="shared" si="1278"/>
        <v>0.33951965065502182</v>
      </c>
      <c r="Y638" s="139">
        <f t="shared" si="1278"/>
        <v>0</v>
      </c>
      <c r="Z638" s="139">
        <f t="shared" si="1278"/>
        <v>0</v>
      </c>
      <c r="AA638" s="139">
        <f t="shared" si="1278"/>
        <v>2.2925764192139739E-2</v>
      </c>
      <c r="AB638" s="139"/>
      <c r="AC638" s="139">
        <f t="shared" si="1026"/>
        <v>3.384279475982533E-2</v>
      </c>
      <c r="AD638" s="139">
        <f t="shared" ref="AD638:AI638" si="1279">O638/$I638</f>
        <v>8.7336244541484712E-3</v>
      </c>
      <c r="AE638" s="139">
        <f t="shared" si="1279"/>
        <v>0</v>
      </c>
      <c r="AF638" s="139">
        <f t="shared" si="1279"/>
        <v>0</v>
      </c>
      <c r="AG638" s="139">
        <f t="shared" si="1279"/>
        <v>0</v>
      </c>
      <c r="AH638" s="139">
        <f t="shared" si="1279"/>
        <v>1.6375545851528384E-2</v>
      </c>
      <c r="AI638" s="139">
        <f t="shared" si="1279"/>
        <v>8.7336244541484712E-3</v>
      </c>
    </row>
    <row r="639" spans="2:35">
      <c r="B639" s="138" t="s">
        <v>8077</v>
      </c>
      <c r="C639" s="138" t="s">
        <v>4367</v>
      </c>
      <c r="D639" s="138" t="s">
        <v>15</v>
      </c>
      <c r="E639" s="138" t="s">
        <v>790</v>
      </c>
      <c r="F639" s="138" t="s">
        <v>790</v>
      </c>
      <c r="H639" s="138">
        <v>155</v>
      </c>
      <c r="I639" s="138">
        <v>1061</v>
      </c>
      <c r="J639" s="138">
        <v>731</v>
      </c>
      <c r="K639" s="138">
        <v>270</v>
      </c>
      <c r="N639" s="138">
        <v>9</v>
      </c>
      <c r="O639" s="138">
        <v>21</v>
      </c>
      <c r="S639" s="138">
        <v>16</v>
      </c>
      <c r="T639" s="138">
        <v>14</v>
      </c>
      <c r="U639" s="138">
        <f t="shared" si="1024"/>
        <v>51</v>
      </c>
      <c r="W639" s="139">
        <f t="shared" ref="W639:AA639" si="1280">J639/$I639</f>
        <v>0.68897266729500473</v>
      </c>
      <c r="X639" s="139">
        <f t="shared" si="1280"/>
        <v>0.25447690857681432</v>
      </c>
      <c r="Y639" s="139">
        <f t="shared" si="1280"/>
        <v>0</v>
      </c>
      <c r="Z639" s="139">
        <f t="shared" si="1280"/>
        <v>0</v>
      </c>
      <c r="AA639" s="139">
        <f t="shared" si="1280"/>
        <v>8.4825636192271438E-3</v>
      </c>
      <c r="AB639" s="139"/>
      <c r="AC639" s="139">
        <f t="shared" si="1026"/>
        <v>4.8067860508953821E-2</v>
      </c>
      <c r="AD639" s="139">
        <f t="shared" ref="AD639:AI639" si="1281">O639/$I639</f>
        <v>1.9792648444863337E-2</v>
      </c>
      <c r="AE639" s="139">
        <f t="shared" si="1281"/>
        <v>0</v>
      </c>
      <c r="AF639" s="139">
        <f t="shared" si="1281"/>
        <v>0</v>
      </c>
      <c r="AG639" s="139">
        <f t="shared" si="1281"/>
        <v>0</v>
      </c>
      <c r="AH639" s="139">
        <f t="shared" si="1281"/>
        <v>1.5080113100848256E-2</v>
      </c>
      <c r="AI639" s="139">
        <f t="shared" si="1281"/>
        <v>1.3195098963242224E-2</v>
      </c>
    </row>
    <row r="640" spans="2:35">
      <c r="B640" s="138" t="s">
        <v>8077</v>
      </c>
      <c r="C640" s="138" t="s">
        <v>4367</v>
      </c>
      <c r="D640" s="138" t="s">
        <v>15</v>
      </c>
      <c r="E640" s="138" t="s">
        <v>790</v>
      </c>
      <c r="F640" s="138" t="s">
        <v>790</v>
      </c>
      <c r="H640" s="138">
        <v>156</v>
      </c>
      <c r="I640" s="138">
        <v>1119</v>
      </c>
      <c r="J640" s="138">
        <v>711</v>
      </c>
      <c r="K640" s="138">
        <v>341</v>
      </c>
      <c r="N640" s="138">
        <v>15</v>
      </c>
      <c r="O640" s="138">
        <v>8</v>
      </c>
      <c r="S640" s="138">
        <v>25</v>
      </c>
      <c r="T640" s="138">
        <v>19</v>
      </c>
      <c r="U640" s="138">
        <f t="shared" si="1024"/>
        <v>52</v>
      </c>
      <c r="W640" s="139">
        <f t="shared" ref="W640:AA640" si="1282">J640/$I640</f>
        <v>0.63538873994638068</v>
      </c>
      <c r="X640" s="139">
        <f t="shared" si="1282"/>
        <v>0.30473637176050045</v>
      </c>
      <c r="Y640" s="139">
        <f t="shared" si="1282"/>
        <v>0</v>
      </c>
      <c r="Z640" s="139">
        <f t="shared" si="1282"/>
        <v>0</v>
      </c>
      <c r="AA640" s="139">
        <f t="shared" si="1282"/>
        <v>1.3404825737265416E-2</v>
      </c>
      <c r="AB640" s="139"/>
      <c r="AC640" s="139">
        <f t="shared" si="1026"/>
        <v>4.6470062555853439E-2</v>
      </c>
      <c r="AD640" s="139">
        <f t="shared" ref="AD640:AI640" si="1283">O640/$I640</f>
        <v>7.1492403932082215E-3</v>
      </c>
      <c r="AE640" s="139">
        <f t="shared" si="1283"/>
        <v>0</v>
      </c>
      <c r="AF640" s="139">
        <f t="shared" si="1283"/>
        <v>0</v>
      </c>
      <c r="AG640" s="139">
        <f t="shared" si="1283"/>
        <v>0</v>
      </c>
      <c r="AH640" s="139">
        <f t="shared" si="1283"/>
        <v>2.2341376228775692E-2</v>
      </c>
      <c r="AI640" s="139">
        <f t="shared" si="1283"/>
        <v>1.6979445933869526E-2</v>
      </c>
    </row>
    <row r="641" spans="2:35">
      <c r="B641" s="138" t="s">
        <v>8077</v>
      </c>
      <c r="C641" s="138" t="s">
        <v>4367</v>
      </c>
      <c r="D641" s="138" t="s">
        <v>15</v>
      </c>
      <c r="E641" s="138" t="s">
        <v>790</v>
      </c>
      <c r="F641" s="138" t="s">
        <v>790</v>
      </c>
      <c r="H641" s="138">
        <v>157</v>
      </c>
      <c r="I641" s="138">
        <v>768</v>
      </c>
      <c r="J641" s="138">
        <v>487</v>
      </c>
      <c r="K641" s="138">
        <v>247</v>
      </c>
      <c r="N641" s="138">
        <v>11</v>
      </c>
      <c r="O641" s="138">
        <v>3</v>
      </c>
      <c r="S641" s="138">
        <v>13</v>
      </c>
      <c r="T641" s="138">
        <v>7</v>
      </c>
      <c r="U641" s="138">
        <f t="shared" si="1024"/>
        <v>23</v>
      </c>
      <c r="W641" s="139">
        <f t="shared" ref="W641:AA641" si="1284">J641/$I641</f>
        <v>0.63411458333333337</v>
      </c>
      <c r="X641" s="139">
        <f t="shared" si="1284"/>
        <v>0.32161458333333331</v>
      </c>
      <c r="Y641" s="139">
        <f t="shared" si="1284"/>
        <v>0</v>
      </c>
      <c r="Z641" s="139">
        <f t="shared" si="1284"/>
        <v>0</v>
      </c>
      <c r="AA641" s="139">
        <f t="shared" si="1284"/>
        <v>1.4322916666666666E-2</v>
      </c>
      <c r="AB641" s="139"/>
      <c r="AC641" s="139">
        <f t="shared" si="1026"/>
        <v>2.9947916666666668E-2</v>
      </c>
      <c r="AD641" s="139">
        <f t="shared" ref="AD641:AI641" si="1285">O641/$I641</f>
        <v>3.90625E-3</v>
      </c>
      <c r="AE641" s="139">
        <f t="shared" si="1285"/>
        <v>0</v>
      </c>
      <c r="AF641" s="139">
        <f t="shared" si="1285"/>
        <v>0</v>
      </c>
      <c r="AG641" s="139">
        <f t="shared" si="1285"/>
        <v>0</v>
      </c>
      <c r="AH641" s="139">
        <f t="shared" si="1285"/>
        <v>1.6927083333333332E-2</v>
      </c>
      <c r="AI641" s="139">
        <f t="shared" si="1285"/>
        <v>9.1145833333333339E-3</v>
      </c>
    </row>
    <row r="642" spans="2:35">
      <c r="B642" s="138" t="s">
        <v>8077</v>
      </c>
      <c r="C642" s="138" t="s">
        <v>4367</v>
      </c>
      <c r="D642" s="138" t="s">
        <v>15</v>
      </c>
      <c r="E642" s="138" t="s">
        <v>790</v>
      </c>
      <c r="F642" s="138" t="s">
        <v>790</v>
      </c>
      <c r="H642" s="138">
        <v>158</v>
      </c>
      <c r="I642" s="138">
        <v>972</v>
      </c>
      <c r="J642" s="138">
        <v>738</v>
      </c>
      <c r="K642" s="138">
        <v>196</v>
      </c>
      <c r="N642" s="138">
        <v>14</v>
      </c>
      <c r="O642" s="138">
        <v>2</v>
      </c>
      <c r="S642" s="138">
        <v>13</v>
      </c>
      <c r="T642" s="138">
        <v>9</v>
      </c>
      <c r="U642" s="138">
        <f t="shared" si="1024"/>
        <v>24</v>
      </c>
      <c r="W642" s="139">
        <f t="shared" ref="W642:AA642" si="1286">J642/$I642</f>
        <v>0.7592592592592593</v>
      </c>
      <c r="X642" s="139">
        <f t="shared" si="1286"/>
        <v>0.20164609053497942</v>
      </c>
      <c r="Y642" s="139">
        <f t="shared" si="1286"/>
        <v>0</v>
      </c>
      <c r="Z642" s="139">
        <f t="shared" si="1286"/>
        <v>0</v>
      </c>
      <c r="AA642" s="139">
        <f t="shared" si="1286"/>
        <v>1.4403292181069959E-2</v>
      </c>
      <c r="AB642" s="139"/>
      <c r="AC642" s="139">
        <f t="shared" si="1026"/>
        <v>2.4691358024691357E-2</v>
      </c>
      <c r="AD642" s="139">
        <f t="shared" ref="AD642:AI642" si="1287">O642/$I642</f>
        <v>2.05761316872428E-3</v>
      </c>
      <c r="AE642" s="139">
        <f t="shared" si="1287"/>
        <v>0</v>
      </c>
      <c r="AF642" s="139">
        <f t="shared" si="1287"/>
        <v>0</v>
      </c>
      <c r="AG642" s="139">
        <f t="shared" si="1287"/>
        <v>0</v>
      </c>
      <c r="AH642" s="139">
        <f t="shared" si="1287"/>
        <v>1.3374485596707819E-2</v>
      </c>
      <c r="AI642" s="139">
        <f t="shared" si="1287"/>
        <v>9.2592592592592587E-3</v>
      </c>
    </row>
    <row r="643" spans="2:35">
      <c r="B643" s="138" t="s">
        <v>8077</v>
      </c>
      <c r="C643" s="138" t="s">
        <v>4367</v>
      </c>
      <c r="D643" s="138" t="s">
        <v>15</v>
      </c>
      <c r="E643" s="138" t="s">
        <v>790</v>
      </c>
      <c r="F643" s="138" t="s">
        <v>790</v>
      </c>
      <c r="H643" s="138">
        <v>159</v>
      </c>
      <c r="I643" s="138">
        <v>954</v>
      </c>
      <c r="J643" s="138">
        <v>656</v>
      </c>
      <c r="K643" s="138">
        <v>270</v>
      </c>
      <c r="N643" s="138">
        <v>5</v>
      </c>
      <c r="O643" s="138">
        <v>0</v>
      </c>
      <c r="S643" s="138">
        <v>18</v>
      </c>
      <c r="T643" s="138">
        <v>5</v>
      </c>
      <c r="U643" s="138">
        <f t="shared" si="1024"/>
        <v>23</v>
      </c>
      <c r="W643" s="139">
        <f t="shared" ref="W643:AA643" si="1288">J643/$I643</f>
        <v>0.68763102725366876</v>
      </c>
      <c r="X643" s="139">
        <f t="shared" si="1288"/>
        <v>0.28301886792452829</v>
      </c>
      <c r="Y643" s="139">
        <f t="shared" si="1288"/>
        <v>0</v>
      </c>
      <c r="Z643" s="139">
        <f t="shared" si="1288"/>
        <v>0</v>
      </c>
      <c r="AA643" s="139">
        <f t="shared" si="1288"/>
        <v>5.2410901467505244E-3</v>
      </c>
      <c r="AB643" s="139"/>
      <c r="AC643" s="139">
        <f t="shared" si="1026"/>
        <v>2.4109014675052411E-2</v>
      </c>
      <c r="AD643" s="139">
        <f t="shared" ref="AD643:AI643" si="1289">O643/$I643</f>
        <v>0</v>
      </c>
      <c r="AE643" s="139">
        <f t="shared" si="1289"/>
        <v>0</v>
      </c>
      <c r="AF643" s="139">
        <f t="shared" si="1289"/>
        <v>0</v>
      </c>
      <c r="AG643" s="139">
        <f t="shared" si="1289"/>
        <v>0</v>
      </c>
      <c r="AH643" s="139">
        <f t="shared" si="1289"/>
        <v>1.8867924528301886E-2</v>
      </c>
      <c r="AI643" s="139">
        <f t="shared" si="1289"/>
        <v>5.2410901467505244E-3</v>
      </c>
    </row>
    <row r="644" spans="2:35">
      <c r="B644" s="138" t="s">
        <v>8077</v>
      </c>
      <c r="C644" s="138" t="s">
        <v>4367</v>
      </c>
      <c r="D644" s="138" t="s">
        <v>15</v>
      </c>
      <c r="E644" s="138" t="s">
        <v>790</v>
      </c>
      <c r="F644" s="138" t="s">
        <v>790</v>
      </c>
      <c r="H644" s="138">
        <v>160</v>
      </c>
      <c r="I644" s="138">
        <v>950</v>
      </c>
      <c r="J644" s="138">
        <v>603</v>
      </c>
      <c r="K644" s="138">
        <v>324</v>
      </c>
      <c r="N644" s="138">
        <v>8</v>
      </c>
      <c r="O644" s="138">
        <v>0</v>
      </c>
      <c r="S644" s="138">
        <v>9</v>
      </c>
      <c r="T644" s="138">
        <v>6</v>
      </c>
      <c r="U644" s="138">
        <f t="shared" si="1024"/>
        <v>15</v>
      </c>
      <c r="W644" s="139">
        <f t="shared" ref="W644:AA644" si="1290">J644/$I644</f>
        <v>0.63473684210526315</v>
      </c>
      <c r="X644" s="139">
        <f t="shared" si="1290"/>
        <v>0.34105263157894739</v>
      </c>
      <c r="Y644" s="139">
        <f t="shared" si="1290"/>
        <v>0</v>
      </c>
      <c r="Z644" s="139">
        <f t="shared" si="1290"/>
        <v>0</v>
      </c>
      <c r="AA644" s="139">
        <f t="shared" si="1290"/>
        <v>8.4210526315789472E-3</v>
      </c>
      <c r="AB644" s="139"/>
      <c r="AC644" s="139">
        <f t="shared" si="1026"/>
        <v>1.5789473684210527E-2</v>
      </c>
      <c r="AD644" s="139">
        <f t="shared" ref="AD644:AI644" si="1291">O644/$I644</f>
        <v>0</v>
      </c>
      <c r="AE644" s="139">
        <f t="shared" si="1291"/>
        <v>0</v>
      </c>
      <c r="AF644" s="139">
        <f t="shared" si="1291"/>
        <v>0</v>
      </c>
      <c r="AG644" s="139">
        <f t="shared" si="1291"/>
        <v>0</v>
      </c>
      <c r="AH644" s="139">
        <f t="shared" si="1291"/>
        <v>9.4736842105263164E-3</v>
      </c>
      <c r="AI644" s="139">
        <f t="shared" si="1291"/>
        <v>6.3157894736842104E-3</v>
      </c>
    </row>
    <row r="645" spans="2:35">
      <c r="B645" s="138" t="s">
        <v>8077</v>
      </c>
      <c r="C645" s="138" t="s">
        <v>4367</v>
      </c>
      <c r="D645" s="138" t="s">
        <v>15</v>
      </c>
      <c r="E645" s="138" t="s">
        <v>790</v>
      </c>
      <c r="F645" s="138" t="s">
        <v>790</v>
      </c>
      <c r="H645" s="138">
        <v>161</v>
      </c>
      <c r="I645" s="138">
        <v>1195</v>
      </c>
      <c r="J645" s="138">
        <v>789</v>
      </c>
      <c r="K645" s="138">
        <v>356</v>
      </c>
      <c r="N645" s="138">
        <v>9</v>
      </c>
      <c r="O645" s="138">
        <v>3</v>
      </c>
      <c r="S645" s="138">
        <v>24</v>
      </c>
      <c r="T645" s="138">
        <v>14</v>
      </c>
      <c r="U645" s="138">
        <f t="shared" si="1024"/>
        <v>41</v>
      </c>
      <c r="W645" s="139">
        <f t="shared" ref="W645:AA645" si="1292">J645/$I645</f>
        <v>0.66025104602510465</v>
      </c>
      <c r="X645" s="139">
        <f t="shared" si="1292"/>
        <v>0.29790794979079499</v>
      </c>
      <c r="Y645" s="139">
        <f t="shared" si="1292"/>
        <v>0</v>
      </c>
      <c r="Z645" s="139">
        <f t="shared" si="1292"/>
        <v>0</v>
      </c>
      <c r="AA645" s="139">
        <f t="shared" si="1292"/>
        <v>7.5313807531380752E-3</v>
      </c>
      <c r="AB645" s="139"/>
      <c r="AC645" s="139">
        <f t="shared" si="1026"/>
        <v>3.430962343096234E-2</v>
      </c>
      <c r="AD645" s="139">
        <f t="shared" ref="AD645:AI645" si="1293">O645/$I645</f>
        <v>2.5104602510460251E-3</v>
      </c>
      <c r="AE645" s="139">
        <f t="shared" si="1293"/>
        <v>0</v>
      </c>
      <c r="AF645" s="139">
        <f t="shared" si="1293"/>
        <v>0</v>
      </c>
      <c r="AG645" s="139">
        <f t="shared" si="1293"/>
        <v>0</v>
      </c>
      <c r="AH645" s="139">
        <f t="shared" si="1293"/>
        <v>2.0083682008368201E-2</v>
      </c>
      <c r="AI645" s="139">
        <f t="shared" si="1293"/>
        <v>1.1715481171548118E-2</v>
      </c>
    </row>
    <row r="646" spans="2:35">
      <c r="B646" s="138" t="s">
        <v>8077</v>
      </c>
      <c r="C646" s="138" t="s">
        <v>4367</v>
      </c>
      <c r="D646" s="138" t="s">
        <v>15</v>
      </c>
      <c r="E646" s="138" t="s">
        <v>389</v>
      </c>
      <c r="F646" s="138" t="s">
        <v>931</v>
      </c>
      <c r="H646" s="138">
        <v>162</v>
      </c>
      <c r="I646" s="138">
        <v>1085</v>
      </c>
      <c r="J646" s="138">
        <v>709</v>
      </c>
      <c r="K646" s="138">
        <v>320</v>
      </c>
      <c r="N646" s="138">
        <v>17</v>
      </c>
      <c r="O646" s="138">
        <v>2</v>
      </c>
      <c r="S646" s="138">
        <v>25</v>
      </c>
      <c r="T646" s="138">
        <v>12</v>
      </c>
      <c r="U646" s="138">
        <f t="shared" si="1024"/>
        <v>39</v>
      </c>
      <c r="W646" s="139">
        <f t="shared" ref="W646:AA646" si="1294">J646/$I646</f>
        <v>0.65345622119815672</v>
      </c>
      <c r="X646" s="139">
        <f t="shared" si="1294"/>
        <v>0.29493087557603687</v>
      </c>
      <c r="Y646" s="139">
        <f t="shared" si="1294"/>
        <v>0</v>
      </c>
      <c r="Z646" s="139">
        <f t="shared" si="1294"/>
        <v>0</v>
      </c>
      <c r="AA646" s="139">
        <f t="shared" si="1294"/>
        <v>1.5668202764976959E-2</v>
      </c>
      <c r="AB646" s="139"/>
      <c r="AC646" s="139">
        <f t="shared" si="1026"/>
        <v>3.5944700460829496E-2</v>
      </c>
      <c r="AD646" s="139">
        <f t="shared" ref="AD646:AI646" si="1295">O646/$I646</f>
        <v>1.8433179723502304E-3</v>
      </c>
      <c r="AE646" s="139">
        <f t="shared" si="1295"/>
        <v>0</v>
      </c>
      <c r="AF646" s="139">
        <f t="shared" si="1295"/>
        <v>0</v>
      </c>
      <c r="AG646" s="139">
        <f t="shared" si="1295"/>
        <v>0</v>
      </c>
      <c r="AH646" s="139">
        <f t="shared" si="1295"/>
        <v>2.3041474654377881E-2</v>
      </c>
      <c r="AI646" s="139">
        <f t="shared" si="1295"/>
        <v>1.1059907834101382E-2</v>
      </c>
    </row>
    <row r="647" spans="2:35">
      <c r="B647" s="138" t="s">
        <v>8077</v>
      </c>
      <c r="C647" s="138" t="s">
        <v>4367</v>
      </c>
      <c r="D647" s="138" t="s">
        <v>15</v>
      </c>
      <c r="E647" s="138" t="s">
        <v>389</v>
      </c>
      <c r="F647" s="138" t="s">
        <v>931</v>
      </c>
      <c r="H647" s="138">
        <v>163</v>
      </c>
      <c r="I647" s="138">
        <v>895</v>
      </c>
      <c r="J647" s="138">
        <v>405</v>
      </c>
      <c r="K647" s="138">
        <v>441</v>
      </c>
      <c r="N647" s="138">
        <v>16</v>
      </c>
      <c r="O647" s="138">
        <v>5</v>
      </c>
      <c r="S647" s="138">
        <v>15</v>
      </c>
      <c r="T647" s="138">
        <v>13</v>
      </c>
      <c r="U647" s="138">
        <f t="shared" si="1024"/>
        <v>33</v>
      </c>
      <c r="W647" s="139">
        <f t="shared" ref="W647:AA647" si="1296">J647/$I647</f>
        <v>0.45251396648044695</v>
      </c>
      <c r="X647" s="139">
        <f t="shared" si="1296"/>
        <v>0.49273743016759775</v>
      </c>
      <c r="Y647" s="139">
        <f t="shared" si="1296"/>
        <v>0</v>
      </c>
      <c r="Z647" s="139">
        <f t="shared" si="1296"/>
        <v>0</v>
      </c>
      <c r="AA647" s="139">
        <f t="shared" si="1296"/>
        <v>1.7877094972067038E-2</v>
      </c>
      <c r="AB647" s="139"/>
      <c r="AC647" s="139">
        <f t="shared" si="1026"/>
        <v>3.6871508379888271E-2</v>
      </c>
      <c r="AD647" s="139">
        <f t="shared" ref="AD647:AI647" si="1297">O647/$I647</f>
        <v>5.5865921787709499E-3</v>
      </c>
      <c r="AE647" s="139">
        <f t="shared" si="1297"/>
        <v>0</v>
      </c>
      <c r="AF647" s="139">
        <f t="shared" si="1297"/>
        <v>0</v>
      </c>
      <c r="AG647" s="139">
        <f t="shared" si="1297"/>
        <v>0</v>
      </c>
      <c r="AH647" s="139">
        <f t="shared" si="1297"/>
        <v>1.6759776536312849E-2</v>
      </c>
      <c r="AI647" s="139">
        <f t="shared" si="1297"/>
        <v>1.452513966480447E-2</v>
      </c>
    </row>
    <row r="648" spans="2:35">
      <c r="B648" s="138" t="s">
        <v>8077</v>
      </c>
      <c r="C648" s="138" t="s">
        <v>4367</v>
      </c>
      <c r="D648" s="138" t="s">
        <v>15</v>
      </c>
      <c r="E648" s="138" t="s">
        <v>389</v>
      </c>
      <c r="F648" s="138" t="s">
        <v>948</v>
      </c>
      <c r="H648" s="138">
        <v>164</v>
      </c>
      <c r="I648" s="138">
        <v>1027</v>
      </c>
      <c r="J648" s="138">
        <v>750</v>
      </c>
      <c r="K648" s="138">
        <v>232</v>
      </c>
      <c r="N648" s="138">
        <v>17</v>
      </c>
      <c r="O648" s="138">
        <v>2</v>
      </c>
      <c r="S648" s="138">
        <v>16</v>
      </c>
      <c r="T648" s="138">
        <v>10</v>
      </c>
      <c r="U648" s="138">
        <f t="shared" si="1024"/>
        <v>28</v>
      </c>
      <c r="W648" s="139">
        <f t="shared" ref="W648:AA648" si="1298">J648/$I648</f>
        <v>0.73028237585199607</v>
      </c>
      <c r="X648" s="139">
        <f t="shared" si="1298"/>
        <v>0.22590068159688412</v>
      </c>
      <c r="Y648" s="139">
        <f t="shared" si="1298"/>
        <v>0</v>
      </c>
      <c r="Z648" s="139">
        <f t="shared" si="1298"/>
        <v>0</v>
      </c>
      <c r="AA648" s="139">
        <f t="shared" si="1298"/>
        <v>1.6553067185978577E-2</v>
      </c>
      <c r="AB648" s="139"/>
      <c r="AC648" s="139">
        <f t="shared" si="1026"/>
        <v>2.7263875365141188E-2</v>
      </c>
      <c r="AD648" s="139">
        <f t="shared" ref="AD648:AI648" si="1299">O648/$I648</f>
        <v>1.9474196689386564E-3</v>
      </c>
      <c r="AE648" s="139">
        <f t="shared" si="1299"/>
        <v>0</v>
      </c>
      <c r="AF648" s="139">
        <f t="shared" si="1299"/>
        <v>0</v>
      </c>
      <c r="AG648" s="139">
        <f t="shared" si="1299"/>
        <v>0</v>
      </c>
      <c r="AH648" s="139">
        <f t="shared" si="1299"/>
        <v>1.5579357351509251E-2</v>
      </c>
      <c r="AI648" s="139">
        <f t="shared" si="1299"/>
        <v>9.7370983446932822E-3</v>
      </c>
    </row>
    <row r="649" spans="2:35">
      <c r="B649" s="138" t="s">
        <v>8077</v>
      </c>
      <c r="C649" s="138" t="s">
        <v>4367</v>
      </c>
      <c r="D649" s="138" t="s">
        <v>15</v>
      </c>
      <c r="E649" s="138" t="s">
        <v>389</v>
      </c>
      <c r="F649" s="138" t="s">
        <v>948</v>
      </c>
      <c r="H649" s="138">
        <v>165</v>
      </c>
      <c r="I649" s="138">
        <v>811</v>
      </c>
      <c r="J649" s="138">
        <v>568</v>
      </c>
      <c r="K649" s="138">
        <v>208</v>
      </c>
      <c r="N649" s="138">
        <v>13</v>
      </c>
      <c r="O649" s="138">
        <v>3</v>
      </c>
      <c r="S649" s="138">
        <v>13</v>
      </c>
      <c r="T649" s="138">
        <v>6</v>
      </c>
      <c r="U649" s="138">
        <f t="shared" si="1024"/>
        <v>22</v>
      </c>
      <c r="W649" s="139">
        <f t="shared" ref="W649:AA649" si="1300">J649/$I649</f>
        <v>0.70036991368680646</v>
      </c>
      <c r="X649" s="139">
        <f t="shared" si="1300"/>
        <v>0.2564734895191122</v>
      </c>
      <c r="Y649" s="139">
        <f t="shared" si="1300"/>
        <v>0</v>
      </c>
      <c r="Z649" s="139">
        <f t="shared" si="1300"/>
        <v>0</v>
      </c>
      <c r="AA649" s="139">
        <f t="shared" si="1300"/>
        <v>1.6029593094944512E-2</v>
      </c>
      <c r="AB649" s="139"/>
      <c r="AC649" s="139">
        <f t="shared" si="1026"/>
        <v>2.7127003699136867E-2</v>
      </c>
      <c r="AD649" s="139">
        <f t="shared" ref="AD649:AI649" si="1301">O649/$I649</f>
        <v>3.6991368680641184E-3</v>
      </c>
      <c r="AE649" s="139">
        <f t="shared" si="1301"/>
        <v>0</v>
      </c>
      <c r="AF649" s="139">
        <f t="shared" si="1301"/>
        <v>0</v>
      </c>
      <c r="AG649" s="139">
        <f t="shared" si="1301"/>
        <v>0</v>
      </c>
      <c r="AH649" s="139">
        <f t="shared" si="1301"/>
        <v>1.6029593094944512E-2</v>
      </c>
      <c r="AI649" s="139">
        <f t="shared" si="1301"/>
        <v>7.3982737361282368E-3</v>
      </c>
    </row>
    <row r="650" spans="2:35">
      <c r="B650" s="138" t="s">
        <v>8077</v>
      </c>
      <c r="C650" s="138" t="s">
        <v>4367</v>
      </c>
      <c r="D650" s="138" t="s">
        <v>15</v>
      </c>
      <c r="E650" s="138" t="s">
        <v>389</v>
      </c>
      <c r="F650" s="138" t="s">
        <v>948</v>
      </c>
      <c r="H650" s="138">
        <v>166</v>
      </c>
      <c r="I650" s="138">
        <v>1031</v>
      </c>
      <c r="J650" s="138">
        <v>763</v>
      </c>
      <c r="K650" s="138">
        <v>235</v>
      </c>
      <c r="N650" s="138">
        <v>9</v>
      </c>
      <c r="O650" s="138">
        <v>1</v>
      </c>
      <c r="S650" s="138">
        <v>17</v>
      </c>
      <c r="T650" s="138">
        <v>6</v>
      </c>
      <c r="U650" s="138">
        <f t="shared" si="1024"/>
        <v>24</v>
      </c>
      <c r="W650" s="139">
        <f t="shared" ref="W650:AA650" si="1302">J650/$I650</f>
        <v>0.74005819592628519</v>
      </c>
      <c r="X650" s="139">
        <f t="shared" si="1302"/>
        <v>0.22793404461687683</v>
      </c>
      <c r="Y650" s="139">
        <f t="shared" si="1302"/>
        <v>0</v>
      </c>
      <c r="Z650" s="139">
        <f t="shared" si="1302"/>
        <v>0</v>
      </c>
      <c r="AA650" s="139">
        <f t="shared" si="1302"/>
        <v>8.7293889427740058E-3</v>
      </c>
      <c r="AB650" s="139"/>
      <c r="AC650" s="139">
        <f t="shared" si="1026"/>
        <v>2.3278370514064017E-2</v>
      </c>
      <c r="AD650" s="139">
        <f t="shared" ref="AD650:AI650" si="1303">O650/$I650</f>
        <v>9.6993210475266732E-4</v>
      </c>
      <c r="AE650" s="139">
        <f t="shared" si="1303"/>
        <v>0</v>
      </c>
      <c r="AF650" s="139">
        <f t="shared" si="1303"/>
        <v>0</v>
      </c>
      <c r="AG650" s="139">
        <f t="shared" si="1303"/>
        <v>0</v>
      </c>
      <c r="AH650" s="139">
        <f t="shared" si="1303"/>
        <v>1.6488845780795344E-2</v>
      </c>
      <c r="AI650" s="139">
        <f t="shared" si="1303"/>
        <v>5.8195926285160042E-3</v>
      </c>
    </row>
    <row r="651" spans="2:35">
      <c r="B651" s="138" t="s">
        <v>8077</v>
      </c>
      <c r="C651" s="138" t="s">
        <v>4367</v>
      </c>
      <c r="D651" s="138" t="s">
        <v>15</v>
      </c>
      <c r="E651" s="138" t="s">
        <v>389</v>
      </c>
      <c r="F651" s="138" t="s">
        <v>948</v>
      </c>
      <c r="H651" s="138">
        <v>167</v>
      </c>
      <c r="I651" s="138">
        <v>969</v>
      </c>
      <c r="J651" s="138">
        <v>257</v>
      </c>
      <c r="K651" s="138">
        <v>697</v>
      </c>
      <c r="N651" s="138">
        <v>4</v>
      </c>
      <c r="O651" s="138">
        <v>1</v>
      </c>
      <c r="S651" s="138">
        <v>6</v>
      </c>
      <c r="T651" s="138">
        <v>4</v>
      </c>
      <c r="U651" s="138">
        <f t="shared" si="1024"/>
        <v>11</v>
      </c>
      <c r="W651" s="139">
        <f t="shared" ref="W651:AA651" si="1304">J651/$I651</f>
        <v>0.26522187822497423</v>
      </c>
      <c r="X651" s="139">
        <f t="shared" si="1304"/>
        <v>0.7192982456140351</v>
      </c>
      <c r="Y651" s="139">
        <f t="shared" si="1304"/>
        <v>0</v>
      </c>
      <c r="Z651" s="139">
        <f t="shared" si="1304"/>
        <v>0</v>
      </c>
      <c r="AA651" s="139">
        <f t="shared" si="1304"/>
        <v>4.1279669762641896E-3</v>
      </c>
      <c r="AB651" s="139"/>
      <c r="AC651" s="139">
        <f t="shared" si="1026"/>
        <v>1.1351909184726523E-2</v>
      </c>
      <c r="AD651" s="139">
        <f t="shared" ref="AD651:AI651" si="1305">O651/$I651</f>
        <v>1.0319917440660474E-3</v>
      </c>
      <c r="AE651" s="139">
        <f t="shared" si="1305"/>
        <v>0</v>
      </c>
      <c r="AF651" s="139">
        <f t="shared" si="1305"/>
        <v>0</v>
      </c>
      <c r="AG651" s="139">
        <f t="shared" si="1305"/>
        <v>0</v>
      </c>
      <c r="AH651" s="139">
        <f t="shared" si="1305"/>
        <v>6.1919504643962852E-3</v>
      </c>
      <c r="AI651" s="139">
        <f t="shared" si="1305"/>
        <v>4.1279669762641896E-3</v>
      </c>
    </row>
    <row r="652" spans="2:35">
      <c r="B652" s="138" t="s">
        <v>8077</v>
      </c>
      <c r="C652" s="138" t="s">
        <v>4367</v>
      </c>
      <c r="D652" s="138" t="s">
        <v>15</v>
      </c>
      <c r="E652" s="138" t="s">
        <v>389</v>
      </c>
      <c r="F652" s="138" t="s">
        <v>933</v>
      </c>
      <c r="H652" s="138">
        <v>168</v>
      </c>
      <c r="I652" s="138">
        <v>947</v>
      </c>
      <c r="J652" s="138">
        <v>500</v>
      </c>
      <c r="K652" s="138">
        <v>412</v>
      </c>
      <c r="N652" s="138">
        <v>6</v>
      </c>
      <c r="O652" s="138">
        <v>5</v>
      </c>
      <c r="S652" s="138">
        <v>20</v>
      </c>
      <c r="T652" s="138">
        <v>4</v>
      </c>
      <c r="U652" s="138">
        <f t="shared" si="1024"/>
        <v>29</v>
      </c>
      <c r="W652" s="139">
        <f t="shared" ref="W652:AA652" si="1306">J652/$I652</f>
        <v>0.52798310454065467</v>
      </c>
      <c r="X652" s="139">
        <f t="shared" si="1306"/>
        <v>0.43505807814149949</v>
      </c>
      <c r="Y652" s="139">
        <f t="shared" si="1306"/>
        <v>0</v>
      </c>
      <c r="Z652" s="139">
        <f t="shared" si="1306"/>
        <v>0</v>
      </c>
      <c r="AA652" s="139">
        <f t="shared" si="1306"/>
        <v>6.3357972544878568E-3</v>
      </c>
      <c r="AB652" s="139"/>
      <c r="AC652" s="139">
        <f t="shared" si="1026"/>
        <v>3.0623020063357972E-2</v>
      </c>
      <c r="AD652" s="139">
        <f t="shared" ref="AD652:AI652" si="1307">O652/$I652</f>
        <v>5.279831045406547E-3</v>
      </c>
      <c r="AE652" s="139">
        <f t="shared" si="1307"/>
        <v>0</v>
      </c>
      <c r="AF652" s="139">
        <f t="shared" si="1307"/>
        <v>0</v>
      </c>
      <c r="AG652" s="139">
        <f t="shared" si="1307"/>
        <v>0</v>
      </c>
      <c r="AH652" s="139">
        <f t="shared" si="1307"/>
        <v>2.1119324181626188E-2</v>
      </c>
      <c r="AI652" s="139">
        <f t="shared" si="1307"/>
        <v>4.2238648363252373E-3</v>
      </c>
    </row>
    <row r="653" spans="2:35">
      <c r="B653" s="138" t="s">
        <v>8077</v>
      </c>
      <c r="C653" s="138" t="s">
        <v>4367</v>
      </c>
      <c r="D653" s="138" t="s">
        <v>15</v>
      </c>
      <c r="E653" s="138" t="s">
        <v>389</v>
      </c>
      <c r="F653" s="138" t="s">
        <v>950</v>
      </c>
      <c r="H653" s="138">
        <v>169</v>
      </c>
      <c r="I653" s="138">
        <v>896</v>
      </c>
      <c r="J653" s="138">
        <v>583</v>
      </c>
      <c r="K653" s="138">
        <v>281</v>
      </c>
      <c r="N653" s="138">
        <v>6</v>
      </c>
      <c r="O653" s="138">
        <v>6</v>
      </c>
      <c r="S653" s="138">
        <v>8</v>
      </c>
      <c r="T653" s="138">
        <v>12</v>
      </c>
      <c r="U653" s="138">
        <f t="shared" si="1024"/>
        <v>26</v>
      </c>
      <c r="W653" s="139">
        <f t="shared" ref="W653:AA653" si="1308">J653/$I653</f>
        <v>0.6506696428571429</v>
      </c>
      <c r="X653" s="139">
        <f t="shared" si="1308"/>
        <v>0.31361607142857145</v>
      </c>
      <c r="Y653" s="139">
        <f t="shared" si="1308"/>
        <v>0</v>
      </c>
      <c r="Z653" s="139">
        <f t="shared" si="1308"/>
        <v>0</v>
      </c>
      <c r="AA653" s="139">
        <f t="shared" si="1308"/>
        <v>6.6964285714285711E-3</v>
      </c>
      <c r="AB653" s="139"/>
      <c r="AC653" s="139">
        <f t="shared" si="1026"/>
        <v>2.9017857142857144E-2</v>
      </c>
      <c r="AD653" s="139">
        <f t="shared" ref="AD653:AI653" si="1309">O653/$I653</f>
        <v>6.6964285714285711E-3</v>
      </c>
      <c r="AE653" s="139">
        <f t="shared" si="1309"/>
        <v>0</v>
      </c>
      <c r="AF653" s="139">
        <f t="shared" si="1309"/>
        <v>0</v>
      </c>
      <c r="AG653" s="139">
        <f t="shared" si="1309"/>
        <v>0</v>
      </c>
      <c r="AH653" s="139">
        <f t="shared" si="1309"/>
        <v>8.9285714285714281E-3</v>
      </c>
      <c r="AI653" s="139">
        <f t="shared" si="1309"/>
        <v>1.3392857142857142E-2</v>
      </c>
    </row>
    <row r="654" spans="2:35">
      <c r="B654" s="138" t="s">
        <v>8077</v>
      </c>
      <c r="C654" s="138" t="s">
        <v>4367</v>
      </c>
      <c r="D654" s="138" t="s">
        <v>15</v>
      </c>
      <c r="E654" s="138" t="s">
        <v>389</v>
      </c>
      <c r="F654" s="138" t="s">
        <v>950</v>
      </c>
      <c r="H654" s="138">
        <v>170</v>
      </c>
      <c r="I654" s="138">
        <v>900</v>
      </c>
      <c r="J654" s="138">
        <v>471</v>
      </c>
      <c r="K654" s="138">
        <v>370</v>
      </c>
      <c r="N654" s="138">
        <v>12</v>
      </c>
      <c r="O654" s="138">
        <v>4</v>
      </c>
      <c r="S654" s="138">
        <v>20</v>
      </c>
      <c r="T654" s="138">
        <v>23</v>
      </c>
      <c r="U654" s="138">
        <f t="shared" si="1024"/>
        <v>47</v>
      </c>
      <c r="W654" s="139">
        <f t="shared" ref="W654:AA654" si="1310">J654/$I654</f>
        <v>0.52333333333333332</v>
      </c>
      <c r="X654" s="139">
        <f t="shared" si="1310"/>
        <v>0.41111111111111109</v>
      </c>
      <c r="Y654" s="139">
        <f t="shared" si="1310"/>
        <v>0</v>
      </c>
      <c r="Z654" s="139">
        <f t="shared" si="1310"/>
        <v>0</v>
      </c>
      <c r="AA654" s="139">
        <f t="shared" si="1310"/>
        <v>1.3333333333333334E-2</v>
      </c>
      <c r="AB654" s="139"/>
      <c r="AC654" s="139">
        <f t="shared" si="1026"/>
        <v>5.2222222222222225E-2</v>
      </c>
      <c r="AD654" s="139">
        <f t="shared" ref="AD654:AI654" si="1311">O654/$I654</f>
        <v>4.4444444444444444E-3</v>
      </c>
      <c r="AE654" s="139">
        <f t="shared" si="1311"/>
        <v>0</v>
      </c>
      <c r="AF654" s="139">
        <f t="shared" si="1311"/>
        <v>0</v>
      </c>
      <c r="AG654" s="139">
        <f t="shared" si="1311"/>
        <v>0</v>
      </c>
      <c r="AH654" s="139">
        <f t="shared" si="1311"/>
        <v>2.2222222222222223E-2</v>
      </c>
      <c r="AI654" s="139">
        <f t="shared" si="1311"/>
        <v>2.5555555555555557E-2</v>
      </c>
    </row>
    <row r="655" spans="2:35">
      <c r="B655" s="138" t="s">
        <v>8077</v>
      </c>
      <c r="C655" s="138" t="s">
        <v>4367</v>
      </c>
      <c r="D655" s="138" t="s">
        <v>15</v>
      </c>
      <c r="E655" s="138" t="s">
        <v>389</v>
      </c>
      <c r="F655" s="138" t="s">
        <v>950</v>
      </c>
      <c r="H655" s="138">
        <v>171</v>
      </c>
      <c r="I655" s="138">
        <v>871</v>
      </c>
      <c r="J655" s="138">
        <v>491</v>
      </c>
      <c r="K655" s="138">
        <v>326</v>
      </c>
      <c r="N655" s="138">
        <v>15</v>
      </c>
      <c r="O655" s="138">
        <v>5</v>
      </c>
      <c r="S655" s="138">
        <v>18</v>
      </c>
      <c r="T655" s="138">
        <v>16</v>
      </c>
      <c r="U655" s="138">
        <f t="shared" si="1024"/>
        <v>39</v>
      </c>
      <c r="W655" s="139">
        <f t="shared" ref="W655:AA655" si="1312">J655/$I655</f>
        <v>0.56371986222732495</v>
      </c>
      <c r="X655" s="139">
        <f t="shared" si="1312"/>
        <v>0.37428243398392652</v>
      </c>
      <c r="Y655" s="139">
        <f t="shared" si="1312"/>
        <v>0</v>
      </c>
      <c r="Z655" s="139">
        <f t="shared" si="1312"/>
        <v>0</v>
      </c>
      <c r="AA655" s="139">
        <f t="shared" si="1312"/>
        <v>1.7221584385763489E-2</v>
      </c>
      <c r="AB655" s="139"/>
      <c r="AC655" s="139">
        <f t="shared" si="1026"/>
        <v>4.4776119402985072E-2</v>
      </c>
      <c r="AD655" s="139">
        <f t="shared" ref="AD655:AI655" si="1313">O655/$I655</f>
        <v>5.7405281285878304E-3</v>
      </c>
      <c r="AE655" s="139">
        <f t="shared" si="1313"/>
        <v>0</v>
      </c>
      <c r="AF655" s="139">
        <f t="shared" si="1313"/>
        <v>0</v>
      </c>
      <c r="AG655" s="139">
        <f t="shared" si="1313"/>
        <v>0</v>
      </c>
      <c r="AH655" s="139">
        <f t="shared" si="1313"/>
        <v>2.0665901262916189E-2</v>
      </c>
      <c r="AI655" s="139">
        <f t="shared" si="1313"/>
        <v>1.8369690011481057E-2</v>
      </c>
    </row>
    <row r="656" spans="2:35">
      <c r="B656" s="138" t="s">
        <v>8077</v>
      </c>
      <c r="C656" s="138" t="s">
        <v>4367</v>
      </c>
      <c r="D656" s="138" t="s">
        <v>15</v>
      </c>
      <c r="E656" s="138" t="s">
        <v>389</v>
      </c>
      <c r="F656" s="138" t="s">
        <v>950</v>
      </c>
      <c r="H656" s="138">
        <v>172</v>
      </c>
      <c r="I656" s="138">
        <v>902</v>
      </c>
      <c r="J656" s="138">
        <v>400</v>
      </c>
      <c r="K656" s="138">
        <v>467</v>
      </c>
      <c r="N656" s="138">
        <v>13</v>
      </c>
      <c r="O656" s="138">
        <v>3</v>
      </c>
      <c r="S656" s="138">
        <v>13</v>
      </c>
      <c r="T656" s="138">
        <v>6</v>
      </c>
      <c r="U656" s="138">
        <f t="shared" si="1024"/>
        <v>22</v>
      </c>
      <c r="W656" s="139">
        <f t="shared" ref="W656:AA656" si="1314">J656/$I656</f>
        <v>0.44345898004434592</v>
      </c>
      <c r="X656" s="139">
        <f t="shared" si="1314"/>
        <v>0.5177383592017738</v>
      </c>
      <c r="Y656" s="139">
        <f t="shared" si="1314"/>
        <v>0</v>
      </c>
      <c r="Z656" s="139">
        <f t="shared" si="1314"/>
        <v>0</v>
      </c>
      <c r="AA656" s="139">
        <f t="shared" si="1314"/>
        <v>1.4412416851441241E-2</v>
      </c>
      <c r="AB656" s="139"/>
      <c r="AC656" s="139">
        <f t="shared" si="1026"/>
        <v>2.4390243902439025E-2</v>
      </c>
      <c r="AD656" s="139">
        <f t="shared" ref="AD656:AI656" si="1315">O656/$I656</f>
        <v>3.3259423503325942E-3</v>
      </c>
      <c r="AE656" s="139">
        <f t="shared" si="1315"/>
        <v>0</v>
      </c>
      <c r="AF656" s="139">
        <f t="shared" si="1315"/>
        <v>0</v>
      </c>
      <c r="AG656" s="139">
        <f t="shared" si="1315"/>
        <v>0</v>
      </c>
      <c r="AH656" s="139">
        <f t="shared" si="1315"/>
        <v>1.4412416851441241E-2</v>
      </c>
      <c r="AI656" s="139">
        <f t="shared" si="1315"/>
        <v>6.6518847006651885E-3</v>
      </c>
    </row>
    <row r="657" spans="2:35">
      <c r="B657" s="138" t="s">
        <v>8077</v>
      </c>
      <c r="C657" s="138" t="s">
        <v>4367</v>
      </c>
      <c r="D657" s="138" t="s">
        <v>15</v>
      </c>
      <c r="E657" s="138" t="s">
        <v>389</v>
      </c>
      <c r="F657" s="138" t="s">
        <v>950</v>
      </c>
      <c r="H657" s="138">
        <v>173</v>
      </c>
      <c r="I657" s="138">
        <v>708</v>
      </c>
      <c r="J657" s="138">
        <v>347</v>
      </c>
      <c r="K657" s="138">
        <v>322</v>
      </c>
      <c r="N657" s="138">
        <v>9</v>
      </c>
      <c r="O657" s="138">
        <v>4</v>
      </c>
      <c r="S657" s="138">
        <v>10</v>
      </c>
      <c r="T657" s="138">
        <v>16</v>
      </c>
      <c r="U657" s="138">
        <f t="shared" si="1024"/>
        <v>30</v>
      </c>
      <c r="W657" s="139">
        <f t="shared" ref="W657:AA657" si="1316">J657/$I657</f>
        <v>0.49011299435028249</v>
      </c>
      <c r="X657" s="139">
        <f t="shared" si="1316"/>
        <v>0.45480225988700562</v>
      </c>
      <c r="Y657" s="139">
        <f t="shared" si="1316"/>
        <v>0</v>
      </c>
      <c r="Z657" s="139">
        <f t="shared" si="1316"/>
        <v>0</v>
      </c>
      <c r="AA657" s="139">
        <f t="shared" si="1316"/>
        <v>1.2711864406779662E-2</v>
      </c>
      <c r="AB657" s="139"/>
      <c r="AC657" s="139">
        <f t="shared" si="1026"/>
        <v>4.2372881355932202E-2</v>
      </c>
      <c r="AD657" s="139">
        <f t="shared" ref="AD657:AI657" si="1317">O657/$I657</f>
        <v>5.6497175141242938E-3</v>
      </c>
      <c r="AE657" s="139">
        <f t="shared" si="1317"/>
        <v>0</v>
      </c>
      <c r="AF657" s="139">
        <f t="shared" si="1317"/>
        <v>0</v>
      </c>
      <c r="AG657" s="139">
        <f t="shared" si="1317"/>
        <v>0</v>
      </c>
      <c r="AH657" s="139">
        <f t="shared" si="1317"/>
        <v>1.4124293785310734E-2</v>
      </c>
      <c r="AI657" s="139">
        <f t="shared" si="1317"/>
        <v>2.2598870056497175E-2</v>
      </c>
    </row>
    <row r="658" spans="2:35">
      <c r="B658" s="138" t="s">
        <v>8077</v>
      </c>
      <c r="C658" s="138" t="s">
        <v>4367</v>
      </c>
      <c r="D658" s="138" t="s">
        <v>15</v>
      </c>
      <c r="E658" s="138" t="s">
        <v>389</v>
      </c>
      <c r="F658" s="138" t="s">
        <v>922</v>
      </c>
      <c r="H658" s="138">
        <v>174</v>
      </c>
      <c r="I658" s="138">
        <v>1011</v>
      </c>
      <c r="J658" s="138">
        <v>619</v>
      </c>
      <c r="K658" s="138">
        <v>368</v>
      </c>
      <c r="N658" s="138">
        <v>4</v>
      </c>
      <c r="O658" s="138">
        <v>5</v>
      </c>
      <c r="S658" s="138">
        <v>7</v>
      </c>
      <c r="T658" s="138">
        <v>8</v>
      </c>
      <c r="U658" s="138">
        <f t="shared" si="1024"/>
        <v>20</v>
      </c>
      <c r="W658" s="139">
        <f t="shared" ref="W658:AA658" si="1318">J658/$I658</f>
        <v>0.6122650840751731</v>
      </c>
      <c r="X658" s="139">
        <f t="shared" si="1318"/>
        <v>0.36399604352126608</v>
      </c>
      <c r="Y658" s="139">
        <f t="shared" si="1318"/>
        <v>0</v>
      </c>
      <c r="Z658" s="139">
        <f t="shared" si="1318"/>
        <v>0</v>
      </c>
      <c r="AA658" s="139">
        <f t="shared" si="1318"/>
        <v>3.956478733926805E-3</v>
      </c>
      <c r="AB658" s="139"/>
      <c r="AC658" s="139">
        <f t="shared" si="1026"/>
        <v>1.9782393669634024E-2</v>
      </c>
      <c r="AD658" s="139">
        <f t="shared" ref="AD658:AI658" si="1319">O658/$I658</f>
        <v>4.945598417408506E-3</v>
      </c>
      <c r="AE658" s="139">
        <f t="shared" si="1319"/>
        <v>0</v>
      </c>
      <c r="AF658" s="139">
        <f t="shared" si="1319"/>
        <v>0</v>
      </c>
      <c r="AG658" s="139">
        <f t="shared" si="1319"/>
        <v>0</v>
      </c>
      <c r="AH658" s="139">
        <f t="shared" si="1319"/>
        <v>6.923837784371909E-3</v>
      </c>
      <c r="AI658" s="139">
        <f t="shared" si="1319"/>
        <v>7.91295746785361E-3</v>
      </c>
    </row>
    <row r="659" spans="2:35">
      <c r="B659" s="138" t="s">
        <v>8077</v>
      </c>
      <c r="C659" s="138" t="s">
        <v>4367</v>
      </c>
      <c r="D659" s="138" t="s">
        <v>15</v>
      </c>
      <c r="E659" s="138" t="s">
        <v>389</v>
      </c>
      <c r="F659" s="138" t="s">
        <v>7740</v>
      </c>
      <c r="H659" s="138">
        <v>175</v>
      </c>
      <c r="I659" s="138">
        <v>837</v>
      </c>
      <c r="J659" s="138">
        <v>460</v>
      </c>
      <c r="K659" s="138">
        <v>353</v>
      </c>
      <c r="N659" s="138">
        <v>8</v>
      </c>
      <c r="O659" s="138">
        <v>2</v>
      </c>
      <c r="S659" s="138">
        <v>8</v>
      </c>
      <c r="T659" s="138">
        <v>6</v>
      </c>
      <c r="U659" s="138">
        <f t="shared" si="1024"/>
        <v>16</v>
      </c>
      <c r="W659" s="139">
        <f t="shared" ref="W659:AA659" si="1320">J659/$I659</f>
        <v>0.54958183990442055</v>
      </c>
      <c r="X659" s="139">
        <f t="shared" si="1320"/>
        <v>0.42174432497013142</v>
      </c>
      <c r="Y659" s="139">
        <f t="shared" si="1320"/>
        <v>0</v>
      </c>
      <c r="Z659" s="139">
        <f t="shared" si="1320"/>
        <v>0</v>
      </c>
      <c r="AA659" s="139">
        <f t="shared" si="1320"/>
        <v>9.557945041816009E-3</v>
      </c>
      <c r="AB659" s="139"/>
      <c r="AC659" s="139">
        <f t="shared" si="1026"/>
        <v>1.9115890083632018E-2</v>
      </c>
      <c r="AD659" s="139">
        <f t="shared" ref="AD659:AI659" si="1321">O659/$I659</f>
        <v>2.3894862604540022E-3</v>
      </c>
      <c r="AE659" s="139">
        <f t="shared" si="1321"/>
        <v>0</v>
      </c>
      <c r="AF659" s="139">
        <f t="shared" si="1321"/>
        <v>0</v>
      </c>
      <c r="AG659" s="139">
        <f t="shared" si="1321"/>
        <v>0</v>
      </c>
      <c r="AH659" s="139">
        <f t="shared" si="1321"/>
        <v>9.557945041816009E-3</v>
      </c>
      <c r="AI659" s="139">
        <f t="shared" si="1321"/>
        <v>7.1684587813620072E-3</v>
      </c>
    </row>
    <row r="660" spans="2:35">
      <c r="B660" s="138" t="s">
        <v>8077</v>
      </c>
      <c r="C660" s="138" t="s">
        <v>4367</v>
      </c>
      <c r="D660" s="138" t="s">
        <v>15</v>
      </c>
      <c r="E660" s="138" t="s">
        <v>389</v>
      </c>
      <c r="F660" s="138" t="s">
        <v>7740</v>
      </c>
      <c r="H660" s="138">
        <v>176</v>
      </c>
      <c r="I660" s="138">
        <v>1000</v>
      </c>
      <c r="J660" s="138">
        <v>569</v>
      </c>
      <c r="K660" s="138">
        <v>387</v>
      </c>
      <c r="N660" s="138">
        <v>5</v>
      </c>
      <c r="O660" s="138">
        <v>1</v>
      </c>
      <c r="S660" s="138">
        <v>18</v>
      </c>
      <c r="T660" s="138">
        <v>20</v>
      </c>
      <c r="U660" s="138">
        <f t="shared" si="1024"/>
        <v>39</v>
      </c>
      <c r="W660" s="139">
        <f t="shared" ref="W660:AA660" si="1322">J660/$I660</f>
        <v>0.56899999999999995</v>
      </c>
      <c r="X660" s="139">
        <f t="shared" si="1322"/>
        <v>0.38700000000000001</v>
      </c>
      <c r="Y660" s="139">
        <f t="shared" si="1322"/>
        <v>0</v>
      </c>
      <c r="Z660" s="139">
        <f t="shared" si="1322"/>
        <v>0</v>
      </c>
      <c r="AA660" s="139">
        <f t="shared" si="1322"/>
        <v>5.0000000000000001E-3</v>
      </c>
      <c r="AB660" s="139"/>
      <c r="AC660" s="139">
        <f t="shared" si="1026"/>
        <v>3.9E-2</v>
      </c>
      <c r="AD660" s="139">
        <f t="shared" ref="AD660:AI660" si="1323">O660/$I660</f>
        <v>1E-3</v>
      </c>
      <c r="AE660" s="139">
        <f t="shared" si="1323"/>
        <v>0</v>
      </c>
      <c r="AF660" s="139">
        <f t="shared" si="1323"/>
        <v>0</v>
      </c>
      <c r="AG660" s="139">
        <f t="shared" si="1323"/>
        <v>0</v>
      </c>
      <c r="AH660" s="139">
        <f t="shared" si="1323"/>
        <v>1.7999999999999999E-2</v>
      </c>
      <c r="AI660" s="139">
        <f t="shared" si="1323"/>
        <v>0.02</v>
      </c>
    </row>
    <row r="661" spans="2:35">
      <c r="B661" s="138" t="s">
        <v>8077</v>
      </c>
      <c r="C661" s="138" t="s">
        <v>4367</v>
      </c>
      <c r="D661" s="138" t="s">
        <v>15</v>
      </c>
      <c r="E661" s="138" t="s">
        <v>389</v>
      </c>
      <c r="F661" s="138" t="s">
        <v>7740</v>
      </c>
      <c r="H661" s="138">
        <v>177</v>
      </c>
      <c r="I661" s="138">
        <v>957</v>
      </c>
      <c r="J661" s="138">
        <v>625</v>
      </c>
      <c r="K661" s="138">
        <v>289</v>
      </c>
      <c r="N661" s="138">
        <v>11</v>
      </c>
      <c r="O661" s="138">
        <v>6</v>
      </c>
      <c r="S661" s="138">
        <v>14</v>
      </c>
      <c r="T661" s="138">
        <v>12</v>
      </c>
      <c r="U661" s="138">
        <f t="shared" si="1024"/>
        <v>32</v>
      </c>
      <c r="W661" s="139">
        <f t="shared" ref="W661:AA661" si="1324">J661/$I661</f>
        <v>0.65308254963427381</v>
      </c>
      <c r="X661" s="139">
        <f t="shared" si="1324"/>
        <v>0.30198537095088818</v>
      </c>
      <c r="Y661" s="139">
        <f t="shared" si="1324"/>
        <v>0</v>
      </c>
      <c r="Z661" s="139">
        <f t="shared" si="1324"/>
        <v>0</v>
      </c>
      <c r="AA661" s="139">
        <f t="shared" si="1324"/>
        <v>1.1494252873563218E-2</v>
      </c>
      <c r="AB661" s="139"/>
      <c r="AC661" s="139">
        <f t="shared" si="1026"/>
        <v>3.343782654127482E-2</v>
      </c>
      <c r="AD661" s="139">
        <f t="shared" ref="AD661:AI661" si="1325">O661/$I661</f>
        <v>6.269592476489028E-3</v>
      </c>
      <c r="AE661" s="139">
        <f t="shared" si="1325"/>
        <v>0</v>
      </c>
      <c r="AF661" s="139">
        <f t="shared" si="1325"/>
        <v>0</v>
      </c>
      <c r="AG661" s="139">
        <f t="shared" si="1325"/>
        <v>0</v>
      </c>
      <c r="AH661" s="139">
        <f t="shared" si="1325"/>
        <v>1.4629049111807733E-2</v>
      </c>
      <c r="AI661" s="139">
        <f t="shared" si="1325"/>
        <v>1.2539184952978056E-2</v>
      </c>
    </row>
    <row r="662" spans="2:35">
      <c r="B662" s="138" t="s">
        <v>8077</v>
      </c>
      <c r="C662" s="138" t="s">
        <v>4367</v>
      </c>
      <c r="D662" s="138" t="s">
        <v>15</v>
      </c>
      <c r="E662" s="138" t="s">
        <v>389</v>
      </c>
      <c r="F662" s="138" t="s">
        <v>7740</v>
      </c>
      <c r="H662" s="138">
        <v>178</v>
      </c>
      <c r="I662" s="138">
        <v>901</v>
      </c>
      <c r="J662" s="138">
        <v>451</v>
      </c>
      <c r="K662" s="138">
        <v>412</v>
      </c>
      <c r="N662" s="138">
        <v>14</v>
      </c>
      <c r="O662" s="138">
        <v>2</v>
      </c>
      <c r="S662" s="138">
        <v>13</v>
      </c>
      <c r="T662" s="138">
        <v>9</v>
      </c>
      <c r="U662" s="138">
        <f t="shared" si="1024"/>
        <v>24</v>
      </c>
      <c r="W662" s="139">
        <f t="shared" ref="W662:AA662" si="1326">J662/$I662</f>
        <v>0.50055493895671477</v>
      </c>
      <c r="X662" s="139">
        <f t="shared" si="1326"/>
        <v>0.45726970033296338</v>
      </c>
      <c r="Y662" s="139">
        <f t="shared" si="1326"/>
        <v>0</v>
      </c>
      <c r="Z662" s="139">
        <f t="shared" si="1326"/>
        <v>0</v>
      </c>
      <c r="AA662" s="139">
        <f t="shared" si="1326"/>
        <v>1.5538290788013319E-2</v>
      </c>
      <c r="AB662" s="139"/>
      <c r="AC662" s="139">
        <f t="shared" si="1026"/>
        <v>2.6637069922308545E-2</v>
      </c>
      <c r="AD662" s="139">
        <f t="shared" ref="AD662:AI662" si="1327">O662/$I662</f>
        <v>2.2197558268590455E-3</v>
      </c>
      <c r="AE662" s="139">
        <f t="shared" si="1327"/>
        <v>0</v>
      </c>
      <c r="AF662" s="139">
        <f t="shared" si="1327"/>
        <v>0</v>
      </c>
      <c r="AG662" s="139">
        <f t="shared" si="1327"/>
        <v>0</v>
      </c>
      <c r="AH662" s="139">
        <f t="shared" si="1327"/>
        <v>1.4428412874583796E-2</v>
      </c>
      <c r="AI662" s="139">
        <f t="shared" si="1327"/>
        <v>9.9889012208657056E-3</v>
      </c>
    </row>
    <row r="663" spans="2:35">
      <c r="B663" s="138" t="s">
        <v>8077</v>
      </c>
      <c r="C663" s="138" t="s">
        <v>4367</v>
      </c>
      <c r="D663" s="138" t="s">
        <v>15</v>
      </c>
      <c r="E663" s="138" t="s">
        <v>389</v>
      </c>
      <c r="F663" s="138" t="s">
        <v>7740</v>
      </c>
      <c r="H663" s="138">
        <v>179</v>
      </c>
      <c r="I663" s="138">
        <v>985</v>
      </c>
      <c r="J663" s="138">
        <v>526</v>
      </c>
      <c r="K663" s="138">
        <v>423</v>
      </c>
      <c r="N663" s="138">
        <v>7</v>
      </c>
      <c r="O663" s="138">
        <v>1</v>
      </c>
      <c r="S663" s="138">
        <v>13</v>
      </c>
      <c r="T663" s="138">
        <v>15</v>
      </c>
      <c r="U663" s="138">
        <f t="shared" si="1024"/>
        <v>29</v>
      </c>
      <c r="W663" s="139">
        <f t="shared" ref="W663:AA663" si="1328">J663/$I663</f>
        <v>0.53401015228426396</v>
      </c>
      <c r="X663" s="139">
        <f t="shared" si="1328"/>
        <v>0.42944162436548222</v>
      </c>
      <c r="Y663" s="139">
        <f t="shared" si="1328"/>
        <v>0</v>
      </c>
      <c r="Z663" s="139">
        <f t="shared" si="1328"/>
        <v>0</v>
      </c>
      <c r="AA663" s="139">
        <f t="shared" si="1328"/>
        <v>7.1065989847715737E-3</v>
      </c>
      <c r="AB663" s="139"/>
      <c r="AC663" s="139">
        <f t="shared" si="1026"/>
        <v>2.9441624365482234E-2</v>
      </c>
      <c r="AD663" s="139">
        <f t="shared" ref="AD663:AI663" si="1329">O663/$I663</f>
        <v>1.0152284263959391E-3</v>
      </c>
      <c r="AE663" s="139">
        <f t="shared" si="1329"/>
        <v>0</v>
      </c>
      <c r="AF663" s="139">
        <f t="shared" si="1329"/>
        <v>0</v>
      </c>
      <c r="AG663" s="139">
        <f t="shared" si="1329"/>
        <v>0</v>
      </c>
      <c r="AH663" s="139">
        <f t="shared" si="1329"/>
        <v>1.3197969543147208E-2</v>
      </c>
      <c r="AI663" s="139">
        <f t="shared" si="1329"/>
        <v>1.5228426395939087E-2</v>
      </c>
    </row>
    <row r="664" spans="2:35">
      <c r="B664" s="138" t="s">
        <v>8077</v>
      </c>
      <c r="C664" s="138" t="s">
        <v>4367</v>
      </c>
      <c r="D664" s="138" t="s">
        <v>15</v>
      </c>
      <c r="E664" s="138" t="s">
        <v>389</v>
      </c>
      <c r="F664" s="138" t="s">
        <v>7740</v>
      </c>
      <c r="H664" s="138">
        <v>180</v>
      </c>
      <c r="I664" s="138">
        <v>935</v>
      </c>
      <c r="J664" s="138">
        <v>510</v>
      </c>
      <c r="K664" s="138">
        <v>395</v>
      </c>
      <c r="N664" s="138">
        <v>10</v>
      </c>
      <c r="O664" s="138">
        <v>1</v>
      </c>
      <c r="S664" s="138">
        <v>9</v>
      </c>
      <c r="T664" s="138">
        <v>10</v>
      </c>
      <c r="U664" s="138">
        <f t="shared" si="1024"/>
        <v>20</v>
      </c>
      <c r="W664" s="139">
        <f t="shared" ref="W664:AA664" si="1330">J664/$I664</f>
        <v>0.54545454545454541</v>
      </c>
      <c r="X664" s="139">
        <f t="shared" si="1330"/>
        <v>0.42245989304812837</v>
      </c>
      <c r="Y664" s="139">
        <f t="shared" si="1330"/>
        <v>0</v>
      </c>
      <c r="Z664" s="139">
        <f t="shared" si="1330"/>
        <v>0</v>
      </c>
      <c r="AA664" s="139">
        <f t="shared" si="1330"/>
        <v>1.06951871657754E-2</v>
      </c>
      <c r="AB664" s="139"/>
      <c r="AC664" s="139">
        <f t="shared" si="1026"/>
        <v>2.1390374331550801E-2</v>
      </c>
      <c r="AD664" s="139">
        <f t="shared" ref="AD664:AI664" si="1331">O664/$I664</f>
        <v>1.0695187165775401E-3</v>
      </c>
      <c r="AE664" s="139">
        <f t="shared" si="1331"/>
        <v>0</v>
      </c>
      <c r="AF664" s="139">
        <f t="shared" si="1331"/>
        <v>0</v>
      </c>
      <c r="AG664" s="139">
        <f t="shared" si="1331"/>
        <v>0</v>
      </c>
      <c r="AH664" s="139">
        <f t="shared" si="1331"/>
        <v>9.6256684491978616E-3</v>
      </c>
      <c r="AI664" s="139">
        <f t="shared" si="1331"/>
        <v>1.06951871657754E-2</v>
      </c>
    </row>
    <row r="665" spans="2:35">
      <c r="B665" s="138" t="s">
        <v>8077</v>
      </c>
      <c r="C665" s="138" t="s">
        <v>4367</v>
      </c>
      <c r="D665" s="138" t="s">
        <v>15</v>
      </c>
      <c r="E665" s="138" t="s">
        <v>389</v>
      </c>
      <c r="F665" s="138" t="s">
        <v>944</v>
      </c>
      <c r="H665" s="138">
        <v>181</v>
      </c>
      <c r="I665" s="138">
        <v>824</v>
      </c>
      <c r="J665" s="138">
        <v>272</v>
      </c>
      <c r="K665" s="138">
        <v>517</v>
      </c>
      <c r="N665" s="138">
        <v>13</v>
      </c>
      <c r="O665" s="138">
        <v>2</v>
      </c>
      <c r="S665" s="138">
        <v>9</v>
      </c>
      <c r="T665" s="138">
        <v>11</v>
      </c>
      <c r="U665" s="138">
        <f t="shared" si="1024"/>
        <v>22</v>
      </c>
      <c r="W665" s="139">
        <f t="shared" ref="W665:AA665" si="1332">J665/$I665</f>
        <v>0.3300970873786408</v>
      </c>
      <c r="X665" s="139">
        <f t="shared" si="1332"/>
        <v>0.62742718446601942</v>
      </c>
      <c r="Y665" s="139">
        <f t="shared" si="1332"/>
        <v>0</v>
      </c>
      <c r="Z665" s="139">
        <f t="shared" si="1332"/>
        <v>0</v>
      </c>
      <c r="AA665" s="139">
        <f t="shared" si="1332"/>
        <v>1.5776699029126214E-2</v>
      </c>
      <c r="AB665" s="139"/>
      <c r="AC665" s="139">
        <f t="shared" si="1026"/>
        <v>2.6699029126213591E-2</v>
      </c>
      <c r="AD665" s="139">
        <f t="shared" ref="AD665:AI665" si="1333">O665/$I665</f>
        <v>2.4271844660194173E-3</v>
      </c>
      <c r="AE665" s="139">
        <f t="shared" si="1333"/>
        <v>0</v>
      </c>
      <c r="AF665" s="139">
        <f t="shared" si="1333"/>
        <v>0</v>
      </c>
      <c r="AG665" s="139">
        <f t="shared" si="1333"/>
        <v>0</v>
      </c>
      <c r="AH665" s="139">
        <f t="shared" si="1333"/>
        <v>1.0922330097087379E-2</v>
      </c>
      <c r="AI665" s="139">
        <f t="shared" si="1333"/>
        <v>1.3349514563106795E-2</v>
      </c>
    </row>
    <row r="666" spans="2:35">
      <c r="B666" s="138" t="s">
        <v>8077</v>
      </c>
      <c r="C666" s="138" t="s">
        <v>4367</v>
      </c>
      <c r="D666" s="138" t="s">
        <v>15</v>
      </c>
      <c r="E666" s="138" t="s">
        <v>389</v>
      </c>
      <c r="F666" s="138" t="s">
        <v>944</v>
      </c>
      <c r="H666" s="138">
        <v>182</v>
      </c>
      <c r="I666" s="138">
        <v>933</v>
      </c>
      <c r="J666" s="138">
        <v>656</v>
      </c>
      <c r="K666" s="138">
        <v>247</v>
      </c>
      <c r="N666" s="138">
        <v>9</v>
      </c>
      <c r="O666" s="138">
        <v>2</v>
      </c>
      <c r="S666" s="138">
        <v>10</v>
      </c>
      <c r="T666" s="138">
        <v>9</v>
      </c>
      <c r="U666" s="138">
        <f t="shared" si="1024"/>
        <v>21</v>
      </c>
      <c r="W666" s="139">
        <f t="shared" ref="W666:AA666" si="1334">J666/$I666</f>
        <v>0.70310825294748125</v>
      </c>
      <c r="X666" s="139">
        <f t="shared" si="1334"/>
        <v>0.26473740621650588</v>
      </c>
      <c r="Y666" s="139">
        <f t="shared" si="1334"/>
        <v>0</v>
      </c>
      <c r="Z666" s="139">
        <f t="shared" si="1334"/>
        <v>0</v>
      </c>
      <c r="AA666" s="139">
        <f t="shared" si="1334"/>
        <v>9.6463022508038593E-3</v>
      </c>
      <c r="AB666" s="139"/>
      <c r="AC666" s="139">
        <f t="shared" si="1026"/>
        <v>2.2508038585209004E-2</v>
      </c>
      <c r="AD666" s="139">
        <f t="shared" ref="AD666:AI666" si="1335">O666/$I666</f>
        <v>2.1436227224008574E-3</v>
      </c>
      <c r="AE666" s="139">
        <f t="shared" si="1335"/>
        <v>0</v>
      </c>
      <c r="AF666" s="139">
        <f t="shared" si="1335"/>
        <v>0</v>
      </c>
      <c r="AG666" s="139">
        <f t="shared" si="1335"/>
        <v>0</v>
      </c>
      <c r="AH666" s="139">
        <f t="shared" si="1335"/>
        <v>1.0718113612004287E-2</v>
      </c>
      <c r="AI666" s="139">
        <f t="shared" si="1335"/>
        <v>9.6463022508038593E-3</v>
      </c>
    </row>
    <row r="667" spans="2:35">
      <c r="B667" s="138" t="s">
        <v>8077</v>
      </c>
      <c r="C667" s="138" t="s">
        <v>4367</v>
      </c>
      <c r="D667" s="138" t="s">
        <v>15</v>
      </c>
      <c r="E667" s="138" t="s">
        <v>389</v>
      </c>
      <c r="F667" s="138" t="s">
        <v>8136</v>
      </c>
      <c r="H667" s="138">
        <v>183</v>
      </c>
      <c r="I667" s="138">
        <v>594</v>
      </c>
      <c r="J667" s="138">
        <v>398</v>
      </c>
      <c r="K667" s="138">
        <v>179</v>
      </c>
      <c r="N667" s="138">
        <v>2</v>
      </c>
      <c r="O667" s="138">
        <v>3</v>
      </c>
      <c r="S667" s="138">
        <v>10</v>
      </c>
      <c r="T667" s="138">
        <v>2</v>
      </c>
      <c r="U667" s="138">
        <f t="shared" si="1024"/>
        <v>15</v>
      </c>
      <c r="W667" s="139">
        <f t="shared" ref="W667:AA667" si="1336">J667/$I667</f>
        <v>0.67003367003366998</v>
      </c>
      <c r="X667" s="139">
        <f t="shared" si="1336"/>
        <v>0.30134680134680136</v>
      </c>
      <c r="Y667" s="139">
        <f t="shared" si="1336"/>
        <v>0</v>
      </c>
      <c r="Z667" s="139">
        <f t="shared" si="1336"/>
        <v>0</v>
      </c>
      <c r="AA667" s="139">
        <f t="shared" si="1336"/>
        <v>3.3670033670033669E-3</v>
      </c>
      <c r="AB667" s="139"/>
      <c r="AC667" s="139">
        <f t="shared" si="1026"/>
        <v>2.5252525252525252E-2</v>
      </c>
      <c r="AD667" s="139">
        <f t="shared" ref="AD667:AI667" si="1337">O667/$I667</f>
        <v>5.0505050505050509E-3</v>
      </c>
      <c r="AE667" s="139">
        <f t="shared" si="1337"/>
        <v>0</v>
      </c>
      <c r="AF667" s="139">
        <f t="shared" si="1337"/>
        <v>0</v>
      </c>
      <c r="AG667" s="139">
        <f t="shared" si="1337"/>
        <v>0</v>
      </c>
      <c r="AH667" s="139">
        <f t="shared" si="1337"/>
        <v>1.6835016835016835E-2</v>
      </c>
      <c r="AI667" s="139">
        <f t="shared" si="1337"/>
        <v>3.3670033670033669E-3</v>
      </c>
    </row>
    <row r="668" spans="2:35">
      <c r="B668" s="138" t="s">
        <v>8077</v>
      </c>
      <c r="C668" s="138" t="s">
        <v>4367</v>
      </c>
      <c r="D668" s="138" t="s">
        <v>15</v>
      </c>
      <c r="E668" s="138" t="s">
        <v>389</v>
      </c>
      <c r="F668" s="138" t="s">
        <v>8136</v>
      </c>
      <c r="H668" s="138">
        <v>184</v>
      </c>
      <c r="I668" s="138">
        <v>925</v>
      </c>
      <c r="J668" s="138">
        <v>683</v>
      </c>
      <c r="K668" s="138">
        <v>214</v>
      </c>
      <c r="N668" s="138">
        <v>5</v>
      </c>
      <c r="O668" s="138">
        <v>5</v>
      </c>
      <c r="S668" s="138">
        <v>14</v>
      </c>
      <c r="T668" s="138">
        <v>4</v>
      </c>
      <c r="U668" s="138">
        <f t="shared" si="1024"/>
        <v>23</v>
      </c>
      <c r="W668" s="139">
        <f t="shared" ref="W668:AA668" si="1338">J668/$I668</f>
        <v>0.73837837837837839</v>
      </c>
      <c r="X668" s="139">
        <f t="shared" si="1338"/>
        <v>0.23135135135135135</v>
      </c>
      <c r="Y668" s="139">
        <f t="shared" si="1338"/>
        <v>0</v>
      </c>
      <c r="Z668" s="139">
        <f t="shared" si="1338"/>
        <v>0</v>
      </c>
      <c r="AA668" s="139">
        <f t="shared" si="1338"/>
        <v>5.4054054054054057E-3</v>
      </c>
      <c r="AB668" s="139"/>
      <c r="AC668" s="139">
        <f t="shared" si="1026"/>
        <v>2.4864864864864864E-2</v>
      </c>
      <c r="AD668" s="139">
        <f t="shared" ref="AD668:AI668" si="1339">O668/$I668</f>
        <v>5.4054054054054057E-3</v>
      </c>
      <c r="AE668" s="139">
        <f t="shared" si="1339"/>
        <v>0</v>
      </c>
      <c r="AF668" s="139">
        <f t="shared" si="1339"/>
        <v>0</v>
      </c>
      <c r="AG668" s="139">
        <f t="shared" si="1339"/>
        <v>0</v>
      </c>
      <c r="AH668" s="139">
        <f t="shared" si="1339"/>
        <v>1.5135135135135135E-2</v>
      </c>
      <c r="AI668" s="139">
        <f t="shared" si="1339"/>
        <v>4.3243243243243244E-3</v>
      </c>
    </row>
    <row r="669" spans="2:35">
      <c r="B669" s="138" t="s">
        <v>8077</v>
      </c>
      <c r="C669" s="138" t="s">
        <v>4367</v>
      </c>
      <c r="D669" s="138" t="s">
        <v>15</v>
      </c>
      <c r="E669" s="138" t="s">
        <v>389</v>
      </c>
      <c r="F669" s="138" t="s">
        <v>8136</v>
      </c>
      <c r="H669" s="138">
        <v>185</v>
      </c>
      <c r="I669" s="138">
        <v>822</v>
      </c>
      <c r="J669" s="138">
        <v>384</v>
      </c>
      <c r="K669" s="138">
        <v>401</v>
      </c>
      <c r="N669" s="138">
        <v>12</v>
      </c>
      <c r="O669" s="138">
        <v>3</v>
      </c>
      <c r="S669" s="138">
        <v>12</v>
      </c>
      <c r="T669" s="138">
        <v>10</v>
      </c>
      <c r="U669" s="138">
        <f t="shared" si="1024"/>
        <v>25</v>
      </c>
      <c r="W669" s="139">
        <f t="shared" ref="W669:AA669" si="1340">J669/$I669</f>
        <v>0.46715328467153283</v>
      </c>
      <c r="X669" s="139">
        <f t="shared" si="1340"/>
        <v>0.48783454987834551</v>
      </c>
      <c r="Y669" s="139">
        <f t="shared" si="1340"/>
        <v>0</v>
      </c>
      <c r="Z669" s="139">
        <f t="shared" si="1340"/>
        <v>0</v>
      </c>
      <c r="AA669" s="139">
        <f t="shared" si="1340"/>
        <v>1.4598540145985401E-2</v>
      </c>
      <c r="AB669" s="139"/>
      <c r="AC669" s="139">
        <f t="shared" si="1026"/>
        <v>3.0413625304136254E-2</v>
      </c>
      <c r="AD669" s="139">
        <f t="shared" ref="AD669:AI669" si="1341">O669/$I669</f>
        <v>3.6496350364963502E-3</v>
      </c>
      <c r="AE669" s="139">
        <f t="shared" si="1341"/>
        <v>0</v>
      </c>
      <c r="AF669" s="139">
        <f t="shared" si="1341"/>
        <v>0</v>
      </c>
      <c r="AG669" s="139">
        <f t="shared" si="1341"/>
        <v>0</v>
      </c>
      <c r="AH669" s="139">
        <f t="shared" si="1341"/>
        <v>1.4598540145985401E-2</v>
      </c>
      <c r="AI669" s="139">
        <f t="shared" si="1341"/>
        <v>1.2165450121654502E-2</v>
      </c>
    </row>
    <row r="670" spans="2:35">
      <c r="B670" s="138" t="s">
        <v>8077</v>
      </c>
      <c r="C670" s="138" t="s">
        <v>4367</v>
      </c>
      <c r="D670" s="138" t="s">
        <v>15</v>
      </c>
      <c r="E670" s="138" t="s">
        <v>389</v>
      </c>
      <c r="F670" s="138" t="s">
        <v>8136</v>
      </c>
      <c r="H670" s="138">
        <v>186</v>
      </c>
      <c r="I670" s="138">
        <v>682</v>
      </c>
      <c r="J670" s="138">
        <v>416</v>
      </c>
      <c r="K670" s="138">
        <v>234</v>
      </c>
      <c r="N670" s="138">
        <v>11</v>
      </c>
      <c r="O670" s="138">
        <v>2</v>
      </c>
      <c r="S670" s="138">
        <v>11</v>
      </c>
      <c r="T670" s="138">
        <v>8</v>
      </c>
      <c r="U670" s="138">
        <f t="shared" si="1024"/>
        <v>21</v>
      </c>
      <c r="W670" s="139">
        <f t="shared" ref="W670:AA670" si="1342">J670/$I670</f>
        <v>0.60997067448680353</v>
      </c>
      <c r="X670" s="139">
        <f t="shared" si="1342"/>
        <v>0.34310850439882695</v>
      </c>
      <c r="Y670" s="139">
        <f t="shared" si="1342"/>
        <v>0</v>
      </c>
      <c r="Z670" s="139">
        <f t="shared" si="1342"/>
        <v>0</v>
      </c>
      <c r="AA670" s="139">
        <f t="shared" si="1342"/>
        <v>1.6129032258064516E-2</v>
      </c>
      <c r="AB670" s="139"/>
      <c r="AC670" s="139">
        <f t="shared" si="1026"/>
        <v>3.0791788856304986E-2</v>
      </c>
      <c r="AD670" s="139">
        <f t="shared" ref="AD670:AI670" si="1343">O670/$I670</f>
        <v>2.9325513196480938E-3</v>
      </c>
      <c r="AE670" s="139">
        <f t="shared" si="1343"/>
        <v>0</v>
      </c>
      <c r="AF670" s="139">
        <f t="shared" si="1343"/>
        <v>0</v>
      </c>
      <c r="AG670" s="139">
        <f t="shared" si="1343"/>
        <v>0</v>
      </c>
      <c r="AH670" s="139">
        <f t="shared" si="1343"/>
        <v>1.6129032258064516E-2</v>
      </c>
      <c r="AI670" s="139">
        <f t="shared" si="1343"/>
        <v>1.1730205278592375E-2</v>
      </c>
    </row>
    <row r="671" spans="2:35">
      <c r="B671" s="138" t="s">
        <v>8077</v>
      </c>
      <c r="C671" s="138" t="s">
        <v>4367</v>
      </c>
      <c r="D671" s="138" t="s">
        <v>15</v>
      </c>
      <c r="E671" s="138" t="s">
        <v>389</v>
      </c>
      <c r="F671" s="138" t="s">
        <v>8137</v>
      </c>
      <c r="H671" s="138">
        <v>187</v>
      </c>
      <c r="I671" s="138">
        <v>830</v>
      </c>
      <c r="J671" s="138">
        <v>470</v>
      </c>
      <c r="K671" s="138">
        <v>335</v>
      </c>
      <c r="N671" s="138">
        <v>11</v>
      </c>
      <c r="O671" s="138">
        <v>1</v>
      </c>
      <c r="S671" s="138">
        <v>9</v>
      </c>
      <c r="T671" s="138">
        <v>4</v>
      </c>
      <c r="U671" s="138">
        <f t="shared" si="1024"/>
        <v>14</v>
      </c>
      <c r="W671" s="139">
        <f t="shared" ref="W671:AA671" si="1344">J671/$I671</f>
        <v>0.5662650602409639</v>
      </c>
      <c r="X671" s="139">
        <f t="shared" si="1344"/>
        <v>0.40361445783132532</v>
      </c>
      <c r="Y671" s="139">
        <f t="shared" si="1344"/>
        <v>0</v>
      </c>
      <c r="Z671" s="139">
        <f t="shared" si="1344"/>
        <v>0</v>
      </c>
      <c r="AA671" s="139">
        <f t="shared" si="1344"/>
        <v>1.3253012048192771E-2</v>
      </c>
      <c r="AB671" s="139"/>
      <c r="AC671" s="139">
        <f t="shared" si="1026"/>
        <v>1.6867469879518072E-2</v>
      </c>
      <c r="AD671" s="139">
        <f t="shared" ref="AD671:AI671" si="1345">O671/$I671</f>
        <v>1.2048192771084338E-3</v>
      </c>
      <c r="AE671" s="139">
        <f t="shared" si="1345"/>
        <v>0</v>
      </c>
      <c r="AF671" s="139">
        <f t="shared" si="1345"/>
        <v>0</v>
      </c>
      <c r="AG671" s="139">
        <f t="shared" si="1345"/>
        <v>0</v>
      </c>
      <c r="AH671" s="139">
        <f t="shared" si="1345"/>
        <v>1.0843373493975903E-2</v>
      </c>
      <c r="AI671" s="139">
        <f t="shared" si="1345"/>
        <v>4.8192771084337354E-3</v>
      </c>
    </row>
    <row r="672" spans="2:35">
      <c r="B672" s="138" t="s">
        <v>8077</v>
      </c>
      <c r="C672" s="138" t="s">
        <v>4367</v>
      </c>
      <c r="D672" s="138" t="s">
        <v>15</v>
      </c>
      <c r="E672" s="138" t="s">
        <v>389</v>
      </c>
      <c r="F672" s="138" t="s">
        <v>936</v>
      </c>
      <c r="H672" s="138">
        <v>188</v>
      </c>
      <c r="I672" s="138">
        <v>1004</v>
      </c>
      <c r="J672" s="138">
        <v>550</v>
      </c>
      <c r="K672" s="138">
        <v>412</v>
      </c>
      <c r="N672" s="138">
        <v>10</v>
      </c>
      <c r="O672" s="138">
        <v>7</v>
      </c>
      <c r="S672" s="138">
        <v>15</v>
      </c>
      <c r="T672" s="138">
        <v>10</v>
      </c>
      <c r="U672" s="138">
        <f t="shared" si="1024"/>
        <v>32</v>
      </c>
      <c r="W672" s="139">
        <f t="shared" ref="W672:AA672" si="1346">J672/$I672</f>
        <v>0.547808764940239</v>
      </c>
      <c r="X672" s="139">
        <f t="shared" si="1346"/>
        <v>0.41035856573705182</v>
      </c>
      <c r="Y672" s="139">
        <f t="shared" si="1346"/>
        <v>0</v>
      </c>
      <c r="Z672" s="139">
        <f t="shared" si="1346"/>
        <v>0</v>
      </c>
      <c r="AA672" s="139">
        <f t="shared" si="1346"/>
        <v>9.9601593625498006E-3</v>
      </c>
      <c r="AB672" s="139"/>
      <c r="AC672" s="139">
        <f t="shared" si="1026"/>
        <v>3.1872509960159362E-2</v>
      </c>
      <c r="AD672" s="139">
        <f t="shared" ref="AD672:AI672" si="1347">O672/$I672</f>
        <v>6.9721115537848604E-3</v>
      </c>
      <c r="AE672" s="139">
        <f t="shared" si="1347"/>
        <v>0</v>
      </c>
      <c r="AF672" s="139">
        <f t="shared" si="1347"/>
        <v>0</v>
      </c>
      <c r="AG672" s="139">
        <f t="shared" si="1347"/>
        <v>0</v>
      </c>
      <c r="AH672" s="139">
        <f t="shared" si="1347"/>
        <v>1.4940239043824702E-2</v>
      </c>
      <c r="AI672" s="139">
        <f t="shared" si="1347"/>
        <v>9.9601593625498006E-3</v>
      </c>
    </row>
    <row r="673" spans="2:35">
      <c r="B673" s="138" t="s">
        <v>8077</v>
      </c>
      <c r="C673" s="138" t="s">
        <v>4367</v>
      </c>
      <c r="D673" s="138" t="s">
        <v>15</v>
      </c>
      <c r="E673" s="138" t="s">
        <v>389</v>
      </c>
      <c r="F673" s="138" t="s">
        <v>936</v>
      </c>
      <c r="H673" s="138">
        <v>189</v>
      </c>
      <c r="I673" s="138">
        <v>584</v>
      </c>
      <c r="J673" s="138">
        <v>355</v>
      </c>
      <c r="K673" s="138">
        <v>211</v>
      </c>
      <c r="N673" s="138">
        <v>2</v>
      </c>
      <c r="O673" s="138">
        <v>3</v>
      </c>
      <c r="S673" s="138">
        <v>8</v>
      </c>
      <c r="T673" s="138">
        <v>5</v>
      </c>
      <c r="U673" s="138">
        <f t="shared" si="1024"/>
        <v>16</v>
      </c>
      <c r="W673" s="139">
        <f t="shared" ref="W673:AA673" si="1348">J673/$I673</f>
        <v>0.60787671232876717</v>
      </c>
      <c r="X673" s="139">
        <f t="shared" si="1348"/>
        <v>0.3613013698630137</v>
      </c>
      <c r="Y673" s="139">
        <f t="shared" si="1348"/>
        <v>0</v>
      </c>
      <c r="Z673" s="139">
        <f t="shared" si="1348"/>
        <v>0</v>
      </c>
      <c r="AA673" s="139">
        <f t="shared" si="1348"/>
        <v>3.4246575342465752E-3</v>
      </c>
      <c r="AB673" s="139"/>
      <c r="AC673" s="139">
        <f t="shared" si="1026"/>
        <v>2.7397260273972601E-2</v>
      </c>
      <c r="AD673" s="139">
        <f t="shared" ref="AD673:AI673" si="1349">O673/$I673</f>
        <v>5.1369863013698627E-3</v>
      </c>
      <c r="AE673" s="139">
        <f t="shared" si="1349"/>
        <v>0</v>
      </c>
      <c r="AF673" s="139">
        <f t="shared" si="1349"/>
        <v>0</v>
      </c>
      <c r="AG673" s="139">
        <f t="shared" si="1349"/>
        <v>0</v>
      </c>
      <c r="AH673" s="139">
        <f t="shared" si="1349"/>
        <v>1.3698630136986301E-2</v>
      </c>
      <c r="AI673" s="139">
        <f t="shared" si="1349"/>
        <v>8.5616438356164379E-3</v>
      </c>
    </row>
    <row r="674" spans="2:35">
      <c r="B674" s="138" t="s">
        <v>8077</v>
      </c>
      <c r="C674" s="138" t="s">
        <v>4367</v>
      </c>
      <c r="D674" s="138" t="s">
        <v>15</v>
      </c>
      <c r="E674" s="138" t="s">
        <v>389</v>
      </c>
      <c r="F674" s="138" t="s">
        <v>936</v>
      </c>
      <c r="H674" s="138">
        <v>190</v>
      </c>
      <c r="I674" s="138">
        <v>943</v>
      </c>
      <c r="J674" s="138">
        <v>554</v>
      </c>
      <c r="K674" s="138">
        <v>351</v>
      </c>
      <c r="N674" s="138">
        <v>5</v>
      </c>
      <c r="O674" s="138">
        <v>2</v>
      </c>
      <c r="S674" s="138">
        <v>23</v>
      </c>
      <c r="T674" s="138">
        <v>8</v>
      </c>
      <c r="U674" s="138">
        <f t="shared" si="1024"/>
        <v>33</v>
      </c>
      <c r="W674" s="139">
        <f t="shared" ref="W674:AA674" si="1350">J674/$I674</f>
        <v>0.58748674443266169</v>
      </c>
      <c r="X674" s="139">
        <f t="shared" si="1350"/>
        <v>0.37221633085896078</v>
      </c>
      <c r="Y674" s="139">
        <f t="shared" si="1350"/>
        <v>0</v>
      </c>
      <c r="Z674" s="139">
        <f t="shared" si="1350"/>
        <v>0</v>
      </c>
      <c r="AA674" s="139">
        <f t="shared" si="1350"/>
        <v>5.3022269353128317E-3</v>
      </c>
      <c r="AB674" s="139"/>
      <c r="AC674" s="139">
        <f t="shared" si="1026"/>
        <v>3.4994697773064687E-2</v>
      </c>
      <c r="AD674" s="139">
        <f t="shared" ref="AD674:AI674" si="1351">O674/$I674</f>
        <v>2.1208907741251328E-3</v>
      </c>
      <c r="AE674" s="139">
        <f t="shared" si="1351"/>
        <v>0</v>
      </c>
      <c r="AF674" s="139">
        <f t="shared" si="1351"/>
        <v>0</v>
      </c>
      <c r="AG674" s="139">
        <f t="shared" si="1351"/>
        <v>0</v>
      </c>
      <c r="AH674" s="139">
        <f t="shared" si="1351"/>
        <v>2.4390243902439025E-2</v>
      </c>
      <c r="AI674" s="139">
        <f t="shared" si="1351"/>
        <v>8.483563096500531E-3</v>
      </c>
    </row>
    <row r="675" spans="2:35">
      <c r="B675" s="138" t="s">
        <v>8077</v>
      </c>
      <c r="C675" s="138" t="s">
        <v>4367</v>
      </c>
      <c r="D675" s="138" t="s">
        <v>15</v>
      </c>
      <c r="E675" s="138" t="s">
        <v>389</v>
      </c>
      <c r="F675" s="138" t="s">
        <v>8138</v>
      </c>
      <c r="H675" s="138">
        <v>191</v>
      </c>
      <c r="I675" s="138">
        <v>965</v>
      </c>
      <c r="J675" s="138">
        <v>641</v>
      </c>
      <c r="K675" s="138">
        <v>295</v>
      </c>
      <c r="N675" s="138">
        <v>9</v>
      </c>
      <c r="O675" s="138">
        <v>4</v>
      </c>
      <c r="S675" s="138">
        <v>6</v>
      </c>
      <c r="T675" s="138">
        <v>10</v>
      </c>
      <c r="U675" s="138">
        <f t="shared" si="1024"/>
        <v>20</v>
      </c>
      <c r="W675" s="139">
        <f t="shared" ref="W675:AA675" si="1352">J675/$I675</f>
        <v>0.6642487046632124</v>
      </c>
      <c r="X675" s="139">
        <f t="shared" si="1352"/>
        <v>0.30569948186528495</v>
      </c>
      <c r="Y675" s="139">
        <f t="shared" si="1352"/>
        <v>0</v>
      </c>
      <c r="Z675" s="139">
        <f t="shared" si="1352"/>
        <v>0</v>
      </c>
      <c r="AA675" s="139">
        <f t="shared" si="1352"/>
        <v>9.3264248704663204E-3</v>
      </c>
      <c r="AB675" s="139"/>
      <c r="AC675" s="139">
        <f t="shared" si="1026"/>
        <v>2.072538860103627E-2</v>
      </c>
      <c r="AD675" s="139">
        <f t="shared" ref="AD675:AI675" si="1353">O675/$I675</f>
        <v>4.1450777202072537E-3</v>
      </c>
      <c r="AE675" s="139">
        <f t="shared" si="1353"/>
        <v>0</v>
      </c>
      <c r="AF675" s="139">
        <f t="shared" si="1353"/>
        <v>0</v>
      </c>
      <c r="AG675" s="139">
        <f t="shared" si="1353"/>
        <v>0</v>
      </c>
      <c r="AH675" s="139">
        <f t="shared" si="1353"/>
        <v>6.2176165803108805E-3</v>
      </c>
      <c r="AI675" s="139">
        <f t="shared" si="1353"/>
        <v>1.0362694300518135E-2</v>
      </c>
    </row>
    <row r="676" spans="2:35">
      <c r="B676" s="138" t="s">
        <v>8077</v>
      </c>
      <c r="C676" s="138" t="s">
        <v>4367</v>
      </c>
      <c r="D676" s="138" t="s">
        <v>15</v>
      </c>
      <c r="E676" s="138" t="s">
        <v>389</v>
      </c>
      <c r="F676" s="138" t="s">
        <v>8138</v>
      </c>
      <c r="H676" s="138">
        <v>192</v>
      </c>
      <c r="I676" s="138">
        <v>882</v>
      </c>
      <c r="J676" s="138">
        <v>477</v>
      </c>
      <c r="K676" s="138">
        <v>374</v>
      </c>
      <c r="N676" s="138">
        <v>4</v>
      </c>
      <c r="O676" s="138">
        <v>1</v>
      </c>
      <c r="S676" s="138">
        <v>14</v>
      </c>
      <c r="T676" s="138">
        <v>12</v>
      </c>
      <c r="U676" s="138">
        <f t="shared" si="1024"/>
        <v>27</v>
      </c>
      <c r="W676" s="139">
        <f t="shared" ref="W676:AA676" si="1354">J676/$I676</f>
        <v>0.54081632653061229</v>
      </c>
      <c r="X676" s="139">
        <f t="shared" si="1354"/>
        <v>0.42403628117913833</v>
      </c>
      <c r="Y676" s="139">
        <f t="shared" si="1354"/>
        <v>0</v>
      </c>
      <c r="Z676" s="139">
        <f t="shared" si="1354"/>
        <v>0</v>
      </c>
      <c r="AA676" s="139">
        <f t="shared" si="1354"/>
        <v>4.5351473922902496E-3</v>
      </c>
      <c r="AB676" s="139"/>
      <c r="AC676" s="139">
        <f t="shared" si="1026"/>
        <v>3.0612244897959183E-2</v>
      </c>
      <c r="AD676" s="139">
        <f t="shared" ref="AD676:AI676" si="1355">O676/$I676</f>
        <v>1.1337868480725624E-3</v>
      </c>
      <c r="AE676" s="139">
        <f t="shared" si="1355"/>
        <v>0</v>
      </c>
      <c r="AF676" s="139">
        <f t="shared" si="1355"/>
        <v>0</v>
      </c>
      <c r="AG676" s="139">
        <f t="shared" si="1355"/>
        <v>0</v>
      </c>
      <c r="AH676" s="139">
        <f t="shared" si="1355"/>
        <v>1.5873015873015872E-2</v>
      </c>
      <c r="AI676" s="139">
        <f t="shared" si="1355"/>
        <v>1.3605442176870748E-2</v>
      </c>
    </row>
    <row r="677" spans="2:35">
      <c r="B677" s="138" t="s">
        <v>8077</v>
      </c>
      <c r="C677" s="138" t="s">
        <v>4367</v>
      </c>
      <c r="D677" s="138" t="s">
        <v>15</v>
      </c>
      <c r="E677" s="138" t="s">
        <v>389</v>
      </c>
      <c r="F677" s="138" t="s">
        <v>8139</v>
      </c>
      <c r="H677" s="138">
        <v>193</v>
      </c>
      <c r="I677" s="138">
        <v>940</v>
      </c>
      <c r="J677" s="138">
        <v>703</v>
      </c>
      <c r="K677" s="138">
        <v>212</v>
      </c>
      <c r="N677" s="138">
        <v>10</v>
      </c>
      <c r="O677" s="138">
        <v>1</v>
      </c>
      <c r="S677" s="138">
        <v>9</v>
      </c>
      <c r="T677" s="138">
        <v>5</v>
      </c>
      <c r="U677" s="138">
        <f t="shared" si="1024"/>
        <v>15</v>
      </c>
      <c r="W677" s="139">
        <f t="shared" ref="W677:AA677" si="1356">J677/$I677</f>
        <v>0.74787234042553197</v>
      </c>
      <c r="X677" s="139">
        <f t="shared" si="1356"/>
        <v>0.22553191489361701</v>
      </c>
      <c r="Y677" s="139">
        <f t="shared" si="1356"/>
        <v>0</v>
      </c>
      <c r="Z677" s="139">
        <f t="shared" si="1356"/>
        <v>0</v>
      </c>
      <c r="AA677" s="139">
        <f t="shared" si="1356"/>
        <v>1.0638297872340425E-2</v>
      </c>
      <c r="AB677" s="139"/>
      <c r="AC677" s="139">
        <f t="shared" si="1026"/>
        <v>1.5957446808510637E-2</v>
      </c>
      <c r="AD677" s="139">
        <f t="shared" ref="AD677:AI677" si="1357">O677/$I677</f>
        <v>1.0638297872340426E-3</v>
      </c>
      <c r="AE677" s="139">
        <f t="shared" si="1357"/>
        <v>0</v>
      </c>
      <c r="AF677" s="139">
        <f t="shared" si="1357"/>
        <v>0</v>
      </c>
      <c r="AG677" s="139">
        <f t="shared" si="1357"/>
        <v>0</v>
      </c>
      <c r="AH677" s="139">
        <f t="shared" si="1357"/>
        <v>9.5744680851063829E-3</v>
      </c>
      <c r="AI677" s="139">
        <f t="shared" si="1357"/>
        <v>5.3191489361702126E-3</v>
      </c>
    </row>
    <row r="678" spans="2:35">
      <c r="B678" s="138" t="s">
        <v>8077</v>
      </c>
      <c r="C678" s="138" t="s">
        <v>4367</v>
      </c>
      <c r="D678" s="138" t="s">
        <v>15</v>
      </c>
      <c r="E678" s="138" t="s">
        <v>389</v>
      </c>
      <c r="F678" s="138" t="s">
        <v>8139</v>
      </c>
      <c r="H678" s="138">
        <v>194</v>
      </c>
      <c r="I678" s="138">
        <v>937</v>
      </c>
      <c r="J678" s="138">
        <v>442</v>
      </c>
      <c r="K678" s="138">
        <v>449</v>
      </c>
      <c r="N678" s="138">
        <v>8</v>
      </c>
      <c r="O678" s="138">
        <v>8</v>
      </c>
      <c r="S678" s="138">
        <v>11</v>
      </c>
      <c r="T678" s="138">
        <v>19</v>
      </c>
      <c r="U678" s="138">
        <f t="shared" si="1024"/>
        <v>38</v>
      </c>
      <c r="W678" s="139">
        <f t="shared" ref="W678:AA678" si="1358">J678/$I678</f>
        <v>0.47171824973319104</v>
      </c>
      <c r="X678" s="139">
        <f t="shared" si="1358"/>
        <v>0.47918890074706511</v>
      </c>
      <c r="Y678" s="139">
        <f t="shared" si="1358"/>
        <v>0</v>
      </c>
      <c r="Z678" s="139">
        <f t="shared" si="1358"/>
        <v>0</v>
      </c>
      <c r="AA678" s="139">
        <f t="shared" si="1358"/>
        <v>8.5378868729989333E-3</v>
      </c>
      <c r="AB678" s="139"/>
      <c r="AC678" s="139">
        <f t="shared" si="1026"/>
        <v>4.0554962646744928E-2</v>
      </c>
      <c r="AD678" s="139">
        <f t="shared" ref="AD678:AI678" si="1359">O678/$I678</f>
        <v>8.5378868729989333E-3</v>
      </c>
      <c r="AE678" s="139">
        <f t="shared" si="1359"/>
        <v>0</v>
      </c>
      <c r="AF678" s="139">
        <f t="shared" si="1359"/>
        <v>0</v>
      </c>
      <c r="AG678" s="139">
        <f t="shared" si="1359"/>
        <v>0</v>
      </c>
      <c r="AH678" s="139">
        <f t="shared" si="1359"/>
        <v>1.1739594450373533E-2</v>
      </c>
      <c r="AI678" s="139">
        <f t="shared" si="1359"/>
        <v>2.0277481323372464E-2</v>
      </c>
    </row>
    <row r="679" spans="2:35">
      <c r="B679" s="138" t="s">
        <v>8077</v>
      </c>
      <c r="C679" s="138" t="s">
        <v>4367</v>
      </c>
      <c r="D679" s="138" t="s">
        <v>15</v>
      </c>
      <c r="E679" s="138" t="s">
        <v>389</v>
      </c>
      <c r="F679" s="138" t="s">
        <v>8139</v>
      </c>
      <c r="H679" s="138">
        <v>195</v>
      </c>
      <c r="I679" s="138">
        <v>1004</v>
      </c>
      <c r="J679" s="138">
        <v>633</v>
      </c>
      <c r="K679" s="138">
        <v>335</v>
      </c>
      <c r="N679" s="138">
        <v>8</v>
      </c>
      <c r="O679" s="138">
        <v>2</v>
      </c>
      <c r="S679" s="138">
        <v>18</v>
      </c>
      <c r="T679" s="138">
        <v>8</v>
      </c>
      <c r="U679" s="138">
        <f t="shared" si="1024"/>
        <v>28</v>
      </c>
      <c r="W679" s="139">
        <f t="shared" ref="W679:AA679" si="1360">J679/$I679</f>
        <v>0.63047808764940239</v>
      </c>
      <c r="X679" s="139">
        <f t="shared" si="1360"/>
        <v>0.33366533864541831</v>
      </c>
      <c r="Y679" s="139">
        <f t="shared" si="1360"/>
        <v>0</v>
      </c>
      <c r="Z679" s="139">
        <f t="shared" si="1360"/>
        <v>0</v>
      </c>
      <c r="AA679" s="139">
        <f t="shared" si="1360"/>
        <v>7.9681274900398405E-3</v>
      </c>
      <c r="AB679" s="139"/>
      <c r="AC679" s="139">
        <f t="shared" si="1026"/>
        <v>2.7888446215139442E-2</v>
      </c>
      <c r="AD679" s="139">
        <f t="shared" ref="AD679:AI679" si="1361">O679/$I679</f>
        <v>1.9920318725099601E-3</v>
      </c>
      <c r="AE679" s="139">
        <f t="shared" si="1361"/>
        <v>0</v>
      </c>
      <c r="AF679" s="139">
        <f t="shared" si="1361"/>
        <v>0</v>
      </c>
      <c r="AG679" s="139">
        <f t="shared" si="1361"/>
        <v>0</v>
      </c>
      <c r="AH679" s="139">
        <f t="shared" si="1361"/>
        <v>1.7928286852589643E-2</v>
      </c>
      <c r="AI679" s="139">
        <f t="shared" si="1361"/>
        <v>7.9681274900398405E-3</v>
      </c>
    </row>
    <row r="680" spans="2:35">
      <c r="B680" s="138" t="s">
        <v>8077</v>
      </c>
      <c r="C680" s="138" t="s">
        <v>4367</v>
      </c>
      <c r="D680" s="138" t="s">
        <v>15</v>
      </c>
      <c r="E680" s="138" t="s">
        <v>389</v>
      </c>
      <c r="F680" s="138" t="s">
        <v>940</v>
      </c>
      <c r="H680" s="138">
        <v>196</v>
      </c>
      <c r="I680" s="138">
        <v>1073</v>
      </c>
      <c r="J680" s="138">
        <v>622</v>
      </c>
      <c r="K680" s="138">
        <v>414</v>
      </c>
      <c r="N680" s="138">
        <v>15</v>
      </c>
      <c r="O680" s="138">
        <v>2</v>
      </c>
      <c r="S680" s="138">
        <v>12</v>
      </c>
      <c r="T680" s="138">
        <v>8</v>
      </c>
      <c r="U680" s="138">
        <f t="shared" si="1024"/>
        <v>22</v>
      </c>
      <c r="W680" s="139">
        <f t="shared" ref="W680:AA680" si="1362">J680/$I680</f>
        <v>0.57968313140726935</v>
      </c>
      <c r="X680" s="139">
        <f t="shared" si="1362"/>
        <v>0.38583410997204098</v>
      </c>
      <c r="Y680" s="139">
        <f t="shared" si="1362"/>
        <v>0</v>
      </c>
      <c r="Z680" s="139">
        <f t="shared" si="1362"/>
        <v>0</v>
      </c>
      <c r="AA680" s="139">
        <f t="shared" si="1362"/>
        <v>1.3979496738117428E-2</v>
      </c>
      <c r="AB680" s="139"/>
      <c r="AC680" s="139">
        <f t="shared" si="1026"/>
        <v>2.0503261882572229E-2</v>
      </c>
      <c r="AD680" s="139">
        <f t="shared" ref="AD680:AI680" si="1363">O680/$I680</f>
        <v>1.863932898415657E-3</v>
      </c>
      <c r="AE680" s="139">
        <f t="shared" si="1363"/>
        <v>0</v>
      </c>
      <c r="AF680" s="139">
        <f t="shared" si="1363"/>
        <v>0</v>
      </c>
      <c r="AG680" s="139">
        <f t="shared" si="1363"/>
        <v>0</v>
      </c>
      <c r="AH680" s="139">
        <f t="shared" si="1363"/>
        <v>1.1183597390493943E-2</v>
      </c>
      <c r="AI680" s="139">
        <f t="shared" si="1363"/>
        <v>7.4557315936626279E-3</v>
      </c>
    </row>
    <row r="681" spans="2:35">
      <c r="B681" s="138" t="s">
        <v>8077</v>
      </c>
      <c r="C681" s="138" t="s">
        <v>4367</v>
      </c>
      <c r="D681" s="138" t="s">
        <v>15</v>
      </c>
      <c r="E681" s="138" t="s">
        <v>389</v>
      </c>
      <c r="F681" s="138" t="s">
        <v>940</v>
      </c>
      <c r="H681" s="138">
        <v>197</v>
      </c>
      <c r="I681" s="138">
        <v>1049</v>
      </c>
      <c r="J681" s="138">
        <v>616</v>
      </c>
      <c r="K681" s="138">
        <v>399</v>
      </c>
      <c r="N681" s="138">
        <v>7</v>
      </c>
      <c r="O681" s="138">
        <v>2</v>
      </c>
      <c r="S681" s="138">
        <v>18</v>
      </c>
      <c r="T681" s="138">
        <v>7</v>
      </c>
      <c r="U681" s="138">
        <f t="shared" si="1024"/>
        <v>27</v>
      </c>
      <c r="W681" s="139">
        <f t="shared" ref="W681:AA681" si="1364">J681/$I681</f>
        <v>0.58722592945662533</v>
      </c>
      <c r="X681" s="139">
        <f t="shared" si="1364"/>
        <v>0.38036224976167776</v>
      </c>
      <c r="Y681" s="139">
        <f t="shared" si="1364"/>
        <v>0</v>
      </c>
      <c r="Z681" s="139">
        <f t="shared" si="1364"/>
        <v>0</v>
      </c>
      <c r="AA681" s="139">
        <f t="shared" si="1364"/>
        <v>6.6730219256434702E-3</v>
      </c>
      <c r="AB681" s="139"/>
      <c r="AC681" s="139">
        <f t="shared" si="1026"/>
        <v>2.5738798856053385E-2</v>
      </c>
      <c r="AD681" s="139">
        <f t="shared" ref="AD681:AI681" si="1365">O681/$I681</f>
        <v>1.9065776930409914E-3</v>
      </c>
      <c r="AE681" s="139">
        <f t="shared" si="1365"/>
        <v>0</v>
      </c>
      <c r="AF681" s="139">
        <f t="shared" si="1365"/>
        <v>0</v>
      </c>
      <c r="AG681" s="139">
        <f t="shared" si="1365"/>
        <v>0</v>
      </c>
      <c r="AH681" s="139">
        <f t="shared" si="1365"/>
        <v>1.7159199237368923E-2</v>
      </c>
      <c r="AI681" s="139">
        <f t="shared" si="1365"/>
        <v>6.6730219256434702E-3</v>
      </c>
    </row>
    <row r="682" spans="2:35">
      <c r="B682" s="138" t="s">
        <v>8077</v>
      </c>
      <c r="C682" s="138" t="s">
        <v>4367</v>
      </c>
      <c r="D682" s="138" t="s">
        <v>15</v>
      </c>
      <c r="E682" s="138" t="s">
        <v>389</v>
      </c>
      <c r="F682" s="138" t="s">
        <v>940</v>
      </c>
      <c r="H682" s="138">
        <v>198</v>
      </c>
      <c r="I682" s="138">
        <v>918</v>
      </c>
      <c r="J682" s="138">
        <v>677</v>
      </c>
      <c r="K682" s="138">
        <v>207</v>
      </c>
      <c r="N682" s="138">
        <v>11</v>
      </c>
      <c r="O682" s="138">
        <v>4</v>
      </c>
      <c r="S682" s="138">
        <v>17</v>
      </c>
      <c r="T682" s="138">
        <v>2</v>
      </c>
      <c r="U682" s="138">
        <f t="shared" si="1024"/>
        <v>23</v>
      </c>
      <c r="W682" s="139">
        <f t="shared" ref="W682:AA682" si="1366">J682/$I682</f>
        <v>0.73747276688453156</v>
      </c>
      <c r="X682" s="139">
        <f t="shared" si="1366"/>
        <v>0.22549019607843138</v>
      </c>
      <c r="Y682" s="139">
        <f t="shared" si="1366"/>
        <v>0</v>
      </c>
      <c r="Z682" s="139">
        <f t="shared" si="1366"/>
        <v>0</v>
      </c>
      <c r="AA682" s="139">
        <f t="shared" si="1366"/>
        <v>1.1982570806100218E-2</v>
      </c>
      <c r="AB682" s="139"/>
      <c r="AC682" s="139">
        <f t="shared" si="1026"/>
        <v>2.5054466230936819E-2</v>
      </c>
      <c r="AD682" s="139">
        <f t="shared" ref="AD682:AI682" si="1367">O682/$I682</f>
        <v>4.3572984749455342E-3</v>
      </c>
      <c r="AE682" s="139">
        <f t="shared" si="1367"/>
        <v>0</v>
      </c>
      <c r="AF682" s="139">
        <f t="shared" si="1367"/>
        <v>0</v>
      </c>
      <c r="AG682" s="139">
        <f t="shared" si="1367"/>
        <v>0</v>
      </c>
      <c r="AH682" s="139">
        <f t="shared" si="1367"/>
        <v>1.8518518518518517E-2</v>
      </c>
      <c r="AI682" s="139">
        <f t="shared" si="1367"/>
        <v>2.1786492374727671E-3</v>
      </c>
    </row>
    <row r="683" spans="2:35">
      <c r="B683" s="138" t="s">
        <v>8077</v>
      </c>
      <c r="C683" s="138" t="s">
        <v>4367</v>
      </c>
      <c r="D683" s="138" t="s">
        <v>15</v>
      </c>
      <c r="E683" s="138" t="s">
        <v>389</v>
      </c>
      <c r="F683" s="138" t="s">
        <v>940</v>
      </c>
      <c r="H683" s="138">
        <v>199</v>
      </c>
      <c r="I683" s="138">
        <v>987</v>
      </c>
      <c r="J683" s="138">
        <v>676</v>
      </c>
      <c r="K683" s="138">
        <v>276</v>
      </c>
      <c r="N683" s="138">
        <v>8</v>
      </c>
      <c r="O683" s="138">
        <v>3</v>
      </c>
      <c r="S683" s="138">
        <v>17</v>
      </c>
      <c r="T683" s="138">
        <v>7</v>
      </c>
      <c r="U683" s="138">
        <f t="shared" si="1024"/>
        <v>27</v>
      </c>
      <c r="W683" s="139">
        <f t="shared" ref="W683:AA683" si="1368">J683/$I683</f>
        <v>0.68490374873353599</v>
      </c>
      <c r="X683" s="139">
        <f t="shared" si="1368"/>
        <v>0.2796352583586626</v>
      </c>
      <c r="Y683" s="139">
        <f t="shared" si="1368"/>
        <v>0</v>
      </c>
      <c r="Z683" s="139">
        <f t="shared" si="1368"/>
        <v>0</v>
      </c>
      <c r="AA683" s="139">
        <f t="shared" si="1368"/>
        <v>8.1053698074974676E-3</v>
      </c>
      <c r="AB683" s="139"/>
      <c r="AC683" s="139">
        <f t="shared" si="1026"/>
        <v>2.7355623100303952E-2</v>
      </c>
      <c r="AD683" s="139">
        <f t="shared" ref="AD683:AI683" si="1369">O683/$I683</f>
        <v>3.0395136778115501E-3</v>
      </c>
      <c r="AE683" s="139">
        <f t="shared" si="1369"/>
        <v>0</v>
      </c>
      <c r="AF683" s="139">
        <f t="shared" si="1369"/>
        <v>0</v>
      </c>
      <c r="AG683" s="139">
        <f t="shared" si="1369"/>
        <v>0</v>
      </c>
      <c r="AH683" s="139">
        <f t="shared" si="1369"/>
        <v>1.7223910840932118E-2</v>
      </c>
      <c r="AI683" s="139">
        <f t="shared" si="1369"/>
        <v>7.0921985815602835E-3</v>
      </c>
    </row>
    <row r="684" spans="2:35">
      <c r="B684" s="138" t="s">
        <v>8077</v>
      </c>
      <c r="C684" s="138" t="s">
        <v>4367</v>
      </c>
      <c r="D684" s="138" t="s">
        <v>15</v>
      </c>
      <c r="E684" s="138" t="s">
        <v>389</v>
      </c>
      <c r="F684" s="138" t="s">
        <v>940</v>
      </c>
      <c r="H684" s="138">
        <v>200</v>
      </c>
      <c r="I684" s="138">
        <v>724</v>
      </c>
      <c r="J684" s="138">
        <v>483</v>
      </c>
      <c r="K684" s="138">
        <v>207</v>
      </c>
      <c r="N684" s="138">
        <v>8</v>
      </c>
      <c r="O684" s="138">
        <v>2</v>
      </c>
      <c r="S684" s="138">
        <v>13</v>
      </c>
      <c r="T684" s="138">
        <v>11</v>
      </c>
      <c r="U684" s="138">
        <f t="shared" si="1024"/>
        <v>26</v>
      </c>
      <c r="W684" s="139">
        <f t="shared" ref="W684:AA684" si="1370">J684/$I684</f>
        <v>0.66712707182320441</v>
      </c>
      <c r="X684" s="139">
        <f t="shared" si="1370"/>
        <v>0.28591160220994477</v>
      </c>
      <c r="Y684" s="139">
        <f t="shared" si="1370"/>
        <v>0</v>
      </c>
      <c r="Z684" s="139">
        <f t="shared" si="1370"/>
        <v>0</v>
      </c>
      <c r="AA684" s="139">
        <f t="shared" si="1370"/>
        <v>1.1049723756906077E-2</v>
      </c>
      <c r="AB684" s="139"/>
      <c r="AC684" s="139">
        <f t="shared" si="1026"/>
        <v>3.591160220994475E-2</v>
      </c>
      <c r="AD684" s="139">
        <f t="shared" ref="AD684:AI684" si="1371">O684/$I684</f>
        <v>2.7624309392265192E-3</v>
      </c>
      <c r="AE684" s="139">
        <f t="shared" si="1371"/>
        <v>0</v>
      </c>
      <c r="AF684" s="139">
        <f t="shared" si="1371"/>
        <v>0</v>
      </c>
      <c r="AG684" s="139">
        <f t="shared" si="1371"/>
        <v>0</v>
      </c>
      <c r="AH684" s="139">
        <f t="shared" si="1371"/>
        <v>1.7955801104972375E-2</v>
      </c>
      <c r="AI684" s="139">
        <f t="shared" si="1371"/>
        <v>1.5193370165745856E-2</v>
      </c>
    </row>
    <row r="685" spans="2:35">
      <c r="B685" s="138" t="s">
        <v>8077</v>
      </c>
      <c r="C685" s="138" t="s">
        <v>4367</v>
      </c>
      <c r="D685" s="138" t="s">
        <v>11</v>
      </c>
      <c r="E685" s="138" t="s">
        <v>261</v>
      </c>
      <c r="F685" s="138" t="s">
        <v>830</v>
      </c>
      <c r="H685" s="138">
        <v>1</v>
      </c>
      <c r="I685" s="138">
        <v>786</v>
      </c>
      <c r="K685" s="138">
        <v>157</v>
      </c>
      <c r="L685" s="138">
        <v>552</v>
      </c>
      <c r="N685" s="138">
        <v>2</v>
      </c>
      <c r="O685" s="138">
        <v>0</v>
      </c>
      <c r="S685" s="138">
        <v>70</v>
      </c>
      <c r="T685" s="138">
        <v>5</v>
      </c>
      <c r="U685" s="138">
        <f t="shared" si="1024"/>
        <v>75</v>
      </c>
      <c r="W685" s="139">
        <f t="shared" ref="W685:AA685" si="1372">J685/$I685</f>
        <v>0</v>
      </c>
      <c r="X685" s="139">
        <f t="shared" si="1372"/>
        <v>0.19974554707379136</v>
      </c>
      <c r="Y685" s="139">
        <f t="shared" si="1372"/>
        <v>0.70229007633587781</v>
      </c>
      <c r="Z685" s="139">
        <f t="shared" si="1372"/>
        <v>0</v>
      </c>
      <c r="AA685" s="139">
        <f t="shared" si="1372"/>
        <v>2.5445292620865142E-3</v>
      </c>
      <c r="AB685" s="139"/>
      <c r="AC685" s="139">
        <f t="shared" si="1026"/>
        <v>9.5419847328244281E-2</v>
      </c>
      <c r="AD685" s="139">
        <f t="shared" ref="AD685:AI685" si="1373">O685/$I685</f>
        <v>0</v>
      </c>
      <c r="AE685" s="139">
        <f t="shared" si="1373"/>
        <v>0</v>
      </c>
      <c r="AF685" s="139">
        <f t="shared" si="1373"/>
        <v>0</v>
      </c>
      <c r="AG685" s="139">
        <f t="shared" si="1373"/>
        <v>0</v>
      </c>
      <c r="AH685" s="139">
        <f t="shared" si="1373"/>
        <v>8.9058524173027995E-2</v>
      </c>
      <c r="AI685" s="139">
        <f t="shared" si="1373"/>
        <v>6.3613231552162846E-3</v>
      </c>
    </row>
    <row r="686" spans="2:35">
      <c r="B686" s="138" t="s">
        <v>8077</v>
      </c>
      <c r="C686" s="138" t="s">
        <v>4367</v>
      </c>
      <c r="D686" s="138" t="s">
        <v>11</v>
      </c>
      <c r="E686" s="138" t="s">
        <v>261</v>
      </c>
      <c r="F686" s="138" t="s">
        <v>832</v>
      </c>
      <c r="H686" s="138">
        <v>2</v>
      </c>
      <c r="I686" s="138">
        <v>823</v>
      </c>
      <c r="K686" s="138">
        <v>200</v>
      </c>
      <c r="L686" s="138">
        <v>599</v>
      </c>
      <c r="N686" s="138">
        <v>3</v>
      </c>
      <c r="O686" s="138">
        <v>0</v>
      </c>
      <c r="S686" s="138">
        <v>14</v>
      </c>
      <c r="T686" s="138">
        <v>7</v>
      </c>
      <c r="U686" s="138">
        <f t="shared" si="1024"/>
        <v>21</v>
      </c>
      <c r="W686" s="139">
        <f t="shared" ref="W686:AA686" si="1374">J686/$I686</f>
        <v>0</v>
      </c>
      <c r="X686" s="139">
        <f t="shared" si="1374"/>
        <v>0.24301336573511542</v>
      </c>
      <c r="Y686" s="139">
        <f t="shared" si="1374"/>
        <v>0.72782503037667068</v>
      </c>
      <c r="Z686" s="139">
        <f t="shared" si="1374"/>
        <v>0</v>
      </c>
      <c r="AA686" s="139">
        <f t="shared" si="1374"/>
        <v>3.6452004860267314E-3</v>
      </c>
      <c r="AB686" s="139"/>
      <c r="AC686" s="139">
        <f t="shared" si="1026"/>
        <v>2.551640340218712E-2</v>
      </c>
      <c r="AD686" s="139">
        <f t="shared" ref="AD686:AI686" si="1375">O686/$I686</f>
        <v>0</v>
      </c>
      <c r="AE686" s="139">
        <f t="shared" si="1375"/>
        <v>0</v>
      </c>
      <c r="AF686" s="139">
        <f t="shared" si="1375"/>
        <v>0</v>
      </c>
      <c r="AG686" s="139">
        <f t="shared" si="1375"/>
        <v>0</v>
      </c>
      <c r="AH686" s="139">
        <f t="shared" si="1375"/>
        <v>1.7010935601458079E-2</v>
      </c>
      <c r="AI686" s="139">
        <f t="shared" si="1375"/>
        <v>8.5054678007290396E-3</v>
      </c>
    </row>
    <row r="687" spans="2:35">
      <c r="B687" s="138" t="s">
        <v>8077</v>
      </c>
      <c r="C687" s="138" t="s">
        <v>4367</v>
      </c>
      <c r="D687" s="138" t="s">
        <v>11</v>
      </c>
      <c r="E687" s="138" t="s">
        <v>261</v>
      </c>
      <c r="F687" s="138" t="s">
        <v>832</v>
      </c>
      <c r="H687" s="138">
        <v>3</v>
      </c>
      <c r="I687" s="138">
        <v>624</v>
      </c>
      <c r="K687" s="138">
        <v>370</v>
      </c>
      <c r="L687" s="138">
        <v>224</v>
      </c>
      <c r="N687" s="138">
        <v>7</v>
      </c>
      <c r="O687" s="138">
        <v>1</v>
      </c>
      <c r="S687" s="138">
        <v>10</v>
      </c>
      <c r="T687" s="138">
        <v>12</v>
      </c>
      <c r="U687" s="138">
        <f t="shared" si="1024"/>
        <v>23</v>
      </c>
      <c r="W687" s="139">
        <f t="shared" ref="W687:AA687" si="1376">J687/$I687</f>
        <v>0</v>
      </c>
      <c r="X687" s="139">
        <f t="shared" si="1376"/>
        <v>0.59294871794871795</v>
      </c>
      <c r="Y687" s="139">
        <f t="shared" si="1376"/>
        <v>0.35897435897435898</v>
      </c>
      <c r="Z687" s="139">
        <f t="shared" si="1376"/>
        <v>0</v>
      </c>
      <c r="AA687" s="139">
        <f t="shared" si="1376"/>
        <v>1.1217948717948718E-2</v>
      </c>
      <c r="AB687" s="139"/>
      <c r="AC687" s="139">
        <f t="shared" si="1026"/>
        <v>3.685897435897436E-2</v>
      </c>
      <c r="AD687" s="139">
        <f t="shared" ref="AD687:AI687" si="1377">O687/$I687</f>
        <v>1.6025641025641025E-3</v>
      </c>
      <c r="AE687" s="139">
        <f t="shared" si="1377"/>
        <v>0</v>
      </c>
      <c r="AF687" s="139">
        <f t="shared" si="1377"/>
        <v>0</v>
      </c>
      <c r="AG687" s="139">
        <f t="shared" si="1377"/>
        <v>0</v>
      </c>
      <c r="AH687" s="139">
        <f t="shared" si="1377"/>
        <v>1.6025641025641024E-2</v>
      </c>
      <c r="AI687" s="139">
        <f t="shared" si="1377"/>
        <v>1.9230769230769232E-2</v>
      </c>
    </row>
    <row r="688" spans="2:35">
      <c r="B688" s="138" t="s">
        <v>8077</v>
      </c>
      <c r="C688" s="138" t="s">
        <v>4367</v>
      </c>
      <c r="D688" s="138" t="s">
        <v>11</v>
      </c>
      <c r="E688" s="138" t="s">
        <v>261</v>
      </c>
      <c r="F688" s="138" t="s">
        <v>832</v>
      </c>
      <c r="H688" s="138">
        <v>4</v>
      </c>
      <c r="I688" s="138">
        <v>729</v>
      </c>
      <c r="K688" s="138">
        <v>94</v>
      </c>
      <c r="L688" s="138">
        <v>614</v>
      </c>
      <c r="N688" s="138">
        <v>2</v>
      </c>
      <c r="O688" s="138">
        <v>0</v>
      </c>
      <c r="S688" s="138">
        <v>17</v>
      </c>
      <c r="T688" s="138">
        <v>2</v>
      </c>
      <c r="U688" s="138">
        <f t="shared" si="1024"/>
        <v>19</v>
      </c>
      <c r="W688" s="139">
        <f t="shared" ref="W688:AA688" si="1378">J688/$I688</f>
        <v>0</v>
      </c>
      <c r="X688" s="139">
        <f t="shared" si="1378"/>
        <v>0.12894375857338819</v>
      </c>
      <c r="Y688" s="139">
        <f t="shared" si="1378"/>
        <v>0.84224965706447186</v>
      </c>
      <c r="Z688" s="139">
        <f t="shared" si="1378"/>
        <v>0</v>
      </c>
      <c r="AA688" s="139">
        <f t="shared" si="1378"/>
        <v>2.7434842249657062E-3</v>
      </c>
      <c r="AB688" s="139"/>
      <c r="AC688" s="139">
        <f t="shared" si="1026"/>
        <v>2.6063100137174212E-2</v>
      </c>
      <c r="AD688" s="139">
        <f t="shared" ref="AD688:AI688" si="1379">O688/$I688</f>
        <v>0</v>
      </c>
      <c r="AE688" s="139">
        <f t="shared" si="1379"/>
        <v>0</v>
      </c>
      <c r="AF688" s="139">
        <f t="shared" si="1379"/>
        <v>0</v>
      </c>
      <c r="AG688" s="139">
        <f t="shared" si="1379"/>
        <v>0</v>
      </c>
      <c r="AH688" s="139">
        <f t="shared" si="1379"/>
        <v>2.3319615912208505E-2</v>
      </c>
      <c r="AI688" s="139">
        <f t="shared" si="1379"/>
        <v>2.7434842249657062E-3</v>
      </c>
    </row>
    <row r="689" spans="2:35">
      <c r="B689" s="138" t="s">
        <v>8077</v>
      </c>
      <c r="C689" s="138" t="s">
        <v>4367</v>
      </c>
      <c r="D689" s="138" t="s">
        <v>11</v>
      </c>
      <c r="E689" s="138" t="s">
        <v>261</v>
      </c>
      <c r="F689" s="138" t="s">
        <v>832</v>
      </c>
      <c r="H689" s="138">
        <v>5</v>
      </c>
      <c r="I689" s="138">
        <v>633</v>
      </c>
      <c r="K689" s="138">
        <v>108</v>
      </c>
      <c r="L689" s="138">
        <v>508</v>
      </c>
      <c r="N689" s="138">
        <v>2</v>
      </c>
      <c r="O689" s="138">
        <v>0</v>
      </c>
      <c r="S689" s="138">
        <v>10</v>
      </c>
      <c r="T689" s="138">
        <v>5</v>
      </c>
      <c r="U689" s="138">
        <f t="shared" si="1024"/>
        <v>15</v>
      </c>
      <c r="W689" s="139">
        <f t="shared" ref="W689:AA689" si="1380">J689/$I689</f>
        <v>0</v>
      </c>
      <c r="X689" s="139">
        <f t="shared" si="1380"/>
        <v>0.17061611374407584</v>
      </c>
      <c r="Y689" s="139">
        <f t="shared" si="1380"/>
        <v>0.80252764612954186</v>
      </c>
      <c r="Z689" s="139">
        <f t="shared" si="1380"/>
        <v>0</v>
      </c>
      <c r="AA689" s="139">
        <f t="shared" si="1380"/>
        <v>3.1595576619273301E-3</v>
      </c>
      <c r="AB689" s="139"/>
      <c r="AC689" s="139">
        <f t="shared" si="1026"/>
        <v>2.3696682464454975E-2</v>
      </c>
      <c r="AD689" s="139">
        <f t="shared" ref="AD689:AI689" si="1381">O689/$I689</f>
        <v>0</v>
      </c>
      <c r="AE689" s="139">
        <f t="shared" si="1381"/>
        <v>0</v>
      </c>
      <c r="AF689" s="139">
        <f t="shared" si="1381"/>
        <v>0</v>
      </c>
      <c r="AG689" s="139">
        <f t="shared" si="1381"/>
        <v>0</v>
      </c>
      <c r="AH689" s="139">
        <f t="shared" si="1381"/>
        <v>1.579778830963665E-2</v>
      </c>
      <c r="AI689" s="139">
        <f t="shared" si="1381"/>
        <v>7.8988941548183249E-3</v>
      </c>
    </row>
    <row r="690" spans="2:35">
      <c r="B690" s="138" t="s">
        <v>8077</v>
      </c>
      <c r="C690" s="138" t="s">
        <v>4367</v>
      </c>
      <c r="D690" s="138" t="s">
        <v>11</v>
      </c>
      <c r="E690" s="138" t="s">
        <v>261</v>
      </c>
      <c r="F690" s="138" t="s">
        <v>832</v>
      </c>
      <c r="H690" s="138">
        <v>6</v>
      </c>
      <c r="I690" s="138">
        <v>789</v>
      </c>
      <c r="K690" s="138">
        <v>214</v>
      </c>
      <c r="L690" s="138">
        <v>548</v>
      </c>
      <c r="N690" s="138">
        <v>2</v>
      </c>
      <c r="O690" s="138">
        <v>1</v>
      </c>
      <c r="S690" s="138">
        <v>19</v>
      </c>
      <c r="T690" s="138">
        <v>5</v>
      </c>
      <c r="U690" s="138">
        <f t="shared" si="1024"/>
        <v>25</v>
      </c>
      <c r="W690" s="139">
        <f t="shared" ref="W690:AA690" si="1382">J690/$I690</f>
        <v>0</v>
      </c>
      <c r="X690" s="139">
        <f t="shared" si="1382"/>
        <v>0.27122940430925224</v>
      </c>
      <c r="Y690" s="139">
        <f t="shared" si="1382"/>
        <v>0.69455006337135616</v>
      </c>
      <c r="Z690" s="139">
        <f t="shared" si="1382"/>
        <v>0</v>
      </c>
      <c r="AA690" s="139">
        <f t="shared" si="1382"/>
        <v>2.5348542458808617E-3</v>
      </c>
      <c r="AB690" s="139"/>
      <c r="AC690" s="139">
        <f t="shared" si="1026"/>
        <v>3.1685678073510776E-2</v>
      </c>
      <c r="AD690" s="139">
        <f t="shared" ref="AD690:AI690" si="1383">O690/$I690</f>
        <v>1.2674271229404308E-3</v>
      </c>
      <c r="AE690" s="139">
        <f t="shared" si="1383"/>
        <v>0</v>
      </c>
      <c r="AF690" s="139">
        <f t="shared" si="1383"/>
        <v>0</v>
      </c>
      <c r="AG690" s="139">
        <f t="shared" si="1383"/>
        <v>0</v>
      </c>
      <c r="AH690" s="139">
        <f t="shared" si="1383"/>
        <v>2.4081115335868188E-2</v>
      </c>
      <c r="AI690" s="139">
        <f t="shared" si="1383"/>
        <v>6.3371356147021544E-3</v>
      </c>
    </row>
    <row r="691" spans="2:35">
      <c r="B691" s="138" t="s">
        <v>8077</v>
      </c>
      <c r="C691" s="138" t="s">
        <v>4367</v>
      </c>
      <c r="D691" s="138" t="s">
        <v>11</v>
      </c>
      <c r="E691" s="138" t="s">
        <v>261</v>
      </c>
      <c r="F691" s="138" t="s">
        <v>828</v>
      </c>
      <c r="H691" s="138">
        <v>7</v>
      </c>
      <c r="I691" s="138">
        <v>671</v>
      </c>
      <c r="K691" s="138">
        <v>212</v>
      </c>
      <c r="L691" s="138">
        <v>430</v>
      </c>
      <c r="N691" s="138">
        <v>1</v>
      </c>
      <c r="O691" s="138">
        <v>1</v>
      </c>
      <c r="S691" s="138">
        <v>26</v>
      </c>
      <c r="T691" s="138">
        <v>1</v>
      </c>
      <c r="U691" s="138">
        <f t="shared" si="1024"/>
        <v>28</v>
      </c>
      <c r="W691" s="139">
        <f t="shared" ref="W691:AA691" si="1384">J691/$I691</f>
        <v>0</v>
      </c>
      <c r="X691" s="139">
        <f t="shared" si="1384"/>
        <v>0.31594634873323396</v>
      </c>
      <c r="Y691" s="139">
        <f t="shared" si="1384"/>
        <v>0.64083457526080478</v>
      </c>
      <c r="Z691" s="139">
        <f t="shared" si="1384"/>
        <v>0</v>
      </c>
      <c r="AA691" s="139">
        <f t="shared" si="1384"/>
        <v>1.4903129657228018E-3</v>
      </c>
      <c r="AB691" s="139"/>
      <c r="AC691" s="139">
        <f t="shared" si="1026"/>
        <v>4.1728763040238454E-2</v>
      </c>
      <c r="AD691" s="139">
        <f t="shared" ref="AD691:AI691" si="1385">O691/$I691</f>
        <v>1.4903129657228018E-3</v>
      </c>
      <c r="AE691" s="139">
        <f t="shared" si="1385"/>
        <v>0</v>
      </c>
      <c r="AF691" s="139">
        <f t="shared" si="1385"/>
        <v>0</v>
      </c>
      <c r="AG691" s="139">
        <f t="shared" si="1385"/>
        <v>0</v>
      </c>
      <c r="AH691" s="139">
        <f t="shared" si="1385"/>
        <v>3.8748137108792845E-2</v>
      </c>
      <c r="AI691" s="139">
        <f t="shared" si="1385"/>
        <v>1.4903129657228018E-3</v>
      </c>
    </row>
    <row r="692" spans="2:35">
      <c r="B692" s="138" t="s">
        <v>8077</v>
      </c>
      <c r="C692" s="138" t="s">
        <v>4367</v>
      </c>
      <c r="D692" s="138" t="s">
        <v>11</v>
      </c>
      <c r="E692" s="138" t="s">
        <v>261</v>
      </c>
      <c r="F692" s="138" t="s">
        <v>828</v>
      </c>
      <c r="H692" s="138">
        <v>8</v>
      </c>
      <c r="I692" s="138">
        <v>875</v>
      </c>
      <c r="K692" s="138">
        <v>447</v>
      </c>
      <c r="L692" s="138">
        <v>378</v>
      </c>
      <c r="N692" s="138">
        <v>7</v>
      </c>
      <c r="O692" s="138">
        <v>2</v>
      </c>
      <c r="S692" s="138">
        <v>18</v>
      </c>
      <c r="T692" s="138">
        <v>23</v>
      </c>
      <c r="U692" s="138">
        <f t="shared" si="1024"/>
        <v>43</v>
      </c>
      <c r="W692" s="139">
        <f t="shared" ref="W692:AA692" si="1386">J692/$I692</f>
        <v>0</v>
      </c>
      <c r="X692" s="139">
        <f t="shared" si="1386"/>
        <v>0.5108571428571429</v>
      </c>
      <c r="Y692" s="139">
        <f t="shared" si="1386"/>
        <v>0.432</v>
      </c>
      <c r="Z692" s="139">
        <f t="shared" si="1386"/>
        <v>0</v>
      </c>
      <c r="AA692" s="139">
        <f t="shared" si="1386"/>
        <v>8.0000000000000002E-3</v>
      </c>
      <c r="AB692" s="139"/>
      <c r="AC692" s="139">
        <f t="shared" si="1026"/>
        <v>4.9142857142857141E-2</v>
      </c>
      <c r="AD692" s="139">
        <f t="shared" ref="AD692:AI692" si="1387">O692/$I692</f>
        <v>2.2857142857142859E-3</v>
      </c>
      <c r="AE692" s="139">
        <f t="shared" si="1387"/>
        <v>0</v>
      </c>
      <c r="AF692" s="139">
        <f t="shared" si="1387"/>
        <v>0</v>
      </c>
      <c r="AG692" s="139">
        <f t="shared" si="1387"/>
        <v>0</v>
      </c>
      <c r="AH692" s="139">
        <f t="shared" si="1387"/>
        <v>2.057142857142857E-2</v>
      </c>
      <c r="AI692" s="139">
        <f t="shared" si="1387"/>
        <v>2.6285714285714287E-2</v>
      </c>
    </row>
    <row r="693" spans="2:35">
      <c r="B693" s="138" t="s">
        <v>8077</v>
      </c>
      <c r="C693" s="138" t="s">
        <v>4367</v>
      </c>
      <c r="D693" s="138" t="s">
        <v>11</v>
      </c>
      <c r="E693" s="138" t="s">
        <v>261</v>
      </c>
      <c r="F693" s="138" t="s">
        <v>828</v>
      </c>
      <c r="H693" s="138">
        <v>9</v>
      </c>
      <c r="I693" s="138">
        <v>901</v>
      </c>
      <c r="K693" s="138">
        <v>310</v>
      </c>
      <c r="L693" s="138">
        <v>564</v>
      </c>
      <c r="N693" s="138">
        <v>3</v>
      </c>
      <c r="O693" s="138">
        <v>0</v>
      </c>
      <c r="S693" s="138">
        <v>22</v>
      </c>
      <c r="T693" s="138">
        <v>2</v>
      </c>
      <c r="U693" s="138">
        <f t="shared" si="1024"/>
        <v>24</v>
      </c>
      <c r="W693" s="139">
        <f t="shared" ref="W693:AA693" si="1388">J693/$I693</f>
        <v>0</v>
      </c>
      <c r="X693" s="139">
        <f t="shared" si="1388"/>
        <v>0.34406215316315203</v>
      </c>
      <c r="Y693" s="139">
        <f t="shared" si="1388"/>
        <v>0.62597114317425084</v>
      </c>
      <c r="Z693" s="139">
        <f t="shared" si="1388"/>
        <v>0</v>
      </c>
      <c r="AA693" s="139">
        <f t="shared" si="1388"/>
        <v>3.3296337402885681E-3</v>
      </c>
      <c r="AB693" s="139"/>
      <c r="AC693" s="139">
        <f t="shared" si="1026"/>
        <v>2.6637069922308545E-2</v>
      </c>
      <c r="AD693" s="139">
        <f t="shared" ref="AD693:AI693" si="1389">O693/$I693</f>
        <v>0</v>
      </c>
      <c r="AE693" s="139">
        <f t="shared" si="1389"/>
        <v>0</v>
      </c>
      <c r="AF693" s="139">
        <f t="shared" si="1389"/>
        <v>0</v>
      </c>
      <c r="AG693" s="139">
        <f t="shared" si="1389"/>
        <v>0</v>
      </c>
      <c r="AH693" s="139">
        <f t="shared" si="1389"/>
        <v>2.4417314095449501E-2</v>
      </c>
      <c r="AI693" s="139">
        <f t="shared" si="1389"/>
        <v>2.2197558268590455E-3</v>
      </c>
    </row>
    <row r="694" spans="2:35">
      <c r="B694" s="138" t="s">
        <v>8077</v>
      </c>
      <c r="C694" s="138" t="s">
        <v>4367</v>
      </c>
      <c r="D694" s="138" t="s">
        <v>11</v>
      </c>
      <c r="E694" s="138" t="s">
        <v>261</v>
      </c>
      <c r="F694" s="138" t="s">
        <v>828</v>
      </c>
      <c r="H694" s="138">
        <v>10</v>
      </c>
      <c r="I694" s="138">
        <v>783</v>
      </c>
      <c r="K694" s="138">
        <v>330</v>
      </c>
      <c r="L694" s="138">
        <v>432</v>
      </c>
      <c r="N694" s="138">
        <v>2</v>
      </c>
      <c r="O694" s="138">
        <v>1</v>
      </c>
      <c r="S694" s="138">
        <v>7</v>
      </c>
      <c r="T694" s="138">
        <v>11</v>
      </c>
      <c r="U694" s="138">
        <f t="shared" si="1024"/>
        <v>19</v>
      </c>
      <c r="W694" s="139">
        <f t="shared" ref="W694:AA694" si="1390">J694/$I694</f>
        <v>0</v>
      </c>
      <c r="X694" s="139">
        <f t="shared" si="1390"/>
        <v>0.42145593869731801</v>
      </c>
      <c r="Y694" s="139">
        <f t="shared" si="1390"/>
        <v>0.55172413793103448</v>
      </c>
      <c r="Z694" s="139">
        <f t="shared" si="1390"/>
        <v>0</v>
      </c>
      <c r="AA694" s="139">
        <f t="shared" si="1390"/>
        <v>2.554278416347382E-3</v>
      </c>
      <c r="AB694" s="139"/>
      <c r="AC694" s="139">
        <f t="shared" si="1026"/>
        <v>2.4265644955300127E-2</v>
      </c>
      <c r="AD694" s="139">
        <f t="shared" ref="AD694:AI694" si="1391">O694/$I694</f>
        <v>1.277139208173691E-3</v>
      </c>
      <c r="AE694" s="139">
        <f t="shared" si="1391"/>
        <v>0</v>
      </c>
      <c r="AF694" s="139">
        <f t="shared" si="1391"/>
        <v>0</v>
      </c>
      <c r="AG694" s="139">
        <f t="shared" si="1391"/>
        <v>0</v>
      </c>
      <c r="AH694" s="139">
        <f t="shared" si="1391"/>
        <v>8.9399744572158362E-3</v>
      </c>
      <c r="AI694" s="139">
        <f t="shared" si="1391"/>
        <v>1.40485312899106E-2</v>
      </c>
    </row>
    <row r="695" spans="2:35">
      <c r="B695" s="138" t="s">
        <v>8077</v>
      </c>
      <c r="C695" s="138" t="s">
        <v>4367</v>
      </c>
      <c r="D695" s="138" t="s">
        <v>11</v>
      </c>
      <c r="E695" s="138" t="s">
        <v>261</v>
      </c>
      <c r="F695" s="138" t="s">
        <v>843</v>
      </c>
      <c r="H695" s="138">
        <v>11</v>
      </c>
      <c r="I695" s="138">
        <v>792</v>
      </c>
      <c r="K695" s="138">
        <v>493</v>
      </c>
      <c r="L695" s="138">
        <v>271</v>
      </c>
      <c r="N695" s="138">
        <v>15</v>
      </c>
      <c r="O695" s="138">
        <v>0</v>
      </c>
      <c r="S695" s="138">
        <v>8</v>
      </c>
      <c r="T695" s="138">
        <v>5</v>
      </c>
      <c r="U695" s="138">
        <f t="shared" si="1024"/>
        <v>13</v>
      </c>
      <c r="W695" s="139">
        <f t="shared" ref="W695:AA695" si="1392">J695/$I695</f>
        <v>0</v>
      </c>
      <c r="X695" s="139">
        <f t="shared" si="1392"/>
        <v>0.62247474747474751</v>
      </c>
      <c r="Y695" s="139">
        <f t="shared" si="1392"/>
        <v>0.34217171717171718</v>
      </c>
      <c r="Z695" s="139">
        <f t="shared" si="1392"/>
        <v>0</v>
      </c>
      <c r="AA695" s="139">
        <f t="shared" si="1392"/>
        <v>1.893939393939394E-2</v>
      </c>
      <c r="AB695" s="139"/>
      <c r="AC695" s="139">
        <f t="shared" si="1026"/>
        <v>1.6414141414141416E-2</v>
      </c>
      <c r="AD695" s="139">
        <f t="shared" ref="AD695:AI695" si="1393">O695/$I695</f>
        <v>0</v>
      </c>
      <c r="AE695" s="139">
        <f t="shared" si="1393"/>
        <v>0</v>
      </c>
      <c r="AF695" s="139">
        <f t="shared" si="1393"/>
        <v>0</v>
      </c>
      <c r="AG695" s="139">
        <f t="shared" si="1393"/>
        <v>0</v>
      </c>
      <c r="AH695" s="139">
        <f t="shared" si="1393"/>
        <v>1.0101010101010102E-2</v>
      </c>
      <c r="AI695" s="139">
        <f t="shared" si="1393"/>
        <v>6.313131313131313E-3</v>
      </c>
    </row>
    <row r="696" spans="2:35">
      <c r="B696" s="138" t="s">
        <v>8077</v>
      </c>
      <c r="C696" s="138" t="s">
        <v>4367</v>
      </c>
      <c r="D696" s="138" t="s">
        <v>11</v>
      </c>
      <c r="E696" s="138" t="s">
        <v>261</v>
      </c>
      <c r="F696" s="138" t="s">
        <v>843</v>
      </c>
      <c r="H696" s="138">
        <v>12</v>
      </c>
      <c r="I696" s="138">
        <v>737</v>
      </c>
      <c r="K696" s="138">
        <v>266</v>
      </c>
      <c r="L696" s="138">
        <v>453</v>
      </c>
      <c r="N696" s="138">
        <v>4</v>
      </c>
      <c r="O696" s="138">
        <v>0</v>
      </c>
      <c r="S696" s="138">
        <v>11</v>
      </c>
      <c r="T696" s="138">
        <v>3</v>
      </c>
      <c r="U696" s="138">
        <f t="shared" si="1024"/>
        <v>14</v>
      </c>
      <c r="W696" s="139">
        <f t="shared" ref="W696:AA696" si="1394">J696/$I696</f>
        <v>0</v>
      </c>
      <c r="X696" s="139">
        <f t="shared" si="1394"/>
        <v>0.36092265943012214</v>
      </c>
      <c r="Y696" s="139">
        <f t="shared" si="1394"/>
        <v>0.61465400271370418</v>
      </c>
      <c r="Z696" s="139">
        <f t="shared" si="1394"/>
        <v>0</v>
      </c>
      <c r="AA696" s="139">
        <f t="shared" si="1394"/>
        <v>5.4274084124830389E-3</v>
      </c>
      <c r="AB696" s="139"/>
      <c r="AC696" s="139">
        <f t="shared" si="1026"/>
        <v>1.8995929443690638E-2</v>
      </c>
      <c r="AD696" s="139">
        <f t="shared" ref="AD696:AI696" si="1395">O696/$I696</f>
        <v>0</v>
      </c>
      <c r="AE696" s="139">
        <f t="shared" si="1395"/>
        <v>0</v>
      </c>
      <c r="AF696" s="139">
        <f t="shared" si="1395"/>
        <v>0</v>
      </c>
      <c r="AG696" s="139">
        <f t="shared" si="1395"/>
        <v>0</v>
      </c>
      <c r="AH696" s="139">
        <f t="shared" si="1395"/>
        <v>1.4925373134328358E-2</v>
      </c>
      <c r="AI696" s="139">
        <f t="shared" si="1395"/>
        <v>4.0705563093622792E-3</v>
      </c>
    </row>
    <row r="697" spans="2:35">
      <c r="B697" s="138" t="s">
        <v>8077</v>
      </c>
      <c r="C697" s="138" t="s">
        <v>4367</v>
      </c>
      <c r="D697" s="138" t="s">
        <v>11</v>
      </c>
      <c r="E697" s="138" t="s">
        <v>261</v>
      </c>
      <c r="F697" s="138" t="s">
        <v>843</v>
      </c>
      <c r="H697" s="138">
        <v>13</v>
      </c>
      <c r="I697" s="138">
        <v>709</v>
      </c>
      <c r="K697" s="138">
        <v>214</v>
      </c>
      <c r="L697" s="138">
        <v>465</v>
      </c>
      <c r="N697" s="138">
        <v>4</v>
      </c>
      <c r="O697" s="138">
        <v>1</v>
      </c>
      <c r="S697" s="138">
        <v>16</v>
      </c>
      <c r="T697" s="138">
        <v>9</v>
      </c>
      <c r="U697" s="138">
        <f t="shared" si="1024"/>
        <v>26</v>
      </c>
      <c r="W697" s="139">
        <f t="shared" ref="W697:AA697" si="1396">J697/$I697</f>
        <v>0</v>
      </c>
      <c r="X697" s="139">
        <f t="shared" si="1396"/>
        <v>0.3018335684062059</v>
      </c>
      <c r="Y697" s="139">
        <f t="shared" si="1396"/>
        <v>0.65585331452750351</v>
      </c>
      <c r="Z697" s="139">
        <f t="shared" si="1396"/>
        <v>0</v>
      </c>
      <c r="AA697" s="139">
        <f t="shared" si="1396"/>
        <v>5.6417489421720732E-3</v>
      </c>
      <c r="AB697" s="139"/>
      <c r="AC697" s="139">
        <f t="shared" si="1026"/>
        <v>3.6671368124118475E-2</v>
      </c>
      <c r="AD697" s="139">
        <f t="shared" ref="AD697:AI697" si="1397">O697/$I697</f>
        <v>1.4104372355430183E-3</v>
      </c>
      <c r="AE697" s="139">
        <f t="shared" si="1397"/>
        <v>0</v>
      </c>
      <c r="AF697" s="139">
        <f t="shared" si="1397"/>
        <v>0</v>
      </c>
      <c r="AG697" s="139">
        <f t="shared" si="1397"/>
        <v>0</v>
      </c>
      <c r="AH697" s="139">
        <f t="shared" si="1397"/>
        <v>2.2566995768688293E-2</v>
      </c>
      <c r="AI697" s="139">
        <f t="shared" si="1397"/>
        <v>1.2693935119887164E-2</v>
      </c>
    </row>
    <row r="698" spans="2:35">
      <c r="B698" s="138" t="s">
        <v>8077</v>
      </c>
      <c r="C698" s="138" t="s">
        <v>4367</v>
      </c>
      <c r="D698" s="138" t="s">
        <v>11</v>
      </c>
      <c r="E698" s="138" t="s">
        <v>261</v>
      </c>
      <c r="F698" s="138" t="s">
        <v>843</v>
      </c>
      <c r="H698" s="138">
        <v>14</v>
      </c>
      <c r="I698" s="138">
        <v>694</v>
      </c>
      <c r="K698" s="138">
        <v>141</v>
      </c>
      <c r="L698" s="138">
        <v>527</v>
      </c>
      <c r="N698" s="138">
        <v>3</v>
      </c>
      <c r="O698" s="138">
        <v>0</v>
      </c>
      <c r="S698" s="138">
        <v>17</v>
      </c>
      <c r="T698" s="138">
        <v>6</v>
      </c>
      <c r="U698" s="138">
        <f t="shared" si="1024"/>
        <v>23</v>
      </c>
      <c r="W698" s="139">
        <f t="shared" ref="W698:AA698" si="1398">J698/$I698</f>
        <v>0</v>
      </c>
      <c r="X698" s="139">
        <f t="shared" si="1398"/>
        <v>0.20317002881844382</v>
      </c>
      <c r="Y698" s="139">
        <f t="shared" si="1398"/>
        <v>0.75936599423631124</v>
      </c>
      <c r="Z698" s="139">
        <f t="shared" si="1398"/>
        <v>0</v>
      </c>
      <c r="AA698" s="139">
        <f t="shared" si="1398"/>
        <v>4.3227665706051877E-3</v>
      </c>
      <c r="AB698" s="139"/>
      <c r="AC698" s="139">
        <f t="shared" si="1026"/>
        <v>3.3141210374639768E-2</v>
      </c>
      <c r="AD698" s="139">
        <f t="shared" ref="AD698:AI698" si="1399">O698/$I698</f>
        <v>0</v>
      </c>
      <c r="AE698" s="139">
        <f t="shared" si="1399"/>
        <v>0</v>
      </c>
      <c r="AF698" s="139">
        <f t="shared" si="1399"/>
        <v>0</v>
      </c>
      <c r="AG698" s="139">
        <f t="shared" si="1399"/>
        <v>0</v>
      </c>
      <c r="AH698" s="139">
        <f t="shared" si="1399"/>
        <v>2.4495677233429394E-2</v>
      </c>
      <c r="AI698" s="139">
        <f t="shared" si="1399"/>
        <v>8.6455331412103754E-3</v>
      </c>
    </row>
    <row r="699" spans="2:35">
      <c r="B699" s="138" t="s">
        <v>8077</v>
      </c>
      <c r="C699" s="138" t="s">
        <v>4367</v>
      </c>
      <c r="D699" s="138" t="s">
        <v>11</v>
      </c>
      <c r="E699" s="138" t="s">
        <v>261</v>
      </c>
      <c r="F699" s="138" t="s">
        <v>843</v>
      </c>
      <c r="H699" s="138">
        <v>15</v>
      </c>
      <c r="I699" s="138">
        <v>975</v>
      </c>
      <c r="K699" s="138">
        <v>309</v>
      </c>
      <c r="L699" s="138">
        <v>606</v>
      </c>
      <c r="N699" s="138">
        <v>14</v>
      </c>
      <c r="O699" s="138">
        <v>0</v>
      </c>
      <c r="S699" s="138">
        <v>26</v>
      </c>
      <c r="T699" s="138">
        <v>20</v>
      </c>
      <c r="U699" s="138">
        <f t="shared" si="1024"/>
        <v>46</v>
      </c>
      <c r="W699" s="139">
        <f t="shared" ref="W699:AA699" si="1400">J699/$I699</f>
        <v>0</v>
      </c>
      <c r="X699" s="139">
        <f t="shared" si="1400"/>
        <v>0.31692307692307692</v>
      </c>
      <c r="Y699" s="139">
        <f t="shared" si="1400"/>
        <v>0.62153846153846148</v>
      </c>
      <c r="Z699" s="139">
        <f t="shared" si="1400"/>
        <v>0</v>
      </c>
      <c r="AA699" s="139">
        <f t="shared" si="1400"/>
        <v>1.4358974358974359E-2</v>
      </c>
      <c r="AB699" s="139"/>
      <c r="AC699" s="139">
        <f t="shared" si="1026"/>
        <v>4.7179487179487181E-2</v>
      </c>
      <c r="AD699" s="139">
        <f t="shared" ref="AD699:AI699" si="1401">O699/$I699</f>
        <v>0</v>
      </c>
      <c r="AE699" s="139">
        <f t="shared" si="1401"/>
        <v>0</v>
      </c>
      <c r="AF699" s="139">
        <f t="shared" si="1401"/>
        <v>0</v>
      </c>
      <c r="AG699" s="139">
        <f t="shared" si="1401"/>
        <v>0</v>
      </c>
      <c r="AH699" s="139">
        <f t="shared" si="1401"/>
        <v>2.6666666666666668E-2</v>
      </c>
      <c r="AI699" s="139">
        <f t="shared" si="1401"/>
        <v>2.0512820512820513E-2</v>
      </c>
    </row>
    <row r="700" spans="2:35">
      <c r="B700" s="138" t="s">
        <v>8077</v>
      </c>
      <c r="C700" s="138" t="s">
        <v>4367</v>
      </c>
      <c r="D700" s="138" t="s">
        <v>11</v>
      </c>
      <c r="E700" s="138" t="s">
        <v>261</v>
      </c>
      <c r="F700" s="138" t="s">
        <v>843</v>
      </c>
      <c r="H700" s="138">
        <v>16</v>
      </c>
      <c r="I700" s="138">
        <v>758</v>
      </c>
      <c r="K700" s="138">
        <v>222</v>
      </c>
      <c r="L700" s="138">
        <v>510</v>
      </c>
      <c r="N700" s="138">
        <v>8</v>
      </c>
      <c r="O700" s="138">
        <v>1</v>
      </c>
      <c r="S700" s="138">
        <v>11</v>
      </c>
      <c r="T700" s="138">
        <v>6</v>
      </c>
      <c r="U700" s="138">
        <f t="shared" si="1024"/>
        <v>18</v>
      </c>
      <c r="W700" s="139">
        <f t="shared" ref="W700:AA700" si="1402">J700/$I700</f>
        <v>0</v>
      </c>
      <c r="X700" s="139">
        <f t="shared" si="1402"/>
        <v>0.29287598944591031</v>
      </c>
      <c r="Y700" s="139">
        <f t="shared" si="1402"/>
        <v>0.67282321899736153</v>
      </c>
      <c r="Z700" s="139">
        <f t="shared" si="1402"/>
        <v>0</v>
      </c>
      <c r="AA700" s="139">
        <f t="shared" si="1402"/>
        <v>1.0554089709762533E-2</v>
      </c>
      <c r="AB700" s="139"/>
      <c r="AC700" s="139">
        <f t="shared" si="1026"/>
        <v>2.3746701846965697E-2</v>
      </c>
      <c r="AD700" s="139">
        <f t="shared" ref="AD700:AI700" si="1403">O700/$I700</f>
        <v>1.3192612137203166E-3</v>
      </c>
      <c r="AE700" s="139">
        <f t="shared" si="1403"/>
        <v>0</v>
      </c>
      <c r="AF700" s="139">
        <f t="shared" si="1403"/>
        <v>0</v>
      </c>
      <c r="AG700" s="139">
        <f t="shared" si="1403"/>
        <v>0</v>
      </c>
      <c r="AH700" s="139">
        <f t="shared" si="1403"/>
        <v>1.4511873350923483E-2</v>
      </c>
      <c r="AI700" s="139">
        <f t="shared" si="1403"/>
        <v>7.9155672823219003E-3</v>
      </c>
    </row>
    <row r="701" spans="2:35">
      <c r="B701" s="138" t="s">
        <v>8077</v>
      </c>
      <c r="C701" s="138" t="s">
        <v>4367</v>
      </c>
      <c r="D701" s="138" t="s">
        <v>11</v>
      </c>
      <c r="E701" s="138" t="s">
        <v>261</v>
      </c>
      <c r="F701" s="138" t="s">
        <v>843</v>
      </c>
      <c r="H701" s="138">
        <v>17</v>
      </c>
      <c r="I701" s="138">
        <v>830</v>
      </c>
      <c r="K701" s="138">
        <v>197</v>
      </c>
      <c r="L701" s="138">
        <v>605</v>
      </c>
      <c r="N701" s="138">
        <v>3</v>
      </c>
      <c r="O701" s="138">
        <v>0</v>
      </c>
      <c r="S701" s="138">
        <v>15</v>
      </c>
      <c r="T701" s="138">
        <v>10</v>
      </c>
      <c r="U701" s="138">
        <f t="shared" si="1024"/>
        <v>25</v>
      </c>
      <c r="W701" s="139">
        <f t="shared" ref="W701:AA701" si="1404">J701/$I701</f>
        <v>0</v>
      </c>
      <c r="X701" s="139">
        <f t="shared" si="1404"/>
        <v>0.23734939759036144</v>
      </c>
      <c r="Y701" s="139">
        <f t="shared" si="1404"/>
        <v>0.72891566265060237</v>
      </c>
      <c r="Z701" s="139">
        <f t="shared" si="1404"/>
        <v>0</v>
      </c>
      <c r="AA701" s="139">
        <f t="shared" si="1404"/>
        <v>3.6144578313253013E-3</v>
      </c>
      <c r="AB701" s="139"/>
      <c r="AC701" s="139">
        <f t="shared" si="1026"/>
        <v>3.0120481927710843E-2</v>
      </c>
      <c r="AD701" s="139">
        <f t="shared" ref="AD701:AI701" si="1405">O701/$I701</f>
        <v>0</v>
      </c>
      <c r="AE701" s="139">
        <f t="shared" si="1405"/>
        <v>0</v>
      </c>
      <c r="AF701" s="139">
        <f t="shared" si="1405"/>
        <v>0</v>
      </c>
      <c r="AG701" s="139">
        <f t="shared" si="1405"/>
        <v>0</v>
      </c>
      <c r="AH701" s="139">
        <f t="shared" si="1405"/>
        <v>1.8072289156626505E-2</v>
      </c>
      <c r="AI701" s="139">
        <f t="shared" si="1405"/>
        <v>1.2048192771084338E-2</v>
      </c>
    </row>
    <row r="702" spans="2:35">
      <c r="B702" s="138" t="s">
        <v>8077</v>
      </c>
      <c r="C702" s="138" t="s">
        <v>4367</v>
      </c>
      <c r="D702" s="138" t="s">
        <v>11</v>
      </c>
      <c r="E702" s="138" t="s">
        <v>261</v>
      </c>
      <c r="F702" s="138" t="s">
        <v>843</v>
      </c>
      <c r="H702" s="138">
        <v>18</v>
      </c>
      <c r="I702" s="138">
        <v>809</v>
      </c>
      <c r="K702" s="138">
        <v>218</v>
      </c>
      <c r="L702" s="138">
        <v>567</v>
      </c>
      <c r="N702" s="138">
        <v>1</v>
      </c>
      <c r="O702" s="138">
        <v>1</v>
      </c>
      <c r="S702" s="138">
        <v>17</v>
      </c>
      <c r="T702" s="138">
        <v>5</v>
      </c>
      <c r="U702" s="138">
        <f t="shared" si="1024"/>
        <v>23</v>
      </c>
      <c r="W702" s="139">
        <f t="shared" ref="W702:AA702" si="1406">J702/$I702</f>
        <v>0</v>
      </c>
      <c r="X702" s="139">
        <f t="shared" si="1406"/>
        <v>0.26946847960444992</v>
      </c>
      <c r="Y702" s="139">
        <f t="shared" si="1406"/>
        <v>0.70086526576019781</v>
      </c>
      <c r="Z702" s="139">
        <f t="shared" si="1406"/>
        <v>0</v>
      </c>
      <c r="AA702" s="139">
        <f t="shared" si="1406"/>
        <v>1.2360939431396785E-3</v>
      </c>
      <c r="AB702" s="139"/>
      <c r="AC702" s="139">
        <f t="shared" si="1026"/>
        <v>2.843016069221261E-2</v>
      </c>
      <c r="AD702" s="139">
        <f t="shared" ref="AD702:AI702" si="1407">O702/$I702</f>
        <v>1.2360939431396785E-3</v>
      </c>
      <c r="AE702" s="139">
        <f t="shared" si="1407"/>
        <v>0</v>
      </c>
      <c r="AF702" s="139">
        <f t="shared" si="1407"/>
        <v>0</v>
      </c>
      <c r="AG702" s="139">
        <f t="shared" si="1407"/>
        <v>0</v>
      </c>
      <c r="AH702" s="139">
        <f t="shared" si="1407"/>
        <v>2.1013597033374538E-2</v>
      </c>
      <c r="AI702" s="139">
        <f t="shared" si="1407"/>
        <v>6.180469715698393E-3</v>
      </c>
    </row>
    <row r="703" spans="2:35">
      <c r="B703" s="138" t="s">
        <v>8077</v>
      </c>
      <c r="C703" s="138" t="s">
        <v>4367</v>
      </c>
      <c r="D703" s="138" t="s">
        <v>11</v>
      </c>
      <c r="E703" s="138" t="s">
        <v>261</v>
      </c>
      <c r="F703" s="138" t="s">
        <v>834</v>
      </c>
      <c r="H703" s="138">
        <v>19</v>
      </c>
      <c r="I703" s="138">
        <v>632</v>
      </c>
      <c r="K703" s="138">
        <v>254</v>
      </c>
      <c r="L703" s="138">
        <v>341</v>
      </c>
      <c r="N703" s="138">
        <v>3</v>
      </c>
      <c r="O703" s="138">
        <v>1</v>
      </c>
      <c r="S703" s="138">
        <v>22</v>
      </c>
      <c r="T703" s="138">
        <v>11</v>
      </c>
      <c r="U703" s="138">
        <f t="shared" si="1024"/>
        <v>34</v>
      </c>
      <c r="W703" s="139">
        <f t="shared" ref="W703:AA703" si="1408">J703/$I703</f>
        <v>0</v>
      </c>
      <c r="X703" s="139">
        <f t="shared" si="1408"/>
        <v>0.40189873417721517</v>
      </c>
      <c r="Y703" s="139">
        <f t="shared" si="1408"/>
        <v>0.53955696202531644</v>
      </c>
      <c r="Z703" s="139">
        <f t="shared" si="1408"/>
        <v>0</v>
      </c>
      <c r="AA703" s="139">
        <f t="shared" si="1408"/>
        <v>4.7468354430379748E-3</v>
      </c>
      <c r="AB703" s="139"/>
      <c r="AC703" s="139">
        <f t="shared" si="1026"/>
        <v>5.3797468354430382E-2</v>
      </c>
      <c r="AD703" s="139">
        <f t="shared" ref="AD703:AI703" si="1409">O703/$I703</f>
        <v>1.5822784810126582E-3</v>
      </c>
      <c r="AE703" s="139">
        <f t="shared" si="1409"/>
        <v>0</v>
      </c>
      <c r="AF703" s="139">
        <f t="shared" si="1409"/>
        <v>0</v>
      </c>
      <c r="AG703" s="139">
        <f t="shared" si="1409"/>
        <v>0</v>
      </c>
      <c r="AH703" s="139">
        <f t="shared" si="1409"/>
        <v>3.4810126582278479E-2</v>
      </c>
      <c r="AI703" s="139">
        <f t="shared" si="1409"/>
        <v>1.740506329113924E-2</v>
      </c>
    </row>
    <row r="704" spans="2:35">
      <c r="B704" s="138" t="s">
        <v>8077</v>
      </c>
      <c r="C704" s="138" t="s">
        <v>4367</v>
      </c>
      <c r="D704" s="138" t="s">
        <v>11</v>
      </c>
      <c r="E704" s="138" t="s">
        <v>261</v>
      </c>
      <c r="F704" s="138" t="s">
        <v>834</v>
      </c>
      <c r="H704" s="138">
        <v>20</v>
      </c>
      <c r="I704" s="138">
        <v>633</v>
      </c>
      <c r="K704" s="138">
        <v>413</v>
      </c>
      <c r="L704" s="138">
        <v>190</v>
      </c>
      <c r="N704" s="138">
        <v>8</v>
      </c>
      <c r="O704" s="138">
        <v>0</v>
      </c>
      <c r="S704" s="138">
        <v>10</v>
      </c>
      <c r="T704" s="138">
        <v>12</v>
      </c>
      <c r="U704" s="138">
        <f t="shared" si="1024"/>
        <v>22</v>
      </c>
      <c r="W704" s="139">
        <f t="shared" ref="W704:AA704" si="1410">J704/$I704</f>
        <v>0</v>
      </c>
      <c r="X704" s="139">
        <f t="shared" si="1410"/>
        <v>0.65244865718799372</v>
      </c>
      <c r="Y704" s="139">
        <f t="shared" si="1410"/>
        <v>0.30015797788309639</v>
      </c>
      <c r="Z704" s="139">
        <f t="shared" si="1410"/>
        <v>0</v>
      </c>
      <c r="AA704" s="139">
        <f t="shared" si="1410"/>
        <v>1.2638230647709321E-2</v>
      </c>
      <c r="AB704" s="139"/>
      <c r="AC704" s="139">
        <f t="shared" si="1026"/>
        <v>3.4755134281200632E-2</v>
      </c>
      <c r="AD704" s="139">
        <f t="shared" ref="AD704:AI704" si="1411">O704/$I704</f>
        <v>0</v>
      </c>
      <c r="AE704" s="139">
        <f t="shared" si="1411"/>
        <v>0</v>
      </c>
      <c r="AF704" s="139">
        <f t="shared" si="1411"/>
        <v>0</v>
      </c>
      <c r="AG704" s="139">
        <f t="shared" si="1411"/>
        <v>0</v>
      </c>
      <c r="AH704" s="139">
        <f t="shared" si="1411"/>
        <v>1.579778830963665E-2</v>
      </c>
      <c r="AI704" s="139">
        <f t="shared" si="1411"/>
        <v>1.8957345971563982E-2</v>
      </c>
    </row>
    <row r="705" spans="2:35">
      <c r="B705" s="138" t="s">
        <v>8077</v>
      </c>
      <c r="C705" s="138" t="s">
        <v>4367</v>
      </c>
      <c r="D705" s="138" t="s">
        <v>11</v>
      </c>
      <c r="E705" s="138" t="s">
        <v>261</v>
      </c>
      <c r="F705" s="138" t="s">
        <v>8140</v>
      </c>
      <c r="H705" s="138">
        <v>21</v>
      </c>
      <c r="I705" s="138">
        <v>968</v>
      </c>
      <c r="K705" s="138">
        <v>256</v>
      </c>
      <c r="L705" s="138">
        <v>681</v>
      </c>
      <c r="N705" s="138">
        <v>4</v>
      </c>
      <c r="O705" s="138">
        <v>1</v>
      </c>
      <c r="S705" s="138">
        <v>19</v>
      </c>
      <c r="T705" s="138">
        <v>7</v>
      </c>
      <c r="U705" s="138">
        <f t="shared" si="1024"/>
        <v>27</v>
      </c>
      <c r="W705" s="139">
        <f t="shared" ref="W705:AA705" si="1412">J705/$I705</f>
        <v>0</v>
      </c>
      <c r="X705" s="139">
        <f t="shared" si="1412"/>
        <v>0.26446280991735538</v>
      </c>
      <c r="Y705" s="139">
        <f t="shared" si="1412"/>
        <v>0.70351239669421484</v>
      </c>
      <c r="Z705" s="139">
        <f t="shared" si="1412"/>
        <v>0</v>
      </c>
      <c r="AA705" s="139">
        <f t="shared" si="1412"/>
        <v>4.1322314049586778E-3</v>
      </c>
      <c r="AB705" s="139"/>
      <c r="AC705" s="139">
        <f t="shared" si="1026"/>
        <v>2.7892561983471075E-2</v>
      </c>
      <c r="AD705" s="139">
        <f t="shared" ref="AD705:AI705" si="1413">O705/$I705</f>
        <v>1.0330578512396695E-3</v>
      </c>
      <c r="AE705" s="139">
        <f t="shared" si="1413"/>
        <v>0</v>
      </c>
      <c r="AF705" s="139">
        <f t="shared" si="1413"/>
        <v>0</v>
      </c>
      <c r="AG705" s="139">
        <f t="shared" si="1413"/>
        <v>0</v>
      </c>
      <c r="AH705" s="139">
        <f t="shared" si="1413"/>
        <v>1.962809917355372E-2</v>
      </c>
      <c r="AI705" s="139">
        <f t="shared" si="1413"/>
        <v>7.2314049586776862E-3</v>
      </c>
    </row>
    <row r="706" spans="2:35">
      <c r="B706" s="138" t="s">
        <v>8077</v>
      </c>
      <c r="C706" s="138" t="s">
        <v>4367</v>
      </c>
      <c r="D706" s="138" t="s">
        <v>11</v>
      </c>
      <c r="E706" s="138" t="s">
        <v>261</v>
      </c>
      <c r="F706" s="138" t="s">
        <v>8140</v>
      </c>
      <c r="H706" s="138">
        <v>22</v>
      </c>
      <c r="I706" s="138">
        <v>878</v>
      </c>
      <c r="K706" s="138">
        <v>287</v>
      </c>
      <c r="L706" s="138">
        <v>553</v>
      </c>
      <c r="N706" s="138">
        <v>8</v>
      </c>
      <c r="O706" s="138">
        <v>1</v>
      </c>
      <c r="S706" s="138">
        <v>23</v>
      </c>
      <c r="T706" s="138">
        <v>6</v>
      </c>
      <c r="U706" s="138">
        <f t="shared" si="1024"/>
        <v>30</v>
      </c>
      <c r="W706" s="139">
        <f t="shared" ref="W706:AA706" si="1414">J706/$I706</f>
        <v>0</v>
      </c>
      <c r="X706" s="139">
        <f t="shared" si="1414"/>
        <v>0.32687927107061504</v>
      </c>
      <c r="Y706" s="139">
        <f t="shared" si="1414"/>
        <v>0.62984054669703871</v>
      </c>
      <c r="Z706" s="139">
        <f t="shared" si="1414"/>
        <v>0</v>
      </c>
      <c r="AA706" s="139">
        <f t="shared" si="1414"/>
        <v>9.1116173120728925E-3</v>
      </c>
      <c r="AB706" s="139"/>
      <c r="AC706" s="139">
        <f t="shared" si="1026"/>
        <v>3.4168564920273349E-2</v>
      </c>
      <c r="AD706" s="139">
        <f t="shared" ref="AD706:AI706" si="1415">O706/$I706</f>
        <v>1.1389521640091116E-3</v>
      </c>
      <c r="AE706" s="139">
        <f t="shared" si="1415"/>
        <v>0</v>
      </c>
      <c r="AF706" s="139">
        <f t="shared" si="1415"/>
        <v>0</v>
      </c>
      <c r="AG706" s="139">
        <f t="shared" si="1415"/>
        <v>0</v>
      </c>
      <c r="AH706" s="139">
        <f t="shared" si="1415"/>
        <v>2.6195899772209569E-2</v>
      </c>
      <c r="AI706" s="139">
        <f t="shared" si="1415"/>
        <v>6.8337129840546698E-3</v>
      </c>
    </row>
    <row r="707" spans="2:35">
      <c r="B707" s="138" t="s">
        <v>8077</v>
      </c>
      <c r="C707" s="138" t="s">
        <v>4367</v>
      </c>
      <c r="D707" s="138" t="s">
        <v>11</v>
      </c>
      <c r="E707" s="138" t="s">
        <v>261</v>
      </c>
      <c r="F707" s="138" t="s">
        <v>8140</v>
      </c>
      <c r="H707" s="138">
        <v>23</v>
      </c>
      <c r="I707" s="138">
        <v>599</v>
      </c>
      <c r="K707" s="138">
        <v>120</v>
      </c>
      <c r="L707" s="138">
        <v>445</v>
      </c>
      <c r="N707" s="138">
        <v>2</v>
      </c>
      <c r="O707" s="138">
        <v>0</v>
      </c>
      <c r="S707" s="138">
        <v>25</v>
      </c>
      <c r="T707" s="138">
        <v>7</v>
      </c>
      <c r="U707" s="138">
        <f t="shared" si="1024"/>
        <v>32</v>
      </c>
      <c r="W707" s="139">
        <f t="shared" ref="W707:AA707" si="1416">J707/$I707</f>
        <v>0</v>
      </c>
      <c r="X707" s="139">
        <f t="shared" si="1416"/>
        <v>0.20033388981636061</v>
      </c>
      <c r="Y707" s="139">
        <f t="shared" si="1416"/>
        <v>0.74290484140233726</v>
      </c>
      <c r="Z707" s="139">
        <f t="shared" si="1416"/>
        <v>0</v>
      </c>
      <c r="AA707" s="139">
        <f t="shared" si="1416"/>
        <v>3.3388981636060101E-3</v>
      </c>
      <c r="AB707" s="139"/>
      <c r="AC707" s="139">
        <f t="shared" si="1026"/>
        <v>5.3422370617696162E-2</v>
      </c>
      <c r="AD707" s="139">
        <f t="shared" ref="AD707:AI707" si="1417">O707/$I707</f>
        <v>0</v>
      </c>
      <c r="AE707" s="139">
        <f t="shared" si="1417"/>
        <v>0</v>
      </c>
      <c r="AF707" s="139">
        <f t="shared" si="1417"/>
        <v>0</v>
      </c>
      <c r="AG707" s="139">
        <f t="shared" si="1417"/>
        <v>0</v>
      </c>
      <c r="AH707" s="139">
        <f t="shared" si="1417"/>
        <v>4.1736227045075125E-2</v>
      </c>
      <c r="AI707" s="139">
        <f t="shared" si="1417"/>
        <v>1.1686143572621035E-2</v>
      </c>
    </row>
    <row r="708" spans="2:35">
      <c r="B708" s="138" t="s">
        <v>8077</v>
      </c>
      <c r="C708" s="138" t="s">
        <v>4367</v>
      </c>
      <c r="D708" s="138" t="s">
        <v>11</v>
      </c>
      <c r="E708" s="138" t="s">
        <v>261</v>
      </c>
      <c r="F708" s="138" t="s">
        <v>8140</v>
      </c>
      <c r="H708" s="138">
        <v>24</v>
      </c>
      <c r="I708" s="138">
        <v>901</v>
      </c>
      <c r="K708" s="138">
        <v>276</v>
      </c>
      <c r="L708" s="138">
        <v>585</v>
      </c>
      <c r="N708" s="138">
        <v>5</v>
      </c>
      <c r="O708" s="138">
        <v>1</v>
      </c>
      <c r="S708" s="138">
        <v>19</v>
      </c>
      <c r="T708" s="138">
        <v>15</v>
      </c>
      <c r="U708" s="138">
        <f t="shared" si="1024"/>
        <v>35</v>
      </c>
      <c r="W708" s="139">
        <f t="shared" ref="W708:AA708" si="1418">J708/$I708</f>
        <v>0</v>
      </c>
      <c r="X708" s="139">
        <f t="shared" si="1418"/>
        <v>0.30632630410654826</v>
      </c>
      <c r="Y708" s="139">
        <f t="shared" si="1418"/>
        <v>0.64927857935627076</v>
      </c>
      <c r="Z708" s="139">
        <f t="shared" si="1418"/>
        <v>0</v>
      </c>
      <c r="AA708" s="139">
        <f t="shared" si="1418"/>
        <v>5.5493895671476137E-3</v>
      </c>
      <c r="AB708" s="139"/>
      <c r="AC708" s="139">
        <f t="shared" si="1026"/>
        <v>3.8845726970033294E-2</v>
      </c>
      <c r="AD708" s="139">
        <f t="shared" ref="AD708:AI708" si="1419">O708/$I708</f>
        <v>1.1098779134295228E-3</v>
      </c>
      <c r="AE708" s="139">
        <f t="shared" si="1419"/>
        <v>0</v>
      </c>
      <c r="AF708" s="139">
        <f t="shared" si="1419"/>
        <v>0</v>
      </c>
      <c r="AG708" s="139">
        <f t="shared" si="1419"/>
        <v>0</v>
      </c>
      <c r="AH708" s="139">
        <f t="shared" si="1419"/>
        <v>2.1087680355160933E-2</v>
      </c>
      <c r="AI708" s="139">
        <f t="shared" si="1419"/>
        <v>1.6648168701442843E-2</v>
      </c>
    </row>
    <row r="709" spans="2:35">
      <c r="B709" s="138" t="s">
        <v>8077</v>
      </c>
      <c r="C709" s="138" t="s">
        <v>4367</v>
      </c>
      <c r="D709" s="138" t="s">
        <v>11</v>
      </c>
      <c r="E709" s="138" t="s">
        <v>261</v>
      </c>
      <c r="F709" s="138" t="s">
        <v>8141</v>
      </c>
      <c r="H709" s="138">
        <v>25</v>
      </c>
      <c r="I709" s="138">
        <v>894</v>
      </c>
      <c r="K709" s="138">
        <v>233</v>
      </c>
      <c r="L709" s="138">
        <v>596</v>
      </c>
      <c r="N709" s="138">
        <v>8</v>
      </c>
      <c r="O709" s="138">
        <v>2</v>
      </c>
      <c r="S709" s="138">
        <v>35</v>
      </c>
      <c r="T709" s="138">
        <v>20</v>
      </c>
      <c r="U709" s="138">
        <f t="shared" si="1024"/>
        <v>57</v>
      </c>
      <c r="W709" s="139">
        <f t="shared" ref="W709:AA709" si="1420">J709/$I709</f>
        <v>0</v>
      </c>
      <c r="X709" s="139">
        <f t="shared" si="1420"/>
        <v>0.26062639821029082</v>
      </c>
      <c r="Y709" s="139">
        <f t="shared" si="1420"/>
        <v>0.66666666666666663</v>
      </c>
      <c r="Z709" s="139">
        <f t="shared" si="1420"/>
        <v>0</v>
      </c>
      <c r="AA709" s="139">
        <f t="shared" si="1420"/>
        <v>8.948545861297539E-3</v>
      </c>
      <c r="AB709" s="139"/>
      <c r="AC709" s="139">
        <f t="shared" si="1026"/>
        <v>6.3758389261744972E-2</v>
      </c>
      <c r="AD709" s="139">
        <f t="shared" ref="AD709:AI709" si="1421">O709/$I709</f>
        <v>2.2371364653243847E-3</v>
      </c>
      <c r="AE709" s="139">
        <f t="shared" si="1421"/>
        <v>0</v>
      </c>
      <c r="AF709" s="139">
        <f t="shared" si="1421"/>
        <v>0</v>
      </c>
      <c r="AG709" s="139">
        <f t="shared" si="1421"/>
        <v>0</v>
      </c>
      <c r="AH709" s="139">
        <f t="shared" si="1421"/>
        <v>3.9149888143176735E-2</v>
      </c>
      <c r="AI709" s="139">
        <f t="shared" si="1421"/>
        <v>2.2371364653243849E-2</v>
      </c>
    </row>
    <row r="710" spans="2:35">
      <c r="B710" s="138" t="s">
        <v>8077</v>
      </c>
      <c r="C710" s="138" t="s">
        <v>4367</v>
      </c>
      <c r="D710" s="138" t="s">
        <v>11</v>
      </c>
      <c r="E710" s="138" t="s">
        <v>261</v>
      </c>
      <c r="F710" s="138" t="s">
        <v>8141</v>
      </c>
      <c r="H710" s="138">
        <v>26</v>
      </c>
      <c r="I710" s="138">
        <v>949</v>
      </c>
      <c r="K710" s="138">
        <v>220</v>
      </c>
      <c r="L710" s="138">
        <v>685</v>
      </c>
      <c r="N710" s="138">
        <v>6</v>
      </c>
      <c r="O710" s="138">
        <v>0</v>
      </c>
      <c r="S710" s="138">
        <v>30</v>
      </c>
      <c r="T710" s="138">
        <v>8</v>
      </c>
      <c r="U710" s="138">
        <f t="shared" si="1024"/>
        <v>38</v>
      </c>
      <c r="W710" s="139">
        <f t="shared" ref="W710:AA710" si="1422">J710/$I710</f>
        <v>0</v>
      </c>
      <c r="X710" s="139">
        <f t="shared" si="1422"/>
        <v>0.23182297154899895</v>
      </c>
      <c r="Y710" s="139">
        <f t="shared" si="1422"/>
        <v>0.72181243414120122</v>
      </c>
      <c r="Z710" s="139">
        <f t="shared" si="1422"/>
        <v>0</v>
      </c>
      <c r="AA710" s="139">
        <f t="shared" si="1422"/>
        <v>6.3224446786090622E-3</v>
      </c>
      <c r="AB710" s="139"/>
      <c r="AC710" s="139">
        <f t="shared" si="1026"/>
        <v>4.0042149631190724E-2</v>
      </c>
      <c r="AD710" s="139">
        <f t="shared" ref="AD710:AI710" si="1423">O710/$I710</f>
        <v>0</v>
      </c>
      <c r="AE710" s="139">
        <f t="shared" si="1423"/>
        <v>0</v>
      </c>
      <c r="AF710" s="139">
        <f t="shared" si="1423"/>
        <v>0</v>
      </c>
      <c r="AG710" s="139">
        <f t="shared" si="1423"/>
        <v>0</v>
      </c>
      <c r="AH710" s="139">
        <f t="shared" si="1423"/>
        <v>3.1612223393045313E-2</v>
      </c>
      <c r="AI710" s="139">
        <f t="shared" si="1423"/>
        <v>8.4299262381454156E-3</v>
      </c>
    </row>
    <row r="711" spans="2:35">
      <c r="B711" s="138" t="s">
        <v>8077</v>
      </c>
      <c r="C711" s="138" t="s">
        <v>4367</v>
      </c>
      <c r="D711" s="138" t="s">
        <v>11</v>
      </c>
      <c r="E711" s="138" t="s">
        <v>261</v>
      </c>
      <c r="F711" s="138" t="s">
        <v>8141</v>
      </c>
      <c r="H711" s="138">
        <v>27</v>
      </c>
      <c r="I711" s="138">
        <v>850</v>
      </c>
      <c r="K711" s="138">
        <v>161</v>
      </c>
      <c r="L711" s="138">
        <v>652</v>
      </c>
      <c r="N711" s="138">
        <v>1</v>
      </c>
      <c r="O711" s="138">
        <v>0</v>
      </c>
      <c r="S711" s="138">
        <v>23</v>
      </c>
      <c r="T711" s="138">
        <v>13</v>
      </c>
      <c r="U711" s="138">
        <f t="shared" si="1024"/>
        <v>36</v>
      </c>
      <c r="W711" s="139">
        <f t="shared" ref="W711:AA711" si="1424">J711/$I711</f>
        <v>0</v>
      </c>
      <c r="X711" s="139">
        <f t="shared" si="1424"/>
        <v>0.18941176470588236</v>
      </c>
      <c r="Y711" s="139">
        <f t="shared" si="1424"/>
        <v>0.76705882352941179</v>
      </c>
      <c r="Z711" s="139">
        <f t="shared" si="1424"/>
        <v>0</v>
      </c>
      <c r="AA711" s="139">
        <f t="shared" si="1424"/>
        <v>1.176470588235294E-3</v>
      </c>
      <c r="AB711" s="139"/>
      <c r="AC711" s="139">
        <f t="shared" si="1026"/>
        <v>4.2352941176470586E-2</v>
      </c>
      <c r="AD711" s="139">
        <f t="shared" ref="AD711:AI711" si="1425">O711/$I711</f>
        <v>0</v>
      </c>
      <c r="AE711" s="139">
        <f t="shared" si="1425"/>
        <v>0</v>
      </c>
      <c r="AF711" s="139">
        <f t="shared" si="1425"/>
        <v>0</v>
      </c>
      <c r="AG711" s="139">
        <f t="shared" si="1425"/>
        <v>0</v>
      </c>
      <c r="AH711" s="139">
        <f t="shared" si="1425"/>
        <v>2.7058823529411764E-2</v>
      </c>
      <c r="AI711" s="139">
        <f t="shared" si="1425"/>
        <v>1.5294117647058824E-2</v>
      </c>
    </row>
    <row r="712" spans="2:35">
      <c r="B712" s="138" t="s">
        <v>8077</v>
      </c>
      <c r="C712" s="138" t="s">
        <v>4367</v>
      </c>
      <c r="D712" s="138" t="s">
        <v>11</v>
      </c>
      <c r="E712" s="138" t="s">
        <v>261</v>
      </c>
      <c r="F712" s="138" t="s">
        <v>8141</v>
      </c>
      <c r="H712" s="138">
        <v>28</v>
      </c>
      <c r="I712" s="138">
        <v>740</v>
      </c>
      <c r="K712" s="138">
        <v>252</v>
      </c>
      <c r="L712" s="138">
        <v>423</v>
      </c>
      <c r="N712" s="138">
        <v>12</v>
      </c>
      <c r="O712" s="138">
        <v>4</v>
      </c>
      <c r="S712" s="138">
        <v>33</v>
      </c>
      <c r="T712" s="138">
        <v>16</v>
      </c>
      <c r="U712" s="138">
        <f t="shared" si="1024"/>
        <v>53</v>
      </c>
      <c r="W712" s="139">
        <f t="shared" ref="W712:AA712" si="1426">J712/$I712</f>
        <v>0</v>
      </c>
      <c r="X712" s="139">
        <f t="shared" si="1426"/>
        <v>0.34054054054054056</v>
      </c>
      <c r="Y712" s="139">
        <f t="shared" si="1426"/>
        <v>0.57162162162162167</v>
      </c>
      <c r="Z712" s="139">
        <f t="shared" si="1426"/>
        <v>0</v>
      </c>
      <c r="AA712" s="139">
        <f t="shared" si="1426"/>
        <v>1.6216216216216217E-2</v>
      </c>
      <c r="AB712" s="139"/>
      <c r="AC712" s="139">
        <f t="shared" si="1026"/>
        <v>7.1621621621621626E-2</v>
      </c>
      <c r="AD712" s="139">
        <f t="shared" ref="AD712:AI712" si="1427">O712/$I712</f>
        <v>5.4054054054054057E-3</v>
      </c>
      <c r="AE712" s="139">
        <f t="shared" si="1427"/>
        <v>0</v>
      </c>
      <c r="AF712" s="139">
        <f t="shared" si="1427"/>
        <v>0</v>
      </c>
      <c r="AG712" s="139">
        <f t="shared" si="1427"/>
        <v>0</v>
      </c>
      <c r="AH712" s="139">
        <f t="shared" si="1427"/>
        <v>4.4594594594594597E-2</v>
      </c>
      <c r="AI712" s="139">
        <f t="shared" si="1427"/>
        <v>2.1621621621621623E-2</v>
      </c>
    </row>
    <row r="713" spans="2:35">
      <c r="B713" s="138" t="s">
        <v>8077</v>
      </c>
      <c r="C713" s="138" t="s">
        <v>4367</v>
      </c>
      <c r="D713" s="138" t="s">
        <v>11</v>
      </c>
      <c r="E713" s="138" t="s">
        <v>261</v>
      </c>
      <c r="F713" s="138" t="s">
        <v>8142</v>
      </c>
      <c r="H713" s="138">
        <v>29</v>
      </c>
      <c r="I713" s="138">
        <v>772</v>
      </c>
      <c r="K713" s="138">
        <v>180</v>
      </c>
      <c r="L713" s="138">
        <v>551</v>
      </c>
      <c r="N713" s="138">
        <v>5</v>
      </c>
      <c r="O713" s="138">
        <v>0</v>
      </c>
      <c r="S713" s="138">
        <v>28</v>
      </c>
      <c r="T713" s="138">
        <v>8</v>
      </c>
      <c r="U713" s="138">
        <f t="shared" si="1024"/>
        <v>36</v>
      </c>
      <c r="W713" s="139">
        <f t="shared" ref="W713:AA713" si="1428">J713/$I713</f>
        <v>0</v>
      </c>
      <c r="X713" s="139">
        <f t="shared" si="1428"/>
        <v>0.23316062176165803</v>
      </c>
      <c r="Y713" s="139">
        <f t="shared" si="1428"/>
        <v>0.71373056994818651</v>
      </c>
      <c r="Z713" s="139">
        <f t="shared" si="1428"/>
        <v>0</v>
      </c>
      <c r="AA713" s="139">
        <f t="shared" si="1428"/>
        <v>6.4766839378238338E-3</v>
      </c>
      <c r="AB713" s="139"/>
      <c r="AC713" s="139">
        <f t="shared" si="1026"/>
        <v>4.6632124352331605E-2</v>
      </c>
      <c r="AD713" s="139">
        <f t="shared" ref="AD713:AI713" si="1429">O713/$I713</f>
        <v>0</v>
      </c>
      <c r="AE713" s="139">
        <f t="shared" si="1429"/>
        <v>0</v>
      </c>
      <c r="AF713" s="139">
        <f t="shared" si="1429"/>
        <v>0</v>
      </c>
      <c r="AG713" s="139">
        <f t="shared" si="1429"/>
        <v>0</v>
      </c>
      <c r="AH713" s="139">
        <f t="shared" si="1429"/>
        <v>3.6269430051813469E-2</v>
      </c>
      <c r="AI713" s="139">
        <f t="shared" si="1429"/>
        <v>1.0362694300518135E-2</v>
      </c>
    </row>
    <row r="714" spans="2:35">
      <c r="B714" s="138" t="s">
        <v>8077</v>
      </c>
      <c r="C714" s="138" t="s">
        <v>4367</v>
      </c>
      <c r="D714" s="138" t="s">
        <v>11</v>
      </c>
      <c r="E714" s="138" t="s">
        <v>261</v>
      </c>
      <c r="F714" s="138" t="s">
        <v>8142</v>
      </c>
      <c r="H714" s="138">
        <v>30</v>
      </c>
      <c r="I714" s="138">
        <v>916</v>
      </c>
      <c r="K714" s="138">
        <v>345</v>
      </c>
      <c r="L714" s="138">
        <v>497</v>
      </c>
      <c r="N714" s="138">
        <v>12</v>
      </c>
      <c r="O714" s="138">
        <v>0</v>
      </c>
      <c r="S714" s="138">
        <v>41</v>
      </c>
      <c r="T714" s="138">
        <v>21</v>
      </c>
      <c r="U714" s="138">
        <f t="shared" si="1024"/>
        <v>62</v>
      </c>
      <c r="W714" s="139">
        <f t="shared" ref="W714:AA714" si="1430">J714/$I714</f>
        <v>0</v>
      </c>
      <c r="X714" s="139">
        <f t="shared" si="1430"/>
        <v>0.37663755458515286</v>
      </c>
      <c r="Y714" s="139">
        <f t="shared" si="1430"/>
        <v>0.54257641921397382</v>
      </c>
      <c r="Z714" s="139">
        <f t="shared" si="1430"/>
        <v>0</v>
      </c>
      <c r="AA714" s="139">
        <f t="shared" si="1430"/>
        <v>1.3100436681222707E-2</v>
      </c>
      <c r="AB714" s="139"/>
      <c r="AC714" s="139">
        <f t="shared" si="1026"/>
        <v>6.768558951965066E-2</v>
      </c>
      <c r="AD714" s="139">
        <f t="shared" ref="AD714:AI714" si="1431">O714/$I714</f>
        <v>0</v>
      </c>
      <c r="AE714" s="139">
        <f t="shared" si="1431"/>
        <v>0</v>
      </c>
      <c r="AF714" s="139">
        <f t="shared" si="1431"/>
        <v>0</v>
      </c>
      <c r="AG714" s="139">
        <f t="shared" si="1431"/>
        <v>0</v>
      </c>
      <c r="AH714" s="139">
        <f t="shared" si="1431"/>
        <v>4.4759825327510917E-2</v>
      </c>
      <c r="AI714" s="139">
        <f t="shared" si="1431"/>
        <v>2.2925764192139739E-2</v>
      </c>
    </row>
    <row r="715" spans="2:35">
      <c r="B715" s="138" t="s">
        <v>8077</v>
      </c>
      <c r="C715" s="138" t="s">
        <v>4367</v>
      </c>
      <c r="D715" s="138" t="s">
        <v>11</v>
      </c>
      <c r="E715" s="138" t="s">
        <v>261</v>
      </c>
      <c r="F715" s="138" t="s">
        <v>8142</v>
      </c>
      <c r="H715" s="138">
        <v>31</v>
      </c>
      <c r="I715" s="138">
        <v>1087</v>
      </c>
      <c r="K715" s="138">
        <v>424</v>
      </c>
      <c r="L715" s="138">
        <v>596</v>
      </c>
      <c r="N715" s="138">
        <v>9</v>
      </c>
      <c r="O715" s="138">
        <v>4</v>
      </c>
      <c r="S715" s="138">
        <v>34</v>
      </c>
      <c r="T715" s="138">
        <v>20</v>
      </c>
      <c r="U715" s="138">
        <f t="shared" si="1024"/>
        <v>58</v>
      </c>
      <c r="W715" s="139">
        <f t="shared" ref="W715:AA715" si="1432">J715/$I715</f>
        <v>0</v>
      </c>
      <c r="X715" s="139">
        <f t="shared" si="1432"/>
        <v>0.39006439742410304</v>
      </c>
      <c r="Y715" s="139">
        <f t="shared" si="1432"/>
        <v>0.54829806807727688</v>
      </c>
      <c r="Z715" s="139">
        <f t="shared" si="1432"/>
        <v>0</v>
      </c>
      <c r="AA715" s="139">
        <f t="shared" si="1432"/>
        <v>8.2796688132474698E-3</v>
      </c>
      <c r="AB715" s="139"/>
      <c r="AC715" s="139">
        <f t="shared" si="1026"/>
        <v>5.3357865685372582E-2</v>
      </c>
      <c r="AD715" s="139">
        <f t="shared" ref="AD715:AI715" si="1433">O715/$I715</f>
        <v>3.6798528058877645E-3</v>
      </c>
      <c r="AE715" s="139">
        <f t="shared" si="1433"/>
        <v>0</v>
      </c>
      <c r="AF715" s="139">
        <f t="shared" si="1433"/>
        <v>0</v>
      </c>
      <c r="AG715" s="139">
        <f t="shared" si="1433"/>
        <v>0</v>
      </c>
      <c r="AH715" s="139">
        <f t="shared" si="1433"/>
        <v>3.1278748850046001E-2</v>
      </c>
      <c r="AI715" s="139">
        <f t="shared" si="1433"/>
        <v>1.8399264029438821E-2</v>
      </c>
    </row>
    <row r="716" spans="2:35">
      <c r="B716" s="138" t="s">
        <v>8077</v>
      </c>
      <c r="C716" s="138" t="s">
        <v>4367</v>
      </c>
      <c r="D716" s="138" t="s">
        <v>11</v>
      </c>
      <c r="E716" s="138" t="s">
        <v>261</v>
      </c>
      <c r="F716" s="138" t="s">
        <v>8142</v>
      </c>
      <c r="H716" s="138">
        <v>32</v>
      </c>
      <c r="I716" s="138">
        <v>635</v>
      </c>
      <c r="K716" s="138">
        <v>157</v>
      </c>
      <c r="L716" s="138">
        <v>446</v>
      </c>
      <c r="N716" s="138">
        <v>7</v>
      </c>
      <c r="O716" s="138">
        <v>2</v>
      </c>
      <c r="S716" s="138">
        <v>19</v>
      </c>
      <c r="T716" s="138">
        <v>4</v>
      </c>
      <c r="U716" s="138">
        <f t="shared" si="1024"/>
        <v>25</v>
      </c>
      <c r="W716" s="139">
        <f t="shared" ref="W716:AA716" si="1434">J716/$I716</f>
        <v>0</v>
      </c>
      <c r="X716" s="139">
        <f t="shared" si="1434"/>
        <v>0.24724409448818899</v>
      </c>
      <c r="Y716" s="139">
        <f t="shared" si="1434"/>
        <v>0.70236220472440947</v>
      </c>
      <c r="Z716" s="139">
        <f t="shared" si="1434"/>
        <v>0</v>
      </c>
      <c r="AA716" s="139">
        <f t="shared" si="1434"/>
        <v>1.1023622047244094E-2</v>
      </c>
      <c r="AB716" s="139"/>
      <c r="AC716" s="139">
        <f t="shared" si="1026"/>
        <v>3.937007874015748E-2</v>
      </c>
      <c r="AD716" s="139">
        <f t="shared" ref="AD716:AI716" si="1435">O716/$I716</f>
        <v>3.1496062992125984E-3</v>
      </c>
      <c r="AE716" s="139">
        <f t="shared" si="1435"/>
        <v>0</v>
      </c>
      <c r="AF716" s="139">
        <f t="shared" si="1435"/>
        <v>0</v>
      </c>
      <c r="AG716" s="139">
        <f t="shared" si="1435"/>
        <v>0</v>
      </c>
      <c r="AH716" s="139">
        <f t="shared" si="1435"/>
        <v>2.9921259842519685E-2</v>
      </c>
      <c r="AI716" s="139">
        <f t="shared" si="1435"/>
        <v>6.2992125984251968E-3</v>
      </c>
    </row>
    <row r="717" spans="2:35">
      <c r="B717" s="138" t="s">
        <v>8077</v>
      </c>
      <c r="C717" s="138" t="s">
        <v>4367</v>
      </c>
      <c r="D717" s="138" t="s">
        <v>11</v>
      </c>
      <c r="E717" s="138" t="s">
        <v>261</v>
      </c>
      <c r="F717" s="138" t="s">
        <v>8142</v>
      </c>
      <c r="H717" s="138">
        <v>33</v>
      </c>
      <c r="I717" s="138">
        <v>561</v>
      </c>
      <c r="K717" s="138">
        <v>132</v>
      </c>
      <c r="L717" s="138">
        <v>402</v>
      </c>
      <c r="N717" s="138">
        <v>5</v>
      </c>
      <c r="O717" s="138">
        <v>3</v>
      </c>
      <c r="S717" s="138">
        <v>15</v>
      </c>
      <c r="T717" s="138">
        <v>4</v>
      </c>
      <c r="U717" s="138">
        <f t="shared" si="1024"/>
        <v>22</v>
      </c>
      <c r="W717" s="139">
        <f t="shared" ref="W717:AA717" si="1436">J717/$I717</f>
        <v>0</v>
      </c>
      <c r="X717" s="139">
        <f t="shared" si="1436"/>
        <v>0.23529411764705882</v>
      </c>
      <c r="Y717" s="139">
        <f t="shared" si="1436"/>
        <v>0.71657754010695185</v>
      </c>
      <c r="Z717" s="139">
        <f t="shared" si="1436"/>
        <v>0</v>
      </c>
      <c r="AA717" s="139">
        <f t="shared" si="1436"/>
        <v>8.9126559714795012E-3</v>
      </c>
      <c r="AB717" s="139"/>
      <c r="AC717" s="139">
        <f t="shared" si="1026"/>
        <v>3.9215686274509803E-2</v>
      </c>
      <c r="AD717" s="139">
        <f t="shared" ref="AD717:AI717" si="1437">O717/$I717</f>
        <v>5.3475935828877002E-3</v>
      </c>
      <c r="AE717" s="139">
        <f t="shared" si="1437"/>
        <v>0</v>
      </c>
      <c r="AF717" s="139">
        <f t="shared" si="1437"/>
        <v>0</v>
      </c>
      <c r="AG717" s="139">
        <f t="shared" si="1437"/>
        <v>0</v>
      </c>
      <c r="AH717" s="139">
        <f t="shared" si="1437"/>
        <v>2.6737967914438502E-2</v>
      </c>
      <c r="AI717" s="139">
        <f t="shared" si="1437"/>
        <v>7.1301247771836003E-3</v>
      </c>
    </row>
    <row r="718" spans="2:35">
      <c r="B718" s="138" t="s">
        <v>8077</v>
      </c>
      <c r="C718" s="138" t="s">
        <v>4367</v>
      </c>
      <c r="D718" s="138" t="s">
        <v>11</v>
      </c>
      <c r="E718" s="138" t="s">
        <v>261</v>
      </c>
      <c r="F718" s="138" t="s">
        <v>8142</v>
      </c>
      <c r="H718" s="138">
        <v>34</v>
      </c>
      <c r="I718" s="138">
        <v>623</v>
      </c>
      <c r="K718" s="138">
        <v>199</v>
      </c>
      <c r="L718" s="138">
        <v>372</v>
      </c>
      <c r="N718" s="138">
        <v>9</v>
      </c>
      <c r="O718" s="138">
        <v>3</v>
      </c>
      <c r="S718" s="138">
        <v>33</v>
      </c>
      <c r="T718" s="138">
        <v>7</v>
      </c>
      <c r="U718" s="138">
        <f t="shared" si="1024"/>
        <v>43</v>
      </c>
      <c r="W718" s="139">
        <f t="shared" ref="W718:AA718" si="1438">J718/$I718</f>
        <v>0</v>
      </c>
      <c r="X718" s="139">
        <f t="shared" si="1438"/>
        <v>0.31942215088282505</v>
      </c>
      <c r="Y718" s="139">
        <f t="shared" si="1438"/>
        <v>0.5971107544141252</v>
      </c>
      <c r="Z718" s="139">
        <f t="shared" si="1438"/>
        <v>0</v>
      </c>
      <c r="AA718" s="139">
        <f t="shared" si="1438"/>
        <v>1.4446227929373997E-2</v>
      </c>
      <c r="AB718" s="139"/>
      <c r="AC718" s="139">
        <f t="shared" si="1026"/>
        <v>6.9020866773675763E-2</v>
      </c>
      <c r="AD718" s="139">
        <f t="shared" ref="AD718:AI718" si="1439">O718/$I718</f>
        <v>4.815409309791332E-3</v>
      </c>
      <c r="AE718" s="139">
        <f t="shared" si="1439"/>
        <v>0</v>
      </c>
      <c r="AF718" s="139">
        <f t="shared" si="1439"/>
        <v>0</v>
      </c>
      <c r="AG718" s="139">
        <f t="shared" si="1439"/>
        <v>0</v>
      </c>
      <c r="AH718" s="139">
        <f t="shared" si="1439"/>
        <v>5.2969502407704656E-2</v>
      </c>
      <c r="AI718" s="139">
        <f t="shared" si="1439"/>
        <v>1.1235955056179775E-2</v>
      </c>
    </row>
    <row r="719" spans="2:35">
      <c r="B719" s="138" t="s">
        <v>8077</v>
      </c>
      <c r="C719" s="138" t="s">
        <v>4367</v>
      </c>
      <c r="D719" s="138" t="s">
        <v>11</v>
      </c>
      <c r="E719" s="138" t="s">
        <v>261</v>
      </c>
      <c r="F719" s="138" t="s">
        <v>8142</v>
      </c>
      <c r="H719" s="138">
        <v>35</v>
      </c>
      <c r="I719" s="138">
        <v>418</v>
      </c>
      <c r="K719" s="138">
        <v>134</v>
      </c>
      <c r="L719" s="138">
        <v>269</v>
      </c>
      <c r="N719" s="138">
        <v>3</v>
      </c>
      <c r="O719" s="138">
        <v>0</v>
      </c>
      <c r="S719" s="138">
        <v>10</v>
      </c>
      <c r="T719" s="138">
        <v>2</v>
      </c>
      <c r="U719" s="138">
        <f t="shared" si="1024"/>
        <v>12</v>
      </c>
      <c r="W719" s="139">
        <f t="shared" ref="W719:AA719" si="1440">J719/$I719</f>
        <v>0</v>
      </c>
      <c r="X719" s="139">
        <f t="shared" si="1440"/>
        <v>0.32057416267942584</v>
      </c>
      <c r="Y719" s="139">
        <f t="shared" si="1440"/>
        <v>0.6435406698564593</v>
      </c>
      <c r="Z719" s="139">
        <f t="shared" si="1440"/>
        <v>0</v>
      </c>
      <c r="AA719" s="139">
        <f t="shared" si="1440"/>
        <v>7.1770334928229667E-3</v>
      </c>
      <c r="AB719" s="139"/>
      <c r="AC719" s="139">
        <f t="shared" si="1026"/>
        <v>2.8708133971291867E-2</v>
      </c>
      <c r="AD719" s="139">
        <f t="shared" ref="AD719:AI719" si="1441">O719/$I719</f>
        <v>0</v>
      </c>
      <c r="AE719" s="139">
        <f t="shared" si="1441"/>
        <v>0</v>
      </c>
      <c r="AF719" s="139">
        <f t="shared" si="1441"/>
        <v>0</v>
      </c>
      <c r="AG719" s="139">
        <f t="shared" si="1441"/>
        <v>0</v>
      </c>
      <c r="AH719" s="139">
        <f t="shared" si="1441"/>
        <v>2.3923444976076555E-2</v>
      </c>
      <c r="AI719" s="139">
        <f t="shared" si="1441"/>
        <v>4.7846889952153108E-3</v>
      </c>
    </row>
    <row r="720" spans="2:35">
      <c r="B720" s="138" t="s">
        <v>8077</v>
      </c>
      <c r="C720" s="138" t="s">
        <v>4367</v>
      </c>
      <c r="D720" s="138" t="s">
        <v>11</v>
      </c>
      <c r="E720" s="138" t="s">
        <v>261</v>
      </c>
      <c r="F720" s="138" t="s">
        <v>8142</v>
      </c>
      <c r="H720" s="138">
        <v>36</v>
      </c>
      <c r="I720" s="138">
        <v>729</v>
      </c>
      <c r="K720" s="138">
        <v>194</v>
      </c>
      <c r="L720" s="138">
        <v>506</v>
      </c>
      <c r="N720" s="138">
        <v>10</v>
      </c>
      <c r="O720" s="138">
        <v>1</v>
      </c>
      <c r="S720" s="138">
        <v>12</v>
      </c>
      <c r="T720" s="138">
        <v>6</v>
      </c>
      <c r="U720" s="138">
        <f t="shared" si="1024"/>
        <v>19</v>
      </c>
      <c r="W720" s="139">
        <f t="shared" ref="W720:AA720" si="1442">J720/$I720</f>
        <v>0</v>
      </c>
      <c r="X720" s="139">
        <f t="shared" si="1442"/>
        <v>0.26611796982167352</v>
      </c>
      <c r="Y720" s="139">
        <f t="shared" si="1442"/>
        <v>0.69410150891632372</v>
      </c>
      <c r="Z720" s="139">
        <f t="shared" si="1442"/>
        <v>0</v>
      </c>
      <c r="AA720" s="139">
        <f t="shared" si="1442"/>
        <v>1.3717421124828532E-2</v>
      </c>
      <c r="AB720" s="139"/>
      <c r="AC720" s="139">
        <f t="shared" si="1026"/>
        <v>2.6063100137174212E-2</v>
      </c>
      <c r="AD720" s="139">
        <f t="shared" ref="AD720:AI720" si="1443">O720/$I720</f>
        <v>1.3717421124828531E-3</v>
      </c>
      <c r="AE720" s="139">
        <f t="shared" si="1443"/>
        <v>0</v>
      </c>
      <c r="AF720" s="139">
        <f t="shared" si="1443"/>
        <v>0</v>
      </c>
      <c r="AG720" s="139">
        <f t="shared" si="1443"/>
        <v>0</v>
      </c>
      <c r="AH720" s="139">
        <f t="shared" si="1443"/>
        <v>1.646090534979424E-2</v>
      </c>
      <c r="AI720" s="139">
        <f t="shared" si="1443"/>
        <v>8.23045267489712E-3</v>
      </c>
    </row>
    <row r="721" spans="2:35">
      <c r="B721" s="138" t="s">
        <v>8077</v>
      </c>
      <c r="C721" s="138" t="s">
        <v>4367</v>
      </c>
      <c r="D721" s="138" t="s">
        <v>11</v>
      </c>
      <c r="E721" s="138" t="s">
        <v>261</v>
      </c>
      <c r="F721" s="138" t="s">
        <v>8142</v>
      </c>
      <c r="H721" s="138">
        <v>37</v>
      </c>
      <c r="I721" s="138">
        <v>506</v>
      </c>
      <c r="K721" s="138">
        <v>129</v>
      </c>
      <c r="L721" s="138">
        <v>351</v>
      </c>
      <c r="N721" s="138">
        <v>8</v>
      </c>
      <c r="O721" s="138">
        <v>0</v>
      </c>
      <c r="S721" s="138">
        <v>14</v>
      </c>
      <c r="T721" s="138">
        <v>4</v>
      </c>
      <c r="U721" s="138">
        <f t="shared" si="1024"/>
        <v>18</v>
      </c>
      <c r="W721" s="139">
        <f t="shared" ref="W721:AA721" si="1444">J721/$I721</f>
        <v>0</v>
      </c>
      <c r="X721" s="139">
        <f t="shared" si="1444"/>
        <v>0.25494071146245062</v>
      </c>
      <c r="Y721" s="139">
        <f t="shared" si="1444"/>
        <v>0.69367588932806323</v>
      </c>
      <c r="Z721" s="139">
        <f t="shared" si="1444"/>
        <v>0</v>
      </c>
      <c r="AA721" s="139">
        <f t="shared" si="1444"/>
        <v>1.5810276679841896E-2</v>
      </c>
      <c r="AB721" s="139"/>
      <c r="AC721" s="139">
        <f t="shared" si="1026"/>
        <v>3.5573122529644272E-2</v>
      </c>
      <c r="AD721" s="139">
        <f t="shared" ref="AD721:AI721" si="1445">O721/$I721</f>
        <v>0</v>
      </c>
      <c r="AE721" s="139">
        <f t="shared" si="1445"/>
        <v>0</v>
      </c>
      <c r="AF721" s="139">
        <f t="shared" si="1445"/>
        <v>0</v>
      </c>
      <c r="AG721" s="139">
        <f t="shared" si="1445"/>
        <v>0</v>
      </c>
      <c r="AH721" s="139">
        <f t="shared" si="1445"/>
        <v>2.766798418972332E-2</v>
      </c>
      <c r="AI721" s="139">
        <f t="shared" si="1445"/>
        <v>7.9051383399209481E-3</v>
      </c>
    </row>
    <row r="722" spans="2:35">
      <c r="B722" s="138" t="s">
        <v>8077</v>
      </c>
      <c r="C722" s="138" t="s">
        <v>4367</v>
      </c>
      <c r="D722" s="138" t="s">
        <v>11</v>
      </c>
      <c r="E722" s="138" t="s">
        <v>261</v>
      </c>
      <c r="F722" s="138" t="s">
        <v>8142</v>
      </c>
      <c r="H722" s="138">
        <v>38</v>
      </c>
      <c r="I722" s="138">
        <v>766</v>
      </c>
      <c r="K722" s="138">
        <v>226</v>
      </c>
      <c r="L722" s="138">
        <v>514</v>
      </c>
      <c r="N722" s="138">
        <v>7</v>
      </c>
      <c r="O722" s="138">
        <v>2</v>
      </c>
      <c r="S722" s="138">
        <v>12</v>
      </c>
      <c r="T722" s="138">
        <v>5</v>
      </c>
      <c r="U722" s="138">
        <f t="shared" si="1024"/>
        <v>19</v>
      </c>
      <c r="W722" s="139">
        <f t="shared" ref="W722:AA722" si="1446">J722/$I722</f>
        <v>0</v>
      </c>
      <c r="X722" s="139">
        <f t="shared" si="1446"/>
        <v>0.29503916449086159</v>
      </c>
      <c r="Y722" s="139">
        <f t="shared" si="1446"/>
        <v>0.67101827676240211</v>
      </c>
      <c r="Z722" s="139">
        <f t="shared" si="1446"/>
        <v>0</v>
      </c>
      <c r="AA722" s="139">
        <f t="shared" si="1446"/>
        <v>9.138381201044387E-3</v>
      </c>
      <c r="AB722" s="139"/>
      <c r="AC722" s="139">
        <f t="shared" si="1026"/>
        <v>2.4804177545691905E-2</v>
      </c>
      <c r="AD722" s="139">
        <f t="shared" ref="AD722:AI722" si="1447">O722/$I722</f>
        <v>2.6109660574412533E-3</v>
      </c>
      <c r="AE722" s="139">
        <f t="shared" si="1447"/>
        <v>0</v>
      </c>
      <c r="AF722" s="139">
        <f t="shared" si="1447"/>
        <v>0</v>
      </c>
      <c r="AG722" s="139">
        <f t="shared" si="1447"/>
        <v>0</v>
      </c>
      <c r="AH722" s="139">
        <f t="shared" si="1447"/>
        <v>1.5665796344647518E-2</v>
      </c>
      <c r="AI722" s="139">
        <f t="shared" si="1447"/>
        <v>6.5274151436031328E-3</v>
      </c>
    </row>
    <row r="723" spans="2:35">
      <c r="B723" s="138" t="s">
        <v>8077</v>
      </c>
      <c r="C723" s="138" t="s">
        <v>4367</v>
      </c>
      <c r="D723" s="138" t="s">
        <v>11</v>
      </c>
      <c r="E723" s="138" t="s">
        <v>261</v>
      </c>
      <c r="F723" s="138" t="s">
        <v>8142</v>
      </c>
      <c r="H723" s="138">
        <v>39</v>
      </c>
      <c r="I723" s="138">
        <v>1006</v>
      </c>
      <c r="K723" s="138">
        <v>338</v>
      </c>
      <c r="L723" s="138">
        <v>636</v>
      </c>
      <c r="N723" s="138">
        <v>8</v>
      </c>
      <c r="O723" s="138">
        <v>1</v>
      </c>
      <c r="S723" s="138">
        <v>13</v>
      </c>
      <c r="T723" s="138">
        <v>10</v>
      </c>
      <c r="U723" s="138">
        <f t="shared" si="1024"/>
        <v>24</v>
      </c>
      <c r="W723" s="139">
        <f t="shared" ref="W723:AA723" si="1448">J723/$I723</f>
        <v>0</v>
      </c>
      <c r="X723" s="139">
        <f t="shared" si="1448"/>
        <v>0.3359840954274354</v>
      </c>
      <c r="Y723" s="139">
        <f t="shared" si="1448"/>
        <v>0.63220675944333993</v>
      </c>
      <c r="Z723" s="139">
        <f t="shared" si="1448"/>
        <v>0</v>
      </c>
      <c r="AA723" s="139">
        <f t="shared" si="1448"/>
        <v>7.9522862823061622E-3</v>
      </c>
      <c r="AB723" s="139"/>
      <c r="AC723" s="139">
        <f t="shared" si="1026"/>
        <v>2.3856858846918488E-2</v>
      </c>
      <c r="AD723" s="139">
        <f t="shared" ref="AD723:AI723" si="1449">O723/$I723</f>
        <v>9.9403578528827028E-4</v>
      </c>
      <c r="AE723" s="139">
        <f t="shared" si="1449"/>
        <v>0</v>
      </c>
      <c r="AF723" s="139">
        <f t="shared" si="1449"/>
        <v>0</v>
      </c>
      <c r="AG723" s="139">
        <f t="shared" si="1449"/>
        <v>0</v>
      </c>
      <c r="AH723" s="139">
        <f t="shared" si="1449"/>
        <v>1.2922465208747515E-2</v>
      </c>
      <c r="AI723" s="139">
        <f t="shared" si="1449"/>
        <v>9.9403578528827041E-3</v>
      </c>
    </row>
    <row r="724" spans="2:35">
      <c r="B724" s="138" t="s">
        <v>8077</v>
      </c>
      <c r="C724" s="138" t="s">
        <v>4367</v>
      </c>
      <c r="D724" s="138" t="s">
        <v>11</v>
      </c>
      <c r="E724" s="138" t="s">
        <v>261</v>
      </c>
      <c r="F724" s="138" t="s">
        <v>8142</v>
      </c>
      <c r="H724" s="138">
        <v>40</v>
      </c>
      <c r="I724" s="138">
        <v>625</v>
      </c>
      <c r="K724" s="138">
        <v>269</v>
      </c>
      <c r="L724" s="138">
        <v>339</v>
      </c>
      <c r="N724" s="138">
        <v>2</v>
      </c>
      <c r="O724" s="138">
        <v>2</v>
      </c>
      <c r="S724" s="138">
        <v>10</v>
      </c>
      <c r="T724" s="138">
        <v>3</v>
      </c>
      <c r="U724" s="138">
        <f t="shared" si="1024"/>
        <v>15</v>
      </c>
      <c r="W724" s="139">
        <f t="shared" ref="W724:AA724" si="1450">J724/$I724</f>
        <v>0</v>
      </c>
      <c r="X724" s="139">
        <f t="shared" si="1450"/>
        <v>0.4304</v>
      </c>
      <c r="Y724" s="139">
        <f t="shared" si="1450"/>
        <v>0.54239999999999999</v>
      </c>
      <c r="Z724" s="139">
        <f t="shared" si="1450"/>
        <v>0</v>
      </c>
      <c r="AA724" s="139">
        <f t="shared" si="1450"/>
        <v>3.2000000000000002E-3</v>
      </c>
      <c r="AB724" s="139"/>
      <c r="AC724" s="139">
        <f t="shared" si="1026"/>
        <v>2.4E-2</v>
      </c>
      <c r="AD724" s="139">
        <f t="shared" ref="AD724:AI724" si="1451">O724/$I724</f>
        <v>3.2000000000000002E-3</v>
      </c>
      <c r="AE724" s="139">
        <f t="shared" si="1451"/>
        <v>0</v>
      </c>
      <c r="AF724" s="139">
        <f t="shared" si="1451"/>
        <v>0</v>
      </c>
      <c r="AG724" s="139">
        <f t="shared" si="1451"/>
        <v>0</v>
      </c>
      <c r="AH724" s="139">
        <f t="shared" si="1451"/>
        <v>1.6E-2</v>
      </c>
      <c r="AI724" s="139">
        <f t="shared" si="1451"/>
        <v>4.7999999999999996E-3</v>
      </c>
    </row>
    <row r="725" spans="2:35">
      <c r="B725" s="138" t="s">
        <v>8077</v>
      </c>
      <c r="C725" s="138" t="s">
        <v>4367</v>
      </c>
      <c r="D725" s="138" t="s">
        <v>11</v>
      </c>
      <c r="E725" s="138" t="s">
        <v>261</v>
      </c>
      <c r="F725" s="138" t="s">
        <v>8142</v>
      </c>
      <c r="H725" s="138">
        <v>41</v>
      </c>
      <c r="I725" s="138">
        <v>948</v>
      </c>
      <c r="K725" s="138">
        <v>452</v>
      </c>
      <c r="L725" s="138">
        <v>460</v>
      </c>
      <c r="N725" s="138">
        <v>14</v>
      </c>
      <c r="O725" s="138">
        <v>1</v>
      </c>
      <c r="S725" s="138">
        <v>12</v>
      </c>
      <c r="T725" s="138">
        <v>9</v>
      </c>
      <c r="U725" s="138">
        <f t="shared" si="1024"/>
        <v>22</v>
      </c>
      <c r="W725" s="139">
        <f t="shared" ref="W725:AA725" si="1452">J725/$I725</f>
        <v>0</v>
      </c>
      <c r="X725" s="139">
        <f t="shared" si="1452"/>
        <v>0.47679324894514769</v>
      </c>
      <c r="Y725" s="139">
        <f t="shared" si="1452"/>
        <v>0.48523206751054854</v>
      </c>
      <c r="Z725" s="139">
        <f t="shared" si="1452"/>
        <v>0</v>
      </c>
      <c r="AA725" s="139">
        <f t="shared" si="1452"/>
        <v>1.4767932489451477E-2</v>
      </c>
      <c r="AB725" s="139"/>
      <c r="AC725" s="139">
        <f t="shared" si="1026"/>
        <v>2.3206751054852322E-2</v>
      </c>
      <c r="AD725" s="139">
        <f t="shared" ref="AD725:AI725" si="1453">O725/$I725</f>
        <v>1.0548523206751054E-3</v>
      </c>
      <c r="AE725" s="139">
        <f t="shared" si="1453"/>
        <v>0</v>
      </c>
      <c r="AF725" s="139">
        <f t="shared" si="1453"/>
        <v>0</v>
      </c>
      <c r="AG725" s="139">
        <f t="shared" si="1453"/>
        <v>0</v>
      </c>
      <c r="AH725" s="139">
        <f t="shared" si="1453"/>
        <v>1.2658227848101266E-2</v>
      </c>
      <c r="AI725" s="139">
        <f t="shared" si="1453"/>
        <v>9.4936708860759497E-3</v>
      </c>
    </row>
    <row r="726" spans="2:35">
      <c r="B726" s="138" t="s">
        <v>8077</v>
      </c>
      <c r="C726" s="138" t="s">
        <v>4367</v>
      </c>
      <c r="D726" s="138" t="s">
        <v>11</v>
      </c>
      <c r="E726" s="138" t="s">
        <v>261</v>
      </c>
      <c r="F726" s="138" t="s">
        <v>8143</v>
      </c>
      <c r="H726" s="138">
        <v>42</v>
      </c>
      <c r="I726" s="138">
        <v>826</v>
      </c>
      <c r="K726" s="138">
        <v>226</v>
      </c>
      <c r="L726" s="138">
        <v>566</v>
      </c>
      <c r="N726" s="138">
        <v>5</v>
      </c>
      <c r="O726" s="138">
        <v>2</v>
      </c>
      <c r="S726" s="138">
        <v>18</v>
      </c>
      <c r="T726" s="138">
        <v>9</v>
      </c>
      <c r="U726" s="138">
        <f t="shared" si="1024"/>
        <v>29</v>
      </c>
      <c r="W726" s="139">
        <f t="shared" ref="W726:AA726" si="1454">J726/$I726</f>
        <v>0</v>
      </c>
      <c r="X726" s="139">
        <f t="shared" si="1454"/>
        <v>0.27360774818401939</v>
      </c>
      <c r="Y726" s="139">
        <f t="shared" si="1454"/>
        <v>0.68523002421307511</v>
      </c>
      <c r="Z726" s="139">
        <f t="shared" si="1454"/>
        <v>0</v>
      </c>
      <c r="AA726" s="139">
        <f t="shared" si="1454"/>
        <v>6.0532687651331718E-3</v>
      </c>
      <c r="AB726" s="139"/>
      <c r="AC726" s="139">
        <f t="shared" si="1026"/>
        <v>3.5108958837772396E-2</v>
      </c>
      <c r="AD726" s="139">
        <f t="shared" ref="AD726:AI726" si="1455">O726/$I726</f>
        <v>2.4213075060532689E-3</v>
      </c>
      <c r="AE726" s="139">
        <f t="shared" si="1455"/>
        <v>0</v>
      </c>
      <c r="AF726" s="139">
        <f t="shared" si="1455"/>
        <v>0</v>
      </c>
      <c r="AG726" s="139">
        <f t="shared" si="1455"/>
        <v>0</v>
      </c>
      <c r="AH726" s="139">
        <f t="shared" si="1455"/>
        <v>2.1791767554479417E-2</v>
      </c>
      <c r="AI726" s="139">
        <f t="shared" si="1455"/>
        <v>1.0895883777239709E-2</v>
      </c>
    </row>
    <row r="727" spans="2:35">
      <c r="B727" s="138" t="s">
        <v>8077</v>
      </c>
      <c r="C727" s="138" t="s">
        <v>4367</v>
      </c>
      <c r="D727" s="138" t="s">
        <v>11</v>
      </c>
      <c r="E727" s="138" t="s">
        <v>261</v>
      </c>
      <c r="F727" s="138" t="s">
        <v>8143</v>
      </c>
      <c r="H727" s="138">
        <v>43</v>
      </c>
      <c r="I727" s="138">
        <v>580</v>
      </c>
      <c r="K727" s="138">
        <v>235</v>
      </c>
      <c r="L727" s="138">
        <v>324</v>
      </c>
      <c r="N727" s="138">
        <v>8</v>
      </c>
      <c r="O727" s="138">
        <v>1</v>
      </c>
      <c r="S727" s="138">
        <v>8</v>
      </c>
      <c r="T727" s="138">
        <v>4</v>
      </c>
      <c r="U727" s="138">
        <f t="shared" si="1024"/>
        <v>13</v>
      </c>
      <c r="W727" s="139">
        <f t="shared" ref="W727:AA727" si="1456">J727/$I727</f>
        <v>0</v>
      </c>
      <c r="X727" s="139">
        <f t="shared" si="1456"/>
        <v>0.40517241379310343</v>
      </c>
      <c r="Y727" s="139">
        <f t="shared" si="1456"/>
        <v>0.55862068965517242</v>
      </c>
      <c r="Z727" s="139">
        <f t="shared" si="1456"/>
        <v>0</v>
      </c>
      <c r="AA727" s="139">
        <f t="shared" si="1456"/>
        <v>1.3793103448275862E-2</v>
      </c>
      <c r="AB727" s="139"/>
      <c r="AC727" s="139">
        <f t="shared" si="1026"/>
        <v>2.2413793103448276E-2</v>
      </c>
      <c r="AD727" s="139">
        <f t="shared" ref="AD727:AI727" si="1457">O727/$I727</f>
        <v>1.7241379310344827E-3</v>
      </c>
      <c r="AE727" s="139">
        <f t="shared" si="1457"/>
        <v>0</v>
      </c>
      <c r="AF727" s="139">
        <f t="shared" si="1457"/>
        <v>0</v>
      </c>
      <c r="AG727" s="139">
        <f t="shared" si="1457"/>
        <v>0</v>
      </c>
      <c r="AH727" s="139">
        <f t="shared" si="1457"/>
        <v>1.3793103448275862E-2</v>
      </c>
      <c r="AI727" s="139">
        <f t="shared" si="1457"/>
        <v>6.8965517241379309E-3</v>
      </c>
    </row>
    <row r="728" spans="2:35">
      <c r="B728" s="138" t="s">
        <v>8077</v>
      </c>
      <c r="C728" s="138" t="s">
        <v>4367</v>
      </c>
      <c r="D728" s="138" t="s">
        <v>11</v>
      </c>
      <c r="E728" s="138" t="s">
        <v>261</v>
      </c>
      <c r="F728" s="138" t="s">
        <v>8142</v>
      </c>
      <c r="H728" s="138">
        <v>44</v>
      </c>
      <c r="I728" s="138">
        <v>796</v>
      </c>
      <c r="K728" s="138">
        <v>253</v>
      </c>
      <c r="L728" s="138">
        <v>509</v>
      </c>
      <c r="N728" s="138">
        <v>6</v>
      </c>
      <c r="O728" s="138">
        <v>2</v>
      </c>
      <c r="S728" s="138">
        <v>18</v>
      </c>
      <c r="T728" s="138">
        <v>8</v>
      </c>
      <c r="U728" s="138">
        <f t="shared" si="1024"/>
        <v>28</v>
      </c>
      <c r="W728" s="139">
        <f t="shared" ref="W728:AA728" si="1458">J728/$I728</f>
        <v>0</v>
      </c>
      <c r="X728" s="139">
        <f t="shared" si="1458"/>
        <v>0.31783919597989951</v>
      </c>
      <c r="Y728" s="139">
        <f t="shared" si="1458"/>
        <v>0.63944723618090449</v>
      </c>
      <c r="Z728" s="139">
        <f t="shared" si="1458"/>
        <v>0</v>
      </c>
      <c r="AA728" s="139">
        <f t="shared" si="1458"/>
        <v>7.537688442211055E-3</v>
      </c>
      <c r="AB728" s="139"/>
      <c r="AC728" s="139">
        <f t="shared" si="1026"/>
        <v>3.5175879396984924E-2</v>
      </c>
      <c r="AD728" s="139">
        <f t="shared" ref="AD728:AI728" si="1459">O728/$I728</f>
        <v>2.5125628140703518E-3</v>
      </c>
      <c r="AE728" s="139">
        <f t="shared" si="1459"/>
        <v>0</v>
      </c>
      <c r="AF728" s="139">
        <f t="shared" si="1459"/>
        <v>0</v>
      </c>
      <c r="AG728" s="139">
        <f t="shared" si="1459"/>
        <v>0</v>
      </c>
      <c r="AH728" s="139">
        <f t="shared" si="1459"/>
        <v>2.2613065326633167E-2</v>
      </c>
      <c r="AI728" s="139">
        <f t="shared" si="1459"/>
        <v>1.0050251256281407E-2</v>
      </c>
    </row>
    <row r="729" spans="2:35">
      <c r="B729" s="138" t="s">
        <v>8077</v>
      </c>
      <c r="C729" s="138" t="s">
        <v>4367</v>
      </c>
      <c r="D729" s="138" t="s">
        <v>11</v>
      </c>
      <c r="E729" s="138" t="s">
        <v>261</v>
      </c>
      <c r="F729" s="138" t="s">
        <v>8143</v>
      </c>
      <c r="H729" s="138">
        <v>45</v>
      </c>
      <c r="I729" s="138">
        <v>897</v>
      </c>
      <c r="K729" s="138">
        <v>264</v>
      </c>
      <c r="L729" s="138">
        <v>600</v>
      </c>
      <c r="N729" s="138">
        <v>5</v>
      </c>
      <c r="O729" s="138">
        <v>1</v>
      </c>
      <c r="S729" s="138">
        <v>20</v>
      </c>
      <c r="T729" s="138">
        <v>7</v>
      </c>
      <c r="U729" s="138">
        <f t="shared" si="1024"/>
        <v>28</v>
      </c>
      <c r="W729" s="139">
        <f t="shared" ref="W729:AA729" si="1460">J729/$I729</f>
        <v>0</v>
      </c>
      <c r="X729" s="139">
        <f t="shared" si="1460"/>
        <v>0.29431438127090304</v>
      </c>
      <c r="Y729" s="139">
        <f t="shared" si="1460"/>
        <v>0.66889632107023411</v>
      </c>
      <c r="Z729" s="139">
        <f t="shared" si="1460"/>
        <v>0</v>
      </c>
      <c r="AA729" s="139">
        <f t="shared" si="1460"/>
        <v>5.5741360089186179E-3</v>
      </c>
      <c r="AB729" s="139"/>
      <c r="AC729" s="139">
        <f t="shared" si="1026"/>
        <v>3.121516164994426E-2</v>
      </c>
      <c r="AD729" s="139">
        <f t="shared" ref="AD729:AI729" si="1461">O729/$I729</f>
        <v>1.1148272017837235E-3</v>
      </c>
      <c r="AE729" s="139">
        <f t="shared" si="1461"/>
        <v>0</v>
      </c>
      <c r="AF729" s="139">
        <f t="shared" si="1461"/>
        <v>0</v>
      </c>
      <c r="AG729" s="139">
        <f t="shared" si="1461"/>
        <v>0</v>
      </c>
      <c r="AH729" s="139">
        <f t="shared" si="1461"/>
        <v>2.2296544035674472E-2</v>
      </c>
      <c r="AI729" s="139">
        <f t="shared" si="1461"/>
        <v>7.803790412486065E-3</v>
      </c>
    </row>
    <row r="730" spans="2:35">
      <c r="B730" s="138" t="s">
        <v>8077</v>
      </c>
      <c r="C730" s="138" t="s">
        <v>4367</v>
      </c>
      <c r="D730" s="138" t="s">
        <v>11</v>
      </c>
      <c r="E730" s="138" t="s">
        <v>261</v>
      </c>
      <c r="F730" s="138" t="s">
        <v>8143</v>
      </c>
      <c r="H730" s="138">
        <v>46</v>
      </c>
      <c r="I730" s="138">
        <v>607</v>
      </c>
      <c r="K730" s="138">
        <v>133</v>
      </c>
      <c r="L730" s="138">
        <v>452</v>
      </c>
      <c r="N730" s="138">
        <v>9</v>
      </c>
      <c r="O730" s="138">
        <v>0</v>
      </c>
      <c r="S730" s="138">
        <v>7</v>
      </c>
      <c r="T730" s="138">
        <v>6</v>
      </c>
      <c r="U730" s="138">
        <f t="shared" si="1024"/>
        <v>13</v>
      </c>
      <c r="W730" s="139">
        <f t="shared" ref="W730:AA730" si="1462">J730/$I730</f>
        <v>0</v>
      </c>
      <c r="X730" s="139">
        <f t="shared" si="1462"/>
        <v>0.21911037891268534</v>
      </c>
      <c r="Y730" s="139">
        <f t="shared" si="1462"/>
        <v>0.74464579901153216</v>
      </c>
      <c r="Z730" s="139">
        <f t="shared" si="1462"/>
        <v>0</v>
      </c>
      <c r="AA730" s="139">
        <f t="shared" si="1462"/>
        <v>1.4827018121911038E-2</v>
      </c>
      <c r="AB730" s="139"/>
      <c r="AC730" s="139">
        <f t="shared" si="1026"/>
        <v>2.1416803953871501E-2</v>
      </c>
      <c r="AD730" s="139">
        <f t="shared" ref="AD730:AI730" si="1463">O730/$I730</f>
        <v>0</v>
      </c>
      <c r="AE730" s="139">
        <f t="shared" si="1463"/>
        <v>0</v>
      </c>
      <c r="AF730" s="139">
        <f t="shared" si="1463"/>
        <v>0</v>
      </c>
      <c r="AG730" s="139">
        <f t="shared" si="1463"/>
        <v>0</v>
      </c>
      <c r="AH730" s="139">
        <f t="shared" si="1463"/>
        <v>1.1532125205930808E-2</v>
      </c>
      <c r="AI730" s="139">
        <f t="shared" si="1463"/>
        <v>9.8846787479406912E-3</v>
      </c>
    </row>
    <row r="731" spans="2:35">
      <c r="B731" s="138" t="s">
        <v>8077</v>
      </c>
      <c r="C731" s="138" t="s">
        <v>4367</v>
      </c>
      <c r="D731" s="138" t="s">
        <v>11</v>
      </c>
      <c r="E731" s="138" t="s">
        <v>261</v>
      </c>
      <c r="F731" s="138" t="s">
        <v>8143</v>
      </c>
      <c r="H731" s="138">
        <v>47</v>
      </c>
      <c r="I731" s="138">
        <v>620</v>
      </c>
      <c r="K731" s="138">
        <v>153</v>
      </c>
      <c r="L731" s="138">
        <v>449</v>
      </c>
      <c r="N731" s="138">
        <v>7</v>
      </c>
      <c r="O731" s="138">
        <v>2</v>
      </c>
      <c r="S731" s="138">
        <v>7</v>
      </c>
      <c r="T731" s="138">
        <v>2</v>
      </c>
      <c r="U731" s="138">
        <f t="shared" si="1024"/>
        <v>11</v>
      </c>
      <c r="W731" s="139">
        <f t="shared" ref="W731:AA731" si="1464">J731/$I731</f>
        <v>0</v>
      </c>
      <c r="X731" s="139">
        <f t="shared" si="1464"/>
        <v>0.24677419354838709</v>
      </c>
      <c r="Y731" s="139">
        <f t="shared" si="1464"/>
        <v>0.72419354838709682</v>
      </c>
      <c r="Z731" s="139">
        <f t="shared" si="1464"/>
        <v>0</v>
      </c>
      <c r="AA731" s="139">
        <f t="shared" si="1464"/>
        <v>1.1290322580645161E-2</v>
      </c>
      <c r="AB731" s="139"/>
      <c r="AC731" s="139">
        <f t="shared" si="1026"/>
        <v>1.7741935483870968E-2</v>
      </c>
      <c r="AD731" s="139">
        <f t="shared" ref="AD731:AI731" si="1465">O731/$I731</f>
        <v>3.2258064516129032E-3</v>
      </c>
      <c r="AE731" s="139">
        <f t="shared" si="1465"/>
        <v>0</v>
      </c>
      <c r="AF731" s="139">
        <f t="shared" si="1465"/>
        <v>0</v>
      </c>
      <c r="AG731" s="139">
        <f t="shared" si="1465"/>
        <v>0</v>
      </c>
      <c r="AH731" s="139">
        <f t="shared" si="1465"/>
        <v>1.1290322580645161E-2</v>
      </c>
      <c r="AI731" s="139">
        <f t="shared" si="1465"/>
        <v>3.2258064516129032E-3</v>
      </c>
    </row>
    <row r="732" spans="2:35">
      <c r="B732" s="138" t="s">
        <v>8077</v>
      </c>
      <c r="C732" s="138" t="s">
        <v>4367</v>
      </c>
      <c r="D732" s="138" t="s">
        <v>11</v>
      </c>
      <c r="E732" s="138" t="s">
        <v>261</v>
      </c>
      <c r="F732" s="138" t="s">
        <v>8143</v>
      </c>
      <c r="H732" s="138">
        <v>48</v>
      </c>
      <c r="I732" s="138">
        <v>610</v>
      </c>
      <c r="K732" s="138">
        <v>160</v>
      </c>
      <c r="L732" s="138">
        <v>433</v>
      </c>
      <c r="N732" s="138">
        <v>3</v>
      </c>
      <c r="O732" s="138">
        <v>1</v>
      </c>
      <c r="S732" s="138">
        <v>6</v>
      </c>
      <c r="T732" s="138">
        <v>7</v>
      </c>
      <c r="U732" s="138">
        <f t="shared" si="1024"/>
        <v>14</v>
      </c>
      <c r="W732" s="139">
        <f t="shared" ref="W732:AA732" si="1466">J732/$I732</f>
        <v>0</v>
      </c>
      <c r="X732" s="139">
        <f t="shared" si="1466"/>
        <v>0.26229508196721313</v>
      </c>
      <c r="Y732" s="139">
        <f t="shared" si="1466"/>
        <v>0.70983606557377055</v>
      </c>
      <c r="Z732" s="139">
        <f t="shared" si="1466"/>
        <v>0</v>
      </c>
      <c r="AA732" s="139">
        <f t="shared" si="1466"/>
        <v>4.9180327868852463E-3</v>
      </c>
      <c r="AB732" s="139"/>
      <c r="AC732" s="139">
        <f t="shared" si="1026"/>
        <v>2.2950819672131147E-2</v>
      </c>
      <c r="AD732" s="139">
        <f t="shared" ref="AD732:AI732" si="1467">O732/$I732</f>
        <v>1.639344262295082E-3</v>
      </c>
      <c r="AE732" s="139">
        <f t="shared" si="1467"/>
        <v>0</v>
      </c>
      <c r="AF732" s="139">
        <f t="shared" si="1467"/>
        <v>0</v>
      </c>
      <c r="AG732" s="139">
        <f t="shared" si="1467"/>
        <v>0</v>
      </c>
      <c r="AH732" s="139">
        <f t="shared" si="1467"/>
        <v>9.8360655737704927E-3</v>
      </c>
      <c r="AI732" s="139">
        <f t="shared" si="1467"/>
        <v>1.1475409836065573E-2</v>
      </c>
    </row>
    <row r="733" spans="2:35">
      <c r="B733" s="138" t="s">
        <v>8077</v>
      </c>
      <c r="C733" s="138" t="s">
        <v>4367</v>
      </c>
      <c r="D733" s="138" t="s">
        <v>11</v>
      </c>
      <c r="E733" s="138" t="s">
        <v>261</v>
      </c>
      <c r="F733" s="138" t="s">
        <v>8143</v>
      </c>
      <c r="H733" s="138">
        <v>49</v>
      </c>
      <c r="I733" s="138">
        <v>630</v>
      </c>
      <c r="K733" s="138">
        <v>120</v>
      </c>
      <c r="L733" s="138">
        <v>502</v>
      </c>
      <c r="N733" s="138">
        <v>2</v>
      </c>
      <c r="O733" s="138">
        <v>0</v>
      </c>
      <c r="S733" s="138">
        <v>4</v>
      </c>
      <c r="T733" s="138">
        <v>2</v>
      </c>
      <c r="U733" s="138">
        <f t="shared" si="1024"/>
        <v>6</v>
      </c>
      <c r="W733" s="139">
        <f t="shared" ref="W733:AA733" si="1468">J733/$I733</f>
        <v>0</v>
      </c>
      <c r="X733" s="139">
        <f t="shared" si="1468"/>
        <v>0.19047619047619047</v>
      </c>
      <c r="Y733" s="139">
        <f t="shared" si="1468"/>
        <v>0.79682539682539677</v>
      </c>
      <c r="Z733" s="139">
        <f t="shared" si="1468"/>
        <v>0</v>
      </c>
      <c r="AA733" s="139">
        <f t="shared" si="1468"/>
        <v>3.1746031746031746E-3</v>
      </c>
      <c r="AB733" s="139"/>
      <c r="AC733" s="139">
        <f t="shared" si="1026"/>
        <v>9.5238095238095247E-3</v>
      </c>
      <c r="AD733" s="139">
        <f t="shared" ref="AD733:AI733" si="1469">O733/$I733</f>
        <v>0</v>
      </c>
      <c r="AE733" s="139">
        <f t="shared" si="1469"/>
        <v>0</v>
      </c>
      <c r="AF733" s="139">
        <f t="shared" si="1469"/>
        <v>0</v>
      </c>
      <c r="AG733" s="139">
        <f t="shared" si="1469"/>
        <v>0</v>
      </c>
      <c r="AH733" s="139">
        <f t="shared" si="1469"/>
        <v>6.3492063492063492E-3</v>
      </c>
      <c r="AI733" s="139">
        <f t="shared" si="1469"/>
        <v>3.1746031746031746E-3</v>
      </c>
    </row>
    <row r="734" spans="2:35">
      <c r="B734" s="138" t="s">
        <v>8077</v>
      </c>
      <c r="C734" s="138" t="s">
        <v>4367</v>
      </c>
      <c r="D734" s="138" t="s">
        <v>11</v>
      </c>
      <c r="E734" s="138" t="s">
        <v>261</v>
      </c>
      <c r="F734" s="138" t="s">
        <v>8143</v>
      </c>
      <c r="H734" s="138">
        <v>50</v>
      </c>
      <c r="I734" s="138">
        <v>673</v>
      </c>
      <c r="K734" s="138">
        <v>139</v>
      </c>
      <c r="L734" s="138">
        <v>516</v>
      </c>
      <c r="N734" s="138">
        <v>5</v>
      </c>
      <c r="O734" s="138">
        <v>0</v>
      </c>
      <c r="S734" s="138">
        <v>7</v>
      </c>
      <c r="T734" s="138">
        <v>6</v>
      </c>
      <c r="U734" s="138">
        <f t="shared" si="1024"/>
        <v>13</v>
      </c>
      <c r="W734" s="139">
        <f t="shared" ref="W734:AA734" si="1470">J734/$I734</f>
        <v>0</v>
      </c>
      <c r="X734" s="139">
        <f t="shared" si="1470"/>
        <v>0.20653789004457651</v>
      </c>
      <c r="Y734" s="139">
        <f t="shared" si="1470"/>
        <v>0.76671619613670139</v>
      </c>
      <c r="Z734" s="139">
        <f t="shared" si="1470"/>
        <v>0</v>
      </c>
      <c r="AA734" s="139">
        <f t="shared" si="1470"/>
        <v>7.429420505200594E-3</v>
      </c>
      <c r="AB734" s="139"/>
      <c r="AC734" s="139">
        <f t="shared" si="1026"/>
        <v>1.9316493313521546E-2</v>
      </c>
      <c r="AD734" s="139">
        <f t="shared" ref="AD734:AI734" si="1471">O734/$I734</f>
        <v>0</v>
      </c>
      <c r="AE734" s="139">
        <f t="shared" si="1471"/>
        <v>0</v>
      </c>
      <c r="AF734" s="139">
        <f t="shared" si="1471"/>
        <v>0</v>
      </c>
      <c r="AG734" s="139">
        <f t="shared" si="1471"/>
        <v>0</v>
      </c>
      <c r="AH734" s="139">
        <f t="shared" si="1471"/>
        <v>1.0401188707280832E-2</v>
      </c>
      <c r="AI734" s="139">
        <f t="shared" si="1471"/>
        <v>8.9153046062407128E-3</v>
      </c>
    </row>
    <row r="735" spans="2:35">
      <c r="B735" s="138" t="s">
        <v>8077</v>
      </c>
      <c r="C735" s="138" t="s">
        <v>4367</v>
      </c>
      <c r="D735" s="138" t="s">
        <v>11</v>
      </c>
      <c r="E735" s="138" t="s">
        <v>261</v>
      </c>
      <c r="F735" s="138" t="s">
        <v>8144</v>
      </c>
      <c r="H735" s="138">
        <v>51</v>
      </c>
      <c r="I735" s="138">
        <v>916</v>
      </c>
      <c r="K735" s="138">
        <v>299</v>
      </c>
      <c r="L735" s="138">
        <v>572</v>
      </c>
      <c r="N735" s="138">
        <v>10</v>
      </c>
      <c r="O735" s="138">
        <v>0</v>
      </c>
      <c r="S735" s="138">
        <v>28</v>
      </c>
      <c r="T735" s="138">
        <v>7</v>
      </c>
      <c r="U735" s="138">
        <f t="shared" si="1024"/>
        <v>35</v>
      </c>
      <c r="W735" s="139">
        <f t="shared" ref="W735:AA735" si="1472">J735/$I735</f>
        <v>0</v>
      </c>
      <c r="X735" s="139">
        <f t="shared" si="1472"/>
        <v>0.32641921397379914</v>
      </c>
      <c r="Y735" s="139">
        <f t="shared" si="1472"/>
        <v>0.62445414847161573</v>
      </c>
      <c r="Z735" s="139">
        <f t="shared" si="1472"/>
        <v>0</v>
      </c>
      <c r="AA735" s="139">
        <f t="shared" si="1472"/>
        <v>1.0917030567685589E-2</v>
      </c>
      <c r="AB735" s="139"/>
      <c r="AC735" s="139">
        <f t="shared" si="1026"/>
        <v>3.8209606986899562E-2</v>
      </c>
      <c r="AD735" s="139">
        <f t="shared" ref="AD735:AI735" si="1473">O735/$I735</f>
        <v>0</v>
      </c>
      <c r="AE735" s="139">
        <f t="shared" si="1473"/>
        <v>0</v>
      </c>
      <c r="AF735" s="139">
        <f t="shared" si="1473"/>
        <v>0</v>
      </c>
      <c r="AG735" s="139">
        <f t="shared" si="1473"/>
        <v>0</v>
      </c>
      <c r="AH735" s="139">
        <f t="shared" si="1473"/>
        <v>3.0567685589519649E-2</v>
      </c>
      <c r="AI735" s="139">
        <f t="shared" si="1473"/>
        <v>7.6419213973799123E-3</v>
      </c>
    </row>
    <row r="736" spans="2:35">
      <c r="B736" s="138" t="s">
        <v>8077</v>
      </c>
      <c r="C736" s="138" t="s">
        <v>4367</v>
      </c>
      <c r="D736" s="138" t="s">
        <v>11</v>
      </c>
      <c r="E736" s="138" t="s">
        <v>261</v>
      </c>
      <c r="F736" s="138" t="s">
        <v>8144</v>
      </c>
      <c r="H736" s="138">
        <v>52</v>
      </c>
      <c r="I736" s="138">
        <v>878</v>
      </c>
      <c r="K736" s="138">
        <v>341</v>
      </c>
      <c r="L736" s="138">
        <v>506</v>
      </c>
      <c r="N736" s="138">
        <v>9</v>
      </c>
      <c r="O736" s="138">
        <v>3</v>
      </c>
      <c r="S736" s="138">
        <v>11</v>
      </c>
      <c r="T736" s="138">
        <v>8</v>
      </c>
      <c r="U736" s="138">
        <f t="shared" si="1024"/>
        <v>22</v>
      </c>
      <c r="W736" s="139">
        <f t="shared" ref="W736:AA736" si="1474">J736/$I736</f>
        <v>0</v>
      </c>
      <c r="X736" s="139">
        <f t="shared" si="1474"/>
        <v>0.38838268792710706</v>
      </c>
      <c r="Y736" s="139">
        <f t="shared" si="1474"/>
        <v>0.57630979498861046</v>
      </c>
      <c r="Z736" s="139">
        <f t="shared" si="1474"/>
        <v>0</v>
      </c>
      <c r="AA736" s="139">
        <f t="shared" si="1474"/>
        <v>1.0250569476082005E-2</v>
      </c>
      <c r="AB736" s="139"/>
      <c r="AC736" s="139">
        <f t="shared" si="1026"/>
        <v>2.5056947608200455E-2</v>
      </c>
      <c r="AD736" s="139">
        <f t="shared" ref="AD736:AI736" si="1475">O736/$I736</f>
        <v>3.4168564920273349E-3</v>
      </c>
      <c r="AE736" s="139">
        <f t="shared" si="1475"/>
        <v>0</v>
      </c>
      <c r="AF736" s="139">
        <f t="shared" si="1475"/>
        <v>0</v>
      </c>
      <c r="AG736" s="139">
        <f t="shared" si="1475"/>
        <v>0</v>
      </c>
      <c r="AH736" s="139">
        <f t="shared" si="1475"/>
        <v>1.2528473804100227E-2</v>
      </c>
      <c r="AI736" s="139">
        <f t="shared" si="1475"/>
        <v>9.1116173120728925E-3</v>
      </c>
    </row>
    <row r="737" spans="2:35">
      <c r="B737" s="138" t="s">
        <v>8077</v>
      </c>
      <c r="C737" s="138" t="s">
        <v>4367</v>
      </c>
      <c r="D737" s="138" t="s">
        <v>11</v>
      </c>
      <c r="E737" s="138" t="s">
        <v>261</v>
      </c>
      <c r="F737" s="138" t="s">
        <v>8144</v>
      </c>
      <c r="H737" s="138">
        <v>53</v>
      </c>
      <c r="I737" s="138">
        <v>740</v>
      </c>
      <c r="K737" s="138">
        <v>223</v>
      </c>
      <c r="L737" s="138">
        <v>488</v>
      </c>
      <c r="N737" s="138">
        <v>6</v>
      </c>
      <c r="O737" s="138">
        <v>3</v>
      </c>
      <c r="S737" s="138">
        <v>18</v>
      </c>
      <c r="T737" s="138">
        <v>2</v>
      </c>
      <c r="U737" s="138">
        <f t="shared" si="1024"/>
        <v>23</v>
      </c>
      <c r="W737" s="139">
        <f t="shared" ref="W737:AA737" si="1476">J737/$I737</f>
        <v>0</v>
      </c>
      <c r="X737" s="139">
        <f t="shared" si="1476"/>
        <v>0.30135135135135133</v>
      </c>
      <c r="Y737" s="139">
        <f t="shared" si="1476"/>
        <v>0.6594594594594595</v>
      </c>
      <c r="Z737" s="139">
        <f t="shared" si="1476"/>
        <v>0</v>
      </c>
      <c r="AA737" s="139">
        <f t="shared" si="1476"/>
        <v>8.1081081081081086E-3</v>
      </c>
      <c r="AB737" s="139"/>
      <c r="AC737" s="139">
        <f t="shared" si="1026"/>
        <v>3.1081081081081083E-2</v>
      </c>
      <c r="AD737" s="139">
        <f t="shared" ref="AD737:AI737" si="1477">O737/$I737</f>
        <v>4.0540540540540543E-3</v>
      </c>
      <c r="AE737" s="139">
        <f t="shared" si="1477"/>
        <v>0</v>
      </c>
      <c r="AF737" s="139">
        <f t="shared" si="1477"/>
        <v>0</v>
      </c>
      <c r="AG737" s="139">
        <f t="shared" si="1477"/>
        <v>0</v>
      </c>
      <c r="AH737" s="139">
        <f t="shared" si="1477"/>
        <v>2.4324324324324326E-2</v>
      </c>
      <c r="AI737" s="139">
        <f t="shared" si="1477"/>
        <v>2.7027027027027029E-3</v>
      </c>
    </row>
    <row r="738" spans="2:35">
      <c r="B738" s="138" t="s">
        <v>8077</v>
      </c>
      <c r="C738" s="138" t="s">
        <v>4367</v>
      </c>
      <c r="D738" s="138" t="s">
        <v>11</v>
      </c>
      <c r="E738" s="138" t="s">
        <v>261</v>
      </c>
      <c r="F738" s="138" t="s">
        <v>8144</v>
      </c>
      <c r="H738" s="138">
        <v>54</v>
      </c>
      <c r="I738" s="138">
        <v>768</v>
      </c>
      <c r="K738" s="138">
        <v>283</v>
      </c>
      <c r="L738" s="138">
        <v>441</v>
      </c>
      <c r="N738" s="138">
        <v>16</v>
      </c>
      <c r="O738" s="138">
        <v>1</v>
      </c>
      <c r="S738" s="138">
        <v>17</v>
      </c>
      <c r="T738" s="138">
        <v>10</v>
      </c>
      <c r="U738" s="138">
        <f t="shared" si="1024"/>
        <v>28</v>
      </c>
      <c r="W738" s="139">
        <f t="shared" ref="W738:AA738" si="1478">J738/$I738</f>
        <v>0</v>
      </c>
      <c r="X738" s="139">
        <f t="shared" si="1478"/>
        <v>0.36848958333333331</v>
      </c>
      <c r="Y738" s="139">
        <f t="shared" si="1478"/>
        <v>0.57421875</v>
      </c>
      <c r="Z738" s="139">
        <f t="shared" si="1478"/>
        <v>0</v>
      </c>
      <c r="AA738" s="139">
        <f t="shared" si="1478"/>
        <v>2.0833333333333332E-2</v>
      </c>
      <c r="AB738" s="139"/>
      <c r="AC738" s="139">
        <f t="shared" si="1026"/>
        <v>3.6458333333333336E-2</v>
      </c>
      <c r="AD738" s="139">
        <f t="shared" ref="AD738:AI738" si="1479">O738/$I738</f>
        <v>1.3020833333333333E-3</v>
      </c>
      <c r="AE738" s="139">
        <f t="shared" si="1479"/>
        <v>0</v>
      </c>
      <c r="AF738" s="139">
        <f t="shared" si="1479"/>
        <v>0</v>
      </c>
      <c r="AG738" s="139">
        <f t="shared" si="1479"/>
        <v>0</v>
      </c>
      <c r="AH738" s="139">
        <f t="shared" si="1479"/>
        <v>2.2135416666666668E-2</v>
      </c>
      <c r="AI738" s="139">
        <f t="shared" si="1479"/>
        <v>1.3020833333333334E-2</v>
      </c>
    </row>
    <row r="739" spans="2:35">
      <c r="B739" s="138" t="s">
        <v>8077</v>
      </c>
      <c r="C739" s="138" t="s">
        <v>4367</v>
      </c>
      <c r="D739" s="138" t="s">
        <v>11</v>
      </c>
      <c r="E739" s="138" t="s">
        <v>261</v>
      </c>
      <c r="F739" s="138" t="s">
        <v>8144</v>
      </c>
      <c r="H739" s="138">
        <v>55</v>
      </c>
      <c r="I739" s="138">
        <v>830</v>
      </c>
      <c r="K739" s="138">
        <v>275</v>
      </c>
      <c r="L739" s="138">
        <v>520</v>
      </c>
      <c r="N739" s="138">
        <v>10</v>
      </c>
      <c r="O739" s="138">
        <v>1</v>
      </c>
      <c r="S739" s="138">
        <v>19</v>
      </c>
      <c r="T739" s="138">
        <v>5</v>
      </c>
      <c r="U739" s="138">
        <f t="shared" si="1024"/>
        <v>25</v>
      </c>
      <c r="W739" s="139">
        <f t="shared" ref="W739:AA739" si="1480">J739/$I739</f>
        <v>0</v>
      </c>
      <c r="X739" s="139">
        <f t="shared" si="1480"/>
        <v>0.33132530120481929</v>
      </c>
      <c r="Y739" s="139">
        <f t="shared" si="1480"/>
        <v>0.62650602409638556</v>
      </c>
      <c r="Z739" s="139">
        <f t="shared" si="1480"/>
        <v>0</v>
      </c>
      <c r="AA739" s="139">
        <f t="shared" si="1480"/>
        <v>1.2048192771084338E-2</v>
      </c>
      <c r="AB739" s="139"/>
      <c r="AC739" s="139">
        <f t="shared" si="1026"/>
        <v>3.0120481927710843E-2</v>
      </c>
      <c r="AD739" s="139">
        <f t="shared" ref="AD739:AI739" si="1481">O739/$I739</f>
        <v>1.2048192771084338E-3</v>
      </c>
      <c r="AE739" s="139">
        <f t="shared" si="1481"/>
        <v>0</v>
      </c>
      <c r="AF739" s="139">
        <f t="shared" si="1481"/>
        <v>0</v>
      </c>
      <c r="AG739" s="139">
        <f t="shared" si="1481"/>
        <v>0</v>
      </c>
      <c r="AH739" s="139">
        <f t="shared" si="1481"/>
        <v>2.289156626506024E-2</v>
      </c>
      <c r="AI739" s="139">
        <f t="shared" si="1481"/>
        <v>6.024096385542169E-3</v>
      </c>
    </row>
    <row r="740" spans="2:35">
      <c r="B740" s="138" t="s">
        <v>8077</v>
      </c>
      <c r="C740" s="138" t="s">
        <v>4367</v>
      </c>
      <c r="D740" s="138" t="s">
        <v>11</v>
      </c>
      <c r="E740" s="138" t="s">
        <v>261</v>
      </c>
      <c r="F740" s="138" t="s">
        <v>8144</v>
      </c>
      <c r="H740" s="138">
        <v>56</v>
      </c>
      <c r="I740" s="138">
        <v>675</v>
      </c>
      <c r="K740" s="138">
        <v>197</v>
      </c>
      <c r="L740" s="138">
        <v>449</v>
      </c>
      <c r="N740" s="138">
        <v>8</v>
      </c>
      <c r="O740" s="138">
        <v>2</v>
      </c>
      <c r="S740" s="138">
        <v>10</v>
      </c>
      <c r="T740" s="138">
        <v>9</v>
      </c>
      <c r="U740" s="138">
        <f t="shared" si="1024"/>
        <v>21</v>
      </c>
      <c r="W740" s="139">
        <f t="shared" ref="W740:AA740" si="1482">J740/$I740</f>
        <v>0</v>
      </c>
      <c r="X740" s="139">
        <f t="shared" si="1482"/>
        <v>0.29185185185185186</v>
      </c>
      <c r="Y740" s="139">
        <f t="shared" si="1482"/>
        <v>0.66518518518518521</v>
      </c>
      <c r="Z740" s="139">
        <f t="shared" si="1482"/>
        <v>0</v>
      </c>
      <c r="AA740" s="139">
        <f t="shared" si="1482"/>
        <v>1.1851851851851851E-2</v>
      </c>
      <c r="AB740" s="139"/>
      <c r="AC740" s="139">
        <f t="shared" si="1026"/>
        <v>3.111111111111111E-2</v>
      </c>
      <c r="AD740" s="139">
        <f t="shared" ref="AD740:AI740" si="1483">O740/$I740</f>
        <v>2.9629629629629628E-3</v>
      </c>
      <c r="AE740" s="139">
        <f t="shared" si="1483"/>
        <v>0</v>
      </c>
      <c r="AF740" s="139">
        <f t="shared" si="1483"/>
        <v>0</v>
      </c>
      <c r="AG740" s="139">
        <f t="shared" si="1483"/>
        <v>0</v>
      </c>
      <c r="AH740" s="139">
        <f t="shared" si="1483"/>
        <v>1.4814814814814815E-2</v>
      </c>
      <c r="AI740" s="139">
        <f t="shared" si="1483"/>
        <v>1.3333333333333334E-2</v>
      </c>
    </row>
    <row r="741" spans="2:35">
      <c r="B741" s="138" t="s">
        <v>8077</v>
      </c>
      <c r="C741" s="138" t="s">
        <v>4367</v>
      </c>
      <c r="D741" s="138" t="s">
        <v>11</v>
      </c>
      <c r="E741" s="138" t="s">
        <v>261</v>
      </c>
      <c r="F741" s="138" t="s">
        <v>8144</v>
      </c>
      <c r="H741" s="138">
        <v>57</v>
      </c>
      <c r="I741" s="138">
        <v>685</v>
      </c>
      <c r="K741" s="138">
        <v>242</v>
      </c>
      <c r="L741" s="138">
        <v>431</v>
      </c>
      <c r="N741" s="138">
        <v>2</v>
      </c>
      <c r="O741" s="138">
        <v>1</v>
      </c>
      <c r="S741" s="138">
        <v>8</v>
      </c>
      <c r="T741" s="138">
        <v>1</v>
      </c>
      <c r="U741" s="138">
        <f t="shared" si="1024"/>
        <v>10</v>
      </c>
      <c r="W741" s="139">
        <f t="shared" ref="W741:AA741" si="1484">J741/$I741</f>
        <v>0</v>
      </c>
      <c r="X741" s="139">
        <f t="shared" si="1484"/>
        <v>0.35328467153284671</v>
      </c>
      <c r="Y741" s="139">
        <f t="shared" si="1484"/>
        <v>0.62919708029197086</v>
      </c>
      <c r="Z741" s="139">
        <f t="shared" si="1484"/>
        <v>0</v>
      </c>
      <c r="AA741" s="139">
        <f t="shared" si="1484"/>
        <v>2.9197080291970801E-3</v>
      </c>
      <c r="AB741" s="139"/>
      <c r="AC741" s="139">
        <f t="shared" si="1026"/>
        <v>1.4598540145985401E-2</v>
      </c>
      <c r="AD741" s="139">
        <f t="shared" ref="AD741:AI741" si="1485">O741/$I741</f>
        <v>1.4598540145985401E-3</v>
      </c>
      <c r="AE741" s="139">
        <f t="shared" si="1485"/>
        <v>0</v>
      </c>
      <c r="AF741" s="139">
        <f t="shared" si="1485"/>
        <v>0</v>
      </c>
      <c r="AG741" s="139">
        <f t="shared" si="1485"/>
        <v>0</v>
      </c>
      <c r="AH741" s="139">
        <f t="shared" si="1485"/>
        <v>1.167883211678832E-2</v>
      </c>
      <c r="AI741" s="139">
        <f t="shared" si="1485"/>
        <v>1.4598540145985401E-3</v>
      </c>
    </row>
    <row r="742" spans="2:35">
      <c r="B742" s="138" t="s">
        <v>8077</v>
      </c>
      <c r="C742" s="138" t="s">
        <v>4367</v>
      </c>
      <c r="D742" s="138" t="s">
        <v>11</v>
      </c>
      <c r="E742" s="138" t="s">
        <v>261</v>
      </c>
      <c r="F742" s="138" t="s">
        <v>8144</v>
      </c>
      <c r="H742" s="138">
        <v>58</v>
      </c>
      <c r="I742" s="138">
        <v>571</v>
      </c>
      <c r="K742" s="138">
        <v>193</v>
      </c>
      <c r="L742" s="138">
        <v>361</v>
      </c>
      <c r="N742" s="138">
        <v>4</v>
      </c>
      <c r="O742" s="138">
        <v>0</v>
      </c>
      <c r="S742" s="138">
        <v>11</v>
      </c>
      <c r="T742" s="138">
        <v>2</v>
      </c>
      <c r="U742" s="138">
        <f t="shared" si="1024"/>
        <v>13</v>
      </c>
      <c r="W742" s="139">
        <f t="shared" ref="W742:AA742" si="1486">J742/$I742</f>
        <v>0</v>
      </c>
      <c r="X742" s="139">
        <f t="shared" si="1486"/>
        <v>0.33800350262697021</v>
      </c>
      <c r="Y742" s="139">
        <f t="shared" si="1486"/>
        <v>0.63222416812609461</v>
      </c>
      <c r="Z742" s="139">
        <f t="shared" si="1486"/>
        <v>0</v>
      </c>
      <c r="AA742" s="139">
        <f t="shared" si="1486"/>
        <v>7.0052539404553416E-3</v>
      </c>
      <c r="AB742" s="139"/>
      <c r="AC742" s="139">
        <f t="shared" si="1026"/>
        <v>2.276707530647986E-2</v>
      </c>
      <c r="AD742" s="139">
        <f t="shared" ref="AD742:AI742" si="1487">O742/$I742</f>
        <v>0</v>
      </c>
      <c r="AE742" s="139">
        <f t="shared" si="1487"/>
        <v>0</v>
      </c>
      <c r="AF742" s="139">
        <f t="shared" si="1487"/>
        <v>0</v>
      </c>
      <c r="AG742" s="139">
        <f t="shared" si="1487"/>
        <v>0</v>
      </c>
      <c r="AH742" s="139">
        <f t="shared" si="1487"/>
        <v>1.9264448336252189E-2</v>
      </c>
      <c r="AI742" s="139">
        <f t="shared" si="1487"/>
        <v>3.5026269702276708E-3</v>
      </c>
    </row>
    <row r="743" spans="2:35">
      <c r="B743" s="138" t="s">
        <v>8077</v>
      </c>
      <c r="C743" s="138" t="s">
        <v>4367</v>
      </c>
      <c r="D743" s="138" t="s">
        <v>11</v>
      </c>
      <c r="E743" s="138" t="s">
        <v>261</v>
      </c>
      <c r="F743" s="138" t="s">
        <v>8144</v>
      </c>
      <c r="H743" s="138">
        <v>59</v>
      </c>
      <c r="I743" s="138">
        <v>712</v>
      </c>
      <c r="K743" s="138">
        <v>168</v>
      </c>
      <c r="L743" s="138">
        <v>522</v>
      </c>
      <c r="N743" s="138">
        <v>7</v>
      </c>
      <c r="O743" s="138">
        <v>0</v>
      </c>
      <c r="S743" s="138">
        <v>11</v>
      </c>
      <c r="T743" s="138">
        <v>4</v>
      </c>
      <c r="U743" s="138">
        <f t="shared" si="1024"/>
        <v>15</v>
      </c>
      <c r="W743" s="139">
        <f t="shared" ref="W743:AA743" si="1488">J743/$I743</f>
        <v>0</v>
      </c>
      <c r="X743" s="139">
        <f t="shared" si="1488"/>
        <v>0.23595505617977527</v>
      </c>
      <c r="Y743" s="139">
        <f t="shared" si="1488"/>
        <v>0.7331460674157303</v>
      </c>
      <c r="Z743" s="139">
        <f t="shared" si="1488"/>
        <v>0</v>
      </c>
      <c r="AA743" s="139">
        <f t="shared" si="1488"/>
        <v>9.8314606741573031E-3</v>
      </c>
      <c r="AB743" s="139"/>
      <c r="AC743" s="139">
        <f t="shared" si="1026"/>
        <v>2.1067415730337078E-2</v>
      </c>
      <c r="AD743" s="139">
        <f t="shared" ref="AD743:AI743" si="1489">O743/$I743</f>
        <v>0</v>
      </c>
      <c r="AE743" s="139">
        <f t="shared" si="1489"/>
        <v>0</v>
      </c>
      <c r="AF743" s="139">
        <f t="shared" si="1489"/>
        <v>0</v>
      </c>
      <c r="AG743" s="139">
        <f t="shared" si="1489"/>
        <v>0</v>
      </c>
      <c r="AH743" s="139">
        <f t="shared" si="1489"/>
        <v>1.5449438202247191E-2</v>
      </c>
      <c r="AI743" s="139">
        <f t="shared" si="1489"/>
        <v>5.6179775280898875E-3</v>
      </c>
    </row>
    <row r="744" spans="2:35">
      <c r="B744" s="138" t="s">
        <v>8077</v>
      </c>
      <c r="C744" s="138" t="s">
        <v>4367</v>
      </c>
      <c r="D744" s="138" t="s">
        <v>11</v>
      </c>
      <c r="E744" s="138" t="s">
        <v>261</v>
      </c>
      <c r="F744" s="138" t="s">
        <v>8144</v>
      </c>
      <c r="H744" s="138">
        <v>60</v>
      </c>
      <c r="I744" s="138">
        <v>246</v>
      </c>
      <c r="K744" s="138">
        <v>76</v>
      </c>
      <c r="L744" s="138">
        <v>158</v>
      </c>
      <c r="N744" s="138">
        <v>8</v>
      </c>
      <c r="O744" s="138">
        <v>2</v>
      </c>
      <c r="S744" s="138">
        <v>2</v>
      </c>
      <c r="T744" s="138">
        <v>0</v>
      </c>
      <c r="U744" s="138">
        <f t="shared" si="1024"/>
        <v>4</v>
      </c>
      <c r="W744" s="139">
        <f t="shared" ref="W744:AA744" si="1490">J744/$I744</f>
        <v>0</v>
      </c>
      <c r="X744" s="139">
        <f t="shared" si="1490"/>
        <v>0.30894308943089432</v>
      </c>
      <c r="Y744" s="139">
        <f t="shared" si="1490"/>
        <v>0.64227642276422769</v>
      </c>
      <c r="Z744" s="139">
        <f t="shared" si="1490"/>
        <v>0</v>
      </c>
      <c r="AA744" s="139">
        <f t="shared" si="1490"/>
        <v>3.2520325203252036E-2</v>
      </c>
      <c r="AB744" s="139"/>
      <c r="AC744" s="139">
        <f t="shared" si="1026"/>
        <v>1.6260162601626018E-2</v>
      </c>
      <c r="AD744" s="139">
        <f t="shared" ref="AD744:AI744" si="1491">O744/$I744</f>
        <v>8.130081300813009E-3</v>
      </c>
      <c r="AE744" s="139">
        <f t="shared" si="1491"/>
        <v>0</v>
      </c>
      <c r="AF744" s="139">
        <f t="shared" si="1491"/>
        <v>0</v>
      </c>
      <c r="AG744" s="139">
        <f t="shared" si="1491"/>
        <v>0</v>
      </c>
      <c r="AH744" s="139">
        <f t="shared" si="1491"/>
        <v>8.130081300813009E-3</v>
      </c>
      <c r="AI744" s="139">
        <f t="shared" si="1491"/>
        <v>0</v>
      </c>
    </row>
    <row r="745" spans="2:35">
      <c r="B745" s="138" t="s">
        <v>8077</v>
      </c>
      <c r="C745" s="138" t="s">
        <v>4367</v>
      </c>
      <c r="D745" s="138" t="s">
        <v>11</v>
      </c>
      <c r="E745" s="138" t="s">
        <v>261</v>
      </c>
      <c r="F745" s="138" t="s">
        <v>8144</v>
      </c>
      <c r="H745" s="138">
        <v>61</v>
      </c>
      <c r="I745" s="138">
        <v>754</v>
      </c>
      <c r="K745" s="138">
        <v>237</v>
      </c>
      <c r="L745" s="138">
        <v>490</v>
      </c>
      <c r="N745" s="138">
        <v>7</v>
      </c>
      <c r="O745" s="138">
        <v>0</v>
      </c>
      <c r="S745" s="138">
        <v>12</v>
      </c>
      <c r="T745" s="138">
        <v>8</v>
      </c>
      <c r="U745" s="138">
        <f t="shared" si="1024"/>
        <v>20</v>
      </c>
      <c r="W745" s="139">
        <f t="shared" ref="W745:AA745" si="1492">J745/$I745</f>
        <v>0</v>
      </c>
      <c r="X745" s="139">
        <f t="shared" si="1492"/>
        <v>0.31432360742705573</v>
      </c>
      <c r="Y745" s="139">
        <f t="shared" si="1492"/>
        <v>0.64986737400530503</v>
      </c>
      <c r="Z745" s="139">
        <f t="shared" si="1492"/>
        <v>0</v>
      </c>
      <c r="AA745" s="139">
        <f t="shared" si="1492"/>
        <v>9.2838196286472146E-3</v>
      </c>
      <c r="AB745" s="139"/>
      <c r="AC745" s="139">
        <f t="shared" si="1026"/>
        <v>2.6525198938992044E-2</v>
      </c>
      <c r="AD745" s="139">
        <f t="shared" ref="AD745:AI745" si="1493">O745/$I745</f>
        <v>0</v>
      </c>
      <c r="AE745" s="139">
        <f t="shared" si="1493"/>
        <v>0</v>
      </c>
      <c r="AF745" s="139">
        <f t="shared" si="1493"/>
        <v>0</v>
      </c>
      <c r="AG745" s="139">
        <f t="shared" si="1493"/>
        <v>0</v>
      </c>
      <c r="AH745" s="139">
        <f t="shared" si="1493"/>
        <v>1.5915119363395226E-2</v>
      </c>
      <c r="AI745" s="139">
        <f t="shared" si="1493"/>
        <v>1.0610079575596816E-2</v>
      </c>
    </row>
    <row r="746" spans="2:35">
      <c r="B746" s="138" t="s">
        <v>8077</v>
      </c>
      <c r="C746" s="138" t="s">
        <v>4367</v>
      </c>
      <c r="D746" s="138" t="s">
        <v>11</v>
      </c>
      <c r="E746" s="138" t="s">
        <v>261</v>
      </c>
      <c r="F746" s="138" t="s">
        <v>8144</v>
      </c>
      <c r="H746" s="138">
        <v>62</v>
      </c>
      <c r="I746" s="138">
        <v>749</v>
      </c>
      <c r="K746" s="138">
        <v>208</v>
      </c>
      <c r="L746" s="138">
        <v>509</v>
      </c>
      <c r="N746" s="138">
        <v>7</v>
      </c>
      <c r="O746" s="138">
        <v>1</v>
      </c>
      <c r="S746" s="138">
        <v>18</v>
      </c>
      <c r="T746" s="138">
        <v>6</v>
      </c>
      <c r="U746" s="138">
        <f t="shared" si="1024"/>
        <v>25</v>
      </c>
      <c r="W746" s="139">
        <f t="shared" ref="W746:AA746" si="1494">J746/$I746</f>
        <v>0</v>
      </c>
      <c r="X746" s="139">
        <f t="shared" si="1494"/>
        <v>0.27770360480640854</v>
      </c>
      <c r="Y746" s="139">
        <f t="shared" si="1494"/>
        <v>0.67957276368491326</v>
      </c>
      <c r="Z746" s="139">
        <f t="shared" si="1494"/>
        <v>0</v>
      </c>
      <c r="AA746" s="139">
        <f t="shared" si="1494"/>
        <v>9.3457943925233638E-3</v>
      </c>
      <c r="AB746" s="139"/>
      <c r="AC746" s="139">
        <f t="shared" si="1026"/>
        <v>3.3377837116154871E-2</v>
      </c>
      <c r="AD746" s="139">
        <f t="shared" ref="AD746:AI746" si="1495">O746/$I746</f>
        <v>1.3351134846461949E-3</v>
      </c>
      <c r="AE746" s="139">
        <f t="shared" si="1495"/>
        <v>0</v>
      </c>
      <c r="AF746" s="139">
        <f t="shared" si="1495"/>
        <v>0</v>
      </c>
      <c r="AG746" s="139">
        <f t="shared" si="1495"/>
        <v>0</v>
      </c>
      <c r="AH746" s="139">
        <f t="shared" si="1495"/>
        <v>2.4032042723631509E-2</v>
      </c>
      <c r="AI746" s="139">
        <f t="shared" si="1495"/>
        <v>8.0106809078771702E-3</v>
      </c>
    </row>
    <row r="747" spans="2:35">
      <c r="B747" s="138" t="s">
        <v>8077</v>
      </c>
      <c r="C747" s="138" t="s">
        <v>4367</v>
      </c>
      <c r="D747" s="138" t="s">
        <v>11</v>
      </c>
      <c r="E747" s="138" t="s">
        <v>261</v>
      </c>
      <c r="F747" s="138" t="s">
        <v>8144</v>
      </c>
      <c r="H747" s="138">
        <v>63</v>
      </c>
      <c r="I747" s="138">
        <v>716</v>
      </c>
      <c r="K747" s="138">
        <v>195</v>
      </c>
      <c r="L747" s="138">
        <v>493</v>
      </c>
      <c r="N747" s="138">
        <v>5</v>
      </c>
      <c r="O747" s="138">
        <v>0</v>
      </c>
      <c r="S747" s="138">
        <v>14</v>
      </c>
      <c r="T747" s="138">
        <v>9</v>
      </c>
      <c r="U747" s="138">
        <f t="shared" si="1024"/>
        <v>23</v>
      </c>
      <c r="W747" s="139">
        <f t="shared" ref="W747:AA747" si="1496">J747/$I747</f>
        <v>0</v>
      </c>
      <c r="X747" s="139">
        <f t="shared" si="1496"/>
        <v>0.27234636871508378</v>
      </c>
      <c r="Y747" s="139">
        <f t="shared" si="1496"/>
        <v>0.68854748603351956</v>
      </c>
      <c r="Z747" s="139">
        <f t="shared" si="1496"/>
        <v>0</v>
      </c>
      <c r="AA747" s="139">
        <f t="shared" si="1496"/>
        <v>6.9832402234636867E-3</v>
      </c>
      <c r="AB747" s="139"/>
      <c r="AC747" s="139">
        <f t="shared" si="1026"/>
        <v>3.2122905027932962E-2</v>
      </c>
      <c r="AD747" s="139">
        <f t="shared" ref="AD747:AI747" si="1497">O747/$I747</f>
        <v>0</v>
      </c>
      <c r="AE747" s="139">
        <f t="shared" si="1497"/>
        <v>0</v>
      </c>
      <c r="AF747" s="139">
        <f t="shared" si="1497"/>
        <v>0</v>
      </c>
      <c r="AG747" s="139">
        <f t="shared" si="1497"/>
        <v>0</v>
      </c>
      <c r="AH747" s="139">
        <f t="shared" si="1497"/>
        <v>1.9553072625698324E-2</v>
      </c>
      <c r="AI747" s="139">
        <f t="shared" si="1497"/>
        <v>1.2569832402234637E-2</v>
      </c>
    </row>
    <row r="748" spans="2:35">
      <c r="B748" s="138" t="s">
        <v>8077</v>
      </c>
      <c r="C748" s="138" t="s">
        <v>4367</v>
      </c>
      <c r="D748" s="138" t="s">
        <v>11</v>
      </c>
      <c r="E748" s="138" t="s">
        <v>261</v>
      </c>
      <c r="F748" s="138" t="s">
        <v>8144</v>
      </c>
      <c r="H748" s="138">
        <v>64</v>
      </c>
      <c r="I748" s="138">
        <v>719</v>
      </c>
      <c r="K748" s="138">
        <v>178</v>
      </c>
      <c r="L748" s="138">
        <v>512</v>
      </c>
      <c r="N748" s="138">
        <v>3</v>
      </c>
      <c r="O748" s="138">
        <v>0</v>
      </c>
      <c r="S748" s="138">
        <v>20</v>
      </c>
      <c r="T748" s="138">
        <v>6</v>
      </c>
      <c r="U748" s="138">
        <f t="shared" si="1024"/>
        <v>26</v>
      </c>
      <c r="W748" s="139">
        <f t="shared" ref="W748:AA748" si="1498">J748/$I748</f>
        <v>0</v>
      </c>
      <c r="X748" s="139">
        <f t="shared" si="1498"/>
        <v>0.24756606397774686</v>
      </c>
      <c r="Y748" s="139">
        <f t="shared" si="1498"/>
        <v>0.71210013908205838</v>
      </c>
      <c r="Z748" s="139">
        <f t="shared" si="1498"/>
        <v>0</v>
      </c>
      <c r="AA748" s="139">
        <f t="shared" si="1498"/>
        <v>4.172461752433936E-3</v>
      </c>
      <c r="AB748" s="139"/>
      <c r="AC748" s="139">
        <f t="shared" si="1026"/>
        <v>3.6161335187760782E-2</v>
      </c>
      <c r="AD748" s="139">
        <f t="shared" ref="AD748:AI748" si="1499">O748/$I748</f>
        <v>0</v>
      </c>
      <c r="AE748" s="139">
        <f t="shared" si="1499"/>
        <v>0</v>
      </c>
      <c r="AF748" s="139">
        <f t="shared" si="1499"/>
        <v>0</v>
      </c>
      <c r="AG748" s="139">
        <f t="shared" si="1499"/>
        <v>0</v>
      </c>
      <c r="AH748" s="139">
        <f t="shared" si="1499"/>
        <v>2.7816411682892908E-2</v>
      </c>
      <c r="AI748" s="139">
        <f t="shared" si="1499"/>
        <v>8.3449235048678721E-3</v>
      </c>
    </row>
    <row r="749" spans="2:35">
      <c r="B749" s="138" t="s">
        <v>8077</v>
      </c>
      <c r="C749" s="138" t="s">
        <v>4367</v>
      </c>
      <c r="D749" s="138" t="s">
        <v>11</v>
      </c>
      <c r="E749" s="138" t="s">
        <v>261</v>
      </c>
      <c r="F749" s="138" t="s">
        <v>8144</v>
      </c>
      <c r="H749" s="138">
        <v>65</v>
      </c>
      <c r="I749" s="138">
        <v>730</v>
      </c>
      <c r="K749" s="138">
        <v>212</v>
      </c>
      <c r="L749" s="138">
        <v>488</v>
      </c>
      <c r="N749" s="138">
        <v>7</v>
      </c>
      <c r="O749" s="138">
        <v>1</v>
      </c>
      <c r="S749" s="138">
        <v>16</v>
      </c>
      <c r="T749" s="138">
        <v>6</v>
      </c>
      <c r="U749" s="138">
        <f t="shared" si="1024"/>
        <v>23</v>
      </c>
      <c r="W749" s="139">
        <f t="shared" ref="W749:AA749" si="1500">J749/$I749</f>
        <v>0</v>
      </c>
      <c r="X749" s="139">
        <f t="shared" si="1500"/>
        <v>0.29041095890410956</v>
      </c>
      <c r="Y749" s="139">
        <f t="shared" si="1500"/>
        <v>0.66849315068493154</v>
      </c>
      <c r="Z749" s="139">
        <f t="shared" si="1500"/>
        <v>0</v>
      </c>
      <c r="AA749" s="139">
        <f t="shared" si="1500"/>
        <v>9.5890410958904115E-3</v>
      </c>
      <c r="AB749" s="139"/>
      <c r="AC749" s="139">
        <f t="shared" si="1026"/>
        <v>3.1506849315068496E-2</v>
      </c>
      <c r="AD749" s="139">
        <f t="shared" ref="AD749:AI749" si="1501">O749/$I749</f>
        <v>1.3698630136986301E-3</v>
      </c>
      <c r="AE749" s="139">
        <f t="shared" si="1501"/>
        <v>0</v>
      </c>
      <c r="AF749" s="139">
        <f t="shared" si="1501"/>
        <v>0</v>
      </c>
      <c r="AG749" s="139">
        <f t="shared" si="1501"/>
        <v>0</v>
      </c>
      <c r="AH749" s="139">
        <f t="shared" si="1501"/>
        <v>2.1917808219178082E-2</v>
      </c>
      <c r="AI749" s="139">
        <f t="shared" si="1501"/>
        <v>8.21917808219178E-3</v>
      </c>
    </row>
    <row r="750" spans="2:35">
      <c r="B750" s="138" t="s">
        <v>8077</v>
      </c>
      <c r="C750" s="138" t="s">
        <v>4367</v>
      </c>
      <c r="D750" s="138" t="s">
        <v>11</v>
      </c>
      <c r="E750" s="138" t="s">
        <v>261</v>
      </c>
      <c r="F750" s="138" t="s">
        <v>8144</v>
      </c>
      <c r="H750" s="138">
        <v>66</v>
      </c>
      <c r="I750" s="138">
        <v>726</v>
      </c>
      <c r="K750" s="138">
        <v>181</v>
      </c>
      <c r="L750" s="138">
        <v>525</v>
      </c>
      <c r="N750" s="138">
        <v>6</v>
      </c>
      <c r="O750" s="138">
        <v>3</v>
      </c>
      <c r="S750" s="138">
        <v>6</v>
      </c>
      <c r="T750" s="138">
        <v>5</v>
      </c>
      <c r="U750" s="138">
        <f t="shared" si="1024"/>
        <v>14</v>
      </c>
      <c r="W750" s="139">
        <f t="shared" ref="W750:AA750" si="1502">J750/$I750</f>
        <v>0</v>
      </c>
      <c r="X750" s="139">
        <f t="shared" si="1502"/>
        <v>0.24931129476584021</v>
      </c>
      <c r="Y750" s="139">
        <f t="shared" si="1502"/>
        <v>0.72314049586776863</v>
      </c>
      <c r="Z750" s="139">
        <f t="shared" si="1502"/>
        <v>0</v>
      </c>
      <c r="AA750" s="139">
        <f t="shared" si="1502"/>
        <v>8.2644628099173556E-3</v>
      </c>
      <c r="AB750" s="139"/>
      <c r="AC750" s="139">
        <f t="shared" si="1026"/>
        <v>1.928374655647383E-2</v>
      </c>
      <c r="AD750" s="139">
        <f t="shared" ref="AD750:AI750" si="1503">O750/$I750</f>
        <v>4.1322314049586778E-3</v>
      </c>
      <c r="AE750" s="139">
        <f t="shared" si="1503"/>
        <v>0</v>
      </c>
      <c r="AF750" s="139">
        <f t="shared" si="1503"/>
        <v>0</v>
      </c>
      <c r="AG750" s="139">
        <f t="shared" si="1503"/>
        <v>0</v>
      </c>
      <c r="AH750" s="139">
        <f t="shared" si="1503"/>
        <v>8.2644628099173556E-3</v>
      </c>
      <c r="AI750" s="139">
        <f t="shared" si="1503"/>
        <v>6.8870523415977963E-3</v>
      </c>
    </row>
    <row r="751" spans="2:35">
      <c r="B751" s="138" t="s">
        <v>8077</v>
      </c>
      <c r="C751" s="138" t="s">
        <v>4367</v>
      </c>
      <c r="D751" s="138" t="s">
        <v>11</v>
      </c>
      <c r="E751" s="138" t="s">
        <v>261</v>
      </c>
      <c r="F751" s="138" t="s">
        <v>8144</v>
      </c>
      <c r="H751" s="138">
        <v>67</v>
      </c>
      <c r="I751" s="138">
        <v>249</v>
      </c>
      <c r="K751" s="138">
        <v>67</v>
      </c>
      <c r="L751" s="138">
        <v>174</v>
      </c>
      <c r="N751" s="138">
        <v>3</v>
      </c>
      <c r="O751" s="138">
        <v>2</v>
      </c>
      <c r="S751" s="138">
        <v>2</v>
      </c>
      <c r="T751" s="138">
        <v>1</v>
      </c>
      <c r="U751" s="138">
        <f t="shared" si="1024"/>
        <v>5</v>
      </c>
      <c r="W751" s="139">
        <f t="shared" ref="W751:AA751" si="1504">J751/$I751</f>
        <v>0</v>
      </c>
      <c r="X751" s="139">
        <f t="shared" si="1504"/>
        <v>0.26907630522088355</v>
      </c>
      <c r="Y751" s="139">
        <f t="shared" si="1504"/>
        <v>0.6987951807228916</v>
      </c>
      <c r="Z751" s="139">
        <f t="shared" si="1504"/>
        <v>0</v>
      </c>
      <c r="AA751" s="139">
        <f t="shared" si="1504"/>
        <v>1.2048192771084338E-2</v>
      </c>
      <c r="AB751" s="139"/>
      <c r="AC751" s="139">
        <f t="shared" si="1026"/>
        <v>2.0080321285140562E-2</v>
      </c>
      <c r="AD751" s="139">
        <f t="shared" ref="AD751:AI751" si="1505">O751/$I751</f>
        <v>8.0321285140562242E-3</v>
      </c>
      <c r="AE751" s="139">
        <f t="shared" si="1505"/>
        <v>0</v>
      </c>
      <c r="AF751" s="139">
        <f t="shared" si="1505"/>
        <v>0</v>
      </c>
      <c r="AG751" s="139">
        <f t="shared" si="1505"/>
        <v>0</v>
      </c>
      <c r="AH751" s="139">
        <f t="shared" si="1505"/>
        <v>8.0321285140562242E-3</v>
      </c>
      <c r="AI751" s="139">
        <f t="shared" si="1505"/>
        <v>4.0160642570281121E-3</v>
      </c>
    </row>
    <row r="752" spans="2:35">
      <c r="B752" s="138" t="s">
        <v>8077</v>
      </c>
      <c r="C752" s="138" t="s">
        <v>4367</v>
      </c>
      <c r="D752" s="138" t="s">
        <v>11</v>
      </c>
      <c r="E752" s="138" t="s">
        <v>261</v>
      </c>
      <c r="F752" s="138" t="s">
        <v>8144</v>
      </c>
      <c r="H752" s="138">
        <v>68</v>
      </c>
      <c r="I752" s="138">
        <v>562</v>
      </c>
      <c r="K752" s="138">
        <v>150</v>
      </c>
      <c r="L752" s="138">
        <v>387</v>
      </c>
      <c r="N752" s="138">
        <v>5</v>
      </c>
      <c r="O752" s="138">
        <v>1</v>
      </c>
      <c r="S752" s="138">
        <v>12</v>
      </c>
      <c r="T752" s="138">
        <v>7</v>
      </c>
      <c r="U752" s="138">
        <f t="shared" si="1024"/>
        <v>20</v>
      </c>
      <c r="W752" s="139">
        <f t="shared" ref="W752:AA752" si="1506">J752/$I752</f>
        <v>0</v>
      </c>
      <c r="X752" s="139">
        <f t="shared" si="1506"/>
        <v>0.2669039145907473</v>
      </c>
      <c r="Y752" s="139">
        <f t="shared" si="1506"/>
        <v>0.68861209964412806</v>
      </c>
      <c r="Z752" s="139">
        <f t="shared" si="1506"/>
        <v>0</v>
      </c>
      <c r="AA752" s="139">
        <f t="shared" si="1506"/>
        <v>8.8967971530249119E-3</v>
      </c>
      <c r="AB752" s="139"/>
      <c r="AC752" s="139">
        <f t="shared" si="1026"/>
        <v>3.5587188612099648E-2</v>
      </c>
      <c r="AD752" s="139">
        <f t="shared" ref="AD752:AI752" si="1507">O752/$I752</f>
        <v>1.7793594306049821E-3</v>
      </c>
      <c r="AE752" s="139">
        <f t="shared" si="1507"/>
        <v>0</v>
      </c>
      <c r="AF752" s="139">
        <f t="shared" si="1507"/>
        <v>0</v>
      </c>
      <c r="AG752" s="139">
        <f t="shared" si="1507"/>
        <v>0</v>
      </c>
      <c r="AH752" s="139">
        <f t="shared" si="1507"/>
        <v>2.1352313167259787E-2</v>
      </c>
      <c r="AI752" s="139">
        <f t="shared" si="1507"/>
        <v>1.2455516014234875E-2</v>
      </c>
    </row>
    <row r="753" spans="2:35">
      <c r="B753" s="138" t="s">
        <v>8077</v>
      </c>
      <c r="C753" s="138" t="s">
        <v>4367</v>
      </c>
      <c r="D753" s="138" t="s">
        <v>11</v>
      </c>
      <c r="E753" s="138" t="s">
        <v>261</v>
      </c>
      <c r="F753" s="138" t="s">
        <v>8144</v>
      </c>
      <c r="H753" s="138">
        <v>69</v>
      </c>
      <c r="I753" s="138">
        <v>593</v>
      </c>
      <c r="K753" s="138">
        <v>191</v>
      </c>
      <c r="L753" s="138">
        <v>370</v>
      </c>
      <c r="N753" s="138">
        <v>7</v>
      </c>
      <c r="O753" s="138">
        <v>2</v>
      </c>
      <c r="S753" s="138">
        <v>17</v>
      </c>
      <c r="T753" s="138">
        <v>6</v>
      </c>
      <c r="U753" s="138">
        <f t="shared" si="1024"/>
        <v>25</v>
      </c>
      <c r="W753" s="139">
        <f t="shared" ref="W753:AA753" si="1508">J753/$I753</f>
        <v>0</v>
      </c>
      <c r="X753" s="139">
        <f t="shared" si="1508"/>
        <v>0.32209106239460372</v>
      </c>
      <c r="Y753" s="139">
        <f t="shared" si="1508"/>
        <v>0.62394603709949414</v>
      </c>
      <c r="Z753" s="139">
        <f t="shared" si="1508"/>
        <v>0</v>
      </c>
      <c r="AA753" s="139">
        <f t="shared" si="1508"/>
        <v>1.1804384485666104E-2</v>
      </c>
      <c r="AB753" s="139"/>
      <c r="AC753" s="139">
        <f t="shared" si="1026"/>
        <v>4.2158516020236091E-2</v>
      </c>
      <c r="AD753" s="139">
        <f t="shared" ref="AD753:AI753" si="1509">O753/$I753</f>
        <v>3.3726812816188868E-3</v>
      </c>
      <c r="AE753" s="139">
        <f t="shared" si="1509"/>
        <v>0</v>
      </c>
      <c r="AF753" s="139">
        <f t="shared" si="1509"/>
        <v>0</v>
      </c>
      <c r="AG753" s="139">
        <f t="shared" si="1509"/>
        <v>0</v>
      </c>
      <c r="AH753" s="139">
        <f t="shared" si="1509"/>
        <v>2.866779089376054E-2</v>
      </c>
      <c r="AI753" s="139">
        <f t="shared" si="1509"/>
        <v>1.0118043844856661E-2</v>
      </c>
    </row>
    <row r="754" spans="2:35">
      <c r="B754" s="138" t="s">
        <v>8077</v>
      </c>
      <c r="C754" s="138" t="s">
        <v>4367</v>
      </c>
      <c r="D754" s="138" t="s">
        <v>11</v>
      </c>
      <c r="E754" s="138" t="s">
        <v>261</v>
      </c>
      <c r="F754" s="138" t="s">
        <v>8144</v>
      </c>
      <c r="H754" s="138">
        <v>70</v>
      </c>
      <c r="I754" s="138">
        <v>794</v>
      </c>
      <c r="K754" s="138">
        <v>340</v>
      </c>
      <c r="L754" s="138">
        <v>417</v>
      </c>
      <c r="N754" s="138">
        <v>13</v>
      </c>
      <c r="O754" s="138">
        <v>3</v>
      </c>
      <c r="S754" s="138">
        <v>14</v>
      </c>
      <c r="T754" s="138">
        <v>7</v>
      </c>
      <c r="U754" s="138">
        <f t="shared" si="1024"/>
        <v>24</v>
      </c>
      <c r="W754" s="139">
        <f t="shared" ref="W754:AA754" si="1510">J754/$I754</f>
        <v>0</v>
      </c>
      <c r="X754" s="139">
        <f t="shared" si="1510"/>
        <v>0.4282115869017632</v>
      </c>
      <c r="Y754" s="139">
        <f t="shared" si="1510"/>
        <v>0.52518891687657432</v>
      </c>
      <c r="Z754" s="139">
        <f t="shared" si="1510"/>
        <v>0</v>
      </c>
      <c r="AA754" s="139">
        <f t="shared" si="1510"/>
        <v>1.6372795969773299E-2</v>
      </c>
      <c r="AB754" s="139"/>
      <c r="AC754" s="139">
        <f t="shared" si="1026"/>
        <v>3.0226700251889168E-2</v>
      </c>
      <c r="AD754" s="139">
        <f t="shared" ref="AD754:AI754" si="1511">O754/$I754</f>
        <v>3.778337531486146E-3</v>
      </c>
      <c r="AE754" s="139">
        <f t="shared" si="1511"/>
        <v>0</v>
      </c>
      <c r="AF754" s="139">
        <f t="shared" si="1511"/>
        <v>0</v>
      </c>
      <c r="AG754" s="139">
        <f t="shared" si="1511"/>
        <v>0</v>
      </c>
      <c r="AH754" s="139">
        <f t="shared" si="1511"/>
        <v>1.7632241813602016E-2</v>
      </c>
      <c r="AI754" s="139">
        <f t="shared" si="1511"/>
        <v>8.8161209068010078E-3</v>
      </c>
    </row>
    <row r="755" spans="2:35">
      <c r="B755" s="138" t="s">
        <v>8077</v>
      </c>
      <c r="C755" s="138" t="s">
        <v>4367</v>
      </c>
      <c r="D755" s="138" t="s">
        <v>11</v>
      </c>
      <c r="E755" s="138" t="s">
        <v>261</v>
      </c>
      <c r="F755" s="138" t="s">
        <v>8144</v>
      </c>
      <c r="H755" s="138">
        <v>71</v>
      </c>
      <c r="I755" s="138">
        <v>343</v>
      </c>
      <c r="K755" s="138">
        <v>138</v>
      </c>
      <c r="L755" s="138">
        <v>189</v>
      </c>
      <c r="N755" s="138">
        <v>7</v>
      </c>
      <c r="O755" s="138">
        <v>1</v>
      </c>
      <c r="S755" s="138">
        <v>4</v>
      </c>
      <c r="T755" s="138">
        <v>4</v>
      </c>
      <c r="U755" s="138">
        <f t="shared" si="1024"/>
        <v>9</v>
      </c>
      <c r="W755" s="139">
        <f t="shared" ref="W755:AA755" si="1512">J755/$I755</f>
        <v>0</v>
      </c>
      <c r="X755" s="139">
        <f t="shared" si="1512"/>
        <v>0.40233236151603496</v>
      </c>
      <c r="Y755" s="139">
        <f t="shared" si="1512"/>
        <v>0.55102040816326525</v>
      </c>
      <c r="Z755" s="139">
        <f t="shared" si="1512"/>
        <v>0</v>
      </c>
      <c r="AA755" s="139">
        <f t="shared" si="1512"/>
        <v>2.0408163265306121E-2</v>
      </c>
      <c r="AB755" s="139"/>
      <c r="AC755" s="139">
        <f t="shared" si="1026"/>
        <v>2.6239067055393587E-2</v>
      </c>
      <c r="AD755" s="139">
        <f t="shared" ref="AD755:AI755" si="1513">O755/$I755</f>
        <v>2.9154518950437317E-3</v>
      </c>
      <c r="AE755" s="139">
        <f t="shared" si="1513"/>
        <v>0</v>
      </c>
      <c r="AF755" s="139">
        <f t="shared" si="1513"/>
        <v>0</v>
      </c>
      <c r="AG755" s="139">
        <f t="shared" si="1513"/>
        <v>0</v>
      </c>
      <c r="AH755" s="139">
        <f t="shared" si="1513"/>
        <v>1.1661807580174927E-2</v>
      </c>
      <c r="AI755" s="139">
        <f t="shared" si="1513"/>
        <v>1.1661807580174927E-2</v>
      </c>
    </row>
    <row r="756" spans="2:35">
      <c r="B756" s="138" t="s">
        <v>8077</v>
      </c>
      <c r="C756" s="138" t="s">
        <v>4367</v>
      </c>
      <c r="D756" s="138" t="s">
        <v>11</v>
      </c>
      <c r="E756" s="138" t="s">
        <v>261</v>
      </c>
      <c r="F756" s="138" t="s">
        <v>8144</v>
      </c>
      <c r="H756" s="138">
        <v>72</v>
      </c>
      <c r="I756" s="138">
        <v>784</v>
      </c>
      <c r="K756" s="138">
        <v>219</v>
      </c>
      <c r="L756" s="138">
        <v>524</v>
      </c>
      <c r="N756" s="138">
        <v>11</v>
      </c>
      <c r="O756" s="138">
        <v>1</v>
      </c>
      <c r="S756" s="138">
        <v>23</v>
      </c>
      <c r="T756" s="138">
        <v>6</v>
      </c>
      <c r="U756" s="138">
        <f t="shared" si="1024"/>
        <v>30</v>
      </c>
      <c r="W756" s="139">
        <f t="shared" ref="W756:AA756" si="1514">J756/$I756</f>
        <v>0</v>
      </c>
      <c r="X756" s="139">
        <f t="shared" si="1514"/>
        <v>0.27933673469387754</v>
      </c>
      <c r="Y756" s="139">
        <f t="shared" si="1514"/>
        <v>0.66836734693877553</v>
      </c>
      <c r="Z756" s="139">
        <f t="shared" si="1514"/>
        <v>0</v>
      </c>
      <c r="AA756" s="139">
        <f t="shared" si="1514"/>
        <v>1.4030612244897959E-2</v>
      </c>
      <c r="AB756" s="139"/>
      <c r="AC756" s="139">
        <f t="shared" si="1026"/>
        <v>3.826530612244898E-2</v>
      </c>
      <c r="AD756" s="139">
        <f t="shared" ref="AD756:AI756" si="1515">O756/$I756</f>
        <v>1.2755102040816326E-3</v>
      </c>
      <c r="AE756" s="139">
        <f t="shared" si="1515"/>
        <v>0</v>
      </c>
      <c r="AF756" s="139">
        <f t="shared" si="1515"/>
        <v>0</v>
      </c>
      <c r="AG756" s="139">
        <f t="shared" si="1515"/>
        <v>0</v>
      </c>
      <c r="AH756" s="139">
        <f t="shared" si="1515"/>
        <v>2.9336734693877552E-2</v>
      </c>
      <c r="AI756" s="139">
        <f t="shared" si="1515"/>
        <v>7.6530612244897957E-3</v>
      </c>
    </row>
    <row r="757" spans="2:35">
      <c r="B757" s="138" t="s">
        <v>8077</v>
      </c>
      <c r="C757" s="138" t="s">
        <v>4367</v>
      </c>
      <c r="D757" s="138" t="s">
        <v>11</v>
      </c>
      <c r="E757" s="138" t="s">
        <v>261</v>
      </c>
      <c r="F757" s="138" t="s">
        <v>8144</v>
      </c>
      <c r="H757" s="138">
        <v>73</v>
      </c>
      <c r="I757" s="138">
        <v>573</v>
      </c>
      <c r="K757" s="138">
        <v>144</v>
      </c>
      <c r="L757" s="138">
        <v>399</v>
      </c>
      <c r="N757" s="138">
        <v>8</v>
      </c>
      <c r="O757" s="138">
        <v>1</v>
      </c>
      <c r="S757" s="138">
        <v>18</v>
      </c>
      <c r="T757" s="138">
        <v>3</v>
      </c>
      <c r="U757" s="138">
        <f t="shared" si="1024"/>
        <v>22</v>
      </c>
      <c r="W757" s="139">
        <f t="shared" ref="W757:AA757" si="1516">J757/$I757</f>
        <v>0</v>
      </c>
      <c r="X757" s="139">
        <f t="shared" si="1516"/>
        <v>0.2513089005235602</v>
      </c>
      <c r="Y757" s="139">
        <f t="shared" si="1516"/>
        <v>0.69633507853403143</v>
      </c>
      <c r="Z757" s="139">
        <f t="shared" si="1516"/>
        <v>0</v>
      </c>
      <c r="AA757" s="139">
        <f t="shared" si="1516"/>
        <v>1.3961605584642234E-2</v>
      </c>
      <c r="AB757" s="139"/>
      <c r="AC757" s="139">
        <f t="shared" si="1026"/>
        <v>3.8394415357766144E-2</v>
      </c>
      <c r="AD757" s="139">
        <f t="shared" ref="AD757:AI757" si="1517">O757/$I757</f>
        <v>1.7452006980802793E-3</v>
      </c>
      <c r="AE757" s="139">
        <f t="shared" si="1517"/>
        <v>0</v>
      </c>
      <c r="AF757" s="139">
        <f t="shared" si="1517"/>
        <v>0</v>
      </c>
      <c r="AG757" s="139">
        <f t="shared" si="1517"/>
        <v>0</v>
      </c>
      <c r="AH757" s="139">
        <f t="shared" si="1517"/>
        <v>3.1413612565445025E-2</v>
      </c>
      <c r="AI757" s="139">
        <f t="shared" si="1517"/>
        <v>5.235602094240838E-3</v>
      </c>
    </row>
    <row r="758" spans="2:35">
      <c r="B758" s="138" t="s">
        <v>8077</v>
      </c>
      <c r="C758" s="138" t="s">
        <v>4367</v>
      </c>
      <c r="D758" s="138" t="s">
        <v>11</v>
      </c>
      <c r="E758" s="138" t="s">
        <v>261</v>
      </c>
      <c r="F758" s="138" t="s">
        <v>8144</v>
      </c>
      <c r="H758" s="138">
        <v>74</v>
      </c>
      <c r="I758" s="138">
        <v>728</v>
      </c>
      <c r="K758" s="138">
        <v>3</v>
      </c>
      <c r="L758" s="138">
        <v>7</v>
      </c>
      <c r="N758" s="138">
        <v>239</v>
      </c>
      <c r="O758" s="138">
        <v>9</v>
      </c>
      <c r="S758" s="138">
        <v>465</v>
      </c>
      <c r="T758" s="138">
        <v>5</v>
      </c>
      <c r="U758" s="138">
        <f t="shared" si="1024"/>
        <v>479</v>
      </c>
      <c r="W758" s="139">
        <f t="shared" ref="W758:AA758" si="1518">J758/$I758</f>
        <v>0</v>
      </c>
      <c r="X758" s="139">
        <f t="shared" si="1518"/>
        <v>4.120879120879121E-3</v>
      </c>
      <c r="Y758" s="139">
        <f t="shared" si="1518"/>
        <v>9.6153846153846159E-3</v>
      </c>
      <c r="Z758" s="139">
        <f t="shared" si="1518"/>
        <v>0</v>
      </c>
      <c r="AA758" s="139">
        <f t="shared" si="1518"/>
        <v>0.3282967032967033</v>
      </c>
      <c r="AB758" s="139"/>
      <c r="AC758" s="139">
        <f t="shared" si="1026"/>
        <v>0.65796703296703296</v>
      </c>
      <c r="AD758" s="139">
        <f t="shared" ref="AD758:AI758" si="1519">O758/$I758</f>
        <v>1.2362637362637362E-2</v>
      </c>
      <c r="AE758" s="139">
        <f t="shared" si="1519"/>
        <v>0</v>
      </c>
      <c r="AF758" s="139">
        <f t="shared" si="1519"/>
        <v>0</v>
      </c>
      <c r="AG758" s="139">
        <f t="shared" si="1519"/>
        <v>0</v>
      </c>
      <c r="AH758" s="139">
        <f t="shared" si="1519"/>
        <v>0.63873626373626369</v>
      </c>
      <c r="AI758" s="139">
        <f t="shared" si="1519"/>
        <v>6.868131868131868E-3</v>
      </c>
    </row>
    <row r="759" spans="2:35">
      <c r="B759" s="138" t="s">
        <v>8077</v>
      </c>
      <c r="C759" s="138" t="s">
        <v>4367</v>
      </c>
      <c r="D759" s="138" t="s">
        <v>11</v>
      </c>
      <c r="E759" s="138" t="s">
        <v>261</v>
      </c>
      <c r="F759" s="138" t="s">
        <v>8144</v>
      </c>
      <c r="H759" s="138">
        <v>75</v>
      </c>
      <c r="I759" s="138">
        <v>601</v>
      </c>
      <c r="K759" s="138">
        <v>171</v>
      </c>
      <c r="L759" s="138">
        <v>410</v>
      </c>
      <c r="N759" s="138">
        <v>5</v>
      </c>
      <c r="O759" s="138">
        <v>1</v>
      </c>
      <c r="S759" s="138">
        <v>8</v>
      </c>
      <c r="T759" s="138">
        <v>6</v>
      </c>
      <c r="U759" s="138">
        <f t="shared" si="1024"/>
        <v>15</v>
      </c>
      <c r="W759" s="139">
        <f t="shared" ref="W759:AA759" si="1520">J759/$I759</f>
        <v>0</v>
      </c>
      <c r="X759" s="139">
        <f t="shared" si="1520"/>
        <v>0.28452579034941766</v>
      </c>
      <c r="Y759" s="139">
        <f t="shared" si="1520"/>
        <v>0.68219633943427616</v>
      </c>
      <c r="Z759" s="139">
        <f t="shared" si="1520"/>
        <v>0</v>
      </c>
      <c r="AA759" s="139">
        <f t="shared" si="1520"/>
        <v>8.3194675540765387E-3</v>
      </c>
      <c r="AB759" s="139"/>
      <c r="AC759" s="139">
        <f t="shared" si="1026"/>
        <v>2.4958402662229616E-2</v>
      </c>
      <c r="AD759" s="139">
        <f t="shared" ref="AD759:AI759" si="1521">O759/$I759</f>
        <v>1.6638935108153079E-3</v>
      </c>
      <c r="AE759" s="139">
        <f t="shared" si="1521"/>
        <v>0</v>
      </c>
      <c r="AF759" s="139">
        <f t="shared" si="1521"/>
        <v>0</v>
      </c>
      <c r="AG759" s="139">
        <f t="shared" si="1521"/>
        <v>0</v>
      </c>
      <c r="AH759" s="139">
        <f t="shared" si="1521"/>
        <v>1.3311148086522463E-2</v>
      </c>
      <c r="AI759" s="139">
        <f t="shared" si="1521"/>
        <v>9.9833610648918467E-3</v>
      </c>
    </row>
    <row r="760" spans="2:35">
      <c r="B760" s="138" t="s">
        <v>8077</v>
      </c>
      <c r="C760" s="138" t="s">
        <v>4367</v>
      </c>
      <c r="D760" s="138" t="s">
        <v>11</v>
      </c>
      <c r="E760" s="138" t="s">
        <v>261</v>
      </c>
      <c r="F760" s="138" t="s">
        <v>8144</v>
      </c>
      <c r="H760" s="138">
        <v>76</v>
      </c>
      <c r="I760" s="138">
        <v>643</v>
      </c>
      <c r="K760" s="138">
        <v>271</v>
      </c>
      <c r="L760" s="138">
        <v>352</v>
      </c>
      <c r="N760" s="138">
        <v>6</v>
      </c>
      <c r="O760" s="138">
        <v>2</v>
      </c>
      <c r="S760" s="138">
        <v>10</v>
      </c>
      <c r="T760" s="138">
        <v>2</v>
      </c>
      <c r="U760" s="138">
        <f t="shared" si="1024"/>
        <v>14</v>
      </c>
      <c r="W760" s="139">
        <f t="shared" ref="W760:AA760" si="1522">J760/$I760</f>
        <v>0</v>
      </c>
      <c r="X760" s="139">
        <f t="shared" si="1522"/>
        <v>0.42146189735614309</v>
      </c>
      <c r="Y760" s="139">
        <f t="shared" si="1522"/>
        <v>0.54743390357698285</v>
      </c>
      <c r="Z760" s="139">
        <f t="shared" si="1522"/>
        <v>0</v>
      </c>
      <c r="AA760" s="139">
        <f t="shared" si="1522"/>
        <v>9.3312597200622092E-3</v>
      </c>
      <c r="AB760" s="139"/>
      <c r="AC760" s="139">
        <f t="shared" si="1026"/>
        <v>2.177293934681182E-2</v>
      </c>
      <c r="AD760" s="139">
        <f t="shared" ref="AD760:AI760" si="1523">O760/$I760</f>
        <v>3.1104199066874028E-3</v>
      </c>
      <c r="AE760" s="139">
        <f t="shared" si="1523"/>
        <v>0</v>
      </c>
      <c r="AF760" s="139">
        <f t="shared" si="1523"/>
        <v>0</v>
      </c>
      <c r="AG760" s="139">
        <f t="shared" si="1523"/>
        <v>0</v>
      </c>
      <c r="AH760" s="139">
        <f t="shared" si="1523"/>
        <v>1.5552099533437015E-2</v>
      </c>
      <c r="AI760" s="139">
        <f t="shared" si="1523"/>
        <v>3.1104199066874028E-3</v>
      </c>
    </row>
    <row r="761" spans="2:35">
      <c r="B761" s="138" t="s">
        <v>8077</v>
      </c>
      <c r="C761" s="138" t="s">
        <v>4367</v>
      </c>
      <c r="D761" s="138" t="s">
        <v>11</v>
      </c>
      <c r="E761" s="138" t="s">
        <v>261</v>
      </c>
      <c r="F761" s="138" t="s">
        <v>838</v>
      </c>
      <c r="H761" s="138">
        <v>77</v>
      </c>
      <c r="I761" s="138">
        <v>1061</v>
      </c>
      <c r="K761" s="138">
        <v>251</v>
      </c>
      <c r="L761" s="138">
        <v>765</v>
      </c>
      <c r="N761" s="138">
        <v>13</v>
      </c>
      <c r="O761" s="138">
        <v>4</v>
      </c>
      <c r="S761" s="138">
        <v>21</v>
      </c>
      <c r="T761" s="138">
        <v>7</v>
      </c>
      <c r="U761" s="138">
        <f t="shared" si="1024"/>
        <v>32</v>
      </c>
      <c r="W761" s="139">
        <f t="shared" ref="W761:AA761" si="1524">J761/$I761</f>
        <v>0</v>
      </c>
      <c r="X761" s="139">
        <f t="shared" si="1524"/>
        <v>0.23656927426955701</v>
      </c>
      <c r="Y761" s="139">
        <f t="shared" si="1524"/>
        <v>0.72101790763430729</v>
      </c>
      <c r="Z761" s="139">
        <f t="shared" si="1524"/>
        <v>0</v>
      </c>
      <c r="AA761" s="139">
        <f t="shared" si="1524"/>
        <v>1.2252591894439209E-2</v>
      </c>
      <c r="AB761" s="139"/>
      <c r="AC761" s="139">
        <f t="shared" si="1026"/>
        <v>3.0160226201696512E-2</v>
      </c>
      <c r="AD761" s="139">
        <f t="shared" ref="AD761:AI761" si="1525">O761/$I761</f>
        <v>3.770028275212064E-3</v>
      </c>
      <c r="AE761" s="139">
        <f t="shared" si="1525"/>
        <v>0</v>
      </c>
      <c r="AF761" s="139">
        <f t="shared" si="1525"/>
        <v>0</v>
      </c>
      <c r="AG761" s="139">
        <f t="shared" si="1525"/>
        <v>0</v>
      </c>
      <c r="AH761" s="139">
        <f t="shared" si="1525"/>
        <v>1.9792648444863337E-2</v>
      </c>
      <c r="AI761" s="139">
        <f t="shared" si="1525"/>
        <v>6.5975494816211122E-3</v>
      </c>
    </row>
    <row r="762" spans="2:35">
      <c r="B762" s="138" t="s">
        <v>8077</v>
      </c>
      <c r="C762" s="138" t="s">
        <v>4367</v>
      </c>
      <c r="D762" s="138" t="s">
        <v>11</v>
      </c>
      <c r="E762" s="138" t="s">
        <v>261</v>
      </c>
      <c r="F762" s="138" t="s">
        <v>838</v>
      </c>
      <c r="H762" s="138">
        <v>78</v>
      </c>
      <c r="I762" s="138">
        <v>1052</v>
      </c>
      <c r="K762" s="138">
        <v>273</v>
      </c>
      <c r="L762" s="138">
        <v>738</v>
      </c>
      <c r="N762" s="138">
        <v>12</v>
      </c>
      <c r="O762" s="138">
        <v>0</v>
      </c>
      <c r="S762" s="138">
        <v>22</v>
      </c>
      <c r="T762" s="138">
        <v>7</v>
      </c>
      <c r="U762" s="138">
        <f t="shared" si="1024"/>
        <v>29</v>
      </c>
      <c r="W762" s="139">
        <f t="shared" ref="W762:AA762" si="1526">J762/$I762</f>
        <v>0</v>
      </c>
      <c r="X762" s="139">
        <f t="shared" si="1526"/>
        <v>0.25950570342205326</v>
      </c>
      <c r="Y762" s="139">
        <f t="shared" si="1526"/>
        <v>0.70152091254752846</v>
      </c>
      <c r="Z762" s="139">
        <f t="shared" si="1526"/>
        <v>0</v>
      </c>
      <c r="AA762" s="139">
        <f t="shared" si="1526"/>
        <v>1.1406844106463879E-2</v>
      </c>
      <c r="AB762" s="139"/>
      <c r="AC762" s="139">
        <f t="shared" si="1026"/>
        <v>2.7566539923954372E-2</v>
      </c>
      <c r="AD762" s="139">
        <f t="shared" ref="AD762:AI762" si="1527">O762/$I762</f>
        <v>0</v>
      </c>
      <c r="AE762" s="139">
        <f t="shared" si="1527"/>
        <v>0</v>
      </c>
      <c r="AF762" s="139">
        <f t="shared" si="1527"/>
        <v>0</v>
      </c>
      <c r="AG762" s="139">
        <f t="shared" si="1527"/>
        <v>0</v>
      </c>
      <c r="AH762" s="139">
        <f t="shared" si="1527"/>
        <v>2.0912547528517109E-2</v>
      </c>
      <c r="AI762" s="139">
        <f t="shared" si="1527"/>
        <v>6.653992395437262E-3</v>
      </c>
    </row>
    <row r="763" spans="2:35">
      <c r="B763" s="138" t="s">
        <v>8077</v>
      </c>
      <c r="C763" s="138" t="s">
        <v>4367</v>
      </c>
      <c r="D763" s="138" t="s">
        <v>11</v>
      </c>
      <c r="E763" s="138" t="s">
        <v>261</v>
      </c>
      <c r="F763" s="138" t="s">
        <v>838</v>
      </c>
      <c r="H763" s="138">
        <v>79</v>
      </c>
      <c r="I763" s="138">
        <v>1075</v>
      </c>
      <c r="K763" s="138">
        <v>242</v>
      </c>
      <c r="L763" s="138">
        <v>792</v>
      </c>
      <c r="N763" s="138">
        <v>10</v>
      </c>
      <c r="O763" s="138">
        <v>4</v>
      </c>
      <c r="S763" s="138">
        <v>18</v>
      </c>
      <c r="T763" s="138">
        <v>9</v>
      </c>
      <c r="U763" s="138">
        <f t="shared" si="1024"/>
        <v>31</v>
      </c>
      <c r="W763" s="139">
        <f t="shared" ref="W763:AA763" si="1528">J763/$I763</f>
        <v>0</v>
      </c>
      <c r="X763" s="139">
        <f t="shared" si="1528"/>
        <v>0.22511627906976744</v>
      </c>
      <c r="Y763" s="139">
        <f t="shared" si="1528"/>
        <v>0.7367441860465116</v>
      </c>
      <c r="Z763" s="139">
        <f t="shared" si="1528"/>
        <v>0</v>
      </c>
      <c r="AA763" s="139">
        <f t="shared" si="1528"/>
        <v>9.3023255813953487E-3</v>
      </c>
      <c r="AB763" s="139"/>
      <c r="AC763" s="139">
        <f t="shared" si="1026"/>
        <v>2.883720930232558E-2</v>
      </c>
      <c r="AD763" s="139">
        <f t="shared" ref="AD763:AI763" si="1529">O763/$I763</f>
        <v>3.7209302325581397E-3</v>
      </c>
      <c r="AE763" s="139">
        <f t="shared" si="1529"/>
        <v>0</v>
      </c>
      <c r="AF763" s="139">
        <f t="shared" si="1529"/>
        <v>0</v>
      </c>
      <c r="AG763" s="139">
        <f t="shared" si="1529"/>
        <v>0</v>
      </c>
      <c r="AH763" s="139">
        <f t="shared" si="1529"/>
        <v>1.6744186046511629E-2</v>
      </c>
      <c r="AI763" s="139">
        <f t="shared" si="1529"/>
        <v>8.3720930232558145E-3</v>
      </c>
    </row>
    <row r="764" spans="2:35">
      <c r="B764" s="138" t="s">
        <v>8077</v>
      </c>
      <c r="C764" s="138" t="s">
        <v>4367</v>
      </c>
      <c r="D764" s="138" t="s">
        <v>11</v>
      </c>
      <c r="E764" s="138" t="s">
        <v>261</v>
      </c>
      <c r="F764" s="138" t="s">
        <v>838</v>
      </c>
      <c r="H764" s="138">
        <v>80</v>
      </c>
      <c r="I764" s="138">
        <v>876</v>
      </c>
      <c r="K764" s="138">
        <v>241</v>
      </c>
      <c r="L764" s="138">
        <v>605</v>
      </c>
      <c r="N764" s="138">
        <v>14</v>
      </c>
      <c r="O764" s="138">
        <v>0</v>
      </c>
      <c r="S764" s="138">
        <v>11</v>
      </c>
      <c r="T764" s="138">
        <v>5</v>
      </c>
      <c r="U764" s="138">
        <f t="shared" si="1024"/>
        <v>16</v>
      </c>
      <c r="W764" s="139">
        <f t="shared" ref="W764:AA764" si="1530">J764/$I764</f>
        <v>0</v>
      </c>
      <c r="X764" s="139">
        <f t="shared" si="1530"/>
        <v>0.27511415525114158</v>
      </c>
      <c r="Y764" s="139">
        <f t="shared" si="1530"/>
        <v>0.69063926940639264</v>
      </c>
      <c r="Z764" s="139">
        <f t="shared" si="1530"/>
        <v>0</v>
      </c>
      <c r="AA764" s="139">
        <f t="shared" si="1530"/>
        <v>1.5981735159817351E-2</v>
      </c>
      <c r="AB764" s="139"/>
      <c r="AC764" s="139">
        <f t="shared" si="1026"/>
        <v>1.8264840182648401E-2</v>
      </c>
      <c r="AD764" s="139">
        <f t="shared" ref="AD764:AI764" si="1531">O764/$I764</f>
        <v>0</v>
      </c>
      <c r="AE764" s="139">
        <f t="shared" si="1531"/>
        <v>0</v>
      </c>
      <c r="AF764" s="139">
        <f t="shared" si="1531"/>
        <v>0</v>
      </c>
      <c r="AG764" s="139">
        <f t="shared" si="1531"/>
        <v>0</v>
      </c>
      <c r="AH764" s="139">
        <f t="shared" si="1531"/>
        <v>1.2557077625570776E-2</v>
      </c>
      <c r="AI764" s="139">
        <f t="shared" si="1531"/>
        <v>5.7077625570776253E-3</v>
      </c>
    </row>
    <row r="765" spans="2:35">
      <c r="B765" s="138" t="s">
        <v>8077</v>
      </c>
      <c r="C765" s="138" t="s">
        <v>4367</v>
      </c>
      <c r="D765" s="138" t="s">
        <v>11</v>
      </c>
      <c r="E765" s="138" t="s">
        <v>261</v>
      </c>
      <c r="F765" s="138" t="s">
        <v>838</v>
      </c>
      <c r="H765" s="138">
        <v>81</v>
      </c>
      <c r="I765" s="138">
        <v>1019</v>
      </c>
      <c r="K765" s="138">
        <v>201</v>
      </c>
      <c r="L765" s="138">
        <v>774</v>
      </c>
      <c r="N765" s="138">
        <v>11</v>
      </c>
      <c r="O765" s="138">
        <v>1</v>
      </c>
      <c r="S765" s="138">
        <v>28</v>
      </c>
      <c r="T765" s="138">
        <v>4</v>
      </c>
      <c r="U765" s="138">
        <f t="shared" si="1024"/>
        <v>33</v>
      </c>
      <c r="W765" s="139">
        <f t="shared" ref="W765:AA765" si="1532">J765/$I765</f>
        <v>0</v>
      </c>
      <c r="X765" s="139">
        <f t="shared" si="1532"/>
        <v>0.197252208047105</v>
      </c>
      <c r="Y765" s="139">
        <f t="shared" si="1532"/>
        <v>0.75956820412168791</v>
      </c>
      <c r="Z765" s="139">
        <f t="shared" si="1532"/>
        <v>0</v>
      </c>
      <c r="AA765" s="139">
        <f t="shared" si="1532"/>
        <v>1.0794896957801767E-2</v>
      </c>
      <c r="AB765" s="139"/>
      <c r="AC765" s="139">
        <f t="shared" si="1026"/>
        <v>3.23846908734053E-2</v>
      </c>
      <c r="AD765" s="139">
        <f t="shared" ref="AD765:AI765" si="1533">O765/$I765</f>
        <v>9.813542688910696E-4</v>
      </c>
      <c r="AE765" s="139">
        <f t="shared" si="1533"/>
        <v>0</v>
      </c>
      <c r="AF765" s="139">
        <f t="shared" si="1533"/>
        <v>0</v>
      </c>
      <c r="AG765" s="139">
        <f t="shared" si="1533"/>
        <v>0</v>
      </c>
      <c r="AH765" s="139">
        <f t="shared" si="1533"/>
        <v>2.747791952894995E-2</v>
      </c>
      <c r="AI765" s="139">
        <f t="shared" si="1533"/>
        <v>3.9254170755642784E-3</v>
      </c>
    </row>
    <row r="766" spans="2:35">
      <c r="B766" s="138" t="s">
        <v>8077</v>
      </c>
      <c r="C766" s="138" t="s">
        <v>4367</v>
      </c>
      <c r="D766" s="138" t="s">
        <v>11</v>
      </c>
      <c r="E766" s="138" t="s">
        <v>261</v>
      </c>
      <c r="F766" s="138" t="s">
        <v>838</v>
      </c>
      <c r="H766" s="138">
        <v>82</v>
      </c>
      <c r="I766" s="138">
        <v>1112</v>
      </c>
      <c r="K766" s="138">
        <v>316</v>
      </c>
      <c r="L766" s="138">
        <v>744</v>
      </c>
      <c r="N766" s="138">
        <v>15</v>
      </c>
      <c r="O766" s="138">
        <v>2</v>
      </c>
      <c r="S766" s="138">
        <v>27</v>
      </c>
      <c r="T766" s="138">
        <v>8</v>
      </c>
      <c r="U766" s="138">
        <f t="shared" si="1024"/>
        <v>37</v>
      </c>
      <c r="W766" s="139">
        <f t="shared" ref="W766:AA766" si="1534">J766/$I766</f>
        <v>0</v>
      </c>
      <c r="X766" s="139">
        <f t="shared" si="1534"/>
        <v>0.28417266187050361</v>
      </c>
      <c r="Y766" s="139">
        <f t="shared" si="1534"/>
        <v>0.6690647482014388</v>
      </c>
      <c r="Z766" s="139">
        <f t="shared" si="1534"/>
        <v>0</v>
      </c>
      <c r="AA766" s="139">
        <f t="shared" si="1534"/>
        <v>1.3489208633093525E-2</v>
      </c>
      <c r="AB766" s="139"/>
      <c r="AC766" s="139">
        <f t="shared" si="1026"/>
        <v>3.327338129496403E-2</v>
      </c>
      <c r="AD766" s="139">
        <f t="shared" ref="AD766:AI766" si="1535">O766/$I766</f>
        <v>1.7985611510791368E-3</v>
      </c>
      <c r="AE766" s="139">
        <f t="shared" si="1535"/>
        <v>0</v>
      </c>
      <c r="AF766" s="139">
        <f t="shared" si="1535"/>
        <v>0</v>
      </c>
      <c r="AG766" s="139">
        <f t="shared" si="1535"/>
        <v>0</v>
      </c>
      <c r="AH766" s="139">
        <f t="shared" si="1535"/>
        <v>2.4280575539568347E-2</v>
      </c>
      <c r="AI766" s="139">
        <f t="shared" si="1535"/>
        <v>7.1942446043165471E-3</v>
      </c>
    </row>
    <row r="767" spans="2:35">
      <c r="B767" s="138" t="s">
        <v>8077</v>
      </c>
      <c r="C767" s="138" t="s">
        <v>4367</v>
      </c>
      <c r="D767" s="138" t="s">
        <v>11</v>
      </c>
      <c r="E767" s="138" t="s">
        <v>261</v>
      </c>
      <c r="F767" s="138" t="s">
        <v>838</v>
      </c>
      <c r="H767" s="138">
        <v>83</v>
      </c>
      <c r="I767" s="138">
        <v>894</v>
      </c>
      <c r="K767" s="138">
        <v>132</v>
      </c>
      <c r="L767" s="138">
        <v>741</v>
      </c>
      <c r="N767" s="138">
        <v>1</v>
      </c>
      <c r="O767" s="138">
        <v>0</v>
      </c>
      <c r="S767" s="138">
        <v>20</v>
      </c>
      <c r="T767" s="138">
        <v>0</v>
      </c>
      <c r="U767" s="138">
        <f t="shared" ref="U767:U1021" si="1536">SUM(O767:T767)</f>
        <v>20</v>
      </c>
      <c r="W767" s="139">
        <f t="shared" ref="W767:AA767" si="1537">J767/$I767</f>
        <v>0</v>
      </c>
      <c r="X767" s="139">
        <f t="shared" si="1537"/>
        <v>0.1476510067114094</v>
      </c>
      <c r="Y767" s="139">
        <f t="shared" si="1537"/>
        <v>0.82885906040268453</v>
      </c>
      <c r="Z767" s="139">
        <f t="shared" si="1537"/>
        <v>0</v>
      </c>
      <c r="AA767" s="139">
        <f t="shared" si="1537"/>
        <v>1.1185682326621924E-3</v>
      </c>
      <c r="AB767" s="139"/>
      <c r="AC767" s="139">
        <f t="shared" ref="AC767:AC1021" si="1538">U767/$I767</f>
        <v>2.2371364653243849E-2</v>
      </c>
      <c r="AD767" s="139">
        <f t="shared" ref="AD767:AI767" si="1539">O767/$I767</f>
        <v>0</v>
      </c>
      <c r="AE767" s="139">
        <f t="shared" si="1539"/>
        <v>0</v>
      </c>
      <c r="AF767" s="139">
        <f t="shared" si="1539"/>
        <v>0</v>
      </c>
      <c r="AG767" s="139">
        <f t="shared" si="1539"/>
        <v>0</v>
      </c>
      <c r="AH767" s="139">
        <f t="shared" si="1539"/>
        <v>2.2371364653243849E-2</v>
      </c>
      <c r="AI767" s="139">
        <f t="shared" si="1539"/>
        <v>0</v>
      </c>
    </row>
    <row r="768" spans="2:35">
      <c r="B768" s="138" t="s">
        <v>8077</v>
      </c>
      <c r="C768" s="138" t="s">
        <v>4367</v>
      </c>
      <c r="D768" s="138" t="s">
        <v>11</v>
      </c>
      <c r="E768" s="138" t="s">
        <v>261</v>
      </c>
      <c r="F768" s="138" t="s">
        <v>838</v>
      </c>
      <c r="H768" s="138">
        <v>84</v>
      </c>
      <c r="I768" s="138">
        <v>830</v>
      </c>
      <c r="K768" s="138">
        <v>379</v>
      </c>
      <c r="L768" s="138">
        <v>415</v>
      </c>
      <c r="N768" s="138">
        <v>8</v>
      </c>
      <c r="O768" s="138">
        <v>1</v>
      </c>
      <c r="S768" s="138">
        <v>20</v>
      </c>
      <c r="T768" s="138">
        <v>7</v>
      </c>
      <c r="U768" s="138">
        <f t="shared" si="1536"/>
        <v>28</v>
      </c>
      <c r="W768" s="139">
        <f t="shared" ref="W768:AA768" si="1540">J768/$I768</f>
        <v>0</v>
      </c>
      <c r="X768" s="139">
        <f t="shared" si="1540"/>
        <v>0.45662650602409638</v>
      </c>
      <c r="Y768" s="139">
        <f t="shared" si="1540"/>
        <v>0.5</v>
      </c>
      <c r="Z768" s="139">
        <f t="shared" si="1540"/>
        <v>0</v>
      </c>
      <c r="AA768" s="139">
        <f t="shared" si="1540"/>
        <v>9.6385542168674707E-3</v>
      </c>
      <c r="AB768" s="139"/>
      <c r="AC768" s="139">
        <f t="shared" si="1538"/>
        <v>3.3734939759036145E-2</v>
      </c>
      <c r="AD768" s="139">
        <f t="shared" ref="AD768:AI768" si="1541">O768/$I768</f>
        <v>1.2048192771084338E-3</v>
      </c>
      <c r="AE768" s="139">
        <f t="shared" si="1541"/>
        <v>0</v>
      </c>
      <c r="AF768" s="139">
        <f t="shared" si="1541"/>
        <v>0</v>
      </c>
      <c r="AG768" s="139">
        <f t="shared" si="1541"/>
        <v>0</v>
      </c>
      <c r="AH768" s="139">
        <f t="shared" si="1541"/>
        <v>2.4096385542168676E-2</v>
      </c>
      <c r="AI768" s="139">
        <f t="shared" si="1541"/>
        <v>8.4337349397590362E-3</v>
      </c>
    </row>
    <row r="769" spans="2:35">
      <c r="B769" s="138" t="s">
        <v>8077</v>
      </c>
      <c r="C769" s="138" t="s">
        <v>4367</v>
      </c>
      <c r="D769" s="138" t="s">
        <v>11</v>
      </c>
      <c r="E769" s="138" t="s">
        <v>261</v>
      </c>
      <c r="F769" s="138" t="s">
        <v>838</v>
      </c>
      <c r="H769" s="138">
        <v>85</v>
      </c>
      <c r="I769" s="138">
        <v>900</v>
      </c>
      <c r="K769" s="138">
        <v>364</v>
      </c>
      <c r="L769" s="138">
        <v>489</v>
      </c>
      <c r="N769" s="138">
        <v>7</v>
      </c>
      <c r="O769" s="138">
        <v>0</v>
      </c>
      <c r="S769" s="138">
        <v>23</v>
      </c>
      <c r="T769" s="138">
        <v>17</v>
      </c>
      <c r="U769" s="138">
        <f t="shared" si="1536"/>
        <v>40</v>
      </c>
      <c r="W769" s="139">
        <f t="shared" ref="W769:AA769" si="1542">J769/$I769</f>
        <v>0</v>
      </c>
      <c r="X769" s="139">
        <f t="shared" si="1542"/>
        <v>0.40444444444444444</v>
      </c>
      <c r="Y769" s="139">
        <f t="shared" si="1542"/>
        <v>0.54333333333333333</v>
      </c>
      <c r="Z769" s="139">
        <f t="shared" si="1542"/>
        <v>0</v>
      </c>
      <c r="AA769" s="139">
        <f t="shared" si="1542"/>
        <v>7.7777777777777776E-3</v>
      </c>
      <c r="AB769" s="139"/>
      <c r="AC769" s="139">
        <f t="shared" si="1538"/>
        <v>4.4444444444444446E-2</v>
      </c>
      <c r="AD769" s="139">
        <f t="shared" ref="AD769:AI769" si="1543">O769/$I769</f>
        <v>0</v>
      </c>
      <c r="AE769" s="139">
        <f t="shared" si="1543"/>
        <v>0</v>
      </c>
      <c r="AF769" s="139">
        <f t="shared" si="1543"/>
        <v>0</v>
      </c>
      <c r="AG769" s="139">
        <f t="shared" si="1543"/>
        <v>0</v>
      </c>
      <c r="AH769" s="139">
        <f t="shared" si="1543"/>
        <v>2.5555555555555557E-2</v>
      </c>
      <c r="AI769" s="139">
        <f t="shared" si="1543"/>
        <v>1.8888888888888889E-2</v>
      </c>
    </row>
    <row r="770" spans="2:35">
      <c r="B770" s="138" t="s">
        <v>8077</v>
      </c>
      <c r="C770" s="138" t="s">
        <v>4367</v>
      </c>
      <c r="D770" s="138" t="s">
        <v>11</v>
      </c>
      <c r="E770" s="138" t="s">
        <v>261</v>
      </c>
      <c r="F770" s="138" t="s">
        <v>838</v>
      </c>
      <c r="H770" s="138">
        <v>86</v>
      </c>
      <c r="I770" s="138">
        <v>769</v>
      </c>
      <c r="K770" s="138">
        <v>256</v>
      </c>
      <c r="L770" s="138">
        <v>467</v>
      </c>
      <c r="N770" s="138">
        <v>10</v>
      </c>
      <c r="O770" s="138">
        <v>1</v>
      </c>
      <c r="S770" s="138">
        <v>27</v>
      </c>
      <c r="T770" s="138">
        <v>8</v>
      </c>
      <c r="U770" s="138">
        <f t="shared" si="1536"/>
        <v>36</v>
      </c>
      <c r="W770" s="139">
        <f t="shared" ref="W770:AA770" si="1544">J770/$I770</f>
        <v>0</v>
      </c>
      <c r="X770" s="139">
        <f t="shared" si="1544"/>
        <v>0.3328998699609883</v>
      </c>
      <c r="Y770" s="139">
        <f t="shared" si="1544"/>
        <v>0.60728218465539663</v>
      </c>
      <c r="Z770" s="139">
        <f t="shared" si="1544"/>
        <v>0</v>
      </c>
      <c r="AA770" s="139">
        <f t="shared" si="1544"/>
        <v>1.3003901170351105E-2</v>
      </c>
      <c r="AB770" s="139"/>
      <c r="AC770" s="139">
        <f t="shared" si="1538"/>
        <v>4.6814044213263982E-2</v>
      </c>
      <c r="AD770" s="139">
        <f t="shared" ref="AD770:AI770" si="1545">O770/$I770</f>
        <v>1.3003901170351106E-3</v>
      </c>
      <c r="AE770" s="139">
        <f t="shared" si="1545"/>
        <v>0</v>
      </c>
      <c r="AF770" s="139">
        <f t="shared" si="1545"/>
        <v>0</v>
      </c>
      <c r="AG770" s="139">
        <f t="shared" si="1545"/>
        <v>0</v>
      </c>
      <c r="AH770" s="139">
        <f t="shared" si="1545"/>
        <v>3.5110533159947985E-2</v>
      </c>
      <c r="AI770" s="139">
        <f t="shared" si="1545"/>
        <v>1.0403120936280884E-2</v>
      </c>
    </row>
    <row r="771" spans="2:35">
      <c r="B771" s="138" t="s">
        <v>8077</v>
      </c>
      <c r="C771" s="138" t="s">
        <v>4367</v>
      </c>
      <c r="D771" s="138" t="s">
        <v>11</v>
      </c>
      <c r="E771" s="138" t="s">
        <v>261</v>
      </c>
      <c r="F771" s="138" t="s">
        <v>838</v>
      </c>
      <c r="H771" s="138">
        <v>87</v>
      </c>
      <c r="I771" s="138">
        <v>771</v>
      </c>
      <c r="K771" s="138">
        <v>201</v>
      </c>
      <c r="L771" s="138">
        <v>524</v>
      </c>
      <c r="N771" s="138">
        <v>5</v>
      </c>
      <c r="O771" s="138">
        <v>0</v>
      </c>
      <c r="S771" s="138">
        <v>36</v>
      </c>
      <c r="T771" s="138">
        <v>5</v>
      </c>
      <c r="U771" s="138">
        <f t="shared" si="1536"/>
        <v>41</v>
      </c>
      <c r="W771" s="139">
        <f t="shared" ref="W771:AA771" si="1546">J771/$I771</f>
        <v>0</v>
      </c>
      <c r="X771" s="139">
        <f t="shared" si="1546"/>
        <v>0.26070038910505838</v>
      </c>
      <c r="Y771" s="139">
        <f t="shared" si="1546"/>
        <v>0.67963683527885865</v>
      </c>
      <c r="Z771" s="139">
        <f t="shared" si="1546"/>
        <v>0</v>
      </c>
      <c r="AA771" s="139">
        <f t="shared" si="1546"/>
        <v>6.4850843060959796E-3</v>
      </c>
      <c r="AB771" s="139"/>
      <c r="AC771" s="139">
        <f t="shared" si="1538"/>
        <v>5.3177691309987028E-2</v>
      </c>
      <c r="AD771" s="139">
        <f t="shared" ref="AD771:AI771" si="1547">O771/$I771</f>
        <v>0</v>
      </c>
      <c r="AE771" s="139">
        <f t="shared" si="1547"/>
        <v>0</v>
      </c>
      <c r="AF771" s="139">
        <f t="shared" si="1547"/>
        <v>0</v>
      </c>
      <c r="AG771" s="139">
        <f t="shared" si="1547"/>
        <v>0</v>
      </c>
      <c r="AH771" s="139">
        <f t="shared" si="1547"/>
        <v>4.6692607003891051E-2</v>
      </c>
      <c r="AI771" s="139">
        <f t="shared" si="1547"/>
        <v>6.4850843060959796E-3</v>
      </c>
    </row>
    <row r="772" spans="2:35">
      <c r="B772" s="138" t="s">
        <v>8077</v>
      </c>
      <c r="C772" s="138" t="s">
        <v>4367</v>
      </c>
      <c r="D772" s="138" t="s">
        <v>11</v>
      </c>
      <c r="E772" s="138" t="s">
        <v>261</v>
      </c>
      <c r="F772" s="138" t="s">
        <v>838</v>
      </c>
      <c r="H772" s="138">
        <v>88</v>
      </c>
      <c r="I772" s="138">
        <v>787</v>
      </c>
      <c r="K772" s="138">
        <v>246</v>
      </c>
      <c r="L772" s="138">
        <v>488</v>
      </c>
      <c r="N772" s="138">
        <v>13</v>
      </c>
      <c r="O772" s="138">
        <v>2</v>
      </c>
      <c r="S772" s="138">
        <v>26</v>
      </c>
      <c r="T772" s="138">
        <v>12</v>
      </c>
      <c r="U772" s="138">
        <f t="shared" si="1536"/>
        <v>40</v>
      </c>
      <c r="W772" s="139">
        <f t="shared" ref="W772:AA772" si="1548">J772/$I772</f>
        <v>0</v>
      </c>
      <c r="X772" s="139">
        <f t="shared" si="1548"/>
        <v>0.31257941550190599</v>
      </c>
      <c r="Y772" s="139">
        <f t="shared" si="1548"/>
        <v>0.62007623888182972</v>
      </c>
      <c r="Z772" s="139">
        <f t="shared" si="1548"/>
        <v>0</v>
      </c>
      <c r="AA772" s="139">
        <f t="shared" si="1548"/>
        <v>1.6518424396442185E-2</v>
      </c>
      <c r="AB772" s="139"/>
      <c r="AC772" s="139">
        <f t="shared" si="1538"/>
        <v>5.0825921219822108E-2</v>
      </c>
      <c r="AD772" s="139">
        <f t="shared" ref="AD772:AI772" si="1549">O772/$I772</f>
        <v>2.5412960609911056E-3</v>
      </c>
      <c r="AE772" s="139">
        <f t="shared" si="1549"/>
        <v>0</v>
      </c>
      <c r="AF772" s="139">
        <f t="shared" si="1549"/>
        <v>0</v>
      </c>
      <c r="AG772" s="139">
        <f t="shared" si="1549"/>
        <v>0</v>
      </c>
      <c r="AH772" s="139">
        <f t="shared" si="1549"/>
        <v>3.303684879288437E-2</v>
      </c>
      <c r="AI772" s="139">
        <f t="shared" si="1549"/>
        <v>1.5247776365946633E-2</v>
      </c>
    </row>
    <row r="773" spans="2:35">
      <c r="B773" s="138" t="s">
        <v>8077</v>
      </c>
      <c r="C773" s="138" t="s">
        <v>4367</v>
      </c>
      <c r="D773" s="138" t="s">
        <v>11</v>
      </c>
      <c r="E773" s="138" t="s">
        <v>261</v>
      </c>
      <c r="F773" s="138" t="s">
        <v>838</v>
      </c>
      <c r="H773" s="138">
        <v>89</v>
      </c>
      <c r="I773" s="138">
        <v>542</v>
      </c>
      <c r="K773" s="138">
        <v>163</v>
      </c>
      <c r="L773" s="138">
        <v>362</v>
      </c>
      <c r="N773" s="138">
        <v>6</v>
      </c>
      <c r="O773" s="138">
        <v>0</v>
      </c>
      <c r="S773" s="138">
        <v>10</v>
      </c>
      <c r="T773" s="138">
        <v>1</v>
      </c>
      <c r="U773" s="138">
        <f t="shared" si="1536"/>
        <v>11</v>
      </c>
      <c r="W773" s="139">
        <f t="shared" ref="W773:AA773" si="1550">J773/$I773</f>
        <v>0</v>
      </c>
      <c r="X773" s="139">
        <f t="shared" si="1550"/>
        <v>0.30073800738007378</v>
      </c>
      <c r="Y773" s="139">
        <f t="shared" si="1550"/>
        <v>0.66789667896678961</v>
      </c>
      <c r="Z773" s="139">
        <f t="shared" si="1550"/>
        <v>0</v>
      </c>
      <c r="AA773" s="139">
        <f t="shared" si="1550"/>
        <v>1.107011070110701E-2</v>
      </c>
      <c r="AB773" s="139"/>
      <c r="AC773" s="139">
        <f t="shared" si="1538"/>
        <v>2.0295202952029519E-2</v>
      </c>
      <c r="AD773" s="139">
        <f t="shared" ref="AD773:AI773" si="1551">O773/$I773</f>
        <v>0</v>
      </c>
      <c r="AE773" s="139">
        <f t="shared" si="1551"/>
        <v>0</v>
      </c>
      <c r="AF773" s="139">
        <f t="shared" si="1551"/>
        <v>0</v>
      </c>
      <c r="AG773" s="139">
        <f t="shared" si="1551"/>
        <v>0</v>
      </c>
      <c r="AH773" s="139">
        <f t="shared" si="1551"/>
        <v>1.8450184501845018E-2</v>
      </c>
      <c r="AI773" s="139">
        <f t="shared" si="1551"/>
        <v>1.8450184501845018E-3</v>
      </c>
    </row>
    <row r="774" spans="2:35">
      <c r="B774" s="138" t="s">
        <v>8077</v>
      </c>
      <c r="C774" s="138" t="s">
        <v>4367</v>
      </c>
      <c r="D774" s="138" t="s">
        <v>11</v>
      </c>
      <c r="E774" s="138" t="s">
        <v>261</v>
      </c>
      <c r="F774" s="138" t="s">
        <v>838</v>
      </c>
      <c r="H774" s="138">
        <v>90</v>
      </c>
      <c r="I774" s="138">
        <v>817</v>
      </c>
      <c r="K774" s="138">
        <v>220</v>
      </c>
      <c r="L774" s="138">
        <v>572</v>
      </c>
      <c r="N774" s="138">
        <v>2</v>
      </c>
      <c r="O774" s="138">
        <v>1</v>
      </c>
      <c r="S774" s="138">
        <v>19</v>
      </c>
      <c r="T774" s="138">
        <v>3</v>
      </c>
      <c r="U774" s="138">
        <f t="shared" si="1536"/>
        <v>23</v>
      </c>
      <c r="W774" s="139">
        <f t="shared" ref="W774:AA774" si="1552">J774/$I774</f>
        <v>0</v>
      </c>
      <c r="X774" s="139">
        <f t="shared" si="1552"/>
        <v>0.26927784577723379</v>
      </c>
      <c r="Y774" s="139">
        <f t="shared" si="1552"/>
        <v>0.70012239902080786</v>
      </c>
      <c r="Z774" s="139">
        <f t="shared" si="1552"/>
        <v>0</v>
      </c>
      <c r="AA774" s="139">
        <f t="shared" si="1552"/>
        <v>2.4479804161566705E-3</v>
      </c>
      <c r="AB774" s="139"/>
      <c r="AC774" s="139">
        <f t="shared" si="1538"/>
        <v>2.8151774785801713E-2</v>
      </c>
      <c r="AD774" s="139">
        <f t="shared" ref="AD774:AI774" si="1553">O774/$I774</f>
        <v>1.2239902080783353E-3</v>
      </c>
      <c r="AE774" s="139">
        <f t="shared" si="1553"/>
        <v>0</v>
      </c>
      <c r="AF774" s="139">
        <f t="shared" si="1553"/>
        <v>0</v>
      </c>
      <c r="AG774" s="139">
        <f t="shared" si="1553"/>
        <v>0</v>
      </c>
      <c r="AH774" s="139">
        <f t="shared" si="1553"/>
        <v>2.3255813953488372E-2</v>
      </c>
      <c r="AI774" s="139">
        <f t="shared" si="1553"/>
        <v>3.6719706242350062E-3</v>
      </c>
    </row>
    <row r="775" spans="2:35">
      <c r="B775" s="138" t="s">
        <v>8077</v>
      </c>
      <c r="C775" s="138" t="s">
        <v>4367</v>
      </c>
      <c r="D775" s="138" t="s">
        <v>11</v>
      </c>
      <c r="E775" s="138" t="s">
        <v>8119</v>
      </c>
      <c r="F775" s="138" t="s">
        <v>8119</v>
      </c>
      <c r="H775" s="138">
        <v>91</v>
      </c>
      <c r="I775" s="138">
        <v>943</v>
      </c>
      <c r="K775" s="138">
        <v>237</v>
      </c>
      <c r="L775" s="138">
        <v>665</v>
      </c>
      <c r="N775" s="138">
        <v>8</v>
      </c>
      <c r="O775" s="138">
        <v>0</v>
      </c>
      <c r="S775" s="138">
        <v>21</v>
      </c>
      <c r="T775" s="138">
        <v>12</v>
      </c>
      <c r="U775" s="138">
        <f t="shared" si="1536"/>
        <v>33</v>
      </c>
      <c r="W775" s="139">
        <f t="shared" ref="W775:AA775" si="1554">J775/$I775</f>
        <v>0</v>
      </c>
      <c r="X775" s="139">
        <f t="shared" si="1554"/>
        <v>0.25132555673382823</v>
      </c>
      <c r="Y775" s="139">
        <f t="shared" si="1554"/>
        <v>0.70519618239660653</v>
      </c>
      <c r="Z775" s="139">
        <f t="shared" si="1554"/>
        <v>0</v>
      </c>
      <c r="AA775" s="139">
        <f t="shared" si="1554"/>
        <v>8.483563096500531E-3</v>
      </c>
      <c r="AB775" s="139"/>
      <c r="AC775" s="139">
        <f t="shared" si="1538"/>
        <v>3.4994697773064687E-2</v>
      </c>
      <c r="AD775" s="139">
        <f t="shared" ref="AD775:AI775" si="1555">O775/$I775</f>
        <v>0</v>
      </c>
      <c r="AE775" s="139">
        <f t="shared" si="1555"/>
        <v>0</v>
      </c>
      <c r="AF775" s="139">
        <f t="shared" si="1555"/>
        <v>0</v>
      </c>
      <c r="AG775" s="139">
        <f t="shared" si="1555"/>
        <v>0</v>
      </c>
      <c r="AH775" s="139">
        <f t="shared" si="1555"/>
        <v>2.2269353128313893E-2</v>
      </c>
      <c r="AI775" s="139">
        <f t="shared" si="1555"/>
        <v>1.2725344644750796E-2</v>
      </c>
    </row>
    <row r="776" spans="2:35">
      <c r="B776" s="138" t="s">
        <v>8077</v>
      </c>
      <c r="C776" s="138" t="s">
        <v>4367</v>
      </c>
      <c r="D776" s="138" t="s">
        <v>11</v>
      </c>
      <c r="E776" s="138" t="s">
        <v>8119</v>
      </c>
      <c r="F776" s="138" t="s">
        <v>8119</v>
      </c>
      <c r="H776" s="138">
        <v>92</v>
      </c>
      <c r="I776" s="138">
        <v>978</v>
      </c>
      <c r="K776" s="138">
        <v>326</v>
      </c>
      <c r="L776" s="138">
        <v>606</v>
      </c>
      <c r="N776" s="138">
        <v>11</v>
      </c>
      <c r="O776" s="138">
        <v>0</v>
      </c>
      <c r="S776" s="138">
        <v>28</v>
      </c>
      <c r="T776" s="138">
        <v>7</v>
      </c>
      <c r="U776" s="138">
        <f t="shared" si="1536"/>
        <v>35</v>
      </c>
      <c r="W776" s="139">
        <f t="shared" ref="W776:AA776" si="1556">J776/$I776</f>
        <v>0</v>
      </c>
      <c r="X776" s="139">
        <f t="shared" si="1556"/>
        <v>0.33333333333333331</v>
      </c>
      <c r="Y776" s="139">
        <f t="shared" si="1556"/>
        <v>0.61963190184049077</v>
      </c>
      <c r="Z776" s="139">
        <f t="shared" si="1556"/>
        <v>0</v>
      </c>
      <c r="AA776" s="139">
        <f t="shared" si="1556"/>
        <v>1.1247443762781187E-2</v>
      </c>
      <c r="AB776" s="139"/>
      <c r="AC776" s="139">
        <f t="shared" si="1538"/>
        <v>3.5787321063394682E-2</v>
      </c>
      <c r="AD776" s="139">
        <f t="shared" ref="AD776:AI776" si="1557">O776/$I776</f>
        <v>0</v>
      </c>
      <c r="AE776" s="139">
        <f t="shared" si="1557"/>
        <v>0</v>
      </c>
      <c r="AF776" s="139">
        <f t="shared" si="1557"/>
        <v>0</v>
      </c>
      <c r="AG776" s="139">
        <f t="shared" si="1557"/>
        <v>0</v>
      </c>
      <c r="AH776" s="139">
        <f t="shared" si="1557"/>
        <v>2.8629856850715747E-2</v>
      </c>
      <c r="AI776" s="139">
        <f t="shared" si="1557"/>
        <v>7.1574642126789366E-3</v>
      </c>
    </row>
    <row r="777" spans="2:35">
      <c r="B777" s="138" t="s">
        <v>8077</v>
      </c>
      <c r="C777" s="138" t="s">
        <v>4367</v>
      </c>
      <c r="D777" s="138" t="s">
        <v>11</v>
      </c>
      <c r="E777" s="138" t="s">
        <v>8119</v>
      </c>
      <c r="F777" s="138" t="s">
        <v>8119</v>
      </c>
      <c r="H777" s="138">
        <v>93</v>
      </c>
      <c r="I777" s="138">
        <v>927</v>
      </c>
      <c r="K777" s="138">
        <v>216</v>
      </c>
      <c r="L777" s="138">
        <v>677</v>
      </c>
      <c r="N777" s="138">
        <v>9</v>
      </c>
      <c r="O777" s="138">
        <v>3</v>
      </c>
      <c r="S777" s="138">
        <v>15</v>
      </c>
      <c r="T777" s="138">
        <v>7</v>
      </c>
      <c r="U777" s="138">
        <f t="shared" si="1536"/>
        <v>25</v>
      </c>
      <c r="W777" s="139">
        <f t="shared" ref="W777:AA777" si="1558">J777/$I777</f>
        <v>0</v>
      </c>
      <c r="X777" s="139">
        <f t="shared" si="1558"/>
        <v>0.23300970873786409</v>
      </c>
      <c r="Y777" s="139">
        <f t="shared" si="1558"/>
        <v>0.73031283710895356</v>
      </c>
      <c r="Z777" s="139">
        <f t="shared" si="1558"/>
        <v>0</v>
      </c>
      <c r="AA777" s="139">
        <f t="shared" si="1558"/>
        <v>9.7087378640776691E-3</v>
      </c>
      <c r="AB777" s="139"/>
      <c r="AC777" s="139">
        <f t="shared" si="1538"/>
        <v>2.696871628910464E-2</v>
      </c>
      <c r="AD777" s="139">
        <f t="shared" ref="AD777:AI777" si="1559">O777/$I777</f>
        <v>3.2362459546925568E-3</v>
      </c>
      <c r="AE777" s="139">
        <f t="shared" si="1559"/>
        <v>0</v>
      </c>
      <c r="AF777" s="139">
        <f t="shared" si="1559"/>
        <v>0</v>
      </c>
      <c r="AG777" s="139">
        <f t="shared" si="1559"/>
        <v>0</v>
      </c>
      <c r="AH777" s="139">
        <f t="shared" si="1559"/>
        <v>1.6181229773462782E-2</v>
      </c>
      <c r="AI777" s="139">
        <f t="shared" si="1559"/>
        <v>7.551240560949299E-3</v>
      </c>
    </row>
    <row r="778" spans="2:35">
      <c r="B778" s="138" t="s">
        <v>8077</v>
      </c>
      <c r="C778" s="138" t="s">
        <v>4367</v>
      </c>
      <c r="D778" s="138" t="s">
        <v>11</v>
      </c>
      <c r="E778" s="138" t="s">
        <v>8119</v>
      </c>
      <c r="F778" s="138" t="s">
        <v>8119</v>
      </c>
      <c r="H778" s="138">
        <v>94</v>
      </c>
      <c r="I778" s="138">
        <v>1065</v>
      </c>
      <c r="K778" s="138">
        <v>307</v>
      </c>
      <c r="L778" s="138">
        <v>713</v>
      </c>
      <c r="N778" s="138">
        <v>8</v>
      </c>
      <c r="O778" s="138">
        <v>1</v>
      </c>
      <c r="S778" s="138">
        <v>21</v>
      </c>
      <c r="T778" s="138">
        <v>15</v>
      </c>
      <c r="U778" s="138">
        <f t="shared" si="1536"/>
        <v>37</v>
      </c>
      <c r="W778" s="139">
        <f t="shared" ref="W778:AA778" si="1560">J778/$I778</f>
        <v>0</v>
      </c>
      <c r="X778" s="139">
        <f t="shared" si="1560"/>
        <v>0.28826291079812205</v>
      </c>
      <c r="Y778" s="139">
        <f t="shared" si="1560"/>
        <v>0.66948356807511733</v>
      </c>
      <c r="Z778" s="139">
        <f t="shared" si="1560"/>
        <v>0</v>
      </c>
      <c r="AA778" s="139">
        <f t="shared" si="1560"/>
        <v>7.5117370892018778E-3</v>
      </c>
      <c r="AB778" s="139"/>
      <c r="AC778" s="139">
        <f t="shared" si="1538"/>
        <v>3.4741784037558683E-2</v>
      </c>
      <c r="AD778" s="139">
        <f t="shared" ref="AD778:AI778" si="1561">O778/$I778</f>
        <v>9.3896713615023472E-4</v>
      </c>
      <c r="AE778" s="139">
        <f t="shared" si="1561"/>
        <v>0</v>
      </c>
      <c r="AF778" s="139">
        <f t="shared" si="1561"/>
        <v>0</v>
      </c>
      <c r="AG778" s="139">
        <f t="shared" si="1561"/>
        <v>0</v>
      </c>
      <c r="AH778" s="139">
        <f t="shared" si="1561"/>
        <v>1.9718309859154931E-2</v>
      </c>
      <c r="AI778" s="139">
        <f t="shared" si="1561"/>
        <v>1.4084507042253521E-2</v>
      </c>
    </row>
    <row r="779" spans="2:35">
      <c r="B779" s="138" t="s">
        <v>8077</v>
      </c>
      <c r="C779" s="138" t="s">
        <v>4367</v>
      </c>
      <c r="D779" s="138" t="s">
        <v>11</v>
      </c>
      <c r="E779" s="138" t="s">
        <v>8119</v>
      </c>
      <c r="F779" s="138" t="s">
        <v>8119</v>
      </c>
      <c r="H779" s="138">
        <v>95</v>
      </c>
      <c r="I779" s="138">
        <v>757</v>
      </c>
      <c r="K779" s="138">
        <v>270</v>
      </c>
      <c r="L779" s="138">
        <v>462</v>
      </c>
      <c r="N779" s="138">
        <v>6</v>
      </c>
      <c r="O779" s="138">
        <v>1</v>
      </c>
      <c r="S779" s="138">
        <v>14</v>
      </c>
      <c r="T779" s="138">
        <v>4</v>
      </c>
      <c r="U779" s="138">
        <f t="shared" si="1536"/>
        <v>19</v>
      </c>
      <c r="W779" s="139">
        <f t="shared" ref="W779:AA779" si="1562">J779/$I779</f>
        <v>0</v>
      </c>
      <c r="X779" s="139">
        <f t="shared" si="1562"/>
        <v>0.35667107001321002</v>
      </c>
      <c r="Y779" s="139">
        <f t="shared" si="1562"/>
        <v>0.61030383091149276</v>
      </c>
      <c r="Z779" s="139">
        <f t="shared" si="1562"/>
        <v>0</v>
      </c>
      <c r="AA779" s="139">
        <f t="shared" si="1562"/>
        <v>7.9260237780713338E-3</v>
      </c>
      <c r="AB779" s="139"/>
      <c r="AC779" s="139">
        <f t="shared" si="1538"/>
        <v>2.5099075297225892E-2</v>
      </c>
      <c r="AD779" s="139">
        <f t="shared" ref="AD779:AI779" si="1563">O779/$I779</f>
        <v>1.321003963011889E-3</v>
      </c>
      <c r="AE779" s="139">
        <f t="shared" si="1563"/>
        <v>0</v>
      </c>
      <c r="AF779" s="139">
        <f t="shared" si="1563"/>
        <v>0</v>
      </c>
      <c r="AG779" s="139">
        <f t="shared" si="1563"/>
        <v>0</v>
      </c>
      <c r="AH779" s="139">
        <f t="shared" si="1563"/>
        <v>1.8494055482166448E-2</v>
      </c>
      <c r="AI779" s="139">
        <f t="shared" si="1563"/>
        <v>5.2840158520475562E-3</v>
      </c>
    </row>
    <row r="780" spans="2:35">
      <c r="B780" s="138" t="s">
        <v>8077</v>
      </c>
      <c r="C780" s="138" t="s">
        <v>4367</v>
      </c>
      <c r="D780" s="138" t="s">
        <v>11</v>
      </c>
      <c r="E780" s="138" t="s">
        <v>8119</v>
      </c>
      <c r="F780" s="138" t="s">
        <v>8119</v>
      </c>
      <c r="H780" s="138">
        <v>96</v>
      </c>
      <c r="I780" s="138">
        <v>775</v>
      </c>
      <c r="K780" s="138">
        <v>297</v>
      </c>
      <c r="L780" s="138">
        <v>447</v>
      </c>
      <c r="N780" s="138">
        <v>11</v>
      </c>
      <c r="O780" s="138">
        <v>2</v>
      </c>
      <c r="S780" s="138">
        <v>9</v>
      </c>
      <c r="T780" s="138">
        <v>9</v>
      </c>
      <c r="U780" s="138">
        <f t="shared" si="1536"/>
        <v>20</v>
      </c>
      <c r="W780" s="139">
        <f t="shared" ref="W780:AA780" si="1564">J780/$I780</f>
        <v>0</v>
      </c>
      <c r="X780" s="139">
        <f t="shared" si="1564"/>
        <v>0.38322580645161292</v>
      </c>
      <c r="Y780" s="139">
        <f t="shared" si="1564"/>
        <v>0.5767741935483871</v>
      </c>
      <c r="Z780" s="139">
        <f t="shared" si="1564"/>
        <v>0</v>
      </c>
      <c r="AA780" s="139">
        <f t="shared" si="1564"/>
        <v>1.4193548387096775E-2</v>
      </c>
      <c r="AB780" s="139"/>
      <c r="AC780" s="139">
        <f t="shared" si="1538"/>
        <v>2.5806451612903226E-2</v>
      </c>
      <c r="AD780" s="139">
        <f t="shared" ref="AD780:AI780" si="1565">O780/$I780</f>
        <v>2.5806451612903226E-3</v>
      </c>
      <c r="AE780" s="139">
        <f t="shared" si="1565"/>
        <v>0</v>
      </c>
      <c r="AF780" s="139">
        <f t="shared" si="1565"/>
        <v>0</v>
      </c>
      <c r="AG780" s="139">
        <f t="shared" si="1565"/>
        <v>0</v>
      </c>
      <c r="AH780" s="139">
        <f t="shared" si="1565"/>
        <v>1.1612903225806452E-2</v>
      </c>
      <c r="AI780" s="139">
        <f t="shared" si="1565"/>
        <v>1.1612903225806452E-2</v>
      </c>
    </row>
    <row r="781" spans="2:35">
      <c r="B781" s="138" t="s">
        <v>8077</v>
      </c>
      <c r="C781" s="138" t="s">
        <v>4367</v>
      </c>
      <c r="D781" s="138" t="s">
        <v>11</v>
      </c>
      <c r="E781" s="138" t="s">
        <v>8119</v>
      </c>
      <c r="F781" s="138" t="s">
        <v>8119</v>
      </c>
      <c r="H781" s="138">
        <v>97</v>
      </c>
      <c r="I781" s="138">
        <v>637</v>
      </c>
      <c r="K781" s="138">
        <v>130</v>
      </c>
      <c r="L781" s="138">
        <v>490</v>
      </c>
      <c r="N781" s="138">
        <v>5</v>
      </c>
      <c r="O781" s="138">
        <v>3</v>
      </c>
      <c r="S781" s="138">
        <v>4</v>
      </c>
      <c r="T781" s="138">
        <v>5</v>
      </c>
      <c r="U781" s="138">
        <f t="shared" si="1536"/>
        <v>12</v>
      </c>
      <c r="W781" s="139">
        <f t="shared" ref="W781:AA781" si="1566">J781/$I781</f>
        <v>0</v>
      </c>
      <c r="X781" s="139">
        <f t="shared" si="1566"/>
        <v>0.20408163265306123</v>
      </c>
      <c r="Y781" s="139">
        <f t="shared" si="1566"/>
        <v>0.76923076923076927</v>
      </c>
      <c r="Z781" s="139">
        <f t="shared" si="1566"/>
        <v>0</v>
      </c>
      <c r="AA781" s="139">
        <f t="shared" si="1566"/>
        <v>7.8492935635792772E-3</v>
      </c>
      <c r="AB781" s="139"/>
      <c r="AC781" s="139">
        <f t="shared" si="1538"/>
        <v>1.8838304552590265E-2</v>
      </c>
      <c r="AD781" s="139">
        <f t="shared" ref="AD781:AI781" si="1567">O781/$I781</f>
        <v>4.7095761381475663E-3</v>
      </c>
      <c r="AE781" s="139">
        <f t="shared" si="1567"/>
        <v>0</v>
      </c>
      <c r="AF781" s="139">
        <f t="shared" si="1567"/>
        <v>0</v>
      </c>
      <c r="AG781" s="139">
        <f t="shared" si="1567"/>
        <v>0</v>
      </c>
      <c r="AH781" s="139">
        <f t="shared" si="1567"/>
        <v>6.2794348508634227E-3</v>
      </c>
      <c r="AI781" s="139">
        <f t="shared" si="1567"/>
        <v>7.8492935635792772E-3</v>
      </c>
    </row>
    <row r="782" spans="2:35">
      <c r="B782" s="138" t="s">
        <v>8077</v>
      </c>
      <c r="C782" s="138" t="s">
        <v>4367</v>
      </c>
      <c r="D782" s="138" t="s">
        <v>11</v>
      </c>
      <c r="E782" s="138" t="s">
        <v>8119</v>
      </c>
      <c r="F782" s="138" t="s">
        <v>8119</v>
      </c>
      <c r="H782" s="138">
        <v>98</v>
      </c>
      <c r="I782" s="138">
        <v>897</v>
      </c>
      <c r="K782" s="138">
        <v>296</v>
      </c>
      <c r="L782" s="138">
        <v>565</v>
      </c>
      <c r="N782" s="138">
        <v>10</v>
      </c>
      <c r="O782" s="138">
        <v>1</v>
      </c>
      <c r="S782" s="138">
        <v>22</v>
      </c>
      <c r="T782" s="138">
        <v>3</v>
      </c>
      <c r="U782" s="138">
        <f t="shared" si="1536"/>
        <v>26</v>
      </c>
      <c r="W782" s="139">
        <f t="shared" ref="W782:AA782" si="1568">J782/$I782</f>
        <v>0</v>
      </c>
      <c r="X782" s="139">
        <f t="shared" si="1568"/>
        <v>0.32998885172798215</v>
      </c>
      <c r="Y782" s="139">
        <f t="shared" si="1568"/>
        <v>0.62987736900780378</v>
      </c>
      <c r="Z782" s="139">
        <f t="shared" si="1568"/>
        <v>0</v>
      </c>
      <c r="AA782" s="139">
        <f t="shared" si="1568"/>
        <v>1.1148272017837236E-2</v>
      </c>
      <c r="AB782" s="139"/>
      <c r="AC782" s="139">
        <f t="shared" si="1538"/>
        <v>2.8985507246376812E-2</v>
      </c>
      <c r="AD782" s="139">
        <f t="shared" ref="AD782:AI782" si="1569">O782/$I782</f>
        <v>1.1148272017837235E-3</v>
      </c>
      <c r="AE782" s="139">
        <f t="shared" si="1569"/>
        <v>0</v>
      </c>
      <c r="AF782" s="139">
        <f t="shared" si="1569"/>
        <v>0</v>
      </c>
      <c r="AG782" s="139">
        <f t="shared" si="1569"/>
        <v>0</v>
      </c>
      <c r="AH782" s="139">
        <f t="shared" si="1569"/>
        <v>2.4526198439241916E-2</v>
      </c>
      <c r="AI782" s="139">
        <f t="shared" si="1569"/>
        <v>3.3444816053511705E-3</v>
      </c>
    </row>
    <row r="783" spans="2:35">
      <c r="B783" s="138" t="s">
        <v>8077</v>
      </c>
      <c r="C783" s="138" t="s">
        <v>4367</v>
      </c>
      <c r="D783" s="138" t="s">
        <v>11</v>
      </c>
      <c r="E783" s="138" t="s">
        <v>8119</v>
      </c>
      <c r="F783" s="138" t="s">
        <v>8119</v>
      </c>
      <c r="H783" s="138">
        <v>99</v>
      </c>
      <c r="I783" s="138">
        <v>761</v>
      </c>
      <c r="K783" s="138">
        <v>149</v>
      </c>
      <c r="L783" s="138">
        <v>585</v>
      </c>
      <c r="N783" s="138">
        <v>9</v>
      </c>
      <c r="O783" s="138">
        <v>2</v>
      </c>
      <c r="S783" s="138">
        <v>10</v>
      </c>
      <c r="T783" s="138">
        <v>6</v>
      </c>
      <c r="U783" s="138">
        <f t="shared" si="1536"/>
        <v>18</v>
      </c>
      <c r="W783" s="139">
        <f t="shared" ref="W783:AA783" si="1570">J783/$I783</f>
        <v>0</v>
      </c>
      <c r="X783" s="139">
        <f t="shared" si="1570"/>
        <v>0.19579500657030224</v>
      </c>
      <c r="Y783" s="139">
        <f t="shared" si="1570"/>
        <v>0.76872536136662284</v>
      </c>
      <c r="Z783" s="139">
        <f t="shared" si="1570"/>
        <v>0</v>
      </c>
      <c r="AA783" s="139">
        <f t="shared" si="1570"/>
        <v>1.1826544021024968E-2</v>
      </c>
      <c r="AB783" s="139"/>
      <c r="AC783" s="139">
        <f t="shared" si="1538"/>
        <v>2.3653088042049936E-2</v>
      </c>
      <c r="AD783" s="139">
        <f t="shared" ref="AD783:AI783" si="1571">O783/$I783</f>
        <v>2.6281208935611039E-3</v>
      </c>
      <c r="AE783" s="139">
        <f t="shared" si="1571"/>
        <v>0</v>
      </c>
      <c r="AF783" s="139">
        <f t="shared" si="1571"/>
        <v>0</v>
      </c>
      <c r="AG783" s="139">
        <f t="shared" si="1571"/>
        <v>0</v>
      </c>
      <c r="AH783" s="139">
        <f t="shared" si="1571"/>
        <v>1.3140604467805518E-2</v>
      </c>
      <c r="AI783" s="139">
        <f t="shared" si="1571"/>
        <v>7.8843626806833107E-3</v>
      </c>
    </row>
    <row r="784" spans="2:35">
      <c r="B784" s="138" t="s">
        <v>8077</v>
      </c>
      <c r="C784" s="138" t="s">
        <v>4367</v>
      </c>
      <c r="D784" s="138" t="s">
        <v>11</v>
      </c>
      <c r="E784" s="138" t="s">
        <v>8119</v>
      </c>
      <c r="F784" s="138" t="s">
        <v>8119</v>
      </c>
      <c r="H784" s="138">
        <v>100</v>
      </c>
      <c r="I784" s="138">
        <v>640</v>
      </c>
      <c r="K784" s="138">
        <v>184</v>
      </c>
      <c r="L784" s="138">
        <v>436</v>
      </c>
      <c r="N784" s="138">
        <v>4</v>
      </c>
      <c r="O784" s="138">
        <v>1</v>
      </c>
      <c r="S784" s="138">
        <v>7</v>
      </c>
      <c r="T784" s="138">
        <v>8</v>
      </c>
      <c r="U784" s="138">
        <f t="shared" si="1536"/>
        <v>16</v>
      </c>
      <c r="W784" s="139">
        <f t="shared" ref="W784:AA784" si="1572">J784/$I784</f>
        <v>0</v>
      </c>
      <c r="X784" s="139">
        <f t="shared" si="1572"/>
        <v>0.28749999999999998</v>
      </c>
      <c r="Y784" s="139">
        <f t="shared" si="1572"/>
        <v>0.68125000000000002</v>
      </c>
      <c r="Z784" s="139">
        <f t="shared" si="1572"/>
        <v>0</v>
      </c>
      <c r="AA784" s="139">
        <f t="shared" si="1572"/>
        <v>6.2500000000000003E-3</v>
      </c>
      <c r="AB784" s="139"/>
      <c r="AC784" s="139">
        <f t="shared" si="1538"/>
        <v>2.5000000000000001E-2</v>
      </c>
      <c r="AD784" s="139">
        <f t="shared" ref="AD784:AI784" si="1573">O784/$I784</f>
        <v>1.5625000000000001E-3</v>
      </c>
      <c r="AE784" s="139">
        <f t="shared" si="1573"/>
        <v>0</v>
      </c>
      <c r="AF784" s="139">
        <f t="shared" si="1573"/>
        <v>0</v>
      </c>
      <c r="AG784" s="139">
        <f t="shared" si="1573"/>
        <v>0</v>
      </c>
      <c r="AH784" s="139">
        <f t="shared" si="1573"/>
        <v>1.0937499999999999E-2</v>
      </c>
      <c r="AI784" s="139">
        <f t="shared" si="1573"/>
        <v>1.2500000000000001E-2</v>
      </c>
    </row>
    <row r="785" spans="2:35">
      <c r="B785" s="138" t="s">
        <v>8077</v>
      </c>
      <c r="C785" s="138" t="s">
        <v>4367</v>
      </c>
      <c r="D785" s="138" t="s">
        <v>11</v>
      </c>
      <c r="E785" s="138" t="s">
        <v>8119</v>
      </c>
      <c r="F785" s="138" t="s">
        <v>8119</v>
      </c>
      <c r="H785" s="138">
        <v>101</v>
      </c>
      <c r="I785" s="138">
        <v>593</v>
      </c>
      <c r="K785" s="138">
        <v>105</v>
      </c>
      <c r="L785" s="138">
        <v>471</v>
      </c>
      <c r="N785" s="138">
        <v>6</v>
      </c>
      <c r="O785" s="138">
        <v>0</v>
      </c>
      <c r="S785" s="138">
        <v>8</v>
      </c>
      <c r="T785" s="138">
        <v>3</v>
      </c>
      <c r="U785" s="138">
        <f t="shared" si="1536"/>
        <v>11</v>
      </c>
      <c r="W785" s="139">
        <f t="shared" ref="W785:AA785" si="1574">J785/$I785</f>
        <v>0</v>
      </c>
      <c r="X785" s="139">
        <f t="shared" si="1574"/>
        <v>0.17706576728499157</v>
      </c>
      <c r="Y785" s="139">
        <f t="shared" si="1574"/>
        <v>0.79426644182124784</v>
      </c>
      <c r="Z785" s="139">
        <f t="shared" si="1574"/>
        <v>0</v>
      </c>
      <c r="AA785" s="139">
        <f t="shared" si="1574"/>
        <v>1.0118043844856661E-2</v>
      </c>
      <c r="AB785" s="139"/>
      <c r="AC785" s="139">
        <f t="shared" si="1538"/>
        <v>1.8549747048903879E-2</v>
      </c>
      <c r="AD785" s="139">
        <f t="shared" ref="AD785:AI785" si="1575">O785/$I785</f>
        <v>0</v>
      </c>
      <c r="AE785" s="139">
        <f t="shared" si="1575"/>
        <v>0</v>
      </c>
      <c r="AF785" s="139">
        <f t="shared" si="1575"/>
        <v>0</v>
      </c>
      <c r="AG785" s="139">
        <f t="shared" si="1575"/>
        <v>0</v>
      </c>
      <c r="AH785" s="139">
        <f t="shared" si="1575"/>
        <v>1.3490725126475547E-2</v>
      </c>
      <c r="AI785" s="139">
        <f t="shared" si="1575"/>
        <v>5.0590219224283303E-3</v>
      </c>
    </row>
    <row r="786" spans="2:35">
      <c r="B786" s="138" t="s">
        <v>8077</v>
      </c>
      <c r="C786" s="138" t="s">
        <v>4367</v>
      </c>
      <c r="D786" s="138" t="s">
        <v>11</v>
      </c>
      <c r="E786" s="138" t="s">
        <v>8119</v>
      </c>
      <c r="F786" s="138" t="s">
        <v>8119</v>
      </c>
      <c r="H786" s="138">
        <v>102</v>
      </c>
      <c r="I786" s="138">
        <v>626</v>
      </c>
      <c r="K786" s="138">
        <v>144</v>
      </c>
      <c r="L786" s="138">
        <v>452</v>
      </c>
      <c r="N786" s="138">
        <v>11</v>
      </c>
      <c r="O786" s="138">
        <v>1</v>
      </c>
      <c r="S786" s="138">
        <v>13</v>
      </c>
      <c r="T786" s="138">
        <v>5</v>
      </c>
      <c r="U786" s="138">
        <f t="shared" si="1536"/>
        <v>19</v>
      </c>
      <c r="W786" s="139">
        <f t="shared" ref="W786:AA786" si="1576">J786/$I786</f>
        <v>0</v>
      </c>
      <c r="X786" s="139">
        <f t="shared" si="1576"/>
        <v>0.23003194888178913</v>
      </c>
      <c r="Y786" s="139">
        <f t="shared" si="1576"/>
        <v>0.72204472843450485</v>
      </c>
      <c r="Z786" s="139">
        <f t="shared" si="1576"/>
        <v>0</v>
      </c>
      <c r="AA786" s="139">
        <f t="shared" si="1576"/>
        <v>1.7571884984025558E-2</v>
      </c>
      <c r="AB786" s="139"/>
      <c r="AC786" s="139">
        <f t="shared" si="1538"/>
        <v>3.035143769968051E-2</v>
      </c>
      <c r="AD786" s="139">
        <f t="shared" ref="AD786:AI786" si="1577">O786/$I786</f>
        <v>1.5974440894568689E-3</v>
      </c>
      <c r="AE786" s="139">
        <f t="shared" si="1577"/>
        <v>0</v>
      </c>
      <c r="AF786" s="139">
        <f t="shared" si="1577"/>
        <v>0</v>
      </c>
      <c r="AG786" s="139">
        <f t="shared" si="1577"/>
        <v>0</v>
      </c>
      <c r="AH786" s="139">
        <f t="shared" si="1577"/>
        <v>2.0766773162939296E-2</v>
      </c>
      <c r="AI786" s="139">
        <f t="shared" si="1577"/>
        <v>7.9872204472843447E-3</v>
      </c>
    </row>
    <row r="787" spans="2:35">
      <c r="B787" s="138" t="s">
        <v>8077</v>
      </c>
      <c r="C787" s="138" t="s">
        <v>4367</v>
      </c>
      <c r="D787" s="138" t="s">
        <v>11</v>
      </c>
      <c r="E787" s="138" t="s">
        <v>8119</v>
      </c>
      <c r="F787" s="138" t="s">
        <v>8119</v>
      </c>
      <c r="H787" s="138">
        <v>103</v>
      </c>
      <c r="I787" s="138">
        <v>892</v>
      </c>
      <c r="K787" s="138">
        <v>220</v>
      </c>
      <c r="L787" s="138">
        <v>623</v>
      </c>
      <c r="N787" s="138">
        <v>13</v>
      </c>
      <c r="O787" s="138">
        <v>2</v>
      </c>
      <c r="S787" s="138">
        <v>27</v>
      </c>
      <c r="T787" s="138">
        <v>7</v>
      </c>
      <c r="U787" s="138">
        <f t="shared" si="1536"/>
        <v>36</v>
      </c>
      <c r="W787" s="139">
        <f t="shared" ref="W787:AA787" si="1578">J787/$I787</f>
        <v>0</v>
      </c>
      <c r="X787" s="139">
        <f t="shared" si="1578"/>
        <v>0.24663677130044842</v>
      </c>
      <c r="Y787" s="139">
        <f t="shared" si="1578"/>
        <v>0.69843049327354256</v>
      </c>
      <c r="Z787" s="139">
        <f t="shared" si="1578"/>
        <v>0</v>
      </c>
      <c r="AA787" s="139">
        <f t="shared" si="1578"/>
        <v>1.4573991031390135E-2</v>
      </c>
      <c r="AB787" s="139"/>
      <c r="AC787" s="139">
        <f t="shared" si="1538"/>
        <v>4.0358744394618833E-2</v>
      </c>
      <c r="AD787" s="139">
        <f t="shared" ref="AD787:AI787" si="1579">O787/$I787</f>
        <v>2.242152466367713E-3</v>
      </c>
      <c r="AE787" s="139">
        <f t="shared" si="1579"/>
        <v>0</v>
      </c>
      <c r="AF787" s="139">
        <f t="shared" si="1579"/>
        <v>0</v>
      </c>
      <c r="AG787" s="139">
        <f t="shared" si="1579"/>
        <v>0</v>
      </c>
      <c r="AH787" s="139">
        <f t="shared" si="1579"/>
        <v>3.0269058295964126E-2</v>
      </c>
      <c r="AI787" s="139">
        <f t="shared" si="1579"/>
        <v>7.8475336322869956E-3</v>
      </c>
    </row>
    <row r="788" spans="2:35">
      <c r="B788" s="138" t="s">
        <v>8077</v>
      </c>
      <c r="C788" s="138" t="s">
        <v>4367</v>
      </c>
      <c r="D788" s="138" t="s">
        <v>11</v>
      </c>
      <c r="E788" s="138" t="s">
        <v>8119</v>
      </c>
      <c r="F788" s="138" t="s">
        <v>8119</v>
      </c>
      <c r="H788" s="138">
        <v>104</v>
      </c>
      <c r="I788" s="138">
        <v>709</v>
      </c>
      <c r="K788" s="138">
        <v>149</v>
      </c>
      <c r="L788" s="138">
        <v>533</v>
      </c>
      <c r="N788" s="138">
        <v>6</v>
      </c>
      <c r="O788" s="138">
        <v>2</v>
      </c>
      <c r="S788" s="138">
        <v>19</v>
      </c>
      <c r="T788" s="138">
        <v>0</v>
      </c>
      <c r="U788" s="138">
        <f t="shared" si="1536"/>
        <v>21</v>
      </c>
      <c r="W788" s="139">
        <f t="shared" ref="W788:AA788" si="1580">J788/$I788</f>
        <v>0</v>
      </c>
      <c r="X788" s="139">
        <f t="shared" si="1580"/>
        <v>0.21015514809590974</v>
      </c>
      <c r="Y788" s="139">
        <f t="shared" si="1580"/>
        <v>0.75176304654442883</v>
      </c>
      <c r="Z788" s="139">
        <f t="shared" si="1580"/>
        <v>0</v>
      </c>
      <c r="AA788" s="139">
        <f t="shared" si="1580"/>
        <v>8.4626234132581107E-3</v>
      </c>
      <c r="AB788" s="139"/>
      <c r="AC788" s="139">
        <f t="shared" si="1538"/>
        <v>2.9619181946403384E-2</v>
      </c>
      <c r="AD788" s="139">
        <f t="shared" ref="AD788:AI788" si="1581">O788/$I788</f>
        <v>2.8208744710860366E-3</v>
      </c>
      <c r="AE788" s="139">
        <f t="shared" si="1581"/>
        <v>0</v>
      </c>
      <c r="AF788" s="139">
        <f t="shared" si="1581"/>
        <v>0</v>
      </c>
      <c r="AG788" s="139">
        <f t="shared" si="1581"/>
        <v>0</v>
      </c>
      <c r="AH788" s="139">
        <f t="shared" si="1581"/>
        <v>2.6798307475317348E-2</v>
      </c>
      <c r="AI788" s="139">
        <f t="shared" si="1581"/>
        <v>0</v>
      </c>
    </row>
    <row r="789" spans="2:35">
      <c r="B789" s="138" t="s">
        <v>8077</v>
      </c>
      <c r="C789" s="138" t="s">
        <v>4367</v>
      </c>
      <c r="D789" s="138" t="s">
        <v>11</v>
      </c>
      <c r="E789" s="138" t="s">
        <v>8119</v>
      </c>
      <c r="F789" s="138" t="s">
        <v>8119</v>
      </c>
      <c r="H789" s="138">
        <v>105</v>
      </c>
      <c r="I789" s="138">
        <v>865</v>
      </c>
      <c r="K789" s="138">
        <v>192</v>
      </c>
      <c r="L789" s="138">
        <v>640</v>
      </c>
      <c r="N789" s="138">
        <v>7</v>
      </c>
      <c r="O789" s="138">
        <v>1</v>
      </c>
      <c r="S789" s="138">
        <v>21</v>
      </c>
      <c r="T789" s="138">
        <v>4</v>
      </c>
      <c r="U789" s="138">
        <f t="shared" si="1536"/>
        <v>26</v>
      </c>
      <c r="W789" s="139">
        <f t="shared" ref="W789:AA789" si="1582">J789/$I789</f>
        <v>0</v>
      </c>
      <c r="X789" s="139">
        <f t="shared" si="1582"/>
        <v>0.22196531791907514</v>
      </c>
      <c r="Y789" s="139">
        <f t="shared" si="1582"/>
        <v>0.73988439306358378</v>
      </c>
      <c r="Z789" s="139">
        <f t="shared" si="1582"/>
        <v>0</v>
      </c>
      <c r="AA789" s="139">
        <f t="shared" si="1582"/>
        <v>8.0924855491329474E-3</v>
      </c>
      <c r="AB789" s="139"/>
      <c r="AC789" s="139">
        <f t="shared" si="1538"/>
        <v>3.0057803468208091E-2</v>
      </c>
      <c r="AD789" s="139">
        <f t="shared" ref="AD789:AI789" si="1583">O789/$I789</f>
        <v>1.1560693641618498E-3</v>
      </c>
      <c r="AE789" s="139">
        <f t="shared" si="1583"/>
        <v>0</v>
      </c>
      <c r="AF789" s="139">
        <f t="shared" si="1583"/>
        <v>0</v>
      </c>
      <c r="AG789" s="139">
        <f t="shared" si="1583"/>
        <v>0</v>
      </c>
      <c r="AH789" s="139">
        <f t="shared" si="1583"/>
        <v>2.4277456647398842E-2</v>
      </c>
      <c r="AI789" s="139">
        <f t="shared" si="1583"/>
        <v>4.6242774566473991E-3</v>
      </c>
    </row>
    <row r="790" spans="2:35">
      <c r="B790" s="138" t="s">
        <v>8077</v>
      </c>
      <c r="C790" s="138" t="s">
        <v>4367</v>
      </c>
      <c r="D790" s="138" t="s">
        <v>11</v>
      </c>
      <c r="E790" s="138" t="s">
        <v>8119</v>
      </c>
      <c r="F790" s="138" t="s">
        <v>8119</v>
      </c>
      <c r="H790" s="138">
        <v>106</v>
      </c>
      <c r="I790" s="138">
        <v>649</v>
      </c>
      <c r="K790" s="138">
        <v>149</v>
      </c>
      <c r="L790" s="138">
        <v>475</v>
      </c>
      <c r="N790" s="138">
        <v>9</v>
      </c>
      <c r="O790" s="138">
        <v>0</v>
      </c>
      <c r="S790" s="138">
        <v>11</v>
      </c>
      <c r="T790" s="138">
        <v>5</v>
      </c>
      <c r="U790" s="138">
        <f t="shared" si="1536"/>
        <v>16</v>
      </c>
      <c r="W790" s="139">
        <f t="shared" ref="W790:AA790" si="1584">J790/$I790</f>
        <v>0</v>
      </c>
      <c r="X790" s="139">
        <f t="shared" si="1584"/>
        <v>0.2295839753466872</v>
      </c>
      <c r="Y790" s="139">
        <f t="shared" si="1584"/>
        <v>0.73189522342064717</v>
      </c>
      <c r="Z790" s="139">
        <f t="shared" si="1584"/>
        <v>0</v>
      </c>
      <c r="AA790" s="139">
        <f t="shared" si="1584"/>
        <v>1.386748844375963E-2</v>
      </c>
      <c r="AB790" s="139"/>
      <c r="AC790" s="139">
        <f t="shared" si="1538"/>
        <v>2.465331278890601E-2</v>
      </c>
      <c r="AD790" s="139">
        <f t="shared" ref="AD790:AI790" si="1585">O790/$I790</f>
        <v>0</v>
      </c>
      <c r="AE790" s="139">
        <f t="shared" si="1585"/>
        <v>0</v>
      </c>
      <c r="AF790" s="139">
        <f t="shared" si="1585"/>
        <v>0</v>
      </c>
      <c r="AG790" s="139">
        <f t="shared" si="1585"/>
        <v>0</v>
      </c>
      <c r="AH790" s="139">
        <f t="shared" si="1585"/>
        <v>1.6949152542372881E-2</v>
      </c>
      <c r="AI790" s="139">
        <f t="shared" si="1585"/>
        <v>7.7041602465331279E-3</v>
      </c>
    </row>
    <row r="791" spans="2:35">
      <c r="B791" s="138" t="s">
        <v>8077</v>
      </c>
      <c r="C791" s="138" t="s">
        <v>4367</v>
      </c>
      <c r="D791" s="138" t="s">
        <v>11</v>
      </c>
      <c r="E791" s="138" t="s">
        <v>8119</v>
      </c>
      <c r="F791" s="138" t="s">
        <v>8119</v>
      </c>
      <c r="H791" s="138">
        <v>107</v>
      </c>
      <c r="I791" s="138">
        <v>767</v>
      </c>
      <c r="K791" s="138">
        <v>173</v>
      </c>
      <c r="L791" s="138">
        <v>577</v>
      </c>
      <c r="N791" s="138">
        <v>6</v>
      </c>
      <c r="O791" s="138">
        <v>0</v>
      </c>
      <c r="S791" s="138">
        <v>9</v>
      </c>
      <c r="T791" s="138">
        <v>2</v>
      </c>
      <c r="U791" s="138">
        <f t="shared" si="1536"/>
        <v>11</v>
      </c>
      <c r="W791" s="139">
        <f t="shared" ref="W791:AA791" si="1586">J791/$I791</f>
        <v>0</v>
      </c>
      <c r="X791" s="139">
        <f t="shared" si="1586"/>
        <v>0.2255541069100391</v>
      </c>
      <c r="Y791" s="139">
        <f t="shared" si="1586"/>
        <v>0.75228161668839633</v>
      </c>
      <c r="Z791" s="139">
        <f t="shared" si="1586"/>
        <v>0</v>
      </c>
      <c r="AA791" s="139">
        <f t="shared" si="1586"/>
        <v>7.8226857887874843E-3</v>
      </c>
      <c r="AB791" s="139"/>
      <c r="AC791" s="139">
        <f t="shared" si="1538"/>
        <v>1.4341590612777053E-2</v>
      </c>
      <c r="AD791" s="139">
        <f t="shared" ref="AD791:AI791" si="1587">O791/$I791</f>
        <v>0</v>
      </c>
      <c r="AE791" s="139">
        <f t="shared" si="1587"/>
        <v>0</v>
      </c>
      <c r="AF791" s="139">
        <f t="shared" si="1587"/>
        <v>0</v>
      </c>
      <c r="AG791" s="139">
        <f t="shared" si="1587"/>
        <v>0</v>
      </c>
      <c r="AH791" s="139">
        <f t="shared" si="1587"/>
        <v>1.1734028683181226E-2</v>
      </c>
      <c r="AI791" s="139">
        <f t="shared" si="1587"/>
        <v>2.6075619295958278E-3</v>
      </c>
    </row>
    <row r="792" spans="2:35">
      <c r="B792" s="138" t="s">
        <v>8077</v>
      </c>
      <c r="C792" s="138" t="s">
        <v>4367</v>
      </c>
      <c r="D792" s="138" t="s">
        <v>11</v>
      </c>
      <c r="E792" s="138" t="s">
        <v>8119</v>
      </c>
      <c r="F792" s="138" t="s">
        <v>8119</v>
      </c>
      <c r="H792" s="138">
        <v>108</v>
      </c>
      <c r="I792" s="138">
        <v>666</v>
      </c>
      <c r="K792" s="138">
        <v>145</v>
      </c>
      <c r="L792" s="138">
        <v>497</v>
      </c>
      <c r="N792" s="138">
        <v>9</v>
      </c>
      <c r="O792" s="138">
        <v>0</v>
      </c>
      <c r="S792" s="138">
        <v>13</v>
      </c>
      <c r="T792" s="138">
        <v>2</v>
      </c>
      <c r="U792" s="138">
        <f t="shared" si="1536"/>
        <v>15</v>
      </c>
      <c r="W792" s="139">
        <f t="shared" ref="W792:AA792" si="1588">J792/$I792</f>
        <v>0</v>
      </c>
      <c r="X792" s="139">
        <f t="shared" si="1588"/>
        <v>0.21771771771771772</v>
      </c>
      <c r="Y792" s="139">
        <f t="shared" si="1588"/>
        <v>0.74624624624624625</v>
      </c>
      <c r="Z792" s="139">
        <f t="shared" si="1588"/>
        <v>0</v>
      </c>
      <c r="AA792" s="139">
        <f t="shared" si="1588"/>
        <v>1.3513513513513514E-2</v>
      </c>
      <c r="AB792" s="139"/>
      <c r="AC792" s="139">
        <f t="shared" si="1538"/>
        <v>2.2522522522522521E-2</v>
      </c>
      <c r="AD792" s="139">
        <f t="shared" ref="AD792:AI792" si="1589">O792/$I792</f>
        <v>0</v>
      </c>
      <c r="AE792" s="139">
        <f t="shared" si="1589"/>
        <v>0</v>
      </c>
      <c r="AF792" s="139">
        <f t="shared" si="1589"/>
        <v>0</v>
      </c>
      <c r="AG792" s="139">
        <f t="shared" si="1589"/>
        <v>0</v>
      </c>
      <c r="AH792" s="139">
        <f t="shared" si="1589"/>
        <v>1.951951951951952E-2</v>
      </c>
      <c r="AI792" s="139">
        <f t="shared" si="1589"/>
        <v>3.003003003003003E-3</v>
      </c>
    </row>
    <row r="793" spans="2:35">
      <c r="B793" s="138" t="s">
        <v>8077</v>
      </c>
      <c r="C793" s="138" t="s">
        <v>4367</v>
      </c>
      <c r="D793" s="138" t="s">
        <v>11</v>
      </c>
      <c r="E793" s="138" t="s">
        <v>8119</v>
      </c>
      <c r="F793" s="138" t="s">
        <v>8119</v>
      </c>
      <c r="H793" s="138">
        <v>109</v>
      </c>
      <c r="I793" s="138">
        <v>871</v>
      </c>
      <c r="K793" s="138">
        <v>234</v>
      </c>
      <c r="L793" s="138">
        <v>594</v>
      </c>
      <c r="N793" s="138">
        <v>18</v>
      </c>
      <c r="O793" s="138">
        <v>0</v>
      </c>
      <c r="S793" s="138">
        <v>21</v>
      </c>
      <c r="T793" s="138">
        <v>4</v>
      </c>
      <c r="U793" s="138">
        <f t="shared" si="1536"/>
        <v>25</v>
      </c>
      <c r="W793" s="139">
        <f t="shared" ref="W793:AA793" si="1590">J793/$I793</f>
        <v>0</v>
      </c>
      <c r="X793" s="139">
        <f t="shared" si="1590"/>
        <v>0.26865671641791045</v>
      </c>
      <c r="Y793" s="139">
        <f t="shared" si="1590"/>
        <v>0.68197474167623418</v>
      </c>
      <c r="Z793" s="139">
        <f t="shared" si="1590"/>
        <v>0</v>
      </c>
      <c r="AA793" s="139">
        <f t="shared" si="1590"/>
        <v>2.0665901262916189E-2</v>
      </c>
      <c r="AB793" s="139"/>
      <c r="AC793" s="139">
        <f t="shared" si="1538"/>
        <v>2.8702640642939151E-2</v>
      </c>
      <c r="AD793" s="139">
        <f t="shared" ref="AD793:AI793" si="1591">O793/$I793</f>
        <v>0</v>
      </c>
      <c r="AE793" s="139">
        <f t="shared" si="1591"/>
        <v>0</v>
      </c>
      <c r="AF793" s="139">
        <f t="shared" si="1591"/>
        <v>0</v>
      </c>
      <c r="AG793" s="139">
        <f t="shared" si="1591"/>
        <v>0</v>
      </c>
      <c r="AH793" s="139">
        <f t="shared" si="1591"/>
        <v>2.4110218140068886E-2</v>
      </c>
      <c r="AI793" s="139">
        <f t="shared" si="1591"/>
        <v>4.5924225028702642E-3</v>
      </c>
    </row>
    <row r="794" spans="2:35">
      <c r="B794" s="138" t="s">
        <v>8077</v>
      </c>
      <c r="C794" s="138" t="s">
        <v>4367</v>
      </c>
      <c r="D794" s="138" t="s">
        <v>11</v>
      </c>
      <c r="E794" s="138" t="s">
        <v>8119</v>
      </c>
      <c r="F794" s="138" t="s">
        <v>8119</v>
      </c>
      <c r="H794" s="138">
        <v>110</v>
      </c>
      <c r="I794" s="138">
        <v>677</v>
      </c>
      <c r="K794" s="138">
        <v>200</v>
      </c>
      <c r="L794" s="138">
        <v>458</v>
      </c>
      <c r="N794" s="138">
        <v>6</v>
      </c>
      <c r="O794" s="138">
        <v>1</v>
      </c>
      <c r="S794" s="138">
        <v>8</v>
      </c>
      <c r="T794" s="138">
        <v>4</v>
      </c>
      <c r="U794" s="138">
        <f t="shared" si="1536"/>
        <v>13</v>
      </c>
      <c r="W794" s="139">
        <f t="shared" ref="W794:AA794" si="1592">J794/$I794</f>
        <v>0</v>
      </c>
      <c r="X794" s="139">
        <f t="shared" si="1592"/>
        <v>0.29542097488921715</v>
      </c>
      <c r="Y794" s="139">
        <f t="shared" si="1592"/>
        <v>0.67651403249630726</v>
      </c>
      <c r="Z794" s="139">
        <f t="shared" si="1592"/>
        <v>0</v>
      </c>
      <c r="AA794" s="139">
        <f t="shared" si="1592"/>
        <v>8.8626292466765146E-3</v>
      </c>
      <c r="AB794" s="139"/>
      <c r="AC794" s="139">
        <f t="shared" si="1538"/>
        <v>1.9202363367799114E-2</v>
      </c>
      <c r="AD794" s="139">
        <f t="shared" ref="AD794:AI794" si="1593">O794/$I794</f>
        <v>1.4771048744460858E-3</v>
      </c>
      <c r="AE794" s="139">
        <f t="shared" si="1593"/>
        <v>0</v>
      </c>
      <c r="AF794" s="139">
        <f t="shared" si="1593"/>
        <v>0</v>
      </c>
      <c r="AG794" s="139">
        <f t="shared" si="1593"/>
        <v>0</v>
      </c>
      <c r="AH794" s="139">
        <f t="shared" si="1593"/>
        <v>1.1816838995568686E-2</v>
      </c>
      <c r="AI794" s="139">
        <f t="shared" si="1593"/>
        <v>5.9084194977843431E-3</v>
      </c>
    </row>
    <row r="795" spans="2:35">
      <c r="B795" s="138" t="s">
        <v>8077</v>
      </c>
      <c r="C795" s="138" t="s">
        <v>4367</v>
      </c>
      <c r="D795" s="138" t="s">
        <v>11</v>
      </c>
      <c r="E795" s="138" t="s">
        <v>8119</v>
      </c>
      <c r="F795" s="138" t="s">
        <v>8119</v>
      </c>
      <c r="H795" s="138">
        <v>111</v>
      </c>
      <c r="I795" s="138">
        <v>441</v>
      </c>
      <c r="K795" s="138">
        <v>140</v>
      </c>
      <c r="L795" s="138">
        <v>290</v>
      </c>
      <c r="N795" s="138">
        <v>5</v>
      </c>
      <c r="O795" s="138">
        <v>1</v>
      </c>
      <c r="S795" s="138">
        <v>4</v>
      </c>
      <c r="T795" s="138">
        <v>1</v>
      </c>
      <c r="U795" s="138">
        <f t="shared" si="1536"/>
        <v>6</v>
      </c>
      <c r="W795" s="139">
        <f t="shared" ref="W795:AA795" si="1594">J795/$I795</f>
        <v>0</v>
      </c>
      <c r="X795" s="139">
        <f t="shared" si="1594"/>
        <v>0.31746031746031744</v>
      </c>
      <c r="Y795" s="139">
        <f t="shared" si="1594"/>
        <v>0.65759637188208619</v>
      </c>
      <c r="Z795" s="139">
        <f t="shared" si="1594"/>
        <v>0</v>
      </c>
      <c r="AA795" s="139">
        <f t="shared" si="1594"/>
        <v>1.1337868480725623E-2</v>
      </c>
      <c r="AB795" s="139"/>
      <c r="AC795" s="139">
        <f t="shared" si="1538"/>
        <v>1.3605442176870748E-2</v>
      </c>
      <c r="AD795" s="139">
        <f t="shared" ref="AD795:AI795" si="1595">O795/$I795</f>
        <v>2.2675736961451248E-3</v>
      </c>
      <c r="AE795" s="139">
        <f t="shared" si="1595"/>
        <v>0</v>
      </c>
      <c r="AF795" s="139">
        <f t="shared" si="1595"/>
        <v>0</v>
      </c>
      <c r="AG795" s="139">
        <f t="shared" si="1595"/>
        <v>0</v>
      </c>
      <c r="AH795" s="139">
        <f t="shared" si="1595"/>
        <v>9.0702947845804991E-3</v>
      </c>
      <c r="AI795" s="139">
        <f t="shared" si="1595"/>
        <v>2.2675736961451248E-3</v>
      </c>
    </row>
    <row r="796" spans="2:35">
      <c r="B796" s="138" t="s">
        <v>8077</v>
      </c>
      <c r="C796" s="138" t="s">
        <v>4367</v>
      </c>
      <c r="D796" s="138" t="s">
        <v>11</v>
      </c>
      <c r="E796" s="138" t="s">
        <v>8119</v>
      </c>
      <c r="F796" s="138" t="s">
        <v>8119</v>
      </c>
      <c r="H796" s="138">
        <v>112</v>
      </c>
      <c r="I796" s="138">
        <v>768</v>
      </c>
      <c r="K796" s="138">
        <v>248</v>
      </c>
      <c r="L796" s="138">
        <v>475</v>
      </c>
      <c r="N796" s="138">
        <v>10</v>
      </c>
      <c r="O796" s="138">
        <v>1</v>
      </c>
      <c r="S796" s="138">
        <v>30</v>
      </c>
      <c r="T796" s="138">
        <v>4</v>
      </c>
      <c r="U796" s="138">
        <f t="shared" si="1536"/>
        <v>35</v>
      </c>
      <c r="W796" s="139">
        <f t="shared" ref="W796:AA796" si="1596">J796/$I796</f>
        <v>0</v>
      </c>
      <c r="X796" s="139">
        <f t="shared" si="1596"/>
        <v>0.32291666666666669</v>
      </c>
      <c r="Y796" s="139">
        <f t="shared" si="1596"/>
        <v>0.61848958333333337</v>
      </c>
      <c r="Z796" s="139">
        <f t="shared" si="1596"/>
        <v>0</v>
      </c>
      <c r="AA796" s="139">
        <f t="shared" si="1596"/>
        <v>1.3020833333333334E-2</v>
      </c>
      <c r="AB796" s="139"/>
      <c r="AC796" s="139">
        <f t="shared" si="1538"/>
        <v>4.5572916666666664E-2</v>
      </c>
      <c r="AD796" s="139">
        <f t="shared" ref="AD796:AI796" si="1597">O796/$I796</f>
        <v>1.3020833333333333E-3</v>
      </c>
      <c r="AE796" s="139">
        <f t="shared" si="1597"/>
        <v>0</v>
      </c>
      <c r="AF796" s="139">
        <f t="shared" si="1597"/>
        <v>0</v>
      </c>
      <c r="AG796" s="139">
        <f t="shared" si="1597"/>
        <v>0</v>
      </c>
      <c r="AH796" s="139">
        <f t="shared" si="1597"/>
        <v>3.90625E-2</v>
      </c>
      <c r="AI796" s="139">
        <f t="shared" si="1597"/>
        <v>5.208333333333333E-3</v>
      </c>
    </row>
    <row r="797" spans="2:35">
      <c r="B797" s="138" t="s">
        <v>8077</v>
      </c>
      <c r="C797" s="138" t="s">
        <v>4367</v>
      </c>
      <c r="D797" s="138" t="s">
        <v>11</v>
      </c>
      <c r="E797" s="138" t="s">
        <v>8119</v>
      </c>
      <c r="F797" s="138" t="s">
        <v>8119</v>
      </c>
      <c r="H797" s="138">
        <v>113</v>
      </c>
      <c r="I797" s="138">
        <v>1006</v>
      </c>
      <c r="K797" s="138">
        <v>250</v>
      </c>
      <c r="L797" s="138">
        <v>715</v>
      </c>
      <c r="N797" s="138">
        <v>7</v>
      </c>
      <c r="O797" s="138">
        <v>3</v>
      </c>
      <c r="S797" s="138">
        <v>21</v>
      </c>
      <c r="T797" s="138">
        <v>10</v>
      </c>
      <c r="U797" s="138">
        <f t="shared" si="1536"/>
        <v>34</v>
      </c>
      <c r="W797" s="139">
        <f t="shared" ref="W797:AA797" si="1598">J797/$I797</f>
        <v>0</v>
      </c>
      <c r="X797" s="139">
        <f t="shared" si="1598"/>
        <v>0.2485089463220676</v>
      </c>
      <c r="Y797" s="139">
        <f t="shared" si="1598"/>
        <v>0.71073558648111335</v>
      </c>
      <c r="Z797" s="139">
        <f t="shared" si="1598"/>
        <v>0</v>
      </c>
      <c r="AA797" s="139">
        <f t="shared" si="1598"/>
        <v>6.958250497017893E-3</v>
      </c>
      <c r="AB797" s="139"/>
      <c r="AC797" s="139">
        <f t="shared" si="1538"/>
        <v>3.3797216699801194E-2</v>
      </c>
      <c r="AD797" s="139">
        <f t="shared" ref="AD797:AI797" si="1599">O797/$I797</f>
        <v>2.982107355864811E-3</v>
      </c>
      <c r="AE797" s="139">
        <f t="shared" si="1599"/>
        <v>0</v>
      </c>
      <c r="AF797" s="139">
        <f t="shared" si="1599"/>
        <v>0</v>
      </c>
      <c r="AG797" s="139">
        <f t="shared" si="1599"/>
        <v>0</v>
      </c>
      <c r="AH797" s="139">
        <f t="shared" si="1599"/>
        <v>2.0874751491053677E-2</v>
      </c>
      <c r="AI797" s="139">
        <f t="shared" si="1599"/>
        <v>9.9403578528827041E-3</v>
      </c>
    </row>
    <row r="798" spans="2:35">
      <c r="B798" s="138" t="s">
        <v>8077</v>
      </c>
      <c r="C798" s="138" t="s">
        <v>4367</v>
      </c>
      <c r="D798" s="138" t="s">
        <v>11</v>
      </c>
      <c r="E798" s="138" t="s">
        <v>8119</v>
      </c>
      <c r="F798" s="138" t="s">
        <v>8119</v>
      </c>
      <c r="H798" s="138">
        <v>114</v>
      </c>
      <c r="I798" s="138">
        <v>668</v>
      </c>
      <c r="K798" s="138">
        <v>230</v>
      </c>
      <c r="L798" s="138">
        <v>402</v>
      </c>
      <c r="N798" s="138">
        <v>11</v>
      </c>
      <c r="O798" s="138">
        <v>3</v>
      </c>
      <c r="S798" s="138">
        <v>15</v>
      </c>
      <c r="T798" s="138">
        <v>7</v>
      </c>
      <c r="U798" s="138">
        <f t="shared" si="1536"/>
        <v>25</v>
      </c>
      <c r="W798" s="139">
        <f t="shared" ref="W798:AA798" si="1600">J798/$I798</f>
        <v>0</v>
      </c>
      <c r="X798" s="139">
        <f t="shared" si="1600"/>
        <v>0.34431137724550898</v>
      </c>
      <c r="Y798" s="139">
        <f t="shared" si="1600"/>
        <v>0.60179640718562877</v>
      </c>
      <c r="Z798" s="139">
        <f t="shared" si="1600"/>
        <v>0</v>
      </c>
      <c r="AA798" s="139">
        <f t="shared" si="1600"/>
        <v>1.6467065868263474E-2</v>
      </c>
      <c r="AB798" s="139"/>
      <c r="AC798" s="139">
        <f t="shared" si="1538"/>
        <v>3.7425149700598799E-2</v>
      </c>
      <c r="AD798" s="139">
        <f t="shared" ref="AD798:AI798" si="1601">O798/$I798</f>
        <v>4.4910179640718561E-3</v>
      </c>
      <c r="AE798" s="139">
        <f t="shared" si="1601"/>
        <v>0</v>
      </c>
      <c r="AF798" s="139">
        <f t="shared" si="1601"/>
        <v>0</v>
      </c>
      <c r="AG798" s="139">
        <f t="shared" si="1601"/>
        <v>0</v>
      </c>
      <c r="AH798" s="139">
        <f t="shared" si="1601"/>
        <v>2.2455089820359281E-2</v>
      </c>
      <c r="AI798" s="139">
        <f t="shared" si="1601"/>
        <v>1.0479041916167664E-2</v>
      </c>
    </row>
    <row r="799" spans="2:35">
      <c r="B799" s="138" t="s">
        <v>8077</v>
      </c>
      <c r="C799" s="138" t="s">
        <v>4367</v>
      </c>
      <c r="D799" s="138" t="s">
        <v>11</v>
      </c>
      <c r="E799" s="138" t="s">
        <v>8119</v>
      </c>
      <c r="F799" s="138" t="s">
        <v>8119</v>
      </c>
      <c r="H799" s="138">
        <v>115</v>
      </c>
      <c r="I799" s="138">
        <v>828</v>
      </c>
      <c r="K799" s="138">
        <v>135</v>
      </c>
      <c r="L799" s="138">
        <v>658</v>
      </c>
      <c r="N799" s="138">
        <v>10</v>
      </c>
      <c r="O799" s="138">
        <v>3</v>
      </c>
      <c r="S799" s="138">
        <v>10</v>
      </c>
      <c r="T799" s="138">
        <v>12</v>
      </c>
      <c r="U799" s="138">
        <f t="shared" si="1536"/>
        <v>25</v>
      </c>
      <c r="W799" s="139">
        <f t="shared" ref="W799:AA799" si="1602">J799/$I799</f>
        <v>0</v>
      </c>
      <c r="X799" s="139">
        <f t="shared" si="1602"/>
        <v>0.16304347826086957</v>
      </c>
      <c r="Y799" s="139">
        <f t="shared" si="1602"/>
        <v>0.79468599033816423</v>
      </c>
      <c r="Z799" s="139">
        <f t="shared" si="1602"/>
        <v>0</v>
      </c>
      <c r="AA799" s="139">
        <f t="shared" si="1602"/>
        <v>1.2077294685990338E-2</v>
      </c>
      <c r="AB799" s="139"/>
      <c r="AC799" s="139">
        <f t="shared" si="1538"/>
        <v>3.0193236714975844E-2</v>
      </c>
      <c r="AD799" s="139">
        <f t="shared" ref="AD799:AI799" si="1603">O799/$I799</f>
        <v>3.6231884057971015E-3</v>
      </c>
      <c r="AE799" s="139">
        <f t="shared" si="1603"/>
        <v>0</v>
      </c>
      <c r="AF799" s="139">
        <f t="shared" si="1603"/>
        <v>0</v>
      </c>
      <c r="AG799" s="139">
        <f t="shared" si="1603"/>
        <v>0</v>
      </c>
      <c r="AH799" s="139">
        <f t="shared" si="1603"/>
        <v>1.2077294685990338E-2</v>
      </c>
      <c r="AI799" s="139">
        <f t="shared" si="1603"/>
        <v>1.4492753623188406E-2</v>
      </c>
    </row>
    <row r="800" spans="2:35">
      <c r="B800" s="138" t="s">
        <v>8077</v>
      </c>
      <c r="C800" s="138" t="s">
        <v>4367</v>
      </c>
      <c r="D800" s="138" t="s">
        <v>11</v>
      </c>
      <c r="E800" s="138" t="s">
        <v>8119</v>
      </c>
      <c r="F800" s="138" t="s">
        <v>8119</v>
      </c>
      <c r="H800" s="138">
        <v>116</v>
      </c>
      <c r="I800" s="138">
        <v>932</v>
      </c>
      <c r="K800" s="138">
        <v>163</v>
      </c>
      <c r="L800" s="138">
        <v>735</v>
      </c>
      <c r="N800" s="138">
        <v>13</v>
      </c>
      <c r="O800" s="138">
        <v>2</v>
      </c>
      <c r="S800" s="138">
        <v>11</v>
      </c>
      <c r="T800" s="138">
        <v>8</v>
      </c>
      <c r="U800" s="138">
        <f t="shared" si="1536"/>
        <v>21</v>
      </c>
      <c r="W800" s="139">
        <f t="shared" ref="W800:AA800" si="1604">J800/$I800</f>
        <v>0</v>
      </c>
      <c r="X800" s="139">
        <f t="shared" si="1604"/>
        <v>0.17489270386266095</v>
      </c>
      <c r="Y800" s="139">
        <f t="shared" si="1604"/>
        <v>0.78862660944206009</v>
      </c>
      <c r="Z800" s="139">
        <f t="shared" si="1604"/>
        <v>0</v>
      </c>
      <c r="AA800" s="139">
        <f t="shared" si="1604"/>
        <v>1.3948497854077254E-2</v>
      </c>
      <c r="AB800" s="139"/>
      <c r="AC800" s="139">
        <f t="shared" si="1538"/>
        <v>2.2532188841201718E-2</v>
      </c>
      <c r="AD800" s="139">
        <f t="shared" ref="AD800:AI800" si="1605">O800/$I800</f>
        <v>2.1459227467811159E-3</v>
      </c>
      <c r="AE800" s="139">
        <f t="shared" si="1605"/>
        <v>0</v>
      </c>
      <c r="AF800" s="139">
        <f t="shared" si="1605"/>
        <v>0</v>
      </c>
      <c r="AG800" s="139">
        <f t="shared" si="1605"/>
        <v>0</v>
      </c>
      <c r="AH800" s="139">
        <f t="shared" si="1605"/>
        <v>1.1802575107296138E-2</v>
      </c>
      <c r="AI800" s="139">
        <f t="shared" si="1605"/>
        <v>8.5836909871244635E-3</v>
      </c>
    </row>
    <row r="801" spans="2:35">
      <c r="B801" s="138" t="s">
        <v>8077</v>
      </c>
      <c r="C801" s="138" t="s">
        <v>4367</v>
      </c>
      <c r="D801" s="138" t="s">
        <v>11</v>
      </c>
      <c r="E801" s="138" t="s">
        <v>8119</v>
      </c>
      <c r="F801" s="138" t="s">
        <v>8119</v>
      </c>
      <c r="H801" s="138">
        <v>117</v>
      </c>
      <c r="I801" s="138">
        <v>456</v>
      </c>
      <c r="K801" s="138">
        <v>82</v>
      </c>
      <c r="L801" s="138">
        <v>363</v>
      </c>
      <c r="N801" s="138">
        <v>1</v>
      </c>
      <c r="O801" s="138">
        <v>0</v>
      </c>
      <c r="S801" s="138">
        <v>5</v>
      </c>
      <c r="T801" s="138">
        <v>5</v>
      </c>
      <c r="U801" s="138">
        <f t="shared" si="1536"/>
        <v>10</v>
      </c>
      <c r="W801" s="139">
        <f t="shared" ref="W801:AA801" si="1606">J801/$I801</f>
        <v>0</v>
      </c>
      <c r="X801" s="139">
        <f t="shared" si="1606"/>
        <v>0.17982456140350878</v>
      </c>
      <c r="Y801" s="139">
        <f t="shared" si="1606"/>
        <v>0.79605263157894735</v>
      </c>
      <c r="Z801" s="139">
        <f t="shared" si="1606"/>
        <v>0</v>
      </c>
      <c r="AA801" s="139">
        <f t="shared" si="1606"/>
        <v>2.1929824561403508E-3</v>
      </c>
      <c r="AB801" s="139"/>
      <c r="AC801" s="139">
        <f t="shared" si="1538"/>
        <v>2.1929824561403508E-2</v>
      </c>
      <c r="AD801" s="139">
        <f t="shared" ref="AD801:AI801" si="1607">O801/$I801</f>
        <v>0</v>
      </c>
      <c r="AE801" s="139">
        <f t="shared" si="1607"/>
        <v>0</v>
      </c>
      <c r="AF801" s="139">
        <f t="shared" si="1607"/>
        <v>0</v>
      </c>
      <c r="AG801" s="139">
        <f t="shared" si="1607"/>
        <v>0</v>
      </c>
      <c r="AH801" s="139">
        <f t="shared" si="1607"/>
        <v>1.0964912280701754E-2</v>
      </c>
      <c r="AI801" s="139">
        <f t="shared" si="1607"/>
        <v>1.0964912280701754E-2</v>
      </c>
    </row>
    <row r="802" spans="2:35">
      <c r="B802" s="138" t="s">
        <v>8077</v>
      </c>
      <c r="C802" s="138" t="s">
        <v>4367</v>
      </c>
      <c r="D802" s="138" t="s">
        <v>11</v>
      </c>
      <c r="E802" s="138" t="s">
        <v>8119</v>
      </c>
      <c r="F802" s="138" t="s">
        <v>8119</v>
      </c>
      <c r="H802" s="138">
        <v>118</v>
      </c>
      <c r="I802" s="138">
        <v>723</v>
      </c>
      <c r="K802" s="138">
        <v>128</v>
      </c>
      <c r="L802" s="138">
        <v>574</v>
      </c>
      <c r="N802" s="138">
        <v>5</v>
      </c>
      <c r="O802" s="138">
        <v>1</v>
      </c>
      <c r="S802" s="138">
        <v>11</v>
      </c>
      <c r="T802" s="138">
        <v>4</v>
      </c>
      <c r="U802" s="138">
        <f t="shared" si="1536"/>
        <v>16</v>
      </c>
      <c r="W802" s="139">
        <f t="shared" ref="W802:AA802" si="1608">J802/$I802</f>
        <v>0</v>
      </c>
      <c r="X802" s="139">
        <f t="shared" si="1608"/>
        <v>0.17704011065006917</v>
      </c>
      <c r="Y802" s="139">
        <f t="shared" si="1608"/>
        <v>0.79391424619640383</v>
      </c>
      <c r="Z802" s="139">
        <f t="shared" si="1608"/>
        <v>0</v>
      </c>
      <c r="AA802" s="139">
        <f t="shared" si="1608"/>
        <v>6.9156293222683261E-3</v>
      </c>
      <c r="AB802" s="139"/>
      <c r="AC802" s="139">
        <f t="shared" si="1538"/>
        <v>2.2130013831258646E-2</v>
      </c>
      <c r="AD802" s="139">
        <f t="shared" ref="AD802:AI802" si="1609">O802/$I802</f>
        <v>1.3831258644536654E-3</v>
      </c>
      <c r="AE802" s="139">
        <f t="shared" si="1609"/>
        <v>0</v>
      </c>
      <c r="AF802" s="139">
        <f t="shared" si="1609"/>
        <v>0</v>
      </c>
      <c r="AG802" s="139">
        <f t="shared" si="1609"/>
        <v>0</v>
      </c>
      <c r="AH802" s="139">
        <f t="shared" si="1609"/>
        <v>1.5214384508990318E-2</v>
      </c>
      <c r="AI802" s="139">
        <f t="shared" si="1609"/>
        <v>5.5325034578146614E-3</v>
      </c>
    </row>
    <row r="803" spans="2:35">
      <c r="B803" s="138" t="s">
        <v>8077</v>
      </c>
      <c r="C803" s="138" t="s">
        <v>4367</v>
      </c>
      <c r="D803" s="138" t="s">
        <v>11</v>
      </c>
      <c r="E803" s="138" t="s">
        <v>8119</v>
      </c>
      <c r="F803" s="138" t="s">
        <v>8119</v>
      </c>
      <c r="H803" s="138">
        <v>119</v>
      </c>
      <c r="I803" s="138">
        <v>786</v>
      </c>
      <c r="K803" s="138">
        <v>159</v>
      </c>
      <c r="L803" s="138">
        <v>603</v>
      </c>
      <c r="N803" s="138">
        <v>6</v>
      </c>
      <c r="O803" s="138">
        <v>2</v>
      </c>
      <c r="S803" s="138">
        <v>12</v>
      </c>
      <c r="T803" s="138">
        <v>4</v>
      </c>
      <c r="U803" s="138">
        <f t="shared" si="1536"/>
        <v>18</v>
      </c>
      <c r="W803" s="139">
        <f t="shared" ref="W803:AA803" si="1610">J803/$I803</f>
        <v>0</v>
      </c>
      <c r="X803" s="139">
        <f t="shared" si="1610"/>
        <v>0.20229007633587787</v>
      </c>
      <c r="Y803" s="139">
        <f t="shared" si="1610"/>
        <v>0.76717557251908397</v>
      </c>
      <c r="Z803" s="139">
        <f t="shared" si="1610"/>
        <v>0</v>
      </c>
      <c r="AA803" s="139">
        <f t="shared" si="1610"/>
        <v>7.6335877862595417E-3</v>
      </c>
      <c r="AB803" s="139"/>
      <c r="AC803" s="139">
        <f t="shared" si="1538"/>
        <v>2.2900763358778626E-2</v>
      </c>
      <c r="AD803" s="139">
        <f t="shared" ref="AD803:AI803" si="1611">O803/$I803</f>
        <v>2.5445292620865142E-3</v>
      </c>
      <c r="AE803" s="139">
        <f t="shared" si="1611"/>
        <v>0</v>
      </c>
      <c r="AF803" s="139">
        <f t="shared" si="1611"/>
        <v>0</v>
      </c>
      <c r="AG803" s="139">
        <f t="shared" si="1611"/>
        <v>0</v>
      </c>
      <c r="AH803" s="139">
        <f t="shared" si="1611"/>
        <v>1.5267175572519083E-2</v>
      </c>
      <c r="AI803" s="139">
        <f t="shared" si="1611"/>
        <v>5.0890585241730284E-3</v>
      </c>
    </row>
    <row r="804" spans="2:35">
      <c r="B804" s="138" t="s">
        <v>8077</v>
      </c>
      <c r="C804" s="138" t="s">
        <v>4367</v>
      </c>
      <c r="D804" s="138" t="s">
        <v>11</v>
      </c>
      <c r="E804" s="138" t="s">
        <v>8119</v>
      </c>
      <c r="F804" s="138" t="s">
        <v>8119</v>
      </c>
      <c r="H804" s="138">
        <v>120</v>
      </c>
      <c r="I804" s="138">
        <v>483</v>
      </c>
      <c r="K804" s="138">
        <v>74</v>
      </c>
      <c r="L804" s="138">
        <v>393</v>
      </c>
      <c r="N804" s="138">
        <v>5</v>
      </c>
      <c r="O804" s="138">
        <v>0</v>
      </c>
      <c r="S804" s="138">
        <v>4</v>
      </c>
      <c r="T804" s="138">
        <v>7</v>
      </c>
      <c r="U804" s="138">
        <f t="shared" si="1536"/>
        <v>11</v>
      </c>
      <c r="W804" s="139">
        <f t="shared" ref="W804:AA804" si="1612">J804/$I804</f>
        <v>0</v>
      </c>
      <c r="X804" s="139">
        <f t="shared" si="1612"/>
        <v>0.15320910973084886</v>
      </c>
      <c r="Y804" s="139">
        <f t="shared" si="1612"/>
        <v>0.81366459627329191</v>
      </c>
      <c r="Z804" s="139">
        <f t="shared" si="1612"/>
        <v>0</v>
      </c>
      <c r="AA804" s="139">
        <f t="shared" si="1612"/>
        <v>1.0351966873706004E-2</v>
      </c>
      <c r="AB804" s="139"/>
      <c r="AC804" s="139">
        <f t="shared" si="1538"/>
        <v>2.2774327122153208E-2</v>
      </c>
      <c r="AD804" s="139">
        <f t="shared" ref="AD804:AI804" si="1613">O804/$I804</f>
        <v>0</v>
      </c>
      <c r="AE804" s="139">
        <f t="shared" si="1613"/>
        <v>0</v>
      </c>
      <c r="AF804" s="139">
        <f t="shared" si="1613"/>
        <v>0</v>
      </c>
      <c r="AG804" s="139">
        <f t="shared" si="1613"/>
        <v>0</v>
      </c>
      <c r="AH804" s="139">
        <f t="shared" si="1613"/>
        <v>8.2815734989648039E-3</v>
      </c>
      <c r="AI804" s="139">
        <f t="shared" si="1613"/>
        <v>1.4492753623188406E-2</v>
      </c>
    </row>
    <row r="805" spans="2:35">
      <c r="B805" s="138" t="s">
        <v>8077</v>
      </c>
      <c r="C805" s="138" t="s">
        <v>4367</v>
      </c>
      <c r="D805" s="138" t="s">
        <v>11</v>
      </c>
      <c r="E805" s="138" t="s">
        <v>8119</v>
      </c>
      <c r="F805" s="138" t="s">
        <v>8119</v>
      </c>
      <c r="H805" s="138">
        <v>121</v>
      </c>
      <c r="I805" s="138">
        <v>805</v>
      </c>
      <c r="K805" s="138">
        <v>152</v>
      </c>
      <c r="L805" s="138">
        <v>629</v>
      </c>
      <c r="N805" s="138">
        <v>5</v>
      </c>
      <c r="O805" s="138">
        <v>3</v>
      </c>
      <c r="S805" s="138">
        <v>13</v>
      </c>
      <c r="T805" s="138">
        <v>3</v>
      </c>
      <c r="U805" s="138">
        <f t="shared" si="1536"/>
        <v>19</v>
      </c>
      <c r="W805" s="139">
        <f t="shared" ref="W805:AA805" si="1614">J805/$I805</f>
        <v>0</v>
      </c>
      <c r="X805" s="139">
        <f t="shared" si="1614"/>
        <v>0.18881987577639753</v>
      </c>
      <c r="Y805" s="139">
        <f t="shared" si="1614"/>
        <v>0.7813664596273292</v>
      </c>
      <c r="Z805" s="139">
        <f t="shared" si="1614"/>
        <v>0</v>
      </c>
      <c r="AA805" s="139">
        <f t="shared" si="1614"/>
        <v>6.2111801242236021E-3</v>
      </c>
      <c r="AB805" s="139"/>
      <c r="AC805" s="139">
        <f t="shared" si="1538"/>
        <v>2.3602484472049691E-2</v>
      </c>
      <c r="AD805" s="139">
        <f t="shared" ref="AD805:AI805" si="1615">O805/$I805</f>
        <v>3.7267080745341614E-3</v>
      </c>
      <c r="AE805" s="139">
        <f t="shared" si="1615"/>
        <v>0</v>
      </c>
      <c r="AF805" s="139">
        <f t="shared" si="1615"/>
        <v>0</v>
      </c>
      <c r="AG805" s="139">
        <f t="shared" si="1615"/>
        <v>0</v>
      </c>
      <c r="AH805" s="139">
        <f t="shared" si="1615"/>
        <v>1.6149068322981366E-2</v>
      </c>
      <c r="AI805" s="139">
        <f t="shared" si="1615"/>
        <v>3.7267080745341614E-3</v>
      </c>
    </row>
    <row r="806" spans="2:35">
      <c r="B806" s="138" t="s">
        <v>8077</v>
      </c>
      <c r="C806" s="138" t="s">
        <v>4367</v>
      </c>
      <c r="D806" s="138" t="s">
        <v>11</v>
      </c>
      <c r="E806" s="138" t="s">
        <v>8119</v>
      </c>
      <c r="F806" s="138" t="s">
        <v>8119</v>
      </c>
      <c r="H806" s="138">
        <v>122</v>
      </c>
      <c r="I806" s="138">
        <v>745</v>
      </c>
      <c r="K806" s="138">
        <v>128</v>
      </c>
      <c r="L806" s="138">
        <v>583</v>
      </c>
      <c r="N806" s="138">
        <v>8</v>
      </c>
      <c r="O806" s="138">
        <v>1</v>
      </c>
      <c r="S806" s="138">
        <v>16</v>
      </c>
      <c r="T806" s="138">
        <v>9</v>
      </c>
      <c r="U806" s="138">
        <f t="shared" si="1536"/>
        <v>26</v>
      </c>
      <c r="W806" s="139">
        <f t="shared" ref="W806:AA806" si="1616">J806/$I806</f>
        <v>0</v>
      </c>
      <c r="X806" s="139">
        <f t="shared" si="1616"/>
        <v>0.17181208053691274</v>
      </c>
      <c r="Y806" s="139">
        <f t="shared" si="1616"/>
        <v>0.78255033557046982</v>
      </c>
      <c r="Z806" s="139">
        <f t="shared" si="1616"/>
        <v>0</v>
      </c>
      <c r="AA806" s="139">
        <f t="shared" si="1616"/>
        <v>1.0738255033557046E-2</v>
      </c>
      <c r="AB806" s="139"/>
      <c r="AC806" s="139">
        <f t="shared" si="1538"/>
        <v>3.4899328859060399E-2</v>
      </c>
      <c r="AD806" s="139">
        <f t="shared" ref="AD806:AI806" si="1617">O806/$I806</f>
        <v>1.3422818791946308E-3</v>
      </c>
      <c r="AE806" s="139">
        <f t="shared" si="1617"/>
        <v>0</v>
      </c>
      <c r="AF806" s="139">
        <f t="shared" si="1617"/>
        <v>0</v>
      </c>
      <c r="AG806" s="139">
        <f t="shared" si="1617"/>
        <v>0</v>
      </c>
      <c r="AH806" s="139">
        <f t="shared" si="1617"/>
        <v>2.1476510067114093E-2</v>
      </c>
      <c r="AI806" s="139">
        <f t="shared" si="1617"/>
        <v>1.2080536912751677E-2</v>
      </c>
    </row>
    <row r="807" spans="2:35">
      <c r="B807" s="138" t="s">
        <v>8077</v>
      </c>
      <c r="C807" s="138" t="s">
        <v>4367</v>
      </c>
      <c r="D807" s="138" t="s">
        <v>11</v>
      </c>
      <c r="E807" s="138" t="s">
        <v>8119</v>
      </c>
      <c r="F807" s="138" t="s">
        <v>8119</v>
      </c>
      <c r="H807" s="138">
        <v>123</v>
      </c>
      <c r="I807" s="138">
        <v>942</v>
      </c>
      <c r="K807" s="138">
        <v>423</v>
      </c>
      <c r="L807" s="138">
        <v>490</v>
      </c>
      <c r="N807" s="138">
        <v>11</v>
      </c>
      <c r="O807" s="138">
        <v>0</v>
      </c>
      <c r="S807" s="138">
        <v>7</v>
      </c>
      <c r="T807" s="138">
        <v>11</v>
      </c>
      <c r="U807" s="138">
        <f t="shared" si="1536"/>
        <v>18</v>
      </c>
      <c r="W807" s="139">
        <f t="shared" ref="W807:AA807" si="1618">J807/$I807</f>
        <v>0</v>
      </c>
      <c r="X807" s="139">
        <f t="shared" si="1618"/>
        <v>0.44904458598726116</v>
      </c>
      <c r="Y807" s="139">
        <f t="shared" si="1618"/>
        <v>0.52016985138004246</v>
      </c>
      <c r="Z807" s="139">
        <f t="shared" si="1618"/>
        <v>0</v>
      </c>
      <c r="AA807" s="139">
        <f t="shared" si="1618"/>
        <v>1.167728237791932E-2</v>
      </c>
      <c r="AB807" s="139"/>
      <c r="AC807" s="139">
        <f t="shared" si="1538"/>
        <v>1.9108280254777069E-2</v>
      </c>
      <c r="AD807" s="139">
        <f t="shared" ref="AD807:AI807" si="1619">O807/$I807</f>
        <v>0</v>
      </c>
      <c r="AE807" s="139">
        <f t="shared" si="1619"/>
        <v>0</v>
      </c>
      <c r="AF807" s="139">
        <f t="shared" si="1619"/>
        <v>0</v>
      </c>
      <c r="AG807" s="139">
        <f t="shared" si="1619"/>
        <v>0</v>
      </c>
      <c r="AH807" s="139">
        <f t="shared" si="1619"/>
        <v>7.4309978768577496E-3</v>
      </c>
      <c r="AI807" s="139">
        <f t="shared" si="1619"/>
        <v>1.167728237791932E-2</v>
      </c>
    </row>
    <row r="808" spans="2:35">
      <c r="B808" s="138" t="s">
        <v>8077</v>
      </c>
      <c r="C808" s="138" t="s">
        <v>4367</v>
      </c>
      <c r="D808" s="138" t="s">
        <v>11</v>
      </c>
      <c r="E808" s="138" t="s">
        <v>8119</v>
      </c>
      <c r="F808" s="138" t="s">
        <v>8119</v>
      </c>
      <c r="H808" s="138">
        <v>124</v>
      </c>
      <c r="I808" s="138">
        <v>694</v>
      </c>
      <c r="K808" s="138">
        <v>195</v>
      </c>
      <c r="L808" s="138">
        <v>470</v>
      </c>
      <c r="N808" s="138">
        <v>15</v>
      </c>
      <c r="O808" s="138">
        <v>1</v>
      </c>
      <c r="S808" s="138">
        <v>8</v>
      </c>
      <c r="T808" s="138">
        <v>5</v>
      </c>
      <c r="U808" s="138">
        <f t="shared" si="1536"/>
        <v>14</v>
      </c>
      <c r="W808" s="139">
        <f t="shared" ref="W808:AA808" si="1620">J808/$I808</f>
        <v>0</v>
      </c>
      <c r="X808" s="139">
        <f t="shared" si="1620"/>
        <v>0.28097982708933716</v>
      </c>
      <c r="Y808" s="139">
        <f t="shared" si="1620"/>
        <v>0.67723342939481268</v>
      </c>
      <c r="Z808" s="139">
        <f t="shared" si="1620"/>
        <v>0</v>
      </c>
      <c r="AA808" s="139">
        <f t="shared" si="1620"/>
        <v>2.1613832853025938E-2</v>
      </c>
      <c r="AB808" s="139"/>
      <c r="AC808" s="139">
        <f t="shared" si="1538"/>
        <v>2.0172910662824207E-2</v>
      </c>
      <c r="AD808" s="139">
        <f t="shared" ref="AD808:AI808" si="1621">O808/$I808</f>
        <v>1.440922190201729E-3</v>
      </c>
      <c r="AE808" s="139">
        <f t="shared" si="1621"/>
        <v>0</v>
      </c>
      <c r="AF808" s="139">
        <f t="shared" si="1621"/>
        <v>0</v>
      </c>
      <c r="AG808" s="139">
        <f t="shared" si="1621"/>
        <v>0</v>
      </c>
      <c r="AH808" s="139">
        <f t="shared" si="1621"/>
        <v>1.1527377521613832E-2</v>
      </c>
      <c r="AI808" s="139">
        <f t="shared" si="1621"/>
        <v>7.2046109510086453E-3</v>
      </c>
    </row>
    <row r="809" spans="2:35">
      <c r="B809" s="138" t="s">
        <v>8077</v>
      </c>
      <c r="C809" s="138" t="s">
        <v>4367</v>
      </c>
      <c r="D809" s="138" t="s">
        <v>11</v>
      </c>
      <c r="E809" s="138" t="s">
        <v>8119</v>
      </c>
      <c r="F809" s="138" t="s">
        <v>8119</v>
      </c>
      <c r="H809" s="138">
        <v>125</v>
      </c>
      <c r="I809" s="138">
        <v>554</v>
      </c>
      <c r="K809" s="138">
        <v>107</v>
      </c>
      <c r="L809" s="138">
        <v>432</v>
      </c>
      <c r="N809" s="138">
        <v>4</v>
      </c>
      <c r="O809" s="138">
        <v>0</v>
      </c>
      <c r="S809" s="138">
        <v>7</v>
      </c>
      <c r="T809" s="138">
        <v>4</v>
      </c>
      <c r="U809" s="138">
        <f t="shared" si="1536"/>
        <v>11</v>
      </c>
      <c r="W809" s="139">
        <f t="shared" ref="W809:AA809" si="1622">J809/$I809</f>
        <v>0</v>
      </c>
      <c r="X809" s="139">
        <f t="shared" si="1622"/>
        <v>0.19314079422382671</v>
      </c>
      <c r="Y809" s="139">
        <f t="shared" si="1622"/>
        <v>0.77978339350180503</v>
      </c>
      <c r="Z809" s="139">
        <f t="shared" si="1622"/>
        <v>0</v>
      </c>
      <c r="AA809" s="139">
        <f t="shared" si="1622"/>
        <v>7.2202166064981952E-3</v>
      </c>
      <c r="AB809" s="139"/>
      <c r="AC809" s="139">
        <f t="shared" si="1538"/>
        <v>1.9855595667870037E-2</v>
      </c>
      <c r="AD809" s="139">
        <f t="shared" ref="AD809:AI809" si="1623">O809/$I809</f>
        <v>0</v>
      </c>
      <c r="AE809" s="139">
        <f t="shared" si="1623"/>
        <v>0</v>
      </c>
      <c r="AF809" s="139">
        <f t="shared" si="1623"/>
        <v>0</v>
      </c>
      <c r="AG809" s="139">
        <f t="shared" si="1623"/>
        <v>0</v>
      </c>
      <c r="AH809" s="139">
        <f t="shared" si="1623"/>
        <v>1.263537906137184E-2</v>
      </c>
      <c r="AI809" s="139">
        <f t="shared" si="1623"/>
        <v>7.2202166064981952E-3</v>
      </c>
    </row>
    <row r="810" spans="2:35">
      <c r="B810" s="138" t="s">
        <v>8077</v>
      </c>
      <c r="C810" s="138" t="s">
        <v>4367</v>
      </c>
      <c r="D810" s="138" t="s">
        <v>11</v>
      </c>
      <c r="E810" s="138" t="s">
        <v>8119</v>
      </c>
      <c r="F810" s="138" t="s">
        <v>8119</v>
      </c>
      <c r="H810" s="138">
        <v>126</v>
      </c>
      <c r="I810" s="138">
        <v>711</v>
      </c>
      <c r="K810" s="138">
        <v>352</v>
      </c>
      <c r="L810" s="138">
        <v>322</v>
      </c>
      <c r="N810" s="138">
        <v>13</v>
      </c>
      <c r="O810" s="138">
        <v>6</v>
      </c>
      <c r="S810" s="138">
        <v>8</v>
      </c>
      <c r="T810" s="138">
        <v>10</v>
      </c>
      <c r="U810" s="138">
        <f t="shared" si="1536"/>
        <v>24</v>
      </c>
      <c r="W810" s="139">
        <f t="shared" ref="W810:AA810" si="1624">J810/$I810</f>
        <v>0</v>
      </c>
      <c r="X810" s="139">
        <f t="shared" si="1624"/>
        <v>0.49507735583684953</v>
      </c>
      <c r="Y810" s="139">
        <f t="shared" si="1624"/>
        <v>0.45288326300984527</v>
      </c>
      <c r="Z810" s="139">
        <f t="shared" si="1624"/>
        <v>0</v>
      </c>
      <c r="AA810" s="139">
        <f t="shared" si="1624"/>
        <v>1.8284106891701828E-2</v>
      </c>
      <c r="AB810" s="139"/>
      <c r="AC810" s="139">
        <f t="shared" si="1538"/>
        <v>3.3755274261603373E-2</v>
      </c>
      <c r="AD810" s="139">
        <f t="shared" ref="AD810:AI810" si="1625">O810/$I810</f>
        <v>8.4388185654008432E-3</v>
      </c>
      <c r="AE810" s="139">
        <f t="shared" si="1625"/>
        <v>0</v>
      </c>
      <c r="AF810" s="139">
        <f t="shared" si="1625"/>
        <v>0</v>
      </c>
      <c r="AG810" s="139">
        <f t="shared" si="1625"/>
        <v>0</v>
      </c>
      <c r="AH810" s="139">
        <f t="shared" si="1625"/>
        <v>1.1251758087201125E-2</v>
      </c>
      <c r="AI810" s="139">
        <f t="shared" si="1625"/>
        <v>1.4064697609001406E-2</v>
      </c>
    </row>
    <row r="811" spans="2:35">
      <c r="B811" s="138" t="s">
        <v>8077</v>
      </c>
      <c r="C811" s="138" t="s">
        <v>4367</v>
      </c>
      <c r="D811" s="138" t="s">
        <v>11</v>
      </c>
      <c r="E811" s="138" t="s">
        <v>261</v>
      </c>
      <c r="F811" s="138" t="s">
        <v>8145</v>
      </c>
      <c r="H811" s="138">
        <v>127</v>
      </c>
      <c r="I811" s="138">
        <v>646</v>
      </c>
      <c r="K811" s="138">
        <v>220</v>
      </c>
      <c r="L811" s="138">
        <v>396</v>
      </c>
      <c r="N811" s="138">
        <v>4</v>
      </c>
      <c r="O811" s="138">
        <v>5</v>
      </c>
      <c r="S811" s="138">
        <v>17</v>
      </c>
      <c r="T811" s="138">
        <v>4</v>
      </c>
      <c r="U811" s="138">
        <f t="shared" si="1536"/>
        <v>26</v>
      </c>
      <c r="W811" s="139">
        <f t="shared" ref="W811:AA811" si="1626">J811/$I811</f>
        <v>0</v>
      </c>
      <c r="X811" s="139">
        <f t="shared" si="1626"/>
        <v>0.34055727554179566</v>
      </c>
      <c r="Y811" s="139">
        <f t="shared" si="1626"/>
        <v>0.61300309597523217</v>
      </c>
      <c r="Z811" s="139">
        <f t="shared" si="1626"/>
        <v>0</v>
      </c>
      <c r="AA811" s="139">
        <f t="shared" si="1626"/>
        <v>6.1919504643962852E-3</v>
      </c>
      <c r="AB811" s="139"/>
      <c r="AC811" s="139">
        <f t="shared" si="1538"/>
        <v>4.0247678018575851E-2</v>
      </c>
      <c r="AD811" s="139">
        <f t="shared" ref="AD811:AI811" si="1627">O811/$I811</f>
        <v>7.7399380804953561E-3</v>
      </c>
      <c r="AE811" s="139">
        <f t="shared" si="1627"/>
        <v>0</v>
      </c>
      <c r="AF811" s="139">
        <f t="shared" si="1627"/>
        <v>0</v>
      </c>
      <c r="AG811" s="139">
        <f t="shared" si="1627"/>
        <v>0</v>
      </c>
      <c r="AH811" s="139">
        <f t="shared" si="1627"/>
        <v>2.6315789473684209E-2</v>
      </c>
      <c r="AI811" s="139">
        <f t="shared" si="1627"/>
        <v>6.1919504643962852E-3</v>
      </c>
    </row>
    <row r="812" spans="2:35">
      <c r="B812" s="138" t="s">
        <v>8077</v>
      </c>
      <c r="C812" s="138" t="s">
        <v>4367</v>
      </c>
      <c r="D812" s="138" t="s">
        <v>11</v>
      </c>
      <c r="E812" s="138" t="s">
        <v>261</v>
      </c>
      <c r="F812" s="138" t="s">
        <v>8145</v>
      </c>
      <c r="H812" s="138">
        <v>128</v>
      </c>
      <c r="I812" s="138">
        <v>615</v>
      </c>
      <c r="K812" s="138">
        <v>181</v>
      </c>
      <c r="L812" s="138">
        <v>412</v>
      </c>
      <c r="N812" s="138">
        <v>4</v>
      </c>
      <c r="O812" s="138">
        <v>4</v>
      </c>
      <c r="S812" s="138">
        <v>9</v>
      </c>
      <c r="T812" s="138">
        <v>5</v>
      </c>
      <c r="U812" s="138">
        <f t="shared" si="1536"/>
        <v>18</v>
      </c>
      <c r="W812" s="139">
        <f t="shared" ref="W812:AA812" si="1628">J812/$I812</f>
        <v>0</v>
      </c>
      <c r="X812" s="139">
        <f t="shared" si="1628"/>
        <v>0.2943089430894309</v>
      </c>
      <c r="Y812" s="139">
        <f t="shared" si="1628"/>
        <v>0.66991869918699187</v>
      </c>
      <c r="Z812" s="139">
        <f t="shared" si="1628"/>
        <v>0</v>
      </c>
      <c r="AA812" s="139">
        <f t="shared" si="1628"/>
        <v>6.5040650406504065E-3</v>
      </c>
      <c r="AB812" s="139"/>
      <c r="AC812" s="139">
        <f t="shared" si="1538"/>
        <v>2.9268292682926831E-2</v>
      </c>
      <c r="AD812" s="139">
        <f t="shared" ref="AD812:AI812" si="1629">O812/$I812</f>
        <v>6.5040650406504065E-3</v>
      </c>
      <c r="AE812" s="139">
        <f t="shared" si="1629"/>
        <v>0</v>
      </c>
      <c r="AF812" s="139">
        <f t="shared" si="1629"/>
        <v>0</v>
      </c>
      <c r="AG812" s="139">
        <f t="shared" si="1629"/>
        <v>0</v>
      </c>
      <c r="AH812" s="139">
        <f t="shared" si="1629"/>
        <v>1.4634146341463415E-2</v>
      </c>
      <c r="AI812" s="139">
        <f t="shared" si="1629"/>
        <v>8.130081300813009E-3</v>
      </c>
    </row>
    <row r="813" spans="2:35">
      <c r="B813" s="138" t="s">
        <v>8077</v>
      </c>
      <c r="C813" s="138" t="s">
        <v>4367</v>
      </c>
      <c r="D813" s="138" t="s">
        <v>11</v>
      </c>
      <c r="E813" s="138" t="s">
        <v>261</v>
      </c>
      <c r="F813" s="138" t="s">
        <v>8145</v>
      </c>
      <c r="H813" s="138">
        <v>129</v>
      </c>
      <c r="I813" s="138">
        <v>701</v>
      </c>
      <c r="K813" s="138">
        <v>181</v>
      </c>
      <c r="L813" s="138">
        <v>494</v>
      </c>
      <c r="N813" s="138">
        <v>7</v>
      </c>
      <c r="O813" s="138">
        <v>1</v>
      </c>
      <c r="S813" s="138">
        <v>11</v>
      </c>
      <c r="T813" s="138">
        <v>7</v>
      </c>
      <c r="U813" s="138">
        <f t="shared" si="1536"/>
        <v>19</v>
      </c>
      <c r="W813" s="139">
        <f t="shared" ref="W813:AA813" si="1630">J813/$I813</f>
        <v>0</v>
      </c>
      <c r="X813" s="139">
        <f t="shared" si="1630"/>
        <v>0.25820256776034239</v>
      </c>
      <c r="Y813" s="139">
        <f t="shared" si="1630"/>
        <v>0.7047075606276747</v>
      </c>
      <c r="Z813" s="139">
        <f t="shared" si="1630"/>
        <v>0</v>
      </c>
      <c r="AA813" s="139">
        <f t="shared" si="1630"/>
        <v>9.9857346647646214E-3</v>
      </c>
      <c r="AB813" s="139"/>
      <c r="AC813" s="139">
        <f t="shared" si="1538"/>
        <v>2.710413694721826E-2</v>
      </c>
      <c r="AD813" s="139">
        <f t="shared" ref="AD813:AI813" si="1631">O813/$I813</f>
        <v>1.4265335235378032E-3</v>
      </c>
      <c r="AE813" s="139">
        <f t="shared" si="1631"/>
        <v>0</v>
      </c>
      <c r="AF813" s="139">
        <f t="shared" si="1631"/>
        <v>0</v>
      </c>
      <c r="AG813" s="139">
        <f t="shared" si="1631"/>
        <v>0</v>
      </c>
      <c r="AH813" s="139">
        <f t="shared" si="1631"/>
        <v>1.5691868758915834E-2</v>
      </c>
      <c r="AI813" s="139">
        <f t="shared" si="1631"/>
        <v>9.9857346647646214E-3</v>
      </c>
    </row>
    <row r="814" spans="2:35">
      <c r="B814" s="138" t="s">
        <v>8077</v>
      </c>
      <c r="C814" s="138" t="s">
        <v>4367</v>
      </c>
      <c r="D814" s="138" t="s">
        <v>11</v>
      </c>
      <c r="E814" s="138" t="s">
        <v>261</v>
      </c>
      <c r="F814" s="138" t="s">
        <v>8145</v>
      </c>
      <c r="H814" s="138">
        <v>130</v>
      </c>
      <c r="I814" s="138">
        <v>563</v>
      </c>
      <c r="K814" s="138">
        <v>143</v>
      </c>
      <c r="L814" s="138">
        <v>394</v>
      </c>
      <c r="N814" s="138">
        <v>5</v>
      </c>
      <c r="O814" s="138">
        <v>0</v>
      </c>
      <c r="S814" s="138">
        <v>15</v>
      </c>
      <c r="T814" s="138">
        <v>6</v>
      </c>
      <c r="U814" s="138">
        <f t="shared" si="1536"/>
        <v>21</v>
      </c>
      <c r="W814" s="139">
        <f t="shared" ref="W814:AA814" si="1632">J814/$I814</f>
        <v>0</v>
      </c>
      <c r="X814" s="139">
        <f t="shared" si="1632"/>
        <v>0.25399644760213141</v>
      </c>
      <c r="Y814" s="139">
        <f t="shared" si="1632"/>
        <v>0.69982238010657194</v>
      </c>
      <c r="Z814" s="139">
        <f t="shared" si="1632"/>
        <v>0</v>
      </c>
      <c r="AA814" s="139">
        <f t="shared" si="1632"/>
        <v>8.8809946714031966E-3</v>
      </c>
      <c r="AB814" s="139"/>
      <c r="AC814" s="139">
        <f t="shared" si="1538"/>
        <v>3.7300177619893425E-2</v>
      </c>
      <c r="AD814" s="139">
        <f t="shared" ref="AD814:AI814" si="1633">O814/$I814</f>
        <v>0</v>
      </c>
      <c r="AE814" s="139">
        <f t="shared" si="1633"/>
        <v>0</v>
      </c>
      <c r="AF814" s="139">
        <f t="shared" si="1633"/>
        <v>0</v>
      </c>
      <c r="AG814" s="139">
        <f t="shared" si="1633"/>
        <v>0</v>
      </c>
      <c r="AH814" s="139">
        <f t="shared" si="1633"/>
        <v>2.664298401420959E-2</v>
      </c>
      <c r="AI814" s="139">
        <f t="shared" si="1633"/>
        <v>1.0657193605683837E-2</v>
      </c>
    </row>
    <row r="815" spans="2:35">
      <c r="B815" s="138" t="s">
        <v>8077</v>
      </c>
      <c r="C815" s="138" t="s">
        <v>4367</v>
      </c>
      <c r="D815" s="138" t="s">
        <v>11</v>
      </c>
      <c r="E815" s="138" t="s">
        <v>261</v>
      </c>
      <c r="F815" s="138" t="s">
        <v>8145</v>
      </c>
      <c r="H815" s="138">
        <v>131</v>
      </c>
      <c r="I815" s="138">
        <v>562</v>
      </c>
      <c r="K815" s="138">
        <v>123</v>
      </c>
      <c r="L815" s="138">
        <v>416</v>
      </c>
      <c r="N815" s="138">
        <v>10</v>
      </c>
      <c r="O815" s="138">
        <v>0</v>
      </c>
      <c r="S815" s="138">
        <v>10</v>
      </c>
      <c r="T815" s="138">
        <v>3</v>
      </c>
      <c r="U815" s="138">
        <f t="shared" si="1536"/>
        <v>13</v>
      </c>
      <c r="W815" s="139">
        <f t="shared" ref="W815:AA815" si="1634">J815/$I815</f>
        <v>0</v>
      </c>
      <c r="X815" s="139">
        <f t="shared" si="1634"/>
        <v>0.2188612099644128</v>
      </c>
      <c r="Y815" s="139">
        <f t="shared" si="1634"/>
        <v>0.74021352313167255</v>
      </c>
      <c r="Z815" s="139">
        <f t="shared" si="1634"/>
        <v>0</v>
      </c>
      <c r="AA815" s="139">
        <f t="shared" si="1634"/>
        <v>1.7793594306049824E-2</v>
      </c>
      <c r="AB815" s="139"/>
      <c r="AC815" s="139">
        <f t="shared" si="1538"/>
        <v>2.3131672597864767E-2</v>
      </c>
      <c r="AD815" s="139">
        <f t="shared" ref="AD815:AI815" si="1635">O815/$I815</f>
        <v>0</v>
      </c>
      <c r="AE815" s="139">
        <f t="shared" si="1635"/>
        <v>0</v>
      </c>
      <c r="AF815" s="139">
        <f t="shared" si="1635"/>
        <v>0</v>
      </c>
      <c r="AG815" s="139">
        <f t="shared" si="1635"/>
        <v>0</v>
      </c>
      <c r="AH815" s="139">
        <f t="shared" si="1635"/>
        <v>1.7793594306049824E-2</v>
      </c>
      <c r="AI815" s="139">
        <f t="shared" si="1635"/>
        <v>5.3380782918149468E-3</v>
      </c>
    </row>
    <row r="816" spans="2:35">
      <c r="B816" s="138" t="s">
        <v>8077</v>
      </c>
      <c r="C816" s="138" t="s">
        <v>4367</v>
      </c>
      <c r="D816" s="138" t="s">
        <v>11</v>
      </c>
      <c r="E816" s="138" t="s">
        <v>261</v>
      </c>
      <c r="F816" s="138" t="s">
        <v>8145</v>
      </c>
      <c r="H816" s="138">
        <v>132</v>
      </c>
      <c r="I816" s="138">
        <v>871</v>
      </c>
      <c r="K816" s="138">
        <v>212</v>
      </c>
      <c r="L816" s="138">
        <v>628</v>
      </c>
      <c r="N816" s="138">
        <v>9</v>
      </c>
      <c r="O816" s="138">
        <v>0</v>
      </c>
      <c r="S816" s="138">
        <v>20</v>
      </c>
      <c r="T816" s="138">
        <v>2</v>
      </c>
      <c r="U816" s="138">
        <f t="shared" si="1536"/>
        <v>22</v>
      </c>
      <c r="W816" s="139">
        <f t="shared" ref="W816:AA816" si="1636">J816/$I816</f>
        <v>0</v>
      </c>
      <c r="X816" s="139">
        <f t="shared" si="1636"/>
        <v>0.24339839265212398</v>
      </c>
      <c r="Y816" s="139">
        <f t="shared" si="1636"/>
        <v>0.72101033295063144</v>
      </c>
      <c r="Z816" s="139">
        <f t="shared" si="1636"/>
        <v>0</v>
      </c>
      <c r="AA816" s="139">
        <f t="shared" si="1636"/>
        <v>1.0332950631458095E-2</v>
      </c>
      <c r="AB816" s="139"/>
      <c r="AC816" s="139">
        <f t="shared" si="1538"/>
        <v>2.5258323765786451E-2</v>
      </c>
      <c r="AD816" s="139">
        <f t="shared" ref="AD816:AI816" si="1637">O816/$I816</f>
        <v>0</v>
      </c>
      <c r="AE816" s="139">
        <f t="shared" si="1637"/>
        <v>0</v>
      </c>
      <c r="AF816" s="139">
        <f t="shared" si="1637"/>
        <v>0</v>
      </c>
      <c r="AG816" s="139">
        <f t="shared" si="1637"/>
        <v>0</v>
      </c>
      <c r="AH816" s="139">
        <f t="shared" si="1637"/>
        <v>2.2962112514351322E-2</v>
      </c>
      <c r="AI816" s="139">
        <f t="shared" si="1637"/>
        <v>2.2962112514351321E-3</v>
      </c>
    </row>
    <row r="817" spans="2:35">
      <c r="B817" s="138" t="s">
        <v>8077</v>
      </c>
      <c r="C817" s="138" t="s">
        <v>4367</v>
      </c>
      <c r="D817" s="138" t="s">
        <v>11</v>
      </c>
      <c r="E817" s="138" t="s">
        <v>261</v>
      </c>
      <c r="F817" s="138" t="s">
        <v>8146</v>
      </c>
      <c r="H817" s="138">
        <v>133</v>
      </c>
      <c r="I817" s="138">
        <v>622</v>
      </c>
      <c r="K817" s="138">
        <v>203</v>
      </c>
      <c r="L817" s="138">
        <v>389</v>
      </c>
      <c r="N817" s="138">
        <v>15</v>
      </c>
      <c r="O817" s="138">
        <v>1</v>
      </c>
      <c r="S817" s="138">
        <v>11</v>
      </c>
      <c r="T817" s="138">
        <v>3</v>
      </c>
      <c r="U817" s="138">
        <f t="shared" si="1536"/>
        <v>15</v>
      </c>
      <c r="W817" s="139">
        <f t="shared" ref="W817:AA817" si="1638">J817/$I817</f>
        <v>0</v>
      </c>
      <c r="X817" s="139">
        <f t="shared" si="1638"/>
        <v>0.32636655948553056</v>
      </c>
      <c r="Y817" s="139">
        <f t="shared" si="1638"/>
        <v>0.62540192926045013</v>
      </c>
      <c r="Z817" s="139">
        <f t="shared" si="1638"/>
        <v>0</v>
      </c>
      <c r="AA817" s="139">
        <f t="shared" si="1638"/>
        <v>2.4115755627009645E-2</v>
      </c>
      <c r="AB817" s="139"/>
      <c r="AC817" s="139">
        <f t="shared" si="1538"/>
        <v>2.4115755627009645E-2</v>
      </c>
      <c r="AD817" s="139">
        <f t="shared" ref="AD817:AI817" si="1639">O817/$I817</f>
        <v>1.6077170418006431E-3</v>
      </c>
      <c r="AE817" s="139">
        <f t="shared" si="1639"/>
        <v>0</v>
      </c>
      <c r="AF817" s="139">
        <f t="shared" si="1639"/>
        <v>0</v>
      </c>
      <c r="AG817" s="139">
        <f t="shared" si="1639"/>
        <v>0</v>
      </c>
      <c r="AH817" s="139">
        <f t="shared" si="1639"/>
        <v>1.7684887459807074E-2</v>
      </c>
      <c r="AI817" s="139">
        <f t="shared" si="1639"/>
        <v>4.8231511254019296E-3</v>
      </c>
    </row>
    <row r="818" spans="2:35">
      <c r="B818" s="138" t="s">
        <v>8077</v>
      </c>
      <c r="C818" s="138" t="s">
        <v>4367</v>
      </c>
      <c r="D818" s="138" t="s">
        <v>11</v>
      </c>
      <c r="E818" s="138" t="s">
        <v>261</v>
      </c>
      <c r="F818" s="138" t="s">
        <v>8146</v>
      </c>
      <c r="H818" s="138">
        <v>134</v>
      </c>
      <c r="I818" s="138">
        <v>822</v>
      </c>
      <c r="K818" s="138">
        <v>228</v>
      </c>
      <c r="L818" s="138">
        <v>553</v>
      </c>
      <c r="N818" s="138">
        <v>12</v>
      </c>
      <c r="O818" s="138">
        <v>1</v>
      </c>
      <c r="S818" s="138">
        <v>23</v>
      </c>
      <c r="T818" s="138">
        <v>5</v>
      </c>
      <c r="U818" s="138">
        <f t="shared" si="1536"/>
        <v>29</v>
      </c>
      <c r="W818" s="139">
        <f t="shared" ref="W818:AA818" si="1640">J818/$I818</f>
        <v>0</v>
      </c>
      <c r="X818" s="139">
        <f t="shared" si="1640"/>
        <v>0.27737226277372262</v>
      </c>
      <c r="Y818" s="139">
        <f t="shared" si="1640"/>
        <v>0.67274939172749393</v>
      </c>
      <c r="Z818" s="139">
        <f t="shared" si="1640"/>
        <v>0</v>
      </c>
      <c r="AA818" s="139">
        <f t="shared" si="1640"/>
        <v>1.4598540145985401E-2</v>
      </c>
      <c r="AB818" s="139"/>
      <c r="AC818" s="139">
        <f t="shared" si="1538"/>
        <v>3.5279805352798052E-2</v>
      </c>
      <c r="AD818" s="139">
        <f t="shared" ref="AD818:AI818" si="1641">O818/$I818</f>
        <v>1.2165450121654502E-3</v>
      </c>
      <c r="AE818" s="139">
        <f t="shared" si="1641"/>
        <v>0</v>
      </c>
      <c r="AF818" s="139">
        <f t="shared" si="1641"/>
        <v>0</v>
      </c>
      <c r="AG818" s="139">
        <f t="shared" si="1641"/>
        <v>0</v>
      </c>
      <c r="AH818" s="139">
        <f t="shared" si="1641"/>
        <v>2.7980535279805353E-2</v>
      </c>
      <c r="AI818" s="139">
        <f t="shared" si="1641"/>
        <v>6.082725060827251E-3</v>
      </c>
    </row>
    <row r="819" spans="2:35">
      <c r="B819" s="138" t="s">
        <v>8077</v>
      </c>
      <c r="C819" s="138" t="s">
        <v>4367</v>
      </c>
      <c r="D819" s="138" t="s">
        <v>11</v>
      </c>
      <c r="E819" s="138" t="s">
        <v>261</v>
      </c>
      <c r="F819" s="138" t="s">
        <v>8146</v>
      </c>
      <c r="H819" s="138">
        <v>135</v>
      </c>
      <c r="I819" s="138">
        <v>869</v>
      </c>
      <c r="K819" s="138">
        <v>281</v>
      </c>
      <c r="L819" s="138">
        <v>546</v>
      </c>
      <c r="N819" s="138">
        <v>10</v>
      </c>
      <c r="O819" s="138">
        <v>1</v>
      </c>
      <c r="S819" s="138">
        <v>25</v>
      </c>
      <c r="T819" s="138">
        <v>6</v>
      </c>
      <c r="U819" s="138">
        <f t="shared" si="1536"/>
        <v>32</v>
      </c>
      <c r="W819" s="139">
        <f t="shared" ref="W819:AA819" si="1642">J819/$I819</f>
        <v>0</v>
      </c>
      <c r="X819" s="139">
        <f t="shared" si="1642"/>
        <v>0.32336018411967782</v>
      </c>
      <c r="Y819" s="139">
        <f t="shared" si="1642"/>
        <v>0.62830840046029923</v>
      </c>
      <c r="Z819" s="139">
        <f t="shared" si="1642"/>
        <v>0</v>
      </c>
      <c r="AA819" s="139">
        <f t="shared" si="1642"/>
        <v>1.1507479861910242E-2</v>
      </c>
      <c r="AB819" s="139"/>
      <c r="AC819" s="139">
        <f t="shared" si="1538"/>
        <v>3.6823935558112773E-2</v>
      </c>
      <c r="AD819" s="139">
        <f t="shared" ref="AD819:AI819" si="1643">O819/$I819</f>
        <v>1.1507479861910242E-3</v>
      </c>
      <c r="AE819" s="139">
        <f t="shared" si="1643"/>
        <v>0</v>
      </c>
      <c r="AF819" s="139">
        <f t="shared" si="1643"/>
        <v>0</v>
      </c>
      <c r="AG819" s="139">
        <f t="shared" si="1643"/>
        <v>0</v>
      </c>
      <c r="AH819" s="139">
        <f t="shared" si="1643"/>
        <v>2.8768699654775604E-2</v>
      </c>
      <c r="AI819" s="139">
        <f t="shared" si="1643"/>
        <v>6.9044879171461446E-3</v>
      </c>
    </row>
    <row r="820" spans="2:35">
      <c r="B820" s="138" t="s">
        <v>8077</v>
      </c>
      <c r="C820" s="138" t="s">
        <v>4367</v>
      </c>
      <c r="D820" s="138" t="s">
        <v>11</v>
      </c>
      <c r="E820" s="138" t="s">
        <v>261</v>
      </c>
      <c r="F820" s="138" t="s">
        <v>8146</v>
      </c>
      <c r="H820" s="138">
        <v>136</v>
      </c>
      <c r="I820" s="138">
        <v>663</v>
      </c>
      <c r="K820" s="138">
        <v>223</v>
      </c>
      <c r="L820" s="138">
        <v>394</v>
      </c>
      <c r="N820" s="138">
        <v>7</v>
      </c>
      <c r="O820" s="138">
        <v>1</v>
      </c>
      <c r="S820" s="138">
        <v>31</v>
      </c>
      <c r="T820" s="138">
        <v>7</v>
      </c>
      <c r="U820" s="138">
        <f t="shared" si="1536"/>
        <v>39</v>
      </c>
      <c r="W820" s="139">
        <f t="shared" ref="W820:AA820" si="1644">J820/$I820</f>
        <v>0</v>
      </c>
      <c r="X820" s="139">
        <f t="shared" si="1644"/>
        <v>0.33634992458521873</v>
      </c>
      <c r="Y820" s="139">
        <f t="shared" si="1644"/>
        <v>0.5942684766214178</v>
      </c>
      <c r="Z820" s="139">
        <f t="shared" si="1644"/>
        <v>0</v>
      </c>
      <c r="AA820" s="139">
        <f t="shared" si="1644"/>
        <v>1.0558069381598794E-2</v>
      </c>
      <c r="AB820" s="139"/>
      <c r="AC820" s="139">
        <f t="shared" si="1538"/>
        <v>5.8823529411764705E-2</v>
      </c>
      <c r="AD820" s="139">
        <f t="shared" ref="AD820:AI820" si="1645">O820/$I820</f>
        <v>1.5082956259426848E-3</v>
      </c>
      <c r="AE820" s="139">
        <f t="shared" si="1645"/>
        <v>0</v>
      </c>
      <c r="AF820" s="139">
        <f t="shared" si="1645"/>
        <v>0</v>
      </c>
      <c r="AG820" s="139">
        <f t="shared" si="1645"/>
        <v>0</v>
      </c>
      <c r="AH820" s="139">
        <f t="shared" si="1645"/>
        <v>4.6757164404223228E-2</v>
      </c>
      <c r="AI820" s="139">
        <f t="shared" si="1645"/>
        <v>1.0558069381598794E-2</v>
      </c>
    </row>
    <row r="821" spans="2:35">
      <c r="B821" s="138" t="s">
        <v>8077</v>
      </c>
      <c r="C821" s="138" t="s">
        <v>4367</v>
      </c>
      <c r="D821" s="138" t="s">
        <v>11</v>
      </c>
      <c r="E821" s="138" t="s">
        <v>261</v>
      </c>
      <c r="F821" s="138" t="s">
        <v>8146</v>
      </c>
      <c r="H821" s="138">
        <v>137</v>
      </c>
      <c r="I821" s="138">
        <v>656</v>
      </c>
      <c r="K821" s="138">
        <v>177</v>
      </c>
      <c r="L821" s="138">
        <v>460</v>
      </c>
      <c r="N821" s="138">
        <v>7</v>
      </c>
      <c r="O821" s="138">
        <v>0</v>
      </c>
      <c r="S821" s="138">
        <v>7</v>
      </c>
      <c r="T821" s="138">
        <v>5</v>
      </c>
      <c r="U821" s="138">
        <f t="shared" si="1536"/>
        <v>12</v>
      </c>
      <c r="W821" s="139">
        <f t="shared" ref="W821:AA821" si="1646">J821/$I821</f>
        <v>0</v>
      </c>
      <c r="X821" s="139">
        <f t="shared" si="1646"/>
        <v>0.26981707317073172</v>
      </c>
      <c r="Y821" s="139">
        <f t="shared" si="1646"/>
        <v>0.70121951219512191</v>
      </c>
      <c r="Z821" s="139">
        <f t="shared" si="1646"/>
        <v>0</v>
      </c>
      <c r="AA821" s="139">
        <f t="shared" si="1646"/>
        <v>1.0670731707317074E-2</v>
      </c>
      <c r="AB821" s="139"/>
      <c r="AC821" s="139">
        <f t="shared" si="1538"/>
        <v>1.8292682926829267E-2</v>
      </c>
      <c r="AD821" s="139">
        <f t="shared" ref="AD821:AI821" si="1647">O821/$I821</f>
        <v>0</v>
      </c>
      <c r="AE821" s="139">
        <f t="shared" si="1647"/>
        <v>0</v>
      </c>
      <c r="AF821" s="139">
        <f t="shared" si="1647"/>
        <v>0</v>
      </c>
      <c r="AG821" s="139">
        <f t="shared" si="1647"/>
        <v>0</v>
      </c>
      <c r="AH821" s="139">
        <f t="shared" si="1647"/>
        <v>1.0670731707317074E-2</v>
      </c>
      <c r="AI821" s="139">
        <f t="shared" si="1647"/>
        <v>7.621951219512195E-3</v>
      </c>
    </row>
    <row r="822" spans="2:35">
      <c r="B822" s="138" t="s">
        <v>8077</v>
      </c>
      <c r="C822" s="138" t="s">
        <v>4367</v>
      </c>
      <c r="D822" s="138" t="s">
        <v>11</v>
      </c>
      <c r="E822" s="138" t="s">
        <v>261</v>
      </c>
      <c r="F822" s="138" t="s">
        <v>8146</v>
      </c>
      <c r="H822" s="138">
        <v>138</v>
      </c>
      <c r="I822" s="138">
        <v>450</v>
      </c>
      <c r="K822" s="138">
        <v>156</v>
      </c>
      <c r="L822" s="138">
        <v>272</v>
      </c>
      <c r="N822" s="138">
        <v>3</v>
      </c>
      <c r="O822" s="138">
        <v>0</v>
      </c>
      <c r="S822" s="138">
        <v>15</v>
      </c>
      <c r="T822" s="138">
        <v>4</v>
      </c>
      <c r="U822" s="138">
        <f t="shared" si="1536"/>
        <v>19</v>
      </c>
      <c r="W822" s="139">
        <f t="shared" ref="W822:AA822" si="1648">J822/$I822</f>
        <v>0</v>
      </c>
      <c r="X822" s="139">
        <f t="shared" si="1648"/>
        <v>0.34666666666666668</v>
      </c>
      <c r="Y822" s="139">
        <f t="shared" si="1648"/>
        <v>0.60444444444444445</v>
      </c>
      <c r="Z822" s="139">
        <f t="shared" si="1648"/>
        <v>0</v>
      </c>
      <c r="AA822" s="139">
        <f t="shared" si="1648"/>
        <v>6.6666666666666671E-3</v>
      </c>
      <c r="AB822" s="139"/>
      <c r="AC822" s="139">
        <f t="shared" si="1538"/>
        <v>4.2222222222222223E-2</v>
      </c>
      <c r="AD822" s="139">
        <f t="shared" ref="AD822:AI822" si="1649">O822/$I822</f>
        <v>0</v>
      </c>
      <c r="AE822" s="139">
        <f t="shared" si="1649"/>
        <v>0</v>
      </c>
      <c r="AF822" s="139">
        <f t="shared" si="1649"/>
        <v>0</v>
      </c>
      <c r="AG822" s="139">
        <f t="shared" si="1649"/>
        <v>0</v>
      </c>
      <c r="AH822" s="139">
        <f t="shared" si="1649"/>
        <v>3.3333333333333333E-2</v>
      </c>
      <c r="AI822" s="139">
        <f t="shared" si="1649"/>
        <v>8.8888888888888889E-3</v>
      </c>
    </row>
    <row r="823" spans="2:35">
      <c r="B823" s="138" t="s">
        <v>8077</v>
      </c>
      <c r="C823" s="138" t="s">
        <v>4367</v>
      </c>
      <c r="D823" s="138" t="s">
        <v>11</v>
      </c>
      <c r="E823" s="138" t="s">
        <v>261</v>
      </c>
      <c r="F823" s="138" t="s">
        <v>8146</v>
      </c>
      <c r="H823" s="138">
        <v>139</v>
      </c>
      <c r="I823" s="138">
        <v>708</v>
      </c>
      <c r="K823" s="138">
        <v>204</v>
      </c>
      <c r="L823" s="138">
        <v>455</v>
      </c>
      <c r="N823" s="138">
        <v>7</v>
      </c>
      <c r="O823" s="138">
        <v>1</v>
      </c>
      <c r="S823" s="138">
        <v>34</v>
      </c>
      <c r="T823" s="138">
        <v>7</v>
      </c>
      <c r="U823" s="138">
        <f t="shared" si="1536"/>
        <v>42</v>
      </c>
      <c r="W823" s="139">
        <f t="shared" ref="W823:AA823" si="1650">J823/$I823</f>
        <v>0</v>
      </c>
      <c r="X823" s="139">
        <f t="shared" si="1650"/>
        <v>0.28813559322033899</v>
      </c>
      <c r="Y823" s="139">
        <f t="shared" si="1650"/>
        <v>0.64265536723163841</v>
      </c>
      <c r="Z823" s="139">
        <f t="shared" si="1650"/>
        <v>0</v>
      </c>
      <c r="AA823" s="139">
        <f t="shared" si="1650"/>
        <v>9.887005649717515E-3</v>
      </c>
      <c r="AB823" s="139"/>
      <c r="AC823" s="139">
        <f t="shared" si="1538"/>
        <v>5.9322033898305086E-2</v>
      </c>
      <c r="AD823" s="139">
        <f t="shared" ref="AD823:AI823" si="1651">O823/$I823</f>
        <v>1.4124293785310734E-3</v>
      </c>
      <c r="AE823" s="139">
        <f t="shared" si="1651"/>
        <v>0</v>
      </c>
      <c r="AF823" s="139">
        <f t="shared" si="1651"/>
        <v>0</v>
      </c>
      <c r="AG823" s="139">
        <f t="shared" si="1651"/>
        <v>0</v>
      </c>
      <c r="AH823" s="139">
        <f t="shared" si="1651"/>
        <v>4.8022598870056499E-2</v>
      </c>
      <c r="AI823" s="139">
        <f t="shared" si="1651"/>
        <v>9.887005649717515E-3</v>
      </c>
    </row>
    <row r="824" spans="2:35">
      <c r="B824" s="138" t="s">
        <v>8077</v>
      </c>
      <c r="C824" s="138" t="s">
        <v>4367</v>
      </c>
      <c r="D824" s="138" t="s">
        <v>11</v>
      </c>
      <c r="E824" s="138" t="s">
        <v>261</v>
      </c>
      <c r="F824" s="138" t="s">
        <v>8146</v>
      </c>
      <c r="H824" s="138">
        <v>140</v>
      </c>
      <c r="I824" s="138">
        <v>492</v>
      </c>
      <c r="K824" s="138">
        <v>132</v>
      </c>
      <c r="L824" s="138">
        <v>320</v>
      </c>
      <c r="N824" s="138">
        <v>14</v>
      </c>
      <c r="O824" s="138">
        <v>1</v>
      </c>
      <c r="S824" s="138">
        <v>22</v>
      </c>
      <c r="T824" s="138">
        <v>3</v>
      </c>
      <c r="U824" s="138">
        <f t="shared" si="1536"/>
        <v>26</v>
      </c>
      <c r="W824" s="139">
        <f t="shared" ref="W824:AA824" si="1652">J824/$I824</f>
        <v>0</v>
      </c>
      <c r="X824" s="139">
        <f t="shared" si="1652"/>
        <v>0.26829268292682928</v>
      </c>
      <c r="Y824" s="139">
        <f t="shared" si="1652"/>
        <v>0.65040650406504064</v>
      </c>
      <c r="Z824" s="139">
        <f t="shared" si="1652"/>
        <v>0</v>
      </c>
      <c r="AA824" s="139">
        <f t="shared" si="1652"/>
        <v>2.8455284552845527E-2</v>
      </c>
      <c r="AB824" s="139"/>
      <c r="AC824" s="139">
        <f t="shared" si="1538"/>
        <v>5.2845528455284556E-2</v>
      </c>
      <c r="AD824" s="139">
        <f t="shared" ref="AD824:AI824" si="1653">O824/$I824</f>
        <v>2.0325203252032522E-3</v>
      </c>
      <c r="AE824" s="139">
        <f t="shared" si="1653"/>
        <v>0</v>
      </c>
      <c r="AF824" s="139">
        <f t="shared" si="1653"/>
        <v>0</v>
      </c>
      <c r="AG824" s="139">
        <f t="shared" si="1653"/>
        <v>0</v>
      </c>
      <c r="AH824" s="139">
        <f t="shared" si="1653"/>
        <v>4.4715447154471545E-2</v>
      </c>
      <c r="AI824" s="139">
        <f t="shared" si="1653"/>
        <v>6.0975609756097563E-3</v>
      </c>
    </row>
    <row r="825" spans="2:35">
      <c r="B825" s="138" t="s">
        <v>8077</v>
      </c>
      <c r="C825" s="138" t="s">
        <v>4367</v>
      </c>
      <c r="D825" s="138" t="s">
        <v>11</v>
      </c>
      <c r="E825" s="138" t="s">
        <v>261</v>
      </c>
      <c r="F825" s="138" t="s">
        <v>8146</v>
      </c>
      <c r="H825" s="138">
        <v>141</v>
      </c>
      <c r="I825" s="138">
        <v>721</v>
      </c>
      <c r="K825" s="138">
        <v>252</v>
      </c>
      <c r="L825" s="138">
        <v>438</v>
      </c>
      <c r="N825" s="138">
        <v>7</v>
      </c>
      <c r="O825" s="138">
        <v>0</v>
      </c>
      <c r="S825" s="138">
        <v>20</v>
      </c>
      <c r="T825" s="138">
        <v>4</v>
      </c>
      <c r="U825" s="138">
        <f t="shared" si="1536"/>
        <v>24</v>
      </c>
      <c r="W825" s="139">
        <f t="shared" ref="W825:AA825" si="1654">J825/$I825</f>
        <v>0</v>
      </c>
      <c r="X825" s="139">
        <f t="shared" si="1654"/>
        <v>0.34951456310679613</v>
      </c>
      <c r="Y825" s="139">
        <f t="shared" si="1654"/>
        <v>0.60748959778085987</v>
      </c>
      <c r="Z825" s="139">
        <f t="shared" si="1654"/>
        <v>0</v>
      </c>
      <c r="AA825" s="139">
        <f t="shared" si="1654"/>
        <v>9.7087378640776691E-3</v>
      </c>
      <c r="AB825" s="139"/>
      <c r="AC825" s="139">
        <f t="shared" si="1538"/>
        <v>3.3287101248266296E-2</v>
      </c>
      <c r="AD825" s="139">
        <f t="shared" ref="AD825:AI825" si="1655">O825/$I825</f>
        <v>0</v>
      </c>
      <c r="AE825" s="139">
        <f t="shared" si="1655"/>
        <v>0</v>
      </c>
      <c r="AF825" s="139">
        <f t="shared" si="1655"/>
        <v>0</v>
      </c>
      <c r="AG825" s="139">
        <f t="shared" si="1655"/>
        <v>0</v>
      </c>
      <c r="AH825" s="139">
        <f t="shared" si="1655"/>
        <v>2.7739251040221916E-2</v>
      </c>
      <c r="AI825" s="139">
        <f t="shared" si="1655"/>
        <v>5.5478502080443829E-3</v>
      </c>
    </row>
    <row r="826" spans="2:35">
      <c r="B826" s="138" t="s">
        <v>8077</v>
      </c>
      <c r="C826" s="138" t="s">
        <v>4367</v>
      </c>
      <c r="D826" s="138" t="s">
        <v>11</v>
      </c>
      <c r="E826" s="138" t="s">
        <v>261</v>
      </c>
      <c r="F826" s="138" t="s">
        <v>8146</v>
      </c>
      <c r="H826" s="138">
        <v>142</v>
      </c>
      <c r="I826" s="138">
        <v>746</v>
      </c>
      <c r="K826" s="138">
        <v>216</v>
      </c>
      <c r="L826" s="138">
        <v>497</v>
      </c>
      <c r="N826" s="138">
        <v>12</v>
      </c>
      <c r="O826" s="138">
        <v>2</v>
      </c>
      <c r="S826" s="138">
        <v>11</v>
      </c>
      <c r="T826" s="138">
        <v>8</v>
      </c>
      <c r="U826" s="138">
        <f t="shared" si="1536"/>
        <v>21</v>
      </c>
      <c r="W826" s="139">
        <f t="shared" ref="W826:AA826" si="1656">J826/$I826</f>
        <v>0</v>
      </c>
      <c r="X826" s="139">
        <f t="shared" si="1656"/>
        <v>0.289544235924933</v>
      </c>
      <c r="Y826" s="139">
        <f t="shared" si="1656"/>
        <v>0.66621983914209115</v>
      </c>
      <c r="Z826" s="139">
        <f t="shared" si="1656"/>
        <v>0</v>
      </c>
      <c r="AA826" s="139">
        <f t="shared" si="1656"/>
        <v>1.6085790884718499E-2</v>
      </c>
      <c r="AB826" s="139"/>
      <c r="AC826" s="139">
        <f t="shared" si="1538"/>
        <v>2.8150134048257374E-2</v>
      </c>
      <c r="AD826" s="139">
        <f t="shared" ref="AD826:AI826" si="1657">O826/$I826</f>
        <v>2.6809651474530832E-3</v>
      </c>
      <c r="AE826" s="139">
        <f t="shared" si="1657"/>
        <v>0</v>
      </c>
      <c r="AF826" s="139">
        <f t="shared" si="1657"/>
        <v>0</v>
      </c>
      <c r="AG826" s="139">
        <f t="shared" si="1657"/>
        <v>0</v>
      </c>
      <c r="AH826" s="139">
        <f t="shared" si="1657"/>
        <v>1.4745308310991957E-2</v>
      </c>
      <c r="AI826" s="139">
        <f t="shared" si="1657"/>
        <v>1.0723860589812333E-2</v>
      </c>
    </row>
    <row r="827" spans="2:35">
      <c r="B827" s="138" t="s">
        <v>8077</v>
      </c>
      <c r="C827" s="138" t="s">
        <v>4367</v>
      </c>
      <c r="D827" s="138" t="s">
        <v>11</v>
      </c>
      <c r="E827" s="138" t="s">
        <v>261</v>
      </c>
      <c r="F827" s="138" t="s">
        <v>8146</v>
      </c>
      <c r="H827" s="138">
        <v>143</v>
      </c>
      <c r="I827" s="138">
        <v>590</v>
      </c>
      <c r="K827" s="138">
        <v>207</v>
      </c>
      <c r="L827" s="138">
        <v>357</v>
      </c>
      <c r="N827" s="138">
        <v>7</v>
      </c>
      <c r="O827" s="138">
        <v>0</v>
      </c>
      <c r="S827" s="138">
        <v>6</v>
      </c>
      <c r="T827" s="138">
        <v>13</v>
      </c>
      <c r="U827" s="138">
        <f t="shared" si="1536"/>
        <v>19</v>
      </c>
      <c r="W827" s="139">
        <f t="shared" ref="W827:AA827" si="1658">J827/$I827</f>
        <v>0</v>
      </c>
      <c r="X827" s="139">
        <f t="shared" si="1658"/>
        <v>0.35084745762711866</v>
      </c>
      <c r="Y827" s="139">
        <f t="shared" si="1658"/>
        <v>0.60508474576271187</v>
      </c>
      <c r="Z827" s="139">
        <f t="shared" si="1658"/>
        <v>0</v>
      </c>
      <c r="AA827" s="139">
        <f t="shared" si="1658"/>
        <v>1.1864406779661017E-2</v>
      </c>
      <c r="AB827" s="139"/>
      <c r="AC827" s="139">
        <f t="shared" si="1538"/>
        <v>3.2203389830508473E-2</v>
      </c>
      <c r="AD827" s="139">
        <f t="shared" ref="AD827:AI827" si="1659">O827/$I827</f>
        <v>0</v>
      </c>
      <c r="AE827" s="139">
        <f t="shared" si="1659"/>
        <v>0</v>
      </c>
      <c r="AF827" s="139">
        <f t="shared" si="1659"/>
        <v>0</v>
      </c>
      <c r="AG827" s="139">
        <f t="shared" si="1659"/>
        <v>0</v>
      </c>
      <c r="AH827" s="139">
        <f t="shared" si="1659"/>
        <v>1.0169491525423728E-2</v>
      </c>
      <c r="AI827" s="139">
        <f t="shared" si="1659"/>
        <v>2.2033898305084745E-2</v>
      </c>
    </row>
    <row r="828" spans="2:35">
      <c r="B828" s="138" t="s">
        <v>8077</v>
      </c>
      <c r="C828" s="138" t="s">
        <v>4367</v>
      </c>
      <c r="D828" s="138" t="s">
        <v>11</v>
      </c>
      <c r="E828" s="138" t="s">
        <v>261</v>
      </c>
      <c r="F828" s="138" t="s">
        <v>8146</v>
      </c>
      <c r="H828" s="138">
        <v>144</v>
      </c>
      <c r="I828" s="138">
        <v>665</v>
      </c>
      <c r="K828" s="138">
        <v>166</v>
      </c>
      <c r="L828" s="138">
        <v>472</v>
      </c>
      <c r="N828" s="138">
        <v>14</v>
      </c>
      <c r="O828" s="138">
        <v>0</v>
      </c>
      <c r="S828" s="138">
        <v>10</v>
      </c>
      <c r="T828" s="138">
        <v>3</v>
      </c>
      <c r="U828" s="138">
        <f t="shared" si="1536"/>
        <v>13</v>
      </c>
      <c r="W828" s="139">
        <f t="shared" ref="W828:AA828" si="1660">J828/$I828</f>
        <v>0</v>
      </c>
      <c r="X828" s="139">
        <f t="shared" si="1660"/>
        <v>0.24962406015037594</v>
      </c>
      <c r="Y828" s="139">
        <f t="shared" si="1660"/>
        <v>0.70977443609022561</v>
      </c>
      <c r="Z828" s="139">
        <f t="shared" si="1660"/>
        <v>0</v>
      </c>
      <c r="AA828" s="139">
        <f t="shared" si="1660"/>
        <v>2.1052631578947368E-2</v>
      </c>
      <c r="AB828" s="139"/>
      <c r="AC828" s="139">
        <f t="shared" si="1538"/>
        <v>1.9548872180451128E-2</v>
      </c>
      <c r="AD828" s="139">
        <f t="shared" ref="AD828:AI828" si="1661">O828/$I828</f>
        <v>0</v>
      </c>
      <c r="AE828" s="139">
        <f t="shared" si="1661"/>
        <v>0</v>
      </c>
      <c r="AF828" s="139">
        <f t="shared" si="1661"/>
        <v>0</v>
      </c>
      <c r="AG828" s="139">
        <f t="shared" si="1661"/>
        <v>0</v>
      </c>
      <c r="AH828" s="139">
        <f t="shared" si="1661"/>
        <v>1.5037593984962405E-2</v>
      </c>
      <c r="AI828" s="139">
        <f t="shared" si="1661"/>
        <v>4.5112781954887221E-3</v>
      </c>
    </row>
    <row r="829" spans="2:35">
      <c r="B829" s="138" t="s">
        <v>8077</v>
      </c>
      <c r="C829" s="138" t="s">
        <v>4367</v>
      </c>
      <c r="D829" s="138" t="s">
        <v>11</v>
      </c>
      <c r="E829" s="138" t="s">
        <v>261</v>
      </c>
      <c r="F829" s="138" t="s">
        <v>8146</v>
      </c>
      <c r="H829" s="138">
        <v>145</v>
      </c>
      <c r="I829" s="138">
        <v>651</v>
      </c>
      <c r="K829" s="138">
        <v>181</v>
      </c>
      <c r="L829" s="138">
        <v>436</v>
      </c>
      <c r="N829" s="138">
        <v>8</v>
      </c>
      <c r="O829" s="138">
        <v>6</v>
      </c>
      <c r="S829" s="138">
        <v>9</v>
      </c>
      <c r="T829" s="138">
        <v>11</v>
      </c>
      <c r="U829" s="138">
        <f t="shared" si="1536"/>
        <v>26</v>
      </c>
      <c r="W829" s="139">
        <f t="shared" ref="W829:AA829" si="1662">J829/$I829</f>
        <v>0</v>
      </c>
      <c r="X829" s="139">
        <f t="shared" si="1662"/>
        <v>0.27803379416282642</v>
      </c>
      <c r="Y829" s="139">
        <f t="shared" si="1662"/>
        <v>0.66973886328725041</v>
      </c>
      <c r="Z829" s="139">
        <f t="shared" si="1662"/>
        <v>0</v>
      </c>
      <c r="AA829" s="139">
        <f t="shared" si="1662"/>
        <v>1.2288786482334869E-2</v>
      </c>
      <c r="AB829" s="139"/>
      <c r="AC829" s="139">
        <f t="shared" si="1538"/>
        <v>3.9938556067588324E-2</v>
      </c>
      <c r="AD829" s="139">
        <f t="shared" ref="AD829:AI829" si="1663">O829/$I829</f>
        <v>9.2165898617511521E-3</v>
      </c>
      <c r="AE829" s="139">
        <f t="shared" si="1663"/>
        <v>0</v>
      </c>
      <c r="AF829" s="139">
        <f t="shared" si="1663"/>
        <v>0</v>
      </c>
      <c r="AG829" s="139">
        <f t="shared" si="1663"/>
        <v>0</v>
      </c>
      <c r="AH829" s="139">
        <f t="shared" si="1663"/>
        <v>1.3824884792626729E-2</v>
      </c>
      <c r="AI829" s="139">
        <f t="shared" si="1663"/>
        <v>1.6897081413210446E-2</v>
      </c>
    </row>
    <row r="830" spans="2:35">
      <c r="B830" s="138" t="s">
        <v>8077</v>
      </c>
      <c r="C830" s="138" t="s">
        <v>4367</v>
      </c>
      <c r="D830" s="138" t="s">
        <v>11</v>
      </c>
      <c r="E830" s="138" t="s">
        <v>261</v>
      </c>
      <c r="F830" s="138" t="s">
        <v>8146</v>
      </c>
      <c r="H830" s="138">
        <v>146</v>
      </c>
      <c r="I830" s="138">
        <v>576</v>
      </c>
      <c r="K830" s="138">
        <v>152</v>
      </c>
      <c r="L830" s="138">
        <v>410</v>
      </c>
      <c r="N830" s="138">
        <v>3</v>
      </c>
      <c r="O830" s="138">
        <v>1</v>
      </c>
      <c r="S830" s="138">
        <v>7</v>
      </c>
      <c r="T830" s="138">
        <v>3</v>
      </c>
      <c r="U830" s="138">
        <f t="shared" si="1536"/>
        <v>11</v>
      </c>
      <c r="W830" s="139">
        <f t="shared" ref="W830:AA830" si="1664">J830/$I830</f>
        <v>0</v>
      </c>
      <c r="X830" s="139">
        <f t="shared" si="1664"/>
        <v>0.2638888888888889</v>
      </c>
      <c r="Y830" s="139">
        <f t="shared" si="1664"/>
        <v>0.71180555555555558</v>
      </c>
      <c r="Z830" s="139">
        <f t="shared" si="1664"/>
        <v>0</v>
      </c>
      <c r="AA830" s="139">
        <f t="shared" si="1664"/>
        <v>5.208333333333333E-3</v>
      </c>
      <c r="AB830" s="139"/>
      <c r="AC830" s="139">
        <f t="shared" si="1538"/>
        <v>1.9097222222222224E-2</v>
      </c>
      <c r="AD830" s="139">
        <f t="shared" ref="AD830:AI830" si="1665">O830/$I830</f>
        <v>1.736111111111111E-3</v>
      </c>
      <c r="AE830" s="139">
        <f t="shared" si="1665"/>
        <v>0</v>
      </c>
      <c r="AF830" s="139">
        <f t="shared" si="1665"/>
        <v>0</v>
      </c>
      <c r="AG830" s="139">
        <f t="shared" si="1665"/>
        <v>0</v>
      </c>
      <c r="AH830" s="139">
        <f t="shared" si="1665"/>
        <v>1.2152777777777778E-2</v>
      </c>
      <c r="AI830" s="139">
        <f t="shared" si="1665"/>
        <v>5.208333333333333E-3</v>
      </c>
    </row>
    <row r="831" spans="2:35">
      <c r="B831" s="138" t="s">
        <v>8077</v>
      </c>
      <c r="C831" s="138" t="s">
        <v>4367</v>
      </c>
      <c r="D831" s="138" t="s">
        <v>11</v>
      </c>
      <c r="E831" s="138" t="s">
        <v>261</v>
      </c>
      <c r="F831" s="138" t="s">
        <v>8146</v>
      </c>
      <c r="H831" s="138">
        <v>147</v>
      </c>
      <c r="I831" s="138">
        <v>869</v>
      </c>
      <c r="K831" s="138">
        <v>369</v>
      </c>
      <c r="L831" s="138">
        <v>470</v>
      </c>
      <c r="N831" s="138">
        <v>6</v>
      </c>
      <c r="O831" s="138">
        <v>0</v>
      </c>
      <c r="S831" s="138">
        <v>18</v>
      </c>
      <c r="T831" s="138">
        <v>6</v>
      </c>
      <c r="U831" s="138">
        <f t="shared" si="1536"/>
        <v>24</v>
      </c>
      <c r="W831" s="139">
        <f t="shared" ref="W831:AA831" si="1666">J831/$I831</f>
        <v>0</v>
      </c>
      <c r="X831" s="139">
        <f t="shared" si="1666"/>
        <v>0.42462600690448793</v>
      </c>
      <c r="Y831" s="139">
        <f t="shared" si="1666"/>
        <v>0.54085155350978131</v>
      </c>
      <c r="Z831" s="139">
        <f t="shared" si="1666"/>
        <v>0</v>
      </c>
      <c r="AA831" s="139">
        <f t="shared" si="1666"/>
        <v>6.9044879171461446E-3</v>
      </c>
      <c r="AB831" s="139"/>
      <c r="AC831" s="139">
        <f t="shared" si="1538"/>
        <v>2.7617951668584578E-2</v>
      </c>
      <c r="AD831" s="139">
        <f t="shared" ref="AD831:AI831" si="1667">O831/$I831</f>
        <v>0</v>
      </c>
      <c r="AE831" s="139">
        <f t="shared" si="1667"/>
        <v>0</v>
      </c>
      <c r="AF831" s="139">
        <f t="shared" si="1667"/>
        <v>0</v>
      </c>
      <c r="AG831" s="139">
        <f t="shared" si="1667"/>
        <v>0</v>
      </c>
      <c r="AH831" s="139">
        <f t="shared" si="1667"/>
        <v>2.0713463751438434E-2</v>
      </c>
      <c r="AI831" s="139">
        <f t="shared" si="1667"/>
        <v>6.9044879171461446E-3</v>
      </c>
    </row>
    <row r="832" spans="2:35">
      <c r="B832" s="138" t="s">
        <v>8077</v>
      </c>
      <c r="C832" s="138" t="s">
        <v>4367</v>
      </c>
      <c r="D832" s="138" t="s">
        <v>11</v>
      </c>
      <c r="E832" s="138" t="s">
        <v>261</v>
      </c>
      <c r="F832" s="138" t="s">
        <v>8147</v>
      </c>
      <c r="H832" s="138">
        <v>148</v>
      </c>
      <c r="I832" s="138">
        <v>528</v>
      </c>
      <c r="K832" s="138">
        <v>144</v>
      </c>
      <c r="L832" s="138">
        <v>365</v>
      </c>
      <c r="N832" s="138">
        <v>5</v>
      </c>
      <c r="O832" s="138">
        <v>0</v>
      </c>
      <c r="S832" s="138">
        <v>11</v>
      </c>
      <c r="T832" s="138">
        <v>3</v>
      </c>
      <c r="U832" s="138">
        <f t="shared" si="1536"/>
        <v>14</v>
      </c>
      <c r="W832" s="139">
        <f t="shared" ref="W832:AA832" si="1668">J832/$I832</f>
        <v>0</v>
      </c>
      <c r="X832" s="139">
        <f t="shared" si="1668"/>
        <v>0.27272727272727271</v>
      </c>
      <c r="Y832" s="139">
        <f t="shared" si="1668"/>
        <v>0.69128787878787878</v>
      </c>
      <c r="Z832" s="139">
        <f t="shared" si="1668"/>
        <v>0</v>
      </c>
      <c r="AA832" s="139">
        <f t="shared" si="1668"/>
        <v>9.46969696969697E-3</v>
      </c>
      <c r="AB832" s="139"/>
      <c r="AC832" s="139">
        <f t="shared" si="1538"/>
        <v>2.6515151515151516E-2</v>
      </c>
      <c r="AD832" s="139">
        <f t="shared" ref="AD832:AI832" si="1669">O832/$I832</f>
        <v>0</v>
      </c>
      <c r="AE832" s="139">
        <f t="shared" si="1669"/>
        <v>0</v>
      </c>
      <c r="AF832" s="139">
        <f t="shared" si="1669"/>
        <v>0</v>
      </c>
      <c r="AG832" s="139">
        <f t="shared" si="1669"/>
        <v>0</v>
      </c>
      <c r="AH832" s="139">
        <f t="shared" si="1669"/>
        <v>2.0833333333333332E-2</v>
      </c>
      <c r="AI832" s="139">
        <f t="shared" si="1669"/>
        <v>5.681818181818182E-3</v>
      </c>
    </row>
    <row r="833" spans="2:35">
      <c r="B833" s="138" t="s">
        <v>8077</v>
      </c>
      <c r="C833" s="138" t="s">
        <v>4367</v>
      </c>
      <c r="D833" s="138" t="s">
        <v>11</v>
      </c>
      <c r="E833" s="138" t="s">
        <v>261</v>
      </c>
      <c r="F833" s="138" t="s">
        <v>8147</v>
      </c>
      <c r="H833" s="138">
        <v>149</v>
      </c>
      <c r="I833" s="138">
        <v>515</v>
      </c>
      <c r="K833" s="138">
        <v>209</v>
      </c>
      <c r="L833" s="138">
        <v>287</v>
      </c>
      <c r="N833" s="138">
        <v>4</v>
      </c>
      <c r="O833" s="138">
        <v>0</v>
      </c>
      <c r="S833" s="138">
        <v>12</v>
      </c>
      <c r="T833" s="138">
        <v>3</v>
      </c>
      <c r="U833" s="138">
        <f t="shared" si="1536"/>
        <v>15</v>
      </c>
      <c r="W833" s="139">
        <f t="shared" ref="W833:AA833" si="1670">J833/$I833</f>
        <v>0</v>
      </c>
      <c r="X833" s="139">
        <f t="shared" si="1670"/>
        <v>0.40582524271844661</v>
      </c>
      <c r="Y833" s="139">
        <f t="shared" si="1670"/>
        <v>0.55728155339805829</v>
      </c>
      <c r="Z833" s="139">
        <f t="shared" si="1670"/>
        <v>0</v>
      </c>
      <c r="AA833" s="139">
        <f t="shared" si="1670"/>
        <v>7.7669902912621356E-3</v>
      </c>
      <c r="AB833" s="139"/>
      <c r="AC833" s="139">
        <f t="shared" si="1538"/>
        <v>2.9126213592233011E-2</v>
      </c>
      <c r="AD833" s="139">
        <f t="shared" ref="AD833:AI833" si="1671">O833/$I833</f>
        <v>0</v>
      </c>
      <c r="AE833" s="139">
        <f t="shared" si="1671"/>
        <v>0</v>
      </c>
      <c r="AF833" s="139">
        <f t="shared" si="1671"/>
        <v>0</v>
      </c>
      <c r="AG833" s="139">
        <f t="shared" si="1671"/>
        <v>0</v>
      </c>
      <c r="AH833" s="139">
        <f t="shared" si="1671"/>
        <v>2.3300970873786409E-2</v>
      </c>
      <c r="AI833" s="139">
        <f t="shared" si="1671"/>
        <v>5.8252427184466021E-3</v>
      </c>
    </row>
    <row r="834" spans="2:35">
      <c r="B834" s="138" t="s">
        <v>8077</v>
      </c>
      <c r="C834" s="138" t="s">
        <v>4367</v>
      </c>
      <c r="D834" s="138" t="s">
        <v>11</v>
      </c>
      <c r="E834" s="138" t="s">
        <v>261</v>
      </c>
      <c r="F834" s="138" t="s">
        <v>8147</v>
      </c>
      <c r="H834" s="138">
        <v>150</v>
      </c>
      <c r="I834" s="138">
        <v>852</v>
      </c>
      <c r="K834" s="138">
        <v>317</v>
      </c>
      <c r="L834" s="138">
        <v>496</v>
      </c>
      <c r="N834" s="138">
        <v>10</v>
      </c>
      <c r="O834" s="138">
        <v>0</v>
      </c>
      <c r="S834" s="138">
        <v>25</v>
      </c>
      <c r="T834" s="138">
        <v>4</v>
      </c>
      <c r="U834" s="138">
        <f t="shared" si="1536"/>
        <v>29</v>
      </c>
      <c r="W834" s="139">
        <f t="shared" ref="W834:AA834" si="1672">J834/$I834</f>
        <v>0</v>
      </c>
      <c r="X834" s="139">
        <f t="shared" si="1672"/>
        <v>0.3720657276995305</v>
      </c>
      <c r="Y834" s="139">
        <f t="shared" si="1672"/>
        <v>0.5821596244131455</v>
      </c>
      <c r="Z834" s="139">
        <f t="shared" si="1672"/>
        <v>0</v>
      </c>
      <c r="AA834" s="139">
        <f t="shared" si="1672"/>
        <v>1.1737089201877934E-2</v>
      </c>
      <c r="AB834" s="139"/>
      <c r="AC834" s="139">
        <f t="shared" si="1538"/>
        <v>3.4037558685446008E-2</v>
      </c>
      <c r="AD834" s="139">
        <f t="shared" ref="AD834:AI834" si="1673">O834/$I834</f>
        <v>0</v>
      </c>
      <c r="AE834" s="139">
        <f t="shared" si="1673"/>
        <v>0</v>
      </c>
      <c r="AF834" s="139">
        <f t="shared" si="1673"/>
        <v>0</v>
      </c>
      <c r="AG834" s="139">
        <f t="shared" si="1673"/>
        <v>0</v>
      </c>
      <c r="AH834" s="139">
        <f t="shared" si="1673"/>
        <v>2.9342723004694836E-2</v>
      </c>
      <c r="AI834" s="139">
        <f t="shared" si="1673"/>
        <v>4.6948356807511738E-3</v>
      </c>
    </row>
    <row r="835" spans="2:35">
      <c r="B835" s="138" t="s">
        <v>8077</v>
      </c>
      <c r="C835" s="138" t="s">
        <v>4367</v>
      </c>
      <c r="D835" s="138" t="s">
        <v>11</v>
      </c>
      <c r="E835" s="138" t="s">
        <v>261</v>
      </c>
      <c r="F835" s="138" t="s">
        <v>8147</v>
      </c>
      <c r="H835" s="138">
        <v>151</v>
      </c>
      <c r="I835" s="138">
        <v>542</v>
      </c>
      <c r="K835" s="138">
        <v>196</v>
      </c>
      <c r="L835" s="138">
        <v>328</v>
      </c>
      <c r="N835" s="138">
        <v>6</v>
      </c>
      <c r="O835" s="138">
        <v>0</v>
      </c>
      <c r="S835" s="138">
        <v>10</v>
      </c>
      <c r="T835" s="138">
        <v>2</v>
      </c>
      <c r="U835" s="138">
        <f t="shared" si="1536"/>
        <v>12</v>
      </c>
      <c r="W835" s="139">
        <f t="shared" ref="W835:AA835" si="1674">J835/$I835</f>
        <v>0</v>
      </c>
      <c r="X835" s="139">
        <f t="shared" si="1674"/>
        <v>0.36162361623616235</v>
      </c>
      <c r="Y835" s="139">
        <f t="shared" si="1674"/>
        <v>0.60516605166051662</v>
      </c>
      <c r="Z835" s="139">
        <f t="shared" si="1674"/>
        <v>0</v>
      </c>
      <c r="AA835" s="139">
        <f t="shared" si="1674"/>
        <v>1.107011070110701E-2</v>
      </c>
      <c r="AB835" s="139"/>
      <c r="AC835" s="139">
        <f t="shared" si="1538"/>
        <v>2.2140221402214021E-2</v>
      </c>
      <c r="AD835" s="139">
        <f t="shared" ref="AD835:AI835" si="1675">O835/$I835</f>
        <v>0</v>
      </c>
      <c r="AE835" s="139">
        <f t="shared" si="1675"/>
        <v>0</v>
      </c>
      <c r="AF835" s="139">
        <f t="shared" si="1675"/>
        <v>0</v>
      </c>
      <c r="AG835" s="139">
        <f t="shared" si="1675"/>
        <v>0</v>
      </c>
      <c r="AH835" s="139">
        <f t="shared" si="1675"/>
        <v>1.8450184501845018E-2</v>
      </c>
      <c r="AI835" s="139">
        <f t="shared" si="1675"/>
        <v>3.6900369003690036E-3</v>
      </c>
    </row>
    <row r="836" spans="2:35">
      <c r="B836" s="138" t="s">
        <v>8077</v>
      </c>
      <c r="C836" s="138" t="s">
        <v>4367</v>
      </c>
      <c r="D836" s="138" t="s">
        <v>11</v>
      </c>
      <c r="E836" s="138" t="s">
        <v>261</v>
      </c>
      <c r="F836" s="138" t="s">
        <v>8147</v>
      </c>
      <c r="H836" s="138">
        <v>152</v>
      </c>
      <c r="I836" s="138">
        <v>652</v>
      </c>
      <c r="K836" s="138">
        <v>250</v>
      </c>
      <c r="L836" s="138">
        <v>374</v>
      </c>
      <c r="N836" s="138">
        <v>7</v>
      </c>
      <c r="O836" s="138">
        <v>1</v>
      </c>
      <c r="S836" s="138">
        <v>16</v>
      </c>
      <c r="T836" s="138">
        <v>4</v>
      </c>
      <c r="U836" s="138">
        <f t="shared" si="1536"/>
        <v>21</v>
      </c>
      <c r="W836" s="139">
        <f t="shared" ref="W836:AA836" si="1676">J836/$I836</f>
        <v>0</v>
      </c>
      <c r="X836" s="139">
        <f t="shared" si="1676"/>
        <v>0.3834355828220859</v>
      </c>
      <c r="Y836" s="139">
        <f t="shared" si="1676"/>
        <v>0.57361963190184051</v>
      </c>
      <c r="Z836" s="139">
        <f t="shared" si="1676"/>
        <v>0</v>
      </c>
      <c r="AA836" s="139">
        <f t="shared" si="1676"/>
        <v>1.0736196319018405E-2</v>
      </c>
      <c r="AB836" s="139"/>
      <c r="AC836" s="139">
        <f t="shared" si="1538"/>
        <v>3.2208588957055216E-2</v>
      </c>
      <c r="AD836" s="139">
        <f t="shared" ref="AD836:AI836" si="1677">O836/$I836</f>
        <v>1.5337423312883436E-3</v>
      </c>
      <c r="AE836" s="139">
        <f t="shared" si="1677"/>
        <v>0</v>
      </c>
      <c r="AF836" s="139">
        <f t="shared" si="1677"/>
        <v>0</v>
      </c>
      <c r="AG836" s="139">
        <f t="shared" si="1677"/>
        <v>0</v>
      </c>
      <c r="AH836" s="139">
        <f t="shared" si="1677"/>
        <v>2.4539877300613498E-2</v>
      </c>
      <c r="AI836" s="139">
        <f t="shared" si="1677"/>
        <v>6.1349693251533744E-3</v>
      </c>
    </row>
    <row r="837" spans="2:35">
      <c r="B837" s="138" t="s">
        <v>8077</v>
      </c>
      <c r="C837" s="138" t="s">
        <v>4367</v>
      </c>
      <c r="D837" s="138" t="s">
        <v>11</v>
      </c>
      <c r="E837" s="138" t="s">
        <v>261</v>
      </c>
      <c r="F837" s="138" t="s">
        <v>8147</v>
      </c>
      <c r="H837" s="138">
        <v>153</v>
      </c>
      <c r="I837" s="138">
        <v>1124</v>
      </c>
      <c r="K837" s="138">
        <v>320</v>
      </c>
      <c r="L837" s="138">
        <v>752</v>
      </c>
      <c r="N837" s="138">
        <v>24</v>
      </c>
      <c r="O837" s="138">
        <v>3</v>
      </c>
      <c r="S837" s="138">
        <v>13</v>
      </c>
      <c r="T837" s="138">
        <v>12</v>
      </c>
      <c r="U837" s="138">
        <f t="shared" si="1536"/>
        <v>28</v>
      </c>
      <c r="W837" s="139">
        <f t="shared" ref="W837:AA837" si="1678">J837/$I837</f>
        <v>0</v>
      </c>
      <c r="X837" s="139">
        <f t="shared" si="1678"/>
        <v>0.28469750889679718</v>
      </c>
      <c r="Y837" s="139">
        <f t="shared" si="1678"/>
        <v>0.66903914590747326</v>
      </c>
      <c r="Z837" s="139">
        <f t="shared" si="1678"/>
        <v>0</v>
      </c>
      <c r="AA837" s="139">
        <f t="shared" si="1678"/>
        <v>2.1352313167259787E-2</v>
      </c>
      <c r="AB837" s="139"/>
      <c r="AC837" s="139">
        <f t="shared" si="1538"/>
        <v>2.491103202846975E-2</v>
      </c>
      <c r="AD837" s="139">
        <f t="shared" ref="AD837:AI837" si="1679">O837/$I837</f>
        <v>2.6690391459074734E-3</v>
      </c>
      <c r="AE837" s="139">
        <f t="shared" si="1679"/>
        <v>0</v>
      </c>
      <c r="AF837" s="139">
        <f t="shared" si="1679"/>
        <v>0</v>
      </c>
      <c r="AG837" s="139">
        <f t="shared" si="1679"/>
        <v>0</v>
      </c>
      <c r="AH837" s="139">
        <f t="shared" si="1679"/>
        <v>1.1565836298932384E-2</v>
      </c>
      <c r="AI837" s="139">
        <f t="shared" si="1679"/>
        <v>1.0676156583629894E-2</v>
      </c>
    </row>
    <row r="838" spans="2:35">
      <c r="B838" s="138" t="s">
        <v>8077</v>
      </c>
      <c r="C838" s="138" t="s">
        <v>4367</v>
      </c>
      <c r="D838" s="138" t="s">
        <v>11</v>
      </c>
      <c r="E838" s="138" t="s">
        <v>261</v>
      </c>
      <c r="F838" s="138" t="s">
        <v>8147</v>
      </c>
      <c r="H838" s="138">
        <v>154</v>
      </c>
      <c r="I838" s="138">
        <v>923</v>
      </c>
      <c r="K838" s="138">
        <v>360</v>
      </c>
      <c r="L838" s="138">
        <v>510</v>
      </c>
      <c r="N838" s="138">
        <v>14</v>
      </c>
      <c r="O838" s="138">
        <v>5</v>
      </c>
      <c r="S838" s="138">
        <v>26</v>
      </c>
      <c r="T838" s="138">
        <v>8</v>
      </c>
      <c r="U838" s="138">
        <f t="shared" si="1536"/>
        <v>39</v>
      </c>
      <c r="W838" s="139">
        <f t="shared" ref="W838:AA838" si="1680">J838/$I838</f>
        <v>0</v>
      </c>
      <c r="X838" s="139">
        <f t="shared" si="1680"/>
        <v>0.39003250270855905</v>
      </c>
      <c r="Y838" s="139">
        <f t="shared" si="1680"/>
        <v>0.55254604550379194</v>
      </c>
      <c r="Z838" s="139">
        <f t="shared" si="1680"/>
        <v>0</v>
      </c>
      <c r="AA838" s="139">
        <f t="shared" si="1680"/>
        <v>1.5167930660888408E-2</v>
      </c>
      <c r="AB838" s="139"/>
      <c r="AC838" s="139">
        <f t="shared" si="1538"/>
        <v>4.2253521126760563E-2</v>
      </c>
      <c r="AD838" s="139">
        <f t="shared" ref="AD838:AI838" si="1681">O838/$I838</f>
        <v>5.4171180931744311E-3</v>
      </c>
      <c r="AE838" s="139">
        <f t="shared" si="1681"/>
        <v>0</v>
      </c>
      <c r="AF838" s="139">
        <f t="shared" si="1681"/>
        <v>0</v>
      </c>
      <c r="AG838" s="139">
        <f t="shared" si="1681"/>
        <v>0</v>
      </c>
      <c r="AH838" s="139">
        <f t="shared" si="1681"/>
        <v>2.8169014084507043E-2</v>
      </c>
      <c r="AI838" s="139">
        <f t="shared" si="1681"/>
        <v>8.6673889490790895E-3</v>
      </c>
    </row>
    <row r="839" spans="2:35">
      <c r="B839" s="138" t="s">
        <v>8077</v>
      </c>
      <c r="C839" s="138" t="s">
        <v>4367</v>
      </c>
      <c r="D839" s="138" t="s">
        <v>11</v>
      </c>
      <c r="E839" s="138" t="s">
        <v>8119</v>
      </c>
      <c r="F839" s="138" t="s">
        <v>8119</v>
      </c>
      <c r="H839" s="138">
        <v>155</v>
      </c>
      <c r="I839" s="138">
        <v>1056</v>
      </c>
      <c r="K839" s="138">
        <v>187</v>
      </c>
      <c r="L839" s="138">
        <v>820</v>
      </c>
      <c r="N839" s="138">
        <v>11</v>
      </c>
      <c r="O839" s="138">
        <v>0</v>
      </c>
      <c r="S839" s="138">
        <v>35</v>
      </c>
      <c r="T839" s="138">
        <v>3</v>
      </c>
      <c r="U839" s="138">
        <f t="shared" si="1536"/>
        <v>38</v>
      </c>
      <c r="W839" s="139">
        <f t="shared" ref="W839:AA839" si="1682">J839/$I839</f>
        <v>0</v>
      </c>
      <c r="X839" s="139">
        <f t="shared" si="1682"/>
        <v>0.17708333333333334</v>
      </c>
      <c r="Y839" s="139">
        <f t="shared" si="1682"/>
        <v>0.77651515151515149</v>
      </c>
      <c r="Z839" s="139">
        <f t="shared" si="1682"/>
        <v>0</v>
      </c>
      <c r="AA839" s="139">
        <f t="shared" si="1682"/>
        <v>1.0416666666666666E-2</v>
      </c>
      <c r="AB839" s="139"/>
      <c r="AC839" s="139">
        <f t="shared" si="1538"/>
        <v>3.5984848484848488E-2</v>
      </c>
      <c r="AD839" s="139">
        <f t="shared" ref="AD839:AI839" si="1683">O839/$I839</f>
        <v>0</v>
      </c>
      <c r="AE839" s="139">
        <f t="shared" si="1683"/>
        <v>0</v>
      </c>
      <c r="AF839" s="139">
        <f t="shared" si="1683"/>
        <v>0</v>
      </c>
      <c r="AG839" s="139">
        <f t="shared" si="1683"/>
        <v>0</v>
      </c>
      <c r="AH839" s="139">
        <f t="shared" si="1683"/>
        <v>3.3143939393939392E-2</v>
      </c>
      <c r="AI839" s="139">
        <f t="shared" si="1683"/>
        <v>2.840909090909091E-3</v>
      </c>
    </row>
    <row r="840" spans="2:35">
      <c r="B840" s="138" t="s">
        <v>8077</v>
      </c>
      <c r="C840" s="138" t="s">
        <v>4367</v>
      </c>
      <c r="D840" s="138" t="s">
        <v>11</v>
      </c>
      <c r="E840" s="138" t="s">
        <v>8119</v>
      </c>
      <c r="F840" s="138" t="s">
        <v>8119</v>
      </c>
      <c r="H840" s="138">
        <v>156</v>
      </c>
      <c r="I840" s="138">
        <v>770</v>
      </c>
      <c r="K840" s="138">
        <v>248</v>
      </c>
      <c r="L840" s="138">
        <v>486</v>
      </c>
      <c r="N840" s="138">
        <v>5</v>
      </c>
      <c r="O840" s="138">
        <v>9</v>
      </c>
      <c r="S840" s="138">
        <v>18</v>
      </c>
      <c r="T840" s="138">
        <v>4</v>
      </c>
      <c r="U840" s="138">
        <f t="shared" si="1536"/>
        <v>31</v>
      </c>
      <c r="W840" s="139">
        <f t="shared" ref="W840:AA840" si="1684">J840/$I840</f>
        <v>0</v>
      </c>
      <c r="X840" s="139">
        <f t="shared" si="1684"/>
        <v>0.32207792207792207</v>
      </c>
      <c r="Y840" s="139">
        <f t="shared" si="1684"/>
        <v>0.63116883116883116</v>
      </c>
      <c r="Z840" s="139">
        <f t="shared" si="1684"/>
        <v>0</v>
      </c>
      <c r="AA840" s="139">
        <f t="shared" si="1684"/>
        <v>6.4935064935064939E-3</v>
      </c>
      <c r="AB840" s="139"/>
      <c r="AC840" s="139">
        <f t="shared" si="1538"/>
        <v>4.0259740259740259E-2</v>
      </c>
      <c r="AD840" s="139">
        <f t="shared" ref="AD840:AI840" si="1685">O840/$I840</f>
        <v>1.1688311688311689E-2</v>
      </c>
      <c r="AE840" s="139">
        <f t="shared" si="1685"/>
        <v>0</v>
      </c>
      <c r="AF840" s="139">
        <f t="shared" si="1685"/>
        <v>0</v>
      </c>
      <c r="AG840" s="139">
        <f t="shared" si="1685"/>
        <v>0</v>
      </c>
      <c r="AH840" s="139">
        <f t="shared" si="1685"/>
        <v>2.3376623376623377E-2</v>
      </c>
      <c r="AI840" s="139">
        <f t="shared" si="1685"/>
        <v>5.1948051948051948E-3</v>
      </c>
    </row>
    <row r="841" spans="2:35">
      <c r="B841" s="138" t="s">
        <v>8077</v>
      </c>
      <c r="C841" s="138" t="s">
        <v>4367</v>
      </c>
      <c r="D841" s="138" t="s">
        <v>11</v>
      </c>
      <c r="E841" s="138" t="s">
        <v>8119</v>
      </c>
      <c r="F841" s="138" t="s">
        <v>8119</v>
      </c>
      <c r="H841" s="138">
        <v>157</v>
      </c>
      <c r="I841" s="138">
        <v>902</v>
      </c>
      <c r="K841" s="138">
        <v>315</v>
      </c>
      <c r="L841" s="138">
        <v>552</v>
      </c>
      <c r="N841" s="138">
        <v>15</v>
      </c>
      <c r="O841" s="138">
        <v>0</v>
      </c>
      <c r="S841" s="138">
        <v>14</v>
      </c>
      <c r="T841" s="138">
        <v>6</v>
      </c>
      <c r="U841" s="138">
        <f t="shared" si="1536"/>
        <v>20</v>
      </c>
      <c r="W841" s="139">
        <f t="shared" ref="W841:AA841" si="1686">J841/$I841</f>
        <v>0</v>
      </c>
      <c r="X841" s="139">
        <f t="shared" si="1686"/>
        <v>0.34922394678492241</v>
      </c>
      <c r="Y841" s="139">
        <f t="shared" si="1686"/>
        <v>0.61197339246119731</v>
      </c>
      <c r="Z841" s="139">
        <f t="shared" si="1686"/>
        <v>0</v>
      </c>
      <c r="AA841" s="139">
        <f t="shared" si="1686"/>
        <v>1.662971175166297E-2</v>
      </c>
      <c r="AB841" s="139"/>
      <c r="AC841" s="139">
        <f t="shared" si="1538"/>
        <v>2.2172949002217297E-2</v>
      </c>
      <c r="AD841" s="139">
        <f t="shared" ref="AD841:AI841" si="1687">O841/$I841</f>
        <v>0</v>
      </c>
      <c r="AE841" s="139">
        <f t="shared" si="1687"/>
        <v>0</v>
      </c>
      <c r="AF841" s="139">
        <f t="shared" si="1687"/>
        <v>0</v>
      </c>
      <c r="AG841" s="139">
        <f t="shared" si="1687"/>
        <v>0</v>
      </c>
      <c r="AH841" s="139">
        <f t="shared" si="1687"/>
        <v>1.5521064301552107E-2</v>
      </c>
      <c r="AI841" s="139">
        <f t="shared" si="1687"/>
        <v>6.6518847006651885E-3</v>
      </c>
    </row>
    <row r="842" spans="2:35">
      <c r="B842" s="138" t="s">
        <v>8077</v>
      </c>
      <c r="C842" s="138" t="s">
        <v>4367</v>
      </c>
      <c r="D842" s="138" t="s">
        <v>11</v>
      </c>
      <c r="E842" s="138" t="s">
        <v>8119</v>
      </c>
      <c r="F842" s="138" t="s">
        <v>8119</v>
      </c>
      <c r="H842" s="138">
        <v>158</v>
      </c>
      <c r="I842" s="138">
        <v>800</v>
      </c>
      <c r="K842" s="138">
        <v>210</v>
      </c>
      <c r="L842" s="138">
        <v>551</v>
      </c>
      <c r="N842" s="138">
        <v>12</v>
      </c>
      <c r="O842" s="138">
        <v>1</v>
      </c>
      <c r="S842" s="138">
        <v>19</v>
      </c>
      <c r="T842" s="138">
        <v>7</v>
      </c>
      <c r="U842" s="138">
        <f t="shared" si="1536"/>
        <v>27</v>
      </c>
      <c r="W842" s="139">
        <f t="shared" ref="W842:AA842" si="1688">J842/$I842</f>
        <v>0</v>
      </c>
      <c r="X842" s="139">
        <f t="shared" si="1688"/>
        <v>0.26250000000000001</v>
      </c>
      <c r="Y842" s="139">
        <f t="shared" si="1688"/>
        <v>0.68874999999999997</v>
      </c>
      <c r="Z842" s="139">
        <f t="shared" si="1688"/>
        <v>0</v>
      </c>
      <c r="AA842" s="139">
        <f t="shared" si="1688"/>
        <v>1.4999999999999999E-2</v>
      </c>
      <c r="AB842" s="139"/>
      <c r="AC842" s="139">
        <f t="shared" si="1538"/>
        <v>3.3750000000000002E-2</v>
      </c>
      <c r="AD842" s="139">
        <f t="shared" ref="AD842:AI842" si="1689">O842/$I842</f>
        <v>1.25E-3</v>
      </c>
      <c r="AE842" s="139">
        <f t="shared" si="1689"/>
        <v>0</v>
      </c>
      <c r="AF842" s="139">
        <f t="shared" si="1689"/>
        <v>0</v>
      </c>
      <c r="AG842" s="139">
        <f t="shared" si="1689"/>
        <v>0</v>
      </c>
      <c r="AH842" s="139">
        <f t="shared" si="1689"/>
        <v>2.375E-2</v>
      </c>
      <c r="AI842" s="139">
        <f t="shared" si="1689"/>
        <v>8.7500000000000008E-3</v>
      </c>
    </row>
    <row r="843" spans="2:35">
      <c r="B843" s="138" t="s">
        <v>8077</v>
      </c>
      <c r="C843" s="138" t="s">
        <v>4367</v>
      </c>
      <c r="D843" s="138" t="s">
        <v>11</v>
      </c>
      <c r="E843" s="138" t="s">
        <v>8119</v>
      </c>
      <c r="F843" s="138" t="s">
        <v>8119</v>
      </c>
      <c r="H843" s="138">
        <v>159</v>
      </c>
      <c r="I843" s="138">
        <v>744</v>
      </c>
      <c r="K843" s="138">
        <v>201</v>
      </c>
      <c r="L843" s="138">
        <v>495</v>
      </c>
      <c r="N843" s="138">
        <v>5</v>
      </c>
      <c r="O843" s="138">
        <v>1</v>
      </c>
      <c r="S843" s="138">
        <v>32</v>
      </c>
      <c r="T843" s="138">
        <v>10</v>
      </c>
      <c r="U843" s="138">
        <f t="shared" si="1536"/>
        <v>43</v>
      </c>
      <c r="W843" s="139">
        <f t="shared" ref="W843:AA843" si="1690">J843/$I843</f>
        <v>0</v>
      </c>
      <c r="X843" s="139">
        <f t="shared" si="1690"/>
        <v>0.27016129032258063</v>
      </c>
      <c r="Y843" s="139">
        <f t="shared" si="1690"/>
        <v>0.66532258064516125</v>
      </c>
      <c r="Z843" s="139">
        <f t="shared" si="1690"/>
        <v>0</v>
      </c>
      <c r="AA843" s="139">
        <f t="shared" si="1690"/>
        <v>6.7204301075268818E-3</v>
      </c>
      <c r="AB843" s="139"/>
      <c r="AC843" s="139">
        <f t="shared" si="1538"/>
        <v>5.779569892473118E-2</v>
      </c>
      <c r="AD843" s="139">
        <f t="shared" ref="AD843:AI843" si="1691">O843/$I843</f>
        <v>1.3440860215053765E-3</v>
      </c>
      <c r="AE843" s="139">
        <f t="shared" si="1691"/>
        <v>0</v>
      </c>
      <c r="AF843" s="139">
        <f t="shared" si="1691"/>
        <v>0</v>
      </c>
      <c r="AG843" s="139">
        <f t="shared" si="1691"/>
        <v>0</v>
      </c>
      <c r="AH843" s="139">
        <f t="shared" si="1691"/>
        <v>4.3010752688172046E-2</v>
      </c>
      <c r="AI843" s="139">
        <f t="shared" si="1691"/>
        <v>1.3440860215053764E-2</v>
      </c>
    </row>
    <row r="844" spans="2:35">
      <c r="B844" s="138" t="s">
        <v>8077</v>
      </c>
      <c r="C844" s="138" t="s">
        <v>4367</v>
      </c>
      <c r="D844" s="138" t="s">
        <v>11</v>
      </c>
      <c r="E844" s="138" t="s">
        <v>8119</v>
      </c>
      <c r="F844" s="138" t="s">
        <v>8119</v>
      </c>
      <c r="H844" s="138">
        <v>160</v>
      </c>
      <c r="I844" s="138">
        <v>689</v>
      </c>
      <c r="K844" s="138">
        <v>270</v>
      </c>
      <c r="L844" s="138">
        <v>370</v>
      </c>
      <c r="N844" s="138">
        <v>10</v>
      </c>
      <c r="O844" s="138">
        <v>0</v>
      </c>
      <c r="S844" s="138">
        <v>23</v>
      </c>
      <c r="T844" s="138">
        <v>16</v>
      </c>
      <c r="U844" s="138">
        <f t="shared" si="1536"/>
        <v>39</v>
      </c>
      <c r="W844" s="139">
        <f t="shared" ref="W844:AA844" si="1692">J844/$I844</f>
        <v>0</v>
      </c>
      <c r="X844" s="139">
        <f t="shared" si="1692"/>
        <v>0.39187227866473151</v>
      </c>
      <c r="Y844" s="139">
        <f t="shared" si="1692"/>
        <v>0.53701015965166909</v>
      </c>
      <c r="Z844" s="139">
        <f t="shared" si="1692"/>
        <v>0</v>
      </c>
      <c r="AA844" s="139">
        <f t="shared" si="1692"/>
        <v>1.4513788098693759E-2</v>
      </c>
      <c r="AB844" s="139"/>
      <c r="AC844" s="139">
        <f t="shared" si="1538"/>
        <v>5.6603773584905662E-2</v>
      </c>
      <c r="AD844" s="139">
        <f t="shared" ref="AD844:AI844" si="1693">O844/$I844</f>
        <v>0</v>
      </c>
      <c r="AE844" s="139">
        <f t="shared" si="1693"/>
        <v>0</v>
      </c>
      <c r="AF844" s="139">
        <f t="shared" si="1693"/>
        <v>0</v>
      </c>
      <c r="AG844" s="139">
        <f t="shared" si="1693"/>
        <v>0</v>
      </c>
      <c r="AH844" s="139">
        <f t="shared" si="1693"/>
        <v>3.3381712626995644E-2</v>
      </c>
      <c r="AI844" s="139">
        <f t="shared" si="1693"/>
        <v>2.3222060957910014E-2</v>
      </c>
    </row>
    <row r="845" spans="2:35">
      <c r="B845" s="138" t="s">
        <v>8077</v>
      </c>
      <c r="C845" s="138" t="s">
        <v>4367</v>
      </c>
      <c r="D845" s="138" t="s">
        <v>11</v>
      </c>
      <c r="E845" s="138" t="s">
        <v>8119</v>
      </c>
      <c r="F845" s="138" t="s">
        <v>8119</v>
      </c>
      <c r="H845" s="138">
        <v>161</v>
      </c>
      <c r="I845" s="138">
        <v>739</v>
      </c>
      <c r="K845" s="138">
        <v>252</v>
      </c>
      <c r="L845" s="138">
        <v>465</v>
      </c>
      <c r="N845" s="138">
        <v>7</v>
      </c>
      <c r="O845" s="138">
        <v>0</v>
      </c>
      <c r="S845" s="138">
        <v>12</v>
      </c>
      <c r="T845" s="138">
        <v>3</v>
      </c>
      <c r="U845" s="138">
        <f t="shared" si="1536"/>
        <v>15</v>
      </c>
      <c r="W845" s="139">
        <f t="shared" ref="W845:AA845" si="1694">J845/$I845</f>
        <v>0</v>
      </c>
      <c r="X845" s="139">
        <f t="shared" si="1694"/>
        <v>0.34100135317997293</v>
      </c>
      <c r="Y845" s="139">
        <f t="shared" si="1694"/>
        <v>0.62922868741542626</v>
      </c>
      <c r="Z845" s="139">
        <f t="shared" si="1694"/>
        <v>0</v>
      </c>
      <c r="AA845" s="139">
        <f t="shared" si="1694"/>
        <v>9.4722598105548041E-3</v>
      </c>
      <c r="AB845" s="139"/>
      <c r="AC845" s="139">
        <f t="shared" si="1538"/>
        <v>2.0297699594046009E-2</v>
      </c>
      <c r="AD845" s="139">
        <f t="shared" ref="AD845:AI845" si="1695">O845/$I845</f>
        <v>0</v>
      </c>
      <c r="AE845" s="139">
        <f t="shared" si="1695"/>
        <v>0</v>
      </c>
      <c r="AF845" s="139">
        <f t="shared" si="1695"/>
        <v>0</v>
      </c>
      <c r="AG845" s="139">
        <f t="shared" si="1695"/>
        <v>0</v>
      </c>
      <c r="AH845" s="139">
        <f t="shared" si="1695"/>
        <v>1.6238159675236806E-2</v>
      </c>
      <c r="AI845" s="139">
        <f t="shared" si="1695"/>
        <v>4.0595399188092015E-3</v>
      </c>
    </row>
    <row r="846" spans="2:35">
      <c r="B846" s="138" t="s">
        <v>8077</v>
      </c>
      <c r="C846" s="138" t="s">
        <v>4367</v>
      </c>
      <c r="D846" s="138" t="s">
        <v>11</v>
      </c>
      <c r="E846" s="138" t="s">
        <v>261</v>
      </c>
      <c r="F846" s="138" t="s">
        <v>825</v>
      </c>
      <c r="H846" s="138">
        <v>162</v>
      </c>
      <c r="I846" s="138">
        <v>938</v>
      </c>
      <c r="K846" s="138">
        <v>185</v>
      </c>
      <c r="L846" s="138">
        <v>725</v>
      </c>
      <c r="N846" s="138">
        <v>6</v>
      </c>
      <c r="O846" s="138">
        <v>0</v>
      </c>
      <c r="S846" s="138">
        <v>15</v>
      </c>
      <c r="T846" s="138">
        <v>7</v>
      </c>
      <c r="U846" s="138">
        <f t="shared" si="1536"/>
        <v>22</v>
      </c>
      <c r="W846" s="139">
        <f t="shared" ref="W846:AA846" si="1696">J846/$I846</f>
        <v>0</v>
      </c>
      <c r="X846" s="139">
        <f t="shared" si="1696"/>
        <v>0.19722814498933902</v>
      </c>
      <c r="Y846" s="139">
        <f t="shared" si="1696"/>
        <v>0.77292110874200426</v>
      </c>
      <c r="Z846" s="139">
        <f t="shared" si="1696"/>
        <v>0</v>
      </c>
      <c r="AA846" s="139">
        <f t="shared" si="1696"/>
        <v>6.3965884861407248E-3</v>
      </c>
      <c r="AB846" s="139"/>
      <c r="AC846" s="139">
        <f t="shared" si="1538"/>
        <v>2.3454157782515993E-2</v>
      </c>
      <c r="AD846" s="139">
        <f t="shared" ref="AD846:AI846" si="1697">O846/$I846</f>
        <v>0</v>
      </c>
      <c r="AE846" s="139">
        <f t="shared" si="1697"/>
        <v>0</v>
      </c>
      <c r="AF846" s="139">
        <f t="shared" si="1697"/>
        <v>0</v>
      </c>
      <c r="AG846" s="139">
        <f t="shared" si="1697"/>
        <v>0</v>
      </c>
      <c r="AH846" s="139">
        <f t="shared" si="1697"/>
        <v>1.5991471215351813E-2</v>
      </c>
      <c r="AI846" s="139">
        <f t="shared" si="1697"/>
        <v>7.462686567164179E-3</v>
      </c>
    </row>
    <row r="847" spans="2:35">
      <c r="B847" s="138" t="s">
        <v>8077</v>
      </c>
      <c r="C847" s="138" t="s">
        <v>4367</v>
      </c>
      <c r="D847" s="138" t="s">
        <v>11</v>
      </c>
      <c r="E847" s="138" t="s">
        <v>261</v>
      </c>
      <c r="F847" s="138" t="s">
        <v>825</v>
      </c>
      <c r="H847" s="138">
        <v>163</v>
      </c>
      <c r="I847" s="138">
        <v>804</v>
      </c>
      <c r="K847" s="138">
        <v>136</v>
      </c>
      <c r="L847" s="138">
        <v>640</v>
      </c>
      <c r="N847" s="138">
        <v>10</v>
      </c>
      <c r="O847" s="138">
        <v>1</v>
      </c>
      <c r="S847" s="138">
        <v>16</v>
      </c>
      <c r="T847" s="138">
        <v>1</v>
      </c>
      <c r="U847" s="138">
        <f t="shared" si="1536"/>
        <v>18</v>
      </c>
      <c r="W847" s="139">
        <f t="shared" ref="W847:AA847" si="1698">J847/$I847</f>
        <v>0</v>
      </c>
      <c r="X847" s="139">
        <f t="shared" si="1698"/>
        <v>0.1691542288557214</v>
      </c>
      <c r="Y847" s="139">
        <f t="shared" si="1698"/>
        <v>0.79601990049751248</v>
      </c>
      <c r="Z847" s="139">
        <f t="shared" si="1698"/>
        <v>0</v>
      </c>
      <c r="AA847" s="139">
        <f t="shared" si="1698"/>
        <v>1.2437810945273632E-2</v>
      </c>
      <c r="AB847" s="139"/>
      <c r="AC847" s="139">
        <f t="shared" si="1538"/>
        <v>2.2388059701492536E-2</v>
      </c>
      <c r="AD847" s="139">
        <f t="shared" ref="AD847:AI847" si="1699">O847/$I847</f>
        <v>1.2437810945273632E-3</v>
      </c>
      <c r="AE847" s="139">
        <f t="shared" si="1699"/>
        <v>0</v>
      </c>
      <c r="AF847" s="139">
        <f t="shared" si="1699"/>
        <v>0</v>
      </c>
      <c r="AG847" s="139">
        <f t="shared" si="1699"/>
        <v>0</v>
      </c>
      <c r="AH847" s="139">
        <f t="shared" si="1699"/>
        <v>1.9900497512437811E-2</v>
      </c>
      <c r="AI847" s="139">
        <f t="shared" si="1699"/>
        <v>1.2437810945273632E-3</v>
      </c>
    </row>
    <row r="848" spans="2:35">
      <c r="B848" s="138" t="s">
        <v>8077</v>
      </c>
      <c r="C848" s="138" t="s">
        <v>4367</v>
      </c>
      <c r="D848" s="138" t="s">
        <v>11</v>
      </c>
      <c r="E848" s="138" t="s">
        <v>261</v>
      </c>
      <c r="F848" s="138" t="s">
        <v>825</v>
      </c>
      <c r="H848" s="138">
        <v>164</v>
      </c>
      <c r="I848" s="138">
        <v>723</v>
      </c>
      <c r="K848" s="138">
        <v>105</v>
      </c>
      <c r="L848" s="138">
        <v>594</v>
      </c>
      <c r="N848" s="138">
        <v>5</v>
      </c>
      <c r="O848" s="138">
        <v>0</v>
      </c>
      <c r="S848" s="138">
        <v>17</v>
      </c>
      <c r="T848" s="138">
        <v>2</v>
      </c>
      <c r="U848" s="138">
        <f t="shared" si="1536"/>
        <v>19</v>
      </c>
      <c r="W848" s="139">
        <f t="shared" ref="W848:AA848" si="1700">J848/$I848</f>
        <v>0</v>
      </c>
      <c r="X848" s="139">
        <f t="shared" si="1700"/>
        <v>0.14522821576763487</v>
      </c>
      <c r="Y848" s="139">
        <f t="shared" si="1700"/>
        <v>0.82157676348547715</v>
      </c>
      <c r="Z848" s="139">
        <f t="shared" si="1700"/>
        <v>0</v>
      </c>
      <c r="AA848" s="139">
        <f t="shared" si="1700"/>
        <v>6.9156293222683261E-3</v>
      </c>
      <c r="AB848" s="139"/>
      <c r="AC848" s="139">
        <f t="shared" si="1538"/>
        <v>2.6279391424619641E-2</v>
      </c>
      <c r="AD848" s="139">
        <f t="shared" ref="AD848:AI848" si="1701">O848/$I848</f>
        <v>0</v>
      </c>
      <c r="AE848" s="139">
        <f t="shared" si="1701"/>
        <v>0</v>
      </c>
      <c r="AF848" s="139">
        <f t="shared" si="1701"/>
        <v>0</v>
      </c>
      <c r="AG848" s="139">
        <f t="shared" si="1701"/>
        <v>0</v>
      </c>
      <c r="AH848" s="139">
        <f t="shared" si="1701"/>
        <v>2.351313969571231E-2</v>
      </c>
      <c r="AI848" s="139">
        <f t="shared" si="1701"/>
        <v>2.7662517289073307E-3</v>
      </c>
    </row>
    <row r="849" spans="2:35">
      <c r="B849" s="138" t="s">
        <v>8077</v>
      </c>
      <c r="C849" s="138" t="s">
        <v>4367</v>
      </c>
      <c r="D849" s="138" t="s">
        <v>11</v>
      </c>
      <c r="E849" s="138" t="s">
        <v>261</v>
      </c>
      <c r="F849" s="138" t="s">
        <v>825</v>
      </c>
      <c r="H849" s="138">
        <v>165</v>
      </c>
      <c r="I849" s="138">
        <v>868</v>
      </c>
      <c r="K849" s="138">
        <v>358</v>
      </c>
      <c r="L849" s="138">
        <v>479</v>
      </c>
      <c r="N849" s="138">
        <v>11</v>
      </c>
      <c r="O849" s="138">
        <v>0</v>
      </c>
      <c r="S849" s="138">
        <v>7</v>
      </c>
      <c r="T849" s="138">
        <v>13</v>
      </c>
      <c r="U849" s="138">
        <f t="shared" si="1536"/>
        <v>20</v>
      </c>
      <c r="W849" s="139">
        <f t="shared" ref="W849:AA849" si="1702">J849/$I849</f>
        <v>0</v>
      </c>
      <c r="X849" s="139">
        <f t="shared" si="1702"/>
        <v>0.41244239631336405</v>
      </c>
      <c r="Y849" s="139">
        <f t="shared" si="1702"/>
        <v>0.5518433179723502</v>
      </c>
      <c r="Z849" s="139">
        <f t="shared" si="1702"/>
        <v>0</v>
      </c>
      <c r="AA849" s="139">
        <f t="shared" si="1702"/>
        <v>1.2672811059907835E-2</v>
      </c>
      <c r="AB849" s="139"/>
      <c r="AC849" s="139">
        <f t="shared" si="1538"/>
        <v>2.3041474654377881E-2</v>
      </c>
      <c r="AD849" s="139">
        <f t="shared" ref="AD849:AI849" si="1703">O849/$I849</f>
        <v>0</v>
      </c>
      <c r="AE849" s="139">
        <f t="shared" si="1703"/>
        <v>0</v>
      </c>
      <c r="AF849" s="139">
        <f t="shared" si="1703"/>
        <v>0</v>
      </c>
      <c r="AG849" s="139">
        <f t="shared" si="1703"/>
        <v>0</v>
      </c>
      <c r="AH849" s="139">
        <f t="shared" si="1703"/>
        <v>8.0645161290322578E-3</v>
      </c>
      <c r="AI849" s="139">
        <f t="shared" si="1703"/>
        <v>1.4976958525345621E-2</v>
      </c>
    </row>
    <row r="850" spans="2:35">
      <c r="B850" s="138" t="s">
        <v>8077</v>
      </c>
      <c r="C850" s="138" t="s">
        <v>4367</v>
      </c>
      <c r="D850" s="138" t="s">
        <v>11</v>
      </c>
      <c r="E850" s="138" t="s">
        <v>261</v>
      </c>
      <c r="F850" s="138" t="s">
        <v>825</v>
      </c>
      <c r="H850" s="138">
        <v>166</v>
      </c>
      <c r="I850" s="138">
        <v>945</v>
      </c>
      <c r="K850" s="138">
        <v>318</v>
      </c>
      <c r="L850" s="138">
        <v>569</v>
      </c>
      <c r="N850" s="138">
        <v>25</v>
      </c>
      <c r="O850" s="138">
        <v>3</v>
      </c>
      <c r="S850" s="138">
        <v>21</v>
      </c>
      <c r="T850" s="138">
        <v>9</v>
      </c>
      <c r="U850" s="138">
        <f t="shared" si="1536"/>
        <v>33</v>
      </c>
      <c r="W850" s="139">
        <f t="shared" ref="W850:AA850" si="1704">J850/$I850</f>
        <v>0</v>
      </c>
      <c r="X850" s="139">
        <f t="shared" si="1704"/>
        <v>0.33650793650793653</v>
      </c>
      <c r="Y850" s="139">
        <f t="shared" si="1704"/>
        <v>0.60211640211640216</v>
      </c>
      <c r="Z850" s="139">
        <f t="shared" si="1704"/>
        <v>0</v>
      </c>
      <c r="AA850" s="139">
        <f t="shared" si="1704"/>
        <v>2.6455026455026454E-2</v>
      </c>
      <c r="AB850" s="139"/>
      <c r="AC850" s="139">
        <f t="shared" si="1538"/>
        <v>3.4920634920634921E-2</v>
      </c>
      <c r="AD850" s="139">
        <f t="shared" ref="AD850:AI850" si="1705">O850/$I850</f>
        <v>3.1746031746031746E-3</v>
      </c>
      <c r="AE850" s="139">
        <f t="shared" si="1705"/>
        <v>0</v>
      </c>
      <c r="AF850" s="139">
        <f t="shared" si="1705"/>
        <v>0</v>
      </c>
      <c r="AG850" s="139">
        <f t="shared" si="1705"/>
        <v>0</v>
      </c>
      <c r="AH850" s="139">
        <f t="shared" si="1705"/>
        <v>2.2222222222222223E-2</v>
      </c>
      <c r="AI850" s="139">
        <f t="shared" si="1705"/>
        <v>9.5238095238095247E-3</v>
      </c>
    </row>
    <row r="851" spans="2:35">
      <c r="B851" s="138" t="s">
        <v>8077</v>
      </c>
      <c r="C851" s="138" t="s">
        <v>4367</v>
      </c>
      <c r="D851" s="138" t="s">
        <v>11</v>
      </c>
      <c r="E851" s="138" t="s">
        <v>261</v>
      </c>
      <c r="F851" s="138" t="s">
        <v>836</v>
      </c>
      <c r="H851" s="138">
        <v>167</v>
      </c>
      <c r="I851" s="138">
        <v>987</v>
      </c>
      <c r="K851" s="138">
        <v>184</v>
      </c>
      <c r="L851" s="138">
        <v>761</v>
      </c>
      <c r="N851" s="138">
        <v>5</v>
      </c>
      <c r="O851" s="138">
        <v>0</v>
      </c>
      <c r="S851" s="138">
        <v>32</v>
      </c>
      <c r="T851" s="138">
        <v>5</v>
      </c>
      <c r="U851" s="138">
        <f t="shared" si="1536"/>
        <v>37</v>
      </c>
      <c r="W851" s="139">
        <f t="shared" ref="W851:AA851" si="1706">J851/$I851</f>
        <v>0</v>
      </c>
      <c r="X851" s="139">
        <f t="shared" si="1706"/>
        <v>0.18642350557244175</v>
      </c>
      <c r="Y851" s="139">
        <f t="shared" si="1706"/>
        <v>0.77102330293819654</v>
      </c>
      <c r="Z851" s="139">
        <f t="shared" si="1706"/>
        <v>0</v>
      </c>
      <c r="AA851" s="139">
        <f t="shared" si="1706"/>
        <v>5.065856129685917E-3</v>
      </c>
      <c r="AB851" s="139"/>
      <c r="AC851" s="139">
        <f t="shared" si="1538"/>
        <v>3.7487335359675786E-2</v>
      </c>
      <c r="AD851" s="139">
        <f t="shared" ref="AD851:AI851" si="1707">O851/$I851</f>
        <v>0</v>
      </c>
      <c r="AE851" s="139">
        <f t="shared" si="1707"/>
        <v>0</v>
      </c>
      <c r="AF851" s="139">
        <f t="shared" si="1707"/>
        <v>0</v>
      </c>
      <c r="AG851" s="139">
        <f t="shared" si="1707"/>
        <v>0</v>
      </c>
      <c r="AH851" s="139">
        <f t="shared" si="1707"/>
        <v>3.242147922998987E-2</v>
      </c>
      <c r="AI851" s="139">
        <f t="shared" si="1707"/>
        <v>5.065856129685917E-3</v>
      </c>
    </row>
    <row r="852" spans="2:35">
      <c r="B852" s="138" t="s">
        <v>8077</v>
      </c>
      <c r="C852" s="138" t="s">
        <v>4367</v>
      </c>
      <c r="D852" s="138" t="s">
        <v>11</v>
      </c>
      <c r="E852" s="138" t="s">
        <v>261</v>
      </c>
      <c r="F852" s="138" t="s">
        <v>836</v>
      </c>
      <c r="H852" s="138">
        <v>168</v>
      </c>
      <c r="I852" s="138">
        <v>1067</v>
      </c>
      <c r="K852" s="138">
        <v>128</v>
      </c>
      <c r="L852" s="138">
        <v>907</v>
      </c>
      <c r="N852" s="138">
        <v>3</v>
      </c>
      <c r="O852" s="138">
        <v>0</v>
      </c>
      <c r="S852" s="138">
        <v>27</v>
      </c>
      <c r="T852" s="138">
        <v>2</v>
      </c>
      <c r="U852" s="138">
        <f t="shared" si="1536"/>
        <v>29</v>
      </c>
      <c r="W852" s="139">
        <f t="shared" ref="W852:AA852" si="1708">J852/$I852</f>
        <v>0</v>
      </c>
      <c r="X852" s="139">
        <f t="shared" si="1708"/>
        <v>0.11996251171508904</v>
      </c>
      <c r="Y852" s="139">
        <f t="shared" si="1708"/>
        <v>0.85004686035613874</v>
      </c>
      <c r="Z852" s="139">
        <f t="shared" si="1708"/>
        <v>0</v>
      </c>
      <c r="AA852" s="139">
        <f t="shared" si="1708"/>
        <v>2.8116213683223993E-3</v>
      </c>
      <c r="AB852" s="139"/>
      <c r="AC852" s="139">
        <f t="shared" si="1538"/>
        <v>2.7179006560449859E-2</v>
      </c>
      <c r="AD852" s="139">
        <f t="shared" ref="AD852:AI852" si="1709">O852/$I852</f>
        <v>0</v>
      </c>
      <c r="AE852" s="139">
        <f t="shared" si="1709"/>
        <v>0</v>
      </c>
      <c r="AF852" s="139">
        <f t="shared" si="1709"/>
        <v>0</v>
      </c>
      <c r="AG852" s="139">
        <f t="shared" si="1709"/>
        <v>0</v>
      </c>
      <c r="AH852" s="139">
        <f t="shared" si="1709"/>
        <v>2.5304592314901592E-2</v>
      </c>
      <c r="AI852" s="139">
        <f t="shared" si="1709"/>
        <v>1.8744142455482662E-3</v>
      </c>
    </row>
    <row r="853" spans="2:35">
      <c r="B853" s="138" t="s">
        <v>8077</v>
      </c>
      <c r="C853" s="138" t="s">
        <v>4367</v>
      </c>
      <c r="D853" s="138" t="s">
        <v>11</v>
      </c>
      <c r="E853" s="138" t="s">
        <v>261</v>
      </c>
      <c r="F853" s="138" t="s">
        <v>836</v>
      </c>
      <c r="H853" s="138">
        <v>169</v>
      </c>
      <c r="I853" s="138">
        <v>662</v>
      </c>
      <c r="K853" s="138">
        <v>411</v>
      </c>
      <c r="L853" s="138">
        <v>224</v>
      </c>
      <c r="N853" s="138">
        <v>5</v>
      </c>
      <c r="O853" s="138">
        <v>4</v>
      </c>
      <c r="S853" s="138">
        <v>4</v>
      </c>
      <c r="T853" s="138">
        <v>14</v>
      </c>
      <c r="U853" s="138">
        <f t="shared" si="1536"/>
        <v>22</v>
      </c>
      <c r="W853" s="139">
        <f t="shared" ref="W853:AA853" si="1710">J853/$I853</f>
        <v>0</v>
      </c>
      <c r="X853" s="139">
        <f t="shared" si="1710"/>
        <v>0.62084592145015105</v>
      </c>
      <c r="Y853" s="139">
        <f t="shared" si="1710"/>
        <v>0.33836858006042297</v>
      </c>
      <c r="Z853" s="139">
        <f t="shared" si="1710"/>
        <v>0</v>
      </c>
      <c r="AA853" s="139">
        <f t="shared" si="1710"/>
        <v>7.5528700906344415E-3</v>
      </c>
      <c r="AB853" s="139"/>
      <c r="AC853" s="139">
        <f t="shared" si="1538"/>
        <v>3.3232628398791542E-2</v>
      </c>
      <c r="AD853" s="139">
        <f t="shared" ref="AD853:AI853" si="1711">O853/$I853</f>
        <v>6.0422960725075529E-3</v>
      </c>
      <c r="AE853" s="139">
        <f t="shared" si="1711"/>
        <v>0</v>
      </c>
      <c r="AF853" s="139">
        <f t="shared" si="1711"/>
        <v>0</v>
      </c>
      <c r="AG853" s="139">
        <f t="shared" si="1711"/>
        <v>0</v>
      </c>
      <c r="AH853" s="139">
        <f t="shared" si="1711"/>
        <v>6.0422960725075529E-3</v>
      </c>
      <c r="AI853" s="139">
        <f t="shared" si="1711"/>
        <v>2.1148036253776436E-2</v>
      </c>
    </row>
    <row r="854" spans="2:35">
      <c r="B854" s="138" t="s">
        <v>8077</v>
      </c>
      <c r="C854" s="138" t="s">
        <v>4367</v>
      </c>
      <c r="D854" s="138" t="s">
        <v>11</v>
      </c>
      <c r="E854" s="138" t="s">
        <v>261</v>
      </c>
      <c r="F854" s="138" t="s">
        <v>836</v>
      </c>
      <c r="H854" s="138">
        <v>170</v>
      </c>
      <c r="I854" s="138">
        <v>778</v>
      </c>
      <c r="K854" s="138">
        <v>127</v>
      </c>
      <c r="L854" s="138">
        <v>617</v>
      </c>
      <c r="N854" s="138">
        <v>2</v>
      </c>
      <c r="O854" s="138">
        <v>0</v>
      </c>
      <c r="S854" s="138">
        <v>29</v>
      </c>
      <c r="T854" s="138">
        <v>3</v>
      </c>
      <c r="U854" s="138">
        <f t="shared" si="1536"/>
        <v>32</v>
      </c>
      <c r="W854" s="139">
        <f t="shared" ref="W854:AA854" si="1712">J854/$I854</f>
        <v>0</v>
      </c>
      <c r="X854" s="139">
        <f t="shared" si="1712"/>
        <v>0.16323907455012854</v>
      </c>
      <c r="Y854" s="139">
        <f t="shared" si="1712"/>
        <v>0.79305912596401029</v>
      </c>
      <c r="Z854" s="139">
        <f t="shared" si="1712"/>
        <v>0</v>
      </c>
      <c r="AA854" s="139">
        <f t="shared" si="1712"/>
        <v>2.5706940874035988E-3</v>
      </c>
      <c r="AB854" s="139"/>
      <c r="AC854" s="139">
        <f t="shared" si="1538"/>
        <v>4.1131105398457581E-2</v>
      </c>
      <c r="AD854" s="139">
        <f t="shared" ref="AD854:AI854" si="1713">O854/$I854</f>
        <v>0</v>
      </c>
      <c r="AE854" s="139">
        <f t="shared" si="1713"/>
        <v>0</v>
      </c>
      <c r="AF854" s="139">
        <f t="shared" si="1713"/>
        <v>0</v>
      </c>
      <c r="AG854" s="139">
        <f t="shared" si="1713"/>
        <v>0</v>
      </c>
      <c r="AH854" s="139">
        <f t="shared" si="1713"/>
        <v>3.7275064267352186E-2</v>
      </c>
      <c r="AI854" s="139">
        <f t="shared" si="1713"/>
        <v>3.8560411311053984E-3</v>
      </c>
    </row>
    <row r="855" spans="2:35">
      <c r="B855" s="138" t="s">
        <v>8077</v>
      </c>
      <c r="C855" s="138" t="s">
        <v>4367</v>
      </c>
      <c r="D855" s="138" t="s">
        <v>11</v>
      </c>
      <c r="E855" s="138" t="s">
        <v>261</v>
      </c>
      <c r="F855" s="138" t="s">
        <v>836</v>
      </c>
      <c r="H855" s="138">
        <v>171</v>
      </c>
      <c r="I855" s="138">
        <v>664</v>
      </c>
      <c r="K855" s="138">
        <v>85</v>
      </c>
      <c r="L855" s="138">
        <v>544</v>
      </c>
      <c r="N855" s="138">
        <v>0</v>
      </c>
      <c r="O855" s="138">
        <v>1</v>
      </c>
      <c r="S855" s="138">
        <v>28</v>
      </c>
      <c r="T855" s="138">
        <v>6</v>
      </c>
      <c r="U855" s="138">
        <f t="shared" si="1536"/>
        <v>35</v>
      </c>
      <c r="W855" s="139">
        <f t="shared" ref="W855:AA855" si="1714">J855/$I855</f>
        <v>0</v>
      </c>
      <c r="X855" s="139">
        <f t="shared" si="1714"/>
        <v>0.12801204819277109</v>
      </c>
      <c r="Y855" s="139">
        <f t="shared" si="1714"/>
        <v>0.81927710843373491</v>
      </c>
      <c r="Z855" s="139">
        <f t="shared" si="1714"/>
        <v>0</v>
      </c>
      <c r="AA855" s="139">
        <f t="shared" si="1714"/>
        <v>0</v>
      </c>
      <c r="AB855" s="139"/>
      <c r="AC855" s="139">
        <f t="shared" si="1538"/>
        <v>5.2710843373493979E-2</v>
      </c>
      <c r="AD855" s="139">
        <f t="shared" ref="AD855:AI855" si="1715">O855/$I855</f>
        <v>1.5060240963855422E-3</v>
      </c>
      <c r="AE855" s="139">
        <f t="shared" si="1715"/>
        <v>0</v>
      </c>
      <c r="AF855" s="139">
        <f t="shared" si="1715"/>
        <v>0</v>
      </c>
      <c r="AG855" s="139">
        <f t="shared" si="1715"/>
        <v>0</v>
      </c>
      <c r="AH855" s="139">
        <f t="shared" si="1715"/>
        <v>4.2168674698795178E-2</v>
      </c>
      <c r="AI855" s="139">
        <f t="shared" si="1715"/>
        <v>9.0361445783132526E-3</v>
      </c>
    </row>
    <row r="856" spans="2:35">
      <c r="B856" s="138" t="s">
        <v>8077</v>
      </c>
      <c r="C856" s="138" t="s">
        <v>4367</v>
      </c>
      <c r="D856" s="138" t="s">
        <v>11</v>
      </c>
      <c r="E856" s="138" t="s">
        <v>261</v>
      </c>
      <c r="F856" s="138" t="s">
        <v>836</v>
      </c>
      <c r="H856" s="138">
        <v>172</v>
      </c>
      <c r="I856" s="138">
        <v>796</v>
      </c>
      <c r="K856" s="138">
        <v>182</v>
      </c>
      <c r="L856" s="138">
        <v>570</v>
      </c>
      <c r="N856" s="138">
        <v>5</v>
      </c>
      <c r="O856" s="138">
        <v>1</v>
      </c>
      <c r="S856" s="138">
        <v>32</v>
      </c>
      <c r="T856" s="138">
        <v>6</v>
      </c>
      <c r="U856" s="138">
        <f t="shared" si="1536"/>
        <v>39</v>
      </c>
      <c r="W856" s="139">
        <f t="shared" ref="W856:AA856" si="1716">J856/$I856</f>
        <v>0</v>
      </c>
      <c r="X856" s="139">
        <f t="shared" si="1716"/>
        <v>0.228643216080402</v>
      </c>
      <c r="Y856" s="139">
        <f t="shared" si="1716"/>
        <v>0.7160804020100503</v>
      </c>
      <c r="Z856" s="139">
        <f t="shared" si="1716"/>
        <v>0</v>
      </c>
      <c r="AA856" s="139">
        <f t="shared" si="1716"/>
        <v>6.2814070351758797E-3</v>
      </c>
      <c r="AB856" s="139"/>
      <c r="AC856" s="139">
        <f t="shared" si="1538"/>
        <v>4.8994974874371856E-2</v>
      </c>
      <c r="AD856" s="139">
        <f t="shared" ref="AD856:AI856" si="1717">O856/$I856</f>
        <v>1.2562814070351759E-3</v>
      </c>
      <c r="AE856" s="139">
        <f t="shared" si="1717"/>
        <v>0</v>
      </c>
      <c r="AF856" s="139">
        <f t="shared" si="1717"/>
        <v>0</v>
      </c>
      <c r="AG856" s="139">
        <f t="shared" si="1717"/>
        <v>0</v>
      </c>
      <c r="AH856" s="139">
        <f t="shared" si="1717"/>
        <v>4.0201005025125629E-2</v>
      </c>
      <c r="AI856" s="139">
        <f t="shared" si="1717"/>
        <v>7.537688442211055E-3</v>
      </c>
    </row>
    <row r="857" spans="2:35">
      <c r="B857" s="138" t="s">
        <v>8077</v>
      </c>
      <c r="C857" s="138" t="s">
        <v>4367</v>
      </c>
      <c r="D857" s="138" t="s">
        <v>11</v>
      </c>
      <c r="E857" s="138" t="s">
        <v>261</v>
      </c>
      <c r="F857" s="138" t="s">
        <v>8148</v>
      </c>
      <c r="H857" s="138">
        <v>173</v>
      </c>
      <c r="I857" s="138">
        <v>720</v>
      </c>
      <c r="K857" s="138">
        <v>244</v>
      </c>
      <c r="L857" s="138">
        <v>440</v>
      </c>
      <c r="N857" s="138">
        <v>2</v>
      </c>
      <c r="O857" s="138">
        <v>2</v>
      </c>
      <c r="S857" s="138">
        <v>25</v>
      </c>
      <c r="T857" s="138">
        <v>7</v>
      </c>
      <c r="U857" s="138">
        <f t="shared" si="1536"/>
        <v>34</v>
      </c>
      <c r="W857" s="139">
        <f t="shared" ref="W857:AA857" si="1718">J857/$I857</f>
        <v>0</v>
      </c>
      <c r="X857" s="139">
        <f t="shared" si="1718"/>
        <v>0.33888888888888891</v>
      </c>
      <c r="Y857" s="139">
        <f t="shared" si="1718"/>
        <v>0.61111111111111116</v>
      </c>
      <c r="Z857" s="139">
        <f t="shared" si="1718"/>
        <v>0</v>
      </c>
      <c r="AA857" s="139">
        <f t="shared" si="1718"/>
        <v>2.7777777777777779E-3</v>
      </c>
      <c r="AB857" s="139"/>
      <c r="AC857" s="139">
        <f t="shared" si="1538"/>
        <v>4.7222222222222221E-2</v>
      </c>
      <c r="AD857" s="139">
        <f t="shared" ref="AD857:AI857" si="1719">O857/$I857</f>
        <v>2.7777777777777779E-3</v>
      </c>
      <c r="AE857" s="139">
        <f t="shared" si="1719"/>
        <v>0</v>
      </c>
      <c r="AF857" s="139">
        <f t="shared" si="1719"/>
        <v>0</v>
      </c>
      <c r="AG857" s="139">
        <f t="shared" si="1719"/>
        <v>0</v>
      </c>
      <c r="AH857" s="139">
        <f t="shared" si="1719"/>
        <v>3.4722222222222224E-2</v>
      </c>
      <c r="AI857" s="139">
        <f t="shared" si="1719"/>
        <v>9.7222222222222224E-3</v>
      </c>
    </row>
    <row r="858" spans="2:35">
      <c r="B858" s="138" t="s">
        <v>8077</v>
      </c>
      <c r="C858" s="138" t="s">
        <v>4367</v>
      </c>
      <c r="D858" s="138" t="s">
        <v>11</v>
      </c>
      <c r="E858" s="138" t="s">
        <v>261</v>
      </c>
      <c r="F858" s="138" t="s">
        <v>8148</v>
      </c>
      <c r="H858" s="138">
        <v>174</v>
      </c>
      <c r="I858" s="138">
        <v>862</v>
      </c>
      <c r="K858" s="138">
        <v>214</v>
      </c>
      <c r="L858" s="138">
        <v>600</v>
      </c>
      <c r="N858" s="138">
        <v>4</v>
      </c>
      <c r="O858" s="138">
        <v>1</v>
      </c>
      <c r="S858" s="138">
        <v>38</v>
      </c>
      <c r="T858" s="138">
        <v>5</v>
      </c>
      <c r="U858" s="138">
        <f t="shared" si="1536"/>
        <v>44</v>
      </c>
      <c r="W858" s="139">
        <f t="shared" ref="W858:AA858" si="1720">J858/$I858</f>
        <v>0</v>
      </c>
      <c r="X858" s="139">
        <f t="shared" si="1720"/>
        <v>0.24825986078886311</v>
      </c>
      <c r="Y858" s="139">
        <f t="shared" si="1720"/>
        <v>0.69605568445475641</v>
      </c>
      <c r="Z858" s="139">
        <f t="shared" si="1720"/>
        <v>0</v>
      </c>
      <c r="AA858" s="139">
        <f t="shared" si="1720"/>
        <v>4.6403712296983757E-3</v>
      </c>
      <c r="AB858" s="139"/>
      <c r="AC858" s="139">
        <f t="shared" si="1538"/>
        <v>5.1044083526682132E-2</v>
      </c>
      <c r="AD858" s="139">
        <f t="shared" ref="AD858:AI858" si="1721">O858/$I858</f>
        <v>1.1600928074245939E-3</v>
      </c>
      <c r="AE858" s="139">
        <f t="shared" si="1721"/>
        <v>0</v>
      </c>
      <c r="AF858" s="139">
        <f t="shared" si="1721"/>
        <v>0</v>
      </c>
      <c r="AG858" s="139">
        <f t="shared" si="1721"/>
        <v>0</v>
      </c>
      <c r="AH858" s="139">
        <f t="shared" si="1721"/>
        <v>4.4083526682134569E-2</v>
      </c>
      <c r="AI858" s="139">
        <f t="shared" si="1721"/>
        <v>5.8004640371229696E-3</v>
      </c>
    </row>
    <row r="859" spans="2:35">
      <c r="B859" s="138" t="s">
        <v>8077</v>
      </c>
      <c r="C859" s="138" t="s">
        <v>4367</v>
      </c>
      <c r="D859" s="138" t="s">
        <v>11</v>
      </c>
      <c r="E859" s="138" t="s">
        <v>261</v>
      </c>
      <c r="F859" s="138" t="s">
        <v>8148</v>
      </c>
      <c r="H859" s="138">
        <v>175</v>
      </c>
      <c r="I859" s="138">
        <v>594</v>
      </c>
      <c r="K859" s="138">
        <v>190</v>
      </c>
      <c r="L859" s="138">
        <v>386</v>
      </c>
      <c r="N859" s="138">
        <v>8</v>
      </c>
      <c r="O859" s="138">
        <v>0</v>
      </c>
      <c r="S859" s="138">
        <v>6</v>
      </c>
      <c r="T859" s="138">
        <v>4</v>
      </c>
      <c r="U859" s="138">
        <f t="shared" si="1536"/>
        <v>10</v>
      </c>
      <c r="W859" s="139">
        <f t="shared" ref="W859:AA859" si="1722">J859/$I859</f>
        <v>0</v>
      </c>
      <c r="X859" s="139">
        <f t="shared" si="1722"/>
        <v>0.31986531986531985</v>
      </c>
      <c r="Y859" s="139">
        <f t="shared" si="1722"/>
        <v>0.64983164983164987</v>
      </c>
      <c r="Z859" s="139">
        <f t="shared" si="1722"/>
        <v>0</v>
      </c>
      <c r="AA859" s="139">
        <f t="shared" si="1722"/>
        <v>1.3468013468013467E-2</v>
      </c>
      <c r="AB859" s="139"/>
      <c r="AC859" s="139">
        <f t="shared" si="1538"/>
        <v>1.6835016835016835E-2</v>
      </c>
      <c r="AD859" s="139">
        <f t="shared" ref="AD859:AI859" si="1723">O859/$I859</f>
        <v>0</v>
      </c>
      <c r="AE859" s="139">
        <f t="shared" si="1723"/>
        <v>0</v>
      </c>
      <c r="AF859" s="139">
        <f t="shared" si="1723"/>
        <v>0</v>
      </c>
      <c r="AG859" s="139">
        <f t="shared" si="1723"/>
        <v>0</v>
      </c>
      <c r="AH859" s="139">
        <f t="shared" si="1723"/>
        <v>1.0101010101010102E-2</v>
      </c>
      <c r="AI859" s="139">
        <f t="shared" si="1723"/>
        <v>6.7340067340067337E-3</v>
      </c>
    </row>
    <row r="860" spans="2:35">
      <c r="B860" s="138" t="s">
        <v>8077</v>
      </c>
      <c r="C860" s="138" t="s">
        <v>4367</v>
      </c>
      <c r="D860" s="138" t="s">
        <v>11</v>
      </c>
      <c r="E860" s="138" t="s">
        <v>261</v>
      </c>
      <c r="F860" s="138" t="s">
        <v>8149</v>
      </c>
      <c r="H860" s="138">
        <v>176</v>
      </c>
      <c r="I860" s="138">
        <v>871</v>
      </c>
      <c r="K860" s="138">
        <v>185</v>
      </c>
      <c r="L860" s="138">
        <v>647</v>
      </c>
      <c r="N860" s="138">
        <v>7</v>
      </c>
      <c r="O860" s="138">
        <v>0</v>
      </c>
      <c r="S860" s="138">
        <v>25</v>
      </c>
      <c r="T860" s="138">
        <v>7</v>
      </c>
      <c r="U860" s="138">
        <f t="shared" si="1536"/>
        <v>32</v>
      </c>
      <c r="W860" s="139">
        <f t="shared" ref="W860:AA860" si="1724">J860/$I860</f>
        <v>0</v>
      </c>
      <c r="X860" s="139">
        <f t="shared" si="1724"/>
        <v>0.21239954075774972</v>
      </c>
      <c r="Y860" s="139">
        <f t="shared" si="1724"/>
        <v>0.74282433983926521</v>
      </c>
      <c r="Z860" s="139">
        <f t="shared" si="1724"/>
        <v>0</v>
      </c>
      <c r="AA860" s="139">
        <f t="shared" si="1724"/>
        <v>8.0367393800229621E-3</v>
      </c>
      <c r="AB860" s="139"/>
      <c r="AC860" s="139">
        <f t="shared" si="1538"/>
        <v>3.6739380022962113E-2</v>
      </c>
      <c r="AD860" s="139">
        <f t="shared" ref="AD860:AI860" si="1725">O860/$I860</f>
        <v>0</v>
      </c>
      <c r="AE860" s="139">
        <f t="shared" si="1725"/>
        <v>0</v>
      </c>
      <c r="AF860" s="139">
        <f t="shared" si="1725"/>
        <v>0</v>
      </c>
      <c r="AG860" s="139">
        <f t="shared" si="1725"/>
        <v>0</v>
      </c>
      <c r="AH860" s="139">
        <f t="shared" si="1725"/>
        <v>2.8702640642939151E-2</v>
      </c>
      <c r="AI860" s="139">
        <f t="shared" si="1725"/>
        <v>8.0367393800229621E-3</v>
      </c>
    </row>
    <row r="861" spans="2:35">
      <c r="B861" s="138" t="s">
        <v>8077</v>
      </c>
      <c r="C861" s="138" t="s">
        <v>4367</v>
      </c>
      <c r="D861" s="138" t="s">
        <v>11</v>
      </c>
      <c r="E861" s="138" t="s">
        <v>261</v>
      </c>
      <c r="F861" s="138" t="s">
        <v>8149</v>
      </c>
      <c r="H861" s="138">
        <v>177</v>
      </c>
      <c r="I861" s="138">
        <v>864</v>
      </c>
      <c r="K861" s="138">
        <v>248</v>
      </c>
      <c r="L861" s="138">
        <v>577</v>
      </c>
      <c r="N861" s="138">
        <v>5</v>
      </c>
      <c r="O861" s="138">
        <v>0</v>
      </c>
      <c r="S861" s="138">
        <v>22</v>
      </c>
      <c r="T861" s="138">
        <v>12</v>
      </c>
      <c r="U861" s="138">
        <f t="shared" si="1536"/>
        <v>34</v>
      </c>
      <c r="W861" s="139">
        <f t="shared" ref="W861:AA861" si="1726">J861/$I861</f>
        <v>0</v>
      </c>
      <c r="X861" s="139">
        <f t="shared" si="1726"/>
        <v>0.28703703703703703</v>
      </c>
      <c r="Y861" s="139">
        <f t="shared" si="1726"/>
        <v>0.66782407407407407</v>
      </c>
      <c r="Z861" s="139">
        <f t="shared" si="1726"/>
        <v>0</v>
      </c>
      <c r="AA861" s="139">
        <f t="shared" si="1726"/>
        <v>5.7870370370370367E-3</v>
      </c>
      <c r="AB861" s="139"/>
      <c r="AC861" s="139">
        <f t="shared" si="1538"/>
        <v>3.9351851851851853E-2</v>
      </c>
      <c r="AD861" s="139">
        <f t="shared" ref="AD861:AI861" si="1727">O861/$I861</f>
        <v>0</v>
      </c>
      <c r="AE861" s="139">
        <f t="shared" si="1727"/>
        <v>0</v>
      </c>
      <c r="AF861" s="139">
        <f t="shared" si="1727"/>
        <v>0</v>
      </c>
      <c r="AG861" s="139">
        <f t="shared" si="1727"/>
        <v>0</v>
      </c>
      <c r="AH861" s="139">
        <f t="shared" si="1727"/>
        <v>2.5462962962962962E-2</v>
      </c>
      <c r="AI861" s="139">
        <f t="shared" si="1727"/>
        <v>1.3888888888888888E-2</v>
      </c>
    </row>
    <row r="862" spans="2:35">
      <c r="B862" s="138" t="s">
        <v>8077</v>
      </c>
      <c r="C862" s="138" t="s">
        <v>4367</v>
      </c>
      <c r="D862" s="138" t="s">
        <v>11</v>
      </c>
      <c r="E862" s="138" t="s">
        <v>261</v>
      </c>
      <c r="F862" s="138" t="s">
        <v>8149</v>
      </c>
      <c r="H862" s="138">
        <v>178</v>
      </c>
      <c r="I862" s="138">
        <v>696</v>
      </c>
      <c r="K862" s="138">
        <v>206</v>
      </c>
      <c r="L862" s="138">
        <v>465</v>
      </c>
      <c r="N862" s="138">
        <v>7</v>
      </c>
      <c r="O862" s="138">
        <v>1</v>
      </c>
      <c r="S862" s="138">
        <v>14</v>
      </c>
      <c r="T862" s="138">
        <v>3</v>
      </c>
      <c r="U862" s="138">
        <f t="shared" si="1536"/>
        <v>18</v>
      </c>
      <c r="W862" s="139">
        <f t="shared" ref="W862:AA862" si="1728">J862/$I862</f>
        <v>0</v>
      </c>
      <c r="X862" s="139">
        <f t="shared" si="1728"/>
        <v>0.29597701149425287</v>
      </c>
      <c r="Y862" s="139">
        <f t="shared" si="1728"/>
        <v>0.6681034482758621</v>
      </c>
      <c r="Z862" s="139">
        <f t="shared" si="1728"/>
        <v>0</v>
      </c>
      <c r="AA862" s="139">
        <f t="shared" si="1728"/>
        <v>1.0057471264367816E-2</v>
      </c>
      <c r="AB862" s="139"/>
      <c r="AC862" s="139">
        <f t="shared" si="1538"/>
        <v>2.5862068965517241E-2</v>
      </c>
      <c r="AD862" s="139">
        <f t="shared" ref="AD862:AI862" si="1729">O862/$I862</f>
        <v>1.4367816091954023E-3</v>
      </c>
      <c r="AE862" s="139">
        <f t="shared" si="1729"/>
        <v>0</v>
      </c>
      <c r="AF862" s="139">
        <f t="shared" si="1729"/>
        <v>0</v>
      </c>
      <c r="AG862" s="139">
        <f t="shared" si="1729"/>
        <v>0</v>
      </c>
      <c r="AH862" s="139">
        <f t="shared" si="1729"/>
        <v>2.0114942528735632E-2</v>
      </c>
      <c r="AI862" s="139">
        <f t="shared" si="1729"/>
        <v>4.3103448275862068E-3</v>
      </c>
    </row>
    <row r="863" spans="2:35">
      <c r="B863" s="138" t="s">
        <v>8077</v>
      </c>
      <c r="C863" s="138" t="s">
        <v>4367</v>
      </c>
      <c r="D863" s="138" t="s">
        <v>11</v>
      </c>
      <c r="E863" s="138" t="s">
        <v>261</v>
      </c>
      <c r="F863" s="138" t="s">
        <v>8149</v>
      </c>
      <c r="H863" s="138">
        <v>179</v>
      </c>
      <c r="I863" s="138">
        <v>650</v>
      </c>
      <c r="K863" s="138">
        <v>192</v>
      </c>
      <c r="L863" s="138">
        <v>439</v>
      </c>
      <c r="N863" s="138">
        <v>2</v>
      </c>
      <c r="O863" s="138">
        <v>0</v>
      </c>
      <c r="S863" s="138">
        <v>14</v>
      </c>
      <c r="T863" s="138">
        <v>3</v>
      </c>
      <c r="U863" s="138">
        <f t="shared" si="1536"/>
        <v>17</v>
      </c>
      <c r="W863" s="139">
        <f t="shared" ref="W863:AA863" si="1730">J863/$I863</f>
        <v>0</v>
      </c>
      <c r="X863" s="139">
        <f t="shared" si="1730"/>
        <v>0.29538461538461541</v>
      </c>
      <c r="Y863" s="139">
        <f t="shared" si="1730"/>
        <v>0.67538461538461536</v>
      </c>
      <c r="Z863" s="139">
        <f t="shared" si="1730"/>
        <v>0</v>
      </c>
      <c r="AA863" s="139">
        <f t="shared" si="1730"/>
        <v>3.0769230769230769E-3</v>
      </c>
      <c r="AB863" s="139"/>
      <c r="AC863" s="139">
        <f t="shared" si="1538"/>
        <v>2.6153846153846153E-2</v>
      </c>
      <c r="AD863" s="139">
        <f t="shared" ref="AD863:AI863" si="1731">O863/$I863</f>
        <v>0</v>
      </c>
      <c r="AE863" s="139">
        <f t="shared" si="1731"/>
        <v>0</v>
      </c>
      <c r="AF863" s="139">
        <f t="shared" si="1731"/>
        <v>0</v>
      </c>
      <c r="AG863" s="139">
        <f t="shared" si="1731"/>
        <v>0</v>
      </c>
      <c r="AH863" s="139">
        <f t="shared" si="1731"/>
        <v>2.1538461538461538E-2</v>
      </c>
      <c r="AI863" s="139">
        <f t="shared" si="1731"/>
        <v>4.6153846153846158E-3</v>
      </c>
    </row>
    <row r="864" spans="2:35">
      <c r="B864" s="138" t="s">
        <v>8077</v>
      </c>
      <c r="C864" s="138" t="s">
        <v>4367</v>
      </c>
      <c r="D864" s="138" t="s">
        <v>11</v>
      </c>
      <c r="E864" s="138" t="s">
        <v>261</v>
      </c>
      <c r="F864" s="138" t="s">
        <v>8149</v>
      </c>
      <c r="H864" s="138">
        <v>180</v>
      </c>
      <c r="I864" s="138">
        <v>569</v>
      </c>
      <c r="K864" s="138">
        <v>211</v>
      </c>
      <c r="L864" s="138">
        <v>343</v>
      </c>
      <c r="N864" s="138">
        <v>6</v>
      </c>
      <c r="O864" s="138">
        <v>2</v>
      </c>
      <c r="S864" s="138">
        <v>6</v>
      </c>
      <c r="T864" s="138">
        <v>1</v>
      </c>
      <c r="U864" s="138">
        <f t="shared" si="1536"/>
        <v>9</v>
      </c>
      <c r="W864" s="139">
        <f t="shared" ref="W864:AA864" si="1732">J864/$I864</f>
        <v>0</v>
      </c>
      <c r="X864" s="139">
        <f t="shared" si="1732"/>
        <v>0.37082601054481545</v>
      </c>
      <c r="Y864" s="139">
        <f t="shared" si="1732"/>
        <v>0.60281195079086114</v>
      </c>
      <c r="Z864" s="139">
        <f t="shared" si="1732"/>
        <v>0</v>
      </c>
      <c r="AA864" s="139">
        <f t="shared" si="1732"/>
        <v>1.054481546572935E-2</v>
      </c>
      <c r="AB864" s="139"/>
      <c r="AC864" s="139">
        <f t="shared" si="1538"/>
        <v>1.5817223198594025E-2</v>
      </c>
      <c r="AD864" s="139">
        <f t="shared" ref="AD864:AI864" si="1733">O864/$I864</f>
        <v>3.5149384885764497E-3</v>
      </c>
      <c r="AE864" s="139">
        <f t="shared" si="1733"/>
        <v>0</v>
      </c>
      <c r="AF864" s="139">
        <f t="shared" si="1733"/>
        <v>0</v>
      </c>
      <c r="AG864" s="139">
        <f t="shared" si="1733"/>
        <v>0</v>
      </c>
      <c r="AH864" s="139">
        <f t="shared" si="1733"/>
        <v>1.054481546572935E-2</v>
      </c>
      <c r="AI864" s="139">
        <f t="shared" si="1733"/>
        <v>1.7574692442882249E-3</v>
      </c>
    </row>
    <row r="865" spans="2:35">
      <c r="B865" s="138" t="s">
        <v>8077</v>
      </c>
      <c r="C865" s="138" t="s">
        <v>4367</v>
      </c>
      <c r="D865" s="138" t="s">
        <v>11</v>
      </c>
      <c r="E865" s="138" t="s">
        <v>261</v>
      </c>
      <c r="F865" s="138" t="s">
        <v>8149</v>
      </c>
      <c r="H865" s="138">
        <v>181</v>
      </c>
      <c r="I865" s="138">
        <v>670</v>
      </c>
      <c r="K865" s="138">
        <v>265</v>
      </c>
      <c r="L865" s="138">
        <v>369</v>
      </c>
      <c r="N865" s="138">
        <v>12</v>
      </c>
      <c r="O865" s="138">
        <v>0</v>
      </c>
      <c r="S865" s="138">
        <v>14</v>
      </c>
      <c r="T865" s="138">
        <v>10</v>
      </c>
      <c r="U865" s="138">
        <f t="shared" si="1536"/>
        <v>24</v>
      </c>
      <c r="W865" s="139">
        <f t="shared" ref="W865:AA865" si="1734">J865/$I865</f>
        <v>0</v>
      </c>
      <c r="X865" s="139">
        <f t="shared" si="1734"/>
        <v>0.39552238805970147</v>
      </c>
      <c r="Y865" s="139">
        <f t="shared" si="1734"/>
        <v>0.55074626865671639</v>
      </c>
      <c r="Z865" s="139">
        <f t="shared" si="1734"/>
        <v>0</v>
      </c>
      <c r="AA865" s="139">
        <f t="shared" si="1734"/>
        <v>1.7910447761194031E-2</v>
      </c>
      <c r="AB865" s="139"/>
      <c r="AC865" s="139">
        <f t="shared" si="1538"/>
        <v>3.5820895522388062E-2</v>
      </c>
      <c r="AD865" s="139">
        <f t="shared" ref="AD865:AI865" si="1735">O865/$I865</f>
        <v>0</v>
      </c>
      <c r="AE865" s="139">
        <f t="shared" si="1735"/>
        <v>0</v>
      </c>
      <c r="AF865" s="139">
        <f t="shared" si="1735"/>
        <v>0</v>
      </c>
      <c r="AG865" s="139">
        <f t="shared" si="1735"/>
        <v>0</v>
      </c>
      <c r="AH865" s="139">
        <f t="shared" si="1735"/>
        <v>2.0895522388059702E-2</v>
      </c>
      <c r="AI865" s="139">
        <f t="shared" si="1735"/>
        <v>1.4925373134328358E-2</v>
      </c>
    </row>
    <row r="866" spans="2:35">
      <c r="B866" s="138" t="s">
        <v>8077</v>
      </c>
      <c r="C866" s="138" t="s">
        <v>4367</v>
      </c>
      <c r="D866" s="138" t="s">
        <v>11</v>
      </c>
      <c r="E866" s="138" t="s">
        <v>261</v>
      </c>
      <c r="F866" s="138" t="s">
        <v>8149</v>
      </c>
      <c r="H866" s="138">
        <v>182</v>
      </c>
      <c r="I866" s="138">
        <v>621</v>
      </c>
      <c r="K866" s="138">
        <v>214</v>
      </c>
      <c r="L866" s="138">
        <v>375</v>
      </c>
      <c r="N866" s="138">
        <v>10</v>
      </c>
      <c r="O866" s="138">
        <v>2</v>
      </c>
      <c r="S866" s="138">
        <v>13</v>
      </c>
      <c r="T866" s="138">
        <v>7</v>
      </c>
      <c r="U866" s="138">
        <f t="shared" si="1536"/>
        <v>22</v>
      </c>
      <c r="W866" s="139">
        <f t="shared" ref="W866:AA866" si="1736">J866/$I866</f>
        <v>0</v>
      </c>
      <c r="X866" s="139">
        <f t="shared" si="1736"/>
        <v>0.34460547504025762</v>
      </c>
      <c r="Y866" s="139">
        <f t="shared" si="1736"/>
        <v>0.60386473429951693</v>
      </c>
      <c r="Z866" s="139">
        <f t="shared" si="1736"/>
        <v>0</v>
      </c>
      <c r="AA866" s="139">
        <f t="shared" si="1736"/>
        <v>1.610305958132045E-2</v>
      </c>
      <c r="AB866" s="139"/>
      <c r="AC866" s="139">
        <f t="shared" si="1538"/>
        <v>3.542673107890499E-2</v>
      </c>
      <c r="AD866" s="139">
        <f t="shared" ref="AD866:AI866" si="1737">O866/$I866</f>
        <v>3.2206119162640902E-3</v>
      </c>
      <c r="AE866" s="139">
        <f t="shared" si="1737"/>
        <v>0</v>
      </c>
      <c r="AF866" s="139">
        <f t="shared" si="1737"/>
        <v>0</v>
      </c>
      <c r="AG866" s="139">
        <f t="shared" si="1737"/>
        <v>0</v>
      </c>
      <c r="AH866" s="139">
        <f t="shared" si="1737"/>
        <v>2.0933977455716585E-2</v>
      </c>
      <c r="AI866" s="139">
        <f t="shared" si="1737"/>
        <v>1.1272141706924315E-2</v>
      </c>
    </row>
    <row r="867" spans="2:35">
      <c r="B867" s="138" t="s">
        <v>8077</v>
      </c>
      <c r="C867" s="138" t="s">
        <v>4367</v>
      </c>
      <c r="D867" s="138" t="s">
        <v>11</v>
      </c>
      <c r="E867" s="138" t="s">
        <v>261</v>
      </c>
      <c r="F867" s="138" t="s">
        <v>8149</v>
      </c>
      <c r="H867" s="138">
        <v>183</v>
      </c>
      <c r="I867" s="138">
        <v>552</v>
      </c>
      <c r="K867" s="138">
        <v>160</v>
      </c>
      <c r="L867" s="138">
        <v>376</v>
      </c>
      <c r="N867" s="138">
        <v>7</v>
      </c>
      <c r="O867" s="138">
        <v>0</v>
      </c>
      <c r="S867" s="138">
        <v>8</v>
      </c>
      <c r="T867" s="138">
        <v>1</v>
      </c>
      <c r="U867" s="138">
        <f t="shared" si="1536"/>
        <v>9</v>
      </c>
      <c r="W867" s="139">
        <f t="shared" ref="W867:AA867" si="1738">J867/$I867</f>
        <v>0</v>
      </c>
      <c r="X867" s="139">
        <f t="shared" si="1738"/>
        <v>0.28985507246376813</v>
      </c>
      <c r="Y867" s="139">
        <f t="shared" si="1738"/>
        <v>0.6811594202898551</v>
      </c>
      <c r="Z867" s="139">
        <f t="shared" si="1738"/>
        <v>0</v>
      </c>
      <c r="AA867" s="139">
        <f t="shared" si="1738"/>
        <v>1.2681159420289856E-2</v>
      </c>
      <c r="AB867" s="139"/>
      <c r="AC867" s="139">
        <f t="shared" si="1538"/>
        <v>1.6304347826086956E-2</v>
      </c>
      <c r="AD867" s="139">
        <f t="shared" ref="AD867:AI867" si="1739">O867/$I867</f>
        <v>0</v>
      </c>
      <c r="AE867" s="139">
        <f t="shared" si="1739"/>
        <v>0</v>
      </c>
      <c r="AF867" s="139">
        <f t="shared" si="1739"/>
        <v>0</v>
      </c>
      <c r="AG867" s="139">
        <f t="shared" si="1739"/>
        <v>0</v>
      </c>
      <c r="AH867" s="139">
        <f t="shared" si="1739"/>
        <v>1.4492753623188406E-2</v>
      </c>
      <c r="AI867" s="139">
        <f t="shared" si="1739"/>
        <v>1.8115942028985507E-3</v>
      </c>
    </row>
    <row r="868" spans="2:35">
      <c r="B868" s="138" t="s">
        <v>8077</v>
      </c>
      <c r="C868" s="138" t="s">
        <v>4367</v>
      </c>
      <c r="D868" s="138" t="s">
        <v>11</v>
      </c>
      <c r="E868" s="138" t="s">
        <v>261</v>
      </c>
      <c r="F868" s="138" t="s">
        <v>8149</v>
      </c>
      <c r="H868" s="138">
        <v>184</v>
      </c>
      <c r="I868" s="138">
        <v>710</v>
      </c>
      <c r="K868" s="138">
        <v>212</v>
      </c>
      <c r="L868" s="138">
        <v>468</v>
      </c>
      <c r="N868" s="138">
        <v>6</v>
      </c>
      <c r="O868" s="138">
        <v>1</v>
      </c>
      <c r="S868" s="138">
        <v>20</v>
      </c>
      <c r="T868" s="138">
        <v>3</v>
      </c>
      <c r="U868" s="138">
        <f t="shared" si="1536"/>
        <v>24</v>
      </c>
      <c r="W868" s="139">
        <f t="shared" ref="W868:AA868" si="1740">J868/$I868</f>
        <v>0</v>
      </c>
      <c r="X868" s="139">
        <f t="shared" si="1740"/>
        <v>0.29859154929577464</v>
      </c>
      <c r="Y868" s="139">
        <f t="shared" si="1740"/>
        <v>0.6591549295774648</v>
      </c>
      <c r="Z868" s="139">
        <f t="shared" si="1740"/>
        <v>0</v>
      </c>
      <c r="AA868" s="139">
        <f t="shared" si="1740"/>
        <v>8.4507042253521118E-3</v>
      </c>
      <c r="AB868" s="139"/>
      <c r="AC868" s="139">
        <f t="shared" si="1538"/>
        <v>3.3802816901408447E-2</v>
      </c>
      <c r="AD868" s="139">
        <f t="shared" ref="AD868:AI868" si="1741">O868/$I868</f>
        <v>1.4084507042253522E-3</v>
      </c>
      <c r="AE868" s="139">
        <f t="shared" si="1741"/>
        <v>0</v>
      </c>
      <c r="AF868" s="139">
        <f t="shared" si="1741"/>
        <v>0</v>
      </c>
      <c r="AG868" s="139">
        <f t="shared" si="1741"/>
        <v>0</v>
      </c>
      <c r="AH868" s="139">
        <f t="shared" si="1741"/>
        <v>2.8169014084507043E-2</v>
      </c>
      <c r="AI868" s="139">
        <f t="shared" si="1741"/>
        <v>4.2253521126760559E-3</v>
      </c>
    </row>
    <row r="869" spans="2:35">
      <c r="B869" s="138" t="s">
        <v>8077</v>
      </c>
      <c r="C869" s="138" t="s">
        <v>4367</v>
      </c>
      <c r="D869" s="138" t="s">
        <v>11</v>
      </c>
      <c r="E869" s="138" t="s">
        <v>261</v>
      </c>
      <c r="F869" s="138" t="s">
        <v>8149</v>
      </c>
      <c r="H869" s="138">
        <v>185</v>
      </c>
      <c r="I869" s="138">
        <v>552</v>
      </c>
      <c r="K869" s="138">
        <v>124</v>
      </c>
      <c r="L869" s="138">
        <v>409</v>
      </c>
      <c r="N869" s="138">
        <v>3</v>
      </c>
      <c r="O869" s="138">
        <v>0</v>
      </c>
      <c r="S869" s="138">
        <v>10</v>
      </c>
      <c r="T869" s="138">
        <v>6</v>
      </c>
      <c r="U869" s="138">
        <f t="shared" si="1536"/>
        <v>16</v>
      </c>
      <c r="W869" s="139">
        <f t="shared" ref="W869:AA869" si="1742">J869/$I869</f>
        <v>0</v>
      </c>
      <c r="X869" s="139">
        <f t="shared" si="1742"/>
        <v>0.22463768115942029</v>
      </c>
      <c r="Y869" s="139">
        <f t="shared" si="1742"/>
        <v>0.74094202898550721</v>
      </c>
      <c r="Z869" s="139">
        <f t="shared" si="1742"/>
        <v>0</v>
      </c>
      <c r="AA869" s="139">
        <f t="shared" si="1742"/>
        <v>5.434782608695652E-3</v>
      </c>
      <c r="AB869" s="139"/>
      <c r="AC869" s="139">
        <f t="shared" si="1538"/>
        <v>2.8985507246376812E-2</v>
      </c>
      <c r="AD869" s="139">
        <f t="shared" ref="AD869:AI869" si="1743">O869/$I869</f>
        <v>0</v>
      </c>
      <c r="AE869" s="139">
        <f t="shared" si="1743"/>
        <v>0</v>
      </c>
      <c r="AF869" s="139">
        <f t="shared" si="1743"/>
        <v>0</v>
      </c>
      <c r="AG869" s="139">
        <f t="shared" si="1743"/>
        <v>0</v>
      </c>
      <c r="AH869" s="139">
        <f t="shared" si="1743"/>
        <v>1.8115942028985508E-2</v>
      </c>
      <c r="AI869" s="139">
        <f t="shared" si="1743"/>
        <v>1.0869565217391304E-2</v>
      </c>
    </row>
    <row r="870" spans="2:35">
      <c r="B870" s="138" t="s">
        <v>8077</v>
      </c>
      <c r="C870" s="138" t="s">
        <v>4367</v>
      </c>
      <c r="D870" s="138" t="s">
        <v>11</v>
      </c>
      <c r="E870" s="138" t="s">
        <v>261</v>
      </c>
      <c r="F870" s="138" t="s">
        <v>8149</v>
      </c>
      <c r="H870" s="138">
        <v>186</v>
      </c>
      <c r="I870" s="138">
        <v>616</v>
      </c>
      <c r="K870" s="138">
        <v>197</v>
      </c>
      <c r="L870" s="138">
        <v>397</v>
      </c>
      <c r="N870" s="138">
        <v>7</v>
      </c>
      <c r="O870" s="138">
        <v>1</v>
      </c>
      <c r="S870" s="138">
        <v>10</v>
      </c>
      <c r="T870" s="138">
        <v>4</v>
      </c>
      <c r="U870" s="138">
        <f t="shared" si="1536"/>
        <v>15</v>
      </c>
      <c r="W870" s="139">
        <f t="shared" ref="W870:AA870" si="1744">J870/$I870</f>
        <v>0</v>
      </c>
      <c r="X870" s="139">
        <f t="shared" si="1744"/>
        <v>0.31980519480519481</v>
      </c>
      <c r="Y870" s="139">
        <f t="shared" si="1744"/>
        <v>0.64448051948051943</v>
      </c>
      <c r="Z870" s="139">
        <f t="shared" si="1744"/>
        <v>0</v>
      </c>
      <c r="AA870" s="139">
        <f t="shared" si="1744"/>
        <v>1.1363636363636364E-2</v>
      </c>
      <c r="AB870" s="139"/>
      <c r="AC870" s="139">
        <f t="shared" si="1538"/>
        <v>2.4350649350649352E-2</v>
      </c>
      <c r="AD870" s="139">
        <f t="shared" ref="AD870:AI870" si="1745">O870/$I870</f>
        <v>1.6233766233766235E-3</v>
      </c>
      <c r="AE870" s="139">
        <f t="shared" si="1745"/>
        <v>0</v>
      </c>
      <c r="AF870" s="139">
        <f t="shared" si="1745"/>
        <v>0</v>
      </c>
      <c r="AG870" s="139">
        <f t="shared" si="1745"/>
        <v>0</v>
      </c>
      <c r="AH870" s="139">
        <f t="shared" si="1745"/>
        <v>1.6233766233766232E-2</v>
      </c>
      <c r="AI870" s="139">
        <f t="shared" si="1745"/>
        <v>6.4935064935064939E-3</v>
      </c>
    </row>
    <row r="871" spans="2:35">
      <c r="B871" s="138" t="s">
        <v>8077</v>
      </c>
      <c r="C871" s="138" t="s">
        <v>4367</v>
      </c>
      <c r="D871" s="138" t="s">
        <v>11</v>
      </c>
      <c r="E871" s="138" t="s">
        <v>261</v>
      </c>
      <c r="F871" s="138" t="s">
        <v>8149</v>
      </c>
      <c r="H871" s="138">
        <v>187</v>
      </c>
      <c r="I871" s="138">
        <v>826</v>
      </c>
      <c r="K871" s="138">
        <v>281</v>
      </c>
      <c r="L871" s="138">
        <v>504</v>
      </c>
      <c r="N871" s="138">
        <v>10</v>
      </c>
      <c r="O871" s="138">
        <v>1</v>
      </c>
      <c r="S871" s="138">
        <v>21</v>
      </c>
      <c r="T871" s="138">
        <v>9</v>
      </c>
      <c r="U871" s="138">
        <f t="shared" si="1536"/>
        <v>31</v>
      </c>
      <c r="W871" s="139">
        <f t="shared" ref="W871:AA871" si="1746">J871/$I871</f>
        <v>0</v>
      </c>
      <c r="X871" s="139">
        <f t="shared" si="1746"/>
        <v>0.34019370460048426</v>
      </c>
      <c r="Y871" s="139">
        <f t="shared" si="1746"/>
        <v>0.61016949152542377</v>
      </c>
      <c r="Z871" s="139">
        <f t="shared" si="1746"/>
        <v>0</v>
      </c>
      <c r="AA871" s="139">
        <f t="shared" si="1746"/>
        <v>1.2106537530266344E-2</v>
      </c>
      <c r="AB871" s="139"/>
      <c r="AC871" s="139">
        <f t="shared" si="1538"/>
        <v>3.7530266343825669E-2</v>
      </c>
      <c r="AD871" s="139">
        <f t="shared" ref="AD871:AI871" si="1747">O871/$I871</f>
        <v>1.2106537530266344E-3</v>
      </c>
      <c r="AE871" s="139">
        <f t="shared" si="1747"/>
        <v>0</v>
      </c>
      <c r="AF871" s="139">
        <f t="shared" si="1747"/>
        <v>0</v>
      </c>
      <c r="AG871" s="139">
        <f t="shared" si="1747"/>
        <v>0</v>
      </c>
      <c r="AH871" s="139">
        <f t="shared" si="1747"/>
        <v>2.5423728813559324E-2</v>
      </c>
      <c r="AI871" s="139">
        <f t="shared" si="1747"/>
        <v>1.0895883777239709E-2</v>
      </c>
    </row>
    <row r="872" spans="2:35">
      <c r="B872" s="138" t="s">
        <v>8077</v>
      </c>
      <c r="C872" s="138" t="s">
        <v>4367</v>
      </c>
      <c r="D872" s="138" t="s">
        <v>11</v>
      </c>
      <c r="E872" s="138" t="s">
        <v>261</v>
      </c>
      <c r="F872" s="138" t="s">
        <v>8149</v>
      </c>
      <c r="H872" s="138">
        <v>188</v>
      </c>
      <c r="I872" s="138">
        <v>720</v>
      </c>
      <c r="K872" s="138">
        <v>198</v>
      </c>
      <c r="L872" s="138">
        <v>488</v>
      </c>
      <c r="N872" s="138">
        <v>8</v>
      </c>
      <c r="O872" s="138">
        <v>0</v>
      </c>
      <c r="S872" s="138">
        <v>17</v>
      </c>
      <c r="T872" s="138">
        <v>9</v>
      </c>
      <c r="U872" s="138">
        <f t="shared" si="1536"/>
        <v>26</v>
      </c>
      <c r="W872" s="139">
        <f t="shared" ref="W872:AA872" si="1748">J872/$I872</f>
        <v>0</v>
      </c>
      <c r="X872" s="139">
        <f t="shared" si="1748"/>
        <v>0.27500000000000002</v>
      </c>
      <c r="Y872" s="139">
        <f t="shared" si="1748"/>
        <v>0.67777777777777781</v>
      </c>
      <c r="Z872" s="139">
        <f t="shared" si="1748"/>
        <v>0</v>
      </c>
      <c r="AA872" s="139">
        <f t="shared" si="1748"/>
        <v>1.1111111111111112E-2</v>
      </c>
      <c r="AB872" s="139"/>
      <c r="AC872" s="139">
        <f t="shared" si="1538"/>
        <v>3.6111111111111108E-2</v>
      </c>
      <c r="AD872" s="139">
        <f t="shared" ref="AD872:AI872" si="1749">O872/$I872</f>
        <v>0</v>
      </c>
      <c r="AE872" s="139">
        <f t="shared" si="1749"/>
        <v>0</v>
      </c>
      <c r="AF872" s="139">
        <f t="shared" si="1749"/>
        <v>0</v>
      </c>
      <c r="AG872" s="139">
        <f t="shared" si="1749"/>
        <v>0</v>
      </c>
      <c r="AH872" s="139">
        <f t="shared" si="1749"/>
        <v>2.361111111111111E-2</v>
      </c>
      <c r="AI872" s="139">
        <f t="shared" si="1749"/>
        <v>1.2500000000000001E-2</v>
      </c>
    </row>
    <row r="873" spans="2:35">
      <c r="B873" s="138" t="s">
        <v>8077</v>
      </c>
      <c r="C873" s="138" t="s">
        <v>4367</v>
      </c>
      <c r="D873" s="138" t="s">
        <v>11</v>
      </c>
      <c r="E873" s="138" t="s">
        <v>261</v>
      </c>
      <c r="F873" s="138" t="s">
        <v>8149</v>
      </c>
      <c r="H873" s="138">
        <v>189</v>
      </c>
      <c r="I873" s="138">
        <v>684</v>
      </c>
      <c r="K873" s="138">
        <v>213</v>
      </c>
      <c r="L873" s="138">
        <v>440</v>
      </c>
      <c r="N873" s="138">
        <v>9</v>
      </c>
      <c r="O873" s="138">
        <v>0</v>
      </c>
      <c r="S873" s="138">
        <v>16</v>
      </c>
      <c r="T873" s="138">
        <v>6</v>
      </c>
      <c r="U873" s="138">
        <f t="shared" si="1536"/>
        <v>22</v>
      </c>
      <c r="W873" s="139">
        <f t="shared" ref="W873:AA873" si="1750">J873/$I873</f>
        <v>0</v>
      </c>
      <c r="X873" s="139">
        <f t="shared" si="1750"/>
        <v>0.31140350877192985</v>
      </c>
      <c r="Y873" s="139">
        <f t="shared" si="1750"/>
        <v>0.64327485380116955</v>
      </c>
      <c r="Z873" s="139">
        <f t="shared" si="1750"/>
        <v>0</v>
      </c>
      <c r="AA873" s="139">
        <f t="shared" si="1750"/>
        <v>1.3157894736842105E-2</v>
      </c>
      <c r="AB873" s="139"/>
      <c r="AC873" s="139">
        <f t="shared" si="1538"/>
        <v>3.2163742690058478E-2</v>
      </c>
      <c r="AD873" s="139">
        <f t="shared" ref="AD873:AI873" si="1751">O873/$I873</f>
        <v>0</v>
      </c>
      <c r="AE873" s="139">
        <f t="shared" si="1751"/>
        <v>0</v>
      </c>
      <c r="AF873" s="139">
        <f t="shared" si="1751"/>
        <v>0</v>
      </c>
      <c r="AG873" s="139">
        <f t="shared" si="1751"/>
        <v>0</v>
      </c>
      <c r="AH873" s="139">
        <f t="shared" si="1751"/>
        <v>2.3391812865497075E-2</v>
      </c>
      <c r="AI873" s="139">
        <f t="shared" si="1751"/>
        <v>8.771929824561403E-3</v>
      </c>
    </row>
    <row r="874" spans="2:35">
      <c r="B874" s="138" t="s">
        <v>8077</v>
      </c>
      <c r="C874" s="138" t="s">
        <v>4367</v>
      </c>
      <c r="D874" s="138" t="s">
        <v>11</v>
      </c>
      <c r="E874" s="138" t="s">
        <v>261</v>
      </c>
      <c r="F874" s="138" t="s">
        <v>8149</v>
      </c>
      <c r="H874" s="138">
        <v>190</v>
      </c>
      <c r="I874" s="138">
        <v>501</v>
      </c>
      <c r="K874" s="138">
        <v>188</v>
      </c>
      <c r="L874" s="138">
        <v>290</v>
      </c>
      <c r="N874" s="138">
        <v>8</v>
      </c>
      <c r="O874" s="138">
        <v>0</v>
      </c>
      <c r="S874" s="138">
        <v>13</v>
      </c>
      <c r="T874" s="138">
        <v>2</v>
      </c>
      <c r="U874" s="138">
        <f t="shared" si="1536"/>
        <v>15</v>
      </c>
      <c r="W874" s="139">
        <f t="shared" ref="W874:AA874" si="1752">J874/$I874</f>
        <v>0</v>
      </c>
      <c r="X874" s="139">
        <f t="shared" si="1752"/>
        <v>0.37524950099800397</v>
      </c>
      <c r="Y874" s="139">
        <f t="shared" si="1752"/>
        <v>0.57884231536926145</v>
      </c>
      <c r="Z874" s="139">
        <f t="shared" si="1752"/>
        <v>0</v>
      </c>
      <c r="AA874" s="139">
        <f t="shared" si="1752"/>
        <v>1.5968063872255488E-2</v>
      </c>
      <c r="AB874" s="139"/>
      <c r="AC874" s="139">
        <f t="shared" si="1538"/>
        <v>2.9940119760479042E-2</v>
      </c>
      <c r="AD874" s="139">
        <f t="shared" ref="AD874:AI874" si="1753">O874/$I874</f>
        <v>0</v>
      </c>
      <c r="AE874" s="139">
        <f t="shared" si="1753"/>
        <v>0</v>
      </c>
      <c r="AF874" s="139">
        <f t="shared" si="1753"/>
        <v>0</v>
      </c>
      <c r="AG874" s="139">
        <f t="shared" si="1753"/>
        <v>0</v>
      </c>
      <c r="AH874" s="139">
        <f t="shared" si="1753"/>
        <v>2.5948103792415168E-2</v>
      </c>
      <c r="AI874" s="139">
        <f t="shared" si="1753"/>
        <v>3.9920159680638719E-3</v>
      </c>
    </row>
    <row r="875" spans="2:35">
      <c r="B875" s="138" t="s">
        <v>8077</v>
      </c>
      <c r="C875" s="138" t="s">
        <v>4367</v>
      </c>
      <c r="D875" s="138" t="s">
        <v>11</v>
      </c>
      <c r="E875" s="138" t="s">
        <v>261</v>
      </c>
      <c r="F875" s="138" t="s">
        <v>8149</v>
      </c>
      <c r="H875" s="138">
        <v>191</v>
      </c>
      <c r="I875" s="138">
        <v>538</v>
      </c>
      <c r="K875" s="138">
        <v>159</v>
      </c>
      <c r="L875" s="138">
        <v>342</v>
      </c>
      <c r="N875" s="138">
        <v>6</v>
      </c>
      <c r="O875" s="138">
        <v>1</v>
      </c>
      <c r="S875" s="138">
        <v>27</v>
      </c>
      <c r="T875" s="138">
        <v>3</v>
      </c>
      <c r="U875" s="138">
        <f t="shared" si="1536"/>
        <v>31</v>
      </c>
      <c r="W875" s="139">
        <f t="shared" ref="W875:AA875" si="1754">J875/$I875</f>
        <v>0</v>
      </c>
      <c r="X875" s="139">
        <f t="shared" si="1754"/>
        <v>0.29553903345724908</v>
      </c>
      <c r="Y875" s="139">
        <f t="shared" si="1754"/>
        <v>0.63568773234200748</v>
      </c>
      <c r="Z875" s="139">
        <f t="shared" si="1754"/>
        <v>0</v>
      </c>
      <c r="AA875" s="139">
        <f t="shared" si="1754"/>
        <v>1.1152416356877323E-2</v>
      </c>
      <c r="AB875" s="139"/>
      <c r="AC875" s="139">
        <f t="shared" si="1538"/>
        <v>5.7620817843866169E-2</v>
      </c>
      <c r="AD875" s="139">
        <f t="shared" ref="AD875:AI875" si="1755">O875/$I875</f>
        <v>1.8587360594795538E-3</v>
      </c>
      <c r="AE875" s="139">
        <f t="shared" si="1755"/>
        <v>0</v>
      </c>
      <c r="AF875" s="139">
        <f t="shared" si="1755"/>
        <v>0</v>
      </c>
      <c r="AG875" s="139">
        <f t="shared" si="1755"/>
        <v>0</v>
      </c>
      <c r="AH875" s="139">
        <f t="shared" si="1755"/>
        <v>5.0185873605947957E-2</v>
      </c>
      <c r="AI875" s="139">
        <f t="shared" si="1755"/>
        <v>5.5762081784386614E-3</v>
      </c>
    </row>
    <row r="876" spans="2:35">
      <c r="B876" s="138" t="s">
        <v>8077</v>
      </c>
      <c r="C876" s="138" t="s">
        <v>4367</v>
      </c>
      <c r="D876" s="138" t="s">
        <v>11</v>
      </c>
      <c r="E876" s="138" t="s">
        <v>261</v>
      </c>
      <c r="F876" s="138" t="s">
        <v>8149</v>
      </c>
      <c r="H876" s="138">
        <v>192</v>
      </c>
      <c r="I876" s="138">
        <v>770</v>
      </c>
      <c r="K876" s="138">
        <v>235</v>
      </c>
      <c r="L876" s="138">
        <v>481</v>
      </c>
      <c r="N876" s="138">
        <v>9</v>
      </c>
      <c r="O876" s="138">
        <v>0</v>
      </c>
      <c r="S876" s="138">
        <v>31</v>
      </c>
      <c r="T876" s="138">
        <v>14</v>
      </c>
      <c r="U876" s="138">
        <f t="shared" si="1536"/>
        <v>45</v>
      </c>
      <c r="W876" s="139">
        <f t="shared" ref="W876:AA876" si="1756">J876/$I876</f>
        <v>0</v>
      </c>
      <c r="X876" s="139">
        <f t="shared" si="1756"/>
        <v>0.30519480519480519</v>
      </c>
      <c r="Y876" s="139">
        <f t="shared" si="1756"/>
        <v>0.62467532467532472</v>
      </c>
      <c r="Z876" s="139">
        <f t="shared" si="1756"/>
        <v>0</v>
      </c>
      <c r="AA876" s="139">
        <f t="shared" si="1756"/>
        <v>1.1688311688311689E-2</v>
      </c>
      <c r="AB876" s="139"/>
      <c r="AC876" s="139">
        <f t="shared" si="1538"/>
        <v>5.844155844155844E-2</v>
      </c>
      <c r="AD876" s="139">
        <f t="shared" ref="AD876:AI876" si="1757">O876/$I876</f>
        <v>0</v>
      </c>
      <c r="AE876" s="139">
        <f t="shared" si="1757"/>
        <v>0</v>
      </c>
      <c r="AF876" s="139">
        <f t="shared" si="1757"/>
        <v>0</v>
      </c>
      <c r="AG876" s="139">
        <f t="shared" si="1757"/>
        <v>0</v>
      </c>
      <c r="AH876" s="139">
        <f t="shared" si="1757"/>
        <v>4.0259740259740259E-2</v>
      </c>
      <c r="AI876" s="139">
        <f t="shared" si="1757"/>
        <v>1.8181818181818181E-2</v>
      </c>
    </row>
    <row r="877" spans="2:35">
      <c r="B877" s="138" t="s">
        <v>8077</v>
      </c>
      <c r="C877" s="138" t="s">
        <v>4367</v>
      </c>
      <c r="D877" s="138" t="s">
        <v>11</v>
      </c>
      <c r="E877" s="138" t="s">
        <v>261</v>
      </c>
      <c r="F877" s="138" t="s">
        <v>8149</v>
      </c>
      <c r="H877" s="138">
        <v>193</v>
      </c>
      <c r="I877" s="138">
        <v>734</v>
      </c>
      <c r="K877" s="138">
        <v>227</v>
      </c>
      <c r="L877" s="138">
        <v>478</v>
      </c>
      <c r="N877" s="138">
        <v>4</v>
      </c>
      <c r="O877" s="138">
        <v>2</v>
      </c>
      <c r="S877" s="138">
        <v>19</v>
      </c>
      <c r="T877" s="138">
        <v>4</v>
      </c>
      <c r="U877" s="138">
        <f t="shared" si="1536"/>
        <v>25</v>
      </c>
      <c r="W877" s="139">
        <f t="shared" ref="W877:AA877" si="1758">J877/$I877</f>
        <v>0</v>
      </c>
      <c r="X877" s="139">
        <f t="shared" si="1758"/>
        <v>0.30926430517711173</v>
      </c>
      <c r="Y877" s="139">
        <f t="shared" si="1758"/>
        <v>0.6512261580381471</v>
      </c>
      <c r="Z877" s="139">
        <f t="shared" si="1758"/>
        <v>0</v>
      </c>
      <c r="AA877" s="139">
        <f t="shared" si="1758"/>
        <v>5.4495912806539508E-3</v>
      </c>
      <c r="AB877" s="139"/>
      <c r="AC877" s="139">
        <f t="shared" si="1538"/>
        <v>3.4059945504087197E-2</v>
      </c>
      <c r="AD877" s="139">
        <f t="shared" ref="AD877:AI877" si="1759">O877/$I877</f>
        <v>2.7247956403269754E-3</v>
      </c>
      <c r="AE877" s="139">
        <f t="shared" si="1759"/>
        <v>0</v>
      </c>
      <c r="AF877" s="139">
        <f t="shared" si="1759"/>
        <v>0</v>
      </c>
      <c r="AG877" s="139">
        <f t="shared" si="1759"/>
        <v>0</v>
      </c>
      <c r="AH877" s="139">
        <f t="shared" si="1759"/>
        <v>2.5885558583106268E-2</v>
      </c>
      <c r="AI877" s="139">
        <f t="shared" si="1759"/>
        <v>5.4495912806539508E-3</v>
      </c>
    </row>
    <row r="878" spans="2:35">
      <c r="B878" s="138" t="s">
        <v>8077</v>
      </c>
      <c r="C878" s="138" t="s">
        <v>4367</v>
      </c>
      <c r="D878" s="138" t="s">
        <v>11</v>
      </c>
      <c r="E878" s="138" t="s">
        <v>261</v>
      </c>
      <c r="F878" s="138" t="s">
        <v>8149</v>
      </c>
      <c r="H878" s="138">
        <v>194</v>
      </c>
      <c r="I878" s="138">
        <v>822</v>
      </c>
      <c r="K878" s="138">
        <v>220</v>
      </c>
      <c r="L878" s="138">
        <v>553</v>
      </c>
      <c r="N878" s="138">
        <v>3</v>
      </c>
      <c r="O878" s="138">
        <v>1</v>
      </c>
      <c r="S878" s="138">
        <v>38</v>
      </c>
      <c r="T878" s="138">
        <v>7</v>
      </c>
      <c r="U878" s="138">
        <f t="shared" si="1536"/>
        <v>46</v>
      </c>
      <c r="W878" s="139">
        <f t="shared" ref="W878:AA878" si="1760">J878/$I878</f>
        <v>0</v>
      </c>
      <c r="X878" s="139">
        <f t="shared" si="1760"/>
        <v>0.26763990267639903</v>
      </c>
      <c r="Y878" s="139">
        <f t="shared" si="1760"/>
        <v>0.67274939172749393</v>
      </c>
      <c r="Z878" s="139">
        <f t="shared" si="1760"/>
        <v>0</v>
      </c>
      <c r="AA878" s="139">
        <f t="shared" si="1760"/>
        <v>3.6496350364963502E-3</v>
      </c>
      <c r="AB878" s="139"/>
      <c r="AC878" s="139">
        <f t="shared" si="1538"/>
        <v>5.5961070559610707E-2</v>
      </c>
      <c r="AD878" s="139">
        <f t="shared" ref="AD878:AI878" si="1761">O878/$I878</f>
        <v>1.2165450121654502E-3</v>
      </c>
      <c r="AE878" s="139">
        <f t="shared" si="1761"/>
        <v>0</v>
      </c>
      <c r="AF878" s="139">
        <f t="shared" si="1761"/>
        <v>0</v>
      </c>
      <c r="AG878" s="139">
        <f t="shared" si="1761"/>
        <v>0</v>
      </c>
      <c r="AH878" s="139">
        <f t="shared" si="1761"/>
        <v>4.6228710462287104E-2</v>
      </c>
      <c r="AI878" s="139">
        <f t="shared" si="1761"/>
        <v>8.5158150851581509E-3</v>
      </c>
    </row>
    <row r="879" spans="2:35">
      <c r="B879" s="138" t="s">
        <v>8077</v>
      </c>
      <c r="C879" s="138" t="s">
        <v>4367</v>
      </c>
      <c r="D879" s="138" t="s">
        <v>11</v>
      </c>
      <c r="E879" s="138" t="s">
        <v>261</v>
      </c>
      <c r="F879" s="138" t="s">
        <v>8149</v>
      </c>
      <c r="H879" s="138">
        <v>195</v>
      </c>
      <c r="I879" s="138">
        <v>723</v>
      </c>
      <c r="K879" s="138">
        <v>207</v>
      </c>
      <c r="L879" s="138">
        <v>476</v>
      </c>
      <c r="N879" s="138">
        <v>7</v>
      </c>
      <c r="O879" s="138">
        <v>1</v>
      </c>
      <c r="S879" s="138">
        <v>27</v>
      </c>
      <c r="T879" s="138">
        <v>5</v>
      </c>
      <c r="U879" s="138">
        <f t="shared" si="1536"/>
        <v>33</v>
      </c>
      <c r="W879" s="139">
        <f t="shared" ref="W879:AA879" si="1762">J879/$I879</f>
        <v>0</v>
      </c>
      <c r="X879" s="139">
        <f t="shared" si="1762"/>
        <v>0.2863070539419087</v>
      </c>
      <c r="Y879" s="139">
        <f t="shared" si="1762"/>
        <v>0.65836791147994467</v>
      </c>
      <c r="Z879" s="139">
        <f t="shared" si="1762"/>
        <v>0</v>
      </c>
      <c r="AA879" s="139">
        <f t="shared" si="1762"/>
        <v>9.6818810511756573E-3</v>
      </c>
      <c r="AB879" s="139"/>
      <c r="AC879" s="139">
        <f t="shared" si="1538"/>
        <v>4.5643153526970952E-2</v>
      </c>
      <c r="AD879" s="139">
        <f t="shared" ref="AD879:AI879" si="1763">O879/$I879</f>
        <v>1.3831258644536654E-3</v>
      </c>
      <c r="AE879" s="139">
        <f t="shared" si="1763"/>
        <v>0</v>
      </c>
      <c r="AF879" s="139">
        <f t="shared" si="1763"/>
        <v>0</v>
      </c>
      <c r="AG879" s="139">
        <f t="shared" si="1763"/>
        <v>0</v>
      </c>
      <c r="AH879" s="139">
        <f t="shared" si="1763"/>
        <v>3.7344398340248962E-2</v>
      </c>
      <c r="AI879" s="139">
        <f t="shared" si="1763"/>
        <v>6.9156293222683261E-3</v>
      </c>
    </row>
    <row r="880" spans="2:35">
      <c r="B880" s="138" t="s">
        <v>8077</v>
      </c>
      <c r="C880" s="138" t="s">
        <v>4367</v>
      </c>
      <c r="D880" s="138" t="s">
        <v>11</v>
      </c>
      <c r="E880" s="138" t="s">
        <v>261</v>
      </c>
      <c r="F880" s="138" t="s">
        <v>8149</v>
      </c>
      <c r="H880" s="138">
        <v>196</v>
      </c>
      <c r="I880" s="138">
        <v>578</v>
      </c>
      <c r="K880" s="138">
        <v>152</v>
      </c>
      <c r="L880" s="138">
        <v>397</v>
      </c>
      <c r="N880" s="138">
        <v>10</v>
      </c>
      <c r="O880" s="138">
        <v>2</v>
      </c>
      <c r="S880" s="138">
        <v>14</v>
      </c>
      <c r="T880" s="138">
        <v>3</v>
      </c>
      <c r="U880" s="138">
        <f t="shared" si="1536"/>
        <v>19</v>
      </c>
      <c r="W880" s="139">
        <f t="shared" ref="W880:AA880" si="1764">J880/$I880</f>
        <v>0</v>
      </c>
      <c r="X880" s="139">
        <f t="shared" si="1764"/>
        <v>0.26297577854671278</v>
      </c>
      <c r="Y880" s="139">
        <f t="shared" si="1764"/>
        <v>0.68685121107266434</v>
      </c>
      <c r="Z880" s="139">
        <f t="shared" si="1764"/>
        <v>0</v>
      </c>
      <c r="AA880" s="139">
        <f t="shared" si="1764"/>
        <v>1.7301038062283738E-2</v>
      </c>
      <c r="AB880" s="139"/>
      <c r="AC880" s="139">
        <f t="shared" si="1538"/>
        <v>3.2871972318339097E-2</v>
      </c>
      <c r="AD880" s="139">
        <f t="shared" ref="AD880:AI880" si="1765">O880/$I880</f>
        <v>3.4602076124567475E-3</v>
      </c>
      <c r="AE880" s="139">
        <f t="shared" si="1765"/>
        <v>0</v>
      </c>
      <c r="AF880" s="139">
        <f t="shared" si="1765"/>
        <v>0</v>
      </c>
      <c r="AG880" s="139">
        <f t="shared" si="1765"/>
        <v>0</v>
      </c>
      <c r="AH880" s="139">
        <f t="shared" si="1765"/>
        <v>2.4221453287197232E-2</v>
      </c>
      <c r="AI880" s="139">
        <f t="shared" si="1765"/>
        <v>5.1903114186851208E-3</v>
      </c>
    </row>
    <row r="881" spans="2:35">
      <c r="B881" s="138" t="s">
        <v>8077</v>
      </c>
      <c r="C881" s="138" t="s">
        <v>4367</v>
      </c>
      <c r="D881" s="138" t="s">
        <v>11</v>
      </c>
      <c r="E881" s="138" t="s">
        <v>261</v>
      </c>
      <c r="F881" s="138" t="s">
        <v>8149</v>
      </c>
      <c r="H881" s="138">
        <v>197</v>
      </c>
      <c r="I881" s="138">
        <v>522</v>
      </c>
      <c r="K881" s="138">
        <v>171</v>
      </c>
      <c r="L881" s="138">
        <v>329</v>
      </c>
      <c r="N881" s="138">
        <v>3</v>
      </c>
      <c r="O881" s="138">
        <v>0</v>
      </c>
      <c r="S881" s="138">
        <v>13</v>
      </c>
      <c r="T881" s="138">
        <v>6</v>
      </c>
      <c r="U881" s="138">
        <f t="shared" si="1536"/>
        <v>19</v>
      </c>
      <c r="W881" s="139">
        <f t="shared" ref="W881:AA881" si="1766">J881/$I881</f>
        <v>0</v>
      </c>
      <c r="X881" s="139">
        <f t="shared" si="1766"/>
        <v>0.32758620689655171</v>
      </c>
      <c r="Y881" s="139">
        <f t="shared" si="1766"/>
        <v>0.63026819923371646</v>
      </c>
      <c r="Z881" s="139">
        <f t="shared" si="1766"/>
        <v>0</v>
      </c>
      <c r="AA881" s="139">
        <f t="shared" si="1766"/>
        <v>5.7471264367816091E-3</v>
      </c>
      <c r="AB881" s="139"/>
      <c r="AC881" s="139">
        <f t="shared" si="1538"/>
        <v>3.6398467432950193E-2</v>
      </c>
      <c r="AD881" s="139">
        <f t="shared" ref="AD881:AI881" si="1767">O881/$I881</f>
        <v>0</v>
      </c>
      <c r="AE881" s="139">
        <f t="shared" si="1767"/>
        <v>0</v>
      </c>
      <c r="AF881" s="139">
        <f t="shared" si="1767"/>
        <v>0</v>
      </c>
      <c r="AG881" s="139">
        <f t="shared" si="1767"/>
        <v>0</v>
      </c>
      <c r="AH881" s="139">
        <f t="shared" si="1767"/>
        <v>2.4904214559386972E-2</v>
      </c>
      <c r="AI881" s="139">
        <f t="shared" si="1767"/>
        <v>1.1494252873563218E-2</v>
      </c>
    </row>
    <row r="882" spans="2:35">
      <c r="B882" s="138" t="s">
        <v>8077</v>
      </c>
      <c r="C882" s="138" t="s">
        <v>4367</v>
      </c>
      <c r="D882" s="138" t="s">
        <v>11</v>
      </c>
      <c r="E882" s="138" t="s">
        <v>261</v>
      </c>
      <c r="F882" s="138" t="s">
        <v>8149</v>
      </c>
      <c r="H882" s="138">
        <v>198</v>
      </c>
      <c r="I882" s="138">
        <v>510</v>
      </c>
      <c r="K882" s="138">
        <v>161</v>
      </c>
      <c r="L882" s="138">
        <v>317</v>
      </c>
      <c r="N882" s="138">
        <v>12</v>
      </c>
      <c r="O882" s="138">
        <v>0</v>
      </c>
      <c r="S882" s="138">
        <v>19</v>
      </c>
      <c r="T882" s="138">
        <v>1</v>
      </c>
      <c r="U882" s="138">
        <f t="shared" si="1536"/>
        <v>20</v>
      </c>
      <c r="W882" s="139">
        <f t="shared" ref="W882:AA882" si="1768">J882/$I882</f>
        <v>0</v>
      </c>
      <c r="X882" s="139">
        <f t="shared" si="1768"/>
        <v>0.31568627450980391</v>
      </c>
      <c r="Y882" s="139">
        <f t="shared" si="1768"/>
        <v>0.6215686274509804</v>
      </c>
      <c r="Z882" s="139">
        <f t="shared" si="1768"/>
        <v>0</v>
      </c>
      <c r="AA882" s="139">
        <f t="shared" si="1768"/>
        <v>2.3529411764705882E-2</v>
      </c>
      <c r="AB882" s="139"/>
      <c r="AC882" s="139">
        <f t="shared" si="1538"/>
        <v>3.9215686274509803E-2</v>
      </c>
      <c r="AD882" s="139">
        <f t="shared" ref="AD882:AI882" si="1769">O882/$I882</f>
        <v>0</v>
      </c>
      <c r="AE882" s="139">
        <f t="shared" si="1769"/>
        <v>0</v>
      </c>
      <c r="AF882" s="139">
        <f t="shared" si="1769"/>
        <v>0</v>
      </c>
      <c r="AG882" s="139">
        <f t="shared" si="1769"/>
        <v>0</v>
      </c>
      <c r="AH882" s="139">
        <f t="shared" si="1769"/>
        <v>3.7254901960784313E-2</v>
      </c>
      <c r="AI882" s="139">
        <f t="shared" si="1769"/>
        <v>1.9607843137254902E-3</v>
      </c>
    </row>
    <row r="883" spans="2:35">
      <c r="B883" s="138" t="s">
        <v>8077</v>
      </c>
      <c r="C883" s="138" t="s">
        <v>4367</v>
      </c>
      <c r="D883" s="138" t="s">
        <v>11</v>
      </c>
      <c r="E883" s="138" t="s">
        <v>261</v>
      </c>
      <c r="F883" s="138" t="s">
        <v>8149</v>
      </c>
      <c r="H883" s="138">
        <v>199</v>
      </c>
      <c r="I883" s="138">
        <v>955</v>
      </c>
      <c r="K883" s="138">
        <v>370</v>
      </c>
      <c r="L883" s="138">
        <v>539</v>
      </c>
      <c r="N883" s="138">
        <v>12</v>
      </c>
      <c r="O883" s="138">
        <v>0</v>
      </c>
      <c r="S883" s="138">
        <v>28</v>
      </c>
      <c r="T883" s="138">
        <v>6</v>
      </c>
      <c r="U883" s="138">
        <f t="shared" si="1536"/>
        <v>34</v>
      </c>
      <c r="W883" s="139">
        <f t="shared" ref="W883:AA883" si="1770">J883/$I883</f>
        <v>0</v>
      </c>
      <c r="X883" s="139">
        <f t="shared" si="1770"/>
        <v>0.38743455497382201</v>
      </c>
      <c r="Y883" s="139">
        <f t="shared" si="1770"/>
        <v>0.56439790575916227</v>
      </c>
      <c r="Z883" s="139">
        <f t="shared" si="1770"/>
        <v>0</v>
      </c>
      <c r="AA883" s="139">
        <f t="shared" si="1770"/>
        <v>1.2565445026178011E-2</v>
      </c>
      <c r="AB883" s="139"/>
      <c r="AC883" s="139">
        <f t="shared" si="1538"/>
        <v>3.5602094240837698E-2</v>
      </c>
      <c r="AD883" s="139">
        <f t="shared" ref="AD883:AI883" si="1771">O883/$I883</f>
        <v>0</v>
      </c>
      <c r="AE883" s="139">
        <f t="shared" si="1771"/>
        <v>0</v>
      </c>
      <c r="AF883" s="139">
        <f t="shared" si="1771"/>
        <v>0</v>
      </c>
      <c r="AG883" s="139">
        <f t="shared" si="1771"/>
        <v>0</v>
      </c>
      <c r="AH883" s="139">
        <f t="shared" si="1771"/>
        <v>2.9319371727748691E-2</v>
      </c>
      <c r="AI883" s="139">
        <f t="shared" si="1771"/>
        <v>6.2827225130890054E-3</v>
      </c>
    </row>
    <row r="884" spans="2:35">
      <c r="B884" s="138" t="s">
        <v>8077</v>
      </c>
      <c r="C884" s="138" t="s">
        <v>4367</v>
      </c>
      <c r="D884" s="138" t="s">
        <v>11</v>
      </c>
      <c r="E884" s="138" t="s">
        <v>297</v>
      </c>
      <c r="F884" s="138" t="s">
        <v>845</v>
      </c>
      <c r="H884" s="138">
        <v>200</v>
      </c>
      <c r="I884" s="138">
        <v>864</v>
      </c>
      <c r="K884" s="138">
        <v>179</v>
      </c>
      <c r="L884" s="138">
        <v>657</v>
      </c>
      <c r="N884" s="138">
        <v>4</v>
      </c>
      <c r="O884" s="138">
        <v>0</v>
      </c>
      <c r="S884" s="138">
        <v>20</v>
      </c>
      <c r="T884" s="138">
        <v>4</v>
      </c>
      <c r="U884" s="138">
        <f t="shared" si="1536"/>
        <v>24</v>
      </c>
      <c r="W884" s="139">
        <f t="shared" ref="W884:AA884" si="1772">J884/$I884</f>
        <v>0</v>
      </c>
      <c r="X884" s="139">
        <f t="shared" si="1772"/>
        <v>0.20717592592592593</v>
      </c>
      <c r="Y884" s="139">
        <f t="shared" si="1772"/>
        <v>0.76041666666666663</v>
      </c>
      <c r="Z884" s="139">
        <f t="shared" si="1772"/>
        <v>0</v>
      </c>
      <c r="AA884" s="139">
        <f t="shared" si="1772"/>
        <v>4.6296296296296294E-3</v>
      </c>
      <c r="AB884" s="139"/>
      <c r="AC884" s="139">
        <f t="shared" si="1538"/>
        <v>2.7777777777777776E-2</v>
      </c>
      <c r="AD884" s="139">
        <f t="shared" ref="AD884:AI884" si="1773">O884/$I884</f>
        <v>0</v>
      </c>
      <c r="AE884" s="139">
        <f t="shared" si="1773"/>
        <v>0</v>
      </c>
      <c r="AF884" s="139">
        <f t="shared" si="1773"/>
        <v>0</v>
      </c>
      <c r="AG884" s="139">
        <f t="shared" si="1773"/>
        <v>0</v>
      </c>
      <c r="AH884" s="139">
        <f t="shared" si="1773"/>
        <v>2.3148148148148147E-2</v>
      </c>
      <c r="AI884" s="139">
        <f t="shared" si="1773"/>
        <v>4.6296296296296294E-3</v>
      </c>
    </row>
    <row r="885" spans="2:35">
      <c r="B885" s="138" t="s">
        <v>8077</v>
      </c>
      <c r="C885" s="138" t="s">
        <v>4367</v>
      </c>
      <c r="D885" s="138" t="s">
        <v>11</v>
      </c>
      <c r="E885" s="138" t="s">
        <v>297</v>
      </c>
      <c r="F885" s="138" t="s">
        <v>845</v>
      </c>
      <c r="H885" s="138">
        <v>201</v>
      </c>
      <c r="I885" s="138">
        <v>953</v>
      </c>
      <c r="K885" s="138">
        <v>403</v>
      </c>
      <c r="L885" s="138">
        <v>473</v>
      </c>
      <c r="N885" s="138">
        <v>19</v>
      </c>
      <c r="O885" s="138">
        <v>4</v>
      </c>
      <c r="S885" s="138">
        <v>34</v>
      </c>
      <c r="T885" s="138">
        <v>20</v>
      </c>
      <c r="U885" s="138">
        <f t="shared" si="1536"/>
        <v>58</v>
      </c>
      <c r="W885" s="139">
        <f t="shared" ref="W885:AA885" si="1774">J885/$I885</f>
        <v>0</v>
      </c>
      <c r="X885" s="139">
        <f t="shared" si="1774"/>
        <v>0.4228751311647429</v>
      </c>
      <c r="Y885" s="139">
        <f t="shared" si="1774"/>
        <v>0.49632738719832109</v>
      </c>
      <c r="Z885" s="139">
        <f t="shared" si="1774"/>
        <v>0</v>
      </c>
      <c r="AA885" s="139">
        <f t="shared" si="1774"/>
        <v>1.993704092339979E-2</v>
      </c>
      <c r="AB885" s="139"/>
      <c r="AC885" s="139">
        <f t="shared" si="1538"/>
        <v>6.0860440713536204E-2</v>
      </c>
      <c r="AD885" s="139">
        <f t="shared" ref="AD885:AI885" si="1775">O885/$I885</f>
        <v>4.1972717733473244E-3</v>
      </c>
      <c r="AE885" s="139">
        <f t="shared" si="1775"/>
        <v>0</v>
      </c>
      <c r="AF885" s="139">
        <f t="shared" si="1775"/>
        <v>0</v>
      </c>
      <c r="AG885" s="139">
        <f t="shared" si="1775"/>
        <v>0</v>
      </c>
      <c r="AH885" s="139">
        <f t="shared" si="1775"/>
        <v>3.5676810073452254E-2</v>
      </c>
      <c r="AI885" s="139">
        <f t="shared" si="1775"/>
        <v>2.098635886673662E-2</v>
      </c>
    </row>
    <row r="886" spans="2:35">
      <c r="B886" s="138" t="s">
        <v>8077</v>
      </c>
      <c r="C886" s="138" t="s">
        <v>4367</v>
      </c>
      <c r="D886" s="138" t="s">
        <v>11</v>
      </c>
      <c r="E886" s="138" t="s">
        <v>297</v>
      </c>
      <c r="F886" s="138" t="s">
        <v>845</v>
      </c>
      <c r="H886" s="138">
        <v>202</v>
      </c>
      <c r="I886" s="138">
        <v>692</v>
      </c>
      <c r="K886" s="138">
        <v>367</v>
      </c>
      <c r="L886" s="138">
        <v>266</v>
      </c>
      <c r="N886" s="138">
        <v>10</v>
      </c>
      <c r="O886" s="138">
        <v>0</v>
      </c>
      <c r="S886" s="138">
        <v>41</v>
      </c>
      <c r="T886" s="138">
        <v>8</v>
      </c>
      <c r="U886" s="138">
        <f t="shared" si="1536"/>
        <v>49</v>
      </c>
      <c r="W886" s="139">
        <f t="shared" ref="W886:AA886" si="1776">J886/$I886</f>
        <v>0</v>
      </c>
      <c r="X886" s="139">
        <f t="shared" si="1776"/>
        <v>0.53034682080924855</v>
      </c>
      <c r="Y886" s="139">
        <f t="shared" si="1776"/>
        <v>0.38439306358381503</v>
      </c>
      <c r="Z886" s="139">
        <f t="shared" si="1776"/>
        <v>0</v>
      </c>
      <c r="AA886" s="139">
        <f t="shared" si="1776"/>
        <v>1.4450867052023121E-2</v>
      </c>
      <c r="AB886" s="139"/>
      <c r="AC886" s="139">
        <f t="shared" si="1538"/>
        <v>7.0809248554913301E-2</v>
      </c>
      <c r="AD886" s="139">
        <f t="shared" ref="AD886:AI886" si="1777">O886/$I886</f>
        <v>0</v>
      </c>
      <c r="AE886" s="139">
        <f t="shared" si="1777"/>
        <v>0</v>
      </c>
      <c r="AF886" s="139">
        <f t="shared" si="1777"/>
        <v>0</v>
      </c>
      <c r="AG886" s="139">
        <f t="shared" si="1777"/>
        <v>0</v>
      </c>
      <c r="AH886" s="139">
        <f t="shared" si="1777"/>
        <v>5.9248554913294796E-2</v>
      </c>
      <c r="AI886" s="139">
        <f t="shared" si="1777"/>
        <v>1.1560693641618497E-2</v>
      </c>
    </row>
    <row r="887" spans="2:35">
      <c r="B887" s="138" t="s">
        <v>8077</v>
      </c>
      <c r="C887" s="138" t="s">
        <v>4367</v>
      </c>
      <c r="D887" s="138" t="s">
        <v>11</v>
      </c>
      <c r="E887" s="138" t="s">
        <v>297</v>
      </c>
      <c r="F887" s="138" t="s">
        <v>845</v>
      </c>
      <c r="H887" s="138">
        <v>203</v>
      </c>
      <c r="I887" s="138">
        <v>749</v>
      </c>
      <c r="K887" s="138">
        <v>249</v>
      </c>
      <c r="L887" s="138">
        <v>459</v>
      </c>
      <c r="N887" s="138">
        <v>4</v>
      </c>
      <c r="O887" s="138">
        <v>2</v>
      </c>
      <c r="S887" s="138">
        <v>26</v>
      </c>
      <c r="T887" s="138">
        <v>9</v>
      </c>
      <c r="U887" s="138">
        <f t="shared" si="1536"/>
        <v>37</v>
      </c>
      <c r="W887" s="139">
        <f t="shared" ref="W887:AA887" si="1778">J887/$I887</f>
        <v>0</v>
      </c>
      <c r="X887" s="139">
        <f t="shared" si="1778"/>
        <v>0.33244325767690253</v>
      </c>
      <c r="Y887" s="139">
        <f t="shared" si="1778"/>
        <v>0.61281708945260349</v>
      </c>
      <c r="Z887" s="139">
        <f t="shared" si="1778"/>
        <v>0</v>
      </c>
      <c r="AA887" s="139">
        <f t="shared" si="1778"/>
        <v>5.3404539385847796E-3</v>
      </c>
      <c r="AB887" s="139"/>
      <c r="AC887" s="139">
        <f t="shared" si="1538"/>
        <v>4.9399198931909215E-2</v>
      </c>
      <c r="AD887" s="139">
        <f t="shared" ref="AD887:AI887" si="1779">O887/$I887</f>
        <v>2.6702269692923898E-3</v>
      </c>
      <c r="AE887" s="139">
        <f t="shared" si="1779"/>
        <v>0</v>
      </c>
      <c r="AF887" s="139">
        <f t="shared" si="1779"/>
        <v>0</v>
      </c>
      <c r="AG887" s="139">
        <f t="shared" si="1779"/>
        <v>0</v>
      </c>
      <c r="AH887" s="139">
        <f t="shared" si="1779"/>
        <v>3.4712950600801068E-2</v>
      </c>
      <c r="AI887" s="139">
        <f t="shared" si="1779"/>
        <v>1.2016021361815754E-2</v>
      </c>
    </row>
    <row r="888" spans="2:35">
      <c r="B888" s="138" t="s">
        <v>8077</v>
      </c>
      <c r="C888" s="138" t="s">
        <v>4367</v>
      </c>
      <c r="D888" s="138" t="s">
        <v>11</v>
      </c>
      <c r="E888" s="138" t="s">
        <v>297</v>
      </c>
      <c r="F888" s="138" t="s">
        <v>8150</v>
      </c>
      <c r="H888" s="138">
        <v>204</v>
      </c>
      <c r="I888" s="138">
        <v>959</v>
      </c>
      <c r="K888" s="138">
        <v>402</v>
      </c>
      <c r="L888" s="138">
        <v>517</v>
      </c>
      <c r="N888" s="138">
        <v>8</v>
      </c>
      <c r="O888" s="138">
        <v>1</v>
      </c>
      <c r="S888" s="138">
        <v>20</v>
      </c>
      <c r="T888" s="138">
        <v>11</v>
      </c>
      <c r="U888" s="138">
        <f t="shared" si="1536"/>
        <v>32</v>
      </c>
      <c r="W888" s="139">
        <f t="shared" ref="W888:AA888" si="1780">J888/$I888</f>
        <v>0</v>
      </c>
      <c r="X888" s="139">
        <f t="shared" si="1780"/>
        <v>0.41918665276329509</v>
      </c>
      <c r="Y888" s="139">
        <f t="shared" si="1780"/>
        <v>0.53910323253388948</v>
      </c>
      <c r="Z888" s="139">
        <f t="shared" si="1780"/>
        <v>0</v>
      </c>
      <c r="AA888" s="139">
        <f t="shared" si="1780"/>
        <v>8.3420229405630868E-3</v>
      </c>
      <c r="AB888" s="139"/>
      <c r="AC888" s="139">
        <f t="shared" si="1538"/>
        <v>3.3368091762252347E-2</v>
      </c>
      <c r="AD888" s="139">
        <f t="shared" ref="AD888:AI888" si="1781">O888/$I888</f>
        <v>1.0427528675703858E-3</v>
      </c>
      <c r="AE888" s="139">
        <f t="shared" si="1781"/>
        <v>0</v>
      </c>
      <c r="AF888" s="139">
        <f t="shared" si="1781"/>
        <v>0</v>
      </c>
      <c r="AG888" s="139">
        <f t="shared" si="1781"/>
        <v>0</v>
      </c>
      <c r="AH888" s="139">
        <f t="shared" si="1781"/>
        <v>2.0855057351407715E-2</v>
      </c>
      <c r="AI888" s="139">
        <f t="shared" si="1781"/>
        <v>1.1470281543274244E-2</v>
      </c>
    </row>
    <row r="889" spans="2:35">
      <c r="B889" s="138" t="s">
        <v>8077</v>
      </c>
      <c r="C889" s="138" t="s">
        <v>4367</v>
      </c>
      <c r="D889" s="138" t="s">
        <v>11</v>
      </c>
      <c r="E889" s="138" t="s">
        <v>297</v>
      </c>
      <c r="F889" s="138" t="s">
        <v>8150</v>
      </c>
      <c r="H889" s="138">
        <v>205</v>
      </c>
      <c r="I889" s="138">
        <v>727</v>
      </c>
      <c r="K889" s="138">
        <v>416</v>
      </c>
      <c r="L889" s="138">
        <v>290</v>
      </c>
      <c r="N889" s="138">
        <v>6</v>
      </c>
      <c r="O889" s="138">
        <v>1</v>
      </c>
      <c r="S889" s="138">
        <v>7</v>
      </c>
      <c r="T889" s="138">
        <v>7</v>
      </c>
      <c r="U889" s="138">
        <f t="shared" si="1536"/>
        <v>15</v>
      </c>
      <c r="W889" s="139">
        <f t="shared" ref="W889:AA889" si="1782">J889/$I889</f>
        <v>0</v>
      </c>
      <c r="X889" s="139">
        <f t="shared" si="1782"/>
        <v>0.57221458046767537</v>
      </c>
      <c r="Y889" s="139">
        <f t="shared" si="1782"/>
        <v>0.39889958734525449</v>
      </c>
      <c r="Z889" s="139">
        <f t="shared" si="1782"/>
        <v>0</v>
      </c>
      <c r="AA889" s="139">
        <f t="shared" si="1782"/>
        <v>8.253094910591471E-3</v>
      </c>
      <c r="AB889" s="139"/>
      <c r="AC889" s="139">
        <f t="shared" si="1538"/>
        <v>2.0632737276478678E-2</v>
      </c>
      <c r="AD889" s="139">
        <f t="shared" ref="AD889:AI889" si="1783">O889/$I889</f>
        <v>1.375515818431912E-3</v>
      </c>
      <c r="AE889" s="139">
        <f t="shared" si="1783"/>
        <v>0</v>
      </c>
      <c r="AF889" s="139">
        <f t="shared" si="1783"/>
        <v>0</v>
      </c>
      <c r="AG889" s="139">
        <f t="shared" si="1783"/>
        <v>0</v>
      </c>
      <c r="AH889" s="139">
        <f t="shared" si="1783"/>
        <v>9.6286107290233843E-3</v>
      </c>
      <c r="AI889" s="139">
        <f t="shared" si="1783"/>
        <v>9.6286107290233843E-3</v>
      </c>
    </row>
    <row r="890" spans="2:35">
      <c r="B890" s="138" t="s">
        <v>8077</v>
      </c>
      <c r="C890" s="138" t="s">
        <v>4367</v>
      </c>
      <c r="D890" s="138" t="s">
        <v>11</v>
      </c>
      <c r="E890" s="138" t="s">
        <v>297</v>
      </c>
      <c r="F890" s="138" t="s">
        <v>885</v>
      </c>
      <c r="H890" s="138">
        <v>206</v>
      </c>
      <c r="I890" s="138">
        <v>572</v>
      </c>
      <c r="K890" s="138">
        <v>159</v>
      </c>
      <c r="L890" s="138">
        <v>393</v>
      </c>
      <c r="N890" s="138">
        <v>3</v>
      </c>
      <c r="O890" s="138">
        <v>0</v>
      </c>
      <c r="S890" s="138">
        <v>15</v>
      </c>
      <c r="T890" s="138">
        <v>2</v>
      </c>
      <c r="U890" s="138">
        <f t="shared" si="1536"/>
        <v>17</v>
      </c>
      <c r="W890" s="139">
        <f t="shared" ref="W890:AA890" si="1784">J890/$I890</f>
        <v>0</v>
      </c>
      <c r="X890" s="139">
        <f t="shared" si="1784"/>
        <v>0.27797202797202797</v>
      </c>
      <c r="Y890" s="139">
        <f t="shared" si="1784"/>
        <v>0.68706293706293708</v>
      </c>
      <c r="Z890" s="139">
        <f t="shared" si="1784"/>
        <v>0</v>
      </c>
      <c r="AA890" s="139">
        <f t="shared" si="1784"/>
        <v>5.244755244755245E-3</v>
      </c>
      <c r="AB890" s="139"/>
      <c r="AC890" s="139">
        <f t="shared" si="1538"/>
        <v>2.972027972027972E-2</v>
      </c>
      <c r="AD890" s="139">
        <f t="shared" ref="AD890:AI890" si="1785">O890/$I890</f>
        <v>0</v>
      </c>
      <c r="AE890" s="139">
        <f t="shared" si="1785"/>
        <v>0</v>
      </c>
      <c r="AF890" s="139">
        <f t="shared" si="1785"/>
        <v>0</v>
      </c>
      <c r="AG890" s="139">
        <f t="shared" si="1785"/>
        <v>0</v>
      </c>
      <c r="AH890" s="139">
        <f t="shared" si="1785"/>
        <v>2.6223776223776224E-2</v>
      </c>
      <c r="AI890" s="139">
        <f t="shared" si="1785"/>
        <v>3.4965034965034965E-3</v>
      </c>
    </row>
    <row r="891" spans="2:35">
      <c r="B891" s="138" t="s">
        <v>8077</v>
      </c>
      <c r="C891" s="138" t="s">
        <v>4367</v>
      </c>
      <c r="D891" s="138" t="s">
        <v>11</v>
      </c>
      <c r="E891" s="138" t="s">
        <v>297</v>
      </c>
      <c r="F891" s="138" t="s">
        <v>8151</v>
      </c>
      <c r="H891" s="138">
        <v>207</v>
      </c>
      <c r="I891" s="138">
        <v>822</v>
      </c>
      <c r="K891" s="138">
        <v>262</v>
      </c>
      <c r="L891" s="138">
        <v>535</v>
      </c>
      <c r="N891" s="138">
        <v>4</v>
      </c>
      <c r="O891" s="138">
        <v>1</v>
      </c>
      <c r="S891" s="138">
        <v>18</v>
      </c>
      <c r="T891" s="138">
        <v>2</v>
      </c>
      <c r="U891" s="138">
        <f t="shared" si="1536"/>
        <v>21</v>
      </c>
      <c r="W891" s="139">
        <f t="shared" ref="W891:AA891" si="1786">J891/$I891</f>
        <v>0</v>
      </c>
      <c r="X891" s="139">
        <f t="shared" si="1786"/>
        <v>0.31873479318734793</v>
      </c>
      <c r="Y891" s="139">
        <f t="shared" si="1786"/>
        <v>0.65085158150851585</v>
      </c>
      <c r="Z891" s="139">
        <f t="shared" si="1786"/>
        <v>0</v>
      </c>
      <c r="AA891" s="139">
        <f t="shared" si="1786"/>
        <v>4.8661800486618006E-3</v>
      </c>
      <c r="AB891" s="139"/>
      <c r="AC891" s="139">
        <f t="shared" si="1538"/>
        <v>2.5547445255474453E-2</v>
      </c>
      <c r="AD891" s="139">
        <f t="shared" ref="AD891:AI891" si="1787">O891/$I891</f>
        <v>1.2165450121654502E-3</v>
      </c>
      <c r="AE891" s="139">
        <f t="shared" si="1787"/>
        <v>0</v>
      </c>
      <c r="AF891" s="139">
        <f t="shared" si="1787"/>
        <v>0</v>
      </c>
      <c r="AG891" s="139">
        <f t="shared" si="1787"/>
        <v>0</v>
      </c>
      <c r="AH891" s="139">
        <f t="shared" si="1787"/>
        <v>2.1897810218978103E-2</v>
      </c>
      <c r="AI891" s="139">
        <f t="shared" si="1787"/>
        <v>2.4330900243309003E-3</v>
      </c>
    </row>
    <row r="892" spans="2:35">
      <c r="B892" s="138" t="s">
        <v>8077</v>
      </c>
      <c r="C892" s="138" t="s">
        <v>4367</v>
      </c>
      <c r="D892" s="138" t="s">
        <v>11</v>
      </c>
      <c r="E892" s="138" t="s">
        <v>297</v>
      </c>
      <c r="F892" s="138" t="s">
        <v>8151</v>
      </c>
      <c r="H892" s="138">
        <v>208</v>
      </c>
      <c r="I892" s="138">
        <v>868</v>
      </c>
      <c r="K892" s="138">
        <v>249</v>
      </c>
      <c r="L892" s="138">
        <v>599</v>
      </c>
      <c r="N892" s="138">
        <v>6</v>
      </c>
      <c r="O892" s="138">
        <v>0</v>
      </c>
      <c r="S892" s="138">
        <v>12</v>
      </c>
      <c r="T892" s="138">
        <v>2</v>
      </c>
      <c r="U892" s="138">
        <f t="shared" si="1536"/>
        <v>14</v>
      </c>
      <c r="W892" s="139">
        <f t="shared" ref="W892:AA892" si="1788">J892/$I892</f>
        <v>0</v>
      </c>
      <c r="X892" s="139">
        <f t="shared" si="1788"/>
        <v>0.28686635944700462</v>
      </c>
      <c r="Y892" s="139">
        <f t="shared" si="1788"/>
        <v>0.69009216589861755</v>
      </c>
      <c r="Z892" s="139">
        <f t="shared" si="1788"/>
        <v>0</v>
      </c>
      <c r="AA892" s="139">
        <f t="shared" si="1788"/>
        <v>6.9124423963133645E-3</v>
      </c>
      <c r="AB892" s="139"/>
      <c r="AC892" s="139">
        <f t="shared" si="1538"/>
        <v>1.6129032258064516E-2</v>
      </c>
      <c r="AD892" s="139">
        <f t="shared" ref="AD892:AI892" si="1789">O892/$I892</f>
        <v>0</v>
      </c>
      <c r="AE892" s="139">
        <f t="shared" si="1789"/>
        <v>0</v>
      </c>
      <c r="AF892" s="139">
        <f t="shared" si="1789"/>
        <v>0</v>
      </c>
      <c r="AG892" s="139">
        <f t="shared" si="1789"/>
        <v>0</v>
      </c>
      <c r="AH892" s="139">
        <f t="shared" si="1789"/>
        <v>1.3824884792626729E-2</v>
      </c>
      <c r="AI892" s="139">
        <f t="shared" si="1789"/>
        <v>2.304147465437788E-3</v>
      </c>
    </row>
    <row r="893" spans="2:35">
      <c r="B893" s="138" t="s">
        <v>8077</v>
      </c>
      <c r="C893" s="138" t="s">
        <v>4367</v>
      </c>
      <c r="D893" s="138" t="s">
        <v>11</v>
      </c>
      <c r="E893" s="138" t="s">
        <v>297</v>
      </c>
      <c r="F893" s="138" t="s">
        <v>8152</v>
      </c>
      <c r="H893" s="138">
        <v>209</v>
      </c>
      <c r="I893" s="138">
        <v>775</v>
      </c>
      <c r="K893" s="138">
        <v>201</v>
      </c>
      <c r="L893" s="138">
        <v>537</v>
      </c>
      <c r="N893" s="138">
        <v>9</v>
      </c>
      <c r="O893" s="138">
        <v>1</v>
      </c>
      <c r="S893" s="138">
        <v>22</v>
      </c>
      <c r="T893" s="138">
        <v>5</v>
      </c>
      <c r="U893" s="138">
        <f t="shared" si="1536"/>
        <v>28</v>
      </c>
      <c r="W893" s="139">
        <f t="shared" ref="W893:AA893" si="1790">J893/$I893</f>
        <v>0</v>
      </c>
      <c r="X893" s="139">
        <f t="shared" si="1790"/>
        <v>0.2593548387096774</v>
      </c>
      <c r="Y893" s="139">
        <f t="shared" si="1790"/>
        <v>0.69290322580645158</v>
      </c>
      <c r="Z893" s="139">
        <f t="shared" si="1790"/>
        <v>0</v>
      </c>
      <c r="AA893" s="139">
        <f t="shared" si="1790"/>
        <v>1.1612903225806452E-2</v>
      </c>
      <c r="AB893" s="139"/>
      <c r="AC893" s="139">
        <f t="shared" si="1538"/>
        <v>3.612903225806452E-2</v>
      </c>
      <c r="AD893" s="139">
        <f t="shared" ref="AD893:AI893" si="1791">O893/$I893</f>
        <v>1.2903225806451613E-3</v>
      </c>
      <c r="AE893" s="139">
        <f t="shared" si="1791"/>
        <v>0</v>
      </c>
      <c r="AF893" s="139">
        <f t="shared" si="1791"/>
        <v>0</v>
      </c>
      <c r="AG893" s="139">
        <f t="shared" si="1791"/>
        <v>0</v>
      </c>
      <c r="AH893" s="139">
        <f t="shared" si="1791"/>
        <v>2.838709677419355E-2</v>
      </c>
      <c r="AI893" s="139">
        <f t="shared" si="1791"/>
        <v>6.4516129032258064E-3</v>
      </c>
    </row>
    <row r="894" spans="2:35">
      <c r="B894" s="138" t="s">
        <v>8077</v>
      </c>
      <c r="C894" s="138" t="s">
        <v>4367</v>
      </c>
      <c r="D894" s="138" t="s">
        <v>11</v>
      </c>
      <c r="E894" s="138" t="s">
        <v>297</v>
      </c>
      <c r="F894" s="138" t="s">
        <v>8152</v>
      </c>
      <c r="H894" s="138">
        <v>210</v>
      </c>
      <c r="I894" s="138">
        <v>684</v>
      </c>
      <c r="K894" s="138">
        <v>233</v>
      </c>
      <c r="L894" s="138">
        <v>420</v>
      </c>
      <c r="N894" s="138">
        <v>6</v>
      </c>
      <c r="O894" s="138">
        <v>0</v>
      </c>
      <c r="S894" s="138">
        <v>18</v>
      </c>
      <c r="T894" s="138">
        <v>7</v>
      </c>
      <c r="U894" s="138">
        <f t="shared" si="1536"/>
        <v>25</v>
      </c>
      <c r="W894" s="139">
        <f t="shared" ref="W894:AA894" si="1792">J894/$I894</f>
        <v>0</v>
      </c>
      <c r="X894" s="139">
        <f t="shared" si="1792"/>
        <v>0.34064327485380119</v>
      </c>
      <c r="Y894" s="139">
        <f t="shared" si="1792"/>
        <v>0.61403508771929827</v>
      </c>
      <c r="Z894" s="139">
        <f t="shared" si="1792"/>
        <v>0</v>
      </c>
      <c r="AA894" s="139">
        <f t="shared" si="1792"/>
        <v>8.771929824561403E-3</v>
      </c>
      <c r="AB894" s="139"/>
      <c r="AC894" s="139">
        <f t="shared" si="1538"/>
        <v>3.6549707602339179E-2</v>
      </c>
      <c r="AD894" s="139">
        <f t="shared" ref="AD894:AI894" si="1793">O894/$I894</f>
        <v>0</v>
      </c>
      <c r="AE894" s="139">
        <f t="shared" si="1793"/>
        <v>0</v>
      </c>
      <c r="AF894" s="139">
        <f t="shared" si="1793"/>
        <v>0</v>
      </c>
      <c r="AG894" s="139">
        <f t="shared" si="1793"/>
        <v>0</v>
      </c>
      <c r="AH894" s="139">
        <f t="shared" si="1793"/>
        <v>2.6315789473684209E-2</v>
      </c>
      <c r="AI894" s="139">
        <f t="shared" si="1793"/>
        <v>1.023391812865497E-2</v>
      </c>
    </row>
    <row r="895" spans="2:35">
      <c r="B895" s="138" t="s">
        <v>8077</v>
      </c>
      <c r="C895" s="138" t="s">
        <v>4367</v>
      </c>
      <c r="D895" s="138" t="s">
        <v>11</v>
      </c>
      <c r="E895" s="138" t="s">
        <v>297</v>
      </c>
      <c r="F895" s="138" t="s">
        <v>862</v>
      </c>
      <c r="H895" s="138">
        <v>211</v>
      </c>
      <c r="I895" s="138">
        <v>753</v>
      </c>
      <c r="K895" s="138">
        <v>120</v>
      </c>
      <c r="L895" s="138">
        <v>607</v>
      </c>
      <c r="N895" s="138">
        <v>4</v>
      </c>
      <c r="O895" s="138">
        <v>1</v>
      </c>
      <c r="S895" s="138">
        <v>16</v>
      </c>
      <c r="T895" s="138">
        <v>5</v>
      </c>
      <c r="U895" s="138">
        <f t="shared" si="1536"/>
        <v>22</v>
      </c>
      <c r="W895" s="139">
        <f t="shared" ref="W895:AA895" si="1794">J895/$I895</f>
        <v>0</v>
      </c>
      <c r="X895" s="139">
        <f t="shared" si="1794"/>
        <v>0.15936254980079681</v>
      </c>
      <c r="Y895" s="139">
        <f t="shared" si="1794"/>
        <v>0.80610889774236383</v>
      </c>
      <c r="Z895" s="139">
        <f t="shared" si="1794"/>
        <v>0</v>
      </c>
      <c r="AA895" s="139">
        <f t="shared" si="1794"/>
        <v>5.3120849933598934E-3</v>
      </c>
      <c r="AB895" s="139"/>
      <c r="AC895" s="139">
        <f t="shared" si="1538"/>
        <v>2.9216467463479414E-2</v>
      </c>
      <c r="AD895" s="139">
        <f t="shared" ref="AD895:AI895" si="1795">O895/$I895</f>
        <v>1.3280212483399733E-3</v>
      </c>
      <c r="AE895" s="139">
        <f t="shared" si="1795"/>
        <v>0</v>
      </c>
      <c r="AF895" s="139">
        <f t="shared" si="1795"/>
        <v>0</v>
      </c>
      <c r="AG895" s="139">
        <f t="shared" si="1795"/>
        <v>0</v>
      </c>
      <c r="AH895" s="139">
        <f t="shared" si="1795"/>
        <v>2.1248339973439574E-2</v>
      </c>
      <c r="AI895" s="139">
        <f t="shared" si="1795"/>
        <v>6.6401062416998674E-3</v>
      </c>
    </row>
    <row r="896" spans="2:35">
      <c r="B896" s="138" t="s">
        <v>8077</v>
      </c>
      <c r="C896" s="138" t="s">
        <v>4367</v>
      </c>
      <c r="D896" s="138" t="s">
        <v>11</v>
      </c>
      <c r="E896" s="138" t="s">
        <v>297</v>
      </c>
      <c r="F896" s="138" t="s">
        <v>862</v>
      </c>
      <c r="H896" s="138">
        <v>212</v>
      </c>
      <c r="I896" s="138">
        <v>903</v>
      </c>
      <c r="K896" s="138">
        <v>434</v>
      </c>
      <c r="L896" s="138">
        <v>419</v>
      </c>
      <c r="N896" s="138">
        <v>10</v>
      </c>
      <c r="O896" s="138">
        <v>2</v>
      </c>
      <c r="S896" s="138">
        <v>29</v>
      </c>
      <c r="T896" s="138">
        <v>9</v>
      </c>
      <c r="U896" s="138">
        <f t="shared" si="1536"/>
        <v>40</v>
      </c>
      <c r="W896" s="139">
        <f t="shared" ref="W896:AA896" si="1796">J896/$I896</f>
        <v>0</v>
      </c>
      <c r="X896" s="139">
        <f t="shared" si="1796"/>
        <v>0.48062015503875971</v>
      </c>
      <c r="Y896" s="139">
        <f t="shared" si="1796"/>
        <v>0.46400885935769659</v>
      </c>
      <c r="Z896" s="139">
        <f t="shared" si="1796"/>
        <v>0</v>
      </c>
      <c r="AA896" s="139">
        <f t="shared" si="1796"/>
        <v>1.1074197120708749E-2</v>
      </c>
      <c r="AB896" s="139"/>
      <c r="AC896" s="139">
        <f t="shared" si="1538"/>
        <v>4.4296788482834998E-2</v>
      </c>
      <c r="AD896" s="139">
        <f t="shared" ref="AD896:AI896" si="1797">O896/$I896</f>
        <v>2.2148394241417496E-3</v>
      </c>
      <c r="AE896" s="139">
        <f t="shared" si="1797"/>
        <v>0</v>
      </c>
      <c r="AF896" s="139">
        <f t="shared" si="1797"/>
        <v>0</v>
      </c>
      <c r="AG896" s="139">
        <f t="shared" si="1797"/>
        <v>0</v>
      </c>
      <c r="AH896" s="139">
        <f t="shared" si="1797"/>
        <v>3.2115171650055369E-2</v>
      </c>
      <c r="AI896" s="139">
        <f t="shared" si="1797"/>
        <v>9.9667774086378731E-3</v>
      </c>
    </row>
    <row r="897" spans="2:35">
      <c r="B897" s="138" t="s">
        <v>8077</v>
      </c>
      <c r="C897" s="138" t="s">
        <v>4367</v>
      </c>
      <c r="D897" s="138" t="s">
        <v>11</v>
      </c>
      <c r="E897" s="138" t="s">
        <v>297</v>
      </c>
      <c r="F897" s="138" t="s">
        <v>862</v>
      </c>
      <c r="H897" s="138">
        <v>213</v>
      </c>
      <c r="I897" s="138">
        <v>889</v>
      </c>
      <c r="K897" s="138">
        <v>179</v>
      </c>
      <c r="L897" s="138">
        <v>667</v>
      </c>
      <c r="N897" s="138">
        <v>6</v>
      </c>
      <c r="O897" s="138">
        <v>1</v>
      </c>
      <c r="S897" s="138">
        <v>26</v>
      </c>
      <c r="T897" s="138">
        <v>10</v>
      </c>
      <c r="U897" s="138">
        <f t="shared" si="1536"/>
        <v>37</v>
      </c>
      <c r="W897" s="139">
        <f t="shared" ref="W897:AA897" si="1798">J897/$I897</f>
        <v>0</v>
      </c>
      <c r="X897" s="139">
        <f t="shared" si="1798"/>
        <v>0.2013498312710911</v>
      </c>
      <c r="Y897" s="139">
        <f t="shared" si="1798"/>
        <v>0.75028121484814403</v>
      </c>
      <c r="Z897" s="139">
        <f t="shared" si="1798"/>
        <v>0</v>
      </c>
      <c r="AA897" s="139">
        <f t="shared" si="1798"/>
        <v>6.7491563554555678E-3</v>
      </c>
      <c r="AB897" s="139"/>
      <c r="AC897" s="139">
        <f t="shared" si="1538"/>
        <v>4.1619797525309338E-2</v>
      </c>
      <c r="AD897" s="139">
        <f t="shared" ref="AD897:AI897" si="1799">O897/$I897</f>
        <v>1.1248593925759281E-3</v>
      </c>
      <c r="AE897" s="139">
        <f t="shared" si="1799"/>
        <v>0</v>
      </c>
      <c r="AF897" s="139">
        <f t="shared" si="1799"/>
        <v>0</v>
      </c>
      <c r="AG897" s="139">
        <f t="shared" si="1799"/>
        <v>0</v>
      </c>
      <c r="AH897" s="139">
        <f t="shared" si="1799"/>
        <v>2.9246344206974129E-2</v>
      </c>
      <c r="AI897" s="139">
        <f t="shared" si="1799"/>
        <v>1.1248593925759279E-2</v>
      </c>
    </row>
    <row r="898" spans="2:35">
      <c r="B898" s="138" t="s">
        <v>8077</v>
      </c>
      <c r="C898" s="138" t="s">
        <v>4367</v>
      </c>
      <c r="D898" s="138" t="s">
        <v>11</v>
      </c>
      <c r="E898" s="138" t="s">
        <v>297</v>
      </c>
      <c r="F898" s="138" t="s">
        <v>862</v>
      </c>
      <c r="H898" s="138">
        <v>214</v>
      </c>
      <c r="I898" s="138">
        <v>785</v>
      </c>
      <c r="K898" s="138">
        <v>187</v>
      </c>
      <c r="L898" s="138">
        <v>551</v>
      </c>
      <c r="N898" s="138">
        <v>8</v>
      </c>
      <c r="O898" s="138">
        <v>1</v>
      </c>
      <c r="S898" s="138">
        <v>28</v>
      </c>
      <c r="T898" s="138">
        <v>10</v>
      </c>
      <c r="U898" s="138">
        <f t="shared" si="1536"/>
        <v>39</v>
      </c>
      <c r="W898" s="139">
        <f t="shared" ref="W898:AA898" si="1800">J898/$I898</f>
        <v>0</v>
      </c>
      <c r="X898" s="139">
        <f t="shared" si="1800"/>
        <v>0.23821656050955414</v>
      </c>
      <c r="Y898" s="139">
        <f t="shared" si="1800"/>
        <v>0.70191082802547766</v>
      </c>
      <c r="Z898" s="139">
        <f t="shared" si="1800"/>
        <v>0</v>
      </c>
      <c r="AA898" s="139">
        <f t="shared" si="1800"/>
        <v>1.019108280254777E-2</v>
      </c>
      <c r="AB898" s="139"/>
      <c r="AC898" s="139">
        <f t="shared" si="1538"/>
        <v>4.9681528662420385E-2</v>
      </c>
      <c r="AD898" s="139">
        <f t="shared" ref="AD898:AI898" si="1801">O898/$I898</f>
        <v>1.2738853503184713E-3</v>
      </c>
      <c r="AE898" s="139">
        <f t="shared" si="1801"/>
        <v>0</v>
      </c>
      <c r="AF898" s="139">
        <f t="shared" si="1801"/>
        <v>0</v>
      </c>
      <c r="AG898" s="139">
        <f t="shared" si="1801"/>
        <v>0</v>
      </c>
      <c r="AH898" s="139">
        <f t="shared" si="1801"/>
        <v>3.5668789808917196E-2</v>
      </c>
      <c r="AI898" s="139">
        <f t="shared" si="1801"/>
        <v>1.2738853503184714E-2</v>
      </c>
    </row>
    <row r="899" spans="2:35">
      <c r="B899" s="138" t="s">
        <v>8077</v>
      </c>
      <c r="C899" s="138" t="s">
        <v>4367</v>
      </c>
      <c r="D899" s="138" t="s">
        <v>11</v>
      </c>
      <c r="E899" s="138" t="s">
        <v>297</v>
      </c>
      <c r="F899" s="138" t="s">
        <v>862</v>
      </c>
      <c r="H899" s="138">
        <v>215</v>
      </c>
      <c r="I899" s="138">
        <v>1018</v>
      </c>
      <c r="K899" s="138">
        <v>249</v>
      </c>
      <c r="L899" s="138">
        <v>731</v>
      </c>
      <c r="N899" s="138">
        <v>11</v>
      </c>
      <c r="O899" s="138">
        <v>0</v>
      </c>
      <c r="S899" s="138">
        <v>22</v>
      </c>
      <c r="T899" s="138">
        <v>5</v>
      </c>
      <c r="U899" s="138">
        <f t="shared" si="1536"/>
        <v>27</v>
      </c>
      <c r="W899" s="139">
        <f t="shared" ref="W899:AA899" si="1802">J899/$I899</f>
        <v>0</v>
      </c>
      <c r="X899" s="139">
        <f t="shared" si="1802"/>
        <v>0.24459724950884087</v>
      </c>
      <c r="Y899" s="139">
        <f t="shared" si="1802"/>
        <v>0.71807465618860511</v>
      </c>
      <c r="Z899" s="139">
        <f t="shared" si="1802"/>
        <v>0</v>
      </c>
      <c r="AA899" s="139">
        <f t="shared" si="1802"/>
        <v>1.0805500982318271E-2</v>
      </c>
      <c r="AB899" s="139"/>
      <c r="AC899" s="139">
        <f t="shared" si="1538"/>
        <v>2.6522593320235755E-2</v>
      </c>
      <c r="AD899" s="139">
        <f t="shared" ref="AD899:AI899" si="1803">O899/$I899</f>
        <v>0</v>
      </c>
      <c r="AE899" s="139">
        <f t="shared" si="1803"/>
        <v>0</v>
      </c>
      <c r="AF899" s="139">
        <f t="shared" si="1803"/>
        <v>0</v>
      </c>
      <c r="AG899" s="139">
        <f t="shared" si="1803"/>
        <v>0</v>
      </c>
      <c r="AH899" s="139">
        <f t="shared" si="1803"/>
        <v>2.1611001964636542E-2</v>
      </c>
      <c r="AI899" s="139">
        <f t="shared" si="1803"/>
        <v>4.911591355599214E-3</v>
      </c>
    </row>
    <row r="900" spans="2:35">
      <c r="B900" s="138" t="s">
        <v>8077</v>
      </c>
      <c r="C900" s="138" t="s">
        <v>4367</v>
      </c>
      <c r="D900" s="138" t="s">
        <v>11</v>
      </c>
      <c r="E900" s="138" t="s">
        <v>297</v>
      </c>
      <c r="F900" s="138" t="s">
        <v>862</v>
      </c>
      <c r="H900" s="138">
        <v>216</v>
      </c>
      <c r="I900" s="138">
        <v>903</v>
      </c>
      <c r="K900" s="138">
        <v>283</v>
      </c>
      <c r="L900" s="138">
        <v>564</v>
      </c>
      <c r="N900" s="138">
        <v>12</v>
      </c>
      <c r="O900" s="138">
        <v>0</v>
      </c>
      <c r="S900" s="138">
        <v>30</v>
      </c>
      <c r="T900" s="138">
        <v>14</v>
      </c>
      <c r="U900" s="138">
        <f t="shared" si="1536"/>
        <v>44</v>
      </c>
      <c r="W900" s="139">
        <f t="shared" ref="W900:AA900" si="1804">J900/$I900</f>
        <v>0</v>
      </c>
      <c r="X900" s="139">
        <f t="shared" si="1804"/>
        <v>0.3133997785160576</v>
      </c>
      <c r="Y900" s="139">
        <f t="shared" si="1804"/>
        <v>0.62458471760797341</v>
      </c>
      <c r="Z900" s="139">
        <f t="shared" si="1804"/>
        <v>0</v>
      </c>
      <c r="AA900" s="139">
        <f t="shared" si="1804"/>
        <v>1.3289036544850499E-2</v>
      </c>
      <c r="AB900" s="139"/>
      <c r="AC900" s="139">
        <f t="shared" si="1538"/>
        <v>4.8726467331118496E-2</v>
      </c>
      <c r="AD900" s="139">
        <f t="shared" ref="AD900:AI900" si="1805">O900/$I900</f>
        <v>0</v>
      </c>
      <c r="AE900" s="139">
        <f t="shared" si="1805"/>
        <v>0</v>
      </c>
      <c r="AF900" s="139">
        <f t="shared" si="1805"/>
        <v>0</v>
      </c>
      <c r="AG900" s="139">
        <f t="shared" si="1805"/>
        <v>0</v>
      </c>
      <c r="AH900" s="139">
        <f t="shared" si="1805"/>
        <v>3.3222591362126248E-2</v>
      </c>
      <c r="AI900" s="139">
        <f t="shared" si="1805"/>
        <v>1.5503875968992248E-2</v>
      </c>
    </row>
    <row r="901" spans="2:35">
      <c r="B901" s="138" t="s">
        <v>8077</v>
      </c>
      <c r="C901" s="138" t="s">
        <v>4367</v>
      </c>
      <c r="D901" s="138" t="s">
        <v>11</v>
      </c>
      <c r="E901" s="138" t="s">
        <v>297</v>
      </c>
      <c r="F901" s="138" t="s">
        <v>8153</v>
      </c>
      <c r="H901" s="138">
        <v>217</v>
      </c>
      <c r="I901" s="138">
        <v>932</v>
      </c>
      <c r="K901" s="138">
        <v>248</v>
      </c>
      <c r="L901" s="138">
        <v>651</v>
      </c>
      <c r="N901" s="138">
        <v>3</v>
      </c>
      <c r="O901" s="138">
        <v>0</v>
      </c>
      <c r="S901" s="138">
        <v>25</v>
      </c>
      <c r="T901" s="138">
        <v>5</v>
      </c>
      <c r="U901" s="138">
        <f t="shared" si="1536"/>
        <v>30</v>
      </c>
      <c r="W901" s="139">
        <f t="shared" ref="W901:AA901" si="1806">J901/$I901</f>
        <v>0</v>
      </c>
      <c r="X901" s="139">
        <f t="shared" si="1806"/>
        <v>0.26609442060085836</v>
      </c>
      <c r="Y901" s="139">
        <f t="shared" si="1806"/>
        <v>0.69849785407725318</v>
      </c>
      <c r="Z901" s="139">
        <f t="shared" si="1806"/>
        <v>0</v>
      </c>
      <c r="AA901" s="139">
        <f t="shared" si="1806"/>
        <v>3.2188841201716738E-3</v>
      </c>
      <c r="AB901" s="139"/>
      <c r="AC901" s="139">
        <f t="shared" si="1538"/>
        <v>3.2188841201716736E-2</v>
      </c>
      <c r="AD901" s="139">
        <f t="shared" ref="AD901:AI901" si="1807">O901/$I901</f>
        <v>0</v>
      </c>
      <c r="AE901" s="139">
        <f t="shared" si="1807"/>
        <v>0</v>
      </c>
      <c r="AF901" s="139">
        <f t="shared" si="1807"/>
        <v>0</v>
      </c>
      <c r="AG901" s="139">
        <f t="shared" si="1807"/>
        <v>0</v>
      </c>
      <c r="AH901" s="139">
        <f t="shared" si="1807"/>
        <v>2.6824034334763949E-2</v>
      </c>
      <c r="AI901" s="139">
        <f t="shared" si="1807"/>
        <v>5.3648068669527897E-3</v>
      </c>
    </row>
    <row r="902" spans="2:35">
      <c r="B902" s="138" t="s">
        <v>8077</v>
      </c>
      <c r="C902" s="138" t="s">
        <v>4367</v>
      </c>
      <c r="D902" s="138" t="s">
        <v>11</v>
      </c>
      <c r="E902" s="138" t="s">
        <v>297</v>
      </c>
      <c r="F902" s="138" t="s">
        <v>8153</v>
      </c>
      <c r="H902" s="138">
        <v>218</v>
      </c>
      <c r="I902" s="138">
        <v>840</v>
      </c>
      <c r="K902" s="138">
        <v>244</v>
      </c>
      <c r="L902" s="138">
        <v>572</v>
      </c>
      <c r="N902" s="138">
        <v>3</v>
      </c>
      <c r="O902" s="138">
        <v>0</v>
      </c>
      <c r="S902" s="138">
        <v>20</v>
      </c>
      <c r="T902" s="138">
        <v>1</v>
      </c>
      <c r="U902" s="138">
        <f t="shared" si="1536"/>
        <v>21</v>
      </c>
      <c r="W902" s="139">
        <f t="shared" ref="W902:AA902" si="1808">J902/$I902</f>
        <v>0</v>
      </c>
      <c r="X902" s="139">
        <f t="shared" si="1808"/>
        <v>0.2904761904761905</v>
      </c>
      <c r="Y902" s="139">
        <f t="shared" si="1808"/>
        <v>0.68095238095238098</v>
      </c>
      <c r="Z902" s="139">
        <f t="shared" si="1808"/>
        <v>0</v>
      </c>
      <c r="AA902" s="139">
        <f t="shared" si="1808"/>
        <v>3.5714285714285713E-3</v>
      </c>
      <c r="AB902" s="139"/>
      <c r="AC902" s="139">
        <f t="shared" si="1538"/>
        <v>2.5000000000000001E-2</v>
      </c>
      <c r="AD902" s="139">
        <f t="shared" ref="AD902:AI902" si="1809">O902/$I902</f>
        <v>0</v>
      </c>
      <c r="AE902" s="139">
        <f t="shared" si="1809"/>
        <v>0</v>
      </c>
      <c r="AF902" s="139">
        <f t="shared" si="1809"/>
        <v>0</v>
      </c>
      <c r="AG902" s="139">
        <f t="shared" si="1809"/>
        <v>0</v>
      </c>
      <c r="AH902" s="139">
        <f t="shared" si="1809"/>
        <v>2.3809523809523808E-2</v>
      </c>
      <c r="AI902" s="139">
        <f t="shared" si="1809"/>
        <v>1.1904761904761906E-3</v>
      </c>
    </row>
    <row r="903" spans="2:35">
      <c r="B903" s="138" t="s">
        <v>8077</v>
      </c>
      <c r="C903" s="138" t="s">
        <v>4367</v>
      </c>
      <c r="D903" s="138" t="s">
        <v>11</v>
      </c>
      <c r="E903" s="138" t="s">
        <v>297</v>
      </c>
      <c r="F903" s="138" t="s">
        <v>8154</v>
      </c>
      <c r="H903" s="138">
        <v>219</v>
      </c>
      <c r="I903" s="138">
        <v>898</v>
      </c>
      <c r="K903" s="138">
        <v>151</v>
      </c>
      <c r="L903" s="138">
        <v>707</v>
      </c>
      <c r="N903" s="138">
        <v>6</v>
      </c>
      <c r="O903" s="138">
        <v>2</v>
      </c>
      <c r="S903" s="138">
        <v>22</v>
      </c>
      <c r="T903" s="138">
        <v>10</v>
      </c>
      <c r="U903" s="138">
        <f t="shared" si="1536"/>
        <v>34</v>
      </c>
      <c r="W903" s="139">
        <f t="shared" ref="W903:AA903" si="1810">J903/$I903</f>
        <v>0</v>
      </c>
      <c r="X903" s="139">
        <f t="shared" si="1810"/>
        <v>0.16815144766146994</v>
      </c>
      <c r="Y903" s="139">
        <f t="shared" si="1810"/>
        <v>0.78730512249443207</v>
      </c>
      <c r="Z903" s="139">
        <f t="shared" si="1810"/>
        <v>0</v>
      </c>
      <c r="AA903" s="139">
        <f t="shared" si="1810"/>
        <v>6.6815144766146995E-3</v>
      </c>
      <c r="AB903" s="139"/>
      <c r="AC903" s="139">
        <f t="shared" si="1538"/>
        <v>3.7861915367483297E-2</v>
      </c>
      <c r="AD903" s="139">
        <f t="shared" ref="AD903:AI903" si="1811">O903/$I903</f>
        <v>2.2271714922048997E-3</v>
      </c>
      <c r="AE903" s="139">
        <f t="shared" si="1811"/>
        <v>0</v>
      </c>
      <c r="AF903" s="139">
        <f t="shared" si="1811"/>
        <v>0</v>
      </c>
      <c r="AG903" s="139">
        <f t="shared" si="1811"/>
        <v>0</v>
      </c>
      <c r="AH903" s="139">
        <f t="shared" si="1811"/>
        <v>2.4498886414253896E-2</v>
      </c>
      <c r="AI903" s="139">
        <f t="shared" si="1811"/>
        <v>1.1135857461024499E-2</v>
      </c>
    </row>
    <row r="904" spans="2:35">
      <c r="B904" s="138" t="s">
        <v>8077</v>
      </c>
      <c r="C904" s="138" t="s">
        <v>4367</v>
      </c>
      <c r="D904" s="138" t="s">
        <v>11</v>
      </c>
      <c r="E904" s="138" t="s">
        <v>297</v>
      </c>
      <c r="F904" s="138" t="s">
        <v>8154</v>
      </c>
      <c r="H904" s="138">
        <v>220</v>
      </c>
      <c r="I904" s="138">
        <v>770</v>
      </c>
      <c r="K904" s="138">
        <v>262</v>
      </c>
      <c r="L904" s="138">
        <v>489</v>
      </c>
      <c r="N904" s="138">
        <v>5</v>
      </c>
      <c r="O904" s="138">
        <v>0</v>
      </c>
      <c r="S904" s="138">
        <v>8</v>
      </c>
      <c r="T904" s="138">
        <v>6</v>
      </c>
      <c r="U904" s="138">
        <f t="shared" si="1536"/>
        <v>14</v>
      </c>
      <c r="W904" s="139">
        <f t="shared" ref="W904:AA904" si="1812">J904/$I904</f>
        <v>0</v>
      </c>
      <c r="X904" s="139">
        <f t="shared" si="1812"/>
        <v>0.34025974025974026</v>
      </c>
      <c r="Y904" s="139">
        <f t="shared" si="1812"/>
        <v>0.63506493506493511</v>
      </c>
      <c r="Z904" s="139">
        <f t="shared" si="1812"/>
        <v>0</v>
      </c>
      <c r="AA904" s="139">
        <f t="shared" si="1812"/>
        <v>6.4935064935064939E-3</v>
      </c>
      <c r="AB904" s="139"/>
      <c r="AC904" s="139">
        <f t="shared" si="1538"/>
        <v>1.8181818181818181E-2</v>
      </c>
      <c r="AD904" s="139">
        <f t="shared" ref="AD904:AI904" si="1813">O904/$I904</f>
        <v>0</v>
      </c>
      <c r="AE904" s="139">
        <f t="shared" si="1813"/>
        <v>0</v>
      </c>
      <c r="AF904" s="139">
        <f t="shared" si="1813"/>
        <v>0</v>
      </c>
      <c r="AG904" s="139">
        <f t="shared" si="1813"/>
        <v>0</v>
      </c>
      <c r="AH904" s="139">
        <f t="shared" si="1813"/>
        <v>1.038961038961039E-2</v>
      </c>
      <c r="AI904" s="139">
        <f t="shared" si="1813"/>
        <v>7.7922077922077922E-3</v>
      </c>
    </row>
    <row r="905" spans="2:35">
      <c r="B905" s="138" t="s">
        <v>8077</v>
      </c>
      <c r="C905" s="138" t="s">
        <v>4367</v>
      </c>
      <c r="D905" s="138" t="s">
        <v>11</v>
      </c>
      <c r="E905" s="138" t="s">
        <v>297</v>
      </c>
      <c r="F905" s="138" t="s">
        <v>8154</v>
      </c>
      <c r="H905" s="138">
        <v>221</v>
      </c>
      <c r="I905" s="138">
        <v>886</v>
      </c>
      <c r="K905" s="138">
        <v>359</v>
      </c>
      <c r="L905" s="138">
        <v>477</v>
      </c>
      <c r="N905" s="138">
        <v>3</v>
      </c>
      <c r="O905" s="138">
        <v>0</v>
      </c>
      <c r="S905" s="138">
        <v>31</v>
      </c>
      <c r="T905" s="138">
        <v>16</v>
      </c>
      <c r="U905" s="138">
        <f t="shared" si="1536"/>
        <v>47</v>
      </c>
      <c r="W905" s="139">
        <f t="shared" ref="W905:AA905" si="1814">J905/$I905</f>
        <v>0</v>
      </c>
      <c r="X905" s="139">
        <f t="shared" si="1814"/>
        <v>0.40519187358916481</v>
      </c>
      <c r="Y905" s="139">
        <f t="shared" si="1814"/>
        <v>0.53837471783295709</v>
      </c>
      <c r="Z905" s="139">
        <f t="shared" si="1814"/>
        <v>0</v>
      </c>
      <c r="AA905" s="139">
        <f t="shared" si="1814"/>
        <v>3.3860045146726862E-3</v>
      </c>
      <c r="AB905" s="139"/>
      <c r="AC905" s="139">
        <f t="shared" si="1538"/>
        <v>5.3047404063205419E-2</v>
      </c>
      <c r="AD905" s="139">
        <f t="shared" ref="AD905:AI905" si="1815">O905/$I905</f>
        <v>0</v>
      </c>
      <c r="AE905" s="139">
        <f t="shared" si="1815"/>
        <v>0</v>
      </c>
      <c r="AF905" s="139">
        <f t="shared" si="1815"/>
        <v>0</v>
      </c>
      <c r="AG905" s="139">
        <f t="shared" si="1815"/>
        <v>0</v>
      </c>
      <c r="AH905" s="139">
        <f t="shared" si="1815"/>
        <v>3.4988713318284424E-2</v>
      </c>
      <c r="AI905" s="139">
        <f t="shared" si="1815"/>
        <v>1.8058690744920992E-2</v>
      </c>
    </row>
    <row r="906" spans="2:35">
      <c r="B906" s="138" t="s">
        <v>8077</v>
      </c>
      <c r="C906" s="138" t="s">
        <v>4367</v>
      </c>
      <c r="D906" s="138" t="s">
        <v>11</v>
      </c>
      <c r="E906" s="138" t="s">
        <v>297</v>
      </c>
      <c r="F906" s="138" t="s">
        <v>8154</v>
      </c>
      <c r="H906" s="138">
        <v>222</v>
      </c>
      <c r="I906" s="138">
        <v>783</v>
      </c>
      <c r="K906" s="138">
        <v>385</v>
      </c>
      <c r="L906" s="138">
        <v>356</v>
      </c>
      <c r="N906" s="138">
        <v>4</v>
      </c>
      <c r="O906" s="138">
        <v>1</v>
      </c>
      <c r="S906" s="138">
        <v>19</v>
      </c>
      <c r="T906" s="138">
        <v>18</v>
      </c>
      <c r="U906" s="138">
        <f t="shared" si="1536"/>
        <v>38</v>
      </c>
      <c r="W906" s="139">
        <f t="shared" ref="W906:AA906" si="1816">J906/$I906</f>
        <v>0</v>
      </c>
      <c r="X906" s="139">
        <f t="shared" si="1816"/>
        <v>0.49169859514687103</v>
      </c>
      <c r="Y906" s="139">
        <f t="shared" si="1816"/>
        <v>0.454661558109834</v>
      </c>
      <c r="Z906" s="139">
        <f t="shared" si="1816"/>
        <v>0</v>
      </c>
      <c r="AA906" s="139">
        <f t="shared" si="1816"/>
        <v>5.108556832694764E-3</v>
      </c>
      <c r="AB906" s="139"/>
      <c r="AC906" s="139">
        <f t="shared" si="1538"/>
        <v>4.8531289910600253E-2</v>
      </c>
      <c r="AD906" s="139">
        <f t="shared" ref="AD906:AI906" si="1817">O906/$I906</f>
        <v>1.277139208173691E-3</v>
      </c>
      <c r="AE906" s="139">
        <f t="shared" si="1817"/>
        <v>0</v>
      </c>
      <c r="AF906" s="139">
        <f t="shared" si="1817"/>
        <v>0</v>
      </c>
      <c r="AG906" s="139">
        <f t="shared" si="1817"/>
        <v>0</v>
      </c>
      <c r="AH906" s="139">
        <f t="shared" si="1817"/>
        <v>2.4265644955300127E-2</v>
      </c>
      <c r="AI906" s="139">
        <f t="shared" si="1817"/>
        <v>2.2988505747126436E-2</v>
      </c>
    </row>
    <row r="907" spans="2:35">
      <c r="B907" s="138" t="s">
        <v>8077</v>
      </c>
      <c r="C907" s="138" t="s">
        <v>4367</v>
      </c>
      <c r="D907" s="138" t="s">
        <v>11</v>
      </c>
      <c r="E907" s="138" t="s">
        <v>297</v>
      </c>
      <c r="F907" s="138" t="s">
        <v>851</v>
      </c>
      <c r="H907" s="138">
        <v>223</v>
      </c>
      <c r="I907" s="138">
        <v>942</v>
      </c>
      <c r="K907" s="138">
        <v>279</v>
      </c>
      <c r="L907" s="138">
        <v>633</v>
      </c>
      <c r="N907" s="138">
        <v>5</v>
      </c>
      <c r="O907" s="138">
        <v>0</v>
      </c>
      <c r="S907" s="138">
        <v>19</v>
      </c>
      <c r="T907" s="138">
        <v>6</v>
      </c>
      <c r="U907" s="138">
        <f t="shared" si="1536"/>
        <v>25</v>
      </c>
      <c r="W907" s="139">
        <f t="shared" ref="W907:AA907" si="1818">J907/$I907</f>
        <v>0</v>
      </c>
      <c r="X907" s="139">
        <f t="shared" si="1818"/>
        <v>0.29617834394904458</v>
      </c>
      <c r="Y907" s="139">
        <f t="shared" si="1818"/>
        <v>0.67197452229299359</v>
      </c>
      <c r="Z907" s="139">
        <f t="shared" si="1818"/>
        <v>0</v>
      </c>
      <c r="AA907" s="139">
        <f t="shared" si="1818"/>
        <v>5.3078556263269636E-3</v>
      </c>
      <c r="AB907" s="139"/>
      <c r="AC907" s="139">
        <f t="shared" si="1538"/>
        <v>2.6539278131634821E-2</v>
      </c>
      <c r="AD907" s="139">
        <f t="shared" ref="AD907:AI907" si="1819">O907/$I907</f>
        <v>0</v>
      </c>
      <c r="AE907" s="139">
        <f t="shared" si="1819"/>
        <v>0</v>
      </c>
      <c r="AF907" s="139">
        <f t="shared" si="1819"/>
        <v>0</v>
      </c>
      <c r="AG907" s="139">
        <f t="shared" si="1819"/>
        <v>0</v>
      </c>
      <c r="AH907" s="139">
        <f t="shared" si="1819"/>
        <v>2.0169851380042462E-2</v>
      </c>
      <c r="AI907" s="139">
        <f t="shared" si="1819"/>
        <v>6.369426751592357E-3</v>
      </c>
    </row>
    <row r="908" spans="2:35">
      <c r="B908" s="138" t="s">
        <v>8077</v>
      </c>
      <c r="C908" s="138" t="s">
        <v>4367</v>
      </c>
      <c r="D908" s="138" t="s">
        <v>11</v>
      </c>
      <c r="E908" s="138" t="s">
        <v>297</v>
      </c>
      <c r="F908" s="138" t="s">
        <v>851</v>
      </c>
      <c r="H908" s="138">
        <v>224</v>
      </c>
      <c r="I908" s="138">
        <v>909</v>
      </c>
      <c r="K908" s="138">
        <v>298</v>
      </c>
      <c r="L908" s="138">
        <v>582</v>
      </c>
      <c r="N908" s="138">
        <v>3</v>
      </c>
      <c r="O908" s="138">
        <v>1</v>
      </c>
      <c r="S908" s="138">
        <v>19</v>
      </c>
      <c r="T908" s="138">
        <v>6</v>
      </c>
      <c r="U908" s="138">
        <f t="shared" si="1536"/>
        <v>26</v>
      </c>
      <c r="W908" s="139">
        <f t="shared" ref="W908:AA908" si="1820">J908/$I908</f>
        <v>0</v>
      </c>
      <c r="X908" s="139">
        <f t="shared" si="1820"/>
        <v>0.32783278327832782</v>
      </c>
      <c r="Y908" s="139">
        <f t="shared" si="1820"/>
        <v>0.64026402640264024</v>
      </c>
      <c r="Z908" s="139">
        <f t="shared" si="1820"/>
        <v>0</v>
      </c>
      <c r="AA908" s="139">
        <f t="shared" si="1820"/>
        <v>3.3003300330033004E-3</v>
      </c>
      <c r="AB908" s="139"/>
      <c r="AC908" s="139">
        <f t="shared" si="1538"/>
        <v>2.8602860286028604E-2</v>
      </c>
      <c r="AD908" s="139">
        <f t="shared" ref="AD908:AI908" si="1821">O908/$I908</f>
        <v>1.1001100110011001E-3</v>
      </c>
      <c r="AE908" s="139">
        <f t="shared" si="1821"/>
        <v>0</v>
      </c>
      <c r="AF908" s="139">
        <f t="shared" si="1821"/>
        <v>0</v>
      </c>
      <c r="AG908" s="139">
        <f t="shared" si="1821"/>
        <v>0</v>
      </c>
      <c r="AH908" s="139">
        <f t="shared" si="1821"/>
        <v>2.0902090209020903E-2</v>
      </c>
      <c r="AI908" s="139">
        <f t="shared" si="1821"/>
        <v>6.6006600660066007E-3</v>
      </c>
    </row>
    <row r="909" spans="2:35">
      <c r="B909" s="138" t="s">
        <v>8077</v>
      </c>
      <c r="C909" s="138" t="s">
        <v>4367</v>
      </c>
      <c r="D909" s="138" t="s">
        <v>11</v>
      </c>
      <c r="E909" s="138" t="s">
        <v>297</v>
      </c>
      <c r="F909" s="138" t="s">
        <v>851</v>
      </c>
      <c r="H909" s="138">
        <v>225</v>
      </c>
      <c r="I909" s="138">
        <v>1004</v>
      </c>
      <c r="K909" s="138">
        <v>167</v>
      </c>
      <c r="L909" s="138">
        <v>766</v>
      </c>
      <c r="N909" s="138">
        <v>4</v>
      </c>
      <c r="O909" s="138">
        <v>0</v>
      </c>
      <c r="S909" s="138">
        <v>46</v>
      </c>
      <c r="T909" s="138">
        <v>21</v>
      </c>
      <c r="U909" s="138">
        <f t="shared" si="1536"/>
        <v>67</v>
      </c>
      <c r="W909" s="139">
        <f t="shared" ref="W909:AA909" si="1822">J909/$I909</f>
        <v>0</v>
      </c>
      <c r="X909" s="139">
        <f t="shared" si="1822"/>
        <v>0.16633466135458166</v>
      </c>
      <c r="Y909" s="139">
        <f t="shared" si="1822"/>
        <v>0.76294820717131473</v>
      </c>
      <c r="Z909" s="139">
        <f t="shared" si="1822"/>
        <v>0</v>
      </c>
      <c r="AA909" s="139">
        <f t="shared" si="1822"/>
        <v>3.9840637450199202E-3</v>
      </c>
      <c r="AB909" s="139"/>
      <c r="AC909" s="139">
        <f t="shared" si="1538"/>
        <v>6.6733067729083662E-2</v>
      </c>
      <c r="AD909" s="139">
        <f t="shared" ref="AD909:AI909" si="1823">O909/$I909</f>
        <v>0</v>
      </c>
      <c r="AE909" s="139">
        <f t="shared" si="1823"/>
        <v>0</v>
      </c>
      <c r="AF909" s="139">
        <f t="shared" si="1823"/>
        <v>0</v>
      </c>
      <c r="AG909" s="139">
        <f t="shared" si="1823"/>
        <v>0</v>
      </c>
      <c r="AH909" s="139">
        <f t="shared" si="1823"/>
        <v>4.5816733067729085E-2</v>
      </c>
      <c r="AI909" s="139">
        <f t="shared" si="1823"/>
        <v>2.091633466135458E-2</v>
      </c>
    </row>
    <row r="910" spans="2:35">
      <c r="B910" s="138" t="s">
        <v>8077</v>
      </c>
      <c r="C910" s="138" t="s">
        <v>4367</v>
      </c>
      <c r="D910" s="138" t="s">
        <v>11</v>
      </c>
      <c r="E910" s="138" t="s">
        <v>297</v>
      </c>
      <c r="F910" s="138" t="s">
        <v>851</v>
      </c>
      <c r="H910" s="138">
        <v>226</v>
      </c>
      <c r="I910" s="138">
        <v>988</v>
      </c>
      <c r="K910" s="138">
        <v>206</v>
      </c>
      <c r="L910" s="138">
        <v>736</v>
      </c>
      <c r="N910" s="138">
        <v>2</v>
      </c>
      <c r="O910" s="138">
        <v>1</v>
      </c>
      <c r="S910" s="138">
        <v>36</v>
      </c>
      <c r="T910" s="138">
        <v>7</v>
      </c>
      <c r="U910" s="138">
        <f t="shared" si="1536"/>
        <v>44</v>
      </c>
      <c r="W910" s="139">
        <f t="shared" ref="W910:AA910" si="1824">J910/$I910</f>
        <v>0</v>
      </c>
      <c r="X910" s="139">
        <f t="shared" si="1824"/>
        <v>0.20850202429149797</v>
      </c>
      <c r="Y910" s="139">
        <f t="shared" si="1824"/>
        <v>0.74493927125506076</v>
      </c>
      <c r="Z910" s="139">
        <f t="shared" si="1824"/>
        <v>0</v>
      </c>
      <c r="AA910" s="139">
        <f t="shared" si="1824"/>
        <v>2.0242914979757085E-3</v>
      </c>
      <c r="AB910" s="139"/>
      <c r="AC910" s="139">
        <f t="shared" si="1538"/>
        <v>4.4534412955465584E-2</v>
      </c>
      <c r="AD910" s="139">
        <f t="shared" ref="AD910:AI910" si="1825">O910/$I910</f>
        <v>1.0121457489878543E-3</v>
      </c>
      <c r="AE910" s="139">
        <f t="shared" si="1825"/>
        <v>0</v>
      </c>
      <c r="AF910" s="139">
        <f t="shared" si="1825"/>
        <v>0</v>
      </c>
      <c r="AG910" s="139">
        <f t="shared" si="1825"/>
        <v>0</v>
      </c>
      <c r="AH910" s="139">
        <f t="shared" si="1825"/>
        <v>3.643724696356275E-2</v>
      </c>
      <c r="AI910" s="139">
        <f t="shared" si="1825"/>
        <v>7.0850202429149798E-3</v>
      </c>
    </row>
    <row r="911" spans="2:35">
      <c r="B911" s="138" t="s">
        <v>8077</v>
      </c>
      <c r="C911" s="138" t="s">
        <v>4367</v>
      </c>
      <c r="D911" s="138" t="s">
        <v>11</v>
      </c>
      <c r="E911" s="138" t="s">
        <v>297</v>
      </c>
      <c r="F911" s="138" t="s">
        <v>851</v>
      </c>
      <c r="H911" s="138">
        <v>227</v>
      </c>
      <c r="I911" s="138">
        <v>889</v>
      </c>
      <c r="K911" s="138">
        <v>165</v>
      </c>
      <c r="L911" s="138">
        <v>663</v>
      </c>
      <c r="N911" s="138">
        <v>2</v>
      </c>
      <c r="O911" s="138">
        <v>0</v>
      </c>
      <c r="S911" s="138">
        <v>48</v>
      </c>
      <c r="T911" s="138">
        <v>11</v>
      </c>
      <c r="U911" s="138">
        <f t="shared" si="1536"/>
        <v>59</v>
      </c>
      <c r="W911" s="139">
        <f t="shared" ref="W911:AA911" si="1826">J911/$I911</f>
        <v>0</v>
      </c>
      <c r="X911" s="139">
        <f t="shared" si="1826"/>
        <v>0.18560179977502811</v>
      </c>
      <c r="Y911" s="139">
        <f t="shared" si="1826"/>
        <v>0.74578177727784023</v>
      </c>
      <c r="Z911" s="139">
        <f t="shared" si="1826"/>
        <v>0</v>
      </c>
      <c r="AA911" s="139">
        <f t="shared" si="1826"/>
        <v>2.2497187851518562E-3</v>
      </c>
      <c r="AB911" s="139"/>
      <c r="AC911" s="139">
        <f t="shared" si="1538"/>
        <v>6.6366704161979748E-2</v>
      </c>
      <c r="AD911" s="139">
        <f t="shared" ref="AD911:AI911" si="1827">O911/$I911</f>
        <v>0</v>
      </c>
      <c r="AE911" s="139">
        <f t="shared" si="1827"/>
        <v>0</v>
      </c>
      <c r="AF911" s="139">
        <f t="shared" si="1827"/>
        <v>0</v>
      </c>
      <c r="AG911" s="139">
        <f t="shared" si="1827"/>
        <v>0</v>
      </c>
      <c r="AH911" s="139">
        <f t="shared" si="1827"/>
        <v>5.3993250843644543E-2</v>
      </c>
      <c r="AI911" s="139">
        <f t="shared" si="1827"/>
        <v>1.2373453318335208E-2</v>
      </c>
    </row>
    <row r="912" spans="2:35">
      <c r="B912" s="138" t="s">
        <v>8077</v>
      </c>
      <c r="C912" s="138" t="s">
        <v>4367</v>
      </c>
      <c r="D912" s="138" t="s">
        <v>11</v>
      </c>
      <c r="E912" s="138" t="s">
        <v>297</v>
      </c>
      <c r="F912" s="138" t="s">
        <v>864</v>
      </c>
      <c r="H912" s="138">
        <v>228</v>
      </c>
      <c r="I912" s="138">
        <v>834</v>
      </c>
      <c r="K912" s="138">
        <v>217</v>
      </c>
      <c r="L912" s="138">
        <v>597</v>
      </c>
      <c r="N912" s="138">
        <v>5</v>
      </c>
      <c r="O912" s="138">
        <v>0</v>
      </c>
      <c r="S912" s="138">
        <v>12</v>
      </c>
      <c r="T912" s="138">
        <v>3</v>
      </c>
      <c r="U912" s="138">
        <f t="shared" si="1536"/>
        <v>15</v>
      </c>
      <c r="W912" s="139">
        <f t="shared" ref="W912:AA912" si="1828">J912/$I912</f>
        <v>0</v>
      </c>
      <c r="X912" s="139">
        <f t="shared" si="1828"/>
        <v>0.26019184652278177</v>
      </c>
      <c r="Y912" s="139">
        <f t="shared" si="1828"/>
        <v>0.71582733812949639</v>
      </c>
      <c r="Z912" s="139">
        <f t="shared" si="1828"/>
        <v>0</v>
      </c>
      <c r="AA912" s="139">
        <f t="shared" si="1828"/>
        <v>5.9952038369304557E-3</v>
      </c>
      <c r="AB912" s="139"/>
      <c r="AC912" s="139">
        <f t="shared" si="1538"/>
        <v>1.7985611510791366E-2</v>
      </c>
      <c r="AD912" s="139">
        <f t="shared" ref="AD912:AI912" si="1829">O912/$I912</f>
        <v>0</v>
      </c>
      <c r="AE912" s="139">
        <f t="shared" si="1829"/>
        <v>0</v>
      </c>
      <c r="AF912" s="139">
        <f t="shared" si="1829"/>
        <v>0</v>
      </c>
      <c r="AG912" s="139">
        <f t="shared" si="1829"/>
        <v>0</v>
      </c>
      <c r="AH912" s="139">
        <f t="shared" si="1829"/>
        <v>1.4388489208633094E-2</v>
      </c>
      <c r="AI912" s="139">
        <f t="shared" si="1829"/>
        <v>3.5971223021582736E-3</v>
      </c>
    </row>
    <row r="913" spans="2:35">
      <c r="B913" s="138" t="s">
        <v>8077</v>
      </c>
      <c r="C913" s="138" t="s">
        <v>4367</v>
      </c>
      <c r="D913" s="138" t="s">
        <v>11</v>
      </c>
      <c r="E913" s="138" t="s">
        <v>297</v>
      </c>
      <c r="F913" s="138" t="s">
        <v>8155</v>
      </c>
      <c r="H913" s="138">
        <v>229</v>
      </c>
      <c r="I913" s="138">
        <v>805</v>
      </c>
      <c r="K913" s="138">
        <v>247</v>
      </c>
      <c r="L913" s="138">
        <v>534</v>
      </c>
      <c r="N913" s="138">
        <v>1</v>
      </c>
      <c r="O913" s="138">
        <v>1</v>
      </c>
      <c r="S913" s="138">
        <v>19</v>
      </c>
      <c r="T913" s="138">
        <v>3</v>
      </c>
      <c r="U913" s="138">
        <f t="shared" si="1536"/>
        <v>23</v>
      </c>
      <c r="W913" s="139">
        <f t="shared" ref="W913:AA913" si="1830">J913/$I913</f>
        <v>0</v>
      </c>
      <c r="X913" s="139">
        <f t="shared" si="1830"/>
        <v>0.30683229813664598</v>
      </c>
      <c r="Y913" s="139">
        <f t="shared" si="1830"/>
        <v>0.66335403726708075</v>
      </c>
      <c r="Z913" s="139">
        <f t="shared" si="1830"/>
        <v>0</v>
      </c>
      <c r="AA913" s="139">
        <f t="shared" si="1830"/>
        <v>1.2422360248447205E-3</v>
      </c>
      <c r="AB913" s="139"/>
      <c r="AC913" s="139">
        <f t="shared" si="1538"/>
        <v>2.8571428571428571E-2</v>
      </c>
      <c r="AD913" s="139">
        <f t="shared" ref="AD913:AI913" si="1831">O913/$I913</f>
        <v>1.2422360248447205E-3</v>
      </c>
      <c r="AE913" s="139">
        <f t="shared" si="1831"/>
        <v>0</v>
      </c>
      <c r="AF913" s="139">
        <f t="shared" si="1831"/>
        <v>0</v>
      </c>
      <c r="AG913" s="139">
        <f t="shared" si="1831"/>
        <v>0</v>
      </c>
      <c r="AH913" s="139">
        <f t="shared" si="1831"/>
        <v>2.3602484472049691E-2</v>
      </c>
      <c r="AI913" s="139">
        <f t="shared" si="1831"/>
        <v>3.7267080745341614E-3</v>
      </c>
    </row>
    <row r="914" spans="2:35">
      <c r="B914" s="138" t="s">
        <v>8077</v>
      </c>
      <c r="C914" s="138" t="s">
        <v>4367</v>
      </c>
      <c r="D914" s="138" t="s">
        <v>11</v>
      </c>
      <c r="E914" s="138" t="s">
        <v>297</v>
      </c>
      <c r="F914" s="138" t="s">
        <v>8155</v>
      </c>
      <c r="H914" s="138">
        <v>230</v>
      </c>
      <c r="I914" s="138">
        <v>903</v>
      </c>
      <c r="K914" s="138">
        <v>353</v>
      </c>
      <c r="L914" s="138">
        <v>516</v>
      </c>
      <c r="N914" s="138">
        <v>9</v>
      </c>
      <c r="O914" s="138">
        <v>1</v>
      </c>
      <c r="S914" s="138">
        <v>19</v>
      </c>
      <c r="T914" s="138">
        <v>5</v>
      </c>
      <c r="U914" s="138">
        <f t="shared" si="1536"/>
        <v>25</v>
      </c>
      <c r="W914" s="139">
        <f t="shared" ref="W914:AA914" si="1832">J914/$I914</f>
        <v>0</v>
      </c>
      <c r="X914" s="139">
        <f t="shared" si="1832"/>
        <v>0.39091915836101881</v>
      </c>
      <c r="Y914" s="139">
        <f t="shared" si="1832"/>
        <v>0.5714285714285714</v>
      </c>
      <c r="Z914" s="139">
        <f t="shared" si="1832"/>
        <v>0</v>
      </c>
      <c r="AA914" s="139">
        <f t="shared" si="1832"/>
        <v>9.9667774086378731E-3</v>
      </c>
      <c r="AB914" s="139"/>
      <c r="AC914" s="139">
        <f t="shared" si="1538"/>
        <v>2.768549280177187E-2</v>
      </c>
      <c r="AD914" s="139">
        <f t="shared" ref="AD914:AI914" si="1833">O914/$I914</f>
        <v>1.1074197120708748E-3</v>
      </c>
      <c r="AE914" s="139">
        <f t="shared" si="1833"/>
        <v>0</v>
      </c>
      <c r="AF914" s="139">
        <f t="shared" si="1833"/>
        <v>0</v>
      </c>
      <c r="AG914" s="139">
        <f t="shared" si="1833"/>
        <v>0</v>
      </c>
      <c r="AH914" s="139">
        <f t="shared" si="1833"/>
        <v>2.1040974529346623E-2</v>
      </c>
      <c r="AI914" s="139">
        <f t="shared" si="1833"/>
        <v>5.5370985603543747E-3</v>
      </c>
    </row>
    <row r="915" spans="2:35">
      <c r="B915" s="138" t="s">
        <v>8077</v>
      </c>
      <c r="C915" s="138" t="s">
        <v>4367</v>
      </c>
      <c r="D915" s="138" t="s">
        <v>11</v>
      </c>
      <c r="E915" s="138" t="s">
        <v>297</v>
      </c>
      <c r="F915" s="138" t="s">
        <v>855</v>
      </c>
      <c r="H915" s="138">
        <v>231</v>
      </c>
      <c r="I915" s="138">
        <v>864</v>
      </c>
      <c r="K915" s="138">
        <v>146</v>
      </c>
      <c r="L915" s="138">
        <v>694</v>
      </c>
      <c r="N915" s="138">
        <v>2</v>
      </c>
      <c r="O915" s="138">
        <v>0</v>
      </c>
      <c r="S915" s="138">
        <v>19</v>
      </c>
      <c r="T915" s="138">
        <v>3</v>
      </c>
      <c r="U915" s="138">
        <f t="shared" si="1536"/>
        <v>22</v>
      </c>
      <c r="W915" s="139">
        <f t="shared" ref="W915:AA915" si="1834">J915/$I915</f>
        <v>0</v>
      </c>
      <c r="X915" s="139">
        <f t="shared" si="1834"/>
        <v>0.16898148148148148</v>
      </c>
      <c r="Y915" s="139">
        <f t="shared" si="1834"/>
        <v>0.8032407407407407</v>
      </c>
      <c r="Z915" s="139">
        <f t="shared" si="1834"/>
        <v>0</v>
      </c>
      <c r="AA915" s="139">
        <f t="shared" si="1834"/>
        <v>2.3148148148148147E-3</v>
      </c>
      <c r="AB915" s="139"/>
      <c r="AC915" s="139">
        <f t="shared" si="1538"/>
        <v>2.5462962962962962E-2</v>
      </c>
      <c r="AD915" s="139">
        <f t="shared" ref="AD915:AI915" si="1835">O915/$I915</f>
        <v>0</v>
      </c>
      <c r="AE915" s="139">
        <f t="shared" si="1835"/>
        <v>0</v>
      </c>
      <c r="AF915" s="139">
        <f t="shared" si="1835"/>
        <v>0</v>
      </c>
      <c r="AG915" s="139">
        <f t="shared" si="1835"/>
        <v>0</v>
      </c>
      <c r="AH915" s="139">
        <f t="shared" si="1835"/>
        <v>2.1990740740740741E-2</v>
      </c>
      <c r="AI915" s="139">
        <f t="shared" si="1835"/>
        <v>3.472222222222222E-3</v>
      </c>
    </row>
    <row r="916" spans="2:35">
      <c r="B916" s="138" t="s">
        <v>8077</v>
      </c>
      <c r="C916" s="138" t="s">
        <v>4367</v>
      </c>
      <c r="D916" s="138" t="s">
        <v>11</v>
      </c>
      <c r="E916" s="138" t="s">
        <v>297</v>
      </c>
      <c r="F916" s="138" t="s">
        <v>855</v>
      </c>
      <c r="H916" s="138">
        <v>232</v>
      </c>
      <c r="I916" s="138">
        <v>908</v>
      </c>
      <c r="K916" s="138">
        <v>253</v>
      </c>
      <c r="L916" s="138">
        <v>624</v>
      </c>
      <c r="N916" s="138">
        <v>4</v>
      </c>
      <c r="O916" s="138">
        <v>2</v>
      </c>
      <c r="S916" s="138">
        <v>21</v>
      </c>
      <c r="T916" s="138">
        <v>4</v>
      </c>
      <c r="U916" s="138">
        <f t="shared" si="1536"/>
        <v>27</v>
      </c>
      <c r="W916" s="139">
        <f t="shared" ref="W916:AA916" si="1836">J916/$I916</f>
        <v>0</v>
      </c>
      <c r="X916" s="139">
        <f t="shared" si="1836"/>
        <v>0.27863436123348018</v>
      </c>
      <c r="Y916" s="139">
        <f t="shared" si="1836"/>
        <v>0.68722466960352424</v>
      </c>
      <c r="Z916" s="139">
        <f t="shared" si="1836"/>
        <v>0</v>
      </c>
      <c r="AA916" s="139">
        <f t="shared" si="1836"/>
        <v>4.4052863436123352E-3</v>
      </c>
      <c r="AB916" s="139"/>
      <c r="AC916" s="139">
        <f t="shared" si="1538"/>
        <v>2.9735682819383259E-2</v>
      </c>
      <c r="AD916" s="139">
        <f t="shared" ref="AD916:AI916" si="1837">O916/$I916</f>
        <v>2.2026431718061676E-3</v>
      </c>
      <c r="AE916" s="139">
        <f t="shared" si="1837"/>
        <v>0</v>
      </c>
      <c r="AF916" s="139">
        <f t="shared" si="1837"/>
        <v>0</v>
      </c>
      <c r="AG916" s="139">
        <f t="shared" si="1837"/>
        <v>0</v>
      </c>
      <c r="AH916" s="139">
        <f t="shared" si="1837"/>
        <v>2.3127753303964757E-2</v>
      </c>
      <c r="AI916" s="139">
        <f t="shared" si="1837"/>
        <v>4.4052863436123352E-3</v>
      </c>
    </row>
    <row r="917" spans="2:35">
      <c r="B917" s="138" t="s">
        <v>8077</v>
      </c>
      <c r="C917" s="138" t="s">
        <v>4367</v>
      </c>
      <c r="D917" s="138" t="s">
        <v>11</v>
      </c>
      <c r="E917" s="138" t="s">
        <v>297</v>
      </c>
      <c r="F917" s="138" t="s">
        <v>855</v>
      </c>
      <c r="H917" s="138">
        <v>233</v>
      </c>
      <c r="I917" s="138">
        <v>824</v>
      </c>
      <c r="K917" s="138">
        <v>273</v>
      </c>
      <c r="L917" s="138">
        <v>519</v>
      </c>
      <c r="N917" s="138">
        <v>7</v>
      </c>
      <c r="O917" s="138">
        <v>1</v>
      </c>
      <c r="S917" s="138">
        <v>22</v>
      </c>
      <c r="T917" s="138">
        <v>2</v>
      </c>
      <c r="U917" s="138">
        <f t="shared" si="1536"/>
        <v>25</v>
      </c>
      <c r="W917" s="139">
        <f t="shared" ref="W917:AA917" si="1838">J917/$I917</f>
        <v>0</v>
      </c>
      <c r="X917" s="139">
        <f t="shared" si="1838"/>
        <v>0.3313106796116505</v>
      </c>
      <c r="Y917" s="139">
        <f t="shared" si="1838"/>
        <v>0.62985436893203883</v>
      </c>
      <c r="Z917" s="139">
        <f t="shared" si="1838"/>
        <v>0</v>
      </c>
      <c r="AA917" s="139">
        <f t="shared" si="1838"/>
        <v>8.4951456310679609E-3</v>
      </c>
      <c r="AB917" s="139"/>
      <c r="AC917" s="139">
        <f t="shared" si="1538"/>
        <v>3.0339805825242719E-2</v>
      </c>
      <c r="AD917" s="139">
        <f t="shared" ref="AD917:AI917" si="1839">O917/$I917</f>
        <v>1.2135922330097086E-3</v>
      </c>
      <c r="AE917" s="139">
        <f t="shared" si="1839"/>
        <v>0</v>
      </c>
      <c r="AF917" s="139">
        <f t="shared" si="1839"/>
        <v>0</v>
      </c>
      <c r="AG917" s="139">
        <f t="shared" si="1839"/>
        <v>0</v>
      </c>
      <c r="AH917" s="139">
        <f t="shared" si="1839"/>
        <v>2.6699029126213591E-2</v>
      </c>
      <c r="AI917" s="139">
        <f t="shared" si="1839"/>
        <v>2.4271844660194173E-3</v>
      </c>
    </row>
    <row r="918" spans="2:35">
      <c r="B918" s="138" t="s">
        <v>8077</v>
      </c>
      <c r="C918" s="138" t="s">
        <v>4367</v>
      </c>
      <c r="D918" s="138" t="s">
        <v>11</v>
      </c>
      <c r="E918" s="138" t="s">
        <v>297</v>
      </c>
      <c r="F918" s="138" t="s">
        <v>855</v>
      </c>
      <c r="H918" s="138">
        <v>234</v>
      </c>
      <c r="I918" s="138">
        <v>872</v>
      </c>
      <c r="K918" s="138">
        <v>218</v>
      </c>
      <c r="L918" s="138">
        <v>642</v>
      </c>
      <c r="N918" s="138">
        <v>2</v>
      </c>
      <c r="O918" s="138">
        <v>1</v>
      </c>
      <c r="S918" s="138">
        <v>9</v>
      </c>
      <c r="T918" s="138">
        <v>0</v>
      </c>
      <c r="U918" s="138">
        <f t="shared" si="1536"/>
        <v>10</v>
      </c>
      <c r="W918" s="139">
        <f t="shared" ref="W918:AA918" si="1840">J918/$I918</f>
        <v>0</v>
      </c>
      <c r="X918" s="139">
        <f t="shared" si="1840"/>
        <v>0.25</v>
      </c>
      <c r="Y918" s="139">
        <f t="shared" si="1840"/>
        <v>0.73623853211009171</v>
      </c>
      <c r="Z918" s="139">
        <f t="shared" si="1840"/>
        <v>0</v>
      </c>
      <c r="AA918" s="139">
        <f t="shared" si="1840"/>
        <v>2.2935779816513763E-3</v>
      </c>
      <c r="AB918" s="139"/>
      <c r="AC918" s="139">
        <f t="shared" si="1538"/>
        <v>1.1467889908256881E-2</v>
      </c>
      <c r="AD918" s="139">
        <f t="shared" ref="AD918:AI918" si="1841">O918/$I918</f>
        <v>1.1467889908256881E-3</v>
      </c>
      <c r="AE918" s="139">
        <f t="shared" si="1841"/>
        <v>0</v>
      </c>
      <c r="AF918" s="139">
        <f t="shared" si="1841"/>
        <v>0</v>
      </c>
      <c r="AG918" s="139">
        <f t="shared" si="1841"/>
        <v>0</v>
      </c>
      <c r="AH918" s="139">
        <f t="shared" si="1841"/>
        <v>1.0321100917431193E-2</v>
      </c>
      <c r="AI918" s="139">
        <f t="shared" si="1841"/>
        <v>0</v>
      </c>
    </row>
    <row r="919" spans="2:35">
      <c r="B919" s="138" t="s">
        <v>8077</v>
      </c>
      <c r="C919" s="138" t="s">
        <v>4367</v>
      </c>
      <c r="D919" s="138" t="s">
        <v>11</v>
      </c>
      <c r="E919" s="138" t="s">
        <v>297</v>
      </c>
      <c r="F919" s="138" t="s">
        <v>855</v>
      </c>
      <c r="H919" s="138">
        <v>235</v>
      </c>
      <c r="I919" s="138">
        <v>826</v>
      </c>
      <c r="K919" s="138">
        <v>290</v>
      </c>
      <c r="L919" s="138">
        <v>509</v>
      </c>
      <c r="N919" s="138">
        <v>7</v>
      </c>
      <c r="O919" s="138">
        <v>1</v>
      </c>
      <c r="S919" s="138">
        <v>13</v>
      </c>
      <c r="T919" s="138">
        <v>6</v>
      </c>
      <c r="U919" s="138">
        <f t="shared" si="1536"/>
        <v>20</v>
      </c>
      <c r="W919" s="139">
        <f t="shared" ref="W919:AA919" si="1842">J919/$I919</f>
        <v>0</v>
      </c>
      <c r="X919" s="139">
        <f t="shared" si="1842"/>
        <v>0.35108958837772397</v>
      </c>
      <c r="Y919" s="139">
        <f t="shared" si="1842"/>
        <v>0.61622276029055689</v>
      </c>
      <c r="Z919" s="139">
        <f t="shared" si="1842"/>
        <v>0</v>
      </c>
      <c r="AA919" s="139">
        <f t="shared" si="1842"/>
        <v>8.4745762711864406E-3</v>
      </c>
      <c r="AB919" s="139"/>
      <c r="AC919" s="139">
        <f t="shared" si="1538"/>
        <v>2.4213075060532687E-2</v>
      </c>
      <c r="AD919" s="139">
        <f t="shared" ref="AD919:AI919" si="1843">O919/$I919</f>
        <v>1.2106537530266344E-3</v>
      </c>
      <c r="AE919" s="139">
        <f t="shared" si="1843"/>
        <v>0</v>
      </c>
      <c r="AF919" s="139">
        <f t="shared" si="1843"/>
        <v>0</v>
      </c>
      <c r="AG919" s="139">
        <f t="shared" si="1843"/>
        <v>0</v>
      </c>
      <c r="AH919" s="139">
        <f t="shared" si="1843"/>
        <v>1.5738498789346248E-2</v>
      </c>
      <c r="AI919" s="139">
        <f t="shared" si="1843"/>
        <v>7.2639225181598066E-3</v>
      </c>
    </row>
    <row r="920" spans="2:35">
      <c r="B920" s="138" t="s">
        <v>8077</v>
      </c>
      <c r="C920" s="138" t="s">
        <v>4367</v>
      </c>
      <c r="D920" s="138" t="s">
        <v>11</v>
      </c>
      <c r="E920" s="138" t="s">
        <v>297</v>
      </c>
      <c r="F920" s="138" t="s">
        <v>855</v>
      </c>
      <c r="H920" s="138">
        <v>236</v>
      </c>
      <c r="I920" s="138">
        <v>877</v>
      </c>
      <c r="K920" s="138">
        <v>439</v>
      </c>
      <c r="L920" s="138">
        <v>394</v>
      </c>
      <c r="N920" s="138">
        <v>19</v>
      </c>
      <c r="O920" s="138">
        <v>4</v>
      </c>
      <c r="S920" s="138">
        <v>15</v>
      </c>
      <c r="T920" s="138">
        <v>6</v>
      </c>
      <c r="U920" s="138">
        <f t="shared" si="1536"/>
        <v>25</v>
      </c>
      <c r="W920" s="139">
        <f t="shared" ref="W920:AA920" si="1844">J920/$I920</f>
        <v>0</v>
      </c>
      <c r="X920" s="139">
        <f t="shared" si="1844"/>
        <v>0.50057012542759405</v>
      </c>
      <c r="Y920" s="139">
        <f t="shared" si="1844"/>
        <v>0.44925883694412772</v>
      </c>
      <c r="Z920" s="139">
        <f t="shared" si="1844"/>
        <v>0</v>
      </c>
      <c r="AA920" s="139">
        <f t="shared" si="1844"/>
        <v>2.1664766248574687E-2</v>
      </c>
      <c r="AB920" s="139"/>
      <c r="AC920" s="139">
        <f t="shared" si="1538"/>
        <v>2.8506271379703536E-2</v>
      </c>
      <c r="AD920" s="139">
        <f t="shared" ref="AD920:AI920" si="1845">O920/$I920</f>
        <v>4.5610034207525657E-3</v>
      </c>
      <c r="AE920" s="139">
        <f t="shared" si="1845"/>
        <v>0</v>
      </c>
      <c r="AF920" s="139">
        <f t="shared" si="1845"/>
        <v>0</v>
      </c>
      <c r="AG920" s="139">
        <f t="shared" si="1845"/>
        <v>0</v>
      </c>
      <c r="AH920" s="139">
        <f t="shared" si="1845"/>
        <v>1.7103762827822121E-2</v>
      </c>
      <c r="AI920" s="139">
        <f t="shared" si="1845"/>
        <v>6.8415051311288486E-3</v>
      </c>
    </row>
    <row r="921" spans="2:35">
      <c r="B921" s="138" t="s">
        <v>8077</v>
      </c>
      <c r="C921" s="138" t="s">
        <v>4367</v>
      </c>
      <c r="D921" s="138" t="s">
        <v>11</v>
      </c>
      <c r="E921" s="138" t="s">
        <v>297</v>
      </c>
      <c r="F921" s="138" t="s">
        <v>855</v>
      </c>
      <c r="H921" s="138">
        <v>237</v>
      </c>
      <c r="I921" s="138">
        <v>631</v>
      </c>
      <c r="K921" s="138">
        <v>210</v>
      </c>
      <c r="L921" s="138">
        <v>398</v>
      </c>
      <c r="N921" s="138">
        <v>5</v>
      </c>
      <c r="O921" s="138">
        <v>1</v>
      </c>
      <c r="S921" s="138">
        <v>11</v>
      </c>
      <c r="T921" s="138">
        <v>6</v>
      </c>
      <c r="U921" s="138">
        <f t="shared" si="1536"/>
        <v>18</v>
      </c>
      <c r="W921" s="139">
        <f t="shared" ref="W921:AA921" si="1846">J921/$I921</f>
        <v>0</v>
      </c>
      <c r="X921" s="139">
        <f t="shared" si="1846"/>
        <v>0.3328050713153724</v>
      </c>
      <c r="Y921" s="139">
        <f t="shared" si="1846"/>
        <v>0.63074484944532483</v>
      </c>
      <c r="Z921" s="139">
        <f t="shared" si="1846"/>
        <v>0</v>
      </c>
      <c r="AA921" s="139">
        <f t="shared" si="1846"/>
        <v>7.9239302694136295E-3</v>
      </c>
      <c r="AB921" s="139"/>
      <c r="AC921" s="139">
        <f t="shared" si="1538"/>
        <v>2.8526148969889066E-2</v>
      </c>
      <c r="AD921" s="139">
        <f t="shared" ref="AD921:AI921" si="1847">O921/$I921</f>
        <v>1.5847860538827259E-3</v>
      </c>
      <c r="AE921" s="139">
        <f t="shared" si="1847"/>
        <v>0</v>
      </c>
      <c r="AF921" s="139">
        <f t="shared" si="1847"/>
        <v>0</v>
      </c>
      <c r="AG921" s="139">
        <f t="shared" si="1847"/>
        <v>0</v>
      </c>
      <c r="AH921" s="139">
        <f t="shared" si="1847"/>
        <v>1.7432646592709985E-2</v>
      </c>
      <c r="AI921" s="139">
        <f t="shared" si="1847"/>
        <v>9.5087163232963554E-3</v>
      </c>
    </row>
    <row r="922" spans="2:35">
      <c r="B922" s="138" t="s">
        <v>8077</v>
      </c>
      <c r="C922" s="138" t="s">
        <v>4367</v>
      </c>
      <c r="D922" s="138" t="s">
        <v>11</v>
      </c>
      <c r="E922" s="138" t="s">
        <v>297</v>
      </c>
      <c r="F922" s="138" t="s">
        <v>855</v>
      </c>
      <c r="H922" s="138">
        <v>238</v>
      </c>
      <c r="I922" s="138">
        <v>633</v>
      </c>
      <c r="K922" s="138">
        <v>127</v>
      </c>
      <c r="L922" s="138">
        <v>491</v>
      </c>
      <c r="N922" s="138">
        <v>3</v>
      </c>
      <c r="O922" s="138">
        <v>0</v>
      </c>
      <c r="S922" s="138">
        <v>11</v>
      </c>
      <c r="T922" s="138">
        <v>1</v>
      </c>
      <c r="U922" s="138">
        <f t="shared" si="1536"/>
        <v>12</v>
      </c>
      <c r="W922" s="139">
        <f t="shared" ref="W922:AA922" si="1848">J922/$I922</f>
        <v>0</v>
      </c>
      <c r="X922" s="139">
        <f t="shared" si="1848"/>
        <v>0.20063191153238547</v>
      </c>
      <c r="Y922" s="139">
        <f t="shared" si="1848"/>
        <v>0.77567140600315954</v>
      </c>
      <c r="Z922" s="139">
        <f t="shared" si="1848"/>
        <v>0</v>
      </c>
      <c r="AA922" s="139">
        <f t="shared" si="1848"/>
        <v>4.7393364928909956E-3</v>
      </c>
      <c r="AB922" s="139"/>
      <c r="AC922" s="139">
        <f t="shared" si="1538"/>
        <v>1.8957345971563982E-2</v>
      </c>
      <c r="AD922" s="139">
        <f t="shared" ref="AD922:AI922" si="1849">O922/$I922</f>
        <v>0</v>
      </c>
      <c r="AE922" s="139">
        <f t="shared" si="1849"/>
        <v>0</v>
      </c>
      <c r="AF922" s="139">
        <f t="shared" si="1849"/>
        <v>0</v>
      </c>
      <c r="AG922" s="139">
        <f t="shared" si="1849"/>
        <v>0</v>
      </c>
      <c r="AH922" s="139">
        <f t="shared" si="1849"/>
        <v>1.7377567140600316E-2</v>
      </c>
      <c r="AI922" s="139">
        <f t="shared" si="1849"/>
        <v>1.5797788309636651E-3</v>
      </c>
    </row>
    <row r="923" spans="2:35">
      <c r="B923" s="138" t="s">
        <v>8077</v>
      </c>
      <c r="C923" s="138" t="s">
        <v>4367</v>
      </c>
      <c r="D923" s="138" t="s">
        <v>11</v>
      </c>
      <c r="E923" s="138" t="s">
        <v>297</v>
      </c>
      <c r="F923" s="138" t="s">
        <v>855</v>
      </c>
      <c r="H923" s="138">
        <v>239</v>
      </c>
      <c r="I923" s="138">
        <v>699</v>
      </c>
      <c r="K923" s="138">
        <v>211</v>
      </c>
      <c r="L923" s="138">
        <v>451</v>
      </c>
      <c r="N923" s="138">
        <v>3</v>
      </c>
      <c r="O923" s="138">
        <v>2</v>
      </c>
      <c r="S923" s="138">
        <v>21</v>
      </c>
      <c r="T923" s="138">
        <v>11</v>
      </c>
      <c r="U923" s="138">
        <f t="shared" si="1536"/>
        <v>34</v>
      </c>
      <c r="W923" s="139">
        <f t="shared" ref="W923:AA923" si="1850">J923/$I923</f>
        <v>0</v>
      </c>
      <c r="X923" s="139">
        <f t="shared" si="1850"/>
        <v>0.30185979971387694</v>
      </c>
      <c r="Y923" s="139">
        <f t="shared" si="1850"/>
        <v>0.64520743919885548</v>
      </c>
      <c r="Z923" s="139">
        <f t="shared" si="1850"/>
        <v>0</v>
      </c>
      <c r="AA923" s="139">
        <f t="shared" si="1850"/>
        <v>4.2918454935622317E-3</v>
      </c>
      <c r="AB923" s="139"/>
      <c r="AC923" s="139">
        <f t="shared" si="1538"/>
        <v>4.8640915593705293E-2</v>
      </c>
      <c r="AD923" s="139">
        <f t="shared" ref="AD923:AI923" si="1851">O923/$I923</f>
        <v>2.8612303290414878E-3</v>
      </c>
      <c r="AE923" s="139">
        <f t="shared" si="1851"/>
        <v>0</v>
      </c>
      <c r="AF923" s="139">
        <f t="shared" si="1851"/>
        <v>0</v>
      </c>
      <c r="AG923" s="139">
        <f t="shared" si="1851"/>
        <v>0</v>
      </c>
      <c r="AH923" s="139">
        <f t="shared" si="1851"/>
        <v>3.0042918454935622E-2</v>
      </c>
      <c r="AI923" s="139">
        <f t="shared" si="1851"/>
        <v>1.5736766809728183E-2</v>
      </c>
    </row>
    <row r="924" spans="2:35">
      <c r="B924" s="138" t="s">
        <v>8077</v>
      </c>
      <c r="C924" s="138" t="s">
        <v>4367</v>
      </c>
      <c r="D924" s="138" t="s">
        <v>11</v>
      </c>
      <c r="E924" s="138" t="s">
        <v>297</v>
      </c>
      <c r="F924" s="138" t="s">
        <v>8156</v>
      </c>
      <c r="H924" s="138">
        <v>240</v>
      </c>
      <c r="I924" s="138">
        <v>973</v>
      </c>
      <c r="K924" s="138">
        <v>212</v>
      </c>
      <c r="L924" s="138">
        <v>744</v>
      </c>
      <c r="N924" s="138">
        <v>2</v>
      </c>
      <c r="O924" s="138">
        <v>0</v>
      </c>
      <c r="S924" s="138">
        <v>11</v>
      </c>
      <c r="T924" s="138">
        <v>4</v>
      </c>
      <c r="U924" s="138">
        <f t="shared" si="1536"/>
        <v>15</v>
      </c>
      <c r="W924" s="139">
        <f t="shared" ref="W924:AA924" si="1852">J924/$I924</f>
        <v>0</v>
      </c>
      <c r="X924" s="139">
        <f t="shared" si="1852"/>
        <v>0.21788283658787255</v>
      </c>
      <c r="Y924" s="139">
        <f t="shared" si="1852"/>
        <v>0.76464542651593015</v>
      </c>
      <c r="Z924" s="139">
        <f t="shared" si="1852"/>
        <v>0</v>
      </c>
      <c r="AA924" s="139">
        <f t="shared" si="1852"/>
        <v>2.0554984583761563E-3</v>
      </c>
      <c r="AB924" s="139"/>
      <c r="AC924" s="139">
        <f t="shared" si="1538"/>
        <v>1.5416238437821172E-2</v>
      </c>
      <c r="AD924" s="139">
        <f t="shared" ref="AD924:AI924" si="1853">O924/$I924</f>
        <v>0</v>
      </c>
      <c r="AE924" s="139">
        <f t="shared" si="1853"/>
        <v>0</v>
      </c>
      <c r="AF924" s="139">
        <f t="shared" si="1853"/>
        <v>0</v>
      </c>
      <c r="AG924" s="139">
        <f t="shared" si="1853"/>
        <v>0</v>
      </c>
      <c r="AH924" s="139">
        <f t="shared" si="1853"/>
        <v>1.1305241521068859E-2</v>
      </c>
      <c r="AI924" s="139">
        <f t="shared" si="1853"/>
        <v>4.1109969167523125E-3</v>
      </c>
    </row>
    <row r="925" spans="2:35">
      <c r="B925" s="138" t="s">
        <v>8077</v>
      </c>
      <c r="C925" s="138" t="s">
        <v>4367</v>
      </c>
      <c r="D925" s="138" t="s">
        <v>11</v>
      </c>
      <c r="E925" s="138" t="s">
        <v>297</v>
      </c>
      <c r="F925" s="138" t="s">
        <v>8156</v>
      </c>
      <c r="H925" s="138">
        <v>241</v>
      </c>
      <c r="I925" s="138">
        <v>929</v>
      </c>
      <c r="K925" s="138">
        <v>296</v>
      </c>
      <c r="L925" s="138">
        <v>596</v>
      </c>
      <c r="N925" s="138">
        <v>8</v>
      </c>
      <c r="O925" s="138">
        <v>2</v>
      </c>
      <c r="S925" s="138">
        <v>22</v>
      </c>
      <c r="T925" s="138">
        <v>5</v>
      </c>
      <c r="U925" s="138">
        <f t="shared" si="1536"/>
        <v>29</v>
      </c>
      <c r="W925" s="139">
        <f t="shared" ref="W925:AA925" si="1854">J925/$I925</f>
        <v>0</v>
      </c>
      <c r="X925" s="139">
        <f t="shared" si="1854"/>
        <v>0.31862217438105489</v>
      </c>
      <c r="Y925" s="139">
        <f t="shared" si="1854"/>
        <v>0.64155005382131325</v>
      </c>
      <c r="Z925" s="139">
        <f t="shared" si="1854"/>
        <v>0</v>
      </c>
      <c r="AA925" s="139">
        <f t="shared" si="1854"/>
        <v>8.6114101184068884E-3</v>
      </c>
      <c r="AB925" s="139"/>
      <c r="AC925" s="139">
        <f t="shared" si="1538"/>
        <v>3.1216361679224973E-2</v>
      </c>
      <c r="AD925" s="139">
        <f t="shared" ref="AD925:AI925" si="1855">O925/$I925</f>
        <v>2.1528525296017221E-3</v>
      </c>
      <c r="AE925" s="139">
        <f t="shared" si="1855"/>
        <v>0</v>
      </c>
      <c r="AF925" s="139">
        <f t="shared" si="1855"/>
        <v>0</v>
      </c>
      <c r="AG925" s="139">
        <f t="shared" si="1855"/>
        <v>0</v>
      </c>
      <c r="AH925" s="139">
        <f t="shared" si="1855"/>
        <v>2.3681377825618945E-2</v>
      </c>
      <c r="AI925" s="139">
        <f t="shared" si="1855"/>
        <v>5.3821313240043061E-3</v>
      </c>
    </row>
    <row r="926" spans="2:35">
      <c r="B926" s="138" t="s">
        <v>8077</v>
      </c>
      <c r="C926" s="138" t="s">
        <v>4367</v>
      </c>
      <c r="D926" s="138" t="s">
        <v>11</v>
      </c>
      <c r="E926" s="138" t="s">
        <v>297</v>
      </c>
      <c r="F926" s="138" t="s">
        <v>8156</v>
      </c>
      <c r="H926" s="138">
        <v>242</v>
      </c>
      <c r="I926" s="138">
        <v>687</v>
      </c>
      <c r="K926" s="138">
        <v>370</v>
      </c>
      <c r="L926" s="138">
        <v>285</v>
      </c>
      <c r="N926" s="138">
        <v>11</v>
      </c>
      <c r="O926" s="138">
        <v>1</v>
      </c>
      <c r="S926" s="138">
        <v>16</v>
      </c>
      <c r="T926" s="138">
        <v>4</v>
      </c>
      <c r="U926" s="138">
        <f t="shared" si="1536"/>
        <v>21</v>
      </c>
      <c r="W926" s="139">
        <f t="shared" ref="W926:AA926" si="1856">J926/$I926</f>
        <v>0</v>
      </c>
      <c r="X926" s="139">
        <f t="shared" si="1856"/>
        <v>0.53857350800582238</v>
      </c>
      <c r="Y926" s="139">
        <f t="shared" si="1856"/>
        <v>0.41484716157205243</v>
      </c>
      <c r="Z926" s="139">
        <f t="shared" si="1856"/>
        <v>0</v>
      </c>
      <c r="AA926" s="139">
        <f t="shared" si="1856"/>
        <v>1.6011644832605532E-2</v>
      </c>
      <c r="AB926" s="139"/>
      <c r="AC926" s="139">
        <f t="shared" si="1538"/>
        <v>3.0567685589519649E-2</v>
      </c>
      <c r="AD926" s="139">
        <f t="shared" ref="AD926:AI926" si="1857">O926/$I926</f>
        <v>1.455604075691412E-3</v>
      </c>
      <c r="AE926" s="139">
        <f t="shared" si="1857"/>
        <v>0</v>
      </c>
      <c r="AF926" s="139">
        <f t="shared" si="1857"/>
        <v>0</v>
      </c>
      <c r="AG926" s="139">
        <f t="shared" si="1857"/>
        <v>0</v>
      </c>
      <c r="AH926" s="139">
        <f t="shared" si="1857"/>
        <v>2.3289665211062592E-2</v>
      </c>
      <c r="AI926" s="139">
        <f t="shared" si="1857"/>
        <v>5.822416302765648E-3</v>
      </c>
    </row>
    <row r="927" spans="2:35">
      <c r="B927" s="138" t="s">
        <v>8077</v>
      </c>
      <c r="C927" s="138" t="s">
        <v>4367</v>
      </c>
      <c r="D927" s="138" t="s">
        <v>11</v>
      </c>
      <c r="E927" s="138" t="s">
        <v>297</v>
      </c>
      <c r="F927" s="138" t="s">
        <v>8156</v>
      </c>
      <c r="H927" s="138">
        <v>243</v>
      </c>
      <c r="I927" s="138">
        <v>1118</v>
      </c>
      <c r="K927" s="138">
        <v>514</v>
      </c>
      <c r="L927" s="138">
        <v>516</v>
      </c>
      <c r="N927" s="138">
        <v>11</v>
      </c>
      <c r="O927" s="138">
        <v>3</v>
      </c>
      <c r="S927" s="138">
        <v>48</v>
      </c>
      <c r="T927" s="138">
        <v>26</v>
      </c>
      <c r="U927" s="138">
        <f t="shared" si="1536"/>
        <v>77</v>
      </c>
      <c r="W927" s="139">
        <f t="shared" ref="W927:AA927" si="1858">J927/$I927</f>
        <v>0</v>
      </c>
      <c r="X927" s="139">
        <f t="shared" si="1858"/>
        <v>0.4597495527728086</v>
      </c>
      <c r="Y927" s="139">
        <f t="shared" si="1858"/>
        <v>0.46153846153846156</v>
      </c>
      <c r="Z927" s="139">
        <f t="shared" si="1858"/>
        <v>0</v>
      </c>
      <c r="AA927" s="139">
        <f t="shared" si="1858"/>
        <v>9.8389982110912346E-3</v>
      </c>
      <c r="AB927" s="139"/>
      <c r="AC927" s="139">
        <f t="shared" si="1538"/>
        <v>6.8872987477638634E-2</v>
      </c>
      <c r="AD927" s="139">
        <f t="shared" ref="AD927:AI927" si="1859">O927/$I927</f>
        <v>2.6833631484794273E-3</v>
      </c>
      <c r="AE927" s="139">
        <f t="shared" si="1859"/>
        <v>0</v>
      </c>
      <c r="AF927" s="139">
        <f t="shared" si="1859"/>
        <v>0</v>
      </c>
      <c r="AG927" s="139">
        <f t="shared" si="1859"/>
        <v>0</v>
      </c>
      <c r="AH927" s="139">
        <f t="shared" si="1859"/>
        <v>4.2933810375670838E-2</v>
      </c>
      <c r="AI927" s="139">
        <f t="shared" si="1859"/>
        <v>2.3255813953488372E-2</v>
      </c>
    </row>
    <row r="928" spans="2:35">
      <c r="B928" s="138" t="s">
        <v>8077</v>
      </c>
      <c r="C928" s="138" t="s">
        <v>4367</v>
      </c>
      <c r="D928" s="138" t="s">
        <v>11</v>
      </c>
      <c r="E928" s="138" t="s">
        <v>297</v>
      </c>
      <c r="F928" s="138" t="s">
        <v>874</v>
      </c>
      <c r="H928" s="138">
        <v>244</v>
      </c>
      <c r="I928" s="138">
        <v>953</v>
      </c>
      <c r="K928" s="138">
        <v>451</v>
      </c>
      <c r="L928" s="138">
        <v>470</v>
      </c>
      <c r="N928" s="138">
        <v>9</v>
      </c>
      <c r="O928" s="138">
        <v>2</v>
      </c>
      <c r="S928" s="138">
        <v>15</v>
      </c>
      <c r="T928" s="138">
        <v>6</v>
      </c>
      <c r="U928" s="138">
        <f t="shared" si="1536"/>
        <v>23</v>
      </c>
      <c r="W928" s="139">
        <f t="shared" ref="W928:AA928" si="1860">J928/$I928</f>
        <v>0</v>
      </c>
      <c r="X928" s="139">
        <f t="shared" si="1860"/>
        <v>0.47324239244491079</v>
      </c>
      <c r="Y928" s="139">
        <f t="shared" si="1860"/>
        <v>0.4931794333683106</v>
      </c>
      <c r="Z928" s="139">
        <f t="shared" si="1860"/>
        <v>0</v>
      </c>
      <c r="AA928" s="139">
        <f t="shared" si="1860"/>
        <v>9.4438614900314802E-3</v>
      </c>
      <c r="AB928" s="139"/>
      <c r="AC928" s="139">
        <f t="shared" si="1538"/>
        <v>2.4134312696747113E-2</v>
      </c>
      <c r="AD928" s="139">
        <f t="shared" ref="AD928:AI928" si="1861">O928/$I928</f>
        <v>2.0986358866736622E-3</v>
      </c>
      <c r="AE928" s="139">
        <f t="shared" si="1861"/>
        <v>0</v>
      </c>
      <c r="AF928" s="139">
        <f t="shared" si="1861"/>
        <v>0</v>
      </c>
      <c r="AG928" s="139">
        <f t="shared" si="1861"/>
        <v>0</v>
      </c>
      <c r="AH928" s="139">
        <f t="shared" si="1861"/>
        <v>1.5739769150052464E-2</v>
      </c>
      <c r="AI928" s="139">
        <f t="shared" si="1861"/>
        <v>6.2959076600209865E-3</v>
      </c>
    </row>
    <row r="929" spans="2:35">
      <c r="B929" s="138" t="s">
        <v>8077</v>
      </c>
      <c r="C929" s="138" t="s">
        <v>4367</v>
      </c>
      <c r="D929" s="138" t="s">
        <v>11</v>
      </c>
      <c r="E929" s="138" t="s">
        <v>297</v>
      </c>
      <c r="F929" s="138" t="s">
        <v>874</v>
      </c>
      <c r="H929" s="138">
        <v>245</v>
      </c>
      <c r="I929" s="138">
        <v>719</v>
      </c>
      <c r="K929" s="138">
        <v>216</v>
      </c>
      <c r="L929" s="138">
        <v>466</v>
      </c>
      <c r="N929" s="138">
        <v>4</v>
      </c>
      <c r="O929" s="138">
        <v>2</v>
      </c>
      <c r="S929" s="138">
        <v>27</v>
      </c>
      <c r="T929" s="138">
        <v>4</v>
      </c>
      <c r="U929" s="138">
        <f t="shared" si="1536"/>
        <v>33</v>
      </c>
      <c r="W929" s="139">
        <f t="shared" ref="W929:AA929" si="1862">J929/$I929</f>
        <v>0</v>
      </c>
      <c r="X929" s="139">
        <f t="shared" si="1862"/>
        <v>0.3004172461752434</v>
      </c>
      <c r="Y929" s="139">
        <f t="shared" si="1862"/>
        <v>0.64812239221140477</v>
      </c>
      <c r="Z929" s="139">
        <f t="shared" si="1862"/>
        <v>0</v>
      </c>
      <c r="AA929" s="139">
        <f t="shared" si="1862"/>
        <v>5.5632823365785811E-3</v>
      </c>
      <c r="AB929" s="139"/>
      <c r="AC929" s="139">
        <f t="shared" si="1538"/>
        <v>4.5897079276773299E-2</v>
      </c>
      <c r="AD929" s="139">
        <f t="shared" ref="AD929:AI929" si="1863">O929/$I929</f>
        <v>2.7816411682892906E-3</v>
      </c>
      <c r="AE929" s="139">
        <f t="shared" si="1863"/>
        <v>0</v>
      </c>
      <c r="AF929" s="139">
        <f t="shared" si="1863"/>
        <v>0</v>
      </c>
      <c r="AG929" s="139">
        <f t="shared" si="1863"/>
        <v>0</v>
      </c>
      <c r="AH929" s="139">
        <f t="shared" si="1863"/>
        <v>3.7552155771905425E-2</v>
      </c>
      <c r="AI929" s="139">
        <f t="shared" si="1863"/>
        <v>5.5632823365785811E-3</v>
      </c>
    </row>
    <row r="930" spans="2:35">
      <c r="B930" s="138" t="s">
        <v>8077</v>
      </c>
      <c r="C930" s="138" t="s">
        <v>4367</v>
      </c>
      <c r="D930" s="138" t="s">
        <v>11</v>
      </c>
      <c r="E930" s="138" t="s">
        <v>297</v>
      </c>
      <c r="F930" s="138" t="s">
        <v>860</v>
      </c>
      <c r="H930" s="138">
        <v>246</v>
      </c>
      <c r="I930" s="138">
        <v>727</v>
      </c>
      <c r="K930" s="138">
        <v>260</v>
      </c>
      <c r="L930" s="138">
        <v>416</v>
      </c>
      <c r="N930" s="138">
        <v>5</v>
      </c>
      <c r="O930" s="138">
        <v>2</v>
      </c>
      <c r="S930" s="138">
        <v>35</v>
      </c>
      <c r="T930" s="138">
        <v>9</v>
      </c>
      <c r="U930" s="138">
        <f t="shared" si="1536"/>
        <v>46</v>
      </c>
      <c r="W930" s="139">
        <f t="shared" ref="W930:AA930" si="1864">J930/$I930</f>
        <v>0</v>
      </c>
      <c r="X930" s="139">
        <f t="shared" si="1864"/>
        <v>0.35763411279229712</v>
      </c>
      <c r="Y930" s="139">
        <f t="shared" si="1864"/>
        <v>0.57221458046767537</v>
      </c>
      <c r="Z930" s="139">
        <f t="shared" si="1864"/>
        <v>0</v>
      </c>
      <c r="AA930" s="139">
        <f t="shared" si="1864"/>
        <v>6.8775790921595595E-3</v>
      </c>
      <c r="AB930" s="139"/>
      <c r="AC930" s="139">
        <f t="shared" si="1538"/>
        <v>6.3273727647867956E-2</v>
      </c>
      <c r="AD930" s="139">
        <f t="shared" ref="AD930:AI930" si="1865">O930/$I930</f>
        <v>2.751031636863824E-3</v>
      </c>
      <c r="AE930" s="139">
        <f t="shared" si="1865"/>
        <v>0</v>
      </c>
      <c r="AF930" s="139">
        <f t="shared" si="1865"/>
        <v>0</v>
      </c>
      <c r="AG930" s="139">
        <f t="shared" si="1865"/>
        <v>0</v>
      </c>
      <c r="AH930" s="139">
        <f t="shared" si="1865"/>
        <v>4.8143053645116916E-2</v>
      </c>
      <c r="AI930" s="139">
        <f t="shared" si="1865"/>
        <v>1.2379642365887207E-2</v>
      </c>
    </row>
    <row r="931" spans="2:35">
      <c r="B931" s="138" t="s">
        <v>8077</v>
      </c>
      <c r="C931" s="138" t="s">
        <v>4367</v>
      </c>
      <c r="D931" s="138" t="s">
        <v>11</v>
      </c>
      <c r="E931" s="138" t="s">
        <v>297</v>
      </c>
      <c r="F931" s="138" t="s">
        <v>860</v>
      </c>
      <c r="H931" s="138">
        <v>247</v>
      </c>
      <c r="I931" s="138">
        <v>921</v>
      </c>
      <c r="K931" s="138">
        <v>374</v>
      </c>
      <c r="L931" s="138">
        <v>497</v>
      </c>
      <c r="N931" s="138">
        <v>9</v>
      </c>
      <c r="O931" s="138">
        <v>0</v>
      </c>
      <c r="S931" s="138">
        <v>29</v>
      </c>
      <c r="T931" s="138">
        <v>12</v>
      </c>
      <c r="U931" s="138">
        <f t="shared" si="1536"/>
        <v>41</v>
      </c>
      <c r="W931" s="139">
        <f t="shared" ref="W931:AA931" si="1866">J931/$I931</f>
        <v>0</v>
      </c>
      <c r="X931" s="139">
        <f t="shared" si="1866"/>
        <v>0.40608034744842564</v>
      </c>
      <c r="Y931" s="139">
        <f t="shared" si="1866"/>
        <v>0.53963083604777418</v>
      </c>
      <c r="Z931" s="139">
        <f t="shared" si="1866"/>
        <v>0</v>
      </c>
      <c r="AA931" s="139">
        <f t="shared" si="1866"/>
        <v>9.7719869706840382E-3</v>
      </c>
      <c r="AB931" s="139"/>
      <c r="AC931" s="139">
        <f t="shared" si="1538"/>
        <v>4.4516829533116177E-2</v>
      </c>
      <c r="AD931" s="139">
        <f t="shared" ref="AD931:AI931" si="1867">O931/$I931</f>
        <v>0</v>
      </c>
      <c r="AE931" s="139">
        <f t="shared" si="1867"/>
        <v>0</v>
      </c>
      <c r="AF931" s="139">
        <f t="shared" si="1867"/>
        <v>0</v>
      </c>
      <c r="AG931" s="139">
        <f t="shared" si="1867"/>
        <v>0</v>
      </c>
      <c r="AH931" s="139">
        <f t="shared" si="1867"/>
        <v>3.1487513572204126E-2</v>
      </c>
      <c r="AI931" s="139">
        <f t="shared" si="1867"/>
        <v>1.3029315960912053E-2</v>
      </c>
    </row>
    <row r="932" spans="2:35">
      <c r="B932" s="138" t="s">
        <v>8077</v>
      </c>
      <c r="C932" s="138" t="s">
        <v>4367</v>
      </c>
      <c r="D932" s="138" t="s">
        <v>11</v>
      </c>
      <c r="E932" s="138" t="s">
        <v>297</v>
      </c>
      <c r="F932" s="138" t="s">
        <v>860</v>
      </c>
      <c r="H932" s="138">
        <v>248</v>
      </c>
      <c r="I932" s="138">
        <v>899</v>
      </c>
      <c r="K932" s="138">
        <v>383</v>
      </c>
      <c r="L932" s="138">
        <v>470</v>
      </c>
      <c r="N932" s="138">
        <v>12</v>
      </c>
      <c r="O932" s="138">
        <v>0</v>
      </c>
      <c r="S932" s="138">
        <v>29</v>
      </c>
      <c r="T932" s="138">
        <v>5</v>
      </c>
      <c r="U932" s="138">
        <f t="shared" si="1536"/>
        <v>34</v>
      </c>
      <c r="W932" s="139">
        <f t="shared" ref="W932:AA932" si="1868">J932/$I932</f>
        <v>0</v>
      </c>
      <c r="X932" s="139">
        <f t="shared" si="1868"/>
        <v>0.42602892102335926</v>
      </c>
      <c r="Y932" s="139">
        <f t="shared" si="1868"/>
        <v>0.52280311457174633</v>
      </c>
      <c r="Z932" s="139">
        <f t="shared" si="1868"/>
        <v>0</v>
      </c>
      <c r="AA932" s="139">
        <f t="shared" si="1868"/>
        <v>1.3348164627363738E-2</v>
      </c>
      <c r="AB932" s="139"/>
      <c r="AC932" s="139">
        <f t="shared" si="1538"/>
        <v>3.781979977753059E-2</v>
      </c>
      <c r="AD932" s="139">
        <f t="shared" ref="AD932:AI932" si="1869">O932/$I932</f>
        <v>0</v>
      </c>
      <c r="AE932" s="139">
        <f t="shared" si="1869"/>
        <v>0</v>
      </c>
      <c r="AF932" s="139">
        <f t="shared" si="1869"/>
        <v>0</v>
      </c>
      <c r="AG932" s="139">
        <f t="shared" si="1869"/>
        <v>0</v>
      </c>
      <c r="AH932" s="139">
        <f t="shared" si="1869"/>
        <v>3.2258064516129031E-2</v>
      </c>
      <c r="AI932" s="139">
        <f t="shared" si="1869"/>
        <v>5.5617352614015575E-3</v>
      </c>
    </row>
    <row r="933" spans="2:35">
      <c r="B933" s="138" t="s">
        <v>8077</v>
      </c>
      <c r="C933" s="138" t="s">
        <v>4367</v>
      </c>
      <c r="D933" s="138" t="s">
        <v>11</v>
      </c>
      <c r="E933" s="138" t="s">
        <v>297</v>
      </c>
      <c r="F933" s="138" t="s">
        <v>860</v>
      </c>
      <c r="H933" s="138">
        <v>249</v>
      </c>
      <c r="I933" s="138">
        <v>545</v>
      </c>
      <c r="K933" s="138">
        <v>191</v>
      </c>
      <c r="L933" s="138">
        <v>328</v>
      </c>
      <c r="N933" s="138">
        <v>8</v>
      </c>
      <c r="O933" s="138">
        <v>1</v>
      </c>
      <c r="S933" s="138">
        <v>12</v>
      </c>
      <c r="T933" s="138">
        <v>5</v>
      </c>
      <c r="U933" s="138">
        <f t="shared" si="1536"/>
        <v>18</v>
      </c>
      <c r="W933" s="139">
        <f t="shared" ref="W933:AA933" si="1870">J933/$I933</f>
        <v>0</v>
      </c>
      <c r="X933" s="139">
        <f t="shared" si="1870"/>
        <v>0.35045871559633029</v>
      </c>
      <c r="Y933" s="139">
        <f t="shared" si="1870"/>
        <v>0.60183486238532113</v>
      </c>
      <c r="Z933" s="139">
        <f t="shared" si="1870"/>
        <v>0</v>
      </c>
      <c r="AA933" s="139">
        <f t="shared" si="1870"/>
        <v>1.4678899082568808E-2</v>
      </c>
      <c r="AB933" s="139"/>
      <c r="AC933" s="139">
        <f t="shared" si="1538"/>
        <v>3.3027522935779818E-2</v>
      </c>
      <c r="AD933" s="139">
        <f t="shared" ref="AD933:AI933" si="1871">O933/$I933</f>
        <v>1.834862385321101E-3</v>
      </c>
      <c r="AE933" s="139">
        <f t="shared" si="1871"/>
        <v>0</v>
      </c>
      <c r="AF933" s="139">
        <f t="shared" si="1871"/>
        <v>0</v>
      </c>
      <c r="AG933" s="139">
        <f t="shared" si="1871"/>
        <v>0</v>
      </c>
      <c r="AH933" s="139">
        <f t="shared" si="1871"/>
        <v>2.2018348623853212E-2</v>
      </c>
      <c r="AI933" s="139">
        <f t="shared" si="1871"/>
        <v>9.1743119266055051E-3</v>
      </c>
    </row>
    <row r="934" spans="2:35">
      <c r="B934" s="138" t="s">
        <v>8077</v>
      </c>
      <c r="C934" s="138" t="s">
        <v>4367</v>
      </c>
      <c r="D934" s="138" t="s">
        <v>11</v>
      </c>
      <c r="E934" s="138" t="s">
        <v>297</v>
      </c>
      <c r="F934" s="138" t="s">
        <v>878</v>
      </c>
      <c r="H934" s="138">
        <v>250</v>
      </c>
      <c r="I934" s="138">
        <v>888</v>
      </c>
      <c r="K934" s="138">
        <v>341</v>
      </c>
      <c r="L934" s="138">
        <v>490</v>
      </c>
      <c r="N934" s="138">
        <v>9</v>
      </c>
      <c r="O934" s="138">
        <v>3</v>
      </c>
      <c r="S934" s="138">
        <v>26</v>
      </c>
      <c r="T934" s="138">
        <v>19</v>
      </c>
      <c r="U934" s="138">
        <f t="shared" si="1536"/>
        <v>48</v>
      </c>
      <c r="W934" s="139">
        <f t="shared" ref="W934:AA934" si="1872">J934/$I934</f>
        <v>0</v>
      </c>
      <c r="X934" s="139">
        <f t="shared" si="1872"/>
        <v>0.38400900900900903</v>
      </c>
      <c r="Y934" s="139">
        <f t="shared" si="1872"/>
        <v>0.55180180180180183</v>
      </c>
      <c r="Z934" s="139">
        <f t="shared" si="1872"/>
        <v>0</v>
      </c>
      <c r="AA934" s="139">
        <f t="shared" si="1872"/>
        <v>1.0135135135135136E-2</v>
      </c>
      <c r="AB934" s="139"/>
      <c r="AC934" s="139">
        <f t="shared" si="1538"/>
        <v>5.4054054054054057E-2</v>
      </c>
      <c r="AD934" s="139">
        <f t="shared" ref="AD934:AI934" si="1873">O934/$I934</f>
        <v>3.3783783783783786E-3</v>
      </c>
      <c r="AE934" s="139">
        <f t="shared" si="1873"/>
        <v>0</v>
      </c>
      <c r="AF934" s="139">
        <f t="shared" si="1873"/>
        <v>0</v>
      </c>
      <c r="AG934" s="139">
        <f t="shared" si="1873"/>
        <v>0</v>
      </c>
      <c r="AH934" s="139">
        <f t="shared" si="1873"/>
        <v>2.9279279279279279E-2</v>
      </c>
      <c r="AI934" s="139">
        <f t="shared" si="1873"/>
        <v>2.1396396396396396E-2</v>
      </c>
    </row>
    <row r="935" spans="2:35">
      <c r="B935" s="138" t="s">
        <v>8077</v>
      </c>
      <c r="C935" s="138" t="s">
        <v>4367</v>
      </c>
      <c r="D935" s="138" t="s">
        <v>11</v>
      </c>
      <c r="E935" s="138" t="s">
        <v>297</v>
      </c>
      <c r="F935" s="138" t="s">
        <v>878</v>
      </c>
      <c r="H935" s="138">
        <v>251</v>
      </c>
      <c r="I935" s="138">
        <v>855</v>
      </c>
      <c r="K935" s="138">
        <v>157</v>
      </c>
      <c r="L935" s="138">
        <v>646</v>
      </c>
      <c r="N935" s="138">
        <v>10</v>
      </c>
      <c r="O935" s="138">
        <v>1</v>
      </c>
      <c r="S935" s="138">
        <v>32</v>
      </c>
      <c r="T935" s="138">
        <v>9</v>
      </c>
      <c r="U935" s="138">
        <f t="shared" si="1536"/>
        <v>42</v>
      </c>
      <c r="W935" s="139">
        <f t="shared" ref="W935:AA935" si="1874">J935/$I935</f>
        <v>0</v>
      </c>
      <c r="X935" s="139">
        <f t="shared" si="1874"/>
        <v>0.18362573099415205</v>
      </c>
      <c r="Y935" s="139">
        <f t="shared" si="1874"/>
        <v>0.75555555555555554</v>
      </c>
      <c r="Z935" s="139">
        <f t="shared" si="1874"/>
        <v>0</v>
      </c>
      <c r="AA935" s="139">
        <f t="shared" si="1874"/>
        <v>1.1695906432748537E-2</v>
      </c>
      <c r="AB935" s="139"/>
      <c r="AC935" s="139">
        <f t="shared" si="1538"/>
        <v>4.912280701754386E-2</v>
      </c>
      <c r="AD935" s="139">
        <f t="shared" ref="AD935:AI935" si="1875">O935/$I935</f>
        <v>1.1695906432748538E-3</v>
      </c>
      <c r="AE935" s="139">
        <f t="shared" si="1875"/>
        <v>0</v>
      </c>
      <c r="AF935" s="139">
        <f t="shared" si="1875"/>
        <v>0</v>
      </c>
      <c r="AG935" s="139">
        <f t="shared" si="1875"/>
        <v>0</v>
      </c>
      <c r="AH935" s="139">
        <f t="shared" si="1875"/>
        <v>3.7426900584795322E-2</v>
      </c>
      <c r="AI935" s="139">
        <f t="shared" si="1875"/>
        <v>1.0526315789473684E-2</v>
      </c>
    </row>
    <row r="936" spans="2:35">
      <c r="B936" s="138" t="s">
        <v>8077</v>
      </c>
      <c r="C936" s="138" t="s">
        <v>4367</v>
      </c>
      <c r="D936" s="138" t="s">
        <v>11</v>
      </c>
      <c r="E936" s="138" t="s">
        <v>297</v>
      </c>
      <c r="F936" s="138" t="s">
        <v>878</v>
      </c>
      <c r="H936" s="138">
        <v>252</v>
      </c>
      <c r="I936" s="138">
        <v>677</v>
      </c>
      <c r="K936" s="138">
        <v>84</v>
      </c>
      <c r="L936" s="138">
        <v>556</v>
      </c>
      <c r="N936" s="138">
        <v>5</v>
      </c>
      <c r="O936" s="138">
        <v>2</v>
      </c>
      <c r="S936" s="138">
        <v>29</v>
      </c>
      <c r="T936" s="138">
        <v>1</v>
      </c>
      <c r="U936" s="138">
        <f t="shared" si="1536"/>
        <v>32</v>
      </c>
      <c r="W936" s="139">
        <f t="shared" ref="W936:AA936" si="1876">J936/$I936</f>
        <v>0</v>
      </c>
      <c r="X936" s="139">
        <f t="shared" si="1876"/>
        <v>0.1240768094534712</v>
      </c>
      <c r="Y936" s="139">
        <f t="shared" si="1876"/>
        <v>0.82127031019202368</v>
      </c>
      <c r="Z936" s="139">
        <f t="shared" si="1876"/>
        <v>0</v>
      </c>
      <c r="AA936" s="139">
        <f t="shared" si="1876"/>
        <v>7.385524372230428E-3</v>
      </c>
      <c r="AB936" s="139"/>
      <c r="AC936" s="139">
        <f t="shared" si="1538"/>
        <v>4.7267355982274745E-2</v>
      </c>
      <c r="AD936" s="139">
        <f t="shared" ref="AD936:AI936" si="1877">O936/$I936</f>
        <v>2.9542097488921715E-3</v>
      </c>
      <c r="AE936" s="139">
        <f t="shared" si="1877"/>
        <v>0</v>
      </c>
      <c r="AF936" s="139">
        <f t="shared" si="1877"/>
        <v>0</v>
      </c>
      <c r="AG936" s="139">
        <f t="shared" si="1877"/>
        <v>0</v>
      </c>
      <c r="AH936" s="139">
        <f t="shared" si="1877"/>
        <v>4.2836041358936483E-2</v>
      </c>
      <c r="AI936" s="139">
        <f t="shared" si="1877"/>
        <v>1.4771048744460858E-3</v>
      </c>
    </row>
    <row r="937" spans="2:35">
      <c r="B937" s="138" t="s">
        <v>8077</v>
      </c>
      <c r="C937" s="138" t="s">
        <v>4367</v>
      </c>
      <c r="D937" s="138" t="s">
        <v>11</v>
      </c>
      <c r="E937" s="138" t="s">
        <v>297</v>
      </c>
      <c r="F937" s="138" t="s">
        <v>860</v>
      </c>
      <c r="H937" s="138">
        <v>253</v>
      </c>
      <c r="I937" s="138">
        <v>826</v>
      </c>
      <c r="K937" s="138">
        <v>130</v>
      </c>
      <c r="L937" s="138">
        <v>652</v>
      </c>
      <c r="N937" s="138">
        <v>5</v>
      </c>
      <c r="O937" s="138">
        <v>2</v>
      </c>
      <c r="S937" s="138">
        <v>33</v>
      </c>
      <c r="T937" s="138">
        <v>4</v>
      </c>
      <c r="U937" s="138">
        <f t="shared" si="1536"/>
        <v>39</v>
      </c>
      <c r="W937" s="139">
        <f t="shared" ref="W937:AA937" si="1878">J937/$I937</f>
        <v>0</v>
      </c>
      <c r="X937" s="139">
        <f t="shared" si="1878"/>
        <v>0.15738498789346247</v>
      </c>
      <c r="Y937" s="139">
        <f t="shared" si="1878"/>
        <v>0.78934624697336564</v>
      </c>
      <c r="Z937" s="139">
        <f t="shared" si="1878"/>
        <v>0</v>
      </c>
      <c r="AA937" s="139">
        <f t="shared" si="1878"/>
        <v>6.0532687651331718E-3</v>
      </c>
      <c r="AB937" s="139"/>
      <c r="AC937" s="139">
        <f t="shared" si="1538"/>
        <v>4.7215496368038741E-2</v>
      </c>
      <c r="AD937" s="139">
        <f t="shared" ref="AD937:AI937" si="1879">O937/$I937</f>
        <v>2.4213075060532689E-3</v>
      </c>
      <c r="AE937" s="139">
        <f t="shared" si="1879"/>
        <v>0</v>
      </c>
      <c r="AF937" s="139">
        <f t="shared" si="1879"/>
        <v>0</v>
      </c>
      <c r="AG937" s="139">
        <f t="shared" si="1879"/>
        <v>0</v>
      </c>
      <c r="AH937" s="139">
        <f t="shared" si="1879"/>
        <v>3.9951573849878935E-2</v>
      </c>
      <c r="AI937" s="139">
        <f t="shared" si="1879"/>
        <v>4.8426150121065378E-3</v>
      </c>
    </row>
    <row r="938" spans="2:35">
      <c r="B938" s="138" t="s">
        <v>8077</v>
      </c>
      <c r="C938" s="138" t="s">
        <v>4367</v>
      </c>
      <c r="D938" s="138" t="s">
        <v>11</v>
      </c>
      <c r="E938" s="138" t="s">
        <v>297</v>
      </c>
      <c r="F938" s="138" t="s">
        <v>878</v>
      </c>
      <c r="H938" s="138">
        <v>254</v>
      </c>
      <c r="I938" s="138">
        <v>893</v>
      </c>
      <c r="K938" s="138">
        <v>414</v>
      </c>
      <c r="L938" s="138">
        <v>438</v>
      </c>
      <c r="N938" s="138">
        <v>10</v>
      </c>
      <c r="O938" s="138">
        <v>2</v>
      </c>
      <c r="S938" s="138">
        <v>23</v>
      </c>
      <c r="T938" s="138">
        <v>6</v>
      </c>
      <c r="U938" s="138">
        <f t="shared" si="1536"/>
        <v>31</v>
      </c>
      <c r="W938" s="139">
        <f t="shared" ref="W938:AA938" si="1880">J938/$I938</f>
        <v>0</v>
      </c>
      <c r="X938" s="139">
        <f t="shared" si="1880"/>
        <v>0.46360582306830905</v>
      </c>
      <c r="Y938" s="139">
        <f t="shared" si="1880"/>
        <v>0.49048152295632697</v>
      </c>
      <c r="Z938" s="139">
        <f t="shared" si="1880"/>
        <v>0</v>
      </c>
      <c r="AA938" s="139">
        <f t="shared" si="1880"/>
        <v>1.1198208286674132E-2</v>
      </c>
      <c r="AB938" s="139"/>
      <c r="AC938" s="139">
        <f t="shared" si="1538"/>
        <v>3.471444568868981E-2</v>
      </c>
      <c r="AD938" s="139">
        <f t="shared" ref="AD938:AI938" si="1881">O938/$I938</f>
        <v>2.2396416573348264E-3</v>
      </c>
      <c r="AE938" s="139">
        <f t="shared" si="1881"/>
        <v>0</v>
      </c>
      <c r="AF938" s="139">
        <f t="shared" si="1881"/>
        <v>0</v>
      </c>
      <c r="AG938" s="139">
        <f t="shared" si="1881"/>
        <v>0</v>
      </c>
      <c r="AH938" s="139">
        <f t="shared" si="1881"/>
        <v>2.5755879059350503E-2</v>
      </c>
      <c r="AI938" s="139">
        <f t="shared" si="1881"/>
        <v>6.7189249720044789E-3</v>
      </c>
    </row>
    <row r="939" spans="2:35">
      <c r="B939" s="138" t="s">
        <v>8077</v>
      </c>
      <c r="C939" s="138" t="s">
        <v>4367</v>
      </c>
      <c r="D939" s="138" t="s">
        <v>11</v>
      </c>
      <c r="E939" s="138" t="s">
        <v>297</v>
      </c>
      <c r="F939" s="138" t="s">
        <v>878</v>
      </c>
      <c r="H939" s="138">
        <v>255</v>
      </c>
      <c r="I939" s="138">
        <v>879</v>
      </c>
      <c r="K939" s="138">
        <v>481</v>
      </c>
      <c r="L939" s="138">
        <v>364</v>
      </c>
      <c r="N939" s="138">
        <v>11</v>
      </c>
      <c r="O939" s="138">
        <v>1</v>
      </c>
      <c r="S939" s="138">
        <v>13</v>
      </c>
      <c r="T939" s="138">
        <v>9</v>
      </c>
      <c r="U939" s="138">
        <f t="shared" si="1536"/>
        <v>23</v>
      </c>
      <c r="W939" s="139">
        <f t="shared" ref="W939:AA939" si="1882">J939/$I939</f>
        <v>0</v>
      </c>
      <c r="X939" s="139">
        <f t="shared" si="1882"/>
        <v>0.54721274175199086</v>
      </c>
      <c r="Y939" s="139">
        <f t="shared" si="1882"/>
        <v>0.41410693970420931</v>
      </c>
      <c r="Z939" s="139">
        <f t="shared" si="1882"/>
        <v>0</v>
      </c>
      <c r="AA939" s="139">
        <f t="shared" si="1882"/>
        <v>1.2514220705346985E-2</v>
      </c>
      <c r="AB939" s="139"/>
      <c r="AC939" s="139">
        <f t="shared" si="1538"/>
        <v>2.6166097838452786E-2</v>
      </c>
      <c r="AD939" s="139">
        <f t="shared" ref="AD939:AI939" si="1883">O939/$I939</f>
        <v>1.1376564277588168E-3</v>
      </c>
      <c r="AE939" s="139">
        <f t="shared" si="1883"/>
        <v>0</v>
      </c>
      <c r="AF939" s="139">
        <f t="shared" si="1883"/>
        <v>0</v>
      </c>
      <c r="AG939" s="139">
        <f t="shared" si="1883"/>
        <v>0</v>
      </c>
      <c r="AH939" s="139">
        <f t="shared" si="1883"/>
        <v>1.4789533560864619E-2</v>
      </c>
      <c r="AI939" s="139">
        <f t="shared" si="1883"/>
        <v>1.0238907849829351E-2</v>
      </c>
    </row>
    <row r="940" spans="2:35">
      <c r="B940" s="138" t="s">
        <v>8077</v>
      </c>
      <c r="C940" s="138" t="s">
        <v>4367</v>
      </c>
      <c r="D940" s="138" t="s">
        <v>11</v>
      </c>
      <c r="E940" s="138" t="s">
        <v>297</v>
      </c>
      <c r="F940" s="138" t="s">
        <v>871</v>
      </c>
      <c r="H940" s="138">
        <v>256</v>
      </c>
      <c r="I940" s="138">
        <v>1015</v>
      </c>
      <c r="K940" s="138">
        <v>329</v>
      </c>
      <c r="L940" s="138">
        <v>648</v>
      </c>
      <c r="N940" s="138">
        <v>3</v>
      </c>
      <c r="O940" s="138">
        <v>1</v>
      </c>
      <c r="S940" s="138">
        <v>19</v>
      </c>
      <c r="T940" s="138">
        <v>15</v>
      </c>
      <c r="U940" s="138">
        <f t="shared" si="1536"/>
        <v>35</v>
      </c>
      <c r="W940" s="139">
        <f t="shared" ref="W940:AA940" si="1884">J940/$I940</f>
        <v>0</v>
      </c>
      <c r="X940" s="139">
        <f t="shared" si="1884"/>
        <v>0.32413793103448274</v>
      </c>
      <c r="Y940" s="139">
        <f t="shared" si="1884"/>
        <v>0.63842364532019702</v>
      </c>
      <c r="Z940" s="139">
        <f t="shared" si="1884"/>
        <v>0</v>
      </c>
      <c r="AA940" s="139">
        <f t="shared" si="1884"/>
        <v>2.9556650246305421E-3</v>
      </c>
      <c r="AB940" s="139"/>
      <c r="AC940" s="139">
        <f t="shared" si="1538"/>
        <v>3.4482758620689655E-2</v>
      </c>
      <c r="AD940" s="139">
        <f t="shared" ref="AD940:AI940" si="1885">O940/$I940</f>
        <v>9.8522167487684722E-4</v>
      </c>
      <c r="AE940" s="139">
        <f t="shared" si="1885"/>
        <v>0</v>
      </c>
      <c r="AF940" s="139">
        <f t="shared" si="1885"/>
        <v>0</v>
      </c>
      <c r="AG940" s="139">
        <f t="shared" si="1885"/>
        <v>0</v>
      </c>
      <c r="AH940" s="139">
        <f t="shared" si="1885"/>
        <v>1.8719211822660099E-2</v>
      </c>
      <c r="AI940" s="139">
        <f t="shared" si="1885"/>
        <v>1.4778325123152709E-2</v>
      </c>
    </row>
    <row r="941" spans="2:35">
      <c r="B941" s="138" t="s">
        <v>8077</v>
      </c>
      <c r="C941" s="138" t="s">
        <v>4367</v>
      </c>
      <c r="D941" s="138" t="s">
        <v>11</v>
      </c>
      <c r="E941" s="138" t="s">
        <v>297</v>
      </c>
      <c r="F941" s="138" t="s">
        <v>8157</v>
      </c>
      <c r="H941" s="138">
        <v>257</v>
      </c>
      <c r="I941" s="138">
        <v>599</v>
      </c>
      <c r="K941" s="138">
        <v>287</v>
      </c>
      <c r="L941" s="138">
        <v>293</v>
      </c>
      <c r="N941" s="138">
        <v>4</v>
      </c>
      <c r="O941" s="138">
        <v>0</v>
      </c>
      <c r="S941" s="138">
        <v>9</v>
      </c>
      <c r="T941" s="138">
        <v>6</v>
      </c>
      <c r="U941" s="138">
        <f t="shared" si="1536"/>
        <v>15</v>
      </c>
      <c r="W941" s="139">
        <f t="shared" ref="W941:AA941" si="1886">J941/$I941</f>
        <v>0</v>
      </c>
      <c r="X941" s="139">
        <f t="shared" si="1886"/>
        <v>0.47913188647746241</v>
      </c>
      <c r="Y941" s="139">
        <f t="shared" si="1886"/>
        <v>0.48914858096828046</v>
      </c>
      <c r="Z941" s="139">
        <f t="shared" si="1886"/>
        <v>0</v>
      </c>
      <c r="AA941" s="139">
        <f t="shared" si="1886"/>
        <v>6.6777963272120202E-3</v>
      </c>
      <c r="AB941" s="139"/>
      <c r="AC941" s="139">
        <f t="shared" si="1538"/>
        <v>2.5041736227045076E-2</v>
      </c>
      <c r="AD941" s="139">
        <f t="shared" ref="AD941:AI941" si="1887">O941/$I941</f>
        <v>0</v>
      </c>
      <c r="AE941" s="139">
        <f t="shared" si="1887"/>
        <v>0</v>
      </c>
      <c r="AF941" s="139">
        <f t="shared" si="1887"/>
        <v>0</v>
      </c>
      <c r="AG941" s="139">
        <f t="shared" si="1887"/>
        <v>0</v>
      </c>
      <c r="AH941" s="139">
        <f t="shared" si="1887"/>
        <v>1.5025041736227046E-2</v>
      </c>
      <c r="AI941" s="139">
        <f t="shared" si="1887"/>
        <v>1.001669449081803E-2</v>
      </c>
    </row>
    <row r="942" spans="2:35">
      <c r="B942" s="138" t="s">
        <v>8077</v>
      </c>
      <c r="C942" s="138" t="s">
        <v>4367</v>
      </c>
      <c r="D942" s="138" t="s">
        <v>11</v>
      </c>
      <c r="E942" s="138" t="s">
        <v>297</v>
      </c>
      <c r="F942" s="138" t="s">
        <v>883</v>
      </c>
      <c r="H942" s="138">
        <v>258</v>
      </c>
      <c r="I942" s="138">
        <v>1034</v>
      </c>
      <c r="K942" s="138">
        <v>557</v>
      </c>
      <c r="L942" s="138">
        <v>404</v>
      </c>
      <c r="N942" s="138">
        <v>13</v>
      </c>
      <c r="O942" s="138">
        <v>1</v>
      </c>
      <c r="S942" s="138">
        <v>49</v>
      </c>
      <c r="T942" s="138">
        <v>10</v>
      </c>
      <c r="U942" s="138">
        <f t="shared" si="1536"/>
        <v>60</v>
      </c>
      <c r="W942" s="139">
        <f t="shared" ref="W942:AA942" si="1888">J942/$I942</f>
        <v>0</v>
      </c>
      <c r="X942" s="139">
        <f t="shared" si="1888"/>
        <v>0.53868471953578334</v>
      </c>
      <c r="Y942" s="139">
        <f t="shared" si="1888"/>
        <v>0.390715667311412</v>
      </c>
      <c r="Z942" s="139">
        <f t="shared" si="1888"/>
        <v>0</v>
      </c>
      <c r="AA942" s="139">
        <f t="shared" si="1888"/>
        <v>1.2572533849129593E-2</v>
      </c>
      <c r="AB942" s="139"/>
      <c r="AC942" s="139">
        <f t="shared" si="1538"/>
        <v>5.8027079303675046E-2</v>
      </c>
      <c r="AD942" s="139">
        <f t="shared" ref="AD942:AI942" si="1889">O942/$I942</f>
        <v>9.6711798839458415E-4</v>
      </c>
      <c r="AE942" s="139">
        <f t="shared" si="1889"/>
        <v>0</v>
      </c>
      <c r="AF942" s="139">
        <f t="shared" si="1889"/>
        <v>0</v>
      </c>
      <c r="AG942" s="139">
        <f t="shared" si="1889"/>
        <v>0</v>
      </c>
      <c r="AH942" s="139">
        <f t="shared" si="1889"/>
        <v>4.7388781431334626E-2</v>
      </c>
      <c r="AI942" s="139">
        <f t="shared" si="1889"/>
        <v>9.6711798839458421E-3</v>
      </c>
    </row>
    <row r="943" spans="2:35">
      <c r="B943" s="138" t="s">
        <v>8077</v>
      </c>
      <c r="C943" s="138" t="s">
        <v>4367</v>
      </c>
      <c r="D943" s="138" t="s">
        <v>11</v>
      </c>
      <c r="E943" s="138" t="s">
        <v>297</v>
      </c>
      <c r="F943" s="138" t="s">
        <v>883</v>
      </c>
      <c r="H943" s="138">
        <v>259</v>
      </c>
      <c r="I943" s="138">
        <v>977</v>
      </c>
      <c r="K943" s="138">
        <v>479</v>
      </c>
      <c r="L943" s="138">
        <v>457</v>
      </c>
      <c r="N943" s="138">
        <v>10</v>
      </c>
      <c r="O943" s="138">
        <v>3</v>
      </c>
      <c r="S943" s="138">
        <v>23</v>
      </c>
      <c r="T943" s="138">
        <v>5</v>
      </c>
      <c r="U943" s="138">
        <f t="shared" si="1536"/>
        <v>31</v>
      </c>
      <c r="W943" s="139">
        <f t="shared" ref="W943:AA943" si="1890">J943/$I943</f>
        <v>0</v>
      </c>
      <c r="X943" s="139">
        <f t="shared" si="1890"/>
        <v>0.49027635619242577</v>
      </c>
      <c r="Y943" s="139">
        <f t="shared" si="1890"/>
        <v>0.46775844421699081</v>
      </c>
      <c r="Z943" s="139">
        <f t="shared" si="1890"/>
        <v>0</v>
      </c>
      <c r="AA943" s="139">
        <f t="shared" si="1890"/>
        <v>1.0235414534288639E-2</v>
      </c>
      <c r="AB943" s="139"/>
      <c r="AC943" s="139">
        <f t="shared" si="1538"/>
        <v>3.1729785056294778E-2</v>
      </c>
      <c r="AD943" s="139">
        <f t="shared" ref="AD943:AI943" si="1891">O943/$I943</f>
        <v>3.0706243602865915E-3</v>
      </c>
      <c r="AE943" s="139">
        <f t="shared" si="1891"/>
        <v>0</v>
      </c>
      <c r="AF943" s="139">
        <f t="shared" si="1891"/>
        <v>0</v>
      </c>
      <c r="AG943" s="139">
        <f t="shared" si="1891"/>
        <v>0</v>
      </c>
      <c r="AH943" s="139">
        <f t="shared" si="1891"/>
        <v>2.3541453428863868E-2</v>
      </c>
      <c r="AI943" s="139">
        <f t="shared" si="1891"/>
        <v>5.1177072671443197E-3</v>
      </c>
    </row>
    <row r="944" spans="2:35">
      <c r="B944" s="138" t="s">
        <v>8077</v>
      </c>
      <c r="C944" s="138" t="s">
        <v>4367</v>
      </c>
      <c r="D944" s="138" t="s">
        <v>11</v>
      </c>
      <c r="E944" s="138" t="s">
        <v>297</v>
      </c>
      <c r="F944" s="138" t="s">
        <v>883</v>
      </c>
      <c r="H944" s="138">
        <v>260</v>
      </c>
      <c r="I944" s="138">
        <v>736</v>
      </c>
      <c r="K944" s="138">
        <v>268</v>
      </c>
      <c r="L944" s="138">
        <v>433</v>
      </c>
      <c r="N944" s="138">
        <v>9</v>
      </c>
      <c r="O944" s="138">
        <v>1</v>
      </c>
      <c r="S944" s="138">
        <v>20</v>
      </c>
      <c r="T944" s="138">
        <v>5</v>
      </c>
      <c r="U944" s="138">
        <f t="shared" si="1536"/>
        <v>26</v>
      </c>
      <c r="W944" s="139">
        <f t="shared" ref="W944:AA944" si="1892">J944/$I944</f>
        <v>0</v>
      </c>
      <c r="X944" s="139">
        <f t="shared" si="1892"/>
        <v>0.3641304347826087</v>
      </c>
      <c r="Y944" s="139">
        <f t="shared" si="1892"/>
        <v>0.58831521739130432</v>
      </c>
      <c r="Z944" s="139">
        <f t="shared" si="1892"/>
        <v>0</v>
      </c>
      <c r="AA944" s="139">
        <f t="shared" si="1892"/>
        <v>1.2228260869565218E-2</v>
      </c>
      <c r="AB944" s="139"/>
      <c r="AC944" s="139">
        <f t="shared" si="1538"/>
        <v>3.5326086956521736E-2</v>
      </c>
      <c r="AD944" s="139">
        <f t="shared" ref="AD944:AI944" si="1893">O944/$I944</f>
        <v>1.358695652173913E-3</v>
      </c>
      <c r="AE944" s="139">
        <f t="shared" si="1893"/>
        <v>0</v>
      </c>
      <c r="AF944" s="139">
        <f t="shared" si="1893"/>
        <v>0</v>
      </c>
      <c r="AG944" s="139">
        <f t="shared" si="1893"/>
        <v>0</v>
      </c>
      <c r="AH944" s="139">
        <f t="shared" si="1893"/>
        <v>2.717391304347826E-2</v>
      </c>
      <c r="AI944" s="139">
        <f t="shared" si="1893"/>
        <v>6.793478260869565E-3</v>
      </c>
    </row>
    <row r="945" spans="2:35">
      <c r="B945" s="138" t="s">
        <v>8077</v>
      </c>
      <c r="C945" s="138" t="s">
        <v>4367</v>
      </c>
      <c r="D945" s="138" t="s">
        <v>11</v>
      </c>
      <c r="E945" s="138" t="s">
        <v>297</v>
      </c>
      <c r="F945" s="138" t="s">
        <v>8158</v>
      </c>
      <c r="H945" s="138">
        <v>261</v>
      </c>
      <c r="I945" s="138">
        <v>481</v>
      </c>
      <c r="K945" s="138">
        <v>104</v>
      </c>
      <c r="L945" s="138">
        <v>356</v>
      </c>
      <c r="N945" s="138">
        <v>2</v>
      </c>
      <c r="O945" s="138">
        <v>1</v>
      </c>
      <c r="S945" s="138">
        <v>9</v>
      </c>
      <c r="T945" s="138">
        <v>9</v>
      </c>
      <c r="U945" s="138">
        <f t="shared" si="1536"/>
        <v>19</v>
      </c>
      <c r="W945" s="139">
        <f t="shared" ref="W945:AA945" si="1894">J945/$I945</f>
        <v>0</v>
      </c>
      <c r="X945" s="139">
        <f t="shared" si="1894"/>
        <v>0.21621621621621623</v>
      </c>
      <c r="Y945" s="139">
        <f t="shared" si="1894"/>
        <v>0.74012474012474017</v>
      </c>
      <c r="Z945" s="139">
        <f t="shared" si="1894"/>
        <v>0</v>
      </c>
      <c r="AA945" s="139">
        <f t="shared" si="1894"/>
        <v>4.1580041580041582E-3</v>
      </c>
      <c r="AB945" s="139"/>
      <c r="AC945" s="139">
        <f t="shared" si="1538"/>
        <v>3.9501039501039503E-2</v>
      </c>
      <c r="AD945" s="139">
        <f t="shared" ref="AD945:AI945" si="1895">O945/$I945</f>
        <v>2.0790020790020791E-3</v>
      </c>
      <c r="AE945" s="139">
        <f t="shared" si="1895"/>
        <v>0</v>
      </c>
      <c r="AF945" s="139">
        <f t="shared" si="1895"/>
        <v>0</v>
      </c>
      <c r="AG945" s="139">
        <f t="shared" si="1895"/>
        <v>0</v>
      </c>
      <c r="AH945" s="139">
        <f t="shared" si="1895"/>
        <v>1.8711018711018712E-2</v>
      </c>
      <c r="AI945" s="139">
        <f t="shared" si="1895"/>
        <v>1.8711018711018712E-2</v>
      </c>
    </row>
    <row r="946" spans="2:35">
      <c r="B946" s="138" t="s">
        <v>8077</v>
      </c>
      <c r="C946" s="138" t="s">
        <v>4367</v>
      </c>
      <c r="D946" s="138" t="s">
        <v>11</v>
      </c>
      <c r="E946" s="138" t="s">
        <v>297</v>
      </c>
      <c r="F946" s="138" t="s">
        <v>868</v>
      </c>
      <c r="H946" s="138">
        <v>262</v>
      </c>
      <c r="I946" s="138">
        <v>1014</v>
      </c>
      <c r="K946" s="138">
        <v>379</v>
      </c>
      <c r="L946" s="138">
        <v>601</v>
      </c>
      <c r="N946" s="138">
        <v>6</v>
      </c>
      <c r="O946" s="138">
        <v>1</v>
      </c>
      <c r="S946" s="138">
        <v>21</v>
      </c>
      <c r="T946" s="138">
        <v>6</v>
      </c>
      <c r="U946" s="138">
        <f t="shared" si="1536"/>
        <v>28</v>
      </c>
      <c r="W946" s="139">
        <f t="shared" ref="W946:AA946" si="1896">J946/$I946</f>
        <v>0</v>
      </c>
      <c r="X946" s="139">
        <f t="shared" si="1896"/>
        <v>0.37376725838264302</v>
      </c>
      <c r="Y946" s="139">
        <f t="shared" si="1896"/>
        <v>0.59270216962524658</v>
      </c>
      <c r="Z946" s="139">
        <f t="shared" si="1896"/>
        <v>0</v>
      </c>
      <c r="AA946" s="139">
        <f t="shared" si="1896"/>
        <v>5.9171597633136093E-3</v>
      </c>
      <c r="AB946" s="139"/>
      <c r="AC946" s="139">
        <f t="shared" si="1538"/>
        <v>2.7613412228796843E-2</v>
      </c>
      <c r="AD946" s="139">
        <f t="shared" ref="AD946:AI946" si="1897">O946/$I946</f>
        <v>9.8619329388560163E-4</v>
      </c>
      <c r="AE946" s="139">
        <f t="shared" si="1897"/>
        <v>0</v>
      </c>
      <c r="AF946" s="139">
        <f t="shared" si="1897"/>
        <v>0</v>
      </c>
      <c r="AG946" s="139">
        <f t="shared" si="1897"/>
        <v>0</v>
      </c>
      <c r="AH946" s="139">
        <f t="shared" si="1897"/>
        <v>2.0710059171597635E-2</v>
      </c>
      <c r="AI946" s="139">
        <f t="shared" si="1897"/>
        <v>5.9171597633136093E-3</v>
      </c>
    </row>
    <row r="947" spans="2:35">
      <c r="B947" s="138" t="s">
        <v>8077</v>
      </c>
      <c r="C947" s="138" t="s">
        <v>4367</v>
      </c>
      <c r="D947" s="138" t="s">
        <v>11</v>
      </c>
      <c r="E947" s="138" t="s">
        <v>297</v>
      </c>
      <c r="F947" s="138" t="s">
        <v>868</v>
      </c>
      <c r="H947" s="138">
        <v>263</v>
      </c>
      <c r="I947" s="138">
        <v>979</v>
      </c>
      <c r="K947" s="138">
        <v>184</v>
      </c>
      <c r="L947" s="138">
        <v>767</v>
      </c>
      <c r="N947" s="138">
        <v>1</v>
      </c>
      <c r="O947" s="138">
        <v>0</v>
      </c>
      <c r="S947" s="138">
        <v>21</v>
      </c>
      <c r="T947" s="138">
        <v>6</v>
      </c>
      <c r="U947" s="138">
        <f t="shared" si="1536"/>
        <v>27</v>
      </c>
      <c r="W947" s="139">
        <f t="shared" ref="W947:AA947" si="1898">J947/$I947</f>
        <v>0</v>
      </c>
      <c r="X947" s="139">
        <f t="shared" si="1898"/>
        <v>0.18794688457609807</v>
      </c>
      <c r="Y947" s="139">
        <f t="shared" si="1898"/>
        <v>0.7834525025536262</v>
      </c>
      <c r="Z947" s="139">
        <f t="shared" si="1898"/>
        <v>0</v>
      </c>
      <c r="AA947" s="139">
        <f t="shared" si="1898"/>
        <v>1.0214504596527069E-3</v>
      </c>
      <c r="AB947" s="139"/>
      <c r="AC947" s="139">
        <f t="shared" si="1538"/>
        <v>2.7579162410623085E-2</v>
      </c>
      <c r="AD947" s="139">
        <f t="shared" ref="AD947:AI947" si="1899">O947/$I947</f>
        <v>0</v>
      </c>
      <c r="AE947" s="139">
        <f t="shared" si="1899"/>
        <v>0</v>
      </c>
      <c r="AF947" s="139">
        <f t="shared" si="1899"/>
        <v>0</v>
      </c>
      <c r="AG947" s="139">
        <f t="shared" si="1899"/>
        <v>0</v>
      </c>
      <c r="AH947" s="139">
        <f t="shared" si="1899"/>
        <v>2.1450459652706845E-2</v>
      </c>
      <c r="AI947" s="139">
        <f t="shared" si="1899"/>
        <v>6.1287027579162408E-3</v>
      </c>
    </row>
    <row r="948" spans="2:35">
      <c r="B948" s="138" t="s">
        <v>8077</v>
      </c>
      <c r="C948" s="138" t="s">
        <v>4367</v>
      </c>
      <c r="D948" s="138" t="s">
        <v>11</v>
      </c>
      <c r="E948" s="138" t="s">
        <v>297</v>
      </c>
      <c r="F948" s="138" t="s">
        <v>8159</v>
      </c>
      <c r="H948" s="138">
        <v>264</v>
      </c>
      <c r="I948" s="138">
        <v>800</v>
      </c>
      <c r="K948" s="138">
        <v>321</v>
      </c>
      <c r="L948" s="138">
        <v>444</v>
      </c>
      <c r="N948" s="138">
        <v>12</v>
      </c>
      <c r="O948" s="138">
        <v>0</v>
      </c>
      <c r="S948" s="138">
        <v>22</v>
      </c>
      <c r="T948" s="138">
        <v>1</v>
      </c>
      <c r="U948" s="138">
        <f t="shared" si="1536"/>
        <v>23</v>
      </c>
      <c r="W948" s="139">
        <f t="shared" ref="W948:AA948" si="1900">J948/$I948</f>
        <v>0</v>
      </c>
      <c r="X948" s="139">
        <f t="shared" si="1900"/>
        <v>0.40125</v>
      </c>
      <c r="Y948" s="139">
        <f t="shared" si="1900"/>
        <v>0.55500000000000005</v>
      </c>
      <c r="Z948" s="139">
        <f t="shared" si="1900"/>
        <v>0</v>
      </c>
      <c r="AA948" s="139">
        <f t="shared" si="1900"/>
        <v>1.4999999999999999E-2</v>
      </c>
      <c r="AB948" s="139"/>
      <c r="AC948" s="139">
        <f t="shared" si="1538"/>
        <v>2.8750000000000001E-2</v>
      </c>
      <c r="AD948" s="139">
        <f t="shared" ref="AD948:AI948" si="1901">O948/$I948</f>
        <v>0</v>
      </c>
      <c r="AE948" s="139">
        <f t="shared" si="1901"/>
        <v>0</v>
      </c>
      <c r="AF948" s="139">
        <f t="shared" si="1901"/>
        <v>0</v>
      </c>
      <c r="AG948" s="139">
        <f t="shared" si="1901"/>
        <v>0</v>
      </c>
      <c r="AH948" s="139">
        <f t="shared" si="1901"/>
        <v>2.75E-2</v>
      </c>
      <c r="AI948" s="139">
        <f t="shared" si="1901"/>
        <v>1.25E-3</v>
      </c>
    </row>
    <row r="949" spans="2:35">
      <c r="B949" s="138" t="s">
        <v>8077</v>
      </c>
      <c r="C949" s="138" t="s">
        <v>4367</v>
      </c>
      <c r="D949" s="138" t="s">
        <v>10</v>
      </c>
      <c r="E949" s="138" t="s">
        <v>430</v>
      </c>
      <c r="F949" s="138" t="s">
        <v>817</v>
      </c>
      <c r="H949" s="138">
        <v>1</v>
      </c>
      <c r="I949" s="138">
        <v>881</v>
      </c>
      <c r="K949" s="138">
        <v>509</v>
      </c>
      <c r="L949" s="138">
        <v>323</v>
      </c>
      <c r="N949" s="138">
        <v>9</v>
      </c>
      <c r="O949" s="138">
        <v>1</v>
      </c>
      <c r="S949" s="138">
        <v>19</v>
      </c>
      <c r="T949" s="138">
        <v>20</v>
      </c>
      <c r="U949" s="138">
        <f t="shared" si="1536"/>
        <v>40</v>
      </c>
      <c r="W949" s="139">
        <f t="shared" ref="W949:AA949" si="1902">J949/$I949</f>
        <v>0</v>
      </c>
      <c r="X949" s="139">
        <f t="shared" si="1902"/>
        <v>0.57775255391600455</v>
      </c>
      <c r="Y949" s="139">
        <f t="shared" si="1902"/>
        <v>0.36662883087400683</v>
      </c>
      <c r="Z949" s="139">
        <f t="shared" si="1902"/>
        <v>0</v>
      </c>
      <c r="AA949" s="139">
        <f t="shared" si="1902"/>
        <v>1.021566401816118E-2</v>
      </c>
      <c r="AB949" s="139"/>
      <c r="AC949" s="139">
        <f t="shared" si="1538"/>
        <v>4.5402951191827468E-2</v>
      </c>
      <c r="AD949" s="139">
        <f t="shared" ref="AD949:AI949" si="1903">O949/$I949</f>
        <v>1.1350737797956867E-3</v>
      </c>
      <c r="AE949" s="139">
        <f t="shared" si="1903"/>
        <v>0</v>
      </c>
      <c r="AF949" s="139">
        <f t="shared" si="1903"/>
        <v>0</v>
      </c>
      <c r="AG949" s="139">
        <f t="shared" si="1903"/>
        <v>0</v>
      </c>
      <c r="AH949" s="139">
        <f t="shared" si="1903"/>
        <v>2.1566401816118047E-2</v>
      </c>
      <c r="AI949" s="139">
        <f t="shared" si="1903"/>
        <v>2.2701475595913734E-2</v>
      </c>
    </row>
    <row r="950" spans="2:35">
      <c r="B950" s="138" t="s">
        <v>8077</v>
      </c>
      <c r="C950" s="138" t="s">
        <v>4367</v>
      </c>
      <c r="D950" s="138" t="s">
        <v>10</v>
      </c>
      <c r="E950" s="138" t="s">
        <v>430</v>
      </c>
      <c r="F950" s="138" t="s">
        <v>817</v>
      </c>
      <c r="H950" s="138">
        <v>2</v>
      </c>
      <c r="I950" s="138">
        <v>848</v>
      </c>
      <c r="K950" s="138">
        <v>350</v>
      </c>
      <c r="L950" s="138">
        <v>440</v>
      </c>
      <c r="N950" s="138">
        <v>6</v>
      </c>
      <c r="O950" s="138">
        <v>2</v>
      </c>
      <c r="S950" s="138">
        <v>32</v>
      </c>
      <c r="T950" s="138">
        <v>18</v>
      </c>
      <c r="U950" s="138">
        <f t="shared" si="1536"/>
        <v>52</v>
      </c>
      <c r="W950" s="139">
        <f t="shared" ref="W950:AA950" si="1904">J950/$I950</f>
        <v>0</v>
      </c>
      <c r="X950" s="139">
        <f t="shared" si="1904"/>
        <v>0.41273584905660377</v>
      </c>
      <c r="Y950" s="139">
        <f t="shared" si="1904"/>
        <v>0.51886792452830188</v>
      </c>
      <c r="Z950" s="139">
        <f t="shared" si="1904"/>
        <v>0</v>
      </c>
      <c r="AA950" s="139">
        <f t="shared" si="1904"/>
        <v>7.0754716981132077E-3</v>
      </c>
      <c r="AB950" s="139"/>
      <c r="AC950" s="139">
        <f t="shared" si="1538"/>
        <v>6.1320754716981132E-2</v>
      </c>
      <c r="AD950" s="139">
        <f t="shared" ref="AD950:AI950" si="1905">O950/$I950</f>
        <v>2.3584905660377358E-3</v>
      </c>
      <c r="AE950" s="139">
        <f t="shared" si="1905"/>
        <v>0</v>
      </c>
      <c r="AF950" s="139">
        <f t="shared" si="1905"/>
        <v>0</v>
      </c>
      <c r="AG950" s="139">
        <f t="shared" si="1905"/>
        <v>0</v>
      </c>
      <c r="AH950" s="139">
        <f t="shared" si="1905"/>
        <v>3.7735849056603772E-2</v>
      </c>
      <c r="AI950" s="139">
        <f t="shared" si="1905"/>
        <v>2.1226415094339621E-2</v>
      </c>
    </row>
    <row r="951" spans="2:35">
      <c r="B951" s="138" t="s">
        <v>8077</v>
      </c>
      <c r="C951" s="138" t="s">
        <v>4367</v>
      </c>
      <c r="D951" s="138" t="s">
        <v>10</v>
      </c>
      <c r="E951" s="138" t="s">
        <v>430</v>
      </c>
      <c r="F951" s="138" t="s">
        <v>817</v>
      </c>
      <c r="H951" s="138">
        <v>3</v>
      </c>
      <c r="I951" s="138">
        <v>911</v>
      </c>
      <c r="K951" s="138">
        <v>404</v>
      </c>
      <c r="L951" s="138">
        <v>433</v>
      </c>
      <c r="N951" s="138">
        <v>9</v>
      </c>
      <c r="O951" s="138">
        <v>2</v>
      </c>
      <c r="S951" s="138">
        <v>44</v>
      </c>
      <c r="T951" s="138">
        <v>19</v>
      </c>
      <c r="U951" s="138">
        <f t="shared" si="1536"/>
        <v>65</v>
      </c>
      <c r="W951" s="139">
        <f t="shared" ref="W951:AA951" si="1906">J951/$I951</f>
        <v>0</v>
      </c>
      <c r="X951" s="139">
        <f t="shared" si="1906"/>
        <v>0.44346871569703622</v>
      </c>
      <c r="Y951" s="139">
        <f t="shared" si="1906"/>
        <v>0.47530186608122943</v>
      </c>
      <c r="Z951" s="139">
        <f t="shared" si="1906"/>
        <v>0</v>
      </c>
      <c r="AA951" s="139">
        <f t="shared" si="1906"/>
        <v>9.8792535675082324E-3</v>
      </c>
      <c r="AB951" s="139"/>
      <c r="AC951" s="139">
        <f t="shared" si="1538"/>
        <v>7.1350164654226125E-2</v>
      </c>
      <c r="AD951" s="139">
        <f t="shared" ref="AD951:AI951" si="1907">O951/$I951</f>
        <v>2.1953896816684962E-3</v>
      </c>
      <c r="AE951" s="139">
        <f t="shared" si="1907"/>
        <v>0</v>
      </c>
      <c r="AF951" s="139">
        <f t="shared" si="1907"/>
        <v>0</v>
      </c>
      <c r="AG951" s="139">
        <f t="shared" si="1907"/>
        <v>0</v>
      </c>
      <c r="AH951" s="139">
        <f t="shared" si="1907"/>
        <v>4.8298572996706916E-2</v>
      </c>
      <c r="AI951" s="139">
        <f t="shared" si="1907"/>
        <v>2.0856201975850714E-2</v>
      </c>
    </row>
    <row r="952" spans="2:35">
      <c r="B952" s="138" t="s">
        <v>8077</v>
      </c>
      <c r="C952" s="138" t="s">
        <v>4367</v>
      </c>
      <c r="D952" s="138" t="s">
        <v>10</v>
      </c>
      <c r="E952" s="138" t="s">
        <v>430</v>
      </c>
      <c r="F952" s="138" t="s">
        <v>812</v>
      </c>
      <c r="H952" s="138">
        <v>4</v>
      </c>
      <c r="I952" s="138">
        <v>870</v>
      </c>
      <c r="K952" s="138">
        <v>248</v>
      </c>
      <c r="L952" s="138">
        <v>568</v>
      </c>
      <c r="N952" s="138">
        <v>7</v>
      </c>
      <c r="O952" s="138">
        <v>3</v>
      </c>
      <c r="S952" s="138">
        <v>35</v>
      </c>
      <c r="T952" s="138">
        <v>9</v>
      </c>
      <c r="U952" s="138">
        <f t="shared" si="1536"/>
        <v>47</v>
      </c>
      <c r="W952" s="139">
        <f t="shared" ref="W952:AA952" si="1908">J952/$I952</f>
        <v>0</v>
      </c>
      <c r="X952" s="139">
        <f t="shared" si="1908"/>
        <v>0.28505747126436781</v>
      </c>
      <c r="Y952" s="139">
        <f t="shared" si="1908"/>
        <v>0.65287356321839085</v>
      </c>
      <c r="Z952" s="139">
        <f t="shared" si="1908"/>
        <v>0</v>
      </c>
      <c r="AA952" s="139">
        <f t="shared" si="1908"/>
        <v>8.0459770114942528E-3</v>
      </c>
      <c r="AB952" s="139"/>
      <c r="AC952" s="139">
        <f t="shared" si="1538"/>
        <v>5.4022988505747126E-2</v>
      </c>
      <c r="AD952" s="139">
        <f t="shared" ref="AD952:AI952" si="1909">O952/$I952</f>
        <v>3.4482758620689655E-3</v>
      </c>
      <c r="AE952" s="139">
        <f t="shared" si="1909"/>
        <v>0</v>
      </c>
      <c r="AF952" s="139">
        <f t="shared" si="1909"/>
        <v>0</v>
      </c>
      <c r="AG952" s="139">
        <f t="shared" si="1909"/>
        <v>0</v>
      </c>
      <c r="AH952" s="139">
        <f t="shared" si="1909"/>
        <v>4.0229885057471264E-2</v>
      </c>
      <c r="AI952" s="139">
        <f t="shared" si="1909"/>
        <v>1.0344827586206896E-2</v>
      </c>
    </row>
    <row r="953" spans="2:35">
      <c r="B953" s="138" t="s">
        <v>8077</v>
      </c>
      <c r="C953" s="138" t="s">
        <v>4367</v>
      </c>
      <c r="D953" s="138" t="s">
        <v>10</v>
      </c>
      <c r="E953" s="138" t="s">
        <v>430</v>
      </c>
      <c r="F953" s="138" t="s">
        <v>812</v>
      </c>
      <c r="H953" s="138">
        <v>5</v>
      </c>
      <c r="I953" s="138">
        <v>770</v>
      </c>
      <c r="K953" s="138">
        <v>246</v>
      </c>
      <c r="L953" s="138">
        <v>467</v>
      </c>
      <c r="N953" s="138">
        <v>4</v>
      </c>
      <c r="O953" s="138">
        <v>2</v>
      </c>
      <c r="S953" s="138">
        <v>39</v>
      </c>
      <c r="T953" s="138">
        <v>12</v>
      </c>
      <c r="U953" s="138">
        <f t="shared" si="1536"/>
        <v>53</v>
      </c>
      <c r="W953" s="139">
        <f t="shared" ref="W953:AA953" si="1910">J953/$I953</f>
        <v>0</v>
      </c>
      <c r="X953" s="139">
        <f t="shared" si="1910"/>
        <v>0.31948051948051948</v>
      </c>
      <c r="Y953" s="139">
        <f t="shared" si="1910"/>
        <v>0.60649350649350653</v>
      </c>
      <c r="Z953" s="139">
        <f t="shared" si="1910"/>
        <v>0</v>
      </c>
      <c r="AA953" s="139">
        <f t="shared" si="1910"/>
        <v>5.1948051948051948E-3</v>
      </c>
      <c r="AB953" s="139"/>
      <c r="AC953" s="139">
        <f t="shared" si="1538"/>
        <v>6.8831168831168826E-2</v>
      </c>
      <c r="AD953" s="139">
        <f t="shared" ref="AD953:AI953" si="1911">O953/$I953</f>
        <v>2.5974025974025974E-3</v>
      </c>
      <c r="AE953" s="139">
        <f t="shared" si="1911"/>
        <v>0</v>
      </c>
      <c r="AF953" s="139">
        <f t="shared" si="1911"/>
        <v>0</v>
      </c>
      <c r="AG953" s="139">
        <f t="shared" si="1911"/>
        <v>0</v>
      </c>
      <c r="AH953" s="139">
        <f t="shared" si="1911"/>
        <v>5.0649350649350652E-2</v>
      </c>
      <c r="AI953" s="139">
        <f t="shared" si="1911"/>
        <v>1.5584415584415584E-2</v>
      </c>
    </row>
    <row r="954" spans="2:35">
      <c r="B954" s="138" t="s">
        <v>8077</v>
      </c>
      <c r="C954" s="138" t="s">
        <v>4367</v>
      </c>
      <c r="D954" s="138" t="s">
        <v>10</v>
      </c>
      <c r="E954" s="138" t="s">
        <v>430</v>
      </c>
      <c r="F954" s="138" t="s">
        <v>812</v>
      </c>
      <c r="H954" s="138">
        <v>6</v>
      </c>
      <c r="I954" s="138">
        <v>754</v>
      </c>
      <c r="K954" s="138">
        <v>204</v>
      </c>
      <c r="L954" s="138">
        <v>511</v>
      </c>
      <c r="N954" s="138">
        <v>7</v>
      </c>
      <c r="O954" s="138">
        <v>1</v>
      </c>
      <c r="S954" s="138">
        <v>27</v>
      </c>
      <c r="T954" s="138">
        <v>4</v>
      </c>
      <c r="U954" s="138">
        <f t="shared" si="1536"/>
        <v>32</v>
      </c>
      <c r="W954" s="139">
        <f t="shared" ref="W954:AA954" si="1912">J954/$I954</f>
        <v>0</v>
      </c>
      <c r="X954" s="139">
        <f t="shared" si="1912"/>
        <v>0.27055702917771884</v>
      </c>
      <c r="Y954" s="139">
        <f t="shared" si="1912"/>
        <v>0.67771883289124668</v>
      </c>
      <c r="Z954" s="139">
        <f t="shared" si="1912"/>
        <v>0</v>
      </c>
      <c r="AA954" s="139">
        <f t="shared" si="1912"/>
        <v>9.2838196286472146E-3</v>
      </c>
      <c r="AB954" s="139"/>
      <c r="AC954" s="139">
        <f t="shared" si="1538"/>
        <v>4.2440318302387266E-2</v>
      </c>
      <c r="AD954" s="139">
        <f t="shared" ref="AD954:AI954" si="1913">O954/$I954</f>
        <v>1.3262599469496021E-3</v>
      </c>
      <c r="AE954" s="139">
        <f t="shared" si="1913"/>
        <v>0</v>
      </c>
      <c r="AF954" s="139">
        <f t="shared" si="1913"/>
        <v>0</v>
      </c>
      <c r="AG954" s="139">
        <f t="shared" si="1913"/>
        <v>0</v>
      </c>
      <c r="AH954" s="139">
        <f t="shared" si="1913"/>
        <v>3.580901856763926E-2</v>
      </c>
      <c r="AI954" s="139">
        <f t="shared" si="1913"/>
        <v>5.3050397877984082E-3</v>
      </c>
    </row>
    <row r="955" spans="2:35">
      <c r="B955" s="138" t="s">
        <v>8077</v>
      </c>
      <c r="C955" s="138" t="s">
        <v>4367</v>
      </c>
      <c r="D955" s="138" t="s">
        <v>10</v>
      </c>
      <c r="E955" s="138" t="s">
        <v>430</v>
      </c>
      <c r="F955" s="138" t="s">
        <v>812</v>
      </c>
      <c r="H955" s="138">
        <v>7</v>
      </c>
      <c r="I955" s="138">
        <v>674</v>
      </c>
      <c r="K955" s="138">
        <v>351</v>
      </c>
      <c r="L955" s="138">
        <v>307</v>
      </c>
      <c r="N955" s="138">
        <v>2</v>
      </c>
      <c r="O955" s="138">
        <v>1</v>
      </c>
      <c r="S955" s="138">
        <v>6</v>
      </c>
      <c r="T955" s="138">
        <v>7</v>
      </c>
      <c r="U955" s="138">
        <f t="shared" si="1536"/>
        <v>14</v>
      </c>
      <c r="W955" s="139">
        <f t="shared" ref="W955:AA955" si="1914">J955/$I955</f>
        <v>0</v>
      </c>
      <c r="X955" s="139">
        <f t="shared" si="1914"/>
        <v>0.52077151335311578</v>
      </c>
      <c r="Y955" s="139">
        <f t="shared" si="1914"/>
        <v>0.45548961424332346</v>
      </c>
      <c r="Z955" s="139">
        <f t="shared" si="1914"/>
        <v>0</v>
      </c>
      <c r="AA955" s="139">
        <f t="shared" si="1914"/>
        <v>2.967359050445104E-3</v>
      </c>
      <c r="AB955" s="139"/>
      <c r="AC955" s="139">
        <f t="shared" si="1538"/>
        <v>2.0771513353115726E-2</v>
      </c>
      <c r="AD955" s="139">
        <f t="shared" ref="AD955:AI955" si="1915">O955/$I955</f>
        <v>1.483679525222552E-3</v>
      </c>
      <c r="AE955" s="139">
        <f t="shared" si="1915"/>
        <v>0</v>
      </c>
      <c r="AF955" s="139">
        <f t="shared" si="1915"/>
        <v>0</v>
      </c>
      <c r="AG955" s="139">
        <f t="shared" si="1915"/>
        <v>0</v>
      </c>
      <c r="AH955" s="139">
        <f t="shared" si="1915"/>
        <v>8.9020771513353119E-3</v>
      </c>
      <c r="AI955" s="139">
        <f t="shared" si="1915"/>
        <v>1.0385756676557863E-2</v>
      </c>
    </row>
    <row r="956" spans="2:35">
      <c r="B956" s="138" t="s">
        <v>8077</v>
      </c>
      <c r="C956" s="138" t="s">
        <v>4367</v>
      </c>
      <c r="D956" s="138" t="s">
        <v>10</v>
      </c>
      <c r="E956" s="138" t="s">
        <v>430</v>
      </c>
      <c r="F956" s="138" t="s">
        <v>812</v>
      </c>
      <c r="H956" s="138">
        <v>8</v>
      </c>
      <c r="I956" s="138">
        <v>371</v>
      </c>
      <c r="K956" s="138">
        <v>285</v>
      </c>
      <c r="L956" s="138">
        <v>76</v>
      </c>
      <c r="N956" s="138">
        <v>4</v>
      </c>
      <c r="O956" s="138">
        <v>0</v>
      </c>
      <c r="S956" s="138">
        <v>2</v>
      </c>
      <c r="T956" s="138">
        <v>4</v>
      </c>
      <c r="U956" s="138">
        <f t="shared" si="1536"/>
        <v>6</v>
      </c>
      <c r="W956" s="139">
        <f t="shared" ref="W956:AA956" si="1916">J956/$I956</f>
        <v>0</v>
      </c>
      <c r="X956" s="139">
        <f t="shared" si="1916"/>
        <v>0.76819407008086249</v>
      </c>
      <c r="Y956" s="139">
        <f t="shared" si="1916"/>
        <v>0.20485175202156333</v>
      </c>
      <c r="Z956" s="139">
        <f t="shared" si="1916"/>
        <v>0</v>
      </c>
      <c r="AA956" s="139">
        <f t="shared" si="1916"/>
        <v>1.078167115902965E-2</v>
      </c>
      <c r="AB956" s="139"/>
      <c r="AC956" s="139">
        <f t="shared" si="1538"/>
        <v>1.6172506738544475E-2</v>
      </c>
      <c r="AD956" s="139">
        <f t="shared" ref="AD956:AI956" si="1917">O956/$I956</f>
        <v>0</v>
      </c>
      <c r="AE956" s="139">
        <f t="shared" si="1917"/>
        <v>0</v>
      </c>
      <c r="AF956" s="139">
        <f t="shared" si="1917"/>
        <v>0</v>
      </c>
      <c r="AG956" s="139">
        <f t="shared" si="1917"/>
        <v>0</v>
      </c>
      <c r="AH956" s="139">
        <f t="shared" si="1917"/>
        <v>5.3908355795148251E-3</v>
      </c>
      <c r="AI956" s="139">
        <f t="shared" si="1917"/>
        <v>1.078167115902965E-2</v>
      </c>
    </row>
    <row r="957" spans="2:35">
      <c r="B957" s="138" t="s">
        <v>8077</v>
      </c>
      <c r="C957" s="138" t="s">
        <v>4367</v>
      </c>
      <c r="D957" s="138" t="s">
        <v>10</v>
      </c>
      <c r="E957" s="138" t="s">
        <v>430</v>
      </c>
      <c r="F957" s="138" t="s">
        <v>7871</v>
      </c>
      <c r="H957" s="138">
        <v>9</v>
      </c>
      <c r="I957" s="138">
        <v>1018</v>
      </c>
      <c r="K957" s="138">
        <v>150</v>
      </c>
      <c r="L957" s="138">
        <v>820</v>
      </c>
      <c r="N957" s="138">
        <v>4</v>
      </c>
      <c r="O957" s="138">
        <v>1</v>
      </c>
      <c r="S957" s="138">
        <v>34</v>
      </c>
      <c r="T957" s="138">
        <v>9</v>
      </c>
      <c r="U957" s="138">
        <f t="shared" si="1536"/>
        <v>44</v>
      </c>
      <c r="W957" s="139">
        <f t="shared" ref="W957:AA957" si="1918">J957/$I957</f>
        <v>0</v>
      </c>
      <c r="X957" s="139">
        <f t="shared" si="1918"/>
        <v>0.14734774066797643</v>
      </c>
      <c r="Y957" s="139">
        <f t="shared" si="1918"/>
        <v>0.80550098231827116</v>
      </c>
      <c r="Z957" s="139">
        <f t="shared" si="1918"/>
        <v>0</v>
      </c>
      <c r="AA957" s="139">
        <f t="shared" si="1918"/>
        <v>3.929273084479371E-3</v>
      </c>
      <c r="AB957" s="139"/>
      <c r="AC957" s="139">
        <f t="shared" si="1538"/>
        <v>4.3222003929273084E-2</v>
      </c>
      <c r="AD957" s="139">
        <f t="shared" ref="AD957:AI957" si="1919">O957/$I957</f>
        <v>9.8231827111984276E-4</v>
      </c>
      <c r="AE957" s="139">
        <f t="shared" si="1919"/>
        <v>0</v>
      </c>
      <c r="AF957" s="139">
        <f t="shared" si="1919"/>
        <v>0</v>
      </c>
      <c r="AG957" s="139">
        <f t="shared" si="1919"/>
        <v>0</v>
      </c>
      <c r="AH957" s="139">
        <f t="shared" si="1919"/>
        <v>3.3398821218074658E-2</v>
      </c>
      <c r="AI957" s="139">
        <f t="shared" si="1919"/>
        <v>8.840864440078585E-3</v>
      </c>
    </row>
    <row r="958" spans="2:35">
      <c r="B958" s="138" t="s">
        <v>8077</v>
      </c>
      <c r="C958" s="138" t="s">
        <v>4367</v>
      </c>
      <c r="D958" s="138" t="s">
        <v>10</v>
      </c>
      <c r="E958" s="138" t="s">
        <v>430</v>
      </c>
      <c r="F958" s="138" t="s">
        <v>7871</v>
      </c>
      <c r="H958" s="138">
        <v>10</v>
      </c>
      <c r="I958" s="138">
        <v>1108</v>
      </c>
      <c r="K958" s="138">
        <v>180</v>
      </c>
      <c r="L958" s="138">
        <v>892</v>
      </c>
      <c r="N958" s="138">
        <v>2</v>
      </c>
      <c r="O958" s="138">
        <v>1</v>
      </c>
      <c r="S958" s="138">
        <v>27</v>
      </c>
      <c r="T958" s="138">
        <v>6</v>
      </c>
      <c r="U958" s="138">
        <f t="shared" si="1536"/>
        <v>34</v>
      </c>
      <c r="W958" s="139">
        <f t="shared" ref="W958:AA958" si="1920">J958/$I958</f>
        <v>0</v>
      </c>
      <c r="X958" s="139">
        <f t="shared" si="1920"/>
        <v>0.16245487364620939</v>
      </c>
      <c r="Y958" s="139">
        <f t="shared" si="1920"/>
        <v>0.80505415162454874</v>
      </c>
      <c r="Z958" s="139">
        <f t="shared" si="1920"/>
        <v>0</v>
      </c>
      <c r="AA958" s="139">
        <f t="shared" si="1920"/>
        <v>1.8050541516245488E-3</v>
      </c>
      <c r="AB958" s="139"/>
      <c r="AC958" s="139">
        <f t="shared" si="1538"/>
        <v>3.0685920577617327E-2</v>
      </c>
      <c r="AD958" s="139">
        <f t="shared" ref="AD958:AI958" si="1921">O958/$I958</f>
        <v>9.025270758122744E-4</v>
      </c>
      <c r="AE958" s="139">
        <f t="shared" si="1921"/>
        <v>0</v>
      </c>
      <c r="AF958" s="139">
        <f t="shared" si="1921"/>
        <v>0</v>
      </c>
      <c r="AG958" s="139">
        <f t="shared" si="1921"/>
        <v>0</v>
      </c>
      <c r="AH958" s="139">
        <f t="shared" si="1921"/>
        <v>2.4368231046931407E-2</v>
      </c>
      <c r="AI958" s="139">
        <f t="shared" si="1921"/>
        <v>5.415162454873646E-3</v>
      </c>
    </row>
    <row r="959" spans="2:35">
      <c r="B959" s="138" t="s">
        <v>8077</v>
      </c>
      <c r="C959" s="138" t="s">
        <v>4367</v>
      </c>
      <c r="D959" s="138" t="s">
        <v>10</v>
      </c>
      <c r="E959" s="138" t="s">
        <v>430</v>
      </c>
      <c r="F959" s="138" t="s">
        <v>7871</v>
      </c>
      <c r="H959" s="138">
        <v>11</v>
      </c>
      <c r="I959" s="138">
        <v>1052</v>
      </c>
      <c r="K959" s="138">
        <v>111</v>
      </c>
      <c r="L959" s="138">
        <v>891</v>
      </c>
      <c r="N959" s="138">
        <v>2</v>
      </c>
      <c r="O959" s="138">
        <v>1</v>
      </c>
      <c r="S959" s="138">
        <v>41</v>
      </c>
      <c r="T959" s="138">
        <v>6</v>
      </c>
      <c r="U959" s="138">
        <f t="shared" si="1536"/>
        <v>48</v>
      </c>
      <c r="W959" s="139">
        <f t="shared" ref="W959:AA959" si="1922">J959/$I959</f>
        <v>0</v>
      </c>
      <c r="X959" s="139">
        <f t="shared" si="1922"/>
        <v>0.10551330798479087</v>
      </c>
      <c r="Y959" s="139">
        <f t="shared" si="1922"/>
        <v>0.84695817490494296</v>
      </c>
      <c r="Z959" s="139">
        <f t="shared" si="1922"/>
        <v>0</v>
      </c>
      <c r="AA959" s="139">
        <f t="shared" si="1922"/>
        <v>1.9011406844106464E-3</v>
      </c>
      <c r="AB959" s="139"/>
      <c r="AC959" s="139">
        <f t="shared" si="1538"/>
        <v>4.5627376425855515E-2</v>
      </c>
      <c r="AD959" s="139">
        <f t="shared" ref="AD959:AI959" si="1923">O959/$I959</f>
        <v>9.5057034220532319E-4</v>
      </c>
      <c r="AE959" s="139">
        <f t="shared" si="1923"/>
        <v>0</v>
      </c>
      <c r="AF959" s="139">
        <f t="shared" si="1923"/>
        <v>0</v>
      </c>
      <c r="AG959" s="139">
        <f t="shared" si="1923"/>
        <v>0</v>
      </c>
      <c r="AH959" s="139">
        <f t="shared" si="1923"/>
        <v>3.8973384030418251E-2</v>
      </c>
      <c r="AI959" s="139">
        <f t="shared" si="1923"/>
        <v>5.7034220532319393E-3</v>
      </c>
    </row>
    <row r="960" spans="2:35">
      <c r="B960" s="138" t="s">
        <v>8077</v>
      </c>
      <c r="C960" s="138" t="s">
        <v>4367</v>
      </c>
      <c r="D960" s="138" t="s">
        <v>10</v>
      </c>
      <c r="E960" s="138" t="s">
        <v>430</v>
      </c>
      <c r="F960" s="138" t="s">
        <v>7871</v>
      </c>
      <c r="H960" s="138">
        <v>12</v>
      </c>
      <c r="I960" s="138">
        <v>1085</v>
      </c>
      <c r="K960" s="138">
        <v>92</v>
      </c>
      <c r="L960" s="138">
        <v>969</v>
      </c>
      <c r="N960" s="138">
        <v>3</v>
      </c>
      <c r="O960" s="138">
        <v>2</v>
      </c>
      <c r="S960" s="138">
        <v>18</v>
      </c>
      <c r="T960" s="138">
        <v>1</v>
      </c>
      <c r="U960" s="138">
        <f t="shared" si="1536"/>
        <v>21</v>
      </c>
      <c r="W960" s="139">
        <f t="shared" ref="W960:AA960" si="1924">J960/$I960</f>
        <v>0</v>
      </c>
      <c r="X960" s="139">
        <f t="shared" si="1924"/>
        <v>8.4792626728110596E-2</v>
      </c>
      <c r="Y960" s="139">
        <f t="shared" si="1924"/>
        <v>0.89308755760368663</v>
      </c>
      <c r="Z960" s="139">
        <f t="shared" si="1924"/>
        <v>0</v>
      </c>
      <c r="AA960" s="139">
        <f t="shared" si="1924"/>
        <v>2.7649769585253456E-3</v>
      </c>
      <c r="AB960" s="139"/>
      <c r="AC960" s="139">
        <f t="shared" si="1538"/>
        <v>1.935483870967742E-2</v>
      </c>
      <c r="AD960" s="139">
        <f t="shared" ref="AD960:AI960" si="1925">O960/$I960</f>
        <v>1.8433179723502304E-3</v>
      </c>
      <c r="AE960" s="139">
        <f t="shared" si="1925"/>
        <v>0</v>
      </c>
      <c r="AF960" s="139">
        <f t="shared" si="1925"/>
        <v>0</v>
      </c>
      <c r="AG960" s="139">
        <f t="shared" si="1925"/>
        <v>0</v>
      </c>
      <c r="AH960" s="139">
        <f t="shared" si="1925"/>
        <v>1.6589861751152075E-2</v>
      </c>
      <c r="AI960" s="139">
        <f t="shared" si="1925"/>
        <v>9.2165898617511521E-4</v>
      </c>
    </row>
    <row r="961" spans="2:35">
      <c r="B961" s="138" t="s">
        <v>8077</v>
      </c>
      <c r="C961" s="138" t="s">
        <v>4367</v>
      </c>
      <c r="D961" s="138" t="s">
        <v>10</v>
      </c>
      <c r="E961" s="138" t="s">
        <v>430</v>
      </c>
      <c r="F961" s="138" t="s">
        <v>7871</v>
      </c>
      <c r="H961" s="138">
        <v>13</v>
      </c>
      <c r="I961" s="138">
        <v>942</v>
      </c>
      <c r="K961" s="138">
        <v>559</v>
      </c>
      <c r="L961" s="138">
        <v>307</v>
      </c>
      <c r="N961" s="138">
        <v>15</v>
      </c>
      <c r="O961" s="138">
        <v>8</v>
      </c>
      <c r="S961" s="138">
        <v>29</v>
      </c>
      <c r="T961" s="138">
        <v>24</v>
      </c>
      <c r="U961" s="138">
        <f t="shared" si="1536"/>
        <v>61</v>
      </c>
      <c r="W961" s="139">
        <f t="shared" ref="W961:AA961" si="1926">J961/$I961</f>
        <v>0</v>
      </c>
      <c r="X961" s="139">
        <f t="shared" si="1926"/>
        <v>0.59341825902335454</v>
      </c>
      <c r="Y961" s="139">
        <f t="shared" si="1926"/>
        <v>0.32590233545647557</v>
      </c>
      <c r="Z961" s="139">
        <f t="shared" si="1926"/>
        <v>0</v>
      </c>
      <c r="AA961" s="139">
        <f t="shared" si="1926"/>
        <v>1.5923566878980892E-2</v>
      </c>
      <c r="AB961" s="139"/>
      <c r="AC961" s="139">
        <f t="shared" si="1538"/>
        <v>6.4755838641188959E-2</v>
      </c>
      <c r="AD961" s="139">
        <f t="shared" ref="AD961:AI961" si="1927">O961/$I961</f>
        <v>8.4925690021231421E-3</v>
      </c>
      <c r="AE961" s="139">
        <f t="shared" si="1927"/>
        <v>0</v>
      </c>
      <c r="AF961" s="139">
        <f t="shared" si="1927"/>
        <v>0</v>
      </c>
      <c r="AG961" s="139">
        <f t="shared" si="1927"/>
        <v>0</v>
      </c>
      <c r="AH961" s="139">
        <f t="shared" si="1927"/>
        <v>3.0785562632696391E-2</v>
      </c>
      <c r="AI961" s="139">
        <f t="shared" si="1927"/>
        <v>2.5477707006369428E-2</v>
      </c>
    </row>
    <row r="962" spans="2:35">
      <c r="B962" s="138" t="s">
        <v>8077</v>
      </c>
      <c r="C962" s="138" t="s">
        <v>4367</v>
      </c>
      <c r="D962" s="138" t="s">
        <v>10</v>
      </c>
      <c r="E962" s="138" t="s">
        <v>430</v>
      </c>
      <c r="F962" s="138" t="s">
        <v>7871</v>
      </c>
      <c r="H962" s="138">
        <v>14</v>
      </c>
      <c r="I962" s="138">
        <v>1016</v>
      </c>
      <c r="K962" s="138">
        <v>65</v>
      </c>
      <c r="L962" s="138">
        <v>936</v>
      </c>
      <c r="N962" s="138">
        <v>1</v>
      </c>
      <c r="O962" s="138">
        <v>0</v>
      </c>
      <c r="S962" s="138">
        <v>13</v>
      </c>
      <c r="T962" s="138">
        <v>1</v>
      </c>
      <c r="U962" s="138">
        <f t="shared" si="1536"/>
        <v>14</v>
      </c>
      <c r="W962" s="139">
        <f t="shared" ref="W962:AA962" si="1928">J962/$I962</f>
        <v>0</v>
      </c>
      <c r="X962" s="139">
        <f t="shared" si="1928"/>
        <v>6.3976377952755903E-2</v>
      </c>
      <c r="Y962" s="139">
        <f t="shared" si="1928"/>
        <v>0.92125984251968507</v>
      </c>
      <c r="Z962" s="139">
        <f t="shared" si="1928"/>
        <v>0</v>
      </c>
      <c r="AA962" s="139">
        <f t="shared" si="1928"/>
        <v>9.8425196850393699E-4</v>
      </c>
      <c r="AB962" s="139"/>
      <c r="AC962" s="139">
        <f t="shared" si="1538"/>
        <v>1.3779527559055118E-2</v>
      </c>
      <c r="AD962" s="139">
        <f t="shared" ref="AD962:AI962" si="1929">O962/$I962</f>
        <v>0</v>
      </c>
      <c r="AE962" s="139">
        <f t="shared" si="1929"/>
        <v>0</v>
      </c>
      <c r="AF962" s="139">
        <f t="shared" si="1929"/>
        <v>0</v>
      </c>
      <c r="AG962" s="139">
        <f t="shared" si="1929"/>
        <v>0</v>
      </c>
      <c r="AH962" s="139">
        <f t="shared" si="1929"/>
        <v>1.2795275590551181E-2</v>
      </c>
      <c r="AI962" s="139">
        <f t="shared" si="1929"/>
        <v>9.8425196850393699E-4</v>
      </c>
    </row>
    <row r="963" spans="2:35">
      <c r="B963" s="138" t="s">
        <v>8077</v>
      </c>
      <c r="C963" s="138" t="s">
        <v>4367</v>
      </c>
      <c r="D963" s="138" t="s">
        <v>10</v>
      </c>
      <c r="E963" s="138" t="s">
        <v>430</v>
      </c>
      <c r="F963" s="138" t="s">
        <v>7871</v>
      </c>
      <c r="H963" s="138">
        <v>15</v>
      </c>
      <c r="I963" s="138">
        <v>964</v>
      </c>
      <c r="K963" s="138">
        <v>114</v>
      </c>
      <c r="L963" s="138">
        <v>823</v>
      </c>
      <c r="N963" s="138">
        <v>3</v>
      </c>
      <c r="O963" s="138">
        <v>1</v>
      </c>
      <c r="S963" s="138">
        <v>23</v>
      </c>
      <c r="T963" s="138">
        <v>0</v>
      </c>
      <c r="U963" s="138">
        <f t="shared" si="1536"/>
        <v>24</v>
      </c>
      <c r="W963" s="139">
        <f t="shared" ref="W963:AA963" si="1930">J963/$I963</f>
        <v>0</v>
      </c>
      <c r="X963" s="139">
        <f t="shared" si="1930"/>
        <v>0.11825726141078838</v>
      </c>
      <c r="Y963" s="139">
        <f t="shared" si="1930"/>
        <v>0.85373443983402486</v>
      </c>
      <c r="Z963" s="139">
        <f t="shared" si="1930"/>
        <v>0</v>
      </c>
      <c r="AA963" s="139">
        <f t="shared" si="1930"/>
        <v>3.1120331950207467E-3</v>
      </c>
      <c r="AB963" s="139"/>
      <c r="AC963" s="139">
        <f t="shared" si="1538"/>
        <v>2.4896265560165973E-2</v>
      </c>
      <c r="AD963" s="139">
        <f t="shared" ref="AD963:AI963" si="1931">O963/$I963</f>
        <v>1.037344398340249E-3</v>
      </c>
      <c r="AE963" s="139">
        <f t="shared" si="1931"/>
        <v>0</v>
      </c>
      <c r="AF963" s="139">
        <f t="shared" si="1931"/>
        <v>0</v>
      </c>
      <c r="AG963" s="139">
        <f t="shared" si="1931"/>
        <v>0</v>
      </c>
      <c r="AH963" s="139">
        <f t="shared" si="1931"/>
        <v>2.3858921161825725E-2</v>
      </c>
      <c r="AI963" s="139">
        <f t="shared" si="1931"/>
        <v>0</v>
      </c>
    </row>
    <row r="964" spans="2:35">
      <c r="B964" s="138" t="s">
        <v>8077</v>
      </c>
      <c r="C964" s="138" t="s">
        <v>4367</v>
      </c>
      <c r="D964" s="138" t="s">
        <v>10</v>
      </c>
      <c r="E964" s="138" t="s">
        <v>430</v>
      </c>
      <c r="F964" s="138" t="s">
        <v>808</v>
      </c>
      <c r="H964" s="138">
        <v>16</v>
      </c>
      <c r="I964" s="138">
        <v>697</v>
      </c>
      <c r="K964" s="138">
        <v>275</v>
      </c>
      <c r="L964" s="138">
        <v>393</v>
      </c>
      <c r="N964" s="138">
        <v>7</v>
      </c>
      <c r="O964" s="138">
        <v>0</v>
      </c>
      <c r="S964" s="138">
        <v>15</v>
      </c>
      <c r="T964" s="138">
        <v>7</v>
      </c>
      <c r="U964" s="138">
        <f t="shared" si="1536"/>
        <v>22</v>
      </c>
      <c r="W964" s="139">
        <f t="shared" ref="W964:AA964" si="1932">J964/$I964</f>
        <v>0</v>
      </c>
      <c r="X964" s="139">
        <f t="shared" si="1932"/>
        <v>0.39454806312769009</v>
      </c>
      <c r="Y964" s="139">
        <f t="shared" si="1932"/>
        <v>0.56384505021520803</v>
      </c>
      <c r="Z964" s="139">
        <f t="shared" si="1932"/>
        <v>0</v>
      </c>
      <c r="AA964" s="139">
        <f t="shared" si="1932"/>
        <v>1.0043041606886656E-2</v>
      </c>
      <c r="AB964" s="139"/>
      <c r="AC964" s="139">
        <f t="shared" si="1538"/>
        <v>3.1563845050215207E-2</v>
      </c>
      <c r="AD964" s="139">
        <f t="shared" ref="AD964:AI964" si="1933">O964/$I964</f>
        <v>0</v>
      </c>
      <c r="AE964" s="139">
        <f t="shared" si="1933"/>
        <v>0</v>
      </c>
      <c r="AF964" s="139">
        <f t="shared" si="1933"/>
        <v>0</v>
      </c>
      <c r="AG964" s="139">
        <f t="shared" si="1933"/>
        <v>0</v>
      </c>
      <c r="AH964" s="139">
        <f t="shared" si="1933"/>
        <v>2.1520803443328552E-2</v>
      </c>
      <c r="AI964" s="139">
        <f t="shared" si="1933"/>
        <v>1.0043041606886656E-2</v>
      </c>
    </row>
    <row r="965" spans="2:35">
      <c r="B965" s="138" t="s">
        <v>8077</v>
      </c>
      <c r="C965" s="138" t="s">
        <v>4367</v>
      </c>
      <c r="D965" s="138" t="s">
        <v>10</v>
      </c>
      <c r="E965" s="138" t="s">
        <v>430</v>
      </c>
      <c r="F965" s="138" t="s">
        <v>814</v>
      </c>
      <c r="H965" s="138">
        <v>17</v>
      </c>
      <c r="I965" s="138">
        <v>1033</v>
      </c>
      <c r="K965" s="138">
        <v>547</v>
      </c>
      <c r="L965" s="138">
        <v>436</v>
      </c>
      <c r="N965" s="138">
        <v>7</v>
      </c>
      <c r="O965" s="138">
        <v>3</v>
      </c>
      <c r="S965" s="138">
        <v>23</v>
      </c>
      <c r="T965" s="138">
        <v>17</v>
      </c>
      <c r="U965" s="138">
        <f t="shared" si="1536"/>
        <v>43</v>
      </c>
      <c r="W965" s="139">
        <f t="shared" ref="W965:AA965" si="1934">J965/$I965</f>
        <v>0</v>
      </c>
      <c r="X965" s="139">
        <f t="shared" si="1934"/>
        <v>0.52952565343659241</v>
      </c>
      <c r="Y965" s="139">
        <f t="shared" si="1934"/>
        <v>0.42207163601161662</v>
      </c>
      <c r="Z965" s="139">
        <f t="shared" si="1934"/>
        <v>0</v>
      </c>
      <c r="AA965" s="139">
        <f t="shared" si="1934"/>
        <v>6.7763794772507258E-3</v>
      </c>
      <c r="AB965" s="139"/>
      <c r="AC965" s="139">
        <f t="shared" si="1538"/>
        <v>4.1626331074540175E-2</v>
      </c>
      <c r="AD965" s="139">
        <f t="shared" ref="AD965:AI965" si="1935">O965/$I965</f>
        <v>2.9041626331074541E-3</v>
      </c>
      <c r="AE965" s="139">
        <f t="shared" si="1935"/>
        <v>0</v>
      </c>
      <c r="AF965" s="139">
        <f t="shared" si="1935"/>
        <v>0</v>
      </c>
      <c r="AG965" s="139">
        <f t="shared" si="1935"/>
        <v>0</v>
      </c>
      <c r="AH965" s="139">
        <f t="shared" si="1935"/>
        <v>2.2265246853823813E-2</v>
      </c>
      <c r="AI965" s="139">
        <f t="shared" si="1935"/>
        <v>1.6456921587608905E-2</v>
      </c>
    </row>
    <row r="966" spans="2:35">
      <c r="B966" s="138" t="s">
        <v>8077</v>
      </c>
      <c r="C966" s="138" t="s">
        <v>4367</v>
      </c>
      <c r="D966" s="138" t="s">
        <v>10</v>
      </c>
      <c r="E966" s="138" t="s">
        <v>430</v>
      </c>
      <c r="F966" s="138" t="s">
        <v>814</v>
      </c>
      <c r="H966" s="138">
        <v>18</v>
      </c>
      <c r="I966" s="138">
        <v>933</v>
      </c>
      <c r="K966" s="138">
        <v>327</v>
      </c>
      <c r="L966" s="138">
        <v>573</v>
      </c>
      <c r="N966" s="138">
        <v>4</v>
      </c>
      <c r="O966" s="138">
        <v>2</v>
      </c>
      <c r="S966" s="138">
        <v>18</v>
      </c>
      <c r="T966" s="138">
        <v>9</v>
      </c>
      <c r="U966" s="138">
        <f t="shared" si="1536"/>
        <v>29</v>
      </c>
      <c r="W966" s="139">
        <f t="shared" ref="W966:AA966" si="1936">J966/$I966</f>
        <v>0</v>
      </c>
      <c r="X966" s="139">
        <f t="shared" si="1936"/>
        <v>0.35048231511254019</v>
      </c>
      <c r="Y966" s="139">
        <f t="shared" si="1936"/>
        <v>0.61414790996784563</v>
      </c>
      <c r="Z966" s="139">
        <f t="shared" si="1936"/>
        <v>0</v>
      </c>
      <c r="AA966" s="139">
        <f t="shared" si="1936"/>
        <v>4.2872454448017148E-3</v>
      </c>
      <c r="AB966" s="139"/>
      <c r="AC966" s="139">
        <f t="shared" si="1538"/>
        <v>3.1082529474812434E-2</v>
      </c>
      <c r="AD966" s="139">
        <f t="shared" ref="AD966:AI966" si="1937">O966/$I966</f>
        <v>2.1436227224008574E-3</v>
      </c>
      <c r="AE966" s="139">
        <f t="shared" si="1937"/>
        <v>0</v>
      </c>
      <c r="AF966" s="139">
        <f t="shared" si="1937"/>
        <v>0</v>
      </c>
      <c r="AG966" s="139">
        <f t="shared" si="1937"/>
        <v>0</v>
      </c>
      <c r="AH966" s="139">
        <f t="shared" si="1937"/>
        <v>1.9292604501607719E-2</v>
      </c>
      <c r="AI966" s="139">
        <f t="shared" si="1937"/>
        <v>9.6463022508038593E-3</v>
      </c>
    </row>
    <row r="967" spans="2:35">
      <c r="B967" s="138" t="s">
        <v>8077</v>
      </c>
      <c r="C967" s="138" t="s">
        <v>4367</v>
      </c>
      <c r="D967" s="138" t="s">
        <v>10</v>
      </c>
      <c r="E967" s="138" t="s">
        <v>430</v>
      </c>
      <c r="F967" s="138" t="s">
        <v>821</v>
      </c>
      <c r="H967" s="138">
        <v>19</v>
      </c>
      <c r="I967" s="138">
        <v>1019</v>
      </c>
      <c r="K967" s="138">
        <v>355</v>
      </c>
      <c r="L967" s="138">
        <v>637</v>
      </c>
      <c r="N967" s="138">
        <v>2</v>
      </c>
      <c r="O967" s="138">
        <v>2</v>
      </c>
      <c r="S967" s="138">
        <v>17</v>
      </c>
      <c r="T967" s="138">
        <v>6</v>
      </c>
      <c r="U967" s="138">
        <f t="shared" si="1536"/>
        <v>25</v>
      </c>
      <c r="W967" s="139">
        <f t="shared" ref="W967:AA967" si="1938">J967/$I967</f>
        <v>0</v>
      </c>
      <c r="X967" s="139">
        <f t="shared" si="1938"/>
        <v>0.34838076545632973</v>
      </c>
      <c r="Y967" s="139">
        <f t="shared" si="1938"/>
        <v>0.62512266928361138</v>
      </c>
      <c r="Z967" s="139">
        <f t="shared" si="1938"/>
        <v>0</v>
      </c>
      <c r="AA967" s="139">
        <f t="shared" si="1938"/>
        <v>1.9627085377821392E-3</v>
      </c>
      <c r="AB967" s="139"/>
      <c r="AC967" s="139">
        <f t="shared" si="1538"/>
        <v>2.4533856722276742E-2</v>
      </c>
      <c r="AD967" s="139">
        <f t="shared" ref="AD967:AI967" si="1939">O967/$I967</f>
        <v>1.9627085377821392E-3</v>
      </c>
      <c r="AE967" s="139">
        <f t="shared" si="1939"/>
        <v>0</v>
      </c>
      <c r="AF967" s="139">
        <f t="shared" si="1939"/>
        <v>0</v>
      </c>
      <c r="AG967" s="139">
        <f t="shared" si="1939"/>
        <v>0</v>
      </c>
      <c r="AH967" s="139">
        <f t="shared" si="1939"/>
        <v>1.6683022571148183E-2</v>
      </c>
      <c r="AI967" s="139">
        <f t="shared" si="1939"/>
        <v>5.8881256133464181E-3</v>
      </c>
    </row>
    <row r="968" spans="2:35">
      <c r="B968" s="138" t="s">
        <v>8077</v>
      </c>
      <c r="C968" s="138" t="s">
        <v>4367</v>
      </c>
      <c r="D968" s="138" t="s">
        <v>10</v>
      </c>
      <c r="E968" s="138" t="s">
        <v>430</v>
      </c>
      <c r="F968" s="138" t="s">
        <v>821</v>
      </c>
      <c r="H968" s="138">
        <v>20</v>
      </c>
      <c r="I968" s="138">
        <v>1047</v>
      </c>
      <c r="K968" s="138">
        <v>389</v>
      </c>
      <c r="L968" s="138">
        <v>612</v>
      </c>
      <c r="N968" s="138">
        <v>3</v>
      </c>
      <c r="O968" s="138">
        <v>1</v>
      </c>
      <c r="S968" s="138">
        <v>26</v>
      </c>
      <c r="T968" s="138">
        <v>16</v>
      </c>
      <c r="U968" s="138">
        <f t="shared" si="1536"/>
        <v>43</v>
      </c>
      <c r="W968" s="139">
        <f t="shared" ref="W968:AA968" si="1940">J968/$I968</f>
        <v>0</v>
      </c>
      <c r="X968" s="139">
        <f t="shared" si="1940"/>
        <v>0.37153772683858644</v>
      </c>
      <c r="Y968" s="139">
        <f t="shared" si="1940"/>
        <v>0.58452722063037255</v>
      </c>
      <c r="Z968" s="139">
        <f t="shared" si="1940"/>
        <v>0</v>
      </c>
      <c r="AA968" s="139">
        <f t="shared" si="1940"/>
        <v>2.8653295128939827E-3</v>
      </c>
      <c r="AB968" s="139"/>
      <c r="AC968" s="139">
        <f t="shared" si="1538"/>
        <v>4.1069723018147083E-2</v>
      </c>
      <c r="AD968" s="139">
        <f t="shared" ref="AD968:AI968" si="1941">O968/$I968</f>
        <v>9.5510983763132757E-4</v>
      </c>
      <c r="AE968" s="139">
        <f t="shared" si="1941"/>
        <v>0</v>
      </c>
      <c r="AF968" s="139">
        <f t="shared" si="1941"/>
        <v>0</v>
      </c>
      <c r="AG968" s="139">
        <f t="shared" si="1941"/>
        <v>0</v>
      </c>
      <c r="AH968" s="139">
        <f t="shared" si="1941"/>
        <v>2.4832855778414518E-2</v>
      </c>
      <c r="AI968" s="139">
        <f t="shared" si="1941"/>
        <v>1.5281757402101241E-2</v>
      </c>
    </row>
    <row r="969" spans="2:35">
      <c r="B969" s="138" t="s">
        <v>8077</v>
      </c>
      <c r="C969" s="138" t="s">
        <v>4367</v>
      </c>
      <c r="D969" s="138" t="s">
        <v>10</v>
      </c>
      <c r="E969" s="138" t="s">
        <v>430</v>
      </c>
      <c r="F969" s="138" t="s">
        <v>821</v>
      </c>
      <c r="H969" s="138">
        <v>21</v>
      </c>
      <c r="I969" s="138">
        <v>791</v>
      </c>
      <c r="K969" s="138">
        <v>365</v>
      </c>
      <c r="L969" s="138">
        <v>393</v>
      </c>
      <c r="N969" s="138">
        <v>5</v>
      </c>
      <c r="O969" s="138">
        <v>1</v>
      </c>
      <c r="S969" s="138">
        <v>18</v>
      </c>
      <c r="T969" s="138">
        <v>9</v>
      </c>
      <c r="U969" s="138">
        <f t="shared" si="1536"/>
        <v>28</v>
      </c>
      <c r="W969" s="139">
        <f t="shared" ref="W969:AA969" si="1942">J969/$I969</f>
        <v>0</v>
      </c>
      <c r="X969" s="139">
        <f t="shared" si="1942"/>
        <v>0.46144121365360302</v>
      </c>
      <c r="Y969" s="139">
        <f t="shared" si="1942"/>
        <v>0.4968394437420986</v>
      </c>
      <c r="Z969" s="139">
        <f t="shared" si="1942"/>
        <v>0</v>
      </c>
      <c r="AA969" s="139">
        <f t="shared" si="1942"/>
        <v>6.321112515802781E-3</v>
      </c>
      <c r="AB969" s="139"/>
      <c r="AC969" s="139">
        <f t="shared" si="1538"/>
        <v>3.5398230088495575E-2</v>
      </c>
      <c r="AD969" s="139">
        <f t="shared" ref="AD969:AI969" si="1943">O969/$I969</f>
        <v>1.2642225031605564E-3</v>
      </c>
      <c r="AE969" s="139">
        <f t="shared" si="1943"/>
        <v>0</v>
      </c>
      <c r="AF969" s="139">
        <f t="shared" si="1943"/>
        <v>0</v>
      </c>
      <c r="AG969" s="139">
        <f t="shared" si="1943"/>
        <v>0</v>
      </c>
      <c r="AH969" s="139">
        <f t="shared" si="1943"/>
        <v>2.2756005056890013E-2</v>
      </c>
      <c r="AI969" s="139">
        <f t="shared" si="1943"/>
        <v>1.1378002528445006E-2</v>
      </c>
    </row>
    <row r="970" spans="2:35">
      <c r="B970" s="138" t="s">
        <v>8077</v>
      </c>
      <c r="C970" s="138" t="s">
        <v>4367</v>
      </c>
      <c r="D970" s="138" t="s">
        <v>10</v>
      </c>
      <c r="E970" s="138" t="s">
        <v>430</v>
      </c>
      <c r="F970" s="138" t="s">
        <v>819</v>
      </c>
      <c r="H970" s="138">
        <v>22</v>
      </c>
      <c r="I970" s="138">
        <v>990</v>
      </c>
      <c r="K970" s="138">
        <v>284</v>
      </c>
      <c r="L970" s="138">
        <v>660</v>
      </c>
      <c r="N970" s="138">
        <v>7</v>
      </c>
      <c r="O970" s="138">
        <v>2</v>
      </c>
      <c r="S970" s="138">
        <v>27</v>
      </c>
      <c r="T970" s="138">
        <v>10</v>
      </c>
      <c r="U970" s="138">
        <f t="shared" si="1536"/>
        <v>39</v>
      </c>
      <c r="W970" s="139">
        <f t="shared" ref="W970:AA970" si="1944">J970/$I970</f>
        <v>0</v>
      </c>
      <c r="X970" s="139">
        <f t="shared" si="1944"/>
        <v>0.28686868686868688</v>
      </c>
      <c r="Y970" s="139">
        <f t="shared" si="1944"/>
        <v>0.66666666666666663</v>
      </c>
      <c r="Z970" s="139">
        <f t="shared" si="1944"/>
        <v>0</v>
      </c>
      <c r="AA970" s="139">
        <f t="shared" si="1944"/>
        <v>7.0707070707070711E-3</v>
      </c>
      <c r="AB970" s="139"/>
      <c r="AC970" s="139">
        <f t="shared" si="1538"/>
        <v>3.9393939393939391E-2</v>
      </c>
      <c r="AD970" s="139">
        <f t="shared" ref="AD970:AI970" si="1945">O970/$I970</f>
        <v>2.0202020202020202E-3</v>
      </c>
      <c r="AE970" s="139">
        <f t="shared" si="1945"/>
        <v>0</v>
      </c>
      <c r="AF970" s="139">
        <f t="shared" si="1945"/>
        <v>0</v>
      </c>
      <c r="AG970" s="139">
        <f t="shared" si="1945"/>
        <v>0</v>
      </c>
      <c r="AH970" s="139">
        <f t="shared" si="1945"/>
        <v>2.7272727272727271E-2</v>
      </c>
      <c r="AI970" s="139">
        <f t="shared" si="1945"/>
        <v>1.0101010101010102E-2</v>
      </c>
    </row>
    <row r="971" spans="2:35">
      <c r="B971" s="138" t="s">
        <v>8077</v>
      </c>
      <c r="C971" s="138" t="s">
        <v>4367</v>
      </c>
      <c r="D971" s="138" t="s">
        <v>10</v>
      </c>
      <c r="E971" s="138" t="s">
        <v>430</v>
      </c>
      <c r="F971" s="138" t="s">
        <v>819</v>
      </c>
      <c r="H971" s="138">
        <v>23</v>
      </c>
      <c r="I971" s="138">
        <v>1026</v>
      </c>
      <c r="K971" s="138">
        <v>386</v>
      </c>
      <c r="L971" s="138">
        <v>606</v>
      </c>
      <c r="N971" s="138">
        <v>8</v>
      </c>
      <c r="O971" s="138">
        <v>1</v>
      </c>
      <c r="S971" s="138">
        <v>13</v>
      </c>
      <c r="T971" s="138">
        <v>12</v>
      </c>
      <c r="U971" s="138">
        <f t="shared" si="1536"/>
        <v>26</v>
      </c>
      <c r="W971" s="139">
        <f t="shared" ref="W971:AA971" si="1946">J971/$I971</f>
        <v>0</v>
      </c>
      <c r="X971" s="139">
        <f t="shared" si="1946"/>
        <v>0.37621832358674462</v>
      </c>
      <c r="Y971" s="139">
        <f t="shared" si="1946"/>
        <v>0.59064327485380119</v>
      </c>
      <c r="Z971" s="139">
        <f t="shared" si="1946"/>
        <v>0</v>
      </c>
      <c r="AA971" s="139">
        <f t="shared" si="1946"/>
        <v>7.7972709551656916E-3</v>
      </c>
      <c r="AB971" s="139"/>
      <c r="AC971" s="139">
        <f t="shared" si="1538"/>
        <v>2.5341130604288498E-2</v>
      </c>
      <c r="AD971" s="139">
        <f t="shared" ref="AD971:AI971" si="1947">O971/$I971</f>
        <v>9.7465886939571145E-4</v>
      </c>
      <c r="AE971" s="139">
        <f t="shared" si="1947"/>
        <v>0</v>
      </c>
      <c r="AF971" s="139">
        <f t="shared" si="1947"/>
        <v>0</v>
      </c>
      <c r="AG971" s="139">
        <f t="shared" si="1947"/>
        <v>0</v>
      </c>
      <c r="AH971" s="139">
        <f t="shared" si="1947"/>
        <v>1.2670565302144249E-2</v>
      </c>
      <c r="AI971" s="139">
        <f t="shared" si="1947"/>
        <v>1.1695906432748537E-2</v>
      </c>
    </row>
    <row r="972" spans="2:35">
      <c r="B972" s="138" t="s">
        <v>8077</v>
      </c>
      <c r="C972" s="138" t="s">
        <v>4367</v>
      </c>
      <c r="D972" s="138" t="s">
        <v>10</v>
      </c>
      <c r="E972" s="138" t="s">
        <v>430</v>
      </c>
      <c r="F972" s="138" t="s">
        <v>819</v>
      </c>
      <c r="H972" s="138">
        <v>24</v>
      </c>
      <c r="I972" s="138">
        <v>957</v>
      </c>
      <c r="K972" s="138">
        <v>296</v>
      </c>
      <c r="L972" s="138">
        <v>605</v>
      </c>
      <c r="N972" s="138">
        <v>12</v>
      </c>
      <c r="O972" s="138">
        <v>7</v>
      </c>
      <c r="S972" s="138">
        <v>31</v>
      </c>
      <c r="T972" s="138">
        <v>6</v>
      </c>
      <c r="U972" s="138">
        <f t="shared" si="1536"/>
        <v>44</v>
      </c>
      <c r="W972" s="139">
        <f t="shared" ref="W972:AA972" si="1948">J972/$I972</f>
        <v>0</v>
      </c>
      <c r="X972" s="139">
        <f t="shared" si="1948"/>
        <v>0.30929989550679204</v>
      </c>
      <c r="Y972" s="139">
        <f t="shared" si="1948"/>
        <v>0.63218390804597702</v>
      </c>
      <c r="Z972" s="139">
        <f t="shared" si="1948"/>
        <v>0</v>
      </c>
      <c r="AA972" s="139">
        <f t="shared" si="1948"/>
        <v>1.2539184952978056E-2</v>
      </c>
      <c r="AB972" s="139"/>
      <c r="AC972" s="139">
        <f t="shared" si="1538"/>
        <v>4.5977011494252873E-2</v>
      </c>
      <c r="AD972" s="139">
        <f t="shared" ref="AD972:AI972" si="1949">O972/$I972</f>
        <v>7.3145245559038665E-3</v>
      </c>
      <c r="AE972" s="139">
        <f t="shared" si="1949"/>
        <v>0</v>
      </c>
      <c r="AF972" s="139">
        <f t="shared" si="1949"/>
        <v>0</v>
      </c>
      <c r="AG972" s="139">
        <f t="shared" si="1949"/>
        <v>0</v>
      </c>
      <c r="AH972" s="139">
        <f t="shared" si="1949"/>
        <v>3.2392894461859979E-2</v>
      </c>
      <c r="AI972" s="139">
        <f t="shared" si="1949"/>
        <v>6.269592476489028E-3</v>
      </c>
    </row>
    <row r="973" spans="2:35">
      <c r="B973" s="138" t="s">
        <v>8077</v>
      </c>
      <c r="C973" s="138" t="s">
        <v>4367</v>
      </c>
      <c r="D973" s="138" t="s">
        <v>10</v>
      </c>
      <c r="E973" s="138" t="s">
        <v>430</v>
      </c>
      <c r="F973" s="138" t="s">
        <v>819</v>
      </c>
      <c r="H973" s="138">
        <v>25</v>
      </c>
      <c r="I973" s="138">
        <v>699</v>
      </c>
      <c r="K973" s="138">
        <v>213</v>
      </c>
      <c r="L973" s="138">
        <v>462</v>
      </c>
      <c r="N973" s="138">
        <v>4</v>
      </c>
      <c r="O973" s="138">
        <v>2</v>
      </c>
      <c r="S973" s="138">
        <v>14</v>
      </c>
      <c r="T973" s="138">
        <v>4</v>
      </c>
      <c r="U973" s="138">
        <f t="shared" si="1536"/>
        <v>20</v>
      </c>
      <c r="W973" s="139">
        <f t="shared" ref="W973:AA973" si="1950">J973/$I973</f>
        <v>0</v>
      </c>
      <c r="X973" s="139">
        <f t="shared" si="1950"/>
        <v>0.30472103004291845</v>
      </c>
      <c r="Y973" s="139">
        <f t="shared" si="1950"/>
        <v>0.66094420600858372</v>
      </c>
      <c r="Z973" s="139">
        <f t="shared" si="1950"/>
        <v>0</v>
      </c>
      <c r="AA973" s="139">
        <f t="shared" si="1950"/>
        <v>5.7224606580829757E-3</v>
      </c>
      <c r="AB973" s="139"/>
      <c r="AC973" s="139">
        <f t="shared" si="1538"/>
        <v>2.8612303290414878E-2</v>
      </c>
      <c r="AD973" s="139">
        <f t="shared" ref="AD973:AI973" si="1951">O973/$I973</f>
        <v>2.8612303290414878E-3</v>
      </c>
      <c r="AE973" s="139">
        <f t="shared" si="1951"/>
        <v>0</v>
      </c>
      <c r="AF973" s="139">
        <f t="shared" si="1951"/>
        <v>0</v>
      </c>
      <c r="AG973" s="139">
        <f t="shared" si="1951"/>
        <v>0</v>
      </c>
      <c r="AH973" s="139">
        <f t="shared" si="1951"/>
        <v>2.0028612303290415E-2</v>
      </c>
      <c r="AI973" s="139">
        <f t="shared" si="1951"/>
        <v>5.7224606580829757E-3</v>
      </c>
    </row>
    <row r="974" spans="2:35">
      <c r="B974" s="138" t="s">
        <v>8077</v>
      </c>
      <c r="C974" s="138" t="s">
        <v>4367</v>
      </c>
      <c r="D974" s="138" t="s">
        <v>10</v>
      </c>
      <c r="E974" s="138" t="s">
        <v>430</v>
      </c>
      <c r="F974" s="138" t="s">
        <v>819</v>
      </c>
      <c r="H974" s="138">
        <v>26</v>
      </c>
      <c r="I974" s="138">
        <v>772</v>
      </c>
      <c r="K974" s="138">
        <v>185</v>
      </c>
      <c r="L974" s="138">
        <v>565</v>
      </c>
      <c r="N974" s="138">
        <v>2</v>
      </c>
      <c r="O974" s="138">
        <v>1</v>
      </c>
      <c r="S974" s="138">
        <v>16</v>
      </c>
      <c r="T974" s="138">
        <v>3</v>
      </c>
      <c r="U974" s="138">
        <f t="shared" si="1536"/>
        <v>20</v>
      </c>
      <c r="W974" s="139">
        <f t="shared" ref="W974:AA974" si="1952">J974/$I974</f>
        <v>0</v>
      </c>
      <c r="X974" s="139">
        <f t="shared" si="1952"/>
        <v>0.23963730569948186</v>
      </c>
      <c r="Y974" s="139">
        <f t="shared" si="1952"/>
        <v>0.73186528497409331</v>
      </c>
      <c r="Z974" s="139">
        <f t="shared" si="1952"/>
        <v>0</v>
      </c>
      <c r="AA974" s="139">
        <f t="shared" si="1952"/>
        <v>2.5906735751295338E-3</v>
      </c>
      <c r="AB974" s="139"/>
      <c r="AC974" s="139">
        <f t="shared" si="1538"/>
        <v>2.5906735751295335E-2</v>
      </c>
      <c r="AD974" s="139">
        <f t="shared" ref="AD974:AI974" si="1953">O974/$I974</f>
        <v>1.2953367875647669E-3</v>
      </c>
      <c r="AE974" s="139">
        <f t="shared" si="1953"/>
        <v>0</v>
      </c>
      <c r="AF974" s="139">
        <f t="shared" si="1953"/>
        <v>0</v>
      </c>
      <c r="AG974" s="139">
        <f t="shared" si="1953"/>
        <v>0</v>
      </c>
      <c r="AH974" s="139">
        <f t="shared" si="1953"/>
        <v>2.072538860103627E-2</v>
      </c>
      <c r="AI974" s="139">
        <f t="shared" si="1953"/>
        <v>3.8860103626943004E-3</v>
      </c>
    </row>
    <row r="975" spans="2:35">
      <c r="B975" s="138" t="s">
        <v>8077</v>
      </c>
      <c r="C975" s="138" t="s">
        <v>4367</v>
      </c>
      <c r="D975" s="138" t="s">
        <v>10</v>
      </c>
      <c r="E975" s="138" t="s">
        <v>430</v>
      </c>
      <c r="F975" s="138" t="s">
        <v>819</v>
      </c>
      <c r="H975" s="138">
        <v>27</v>
      </c>
      <c r="I975" s="138">
        <v>807</v>
      </c>
      <c r="K975" s="138">
        <v>217</v>
      </c>
      <c r="L975" s="138">
        <v>563</v>
      </c>
      <c r="N975" s="138">
        <v>2</v>
      </c>
      <c r="O975" s="138">
        <v>1</v>
      </c>
      <c r="S975" s="138">
        <v>21</v>
      </c>
      <c r="T975" s="138">
        <v>3</v>
      </c>
      <c r="U975" s="138">
        <f t="shared" si="1536"/>
        <v>25</v>
      </c>
      <c r="W975" s="139">
        <f t="shared" ref="W975:AA975" si="1954">J975/$I975</f>
        <v>0</v>
      </c>
      <c r="X975" s="139">
        <f t="shared" si="1954"/>
        <v>0.26889714993804215</v>
      </c>
      <c r="Y975" s="139">
        <f t="shared" si="1954"/>
        <v>0.69764560099132589</v>
      </c>
      <c r="Z975" s="139">
        <f t="shared" si="1954"/>
        <v>0</v>
      </c>
      <c r="AA975" s="139">
        <f t="shared" si="1954"/>
        <v>2.4783147459727386E-3</v>
      </c>
      <c r="AB975" s="139"/>
      <c r="AC975" s="139">
        <f t="shared" si="1538"/>
        <v>3.0978934324659233E-2</v>
      </c>
      <c r="AD975" s="139">
        <f t="shared" ref="AD975:AI975" si="1955">O975/$I975</f>
        <v>1.2391573729863693E-3</v>
      </c>
      <c r="AE975" s="139">
        <f t="shared" si="1955"/>
        <v>0</v>
      </c>
      <c r="AF975" s="139">
        <f t="shared" si="1955"/>
        <v>0</v>
      </c>
      <c r="AG975" s="139">
        <f t="shared" si="1955"/>
        <v>0</v>
      </c>
      <c r="AH975" s="139">
        <f t="shared" si="1955"/>
        <v>2.6022304832713755E-2</v>
      </c>
      <c r="AI975" s="139">
        <f t="shared" si="1955"/>
        <v>3.7174721189591076E-3</v>
      </c>
    </row>
    <row r="976" spans="2:35">
      <c r="B976" s="138" t="s">
        <v>8077</v>
      </c>
      <c r="C976" s="138" t="s">
        <v>4367</v>
      </c>
      <c r="D976" s="138" t="s">
        <v>10</v>
      </c>
      <c r="E976" s="138" t="s">
        <v>430</v>
      </c>
      <c r="F976" s="138" t="s">
        <v>819</v>
      </c>
      <c r="H976" s="138">
        <v>28</v>
      </c>
      <c r="I976" s="138">
        <v>795</v>
      </c>
      <c r="K976" s="138">
        <v>168</v>
      </c>
      <c r="L976" s="138">
        <v>604</v>
      </c>
      <c r="N976" s="138">
        <v>1</v>
      </c>
      <c r="O976" s="138">
        <v>2</v>
      </c>
      <c r="S976" s="138">
        <v>15</v>
      </c>
      <c r="T976" s="138">
        <v>5</v>
      </c>
      <c r="U976" s="138">
        <f t="shared" si="1536"/>
        <v>22</v>
      </c>
      <c r="W976" s="139">
        <f t="shared" ref="W976:AA976" si="1956">J976/$I976</f>
        <v>0</v>
      </c>
      <c r="X976" s="139">
        <f t="shared" si="1956"/>
        <v>0.21132075471698114</v>
      </c>
      <c r="Y976" s="139">
        <f t="shared" si="1956"/>
        <v>0.75974842767295603</v>
      </c>
      <c r="Z976" s="139">
        <f t="shared" si="1956"/>
        <v>0</v>
      </c>
      <c r="AA976" s="139">
        <f t="shared" si="1956"/>
        <v>1.2578616352201257E-3</v>
      </c>
      <c r="AB976" s="139"/>
      <c r="AC976" s="139">
        <f t="shared" si="1538"/>
        <v>2.7672955974842768E-2</v>
      </c>
      <c r="AD976" s="139">
        <f t="shared" ref="AD976:AI976" si="1957">O976/$I976</f>
        <v>2.5157232704402514E-3</v>
      </c>
      <c r="AE976" s="139">
        <f t="shared" si="1957"/>
        <v>0</v>
      </c>
      <c r="AF976" s="139">
        <f t="shared" si="1957"/>
        <v>0</v>
      </c>
      <c r="AG976" s="139">
        <f t="shared" si="1957"/>
        <v>0</v>
      </c>
      <c r="AH976" s="139">
        <f t="shared" si="1957"/>
        <v>1.8867924528301886E-2</v>
      </c>
      <c r="AI976" s="139">
        <f t="shared" si="1957"/>
        <v>6.2893081761006293E-3</v>
      </c>
    </row>
    <row r="977" spans="2:35">
      <c r="B977" s="138" t="s">
        <v>8077</v>
      </c>
      <c r="C977" s="138" t="s">
        <v>4367</v>
      </c>
      <c r="D977" s="138" t="s">
        <v>10</v>
      </c>
      <c r="E977" s="138" t="s">
        <v>430</v>
      </c>
      <c r="F977" s="138" t="s">
        <v>810</v>
      </c>
      <c r="H977" s="138">
        <v>29</v>
      </c>
      <c r="I977" s="138">
        <v>910</v>
      </c>
      <c r="K977" s="138">
        <v>181</v>
      </c>
      <c r="L977" s="138">
        <v>683</v>
      </c>
      <c r="N977" s="138">
        <v>5</v>
      </c>
      <c r="O977" s="138">
        <v>1</v>
      </c>
      <c r="S977" s="138">
        <v>35</v>
      </c>
      <c r="T977" s="138">
        <v>5</v>
      </c>
      <c r="U977" s="138">
        <f t="shared" si="1536"/>
        <v>41</v>
      </c>
      <c r="W977" s="139">
        <f t="shared" ref="W977:AA977" si="1958">J977/$I977</f>
        <v>0</v>
      </c>
      <c r="X977" s="139">
        <f t="shared" si="1958"/>
        <v>0.19890109890109889</v>
      </c>
      <c r="Y977" s="139">
        <f t="shared" si="1958"/>
        <v>0.75054945054945055</v>
      </c>
      <c r="Z977" s="139">
        <f t="shared" si="1958"/>
        <v>0</v>
      </c>
      <c r="AA977" s="139">
        <f t="shared" si="1958"/>
        <v>5.4945054945054949E-3</v>
      </c>
      <c r="AB977" s="139"/>
      <c r="AC977" s="139">
        <f t="shared" si="1538"/>
        <v>4.5054945054945054E-2</v>
      </c>
      <c r="AD977" s="139">
        <f t="shared" ref="AD977:AI977" si="1959">O977/$I977</f>
        <v>1.0989010989010989E-3</v>
      </c>
      <c r="AE977" s="139">
        <f t="shared" si="1959"/>
        <v>0</v>
      </c>
      <c r="AF977" s="139">
        <f t="shared" si="1959"/>
        <v>0</v>
      </c>
      <c r="AG977" s="139">
        <f t="shared" si="1959"/>
        <v>0</v>
      </c>
      <c r="AH977" s="139">
        <f t="shared" si="1959"/>
        <v>3.8461538461538464E-2</v>
      </c>
      <c r="AI977" s="139">
        <f t="shared" si="1959"/>
        <v>5.4945054945054949E-3</v>
      </c>
    </row>
    <row r="978" spans="2:35">
      <c r="B978" s="138" t="s">
        <v>8077</v>
      </c>
      <c r="C978" s="138" t="s">
        <v>4367</v>
      </c>
      <c r="D978" s="138" t="s">
        <v>10</v>
      </c>
      <c r="E978" s="138" t="s">
        <v>430</v>
      </c>
      <c r="F978" s="138" t="s">
        <v>810</v>
      </c>
      <c r="H978" s="138">
        <v>30</v>
      </c>
      <c r="I978" s="138">
        <v>836</v>
      </c>
      <c r="K978" s="138">
        <v>193</v>
      </c>
      <c r="L978" s="138">
        <v>609</v>
      </c>
      <c r="N978" s="138">
        <v>4</v>
      </c>
      <c r="O978" s="138">
        <v>4</v>
      </c>
      <c r="S978" s="138">
        <v>20</v>
      </c>
      <c r="T978" s="138">
        <v>6</v>
      </c>
      <c r="U978" s="138">
        <f t="shared" si="1536"/>
        <v>30</v>
      </c>
      <c r="W978" s="139">
        <f t="shared" ref="W978:AA978" si="1960">J978/$I978</f>
        <v>0</v>
      </c>
      <c r="X978" s="139">
        <f t="shared" si="1960"/>
        <v>0.23086124401913877</v>
      </c>
      <c r="Y978" s="139">
        <f t="shared" si="1960"/>
        <v>0.72846889952153115</v>
      </c>
      <c r="Z978" s="139">
        <f t="shared" si="1960"/>
        <v>0</v>
      </c>
      <c r="AA978" s="139">
        <f t="shared" si="1960"/>
        <v>4.7846889952153108E-3</v>
      </c>
      <c r="AB978" s="139"/>
      <c r="AC978" s="139">
        <f t="shared" si="1538"/>
        <v>3.5885167464114832E-2</v>
      </c>
      <c r="AD978" s="139">
        <f t="shared" ref="AD978:AI978" si="1961">O978/$I978</f>
        <v>4.7846889952153108E-3</v>
      </c>
      <c r="AE978" s="139">
        <f t="shared" si="1961"/>
        <v>0</v>
      </c>
      <c r="AF978" s="139">
        <f t="shared" si="1961"/>
        <v>0</v>
      </c>
      <c r="AG978" s="139">
        <f t="shared" si="1961"/>
        <v>0</v>
      </c>
      <c r="AH978" s="139">
        <f t="shared" si="1961"/>
        <v>2.3923444976076555E-2</v>
      </c>
      <c r="AI978" s="139">
        <f t="shared" si="1961"/>
        <v>7.1770334928229667E-3</v>
      </c>
    </row>
    <row r="979" spans="2:35">
      <c r="B979" s="138" t="s">
        <v>8077</v>
      </c>
      <c r="C979" s="138" t="s">
        <v>4367</v>
      </c>
      <c r="D979" s="138" t="s">
        <v>10</v>
      </c>
      <c r="E979" s="138" t="s">
        <v>430</v>
      </c>
      <c r="F979" s="138" t="s">
        <v>810</v>
      </c>
      <c r="H979" s="138">
        <v>31</v>
      </c>
      <c r="I979" s="138">
        <v>581</v>
      </c>
      <c r="K979" s="138">
        <v>274</v>
      </c>
      <c r="L979" s="138">
        <v>264</v>
      </c>
      <c r="N979" s="138">
        <v>4</v>
      </c>
      <c r="O979" s="138">
        <v>1</v>
      </c>
      <c r="S979" s="138">
        <v>22</v>
      </c>
      <c r="T979" s="138">
        <v>16</v>
      </c>
      <c r="U979" s="138">
        <f t="shared" si="1536"/>
        <v>39</v>
      </c>
      <c r="W979" s="139">
        <f t="shared" ref="W979:AA979" si="1962">J979/$I979</f>
        <v>0</v>
      </c>
      <c r="X979" s="139">
        <f t="shared" si="1962"/>
        <v>0.47160068846815834</v>
      </c>
      <c r="Y979" s="139">
        <f t="shared" si="1962"/>
        <v>0.45438898450946646</v>
      </c>
      <c r="Z979" s="139">
        <f t="shared" si="1962"/>
        <v>0</v>
      </c>
      <c r="AA979" s="139">
        <f t="shared" si="1962"/>
        <v>6.8846815834767644E-3</v>
      </c>
      <c r="AB979" s="139"/>
      <c r="AC979" s="139">
        <f t="shared" si="1538"/>
        <v>6.7125645438898457E-2</v>
      </c>
      <c r="AD979" s="139">
        <f t="shared" ref="AD979:AI979" si="1963">O979/$I979</f>
        <v>1.7211703958691911E-3</v>
      </c>
      <c r="AE979" s="139">
        <f t="shared" si="1963"/>
        <v>0</v>
      </c>
      <c r="AF979" s="139">
        <f t="shared" si="1963"/>
        <v>0</v>
      </c>
      <c r="AG979" s="139">
        <f t="shared" si="1963"/>
        <v>0</v>
      </c>
      <c r="AH979" s="139">
        <f t="shared" si="1963"/>
        <v>3.7865748709122203E-2</v>
      </c>
      <c r="AI979" s="139">
        <f t="shared" si="1963"/>
        <v>2.7538726333907058E-2</v>
      </c>
    </row>
    <row r="980" spans="2:35">
      <c r="B980" s="138" t="s">
        <v>8077</v>
      </c>
      <c r="C980" s="138" t="s">
        <v>4367</v>
      </c>
      <c r="D980" s="138" t="s">
        <v>10</v>
      </c>
      <c r="E980" s="138" t="s">
        <v>430</v>
      </c>
      <c r="F980" s="138" t="s">
        <v>810</v>
      </c>
      <c r="H980" s="138">
        <v>32</v>
      </c>
      <c r="I980" s="138">
        <v>557</v>
      </c>
      <c r="K980" s="138">
        <v>262</v>
      </c>
      <c r="L980" s="138">
        <v>265</v>
      </c>
      <c r="N980" s="138">
        <v>1</v>
      </c>
      <c r="O980" s="138">
        <v>4</v>
      </c>
      <c r="S980" s="138">
        <v>10</v>
      </c>
      <c r="T980" s="138">
        <v>15</v>
      </c>
      <c r="U980" s="138">
        <f t="shared" si="1536"/>
        <v>29</v>
      </c>
      <c r="W980" s="139">
        <f t="shared" ref="W980:AA980" si="1964">J980/$I980</f>
        <v>0</v>
      </c>
      <c r="X980" s="139">
        <f t="shared" si="1964"/>
        <v>0.47037701974865348</v>
      </c>
      <c r="Y980" s="139">
        <f t="shared" si="1964"/>
        <v>0.47576301615798922</v>
      </c>
      <c r="Z980" s="139">
        <f t="shared" si="1964"/>
        <v>0</v>
      </c>
      <c r="AA980" s="139">
        <f t="shared" si="1964"/>
        <v>1.7953321364452424E-3</v>
      </c>
      <c r="AB980" s="139"/>
      <c r="AC980" s="139">
        <f t="shared" si="1538"/>
        <v>5.2064631956912029E-2</v>
      </c>
      <c r="AD980" s="139">
        <f t="shared" ref="AD980:AI980" si="1965">O980/$I980</f>
        <v>7.1813285457809697E-3</v>
      </c>
      <c r="AE980" s="139">
        <f t="shared" si="1965"/>
        <v>0</v>
      </c>
      <c r="AF980" s="139">
        <f t="shared" si="1965"/>
        <v>0</v>
      </c>
      <c r="AG980" s="139">
        <f t="shared" si="1965"/>
        <v>0</v>
      </c>
      <c r="AH980" s="139">
        <f t="shared" si="1965"/>
        <v>1.7953321364452424E-2</v>
      </c>
      <c r="AI980" s="139">
        <f t="shared" si="1965"/>
        <v>2.6929982046678635E-2</v>
      </c>
    </row>
    <row r="981" spans="2:35">
      <c r="B981" s="138" t="s">
        <v>8077</v>
      </c>
      <c r="C981" s="138" t="s">
        <v>4367</v>
      </c>
      <c r="D981" s="138" t="s">
        <v>10</v>
      </c>
      <c r="E981" s="138" t="s">
        <v>430</v>
      </c>
      <c r="F981" s="138" t="s">
        <v>810</v>
      </c>
      <c r="H981" s="138">
        <v>33</v>
      </c>
      <c r="I981" s="138">
        <v>1008</v>
      </c>
      <c r="K981" s="138">
        <v>166</v>
      </c>
      <c r="L981" s="138">
        <v>802</v>
      </c>
      <c r="N981" s="138">
        <v>2</v>
      </c>
      <c r="O981" s="138">
        <v>1</v>
      </c>
      <c r="S981" s="138">
        <v>35</v>
      </c>
      <c r="T981" s="138">
        <v>2</v>
      </c>
      <c r="U981" s="138">
        <f t="shared" si="1536"/>
        <v>38</v>
      </c>
      <c r="W981" s="139">
        <f t="shared" ref="W981:AA981" si="1966">J981/$I981</f>
        <v>0</v>
      </c>
      <c r="X981" s="139">
        <f t="shared" si="1966"/>
        <v>0.16468253968253968</v>
      </c>
      <c r="Y981" s="139">
        <f t="shared" si="1966"/>
        <v>0.79563492063492058</v>
      </c>
      <c r="Z981" s="139">
        <f t="shared" si="1966"/>
        <v>0</v>
      </c>
      <c r="AA981" s="139">
        <f t="shared" si="1966"/>
        <v>1.984126984126984E-3</v>
      </c>
      <c r="AB981" s="139"/>
      <c r="AC981" s="139">
        <f t="shared" si="1538"/>
        <v>3.7698412698412696E-2</v>
      </c>
      <c r="AD981" s="139">
        <f t="shared" ref="AD981:AI981" si="1967">O981/$I981</f>
        <v>9.9206349206349201E-4</v>
      </c>
      <c r="AE981" s="139">
        <f t="shared" si="1967"/>
        <v>0</v>
      </c>
      <c r="AF981" s="139">
        <f t="shared" si="1967"/>
        <v>0</v>
      </c>
      <c r="AG981" s="139">
        <f t="shared" si="1967"/>
        <v>0</v>
      </c>
      <c r="AH981" s="139">
        <f t="shared" si="1967"/>
        <v>3.4722222222222224E-2</v>
      </c>
      <c r="AI981" s="139">
        <f t="shared" si="1967"/>
        <v>1.984126984126984E-3</v>
      </c>
    </row>
    <row r="982" spans="2:35">
      <c r="B982" s="138" t="s">
        <v>8077</v>
      </c>
      <c r="C982" s="138" t="s">
        <v>4367</v>
      </c>
      <c r="D982" s="138" t="s">
        <v>10</v>
      </c>
      <c r="E982" s="138" t="s">
        <v>430</v>
      </c>
      <c r="F982" s="138" t="s">
        <v>810</v>
      </c>
      <c r="H982" s="138">
        <v>34</v>
      </c>
      <c r="I982" s="138">
        <v>954</v>
      </c>
      <c r="K982" s="138">
        <v>235</v>
      </c>
      <c r="L982" s="138">
        <v>685</v>
      </c>
      <c r="N982" s="138">
        <v>5</v>
      </c>
      <c r="O982" s="138">
        <v>1</v>
      </c>
      <c r="S982" s="138">
        <v>22</v>
      </c>
      <c r="T982" s="138">
        <v>6</v>
      </c>
      <c r="U982" s="138">
        <f t="shared" si="1536"/>
        <v>29</v>
      </c>
      <c r="W982" s="139">
        <f t="shared" ref="W982:AA982" si="1968">J982/$I982</f>
        <v>0</v>
      </c>
      <c r="X982" s="139">
        <f t="shared" si="1968"/>
        <v>0.24633123689727462</v>
      </c>
      <c r="Y982" s="139">
        <f t="shared" si="1968"/>
        <v>0.71802935010482183</v>
      </c>
      <c r="Z982" s="139">
        <f t="shared" si="1968"/>
        <v>0</v>
      </c>
      <c r="AA982" s="139">
        <f t="shared" si="1968"/>
        <v>5.2410901467505244E-3</v>
      </c>
      <c r="AB982" s="139"/>
      <c r="AC982" s="139">
        <f t="shared" si="1538"/>
        <v>3.0398322851153039E-2</v>
      </c>
      <c r="AD982" s="139">
        <f t="shared" ref="AD982:AI982" si="1969">O982/$I982</f>
        <v>1.0482180293501049E-3</v>
      </c>
      <c r="AE982" s="139">
        <f t="shared" si="1969"/>
        <v>0</v>
      </c>
      <c r="AF982" s="139">
        <f t="shared" si="1969"/>
        <v>0</v>
      </c>
      <c r="AG982" s="139">
        <f t="shared" si="1969"/>
        <v>0</v>
      </c>
      <c r="AH982" s="139">
        <f t="shared" si="1969"/>
        <v>2.3060796645702306E-2</v>
      </c>
      <c r="AI982" s="139">
        <f t="shared" si="1969"/>
        <v>6.2893081761006293E-3</v>
      </c>
    </row>
    <row r="983" spans="2:35">
      <c r="B983" s="138" t="s">
        <v>8077</v>
      </c>
      <c r="C983" s="138" t="s">
        <v>4367</v>
      </c>
      <c r="D983" s="138" t="s">
        <v>10</v>
      </c>
      <c r="E983" s="138" t="s">
        <v>430</v>
      </c>
      <c r="F983" s="138" t="s">
        <v>810</v>
      </c>
      <c r="H983" s="138">
        <v>35</v>
      </c>
      <c r="I983" s="138">
        <v>658</v>
      </c>
      <c r="K983" s="138">
        <v>166</v>
      </c>
      <c r="L983" s="138">
        <v>457</v>
      </c>
      <c r="N983" s="138">
        <v>3</v>
      </c>
      <c r="O983" s="138">
        <v>1</v>
      </c>
      <c r="S983" s="138">
        <v>21</v>
      </c>
      <c r="T983" s="138">
        <v>10</v>
      </c>
      <c r="U983" s="138">
        <f t="shared" si="1536"/>
        <v>32</v>
      </c>
      <c r="W983" s="139">
        <f t="shared" ref="W983:AA983" si="1970">J983/$I983</f>
        <v>0</v>
      </c>
      <c r="X983" s="139">
        <f t="shared" si="1970"/>
        <v>0.25227963525835867</v>
      </c>
      <c r="Y983" s="139">
        <f t="shared" si="1970"/>
        <v>0.69452887537993924</v>
      </c>
      <c r="Z983" s="139">
        <f t="shared" si="1970"/>
        <v>0</v>
      </c>
      <c r="AA983" s="139">
        <f t="shared" si="1970"/>
        <v>4.559270516717325E-3</v>
      </c>
      <c r="AB983" s="139"/>
      <c r="AC983" s="139">
        <f t="shared" si="1538"/>
        <v>4.8632218844984802E-2</v>
      </c>
      <c r="AD983" s="139">
        <f t="shared" ref="AD983:AI983" si="1971">O983/$I983</f>
        <v>1.5197568389057751E-3</v>
      </c>
      <c r="AE983" s="139">
        <f t="shared" si="1971"/>
        <v>0</v>
      </c>
      <c r="AF983" s="139">
        <f t="shared" si="1971"/>
        <v>0</v>
      </c>
      <c r="AG983" s="139">
        <f t="shared" si="1971"/>
        <v>0</v>
      </c>
      <c r="AH983" s="139">
        <f t="shared" si="1971"/>
        <v>3.1914893617021274E-2</v>
      </c>
      <c r="AI983" s="139">
        <f t="shared" si="1971"/>
        <v>1.5197568389057751E-2</v>
      </c>
    </row>
    <row r="984" spans="2:35">
      <c r="B984" s="138" t="s">
        <v>8077</v>
      </c>
      <c r="C984" s="138" t="s">
        <v>4367</v>
      </c>
      <c r="D984" s="138" t="s">
        <v>10</v>
      </c>
      <c r="E984" s="138" t="s">
        <v>430</v>
      </c>
      <c r="F984" s="138" t="s">
        <v>810</v>
      </c>
      <c r="H984" s="138">
        <v>36</v>
      </c>
      <c r="I984" s="138">
        <v>868</v>
      </c>
      <c r="K984" s="138">
        <v>200</v>
      </c>
      <c r="L984" s="138">
        <v>630</v>
      </c>
      <c r="N984" s="138">
        <v>0</v>
      </c>
      <c r="O984" s="138">
        <v>0</v>
      </c>
      <c r="S984" s="138">
        <v>28</v>
      </c>
      <c r="T984" s="138">
        <v>10</v>
      </c>
      <c r="U984" s="138">
        <f t="shared" si="1536"/>
        <v>38</v>
      </c>
      <c r="W984" s="139">
        <f t="shared" ref="W984:AA984" si="1972">J984/$I984</f>
        <v>0</v>
      </c>
      <c r="X984" s="139">
        <f t="shared" si="1972"/>
        <v>0.2304147465437788</v>
      </c>
      <c r="Y984" s="139">
        <f t="shared" si="1972"/>
        <v>0.72580645161290325</v>
      </c>
      <c r="Z984" s="139">
        <f t="shared" si="1972"/>
        <v>0</v>
      </c>
      <c r="AA984" s="139">
        <f t="shared" si="1972"/>
        <v>0</v>
      </c>
      <c r="AB984" s="139"/>
      <c r="AC984" s="139">
        <f t="shared" si="1538"/>
        <v>4.377880184331797E-2</v>
      </c>
      <c r="AD984" s="139">
        <f t="shared" ref="AD984:AI984" si="1973">O984/$I984</f>
        <v>0</v>
      </c>
      <c r="AE984" s="139">
        <f t="shared" si="1973"/>
        <v>0</v>
      </c>
      <c r="AF984" s="139">
        <f t="shared" si="1973"/>
        <v>0</v>
      </c>
      <c r="AG984" s="139">
        <f t="shared" si="1973"/>
        <v>0</v>
      </c>
      <c r="AH984" s="139">
        <f t="shared" si="1973"/>
        <v>3.2258064516129031E-2</v>
      </c>
      <c r="AI984" s="139">
        <f t="shared" si="1973"/>
        <v>1.1520737327188941E-2</v>
      </c>
    </row>
    <row r="985" spans="2:35">
      <c r="B985" s="138" t="s">
        <v>8077</v>
      </c>
      <c r="C985" s="138" t="s">
        <v>4367</v>
      </c>
      <c r="D985" s="138" t="s">
        <v>10</v>
      </c>
      <c r="E985" s="138" t="s">
        <v>430</v>
      </c>
      <c r="F985" s="138" t="s">
        <v>810</v>
      </c>
      <c r="H985" s="138">
        <v>37</v>
      </c>
      <c r="I985" s="138">
        <v>998</v>
      </c>
      <c r="K985" s="138">
        <v>132</v>
      </c>
      <c r="L985" s="138">
        <v>828</v>
      </c>
      <c r="N985" s="138">
        <v>5</v>
      </c>
      <c r="O985" s="138">
        <v>1</v>
      </c>
      <c r="S985" s="138">
        <v>29</v>
      </c>
      <c r="T985" s="138">
        <v>3</v>
      </c>
      <c r="U985" s="138">
        <f t="shared" si="1536"/>
        <v>33</v>
      </c>
      <c r="W985" s="139">
        <f t="shared" ref="W985:AA985" si="1974">J985/$I985</f>
        <v>0</v>
      </c>
      <c r="X985" s="139">
        <f t="shared" si="1974"/>
        <v>0.13226452905811623</v>
      </c>
      <c r="Y985" s="139">
        <f t="shared" si="1974"/>
        <v>0.8296593186372746</v>
      </c>
      <c r="Z985" s="139">
        <f t="shared" si="1974"/>
        <v>0</v>
      </c>
      <c r="AA985" s="139">
        <f t="shared" si="1974"/>
        <v>5.0100200400801601E-3</v>
      </c>
      <c r="AB985" s="139"/>
      <c r="AC985" s="139">
        <f t="shared" si="1538"/>
        <v>3.3066132264529056E-2</v>
      </c>
      <c r="AD985" s="139">
        <f t="shared" ref="AD985:AI985" si="1975">O985/$I985</f>
        <v>1.002004008016032E-3</v>
      </c>
      <c r="AE985" s="139">
        <f t="shared" si="1975"/>
        <v>0</v>
      </c>
      <c r="AF985" s="139">
        <f t="shared" si="1975"/>
        <v>0</v>
      </c>
      <c r="AG985" s="139">
        <f t="shared" si="1975"/>
        <v>0</v>
      </c>
      <c r="AH985" s="139">
        <f t="shared" si="1975"/>
        <v>2.9058116232464931E-2</v>
      </c>
      <c r="AI985" s="139">
        <f t="shared" si="1975"/>
        <v>3.0060120240480962E-3</v>
      </c>
    </row>
    <row r="986" spans="2:35">
      <c r="B986" s="138" t="s">
        <v>8077</v>
      </c>
      <c r="C986" s="138" t="s">
        <v>4367</v>
      </c>
      <c r="D986" s="138" t="s">
        <v>10</v>
      </c>
      <c r="E986" s="138" t="s">
        <v>430</v>
      </c>
      <c r="F986" s="138" t="s">
        <v>810</v>
      </c>
      <c r="H986" s="138">
        <v>38</v>
      </c>
      <c r="I986" s="138">
        <v>573</v>
      </c>
      <c r="K986" s="138">
        <v>149</v>
      </c>
      <c r="L986" s="138">
        <v>407</v>
      </c>
      <c r="N986" s="138">
        <v>0</v>
      </c>
      <c r="O986" s="138">
        <v>1</v>
      </c>
      <c r="S986" s="138">
        <v>14</v>
      </c>
      <c r="T986" s="138">
        <v>2</v>
      </c>
      <c r="U986" s="138">
        <f t="shared" si="1536"/>
        <v>17</v>
      </c>
      <c r="W986" s="139">
        <f t="shared" ref="W986:AA986" si="1976">J986/$I986</f>
        <v>0</v>
      </c>
      <c r="X986" s="139">
        <f t="shared" si="1976"/>
        <v>0.26003490401396162</v>
      </c>
      <c r="Y986" s="139">
        <f t="shared" si="1976"/>
        <v>0.71029668411867364</v>
      </c>
      <c r="Z986" s="139">
        <f t="shared" si="1976"/>
        <v>0</v>
      </c>
      <c r="AA986" s="139">
        <f t="shared" si="1976"/>
        <v>0</v>
      </c>
      <c r="AB986" s="139"/>
      <c r="AC986" s="139">
        <f t="shared" si="1538"/>
        <v>2.9668411867364748E-2</v>
      </c>
      <c r="AD986" s="139">
        <f t="shared" ref="AD986:AI986" si="1977">O986/$I986</f>
        <v>1.7452006980802793E-3</v>
      </c>
      <c r="AE986" s="139">
        <f t="shared" si="1977"/>
        <v>0</v>
      </c>
      <c r="AF986" s="139">
        <f t="shared" si="1977"/>
        <v>0</v>
      </c>
      <c r="AG986" s="139">
        <f t="shared" si="1977"/>
        <v>0</v>
      </c>
      <c r="AH986" s="139">
        <f t="shared" si="1977"/>
        <v>2.4432809773123908E-2</v>
      </c>
      <c r="AI986" s="139">
        <f t="shared" si="1977"/>
        <v>3.4904013961605585E-3</v>
      </c>
    </row>
    <row r="987" spans="2:35">
      <c r="B987" s="138" t="s">
        <v>8077</v>
      </c>
      <c r="C987" s="138" t="s">
        <v>4367</v>
      </c>
      <c r="D987" s="138" t="s">
        <v>10</v>
      </c>
      <c r="E987" s="138" t="s">
        <v>430</v>
      </c>
      <c r="F987" s="138" t="s">
        <v>810</v>
      </c>
      <c r="H987" s="138">
        <v>39</v>
      </c>
      <c r="I987" s="138">
        <v>501</v>
      </c>
      <c r="K987" s="138">
        <v>51</v>
      </c>
      <c r="L987" s="138">
        <v>437</v>
      </c>
      <c r="N987" s="138">
        <v>0</v>
      </c>
      <c r="O987" s="138">
        <v>1</v>
      </c>
      <c r="S987" s="138">
        <v>12</v>
      </c>
      <c r="T987" s="138">
        <v>0</v>
      </c>
      <c r="U987" s="138">
        <f t="shared" si="1536"/>
        <v>13</v>
      </c>
      <c r="W987" s="139">
        <f t="shared" ref="W987:AA987" si="1978">J987/$I987</f>
        <v>0</v>
      </c>
      <c r="X987" s="139">
        <f t="shared" si="1978"/>
        <v>0.10179640718562874</v>
      </c>
      <c r="Y987" s="139">
        <f t="shared" si="1978"/>
        <v>0.87225548902195604</v>
      </c>
      <c r="Z987" s="139">
        <f t="shared" si="1978"/>
        <v>0</v>
      </c>
      <c r="AA987" s="139">
        <f t="shared" si="1978"/>
        <v>0</v>
      </c>
      <c r="AB987" s="139"/>
      <c r="AC987" s="139">
        <f t="shared" si="1538"/>
        <v>2.5948103792415168E-2</v>
      </c>
      <c r="AD987" s="139">
        <f t="shared" ref="AD987:AI987" si="1979">O987/$I987</f>
        <v>1.996007984031936E-3</v>
      </c>
      <c r="AE987" s="139">
        <f t="shared" si="1979"/>
        <v>0</v>
      </c>
      <c r="AF987" s="139">
        <f t="shared" si="1979"/>
        <v>0</v>
      </c>
      <c r="AG987" s="139">
        <f t="shared" si="1979"/>
        <v>0</v>
      </c>
      <c r="AH987" s="139">
        <f t="shared" si="1979"/>
        <v>2.3952095808383235E-2</v>
      </c>
      <c r="AI987" s="139">
        <f t="shared" si="1979"/>
        <v>0</v>
      </c>
    </row>
    <row r="988" spans="2:35">
      <c r="B988" s="138" t="s">
        <v>8077</v>
      </c>
      <c r="C988" s="138" t="s">
        <v>4367</v>
      </c>
      <c r="D988" s="138" t="s">
        <v>10</v>
      </c>
      <c r="E988" s="138" t="s">
        <v>430</v>
      </c>
      <c r="F988" s="138" t="s">
        <v>810</v>
      </c>
      <c r="H988" s="138">
        <v>40</v>
      </c>
      <c r="I988" s="138">
        <v>976</v>
      </c>
      <c r="K988" s="138">
        <v>219</v>
      </c>
      <c r="L988" s="138">
        <v>726</v>
      </c>
      <c r="N988" s="138">
        <v>3</v>
      </c>
      <c r="O988" s="138">
        <v>0</v>
      </c>
      <c r="S988" s="138">
        <v>21</v>
      </c>
      <c r="T988" s="138">
        <v>7</v>
      </c>
      <c r="U988" s="138">
        <f t="shared" si="1536"/>
        <v>28</v>
      </c>
      <c r="W988" s="139">
        <f t="shared" ref="W988:AA988" si="1980">J988/$I988</f>
        <v>0</v>
      </c>
      <c r="X988" s="139">
        <f t="shared" si="1980"/>
        <v>0.22438524590163936</v>
      </c>
      <c r="Y988" s="139">
        <f t="shared" si="1980"/>
        <v>0.74385245901639341</v>
      </c>
      <c r="Z988" s="139">
        <f t="shared" si="1980"/>
        <v>0</v>
      </c>
      <c r="AA988" s="139">
        <f t="shared" si="1980"/>
        <v>3.0737704918032786E-3</v>
      </c>
      <c r="AB988" s="139"/>
      <c r="AC988" s="139">
        <f t="shared" si="1538"/>
        <v>2.8688524590163935E-2</v>
      </c>
      <c r="AD988" s="139">
        <f t="shared" ref="AD988:AI988" si="1981">O988/$I988</f>
        <v>0</v>
      </c>
      <c r="AE988" s="139">
        <f t="shared" si="1981"/>
        <v>0</v>
      </c>
      <c r="AF988" s="139">
        <f t="shared" si="1981"/>
        <v>0</v>
      </c>
      <c r="AG988" s="139">
        <f t="shared" si="1981"/>
        <v>0</v>
      </c>
      <c r="AH988" s="139">
        <f t="shared" si="1981"/>
        <v>2.151639344262295E-2</v>
      </c>
      <c r="AI988" s="139">
        <f t="shared" si="1981"/>
        <v>7.1721311475409838E-3</v>
      </c>
    </row>
    <row r="989" spans="2:35">
      <c r="B989" s="138" t="s">
        <v>8077</v>
      </c>
      <c r="C989" s="138" t="s">
        <v>4367</v>
      </c>
      <c r="D989" s="138" t="s">
        <v>10</v>
      </c>
      <c r="E989" s="138" t="s">
        <v>430</v>
      </c>
      <c r="F989" s="138" t="s">
        <v>810</v>
      </c>
      <c r="H989" s="138">
        <v>41</v>
      </c>
      <c r="I989" s="138">
        <v>953</v>
      </c>
      <c r="K989" s="138">
        <v>180</v>
      </c>
      <c r="L989" s="138">
        <v>733</v>
      </c>
      <c r="N989" s="138">
        <v>4</v>
      </c>
      <c r="O989" s="138">
        <v>12</v>
      </c>
      <c r="S989" s="138">
        <v>20</v>
      </c>
      <c r="T989" s="138">
        <v>4</v>
      </c>
      <c r="U989" s="138">
        <f t="shared" si="1536"/>
        <v>36</v>
      </c>
      <c r="W989" s="139">
        <f t="shared" ref="W989:AA989" si="1982">J989/$I989</f>
        <v>0</v>
      </c>
      <c r="X989" s="139">
        <f t="shared" si="1982"/>
        <v>0.1888772298006296</v>
      </c>
      <c r="Y989" s="139">
        <f t="shared" si="1982"/>
        <v>0.76915005246589718</v>
      </c>
      <c r="Z989" s="139">
        <f t="shared" si="1982"/>
        <v>0</v>
      </c>
      <c r="AA989" s="139">
        <f t="shared" si="1982"/>
        <v>4.1972717733473244E-3</v>
      </c>
      <c r="AB989" s="139"/>
      <c r="AC989" s="139">
        <f t="shared" si="1538"/>
        <v>3.7775445960125921E-2</v>
      </c>
      <c r="AD989" s="139">
        <f t="shared" ref="AD989:AI989" si="1983">O989/$I989</f>
        <v>1.2591815320041973E-2</v>
      </c>
      <c r="AE989" s="139">
        <f t="shared" si="1983"/>
        <v>0</v>
      </c>
      <c r="AF989" s="139">
        <f t="shared" si="1983"/>
        <v>0</v>
      </c>
      <c r="AG989" s="139">
        <f t="shared" si="1983"/>
        <v>0</v>
      </c>
      <c r="AH989" s="139">
        <f t="shared" si="1983"/>
        <v>2.098635886673662E-2</v>
      </c>
      <c r="AI989" s="139">
        <f t="shared" si="1983"/>
        <v>4.1972717733473244E-3</v>
      </c>
    </row>
    <row r="990" spans="2:35">
      <c r="B990" s="138" t="s">
        <v>8077</v>
      </c>
      <c r="C990" s="138" t="s">
        <v>4367</v>
      </c>
      <c r="D990" s="138" t="s">
        <v>10</v>
      </c>
      <c r="E990" s="138" t="s">
        <v>430</v>
      </c>
      <c r="F990" s="138" t="s">
        <v>805</v>
      </c>
      <c r="H990" s="138">
        <v>42</v>
      </c>
      <c r="I990" s="138">
        <v>713</v>
      </c>
      <c r="K990" s="138">
        <v>157</v>
      </c>
      <c r="L990" s="138">
        <v>536</v>
      </c>
      <c r="N990" s="138">
        <v>3</v>
      </c>
      <c r="O990" s="138">
        <v>0</v>
      </c>
      <c r="S990" s="138">
        <v>15</v>
      </c>
      <c r="T990" s="138">
        <v>2</v>
      </c>
      <c r="U990" s="138">
        <f t="shared" si="1536"/>
        <v>17</v>
      </c>
      <c r="W990" s="139">
        <f t="shared" ref="W990:AA990" si="1984">J990/$I990</f>
        <v>0</v>
      </c>
      <c r="X990" s="139">
        <f t="shared" si="1984"/>
        <v>0.22019635343618513</v>
      </c>
      <c r="Y990" s="139">
        <f t="shared" si="1984"/>
        <v>0.75175315568022438</v>
      </c>
      <c r="Z990" s="139">
        <f t="shared" si="1984"/>
        <v>0</v>
      </c>
      <c r="AA990" s="139">
        <f t="shared" si="1984"/>
        <v>4.2075736325385693E-3</v>
      </c>
      <c r="AB990" s="139"/>
      <c r="AC990" s="139">
        <f t="shared" si="1538"/>
        <v>2.3842917251051893E-2</v>
      </c>
      <c r="AD990" s="139">
        <f t="shared" ref="AD990:AI990" si="1985">O990/$I990</f>
        <v>0</v>
      </c>
      <c r="AE990" s="139">
        <f t="shared" si="1985"/>
        <v>0</v>
      </c>
      <c r="AF990" s="139">
        <f t="shared" si="1985"/>
        <v>0</v>
      </c>
      <c r="AG990" s="139">
        <f t="shared" si="1985"/>
        <v>0</v>
      </c>
      <c r="AH990" s="139">
        <f t="shared" si="1985"/>
        <v>2.1037868162692847E-2</v>
      </c>
      <c r="AI990" s="139">
        <f t="shared" si="1985"/>
        <v>2.8050490883590462E-3</v>
      </c>
    </row>
    <row r="991" spans="2:35">
      <c r="B991" s="138" t="s">
        <v>8077</v>
      </c>
      <c r="C991" s="138" t="s">
        <v>4367</v>
      </c>
      <c r="D991" s="138" t="s">
        <v>10</v>
      </c>
      <c r="E991" s="138" t="s">
        <v>430</v>
      </c>
      <c r="F991" s="138" t="s">
        <v>805</v>
      </c>
      <c r="H991" s="138">
        <v>43</v>
      </c>
      <c r="I991" s="138">
        <v>614</v>
      </c>
      <c r="K991" s="138">
        <v>131</v>
      </c>
      <c r="L991" s="138">
        <v>445</v>
      </c>
      <c r="N991" s="138">
        <v>3</v>
      </c>
      <c r="O991" s="138">
        <v>2</v>
      </c>
      <c r="S991" s="138">
        <v>27</v>
      </c>
      <c r="T991" s="138">
        <v>6</v>
      </c>
      <c r="U991" s="138">
        <f t="shared" si="1536"/>
        <v>35</v>
      </c>
      <c r="W991" s="139">
        <f t="shared" ref="W991:AA991" si="1986">J991/$I991</f>
        <v>0</v>
      </c>
      <c r="X991" s="139">
        <f t="shared" si="1986"/>
        <v>0.21335504885993486</v>
      </c>
      <c r="Y991" s="139">
        <f t="shared" si="1986"/>
        <v>0.72475570032573289</v>
      </c>
      <c r="Z991" s="139">
        <f t="shared" si="1986"/>
        <v>0</v>
      </c>
      <c r="AA991" s="139">
        <f t="shared" si="1986"/>
        <v>4.8859934853420191E-3</v>
      </c>
      <c r="AB991" s="139"/>
      <c r="AC991" s="139">
        <f t="shared" si="1538"/>
        <v>5.7003257328990226E-2</v>
      </c>
      <c r="AD991" s="139">
        <f t="shared" ref="AD991:AI991" si="1987">O991/$I991</f>
        <v>3.2573289902280132E-3</v>
      </c>
      <c r="AE991" s="139">
        <f t="shared" si="1987"/>
        <v>0</v>
      </c>
      <c r="AF991" s="139">
        <f t="shared" si="1987"/>
        <v>0</v>
      </c>
      <c r="AG991" s="139">
        <f t="shared" si="1987"/>
        <v>0</v>
      </c>
      <c r="AH991" s="139">
        <f t="shared" si="1987"/>
        <v>4.3973941368078175E-2</v>
      </c>
      <c r="AI991" s="139">
        <f t="shared" si="1987"/>
        <v>9.7719869706840382E-3</v>
      </c>
    </row>
    <row r="992" spans="2:35">
      <c r="B992" s="138" t="s">
        <v>8077</v>
      </c>
      <c r="C992" s="138" t="s">
        <v>4367</v>
      </c>
      <c r="D992" s="138" t="s">
        <v>10</v>
      </c>
      <c r="E992" s="138" t="s">
        <v>430</v>
      </c>
      <c r="F992" s="138" t="s">
        <v>805</v>
      </c>
      <c r="H992" s="138">
        <v>44</v>
      </c>
      <c r="I992" s="138">
        <v>885</v>
      </c>
      <c r="K992" s="138">
        <v>381</v>
      </c>
      <c r="L992" s="138">
        <v>450</v>
      </c>
      <c r="N992" s="138">
        <v>10</v>
      </c>
      <c r="O992" s="138">
        <v>2</v>
      </c>
      <c r="S992" s="138">
        <v>26</v>
      </c>
      <c r="T992" s="138">
        <v>16</v>
      </c>
      <c r="U992" s="138">
        <f t="shared" si="1536"/>
        <v>44</v>
      </c>
      <c r="W992" s="139">
        <f t="shared" ref="W992:AA992" si="1988">J992/$I992</f>
        <v>0</v>
      </c>
      <c r="X992" s="139">
        <f t="shared" si="1988"/>
        <v>0.43050847457627117</v>
      </c>
      <c r="Y992" s="139">
        <f t="shared" si="1988"/>
        <v>0.50847457627118642</v>
      </c>
      <c r="Z992" s="139">
        <f t="shared" si="1988"/>
        <v>0</v>
      </c>
      <c r="AA992" s="139">
        <f t="shared" si="1988"/>
        <v>1.1299435028248588E-2</v>
      </c>
      <c r="AB992" s="139"/>
      <c r="AC992" s="139">
        <f t="shared" si="1538"/>
        <v>4.9717514124293788E-2</v>
      </c>
      <c r="AD992" s="139">
        <f t="shared" ref="AD992:AI992" si="1989">O992/$I992</f>
        <v>2.2598870056497176E-3</v>
      </c>
      <c r="AE992" s="139">
        <f t="shared" si="1989"/>
        <v>0</v>
      </c>
      <c r="AF992" s="139">
        <f t="shared" si="1989"/>
        <v>0</v>
      </c>
      <c r="AG992" s="139">
        <f t="shared" si="1989"/>
        <v>0</v>
      </c>
      <c r="AH992" s="139">
        <f t="shared" si="1989"/>
        <v>2.9378531073446328E-2</v>
      </c>
      <c r="AI992" s="139">
        <f t="shared" si="1989"/>
        <v>1.8079096045197741E-2</v>
      </c>
    </row>
    <row r="993" spans="2:35">
      <c r="B993" s="138" t="s">
        <v>8077</v>
      </c>
      <c r="C993" s="138" t="s">
        <v>4367</v>
      </c>
      <c r="D993" s="138" t="s">
        <v>10</v>
      </c>
      <c r="E993" s="138" t="s">
        <v>430</v>
      </c>
      <c r="F993" s="138" t="s">
        <v>8160</v>
      </c>
      <c r="H993" s="138">
        <v>45</v>
      </c>
      <c r="I993" s="138">
        <v>525</v>
      </c>
      <c r="K993" s="138">
        <v>317</v>
      </c>
      <c r="L993" s="138">
        <v>188</v>
      </c>
      <c r="N993" s="138">
        <v>3</v>
      </c>
      <c r="O993" s="138">
        <v>1</v>
      </c>
      <c r="S993" s="138">
        <v>10</v>
      </c>
      <c r="T993" s="138">
        <v>6</v>
      </c>
      <c r="U993" s="138">
        <f t="shared" si="1536"/>
        <v>17</v>
      </c>
      <c r="W993" s="139">
        <f t="shared" ref="W993:AA993" si="1990">J993/$I993</f>
        <v>0</v>
      </c>
      <c r="X993" s="139">
        <f t="shared" si="1990"/>
        <v>0.6038095238095238</v>
      </c>
      <c r="Y993" s="139">
        <f t="shared" si="1990"/>
        <v>0.35809523809523808</v>
      </c>
      <c r="Z993" s="139">
        <f t="shared" si="1990"/>
        <v>0</v>
      </c>
      <c r="AA993" s="139">
        <f t="shared" si="1990"/>
        <v>5.7142857142857143E-3</v>
      </c>
      <c r="AB993" s="139"/>
      <c r="AC993" s="139">
        <f t="shared" si="1538"/>
        <v>3.2380952380952378E-2</v>
      </c>
      <c r="AD993" s="139">
        <f t="shared" ref="AD993:AI993" si="1991">O993/$I993</f>
        <v>1.9047619047619048E-3</v>
      </c>
      <c r="AE993" s="139">
        <f t="shared" si="1991"/>
        <v>0</v>
      </c>
      <c r="AF993" s="139">
        <f t="shared" si="1991"/>
        <v>0</v>
      </c>
      <c r="AG993" s="139">
        <f t="shared" si="1991"/>
        <v>0</v>
      </c>
      <c r="AH993" s="139">
        <f t="shared" si="1991"/>
        <v>1.9047619047619049E-2</v>
      </c>
      <c r="AI993" s="139">
        <f t="shared" si="1991"/>
        <v>1.1428571428571429E-2</v>
      </c>
    </row>
    <row r="994" spans="2:35">
      <c r="B994" s="138" t="s">
        <v>8077</v>
      </c>
      <c r="C994" s="138" t="s">
        <v>4367</v>
      </c>
      <c r="D994" s="138" t="s">
        <v>10</v>
      </c>
      <c r="E994" s="138" t="s">
        <v>430</v>
      </c>
      <c r="F994" s="138" t="s">
        <v>8160</v>
      </c>
      <c r="H994" s="138">
        <v>46</v>
      </c>
      <c r="I994" s="138">
        <v>541</v>
      </c>
      <c r="K994" s="138">
        <v>267</v>
      </c>
      <c r="L994" s="138">
        <v>254</v>
      </c>
      <c r="N994" s="138">
        <v>3</v>
      </c>
      <c r="O994" s="138">
        <v>1</v>
      </c>
      <c r="S994" s="138">
        <v>14</v>
      </c>
      <c r="T994" s="138">
        <v>2</v>
      </c>
      <c r="U994" s="138">
        <f t="shared" si="1536"/>
        <v>17</v>
      </c>
      <c r="W994" s="139">
        <f t="shared" ref="W994:AA994" si="1992">J994/$I994</f>
        <v>0</v>
      </c>
      <c r="X994" s="139">
        <f t="shared" si="1992"/>
        <v>0.49353049907578556</v>
      </c>
      <c r="Y994" s="139">
        <f t="shared" si="1992"/>
        <v>0.46950092421441775</v>
      </c>
      <c r="Z994" s="139">
        <f t="shared" si="1992"/>
        <v>0</v>
      </c>
      <c r="AA994" s="139">
        <f t="shared" si="1992"/>
        <v>5.5452865064695009E-3</v>
      </c>
      <c r="AB994" s="139"/>
      <c r="AC994" s="139">
        <f t="shared" si="1538"/>
        <v>3.1423290203327174E-2</v>
      </c>
      <c r="AD994" s="139">
        <f t="shared" ref="AD994:AI994" si="1993">O994/$I994</f>
        <v>1.8484288354898336E-3</v>
      </c>
      <c r="AE994" s="139">
        <f t="shared" si="1993"/>
        <v>0</v>
      </c>
      <c r="AF994" s="139">
        <f t="shared" si="1993"/>
        <v>0</v>
      </c>
      <c r="AG994" s="139">
        <f t="shared" si="1993"/>
        <v>0</v>
      </c>
      <c r="AH994" s="139">
        <f t="shared" si="1993"/>
        <v>2.5878003696857672E-2</v>
      </c>
      <c r="AI994" s="139">
        <f t="shared" si="1993"/>
        <v>3.6968576709796672E-3</v>
      </c>
    </row>
    <row r="995" spans="2:35">
      <c r="B995" s="138" t="s">
        <v>8077</v>
      </c>
      <c r="C995" s="138" t="s">
        <v>4367</v>
      </c>
      <c r="D995" s="138" t="s">
        <v>10</v>
      </c>
      <c r="E995" s="138" t="s">
        <v>8161</v>
      </c>
      <c r="F995" s="138" t="s">
        <v>8161</v>
      </c>
      <c r="H995" s="138">
        <v>47</v>
      </c>
      <c r="I995" s="138">
        <v>1066</v>
      </c>
      <c r="K995" s="138">
        <v>227</v>
      </c>
      <c r="L995" s="138">
        <v>789</v>
      </c>
      <c r="N995" s="138">
        <v>6</v>
      </c>
      <c r="O995" s="138">
        <v>2</v>
      </c>
      <c r="S995" s="138">
        <v>35</v>
      </c>
      <c r="T995" s="138">
        <v>7</v>
      </c>
      <c r="U995" s="138">
        <f t="shared" si="1536"/>
        <v>44</v>
      </c>
      <c r="W995" s="139">
        <f t="shared" ref="W995:AA995" si="1994">J995/$I995</f>
        <v>0</v>
      </c>
      <c r="X995" s="139">
        <f t="shared" si="1994"/>
        <v>0.21294559099437149</v>
      </c>
      <c r="Y995" s="139">
        <f t="shared" si="1994"/>
        <v>0.74015009380863039</v>
      </c>
      <c r="Z995" s="139">
        <f t="shared" si="1994"/>
        <v>0</v>
      </c>
      <c r="AA995" s="139">
        <f t="shared" si="1994"/>
        <v>5.6285178236397749E-3</v>
      </c>
      <c r="AB995" s="139"/>
      <c r="AC995" s="139">
        <f t="shared" si="1538"/>
        <v>4.1275797373358347E-2</v>
      </c>
      <c r="AD995" s="139">
        <f t="shared" ref="AD995:AI995" si="1995">O995/$I995</f>
        <v>1.876172607879925E-3</v>
      </c>
      <c r="AE995" s="139">
        <f t="shared" si="1995"/>
        <v>0</v>
      </c>
      <c r="AF995" s="139">
        <f t="shared" si="1995"/>
        <v>0</v>
      </c>
      <c r="AG995" s="139">
        <f t="shared" si="1995"/>
        <v>0</v>
      </c>
      <c r="AH995" s="139">
        <f t="shared" si="1995"/>
        <v>3.283302063789869E-2</v>
      </c>
      <c r="AI995" s="139">
        <f t="shared" si="1995"/>
        <v>6.5666041275797378E-3</v>
      </c>
    </row>
    <row r="996" spans="2:35">
      <c r="B996" s="138" t="s">
        <v>8077</v>
      </c>
      <c r="C996" s="138" t="s">
        <v>4367</v>
      </c>
      <c r="D996" s="138" t="s">
        <v>10</v>
      </c>
      <c r="E996" s="138" t="s">
        <v>8161</v>
      </c>
      <c r="F996" s="138" t="s">
        <v>8161</v>
      </c>
      <c r="H996" s="138">
        <v>48</v>
      </c>
      <c r="I996" s="138">
        <v>1026</v>
      </c>
      <c r="K996" s="138">
        <v>235</v>
      </c>
      <c r="L996" s="138">
        <v>715</v>
      </c>
      <c r="N996" s="138">
        <v>10</v>
      </c>
      <c r="O996" s="138">
        <v>3</v>
      </c>
      <c r="S996" s="138">
        <v>46</v>
      </c>
      <c r="T996" s="138">
        <v>17</v>
      </c>
      <c r="U996" s="138">
        <f t="shared" si="1536"/>
        <v>66</v>
      </c>
      <c r="W996" s="139">
        <f t="shared" ref="W996:AA996" si="1996">J996/$I996</f>
        <v>0</v>
      </c>
      <c r="X996" s="139">
        <f t="shared" si="1996"/>
        <v>0.22904483430799219</v>
      </c>
      <c r="Y996" s="139">
        <f t="shared" si="1996"/>
        <v>0.69688109161793377</v>
      </c>
      <c r="Z996" s="139">
        <f t="shared" si="1996"/>
        <v>0</v>
      </c>
      <c r="AA996" s="139">
        <f t="shared" si="1996"/>
        <v>9.7465886939571145E-3</v>
      </c>
      <c r="AB996" s="139"/>
      <c r="AC996" s="139">
        <f t="shared" si="1538"/>
        <v>6.4327485380116955E-2</v>
      </c>
      <c r="AD996" s="139">
        <f t="shared" ref="AD996:AI996" si="1997">O996/$I996</f>
        <v>2.9239766081871343E-3</v>
      </c>
      <c r="AE996" s="139">
        <f t="shared" si="1997"/>
        <v>0</v>
      </c>
      <c r="AF996" s="139">
        <f t="shared" si="1997"/>
        <v>0</v>
      </c>
      <c r="AG996" s="139">
        <f t="shared" si="1997"/>
        <v>0</v>
      </c>
      <c r="AH996" s="139">
        <f t="shared" si="1997"/>
        <v>4.4834307992202727E-2</v>
      </c>
      <c r="AI996" s="139">
        <f t="shared" si="1997"/>
        <v>1.6569200779727095E-2</v>
      </c>
    </row>
    <row r="997" spans="2:35">
      <c r="B997" s="138" t="s">
        <v>8077</v>
      </c>
      <c r="C997" s="138" t="s">
        <v>4367</v>
      </c>
      <c r="D997" s="138" t="s">
        <v>10</v>
      </c>
      <c r="E997" s="138" t="s">
        <v>8161</v>
      </c>
      <c r="F997" s="138" t="s">
        <v>8161</v>
      </c>
      <c r="H997" s="138">
        <v>49</v>
      </c>
      <c r="I997" s="138">
        <v>1200</v>
      </c>
      <c r="K997" s="138">
        <v>270</v>
      </c>
      <c r="L997" s="138">
        <v>886</v>
      </c>
      <c r="N997" s="138">
        <v>4</v>
      </c>
      <c r="O997" s="138">
        <v>2</v>
      </c>
      <c r="S997" s="138">
        <v>29</v>
      </c>
      <c r="T997" s="138">
        <v>9</v>
      </c>
      <c r="U997" s="138">
        <f t="shared" si="1536"/>
        <v>40</v>
      </c>
      <c r="W997" s="139">
        <f t="shared" ref="W997:AA997" si="1998">J997/$I997</f>
        <v>0</v>
      </c>
      <c r="X997" s="139">
        <f t="shared" si="1998"/>
        <v>0.22500000000000001</v>
      </c>
      <c r="Y997" s="139">
        <f t="shared" si="1998"/>
        <v>0.73833333333333329</v>
      </c>
      <c r="Z997" s="139">
        <f t="shared" si="1998"/>
        <v>0</v>
      </c>
      <c r="AA997" s="139">
        <f t="shared" si="1998"/>
        <v>3.3333333333333335E-3</v>
      </c>
      <c r="AB997" s="139"/>
      <c r="AC997" s="139">
        <f t="shared" si="1538"/>
        <v>3.3333333333333333E-2</v>
      </c>
      <c r="AD997" s="139">
        <f t="shared" ref="AD997:AI997" si="1999">O997/$I997</f>
        <v>1.6666666666666668E-3</v>
      </c>
      <c r="AE997" s="139">
        <f t="shared" si="1999"/>
        <v>0</v>
      </c>
      <c r="AF997" s="139">
        <f t="shared" si="1999"/>
        <v>0</v>
      </c>
      <c r="AG997" s="139">
        <f t="shared" si="1999"/>
        <v>0</v>
      </c>
      <c r="AH997" s="139">
        <f t="shared" si="1999"/>
        <v>2.4166666666666666E-2</v>
      </c>
      <c r="AI997" s="139">
        <f t="shared" si="1999"/>
        <v>7.4999999999999997E-3</v>
      </c>
    </row>
    <row r="998" spans="2:35">
      <c r="B998" s="138" t="s">
        <v>8077</v>
      </c>
      <c r="C998" s="138" t="s">
        <v>4367</v>
      </c>
      <c r="D998" s="138" t="s">
        <v>10</v>
      </c>
      <c r="E998" s="138" t="s">
        <v>8161</v>
      </c>
      <c r="F998" s="138" t="s">
        <v>8161</v>
      </c>
      <c r="H998" s="138">
        <v>50</v>
      </c>
      <c r="I998" s="138">
        <v>1252</v>
      </c>
      <c r="K998" s="138">
        <v>245</v>
      </c>
      <c r="L998" s="138">
        <v>968</v>
      </c>
      <c r="N998" s="138">
        <v>5</v>
      </c>
      <c r="O998" s="138">
        <v>6</v>
      </c>
      <c r="S998" s="138">
        <v>18</v>
      </c>
      <c r="T998" s="138">
        <v>10</v>
      </c>
      <c r="U998" s="138">
        <f t="shared" si="1536"/>
        <v>34</v>
      </c>
      <c r="W998" s="139">
        <f t="shared" ref="W998:AA998" si="2000">J998/$I998</f>
        <v>0</v>
      </c>
      <c r="X998" s="139">
        <f t="shared" si="2000"/>
        <v>0.19568690095846644</v>
      </c>
      <c r="Y998" s="139">
        <f t="shared" si="2000"/>
        <v>0.77316293929712465</v>
      </c>
      <c r="Z998" s="139">
        <f t="shared" si="2000"/>
        <v>0</v>
      </c>
      <c r="AA998" s="139">
        <f t="shared" si="2000"/>
        <v>3.9936102236421724E-3</v>
      </c>
      <c r="AB998" s="139"/>
      <c r="AC998" s="139">
        <f t="shared" si="1538"/>
        <v>2.7156549520766772E-2</v>
      </c>
      <c r="AD998" s="139">
        <f t="shared" ref="AD998:AI998" si="2001">O998/$I998</f>
        <v>4.7923322683706068E-3</v>
      </c>
      <c r="AE998" s="139">
        <f t="shared" si="2001"/>
        <v>0</v>
      </c>
      <c r="AF998" s="139">
        <f t="shared" si="2001"/>
        <v>0</v>
      </c>
      <c r="AG998" s="139">
        <f t="shared" si="2001"/>
        <v>0</v>
      </c>
      <c r="AH998" s="139">
        <f t="shared" si="2001"/>
        <v>1.437699680511182E-2</v>
      </c>
      <c r="AI998" s="139">
        <f t="shared" si="2001"/>
        <v>7.9872204472843447E-3</v>
      </c>
    </row>
    <row r="999" spans="2:35">
      <c r="B999" s="138" t="s">
        <v>8077</v>
      </c>
      <c r="C999" s="138" t="s">
        <v>4367</v>
      </c>
      <c r="D999" s="138" t="s">
        <v>10</v>
      </c>
      <c r="E999" s="138" t="s">
        <v>8161</v>
      </c>
      <c r="F999" s="138" t="s">
        <v>8161</v>
      </c>
      <c r="H999" s="138">
        <v>51</v>
      </c>
      <c r="I999" s="138">
        <v>1144</v>
      </c>
      <c r="K999" s="138">
        <v>312</v>
      </c>
      <c r="L999" s="138">
        <v>793</v>
      </c>
      <c r="N999" s="138">
        <v>9</v>
      </c>
      <c r="O999" s="138">
        <v>1</v>
      </c>
      <c r="S999" s="138">
        <v>24</v>
      </c>
      <c r="T999" s="138">
        <v>5</v>
      </c>
      <c r="U999" s="138">
        <f t="shared" si="1536"/>
        <v>30</v>
      </c>
      <c r="W999" s="139">
        <f t="shared" ref="W999:AA999" si="2002">J999/$I999</f>
        <v>0</v>
      </c>
      <c r="X999" s="139">
        <f t="shared" si="2002"/>
        <v>0.27272727272727271</v>
      </c>
      <c r="Y999" s="139">
        <f t="shared" si="2002"/>
        <v>0.69318181818181823</v>
      </c>
      <c r="Z999" s="139">
        <f t="shared" si="2002"/>
        <v>0</v>
      </c>
      <c r="AA999" s="139">
        <f t="shared" si="2002"/>
        <v>7.8671328671328679E-3</v>
      </c>
      <c r="AB999" s="139"/>
      <c r="AC999" s="139">
        <f t="shared" si="1538"/>
        <v>2.6223776223776224E-2</v>
      </c>
      <c r="AD999" s="139">
        <f t="shared" ref="AD999:AI999" si="2003">O999/$I999</f>
        <v>8.7412587412587413E-4</v>
      </c>
      <c r="AE999" s="139">
        <f t="shared" si="2003"/>
        <v>0</v>
      </c>
      <c r="AF999" s="139">
        <f t="shared" si="2003"/>
        <v>0</v>
      </c>
      <c r="AG999" s="139">
        <f t="shared" si="2003"/>
        <v>0</v>
      </c>
      <c r="AH999" s="139">
        <f t="shared" si="2003"/>
        <v>2.097902097902098E-2</v>
      </c>
      <c r="AI999" s="139">
        <f t="shared" si="2003"/>
        <v>4.370629370629371E-3</v>
      </c>
    </row>
    <row r="1000" spans="2:35">
      <c r="B1000" s="138" t="s">
        <v>8077</v>
      </c>
      <c r="C1000" s="138" t="s">
        <v>4367</v>
      </c>
      <c r="D1000" s="138" t="s">
        <v>10</v>
      </c>
      <c r="E1000" s="138" t="s">
        <v>8161</v>
      </c>
      <c r="F1000" s="138" t="s">
        <v>8161</v>
      </c>
      <c r="H1000" s="138">
        <v>52</v>
      </c>
      <c r="I1000" s="138">
        <v>872</v>
      </c>
      <c r="K1000" s="138">
        <v>186</v>
      </c>
      <c r="L1000" s="138">
        <v>662</v>
      </c>
      <c r="N1000" s="138">
        <v>6</v>
      </c>
      <c r="O1000" s="138">
        <v>1</v>
      </c>
      <c r="S1000" s="138">
        <v>17</v>
      </c>
      <c r="T1000" s="138">
        <v>0</v>
      </c>
      <c r="U1000" s="138">
        <f t="shared" si="1536"/>
        <v>18</v>
      </c>
      <c r="W1000" s="139">
        <f t="shared" ref="W1000:AA1000" si="2004">J1000/$I1000</f>
        <v>0</v>
      </c>
      <c r="X1000" s="139">
        <f t="shared" si="2004"/>
        <v>0.21330275229357798</v>
      </c>
      <c r="Y1000" s="139">
        <f t="shared" si="2004"/>
        <v>0.75917431192660545</v>
      </c>
      <c r="Z1000" s="139">
        <f t="shared" si="2004"/>
        <v>0</v>
      </c>
      <c r="AA1000" s="139">
        <f t="shared" si="2004"/>
        <v>6.8807339449541288E-3</v>
      </c>
      <c r="AB1000" s="139"/>
      <c r="AC1000" s="139">
        <f t="shared" si="1538"/>
        <v>2.0642201834862386E-2</v>
      </c>
      <c r="AD1000" s="139">
        <f t="shared" ref="AD1000:AI1000" si="2005">O1000/$I1000</f>
        <v>1.1467889908256881E-3</v>
      </c>
      <c r="AE1000" s="139">
        <f t="shared" si="2005"/>
        <v>0</v>
      </c>
      <c r="AF1000" s="139">
        <f t="shared" si="2005"/>
        <v>0</v>
      </c>
      <c r="AG1000" s="139">
        <f t="shared" si="2005"/>
        <v>0</v>
      </c>
      <c r="AH1000" s="139">
        <f t="shared" si="2005"/>
        <v>1.9495412844036698E-2</v>
      </c>
      <c r="AI1000" s="139">
        <f t="shared" si="2005"/>
        <v>0</v>
      </c>
    </row>
    <row r="1001" spans="2:35">
      <c r="B1001" s="138" t="s">
        <v>8077</v>
      </c>
      <c r="C1001" s="138" t="s">
        <v>4367</v>
      </c>
      <c r="D1001" s="138" t="s">
        <v>10</v>
      </c>
      <c r="E1001" s="138" t="s">
        <v>8161</v>
      </c>
      <c r="F1001" s="138" t="s">
        <v>8161</v>
      </c>
      <c r="H1001" s="138">
        <v>53</v>
      </c>
      <c r="I1001" s="138">
        <v>963</v>
      </c>
      <c r="K1001" s="138">
        <v>228</v>
      </c>
      <c r="L1001" s="138">
        <v>703</v>
      </c>
      <c r="N1001" s="138">
        <v>4</v>
      </c>
      <c r="O1001" s="138">
        <v>7</v>
      </c>
      <c r="S1001" s="138">
        <v>16</v>
      </c>
      <c r="T1001" s="138">
        <v>5</v>
      </c>
      <c r="U1001" s="138">
        <f t="shared" si="1536"/>
        <v>28</v>
      </c>
      <c r="W1001" s="139">
        <f t="shared" ref="W1001:AA1001" si="2006">J1001/$I1001</f>
        <v>0</v>
      </c>
      <c r="X1001" s="139">
        <f t="shared" si="2006"/>
        <v>0.2367601246105919</v>
      </c>
      <c r="Y1001" s="139">
        <f t="shared" si="2006"/>
        <v>0.73001038421599174</v>
      </c>
      <c r="Z1001" s="139">
        <f t="shared" si="2006"/>
        <v>0</v>
      </c>
      <c r="AA1001" s="139">
        <f t="shared" si="2006"/>
        <v>4.1536863966770508E-3</v>
      </c>
      <c r="AB1001" s="139"/>
      <c r="AC1001" s="139">
        <f t="shared" si="1538"/>
        <v>2.9075804776739357E-2</v>
      </c>
      <c r="AD1001" s="139">
        <f t="shared" ref="AD1001:AI1001" si="2007">O1001/$I1001</f>
        <v>7.2689511941848393E-3</v>
      </c>
      <c r="AE1001" s="139">
        <f t="shared" si="2007"/>
        <v>0</v>
      </c>
      <c r="AF1001" s="139">
        <f t="shared" si="2007"/>
        <v>0</v>
      </c>
      <c r="AG1001" s="139">
        <f t="shared" si="2007"/>
        <v>0</v>
      </c>
      <c r="AH1001" s="139">
        <f t="shared" si="2007"/>
        <v>1.6614745586708203E-2</v>
      </c>
      <c r="AI1001" s="139">
        <f t="shared" si="2007"/>
        <v>5.1921079958463139E-3</v>
      </c>
    </row>
    <row r="1002" spans="2:35">
      <c r="B1002" s="138" t="s">
        <v>8077</v>
      </c>
      <c r="C1002" s="138" t="s">
        <v>4367</v>
      </c>
      <c r="D1002" s="138" t="s">
        <v>10</v>
      </c>
      <c r="E1002" s="138" t="s">
        <v>8161</v>
      </c>
      <c r="F1002" s="138" t="s">
        <v>8161</v>
      </c>
      <c r="H1002" s="138">
        <v>54</v>
      </c>
      <c r="I1002" s="138">
        <v>999</v>
      </c>
      <c r="K1002" s="138">
        <v>246</v>
      </c>
      <c r="L1002" s="138">
        <v>733</v>
      </c>
      <c r="N1002" s="138">
        <v>6</v>
      </c>
      <c r="O1002" s="138">
        <v>2</v>
      </c>
      <c r="S1002" s="138">
        <v>12</v>
      </c>
      <c r="T1002" s="138">
        <v>0</v>
      </c>
      <c r="U1002" s="138">
        <f t="shared" si="1536"/>
        <v>14</v>
      </c>
      <c r="W1002" s="139">
        <f t="shared" ref="W1002:AA1002" si="2008">J1002/$I1002</f>
        <v>0</v>
      </c>
      <c r="X1002" s="139">
        <f t="shared" si="2008"/>
        <v>0.24624624624624625</v>
      </c>
      <c r="Y1002" s="139">
        <f t="shared" si="2008"/>
        <v>0.73373373373373374</v>
      </c>
      <c r="Z1002" s="139">
        <f t="shared" si="2008"/>
        <v>0</v>
      </c>
      <c r="AA1002" s="139">
        <f t="shared" si="2008"/>
        <v>6.006006006006006E-3</v>
      </c>
      <c r="AB1002" s="139"/>
      <c r="AC1002" s="139">
        <f t="shared" si="1538"/>
        <v>1.4014014014014014E-2</v>
      </c>
      <c r="AD1002" s="139">
        <f t="shared" ref="AD1002:AI1002" si="2009">O1002/$I1002</f>
        <v>2.002002002002002E-3</v>
      </c>
      <c r="AE1002" s="139">
        <f t="shared" si="2009"/>
        <v>0</v>
      </c>
      <c r="AF1002" s="139">
        <f t="shared" si="2009"/>
        <v>0</v>
      </c>
      <c r="AG1002" s="139">
        <f t="shared" si="2009"/>
        <v>0</v>
      </c>
      <c r="AH1002" s="139">
        <f t="shared" si="2009"/>
        <v>1.2012012012012012E-2</v>
      </c>
      <c r="AI1002" s="139">
        <f t="shared" si="2009"/>
        <v>0</v>
      </c>
    </row>
    <row r="1003" spans="2:35">
      <c r="B1003" s="138" t="s">
        <v>8077</v>
      </c>
      <c r="C1003" s="138" t="s">
        <v>4367</v>
      </c>
      <c r="D1003" s="138" t="s">
        <v>10</v>
      </c>
      <c r="E1003" s="138" t="s">
        <v>8161</v>
      </c>
      <c r="F1003" s="138" t="s">
        <v>8161</v>
      </c>
      <c r="H1003" s="138">
        <v>55</v>
      </c>
      <c r="I1003" s="138">
        <v>904</v>
      </c>
      <c r="K1003" s="138">
        <v>165</v>
      </c>
      <c r="L1003" s="138">
        <v>719</v>
      </c>
      <c r="N1003" s="138">
        <v>3</v>
      </c>
      <c r="O1003" s="138">
        <v>0</v>
      </c>
      <c r="S1003" s="138">
        <v>14</v>
      </c>
      <c r="T1003" s="138">
        <v>3</v>
      </c>
      <c r="U1003" s="138">
        <f t="shared" si="1536"/>
        <v>17</v>
      </c>
      <c r="W1003" s="139">
        <f t="shared" ref="W1003:AA1003" si="2010">J1003/$I1003</f>
        <v>0</v>
      </c>
      <c r="X1003" s="139">
        <f t="shared" si="2010"/>
        <v>0.18252212389380532</v>
      </c>
      <c r="Y1003" s="139">
        <f t="shared" si="2010"/>
        <v>0.79535398230088494</v>
      </c>
      <c r="Z1003" s="139">
        <f t="shared" si="2010"/>
        <v>0</v>
      </c>
      <c r="AA1003" s="139">
        <f t="shared" si="2010"/>
        <v>3.3185840707964601E-3</v>
      </c>
      <c r="AB1003" s="139"/>
      <c r="AC1003" s="139">
        <f t="shared" si="1538"/>
        <v>1.8805309734513276E-2</v>
      </c>
      <c r="AD1003" s="139">
        <f t="shared" ref="AD1003:AI1003" si="2011">O1003/$I1003</f>
        <v>0</v>
      </c>
      <c r="AE1003" s="139">
        <f t="shared" si="2011"/>
        <v>0</v>
      </c>
      <c r="AF1003" s="139">
        <f t="shared" si="2011"/>
        <v>0</v>
      </c>
      <c r="AG1003" s="139">
        <f t="shared" si="2011"/>
        <v>0</v>
      </c>
      <c r="AH1003" s="139">
        <f t="shared" si="2011"/>
        <v>1.5486725663716814E-2</v>
      </c>
      <c r="AI1003" s="139">
        <f t="shared" si="2011"/>
        <v>3.3185840707964601E-3</v>
      </c>
    </row>
    <row r="1004" spans="2:35">
      <c r="B1004" s="138" t="s">
        <v>8077</v>
      </c>
      <c r="C1004" s="138" t="s">
        <v>4367</v>
      </c>
      <c r="D1004" s="138" t="s">
        <v>10</v>
      </c>
      <c r="E1004" s="138" t="s">
        <v>8161</v>
      </c>
      <c r="F1004" s="138" t="s">
        <v>8161</v>
      </c>
      <c r="H1004" s="138">
        <v>56</v>
      </c>
      <c r="I1004" s="138">
        <v>1011</v>
      </c>
      <c r="K1004" s="138">
        <v>210</v>
      </c>
      <c r="L1004" s="138">
        <v>760</v>
      </c>
      <c r="N1004" s="138">
        <v>12</v>
      </c>
      <c r="O1004" s="138">
        <v>1</v>
      </c>
      <c r="S1004" s="138">
        <v>21</v>
      </c>
      <c r="T1004" s="138">
        <v>7</v>
      </c>
      <c r="U1004" s="138">
        <f t="shared" si="1536"/>
        <v>29</v>
      </c>
      <c r="W1004" s="139">
        <f t="shared" ref="W1004:AA1004" si="2012">J1004/$I1004</f>
        <v>0</v>
      </c>
      <c r="X1004" s="139">
        <f t="shared" si="2012"/>
        <v>0.20771513353115728</v>
      </c>
      <c r="Y1004" s="139">
        <f t="shared" si="2012"/>
        <v>0.75173095944609303</v>
      </c>
      <c r="Z1004" s="139">
        <f t="shared" si="2012"/>
        <v>0</v>
      </c>
      <c r="AA1004" s="139">
        <f t="shared" si="2012"/>
        <v>1.1869436201780416E-2</v>
      </c>
      <c r="AB1004" s="139"/>
      <c r="AC1004" s="139">
        <f t="shared" si="1538"/>
        <v>2.8684470820969338E-2</v>
      </c>
      <c r="AD1004" s="139">
        <f t="shared" ref="AD1004:AI1004" si="2013">O1004/$I1004</f>
        <v>9.8911968348170125E-4</v>
      </c>
      <c r="AE1004" s="139">
        <f t="shared" si="2013"/>
        <v>0</v>
      </c>
      <c r="AF1004" s="139">
        <f t="shared" si="2013"/>
        <v>0</v>
      </c>
      <c r="AG1004" s="139">
        <f t="shared" si="2013"/>
        <v>0</v>
      </c>
      <c r="AH1004" s="139">
        <f t="shared" si="2013"/>
        <v>2.0771513353115726E-2</v>
      </c>
      <c r="AI1004" s="139">
        <f t="shared" si="2013"/>
        <v>6.923837784371909E-3</v>
      </c>
    </row>
    <row r="1005" spans="2:35">
      <c r="B1005" s="138" t="s">
        <v>8077</v>
      </c>
      <c r="C1005" s="138" t="s">
        <v>4367</v>
      </c>
      <c r="D1005" s="138" t="s">
        <v>10</v>
      </c>
      <c r="E1005" s="138" t="s">
        <v>8161</v>
      </c>
      <c r="F1005" s="138" t="s">
        <v>8161</v>
      </c>
      <c r="H1005" s="138">
        <v>57</v>
      </c>
      <c r="I1005" s="138">
        <v>874</v>
      </c>
      <c r="K1005" s="138">
        <v>230</v>
      </c>
      <c r="L1005" s="138">
        <v>620</v>
      </c>
      <c r="N1005" s="138">
        <v>4</v>
      </c>
      <c r="O1005" s="138">
        <v>4</v>
      </c>
      <c r="S1005" s="138">
        <v>16</v>
      </c>
      <c r="T1005" s="138">
        <v>0</v>
      </c>
      <c r="U1005" s="138">
        <f t="shared" si="1536"/>
        <v>20</v>
      </c>
      <c r="W1005" s="139">
        <f t="shared" ref="W1005:AA1005" si="2014">J1005/$I1005</f>
        <v>0</v>
      </c>
      <c r="X1005" s="139">
        <f t="shared" si="2014"/>
        <v>0.26315789473684209</v>
      </c>
      <c r="Y1005" s="139">
        <f t="shared" si="2014"/>
        <v>0.70938215102974833</v>
      </c>
      <c r="Z1005" s="139">
        <f t="shared" si="2014"/>
        <v>0</v>
      </c>
      <c r="AA1005" s="139">
        <f t="shared" si="2014"/>
        <v>4.5766590389016018E-3</v>
      </c>
      <c r="AB1005" s="139"/>
      <c r="AC1005" s="139">
        <f t="shared" si="1538"/>
        <v>2.2883295194508008E-2</v>
      </c>
      <c r="AD1005" s="139">
        <f t="shared" ref="AD1005:AI1005" si="2015">O1005/$I1005</f>
        <v>4.5766590389016018E-3</v>
      </c>
      <c r="AE1005" s="139">
        <f t="shared" si="2015"/>
        <v>0</v>
      </c>
      <c r="AF1005" s="139">
        <f t="shared" si="2015"/>
        <v>0</v>
      </c>
      <c r="AG1005" s="139">
        <f t="shared" si="2015"/>
        <v>0</v>
      </c>
      <c r="AH1005" s="139">
        <f t="shared" si="2015"/>
        <v>1.8306636155606407E-2</v>
      </c>
      <c r="AI1005" s="139">
        <f t="shared" si="2015"/>
        <v>0</v>
      </c>
    </row>
    <row r="1006" spans="2:35">
      <c r="B1006" s="138" t="s">
        <v>8077</v>
      </c>
      <c r="C1006" s="138" t="s">
        <v>4367</v>
      </c>
      <c r="D1006" s="138" t="s">
        <v>10</v>
      </c>
      <c r="E1006" s="138" t="s">
        <v>8161</v>
      </c>
      <c r="F1006" s="138" t="s">
        <v>8161</v>
      </c>
      <c r="H1006" s="138">
        <v>58</v>
      </c>
      <c r="I1006" s="138">
        <v>932</v>
      </c>
      <c r="K1006" s="138">
        <v>197</v>
      </c>
      <c r="L1006" s="138">
        <v>697</v>
      </c>
      <c r="N1006" s="138">
        <v>10</v>
      </c>
      <c r="O1006" s="138">
        <v>0</v>
      </c>
      <c r="S1006" s="138">
        <v>23</v>
      </c>
      <c r="T1006" s="138">
        <v>5</v>
      </c>
      <c r="U1006" s="138">
        <f t="shared" si="1536"/>
        <v>28</v>
      </c>
      <c r="W1006" s="139">
        <f t="shared" ref="W1006:AA1006" si="2016">J1006/$I1006</f>
        <v>0</v>
      </c>
      <c r="X1006" s="139">
        <f t="shared" si="2016"/>
        <v>0.21137339055793991</v>
      </c>
      <c r="Y1006" s="139">
        <f t="shared" si="2016"/>
        <v>0.74785407725321884</v>
      </c>
      <c r="Z1006" s="139">
        <f t="shared" si="2016"/>
        <v>0</v>
      </c>
      <c r="AA1006" s="139">
        <f t="shared" si="2016"/>
        <v>1.0729613733905579E-2</v>
      </c>
      <c r="AB1006" s="139"/>
      <c r="AC1006" s="139">
        <f t="shared" si="1538"/>
        <v>3.0042918454935622E-2</v>
      </c>
      <c r="AD1006" s="139">
        <f t="shared" ref="AD1006:AI1006" si="2017">O1006/$I1006</f>
        <v>0</v>
      </c>
      <c r="AE1006" s="139">
        <f t="shared" si="2017"/>
        <v>0</v>
      </c>
      <c r="AF1006" s="139">
        <f t="shared" si="2017"/>
        <v>0</v>
      </c>
      <c r="AG1006" s="139">
        <f t="shared" si="2017"/>
        <v>0</v>
      </c>
      <c r="AH1006" s="139">
        <f t="shared" si="2017"/>
        <v>2.4678111587982832E-2</v>
      </c>
      <c r="AI1006" s="139">
        <f t="shared" si="2017"/>
        <v>5.3648068669527897E-3</v>
      </c>
    </row>
    <row r="1007" spans="2:35">
      <c r="B1007" s="138" t="s">
        <v>8077</v>
      </c>
      <c r="C1007" s="138" t="s">
        <v>4367</v>
      </c>
      <c r="D1007" s="138" t="s">
        <v>10</v>
      </c>
      <c r="E1007" s="138" t="s">
        <v>8161</v>
      </c>
      <c r="F1007" s="138" t="s">
        <v>8161</v>
      </c>
      <c r="H1007" s="138">
        <v>59</v>
      </c>
      <c r="I1007" s="138">
        <v>678</v>
      </c>
      <c r="K1007" s="138">
        <v>127</v>
      </c>
      <c r="L1007" s="138">
        <v>539</v>
      </c>
      <c r="N1007" s="138">
        <v>2</v>
      </c>
      <c r="O1007" s="138">
        <v>1</v>
      </c>
      <c r="S1007" s="138">
        <v>7</v>
      </c>
      <c r="T1007" s="138">
        <v>2</v>
      </c>
      <c r="U1007" s="138">
        <f t="shared" si="1536"/>
        <v>10</v>
      </c>
      <c r="W1007" s="139">
        <f t="shared" ref="W1007:AA1007" si="2018">J1007/$I1007</f>
        <v>0</v>
      </c>
      <c r="X1007" s="139">
        <f t="shared" si="2018"/>
        <v>0.18731563421828909</v>
      </c>
      <c r="Y1007" s="139">
        <f t="shared" si="2018"/>
        <v>0.79498525073746318</v>
      </c>
      <c r="Z1007" s="139">
        <f t="shared" si="2018"/>
        <v>0</v>
      </c>
      <c r="AA1007" s="139">
        <f t="shared" si="2018"/>
        <v>2.9498525073746312E-3</v>
      </c>
      <c r="AB1007" s="139"/>
      <c r="AC1007" s="139">
        <f t="shared" si="1538"/>
        <v>1.4749262536873156E-2</v>
      </c>
      <c r="AD1007" s="139">
        <f t="shared" ref="AD1007:AI1007" si="2019">O1007/$I1007</f>
        <v>1.4749262536873156E-3</v>
      </c>
      <c r="AE1007" s="139">
        <f t="shared" si="2019"/>
        <v>0</v>
      </c>
      <c r="AF1007" s="139">
        <f t="shared" si="2019"/>
        <v>0</v>
      </c>
      <c r="AG1007" s="139">
        <f t="shared" si="2019"/>
        <v>0</v>
      </c>
      <c r="AH1007" s="139">
        <f t="shared" si="2019"/>
        <v>1.0324483775811209E-2</v>
      </c>
      <c r="AI1007" s="139">
        <f t="shared" si="2019"/>
        <v>2.9498525073746312E-3</v>
      </c>
    </row>
    <row r="1008" spans="2:35">
      <c r="B1008" s="138" t="s">
        <v>8077</v>
      </c>
      <c r="C1008" s="138" t="s">
        <v>4367</v>
      </c>
      <c r="D1008" s="138" t="s">
        <v>10</v>
      </c>
      <c r="E1008" s="138" t="s">
        <v>8161</v>
      </c>
      <c r="F1008" s="138" t="s">
        <v>8161</v>
      </c>
      <c r="H1008" s="138">
        <v>60</v>
      </c>
      <c r="I1008" s="138">
        <v>852</v>
      </c>
      <c r="K1008" s="138">
        <v>178</v>
      </c>
      <c r="L1008" s="138">
        <v>642</v>
      </c>
      <c r="N1008" s="138">
        <v>2</v>
      </c>
      <c r="O1008" s="138">
        <v>3</v>
      </c>
      <c r="S1008" s="138">
        <v>22</v>
      </c>
      <c r="T1008" s="138">
        <v>5</v>
      </c>
      <c r="U1008" s="138">
        <f t="shared" si="1536"/>
        <v>30</v>
      </c>
      <c r="W1008" s="139">
        <f t="shared" ref="W1008:AA1008" si="2020">J1008/$I1008</f>
        <v>0</v>
      </c>
      <c r="X1008" s="139">
        <f t="shared" si="2020"/>
        <v>0.20892018779342722</v>
      </c>
      <c r="Y1008" s="139">
        <f t="shared" si="2020"/>
        <v>0.75352112676056338</v>
      </c>
      <c r="Z1008" s="139">
        <f t="shared" si="2020"/>
        <v>0</v>
      </c>
      <c r="AA1008" s="139">
        <f t="shared" si="2020"/>
        <v>2.3474178403755869E-3</v>
      </c>
      <c r="AB1008" s="139"/>
      <c r="AC1008" s="139">
        <f t="shared" si="1538"/>
        <v>3.5211267605633804E-2</v>
      </c>
      <c r="AD1008" s="139">
        <f t="shared" ref="AD1008:AI1008" si="2021">O1008/$I1008</f>
        <v>3.5211267605633804E-3</v>
      </c>
      <c r="AE1008" s="139">
        <f t="shared" si="2021"/>
        <v>0</v>
      </c>
      <c r="AF1008" s="139">
        <f t="shared" si="2021"/>
        <v>0</v>
      </c>
      <c r="AG1008" s="139">
        <f t="shared" si="2021"/>
        <v>0</v>
      </c>
      <c r="AH1008" s="139">
        <f t="shared" si="2021"/>
        <v>2.5821596244131457E-2</v>
      </c>
      <c r="AI1008" s="139">
        <f t="shared" si="2021"/>
        <v>5.8685446009389668E-3</v>
      </c>
    </row>
    <row r="1009" spans="2:35">
      <c r="B1009" s="138" t="s">
        <v>8077</v>
      </c>
      <c r="C1009" s="138" t="s">
        <v>4367</v>
      </c>
      <c r="D1009" s="138" t="s">
        <v>10</v>
      </c>
      <c r="E1009" s="138" t="s">
        <v>8161</v>
      </c>
      <c r="F1009" s="138" t="s">
        <v>8161</v>
      </c>
      <c r="H1009" s="138">
        <v>61</v>
      </c>
      <c r="I1009" s="138">
        <v>764</v>
      </c>
      <c r="K1009" s="138">
        <v>128</v>
      </c>
      <c r="L1009" s="138">
        <v>593</v>
      </c>
      <c r="N1009" s="138">
        <v>5</v>
      </c>
      <c r="O1009" s="138">
        <v>1</v>
      </c>
      <c r="S1009" s="138">
        <v>34</v>
      </c>
      <c r="T1009" s="138">
        <v>3</v>
      </c>
      <c r="U1009" s="138">
        <f t="shared" si="1536"/>
        <v>38</v>
      </c>
      <c r="W1009" s="139">
        <f t="shared" ref="W1009:AA1009" si="2022">J1009/$I1009</f>
        <v>0</v>
      </c>
      <c r="X1009" s="139">
        <f t="shared" si="2022"/>
        <v>0.16753926701570682</v>
      </c>
      <c r="Y1009" s="139">
        <f t="shared" si="2022"/>
        <v>0.77617801047120416</v>
      </c>
      <c r="Z1009" s="139">
        <f t="shared" si="2022"/>
        <v>0</v>
      </c>
      <c r="AA1009" s="139">
        <f t="shared" si="2022"/>
        <v>6.5445026178010471E-3</v>
      </c>
      <c r="AB1009" s="139"/>
      <c r="AC1009" s="139">
        <f t="shared" si="1538"/>
        <v>4.9738219895287955E-2</v>
      </c>
      <c r="AD1009" s="139">
        <f t="shared" ref="AD1009:AI1009" si="2023">O1009/$I1009</f>
        <v>1.3089005235602095E-3</v>
      </c>
      <c r="AE1009" s="139">
        <f t="shared" si="2023"/>
        <v>0</v>
      </c>
      <c r="AF1009" s="139">
        <f t="shared" si="2023"/>
        <v>0</v>
      </c>
      <c r="AG1009" s="139">
        <f t="shared" si="2023"/>
        <v>0</v>
      </c>
      <c r="AH1009" s="139">
        <f t="shared" si="2023"/>
        <v>4.4502617801047119E-2</v>
      </c>
      <c r="AI1009" s="139">
        <f t="shared" si="2023"/>
        <v>3.9267015706806281E-3</v>
      </c>
    </row>
    <row r="1010" spans="2:35">
      <c r="B1010" s="138" t="s">
        <v>8077</v>
      </c>
      <c r="C1010" s="138" t="s">
        <v>4367</v>
      </c>
      <c r="D1010" s="138" t="s">
        <v>10</v>
      </c>
      <c r="E1010" s="138" t="s">
        <v>8161</v>
      </c>
      <c r="F1010" s="138" t="s">
        <v>8161</v>
      </c>
      <c r="H1010" s="138">
        <v>62</v>
      </c>
      <c r="I1010" s="138">
        <v>911</v>
      </c>
      <c r="K1010" s="138">
        <v>434</v>
      </c>
      <c r="L1010" s="138">
        <v>450</v>
      </c>
      <c r="N1010" s="138">
        <v>4</v>
      </c>
      <c r="O1010" s="138">
        <v>0</v>
      </c>
      <c r="S1010" s="138">
        <v>16</v>
      </c>
      <c r="T1010" s="138">
        <v>7</v>
      </c>
      <c r="U1010" s="138">
        <f t="shared" si="1536"/>
        <v>23</v>
      </c>
      <c r="W1010" s="139">
        <f t="shared" ref="W1010:AA1010" si="2024">J1010/$I1010</f>
        <v>0</v>
      </c>
      <c r="X1010" s="139">
        <f t="shared" si="2024"/>
        <v>0.47639956092206365</v>
      </c>
      <c r="Y1010" s="139">
        <f t="shared" si="2024"/>
        <v>0.49396267837541163</v>
      </c>
      <c r="Z1010" s="139">
        <f t="shared" si="2024"/>
        <v>0</v>
      </c>
      <c r="AA1010" s="139">
        <f t="shared" si="2024"/>
        <v>4.3907793633369925E-3</v>
      </c>
      <c r="AB1010" s="139"/>
      <c r="AC1010" s="139">
        <f t="shared" si="1538"/>
        <v>2.5246981339187707E-2</v>
      </c>
      <c r="AD1010" s="139">
        <f t="shared" ref="AD1010:AI1010" si="2025">O1010/$I1010</f>
        <v>0</v>
      </c>
      <c r="AE1010" s="139">
        <f t="shared" si="2025"/>
        <v>0</v>
      </c>
      <c r="AF1010" s="139">
        <f t="shared" si="2025"/>
        <v>0</v>
      </c>
      <c r="AG1010" s="139">
        <f t="shared" si="2025"/>
        <v>0</v>
      </c>
      <c r="AH1010" s="139">
        <f t="shared" si="2025"/>
        <v>1.756311745334797E-2</v>
      </c>
      <c r="AI1010" s="139">
        <f t="shared" si="2025"/>
        <v>7.6838638858397366E-3</v>
      </c>
    </row>
    <row r="1011" spans="2:35">
      <c r="B1011" s="138" t="s">
        <v>8077</v>
      </c>
      <c r="C1011" s="138" t="s">
        <v>4367</v>
      </c>
      <c r="D1011" s="138" t="s">
        <v>10</v>
      </c>
      <c r="E1011" s="138" t="s">
        <v>8161</v>
      </c>
      <c r="F1011" s="138" t="s">
        <v>8161</v>
      </c>
      <c r="H1011" s="138">
        <v>63</v>
      </c>
      <c r="I1011" s="138">
        <v>1151</v>
      </c>
      <c r="K1011" s="138">
        <v>775</v>
      </c>
      <c r="L1011" s="138">
        <v>326</v>
      </c>
      <c r="N1011" s="138">
        <v>14</v>
      </c>
      <c r="O1011" s="138">
        <v>4</v>
      </c>
      <c r="S1011" s="138">
        <v>12</v>
      </c>
      <c r="T1011" s="138">
        <v>20</v>
      </c>
      <c r="U1011" s="138">
        <f t="shared" si="1536"/>
        <v>36</v>
      </c>
      <c r="W1011" s="139">
        <f t="shared" ref="W1011:AA1011" si="2026">J1011/$I1011</f>
        <v>0</v>
      </c>
      <c r="X1011" s="139">
        <f t="shared" si="2026"/>
        <v>0.67332754126846217</v>
      </c>
      <c r="Y1011" s="139">
        <f t="shared" si="2026"/>
        <v>0.2832319721980886</v>
      </c>
      <c r="Z1011" s="139">
        <f t="shared" si="2026"/>
        <v>0</v>
      </c>
      <c r="AA1011" s="139">
        <f t="shared" si="2026"/>
        <v>1.216333622936577E-2</v>
      </c>
      <c r="AB1011" s="139"/>
      <c r="AC1011" s="139">
        <f t="shared" si="1538"/>
        <v>3.1277150304083408E-2</v>
      </c>
      <c r="AD1011" s="139">
        <f t="shared" ref="AD1011:AI1011" si="2027">O1011/$I1011</f>
        <v>3.4752389226759338E-3</v>
      </c>
      <c r="AE1011" s="139">
        <f t="shared" si="2027"/>
        <v>0</v>
      </c>
      <c r="AF1011" s="139">
        <f t="shared" si="2027"/>
        <v>0</v>
      </c>
      <c r="AG1011" s="139">
        <f t="shared" si="2027"/>
        <v>0</v>
      </c>
      <c r="AH1011" s="139">
        <f t="shared" si="2027"/>
        <v>1.0425716768027803E-2</v>
      </c>
      <c r="AI1011" s="139">
        <f t="shared" si="2027"/>
        <v>1.7376194613379671E-2</v>
      </c>
    </row>
    <row r="1012" spans="2:35">
      <c r="B1012" s="138" t="s">
        <v>8077</v>
      </c>
      <c r="C1012" s="138" t="s">
        <v>4367</v>
      </c>
      <c r="D1012" s="138" t="s">
        <v>10</v>
      </c>
      <c r="E1012" s="138" t="s">
        <v>8161</v>
      </c>
      <c r="F1012" s="138" t="s">
        <v>8161</v>
      </c>
      <c r="H1012" s="138">
        <v>64</v>
      </c>
      <c r="I1012" s="138">
        <v>924</v>
      </c>
      <c r="K1012" s="138">
        <v>328</v>
      </c>
      <c r="L1012" s="138">
        <v>554</v>
      </c>
      <c r="N1012" s="138">
        <v>10</v>
      </c>
      <c r="O1012" s="138">
        <v>3</v>
      </c>
      <c r="S1012" s="138">
        <v>20</v>
      </c>
      <c r="T1012" s="138">
        <v>9</v>
      </c>
      <c r="U1012" s="138">
        <f t="shared" si="1536"/>
        <v>32</v>
      </c>
      <c r="W1012" s="139">
        <f t="shared" ref="W1012:AA1012" si="2028">J1012/$I1012</f>
        <v>0</v>
      </c>
      <c r="X1012" s="139">
        <f t="shared" si="2028"/>
        <v>0.354978354978355</v>
      </c>
      <c r="Y1012" s="139">
        <f t="shared" si="2028"/>
        <v>0.59956709956709953</v>
      </c>
      <c r="Z1012" s="139">
        <f t="shared" si="2028"/>
        <v>0</v>
      </c>
      <c r="AA1012" s="139">
        <f t="shared" si="2028"/>
        <v>1.0822510822510822E-2</v>
      </c>
      <c r="AB1012" s="139"/>
      <c r="AC1012" s="139">
        <f t="shared" si="1538"/>
        <v>3.4632034632034632E-2</v>
      </c>
      <c r="AD1012" s="139">
        <f t="shared" ref="AD1012:AI1012" si="2029">O1012/$I1012</f>
        <v>3.246753246753247E-3</v>
      </c>
      <c r="AE1012" s="139">
        <f t="shared" si="2029"/>
        <v>0</v>
      </c>
      <c r="AF1012" s="139">
        <f t="shared" si="2029"/>
        <v>0</v>
      </c>
      <c r="AG1012" s="139">
        <f t="shared" si="2029"/>
        <v>0</v>
      </c>
      <c r="AH1012" s="139">
        <f t="shared" si="2029"/>
        <v>2.1645021645021644E-2</v>
      </c>
      <c r="AI1012" s="139">
        <f t="shared" si="2029"/>
        <v>9.74025974025974E-3</v>
      </c>
    </row>
    <row r="1013" spans="2:35">
      <c r="B1013" s="138" t="s">
        <v>8077</v>
      </c>
      <c r="C1013" s="138" t="s">
        <v>4367</v>
      </c>
      <c r="D1013" s="138" t="s">
        <v>10</v>
      </c>
      <c r="E1013" s="138" t="s">
        <v>10</v>
      </c>
      <c r="F1013" s="138" t="s">
        <v>8162</v>
      </c>
      <c r="H1013" s="138">
        <v>65</v>
      </c>
      <c r="I1013" s="138">
        <v>1089</v>
      </c>
      <c r="K1013" s="138">
        <v>266</v>
      </c>
      <c r="L1013" s="138">
        <v>759</v>
      </c>
      <c r="N1013" s="138">
        <v>4</v>
      </c>
      <c r="O1013" s="138">
        <v>2</v>
      </c>
      <c r="S1013" s="138">
        <v>42</v>
      </c>
      <c r="T1013" s="138">
        <v>16</v>
      </c>
      <c r="U1013" s="138">
        <f t="shared" si="1536"/>
        <v>60</v>
      </c>
      <c r="W1013" s="139">
        <f t="shared" ref="W1013:AA1013" si="2030">J1013/$I1013</f>
        <v>0</v>
      </c>
      <c r="X1013" s="139">
        <f t="shared" si="2030"/>
        <v>0.24426078971533516</v>
      </c>
      <c r="Y1013" s="139">
        <f t="shared" si="2030"/>
        <v>0.69696969696969702</v>
      </c>
      <c r="Z1013" s="139">
        <f t="shared" si="2030"/>
        <v>0</v>
      </c>
      <c r="AA1013" s="139">
        <f t="shared" si="2030"/>
        <v>3.6730945821854912E-3</v>
      </c>
      <c r="AB1013" s="139"/>
      <c r="AC1013" s="139">
        <f t="shared" si="1538"/>
        <v>5.5096418732782371E-2</v>
      </c>
      <c r="AD1013" s="139">
        <f t="shared" ref="AD1013:AI1013" si="2031">O1013/$I1013</f>
        <v>1.8365472910927456E-3</v>
      </c>
      <c r="AE1013" s="139">
        <f t="shared" si="2031"/>
        <v>0</v>
      </c>
      <c r="AF1013" s="139">
        <f t="shared" si="2031"/>
        <v>0</v>
      </c>
      <c r="AG1013" s="139">
        <f t="shared" si="2031"/>
        <v>0</v>
      </c>
      <c r="AH1013" s="139">
        <f t="shared" si="2031"/>
        <v>3.8567493112947659E-2</v>
      </c>
      <c r="AI1013" s="139">
        <f t="shared" si="2031"/>
        <v>1.4692378328741965E-2</v>
      </c>
    </row>
    <row r="1014" spans="2:35">
      <c r="B1014" s="138" t="s">
        <v>8077</v>
      </c>
      <c r="C1014" s="138" t="s">
        <v>4367</v>
      </c>
      <c r="D1014" s="138" t="s">
        <v>10</v>
      </c>
      <c r="E1014" s="138" t="s">
        <v>10</v>
      </c>
      <c r="F1014" s="138" t="s">
        <v>8162</v>
      </c>
      <c r="H1014" s="138">
        <v>66</v>
      </c>
      <c r="I1014" s="138">
        <v>998</v>
      </c>
      <c r="K1014" s="138">
        <v>380</v>
      </c>
      <c r="L1014" s="138">
        <v>563</v>
      </c>
      <c r="N1014" s="138">
        <v>9</v>
      </c>
      <c r="O1014" s="138">
        <v>1</v>
      </c>
      <c r="S1014" s="138">
        <v>35</v>
      </c>
      <c r="T1014" s="138">
        <v>10</v>
      </c>
      <c r="U1014" s="138">
        <f t="shared" si="1536"/>
        <v>46</v>
      </c>
      <c r="W1014" s="139">
        <f t="shared" ref="W1014:AA1014" si="2032">J1014/$I1014</f>
        <v>0</v>
      </c>
      <c r="X1014" s="139">
        <f t="shared" si="2032"/>
        <v>0.38076152304609218</v>
      </c>
      <c r="Y1014" s="139">
        <f t="shared" si="2032"/>
        <v>0.56412825651302601</v>
      </c>
      <c r="Z1014" s="139">
        <f t="shared" si="2032"/>
        <v>0</v>
      </c>
      <c r="AA1014" s="139">
        <f t="shared" si="2032"/>
        <v>9.0180360721442889E-3</v>
      </c>
      <c r="AB1014" s="139"/>
      <c r="AC1014" s="139">
        <f t="shared" si="1538"/>
        <v>4.6092184368737472E-2</v>
      </c>
      <c r="AD1014" s="139">
        <f t="shared" ref="AD1014:AI1014" si="2033">O1014/$I1014</f>
        <v>1.002004008016032E-3</v>
      </c>
      <c r="AE1014" s="139">
        <f t="shared" si="2033"/>
        <v>0</v>
      </c>
      <c r="AF1014" s="139">
        <f t="shared" si="2033"/>
        <v>0</v>
      </c>
      <c r="AG1014" s="139">
        <f t="shared" si="2033"/>
        <v>0</v>
      </c>
      <c r="AH1014" s="139">
        <f t="shared" si="2033"/>
        <v>3.5070140280561123E-2</v>
      </c>
      <c r="AI1014" s="139">
        <f t="shared" si="2033"/>
        <v>1.002004008016032E-2</v>
      </c>
    </row>
    <row r="1015" spans="2:35">
      <c r="B1015" s="138" t="s">
        <v>8077</v>
      </c>
      <c r="C1015" s="138" t="s">
        <v>4367</v>
      </c>
      <c r="D1015" s="138" t="s">
        <v>10</v>
      </c>
      <c r="E1015" s="138" t="s">
        <v>10</v>
      </c>
      <c r="F1015" s="138" t="s">
        <v>7837</v>
      </c>
      <c r="H1015" s="138">
        <v>67</v>
      </c>
      <c r="I1015" s="138">
        <v>843</v>
      </c>
      <c r="K1015" s="138">
        <v>184</v>
      </c>
      <c r="L1015" s="138">
        <v>627</v>
      </c>
      <c r="N1015" s="138">
        <v>3</v>
      </c>
      <c r="O1015" s="138">
        <v>1</v>
      </c>
      <c r="S1015" s="138">
        <v>23</v>
      </c>
      <c r="T1015" s="138">
        <v>5</v>
      </c>
      <c r="U1015" s="138">
        <f t="shared" si="1536"/>
        <v>29</v>
      </c>
      <c r="W1015" s="139">
        <f t="shared" ref="W1015:AA1015" si="2034">J1015/$I1015</f>
        <v>0</v>
      </c>
      <c r="X1015" s="139">
        <f t="shared" si="2034"/>
        <v>0.21826809015421114</v>
      </c>
      <c r="Y1015" s="139">
        <f t="shared" si="2034"/>
        <v>0.74377224199288261</v>
      </c>
      <c r="Z1015" s="139">
        <f t="shared" si="2034"/>
        <v>0</v>
      </c>
      <c r="AA1015" s="139">
        <f t="shared" si="2034"/>
        <v>3.5587188612099642E-3</v>
      </c>
      <c r="AB1015" s="139"/>
      <c r="AC1015" s="139">
        <f t="shared" si="1538"/>
        <v>3.4400948991696323E-2</v>
      </c>
      <c r="AD1015" s="139">
        <f t="shared" ref="AD1015:AI1015" si="2035">O1015/$I1015</f>
        <v>1.1862396204033216E-3</v>
      </c>
      <c r="AE1015" s="139">
        <f t="shared" si="2035"/>
        <v>0</v>
      </c>
      <c r="AF1015" s="139">
        <f t="shared" si="2035"/>
        <v>0</v>
      </c>
      <c r="AG1015" s="139">
        <f t="shared" si="2035"/>
        <v>0</v>
      </c>
      <c r="AH1015" s="139">
        <f t="shared" si="2035"/>
        <v>2.7283511269276393E-2</v>
      </c>
      <c r="AI1015" s="139">
        <f t="shared" si="2035"/>
        <v>5.9311981020166073E-3</v>
      </c>
    </row>
    <row r="1016" spans="2:35">
      <c r="B1016" s="138" t="s">
        <v>8077</v>
      </c>
      <c r="C1016" s="138" t="s">
        <v>4367</v>
      </c>
      <c r="D1016" s="138" t="s">
        <v>10</v>
      </c>
      <c r="E1016" s="138" t="s">
        <v>10</v>
      </c>
      <c r="F1016" s="138" t="s">
        <v>7837</v>
      </c>
      <c r="H1016" s="138">
        <v>68</v>
      </c>
      <c r="I1016" s="138">
        <v>962</v>
      </c>
      <c r="K1016" s="138">
        <v>374</v>
      </c>
      <c r="L1016" s="138">
        <v>565</v>
      </c>
      <c r="N1016" s="138">
        <v>4</v>
      </c>
      <c r="O1016" s="138">
        <v>0</v>
      </c>
      <c r="S1016" s="138">
        <v>12</v>
      </c>
      <c r="T1016" s="138">
        <v>7</v>
      </c>
      <c r="U1016" s="138">
        <f t="shared" si="1536"/>
        <v>19</v>
      </c>
      <c r="W1016" s="139">
        <f t="shared" ref="W1016:AA1016" si="2036">J1016/$I1016</f>
        <v>0</v>
      </c>
      <c r="X1016" s="139">
        <f t="shared" si="2036"/>
        <v>0.38877338877338879</v>
      </c>
      <c r="Y1016" s="139">
        <f t="shared" si="2036"/>
        <v>0.58731808731808732</v>
      </c>
      <c r="Z1016" s="139">
        <f t="shared" si="2036"/>
        <v>0</v>
      </c>
      <c r="AA1016" s="139">
        <f t="shared" si="2036"/>
        <v>4.1580041580041582E-3</v>
      </c>
      <c r="AB1016" s="139"/>
      <c r="AC1016" s="139">
        <f t="shared" si="1538"/>
        <v>1.9750519750519752E-2</v>
      </c>
      <c r="AD1016" s="139">
        <f t="shared" ref="AD1016:AI1016" si="2037">O1016/$I1016</f>
        <v>0</v>
      </c>
      <c r="AE1016" s="139">
        <f t="shared" si="2037"/>
        <v>0</v>
      </c>
      <c r="AF1016" s="139">
        <f t="shared" si="2037"/>
        <v>0</v>
      </c>
      <c r="AG1016" s="139">
        <f t="shared" si="2037"/>
        <v>0</v>
      </c>
      <c r="AH1016" s="139">
        <f t="shared" si="2037"/>
        <v>1.2474012474012475E-2</v>
      </c>
      <c r="AI1016" s="139">
        <f t="shared" si="2037"/>
        <v>7.2765072765072769E-3</v>
      </c>
    </row>
    <row r="1017" spans="2:35">
      <c r="B1017" s="138" t="s">
        <v>8077</v>
      </c>
      <c r="C1017" s="138" t="s">
        <v>4367</v>
      </c>
      <c r="D1017" s="138" t="s">
        <v>10</v>
      </c>
      <c r="E1017" s="138" t="s">
        <v>10</v>
      </c>
      <c r="F1017" s="138" t="s">
        <v>7837</v>
      </c>
      <c r="H1017" s="138">
        <v>69</v>
      </c>
      <c r="I1017" s="138">
        <v>571</v>
      </c>
      <c r="K1017" s="138">
        <v>195</v>
      </c>
      <c r="L1017" s="138">
        <v>360</v>
      </c>
      <c r="N1017" s="138">
        <v>2</v>
      </c>
      <c r="O1017" s="138">
        <v>0</v>
      </c>
      <c r="S1017" s="138">
        <v>12</v>
      </c>
      <c r="T1017" s="138">
        <v>2</v>
      </c>
      <c r="U1017" s="138">
        <f t="shared" si="1536"/>
        <v>14</v>
      </c>
      <c r="W1017" s="139">
        <f t="shared" ref="W1017:AA1017" si="2038">J1017/$I1017</f>
        <v>0</v>
      </c>
      <c r="X1017" s="139">
        <f t="shared" si="2038"/>
        <v>0.34150612959719789</v>
      </c>
      <c r="Y1017" s="139">
        <f t="shared" si="2038"/>
        <v>0.63047285464098068</v>
      </c>
      <c r="Z1017" s="139">
        <f t="shared" si="2038"/>
        <v>0</v>
      </c>
      <c r="AA1017" s="139">
        <f t="shared" si="2038"/>
        <v>3.5026269702276708E-3</v>
      </c>
      <c r="AB1017" s="139"/>
      <c r="AC1017" s="139">
        <f t="shared" si="1538"/>
        <v>2.4518388791593695E-2</v>
      </c>
      <c r="AD1017" s="139">
        <f t="shared" ref="AD1017:AI1017" si="2039">O1017/$I1017</f>
        <v>0</v>
      </c>
      <c r="AE1017" s="139">
        <f t="shared" si="2039"/>
        <v>0</v>
      </c>
      <c r="AF1017" s="139">
        <f t="shared" si="2039"/>
        <v>0</v>
      </c>
      <c r="AG1017" s="139">
        <f t="shared" si="2039"/>
        <v>0</v>
      </c>
      <c r="AH1017" s="139">
        <f t="shared" si="2039"/>
        <v>2.1015761821366025E-2</v>
      </c>
      <c r="AI1017" s="139">
        <f t="shared" si="2039"/>
        <v>3.5026269702276708E-3</v>
      </c>
    </row>
    <row r="1018" spans="2:35">
      <c r="B1018" s="138" t="s">
        <v>8077</v>
      </c>
      <c r="C1018" s="138" t="s">
        <v>4367</v>
      </c>
      <c r="D1018" s="138" t="s">
        <v>10</v>
      </c>
      <c r="E1018" s="138" t="s">
        <v>10</v>
      </c>
      <c r="F1018" s="138" t="s">
        <v>8163</v>
      </c>
      <c r="H1018" s="138">
        <v>70</v>
      </c>
      <c r="I1018" s="138">
        <v>631</v>
      </c>
      <c r="K1018" s="138">
        <v>219</v>
      </c>
      <c r="L1018" s="138">
        <v>399</v>
      </c>
      <c r="N1018" s="138">
        <v>4</v>
      </c>
      <c r="O1018" s="138">
        <v>2</v>
      </c>
      <c r="S1018" s="138">
        <v>7</v>
      </c>
      <c r="T1018" s="138">
        <v>0</v>
      </c>
      <c r="U1018" s="138">
        <f t="shared" si="1536"/>
        <v>9</v>
      </c>
      <c r="W1018" s="139">
        <f t="shared" ref="W1018:AA1018" si="2040">J1018/$I1018</f>
        <v>0</v>
      </c>
      <c r="X1018" s="139">
        <f t="shared" si="2040"/>
        <v>0.34706814580031697</v>
      </c>
      <c r="Y1018" s="139">
        <f t="shared" si="2040"/>
        <v>0.63232963549920762</v>
      </c>
      <c r="Z1018" s="139">
        <f t="shared" si="2040"/>
        <v>0</v>
      </c>
      <c r="AA1018" s="139">
        <f t="shared" si="2040"/>
        <v>6.3391442155309036E-3</v>
      </c>
      <c r="AB1018" s="139"/>
      <c r="AC1018" s="139">
        <f t="shared" si="1538"/>
        <v>1.4263074484944533E-2</v>
      </c>
      <c r="AD1018" s="139">
        <f t="shared" ref="AD1018:AI1018" si="2041">O1018/$I1018</f>
        <v>3.1695721077654518E-3</v>
      </c>
      <c r="AE1018" s="139">
        <f t="shared" si="2041"/>
        <v>0</v>
      </c>
      <c r="AF1018" s="139">
        <f t="shared" si="2041"/>
        <v>0</v>
      </c>
      <c r="AG1018" s="139">
        <f t="shared" si="2041"/>
        <v>0</v>
      </c>
      <c r="AH1018" s="139">
        <f t="shared" si="2041"/>
        <v>1.1093502377179081E-2</v>
      </c>
      <c r="AI1018" s="139">
        <f t="shared" si="2041"/>
        <v>0</v>
      </c>
    </row>
    <row r="1019" spans="2:35">
      <c r="B1019" s="138" t="s">
        <v>8077</v>
      </c>
      <c r="C1019" s="138" t="s">
        <v>4367</v>
      </c>
      <c r="D1019" s="138" t="s">
        <v>10</v>
      </c>
      <c r="E1019" s="138" t="s">
        <v>10</v>
      </c>
      <c r="F1019" s="138" t="s">
        <v>8163</v>
      </c>
      <c r="H1019" s="138">
        <v>71</v>
      </c>
      <c r="I1019" s="138">
        <v>605</v>
      </c>
      <c r="K1019" s="138">
        <v>222</v>
      </c>
      <c r="L1019" s="138">
        <v>341</v>
      </c>
      <c r="N1019" s="138">
        <v>4</v>
      </c>
      <c r="O1019" s="138">
        <v>1</v>
      </c>
      <c r="S1019" s="138">
        <v>20</v>
      </c>
      <c r="T1019" s="138">
        <v>17</v>
      </c>
      <c r="U1019" s="138">
        <f t="shared" si="1536"/>
        <v>38</v>
      </c>
      <c r="W1019" s="139">
        <f t="shared" ref="W1019:AA1019" si="2042">J1019/$I1019</f>
        <v>0</v>
      </c>
      <c r="X1019" s="139">
        <f t="shared" si="2042"/>
        <v>0.3669421487603306</v>
      </c>
      <c r="Y1019" s="139">
        <f t="shared" si="2042"/>
        <v>0.5636363636363636</v>
      </c>
      <c r="Z1019" s="139">
        <f t="shared" si="2042"/>
        <v>0</v>
      </c>
      <c r="AA1019" s="139">
        <f t="shared" si="2042"/>
        <v>6.6115702479338841E-3</v>
      </c>
      <c r="AB1019" s="139"/>
      <c r="AC1019" s="139">
        <f t="shared" si="1538"/>
        <v>6.2809917355371905E-2</v>
      </c>
      <c r="AD1019" s="139">
        <f t="shared" ref="AD1019:AI1019" si="2043">O1019/$I1019</f>
        <v>1.652892561983471E-3</v>
      </c>
      <c r="AE1019" s="139">
        <f t="shared" si="2043"/>
        <v>0</v>
      </c>
      <c r="AF1019" s="139">
        <f t="shared" si="2043"/>
        <v>0</v>
      </c>
      <c r="AG1019" s="139">
        <f t="shared" si="2043"/>
        <v>0</v>
      </c>
      <c r="AH1019" s="139">
        <f t="shared" si="2043"/>
        <v>3.3057851239669422E-2</v>
      </c>
      <c r="AI1019" s="139">
        <f t="shared" si="2043"/>
        <v>2.809917355371901E-2</v>
      </c>
    </row>
    <row r="1020" spans="2:35">
      <c r="B1020" s="138" t="s">
        <v>8077</v>
      </c>
      <c r="C1020" s="138" t="s">
        <v>4367</v>
      </c>
      <c r="D1020" s="138" t="s">
        <v>10</v>
      </c>
      <c r="E1020" s="138" t="s">
        <v>10</v>
      </c>
      <c r="F1020" s="138" t="s">
        <v>8164</v>
      </c>
      <c r="H1020" s="138">
        <v>72</v>
      </c>
      <c r="I1020" s="138">
        <v>316</v>
      </c>
      <c r="K1020" s="138">
        <v>258</v>
      </c>
      <c r="L1020" s="138">
        <v>48</v>
      </c>
      <c r="N1020" s="138">
        <v>2</v>
      </c>
      <c r="O1020" s="138">
        <v>0</v>
      </c>
      <c r="S1020" s="138">
        <v>5</v>
      </c>
      <c r="T1020" s="138">
        <v>3</v>
      </c>
      <c r="U1020" s="138">
        <f t="shared" si="1536"/>
        <v>8</v>
      </c>
      <c r="W1020" s="139">
        <f t="shared" ref="W1020:AA1020" si="2044">J1020/$I1020</f>
        <v>0</v>
      </c>
      <c r="X1020" s="139">
        <f t="shared" si="2044"/>
        <v>0.81645569620253167</v>
      </c>
      <c r="Y1020" s="139">
        <f t="shared" si="2044"/>
        <v>0.15189873417721519</v>
      </c>
      <c r="Z1020" s="139">
        <f t="shared" si="2044"/>
        <v>0</v>
      </c>
      <c r="AA1020" s="139">
        <f t="shared" si="2044"/>
        <v>6.3291139240506328E-3</v>
      </c>
      <c r="AB1020" s="139"/>
      <c r="AC1020" s="139">
        <f t="shared" si="1538"/>
        <v>2.5316455696202531E-2</v>
      </c>
      <c r="AD1020" s="139">
        <f t="shared" ref="AD1020:AI1020" si="2045">O1020/$I1020</f>
        <v>0</v>
      </c>
      <c r="AE1020" s="139">
        <f t="shared" si="2045"/>
        <v>0</v>
      </c>
      <c r="AF1020" s="139">
        <f t="shared" si="2045"/>
        <v>0</v>
      </c>
      <c r="AG1020" s="139">
        <f t="shared" si="2045"/>
        <v>0</v>
      </c>
      <c r="AH1020" s="139">
        <f t="shared" si="2045"/>
        <v>1.5822784810126583E-2</v>
      </c>
      <c r="AI1020" s="139">
        <f t="shared" si="2045"/>
        <v>9.4936708860759497E-3</v>
      </c>
    </row>
    <row r="1021" spans="2:35">
      <c r="B1021" s="138" t="s">
        <v>8077</v>
      </c>
      <c r="C1021" s="138" t="s">
        <v>4367</v>
      </c>
      <c r="D1021" s="138" t="s">
        <v>10</v>
      </c>
      <c r="E1021" s="138" t="s">
        <v>10</v>
      </c>
      <c r="F1021" s="138" t="s">
        <v>8164</v>
      </c>
      <c r="H1021" s="138">
        <v>73</v>
      </c>
      <c r="I1021" s="138">
        <v>714</v>
      </c>
      <c r="K1021" s="138">
        <v>213</v>
      </c>
      <c r="L1021" s="138">
        <v>466</v>
      </c>
      <c r="N1021" s="138">
        <v>4</v>
      </c>
      <c r="O1021" s="138">
        <v>1</v>
      </c>
      <c r="S1021" s="138">
        <v>24</v>
      </c>
      <c r="T1021" s="138">
        <v>6</v>
      </c>
      <c r="U1021" s="138">
        <f t="shared" si="1536"/>
        <v>31</v>
      </c>
      <c r="W1021" s="139">
        <f t="shared" ref="W1021:AA1021" si="2046">J1021/$I1021</f>
        <v>0</v>
      </c>
      <c r="X1021" s="139">
        <f t="shared" si="2046"/>
        <v>0.29831932773109243</v>
      </c>
      <c r="Y1021" s="139">
        <f t="shared" si="2046"/>
        <v>0.65266106442577032</v>
      </c>
      <c r="Z1021" s="139">
        <f t="shared" si="2046"/>
        <v>0</v>
      </c>
      <c r="AA1021" s="139">
        <f t="shared" si="2046"/>
        <v>5.6022408963585435E-3</v>
      </c>
      <c r="AB1021" s="139"/>
      <c r="AC1021" s="139">
        <f t="shared" si="1538"/>
        <v>4.341736694677871E-2</v>
      </c>
      <c r="AD1021" s="139">
        <f t="shared" ref="AD1021:AI1021" si="2047">O1021/$I1021</f>
        <v>1.4005602240896359E-3</v>
      </c>
      <c r="AE1021" s="139">
        <f t="shared" si="2047"/>
        <v>0</v>
      </c>
      <c r="AF1021" s="139">
        <f t="shared" si="2047"/>
        <v>0</v>
      </c>
      <c r="AG1021" s="139">
        <f t="shared" si="2047"/>
        <v>0</v>
      </c>
      <c r="AH1021" s="139">
        <f t="shared" si="2047"/>
        <v>3.3613445378151259E-2</v>
      </c>
      <c r="AI1021" s="139">
        <f t="shared" si="2047"/>
        <v>8.4033613445378148E-3</v>
      </c>
    </row>
    <row r="1022" spans="2:35">
      <c r="B1022" s="138" t="s">
        <v>8077</v>
      </c>
      <c r="C1022" s="138" t="s">
        <v>4367</v>
      </c>
      <c r="D1022" s="138" t="s">
        <v>10</v>
      </c>
      <c r="E1022" s="138" t="s">
        <v>10</v>
      </c>
      <c r="F1022" s="138" t="s">
        <v>8164</v>
      </c>
      <c r="H1022" s="138">
        <v>74</v>
      </c>
      <c r="I1022" s="138">
        <v>740</v>
      </c>
      <c r="K1022" s="138">
        <v>87</v>
      </c>
      <c r="L1022" s="138">
        <v>615</v>
      </c>
      <c r="N1022" s="138">
        <v>3</v>
      </c>
      <c r="O1022" s="138">
        <v>0</v>
      </c>
      <c r="S1022" s="138">
        <v>31</v>
      </c>
      <c r="T1022" s="138">
        <v>4</v>
      </c>
      <c r="U1022" s="138">
        <f t="shared" ref="U1022:U1276" si="2048">SUM(O1022:T1022)</f>
        <v>35</v>
      </c>
      <c r="W1022" s="139">
        <f t="shared" ref="W1022:AA1022" si="2049">J1022/$I1022</f>
        <v>0</v>
      </c>
      <c r="X1022" s="139">
        <f t="shared" si="2049"/>
        <v>0.11756756756756757</v>
      </c>
      <c r="Y1022" s="139">
        <f t="shared" si="2049"/>
        <v>0.83108108108108103</v>
      </c>
      <c r="Z1022" s="139">
        <f t="shared" si="2049"/>
        <v>0</v>
      </c>
      <c r="AA1022" s="139">
        <f t="shared" si="2049"/>
        <v>4.0540540540540543E-3</v>
      </c>
      <c r="AB1022" s="139"/>
      <c r="AC1022" s="139">
        <f t="shared" ref="AC1022:AC1276" si="2050">U1022/$I1022</f>
        <v>4.72972972972973E-2</v>
      </c>
      <c r="AD1022" s="139">
        <f t="shared" ref="AD1022:AI1022" si="2051">O1022/$I1022</f>
        <v>0</v>
      </c>
      <c r="AE1022" s="139">
        <f t="shared" si="2051"/>
        <v>0</v>
      </c>
      <c r="AF1022" s="139">
        <f t="shared" si="2051"/>
        <v>0</v>
      </c>
      <c r="AG1022" s="139">
        <f t="shared" si="2051"/>
        <v>0</v>
      </c>
      <c r="AH1022" s="139">
        <f t="shared" si="2051"/>
        <v>4.1891891891891894E-2</v>
      </c>
      <c r="AI1022" s="139">
        <f t="shared" si="2051"/>
        <v>5.4054054054054057E-3</v>
      </c>
    </row>
    <row r="1023" spans="2:35">
      <c r="B1023" s="138" t="s">
        <v>8077</v>
      </c>
      <c r="C1023" s="138" t="s">
        <v>4367</v>
      </c>
      <c r="D1023" s="138" t="s">
        <v>10</v>
      </c>
      <c r="E1023" s="138" t="s">
        <v>10</v>
      </c>
      <c r="F1023" s="138" t="s">
        <v>8165</v>
      </c>
      <c r="H1023" s="138">
        <v>75</v>
      </c>
      <c r="I1023" s="138">
        <v>646</v>
      </c>
      <c r="K1023" s="138">
        <v>332</v>
      </c>
      <c r="L1023" s="138">
        <v>289</v>
      </c>
      <c r="N1023" s="138">
        <v>4</v>
      </c>
      <c r="O1023" s="138">
        <v>1</v>
      </c>
      <c r="S1023" s="138">
        <v>10</v>
      </c>
      <c r="T1023" s="138">
        <v>10</v>
      </c>
      <c r="U1023" s="138">
        <f t="shared" si="2048"/>
        <v>21</v>
      </c>
      <c r="W1023" s="139">
        <f t="shared" ref="W1023:AA1023" si="2052">J1023/$I1023</f>
        <v>0</v>
      </c>
      <c r="X1023" s="139">
        <f t="shared" si="2052"/>
        <v>0.51393188854489169</v>
      </c>
      <c r="Y1023" s="139">
        <f t="shared" si="2052"/>
        <v>0.44736842105263158</v>
      </c>
      <c r="Z1023" s="139">
        <f t="shared" si="2052"/>
        <v>0</v>
      </c>
      <c r="AA1023" s="139">
        <f t="shared" si="2052"/>
        <v>6.1919504643962852E-3</v>
      </c>
      <c r="AB1023" s="139"/>
      <c r="AC1023" s="139">
        <f t="shared" si="2050"/>
        <v>3.2507739938080496E-2</v>
      </c>
      <c r="AD1023" s="139">
        <f t="shared" ref="AD1023:AI1023" si="2053">O1023/$I1023</f>
        <v>1.5479876160990713E-3</v>
      </c>
      <c r="AE1023" s="139">
        <f t="shared" si="2053"/>
        <v>0</v>
      </c>
      <c r="AF1023" s="139">
        <f t="shared" si="2053"/>
        <v>0</v>
      </c>
      <c r="AG1023" s="139">
        <f t="shared" si="2053"/>
        <v>0</v>
      </c>
      <c r="AH1023" s="139">
        <f t="shared" si="2053"/>
        <v>1.5479876160990712E-2</v>
      </c>
      <c r="AI1023" s="139">
        <f t="shared" si="2053"/>
        <v>1.5479876160990712E-2</v>
      </c>
    </row>
    <row r="1024" spans="2:35">
      <c r="B1024" s="138" t="s">
        <v>8077</v>
      </c>
      <c r="C1024" s="138" t="s">
        <v>4367</v>
      </c>
      <c r="D1024" s="138" t="s">
        <v>10</v>
      </c>
      <c r="E1024" s="138" t="s">
        <v>10</v>
      </c>
      <c r="F1024" s="138" t="s">
        <v>8165</v>
      </c>
      <c r="H1024" s="138">
        <v>76</v>
      </c>
      <c r="I1024" s="138">
        <v>508</v>
      </c>
      <c r="K1024" s="138">
        <v>287</v>
      </c>
      <c r="L1024" s="138">
        <v>186</v>
      </c>
      <c r="N1024" s="138">
        <v>5</v>
      </c>
      <c r="O1024" s="138">
        <v>2</v>
      </c>
      <c r="S1024" s="138">
        <v>12</v>
      </c>
      <c r="T1024" s="138">
        <v>16</v>
      </c>
      <c r="U1024" s="138">
        <f t="shared" si="2048"/>
        <v>30</v>
      </c>
      <c r="W1024" s="139">
        <f t="shared" ref="W1024:AA1024" si="2054">J1024/$I1024</f>
        <v>0</v>
      </c>
      <c r="X1024" s="139">
        <f t="shared" si="2054"/>
        <v>0.56496062992125984</v>
      </c>
      <c r="Y1024" s="139">
        <f t="shared" si="2054"/>
        <v>0.36614173228346458</v>
      </c>
      <c r="Z1024" s="139">
        <f t="shared" si="2054"/>
        <v>0</v>
      </c>
      <c r="AA1024" s="139">
        <f t="shared" si="2054"/>
        <v>9.8425196850393699E-3</v>
      </c>
      <c r="AB1024" s="139"/>
      <c r="AC1024" s="139">
        <f t="shared" si="2050"/>
        <v>5.905511811023622E-2</v>
      </c>
      <c r="AD1024" s="139">
        <f t="shared" ref="AD1024:AI1024" si="2055">O1024/$I1024</f>
        <v>3.937007874015748E-3</v>
      </c>
      <c r="AE1024" s="139">
        <f t="shared" si="2055"/>
        <v>0</v>
      </c>
      <c r="AF1024" s="139">
        <f t="shared" si="2055"/>
        <v>0</v>
      </c>
      <c r="AG1024" s="139">
        <f t="shared" si="2055"/>
        <v>0</v>
      </c>
      <c r="AH1024" s="139">
        <f t="shared" si="2055"/>
        <v>2.3622047244094488E-2</v>
      </c>
      <c r="AI1024" s="139">
        <f t="shared" si="2055"/>
        <v>3.1496062992125984E-2</v>
      </c>
    </row>
    <row r="1025" spans="2:35">
      <c r="B1025" s="138" t="s">
        <v>8077</v>
      </c>
      <c r="C1025" s="138" t="s">
        <v>4367</v>
      </c>
      <c r="D1025" s="138" t="s">
        <v>10</v>
      </c>
      <c r="E1025" s="138" t="s">
        <v>10</v>
      </c>
      <c r="F1025" s="138" t="s">
        <v>8166</v>
      </c>
      <c r="H1025" s="138">
        <v>77</v>
      </c>
      <c r="I1025" s="138">
        <v>1059</v>
      </c>
      <c r="K1025" s="138">
        <v>411</v>
      </c>
      <c r="L1025" s="138">
        <v>617</v>
      </c>
      <c r="N1025" s="138">
        <v>5</v>
      </c>
      <c r="O1025" s="138">
        <v>3</v>
      </c>
      <c r="S1025" s="138">
        <v>14</v>
      </c>
      <c r="T1025" s="138">
        <v>9</v>
      </c>
      <c r="U1025" s="138">
        <f t="shared" si="2048"/>
        <v>26</v>
      </c>
      <c r="W1025" s="139">
        <f t="shared" ref="W1025:AA1025" si="2056">J1025/$I1025</f>
        <v>0</v>
      </c>
      <c r="X1025" s="139">
        <f t="shared" si="2056"/>
        <v>0.38810198300283288</v>
      </c>
      <c r="Y1025" s="139">
        <f t="shared" si="2056"/>
        <v>0.58262511803588291</v>
      </c>
      <c r="Z1025" s="139">
        <f t="shared" si="2056"/>
        <v>0</v>
      </c>
      <c r="AA1025" s="139">
        <f t="shared" si="2056"/>
        <v>4.721435316336166E-3</v>
      </c>
      <c r="AB1025" s="139"/>
      <c r="AC1025" s="139">
        <f t="shared" si="2050"/>
        <v>2.4551463644948063E-2</v>
      </c>
      <c r="AD1025" s="139">
        <f t="shared" ref="AD1025:AI1025" si="2057">O1025/$I1025</f>
        <v>2.8328611898016999E-3</v>
      </c>
      <c r="AE1025" s="139">
        <f t="shared" si="2057"/>
        <v>0</v>
      </c>
      <c r="AF1025" s="139">
        <f t="shared" si="2057"/>
        <v>0</v>
      </c>
      <c r="AG1025" s="139">
        <f t="shared" si="2057"/>
        <v>0</v>
      </c>
      <c r="AH1025" s="139">
        <f t="shared" si="2057"/>
        <v>1.3220018885741265E-2</v>
      </c>
      <c r="AI1025" s="139">
        <f t="shared" si="2057"/>
        <v>8.4985835694051E-3</v>
      </c>
    </row>
    <row r="1026" spans="2:35">
      <c r="B1026" s="138" t="s">
        <v>8077</v>
      </c>
      <c r="C1026" s="138" t="s">
        <v>4367</v>
      </c>
      <c r="D1026" s="138" t="s">
        <v>10</v>
      </c>
      <c r="E1026" s="138" t="s">
        <v>10</v>
      </c>
      <c r="F1026" s="138" t="s">
        <v>8166</v>
      </c>
      <c r="H1026" s="138">
        <v>78</v>
      </c>
      <c r="I1026" s="138">
        <v>863</v>
      </c>
      <c r="K1026" s="138">
        <v>412</v>
      </c>
      <c r="L1026" s="138">
        <v>412</v>
      </c>
      <c r="N1026" s="138">
        <v>6</v>
      </c>
      <c r="O1026" s="138">
        <v>3</v>
      </c>
      <c r="S1026" s="138">
        <v>22</v>
      </c>
      <c r="T1026" s="138">
        <v>8</v>
      </c>
      <c r="U1026" s="138">
        <f t="shared" si="2048"/>
        <v>33</v>
      </c>
      <c r="W1026" s="139">
        <f t="shared" ref="W1026:AA1026" si="2058">J1026/$I1026</f>
        <v>0</v>
      </c>
      <c r="X1026" s="139">
        <f t="shared" si="2058"/>
        <v>0.47740440324449596</v>
      </c>
      <c r="Y1026" s="139">
        <f t="shared" si="2058"/>
        <v>0.47740440324449596</v>
      </c>
      <c r="Z1026" s="139">
        <f t="shared" si="2058"/>
        <v>0</v>
      </c>
      <c r="AA1026" s="139">
        <f t="shared" si="2058"/>
        <v>6.9524913093858632E-3</v>
      </c>
      <c r="AB1026" s="139"/>
      <c r="AC1026" s="139">
        <f t="shared" si="2050"/>
        <v>3.8238702201622246E-2</v>
      </c>
      <c r="AD1026" s="139">
        <f t="shared" ref="AD1026:AI1026" si="2059">O1026/$I1026</f>
        <v>3.4762456546929316E-3</v>
      </c>
      <c r="AE1026" s="139">
        <f t="shared" si="2059"/>
        <v>0</v>
      </c>
      <c r="AF1026" s="139">
        <f t="shared" si="2059"/>
        <v>0</v>
      </c>
      <c r="AG1026" s="139">
        <f t="shared" si="2059"/>
        <v>0</v>
      </c>
      <c r="AH1026" s="139">
        <f t="shared" si="2059"/>
        <v>2.5492468134414831E-2</v>
      </c>
      <c r="AI1026" s="139">
        <f t="shared" si="2059"/>
        <v>9.2699884125144842E-3</v>
      </c>
    </row>
    <row r="1027" spans="2:35">
      <c r="B1027" s="138" t="s">
        <v>8077</v>
      </c>
      <c r="C1027" s="138" t="s">
        <v>4367</v>
      </c>
      <c r="D1027" s="138" t="s">
        <v>10</v>
      </c>
      <c r="E1027" s="138" t="s">
        <v>10</v>
      </c>
      <c r="F1027" s="138" t="s">
        <v>8167</v>
      </c>
      <c r="H1027" s="138">
        <v>79</v>
      </c>
      <c r="I1027" s="138">
        <v>894</v>
      </c>
      <c r="K1027" s="138">
        <v>296</v>
      </c>
      <c r="L1027" s="138">
        <v>580</v>
      </c>
      <c r="N1027" s="138">
        <v>8</v>
      </c>
      <c r="O1027" s="138">
        <v>0</v>
      </c>
      <c r="S1027" s="138">
        <v>8</v>
      </c>
      <c r="T1027" s="138">
        <v>2</v>
      </c>
      <c r="U1027" s="138">
        <f t="shared" si="2048"/>
        <v>10</v>
      </c>
      <c r="W1027" s="139">
        <f t="shared" ref="W1027:AA1027" si="2060">J1027/$I1027</f>
        <v>0</v>
      </c>
      <c r="X1027" s="139">
        <f t="shared" si="2060"/>
        <v>0.33109619686800895</v>
      </c>
      <c r="Y1027" s="139">
        <f t="shared" si="2060"/>
        <v>0.64876957494407161</v>
      </c>
      <c r="Z1027" s="139">
        <f t="shared" si="2060"/>
        <v>0</v>
      </c>
      <c r="AA1027" s="139">
        <f t="shared" si="2060"/>
        <v>8.948545861297539E-3</v>
      </c>
      <c r="AB1027" s="139"/>
      <c r="AC1027" s="139">
        <f t="shared" si="2050"/>
        <v>1.1185682326621925E-2</v>
      </c>
      <c r="AD1027" s="139">
        <f t="shared" ref="AD1027:AI1027" si="2061">O1027/$I1027</f>
        <v>0</v>
      </c>
      <c r="AE1027" s="139">
        <f t="shared" si="2061"/>
        <v>0</v>
      </c>
      <c r="AF1027" s="139">
        <f t="shared" si="2061"/>
        <v>0</v>
      </c>
      <c r="AG1027" s="139">
        <f t="shared" si="2061"/>
        <v>0</v>
      </c>
      <c r="AH1027" s="139">
        <f t="shared" si="2061"/>
        <v>8.948545861297539E-3</v>
      </c>
      <c r="AI1027" s="139">
        <f t="shared" si="2061"/>
        <v>2.2371364653243847E-3</v>
      </c>
    </row>
    <row r="1028" spans="2:35">
      <c r="B1028" s="138" t="s">
        <v>8077</v>
      </c>
      <c r="C1028" s="138" t="s">
        <v>4367</v>
      </c>
      <c r="D1028" s="138" t="s">
        <v>10</v>
      </c>
      <c r="E1028" s="138" t="s">
        <v>10</v>
      </c>
      <c r="F1028" s="138" t="s">
        <v>8167</v>
      </c>
      <c r="H1028" s="138">
        <v>80</v>
      </c>
      <c r="I1028" s="138">
        <v>833</v>
      </c>
      <c r="K1028" s="138">
        <v>255</v>
      </c>
      <c r="L1028" s="138">
        <v>544</v>
      </c>
      <c r="N1028" s="138">
        <v>4</v>
      </c>
      <c r="O1028" s="138">
        <v>1</v>
      </c>
      <c r="S1028" s="138">
        <v>19</v>
      </c>
      <c r="T1028" s="138">
        <v>10</v>
      </c>
      <c r="U1028" s="138">
        <f t="shared" si="2048"/>
        <v>30</v>
      </c>
      <c r="W1028" s="139">
        <f t="shared" ref="W1028:AA1028" si="2062">J1028/$I1028</f>
        <v>0</v>
      </c>
      <c r="X1028" s="139">
        <f t="shared" si="2062"/>
        <v>0.30612244897959184</v>
      </c>
      <c r="Y1028" s="139">
        <f t="shared" si="2062"/>
        <v>0.65306122448979587</v>
      </c>
      <c r="Z1028" s="139">
        <f t="shared" si="2062"/>
        <v>0</v>
      </c>
      <c r="AA1028" s="139">
        <f t="shared" si="2062"/>
        <v>4.8019207683073226E-3</v>
      </c>
      <c r="AB1028" s="139"/>
      <c r="AC1028" s="139">
        <f t="shared" si="2050"/>
        <v>3.601440576230492E-2</v>
      </c>
      <c r="AD1028" s="139">
        <f t="shared" ref="AD1028:AI1028" si="2063">O1028/$I1028</f>
        <v>1.2004801920768306E-3</v>
      </c>
      <c r="AE1028" s="139">
        <f t="shared" si="2063"/>
        <v>0</v>
      </c>
      <c r="AF1028" s="139">
        <f t="shared" si="2063"/>
        <v>0</v>
      </c>
      <c r="AG1028" s="139">
        <f t="shared" si="2063"/>
        <v>0</v>
      </c>
      <c r="AH1028" s="139">
        <f t="shared" si="2063"/>
        <v>2.2809123649459785E-2</v>
      </c>
      <c r="AI1028" s="139">
        <f t="shared" si="2063"/>
        <v>1.2004801920768308E-2</v>
      </c>
    </row>
    <row r="1029" spans="2:35">
      <c r="B1029" s="138" t="s">
        <v>8077</v>
      </c>
      <c r="C1029" s="138" t="s">
        <v>4367</v>
      </c>
      <c r="D1029" s="138" t="s">
        <v>10</v>
      </c>
      <c r="E1029" s="138" t="s">
        <v>10</v>
      </c>
      <c r="F1029" s="138" t="s">
        <v>8167</v>
      </c>
      <c r="H1029" s="138">
        <v>81</v>
      </c>
      <c r="I1029" s="138">
        <v>798</v>
      </c>
      <c r="K1029" s="138">
        <v>439</v>
      </c>
      <c r="L1029" s="138">
        <v>317</v>
      </c>
      <c r="N1029" s="138">
        <v>7</v>
      </c>
      <c r="O1029" s="138">
        <v>5</v>
      </c>
      <c r="S1029" s="138">
        <v>20</v>
      </c>
      <c r="T1029" s="138">
        <v>10</v>
      </c>
      <c r="U1029" s="138">
        <f t="shared" si="2048"/>
        <v>35</v>
      </c>
      <c r="W1029" s="139">
        <f t="shared" ref="W1029:AA1029" si="2064">J1029/$I1029</f>
        <v>0</v>
      </c>
      <c r="X1029" s="139">
        <f t="shared" si="2064"/>
        <v>0.55012531328320802</v>
      </c>
      <c r="Y1029" s="139">
        <f t="shared" si="2064"/>
        <v>0.39724310776942356</v>
      </c>
      <c r="Z1029" s="139">
        <f t="shared" si="2064"/>
        <v>0</v>
      </c>
      <c r="AA1029" s="139">
        <f t="shared" si="2064"/>
        <v>8.771929824561403E-3</v>
      </c>
      <c r="AB1029" s="139"/>
      <c r="AC1029" s="139">
        <f t="shared" si="2050"/>
        <v>4.3859649122807015E-2</v>
      </c>
      <c r="AD1029" s="139">
        <f t="shared" ref="AD1029:AI1029" si="2065">O1029/$I1029</f>
        <v>6.2656641604010022E-3</v>
      </c>
      <c r="AE1029" s="139">
        <f t="shared" si="2065"/>
        <v>0</v>
      </c>
      <c r="AF1029" s="139">
        <f t="shared" si="2065"/>
        <v>0</v>
      </c>
      <c r="AG1029" s="139">
        <f t="shared" si="2065"/>
        <v>0</v>
      </c>
      <c r="AH1029" s="139">
        <f t="shared" si="2065"/>
        <v>2.5062656641604009E-2</v>
      </c>
      <c r="AI1029" s="139">
        <f t="shared" si="2065"/>
        <v>1.2531328320802004E-2</v>
      </c>
    </row>
    <row r="1030" spans="2:35">
      <c r="B1030" s="138" t="s">
        <v>8077</v>
      </c>
      <c r="C1030" s="138" t="s">
        <v>4367</v>
      </c>
      <c r="D1030" s="138" t="s">
        <v>10</v>
      </c>
      <c r="E1030" s="138" t="s">
        <v>10</v>
      </c>
      <c r="F1030" s="138" t="s">
        <v>8168</v>
      </c>
      <c r="H1030" s="138">
        <v>82</v>
      </c>
      <c r="I1030" s="138">
        <v>840</v>
      </c>
      <c r="K1030" s="138">
        <v>118</v>
      </c>
      <c r="L1030" s="138">
        <v>680</v>
      </c>
      <c r="N1030" s="138">
        <v>1</v>
      </c>
      <c r="O1030" s="138">
        <v>21</v>
      </c>
      <c r="S1030" s="138">
        <v>18</v>
      </c>
      <c r="T1030" s="138">
        <v>2</v>
      </c>
      <c r="U1030" s="138">
        <f t="shared" si="2048"/>
        <v>41</v>
      </c>
      <c r="W1030" s="139">
        <f t="shared" ref="W1030:AA1030" si="2066">J1030/$I1030</f>
        <v>0</v>
      </c>
      <c r="X1030" s="139">
        <f t="shared" si="2066"/>
        <v>0.14047619047619048</v>
      </c>
      <c r="Y1030" s="139">
        <f t="shared" si="2066"/>
        <v>0.80952380952380953</v>
      </c>
      <c r="Z1030" s="139">
        <f t="shared" si="2066"/>
        <v>0</v>
      </c>
      <c r="AA1030" s="139">
        <f t="shared" si="2066"/>
        <v>1.1904761904761906E-3</v>
      </c>
      <c r="AB1030" s="139"/>
      <c r="AC1030" s="139">
        <f t="shared" si="2050"/>
        <v>4.880952380952381E-2</v>
      </c>
      <c r="AD1030" s="139">
        <f t="shared" ref="AD1030:AI1030" si="2067">O1030/$I1030</f>
        <v>2.5000000000000001E-2</v>
      </c>
      <c r="AE1030" s="139">
        <f t="shared" si="2067"/>
        <v>0</v>
      </c>
      <c r="AF1030" s="139">
        <f t="shared" si="2067"/>
        <v>0</v>
      </c>
      <c r="AG1030" s="139">
        <f t="shared" si="2067"/>
        <v>0</v>
      </c>
      <c r="AH1030" s="139">
        <f t="shared" si="2067"/>
        <v>2.1428571428571429E-2</v>
      </c>
      <c r="AI1030" s="139">
        <f t="shared" si="2067"/>
        <v>2.3809523809523812E-3</v>
      </c>
    </row>
    <row r="1031" spans="2:35">
      <c r="B1031" s="138" t="s">
        <v>8077</v>
      </c>
      <c r="C1031" s="138" t="s">
        <v>4367</v>
      </c>
      <c r="D1031" s="138" t="s">
        <v>10</v>
      </c>
      <c r="E1031" s="138" t="s">
        <v>10</v>
      </c>
      <c r="F1031" s="138" t="s">
        <v>8168</v>
      </c>
      <c r="H1031" s="138">
        <v>83</v>
      </c>
      <c r="I1031" s="138">
        <v>880</v>
      </c>
      <c r="K1031" s="138">
        <v>336</v>
      </c>
      <c r="L1031" s="138">
        <v>519</v>
      </c>
      <c r="N1031" s="138">
        <v>6</v>
      </c>
      <c r="O1031" s="138">
        <v>2</v>
      </c>
      <c r="S1031" s="138">
        <v>8</v>
      </c>
      <c r="T1031" s="138">
        <v>9</v>
      </c>
      <c r="U1031" s="138">
        <f t="shared" si="2048"/>
        <v>19</v>
      </c>
      <c r="W1031" s="139">
        <f t="shared" ref="W1031:AA1031" si="2068">J1031/$I1031</f>
        <v>0</v>
      </c>
      <c r="X1031" s="139">
        <f t="shared" si="2068"/>
        <v>0.38181818181818183</v>
      </c>
      <c r="Y1031" s="139">
        <f t="shared" si="2068"/>
        <v>0.58977272727272723</v>
      </c>
      <c r="Z1031" s="139">
        <f t="shared" si="2068"/>
        <v>0</v>
      </c>
      <c r="AA1031" s="139">
        <f t="shared" si="2068"/>
        <v>6.8181818181818179E-3</v>
      </c>
      <c r="AB1031" s="139"/>
      <c r="AC1031" s="139">
        <f t="shared" si="2050"/>
        <v>2.1590909090909091E-2</v>
      </c>
      <c r="AD1031" s="139">
        <f t="shared" ref="AD1031:AI1031" si="2069">O1031/$I1031</f>
        <v>2.2727272727272726E-3</v>
      </c>
      <c r="AE1031" s="139">
        <f t="shared" si="2069"/>
        <v>0</v>
      </c>
      <c r="AF1031" s="139">
        <f t="shared" si="2069"/>
        <v>0</v>
      </c>
      <c r="AG1031" s="139">
        <f t="shared" si="2069"/>
        <v>0</v>
      </c>
      <c r="AH1031" s="139">
        <f t="shared" si="2069"/>
        <v>9.0909090909090905E-3</v>
      </c>
      <c r="AI1031" s="139">
        <f t="shared" si="2069"/>
        <v>1.0227272727272727E-2</v>
      </c>
    </row>
    <row r="1032" spans="2:35">
      <c r="B1032" s="138" t="s">
        <v>8077</v>
      </c>
      <c r="C1032" s="138" t="s">
        <v>4367</v>
      </c>
      <c r="D1032" s="138" t="s">
        <v>10</v>
      </c>
      <c r="E1032" s="138" t="s">
        <v>10</v>
      </c>
      <c r="F1032" s="138" t="s">
        <v>8169</v>
      </c>
      <c r="H1032" s="138">
        <v>84</v>
      </c>
      <c r="I1032" s="138">
        <v>769</v>
      </c>
      <c r="K1032" s="138">
        <v>366</v>
      </c>
      <c r="L1032" s="138">
        <v>390</v>
      </c>
      <c r="N1032" s="138">
        <v>1</v>
      </c>
      <c r="O1032" s="138">
        <v>0</v>
      </c>
      <c r="S1032" s="138">
        <v>6</v>
      </c>
      <c r="T1032" s="138">
        <v>6</v>
      </c>
      <c r="U1032" s="138">
        <f t="shared" si="2048"/>
        <v>12</v>
      </c>
      <c r="W1032" s="139">
        <f t="shared" ref="W1032:AA1032" si="2070">J1032/$I1032</f>
        <v>0</v>
      </c>
      <c r="X1032" s="139">
        <f t="shared" si="2070"/>
        <v>0.47594278283485048</v>
      </c>
      <c r="Y1032" s="139">
        <f t="shared" si="2070"/>
        <v>0.50715214564369315</v>
      </c>
      <c r="Z1032" s="139">
        <f t="shared" si="2070"/>
        <v>0</v>
      </c>
      <c r="AA1032" s="139">
        <f t="shared" si="2070"/>
        <v>1.3003901170351106E-3</v>
      </c>
      <c r="AB1032" s="139"/>
      <c r="AC1032" s="139">
        <f t="shared" si="2050"/>
        <v>1.5604681404421327E-2</v>
      </c>
      <c r="AD1032" s="139">
        <f t="shared" ref="AD1032:AI1032" si="2071">O1032/$I1032</f>
        <v>0</v>
      </c>
      <c r="AE1032" s="139">
        <f t="shared" si="2071"/>
        <v>0</v>
      </c>
      <c r="AF1032" s="139">
        <f t="shared" si="2071"/>
        <v>0</v>
      </c>
      <c r="AG1032" s="139">
        <f t="shared" si="2071"/>
        <v>0</v>
      </c>
      <c r="AH1032" s="139">
        <f t="shared" si="2071"/>
        <v>7.8023407022106634E-3</v>
      </c>
      <c r="AI1032" s="139">
        <f t="shared" si="2071"/>
        <v>7.8023407022106634E-3</v>
      </c>
    </row>
    <row r="1033" spans="2:35">
      <c r="B1033" s="138" t="s">
        <v>8077</v>
      </c>
      <c r="C1033" s="138" t="s">
        <v>4367</v>
      </c>
      <c r="D1033" s="138" t="s">
        <v>10</v>
      </c>
      <c r="E1033" s="138" t="s">
        <v>10</v>
      </c>
      <c r="F1033" s="138" t="s">
        <v>8169</v>
      </c>
      <c r="H1033" s="138">
        <v>85</v>
      </c>
      <c r="I1033" s="138">
        <v>787</v>
      </c>
      <c r="K1033" s="138">
        <v>340</v>
      </c>
      <c r="L1033" s="138">
        <v>421</v>
      </c>
      <c r="N1033" s="138">
        <v>4</v>
      </c>
      <c r="O1033" s="138">
        <v>0</v>
      </c>
      <c r="S1033" s="138">
        <v>18</v>
      </c>
      <c r="T1033" s="138">
        <v>4</v>
      </c>
      <c r="U1033" s="138">
        <f t="shared" si="2048"/>
        <v>22</v>
      </c>
      <c r="W1033" s="139">
        <f t="shared" ref="W1033:AA1033" si="2072">J1033/$I1033</f>
        <v>0</v>
      </c>
      <c r="X1033" s="139">
        <f t="shared" si="2072"/>
        <v>0.43202033036848791</v>
      </c>
      <c r="Y1033" s="139">
        <f t="shared" si="2072"/>
        <v>0.53494282083862765</v>
      </c>
      <c r="Z1033" s="139">
        <f t="shared" si="2072"/>
        <v>0</v>
      </c>
      <c r="AA1033" s="139">
        <f t="shared" si="2072"/>
        <v>5.0825921219822112E-3</v>
      </c>
      <c r="AB1033" s="139"/>
      <c r="AC1033" s="139">
        <f t="shared" si="2050"/>
        <v>2.795425667090216E-2</v>
      </c>
      <c r="AD1033" s="139">
        <f t="shared" ref="AD1033:AI1033" si="2073">O1033/$I1033</f>
        <v>0</v>
      </c>
      <c r="AE1033" s="139">
        <f t="shared" si="2073"/>
        <v>0</v>
      </c>
      <c r="AF1033" s="139">
        <f t="shared" si="2073"/>
        <v>0</v>
      </c>
      <c r="AG1033" s="139">
        <f t="shared" si="2073"/>
        <v>0</v>
      </c>
      <c r="AH1033" s="139">
        <f t="shared" si="2073"/>
        <v>2.2871664548919948E-2</v>
      </c>
      <c r="AI1033" s="139">
        <f t="shared" si="2073"/>
        <v>5.0825921219822112E-3</v>
      </c>
    </row>
    <row r="1034" spans="2:35">
      <c r="B1034" s="138" t="s">
        <v>8077</v>
      </c>
      <c r="C1034" s="138" t="s">
        <v>4367</v>
      </c>
      <c r="D1034" s="138" t="s">
        <v>10</v>
      </c>
      <c r="E1034" s="138" t="s">
        <v>10</v>
      </c>
      <c r="F1034" s="138" t="s">
        <v>8170</v>
      </c>
      <c r="H1034" s="138">
        <v>86</v>
      </c>
      <c r="I1034" s="138">
        <v>897</v>
      </c>
      <c r="K1034" s="138">
        <v>265</v>
      </c>
      <c r="L1034" s="138">
        <v>604</v>
      </c>
      <c r="N1034" s="138">
        <v>5</v>
      </c>
      <c r="O1034" s="138">
        <v>1</v>
      </c>
      <c r="S1034" s="138">
        <v>19</v>
      </c>
      <c r="T1034" s="138">
        <v>3</v>
      </c>
      <c r="U1034" s="138">
        <f t="shared" si="2048"/>
        <v>23</v>
      </c>
      <c r="W1034" s="139">
        <f t="shared" ref="W1034:AA1034" si="2074">J1034/$I1034</f>
        <v>0</v>
      </c>
      <c r="X1034" s="139">
        <f t="shared" si="2074"/>
        <v>0.29542920847268672</v>
      </c>
      <c r="Y1034" s="139">
        <f t="shared" si="2074"/>
        <v>0.67335562987736897</v>
      </c>
      <c r="Z1034" s="139">
        <f t="shared" si="2074"/>
        <v>0</v>
      </c>
      <c r="AA1034" s="139">
        <f t="shared" si="2074"/>
        <v>5.5741360089186179E-3</v>
      </c>
      <c r="AB1034" s="139"/>
      <c r="AC1034" s="139">
        <f t="shared" si="2050"/>
        <v>2.564102564102564E-2</v>
      </c>
      <c r="AD1034" s="139">
        <f t="shared" ref="AD1034:AI1034" si="2075">O1034/$I1034</f>
        <v>1.1148272017837235E-3</v>
      </c>
      <c r="AE1034" s="139">
        <f t="shared" si="2075"/>
        <v>0</v>
      </c>
      <c r="AF1034" s="139">
        <f t="shared" si="2075"/>
        <v>0</v>
      </c>
      <c r="AG1034" s="139">
        <f t="shared" si="2075"/>
        <v>0</v>
      </c>
      <c r="AH1034" s="139">
        <f t="shared" si="2075"/>
        <v>2.1181716833890748E-2</v>
      </c>
      <c r="AI1034" s="139">
        <f t="shared" si="2075"/>
        <v>3.3444816053511705E-3</v>
      </c>
    </row>
    <row r="1035" spans="2:35">
      <c r="B1035" s="138" t="s">
        <v>8077</v>
      </c>
      <c r="C1035" s="138" t="s">
        <v>4367</v>
      </c>
      <c r="D1035" s="138" t="s">
        <v>10</v>
      </c>
      <c r="E1035" s="138" t="s">
        <v>10</v>
      </c>
      <c r="F1035" s="138" t="s">
        <v>8170</v>
      </c>
      <c r="H1035" s="138">
        <v>87</v>
      </c>
      <c r="I1035" s="138">
        <v>703</v>
      </c>
      <c r="K1035" s="138">
        <v>86</v>
      </c>
      <c r="L1035" s="138">
        <v>604</v>
      </c>
      <c r="N1035" s="138">
        <v>0</v>
      </c>
      <c r="O1035" s="138">
        <v>2</v>
      </c>
      <c r="S1035" s="138">
        <v>6</v>
      </c>
      <c r="T1035" s="138">
        <v>5</v>
      </c>
      <c r="U1035" s="138">
        <f t="shared" si="2048"/>
        <v>13</v>
      </c>
      <c r="W1035" s="139">
        <f t="shared" ref="W1035:AA1035" si="2076">J1035/$I1035</f>
        <v>0</v>
      </c>
      <c r="X1035" s="139">
        <f t="shared" si="2076"/>
        <v>0.12233285917496443</v>
      </c>
      <c r="Y1035" s="139">
        <f t="shared" si="2076"/>
        <v>0.85917496443812236</v>
      </c>
      <c r="Z1035" s="139">
        <f t="shared" si="2076"/>
        <v>0</v>
      </c>
      <c r="AA1035" s="139">
        <f t="shared" si="2076"/>
        <v>0</v>
      </c>
      <c r="AB1035" s="139"/>
      <c r="AC1035" s="139">
        <f t="shared" si="2050"/>
        <v>1.849217638691323E-2</v>
      </c>
      <c r="AD1035" s="139">
        <f t="shared" ref="AD1035:AI1035" si="2077">O1035/$I1035</f>
        <v>2.8449502133712661E-3</v>
      </c>
      <c r="AE1035" s="139">
        <f t="shared" si="2077"/>
        <v>0</v>
      </c>
      <c r="AF1035" s="139">
        <f t="shared" si="2077"/>
        <v>0</v>
      </c>
      <c r="AG1035" s="139">
        <f t="shared" si="2077"/>
        <v>0</v>
      </c>
      <c r="AH1035" s="139">
        <f t="shared" si="2077"/>
        <v>8.5348506401137988E-3</v>
      </c>
      <c r="AI1035" s="139">
        <f t="shared" si="2077"/>
        <v>7.1123755334281651E-3</v>
      </c>
    </row>
    <row r="1036" spans="2:35">
      <c r="B1036" s="138" t="s">
        <v>8077</v>
      </c>
      <c r="C1036" s="138" t="s">
        <v>4367</v>
      </c>
      <c r="D1036" s="138" t="s">
        <v>10</v>
      </c>
      <c r="E1036" s="138" t="s">
        <v>10</v>
      </c>
      <c r="F1036" s="138" t="s">
        <v>8170</v>
      </c>
      <c r="H1036" s="138">
        <v>88</v>
      </c>
      <c r="I1036" s="138">
        <v>914</v>
      </c>
      <c r="K1036" s="138">
        <v>423</v>
      </c>
      <c r="L1036" s="138">
        <v>451</v>
      </c>
      <c r="N1036" s="138">
        <v>6</v>
      </c>
      <c r="O1036" s="138">
        <v>2</v>
      </c>
      <c r="S1036" s="138">
        <v>12</v>
      </c>
      <c r="T1036" s="138">
        <v>20</v>
      </c>
      <c r="U1036" s="138">
        <f t="shared" si="2048"/>
        <v>34</v>
      </c>
      <c r="W1036" s="139">
        <f t="shared" ref="W1036:AA1036" si="2078">J1036/$I1036</f>
        <v>0</v>
      </c>
      <c r="X1036" s="139">
        <f t="shared" si="2078"/>
        <v>0.46280087527352298</v>
      </c>
      <c r="Y1036" s="139">
        <f t="shared" si="2078"/>
        <v>0.49343544857768051</v>
      </c>
      <c r="Z1036" s="139">
        <f t="shared" si="2078"/>
        <v>0</v>
      </c>
      <c r="AA1036" s="139">
        <f t="shared" si="2078"/>
        <v>6.5645514223194746E-3</v>
      </c>
      <c r="AB1036" s="139"/>
      <c r="AC1036" s="139">
        <f t="shared" si="2050"/>
        <v>3.7199124726477024E-2</v>
      </c>
      <c r="AD1036" s="139">
        <f t="shared" ref="AD1036:AI1036" si="2079">O1036/$I1036</f>
        <v>2.1881838074398249E-3</v>
      </c>
      <c r="AE1036" s="139">
        <f t="shared" si="2079"/>
        <v>0</v>
      </c>
      <c r="AF1036" s="139">
        <f t="shared" si="2079"/>
        <v>0</v>
      </c>
      <c r="AG1036" s="139">
        <f t="shared" si="2079"/>
        <v>0</v>
      </c>
      <c r="AH1036" s="139">
        <f t="shared" si="2079"/>
        <v>1.3129102844638949E-2</v>
      </c>
      <c r="AI1036" s="139">
        <f t="shared" si="2079"/>
        <v>2.1881838074398249E-2</v>
      </c>
    </row>
    <row r="1037" spans="2:35">
      <c r="B1037" s="138" t="s">
        <v>8077</v>
      </c>
      <c r="C1037" s="138" t="s">
        <v>4367</v>
      </c>
      <c r="D1037" s="138" t="s">
        <v>10</v>
      </c>
      <c r="E1037" s="138" t="s">
        <v>10</v>
      </c>
      <c r="F1037" s="138" t="s">
        <v>8171</v>
      </c>
      <c r="H1037" s="138">
        <v>89</v>
      </c>
      <c r="I1037" s="138">
        <v>849</v>
      </c>
      <c r="K1037" s="138">
        <v>247</v>
      </c>
      <c r="L1037" s="138">
        <v>585</v>
      </c>
      <c r="N1037" s="138">
        <v>4</v>
      </c>
      <c r="O1037" s="138">
        <v>1</v>
      </c>
      <c r="S1037" s="138">
        <v>9</v>
      </c>
      <c r="T1037" s="138">
        <v>3</v>
      </c>
      <c r="U1037" s="138">
        <f t="shared" si="2048"/>
        <v>13</v>
      </c>
      <c r="W1037" s="139">
        <f t="shared" ref="W1037:AA1037" si="2080">J1037/$I1037</f>
        <v>0</v>
      </c>
      <c r="X1037" s="139">
        <f t="shared" si="2080"/>
        <v>0.29093050647820967</v>
      </c>
      <c r="Y1037" s="139">
        <f t="shared" si="2080"/>
        <v>0.68904593639575973</v>
      </c>
      <c r="Z1037" s="139">
        <f t="shared" si="2080"/>
        <v>0</v>
      </c>
      <c r="AA1037" s="139">
        <f t="shared" si="2080"/>
        <v>4.7114252061248524E-3</v>
      </c>
      <c r="AB1037" s="139"/>
      <c r="AC1037" s="139">
        <f t="shared" si="2050"/>
        <v>1.5312131919905771E-2</v>
      </c>
      <c r="AD1037" s="139">
        <f t="shared" ref="AD1037:AI1037" si="2081">O1037/$I1037</f>
        <v>1.1778563015312131E-3</v>
      </c>
      <c r="AE1037" s="139">
        <f t="shared" si="2081"/>
        <v>0</v>
      </c>
      <c r="AF1037" s="139">
        <f t="shared" si="2081"/>
        <v>0</v>
      </c>
      <c r="AG1037" s="139">
        <f t="shared" si="2081"/>
        <v>0</v>
      </c>
      <c r="AH1037" s="139">
        <f t="shared" si="2081"/>
        <v>1.0600706713780919E-2</v>
      </c>
      <c r="AI1037" s="139">
        <f t="shared" si="2081"/>
        <v>3.5335689045936395E-3</v>
      </c>
    </row>
    <row r="1038" spans="2:35">
      <c r="B1038" s="138" t="s">
        <v>8077</v>
      </c>
      <c r="C1038" s="138" t="s">
        <v>4367</v>
      </c>
      <c r="D1038" s="138" t="s">
        <v>10</v>
      </c>
      <c r="E1038" s="138" t="s">
        <v>10</v>
      </c>
      <c r="F1038" s="138" t="s">
        <v>8171</v>
      </c>
      <c r="H1038" s="138">
        <v>90</v>
      </c>
      <c r="I1038" s="138">
        <v>973</v>
      </c>
      <c r="K1038" s="138">
        <v>157</v>
      </c>
      <c r="L1038" s="138">
        <v>778</v>
      </c>
      <c r="N1038" s="138">
        <v>3</v>
      </c>
      <c r="O1038" s="138">
        <v>0</v>
      </c>
      <c r="S1038" s="138">
        <v>27</v>
      </c>
      <c r="T1038" s="138">
        <v>8</v>
      </c>
      <c r="U1038" s="138">
        <f t="shared" si="2048"/>
        <v>35</v>
      </c>
      <c r="W1038" s="139">
        <f t="shared" ref="W1038:AA1038" si="2082">J1038/$I1038</f>
        <v>0</v>
      </c>
      <c r="X1038" s="139">
        <f t="shared" si="2082"/>
        <v>0.16135662898252826</v>
      </c>
      <c r="Y1038" s="139">
        <f t="shared" si="2082"/>
        <v>0.79958890030832475</v>
      </c>
      <c r="Z1038" s="139">
        <f t="shared" si="2082"/>
        <v>0</v>
      </c>
      <c r="AA1038" s="139">
        <f t="shared" si="2082"/>
        <v>3.0832476875642342E-3</v>
      </c>
      <c r="AB1038" s="139"/>
      <c r="AC1038" s="139">
        <f t="shared" si="2050"/>
        <v>3.5971223021582732E-2</v>
      </c>
      <c r="AD1038" s="139">
        <f t="shared" ref="AD1038:AI1038" si="2083">O1038/$I1038</f>
        <v>0</v>
      </c>
      <c r="AE1038" s="139">
        <f t="shared" si="2083"/>
        <v>0</v>
      </c>
      <c r="AF1038" s="139">
        <f t="shared" si="2083"/>
        <v>0</v>
      </c>
      <c r="AG1038" s="139">
        <f t="shared" si="2083"/>
        <v>0</v>
      </c>
      <c r="AH1038" s="139">
        <f t="shared" si="2083"/>
        <v>2.7749229188078109E-2</v>
      </c>
      <c r="AI1038" s="139">
        <f t="shared" si="2083"/>
        <v>8.2219938335046251E-3</v>
      </c>
    </row>
    <row r="1039" spans="2:35">
      <c r="B1039" s="138" t="s">
        <v>8077</v>
      </c>
      <c r="C1039" s="138" t="s">
        <v>4367</v>
      </c>
      <c r="D1039" s="138" t="s">
        <v>10</v>
      </c>
      <c r="E1039" s="138" t="s">
        <v>10</v>
      </c>
      <c r="F1039" s="138" t="s">
        <v>8171</v>
      </c>
      <c r="H1039" s="138">
        <v>91</v>
      </c>
      <c r="I1039" s="138">
        <v>863</v>
      </c>
      <c r="K1039" s="138">
        <v>164</v>
      </c>
      <c r="L1039" s="138">
        <v>673</v>
      </c>
      <c r="N1039" s="138">
        <v>4</v>
      </c>
      <c r="O1039" s="138">
        <v>1</v>
      </c>
      <c r="S1039" s="138">
        <v>15</v>
      </c>
      <c r="T1039" s="138">
        <v>6</v>
      </c>
      <c r="U1039" s="138">
        <f t="shared" si="2048"/>
        <v>22</v>
      </c>
      <c r="W1039" s="139">
        <f t="shared" ref="W1039:AA1039" si="2084">J1039/$I1039</f>
        <v>0</v>
      </c>
      <c r="X1039" s="139">
        <f t="shared" si="2084"/>
        <v>0.19003476245654694</v>
      </c>
      <c r="Y1039" s="139">
        <f t="shared" si="2084"/>
        <v>0.77983777520278097</v>
      </c>
      <c r="Z1039" s="139">
        <f t="shared" si="2084"/>
        <v>0</v>
      </c>
      <c r="AA1039" s="139">
        <f t="shared" si="2084"/>
        <v>4.6349942062572421E-3</v>
      </c>
      <c r="AB1039" s="139"/>
      <c r="AC1039" s="139">
        <f t="shared" si="2050"/>
        <v>2.5492468134414831E-2</v>
      </c>
      <c r="AD1039" s="139">
        <f t="shared" ref="AD1039:AI1039" si="2085">O1039/$I1039</f>
        <v>1.1587485515643105E-3</v>
      </c>
      <c r="AE1039" s="139">
        <f t="shared" si="2085"/>
        <v>0</v>
      </c>
      <c r="AF1039" s="139">
        <f t="shared" si="2085"/>
        <v>0</v>
      </c>
      <c r="AG1039" s="139">
        <f t="shared" si="2085"/>
        <v>0</v>
      </c>
      <c r="AH1039" s="139">
        <f t="shared" si="2085"/>
        <v>1.7381228273464659E-2</v>
      </c>
      <c r="AI1039" s="139">
        <f t="shared" si="2085"/>
        <v>6.9524913093858632E-3</v>
      </c>
    </row>
    <row r="1040" spans="2:35">
      <c r="B1040" s="138" t="s">
        <v>8077</v>
      </c>
      <c r="C1040" s="138" t="s">
        <v>4367</v>
      </c>
      <c r="D1040" s="138" t="s">
        <v>10</v>
      </c>
      <c r="E1040" s="138" t="s">
        <v>10</v>
      </c>
      <c r="F1040" s="138" t="s">
        <v>8172</v>
      </c>
      <c r="H1040" s="138">
        <v>92</v>
      </c>
      <c r="I1040" s="138">
        <v>819</v>
      </c>
      <c r="K1040" s="138">
        <v>289</v>
      </c>
      <c r="L1040" s="138">
        <v>491</v>
      </c>
      <c r="N1040" s="138">
        <v>6</v>
      </c>
      <c r="O1040" s="138">
        <v>4</v>
      </c>
      <c r="S1040" s="138">
        <v>18</v>
      </c>
      <c r="T1040" s="138">
        <v>11</v>
      </c>
      <c r="U1040" s="138">
        <f t="shared" si="2048"/>
        <v>33</v>
      </c>
      <c r="W1040" s="139">
        <f t="shared" ref="W1040:AA1040" si="2086">J1040/$I1040</f>
        <v>0</v>
      </c>
      <c r="X1040" s="139">
        <f t="shared" si="2086"/>
        <v>0.35286935286935289</v>
      </c>
      <c r="Y1040" s="139">
        <f t="shared" si="2086"/>
        <v>0.59951159951159949</v>
      </c>
      <c r="Z1040" s="139">
        <f t="shared" si="2086"/>
        <v>0</v>
      </c>
      <c r="AA1040" s="139">
        <f t="shared" si="2086"/>
        <v>7.326007326007326E-3</v>
      </c>
      <c r="AB1040" s="139"/>
      <c r="AC1040" s="139">
        <f t="shared" si="2050"/>
        <v>4.0293040293040296E-2</v>
      </c>
      <c r="AD1040" s="139">
        <f t="shared" ref="AD1040:AI1040" si="2087">O1040/$I1040</f>
        <v>4.884004884004884E-3</v>
      </c>
      <c r="AE1040" s="139">
        <f t="shared" si="2087"/>
        <v>0</v>
      </c>
      <c r="AF1040" s="139">
        <f t="shared" si="2087"/>
        <v>0</v>
      </c>
      <c r="AG1040" s="139">
        <f t="shared" si="2087"/>
        <v>0</v>
      </c>
      <c r="AH1040" s="139">
        <f t="shared" si="2087"/>
        <v>2.197802197802198E-2</v>
      </c>
      <c r="AI1040" s="139">
        <f t="shared" si="2087"/>
        <v>1.3431013431013432E-2</v>
      </c>
    </row>
    <row r="1041" spans="2:35">
      <c r="B1041" s="138" t="s">
        <v>8077</v>
      </c>
      <c r="C1041" s="138" t="s">
        <v>4367</v>
      </c>
      <c r="D1041" s="138" t="s">
        <v>10</v>
      </c>
      <c r="E1041" s="138" t="s">
        <v>10</v>
      </c>
      <c r="F1041" s="138" t="s">
        <v>8172</v>
      </c>
      <c r="H1041" s="138">
        <v>93</v>
      </c>
      <c r="I1041" s="138">
        <v>864</v>
      </c>
      <c r="K1041" s="138">
        <v>177</v>
      </c>
      <c r="L1041" s="138">
        <v>656</v>
      </c>
      <c r="N1041" s="138">
        <v>2</v>
      </c>
      <c r="O1041" s="138">
        <v>2</v>
      </c>
      <c r="S1041" s="138">
        <v>22</v>
      </c>
      <c r="T1041" s="138">
        <v>5</v>
      </c>
      <c r="U1041" s="138">
        <f t="shared" si="2048"/>
        <v>29</v>
      </c>
      <c r="W1041" s="139">
        <f t="shared" ref="W1041:AA1041" si="2088">J1041/$I1041</f>
        <v>0</v>
      </c>
      <c r="X1041" s="139">
        <f t="shared" si="2088"/>
        <v>0.2048611111111111</v>
      </c>
      <c r="Y1041" s="139">
        <f t="shared" si="2088"/>
        <v>0.7592592592592593</v>
      </c>
      <c r="Z1041" s="139">
        <f t="shared" si="2088"/>
        <v>0</v>
      </c>
      <c r="AA1041" s="139">
        <f t="shared" si="2088"/>
        <v>2.3148148148148147E-3</v>
      </c>
      <c r="AB1041" s="139"/>
      <c r="AC1041" s="139">
        <f t="shared" si="2050"/>
        <v>3.3564814814814818E-2</v>
      </c>
      <c r="AD1041" s="139">
        <f t="shared" ref="AD1041:AI1041" si="2089">O1041/$I1041</f>
        <v>2.3148148148148147E-3</v>
      </c>
      <c r="AE1041" s="139">
        <f t="shared" si="2089"/>
        <v>0</v>
      </c>
      <c r="AF1041" s="139">
        <f t="shared" si="2089"/>
        <v>0</v>
      </c>
      <c r="AG1041" s="139">
        <f t="shared" si="2089"/>
        <v>0</v>
      </c>
      <c r="AH1041" s="139">
        <f t="shared" si="2089"/>
        <v>2.5462962962962962E-2</v>
      </c>
      <c r="AI1041" s="139">
        <f t="shared" si="2089"/>
        <v>5.7870370370370367E-3</v>
      </c>
    </row>
    <row r="1042" spans="2:35">
      <c r="B1042" s="138" t="s">
        <v>8077</v>
      </c>
      <c r="C1042" s="138" t="s">
        <v>4367</v>
      </c>
      <c r="D1042" s="138" t="s">
        <v>10</v>
      </c>
      <c r="E1042" s="138" t="s">
        <v>10</v>
      </c>
      <c r="F1042" s="138" t="s">
        <v>908</v>
      </c>
      <c r="H1042" s="138">
        <v>94</v>
      </c>
      <c r="I1042" s="138">
        <v>705</v>
      </c>
      <c r="K1042" s="138">
        <v>453</v>
      </c>
      <c r="L1042" s="138">
        <v>224</v>
      </c>
      <c r="N1042" s="138">
        <v>6</v>
      </c>
      <c r="O1042" s="138">
        <v>2</v>
      </c>
      <c r="S1042" s="138">
        <v>9</v>
      </c>
      <c r="T1042" s="138">
        <v>11</v>
      </c>
      <c r="U1042" s="138">
        <f t="shared" si="2048"/>
        <v>22</v>
      </c>
      <c r="W1042" s="139">
        <f t="shared" ref="W1042:AA1042" si="2090">J1042/$I1042</f>
        <v>0</v>
      </c>
      <c r="X1042" s="139">
        <f t="shared" si="2090"/>
        <v>0.64255319148936174</v>
      </c>
      <c r="Y1042" s="139">
        <f t="shared" si="2090"/>
        <v>0.31773049645390072</v>
      </c>
      <c r="Z1042" s="139">
        <f t="shared" si="2090"/>
        <v>0</v>
      </c>
      <c r="AA1042" s="139">
        <f t="shared" si="2090"/>
        <v>8.5106382978723406E-3</v>
      </c>
      <c r="AB1042" s="139"/>
      <c r="AC1042" s="139">
        <f t="shared" si="2050"/>
        <v>3.1205673758865248E-2</v>
      </c>
      <c r="AD1042" s="139">
        <f t="shared" ref="AD1042:AI1042" si="2091">O1042/$I1042</f>
        <v>2.8368794326241137E-3</v>
      </c>
      <c r="AE1042" s="139">
        <f t="shared" si="2091"/>
        <v>0</v>
      </c>
      <c r="AF1042" s="139">
        <f t="shared" si="2091"/>
        <v>0</v>
      </c>
      <c r="AG1042" s="139">
        <f t="shared" si="2091"/>
        <v>0</v>
      </c>
      <c r="AH1042" s="139">
        <f t="shared" si="2091"/>
        <v>1.276595744680851E-2</v>
      </c>
      <c r="AI1042" s="139">
        <f t="shared" si="2091"/>
        <v>1.5602836879432624E-2</v>
      </c>
    </row>
    <row r="1043" spans="2:35">
      <c r="B1043" s="138" t="s">
        <v>8077</v>
      </c>
      <c r="C1043" s="138" t="s">
        <v>4367</v>
      </c>
      <c r="D1043" s="138" t="s">
        <v>10</v>
      </c>
      <c r="E1043" s="138" t="s">
        <v>10</v>
      </c>
      <c r="F1043" s="138" t="s">
        <v>908</v>
      </c>
      <c r="H1043" s="138">
        <v>95</v>
      </c>
      <c r="I1043" s="138">
        <v>574</v>
      </c>
      <c r="K1043" s="138">
        <v>174</v>
      </c>
      <c r="L1043" s="138">
        <v>377</v>
      </c>
      <c r="N1043" s="138">
        <v>1</v>
      </c>
      <c r="O1043" s="138">
        <v>1</v>
      </c>
      <c r="S1043" s="138">
        <v>13</v>
      </c>
      <c r="T1043" s="138">
        <v>8</v>
      </c>
      <c r="U1043" s="138">
        <f t="shared" si="2048"/>
        <v>22</v>
      </c>
      <c r="W1043" s="139">
        <f t="shared" ref="W1043:AA1043" si="2092">J1043/$I1043</f>
        <v>0</v>
      </c>
      <c r="X1043" s="139">
        <f t="shared" si="2092"/>
        <v>0.30313588850174217</v>
      </c>
      <c r="Y1043" s="139">
        <f t="shared" si="2092"/>
        <v>0.65679442508710806</v>
      </c>
      <c r="Z1043" s="139">
        <f t="shared" si="2092"/>
        <v>0</v>
      </c>
      <c r="AA1043" s="139">
        <f t="shared" si="2092"/>
        <v>1.7421602787456446E-3</v>
      </c>
      <c r="AB1043" s="139"/>
      <c r="AC1043" s="139">
        <f t="shared" si="2050"/>
        <v>3.8327526132404179E-2</v>
      </c>
      <c r="AD1043" s="139">
        <f t="shared" ref="AD1043:AI1043" si="2093">O1043/$I1043</f>
        <v>1.7421602787456446E-3</v>
      </c>
      <c r="AE1043" s="139">
        <f t="shared" si="2093"/>
        <v>0</v>
      </c>
      <c r="AF1043" s="139">
        <f t="shared" si="2093"/>
        <v>0</v>
      </c>
      <c r="AG1043" s="139">
        <f t="shared" si="2093"/>
        <v>0</v>
      </c>
      <c r="AH1043" s="139">
        <f t="shared" si="2093"/>
        <v>2.2648083623693381E-2</v>
      </c>
      <c r="AI1043" s="139">
        <f t="shared" si="2093"/>
        <v>1.3937282229965157E-2</v>
      </c>
    </row>
    <row r="1044" spans="2:35">
      <c r="B1044" s="138" t="s">
        <v>8077</v>
      </c>
      <c r="C1044" s="138" t="s">
        <v>4367</v>
      </c>
      <c r="D1044" s="138" t="s">
        <v>10</v>
      </c>
      <c r="E1044" s="138" t="s">
        <v>10</v>
      </c>
      <c r="F1044" s="138" t="s">
        <v>8173</v>
      </c>
      <c r="H1044" s="138">
        <v>96</v>
      </c>
      <c r="I1044" s="138">
        <v>811</v>
      </c>
      <c r="K1044" s="138">
        <v>167</v>
      </c>
      <c r="L1044" s="138">
        <v>617</v>
      </c>
      <c r="N1044" s="138">
        <v>2</v>
      </c>
      <c r="O1044" s="138">
        <v>0</v>
      </c>
      <c r="S1044" s="138">
        <v>22</v>
      </c>
      <c r="T1044" s="138">
        <v>3</v>
      </c>
      <c r="U1044" s="138">
        <f t="shared" si="2048"/>
        <v>25</v>
      </c>
      <c r="W1044" s="139">
        <f t="shared" ref="W1044:AA1044" si="2094">J1044/$I1044</f>
        <v>0</v>
      </c>
      <c r="X1044" s="139">
        <f t="shared" si="2094"/>
        <v>0.2059186189889026</v>
      </c>
      <c r="Y1044" s="139">
        <f t="shared" si="2094"/>
        <v>0.76078914919852036</v>
      </c>
      <c r="Z1044" s="139">
        <f t="shared" si="2094"/>
        <v>0</v>
      </c>
      <c r="AA1044" s="139">
        <f t="shared" si="2094"/>
        <v>2.4660912453760789E-3</v>
      </c>
      <c r="AB1044" s="139"/>
      <c r="AC1044" s="139">
        <f t="shared" si="2050"/>
        <v>3.0826140567200986E-2</v>
      </c>
      <c r="AD1044" s="139">
        <f t="shared" ref="AD1044:AI1044" si="2095">O1044/$I1044</f>
        <v>0</v>
      </c>
      <c r="AE1044" s="139">
        <f t="shared" si="2095"/>
        <v>0</v>
      </c>
      <c r="AF1044" s="139">
        <f t="shared" si="2095"/>
        <v>0</v>
      </c>
      <c r="AG1044" s="139">
        <f t="shared" si="2095"/>
        <v>0</v>
      </c>
      <c r="AH1044" s="139">
        <f t="shared" si="2095"/>
        <v>2.7127003699136867E-2</v>
      </c>
      <c r="AI1044" s="139">
        <f t="shared" si="2095"/>
        <v>3.6991368680641184E-3</v>
      </c>
    </row>
    <row r="1045" spans="2:35">
      <c r="B1045" s="138" t="s">
        <v>8077</v>
      </c>
      <c r="C1045" s="138" t="s">
        <v>4367</v>
      </c>
      <c r="D1045" s="138" t="s">
        <v>10</v>
      </c>
      <c r="E1045" s="138" t="s">
        <v>10</v>
      </c>
      <c r="F1045" s="138" t="s">
        <v>8173</v>
      </c>
      <c r="H1045" s="138">
        <v>97</v>
      </c>
      <c r="I1045" s="138">
        <v>758</v>
      </c>
      <c r="K1045" s="138">
        <v>143</v>
      </c>
      <c r="L1045" s="138">
        <v>590</v>
      </c>
      <c r="N1045" s="138">
        <v>4</v>
      </c>
      <c r="O1045" s="138">
        <v>1</v>
      </c>
      <c r="S1045" s="138">
        <v>17</v>
      </c>
      <c r="T1045" s="138">
        <v>3</v>
      </c>
      <c r="U1045" s="138">
        <f t="shared" si="2048"/>
        <v>21</v>
      </c>
      <c r="W1045" s="139">
        <f t="shared" ref="W1045:AA1045" si="2096">J1045/$I1045</f>
        <v>0</v>
      </c>
      <c r="X1045" s="139">
        <f t="shared" si="2096"/>
        <v>0.18865435356200527</v>
      </c>
      <c r="Y1045" s="139">
        <f t="shared" si="2096"/>
        <v>0.77836411609498679</v>
      </c>
      <c r="Z1045" s="139">
        <f t="shared" si="2096"/>
        <v>0</v>
      </c>
      <c r="AA1045" s="139">
        <f t="shared" si="2096"/>
        <v>5.2770448548812663E-3</v>
      </c>
      <c r="AB1045" s="139"/>
      <c r="AC1045" s="139">
        <f t="shared" si="2050"/>
        <v>2.7704485488126648E-2</v>
      </c>
      <c r="AD1045" s="139">
        <f t="shared" ref="AD1045:AI1045" si="2097">O1045/$I1045</f>
        <v>1.3192612137203166E-3</v>
      </c>
      <c r="AE1045" s="139">
        <f t="shared" si="2097"/>
        <v>0</v>
      </c>
      <c r="AF1045" s="139">
        <f t="shared" si="2097"/>
        <v>0</v>
      </c>
      <c r="AG1045" s="139">
        <f t="shared" si="2097"/>
        <v>0</v>
      </c>
      <c r="AH1045" s="139">
        <f t="shared" si="2097"/>
        <v>2.2427440633245383E-2</v>
      </c>
      <c r="AI1045" s="139">
        <f t="shared" si="2097"/>
        <v>3.9577836411609502E-3</v>
      </c>
    </row>
    <row r="1046" spans="2:35">
      <c r="B1046" s="138" t="s">
        <v>8077</v>
      </c>
      <c r="C1046" s="138" t="s">
        <v>4367</v>
      </c>
      <c r="D1046" s="138" t="s">
        <v>10</v>
      </c>
      <c r="E1046" s="138" t="s">
        <v>10</v>
      </c>
      <c r="F1046" s="138" t="s">
        <v>8174</v>
      </c>
      <c r="H1046" s="138">
        <v>98</v>
      </c>
      <c r="I1046" s="138">
        <v>956</v>
      </c>
      <c r="K1046" s="138">
        <v>259</v>
      </c>
      <c r="L1046" s="138">
        <v>675</v>
      </c>
      <c r="N1046" s="138">
        <v>3</v>
      </c>
      <c r="O1046" s="138">
        <v>2</v>
      </c>
      <c r="S1046" s="138">
        <v>13</v>
      </c>
      <c r="T1046" s="138">
        <v>4</v>
      </c>
      <c r="U1046" s="138">
        <f t="shared" si="2048"/>
        <v>19</v>
      </c>
      <c r="W1046" s="139">
        <f t="shared" ref="W1046:AA1046" si="2098">J1046/$I1046</f>
        <v>0</v>
      </c>
      <c r="X1046" s="139">
        <f t="shared" si="2098"/>
        <v>0.27092050209205021</v>
      </c>
      <c r="Y1046" s="139">
        <f t="shared" si="2098"/>
        <v>0.70606694560669458</v>
      </c>
      <c r="Z1046" s="139">
        <f t="shared" si="2098"/>
        <v>0</v>
      </c>
      <c r="AA1046" s="139">
        <f t="shared" si="2098"/>
        <v>3.1380753138075313E-3</v>
      </c>
      <c r="AB1046" s="139"/>
      <c r="AC1046" s="139">
        <f t="shared" si="2050"/>
        <v>1.9874476987447699E-2</v>
      </c>
      <c r="AD1046" s="139">
        <f t="shared" ref="AD1046:AI1046" si="2099">O1046/$I1046</f>
        <v>2.0920502092050207E-3</v>
      </c>
      <c r="AE1046" s="139">
        <f t="shared" si="2099"/>
        <v>0</v>
      </c>
      <c r="AF1046" s="139">
        <f t="shared" si="2099"/>
        <v>0</v>
      </c>
      <c r="AG1046" s="139">
        <f t="shared" si="2099"/>
        <v>0</v>
      </c>
      <c r="AH1046" s="139">
        <f t="shared" si="2099"/>
        <v>1.3598326359832637E-2</v>
      </c>
      <c r="AI1046" s="139">
        <f t="shared" si="2099"/>
        <v>4.1841004184100415E-3</v>
      </c>
    </row>
    <row r="1047" spans="2:35">
      <c r="B1047" s="138" t="s">
        <v>8077</v>
      </c>
      <c r="C1047" s="138" t="s">
        <v>4367</v>
      </c>
      <c r="D1047" s="138" t="s">
        <v>10</v>
      </c>
      <c r="E1047" s="138" t="s">
        <v>10</v>
      </c>
      <c r="F1047" s="138" t="s">
        <v>8174</v>
      </c>
      <c r="H1047" s="138">
        <v>99</v>
      </c>
      <c r="I1047" s="138">
        <v>931</v>
      </c>
      <c r="K1047" s="138">
        <v>382</v>
      </c>
      <c r="L1047" s="138">
        <v>519</v>
      </c>
      <c r="N1047" s="138">
        <v>5</v>
      </c>
      <c r="O1047" s="138">
        <v>1</v>
      </c>
      <c r="S1047" s="138">
        <v>15</v>
      </c>
      <c r="T1047" s="138">
        <v>9</v>
      </c>
      <c r="U1047" s="138">
        <f t="shared" si="2048"/>
        <v>25</v>
      </c>
      <c r="W1047" s="139">
        <f t="shared" ref="W1047:AA1047" si="2100">J1047/$I1047</f>
        <v>0</v>
      </c>
      <c r="X1047" s="139">
        <f t="shared" si="2100"/>
        <v>0.41031149301825992</v>
      </c>
      <c r="Y1047" s="139">
        <f t="shared" si="2100"/>
        <v>0.55746509129967781</v>
      </c>
      <c r="Z1047" s="139">
        <f t="shared" si="2100"/>
        <v>0</v>
      </c>
      <c r="AA1047" s="139">
        <f t="shared" si="2100"/>
        <v>5.3705692803437165E-3</v>
      </c>
      <c r="AB1047" s="139"/>
      <c r="AC1047" s="139">
        <f t="shared" si="2050"/>
        <v>2.6852846401718582E-2</v>
      </c>
      <c r="AD1047" s="139">
        <f t="shared" ref="AD1047:AI1047" si="2101">O1047/$I1047</f>
        <v>1.0741138560687433E-3</v>
      </c>
      <c r="AE1047" s="139">
        <f t="shared" si="2101"/>
        <v>0</v>
      </c>
      <c r="AF1047" s="139">
        <f t="shared" si="2101"/>
        <v>0</v>
      </c>
      <c r="AG1047" s="139">
        <f t="shared" si="2101"/>
        <v>0</v>
      </c>
      <c r="AH1047" s="139">
        <f t="shared" si="2101"/>
        <v>1.611170784103115E-2</v>
      </c>
      <c r="AI1047" s="139">
        <f t="shared" si="2101"/>
        <v>9.6670247046186895E-3</v>
      </c>
    </row>
    <row r="1048" spans="2:35">
      <c r="B1048" s="138" t="s">
        <v>8077</v>
      </c>
      <c r="C1048" s="138" t="s">
        <v>4367</v>
      </c>
      <c r="D1048" s="138" t="s">
        <v>10</v>
      </c>
      <c r="E1048" s="138" t="s">
        <v>10</v>
      </c>
      <c r="F1048" s="138" t="s">
        <v>8175</v>
      </c>
      <c r="H1048" s="138">
        <v>100</v>
      </c>
      <c r="I1048" s="138">
        <v>1006</v>
      </c>
      <c r="K1048" s="138">
        <v>272</v>
      </c>
      <c r="L1048" s="138">
        <v>703</v>
      </c>
      <c r="N1048" s="138">
        <v>2</v>
      </c>
      <c r="O1048" s="138">
        <v>1</v>
      </c>
      <c r="S1048" s="138">
        <v>19</v>
      </c>
      <c r="T1048" s="138">
        <v>9</v>
      </c>
      <c r="U1048" s="138">
        <f t="shared" si="2048"/>
        <v>29</v>
      </c>
      <c r="W1048" s="139">
        <f t="shared" ref="W1048:AA1048" si="2102">J1048/$I1048</f>
        <v>0</v>
      </c>
      <c r="X1048" s="139">
        <f t="shared" si="2102"/>
        <v>0.27037773359840955</v>
      </c>
      <c r="Y1048" s="139">
        <f t="shared" si="2102"/>
        <v>0.69880715705765406</v>
      </c>
      <c r="Z1048" s="139">
        <f t="shared" si="2102"/>
        <v>0</v>
      </c>
      <c r="AA1048" s="139">
        <f t="shared" si="2102"/>
        <v>1.9880715705765406E-3</v>
      </c>
      <c r="AB1048" s="139"/>
      <c r="AC1048" s="139">
        <f t="shared" si="2050"/>
        <v>2.8827037773359841E-2</v>
      </c>
      <c r="AD1048" s="139">
        <f t="shared" ref="AD1048:AI1048" si="2103">O1048/$I1048</f>
        <v>9.9403578528827028E-4</v>
      </c>
      <c r="AE1048" s="139">
        <f t="shared" si="2103"/>
        <v>0</v>
      </c>
      <c r="AF1048" s="139">
        <f t="shared" si="2103"/>
        <v>0</v>
      </c>
      <c r="AG1048" s="139">
        <f t="shared" si="2103"/>
        <v>0</v>
      </c>
      <c r="AH1048" s="139">
        <f t="shared" si="2103"/>
        <v>1.8886679920477135E-2</v>
      </c>
      <c r="AI1048" s="139">
        <f t="shared" si="2103"/>
        <v>8.9463220675944331E-3</v>
      </c>
    </row>
    <row r="1049" spans="2:35">
      <c r="B1049" s="138" t="s">
        <v>8077</v>
      </c>
      <c r="C1049" s="138" t="s">
        <v>4367</v>
      </c>
      <c r="D1049" s="138" t="s">
        <v>10</v>
      </c>
      <c r="E1049" s="138" t="s">
        <v>10</v>
      </c>
      <c r="F1049" s="138" t="s">
        <v>8175</v>
      </c>
      <c r="H1049" s="138">
        <v>101</v>
      </c>
      <c r="I1049" s="138">
        <v>886</v>
      </c>
      <c r="K1049" s="138">
        <v>292</v>
      </c>
      <c r="L1049" s="138">
        <v>528</v>
      </c>
      <c r="N1049" s="138">
        <v>7</v>
      </c>
      <c r="O1049" s="138">
        <v>4</v>
      </c>
      <c r="S1049" s="138">
        <v>39</v>
      </c>
      <c r="T1049" s="138">
        <v>16</v>
      </c>
      <c r="U1049" s="138">
        <f t="shared" si="2048"/>
        <v>59</v>
      </c>
      <c r="W1049" s="139">
        <f t="shared" ref="W1049:AA1049" si="2104">J1049/$I1049</f>
        <v>0</v>
      </c>
      <c r="X1049" s="139">
        <f t="shared" si="2104"/>
        <v>0.32957110609480811</v>
      </c>
      <c r="Y1049" s="139">
        <f t="shared" si="2104"/>
        <v>0.59593679458239279</v>
      </c>
      <c r="Z1049" s="139">
        <f t="shared" si="2104"/>
        <v>0</v>
      </c>
      <c r="AA1049" s="139">
        <f t="shared" si="2104"/>
        <v>7.900677200902935E-3</v>
      </c>
      <c r="AB1049" s="139"/>
      <c r="AC1049" s="139">
        <f t="shared" si="2050"/>
        <v>6.6591422121896157E-2</v>
      </c>
      <c r="AD1049" s="139">
        <f t="shared" ref="AD1049:AI1049" si="2105">O1049/$I1049</f>
        <v>4.5146726862302479E-3</v>
      </c>
      <c r="AE1049" s="139">
        <f t="shared" si="2105"/>
        <v>0</v>
      </c>
      <c r="AF1049" s="139">
        <f t="shared" si="2105"/>
        <v>0</v>
      </c>
      <c r="AG1049" s="139">
        <f t="shared" si="2105"/>
        <v>0</v>
      </c>
      <c r="AH1049" s="139">
        <f t="shared" si="2105"/>
        <v>4.4018058690744918E-2</v>
      </c>
      <c r="AI1049" s="139">
        <f t="shared" si="2105"/>
        <v>1.8058690744920992E-2</v>
      </c>
    </row>
    <row r="1050" spans="2:35">
      <c r="B1050" s="138" t="s">
        <v>8077</v>
      </c>
      <c r="C1050" s="138" t="s">
        <v>4367</v>
      </c>
      <c r="D1050" s="138" t="s">
        <v>10</v>
      </c>
      <c r="E1050" s="138" t="s">
        <v>10</v>
      </c>
      <c r="F1050" s="138" t="s">
        <v>8176</v>
      </c>
      <c r="H1050" s="138">
        <v>102</v>
      </c>
      <c r="I1050" s="138">
        <v>998</v>
      </c>
      <c r="K1050" s="138">
        <v>342</v>
      </c>
      <c r="L1050" s="138">
        <v>610</v>
      </c>
      <c r="N1050" s="138">
        <v>6</v>
      </c>
      <c r="O1050" s="138">
        <v>2</v>
      </c>
      <c r="S1050" s="138">
        <v>31</v>
      </c>
      <c r="T1050" s="138">
        <v>7</v>
      </c>
      <c r="U1050" s="138">
        <f t="shared" si="2048"/>
        <v>40</v>
      </c>
      <c r="W1050" s="139">
        <f t="shared" ref="W1050:AA1050" si="2106">J1050/$I1050</f>
        <v>0</v>
      </c>
      <c r="X1050" s="139">
        <f t="shared" si="2106"/>
        <v>0.34268537074148298</v>
      </c>
      <c r="Y1050" s="139">
        <f t="shared" si="2106"/>
        <v>0.6112224448897795</v>
      </c>
      <c r="Z1050" s="139">
        <f t="shared" si="2106"/>
        <v>0</v>
      </c>
      <c r="AA1050" s="139">
        <f t="shared" si="2106"/>
        <v>6.0120240480961923E-3</v>
      </c>
      <c r="AB1050" s="139"/>
      <c r="AC1050" s="139">
        <f t="shared" si="2050"/>
        <v>4.0080160320641281E-2</v>
      </c>
      <c r="AD1050" s="139">
        <f t="shared" ref="AD1050:AI1050" si="2107">O1050/$I1050</f>
        <v>2.004008016032064E-3</v>
      </c>
      <c r="AE1050" s="139">
        <f t="shared" si="2107"/>
        <v>0</v>
      </c>
      <c r="AF1050" s="139">
        <f t="shared" si="2107"/>
        <v>0</v>
      </c>
      <c r="AG1050" s="139">
        <f t="shared" si="2107"/>
        <v>0</v>
      </c>
      <c r="AH1050" s="139">
        <f t="shared" si="2107"/>
        <v>3.1062124248496994E-2</v>
      </c>
      <c r="AI1050" s="139">
        <f t="shared" si="2107"/>
        <v>7.0140280561122245E-3</v>
      </c>
    </row>
    <row r="1051" spans="2:35">
      <c r="B1051" s="138" t="s">
        <v>8077</v>
      </c>
      <c r="C1051" s="138" t="s">
        <v>4367</v>
      </c>
      <c r="D1051" s="138" t="s">
        <v>10</v>
      </c>
      <c r="E1051" s="138" t="s">
        <v>10</v>
      </c>
      <c r="F1051" s="138" t="s">
        <v>8176</v>
      </c>
      <c r="H1051" s="138">
        <v>103</v>
      </c>
      <c r="I1051" s="138">
        <v>922</v>
      </c>
      <c r="K1051" s="138">
        <v>222</v>
      </c>
      <c r="L1051" s="138">
        <v>658</v>
      </c>
      <c r="N1051" s="138">
        <v>7</v>
      </c>
      <c r="O1051" s="138">
        <v>0</v>
      </c>
      <c r="S1051" s="138">
        <v>25</v>
      </c>
      <c r="T1051" s="138">
        <v>10</v>
      </c>
      <c r="U1051" s="138">
        <f t="shared" si="2048"/>
        <v>35</v>
      </c>
      <c r="W1051" s="139">
        <f t="shared" ref="W1051:AA1051" si="2108">J1051/$I1051</f>
        <v>0</v>
      </c>
      <c r="X1051" s="139">
        <f t="shared" si="2108"/>
        <v>0.24078091106290672</v>
      </c>
      <c r="Y1051" s="139">
        <f t="shared" si="2108"/>
        <v>0.71366594360086766</v>
      </c>
      <c r="Z1051" s="139">
        <f t="shared" si="2108"/>
        <v>0</v>
      </c>
      <c r="AA1051" s="139">
        <f t="shared" si="2108"/>
        <v>7.5921908893709323E-3</v>
      </c>
      <c r="AB1051" s="139"/>
      <c r="AC1051" s="139">
        <f t="shared" si="2050"/>
        <v>3.7960954446854663E-2</v>
      </c>
      <c r="AD1051" s="139">
        <f t="shared" ref="AD1051:AI1051" si="2109">O1051/$I1051</f>
        <v>0</v>
      </c>
      <c r="AE1051" s="139">
        <f t="shared" si="2109"/>
        <v>0</v>
      </c>
      <c r="AF1051" s="139">
        <f t="shared" si="2109"/>
        <v>0</v>
      </c>
      <c r="AG1051" s="139">
        <f t="shared" si="2109"/>
        <v>0</v>
      </c>
      <c r="AH1051" s="139">
        <f t="shared" si="2109"/>
        <v>2.7114967462039046E-2</v>
      </c>
      <c r="AI1051" s="139">
        <f t="shared" si="2109"/>
        <v>1.0845986984815618E-2</v>
      </c>
    </row>
    <row r="1052" spans="2:35">
      <c r="B1052" s="138" t="s">
        <v>8077</v>
      </c>
      <c r="C1052" s="138" t="s">
        <v>4367</v>
      </c>
      <c r="D1052" s="138" t="s">
        <v>10</v>
      </c>
      <c r="E1052" s="138" t="s">
        <v>10</v>
      </c>
      <c r="F1052" s="138" t="s">
        <v>8176</v>
      </c>
      <c r="H1052" s="138">
        <v>104</v>
      </c>
      <c r="I1052" s="138">
        <v>1002</v>
      </c>
      <c r="K1052" s="138">
        <v>178</v>
      </c>
      <c r="L1052" s="138">
        <v>780</v>
      </c>
      <c r="N1052" s="138">
        <v>3</v>
      </c>
      <c r="O1052" s="138">
        <v>3</v>
      </c>
      <c r="S1052" s="138">
        <v>31</v>
      </c>
      <c r="T1052" s="138">
        <v>7</v>
      </c>
      <c r="U1052" s="138">
        <f t="shared" si="2048"/>
        <v>41</v>
      </c>
      <c r="W1052" s="139">
        <f t="shared" ref="W1052:AA1052" si="2110">J1052/$I1052</f>
        <v>0</v>
      </c>
      <c r="X1052" s="139">
        <f t="shared" si="2110"/>
        <v>0.17764471057884232</v>
      </c>
      <c r="Y1052" s="139">
        <f t="shared" si="2110"/>
        <v>0.77844311377245512</v>
      </c>
      <c r="Z1052" s="139">
        <f t="shared" si="2110"/>
        <v>0</v>
      </c>
      <c r="AA1052" s="139">
        <f t="shared" si="2110"/>
        <v>2.9940119760479044E-3</v>
      </c>
      <c r="AB1052" s="139"/>
      <c r="AC1052" s="139">
        <f t="shared" si="2050"/>
        <v>4.0918163672654689E-2</v>
      </c>
      <c r="AD1052" s="139">
        <f t="shared" ref="AD1052:AI1052" si="2111">O1052/$I1052</f>
        <v>2.9940119760479044E-3</v>
      </c>
      <c r="AE1052" s="139">
        <f t="shared" si="2111"/>
        <v>0</v>
      </c>
      <c r="AF1052" s="139">
        <f t="shared" si="2111"/>
        <v>0</v>
      </c>
      <c r="AG1052" s="139">
        <f t="shared" si="2111"/>
        <v>0</v>
      </c>
      <c r="AH1052" s="139">
        <f t="shared" si="2111"/>
        <v>3.0938123752495009E-2</v>
      </c>
      <c r="AI1052" s="139">
        <f t="shared" si="2111"/>
        <v>6.9860279441117763E-3</v>
      </c>
    </row>
    <row r="1053" spans="2:35">
      <c r="B1053" s="138" t="s">
        <v>8077</v>
      </c>
      <c r="C1053" s="138" t="s">
        <v>4367</v>
      </c>
      <c r="D1053" s="138" t="s">
        <v>10</v>
      </c>
      <c r="E1053" s="138" t="s">
        <v>10</v>
      </c>
      <c r="F1053" s="138" t="s">
        <v>7849</v>
      </c>
      <c r="H1053" s="138">
        <v>105</v>
      </c>
      <c r="I1053" s="138">
        <v>994</v>
      </c>
      <c r="K1053" s="138">
        <v>230</v>
      </c>
      <c r="L1053" s="138">
        <v>719</v>
      </c>
      <c r="N1053" s="138">
        <v>4</v>
      </c>
      <c r="O1053" s="138">
        <v>1</v>
      </c>
      <c r="S1053" s="138">
        <v>30</v>
      </c>
      <c r="T1053" s="138">
        <v>10</v>
      </c>
      <c r="U1053" s="138">
        <f t="shared" si="2048"/>
        <v>41</v>
      </c>
      <c r="W1053" s="139">
        <f t="shared" ref="W1053:AA1053" si="2112">J1053/$I1053</f>
        <v>0</v>
      </c>
      <c r="X1053" s="139">
        <f t="shared" si="2112"/>
        <v>0.23138832997987926</v>
      </c>
      <c r="Y1053" s="139">
        <f t="shared" si="2112"/>
        <v>0.72334004024144871</v>
      </c>
      <c r="Z1053" s="139">
        <f t="shared" si="2112"/>
        <v>0</v>
      </c>
      <c r="AA1053" s="139">
        <f t="shared" si="2112"/>
        <v>4.0241448692152921E-3</v>
      </c>
      <c r="AB1053" s="139"/>
      <c r="AC1053" s="139">
        <f t="shared" si="2050"/>
        <v>4.124748490945674E-2</v>
      </c>
      <c r="AD1053" s="139">
        <f t="shared" ref="AD1053:AI1053" si="2113">O1053/$I1053</f>
        <v>1.006036217303823E-3</v>
      </c>
      <c r="AE1053" s="139">
        <f t="shared" si="2113"/>
        <v>0</v>
      </c>
      <c r="AF1053" s="139">
        <f t="shared" si="2113"/>
        <v>0</v>
      </c>
      <c r="AG1053" s="139">
        <f t="shared" si="2113"/>
        <v>0</v>
      </c>
      <c r="AH1053" s="139">
        <f t="shared" si="2113"/>
        <v>3.0181086519114688E-2</v>
      </c>
      <c r="AI1053" s="139">
        <f t="shared" si="2113"/>
        <v>1.0060362173038229E-2</v>
      </c>
    </row>
    <row r="1054" spans="2:35">
      <c r="B1054" s="138" t="s">
        <v>8077</v>
      </c>
      <c r="C1054" s="138" t="s">
        <v>4367</v>
      </c>
      <c r="D1054" s="138" t="s">
        <v>10</v>
      </c>
      <c r="E1054" s="138" t="s">
        <v>10</v>
      </c>
      <c r="F1054" s="138" t="s">
        <v>7849</v>
      </c>
      <c r="H1054" s="138">
        <v>106</v>
      </c>
      <c r="I1054" s="138">
        <v>1081</v>
      </c>
      <c r="K1054" s="138">
        <v>267</v>
      </c>
      <c r="L1054" s="138">
        <v>766</v>
      </c>
      <c r="N1054" s="138">
        <v>5</v>
      </c>
      <c r="O1054" s="138">
        <v>3</v>
      </c>
      <c r="S1054" s="138">
        <v>35</v>
      </c>
      <c r="T1054" s="138">
        <v>5</v>
      </c>
      <c r="U1054" s="138">
        <f t="shared" si="2048"/>
        <v>43</v>
      </c>
      <c r="W1054" s="139">
        <f t="shared" ref="W1054:AA1054" si="2114">J1054/$I1054</f>
        <v>0</v>
      </c>
      <c r="X1054" s="139">
        <f t="shared" si="2114"/>
        <v>0.24699352451433856</v>
      </c>
      <c r="Y1054" s="139">
        <f t="shared" si="2114"/>
        <v>0.70860314523589274</v>
      </c>
      <c r="Z1054" s="139">
        <f t="shared" si="2114"/>
        <v>0</v>
      </c>
      <c r="AA1054" s="139">
        <f t="shared" si="2114"/>
        <v>4.6253469010175763E-3</v>
      </c>
      <c r="AB1054" s="139"/>
      <c r="AC1054" s="139">
        <f t="shared" si="2050"/>
        <v>3.9777983348751156E-2</v>
      </c>
      <c r="AD1054" s="139">
        <f t="shared" ref="AD1054:AI1054" si="2115">O1054/$I1054</f>
        <v>2.7752081406105457E-3</v>
      </c>
      <c r="AE1054" s="139">
        <f t="shared" si="2115"/>
        <v>0</v>
      </c>
      <c r="AF1054" s="139">
        <f t="shared" si="2115"/>
        <v>0</v>
      </c>
      <c r="AG1054" s="139">
        <f t="shared" si="2115"/>
        <v>0</v>
      </c>
      <c r="AH1054" s="139">
        <f t="shared" si="2115"/>
        <v>3.2377428307123035E-2</v>
      </c>
      <c r="AI1054" s="139">
        <f t="shared" si="2115"/>
        <v>4.6253469010175763E-3</v>
      </c>
    </row>
    <row r="1055" spans="2:35">
      <c r="B1055" s="138" t="s">
        <v>8077</v>
      </c>
      <c r="C1055" s="138" t="s">
        <v>4367</v>
      </c>
      <c r="D1055" s="138" t="s">
        <v>10</v>
      </c>
      <c r="E1055" s="138" t="s">
        <v>10</v>
      </c>
      <c r="F1055" s="138" t="s">
        <v>7849</v>
      </c>
      <c r="H1055" s="138">
        <v>107</v>
      </c>
      <c r="I1055" s="138">
        <v>947</v>
      </c>
      <c r="K1055" s="138">
        <v>231</v>
      </c>
      <c r="L1055" s="138">
        <v>672</v>
      </c>
      <c r="N1055" s="138">
        <v>4</v>
      </c>
      <c r="O1055" s="138">
        <v>1</v>
      </c>
      <c r="S1055" s="138">
        <v>31</v>
      </c>
      <c r="T1055" s="138">
        <v>8</v>
      </c>
      <c r="U1055" s="138">
        <f t="shared" si="2048"/>
        <v>40</v>
      </c>
      <c r="W1055" s="139">
        <f t="shared" ref="W1055:AA1055" si="2116">J1055/$I1055</f>
        <v>0</v>
      </c>
      <c r="X1055" s="139">
        <f t="shared" si="2116"/>
        <v>0.24392819429778248</v>
      </c>
      <c r="Y1055" s="139">
        <f t="shared" si="2116"/>
        <v>0.70960929250263993</v>
      </c>
      <c r="Z1055" s="139">
        <f t="shared" si="2116"/>
        <v>0</v>
      </c>
      <c r="AA1055" s="139">
        <f t="shared" si="2116"/>
        <v>4.2238648363252373E-3</v>
      </c>
      <c r="AB1055" s="139"/>
      <c r="AC1055" s="139">
        <f t="shared" si="2050"/>
        <v>4.2238648363252376E-2</v>
      </c>
      <c r="AD1055" s="139">
        <f t="shared" ref="AD1055:AI1055" si="2117">O1055/$I1055</f>
        <v>1.0559662090813093E-3</v>
      </c>
      <c r="AE1055" s="139">
        <f t="shared" si="2117"/>
        <v>0</v>
      </c>
      <c r="AF1055" s="139">
        <f t="shared" si="2117"/>
        <v>0</v>
      </c>
      <c r="AG1055" s="139">
        <f t="shared" si="2117"/>
        <v>0</v>
      </c>
      <c r="AH1055" s="139">
        <f t="shared" si="2117"/>
        <v>3.2734952481520592E-2</v>
      </c>
      <c r="AI1055" s="139">
        <f t="shared" si="2117"/>
        <v>8.4477296726504746E-3</v>
      </c>
    </row>
    <row r="1056" spans="2:35">
      <c r="B1056" s="138" t="s">
        <v>8077</v>
      </c>
      <c r="C1056" s="138" t="s">
        <v>4367</v>
      </c>
      <c r="D1056" s="138" t="s">
        <v>10</v>
      </c>
      <c r="E1056" s="138" t="s">
        <v>10</v>
      </c>
      <c r="F1056" s="138" t="s">
        <v>7849</v>
      </c>
      <c r="H1056" s="138">
        <v>108</v>
      </c>
      <c r="I1056" s="138">
        <v>981</v>
      </c>
      <c r="K1056" s="138">
        <v>505</v>
      </c>
      <c r="L1056" s="138">
        <v>411</v>
      </c>
      <c r="N1056" s="138">
        <v>8</v>
      </c>
      <c r="O1056" s="138">
        <v>2</v>
      </c>
      <c r="S1056" s="138">
        <v>26</v>
      </c>
      <c r="T1056" s="138">
        <v>29</v>
      </c>
      <c r="U1056" s="138">
        <f t="shared" si="2048"/>
        <v>57</v>
      </c>
      <c r="W1056" s="139">
        <f t="shared" ref="W1056:AA1056" si="2118">J1056/$I1056</f>
        <v>0</v>
      </c>
      <c r="X1056" s="139">
        <f t="shared" si="2118"/>
        <v>0.51478083588175327</v>
      </c>
      <c r="Y1056" s="139">
        <f t="shared" si="2118"/>
        <v>0.41896024464831805</v>
      </c>
      <c r="Z1056" s="139">
        <f t="shared" si="2118"/>
        <v>0</v>
      </c>
      <c r="AA1056" s="139">
        <f t="shared" si="2118"/>
        <v>8.1549439347604492E-3</v>
      </c>
      <c r="AB1056" s="139"/>
      <c r="AC1056" s="139">
        <f t="shared" si="2050"/>
        <v>5.8103975535168197E-2</v>
      </c>
      <c r="AD1056" s="139">
        <f t="shared" ref="AD1056:AI1056" si="2119">O1056/$I1056</f>
        <v>2.0387359836901123E-3</v>
      </c>
      <c r="AE1056" s="139">
        <f t="shared" si="2119"/>
        <v>0</v>
      </c>
      <c r="AF1056" s="139">
        <f t="shared" si="2119"/>
        <v>0</v>
      </c>
      <c r="AG1056" s="139">
        <f t="shared" si="2119"/>
        <v>0</v>
      </c>
      <c r="AH1056" s="139">
        <f t="shared" si="2119"/>
        <v>2.6503567787971458E-2</v>
      </c>
      <c r="AI1056" s="139">
        <f t="shared" si="2119"/>
        <v>2.9561671763506627E-2</v>
      </c>
    </row>
    <row r="1057" spans="2:35">
      <c r="B1057" s="138" t="s">
        <v>8077</v>
      </c>
      <c r="C1057" s="138" t="s">
        <v>4367</v>
      </c>
      <c r="D1057" s="138" t="s">
        <v>10</v>
      </c>
      <c r="E1057" s="138" t="s">
        <v>10</v>
      </c>
      <c r="F1057" s="138" t="s">
        <v>7849</v>
      </c>
      <c r="H1057" s="138">
        <v>109</v>
      </c>
      <c r="I1057" s="138">
        <v>857</v>
      </c>
      <c r="K1057" s="138">
        <v>189</v>
      </c>
      <c r="L1057" s="138">
        <v>619</v>
      </c>
      <c r="N1057" s="138">
        <v>9</v>
      </c>
      <c r="O1057" s="138">
        <v>0</v>
      </c>
      <c r="S1057" s="138">
        <v>31</v>
      </c>
      <c r="T1057" s="138">
        <v>9</v>
      </c>
      <c r="U1057" s="138">
        <f t="shared" si="2048"/>
        <v>40</v>
      </c>
      <c r="W1057" s="139">
        <f t="shared" ref="W1057:AA1057" si="2120">J1057/$I1057</f>
        <v>0</v>
      </c>
      <c r="X1057" s="139">
        <f t="shared" si="2120"/>
        <v>0.220536756126021</v>
      </c>
      <c r="Y1057" s="139">
        <f t="shared" si="2120"/>
        <v>0.72228704784130693</v>
      </c>
      <c r="Z1057" s="139">
        <f t="shared" si="2120"/>
        <v>0</v>
      </c>
      <c r="AA1057" s="139">
        <f t="shared" si="2120"/>
        <v>1.0501750291715286E-2</v>
      </c>
      <c r="AB1057" s="139"/>
      <c r="AC1057" s="139">
        <f t="shared" si="2050"/>
        <v>4.6674445740956826E-2</v>
      </c>
      <c r="AD1057" s="139">
        <f t="shared" ref="AD1057:AI1057" si="2121">O1057/$I1057</f>
        <v>0</v>
      </c>
      <c r="AE1057" s="139">
        <f t="shared" si="2121"/>
        <v>0</v>
      </c>
      <c r="AF1057" s="139">
        <f t="shared" si="2121"/>
        <v>0</v>
      </c>
      <c r="AG1057" s="139">
        <f t="shared" si="2121"/>
        <v>0</v>
      </c>
      <c r="AH1057" s="139">
        <f t="shared" si="2121"/>
        <v>3.6172695449241538E-2</v>
      </c>
      <c r="AI1057" s="139">
        <f t="shared" si="2121"/>
        <v>1.0501750291715286E-2</v>
      </c>
    </row>
    <row r="1058" spans="2:35">
      <c r="B1058" s="138" t="s">
        <v>8077</v>
      </c>
      <c r="C1058" s="138" t="s">
        <v>4367</v>
      </c>
      <c r="D1058" s="138" t="s">
        <v>10</v>
      </c>
      <c r="E1058" s="138" t="s">
        <v>10</v>
      </c>
      <c r="F1058" s="138" t="s">
        <v>8177</v>
      </c>
      <c r="H1058" s="138">
        <v>110</v>
      </c>
      <c r="I1058" s="138">
        <v>961</v>
      </c>
      <c r="K1058" s="138">
        <v>152</v>
      </c>
      <c r="L1058" s="138">
        <v>785</v>
      </c>
      <c r="N1058" s="138">
        <v>1</v>
      </c>
      <c r="O1058" s="138">
        <v>2</v>
      </c>
      <c r="S1058" s="138">
        <v>17</v>
      </c>
      <c r="T1058" s="138">
        <v>4</v>
      </c>
      <c r="U1058" s="138">
        <f t="shared" si="2048"/>
        <v>23</v>
      </c>
      <c r="W1058" s="139">
        <f t="shared" ref="W1058:AA1058" si="2122">J1058/$I1058</f>
        <v>0</v>
      </c>
      <c r="X1058" s="139">
        <f t="shared" si="2122"/>
        <v>0.15816857440166493</v>
      </c>
      <c r="Y1058" s="139">
        <f t="shared" si="2122"/>
        <v>0.8168574401664932</v>
      </c>
      <c r="Z1058" s="139">
        <f t="shared" si="2122"/>
        <v>0</v>
      </c>
      <c r="AA1058" s="139">
        <f t="shared" si="2122"/>
        <v>1.0405827263267431E-3</v>
      </c>
      <c r="AB1058" s="139"/>
      <c r="AC1058" s="139">
        <f t="shared" si="2050"/>
        <v>2.3933402705515087E-2</v>
      </c>
      <c r="AD1058" s="139">
        <f t="shared" ref="AD1058:AI1058" si="2123">O1058/$I1058</f>
        <v>2.0811654526534861E-3</v>
      </c>
      <c r="AE1058" s="139">
        <f t="shared" si="2123"/>
        <v>0</v>
      </c>
      <c r="AF1058" s="139">
        <f t="shared" si="2123"/>
        <v>0</v>
      </c>
      <c r="AG1058" s="139">
        <f t="shared" si="2123"/>
        <v>0</v>
      </c>
      <c r="AH1058" s="139">
        <f t="shared" si="2123"/>
        <v>1.7689906347554629E-2</v>
      </c>
      <c r="AI1058" s="139">
        <f t="shared" si="2123"/>
        <v>4.1623309053069723E-3</v>
      </c>
    </row>
    <row r="1059" spans="2:35">
      <c r="B1059" s="138" t="s">
        <v>8077</v>
      </c>
      <c r="C1059" s="138" t="s">
        <v>4367</v>
      </c>
      <c r="D1059" s="138" t="s">
        <v>10</v>
      </c>
      <c r="E1059" s="138" t="s">
        <v>10</v>
      </c>
      <c r="F1059" s="138" t="s">
        <v>8177</v>
      </c>
      <c r="H1059" s="138">
        <v>111</v>
      </c>
      <c r="I1059" s="138">
        <v>790</v>
      </c>
      <c r="K1059" s="138">
        <v>131</v>
      </c>
      <c r="L1059" s="138">
        <v>640</v>
      </c>
      <c r="N1059" s="138">
        <v>1</v>
      </c>
      <c r="O1059" s="138">
        <v>3</v>
      </c>
      <c r="S1059" s="138">
        <v>9</v>
      </c>
      <c r="T1059" s="138">
        <v>6</v>
      </c>
      <c r="U1059" s="138">
        <f t="shared" si="2048"/>
        <v>18</v>
      </c>
      <c r="W1059" s="139">
        <f t="shared" ref="W1059:AA1059" si="2124">J1059/$I1059</f>
        <v>0</v>
      </c>
      <c r="X1059" s="139">
        <f t="shared" si="2124"/>
        <v>0.16582278481012658</v>
      </c>
      <c r="Y1059" s="139">
        <f t="shared" si="2124"/>
        <v>0.810126582278481</v>
      </c>
      <c r="Z1059" s="139">
        <f t="shared" si="2124"/>
        <v>0</v>
      </c>
      <c r="AA1059" s="139">
        <f t="shared" si="2124"/>
        <v>1.2658227848101266E-3</v>
      </c>
      <c r="AB1059" s="139"/>
      <c r="AC1059" s="139">
        <f t="shared" si="2050"/>
        <v>2.2784810126582278E-2</v>
      </c>
      <c r="AD1059" s="139">
        <f t="shared" ref="AD1059:AI1059" si="2125">O1059/$I1059</f>
        <v>3.7974683544303796E-3</v>
      </c>
      <c r="AE1059" s="139">
        <f t="shared" si="2125"/>
        <v>0</v>
      </c>
      <c r="AF1059" s="139">
        <f t="shared" si="2125"/>
        <v>0</v>
      </c>
      <c r="AG1059" s="139">
        <f t="shared" si="2125"/>
        <v>0</v>
      </c>
      <c r="AH1059" s="139">
        <f t="shared" si="2125"/>
        <v>1.1392405063291139E-2</v>
      </c>
      <c r="AI1059" s="139">
        <f t="shared" si="2125"/>
        <v>7.5949367088607592E-3</v>
      </c>
    </row>
    <row r="1060" spans="2:35">
      <c r="B1060" s="138" t="s">
        <v>8077</v>
      </c>
      <c r="C1060" s="138" t="s">
        <v>4367</v>
      </c>
      <c r="D1060" s="138" t="s">
        <v>10</v>
      </c>
      <c r="E1060" s="138" t="s">
        <v>10</v>
      </c>
      <c r="F1060" s="138" t="s">
        <v>8177</v>
      </c>
      <c r="H1060" s="138">
        <v>112</v>
      </c>
      <c r="I1060" s="138">
        <v>711</v>
      </c>
      <c r="K1060" s="138">
        <v>153</v>
      </c>
      <c r="L1060" s="138">
        <v>522</v>
      </c>
      <c r="N1060" s="138">
        <v>2</v>
      </c>
      <c r="O1060" s="138">
        <v>3</v>
      </c>
      <c r="S1060" s="138">
        <v>27</v>
      </c>
      <c r="T1060" s="138">
        <v>4</v>
      </c>
      <c r="U1060" s="138">
        <f t="shared" si="2048"/>
        <v>34</v>
      </c>
      <c r="W1060" s="139">
        <f t="shared" ref="W1060:AA1060" si="2126">J1060/$I1060</f>
        <v>0</v>
      </c>
      <c r="X1060" s="139">
        <f t="shared" si="2126"/>
        <v>0.21518987341772153</v>
      </c>
      <c r="Y1060" s="139">
        <f t="shared" si="2126"/>
        <v>0.73417721518987344</v>
      </c>
      <c r="Z1060" s="139">
        <f t="shared" si="2126"/>
        <v>0</v>
      </c>
      <c r="AA1060" s="139">
        <f t="shared" si="2126"/>
        <v>2.8129395218002813E-3</v>
      </c>
      <c r="AB1060" s="139"/>
      <c r="AC1060" s="139">
        <f t="shared" si="2050"/>
        <v>4.7819971870604779E-2</v>
      </c>
      <c r="AD1060" s="139">
        <f t="shared" ref="AD1060:AI1060" si="2127">O1060/$I1060</f>
        <v>4.2194092827004216E-3</v>
      </c>
      <c r="AE1060" s="139">
        <f t="shared" si="2127"/>
        <v>0</v>
      </c>
      <c r="AF1060" s="139">
        <f t="shared" si="2127"/>
        <v>0</v>
      </c>
      <c r="AG1060" s="139">
        <f t="shared" si="2127"/>
        <v>0</v>
      </c>
      <c r="AH1060" s="139">
        <f t="shared" si="2127"/>
        <v>3.7974683544303799E-2</v>
      </c>
      <c r="AI1060" s="139">
        <f t="shared" si="2127"/>
        <v>5.6258790436005627E-3</v>
      </c>
    </row>
    <row r="1061" spans="2:35">
      <c r="B1061" s="138" t="s">
        <v>8077</v>
      </c>
      <c r="C1061" s="138" t="s">
        <v>4367</v>
      </c>
      <c r="D1061" s="138" t="s">
        <v>10</v>
      </c>
      <c r="E1061" s="138" t="s">
        <v>10</v>
      </c>
      <c r="F1061" s="138" t="s">
        <v>8177</v>
      </c>
      <c r="H1061" s="138">
        <v>113</v>
      </c>
      <c r="I1061" s="138">
        <v>978</v>
      </c>
      <c r="K1061" s="138">
        <v>538</v>
      </c>
      <c r="L1061" s="138">
        <v>375</v>
      </c>
      <c r="N1061" s="138">
        <v>19</v>
      </c>
      <c r="O1061" s="138">
        <v>10</v>
      </c>
      <c r="S1061" s="138">
        <v>13</v>
      </c>
      <c r="T1061" s="138">
        <v>23</v>
      </c>
      <c r="U1061" s="138">
        <f t="shared" si="2048"/>
        <v>46</v>
      </c>
      <c r="W1061" s="139">
        <f t="shared" ref="W1061:AA1061" si="2128">J1061/$I1061</f>
        <v>0</v>
      </c>
      <c r="X1061" s="139">
        <f t="shared" si="2128"/>
        <v>0.55010224948875253</v>
      </c>
      <c r="Y1061" s="139">
        <f t="shared" si="2128"/>
        <v>0.3834355828220859</v>
      </c>
      <c r="Z1061" s="139">
        <f t="shared" si="2128"/>
        <v>0</v>
      </c>
      <c r="AA1061" s="139">
        <f t="shared" si="2128"/>
        <v>1.9427402862985686E-2</v>
      </c>
      <c r="AB1061" s="139"/>
      <c r="AC1061" s="139">
        <f t="shared" si="2050"/>
        <v>4.7034764826175871E-2</v>
      </c>
      <c r="AD1061" s="139">
        <f t="shared" ref="AD1061:AI1061" si="2129">O1061/$I1061</f>
        <v>1.0224948875255624E-2</v>
      </c>
      <c r="AE1061" s="139">
        <f t="shared" si="2129"/>
        <v>0</v>
      </c>
      <c r="AF1061" s="139">
        <f t="shared" si="2129"/>
        <v>0</v>
      </c>
      <c r="AG1061" s="139">
        <f t="shared" si="2129"/>
        <v>0</v>
      </c>
      <c r="AH1061" s="139">
        <f t="shared" si="2129"/>
        <v>1.3292433537832311E-2</v>
      </c>
      <c r="AI1061" s="139">
        <f t="shared" si="2129"/>
        <v>2.3517382413087935E-2</v>
      </c>
    </row>
    <row r="1062" spans="2:35">
      <c r="B1062" s="138" t="s">
        <v>8077</v>
      </c>
      <c r="C1062" s="138" t="s">
        <v>4367</v>
      </c>
      <c r="D1062" s="138" t="s">
        <v>10</v>
      </c>
      <c r="E1062" s="138" t="s">
        <v>10</v>
      </c>
      <c r="F1062" s="138" t="s">
        <v>7845</v>
      </c>
      <c r="H1062" s="138">
        <v>114</v>
      </c>
      <c r="I1062" s="138">
        <v>724</v>
      </c>
      <c r="K1062" s="138">
        <v>225</v>
      </c>
      <c r="L1062" s="138">
        <v>474</v>
      </c>
      <c r="N1062" s="138">
        <v>5</v>
      </c>
      <c r="O1062" s="138">
        <v>1</v>
      </c>
      <c r="S1062" s="138">
        <v>14</v>
      </c>
      <c r="T1062" s="138">
        <v>5</v>
      </c>
      <c r="U1062" s="138">
        <f t="shared" si="2048"/>
        <v>20</v>
      </c>
      <c r="W1062" s="139">
        <f t="shared" ref="W1062:AA1062" si="2130">J1062/$I1062</f>
        <v>0</v>
      </c>
      <c r="X1062" s="139">
        <f t="shared" si="2130"/>
        <v>0.31077348066298344</v>
      </c>
      <c r="Y1062" s="139">
        <f t="shared" si="2130"/>
        <v>0.65469613259668513</v>
      </c>
      <c r="Z1062" s="139">
        <f t="shared" si="2130"/>
        <v>0</v>
      </c>
      <c r="AA1062" s="139">
        <f t="shared" si="2130"/>
        <v>6.9060773480662981E-3</v>
      </c>
      <c r="AB1062" s="139"/>
      <c r="AC1062" s="139">
        <f t="shared" si="2050"/>
        <v>2.7624309392265192E-2</v>
      </c>
      <c r="AD1062" s="139">
        <f t="shared" ref="AD1062:AI1062" si="2131">O1062/$I1062</f>
        <v>1.3812154696132596E-3</v>
      </c>
      <c r="AE1062" s="139">
        <f t="shared" si="2131"/>
        <v>0</v>
      </c>
      <c r="AF1062" s="139">
        <f t="shared" si="2131"/>
        <v>0</v>
      </c>
      <c r="AG1062" s="139">
        <f t="shared" si="2131"/>
        <v>0</v>
      </c>
      <c r="AH1062" s="139">
        <f t="shared" si="2131"/>
        <v>1.9337016574585635E-2</v>
      </c>
      <c r="AI1062" s="139">
        <f t="shared" si="2131"/>
        <v>6.9060773480662981E-3</v>
      </c>
    </row>
    <row r="1063" spans="2:35">
      <c r="B1063" s="138" t="s">
        <v>8077</v>
      </c>
      <c r="C1063" s="138" t="s">
        <v>4367</v>
      </c>
      <c r="D1063" s="138" t="s">
        <v>10</v>
      </c>
      <c r="E1063" s="138" t="s">
        <v>10</v>
      </c>
      <c r="F1063" s="138" t="s">
        <v>7845</v>
      </c>
      <c r="H1063" s="138">
        <v>115</v>
      </c>
      <c r="I1063" s="138">
        <v>677</v>
      </c>
      <c r="K1063" s="138">
        <v>104</v>
      </c>
      <c r="L1063" s="138">
        <v>547</v>
      </c>
      <c r="N1063" s="138">
        <v>4</v>
      </c>
      <c r="O1063" s="138">
        <v>3</v>
      </c>
      <c r="S1063" s="138">
        <v>15</v>
      </c>
      <c r="T1063" s="138">
        <v>4</v>
      </c>
      <c r="U1063" s="138">
        <f t="shared" si="2048"/>
        <v>22</v>
      </c>
      <c r="W1063" s="139">
        <f t="shared" ref="W1063:AA1063" si="2132">J1063/$I1063</f>
        <v>0</v>
      </c>
      <c r="X1063" s="139">
        <f t="shared" si="2132"/>
        <v>0.15361890694239291</v>
      </c>
      <c r="Y1063" s="139">
        <f t="shared" si="2132"/>
        <v>0.80797636632200887</v>
      </c>
      <c r="Z1063" s="139">
        <f t="shared" si="2132"/>
        <v>0</v>
      </c>
      <c r="AA1063" s="139">
        <f t="shared" si="2132"/>
        <v>5.9084194977843431E-3</v>
      </c>
      <c r="AB1063" s="139"/>
      <c r="AC1063" s="139">
        <f t="shared" si="2050"/>
        <v>3.2496307237813882E-2</v>
      </c>
      <c r="AD1063" s="139">
        <f t="shared" ref="AD1063:AI1063" si="2133">O1063/$I1063</f>
        <v>4.4313146233382573E-3</v>
      </c>
      <c r="AE1063" s="139">
        <f t="shared" si="2133"/>
        <v>0</v>
      </c>
      <c r="AF1063" s="139">
        <f t="shared" si="2133"/>
        <v>0</v>
      </c>
      <c r="AG1063" s="139">
        <f t="shared" si="2133"/>
        <v>0</v>
      </c>
      <c r="AH1063" s="139">
        <f t="shared" si="2133"/>
        <v>2.2156573116691284E-2</v>
      </c>
      <c r="AI1063" s="139">
        <f t="shared" si="2133"/>
        <v>5.9084194977843431E-3</v>
      </c>
    </row>
    <row r="1064" spans="2:35">
      <c r="B1064" s="138" t="s">
        <v>8077</v>
      </c>
      <c r="C1064" s="138" t="s">
        <v>4367</v>
      </c>
      <c r="D1064" s="138" t="s">
        <v>10</v>
      </c>
      <c r="E1064" s="138" t="s">
        <v>10</v>
      </c>
      <c r="F1064" s="138" t="s">
        <v>7845</v>
      </c>
      <c r="H1064" s="138">
        <v>116</v>
      </c>
      <c r="I1064" s="138">
        <v>815</v>
      </c>
      <c r="K1064" s="138">
        <v>402</v>
      </c>
      <c r="L1064" s="138">
        <v>383</v>
      </c>
      <c r="N1064" s="138">
        <v>6</v>
      </c>
      <c r="O1064" s="138">
        <v>1</v>
      </c>
      <c r="S1064" s="138">
        <v>16</v>
      </c>
      <c r="T1064" s="138">
        <v>7</v>
      </c>
      <c r="U1064" s="138">
        <f t="shared" si="2048"/>
        <v>24</v>
      </c>
      <c r="W1064" s="139">
        <f t="shared" ref="W1064:AA1064" si="2134">J1064/$I1064</f>
        <v>0</v>
      </c>
      <c r="X1064" s="139">
        <f t="shared" si="2134"/>
        <v>0.49325153374233127</v>
      </c>
      <c r="Y1064" s="139">
        <f t="shared" si="2134"/>
        <v>0.46993865030674847</v>
      </c>
      <c r="Z1064" s="139">
        <f t="shared" si="2134"/>
        <v>0</v>
      </c>
      <c r="AA1064" s="139">
        <f t="shared" si="2134"/>
        <v>7.3619631901840491E-3</v>
      </c>
      <c r="AB1064" s="139"/>
      <c r="AC1064" s="139">
        <f t="shared" si="2050"/>
        <v>2.9447852760736196E-2</v>
      </c>
      <c r="AD1064" s="139">
        <f t="shared" ref="AD1064:AI1064" si="2135">O1064/$I1064</f>
        <v>1.2269938650306749E-3</v>
      </c>
      <c r="AE1064" s="139">
        <f t="shared" si="2135"/>
        <v>0</v>
      </c>
      <c r="AF1064" s="139">
        <f t="shared" si="2135"/>
        <v>0</v>
      </c>
      <c r="AG1064" s="139">
        <f t="shared" si="2135"/>
        <v>0</v>
      </c>
      <c r="AH1064" s="139">
        <f t="shared" si="2135"/>
        <v>1.9631901840490799E-2</v>
      </c>
      <c r="AI1064" s="139">
        <f t="shared" si="2135"/>
        <v>8.5889570552147246E-3</v>
      </c>
    </row>
    <row r="1065" spans="2:35">
      <c r="B1065" s="138" t="s">
        <v>8077</v>
      </c>
      <c r="C1065" s="138" t="s">
        <v>4367</v>
      </c>
      <c r="D1065" s="138" t="s">
        <v>10</v>
      </c>
      <c r="E1065" s="138" t="s">
        <v>10</v>
      </c>
      <c r="F1065" s="138" t="s">
        <v>893</v>
      </c>
      <c r="H1065" s="138">
        <v>117</v>
      </c>
      <c r="I1065" s="138">
        <v>753</v>
      </c>
      <c r="K1065" s="138">
        <v>331</v>
      </c>
      <c r="L1065" s="138">
        <v>388</v>
      </c>
      <c r="N1065" s="138">
        <v>9</v>
      </c>
      <c r="O1065" s="138">
        <v>2</v>
      </c>
      <c r="S1065" s="138">
        <v>20</v>
      </c>
      <c r="T1065" s="138">
        <v>3</v>
      </c>
      <c r="U1065" s="138">
        <f t="shared" si="2048"/>
        <v>25</v>
      </c>
      <c r="W1065" s="139">
        <f t="shared" ref="W1065:AA1065" si="2136">J1065/$I1065</f>
        <v>0</v>
      </c>
      <c r="X1065" s="139">
        <f t="shared" si="2136"/>
        <v>0.43957503320053121</v>
      </c>
      <c r="Y1065" s="139">
        <f t="shared" si="2136"/>
        <v>0.51527224435590968</v>
      </c>
      <c r="Z1065" s="139">
        <f t="shared" si="2136"/>
        <v>0</v>
      </c>
      <c r="AA1065" s="139">
        <f t="shared" si="2136"/>
        <v>1.1952191235059761E-2</v>
      </c>
      <c r="AB1065" s="139"/>
      <c r="AC1065" s="139">
        <f t="shared" si="2050"/>
        <v>3.3200531208499334E-2</v>
      </c>
      <c r="AD1065" s="139">
        <f t="shared" ref="AD1065:AI1065" si="2137">O1065/$I1065</f>
        <v>2.6560424966799467E-3</v>
      </c>
      <c r="AE1065" s="139">
        <f t="shared" si="2137"/>
        <v>0</v>
      </c>
      <c r="AF1065" s="139">
        <f t="shared" si="2137"/>
        <v>0</v>
      </c>
      <c r="AG1065" s="139">
        <f t="shared" si="2137"/>
        <v>0</v>
      </c>
      <c r="AH1065" s="139">
        <f t="shared" si="2137"/>
        <v>2.6560424966799469E-2</v>
      </c>
      <c r="AI1065" s="139">
        <f t="shared" si="2137"/>
        <v>3.9840637450199202E-3</v>
      </c>
    </row>
    <row r="1066" spans="2:35">
      <c r="B1066" s="138" t="s">
        <v>8077</v>
      </c>
      <c r="C1066" s="138" t="s">
        <v>4367</v>
      </c>
      <c r="D1066" s="138" t="s">
        <v>10</v>
      </c>
      <c r="E1066" s="138" t="s">
        <v>10</v>
      </c>
      <c r="F1066" s="138" t="s">
        <v>893</v>
      </c>
      <c r="H1066" s="138">
        <v>118</v>
      </c>
      <c r="I1066" s="138">
        <v>648</v>
      </c>
      <c r="K1066" s="138">
        <v>101</v>
      </c>
      <c r="L1066" s="138">
        <v>524</v>
      </c>
      <c r="N1066" s="138">
        <v>4</v>
      </c>
      <c r="O1066" s="138">
        <v>2</v>
      </c>
      <c r="S1066" s="138">
        <v>14</v>
      </c>
      <c r="T1066" s="138">
        <v>3</v>
      </c>
      <c r="U1066" s="138">
        <f t="shared" si="2048"/>
        <v>19</v>
      </c>
      <c r="W1066" s="139">
        <f t="shared" ref="W1066:AA1066" si="2138">J1066/$I1066</f>
        <v>0</v>
      </c>
      <c r="X1066" s="139">
        <f t="shared" si="2138"/>
        <v>0.1558641975308642</v>
      </c>
      <c r="Y1066" s="139">
        <f t="shared" si="2138"/>
        <v>0.80864197530864201</v>
      </c>
      <c r="Z1066" s="139">
        <f t="shared" si="2138"/>
        <v>0</v>
      </c>
      <c r="AA1066" s="139">
        <f t="shared" si="2138"/>
        <v>6.1728395061728392E-3</v>
      </c>
      <c r="AB1066" s="139"/>
      <c r="AC1066" s="139">
        <f t="shared" si="2050"/>
        <v>2.9320987654320986E-2</v>
      </c>
      <c r="AD1066" s="139">
        <f t="shared" ref="AD1066:AI1066" si="2139">O1066/$I1066</f>
        <v>3.0864197530864196E-3</v>
      </c>
      <c r="AE1066" s="139">
        <f t="shared" si="2139"/>
        <v>0</v>
      </c>
      <c r="AF1066" s="139">
        <f t="shared" si="2139"/>
        <v>0</v>
      </c>
      <c r="AG1066" s="139">
        <f t="shared" si="2139"/>
        <v>0</v>
      </c>
      <c r="AH1066" s="139">
        <f t="shared" si="2139"/>
        <v>2.1604938271604937E-2</v>
      </c>
      <c r="AI1066" s="139">
        <f t="shared" si="2139"/>
        <v>4.6296296296296294E-3</v>
      </c>
    </row>
    <row r="1067" spans="2:35">
      <c r="B1067" s="138" t="s">
        <v>8077</v>
      </c>
      <c r="C1067" s="138" t="s">
        <v>4367</v>
      </c>
      <c r="D1067" s="138" t="s">
        <v>10</v>
      </c>
      <c r="E1067" s="138" t="s">
        <v>10</v>
      </c>
      <c r="F1067" s="138" t="s">
        <v>7846</v>
      </c>
      <c r="H1067" s="138">
        <v>119</v>
      </c>
      <c r="I1067" s="138">
        <v>836</v>
      </c>
      <c r="K1067" s="138">
        <v>187</v>
      </c>
      <c r="L1067" s="138">
        <v>618</v>
      </c>
      <c r="N1067" s="138">
        <v>2</v>
      </c>
      <c r="O1067" s="138">
        <v>0</v>
      </c>
      <c r="S1067" s="138">
        <v>29</v>
      </c>
      <c r="T1067" s="138">
        <v>0</v>
      </c>
      <c r="U1067" s="138">
        <f t="shared" si="2048"/>
        <v>29</v>
      </c>
      <c r="W1067" s="139">
        <f t="shared" ref="W1067:AA1067" si="2140">J1067/$I1067</f>
        <v>0</v>
      </c>
      <c r="X1067" s="139">
        <f t="shared" si="2140"/>
        <v>0.22368421052631579</v>
      </c>
      <c r="Y1067" s="139">
        <f t="shared" si="2140"/>
        <v>0.73923444976076558</v>
      </c>
      <c r="Z1067" s="139">
        <f t="shared" si="2140"/>
        <v>0</v>
      </c>
      <c r="AA1067" s="139">
        <f t="shared" si="2140"/>
        <v>2.3923444976076554E-3</v>
      </c>
      <c r="AB1067" s="139"/>
      <c r="AC1067" s="139">
        <f t="shared" si="2050"/>
        <v>3.4688995215311005E-2</v>
      </c>
      <c r="AD1067" s="139">
        <f t="shared" ref="AD1067:AI1067" si="2141">O1067/$I1067</f>
        <v>0</v>
      </c>
      <c r="AE1067" s="139">
        <f t="shared" si="2141"/>
        <v>0</v>
      </c>
      <c r="AF1067" s="139">
        <f t="shared" si="2141"/>
        <v>0</v>
      </c>
      <c r="AG1067" s="139">
        <f t="shared" si="2141"/>
        <v>0</v>
      </c>
      <c r="AH1067" s="139">
        <f t="shared" si="2141"/>
        <v>3.4688995215311005E-2</v>
      </c>
      <c r="AI1067" s="139">
        <f t="shared" si="2141"/>
        <v>0</v>
      </c>
    </row>
    <row r="1068" spans="2:35">
      <c r="B1068" s="138" t="s">
        <v>8077</v>
      </c>
      <c r="C1068" s="138" t="s">
        <v>4367</v>
      </c>
      <c r="D1068" s="138" t="s">
        <v>10</v>
      </c>
      <c r="E1068" s="138" t="s">
        <v>10</v>
      </c>
      <c r="F1068" s="138" t="s">
        <v>7846</v>
      </c>
      <c r="H1068" s="138">
        <v>120</v>
      </c>
      <c r="I1068" s="138">
        <v>991</v>
      </c>
      <c r="K1068" s="138">
        <v>208</v>
      </c>
      <c r="L1068" s="138">
        <v>752</v>
      </c>
      <c r="N1068" s="138">
        <v>2</v>
      </c>
      <c r="O1068" s="138">
        <v>0</v>
      </c>
      <c r="S1068" s="138">
        <v>23</v>
      </c>
      <c r="T1068" s="138">
        <v>6</v>
      </c>
      <c r="U1068" s="138">
        <f t="shared" si="2048"/>
        <v>29</v>
      </c>
      <c r="W1068" s="139">
        <f t="shared" ref="W1068:AA1068" si="2142">J1068/$I1068</f>
        <v>0</v>
      </c>
      <c r="X1068" s="139">
        <f t="shared" si="2142"/>
        <v>0.20988900100908173</v>
      </c>
      <c r="Y1068" s="139">
        <f t="shared" si="2142"/>
        <v>0.75882946518668015</v>
      </c>
      <c r="Z1068" s="139">
        <f t="shared" si="2142"/>
        <v>0</v>
      </c>
      <c r="AA1068" s="139">
        <f t="shared" si="2142"/>
        <v>2.0181634712411706E-3</v>
      </c>
      <c r="AB1068" s="139"/>
      <c r="AC1068" s="139">
        <f t="shared" si="2050"/>
        <v>2.9263370332996974E-2</v>
      </c>
      <c r="AD1068" s="139">
        <f t="shared" ref="AD1068:AI1068" si="2143">O1068/$I1068</f>
        <v>0</v>
      </c>
      <c r="AE1068" s="139">
        <f t="shared" si="2143"/>
        <v>0</v>
      </c>
      <c r="AF1068" s="139">
        <f t="shared" si="2143"/>
        <v>0</v>
      </c>
      <c r="AG1068" s="139">
        <f t="shared" si="2143"/>
        <v>0</v>
      </c>
      <c r="AH1068" s="139">
        <f t="shared" si="2143"/>
        <v>2.3208879919273461E-2</v>
      </c>
      <c r="AI1068" s="139">
        <f t="shared" si="2143"/>
        <v>6.0544904137235112E-3</v>
      </c>
    </row>
    <row r="1069" spans="2:35">
      <c r="B1069" s="138" t="s">
        <v>8077</v>
      </c>
      <c r="C1069" s="138" t="s">
        <v>4367</v>
      </c>
      <c r="D1069" s="138" t="s">
        <v>10</v>
      </c>
      <c r="E1069" s="138" t="s">
        <v>10</v>
      </c>
      <c r="F1069" s="138" t="s">
        <v>7846</v>
      </c>
      <c r="H1069" s="138">
        <v>121</v>
      </c>
      <c r="I1069" s="138">
        <v>1091</v>
      </c>
      <c r="K1069" s="138">
        <v>410</v>
      </c>
      <c r="L1069" s="138">
        <v>639</v>
      </c>
      <c r="N1069" s="138">
        <v>9</v>
      </c>
      <c r="O1069" s="138">
        <v>2</v>
      </c>
      <c r="S1069" s="138">
        <v>22</v>
      </c>
      <c r="T1069" s="138">
        <v>9</v>
      </c>
      <c r="U1069" s="138">
        <f t="shared" si="2048"/>
        <v>33</v>
      </c>
      <c r="W1069" s="139">
        <f t="shared" ref="W1069:AA1069" si="2144">J1069/$I1069</f>
        <v>0</v>
      </c>
      <c r="X1069" s="139">
        <f t="shared" si="2144"/>
        <v>0.3758020164986251</v>
      </c>
      <c r="Y1069" s="139">
        <f t="shared" si="2144"/>
        <v>0.58570119156736944</v>
      </c>
      <c r="Z1069" s="139">
        <f t="shared" si="2144"/>
        <v>0</v>
      </c>
      <c r="AA1069" s="139">
        <f t="shared" si="2144"/>
        <v>8.2493125572868919E-3</v>
      </c>
      <c r="AB1069" s="139"/>
      <c r="AC1069" s="139">
        <f t="shared" si="2050"/>
        <v>3.0247479376718608E-2</v>
      </c>
      <c r="AD1069" s="139">
        <f t="shared" ref="AD1069:AI1069" si="2145">O1069/$I1069</f>
        <v>1.8331805682859762E-3</v>
      </c>
      <c r="AE1069" s="139">
        <f t="shared" si="2145"/>
        <v>0</v>
      </c>
      <c r="AF1069" s="139">
        <f t="shared" si="2145"/>
        <v>0</v>
      </c>
      <c r="AG1069" s="139">
        <f t="shared" si="2145"/>
        <v>0</v>
      </c>
      <c r="AH1069" s="139">
        <f t="shared" si="2145"/>
        <v>2.0164986251145739E-2</v>
      </c>
      <c r="AI1069" s="139">
        <f t="shared" si="2145"/>
        <v>8.2493125572868919E-3</v>
      </c>
    </row>
    <row r="1070" spans="2:35">
      <c r="B1070" s="138" t="s">
        <v>8077</v>
      </c>
      <c r="C1070" s="138" t="s">
        <v>4367</v>
      </c>
      <c r="D1070" s="138" t="s">
        <v>10</v>
      </c>
      <c r="E1070" s="138" t="s">
        <v>10</v>
      </c>
      <c r="F1070" s="138" t="s">
        <v>7847</v>
      </c>
      <c r="H1070" s="138">
        <v>122</v>
      </c>
      <c r="I1070" s="138">
        <v>968</v>
      </c>
      <c r="K1070" s="138">
        <v>162</v>
      </c>
      <c r="L1070" s="138">
        <v>780</v>
      </c>
      <c r="N1070" s="138">
        <v>3</v>
      </c>
      <c r="O1070" s="138">
        <v>2</v>
      </c>
      <c r="S1070" s="138">
        <v>19</v>
      </c>
      <c r="T1070" s="138">
        <v>2</v>
      </c>
      <c r="U1070" s="138">
        <f t="shared" si="2048"/>
        <v>23</v>
      </c>
      <c r="W1070" s="139">
        <f t="shared" ref="W1070:AA1070" si="2146">J1070/$I1070</f>
        <v>0</v>
      </c>
      <c r="X1070" s="139">
        <f t="shared" si="2146"/>
        <v>0.16735537190082644</v>
      </c>
      <c r="Y1070" s="139">
        <f t="shared" si="2146"/>
        <v>0.80578512396694213</v>
      </c>
      <c r="Z1070" s="139">
        <f t="shared" si="2146"/>
        <v>0</v>
      </c>
      <c r="AA1070" s="139">
        <f t="shared" si="2146"/>
        <v>3.0991735537190084E-3</v>
      </c>
      <c r="AB1070" s="139"/>
      <c r="AC1070" s="139">
        <f t="shared" si="2050"/>
        <v>2.3760330578512397E-2</v>
      </c>
      <c r="AD1070" s="139">
        <f t="shared" ref="AD1070:AI1070" si="2147">O1070/$I1070</f>
        <v>2.0661157024793389E-3</v>
      </c>
      <c r="AE1070" s="139">
        <f t="shared" si="2147"/>
        <v>0</v>
      </c>
      <c r="AF1070" s="139">
        <f t="shared" si="2147"/>
        <v>0</v>
      </c>
      <c r="AG1070" s="139">
        <f t="shared" si="2147"/>
        <v>0</v>
      </c>
      <c r="AH1070" s="139">
        <f t="shared" si="2147"/>
        <v>1.962809917355372E-2</v>
      </c>
      <c r="AI1070" s="139">
        <f t="shared" si="2147"/>
        <v>2.0661157024793389E-3</v>
      </c>
    </row>
    <row r="1071" spans="2:35">
      <c r="B1071" s="138" t="s">
        <v>8077</v>
      </c>
      <c r="C1071" s="138" t="s">
        <v>4367</v>
      </c>
      <c r="D1071" s="138" t="s">
        <v>10</v>
      </c>
      <c r="E1071" s="138" t="s">
        <v>10</v>
      </c>
      <c r="F1071" s="138" t="s">
        <v>7847</v>
      </c>
      <c r="H1071" s="138">
        <v>123</v>
      </c>
      <c r="I1071" s="138">
        <v>1001</v>
      </c>
      <c r="K1071" s="138">
        <v>263</v>
      </c>
      <c r="L1071" s="138">
        <v>720</v>
      </c>
      <c r="N1071" s="138">
        <v>4</v>
      </c>
      <c r="O1071" s="138" t="s">
        <v>8178</v>
      </c>
      <c r="S1071" s="138">
        <v>8</v>
      </c>
      <c r="T1071" s="138">
        <v>6</v>
      </c>
      <c r="U1071" s="138">
        <f t="shared" si="2048"/>
        <v>14</v>
      </c>
      <c r="W1071" s="139">
        <f t="shared" ref="W1071:AA1071" si="2148">J1071/$I1071</f>
        <v>0</v>
      </c>
      <c r="X1071" s="139">
        <f t="shared" si="2148"/>
        <v>0.26273726273726272</v>
      </c>
      <c r="Y1071" s="139">
        <f t="shared" si="2148"/>
        <v>0.71928071928071924</v>
      </c>
      <c r="Z1071" s="139">
        <f t="shared" si="2148"/>
        <v>0</v>
      </c>
      <c r="AA1071" s="139">
        <f t="shared" si="2148"/>
        <v>3.996003996003996E-3</v>
      </c>
      <c r="AB1071" s="139"/>
      <c r="AC1071" s="139">
        <f t="shared" si="2050"/>
        <v>1.3986013986013986E-2</v>
      </c>
      <c r="AD1071" s="139" t="e">
        <f t="shared" ref="AD1071:AI1071" si="2149">O1071/$I1071</f>
        <v>#VALUE!</v>
      </c>
      <c r="AE1071" s="139">
        <f t="shared" si="2149"/>
        <v>0</v>
      </c>
      <c r="AF1071" s="139">
        <f t="shared" si="2149"/>
        <v>0</v>
      </c>
      <c r="AG1071" s="139">
        <f t="shared" si="2149"/>
        <v>0</v>
      </c>
      <c r="AH1071" s="139">
        <f t="shared" si="2149"/>
        <v>7.992007992007992E-3</v>
      </c>
      <c r="AI1071" s="139">
        <f t="shared" si="2149"/>
        <v>5.994005994005994E-3</v>
      </c>
    </row>
    <row r="1072" spans="2:35">
      <c r="B1072" s="138" t="s">
        <v>8077</v>
      </c>
      <c r="C1072" s="138" t="s">
        <v>4367</v>
      </c>
      <c r="D1072" s="138" t="s">
        <v>10</v>
      </c>
      <c r="E1072" s="138" t="s">
        <v>786</v>
      </c>
      <c r="F1072" s="138" t="s">
        <v>786</v>
      </c>
      <c r="H1072" s="138">
        <v>124</v>
      </c>
      <c r="I1072" s="138">
        <v>1046</v>
      </c>
      <c r="K1072" s="138">
        <v>513</v>
      </c>
      <c r="L1072" s="138">
        <v>499</v>
      </c>
      <c r="N1072" s="138">
        <v>5</v>
      </c>
      <c r="O1072" s="138">
        <v>0</v>
      </c>
      <c r="S1072" s="138">
        <v>20</v>
      </c>
      <c r="T1072" s="138">
        <v>9</v>
      </c>
      <c r="U1072" s="138">
        <f t="shared" si="2048"/>
        <v>29</v>
      </c>
      <c r="W1072" s="139">
        <f t="shared" ref="W1072:AA1072" si="2150">J1072/$I1072</f>
        <v>0</v>
      </c>
      <c r="X1072" s="139">
        <f t="shared" si="2150"/>
        <v>0.49043977055449328</v>
      </c>
      <c r="Y1072" s="139">
        <f t="shared" si="2150"/>
        <v>0.47705544933078392</v>
      </c>
      <c r="Z1072" s="139">
        <f t="shared" si="2150"/>
        <v>0</v>
      </c>
      <c r="AA1072" s="139">
        <f t="shared" si="2150"/>
        <v>4.7801147227533461E-3</v>
      </c>
      <c r="AB1072" s="139"/>
      <c r="AC1072" s="139">
        <f t="shared" si="2050"/>
        <v>2.7724665391969407E-2</v>
      </c>
      <c r="AD1072" s="139">
        <f t="shared" ref="AD1072:AI1072" si="2151">O1072/$I1072</f>
        <v>0</v>
      </c>
      <c r="AE1072" s="139">
        <f t="shared" si="2151"/>
        <v>0</v>
      </c>
      <c r="AF1072" s="139">
        <f t="shared" si="2151"/>
        <v>0</v>
      </c>
      <c r="AG1072" s="139">
        <f t="shared" si="2151"/>
        <v>0</v>
      </c>
      <c r="AH1072" s="139">
        <f t="shared" si="2151"/>
        <v>1.9120458891013385E-2</v>
      </c>
      <c r="AI1072" s="139">
        <f t="shared" si="2151"/>
        <v>8.6042065009560229E-3</v>
      </c>
    </row>
    <row r="1073" spans="2:35">
      <c r="B1073" s="138" t="s">
        <v>8077</v>
      </c>
      <c r="C1073" s="138" t="s">
        <v>4367</v>
      </c>
      <c r="D1073" s="138" t="s">
        <v>10</v>
      </c>
      <c r="E1073" s="138" t="s">
        <v>786</v>
      </c>
      <c r="F1073" s="138" t="s">
        <v>786</v>
      </c>
      <c r="H1073" s="138">
        <v>125</v>
      </c>
      <c r="I1073" s="138">
        <v>824</v>
      </c>
      <c r="K1073" s="138">
        <v>320</v>
      </c>
      <c r="L1073" s="138">
        <v>464</v>
      </c>
      <c r="N1073" s="138">
        <v>9</v>
      </c>
      <c r="O1073" s="138">
        <v>1</v>
      </c>
      <c r="S1073" s="138">
        <v>21</v>
      </c>
      <c r="T1073" s="138">
        <v>9</v>
      </c>
      <c r="U1073" s="138">
        <f t="shared" si="2048"/>
        <v>31</v>
      </c>
      <c r="W1073" s="139">
        <f t="shared" ref="W1073:AA1073" si="2152">J1073/$I1073</f>
        <v>0</v>
      </c>
      <c r="X1073" s="139">
        <f t="shared" si="2152"/>
        <v>0.38834951456310679</v>
      </c>
      <c r="Y1073" s="139">
        <f t="shared" si="2152"/>
        <v>0.56310679611650483</v>
      </c>
      <c r="Z1073" s="139">
        <f t="shared" si="2152"/>
        <v>0</v>
      </c>
      <c r="AA1073" s="139">
        <f t="shared" si="2152"/>
        <v>1.0922330097087379E-2</v>
      </c>
      <c r="AB1073" s="139"/>
      <c r="AC1073" s="139">
        <f t="shared" si="2050"/>
        <v>3.7621359223300968E-2</v>
      </c>
      <c r="AD1073" s="139">
        <f t="shared" ref="AD1073:AI1073" si="2153">O1073/$I1073</f>
        <v>1.2135922330097086E-3</v>
      </c>
      <c r="AE1073" s="139">
        <f t="shared" si="2153"/>
        <v>0</v>
      </c>
      <c r="AF1073" s="139">
        <f t="shared" si="2153"/>
        <v>0</v>
      </c>
      <c r="AG1073" s="139">
        <f t="shared" si="2153"/>
        <v>0</v>
      </c>
      <c r="AH1073" s="139">
        <f t="shared" si="2153"/>
        <v>2.5485436893203883E-2</v>
      </c>
      <c r="AI1073" s="139">
        <f t="shared" si="2153"/>
        <v>1.0922330097087379E-2</v>
      </c>
    </row>
    <row r="1074" spans="2:35">
      <c r="B1074" s="138" t="s">
        <v>8077</v>
      </c>
      <c r="C1074" s="138" t="s">
        <v>4367</v>
      </c>
      <c r="D1074" s="138" t="s">
        <v>10</v>
      </c>
      <c r="E1074" s="138" t="s">
        <v>786</v>
      </c>
      <c r="F1074" s="138" t="s">
        <v>786</v>
      </c>
      <c r="H1074" s="138">
        <v>126</v>
      </c>
      <c r="I1074" s="138">
        <v>760</v>
      </c>
      <c r="K1074" s="138">
        <v>330</v>
      </c>
      <c r="L1074" s="138">
        <v>407</v>
      </c>
      <c r="N1074" s="138">
        <v>4</v>
      </c>
      <c r="O1074" s="138">
        <v>1</v>
      </c>
      <c r="S1074" s="138">
        <v>14</v>
      </c>
      <c r="T1074" s="138">
        <v>4</v>
      </c>
      <c r="U1074" s="138">
        <f t="shared" si="2048"/>
        <v>19</v>
      </c>
      <c r="W1074" s="139">
        <f t="shared" ref="W1074:AA1074" si="2154">J1074/$I1074</f>
        <v>0</v>
      </c>
      <c r="X1074" s="139">
        <f t="shared" si="2154"/>
        <v>0.43421052631578949</v>
      </c>
      <c r="Y1074" s="139">
        <f t="shared" si="2154"/>
        <v>0.53552631578947374</v>
      </c>
      <c r="Z1074" s="139">
        <f t="shared" si="2154"/>
        <v>0</v>
      </c>
      <c r="AA1074" s="139">
        <f t="shared" si="2154"/>
        <v>5.263157894736842E-3</v>
      </c>
      <c r="AB1074" s="139"/>
      <c r="AC1074" s="139">
        <f t="shared" si="2050"/>
        <v>2.5000000000000001E-2</v>
      </c>
      <c r="AD1074" s="139">
        <f t="shared" ref="AD1074:AI1074" si="2155">O1074/$I1074</f>
        <v>1.3157894736842105E-3</v>
      </c>
      <c r="AE1074" s="139">
        <f t="shared" si="2155"/>
        <v>0</v>
      </c>
      <c r="AF1074" s="139">
        <f t="shared" si="2155"/>
        <v>0</v>
      </c>
      <c r="AG1074" s="139">
        <f t="shared" si="2155"/>
        <v>0</v>
      </c>
      <c r="AH1074" s="139">
        <f t="shared" si="2155"/>
        <v>1.8421052631578946E-2</v>
      </c>
      <c r="AI1074" s="139">
        <f t="shared" si="2155"/>
        <v>5.263157894736842E-3</v>
      </c>
    </row>
    <row r="1075" spans="2:35">
      <c r="B1075" s="138" t="s">
        <v>8077</v>
      </c>
      <c r="C1075" s="138" t="s">
        <v>4367</v>
      </c>
      <c r="D1075" s="138" t="s">
        <v>10</v>
      </c>
      <c r="E1075" s="138" t="s">
        <v>786</v>
      </c>
      <c r="F1075" s="138" t="s">
        <v>786</v>
      </c>
      <c r="H1075" s="138">
        <v>127</v>
      </c>
      <c r="I1075" s="138">
        <v>879</v>
      </c>
      <c r="K1075" s="138">
        <v>214</v>
      </c>
      <c r="L1075" s="138">
        <v>627</v>
      </c>
      <c r="N1075" s="138">
        <v>3</v>
      </c>
      <c r="O1075" s="138">
        <v>3</v>
      </c>
      <c r="S1075" s="138">
        <v>26</v>
      </c>
      <c r="T1075" s="138">
        <v>6</v>
      </c>
      <c r="U1075" s="138">
        <f t="shared" si="2048"/>
        <v>35</v>
      </c>
      <c r="W1075" s="139">
        <f t="shared" ref="W1075:AA1075" si="2156">J1075/$I1075</f>
        <v>0</v>
      </c>
      <c r="X1075" s="139">
        <f t="shared" si="2156"/>
        <v>0.2434584755403868</v>
      </c>
      <c r="Y1075" s="139">
        <f t="shared" si="2156"/>
        <v>0.71331058020477811</v>
      </c>
      <c r="Z1075" s="139">
        <f t="shared" si="2156"/>
        <v>0</v>
      </c>
      <c r="AA1075" s="139">
        <f t="shared" si="2156"/>
        <v>3.4129692832764505E-3</v>
      </c>
      <c r="AB1075" s="139"/>
      <c r="AC1075" s="139">
        <f t="shared" si="2050"/>
        <v>3.981797497155859E-2</v>
      </c>
      <c r="AD1075" s="139">
        <f t="shared" ref="AD1075:AI1075" si="2157">O1075/$I1075</f>
        <v>3.4129692832764505E-3</v>
      </c>
      <c r="AE1075" s="139">
        <f t="shared" si="2157"/>
        <v>0</v>
      </c>
      <c r="AF1075" s="139">
        <f t="shared" si="2157"/>
        <v>0</v>
      </c>
      <c r="AG1075" s="139">
        <f t="shared" si="2157"/>
        <v>0</v>
      </c>
      <c r="AH1075" s="139">
        <f t="shared" si="2157"/>
        <v>2.9579067121729238E-2</v>
      </c>
      <c r="AI1075" s="139">
        <f t="shared" si="2157"/>
        <v>6.8259385665529011E-3</v>
      </c>
    </row>
    <row r="1076" spans="2:35">
      <c r="B1076" s="138" t="s">
        <v>8077</v>
      </c>
      <c r="C1076" s="138" t="s">
        <v>4367</v>
      </c>
      <c r="D1076" s="138" t="s">
        <v>10</v>
      </c>
      <c r="E1076" s="138" t="s">
        <v>786</v>
      </c>
      <c r="F1076" s="138" t="s">
        <v>786</v>
      </c>
      <c r="H1076" s="138">
        <v>128</v>
      </c>
      <c r="I1076" s="138">
        <v>1053</v>
      </c>
      <c r="K1076" s="138">
        <v>287</v>
      </c>
      <c r="L1076" s="138">
        <v>744</v>
      </c>
      <c r="N1076" s="138">
        <v>2</v>
      </c>
      <c r="O1076" s="138">
        <v>2</v>
      </c>
      <c r="S1076" s="138">
        <v>13</v>
      </c>
      <c r="T1076" s="138">
        <v>5</v>
      </c>
      <c r="U1076" s="138">
        <f t="shared" si="2048"/>
        <v>20</v>
      </c>
      <c r="W1076" s="139">
        <f t="shared" ref="W1076:AA1076" si="2158">J1076/$I1076</f>
        <v>0</v>
      </c>
      <c r="X1076" s="139">
        <f t="shared" si="2158"/>
        <v>0.27255460588793923</v>
      </c>
      <c r="Y1076" s="139">
        <f t="shared" si="2158"/>
        <v>0.70655270655270652</v>
      </c>
      <c r="Z1076" s="139">
        <f t="shared" si="2158"/>
        <v>0</v>
      </c>
      <c r="AA1076" s="139">
        <f t="shared" si="2158"/>
        <v>1.8993352326685661E-3</v>
      </c>
      <c r="AB1076" s="139"/>
      <c r="AC1076" s="139">
        <f t="shared" si="2050"/>
        <v>1.8993352326685659E-2</v>
      </c>
      <c r="AD1076" s="139">
        <f t="shared" ref="AD1076:AI1076" si="2159">O1076/$I1076</f>
        <v>1.8993352326685661E-3</v>
      </c>
      <c r="AE1076" s="139">
        <f t="shared" si="2159"/>
        <v>0</v>
      </c>
      <c r="AF1076" s="139">
        <f t="shared" si="2159"/>
        <v>0</v>
      </c>
      <c r="AG1076" s="139">
        <f t="shared" si="2159"/>
        <v>0</v>
      </c>
      <c r="AH1076" s="139">
        <f t="shared" si="2159"/>
        <v>1.2345679012345678E-2</v>
      </c>
      <c r="AI1076" s="139">
        <f t="shared" si="2159"/>
        <v>4.7483380816714148E-3</v>
      </c>
    </row>
    <row r="1077" spans="2:35">
      <c r="B1077" s="138" t="s">
        <v>8077</v>
      </c>
      <c r="C1077" s="138" t="s">
        <v>4367</v>
      </c>
      <c r="D1077" s="138" t="s">
        <v>10</v>
      </c>
      <c r="E1077" s="138" t="s">
        <v>786</v>
      </c>
      <c r="F1077" s="138" t="s">
        <v>786</v>
      </c>
      <c r="H1077" s="138">
        <v>129</v>
      </c>
      <c r="I1077" s="138">
        <v>1030</v>
      </c>
      <c r="K1077" s="138">
        <v>153</v>
      </c>
      <c r="L1077" s="138">
        <v>846</v>
      </c>
      <c r="N1077" s="138">
        <v>4</v>
      </c>
      <c r="O1077" s="138">
        <v>0</v>
      </c>
      <c r="S1077" s="138">
        <v>24</v>
      </c>
      <c r="T1077" s="138">
        <v>3</v>
      </c>
      <c r="U1077" s="138">
        <f t="shared" si="2048"/>
        <v>27</v>
      </c>
      <c r="W1077" s="139">
        <f t="shared" ref="W1077:AA1077" si="2160">J1077/$I1077</f>
        <v>0</v>
      </c>
      <c r="X1077" s="139">
        <f t="shared" si="2160"/>
        <v>0.14854368932038836</v>
      </c>
      <c r="Y1077" s="139">
        <f t="shared" si="2160"/>
        <v>0.82135922330097089</v>
      </c>
      <c r="Z1077" s="139">
        <f t="shared" si="2160"/>
        <v>0</v>
      </c>
      <c r="AA1077" s="139">
        <f t="shared" si="2160"/>
        <v>3.8834951456310678E-3</v>
      </c>
      <c r="AB1077" s="139"/>
      <c r="AC1077" s="139">
        <f t="shared" si="2050"/>
        <v>2.621359223300971E-2</v>
      </c>
      <c r="AD1077" s="139">
        <f t="shared" ref="AD1077:AI1077" si="2161">O1077/$I1077</f>
        <v>0</v>
      </c>
      <c r="AE1077" s="139">
        <f t="shared" si="2161"/>
        <v>0</v>
      </c>
      <c r="AF1077" s="139">
        <f t="shared" si="2161"/>
        <v>0</v>
      </c>
      <c r="AG1077" s="139">
        <f t="shared" si="2161"/>
        <v>0</v>
      </c>
      <c r="AH1077" s="139">
        <f t="shared" si="2161"/>
        <v>2.3300970873786409E-2</v>
      </c>
      <c r="AI1077" s="139">
        <f t="shared" si="2161"/>
        <v>2.9126213592233011E-3</v>
      </c>
    </row>
    <row r="1078" spans="2:35">
      <c r="B1078" s="138" t="s">
        <v>8077</v>
      </c>
      <c r="C1078" s="138" t="s">
        <v>4367</v>
      </c>
      <c r="D1078" s="138" t="s">
        <v>10</v>
      </c>
      <c r="E1078" s="138" t="s">
        <v>786</v>
      </c>
      <c r="F1078" s="138" t="s">
        <v>786</v>
      </c>
      <c r="H1078" s="138">
        <v>130</v>
      </c>
      <c r="I1078" s="138">
        <v>672</v>
      </c>
      <c r="K1078" s="138">
        <v>174</v>
      </c>
      <c r="L1078" s="138">
        <v>477</v>
      </c>
      <c r="N1078" s="138">
        <v>4</v>
      </c>
      <c r="O1078" s="138">
        <v>2</v>
      </c>
      <c r="S1078" s="138">
        <v>12</v>
      </c>
      <c r="T1078" s="138">
        <v>3</v>
      </c>
      <c r="U1078" s="138">
        <f t="shared" si="2048"/>
        <v>17</v>
      </c>
      <c r="W1078" s="139">
        <f t="shared" ref="W1078:AA1078" si="2162">J1078/$I1078</f>
        <v>0</v>
      </c>
      <c r="X1078" s="139">
        <f t="shared" si="2162"/>
        <v>0.25892857142857145</v>
      </c>
      <c r="Y1078" s="139">
        <f t="shared" si="2162"/>
        <v>0.7098214285714286</v>
      </c>
      <c r="Z1078" s="139">
        <f t="shared" si="2162"/>
        <v>0</v>
      </c>
      <c r="AA1078" s="139">
        <f t="shared" si="2162"/>
        <v>5.9523809523809521E-3</v>
      </c>
      <c r="AB1078" s="139"/>
      <c r="AC1078" s="139">
        <f t="shared" si="2050"/>
        <v>2.5297619047619048E-2</v>
      </c>
      <c r="AD1078" s="139">
        <f t="shared" ref="AD1078:AI1078" si="2163">O1078/$I1078</f>
        <v>2.976190476190476E-3</v>
      </c>
      <c r="AE1078" s="139">
        <f t="shared" si="2163"/>
        <v>0</v>
      </c>
      <c r="AF1078" s="139">
        <f t="shared" si="2163"/>
        <v>0</v>
      </c>
      <c r="AG1078" s="139">
        <f t="shared" si="2163"/>
        <v>0</v>
      </c>
      <c r="AH1078" s="139">
        <f t="shared" si="2163"/>
        <v>1.7857142857142856E-2</v>
      </c>
      <c r="AI1078" s="139">
        <f t="shared" si="2163"/>
        <v>4.464285714285714E-3</v>
      </c>
    </row>
    <row r="1079" spans="2:35">
      <c r="B1079" s="138" t="s">
        <v>8077</v>
      </c>
      <c r="C1079" s="138" t="s">
        <v>4367</v>
      </c>
      <c r="D1079" s="138" t="s">
        <v>10</v>
      </c>
      <c r="E1079" s="138" t="s">
        <v>786</v>
      </c>
      <c r="F1079" s="138" t="s">
        <v>786</v>
      </c>
      <c r="H1079" s="138">
        <v>131</v>
      </c>
      <c r="I1079" s="138">
        <v>730</v>
      </c>
      <c r="K1079" s="138">
        <v>119</v>
      </c>
      <c r="L1079" s="138">
        <v>592</v>
      </c>
      <c r="N1079" s="138">
        <v>1</v>
      </c>
      <c r="O1079" s="138">
        <v>0</v>
      </c>
      <c r="S1079" s="138">
        <v>17</v>
      </c>
      <c r="T1079" s="138">
        <v>1</v>
      </c>
      <c r="U1079" s="138">
        <f t="shared" si="2048"/>
        <v>18</v>
      </c>
      <c r="W1079" s="139">
        <f t="shared" ref="W1079:AA1079" si="2164">J1079/$I1079</f>
        <v>0</v>
      </c>
      <c r="X1079" s="139">
        <f t="shared" si="2164"/>
        <v>0.16301369863013698</v>
      </c>
      <c r="Y1079" s="139">
        <f t="shared" si="2164"/>
        <v>0.81095890410958904</v>
      </c>
      <c r="Z1079" s="139">
        <f t="shared" si="2164"/>
        <v>0</v>
      </c>
      <c r="AA1079" s="139">
        <f t="shared" si="2164"/>
        <v>1.3698630136986301E-3</v>
      </c>
      <c r="AB1079" s="139"/>
      <c r="AC1079" s="139">
        <f t="shared" si="2050"/>
        <v>2.4657534246575342E-2</v>
      </c>
      <c r="AD1079" s="139">
        <f t="shared" ref="AD1079:AI1079" si="2165">O1079/$I1079</f>
        <v>0</v>
      </c>
      <c r="AE1079" s="139">
        <f t="shared" si="2165"/>
        <v>0</v>
      </c>
      <c r="AF1079" s="139">
        <f t="shared" si="2165"/>
        <v>0</v>
      </c>
      <c r="AG1079" s="139">
        <f t="shared" si="2165"/>
        <v>0</v>
      </c>
      <c r="AH1079" s="139">
        <f t="shared" si="2165"/>
        <v>2.3287671232876714E-2</v>
      </c>
      <c r="AI1079" s="139">
        <f t="shared" si="2165"/>
        <v>1.3698630136986301E-3</v>
      </c>
    </row>
    <row r="1080" spans="2:35">
      <c r="B1080" s="138" t="s">
        <v>8077</v>
      </c>
      <c r="C1080" s="138" t="s">
        <v>4367</v>
      </c>
      <c r="D1080" s="138" t="s">
        <v>10</v>
      </c>
      <c r="E1080" s="138" t="s">
        <v>786</v>
      </c>
      <c r="F1080" s="138" t="s">
        <v>786</v>
      </c>
      <c r="H1080" s="138">
        <v>132</v>
      </c>
      <c r="I1080" s="138">
        <v>568</v>
      </c>
      <c r="K1080" s="138">
        <v>105</v>
      </c>
      <c r="L1080" s="138">
        <v>457</v>
      </c>
      <c r="N1080" s="138">
        <v>1</v>
      </c>
      <c r="O1080" s="138">
        <v>0</v>
      </c>
      <c r="S1080" s="138">
        <v>4</v>
      </c>
      <c r="T1080" s="138">
        <v>1</v>
      </c>
      <c r="U1080" s="138">
        <f t="shared" si="2048"/>
        <v>5</v>
      </c>
      <c r="W1080" s="139">
        <f t="shared" ref="W1080:AA1080" si="2166">J1080/$I1080</f>
        <v>0</v>
      </c>
      <c r="X1080" s="139">
        <f t="shared" si="2166"/>
        <v>0.18485915492957747</v>
      </c>
      <c r="Y1080" s="139">
        <f t="shared" si="2166"/>
        <v>0.80457746478873238</v>
      </c>
      <c r="Z1080" s="139">
        <f t="shared" si="2166"/>
        <v>0</v>
      </c>
      <c r="AA1080" s="139">
        <f t="shared" si="2166"/>
        <v>1.7605633802816902E-3</v>
      </c>
      <c r="AB1080" s="139"/>
      <c r="AC1080" s="139">
        <f t="shared" si="2050"/>
        <v>8.8028169014084511E-3</v>
      </c>
      <c r="AD1080" s="139">
        <f t="shared" ref="AD1080:AI1080" si="2167">O1080/$I1080</f>
        <v>0</v>
      </c>
      <c r="AE1080" s="139">
        <f t="shared" si="2167"/>
        <v>0</v>
      </c>
      <c r="AF1080" s="139">
        <f t="shared" si="2167"/>
        <v>0</v>
      </c>
      <c r="AG1080" s="139">
        <f t="shared" si="2167"/>
        <v>0</v>
      </c>
      <c r="AH1080" s="139">
        <f t="shared" si="2167"/>
        <v>7.0422535211267607E-3</v>
      </c>
      <c r="AI1080" s="139">
        <f t="shared" si="2167"/>
        <v>1.7605633802816902E-3</v>
      </c>
    </row>
    <row r="1081" spans="2:35">
      <c r="B1081" s="138" t="s">
        <v>8077</v>
      </c>
      <c r="C1081" s="138" t="s">
        <v>4367</v>
      </c>
      <c r="D1081" s="138" t="s">
        <v>10</v>
      </c>
      <c r="E1081" s="138" t="s">
        <v>786</v>
      </c>
      <c r="F1081" s="138" t="s">
        <v>786</v>
      </c>
      <c r="H1081" s="138">
        <v>133</v>
      </c>
      <c r="I1081" s="138">
        <v>1112</v>
      </c>
      <c r="K1081" s="138">
        <v>230</v>
      </c>
      <c r="L1081" s="138">
        <v>843</v>
      </c>
      <c r="N1081" s="138">
        <v>5</v>
      </c>
      <c r="O1081" s="138">
        <v>2</v>
      </c>
      <c r="S1081" s="138">
        <v>29</v>
      </c>
      <c r="T1081" s="138">
        <v>3</v>
      </c>
      <c r="U1081" s="138">
        <f t="shared" si="2048"/>
        <v>34</v>
      </c>
      <c r="W1081" s="139">
        <f t="shared" ref="W1081:AA1081" si="2168">J1081/$I1081</f>
        <v>0</v>
      </c>
      <c r="X1081" s="139">
        <f t="shared" si="2168"/>
        <v>0.20683453237410071</v>
      </c>
      <c r="Y1081" s="139">
        <f t="shared" si="2168"/>
        <v>0.75809352517985606</v>
      </c>
      <c r="Z1081" s="139">
        <f t="shared" si="2168"/>
        <v>0</v>
      </c>
      <c r="AA1081" s="139">
        <f t="shared" si="2168"/>
        <v>4.4964028776978415E-3</v>
      </c>
      <c r="AB1081" s="139"/>
      <c r="AC1081" s="139">
        <f t="shared" si="2050"/>
        <v>3.0575539568345324E-2</v>
      </c>
      <c r="AD1081" s="139">
        <f t="shared" ref="AD1081:AI1081" si="2169">O1081/$I1081</f>
        <v>1.7985611510791368E-3</v>
      </c>
      <c r="AE1081" s="139">
        <f t="shared" si="2169"/>
        <v>0</v>
      </c>
      <c r="AF1081" s="139">
        <f t="shared" si="2169"/>
        <v>0</v>
      </c>
      <c r="AG1081" s="139">
        <f t="shared" si="2169"/>
        <v>0</v>
      </c>
      <c r="AH1081" s="139">
        <f t="shared" si="2169"/>
        <v>2.6079136690647483E-2</v>
      </c>
      <c r="AI1081" s="139">
        <f t="shared" si="2169"/>
        <v>2.6978417266187052E-3</v>
      </c>
    </row>
    <row r="1082" spans="2:35">
      <c r="B1082" s="138" t="s">
        <v>8077</v>
      </c>
      <c r="C1082" s="138" t="s">
        <v>4367</v>
      </c>
      <c r="D1082" s="138" t="s">
        <v>10</v>
      </c>
      <c r="E1082" s="138" t="s">
        <v>786</v>
      </c>
      <c r="F1082" s="138" t="s">
        <v>786</v>
      </c>
      <c r="H1082" s="138">
        <v>134</v>
      </c>
      <c r="I1082" s="138">
        <v>780</v>
      </c>
      <c r="K1082" s="138">
        <v>199</v>
      </c>
      <c r="L1082" s="138">
        <v>543</v>
      </c>
      <c r="N1082" s="138">
        <v>6</v>
      </c>
      <c r="O1082" s="138">
        <v>1</v>
      </c>
      <c r="S1082" s="138">
        <v>21</v>
      </c>
      <c r="T1082" s="138">
        <v>10</v>
      </c>
      <c r="U1082" s="138">
        <f t="shared" si="2048"/>
        <v>32</v>
      </c>
      <c r="W1082" s="139">
        <f t="shared" ref="W1082:AA1082" si="2170">J1082/$I1082</f>
        <v>0</v>
      </c>
      <c r="X1082" s="139">
        <f t="shared" si="2170"/>
        <v>0.25512820512820511</v>
      </c>
      <c r="Y1082" s="139">
        <f t="shared" si="2170"/>
        <v>0.69615384615384612</v>
      </c>
      <c r="Z1082" s="139">
        <f t="shared" si="2170"/>
        <v>0</v>
      </c>
      <c r="AA1082" s="139">
        <f t="shared" si="2170"/>
        <v>7.6923076923076927E-3</v>
      </c>
      <c r="AB1082" s="139"/>
      <c r="AC1082" s="139">
        <f t="shared" si="2050"/>
        <v>4.1025641025641026E-2</v>
      </c>
      <c r="AD1082" s="139">
        <f t="shared" ref="AD1082:AI1082" si="2171">O1082/$I1082</f>
        <v>1.2820512820512821E-3</v>
      </c>
      <c r="AE1082" s="139">
        <f t="shared" si="2171"/>
        <v>0</v>
      </c>
      <c r="AF1082" s="139">
        <f t="shared" si="2171"/>
        <v>0</v>
      </c>
      <c r="AG1082" s="139">
        <f t="shared" si="2171"/>
        <v>0</v>
      </c>
      <c r="AH1082" s="139">
        <f t="shared" si="2171"/>
        <v>2.6923076923076925E-2</v>
      </c>
      <c r="AI1082" s="139">
        <f t="shared" si="2171"/>
        <v>1.282051282051282E-2</v>
      </c>
    </row>
    <row r="1083" spans="2:35">
      <c r="B1083" s="138" t="s">
        <v>8077</v>
      </c>
      <c r="C1083" s="138" t="s">
        <v>4367</v>
      </c>
      <c r="D1083" s="138" t="s">
        <v>10</v>
      </c>
      <c r="E1083" s="138" t="s">
        <v>786</v>
      </c>
      <c r="F1083" s="138" t="s">
        <v>786</v>
      </c>
      <c r="H1083" s="138">
        <v>135</v>
      </c>
      <c r="I1083" s="138">
        <v>1158</v>
      </c>
      <c r="K1083" s="138">
        <v>217</v>
      </c>
      <c r="L1083" s="138">
        <v>909</v>
      </c>
      <c r="N1083" s="138">
        <v>2</v>
      </c>
      <c r="O1083" s="138">
        <v>1</v>
      </c>
      <c r="S1083" s="138">
        <v>23</v>
      </c>
      <c r="T1083" s="138">
        <v>6</v>
      </c>
      <c r="U1083" s="138">
        <f t="shared" si="2048"/>
        <v>30</v>
      </c>
      <c r="W1083" s="139">
        <f t="shared" ref="W1083:AA1083" si="2172">J1083/$I1083</f>
        <v>0</v>
      </c>
      <c r="X1083" s="139">
        <f t="shared" si="2172"/>
        <v>0.18739205526770294</v>
      </c>
      <c r="Y1083" s="139">
        <f t="shared" si="2172"/>
        <v>0.78497409326424872</v>
      </c>
      <c r="Z1083" s="139">
        <f t="shared" si="2172"/>
        <v>0</v>
      </c>
      <c r="AA1083" s="139">
        <f t="shared" si="2172"/>
        <v>1.7271157167530224E-3</v>
      </c>
      <c r="AB1083" s="139"/>
      <c r="AC1083" s="139">
        <f t="shared" si="2050"/>
        <v>2.5906735751295335E-2</v>
      </c>
      <c r="AD1083" s="139">
        <f t="shared" ref="AD1083:AI1083" si="2173">O1083/$I1083</f>
        <v>8.6355785837651119E-4</v>
      </c>
      <c r="AE1083" s="139">
        <f t="shared" si="2173"/>
        <v>0</v>
      </c>
      <c r="AF1083" s="139">
        <f t="shared" si="2173"/>
        <v>0</v>
      </c>
      <c r="AG1083" s="139">
        <f t="shared" si="2173"/>
        <v>0</v>
      </c>
      <c r="AH1083" s="139">
        <f t="shared" si="2173"/>
        <v>1.9861830742659757E-2</v>
      </c>
      <c r="AI1083" s="139">
        <f t="shared" si="2173"/>
        <v>5.1813471502590676E-3</v>
      </c>
    </row>
    <row r="1084" spans="2:35">
      <c r="B1084" s="138" t="s">
        <v>8077</v>
      </c>
      <c r="C1084" s="138" t="s">
        <v>4367</v>
      </c>
      <c r="D1084" s="138" t="s">
        <v>10</v>
      </c>
      <c r="E1084" s="138" t="s">
        <v>786</v>
      </c>
      <c r="F1084" s="138" t="s">
        <v>786</v>
      </c>
      <c r="H1084" s="138">
        <v>136</v>
      </c>
      <c r="I1084" s="138">
        <v>476</v>
      </c>
      <c r="K1084" s="138">
        <v>48</v>
      </c>
      <c r="L1084" s="138">
        <v>413</v>
      </c>
      <c r="N1084" s="138">
        <v>2</v>
      </c>
      <c r="O1084" s="138">
        <v>0</v>
      </c>
      <c r="S1084" s="138">
        <v>11</v>
      </c>
      <c r="T1084" s="138">
        <v>2</v>
      </c>
      <c r="U1084" s="138">
        <f t="shared" si="2048"/>
        <v>13</v>
      </c>
      <c r="W1084" s="139">
        <f t="shared" ref="W1084:AA1084" si="2174">J1084/$I1084</f>
        <v>0</v>
      </c>
      <c r="X1084" s="139">
        <f t="shared" si="2174"/>
        <v>0.10084033613445378</v>
      </c>
      <c r="Y1084" s="139">
        <f t="shared" si="2174"/>
        <v>0.86764705882352944</v>
      </c>
      <c r="Z1084" s="139">
        <f t="shared" si="2174"/>
        <v>0</v>
      </c>
      <c r="AA1084" s="139">
        <f t="shared" si="2174"/>
        <v>4.2016806722689074E-3</v>
      </c>
      <c r="AB1084" s="139"/>
      <c r="AC1084" s="139">
        <f t="shared" si="2050"/>
        <v>2.7310924369747899E-2</v>
      </c>
      <c r="AD1084" s="139">
        <f t="shared" ref="AD1084:AI1084" si="2175">O1084/$I1084</f>
        <v>0</v>
      </c>
      <c r="AE1084" s="139">
        <f t="shared" si="2175"/>
        <v>0</v>
      </c>
      <c r="AF1084" s="139">
        <f t="shared" si="2175"/>
        <v>0</v>
      </c>
      <c r="AG1084" s="139">
        <f t="shared" si="2175"/>
        <v>0</v>
      </c>
      <c r="AH1084" s="139">
        <f t="shared" si="2175"/>
        <v>2.3109243697478993E-2</v>
      </c>
      <c r="AI1084" s="139">
        <f t="shared" si="2175"/>
        <v>4.2016806722689074E-3</v>
      </c>
    </row>
    <row r="1085" spans="2:35">
      <c r="B1085" s="138" t="s">
        <v>8077</v>
      </c>
      <c r="C1085" s="138" t="s">
        <v>4367</v>
      </c>
      <c r="D1085" s="138" t="s">
        <v>10</v>
      </c>
      <c r="E1085" s="138" t="s">
        <v>786</v>
      </c>
      <c r="F1085" s="138" t="s">
        <v>786</v>
      </c>
      <c r="H1085" s="138">
        <v>137</v>
      </c>
      <c r="I1085" s="138">
        <v>927</v>
      </c>
      <c r="K1085" s="138">
        <v>219</v>
      </c>
      <c r="L1085" s="138">
        <v>684</v>
      </c>
      <c r="N1085" s="138">
        <v>4</v>
      </c>
      <c r="O1085" s="138">
        <v>1</v>
      </c>
      <c r="S1085" s="138">
        <v>17</v>
      </c>
      <c r="T1085" s="138">
        <v>2</v>
      </c>
      <c r="U1085" s="138">
        <f t="shared" si="2048"/>
        <v>20</v>
      </c>
      <c r="W1085" s="139">
        <f t="shared" ref="W1085:AA1085" si="2176">J1085/$I1085</f>
        <v>0</v>
      </c>
      <c r="X1085" s="139">
        <f t="shared" si="2176"/>
        <v>0.23624595469255663</v>
      </c>
      <c r="Y1085" s="139">
        <f t="shared" si="2176"/>
        <v>0.73786407766990292</v>
      </c>
      <c r="Z1085" s="139">
        <f t="shared" si="2176"/>
        <v>0</v>
      </c>
      <c r="AA1085" s="139">
        <f t="shared" si="2176"/>
        <v>4.3149946062567418E-3</v>
      </c>
      <c r="AB1085" s="139"/>
      <c r="AC1085" s="139">
        <f t="shared" si="2050"/>
        <v>2.1574973031283712E-2</v>
      </c>
      <c r="AD1085" s="139">
        <f t="shared" ref="AD1085:AI1085" si="2177">O1085/$I1085</f>
        <v>1.0787486515641855E-3</v>
      </c>
      <c r="AE1085" s="139">
        <f t="shared" si="2177"/>
        <v>0</v>
      </c>
      <c r="AF1085" s="139">
        <f t="shared" si="2177"/>
        <v>0</v>
      </c>
      <c r="AG1085" s="139">
        <f t="shared" si="2177"/>
        <v>0</v>
      </c>
      <c r="AH1085" s="139">
        <f t="shared" si="2177"/>
        <v>1.8338727076591153E-2</v>
      </c>
      <c r="AI1085" s="139">
        <f t="shared" si="2177"/>
        <v>2.1574973031283709E-3</v>
      </c>
    </row>
    <row r="1086" spans="2:35">
      <c r="B1086" s="138" t="s">
        <v>8077</v>
      </c>
      <c r="C1086" s="138" t="s">
        <v>4367</v>
      </c>
      <c r="D1086" s="138" t="s">
        <v>10</v>
      </c>
      <c r="E1086" s="138" t="s">
        <v>786</v>
      </c>
      <c r="F1086" s="138" t="s">
        <v>786</v>
      </c>
      <c r="H1086" s="138">
        <v>138</v>
      </c>
      <c r="I1086" s="138">
        <v>762</v>
      </c>
      <c r="K1086" s="138">
        <v>124</v>
      </c>
      <c r="L1086" s="138">
        <v>631</v>
      </c>
      <c r="N1086" s="138">
        <v>1</v>
      </c>
      <c r="O1086" s="138">
        <v>0</v>
      </c>
      <c r="S1086" s="138">
        <v>4</v>
      </c>
      <c r="T1086" s="138">
        <v>2</v>
      </c>
      <c r="U1086" s="138">
        <f t="shared" si="2048"/>
        <v>6</v>
      </c>
      <c r="W1086" s="139">
        <f t="shared" ref="W1086:AA1086" si="2178">J1086/$I1086</f>
        <v>0</v>
      </c>
      <c r="X1086" s="139">
        <f t="shared" si="2178"/>
        <v>0.16272965879265092</v>
      </c>
      <c r="Y1086" s="139">
        <f t="shared" si="2178"/>
        <v>0.82808398950131235</v>
      </c>
      <c r="Z1086" s="139">
        <f t="shared" si="2178"/>
        <v>0</v>
      </c>
      <c r="AA1086" s="139">
        <f t="shared" si="2178"/>
        <v>1.3123359580052493E-3</v>
      </c>
      <c r="AB1086" s="139"/>
      <c r="AC1086" s="139">
        <f t="shared" si="2050"/>
        <v>7.874015748031496E-3</v>
      </c>
      <c r="AD1086" s="139">
        <f t="shared" ref="AD1086:AI1086" si="2179">O1086/$I1086</f>
        <v>0</v>
      </c>
      <c r="AE1086" s="139">
        <f t="shared" si="2179"/>
        <v>0</v>
      </c>
      <c r="AF1086" s="139">
        <f t="shared" si="2179"/>
        <v>0</v>
      </c>
      <c r="AG1086" s="139">
        <f t="shared" si="2179"/>
        <v>0</v>
      </c>
      <c r="AH1086" s="139">
        <f t="shared" si="2179"/>
        <v>5.2493438320209973E-3</v>
      </c>
      <c r="AI1086" s="139">
        <f t="shared" si="2179"/>
        <v>2.6246719160104987E-3</v>
      </c>
    </row>
    <row r="1087" spans="2:35">
      <c r="B1087" s="138" t="s">
        <v>8077</v>
      </c>
      <c r="C1087" s="138" t="s">
        <v>4367</v>
      </c>
      <c r="D1087" s="138" t="s">
        <v>10</v>
      </c>
      <c r="E1087" s="138" t="s">
        <v>786</v>
      </c>
      <c r="F1087" s="138" t="s">
        <v>786</v>
      </c>
      <c r="H1087" s="138">
        <v>139</v>
      </c>
      <c r="I1087" s="138">
        <v>817</v>
      </c>
      <c r="K1087" s="138">
        <v>216</v>
      </c>
      <c r="L1087" s="138">
        <v>583</v>
      </c>
      <c r="N1087" s="138">
        <v>4</v>
      </c>
      <c r="O1087" s="138">
        <v>2</v>
      </c>
      <c r="S1087" s="138">
        <v>9</v>
      </c>
      <c r="T1087" s="138">
        <v>3</v>
      </c>
      <c r="U1087" s="138">
        <f t="shared" si="2048"/>
        <v>14</v>
      </c>
      <c r="W1087" s="139">
        <f t="shared" ref="W1087:AA1087" si="2180">J1087/$I1087</f>
        <v>0</v>
      </c>
      <c r="X1087" s="139">
        <f t="shared" si="2180"/>
        <v>0.26438188494492043</v>
      </c>
      <c r="Y1087" s="139">
        <f t="shared" si="2180"/>
        <v>0.71358629130966955</v>
      </c>
      <c r="Z1087" s="139">
        <f t="shared" si="2180"/>
        <v>0</v>
      </c>
      <c r="AA1087" s="139">
        <f t="shared" si="2180"/>
        <v>4.8959608323133411E-3</v>
      </c>
      <c r="AB1087" s="139"/>
      <c r="AC1087" s="139">
        <f t="shared" si="2050"/>
        <v>1.7135862913096694E-2</v>
      </c>
      <c r="AD1087" s="139">
        <f t="shared" ref="AD1087:AI1087" si="2181">O1087/$I1087</f>
        <v>2.4479804161566705E-3</v>
      </c>
      <c r="AE1087" s="139">
        <f t="shared" si="2181"/>
        <v>0</v>
      </c>
      <c r="AF1087" s="139">
        <f t="shared" si="2181"/>
        <v>0</v>
      </c>
      <c r="AG1087" s="139">
        <f t="shared" si="2181"/>
        <v>0</v>
      </c>
      <c r="AH1087" s="139">
        <f t="shared" si="2181"/>
        <v>1.1015911872705019E-2</v>
      </c>
      <c r="AI1087" s="139">
        <f t="shared" si="2181"/>
        <v>3.6719706242350062E-3</v>
      </c>
    </row>
    <row r="1088" spans="2:35">
      <c r="B1088" s="138" t="s">
        <v>8077</v>
      </c>
      <c r="C1088" s="138" t="s">
        <v>4367</v>
      </c>
      <c r="D1088" s="138" t="s">
        <v>10</v>
      </c>
      <c r="E1088" s="138" t="s">
        <v>786</v>
      </c>
      <c r="F1088" s="138" t="s">
        <v>786</v>
      </c>
      <c r="H1088" s="138">
        <v>140</v>
      </c>
      <c r="I1088" s="138">
        <v>1071</v>
      </c>
      <c r="K1088" s="138">
        <v>175</v>
      </c>
      <c r="L1088" s="138">
        <v>867</v>
      </c>
      <c r="N1088" s="138">
        <v>3</v>
      </c>
      <c r="O1088" s="138">
        <v>0</v>
      </c>
      <c r="S1088" s="138">
        <v>21</v>
      </c>
      <c r="T1088" s="138">
        <v>5</v>
      </c>
      <c r="U1088" s="138">
        <f t="shared" si="2048"/>
        <v>26</v>
      </c>
      <c r="W1088" s="139">
        <f t="shared" ref="W1088:AA1088" si="2182">J1088/$I1088</f>
        <v>0</v>
      </c>
      <c r="X1088" s="139">
        <f t="shared" si="2182"/>
        <v>0.16339869281045752</v>
      </c>
      <c r="Y1088" s="139">
        <f t="shared" si="2182"/>
        <v>0.80952380952380953</v>
      </c>
      <c r="Z1088" s="139">
        <f t="shared" si="2182"/>
        <v>0</v>
      </c>
      <c r="AA1088" s="139">
        <f t="shared" si="2182"/>
        <v>2.8011204481792717E-3</v>
      </c>
      <c r="AB1088" s="139"/>
      <c r="AC1088" s="139">
        <f t="shared" si="2050"/>
        <v>2.4276377217553689E-2</v>
      </c>
      <c r="AD1088" s="139">
        <f t="shared" ref="AD1088:AI1088" si="2183">O1088/$I1088</f>
        <v>0</v>
      </c>
      <c r="AE1088" s="139">
        <f t="shared" si="2183"/>
        <v>0</v>
      </c>
      <c r="AF1088" s="139">
        <f t="shared" si="2183"/>
        <v>0</v>
      </c>
      <c r="AG1088" s="139">
        <f t="shared" si="2183"/>
        <v>0</v>
      </c>
      <c r="AH1088" s="139">
        <f t="shared" si="2183"/>
        <v>1.9607843137254902E-2</v>
      </c>
      <c r="AI1088" s="139">
        <f t="shared" si="2183"/>
        <v>4.6685340802987861E-3</v>
      </c>
    </row>
    <row r="1089" spans="2:35">
      <c r="B1089" s="138" t="s">
        <v>8077</v>
      </c>
      <c r="C1089" s="138" t="s">
        <v>4367</v>
      </c>
      <c r="D1089" s="138" t="s">
        <v>10</v>
      </c>
      <c r="E1089" s="138" t="s">
        <v>786</v>
      </c>
      <c r="F1089" s="138" t="s">
        <v>786</v>
      </c>
      <c r="H1089" s="138">
        <v>141</v>
      </c>
      <c r="I1089" s="138">
        <v>702</v>
      </c>
      <c r="K1089" s="138">
        <v>327</v>
      </c>
      <c r="L1089" s="138">
        <v>337</v>
      </c>
      <c r="N1089" s="138">
        <v>10</v>
      </c>
      <c r="O1089" s="138">
        <v>1</v>
      </c>
      <c r="S1089" s="138">
        <v>17</v>
      </c>
      <c r="T1089" s="138">
        <v>10</v>
      </c>
      <c r="U1089" s="138">
        <f t="shared" si="2048"/>
        <v>28</v>
      </c>
      <c r="W1089" s="139">
        <f t="shared" ref="W1089:AA1089" si="2184">J1089/$I1089</f>
        <v>0</v>
      </c>
      <c r="X1089" s="139">
        <f t="shared" si="2184"/>
        <v>0.46581196581196582</v>
      </c>
      <c r="Y1089" s="139">
        <f t="shared" si="2184"/>
        <v>0.48005698005698005</v>
      </c>
      <c r="Z1089" s="139">
        <f t="shared" si="2184"/>
        <v>0</v>
      </c>
      <c r="AA1089" s="139">
        <f t="shared" si="2184"/>
        <v>1.4245014245014245E-2</v>
      </c>
      <c r="AB1089" s="139"/>
      <c r="AC1089" s="139">
        <f t="shared" si="2050"/>
        <v>3.9886039886039885E-2</v>
      </c>
      <c r="AD1089" s="139">
        <f t="shared" ref="AD1089:AI1089" si="2185">O1089/$I1089</f>
        <v>1.4245014245014246E-3</v>
      </c>
      <c r="AE1089" s="139">
        <f t="shared" si="2185"/>
        <v>0</v>
      </c>
      <c r="AF1089" s="139">
        <f t="shared" si="2185"/>
        <v>0</v>
      </c>
      <c r="AG1089" s="139">
        <f t="shared" si="2185"/>
        <v>0</v>
      </c>
      <c r="AH1089" s="139">
        <f t="shared" si="2185"/>
        <v>2.4216524216524215E-2</v>
      </c>
      <c r="AI1089" s="139">
        <f t="shared" si="2185"/>
        <v>1.4245014245014245E-2</v>
      </c>
    </row>
    <row r="1090" spans="2:35">
      <c r="B1090" s="138" t="s">
        <v>8077</v>
      </c>
      <c r="C1090" s="138" t="s">
        <v>4367</v>
      </c>
      <c r="D1090" s="138" t="s">
        <v>10</v>
      </c>
      <c r="E1090" s="138" t="s">
        <v>786</v>
      </c>
      <c r="F1090" s="138" t="s">
        <v>786</v>
      </c>
      <c r="H1090" s="138">
        <v>142</v>
      </c>
      <c r="I1090" s="138">
        <v>1169</v>
      </c>
      <c r="K1090" s="138">
        <v>585</v>
      </c>
      <c r="L1090" s="138">
        <v>527</v>
      </c>
      <c r="N1090" s="138">
        <v>12</v>
      </c>
      <c r="O1090" s="138">
        <v>5</v>
      </c>
      <c r="S1090" s="138">
        <v>28</v>
      </c>
      <c r="T1090" s="138">
        <v>12</v>
      </c>
      <c r="U1090" s="138">
        <f t="shared" si="2048"/>
        <v>45</v>
      </c>
      <c r="W1090" s="139">
        <f t="shared" ref="W1090:AA1090" si="2186">J1090/$I1090</f>
        <v>0</v>
      </c>
      <c r="X1090" s="139">
        <f t="shared" si="2186"/>
        <v>0.50042771599657832</v>
      </c>
      <c r="Y1090" s="139">
        <f t="shared" si="2186"/>
        <v>0.45081266039349871</v>
      </c>
      <c r="Z1090" s="139">
        <f t="shared" si="2186"/>
        <v>0</v>
      </c>
      <c r="AA1090" s="139">
        <f t="shared" si="2186"/>
        <v>1.0265183917878529E-2</v>
      </c>
      <c r="AB1090" s="139"/>
      <c r="AC1090" s="139">
        <f t="shared" si="2050"/>
        <v>3.8494439692044483E-2</v>
      </c>
      <c r="AD1090" s="139">
        <f t="shared" ref="AD1090:AI1090" si="2187">O1090/$I1090</f>
        <v>4.2771599657827203E-3</v>
      </c>
      <c r="AE1090" s="139">
        <f t="shared" si="2187"/>
        <v>0</v>
      </c>
      <c r="AF1090" s="139">
        <f t="shared" si="2187"/>
        <v>0</v>
      </c>
      <c r="AG1090" s="139">
        <f t="shared" si="2187"/>
        <v>0</v>
      </c>
      <c r="AH1090" s="139">
        <f t="shared" si="2187"/>
        <v>2.3952095808383235E-2</v>
      </c>
      <c r="AI1090" s="139">
        <f t="shared" si="2187"/>
        <v>1.0265183917878529E-2</v>
      </c>
    </row>
    <row r="1091" spans="2:35">
      <c r="B1091" s="138" t="s">
        <v>8077</v>
      </c>
      <c r="C1091" s="138" t="s">
        <v>4367</v>
      </c>
      <c r="D1091" s="138" t="s">
        <v>10</v>
      </c>
      <c r="E1091" s="138" t="s">
        <v>786</v>
      </c>
      <c r="F1091" s="138" t="s">
        <v>786</v>
      </c>
      <c r="H1091" s="138">
        <v>143</v>
      </c>
      <c r="I1091" s="138">
        <v>703</v>
      </c>
      <c r="K1091" s="138">
        <v>193</v>
      </c>
      <c r="L1091" s="138">
        <v>482</v>
      </c>
      <c r="N1091" s="138">
        <v>2</v>
      </c>
      <c r="O1091" s="138">
        <v>2</v>
      </c>
      <c r="S1091" s="138">
        <v>17</v>
      </c>
      <c r="T1091" s="138">
        <v>7</v>
      </c>
      <c r="U1091" s="138">
        <f t="shared" si="2048"/>
        <v>26</v>
      </c>
      <c r="W1091" s="139">
        <f t="shared" ref="W1091:AA1091" si="2188">J1091/$I1091</f>
        <v>0</v>
      </c>
      <c r="X1091" s="139">
        <f t="shared" si="2188"/>
        <v>0.27453769559032715</v>
      </c>
      <c r="Y1091" s="139">
        <f t="shared" si="2188"/>
        <v>0.68563300142247507</v>
      </c>
      <c r="Z1091" s="139">
        <f t="shared" si="2188"/>
        <v>0</v>
      </c>
      <c r="AA1091" s="139">
        <f t="shared" si="2188"/>
        <v>2.8449502133712661E-3</v>
      </c>
      <c r="AB1091" s="139"/>
      <c r="AC1091" s="139">
        <f t="shared" si="2050"/>
        <v>3.6984352773826459E-2</v>
      </c>
      <c r="AD1091" s="139">
        <f t="shared" ref="AD1091:AI1091" si="2189">O1091/$I1091</f>
        <v>2.8449502133712661E-3</v>
      </c>
      <c r="AE1091" s="139">
        <f t="shared" si="2189"/>
        <v>0</v>
      </c>
      <c r="AF1091" s="139">
        <f t="shared" si="2189"/>
        <v>0</v>
      </c>
      <c r="AG1091" s="139">
        <f t="shared" si="2189"/>
        <v>0</v>
      </c>
      <c r="AH1091" s="139">
        <f t="shared" si="2189"/>
        <v>2.4182076813655761E-2</v>
      </c>
      <c r="AI1091" s="139">
        <f t="shared" si="2189"/>
        <v>9.9573257467994308E-3</v>
      </c>
    </row>
    <row r="1092" spans="2:35">
      <c r="B1092" s="138" t="s">
        <v>8077</v>
      </c>
      <c r="C1092" s="138" t="s">
        <v>4367</v>
      </c>
      <c r="D1092" s="138" t="s">
        <v>10</v>
      </c>
      <c r="E1092" s="138" t="s">
        <v>786</v>
      </c>
      <c r="F1092" s="138" t="s">
        <v>786</v>
      </c>
      <c r="H1092" s="138">
        <v>144</v>
      </c>
      <c r="I1092" s="138">
        <v>586</v>
      </c>
      <c r="K1092" s="138">
        <v>63</v>
      </c>
      <c r="L1092" s="138">
        <v>503</v>
      </c>
      <c r="N1092" s="138">
        <v>0</v>
      </c>
      <c r="O1092" s="138">
        <v>1</v>
      </c>
      <c r="S1092" s="138">
        <v>17</v>
      </c>
      <c r="T1092" s="138">
        <v>2</v>
      </c>
      <c r="U1092" s="138">
        <f t="shared" si="2048"/>
        <v>20</v>
      </c>
      <c r="W1092" s="139">
        <f t="shared" ref="W1092:AA1092" si="2190">J1092/$I1092</f>
        <v>0</v>
      </c>
      <c r="X1092" s="139">
        <f t="shared" si="2190"/>
        <v>0.10750853242320819</v>
      </c>
      <c r="Y1092" s="139">
        <f t="shared" si="2190"/>
        <v>0.85836177474402731</v>
      </c>
      <c r="Z1092" s="139">
        <f t="shared" si="2190"/>
        <v>0</v>
      </c>
      <c r="AA1092" s="139">
        <f t="shared" si="2190"/>
        <v>0</v>
      </c>
      <c r="AB1092" s="139"/>
      <c r="AC1092" s="139">
        <f t="shared" si="2050"/>
        <v>3.4129692832764506E-2</v>
      </c>
      <c r="AD1092" s="139">
        <f t="shared" ref="AD1092:AI1092" si="2191">O1092/$I1092</f>
        <v>1.7064846416382253E-3</v>
      </c>
      <c r="AE1092" s="139">
        <f t="shared" si="2191"/>
        <v>0</v>
      </c>
      <c r="AF1092" s="139">
        <f t="shared" si="2191"/>
        <v>0</v>
      </c>
      <c r="AG1092" s="139">
        <f t="shared" si="2191"/>
        <v>0</v>
      </c>
      <c r="AH1092" s="139">
        <f t="shared" si="2191"/>
        <v>2.9010238907849831E-2</v>
      </c>
      <c r="AI1092" s="139">
        <f t="shared" si="2191"/>
        <v>3.4129692832764505E-3</v>
      </c>
    </row>
    <row r="1093" spans="2:35">
      <c r="B1093" s="138" t="s">
        <v>8077</v>
      </c>
      <c r="C1093" s="138" t="s">
        <v>4367</v>
      </c>
      <c r="D1093" s="138" t="s">
        <v>10</v>
      </c>
      <c r="E1093" s="138" t="s">
        <v>786</v>
      </c>
      <c r="F1093" s="138" t="s">
        <v>786</v>
      </c>
      <c r="H1093" s="138">
        <v>145</v>
      </c>
      <c r="I1093" s="138">
        <v>622</v>
      </c>
      <c r="K1093" s="138">
        <v>81</v>
      </c>
      <c r="L1093" s="138">
        <v>528</v>
      </c>
      <c r="N1093" s="138">
        <v>2</v>
      </c>
      <c r="O1093" s="138">
        <v>1</v>
      </c>
      <c r="S1093" s="138">
        <v>8</v>
      </c>
      <c r="T1093" s="138">
        <v>2</v>
      </c>
      <c r="U1093" s="138">
        <f t="shared" si="2048"/>
        <v>11</v>
      </c>
      <c r="W1093" s="139">
        <f t="shared" ref="W1093:AA1093" si="2192">J1093/$I1093</f>
        <v>0</v>
      </c>
      <c r="X1093" s="139">
        <f t="shared" si="2192"/>
        <v>0.13022508038585209</v>
      </c>
      <c r="Y1093" s="139">
        <f t="shared" si="2192"/>
        <v>0.84887459807073951</v>
      </c>
      <c r="Z1093" s="139">
        <f t="shared" si="2192"/>
        <v>0</v>
      </c>
      <c r="AA1093" s="139">
        <f t="shared" si="2192"/>
        <v>3.2154340836012861E-3</v>
      </c>
      <c r="AB1093" s="139"/>
      <c r="AC1093" s="139">
        <f t="shared" si="2050"/>
        <v>1.7684887459807074E-2</v>
      </c>
      <c r="AD1093" s="139">
        <f t="shared" ref="AD1093:AI1093" si="2193">O1093/$I1093</f>
        <v>1.6077170418006431E-3</v>
      </c>
      <c r="AE1093" s="139">
        <f t="shared" si="2193"/>
        <v>0</v>
      </c>
      <c r="AF1093" s="139">
        <f t="shared" si="2193"/>
        <v>0</v>
      </c>
      <c r="AG1093" s="139">
        <f t="shared" si="2193"/>
        <v>0</v>
      </c>
      <c r="AH1093" s="139">
        <f t="shared" si="2193"/>
        <v>1.2861736334405145E-2</v>
      </c>
      <c r="AI1093" s="139">
        <f t="shared" si="2193"/>
        <v>3.2154340836012861E-3</v>
      </c>
    </row>
    <row r="1094" spans="2:35">
      <c r="B1094" s="138" t="s">
        <v>8077</v>
      </c>
      <c r="C1094" s="138" t="s">
        <v>4367</v>
      </c>
      <c r="D1094" s="138" t="s">
        <v>10</v>
      </c>
      <c r="E1094" s="138" t="s">
        <v>786</v>
      </c>
      <c r="F1094" s="138" t="s">
        <v>786</v>
      </c>
      <c r="H1094" s="138">
        <v>146</v>
      </c>
      <c r="I1094" s="138">
        <v>687</v>
      </c>
      <c r="K1094" s="138">
        <v>138</v>
      </c>
      <c r="L1094" s="138">
        <v>526</v>
      </c>
      <c r="N1094" s="138">
        <v>4</v>
      </c>
      <c r="O1094" s="138">
        <v>2</v>
      </c>
      <c r="S1094" s="138">
        <v>12</v>
      </c>
      <c r="T1094" s="138">
        <v>5</v>
      </c>
      <c r="U1094" s="138">
        <f t="shared" si="2048"/>
        <v>19</v>
      </c>
      <c r="W1094" s="139">
        <f t="shared" ref="W1094:AA1094" si="2194">J1094/$I1094</f>
        <v>0</v>
      </c>
      <c r="X1094" s="139">
        <f t="shared" si="2194"/>
        <v>0.20087336244541484</v>
      </c>
      <c r="Y1094" s="139">
        <f t="shared" si="2194"/>
        <v>0.76564774381368272</v>
      </c>
      <c r="Z1094" s="139">
        <f t="shared" si="2194"/>
        <v>0</v>
      </c>
      <c r="AA1094" s="139">
        <f t="shared" si="2194"/>
        <v>5.822416302765648E-3</v>
      </c>
      <c r="AB1094" s="139"/>
      <c r="AC1094" s="139">
        <f t="shared" si="2050"/>
        <v>2.7656477438136828E-2</v>
      </c>
      <c r="AD1094" s="139">
        <f t="shared" ref="AD1094:AI1094" si="2195">O1094/$I1094</f>
        <v>2.911208151382824E-3</v>
      </c>
      <c r="AE1094" s="139">
        <f t="shared" si="2195"/>
        <v>0</v>
      </c>
      <c r="AF1094" s="139">
        <f t="shared" si="2195"/>
        <v>0</v>
      </c>
      <c r="AG1094" s="139">
        <f t="shared" si="2195"/>
        <v>0</v>
      </c>
      <c r="AH1094" s="139">
        <f t="shared" si="2195"/>
        <v>1.7467248908296942E-2</v>
      </c>
      <c r="AI1094" s="139">
        <f t="shared" si="2195"/>
        <v>7.2780203784570596E-3</v>
      </c>
    </row>
    <row r="1095" spans="2:35">
      <c r="B1095" s="138" t="s">
        <v>8077</v>
      </c>
      <c r="C1095" s="138" t="s">
        <v>4367</v>
      </c>
      <c r="D1095" s="138" t="s">
        <v>10</v>
      </c>
      <c r="E1095" s="138" t="s">
        <v>786</v>
      </c>
      <c r="F1095" s="138" t="s">
        <v>786</v>
      </c>
      <c r="H1095" s="138">
        <v>147</v>
      </c>
      <c r="I1095" s="138">
        <v>472</v>
      </c>
      <c r="K1095" s="138">
        <v>73</v>
      </c>
      <c r="L1095" s="138">
        <v>390</v>
      </c>
      <c r="N1095" s="138">
        <v>2</v>
      </c>
      <c r="O1095" s="138">
        <v>0</v>
      </c>
      <c r="S1095" s="138">
        <v>6</v>
      </c>
      <c r="T1095" s="138">
        <v>1</v>
      </c>
      <c r="U1095" s="138">
        <f t="shared" si="2048"/>
        <v>7</v>
      </c>
      <c r="W1095" s="139">
        <f t="shared" ref="W1095:AA1095" si="2196">J1095/$I1095</f>
        <v>0</v>
      </c>
      <c r="X1095" s="139">
        <f t="shared" si="2196"/>
        <v>0.15466101694915255</v>
      </c>
      <c r="Y1095" s="139">
        <f t="shared" si="2196"/>
        <v>0.82627118644067798</v>
      </c>
      <c r="Z1095" s="139">
        <f t="shared" si="2196"/>
        <v>0</v>
      </c>
      <c r="AA1095" s="139">
        <f t="shared" si="2196"/>
        <v>4.2372881355932203E-3</v>
      </c>
      <c r="AB1095" s="139"/>
      <c r="AC1095" s="139">
        <f t="shared" si="2050"/>
        <v>1.4830508474576272E-2</v>
      </c>
      <c r="AD1095" s="139">
        <f t="shared" ref="AD1095:AI1095" si="2197">O1095/$I1095</f>
        <v>0</v>
      </c>
      <c r="AE1095" s="139">
        <f t="shared" si="2197"/>
        <v>0</v>
      </c>
      <c r="AF1095" s="139">
        <f t="shared" si="2197"/>
        <v>0</v>
      </c>
      <c r="AG1095" s="139">
        <f t="shared" si="2197"/>
        <v>0</v>
      </c>
      <c r="AH1095" s="139">
        <f t="shared" si="2197"/>
        <v>1.2711864406779662E-2</v>
      </c>
      <c r="AI1095" s="139">
        <f t="shared" si="2197"/>
        <v>2.1186440677966102E-3</v>
      </c>
    </row>
    <row r="1096" spans="2:35">
      <c r="B1096" s="138" t="s">
        <v>8077</v>
      </c>
      <c r="C1096" s="138" t="s">
        <v>4367</v>
      </c>
      <c r="D1096" s="138" t="s">
        <v>10</v>
      </c>
      <c r="E1096" s="138" t="s">
        <v>786</v>
      </c>
      <c r="F1096" s="138" t="s">
        <v>786</v>
      </c>
      <c r="H1096" s="138">
        <v>148</v>
      </c>
      <c r="I1096" s="138">
        <v>1208</v>
      </c>
      <c r="K1096" s="138">
        <v>155</v>
      </c>
      <c r="L1096" s="138">
        <v>1016</v>
      </c>
      <c r="N1096" s="138">
        <v>6</v>
      </c>
      <c r="O1096" s="138">
        <v>0</v>
      </c>
      <c r="S1096" s="138">
        <v>27</v>
      </c>
      <c r="T1096" s="138">
        <v>4</v>
      </c>
      <c r="U1096" s="138">
        <f t="shared" si="2048"/>
        <v>31</v>
      </c>
      <c r="W1096" s="139">
        <f t="shared" ref="W1096:AA1096" si="2198">J1096/$I1096</f>
        <v>0</v>
      </c>
      <c r="X1096" s="139">
        <f t="shared" si="2198"/>
        <v>0.12831125827814568</v>
      </c>
      <c r="Y1096" s="139">
        <f t="shared" si="2198"/>
        <v>0.84105960264900659</v>
      </c>
      <c r="Z1096" s="139">
        <f t="shared" si="2198"/>
        <v>0</v>
      </c>
      <c r="AA1096" s="139">
        <f t="shared" si="2198"/>
        <v>4.9668874172185433E-3</v>
      </c>
      <c r="AB1096" s="139"/>
      <c r="AC1096" s="139">
        <f t="shared" si="2050"/>
        <v>2.5662251655629138E-2</v>
      </c>
      <c r="AD1096" s="139">
        <f t="shared" ref="AD1096:AI1096" si="2199">O1096/$I1096</f>
        <v>0</v>
      </c>
      <c r="AE1096" s="139">
        <f t="shared" si="2199"/>
        <v>0</v>
      </c>
      <c r="AF1096" s="139">
        <f t="shared" si="2199"/>
        <v>0</v>
      </c>
      <c r="AG1096" s="139">
        <f t="shared" si="2199"/>
        <v>0</v>
      </c>
      <c r="AH1096" s="139">
        <f t="shared" si="2199"/>
        <v>2.2350993377483443E-2</v>
      </c>
      <c r="AI1096" s="139">
        <f t="shared" si="2199"/>
        <v>3.3112582781456954E-3</v>
      </c>
    </row>
    <row r="1097" spans="2:35">
      <c r="B1097" s="138" t="s">
        <v>8077</v>
      </c>
      <c r="C1097" s="138" t="s">
        <v>4367</v>
      </c>
      <c r="D1097" s="138" t="s">
        <v>10</v>
      </c>
      <c r="E1097" s="138" t="s">
        <v>786</v>
      </c>
      <c r="F1097" s="138" t="s">
        <v>786</v>
      </c>
      <c r="H1097" s="138">
        <v>149</v>
      </c>
      <c r="I1097" s="138">
        <v>479</v>
      </c>
      <c r="K1097" s="138">
        <v>63</v>
      </c>
      <c r="L1097" s="138">
        <v>404</v>
      </c>
      <c r="N1097" s="138">
        <v>3</v>
      </c>
      <c r="O1097" s="138">
        <v>2</v>
      </c>
      <c r="S1097" s="138">
        <v>3</v>
      </c>
      <c r="T1097" s="138">
        <v>4</v>
      </c>
      <c r="U1097" s="138">
        <f t="shared" si="2048"/>
        <v>9</v>
      </c>
      <c r="W1097" s="139">
        <f t="shared" ref="W1097:AA1097" si="2200">J1097/$I1097</f>
        <v>0</v>
      </c>
      <c r="X1097" s="139">
        <f t="shared" si="2200"/>
        <v>0.13152400835073069</v>
      </c>
      <c r="Y1097" s="139">
        <f t="shared" si="2200"/>
        <v>0.8434237995824635</v>
      </c>
      <c r="Z1097" s="139">
        <f t="shared" si="2200"/>
        <v>0</v>
      </c>
      <c r="AA1097" s="139">
        <f t="shared" si="2200"/>
        <v>6.2630480167014616E-3</v>
      </c>
      <c r="AB1097" s="139"/>
      <c r="AC1097" s="139">
        <f t="shared" si="2050"/>
        <v>1.8789144050104383E-2</v>
      </c>
      <c r="AD1097" s="139">
        <f t="shared" ref="AD1097:AI1097" si="2201">O1097/$I1097</f>
        <v>4.1753653444676405E-3</v>
      </c>
      <c r="AE1097" s="139">
        <f t="shared" si="2201"/>
        <v>0</v>
      </c>
      <c r="AF1097" s="139">
        <f t="shared" si="2201"/>
        <v>0</v>
      </c>
      <c r="AG1097" s="139">
        <f t="shared" si="2201"/>
        <v>0</v>
      </c>
      <c r="AH1097" s="139">
        <f t="shared" si="2201"/>
        <v>6.2630480167014616E-3</v>
      </c>
      <c r="AI1097" s="139">
        <f t="shared" si="2201"/>
        <v>8.350730688935281E-3</v>
      </c>
    </row>
    <row r="1098" spans="2:35">
      <c r="B1098" s="138" t="s">
        <v>8077</v>
      </c>
      <c r="C1098" s="138" t="s">
        <v>4367</v>
      </c>
      <c r="D1098" s="138" t="s">
        <v>10</v>
      </c>
      <c r="E1098" s="138" t="s">
        <v>786</v>
      </c>
      <c r="F1098" s="138" t="s">
        <v>786</v>
      </c>
      <c r="H1098" s="138">
        <v>150</v>
      </c>
      <c r="I1098" s="138">
        <v>883</v>
      </c>
      <c r="K1098" s="138">
        <v>149</v>
      </c>
      <c r="L1098" s="138">
        <v>696</v>
      </c>
      <c r="N1098" s="138">
        <v>5</v>
      </c>
      <c r="O1098" s="138">
        <v>4</v>
      </c>
      <c r="S1098" s="138">
        <v>27</v>
      </c>
      <c r="T1098" s="138">
        <v>2</v>
      </c>
      <c r="U1098" s="138">
        <f t="shared" si="2048"/>
        <v>33</v>
      </c>
      <c r="W1098" s="139">
        <f t="shared" ref="W1098:AA1098" si="2202">J1098/$I1098</f>
        <v>0</v>
      </c>
      <c r="X1098" s="139">
        <f t="shared" si="2202"/>
        <v>0.16874292185730463</v>
      </c>
      <c r="Y1098" s="139">
        <f t="shared" si="2202"/>
        <v>0.78822197055492638</v>
      </c>
      <c r="Z1098" s="139">
        <f t="shared" si="2202"/>
        <v>0</v>
      </c>
      <c r="AA1098" s="139">
        <f t="shared" si="2202"/>
        <v>5.6625141562853904E-3</v>
      </c>
      <c r="AB1098" s="139"/>
      <c r="AC1098" s="139">
        <f t="shared" si="2050"/>
        <v>3.7372593431483581E-2</v>
      </c>
      <c r="AD1098" s="139">
        <f t="shared" ref="AD1098:AI1098" si="2203">O1098/$I1098</f>
        <v>4.5300113250283129E-3</v>
      </c>
      <c r="AE1098" s="139">
        <f t="shared" si="2203"/>
        <v>0</v>
      </c>
      <c r="AF1098" s="139">
        <f t="shared" si="2203"/>
        <v>0</v>
      </c>
      <c r="AG1098" s="139">
        <f t="shared" si="2203"/>
        <v>0</v>
      </c>
      <c r="AH1098" s="139">
        <f t="shared" si="2203"/>
        <v>3.0577576443941108E-2</v>
      </c>
      <c r="AI1098" s="139">
        <f t="shared" si="2203"/>
        <v>2.2650056625141564E-3</v>
      </c>
    </row>
    <row r="1099" spans="2:35">
      <c r="B1099" s="138" t="s">
        <v>8077</v>
      </c>
      <c r="C1099" s="138" t="s">
        <v>4367</v>
      </c>
      <c r="D1099" s="138" t="s">
        <v>10</v>
      </c>
      <c r="E1099" s="138" t="s">
        <v>786</v>
      </c>
      <c r="F1099" s="138" t="s">
        <v>786</v>
      </c>
      <c r="H1099" s="138">
        <v>151</v>
      </c>
      <c r="I1099" s="138">
        <v>1267</v>
      </c>
      <c r="K1099" s="138">
        <v>293</v>
      </c>
      <c r="L1099" s="138">
        <v>935</v>
      </c>
      <c r="N1099" s="138">
        <v>13</v>
      </c>
      <c r="O1099" s="138">
        <v>2</v>
      </c>
      <c r="S1099" s="138">
        <v>22</v>
      </c>
      <c r="T1099" s="138">
        <v>2</v>
      </c>
      <c r="U1099" s="138">
        <f t="shared" si="2048"/>
        <v>26</v>
      </c>
      <c r="W1099" s="139">
        <f t="shared" ref="W1099:AA1099" si="2204">J1099/$I1099</f>
        <v>0</v>
      </c>
      <c r="X1099" s="139">
        <f t="shared" si="2204"/>
        <v>0.23125493291239146</v>
      </c>
      <c r="Y1099" s="139">
        <f t="shared" si="2204"/>
        <v>0.73796369376479876</v>
      </c>
      <c r="Z1099" s="139">
        <f t="shared" si="2204"/>
        <v>0</v>
      </c>
      <c r="AA1099" s="139">
        <f t="shared" si="2204"/>
        <v>1.0260457774269928E-2</v>
      </c>
      <c r="AB1099" s="139"/>
      <c r="AC1099" s="139">
        <f t="shared" si="2050"/>
        <v>2.0520915548539857E-2</v>
      </c>
      <c r="AD1099" s="139">
        <f t="shared" ref="AD1099:AI1099" si="2205">O1099/$I1099</f>
        <v>1.5785319652722968E-3</v>
      </c>
      <c r="AE1099" s="139">
        <f t="shared" si="2205"/>
        <v>0</v>
      </c>
      <c r="AF1099" s="139">
        <f t="shared" si="2205"/>
        <v>0</v>
      </c>
      <c r="AG1099" s="139">
        <f t="shared" si="2205"/>
        <v>0</v>
      </c>
      <c r="AH1099" s="139">
        <f t="shared" si="2205"/>
        <v>1.7363851617995266E-2</v>
      </c>
      <c r="AI1099" s="139">
        <f t="shared" si="2205"/>
        <v>1.5785319652722968E-3</v>
      </c>
    </row>
    <row r="1100" spans="2:35">
      <c r="B1100" s="138" t="s">
        <v>8077</v>
      </c>
      <c r="C1100" s="138" t="s">
        <v>4367</v>
      </c>
      <c r="D1100" s="138" t="s">
        <v>10</v>
      </c>
      <c r="E1100" s="138" t="s">
        <v>786</v>
      </c>
      <c r="F1100" s="138" t="s">
        <v>786</v>
      </c>
      <c r="H1100" s="138">
        <v>152</v>
      </c>
      <c r="I1100" s="138">
        <v>1069</v>
      </c>
      <c r="K1100" s="138">
        <v>145</v>
      </c>
      <c r="L1100" s="138">
        <v>882</v>
      </c>
      <c r="N1100" s="138">
        <v>8</v>
      </c>
      <c r="O1100" s="138">
        <v>0</v>
      </c>
      <c r="S1100" s="138">
        <v>32</v>
      </c>
      <c r="T1100" s="138">
        <v>2</v>
      </c>
      <c r="U1100" s="138">
        <f t="shared" si="2048"/>
        <v>34</v>
      </c>
      <c r="W1100" s="139">
        <f t="shared" ref="W1100:AA1100" si="2206">J1100/$I1100</f>
        <v>0</v>
      </c>
      <c r="X1100" s="139">
        <f t="shared" si="2206"/>
        <v>0.13564078578110383</v>
      </c>
      <c r="Y1100" s="139">
        <f t="shared" si="2206"/>
        <v>0.8250701590271281</v>
      </c>
      <c r="Z1100" s="139">
        <f t="shared" si="2206"/>
        <v>0</v>
      </c>
      <c r="AA1100" s="139">
        <f t="shared" si="2206"/>
        <v>7.4836295603367634E-3</v>
      </c>
      <c r="AB1100" s="139"/>
      <c r="AC1100" s="139">
        <f t="shared" si="2050"/>
        <v>3.1805425631431246E-2</v>
      </c>
      <c r="AD1100" s="139">
        <f t="shared" ref="AD1100:AI1100" si="2207">O1100/$I1100</f>
        <v>0</v>
      </c>
      <c r="AE1100" s="139">
        <f t="shared" si="2207"/>
        <v>0</v>
      </c>
      <c r="AF1100" s="139">
        <f t="shared" si="2207"/>
        <v>0</v>
      </c>
      <c r="AG1100" s="139">
        <f t="shared" si="2207"/>
        <v>0</v>
      </c>
      <c r="AH1100" s="139">
        <f t="shared" si="2207"/>
        <v>2.9934518241347054E-2</v>
      </c>
      <c r="AI1100" s="139">
        <f t="shared" si="2207"/>
        <v>1.8709073900841909E-3</v>
      </c>
    </row>
    <row r="1101" spans="2:35">
      <c r="B1101" s="138" t="s">
        <v>8077</v>
      </c>
      <c r="C1101" s="138" t="s">
        <v>4367</v>
      </c>
      <c r="D1101" s="138" t="s">
        <v>10</v>
      </c>
      <c r="E1101" s="138" t="s">
        <v>786</v>
      </c>
      <c r="F1101" s="138" t="s">
        <v>786</v>
      </c>
      <c r="H1101" s="138">
        <v>153</v>
      </c>
      <c r="I1101" s="138">
        <v>762</v>
      </c>
      <c r="K1101" s="138">
        <v>87</v>
      </c>
      <c r="L1101" s="138">
        <v>628</v>
      </c>
      <c r="N1101" s="138">
        <v>5</v>
      </c>
      <c r="O1101" s="138">
        <v>2</v>
      </c>
      <c r="S1101" s="138">
        <v>30</v>
      </c>
      <c r="T1101" s="138">
        <v>10</v>
      </c>
      <c r="U1101" s="138">
        <f t="shared" si="2048"/>
        <v>42</v>
      </c>
      <c r="W1101" s="139">
        <f t="shared" ref="W1101:AA1101" si="2208">J1101/$I1101</f>
        <v>0</v>
      </c>
      <c r="X1101" s="139">
        <f t="shared" si="2208"/>
        <v>0.1141732283464567</v>
      </c>
      <c r="Y1101" s="139">
        <f t="shared" si="2208"/>
        <v>0.8241469816272966</v>
      </c>
      <c r="Z1101" s="139">
        <f t="shared" si="2208"/>
        <v>0</v>
      </c>
      <c r="AA1101" s="139">
        <f t="shared" si="2208"/>
        <v>6.5616797900262466E-3</v>
      </c>
      <c r="AB1101" s="139"/>
      <c r="AC1101" s="139">
        <f t="shared" si="2050"/>
        <v>5.5118110236220472E-2</v>
      </c>
      <c r="AD1101" s="139">
        <f t="shared" ref="AD1101:AI1101" si="2209">O1101/$I1101</f>
        <v>2.6246719160104987E-3</v>
      </c>
      <c r="AE1101" s="139">
        <f t="shared" si="2209"/>
        <v>0</v>
      </c>
      <c r="AF1101" s="139">
        <f t="shared" si="2209"/>
        <v>0</v>
      </c>
      <c r="AG1101" s="139">
        <f t="shared" si="2209"/>
        <v>0</v>
      </c>
      <c r="AH1101" s="139">
        <f t="shared" si="2209"/>
        <v>3.937007874015748E-2</v>
      </c>
      <c r="AI1101" s="139">
        <f t="shared" si="2209"/>
        <v>1.3123359580052493E-2</v>
      </c>
    </row>
    <row r="1102" spans="2:35">
      <c r="B1102" s="138" t="s">
        <v>8077</v>
      </c>
      <c r="C1102" s="138" t="s">
        <v>4367</v>
      </c>
      <c r="D1102" s="138" t="s">
        <v>10</v>
      </c>
      <c r="E1102" s="138" t="s">
        <v>786</v>
      </c>
      <c r="F1102" s="138" t="s">
        <v>786</v>
      </c>
      <c r="H1102" s="138">
        <v>154</v>
      </c>
      <c r="I1102" s="138">
        <v>661</v>
      </c>
      <c r="K1102" s="138">
        <v>126</v>
      </c>
      <c r="L1102" s="138">
        <v>505</v>
      </c>
      <c r="N1102" s="138">
        <v>3</v>
      </c>
      <c r="O1102" s="138">
        <v>2</v>
      </c>
      <c r="S1102" s="138">
        <v>22</v>
      </c>
      <c r="T1102" s="138">
        <v>3</v>
      </c>
      <c r="U1102" s="138">
        <f t="shared" si="2048"/>
        <v>27</v>
      </c>
      <c r="W1102" s="139">
        <f t="shared" ref="W1102:AA1102" si="2210">J1102/$I1102</f>
        <v>0</v>
      </c>
      <c r="X1102" s="139">
        <f t="shared" si="2210"/>
        <v>0.19062027231467474</v>
      </c>
      <c r="Y1102" s="139">
        <f t="shared" si="2210"/>
        <v>0.76399394856278369</v>
      </c>
      <c r="Z1102" s="139">
        <f t="shared" si="2210"/>
        <v>0</v>
      </c>
      <c r="AA1102" s="139">
        <f t="shared" si="2210"/>
        <v>4.5385779122541605E-3</v>
      </c>
      <c r="AB1102" s="139"/>
      <c r="AC1102" s="139">
        <f t="shared" si="2050"/>
        <v>4.084720121028744E-2</v>
      </c>
      <c r="AD1102" s="139">
        <f t="shared" ref="AD1102:AI1102" si="2211">O1102/$I1102</f>
        <v>3.0257186081694403E-3</v>
      </c>
      <c r="AE1102" s="139">
        <f t="shared" si="2211"/>
        <v>0</v>
      </c>
      <c r="AF1102" s="139">
        <f t="shared" si="2211"/>
        <v>0</v>
      </c>
      <c r="AG1102" s="139">
        <f t="shared" si="2211"/>
        <v>0</v>
      </c>
      <c r="AH1102" s="139">
        <f t="shared" si="2211"/>
        <v>3.3282904689863842E-2</v>
      </c>
      <c r="AI1102" s="139">
        <f t="shared" si="2211"/>
        <v>4.5385779122541605E-3</v>
      </c>
    </row>
    <row r="1103" spans="2:35">
      <c r="B1103" s="138" t="s">
        <v>8077</v>
      </c>
      <c r="C1103" s="138" t="s">
        <v>4367</v>
      </c>
      <c r="D1103" s="138" t="s">
        <v>10</v>
      </c>
      <c r="E1103" s="138" t="s">
        <v>786</v>
      </c>
      <c r="F1103" s="138" t="s">
        <v>786</v>
      </c>
      <c r="H1103" s="138">
        <v>155</v>
      </c>
      <c r="I1103" s="138">
        <v>508</v>
      </c>
      <c r="K1103" s="138">
        <v>70</v>
      </c>
      <c r="L1103" s="138">
        <v>403</v>
      </c>
      <c r="N1103" s="138">
        <v>2</v>
      </c>
      <c r="O1103" s="138">
        <v>4</v>
      </c>
      <c r="S1103" s="138">
        <v>24</v>
      </c>
      <c r="T1103" s="138">
        <v>5</v>
      </c>
      <c r="U1103" s="138">
        <f t="shared" si="2048"/>
        <v>33</v>
      </c>
      <c r="W1103" s="139">
        <f t="shared" ref="W1103:AA1103" si="2212">J1103/$I1103</f>
        <v>0</v>
      </c>
      <c r="X1103" s="139">
        <f t="shared" si="2212"/>
        <v>0.13779527559055119</v>
      </c>
      <c r="Y1103" s="139">
        <f t="shared" si="2212"/>
        <v>0.79330708661417326</v>
      </c>
      <c r="Z1103" s="139">
        <f t="shared" si="2212"/>
        <v>0</v>
      </c>
      <c r="AA1103" s="139">
        <f t="shared" si="2212"/>
        <v>3.937007874015748E-3</v>
      </c>
      <c r="AB1103" s="139"/>
      <c r="AC1103" s="139">
        <f t="shared" si="2050"/>
        <v>6.4960629921259838E-2</v>
      </c>
      <c r="AD1103" s="139">
        <f t="shared" ref="AD1103:AI1103" si="2213">O1103/$I1103</f>
        <v>7.874015748031496E-3</v>
      </c>
      <c r="AE1103" s="139">
        <f t="shared" si="2213"/>
        <v>0</v>
      </c>
      <c r="AF1103" s="139">
        <f t="shared" si="2213"/>
        <v>0</v>
      </c>
      <c r="AG1103" s="139">
        <f t="shared" si="2213"/>
        <v>0</v>
      </c>
      <c r="AH1103" s="139">
        <f t="shared" si="2213"/>
        <v>4.7244094488188976E-2</v>
      </c>
      <c r="AI1103" s="139">
        <f t="shared" si="2213"/>
        <v>9.8425196850393699E-3</v>
      </c>
    </row>
    <row r="1104" spans="2:35">
      <c r="B1104" s="138" t="s">
        <v>8077</v>
      </c>
      <c r="C1104" s="138" t="s">
        <v>4367</v>
      </c>
      <c r="D1104" s="138" t="s">
        <v>10</v>
      </c>
      <c r="E1104" s="138" t="s">
        <v>786</v>
      </c>
      <c r="F1104" s="138" t="s">
        <v>786</v>
      </c>
      <c r="H1104" s="138">
        <v>156</v>
      </c>
      <c r="I1104" s="138">
        <v>622</v>
      </c>
      <c r="K1104" s="138">
        <v>167</v>
      </c>
      <c r="L1104" s="138">
        <v>420</v>
      </c>
      <c r="N1104" s="138">
        <v>6</v>
      </c>
      <c r="O1104" s="138">
        <v>2</v>
      </c>
      <c r="S1104" s="138">
        <v>19</v>
      </c>
      <c r="T1104" s="138">
        <v>8</v>
      </c>
      <c r="U1104" s="138">
        <f t="shared" si="2048"/>
        <v>29</v>
      </c>
      <c r="W1104" s="139">
        <f t="shared" ref="W1104:AA1104" si="2214">J1104/$I1104</f>
        <v>0</v>
      </c>
      <c r="X1104" s="139">
        <f t="shared" si="2214"/>
        <v>0.26848874598070738</v>
      </c>
      <c r="Y1104" s="139">
        <f t="shared" si="2214"/>
        <v>0.67524115755627012</v>
      </c>
      <c r="Z1104" s="139">
        <f t="shared" si="2214"/>
        <v>0</v>
      </c>
      <c r="AA1104" s="139">
        <f t="shared" si="2214"/>
        <v>9.6463022508038593E-3</v>
      </c>
      <c r="AB1104" s="139"/>
      <c r="AC1104" s="139">
        <f t="shared" si="2050"/>
        <v>4.6623794212218649E-2</v>
      </c>
      <c r="AD1104" s="139">
        <f t="shared" ref="AD1104:AI1104" si="2215">O1104/$I1104</f>
        <v>3.2154340836012861E-3</v>
      </c>
      <c r="AE1104" s="139">
        <f t="shared" si="2215"/>
        <v>0</v>
      </c>
      <c r="AF1104" s="139">
        <f t="shared" si="2215"/>
        <v>0</v>
      </c>
      <c r="AG1104" s="139">
        <f t="shared" si="2215"/>
        <v>0</v>
      </c>
      <c r="AH1104" s="139">
        <f t="shared" si="2215"/>
        <v>3.0546623794212219E-2</v>
      </c>
      <c r="AI1104" s="139">
        <f t="shared" si="2215"/>
        <v>1.2861736334405145E-2</v>
      </c>
    </row>
    <row r="1105" spans="2:35">
      <c r="B1105" s="138" t="s">
        <v>8077</v>
      </c>
      <c r="C1105" s="138" t="s">
        <v>4367</v>
      </c>
      <c r="D1105" s="138" t="s">
        <v>10</v>
      </c>
      <c r="E1105" s="138" t="s">
        <v>786</v>
      </c>
      <c r="F1105" s="138" t="s">
        <v>786</v>
      </c>
      <c r="H1105" s="138">
        <v>157</v>
      </c>
      <c r="I1105" s="138">
        <v>1223</v>
      </c>
      <c r="K1105" s="138">
        <v>886</v>
      </c>
      <c r="L1105" s="138">
        <v>309</v>
      </c>
      <c r="N1105" s="138">
        <v>10</v>
      </c>
      <c r="O1105" s="138">
        <v>2</v>
      </c>
      <c r="S1105" s="138">
        <v>7</v>
      </c>
      <c r="T1105" s="138">
        <v>9</v>
      </c>
      <c r="U1105" s="138">
        <f t="shared" si="2048"/>
        <v>18</v>
      </c>
      <c r="W1105" s="139">
        <f t="shared" ref="W1105:AA1105" si="2216">J1105/$I1105</f>
        <v>0</v>
      </c>
      <c r="X1105" s="139">
        <f t="shared" si="2216"/>
        <v>0.72444807849550286</v>
      </c>
      <c r="Y1105" s="139">
        <f t="shared" si="2216"/>
        <v>0.25265739983646768</v>
      </c>
      <c r="Z1105" s="139">
        <f t="shared" si="2216"/>
        <v>0</v>
      </c>
      <c r="AA1105" s="139">
        <f t="shared" si="2216"/>
        <v>8.1766148814390836E-3</v>
      </c>
      <c r="AB1105" s="139"/>
      <c r="AC1105" s="139">
        <f t="shared" si="2050"/>
        <v>1.4717906786590351E-2</v>
      </c>
      <c r="AD1105" s="139">
        <f t="shared" ref="AD1105:AI1105" si="2217">O1105/$I1105</f>
        <v>1.6353229762878169E-3</v>
      </c>
      <c r="AE1105" s="139">
        <f t="shared" si="2217"/>
        <v>0</v>
      </c>
      <c r="AF1105" s="139">
        <f t="shared" si="2217"/>
        <v>0</v>
      </c>
      <c r="AG1105" s="139">
        <f t="shared" si="2217"/>
        <v>0</v>
      </c>
      <c r="AH1105" s="139">
        <f t="shared" si="2217"/>
        <v>5.7236304170073587E-3</v>
      </c>
      <c r="AI1105" s="139">
        <f t="shared" si="2217"/>
        <v>7.3589533932951756E-3</v>
      </c>
    </row>
    <row r="1106" spans="2:35">
      <c r="B1106" s="138" t="s">
        <v>8077</v>
      </c>
      <c r="C1106" s="138" t="s">
        <v>4367</v>
      </c>
      <c r="D1106" s="138" t="s">
        <v>10</v>
      </c>
      <c r="E1106" s="138" t="s">
        <v>786</v>
      </c>
      <c r="F1106" s="138" t="s">
        <v>786</v>
      </c>
      <c r="H1106" s="138">
        <v>158</v>
      </c>
      <c r="I1106" s="138">
        <v>1036</v>
      </c>
      <c r="K1106" s="138">
        <v>370</v>
      </c>
      <c r="L1106" s="138">
        <v>630</v>
      </c>
      <c r="N1106" s="138">
        <v>7</v>
      </c>
      <c r="O1106" s="138">
        <v>3</v>
      </c>
      <c r="S1106" s="138">
        <v>17</v>
      </c>
      <c r="T1106" s="138">
        <v>9</v>
      </c>
      <c r="U1106" s="138">
        <f t="shared" si="2048"/>
        <v>29</v>
      </c>
      <c r="W1106" s="139">
        <f t="shared" ref="W1106:AA1106" si="2218">J1106/$I1106</f>
        <v>0</v>
      </c>
      <c r="X1106" s="139">
        <f t="shared" si="2218"/>
        <v>0.35714285714285715</v>
      </c>
      <c r="Y1106" s="139">
        <f t="shared" si="2218"/>
        <v>0.60810810810810811</v>
      </c>
      <c r="Z1106" s="139">
        <f t="shared" si="2218"/>
        <v>0</v>
      </c>
      <c r="AA1106" s="139">
        <f t="shared" si="2218"/>
        <v>6.7567567567567571E-3</v>
      </c>
      <c r="AB1106" s="139"/>
      <c r="AC1106" s="139">
        <f t="shared" si="2050"/>
        <v>2.7992277992277992E-2</v>
      </c>
      <c r="AD1106" s="139">
        <f t="shared" ref="AD1106:AI1106" si="2219">O1106/$I1106</f>
        <v>2.8957528957528956E-3</v>
      </c>
      <c r="AE1106" s="139">
        <f t="shared" si="2219"/>
        <v>0</v>
      </c>
      <c r="AF1106" s="139">
        <f t="shared" si="2219"/>
        <v>0</v>
      </c>
      <c r="AG1106" s="139">
        <f t="shared" si="2219"/>
        <v>0</v>
      </c>
      <c r="AH1106" s="139">
        <f t="shared" si="2219"/>
        <v>1.6409266409266408E-2</v>
      </c>
      <c r="AI1106" s="139">
        <f t="shared" si="2219"/>
        <v>8.6872586872586872E-3</v>
      </c>
    </row>
    <row r="1107" spans="2:35">
      <c r="B1107" s="138" t="s">
        <v>8077</v>
      </c>
      <c r="C1107" s="138" t="s">
        <v>4367</v>
      </c>
      <c r="D1107" s="138" t="s">
        <v>10</v>
      </c>
      <c r="E1107" s="138" t="s">
        <v>786</v>
      </c>
      <c r="F1107" s="138" t="s">
        <v>786</v>
      </c>
      <c r="H1107" s="138">
        <v>159</v>
      </c>
      <c r="I1107" s="138">
        <v>567</v>
      </c>
      <c r="K1107" s="138">
        <v>93</v>
      </c>
      <c r="L1107" s="138">
        <v>457</v>
      </c>
      <c r="N1107" s="138">
        <v>2</v>
      </c>
      <c r="O1107" s="138">
        <v>0</v>
      </c>
      <c r="S1107" s="138">
        <v>14</v>
      </c>
      <c r="T1107" s="138">
        <v>1</v>
      </c>
      <c r="U1107" s="138">
        <f t="shared" si="2048"/>
        <v>15</v>
      </c>
      <c r="W1107" s="139">
        <f t="shared" ref="W1107:AA1107" si="2220">J1107/$I1107</f>
        <v>0</v>
      </c>
      <c r="X1107" s="139">
        <f t="shared" si="2220"/>
        <v>0.16402116402116401</v>
      </c>
      <c r="Y1107" s="139">
        <f t="shared" si="2220"/>
        <v>0.80599647266313934</v>
      </c>
      <c r="Z1107" s="139">
        <f t="shared" si="2220"/>
        <v>0</v>
      </c>
      <c r="AA1107" s="139">
        <f t="shared" si="2220"/>
        <v>3.5273368606701938E-3</v>
      </c>
      <c r="AB1107" s="139"/>
      <c r="AC1107" s="139">
        <f t="shared" si="2050"/>
        <v>2.6455026455026454E-2</v>
      </c>
      <c r="AD1107" s="139">
        <f t="shared" ref="AD1107:AI1107" si="2221">O1107/$I1107</f>
        <v>0</v>
      </c>
      <c r="AE1107" s="139">
        <f t="shared" si="2221"/>
        <v>0</v>
      </c>
      <c r="AF1107" s="139">
        <f t="shared" si="2221"/>
        <v>0</v>
      </c>
      <c r="AG1107" s="139">
        <f t="shared" si="2221"/>
        <v>0</v>
      </c>
      <c r="AH1107" s="139">
        <f t="shared" si="2221"/>
        <v>2.4691358024691357E-2</v>
      </c>
      <c r="AI1107" s="139">
        <f t="shared" si="2221"/>
        <v>1.7636684303350969E-3</v>
      </c>
    </row>
    <row r="1108" spans="2:35">
      <c r="B1108" s="138" t="s">
        <v>8077</v>
      </c>
      <c r="C1108" s="138" t="s">
        <v>4367</v>
      </c>
      <c r="D1108" s="138" t="s">
        <v>10</v>
      </c>
      <c r="E1108" s="138" t="s">
        <v>786</v>
      </c>
      <c r="F1108" s="138" t="s">
        <v>786</v>
      </c>
      <c r="H1108" s="138">
        <v>160</v>
      </c>
      <c r="I1108" s="138">
        <v>650</v>
      </c>
      <c r="K1108" s="138">
        <v>101</v>
      </c>
      <c r="L1108" s="138">
        <v>528</v>
      </c>
      <c r="N1108" s="138">
        <v>5</v>
      </c>
      <c r="O1108" s="138">
        <v>1</v>
      </c>
      <c r="S1108" s="138">
        <v>11</v>
      </c>
      <c r="T1108" s="138">
        <v>4</v>
      </c>
      <c r="U1108" s="138">
        <f t="shared" si="2048"/>
        <v>16</v>
      </c>
      <c r="W1108" s="139">
        <f t="shared" ref="W1108:AA1108" si="2222">J1108/$I1108</f>
        <v>0</v>
      </c>
      <c r="X1108" s="139">
        <f t="shared" si="2222"/>
        <v>0.15538461538461537</v>
      </c>
      <c r="Y1108" s="139">
        <f t="shared" si="2222"/>
        <v>0.81230769230769229</v>
      </c>
      <c r="Z1108" s="139">
        <f t="shared" si="2222"/>
        <v>0</v>
      </c>
      <c r="AA1108" s="139">
        <f t="shared" si="2222"/>
        <v>7.6923076923076927E-3</v>
      </c>
      <c r="AB1108" s="139"/>
      <c r="AC1108" s="139">
        <f t="shared" si="2050"/>
        <v>2.4615384615384615E-2</v>
      </c>
      <c r="AD1108" s="139">
        <f t="shared" ref="AD1108:AI1108" si="2223">O1108/$I1108</f>
        <v>1.5384615384615385E-3</v>
      </c>
      <c r="AE1108" s="139">
        <f t="shared" si="2223"/>
        <v>0</v>
      </c>
      <c r="AF1108" s="139">
        <f t="shared" si="2223"/>
        <v>0</v>
      </c>
      <c r="AG1108" s="139">
        <f t="shared" si="2223"/>
        <v>0</v>
      </c>
      <c r="AH1108" s="139">
        <f t="shared" si="2223"/>
        <v>1.6923076923076923E-2</v>
      </c>
      <c r="AI1108" s="139">
        <f t="shared" si="2223"/>
        <v>6.1538461538461538E-3</v>
      </c>
    </row>
    <row r="1109" spans="2:35">
      <c r="B1109" s="138" t="s">
        <v>8077</v>
      </c>
      <c r="C1109" s="138" t="s">
        <v>4367</v>
      </c>
      <c r="D1109" s="138" t="s">
        <v>10</v>
      </c>
      <c r="E1109" s="138" t="s">
        <v>786</v>
      </c>
      <c r="F1109" s="138" t="s">
        <v>786</v>
      </c>
      <c r="H1109" s="138">
        <v>161</v>
      </c>
      <c r="I1109" s="138">
        <v>1041</v>
      </c>
      <c r="K1109" s="138">
        <v>368</v>
      </c>
      <c r="L1109" s="138">
        <v>623</v>
      </c>
      <c r="N1109" s="138">
        <v>13</v>
      </c>
      <c r="O1109" s="138">
        <v>2</v>
      </c>
      <c r="S1109" s="138">
        <v>28</v>
      </c>
      <c r="T1109" s="138">
        <v>7</v>
      </c>
      <c r="U1109" s="138">
        <f t="shared" si="2048"/>
        <v>37</v>
      </c>
      <c r="W1109" s="139">
        <f t="shared" ref="W1109:AA1109" si="2224">J1109/$I1109</f>
        <v>0</v>
      </c>
      <c r="X1109" s="139">
        <f t="shared" si="2224"/>
        <v>0.35350624399615754</v>
      </c>
      <c r="Y1109" s="139">
        <f t="shared" si="2224"/>
        <v>0.59846301633045151</v>
      </c>
      <c r="Z1109" s="139">
        <f t="shared" si="2224"/>
        <v>0</v>
      </c>
      <c r="AA1109" s="139">
        <f t="shared" si="2224"/>
        <v>1.2487992315081652E-2</v>
      </c>
      <c r="AB1109" s="139"/>
      <c r="AC1109" s="139">
        <f t="shared" si="2050"/>
        <v>3.5542747358309319E-2</v>
      </c>
      <c r="AD1109" s="139">
        <f t="shared" ref="AD1109:AI1109" si="2225">O1109/$I1109</f>
        <v>1.9212295869356388E-3</v>
      </c>
      <c r="AE1109" s="139">
        <f t="shared" si="2225"/>
        <v>0</v>
      </c>
      <c r="AF1109" s="139">
        <f t="shared" si="2225"/>
        <v>0</v>
      </c>
      <c r="AG1109" s="139">
        <f t="shared" si="2225"/>
        <v>0</v>
      </c>
      <c r="AH1109" s="139">
        <f t="shared" si="2225"/>
        <v>2.6897214217098942E-2</v>
      </c>
      <c r="AI1109" s="139">
        <f t="shared" si="2225"/>
        <v>6.7243035542747355E-3</v>
      </c>
    </row>
    <row r="1110" spans="2:35">
      <c r="B1110" s="138" t="s">
        <v>8077</v>
      </c>
      <c r="C1110" s="138" t="s">
        <v>4367</v>
      </c>
      <c r="D1110" s="138" t="s">
        <v>10</v>
      </c>
      <c r="E1110" s="138" t="s">
        <v>786</v>
      </c>
      <c r="F1110" s="138" t="s">
        <v>786</v>
      </c>
      <c r="H1110" s="138">
        <v>162</v>
      </c>
      <c r="I1110" s="138">
        <v>937</v>
      </c>
      <c r="K1110" s="138">
        <v>207</v>
      </c>
      <c r="L1110" s="138">
        <v>703</v>
      </c>
      <c r="N1110" s="138">
        <v>6</v>
      </c>
      <c r="O1110" s="138">
        <v>1</v>
      </c>
      <c r="S1110" s="138">
        <v>17</v>
      </c>
      <c r="T1110" s="138">
        <v>3</v>
      </c>
      <c r="U1110" s="138">
        <f t="shared" si="2048"/>
        <v>21</v>
      </c>
      <c r="W1110" s="139">
        <f t="shared" ref="W1110:AA1110" si="2226">J1110/$I1110</f>
        <v>0</v>
      </c>
      <c r="X1110" s="139">
        <f t="shared" si="2226"/>
        <v>0.22091782283884739</v>
      </c>
      <c r="Y1110" s="139">
        <f t="shared" si="2226"/>
        <v>0.75026680896478126</v>
      </c>
      <c r="Z1110" s="139">
        <f t="shared" si="2226"/>
        <v>0</v>
      </c>
      <c r="AA1110" s="139">
        <f t="shared" si="2226"/>
        <v>6.4034151547491995E-3</v>
      </c>
      <c r="AB1110" s="139"/>
      <c r="AC1110" s="139">
        <f t="shared" si="2050"/>
        <v>2.2411953041622197E-2</v>
      </c>
      <c r="AD1110" s="139">
        <f t="shared" ref="AD1110:AI1110" si="2227">O1110/$I1110</f>
        <v>1.0672358591248667E-3</v>
      </c>
      <c r="AE1110" s="139">
        <f t="shared" si="2227"/>
        <v>0</v>
      </c>
      <c r="AF1110" s="139">
        <f t="shared" si="2227"/>
        <v>0</v>
      </c>
      <c r="AG1110" s="139">
        <f t="shared" si="2227"/>
        <v>0</v>
      </c>
      <c r="AH1110" s="139">
        <f t="shared" si="2227"/>
        <v>1.8143009605122731E-2</v>
      </c>
      <c r="AI1110" s="139">
        <f t="shared" si="2227"/>
        <v>3.2017075773745998E-3</v>
      </c>
    </row>
    <row r="1111" spans="2:35">
      <c r="B1111" s="138" t="s">
        <v>8077</v>
      </c>
      <c r="C1111" s="138" t="s">
        <v>4367</v>
      </c>
      <c r="D1111" s="138" t="s">
        <v>10</v>
      </c>
      <c r="E1111" s="138" t="s">
        <v>786</v>
      </c>
      <c r="F1111" s="138" t="s">
        <v>786</v>
      </c>
      <c r="H1111" s="138">
        <v>163</v>
      </c>
      <c r="I1111" s="138">
        <v>635</v>
      </c>
      <c r="K1111" s="138">
        <v>115</v>
      </c>
      <c r="L1111" s="138">
        <v>496</v>
      </c>
      <c r="N1111" s="138">
        <v>2</v>
      </c>
      <c r="O1111" s="138">
        <v>2</v>
      </c>
      <c r="S1111" s="138">
        <v>16</v>
      </c>
      <c r="T1111" s="138">
        <v>4</v>
      </c>
      <c r="U1111" s="138">
        <f t="shared" si="2048"/>
        <v>22</v>
      </c>
      <c r="W1111" s="139">
        <f t="shared" ref="W1111:AA1111" si="2228">J1111/$I1111</f>
        <v>0</v>
      </c>
      <c r="X1111" s="139">
        <f t="shared" si="2228"/>
        <v>0.18110236220472442</v>
      </c>
      <c r="Y1111" s="139">
        <f t="shared" si="2228"/>
        <v>0.7811023622047244</v>
      </c>
      <c r="Z1111" s="139">
        <f t="shared" si="2228"/>
        <v>0</v>
      </c>
      <c r="AA1111" s="139">
        <f t="shared" si="2228"/>
        <v>3.1496062992125984E-3</v>
      </c>
      <c r="AB1111" s="139"/>
      <c r="AC1111" s="139">
        <f t="shared" si="2050"/>
        <v>3.4645669291338582E-2</v>
      </c>
      <c r="AD1111" s="139">
        <f t="shared" ref="AD1111:AI1111" si="2229">O1111/$I1111</f>
        <v>3.1496062992125984E-3</v>
      </c>
      <c r="AE1111" s="139">
        <f t="shared" si="2229"/>
        <v>0</v>
      </c>
      <c r="AF1111" s="139">
        <f t="shared" si="2229"/>
        <v>0</v>
      </c>
      <c r="AG1111" s="139">
        <f t="shared" si="2229"/>
        <v>0</v>
      </c>
      <c r="AH1111" s="139">
        <f t="shared" si="2229"/>
        <v>2.5196850393700787E-2</v>
      </c>
      <c r="AI1111" s="139">
        <f t="shared" si="2229"/>
        <v>6.2992125984251968E-3</v>
      </c>
    </row>
    <row r="1112" spans="2:35">
      <c r="B1112" s="138" t="s">
        <v>8077</v>
      </c>
      <c r="C1112" s="138" t="s">
        <v>4367</v>
      </c>
      <c r="D1112" s="138" t="s">
        <v>10</v>
      </c>
      <c r="E1112" s="138" t="s">
        <v>786</v>
      </c>
      <c r="F1112" s="138" t="s">
        <v>786</v>
      </c>
      <c r="H1112" s="138">
        <v>164</v>
      </c>
      <c r="I1112" s="138">
        <v>703</v>
      </c>
      <c r="K1112" s="138">
        <v>128</v>
      </c>
      <c r="L1112" s="138">
        <v>555</v>
      </c>
      <c r="N1112" s="138">
        <v>4</v>
      </c>
      <c r="O1112" s="138" t="s">
        <v>8179</v>
      </c>
      <c r="S1112" s="138">
        <v>14</v>
      </c>
      <c r="T1112" s="138">
        <v>2</v>
      </c>
      <c r="U1112" s="138">
        <f t="shared" si="2048"/>
        <v>16</v>
      </c>
      <c r="W1112" s="139">
        <f t="shared" ref="W1112:AA1112" si="2230">J1112/$I1112</f>
        <v>0</v>
      </c>
      <c r="X1112" s="139">
        <f t="shared" si="2230"/>
        <v>0.18207681365576103</v>
      </c>
      <c r="Y1112" s="139">
        <f t="shared" si="2230"/>
        <v>0.78947368421052633</v>
      </c>
      <c r="Z1112" s="139">
        <f t="shared" si="2230"/>
        <v>0</v>
      </c>
      <c r="AA1112" s="139">
        <f t="shared" si="2230"/>
        <v>5.6899004267425323E-3</v>
      </c>
      <c r="AB1112" s="139"/>
      <c r="AC1112" s="139">
        <f t="shared" si="2050"/>
        <v>2.2759601706970129E-2</v>
      </c>
      <c r="AD1112" s="139" t="e">
        <f t="shared" ref="AD1112:AI1112" si="2231">O1112/$I1112</f>
        <v>#VALUE!</v>
      </c>
      <c r="AE1112" s="139">
        <f t="shared" si="2231"/>
        <v>0</v>
      </c>
      <c r="AF1112" s="139">
        <f t="shared" si="2231"/>
        <v>0</v>
      </c>
      <c r="AG1112" s="139">
        <f t="shared" si="2231"/>
        <v>0</v>
      </c>
      <c r="AH1112" s="139">
        <f t="shared" si="2231"/>
        <v>1.9914651493598862E-2</v>
      </c>
      <c r="AI1112" s="139">
        <f t="shared" si="2231"/>
        <v>2.8449502133712661E-3</v>
      </c>
    </row>
    <row r="1113" spans="2:35">
      <c r="B1113" s="138" t="s">
        <v>8077</v>
      </c>
      <c r="C1113" s="138" t="s">
        <v>4367</v>
      </c>
      <c r="D1113" s="138" t="s">
        <v>10</v>
      </c>
      <c r="E1113" s="138" t="s">
        <v>786</v>
      </c>
      <c r="F1113" s="138" t="s">
        <v>786</v>
      </c>
      <c r="H1113" s="138">
        <v>165</v>
      </c>
      <c r="I1113" s="138">
        <v>1001</v>
      </c>
      <c r="K1113" s="138">
        <v>187</v>
      </c>
      <c r="L1113" s="138">
        <v>793</v>
      </c>
      <c r="N1113" s="138">
        <v>0</v>
      </c>
      <c r="O1113" s="138">
        <v>1</v>
      </c>
      <c r="S1113" s="138">
        <v>16</v>
      </c>
      <c r="T1113" s="138">
        <v>4</v>
      </c>
      <c r="U1113" s="138">
        <f t="shared" si="2048"/>
        <v>21</v>
      </c>
      <c r="W1113" s="139">
        <f t="shared" ref="W1113:AA1113" si="2232">J1113/$I1113</f>
        <v>0</v>
      </c>
      <c r="X1113" s="139">
        <f t="shared" si="2232"/>
        <v>0.18681318681318682</v>
      </c>
      <c r="Y1113" s="139">
        <f t="shared" si="2232"/>
        <v>0.79220779220779225</v>
      </c>
      <c r="Z1113" s="139">
        <f t="shared" si="2232"/>
        <v>0</v>
      </c>
      <c r="AA1113" s="139">
        <f t="shared" si="2232"/>
        <v>0</v>
      </c>
      <c r="AB1113" s="139"/>
      <c r="AC1113" s="139">
        <f t="shared" si="2050"/>
        <v>2.097902097902098E-2</v>
      </c>
      <c r="AD1113" s="139">
        <f t="shared" ref="AD1113:AI1113" si="2233">O1113/$I1113</f>
        <v>9.99000999000999E-4</v>
      </c>
      <c r="AE1113" s="139">
        <f t="shared" si="2233"/>
        <v>0</v>
      </c>
      <c r="AF1113" s="139">
        <f t="shared" si="2233"/>
        <v>0</v>
      </c>
      <c r="AG1113" s="139">
        <f t="shared" si="2233"/>
        <v>0</v>
      </c>
      <c r="AH1113" s="139">
        <f t="shared" si="2233"/>
        <v>1.5984015984015984E-2</v>
      </c>
      <c r="AI1113" s="139">
        <f t="shared" si="2233"/>
        <v>3.996003996003996E-3</v>
      </c>
    </row>
    <row r="1114" spans="2:35">
      <c r="B1114" s="138" t="s">
        <v>8077</v>
      </c>
      <c r="C1114" s="138" t="s">
        <v>4367</v>
      </c>
      <c r="D1114" s="138" t="s">
        <v>10</v>
      </c>
      <c r="E1114" s="138" t="s">
        <v>786</v>
      </c>
      <c r="F1114" s="138" t="s">
        <v>786</v>
      </c>
      <c r="H1114" s="138">
        <v>166</v>
      </c>
      <c r="I1114" s="138">
        <v>896</v>
      </c>
      <c r="K1114" s="138">
        <v>96</v>
      </c>
      <c r="L1114" s="138">
        <v>770</v>
      </c>
      <c r="N1114" s="138">
        <v>1</v>
      </c>
      <c r="O1114" s="138">
        <v>2</v>
      </c>
      <c r="S1114" s="138">
        <v>25</v>
      </c>
      <c r="T1114" s="138">
        <v>2</v>
      </c>
      <c r="U1114" s="138">
        <f t="shared" si="2048"/>
        <v>29</v>
      </c>
      <c r="W1114" s="139">
        <f t="shared" ref="W1114:AA1114" si="2234">J1114/$I1114</f>
        <v>0</v>
      </c>
      <c r="X1114" s="139">
        <f t="shared" si="2234"/>
        <v>0.10714285714285714</v>
      </c>
      <c r="Y1114" s="139">
        <f t="shared" si="2234"/>
        <v>0.859375</v>
      </c>
      <c r="Z1114" s="139">
        <f t="shared" si="2234"/>
        <v>0</v>
      </c>
      <c r="AA1114" s="139">
        <f t="shared" si="2234"/>
        <v>1.1160714285714285E-3</v>
      </c>
      <c r="AB1114" s="139"/>
      <c r="AC1114" s="139">
        <f t="shared" si="2050"/>
        <v>3.2366071428571432E-2</v>
      </c>
      <c r="AD1114" s="139">
        <f t="shared" ref="AD1114:AI1114" si="2235">O1114/$I1114</f>
        <v>2.232142857142857E-3</v>
      </c>
      <c r="AE1114" s="139">
        <f t="shared" si="2235"/>
        <v>0</v>
      </c>
      <c r="AF1114" s="139">
        <f t="shared" si="2235"/>
        <v>0</v>
      </c>
      <c r="AG1114" s="139">
        <f t="shared" si="2235"/>
        <v>0</v>
      </c>
      <c r="AH1114" s="139">
        <f t="shared" si="2235"/>
        <v>2.7901785714285716E-2</v>
      </c>
      <c r="AI1114" s="139">
        <f t="shared" si="2235"/>
        <v>2.232142857142857E-3</v>
      </c>
    </row>
    <row r="1115" spans="2:35">
      <c r="B1115" s="138" t="s">
        <v>8077</v>
      </c>
      <c r="C1115" s="138" t="s">
        <v>4367</v>
      </c>
      <c r="D1115" s="138" t="s">
        <v>10</v>
      </c>
      <c r="E1115" s="138" t="s">
        <v>10</v>
      </c>
      <c r="F1115" s="138" t="s">
        <v>8180</v>
      </c>
      <c r="H1115" s="138">
        <v>167</v>
      </c>
      <c r="I1115" s="138">
        <v>900</v>
      </c>
      <c r="K1115" s="138">
        <v>545</v>
      </c>
      <c r="L1115" s="138">
        <v>325</v>
      </c>
      <c r="N1115" s="138">
        <v>8</v>
      </c>
      <c r="O1115" s="138">
        <v>1</v>
      </c>
      <c r="S1115" s="138">
        <v>7</v>
      </c>
      <c r="T1115" s="138">
        <v>14</v>
      </c>
      <c r="U1115" s="138">
        <f t="shared" si="2048"/>
        <v>22</v>
      </c>
      <c r="W1115" s="139">
        <f t="shared" ref="W1115:AA1115" si="2236">J1115/$I1115</f>
        <v>0</v>
      </c>
      <c r="X1115" s="139">
        <f t="shared" si="2236"/>
        <v>0.60555555555555551</v>
      </c>
      <c r="Y1115" s="139">
        <f t="shared" si="2236"/>
        <v>0.3611111111111111</v>
      </c>
      <c r="Z1115" s="139">
        <f t="shared" si="2236"/>
        <v>0</v>
      </c>
      <c r="AA1115" s="139">
        <f t="shared" si="2236"/>
        <v>8.8888888888888889E-3</v>
      </c>
      <c r="AB1115" s="139"/>
      <c r="AC1115" s="139">
        <f t="shared" si="2050"/>
        <v>2.4444444444444446E-2</v>
      </c>
      <c r="AD1115" s="139">
        <f t="shared" ref="AD1115:AI1115" si="2237">O1115/$I1115</f>
        <v>1.1111111111111111E-3</v>
      </c>
      <c r="AE1115" s="139">
        <f t="shared" si="2237"/>
        <v>0</v>
      </c>
      <c r="AF1115" s="139">
        <f t="shared" si="2237"/>
        <v>0</v>
      </c>
      <c r="AG1115" s="139">
        <f t="shared" si="2237"/>
        <v>0</v>
      </c>
      <c r="AH1115" s="139">
        <f t="shared" si="2237"/>
        <v>7.7777777777777776E-3</v>
      </c>
      <c r="AI1115" s="139">
        <f t="shared" si="2237"/>
        <v>1.5555555555555555E-2</v>
      </c>
    </row>
    <row r="1116" spans="2:35">
      <c r="B1116" s="138" t="s">
        <v>8077</v>
      </c>
      <c r="C1116" s="138" t="s">
        <v>4367</v>
      </c>
      <c r="D1116" s="138" t="s">
        <v>10</v>
      </c>
      <c r="E1116" s="138" t="s">
        <v>10</v>
      </c>
      <c r="F1116" s="138" t="s">
        <v>8180</v>
      </c>
      <c r="H1116" s="138">
        <v>168</v>
      </c>
      <c r="I1116" s="138">
        <v>991</v>
      </c>
      <c r="K1116" s="138">
        <v>101</v>
      </c>
      <c r="L1116" s="138">
        <v>850</v>
      </c>
      <c r="N1116" s="138">
        <v>2</v>
      </c>
      <c r="O1116" s="138">
        <v>2</v>
      </c>
      <c r="S1116" s="138">
        <v>32</v>
      </c>
      <c r="T1116" s="138">
        <v>4</v>
      </c>
      <c r="U1116" s="138">
        <f t="shared" si="2048"/>
        <v>38</v>
      </c>
      <c r="W1116" s="139">
        <f t="shared" ref="W1116:AA1116" si="2238">J1116/$I1116</f>
        <v>0</v>
      </c>
      <c r="X1116" s="139">
        <f t="shared" si="2238"/>
        <v>0.10191725529767912</v>
      </c>
      <c r="Y1116" s="139">
        <f t="shared" si="2238"/>
        <v>0.85771947527749748</v>
      </c>
      <c r="Z1116" s="139">
        <f t="shared" si="2238"/>
        <v>0</v>
      </c>
      <c r="AA1116" s="139">
        <f t="shared" si="2238"/>
        <v>2.0181634712411706E-3</v>
      </c>
      <c r="AB1116" s="139"/>
      <c r="AC1116" s="139">
        <f t="shared" si="2050"/>
        <v>3.8345105953582238E-2</v>
      </c>
      <c r="AD1116" s="139">
        <f t="shared" ref="AD1116:AI1116" si="2239">O1116/$I1116</f>
        <v>2.0181634712411706E-3</v>
      </c>
      <c r="AE1116" s="139">
        <f t="shared" si="2239"/>
        <v>0</v>
      </c>
      <c r="AF1116" s="139">
        <f t="shared" si="2239"/>
        <v>0</v>
      </c>
      <c r="AG1116" s="139">
        <f t="shared" si="2239"/>
        <v>0</v>
      </c>
      <c r="AH1116" s="139">
        <f t="shared" si="2239"/>
        <v>3.2290615539858729E-2</v>
      </c>
      <c r="AI1116" s="139">
        <f t="shared" si="2239"/>
        <v>4.0363269424823411E-3</v>
      </c>
    </row>
    <row r="1117" spans="2:35">
      <c r="B1117" s="138" t="s">
        <v>8077</v>
      </c>
      <c r="C1117" s="138" t="s">
        <v>4367</v>
      </c>
      <c r="D1117" s="138" t="s">
        <v>10</v>
      </c>
      <c r="E1117" s="138" t="s">
        <v>10</v>
      </c>
      <c r="F1117" s="138" t="s">
        <v>8180</v>
      </c>
      <c r="H1117" s="138">
        <v>169</v>
      </c>
      <c r="I1117" s="138">
        <v>941</v>
      </c>
      <c r="K1117" s="138">
        <v>221</v>
      </c>
      <c r="L1117" s="138">
        <v>671</v>
      </c>
      <c r="N1117" s="138">
        <v>13</v>
      </c>
      <c r="O1117" s="138">
        <v>3</v>
      </c>
      <c r="S1117" s="138">
        <v>26</v>
      </c>
      <c r="T1117" s="138">
        <v>7</v>
      </c>
      <c r="U1117" s="138">
        <f t="shared" si="2048"/>
        <v>36</v>
      </c>
      <c r="W1117" s="139">
        <f t="shared" ref="W1117:AA1117" si="2240">J1117/$I1117</f>
        <v>0</v>
      </c>
      <c r="X1117" s="139">
        <f t="shared" si="2240"/>
        <v>0.23485653560042508</v>
      </c>
      <c r="Y1117" s="139">
        <f t="shared" si="2240"/>
        <v>0.7130712008501594</v>
      </c>
      <c r="Z1117" s="139">
        <f t="shared" si="2240"/>
        <v>0</v>
      </c>
      <c r="AA1117" s="139">
        <f t="shared" si="2240"/>
        <v>1.381509032943677E-2</v>
      </c>
      <c r="AB1117" s="139"/>
      <c r="AC1117" s="139">
        <f t="shared" si="2050"/>
        <v>3.8257173219978749E-2</v>
      </c>
      <c r="AD1117" s="139">
        <f t="shared" ref="AD1117:AI1117" si="2241">O1117/$I1117</f>
        <v>3.188097768331562E-3</v>
      </c>
      <c r="AE1117" s="139">
        <f t="shared" si="2241"/>
        <v>0</v>
      </c>
      <c r="AF1117" s="139">
        <f t="shared" si="2241"/>
        <v>0</v>
      </c>
      <c r="AG1117" s="139">
        <f t="shared" si="2241"/>
        <v>0</v>
      </c>
      <c r="AH1117" s="139">
        <f t="shared" si="2241"/>
        <v>2.763018065887354E-2</v>
      </c>
      <c r="AI1117" s="139">
        <f t="shared" si="2241"/>
        <v>7.4388947927736451E-3</v>
      </c>
    </row>
    <row r="1118" spans="2:35">
      <c r="B1118" s="138" t="s">
        <v>8077</v>
      </c>
      <c r="C1118" s="138" t="s">
        <v>4367</v>
      </c>
      <c r="D1118" s="138" t="s">
        <v>10</v>
      </c>
      <c r="E1118" s="138" t="s">
        <v>10</v>
      </c>
      <c r="F1118" s="138" t="s">
        <v>8180</v>
      </c>
      <c r="H1118" s="138">
        <v>170</v>
      </c>
      <c r="I1118" s="138">
        <v>867</v>
      </c>
      <c r="K1118" s="138">
        <v>135</v>
      </c>
      <c r="L1118" s="138">
        <v>706</v>
      </c>
      <c r="N1118" s="138">
        <v>2</v>
      </c>
      <c r="O1118" s="138">
        <v>4</v>
      </c>
      <c r="S1118" s="138">
        <v>13</v>
      </c>
      <c r="T1118" s="138">
        <v>7</v>
      </c>
      <c r="U1118" s="138">
        <f t="shared" si="2048"/>
        <v>24</v>
      </c>
      <c r="W1118" s="139">
        <f t="shared" ref="W1118:AA1118" si="2242">J1118/$I1118</f>
        <v>0</v>
      </c>
      <c r="X1118" s="139">
        <f t="shared" si="2242"/>
        <v>0.15570934256055363</v>
      </c>
      <c r="Y1118" s="139">
        <f t="shared" si="2242"/>
        <v>0.81430219146482119</v>
      </c>
      <c r="Z1118" s="139">
        <f t="shared" si="2242"/>
        <v>0</v>
      </c>
      <c r="AA1118" s="139">
        <f t="shared" si="2242"/>
        <v>2.306805074971165E-3</v>
      </c>
      <c r="AB1118" s="139"/>
      <c r="AC1118" s="139">
        <f t="shared" si="2050"/>
        <v>2.768166089965398E-2</v>
      </c>
      <c r="AD1118" s="139">
        <f t="shared" ref="AD1118:AI1118" si="2243">O1118/$I1118</f>
        <v>4.61361014994233E-3</v>
      </c>
      <c r="AE1118" s="139">
        <f t="shared" si="2243"/>
        <v>0</v>
      </c>
      <c r="AF1118" s="139">
        <f t="shared" si="2243"/>
        <v>0</v>
      </c>
      <c r="AG1118" s="139">
        <f t="shared" si="2243"/>
        <v>0</v>
      </c>
      <c r="AH1118" s="139">
        <f t="shared" si="2243"/>
        <v>1.4994232987312572E-2</v>
      </c>
      <c r="AI1118" s="139">
        <f t="shared" si="2243"/>
        <v>8.0738177623990767E-3</v>
      </c>
    </row>
    <row r="1119" spans="2:35">
      <c r="B1119" s="138" t="s">
        <v>8077</v>
      </c>
      <c r="C1119" s="138" t="s">
        <v>4367</v>
      </c>
      <c r="D1119" s="138" t="s">
        <v>10</v>
      </c>
      <c r="E1119" s="138" t="s">
        <v>10</v>
      </c>
      <c r="F1119" s="138" t="s">
        <v>8180</v>
      </c>
      <c r="H1119" s="138">
        <v>171</v>
      </c>
      <c r="I1119" s="138">
        <v>812</v>
      </c>
      <c r="K1119" s="138">
        <v>147</v>
      </c>
      <c r="L1119" s="138">
        <v>631</v>
      </c>
      <c r="N1119" s="138">
        <v>0</v>
      </c>
      <c r="O1119" s="138">
        <v>1</v>
      </c>
      <c r="S1119" s="138">
        <v>27</v>
      </c>
      <c r="T1119" s="138">
        <v>6</v>
      </c>
      <c r="U1119" s="138">
        <f t="shared" si="2048"/>
        <v>34</v>
      </c>
      <c r="W1119" s="139">
        <f t="shared" ref="W1119:AA1119" si="2244">J1119/$I1119</f>
        <v>0</v>
      </c>
      <c r="X1119" s="139">
        <f t="shared" si="2244"/>
        <v>0.18103448275862069</v>
      </c>
      <c r="Y1119" s="139">
        <f t="shared" si="2244"/>
        <v>0.77709359605911332</v>
      </c>
      <c r="Z1119" s="139">
        <f t="shared" si="2244"/>
        <v>0</v>
      </c>
      <c r="AA1119" s="139">
        <f t="shared" si="2244"/>
        <v>0</v>
      </c>
      <c r="AB1119" s="139"/>
      <c r="AC1119" s="139">
        <f t="shared" si="2050"/>
        <v>4.1871921182266007E-2</v>
      </c>
      <c r="AD1119" s="139">
        <f t="shared" ref="AD1119:AI1119" si="2245">O1119/$I1119</f>
        <v>1.2315270935960591E-3</v>
      </c>
      <c r="AE1119" s="139">
        <f t="shared" si="2245"/>
        <v>0</v>
      </c>
      <c r="AF1119" s="139">
        <f t="shared" si="2245"/>
        <v>0</v>
      </c>
      <c r="AG1119" s="139">
        <f t="shared" si="2245"/>
        <v>0</v>
      </c>
      <c r="AH1119" s="139">
        <f t="shared" si="2245"/>
        <v>3.3251231527093597E-2</v>
      </c>
      <c r="AI1119" s="139">
        <f t="shared" si="2245"/>
        <v>7.3891625615763543E-3</v>
      </c>
    </row>
    <row r="1120" spans="2:35">
      <c r="B1120" s="138" t="s">
        <v>8077</v>
      </c>
      <c r="C1120" s="138" t="s">
        <v>4367</v>
      </c>
      <c r="D1120" s="138" t="s">
        <v>10</v>
      </c>
      <c r="E1120" s="138" t="s">
        <v>10</v>
      </c>
      <c r="F1120" s="138" t="s">
        <v>8180</v>
      </c>
      <c r="H1120" s="138">
        <v>172</v>
      </c>
      <c r="I1120" s="138">
        <v>953</v>
      </c>
      <c r="K1120" s="138">
        <v>175</v>
      </c>
      <c r="L1120" s="138">
        <v>759</v>
      </c>
      <c r="N1120" s="138">
        <v>2</v>
      </c>
      <c r="O1120" s="138">
        <v>2</v>
      </c>
      <c r="S1120" s="138">
        <v>7</v>
      </c>
      <c r="T1120" s="138">
        <v>8</v>
      </c>
      <c r="U1120" s="138">
        <f t="shared" si="2048"/>
        <v>17</v>
      </c>
      <c r="W1120" s="139">
        <f t="shared" ref="W1120:AA1120" si="2246">J1120/$I1120</f>
        <v>0</v>
      </c>
      <c r="X1120" s="139">
        <f t="shared" si="2246"/>
        <v>0.18363064008394545</v>
      </c>
      <c r="Y1120" s="139">
        <f t="shared" si="2246"/>
        <v>0.79643231899265476</v>
      </c>
      <c r="Z1120" s="139">
        <f t="shared" si="2246"/>
        <v>0</v>
      </c>
      <c r="AA1120" s="139">
        <f t="shared" si="2246"/>
        <v>2.0986358866736622E-3</v>
      </c>
      <c r="AB1120" s="139"/>
      <c r="AC1120" s="139">
        <f t="shared" si="2050"/>
        <v>1.7838405036726127E-2</v>
      </c>
      <c r="AD1120" s="139">
        <f t="shared" ref="AD1120:AI1120" si="2247">O1120/$I1120</f>
        <v>2.0986358866736622E-3</v>
      </c>
      <c r="AE1120" s="139">
        <f t="shared" si="2247"/>
        <v>0</v>
      </c>
      <c r="AF1120" s="139">
        <f t="shared" si="2247"/>
        <v>0</v>
      </c>
      <c r="AG1120" s="139">
        <f t="shared" si="2247"/>
        <v>0</v>
      </c>
      <c r="AH1120" s="139">
        <f t="shared" si="2247"/>
        <v>7.3452256033578172E-3</v>
      </c>
      <c r="AI1120" s="139">
        <f t="shared" si="2247"/>
        <v>8.3945435466946487E-3</v>
      </c>
    </row>
    <row r="1121" spans="2:35">
      <c r="B1121" s="138" t="s">
        <v>8077</v>
      </c>
      <c r="C1121" s="138" t="s">
        <v>4367</v>
      </c>
      <c r="D1121" s="138" t="s">
        <v>10</v>
      </c>
      <c r="E1121" s="138" t="s">
        <v>166</v>
      </c>
      <c r="F1121" s="138" t="s">
        <v>980</v>
      </c>
      <c r="H1121" s="138">
        <v>173</v>
      </c>
      <c r="I1121" s="138">
        <v>941</v>
      </c>
      <c r="K1121" s="138">
        <v>411</v>
      </c>
      <c r="L1121" s="138">
        <v>504</v>
      </c>
      <c r="N1121" s="138">
        <v>9</v>
      </c>
      <c r="O1121" s="138">
        <v>2</v>
      </c>
      <c r="S1121" s="138">
        <v>9</v>
      </c>
      <c r="T1121" s="138">
        <v>6</v>
      </c>
      <c r="U1121" s="138">
        <f t="shared" si="2048"/>
        <v>17</v>
      </c>
      <c r="W1121" s="139">
        <f t="shared" ref="W1121:AA1121" si="2248">J1121/$I1121</f>
        <v>0</v>
      </c>
      <c r="X1121" s="139">
        <f t="shared" si="2248"/>
        <v>0.43676939426142403</v>
      </c>
      <c r="Y1121" s="139">
        <f t="shared" si="2248"/>
        <v>0.5356004250797024</v>
      </c>
      <c r="Z1121" s="139">
        <f t="shared" si="2248"/>
        <v>0</v>
      </c>
      <c r="AA1121" s="139">
        <f t="shared" si="2248"/>
        <v>9.5642933049946872E-3</v>
      </c>
      <c r="AB1121" s="139"/>
      <c r="AC1121" s="139">
        <f t="shared" si="2050"/>
        <v>1.8065887353878853E-2</v>
      </c>
      <c r="AD1121" s="139">
        <f t="shared" ref="AD1121:AI1121" si="2249">O1121/$I1121</f>
        <v>2.1253985122210413E-3</v>
      </c>
      <c r="AE1121" s="139">
        <f t="shared" si="2249"/>
        <v>0</v>
      </c>
      <c r="AF1121" s="139">
        <f t="shared" si="2249"/>
        <v>0</v>
      </c>
      <c r="AG1121" s="139">
        <f t="shared" si="2249"/>
        <v>0</v>
      </c>
      <c r="AH1121" s="139">
        <f t="shared" si="2249"/>
        <v>9.5642933049946872E-3</v>
      </c>
      <c r="AI1121" s="139">
        <f t="shared" si="2249"/>
        <v>6.376195536663124E-3</v>
      </c>
    </row>
    <row r="1122" spans="2:35">
      <c r="B1122" s="138" t="s">
        <v>8077</v>
      </c>
      <c r="C1122" s="138" t="s">
        <v>4367</v>
      </c>
      <c r="D1122" s="138" t="s">
        <v>10</v>
      </c>
      <c r="E1122" s="138" t="s">
        <v>166</v>
      </c>
      <c r="F1122" s="138" t="s">
        <v>980</v>
      </c>
      <c r="H1122" s="138">
        <v>174</v>
      </c>
      <c r="I1122" s="138">
        <v>814</v>
      </c>
      <c r="K1122" s="138">
        <v>388</v>
      </c>
      <c r="L1122" s="138">
        <v>371</v>
      </c>
      <c r="N1122" s="138">
        <v>1</v>
      </c>
      <c r="O1122" s="138">
        <v>1</v>
      </c>
      <c r="S1122" s="138">
        <v>28</v>
      </c>
      <c r="T1122" s="138">
        <v>25</v>
      </c>
      <c r="U1122" s="138">
        <f t="shared" si="2048"/>
        <v>54</v>
      </c>
      <c r="W1122" s="139">
        <f t="shared" ref="W1122:AA1122" si="2250">J1122/$I1122</f>
        <v>0</v>
      </c>
      <c r="X1122" s="139">
        <f t="shared" si="2250"/>
        <v>0.47665847665847666</v>
      </c>
      <c r="Y1122" s="139">
        <f t="shared" si="2250"/>
        <v>0.4557739557739558</v>
      </c>
      <c r="Z1122" s="139">
        <f t="shared" si="2250"/>
        <v>0</v>
      </c>
      <c r="AA1122" s="139">
        <f t="shared" si="2250"/>
        <v>1.2285012285012285E-3</v>
      </c>
      <c r="AB1122" s="139"/>
      <c r="AC1122" s="139">
        <f t="shared" si="2050"/>
        <v>6.6339066339066333E-2</v>
      </c>
      <c r="AD1122" s="139">
        <f t="shared" ref="AD1122:AI1122" si="2251">O1122/$I1122</f>
        <v>1.2285012285012285E-3</v>
      </c>
      <c r="AE1122" s="139">
        <f t="shared" si="2251"/>
        <v>0</v>
      </c>
      <c r="AF1122" s="139">
        <f t="shared" si="2251"/>
        <v>0</v>
      </c>
      <c r="AG1122" s="139">
        <f t="shared" si="2251"/>
        <v>0</v>
      </c>
      <c r="AH1122" s="139">
        <f t="shared" si="2251"/>
        <v>3.4398034398034398E-2</v>
      </c>
      <c r="AI1122" s="139">
        <f t="shared" si="2251"/>
        <v>3.0712530712530713E-2</v>
      </c>
    </row>
    <row r="1123" spans="2:35">
      <c r="B1123" s="138" t="s">
        <v>8077</v>
      </c>
      <c r="C1123" s="138" t="s">
        <v>4367</v>
      </c>
      <c r="D1123" s="138" t="s">
        <v>10</v>
      </c>
      <c r="E1123" s="138" t="s">
        <v>166</v>
      </c>
      <c r="F1123" s="138" t="s">
        <v>980</v>
      </c>
      <c r="H1123" s="138">
        <v>175</v>
      </c>
      <c r="I1123" s="138">
        <v>737</v>
      </c>
      <c r="K1123" s="138">
        <v>475</v>
      </c>
      <c r="L1123" s="138">
        <v>202</v>
      </c>
      <c r="N1123" s="138">
        <v>21</v>
      </c>
      <c r="O1123" s="138">
        <v>8</v>
      </c>
      <c r="S1123" s="138">
        <v>18</v>
      </c>
      <c r="T1123" s="138">
        <v>13</v>
      </c>
      <c r="U1123" s="138">
        <f t="shared" si="2048"/>
        <v>39</v>
      </c>
      <c r="W1123" s="139">
        <f t="shared" ref="W1123:AA1123" si="2252">J1123/$I1123</f>
        <v>0</v>
      </c>
      <c r="X1123" s="139">
        <f t="shared" si="2252"/>
        <v>0.64450474898236088</v>
      </c>
      <c r="Y1123" s="139">
        <f t="shared" si="2252"/>
        <v>0.27408412483039346</v>
      </c>
      <c r="Z1123" s="139">
        <f t="shared" si="2252"/>
        <v>0</v>
      </c>
      <c r="AA1123" s="139">
        <f t="shared" si="2252"/>
        <v>2.8493894165535955E-2</v>
      </c>
      <c r="AB1123" s="139"/>
      <c r="AC1123" s="139">
        <f t="shared" si="2050"/>
        <v>5.2917232021709636E-2</v>
      </c>
      <c r="AD1123" s="139">
        <f t="shared" ref="AD1123:AI1123" si="2253">O1123/$I1123</f>
        <v>1.0854816824966078E-2</v>
      </c>
      <c r="AE1123" s="139">
        <f t="shared" si="2253"/>
        <v>0</v>
      </c>
      <c r="AF1123" s="139">
        <f t="shared" si="2253"/>
        <v>0</v>
      </c>
      <c r="AG1123" s="139">
        <f t="shared" si="2253"/>
        <v>0</v>
      </c>
      <c r="AH1123" s="139">
        <f t="shared" si="2253"/>
        <v>2.4423337856173677E-2</v>
      </c>
      <c r="AI1123" s="139">
        <f t="shared" si="2253"/>
        <v>1.7639077340569877E-2</v>
      </c>
    </row>
    <row r="1124" spans="2:35">
      <c r="B1124" s="138" t="s">
        <v>8077</v>
      </c>
      <c r="C1124" s="138" t="s">
        <v>4367</v>
      </c>
      <c r="D1124" s="138" t="s">
        <v>10</v>
      </c>
      <c r="E1124" s="138" t="s">
        <v>166</v>
      </c>
      <c r="F1124" s="138" t="s">
        <v>8181</v>
      </c>
      <c r="H1124" s="138">
        <v>176</v>
      </c>
      <c r="I1124" s="138">
        <v>853</v>
      </c>
      <c r="K1124" s="138">
        <v>226</v>
      </c>
      <c r="L1124" s="138">
        <v>536</v>
      </c>
      <c r="N1124" s="138">
        <v>7</v>
      </c>
      <c r="O1124" s="138">
        <v>8</v>
      </c>
      <c r="S1124" s="138">
        <v>50</v>
      </c>
      <c r="T1124" s="138">
        <v>26</v>
      </c>
      <c r="U1124" s="138">
        <f t="shared" si="2048"/>
        <v>84</v>
      </c>
      <c r="W1124" s="139">
        <f t="shared" ref="W1124:AA1124" si="2254">J1124/$I1124</f>
        <v>0</v>
      </c>
      <c r="X1124" s="139">
        <f t="shared" si="2254"/>
        <v>0.26494724501758499</v>
      </c>
      <c r="Y1124" s="139">
        <f t="shared" si="2254"/>
        <v>0.62837045720984763</v>
      </c>
      <c r="Z1124" s="139">
        <f t="shared" si="2254"/>
        <v>0</v>
      </c>
      <c r="AA1124" s="139">
        <f t="shared" si="2254"/>
        <v>8.2063305978898014E-3</v>
      </c>
      <c r="AB1124" s="139"/>
      <c r="AC1124" s="139">
        <f t="shared" si="2050"/>
        <v>9.8475967174677603E-2</v>
      </c>
      <c r="AD1124" s="139">
        <f t="shared" ref="AD1124:AI1124" si="2255">O1124/$I1124</f>
        <v>9.3786635404454859E-3</v>
      </c>
      <c r="AE1124" s="139">
        <f t="shared" si="2255"/>
        <v>0</v>
      </c>
      <c r="AF1124" s="139">
        <f t="shared" si="2255"/>
        <v>0</v>
      </c>
      <c r="AG1124" s="139">
        <f t="shared" si="2255"/>
        <v>0</v>
      </c>
      <c r="AH1124" s="139">
        <f t="shared" si="2255"/>
        <v>5.8616647127784291E-2</v>
      </c>
      <c r="AI1124" s="139">
        <f t="shared" si="2255"/>
        <v>3.048065650644783E-2</v>
      </c>
    </row>
    <row r="1125" spans="2:35">
      <c r="B1125" s="138" t="s">
        <v>8077</v>
      </c>
      <c r="C1125" s="138" t="s">
        <v>4367</v>
      </c>
      <c r="D1125" s="138" t="s">
        <v>10</v>
      </c>
      <c r="E1125" s="138" t="s">
        <v>166</v>
      </c>
      <c r="F1125" s="138" t="s">
        <v>8181</v>
      </c>
      <c r="H1125" s="138">
        <v>177</v>
      </c>
      <c r="I1125" s="138">
        <v>616</v>
      </c>
      <c r="K1125" s="138">
        <v>63</v>
      </c>
      <c r="L1125" s="138">
        <v>530</v>
      </c>
      <c r="N1125" s="138">
        <v>3</v>
      </c>
      <c r="O1125" s="138">
        <v>2</v>
      </c>
      <c r="S1125" s="138">
        <v>18</v>
      </c>
      <c r="T1125" s="138">
        <v>0</v>
      </c>
      <c r="U1125" s="138">
        <f t="shared" si="2048"/>
        <v>20</v>
      </c>
      <c r="W1125" s="139">
        <f t="shared" ref="W1125:AA1125" si="2256">J1125/$I1125</f>
        <v>0</v>
      </c>
      <c r="X1125" s="139">
        <f t="shared" si="2256"/>
        <v>0.10227272727272728</v>
      </c>
      <c r="Y1125" s="139">
        <f t="shared" si="2256"/>
        <v>0.86038961038961037</v>
      </c>
      <c r="Z1125" s="139">
        <f t="shared" si="2256"/>
        <v>0</v>
      </c>
      <c r="AA1125" s="139">
        <f t="shared" si="2256"/>
        <v>4.87012987012987E-3</v>
      </c>
      <c r="AB1125" s="139"/>
      <c r="AC1125" s="139">
        <f t="shared" si="2050"/>
        <v>3.2467532467532464E-2</v>
      </c>
      <c r="AD1125" s="139">
        <f t="shared" ref="AD1125:AI1125" si="2257">O1125/$I1125</f>
        <v>3.246753246753247E-3</v>
      </c>
      <c r="AE1125" s="139">
        <f t="shared" si="2257"/>
        <v>0</v>
      </c>
      <c r="AF1125" s="139">
        <f t="shared" si="2257"/>
        <v>0</v>
      </c>
      <c r="AG1125" s="139">
        <f t="shared" si="2257"/>
        <v>0</v>
      </c>
      <c r="AH1125" s="139">
        <f t="shared" si="2257"/>
        <v>2.922077922077922E-2</v>
      </c>
      <c r="AI1125" s="139">
        <f t="shared" si="2257"/>
        <v>0</v>
      </c>
    </row>
    <row r="1126" spans="2:35">
      <c r="B1126" s="138" t="s">
        <v>8077</v>
      </c>
      <c r="C1126" s="138" t="s">
        <v>4367</v>
      </c>
      <c r="D1126" s="138" t="s">
        <v>10</v>
      </c>
      <c r="E1126" s="138" t="s">
        <v>166</v>
      </c>
      <c r="F1126" s="138" t="s">
        <v>8182</v>
      </c>
      <c r="H1126" s="138">
        <v>178</v>
      </c>
      <c r="I1126" s="138">
        <v>963</v>
      </c>
      <c r="K1126" s="138">
        <v>484</v>
      </c>
      <c r="L1126" s="138">
        <v>437</v>
      </c>
      <c r="N1126" s="138">
        <v>6</v>
      </c>
      <c r="O1126" s="138">
        <v>6</v>
      </c>
      <c r="S1126" s="138">
        <v>17</v>
      </c>
      <c r="T1126" s="138">
        <v>13</v>
      </c>
      <c r="U1126" s="138">
        <f t="shared" si="2048"/>
        <v>36</v>
      </c>
      <c r="W1126" s="139">
        <f t="shared" ref="W1126:AA1126" si="2258">J1126/$I1126</f>
        <v>0</v>
      </c>
      <c r="X1126" s="139">
        <f t="shared" si="2258"/>
        <v>0.50259605399792318</v>
      </c>
      <c r="Y1126" s="139">
        <f t="shared" si="2258"/>
        <v>0.45379023883696779</v>
      </c>
      <c r="Z1126" s="139">
        <f t="shared" si="2258"/>
        <v>0</v>
      </c>
      <c r="AA1126" s="139">
        <f t="shared" si="2258"/>
        <v>6.2305295950155761E-3</v>
      </c>
      <c r="AB1126" s="139"/>
      <c r="AC1126" s="139">
        <f t="shared" si="2050"/>
        <v>3.7383177570093455E-2</v>
      </c>
      <c r="AD1126" s="139">
        <f t="shared" ref="AD1126:AI1126" si="2259">O1126/$I1126</f>
        <v>6.2305295950155761E-3</v>
      </c>
      <c r="AE1126" s="139">
        <f t="shared" si="2259"/>
        <v>0</v>
      </c>
      <c r="AF1126" s="139">
        <f t="shared" si="2259"/>
        <v>0</v>
      </c>
      <c r="AG1126" s="139">
        <f t="shared" si="2259"/>
        <v>0</v>
      </c>
      <c r="AH1126" s="139">
        <f t="shared" si="2259"/>
        <v>1.7653167185877467E-2</v>
      </c>
      <c r="AI1126" s="139">
        <f t="shared" si="2259"/>
        <v>1.3499480789200415E-2</v>
      </c>
    </row>
    <row r="1127" spans="2:35">
      <c r="B1127" s="138" t="s">
        <v>8077</v>
      </c>
      <c r="C1127" s="138" t="s">
        <v>4367</v>
      </c>
      <c r="D1127" s="138" t="s">
        <v>10</v>
      </c>
      <c r="E1127" s="138" t="s">
        <v>166</v>
      </c>
      <c r="F1127" s="138" t="s">
        <v>978</v>
      </c>
      <c r="H1127" s="138">
        <v>179</v>
      </c>
      <c r="I1127" s="138">
        <v>963</v>
      </c>
      <c r="K1127" s="138">
        <v>498</v>
      </c>
      <c r="L1127" s="138">
        <v>402</v>
      </c>
      <c r="N1127" s="138">
        <v>6</v>
      </c>
      <c r="O1127" s="138">
        <v>8</v>
      </c>
      <c r="S1127" s="138">
        <v>25</v>
      </c>
      <c r="T1127" s="138">
        <v>24</v>
      </c>
      <c r="U1127" s="138">
        <f t="shared" si="2048"/>
        <v>57</v>
      </c>
      <c r="W1127" s="139">
        <f t="shared" ref="W1127:AA1127" si="2260">J1127/$I1127</f>
        <v>0</v>
      </c>
      <c r="X1127" s="139">
        <f t="shared" si="2260"/>
        <v>0.51713395638629278</v>
      </c>
      <c r="Y1127" s="139">
        <f t="shared" si="2260"/>
        <v>0.4174454828660436</v>
      </c>
      <c r="Z1127" s="139">
        <f t="shared" si="2260"/>
        <v>0</v>
      </c>
      <c r="AA1127" s="139">
        <f t="shared" si="2260"/>
        <v>6.2305295950155761E-3</v>
      </c>
      <c r="AB1127" s="139"/>
      <c r="AC1127" s="139">
        <f t="shared" si="2050"/>
        <v>5.9190031152647975E-2</v>
      </c>
      <c r="AD1127" s="139">
        <f t="shared" ref="AD1127:AI1127" si="2261">O1127/$I1127</f>
        <v>8.3073727933541015E-3</v>
      </c>
      <c r="AE1127" s="139">
        <f t="shared" si="2261"/>
        <v>0</v>
      </c>
      <c r="AF1127" s="139">
        <f t="shared" si="2261"/>
        <v>0</v>
      </c>
      <c r="AG1127" s="139">
        <f t="shared" si="2261"/>
        <v>0</v>
      </c>
      <c r="AH1127" s="139">
        <f t="shared" si="2261"/>
        <v>2.5960539979231569E-2</v>
      </c>
      <c r="AI1127" s="139">
        <f t="shared" si="2261"/>
        <v>2.4922118380062305E-2</v>
      </c>
    </row>
    <row r="1128" spans="2:35">
      <c r="B1128" s="138" t="s">
        <v>8077</v>
      </c>
      <c r="C1128" s="138" t="s">
        <v>4367</v>
      </c>
      <c r="D1128" s="138" t="s">
        <v>10</v>
      </c>
      <c r="E1128" s="138" t="s">
        <v>166</v>
      </c>
      <c r="F1128" s="138" t="s">
        <v>978</v>
      </c>
      <c r="H1128" s="138">
        <v>180</v>
      </c>
      <c r="I1128" s="138">
        <v>854</v>
      </c>
      <c r="K1128" s="138">
        <v>218</v>
      </c>
      <c r="L1128" s="138">
        <v>584</v>
      </c>
      <c r="N1128" s="138">
        <v>3</v>
      </c>
      <c r="O1128" s="138">
        <v>6</v>
      </c>
      <c r="S1128" s="138">
        <v>32</v>
      </c>
      <c r="T1128" s="138">
        <v>11</v>
      </c>
      <c r="U1128" s="138">
        <f t="shared" si="2048"/>
        <v>49</v>
      </c>
      <c r="W1128" s="139">
        <f t="shared" ref="W1128:AA1128" si="2262">J1128/$I1128</f>
        <v>0</v>
      </c>
      <c r="X1128" s="139">
        <f t="shared" si="2262"/>
        <v>0.25526932084309134</v>
      </c>
      <c r="Y1128" s="139">
        <f t="shared" si="2262"/>
        <v>0.68384074941451989</v>
      </c>
      <c r="Z1128" s="139">
        <f t="shared" si="2262"/>
        <v>0</v>
      </c>
      <c r="AA1128" s="139">
        <f t="shared" si="2262"/>
        <v>3.5128805620608899E-3</v>
      </c>
      <c r="AB1128" s="139"/>
      <c r="AC1128" s="139">
        <f t="shared" si="2050"/>
        <v>5.737704918032787E-2</v>
      </c>
      <c r="AD1128" s="139">
        <f t="shared" ref="AD1128:AI1128" si="2263">O1128/$I1128</f>
        <v>7.0257611241217799E-3</v>
      </c>
      <c r="AE1128" s="139">
        <f t="shared" si="2263"/>
        <v>0</v>
      </c>
      <c r="AF1128" s="139">
        <f t="shared" si="2263"/>
        <v>0</v>
      </c>
      <c r="AG1128" s="139">
        <f t="shared" si="2263"/>
        <v>0</v>
      </c>
      <c r="AH1128" s="139">
        <f t="shared" si="2263"/>
        <v>3.7470725995316159E-2</v>
      </c>
      <c r="AI1128" s="139">
        <f t="shared" si="2263"/>
        <v>1.288056206088993E-2</v>
      </c>
    </row>
    <row r="1129" spans="2:35">
      <c r="B1129" s="138" t="s">
        <v>8077</v>
      </c>
      <c r="C1129" s="138" t="s">
        <v>4367</v>
      </c>
      <c r="D1129" s="138" t="s">
        <v>10</v>
      </c>
      <c r="E1129" s="138" t="s">
        <v>166</v>
      </c>
      <c r="F1129" s="138" t="s">
        <v>978</v>
      </c>
      <c r="H1129" s="138">
        <v>181</v>
      </c>
      <c r="I1129" s="138">
        <v>972</v>
      </c>
      <c r="K1129" s="138">
        <v>454</v>
      </c>
      <c r="L1129" s="138">
        <v>481</v>
      </c>
      <c r="N1129" s="138">
        <v>6</v>
      </c>
      <c r="O1129" s="138">
        <v>5</v>
      </c>
      <c r="S1129" s="138">
        <v>18</v>
      </c>
      <c r="T1129" s="138">
        <v>8</v>
      </c>
      <c r="U1129" s="138">
        <f t="shared" si="2048"/>
        <v>31</v>
      </c>
      <c r="W1129" s="139">
        <f t="shared" ref="W1129:AA1129" si="2264">J1129/$I1129</f>
        <v>0</v>
      </c>
      <c r="X1129" s="139">
        <f t="shared" si="2264"/>
        <v>0.46707818930041151</v>
      </c>
      <c r="Y1129" s="139">
        <f t="shared" si="2264"/>
        <v>0.4948559670781893</v>
      </c>
      <c r="Z1129" s="139">
        <f t="shared" si="2264"/>
        <v>0</v>
      </c>
      <c r="AA1129" s="139">
        <f t="shared" si="2264"/>
        <v>6.1728395061728392E-3</v>
      </c>
      <c r="AB1129" s="139"/>
      <c r="AC1129" s="139">
        <f t="shared" si="2050"/>
        <v>3.1893004115226338E-2</v>
      </c>
      <c r="AD1129" s="139">
        <f t="shared" ref="AD1129:AI1129" si="2265">O1129/$I1129</f>
        <v>5.1440329218106996E-3</v>
      </c>
      <c r="AE1129" s="139">
        <f t="shared" si="2265"/>
        <v>0</v>
      </c>
      <c r="AF1129" s="139">
        <f t="shared" si="2265"/>
        <v>0</v>
      </c>
      <c r="AG1129" s="139">
        <f t="shared" si="2265"/>
        <v>0</v>
      </c>
      <c r="AH1129" s="139">
        <f t="shared" si="2265"/>
        <v>1.8518518518518517E-2</v>
      </c>
      <c r="AI1129" s="139">
        <f t="shared" si="2265"/>
        <v>8.23045267489712E-3</v>
      </c>
    </row>
    <row r="1130" spans="2:35">
      <c r="B1130" s="138" t="s">
        <v>8077</v>
      </c>
      <c r="C1130" s="138" t="s">
        <v>4367</v>
      </c>
      <c r="D1130" s="138" t="s">
        <v>10</v>
      </c>
      <c r="E1130" s="138" t="s">
        <v>166</v>
      </c>
      <c r="F1130" s="138" t="s">
        <v>978</v>
      </c>
      <c r="H1130" s="138">
        <v>182</v>
      </c>
      <c r="I1130" s="138">
        <v>1123</v>
      </c>
      <c r="K1130" s="138">
        <v>283</v>
      </c>
      <c r="L1130" s="138">
        <v>811</v>
      </c>
      <c r="N1130" s="138">
        <v>8</v>
      </c>
      <c r="O1130" s="138">
        <v>4</v>
      </c>
      <c r="S1130" s="138">
        <v>10</v>
      </c>
      <c r="T1130" s="138">
        <v>7</v>
      </c>
      <c r="U1130" s="138">
        <f t="shared" si="2048"/>
        <v>21</v>
      </c>
      <c r="W1130" s="139">
        <f t="shared" ref="W1130:AA1130" si="2266">J1130/$I1130</f>
        <v>0</v>
      </c>
      <c r="X1130" s="139">
        <f t="shared" si="2266"/>
        <v>0.25200356188780054</v>
      </c>
      <c r="Y1130" s="139">
        <f t="shared" si="2266"/>
        <v>0.72217275155832594</v>
      </c>
      <c r="Z1130" s="139">
        <f t="shared" si="2266"/>
        <v>0</v>
      </c>
      <c r="AA1130" s="139">
        <f t="shared" si="2266"/>
        <v>7.1237756010685662E-3</v>
      </c>
      <c r="AB1130" s="139"/>
      <c r="AC1130" s="139">
        <f t="shared" si="2050"/>
        <v>1.8699910952804988E-2</v>
      </c>
      <c r="AD1130" s="139">
        <f t="shared" ref="AD1130:AI1130" si="2267">O1130/$I1130</f>
        <v>3.5618878005342831E-3</v>
      </c>
      <c r="AE1130" s="139">
        <f t="shared" si="2267"/>
        <v>0</v>
      </c>
      <c r="AF1130" s="139">
        <f t="shared" si="2267"/>
        <v>0</v>
      </c>
      <c r="AG1130" s="139">
        <f t="shared" si="2267"/>
        <v>0</v>
      </c>
      <c r="AH1130" s="139">
        <f t="shared" si="2267"/>
        <v>8.9047195013357075E-3</v>
      </c>
      <c r="AI1130" s="139">
        <f t="shared" si="2267"/>
        <v>6.2333036509349959E-3</v>
      </c>
    </row>
    <row r="1131" spans="2:35">
      <c r="B1131" s="138" t="s">
        <v>8077</v>
      </c>
      <c r="C1131" s="138" t="s">
        <v>4367</v>
      </c>
      <c r="D1131" s="138" t="s">
        <v>10</v>
      </c>
      <c r="E1131" s="138" t="s">
        <v>166</v>
      </c>
      <c r="F1131" s="138" t="s">
        <v>978</v>
      </c>
      <c r="H1131" s="138">
        <v>183</v>
      </c>
      <c r="I1131" s="138">
        <v>871</v>
      </c>
      <c r="K1131" s="138">
        <v>230</v>
      </c>
      <c r="L1131" s="138">
        <v>597</v>
      </c>
      <c r="N1131" s="138">
        <v>12</v>
      </c>
      <c r="O1131" s="138">
        <v>2</v>
      </c>
      <c r="S1131" s="138">
        <v>18</v>
      </c>
      <c r="T1131" s="138">
        <v>12</v>
      </c>
      <c r="U1131" s="138">
        <f t="shared" si="2048"/>
        <v>32</v>
      </c>
      <c r="W1131" s="139">
        <f t="shared" ref="W1131:AA1131" si="2268">J1131/$I1131</f>
        <v>0</v>
      </c>
      <c r="X1131" s="139">
        <f t="shared" si="2268"/>
        <v>0.26406429391504016</v>
      </c>
      <c r="Y1131" s="139">
        <f t="shared" si="2268"/>
        <v>0.68541905855338692</v>
      </c>
      <c r="Z1131" s="139">
        <f t="shared" si="2268"/>
        <v>0</v>
      </c>
      <c r="AA1131" s="139">
        <f t="shared" si="2268"/>
        <v>1.3777267508610792E-2</v>
      </c>
      <c r="AB1131" s="139"/>
      <c r="AC1131" s="139">
        <f t="shared" si="2050"/>
        <v>3.6739380022962113E-2</v>
      </c>
      <c r="AD1131" s="139">
        <f t="shared" ref="AD1131:AI1131" si="2269">O1131/$I1131</f>
        <v>2.2962112514351321E-3</v>
      </c>
      <c r="AE1131" s="139">
        <f t="shared" si="2269"/>
        <v>0</v>
      </c>
      <c r="AF1131" s="139">
        <f t="shared" si="2269"/>
        <v>0</v>
      </c>
      <c r="AG1131" s="139">
        <f t="shared" si="2269"/>
        <v>0</v>
      </c>
      <c r="AH1131" s="139">
        <f t="shared" si="2269"/>
        <v>2.0665901262916189E-2</v>
      </c>
      <c r="AI1131" s="139">
        <f t="shared" si="2269"/>
        <v>1.3777267508610792E-2</v>
      </c>
    </row>
    <row r="1132" spans="2:35">
      <c r="B1132" s="138" t="s">
        <v>8077</v>
      </c>
      <c r="C1132" s="138" t="s">
        <v>4367</v>
      </c>
      <c r="D1132" s="138" t="s">
        <v>10</v>
      </c>
      <c r="E1132" s="138" t="s">
        <v>166</v>
      </c>
      <c r="F1132" s="138" t="s">
        <v>978</v>
      </c>
      <c r="H1132" s="138">
        <v>184</v>
      </c>
      <c r="I1132" s="138">
        <v>858</v>
      </c>
      <c r="K1132" s="138">
        <v>162</v>
      </c>
      <c r="L1132" s="138">
        <v>643</v>
      </c>
      <c r="N1132" s="138">
        <v>3</v>
      </c>
      <c r="O1132" s="138">
        <v>3</v>
      </c>
      <c r="S1132" s="138">
        <v>38</v>
      </c>
      <c r="T1132" s="138">
        <v>9</v>
      </c>
      <c r="U1132" s="138">
        <f t="shared" si="2048"/>
        <v>50</v>
      </c>
      <c r="W1132" s="139">
        <f t="shared" ref="W1132:AA1132" si="2270">J1132/$I1132</f>
        <v>0</v>
      </c>
      <c r="X1132" s="139">
        <f t="shared" si="2270"/>
        <v>0.1888111888111888</v>
      </c>
      <c r="Y1132" s="139">
        <f t="shared" si="2270"/>
        <v>0.74941724941724941</v>
      </c>
      <c r="Z1132" s="139">
        <f t="shared" si="2270"/>
        <v>0</v>
      </c>
      <c r="AA1132" s="139">
        <f t="shared" si="2270"/>
        <v>3.4965034965034965E-3</v>
      </c>
      <c r="AB1132" s="139"/>
      <c r="AC1132" s="139">
        <f t="shared" si="2050"/>
        <v>5.8275058275058272E-2</v>
      </c>
      <c r="AD1132" s="139">
        <f t="shared" ref="AD1132:AI1132" si="2271">O1132/$I1132</f>
        <v>3.4965034965034965E-3</v>
      </c>
      <c r="AE1132" s="139">
        <f t="shared" si="2271"/>
        <v>0</v>
      </c>
      <c r="AF1132" s="139">
        <f t="shared" si="2271"/>
        <v>0</v>
      </c>
      <c r="AG1132" s="139">
        <f t="shared" si="2271"/>
        <v>0</v>
      </c>
      <c r="AH1132" s="139">
        <f t="shared" si="2271"/>
        <v>4.4289044289044288E-2</v>
      </c>
      <c r="AI1132" s="139">
        <f t="shared" si="2271"/>
        <v>1.048951048951049E-2</v>
      </c>
    </row>
    <row r="1133" spans="2:35">
      <c r="B1133" s="138" t="s">
        <v>8077</v>
      </c>
      <c r="C1133" s="138" t="s">
        <v>4367</v>
      </c>
      <c r="D1133" s="138" t="s">
        <v>10</v>
      </c>
      <c r="E1133" s="138" t="s">
        <v>166</v>
      </c>
      <c r="F1133" s="138" t="s">
        <v>8182</v>
      </c>
      <c r="H1133" s="138">
        <v>185</v>
      </c>
      <c r="I1133" s="138">
        <v>1005</v>
      </c>
      <c r="K1133" s="138">
        <v>482</v>
      </c>
      <c r="L1133" s="138">
        <v>465</v>
      </c>
      <c r="N1133" s="138">
        <v>3</v>
      </c>
      <c r="O1133" s="138">
        <v>5</v>
      </c>
      <c r="S1133" s="138">
        <v>31</v>
      </c>
      <c r="T1133" s="138">
        <v>19</v>
      </c>
      <c r="U1133" s="138">
        <f t="shared" si="2048"/>
        <v>55</v>
      </c>
      <c r="W1133" s="139">
        <f t="shared" ref="W1133:AA1133" si="2272">J1133/$I1133</f>
        <v>0</v>
      </c>
      <c r="X1133" s="139">
        <f t="shared" si="2272"/>
        <v>0.47960199004975124</v>
      </c>
      <c r="Y1133" s="139">
        <f t="shared" si="2272"/>
        <v>0.46268656716417911</v>
      </c>
      <c r="Z1133" s="139">
        <f t="shared" si="2272"/>
        <v>0</v>
      </c>
      <c r="AA1133" s="139">
        <f t="shared" si="2272"/>
        <v>2.9850746268656717E-3</v>
      </c>
      <c r="AB1133" s="139"/>
      <c r="AC1133" s="139">
        <f t="shared" si="2050"/>
        <v>5.4726368159203981E-2</v>
      </c>
      <c r="AD1133" s="139">
        <f t="shared" ref="AD1133:AI1133" si="2273">O1133/$I1133</f>
        <v>4.9751243781094526E-3</v>
      </c>
      <c r="AE1133" s="139">
        <f t="shared" si="2273"/>
        <v>0</v>
      </c>
      <c r="AF1133" s="139">
        <f t="shared" si="2273"/>
        <v>0</v>
      </c>
      <c r="AG1133" s="139">
        <f t="shared" si="2273"/>
        <v>0</v>
      </c>
      <c r="AH1133" s="139">
        <f t="shared" si="2273"/>
        <v>3.0845771144278607E-2</v>
      </c>
      <c r="AI1133" s="139">
        <f t="shared" si="2273"/>
        <v>1.8905472636815919E-2</v>
      </c>
    </row>
    <row r="1134" spans="2:35">
      <c r="B1134" s="138" t="s">
        <v>8077</v>
      </c>
      <c r="C1134" s="138" t="s">
        <v>4367</v>
      </c>
      <c r="D1134" s="138" t="s">
        <v>10</v>
      </c>
      <c r="E1134" s="138" t="s">
        <v>166</v>
      </c>
      <c r="F1134" s="138" t="s">
        <v>955</v>
      </c>
      <c r="H1134" s="138">
        <v>186</v>
      </c>
      <c r="I1134" s="138">
        <v>737</v>
      </c>
      <c r="K1134" s="138">
        <v>422</v>
      </c>
      <c r="L1134" s="138">
        <v>289</v>
      </c>
      <c r="N1134" s="138">
        <v>9</v>
      </c>
      <c r="O1134" s="138">
        <v>2</v>
      </c>
      <c r="S1134" s="138">
        <v>9</v>
      </c>
      <c r="T1134" s="138">
        <v>6</v>
      </c>
      <c r="U1134" s="138">
        <f t="shared" si="2048"/>
        <v>17</v>
      </c>
      <c r="W1134" s="139">
        <f t="shared" ref="W1134:AA1134" si="2274">J1134/$I1134</f>
        <v>0</v>
      </c>
      <c r="X1134" s="139">
        <f t="shared" si="2274"/>
        <v>0.5725915875169606</v>
      </c>
      <c r="Y1134" s="139">
        <f t="shared" si="2274"/>
        <v>0.39213025780189958</v>
      </c>
      <c r="Z1134" s="139">
        <f t="shared" si="2274"/>
        <v>0</v>
      </c>
      <c r="AA1134" s="139">
        <f t="shared" si="2274"/>
        <v>1.2211668928086838E-2</v>
      </c>
      <c r="AB1134" s="139"/>
      <c r="AC1134" s="139">
        <f t="shared" si="2050"/>
        <v>2.3066485753052916E-2</v>
      </c>
      <c r="AD1134" s="139">
        <f t="shared" ref="AD1134:AI1134" si="2275">O1134/$I1134</f>
        <v>2.7137042062415195E-3</v>
      </c>
      <c r="AE1134" s="139">
        <f t="shared" si="2275"/>
        <v>0</v>
      </c>
      <c r="AF1134" s="139">
        <f t="shared" si="2275"/>
        <v>0</v>
      </c>
      <c r="AG1134" s="139">
        <f t="shared" si="2275"/>
        <v>0</v>
      </c>
      <c r="AH1134" s="139">
        <f t="shared" si="2275"/>
        <v>1.2211668928086838E-2</v>
      </c>
      <c r="AI1134" s="139">
        <f t="shared" si="2275"/>
        <v>8.1411126187245584E-3</v>
      </c>
    </row>
    <row r="1135" spans="2:35">
      <c r="B1135" s="138" t="s">
        <v>8077</v>
      </c>
      <c r="C1135" s="138" t="s">
        <v>4367</v>
      </c>
      <c r="D1135" s="138" t="s">
        <v>10</v>
      </c>
      <c r="E1135" s="138" t="s">
        <v>166</v>
      </c>
      <c r="F1135" s="138" t="s">
        <v>974</v>
      </c>
      <c r="H1135" s="138">
        <v>187</v>
      </c>
      <c r="I1135" s="138">
        <v>1000</v>
      </c>
      <c r="K1135" s="138">
        <v>373</v>
      </c>
      <c r="L1135" s="138">
        <v>559</v>
      </c>
      <c r="N1135" s="138">
        <v>13</v>
      </c>
      <c r="O1135" s="138">
        <v>10</v>
      </c>
      <c r="S1135" s="138">
        <v>29</v>
      </c>
      <c r="T1135" s="138">
        <v>16</v>
      </c>
      <c r="U1135" s="138">
        <f t="shared" si="2048"/>
        <v>55</v>
      </c>
      <c r="W1135" s="139">
        <f t="shared" ref="W1135:AA1135" si="2276">J1135/$I1135</f>
        <v>0</v>
      </c>
      <c r="X1135" s="139">
        <f t="shared" si="2276"/>
        <v>0.373</v>
      </c>
      <c r="Y1135" s="139">
        <f t="shared" si="2276"/>
        <v>0.55900000000000005</v>
      </c>
      <c r="Z1135" s="139">
        <f t="shared" si="2276"/>
        <v>0</v>
      </c>
      <c r="AA1135" s="139">
        <f t="shared" si="2276"/>
        <v>1.2999999999999999E-2</v>
      </c>
      <c r="AB1135" s="139"/>
      <c r="AC1135" s="139">
        <f t="shared" si="2050"/>
        <v>5.5E-2</v>
      </c>
      <c r="AD1135" s="139">
        <f t="shared" ref="AD1135:AI1135" si="2277">O1135/$I1135</f>
        <v>0.01</v>
      </c>
      <c r="AE1135" s="139">
        <f t="shared" si="2277"/>
        <v>0</v>
      </c>
      <c r="AF1135" s="139">
        <f t="shared" si="2277"/>
        <v>0</v>
      </c>
      <c r="AG1135" s="139">
        <f t="shared" si="2277"/>
        <v>0</v>
      </c>
      <c r="AH1135" s="139">
        <f t="shared" si="2277"/>
        <v>2.9000000000000001E-2</v>
      </c>
      <c r="AI1135" s="139">
        <f t="shared" si="2277"/>
        <v>1.6E-2</v>
      </c>
    </row>
    <row r="1136" spans="2:35">
      <c r="B1136" s="138" t="s">
        <v>8077</v>
      </c>
      <c r="C1136" s="138" t="s">
        <v>4367</v>
      </c>
      <c r="D1136" s="138" t="s">
        <v>10</v>
      </c>
      <c r="E1136" s="138" t="s">
        <v>166</v>
      </c>
      <c r="F1136" s="138" t="s">
        <v>974</v>
      </c>
      <c r="H1136" s="138">
        <v>188</v>
      </c>
      <c r="I1136" s="138">
        <v>1000</v>
      </c>
      <c r="K1136" s="138">
        <v>276</v>
      </c>
      <c r="L1136" s="138">
        <v>653</v>
      </c>
      <c r="N1136" s="138">
        <v>9</v>
      </c>
      <c r="O1136" s="138">
        <v>8</v>
      </c>
      <c r="S1136" s="138">
        <v>35</v>
      </c>
      <c r="T1136" s="138">
        <v>19</v>
      </c>
      <c r="U1136" s="138">
        <f t="shared" si="2048"/>
        <v>62</v>
      </c>
      <c r="W1136" s="139">
        <f t="shared" ref="W1136:AA1136" si="2278">J1136/$I1136</f>
        <v>0</v>
      </c>
      <c r="X1136" s="139">
        <f t="shared" si="2278"/>
        <v>0.27600000000000002</v>
      </c>
      <c r="Y1136" s="139">
        <f t="shared" si="2278"/>
        <v>0.65300000000000002</v>
      </c>
      <c r="Z1136" s="139">
        <f t="shared" si="2278"/>
        <v>0</v>
      </c>
      <c r="AA1136" s="139">
        <f t="shared" si="2278"/>
        <v>8.9999999999999993E-3</v>
      </c>
      <c r="AB1136" s="139"/>
      <c r="AC1136" s="139">
        <f t="shared" si="2050"/>
        <v>6.2E-2</v>
      </c>
      <c r="AD1136" s="139">
        <f t="shared" ref="AD1136:AI1136" si="2279">O1136/$I1136</f>
        <v>8.0000000000000002E-3</v>
      </c>
      <c r="AE1136" s="139">
        <f t="shared" si="2279"/>
        <v>0</v>
      </c>
      <c r="AF1136" s="139">
        <f t="shared" si="2279"/>
        <v>0</v>
      </c>
      <c r="AG1136" s="139">
        <f t="shared" si="2279"/>
        <v>0</v>
      </c>
      <c r="AH1136" s="139">
        <f t="shared" si="2279"/>
        <v>3.5000000000000003E-2</v>
      </c>
      <c r="AI1136" s="139">
        <f t="shared" si="2279"/>
        <v>1.9E-2</v>
      </c>
    </row>
    <row r="1137" spans="2:35">
      <c r="B1137" s="138" t="s">
        <v>8077</v>
      </c>
      <c r="C1137" s="138" t="s">
        <v>4367</v>
      </c>
      <c r="D1137" s="138" t="s">
        <v>10</v>
      </c>
      <c r="E1137" s="138" t="s">
        <v>166</v>
      </c>
      <c r="F1137" s="138" t="s">
        <v>974</v>
      </c>
      <c r="H1137" s="138">
        <v>189</v>
      </c>
      <c r="I1137" s="138">
        <v>581</v>
      </c>
      <c r="K1137" s="138">
        <v>171</v>
      </c>
      <c r="L1137" s="138">
        <v>381</v>
      </c>
      <c r="N1137" s="138">
        <v>3</v>
      </c>
      <c r="O1137" s="138">
        <v>0</v>
      </c>
      <c r="S1137" s="138">
        <v>17</v>
      </c>
      <c r="T1137" s="138">
        <v>9</v>
      </c>
      <c r="U1137" s="138">
        <f t="shared" si="2048"/>
        <v>26</v>
      </c>
      <c r="W1137" s="139">
        <f t="shared" ref="W1137:AA1137" si="2280">J1137/$I1137</f>
        <v>0</v>
      </c>
      <c r="X1137" s="139">
        <f t="shared" si="2280"/>
        <v>0.29432013769363169</v>
      </c>
      <c r="Y1137" s="139">
        <f t="shared" si="2280"/>
        <v>0.65576592082616181</v>
      </c>
      <c r="Z1137" s="139">
        <f t="shared" si="2280"/>
        <v>0</v>
      </c>
      <c r="AA1137" s="139">
        <f t="shared" si="2280"/>
        <v>5.1635111876075735E-3</v>
      </c>
      <c r="AB1137" s="139"/>
      <c r="AC1137" s="139">
        <f t="shared" si="2050"/>
        <v>4.4750430292598967E-2</v>
      </c>
      <c r="AD1137" s="139">
        <f t="shared" ref="AD1137:AI1137" si="2281">O1137/$I1137</f>
        <v>0</v>
      </c>
      <c r="AE1137" s="139">
        <f t="shared" si="2281"/>
        <v>0</v>
      </c>
      <c r="AF1137" s="139">
        <f t="shared" si="2281"/>
        <v>0</v>
      </c>
      <c r="AG1137" s="139">
        <f t="shared" si="2281"/>
        <v>0</v>
      </c>
      <c r="AH1137" s="139">
        <f t="shared" si="2281"/>
        <v>2.9259896729776247E-2</v>
      </c>
      <c r="AI1137" s="139">
        <f t="shared" si="2281"/>
        <v>1.549053356282272E-2</v>
      </c>
    </row>
    <row r="1138" spans="2:35">
      <c r="B1138" s="138" t="s">
        <v>8077</v>
      </c>
      <c r="C1138" s="138" t="s">
        <v>4367</v>
      </c>
      <c r="D1138" s="138" t="s">
        <v>10</v>
      </c>
      <c r="E1138" s="138" t="s">
        <v>166</v>
      </c>
      <c r="F1138" s="138" t="s">
        <v>974</v>
      </c>
      <c r="H1138" s="138">
        <v>190</v>
      </c>
      <c r="I1138" s="138">
        <v>547</v>
      </c>
      <c r="K1138" s="138">
        <v>245</v>
      </c>
      <c r="L1138" s="138">
        <v>257</v>
      </c>
      <c r="N1138" s="138">
        <v>11</v>
      </c>
      <c r="O1138" s="138">
        <v>4</v>
      </c>
      <c r="S1138" s="138">
        <v>20</v>
      </c>
      <c r="T1138" s="138">
        <v>10</v>
      </c>
      <c r="U1138" s="138">
        <f t="shared" si="2048"/>
        <v>34</v>
      </c>
      <c r="W1138" s="139">
        <f t="shared" ref="W1138:AA1138" si="2282">J1138/$I1138</f>
        <v>0</v>
      </c>
      <c r="X1138" s="139">
        <f t="shared" si="2282"/>
        <v>0.44789762340036565</v>
      </c>
      <c r="Y1138" s="139">
        <f t="shared" si="2282"/>
        <v>0.46983546617915906</v>
      </c>
      <c r="Z1138" s="139">
        <f t="shared" si="2282"/>
        <v>0</v>
      </c>
      <c r="AA1138" s="139">
        <f t="shared" si="2282"/>
        <v>2.0109689213893969E-2</v>
      </c>
      <c r="AB1138" s="139"/>
      <c r="AC1138" s="139">
        <f t="shared" si="2050"/>
        <v>6.2157221206581355E-2</v>
      </c>
      <c r="AD1138" s="139">
        <f t="shared" ref="AD1138:AI1138" si="2283">O1138/$I1138</f>
        <v>7.3126142595978062E-3</v>
      </c>
      <c r="AE1138" s="139">
        <f t="shared" si="2283"/>
        <v>0</v>
      </c>
      <c r="AF1138" s="139">
        <f t="shared" si="2283"/>
        <v>0</v>
      </c>
      <c r="AG1138" s="139">
        <f t="shared" si="2283"/>
        <v>0</v>
      </c>
      <c r="AH1138" s="139">
        <f t="shared" si="2283"/>
        <v>3.6563071297989032E-2</v>
      </c>
      <c r="AI1138" s="139">
        <f t="shared" si="2283"/>
        <v>1.8281535648994516E-2</v>
      </c>
    </row>
    <row r="1139" spans="2:35">
      <c r="B1139" s="138" t="s">
        <v>8077</v>
      </c>
      <c r="C1139" s="138" t="s">
        <v>4367</v>
      </c>
      <c r="D1139" s="138" t="s">
        <v>10</v>
      </c>
      <c r="E1139" s="138" t="s">
        <v>166</v>
      </c>
      <c r="F1139" s="138" t="s">
        <v>957</v>
      </c>
      <c r="H1139" s="138">
        <v>191</v>
      </c>
      <c r="I1139" s="138">
        <v>463</v>
      </c>
      <c r="K1139" s="138">
        <v>128</v>
      </c>
      <c r="L1139" s="138">
        <v>323</v>
      </c>
      <c r="N1139" s="138">
        <v>0</v>
      </c>
      <c r="O1139" s="138">
        <v>1</v>
      </c>
      <c r="S1139" s="138">
        <v>8</v>
      </c>
      <c r="T1139" s="138">
        <v>3</v>
      </c>
      <c r="U1139" s="138">
        <f t="shared" si="2048"/>
        <v>12</v>
      </c>
      <c r="W1139" s="139">
        <f t="shared" ref="W1139:AA1139" si="2284">J1139/$I1139</f>
        <v>0</v>
      </c>
      <c r="X1139" s="139">
        <f t="shared" si="2284"/>
        <v>0.27645788336933047</v>
      </c>
      <c r="Y1139" s="139">
        <f t="shared" si="2284"/>
        <v>0.69762419006479481</v>
      </c>
      <c r="Z1139" s="139">
        <f t="shared" si="2284"/>
        <v>0</v>
      </c>
      <c r="AA1139" s="139">
        <f t="shared" si="2284"/>
        <v>0</v>
      </c>
      <c r="AB1139" s="139"/>
      <c r="AC1139" s="139">
        <f t="shared" si="2050"/>
        <v>2.591792656587473E-2</v>
      </c>
      <c r="AD1139" s="139">
        <f t="shared" ref="AD1139:AI1139" si="2285">O1139/$I1139</f>
        <v>2.1598272138228943E-3</v>
      </c>
      <c r="AE1139" s="139">
        <f t="shared" si="2285"/>
        <v>0</v>
      </c>
      <c r="AF1139" s="139">
        <f t="shared" si="2285"/>
        <v>0</v>
      </c>
      <c r="AG1139" s="139">
        <f t="shared" si="2285"/>
        <v>0</v>
      </c>
      <c r="AH1139" s="139">
        <f t="shared" si="2285"/>
        <v>1.7278617710583154E-2</v>
      </c>
      <c r="AI1139" s="139">
        <f t="shared" si="2285"/>
        <v>6.4794816414686825E-3</v>
      </c>
    </row>
    <row r="1140" spans="2:35">
      <c r="B1140" s="138" t="s">
        <v>8077</v>
      </c>
      <c r="C1140" s="138" t="s">
        <v>4367</v>
      </c>
      <c r="D1140" s="138" t="s">
        <v>10</v>
      </c>
      <c r="E1140" s="138" t="s">
        <v>166</v>
      </c>
      <c r="F1140" s="138" t="s">
        <v>957</v>
      </c>
      <c r="H1140" s="138">
        <v>192</v>
      </c>
      <c r="I1140" s="138">
        <v>939</v>
      </c>
      <c r="K1140" s="138">
        <v>353</v>
      </c>
      <c r="L1140" s="138">
        <v>537</v>
      </c>
      <c r="N1140" s="138">
        <v>11</v>
      </c>
      <c r="O1140" s="138">
        <v>2</v>
      </c>
      <c r="S1140" s="138">
        <v>14</v>
      </c>
      <c r="T1140" s="138">
        <v>22</v>
      </c>
      <c r="U1140" s="138">
        <f t="shared" si="2048"/>
        <v>38</v>
      </c>
      <c r="W1140" s="139">
        <f t="shared" ref="W1140:AA1140" si="2286">J1140/$I1140</f>
        <v>0</v>
      </c>
      <c r="X1140" s="139">
        <f t="shared" si="2286"/>
        <v>0.37593184238551652</v>
      </c>
      <c r="Y1140" s="139">
        <f t="shared" si="2286"/>
        <v>0.5718849840255591</v>
      </c>
      <c r="Z1140" s="139">
        <f t="shared" si="2286"/>
        <v>0</v>
      </c>
      <c r="AA1140" s="139">
        <f t="shared" si="2286"/>
        <v>1.1714589989350373E-2</v>
      </c>
      <c r="AB1140" s="139"/>
      <c r="AC1140" s="139">
        <f t="shared" si="2050"/>
        <v>4.0468583599574018E-2</v>
      </c>
      <c r="AD1140" s="139">
        <f t="shared" ref="AD1140:AI1140" si="2287">O1140/$I1140</f>
        <v>2.1299254526091589E-3</v>
      </c>
      <c r="AE1140" s="139">
        <f t="shared" si="2287"/>
        <v>0</v>
      </c>
      <c r="AF1140" s="139">
        <f t="shared" si="2287"/>
        <v>0</v>
      </c>
      <c r="AG1140" s="139">
        <f t="shared" si="2287"/>
        <v>0</v>
      </c>
      <c r="AH1140" s="139">
        <f t="shared" si="2287"/>
        <v>1.4909478168264111E-2</v>
      </c>
      <c r="AI1140" s="139">
        <f t="shared" si="2287"/>
        <v>2.3429179978700747E-2</v>
      </c>
    </row>
    <row r="1141" spans="2:35">
      <c r="B1141" s="138" t="s">
        <v>8077</v>
      </c>
      <c r="C1141" s="138" t="s">
        <v>4367</v>
      </c>
      <c r="D1141" s="138" t="s">
        <v>10</v>
      </c>
      <c r="E1141" s="138" t="s">
        <v>166</v>
      </c>
      <c r="F1141" s="138" t="s">
        <v>957</v>
      </c>
      <c r="H1141" s="138">
        <v>193</v>
      </c>
      <c r="I1141" s="138">
        <v>852</v>
      </c>
      <c r="K1141" s="138">
        <v>347</v>
      </c>
      <c r="L1141" s="138">
        <v>447</v>
      </c>
      <c r="N1141" s="138">
        <v>10</v>
      </c>
      <c r="O1141" s="138">
        <v>2</v>
      </c>
      <c r="S1141" s="138">
        <v>17</v>
      </c>
      <c r="T1141" s="138">
        <v>29</v>
      </c>
      <c r="U1141" s="138">
        <f t="shared" si="2048"/>
        <v>48</v>
      </c>
      <c r="W1141" s="139">
        <f t="shared" ref="W1141:AA1141" si="2288">J1141/$I1141</f>
        <v>0</v>
      </c>
      <c r="X1141" s="139">
        <f t="shared" si="2288"/>
        <v>0.40727699530516431</v>
      </c>
      <c r="Y1141" s="139">
        <f t="shared" si="2288"/>
        <v>0.52464788732394363</v>
      </c>
      <c r="Z1141" s="139">
        <f t="shared" si="2288"/>
        <v>0</v>
      </c>
      <c r="AA1141" s="139">
        <f t="shared" si="2288"/>
        <v>1.1737089201877934E-2</v>
      </c>
      <c r="AB1141" s="139"/>
      <c r="AC1141" s="139">
        <f t="shared" si="2050"/>
        <v>5.6338028169014086E-2</v>
      </c>
      <c r="AD1141" s="139">
        <f t="shared" ref="AD1141:AI1141" si="2289">O1141/$I1141</f>
        <v>2.3474178403755869E-3</v>
      </c>
      <c r="AE1141" s="139">
        <f t="shared" si="2289"/>
        <v>0</v>
      </c>
      <c r="AF1141" s="139">
        <f t="shared" si="2289"/>
        <v>0</v>
      </c>
      <c r="AG1141" s="139">
        <f t="shared" si="2289"/>
        <v>0</v>
      </c>
      <c r="AH1141" s="139">
        <f t="shared" si="2289"/>
        <v>1.9953051643192488E-2</v>
      </c>
      <c r="AI1141" s="139">
        <f t="shared" si="2289"/>
        <v>3.4037558685446008E-2</v>
      </c>
    </row>
    <row r="1142" spans="2:35">
      <c r="B1142" s="138" t="s">
        <v>8077</v>
      </c>
      <c r="C1142" s="138" t="s">
        <v>4367</v>
      </c>
      <c r="D1142" s="138" t="s">
        <v>10</v>
      </c>
      <c r="E1142" s="138" t="s">
        <v>166</v>
      </c>
      <c r="F1142" s="138" t="s">
        <v>957</v>
      </c>
      <c r="H1142" s="138">
        <v>194</v>
      </c>
      <c r="I1142" s="138">
        <v>1198</v>
      </c>
      <c r="K1142" s="138">
        <v>457</v>
      </c>
      <c r="L1142" s="138">
        <v>673</v>
      </c>
      <c r="N1142" s="138">
        <v>12</v>
      </c>
      <c r="O1142" s="138">
        <v>3</v>
      </c>
      <c r="S1142" s="138">
        <v>27</v>
      </c>
      <c r="T1142" s="138">
        <v>26</v>
      </c>
      <c r="U1142" s="138">
        <f t="shared" si="2048"/>
        <v>56</v>
      </c>
      <c r="W1142" s="139">
        <f t="shared" ref="W1142:AA1142" si="2290">J1142/$I1142</f>
        <v>0</v>
      </c>
      <c r="X1142" s="139">
        <f t="shared" si="2290"/>
        <v>0.38146911519198662</v>
      </c>
      <c r="Y1142" s="139">
        <f t="shared" si="2290"/>
        <v>0.56176961602671116</v>
      </c>
      <c r="Z1142" s="139">
        <f t="shared" si="2290"/>
        <v>0</v>
      </c>
      <c r="AA1142" s="139">
        <f t="shared" si="2290"/>
        <v>1.001669449081803E-2</v>
      </c>
      <c r="AB1142" s="139"/>
      <c r="AC1142" s="139">
        <f t="shared" si="2050"/>
        <v>4.6744574290484141E-2</v>
      </c>
      <c r="AD1142" s="139">
        <f t="shared" ref="AD1142:AI1142" si="2291">O1142/$I1142</f>
        <v>2.5041736227045075E-3</v>
      </c>
      <c r="AE1142" s="139">
        <f t="shared" si="2291"/>
        <v>0</v>
      </c>
      <c r="AF1142" s="139">
        <f t="shared" si="2291"/>
        <v>0</v>
      </c>
      <c r="AG1142" s="139">
        <f t="shared" si="2291"/>
        <v>0</v>
      </c>
      <c r="AH1142" s="139">
        <f t="shared" si="2291"/>
        <v>2.2537562604340568E-2</v>
      </c>
      <c r="AI1142" s="139">
        <f t="shared" si="2291"/>
        <v>2.1702838063439065E-2</v>
      </c>
    </row>
    <row r="1143" spans="2:35">
      <c r="B1143" s="138" t="s">
        <v>8077</v>
      </c>
      <c r="C1143" s="138" t="s">
        <v>4367</v>
      </c>
      <c r="D1143" s="138" t="s">
        <v>10</v>
      </c>
      <c r="E1143" s="138" t="s">
        <v>166</v>
      </c>
      <c r="F1143" s="138" t="s">
        <v>957</v>
      </c>
      <c r="H1143" s="138">
        <v>195</v>
      </c>
      <c r="I1143" s="138">
        <v>1144</v>
      </c>
      <c r="K1143" s="138">
        <v>400</v>
      </c>
      <c r="L1143" s="138">
        <v>684</v>
      </c>
      <c r="N1143" s="138">
        <v>9</v>
      </c>
      <c r="O1143" s="138">
        <v>2</v>
      </c>
      <c r="S1143" s="138">
        <v>35</v>
      </c>
      <c r="T1143" s="138">
        <v>14</v>
      </c>
      <c r="U1143" s="138">
        <f t="shared" si="2048"/>
        <v>51</v>
      </c>
      <c r="W1143" s="139">
        <f t="shared" ref="W1143:AA1143" si="2292">J1143/$I1143</f>
        <v>0</v>
      </c>
      <c r="X1143" s="139">
        <f t="shared" si="2292"/>
        <v>0.34965034965034963</v>
      </c>
      <c r="Y1143" s="139">
        <f t="shared" si="2292"/>
        <v>0.59790209790209792</v>
      </c>
      <c r="Z1143" s="139">
        <f t="shared" si="2292"/>
        <v>0</v>
      </c>
      <c r="AA1143" s="139">
        <f t="shared" si="2292"/>
        <v>7.8671328671328679E-3</v>
      </c>
      <c r="AB1143" s="139"/>
      <c r="AC1143" s="139">
        <f t="shared" si="2050"/>
        <v>4.4580419580419584E-2</v>
      </c>
      <c r="AD1143" s="139">
        <f t="shared" ref="AD1143:AI1143" si="2293">O1143/$I1143</f>
        <v>1.7482517482517483E-3</v>
      </c>
      <c r="AE1143" s="139">
        <f t="shared" si="2293"/>
        <v>0</v>
      </c>
      <c r="AF1143" s="139">
        <f t="shared" si="2293"/>
        <v>0</v>
      </c>
      <c r="AG1143" s="139">
        <f t="shared" si="2293"/>
        <v>0</v>
      </c>
      <c r="AH1143" s="139">
        <f t="shared" si="2293"/>
        <v>3.0594405594405596E-2</v>
      </c>
      <c r="AI1143" s="139">
        <f t="shared" si="2293"/>
        <v>1.2237762237762238E-2</v>
      </c>
    </row>
    <row r="1144" spans="2:35">
      <c r="B1144" s="138" t="s">
        <v>8077</v>
      </c>
      <c r="C1144" s="138" t="s">
        <v>4367</v>
      </c>
      <c r="D1144" s="138" t="s">
        <v>10</v>
      </c>
      <c r="E1144" s="138" t="s">
        <v>166</v>
      </c>
      <c r="F1144" s="138" t="s">
        <v>984</v>
      </c>
      <c r="H1144" s="138">
        <v>196</v>
      </c>
      <c r="I1144" s="138">
        <v>1047</v>
      </c>
      <c r="K1144" s="138">
        <v>411</v>
      </c>
      <c r="L1144" s="138">
        <v>555</v>
      </c>
      <c r="N1144" s="138">
        <v>1</v>
      </c>
      <c r="O1144" s="138">
        <v>2</v>
      </c>
      <c r="S1144" s="138">
        <v>50</v>
      </c>
      <c r="T1144" s="138">
        <v>28</v>
      </c>
      <c r="U1144" s="138">
        <f t="shared" si="2048"/>
        <v>80</v>
      </c>
      <c r="W1144" s="139">
        <f t="shared" ref="W1144:AA1144" si="2294">J1144/$I1144</f>
        <v>0</v>
      </c>
      <c r="X1144" s="139">
        <f t="shared" si="2294"/>
        <v>0.39255014326647564</v>
      </c>
      <c r="Y1144" s="139">
        <f t="shared" si="2294"/>
        <v>0.53008595988538687</v>
      </c>
      <c r="Z1144" s="139">
        <f t="shared" si="2294"/>
        <v>0</v>
      </c>
      <c r="AA1144" s="139">
        <f t="shared" si="2294"/>
        <v>9.5510983763132757E-4</v>
      </c>
      <c r="AB1144" s="139"/>
      <c r="AC1144" s="139">
        <f t="shared" si="2050"/>
        <v>7.6408787010506213E-2</v>
      </c>
      <c r="AD1144" s="139">
        <f t="shared" ref="AD1144:AI1144" si="2295">O1144/$I1144</f>
        <v>1.9102196752626551E-3</v>
      </c>
      <c r="AE1144" s="139">
        <f t="shared" si="2295"/>
        <v>0</v>
      </c>
      <c r="AF1144" s="139">
        <f t="shared" si="2295"/>
        <v>0</v>
      </c>
      <c r="AG1144" s="139">
        <f t="shared" si="2295"/>
        <v>0</v>
      </c>
      <c r="AH1144" s="139">
        <f t="shared" si="2295"/>
        <v>4.775549188156638E-2</v>
      </c>
      <c r="AI1144" s="139">
        <f t="shared" si="2295"/>
        <v>2.6743075453677174E-2</v>
      </c>
    </row>
    <row r="1145" spans="2:35">
      <c r="B1145" s="138" t="s">
        <v>8077</v>
      </c>
      <c r="C1145" s="138" t="s">
        <v>4367</v>
      </c>
      <c r="D1145" s="138" t="s">
        <v>10</v>
      </c>
      <c r="E1145" s="138" t="s">
        <v>166</v>
      </c>
      <c r="F1145" s="138" t="s">
        <v>984</v>
      </c>
      <c r="H1145" s="138">
        <v>197</v>
      </c>
      <c r="I1145" s="138">
        <v>1079</v>
      </c>
      <c r="K1145" s="138">
        <v>237</v>
      </c>
      <c r="L1145" s="138">
        <v>818</v>
      </c>
      <c r="N1145" s="138">
        <v>3</v>
      </c>
      <c r="O1145" s="138">
        <v>0</v>
      </c>
      <c r="S1145" s="138">
        <v>15</v>
      </c>
      <c r="T1145" s="138">
        <v>6</v>
      </c>
      <c r="U1145" s="138">
        <f t="shared" si="2048"/>
        <v>21</v>
      </c>
      <c r="W1145" s="139">
        <f t="shared" ref="W1145:AA1145" si="2296">J1145/$I1145</f>
        <v>0</v>
      </c>
      <c r="X1145" s="139">
        <f t="shared" si="2296"/>
        <v>0.21964782205746061</v>
      </c>
      <c r="Y1145" s="139">
        <f t="shared" si="2296"/>
        <v>0.75810936051899902</v>
      </c>
      <c r="Z1145" s="139">
        <f t="shared" si="2296"/>
        <v>0</v>
      </c>
      <c r="AA1145" s="139">
        <f t="shared" si="2296"/>
        <v>2.7803521779425394E-3</v>
      </c>
      <c r="AB1145" s="139"/>
      <c r="AC1145" s="139">
        <f t="shared" si="2050"/>
        <v>1.9462465245597776E-2</v>
      </c>
      <c r="AD1145" s="139">
        <f t="shared" ref="AD1145:AI1145" si="2297">O1145/$I1145</f>
        <v>0</v>
      </c>
      <c r="AE1145" s="139">
        <f t="shared" si="2297"/>
        <v>0</v>
      </c>
      <c r="AF1145" s="139">
        <f t="shared" si="2297"/>
        <v>0</v>
      </c>
      <c r="AG1145" s="139">
        <f t="shared" si="2297"/>
        <v>0</v>
      </c>
      <c r="AH1145" s="139">
        <f t="shared" si="2297"/>
        <v>1.3901760889712697E-2</v>
      </c>
      <c r="AI1145" s="139">
        <f t="shared" si="2297"/>
        <v>5.5607043558850789E-3</v>
      </c>
    </row>
    <row r="1146" spans="2:35">
      <c r="B1146" s="138" t="s">
        <v>8077</v>
      </c>
      <c r="C1146" s="138" t="s">
        <v>4367</v>
      </c>
      <c r="D1146" s="138" t="s">
        <v>10</v>
      </c>
      <c r="E1146" s="138" t="s">
        <v>166</v>
      </c>
      <c r="F1146" s="138" t="s">
        <v>984</v>
      </c>
      <c r="H1146" s="138">
        <v>198</v>
      </c>
      <c r="I1146" s="138">
        <v>1029</v>
      </c>
      <c r="K1146" s="138">
        <v>309</v>
      </c>
      <c r="L1146" s="138">
        <v>640</v>
      </c>
      <c r="N1146" s="138">
        <v>10</v>
      </c>
      <c r="O1146" s="138">
        <v>7</v>
      </c>
      <c r="S1146" s="138">
        <v>45</v>
      </c>
      <c r="T1146" s="138">
        <v>18</v>
      </c>
      <c r="U1146" s="138">
        <f t="shared" si="2048"/>
        <v>70</v>
      </c>
      <c r="W1146" s="139">
        <f t="shared" ref="W1146:AA1146" si="2298">J1146/$I1146</f>
        <v>0</v>
      </c>
      <c r="X1146" s="139">
        <f t="shared" si="2298"/>
        <v>0.30029154518950435</v>
      </c>
      <c r="Y1146" s="139">
        <f t="shared" si="2298"/>
        <v>0.62196307094266279</v>
      </c>
      <c r="Z1146" s="139">
        <f t="shared" si="2298"/>
        <v>0</v>
      </c>
      <c r="AA1146" s="139">
        <f t="shared" si="2298"/>
        <v>9.7181729834791061E-3</v>
      </c>
      <c r="AB1146" s="139"/>
      <c r="AC1146" s="139">
        <f t="shared" si="2050"/>
        <v>6.8027210884353748E-2</v>
      </c>
      <c r="AD1146" s="139">
        <f t="shared" ref="AD1146:AI1146" si="2299">O1146/$I1146</f>
        <v>6.8027210884353739E-3</v>
      </c>
      <c r="AE1146" s="139">
        <f t="shared" si="2299"/>
        <v>0</v>
      </c>
      <c r="AF1146" s="139">
        <f t="shared" si="2299"/>
        <v>0</v>
      </c>
      <c r="AG1146" s="139">
        <f t="shared" si="2299"/>
        <v>0</v>
      </c>
      <c r="AH1146" s="139">
        <f t="shared" si="2299"/>
        <v>4.3731778425655975E-2</v>
      </c>
      <c r="AI1146" s="139">
        <f t="shared" si="2299"/>
        <v>1.7492711370262391E-2</v>
      </c>
    </row>
    <row r="1147" spans="2:35">
      <c r="B1147" s="138" t="s">
        <v>8077</v>
      </c>
      <c r="C1147" s="138" t="s">
        <v>4367</v>
      </c>
      <c r="D1147" s="138" t="s">
        <v>10</v>
      </c>
      <c r="E1147" s="138" t="s">
        <v>166</v>
      </c>
      <c r="F1147" s="138" t="s">
        <v>984</v>
      </c>
      <c r="H1147" s="138">
        <v>199</v>
      </c>
      <c r="I1147" s="138">
        <v>889</v>
      </c>
      <c r="K1147" s="138">
        <v>258</v>
      </c>
      <c r="L1147" s="138">
        <v>576</v>
      </c>
      <c r="N1147" s="138">
        <v>5</v>
      </c>
      <c r="O1147" s="138">
        <v>2</v>
      </c>
      <c r="S1147" s="138">
        <v>42</v>
      </c>
      <c r="T1147" s="138">
        <v>6</v>
      </c>
      <c r="U1147" s="138">
        <f t="shared" si="2048"/>
        <v>50</v>
      </c>
      <c r="W1147" s="139">
        <f t="shared" ref="W1147:AA1147" si="2300">J1147/$I1147</f>
        <v>0</v>
      </c>
      <c r="X1147" s="139">
        <f t="shared" si="2300"/>
        <v>0.29021372328458944</v>
      </c>
      <c r="Y1147" s="139">
        <f t="shared" si="2300"/>
        <v>0.64791901012373454</v>
      </c>
      <c r="Z1147" s="139">
        <f t="shared" si="2300"/>
        <v>0</v>
      </c>
      <c r="AA1147" s="139">
        <f t="shared" si="2300"/>
        <v>5.6242969628796397E-3</v>
      </c>
      <c r="AB1147" s="139"/>
      <c r="AC1147" s="139">
        <f t="shared" si="2050"/>
        <v>5.6242969628796401E-2</v>
      </c>
      <c r="AD1147" s="139">
        <f t="shared" ref="AD1147:AI1147" si="2301">O1147/$I1147</f>
        <v>2.2497187851518562E-3</v>
      </c>
      <c r="AE1147" s="139">
        <f t="shared" si="2301"/>
        <v>0</v>
      </c>
      <c r="AF1147" s="139">
        <f t="shared" si="2301"/>
        <v>0</v>
      </c>
      <c r="AG1147" s="139">
        <f t="shared" si="2301"/>
        <v>0</v>
      </c>
      <c r="AH1147" s="139">
        <f t="shared" si="2301"/>
        <v>4.7244094488188976E-2</v>
      </c>
      <c r="AI1147" s="139">
        <f t="shared" si="2301"/>
        <v>6.7491563554555678E-3</v>
      </c>
    </row>
    <row r="1148" spans="2:35">
      <c r="B1148" s="138" t="s">
        <v>8077</v>
      </c>
      <c r="C1148" s="138" t="s">
        <v>4367</v>
      </c>
      <c r="D1148" s="138" t="s">
        <v>10</v>
      </c>
      <c r="E1148" s="138" t="s">
        <v>166</v>
      </c>
      <c r="F1148" s="138" t="s">
        <v>984</v>
      </c>
      <c r="H1148" s="138">
        <v>200</v>
      </c>
      <c r="I1148" s="138">
        <v>771</v>
      </c>
      <c r="K1148" s="138">
        <v>253</v>
      </c>
      <c r="L1148" s="138">
        <v>487</v>
      </c>
      <c r="N1148" s="138">
        <v>10</v>
      </c>
      <c r="O1148" s="138">
        <v>1</v>
      </c>
      <c r="S1148" s="138">
        <v>13</v>
      </c>
      <c r="T1148" s="138">
        <v>7</v>
      </c>
      <c r="U1148" s="138">
        <f t="shared" si="2048"/>
        <v>21</v>
      </c>
      <c r="W1148" s="139">
        <f t="shared" ref="W1148:AA1148" si="2302">J1148/$I1148</f>
        <v>0</v>
      </c>
      <c r="X1148" s="139">
        <f t="shared" si="2302"/>
        <v>0.32814526588845655</v>
      </c>
      <c r="Y1148" s="139">
        <f t="shared" si="2302"/>
        <v>0.63164721141374836</v>
      </c>
      <c r="Z1148" s="139">
        <f t="shared" si="2302"/>
        <v>0</v>
      </c>
      <c r="AA1148" s="139">
        <f t="shared" si="2302"/>
        <v>1.2970168612191959E-2</v>
      </c>
      <c r="AB1148" s="139"/>
      <c r="AC1148" s="139">
        <f t="shared" si="2050"/>
        <v>2.7237354085603113E-2</v>
      </c>
      <c r="AD1148" s="139">
        <f t="shared" ref="AD1148:AI1148" si="2303">O1148/$I1148</f>
        <v>1.2970168612191958E-3</v>
      </c>
      <c r="AE1148" s="139">
        <f t="shared" si="2303"/>
        <v>0</v>
      </c>
      <c r="AF1148" s="139">
        <f t="shared" si="2303"/>
        <v>0</v>
      </c>
      <c r="AG1148" s="139">
        <f t="shared" si="2303"/>
        <v>0</v>
      </c>
      <c r="AH1148" s="139">
        <f t="shared" si="2303"/>
        <v>1.6861219195849545E-2</v>
      </c>
      <c r="AI1148" s="139">
        <f t="shared" si="2303"/>
        <v>9.0791180285343717E-3</v>
      </c>
    </row>
    <row r="1149" spans="2:35">
      <c r="B1149" s="138" t="s">
        <v>8077</v>
      </c>
      <c r="C1149" s="138" t="s">
        <v>4367</v>
      </c>
      <c r="D1149" s="138" t="s">
        <v>10</v>
      </c>
      <c r="E1149" s="138" t="s">
        <v>166</v>
      </c>
      <c r="F1149" s="138" t="s">
        <v>984</v>
      </c>
      <c r="H1149" s="138">
        <v>201</v>
      </c>
      <c r="I1149" s="138">
        <v>1124</v>
      </c>
      <c r="K1149" s="138">
        <v>505</v>
      </c>
      <c r="L1149" s="138">
        <v>576</v>
      </c>
      <c r="N1149" s="138">
        <v>6</v>
      </c>
      <c r="O1149" s="138">
        <v>3</v>
      </c>
      <c r="S1149" s="138">
        <v>15</v>
      </c>
      <c r="T1149" s="138">
        <v>19</v>
      </c>
      <c r="U1149" s="138">
        <f t="shared" si="2048"/>
        <v>37</v>
      </c>
      <c r="W1149" s="139">
        <f t="shared" ref="W1149:AA1149" si="2304">J1149/$I1149</f>
        <v>0</v>
      </c>
      <c r="X1149" s="139">
        <f t="shared" si="2304"/>
        <v>0.44928825622775803</v>
      </c>
      <c r="Y1149" s="139">
        <f t="shared" si="2304"/>
        <v>0.51245551601423489</v>
      </c>
      <c r="Z1149" s="139">
        <f t="shared" si="2304"/>
        <v>0</v>
      </c>
      <c r="AA1149" s="139">
        <f t="shared" si="2304"/>
        <v>5.3380782918149468E-3</v>
      </c>
      <c r="AB1149" s="139"/>
      <c r="AC1149" s="139">
        <f t="shared" si="2050"/>
        <v>3.2918149466192169E-2</v>
      </c>
      <c r="AD1149" s="139">
        <f t="shared" ref="AD1149:AI1149" si="2305">O1149/$I1149</f>
        <v>2.6690391459074734E-3</v>
      </c>
      <c r="AE1149" s="139">
        <f t="shared" si="2305"/>
        <v>0</v>
      </c>
      <c r="AF1149" s="139">
        <f t="shared" si="2305"/>
        <v>0</v>
      </c>
      <c r="AG1149" s="139">
        <f t="shared" si="2305"/>
        <v>0</v>
      </c>
      <c r="AH1149" s="139">
        <f t="shared" si="2305"/>
        <v>1.3345195729537367E-2</v>
      </c>
      <c r="AI1149" s="139">
        <f t="shared" si="2305"/>
        <v>1.6903914590747332E-2</v>
      </c>
    </row>
    <row r="1150" spans="2:35">
      <c r="B1150" s="138" t="s">
        <v>8077</v>
      </c>
      <c r="C1150" s="138" t="s">
        <v>4367</v>
      </c>
      <c r="D1150" s="138" t="s">
        <v>10</v>
      </c>
      <c r="E1150" s="138" t="s">
        <v>166</v>
      </c>
      <c r="F1150" s="138" t="s">
        <v>984</v>
      </c>
      <c r="H1150" s="138">
        <v>202</v>
      </c>
      <c r="I1150" s="138">
        <v>987</v>
      </c>
      <c r="K1150" s="138">
        <v>428</v>
      </c>
      <c r="L1150" s="138">
        <v>519</v>
      </c>
      <c r="N1150" s="138">
        <v>5</v>
      </c>
      <c r="O1150" s="138">
        <v>2</v>
      </c>
      <c r="S1150" s="138">
        <v>21</v>
      </c>
      <c r="T1150" s="138">
        <v>12</v>
      </c>
      <c r="U1150" s="138">
        <f t="shared" si="2048"/>
        <v>35</v>
      </c>
      <c r="W1150" s="139">
        <f t="shared" ref="W1150:AA1150" si="2306">J1150/$I1150</f>
        <v>0</v>
      </c>
      <c r="X1150" s="139">
        <f t="shared" si="2306"/>
        <v>0.43363728470111451</v>
      </c>
      <c r="Y1150" s="139">
        <f t="shared" si="2306"/>
        <v>0.52583586626139822</v>
      </c>
      <c r="Z1150" s="139">
        <f t="shared" si="2306"/>
        <v>0</v>
      </c>
      <c r="AA1150" s="139">
        <f t="shared" si="2306"/>
        <v>5.065856129685917E-3</v>
      </c>
      <c r="AB1150" s="139"/>
      <c r="AC1150" s="139">
        <f t="shared" si="2050"/>
        <v>3.5460992907801421E-2</v>
      </c>
      <c r="AD1150" s="139">
        <f t="shared" ref="AD1150:AI1150" si="2307">O1150/$I1150</f>
        <v>2.0263424518743669E-3</v>
      </c>
      <c r="AE1150" s="139">
        <f t="shared" si="2307"/>
        <v>0</v>
      </c>
      <c r="AF1150" s="139">
        <f t="shared" si="2307"/>
        <v>0</v>
      </c>
      <c r="AG1150" s="139">
        <f t="shared" si="2307"/>
        <v>0</v>
      </c>
      <c r="AH1150" s="139">
        <f t="shared" si="2307"/>
        <v>2.1276595744680851E-2</v>
      </c>
      <c r="AI1150" s="139">
        <f t="shared" si="2307"/>
        <v>1.2158054711246201E-2</v>
      </c>
    </row>
    <row r="1151" spans="2:35">
      <c r="B1151" s="138" t="s">
        <v>8077</v>
      </c>
      <c r="C1151" s="138" t="s">
        <v>4367</v>
      </c>
      <c r="D1151" s="138" t="s">
        <v>10</v>
      </c>
      <c r="E1151" s="138" t="s">
        <v>166</v>
      </c>
      <c r="F1151" s="138" t="s">
        <v>984</v>
      </c>
      <c r="H1151" s="138">
        <v>203</v>
      </c>
      <c r="I1151" s="138">
        <v>700</v>
      </c>
      <c r="K1151" s="138">
        <v>373</v>
      </c>
      <c r="L1151" s="138">
        <v>302</v>
      </c>
      <c r="N1151" s="138">
        <v>2</v>
      </c>
      <c r="O1151" s="138">
        <v>1</v>
      </c>
      <c r="S1151" s="138">
        <v>12</v>
      </c>
      <c r="T1151" s="138">
        <v>10</v>
      </c>
      <c r="U1151" s="138">
        <f t="shared" si="2048"/>
        <v>23</v>
      </c>
      <c r="W1151" s="139">
        <f t="shared" ref="W1151:AA1151" si="2308">J1151/$I1151</f>
        <v>0</v>
      </c>
      <c r="X1151" s="139">
        <f t="shared" si="2308"/>
        <v>0.53285714285714281</v>
      </c>
      <c r="Y1151" s="139">
        <f t="shared" si="2308"/>
        <v>0.43142857142857144</v>
      </c>
      <c r="Z1151" s="139">
        <f t="shared" si="2308"/>
        <v>0</v>
      </c>
      <c r="AA1151" s="139">
        <f t="shared" si="2308"/>
        <v>2.8571428571428571E-3</v>
      </c>
      <c r="AB1151" s="139"/>
      <c r="AC1151" s="139">
        <f t="shared" si="2050"/>
        <v>3.2857142857142856E-2</v>
      </c>
      <c r="AD1151" s="139">
        <f t="shared" ref="AD1151:AI1151" si="2309">O1151/$I1151</f>
        <v>1.4285714285714286E-3</v>
      </c>
      <c r="AE1151" s="139">
        <f t="shared" si="2309"/>
        <v>0</v>
      </c>
      <c r="AF1151" s="139">
        <f t="shared" si="2309"/>
        <v>0</v>
      </c>
      <c r="AG1151" s="139">
        <f t="shared" si="2309"/>
        <v>0</v>
      </c>
      <c r="AH1151" s="139">
        <f t="shared" si="2309"/>
        <v>1.7142857142857144E-2</v>
      </c>
      <c r="AI1151" s="139">
        <f t="shared" si="2309"/>
        <v>1.4285714285714285E-2</v>
      </c>
    </row>
    <row r="1152" spans="2:35">
      <c r="B1152" s="138" t="s">
        <v>8077</v>
      </c>
      <c r="C1152" s="138" t="s">
        <v>4367</v>
      </c>
      <c r="D1152" s="138" t="s">
        <v>10</v>
      </c>
      <c r="E1152" s="138" t="s">
        <v>166</v>
      </c>
      <c r="F1152" s="138" t="s">
        <v>984</v>
      </c>
      <c r="H1152" s="138">
        <v>204</v>
      </c>
      <c r="I1152" s="138">
        <v>879</v>
      </c>
      <c r="K1152" s="138">
        <v>419</v>
      </c>
      <c r="L1152" s="138">
        <v>391</v>
      </c>
      <c r="N1152" s="138">
        <v>6</v>
      </c>
      <c r="O1152" s="138">
        <v>4</v>
      </c>
      <c r="S1152" s="138">
        <v>29</v>
      </c>
      <c r="T1152" s="138">
        <v>30</v>
      </c>
      <c r="U1152" s="138">
        <f t="shared" si="2048"/>
        <v>63</v>
      </c>
      <c r="W1152" s="139">
        <f t="shared" ref="W1152:AA1152" si="2310">J1152/$I1152</f>
        <v>0</v>
      </c>
      <c r="X1152" s="139">
        <f t="shared" si="2310"/>
        <v>0.47667804323094426</v>
      </c>
      <c r="Y1152" s="139">
        <f t="shared" si="2310"/>
        <v>0.44482366325369738</v>
      </c>
      <c r="Z1152" s="139">
        <f t="shared" si="2310"/>
        <v>0</v>
      </c>
      <c r="AA1152" s="139">
        <f t="shared" si="2310"/>
        <v>6.8259385665529011E-3</v>
      </c>
      <c r="AB1152" s="139"/>
      <c r="AC1152" s="139">
        <f t="shared" si="2050"/>
        <v>7.1672354948805458E-2</v>
      </c>
      <c r="AD1152" s="139">
        <f t="shared" ref="AD1152:AI1152" si="2311">O1152/$I1152</f>
        <v>4.5506257110352671E-3</v>
      </c>
      <c r="AE1152" s="139">
        <f t="shared" si="2311"/>
        <v>0</v>
      </c>
      <c r="AF1152" s="139">
        <f t="shared" si="2311"/>
        <v>0</v>
      </c>
      <c r="AG1152" s="139">
        <f t="shared" si="2311"/>
        <v>0</v>
      </c>
      <c r="AH1152" s="139">
        <f t="shared" si="2311"/>
        <v>3.2992036405005691E-2</v>
      </c>
      <c r="AI1152" s="139">
        <f t="shared" si="2311"/>
        <v>3.4129692832764506E-2</v>
      </c>
    </row>
    <row r="1153" spans="2:35">
      <c r="B1153" s="138" t="s">
        <v>8077</v>
      </c>
      <c r="C1153" s="138" t="s">
        <v>4367</v>
      </c>
      <c r="D1153" s="138" t="s">
        <v>10</v>
      </c>
      <c r="E1153" s="138" t="s">
        <v>166</v>
      </c>
      <c r="F1153" s="138" t="s">
        <v>984</v>
      </c>
      <c r="H1153" s="138">
        <v>205</v>
      </c>
      <c r="I1153" s="138">
        <v>46367</v>
      </c>
      <c r="K1153" s="138">
        <v>217</v>
      </c>
      <c r="L1153" s="138">
        <v>423</v>
      </c>
      <c r="N1153" s="138">
        <v>2</v>
      </c>
      <c r="O1153" s="138">
        <v>45693</v>
      </c>
      <c r="S1153" s="138">
        <v>24</v>
      </c>
      <c r="T1153" s="138">
        <v>8</v>
      </c>
      <c r="U1153" s="138">
        <f t="shared" si="2048"/>
        <v>45725</v>
      </c>
      <c r="W1153" s="139">
        <f t="shared" ref="W1153:AA1153" si="2312">J1153/$I1153</f>
        <v>0</v>
      </c>
      <c r="X1153" s="139">
        <f t="shared" si="2312"/>
        <v>4.6800526236331873E-3</v>
      </c>
      <c r="Y1153" s="139">
        <f t="shared" si="2312"/>
        <v>9.1228675566674567E-3</v>
      </c>
      <c r="Z1153" s="139">
        <f t="shared" si="2312"/>
        <v>0</v>
      </c>
      <c r="AA1153" s="139">
        <f t="shared" si="2312"/>
        <v>4.3134125563439512E-5</v>
      </c>
      <c r="AB1153" s="139"/>
      <c r="AC1153" s="139">
        <f t="shared" si="2050"/>
        <v>0.98615394569413595</v>
      </c>
      <c r="AD1153" s="139">
        <f t="shared" ref="AD1153:AI1153" si="2313">O1153/$I1153</f>
        <v>0.98546379968512088</v>
      </c>
      <c r="AE1153" s="139">
        <f t="shared" si="2313"/>
        <v>0</v>
      </c>
      <c r="AF1153" s="139">
        <f t="shared" si="2313"/>
        <v>0</v>
      </c>
      <c r="AG1153" s="139">
        <f t="shared" si="2313"/>
        <v>0</v>
      </c>
      <c r="AH1153" s="139">
        <f t="shared" si="2313"/>
        <v>5.1760950676127415E-4</v>
      </c>
      <c r="AI1153" s="139">
        <f t="shared" si="2313"/>
        <v>1.7253650225375805E-4</v>
      </c>
    </row>
    <row r="1154" spans="2:35">
      <c r="B1154" s="138" t="s">
        <v>8077</v>
      </c>
      <c r="C1154" s="138" t="s">
        <v>4367</v>
      </c>
      <c r="D1154" s="138" t="s">
        <v>10</v>
      </c>
      <c r="E1154" s="138" t="s">
        <v>166</v>
      </c>
      <c r="F1154" s="138" t="s">
        <v>8085</v>
      </c>
      <c r="H1154" s="138">
        <v>206</v>
      </c>
      <c r="I1154" s="138">
        <v>888</v>
      </c>
      <c r="K1154" s="138">
        <v>125</v>
      </c>
      <c r="L1154" s="138">
        <v>715</v>
      </c>
      <c r="N1154" s="138">
        <v>6</v>
      </c>
      <c r="O1154" s="138">
        <v>4</v>
      </c>
      <c r="S1154" s="138">
        <v>26</v>
      </c>
      <c r="T1154" s="138">
        <v>12</v>
      </c>
      <c r="U1154" s="138">
        <f t="shared" si="2048"/>
        <v>42</v>
      </c>
      <c r="W1154" s="139">
        <f t="shared" ref="W1154:AA1154" si="2314">J1154/$I1154</f>
        <v>0</v>
      </c>
      <c r="X1154" s="139">
        <f t="shared" si="2314"/>
        <v>0.14076576576576577</v>
      </c>
      <c r="Y1154" s="139">
        <f t="shared" si="2314"/>
        <v>0.80518018018018023</v>
      </c>
      <c r="Z1154" s="139">
        <f t="shared" si="2314"/>
        <v>0</v>
      </c>
      <c r="AA1154" s="139">
        <f t="shared" si="2314"/>
        <v>6.7567567567567571E-3</v>
      </c>
      <c r="AB1154" s="139"/>
      <c r="AC1154" s="139">
        <f t="shared" si="2050"/>
        <v>4.72972972972973E-2</v>
      </c>
      <c r="AD1154" s="139">
        <f t="shared" ref="AD1154:AI1154" si="2315">O1154/$I1154</f>
        <v>4.5045045045045045E-3</v>
      </c>
      <c r="AE1154" s="139">
        <f t="shared" si="2315"/>
        <v>0</v>
      </c>
      <c r="AF1154" s="139">
        <f t="shared" si="2315"/>
        <v>0</v>
      </c>
      <c r="AG1154" s="139">
        <f t="shared" si="2315"/>
        <v>0</v>
      </c>
      <c r="AH1154" s="139">
        <f t="shared" si="2315"/>
        <v>2.9279279279279279E-2</v>
      </c>
      <c r="AI1154" s="139">
        <f t="shared" si="2315"/>
        <v>1.3513513513513514E-2</v>
      </c>
    </row>
    <row r="1155" spans="2:35">
      <c r="B1155" s="138" t="s">
        <v>8077</v>
      </c>
      <c r="C1155" s="138" t="s">
        <v>4367</v>
      </c>
      <c r="D1155" s="138" t="s">
        <v>10</v>
      </c>
      <c r="E1155" s="138" t="s">
        <v>166</v>
      </c>
      <c r="F1155" s="138" t="s">
        <v>8085</v>
      </c>
      <c r="H1155" s="138">
        <v>207</v>
      </c>
      <c r="I1155" s="138">
        <v>800</v>
      </c>
      <c r="K1155" s="138">
        <v>172</v>
      </c>
      <c r="L1155" s="138">
        <v>594</v>
      </c>
      <c r="N1155" s="138">
        <v>4</v>
      </c>
      <c r="O1155" s="138">
        <v>3</v>
      </c>
      <c r="S1155" s="138">
        <v>22</v>
      </c>
      <c r="T1155" s="138">
        <v>5</v>
      </c>
      <c r="U1155" s="138">
        <f t="shared" si="2048"/>
        <v>30</v>
      </c>
      <c r="W1155" s="139">
        <f t="shared" ref="W1155:AA1155" si="2316">J1155/$I1155</f>
        <v>0</v>
      </c>
      <c r="X1155" s="139">
        <f t="shared" si="2316"/>
        <v>0.215</v>
      </c>
      <c r="Y1155" s="139">
        <f t="shared" si="2316"/>
        <v>0.74250000000000005</v>
      </c>
      <c r="Z1155" s="139">
        <f t="shared" si="2316"/>
        <v>0</v>
      </c>
      <c r="AA1155" s="139">
        <f t="shared" si="2316"/>
        <v>5.0000000000000001E-3</v>
      </c>
      <c r="AB1155" s="139"/>
      <c r="AC1155" s="139">
        <f t="shared" si="2050"/>
        <v>3.7499999999999999E-2</v>
      </c>
      <c r="AD1155" s="139">
        <f t="shared" ref="AD1155:AI1155" si="2317">O1155/$I1155</f>
        <v>3.7499999999999999E-3</v>
      </c>
      <c r="AE1155" s="139">
        <f t="shared" si="2317"/>
        <v>0</v>
      </c>
      <c r="AF1155" s="139">
        <f t="shared" si="2317"/>
        <v>0</v>
      </c>
      <c r="AG1155" s="139">
        <f t="shared" si="2317"/>
        <v>0</v>
      </c>
      <c r="AH1155" s="139">
        <f t="shared" si="2317"/>
        <v>2.75E-2</v>
      </c>
      <c r="AI1155" s="139">
        <f t="shared" si="2317"/>
        <v>6.2500000000000003E-3</v>
      </c>
    </row>
    <row r="1156" spans="2:35">
      <c r="B1156" s="138" t="s">
        <v>8077</v>
      </c>
      <c r="C1156" s="138" t="s">
        <v>4367</v>
      </c>
      <c r="D1156" s="138" t="s">
        <v>10</v>
      </c>
      <c r="E1156" s="138" t="s">
        <v>166</v>
      </c>
      <c r="F1156" s="138" t="s">
        <v>8085</v>
      </c>
      <c r="H1156" s="138">
        <v>208</v>
      </c>
      <c r="I1156" s="138">
        <v>802</v>
      </c>
      <c r="K1156" s="138">
        <v>369</v>
      </c>
      <c r="L1156" s="138">
        <v>386</v>
      </c>
      <c r="N1156" s="138">
        <v>8</v>
      </c>
      <c r="O1156" s="138">
        <v>1</v>
      </c>
      <c r="S1156" s="138">
        <v>24</v>
      </c>
      <c r="T1156" s="138">
        <v>14</v>
      </c>
      <c r="U1156" s="138">
        <f t="shared" si="2048"/>
        <v>39</v>
      </c>
      <c r="W1156" s="139">
        <f t="shared" ref="W1156:AA1156" si="2318">J1156/$I1156</f>
        <v>0</v>
      </c>
      <c r="X1156" s="139">
        <f t="shared" si="2318"/>
        <v>0.46009975062344138</v>
      </c>
      <c r="Y1156" s="139">
        <f t="shared" si="2318"/>
        <v>0.48129675810473815</v>
      </c>
      <c r="Z1156" s="139">
        <f t="shared" si="2318"/>
        <v>0</v>
      </c>
      <c r="AA1156" s="139">
        <f t="shared" si="2318"/>
        <v>9.9750623441396506E-3</v>
      </c>
      <c r="AB1156" s="139"/>
      <c r="AC1156" s="139">
        <f t="shared" si="2050"/>
        <v>4.8628428927680795E-2</v>
      </c>
      <c r="AD1156" s="139">
        <f t="shared" ref="AD1156:AI1156" si="2319">O1156/$I1156</f>
        <v>1.2468827930174563E-3</v>
      </c>
      <c r="AE1156" s="139">
        <f t="shared" si="2319"/>
        <v>0</v>
      </c>
      <c r="AF1156" s="139">
        <f t="shared" si="2319"/>
        <v>0</v>
      </c>
      <c r="AG1156" s="139">
        <f t="shared" si="2319"/>
        <v>0</v>
      </c>
      <c r="AH1156" s="139">
        <f t="shared" si="2319"/>
        <v>2.9925187032418952E-2</v>
      </c>
      <c r="AI1156" s="139">
        <f t="shared" si="2319"/>
        <v>1.7456359102244388E-2</v>
      </c>
    </row>
    <row r="1157" spans="2:35">
      <c r="B1157" s="138" t="s">
        <v>8077</v>
      </c>
      <c r="C1157" s="138" t="s">
        <v>4367</v>
      </c>
      <c r="D1157" s="138" t="s">
        <v>10</v>
      </c>
      <c r="E1157" s="138" t="s">
        <v>166</v>
      </c>
      <c r="F1157" s="138" t="s">
        <v>972</v>
      </c>
      <c r="H1157" s="138">
        <v>209</v>
      </c>
      <c r="I1157" s="138">
        <v>654</v>
      </c>
      <c r="K1157" s="138">
        <v>156</v>
      </c>
      <c r="L1157" s="138">
        <v>473</v>
      </c>
      <c r="N1157" s="138">
        <v>4</v>
      </c>
      <c r="O1157" s="138">
        <v>4</v>
      </c>
      <c r="S1157" s="138">
        <v>12</v>
      </c>
      <c r="T1157" s="138">
        <v>5</v>
      </c>
      <c r="U1157" s="138">
        <f t="shared" si="2048"/>
        <v>21</v>
      </c>
      <c r="W1157" s="139">
        <f t="shared" ref="W1157:AA1157" si="2320">J1157/$I1157</f>
        <v>0</v>
      </c>
      <c r="X1157" s="139">
        <f t="shared" si="2320"/>
        <v>0.23853211009174313</v>
      </c>
      <c r="Y1157" s="139">
        <f t="shared" si="2320"/>
        <v>0.72324159021406731</v>
      </c>
      <c r="Z1157" s="139">
        <f t="shared" si="2320"/>
        <v>0</v>
      </c>
      <c r="AA1157" s="139">
        <f t="shared" si="2320"/>
        <v>6.1162079510703364E-3</v>
      </c>
      <c r="AB1157" s="139"/>
      <c r="AC1157" s="139">
        <f t="shared" si="2050"/>
        <v>3.2110091743119268E-2</v>
      </c>
      <c r="AD1157" s="139">
        <f t="shared" ref="AD1157:AI1157" si="2321">O1157/$I1157</f>
        <v>6.1162079510703364E-3</v>
      </c>
      <c r="AE1157" s="139">
        <f t="shared" si="2321"/>
        <v>0</v>
      </c>
      <c r="AF1157" s="139">
        <f t="shared" si="2321"/>
        <v>0</v>
      </c>
      <c r="AG1157" s="139">
        <f t="shared" si="2321"/>
        <v>0</v>
      </c>
      <c r="AH1157" s="139">
        <f t="shared" si="2321"/>
        <v>1.834862385321101E-2</v>
      </c>
      <c r="AI1157" s="139">
        <f t="shared" si="2321"/>
        <v>7.6452599388379203E-3</v>
      </c>
    </row>
    <row r="1158" spans="2:35">
      <c r="B1158" s="138" t="s">
        <v>8077</v>
      </c>
      <c r="C1158" s="138" t="s">
        <v>4367</v>
      </c>
      <c r="D1158" s="138" t="s">
        <v>10</v>
      </c>
      <c r="E1158" s="138" t="s">
        <v>166</v>
      </c>
      <c r="F1158" s="138" t="s">
        <v>972</v>
      </c>
      <c r="H1158" s="138">
        <v>210</v>
      </c>
      <c r="I1158" s="138">
        <v>639</v>
      </c>
      <c r="K1158" s="138">
        <v>175</v>
      </c>
      <c r="L1158" s="138">
        <v>436</v>
      </c>
      <c r="N1158" s="138">
        <v>3</v>
      </c>
      <c r="O1158" s="138">
        <v>0</v>
      </c>
      <c r="S1158" s="138">
        <v>20</v>
      </c>
      <c r="T1158" s="138">
        <v>5</v>
      </c>
      <c r="U1158" s="138">
        <f t="shared" si="2048"/>
        <v>25</v>
      </c>
      <c r="W1158" s="139">
        <f t="shared" ref="W1158:AA1158" si="2322">J1158/$I1158</f>
        <v>0</v>
      </c>
      <c r="X1158" s="139">
        <f t="shared" si="2322"/>
        <v>0.27386541471048514</v>
      </c>
      <c r="Y1158" s="139">
        <f t="shared" si="2322"/>
        <v>0.68231611893583721</v>
      </c>
      <c r="Z1158" s="139">
        <f t="shared" si="2322"/>
        <v>0</v>
      </c>
      <c r="AA1158" s="139">
        <f t="shared" si="2322"/>
        <v>4.6948356807511738E-3</v>
      </c>
      <c r="AB1158" s="139"/>
      <c r="AC1158" s="139">
        <f t="shared" si="2050"/>
        <v>3.912363067292645E-2</v>
      </c>
      <c r="AD1158" s="139">
        <f t="shared" ref="AD1158:AI1158" si="2323">O1158/$I1158</f>
        <v>0</v>
      </c>
      <c r="AE1158" s="139">
        <f t="shared" si="2323"/>
        <v>0</v>
      </c>
      <c r="AF1158" s="139">
        <f t="shared" si="2323"/>
        <v>0</v>
      </c>
      <c r="AG1158" s="139">
        <f t="shared" si="2323"/>
        <v>0</v>
      </c>
      <c r="AH1158" s="139">
        <f t="shared" si="2323"/>
        <v>3.1298904538341159E-2</v>
      </c>
      <c r="AI1158" s="139">
        <f t="shared" si="2323"/>
        <v>7.8247261345852897E-3</v>
      </c>
    </row>
    <row r="1159" spans="2:35">
      <c r="B1159" s="138" t="s">
        <v>8077</v>
      </c>
      <c r="C1159" s="138" t="s">
        <v>4367</v>
      </c>
      <c r="D1159" s="138" t="s">
        <v>10</v>
      </c>
      <c r="E1159" s="138" t="s">
        <v>166</v>
      </c>
      <c r="F1159" s="138" t="s">
        <v>984</v>
      </c>
      <c r="H1159" s="138">
        <v>211</v>
      </c>
      <c r="I1159" s="138">
        <v>946</v>
      </c>
      <c r="K1159" s="138">
        <v>363</v>
      </c>
      <c r="L1159" s="138">
        <v>527</v>
      </c>
      <c r="N1159" s="138">
        <v>7</v>
      </c>
      <c r="O1159" s="138">
        <v>3</v>
      </c>
      <c r="S1159" s="138">
        <v>34</v>
      </c>
      <c r="T1159" s="138">
        <v>12</v>
      </c>
      <c r="U1159" s="138">
        <f t="shared" si="2048"/>
        <v>49</v>
      </c>
      <c r="W1159" s="139">
        <f t="shared" ref="W1159:AA1159" si="2324">J1159/$I1159</f>
        <v>0</v>
      </c>
      <c r="X1159" s="139">
        <f t="shared" si="2324"/>
        <v>0.38372093023255816</v>
      </c>
      <c r="Y1159" s="139">
        <f t="shared" si="2324"/>
        <v>0.55708245243128962</v>
      </c>
      <c r="Z1159" s="139">
        <f t="shared" si="2324"/>
        <v>0</v>
      </c>
      <c r="AA1159" s="139">
        <f t="shared" si="2324"/>
        <v>7.3995771670190271E-3</v>
      </c>
      <c r="AB1159" s="139"/>
      <c r="AC1159" s="139">
        <f t="shared" si="2050"/>
        <v>5.1797040169133189E-2</v>
      </c>
      <c r="AD1159" s="139">
        <f t="shared" ref="AD1159:AI1159" si="2325">O1159/$I1159</f>
        <v>3.1712473572938688E-3</v>
      </c>
      <c r="AE1159" s="139">
        <f t="shared" si="2325"/>
        <v>0</v>
      </c>
      <c r="AF1159" s="139">
        <f t="shared" si="2325"/>
        <v>0</v>
      </c>
      <c r="AG1159" s="139">
        <f t="shared" si="2325"/>
        <v>0</v>
      </c>
      <c r="AH1159" s="139">
        <f t="shared" si="2325"/>
        <v>3.5940803382663845E-2</v>
      </c>
      <c r="AI1159" s="139">
        <f t="shared" si="2325"/>
        <v>1.2684989429175475E-2</v>
      </c>
    </row>
    <row r="1160" spans="2:35">
      <c r="B1160" s="138" t="s">
        <v>8077</v>
      </c>
      <c r="C1160" s="138" t="s">
        <v>4367</v>
      </c>
      <c r="D1160" s="138" t="s">
        <v>10</v>
      </c>
      <c r="E1160" s="138" t="s">
        <v>166</v>
      </c>
      <c r="F1160" s="138" t="s">
        <v>986</v>
      </c>
      <c r="H1160" s="138">
        <v>212</v>
      </c>
      <c r="I1160" s="138">
        <v>777</v>
      </c>
      <c r="K1160" s="138">
        <v>207</v>
      </c>
      <c r="L1160" s="138">
        <v>551</v>
      </c>
      <c r="N1160" s="138">
        <v>5</v>
      </c>
      <c r="O1160" s="138">
        <v>1</v>
      </c>
      <c r="S1160" s="138">
        <v>9</v>
      </c>
      <c r="T1160" s="138">
        <v>4</v>
      </c>
      <c r="U1160" s="138">
        <f t="shared" si="2048"/>
        <v>14</v>
      </c>
      <c r="W1160" s="139">
        <f t="shared" ref="W1160:AA1160" si="2326">J1160/$I1160</f>
        <v>0</v>
      </c>
      <c r="X1160" s="139">
        <f t="shared" si="2326"/>
        <v>0.26640926640926643</v>
      </c>
      <c r="Y1160" s="139">
        <f t="shared" si="2326"/>
        <v>0.70913770913770913</v>
      </c>
      <c r="Z1160" s="139">
        <f t="shared" si="2326"/>
        <v>0</v>
      </c>
      <c r="AA1160" s="139">
        <f t="shared" si="2326"/>
        <v>6.4350064350064346E-3</v>
      </c>
      <c r="AB1160" s="139"/>
      <c r="AC1160" s="139">
        <f t="shared" si="2050"/>
        <v>1.8018018018018018E-2</v>
      </c>
      <c r="AD1160" s="139">
        <f t="shared" ref="AD1160:AI1160" si="2327">O1160/$I1160</f>
        <v>1.287001287001287E-3</v>
      </c>
      <c r="AE1160" s="139">
        <f t="shared" si="2327"/>
        <v>0</v>
      </c>
      <c r="AF1160" s="139">
        <f t="shared" si="2327"/>
        <v>0</v>
      </c>
      <c r="AG1160" s="139">
        <f t="shared" si="2327"/>
        <v>0</v>
      </c>
      <c r="AH1160" s="139">
        <f t="shared" si="2327"/>
        <v>1.1583011583011582E-2</v>
      </c>
      <c r="AI1160" s="139">
        <f t="shared" si="2327"/>
        <v>5.1480051480051478E-3</v>
      </c>
    </row>
    <row r="1161" spans="2:35">
      <c r="B1161" s="138" t="s">
        <v>8077</v>
      </c>
      <c r="C1161" s="138" t="s">
        <v>4367</v>
      </c>
      <c r="D1161" s="138" t="s">
        <v>10</v>
      </c>
      <c r="E1161" s="138" t="s">
        <v>166</v>
      </c>
      <c r="F1161" s="138" t="s">
        <v>986</v>
      </c>
      <c r="H1161" s="138">
        <v>213</v>
      </c>
      <c r="I1161" s="138">
        <v>814</v>
      </c>
      <c r="K1161" s="138">
        <v>243</v>
      </c>
      <c r="L1161" s="138">
        <v>529</v>
      </c>
      <c r="N1161" s="138">
        <v>5</v>
      </c>
      <c r="O1161" s="138">
        <v>1</v>
      </c>
      <c r="S1161" s="138">
        <v>31</v>
      </c>
      <c r="T1161" s="138">
        <v>5</v>
      </c>
      <c r="U1161" s="138">
        <f t="shared" si="2048"/>
        <v>37</v>
      </c>
      <c r="W1161" s="139">
        <f t="shared" ref="W1161:AA1161" si="2328">J1161/$I1161</f>
        <v>0</v>
      </c>
      <c r="X1161" s="139">
        <f t="shared" si="2328"/>
        <v>0.29852579852579852</v>
      </c>
      <c r="Y1161" s="139">
        <f t="shared" si="2328"/>
        <v>0.64987714987714984</v>
      </c>
      <c r="Z1161" s="139">
        <f t="shared" si="2328"/>
        <v>0</v>
      </c>
      <c r="AA1161" s="139">
        <f t="shared" si="2328"/>
        <v>6.1425061425061421E-3</v>
      </c>
      <c r="AB1161" s="139"/>
      <c r="AC1161" s="139">
        <f t="shared" si="2050"/>
        <v>4.5454545454545456E-2</v>
      </c>
      <c r="AD1161" s="139">
        <f t="shared" ref="AD1161:AI1161" si="2329">O1161/$I1161</f>
        <v>1.2285012285012285E-3</v>
      </c>
      <c r="AE1161" s="139">
        <f t="shared" si="2329"/>
        <v>0</v>
      </c>
      <c r="AF1161" s="139">
        <f t="shared" si="2329"/>
        <v>0</v>
      </c>
      <c r="AG1161" s="139">
        <f t="shared" si="2329"/>
        <v>0</v>
      </c>
      <c r="AH1161" s="139">
        <f t="shared" si="2329"/>
        <v>3.8083538083538086E-2</v>
      </c>
      <c r="AI1161" s="139">
        <f t="shared" si="2329"/>
        <v>6.1425061425061421E-3</v>
      </c>
    </row>
    <row r="1162" spans="2:35">
      <c r="B1162" s="138" t="s">
        <v>8077</v>
      </c>
      <c r="C1162" s="138" t="s">
        <v>4367</v>
      </c>
      <c r="D1162" s="138" t="s">
        <v>10</v>
      </c>
      <c r="E1162" s="138" t="s">
        <v>166</v>
      </c>
      <c r="F1162" s="138" t="s">
        <v>986</v>
      </c>
      <c r="H1162" s="138">
        <v>214</v>
      </c>
      <c r="I1162" s="138">
        <v>800</v>
      </c>
      <c r="K1162" s="138">
        <v>419</v>
      </c>
      <c r="L1162" s="138">
        <v>347</v>
      </c>
      <c r="N1162" s="138">
        <v>6</v>
      </c>
      <c r="O1162" s="138">
        <v>0</v>
      </c>
      <c r="S1162" s="138">
        <v>15</v>
      </c>
      <c r="T1162" s="138">
        <v>13</v>
      </c>
      <c r="U1162" s="138">
        <f t="shared" si="2048"/>
        <v>28</v>
      </c>
      <c r="W1162" s="139">
        <f t="shared" ref="W1162:AA1162" si="2330">J1162/$I1162</f>
        <v>0</v>
      </c>
      <c r="X1162" s="139">
        <f t="shared" si="2330"/>
        <v>0.52375000000000005</v>
      </c>
      <c r="Y1162" s="139">
        <f t="shared" si="2330"/>
        <v>0.43375000000000002</v>
      </c>
      <c r="Z1162" s="139">
        <f t="shared" si="2330"/>
        <v>0</v>
      </c>
      <c r="AA1162" s="139">
        <f t="shared" si="2330"/>
        <v>7.4999999999999997E-3</v>
      </c>
      <c r="AB1162" s="139"/>
      <c r="AC1162" s="139">
        <f t="shared" si="2050"/>
        <v>3.5000000000000003E-2</v>
      </c>
      <c r="AD1162" s="139">
        <f t="shared" ref="AD1162:AI1162" si="2331">O1162/$I1162</f>
        <v>0</v>
      </c>
      <c r="AE1162" s="139">
        <f t="shared" si="2331"/>
        <v>0</v>
      </c>
      <c r="AF1162" s="139">
        <f t="shared" si="2331"/>
        <v>0</v>
      </c>
      <c r="AG1162" s="139">
        <f t="shared" si="2331"/>
        <v>0</v>
      </c>
      <c r="AH1162" s="139">
        <f t="shared" si="2331"/>
        <v>1.8749999999999999E-2</v>
      </c>
      <c r="AI1162" s="139">
        <f t="shared" si="2331"/>
        <v>1.6250000000000001E-2</v>
      </c>
    </row>
    <row r="1163" spans="2:35">
      <c r="B1163" s="138" t="s">
        <v>8077</v>
      </c>
      <c r="C1163" s="138" t="s">
        <v>4367</v>
      </c>
      <c r="D1163" s="138" t="s">
        <v>10</v>
      </c>
      <c r="E1163" s="138" t="s">
        <v>166</v>
      </c>
      <c r="F1163" s="138" t="s">
        <v>8183</v>
      </c>
      <c r="H1163" s="138">
        <v>215</v>
      </c>
      <c r="I1163" s="138">
        <v>731</v>
      </c>
      <c r="K1163" s="138">
        <v>397</v>
      </c>
      <c r="L1163" s="138">
        <v>305</v>
      </c>
      <c r="N1163" s="138">
        <v>6</v>
      </c>
      <c r="O1163" s="138">
        <v>1</v>
      </c>
      <c r="S1163" s="138">
        <v>10</v>
      </c>
      <c r="T1163" s="138">
        <v>12</v>
      </c>
      <c r="U1163" s="138">
        <f t="shared" si="2048"/>
        <v>23</v>
      </c>
      <c r="W1163" s="139">
        <f t="shared" ref="W1163:AA1163" si="2332">J1163/$I1163</f>
        <v>0</v>
      </c>
      <c r="X1163" s="139">
        <f t="shared" si="2332"/>
        <v>0.54309165526675784</v>
      </c>
      <c r="Y1163" s="139">
        <f t="shared" si="2332"/>
        <v>0.41723666210670313</v>
      </c>
      <c r="Z1163" s="139">
        <f t="shared" si="2332"/>
        <v>0</v>
      </c>
      <c r="AA1163" s="139">
        <f t="shared" si="2332"/>
        <v>8.2079343365253077E-3</v>
      </c>
      <c r="AB1163" s="139"/>
      <c r="AC1163" s="139">
        <f t="shared" si="2050"/>
        <v>3.1463748290013679E-2</v>
      </c>
      <c r="AD1163" s="139">
        <f t="shared" ref="AD1163:AI1163" si="2333">O1163/$I1163</f>
        <v>1.3679890560875513E-3</v>
      </c>
      <c r="AE1163" s="139">
        <f t="shared" si="2333"/>
        <v>0</v>
      </c>
      <c r="AF1163" s="139">
        <f t="shared" si="2333"/>
        <v>0</v>
      </c>
      <c r="AG1163" s="139">
        <f t="shared" si="2333"/>
        <v>0</v>
      </c>
      <c r="AH1163" s="139">
        <f t="shared" si="2333"/>
        <v>1.3679890560875513E-2</v>
      </c>
      <c r="AI1163" s="139">
        <f t="shared" si="2333"/>
        <v>1.6415868673050615E-2</v>
      </c>
    </row>
    <row r="1164" spans="2:35">
      <c r="B1164" s="138" t="s">
        <v>8077</v>
      </c>
      <c r="C1164" s="138" t="s">
        <v>4367</v>
      </c>
      <c r="D1164" s="138" t="s">
        <v>10</v>
      </c>
      <c r="E1164" s="138" t="s">
        <v>166</v>
      </c>
      <c r="F1164" s="138" t="s">
        <v>8183</v>
      </c>
      <c r="H1164" s="138">
        <v>216</v>
      </c>
      <c r="I1164" s="138">
        <v>732</v>
      </c>
      <c r="K1164" s="138">
        <v>102</v>
      </c>
      <c r="L1164" s="138">
        <v>609</v>
      </c>
      <c r="N1164" s="138">
        <v>5</v>
      </c>
      <c r="O1164" s="138">
        <v>0</v>
      </c>
      <c r="S1164" s="138">
        <v>11</v>
      </c>
      <c r="T1164" s="138">
        <v>5</v>
      </c>
      <c r="U1164" s="138">
        <f t="shared" si="2048"/>
        <v>16</v>
      </c>
      <c r="W1164" s="139">
        <f t="shared" ref="W1164:AA1164" si="2334">J1164/$I1164</f>
        <v>0</v>
      </c>
      <c r="X1164" s="139">
        <f t="shared" si="2334"/>
        <v>0.13934426229508196</v>
      </c>
      <c r="Y1164" s="139">
        <f t="shared" si="2334"/>
        <v>0.83196721311475408</v>
      </c>
      <c r="Z1164" s="139">
        <f t="shared" si="2334"/>
        <v>0</v>
      </c>
      <c r="AA1164" s="139">
        <f t="shared" si="2334"/>
        <v>6.8306010928961746E-3</v>
      </c>
      <c r="AB1164" s="139"/>
      <c r="AC1164" s="139">
        <f t="shared" si="2050"/>
        <v>2.185792349726776E-2</v>
      </c>
      <c r="AD1164" s="139">
        <f t="shared" ref="AD1164:AI1164" si="2335">O1164/$I1164</f>
        <v>0</v>
      </c>
      <c r="AE1164" s="139">
        <f t="shared" si="2335"/>
        <v>0</v>
      </c>
      <c r="AF1164" s="139">
        <f t="shared" si="2335"/>
        <v>0</v>
      </c>
      <c r="AG1164" s="139">
        <f t="shared" si="2335"/>
        <v>0</v>
      </c>
      <c r="AH1164" s="139">
        <f t="shared" si="2335"/>
        <v>1.5027322404371584E-2</v>
      </c>
      <c r="AI1164" s="139">
        <f t="shared" si="2335"/>
        <v>6.8306010928961746E-3</v>
      </c>
    </row>
    <row r="1165" spans="2:35">
      <c r="B1165" s="138" t="s">
        <v>8077</v>
      </c>
      <c r="C1165" s="138" t="s">
        <v>4367</v>
      </c>
      <c r="D1165" s="138" t="s">
        <v>10</v>
      </c>
      <c r="E1165" s="138" t="s">
        <v>166</v>
      </c>
      <c r="F1165" s="138" t="s">
        <v>8183</v>
      </c>
      <c r="H1165" s="138">
        <v>217</v>
      </c>
      <c r="I1165" s="138">
        <v>986</v>
      </c>
      <c r="K1165" s="138">
        <v>157</v>
      </c>
      <c r="L1165" s="138">
        <v>795</v>
      </c>
      <c r="N1165" s="138">
        <v>4</v>
      </c>
      <c r="O1165" s="138">
        <v>0</v>
      </c>
      <c r="S1165" s="138">
        <v>23</v>
      </c>
      <c r="T1165" s="138">
        <v>7</v>
      </c>
      <c r="U1165" s="138">
        <f t="shared" si="2048"/>
        <v>30</v>
      </c>
      <c r="W1165" s="139">
        <f t="shared" ref="W1165:AA1165" si="2336">J1165/$I1165</f>
        <v>0</v>
      </c>
      <c r="X1165" s="139">
        <f t="shared" si="2336"/>
        <v>0.15922920892494929</v>
      </c>
      <c r="Y1165" s="139">
        <f t="shared" si="2336"/>
        <v>0.80628803245436109</v>
      </c>
      <c r="Z1165" s="139">
        <f t="shared" si="2336"/>
        <v>0</v>
      </c>
      <c r="AA1165" s="139">
        <f t="shared" si="2336"/>
        <v>4.0567951318458417E-3</v>
      </c>
      <c r="AB1165" s="139"/>
      <c r="AC1165" s="139">
        <f t="shared" si="2050"/>
        <v>3.0425963488843813E-2</v>
      </c>
      <c r="AD1165" s="139">
        <f t="shared" ref="AD1165:AI1165" si="2337">O1165/$I1165</f>
        <v>0</v>
      </c>
      <c r="AE1165" s="139">
        <f t="shared" si="2337"/>
        <v>0</v>
      </c>
      <c r="AF1165" s="139">
        <f t="shared" si="2337"/>
        <v>0</v>
      </c>
      <c r="AG1165" s="139">
        <f t="shared" si="2337"/>
        <v>0</v>
      </c>
      <c r="AH1165" s="139">
        <f t="shared" si="2337"/>
        <v>2.332657200811359E-2</v>
      </c>
      <c r="AI1165" s="139">
        <f t="shared" si="2337"/>
        <v>7.099391480730223E-3</v>
      </c>
    </row>
    <row r="1166" spans="2:35">
      <c r="B1166" s="138" t="s">
        <v>8077</v>
      </c>
      <c r="C1166" s="138" t="s">
        <v>4367</v>
      </c>
      <c r="D1166" s="138" t="s">
        <v>10</v>
      </c>
      <c r="E1166" s="138" t="s">
        <v>166</v>
      </c>
      <c r="F1166" s="138" t="s">
        <v>8183</v>
      </c>
      <c r="H1166" s="138">
        <v>218</v>
      </c>
      <c r="I1166" s="138">
        <v>642</v>
      </c>
      <c r="K1166" s="138">
        <v>44</v>
      </c>
      <c r="L1166" s="138">
        <v>586</v>
      </c>
      <c r="N1166" s="138">
        <v>0</v>
      </c>
      <c r="O1166" s="138">
        <v>1</v>
      </c>
      <c r="S1166" s="138">
        <v>10</v>
      </c>
      <c r="T1166" s="138">
        <v>1</v>
      </c>
      <c r="U1166" s="138">
        <f t="shared" si="2048"/>
        <v>12</v>
      </c>
      <c r="W1166" s="139">
        <f t="shared" ref="W1166:AA1166" si="2338">J1166/$I1166</f>
        <v>0</v>
      </c>
      <c r="X1166" s="139">
        <f t="shared" si="2338"/>
        <v>6.8535825545171333E-2</v>
      </c>
      <c r="Y1166" s="139">
        <f t="shared" si="2338"/>
        <v>0.91277258566978192</v>
      </c>
      <c r="Z1166" s="139">
        <f t="shared" si="2338"/>
        <v>0</v>
      </c>
      <c r="AA1166" s="139">
        <f t="shared" si="2338"/>
        <v>0</v>
      </c>
      <c r="AB1166" s="139"/>
      <c r="AC1166" s="139">
        <f t="shared" si="2050"/>
        <v>1.8691588785046728E-2</v>
      </c>
      <c r="AD1166" s="139">
        <f t="shared" ref="AD1166:AI1166" si="2339">O1166/$I1166</f>
        <v>1.557632398753894E-3</v>
      </c>
      <c r="AE1166" s="139">
        <f t="shared" si="2339"/>
        <v>0</v>
      </c>
      <c r="AF1166" s="139">
        <f t="shared" si="2339"/>
        <v>0</v>
      </c>
      <c r="AG1166" s="139">
        <f t="shared" si="2339"/>
        <v>0</v>
      </c>
      <c r="AH1166" s="139">
        <f t="shared" si="2339"/>
        <v>1.5576323987538941E-2</v>
      </c>
      <c r="AI1166" s="139">
        <f t="shared" si="2339"/>
        <v>1.557632398753894E-3</v>
      </c>
    </row>
    <row r="1167" spans="2:35">
      <c r="B1167" s="138" t="s">
        <v>8077</v>
      </c>
      <c r="C1167" s="138" t="s">
        <v>4367</v>
      </c>
      <c r="D1167" s="138" t="s">
        <v>10</v>
      </c>
      <c r="E1167" s="138" t="s">
        <v>166</v>
      </c>
      <c r="F1167" s="138" t="s">
        <v>8183</v>
      </c>
      <c r="H1167" s="138">
        <v>219</v>
      </c>
      <c r="I1167" s="138">
        <v>660</v>
      </c>
      <c r="K1167" s="138">
        <v>432</v>
      </c>
      <c r="L1167" s="138">
        <v>195</v>
      </c>
      <c r="N1167" s="138">
        <v>6</v>
      </c>
      <c r="O1167" s="138">
        <v>2</v>
      </c>
      <c r="S1167" s="138">
        <v>16</v>
      </c>
      <c r="T1167" s="138">
        <v>9</v>
      </c>
      <c r="U1167" s="138">
        <f t="shared" si="2048"/>
        <v>27</v>
      </c>
      <c r="W1167" s="139">
        <f t="shared" ref="W1167:AA1167" si="2340">J1167/$I1167</f>
        <v>0</v>
      </c>
      <c r="X1167" s="139">
        <f t="shared" si="2340"/>
        <v>0.65454545454545454</v>
      </c>
      <c r="Y1167" s="139">
        <f t="shared" si="2340"/>
        <v>0.29545454545454547</v>
      </c>
      <c r="Z1167" s="139">
        <f t="shared" si="2340"/>
        <v>0</v>
      </c>
      <c r="AA1167" s="139">
        <f t="shared" si="2340"/>
        <v>9.0909090909090905E-3</v>
      </c>
      <c r="AB1167" s="139"/>
      <c r="AC1167" s="139">
        <f t="shared" si="2050"/>
        <v>4.0909090909090909E-2</v>
      </c>
      <c r="AD1167" s="139">
        <f t="shared" ref="AD1167:AI1167" si="2341">O1167/$I1167</f>
        <v>3.0303030303030303E-3</v>
      </c>
      <c r="AE1167" s="139">
        <f t="shared" si="2341"/>
        <v>0</v>
      </c>
      <c r="AF1167" s="139">
        <f t="shared" si="2341"/>
        <v>0</v>
      </c>
      <c r="AG1167" s="139">
        <f t="shared" si="2341"/>
        <v>0</v>
      </c>
      <c r="AH1167" s="139">
        <f t="shared" si="2341"/>
        <v>2.4242424242424242E-2</v>
      </c>
      <c r="AI1167" s="139">
        <f t="shared" si="2341"/>
        <v>1.3636363636363636E-2</v>
      </c>
    </row>
    <row r="1168" spans="2:35">
      <c r="B1168" s="138" t="s">
        <v>8077</v>
      </c>
      <c r="C1168" s="138" t="s">
        <v>4367</v>
      </c>
      <c r="D1168" s="138" t="s">
        <v>10</v>
      </c>
      <c r="E1168" s="138" t="s">
        <v>166</v>
      </c>
      <c r="F1168" s="138" t="s">
        <v>8184</v>
      </c>
      <c r="H1168" s="138">
        <v>220</v>
      </c>
      <c r="I1168" s="138">
        <v>946</v>
      </c>
      <c r="K1168" s="138">
        <v>620</v>
      </c>
      <c r="L1168" s="138">
        <v>263</v>
      </c>
      <c r="N1168" s="138">
        <v>11</v>
      </c>
      <c r="O1168" s="138">
        <v>7</v>
      </c>
      <c r="S1168" s="138">
        <v>16</v>
      </c>
      <c r="T1168" s="138">
        <v>29</v>
      </c>
      <c r="U1168" s="138">
        <f t="shared" si="2048"/>
        <v>52</v>
      </c>
      <c r="W1168" s="139">
        <f t="shared" ref="W1168:AA1168" si="2342">J1168/$I1168</f>
        <v>0</v>
      </c>
      <c r="X1168" s="139">
        <f t="shared" si="2342"/>
        <v>0.65539112050739956</v>
      </c>
      <c r="Y1168" s="139">
        <f t="shared" si="2342"/>
        <v>0.27801268498942916</v>
      </c>
      <c r="Z1168" s="139">
        <f t="shared" si="2342"/>
        <v>0</v>
      </c>
      <c r="AA1168" s="139">
        <f t="shared" si="2342"/>
        <v>1.1627906976744186E-2</v>
      </c>
      <c r="AB1168" s="139"/>
      <c r="AC1168" s="139">
        <f t="shared" si="2050"/>
        <v>5.4968287526427059E-2</v>
      </c>
      <c r="AD1168" s="139">
        <f t="shared" ref="AD1168:AI1168" si="2343">O1168/$I1168</f>
        <v>7.3995771670190271E-3</v>
      </c>
      <c r="AE1168" s="139">
        <f t="shared" si="2343"/>
        <v>0</v>
      </c>
      <c r="AF1168" s="139">
        <f t="shared" si="2343"/>
        <v>0</v>
      </c>
      <c r="AG1168" s="139">
        <f t="shared" si="2343"/>
        <v>0</v>
      </c>
      <c r="AH1168" s="139">
        <f t="shared" si="2343"/>
        <v>1.6913319238900635E-2</v>
      </c>
      <c r="AI1168" s="139">
        <f t="shared" si="2343"/>
        <v>3.06553911205074E-2</v>
      </c>
    </row>
    <row r="1169" spans="2:35">
      <c r="B1169" s="138" t="s">
        <v>8077</v>
      </c>
      <c r="C1169" s="138" t="s">
        <v>4367</v>
      </c>
      <c r="D1169" s="138" t="s">
        <v>10</v>
      </c>
      <c r="E1169" s="138" t="s">
        <v>166</v>
      </c>
      <c r="F1169" s="138" t="s">
        <v>8184</v>
      </c>
      <c r="H1169" s="138">
        <v>221</v>
      </c>
      <c r="I1169" s="138">
        <v>875</v>
      </c>
      <c r="K1169" s="138">
        <v>620</v>
      </c>
      <c r="L1169" s="138">
        <v>206</v>
      </c>
      <c r="N1169" s="138">
        <v>7</v>
      </c>
      <c r="O1169" s="138">
        <v>7</v>
      </c>
      <c r="S1169" s="138">
        <v>15</v>
      </c>
      <c r="T1169" s="138">
        <v>20</v>
      </c>
      <c r="U1169" s="138">
        <f t="shared" si="2048"/>
        <v>42</v>
      </c>
      <c r="W1169" s="139">
        <f t="shared" ref="W1169:AA1169" si="2344">J1169/$I1169</f>
        <v>0</v>
      </c>
      <c r="X1169" s="139">
        <f t="shared" si="2344"/>
        <v>0.70857142857142852</v>
      </c>
      <c r="Y1169" s="139">
        <f t="shared" si="2344"/>
        <v>0.23542857142857143</v>
      </c>
      <c r="Z1169" s="139">
        <f t="shared" si="2344"/>
        <v>0</v>
      </c>
      <c r="AA1169" s="139">
        <f t="shared" si="2344"/>
        <v>8.0000000000000002E-3</v>
      </c>
      <c r="AB1169" s="139"/>
      <c r="AC1169" s="139">
        <f t="shared" si="2050"/>
        <v>4.8000000000000001E-2</v>
      </c>
      <c r="AD1169" s="139">
        <f t="shared" ref="AD1169:AI1169" si="2345">O1169/$I1169</f>
        <v>8.0000000000000002E-3</v>
      </c>
      <c r="AE1169" s="139">
        <f t="shared" si="2345"/>
        <v>0</v>
      </c>
      <c r="AF1169" s="139">
        <f t="shared" si="2345"/>
        <v>0</v>
      </c>
      <c r="AG1169" s="139">
        <f t="shared" si="2345"/>
        <v>0</v>
      </c>
      <c r="AH1169" s="139">
        <f t="shared" si="2345"/>
        <v>1.7142857142857144E-2</v>
      </c>
      <c r="AI1169" s="139">
        <f t="shared" si="2345"/>
        <v>2.2857142857142857E-2</v>
      </c>
    </row>
    <row r="1170" spans="2:35">
      <c r="B1170" s="138" t="s">
        <v>8077</v>
      </c>
      <c r="C1170" s="138" t="s">
        <v>4367</v>
      </c>
      <c r="D1170" s="138" t="s">
        <v>10</v>
      </c>
      <c r="E1170" s="138" t="s">
        <v>166</v>
      </c>
      <c r="F1170" s="138" t="s">
        <v>8184</v>
      </c>
      <c r="H1170" s="138">
        <v>222</v>
      </c>
      <c r="I1170" s="138">
        <v>713</v>
      </c>
      <c r="K1170" s="138">
        <v>466</v>
      </c>
      <c r="L1170" s="138">
        <v>174</v>
      </c>
      <c r="N1170" s="138">
        <v>8</v>
      </c>
      <c r="O1170" s="138">
        <v>2</v>
      </c>
      <c r="S1170" s="138">
        <v>31</v>
      </c>
      <c r="T1170" s="138">
        <v>32</v>
      </c>
      <c r="U1170" s="138">
        <f t="shared" si="2048"/>
        <v>65</v>
      </c>
      <c r="W1170" s="139">
        <f t="shared" ref="W1170:AA1170" si="2346">J1170/$I1170</f>
        <v>0</v>
      </c>
      <c r="X1170" s="139">
        <f t="shared" si="2346"/>
        <v>0.65357643758765782</v>
      </c>
      <c r="Y1170" s="139">
        <f t="shared" si="2346"/>
        <v>0.24403927068723702</v>
      </c>
      <c r="Z1170" s="139">
        <f t="shared" si="2346"/>
        <v>0</v>
      </c>
      <c r="AA1170" s="139">
        <f t="shared" si="2346"/>
        <v>1.1220196353436185E-2</v>
      </c>
      <c r="AB1170" s="139"/>
      <c r="AC1170" s="139">
        <f t="shared" si="2050"/>
        <v>9.1164095371669002E-2</v>
      </c>
      <c r="AD1170" s="139">
        <f t="shared" ref="AD1170:AI1170" si="2347">O1170/$I1170</f>
        <v>2.8050490883590462E-3</v>
      </c>
      <c r="AE1170" s="139">
        <f t="shared" si="2347"/>
        <v>0</v>
      </c>
      <c r="AF1170" s="139">
        <f t="shared" si="2347"/>
        <v>0</v>
      </c>
      <c r="AG1170" s="139">
        <f t="shared" si="2347"/>
        <v>0</v>
      </c>
      <c r="AH1170" s="139">
        <f t="shared" si="2347"/>
        <v>4.3478260869565216E-2</v>
      </c>
      <c r="AI1170" s="139">
        <f t="shared" si="2347"/>
        <v>4.4880785413744739E-2</v>
      </c>
    </row>
    <row r="1171" spans="2:35">
      <c r="B1171" s="138" t="s">
        <v>8077</v>
      </c>
      <c r="C1171" s="138" t="s">
        <v>4367</v>
      </c>
      <c r="D1171" s="138" t="s">
        <v>10</v>
      </c>
      <c r="E1171" s="138" t="s">
        <v>166</v>
      </c>
      <c r="F1171" s="138" t="s">
        <v>8184</v>
      </c>
      <c r="H1171" s="138">
        <v>223</v>
      </c>
      <c r="I1171" s="138">
        <v>415</v>
      </c>
      <c r="K1171" s="138">
        <v>272</v>
      </c>
      <c r="L1171" s="138">
        <v>97</v>
      </c>
      <c r="N1171" s="138">
        <v>4</v>
      </c>
      <c r="O1171" s="138">
        <v>3</v>
      </c>
      <c r="S1171" s="138">
        <v>9</v>
      </c>
      <c r="T1171" s="138">
        <v>30</v>
      </c>
      <c r="U1171" s="138">
        <f t="shared" si="2048"/>
        <v>42</v>
      </c>
      <c r="W1171" s="139">
        <f t="shared" ref="W1171:AA1171" si="2348">J1171/$I1171</f>
        <v>0</v>
      </c>
      <c r="X1171" s="139">
        <f t="shared" si="2348"/>
        <v>0.65542168674698797</v>
      </c>
      <c r="Y1171" s="139">
        <f t="shared" si="2348"/>
        <v>0.23373493975903614</v>
      </c>
      <c r="Z1171" s="139">
        <f t="shared" si="2348"/>
        <v>0</v>
      </c>
      <c r="AA1171" s="139">
        <f t="shared" si="2348"/>
        <v>9.6385542168674707E-3</v>
      </c>
      <c r="AB1171" s="139"/>
      <c r="AC1171" s="139">
        <f t="shared" si="2050"/>
        <v>0.10120481927710843</v>
      </c>
      <c r="AD1171" s="139">
        <f t="shared" ref="AD1171:AI1171" si="2349">O1171/$I1171</f>
        <v>7.2289156626506026E-3</v>
      </c>
      <c r="AE1171" s="139">
        <f t="shared" si="2349"/>
        <v>0</v>
      </c>
      <c r="AF1171" s="139">
        <f t="shared" si="2349"/>
        <v>0</v>
      </c>
      <c r="AG1171" s="139">
        <f t="shared" si="2349"/>
        <v>0</v>
      </c>
      <c r="AH1171" s="139">
        <f t="shared" si="2349"/>
        <v>2.1686746987951807E-2</v>
      </c>
      <c r="AI1171" s="139">
        <f t="shared" si="2349"/>
        <v>7.2289156626506021E-2</v>
      </c>
    </row>
    <row r="1172" spans="2:35">
      <c r="B1172" s="138" t="s">
        <v>8077</v>
      </c>
      <c r="C1172" s="138" t="s">
        <v>4367</v>
      </c>
      <c r="D1172" s="138" t="s">
        <v>10</v>
      </c>
      <c r="E1172" s="138" t="s">
        <v>166</v>
      </c>
      <c r="F1172" s="138" t="s">
        <v>8184</v>
      </c>
      <c r="H1172" s="138">
        <v>224</v>
      </c>
      <c r="I1172" s="138">
        <v>443</v>
      </c>
      <c r="K1172" s="138">
        <v>189</v>
      </c>
      <c r="L1172" s="138">
        <v>223</v>
      </c>
      <c r="N1172" s="138">
        <v>3</v>
      </c>
      <c r="O1172" s="138">
        <v>0</v>
      </c>
      <c r="S1172" s="138">
        <v>12</v>
      </c>
      <c r="T1172" s="138">
        <v>16</v>
      </c>
      <c r="U1172" s="138">
        <f t="shared" si="2048"/>
        <v>28</v>
      </c>
      <c r="W1172" s="139">
        <f t="shared" ref="W1172:AA1172" si="2350">J1172/$I1172</f>
        <v>0</v>
      </c>
      <c r="X1172" s="139">
        <f t="shared" si="2350"/>
        <v>0.42663656884875845</v>
      </c>
      <c r="Y1172" s="139">
        <f t="shared" si="2350"/>
        <v>0.50338600451467264</v>
      </c>
      <c r="Z1172" s="139">
        <f t="shared" si="2350"/>
        <v>0</v>
      </c>
      <c r="AA1172" s="139">
        <f t="shared" si="2350"/>
        <v>6.7720090293453723E-3</v>
      </c>
      <c r="AB1172" s="139"/>
      <c r="AC1172" s="139">
        <f t="shared" si="2050"/>
        <v>6.320541760722348E-2</v>
      </c>
      <c r="AD1172" s="139">
        <f t="shared" ref="AD1172:AI1172" si="2351">O1172/$I1172</f>
        <v>0</v>
      </c>
      <c r="AE1172" s="139">
        <f t="shared" si="2351"/>
        <v>0</v>
      </c>
      <c r="AF1172" s="139">
        <f t="shared" si="2351"/>
        <v>0</v>
      </c>
      <c r="AG1172" s="139">
        <f t="shared" si="2351"/>
        <v>0</v>
      </c>
      <c r="AH1172" s="139">
        <f t="shared" si="2351"/>
        <v>2.7088036117381489E-2</v>
      </c>
      <c r="AI1172" s="139">
        <f t="shared" si="2351"/>
        <v>3.6117381489841983E-2</v>
      </c>
    </row>
    <row r="1173" spans="2:35">
      <c r="B1173" s="138" t="s">
        <v>8077</v>
      </c>
      <c r="C1173" s="138" t="s">
        <v>4367</v>
      </c>
      <c r="D1173" s="138" t="s">
        <v>10</v>
      </c>
      <c r="E1173" s="138" t="s">
        <v>166</v>
      </c>
      <c r="F1173" s="138" t="s">
        <v>8184</v>
      </c>
      <c r="H1173" s="138">
        <v>225</v>
      </c>
      <c r="I1173" s="138">
        <v>670</v>
      </c>
      <c r="K1173" s="138">
        <v>457</v>
      </c>
      <c r="L1173" s="138">
        <v>167</v>
      </c>
      <c r="N1173" s="138">
        <v>8</v>
      </c>
      <c r="O1173" s="138">
        <v>3</v>
      </c>
      <c r="S1173" s="138">
        <v>13</v>
      </c>
      <c r="T1173" s="138">
        <v>22</v>
      </c>
      <c r="U1173" s="138">
        <f t="shared" si="2048"/>
        <v>38</v>
      </c>
      <c r="W1173" s="139">
        <f t="shared" ref="W1173:AA1173" si="2352">J1173/$I1173</f>
        <v>0</v>
      </c>
      <c r="X1173" s="139">
        <f t="shared" si="2352"/>
        <v>0.68208955223880596</v>
      </c>
      <c r="Y1173" s="139">
        <f t="shared" si="2352"/>
        <v>0.24925373134328357</v>
      </c>
      <c r="Z1173" s="139">
        <f t="shared" si="2352"/>
        <v>0</v>
      </c>
      <c r="AA1173" s="139">
        <f t="shared" si="2352"/>
        <v>1.1940298507462687E-2</v>
      </c>
      <c r="AB1173" s="139"/>
      <c r="AC1173" s="139">
        <f t="shared" si="2050"/>
        <v>5.6716417910447764E-2</v>
      </c>
      <c r="AD1173" s="139">
        <f t="shared" ref="AD1173:AI1173" si="2353">O1173/$I1173</f>
        <v>4.4776119402985077E-3</v>
      </c>
      <c r="AE1173" s="139">
        <f t="shared" si="2353"/>
        <v>0</v>
      </c>
      <c r="AF1173" s="139">
        <f t="shared" si="2353"/>
        <v>0</v>
      </c>
      <c r="AG1173" s="139">
        <f t="shared" si="2353"/>
        <v>0</v>
      </c>
      <c r="AH1173" s="139">
        <f t="shared" si="2353"/>
        <v>1.9402985074626865E-2</v>
      </c>
      <c r="AI1173" s="139">
        <f t="shared" si="2353"/>
        <v>3.2835820895522387E-2</v>
      </c>
    </row>
    <row r="1174" spans="2:35">
      <c r="B1174" s="138" t="s">
        <v>8077</v>
      </c>
      <c r="C1174" s="138" t="s">
        <v>4367</v>
      </c>
      <c r="D1174" s="138" t="s">
        <v>10</v>
      </c>
      <c r="E1174" s="138" t="s">
        <v>166</v>
      </c>
      <c r="F1174" s="138" t="s">
        <v>8184</v>
      </c>
      <c r="H1174" s="138">
        <v>226</v>
      </c>
      <c r="I1174" s="138">
        <v>728</v>
      </c>
      <c r="K1174" s="138">
        <v>509</v>
      </c>
      <c r="L1174" s="138">
        <v>171</v>
      </c>
      <c r="N1174" s="138">
        <v>11</v>
      </c>
      <c r="O1174" s="138">
        <v>7</v>
      </c>
      <c r="S1174" s="138">
        <v>11</v>
      </c>
      <c r="T1174" s="138">
        <v>19</v>
      </c>
      <c r="U1174" s="138">
        <f t="shared" si="2048"/>
        <v>37</v>
      </c>
      <c r="W1174" s="139">
        <f t="shared" ref="W1174:AA1174" si="2354">J1174/$I1174</f>
        <v>0</v>
      </c>
      <c r="X1174" s="139">
        <f t="shared" si="2354"/>
        <v>0.69917582417582413</v>
      </c>
      <c r="Y1174" s="139">
        <f t="shared" si="2354"/>
        <v>0.23489010989010989</v>
      </c>
      <c r="Z1174" s="139">
        <f t="shared" si="2354"/>
        <v>0</v>
      </c>
      <c r="AA1174" s="139">
        <f t="shared" si="2354"/>
        <v>1.510989010989011E-2</v>
      </c>
      <c r="AB1174" s="139"/>
      <c r="AC1174" s="139">
        <f t="shared" si="2050"/>
        <v>5.0824175824175824E-2</v>
      </c>
      <c r="AD1174" s="139">
        <f t="shared" ref="AD1174:AI1174" si="2355">O1174/$I1174</f>
        <v>9.6153846153846159E-3</v>
      </c>
      <c r="AE1174" s="139">
        <f t="shared" si="2355"/>
        <v>0</v>
      </c>
      <c r="AF1174" s="139">
        <f t="shared" si="2355"/>
        <v>0</v>
      </c>
      <c r="AG1174" s="139">
        <f t="shared" si="2355"/>
        <v>0</v>
      </c>
      <c r="AH1174" s="139">
        <f t="shared" si="2355"/>
        <v>1.510989010989011E-2</v>
      </c>
      <c r="AI1174" s="139">
        <f t="shared" si="2355"/>
        <v>2.60989010989011E-2</v>
      </c>
    </row>
    <row r="1175" spans="2:35">
      <c r="B1175" s="138" t="s">
        <v>8077</v>
      </c>
      <c r="C1175" s="138" t="s">
        <v>4367</v>
      </c>
      <c r="D1175" s="138" t="s">
        <v>10</v>
      </c>
      <c r="E1175" s="138" t="s">
        <v>166</v>
      </c>
      <c r="F1175" s="138" t="s">
        <v>8185</v>
      </c>
      <c r="H1175" s="138">
        <v>227</v>
      </c>
      <c r="I1175" s="138">
        <v>596</v>
      </c>
      <c r="K1175" s="138">
        <v>167</v>
      </c>
      <c r="L1175" s="138">
        <v>412</v>
      </c>
      <c r="N1175" s="138">
        <v>4</v>
      </c>
      <c r="O1175" s="138">
        <v>0</v>
      </c>
      <c r="S1175" s="138">
        <v>7</v>
      </c>
      <c r="T1175" s="138">
        <v>6</v>
      </c>
      <c r="U1175" s="138">
        <f t="shared" si="2048"/>
        <v>13</v>
      </c>
      <c r="W1175" s="139">
        <f t="shared" ref="W1175:AA1175" si="2356">J1175/$I1175</f>
        <v>0</v>
      </c>
      <c r="X1175" s="139">
        <f t="shared" si="2356"/>
        <v>0.28020134228187921</v>
      </c>
      <c r="Y1175" s="139">
        <f t="shared" si="2356"/>
        <v>0.6912751677852349</v>
      </c>
      <c r="Z1175" s="139">
        <f t="shared" si="2356"/>
        <v>0</v>
      </c>
      <c r="AA1175" s="139">
        <f t="shared" si="2356"/>
        <v>6.7114093959731542E-3</v>
      </c>
      <c r="AB1175" s="139"/>
      <c r="AC1175" s="139">
        <f t="shared" si="2050"/>
        <v>2.1812080536912751E-2</v>
      </c>
      <c r="AD1175" s="139">
        <f t="shared" ref="AD1175:AI1175" si="2357">O1175/$I1175</f>
        <v>0</v>
      </c>
      <c r="AE1175" s="139">
        <f t="shared" si="2357"/>
        <v>0</v>
      </c>
      <c r="AF1175" s="139">
        <f t="shared" si="2357"/>
        <v>0</v>
      </c>
      <c r="AG1175" s="139">
        <f t="shared" si="2357"/>
        <v>0</v>
      </c>
      <c r="AH1175" s="139">
        <f t="shared" si="2357"/>
        <v>1.1744966442953021E-2</v>
      </c>
      <c r="AI1175" s="139">
        <f t="shared" si="2357"/>
        <v>1.0067114093959731E-2</v>
      </c>
    </row>
    <row r="1176" spans="2:35">
      <c r="B1176" s="138" t="s">
        <v>8077</v>
      </c>
      <c r="C1176" s="138" t="s">
        <v>4367</v>
      </c>
      <c r="D1176" s="138" t="s">
        <v>10</v>
      </c>
      <c r="E1176" s="138" t="s">
        <v>166</v>
      </c>
      <c r="F1176" s="138" t="s">
        <v>8185</v>
      </c>
      <c r="H1176" s="138">
        <v>228</v>
      </c>
      <c r="I1176" s="138">
        <v>647</v>
      </c>
      <c r="K1176" s="138">
        <v>312</v>
      </c>
      <c r="L1176" s="138">
        <v>303</v>
      </c>
      <c r="N1176" s="138">
        <v>8</v>
      </c>
      <c r="O1176" s="138">
        <v>2</v>
      </c>
      <c r="S1176" s="138">
        <v>16</v>
      </c>
      <c r="T1176" s="138">
        <v>6</v>
      </c>
      <c r="U1176" s="138">
        <f t="shared" si="2048"/>
        <v>24</v>
      </c>
      <c r="W1176" s="139">
        <f t="shared" ref="W1176:AA1176" si="2358">J1176/$I1176</f>
        <v>0</v>
      </c>
      <c r="X1176" s="139">
        <f t="shared" si="2358"/>
        <v>0.48222565687789798</v>
      </c>
      <c r="Y1176" s="139">
        <f t="shared" si="2358"/>
        <v>0.46831530139103555</v>
      </c>
      <c r="Z1176" s="139">
        <f t="shared" si="2358"/>
        <v>0</v>
      </c>
      <c r="AA1176" s="139">
        <f t="shared" si="2358"/>
        <v>1.2364760432766615E-2</v>
      </c>
      <c r="AB1176" s="139"/>
      <c r="AC1176" s="139">
        <f t="shared" si="2050"/>
        <v>3.7094281298299843E-2</v>
      </c>
      <c r="AD1176" s="139">
        <f t="shared" ref="AD1176:AI1176" si="2359">O1176/$I1176</f>
        <v>3.0911901081916537E-3</v>
      </c>
      <c r="AE1176" s="139">
        <f t="shared" si="2359"/>
        <v>0</v>
      </c>
      <c r="AF1176" s="139">
        <f t="shared" si="2359"/>
        <v>0</v>
      </c>
      <c r="AG1176" s="139">
        <f t="shared" si="2359"/>
        <v>0</v>
      </c>
      <c r="AH1176" s="139">
        <f t="shared" si="2359"/>
        <v>2.472952086553323E-2</v>
      </c>
      <c r="AI1176" s="139">
        <f t="shared" si="2359"/>
        <v>9.2735703245749607E-3</v>
      </c>
    </row>
    <row r="1177" spans="2:35">
      <c r="B1177" s="138" t="s">
        <v>8077</v>
      </c>
      <c r="C1177" s="138" t="s">
        <v>4367</v>
      </c>
      <c r="D1177" s="138" t="s">
        <v>10</v>
      </c>
      <c r="E1177" s="138" t="s">
        <v>166</v>
      </c>
      <c r="F1177" s="138" t="s">
        <v>8185</v>
      </c>
      <c r="H1177" s="138">
        <v>229</v>
      </c>
      <c r="I1177" s="138">
        <v>1004</v>
      </c>
      <c r="K1177" s="138">
        <v>445</v>
      </c>
      <c r="L1177" s="138">
        <v>512</v>
      </c>
      <c r="N1177" s="138">
        <v>9</v>
      </c>
      <c r="O1177" s="138">
        <v>1</v>
      </c>
      <c r="S1177" s="138">
        <v>29</v>
      </c>
      <c r="T1177" s="138">
        <v>8</v>
      </c>
      <c r="U1177" s="138">
        <f t="shared" si="2048"/>
        <v>38</v>
      </c>
      <c r="W1177" s="139">
        <f t="shared" ref="W1177:AA1177" si="2360">J1177/$I1177</f>
        <v>0</v>
      </c>
      <c r="X1177" s="139">
        <f t="shared" si="2360"/>
        <v>0.44322709163346613</v>
      </c>
      <c r="Y1177" s="139">
        <f t="shared" si="2360"/>
        <v>0.50996015936254979</v>
      </c>
      <c r="Z1177" s="139">
        <f t="shared" si="2360"/>
        <v>0</v>
      </c>
      <c r="AA1177" s="139">
        <f t="shared" si="2360"/>
        <v>8.9641434262948214E-3</v>
      </c>
      <c r="AB1177" s="139"/>
      <c r="AC1177" s="139">
        <f t="shared" si="2050"/>
        <v>3.7848605577689244E-2</v>
      </c>
      <c r="AD1177" s="139">
        <f t="shared" ref="AD1177:AI1177" si="2361">O1177/$I1177</f>
        <v>9.9601593625498006E-4</v>
      </c>
      <c r="AE1177" s="139">
        <f t="shared" si="2361"/>
        <v>0</v>
      </c>
      <c r="AF1177" s="139">
        <f t="shared" si="2361"/>
        <v>0</v>
      </c>
      <c r="AG1177" s="139">
        <f t="shared" si="2361"/>
        <v>0</v>
      </c>
      <c r="AH1177" s="139">
        <f t="shared" si="2361"/>
        <v>2.8884462151394421E-2</v>
      </c>
      <c r="AI1177" s="139">
        <f t="shared" si="2361"/>
        <v>7.9681274900398405E-3</v>
      </c>
    </row>
    <row r="1178" spans="2:35">
      <c r="B1178" s="138" t="s">
        <v>8077</v>
      </c>
      <c r="C1178" s="138" t="s">
        <v>4367</v>
      </c>
      <c r="D1178" s="138" t="s">
        <v>10</v>
      </c>
      <c r="E1178" s="138" t="s">
        <v>166</v>
      </c>
      <c r="F1178" s="138" t="s">
        <v>8185</v>
      </c>
      <c r="H1178" s="138">
        <v>230</v>
      </c>
      <c r="I1178" s="138">
        <v>828</v>
      </c>
      <c r="K1178" s="138">
        <v>365</v>
      </c>
      <c r="L1178" s="138">
        <v>445</v>
      </c>
      <c r="N1178" s="138">
        <v>2</v>
      </c>
      <c r="O1178" s="138">
        <v>2</v>
      </c>
      <c r="S1178" s="138">
        <v>13</v>
      </c>
      <c r="T1178" s="138">
        <v>1</v>
      </c>
      <c r="U1178" s="138">
        <f t="shared" si="2048"/>
        <v>16</v>
      </c>
      <c r="W1178" s="139">
        <f t="shared" ref="W1178:AA1178" si="2362">J1178/$I1178</f>
        <v>0</v>
      </c>
      <c r="X1178" s="139">
        <f t="shared" si="2362"/>
        <v>0.44082125603864736</v>
      </c>
      <c r="Y1178" s="139">
        <f t="shared" si="2362"/>
        <v>0.5374396135265701</v>
      </c>
      <c r="Z1178" s="139">
        <f t="shared" si="2362"/>
        <v>0</v>
      </c>
      <c r="AA1178" s="139">
        <f t="shared" si="2362"/>
        <v>2.4154589371980675E-3</v>
      </c>
      <c r="AB1178" s="139"/>
      <c r="AC1178" s="139">
        <f t="shared" si="2050"/>
        <v>1.932367149758454E-2</v>
      </c>
      <c r="AD1178" s="139">
        <f t="shared" ref="AD1178:AI1178" si="2363">O1178/$I1178</f>
        <v>2.4154589371980675E-3</v>
      </c>
      <c r="AE1178" s="139">
        <f t="shared" si="2363"/>
        <v>0</v>
      </c>
      <c r="AF1178" s="139">
        <f t="shared" si="2363"/>
        <v>0</v>
      </c>
      <c r="AG1178" s="139">
        <f t="shared" si="2363"/>
        <v>0</v>
      </c>
      <c r="AH1178" s="139">
        <f t="shared" si="2363"/>
        <v>1.570048309178744E-2</v>
      </c>
      <c r="AI1178" s="139">
        <f t="shared" si="2363"/>
        <v>1.2077294685990338E-3</v>
      </c>
    </row>
    <row r="1179" spans="2:35">
      <c r="B1179" s="138" t="s">
        <v>8077</v>
      </c>
      <c r="C1179" s="138" t="s">
        <v>4367</v>
      </c>
      <c r="D1179" s="138" t="s">
        <v>10</v>
      </c>
      <c r="E1179" s="138" t="s">
        <v>166</v>
      </c>
      <c r="F1179" s="138" t="s">
        <v>7859</v>
      </c>
      <c r="H1179" s="138">
        <v>231</v>
      </c>
      <c r="I1179" s="138">
        <v>594</v>
      </c>
      <c r="K1179" s="138">
        <v>176</v>
      </c>
      <c r="L1179" s="138">
        <v>382</v>
      </c>
      <c r="N1179" s="138">
        <v>2</v>
      </c>
      <c r="O1179" s="138">
        <v>1</v>
      </c>
      <c r="S1179" s="138">
        <v>26</v>
      </c>
      <c r="T1179" s="138">
        <v>7</v>
      </c>
      <c r="U1179" s="138">
        <f t="shared" si="2048"/>
        <v>34</v>
      </c>
      <c r="W1179" s="139">
        <f t="shared" ref="W1179:AA1179" si="2364">J1179/$I1179</f>
        <v>0</v>
      </c>
      <c r="X1179" s="139">
        <f t="shared" si="2364"/>
        <v>0.29629629629629628</v>
      </c>
      <c r="Y1179" s="139">
        <f t="shared" si="2364"/>
        <v>0.64309764309764306</v>
      </c>
      <c r="Z1179" s="139">
        <f t="shared" si="2364"/>
        <v>0</v>
      </c>
      <c r="AA1179" s="139">
        <f t="shared" si="2364"/>
        <v>3.3670033670033669E-3</v>
      </c>
      <c r="AB1179" s="139"/>
      <c r="AC1179" s="139">
        <f t="shared" si="2050"/>
        <v>5.7239057239057242E-2</v>
      </c>
      <c r="AD1179" s="139">
        <f t="shared" ref="AD1179:AI1179" si="2365">O1179/$I1179</f>
        <v>1.6835016835016834E-3</v>
      </c>
      <c r="AE1179" s="139">
        <f t="shared" si="2365"/>
        <v>0</v>
      </c>
      <c r="AF1179" s="139">
        <f t="shared" si="2365"/>
        <v>0</v>
      </c>
      <c r="AG1179" s="139">
        <f t="shared" si="2365"/>
        <v>0</v>
      </c>
      <c r="AH1179" s="139">
        <f t="shared" si="2365"/>
        <v>4.3771043771043773E-2</v>
      </c>
      <c r="AI1179" s="139">
        <f t="shared" si="2365"/>
        <v>1.1784511784511785E-2</v>
      </c>
    </row>
    <row r="1180" spans="2:35">
      <c r="B1180" s="138" t="s">
        <v>8077</v>
      </c>
      <c r="C1180" s="138" t="s">
        <v>4367</v>
      </c>
      <c r="D1180" s="138" t="s">
        <v>10</v>
      </c>
      <c r="E1180" s="138" t="s">
        <v>166</v>
      </c>
      <c r="F1180" s="138" t="s">
        <v>7859</v>
      </c>
      <c r="H1180" s="138">
        <v>232</v>
      </c>
      <c r="I1180" s="138">
        <v>703</v>
      </c>
      <c r="K1180" s="138">
        <v>63</v>
      </c>
      <c r="L1180" s="138">
        <v>627</v>
      </c>
      <c r="N1180" s="138">
        <v>1</v>
      </c>
      <c r="O1180" s="138">
        <v>0</v>
      </c>
      <c r="S1180" s="138">
        <v>10</v>
      </c>
      <c r="T1180" s="138">
        <v>2</v>
      </c>
      <c r="U1180" s="138">
        <f t="shared" si="2048"/>
        <v>12</v>
      </c>
      <c r="W1180" s="139">
        <f t="shared" ref="W1180:AA1180" si="2366">J1180/$I1180</f>
        <v>0</v>
      </c>
      <c r="X1180" s="139">
        <f t="shared" si="2366"/>
        <v>8.9615931721194877E-2</v>
      </c>
      <c r="Y1180" s="139">
        <f t="shared" si="2366"/>
        <v>0.89189189189189189</v>
      </c>
      <c r="Z1180" s="139">
        <f t="shared" si="2366"/>
        <v>0</v>
      </c>
      <c r="AA1180" s="139">
        <f t="shared" si="2366"/>
        <v>1.4224751066856331E-3</v>
      </c>
      <c r="AB1180" s="139"/>
      <c r="AC1180" s="139">
        <f t="shared" si="2050"/>
        <v>1.7069701280227598E-2</v>
      </c>
      <c r="AD1180" s="139">
        <f t="shared" ref="AD1180:AI1180" si="2367">O1180/$I1180</f>
        <v>0</v>
      </c>
      <c r="AE1180" s="139">
        <f t="shared" si="2367"/>
        <v>0</v>
      </c>
      <c r="AF1180" s="139">
        <f t="shared" si="2367"/>
        <v>0</v>
      </c>
      <c r="AG1180" s="139">
        <f t="shared" si="2367"/>
        <v>0</v>
      </c>
      <c r="AH1180" s="139">
        <f t="shared" si="2367"/>
        <v>1.422475106685633E-2</v>
      </c>
      <c r="AI1180" s="139">
        <f t="shared" si="2367"/>
        <v>2.8449502133712661E-3</v>
      </c>
    </row>
    <row r="1181" spans="2:35">
      <c r="B1181" s="138" t="s">
        <v>8077</v>
      </c>
      <c r="C1181" s="138" t="s">
        <v>4367</v>
      </c>
      <c r="D1181" s="138" t="s">
        <v>10</v>
      </c>
      <c r="E1181" s="138" t="s">
        <v>166</v>
      </c>
      <c r="F1181" s="138" t="s">
        <v>963</v>
      </c>
      <c r="H1181" s="138">
        <v>233</v>
      </c>
      <c r="I1181" s="138">
        <v>990</v>
      </c>
      <c r="K1181" s="138">
        <v>167</v>
      </c>
      <c r="L1181" s="138">
        <v>769</v>
      </c>
      <c r="N1181" s="138">
        <v>3</v>
      </c>
      <c r="O1181" s="138">
        <v>4</v>
      </c>
      <c r="S1181" s="138">
        <v>40</v>
      </c>
      <c r="T1181" s="138">
        <v>7</v>
      </c>
      <c r="U1181" s="138">
        <f t="shared" si="2048"/>
        <v>51</v>
      </c>
      <c r="W1181" s="139">
        <f t="shared" ref="W1181:AA1181" si="2368">J1181/$I1181</f>
        <v>0</v>
      </c>
      <c r="X1181" s="139">
        <f t="shared" si="2368"/>
        <v>0.16868686868686869</v>
      </c>
      <c r="Y1181" s="139">
        <f t="shared" si="2368"/>
        <v>0.77676767676767677</v>
      </c>
      <c r="Z1181" s="139">
        <f t="shared" si="2368"/>
        <v>0</v>
      </c>
      <c r="AA1181" s="139">
        <f t="shared" si="2368"/>
        <v>3.0303030303030303E-3</v>
      </c>
      <c r="AB1181" s="139"/>
      <c r="AC1181" s="139">
        <f t="shared" si="2050"/>
        <v>5.1515151515151514E-2</v>
      </c>
      <c r="AD1181" s="139">
        <f t="shared" ref="AD1181:AI1181" si="2369">O1181/$I1181</f>
        <v>4.0404040404040404E-3</v>
      </c>
      <c r="AE1181" s="139">
        <f t="shared" si="2369"/>
        <v>0</v>
      </c>
      <c r="AF1181" s="139">
        <f t="shared" si="2369"/>
        <v>0</v>
      </c>
      <c r="AG1181" s="139">
        <f t="shared" si="2369"/>
        <v>0</v>
      </c>
      <c r="AH1181" s="139">
        <f t="shared" si="2369"/>
        <v>4.0404040404040407E-2</v>
      </c>
      <c r="AI1181" s="139">
        <f t="shared" si="2369"/>
        <v>7.0707070707070711E-3</v>
      </c>
    </row>
    <row r="1182" spans="2:35">
      <c r="B1182" s="138" t="s">
        <v>8077</v>
      </c>
      <c r="C1182" s="138" t="s">
        <v>4367</v>
      </c>
      <c r="D1182" s="138" t="s">
        <v>10</v>
      </c>
      <c r="E1182" s="138" t="s">
        <v>166</v>
      </c>
      <c r="F1182" s="138" t="s">
        <v>7859</v>
      </c>
      <c r="H1182" s="138">
        <v>234</v>
      </c>
      <c r="I1182" s="138">
        <v>929</v>
      </c>
      <c r="K1182" s="138">
        <v>278</v>
      </c>
      <c r="L1182" s="138">
        <v>632</v>
      </c>
      <c r="N1182" s="138">
        <v>5</v>
      </c>
      <c r="O1182" s="138">
        <v>3</v>
      </c>
      <c r="S1182" s="138">
        <v>8</v>
      </c>
      <c r="T1182" s="138">
        <v>3</v>
      </c>
      <c r="U1182" s="138">
        <f t="shared" si="2048"/>
        <v>14</v>
      </c>
      <c r="W1182" s="139">
        <f t="shared" ref="W1182:AA1182" si="2370">J1182/$I1182</f>
        <v>0</v>
      </c>
      <c r="X1182" s="139">
        <f t="shared" si="2370"/>
        <v>0.29924650161463939</v>
      </c>
      <c r="Y1182" s="139">
        <f t="shared" si="2370"/>
        <v>0.68030139935414424</v>
      </c>
      <c r="Z1182" s="139">
        <f t="shared" si="2370"/>
        <v>0</v>
      </c>
      <c r="AA1182" s="139">
        <f t="shared" si="2370"/>
        <v>5.3821313240043061E-3</v>
      </c>
      <c r="AB1182" s="139"/>
      <c r="AC1182" s="139">
        <f t="shared" si="2050"/>
        <v>1.5069967707212056E-2</v>
      </c>
      <c r="AD1182" s="139">
        <f t="shared" ref="AD1182:AI1182" si="2371">O1182/$I1182</f>
        <v>3.2292787944025836E-3</v>
      </c>
      <c r="AE1182" s="139">
        <f t="shared" si="2371"/>
        <v>0</v>
      </c>
      <c r="AF1182" s="139">
        <f t="shared" si="2371"/>
        <v>0</v>
      </c>
      <c r="AG1182" s="139">
        <f t="shared" si="2371"/>
        <v>0</v>
      </c>
      <c r="AH1182" s="139">
        <f t="shared" si="2371"/>
        <v>8.6114101184068884E-3</v>
      </c>
      <c r="AI1182" s="139">
        <f t="shared" si="2371"/>
        <v>3.2292787944025836E-3</v>
      </c>
    </row>
    <row r="1183" spans="2:35">
      <c r="B1183" s="138" t="s">
        <v>8077</v>
      </c>
      <c r="C1183" s="138" t="s">
        <v>4367</v>
      </c>
      <c r="D1183" s="138" t="s">
        <v>10</v>
      </c>
      <c r="E1183" s="138" t="s">
        <v>166</v>
      </c>
      <c r="F1183" s="138" t="s">
        <v>7859</v>
      </c>
      <c r="H1183" s="138">
        <v>235</v>
      </c>
      <c r="I1183" s="138">
        <v>602</v>
      </c>
      <c r="K1183" s="138">
        <v>148</v>
      </c>
      <c r="L1183" s="138">
        <v>410</v>
      </c>
      <c r="N1183" s="138">
        <v>2</v>
      </c>
      <c r="O1183" s="138">
        <v>2</v>
      </c>
      <c r="S1183" s="138">
        <v>33</v>
      </c>
      <c r="T1183" s="138">
        <v>7</v>
      </c>
      <c r="U1183" s="138">
        <f t="shared" si="2048"/>
        <v>42</v>
      </c>
      <c r="W1183" s="139">
        <f t="shared" ref="W1183:AA1183" si="2372">J1183/$I1183</f>
        <v>0</v>
      </c>
      <c r="X1183" s="139">
        <f t="shared" si="2372"/>
        <v>0.24584717607973422</v>
      </c>
      <c r="Y1183" s="139">
        <f t="shared" si="2372"/>
        <v>0.68106312292358806</v>
      </c>
      <c r="Z1183" s="139">
        <f t="shared" si="2372"/>
        <v>0</v>
      </c>
      <c r="AA1183" s="139">
        <f t="shared" si="2372"/>
        <v>3.3222591362126247E-3</v>
      </c>
      <c r="AB1183" s="139"/>
      <c r="AC1183" s="139">
        <f t="shared" si="2050"/>
        <v>6.9767441860465115E-2</v>
      </c>
      <c r="AD1183" s="139">
        <f t="shared" ref="AD1183:AI1183" si="2373">O1183/$I1183</f>
        <v>3.3222591362126247E-3</v>
      </c>
      <c r="AE1183" s="139">
        <f t="shared" si="2373"/>
        <v>0</v>
      </c>
      <c r="AF1183" s="139">
        <f t="shared" si="2373"/>
        <v>0</v>
      </c>
      <c r="AG1183" s="139">
        <f t="shared" si="2373"/>
        <v>0</v>
      </c>
      <c r="AH1183" s="139">
        <f t="shared" si="2373"/>
        <v>5.4817275747508304E-2</v>
      </c>
      <c r="AI1183" s="139">
        <f t="shared" si="2373"/>
        <v>1.1627906976744186E-2</v>
      </c>
    </row>
    <row r="1184" spans="2:35">
      <c r="B1184" s="138" t="s">
        <v>8077</v>
      </c>
      <c r="C1184" s="138" t="s">
        <v>4367</v>
      </c>
      <c r="D1184" s="138" t="s">
        <v>10</v>
      </c>
      <c r="E1184" s="138" t="s">
        <v>166</v>
      </c>
      <c r="F1184" s="138" t="s">
        <v>7859</v>
      </c>
      <c r="H1184" s="138">
        <v>236</v>
      </c>
      <c r="I1184" s="138">
        <v>716</v>
      </c>
      <c r="K1184" s="138">
        <v>71</v>
      </c>
      <c r="L1184" s="138">
        <v>632</v>
      </c>
      <c r="N1184" s="138">
        <v>0</v>
      </c>
      <c r="O1184" s="138">
        <v>0</v>
      </c>
      <c r="S1184" s="138">
        <v>12</v>
      </c>
      <c r="T1184" s="138">
        <v>1</v>
      </c>
      <c r="U1184" s="138">
        <f t="shared" si="2048"/>
        <v>13</v>
      </c>
      <c r="W1184" s="139">
        <f t="shared" ref="W1184:AA1184" si="2374">J1184/$I1184</f>
        <v>0</v>
      </c>
      <c r="X1184" s="139">
        <f t="shared" si="2374"/>
        <v>9.9162011173184364E-2</v>
      </c>
      <c r="Y1184" s="139">
        <f t="shared" si="2374"/>
        <v>0.88268156424581001</v>
      </c>
      <c r="Z1184" s="139">
        <f t="shared" si="2374"/>
        <v>0</v>
      </c>
      <c r="AA1184" s="139">
        <f t="shared" si="2374"/>
        <v>0</v>
      </c>
      <c r="AB1184" s="139"/>
      <c r="AC1184" s="139">
        <f t="shared" si="2050"/>
        <v>1.8156424581005588E-2</v>
      </c>
      <c r="AD1184" s="139">
        <f t="shared" ref="AD1184:AI1184" si="2375">O1184/$I1184</f>
        <v>0</v>
      </c>
      <c r="AE1184" s="139">
        <f t="shared" si="2375"/>
        <v>0</v>
      </c>
      <c r="AF1184" s="139">
        <f t="shared" si="2375"/>
        <v>0</v>
      </c>
      <c r="AG1184" s="139">
        <f t="shared" si="2375"/>
        <v>0</v>
      </c>
      <c r="AH1184" s="139">
        <f t="shared" si="2375"/>
        <v>1.6759776536312849E-2</v>
      </c>
      <c r="AI1184" s="139">
        <f t="shared" si="2375"/>
        <v>1.3966480446927375E-3</v>
      </c>
    </row>
    <row r="1185" spans="2:35">
      <c r="B1185" s="138" t="s">
        <v>8077</v>
      </c>
      <c r="C1185" s="138" t="s">
        <v>4367</v>
      </c>
      <c r="D1185" s="138" t="s">
        <v>10</v>
      </c>
      <c r="E1185" s="138" t="s">
        <v>166</v>
      </c>
      <c r="F1185" s="138" t="s">
        <v>963</v>
      </c>
      <c r="H1185" s="138">
        <v>237</v>
      </c>
      <c r="I1185" s="138">
        <v>935</v>
      </c>
      <c r="K1185" s="138">
        <v>489</v>
      </c>
      <c r="L1185" s="138">
        <v>390</v>
      </c>
      <c r="N1185" s="138">
        <v>9</v>
      </c>
      <c r="O1185" s="138">
        <v>4</v>
      </c>
      <c r="S1185" s="138">
        <v>25</v>
      </c>
      <c r="T1185" s="138">
        <v>18</v>
      </c>
      <c r="U1185" s="138">
        <f t="shared" si="2048"/>
        <v>47</v>
      </c>
      <c r="W1185" s="139">
        <f t="shared" ref="W1185:AA1185" si="2376">J1185/$I1185</f>
        <v>0</v>
      </c>
      <c r="X1185" s="139">
        <f t="shared" si="2376"/>
        <v>0.52299465240641707</v>
      </c>
      <c r="Y1185" s="139">
        <f t="shared" si="2376"/>
        <v>0.41711229946524064</v>
      </c>
      <c r="Z1185" s="139">
        <f t="shared" si="2376"/>
        <v>0</v>
      </c>
      <c r="AA1185" s="139">
        <f t="shared" si="2376"/>
        <v>9.6256684491978616E-3</v>
      </c>
      <c r="AB1185" s="139"/>
      <c r="AC1185" s="139">
        <f t="shared" si="2050"/>
        <v>5.0267379679144387E-2</v>
      </c>
      <c r="AD1185" s="139">
        <f t="shared" ref="AD1185:AI1185" si="2377">O1185/$I1185</f>
        <v>4.2780748663101605E-3</v>
      </c>
      <c r="AE1185" s="139">
        <f t="shared" si="2377"/>
        <v>0</v>
      </c>
      <c r="AF1185" s="139">
        <f t="shared" si="2377"/>
        <v>0</v>
      </c>
      <c r="AG1185" s="139">
        <f t="shared" si="2377"/>
        <v>0</v>
      </c>
      <c r="AH1185" s="139">
        <f t="shared" si="2377"/>
        <v>2.6737967914438502E-2</v>
      </c>
      <c r="AI1185" s="139">
        <f t="shared" si="2377"/>
        <v>1.9251336898395723E-2</v>
      </c>
    </row>
    <row r="1186" spans="2:35">
      <c r="B1186" s="138" t="s">
        <v>8077</v>
      </c>
      <c r="C1186" s="138" t="s">
        <v>4367</v>
      </c>
      <c r="D1186" s="138" t="s">
        <v>10</v>
      </c>
      <c r="E1186" s="138" t="s">
        <v>166</v>
      </c>
      <c r="F1186" s="138" t="s">
        <v>963</v>
      </c>
      <c r="H1186" s="138">
        <v>238</v>
      </c>
      <c r="I1186" s="138">
        <v>960</v>
      </c>
      <c r="K1186" s="138">
        <v>324</v>
      </c>
      <c r="L1186" s="138">
        <v>594</v>
      </c>
      <c r="N1186" s="138">
        <v>8</v>
      </c>
      <c r="O1186" s="138">
        <v>2</v>
      </c>
      <c r="S1186" s="138">
        <v>29</v>
      </c>
      <c r="T1186" s="138">
        <v>3</v>
      </c>
      <c r="U1186" s="138">
        <f t="shared" si="2048"/>
        <v>34</v>
      </c>
      <c r="W1186" s="139">
        <f t="shared" ref="W1186:AA1186" si="2378">J1186/$I1186</f>
        <v>0</v>
      </c>
      <c r="X1186" s="139">
        <f t="shared" si="2378"/>
        <v>0.33750000000000002</v>
      </c>
      <c r="Y1186" s="139">
        <f t="shared" si="2378"/>
        <v>0.61875000000000002</v>
      </c>
      <c r="Z1186" s="139">
        <f t="shared" si="2378"/>
        <v>0</v>
      </c>
      <c r="AA1186" s="139">
        <f t="shared" si="2378"/>
        <v>8.3333333333333332E-3</v>
      </c>
      <c r="AB1186" s="139"/>
      <c r="AC1186" s="139">
        <f t="shared" si="2050"/>
        <v>3.5416666666666666E-2</v>
      </c>
      <c r="AD1186" s="139">
        <f t="shared" ref="AD1186:AI1186" si="2379">O1186/$I1186</f>
        <v>2.0833333333333333E-3</v>
      </c>
      <c r="AE1186" s="139">
        <f t="shared" si="2379"/>
        <v>0</v>
      </c>
      <c r="AF1186" s="139">
        <f t="shared" si="2379"/>
        <v>0</v>
      </c>
      <c r="AG1186" s="139">
        <f t="shared" si="2379"/>
        <v>0</v>
      </c>
      <c r="AH1186" s="139">
        <f t="shared" si="2379"/>
        <v>3.0208333333333334E-2</v>
      </c>
      <c r="AI1186" s="139">
        <f t="shared" si="2379"/>
        <v>3.1250000000000002E-3</v>
      </c>
    </row>
    <row r="1187" spans="2:35">
      <c r="B1187" s="138" t="s">
        <v>8077</v>
      </c>
      <c r="C1187" s="138" t="s">
        <v>4367</v>
      </c>
      <c r="D1187" s="138" t="s">
        <v>10</v>
      </c>
      <c r="E1187" s="138" t="s">
        <v>166</v>
      </c>
      <c r="F1187" s="138" t="s">
        <v>963</v>
      </c>
      <c r="H1187" s="138">
        <v>239</v>
      </c>
      <c r="I1187" s="138">
        <v>917</v>
      </c>
      <c r="K1187" s="138">
        <v>462</v>
      </c>
      <c r="L1187" s="138">
        <v>416</v>
      </c>
      <c r="N1187" s="138">
        <v>11</v>
      </c>
      <c r="O1187" s="138">
        <v>1</v>
      </c>
      <c r="S1187" s="138">
        <v>16</v>
      </c>
      <c r="T1187" s="138">
        <v>11</v>
      </c>
      <c r="U1187" s="138">
        <f t="shared" si="2048"/>
        <v>28</v>
      </c>
      <c r="W1187" s="139">
        <f t="shared" ref="W1187:AA1187" si="2380">J1187/$I1187</f>
        <v>0</v>
      </c>
      <c r="X1187" s="139">
        <f t="shared" si="2380"/>
        <v>0.50381679389312972</v>
      </c>
      <c r="Y1187" s="139">
        <f t="shared" si="2380"/>
        <v>0.45365321701199562</v>
      </c>
      <c r="Z1187" s="139">
        <f t="shared" si="2380"/>
        <v>0</v>
      </c>
      <c r="AA1187" s="139">
        <f t="shared" si="2380"/>
        <v>1.1995637949836423E-2</v>
      </c>
      <c r="AB1187" s="139"/>
      <c r="AC1187" s="139">
        <f t="shared" si="2050"/>
        <v>3.0534351145038167E-2</v>
      </c>
      <c r="AD1187" s="139">
        <f t="shared" ref="AD1187:AI1187" si="2381">O1187/$I1187</f>
        <v>1.0905125408942203E-3</v>
      </c>
      <c r="AE1187" s="139">
        <f t="shared" si="2381"/>
        <v>0</v>
      </c>
      <c r="AF1187" s="139">
        <f t="shared" si="2381"/>
        <v>0</v>
      </c>
      <c r="AG1187" s="139">
        <f t="shared" si="2381"/>
        <v>0</v>
      </c>
      <c r="AH1187" s="139">
        <f t="shared" si="2381"/>
        <v>1.7448200654307525E-2</v>
      </c>
      <c r="AI1187" s="139">
        <f t="shared" si="2381"/>
        <v>1.1995637949836423E-2</v>
      </c>
    </row>
    <row r="1188" spans="2:35">
      <c r="B1188" s="138" t="s">
        <v>8077</v>
      </c>
      <c r="C1188" s="138" t="s">
        <v>4367</v>
      </c>
      <c r="D1188" s="138" t="s">
        <v>10</v>
      </c>
      <c r="E1188" s="138" t="s">
        <v>166</v>
      </c>
      <c r="F1188" s="138" t="s">
        <v>963</v>
      </c>
      <c r="H1188" s="138">
        <v>240</v>
      </c>
      <c r="I1188" s="138">
        <v>1040</v>
      </c>
      <c r="K1188" s="138">
        <v>210</v>
      </c>
      <c r="L1188" s="138">
        <v>764</v>
      </c>
      <c r="N1188" s="138">
        <v>1</v>
      </c>
      <c r="O1188" s="138">
        <v>3</v>
      </c>
      <c r="S1188" s="138">
        <v>55</v>
      </c>
      <c r="T1188" s="138">
        <v>7</v>
      </c>
      <c r="U1188" s="138">
        <f t="shared" si="2048"/>
        <v>65</v>
      </c>
      <c r="W1188" s="139">
        <f t="shared" ref="W1188:AA1188" si="2382">J1188/$I1188</f>
        <v>0</v>
      </c>
      <c r="X1188" s="139">
        <f t="shared" si="2382"/>
        <v>0.20192307692307693</v>
      </c>
      <c r="Y1188" s="139">
        <f t="shared" si="2382"/>
        <v>0.73461538461538467</v>
      </c>
      <c r="Z1188" s="139">
        <f t="shared" si="2382"/>
        <v>0</v>
      </c>
      <c r="AA1188" s="139">
        <f t="shared" si="2382"/>
        <v>9.6153846153846159E-4</v>
      </c>
      <c r="AB1188" s="139"/>
      <c r="AC1188" s="139">
        <f t="shared" si="2050"/>
        <v>6.25E-2</v>
      </c>
      <c r="AD1188" s="139">
        <f t="shared" ref="AD1188:AI1188" si="2383">O1188/$I1188</f>
        <v>2.8846153846153848E-3</v>
      </c>
      <c r="AE1188" s="139">
        <f t="shared" si="2383"/>
        <v>0</v>
      </c>
      <c r="AF1188" s="139">
        <f t="shared" si="2383"/>
        <v>0</v>
      </c>
      <c r="AG1188" s="139">
        <f t="shared" si="2383"/>
        <v>0</v>
      </c>
      <c r="AH1188" s="139">
        <f t="shared" si="2383"/>
        <v>5.2884615384615384E-2</v>
      </c>
      <c r="AI1188" s="139">
        <f t="shared" si="2383"/>
        <v>6.7307692307692311E-3</v>
      </c>
    </row>
    <row r="1189" spans="2:35">
      <c r="B1189" s="138" t="s">
        <v>8077</v>
      </c>
      <c r="C1189" s="138" t="s">
        <v>4367</v>
      </c>
      <c r="D1189" s="138" t="s">
        <v>10</v>
      </c>
      <c r="E1189" s="138" t="s">
        <v>166</v>
      </c>
      <c r="F1189" s="138" t="s">
        <v>959</v>
      </c>
      <c r="H1189" s="138">
        <v>241</v>
      </c>
      <c r="I1189" s="138">
        <v>914</v>
      </c>
      <c r="K1189" s="138">
        <v>94</v>
      </c>
      <c r="L1189" s="138">
        <v>807</v>
      </c>
      <c r="N1189" s="138">
        <v>2</v>
      </c>
      <c r="O1189" s="138">
        <v>1</v>
      </c>
      <c r="S1189" s="138">
        <v>8</v>
      </c>
      <c r="T1189" s="138">
        <v>2</v>
      </c>
      <c r="U1189" s="138">
        <f t="shared" si="2048"/>
        <v>11</v>
      </c>
      <c r="W1189" s="139">
        <f t="shared" ref="W1189:AA1189" si="2384">J1189/$I1189</f>
        <v>0</v>
      </c>
      <c r="X1189" s="139">
        <f t="shared" si="2384"/>
        <v>0.10284463894967177</v>
      </c>
      <c r="Y1189" s="139">
        <f t="shared" si="2384"/>
        <v>0.88293216630196936</v>
      </c>
      <c r="Z1189" s="139">
        <f t="shared" si="2384"/>
        <v>0</v>
      </c>
      <c r="AA1189" s="139">
        <f t="shared" si="2384"/>
        <v>2.1881838074398249E-3</v>
      </c>
      <c r="AB1189" s="139"/>
      <c r="AC1189" s="139">
        <f t="shared" si="2050"/>
        <v>1.2035010940919038E-2</v>
      </c>
      <c r="AD1189" s="139">
        <f t="shared" ref="AD1189:AI1189" si="2385">O1189/$I1189</f>
        <v>1.0940919037199124E-3</v>
      </c>
      <c r="AE1189" s="139">
        <f t="shared" si="2385"/>
        <v>0</v>
      </c>
      <c r="AF1189" s="139">
        <f t="shared" si="2385"/>
        <v>0</v>
      </c>
      <c r="AG1189" s="139">
        <f t="shared" si="2385"/>
        <v>0</v>
      </c>
      <c r="AH1189" s="139">
        <f t="shared" si="2385"/>
        <v>8.7527352297592995E-3</v>
      </c>
      <c r="AI1189" s="139">
        <f t="shared" si="2385"/>
        <v>2.1881838074398249E-3</v>
      </c>
    </row>
    <row r="1190" spans="2:35">
      <c r="B1190" s="138" t="s">
        <v>8077</v>
      </c>
      <c r="C1190" s="138" t="s">
        <v>4367</v>
      </c>
      <c r="D1190" s="138" t="s">
        <v>10</v>
      </c>
      <c r="E1190" s="138" t="s">
        <v>166</v>
      </c>
      <c r="F1190" s="138" t="s">
        <v>959</v>
      </c>
      <c r="H1190" s="138">
        <v>242</v>
      </c>
      <c r="I1190" s="138">
        <v>891</v>
      </c>
      <c r="K1190" s="138">
        <v>374</v>
      </c>
      <c r="L1190" s="138">
        <v>479</v>
      </c>
      <c r="N1190" s="138">
        <v>6</v>
      </c>
      <c r="O1190" s="138">
        <v>1</v>
      </c>
      <c r="S1190" s="138">
        <v>19</v>
      </c>
      <c r="T1190" s="138">
        <v>12</v>
      </c>
      <c r="U1190" s="138">
        <f t="shared" si="2048"/>
        <v>32</v>
      </c>
      <c r="W1190" s="139">
        <f t="shared" ref="W1190:AA1190" si="2386">J1190/$I1190</f>
        <v>0</v>
      </c>
      <c r="X1190" s="139">
        <f t="shared" si="2386"/>
        <v>0.41975308641975306</v>
      </c>
      <c r="Y1190" s="139">
        <f t="shared" si="2386"/>
        <v>0.53759820426487093</v>
      </c>
      <c r="Z1190" s="139">
        <f t="shared" si="2386"/>
        <v>0</v>
      </c>
      <c r="AA1190" s="139">
        <f t="shared" si="2386"/>
        <v>6.7340067340067337E-3</v>
      </c>
      <c r="AB1190" s="139"/>
      <c r="AC1190" s="139">
        <f t="shared" si="2050"/>
        <v>3.5914702581369251E-2</v>
      </c>
      <c r="AD1190" s="139">
        <f t="shared" ref="AD1190:AI1190" si="2387">O1190/$I1190</f>
        <v>1.1223344556677891E-3</v>
      </c>
      <c r="AE1190" s="139">
        <f t="shared" si="2387"/>
        <v>0</v>
      </c>
      <c r="AF1190" s="139">
        <f t="shared" si="2387"/>
        <v>0</v>
      </c>
      <c r="AG1190" s="139">
        <f t="shared" si="2387"/>
        <v>0</v>
      </c>
      <c r="AH1190" s="139">
        <f t="shared" si="2387"/>
        <v>2.1324354657687991E-2</v>
      </c>
      <c r="AI1190" s="139">
        <f t="shared" si="2387"/>
        <v>1.3468013468013467E-2</v>
      </c>
    </row>
    <row r="1191" spans="2:35">
      <c r="B1191" s="138" t="s">
        <v>8077</v>
      </c>
      <c r="C1191" s="138" t="s">
        <v>4367</v>
      </c>
      <c r="D1191" s="138" t="s">
        <v>8</v>
      </c>
      <c r="E1191" s="138" t="s">
        <v>658</v>
      </c>
      <c r="F1191" s="138" t="s">
        <v>664</v>
      </c>
      <c r="H1191" s="138">
        <v>1</v>
      </c>
      <c r="I1191" s="138">
        <v>646</v>
      </c>
      <c r="J1191" s="138">
        <v>333</v>
      </c>
      <c r="K1191" s="138">
        <v>272</v>
      </c>
      <c r="N1191" s="138">
        <v>11</v>
      </c>
      <c r="O1191" s="138">
        <v>4</v>
      </c>
      <c r="R1191" s="138">
        <v>2</v>
      </c>
      <c r="S1191" s="138">
        <v>12</v>
      </c>
      <c r="T1191" s="138">
        <v>12</v>
      </c>
      <c r="U1191" s="138">
        <f t="shared" si="2048"/>
        <v>30</v>
      </c>
      <c r="W1191" s="139">
        <f t="shared" ref="W1191:AA1191" si="2388">J1191/$I1191</f>
        <v>0.51547987616099067</v>
      </c>
      <c r="X1191" s="139">
        <f t="shared" si="2388"/>
        <v>0.42105263157894735</v>
      </c>
      <c r="Y1191" s="139">
        <f t="shared" si="2388"/>
        <v>0</v>
      </c>
      <c r="Z1191" s="139">
        <f t="shared" si="2388"/>
        <v>0</v>
      </c>
      <c r="AA1191" s="139">
        <f t="shared" si="2388"/>
        <v>1.7027863777089782E-2</v>
      </c>
      <c r="AB1191" s="139"/>
      <c r="AC1191" s="139">
        <f t="shared" si="2050"/>
        <v>4.6439628482972138E-2</v>
      </c>
      <c r="AD1191" s="139">
        <f t="shared" ref="AD1191:AI1191" si="2389">O1191/$I1191</f>
        <v>6.1919504643962852E-3</v>
      </c>
      <c r="AE1191" s="139">
        <f t="shared" si="2389"/>
        <v>0</v>
      </c>
      <c r="AF1191" s="139">
        <f t="shared" si="2389"/>
        <v>0</v>
      </c>
      <c r="AG1191" s="139">
        <f t="shared" si="2389"/>
        <v>3.0959752321981426E-3</v>
      </c>
      <c r="AH1191" s="139">
        <f t="shared" si="2389"/>
        <v>1.8575851393188854E-2</v>
      </c>
      <c r="AI1191" s="139">
        <f t="shared" si="2389"/>
        <v>1.8575851393188854E-2</v>
      </c>
    </row>
    <row r="1192" spans="2:35">
      <c r="B1192" s="138" t="s">
        <v>8077</v>
      </c>
      <c r="C1192" s="138" t="s">
        <v>4367</v>
      </c>
      <c r="D1192" s="138" t="s">
        <v>8</v>
      </c>
      <c r="E1192" s="138" t="s">
        <v>658</v>
      </c>
      <c r="F1192" s="138" t="s">
        <v>664</v>
      </c>
      <c r="H1192" s="138">
        <v>2</v>
      </c>
      <c r="I1192" s="138">
        <v>755</v>
      </c>
      <c r="J1192" s="138">
        <v>493</v>
      </c>
      <c r="K1192" s="138">
        <v>219</v>
      </c>
      <c r="N1192" s="138">
        <v>7</v>
      </c>
      <c r="O1192" s="138">
        <v>4</v>
      </c>
      <c r="R1192" s="138">
        <v>0</v>
      </c>
      <c r="S1192" s="138">
        <v>21</v>
      </c>
      <c r="T1192" s="138">
        <v>11</v>
      </c>
      <c r="U1192" s="138">
        <f t="shared" si="2048"/>
        <v>36</v>
      </c>
      <c r="W1192" s="139">
        <f t="shared" ref="W1192:AA1192" si="2390">J1192/$I1192</f>
        <v>0.65298013245033115</v>
      </c>
      <c r="X1192" s="139">
        <f t="shared" si="2390"/>
        <v>0.29006622516556291</v>
      </c>
      <c r="Y1192" s="139">
        <f t="shared" si="2390"/>
        <v>0</v>
      </c>
      <c r="Z1192" s="139">
        <f t="shared" si="2390"/>
        <v>0</v>
      </c>
      <c r="AA1192" s="139">
        <f t="shared" si="2390"/>
        <v>9.2715231788079479E-3</v>
      </c>
      <c r="AB1192" s="139"/>
      <c r="AC1192" s="139">
        <f t="shared" si="2050"/>
        <v>4.7682119205298017E-2</v>
      </c>
      <c r="AD1192" s="139">
        <f t="shared" ref="AD1192:AI1192" si="2391">O1192/$I1192</f>
        <v>5.2980132450331126E-3</v>
      </c>
      <c r="AE1192" s="139">
        <f t="shared" si="2391"/>
        <v>0</v>
      </c>
      <c r="AF1192" s="139">
        <f t="shared" si="2391"/>
        <v>0</v>
      </c>
      <c r="AG1192" s="139">
        <f t="shared" si="2391"/>
        <v>0</v>
      </c>
      <c r="AH1192" s="139">
        <f t="shared" si="2391"/>
        <v>2.781456953642384E-2</v>
      </c>
      <c r="AI1192" s="139">
        <f t="shared" si="2391"/>
        <v>1.456953642384106E-2</v>
      </c>
    </row>
    <row r="1193" spans="2:35">
      <c r="B1193" s="138" t="s">
        <v>8077</v>
      </c>
      <c r="C1193" s="138" t="s">
        <v>4367</v>
      </c>
      <c r="D1193" s="138" t="s">
        <v>8</v>
      </c>
      <c r="E1193" s="138" t="s">
        <v>658</v>
      </c>
      <c r="F1193" s="138" t="s">
        <v>664</v>
      </c>
      <c r="H1193" s="138">
        <v>3</v>
      </c>
      <c r="I1193" s="138">
        <v>596</v>
      </c>
      <c r="J1193" s="138">
        <v>360</v>
      </c>
      <c r="K1193" s="138">
        <v>200</v>
      </c>
      <c r="N1193" s="138">
        <v>9</v>
      </c>
      <c r="O1193" s="138">
        <v>3</v>
      </c>
      <c r="R1193" s="138">
        <v>1</v>
      </c>
      <c r="S1193" s="138">
        <v>13</v>
      </c>
      <c r="T1193" s="138">
        <v>10</v>
      </c>
      <c r="U1193" s="138">
        <f t="shared" si="2048"/>
        <v>27</v>
      </c>
      <c r="W1193" s="139">
        <f t="shared" ref="W1193:AA1193" si="2392">J1193/$I1193</f>
        <v>0.60402684563758391</v>
      </c>
      <c r="X1193" s="139">
        <f t="shared" si="2392"/>
        <v>0.33557046979865773</v>
      </c>
      <c r="Y1193" s="139">
        <f t="shared" si="2392"/>
        <v>0</v>
      </c>
      <c r="Z1193" s="139">
        <f t="shared" si="2392"/>
        <v>0</v>
      </c>
      <c r="AA1193" s="139">
        <f t="shared" si="2392"/>
        <v>1.5100671140939598E-2</v>
      </c>
      <c r="AB1193" s="139"/>
      <c r="AC1193" s="139">
        <f t="shared" si="2050"/>
        <v>4.5302013422818789E-2</v>
      </c>
      <c r="AD1193" s="139">
        <f t="shared" ref="AD1193:AI1193" si="2393">O1193/$I1193</f>
        <v>5.0335570469798654E-3</v>
      </c>
      <c r="AE1193" s="139">
        <f t="shared" si="2393"/>
        <v>0</v>
      </c>
      <c r="AF1193" s="139">
        <f t="shared" si="2393"/>
        <v>0</v>
      </c>
      <c r="AG1193" s="139">
        <f t="shared" si="2393"/>
        <v>1.6778523489932886E-3</v>
      </c>
      <c r="AH1193" s="139">
        <f t="shared" si="2393"/>
        <v>2.1812080536912751E-2</v>
      </c>
      <c r="AI1193" s="139">
        <f t="shared" si="2393"/>
        <v>1.6778523489932886E-2</v>
      </c>
    </row>
    <row r="1194" spans="2:35">
      <c r="B1194" s="138" t="s">
        <v>8077</v>
      </c>
      <c r="C1194" s="138" t="s">
        <v>4367</v>
      </c>
      <c r="D1194" s="138" t="s">
        <v>8</v>
      </c>
      <c r="E1194" s="138" t="s">
        <v>658</v>
      </c>
      <c r="F1194" s="138" t="s">
        <v>662</v>
      </c>
      <c r="H1194" s="138">
        <v>4</v>
      </c>
      <c r="I1194" s="138">
        <v>710</v>
      </c>
      <c r="J1194" s="138">
        <v>370</v>
      </c>
      <c r="K1194" s="138">
        <v>284</v>
      </c>
      <c r="N1194" s="138">
        <v>11</v>
      </c>
      <c r="O1194" s="138">
        <v>5</v>
      </c>
      <c r="R1194" s="138">
        <v>5</v>
      </c>
      <c r="S1194" s="138">
        <v>13</v>
      </c>
      <c r="T1194" s="138">
        <v>22</v>
      </c>
      <c r="U1194" s="138">
        <f t="shared" si="2048"/>
        <v>45</v>
      </c>
      <c r="W1194" s="139">
        <f t="shared" ref="W1194:AA1194" si="2394">J1194/$I1194</f>
        <v>0.52112676056338025</v>
      </c>
      <c r="X1194" s="139">
        <f t="shared" si="2394"/>
        <v>0.4</v>
      </c>
      <c r="Y1194" s="139">
        <f t="shared" si="2394"/>
        <v>0</v>
      </c>
      <c r="Z1194" s="139">
        <f t="shared" si="2394"/>
        <v>0</v>
      </c>
      <c r="AA1194" s="139">
        <f t="shared" si="2394"/>
        <v>1.5492957746478873E-2</v>
      </c>
      <c r="AB1194" s="139"/>
      <c r="AC1194" s="139">
        <f t="shared" si="2050"/>
        <v>6.3380281690140844E-2</v>
      </c>
      <c r="AD1194" s="139">
        <f t="shared" ref="AD1194:AI1194" si="2395">O1194/$I1194</f>
        <v>7.0422535211267607E-3</v>
      </c>
      <c r="AE1194" s="139">
        <f t="shared" si="2395"/>
        <v>0</v>
      </c>
      <c r="AF1194" s="139">
        <f t="shared" si="2395"/>
        <v>0</v>
      </c>
      <c r="AG1194" s="139">
        <f t="shared" si="2395"/>
        <v>7.0422535211267607E-3</v>
      </c>
      <c r="AH1194" s="139">
        <f t="shared" si="2395"/>
        <v>1.8309859154929577E-2</v>
      </c>
      <c r="AI1194" s="139">
        <f t="shared" si="2395"/>
        <v>3.0985915492957747E-2</v>
      </c>
    </row>
    <row r="1195" spans="2:35">
      <c r="B1195" s="138" t="s">
        <v>8077</v>
      </c>
      <c r="C1195" s="138" t="s">
        <v>4367</v>
      </c>
      <c r="D1195" s="138" t="s">
        <v>8</v>
      </c>
      <c r="E1195" s="138" t="s">
        <v>658</v>
      </c>
      <c r="F1195" s="138" t="s">
        <v>662</v>
      </c>
      <c r="H1195" s="138">
        <v>5</v>
      </c>
      <c r="I1195" s="138">
        <v>635</v>
      </c>
      <c r="J1195" s="138">
        <v>404</v>
      </c>
      <c r="K1195" s="138">
        <v>182</v>
      </c>
      <c r="N1195" s="138">
        <v>7</v>
      </c>
      <c r="O1195" s="138">
        <v>3</v>
      </c>
      <c r="R1195" s="138">
        <v>1</v>
      </c>
      <c r="S1195" s="138">
        <v>24</v>
      </c>
      <c r="T1195" s="138">
        <v>14</v>
      </c>
      <c r="U1195" s="138">
        <f t="shared" si="2048"/>
        <v>42</v>
      </c>
      <c r="W1195" s="139">
        <f t="shared" ref="W1195:AA1195" si="2396">J1195/$I1195</f>
        <v>0.63622047244094493</v>
      </c>
      <c r="X1195" s="139">
        <f t="shared" si="2396"/>
        <v>0.28661417322834648</v>
      </c>
      <c r="Y1195" s="139">
        <f t="shared" si="2396"/>
        <v>0</v>
      </c>
      <c r="Z1195" s="139">
        <f t="shared" si="2396"/>
        <v>0</v>
      </c>
      <c r="AA1195" s="139">
        <f t="shared" si="2396"/>
        <v>1.1023622047244094E-2</v>
      </c>
      <c r="AB1195" s="139"/>
      <c r="AC1195" s="139">
        <f t="shared" si="2050"/>
        <v>6.6141732283464566E-2</v>
      </c>
      <c r="AD1195" s="139">
        <f t="shared" ref="AD1195:AI1195" si="2397">O1195/$I1195</f>
        <v>4.7244094488188976E-3</v>
      </c>
      <c r="AE1195" s="139">
        <f t="shared" si="2397"/>
        <v>0</v>
      </c>
      <c r="AF1195" s="139">
        <f t="shared" si="2397"/>
        <v>0</v>
      </c>
      <c r="AG1195" s="139">
        <f t="shared" si="2397"/>
        <v>1.5748031496062992E-3</v>
      </c>
      <c r="AH1195" s="139">
        <f t="shared" si="2397"/>
        <v>3.7795275590551181E-2</v>
      </c>
      <c r="AI1195" s="139">
        <f t="shared" si="2397"/>
        <v>2.2047244094488189E-2</v>
      </c>
    </row>
    <row r="1196" spans="2:35">
      <c r="B1196" s="138" t="s">
        <v>8077</v>
      </c>
      <c r="C1196" s="138" t="s">
        <v>4367</v>
      </c>
      <c r="D1196" s="138" t="s">
        <v>8</v>
      </c>
      <c r="E1196" s="138" t="s">
        <v>658</v>
      </c>
      <c r="F1196" s="138" t="s">
        <v>662</v>
      </c>
      <c r="H1196" s="138">
        <v>6</v>
      </c>
      <c r="I1196" s="138">
        <v>636</v>
      </c>
      <c r="J1196" s="138">
        <v>432</v>
      </c>
      <c r="K1196" s="138">
        <v>182</v>
      </c>
      <c r="N1196" s="138">
        <v>3</v>
      </c>
      <c r="O1196" s="138">
        <v>0</v>
      </c>
      <c r="R1196" s="138">
        <v>3</v>
      </c>
      <c r="S1196" s="138">
        <v>11</v>
      </c>
      <c r="T1196" s="138">
        <v>5</v>
      </c>
      <c r="U1196" s="138">
        <f t="shared" si="2048"/>
        <v>19</v>
      </c>
      <c r="W1196" s="139">
        <f t="shared" ref="W1196:AA1196" si="2398">J1196/$I1196</f>
        <v>0.67924528301886788</v>
      </c>
      <c r="X1196" s="139">
        <f t="shared" si="2398"/>
        <v>0.28616352201257861</v>
      </c>
      <c r="Y1196" s="139">
        <f t="shared" si="2398"/>
        <v>0</v>
      </c>
      <c r="Z1196" s="139">
        <f t="shared" si="2398"/>
        <v>0</v>
      </c>
      <c r="AA1196" s="139">
        <f t="shared" si="2398"/>
        <v>4.7169811320754715E-3</v>
      </c>
      <c r="AB1196" s="139"/>
      <c r="AC1196" s="139">
        <f t="shared" si="2050"/>
        <v>2.9874213836477988E-2</v>
      </c>
      <c r="AD1196" s="139">
        <f t="shared" ref="AD1196:AI1196" si="2399">O1196/$I1196</f>
        <v>0</v>
      </c>
      <c r="AE1196" s="139">
        <f t="shared" si="2399"/>
        <v>0</v>
      </c>
      <c r="AF1196" s="139">
        <f t="shared" si="2399"/>
        <v>0</v>
      </c>
      <c r="AG1196" s="139">
        <f t="shared" si="2399"/>
        <v>4.7169811320754715E-3</v>
      </c>
      <c r="AH1196" s="139">
        <f t="shared" si="2399"/>
        <v>1.7295597484276729E-2</v>
      </c>
      <c r="AI1196" s="139">
        <f t="shared" si="2399"/>
        <v>7.8616352201257862E-3</v>
      </c>
    </row>
    <row r="1197" spans="2:35">
      <c r="B1197" s="138" t="s">
        <v>8077</v>
      </c>
      <c r="C1197" s="138" t="s">
        <v>4367</v>
      </c>
      <c r="D1197" s="138" t="s">
        <v>8</v>
      </c>
      <c r="E1197" s="138" t="s">
        <v>658</v>
      </c>
      <c r="F1197" s="138" t="s">
        <v>662</v>
      </c>
      <c r="H1197" s="138">
        <v>7</v>
      </c>
      <c r="I1197" s="138">
        <v>251</v>
      </c>
      <c r="J1197" s="138">
        <v>151</v>
      </c>
      <c r="K1197" s="138">
        <v>85</v>
      </c>
      <c r="N1197" s="138">
        <v>2</v>
      </c>
      <c r="O1197" s="138">
        <v>1</v>
      </c>
      <c r="R1197" s="138">
        <v>1</v>
      </c>
      <c r="S1197" s="138">
        <v>7</v>
      </c>
      <c r="T1197" s="138">
        <v>4</v>
      </c>
      <c r="U1197" s="138">
        <f t="shared" si="2048"/>
        <v>13</v>
      </c>
      <c r="W1197" s="139">
        <f t="shared" ref="W1197:AA1197" si="2400">J1197/$I1197</f>
        <v>0.60159362549800799</v>
      </c>
      <c r="X1197" s="139">
        <f t="shared" si="2400"/>
        <v>0.3386454183266932</v>
      </c>
      <c r="Y1197" s="139">
        <f t="shared" si="2400"/>
        <v>0</v>
      </c>
      <c r="Z1197" s="139">
        <f t="shared" si="2400"/>
        <v>0</v>
      </c>
      <c r="AA1197" s="139">
        <f t="shared" si="2400"/>
        <v>7.9681274900398405E-3</v>
      </c>
      <c r="AB1197" s="139"/>
      <c r="AC1197" s="139">
        <f t="shared" si="2050"/>
        <v>5.1792828685258967E-2</v>
      </c>
      <c r="AD1197" s="139">
        <f t="shared" ref="AD1197:AI1197" si="2401">O1197/$I1197</f>
        <v>3.9840637450199202E-3</v>
      </c>
      <c r="AE1197" s="139">
        <f t="shared" si="2401"/>
        <v>0</v>
      </c>
      <c r="AF1197" s="139">
        <f t="shared" si="2401"/>
        <v>0</v>
      </c>
      <c r="AG1197" s="139">
        <f t="shared" si="2401"/>
        <v>3.9840637450199202E-3</v>
      </c>
      <c r="AH1197" s="139">
        <f t="shared" si="2401"/>
        <v>2.7888446215139442E-2</v>
      </c>
      <c r="AI1197" s="139">
        <f t="shared" si="2401"/>
        <v>1.5936254980079681E-2</v>
      </c>
    </row>
    <row r="1198" spans="2:35">
      <c r="B1198" s="138" t="s">
        <v>8077</v>
      </c>
      <c r="C1198" s="138" t="s">
        <v>4367</v>
      </c>
      <c r="D1198" s="138" t="s">
        <v>8</v>
      </c>
      <c r="E1198" s="138" t="s">
        <v>658</v>
      </c>
      <c r="F1198" s="138" t="s">
        <v>661</v>
      </c>
      <c r="H1198" s="138">
        <v>8</v>
      </c>
      <c r="I1198" s="138">
        <v>748</v>
      </c>
      <c r="J1198" s="138">
        <v>427</v>
      </c>
      <c r="K1198" s="138">
        <v>293</v>
      </c>
      <c r="N1198" s="138">
        <v>2</v>
      </c>
      <c r="O1198" s="138">
        <v>2</v>
      </c>
      <c r="R1198" s="138">
        <v>2</v>
      </c>
      <c r="S1198" s="138">
        <v>10</v>
      </c>
      <c r="T1198" s="138">
        <v>12</v>
      </c>
      <c r="U1198" s="138">
        <f t="shared" si="2048"/>
        <v>26</v>
      </c>
      <c r="W1198" s="139">
        <f t="shared" ref="W1198:AA1198" si="2402">J1198/$I1198</f>
        <v>0.57085561497326198</v>
      </c>
      <c r="X1198" s="139">
        <f t="shared" si="2402"/>
        <v>0.39171122994652408</v>
      </c>
      <c r="Y1198" s="139">
        <f t="shared" si="2402"/>
        <v>0</v>
      </c>
      <c r="Z1198" s="139">
        <f t="shared" si="2402"/>
        <v>0</v>
      </c>
      <c r="AA1198" s="139">
        <f t="shared" si="2402"/>
        <v>2.6737967914438501E-3</v>
      </c>
      <c r="AB1198" s="139"/>
      <c r="AC1198" s="139">
        <f t="shared" si="2050"/>
        <v>3.4759358288770054E-2</v>
      </c>
      <c r="AD1198" s="139">
        <f t="shared" ref="AD1198:AI1198" si="2403">O1198/$I1198</f>
        <v>2.6737967914438501E-3</v>
      </c>
      <c r="AE1198" s="139">
        <f t="shared" si="2403"/>
        <v>0</v>
      </c>
      <c r="AF1198" s="139">
        <f t="shared" si="2403"/>
        <v>0</v>
      </c>
      <c r="AG1198" s="139">
        <f t="shared" si="2403"/>
        <v>2.6737967914438501E-3</v>
      </c>
      <c r="AH1198" s="139">
        <f t="shared" si="2403"/>
        <v>1.3368983957219251E-2</v>
      </c>
      <c r="AI1198" s="139">
        <f t="shared" si="2403"/>
        <v>1.6042780748663103E-2</v>
      </c>
    </row>
    <row r="1199" spans="2:35">
      <c r="B1199" s="138" t="s">
        <v>8077</v>
      </c>
      <c r="C1199" s="138" t="s">
        <v>4367</v>
      </c>
      <c r="D1199" s="138" t="s">
        <v>8</v>
      </c>
      <c r="E1199" s="138" t="s">
        <v>658</v>
      </c>
      <c r="F1199" s="138" t="s">
        <v>661</v>
      </c>
      <c r="H1199" s="138">
        <v>9</v>
      </c>
      <c r="I1199" s="138">
        <v>522</v>
      </c>
      <c r="J1199" s="138">
        <v>296</v>
      </c>
      <c r="K1199" s="138">
        <v>197</v>
      </c>
      <c r="N1199" s="138">
        <v>2</v>
      </c>
      <c r="O1199" s="138">
        <v>0</v>
      </c>
      <c r="R1199" s="138">
        <v>8</v>
      </c>
      <c r="S1199" s="138">
        <v>11</v>
      </c>
      <c r="T1199" s="138">
        <v>8</v>
      </c>
      <c r="U1199" s="138">
        <f t="shared" si="2048"/>
        <v>27</v>
      </c>
      <c r="W1199" s="139">
        <f t="shared" ref="W1199:AA1199" si="2404">J1199/$I1199</f>
        <v>0.56704980842911878</v>
      </c>
      <c r="X1199" s="139">
        <f t="shared" si="2404"/>
        <v>0.37739463601532569</v>
      </c>
      <c r="Y1199" s="139">
        <f t="shared" si="2404"/>
        <v>0</v>
      </c>
      <c r="Z1199" s="139">
        <f t="shared" si="2404"/>
        <v>0</v>
      </c>
      <c r="AA1199" s="139">
        <f t="shared" si="2404"/>
        <v>3.8314176245210726E-3</v>
      </c>
      <c r="AB1199" s="139"/>
      <c r="AC1199" s="139">
        <f t="shared" si="2050"/>
        <v>5.1724137931034482E-2</v>
      </c>
      <c r="AD1199" s="139">
        <f t="shared" ref="AD1199:AI1199" si="2405">O1199/$I1199</f>
        <v>0</v>
      </c>
      <c r="AE1199" s="139">
        <f t="shared" si="2405"/>
        <v>0</v>
      </c>
      <c r="AF1199" s="139">
        <f t="shared" si="2405"/>
        <v>0</v>
      </c>
      <c r="AG1199" s="139">
        <f t="shared" si="2405"/>
        <v>1.532567049808429E-2</v>
      </c>
      <c r="AH1199" s="139">
        <f t="shared" si="2405"/>
        <v>2.1072796934865901E-2</v>
      </c>
      <c r="AI1199" s="139">
        <f t="shared" si="2405"/>
        <v>1.532567049808429E-2</v>
      </c>
    </row>
    <row r="1200" spans="2:35">
      <c r="B1200" s="138" t="s">
        <v>8077</v>
      </c>
      <c r="C1200" s="138" t="s">
        <v>4367</v>
      </c>
      <c r="D1200" s="138" t="s">
        <v>8</v>
      </c>
      <c r="E1200" s="138" t="s">
        <v>658</v>
      </c>
      <c r="F1200" s="138" t="s">
        <v>668</v>
      </c>
      <c r="H1200" s="138">
        <v>10</v>
      </c>
      <c r="I1200" s="138">
        <v>1043</v>
      </c>
      <c r="J1200" s="138">
        <v>566</v>
      </c>
      <c r="K1200" s="138">
        <v>407</v>
      </c>
      <c r="N1200" s="138">
        <v>21</v>
      </c>
      <c r="O1200" s="138">
        <v>4</v>
      </c>
      <c r="R1200" s="138">
        <v>5</v>
      </c>
      <c r="S1200" s="138">
        <v>24</v>
      </c>
      <c r="T1200" s="138">
        <v>16</v>
      </c>
      <c r="U1200" s="138">
        <f t="shared" si="2048"/>
        <v>49</v>
      </c>
      <c r="W1200" s="139">
        <f t="shared" ref="W1200:AA1200" si="2406">J1200/$I1200</f>
        <v>0.54266538830297217</v>
      </c>
      <c r="X1200" s="139">
        <f t="shared" si="2406"/>
        <v>0.39022051773729627</v>
      </c>
      <c r="Y1200" s="139">
        <f t="shared" si="2406"/>
        <v>0</v>
      </c>
      <c r="Z1200" s="139">
        <f t="shared" si="2406"/>
        <v>0</v>
      </c>
      <c r="AA1200" s="139">
        <f t="shared" si="2406"/>
        <v>2.0134228187919462E-2</v>
      </c>
      <c r="AB1200" s="139"/>
      <c r="AC1200" s="139">
        <f t="shared" si="2050"/>
        <v>4.6979865771812082E-2</v>
      </c>
      <c r="AD1200" s="139">
        <f t="shared" ref="AD1200:AI1200" si="2407">O1200/$I1200</f>
        <v>3.8350910834132309E-3</v>
      </c>
      <c r="AE1200" s="139">
        <f t="shared" si="2407"/>
        <v>0</v>
      </c>
      <c r="AF1200" s="139">
        <f t="shared" si="2407"/>
        <v>0</v>
      </c>
      <c r="AG1200" s="139">
        <f t="shared" si="2407"/>
        <v>4.7938638542665392E-3</v>
      </c>
      <c r="AH1200" s="139">
        <f t="shared" si="2407"/>
        <v>2.3010546500479387E-2</v>
      </c>
      <c r="AI1200" s="139">
        <f t="shared" si="2407"/>
        <v>1.5340364333652923E-2</v>
      </c>
    </row>
    <row r="1201" spans="2:35">
      <c r="B1201" s="138" t="s">
        <v>8077</v>
      </c>
      <c r="C1201" s="138" t="s">
        <v>4367</v>
      </c>
      <c r="D1201" s="138" t="s">
        <v>8</v>
      </c>
      <c r="E1201" s="138" t="s">
        <v>8186</v>
      </c>
      <c r="F1201" s="138" t="s">
        <v>8186</v>
      </c>
      <c r="H1201" s="138">
        <v>11</v>
      </c>
      <c r="I1201" s="138">
        <v>449</v>
      </c>
      <c r="J1201" s="138">
        <v>289</v>
      </c>
      <c r="K1201" s="138">
        <v>147</v>
      </c>
      <c r="N1201" s="138">
        <v>5</v>
      </c>
      <c r="O1201" s="138">
        <v>1</v>
      </c>
      <c r="R1201" s="138">
        <v>1</v>
      </c>
      <c r="S1201" s="138">
        <v>4</v>
      </c>
      <c r="T1201" s="138">
        <v>2</v>
      </c>
      <c r="U1201" s="138">
        <f t="shared" si="2048"/>
        <v>8</v>
      </c>
      <c r="W1201" s="139">
        <f t="shared" ref="W1201:AA1201" si="2408">J1201/$I1201</f>
        <v>0.64365256124721604</v>
      </c>
      <c r="X1201" s="139">
        <f t="shared" si="2408"/>
        <v>0.32739420935412028</v>
      </c>
      <c r="Y1201" s="139">
        <f t="shared" si="2408"/>
        <v>0</v>
      </c>
      <c r="Z1201" s="139">
        <f t="shared" si="2408"/>
        <v>0</v>
      </c>
      <c r="AA1201" s="139">
        <f t="shared" si="2408"/>
        <v>1.1135857461024499E-2</v>
      </c>
      <c r="AB1201" s="139"/>
      <c r="AC1201" s="139">
        <f t="shared" si="2050"/>
        <v>1.7817371937639197E-2</v>
      </c>
      <c r="AD1201" s="139">
        <f t="shared" ref="AD1201:AI1201" si="2409">O1201/$I1201</f>
        <v>2.2271714922048997E-3</v>
      </c>
      <c r="AE1201" s="139">
        <f t="shared" si="2409"/>
        <v>0</v>
      </c>
      <c r="AF1201" s="139">
        <f t="shared" si="2409"/>
        <v>0</v>
      </c>
      <c r="AG1201" s="139">
        <f t="shared" si="2409"/>
        <v>2.2271714922048997E-3</v>
      </c>
      <c r="AH1201" s="139">
        <f t="shared" si="2409"/>
        <v>8.9086859688195987E-3</v>
      </c>
      <c r="AI1201" s="139">
        <f t="shared" si="2409"/>
        <v>4.4543429844097994E-3</v>
      </c>
    </row>
    <row r="1202" spans="2:35">
      <c r="B1202" s="138" t="s">
        <v>8077</v>
      </c>
      <c r="C1202" s="138" t="s">
        <v>4367</v>
      </c>
      <c r="D1202" s="138" t="s">
        <v>8</v>
      </c>
      <c r="E1202" s="138" t="s">
        <v>8186</v>
      </c>
      <c r="F1202" s="138" t="s">
        <v>8186</v>
      </c>
      <c r="H1202" s="138">
        <v>12</v>
      </c>
      <c r="I1202" s="138">
        <v>818</v>
      </c>
      <c r="J1202" s="138">
        <v>582</v>
      </c>
      <c r="K1202" s="138">
        <v>214</v>
      </c>
      <c r="N1202" s="138">
        <v>7</v>
      </c>
      <c r="O1202" s="138">
        <v>0</v>
      </c>
      <c r="R1202" s="138">
        <v>1</v>
      </c>
      <c r="S1202" s="138">
        <v>10</v>
      </c>
      <c r="T1202" s="138">
        <v>4</v>
      </c>
      <c r="U1202" s="138">
        <f t="shared" si="2048"/>
        <v>15</v>
      </c>
      <c r="W1202" s="139">
        <f t="shared" ref="W1202:AA1202" si="2410">J1202/$I1202</f>
        <v>0.71149144254278729</v>
      </c>
      <c r="X1202" s="139">
        <f t="shared" si="2410"/>
        <v>0.26161369193154033</v>
      </c>
      <c r="Y1202" s="139">
        <f t="shared" si="2410"/>
        <v>0</v>
      </c>
      <c r="Z1202" s="139">
        <f t="shared" si="2410"/>
        <v>0</v>
      </c>
      <c r="AA1202" s="139">
        <f t="shared" si="2410"/>
        <v>8.557457212713936E-3</v>
      </c>
      <c r="AB1202" s="139"/>
      <c r="AC1202" s="139">
        <f t="shared" si="2050"/>
        <v>1.8337408312958436E-2</v>
      </c>
      <c r="AD1202" s="139">
        <f t="shared" ref="AD1202:AI1202" si="2411">O1202/$I1202</f>
        <v>0</v>
      </c>
      <c r="AE1202" s="139">
        <f t="shared" si="2411"/>
        <v>0</v>
      </c>
      <c r="AF1202" s="139">
        <f t="shared" si="2411"/>
        <v>0</v>
      </c>
      <c r="AG1202" s="139">
        <f t="shared" si="2411"/>
        <v>1.2224938875305623E-3</v>
      </c>
      <c r="AH1202" s="139">
        <f t="shared" si="2411"/>
        <v>1.2224938875305624E-2</v>
      </c>
      <c r="AI1202" s="139">
        <f t="shared" si="2411"/>
        <v>4.8899755501222494E-3</v>
      </c>
    </row>
    <row r="1203" spans="2:35">
      <c r="B1203" s="138" t="s">
        <v>8077</v>
      </c>
      <c r="C1203" s="138" t="s">
        <v>4367</v>
      </c>
      <c r="D1203" s="138" t="s">
        <v>8</v>
      </c>
      <c r="E1203" s="138" t="s">
        <v>8186</v>
      </c>
      <c r="F1203" s="138" t="s">
        <v>8186</v>
      </c>
      <c r="H1203" s="138">
        <v>13</v>
      </c>
      <c r="I1203" s="138">
        <v>906</v>
      </c>
      <c r="J1203" s="138">
        <v>477</v>
      </c>
      <c r="K1203" s="138">
        <v>399</v>
      </c>
      <c r="N1203" s="138">
        <v>7</v>
      </c>
      <c r="O1203" s="138">
        <v>1</v>
      </c>
      <c r="R1203" s="138">
        <v>0</v>
      </c>
      <c r="S1203" s="138">
        <v>14</v>
      </c>
      <c r="T1203" s="138">
        <v>8</v>
      </c>
      <c r="U1203" s="138">
        <f t="shared" si="2048"/>
        <v>23</v>
      </c>
      <c r="W1203" s="139">
        <f t="shared" ref="W1203:AA1203" si="2412">J1203/$I1203</f>
        <v>0.52649006622516559</v>
      </c>
      <c r="X1203" s="139">
        <f t="shared" si="2412"/>
        <v>0.44039735099337746</v>
      </c>
      <c r="Y1203" s="139">
        <f t="shared" si="2412"/>
        <v>0</v>
      </c>
      <c r="Z1203" s="139">
        <f t="shared" si="2412"/>
        <v>0</v>
      </c>
      <c r="AA1203" s="139">
        <f t="shared" si="2412"/>
        <v>7.7262693156732896E-3</v>
      </c>
      <c r="AB1203" s="139"/>
      <c r="AC1203" s="139">
        <f t="shared" si="2050"/>
        <v>2.5386313465783666E-2</v>
      </c>
      <c r="AD1203" s="139">
        <f t="shared" ref="AD1203:AI1203" si="2413">O1203/$I1203</f>
        <v>1.1037527593818985E-3</v>
      </c>
      <c r="AE1203" s="139">
        <f t="shared" si="2413"/>
        <v>0</v>
      </c>
      <c r="AF1203" s="139">
        <f t="shared" si="2413"/>
        <v>0</v>
      </c>
      <c r="AG1203" s="139">
        <f t="shared" si="2413"/>
        <v>0</v>
      </c>
      <c r="AH1203" s="139">
        <f t="shared" si="2413"/>
        <v>1.5452538631346579E-2</v>
      </c>
      <c r="AI1203" s="139">
        <f t="shared" si="2413"/>
        <v>8.8300220750551876E-3</v>
      </c>
    </row>
    <row r="1204" spans="2:35">
      <c r="B1204" s="138" t="s">
        <v>8077</v>
      </c>
      <c r="C1204" s="138" t="s">
        <v>4367</v>
      </c>
      <c r="D1204" s="138" t="s">
        <v>8</v>
      </c>
      <c r="E1204" s="138" t="s">
        <v>8186</v>
      </c>
      <c r="F1204" s="138" t="s">
        <v>8186</v>
      </c>
      <c r="H1204" s="138">
        <v>14</v>
      </c>
      <c r="I1204" s="138">
        <v>1051</v>
      </c>
      <c r="J1204" s="138">
        <v>432</v>
      </c>
      <c r="K1204" s="138">
        <v>581</v>
      </c>
      <c r="N1204" s="138">
        <v>5</v>
      </c>
      <c r="O1204" s="138">
        <v>6</v>
      </c>
      <c r="R1204" s="138">
        <v>5</v>
      </c>
      <c r="S1204" s="138">
        <v>12</v>
      </c>
      <c r="T1204" s="138">
        <v>10</v>
      </c>
      <c r="U1204" s="138">
        <f t="shared" si="2048"/>
        <v>33</v>
      </c>
      <c r="W1204" s="139">
        <f t="shared" ref="W1204:AA1204" si="2414">J1204/$I1204</f>
        <v>0.41103710751665079</v>
      </c>
      <c r="X1204" s="139">
        <f t="shared" si="2414"/>
        <v>0.55280685061845858</v>
      </c>
      <c r="Y1204" s="139">
        <f t="shared" si="2414"/>
        <v>0</v>
      </c>
      <c r="Z1204" s="139">
        <f t="shared" si="2414"/>
        <v>0</v>
      </c>
      <c r="AA1204" s="139">
        <f t="shared" si="2414"/>
        <v>4.7573739295908657E-3</v>
      </c>
      <c r="AB1204" s="139"/>
      <c r="AC1204" s="139">
        <f t="shared" si="2050"/>
        <v>3.1398667935299718E-2</v>
      </c>
      <c r="AD1204" s="139">
        <f t="shared" ref="AD1204:AI1204" si="2415">O1204/$I1204</f>
        <v>5.708848715509039E-3</v>
      </c>
      <c r="AE1204" s="139">
        <f t="shared" si="2415"/>
        <v>0</v>
      </c>
      <c r="AF1204" s="139">
        <f t="shared" si="2415"/>
        <v>0</v>
      </c>
      <c r="AG1204" s="139">
        <f t="shared" si="2415"/>
        <v>4.7573739295908657E-3</v>
      </c>
      <c r="AH1204" s="139">
        <f t="shared" si="2415"/>
        <v>1.1417697431018078E-2</v>
      </c>
      <c r="AI1204" s="139">
        <f t="shared" si="2415"/>
        <v>9.5147478591817315E-3</v>
      </c>
    </row>
    <row r="1205" spans="2:35">
      <c r="B1205" s="138" t="s">
        <v>8077</v>
      </c>
      <c r="C1205" s="138" t="s">
        <v>4367</v>
      </c>
      <c r="D1205" s="138" t="s">
        <v>8</v>
      </c>
      <c r="E1205" s="138" t="s">
        <v>8186</v>
      </c>
      <c r="F1205" s="138" t="s">
        <v>8186</v>
      </c>
      <c r="H1205" s="138">
        <v>15</v>
      </c>
      <c r="I1205" s="138">
        <v>593</v>
      </c>
      <c r="J1205" s="138">
        <v>257</v>
      </c>
      <c r="K1205" s="138">
        <v>312</v>
      </c>
      <c r="N1205" s="138">
        <v>6</v>
      </c>
      <c r="O1205" s="138">
        <v>2</v>
      </c>
      <c r="R1205" s="138">
        <v>2</v>
      </c>
      <c r="S1205" s="138">
        <v>5</v>
      </c>
      <c r="T1205" s="138">
        <v>9</v>
      </c>
      <c r="U1205" s="138">
        <f t="shared" si="2048"/>
        <v>18</v>
      </c>
      <c r="W1205" s="139">
        <f t="shared" ref="W1205:AA1205" si="2416">J1205/$I1205</f>
        <v>0.43338954468802698</v>
      </c>
      <c r="X1205" s="139">
        <f t="shared" si="2416"/>
        <v>0.52613827993254636</v>
      </c>
      <c r="Y1205" s="139">
        <f t="shared" si="2416"/>
        <v>0</v>
      </c>
      <c r="Z1205" s="139">
        <f t="shared" si="2416"/>
        <v>0</v>
      </c>
      <c r="AA1205" s="139">
        <f t="shared" si="2416"/>
        <v>1.0118043844856661E-2</v>
      </c>
      <c r="AB1205" s="139"/>
      <c r="AC1205" s="139">
        <f t="shared" si="2050"/>
        <v>3.0354131534569982E-2</v>
      </c>
      <c r="AD1205" s="139">
        <f t="shared" ref="AD1205:AI1205" si="2417">O1205/$I1205</f>
        <v>3.3726812816188868E-3</v>
      </c>
      <c r="AE1205" s="139">
        <f t="shared" si="2417"/>
        <v>0</v>
      </c>
      <c r="AF1205" s="139">
        <f t="shared" si="2417"/>
        <v>0</v>
      </c>
      <c r="AG1205" s="139">
        <f t="shared" si="2417"/>
        <v>3.3726812816188868E-3</v>
      </c>
      <c r="AH1205" s="139">
        <f t="shared" si="2417"/>
        <v>8.4317032040472171E-3</v>
      </c>
      <c r="AI1205" s="139">
        <f t="shared" si="2417"/>
        <v>1.5177065767284991E-2</v>
      </c>
    </row>
    <row r="1206" spans="2:35">
      <c r="B1206" s="138" t="s">
        <v>8077</v>
      </c>
      <c r="C1206" s="138" t="s">
        <v>4367</v>
      </c>
      <c r="D1206" s="138" t="s">
        <v>8</v>
      </c>
      <c r="E1206" s="138" t="s">
        <v>8186</v>
      </c>
      <c r="F1206" s="138" t="s">
        <v>8186</v>
      </c>
      <c r="H1206" s="138">
        <v>16</v>
      </c>
      <c r="I1206" s="138">
        <v>808</v>
      </c>
      <c r="J1206" s="138">
        <v>332</v>
      </c>
      <c r="K1206" s="138">
        <v>427</v>
      </c>
      <c r="N1206" s="138">
        <v>13</v>
      </c>
      <c r="O1206" s="138">
        <v>3</v>
      </c>
      <c r="R1206" s="138">
        <v>2</v>
      </c>
      <c r="S1206" s="138">
        <v>19</v>
      </c>
      <c r="T1206" s="138">
        <v>12</v>
      </c>
      <c r="U1206" s="138">
        <f t="shared" si="2048"/>
        <v>36</v>
      </c>
      <c r="W1206" s="139">
        <f t="shared" ref="W1206:AA1206" si="2418">J1206/$I1206</f>
        <v>0.41089108910891087</v>
      </c>
      <c r="X1206" s="139">
        <f t="shared" si="2418"/>
        <v>0.52846534653465349</v>
      </c>
      <c r="Y1206" s="139">
        <f t="shared" si="2418"/>
        <v>0</v>
      </c>
      <c r="Z1206" s="139">
        <f t="shared" si="2418"/>
        <v>0</v>
      </c>
      <c r="AA1206" s="139">
        <f t="shared" si="2418"/>
        <v>1.608910891089109E-2</v>
      </c>
      <c r="AB1206" s="139"/>
      <c r="AC1206" s="139">
        <f t="shared" si="2050"/>
        <v>4.4554455445544552E-2</v>
      </c>
      <c r="AD1206" s="139">
        <f t="shared" ref="AD1206:AI1206" si="2419">O1206/$I1206</f>
        <v>3.7128712871287127E-3</v>
      </c>
      <c r="AE1206" s="139">
        <f t="shared" si="2419"/>
        <v>0</v>
      </c>
      <c r="AF1206" s="139">
        <f t="shared" si="2419"/>
        <v>0</v>
      </c>
      <c r="AG1206" s="139">
        <f t="shared" si="2419"/>
        <v>2.4752475247524753E-3</v>
      </c>
      <c r="AH1206" s="139">
        <f t="shared" si="2419"/>
        <v>2.3514851485148515E-2</v>
      </c>
      <c r="AI1206" s="139">
        <f t="shared" si="2419"/>
        <v>1.4851485148514851E-2</v>
      </c>
    </row>
    <row r="1207" spans="2:35">
      <c r="B1207" s="138" t="s">
        <v>8077</v>
      </c>
      <c r="C1207" s="138" t="s">
        <v>4367</v>
      </c>
      <c r="D1207" s="138" t="s">
        <v>8</v>
      </c>
      <c r="E1207" s="138" t="s">
        <v>8186</v>
      </c>
      <c r="F1207" s="138" t="s">
        <v>8186</v>
      </c>
      <c r="H1207" s="138">
        <v>17</v>
      </c>
      <c r="I1207" s="138">
        <v>1049</v>
      </c>
      <c r="J1207" s="138">
        <v>482</v>
      </c>
      <c r="K1207" s="138">
        <v>514</v>
      </c>
      <c r="N1207" s="138">
        <v>11</v>
      </c>
      <c r="O1207" s="138">
        <v>7</v>
      </c>
      <c r="R1207" s="138">
        <v>4</v>
      </c>
      <c r="S1207" s="138">
        <v>15</v>
      </c>
      <c r="T1207" s="138">
        <v>16</v>
      </c>
      <c r="U1207" s="138">
        <f t="shared" si="2048"/>
        <v>42</v>
      </c>
      <c r="W1207" s="139">
        <f t="shared" ref="W1207:AA1207" si="2420">J1207/$I1207</f>
        <v>0.45948522402287895</v>
      </c>
      <c r="X1207" s="139">
        <f t="shared" si="2420"/>
        <v>0.48999046711153482</v>
      </c>
      <c r="Y1207" s="139">
        <f t="shared" si="2420"/>
        <v>0</v>
      </c>
      <c r="Z1207" s="139">
        <f t="shared" si="2420"/>
        <v>0</v>
      </c>
      <c r="AA1207" s="139">
        <f t="shared" si="2420"/>
        <v>1.0486177311725452E-2</v>
      </c>
      <c r="AB1207" s="139"/>
      <c r="AC1207" s="139">
        <f t="shared" si="2050"/>
        <v>4.0038131553860823E-2</v>
      </c>
      <c r="AD1207" s="139">
        <f t="shared" ref="AD1207:AI1207" si="2421">O1207/$I1207</f>
        <v>6.6730219256434702E-3</v>
      </c>
      <c r="AE1207" s="139">
        <f t="shared" si="2421"/>
        <v>0</v>
      </c>
      <c r="AF1207" s="139">
        <f t="shared" si="2421"/>
        <v>0</v>
      </c>
      <c r="AG1207" s="139">
        <f t="shared" si="2421"/>
        <v>3.8131553860819827E-3</v>
      </c>
      <c r="AH1207" s="139">
        <f t="shared" si="2421"/>
        <v>1.4299332697807437E-2</v>
      </c>
      <c r="AI1207" s="139">
        <f t="shared" si="2421"/>
        <v>1.5252621544327931E-2</v>
      </c>
    </row>
    <row r="1208" spans="2:35">
      <c r="B1208" s="138" t="s">
        <v>8077</v>
      </c>
      <c r="C1208" s="138" t="s">
        <v>4367</v>
      </c>
      <c r="D1208" s="138" t="s">
        <v>8</v>
      </c>
      <c r="E1208" s="138" t="s">
        <v>8186</v>
      </c>
      <c r="F1208" s="138" t="s">
        <v>8186</v>
      </c>
      <c r="H1208" s="138">
        <v>18</v>
      </c>
      <c r="I1208" s="138">
        <v>958</v>
      </c>
      <c r="J1208" s="138">
        <v>576</v>
      </c>
      <c r="K1208" s="138">
        <v>332</v>
      </c>
      <c r="N1208" s="138">
        <v>5</v>
      </c>
      <c r="O1208" s="138">
        <v>3</v>
      </c>
      <c r="R1208" s="138">
        <v>3</v>
      </c>
      <c r="S1208" s="138">
        <v>24</v>
      </c>
      <c r="T1208" s="138">
        <v>15</v>
      </c>
      <c r="U1208" s="138">
        <f t="shared" si="2048"/>
        <v>45</v>
      </c>
      <c r="W1208" s="139">
        <f t="shared" ref="W1208:AA1208" si="2422">J1208/$I1208</f>
        <v>0.60125260960334026</v>
      </c>
      <c r="X1208" s="139">
        <f t="shared" si="2422"/>
        <v>0.3465553235908142</v>
      </c>
      <c r="Y1208" s="139">
        <f t="shared" si="2422"/>
        <v>0</v>
      </c>
      <c r="Z1208" s="139">
        <f t="shared" si="2422"/>
        <v>0</v>
      </c>
      <c r="AA1208" s="139">
        <f t="shared" si="2422"/>
        <v>5.2192066805845511E-3</v>
      </c>
      <c r="AB1208" s="139"/>
      <c r="AC1208" s="139">
        <f t="shared" si="2050"/>
        <v>4.697286012526096E-2</v>
      </c>
      <c r="AD1208" s="139">
        <f t="shared" ref="AD1208:AI1208" si="2423">O1208/$I1208</f>
        <v>3.1315240083507308E-3</v>
      </c>
      <c r="AE1208" s="139">
        <f t="shared" si="2423"/>
        <v>0</v>
      </c>
      <c r="AF1208" s="139">
        <f t="shared" si="2423"/>
        <v>0</v>
      </c>
      <c r="AG1208" s="139">
        <f t="shared" si="2423"/>
        <v>3.1315240083507308E-3</v>
      </c>
      <c r="AH1208" s="139">
        <f t="shared" si="2423"/>
        <v>2.5052192066805846E-2</v>
      </c>
      <c r="AI1208" s="139">
        <f t="shared" si="2423"/>
        <v>1.5657620041753653E-2</v>
      </c>
    </row>
    <row r="1209" spans="2:35">
      <c r="B1209" s="138" t="s">
        <v>8077</v>
      </c>
      <c r="C1209" s="138" t="s">
        <v>4367</v>
      </c>
      <c r="D1209" s="138" t="s">
        <v>8</v>
      </c>
      <c r="E1209" s="138" t="s">
        <v>8186</v>
      </c>
      <c r="F1209" s="138" t="s">
        <v>8186</v>
      </c>
      <c r="H1209" s="138">
        <v>19</v>
      </c>
      <c r="I1209" s="138">
        <v>999</v>
      </c>
      <c r="J1209" s="138">
        <v>542</v>
      </c>
      <c r="K1209" s="138">
        <v>375</v>
      </c>
      <c r="N1209" s="138">
        <v>7</v>
      </c>
      <c r="O1209" s="138">
        <v>3</v>
      </c>
      <c r="R1209" s="138">
        <v>3</v>
      </c>
      <c r="S1209" s="138">
        <v>41</v>
      </c>
      <c r="T1209" s="138">
        <v>28</v>
      </c>
      <c r="U1209" s="138">
        <f t="shared" si="2048"/>
        <v>75</v>
      </c>
      <c r="W1209" s="139">
        <f t="shared" ref="W1209:AA1209" si="2424">J1209/$I1209</f>
        <v>0.54254254254254253</v>
      </c>
      <c r="X1209" s="139">
        <f t="shared" si="2424"/>
        <v>0.37537537537537535</v>
      </c>
      <c r="Y1209" s="139">
        <f t="shared" si="2424"/>
        <v>0</v>
      </c>
      <c r="Z1209" s="139">
        <f t="shared" si="2424"/>
        <v>0</v>
      </c>
      <c r="AA1209" s="139">
        <f t="shared" si="2424"/>
        <v>7.0070070070070069E-3</v>
      </c>
      <c r="AB1209" s="139"/>
      <c r="AC1209" s="139">
        <f t="shared" si="2050"/>
        <v>7.5075075075075076E-2</v>
      </c>
      <c r="AD1209" s="139">
        <f t="shared" ref="AD1209:AI1209" si="2425">O1209/$I1209</f>
        <v>3.003003003003003E-3</v>
      </c>
      <c r="AE1209" s="139">
        <f t="shared" si="2425"/>
        <v>0</v>
      </c>
      <c r="AF1209" s="139">
        <f t="shared" si="2425"/>
        <v>0</v>
      </c>
      <c r="AG1209" s="139">
        <f t="shared" si="2425"/>
        <v>3.003003003003003E-3</v>
      </c>
      <c r="AH1209" s="139">
        <f t="shared" si="2425"/>
        <v>4.1041041041041039E-2</v>
      </c>
      <c r="AI1209" s="139">
        <f t="shared" si="2425"/>
        <v>2.8028028028028028E-2</v>
      </c>
    </row>
    <row r="1210" spans="2:35">
      <c r="B1210" s="138" t="s">
        <v>8077</v>
      </c>
      <c r="C1210" s="138" t="s">
        <v>4367</v>
      </c>
      <c r="D1210" s="138" t="s">
        <v>8</v>
      </c>
      <c r="E1210" s="138" t="s">
        <v>8186</v>
      </c>
      <c r="F1210" s="138" t="s">
        <v>8186</v>
      </c>
      <c r="H1210" s="138">
        <v>20</v>
      </c>
      <c r="I1210" s="138">
        <v>1178</v>
      </c>
      <c r="J1210" s="138">
        <v>502</v>
      </c>
      <c r="K1210" s="138">
        <v>600</v>
      </c>
      <c r="N1210" s="138">
        <v>17</v>
      </c>
      <c r="O1210" s="138">
        <v>6</v>
      </c>
      <c r="R1210" s="138">
        <v>2</v>
      </c>
      <c r="S1210" s="138">
        <v>31</v>
      </c>
      <c r="T1210" s="138">
        <v>20</v>
      </c>
      <c r="U1210" s="138">
        <f t="shared" si="2048"/>
        <v>59</v>
      </c>
      <c r="W1210" s="139">
        <f t="shared" ref="W1210:AA1210" si="2426">J1210/$I1210</f>
        <v>0.42614601018675724</v>
      </c>
      <c r="X1210" s="139">
        <f t="shared" si="2426"/>
        <v>0.50933786078098475</v>
      </c>
      <c r="Y1210" s="139">
        <f t="shared" si="2426"/>
        <v>0</v>
      </c>
      <c r="Z1210" s="139">
        <f t="shared" si="2426"/>
        <v>0</v>
      </c>
      <c r="AA1210" s="139">
        <f t="shared" si="2426"/>
        <v>1.4431239388794566E-2</v>
      </c>
      <c r="AB1210" s="139"/>
      <c r="AC1210" s="139">
        <f t="shared" si="2050"/>
        <v>5.0084889643463498E-2</v>
      </c>
      <c r="AD1210" s="139">
        <f t="shared" ref="AD1210:AI1210" si="2427">O1210/$I1210</f>
        <v>5.0933786078098476E-3</v>
      </c>
      <c r="AE1210" s="139">
        <f t="shared" si="2427"/>
        <v>0</v>
      </c>
      <c r="AF1210" s="139">
        <f t="shared" si="2427"/>
        <v>0</v>
      </c>
      <c r="AG1210" s="139">
        <f t="shared" si="2427"/>
        <v>1.697792869269949E-3</v>
      </c>
      <c r="AH1210" s="139">
        <f t="shared" si="2427"/>
        <v>2.6315789473684209E-2</v>
      </c>
      <c r="AI1210" s="139">
        <f t="shared" si="2427"/>
        <v>1.6977928692699491E-2</v>
      </c>
    </row>
    <row r="1211" spans="2:35">
      <c r="B1211" s="138" t="s">
        <v>8077</v>
      </c>
      <c r="C1211" s="138" t="s">
        <v>4367</v>
      </c>
      <c r="D1211" s="138" t="s">
        <v>8</v>
      </c>
      <c r="E1211" s="138" t="s">
        <v>8186</v>
      </c>
      <c r="F1211" s="138" t="s">
        <v>8186</v>
      </c>
      <c r="H1211" s="138">
        <v>21</v>
      </c>
      <c r="I1211" s="138">
        <v>882</v>
      </c>
      <c r="J1211" s="138">
        <v>341</v>
      </c>
      <c r="K1211" s="138">
        <v>464</v>
      </c>
      <c r="N1211" s="138">
        <v>9</v>
      </c>
      <c r="O1211" s="138">
        <v>9</v>
      </c>
      <c r="R1211" s="138">
        <v>2</v>
      </c>
      <c r="S1211" s="138">
        <v>20</v>
      </c>
      <c r="T1211" s="138">
        <v>37</v>
      </c>
      <c r="U1211" s="138">
        <f t="shared" si="2048"/>
        <v>68</v>
      </c>
      <c r="W1211" s="139">
        <f t="shared" ref="W1211:AA1211" si="2428">J1211/$I1211</f>
        <v>0.38662131519274379</v>
      </c>
      <c r="X1211" s="139">
        <f t="shared" si="2428"/>
        <v>0.52607709750566889</v>
      </c>
      <c r="Y1211" s="139">
        <f t="shared" si="2428"/>
        <v>0</v>
      </c>
      <c r="Z1211" s="139">
        <f t="shared" si="2428"/>
        <v>0</v>
      </c>
      <c r="AA1211" s="139">
        <f t="shared" si="2428"/>
        <v>1.020408163265306E-2</v>
      </c>
      <c r="AB1211" s="139"/>
      <c r="AC1211" s="139">
        <f t="shared" si="2050"/>
        <v>7.7097505668934238E-2</v>
      </c>
      <c r="AD1211" s="139">
        <f t="shared" ref="AD1211:AI1211" si="2429">O1211/$I1211</f>
        <v>1.020408163265306E-2</v>
      </c>
      <c r="AE1211" s="139">
        <f t="shared" si="2429"/>
        <v>0</v>
      </c>
      <c r="AF1211" s="139">
        <f t="shared" si="2429"/>
        <v>0</v>
      </c>
      <c r="AG1211" s="139">
        <f t="shared" si="2429"/>
        <v>2.2675736961451248E-3</v>
      </c>
      <c r="AH1211" s="139">
        <f t="shared" si="2429"/>
        <v>2.2675736961451247E-2</v>
      </c>
      <c r="AI1211" s="139">
        <f t="shared" si="2429"/>
        <v>4.195011337868481E-2</v>
      </c>
    </row>
    <row r="1212" spans="2:35">
      <c r="B1212" s="138" t="s">
        <v>8077</v>
      </c>
      <c r="C1212" s="138" t="s">
        <v>4367</v>
      </c>
      <c r="D1212" s="138" t="s">
        <v>8</v>
      </c>
      <c r="E1212" s="138" t="s">
        <v>8186</v>
      </c>
      <c r="F1212" s="138" t="s">
        <v>8186</v>
      </c>
      <c r="H1212" s="138">
        <v>22</v>
      </c>
      <c r="I1212" s="138">
        <v>786</v>
      </c>
      <c r="J1212" s="138">
        <v>474</v>
      </c>
      <c r="K1212" s="138">
        <v>279</v>
      </c>
      <c r="N1212" s="138">
        <v>6</v>
      </c>
      <c r="O1212" s="138">
        <v>6</v>
      </c>
      <c r="R1212" s="138">
        <v>0</v>
      </c>
      <c r="S1212" s="138">
        <v>12</v>
      </c>
      <c r="T1212" s="138">
        <v>9</v>
      </c>
      <c r="U1212" s="138">
        <f t="shared" si="2048"/>
        <v>27</v>
      </c>
      <c r="W1212" s="139">
        <f t="shared" ref="W1212:AA1212" si="2430">J1212/$I1212</f>
        <v>0.60305343511450382</v>
      </c>
      <c r="X1212" s="139">
        <f t="shared" si="2430"/>
        <v>0.35496183206106868</v>
      </c>
      <c r="Y1212" s="139">
        <f t="shared" si="2430"/>
        <v>0</v>
      </c>
      <c r="Z1212" s="139">
        <f t="shared" si="2430"/>
        <v>0</v>
      </c>
      <c r="AA1212" s="139">
        <f t="shared" si="2430"/>
        <v>7.6335877862595417E-3</v>
      </c>
      <c r="AB1212" s="139"/>
      <c r="AC1212" s="139">
        <f t="shared" si="2050"/>
        <v>3.4351145038167941E-2</v>
      </c>
      <c r="AD1212" s="139">
        <f t="shared" ref="AD1212:AI1212" si="2431">O1212/$I1212</f>
        <v>7.6335877862595417E-3</v>
      </c>
      <c r="AE1212" s="139">
        <f t="shared" si="2431"/>
        <v>0</v>
      </c>
      <c r="AF1212" s="139">
        <f t="shared" si="2431"/>
        <v>0</v>
      </c>
      <c r="AG1212" s="139">
        <f t="shared" si="2431"/>
        <v>0</v>
      </c>
      <c r="AH1212" s="139">
        <f t="shared" si="2431"/>
        <v>1.5267175572519083E-2</v>
      </c>
      <c r="AI1212" s="139">
        <f t="shared" si="2431"/>
        <v>1.1450381679389313E-2</v>
      </c>
    </row>
    <row r="1213" spans="2:35">
      <c r="B1213" s="138" t="s">
        <v>8077</v>
      </c>
      <c r="C1213" s="138" t="s">
        <v>4367</v>
      </c>
      <c r="D1213" s="138" t="s">
        <v>8</v>
      </c>
      <c r="E1213" s="138" t="s">
        <v>8186</v>
      </c>
      <c r="F1213" s="138" t="s">
        <v>8186</v>
      </c>
      <c r="H1213" s="138">
        <v>23</v>
      </c>
      <c r="I1213" s="138">
        <v>728</v>
      </c>
      <c r="J1213" s="138">
        <v>427</v>
      </c>
      <c r="K1213" s="138">
        <v>250</v>
      </c>
      <c r="N1213" s="138">
        <v>3</v>
      </c>
      <c r="O1213" s="138">
        <v>3</v>
      </c>
      <c r="R1213" s="138">
        <v>6</v>
      </c>
      <c r="S1213" s="138">
        <v>25</v>
      </c>
      <c r="T1213" s="138">
        <v>14</v>
      </c>
      <c r="U1213" s="138">
        <f t="shared" si="2048"/>
        <v>48</v>
      </c>
      <c r="W1213" s="139">
        <f t="shared" ref="W1213:AA1213" si="2432">J1213/$I1213</f>
        <v>0.58653846153846156</v>
      </c>
      <c r="X1213" s="139">
        <f t="shared" si="2432"/>
        <v>0.34340659340659341</v>
      </c>
      <c r="Y1213" s="139">
        <f t="shared" si="2432"/>
        <v>0</v>
      </c>
      <c r="Z1213" s="139">
        <f t="shared" si="2432"/>
        <v>0</v>
      </c>
      <c r="AA1213" s="139">
        <f t="shared" si="2432"/>
        <v>4.120879120879121E-3</v>
      </c>
      <c r="AB1213" s="139"/>
      <c r="AC1213" s="139">
        <f t="shared" si="2050"/>
        <v>6.5934065934065936E-2</v>
      </c>
      <c r="AD1213" s="139">
        <f t="shared" ref="AD1213:AI1213" si="2433">O1213/$I1213</f>
        <v>4.120879120879121E-3</v>
      </c>
      <c r="AE1213" s="139">
        <f t="shared" si="2433"/>
        <v>0</v>
      </c>
      <c r="AF1213" s="139">
        <f t="shared" si="2433"/>
        <v>0</v>
      </c>
      <c r="AG1213" s="139">
        <f t="shared" si="2433"/>
        <v>8.241758241758242E-3</v>
      </c>
      <c r="AH1213" s="139">
        <f t="shared" si="2433"/>
        <v>3.4340659340659344E-2</v>
      </c>
      <c r="AI1213" s="139">
        <f t="shared" si="2433"/>
        <v>1.9230769230769232E-2</v>
      </c>
    </row>
    <row r="1214" spans="2:35">
      <c r="B1214" s="138" t="s">
        <v>8077</v>
      </c>
      <c r="C1214" s="138" t="s">
        <v>4367</v>
      </c>
      <c r="D1214" s="138" t="s">
        <v>8</v>
      </c>
      <c r="E1214" s="138" t="s">
        <v>8186</v>
      </c>
      <c r="F1214" s="138" t="s">
        <v>8186</v>
      </c>
      <c r="H1214" s="138">
        <v>24</v>
      </c>
      <c r="I1214" s="138">
        <v>750</v>
      </c>
      <c r="J1214" s="138">
        <v>530</v>
      </c>
      <c r="K1214" s="138">
        <v>196</v>
      </c>
      <c r="N1214" s="138">
        <v>3</v>
      </c>
      <c r="O1214" s="138">
        <v>2</v>
      </c>
      <c r="R1214" s="138">
        <v>0</v>
      </c>
      <c r="S1214" s="138">
        <v>10</v>
      </c>
      <c r="T1214" s="138">
        <v>9</v>
      </c>
      <c r="U1214" s="138">
        <f t="shared" si="2048"/>
        <v>21</v>
      </c>
      <c r="W1214" s="139">
        <f t="shared" ref="W1214:AA1214" si="2434">J1214/$I1214</f>
        <v>0.70666666666666667</v>
      </c>
      <c r="X1214" s="139">
        <f t="shared" si="2434"/>
        <v>0.26133333333333331</v>
      </c>
      <c r="Y1214" s="139">
        <f t="shared" si="2434"/>
        <v>0</v>
      </c>
      <c r="Z1214" s="139">
        <f t="shared" si="2434"/>
        <v>0</v>
      </c>
      <c r="AA1214" s="139">
        <f t="shared" si="2434"/>
        <v>4.0000000000000001E-3</v>
      </c>
      <c r="AB1214" s="139"/>
      <c r="AC1214" s="139">
        <f t="shared" si="2050"/>
        <v>2.8000000000000001E-2</v>
      </c>
      <c r="AD1214" s="139">
        <f t="shared" ref="AD1214:AI1214" si="2435">O1214/$I1214</f>
        <v>2.6666666666666666E-3</v>
      </c>
      <c r="AE1214" s="139">
        <f t="shared" si="2435"/>
        <v>0</v>
      </c>
      <c r="AF1214" s="139">
        <f t="shared" si="2435"/>
        <v>0</v>
      </c>
      <c r="AG1214" s="139">
        <f t="shared" si="2435"/>
        <v>0</v>
      </c>
      <c r="AH1214" s="139">
        <f t="shared" si="2435"/>
        <v>1.3333333333333334E-2</v>
      </c>
      <c r="AI1214" s="139">
        <f t="shared" si="2435"/>
        <v>1.2E-2</v>
      </c>
    </row>
    <row r="1215" spans="2:35">
      <c r="B1215" s="138" t="s">
        <v>8077</v>
      </c>
      <c r="C1215" s="138" t="s">
        <v>4367</v>
      </c>
      <c r="D1215" s="138" t="s">
        <v>8</v>
      </c>
      <c r="E1215" s="138" t="s">
        <v>8186</v>
      </c>
      <c r="F1215" s="138" t="s">
        <v>8186</v>
      </c>
      <c r="H1215" s="138">
        <v>25</v>
      </c>
      <c r="I1215" s="138">
        <v>883</v>
      </c>
      <c r="J1215" s="138">
        <v>588</v>
      </c>
      <c r="K1215" s="138">
        <v>260</v>
      </c>
      <c r="N1215" s="138">
        <v>3</v>
      </c>
      <c r="O1215" s="138">
        <v>4</v>
      </c>
      <c r="R1215" s="138">
        <v>1</v>
      </c>
      <c r="S1215" s="138">
        <v>18</v>
      </c>
      <c r="T1215" s="138">
        <v>9</v>
      </c>
      <c r="U1215" s="138">
        <f t="shared" si="2048"/>
        <v>32</v>
      </c>
      <c r="W1215" s="139">
        <f t="shared" ref="W1215:AA1215" si="2436">J1215/$I1215</f>
        <v>0.66591166477916197</v>
      </c>
      <c r="X1215" s="139">
        <f t="shared" si="2436"/>
        <v>0.29445073612684031</v>
      </c>
      <c r="Y1215" s="139">
        <f t="shared" si="2436"/>
        <v>0</v>
      </c>
      <c r="Z1215" s="139">
        <f t="shared" si="2436"/>
        <v>0</v>
      </c>
      <c r="AA1215" s="139">
        <f t="shared" si="2436"/>
        <v>3.3975084937712344E-3</v>
      </c>
      <c r="AB1215" s="139"/>
      <c r="AC1215" s="139">
        <f t="shared" si="2050"/>
        <v>3.6240090600226503E-2</v>
      </c>
      <c r="AD1215" s="139">
        <f t="shared" ref="AD1215:AI1215" si="2437">O1215/$I1215</f>
        <v>4.5300113250283129E-3</v>
      </c>
      <c r="AE1215" s="139">
        <f t="shared" si="2437"/>
        <v>0</v>
      </c>
      <c r="AF1215" s="139">
        <f t="shared" si="2437"/>
        <v>0</v>
      </c>
      <c r="AG1215" s="139">
        <f t="shared" si="2437"/>
        <v>1.1325028312570782E-3</v>
      </c>
      <c r="AH1215" s="139">
        <f t="shared" si="2437"/>
        <v>2.0385050962627407E-2</v>
      </c>
      <c r="AI1215" s="139">
        <f t="shared" si="2437"/>
        <v>1.0192525481313703E-2</v>
      </c>
    </row>
    <row r="1216" spans="2:35">
      <c r="B1216" s="138" t="s">
        <v>8077</v>
      </c>
      <c r="C1216" s="138" t="s">
        <v>4367</v>
      </c>
      <c r="D1216" s="138" t="s">
        <v>8</v>
      </c>
      <c r="E1216" s="138" t="s">
        <v>8186</v>
      </c>
      <c r="F1216" s="138" t="s">
        <v>8186</v>
      </c>
      <c r="H1216" s="138">
        <v>26</v>
      </c>
      <c r="I1216" s="138">
        <v>780</v>
      </c>
      <c r="J1216" s="138">
        <v>523</v>
      </c>
      <c r="K1216" s="138">
        <v>202</v>
      </c>
      <c r="N1216" s="138">
        <v>19</v>
      </c>
      <c r="O1216" s="138">
        <v>2</v>
      </c>
      <c r="R1216" s="138">
        <v>0</v>
      </c>
      <c r="S1216" s="138">
        <v>19</v>
      </c>
      <c r="T1216" s="138">
        <v>15</v>
      </c>
      <c r="U1216" s="138">
        <f t="shared" si="2048"/>
        <v>36</v>
      </c>
      <c r="W1216" s="139">
        <f t="shared" ref="W1216:AA1216" si="2438">J1216/$I1216</f>
        <v>0.67051282051282046</v>
      </c>
      <c r="X1216" s="139">
        <f t="shared" si="2438"/>
        <v>0.258974358974359</v>
      </c>
      <c r="Y1216" s="139">
        <f t="shared" si="2438"/>
        <v>0</v>
      </c>
      <c r="Z1216" s="139">
        <f t="shared" si="2438"/>
        <v>0</v>
      </c>
      <c r="AA1216" s="139">
        <f t="shared" si="2438"/>
        <v>2.4358974358974359E-2</v>
      </c>
      <c r="AB1216" s="139"/>
      <c r="AC1216" s="139">
        <f t="shared" si="2050"/>
        <v>4.6153846153846156E-2</v>
      </c>
      <c r="AD1216" s="139">
        <f t="shared" ref="AD1216:AI1216" si="2439">O1216/$I1216</f>
        <v>2.5641025641025641E-3</v>
      </c>
      <c r="AE1216" s="139">
        <f t="shared" si="2439"/>
        <v>0</v>
      </c>
      <c r="AF1216" s="139">
        <f t="shared" si="2439"/>
        <v>0</v>
      </c>
      <c r="AG1216" s="139">
        <f t="shared" si="2439"/>
        <v>0</v>
      </c>
      <c r="AH1216" s="139">
        <f t="shared" si="2439"/>
        <v>2.4358974358974359E-2</v>
      </c>
      <c r="AI1216" s="139">
        <f t="shared" si="2439"/>
        <v>1.9230769230769232E-2</v>
      </c>
    </row>
    <row r="1217" spans="2:35">
      <c r="B1217" s="138" t="s">
        <v>8077</v>
      </c>
      <c r="C1217" s="138" t="s">
        <v>4367</v>
      </c>
      <c r="D1217" s="138" t="s">
        <v>8</v>
      </c>
      <c r="E1217" s="138" t="s">
        <v>658</v>
      </c>
      <c r="F1217" s="138" t="s">
        <v>660</v>
      </c>
      <c r="H1217" s="138">
        <v>27</v>
      </c>
      <c r="I1217" s="138">
        <v>690</v>
      </c>
      <c r="J1217" s="138">
        <v>418</v>
      </c>
      <c r="K1217" s="138">
        <v>243</v>
      </c>
      <c r="N1217" s="138">
        <v>4</v>
      </c>
      <c r="O1217" s="138">
        <v>2</v>
      </c>
      <c r="R1217" s="138">
        <v>0</v>
      </c>
      <c r="S1217" s="138">
        <v>18</v>
      </c>
      <c r="T1217" s="138">
        <v>5</v>
      </c>
      <c r="U1217" s="138">
        <f t="shared" si="2048"/>
        <v>25</v>
      </c>
      <c r="W1217" s="139">
        <f t="shared" ref="W1217:AA1217" si="2440">J1217/$I1217</f>
        <v>0.60579710144927534</v>
      </c>
      <c r="X1217" s="139">
        <f t="shared" si="2440"/>
        <v>0.35217391304347828</v>
      </c>
      <c r="Y1217" s="139">
        <f t="shared" si="2440"/>
        <v>0</v>
      </c>
      <c r="Z1217" s="139">
        <f t="shared" si="2440"/>
        <v>0</v>
      </c>
      <c r="AA1217" s="139">
        <f t="shared" si="2440"/>
        <v>5.7971014492753624E-3</v>
      </c>
      <c r="AB1217" s="139"/>
      <c r="AC1217" s="139">
        <f t="shared" si="2050"/>
        <v>3.6231884057971016E-2</v>
      </c>
      <c r="AD1217" s="139">
        <f t="shared" ref="AD1217:AI1217" si="2441">O1217/$I1217</f>
        <v>2.8985507246376812E-3</v>
      </c>
      <c r="AE1217" s="139">
        <f t="shared" si="2441"/>
        <v>0</v>
      </c>
      <c r="AF1217" s="139">
        <f t="shared" si="2441"/>
        <v>0</v>
      </c>
      <c r="AG1217" s="139">
        <f t="shared" si="2441"/>
        <v>0</v>
      </c>
      <c r="AH1217" s="139">
        <f t="shared" si="2441"/>
        <v>2.6086956521739129E-2</v>
      </c>
      <c r="AI1217" s="139">
        <f t="shared" si="2441"/>
        <v>7.246376811594203E-3</v>
      </c>
    </row>
    <row r="1218" spans="2:35">
      <c r="B1218" s="138" t="s">
        <v>8077</v>
      </c>
      <c r="C1218" s="138" t="s">
        <v>4367</v>
      </c>
      <c r="D1218" s="138" t="s">
        <v>8</v>
      </c>
      <c r="E1218" s="138" t="s">
        <v>8186</v>
      </c>
      <c r="F1218" s="138" t="s">
        <v>8186</v>
      </c>
      <c r="H1218" s="138">
        <v>28</v>
      </c>
      <c r="I1218" s="138">
        <v>1016</v>
      </c>
      <c r="J1218" s="138">
        <v>720</v>
      </c>
      <c r="K1218" s="138">
        <v>263</v>
      </c>
      <c r="N1218" s="138">
        <v>9</v>
      </c>
      <c r="O1218" s="138">
        <v>5</v>
      </c>
      <c r="R1218" s="138">
        <v>1</v>
      </c>
      <c r="S1218" s="138">
        <v>14</v>
      </c>
      <c r="T1218" s="138">
        <v>4</v>
      </c>
      <c r="U1218" s="138">
        <f t="shared" si="2048"/>
        <v>24</v>
      </c>
      <c r="W1218" s="139">
        <f t="shared" ref="W1218:AA1218" si="2442">J1218/$I1218</f>
        <v>0.70866141732283461</v>
      </c>
      <c r="X1218" s="139">
        <f t="shared" si="2442"/>
        <v>0.25885826771653542</v>
      </c>
      <c r="Y1218" s="139">
        <f t="shared" si="2442"/>
        <v>0</v>
      </c>
      <c r="Z1218" s="139">
        <f t="shared" si="2442"/>
        <v>0</v>
      </c>
      <c r="AA1218" s="139">
        <f t="shared" si="2442"/>
        <v>8.8582677165354329E-3</v>
      </c>
      <c r="AB1218" s="139"/>
      <c r="AC1218" s="139">
        <f t="shared" si="2050"/>
        <v>2.3622047244094488E-2</v>
      </c>
      <c r="AD1218" s="139">
        <f t="shared" ref="AD1218:AI1218" si="2443">O1218/$I1218</f>
        <v>4.921259842519685E-3</v>
      </c>
      <c r="AE1218" s="139">
        <f t="shared" si="2443"/>
        <v>0</v>
      </c>
      <c r="AF1218" s="139">
        <f t="shared" si="2443"/>
        <v>0</v>
      </c>
      <c r="AG1218" s="139">
        <f t="shared" si="2443"/>
        <v>9.8425196850393699E-4</v>
      </c>
      <c r="AH1218" s="139">
        <f t="shared" si="2443"/>
        <v>1.3779527559055118E-2</v>
      </c>
      <c r="AI1218" s="139">
        <f t="shared" si="2443"/>
        <v>3.937007874015748E-3</v>
      </c>
    </row>
    <row r="1219" spans="2:35">
      <c r="B1219" s="138" t="s">
        <v>8077</v>
      </c>
      <c r="C1219" s="138" t="s">
        <v>4367</v>
      </c>
      <c r="D1219" s="138" t="s">
        <v>8</v>
      </c>
      <c r="E1219" s="138" t="s">
        <v>8186</v>
      </c>
      <c r="F1219" s="138" t="s">
        <v>8186</v>
      </c>
      <c r="H1219" s="138">
        <v>29</v>
      </c>
      <c r="I1219" s="138">
        <v>970</v>
      </c>
      <c r="J1219" s="138">
        <v>572</v>
      </c>
      <c r="K1219" s="138">
        <v>377</v>
      </c>
      <c r="N1219" s="138">
        <v>10</v>
      </c>
      <c r="O1219" s="138">
        <v>2</v>
      </c>
      <c r="R1219" s="138">
        <v>0</v>
      </c>
      <c r="S1219" s="138">
        <v>4</v>
      </c>
      <c r="T1219" s="138">
        <v>5</v>
      </c>
      <c r="U1219" s="138">
        <f t="shared" si="2048"/>
        <v>11</v>
      </c>
      <c r="W1219" s="139">
        <f t="shared" ref="W1219:AA1219" si="2444">J1219/$I1219</f>
        <v>0.58969072164948455</v>
      </c>
      <c r="X1219" s="139">
        <f t="shared" si="2444"/>
        <v>0.388659793814433</v>
      </c>
      <c r="Y1219" s="139">
        <f t="shared" si="2444"/>
        <v>0</v>
      </c>
      <c r="Z1219" s="139">
        <f t="shared" si="2444"/>
        <v>0</v>
      </c>
      <c r="AA1219" s="139">
        <f t="shared" si="2444"/>
        <v>1.0309278350515464E-2</v>
      </c>
      <c r="AB1219" s="139"/>
      <c r="AC1219" s="139">
        <f t="shared" si="2050"/>
        <v>1.134020618556701E-2</v>
      </c>
      <c r="AD1219" s="139">
        <f t="shared" ref="AD1219:AI1219" si="2445">O1219/$I1219</f>
        <v>2.0618556701030928E-3</v>
      </c>
      <c r="AE1219" s="139">
        <f t="shared" si="2445"/>
        <v>0</v>
      </c>
      <c r="AF1219" s="139">
        <f t="shared" si="2445"/>
        <v>0</v>
      </c>
      <c r="AG1219" s="139">
        <f t="shared" si="2445"/>
        <v>0</v>
      </c>
      <c r="AH1219" s="139">
        <f t="shared" si="2445"/>
        <v>4.1237113402061857E-3</v>
      </c>
      <c r="AI1219" s="139">
        <f t="shared" si="2445"/>
        <v>5.1546391752577319E-3</v>
      </c>
    </row>
    <row r="1220" spans="2:35">
      <c r="B1220" s="138" t="s">
        <v>8077</v>
      </c>
      <c r="C1220" s="138" t="s">
        <v>4367</v>
      </c>
      <c r="D1220" s="138" t="s">
        <v>8</v>
      </c>
      <c r="E1220" s="138" t="s">
        <v>8186</v>
      </c>
      <c r="F1220" s="138" t="s">
        <v>8186</v>
      </c>
      <c r="H1220" s="138">
        <v>30</v>
      </c>
      <c r="I1220" s="138">
        <v>938</v>
      </c>
      <c r="J1220" s="138">
        <v>525</v>
      </c>
      <c r="K1220" s="138">
        <v>375</v>
      </c>
      <c r="N1220" s="138">
        <v>6</v>
      </c>
      <c r="O1220" s="138">
        <v>3</v>
      </c>
      <c r="R1220" s="138">
        <v>0</v>
      </c>
      <c r="S1220" s="138">
        <v>17</v>
      </c>
      <c r="T1220" s="138">
        <v>12</v>
      </c>
      <c r="U1220" s="138">
        <f t="shared" si="2048"/>
        <v>32</v>
      </c>
      <c r="W1220" s="139">
        <f t="shared" ref="W1220:AA1220" si="2446">J1220/$I1220</f>
        <v>0.55970149253731338</v>
      </c>
      <c r="X1220" s="139">
        <f t="shared" si="2446"/>
        <v>0.39978678038379528</v>
      </c>
      <c r="Y1220" s="139">
        <f t="shared" si="2446"/>
        <v>0</v>
      </c>
      <c r="Z1220" s="139">
        <f t="shared" si="2446"/>
        <v>0</v>
      </c>
      <c r="AA1220" s="139">
        <f t="shared" si="2446"/>
        <v>6.3965884861407248E-3</v>
      </c>
      <c r="AB1220" s="139"/>
      <c r="AC1220" s="139">
        <f t="shared" si="2050"/>
        <v>3.4115138592750532E-2</v>
      </c>
      <c r="AD1220" s="139">
        <f t="shared" ref="AD1220:AI1220" si="2447">O1220/$I1220</f>
        <v>3.1982942430703624E-3</v>
      </c>
      <c r="AE1220" s="139">
        <f t="shared" si="2447"/>
        <v>0</v>
      </c>
      <c r="AF1220" s="139">
        <f t="shared" si="2447"/>
        <v>0</v>
      </c>
      <c r="AG1220" s="139">
        <f t="shared" si="2447"/>
        <v>0</v>
      </c>
      <c r="AH1220" s="139">
        <f t="shared" si="2447"/>
        <v>1.8123667377398719E-2</v>
      </c>
      <c r="AI1220" s="139">
        <f t="shared" si="2447"/>
        <v>1.279317697228145E-2</v>
      </c>
    </row>
    <row r="1221" spans="2:35">
      <c r="B1221" s="138" t="s">
        <v>8077</v>
      </c>
      <c r="C1221" s="138" t="s">
        <v>4367</v>
      </c>
      <c r="D1221" s="138" t="s">
        <v>8</v>
      </c>
      <c r="E1221" s="138" t="s">
        <v>8186</v>
      </c>
      <c r="F1221" s="138" t="s">
        <v>8186</v>
      </c>
      <c r="H1221" s="138">
        <v>31</v>
      </c>
      <c r="I1221" s="138">
        <v>956</v>
      </c>
      <c r="J1221" s="138">
        <v>556</v>
      </c>
      <c r="K1221" s="138">
        <v>329</v>
      </c>
      <c r="N1221" s="138">
        <v>20</v>
      </c>
      <c r="O1221" s="138">
        <v>4</v>
      </c>
      <c r="R1221" s="138">
        <v>1</v>
      </c>
      <c r="S1221" s="138">
        <v>33</v>
      </c>
      <c r="T1221" s="138">
        <v>13</v>
      </c>
      <c r="U1221" s="138">
        <f t="shared" si="2048"/>
        <v>51</v>
      </c>
      <c r="W1221" s="139">
        <f t="shared" ref="W1221:AA1221" si="2448">J1221/$I1221</f>
        <v>0.58158995815899583</v>
      </c>
      <c r="X1221" s="139">
        <f t="shared" si="2448"/>
        <v>0.34414225941422594</v>
      </c>
      <c r="Y1221" s="139">
        <f t="shared" si="2448"/>
        <v>0</v>
      </c>
      <c r="Z1221" s="139">
        <f t="shared" si="2448"/>
        <v>0</v>
      </c>
      <c r="AA1221" s="139">
        <f t="shared" si="2448"/>
        <v>2.0920502092050208E-2</v>
      </c>
      <c r="AB1221" s="139"/>
      <c r="AC1221" s="139">
        <f t="shared" si="2050"/>
        <v>5.3347280334728034E-2</v>
      </c>
      <c r="AD1221" s="139">
        <f t="shared" ref="AD1221:AI1221" si="2449">O1221/$I1221</f>
        <v>4.1841004184100415E-3</v>
      </c>
      <c r="AE1221" s="139">
        <f t="shared" si="2449"/>
        <v>0</v>
      </c>
      <c r="AF1221" s="139">
        <f t="shared" si="2449"/>
        <v>0</v>
      </c>
      <c r="AG1221" s="139">
        <f t="shared" si="2449"/>
        <v>1.0460251046025104E-3</v>
      </c>
      <c r="AH1221" s="139">
        <f t="shared" si="2449"/>
        <v>3.4518828451882845E-2</v>
      </c>
      <c r="AI1221" s="139">
        <f t="shared" si="2449"/>
        <v>1.3598326359832637E-2</v>
      </c>
    </row>
    <row r="1222" spans="2:35">
      <c r="B1222" s="138" t="s">
        <v>8077</v>
      </c>
      <c r="C1222" s="138" t="s">
        <v>4367</v>
      </c>
      <c r="D1222" s="138" t="s">
        <v>8</v>
      </c>
      <c r="E1222" s="138" t="s">
        <v>8186</v>
      </c>
      <c r="F1222" s="138" t="s">
        <v>8186</v>
      </c>
      <c r="H1222" s="138">
        <v>32</v>
      </c>
      <c r="I1222" s="138">
        <v>1035</v>
      </c>
      <c r="J1222" s="138">
        <v>606</v>
      </c>
      <c r="K1222" s="138">
        <v>359</v>
      </c>
      <c r="N1222" s="138">
        <v>10</v>
      </c>
      <c r="O1222" s="138">
        <v>18</v>
      </c>
      <c r="R1222" s="138">
        <v>5</v>
      </c>
      <c r="S1222" s="138">
        <v>20</v>
      </c>
      <c r="T1222" s="138">
        <v>17</v>
      </c>
      <c r="U1222" s="138">
        <f t="shared" si="2048"/>
        <v>60</v>
      </c>
      <c r="W1222" s="139">
        <f t="shared" ref="W1222:AA1222" si="2450">J1222/$I1222</f>
        <v>0.58550724637681162</v>
      </c>
      <c r="X1222" s="139">
        <f t="shared" si="2450"/>
        <v>0.34685990338164252</v>
      </c>
      <c r="Y1222" s="139">
        <f t="shared" si="2450"/>
        <v>0</v>
      </c>
      <c r="Z1222" s="139">
        <f t="shared" si="2450"/>
        <v>0</v>
      </c>
      <c r="AA1222" s="139">
        <f t="shared" si="2450"/>
        <v>9.6618357487922701E-3</v>
      </c>
      <c r="AB1222" s="139"/>
      <c r="AC1222" s="139">
        <f t="shared" si="2050"/>
        <v>5.7971014492753624E-2</v>
      </c>
      <c r="AD1222" s="139">
        <f t="shared" ref="AD1222:AI1222" si="2451">O1222/$I1222</f>
        <v>1.7391304347826087E-2</v>
      </c>
      <c r="AE1222" s="139">
        <f t="shared" si="2451"/>
        <v>0</v>
      </c>
      <c r="AF1222" s="139">
        <f t="shared" si="2451"/>
        <v>0</v>
      </c>
      <c r="AG1222" s="139">
        <f t="shared" si="2451"/>
        <v>4.830917874396135E-3</v>
      </c>
      <c r="AH1222" s="139">
        <f t="shared" si="2451"/>
        <v>1.932367149758454E-2</v>
      </c>
      <c r="AI1222" s="139">
        <f t="shared" si="2451"/>
        <v>1.6425120772946861E-2</v>
      </c>
    </row>
    <row r="1223" spans="2:35">
      <c r="B1223" s="138" t="s">
        <v>8077</v>
      </c>
      <c r="C1223" s="138" t="s">
        <v>4367</v>
      </c>
      <c r="D1223" s="138" t="s">
        <v>8</v>
      </c>
      <c r="E1223" s="138" t="s">
        <v>8186</v>
      </c>
      <c r="F1223" s="138" t="s">
        <v>8186</v>
      </c>
      <c r="H1223" s="138">
        <v>33</v>
      </c>
      <c r="I1223" s="138">
        <v>820</v>
      </c>
      <c r="J1223" s="138">
        <v>511</v>
      </c>
      <c r="K1223" s="138">
        <v>281</v>
      </c>
      <c r="N1223" s="138">
        <v>6</v>
      </c>
      <c r="O1223" s="138">
        <v>3</v>
      </c>
      <c r="R1223" s="138">
        <v>1</v>
      </c>
      <c r="S1223" s="138">
        <v>15</v>
      </c>
      <c r="T1223" s="138">
        <v>3</v>
      </c>
      <c r="U1223" s="138">
        <f t="shared" si="2048"/>
        <v>22</v>
      </c>
      <c r="W1223" s="139">
        <f t="shared" ref="W1223:AA1223" si="2452">J1223/$I1223</f>
        <v>0.62317073170731707</v>
      </c>
      <c r="X1223" s="139">
        <f t="shared" si="2452"/>
        <v>0.34268292682926832</v>
      </c>
      <c r="Y1223" s="139">
        <f t="shared" si="2452"/>
        <v>0</v>
      </c>
      <c r="Z1223" s="139">
        <f t="shared" si="2452"/>
        <v>0</v>
      </c>
      <c r="AA1223" s="139">
        <f t="shared" si="2452"/>
        <v>7.3170731707317077E-3</v>
      </c>
      <c r="AB1223" s="139"/>
      <c r="AC1223" s="139">
        <f t="shared" si="2050"/>
        <v>2.6829268292682926E-2</v>
      </c>
      <c r="AD1223" s="139">
        <f t="shared" ref="AD1223:AI1223" si="2453">O1223/$I1223</f>
        <v>3.6585365853658539E-3</v>
      </c>
      <c r="AE1223" s="139">
        <f t="shared" si="2453"/>
        <v>0</v>
      </c>
      <c r="AF1223" s="139">
        <f t="shared" si="2453"/>
        <v>0</v>
      </c>
      <c r="AG1223" s="139">
        <f t="shared" si="2453"/>
        <v>1.2195121951219512E-3</v>
      </c>
      <c r="AH1223" s="139">
        <f t="shared" si="2453"/>
        <v>1.8292682926829267E-2</v>
      </c>
      <c r="AI1223" s="139">
        <f t="shared" si="2453"/>
        <v>3.6585365853658539E-3</v>
      </c>
    </row>
    <row r="1224" spans="2:35">
      <c r="B1224" s="138" t="s">
        <v>8077</v>
      </c>
      <c r="C1224" s="138" t="s">
        <v>4367</v>
      </c>
      <c r="D1224" s="138" t="s">
        <v>8</v>
      </c>
      <c r="E1224" s="138" t="s">
        <v>658</v>
      </c>
      <c r="F1224" s="138" t="s">
        <v>663</v>
      </c>
      <c r="H1224" s="138">
        <v>34</v>
      </c>
      <c r="I1224" s="138">
        <v>1109</v>
      </c>
      <c r="J1224" s="138">
        <v>674</v>
      </c>
      <c r="K1224" s="138">
        <v>352</v>
      </c>
      <c r="N1224" s="138">
        <v>13</v>
      </c>
      <c r="O1224" s="138">
        <v>2</v>
      </c>
      <c r="R1224" s="138">
        <v>2</v>
      </c>
      <c r="S1224" s="138">
        <v>54</v>
      </c>
      <c r="T1224" s="138">
        <v>12</v>
      </c>
      <c r="U1224" s="138">
        <f t="shared" si="2048"/>
        <v>70</v>
      </c>
      <c r="W1224" s="139">
        <f t="shared" ref="W1224:AA1224" si="2454">J1224/$I1224</f>
        <v>0.60775473399458968</v>
      </c>
      <c r="X1224" s="139">
        <f t="shared" si="2454"/>
        <v>0.31740306582506761</v>
      </c>
      <c r="Y1224" s="139">
        <f t="shared" si="2454"/>
        <v>0</v>
      </c>
      <c r="Z1224" s="139">
        <f t="shared" si="2454"/>
        <v>0</v>
      </c>
      <c r="AA1224" s="139">
        <f t="shared" si="2454"/>
        <v>1.1722272317403066E-2</v>
      </c>
      <c r="AB1224" s="139"/>
      <c r="AC1224" s="139">
        <f t="shared" si="2050"/>
        <v>6.3119927862939587E-2</v>
      </c>
      <c r="AD1224" s="139">
        <f t="shared" ref="AD1224:AI1224" si="2455">O1224/$I1224</f>
        <v>1.8034265103697023E-3</v>
      </c>
      <c r="AE1224" s="139">
        <f t="shared" si="2455"/>
        <v>0</v>
      </c>
      <c r="AF1224" s="139">
        <f t="shared" si="2455"/>
        <v>0</v>
      </c>
      <c r="AG1224" s="139">
        <f t="shared" si="2455"/>
        <v>1.8034265103697023E-3</v>
      </c>
      <c r="AH1224" s="139">
        <f t="shared" si="2455"/>
        <v>4.8692515779981967E-2</v>
      </c>
      <c r="AI1224" s="139">
        <f t="shared" si="2455"/>
        <v>1.0820559062218215E-2</v>
      </c>
    </row>
    <row r="1225" spans="2:35">
      <c r="B1225" s="138" t="s">
        <v>8077</v>
      </c>
      <c r="C1225" s="138" t="s">
        <v>4367</v>
      </c>
      <c r="D1225" s="138" t="s">
        <v>8</v>
      </c>
      <c r="E1225" s="138" t="s">
        <v>658</v>
      </c>
      <c r="F1225" s="138" t="s">
        <v>663</v>
      </c>
      <c r="H1225" s="138">
        <v>35</v>
      </c>
      <c r="I1225" s="138">
        <v>744</v>
      </c>
      <c r="J1225" s="138">
        <v>462</v>
      </c>
      <c r="K1225" s="138">
        <v>244</v>
      </c>
      <c r="N1225" s="138">
        <v>5</v>
      </c>
      <c r="O1225" s="138">
        <v>2</v>
      </c>
      <c r="R1225" s="138">
        <v>2</v>
      </c>
      <c r="S1225" s="138">
        <v>23</v>
      </c>
      <c r="T1225" s="138">
        <v>6</v>
      </c>
      <c r="U1225" s="138">
        <f t="shared" si="2048"/>
        <v>33</v>
      </c>
      <c r="W1225" s="139">
        <f t="shared" ref="W1225:AA1225" si="2456">J1225/$I1225</f>
        <v>0.62096774193548387</v>
      </c>
      <c r="X1225" s="139">
        <f t="shared" si="2456"/>
        <v>0.32795698924731181</v>
      </c>
      <c r="Y1225" s="139">
        <f t="shared" si="2456"/>
        <v>0</v>
      </c>
      <c r="Z1225" s="139">
        <f t="shared" si="2456"/>
        <v>0</v>
      </c>
      <c r="AA1225" s="139">
        <f t="shared" si="2456"/>
        <v>6.7204301075268818E-3</v>
      </c>
      <c r="AB1225" s="139"/>
      <c r="AC1225" s="139">
        <f t="shared" si="2050"/>
        <v>4.4354838709677422E-2</v>
      </c>
      <c r="AD1225" s="139">
        <f t="shared" ref="AD1225:AI1225" si="2457">O1225/$I1225</f>
        <v>2.6881720430107529E-3</v>
      </c>
      <c r="AE1225" s="139">
        <f t="shared" si="2457"/>
        <v>0</v>
      </c>
      <c r="AF1225" s="139">
        <f t="shared" si="2457"/>
        <v>0</v>
      </c>
      <c r="AG1225" s="139">
        <f t="shared" si="2457"/>
        <v>2.6881720430107529E-3</v>
      </c>
      <c r="AH1225" s="139">
        <f t="shared" si="2457"/>
        <v>3.0913978494623656E-2</v>
      </c>
      <c r="AI1225" s="139">
        <f t="shared" si="2457"/>
        <v>8.0645161290322578E-3</v>
      </c>
    </row>
    <row r="1226" spans="2:35">
      <c r="B1226" s="138" t="s">
        <v>8077</v>
      </c>
      <c r="C1226" s="138" t="s">
        <v>4367</v>
      </c>
      <c r="D1226" s="138" t="s">
        <v>8</v>
      </c>
      <c r="E1226" s="138" t="s">
        <v>658</v>
      </c>
      <c r="F1226" s="138" t="s">
        <v>663</v>
      </c>
      <c r="H1226" s="138">
        <v>36</v>
      </c>
      <c r="I1226" s="138">
        <v>978</v>
      </c>
      <c r="J1226" s="138">
        <v>612</v>
      </c>
      <c r="K1226" s="138">
        <v>335</v>
      </c>
      <c r="N1226" s="138">
        <v>4</v>
      </c>
      <c r="O1226" s="138">
        <v>3</v>
      </c>
      <c r="R1226" s="138">
        <v>2</v>
      </c>
      <c r="S1226" s="138">
        <v>14</v>
      </c>
      <c r="T1226" s="138">
        <v>8</v>
      </c>
      <c r="U1226" s="138">
        <f t="shared" si="2048"/>
        <v>27</v>
      </c>
      <c r="W1226" s="139">
        <f t="shared" ref="W1226:AA1226" si="2458">J1226/$I1226</f>
        <v>0.62576687116564422</v>
      </c>
      <c r="X1226" s="139">
        <f t="shared" si="2458"/>
        <v>0.34253578732106338</v>
      </c>
      <c r="Y1226" s="139">
        <f t="shared" si="2458"/>
        <v>0</v>
      </c>
      <c r="Z1226" s="139">
        <f t="shared" si="2458"/>
        <v>0</v>
      </c>
      <c r="AA1226" s="139">
        <f t="shared" si="2458"/>
        <v>4.0899795501022499E-3</v>
      </c>
      <c r="AB1226" s="139"/>
      <c r="AC1226" s="139">
        <f t="shared" si="2050"/>
        <v>2.7607361963190184E-2</v>
      </c>
      <c r="AD1226" s="139">
        <f t="shared" ref="AD1226:AI1226" si="2459">O1226/$I1226</f>
        <v>3.0674846625766872E-3</v>
      </c>
      <c r="AE1226" s="139">
        <f t="shared" si="2459"/>
        <v>0</v>
      </c>
      <c r="AF1226" s="139">
        <f t="shared" si="2459"/>
        <v>0</v>
      </c>
      <c r="AG1226" s="139">
        <f t="shared" si="2459"/>
        <v>2.0449897750511249E-3</v>
      </c>
      <c r="AH1226" s="139">
        <f t="shared" si="2459"/>
        <v>1.4314928425357873E-2</v>
      </c>
      <c r="AI1226" s="139">
        <f t="shared" si="2459"/>
        <v>8.1799591002044997E-3</v>
      </c>
    </row>
    <row r="1227" spans="2:35">
      <c r="B1227" s="138" t="s">
        <v>8077</v>
      </c>
      <c r="C1227" s="138" t="s">
        <v>4367</v>
      </c>
      <c r="D1227" s="138" t="s">
        <v>8</v>
      </c>
      <c r="E1227" s="138" t="s">
        <v>658</v>
      </c>
      <c r="F1227" s="138" t="s">
        <v>663</v>
      </c>
      <c r="H1227" s="138">
        <v>37</v>
      </c>
      <c r="I1227" s="138">
        <v>701</v>
      </c>
      <c r="J1227" s="138">
        <v>414</v>
      </c>
      <c r="K1227" s="138">
        <v>255</v>
      </c>
      <c r="N1227" s="138">
        <v>4</v>
      </c>
      <c r="O1227" s="138">
        <v>1</v>
      </c>
      <c r="R1227" s="138">
        <v>3</v>
      </c>
      <c r="S1227" s="138">
        <v>13</v>
      </c>
      <c r="T1227" s="138">
        <v>11</v>
      </c>
      <c r="U1227" s="138">
        <f t="shared" si="2048"/>
        <v>28</v>
      </c>
      <c r="W1227" s="139">
        <f t="shared" ref="W1227:AA1227" si="2460">J1227/$I1227</f>
        <v>0.59058487874465049</v>
      </c>
      <c r="X1227" s="139">
        <f t="shared" si="2460"/>
        <v>0.36376604850213978</v>
      </c>
      <c r="Y1227" s="139">
        <f t="shared" si="2460"/>
        <v>0</v>
      </c>
      <c r="Z1227" s="139">
        <f t="shared" si="2460"/>
        <v>0</v>
      </c>
      <c r="AA1227" s="139">
        <f t="shared" si="2460"/>
        <v>5.7061340941512127E-3</v>
      </c>
      <c r="AB1227" s="139"/>
      <c r="AC1227" s="139">
        <f t="shared" si="2050"/>
        <v>3.9942938659058486E-2</v>
      </c>
      <c r="AD1227" s="139">
        <f t="shared" ref="AD1227:AI1227" si="2461">O1227/$I1227</f>
        <v>1.4265335235378032E-3</v>
      </c>
      <c r="AE1227" s="139">
        <f t="shared" si="2461"/>
        <v>0</v>
      </c>
      <c r="AF1227" s="139">
        <f t="shared" si="2461"/>
        <v>0</v>
      </c>
      <c r="AG1227" s="139">
        <f t="shared" si="2461"/>
        <v>4.2796005706134095E-3</v>
      </c>
      <c r="AH1227" s="139">
        <f t="shared" si="2461"/>
        <v>1.8544935805991442E-2</v>
      </c>
      <c r="AI1227" s="139">
        <f t="shared" si="2461"/>
        <v>1.5691868758915834E-2</v>
      </c>
    </row>
    <row r="1228" spans="2:35">
      <c r="B1228" s="138" t="s">
        <v>8077</v>
      </c>
      <c r="C1228" s="138" t="s">
        <v>4367</v>
      </c>
      <c r="D1228" s="138" t="s">
        <v>8</v>
      </c>
      <c r="E1228" s="138" t="s">
        <v>658</v>
      </c>
      <c r="F1228" s="138" t="s">
        <v>663</v>
      </c>
      <c r="H1228" s="138">
        <v>38</v>
      </c>
      <c r="I1228" s="138">
        <v>661</v>
      </c>
      <c r="J1228" s="138">
        <v>414</v>
      </c>
      <c r="K1228" s="138">
        <v>216</v>
      </c>
      <c r="N1228" s="138">
        <v>3</v>
      </c>
      <c r="O1228" s="138">
        <v>0</v>
      </c>
      <c r="R1228" s="138">
        <v>2</v>
      </c>
      <c r="S1228" s="138">
        <v>19</v>
      </c>
      <c r="T1228" s="138">
        <v>7</v>
      </c>
      <c r="U1228" s="138">
        <f t="shared" si="2048"/>
        <v>28</v>
      </c>
      <c r="W1228" s="139">
        <f t="shared" ref="W1228:AA1228" si="2462">J1228/$I1228</f>
        <v>0.62632375189107414</v>
      </c>
      <c r="X1228" s="139">
        <f t="shared" si="2462"/>
        <v>0.32677760968229952</v>
      </c>
      <c r="Y1228" s="139">
        <f t="shared" si="2462"/>
        <v>0</v>
      </c>
      <c r="Z1228" s="139">
        <f t="shared" si="2462"/>
        <v>0</v>
      </c>
      <c r="AA1228" s="139">
        <f t="shared" si="2462"/>
        <v>4.5385779122541605E-3</v>
      </c>
      <c r="AB1228" s="139"/>
      <c r="AC1228" s="139">
        <f t="shared" si="2050"/>
        <v>4.2360060514372161E-2</v>
      </c>
      <c r="AD1228" s="139">
        <f t="shared" ref="AD1228:AI1228" si="2463">O1228/$I1228</f>
        <v>0</v>
      </c>
      <c r="AE1228" s="139">
        <f t="shared" si="2463"/>
        <v>0</v>
      </c>
      <c r="AF1228" s="139">
        <f t="shared" si="2463"/>
        <v>0</v>
      </c>
      <c r="AG1228" s="139">
        <f t="shared" si="2463"/>
        <v>3.0257186081694403E-3</v>
      </c>
      <c r="AH1228" s="139">
        <f t="shared" si="2463"/>
        <v>2.8744326777609682E-2</v>
      </c>
      <c r="AI1228" s="139">
        <f t="shared" si="2463"/>
        <v>1.059001512859304E-2</v>
      </c>
    </row>
    <row r="1229" spans="2:35">
      <c r="B1229" s="138" t="s">
        <v>8077</v>
      </c>
      <c r="C1229" s="138" t="s">
        <v>4367</v>
      </c>
      <c r="D1229" s="138" t="s">
        <v>8</v>
      </c>
      <c r="E1229" s="138" t="s">
        <v>658</v>
      </c>
      <c r="F1229" s="138" t="s">
        <v>663</v>
      </c>
      <c r="H1229" s="138">
        <v>39</v>
      </c>
      <c r="I1229" s="138">
        <v>752</v>
      </c>
      <c r="J1229" s="138">
        <v>447</v>
      </c>
      <c r="K1229" s="138">
        <v>275</v>
      </c>
      <c r="N1229" s="138">
        <v>6</v>
      </c>
      <c r="O1229" s="138">
        <v>3</v>
      </c>
      <c r="R1229" s="138">
        <v>8</v>
      </c>
      <c r="S1229" s="138">
        <v>8</v>
      </c>
      <c r="T1229" s="138">
        <v>5</v>
      </c>
      <c r="U1229" s="138">
        <f t="shared" si="2048"/>
        <v>24</v>
      </c>
      <c r="W1229" s="139">
        <f t="shared" ref="W1229:AA1229" si="2464">J1229/$I1229</f>
        <v>0.59441489361702127</v>
      </c>
      <c r="X1229" s="139">
        <f t="shared" si="2464"/>
        <v>0.36569148936170215</v>
      </c>
      <c r="Y1229" s="139">
        <f t="shared" si="2464"/>
        <v>0</v>
      </c>
      <c r="Z1229" s="139">
        <f t="shared" si="2464"/>
        <v>0</v>
      </c>
      <c r="AA1229" s="139">
        <f t="shared" si="2464"/>
        <v>7.9787234042553185E-3</v>
      </c>
      <c r="AB1229" s="139"/>
      <c r="AC1229" s="139">
        <f t="shared" si="2050"/>
        <v>3.1914893617021274E-2</v>
      </c>
      <c r="AD1229" s="139">
        <f t="shared" ref="AD1229:AI1229" si="2465">O1229/$I1229</f>
        <v>3.9893617021276593E-3</v>
      </c>
      <c r="AE1229" s="139">
        <f t="shared" si="2465"/>
        <v>0</v>
      </c>
      <c r="AF1229" s="139">
        <f t="shared" si="2465"/>
        <v>0</v>
      </c>
      <c r="AG1229" s="139">
        <f t="shared" si="2465"/>
        <v>1.0638297872340425E-2</v>
      </c>
      <c r="AH1229" s="139">
        <f t="shared" si="2465"/>
        <v>1.0638297872340425E-2</v>
      </c>
      <c r="AI1229" s="139">
        <f t="shared" si="2465"/>
        <v>6.648936170212766E-3</v>
      </c>
    </row>
    <row r="1230" spans="2:35">
      <c r="B1230" s="138" t="s">
        <v>8077</v>
      </c>
      <c r="C1230" s="138" t="s">
        <v>4367</v>
      </c>
      <c r="D1230" s="138" t="s">
        <v>8</v>
      </c>
      <c r="E1230" s="138" t="s">
        <v>658</v>
      </c>
      <c r="F1230" s="138" t="s">
        <v>663</v>
      </c>
      <c r="H1230" s="138">
        <v>40</v>
      </c>
      <c r="I1230" s="138">
        <v>964</v>
      </c>
      <c r="J1230" s="138">
        <v>486</v>
      </c>
      <c r="K1230" s="138">
        <v>420</v>
      </c>
      <c r="N1230" s="138">
        <v>10</v>
      </c>
      <c r="O1230" s="138">
        <v>7</v>
      </c>
      <c r="R1230" s="138">
        <v>7</v>
      </c>
      <c r="S1230" s="138">
        <v>25</v>
      </c>
      <c r="T1230" s="138">
        <v>9</v>
      </c>
      <c r="U1230" s="138">
        <f t="shared" si="2048"/>
        <v>48</v>
      </c>
      <c r="W1230" s="139">
        <f t="shared" ref="W1230:AA1230" si="2466">J1230/$I1230</f>
        <v>0.50414937759336098</v>
      </c>
      <c r="X1230" s="139">
        <f t="shared" si="2466"/>
        <v>0.43568464730290457</v>
      </c>
      <c r="Y1230" s="139">
        <f t="shared" si="2466"/>
        <v>0</v>
      </c>
      <c r="Z1230" s="139">
        <f t="shared" si="2466"/>
        <v>0</v>
      </c>
      <c r="AA1230" s="139">
        <f t="shared" si="2466"/>
        <v>1.0373443983402489E-2</v>
      </c>
      <c r="AB1230" s="139"/>
      <c r="AC1230" s="139">
        <f t="shared" si="2050"/>
        <v>4.9792531120331947E-2</v>
      </c>
      <c r="AD1230" s="139">
        <f t="shared" ref="AD1230:AI1230" si="2467">O1230/$I1230</f>
        <v>7.261410788381743E-3</v>
      </c>
      <c r="AE1230" s="139">
        <f t="shared" si="2467"/>
        <v>0</v>
      </c>
      <c r="AF1230" s="139">
        <f t="shared" si="2467"/>
        <v>0</v>
      </c>
      <c r="AG1230" s="139">
        <f t="shared" si="2467"/>
        <v>7.261410788381743E-3</v>
      </c>
      <c r="AH1230" s="139">
        <f t="shared" si="2467"/>
        <v>2.5933609958506226E-2</v>
      </c>
      <c r="AI1230" s="139">
        <f t="shared" si="2467"/>
        <v>9.3360995850622405E-3</v>
      </c>
    </row>
    <row r="1231" spans="2:35">
      <c r="B1231" s="138" t="s">
        <v>8077</v>
      </c>
      <c r="C1231" s="138" t="s">
        <v>4367</v>
      </c>
      <c r="D1231" s="138" t="s">
        <v>8</v>
      </c>
      <c r="E1231" s="138" t="s">
        <v>658</v>
      </c>
      <c r="F1231" s="138" t="s">
        <v>663</v>
      </c>
      <c r="H1231" s="138">
        <v>41</v>
      </c>
      <c r="I1231" s="138">
        <v>954</v>
      </c>
      <c r="J1231" s="138">
        <v>448</v>
      </c>
      <c r="K1231" s="138">
        <v>436</v>
      </c>
      <c r="N1231" s="138">
        <v>19</v>
      </c>
      <c r="O1231" s="138">
        <v>5</v>
      </c>
      <c r="R1231" s="138">
        <v>7</v>
      </c>
      <c r="S1231" s="138">
        <v>19</v>
      </c>
      <c r="T1231" s="138">
        <v>20</v>
      </c>
      <c r="U1231" s="138">
        <f t="shared" si="2048"/>
        <v>51</v>
      </c>
      <c r="W1231" s="139">
        <f t="shared" ref="W1231:AA1231" si="2468">J1231/$I1231</f>
        <v>0.46960167714884699</v>
      </c>
      <c r="X1231" s="139">
        <f t="shared" si="2468"/>
        <v>0.45702306079664567</v>
      </c>
      <c r="Y1231" s="139">
        <f t="shared" si="2468"/>
        <v>0</v>
      </c>
      <c r="Z1231" s="139">
        <f t="shared" si="2468"/>
        <v>0</v>
      </c>
      <c r="AA1231" s="139">
        <f t="shared" si="2468"/>
        <v>1.9916142557651992E-2</v>
      </c>
      <c r="AB1231" s="139"/>
      <c r="AC1231" s="139">
        <f t="shared" si="2050"/>
        <v>5.3459119496855348E-2</v>
      </c>
      <c r="AD1231" s="139">
        <f t="shared" ref="AD1231:AI1231" si="2469">O1231/$I1231</f>
        <v>5.2410901467505244E-3</v>
      </c>
      <c r="AE1231" s="139">
        <f t="shared" si="2469"/>
        <v>0</v>
      </c>
      <c r="AF1231" s="139">
        <f t="shared" si="2469"/>
        <v>0</v>
      </c>
      <c r="AG1231" s="139">
        <f t="shared" si="2469"/>
        <v>7.3375262054507341E-3</v>
      </c>
      <c r="AH1231" s="139">
        <f t="shared" si="2469"/>
        <v>1.9916142557651992E-2</v>
      </c>
      <c r="AI1231" s="139">
        <f t="shared" si="2469"/>
        <v>2.0964360587002098E-2</v>
      </c>
    </row>
    <row r="1232" spans="2:35">
      <c r="B1232" s="138" t="s">
        <v>8077</v>
      </c>
      <c r="C1232" s="138" t="s">
        <v>4367</v>
      </c>
      <c r="D1232" s="138" t="s">
        <v>8</v>
      </c>
      <c r="E1232" s="138" t="s">
        <v>658</v>
      </c>
      <c r="F1232" s="138" t="s">
        <v>659</v>
      </c>
      <c r="H1232" s="138">
        <v>42</v>
      </c>
      <c r="I1232" s="138">
        <v>711</v>
      </c>
      <c r="J1232" s="138">
        <v>426</v>
      </c>
      <c r="K1232" s="138">
        <v>255</v>
      </c>
      <c r="N1232" s="138">
        <v>4</v>
      </c>
      <c r="O1232" s="138">
        <v>4</v>
      </c>
      <c r="R1232" s="138">
        <v>2</v>
      </c>
      <c r="S1232" s="138">
        <v>16</v>
      </c>
      <c r="T1232" s="138">
        <v>4</v>
      </c>
      <c r="U1232" s="138">
        <f t="shared" si="2048"/>
        <v>26</v>
      </c>
      <c r="W1232" s="139">
        <f t="shared" ref="W1232:AA1232" si="2470">J1232/$I1232</f>
        <v>0.59915611814345993</v>
      </c>
      <c r="X1232" s="139">
        <f t="shared" si="2470"/>
        <v>0.35864978902953587</v>
      </c>
      <c r="Y1232" s="139">
        <f t="shared" si="2470"/>
        <v>0</v>
      </c>
      <c r="Z1232" s="139">
        <f t="shared" si="2470"/>
        <v>0</v>
      </c>
      <c r="AA1232" s="139">
        <f t="shared" si="2470"/>
        <v>5.6258790436005627E-3</v>
      </c>
      <c r="AB1232" s="139"/>
      <c r="AC1232" s="139">
        <f t="shared" si="2050"/>
        <v>3.6568213783403657E-2</v>
      </c>
      <c r="AD1232" s="139">
        <f t="shared" ref="AD1232:AI1232" si="2471">O1232/$I1232</f>
        <v>5.6258790436005627E-3</v>
      </c>
      <c r="AE1232" s="139">
        <f t="shared" si="2471"/>
        <v>0</v>
      </c>
      <c r="AF1232" s="139">
        <f t="shared" si="2471"/>
        <v>0</v>
      </c>
      <c r="AG1232" s="139">
        <f t="shared" si="2471"/>
        <v>2.8129395218002813E-3</v>
      </c>
      <c r="AH1232" s="139">
        <f t="shared" si="2471"/>
        <v>2.2503516174402251E-2</v>
      </c>
      <c r="AI1232" s="139">
        <f t="shared" si="2471"/>
        <v>5.6258790436005627E-3</v>
      </c>
    </row>
    <row r="1233" spans="2:35">
      <c r="B1233" s="138" t="s">
        <v>8077</v>
      </c>
      <c r="C1233" s="138" t="s">
        <v>4367</v>
      </c>
      <c r="D1233" s="138" t="s">
        <v>8</v>
      </c>
      <c r="E1233" s="138" t="s">
        <v>658</v>
      </c>
      <c r="F1233" s="138" t="s">
        <v>659</v>
      </c>
      <c r="H1233" s="138">
        <v>43</v>
      </c>
      <c r="I1233" s="138">
        <v>1032</v>
      </c>
      <c r="J1233" s="138">
        <v>593</v>
      </c>
      <c r="K1233" s="138">
        <v>397</v>
      </c>
      <c r="N1233" s="138">
        <v>8</v>
      </c>
      <c r="O1233" s="138">
        <v>4</v>
      </c>
      <c r="R1233" s="138">
        <v>2</v>
      </c>
      <c r="S1233" s="138">
        <v>23</v>
      </c>
      <c r="T1233" s="138">
        <v>5</v>
      </c>
      <c r="U1233" s="138">
        <f t="shared" si="2048"/>
        <v>34</v>
      </c>
      <c r="W1233" s="139">
        <f t="shared" ref="W1233:AA1233" si="2472">J1233/$I1233</f>
        <v>0.57461240310077522</v>
      </c>
      <c r="X1233" s="139">
        <f t="shared" si="2472"/>
        <v>0.38468992248062017</v>
      </c>
      <c r="Y1233" s="139">
        <f t="shared" si="2472"/>
        <v>0</v>
      </c>
      <c r="Z1233" s="139">
        <f t="shared" si="2472"/>
        <v>0</v>
      </c>
      <c r="AA1233" s="139">
        <f t="shared" si="2472"/>
        <v>7.7519379844961239E-3</v>
      </c>
      <c r="AB1233" s="139"/>
      <c r="AC1233" s="139">
        <f t="shared" si="2050"/>
        <v>3.294573643410853E-2</v>
      </c>
      <c r="AD1233" s="139">
        <f t="shared" ref="AD1233:AI1233" si="2473">O1233/$I1233</f>
        <v>3.875968992248062E-3</v>
      </c>
      <c r="AE1233" s="139">
        <f t="shared" si="2473"/>
        <v>0</v>
      </c>
      <c r="AF1233" s="139">
        <f t="shared" si="2473"/>
        <v>0</v>
      </c>
      <c r="AG1233" s="139">
        <f t="shared" si="2473"/>
        <v>1.937984496124031E-3</v>
      </c>
      <c r="AH1233" s="139">
        <f t="shared" si="2473"/>
        <v>2.2286821705426358E-2</v>
      </c>
      <c r="AI1233" s="139">
        <f t="shared" si="2473"/>
        <v>4.8449612403100775E-3</v>
      </c>
    </row>
    <row r="1234" spans="2:35">
      <c r="B1234" s="138" t="s">
        <v>8077</v>
      </c>
      <c r="C1234" s="138" t="s">
        <v>4367</v>
      </c>
      <c r="D1234" s="138" t="s">
        <v>8</v>
      </c>
      <c r="E1234" s="138" t="s">
        <v>658</v>
      </c>
      <c r="F1234" s="138" t="s">
        <v>666</v>
      </c>
      <c r="H1234" s="138">
        <v>44</v>
      </c>
      <c r="I1234" s="138">
        <v>684</v>
      </c>
      <c r="J1234" s="138">
        <v>572</v>
      </c>
      <c r="K1234" s="138">
        <v>87</v>
      </c>
      <c r="N1234" s="138">
        <v>2</v>
      </c>
      <c r="O1234" s="138">
        <v>0</v>
      </c>
      <c r="R1234" s="138">
        <v>1</v>
      </c>
      <c r="S1234" s="138">
        <v>17</v>
      </c>
      <c r="T1234" s="138">
        <v>5</v>
      </c>
      <c r="U1234" s="138">
        <f t="shared" si="2048"/>
        <v>23</v>
      </c>
      <c r="W1234" s="139">
        <f t="shared" ref="W1234:AA1234" si="2474">J1234/$I1234</f>
        <v>0.83625730994152048</v>
      </c>
      <c r="X1234" s="139">
        <f t="shared" si="2474"/>
        <v>0.12719298245614036</v>
      </c>
      <c r="Y1234" s="139">
        <f t="shared" si="2474"/>
        <v>0</v>
      </c>
      <c r="Z1234" s="139">
        <f t="shared" si="2474"/>
        <v>0</v>
      </c>
      <c r="AA1234" s="139">
        <f t="shared" si="2474"/>
        <v>2.9239766081871343E-3</v>
      </c>
      <c r="AB1234" s="139"/>
      <c r="AC1234" s="139">
        <f t="shared" si="2050"/>
        <v>3.3625730994152045E-2</v>
      </c>
      <c r="AD1234" s="139">
        <f t="shared" ref="AD1234:AI1234" si="2475">O1234/$I1234</f>
        <v>0</v>
      </c>
      <c r="AE1234" s="139">
        <f t="shared" si="2475"/>
        <v>0</v>
      </c>
      <c r="AF1234" s="139">
        <f t="shared" si="2475"/>
        <v>0</v>
      </c>
      <c r="AG1234" s="139">
        <f t="shared" si="2475"/>
        <v>1.4619883040935672E-3</v>
      </c>
      <c r="AH1234" s="139">
        <f t="shared" si="2475"/>
        <v>2.4853801169590642E-2</v>
      </c>
      <c r="AI1234" s="139">
        <f t="shared" si="2475"/>
        <v>7.3099415204678359E-3</v>
      </c>
    </row>
    <row r="1235" spans="2:35">
      <c r="B1235" s="138" t="s">
        <v>8077</v>
      </c>
      <c r="C1235" s="138" t="s">
        <v>4367</v>
      </c>
      <c r="D1235" s="138" t="s">
        <v>8</v>
      </c>
      <c r="E1235" s="138" t="s">
        <v>658</v>
      </c>
      <c r="F1235" s="138" t="s">
        <v>666</v>
      </c>
      <c r="H1235" s="138">
        <v>45</v>
      </c>
      <c r="I1235" s="138">
        <v>664</v>
      </c>
      <c r="J1235" s="138">
        <v>502</v>
      </c>
      <c r="K1235" s="138">
        <v>138</v>
      </c>
      <c r="N1235" s="138">
        <v>2</v>
      </c>
      <c r="O1235" s="138">
        <v>3</v>
      </c>
      <c r="R1235" s="138">
        <v>1</v>
      </c>
      <c r="S1235" s="138">
        <v>15</v>
      </c>
      <c r="T1235" s="138">
        <v>3</v>
      </c>
      <c r="U1235" s="138">
        <f t="shared" si="2048"/>
        <v>22</v>
      </c>
      <c r="W1235" s="139">
        <f t="shared" ref="W1235:AA1235" si="2476">J1235/$I1235</f>
        <v>0.75602409638554213</v>
      </c>
      <c r="X1235" s="139">
        <f t="shared" si="2476"/>
        <v>0.20783132530120482</v>
      </c>
      <c r="Y1235" s="139">
        <f t="shared" si="2476"/>
        <v>0</v>
      </c>
      <c r="Z1235" s="139">
        <f t="shared" si="2476"/>
        <v>0</v>
      </c>
      <c r="AA1235" s="139">
        <f t="shared" si="2476"/>
        <v>3.0120481927710845E-3</v>
      </c>
      <c r="AB1235" s="139"/>
      <c r="AC1235" s="139">
        <f t="shared" si="2050"/>
        <v>3.313253012048193E-2</v>
      </c>
      <c r="AD1235" s="139">
        <f t="shared" ref="AD1235:AI1235" si="2477">O1235/$I1235</f>
        <v>4.5180722891566263E-3</v>
      </c>
      <c r="AE1235" s="139">
        <f t="shared" si="2477"/>
        <v>0</v>
      </c>
      <c r="AF1235" s="139">
        <f t="shared" si="2477"/>
        <v>0</v>
      </c>
      <c r="AG1235" s="139">
        <f t="shared" si="2477"/>
        <v>1.5060240963855422E-3</v>
      </c>
      <c r="AH1235" s="139">
        <f t="shared" si="2477"/>
        <v>2.2590361445783132E-2</v>
      </c>
      <c r="AI1235" s="139">
        <f t="shared" si="2477"/>
        <v>4.5180722891566263E-3</v>
      </c>
    </row>
    <row r="1236" spans="2:35">
      <c r="B1236" s="138" t="s">
        <v>8077</v>
      </c>
      <c r="C1236" s="138" t="s">
        <v>4367</v>
      </c>
      <c r="D1236" s="138" t="s">
        <v>8</v>
      </c>
      <c r="E1236" s="138" t="s">
        <v>658</v>
      </c>
      <c r="F1236" s="138" t="s">
        <v>666</v>
      </c>
      <c r="H1236" s="138">
        <v>46</v>
      </c>
      <c r="I1236" s="138">
        <v>838</v>
      </c>
      <c r="J1236" s="138">
        <v>682</v>
      </c>
      <c r="K1236" s="138">
        <v>141</v>
      </c>
      <c r="N1236" s="138">
        <v>5</v>
      </c>
      <c r="O1236" s="138">
        <v>1</v>
      </c>
      <c r="R1236" s="138">
        <v>0</v>
      </c>
      <c r="S1236" s="138">
        <v>8</v>
      </c>
      <c r="T1236" s="138">
        <v>1</v>
      </c>
      <c r="U1236" s="138">
        <f t="shared" si="2048"/>
        <v>10</v>
      </c>
      <c r="W1236" s="139">
        <f t="shared" ref="W1236:AA1236" si="2478">J1236/$I1236</f>
        <v>0.81384248210023868</v>
      </c>
      <c r="X1236" s="139">
        <f t="shared" si="2478"/>
        <v>0.16825775656324582</v>
      </c>
      <c r="Y1236" s="139">
        <f t="shared" si="2478"/>
        <v>0</v>
      </c>
      <c r="Z1236" s="139">
        <f t="shared" si="2478"/>
        <v>0</v>
      </c>
      <c r="AA1236" s="139">
        <f t="shared" si="2478"/>
        <v>5.9665871121718375E-3</v>
      </c>
      <c r="AB1236" s="139"/>
      <c r="AC1236" s="139">
        <f t="shared" si="2050"/>
        <v>1.1933174224343675E-2</v>
      </c>
      <c r="AD1236" s="139">
        <f t="shared" ref="AD1236:AI1236" si="2479">O1236/$I1236</f>
        <v>1.1933174224343676E-3</v>
      </c>
      <c r="AE1236" s="139">
        <f t="shared" si="2479"/>
        <v>0</v>
      </c>
      <c r="AF1236" s="139">
        <f t="shared" si="2479"/>
        <v>0</v>
      </c>
      <c r="AG1236" s="139">
        <f t="shared" si="2479"/>
        <v>0</v>
      </c>
      <c r="AH1236" s="139">
        <f t="shared" si="2479"/>
        <v>9.5465393794749408E-3</v>
      </c>
      <c r="AI1236" s="139">
        <f t="shared" si="2479"/>
        <v>1.1933174224343676E-3</v>
      </c>
    </row>
    <row r="1237" spans="2:35">
      <c r="B1237" s="138" t="s">
        <v>8077</v>
      </c>
      <c r="C1237" s="138" t="s">
        <v>4367</v>
      </c>
      <c r="D1237" s="138" t="s">
        <v>8</v>
      </c>
      <c r="E1237" s="138" t="s">
        <v>658</v>
      </c>
      <c r="F1237" s="138" t="s">
        <v>666</v>
      </c>
      <c r="H1237" s="138">
        <v>47</v>
      </c>
      <c r="I1237" s="138">
        <v>819</v>
      </c>
      <c r="J1237" s="138">
        <v>529</v>
      </c>
      <c r="K1237" s="138">
        <v>255</v>
      </c>
      <c r="N1237" s="138">
        <v>4</v>
      </c>
      <c r="O1237" s="138">
        <v>1</v>
      </c>
      <c r="R1237" s="138">
        <v>3</v>
      </c>
      <c r="S1237" s="138">
        <v>17</v>
      </c>
      <c r="T1237" s="138">
        <v>10</v>
      </c>
      <c r="U1237" s="138">
        <f t="shared" si="2048"/>
        <v>31</v>
      </c>
      <c r="W1237" s="139">
        <f t="shared" ref="W1237:AA1237" si="2480">J1237/$I1237</f>
        <v>0.64590964590964595</v>
      </c>
      <c r="X1237" s="139">
        <f t="shared" si="2480"/>
        <v>0.31135531135531136</v>
      </c>
      <c r="Y1237" s="139">
        <f t="shared" si="2480"/>
        <v>0</v>
      </c>
      <c r="Z1237" s="139">
        <f t="shared" si="2480"/>
        <v>0</v>
      </c>
      <c r="AA1237" s="139">
        <f t="shared" si="2480"/>
        <v>4.884004884004884E-3</v>
      </c>
      <c r="AB1237" s="139"/>
      <c r="AC1237" s="139">
        <f t="shared" si="2050"/>
        <v>3.7851037851037848E-2</v>
      </c>
      <c r="AD1237" s="139">
        <f t="shared" ref="AD1237:AI1237" si="2481">O1237/$I1237</f>
        <v>1.221001221001221E-3</v>
      </c>
      <c r="AE1237" s="139">
        <f t="shared" si="2481"/>
        <v>0</v>
      </c>
      <c r="AF1237" s="139">
        <f t="shared" si="2481"/>
        <v>0</v>
      </c>
      <c r="AG1237" s="139">
        <f t="shared" si="2481"/>
        <v>3.663003663003663E-3</v>
      </c>
      <c r="AH1237" s="139">
        <f t="shared" si="2481"/>
        <v>2.0757020757020756E-2</v>
      </c>
      <c r="AI1237" s="139">
        <f t="shared" si="2481"/>
        <v>1.221001221001221E-2</v>
      </c>
    </row>
    <row r="1238" spans="2:35">
      <c r="B1238" s="138" t="s">
        <v>8077</v>
      </c>
      <c r="C1238" s="138" t="s">
        <v>4367</v>
      </c>
      <c r="D1238" s="138" t="s">
        <v>8</v>
      </c>
      <c r="E1238" s="138" t="s">
        <v>658</v>
      </c>
      <c r="F1238" s="138" t="s">
        <v>666</v>
      </c>
      <c r="H1238" s="138">
        <v>48</v>
      </c>
      <c r="I1238" s="138">
        <v>720</v>
      </c>
      <c r="J1238" s="138">
        <v>486</v>
      </c>
      <c r="K1238" s="138">
        <v>213</v>
      </c>
      <c r="N1238" s="138">
        <v>4</v>
      </c>
      <c r="O1238" s="138">
        <v>3</v>
      </c>
      <c r="R1238" s="138">
        <v>2</v>
      </c>
      <c r="S1238" s="138">
        <v>11</v>
      </c>
      <c r="T1238" s="138">
        <v>1</v>
      </c>
      <c r="U1238" s="138">
        <f t="shared" si="2048"/>
        <v>17</v>
      </c>
      <c r="W1238" s="139">
        <f t="shared" ref="W1238:AA1238" si="2482">J1238/$I1238</f>
        <v>0.67500000000000004</v>
      </c>
      <c r="X1238" s="139">
        <f t="shared" si="2482"/>
        <v>0.29583333333333334</v>
      </c>
      <c r="Y1238" s="139">
        <f t="shared" si="2482"/>
        <v>0</v>
      </c>
      <c r="Z1238" s="139">
        <f t="shared" si="2482"/>
        <v>0</v>
      </c>
      <c r="AA1238" s="139">
        <f t="shared" si="2482"/>
        <v>5.5555555555555558E-3</v>
      </c>
      <c r="AB1238" s="139"/>
      <c r="AC1238" s="139">
        <f t="shared" si="2050"/>
        <v>2.361111111111111E-2</v>
      </c>
      <c r="AD1238" s="139">
        <f t="shared" ref="AD1238:AI1238" si="2483">O1238/$I1238</f>
        <v>4.1666666666666666E-3</v>
      </c>
      <c r="AE1238" s="139">
        <f t="shared" si="2483"/>
        <v>0</v>
      </c>
      <c r="AF1238" s="139">
        <f t="shared" si="2483"/>
        <v>0</v>
      </c>
      <c r="AG1238" s="139">
        <f t="shared" si="2483"/>
        <v>2.7777777777777779E-3</v>
      </c>
      <c r="AH1238" s="139">
        <f t="shared" si="2483"/>
        <v>1.5277777777777777E-2</v>
      </c>
      <c r="AI1238" s="139">
        <f t="shared" si="2483"/>
        <v>1.3888888888888889E-3</v>
      </c>
    </row>
    <row r="1239" spans="2:35">
      <c r="B1239" s="138" t="s">
        <v>8077</v>
      </c>
      <c r="C1239" s="138" t="s">
        <v>4367</v>
      </c>
      <c r="D1239" s="138" t="s">
        <v>8</v>
      </c>
      <c r="E1239" s="138" t="s">
        <v>658</v>
      </c>
      <c r="F1239" s="138" t="s">
        <v>667</v>
      </c>
      <c r="H1239" s="138">
        <v>49</v>
      </c>
      <c r="I1239" s="138">
        <v>815</v>
      </c>
      <c r="J1239" s="138">
        <v>396</v>
      </c>
      <c r="K1239" s="138">
        <v>384</v>
      </c>
      <c r="N1239" s="138">
        <v>5</v>
      </c>
      <c r="O1239" s="138">
        <v>2</v>
      </c>
      <c r="R1239" s="138">
        <v>2</v>
      </c>
      <c r="S1239" s="138">
        <v>13</v>
      </c>
      <c r="T1239" s="138">
        <v>13</v>
      </c>
      <c r="U1239" s="138">
        <f t="shared" si="2048"/>
        <v>30</v>
      </c>
      <c r="W1239" s="139">
        <f t="shared" ref="W1239:AA1239" si="2484">J1239/$I1239</f>
        <v>0.48588957055214727</v>
      </c>
      <c r="X1239" s="139">
        <f t="shared" si="2484"/>
        <v>0.47116564417177914</v>
      </c>
      <c r="Y1239" s="139">
        <f t="shared" si="2484"/>
        <v>0</v>
      </c>
      <c r="Z1239" s="139">
        <f t="shared" si="2484"/>
        <v>0</v>
      </c>
      <c r="AA1239" s="139">
        <f t="shared" si="2484"/>
        <v>6.1349693251533744E-3</v>
      </c>
      <c r="AB1239" s="139"/>
      <c r="AC1239" s="139">
        <f t="shared" si="2050"/>
        <v>3.6809815950920248E-2</v>
      </c>
      <c r="AD1239" s="139">
        <f t="shared" ref="AD1239:AI1239" si="2485">O1239/$I1239</f>
        <v>2.4539877300613498E-3</v>
      </c>
      <c r="AE1239" s="139">
        <f t="shared" si="2485"/>
        <v>0</v>
      </c>
      <c r="AF1239" s="139">
        <f t="shared" si="2485"/>
        <v>0</v>
      </c>
      <c r="AG1239" s="139">
        <f t="shared" si="2485"/>
        <v>2.4539877300613498E-3</v>
      </c>
      <c r="AH1239" s="139">
        <f t="shared" si="2485"/>
        <v>1.5950920245398775E-2</v>
      </c>
      <c r="AI1239" s="139">
        <f t="shared" si="2485"/>
        <v>1.5950920245398775E-2</v>
      </c>
    </row>
    <row r="1240" spans="2:35">
      <c r="B1240" s="138" t="s">
        <v>8077</v>
      </c>
      <c r="C1240" s="138" t="s">
        <v>4367</v>
      </c>
      <c r="D1240" s="138" t="s">
        <v>8</v>
      </c>
      <c r="E1240" s="138" t="s">
        <v>658</v>
      </c>
      <c r="F1240" s="138" t="s">
        <v>667</v>
      </c>
      <c r="H1240" s="138">
        <v>50</v>
      </c>
      <c r="I1240" s="138">
        <v>577</v>
      </c>
      <c r="J1240" s="138">
        <v>268</v>
      </c>
      <c r="K1240" s="138">
        <v>289</v>
      </c>
      <c r="N1240" s="138">
        <v>5</v>
      </c>
      <c r="O1240" s="138">
        <v>3</v>
      </c>
      <c r="R1240" s="138">
        <v>1</v>
      </c>
      <c r="S1240" s="138">
        <v>6</v>
      </c>
      <c r="T1240" s="138">
        <v>5</v>
      </c>
      <c r="U1240" s="138">
        <f t="shared" si="2048"/>
        <v>15</v>
      </c>
      <c r="W1240" s="139">
        <f t="shared" ref="W1240:AA1240" si="2486">J1240/$I1240</f>
        <v>0.46447140381282498</v>
      </c>
      <c r="X1240" s="139">
        <f t="shared" si="2486"/>
        <v>0.50086655112651646</v>
      </c>
      <c r="Y1240" s="139">
        <f t="shared" si="2486"/>
        <v>0</v>
      </c>
      <c r="Z1240" s="139">
        <f t="shared" si="2486"/>
        <v>0</v>
      </c>
      <c r="AA1240" s="139">
        <f t="shared" si="2486"/>
        <v>8.6655112651646445E-3</v>
      </c>
      <c r="AB1240" s="139"/>
      <c r="AC1240" s="139">
        <f t="shared" si="2050"/>
        <v>2.5996533795493933E-2</v>
      </c>
      <c r="AD1240" s="139">
        <f t="shared" ref="AD1240:AI1240" si="2487">O1240/$I1240</f>
        <v>5.1993067590987872E-3</v>
      </c>
      <c r="AE1240" s="139">
        <f t="shared" si="2487"/>
        <v>0</v>
      </c>
      <c r="AF1240" s="139">
        <f t="shared" si="2487"/>
        <v>0</v>
      </c>
      <c r="AG1240" s="139">
        <f t="shared" si="2487"/>
        <v>1.7331022530329288E-3</v>
      </c>
      <c r="AH1240" s="139">
        <f t="shared" si="2487"/>
        <v>1.0398613518197574E-2</v>
      </c>
      <c r="AI1240" s="139">
        <f t="shared" si="2487"/>
        <v>8.6655112651646445E-3</v>
      </c>
    </row>
    <row r="1241" spans="2:35">
      <c r="B1241" s="138" t="s">
        <v>8077</v>
      </c>
      <c r="C1241" s="138" t="s">
        <v>4367</v>
      </c>
      <c r="D1241" s="138" t="s">
        <v>8</v>
      </c>
      <c r="E1241" s="138" t="s">
        <v>658</v>
      </c>
      <c r="F1241" s="138" t="s">
        <v>667</v>
      </c>
      <c r="H1241" s="138">
        <v>51</v>
      </c>
      <c r="I1241" s="138">
        <v>571</v>
      </c>
      <c r="J1241" s="138">
        <v>273</v>
      </c>
      <c r="K1241" s="138">
        <v>273</v>
      </c>
      <c r="N1241" s="138">
        <v>5</v>
      </c>
      <c r="O1241" s="138">
        <v>5</v>
      </c>
      <c r="R1241" s="138">
        <v>0</v>
      </c>
      <c r="S1241" s="138">
        <v>4</v>
      </c>
      <c r="T1241" s="138">
        <v>11</v>
      </c>
      <c r="U1241" s="138">
        <f t="shared" si="2048"/>
        <v>20</v>
      </c>
      <c r="W1241" s="139">
        <f t="shared" ref="W1241:AA1241" si="2488">J1241/$I1241</f>
        <v>0.47810858143607704</v>
      </c>
      <c r="X1241" s="139">
        <f t="shared" si="2488"/>
        <v>0.47810858143607704</v>
      </c>
      <c r="Y1241" s="139">
        <f t="shared" si="2488"/>
        <v>0</v>
      </c>
      <c r="Z1241" s="139">
        <f t="shared" si="2488"/>
        <v>0</v>
      </c>
      <c r="AA1241" s="139">
        <f t="shared" si="2488"/>
        <v>8.7565674255691769E-3</v>
      </c>
      <c r="AB1241" s="139"/>
      <c r="AC1241" s="139">
        <f t="shared" si="2050"/>
        <v>3.5026269702276708E-2</v>
      </c>
      <c r="AD1241" s="139">
        <f t="shared" ref="AD1241:AI1241" si="2489">O1241/$I1241</f>
        <v>8.7565674255691769E-3</v>
      </c>
      <c r="AE1241" s="139">
        <f t="shared" si="2489"/>
        <v>0</v>
      </c>
      <c r="AF1241" s="139">
        <f t="shared" si="2489"/>
        <v>0</v>
      </c>
      <c r="AG1241" s="139">
        <f t="shared" si="2489"/>
        <v>0</v>
      </c>
      <c r="AH1241" s="139">
        <f t="shared" si="2489"/>
        <v>7.0052539404553416E-3</v>
      </c>
      <c r="AI1241" s="139">
        <f t="shared" si="2489"/>
        <v>1.9264448336252189E-2</v>
      </c>
    </row>
    <row r="1242" spans="2:35">
      <c r="B1242" s="138" t="s">
        <v>8077</v>
      </c>
      <c r="C1242" s="138" t="s">
        <v>4367</v>
      </c>
      <c r="D1242" s="138" t="s">
        <v>8</v>
      </c>
      <c r="E1242" s="138" t="s">
        <v>658</v>
      </c>
      <c r="F1242" s="138" t="s">
        <v>669</v>
      </c>
      <c r="H1242" s="138">
        <v>52</v>
      </c>
      <c r="I1242" s="138">
        <v>1045</v>
      </c>
      <c r="J1242" s="138">
        <v>720</v>
      </c>
      <c r="K1242" s="138">
        <v>294</v>
      </c>
      <c r="N1242" s="138">
        <v>6</v>
      </c>
      <c r="O1242" s="138">
        <v>5</v>
      </c>
      <c r="R1242" s="138">
        <v>2</v>
      </c>
      <c r="S1242" s="138">
        <v>10</v>
      </c>
      <c r="T1242" s="138">
        <v>8</v>
      </c>
      <c r="U1242" s="138">
        <f t="shared" si="2048"/>
        <v>25</v>
      </c>
      <c r="W1242" s="139">
        <f t="shared" ref="W1242:AA1242" si="2490">J1242/$I1242</f>
        <v>0.68899521531100483</v>
      </c>
      <c r="X1242" s="139">
        <f t="shared" si="2490"/>
        <v>0.28133971291866028</v>
      </c>
      <c r="Y1242" s="139">
        <f t="shared" si="2490"/>
        <v>0</v>
      </c>
      <c r="Z1242" s="139">
        <f t="shared" si="2490"/>
        <v>0</v>
      </c>
      <c r="AA1242" s="139">
        <f t="shared" si="2490"/>
        <v>5.7416267942583732E-3</v>
      </c>
      <c r="AB1242" s="139"/>
      <c r="AC1242" s="139">
        <f t="shared" si="2050"/>
        <v>2.3923444976076555E-2</v>
      </c>
      <c r="AD1242" s="139">
        <f t="shared" ref="AD1242:AI1242" si="2491">O1242/$I1242</f>
        <v>4.7846889952153108E-3</v>
      </c>
      <c r="AE1242" s="139">
        <f t="shared" si="2491"/>
        <v>0</v>
      </c>
      <c r="AF1242" s="139">
        <f t="shared" si="2491"/>
        <v>0</v>
      </c>
      <c r="AG1242" s="139">
        <f t="shared" si="2491"/>
        <v>1.9138755980861245E-3</v>
      </c>
      <c r="AH1242" s="139">
        <f t="shared" si="2491"/>
        <v>9.5693779904306216E-3</v>
      </c>
      <c r="AI1242" s="139">
        <f t="shared" si="2491"/>
        <v>7.6555023923444978E-3</v>
      </c>
    </row>
    <row r="1243" spans="2:35">
      <c r="B1243" s="138" t="s">
        <v>8077</v>
      </c>
      <c r="C1243" s="138" t="s">
        <v>4367</v>
      </c>
      <c r="D1243" s="138" t="s">
        <v>8</v>
      </c>
      <c r="E1243" s="138" t="s">
        <v>658</v>
      </c>
      <c r="F1243" s="138" t="s">
        <v>669</v>
      </c>
      <c r="H1243" s="138">
        <v>53</v>
      </c>
      <c r="I1243" s="138">
        <v>625</v>
      </c>
      <c r="J1243" s="138">
        <v>442</v>
      </c>
      <c r="K1243" s="138">
        <v>165</v>
      </c>
      <c r="N1243" s="138">
        <v>5</v>
      </c>
      <c r="O1243" s="138">
        <v>2</v>
      </c>
      <c r="R1243" s="138">
        <v>1</v>
      </c>
      <c r="S1243" s="138">
        <v>9</v>
      </c>
      <c r="T1243" s="138">
        <v>1</v>
      </c>
      <c r="U1243" s="138">
        <f t="shared" si="2048"/>
        <v>13</v>
      </c>
      <c r="W1243" s="139">
        <f t="shared" ref="W1243:AA1243" si="2492">J1243/$I1243</f>
        <v>0.70720000000000005</v>
      </c>
      <c r="X1243" s="139">
        <f t="shared" si="2492"/>
        <v>0.26400000000000001</v>
      </c>
      <c r="Y1243" s="139">
        <f t="shared" si="2492"/>
        <v>0</v>
      </c>
      <c r="Z1243" s="139">
        <f t="shared" si="2492"/>
        <v>0</v>
      </c>
      <c r="AA1243" s="139">
        <f t="shared" si="2492"/>
        <v>8.0000000000000002E-3</v>
      </c>
      <c r="AB1243" s="139"/>
      <c r="AC1243" s="139">
        <f t="shared" si="2050"/>
        <v>2.0799999999999999E-2</v>
      </c>
      <c r="AD1243" s="139">
        <f t="shared" ref="AD1243:AI1243" si="2493">O1243/$I1243</f>
        <v>3.2000000000000002E-3</v>
      </c>
      <c r="AE1243" s="139">
        <f t="shared" si="2493"/>
        <v>0</v>
      </c>
      <c r="AF1243" s="139">
        <f t="shared" si="2493"/>
        <v>0</v>
      </c>
      <c r="AG1243" s="139">
        <f t="shared" si="2493"/>
        <v>1.6000000000000001E-3</v>
      </c>
      <c r="AH1243" s="139">
        <f t="shared" si="2493"/>
        <v>1.44E-2</v>
      </c>
      <c r="AI1243" s="139">
        <f t="shared" si="2493"/>
        <v>1.6000000000000001E-3</v>
      </c>
    </row>
    <row r="1244" spans="2:35">
      <c r="B1244" s="138" t="s">
        <v>8077</v>
      </c>
      <c r="C1244" s="138" t="s">
        <v>4367</v>
      </c>
      <c r="D1244" s="138" t="s">
        <v>8</v>
      </c>
      <c r="E1244" s="138" t="s">
        <v>658</v>
      </c>
      <c r="F1244" s="138" t="s">
        <v>669</v>
      </c>
      <c r="H1244" s="138">
        <v>54</v>
      </c>
      <c r="I1244" s="138">
        <v>613</v>
      </c>
      <c r="J1244" s="138">
        <v>396</v>
      </c>
      <c r="K1244" s="138">
        <v>191</v>
      </c>
      <c r="N1244" s="138">
        <v>3</v>
      </c>
      <c r="O1244" s="138">
        <v>4</v>
      </c>
      <c r="R1244" s="138">
        <v>2</v>
      </c>
      <c r="S1244" s="138">
        <v>10</v>
      </c>
      <c r="T1244" s="138">
        <v>7</v>
      </c>
      <c r="U1244" s="138">
        <f t="shared" si="2048"/>
        <v>23</v>
      </c>
      <c r="W1244" s="139">
        <f t="shared" ref="W1244:AA1244" si="2494">J1244/$I1244</f>
        <v>0.64600326264274066</v>
      </c>
      <c r="X1244" s="139">
        <f t="shared" si="2494"/>
        <v>0.31158238172920066</v>
      </c>
      <c r="Y1244" s="139">
        <f t="shared" si="2494"/>
        <v>0</v>
      </c>
      <c r="Z1244" s="139">
        <f t="shared" si="2494"/>
        <v>0</v>
      </c>
      <c r="AA1244" s="139">
        <f t="shared" si="2494"/>
        <v>4.8939641109298528E-3</v>
      </c>
      <c r="AB1244" s="139"/>
      <c r="AC1244" s="139">
        <f t="shared" si="2050"/>
        <v>3.7520391517128875E-2</v>
      </c>
      <c r="AD1244" s="139">
        <f t="shared" ref="AD1244:AI1244" si="2495">O1244/$I1244</f>
        <v>6.5252854812398045E-3</v>
      </c>
      <c r="AE1244" s="139">
        <f t="shared" si="2495"/>
        <v>0</v>
      </c>
      <c r="AF1244" s="139">
        <f t="shared" si="2495"/>
        <v>0</v>
      </c>
      <c r="AG1244" s="139">
        <f t="shared" si="2495"/>
        <v>3.2626427406199023E-3</v>
      </c>
      <c r="AH1244" s="139">
        <f t="shared" si="2495"/>
        <v>1.6313213703099509E-2</v>
      </c>
      <c r="AI1244" s="139">
        <f t="shared" si="2495"/>
        <v>1.1419249592169658E-2</v>
      </c>
    </row>
    <row r="1245" spans="2:35">
      <c r="B1245" s="138" t="s">
        <v>8077</v>
      </c>
      <c r="C1245" s="138" t="s">
        <v>4367</v>
      </c>
      <c r="D1245" s="138" t="s">
        <v>8</v>
      </c>
      <c r="E1245" s="138" t="s">
        <v>658</v>
      </c>
      <c r="F1245" s="138" t="s">
        <v>669</v>
      </c>
      <c r="H1245" s="138">
        <v>55</v>
      </c>
      <c r="I1245" s="138">
        <v>714</v>
      </c>
      <c r="J1245" s="138">
        <v>496</v>
      </c>
      <c r="K1245" s="138">
        <v>198</v>
      </c>
      <c r="N1245" s="138">
        <v>4</v>
      </c>
      <c r="O1245" s="138">
        <v>0</v>
      </c>
      <c r="R1245" s="138">
        <v>2</v>
      </c>
      <c r="S1245" s="138">
        <v>12</v>
      </c>
      <c r="T1245" s="138">
        <v>2</v>
      </c>
      <c r="U1245" s="138">
        <f t="shared" si="2048"/>
        <v>16</v>
      </c>
      <c r="W1245" s="139">
        <f t="shared" ref="W1245:AA1245" si="2496">J1245/$I1245</f>
        <v>0.69467787114845936</v>
      </c>
      <c r="X1245" s="139">
        <f t="shared" si="2496"/>
        <v>0.27731092436974791</v>
      </c>
      <c r="Y1245" s="139">
        <f t="shared" si="2496"/>
        <v>0</v>
      </c>
      <c r="Z1245" s="139">
        <f t="shared" si="2496"/>
        <v>0</v>
      </c>
      <c r="AA1245" s="139">
        <f t="shared" si="2496"/>
        <v>5.6022408963585435E-3</v>
      </c>
      <c r="AB1245" s="139"/>
      <c r="AC1245" s="139">
        <f t="shared" si="2050"/>
        <v>2.2408963585434174E-2</v>
      </c>
      <c r="AD1245" s="139">
        <f t="shared" ref="AD1245:AI1245" si="2497">O1245/$I1245</f>
        <v>0</v>
      </c>
      <c r="AE1245" s="139">
        <f t="shared" si="2497"/>
        <v>0</v>
      </c>
      <c r="AF1245" s="139">
        <f t="shared" si="2497"/>
        <v>0</v>
      </c>
      <c r="AG1245" s="139">
        <f t="shared" si="2497"/>
        <v>2.8011204481792717E-3</v>
      </c>
      <c r="AH1245" s="139">
        <f t="shared" si="2497"/>
        <v>1.680672268907563E-2</v>
      </c>
      <c r="AI1245" s="139">
        <f t="shared" si="2497"/>
        <v>2.8011204481792717E-3</v>
      </c>
    </row>
    <row r="1246" spans="2:35">
      <c r="B1246" s="138" t="s">
        <v>8077</v>
      </c>
      <c r="C1246" s="138" t="s">
        <v>4367</v>
      </c>
      <c r="D1246" s="138" t="s">
        <v>8</v>
      </c>
      <c r="E1246" s="138" t="s">
        <v>658</v>
      </c>
      <c r="F1246" s="138" t="s">
        <v>670</v>
      </c>
      <c r="H1246" s="138">
        <v>56</v>
      </c>
      <c r="I1246" s="138">
        <v>786</v>
      </c>
      <c r="J1246" s="138">
        <v>468</v>
      </c>
      <c r="K1246" s="138">
        <v>277</v>
      </c>
      <c r="N1246" s="138">
        <v>25</v>
      </c>
      <c r="O1246" s="138">
        <v>1</v>
      </c>
      <c r="R1246" s="138">
        <v>0</v>
      </c>
      <c r="S1246" s="138">
        <v>10</v>
      </c>
      <c r="T1246" s="138">
        <v>5</v>
      </c>
      <c r="U1246" s="138">
        <f t="shared" si="2048"/>
        <v>16</v>
      </c>
      <c r="W1246" s="139">
        <f t="shared" ref="W1246:AA1246" si="2498">J1246/$I1246</f>
        <v>0.59541984732824427</v>
      </c>
      <c r="X1246" s="139">
        <f t="shared" si="2498"/>
        <v>0.3524173027989822</v>
      </c>
      <c r="Y1246" s="139">
        <f t="shared" si="2498"/>
        <v>0</v>
      </c>
      <c r="Z1246" s="139">
        <f t="shared" si="2498"/>
        <v>0</v>
      </c>
      <c r="AA1246" s="139">
        <f t="shared" si="2498"/>
        <v>3.1806615776081425E-2</v>
      </c>
      <c r="AB1246" s="139"/>
      <c r="AC1246" s="139">
        <f t="shared" si="2050"/>
        <v>2.0356234096692113E-2</v>
      </c>
      <c r="AD1246" s="139">
        <f t="shared" ref="AD1246:AI1246" si="2499">O1246/$I1246</f>
        <v>1.2722646310432571E-3</v>
      </c>
      <c r="AE1246" s="139">
        <f t="shared" si="2499"/>
        <v>0</v>
      </c>
      <c r="AF1246" s="139">
        <f t="shared" si="2499"/>
        <v>0</v>
      </c>
      <c r="AG1246" s="139">
        <f t="shared" si="2499"/>
        <v>0</v>
      </c>
      <c r="AH1246" s="139">
        <f t="shared" si="2499"/>
        <v>1.2722646310432569E-2</v>
      </c>
      <c r="AI1246" s="139">
        <f t="shared" si="2499"/>
        <v>6.3613231552162846E-3</v>
      </c>
    </row>
    <row r="1247" spans="2:35">
      <c r="B1247" s="138" t="s">
        <v>8077</v>
      </c>
      <c r="C1247" s="138" t="s">
        <v>4367</v>
      </c>
      <c r="D1247" s="138" t="s">
        <v>8</v>
      </c>
      <c r="E1247" s="138" t="s">
        <v>658</v>
      </c>
      <c r="F1247" s="138" t="s">
        <v>670</v>
      </c>
      <c r="H1247" s="138">
        <v>57</v>
      </c>
      <c r="I1247" s="138">
        <v>974</v>
      </c>
      <c r="J1247" s="138">
        <v>632</v>
      </c>
      <c r="K1247" s="138">
        <v>300</v>
      </c>
      <c r="N1247" s="138">
        <v>9</v>
      </c>
      <c r="O1247" s="138">
        <v>3</v>
      </c>
      <c r="R1247" s="138">
        <v>2</v>
      </c>
      <c r="S1247" s="138">
        <v>18</v>
      </c>
      <c r="T1247" s="138">
        <v>10</v>
      </c>
      <c r="U1247" s="138">
        <f t="shared" si="2048"/>
        <v>33</v>
      </c>
      <c r="W1247" s="139">
        <f t="shared" ref="W1247:AA1247" si="2500">J1247/$I1247</f>
        <v>0.64887063655030797</v>
      </c>
      <c r="X1247" s="139">
        <f t="shared" si="2500"/>
        <v>0.30800821355236141</v>
      </c>
      <c r="Y1247" s="139">
        <f t="shared" si="2500"/>
        <v>0</v>
      </c>
      <c r="Z1247" s="139">
        <f t="shared" si="2500"/>
        <v>0</v>
      </c>
      <c r="AA1247" s="139">
        <f t="shared" si="2500"/>
        <v>9.2402464065708418E-3</v>
      </c>
      <c r="AB1247" s="139"/>
      <c r="AC1247" s="139">
        <f t="shared" si="2050"/>
        <v>3.3880903490759756E-2</v>
      </c>
      <c r="AD1247" s="139">
        <f t="shared" ref="AD1247:AI1247" si="2501">O1247/$I1247</f>
        <v>3.0800821355236141E-3</v>
      </c>
      <c r="AE1247" s="139">
        <f t="shared" si="2501"/>
        <v>0</v>
      </c>
      <c r="AF1247" s="139">
        <f t="shared" si="2501"/>
        <v>0</v>
      </c>
      <c r="AG1247" s="139">
        <f t="shared" si="2501"/>
        <v>2.0533880903490761E-3</v>
      </c>
      <c r="AH1247" s="139">
        <f t="shared" si="2501"/>
        <v>1.8480492813141684E-2</v>
      </c>
      <c r="AI1247" s="139">
        <f t="shared" si="2501"/>
        <v>1.0266940451745379E-2</v>
      </c>
    </row>
    <row r="1248" spans="2:35">
      <c r="B1248" s="138" t="s">
        <v>8077</v>
      </c>
      <c r="C1248" s="138" t="s">
        <v>4367</v>
      </c>
      <c r="D1248" s="138" t="s">
        <v>8</v>
      </c>
      <c r="E1248" s="138" t="s">
        <v>658</v>
      </c>
      <c r="F1248" s="138" t="s">
        <v>670</v>
      </c>
      <c r="H1248" s="138">
        <v>58</v>
      </c>
      <c r="I1248" s="138">
        <v>1067</v>
      </c>
      <c r="J1248" s="138">
        <v>684</v>
      </c>
      <c r="K1248" s="138">
        <v>339</v>
      </c>
      <c r="N1248" s="138">
        <v>10</v>
      </c>
      <c r="O1248" s="138">
        <v>3</v>
      </c>
      <c r="R1248" s="138">
        <v>3</v>
      </c>
      <c r="S1248" s="138">
        <v>20</v>
      </c>
      <c r="T1248" s="138">
        <v>8</v>
      </c>
      <c r="U1248" s="138">
        <f t="shared" si="2048"/>
        <v>34</v>
      </c>
      <c r="W1248" s="139">
        <f t="shared" ref="W1248:AA1248" si="2502">J1248/$I1248</f>
        <v>0.64104967197750706</v>
      </c>
      <c r="X1248" s="139">
        <f t="shared" si="2502"/>
        <v>0.31771321462043112</v>
      </c>
      <c r="Y1248" s="139">
        <f t="shared" si="2502"/>
        <v>0</v>
      </c>
      <c r="Z1248" s="139">
        <f t="shared" si="2502"/>
        <v>0</v>
      </c>
      <c r="AA1248" s="139">
        <f t="shared" si="2502"/>
        <v>9.3720712277413302E-3</v>
      </c>
      <c r="AB1248" s="139"/>
      <c r="AC1248" s="139">
        <f t="shared" si="2050"/>
        <v>3.1865042174320526E-2</v>
      </c>
      <c r="AD1248" s="139">
        <f t="shared" ref="AD1248:AI1248" si="2503">O1248/$I1248</f>
        <v>2.8116213683223993E-3</v>
      </c>
      <c r="AE1248" s="139">
        <f t="shared" si="2503"/>
        <v>0</v>
      </c>
      <c r="AF1248" s="139">
        <f t="shared" si="2503"/>
        <v>0</v>
      </c>
      <c r="AG1248" s="139">
        <f t="shared" si="2503"/>
        <v>2.8116213683223993E-3</v>
      </c>
      <c r="AH1248" s="139">
        <f t="shared" si="2503"/>
        <v>1.874414245548266E-2</v>
      </c>
      <c r="AI1248" s="139">
        <f t="shared" si="2503"/>
        <v>7.4976569821930648E-3</v>
      </c>
    </row>
    <row r="1249" spans="2:35">
      <c r="B1249" s="138" t="s">
        <v>8077</v>
      </c>
      <c r="C1249" s="138" t="s">
        <v>4367</v>
      </c>
      <c r="D1249" s="138" t="s">
        <v>8</v>
      </c>
      <c r="E1249" s="138" t="s">
        <v>658</v>
      </c>
      <c r="F1249" s="138" t="s">
        <v>670</v>
      </c>
      <c r="H1249" s="138">
        <v>59</v>
      </c>
      <c r="I1249" s="138">
        <v>791</v>
      </c>
      <c r="J1249" s="138">
        <v>412</v>
      </c>
      <c r="K1249" s="138">
        <v>349</v>
      </c>
      <c r="N1249" s="138">
        <v>7</v>
      </c>
      <c r="O1249" s="138">
        <v>5</v>
      </c>
      <c r="R1249" s="138">
        <v>0</v>
      </c>
      <c r="S1249" s="138">
        <v>12</v>
      </c>
      <c r="T1249" s="138">
        <v>6</v>
      </c>
      <c r="U1249" s="138">
        <f t="shared" si="2048"/>
        <v>23</v>
      </c>
      <c r="W1249" s="139">
        <f t="shared" ref="W1249:AA1249" si="2504">J1249/$I1249</f>
        <v>0.52085967130214916</v>
      </c>
      <c r="X1249" s="139">
        <f t="shared" si="2504"/>
        <v>0.44121365360303416</v>
      </c>
      <c r="Y1249" s="139">
        <f t="shared" si="2504"/>
        <v>0</v>
      </c>
      <c r="Z1249" s="139">
        <f t="shared" si="2504"/>
        <v>0</v>
      </c>
      <c r="AA1249" s="139">
        <f t="shared" si="2504"/>
        <v>8.8495575221238937E-3</v>
      </c>
      <c r="AB1249" s="139"/>
      <c r="AC1249" s="139">
        <f t="shared" si="2050"/>
        <v>2.9077117572692796E-2</v>
      </c>
      <c r="AD1249" s="139">
        <f t="shared" ref="AD1249:AI1249" si="2505">O1249/$I1249</f>
        <v>6.321112515802781E-3</v>
      </c>
      <c r="AE1249" s="139">
        <f t="shared" si="2505"/>
        <v>0</v>
      </c>
      <c r="AF1249" s="139">
        <f t="shared" si="2505"/>
        <v>0</v>
      </c>
      <c r="AG1249" s="139">
        <f t="shared" si="2505"/>
        <v>0</v>
      </c>
      <c r="AH1249" s="139">
        <f t="shared" si="2505"/>
        <v>1.5170670037926675E-2</v>
      </c>
      <c r="AI1249" s="139">
        <f t="shared" si="2505"/>
        <v>7.5853350189633373E-3</v>
      </c>
    </row>
    <row r="1250" spans="2:35">
      <c r="B1250" s="138" t="s">
        <v>8077</v>
      </c>
      <c r="C1250" s="138" t="s">
        <v>4367</v>
      </c>
      <c r="D1250" s="138" t="s">
        <v>8</v>
      </c>
      <c r="E1250" s="138" t="s">
        <v>658</v>
      </c>
      <c r="F1250" s="138" t="s">
        <v>325</v>
      </c>
      <c r="H1250" s="138">
        <v>60</v>
      </c>
      <c r="I1250" s="138">
        <v>686</v>
      </c>
      <c r="J1250" s="138">
        <v>479</v>
      </c>
      <c r="K1250" s="138">
        <v>176</v>
      </c>
      <c r="N1250" s="138">
        <v>4</v>
      </c>
      <c r="O1250" s="138">
        <v>5</v>
      </c>
      <c r="R1250" s="138">
        <v>3</v>
      </c>
      <c r="S1250" s="138">
        <v>11</v>
      </c>
      <c r="T1250" s="138">
        <v>8</v>
      </c>
      <c r="U1250" s="138">
        <f t="shared" si="2048"/>
        <v>27</v>
      </c>
      <c r="W1250" s="139">
        <f t="shared" ref="W1250:AA1250" si="2506">J1250/$I1250</f>
        <v>0.69825072886297379</v>
      </c>
      <c r="X1250" s="139">
        <f t="shared" si="2506"/>
        <v>0.2565597667638484</v>
      </c>
      <c r="Y1250" s="139">
        <f t="shared" si="2506"/>
        <v>0</v>
      </c>
      <c r="Z1250" s="139">
        <f t="shared" si="2506"/>
        <v>0</v>
      </c>
      <c r="AA1250" s="139">
        <f t="shared" si="2506"/>
        <v>5.8309037900874635E-3</v>
      </c>
      <c r="AB1250" s="139"/>
      <c r="AC1250" s="139">
        <f t="shared" si="2050"/>
        <v>3.9358600583090382E-2</v>
      </c>
      <c r="AD1250" s="139">
        <f t="shared" ref="AD1250:AI1250" si="2507">O1250/$I1250</f>
        <v>7.2886297376093291E-3</v>
      </c>
      <c r="AE1250" s="139">
        <f t="shared" si="2507"/>
        <v>0</v>
      </c>
      <c r="AF1250" s="139">
        <f t="shared" si="2507"/>
        <v>0</v>
      </c>
      <c r="AG1250" s="139">
        <f t="shared" si="2507"/>
        <v>4.3731778425655978E-3</v>
      </c>
      <c r="AH1250" s="139">
        <f t="shared" si="2507"/>
        <v>1.6034985422740525E-2</v>
      </c>
      <c r="AI1250" s="139">
        <f t="shared" si="2507"/>
        <v>1.1661807580174927E-2</v>
      </c>
    </row>
    <row r="1251" spans="2:35">
      <c r="B1251" s="138" t="s">
        <v>8077</v>
      </c>
      <c r="C1251" s="138" t="s">
        <v>4367</v>
      </c>
      <c r="D1251" s="138" t="s">
        <v>8</v>
      </c>
      <c r="E1251" s="138" t="s">
        <v>658</v>
      </c>
      <c r="F1251" s="138" t="s">
        <v>325</v>
      </c>
      <c r="H1251" s="138">
        <v>61</v>
      </c>
      <c r="I1251" s="138">
        <v>788</v>
      </c>
      <c r="J1251" s="138">
        <v>436</v>
      </c>
      <c r="K1251" s="138">
        <v>314</v>
      </c>
      <c r="N1251" s="138">
        <v>5</v>
      </c>
      <c r="O1251" s="138">
        <v>3</v>
      </c>
      <c r="R1251" s="138">
        <v>1</v>
      </c>
      <c r="S1251" s="138">
        <v>21</v>
      </c>
      <c r="T1251" s="138">
        <v>8</v>
      </c>
      <c r="U1251" s="138">
        <f t="shared" si="2048"/>
        <v>33</v>
      </c>
      <c r="W1251" s="139">
        <f t="shared" ref="W1251:AA1251" si="2508">J1251/$I1251</f>
        <v>0.5532994923857868</v>
      </c>
      <c r="X1251" s="139">
        <f t="shared" si="2508"/>
        <v>0.39847715736040606</v>
      </c>
      <c r="Y1251" s="139">
        <f t="shared" si="2508"/>
        <v>0</v>
      </c>
      <c r="Z1251" s="139">
        <f t="shared" si="2508"/>
        <v>0</v>
      </c>
      <c r="AA1251" s="139">
        <f t="shared" si="2508"/>
        <v>6.3451776649746192E-3</v>
      </c>
      <c r="AB1251" s="139"/>
      <c r="AC1251" s="139">
        <f t="shared" si="2050"/>
        <v>4.1878172588832488E-2</v>
      </c>
      <c r="AD1251" s="139">
        <f t="shared" ref="AD1251:AI1251" si="2509">O1251/$I1251</f>
        <v>3.8071065989847717E-3</v>
      </c>
      <c r="AE1251" s="139">
        <f t="shared" si="2509"/>
        <v>0</v>
      </c>
      <c r="AF1251" s="139">
        <f t="shared" si="2509"/>
        <v>0</v>
      </c>
      <c r="AG1251" s="139">
        <f t="shared" si="2509"/>
        <v>1.2690355329949238E-3</v>
      </c>
      <c r="AH1251" s="139">
        <f t="shared" si="2509"/>
        <v>2.6649746192893401E-2</v>
      </c>
      <c r="AI1251" s="139">
        <f t="shared" si="2509"/>
        <v>1.015228426395939E-2</v>
      </c>
    </row>
    <row r="1252" spans="2:35">
      <c r="B1252" s="138" t="s">
        <v>8077</v>
      </c>
      <c r="C1252" s="138" t="s">
        <v>4367</v>
      </c>
      <c r="D1252" s="138" t="s">
        <v>8</v>
      </c>
      <c r="E1252" s="138" t="s">
        <v>658</v>
      </c>
      <c r="F1252" s="138" t="s">
        <v>325</v>
      </c>
      <c r="H1252" s="138">
        <v>62</v>
      </c>
      <c r="I1252" s="138">
        <v>832</v>
      </c>
      <c r="J1252" s="138">
        <v>404</v>
      </c>
      <c r="K1252" s="138">
        <v>387</v>
      </c>
      <c r="N1252" s="138">
        <v>8</v>
      </c>
      <c r="O1252" s="138">
        <v>8</v>
      </c>
      <c r="R1252" s="138">
        <v>3</v>
      </c>
      <c r="S1252" s="138">
        <v>13</v>
      </c>
      <c r="T1252" s="138">
        <v>9</v>
      </c>
      <c r="U1252" s="138">
        <f t="shared" si="2048"/>
        <v>33</v>
      </c>
      <c r="W1252" s="139">
        <f t="shared" ref="W1252:AA1252" si="2510">J1252/$I1252</f>
        <v>0.48557692307692307</v>
      </c>
      <c r="X1252" s="139">
        <f t="shared" si="2510"/>
        <v>0.46514423076923078</v>
      </c>
      <c r="Y1252" s="139">
        <f t="shared" si="2510"/>
        <v>0</v>
      </c>
      <c r="Z1252" s="139">
        <f t="shared" si="2510"/>
        <v>0</v>
      </c>
      <c r="AA1252" s="139">
        <f t="shared" si="2510"/>
        <v>9.6153846153846159E-3</v>
      </c>
      <c r="AB1252" s="139"/>
      <c r="AC1252" s="139">
        <f t="shared" si="2050"/>
        <v>3.9663461538461536E-2</v>
      </c>
      <c r="AD1252" s="139">
        <f t="shared" ref="AD1252:AI1252" si="2511">O1252/$I1252</f>
        <v>9.6153846153846159E-3</v>
      </c>
      <c r="AE1252" s="139">
        <f t="shared" si="2511"/>
        <v>0</v>
      </c>
      <c r="AF1252" s="139">
        <f t="shared" si="2511"/>
        <v>0</v>
      </c>
      <c r="AG1252" s="139">
        <f t="shared" si="2511"/>
        <v>3.605769230769231E-3</v>
      </c>
      <c r="AH1252" s="139">
        <f t="shared" si="2511"/>
        <v>1.5625E-2</v>
      </c>
      <c r="AI1252" s="139">
        <f t="shared" si="2511"/>
        <v>1.0817307692307692E-2</v>
      </c>
    </row>
    <row r="1253" spans="2:35">
      <c r="B1253" s="138" t="s">
        <v>8077</v>
      </c>
      <c r="C1253" s="138" t="s">
        <v>4367</v>
      </c>
      <c r="D1253" s="138" t="s">
        <v>8</v>
      </c>
      <c r="E1253" s="138" t="s">
        <v>658</v>
      </c>
      <c r="F1253" s="138" t="s">
        <v>325</v>
      </c>
      <c r="H1253" s="138">
        <v>63</v>
      </c>
      <c r="I1253" s="138">
        <v>390</v>
      </c>
      <c r="J1253" s="138">
        <v>267</v>
      </c>
      <c r="K1253" s="138">
        <v>106</v>
      </c>
      <c r="N1253" s="138">
        <v>1</v>
      </c>
      <c r="O1253" s="138">
        <v>0</v>
      </c>
      <c r="R1253" s="138">
        <v>0</v>
      </c>
      <c r="S1253" s="138">
        <v>14</v>
      </c>
      <c r="T1253" s="138">
        <v>2</v>
      </c>
      <c r="U1253" s="138">
        <f t="shared" si="2048"/>
        <v>16</v>
      </c>
      <c r="W1253" s="139">
        <f t="shared" ref="W1253:AA1253" si="2512">J1253/$I1253</f>
        <v>0.68461538461538463</v>
      </c>
      <c r="X1253" s="139">
        <f t="shared" si="2512"/>
        <v>0.27179487179487177</v>
      </c>
      <c r="Y1253" s="139">
        <f t="shared" si="2512"/>
        <v>0</v>
      </c>
      <c r="Z1253" s="139">
        <f t="shared" si="2512"/>
        <v>0</v>
      </c>
      <c r="AA1253" s="139">
        <f t="shared" si="2512"/>
        <v>2.5641025641025641E-3</v>
      </c>
      <c r="AB1253" s="139"/>
      <c r="AC1253" s="139">
        <f t="shared" si="2050"/>
        <v>4.1025641025641026E-2</v>
      </c>
      <c r="AD1253" s="139">
        <f t="shared" ref="AD1253:AI1253" si="2513">O1253/$I1253</f>
        <v>0</v>
      </c>
      <c r="AE1253" s="139">
        <f t="shared" si="2513"/>
        <v>0</v>
      </c>
      <c r="AF1253" s="139">
        <f t="shared" si="2513"/>
        <v>0</v>
      </c>
      <c r="AG1253" s="139">
        <f t="shared" si="2513"/>
        <v>0</v>
      </c>
      <c r="AH1253" s="139">
        <f t="shared" si="2513"/>
        <v>3.5897435897435895E-2</v>
      </c>
      <c r="AI1253" s="139">
        <f t="shared" si="2513"/>
        <v>5.1282051282051282E-3</v>
      </c>
    </row>
    <row r="1254" spans="2:35">
      <c r="B1254" s="138" t="s">
        <v>8077</v>
      </c>
      <c r="C1254" s="138" t="s">
        <v>4367</v>
      </c>
      <c r="D1254" s="138" t="s">
        <v>8</v>
      </c>
      <c r="E1254" s="138" t="s">
        <v>8</v>
      </c>
      <c r="F1254" s="138" t="s">
        <v>546</v>
      </c>
      <c r="H1254" s="138">
        <v>64</v>
      </c>
      <c r="I1254" s="138">
        <v>1078</v>
      </c>
      <c r="J1254" s="138">
        <v>662</v>
      </c>
      <c r="K1254" s="138">
        <v>376</v>
      </c>
      <c r="N1254" s="138">
        <v>6</v>
      </c>
      <c r="O1254" s="138">
        <v>4</v>
      </c>
      <c r="R1254" s="138">
        <v>4</v>
      </c>
      <c r="S1254" s="138">
        <v>17</v>
      </c>
      <c r="T1254" s="138">
        <v>9</v>
      </c>
      <c r="U1254" s="138">
        <f t="shared" si="2048"/>
        <v>34</v>
      </c>
      <c r="W1254" s="139">
        <f t="shared" ref="W1254:AA1254" si="2514">J1254/$I1254</f>
        <v>0.614100185528757</v>
      </c>
      <c r="X1254" s="139">
        <f t="shared" si="2514"/>
        <v>0.34879406307977734</v>
      </c>
      <c r="Y1254" s="139">
        <f t="shared" si="2514"/>
        <v>0</v>
      </c>
      <c r="Z1254" s="139">
        <f t="shared" si="2514"/>
        <v>0</v>
      </c>
      <c r="AA1254" s="139">
        <f t="shared" si="2514"/>
        <v>5.5658627087198514E-3</v>
      </c>
      <c r="AB1254" s="139"/>
      <c r="AC1254" s="139">
        <f t="shared" si="2050"/>
        <v>3.1539888682745827E-2</v>
      </c>
      <c r="AD1254" s="139">
        <f t="shared" ref="AD1254:AI1254" si="2515">O1254/$I1254</f>
        <v>3.7105751391465678E-3</v>
      </c>
      <c r="AE1254" s="139">
        <f t="shared" si="2515"/>
        <v>0</v>
      </c>
      <c r="AF1254" s="139">
        <f t="shared" si="2515"/>
        <v>0</v>
      </c>
      <c r="AG1254" s="139">
        <f t="shared" si="2515"/>
        <v>3.7105751391465678E-3</v>
      </c>
      <c r="AH1254" s="139">
        <f t="shared" si="2515"/>
        <v>1.5769944341372914E-2</v>
      </c>
      <c r="AI1254" s="139">
        <f t="shared" si="2515"/>
        <v>8.3487940630797772E-3</v>
      </c>
    </row>
    <row r="1255" spans="2:35">
      <c r="B1255" s="138" t="s">
        <v>8077</v>
      </c>
      <c r="C1255" s="138" t="s">
        <v>4367</v>
      </c>
      <c r="D1255" s="138" t="s">
        <v>8</v>
      </c>
      <c r="E1255" s="138" t="s">
        <v>8</v>
      </c>
      <c r="F1255" s="138" t="s">
        <v>546</v>
      </c>
      <c r="H1255" s="138">
        <v>65</v>
      </c>
      <c r="I1255" s="138">
        <v>969</v>
      </c>
      <c r="J1255" s="138">
        <v>589</v>
      </c>
      <c r="K1255" s="138">
        <v>355</v>
      </c>
      <c r="N1255" s="138">
        <v>6</v>
      </c>
      <c r="O1255" s="138">
        <v>3</v>
      </c>
      <c r="R1255" s="138">
        <v>1</v>
      </c>
      <c r="S1255" s="138">
        <v>10</v>
      </c>
      <c r="T1255" s="138">
        <v>5</v>
      </c>
      <c r="U1255" s="138">
        <f t="shared" si="2048"/>
        <v>19</v>
      </c>
      <c r="W1255" s="139">
        <f t="shared" ref="W1255:AA1255" si="2516">J1255/$I1255</f>
        <v>0.60784313725490191</v>
      </c>
      <c r="X1255" s="139">
        <f t="shared" si="2516"/>
        <v>0.36635706914344685</v>
      </c>
      <c r="Y1255" s="139">
        <f t="shared" si="2516"/>
        <v>0</v>
      </c>
      <c r="Z1255" s="139">
        <f t="shared" si="2516"/>
        <v>0</v>
      </c>
      <c r="AA1255" s="139">
        <f t="shared" si="2516"/>
        <v>6.1919504643962852E-3</v>
      </c>
      <c r="AB1255" s="139"/>
      <c r="AC1255" s="139">
        <f t="shared" si="2050"/>
        <v>1.9607843137254902E-2</v>
      </c>
      <c r="AD1255" s="139">
        <f t="shared" ref="AD1255:AI1255" si="2517">O1255/$I1255</f>
        <v>3.0959752321981426E-3</v>
      </c>
      <c r="AE1255" s="139">
        <f t="shared" si="2517"/>
        <v>0</v>
      </c>
      <c r="AF1255" s="139">
        <f t="shared" si="2517"/>
        <v>0</v>
      </c>
      <c r="AG1255" s="139">
        <f t="shared" si="2517"/>
        <v>1.0319917440660474E-3</v>
      </c>
      <c r="AH1255" s="139">
        <f t="shared" si="2517"/>
        <v>1.0319917440660475E-2</v>
      </c>
      <c r="AI1255" s="139">
        <f t="shared" si="2517"/>
        <v>5.1599587203302374E-3</v>
      </c>
    </row>
    <row r="1256" spans="2:35">
      <c r="B1256" s="138" t="s">
        <v>8077</v>
      </c>
      <c r="C1256" s="138" t="s">
        <v>4367</v>
      </c>
      <c r="D1256" s="138" t="s">
        <v>8</v>
      </c>
      <c r="E1256" s="138" t="s">
        <v>8</v>
      </c>
      <c r="F1256" s="138" t="s">
        <v>573</v>
      </c>
      <c r="H1256" s="138">
        <v>66</v>
      </c>
      <c r="I1256" s="138">
        <v>234</v>
      </c>
      <c r="J1256" s="138">
        <v>110</v>
      </c>
      <c r="K1256" s="138">
        <v>115</v>
      </c>
      <c r="N1256" s="138">
        <v>3</v>
      </c>
      <c r="O1256" s="138">
        <v>1</v>
      </c>
      <c r="R1256" s="138">
        <v>0</v>
      </c>
      <c r="S1256" s="138">
        <v>1</v>
      </c>
      <c r="T1256" s="138">
        <v>4</v>
      </c>
      <c r="U1256" s="138">
        <f t="shared" si="2048"/>
        <v>6</v>
      </c>
      <c r="W1256" s="139">
        <f t="shared" ref="W1256:AA1256" si="2518">J1256/$I1256</f>
        <v>0.47008547008547008</v>
      </c>
      <c r="X1256" s="139">
        <f t="shared" si="2518"/>
        <v>0.49145299145299143</v>
      </c>
      <c r="Y1256" s="139">
        <f t="shared" si="2518"/>
        <v>0</v>
      </c>
      <c r="Z1256" s="139">
        <f t="shared" si="2518"/>
        <v>0</v>
      </c>
      <c r="AA1256" s="139">
        <f t="shared" si="2518"/>
        <v>1.282051282051282E-2</v>
      </c>
      <c r="AB1256" s="139"/>
      <c r="AC1256" s="139">
        <f t="shared" si="2050"/>
        <v>2.564102564102564E-2</v>
      </c>
      <c r="AD1256" s="139">
        <f t="shared" ref="AD1256:AI1256" si="2519">O1256/$I1256</f>
        <v>4.2735042735042739E-3</v>
      </c>
      <c r="AE1256" s="139">
        <f t="shared" si="2519"/>
        <v>0</v>
      </c>
      <c r="AF1256" s="139">
        <f t="shared" si="2519"/>
        <v>0</v>
      </c>
      <c r="AG1256" s="139">
        <f t="shared" si="2519"/>
        <v>0</v>
      </c>
      <c r="AH1256" s="139">
        <f t="shared" si="2519"/>
        <v>4.2735042735042739E-3</v>
      </c>
      <c r="AI1256" s="139">
        <f t="shared" si="2519"/>
        <v>1.7094017094017096E-2</v>
      </c>
    </row>
    <row r="1257" spans="2:35">
      <c r="B1257" s="138" t="s">
        <v>8077</v>
      </c>
      <c r="C1257" s="138" t="s">
        <v>4367</v>
      </c>
      <c r="D1257" s="138" t="s">
        <v>8</v>
      </c>
      <c r="E1257" s="138" t="s">
        <v>8</v>
      </c>
      <c r="F1257" s="138" t="s">
        <v>560</v>
      </c>
      <c r="H1257" s="138">
        <v>67</v>
      </c>
      <c r="I1257" s="138">
        <v>734</v>
      </c>
      <c r="J1257" s="138">
        <v>570</v>
      </c>
      <c r="K1257" s="138">
        <v>138</v>
      </c>
      <c r="N1257" s="138">
        <v>4</v>
      </c>
      <c r="O1257" s="138">
        <v>4</v>
      </c>
      <c r="R1257" s="138">
        <v>1</v>
      </c>
      <c r="S1257" s="138">
        <v>10</v>
      </c>
      <c r="T1257" s="138">
        <v>7</v>
      </c>
      <c r="U1257" s="138">
        <f t="shared" si="2048"/>
        <v>22</v>
      </c>
      <c r="W1257" s="139">
        <f t="shared" ref="W1257:AA1257" si="2520">J1257/$I1257</f>
        <v>0.77656675749318804</v>
      </c>
      <c r="X1257" s="139">
        <f t="shared" si="2520"/>
        <v>0.18801089918256131</v>
      </c>
      <c r="Y1257" s="139">
        <f t="shared" si="2520"/>
        <v>0</v>
      </c>
      <c r="Z1257" s="139">
        <f t="shared" si="2520"/>
        <v>0</v>
      </c>
      <c r="AA1257" s="139">
        <f t="shared" si="2520"/>
        <v>5.4495912806539508E-3</v>
      </c>
      <c r="AB1257" s="139"/>
      <c r="AC1257" s="139">
        <f t="shared" si="2050"/>
        <v>2.9972752043596729E-2</v>
      </c>
      <c r="AD1257" s="139">
        <f t="shared" ref="AD1257:AI1257" si="2521">O1257/$I1257</f>
        <v>5.4495912806539508E-3</v>
      </c>
      <c r="AE1257" s="139">
        <f t="shared" si="2521"/>
        <v>0</v>
      </c>
      <c r="AF1257" s="139">
        <f t="shared" si="2521"/>
        <v>0</v>
      </c>
      <c r="AG1257" s="139">
        <f t="shared" si="2521"/>
        <v>1.3623978201634877E-3</v>
      </c>
      <c r="AH1257" s="139">
        <f t="shared" si="2521"/>
        <v>1.3623978201634877E-2</v>
      </c>
      <c r="AI1257" s="139">
        <f t="shared" si="2521"/>
        <v>9.5367847411444145E-3</v>
      </c>
    </row>
    <row r="1258" spans="2:35">
      <c r="B1258" s="138" t="s">
        <v>8077</v>
      </c>
      <c r="C1258" s="138" t="s">
        <v>4367</v>
      </c>
      <c r="D1258" s="138" t="s">
        <v>8</v>
      </c>
      <c r="E1258" s="138" t="s">
        <v>8</v>
      </c>
      <c r="F1258" s="138" t="s">
        <v>560</v>
      </c>
      <c r="H1258" s="138">
        <v>68</v>
      </c>
      <c r="I1258" s="138">
        <v>736</v>
      </c>
      <c r="J1258" s="138">
        <v>433</v>
      </c>
      <c r="K1258" s="138">
        <v>250</v>
      </c>
      <c r="N1258" s="138">
        <v>5</v>
      </c>
      <c r="O1258" s="138">
        <v>4</v>
      </c>
      <c r="R1258" s="138">
        <v>4</v>
      </c>
      <c r="S1258" s="138">
        <v>29</v>
      </c>
      <c r="T1258" s="138">
        <v>11</v>
      </c>
      <c r="U1258" s="138">
        <f t="shared" si="2048"/>
        <v>48</v>
      </c>
      <c r="W1258" s="139">
        <f t="shared" ref="W1258:AA1258" si="2522">J1258/$I1258</f>
        <v>0.58831521739130432</v>
      </c>
      <c r="X1258" s="139">
        <f t="shared" si="2522"/>
        <v>0.33967391304347827</v>
      </c>
      <c r="Y1258" s="139">
        <f t="shared" si="2522"/>
        <v>0</v>
      </c>
      <c r="Z1258" s="139">
        <f t="shared" si="2522"/>
        <v>0</v>
      </c>
      <c r="AA1258" s="139">
        <f t="shared" si="2522"/>
        <v>6.793478260869565E-3</v>
      </c>
      <c r="AB1258" s="139"/>
      <c r="AC1258" s="139">
        <f t="shared" si="2050"/>
        <v>6.5217391304347824E-2</v>
      </c>
      <c r="AD1258" s="139">
        <f t="shared" ref="AD1258:AI1258" si="2523">O1258/$I1258</f>
        <v>5.434782608695652E-3</v>
      </c>
      <c r="AE1258" s="139">
        <f t="shared" si="2523"/>
        <v>0</v>
      </c>
      <c r="AF1258" s="139">
        <f t="shared" si="2523"/>
        <v>0</v>
      </c>
      <c r="AG1258" s="139">
        <f t="shared" si="2523"/>
        <v>5.434782608695652E-3</v>
      </c>
      <c r="AH1258" s="139">
        <f t="shared" si="2523"/>
        <v>3.940217391304348E-2</v>
      </c>
      <c r="AI1258" s="139">
        <f t="shared" si="2523"/>
        <v>1.4945652173913044E-2</v>
      </c>
    </row>
    <row r="1259" spans="2:35">
      <c r="B1259" s="138" t="s">
        <v>8077</v>
      </c>
      <c r="C1259" s="138" t="s">
        <v>4367</v>
      </c>
      <c r="D1259" s="138" t="s">
        <v>8</v>
      </c>
      <c r="E1259" s="138" t="s">
        <v>8</v>
      </c>
      <c r="F1259" s="138" t="s">
        <v>573</v>
      </c>
      <c r="H1259" s="138">
        <v>69</v>
      </c>
      <c r="I1259" s="138">
        <v>675</v>
      </c>
      <c r="J1259" s="138">
        <v>388</v>
      </c>
      <c r="K1259" s="138">
        <v>255</v>
      </c>
      <c r="N1259" s="138">
        <v>2</v>
      </c>
      <c r="O1259" s="138">
        <v>6</v>
      </c>
      <c r="R1259" s="138">
        <v>2</v>
      </c>
      <c r="S1259" s="138">
        <v>12</v>
      </c>
      <c r="T1259" s="138">
        <v>10</v>
      </c>
      <c r="U1259" s="138">
        <f t="shared" si="2048"/>
        <v>30</v>
      </c>
      <c r="W1259" s="139">
        <f t="shared" ref="W1259:AA1259" si="2524">J1259/$I1259</f>
        <v>0.57481481481481478</v>
      </c>
      <c r="X1259" s="139">
        <f t="shared" si="2524"/>
        <v>0.37777777777777777</v>
      </c>
      <c r="Y1259" s="139">
        <f t="shared" si="2524"/>
        <v>0</v>
      </c>
      <c r="Z1259" s="139">
        <f t="shared" si="2524"/>
        <v>0</v>
      </c>
      <c r="AA1259" s="139">
        <f t="shared" si="2524"/>
        <v>2.9629629629629628E-3</v>
      </c>
      <c r="AB1259" s="139"/>
      <c r="AC1259" s="139">
        <f t="shared" si="2050"/>
        <v>4.4444444444444446E-2</v>
      </c>
      <c r="AD1259" s="139">
        <f t="shared" ref="AD1259:AI1259" si="2525">O1259/$I1259</f>
        <v>8.8888888888888889E-3</v>
      </c>
      <c r="AE1259" s="139">
        <f t="shared" si="2525"/>
        <v>0</v>
      </c>
      <c r="AF1259" s="139">
        <f t="shared" si="2525"/>
        <v>0</v>
      </c>
      <c r="AG1259" s="139">
        <f t="shared" si="2525"/>
        <v>2.9629629629629628E-3</v>
      </c>
      <c r="AH1259" s="139">
        <f t="shared" si="2525"/>
        <v>1.7777777777777778E-2</v>
      </c>
      <c r="AI1259" s="139">
        <f t="shared" si="2525"/>
        <v>1.4814814814814815E-2</v>
      </c>
    </row>
    <row r="1260" spans="2:35">
      <c r="B1260" s="138" t="s">
        <v>8077</v>
      </c>
      <c r="C1260" s="138" t="s">
        <v>4367</v>
      </c>
      <c r="D1260" s="138" t="s">
        <v>8</v>
      </c>
      <c r="E1260" s="138" t="s">
        <v>8</v>
      </c>
      <c r="F1260" s="138" t="s">
        <v>575</v>
      </c>
      <c r="H1260" s="138">
        <v>70</v>
      </c>
      <c r="I1260" s="138">
        <v>964</v>
      </c>
      <c r="J1260" s="138">
        <v>617</v>
      </c>
      <c r="K1260" s="138">
        <v>320</v>
      </c>
      <c r="N1260" s="138">
        <v>5</v>
      </c>
      <c r="O1260" s="138">
        <v>1</v>
      </c>
      <c r="R1260" s="138">
        <v>0</v>
      </c>
      <c r="S1260" s="138">
        <v>14</v>
      </c>
      <c r="T1260" s="138">
        <v>7</v>
      </c>
      <c r="U1260" s="138">
        <f t="shared" si="2048"/>
        <v>22</v>
      </c>
      <c r="W1260" s="139">
        <f t="shared" ref="W1260:AA1260" si="2526">J1260/$I1260</f>
        <v>0.64004149377593356</v>
      </c>
      <c r="X1260" s="139">
        <f t="shared" si="2526"/>
        <v>0.33195020746887965</v>
      </c>
      <c r="Y1260" s="139">
        <f t="shared" si="2526"/>
        <v>0</v>
      </c>
      <c r="Z1260" s="139">
        <f t="shared" si="2526"/>
        <v>0</v>
      </c>
      <c r="AA1260" s="139">
        <f t="shared" si="2526"/>
        <v>5.1867219917012446E-3</v>
      </c>
      <c r="AB1260" s="139"/>
      <c r="AC1260" s="139">
        <f t="shared" si="2050"/>
        <v>2.2821576763485476E-2</v>
      </c>
      <c r="AD1260" s="139">
        <f t="shared" ref="AD1260:AI1260" si="2527">O1260/$I1260</f>
        <v>1.037344398340249E-3</v>
      </c>
      <c r="AE1260" s="139">
        <f t="shared" si="2527"/>
        <v>0</v>
      </c>
      <c r="AF1260" s="139">
        <f t="shared" si="2527"/>
        <v>0</v>
      </c>
      <c r="AG1260" s="139">
        <f t="shared" si="2527"/>
        <v>0</v>
      </c>
      <c r="AH1260" s="139">
        <f t="shared" si="2527"/>
        <v>1.4522821576763486E-2</v>
      </c>
      <c r="AI1260" s="139">
        <f t="shared" si="2527"/>
        <v>7.261410788381743E-3</v>
      </c>
    </row>
    <row r="1261" spans="2:35">
      <c r="B1261" s="138" t="s">
        <v>8077</v>
      </c>
      <c r="C1261" s="138" t="s">
        <v>4367</v>
      </c>
      <c r="D1261" s="138" t="s">
        <v>8</v>
      </c>
      <c r="E1261" s="138" t="s">
        <v>8</v>
      </c>
      <c r="F1261" s="138" t="s">
        <v>147</v>
      </c>
      <c r="H1261" s="138">
        <v>71</v>
      </c>
      <c r="I1261" s="138">
        <v>734</v>
      </c>
      <c r="J1261" s="138">
        <v>396</v>
      </c>
      <c r="K1261" s="138">
        <v>289</v>
      </c>
      <c r="N1261" s="138">
        <v>9</v>
      </c>
      <c r="O1261" s="138">
        <v>5</v>
      </c>
      <c r="R1261" s="138">
        <v>0</v>
      </c>
      <c r="S1261" s="138">
        <v>21</v>
      </c>
      <c r="T1261" s="138">
        <v>14</v>
      </c>
      <c r="U1261" s="138">
        <f t="shared" si="2048"/>
        <v>40</v>
      </c>
      <c r="W1261" s="139">
        <f t="shared" ref="W1261:AA1261" si="2528">J1261/$I1261</f>
        <v>0.53950953678474112</v>
      </c>
      <c r="X1261" s="139">
        <f t="shared" si="2528"/>
        <v>0.39373297002724794</v>
      </c>
      <c r="Y1261" s="139">
        <f t="shared" si="2528"/>
        <v>0</v>
      </c>
      <c r="Z1261" s="139">
        <f t="shared" si="2528"/>
        <v>0</v>
      </c>
      <c r="AA1261" s="139">
        <f t="shared" si="2528"/>
        <v>1.226158038147139E-2</v>
      </c>
      <c r="AB1261" s="139"/>
      <c r="AC1261" s="139">
        <f t="shared" si="2050"/>
        <v>5.4495912806539509E-2</v>
      </c>
      <c r="AD1261" s="139">
        <f t="shared" ref="AD1261:AI1261" si="2529">O1261/$I1261</f>
        <v>6.8119891008174387E-3</v>
      </c>
      <c r="AE1261" s="139">
        <f t="shared" si="2529"/>
        <v>0</v>
      </c>
      <c r="AF1261" s="139">
        <f t="shared" si="2529"/>
        <v>0</v>
      </c>
      <c r="AG1261" s="139">
        <f t="shared" si="2529"/>
        <v>0</v>
      </c>
      <c r="AH1261" s="139">
        <f t="shared" si="2529"/>
        <v>2.8610354223433242E-2</v>
      </c>
      <c r="AI1261" s="139">
        <f t="shared" si="2529"/>
        <v>1.9073569482288829E-2</v>
      </c>
    </row>
    <row r="1262" spans="2:35">
      <c r="B1262" s="138" t="s">
        <v>8077</v>
      </c>
      <c r="C1262" s="138" t="s">
        <v>4367</v>
      </c>
      <c r="D1262" s="138" t="s">
        <v>8</v>
      </c>
      <c r="E1262" s="138" t="s">
        <v>8</v>
      </c>
      <c r="F1262" s="138" t="s">
        <v>575</v>
      </c>
      <c r="H1262" s="138">
        <v>72</v>
      </c>
      <c r="I1262" s="138">
        <v>963</v>
      </c>
      <c r="J1262" s="138">
        <v>665</v>
      </c>
      <c r="K1262" s="138">
        <v>277</v>
      </c>
      <c r="N1262" s="138">
        <v>3</v>
      </c>
      <c r="O1262" s="138">
        <v>3</v>
      </c>
      <c r="R1262" s="138">
        <v>1</v>
      </c>
      <c r="S1262" s="138">
        <v>8</v>
      </c>
      <c r="T1262" s="138">
        <v>6</v>
      </c>
      <c r="U1262" s="138">
        <f t="shared" si="2048"/>
        <v>18</v>
      </c>
      <c r="W1262" s="139">
        <f t="shared" ref="W1262:AA1262" si="2530">J1262/$I1262</f>
        <v>0.69055036344755971</v>
      </c>
      <c r="X1262" s="139">
        <f t="shared" si="2530"/>
        <v>0.28764278296988577</v>
      </c>
      <c r="Y1262" s="139">
        <f t="shared" si="2530"/>
        <v>0</v>
      </c>
      <c r="Z1262" s="139">
        <f t="shared" si="2530"/>
        <v>0</v>
      </c>
      <c r="AA1262" s="139">
        <f t="shared" si="2530"/>
        <v>3.1152647975077881E-3</v>
      </c>
      <c r="AB1262" s="139"/>
      <c r="AC1262" s="139">
        <f t="shared" si="2050"/>
        <v>1.8691588785046728E-2</v>
      </c>
      <c r="AD1262" s="139">
        <f t="shared" ref="AD1262:AI1262" si="2531">O1262/$I1262</f>
        <v>3.1152647975077881E-3</v>
      </c>
      <c r="AE1262" s="139">
        <f t="shared" si="2531"/>
        <v>0</v>
      </c>
      <c r="AF1262" s="139">
        <f t="shared" si="2531"/>
        <v>0</v>
      </c>
      <c r="AG1262" s="139">
        <f t="shared" si="2531"/>
        <v>1.0384215991692627E-3</v>
      </c>
      <c r="AH1262" s="139">
        <f t="shared" si="2531"/>
        <v>8.3073727933541015E-3</v>
      </c>
      <c r="AI1262" s="139">
        <f t="shared" si="2531"/>
        <v>6.2305295950155761E-3</v>
      </c>
    </row>
    <row r="1263" spans="2:35">
      <c r="B1263" s="138" t="s">
        <v>8077</v>
      </c>
      <c r="C1263" s="138" t="s">
        <v>4367</v>
      </c>
      <c r="D1263" s="138" t="s">
        <v>8</v>
      </c>
      <c r="E1263" s="138" t="s">
        <v>587</v>
      </c>
      <c r="F1263" s="138" t="s">
        <v>587</v>
      </c>
      <c r="H1263" s="138">
        <v>73</v>
      </c>
      <c r="I1263" s="138">
        <v>848</v>
      </c>
      <c r="J1263" s="138">
        <v>509</v>
      </c>
      <c r="K1263" s="138">
        <v>261</v>
      </c>
      <c r="N1263" s="138">
        <v>10</v>
      </c>
      <c r="O1263" s="138">
        <v>2</v>
      </c>
      <c r="R1263" s="138">
        <v>3</v>
      </c>
      <c r="S1263" s="138">
        <v>43</v>
      </c>
      <c r="T1263" s="138">
        <v>20</v>
      </c>
      <c r="U1263" s="138">
        <f t="shared" si="2048"/>
        <v>68</v>
      </c>
      <c r="W1263" s="139">
        <f t="shared" ref="W1263:AA1263" si="2532">J1263/$I1263</f>
        <v>0.60023584905660377</v>
      </c>
      <c r="X1263" s="139">
        <f t="shared" si="2532"/>
        <v>0.30778301886792453</v>
      </c>
      <c r="Y1263" s="139">
        <f t="shared" si="2532"/>
        <v>0</v>
      </c>
      <c r="Z1263" s="139">
        <f t="shared" si="2532"/>
        <v>0</v>
      </c>
      <c r="AA1263" s="139">
        <f t="shared" si="2532"/>
        <v>1.179245283018868E-2</v>
      </c>
      <c r="AB1263" s="139"/>
      <c r="AC1263" s="139">
        <f t="shared" si="2050"/>
        <v>8.0188679245283015E-2</v>
      </c>
      <c r="AD1263" s="139">
        <f t="shared" ref="AD1263:AI1263" si="2533">O1263/$I1263</f>
        <v>2.3584905660377358E-3</v>
      </c>
      <c r="AE1263" s="139">
        <f t="shared" si="2533"/>
        <v>0</v>
      </c>
      <c r="AF1263" s="139">
        <f t="shared" si="2533"/>
        <v>0</v>
      </c>
      <c r="AG1263" s="139">
        <f t="shared" si="2533"/>
        <v>3.5377358490566039E-3</v>
      </c>
      <c r="AH1263" s="139">
        <f t="shared" si="2533"/>
        <v>5.0707547169811323E-2</v>
      </c>
      <c r="AI1263" s="139">
        <f t="shared" si="2533"/>
        <v>2.358490566037736E-2</v>
      </c>
    </row>
    <row r="1264" spans="2:35">
      <c r="B1264" s="138" t="s">
        <v>8077</v>
      </c>
      <c r="C1264" s="138" t="s">
        <v>4367</v>
      </c>
      <c r="D1264" s="138" t="s">
        <v>8</v>
      </c>
      <c r="E1264" s="138" t="s">
        <v>8</v>
      </c>
      <c r="F1264" s="138" t="s">
        <v>562</v>
      </c>
      <c r="H1264" s="138">
        <v>74</v>
      </c>
      <c r="I1264" s="138">
        <v>924</v>
      </c>
      <c r="J1264" s="138">
        <v>618</v>
      </c>
      <c r="K1264" s="138">
        <v>280</v>
      </c>
      <c r="N1264" s="138">
        <v>2</v>
      </c>
      <c r="O1264" s="138">
        <v>1</v>
      </c>
      <c r="R1264" s="138">
        <v>4</v>
      </c>
      <c r="S1264" s="138">
        <v>16</v>
      </c>
      <c r="T1264" s="138">
        <v>3</v>
      </c>
      <c r="U1264" s="138">
        <f t="shared" si="2048"/>
        <v>24</v>
      </c>
      <c r="W1264" s="139">
        <f t="shared" ref="W1264:AA1264" si="2534">J1264/$I1264</f>
        <v>0.66883116883116878</v>
      </c>
      <c r="X1264" s="139">
        <f t="shared" si="2534"/>
        <v>0.30303030303030304</v>
      </c>
      <c r="Y1264" s="139">
        <f t="shared" si="2534"/>
        <v>0</v>
      </c>
      <c r="Z1264" s="139">
        <f t="shared" si="2534"/>
        <v>0</v>
      </c>
      <c r="AA1264" s="139">
        <f t="shared" si="2534"/>
        <v>2.1645021645021645E-3</v>
      </c>
      <c r="AB1264" s="139"/>
      <c r="AC1264" s="139">
        <f t="shared" si="2050"/>
        <v>2.5974025974025976E-2</v>
      </c>
      <c r="AD1264" s="139">
        <f t="shared" ref="AD1264:AI1264" si="2535">O1264/$I1264</f>
        <v>1.0822510822510823E-3</v>
      </c>
      <c r="AE1264" s="139">
        <f t="shared" si="2535"/>
        <v>0</v>
      </c>
      <c r="AF1264" s="139">
        <f t="shared" si="2535"/>
        <v>0</v>
      </c>
      <c r="AG1264" s="139">
        <f t="shared" si="2535"/>
        <v>4.329004329004329E-3</v>
      </c>
      <c r="AH1264" s="139">
        <f t="shared" si="2535"/>
        <v>1.7316017316017316E-2</v>
      </c>
      <c r="AI1264" s="139">
        <f t="shared" si="2535"/>
        <v>3.246753246753247E-3</v>
      </c>
    </row>
    <row r="1265" spans="2:35">
      <c r="B1265" s="138" t="s">
        <v>8077</v>
      </c>
      <c r="C1265" s="138" t="s">
        <v>4367</v>
      </c>
      <c r="D1265" s="138" t="s">
        <v>8</v>
      </c>
      <c r="E1265" s="138" t="s">
        <v>8</v>
      </c>
      <c r="F1265" s="138" t="s">
        <v>562</v>
      </c>
      <c r="H1265" s="138">
        <v>75</v>
      </c>
      <c r="I1265" s="138">
        <v>730</v>
      </c>
      <c r="J1265" s="138">
        <v>460</v>
      </c>
      <c r="K1265" s="138">
        <v>204</v>
      </c>
      <c r="N1265" s="138">
        <v>11</v>
      </c>
      <c r="O1265" s="138">
        <v>5</v>
      </c>
      <c r="R1265" s="138">
        <v>1</v>
      </c>
      <c r="S1265" s="138">
        <v>31</v>
      </c>
      <c r="T1265" s="138">
        <v>18</v>
      </c>
      <c r="U1265" s="138">
        <f t="shared" si="2048"/>
        <v>55</v>
      </c>
      <c r="W1265" s="139">
        <f t="shared" ref="W1265:AA1265" si="2536">J1265/$I1265</f>
        <v>0.63013698630136983</v>
      </c>
      <c r="X1265" s="139">
        <f t="shared" si="2536"/>
        <v>0.27945205479452057</v>
      </c>
      <c r="Y1265" s="139">
        <f t="shared" si="2536"/>
        <v>0</v>
      </c>
      <c r="Z1265" s="139">
        <f t="shared" si="2536"/>
        <v>0</v>
      </c>
      <c r="AA1265" s="139">
        <f t="shared" si="2536"/>
        <v>1.5068493150684932E-2</v>
      </c>
      <c r="AB1265" s="139"/>
      <c r="AC1265" s="139">
        <f t="shared" si="2050"/>
        <v>7.5342465753424653E-2</v>
      </c>
      <c r="AD1265" s="139">
        <f t="shared" ref="AD1265:AI1265" si="2537">O1265/$I1265</f>
        <v>6.8493150684931503E-3</v>
      </c>
      <c r="AE1265" s="139">
        <f t="shared" si="2537"/>
        <v>0</v>
      </c>
      <c r="AF1265" s="139">
        <f t="shared" si="2537"/>
        <v>0</v>
      </c>
      <c r="AG1265" s="139">
        <f t="shared" si="2537"/>
        <v>1.3698630136986301E-3</v>
      </c>
      <c r="AH1265" s="139">
        <f t="shared" si="2537"/>
        <v>4.2465753424657533E-2</v>
      </c>
      <c r="AI1265" s="139">
        <f t="shared" si="2537"/>
        <v>2.4657534246575342E-2</v>
      </c>
    </row>
    <row r="1266" spans="2:35">
      <c r="B1266" s="138" t="s">
        <v>8077</v>
      </c>
      <c r="C1266" s="138" t="s">
        <v>4367</v>
      </c>
      <c r="D1266" s="138" t="s">
        <v>8</v>
      </c>
      <c r="E1266" s="138" t="s">
        <v>8</v>
      </c>
      <c r="F1266" s="138" t="s">
        <v>562</v>
      </c>
      <c r="H1266" s="138">
        <v>76</v>
      </c>
      <c r="I1266" s="138">
        <v>924</v>
      </c>
      <c r="J1266" s="138">
        <v>483</v>
      </c>
      <c r="K1266" s="138">
        <v>363</v>
      </c>
      <c r="N1266" s="138">
        <v>6</v>
      </c>
      <c r="O1266" s="138">
        <v>4</v>
      </c>
      <c r="R1266" s="138">
        <v>6</v>
      </c>
      <c r="S1266" s="138">
        <v>41</v>
      </c>
      <c r="T1266" s="138">
        <v>21</v>
      </c>
      <c r="U1266" s="138">
        <f t="shared" si="2048"/>
        <v>72</v>
      </c>
      <c r="W1266" s="139">
        <f t="shared" ref="W1266:AA1266" si="2538">J1266/$I1266</f>
        <v>0.52272727272727271</v>
      </c>
      <c r="X1266" s="139">
        <f t="shared" si="2538"/>
        <v>0.39285714285714285</v>
      </c>
      <c r="Y1266" s="139">
        <f t="shared" si="2538"/>
        <v>0</v>
      </c>
      <c r="Z1266" s="139">
        <f t="shared" si="2538"/>
        <v>0</v>
      </c>
      <c r="AA1266" s="139">
        <f t="shared" si="2538"/>
        <v>6.4935064935064939E-3</v>
      </c>
      <c r="AB1266" s="139"/>
      <c r="AC1266" s="139">
        <f t="shared" si="2050"/>
        <v>7.792207792207792E-2</v>
      </c>
      <c r="AD1266" s="139">
        <f t="shared" ref="AD1266:AI1266" si="2539">O1266/$I1266</f>
        <v>4.329004329004329E-3</v>
      </c>
      <c r="AE1266" s="139">
        <f t="shared" si="2539"/>
        <v>0</v>
      </c>
      <c r="AF1266" s="139">
        <f t="shared" si="2539"/>
        <v>0</v>
      </c>
      <c r="AG1266" s="139">
        <f t="shared" si="2539"/>
        <v>6.4935064935064939E-3</v>
      </c>
      <c r="AH1266" s="139">
        <f t="shared" si="2539"/>
        <v>4.4372294372294376E-2</v>
      </c>
      <c r="AI1266" s="139">
        <f t="shared" si="2539"/>
        <v>2.2727272727272728E-2</v>
      </c>
    </row>
    <row r="1267" spans="2:35">
      <c r="B1267" s="138" t="s">
        <v>8077</v>
      </c>
      <c r="C1267" s="138" t="s">
        <v>4367</v>
      </c>
      <c r="D1267" s="138" t="s">
        <v>8</v>
      </c>
      <c r="E1267" s="138" t="s">
        <v>15</v>
      </c>
      <c r="F1267" s="138" t="s">
        <v>366</v>
      </c>
      <c r="H1267" s="138">
        <v>77</v>
      </c>
      <c r="I1267" s="138">
        <v>523</v>
      </c>
      <c r="J1267" s="138">
        <v>266</v>
      </c>
      <c r="K1267" s="138">
        <v>234</v>
      </c>
      <c r="N1267" s="138">
        <v>1</v>
      </c>
      <c r="O1267" s="138">
        <v>4</v>
      </c>
      <c r="R1267" s="138">
        <v>1</v>
      </c>
      <c r="S1267" s="138">
        <v>12</v>
      </c>
      <c r="T1267" s="138">
        <v>5</v>
      </c>
      <c r="U1267" s="138">
        <f t="shared" si="2048"/>
        <v>22</v>
      </c>
      <c r="W1267" s="139">
        <f t="shared" ref="W1267:AA1267" si="2540">J1267/$I1267</f>
        <v>0.50860420650095606</v>
      </c>
      <c r="X1267" s="139">
        <f t="shared" si="2540"/>
        <v>0.44741873804971322</v>
      </c>
      <c r="Y1267" s="139">
        <f t="shared" si="2540"/>
        <v>0</v>
      </c>
      <c r="Z1267" s="139">
        <f t="shared" si="2540"/>
        <v>0</v>
      </c>
      <c r="AA1267" s="139">
        <f t="shared" si="2540"/>
        <v>1.9120458891013384E-3</v>
      </c>
      <c r="AB1267" s="139"/>
      <c r="AC1267" s="139">
        <f t="shared" si="2050"/>
        <v>4.2065009560229447E-2</v>
      </c>
      <c r="AD1267" s="139">
        <f t="shared" ref="AD1267:AI1267" si="2541">O1267/$I1267</f>
        <v>7.6481835564053535E-3</v>
      </c>
      <c r="AE1267" s="139">
        <f t="shared" si="2541"/>
        <v>0</v>
      </c>
      <c r="AF1267" s="139">
        <f t="shared" si="2541"/>
        <v>0</v>
      </c>
      <c r="AG1267" s="139">
        <f t="shared" si="2541"/>
        <v>1.9120458891013384E-3</v>
      </c>
      <c r="AH1267" s="139">
        <f t="shared" si="2541"/>
        <v>2.2944550669216062E-2</v>
      </c>
      <c r="AI1267" s="139">
        <f t="shared" si="2541"/>
        <v>9.5602294455066923E-3</v>
      </c>
    </row>
    <row r="1268" spans="2:35">
      <c r="B1268" s="138" t="s">
        <v>8077</v>
      </c>
      <c r="C1268" s="138" t="s">
        <v>4367</v>
      </c>
      <c r="D1268" s="138" t="s">
        <v>8</v>
      </c>
      <c r="E1268" s="138" t="s">
        <v>8</v>
      </c>
      <c r="F1268" s="138" t="s">
        <v>147</v>
      </c>
      <c r="H1268" s="138">
        <v>78</v>
      </c>
      <c r="I1268" s="138">
        <v>704</v>
      </c>
      <c r="J1268" s="138">
        <v>373</v>
      </c>
      <c r="K1268" s="138">
        <v>251</v>
      </c>
      <c r="N1268" s="138">
        <v>8</v>
      </c>
      <c r="O1268" s="138">
        <v>10</v>
      </c>
      <c r="R1268" s="138">
        <v>3</v>
      </c>
      <c r="S1268" s="138">
        <v>42</v>
      </c>
      <c r="T1268" s="138">
        <v>17</v>
      </c>
      <c r="U1268" s="138">
        <f t="shared" si="2048"/>
        <v>72</v>
      </c>
      <c r="W1268" s="139">
        <f t="shared" ref="W1268:AA1268" si="2542">J1268/$I1268</f>
        <v>0.52982954545454541</v>
      </c>
      <c r="X1268" s="139">
        <f t="shared" si="2542"/>
        <v>0.35653409090909088</v>
      </c>
      <c r="Y1268" s="139">
        <f t="shared" si="2542"/>
        <v>0</v>
      </c>
      <c r="Z1268" s="139">
        <f t="shared" si="2542"/>
        <v>0</v>
      </c>
      <c r="AA1268" s="139">
        <f t="shared" si="2542"/>
        <v>1.1363636363636364E-2</v>
      </c>
      <c r="AB1268" s="139"/>
      <c r="AC1268" s="139">
        <f t="shared" si="2050"/>
        <v>0.10227272727272728</v>
      </c>
      <c r="AD1268" s="139">
        <f t="shared" ref="AD1268:AI1268" si="2543">O1268/$I1268</f>
        <v>1.4204545454545454E-2</v>
      </c>
      <c r="AE1268" s="139">
        <f t="shared" si="2543"/>
        <v>0</v>
      </c>
      <c r="AF1268" s="139">
        <f t="shared" si="2543"/>
        <v>0</v>
      </c>
      <c r="AG1268" s="139">
        <f t="shared" si="2543"/>
        <v>4.261363636363636E-3</v>
      </c>
      <c r="AH1268" s="139">
        <f t="shared" si="2543"/>
        <v>5.9659090909090912E-2</v>
      </c>
      <c r="AI1268" s="139">
        <f t="shared" si="2543"/>
        <v>2.4147727272727272E-2</v>
      </c>
    </row>
    <row r="1269" spans="2:35">
      <c r="B1269" s="138" t="s">
        <v>8077</v>
      </c>
      <c r="C1269" s="138" t="s">
        <v>4367</v>
      </c>
      <c r="D1269" s="138" t="s">
        <v>8</v>
      </c>
      <c r="E1269" s="138" t="s">
        <v>8</v>
      </c>
      <c r="F1269" s="138" t="s">
        <v>542</v>
      </c>
      <c r="H1269" s="138">
        <v>79</v>
      </c>
      <c r="I1269" s="138">
        <v>579</v>
      </c>
      <c r="J1269" s="138">
        <v>342</v>
      </c>
      <c r="K1269" s="138">
        <v>189</v>
      </c>
      <c r="N1269" s="138">
        <v>6</v>
      </c>
      <c r="O1269" s="138">
        <v>2</v>
      </c>
      <c r="R1269" s="138">
        <v>0</v>
      </c>
      <c r="S1269" s="138">
        <v>21</v>
      </c>
      <c r="T1269" s="138">
        <v>19</v>
      </c>
      <c r="U1269" s="138">
        <f t="shared" si="2048"/>
        <v>42</v>
      </c>
      <c r="W1269" s="139">
        <f t="shared" ref="W1269:AA1269" si="2544">J1269/$I1269</f>
        <v>0.59067357512953367</v>
      </c>
      <c r="X1269" s="139">
        <f t="shared" si="2544"/>
        <v>0.32642487046632124</v>
      </c>
      <c r="Y1269" s="139">
        <f t="shared" si="2544"/>
        <v>0</v>
      </c>
      <c r="Z1269" s="139">
        <f t="shared" si="2544"/>
        <v>0</v>
      </c>
      <c r="AA1269" s="139">
        <f t="shared" si="2544"/>
        <v>1.0362694300518135E-2</v>
      </c>
      <c r="AB1269" s="139"/>
      <c r="AC1269" s="139">
        <f t="shared" si="2050"/>
        <v>7.2538860103626937E-2</v>
      </c>
      <c r="AD1269" s="139">
        <f t="shared" ref="AD1269:AI1269" si="2545">O1269/$I1269</f>
        <v>3.4542314335060447E-3</v>
      </c>
      <c r="AE1269" s="139">
        <f t="shared" si="2545"/>
        <v>0</v>
      </c>
      <c r="AF1269" s="139">
        <f t="shared" si="2545"/>
        <v>0</v>
      </c>
      <c r="AG1269" s="139">
        <f t="shared" si="2545"/>
        <v>0</v>
      </c>
      <c r="AH1269" s="139">
        <f t="shared" si="2545"/>
        <v>3.6269430051813469E-2</v>
      </c>
      <c r="AI1269" s="139">
        <f t="shared" si="2545"/>
        <v>3.281519861830743E-2</v>
      </c>
    </row>
    <row r="1270" spans="2:35">
      <c r="B1270" s="138" t="s">
        <v>8077</v>
      </c>
      <c r="C1270" s="138" t="s">
        <v>4367</v>
      </c>
      <c r="D1270" s="138" t="s">
        <v>8</v>
      </c>
      <c r="E1270" s="138" t="s">
        <v>8</v>
      </c>
      <c r="F1270" s="138" t="s">
        <v>557</v>
      </c>
      <c r="H1270" s="138">
        <v>80</v>
      </c>
      <c r="I1270" s="138">
        <v>633</v>
      </c>
      <c r="J1270" s="138">
        <v>313</v>
      </c>
      <c r="K1270" s="138">
        <v>290</v>
      </c>
      <c r="N1270" s="138">
        <v>4</v>
      </c>
      <c r="O1270" s="138">
        <v>1</v>
      </c>
      <c r="R1270" s="138">
        <v>2</v>
      </c>
      <c r="S1270" s="138">
        <v>14</v>
      </c>
      <c r="T1270" s="138">
        <v>9</v>
      </c>
      <c r="U1270" s="138">
        <f t="shared" si="2048"/>
        <v>26</v>
      </c>
      <c r="W1270" s="139">
        <f t="shared" ref="W1270:AA1270" si="2546">J1270/$I1270</f>
        <v>0.49447077409162715</v>
      </c>
      <c r="X1270" s="139">
        <f t="shared" si="2546"/>
        <v>0.45813586097946285</v>
      </c>
      <c r="Y1270" s="139">
        <f t="shared" si="2546"/>
        <v>0</v>
      </c>
      <c r="Z1270" s="139">
        <f t="shared" si="2546"/>
        <v>0</v>
      </c>
      <c r="AA1270" s="139">
        <f t="shared" si="2546"/>
        <v>6.3191153238546603E-3</v>
      </c>
      <c r="AB1270" s="139"/>
      <c r="AC1270" s="139">
        <f t="shared" si="2050"/>
        <v>4.1074249605055291E-2</v>
      </c>
      <c r="AD1270" s="139">
        <f t="shared" ref="AD1270:AI1270" si="2547">O1270/$I1270</f>
        <v>1.5797788309636651E-3</v>
      </c>
      <c r="AE1270" s="139">
        <f t="shared" si="2547"/>
        <v>0</v>
      </c>
      <c r="AF1270" s="139">
        <f t="shared" si="2547"/>
        <v>0</v>
      </c>
      <c r="AG1270" s="139">
        <f t="shared" si="2547"/>
        <v>3.1595576619273301E-3</v>
      </c>
      <c r="AH1270" s="139">
        <f t="shared" si="2547"/>
        <v>2.2116903633491312E-2</v>
      </c>
      <c r="AI1270" s="139">
        <f t="shared" si="2547"/>
        <v>1.4218009478672985E-2</v>
      </c>
    </row>
    <row r="1271" spans="2:35">
      <c r="B1271" s="138" t="s">
        <v>8077</v>
      </c>
      <c r="C1271" s="138" t="s">
        <v>4367</v>
      </c>
      <c r="D1271" s="138" t="s">
        <v>8</v>
      </c>
      <c r="E1271" s="138" t="s">
        <v>8</v>
      </c>
      <c r="F1271" s="138" t="s">
        <v>557</v>
      </c>
      <c r="H1271" s="138">
        <v>81</v>
      </c>
      <c r="I1271" s="138">
        <v>799</v>
      </c>
      <c r="J1271" s="138">
        <v>541</v>
      </c>
      <c r="K1271" s="138">
        <v>244</v>
      </c>
      <c r="N1271" s="138">
        <v>2</v>
      </c>
      <c r="O1271" s="138">
        <v>1</v>
      </c>
      <c r="R1271" s="138">
        <v>0</v>
      </c>
      <c r="S1271" s="138">
        <v>7</v>
      </c>
      <c r="T1271" s="138">
        <v>4</v>
      </c>
      <c r="U1271" s="138">
        <f t="shared" si="2048"/>
        <v>12</v>
      </c>
      <c r="W1271" s="139">
        <f t="shared" ref="W1271:AA1271" si="2548">J1271/$I1271</f>
        <v>0.6770963704630788</v>
      </c>
      <c r="X1271" s="139">
        <f t="shared" si="2548"/>
        <v>0.30538172715894868</v>
      </c>
      <c r="Y1271" s="139">
        <f t="shared" si="2548"/>
        <v>0</v>
      </c>
      <c r="Z1271" s="139">
        <f t="shared" si="2548"/>
        <v>0</v>
      </c>
      <c r="AA1271" s="139">
        <f t="shared" si="2548"/>
        <v>2.5031289111389237E-3</v>
      </c>
      <c r="AB1271" s="139"/>
      <c r="AC1271" s="139">
        <f t="shared" si="2050"/>
        <v>1.5018773466833541E-2</v>
      </c>
      <c r="AD1271" s="139">
        <f t="shared" ref="AD1271:AI1271" si="2549">O1271/$I1271</f>
        <v>1.2515644555694619E-3</v>
      </c>
      <c r="AE1271" s="139">
        <f t="shared" si="2549"/>
        <v>0</v>
      </c>
      <c r="AF1271" s="139">
        <f t="shared" si="2549"/>
        <v>0</v>
      </c>
      <c r="AG1271" s="139">
        <f t="shared" si="2549"/>
        <v>0</v>
      </c>
      <c r="AH1271" s="139">
        <f t="shared" si="2549"/>
        <v>8.7609511889862324E-3</v>
      </c>
      <c r="AI1271" s="139">
        <f t="shared" si="2549"/>
        <v>5.0062578222778474E-3</v>
      </c>
    </row>
    <row r="1272" spans="2:35">
      <c r="B1272" s="138" t="s">
        <v>8077</v>
      </c>
      <c r="C1272" s="138" t="s">
        <v>4367</v>
      </c>
      <c r="D1272" s="138" t="s">
        <v>8</v>
      </c>
      <c r="E1272" s="138" t="s">
        <v>8</v>
      </c>
      <c r="F1272" s="138" t="s">
        <v>583</v>
      </c>
      <c r="H1272" s="138">
        <v>82</v>
      </c>
      <c r="I1272" s="138">
        <v>590</v>
      </c>
      <c r="J1272" s="138">
        <v>380</v>
      </c>
      <c r="K1272" s="138">
        <v>186</v>
      </c>
      <c r="N1272" s="138">
        <v>2</v>
      </c>
      <c r="O1272" s="138">
        <v>1</v>
      </c>
      <c r="R1272" s="138">
        <v>4</v>
      </c>
      <c r="S1272" s="138">
        <v>5</v>
      </c>
      <c r="T1272" s="138">
        <v>12</v>
      </c>
      <c r="U1272" s="138">
        <f t="shared" si="2048"/>
        <v>22</v>
      </c>
      <c r="W1272" s="139">
        <f t="shared" ref="W1272:AA1272" si="2550">J1272/$I1272</f>
        <v>0.64406779661016944</v>
      </c>
      <c r="X1272" s="139">
        <f t="shared" si="2550"/>
        <v>0.31525423728813562</v>
      </c>
      <c r="Y1272" s="139">
        <f t="shared" si="2550"/>
        <v>0</v>
      </c>
      <c r="Z1272" s="139">
        <f t="shared" si="2550"/>
        <v>0</v>
      </c>
      <c r="AA1272" s="139">
        <f t="shared" si="2550"/>
        <v>3.3898305084745762E-3</v>
      </c>
      <c r="AB1272" s="139"/>
      <c r="AC1272" s="139">
        <f t="shared" si="2050"/>
        <v>3.7288135593220341E-2</v>
      </c>
      <c r="AD1272" s="139">
        <f t="shared" ref="AD1272:AI1272" si="2551">O1272/$I1272</f>
        <v>1.6949152542372881E-3</v>
      </c>
      <c r="AE1272" s="139">
        <f t="shared" si="2551"/>
        <v>0</v>
      </c>
      <c r="AF1272" s="139">
        <f t="shared" si="2551"/>
        <v>0</v>
      </c>
      <c r="AG1272" s="139">
        <f t="shared" si="2551"/>
        <v>6.7796610169491523E-3</v>
      </c>
      <c r="AH1272" s="139">
        <f t="shared" si="2551"/>
        <v>8.4745762711864406E-3</v>
      </c>
      <c r="AI1272" s="139">
        <f t="shared" si="2551"/>
        <v>2.0338983050847456E-2</v>
      </c>
    </row>
    <row r="1273" spans="2:35">
      <c r="B1273" s="138" t="s">
        <v>8077</v>
      </c>
      <c r="C1273" s="138" t="s">
        <v>4367</v>
      </c>
      <c r="D1273" s="138" t="s">
        <v>8</v>
      </c>
      <c r="E1273" s="138" t="s">
        <v>8</v>
      </c>
      <c r="F1273" s="138" t="s">
        <v>583</v>
      </c>
      <c r="H1273" s="138">
        <v>83</v>
      </c>
      <c r="I1273" s="138">
        <v>934</v>
      </c>
      <c r="J1273" s="138">
        <v>561</v>
      </c>
      <c r="K1273" s="138">
        <v>355</v>
      </c>
      <c r="N1273" s="138">
        <v>4</v>
      </c>
      <c r="O1273" s="138">
        <v>2</v>
      </c>
      <c r="R1273" s="138">
        <v>4</v>
      </c>
      <c r="S1273" s="138">
        <v>6</v>
      </c>
      <c r="T1273" s="138">
        <v>2</v>
      </c>
      <c r="U1273" s="138">
        <f t="shared" si="2048"/>
        <v>14</v>
      </c>
      <c r="W1273" s="139">
        <f t="shared" ref="W1273:AA1273" si="2552">J1273/$I1273</f>
        <v>0.60064239828693788</v>
      </c>
      <c r="X1273" s="139">
        <f t="shared" si="2552"/>
        <v>0.38008565310492504</v>
      </c>
      <c r="Y1273" s="139">
        <f t="shared" si="2552"/>
        <v>0</v>
      </c>
      <c r="Z1273" s="139">
        <f t="shared" si="2552"/>
        <v>0</v>
      </c>
      <c r="AA1273" s="139">
        <f t="shared" si="2552"/>
        <v>4.2826552462526769E-3</v>
      </c>
      <c r="AB1273" s="139"/>
      <c r="AC1273" s="139">
        <f t="shared" si="2050"/>
        <v>1.4989293361884369E-2</v>
      </c>
      <c r="AD1273" s="139">
        <f t="shared" ref="AD1273:AI1273" si="2553">O1273/$I1273</f>
        <v>2.1413276231263384E-3</v>
      </c>
      <c r="AE1273" s="139">
        <f t="shared" si="2553"/>
        <v>0</v>
      </c>
      <c r="AF1273" s="139">
        <f t="shared" si="2553"/>
        <v>0</v>
      </c>
      <c r="AG1273" s="139">
        <f t="shared" si="2553"/>
        <v>4.2826552462526769E-3</v>
      </c>
      <c r="AH1273" s="139">
        <f t="shared" si="2553"/>
        <v>6.4239828693790149E-3</v>
      </c>
      <c r="AI1273" s="139">
        <f t="shared" si="2553"/>
        <v>2.1413276231263384E-3</v>
      </c>
    </row>
    <row r="1274" spans="2:35">
      <c r="B1274" s="138" t="s">
        <v>8077</v>
      </c>
      <c r="C1274" s="138" t="s">
        <v>4367</v>
      </c>
      <c r="D1274" s="138" t="s">
        <v>8</v>
      </c>
      <c r="E1274" s="138" t="s">
        <v>8</v>
      </c>
      <c r="F1274" s="138" t="s">
        <v>583</v>
      </c>
      <c r="H1274" s="138">
        <v>84</v>
      </c>
      <c r="I1274" s="138">
        <v>569</v>
      </c>
      <c r="J1274" s="138">
        <v>299</v>
      </c>
      <c r="K1274" s="138">
        <v>257</v>
      </c>
      <c r="N1274" s="138">
        <v>4</v>
      </c>
      <c r="O1274" s="138">
        <v>2</v>
      </c>
      <c r="R1274" s="138">
        <v>2</v>
      </c>
      <c r="S1274" s="138">
        <v>3</v>
      </c>
      <c r="T1274" s="138">
        <v>2</v>
      </c>
      <c r="U1274" s="138">
        <f t="shared" si="2048"/>
        <v>9</v>
      </c>
      <c r="W1274" s="139">
        <f t="shared" ref="W1274:AA1274" si="2554">J1274/$I1274</f>
        <v>0.52548330404217924</v>
      </c>
      <c r="X1274" s="139">
        <f t="shared" si="2554"/>
        <v>0.45166959578207383</v>
      </c>
      <c r="Y1274" s="139">
        <f t="shared" si="2554"/>
        <v>0</v>
      </c>
      <c r="Z1274" s="139">
        <f t="shared" si="2554"/>
        <v>0</v>
      </c>
      <c r="AA1274" s="139">
        <f t="shared" si="2554"/>
        <v>7.0298769771528994E-3</v>
      </c>
      <c r="AB1274" s="139"/>
      <c r="AC1274" s="139">
        <f t="shared" si="2050"/>
        <v>1.5817223198594025E-2</v>
      </c>
      <c r="AD1274" s="139">
        <f t="shared" ref="AD1274:AI1274" si="2555">O1274/$I1274</f>
        <v>3.5149384885764497E-3</v>
      </c>
      <c r="AE1274" s="139">
        <f t="shared" si="2555"/>
        <v>0</v>
      </c>
      <c r="AF1274" s="139">
        <f t="shared" si="2555"/>
        <v>0</v>
      </c>
      <c r="AG1274" s="139">
        <f t="shared" si="2555"/>
        <v>3.5149384885764497E-3</v>
      </c>
      <c r="AH1274" s="139">
        <f t="shared" si="2555"/>
        <v>5.272407732864675E-3</v>
      </c>
      <c r="AI1274" s="139">
        <f t="shared" si="2555"/>
        <v>3.5149384885764497E-3</v>
      </c>
    </row>
    <row r="1275" spans="2:35">
      <c r="B1275" s="138" t="s">
        <v>8077</v>
      </c>
      <c r="C1275" s="138" t="s">
        <v>4367</v>
      </c>
      <c r="D1275" s="138" t="s">
        <v>8</v>
      </c>
      <c r="E1275" s="138" t="s">
        <v>8</v>
      </c>
      <c r="F1275" s="138" t="s">
        <v>583</v>
      </c>
      <c r="H1275" s="138">
        <v>85</v>
      </c>
      <c r="I1275" s="138">
        <v>673</v>
      </c>
      <c r="J1275" s="138">
        <v>483</v>
      </c>
      <c r="K1275" s="138">
        <v>161</v>
      </c>
      <c r="N1275" s="138">
        <v>5</v>
      </c>
      <c r="O1275" s="138">
        <v>2</v>
      </c>
      <c r="R1275" s="138">
        <v>2</v>
      </c>
      <c r="S1275" s="138">
        <v>13</v>
      </c>
      <c r="T1275" s="138">
        <v>7</v>
      </c>
      <c r="U1275" s="138">
        <f t="shared" si="2048"/>
        <v>24</v>
      </c>
      <c r="W1275" s="139">
        <f t="shared" ref="W1275:AA1275" si="2556">J1275/$I1275</f>
        <v>0.71768202080237742</v>
      </c>
      <c r="X1275" s="139">
        <f t="shared" si="2556"/>
        <v>0.23922734026745915</v>
      </c>
      <c r="Y1275" s="139">
        <f t="shared" si="2556"/>
        <v>0</v>
      </c>
      <c r="Z1275" s="139">
        <f t="shared" si="2556"/>
        <v>0</v>
      </c>
      <c r="AA1275" s="139">
        <f t="shared" si="2556"/>
        <v>7.429420505200594E-3</v>
      </c>
      <c r="AB1275" s="139"/>
      <c r="AC1275" s="139">
        <f t="shared" si="2050"/>
        <v>3.5661218424962851E-2</v>
      </c>
      <c r="AD1275" s="139">
        <f t="shared" ref="AD1275:AI1275" si="2557">O1275/$I1275</f>
        <v>2.9717682020802376E-3</v>
      </c>
      <c r="AE1275" s="139">
        <f t="shared" si="2557"/>
        <v>0</v>
      </c>
      <c r="AF1275" s="139">
        <f t="shared" si="2557"/>
        <v>0</v>
      </c>
      <c r="AG1275" s="139">
        <f t="shared" si="2557"/>
        <v>2.9717682020802376E-3</v>
      </c>
      <c r="AH1275" s="139">
        <f t="shared" si="2557"/>
        <v>1.9316493313521546E-2</v>
      </c>
      <c r="AI1275" s="139">
        <f t="shared" si="2557"/>
        <v>1.0401188707280832E-2</v>
      </c>
    </row>
    <row r="1276" spans="2:35">
      <c r="B1276" s="138" t="s">
        <v>8077</v>
      </c>
      <c r="C1276" s="138" t="s">
        <v>4367</v>
      </c>
      <c r="D1276" s="138" t="s">
        <v>8</v>
      </c>
      <c r="E1276" s="138" t="s">
        <v>8</v>
      </c>
      <c r="F1276" s="138" t="s">
        <v>583</v>
      </c>
      <c r="H1276" s="138">
        <v>86</v>
      </c>
      <c r="I1276" s="138">
        <v>897</v>
      </c>
      <c r="J1276" s="138">
        <v>527</v>
      </c>
      <c r="K1276" s="138">
        <v>340</v>
      </c>
      <c r="N1276" s="138">
        <v>2</v>
      </c>
      <c r="O1276" s="138">
        <v>3</v>
      </c>
      <c r="R1276" s="138">
        <v>2</v>
      </c>
      <c r="S1276" s="138">
        <v>15</v>
      </c>
      <c r="T1276" s="138">
        <v>8</v>
      </c>
      <c r="U1276" s="138">
        <f t="shared" si="2048"/>
        <v>28</v>
      </c>
      <c r="W1276" s="139">
        <f t="shared" ref="W1276:AA1276" si="2558">J1276/$I1276</f>
        <v>0.58751393534002228</v>
      </c>
      <c r="X1276" s="139">
        <f t="shared" si="2558"/>
        <v>0.37904124860646599</v>
      </c>
      <c r="Y1276" s="139">
        <f t="shared" si="2558"/>
        <v>0</v>
      </c>
      <c r="Z1276" s="139">
        <f t="shared" si="2558"/>
        <v>0</v>
      </c>
      <c r="AA1276" s="139">
        <f t="shared" si="2558"/>
        <v>2.229654403567447E-3</v>
      </c>
      <c r="AB1276" s="139"/>
      <c r="AC1276" s="139">
        <f t="shared" si="2050"/>
        <v>3.121516164994426E-2</v>
      </c>
      <c r="AD1276" s="139">
        <f t="shared" ref="AD1276:AI1276" si="2559">O1276/$I1276</f>
        <v>3.3444816053511705E-3</v>
      </c>
      <c r="AE1276" s="139">
        <f t="shared" si="2559"/>
        <v>0</v>
      </c>
      <c r="AF1276" s="139">
        <f t="shared" si="2559"/>
        <v>0</v>
      </c>
      <c r="AG1276" s="139">
        <f t="shared" si="2559"/>
        <v>2.229654403567447E-3</v>
      </c>
      <c r="AH1276" s="139">
        <f t="shared" si="2559"/>
        <v>1.6722408026755852E-2</v>
      </c>
      <c r="AI1276" s="139">
        <f t="shared" si="2559"/>
        <v>8.918617614269788E-3</v>
      </c>
    </row>
    <row r="1277" spans="2:35">
      <c r="B1277" s="138" t="s">
        <v>8077</v>
      </c>
      <c r="C1277" s="138" t="s">
        <v>4367</v>
      </c>
      <c r="D1277" s="138" t="s">
        <v>8</v>
      </c>
      <c r="E1277" s="138" t="s">
        <v>8</v>
      </c>
      <c r="F1277" s="138" t="s">
        <v>8</v>
      </c>
      <c r="H1277" s="138">
        <v>87</v>
      </c>
      <c r="I1277" s="138">
        <v>869</v>
      </c>
      <c r="J1277" s="138">
        <v>631</v>
      </c>
      <c r="K1277" s="138">
        <v>210</v>
      </c>
      <c r="N1277" s="138">
        <v>6</v>
      </c>
      <c r="O1277" s="138">
        <v>5</v>
      </c>
      <c r="R1277" s="138">
        <v>0</v>
      </c>
      <c r="S1277" s="138">
        <v>14</v>
      </c>
      <c r="T1277" s="138">
        <v>3</v>
      </c>
      <c r="U1277" s="138">
        <f t="shared" ref="U1277:U1531" si="2560">SUM(O1277:T1277)</f>
        <v>22</v>
      </c>
      <c r="W1277" s="139">
        <f t="shared" ref="W1277:AA1277" si="2561">J1277/$I1277</f>
        <v>0.72612197928653621</v>
      </c>
      <c r="X1277" s="139">
        <f t="shared" si="2561"/>
        <v>0.24165707710011508</v>
      </c>
      <c r="Y1277" s="139">
        <f t="shared" si="2561"/>
        <v>0</v>
      </c>
      <c r="Z1277" s="139">
        <f t="shared" si="2561"/>
        <v>0</v>
      </c>
      <c r="AA1277" s="139">
        <f t="shared" si="2561"/>
        <v>6.9044879171461446E-3</v>
      </c>
      <c r="AB1277" s="139"/>
      <c r="AC1277" s="139">
        <f t="shared" ref="AC1277:AC1531" si="2562">U1277/$I1277</f>
        <v>2.5316455696202531E-2</v>
      </c>
      <c r="AD1277" s="139">
        <f t="shared" ref="AD1277:AI1277" si="2563">O1277/$I1277</f>
        <v>5.7537399309551211E-3</v>
      </c>
      <c r="AE1277" s="139">
        <f t="shared" si="2563"/>
        <v>0</v>
      </c>
      <c r="AF1277" s="139">
        <f t="shared" si="2563"/>
        <v>0</v>
      </c>
      <c r="AG1277" s="139">
        <f t="shared" si="2563"/>
        <v>0</v>
      </c>
      <c r="AH1277" s="139">
        <f t="shared" si="2563"/>
        <v>1.611047180667434E-2</v>
      </c>
      <c r="AI1277" s="139">
        <f t="shared" si="2563"/>
        <v>3.4522439585730723E-3</v>
      </c>
    </row>
    <row r="1278" spans="2:35">
      <c r="B1278" s="138" t="s">
        <v>8077</v>
      </c>
      <c r="C1278" s="138" t="s">
        <v>4367</v>
      </c>
      <c r="D1278" s="138" t="s">
        <v>8</v>
      </c>
      <c r="E1278" s="138" t="s">
        <v>8</v>
      </c>
      <c r="F1278" s="138" t="s">
        <v>8</v>
      </c>
      <c r="H1278" s="138">
        <v>88</v>
      </c>
      <c r="I1278" s="138">
        <v>903</v>
      </c>
      <c r="J1278" s="138">
        <v>648</v>
      </c>
      <c r="K1278" s="138">
        <v>213</v>
      </c>
      <c r="N1278" s="138">
        <v>7</v>
      </c>
      <c r="O1278" s="138">
        <v>0</v>
      </c>
      <c r="R1278" s="138">
        <v>1</v>
      </c>
      <c r="S1278" s="138">
        <v>27</v>
      </c>
      <c r="T1278" s="138">
        <v>7</v>
      </c>
      <c r="U1278" s="138">
        <f t="shared" si="2560"/>
        <v>35</v>
      </c>
      <c r="W1278" s="139">
        <f t="shared" ref="W1278:AA1278" si="2564">J1278/$I1278</f>
        <v>0.71760797342192695</v>
      </c>
      <c r="X1278" s="139">
        <f t="shared" si="2564"/>
        <v>0.23588039867109634</v>
      </c>
      <c r="Y1278" s="139">
        <f t="shared" si="2564"/>
        <v>0</v>
      </c>
      <c r="Z1278" s="139">
        <f t="shared" si="2564"/>
        <v>0</v>
      </c>
      <c r="AA1278" s="139">
        <f t="shared" si="2564"/>
        <v>7.7519379844961239E-3</v>
      </c>
      <c r="AB1278" s="139"/>
      <c r="AC1278" s="139">
        <f t="shared" si="2562"/>
        <v>3.875968992248062E-2</v>
      </c>
      <c r="AD1278" s="139">
        <f t="shared" ref="AD1278:AI1278" si="2565">O1278/$I1278</f>
        <v>0</v>
      </c>
      <c r="AE1278" s="139">
        <f t="shared" si="2565"/>
        <v>0</v>
      </c>
      <c r="AF1278" s="139">
        <f t="shared" si="2565"/>
        <v>0</v>
      </c>
      <c r="AG1278" s="139">
        <f t="shared" si="2565"/>
        <v>1.1074197120708748E-3</v>
      </c>
      <c r="AH1278" s="139">
        <f t="shared" si="2565"/>
        <v>2.9900332225913623E-2</v>
      </c>
      <c r="AI1278" s="139">
        <f t="shared" si="2565"/>
        <v>7.7519379844961239E-3</v>
      </c>
    </row>
    <row r="1279" spans="2:35">
      <c r="B1279" s="138" t="s">
        <v>8077</v>
      </c>
      <c r="C1279" s="138" t="s">
        <v>4367</v>
      </c>
      <c r="D1279" s="138" t="s">
        <v>8</v>
      </c>
      <c r="E1279" s="138" t="s">
        <v>8</v>
      </c>
      <c r="F1279" s="138" t="s">
        <v>8</v>
      </c>
      <c r="H1279" s="138">
        <v>89</v>
      </c>
      <c r="I1279" s="138">
        <v>889</v>
      </c>
      <c r="J1279" s="138">
        <v>662</v>
      </c>
      <c r="K1279" s="138">
        <v>191</v>
      </c>
      <c r="N1279" s="138">
        <v>9</v>
      </c>
      <c r="O1279" s="138">
        <v>2</v>
      </c>
      <c r="R1279" s="138">
        <v>6</v>
      </c>
      <c r="S1279" s="138">
        <v>12</v>
      </c>
      <c r="T1279" s="138">
        <v>7</v>
      </c>
      <c r="U1279" s="138">
        <f t="shared" si="2560"/>
        <v>27</v>
      </c>
      <c r="W1279" s="139">
        <f t="shared" ref="W1279:AA1279" si="2566">J1279/$I1279</f>
        <v>0.74465691788526434</v>
      </c>
      <c r="X1279" s="139">
        <f t="shared" si="2566"/>
        <v>0.21484814398200225</v>
      </c>
      <c r="Y1279" s="139">
        <f t="shared" si="2566"/>
        <v>0</v>
      </c>
      <c r="Z1279" s="139">
        <f t="shared" si="2566"/>
        <v>0</v>
      </c>
      <c r="AA1279" s="139">
        <f t="shared" si="2566"/>
        <v>1.0123734533183352E-2</v>
      </c>
      <c r="AB1279" s="139"/>
      <c r="AC1279" s="139">
        <f t="shared" si="2562"/>
        <v>3.0371203599550055E-2</v>
      </c>
      <c r="AD1279" s="139">
        <f t="shared" ref="AD1279:AI1279" si="2567">O1279/$I1279</f>
        <v>2.2497187851518562E-3</v>
      </c>
      <c r="AE1279" s="139">
        <f t="shared" si="2567"/>
        <v>0</v>
      </c>
      <c r="AF1279" s="139">
        <f t="shared" si="2567"/>
        <v>0</v>
      </c>
      <c r="AG1279" s="139">
        <f t="shared" si="2567"/>
        <v>6.7491563554555678E-3</v>
      </c>
      <c r="AH1279" s="139">
        <f t="shared" si="2567"/>
        <v>1.3498312710911136E-2</v>
      </c>
      <c r="AI1279" s="139">
        <f t="shared" si="2567"/>
        <v>7.874015748031496E-3</v>
      </c>
    </row>
    <row r="1280" spans="2:35">
      <c r="B1280" s="138" t="s">
        <v>8077</v>
      </c>
      <c r="C1280" s="138" t="s">
        <v>4367</v>
      </c>
      <c r="D1280" s="138" t="s">
        <v>8</v>
      </c>
      <c r="E1280" s="138" t="s">
        <v>8</v>
      </c>
      <c r="F1280" s="138" t="s">
        <v>8</v>
      </c>
      <c r="H1280" s="138">
        <v>90</v>
      </c>
      <c r="I1280" s="138">
        <v>486</v>
      </c>
      <c r="J1280" s="138">
        <v>382</v>
      </c>
      <c r="K1280" s="138">
        <v>92</v>
      </c>
      <c r="N1280" s="138">
        <v>1</v>
      </c>
      <c r="O1280" s="138">
        <v>0</v>
      </c>
      <c r="R1280" s="138">
        <v>1</v>
      </c>
      <c r="S1280" s="138">
        <v>8</v>
      </c>
      <c r="T1280" s="138">
        <v>2</v>
      </c>
      <c r="U1280" s="138">
        <f t="shared" si="2560"/>
        <v>11</v>
      </c>
      <c r="W1280" s="139">
        <f t="shared" ref="W1280:AA1280" si="2568">J1280/$I1280</f>
        <v>0.78600823045267487</v>
      </c>
      <c r="X1280" s="139">
        <f t="shared" si="2568"/>
        <v>0.18930041152263374</v>
      </c>
      <c r="Y1280" s="139">
        <f t="shared" si="2568"/>
        <v>0</v>
      </c>
      <c r="Z1280" s="139">
        <f t="shared" si="2568"/>
        <v>0</v>
      </c>
      <c r="AA1280" s="139">
        <f t="shared" si="2568"/>
        <v>2.05761316872428E-3</v>
      </c>
      <c r="AB1280" s="139"/>
      <c r="AC1280" s="139">
        <f t="shared" si="2562"/>
        <v>2.2633744855967079E-2</v>
      </c>
      <c r="AD1280" s="139">
        <f t="shared" ref="AD1280:AI1280" si="2569">O1280/$I1280</f>
        <v>0</v>
      </c>
      <c r="AE1280" s="139">
        <f t="shared" si="2569"/>
        <v>0</v>
      </c>
      <c r="AF1280" s="139">
        <f t="shared" si="2569"/>
        <v>0</v>
      </c>
      <c r="AG1280" s="139">
        <f t="shared" si="2569"/>
        <v>2.05761316872428E-3</v>
      </c>
      <c r="AH1280" s="139">
        <f t="shared" si="2569"/>
        <v>1.646090534979424E-2</v>
      </c>
      <c r="AI1280" s="139">
        <f t="shared" si="2569"/>
        <v>4.11522633744856E-3</v>
      </c>
    </row>
    <row r="1281" spans="2:35">
      <c r="B1281" s="138" t="s">
        <v>8077</v>
      </c>
      <c r="C1281" s="138" t="s">
        <v>4367</v>
      </c>
      <c r="D1281" s="138" t="s">
        <v>8</v>
      </c>
      <c r="E1281" s="138" t="s">
        <v>8</v>
      </c>
      <c r="F1281" s="138" t="s">
        <v>8</v>
      </c>
      <c r="H1281" s="138">
        <v>91</v>
      </c>
      <c r="I1281" s="138">
        <v>819</v>
      </c>
      <c r="J1281" s="138">
        <v>597</v>
      </c>
      <c r="K1281" s="138">
        <v>196</v>
      </c>
      <c r="N1281" s="138">
        <v>5</v>
      </c>
      <c r="O1281" s="138">
        <v>0</v>
      </c>
      <c r="R1281" s="138">
        <v>1</v>
      </c>
      <c r="S1281" s="138">
        <v>17</v>
      </c>
      <c r="T1281" s="138">
        <v>3</v>
      </c>
      <c r="U1281" s="138">
        <f t="shared" si="2560"/>
        <v>21</v>
      </c>
      <c r="W1281" s="139">
        <f t="shared" ref="W1281:AA1281" si="2570">J1281/$I1281</f>
        <v>0.7289377289377289</v>
      </c>
      <c r="X1281" s="139">
        <f t="shared" si="2570"/>
        <v>0.23931623931623933</v>
      </c>
      <c r="Y1281" s="139">
        <f t="shared" si="2570"/>
        <v>0</v>
      </c>
      <c r="Z1281" s="139">
        <f t="shared" si="2570"/>
        <v>0</v>
      </c>
      <c r="AA1281" s="139">
        <f t="shared" si="2570"/>
        <v>6.105006105006105E-3</v>
      </c>
      <c r="AB1281" s="139"/>
      <c r="AC1281" s="139">
        <f t="shared" si="2562"/>
        <v>2.564102564102564E-2</v>
      </c>
      <c r="AD1281" s="139">
        <f t="shared" ref="AD1281:AI1281" si="2571">O1281/$I1281</f>
        <v>0</v>
      </c>
      <c r="AE1281" s="139">
        <f t="shared" si="2571"/>
        <v>0</v>
      </c>
      <c r="AF1281" s="139">
        <f t="shared" si="2571"/>
        <v>0</v>
      </c>
      <c r="AG1281" s="139">
        <f t="shared" si="2571"/>
        <v>1.221001221001221E-3</v>
      </c>
      <c r="AH1281" s="139">
        <f t="shared" si="2571"/>
        <v>2.0757020757020756E-2</v>
      </c>
      <c r="AI1281" s="139">
        <f t="shared" si="2571"/>
        <v>3.663003663003663E-3</v>
      </c>
    </row>
    <row r="1282" spans="2:35">
      <c r="B1282" s="138" t="s">
        <v>8077</v>
      </c>
      <c r="C1282" s="138" t="s">
        <v>4367</v>
      </c>
      <c r="D1282" s="138" t="s">
        <v>8</v>
      </c>
      <c r="E1282" s="138" t="s">
        <v>8</v>
      </c>
      <c r="F1282" s="138" t="s">
        <v>8</v>
      </c>
      <c r="H1282" s="138">
        <v>92</v>
      </c>
      <c r="I1282" s="138">
        <v>963</v>
      </c>
      <c r="J1282" s="138">
        <v>723</v>
      </c>
      <c r="K1282" s="138">
        <v>197</v>
      </c>
      <c r="N1282" s="138">
        <v>13</v>
      </c>
      <c r="O1282" s="138">
        <v>6</v>
      </c>
      <c r="R1282" s="138">
        <v>2</v>
      </c>
      <c r="S1282" s="138">
        <v>19</v>
      </c>
      <c r="T1282" s="138">
        <v>3</v>
      </c>
      <c r="U1282" s="138">
        <f t="shared" si="2560"/>
        <v>30</v>
      </c>
      <c r="W1282" s="139">
        <f t="shared" ref="W1282:AA1282" si="2572">J1282/$I1282</f>
        <v>0.75077881619937692</v>
      </c>
      <c r="X1282" s="139">
        <f t="shared" si="2572"/>
        <v>0.20456905503634476</v>
      </c>
      <c r="Y1282" s="139">
        <f t="shared" si="2572"/>
        <v>0</v>
      </c>
      <c r="Z1282" s="139">
        <f t="shared" si="2572"/>
        <v>0</v>
      </c>
      <c r="AA1282" s="139">
        <f t="shared" si="2572"/>
        <v>1.3499480789200415E-2</v>
      </c>
      <c r="AB1282" s="139"/>
      <c r="AC1282" s="139">
        <f t="shared" si="2562"/>
        <v>3.1152647975077882E-2</v>
      </c>
      <c r="AD1282" s="139">
        <f t="shared" ref="AD1282:AI1282" si="2573">O1282/$I1282</f>
        <v>6.2305295950155761E-3</v>
      </c>
      <c r="AE1282" s="139">
        <f t="shared" si="2573"/>
        <v>0</v>
      </c>
      <c r="AF1282" s="139">
        <f t="shared" si="2573"/>
        <v>0</v>
      </c>
      <c r="AG1282" s="139">
        <f t="shared" si="2573"/>
        <v>2.0768431983385254E-3</v>
      </c>
      <c r="AH1282" s="139">
        <f t="shared" si="2573"/>
        <v>1.9730010384215992E-2</v>
      </c>
      <c r="AI1282" s="139">
        <f t="shared" si="2573"/>
        <v>3.1152647975077881E-3</v>
      </c>
    </row>
    <row r="1283" spans="2:35">
      <c r="B1283" s="138" t="s">
        <v>8077</v>
      </c>
      <c r="C1283" s="138" t="s">
        <v>4367</v>
      </c>
      <c r="D1283" s="138" t="s">
        <v>8</v>
      </c>
      <c r="E1283" s="138" t="s">
        <v>8</v>
      </c>
      <c r="F1283" s="138" t="s">
        <v>8</v>
      </c>
      <c r="H1283" s="138">
        <v>93</v>
      </c>
      <c r="I1283" s="138">
        <v>788</v>
      </c>
      <c r="J1283" s="138">
        <v>505</v>
      </c>
      <c r="K1283" s="138">
        <v>242</v>
      </c>
      <c r="N1283" s="138">
        <v>5</v>
      </c>
      <c r="O1283" s="138">
        <v>4</v>
      </c>
      <c r="R1283" s="138">
        <v>1</v>
      </c>
      <c r="S1283" s="138">
        <v>21</v>
      </c>
      <c r="T1283" s="138">
        <v>10</v>
      </c>
      <c r="U1283" s="138">
        <f t="shared" si="2560"/>
        <v>36</v>
      </c>
      <c r="W1283" s="139">
        <f t="shared" ref="W1283:AA1283" si="2574">J1283/$I1283</f>
        <v>0.6408629441624365</v>
      </c>
      <c r="X1283" s="139">
        <f t="shared" si="2574"/>
        <v>0.30710659898477155</v>
      </c>
      <c r="Y1283" s="139">
        <f t="shared" si="2574"/>
        <v>0</v>
      </c>
      <c r="Z1283" s="139">
        <f t="shared" si="2574"/>
        <v>0</v>
      </c>
      <c r="AA1283" s="139">
        <f t="shared" si="2574"/>
        <v>6.3451776649746192E-3</v>
      </c>
      <c r="AB1283" s="139"/>
      <c r="AC1283" s="139">
        <f t="shared" si="2562"/>
        <v>4.5685279187817257E-2</v>
      </c>
      <c r="AD1283" s="139">
        <f t="shared" ref="AD1283:AI1283" si="2575">O1283/$I1283</f>
        <v>5.076142131979695E-3</v>
      </c>
      <c r="AE1283" s="139">
        <f t="shared" si="2575"/>
        <v>0</v>
      </c>
      <c r="AF1283" s="139">
        <f t="shared" si="2575"/>
        <v>0</v>
      </c>
      <c r="AG1283" s="139">
        <f t="shared" si="2575"/>
        <v>1.2690355329949238E-3</v>
      </c>
      <c r="AH1283" s="139">
        <f t="shared" si="2575"/>
        <v>2.6649746192893401E-2</v>
      </c>
      <c r="AI1283" s="139">
        <f t="shared" si="2575"/>
        <v>1.2690355329949238E-2</v>
      </c>
    </row>
    <row r="1284" spans="2:35">
      <c r="B1284" s="138" t="s">
        <v>8077</v>
      </c>
      <c r="C1284" s="138" t="s">
        <v>4367</v>
      </c>
      <c r="D1284" s="138" t="s">
        <v>8</v>
      </c>
      <c r="E1284" s="138" t="s">
        <v>8</v>
      </c>
      <c r="F1284" s="138" t="s">
        <v>8</v>
      </c>
      <c r="H1284" s="138">
        <v>94</v>
      </c>
      <c r="I1284" s="138">
        <v>896</v>
      </c>
      <c r="J1284" s="138">
        <v>587</v>
      </c>
      <c r="K1284" s="138">
        <v>285</v>
      </c>
      <c r="N1284" s="138">
        <v>6</v>
      </c>
      <c r="O1284" s="138">
        <v>2</v>
      </c>
      <c r="R1284" s="138">
        <v>2</v>
      </c>
      <c r="S1284" s="138">
        <v>7</v>
      </c>
      <c r="T1284" s="138">
        <v>7</v>
      </c>
      <c r="U1284" s="138">
        <f t="shared" si="2560"/>
        <v>18</v>
      </c>
      <c r="W1284" s="139">
        <f t="shared" ref="W1284:AA1284" si="2576">J1284/$I1284</f>
        <v>0.6551339285714286</v>
      </c>
      <c r="X1284" s="139">
        <f t="shared" si="2576"/>
        <v>0.31808035714285715</v>
      </c>
      <c r="Y1284" s="139">
        <f t="shared" si="2576"/>
        <v>0</v>
      </c>
      <c r="Z1284" s="139">
        <f t="shared" si="2576"/>
        <v>0</v>
      </c>
      <c r="AA1284" s="139">
        <f t="shared" si="2576"/>
        <v>6.6964285714285711E-3</v>
      </c>
      <c r="AB1284" s="139"/>
      <c r="AC1284" s="139">
        <f t="shared" si="2562"/>
        <v>2.0089285714285716E-2</v>
      </c>
      <c r="AD1284" s="139">
        <f t="shared" ref="AD1284:AI1284" si="2577">O1284/$I1284</f>
        <v>2.232142857142857E-3</v>
      </c>
      <c r="AE1284" s="139">
        <f t="shared" si="2577"/>
        <v>0</v>
      </c>
      <c r="AF1284" s="139">
        <f t="shared" si="2577"/>
        <v>0</v>
      </c>
      <c r="AG1284" s="139">
        <f t="shared" si="2577"/>
        <v>2.232142857142857E-3</v>
      </c>
      <c r="AH1284" s="139">
        <f t="shared" si="2577"/>
        <v>7.8125E-3</v>
      </c>
      <c r="AI1284" s="139">
        <f t="shared" si="2577"/>
        <v>7.8125E-3</v>
      </c>
    </row>
    <row r="1285" spans="2:35">
      <c r="B1285" s="138" t="s">
        <v>8077</v>
      </c>
      <c r="C1285" s="138" t="s">
        <v>4367</v>
      </c>
      <c r="D1285" s="138" t="s">
        <v>8</v>
      </c>
      <c r="E1285" s="138" t="s">
        <v>8</v>
      </c>
      <c r="F1285" s="138" t="s">
        <v>8</v>
      </c>
      <c r="H1285" s="138">
        <v>95</v>
      </c>
      <c r="I1285" s="138">
        <v>860</v>
      </c>
      <c r="J1285" s="138">
        <v>581</v>
      </c>
      <c r="K1285" s="138">
        <v>252</v>
      </c>
      <c r="N1285" s="138">
        <v>5</v>
      </c>
      <c r="O1285" s="138">
        <v>3</v>
      </c>
      <c r="R1285" s="138">
        <v>1</v>
      </c>
      <c r="S1285" s="138">
        <v>14</v>
      </c>
      <c r="T1285" s="138">
        <v>4</v>
      </c>
      <c r="U1285" s="138">
        <f t="shared" si="2560"/>
        <v>22</v>
      </c>
      <c r="W1285" s="139">
        <f t="shared" ref="W1285:AA1285" si="2578">J1285/$I1285</f>
        <v>0.67558139534883721</v>
      </c>
      <c r="X1285" s="139">
        <f t="shared" si="2578"/>
        <v>0.2930232558139535</v>
      </c>
      <c r="Y1285" s="139">
        <f t="shared" si="2578"/>
        <v>0</v>
      </c>
      <c r="Z1285" s="139">
        <f t="shared" si="2578"/>
        <v>0</v>
      </c>
      <c r="AA1285" s="139">
        <f t="shared" si="2578"/>
        <v>5.8139534883720929E-3</v>
      </c>
      <c r="AB1285" s="139"/>
      <c r="AC1285" s="139">
        <f t="shared" si="2562"/>
        <v>2.5581395348837209E-2</v>
      </c>
      <c r="AD1285" s="139">
        <f t="shared" ref="AD1285:AI1285" si="2579">O1285/$I1285</f>
        <v>3.4883720930232558E-3</v>
      </c>
      <c r="AE1285" s="139">
        <f t="shared" si="2579"/>
        <v>0</v>
      </c>
      <c r="AF1285" s="139">
        <f t="shared" si="2579"/>
        <v>0</v>
      </c>
      <c r="AG1285" s="139">
        <f t="shared" si="2579"/>
        <v>1.1627906976744186E-3</v>
      </c>
      <c r="AH1285" s="139">
        <f t="shared" si="2579"/>
        <v>1.627906976744186E-2</v>
      </c>
      <c r="AI1285" s="139">
        <f t="shared" si="2579"/>
        <v>4.6511627906976744E-3</v>
      </c>
    </row>
    <row r="1286" spans="2:35">
      <c r="B1286" s="138" t="s">
        <v>8077</v>
      </c>
      <c r="C1286" s="138" t="s">
        <v>4367</v>
      </c>
      <c r="D1286" s="138" t="s">
        <v>8</v>
      </c>
      <c r="E1286" s="138" t="s">
        <v>8</v>
      </c>
      <c r="F1286" s="138" t="s">
        <v>581</v>
      </c>
      <c r="H1286" s="138">
        <v>96</v>
      </c>
      <c r="I1286" s="138">
        <v>859</v>
      </c>
      <c r="J1286" s="138">
        <v>549</v>
      </c>
      <c r="K1286" s="138">
        <v>256</v>
      </c>
      <c r="N1286" s="138">
        <v>9</v>
      </c>
      <c r="O1286" s="138">
        <v>3</v>
      </c>
      <c r="R1286" s="138">
        <v>1</v>
      </c>
      <c r="S1286" s="138">
        <v>32</v>
      </c>
      <c r="T1286" s="138">
        <v>9</v>
      </c>
      <c r="U1286" s="138">
        <f t="shared" si="2560"/>
        <v>45</v>
      </c>
      <c r="W1286" s="139">
        <f t="shared" ref="W1286:AA1286" si="2580">J1286/$I1286</f>
        <v>0.63911525029103611</v>
      </c>
      <c r="X1286" s="139">
        <f t="shared" si="2580"/>
        <v>0.29802095459837019</v>
      </c>
      <c r="Y1286" s="139">
        <f t="shared" si="2580"/>
        <v>0</v>
      </c>
      <c r="Z1286" s="139">
        <f t="shared" si="2580"/>
        <v>0</v>
      </c>
      <c r="AA1286" s="139">
        <f t="shared" si="2580"/>
        <v>1.0477299185098952E-2</v>
      </c>
      <c r="AB1286" s="139"/>
      <c r="AC1286" s="139">
        <f t="shared" si="2562"/>
        <v>5.2386495925494762E-2</v>
      </c>
      <c r="AD1286" s="139">
        <f t="shared" ref="AD1286:AI1286" si="2581">O1286/$I1286</f>
        <v>3.4924330616996507E-3</v>
      </c>
      <c r="AE1286" s="139">
        <f t="shared" si="2581"/>
        <v>0</v>
      </c>
      <c r="AF1286" s="139">
        <f t="shared" si="2581"/>
        <v>0</v>
      </c>
      <c r="AG1286" s="139">
        <f t="shared" si="2581"/>
        <v>1.1641443538998836E-3</v>
      </c>
      <c r="AH1286" s="139">
        <f t="shared" si="2581"/>
        <v>3.7252619324796274E-2</v>
      </c>
      <c r="AI1286" s="139">
        <f t="shared" si="2581"/>
        <v>1.0477299185098952E-2</v>
      </c>
    </row>
    <row r="1287" spans="2:35">
      <c r="B1287" s="138" t="s">
        <v>8077</v>
      </c>
      <c r="C1287" s="138" t="s">
        <v>4367</v>
      </c>
      <c r="D1287" s="138" t="s">
        <v>8</v>
      </c>
      <c r="E1287" s="138" t="s">
        <v>8</v>
      </c>
      <c r="F1287" s="138" t="s">
        <v>581</v>
      </c>
      <c r="H1287" s="138">
        <v>97</v>
      </c>
      <c r="I1287" s="138">
        <v>903</v>
      </c>
      <c r="J1287" s="138">
        <v>547</v>
      </c>
      <c r="K1287" s="138">
        <v>332</v>
      </c>
      <c r="N1287" s="138">
        <v>8</v>
      </c>
      <c r="O1287" s="138">
        <v>5</v>
      </c>
      <c r="R1287" s="138">
        <v>1</v>
      </c>
      <c r="S1287" s="138">
        <v>7</v>
      </c>
      <c r="T1287" s="138">
        <v>3</v>
      </c>
      <c r="U1287" s="138">
        <f t="shared" si="2560"/>
        <v>16</v>
      </c>
      <c r="W1287" s="139">
        <f t="shared" ref="W1287:AA1287" si="2582">J1287/$I1287</f>
        <v>0.60575858250276859</v>
      </c>
      <c r="X1287" s="139">
        <f t="shared" si="2582"/>
        <v>0.36766334440753046</v>
      </c>
      <c r="Y1287" s="139">
        <f t="shared" si="2582"/>
        <v>0</v>
      </c>
      <c r="Z1287" s="139">
        <f t="shared" si="2582"/>
        <v>0</v>
      </c>
      <c r="AA1287" s="139">
        <f t="shared" si="2582"/>
        <v>8.8593576965669985E-3</v>
      </c>
      <c r="AB1287" s="139"/>
      <c r="AC1287" s="139">
        <f t="shared" si="2562"/>
        <v>1.7718715393133997E-2</v>
      </c>
      <c r="AD1287" s="139">
        <f t="shared" ref="AD1287:AI1287" si="2583">O1287/$I1287</f>
        <v>5.5370985603543747E-3</v>
      </c>
      <c r="AE1287" s="139">
        <f t="shared" si="2583"/>
        <v>0</v>
      </c>
      <c r="AF1287" s="139">
        <f t="shared" si="2583"/>
        <v>0</v>
      </c>
      <c r="AG1287" s="139">
        <f t="shared" si="2583"/>
        <v>1.1074197120708748E-3</v>
      </c>
      <c r="AH1287" s="139">
        <f t="shared" si="2583"/>
        <v>7.7519379844961239E-3</v>
      </c>
      <c r="AI1287" s="139">
        <f t="shared" si="2583"/>
        <v>3.3222591362126247E-3</v>
      </c>
    </row>
    <row r="1288" spans="2:35">
      <c r="B1288" s="138" t="s">
        <v>8077</v>
      </c>
      <c r="C1288" s="138" t="s">
        <v>4367</v>
      </c>
      <c r="D1288" s="138" t="s">
        <v>8</v>
      </c>
      <c r="E1288" s="138" t="s">
        <v>8</v>
      </c>
      <c r="F1288" s="138" t="s">
        <v>581</v>
      </c>
      <c r="H1288" s="138">
        <v>98</v>
      </c>
      <c r="I1288" s="138">
        <v>884</v>
      </c>
      <c r="J1288" s="138">
        <v>565</v>
      </c>
      <c r="K1288" s="138">
        <v>290</v>
      </c>
      <c r="N1288" s="138">
        <v>10</v>
      </c>
      <c r="O1288" s="138">
        <v>2</v>
      </c>
      <c r="R1288" s="138">
        <v>2</v>
      </c>
      <c r="S1288" s="138">
        <v>9</v>
      </c>
      <c r="T1288" s="138">
        <v>6</v>
      </c>
      <c r="U1288" s="138">
        <f t="shared" si="2560"/>
        <v>19</v>
      </c>
      <c r="W1288" s="139">
        <f t="shared" ref="W1288:AA1288" si="2584">J1288/$I1288</f>
        <v>0.63914027149321262</v>
      </c>
      <c r="X1288" s="139">
        <f t="shared" si="2584"/>
        <v>0.32805429864253394</v>
      </c>
      <c r="Y1288" s="139">
        <f t="shared" si="2584"/>
        <v>0</v>
      </c>
      <c r="Z1288" s="139">
        <f t="shared" si="2584"/>
        <v>0</v>
      </c>
      <c r="AA1288" s="139">
        <f t="shared" si="2584"/>
        <v>1.1312217194570135E-2</v>
      </c>
      <c r="AB1288" s="139"/>
      <c r="AC1288" s="139">
        <f t="shared" si="2562"/>
        <v>2.1493212669683258E-2</v>
      </c>
      <c r="AD1288" s="139">
        <f t="shared" ref="AD1288:AI1288" si="2585">O1288/$I1288</f>
        <v>2.2624434389140274E-3</v>
      </c>
      <c r="AE1288" s="139">
        <f t="shared" si="2585"/>
        <v>0</v>
      </c>
      <c r="AF1288" s="139">
        <f t="shared" si="2585"/>
        <v>0</v>
      </c>
      <c r="AG1288" s="139">
        <f t="shared" si="2585"/>
        <v>2.2624434389140274E-3</v>
      </c>
      <c r="AH1288" s="139">
        <f t="shared" si="2585"/>
        <v>1.0180995475113122E-2</v>
      </c>
      <c r="AI1288" s="139">
        <f t="shared" si="2585"/>
        <v>6.7873303167420816E-3</v>
      </c>
    </row>
    <row r="1289" spans="2:35">
      <c r="B1289" s="138" t="s">
        <v>8077</v>
      </c>
      <c r="C1289" s="138" t="s">
        <v>4367</v>
      </c>
      <c r="D1289" s="138" t="s">
        <v>8</v>
      </c>
      <c r="E1289" s="138" t="s">
        <v>8</v>
      </c>
      <c r="F1289" s="138" t="s">
        <v>581</v>
      </c>
      <c r="H1289" s="138">
        <v>99</v>
      </c>
      <c r="I1289" s="138">
        <v>791</v>
      </c>
      <c r="J1289" s="138">
        <v>492</v>
      </c>
      <c r="K1289" s="138">
        <v>254</v>
      </c>
      <c r="N1289" s="138">
        <v>10</v>
      </c>
      <c r="O1289" s="138">
        <v>3</v>
      </c>
      <c r="R1289" s="138">
        <v>3</v>
      </c>
      <c r="S1289" s="138">
        <v>18</v>
      </c>
      <c r="T1289" s="138">
        <v>11</v>
      </c>
      <c r="U1289" s="138">
        <f t="shared" si="2560"/>
        <v>35</v>
      </c>
      <c r="W1289" s="139">
        <f t="shared" ref="W1289:AA1289" si="2586">J1289/$I1289</f>
        <v>0.62199747155499363</v>
      </c>
      <c r="X1289" s="139">
        <f t="shared" si="2586"/>
        <v>0.32111251580278127</v>
      </c>
      <c r="Y1289" s="139">
        <f t="shared" si="2586"/>
        <v>0</v>
      </c>
      <c r="Z1289" s="139">
        <f t="shared" si="2586"/>
        <v>0</v>
      </c>
      <c r="AA1289" s="139">
        <f t="shared" si="2586"/>
        <v>1.2642225031605562E-2</v>
      </c>
      <c r="AB1289" s="139"/>
      <c r="AC1289" s="139">
        <f t="shared" si="2562"/>
        <v>4.4247787610619468E-2</v>
      </c>
      <c r="AD1289" s="139">
        <f t="shared" ref="AD1289:AI1289" si="2587">O1289/$I1289</f>
        <v>3.7926675094816687E-3</v>
      </c>
      <c r="AE1289" s="139">
        <f t="shared" si="2587"/>
        <v>0</v>
      </c>
      <c r="AF1289" s="139">
        <f t="shared" si="2587"/>
        <v>0</v>
      </c>
      <c r="AG1289" s="139">
        <f t="shared" si="2587"/>
        <v>3.7926675094816687E-3</v>
      </c>
      <c r="AH1289" s="139">
        <f t="shared" si="2587"/>
        <v>2.2756005056890013E-2</v>
      </c>
      <c r="AI1289" s="139">
        <f t="shared" si="2587"/>
        <v>1.3906447534766119E-2</v>
      </c>
    </row>
    <row r="1290" spans="2:35">
      <c r="B1290" s="138" t="s">
        <v>8077</v>
      </c>
      <c r="C1290" s="138" t="s">
        <v>4367</v>
      </c>
      <c r="D1290" s="138" t="s">
        <v>8</v>
      </c>
      <c r="E1290" s="138" t="s">
        <v>8</v>
      </c>
      <c r="F1290" s="138" t="s">
        <v>581</v>
      </c>
      <c r="H1290" s="138">
        <v>100</v>
      </c>
      <c r="I1290" s="138">
        <v>813</v>
      </c>
      <c r="J1290" s="138">
        <v>474</v>
      </c>
      <c r="K1290" s="138">
        <v>294</v>
      </c>
      <c r="N1290" s="138">
        <v>3</v>
      </c>
      <c r="O1290" s="138">
        <v>2</v>
      </c>
      <c r="R1290" s="138">
        <v>2</v>
      </c>
      <c r="S1290" s="138">
        <v>17</v>
      </c>
      <c r="T1290" s="138">
        <v>21</v>
      </c>
      <c r="U1290" s="138">
        <f t="shared" si="2560"/>
        <v>42</v>
      </c>
      <c r="W1290" s="139">
        <f t="shared" ref="W1290:AA1290" si="2588">J1290/$I1290</f>
        <v>0.58302583025830257</v>
      </c>
      <c r="X1290" s="139">
        <f t="shared" si="2588"/>
        <v>0.36162361623616235</v>
      </c>
      <c r="Y1290" s="139">
        <f t="shared" si="2588"/>
        <v>0</v>
      </c>
      <c r="Z1290" s="139">
        <f t="shared" si="2588"/>
        <v>0</v>
      </c>
      <c r="AA1290" s="139">
        <f t="shared" si="2588"/>
        <v>3.6900369003690036E-3</v>
      </c>
      <c r="AB1290" s="139"/>
      <c r="AC1290" s="139">
        <f t="shared" si="2562"/>
        <v>5.1660516605166053E-2</v>
      </c>
      <c r="AD1290" s="139">
        <f t="shared" ref="AD1290:AI1290" si="2589">O1290/$I1290</f>
        <v>2.4600246002460025E-3</v>
      </c>
      <c r="AE1290" s="139">
        <f t="shared" si="2589"/>
        <v>0</v>
      </c>
      <c r="AF1290" s="139">
        <f t="shared" si="2589"/>
        <v>0</v>
      </c>
      <c r="AG1290" s="139">
        <f t="shared" si="2589"/>
        <v>2.4600246002460025E-3</v>
      </c>
      <c r="AH1290" s="139">
        <f t="shared" si="2589"/>
        <v>2.0910209102091022E-2</v>
      </c>
      <c r="AI1290" s="139">
        <f t="shared" si="2589"/>
        <v>2.5830258302583026E-2</v>
      </c>
    </row>
    <row r="1291" spans="2:35">
      <c r="B1291" s="138" t="s">
        <v>8077</v>
      </c>
      <c r="C1291" s="138" t="s">
        <v>4367</v>
      </c>
      <c r="D1291" s="138" t="s">
        <v>8</v>
      </c>
      <c r="E1291" s="138" t="s">
        <v>8</v>
      </c>
      <c r="F1291" s="138" t="s">
        <v>581</v>
      </c>
      <c r="H1291" s="138">
        <v>101</v>
      </c>
      <c r="I1291" s="138">
        <v>740</v>
      </c>
      <c r="J1291" s="138">
        <v>440</v>
      </c>
      <c r="K1291" s="138">
        <v>286</v>
      </c>
      <c r="N1291" s="138">
        <v>2</v>
      </c>
      <c r="O1291" s="138">
        <v>2</v>
      </c>
      <c r="R1291" s="138">
        <v>2</v>
      </c>
      <c r="S1291" s="138">
        <v>3</v>
      </c>
      <c r="T1291" s="138">
        <v>5</v>
      </c>
      <c r="U1291" s="138">
        <f t="shared" si="2560"/>
        <v>12</v>
      </c>
      <c r="W1291" s="139">
        <f t="shared" ref="W1291:AA1291" si="2590">J1291/$I1291</f>
        <v>0.59459459459459463</v>
      </c>
      <c r="X1291" s="139">
        <f t="shared" si="2590"/>
        <v>0.38648648648648648</v>
      </c>
      <c r="Y1291" s="139">
        <f t="shared" si="2590"/>
        <v>0</v>
      </c>
      <c r="Z1291" s="139">
        <f t="shared" si="2590"/>
        <v>0</v>
      </c>
      <c r="AA1291" s="139">
        <f t="shared" si="2590"/>
        <v>2.7027027027027029E-3</v>
      </c>
      <c r="AB1291" s="139"/>
      <c r="AC1291" s="139">
        <f t="shared" si="2562"/>
        <v>1.6216216216216217E-2</v>
      </c>
      <c r="AD1291" s="139">
        <f t="shared" ref="AD1291:AI1291" si="2591">O1291/$I1291</f>
        <v>2.7027027027027029E-3</v>
      </c>
      <c r="AE1291" s="139">
        <f t="shared" si="2591"/>
        <v>0</v>
      </c>
      <c r="AF1291" s="139">
        <f t="shared" si="2591"/>
        <v>0</v>
      </c>
      <c r="AG1291" s="139">
        <f t="shared" si="2591"/>
        <v>2.7027027027027029E-3</v>
      </c>
      <c r="AH1291" s="139">
        <f t="shared" si="2591"/>
        <v>4.0540540540540543E-3</v>
      </c>
      <c r="AI1291" s="139">
        <f t="shared" si="2591"/>
        <v>6.7567567567567571E-3</v>
      </c>
    </row>
    <row r="1292" spans="2:35">
      <c r="B1292" s="138" t="s">
        <v>8077</v>
      </c>
      <c r="C1292" s="138" t="s">
        <v>4367</v>
      </c>
      <c r="D1292" s="138" t="s">
        <v>8</v>
      </c>
      <c r="E1292" s="138" t="s">
        <v>8</v>
      </c>
      <c r="F1292" s="138" t="s">
        <v>570</v>
      </c>
      <c r="H1292" s="138">
        <v>102</v>
      </c>
      <c r="I1292" s="138">
        <v>866</v>
      </c>
      <c r="J1292" s="138">
        <v>509</v>
      </c>
      <c r="K1292" s="138">
        <v>327</v>
      </c>
      <c r="N1292" s="138">
        <v>2</v>
      </c>
      <c r="O1292" s="138">
        <v>5</v>
      </c>
      <c r="R1292" s="138">
        <v>1</v>
      </c>
      <c r="S1292" s="138">
        <v>14</v>
      </c>
      <c r="T1292" s="138">
        <v>8</v>
      </c>
      <c r="U1292" s="138">
        <f t="shared" si="2560"/>
        <v>28</v>
      </c>
      <c r="W1292" s="139">
        <f t="shared" ref="W1292:AA1292" si="2592">J1292/$I1292</f>
        <v>0.58775981524249421</v>
      </c>
      <c r="X1292" s="139">
        <f t="shared" si="2592"/>
        <v>0.37759815242494227</v>
      </c>
      <c r="Y1292" s="139">
        <f t="shared" si="2592"/>
        <v>0</v>
      </c>
      <c r="Z1292" s="139">
        <f t="shared" si="2592"/>
        <v>0</v>
      </c>
      <c r="AA1292" s="139">
        <f t="shared" si="2592"/>
        <v>2.3094688221709007E-3</v>
      </c>
      <c r="AB1292" s="139"/>
      <c r="AC1292" s="139">
        <f t="shared" si="2562"/>
        <v>3.2332563510392612E-2</v>
      </c>
      <c r="AD1292" s="139">
        <f t="shared" ref="AD1292:AI1292" si="2593">O1292/$I1292</f>
        <v>5.7736720554272519E-3</v>
      </c>
      <c r="AE1292" s="139">
        <f t="shared" si="2593"/>
        <v>0</v>
      </c>
      <c r="AF1292" s="139">
        <f t="shared" si="2593"/>
        <v>0</v>
      </c>
      <c r="AG1292" s="139">
        <f t="shared" si="2593"/>
        <v>1.1547344110854503E-3</v>
      </c>
      <c r="AH1292" s="139">
        <f t="shared" si="2593"/>
        <v>1.6166281755196306E-2</v>
      </c>
      <c r="AI1292" s="139">
        <f t="shared" si="2593"/>
        <v>9.2378752886836026E-3</v>
      </c>
    </row>
    <row r="1293" spans="2:35">
      <c r="B1293" s="138" t="s">
        <v>8077</v>
      </c>
      <c r="C1293" s="138" t="s">
        <v>4367</v>
      </c>
      <c r="D1293" s="138" t="s">
        <v>8</v>
      </c>
      <c r="E1293" s="138" t="s">
        <v>8</v>
      </c>
      <c r="F1293" s="138" t="s">
        <v>570</v>
      </c>
      <c r="H1293" s="138">
        <v>103</v>
      </c>
      <c r="I1293" s="138">
        <v>978</v>
      </c>
      <c r="J1293" s="138">
        <v>577</v>
      </c>
      <c r="K1293" s="138">
        <v>360</v>
      </c>
      <c r="N1293" s="138">
        <v>3</v>
      </c>
      <c r="O1293" s="138">
        <v>2</v>
      </c>
      <c r="R1293" s="138">
        <v>5</v>
      </c>
      <c r="S1293" s="138">
        <v>21</v>
      </c>
      <c r="T1293" s="138">
        <v>10</v>
      </c>
      <c r="U1293" s="138">
        <f t="shared" si="2560"/>
        <v>38</v>
      </c>
      <c r="W1293" s="139">
        <f t="shared" ref="W1293:AA1293" si="2594">J1293/$I1293</f>
        <v>0.58997955010224945</v>
      </c>
      <c r="X1293" s="139">
        <f t="shared" si="2594"/>
        <v>0.36809815950920244</v>
      </c>
      <c r="Y1293" s="139">
        <f t="shared" si="2594"/>
        <v>0</v>
      </c>
      <c r="Z1293" s="139">
        <f t="shared" si="2594"/>
        <v>0</v>
      </c>
      <c r="AA1293" s="139">
        <f t="shared" si="2594"/>
        <v>3.0674846625766872E-3</v>
      </c>
      <c r="AB1293" s="139"/>
      <c r="AC1293" s="139">
        <f t="shared" si="2562"/>
        <v>3.8854805725971372E-2</v>
      </c>
      <c r="AD1293" s="139">
        <f t="shared" ref="AD1293:AI1293" si="2595">O1293/$I1293</f>
        <v>2.0449897750511249E-3</v>
      </c>
      <c r="AE1293" s="139">
        <f t="shared" si="2595"/>
        <v>0</v>
      </c>
      <c r="AF1293" s="139">
        <f t="shared" si="2595"/>
        <v>0</v>
      </c>
      <c r="AG1293" s="139">
        <f t="shared" si="2595"/>
        <v>5.1124744376278121E-3</v>
      </c>
      <c r="AH1293" s="139">
        <f t="shared" si="2595"/>
        <v>2.1472392638036811E-2</v>
      </c>
      <c r="AI1293" s="139">
        <f t="shared" si="2595"/>
        <v>1.0224948875255624E-2</v>
      </c>
    </row>
    <row r="1294" spans="2:35">
      <c r="B1294" s="138" t="s">
        <v>8077</v>
      </c>
      <c r="C1294" s="138" t="s">
        <v>4367</v>
      </c>
      <c r="D1294" s="138" t="s">
        <v>8</v>
      </c>
      <c r="E1294" s="138" t="s">
        <v>8</v>
      </c>
      <c r="F1294" s="138" t="s">
        <v>562</v>
      </c>
      <c r="H1294" s="138">
        <v>104</v>
      </c>
      <c r="I1294" s="138">
        <v>527</v>
      </c>
      <c r="J1294" s="138">
        <v>291</v>
      </c>
      <c r="K1294" s="138">
        <v>194</v>
      </c>
      <c r="N1294" s="138">
        <v>3</v>
      </c>
      <c r="O1294" s="138">
        <v>2</v>
      </c>
      <c r="R1294" s="138">
        <v>14</v>
      </c>
      <c r="S1294" s="138">
        <v>11</v>
      </c>
      <c r="T1294" s="138">
        <v>12</v>
      </c>
      <c r="U1294" s="138">
        <f t="shared" si="2560"/>
        <v>39</v>
      </c>
      <c r="W1294" s="139">
        <f t="shared" ref="W1294:AA1294" si="2596">J1294/$I1294</f>
        <v>0.55218216318785573</v>
      </c>
      <c r="X1294" s="139">
        <f t="shared" si="2596"/>
        <v>0.36812144212523717</v>
      </c>
      <c r="Y1294" s="139">
        <f t="shared" si="2596"/>
        <v>0</v>
      </c>
      <c r="Z1294" s="139">
        <f t="shared" si="2596"/>
        <v>0</v>
      </c>
      <c r="AA1294" s="139">
        <f t="shared" si="2596"/>
        <v>5.6925996204933585E-3</v>
      </c>
      <c r="AB1294" s="139"/>
      <c r="AC1294" s="139">
        <f t="shared" si="2562"/>
        <v>7.4003795066413663E-2</v>
      </c>
      <c r="AD1294" s="139">
        <f t="shared" ref="AD1294:AI1294" si="2597">O1294/$I1294</f>
        <v>3.7950664136622392E-3</v>
      </c>
      <c r="AE1294" s="139">
        <f t="shared" si="2597"/>
        <v>0</v>
      </c>
      <c r="AF1294" s="139">
        <f t="shared" si="2597"/>
        <v>0</v>
      </c>
      <c r="AG1294" s="139">
        <f t="shared" si="2597"/>
        <v>2.6565464895635674E-2</v>
      </c>
      <c r="AH1294" s="139">
        <f t="shared" si="2597"/>
        <v>2.0872865275142316E-2</v>
      </c>
      <c r="AI1294" s="139">
        <f t="shared" si="2597"/>
        <v>2.2770398481973434E-2</v>
      </c>
    </row>
    <row r="1295" spans="2:35">
      <c r="B1295" s="138" t="s">
        <v>8077</v>
      </c>
      <c r="C1295" s="138" t="s">
        <v>4367</v>
      </c>
      <c r="D1295" s="138" t="s">
        <v>8</v>
      </c>
      <c r="E1295" s="138" t="s">
        <v>8</v>
      </c>
      <c r="F1295" s="138" t="s">
        <v>552</v>
      </c>
      <c r="H1295" s="138">
        <v>105</v>
      </c>
      <c r="I1295" s="138">
        <v>944</v>
      </c>
      <c r="J1295" s="138">
        <v>472</v>
      </c>
      <c r="K1295" s="138">
        <v>390</v>
      </c>
      <c r="N1295" s="138">
        <v>8</v>
      </c>
      <c r="O1295" s="138">
        <v>5</v>
      </c>
      <c r="R1295" s="138">
        <v>2</v>
      </c>
      <c r="S1295" s="138">
        <v>29</v>
      </c>
      <c r="T1295" s="138">
        <v>38</v>
      </c>
      <c r="U1295" s="138">
        <f t="shared" si="2560"/>
        <v>74</v>
      </c>
      <c r="W1295" s="139">
        <f t="shared" ref="W1295:AA1295" si="2598">J1295/$I1295</f>
        <v>0.5</v>
      </c>
      <c r="X1295" s="139">
        <f t="shared" si="2598"/>
        <v>0.41313559322033899</v>
      </c>
      <c r="Y1295" s="139">
        <f t="shared" si="2598"/>
        <v>0</v>
      </c>
      <c r="Z1295" s="139">
        <f t="shared" si="2598"/>
        <v>0</v>
      </c>
      <c r="AA1295" s="139">
        <f t="shared" si="2598"/>
        <v>8.4745762711864406E-3</v>
      </c>
      <c r="AB1295" s="139"/>
      <c r="AC1295" s="139">
        <f t="shared" si="2562"/>
        <v>7.8389830508474576E-2</v>
      </c>
      <c r="AD1295" s="139">
        <f t="shared" ref="AD1295:AI1295" si="2599">O1295/$I1295</f>
        <v>5.2966101694915252E-3</v>
      </c>
      <c r="AE1295" s="139">
        <f t="shared" si="2599"/>
        <v>0</v>
      </c>
      <c r="AF1295" s="139">
        <f t="shared" si="2599"/>
        <v>0</v>
      </c>
      <c r="AG1295" s="139">
        <f t="shared" si="2599"/>
        <v>2.1186440677966102E-3</v>
      </c>
      <c r="AH1295" s="139">
        <f t="shared" si="2599"/>
        <v>3.0720338983050849E-2</v>
      </c>
      <c r="AI1295" s="139">
        <f t="shared" si="2599"/>
        <v>4.025423728813559E-2</v>
      </c>
    </row>
    <row r="1296" spans="2:35">
      <c r="B1296" s="138" t="s">
        <v>8077</v>
      </c>
      <c r="C1296" s="138" t="s">
        <v>4367</v>
      </c>
      <c r="D1296" s="138" t="s">
        <v>8</v>
      </c>
      <c r="E1296" s="138" t="s">
        <v>8</v>
      </c>
      <c r="F1296" s="138" t="s">
        <v>552</v>
      </c>
      <c r="H1296" s="138">
        <v>106</v>
      </c>
      <c r="I1296" s="138">
        <v>761</v>
      </c>
      <c r="J1296" s="138">
        <v>390</v>
      </c>
      <c r="K1296" s="138">
        <v>286</v>
      </c>
      <c r="N1296" s="138">
        <v>8</v>
      </c>
      <c r="O1296" s="138">
        <v>5</v>
      </c>
      <c r="R1296" s="138">
        <v>1</v>
      </c>
      <c r="S1296" s="138">
        <v>42</v>
      </c>
      <c r="T1296" s="138">
        <v>29</v>
      </c>
      <c r="U1296" s="138">
        <f t="shared" si="2560"/>
        <v>77</v>
      </c>
      <c r="W1296" s="139">
        <f t="shared" ref="W1296:AA1296" si="2600">J1296/$I1296</f>
        <v>0.51248357424441526</v>
      </c>
      <c r="X1296" s="139">
        <f t="shared" si="2600"/>
        <v>0.37582128777923784</v>
      </c>
      <c r="Y1296" s="139">
        <f t="shared" si="2600"/>
        <v>0</v>
      </c>
      <c r="Z1296" s="139">
        <f t="shared" si="2600"/>
        <v>0</v>
      </c>
      <c r="AA1296" s="139">
        <f t="shared" si="2600"/>
        <v>1.0512483574244415E-2</v>
      </c>
      <c r="AB1296" s="139"/>
      <c r="AC1296" s="139">
        <f t="shared" si="2562"/>
        <v>0.1011826544021025</v>
      </c>
      <c r="AD1296" s="139">
        <f t="shared" ref="AD1296:AI1296" si="2601">O1296/$I1296</f>
        <v>6.5703022339027592E-3</v>
      </c>
      <c r="AE1296" s="139">
        <f t="shared" si="2601"/>
        <v>0</v>
      </c>
      <c r="AF1296" s="139">
        <f t="shared" si="2601"/>
        <v>0</v>
      </c>
      <c r="AG1296" s="139">
        <f t="shared" si="2601"/>
        <v>1.3140604467805519E-3</v>
      </c>
      <c r="AH1296" s="139">
        <f t="shared" si="2601"/>
        <v>5.5190538764783179E-2</v>
      </c>
      <c r="AI1296" s="139">
        <f t="shared" si="2601"/>
        <v>3.8107752956636008E-2</v>
      </c>
    </row>
    <row r="1297" spans="2:35">
      <c r="B1297" s="138" t="s">
        <v>8077</v>
      </c>
      <c r="C1297" s="138" t="s">
        <v>4367</v>
      </c>
      <c r="D1297" s="138" t="s">
        <v>8</v>
      </c>
      <c r="E1297" s="138" t="s">
        <v>8</v>
      </c>
      <c r="F1297" s="138" t="s">
        <v>552</v>
      </c>
      <c r="H1297" s="138">
        <v>107</v>
      </c>
      <c r="I1297" s="138">
        <v>676</v>
      </c>
      <c r="J1297" s="138">
        <v>374</v>
      </c>
      <c r="K1297" s="138">
        <v>261</v>
      </c>
      <c r="N1297" s="138">
        <v>3</v>
      </c>
      <c r="O1297" s="138">
        <v>2</v>
      </c>
      <c r="R1297" s="138">
        <v>0</v>
      </c>
      <c r="S1297" s="138">
        <v>20</v>
      </c>
      <c r="T1297" s="138">
        <v>16</v>
      </c>
      <c r="U1297" s="138">
        <f t="shared" si="2560"/>
        <v>38</v>
      </c>
      <c r="W1297" s="139">
        <f t="shared" ref="W1297:AA1297" si="2602">J1297/$I1297</f>
        <v>0.55325443786982254</v>
      </c>
      <c r="X1297" s="139">
        <f t="shared" si="2602"/>
        <v>0.38609467455621299</v>
      </c>
      <c r="Y1297" s="139">
        <f t="shared" si="2602"/>
        <v>0</v>
      </c>
      <c r="Z1297" s="139">
        <f t="shared" si="2602"/>
        <v>0</v>
      </c>
      <c r="AA1297" s="139">
        <f t="shared" si="2602"/>
        <v>4.4378698224852072E-3</v>
      </c>
      <c r="AB1297" s="139"/>
      <c r="AC1297" s="139">
        <f t="shared" si="2562"/>
        <v>5.6213017751479293E-2</v>
      </c>
      <c r="AD1297" s="139">
        <f t="shared" ref="AD1297:AI1297" si="2603">O1297/$I1297</f>
        <v>2.9585798816568047E-3</v>
      </c>
      <c r="AE1297" s="139">
        <f t="shared" si="2603"/>
        <v>0</v>
      </c>
      <c r="AF1297" s="139">
        <f t="shared" si="2603"/>
        <v>0</v>
      </c>
      <c r="AG1297" s="139">
        <f t="shared" si="2603"/>
        <v>0</v>
      </c>
      <c r="AH1297" s="139">
        <f t="shared" si="2603"/>
        <v>2.9585798816568046E-2</v>
      </c>
      <c r="AI1297" s="139">
        <f t="shared" si="2603"/>
        <v>2.3668639053254437E-2</v>
      </c>
    </row>
    <row r="1298" spans="2:35">
      <c r="B1298" s="138" t="s">
        <v>8077</v>
      </c>
      <c r="C1298" s="138" t="s">
        <v>4367</v>
      </c>
      <c r="D1298" s="138" t="s">
        <v>8</v>
      </c>
      <c r="E1298" s="138" t="s">
        <v>8</v>
      </c>
      <c r="F1298" s="138" t="s">
        <v>548</v>
      </c>
      <c r="H1298" s="138">
        <v>108</v>
      </c>
      <c r="I1298" s="138">
        <v>962</v>
      </c>
      <c r="J1298" s="138">
        <v>408</v>
      </c>
      <c r="K1298" s="138">
        <v>356</v>
      </c>
      <c r="N1298" s="138">
        <v>12</v>
      </c>
      <c r="O1298" s="138">
        <v>7</v>
      </c>
      <c r="R1298" s="138">
        <v>105</v>
      </c>
      <c r="S1298" s="138">
        <v>51</v>
      </c>
      <c r="T1298" s="138">
        <v>23</v>
      </c>
      <c r="U1298" s="138">
        <f t="shared" si="2560"/>
        <v>186</v>
      </c>
      <c r="W1298" s="139">
        <f t="shared" ref="W1298:AA1298" si="2604">J1298/$I1298</f>
        <v>0.42411642411642414</v>
      </c>
      <c r="X1298" s="139">
        <f t="shared" si="2604"/>
        <v>0.37006237006237008</v>
      </c>
      <c r="Y1298" s="139">
        <f t="shared" si="2604"/>
        <v>0</v>
      </c>
      <c r="Z1298" s="139">
        <f t="shared" si="2604"/>
        <v>0</v>
      </c>
      <c r="AA1298" s="139">
        <f t="shared" si="2604"/>
        <v>1.2474012474012475E-2</v>
      </c>
      <c r="AB1298" s="139"/>
      <c r="AC1298" s="139">
        <f t="shared" si="2562"/>
        <v>0.19334719334719336</v>
      </c>
      <c r="AD1298" s="139">
        <f t="shared" ref="AD1298:AI1298" si="2605">O1298/$I1298</f>
        <v>7.2765072765072769E-3</v>
      </c>
      <c r="AE1298" s="139">
        <f t="shared" si="2605"/>
        <v>0</v>
      </c>
      <c r="AF1298" s="139">
        <f t="shared" si="2605"/>
        <v>0</v>
      </c>
      <c r="AG1298" s="139">
        <f t="shared" si="2605"/>
        <v>0.10914760914760915</v>
      </c>
      <c r="AH1298" s="139">
        <f t="shared" si="2605"/>
        <v>5.3014553014553017E-2</v>
      </c>
      <c r="AI1298" s="139">
        <f t="shared" si="2605"/>
        <v>2.390852390852391E-2</v>
      </c>
    </row>
    <row r="1299" spans="2:35">
      <c r="B1299" s="138" t="s">
        <v>8077</v>
      </c>
      <c r="C1299" s="138" t="s">
        <v>4367</v>
      </c>
      <c r="D1299" s="138" t="s">
        <v>8</v>
      </c>
      <c r="E1299" s="138" t="s">
        <v>8</v>
      </c>
      <c r="F1299" s="138" t="s">
        <v>548</v>
      </c>
      <c r="H1299" s="138">
        <v>109</v>
      </c>
      <c r="I1299" s="138">
        <v>988</v>
      </c>
      <c r="J1299" s="138">
        <v>592</v>
      </c>
      <c r="K1299" s="138">
        <v>340</v>
      </c>
      <c r="N1299" s="138">
        <v>2</v>
      </c>
      <c r="O1299" s="138">
        <v>6</v>
      </c>
      <c r="R1299" s="138">
        <v>14</v>
      </c>
      <c r="S1299" s="138">
        <v>26</v>
      </c>
      <c r="T1299" s="138">
        <v>8</v>
      </c>
      <c r="U1299" s="138">
        <f t="shared" si="2560"/>
        <v>54</v>
      </c>
      <c r="W1299" s="139">
        <f t="shared" ref="W1299:AA1299" si="2606">J1299/$I1299</f>
        <v>0.59919028340080971</v>
      </c>
      <c r="X1299" s="139">
        <f t="shared" si="2606"/>
        <v>0.34412955465587042</v>
      </c>
      <c r="Y1299" s="139">
        <f t="shared" si="2606"/>
        <v>0</v>
      </c>
      <c r="Z1299" s="139">
        <f t="shared" si="2606"/>
        <v>0</v>
      </c>
      <c r="AA1299" s="139">
        <f t="shared" si="2606"/>
        <v>2.0242914979757085E-3</v>
      </c>
      <c r="AB1299" s="139"/>
      <c r="AC1299" s="139">
        <f t="shared" si="2562"/>
        <v>5.4655870445344132E-2</v>
      </c>
      <c r="AD1299" s="139">
        <f t="shared" ref="AD1299:AI1299" si="2607">O1299/$I1299</f>
        <v>6.0728744939271256E-3</v>
      </c>
      <c r="AE1299" s="139">
        <f t="shared" si="2607"/>
        <v>0</v>
      </c>
      <c r="AF1299" s="139">
        <f t="shared" si="2607"/>
        <v>0</v>
      </c>
      <c r="AG1299" s="139">
        <f t="shared" si="2607"/>
        <v>1.417004048582996E-2</v>
      </c>
      <c r="AH1299" s="139">
        <f t="shared" si="2607"/>
        <v>2.6315789473684209E-2</v>
      </c>
      <c r="AI1299" s="139">
        <f t="shared" si="2607"/>
        <v>8.0971659919028341E-3</v>
      </c>
    </row>
    <row r="1300" spans="2:35">
      <c r="B1300" s="138" t="s">
        <v>8077</v>
      </c>
      <c r="C1300" s="138" t="s">
        <v>4367</v>
      </c>
      <c r="D1300" s="138" t="s">
        <v>8</v>
      </c>
      <c r="E1300" s="138" t="s">
        <v>8</v>
      </c>
      <c r="F1300" s="138" t="s">
        <v>579</v>
      </c>
      <c r="H1300" s="138">
        <v>110</v>
      </c>
      <c r="I1300" s="138">
        <v>824</v>
      </c>
      <c r="J1300" s="138">
        <v>388</v>
      </c>
      <c r="K1300" s="138">
        <v>382</v>
      </c>
      <c r="N1300" s="138">
        <v>9</v>
      </c>
      <c r="O1300" s="138">
        <v>7</v>
      </c>
      <c r="R1300" s="138">
        <v>6</v>
      </c>
      <c r="S1300" s="138">
        <v>8</v>
      </c>
      <c r="T1300" s="138">
        <v>24</v>
      </c>
      <c r="U1300" s="138">
        <f t="shared" si="2560"/>
        <v>45</v>
      </c>
      <c r="W1300" s="139">
        <f t="shared" ref="W1300:AA1300" si="2608">J1300/$I1300</f>
        <v>0.470873786407767</v>
      </c>
      <c r="X1300" s="139">
        <f t="shared" si="2608"/>
        <v>0.46359223300970875</v>
      </c>
      <c r="Y1300" s="139">
        <f t="shared" si="2608"/>
        <v>0</v>
      </c>
      <c r="Z1300" s="139">
        <f t="shared" si="2608"/>
        <v>0</v>
      </c>
      <c r="AA1300" s="139">
        <f t="shared" si="2608"/>
        <v>1.0922330097087379E-2</v>
      </c>
      <c r="AB1300" s="139"/>
      <c r="AC1300" s="139">
        <f t="shared" si="2562"/>
        <v>5.461165048543689E-2</v>
      </c>
      <c r="AD1300" s="139">
        <f t="shared" ref="AD1300:AI1300" si="2609">O1300/$I1300</f>
        <v>8.4951456310679609E-3</v>
      </c>
      <c r="AE1300" s="139">
        <f t="shared" si="2609"/>
        <v>0</v>
      </c>
      <c r="AF1300" s="139">
        <f t="shared" si="2609"/>
        <v>0</v>
      </c>
      <c r="AG1300" s="139">
        <f t="shared" si="2609"/>
        <v>7.2815533980582527E-3</v>
      </c>
      <c r="AH1300" s="139">
        <f t="shared" si="2609"/>
        <v>9.7087378640776691E-3</v>
      </c>
      <c r="AI1300" s="139">
        <f t="shared" si="2609"/>
        <v>2.9126213592233011E-2</v>
      </c>
    </row>
    <row r="1301" spans="2:35">
      <c r="B1301" s="138" t="s">
        <v>8077</v>
      </c>
      <c r="C1301" s="138" t="s">
        <v>4367</v>
      </c>
      <c r="D1301" s="138" t="s">
        <v>8</v>
      </c>
      <c r="E1301" s="138" t="s">
        <v>8</v>
      </c>
      <c r="F1301" s="138" t="s">
        <v>573</v>
      </c>
      <c r="H1301" s="138">
        <v>111</v>
      </c>
      <c r="I1301" s="138">
        <v>827</v>
      </c>
      <c r="J1301" s="138">
        <v>482</v>
      </c>
      <c r="K1301" s="138">
        <v>302</v>
      </c>
      <c r="N1301" s="138">
        <v>2</v>
      </c>
      <c r="O1301" s="138">
        <v>2</v>
      </c>
      <c r="R1301" s="138">
        <v>1</v>
      </c>
      <c r="S1301" s="138">
        <v>25</v>
      </c>
      <c r="T1301" s="138">
        <v>13</v>
      </c>
      <c r="U1301" s="138">
        <f t="shared" si="2560"/>
        <v>41</v>
      </c>
      <c r="W1301" s="139">
        <f t="shared" ref="W1301:AA1301" si="2610">J1301/$I1301</f>
        <v>0.5828295042321644</v>
      </c>
      <c r="X1301" s="139">
        <f t="shared" si="2610"/>
        <v>0.3651753325272068</v>
      </c>
      <c r="Y1301" s="139">
        <f t="shared" si="2610"/>
        <v>0</v>
      </c>
      <c r="Z1301" s="139">
        <f t="shared" si="2610"/>
        <v>0</v>
      </c>
      <c r="AA1301" s="139">
        <f t="shared" si="2610"/>
        <v>2.4183796856106408E-3</v>
      </c>
      <c r="AB1301" s="139"/>
      <c r="AC1301" s="139">
        <f t="shared" si="2562"/>
        <v>4.9576783555018135E-2</v>
      </c>
      <c r="AD1301" s="139">
        <f t="shared" ref="AD1301:AI1301" si="2611">O1301/$I1301</f>
        <v>2.4183796856106408E-3</v>
      </c>
      <c r="AE1301" s="139">
        <f t="shared" si="2611"/>
        <v>0</v>
      </c>
      <c r="AF1301" s="139">
        <f t="shared" si="2611"/>
        <v>0</v>
      </c>
      <c r="AG1301" s="139">
        <f t="shared" si="2611"/>
        <v>1.2091898428053204E-3</v>
      </c>
      <c r="AH1301" s="139">
        <f t="shared" si="2611"/>
        <v>3.0229746070133012E-2</v>
      </c>
      <c r="AI1301" s="139">
        <f t="shared" si="2611"/>
        <v>1.5719467956469165E-2</v>
      </c>
    </row>
    <row r="1302" spans="2:35">
      <c r="B1302" s="138" t="s">
        <v>8077</v>
      </c>
      <c r="C1302" s="138" t="s">
        <v>4367</v>
      </c>
      <c r="D1302" s="138" t="s">
        <v>8</v>
      </c>
      <c r="E1302" s="138" t="s">
        <v>8</v>
      </c>
      <c r="F1302" s="138" t="s">
        <v>573</v>
      </c>
      <c r="H1302" s="138">
        <v>112</v>
      </c>
      <c r="I1302" s="138">
        <v>661</v>
      </c>
      <c r="J1302" s="138">
        <v>355</v>
      </c>
      <c r="K1302" s="138">
        <v>274</v>
      </c>
      <c r="N1302" s="138">
        <v>4</v>
      </c>
      <c r="O1302" s="138">
        <v>2</v>
      </c>
      <c r="R1302" s="138">
        <v>3</v>
      </c>
      <c r="S1302" s="138">
        <v>13</v>
      </c>
      <c r="T1302" s="138">
        <v>10</v>
      </c>
      <c r="U1302" s="138">
        <f t="shared" si="2560"/>
        <v>28</v>
      </c>
      <c r="W1302" s="139">
        <f t="shared" ref="W1302:AA1302" si="2612">J1302/$I1302</f>
        <v>0.53706505295007567</v>
      </c>
      <c r="X1302" s="139">
        <f t="shared" si="2612"/>
        <v>0.41452344931921331</v>
      </c>
      <c r="Y1302" s="139">
        <f t="shared" si="2612"/>
        <v>0</v>
      </c>
      <c r="Z1302" s="139">
        <f t="shared" si="2612"/>
        <v>0</v>
      </c>
      <c r="AA1302" s="139">
        <f t="shared" si="2612"/>
        <v>6.0514372163388806E-3</v>
      </c>
      <c r="AB1302" s="139"/>
      <c r="AC1302" s="139">
        <f t="shared" si="2562"/>
        <v>4.2360060514372161E-2</v>
      </c>
      <c r="AD1302" s="139">
        <f t="shared" ref="AD1302:AI1302" si="2613">O1302/$I1302</f>
        <v>3.0257186081694403E-3</v>
      </c>
      <c r="AE1302" s="139">
        <f t="shared" si="2613"/>
        <v>0</v>
      </c>
      <c r="AF1302" s="139">
        <f t="shared" si="2613"/>
        <v>0</v>
      </c>
      <c r="AG1302" s="139">
        <f t="shared" si="2613"/>
        <v>4.5385779122541605E-3</v>
      </c>
      <c r="AH1302" s="139">
        <f t="shared" si="2613"/>
        <v>1.9667170953101363E-2</v>
      </c>
      <c r="AI1302" s="139">
        <f t="shared" si="2613"/>
        <v>1.5128593040847202E-2</v>
      </c>
    </row>
    <row r="1303" spans="2:35">
      <c r="B1303" s="138" t="s">
        <v>8077</v>
      </c>
      <c r="C1303" s="138" t="s">
        <v>4367</v>
      </c>
      <c r="D1303" s="138" t="s">
        <v>8</v>
      </c>
      <c r="E1303" s="138" t="s">
        <v>8</v>
      </c>
      <c r="F1303" s="138" t="s">
        <v>564</v>
      </c>
      <c r="H1303" s="138">
        <v>113</v>
      </c>
      <c r="I1303" s="138">
        <v>866</v>
      </c>
      <c r="J1303" s="138">
        <v>414</v>
      </c>
      <c r="K1303" s="138">
        <v>366</v>
      </c>
      <c r="N1303" s="138">
        <v>5</v>
      </c>
      <c r="O1303" s="138">
        <v>6</v>
      </c>
      <c r="R1303" s="138">
        <v>8</v>
      </c>
      <c r="S1303" s="138">
        <v>33</v>
      </c>
      <c r="T1303" s="138">
        <v>34</v>
      </c>
      <c r="U1303" s="138">
        <f t="shared" si="2560"/>
        <v>81</v>
      </c>
      <c r="W1303" s="139">
        <f t="shared" ref="W1303:AA1303" si="2614">J1303/$I1303</f>
        <v>0.47806004618937642</v>
      </c>
      <c r="X1303" s="139">
        <f t="shared" si="2614"/>
        <v>0.42263279445727481</v>
      </c>
      <c r="Y1303" s="139">
        <f t="shared" si="2614"/>
        <v>0</v>
      </c>
      <c r="Z1303" s="139">
        <f t="shared" si="2614"/>
        <v>0</v>
      </c>
      <c r="AA1303" s="139">
        <f t="shared" si="2614"/>
        <v>5.7736720554272519E-3</v>
      </c>
      <c r="AB1303" s="139"/>
      <c r="AC1303" s="139">
        <f t="shared" si="2562"/>
        <v>9.3533487297921478E-2</v>
      </c>
      <c r="AD1303" s="139">
        <f t="shared" ref="AD1303:AI1303" si="2615">O1303/$I1303</f>
        <v>6.9284064665127024E-3</v>
      </c>
      <c r="AE1303" s="139">
        <f t="shared" si="2615"/>
        <v>0</v>
      </c>
      <c r="AF1303" s="139">
        <f t="shared" si="2615"/>
        <v>0</v>
      </c>
      <c r="AG1303" s="139">
        <f t="shared" si="2615"/>
        <v>9.2378752886836026E-3</v>
      </c>
      <c r="AH1303" s="139">
        <f t="shared" si="2615"/>
        <v>3.8106235565819858E-2</v>
      </c>
      <c r="AI1303" s="139">
        <f t="shared" si="2615"/>
        <v>3.9260969976905313E-2</v>
      </c>
    </row>
    <row r="1304" spans="2:35">
      <c r="B1304" s="138" t="s">
        <v>8077</v>
      </c>
      <c r="C1304" s="138" t="s">
        <v>4367</v>
      </c>
      <c r="D1304" s="138" t="s">
        <v>8</v>
      </c>
      <c r="E1304" s="138" t="s">
        <v>8</v>
      </c>
      <c r="F1304" s="138" t="s">
        <v>564</v>
      </c>
      <c r="H1304" s="138">
        <v>114</v>
      </c>
      <c r="I1304" s="138">
        <v>869</v>
      </c>
      <c r="J1304" s="138">
        <v>439</v>
      </c>
      <c r="K1304" s="138">
        <v>364</v>
      </c>
      <c r="N1304" s="138">
        <v>13</v>
      </c>
      <c r="O1304" s="138">
        <v>5</v>
      </c>
      <c r="R1304" s="138">
        <v>19</v>
      </c>
      <c r="S1304" s="138">
        <v>25</v>
      </c>
      <c r="T1304" s="138">
        <v>4</v>
      </c>
      <c r="U1304" s="138">
        <f t="shared" si="2560"/>
        <v>53</v>
      </c>
      <c r="W1304" s="139">
        <f t="shared" ref="W1304:AA1304" si="2616">J1304/$I1304</f>
        <v>0.50517836593785959</v>
      </c>
      <c r="X1304" s="139">
        <f t="shared" si="2616"/>
        <v>0.4188722669735328</v>
      </c>
      <c r="Y1304" s="139">
        <f t="shared" si="2616"/>
        <v>0</v>
      </c>
      <c r="Z1304" s="139">
        <f t="shared" si="2616"/>
        <v>0</v>
      </c>
      <c r="AA1304" s="139">
        <f t="shared" si="2616"/>
        <v>1.4959723820483314E-2</v>
      </c>
      <c r="AB1304" s="139"/>
      <c r="AC1304" s="139">
        <f t="shared" si="2562"/>
        <v>6.0989643268124283E-2</v>
      </c>
      <c r="AD1304" s="139">
        <f t="shared" ref="AD1304:AI1304" si="2617">O1304/$I1304</f>
        <v>5.7537399309551211E-3</v>
      </c>
      <c r="AE1304" s="139">
        <f t="shared" si="2617"/>
        <v>0</v>
      </c>
      <c r="AF1304" s="139">
        <f t="shared" si="2617"/>
        <v>0</v>
      </c>
      <c r="AG1304" s="139">
        <f t="shared" si="2617"/>
        <v>2.1864211737629459E-2</v>
      </c>
      <c r="AH1304" s="139">
        <f t="shared" si="2617"/>
        <v>2.8768699654775604E-2</v>
      </c>
      <c r="AI1304" s="139">
        <f t="shared" si="2617"/>
        <v>4.6029919447640967E-3</v>
      </c>
    </row>
    <row r="1305" spans="2:35">
      <c r="B1305" s="138" t="s">
        <v>8077</v>
      </c>
      <c r="C1305" s="138" t="s">
        <v>4367</v>
      </c>
      <c r="D1305" s="138" t="s">
        <v>8</v>
      </c>
      <c r="E1305" s="138" t="s">
        <v>8</v>
      </c>
      <c r="F1305" s="138" t="s">
        <v>564</v>
      </c>
      <c r="H1305" s="138">
        <v>115</v>
      </c>
      <c r="I1305" s="138">
        <v>568</v>
      </c>
      <c r="J1305" s="138">
        <v>319</v>
      </c>
      <c r="K1305" s="138">
        <v>214</v>
      </c>
      <c r="N1305" s="138">
        <v>6</v>
      </c>
      <c r="O1305" s="138">
        <v>3</v>
      </c>
      <c r="R1305" s="138">
        <v>4</v>
      </c>
      <c r="S1305" s="138">
        <v>16</v>
      </c>
      <c r="T1305" s="138">
        <v>6</v>
      </c>
      <c r="U1305" s="138">
        <f t="shared" si="2560"/>
        <v>29</v>
      </c>
      <c r="W1305" s="139">
        <f t="shared" ref="W1305:AA1305" si="2618">J1305/$I1305</f>
        <v>0.56161971830985913</v>
      </c>
      <c r="X1305" s="139">
        <f t="shared" si="2618"/>
        <v>0.37676056338028169</v>
      </c>
      <c r="Y1305" s="139">
        <f t="shared" si="2618"/>
        <v>0</v>
      </c>
      <c r="Z1305" s="139">
        <f t="shared" si="2618"/>
        <v>0</v>
      </c>
      <c r="AA1305" s="139">
        <f t="shared" si="2618"/>
        <v>1.0563380281690141E-2</v>
      </c>
      <c r="AB1305" s="139"/>
      <c r="AC1305" s="139">
        <f t="shared" si="2562"/>
        <v>5.1056338028169015E-2</v>
      </c>
      <c r="AD1305" s="139">
        <f t="shared" ref="AD1305:AI1305" si="2619">O1305/$I1305</f>
        <v>5.2816901408450703E-3</v>
      </c>
      <c r="AE1305" s="139">
        <f t="shared" si="2619"/>
        <v>0</v>
      </c>
      <c r="AF1305" s="139">
        <f t="shared" si="2619"/>
        <v>0</v>
      </c>
      <c r="AG1305" s="139">
        <f t="shared" si="2619"/>
        <v>7.0422535211267607E-3</v>
      </c>
      <c r="AH1305" s="139">
        <f t="shared" si="2619"/>
        <v>2.8169014084507043E-2</v>
      </c>
      <c r="AI1305" s="139">
        <f t="shared" si="2619"/>
        <v>1.0563380281690141E-2</v>
      </c>
    </row>
    <row r="1306" spans="2:35">
      <c r="B1306" s="138" t="s">
        <v>8077</v>
      </c>
      <c r="C1306" s="138" t="s">
        <v>4367</v>
      </c>
      <c r="D1306" s="138" t="s">
        <v>8</v>
      </c>
      <c r="E1306" s="138" t="s">
        <v>8</v>
      </c>
      <c r="F1306" s="138" t="s">
        <v>577</v>
      </c>
      <c r="H1306" s="138">
        <v>116</v>
      </c>
      <c r="I1306" s="138">
        <v>989</v>
      </c>
      <c r="J1306" s="138">
        <v>545</v>
      </c>
      <c r="K1306" s="138">
        <v>404</v>
      </c>
      <c r="N1306" s="138">
        <v>7</v>
      </c>
      <c r="O1306" s="138">
        <v>1</v>
      </c>
      <c r="R1306" s="138">
        <v>4</v>
      </c>
      <c r="S1306" s="138">
        <v>14</v>
      </c>
      <c r="T1306" s="138">
        <v>14</v>
      </c>
      <c r="U1306" s="138">
        <f t="shared" si="2560"/>
        <v>33</v>
      </c>
      <c r="W1306" s="139">
        <f t="shared" ref="W1306:AA1306" si="2620">J1306/$I1306</f>
        <v>0.55106167846309406</v>
      </c>
      <c r="X1306" s="139">
        <f t="shared" si="2620"/>
        <v>0.40849342770475228</v>
      </c>
      <c r="Y1306" s="139">
        <f t="shared" si="2620"/>
        <v>0</v>
      </c>
      <c r="Z1306" s="139">
        <f t="shared" si="2620"/>
        <v>0</v>
      </c>
      <c r="AA1306" s="139">
        <f t="shared" si="2620"/>
        <v>7.0778564206268957E-3</v>
      </c>
      <c r="AB1306" s="139"/>
      <c r="AC1306" s="139">
        <f t="shared" si="2562"/>
        <v>3.3367037411526794E-2</v>
      </c>
      <c r="AD1306" s="139">
        <f t="shared" ref="AD1306:AI1306" si="2621">O1306/$I1306</f>
        <v>1.0111223458038423E-3</v>
      </c>
      <c r="AE1306" s="139">
        <f t="shared" si="2621"/>
        <v>0</v>
      </c>
      <c r="AF1306" s="139">
        <f t="shared" si="2621"/>
        <v>0</v>
      </c>
      <c r="AG1306" s="139">
        <f t="shared" si="2621"/>
        <v>4.0444893832153692E-3</v>
      </c>
      <c r="AH1306" s="139">
        <f t="shared" si="2621"/>
        <v>1.4155712841253791E-2</v>
      </c>
      <c r="AI1306" s="139">
        <f t="shared" si="2621"/>
        <v>1.4155712841253791E-2</v>
      </c>
    </row>
    <row r="1307" spans="2:35">
      <c r="B1307" s="138" t="s">
        <v>8077</v>
      </c>
      <c r="C1307" s="138" t="s">
        <v>4367</v>
      </c>
      <c r="D1307" s="138" t="s">
        <v>8</v>
      </c>
      <c r="E1307" s="138" t="s">
        <v>8</v>
      </c>
      <c r="F1307" s="138" t="s">
        <v>567</v>
      </c>
      <c r="H1307" s="138">
        <v>117</v>
      </c>
      <c r="I1307" s="138">
        <v>976</v>
      </c>
      <c r="J1307" s="138">
        <v>639</v>
      </c>
      <c r="K1307" s="138">
        <v>288</v>
      </c>
      <c r="N1307" s="138">
        <v>9</v>
      </c>
      <c r="O1307" s="138">
        <v>1</v>
      </c>
      <c r="R1307" s="138">
        <v>5</v>
      </c>
      <c r="S1307" s="138">
        <v>28</v>
      </c>
      <c r="T1307" s="138">
        <v>6</v>
      </c>
      <c r="U1307" s="138">
        <f t="shared" si="2560"/>
        <v>40</v>
      </c>
      <c r="W1307" s="139">
        <f t="shared" ref="W1307:AA1307" si="2622">J1307/$I1307</f>
        <v>0.65471311475409832</v>
      </c>
      <c r="X1307" s="139">
        <f t="shared" si="2622"/>
        <v>0.29508196721311475</v>
      </c>
      <c r="Y1307" s="139">
        <f t="shared" si="2622"/>
        <v>0</v>
      </c>
      <c r="Z1307" s="139">
        <f t="shared" si="2622"/>
        <v>0</v>
      </c>
      <c r="AA1307" s="139">
        <f t="shared" si="2622"/>
        <v>9.2213114754098359E-3</v>
      </c>
      <c r="AB1307" s="139"/>
      <c r="AC1307" s="139">
        <f t="shared" si="2562"/>
        <v>4.0983606557377046E-2</v>
      </c>
      <c r="AD1307" s="139">
        <f t="shared" ref="AD1307:AI1307" si="2623">O1307/$I1307</f>
        <v>1.0245901639344263E-3</v>
      </c>
      <c r="AE1307" s="139">
        <f t="shared" si="2623"/>
        <v>0</v>
      </c>
      <c r="AF1307" s="139">
        <f t="shared" si="2623"/>
        <v>0</v>
      </c>
      <c r="AG1307" s="139">
        <f t="shared" si="2623"/>
        <v>5.1229508196721308E-3</v>
      </c>
      <c r="AH1307" s="139">
        <f t="shared" si="2623"/>
        <v>2.8688524590163935E-2</v>
      </c>
      <c r="AI1307" s="139">
        <f t="shared" si="2623"/>
        <v>6.1475409836065573E-3</v>
      </c>
    </row>
    <row r="1308" spans="2:35">
      <c r="B1308" s="138" t="s">
        <v>8077</v>
      </c>
      <c r="C1308" s="138" t="s">
        <v>4367</v>
      </c>
      <c r="D1308" s="138" t="s">
        <v>8</v>
      </c>
      <c r="E1308" s="138" t="s">
        <v>8</v>
      </c>
      <c r="F1308" s="138" t="s">
        <v>567</v>
      </c>
      <c r="H1308" s="138">
        <v>118</v>
      </c>
      <c r="I1308" s="138">
        <v>951</v>
      </c>
      <c r="J1308" s="138">
        <v>542</v>
      </c>
      <c r="K1308" s="138">
        <v>387</v>
      </c>
      <c r="N1308" s="138">
        <v>2</v>
      </c>
      <c r="O1308" s="138">
        <v>6</v>
      </c>
      <c r="R1308" s="138">
        <v>1</v>
      </c>
      <c r="S1308" s="138">
        <v>8</v>
      </c>
      <c r="T1308" s="138">
        <v>5</v>
      </c>
      <c r="U1308" s="138">
        <f t="shared" si="2560"/>
        <v>20</v>
      </c>
      <c r="W1308" s="139">
        <f t="shared" ref="W1308:AA1308" si="2624">J1308/$I1308</f>
        <v>0.56992639327024186</v>
      </c>
      <c r="X1308" s="139">
        <f t="shared" si="2624"/>
        <v>0.40694006309148267</v>
      </c>
      <c r="Y1308" s="139">
        <f t="shared" si="2624"/>
        <v>0</v>
      </c>
      <c r="Z1308" s="139">
        <f t="shared" si="2624"/>
        <v>0</v>
      </c>
      <c r="AA1308" s="139">
        <f t="shared" si="2624"/>
        <v>2.103049421661409E-3</v>
      </c>
      <c r="AB1308" s="139"/>
      <c r="AC1308" s="139">
        <f t="shared" si="2562"/>
        <v>2.1030494216614092E-2</v>
      </c>
      <c r="AD1308" s="139">
        <f t="shared" ref="AD1308:AI1308" si="2625">O1308/$I1308</f>
        <v>6.3091482649842269E-3</v>
      </c>
      <c r="AE1308" s="139">
        <f t="shared" si="2625"/>
        <v>0</v>
      </c>
      <c r="AF1308" s="139">
        <f t="shared" si="2625"/>
        <v>0</v>
      </c>
      <c r="AG1308" s="139">
        <f t="shared" si="2625"/>
        <v>1.0515247108307045E-3</v>
      </c>
      <c r="AH1308" s="139">
        <f t="shared" si="2625"/>
        <v>8.4121976866456359E-3</v>
      </c>
      <c r="AI1308" s="139">
        <f t="shared" si="2625"/>
        <v>5.2576235541535229E-3</v>
      </c>
    </row>
    <row r="1309" spans="2:35">
      <c r="B1309" s="138" t="s">
        <v>8077</v>
      </c>
      <c r="C1309" s="138" t="s">
        <v>4367</v>
      </c>
      <c r="D1309" s="138" t="s">
        <v>8</v>
      </c>
      <c r="E1309" s="138" t="s">
        <v>8</v>
      </c>
      <c r="F1309" s="138" t="s">
        <v>567</v>
      </c>
      <c r="H1309" s="138">
        <v>119</v>
      </c>
      <c r="I1309" s="138">
        <v>798</v>
      </c>
      <c r="J1309" s="138">
        <v>525</v>
      </c>
      <c r="K1309" s="138">
        <v>251</v>
      </c>
      <c r="N1309" s="138">
        <v>3</v>
      </c>
      <c r="O1309" s="138">
        <v>3</v>
      </c>
      <c r="R1309" s="138">
        <v>0</v>
      </c>
      <c r="S1309" s="138">
        <v>11</v>
      </c>
      <c r="T1309" s="138">
        <v>5</v>
      </c>
      <c r="U1309" s="138">
        <f t="shared" si="2560"/>
        <v>19</v>
      </c>
      <c r="W1309" s="139">
        <f t="shared" ref="W1309:AA1309" si="2626">J1309/$I1309</f>
        <v>0.65789473684210531</v>
      </c>
      <c r="X1309" s="139">
        <f t="shared" si="2626"/>
        <v>0.31453634085213034</v>
      </c>
      <c r="Y1309" s="139">
        <f t="shared" si="2626"/>
        <v>0</v>
      </c>
      <c r="Z1309" s="139">
        <f t="shared" si="2626"/>
        <v>0</v>
      </c>
      <c r="AA1309" s="139">
        <f t="shared" si="2626"/>
        <v>3.7593984962406013E-3</v>
      </c>
      <c r="AB1309" s="139"/>
      <c r="AC1309" s="139">
        <f t="shared" si="2562"/>
        <v>2.3809523809523808E-2</v>
      </c>
      <c r="AD1309" s="139">
        <f t="shared" ref="AD1309:AI1309" si="2627">O1309/$I1309</f>
        <v>3.7593984962406013E-3</v>
      </c>
      <c r="AE1309" s="139">
        <f t="shared" si="2627"/>
        <v>0</v>
      </c>
      <c r="AF1309" s="139">
        <f t="shared" si="2627"/>
        <v>0</v>
      </c>
      <c r="AG1309" s="139">
        <f t="shared" si="2627"/>
        <v>0</v>
      </c>
      <c r="AH1309" s="139">
        <f t="shared" si="2627"/>
        <v>1.3784461152882205E-2</v>
      </c>
      <c r="AI1309" s="139">
        <f t="shared" si="2627"/>
        <v>6.2656641604010022E-3</v>
      </c>
    </row>
    <row r="1310" spans="2:35">
      <c r="B1310" s="138" t="s">
        <v>8077</v>
      </c>
      <c r="C1310" s="138" t="s">
        <v>4367</v>
      </c>
      <c r="D1310" s="138" t="s">
        <v>8</v>
      </c>
      <c r="E1310" s="138" t="s">
        <v>8</v>
      </c>
      <c r="F1310" s="138" t="s">
        <v>567</v>
      </c>
      <c r="H1310" s="138">
        <v>120</v>
      </c>
      <c r="I1310" s="138">
        <v>992</v>
      </c>
      <c r="J1310" s="138">
        <v>665</v>
      </c>
      <c r="K1310" s="138">
        <v>290</v>
      </c>
      <c r="N1310" s="138">
        <v>2</v>
      </c>
      <c r="O1310" s="138">
        <v>8</v>
      </c>
      <c r="R1310" s="138">
        <v>2</v>
      </c>
      <c r="S1310" s="138">
        <v>14</v>
      </c>
      <c r="T1310" s="138">
        <v>11</v>
      </c>
      <c r="U1310" s="138">
        <f t="shared" si="2560"/>
        <v>35</v>
      </c>
      <c r="W1310" s="139">
        <f t="shared" ref="W1310:AA1310" si="2628">J1310/$I1310</f>
        <v>0.67036290322580649</v>
      </c>
      <c r="X1310" s="139">
        <f t="shared" si="2628"/>
        <v>0.29233870967741937</v>
      </c>
      <c r="Y1310" s="139">
        <f t="shared" si="2628"/>
        <v>0</v>
      </c>
      <c r="Z1310" s="139">
        <f t="shared" si="2628"/>
        <v>0</v>
      </c>
      <c r="AA1310" s="139">
        <f t="shared" si="2628"/>
        <v>2.0161290322580645E-3</v>
      </c>
      <c r="AB1310" s="139"/>
      <c r="AC1310" s="139">
        <f t="shared" si="2562"/>
        <v>3.5282258064516132E-2</v>
      </c>
      <c r="AD1310" s="139">
        <f t="shared" ref="AD1310:AI1310" si="2629">O1310/$I1310</f>
        <v>8.0645161290322578E-3</v>
      </c>
      <c r="AE1310" s="139">
        <f t="shared" si="2629"/>
        <v>0</v>
      </c>
      <c r="AF1310" s="139">
        <f t="shared" si="2629"/>
        <v>0</v>
      </c>
      <c r="AG1310" s="139">
        <f t="shared" si="2629"/>
        <v>2.0161290322580645E-3</v>
      </c>
      <c r="AH1310" s="139">
        <f t="shared" si="2629"/>
        <v>1.4112903225806451E-2</v>
      </c>
      <c r="AI1310" s="139">
        <f t="shared" si="2629"/>
        <v>1.1088709677419355E-2</v>
      </c>
    </row>
    <row r="1311" spans="2:35">
      <c r="B1311" s="138" t="s">
        <v>8077</v>
      </c>
      <c r="C1311" s="138" t="s">
        <v>4367</v>
      </c>
      <c r="D1311" s="138" t="s">
        <v>8</v>
      </c>
      <c r="E1311" s="138" t="s">
        <v>8</v>
      </c>
      <c r="F1311" s="138" t="s">
        <v>550</v>
      </c>
      <c r="H1311" s="138">
        <v>121</v>
      </c>
      <c r="I1311" s="138">
        <v>602</v>
      </c>
      <c r="J1311" s="138">
        <v>422</v>
      </c>
      <c r="K1311" s="138">
        <v>153</v>
      </c>
      <c r="N1311" s="138">
        <v>8</v>
      </c>
      <c r="O1311" s="138">
        <v>1</v>
      </c>
      <c r="R1311" s="138">
        <v>1</v>
      </c>
      <c r="S1311" s="138">
        <v>11</v>
      </c>
      <c r="T1311" s="138">
        <v>6</v>
      </c>
      <c r="U1311" s="138">
        <f t="shared" si="2560"/>
        <v>19</v>
      </c>
      <c r="W1311" s="139">
        <f t="shared" ref="W1311:AA1311" si="2630">J1311/$I1311</f>
        <v>0.70099667774086383</v>
      </c>
      <c r="X1311" s="139">
        <f t="shared" si="2630"/>
        <v>0.25415282392026578</v>
      </c>
      <c r="Y1311" s="139">
        <f t="shared" si="2630"/>
        <v>0</v>
      </c>
      <c r="Z1311" s="139">
        <f t="shared" si="2630"/>
        <v>0</v>
      </c>
      <c r="AA1311" s="139">
        <f t="shared" si="2630"/>
        <v>1.3289036544850499E-2</v>
      </c>
      <c r="AB1311" s="139"/>
      <c r="AC1311" s="139">
        <f t="shared" si="2562"/>
        <v>3.1561461794019932E-2</v>
      </c>
      <c r="AD1311" s="139">
        <f t="shared" ref="AD1311:AI1311" si="2631">O1311/$I1311</f>
        <v>1.6611295681063123E-3</v>
      </c>
      <c r="AE1311" s="139">
        <f t="shared" si="2631"/>
        <v>0</v>
      </c>
      <c r="AF1311" s="139">
        <f t="shared" si="2631"/>
        <v>0</v>
      </c>
      <c r="AG1311" s="139">
        <f t="shared" si="2631"/>
        <v>1.6611295681063123E-3</v>
      </c>
      <c r="AH1311" s="139">
        <f t="shared" si="2631"/>
        <v>1.8272425249169437E-2</v>
      </c>
      <c r="AI1311" s="139">
        <f t="shared" si="2631"/>
        <v>9.9667774086378731E-3</v>
      </c>
    </row>
    <row r="1312" spans="2:35">
      <c r="B1312" s="138" t="s">
        <v>8077</v>
      </c>
      <c r="C1312" s="138" t="s">
        <v>4367</v>
      </c>
      <c r="D1312" s="138" t="s">
        <v>8</v>
      </c>
      <c r="E1312" s="138" t="s">
        <v>8</v>
      </c>
      <c r="F1312" s="138" t="s">
        <v>550</v>
      </c>
      <c r="H1312" s="138">
        <v>122</v>
      </c>
      <c r="I1312" s="138">
        <v>812</v>
      </c>
      <c r="J1312" s="138">
        <v>563</v>
      </c>
      <c r="K1312" s="138">
        <v>230</v>
      </c>
      <c r="N1312" s="138">
        <v>6</v>
      </c>
      <c r="O1312" s="138">
        <v>1</v>
      </c>
      <c r="R1312" s="138">
        <v>0</v>
      </c>
      <c r="S1312" s="138">
        <v>9</v>
      </c>
      <c r="T1312" s="138">
        <v>3</v>
      </c>
      <c r="U1312" s="138">
        <f t="shared" si="2560"/>
        <v>13</v>
      </c>
      <c r="W1312" s="139">
        <f t="shared" ref="W1312:AA1312" si="2632">J1312/$I1312</f>
        <v>0.69334975369458129</v>
      </c>
      <c r="X1312" s="139">
        <f t="shared" si="2632"/>
        <v>0.28325123152709358</v>
      </c>
      <c r="Y1312" s="139">
        <f t="shared" si="2632"/>
        <v>0</v>
      </c>
      <c r="Z1312" s="139">
        <f t="shared" si="2632"/>
        <v>0</v>
      </c>
      <c r="AA1312" s="139">
        <f t="shared" si="2632"/>
        <v>7.3891625615763543E-3</v>
      </c>
      <c r="AB1312" s="139"/>
      <c r="AC1312" s="139">
        <f t="shared" si="2562"/>
        <v>1.600985221674877E-2</v>
      </c>
      <c r="AD1312" s="139">
        <f t="shared" ref="AD1312:AI1312" si="2633">O1312/$I1312</f>
        <v>1.2315270935960591E-3</v>
      </c>
      <c r="AE1312" s="139">
        <f t="shared" si="2633"/>
        <v>0</v>
      </c>
      <c r="AF1312" s="139">
        <f t="shared" si="2633"/>
        <v>0</v>
      </c>
      <c r="AG1312" s="139">
        <f t="shared" si="2633"/>
        <v>0</v>
      </c>
      <c r="AH1312" s="139">
        <f t="shared" si="2633"/>
        <v>1.1083743842364532E-2</v>
      </c>
      <c r="AI1312" s="139">
        <f t="shared" si="2633"/>
        <v>3.6945812807881772E-3</v>
      </c>
    </row>
    <row r="1313" spans="2:35">
      <c r="B1313" s="138" t="s">
        <v>8077</v>
      </c>
      <c r="C1313" s="138" t="s">
        <v>4367</v>
      </c>
      <c r="D1313" s="138" t="s">
        <v>8</v>
      </c>
      <c r="E1313" s="138" t="s">
        <v>8</v>
      </c>
      <c r="F1313" s="138" t="s">
        <v>550</v>
      </c>
      <c r="H1313" s="138">
        <v>123</v>
      </c>
      <c r="I1313" s="138">
        <v>840</v>
      </c>
      <c r="J1313" s="138">
        <v>481</v>
      </c>
      <c r="K1313" s="138">
        <v>339</v>
      </c>
      <c r="N1313" s="138">
        <v>3</v>
      </c>
      <c r="O1313" s="138">
        <v>5</v>
      </c>
      <c r="R1313" s="138">
        <v>0</v>
      </c>
      <c r="S1313" s="138">
        <v>11</v>
      </c>
      <c r="T1313" s="138">
        <v>1</v>
      </c>
      <c r="U1313" s="138">
        <f t="shared" si="2560"/>
        <v>17</v>
      </c>
      <c r="W1313" s="139">
        <f t="shared" ref="W1313:AA1313" si="2634">J1313/$I1313</f>
        <v>0.57261904761904758</v>
      </c>
      <c r="X1313" s="139">
        <f t="shared" si="2634"/>
        <v>0.40357142857142858</v>
      </c>
      <c r="Y1313" s="139">
        <f t="shared" si="2634"/>
        <v>0</v>
      </c>
      <c r="Z1313" s="139">
        <f t="shared" si="2634"/>
        <v>0</v>
      </c>
      <c r="AA1313" s="139">
        <f t="shared" si="2634"/>
        <v>3.5714285714285713E-3</v>
      </c>
      <c r="AB1313" s="139"/>
      <c r="AC1313" s="139">
        <f t="shared" si="2562"/>
        <v>2.0238095238095239E-2</v>
      </c>
      <c r="AD1313" s="139">
        <f t="shared" ref="AD1313:AI1313" si="2635">O1313/$I1313</f>
        <v>5.9523809523809521E-3</v>
      </c>
      <c r="AE1313" s="139">
        <f t="shared" si="2635"/>
        <v>0</v>
      </c>
      <c r="AF1313" s="139">
        <f t="shared" si="2635"/>
        <v>0</v>
      </c>
      <c r="AG1313" s="139">
        <f t="shared" si="2635"/>
        <v>0</v>
      </c>
      <c r="AH1313" s="139">
        <f t="shared" si="2635"/>
        <v>1.3095238095238096E-2</v>
      </c>
      <c r="AI1313" s="139">
        <f t="shared" si="2635"/>
        <v>1.1904761904761906E-3</v>
      </c>
    </row>
    <row r="1314" spans="2:35">
      <c r="B1314" s="138" t="s">
        <v>8077</v>
      </c>
      <c r="C1314" s="138" t="s">
        <v>4367</v>
      </c>
      <c r="D1314" s="138" t="s">
        <v>8</v>
      </c>
      <c r="E1314" s="138" t="s">
        <v>8</v>
      </c>
      <c r="F1314" s="138" t="s">
        <v>550</v>
      </c>
      <c r="H1314" s="138">
        <v>124</v>
      </c>
      <c r="I1314" s="138">
        <v>844</v>
      </c>
      <c r="J1314" s="138">
        <v>390</v>
      </c>
      <c r="K1314" s="138">
        <v>394</v>
      </c>
      <c r="N1314" s="138">
        <v>15</v>
      </c>
      <c r="O1314" s="138">
        <v>4</v>
      </c>
      <c r="R1314" s="138">
        <v>2</v>
      </c>
      <c r="S1314" s="138">
        <v>29</v>
      </c>
      <c r="T1314" s="138">
        <v>10</v>
      </c>
      <c r="U1314" s="138">
        <f t="shared" si="2560"/>
        <v>45</v>
      </c>
      <c r="W1314" s="139">
        <f t="shared" ref="W1314:AA1314" si="2636">J1314/$I1314</f>
        <v>0.46208530805687204</v>
      </c>
      <c r="X1314" s="139">
        <f t="shared" si="2636"/>
        <v>0.46682464454976302</v>
      </c>
      <c r="Y1314" s="139">
        <f t="shared" si="2636"/>
        <v>0</v>
      </c>
      <c r="Z1314" s="139">
        <f t="shared" si="2636"/>
        <v>0</v>
      </c>
      <c r="AA1314" s="139">
        <f t="shared" si="2636"/>
        <v>1.7772511848341232E-2</v>
      </c>
      <c r="AB1314" s="139"/>
      <c r="AC1314" s="139">
        <f t="shared" si="2562"/>
        <v>5.3317535545023699E-2</v>
      </c>
      <c r="AD1314" s="139">
        <f t="shared" ref="AD1314:AI1314" si="2637">O1314/$I1314</f>
        <v>4.7393364928909956E-3</v>
      </c>
      <c r="AE1314" s="139">
        <f t="shared" si="2637"/>
        <v>0</v>
      </c>
      <c r="AF1314" s="139">
        <f t="shared" si="2637"/>
        <v>0</v>
      </c>
      <c r="AG1314" s="139">
        <f t="shared" si="2637"/>
        <v>2.3696682464454978E-3</v>
      </c>
      <c r="AH1314" s="139">
        <f t="shared" si="2637"/>
        <v>3.4360189573459717E-2</v>
      </c>
      <c r="AI1314" s="139">
        <f t="shared" si="2637"/>
        <v>1.1848341232227487E-2</v>
      </c>
    </row>
    <row r="1315" spans="2:35">
      <c r="B1315" s="138" t="s">
        <v>8077</v>
      </c>
      <c r="C1315" s="138" t="s">
        <v>4367</v>
      </c>
      <c r="D1315" s="138" t="s">
        <v>8</v>
      </c>
      <c r="E1315" s="138" t="s">
        <v>8</v>
      </c>
      <c r="F1315" s="138" t="s">
        <v>550</v>
      </c>
      <c r="H1315" s="138">
        <v>125</v>
      </c>
      <c r="I1315" s="138">
        <v>895</v>
      </c>
      <c r="J1315" s="138">
        <v>489</v>
      </c>
      <c r="K1315" s="138">
        <v>376</v>
      </c>
      <c r="N1315" s="138">
        <v>10</v>
      </c>
      <c r="O1315" s="138">
        <v>3</v>
      </c>
      <c r="R1315" s="138">
        <v>2</v>
      </c>
      <c r="S1315" s="138">
        <v>9</v>
      </c>
      <c r="T1315" s="138">
        <v>6</v>
      </c>
      <c r="U1315" s="138">
        <f t="shared" si="2560"/>
        <v>20</v>
      </c>
      <c r="W1315" s="139">
        <f t="shared" ref="W1315:AA1315" si="2638">J1315/$I1315</f>
        <v>0.54636871508379892</v>
      </c>
      <c r="X1315" s="139">
        <f t="shared" si="2638"/>
        <v>0.42011173184357542</v>
      </c>
      <c r="Y1315" s="139">
        <f t="shared" si="2638"/>
        <v>0</v>
      </c>
      <c r="Z1315" s="139">
        <f t="shared" si="2638"/>
        <v>0</v>
      </c>
      <c r="AA1315" s="139">
        <f t="shared" si="2638"/>
        <v>1.11731843575419E-2</v>
      </c>
      <c r="AB1315" s="139"/>
      <c r="AC1315" s="139">
        <f t="shared" si="2562"/>
        <v>2.23463687150838E-2</v>
      </c>
      <c r="AD1315" s="139">
        <f t="shared" ref="AD1315:AI1315" si="2639">O1315/$I1315</f>
        <v>3.3519553072625698E-3</v>
      </c>
      <c r="AE1315" s="139">
        <f t="shared" si="2639"/>
        <v>0</v>
      </c>
      <c r="AF1315" s="139">
        <f t="shared" si="2639"/>
        <v>0</v>
      </c>
      <c r="AG1315" s="139">
        <f t="shared" si="2639"/>
        <v>2.2346368715083797E-3</v>
      </c>
      <c r="AH1315" s="139">
        <f t="shared" si="2639"/>
        <v>1.0055865921787709E-2</v>
      </c>
      <c r="AI1315" s="139">
        <f t="shared" si="2639"/>
        <v>6.7039106145251395E-3</v>
      </c>
    </row>
    <row r="1316" spans="2:35">
      <c r="B1316" s="138" t="s">
        <v>8077</v>
      </c>
      <c r="C1316" s="138" t="s">
        <v>4367</v>
      </c>
      <c r="D1316" s="138" t="s">
        <v>8</v>
      </c>
      <c r="E1316" s="138" t="s">
        <v>8</v>
      </c>
      <c r="F1316" s="138" t="s">
        <v>550</v>
      </c>
      <c r="H1316" s="138">
        <v>126</v>
      </c>
      <c r="I1316" s="138">
        <v>714</v>
      </c>
      <c r="J1316" s="138">
        <v>532</v>
      </c>
      <c r="K1316" s="138">
        <v>165</v>
      </c>
      <c r="N1316" s="138">
        <v>3</v>
      </c>
      <c r="O1316" s="138">
        <v>3</v>
      </c>
      <c r="R1316" s="138">
        <v>2</v>
      </c>
      <c r="S1316" s="138">
        <v>8</v>
      </c>
      <c r="T1316" s="138">
        <v>1</v>
      </c>
      <c r="U1316" s="138">
        <f t="shared" si="2560"/>
        <v>14</v>
      </c>
      <c r="W1316" s="139">
        <f t="shared" ref="W1316:AA1316" si="2640">J1316/$I1316</f>
        <v>0.74509803921568629</v>
      </c>
      <c r="X1316" s="139">
        <f t="shared" si="2640"/>
        <v>0.23109243697478993</v>
      </c>
      <c r="Y1316" s="139">
        <f t="shared" si="2640"/>
        <v>0</v>
      </c>
      <c r="Z1316" s="139">
        <f t="shared" si="2640"/>
        <v>0</v>
      </c>
      <c r="AA1316" s="139">
        <f t="shared" si="2640"/>
        <v>4.2016806722689074E-3</v>
      </c>
      <c r="AB1316" s="139"/>
      <c r="AC1316" s="139">
        <f t="shared" si="2562"/>
        <v>1.9607843137254902E-2</v>
      </c>
      <c r="AD1316" s="139">
        <f t="shared" ref="AD1316:AI1316" si="2641">O1316/$I1316</f>
        <v>4.2016806722689074E-3</v>
      </c>
      <c r="AE1316" s="139">
        <f t="shared" si="2641"/>
        <v>0</v>
      </c>
      <c r="AF1316" s="139">
        <f t="shared" si="2641"/>
        <v>0</v>
      </c>
      <c r="AG1316" s="139">
        <f t="shared" si="2641"/>
        <v>2.8011204481792717E-3</v>
      </c>
      <c r="AH1316" s="139">
        <f t="shared" si="2641"/>
        <v>1.1204481792717087E-2</v>
      </c>
      <c r="AI1316" s="139">
        <f t="shared" si="2641"/>
        <v>1.4005602240896359E-3</v>
      </c>
    </row>
    <row r="1317" spans="2:35">
      <c r="B1317" s="138" t="s">
        <v>8077</v>
      </c>
      <c r="C1317" s="138" t="s">
        <v>4367</v>
      </c>
      <c r="D1317" s="138" t="s">
        <v>8</v>
      </c>
      <c r="E1317" s="138" t="s">
        <v>8</v>
      </c>
      <c r="F1317" s="138" t="s">
        <v>550</v>
      </c>
      <c r="H1317" s="138">
        <v>127</v>
      </c>
      <c r="I1317" s="138">
        <v>719</v>
      </c>
      <c r="J1317" s="138">
        <v>516</v>
      </c>
      <c r="K1317" s="138">
        <v>184</v>
      </c>
      <c r="N1317" s="138">
        <v>1</v>
      </c>
      <c r="O1317" s="138">
        <v>1</v>
      </c>
      <c r="R1317" s="138">
        <v>2</v>
      </c>
      <c r="S1317" s="138">
        <v>11</v>
      </c>
      <c r="T1317" s="138">
        <v>4</v>
      </c>
      <c r="U1317" s="138">
        <f t="shared" si="2560"/>
        <v>18</v>
      </c>
      <c r="W1317" s="139">
        <f t="shared" ref="W1317:AA1317" si="2642">J1317/$I1317</f>
        <v>0.71766342141863704</v>
      </c>
      <c r="X1317" s="139">
        <f t="shared" si="2642"/>
        <v>0.25591098748261476</v>
      </c>
      <c r="Y1317" s="139">
        <f t="shared" si="2642"/>
        <v>0</v>
      </c>
      <c r="Z1317" s="139">
        <f t="shared" si="2642"/>
        <v>0</v>
      </c>
      <c r="AA1317" s="139">
        <f t="shared" si="2642"/>
        <v>1.3908205841446453E-3</v>
      </c>
      <c r="AB1317" s="139"/>
      <c r="AC1317" s="139">
        <f t="shared" si="2562"/>
        <v>2.5034770514603615E-2</v>
      </c>
      <c r="AD1317" s="139">
        <f t="shared" ref="AD1317:AI1317" si="2643">O1317/$I1317</f>
        <v>1.3908205841446453E-3</v>
      </c>
      <c r="AE1317" s="139">
        <f t="shared" si="2643"/>
        <v>0</v>
      </c>
      <c r="AF1317" s="139">
        <f t="shared" si="2643"/>
        <v>0</v>
      </c>
      <c r="AG1317" s="139">
        <f t="shared" si="2643"/>
        <v>2.7816411682892906E-3</v>
      </c>
      <c r="AH1317" s="139">
        <f t="shared" si="2643"/>
        <v>1.5299026425591099E-2</v>
      </c>
      <c r="AI1317" s="139">
        <f t="shared" si="2643"/>
        <v>5.5632823365785811E-3</v>
      </c>
    </row>
    <row r="1318" spans="2:35">
      <c r="B1318" s="138" t="s">
        <v>8077</v>
      </c>
      <c r="C1318" s="138" t="s">
        <v>4367</v>
      </c>
      <c r="D1318" s="138" t="s">
        <v>8</v>
      </c>
      <c r="E1318" s="138" t="s">
        <v>8</v>
      </c>
      <c r="F1318" s="138" t="s">
        <v>550</v>
      </c>
      <c r="H1318" s="138">
        <v>128</v>
      </c>
      <c r="I1318" s="138">
        <v>863</v>
      </c>
      <c r="J1318" s="138">
        <v>533</v>
      </c>
      <c r="K1318" s="138">
        <v>265</v>
      </c>
      <c r="N1318" s="138">
        <v>6</v>
      </c>
      <c r="O1318" s="138">
        <v>5</v>
      </c>
      <c r="R1318" s="138">
        <v>2</v>
      </c>
      <c r="S1318" s="138">
        <v>39</v>
      </c>
      <c r="T1318" s="138">
        <v>13</v>
      </c>
      <c r="U1318" s="138">
        <f t="shared" si="2560"/>
        <v>59</v>
      </c>
      <c r="W1318" s="139">
        <f t="shared" ref="W1318:AA1318" si="2644">J1318/$I1318</f>
        <v>0.61761297798377757</v>
      </c>
      <c r="X1318" s="139">
        <f t="shared" si="2644"/>
        <v>0.30706836616454231</v>
      </c>
      <c r="Y1318" s="139">
        <f t="shared" si="2644"/>
        <v>0</v>
      </c>
      <c r="Z1318" s="139">
        <f t="shared" si="2644"/>
        <v>0</v>
      </c>
      <c r="AA1318" s="139">
        <f t="shared" si="2644"/>
        <v>6.9524913093858632E-3</v>
      </c>
      <c r="AB1318" s="139"/>
      <c r="AC1318" s="139">
        <f t="shared" si="2562"/>
        <v>6.8366164542294328E-2</v>
      </c>
      <c r="AD1318" s="139">
        <f t="shared" ref="AD1318:AI1318" si="2645">O1318/$I1318</f>
        <v>5.7937427578215531E-3</v>
      </c>
      <c r="AE1318" s="139">
        <f t="shared" si="2645"/>
        <v>0</v>
      </c>
      <c r="AF1318" s="139">
        <f t="shared" si="2645"/>
        <v>0</v>
      </c>
      <c r="AG1318" s="139">
        <f t="shared" si="2645"/>
        <v>2.3174971031286211E-3</v>
      </c>
      <c r="AH1318" s="139">
        <f t="shared" si="2645"/>
        <v>4.5191193511008108E-2</v>
      </c>
      <c r="AI1318" s="139">
        <f t="shared" si="2645"/>
        <v>1.5063731170336037E-2</v>
      </c>
    </row>
    <row r="1319" spans="2:35">
      <c r="B1319" s="138" t="s">
        <v>8077</v>
      </c>
      <c r="C1319" s="138" t="s">
        <v>4367</v>
      </c>
      <c r="D1319" s="138" t="s">
        <v>8</v>
      </c>
      <c r="E1319" s="138" t="s">
        <v>8</v>
      </c>
      <c r="F1319" s="138" t="s">
        <v>550</v>
      </c>
      <c r="H1319" s="138">
        <v>129</v>
      </c>
      <c r="I1319" s="138">
        <v>772</v>
      </c>
      <c r="J1319" s="138">
        <v>549</v>
      </c>
      <c r="K1319" s="138">
        <v>207</v>
      </c>
      <c r="N1319" s="138">
        <v>3</v>
      </c>
      <c r="O1319" s="138">
        <v>1</v>
      </c>
      <c r="R1319" s="138">
        <v>1</v>
      </c>
      <c r="S1319" s="138">
        <v>9</v>
      </c>
      <c r="T1319" s="138">
        <v>2</v>
      </c>
      <c r="U1319" s="138">
        <f t="shared" si="2560"/>
        <v>13</v>
      </c>
      <c r="W1319" s="139">
        <f t="shared" ref="W1319:AA1319" si="2646">J1319/$I1319</f>
        <v>0.71113989637305697</v>
      </c>
      <c r="X1319" s="139">
        <f t="shared" si="2646"/>
        <v>0.26813471502590674</v>
      </c>
      <c r="Y1319" s="139">
        <f t="shared" si="2646"/>
        <v>0</v>
      </c>
      <c r="Z1319" s="139">
        <f t="shared" si="2646"/>
        <v>0</v>
      </c>
      <c r="AA1319" s="139">
        <f t="shared" si="2646"/>
        <v>3.8860103626943004E-3</v>
      </c>
      <c r="AB1319" s="139"/>
      <c r="AC1319" s="139">
        <f t="shared" si="2562"/>
        <v>1.683937823834197E-2</v>
      </c>
      <c r="AD1319" s="139">
        <f t="shared" ref="AD1319:AI1319" si="2647">O1319/$I1319</f>
        <v>1.2953367875647669E-3</v>
      </c>
      <c r="AE1319" s="139">
        <f t="shared" si="2647"/>
        <v>0</v>
      </c>
      <c r="AF1319" s="139">
        <f t="shared" si="2647"/>
        <v>0</v>
      </c>
      <c r="AG1319" s="139">
        <f t="shared" si="2647"/>
        <v>1.2953367875647669E-3</v>
      </c>
      <c r="AH1319" s="139">
        <f t="shared" si="2647"/>
        <v>1.1658031088082901E-2</v>
      </c>
      <c r="AI1319" s="139">
        <f t="shared" si="2647"/>
        <v>2.5906735751295338E-3</v>
      </c>
    </row>
    <row r="1320" spans="2:35">
      <c r="B1320" s="138" t="s">
        <v>8077</v>
      </c>
      <c r="C1320" s="138" t="s">
        <v>4367</v>
      </c>
      <c r="D1320" s="138" t="s">
        <v>8</v>
      </c>
      <c r="E1320" s="138" t="s">
        <v>8</v>
      </c>
      <c r="F1320" s="138" t="s">
        <v>550</v>
      </c>
      <c r="H1320" s="138">
        <v>130</v>
      </c>
      <c r="I1320" s="138">
        <v>795</v>
      </c>
      <c r="J1320" s="138">
        <v>562</v>
      </c>
      <c r="K1320" s="138">
        <v>215</v>
      </c>
      <c r="N1320" s="138">
        <v>4</v>
      </c>
      <c r="O1320" s="138">
        <v>2</v>
      </c>
      <c r="R1320" s="138">
        <v>1</v>
      </c>
      <c r="S1320" s="138">
        <v>10</v>
      </c>
      <c r="T1320" s="138">
        <v>1</v>
      </c>
      <c r="U1320" s="138">
        <f t="shared" si="2560"/>
        <v>14</v>
      </c>
      <c r="W1320" s="139">
        <f t="shared" ref="W1320:AA1320" si="2648">J1320/$I1320</f>
        <v>0.70691823899371065</v>
      </c>
      <c r="X1320" s="139">
        <f t="shared" si="2648"/>
        <v>0.27044025157232704</v>
      </c>
      <c r="Y1320" s="139">
        <f t="shared" si="2648"/>
        <v>0</v>
      </c>
      <c r="Z1320" s="139">
        <f t="shared" si="2648"/>
        <v>0</v>
      </c>
      <c r="AA1320" s="139">
        <f t="shared" si="2648"/>
        <v>5.0314465408805029E-3</v>
      </c>
      <c r="AB1320" s="139"/>
      <c r="AC1320" s="139">
        <f t="shared" si="2562"/>
        <v>1.7610062893081761E-2</v>
      </c>
      <c r="AD1320" s="139">
        <f t="shared" ref="AD1320:AI1320" si="2649">O1320/$I1320</f>
        <v>2.5157232704402514E-3</v>
      </c>
      <c r="AE1320" s="139">
        <f t="shared" si="2649"/>
        <v>0</v>
      </c>
      <c r="AF1320" s="139">
        <f t="shared" si="2649"/>
        <v>0</v>
      </c>
      <c r="AG1320" s="139">
        <f t="shared" si="2649"/>
        <v>1.2578616352201257E-3</v>
      </c>
      <c r="AH1320" s="139">
        <f t="shared" si="2649"/>
        <v>1.2578616352201259E-2</v>
      </c>
      <c r="AI1320" s="139">
        <f t="shared" si="2649"/>
        <v>1.2578616352201257E-3</v>
      </c>
    </row>
    <row r="1321" spans="2:35">
      <c r="B1321" s="138" t="s">
        <v>8077</v>
      </c>
      <c r="C1321" s="138" t="s">
        <v>4367</v>
      </c>
      <c r="D1321" s="138" t="s">
        <v>8</v>
      </c>
      <c r="E1321" s="138" t="s">
        <v>633</v>
      </c>
      <c r="F1321" s="138" t="s">
        <v>333</v>
      </c>
      <c r="H1321" s="138">
        <v>131</v>
      </c>
      <c r="I1321" s="138">
        <v>529</v>
      </c>
      <c r="J1321" s="138">
        <v>225</v>
      </c>
      <c r="K1321" s="138">
        <v>239</v>
      </c>
      <c r="N1321" s="138">
        <v>9</v>
      </c>
      <c r="O1321" s="138">
        <v>7</v>
      </c>
      <c r="R1321" s="138">
        <v>3</v>
      </c>
      <c r="S1321" s="138">
        <v>27</v>
      </c>
      <c r="T1321" s="138">
        <v>19</v>
      </c>
      <c r="U1321" s="138">
        <f t="shared" si="2560"/>
        <v>56</v>
      </c>
      <c r="W1321" s="139">
        <f t="shared" ref="W1321:AA1321" si="2650">J1321/$I1321</f>
        <v>0.42533081285444235</v>
      </c>
      <c r="X1321" s="139">
        <f t="shared" si="2650"/>
        <v>0.45179584120982985</v>
      </c>
      <c r="Y1321" s="139">
        <f t="shared" si="2650"/>
        <v>0</v>
      </c>
      <c r="Z1321" s="139">
        <f t="shared" si="2650"/>
        <v>0</v>
      </c>
      <c r="AA1321" s="139">
        <f t="shared" si="2650"/>
        <v>1.7013232514177693E-2</v>
      </c>
      <c r="AB1321" s="139"/>
      <c r="AC1321" s="139">
        <f t="shared" si="2562"/>
        <v>0.10586011342155009</v>
      </c>
      <c r="AD1321" s="139">
        <f t="shared" ref="AD1321:AI1321" si="2651">O1321/$I1321</f>
        <v>1.3232514177693762E-2</v>
      </c>
      <c r="AE1321" s="139">
        <f t="shared" si="2651"/>
        <v>0</v>
      </c>
      <c r="AF1321" s="139">
        <f t="shared" si="2651"/>
        <v>0</v>
      </c>
      <c r="AG1321" s="139">
        <f t="shared" si="2651"/>
        <v>5.6710775047258983E-3</v>
      </c>
      <c r="AH1321" s="139">
        <f t="shared" si="2651"/>
        <v>5.1039697542533083E-2</v>
      </c>
      <c r="AI1321" s="139">
        <f t="shared" si="2651"/>
        <v>3.5916824196597356E-2</v>
      </c>
    </row>
    <row r="1322" spans="2:35">
      <c r="B1322" s="138" t="s">
        <v>8077</v>
      </c>
      <c r="C1322" s="138" t="s">
        <v>4367</v>
      </c>
      <c r="D1322" s="138" t="s">
        <v>8</v>
      </c>
      <c r="E1322" s="138" t="s">
        <v>633</v>
      </c>
      <c r="F1322" s="138" t="s">
        <v>333</v>
      </c>
      <c r="H1322" s="138">
        <v>132</v>
      </c>
      <c r="I1322" s="138">
        <v>536</v>
      </c>
      <c r="J1322" s="138">
        <v>360</v>
      </c>
      <c r="K1322" s="138">
        <v>131</v>
      </c>
      <c r="N1322" s="138">
        <v>6</v>
      </c>
      <c r="O1322" s="138">
        <v>5</v>
      </c>
      <c r="R1322" s="138">
        <v>0</v>
      </c>
      <c r="S1322" s="138">
        <v>26</v>
      </c>
      <c r="T1322" s="138">
        <v>8</v>
      </c>
      <c r="U1322" s="138">
        <f t="shared" si="2560"/>
        <v>39</v>
      </c>
      <c r="W1322" s="139">
        <f t="shared" ref="W1322:AA1322" si="2652">J1322/$I1322</f>
        <v>0.67164179104477617</v>
      </c>
      <c r="X1322" s="139">
        <f t="shared" si="2652"/>
        <v>0.24440298507462688</v>
      </c>
      <c r="Y1322" s="139">
        <f t="shared" si="2652"/>
        <v>0</v>
      </c>
      <c r="Z1322" s="139">
        <f t="shared" si="2652"/>
        <v>0</v>
      </c>
      <c r="AA1322" s="139">
        <f t="shared" si="2652"/>
        <v>1.1194029850746268E-2</v>
      </c>
      <c r="AB1322" s="139"/>
      <c r="AC1322" s="139">
        <f t="shared" si="2562"/>
        <v>7.2761194029850748E-2</v>
      </c>
      <c r="AD1322" s="139">
        <f t="shared" ref="AD1322:AI1322" si="2653">O1322/$I1322</f>
        <v>9.3283582089552231E-3</v>
      </c>
      <c r="AE1322" s="139">
        <f t="shared" si="2653"/>
        <v>0</v>
      </c>
      <c r="AF1322" s="139">
        <f t="shared" si="2653"/>
        <v>0</v>
      </c>
      <c r="AG1322" s="139">
        <f t="shared" si="2653"/>
        <v>0</v>
      </c>
      <c r="AH1322" s="139">
        <f t="shared" si="2653"/>
        <v>4.8507462686567165E-2</v>
      </c>
      <c r="AI1322" s="139">
        <f t="shared" si="2653"/>
        <v>1.4925373134328358E-2</v>
      </c>
    </row>
    <row r="1323" spans="2:35">
      <c r="B1323" s="138" t="s">
        <v>8077</v>
      </c>
      <c r="C1323" s="138" t="s">
        <v>4367</v>
      </c>
      <c r="D1323" s="138" t="s">
        <v>8</v>
      </c>
      <c r="E1323" s="138" t="s">
        <v>633</v>
      </c>
      <c r="F1323" s="138" t="s">
        <v>651</v>
      </c>
      <c r="H1323" s="138">
        <v>133</v>
      </c>
      <c r="I1323" s="138">
        <v>788</v>
      </c>
      <c r="J1323" s="138">
        <v>446</v>
      </c>
      <c r="K1323" s="138">
        <v>293</v>
      </c>
      <c r="N1323" s="138">
        <v>10</v>
      </c>
      <c r="O1323" s="138">
        <v>9</v>
      </c>
      <c r="R1323" s="138">
        <v>1</v>
      </c>
      <c r="S1323" s="138">
        <v>18</v>
      </c>
      <c r="T1323" s="138">
        <v>11</v>
      </c>
      <c r="U1323" s="138">
        <f t="shared" si="2560"/>
        <v>39</v>
      </c>
      <c r="W1323" s="139">
        <f t="shared" ref="W1323:AA1323" si="2654">J1323/$I1323</f>
        <v>0.56598984771573602</v>
      </c>
      <c r="X1323" s="139">
        <f t="shared" si="2654"/>
        <v>0.37182741116751267</v>
      </c>
      <c r="Y1323" s="139">
        <f t="shared" si="2654"/>
        <v>0</v>
      </c>
      <c r="Z1323" s="139">
        <f t="shared" si="2654"/>
        <v>0</v>
      </c>
      <c r="AA1323" s="139">
        <f t="shared" si="2654"/>
        <v>1.2690355329949238E-2</v>
      </c>
      <c r="AB1323" s="139"/>
      <c r="AC1323" s="139">
        <f t="shared" si="2562"/>
        <v>4.9492385786802033E-2</v>
      </c>
      <c r="AD1323" s="139">
        <f t="shared" ref="AD1323:AI1323" si="2655">O1323/$I1323</f>
        <v>1.1421319796954314E-2</v>
      </c>
      <c r="AE1323" s="139">
        <f t="shared" si="2655"/>
        <v>0</v>
      </c>
      <c r="AF1323" s="139">
        <f t="shared" si="2655"/>
        <v>0</v>
      </c>
      <c r="AG1323" s="139">
        <f t="shared" si="2655"/>
        <v>1.2690355329949238E-3</v>
      </c>
      <c r="AH1323" s="139">
        <f t="shared" si="2655"/>
        <v>2.2842639593908629E-2</v>
      </c>
      <c r="AI1323" s="139">
        <f t="shared" si="2655"/>
        <v>1.3959390862944163E-2</v>
      </c>
    </row>
    <row r="1324" spans="2:35">
      <c r="B1324" s="138" t="s">
        <v>8077</v>
      </c>
      <c r="C1324" s="138" t="s">
        <v>4367</v>
      </c>
      <c r="D1324" s="138" t="s">
        <v>8</v>
      </c>
      <c r="E1324" s="138" t="s">
        <v>633</v>
      </c>
      <c r="F1324" s="138" t="s">
        <v>651</v>
      </c>
      <c r="H1324" s="138">
        <v>134</v>
      </c>
      <c r="I1324" s="138">
        <v>727</v>
      </c>
      <c r="J1324" s="138">
        <v>329</v>
      </c>
      <c r="K1324" s="138">
        <v>325</v>
      </c>
      <c r="N1324" s="138">
        <v>4</v>
      </c>
      <c r="O1324" s="138">
        <v>6</v>
      </c>
      <c r="R1324" s="138">
        <v>1</v>
      </c>
      <c r="S1324" s="138">
        <v>33</v>
      </c>
      <c r="T1324" s="138">
        <v>29</v>
      </c>
      <c r="U1324" s="138">
        <f t="shared" si="2560"/>
        <v>69</v>
      </c>
      <c r="W1324" s="139">
        <f t="shared" ref="W1324:AA1324" si="2656">J1324/$I1324</f>
        <v>0.45254470426409904</v>
      </c>
      <c r="X1324" s="139">
        <f t="shared" si="2656"/>
        <v>0.44704264099037139</v>
      </c>
      <c r="Y1324" s="139">
        <f t="shared" si="2656"/>
        <v>0</v>
      </c>
      <c r="Z1324" s="139">
        <f t="shared" si="2656"/>
        <v>0</v>
      </c>
      <c r="AA1324" s="139">
        <f t="shared" si="2656"/>
        <v>5.5020632737276479E-3</v>
      </c>
      <c r="AB1324" s="139"/>
      <c r="AC1324" s="139">
        <f t="shared" si="2562"/>
        <v>9.4910591471801919E-2</v>
      </c>
      <c r="AD1324" s="139">
        <f t="shared" ref="AD1324:AI1324" si="2657">O1324/$I1324</f>
        <v>8.253094910591471E-3</v>
      </c>
      <c r="AE1324" s="139">
        <f t="shared" si="2657"/>
        <v>0</v>
      </c>
      <c r="AF1324" s="139">
        <f t="shared" si="2657"/>
        <v>0</v>
      </c>
      <c r="AG1324" s="139">
        <f t="shared" si="2657"/>
        <v>1.375515818431912E-3</v>
      </c>
      <c r="AH1324" s="139">
        <f t="shared" si="2657"/>
        <v>4.5392022008253097E-2</v>
      </c>
      <c r="AI1324" s="139">
        <f t="shared" si="2657"/>
        <v>3.9889958734525444E-2</v>
      </c>
    </row>
    <row r="1325" spans="2:35">
      <c r="B1325" s="138" t="s">
        <v>8077</v>
      </c>
      <c r="C1325" s="138" t="s">
        <v>4367</v>
      </c>
      <c r="D1325" s="138" t="s">
        <v>8</v>
      </c>
      <c r="E1325" s="138" t="s">
        <v>633</v>
      </c>
      <c r="F1325" s="138" t="s">
        <v>637</v>
      </c>
      <c r="H1325" s="138">
        <v>135</v>
      </c>
      <c r="I1325" s="138">
        <v>956</v>
      </c>
      <c r="J1325" s="138">
        <v>501</v>
      </c>
      <c r="K1325" s="138">
        <v>365</v>
      </c>
      <c r="N1325" s="138">
        <v>10</v>
      </c>
      <c r="O1325" s="138">
        <v>13</v>
      </c>
      <c r="R1325" s="138">
        <v>4</v>
      </c>
      <c r="S1325" s="138">
        <v>45</v>
      </c>
      <c r="T1325" s="138">
        <v>18</v>
      </c>
      <c r="U1325" s="138">
        <f t="shared" si="2560"/>
        <v>80</v>
      </c>
      <c r="W1325" s="139">
        <f t="shared" ref="W1325:AA1325" si="2658">J1325/$I1325</f>
        <v>0.52405857740585771</v>
      </c>
      <c r="X1325" s="139">
        <f t="shared" si="2658"/>
        <v>0.3817991631799163</v>
      </c>
      <c r="Y1325" s="139">
        <f t="shared" si="2658"/>
        <v>0</v>
      </c>
      <c r="Z1325" s="139">
        <f t="shared" si="2658"/>
        <v>0</v>
      </c>
      <c r="AA1325" s="139">
        <f t="shared" si="2658"/>
        <v>1.0460251046025104E-2</v>
      </c>
      <c r="AB1325" s="139"/>
      <c r="AC1325" s="139">
        <f t="shared" si="2562"/>
        <v>8.3682008368200833E-2</v>
      </c>
      <c r="AD1325" s="139">
        <f t="shared" ref="AD1325:AI1325" si="2659">O1325/$I1325</f>
        <v>1.3598326359832637E-2</v>
      </c>
      <c r="AE1325" s="139">
        <f t="shared" si="2659"/>
        <v>0</v>
      </c>
      <c r="AF1325" s="139">
        <f t="shared" si="2659"/>
        <v>0</v>
      </c>
      <c r="AG1325" s="139">
        <f t="shared" si="2659"/>
        <v>4.1841004184100415E-3</v>
      </c>
      <c r="AH1325" s="139">
        <f t="shared" si="2659"/>
        <v>4.7071129707112969E-2</v>
      </c>
      <c r="AI1325" s="139">
        <f t="shared" si="2659"/>
        <v>1.8828451882845189E-2</v>
      </c>
    </row>
    <row r="1326" spans="2:35">
      <c r="B1326" s="138" t="s">
        <v>8077</v>
      </c>
      <c r="C1326" s="138" t="s">
        <v>4367</v>
      </c>
      <c r="D1326" s="138" t="s">
        <v>8</v>
      </c>
      <c r="E1326" s="138" t="s">
        <v>633</v>
      </c>
      <c r="F1326" s="138" t="s">
        <v>637</v>
      </c>
      <c r="H1326" s="138">
        <v>136</v>
      </c>
      <c r="I1326" s="138">
        <v>758</v>
      </c>
      <c r="J1326" s="138">
        <v>415</v>
      </c>
      <c r="K1326" s="138">
        <v>275</v>
      </c>
      <c r="N1326" s="138">
        <v>8</v>
      </c>
      <c r="O1326" s="138">
        <v>4</v>
      </c>
      <c r="R1326" s="138">
        <v>2</v>
      </c>
      <c r="S1326" s="138">
        <v>23</v>
      </c>
      <c r="T1326" s="138">
        <v>31</v>
      </c>
      <c r="U1326" s="138">
        <f t="shared" si="2560"/>
        <v>60</v>
      </c>
      <c r="W1326" s="139">
        <f t="shared" ref="W1326:AA1326" si="2660">J1326/$I1326</f>
        <v>0.5474934036939314</v>
      </c>
      <c r="X1326" s="139">
        <f t="shared" si="2660"/>
        <v>0.36279683377308708</v>
      </c>
      <c r="Y1326" s="139">
        <f t="shared" si="2660"/>
        <v>0</v>
      </c>
      <c r="Z1326" s="139">
        <f t="shared" si="2660"/>
        <v>0</v>
      </c>
      <c r="AA1326" s="139">
        <f t="shared" si="2660"/>
        <v>1.0554089709762533E-2</v>
      </c>
      <c r="AB1326" s="139"/>
      <c r="AC1326" s="139">
        <f t="shared" si="2562"/>
        <v>7.9155672823219003E-2</v>
      </c>
      <c r="AD1326" s="139">
        <f t="shared" ref="AD1326:AI1326" si="2661">O1326/$I1326</f>
        <v>5.2770448548812663E-3</v>
      </c>
      <c r="AE1326" s="139">
        <f t="shared" si="2661"/>
        <v>0</v>
      </c>
      <c r="AF1326" s="139">
        <f t="shared" si="2661"/>
        <v>0</v>
      </c>
      <c r="AG1326" s="139">
        <f t="shared" si="2661"/>
        <v>2.6385224274406332E-3</v>
      </c>
      <c r="AH1326" s="139">
        <f t="shared" si="2661"/>
        <v>3.0343007915567283E-2</v>
      </c>
      <c r="AI1326" s="139">
        <f t="shared" si="2661"/>
        <v>4.0897097625329816E-2</v>
      </c>
    </row>
    <row r="1327" spans="2:35">
      <c r="B1327" s="138" t="s">
        <v>8077</v>
      </c>
      <c r="C1327" s="138" t="s">
        <v>4367</v>
      </c>
      <c r="D1327" s="138" t="s">
        <v>8</v>
      </c>
      <c r="E1327" s="138" t="s">
        <v>633</v>
      </c>
      <c r="F1327" s="138" t="s">
        <v>637</v>
      </c>
      <c r="H1327" s="138">
        <v>137</v>
      </c>
      <c r="I1327" s="138">
        <v>817</v>
      </c>
      <c r="J1327" s="138">
        <v>407</v>
      </c>
      <c r="K1327" s="138">
        <v>348</v>
      </c>
      <c r="N1327" s="138">
        <v>4</v>
      </c>
      <c r="O1327" s="138">
        <v>5</v>
      </c>
      <c r="R1327" s="138">
        <v>2</v>
      </c>
      <c r="S1327" s="138">
        <v>32</v>
      </c>
      <c r="T1327" s="138">
        <v>19</v>
      </c>
      <c r="U1327" s="138">
        <f t="shared" si="2560"/>
        <v>58</v>
      </c>
      <c r="W1327" s="139">
        <f t="shared" ref="W1327:AA1327" si="2662">J1327/$I1327</f>
        <v>0.49816401468788252</v>
      </c>
      <c r="X1327" s="139">
        <f t="shared" si="2662"/>
        <v>0.42594859241126071</v>
      </c>
      <c r="Y1327" s="139">
        <f t="shared" si="2662"/>
        <v>0</v>
      </c>
      <c r="Z1327" s="139">
        <f t="shared" si="2662"/>
        <v>0</v>
      </c>
      <c r="AA1327" s="139">
        <f t="shared" si="2662"/>
        <v>4.8959608323133411E-3</v>
      </c>
      <c r="AB1327" s="139"/>
      <c r="AC1327" s="139">
        <f t="shared" si="2562"/>
        <v>7.0991432068543456E-2</v>
      </c>
      <c r="AD1327" s="139">
        <f t="shared" ref="AD1327:AI1327" si="2663">O1327/$I1327</f>
        <v>6.1199510403916772E-3</v>
      </c>
      <c r="AE1327" s="139">
        <f t="shared" si="2663"/>
        <v>0</v>
      </c>
      <c r="AF1327" s="139">
        <f t="shared" si="2663"/>
        <v>0</v>
      </c>
      <c r="AG1327" s="139">
        <f t="shared" si="2663"/>
        <v>2.4479804161566705E-3</v>
      </c>
      <c r="AH1327" s="139">
        <f t="shared" si="2663"/>
        <v>3.9167686658506728E-2</v>
      </c>
      <c r="AI1327" s="139">
        <f t="shared" si="2663"/>
        <v>2.3255813953488372E-2</v>
      </c>
    </row>
    <row r="1328" spans="2:35">
      <c r="B1328" s="138" t="s">
        <v>8077</v>
      </c>
      <c r="C1328" s="138" t="s">
        <v>4367</v>
      </c>
      <c r="D1328" s="138" t="s">
        <v>8</v>
      </c>
      <c r="E1328" s="138" t="s">
        <v>633</v>
      </c>
      <c r="F1328" s="138" t="s">
        <v>640</v>
      </c>
      <c r="H1328" s="138">
        <v>138</v>
      </c>
      <c r="I1328" s="138">
        <v>1007</v>
      </c>
      <c r="J1328" s="138">
        <v>542</v>
      </c>
      <c r="K1328" s="138">
        <v>420</v>
      </c>
      <c r="N1328" s="138">
        <v>7</v>
      </c>
      <c r="O1328" s="138">
        <v>2</v>
      </c>
      <c r="R1328" s="138">
        <v>4</v>
      </c>
      <c r="S1328" s="138">
        <v>22</v>
      </c>
      <c r="T1328" s="138">
        <v>10</v>
      </c>
      <c r="U1328" s="138">
        <f t="shared" si="2560"/>
        <v>38</v>
      </c>
      <c r="W1328" s="139">
        <f t="shared" ref="W1328:AA1328" si="2664">J1328/$I1328</f>
        <v>0.53823237338629593</v>
      </c>
      <c r="X1328" s="139">
        <f t="shared" si="2664"/>
        <v>0.41708043694141012</v>
      </c>
      <c r="Y1328" s="139">
        <f t="shared" si="2664"/>
        <v>0</v>
      </c>
      <c r="Z1328" s="139">
        <f t="shared" si="2664"/>
        <v>0</v>
      </c>
      <c r="AA1328" s="139">
        <f t="shared" si="2664"/>
        <v>6.9513406156901684E-3</v>
      </c>
      <c r="AB1328" s="139"/>
      <c r="AC1328" s="139">
        <f t="shared" si="2562"/>
        <v>3.7735849056603772E-2</v>
      </c>
      <c r="AD1328" s="139">
        <f t="shared" ref="AD1328:AI1328" si="2665">O1328/$I1328</f>
        <v>1.9860973187686196E-3</v>
      </c>
      <c r="AE1328" s="139">
        <f t="shared" si="2665"/>
        <v>0</v>
      </c>
      <c r="AF1328" s="139">
        <f t="shared" si="2665"/>
        <v>0</v>
      </c>
      <c r="AG1328" s="139">
        <f t="shared" si="2665"/>
        <v>3.9721946375372392E-3</v>
      </c>
      <c r="AH1328" s="139">
        <f t="shared" si="2665"/>
        <v>2.1847070506454815E-2</v>
      </c>
      <c r="AI1328" s="139">
        <f t="shared" si="2665"/>
        <v>9.9304865938430985E-3</v>
      </c>
    </row>
    <row r="1329" spans="2:35">
      <c r="B1329" s="138" t="s">
        <v>8077</v>
      </c>
      <c r="C1329" s="138" t="s">
        <v>4367</v>
      </c>
      <c r="D1329" s="138" t="s">
        <v>8</v>
      </c>
      <c r="E1329" s="138" t="s">
        <v>633</v>
      </c>
      <c r="F1329" s="138" t="s">
        <v>645</v>
      </c>
      <c r="H1329" s="138">
        <v>139</v>
      </c>
      <c r="I1329" s="138">
        <v>631</v>
      </c>
      <c r="J1329" s="138">
        <v>314</v>
      </c>
      <c r="K1329" s="138">
        <v>285</v>
      </c>
      <c r="N1329" s="138">
        <v>6</v>
      </c>
      <c r="O1329" s="138">
        <v>1</v>
      </c>
      <c r="R1329" s="138">
        <v>1</v>
      </c>
      <c r="S1329" s="138">
        <v>10</v>
      </c>
      <c r="T1329" s="138">
        <v>14</v>
      </c>
      <c r="U1329" s="138">
        <f t="shared" si="2560"/>
        <v>26</v>
      </c>
      <c r="W1329" s="139">
        <f t="shared" ref="W1329:AA1329" si="2666">J1329/$I1329</f>
        <v>0.49762282091917592</v>
      </c>
      <c r="X1329" s="139">
        <f t="shared" si="2666"/>
        <v>0.45166402535657685</v>
      </c>
      <c r="Y1329" s="139">
        <f t="shared" si="2666"/>
        <v>0</v>
      </c>
      <c r="Z1329" s="139">
        <f t="shared" si="2666"/>
        <v>0</v>
      </c>
      <c r="AA1329" s="139">
        <f t="shared" si="2666"/>
        <v>9.5087163232963554E-3</v>
      </c>
      <c r="AB1329" s="139"/>
      <c r="AC1329" s="139">
        <f t="shared" si="2562"/>
        <v>4.1204437400950873E-2</v>
      </c>
      <c r="AD1329" s="139">
        <f t="shared" ref="AD1329:AI1329" si="2667">O1329/$I1329</f>
        <v>1.5847860538827259E-3</v>
      </c>
      <c r="AE1329" s="139">
        <f t="shared" si="2667"/>
        <v>0</v>
      </c>
      <c r="AF1329" s="139">
        <f t="shared" si="2667"/>
        <v>0</v>
      </c>
      <c r="AG1329" s="139">
        <f t="shared" si="2667"/>
        <v>1.5847860538827259E-3</v>
      </c>
      <c r="AH1329" s="139">
        <f t="shared" si="2667"/>
        <v>1.5847860538827259E-2</v>
      </c>
      <c r="AI1329" s="139">
        <f t="shared" si="2667"/>
        <v>2.2187004754358162E-2</v>
      </c>
    </row>
    <row r="1330" spans="2:35">
      <c r="B1330" s="138" t="s">
        <v>8077</v>
      </c>
      <c r="C1330" s="138" t="s">
        <v>4367</v>
      </c>
      <c r="D1330" s="138" t="s">
        <v>8</v>
      </c>
      <c r="E1330" s="138" t="s">
        <v>587</v>
      </c>
      <c r="F1330" s="138" t="s">
        <v>554</v>
      </c>
      <c r="H1330" s="138">
        <v>140</v>
      </c>
      <c r="I1330" s="138">
        <v>719</v>
      </c>
      <c r="J1330" s="138">
        <v>377</v>
      </c>
      <c r="K1330" s="138">
        <v>303</v>
      </c>
      <c r="N1330" s="138">
        <v>7</v>
      </c>
      <c r="O1330" s="138">
        <v>5</v>
      </c>
      <c r="R1330" s="138">
        <v>3</v>
      </c>
      <c r="S1330" s="138">
        <v>15</v>
      </c>
      <c r="T1330" s="138">
        <v>9</v>
      </c>
      <c r="U1330" s="138">
        <f t="shared" si="2560"/>
        <v>32</v>
      </c>
      <c r="W1330" s="139">
        <f t="shared" ref="W1330:AA1330" si="2668">J1330/$I1330</f>
        <v>0.52433936022253125</v>
      </c>
      <c r="X1330" s="139">
        <f t="shared" si="2668"/>
        <v>0.42141863699582754</v>
      </c>
      <c r="Y1330" s="139">
        <f t="shared" si="2668"/>
        <v>0</v>
      </c>
      <c r="Z1330" s="139">
        <f t="shared" si="2668"/>
        <v>0</v>
      </c>
      <c r="AA1330" s="139">
        <f t="shared" si="2668"/>
        <v>9.7357440890125171E-3</v>
      </c>
      <c r="AB1330" s="139"/>
      <c r="AC1330" s="139">
        <f t="shared" si="2562"/>
        <v>4.4506258692628649E-2</v>
      </c>
      <c r="AD1330" s="139">
        <f t="shared" ref="AD1330:AI1330" si="2669">O1330/$I1330</f>
        <v>6.954102920723227E-3</v>
      </c>
      <c r="AE1330" s="139">
        <f t="shared" si="2669"/>
        <v>0</v>
      </c>
      <c r="AF1330" s="139">
        <f t="shared" si="2669"/>
        <v>0</v>
      </c>
      <c r="AG1330" s="139">
        <f t="shared" si="2669"/>
        <v>4.172461752433936E-3</v>
      </c>
      <c r="AH1330" s="139">
        <f t="shared" si="2669"/>
        <v>2.0862308762169681E-2</v>
      </c>
      <c r="AI1330" s="139">
        <f t="shared" si="2669"/>
        <v>1.2517385257301807E-2</v>
      </c>
    </row>
    <row r="1331" spans="2:35">
      <c r="B1331" s="138" t="s">
        <v>8077</v>
      </c>
      <c r="C1331" s="138" t="s">
        <v>4367</v>
      </c>
      <c r="D1331" s="138" t="s">
        <v>8</v>
      </c>
      <c r="E1331" s="138" t="s">
        <v>633</v>
      </c>
      <c r="F1331" s="138" t="s">
        <v>645</v>
      </c>
      <c r="H1331" s="138">
        <v>141</v>
      </c>
      <c r="I1331" s="138">
        <v>868</v>
      </c>
      <c r="J1331" s="138">
        <v>481</v>
      </c>
      <c r="K1331" s="138">
        <v>348</v>
      </c>
      <c r="N1331" s="138">
        <v>4</v>
      </c>
      <c r="O1331" s="138">
        <v>4</v>
      </c>
      <c r="R1331" s="138">
        <v>1</v>
      </c>
      <c r="S1331" s="138">
        <v>18</v>
      </c>
      <c r="T1331" s="138">
        <v>12</v>
      </c>
      <c r="U1331" s="138">
        <f t="shared" si="2560"/>
        <v>35</v>
      </c>
      <c r="W1331" s="139">
        <f t="shared" ref="W1331:AA1331" si="2670">J1331/$I1331</f>
        <v>0.55414746543778803</v>
      </c>
      <c r="X1331" s="139">
        <f t="shared" si="2670"/>
        <v>0.4009216589861751</v>
      </c>
      <c r="Y1331" s="139">
        <f t="shared" si="2670"/>
        <v>0</v>
      </c>
      <c r="Z1331" s="139">
        <f t="shared" si="2670"/>
        <v>0</v>
      </c>
      <c r="AA1331" s="139">
        <f t="shared" si="2670"/>
        <v>4.608294930875576E-3</v>
      </c>
      <c r="AB1331" s="139"/>
      <c r="AC1331" s="139">
        <f t="shared" si="2562"/>
        <v>4.0322580645161289E-2</v>
      </c>
      <c r="AD1331" s="139">
        <f t="shared" ref="AD1331:AI1331" si="2671">O1331/$I1331</f>
        <v>4.608294930875576E-3</v>
      </c>
      <c r="AE1331" s="139">
        <f t="shared" si="2671"/>
        <v>0</v>
      </c>
      <c r="AF1331" s="139">
        <f t="shared" si="2671"/>
        <v>0</v>
      </c>
      <c r="AG1331" s="139">
        <f t="shared" si="2671"/>
        <v>1.152073732718894E-3</v>
      </c>
      <c r="AH1331" s="139">
        <f t="shared" si="2671"/>
        <v>2.0737327188940093E-2</v>
      </c>
      <c r="AI1331" s="139">
        <f t="shared" si="2671"/>
        <v>1.3824884792626729E-2</v>
      </c>
    </row>
    <row r="1332" spans="2:35">
      <c r="B1332" s="138" t="s">
        <v>8077</v>
      </c>
      <c r="C1332" s="138" t="s">
        <v>4367</v>
      </c>
      <c r="D1332" s="138" t="s">
        <v>8</v>
      </c>
      <c r="E1332" s="138" t="s">
        <v>633</v>
      </c>
      <c r="F1332" s="138" t="s">
        <v>633</v>
      </c>
      <c r="H1332" s="138">
        <v>142</v>
      </c>
      <c r="I1332" s="138">
        <v>754</v>
      </c>
      <c r="J1332" s="138">
        <v>244</v>
      </c>
      <c r="K1332" s="138">
        <v>453</v>
      </c>
      <c r="N1332" s="138">
        <v>2</v>
      </c>
      <c r="O1332" s="138">
        <v>5</v>
      </c>
      <c r="R1332" s="138">
        <v>1</v>
      </c>
      <c r="S1332" s="138">
        <v>15</v>
      </c>
      <c r="T1332" s="138">
        <v>34</v>
      </c>
      <c r="U1332" s="138">
        <f t="shared" si="2560"/>
        <v>55</v>
      </c>
      <c r="W1332" s="139">
        <f t="shared" ref="W1332:AA1332" si="2672">J1332/$I1332</f>
        <v>0.32360742705570295</v>
      </c>
      <c r="X1332" s="139">
        <f t="shared" si="2672"/>
        <v>0.60079575596816981</v>
      </c>
      <c r="Y1332" s="139">
        <f t="shared" si="2672"/>
        <v>0</v>
      </c>
      <c r="Z1332" s="139">
        <f t="shared" si="2672"/>
        <v>0</v>
      </c>
      <c r="AA1332" s="139">
        <f t="shared" si="2672"/>
        <v>2.6525198938992041E-3</v>
      </c>
      <c r="AB1332" s="139"/>
      <c r="AC1332" s="139">
        <f t="shared" si="2562"/>
        <v>7.2944297082228118E-2</v>
      </c>
      <c r="AD1332" s="139">
        <f t="shared" ref="AD1332:AI1332" si="2673">O1332/$I1332</f>
        <v>6.6312997347480109E-3</v>
      </c>
      <c r="AE1332" s="139">
        <f t="shared" si="2673"/>
        <v>0</v>
      </c>
      <c r="AF1332" s="139">
        <f t="shared" si="2673"/>
        <v>0</v>
      </c>
      <c r="AG1332" s="139">
        <f t="shared" si="2673"/>
        <v>1.3262599469496021E-3</v>
      </c>
      <c r="AH1332" s="139">
        <f t="shared" si="2673"/>
        <v>1.9893899204244031E-2</v>
      </c>
      <c r="AI1332" s="139">
        <f t="shared" si="2673"/>
        <v>4.5092838196286469E-2</v>
      </c>
    </row>
    <row r="1333" spans="2:35">
      <c r="B1333" s="138" t="s">
        <v>8077</v>
      </c>
      <c r="C1333" s="138" t="s">
        <v>4367</v>
      </c>
      <c r="D1333" s="138" t="s">
        <v>8</v>
      </c>
      <c r="E1333" s="138" t="s">
        <v>633</v>
      </c>
      <c r="F1333" s="138" t="s">
        <v>633</v>
      </c>
      <c r="H1333" s="138">
        <v>143</v>
      </c>
      <c r="I1333" s="138">
        <v>723</v>
      </c>
      <c r="J1333" s="138">
        <v>233</v>
      </c>
      <c r="K1333" s="138">
        <v>451</v>
      </c>
      <c r="N1333" s="138">
        <v>10</v>
      </c>
      <c r="O1333" s="138">
        <v>2</v>
      </c>
      <c r="R1333" s="138">
        <v>2</v>
      </c>
      <c r="S1333" s="138">
        <v>12</v>
      </c>
      <c r="T1333" s="138">
        <v>13</v>
      </c>
      <c r="U1333" s="138">
        <f t="shared" si="2560"/>
        <v>29</v>
      </c>
      <c r="W1333" s="139">
        <f t="shared" ref="W1333:AA1333" si="2674">J1333/$I1333</f>
        <v>0.32226832641770403</v>
      </c>
      <c r="X1333" s="139">
        <f t="shared" si="2674"/>
        <v>0.62378976486860305</v>
      </c>
      <c r="Y1333" s="139">
        <f t="shared" si="2674"/>
        <v>0</v>
      </c>
      <c r="Z1333" s="139">
        <f t="shared" si="2674"/>
        <v>0</v>
      </c>
      <c r="AA1333" s="139">
        <f t="shared" si="2674"/>
        <v>1.3831258644536652E-2</v>
      </c>
      <c r="AB1333" s="139"/>
      <c r="AC1333" s="139">
        <f t="shared" si="2562"/>
        <v>4.0110650069156296E-2</v>
      </c>
      <c r="AD1333" s="139">
        <f t="shared" ref="AD1333:AI1333" si="2675">O1333/$I1333</f>
        <v>2.7662517289073307E-3</v>
      </c>
      <c r="AE1333" s="139">
        <f t="shared" si="2675"/>
        <v>0</v>
      </c>
      <c r="AF1333" s="139">
        <f t="shared" si="2675"/>
        <v>0</v>
      </c>
      <c r="AG1333" s="139">
        <f t="shared" si="2675"/>
        <v>2.7662517289073307E-3</v>
      </c>
      <c r="AH1333" s="139">
        <f t="shared" si="2675"/>
        <v>1.6597510373443983E-2</v>
      </c>
      <c r="AI1333" s="139">
        <f t="shared" si="2675"/>
        <v>1.7980636237897647E-2</v>
      </c>
    </row>
    <row r="1334" spans="2:35">
      <c r="B1334" s="138" t="s">
        <v>8077</v>
      </c>
      <c r="C1334" s="138" t="s">
        <v>4367</v>
      </c>
      <c r="D1334" s="138" t="s">
        <v>8</v>
      </c>
      <c r="E1334" s="138" t="s">
        <v>633</v>
      </c>
      <c r="F1334" s="138" t="s">
        <v>633</v>
      </c>
      <c r="H1334" s="138">
        <v>144</v>
      </c>
      <c r="I1334" s="138">
        <v>785</v>
      </c>
      <c r="J1334" s="138">
        <v>488</v>
      </c>
      <c r="K1334" s="138">
        <v>252</v>
      </c>
      <c r="N1334" s="138">
        <v>7</v>
      </c>
      <c r="O1334" s="138">
        <v>2</v>
      </c>
      <c r="R1334" s="138">
        <v>2</v>
      </c>
      <c r="S1334" s="138">
        <v>18</v>
      </c>
      <c r="T1334" s="138">
        <v>16</v>
      </c>
      <c r="U1334" s="138">
        <f t="shared" si="2560"/>
        <v>38</v>
      </c>
      <c r="W1334" s="139">
        <f t="shared" ref="W1334:AA1334" si="2676">J1334/$I1334</f>
        <v>0.62165605095541399</v>
      </c>
      <c r="X1334" s="139">
        <f t="shared" si="2676"/>
        <v>0.32101910828025476</v>
      </c>
      <c r="Y1334" s="139">
        <f t="shared" si="2676"/>
        <v>0</v>
      </c>
      <c r="Z1334" s="139">
        <f t="shared" si="2676"/>
        <v>0</v>
      </c>
      <c r="AA1334" s="139">
        <f t="shared" si="2676"/>
        <v>8.9171974522292991E-3</v>
      </c>
      <c r="AB1334" s="139"/>
      <c r="AC1334" s="139">
        <f t="shared" si="2562"/>
        <v>4.8407643312101914E-2</v>
      </c>
      <c r="AD1334" s="139">
        <f t="shared" ref="AD1334:AI1334" si="2677">O1334/$I1334</f>
        <v>2.5477707006369425E-3</v>
      </c>
      <c r="AE1334" s="139">
        <f t="shared" si="2677"/>
        <v>0</v>
      </c>
      <c r="AF1334" s="139">
        <f t="shared" si="2677"/>
        <v>0</v>
      </c>
      <c r="AG1334" s="139">
        <f t="shared" si="2677"/>
        <v>2.5477707006369425E-3</v>
      </c>
      <c r="AH1334" s="139">
        <f t="shared" si="2677"/>
        <v>2.2929936305732482E-2</v>
      </c>
      <c r="AI1334" s="139">
        <f t="shared" si="2677"/>
        <v>2.038216560509554E-2</v>
      </c>
    </row>
    <row r="1335" spans="2:35">
      <c r="B1335" s="138" t="s">
        <v>8077</v>
      </c>
      <c r="C1335" s="138" t="s">
        <v>4367</v>
      </c>
      <c r="D1335" s="138" t="s">
        <v>8</v>
      </c>
      <c r="E1335" s="138" t="s">
        <v>633</v>
      </c>
      <c r="F1335" s="138" t="s">
        <v>633</v>
      </c>
      <c r="H1335" s="138">
        <v>145</v>
      </c>
      <c r="I1335" s="138">
        <v>849</v>
      </c>
      <c r="J1335" s="138">
        <v>472</v>
      </c>
      <c r="K1335" s="138">
        <v>341</v>
      </c>
      <c r="N1335" s="138">
        <v>8</v>
      </c>
      <c r="O1335" s="138">
        <v>3</v>
      </c>
      <c r="R1335" s="138">
        <v>2</v>
      </c>
      <c r="S1335" s="138">
        <v>15</v>
      </c>
      <c r="T1335" s="138">
        <v>8</v>
      </c>
      <c r="U1335" s="138">
        <f t="shared" si="2560"/>
        <v>28</v>
      </c>
      <c r="W1335" s="139">
        <f t="shared" ref="W1335:AA1335" si="2678">J1335/$I1335</f>
        <v>0.55594817432273258</v>
      </c>
      <c r="X1335" s="139">
        <f t="shared" si="2678"/>
        <v>0.40164899882214372</v>
      </c>
      <c r="Y1335" s="139">
        <f t="shared" si="2678"/>
        <v>0</v>
      </c>
      <c r="Z1335" s="139">
        <f t="shared" si="2678"/>
        <v>0</v>
      </c>
      <c r="AA1335" s="139">
        <f t="shared" si="2678"/>
        <v>9.4228504122497048E-3</v>
      </c>
      <c r="AB1335" s="139"/>
      <c r="AC1335" s="139">
        <f t="shared" si="2562"/>
        <v>3.2979976442873968E-2</v>
      </c>
      <c r="AD1335" s="139">
        <f t="shared" ref="AD1335:AI1335" si="2679">O1335/$I1335</f>
        <v>3.5335689045936395E-3</v>
      </c>
      <c r="AE1335" s="139">
        <f t="shared" si="2679"/>
        <v>0</v>
      </c>
      <c r="AF1335" s="139">
        <f t="shared" si="2679"/>
        <v>0</v>
      </c>
      <c r="AG1335" s="139">
        <f t="shared" si="2679"/>
        <v>2.3557126030624262E-3</v>
      </c>
      <c r="AH1335" s="139">
        <f t="shared" si="2679"/>
        <v>1.7667844522968199E-2</v>
      </c>
      <c r="AI1335" s="139">
        <f t="shared" si="2679"/>
        <v>9.4228504122497048E-3</v>
      </c>
    </row>
    <row r="1336" spans="2:35">
      <c r="B1336" s="138" t="s">
        <v>8077</v>
      </c>
      <c r="C1336" s="138" t="s">
        <v>4367</v>
      </c>
      <c r="D1336" s="138" t="s">
        <v>8</v>
      </c>
      <c r="E1336" s="138" t="s">
        <v>633</v>
      </c>
      <c r="F1336" s="138" t="s">
        <v>633</v>
      </c>
      <c r="H1336" s="138">
        <v>146</v>
      </c>
      <c r="I1336" s="138">
        <v>847</v>
      </c>
      <c r="J1336" s="138">
        <v>506</v>
      </c>
      <c r="K1336" s="138">
        <v>291</v>
      </c>
      <c r="N1336" s="138">
        <v>6</v>
      </c>
      <c r="O1336" s="138">
        <v>4</v>
      </c>
      <c r="R1336" s="138">
        <v>0</v>
      </c>
      <c r="S1336" s="138">
        <v>25</v>
      </c>
      <c r="T1336" s="138">
        <v>15</v>
      </c>
      <c r="U1336" s="138">
        <f t="shared" si="2560"/>
        <v>44</v>
      </c>
      <c r="W1336" s="139">
        <f t="shared" ref="W1336:AA1336" si="2680">J1336/$I1336</f>
        <v>0.59740259740259738</v>
      </c>
      <c r="X1336" s="139">
        <f t="shared" si="2680"/>
        <v>0.34356552538370722</v>
      </c>
      <c r="Y1336" s="139">
        <f t="shared" si="2680"/>
        <v>0</v>
      </c>
      <c r="Z1336" s="139">
        <f t="shared" si="2680"/>
        <v>0</v>
      </c>
      <c r="AA1336" s="139">
        <f t="shared" si="2680"/>
        <v>7.0838252656434475E-3</v>
      </c>
      <c r="AB1336" s="139"/>
      <c r="AC1336" s="139">
        <f t="shared" si="2562"/>
        <v>5.1948051948051951E-2</v>
      </c>
      <c r="AD1336" s="139">
        <f t="shared" ref="AD1336:AI1336" si="2681">O1336/$I1336</f>
        <v>4.7225501770956314E-3</v>
      </c>
      <c r="AE1336" s="139">
        <f t="shared" si="2681"/>
        <v>0</v>
      </c>
      <c r="AF1336" s="139">
        <f t="shared" si="2681"/>
        <v>0</v>
      </c>
      <c r="AG1336" s="139">
        <f t="shared" si="2681"/>
        <v>0</v>
      </c>
      <c r="AH1336" s="139">
        <f t="shared" si="2681"/>
        <v>2.9515938606847699E-2</v>
      </c>
      <c r="AI1336" s="139">
        <f t="shared" si="2681"/>
        <v>1.770956316410862E-2</v>
      </c>
    </row>
    <row r="1337" spans="2:35">
      <c r="B1337" s="138" t="s">
        <v>8077</v>
      </c>
      <c r="C1337" s="138" t="s">
        <v>4367</v>
      </c>
      <c r="D1337" s="138" t="s">
        <v>8</v>
      </c>
      <c r="E1337" s="138" t="s">
        <v>633</v>
      </c>
      <c r="F1337" s="138" t="s">
        <v>633</v>
      </c>
      <c r="H1337" s="138">
        <v>147</v>
      </c>
      <c r="I1337" s="138">
        <v>678</v>
      </c>
      <c r="J1337" s="138">
        <v>423</v>
      </c>
      <c r="K1337" s="138">
        <v>231</v>
      </c>
      <c r="N1337" s="138">
        <v>6</v>
      </c>
      <c r="O1337" s="138">
        <v>1</v>
      </c>
      <c r="R1337" s="138">
        <v>0</v>
      </c>
      <c r="S1337" s="138">
        <v>13</v>
      </c>
      <c r="T1337" s="138">
        <v>4</v>
      </c>
      <c r="U1337" s="138">
        <f t="shared" si="2560"/>
        <v>18</v>
      </c>
      <c r="W1337" s="139">
        <f t="shared" ref="W1337:AA1337" si="2682">J1337/$I1337</f>
        <v>0.62389380530973448</v>
      </c>
      <c r="X1337" s="139">
        <f t="shared" si="2682"/>
        <v>0.34070796460176989</v>
      </c>
      <c r="Y1337" s="139">
        <f t="shared" si="2682"/>
        <v>0</v>
      </c>
      <c r="Z1337" s="139">
        <f t="shared" si="2682"/>
        <v>0</v>
      </c>
      <c r="AA1337" s="139">
        <f t="shared" si="2682"/>
        <v>8.8495575221238937E-3</v>
      </c>
      <c r="AB1337" s="139"/>
      <c r="AC1337" s="139">
        <f t="shared" si="2562"/>
        <v>2.6548672566371681E-2</v>
      </c>
      <c r="AD1337" s="139">
        <f t="shared" ref="AD1337:AI1337" si="2683">O1337/$I1337</f>
        <v>1.4749262536873156E-3</v>
      </c>
      <c r="AE1337" s="139">
        <f t="shared" si="2683"/>
        <v>0</v>
      </c>
      <c r="AF1337" s="139">
        <f t="shared" si="2683"/>
        <v>0</v>
      </c>
      <c r="AG1337" s="139">
        <f t="shared" si="2683"/>
        <v>0</v>
      </c>
      <c r="AH1337" s="139">
        <f t="shared" si="2683"/>
        <v>1.9174041297935103E-2</v>
      </c>
      <c r="AI1337" s="139">
        <f t="shared" si="2683"/>
        <v>5.8997050147492625E-3</v>
      </c>
    </row>
    <row r="1338" spans="2:35">
      <c r="B1338" s="138" t="s">
        <v>8077</v>
      </c>
      <c r="C1338" s="138" t="s">
        <v>4367</v>
      </c>
      <c r="D1338" s="138" t="s">
        <v>8</v>
      </c>
      <c r="E1338" s="138" t="s">
        <v>633</v>
      </c>
      <c r="F1338" s="138" t="s">
        <v>633</v>
      </c>
      <c r="H1338" s="138">
        <v>148</v>
      </c>
      <c r="I1338" s="138">
        <v>561</v>
      </c>
      <c r="J1338" s="138">
        <v>313</v>
      </c>
      <c r="K1338" s="138">
        <v>210</v>
      </c>
      <c r="N1338" s="138">
        <v>7</v>
      </c>
      <c r="O1338" s="138">
        <v>2</v>
      </c>
      <c r="R1338" s="138">
        <v>0</v>
      </c>
      <c r="S1338" s="138">
        <v>13</v>
      </c>
      <c r="T1338" s="138">
        <v>16</v>
      </c>
      <c r="U1338" s="138">
        <f t="shared" si="2560"/>
        <v>31</v>
      </c>
      <c r="W1338" s="139">
        <f t="shared" ref="W1338:AA1338" si="2684">J1338/$I1338</f>
        <v>0.5579322638146168</v>
      </c>
      <c r="X1338" s="139">
        <f t="shared" si="2684"/>
        <v>0.37433155080213903</v>
      </c>
      <c r="Y1338" s="139">
        <f t="shared" si="2684"/>
        <v>0</v>
      </c>
      <c r="Z1338" s="139">
        <f t="shared" si="2684"/>
        <v>0</v>
      </c>
      <c r="AA1338" s="139">
        <f t="shared" si="2684"/>
        <v>1.2477718360071301E-2</v>
      </c>
      <c r="AB1338" s="139"/>
      <c r="AC1338" s="139">
        <f t="shared" si="2562"/>
        <v>5.5258467023172907E-2</v>
      </c>
      <c r="AD1338" s="139">
        <f t="shared" ref="AD1338:AI1338" si="2685">O1338/$I1338</f>
        <v>3.5650623885918001E-3</v>
      </c>
      <c r="AE1338" s="139">
        <f t="shared" si="2685"/>
        <v>0</v>
      </c>
      <c r="AF1338" s="139">
        <f t="shared" si="2685"/>
        <v>0</v>
      </c>
      <c r="AG1338" s="139">
        <f t="shared" si="2685"/>
        <v>0</v>
      </c>
      <c r="AH1338" s="139">
        <f t="shared" si="2685"/>
        <v>2.3172905525846704E-2</v>
      </c>
      <c r="AI1338" s="139">
        <f t="shared" si="2685"/>
        <v>2.8520499108734401E-2</v>
      </c>
    </row>
    <row r="1339" spans="2:35">
      <c r="B1339" s="138" t="s">
        <v>8077</v>
      </c>
      <c r="C1339" s="138" t="s">
        <v>4367</v>
      </c>
      <c r="D1339" s="138" t="s">
        <v>8</v>
      </c>
      <c r="E1339" s="138" t="s">
        <v>633</v>
      </c>
      <c r="F1339" s="138" t="s">
        <v>633</v>
      </c>
      <c r="H1339" s="138">
        <v>149</v>
      </c>
      <c r="I1339" s="138">
        <v>773</v>
      </c>
      <c r="J1339" s="138">
        <v>460</v>
      </c>
      <c r="K1339" s="138">
        <v>256</v>
      </c>
      <c r="N1339" s="138">
        <v>8</v>
      </c>
      <c r="O1339" s="138">
        <v>6</v>
      </c>
      <c r="R1339" s="138">
        <v>2</v>
      </c>
      <c r="S1339" s="138">
        <v>20</v>
      </c>
      <c r="T1339" s="138">
        <v>21</v>
      </c>
      <c r="U1339" s="138">
        <f t="shared" si="2560"/>
        <v>49</v>
      </c>
      <c r="W1339" s="139">
        <f t="shared" ref="W1339:AA1339" si="2686">J1339/$I1339</f>
        <v>0.59508408796895218</v>
      </c>
      <c r="X1339" s="139">
        <f t="shared" si="2686"/>
        <v>0.33117723156532991</v>
      </c>
      <c r="Y1339" s="139">
        <f t="shared" si="2686"/>
        <v>0</v>
      </c>
      <c r="Z1339" s="139">
        <f t="shared" si="2686"/>
        <v>0</v>
      </c>
      <c r="AA1339" s="139">
        <f t="shared" si="2686"/>
        <v>1.034928848641656E-2</v>
      </c>
      <c r="AB1339" s="139"/>
      <c r="AC1339" s="139">
        <f t="shared" si="2562"/>
        <v>6.3389391979301421E-2</v>
      </c>
      <c r="AD1339" s="139">
        <f t="shared" ref="AD1339:AI1339" si="2687">O1339/$I1339</f>
        <v>7.7619663648124193E-3</v>
      </c>
      <c r="AE1339" s="139">
        <f t="shared" si="2687"/>
        <v>0</v>
      </c>
      <c r="AF1339" s="139">
        <f t="shared" si="2687"/>
        <v>0</v>
      </c>
      <c r="AG1339" s="139">
        <f t="shared" si="2687"/>
        <v>2.5873221216041399E-3</v>
      </c>
      <c r="AH1339" s="139">
        <f t="shared" si="2687"/>
        <v>2.5873221216041398E-2</v>
      </c>
      <c r="AI1339" s="139">
        <f t="shared" si="2687"/>
        <v>2.7166882276843468E-2</v>
      </c>
    </row>
    <row r="1340" spans="2:35">
      <c r="B1340" s="138" t="s">
        <v>8077</v>
      </c>
      <c r="C1340" s="138" t="s">
        <v>4367</v>
      </c>
      <c r="D1340" s="138" t="s">
        <v>8</v>
      </c>
      <c r="E1340" s="138" t="s">
        <v>633</v>
      </c>
      <c r="F1340" s="138" t="s">
        <v>19</v>
      </c>
      <c r="H1340" s="138">
        <v>150</v>
      </c>
      <c r="I1340" s="138">
        <v>373</v>
      </c>
      <c r="J1340" s="138">
        <v>222</v>
      </c>
      <c r="K1340" s="138">
        <v>136</v>
      </c>
      <c r="N1340" s="138">
        <v>4</v>
      </c>
      <c r="O1340" s="138">
        <v>2</v>
      </c>
      <c r="R1340" s="138">
        <v>1</v>
      </c>
      <c r="S1340" s="138">
        <v>3</v>
      </c>
      <c r="T1340" s="138">
        <v>5</v>
      </c>
      <c r="U1340" s="138">
        <f t="shared" si="2560"/>
        <v>11</v>
      </c>
      <c r="W1340" s="139">
        <f t="shared" ref="W1340:AA1340" si="2688">J1340/$I1340</f>
        <v>0.5951742627345844</v>
      </c>
      <c r="X1340" s="139">
        <f t="shared" si="2688"/>
        <v>0.36461126005361932</v>
      </c>
      <c r="Y1340" s="139">
        <f t="shared" si="2688"/>
        <v>0</v>
      </c>
      <c r="Z1340" s="139">
        <f t="shared" si="2688"/>
        <v>0</v>
      </c>
      <c r="AA1340" s="139">
        <f t="shared" si="2688"/>
        <v>1.0723860589812333E-2</v>
      </c>
      <c r="AB1340" s="139"/>
      <c r="AC1340" s="139">
        <f t="shared" si="2562"/>
        <v>2.9490616621983913E-2</v>
      </c>
      <c r="AD1340" s="139">
        <f t="shared" ref="AD1340:AI1340" si="2689">O1340/$I1340</f>
        <v>5.3619302949061663E-3</v>
      </c>
      <c r="AE1340" s="139">
        <f t="shared" si="2689"/>
        <v>0</v>
      </c>
      <c r="AF1340" s="139">
        <f t="shared" si="2689"/>
        <v>0</v>
      </c>
      <c r="AG1340" s="139">
        <f t="shared" si="2689"/>
        <v>2.6809651474530832E-3</v>
      </c>
      <c r="AH1340" s="139">
        <f t="shared" si="2689"/>
        <v>8.0428954423592495E-3</v>
      </c>
      <c r="AI1340" s="139">
        <f t="shared" si="2689"/>
        <v>1.3404825737265416E-2</v>
      </c>
    </row>
    <row r="1341" spans="2:35">
      <c r="B1341" s="138" t="s">
        <v>8077</v>
      </c>
      <c r="C1341" s="138" t="s">
        <v>4367</v>
      </c>
      <c r="D1341" s="138" t="s">
        <v>8</v>
      </c>
      <c r="E1341" s="138" t="s">
        <v>633</v>
      </c>
      <c r="F1341" s="138" t="s">
        <v>647</v>
      </c>
      <c r="H1341" s="138">
        <v>151</v>
      </c>
      <c r="I1341" s="138">
        <v>848</v>
      </c>
      <c r="J1341" s="138">
        <v>414</v>
      </c>
      <c r="K1341" s="138">
        <v>392</v>
      </c>
      <c r="N1341" s="138">
        <v>4</v>
      </c>
      <c r="O1341" s="138">
        <v>3</v>
      </c>
      <c r="R1341" s="138">
        <v>1</v>
      </c>
      <c r="S1341" s="138">
        <v>20</v>
      </c>
      <c r="T1341" s="138">
        <v>14</v>
      </c>
      <c r="U1341" s="138">
        <f t="shared" si="2560"/>
        <v>38</v>
      </c>
      <c r="W1341" s="139">
        <f t="shared" ref="W1341:AA1341" si="2690">J1341/$I1341</f>
        <v>0.4882075471698113</v>
      </c>
      <c r="X1341" s="139">
        <f t="shared" si="2690"/>
        <v>0.46226415094339623</v>
      </c>
      <c r="Y1341" s="139">
        <f t="shared" si="2690"/>
        <v>0</v>
      </c>
      <c r="Z1341" s="139">
        <f t="shared" si="2690"/>
        <v>0</v>
      </c>
      <c r="AA1341" s="139">
        <f t="shared" si="2690"/>
        <v>4.7169811320754715E-3</v>
      </c>
      <c r="AB1341" s="139"/>
      <c r="AC1341" s="139">
        <f t="shared" si="2562"/>
        <v>4.4811320754716978E-2</v>
      </c>
      <c r="AD1341" s="139">
        <f t="shared" ref="AD1341:AI1341" si="2691">O1341/$I1341</f>
        <v>3.5377358490566039E-3</v>
      </c>
      <c r="AE1341" s="139">
        <f t="shared" si="2691"/>
        <v>0</v>
      </c>
      <c r="AF1341" s="139">
        <f t="shared" si="2691"/>
        <v>0</v>
      </c>
      <c r="AG1341" s="139">
        <f t="shared" si="2691"/>
        <v>1.1792452830188679E-3</v>
      </c>
      <c r="AH1341" s="139">
        <f t="shared" si="2691"/>
        <v>2.358490566037736E-2</v>
      </c>
      <c r="AI1341" s="139">
        <f t="shared" si="2691"/>
        <v>1.6509433962264151E-2</v>
      </c>
    </row>
    <row r="1342" spans="2:35">
      <c r="B1342" s="138" t="s">
        <v>8077</v>
      </c>
      <c r="C1342" s="138" t="s">
        <v>4367</v>
      </c>
      <c r="D1342" s="138" t="s">
        <v>8</v>
      </c>
      <c r="E1342" s="138" t="s">
        <v>633</v>
      </c>
      <c r="F1342" s="138" t="s">
        <v>647</v>
      </c>
      <c r="H1342" s="138">
        <v>152</v>
      </c>
      <c r="I1342" s="138">
        <v>807</v>
      </c>
      <c r="J1342" s="138">
        <v>349</v>
      </c>
      <c r="K1342" s="138">
        <v>412</v>
      </c>
      <c r="N1342" s="138">
        <v>5</v>
      </c>
      <c r="O1342" s="138">
        <v>4</v>
      </c>
      <c r="R1342" s="138">
        <v>1</v>
      </c>
      <c r="S1342" s="138">
        <v>16</v>
      </c>
      <c r="T1342" s="138">
        <v>20</v>
      </c>
      <c r="U1342" s="138">
        <f t="shared" si="2560"/>
        <v>41</v>
      </c>
      <c r="W1342" s="139">
        <f t="shared" ref="W1342:AA1342" si="2692">J1342/$I1342</f>
        <v>0.43246592317224286</v>
      </c>
      <c r="X1342" s="139">
        <f t="shared" si="2692"/>
        <v>0.51053283767038415</v>
      </c>
      <c r="Y1342" s="139">
        <f t="shared" si="2692"/>
        <v>0</v>
      </c>
      <c r="Z1342" s="139">
        <f t="shared" si="2692"/>
        <v>0</v>
      </c>
      <c r="AA1342" s="139">
        <f t="shared" si="2692"/>
        <v>6.1957868649318466E-3</v>
      </c>
      <c r="AB1342" s="139"/>
      <c r="AC1342" s="139">
        <f t="shared" si="2562"/>
        <v>5.0805452292441142E-2</v>
      </c>
      <c r="AD1342" s="139">
        <f t="shared" ref="AD1342:AI1342" si="2693">O1342/$I1342</f>
        <v>4.9566294919454771E-3</v>
      </c>
      <c r="AE1342" s="139">
        <f t="shared" si="2693"/>
        <v>0</v>
      </c>
      <c r="AF1342" s="139">
        <f t="shared" si="2693"/>
        <v>0</v>
      </c>
      <c r="AG1342" s="139">
        <f t="shared" si="2693"/>
        <v>1.2391573729863693E-3</v>
      </c>
      <c r="AH1342" s="139">
        <f t="shared" si="2693"/>
        <v>1.9826517967781909E-2</v>
      </c>
      <c r="AI1342" s="139">
        <f t="shared" si="2693"/>
        <v>2.4783147459727387E-2</v>
      </c>
    </row>
    <row r="1343" spans="2:35">
      <c r="B1343" s="138" t="s">
        <v>8077</v>
      </c>
      <c r="C1343" s="138" t="s">
        <v>4367</v>
      </c>
      <c r="D1343" s="138" t="s">
        <v>8</v>
      </c>
      <c r="E1343" s="138" t="s">
        <v>633</v>
      </c>
      <c r="F1343" s="138" t="s">
        <v>647</v>
      </c>
      <c r="H1343" s="138">
        <v>153</v>
      </c>
      <c r="I1343" s="138">
        <v>867</v>
      </c>
      <c r="J1343" s="138">
        <v>451</v>
      </c>
      <c r="K1343" s="138">
        <v>390</v>
      </c>
      <c r="N1343" s="138">
        <v>5</v>
      </c>
      <c r="O1343" s="138">
        <v>4</v>
      </c>
      <c r="R1343" s="138">
        <v>2</v>
      </c>
      <c r="S1343" s="138">
        <v>9</v>
      </c>
      <c r="T1343" s="138">
        <v>6</v>
      </c>
      <c r="U1343" s="138">
        <f t="shared" si="2560"/>
        <v>21</v>
      </c>
      <c r="W1343" s="139">
        <f t="shared" ref="W1343:AA1343" si="2694">J1343/$I1343</f>
        <v>0.52018454440599771</v>
      </c>
      <c r="X1343" s="139">
        <f t="shared" si="2694"/>
        <v>0.44982698961937717</v>
      </c>
      <c r="Y1343" s="139">
        <f t="shared" si="2694"/>
        <v>0</v>
      </c>
      <c r="Z1343" s="139">
        <f t="shared" si="2694"/>
        <v>0</v>
      </c>
      <c r="AA1343" s="139">
        <f t="shared" si="2694"/>
        <v>5.7670126874279125E-3</v>
      </c>
      <c r="AB1343" s="139"/>
      <c r="AC1343" s="139">
        <f t="shared" si="2562"/>
        <v>2.4221453287197232E-2</v>
      </c>
      <c r="AD1343" s="139">
        <f t="shared" ref="AD1343:AI1343" si="2695">O1343/$I1343</f>
        <v>4.61361014994233E-3</v>
      </c>
      <c r="AE1343" s="139">
        <f t="shared" si="2695"/>
        <v>0</v>
      </c>
      <c r="AF1343" s="139">
        <f t="shared" si="2695"/>
        <v>0</v>
      </c>
      <c r="AG1343" s="139">
        <f t="shared" si="2695"/>
        <v>2.306805074971165E-3</v>
      </c>
      <c r="AH1343" s="139">
        <f t="shared" si="2695"/>
        <v>1.0380622837370242E-2</v>
      </c>
      <c r="AI1343" s="139">
        <f t="shared" si="2695"/>
        <v>6.920415224913495E-3</v>
      </c>
    </row>
    <row r="1344" spans="2:35">
      <c r="B1344" s="138" t="s">
        <v>8077</v>
      </c>
      <c r="C1344" s="138" t="s">
        <v>4367</v>
      </c>
      <c r="D1344" s="138" t="s">
        <v>8</v>
      </c>
      <c r="E1344" s="138" t="s">
        <v>633</v>
      </c>
      <c r="F1344" s="138" t="s">
        <v>649</v>
      </c>
      <c r="H1344" s="138">
        <v>154</v>
      </c>
      <c r="I1344" s="138">
        <v>759</v>
      </c>
      <c r="J1344" s="138">
        <v>449</v>
      </c>
      <c r="K1344" s="138">
        <v>294</v>
      </c>
      <c r="N1344" s="138">
        <v>1</v>
      </c>
      <c r="O1344" s="138">
        <v>1</v>
      </c>
      <c r="R1344" s="138">
        <v>1</v>
      </c>
      <c r="S1344" s="138">
        <v>6</v>
      </c>
      <c r="T1344" s="138">
        <v>7</v>
      </c>
      <c r="U1344" s="138">
        <f t="shared" si="2560"/>
        <v>15</v>
      </c>
      <c r="W1344" s="139">
        <f t="shared" ref="W1344:AA1344" si="2696">J1344/$I1344</f>
        <v>0.59156785243741761</v>
      </c>
      <c r="X1344" s="139">
        <f t="shared" si="2696"/>
        <v>0.38735177865612647</v>
      </c>
      <c r="Y1344" s="139">
        <f t="shared" si="2696"/>
        <v>0</v>
      </c>
      <c r="Z1344" s="139">
        <f t="shared" si="2696"/>
        <v>0</v>
      </c>
      <c r="AA1344" s="139">
        <f t="shared" si="2696"/>
        <v>1.3175230566534915E-3</v>
      </c>
      <c r="AB1344" s="139"/>
      <c r="AC1344" s="139">
        <f t="shared" si="2562"/>
        <v>1.9762845849802372E-2</v>
      </c>
      <c r="AD1344" s="139">
        <f t="shared" ref="AD1344:AI1344" si="2697">O1344/$I1344</f>
        <v>1.3175230566534915E-3</v>
      </c>
      <c r="AE1344" s="139">
        <f t="shared" si="2697"/>
        <v>0</v>
      </c>
      <c r="AF1344" s="139">
        <f t="shared" si="2697"/>
        <v>0</v>
      </c>
      <c r="AG1344" s="139">
        <f t="shared" si="2697"/>
        <v>1.3175230566534915E-3</v>
      </c>
      <c r="AH1344" s="139">
        <f t="shared" si="2697"/>
        <v>7.9051383399209481E-3</v>
      </c>
      <c r="AI1344" s="139">
        <f t="shared" si="2697"/>
        <v>9.22266139657444E-3</v>
      </c>
    </row>
    <row r="1345" spans="2:35">
      <c r="B1345" s="138" t="s">
        <v>8077</v>
      </c>
      <c r="C1345" s="138" t="s">
        <v>4367</v>
      </c>
      <c r="D1345" s="138" t="s">
        <v>8</v>
      </c>
      <c r="E1345" s="138" t="s">
        <v>633</v>
      </c>
      <c r="F1345" s="138" t="s">
        <v>649</v>
      </c>
      <c r="H1345" s="138">
        <v>155</v>
      </c>
      <c r="I1345" s="138">
        <v>657</v>
      </c>
      <c r="J1345" s="138">
        <v>333</v>
      </c>
      <c r="K1345" s="138">
        <v>302</v>
      </c>
      <c r="N1345" s="138">
        <v>4</v>
      </c>
      <c r="O1345" s="138">
        <v>3</v>
      </c>
      <c r="R1345" s="138">
        <v>0</v>
      </c>
      <c r="S1345" s="138">
        <v>9</v>
      </c>
      <c r="T1345" s="138">
        <v>6</v>
      </c>
      <c r="U1345" s="138">
        <f t="shared" si="2560"/>
        <v>18</v>
      </c>
      <c r="W1345" s="139">
        <f t="shared" ref="W1345:AA1345" si="2698">J1345/$I1345</f>
        <v>0.50684931506849318</v>
      </c>
      <c r="X1345" s="139">
        <f t="shared" si="2698"/>
        <v>0.45966514459665142</v>
      </c>
      <c r="Y1345" s="139">
        <f t="shared" si="2698"/>
        <v>0</v>
      </c>
      <c r="Z1345" s="139">
        <f t="shared" si="2698"/>
        <v>0</v>
      </c>
      <c r="AA1345" s="139">
        <f t="shared" si="2698"/>
        <v>6.0882800608828003E-3</v>
      </c>
      <c r="AB1345" s="139"/>
      <c r="AC1345" s="139">
        <f t="shared" si="2562"/>
        <v>2.7397260273972601E-2</v>
      </c>
      <c r="AD1345" s="139">
        <f t="shared" ref="AD1345:AI1345" si="2699">O1345/$I1345</f>
        <v>4.5662100456621002E-3</v>
      </c>
      <c r="AE1345" s="139">
        <f t="shared" si="2699"/>
        <v>0</v>
      </c>
      <c r="AF1345" s="139">
        <f t="shared" si="2699"/>
        <v>0</v>
      </c>
      <c r="AG1345" s="139">
        <f t="shared" si="2699"/>
        <v>0</v>
      </c>
      <c r="AH1345" s="139">
        <f t="shared" si="2699"/>
        <v>1.3698630136986301E-2</v>
      </c>
      <c r="AI1345" s="139">
        <f t="shared" si="2699"/>
        <v>9.1324200913242004E-3</v>
      </c>
    </row>
    <row r="1346" spans="2:35">
      <c r="B1346" s="138" t="s">
        <v>8077</v>
      </c>
      <c r="C1346" s="138" t="s">
        <v>4367</v>
      </c>
      <c r="D1346" s="138" t="s">
        <v>8</v>
      </c>
      <c r="E1346" s="138" t="s">
        <v>633</v>
      </c>
      <c r="F1346" s="138" t="s">
        <v>649</v>
      </c>
      <c r="H1346" s="138">
        <v>156</v>
      </c>
      <c r="I1346" s="138">
        <v>675</v>
      </c>
      <c r="J1346" s="138">
        <v>403</v>
      </c>
      <c r="K1346" s="138">
        <v>230</v>
      </c>
      <c r="N1346" s="138">
        <v>2</v>
      </c>
      <c r="O1346" s="138">
        <v>1</v>
      </c>
      <c r="R1346" s="138">
        <v>1</v>
      </c>
      <c r="S1346" s="138">
        <v>30</v>
      </c>
      <c r="T1346" s="138">
        <v>8</v>
      </c>
      <c r="U1346" s="138">
        <f t="shared" si="2560"/>
        <v>40</v>
      </c>
      <c r="W1346" s="139">
        <f t="shared" ref="W1346:AA1346" si="2700">J1346/$I1346</f>
        <v>0.59703703703703703</v>
      </c>
      <c r="X1346" s="139">
        <f t="shared" si="2700"/>
        <v>0.34074074074074073</v>
      </c>
      <c r="Y1346" s="139">
        <f t="shared" si="2700"/>
        <v>0</v>
      </c>
      <c r="Z1346" s="139">
        <f t="shared" si="2700"/>
        <v>0</v>
      </c>
      <c r="AA1346" s="139">
        <f t="shared" si="2700"/>
        <v>2.9629629629629628E-3</v>
      </c>
      <c r="AB1346" s="139"/>
      <c r="AC1346" s="139">
        <f t="shared" si="2562"/>
        <v>5.9259259259259262E-2</v>
      </c>
      <c r="AD1346" s="139">
        <f t="shared" ref="AD1346:AI1346" si="2701">O1346/$I1346</f>
        <v>1.4814814814814814E-3</v>
      </c>
      <c r="AE1346" s="139">
        <f t="shared" si="2701"/>
        <v>0</v>
      </c>
      <c r="AF1346" s="139">
        <f t="shared" si="2701"/>
        <v>0</v>
      </c>
      <c r="AG1346" s="139">
        <f t="shared" si="2701"/>
        <v>1.4814814814814814E-3</v>
      </c>
      <c r="AH1346" s="139">
        <f t="shared" si="2701"/>
        <v>4.4444444444444446E-2</v>
      </c>
      <c r="AI1346" s="139">
        <f t="shared" si="2701"/>
        <v>1.1851851851851851E-2</v>
      </c>
    </row>
    <row r="1347" spans="2:35">
      <c r="B1347" s="138" t="s">
        <v>8077</v>
      </c>
      <c r="C1347" s="138" t="s">
        <v>4367</v>
      </c>
      <c r="D1347" s="138" t="s">
        <v>8</v>
      </c>
      <c r="E1347" s="138" t="s">
        <v>633</v>
      </c>
      <c r="F1347" s="138" t="s">
        <v>643</v>
      </c>
      <c r="H1347" s="138">
        <v>157</v>
      </c>
      <c r="I1347" s="138">
        <v>817</v>
      </c>
      <c r="J1347" s="138">
        <v>365</v>
      </c>
      <c r="K1347" s="138">
        <v>425</v>
      </c>
      <c r="N1347" s="138">
        <v>2</v>
      </c>
      <c r="O1347" s="138">
        <v>1</v>
      </c>
      <c r="R1347" s="138">
        <v>0</v>
      </c>
      <c r="S1347" s="138">
        <v>18</v>
      </c>
      <c r="T1347" s="138">
        <v>6</v>
      </c>
      <c r="U1347" s="138">
        <f t="shared" si="2560"/>
        <v>25</v>
      </c>
      <c r="W1347" s="139">
        <f t="shared" ref="W1347:AA1347" si="2702">J1347/$I1347</f>
        <v>0.44675642594859238</v>
      </c>
      <c r="X1347" s="139">
        <f t="shared" si="2702"/>
        <v>0.52019583843329253</v>
      </c>
      <c r="Y1347" s="139">
        <f t="shared" si="2702"/>
        <v>0</v>
      </c>
      <c r="Z1347" s="139">
        <f t="shared" si="2702"/>
        <v>0</v>
      </c>
      <c r="AA1347" s="139">
        <f t="shared" si="2702"/>
        <v>2.4479804161566705E-3</v>
      </c>
      <c r="AB1347" s="139"/>
      <c r="AC1347" s="139">
        <f t="shared" si="2562"/>
        <v>3.0599755201958383E-2</v>
      </c>
      <c r="AD1347" s="139">
        <f t="shared" ref="AD1347:AI1347" si="2703">O1347/$I1347</f>
        <v>1.2239902080783353E-3</v>
      </c>
      <c r="AE1347" s="139">
        <f t="shared" si="2703"/>
        <v>0</v>
      </c>
      <c r="AF1347" s="139">
        <f t="shared" si="2703"/>
        <v>0</v>
      </c>
      <c r="AG1347" s="139">
        <f t="shared" si="2703"/>
        <v>0</v>
      </c>
      <c r="AH1347" s="139">
        <f t="shared" si="2703"/>
        <v>2.2031823745410038E-2</v>
      </c>
      <c r="AI1347" s="139">
        <f t="shared" si="2703"/>
        <v>7.3439412484700125E-3</v>
      </c>
    </row>
    <row r="1348" spans="2:35">
      <c r="B1348" s="138" t="s">
        <v>8077</v>
      </c>
      <c r="C1348" s="138" t="s">
        <v>4367</v>
      </c>
      <c r="D1348" s="138" t="s">
        <v>8</v>
      </c>
      <c r="E1348" s="138" t="s">
        <v>633</v>
      </c>
      <c r="F1348" s="138" t="s">
        <v>643</v>
      </c>
      <c r="H1348" s="138">
        <v>158</v>
      </c>
      <c r="I1348" s="138">
        <v>682</v>
      </c>
      <c r="J1348" s="138">
        <v>438</v>
      </c>
      <c r="K1348" s="138">
        <v>211</v>
      </c>
      <c r="N1348" s="138">
        <v>6</v>
      </c>
      <c r="O1348" s="138">
        <v>2</v>
      </c>
      <c r="R1348" s="138">
        <v>2</v>
      </c>
      <c r="S1348" s="138">
        <v>18</v>
      </c>
      <c r="T1348" s="138">
        <v>5</v>
      </c>
      <c r="U1348" s="138">
        <f t="shared" si="2560"/>
        <v>27</v>
      </c>
      <c r="W1348" s="139">
        <f t="shared" ref="W1348:AA1348" si="2704">J1348/$I1348</f>
        <v>0.64222873900293254</v>
      </c>
      <c r="X1348" s="139">
        <f t="shared" si="2704"/>
        <v>0.3093841642228739</v>
      </c>
      <c r="Y1348" s="139">
        <f t="shared" si="2704"/>
        <v>0</v>
      </c>
      <c r="Z1348" s="139">
        <f t="shared" si="2704"/>
        <v>0</v>
      </c>
      <c r="AA1348" s="139">
        <f t="shared" si="2704"/>
        <v>8.7976539589442824E-3</v>
      </c>
      <c r="AB1348" s="139"/>
      <c r="AC1348" s="139">
        <f t="shared" si="2562"/>
        <v>3.9589442815249266E-2</v>
      </c>
      <c r="AD1348" s="139">
        <f t="shared" ref="AD1348:AI1348" si="2705">O1348/$I1348</f>
        <v>2.9325513196480938E-3</v>
      </c>
      <c r="AE1348" s="139">
        <f t="shared" si="2705"/>
        <v>0</v>
      </c>
      <c r="AF1348" s="139">
        <f t="shared" si="2705"/>
        <v>0</v>
      </c>
      <c r="AG1348" s="139">
        <f t="shared" si="2705"/>
        <v>2.9325513196480938E-3</v>
      </c>
      <c r="AH1348" s="139">
        <f t="shared" si="2705"/>
        <v>2.6392961876832845E-2</v>
      </c>
      <c r="AI1348" s="139">
        <f t="shared" si="2705"/>
        <v>7.331378299120235E-3</v>
      </c>
    </row>
    <row r="1349" spans="2:35">
      <c r="B1349" s="138" t="s">
        <v>8077</v>
      </c>
      <c r="C1349" s="138" t="s">
        <v>4367</v>
      </c>
      <c r="D1349" s="138" t="s">
        <v>8</v>
      </c>
      <c r="E1349" s="138" t="s">
        <v>633</v>
      </c>
      <c r="F1349" s="138" t="s">
        <v>643</v>
      </c>
      <c r="H1349" s="138">
        <v>159</v>
      </c>
      <c r="I1349" s="138">
        <v>617</v>
      </c>
      <c r="J1349" s="138">
        <v>395</v>
      </c>
      <c r="K1349" s="138">
        <v>187</v>
      </c>
      <c r="N1349" s="138">
        <v>5</v>
      </c>
      <c r="O1349" s="138">
        <v>5</v>
      </c>
      <c r="R1349" s="138">
        <v>1</v>
      </c>
      <c r="S1349" s="138">
        <v>19</v>
      </c>
      <c r="T1349" s="138">
        <v>5</v>
      </c>
      <c r="U1349" s="138">
        <f t="shared" si="2560"/>
        <v>30</v>
      </c>
      <c r="W1349" s="139">
        <f t="shared" ref="W1349:AA1349" si="2706">J1349/$I1349</f>
        <v>0.640194489465154</v>
      </c>
      <c r="X1349" s="139">
        <f t="shared" si="2706"/>
        <v>0.30307941653160453</v>
      </c>
      <c r="Y1349" s="139">
        <f t="shared" si="2706"/>
        <v>0</v>
      </c>
      <c r="Z1349" s="139">
        <f t="shared" si="2706"/>
        <v>0</v>
      </c>
      <c r="AA1349" s="139">
        <f t="shared" si="2706"/>
        <v>8.1037277147487843E-3</v>
      </c>
      <c r="AB1349" s="139"/>
      <c r="AC1349" s="139">
        <f t="shared" si="2562"/>
        <v>4.8622366288492709E-2</v>
      </c>
      <c r="AD1349" s="139">
        <f t="shared" ref="AD1349:AI1349" si="2707">O1349/$I1349</f>
        <v>8.1037277147487843E-3</v>
      </c>
      <c r="AE1349" s="139">
        <f t="shared" si="2707"/>
        <v>0</v>
      </c>
      <c r="AF1349" s="139">
        <f t="shared" si="2707"/>
        <v>0</v>
      </c>
      <c r="AG1349" s="139">
        <f t="shared" si="2707"/>
        <v>1.6207455429497568E-3</v>
      </c>
      <c r="AH1349" s="139">
        <f t="shared" si="2707"/>
        <v>3.0794165316045379E-2</v>
      </c>
      <c r="AI1349" s="139">
        <f t="shared" si="2707"/>
        <v>8.1037277147487843E-3</v>
      </c>
    </row>
    <row r="1350" spans="2:35">
      <c r="B1350" s="138" t="s">
        <v>8077</v>
      </c>
      <c r="C1350" s="138" t="s">
        <v>4367</v>
      </c>
      <c r="D1350" s="138" t="s">
        <v>8</v>
      </c>
      <c r="E1350" s="138" t="s">
        <v>633</v>
      </c>
      <c r="F1350" s="138" t="s">
        <v>643</v>
      </c>
      <c r="H1350" s="138">
        <v>160</v>
      </c>
      <c r="I1350" s="138">
        <v>949</v>
      </c>
      <c r="J1350" s="138">
        <v>608</v>
      </c>
      <c r="K1350" s="138">
        <v>304</v>
      </c>
      <c r="N1350" s="138">
        <v>5</v>
      </c>
      <c r="O1350" s="138">
        <v>3</v>
      </c>
      <c r="R1350" s="138">
        <v>3</v>
      </c>
      <c r="S1350" s="138">
        <v>17</v>
      </c>
      <c r="T1350" s="138">
        <v>9</v>
      </c>
      <c r="U1350" s="138">
        <f t="shared" si="2560"/>
        <v>32</v>
      </c>
      <c r="W1350" s="139">
        <f t="shared" ref="W1350:AA1350" si="2708">J1350/$I1350</f>
        <v>0.64067439409905158</v>
      </c>
      <c r="X1350" s="139">
        <f t="shared" si="2708"/>
        <v>0.32033719704952579</v>
      </c>
      <c r="Y1350" s="139">
        <f t="shared" si="2708"/>
        <v>0</v>
      </c>
      <c r="Z1350" s="139">
        <f t="shared" si="2708"/>
        <v>0</v>
      </c>
      <c r="AA1350" s="139">
        <f t="shared" si="2708"/>
        <v>5.268703898840885E-3</v>
      </c>
      <c r="AB1350" s="139"/>
      <c r="AC1350" s="139">
        <f t="shared" si="2562"/>
        <v>3.3719704952581663E-2</v>
      </c>
      <c r="AD1350" s="139">
        <f t="shared" ref="AD1350:AI1350" si="2709">O1350/$I1350</f>
        <v>3.1612223393045311E-3</v>
      </c>
      <c r="AE1350" s="139">
        <f t="shared" si="2709"/>
        <v>0</v>
      </c>
      <c r="AF1350" s="139">
        <f t="shared" si="2709"/>
        <v>0</v>
      </c>
      <c r="AG1350" s="139">
        <f t="shared" si="2709"/>
        <v>3.1612223393045311E-3</v>
      </c>
      <c r="AH1350" s="139">
        <f t="shared" si="2709"/>
        <v>1.7913593256059009E-2</v>
      </c>
      <c r="AI1350" s="139">
        <f t="shared" si="2709"/>
        <v>9.4836670179135937E-3</v>
      </c>
    </row>
    <row r="1351" spans="2:35">
      <c r="B1351" s="138" t="s">
        <v>8077</v>
      </c>
      <c r="C1351" s="138" t="s">
        <v>4367</v>
      </c>
      <c r="D1351" s="138" t="s">
        <v>8</v>
      </c>
      <c r="E1351" s="138" t="s">
        <v>633</v>
      </c>
      <c r="F1351" s="138" t="s">
        <v>643</v>
      </c>
      <c r="H1351" s="138">
        <v>161</v>
      </c>
      <c r="I1351" s="138">
        <v>615</v>
      </c>
      <c r="J1351" s="138">
        <v>348</v>
      </c>
      <c r="K1351" s="138">
        <v>237</v>
      </c>
      <c r="N1351" s="138">
        <v>2</v>
      </c>
      <c r="O1351" s="138">
        <v>2</v>
      </c>
      <c r="R1351" s="138">
        <v>0</v>
      </c>
      <c r="S1351" s="138">
        <v>17</v>
      </c>
      <c r="T1351" s="138">
        <v>9</v>
      </c>
      <c r="U1351" s="138">
        <f t="shared" si="2560"/>
        <v>28</v>
      </c>
      <c r="W1351" s="139">
        <f t="shared" ref="W1351:AA1351" si="2710">J1351/$I1351</f>
        <v>0.56585365853658531</v>
      </c>
      <c r="X1351" s="139">
        <f t="shared" si="2710"/>
        <v>0.38536585365853659</v>
      </c>
      <c r="Y1351" s="139">
        <f t="shared" si="2710"/>
        <v>0</v>
      </c>
      <c r="Z1351" s="139">
        <f t="shared" si="2710"/>
        <v>0</v>
      </c>
      <c r="AA1351" s="139">
        <f t="shared" si="2710"/>
        <v>3.2520325203252032E-3</v>
      </c>
      <c r="AB1351" s="139"/>
      <c r="AC1351" s="139">
        <f t="shared" si="2562"/>
        <v>4.5528455284552849E-2</v>
      </c>
      <c r="AD1351" s="139">
        <f t="shared" ref="AD1351:AI1351" si="2711">O1351/$I1351</f>
        <v>3.2520325203252032E-3</v>
      </c>
      <c r="AE1351" s="139">
        <f t="shared" si="2711"/>
        <v>0</v>
      </c>
      <c r="AF1351" s="139">
        <f t="shared" si="2711"/>
        <v>0</v>
      </c>
      <c r="AG1351" s="139">
        <f t="shared" si="2711"/>
        <v>0</v>
      </c>
      <c r="AH1351" s="139">
        <f t="shared" si="2711"/>
        <v>2.7642276422764227E-2</v>
      </c>
      <c r="AI1351" s="139">
        <f t="shared" si="2711"/>
        <v>1.4634146341463415E-2</v>
      </c>
    </row>
    <row r="1352" spans="2:35">
      <c r="B1352" s="138" t="s">
        <v>8077</v>
      </c>
      <c r="C1352" s="138" t="s">
        <v>4367</v>
      </c>
      <c r="D1352" s="138" t="s">
        <v>8</v>
      </c>
      <c r="E1352" s="138" t="s">
        <v>633</v>
      </c>
      <c r="F1352" s="138" t="s">
        <v>643</v>
      </c>
      <c r="H1352" s="138">
        <v>162</v>
      </c>
      <c r="I1352" s="138">
        <v>585</v>
      </c>
      <c r="J1352" s="138">
        <v>317</v>
      </c>
      <c r="K1352" s="138">
        <v>228</v>
      </c>
      <c r="N1352" s="138">
        <v>3</v>
      </c>
      <c r="O1352" s="138">
        <v>4</v>
      </c>
      <c r="R1352" s="138">
        <v>0</v>
      </c>
      <c r="S1352" s="138">
        <v>21</v>
      </c>
      <c r="T1352" s="138">
        <v>12</v>
      </c>
      <c r="U1352" s="138">
        <f t="shared" si="2560"/>
        <v>37</v>
      </c>
      <c r="W1352" s="139">
        <f t="shared" ref="W1352:AA1352" si="2712">J1352/$I1352</f>
        <v>0.54188034188034184</v>
      </c>
      <c r="X1352" s="139">
        <f t="shared" si="2712"/>
        <v>0.38974358974358975</v>
      </c>
      <c r="Y1352" s="139">
        <f t="shared" si="2712"/>
        <v>0</v>
      </c>
      <c r="Z1352" s="139">
        <f t="shared" si="2712"/>
        <v>0</v>
      </c>
      <c r="AA1352" s="139">
        <f t="shared" si="2712"/>
        <v>5.1282051282051282E-3</v>
      </c>
      <c r="AB1352" s="139"/>
      <c r="AC1352" s="139">
        <f t="shared" si="2562"/>
        <v>6.3247863247863245E-2</v>
      </c>
      <c r="AD1352" s="139">
        <f t="shared" ref="AD1352:AI1352" si="2713">O1352/$I1352</f>
        <v>6.8376068376068376E-3</v>
      </c>
      <c r="AE1352" s="139">
        <f t="shared" si="2713"/>
        <v>0</v>
      </c>
      <c r="AF1352" s="139">
        <f t="shared" si="2713"/>
        <v>0</v>
      </c>
      <c r="AG1352" s="139">
        <f t="shared" si="2713"/>
        <v>0</v>
      </c>
      <c r="AH1352" s="139">
        <f t="shared" si="2713"/>
        <v>3.5897435897435895E-2</v>
      </c>
      <c r="AI1352" s="139">
        <f t="shared" si="2713"/>
        <v>2.0512820512820513E-2</v>
      </c>
    </row>
    <row r="1353" spans="2:35">
      <c r="B1353" s="138" t="s">
        <v>8077</v>
      </c>
      <c r="C1353" s="138" t="s">
        <v>4367</v>
      </c>
      <c r="D1353" s="138" t="s">
        <v>8</v>
      </c>
      <c r="E1353" s="138" t="s">
        <v>633</v>
      </c>
      <c r="F1353" s="138" t="s">
        <v>643</v>
      </c>
      <c r="H1353" s="138">
        <v>163</v>
      </c>
      <c r="I1353" s="138">
        <v>861</v>
      </c>
      <c r="J1353" s="138">
        <v>526</v>
      </c>
      <c r="K1353" s="138">
        <v>280</v>
      </c>
      <c r="N1353" s="138">
        <v>10</v>
      </c>
      <c r="O1353" s="138">
        <v>3</v>
      </c>
      <c r="R1353" s="138">
        <v>1</v>
      </c>
      <c r="S1353" s="138">
        <v>28</v>
      </c>
      <c r="T1353" s="138">
        <v>13</v>
      </c>
      <c r="U1353" s="138">
        <f t="shared" si="2560"/>
        <v>45</v>
      </c>
      <c r="W1353" s="139">
        <f t="shared" ref="W1353:AA1353" si="2714">J1353/$I1353</f>
        <v>0.61091753774680602</v>
      </c>
      <c r="X1353" s="139">
        <f t="shared" si="2714"/>
        <v>0.32520325203252032</v>
      </c>
      <c r="Y1353" s="139">
        <f t="shared" si="2714"/>
        <v>0</v>
      </c>
      <c r="Z1353" s="139">
        <f t="shared" si="2714"/>
        <v>0</v>
      </c>
      <c r="AA1353" s="139">
        <f t="shared" si="2714"/>
        <v>1.1614401858304297E-2</v>
      </c>
      <c r="AB1353" s="139"/>
      <c r="AC1353" s="139">
        <f t="shared" si="2562"/>
        <v>5.2264808362369339E-2</v>
      </c>
      <c r="AD1353" s="139">
        <f t="shared" ref="AD1353:AI1353" si="2715">O1353/$I1353</f>
        <v>3.4843205574912892E-3</v>
      </c>
      <c r="AE1353" s="139">
        <f t="shared" si="2715"/>
        <v>0</v>
      </c>
      <c r="AF1353" s="139">
        <f t="shared" si="2715"/>
        <v>0</v>
      </c>
      <c r="AG1353" s="139">
        <f t="shared" si="2715"/>
        <v>1.1614401858304297E-3</v>
      </c>
      <c r="AH1353" s="139">
        <f t="shared" si="2715"/>
        <v>3.2520325203252036E-2</v>
      </c>
      <c r="AI1353" s="139">
        <f t="shared" si="2715"/>
        <v>1.5098722415795587E-2</v>
      </c>
    </row>
    <row r="1354" spans="2:35">
      <c r="B1354" s="138" t="s">
        <v>8077</v>
      </c>
      <c r="C1354" s="138" t="s">
        <v>4367</v>
      </c>
      <c r="D1354" s="138" t="s">
        <v>8</v>
      </c>
      <c r="E1354" s="138" t="s">
        <v>633</v>
      </c>
      <c r="F1354" s="138" t="s">
        <v>643</v>
      </c>
      <c r="H1354" s="138">
        <v>164</v>
      </c>
      <c r="I1354" s="138">
        <v>803</v>
      </c>
      <c r="J1354" s="138">
        <v>441</v>
      </c>
      <c r="K1354" s="138">
        <v>310</v>
      </c>
      <c r="N1354" s="138">
        <v>11</v>
      </c>
      <c r="O1354" s="138">
        <v>5</v>
      </c>
      <c r="R1354" s="138">
        <v>4</v>
      </c>
      <c r="S1354" s="138">
        <v>22</v>
      </c>
      <c r="T1354" s="138">
        <v>10</v>
      </c>
      <c r="U1354" s="138">
        <f t="shared" si="2560"/>
        <v>41</v>
      </c>
      <c r="W1354" s="139">
        <f t="shared" ref="W1354:AA1354" si="2716">J1354/$I1354</f>
        <v>0.54919053549190533</v>
      </c>
      <c r="X1354" s="139">
        <f t="shared" si="2716"/>
        <v>0.38605230386052303</v>
      </c>
      <c r="Y1354" s="139">
        <f t="shared" si="2716"/>
        <v>0</v>
      </c>
      <c r="Z1354" s="139">
        <f t="shared" si="2716"/>
        <v>0</v>
      </c>
      <c r="AA1354" s="139">
        <f t="shared" si="2716"/>
        <v>1.3698630136986301E-2</v>
      </c>
      <c r="AB1354" s="139"/>
      <c r="AC1354" s="139">
        <f t="shared" si="2562"/>
        <v>5.1058530510585308E-2</v>
      </c>
      <c r="AD1354" s="139">
        <f t="shared" ref="AD1354:AI1354" si="2717">O1354/$I1354</f>
        <v>6.2266500622665004E-3</v>
      </c>
      <c r="AE1354" s="139">
        <f t="shared" si="2717"/>
        <v>0</v>
      </c>
      <c r="AF1354" s="139">
        <f t="shared" si="2717"/>
        <v>0</v>
      </c>
      <c r="AG1354" s="139">
        <f t="shared" si="2717"/>
        <v>4.9813200498132005E-3</v>
      </c>
      <c r="AH1354" s="139">
        <f t="shared" si="2717"/>
        <v>2.7397260273972601E-2</v>
      </c>
      <c r="AI1354" s="139">
        <f t="shared" si="2717"/>
        <v>1.2453300124533001E-2</v>
      </c>
    </row>
    <row r="1355" spans="2:35">
      <c r="B1355" s="138" t="s">
        <v>8077</v>
      </c>
      <c r="C1355" s="138" t="s">
        <v>4367</v>
      </c>
      <c r="D1355" s="138" t="s">
        <v>8</v>
      </c>
      <c r="E1355" s="138" t="s">
        <v>633</v>
      </c>
      <c r="F1355" s="138" t="s">
        <v>643</v>
      </c>
      <c r="H1355" s="138">
        <v>165</v>
      </c>
      <c r="I1355" s="138">
        <v>786</v>
      </c>
      <c r="J1355" s="138">
        <v>505</v>
      </c>
      <c r="K1355" s="138">
        <v>253</v>
      </c>
      <c r="N1355" s="138">
        <v>7</v>
      </c>
      <c r="O1355" s="138">
        <v>6</v>
      </c>
      <c r="R1355" s="138">
        <v>0</v>
      </c>
      <c r="S1355" s="138">
        <v>14</v>
      </c>
      <c r="T1355" s="138">
        <v>1</v>
      </c>
      <c r="U1355" s="138">
        <f t="shared" si="2560"/>
        <v>21</v>
      </c>
      <c r="W1355" s="139">
        <f t="shared" ref="W1355:AA1355" si="2718">J1355/$I1355</f>
        <v>0.64249363867684484</v>
      </c>
      <c r="X1355" s="139">
        <f t="shared" si="2718"/>
        <v>0.32188295165394404</v>
      </c>
      <c r="Y1355" s="139">
        <f t="shared" si="2718"/>
        <v>0</v>
      </c>
      <c r="Z1355" s="139">
        <f t="shared" si="2718"/>
        <v>0</v>
      </c>
      <c r="AA1355" s="139">
        <f t="shared" si="2718"/>
        <v>8.9058524173027988E-3</v>
      </c>
      <c r="AB1355" s="139"/>
      <c r="AC1355" s="139">
        <f t="shared" si="2562"/>
        <v>2.6717557251908396E-2</v>
      </c>
      <c r="AD1355" s="139">
        <f t="shared" ref="AD1355:AI1355" si="2719">O1355/$I1355</f>
        <v>7.6335877862595417E-3</v>
      </c>
      <c r="AE1355" s="139">
        <f t="shared" si="2719"/>
        <v>0</v>
      </c>
      <c r="AF1355" s="139">
        <f t="shared" si="2719"/>
        <v>0</v>
      </c>
      <c r="AG1355" s="139">
        <f t="shared" si="2719"/>
        <v>0</v>
      </c>
      <c r="AH1355" s="139">
        <f t="shared" si="2719"/>
        <v>1.7811704834605598E-2</v>
      </c>
      <c r="AI1355" s="139">
        <f t="shared" si="2719"/>
        <v>1.2722646310432571E-3</v>
      </c>
    </row>
    <row r="1356" spans="2:35">
      <c r="B1356" s="138" t="s">
        <v>8077</v>
      </c>
      <c r="C1356" s="138" t="s">
        <v>4367</v>
      </c>
      <c r="D1356" s="138" t="s">
        <v>8</v>
      </c>
      <c r="E1356" s="138" t="s">
        <v>633</v>
      </c>
      <c r="F1356" s="138" t="s">
        <v>643</v>
      </c>
      <c r="H1356" s="138">
        <v>166</v>
      </c>
      <c r="I1356" s="138">
        <v>871</v>
      </c>
      <c r="J1356" s="138">
        <v>561</v>
      </c>
      <c r="K1356" s="138">
        <v>275</v>
      </c>
      <c r="N1356" s="138">
        <v>1</v>
      </c>
      <c r="O1356" s="138">
        <v>3</v>
      </c>
      <c r="R1356" s="138">
        <v>0</v>
      </c>
      <c r="S1356" s="138">
        <v>24</v>
      </c>
      <c r="T1356" s="138">
        <v>7</v>
      </c>
      <c r="U1356" s="138">
        <f t="shared" si="2560"/>
        <v>34</v>
      </c>
      <c r="W1356" s="139">
        <f t="shared" ref="W1356:AA1356" si="2720">J1356/$I1356</f>
        <v>0.64408725602755457</v>
      </c>
      <c r="X1356" s="139">
        <f t="shared" si="2720"/>
        <v>0.31572904707233068</v>
      </c>
      <c r="Y1356" s="139">
        <f t="shared" si="2720"/>
        <v>0</v>
      </c>
      <c r="Z1356" s="139">
        <f t="shared" si="2720"/>
        <v>0</v>
      </c>
      <c r="AA1356" s="139">
        <f t="shared" si="2720"/>
        <v>1.148105625717566E-3</v>
      </c>
      <c r="AB1356" s="139"/>
      <c r="AC1356" s="139">
        <f t="shared" si="2562"/>
        <v>3.9035591274397242E-2</v>
      </c>
      <c r="AD1356" s="139">
        <f t="shared" ref="AD1356:AI1356" si="2721">O1356/$I1356</f>
        <v>3.4443168771526979E-3</v>
      </c>
      <c r="AE1356" s="139">
        <f t="shared" si="2721"/>
        <v>0</v>
      </c>
      <c r="AF1356" s="139">
        <f t="shared" si="2721"/>
        <v>0</v>
      </c>
      <c r="AG1356" s="139">
        <f t="shared" si="2721"/>
        <v>0</v>
      </c>
      <c r="AH1356" s="139">
        <f t="shared" si="2721"/>
        <v>2.7554535017221583E-2</v>
      </c>
      <c r="AI1356" s="139">
        <f t="shared" si="2721"/>
        <v>8.0367393800229621E-3</v>
      </c>
    </row>
    <row r="1357" spans="2:35">
      <c r="B1357" s="138" t="s">
        <v>8077</v>
      </c>
      <c r="C1357" s="138" t="s">
        <v>4367</v>
      </c>
      <c r="D1357" s="138" t="s">
        <v>8</v>
      </c>
      <c r="E1357" s="138" t="s">
        <v>633</v>
      </c>
      <c r="F1357" s="138" t="s">
        <v>643</v>
      </c>
      <c r="H1357" s="138">
        <v>167</v>
      </c>
      <c r="I1357" s="138">
        <v>739</v>
      </c>
      <c r="J1357" s="138">
        <v>465</v>
      </c>
      <c r="K1357" s="138">
        <v>253</v>
      </c>
      <c r="N1357" s="138">
        <v>4</v>
      </c>
      <c r="O1357" s="138">
        <v>0</v>
      </c>
      <c r="R1357" s="138">
        <v>0</v>
      </c>
      <c r="S1357" s="138">
        <v>11</v>
      </c>
      <c r="T1357" s="138">
        <v>6</v>
      </c>
      <c r="U1357" s="138">
        <f t="shared" si="2560"/>
        <v>17</v>
      </c>
      <c r="W1357" s="139">
        <f t="shared" ref="W1357:AA1357" si="2722">J1357/$I1357</f>
        <v>0.62922868741542626</v>
      </c>
      <c r="X1357" s="139">
        <f t="shared" si="2722"/>
        <v>0.34235453315290931</v>
      </c>
      <c r="Y1357" s="139">
        <f t="shared" si="2722"/>
        <v>0</v>
      </c>
      <c r="Z1357" s="139">
        <f t="shared" si="2722"/>
        <v>0</v>
      </c>
      <c r="AA1357" s="139">
        <f t="shared" si="2722"/>
        <v>5.4127198917456026E-3</v>
      </c>
      <c r="AB1357" s="139"/>
      <c r="AC1357" s="139">
        <f t="shared" si="2562"/>
        <v>2.3004059539918808E-2</v>
      </c>
      <c r="AD1357" s="139">
        <f t="shared" ref="AD1357:AI1357" si="2723">O1357/$I1357</f>
        <v>0</v>
      </c>
      <c r="AE1357" s="139">
        <f t="shared" si="2723"/>
        <v>0</v>
      </c>
      <c r="AF1357" s="139">
        <f t="shared" si="2723"/>
        <v>0</v>
      </c>
      <c r="AG1357" s="139">
        <f t="shared" si="2723"/>
        <v>0</v>
      </c>
      <c r="AH1357" s="139">
        <f t="shared" si="2723"/>
        <v>1.4884979702300407E-2</v>
      </c>
      <c r="AI1357" s="139">
        <f t="shared" si="2723"/>
        <v>8.119079837618403E-3</v>
      </c>
    </row>
    <row r="1358" spans="2:35">
      <c r="B1358" s="138" t="s">
        <v>8077</v>
      </c>
      <c r="C1358" s="138" t="s">
        <v>4367</v>
      </c>
      <c r="D1358" s="138" t="s">
        <v>8</v>
      </c>
      <c r="E1358" s="138" t="s">
        <v>633</v>
      </c>
      <c r="F1358" s="138" t="s">
        <v>655</v>
      </c>
      <c r="H1358" s="138">
        <v>168</v>
      </c>
      <c r="I1358" s="138">
        <v>747</v>
      </c>
      <c r="J1358" s="138">
        <v>473</v>
      </c>
      <c r="K1358" s="138">
        <v>268</v>
      </c>
      <c r="N1358" s="138">
        <v>2</v>
      </c>
      <c r="O1358" s="138">
        <v>0</v>
      </c>
      <c r="R1358" s="138">
        <v>0</v>
      </c>
      <c r="S1358" s="138">
        <v>3</v>
      </c>
      <c r="T1358" s="138">
        <v>1</v>
      </c>
      <c r="U1358" s="138">
        <f t="shared" si="2560"/>
        <v>4</v>
      </c>
      <c r="W1358" s="139">
        <f t="shared" ref="W1358:AA1358" si="2724">J1358/$I1358</f>
        <v>0.63319946452476572</v>
      </c>
      <c r="X1358" s="139">
        <f t="shared" si="2724"/>
        <v>0.35876840696117807</v>
      </c>
      <c r="Y1358" s="139">
        <f t="shared" si="2724"/>
        <v>0</v>
      </c>
      <c r="Z1358" s="139">
        <f t="shared" si="2724"/>
        <v>0</v>
      </c>
      <c r="AA1358" s="139">
        <f t="shared" si="2724"/>
        <v>2.6773761713520749E-3</v>
      </c>
      <c r="AB1358" s="139"/>
      <c r="AC1358" s="139">
        <f t="shared" si="2562"/>
        <v>5.3547523427041497E-3</v>
      </c>
      <c r="AD1358" s="139">
        <f t="shared" ref="AD1358:AI1358" si="2725">O1358/$I1358</f>
        <v>0</v>
      </c>
      <c r="AE1358" s="139">
        <f t="shared" si="2725"/>
        <v>0</v>
      </c>
      <c r="AF1358" s="139">
        <f t="shared" si="2725"/>
        <v>0</v>
      </c>
      <c r="AG1358" s="139">
        <f t="shared" si="2725"/>
        <v>0</v>
      </c>
      <c r="AH1358" s="139">
        <f t="shared" si="2725"/>
        <v>4.0160642570281121E-3</v>
      </c>
      <c r="AI1358" s="139">
        <f t="shared" si="2725"/>
        <v>1.3386880856760374E-3</v>
      </c>
    </row>
    <row r="1359" spans="2:35">
      <c r="B1359" s="138" t="s">
        <v>8077</v>
      </c>
      <c r="C1359" s="138" t="s">
        <v>4367</v>
      </c>
      <c r="D1359" s="138" t="s">
        <v>8</v>
      </c>
      <c r="E1359" s="138" t="s">
        <v>633</v>
      </c>
      <c r="F1359" s="138" t="s">
        <v>635</v>
      </c>
      <c r="H1359" s="138">
        <v>169</v>
      </c>
      <c r="I1359" s="138">
        <v>643</v>
      </c>
      <c r="J1359" s="138">
        <v>401</v>
      </c>
      <c r="K1359" s="138">
        <v>217</v>
      </c>
      <c r="N1359" s="138">
        <v>4</v>
      </c>
      <c r="O1359" s="138">
        <v>3</v>
      </c>
      <c r="R1359" s="138">
        <v>2</v>
      </c>
      <c r="S1359" s="138">
        <v>5</v>
      </c>
      <c r="T1359" s="138">
        <v>11</v>
      </c>
      <c r="U1359" s="138">
        <f t="shared" si="2560"/>
        <v>21</v>
      </c>
      <c r="W1359" s="139">
        <f t="shared" ref="W1359:AA1359" si="2726">J1359/$I1359</f>
        <v>0.62363919129082424</v>
      </c>
      <c r="X1359" s="139">
        <f t="shared" si="2726"/>
        <v>0.33748055987558323</v>
      </c>
      <c r="Y1359" s="139">
        <f t="shared" si="2726"/>
        <v>0</v>
      </c>
      <c r="Z1359" s="139">
        <f t="shared" si="2726"/>
        <v>0</v>
      </c>
      <c r="AA1359" s="139">
        <f t="shared" si="2726"/>
        <v>6.2208398133748056E-3</v>
      </c>
      <c r="AB1359" s="139"/>
      <c r="AC1359" s="139">
        <f t="shared" si="2562"/>
        <v>3.2659409020217731E-2</v>
      </c>
      <c r="AD1359" s="139">
        <f t="shared" ref="AD1359:AI1359" si="2727">O1359/$I1359</f>
        <v>4.6656298600311046E-3</v>
      </c>
      <c r="AE1359" s="139">
        <f t="shared" si="2727"/>
        <v>0</v>
      </c>
      <c r="AF1359" s="139">
        <f t="shared" si="2727"/>
        <v>0</v>
      </c>
      <c r="AG1359" s="139">
        <f t="shared" si="2727"/>
        <v>3.1104199066874028E-3</v>
      </c>
      <c r="AH1359" s="139">
        <f t="shared" si="2727"/>
        <v>7.7760497667185074E-3</v>
      </c>
      <c r="AI1359" s="139">
        <f t="shared" si="2727"/>
        <v>1.7107309486780714E-2</v>
      </c>
    </row>
    <row r="1360" spans="2:35">
      <c r="B1360" s="138" t="s">
        <v>8077</v>
      </c>
      <c r="C1360" s="138" t="s">
        <v>4367</v>
      </c>
      <c r="D1360" s="138" t="s">
        <v>8</v>
      </c>
      <c r="E1360" s="138" t="s">
        <v>633</v>
      </c>
      <c r="F1360" s="138" t="s">
        <v>635</v>
      </c>
      <c r="H1360" s="138">
        <v>170</v>
      </c>
      <c r="I1360" s="138">
        <v>680</v>
      </c>
      <c r="J1360" s="138">
        <v>476</v>
      </c>
      <c r="K1360" s="138">
        <v>180</v>
      </c>
      <c r="N1360" s="138">
        <v>7</v>
      </c>
      <c r="O1360" s="138">
        <v>3</v>
      </c>
      <c r="R1360" s="138">
        <v>0</v>
      </c>
      <c r="S1360" s="138">
        <v>11</v>
      </c>
      <c r="T1360" s="138">
        <v>3</v>
      </c>
      <c r="U1360" s="138">
        <f t="shared" si="2560"/>
        <v>17</v>
      </c>
      <c r="W1360" s="139">
        <f t="shared" ref="W1360:AA1360" si="2728">J1360/$I1360</f>
        <v>0.7</v>
      </c>
      <c r="X1360" s="139">
        <f t="shared" si="2728"/>
        <v>0.26470588235294118</v>
      </c>
      <c r="Y1360" s="139">
        <f t="shared" si="2728"/>
        <v>0</v>
      </c>
      <c r="Z1360" s="139">
        <f t="shared" si="2728"/>
        <v>0</v>
      </c>
      <c r="AA1360" s="139">
        <f t="shared" si="2728"/>
        <v>1.0294117647058823E-2</v>
      </c>
      <c r="AB1360" s="139"/>
      <c r="AC1360" s="139">
        <f t="shared" si="2562"/>
        <v>2.5000000000000001E-2</v>
      </c>
      <c r="AD1360" s="139">
        <f t="shared" ref="AD1360:AI1360" si="2729">O1360/$I1360</f>
        <v>4.4117647058823529E-3</v>
      </c>
      <c r="AE1360" s="139">
        <f t="shared" si="2729"/>
        <v>0</v>
      </c>
      <c r="AF1360" s="139">
        <f t="shared" si="2729"/>
        <v>0</v>
      </c>
      <c r="AG1360" s="139">
        <f t="shared" si="2729"/>
        <v>0</v>
      </c>
      <c r="AH1360" s="139">
        <f t="shared" si="2729"/>
        <v>1.6176470588235296E-2</v>
      </c>
      <c r="AI1360" s="139">
        <f t="shared" si="2729"/>
        <v>4.4117647058823529E-3</v>
      </c>
    </row>
    <row r="1361" spans="2:35">
      <c r="B1361" s="138" t="s">
        <v>8077</v>
      </c>
      <c r="C1361" s="138" t="s">
        <v>4367</v>
      </c>
      <c r="D1361" s="138" t="s">
        <v>8</v>
      </c>
      <c r="E1361" s="138" t="s">
        <v>633</v>
      </c>
      <c r="F1361" s="138" t="s">
        <v>635</v>
      </c>
      <c r="H1361" s="138">
        <v>171</v>
      </c>
      <c r="I1361" s="138">
        <v>910</v>
      </c>
      <c r="J1361" s="138">
        <v>626</v>
      </c>
      <c r="K1361" s="138">
        <v>197</v>
      </c>
      <c r="N1361" s="138">
        <v>14</v>
      </c>
      <c r="O1361" s="138">
        <v>4</v>
      </c>
      <c r="R1361" s="138">
        <v>3</v>
      </c>
      <c r="S1361" s="138">
        <v>49</v>
      </c>
      <c r="T1361" s="138">
        <v>17</v>
      </c>
      <c r="U1361" s="138">
        <f t="shared" si="2560"/>
        <v>73</v>
      </c>
      <c r="W1361" s="139">
        <f t="shared" ref="W1361:AA1361" si="2730">J1361/$I1361</f>
        <v>0.68791208791208791</v>
      </c>
      <c r="X1361" s="139">
        <f t="shared" si="2730"/>
        <v>0.21648351648351649</v>
      </c>
      <c r="Y1361" s="139">
        <f t="shared" si="2730"/>
        <v>0</v>
      </c>
      <c r="Z1361" s="139">
        <f t="shared" si="2730"/>
        <v>0</v>
      </c>
      <c r="AA1361" s="139">
        <f t="shared" si="2730"/>
        <v>1.5384615384615385E-2</v>
      </c>
      <c r="AB1361" s="139"/>
      <c r="AC1361" s="139">
        <f t="shared" si="2562"/>
        <v>8.0219780219780226E-2</v>
      </c>
      <c r="AD1361" s="139">
        <f t="shared" ref="AD1361:AI1361" si="2731">O1361/$I1361</f>
        <v>4.3956043956043956E-3</v>
      </c>
      <c r="AE1361" s="139">
        <f t="shared" si="2731"/>
        <v>0</v>
      </c>
      <c r="AF1361" s="139">
        <f t="shared" si="2731"/>
        <v>0</v>
      </c>
      <c r="AG1361" s="139">
        <f t="shared" si="2731"/>
        <v>3.2967032967032967E-3</v>
      </c>
      <c r="AH1361" s="139">
        <f t="shared" si="2731"/>
        <v>5.3846153846153849E-2</v>
      </c>
      <c r="AI1361" s="139">
        <f t="shared" si="2731"/>
        <v>1.8681318681318681E-2</v>
      </c>
    </row>
    <row r="1362" spans="2:35">
      <c r="B1362" s="138" t="s">
        <v>8077</v>
      </c>
      <c r="C1362" s="138" t="s">
        <v>4367</v>
      </c>
      <c r="D1362" s="138" t="s">
        <v>8</v>
      </c>
      <c r="E1362" s="138" t="s">
        <v>633</v>
      </c>
      <c r="F1362" s="138" t="s">
        <v>635</v>
      </c>
      <c r="H1362" s="138">
        <v>172</v>
      </c>
      <c r="I1362" s="138">
        <v>764</v>
      </c>
      <c r="J1362" s="138">
        <v>510</v>
      </c>
      <c r="K1362" s="138">
        <v>224</v>
      </c>
      <c r="N1362" s="138">
        <v>7</v>
      </c>
      <c r="O1362" s="138">
        <v>0</v>
      </c>
      <c r="R1362" s="138">
        <v>1</v>
      </c>
      <c r="S1362" s="138">
        <v>13</v>
      </c>
      <c r="T1362" s="138">
        <v>9</v>
      </c>
      <c r="U1362" s="138">
        <f t="shared" si="2560"/>
        <v>23</v>
      </c>
      <c r="W1362" s="139">
        <f t="shared" ref="W1362:AA1362" si="2732">J1362/$I1362</f>
        <v>0.66753926701570676</v>
      </c>
      <c r="X1362" s="139">
        <f t="shared" si="2732"/>
        <v>0.29319371727748689</v>
      </c>
      <c r="Y1362" s="139">
        <f t="shared" si="2732"/>
        <v>0</v>
      </c>
      <c r="Z1362" s="139">
        <f t="shared" si="2732"/>
        <v>0</v>
      </c>
      <c r="AA1362" s="139">
        <f t="shared" si="2732"/>
        <v>9.1623036649214652E-3</v>
      </c>
      <c r="AB1362" s="139"/>
      <c r="AC1362" s="139">
        <f t="shared" si="2562"/>
        <v>3.0104712041884817E-2</v>
      </c>
      <c r="AD1362" s="139">
        <f t="shared" ref="AD1362:AI1362" si="2733">O1362/$I1362</f>
        <v>0</v>
      </c>
      <c r="AE1362" s="139">
        <f t="shared" si="2733"/>
        <v>0</v>
      </c>
      <c r="AF1362" s="139">
        <f t="shared" si="2733"/>
        <v>0</v>
      </c>
      <c r="AG1362" s="139">
        <f t="shared" si="2733"/>
        <v>1.3089005235602095E-3</v>
      </c>
      <c r="AH1362" s="139">
        <f t="shared" si="2733"/>
        <v>1.7015706806282723E-2</v>
      </c>
      <c r="AI1362" s="139">
        <f t="shared" si="2733"/>
        <v>1.1780104712041885E-2</v>
      </c>
    </row>
    <row r="1363" spans="2:35">
      <c r="B1363" s="138" t="s">
        <v>8077</v>
      </c>
      <c r="C1363" s="138" t="s">
        <v>4367</v>
      </c>
      <c r="D1363" s="138" t="s">
        <v>8</v>
      </c>
      <c r="E1363" s="138" t="s">
        <v>633</v>
      </c>
      <c r="F1363" s="138" t="s">
        <v>635</v>
      </c>
      <c r="H1363" s="138">
        <v>173</v>
      </c>
      <c r="I1363" s="138">
        <v>768</v>
      </c>
      <c r="J1363" s="138">
        <v>545</v>
      </c>
      <c r="K1363" s="138">
        <v>189</v>
      </c>
      <c r="N1363" s="138">
        <v>5</v>
      </c>
      <c r="O1363" s="138">
        <v>1</v>
      </c>
      <c r="R1363" s="138">
        <v>2</v>
      </c>
      <c r="S1363" s="138">
        <v>13</v>
      </c>
      <c r="T1363" s="138">
        <v>13</v>
      </c>
      <c r="U1363" s="138">
        <f t="shared" si="2560"/>
        <v>29</v>
      </c>
      <c r="W1363" s="139">
        <f t="shared" ref="W1363:AA1363" si="2734">J1363/$I1363</f>
        <v>0.70963541666666663</v>
      </c>
      <c r="X1363" s="139">
        <f t="shared" si="2734"/>
        <v>0.24609375</v>
      </c>
      <c r="Y1363" s="139">
        <f t="shared" si="2734"/>
        <v>0</v>
      </c>
      <c r="Z1363" s="139">
        <f t="shared" si="2734"/>
        <v>0</v>
      </c>
      <c r="AA1363" s="139">
        <f t="shared" si="2734"/>
        <v>6.510416666666667E-3</v>
      </c>
      <c r="AB1363" s="139"/>
      <c r="AC1363" s="139">
        <f t="shared" si="2562"/>
        <v>3.7760416666666664E-2</v>
      </c>
      <c r="AD1363" s="139">
        <f t="shared" ref="AD1363:AI1363" si="2735">O1363/$I1363</f>
        <v>1.3020833333333333E-3</v>
      </c>
      <c r="AE1363" s="139">
        <f t="shared" si="2735"/>
        <v>0</v>
      </c>
      <c r="AF1363" s="139">
        <f t="shared" si="2735"/>
        <v>0</v>
      </c>
      <c r="AG1363" s="139">
        <f t="shared" si="2735"/>
        <v>2.6041666666666665E-3</v>
      </c>
      <c r="AH1363" s="139">
        <f t="shared" si="2735"/>
        <v>1.6927083333333332E-2</v>
      </c>
      <c r="AI1363" s="139">
        <f t="shared" si="2735"/>
        <v>1.6927083333333332E-2</v>
      </c>
    </row>
    <row r="1364" spans="2:35">
      <c r="B1364" s="138" t="s">
        <v>8077</v>
      </c>
      <c r="C1364" s="138" t="s">
        <v>4367</v>
      </c>
      <c r="D1364" s="138" t="s">
        <v>8</v>
      </c>
      <c r="E1364" s="138" t="s">
        <v>633</v>
      </c>
      <c r="F1364" s="138" t="s">
        <v>635</v>
      </c>
      <c r="H1364" s="138">
        <v>174</v>
      </c>
      <c r="I1364" s="138">
        <v>658</v>
      </c>
      <c r="J1364" s="138">
        <v>435</v>
      </c>
      <c r="K1364" s="138">
        <v>195</v>
      </c>
      <c r="N1364" s="138">
        <v>3</v>
      </c>
      <c r="O1364" s="138">
        <v>1</v>
      </c>
      <c r="R1364" s="138">
        <v>1</v>
      </c>
      <c r="S1364" s="138">
        <v>18</v>
      </c>
      <c r="T1364" s="138">
        <v>5</v>
      </c>
      <c r="U1364" s="138">
        <f t="shared" si="2560"/>
        <v>25</v>
      </c>
      <c r="W1364" s="139">
        <f t="shared" ref="W1364:AA1364" si="2736">J1364/$I1364</f>
        <v>0.66109422492401215</v>
      </c>
      <c r="X1364" s="139">
        <f t="shared" si="2736"/>
        <v>0.29635258358662614</v>
      </c>
      <c r="Y1364" s="139">
        <f t="shared" si="2736"/>
        <v>0</v>
      </c>
      <c r="Z1364" s="139">
        <f t="shared" si="2736"/>
        <v>0</v>
      </c>
      <c r="AA1364" s="139">
        <f t="shared" si="2736"/>
        <v>4.559270516717325E-3</v>
      </c>
      <c r="AB1364" s="139"/>
      <c r="AC1364" s="139">
        <f t="shared" si="2562"/>
        <v>3.7993920972644375E-2</v>
      </c>
      <c r="AD1364" s="139">
        <f t="shared" ref="AD1364:AI1364" si="2737">O1364/$I1364</f>
        <v>1.5197568389057751E-3</v>
      </c>
      <c r="AE1364" s="139">
        <f t="shared" si="2737"/>
        <v>0</v>
      </c>
      <c r="AF1364" s="139">
        <f t="shared" si="2737"/>
        <v>0</v>
      </c>
      <c r="AG1364" s="139">
        <f t="shared" si="2737"/>
        <v>1.5197568389057751E-3</v>
      </c>
      <c r="AH1364" s="139">
        <f t="shared" si="2737"/>
        <v>2.7355623100303952E-2</v>
      </c>
      <c r="AI1364" s="139">
        <f t="shared" si="2737"/>
        <v>7.5987841945288756E-3</v>
      </c>
    </row>
    <row r="1365" spans="2:35">
      <c r="B1365" s="138" t="s">
        <v>8077</v>
      </c>
      <c r="C1365" s="138" t="s">
        <v>4367</v>
      </c>
      <c r="D1365" s="138" t="s">
        <v>8</v>
      </c>
      <c r="E1365" s="138" t="s">
        <v>633</v>
      </c>
      <c r="F1365" s="138" t="s">
        <v>635</v>
      </c>
      <c r="H1365" s="138">
        <v>175</v>
      </c>
      <c r="I1365" s="138">
        <v>491</v>
      </c>
      <c r="J1365" s="138">
        <v>364</v>
      </c>
      <c r="K1365" s="138">
        <v>115</v>
      </c>
      <c r="N1365" s="138">
        <v>3</v>
      </c>
      <c r="O1365" s="138">
        <v>0</v>
      </c>
      <c r="R1365" s="138">
        <v>0</v>
      </c>
      <c r="S1365" s="138">
        <v>4</v>
      </c>
      <c r="T1365" s="138">
        <v>5</v>
      </c>
      <c r="U1365" s="138">
        <f t="shared" si="2560"/>
        <v>9</v>
      </c>
      <c r="W1365" s="139">
        <f t="shared" ref="W1365:AA1365" si="2738">J1365/$I1365</f>
        <v>0.74134419551934827</v>
      </c>
      <c r="X1365" s="139">
        <f t="shared" si="2738"/>
        <v>0.23421588594704684</v>
      </c>
      <c r="Y1365" s="139">
        <f t="shared" si="2738"/>
        <v>0</v>
      </c>
      <c r="Z1365" s="139">
        <f t="shared" si="2738"/>
        <v>0</v>
      </c>
      <c r="AA1365" s="139">
        <f t="shared" si="2738"/>
        <v>6.1099796334012219E-3</v>
      </c>
      <c r="AB1365" s="139"/>
      <c r="AC1365" s="139">
        <f t="shared" si="2562"/>
        <v>1.8329938900203666E-2</v>
      </c>
      <c r="AD1365" s="139">
        <f t="shared" ref="AD1365:AI1365" si="2739">O1365/$I1365</f>
        <v>0</v>
      </c>
      <c r="AE1365" s="139">
        <f t="shared" si="2739"/>
        <v>0</v>
      </c>
      <c r="AF1365" s="139">
        <f t="shared" si="2739"/>
        <v>0</v>
      </c>
      <c r="AG1365" s="139">
        <f t="shared" si="2739"/>
        <v>0</v>
      </c>
      <c r="AH1365" s="139">
        <f t="shared" si="2739"/>
        <v>8.1466395112016286E-3</v>
      </c>
      <c r="AI1365" s="139">
        <f t="shared" si="2739"/>
        <v>1.0183299389002037E-2</v>
      </c>
    </row>
    <row r="1366" spans="2:35">
      <c r="B1366" s="138" t="s">
        <v>8077</v>
      </c>
      <c r="C1366" s="138" t="s">
        <v>4367</v>
      </c>
      <c r="D1366" s="138" t="s">
        <v>8</v>
      </c>
      <c r="E1366" s="138" t="s">
        <v>633</v>
      </c>
      <c r="F1366" s="138" t="s">
        <v>635</v>
      </c>
      <c r="H1366" s="138">
        <v>176</v>
      </c>
      <c r="I1366" s="138">
        <v>517</v>
      </c>
      <c r="J1366" s="138">
        <v>330</v>
      </c>
      <c r="K1366" s="138">
        <v>162</v>
      </c>
      <c r="N1366" s="138">
        <v>8</v>
      </c>
      <c r="O1366" s="138">
        <v>0</v>
      </c>
      <c r="R1366" s="138">
        <v>1</v>
      </c>
      <c r="S1366" s="138">
        <v>5</v>
      </c>
      <c r="T1366" s="138">
        <v>11</v>
      </c>
      <c r="U1366" s="138">
        <f t="shared" si="2560"/>
        <v>17</v>
      </c>
      <c r="W1366" s="139">
        <f t="shared" ref="W1366:AA1366" si="2740">J1366/$I1366</f>
        <v>0.63829787234042556</v>
      </c>
      <c r="X1366" s="139">
        <f t="shared" si="2740"/>
        <v>0.31334622823984526</v>
      </c>
      <c r="Y1366" s="139">
        <f t="shared" si="2740"/>
        <v>0</v>
      </c>
      <c r="Z1366" s="139">
        <f t="shared" si="2740"/>
        <v>0</v>
      </c>
      <c r="AA1366" s="139">
        <f t="shared" si="2740"/>
        <v>1.5473887814313346E-2</v>
      </c>
      <c r="AB1366" s="139"/>
      <c r="AC1366" s="139">
        <f t="shared" si="2562"/>
        <v>3.2882011605415859E-2</v>
      </c>
      <c r="AD1366" s="139">
        <f t="shared" ref="AD1366:AI1366" si="2741">O1366/$I1366</f>
        <v>0</v>
      </c>
      <c r="AE1366" s="139">
        <f t="shared" si="2741"/>
        <v>0</v>
      </c>
      <c r="AF1366" s="139">
        <f t="shared" si="2741"/>
        <v>0</v>
      </c>
      <c r="AG1366" s="139">
        <f t="shared" si="2741"/>
        <v>1.9342359767891683E-3</v>
      </c>
      <c r="AH1366" s="139">
        <f t="shared" si="2741"/>
        <v>9.6711798839458421E-3</v>
      </c>
      <c r="AI1366" s="139">
        <f t="shared" si="2741"/>
        <v>2.1276595744680851E-2</v>
      </c>
    </row>
    <row r="1367" spans="2:35">
      <c r="B1367" s="138" t="s">
        <v>8077</v>
      </c>
      <c r="C1367" s="138" t="s">
        <v>4367</v>
      </c>
      <c r="D1367" s="138" t="s">
        <v>8</v>
      </c>
      <c r="E1367" s="138" t="s">
        <v>633</v>
      </c>
      <c r="F1367" s="138" t="s">
        <v>635</v>
      </c>
      <c r="H1367" s="138">
        <v>177</v>
      </c>
      <c r="I1367" s="138">
        <v>652</v>
      </c>
      <c r="J1367" s="138">
        <v>488</v>
      </c>
      <c r="K1367" s="138">
        <v>143</v>
      </c>
      <c r="N1367" s="138">
        <v>6</v>
      </c>
      <c r="O1367" s="138">
        <v>0</v>
      </c>
      <c r="R1367" s="138">
        <v>1</v>
      </c>
      <c r="S1367" s="138">
        <v>10</v>
      </c>
      <c r="T1367" s="138">
        <v>4</v>
      </c>
      <c r="U1367" s="138">
        <f t="shared" si="2560"/>
        <v>15</v>
      </c>
      <c r="W1367" s="139">
        <f t="shared" ref="W1367:AA1367" si="2742">J1367/$I1367</f>
        <v>0.74846625766871167</v>
      </c>
      <c r="X1367" s="139">
        <f t="shared" si="2742"/>
        <v>0.21932515337423314</v>
      </c>
      <c r="Y1367" s="139">
        <f t="shared" si="2742"/>
        <v>0</v>
      </c>
      <c r="Z1367" s="139">
        <f t="shared" si="2742"/>
        <v>0</v>
      </c>
      <c r="AA1367" s="139">
        <f t="shared" si="2742"/>
        <v>9.202453987730062E-3</v>
      </c>
      <c r="AB1367" s="139"/>
      <c r="AC1367" s="139">
        <f t="shared" si="2562"/>
        <v>2.3006134969325152E-2</v>
      </c>
      <c r="AD1367" s="139">
        <f t="shared" ref="AD1367:AI1367" si="2743">O1367/$I1367</f>
        <v>0</v>
      </c>
      <c r="AE1367" s="139">
        <f t="shared" si="2743"/>
        <v>0</v>
      </c>
      <c r="AF1367" s="139">
        <f t="shared" si="2743"/>
        <v>0</v>
      </c>
      <c r="AG1367" s="139">
        <f t="shared" si="2743"/>
        <v>1.5337423312883436E-3</v>
      </c>
      <c r="AH1367" s="139">
        <f t="shared" si="2743"/>
        <v>1.5337423312883436E-2</v>
      </c>
      <c r="AI1367" s="139">
        <f t="shared" si="2743"/>
        <v>6.1349693251533744E-3</v>
      </c>
    </row>
    <row r="1368" spans="2:35">
      <c r="B1368" s="138" t="s">
        <v>8077</v>
      </c>
      <c r="C1368" s="138" t="s">
        <v>4367</v>
      </c>
      <c r="D1368" s="138" t="s">
        <v>8</v>
      </c>
      <c r="E1368" s="138" t="s">
        <v>633</v>
      </c>
      <c r="F1368" s="138" t="s">
        <v>635</v>
      </c>
      <c r="H1368" s="138">
        <v>178</v>
      </c>
      <c r="I1368" s="138">
        <v>565</v>
      </c>
      <c r="J1368" s="138">
        <v>176</v>
      </c>
      <c r="K1368" s="138">
        <v>353</v>
      </c>
      <c r="N1368" s="138">
        <v>12</v>
      </c>
      <c r="O1368" s="138">
        <v>4</v>
      </c>
      <c r="R1368" s="138">
        <v>0</v>
      </c>
      <c r="S1368" s="138">
        <v>14</v>
      </c>
      <c r="T1368" s="138">
        <v>6</v>
      </c>
      <c r="U1368" s="138">
        <f t="shared" si="2560"/>
        <v>24</v>
      </c>
      <c r="W1368" s="139">
        <f t="shared" ref="W1368:AA1368" si="2744">J1368/$I1368</f>
        <v>0.31150442477876106</v>
      </c>
      <c r="X1368" s="139">
        <f t="shared" si="2744"/>
        <v>0.62477876106194685</v>
      </c>
      <c r="Y1368" s="139">
        <f t="shared" si="2744"/>
        <v>0</v>
      </c>
      <c r="Z1368" s="139">
        <f t="shared" si="2744"/>
        <v>0</v>
      </c>
      <c r="AA1368" s="139">
        <f t="shared" si="2744"/>
        <v>2.1238938053097345E-2</v>
      </c>
      <c r="AB1368" s="139"/>
      <c r="AC1368" s="139">
        <f t="shared" si="2562"/>
        <v>4.247787610619469E-2</v>
      </c>
      <c r="AD1368" s="139">
        <f t="shared" ref="AD1368:AI1368" si="2745">O1368/$I1368</f>
        <v>7.0796460176991149E-3</v>
      </c>
      <c r="AE1368" s="139">
        <f t="shared" si="2745"/>
        <v>0</v>
      </c>
      <c r="AF1368" s="139">
        <f t="shared" si="2745"/>
        <v>0</v>
      </c>
      <c r="AG1368" s="139">
        <f t="shared" si="2745"/>
        <v>0</v>
      </c>
      <c r="AH1368" s="139">
        <f t="shared" si="2745"/>
        <v>2.4778761061946902E-2</v>
      </c>
      <c r="AI1368" s="139">
        <f t="shared" si="2745"/>
        <v>1.0619469026548672E-2</v>
      </c>
    </row>
    <row r="1369" spans="2:35">
      <c r="B1369" s="138" t="s">
        <v>8077</v>
      </c>
      <c r="C1369" s="138" t="s">
        <v>4367</v>
      </c>
      <c r="D1369" s="138" t="s">
        <v>8</v>
      </c>
      <c r="E1369" s="138" t="s">
        <v>633</v>
      </c>
      <c r="F1369" s="138" t="s">
        <v>635</v>
      </c>
      <c r="H1369" s="138">
        <v>179</v>
      </c>
      <c r="I1369" s="138">
        <v>512</v>
      </c>
      <c r="J1369" s="138">
        <v>217</v>
      </c>
      <c r="K1369" s="138">
        <v>267</v>
      </c>
      <c r="N1369" s="138">
        <v>4</v>
      </c>
      <c r="O1369" s="138">
        <v>1</v>
      </c>
      <c r="R1369" s="138">
        <v>2</v>
      </c>
      <c r="S1369" s="138">
        <v>13</v>
      </c>
      <c r="T1369" s="138">
        <v>8</v>
      </c>
      <c r="U1369" s="138">
        <f t="shared" si="2560"/>
        <v>24</v>
      </c>
      <c r="W1369" s="139">
        <f t="shared" ref="W1369:AA1369" si="2746">J1369/$I1369</f>
        <v>0.423828125</v>
      </c>
      <c r="X1369" s="139">
        <f t="shared" si="2746"/>
        <v>0.521484375</v>
      </c>
      <c r="Y1369" s="139">
        <f t="shared" si="2746"/>
        <v>0</v>
      </c>
      <c r="Z1369" s="139">
        <f t="shared" si="2746"/>
        <v>0</v>
      </c>
      <c r="AA1369" s="139">
        <f t="shared" si="2746"/>
        <v>7.8125E-3</v>
      </c>
      <c r="AB1369" s="139"/>
      <c r="AC1369" s="139">
        <f t="shared" si="2562"/>
        <v>4.6875E-2</v>
      </c>
      <c r="AD1369" s="139">
        <f t="shared" ref="AD1369:AI1369" si="2747">O1369/$I1369</f>
        <v>1.953125E-3</v>
      </c>
      <c r="AE1369" s="139">
        <f t="shared" si="2747"/>
        <v>0</v>
      </c>
      <c r="AF1369" s="139">
        <f t="shared" si="2747"/>
        <v>0</v>
      </c>
      <c r="AG1369" s="139">
        <f t="shared" si="2747"/>
        <v>3.90625E-3</v>
      </c>
      <c r="AH1369" s="139">
        <f t="shared" si="2747"/>
        <v>2.5390625E-2</v>
      </c>
      <c r="AI1369" s="139">
        <f t="shared" si="2747"/>
        <v>1.5625E-2</v>
      </c>
    </row>
    <row r="1370" spans="2:35">
      <c r="B1370" s="138" t="s">
        <v>8077</v>
      </c>
      <c r="C1370" s="138" t="s">
        <v>4367</v>
      </c>
      <c r="D1370" s="138" t="s">
        <v>8</v>
      </c>
      <c r="E1370" s="138" t="s">
        <v>587</v>
      </c>
      <c r="F1370" s="138" t="s">
        <v>587</v>
      </c>
      <c r="H1370" s="138">
        <v>180</v>
      </c>
      <c r="I1370" s="138">
        <v>793</v>
      </c>
      <c r="J1370" s="138">
        <v>480</v>
      </c>
      <c r="K1370" s="138">
        <v>264</v>
      </c>
      <c r="N1370" s="138">
        <v>7</v>
      </c>
      <c r="O1370" s="138">
        <v>7</v>
      </c>
      <c r="R1370" s="138">
        <v>2</v>
      </c>
      <c r="S1370" s="138">
        <v>25</v>
      </c>
      <c r="T1370" s="138">
        <v>8</v>
      </c>
      <c r="U1370" s="138">
        <f t="shared" si="2560"/>
        <v>42</v>
      </c>
      <c r="W1370" s="139">
        <f t="shared" ref="W1370:AA1370" si="2748">J1370/$I1370</f>
        <v>0.60529634300126101</v>
      </c>
      <c r="X1370" s="139">
        <f t="shared" si="2748"/>
        <v>0.33291298865069358</v>
      </c>
      <c r="Y1370" s="139">
        <f t="shared" si="2748"/>
        <v>0</v>
      </c>
      <c r="Z1370" s="139">
        <f t="shared" si="2748"/>
        <v>0</v>
      </c>
      <c r="AA1370" s="139">
        <f t="shared" si="2748"/>
        <v>8.8272383354350576E-3</v>
      </c>
      <c r="AB1370" s="139"/>
      <c r="AC1370" s="139">
        <f t="shared" si="2562"/>
        <v>5.2963430012610342E-2</v>
      </c>
      <c r="AD1370" s="139">
        <f t="shared" ref="AD1370:AI1370" si="2749">O1370/$I1370</f>
        <v>8.8272383354350576E-3</v>
      </c>
      <c r="AE1370" s="139">
        <f t="shared" si="2749"/>
        <v>0</v>
      </c>
      <c r="AF1370" s="139">
        <f t="shared" si="2749"/>
        <v>0</v>
      </c>
      <c r="AG1370" s="139">
        <f t="shared" si="2749"/>
        <v>2.5220680958385876E-3</v>
      </c>
      <c r="AH1370" s="139">
        <f t="shared" si="2749"/>
        <v>3.1525851197982346E-2</v>
      </c>
      <c r="AI1370" s="139">
        <f t="shared" si="2749"/>
        <v>1.0088272383354351E-2</v>
      </c>
    </row>
    <row r="1371" spans="2:35">
      <c r="B1371" s="138" t="s">
        <v>8077</v>
      </c>
      <c r="C1371" s="138" t="s">
        <v>4367</v>
      </c>
      <c r="D1371" s="138" t="s">
        <v>8</v>
      </c>
      <c r="E1371" s="138" t="s">
        <v>587</v>
      </c>
      <c r="F1371" s="138" t="s">
        <v>587</v>
      </c>
      <c r="H1371" s="138">
        <v>181</v>
      </c>
      <c r="I1371" s="138">
        <v>679</v>
      </c>
      <c r="J1371" s="138">
        <v>422</v>
      </c>
      <c r="K1371" s="138">
        <v>216</v>
      </c>
      <c r="N1371" s="138">
        <v>2</v>
      </c>
      <c r="O1371" s="138">
        <v>3</v>
      </c>
      <c r="R1371" s="138">
        <v>2</v>
      </c>
      <c r="S1371" s="138">
        <v>14</v>
      </c>
      <c r="T1371" s="138">
        <v>20</v>
      </c>
      <c r="U1371" s="138">
        <f t="shared" si="2560"/>
        <v>39</v>
      </c>
      <c r="W1371" s="139">
        <f t="shared" ref="W1371:AA1371" si="2750">J1371/$I1371</f>
        <v>0.62150220913107512</v>
      </c>
      <c r="X1371" s="139">
        <f t="shared" si="2750"/>
        <v>0.31811487481590572</v>
      </c>
      <c r="Y1371" s="139">
        <f t="shared" si="2750"/>
        <v>0</v>
      </c>
      <c r="Z1371" s="139">
        <f t="shared" si="2750"/>
        <v>0</v>
      </c>
      <c r="AA1371" s="139">
        <f t="shared" si="2750"/>
        <v>2.9455081001472753E-3</v>
      </c>
      <c r="AB1371" s="139"/>
      <c r="AC1371" s="139">
        <f t="shared" si="2562"/>
        <v>5.7437407952871868E-2</v>
      </c>
      <c r="AD1371" s="139">
        <f t="shared" ref="AD1371:AI1371" si="2751">O1371/$I1371</f>
        <v>4.418262150220913E-3</v>
      </c>
      <c r="AE1371" s="139">
        <f t="shared" si="2751"/>
        <v>0</v>
      </c>
      <c r="AF1371" s="139">
        <f t="shared" si="2751"/>
        <v>0</v>
      </c>
      <c r="AG1371" s="139">
        <f t="shared" si="2751"/>
        <v>2.9455081001472753E-3</v>
      </c>
      <c r="AH1371" s="139">
        <f t="shared" si="2751"/>
        <v>2.0618556701030927E-2</v>
      </c>
      <c r="AI1371" s="139">
        <f t="shared" si="2751"/>
        <v>2.9455081001472753E-2</v>
      </c>
    </row>
    <row r="1372" spans="2:35">
      <c r="B1372" s="138" t="s">
        <v>8077</v>
      </c>
      <c r="C1372" s="138" t="s">
        <v>4367</v>
      </c>
      <c r="D1372" s="138" t="s">
        <v>8</v>
      </c>
      <c r="E1372" s="138" t="s">
        <v>587</v>
      </c>
      <c r="F1372" s="138" t="s">
        <v>587</v>
      </c>
      <c r="H1372" s="138">
        <v>182</v>
      </c>
      <c r="I1372" s="138">
        <v>654</v>
      </c>
      <c r="J1372" s="138">
        <v>310</v>
      </c>
      <c r="K1372" s="138">
        <v>288</v>
      </c>
      <c r="N1372" s="138">
        <v>2</v>
      </c>
      <c r="O1372" s="138">
        <v>6</v>
      </c>
      <c r="R1372" s="138">
        <v>1</v>
      </c>
      <c r="S1372" s="138">
        <v>23</v>
      </c>
      <c r="T1372" s="138">
        <v>24</v>
      </c>
      <c r="U1372" s="138">
        <f t="shared" si="2560"/>
        <v>54</v>
      </c>
      <c r="W1372" s="139">
        <f t="shared" ref="W1372:AA1372" si="2752">J1372/$I1372</f>
        <v>0.47400611620795108</v>
      </c>
      <c r="X1372" s="139">
        <f t="shared" si="2752"/>
        <v>0.44036697247706424</v>
      </c>
      <c r="Y1372" s="139">
        <f t="shared" si="2752"/>
        <v>0</v>
      </c>
      <c r="Z1372" s="139">
        <f t="shared" si="2752"/>
        <v>0</v>
      </c>
      <c r="AA1372" s="139">
        <f t="shared" si="2752"/>
        <v>3.0581039755351682E-3</v>
      </c>
      <c r="AB1372" s="139"/>
      <c r="AC1372" s="139">
        <f t="shared" si="2562"/>
        <v>8.2568807339449546E-2</v>
      </c>
      <c r="AD1372" s="139">
        <f t="shared" ref="AD1372:AI1372" si="2753">O1372/$I1372</f>
        <v>9.1743119266055051E-3</v>
      </c>
      <c r="AE1372" s="139">
        <f t="shared" si="2753"/>
        <v>0</v>
      </c>
      <c r="AF1372" s="139">
        <f t="shared" si="2753"/>
        <v>0</v>
      </c>
      <c r="AG1372" s="139">
        <f t="shared" si="2753"/>
        <v>1.5290519877675841E-3</v>
      </c>
      <c r="AH1372" s="139">
        <f t="shared" si="2753"/>
        <v>3.5168195718654434E-2</v>
      </c>
      <c r="AI1372" s="139">
        <f t="shared" si="2753"/>
        <v>3.669724770642202E-2</v>
      </c>
    </row>
    <row r="1373" spans="2:35">
      <c r="B1373" s="138" t="s">
        <v>8077</v>
      </c>
      <c r="C1373" s="138" t="s">
        <v>4367</v>
      </c>
      <c r="D1373" s="138" t="s">
        <v>8</v>
      </c>
      <c r="E1373" s="138" t="s">
        <v>587</v>
      </c>
      <c r="F1373" s="138" t="s">
        <v>587</v>
      </c>
      <c r="H1373" s="138">
        <v>183</v>
      </c>
      <c r="I1373" s="138">
        <v>782</v>
      </c>
      <c r="J1373" s="138">
        <v>440</v>
      </c>
      <c r="K1373" s="138">
        <v>260</v>
      </c>
      <c r="N1373" s="138">
        <v>7</v>
      </c>
      <c r="O1373" s="138">
        <v>4</v>
      </c>
      <c r="R1373" s="138">
        <v>3</v>
      </c>
      <c r="S1373" s="138">
        <v>34</v>
      </c>
      <c r="T1373" s="138">
        <v>34</v>
      </c>
      <c r="U1373" s="138">
        <f t="shared" si="2560"/>
        <v>75</v>
      </c>
      <c r="W1373" s="139">
        <f t="shared" ref="W1373:AA1373" si="2754">J1373/$I1373</f>
        <v>0.5626598465473146</v>
      </c>
      <c r="X1373" s="139">
        <f t="shared" si="2754"/>
        <v>0.33248081841432225</v>
      </c>
      <c r="Y1373" s="139">
        <f t="shared" si="2754"/>
        <v>0</v>
      </c>
      <c r="Z1373" s="139">
        <f t="shared" si="2754"/>
        <v>0</v>
      </c>
      <c r="AA1373" s="139">
        <f t="shared" si="2754"/>
        <v>8.9514066496163679E-3</v>
      </c>
      <c r="AB1373" s="139"/>
      <c r="AC1373" s="139">
        <f t="shared" si="2562"/>
        <v>9.5907928388746802E-2</v>
      </c>
      <c r="AD1373" s="139">
        <f t="shared" ref="AD1373:AI1373" si="2755">O1373/$I1373</f>
        <v>5.1150895140664966E-3</v>
      </c>
      <c r="AE1373" s="139">
        <f t="shared" si="2755"/>
        <v>0</v>
      </c>
      <c r="AF1373" s="139">
        <f t="shared" si="2755"/>
        <v>0</v>
      </c>
      <c r="AG1373" s="139">
        <f t="shared" si="2755"/>
        <v>3.8363171355498722E-3</v>
      </c>
      <c r="AH1373" s="139">
        <f t="shared" si="2755"/>
        <v>4.3478260869565216E-2</v>
      </c>
      <c r="AI1373" s="139">
        <f t="shared" si="2755"/>
        <v>4.3478260869565216E-2</v>
      </c>
    </row>
    <row r="1374" spans="2:35">
      <c r="B1374" s="138" t="s">
        <v>8077</v>
      </c>
      <c r="C1374" s="138" t="s">
        <v>4367</v>
      </c>
      <c r="D1374" s="138" t="s">
        <v>8</v>
      </c>
      <c r="E1374" s="138" t="s">
        <v>587</v>
      </c>
      <c r="F1374" s="138" t="s">
        <v>587</v>
      </c>
      <c r="H1374" s="138">
        <v>184</v>
      </c>
      <c r="I1374" s="138">
        <v>780</v>
      </c>
      <c r="J1374" s="138">
        <v>450</v>
      </c>
      <c r="K1374" s="138">
        <v>277</v>
      </c>
      <c r="N1374" s="138">
        <v>2</v>
      </c>
      <c r="O1374" s="138">
        <v>4</v>
      </c>
      <c r="R1374" s="138">
        <v>4</v>
      </c>
      <c r="S1374" s="138">
        <v>36</v>
      </c>
      <c r="T1374" s="138">
        <v>7</v>
      </c>
      <c r="U1374" s="138">
        <f t="shared" si="2560"/>
        <v>51</v>
      </c>
      <c r="W1374" s="139">
        <f t="shared" ref="W1374:AA1374" si="2756">J1374/$I1374</f>
        <v>0.57692307692307687</v>
      </c>
      <c r="X1374" s="139">
        <f t="shared" si="2756"/>
        <v>0.35512820512820514</v>
      </c>
      <c r="Y1374" s="139">
        <f t="shared" si="2756"/>
        <v>0</v>
      </c>
      <c r="Z1374" s="139">
        <f t="shared" si="2756"/>
        <v>0</v>
      </c>
      <c r="AA1374" s="139">
        <f t="shared" si="2756"/>
        <v>2.5641025641025641E-3</v>
      </c>
      <c r="AB1374" s="139"/>
      <c r="AC1374" s="139">
        <f t="shared" si="2562"/>
        <v>6.5384615384615388E-2</v>
      </c>
      <c r="AD1374" s="139">
        <f t="shared" ref="AD1374:AI1374" si="2757">O1374/$I1374</f>
        <v>5.1282051282051282E-3</v>
      </c>
      <c r="AE1374" s="139">
        <f t="shared" si="2757"/>
        <v>0</v>
      </c>
      <c r="AF1374" s="139">
        <f t="shared" si="2757"/>
        <v>0</v>
      </c>
      <c r="AG1374" s="139">
        <f t="shared" si="2757"/>
        <v>5.1282051282051282E-3</v>
      </c>
      <c r="AH1374" s="139">
        <f t="shared" si="2757"/>
        <v>4.6153846153846156E-2</v>
      </c>
      <c r="AI1374" s="139">
        <f t="shared" si="2757"/>
        <v>8.9743589743589737E-3</v>
      </c>
    </row>
    <row r="1375" spans="2:35">
      <c r="B1375" s="138" t="s">
        <v>8077</v>
      </c>
      <c r="C1375" s="138" t="s">
        <v>4367</v>
      </c>
      <c r="D1375" s="138" t="s">
        <v>8</v>
      </c>
      <c r="E1375" s="138" t="s">
        <v>587</v>
      </c>
      <c r="F1375" s="138" t="s">
        <v>587</v>
      </c>
      <c r="H1375" s="138">
        <v>185</v>
      </c>
      <c r="I1375" s="138">
        <v>717</v>
      </c>
      <c r="J1375" s="138">
        <v>345</v>
      </c>
      <c r="K1375" s="138">
        <v>311</v>
      </c>
      <c r="N1375" s="138">
        <v>10</v>
      </c>
      <c r="O1375" s="138">
        <v>5</v>
      </c>
      <c r="R1375" s="138">
        <v>1</v>
      </c>
      <c r="S1375" s="138">
        <v>27</v>
      </c>
      <c r="T1375" s="138">
        <v>18</v>
      </c>
      <c r="U1375" s="138">
        <f t="shared" si="2560"/>
        <v>51</v>
      </c>
      <c r="W1375" s="139">
        <f t="shared" ref="W1375:AA1375" si="2758">J1375/$I1375</f>
        <v>0.48117154811715479</v>
      </c>
      <c r="X1375" s="139">
        <f t="shared" si="2758"/>
        <v>0.43375174337517436</v>
      </c>
      <c r="Y1375" s="139">
        <f t="shared" si="2758"/>
        <v>0</v>
      </c>
      <c r="Z1375" s="139">
        <f t="shared" si="2758"/>
        <v>0</v>
      </c>
      <c r="AA1375" s="139">
        <f t="shared" si="2758"/>
        <v>1.3947001394700139E-2</v>
      </c>
      <c r="AB1375" s="139"/>
      <c r="AC1375" s="139">
        <f t="shared" si="2562"/>
        <v>7.1129707112970716E-2</v>
      </c>
      <c r="AD1375" s="139">
        <f t="shared" ref="AD1375:AI1375" si="2759">O1375/$I1375</f>
        <v>6.9735006973500697E-3</v>
      </c>
      <c r="AE1375" s="139">
        <f t="shared" si="2759"/>
        <v>0</v>
      </c>
      <c r="AF1375" s="139">
        <f t="shared" si="2759"/>
        <v>0</v>
      </c>
      <c r="AG1375" s="139">
        <f t="shared" si="2759"/>
        <v>1.3947001394700139E-3</v>
      </c>
      <c r="AH1375" s="139">
        <f t="shared" si="2759"/>
        <v>3.7656903765690378E-2</v>
      </c>
      <c r="AI1375" s="139">
        <f t="shared" si="2759"/>
        <v>2.5104602510460251E-2</v>
      </c>
    </row>
    <row r="1376" spans="2:35">
      <c r="B1376" s="138" t="s">
        <v>8077</v>
      </c>
      <c r="C1376" s="138" t="s">
        <v>4367</v>
      </c>
      <c r="D1376" s="138" t="s">
        <v>8</v>
      </c>
      <c r="E1376" s="138" t="s">
        <v>587</v>
      </c>
      <c r="F1376" s="138" t="s">
        <v>587</v>
      </c>
      <c r="H1376" s="138">
        <v>186</v>
      </c>
      <c r="I1376" s="138">
        <v>844</v>
      </c>
      <c r="J1376" s="138">
        <v>445</v>
      </c>
      <c r="K1376" s="138">
        <v>328</v>
      </c>
      <c r="N1376" s="138">
        <v>8</v>
      </c>
      <c r="O1376" s="138">
        <v>6</v>
      </c>
      <c r="R1376" s="138">
        <v>4</v>
      </c>
      <c r="S1376" s="138">
        <v>21</v>
      </c>
      <c r="T1376" s="138">
        <v>32</v>
      </c>
      <c r="U1376" s="138">
        <f t="shared" si="2560"/>
        <v>63</v>
      </c>
      <c r="W1376" s="139">
        <f t="shared" ref="W1376:AA1376" si="2760">J1376/$I1376</f>
        <v>0.52725118483412325</v>
      </c>
      <c r="X1376" s="139">
        <f t="shared" si="2760"/>
        <v>0.38862559241706163</v>
      </c>
      <c r="Y1376" s="139">
        <f t="shared" si="2760"/>
        <v>0</v>
      </c>
      <c r="Z1376" s="139">
        <f t="shared" si="2760"/>
        <v>0</v>
      </c>
      <c r="AA1376" s="139">
        <f t="shared" si="2760"/>
        <v>9.4786729857819912E-3</v>
      </c>
      <c r="AB1376" s="139"/>
      <c r="AC1376" s="139">
        <f t="shared" si="2562"/>
        <v>7.4644549763033169E-2</v>
      </c>
      <c r="AD1376" s="139">
        <f t="shared" ref="AD1376:AI1376" si="2761">O1376/$I1376</f>
        <v>7.1090047393364926E-3</v>
      </c>
      <c r="AE1376" s="139">
        <f t="shared" si="2761"/>
        <v>0</v>
      </c>
      <c r="AF1376" s="139">
        <f t="shared" si="2761"/>
        <v>0</v>
      </c>
      <c r="AG1376" s="139">
        <f t="shared" si="2761"/>
        <v>4.7393364928909956E-3</v>
      </c>
      <c r="AH1376" s="139">
        <f t="shared" si="2761"/>
        <v>2.4881516587677725E-2</v>
      </c>
      <c r="AI1376" s="139">
        <f t="shared" si="2761"/>
        <v>3.7914691943127965E-2</v>
      </c>
    </row>
    <row r="1377" spans="2:35">
      <c r="B1377" s="138" t="s">
        <v>8077</v>
      </c>
      <c r="C1377" s="138" t="s">
        <v>4367</v>
      </c>
      <c r="D1377" s="138" t="s">
        <v>8</v>
      </c>
      <c r="E1377" s="138" t="s">
        <v>587</v>
      </c>
      <c r="F1377" s="138" t="s">
        <v>587</v>
      </c>
      <c r="H1377" s="138">
        <v>187</v>
      </c>
      <c r="I1377" s="138">
        <v>596</v>
      </c>
      <c r="J1377" s="138">
        <v>226</v>
      </c>
      <c r="K1377" s="138">
        <v>326</v>
      </c>
      <c r="N1377" s="138">
        <v>7</v>
      </c>
      <c r="O1377" s="138">
        <v>3</v>
      </c>
      <c r="R1377" s="138">
        <v>2</v>
      </c>
      <c r="S1377" s="138">
        <v>17</v>
      </c>
      <c r="T1377" s="138">
        <v>15</v>
      </c>
      <c r="U1377" s="138">
        <f t="shared" si="2560"/>
        <v>37</v>
      </c>
      <c r="W1377" s="139">
        <f t="shared" ref="W1377:AA1377" si="2762">J1377/$I1377</f>
        <v>0.37919463087248323</v>
      </c>
      <c r="X1377" s="139">
        <f t="shared" si="2762"/>
        <v>0.54697986577181212</v>
      </c>
      <c r="Y1377" s="139">
        <f t="shared" si="2762"/>
        <v>0</v>
      </c>
      <c r="Z1377" s="139">
        <f t="shared" si="2762"/>
        <v>0</v>
      </c>
      <c r="AA1377" s="139">
        <f t="shared" si="2762"/>
        <v>1.1744966442953021E-2</v>
      </c>
      <c r="AB1377" s="139"/>
      <c r="AC1377" s="139">
        <f t="shared" si="2562"/>
        <v>6.2080536912751678E-2</v>
      </c>
      <c r="AD1377" s="139">
        <f t="shared" ref="AD1377:AI1377" si="2763">O1377/$I1377</f>
        <v>5.0335570469798654E-3</v>
      </c>
      <c r="AE1377" s="139">
        <f t="shared" si="2763"/>
        <v>0</v>
      </c>
      <c r="AF1377" s="139">
        <f t="shared" si="2763"/>
        <v>0</v>
      </c>
      <c r="AG1377" s="139">
        <f t="shared" si="2763"/>
        <v>3.3557046979865771E-3</v>
      </c>
      <c r="AH1377" s="139">
        <f t="shared" si="2763"/>
        <v>2.8523489932885907E-2</v>
      </c>
      <c r="AI1377" s="139">
        <f t="shared" si="2763"/>
        <v>2.5167785234899327E-2</v>
      </c>
    </row>
    <row r="1378" spans="2:35">
      <c r="B1378" s="138" t="s">
        <v>8077</v>
      </c>
      <c r="C1378" s="138" t="s">
        <v>4367</v>
      </c>
      <c r="D1378" s="138" t="s">
        <v>8</v>
      </c>
      <c r="E1378" s="138" t="s">
        <v>587</v>
      </c>
      <c r="F1378" s="138" t="s">
        <v>596</v>
      </c>
      <c r="H1378" s="138">
        <v>188</v>
      </c>
      <c r="I1378" s="138">
        <v>859</v>
      </c>
      <c r="J1378" s="138">
        <v>484</v>
      </c>
      <c r="K1378" s="138">
        <v>321</v>
      </c>
      <c r="N1378" s="138">
        <v>6</v>
      </c>
      <c r="O1378" s="138">
        <v>3</v>
      </c>
      <c r="R1378" s="138">
        <v>3</v>
      </c>
      <c r="S1378" s="138">
        <v>31</v>
      </c>
      <c r="T1378" s="138">
        <v>11</v>
      </c>
      <c r="U1378" s="138">
        <f t="shared" si="2560"/>
        <v>48</v>
      </c>
      <c r="W1378" s="139">
        <f t="shared" ref="W1378:AA1378" si="2764">J1378/$I1378</f>
        <v>0.56344586728754364</v>
      </c>
      <c r="X1378" s="139">
        <f t="shared" si="2764"/>
        <v>0.37369033760186265</v>
      </c>
      <c r="Y1378" s="139">
        <f t="shared" si="2764"/>
        <v>0</v>
      </c>
      <c r="Z1378" s="139">
        <f t="shared" si="2764"/>
        <v>0</v>
      </c>
      <c r="AA1378" s="139">
        <f t="shared" si="2764"/>
        <v>6.9848661233993014E-3</v>
      </c>
      <c r="AB1378" s="139"/>
      <c r="AC1378" s="139">
        <f t="shared" si="2562"/>
        <v>5.5878928987194411E-2</v>
      </c>
      <c r="AD1378" s="139">
        <f t="shared" ref="AD1378:AI1378" si="2765">O1378/$I1378</f>
        <v>3.4924330616996507E-3</v>
      </c>
      <c r="AE1378" s="139">
        <f t="shared" si="2765"/>
        <v>0</v>
      </c>
      <c r="AF1378" s="139">
        <f t="shared" si="2765"/>
        <v>0</v>
      </c>
      <c r="AG1378" s="139">
        <f t="shared" si="2765"/>
        <v>3.4924330616996507E-3</v>
      </c>
      <c r="AH1378" s="139">
        <f t="shared" si="2765"/>
        <v>3.6088474970896393E-2</v>
      </c>
      <c r="AI1378" s="139">
        <f t="shared" si="2765"/>
        <v>1.2805587892898719E-2</v>
      </c>
    </row>
    <row r="1379" spans="2:35">
      <c r="B1379" s="138" t="s">
        <v>8077</v>
      </c>
      <c r="C1379" s="138" t="s">
        <v>4367</v>
      </c>
      <c r="D1379" s="138" t="s">
        <v>8</v>
      </c>
      <c r="E1379" s="138" t="s">
        <v>587</v>
      </c>
      <c r="F1379" s="138" t="s">
        <v>631</v>
      </c>
      <c r="H1379" s="138">
        <v>189</v>
      </c>
      <c r="I1379" s="138">
        <v>673</v>
      </c>
      <c r="J1379" s="138">
        <v>297</v>
      </c>
      <c r="K1379" s="138">
        <v>332</v>
      </c>
      <c r="N1379" s="138">
        <v>9</v>
      </c>
      <c r="O1379" s="138">
        <v>6</v>
      </c>
      <c r="R1379" s="138">
        <v>4</v>
      </c>
      <c r="S1379" s="138">
        <v>10</v>
      </c>
      <c r="T1379" s="138">
        <v>15</v>
      </c>
      <c r="U1379" s="138">
        <f t="shared" si="2560"/>
        <v>35</v>
      </c>
      <c r="W1379" s="139">
        <f t="shared" ref="W1379:AA1379" si="2766">J1379/$I1379</f>
        <v>0.44130757800891529</v>
      </c>
      <c r="X1379" s="139">
        <f t="shared" si="2766"/>
        <v>0.49331352154531949</v>
      </c>
      <c r="Y1379" s="139">
        <f t="shared" si="2766"/>
        <v>0</v>
      </c>
      <c r="Z1379" s="139">
        <f t="shared" si="2766"/>
        <v>0</v>
      </c>
      <c r="AA1379" s="139">
        <f t="shared" si="2766"/>
        <v>1.3372956909361069E-2</v>
      </c>
      <c r="AB1379" s="139"/>
      <c r="AC1379" s="139">
        <f t="shared" si="2562"/>
        <v>5.2005943536404163E-2</v>
      </c>
      <c r="AD1379" s="139">
        <f t="shared" ref="AD1379:AI1379" si="2767">O1379/$I1379</f>
        <v>8.9153046062407128E-3</v>
      </c>
      <c r="AE1379" s="139">
        <f t="shared" si="2767"/>
        <v>0</v>
      </c>
      <c r="AF1379" s="139">
        <f t="shared" si="2767"/>
        <v>0</v>
      </c>
      <c r="AG1379" s="139">
        <f t="shared" si="2767"/>
        <v>5.9435364041604752E-3</v>
      </c>
      <c r="AH1379" s="139">
        <f t="shared" si="2767"/>
        <v>1.4858841010401188E-2</v>
      </c>
      <c r="AI1379" s="139">
        <f t="shared" si="2767"/>
        <v>2.2288261515601784E-2</v>
      </c>
    </row>
    <row r="1380" spans="2:35">
      <c r="B1380" s="138" t="s">
        <v>8077</v>
      </c>
      <c r="C1380" s="138" t="s">
        <v>4367</v>
      </c>
      <c r="D1380" s="138" t="s">
        <v>8</v>
      </c>
      <c r="E1380" s="138" t="s">
        <v>587</v>
      </c>
      <c r="F1380" s="138" t="s">
        <v>631</v>
      </c>
      <c r="H1380" s="138">
        <v>190</v>
      </c>
      <c r="I1380" s="138">
        <v>558</v>
      </c>
      <c r="J1380" s="138">
        <v>369</v>
      </c>
      <c r="K1380" s="138">
        <v>166</v>
      </c>
      <c r="N1380" s="138">
        <v>1</v>
      </c>
      <c r="O1380" s="138">
        <v>2</v>
      </c>
      <c r="R1380" s="138">
        <v>0</v>
      </c>
      <c r="S1380" s="138">
        <v>11</v>
      </c>
      <c r="T1380" s="138">
        <v>9</v>
      </c>
      <c r="U1380" s="138">
        <f t="shared" si="2560"/>
        <v>22</v>
      </c>
      <c r="W1380" s="139">
        <f t="shared" ref="W1380:AA1380" si="2768">J1380/$I1380</f>
        <v>0.66129032258064513</v>
      </c>
      <c r="X1380" s="139">
        <f t="shared" si="2768"/>
        <v>0.29749103942652327</v>
      </c>
      <c r="Y1380" s="139">
        <f t="shared" si="2768"/>
        <v>0</v>
      </c>
      <c r="Z1380" s="139">
        <f t="shared" si="2768"/>
        <v>0</v>
      </c>
      <c r="AA1380" s="139">
        <f t="shared" si="2768"/>
        <v>1.7921146953405018E-3</v>
      </c>
      <c r="AB1380" s="139"/>
      <c r="AC1380" s="139">
        <f t="shared" si="2562"/>
        <v>3.9426523297491037E-2</v>
      </c>
      <c r="AD1380" s="139">
        <f t="shared" ref="AD1380:AI1380" si="2769">O1380/$I1380</f>
        <v>3.5842293906810036E-3</v>
      </c>
      <c r="AE1380" s="139">
        <f t="shared" si="2769"/>
        <v>0</v>
      </c>
      <c r="AF1380" s="139">
        <f t="shared" si="2769"/>
        <v>0</v>
      </c>
      <c r="AG1380" s="139">
        <f t="shared" si="2769"/>
        <v>0</v>
      </c>
      <c r="AH1380" s="139">
        <f t="shared" si="2769"/>
        <v>1.9713261648745518E-2</v>
      </c>
      <c r="AI1380" s="139">
        <f t="shared" si="2769"/>
        <v>1.6129032258064516E-2</v>
      </c>
    </row>
    <row r="1381" spans="2:35">
      <c r="B1381" s="138" t="s">
        <v>8077</v>
      </c>
      <c r="C1381" s="138" t="s">
        <v>4367</v>
      </c>
      <c r="D1381" s="138" t="s">
        <v>8</v>
      </c>
      <c r="E1381" s="138" t="s">
        <v>587</v>
      </c>
      <c r="F1381" s="138" t="s">
        <v>631</v>
      </c>
      <c r="H1381" s="138">
        <v>191</v>
      </c>
      <c r="I1381" s="138">
        <v>568</v>
      </c>
      <c r="J1381" s="138">
        <v>358</v>
      </c>
      <c r="K1381" s="138">
        <v>168</v>
      </c>
      <c r="N1381" s="138">
        <v>5</v>
      </c>
      <c r="O1381" s="138">
        <v>2</v>
      </c>
      <c r="R1381" s="138">
        <v>0</v>
      </c>
      <c r="S1381" s="138">
        <v>26</v>
      </c>
      <c r="T1381" s="138">
        <v>9</v>
      </c>
      <c r="U1381" s="138">
        <f t="shared" si="2560"/>
        <v>37</v>
      </c>
      <c r="W1381" s="139">
        <f t="shared" ref="W1381:AA1381" si="2770">J1381/$I1381</f>
        <v>0.63028169014084512</v>
      </c>
      <c r="X1381" s="139">
        <f t="shared" si="2770"/>
        <v>0.29577464788732394</v>
      </c>
      <c r="Y1381" s="139">
        <f t="shared" si="2770"/>
        <v>0</v>
      </c>
      <c r="Z1381" s="139">
        <f t="shared" si="2770"/>
        <v>0</v>
      </c>
      <c r="AA1381" s="139">
        <f t="shared" si="2770"/>
        <v>8.8028169014084511E-3</v>
      </c>
      <c r="AB1381" s="139"/>
      <c r="AC1381" s="139">
        <f t="shared" si="2562"/>
        <v>6.5140845070422532E-2</v>
      </c>
      <c r="AD1381" s="139">
        <f t="shared" ref="AD1381:AI1381" si="2771">O1381/$I1381</f>
        <v>3.5211267605633804E-3</v>
      </c>
      <c r="AE1381" s="139">
        <f t="shared" si="2771"/>
        <v>0</v>
      </c>
      <c r="AF1381" s="139">
        <f t="shared" si="2771"/>
        <v>0</v>
      </c>
      <c r="AG1381" s="139">
        <f t="shared" si="2771"/>
        <v>0</v>
      </c>
      <c r="AH1381" s="139">
        <f t="shared" si="2771"/>
        <v>4.5774647887323945E-2</v>
      </c>
      <c r="AI1381" s="139">
        <f t="shared" si="2771"/>
        <v>1.5845070422535211E-2</v>
      </c>
    </row>
    <row r="1382" spans="2:35">
      <c r="B1382" s="138" t="s">
        <v>8077</v>
      </c>
      <c r="C1382" s="138" t="s">
        <v>4367</v>
      </c>
      <c r="D1382" s="138" t="s">
        <v>8</v>
      </c>
      <c r="E1382" s="138" t="s">
        <v>587</v>
      </c>
      <c r="F1382" s="138" t="s">
        <v>631</v>
      </c>
      <c r="H1382" s="138">
        <v>192</v>
      </c>
      <c r="I1382" s="138">
        <v>517</v>
      </c>
      <c r="J1382" s="138">
        <v>346</v>
      </c>
      <c r="K1382" s="138">
        <v>152</v>
      </c>
      <c r="N1382" s="138">
        <v>7</v>
      </c>
      <c r="O1382" s="138">
        <v>5</v>
      </c>
      <c r="R1382" s="138">
        <v>0</v>
      </c>
      <c r="S1382" s="138">
        <v>2</v>
      </c>
      <c r="T1382" s="138">
        <v>5</v>
      </c>
      <c r="U1382" s="138">
        <f t="shared" si="2560"/>
        <v>12</v>
      </c>
      <c r="W1382" s="139">
        <f t="shared" ref="W1382:AA1382" si="2772">J1382/$I1382</f>
        <v>0.66924564796905217</v>
      </c>
      <c r="X1382" s="139">
        <f t="shared" si="2772"/>
        <v>0.29400386847195359</v>
      </c>
      <c r="Y1382" s="139">
        <f t="shared" si="2772"/>
        <v>0</v>
      </c>
      <c r="Z1382" s="139">
        <f t="shared" si="2772"/>
        <v>0</v>
      </c>
      <c r="AA1382" s="139">
        <f t="shared" si="2772"/>
        <v>1.3539651837524178E-2</v>
      </c>
      <c r="AB1382" s="139"/>
      <c r="AC1382" s="139">
        <f t="shared" si="2562"/>
        <v>2.321083172147002E-2</v>
      </c>
      <c r="AD1382" s="139">
        <f t="shared" ref="AD1382:AI1382" si="2773">O1382/$I1382</f>
        <v>9.6711798839458421E-3</v>
      </c>
      <c r="AE1382" s="139">
        <f t="shared" si="2773"/>
        <v>0</v>
      </c>
      <c r="AF1382" s="139">
        <f t="shared" si="2773"/>
        <v>0</v>
      </c>
      <c r="AG1382" s="139">
        <f t="shared" si="2773"/>
        <v>0</v>
      </c>
      <c r="AH1382" s="139">
        <f t="shared" si="2773"/>
        <v>3.8684719535783366E-3</v>
      </c>
      <c r="AI1382" s="139">
        <f t="shared" si="2773"/>
        <v>9.6711798839458421E-3</v>
      </c>
    </row>
    <row r="1383" spans="2:35">
      <c r="B1383" s="138" t="s">
        <v>8077</v>
      </c>
      <c r="C1383" s="138" t="s">
        <v>4367</v>
      </c>
      <c r="D1383" s="138" t="s">
        <v>8</v>
      </c>
      <c r="E1383" s="138" t="s">
        <v>587</v>
      </c>
      <c r="F1383" s="138" t="s">
        <v>1380</v>
      </c>
      <c r="H1383" s="138">
        <v>193</v>
      </c>
      <c r="I1383" s="138">
        <v>1140</v>
      </c>
      <c r="J1383" s="138">
        <v>715</v>
      </c>
      <c r="K1383" s="138">
        <v>398</v>
      </c>
      <c r="N1383" s="138">
        <v>6</v>
      </c>
      <c r="O1383" s="138">
        <v>5</v>
      </c>
      <c r="R1383" s="138">
        <v>2</v>
      </c>
      <c r="S1383" s="138">
        <v>9</v>
      </c>
      <c r="T1383" s="138">
        <v>5</v>
      </c>
      <c r="U1383" s="138">
        <f t="shared" si="2560"/>
        <v>21</v>
      </c>
      <c r="W1383" s="139">
        <f t="shared" ref="W1383:AA1383" si="2774">J1383/$I1383</f>
        <v>0.6271929824561403</v>
      </c>
      <c r="X1383" s="139">
        <f t="shared" si="2774"/>
        <v>0.34912280701754383</v>
      </c>
      <c r="Y1383" s="139">
        <f t="shared" si="2774"/>
        <v>0</v>
      </c>
      <c r="Z1383" s="139">
        <f t="shared" si="2774"/>
        <v>0</v>
      </c>
      <c r="AA1383" s="139">
        <f t="shared" si="2774"/>
        <v>5.263157894736842E-3</v>
      </c>
      <c r="AB1383" s="139"/>
      <c r="AC1383" s="139">
        <f t="shared" si="2562"/>
        <v>1.8421052631578946E-2</v>
      </c>
      <c r="AD1383" s="139">
        <f t="shared" ref="AD1383:AI1383" si="2775">O1383/$I1383</f>
        <v>4.3859649122807015E-3</v>
      </c>
      <c r="AE1383" s="139">
        <f t="shared" si="2775"/>
        <v>0</v>
      </c>
      <c r="AF1383" s="139">
        <f t="shared" si="2775"/>
        <v>0</v>
      </c>
      <c r="AG1383" s="139">
        <f t="shared" si="2775"/>
        <v>1.7543859649122807E-3</v>
      </c>
      <c r="AH1383" s="139">
        <f t="shared" si="2775"/>
        <v>7.8947368421052634E-3</v>
      </c>
      <c r="AI1383" s="139">
        <f t="shared" si="2775"/>
        <v>4.3859649122807015E-3</v>
      </c>
    </row>
    <row r="1384" spans="2:35">
      <c r="B1384" s="138" t="s">
        <v>8077</v>
      </c>
      <c r="C1384" s="138" t="s">
        <v>4367</v>
      </c>
      <c r="D1384" s="138" t="s">
        <v>8</v>
      </c>
      <c r="E1384" s="138" t="s">
        <v>8</v>
      </c>
      <c r="F1384" s="138" t="s">
        <v>8</v>
      </c>
      <c r="H1384" s="138">
        <v>194</v>
      </c>
      <c r="I1384" s="138">
        <v>1031</v>
      </c>
      <c r="J1384" s="138">
        <v>602</v>
      </c>
      <c r="K1384" s="138">
        <v>368</v>
      </c>
      <c r="N1384" s="138">
        <v>4</v>
      </c>
      <c r="O1384" s="138">
        <v>2</v>
      </c>
      <c r="R1384" s="138">
        <v>4</v>
      </c>
      <c r="S1384" s="138">
        <v>28</v>
      </c>
      <c r="T1384" s="138">
        <v>23</v>
      </c>
      <c r="U1384" s="138">
        <f t="shared" si="2560"/>
        <v>57</v>
      </c>
      <c r="W1384" s="139">
        <f t="shared" ref="W1384:AA1384" si="2776">J1384/$I1384</f>
        <v>0.58389912706110569</v>
      </c>
      <c r="X1384" s="139">
        <f t="shared" si="2776"/>
        <v>0.35693501454898158</v>
      </c>
      <c r="Y1384" s="139">
        <f t="shared" si="2776"/>
        <v>0</v>
      </c>
      <c r="Z1384" s="139">
        <f t="shared" si="2776"/>
        <v>0</v>
      </c>
      <c r="AA1384" s="139">
        <f t="shared" si="2776"/>
        <v>3.8797284190106693E-3</v>
      </c>
      <c r="AB1384" s="139"/>
      <c r="AC1384" s="139">
        <f t="shared" si="2562"/>
        <v>5.5286129970902036E-2</v>
      </c>
      <c r="AD1384" s="139">
        <f t="shared" ref="AD1384:AI1384" si="2777">O1384/$I1384</f>
        <v>1.9398642095053346E-3</v>
      </c>
      <c r="AE1384" s="139">
        <f t="shared" si="2777"/>
        <v>0</v>
      </c>
      <c r="AF1384" s="139">
        <f t="shared" si="2777"/>
        <v>0</v>
      </c>
      <c r="AG1384" s="139">
        <f t="shared" si="2777"/>
        <v>3.8797284190106693E-3</v>
      </c>
      <c r="AH1384" s="139">
        <f t="shared" si="2777"/>
        <v>2.7158098933074686E-2</v>
      </c>
      <c r="AI1384" s="139">
        <f t="shared" si="2777"/>
        <v>2.2308438409311349E-2</v>
      </c>
    </row>
    <row r="1385" spans="2:35">
      <c r="B1385" s="138" t="s">
        <v>8077</v>
      </c>
      <c r="C1385" s="138" t="s">
        <v>4367</v>
      </c>
      <c r="D1385" s="138" t="s">
        <v>8</v>
      </c>
      <c r="E1385" s="138" t="s">
        <v>587</v>
      </c>
      <c r="F1385" s="138" t="s">
        <v>1380</v>
      </c>
      <c r="H1385" s="138">
        <v>195</v>
      </c>
      <c r="I1385" s="138">
        <v>1022</v>
      </c>
      <c r="J1385" s="138">
        <v>653</v>
      </c>
      <c r="K1385" s="138">
        <v>312</v>
      </c>
      <c r="N1385" s="138">
        <v>7</v>
      </c>
      <c r="O1385" s="138">
        <v>5</v>
      </c>
      <c r="R1385" s="138">
        <v>2</v>
      </c>
      <c r="S1385" s="138">
        <v>29</v>
      </c>
      <c r="T1385" s="138">
        <v>14</v>
      </c>
      <c r="U1385" s="138">
        <f t="shared" si="2560"/>
        <v>50</v>
      </c>
      <c r="W1385" s="139">
        <f t="shared" ref="W1385:AA1385" si="2778">J1385/$I1385</f>
        <v>0.63894324853228968</v>
      </c>
      <c r="X1385" s="139">
        <f t="shared" si="2778"/>
        <v>0.30528375733855184</v>
      </c>
      <c r="Y1385" s="139">
        <f t="shared" si="2778"/>
        <v>0</v>
      </c>
      <c r="Z1385" s="139">
        <f t="shared" si="2778"/>
        <v>0</v>
      </c>
      <c r="AA1385" s="139">
        <f t="shared" si="2778"/>
        <v>6.8493150684931503E-3</v>
      </c>
      <c r="AB1385" s="139"/>
      <c r="AC1385" s="139">
        <f t="shared" si="2562"/>
        <v>4.8923679060665359E-2</v>
      </c>
      <c r="AD1385" s="139">
        <f t="shared" ref="AD1385:AI1385" si="2779">O1385/$I1385</f>
        <v>4.8923679060665359E-3</v>
      </c>
      <c r="AE1385" s="139">
        <f t="shared" si="2779"/>
        <v>0</v>
      </c>
      <c r="AF1385" s="139">
        <f t="shared" si="2779"/>
        <v>0</v>
      </c>
      <c r="AG1385" s="139">
        <f t="shared" si="2779"/>
        <v>1.9569471624266144E-3</v>
      </c>
      <c r="AH1385" s="139">
        <f t="shared" si="2779"/>
        <v>2.8375733855185908E-2</v>
      </c>
      <c r="AI1385" s="139">
        <f t="shared" si="2779"/>
        <v>1.3698630136986301E-2</v>
      </c>
    </row>
    <row r="1386" spans="2:35">
      <c r="B1386" s="138" t="s">
        <v>8077</v>
      </c>
      <c r="C1386" s="138" t="s">
        <v>4367</v>
      </c>
      <c r="D1386" s="138" t="s">
        <v>8</v>
      </c>
      <c r="E1386" s="138" t="s">
        <v>587</v>
      </c>
      <c r="F1386" s="138" t="s">
        <v>618</v>
      </c>
      <c r="H1386" s="138">
        <v>196</v>
      </c>
      <c r="I1386" s="138">
        <v>881</v>
      </c>
      <c r="J1386" s="138">
        <v>498</v>
      </c>
      <c r="K1386" s="138">
        <v>305</v>
      </c>
      <c r="N1386" s="138">
        <v>5</v>
      </c>
      <c r="O1386" s="138">
        <v>4</v>
      </c>
      <c r="R1386" s="138">
        <v>2</v>
      </c>
      <c r="S1386" s="138">
        <v>35</v>
      </c>
      <c r="T1386" s="138">
        <v>32</v>
      </c>
      <c r="U1386" s="138">
        <f t="shared" si="2560"/>
        <v>73</v>
      </c>
      <c r="W1386" s="139">
        <f t="shared" ref="W1386:AA1386" si="2780">J1386/$I1386</f>
        <v>0.56526674233825203</v>
      </c>
      <c r="X1386" s="139">
        <f t="shared" si="2780"/>
        <v>0.34619750283768447</v>
      </c>
      <c r="Y1386" s="139">
        <f t="shared" si="2780"/>
        <v>0</v>
      </c>
      <c r="Z1386" s="139">
        <f t="shared" si="2780"/>
        <v>0</v>
      </c>
      <c r="AA1386" s="139">
        <f t="shared" si="2780"/>
        <v>5.6753688989784334E-3</v>
      </c>
      <c r="AB1386" s="139"/>
      <c r="AC1386" s="139">
        <f t="shared" si="2562"/>
        <v>8.2860385925085128E-2</v>
      </c>
      <c r="AD1386" s="139">
        <f t="shared" ref="AD1386:AI1386" si="2781">O1386/$I1386</f>
        <v>4.5402951191827468E-3</v>
      </c>
      <c r="AE1386" s="139">
        <f t="shared" si="2781"/>
        <v>0</v>
      </c>
      <c r="AF1386" s="139">
        <f t="shared" si="2781"/>
        <v>0</v>
      </c>
      <c r="AG1386" s="139">
        <f t="shared" si="2781"/>
        <v>2.2701475595913734E-3</v>
      </c>
      <c r="AH1386" s="139">
        <f t="shared" si="2781"/>
        <v>3.9727582292849034E-2</v>
      </c>
      <c r="AI1386" s="139">
        <f t="shared" si="2781"/>
        <v>3.6322360953461974E-2</v>
      </c>
    </row>
    <row r="1387" spans="2:35">
      <c r="B1387" s="138" t="s">
        <v>8077</v>
      </c>
      <c r="C1387" s="138" t="s">
        <v>4367</v>
      </c>
      <c r="D1387" s="138" t="s">
        <v>8</v>
      </c>
      <c r="E1387" s="138" t="s">
        <v>587</v>
      </c>
      <c r="F1387" s="138" t="s">
        <v>618</v>
      </c>
      <c r="H1387" s="138">
        <v>197</v>
      </c>
      <c r="I1387" s="138">
        <v>769</v>
      </c>
      <c r="J1387" s="138">
        <v>339</v>
      </c>
      <c r="K1387" s="138">
        <v>367</v>
      </c>
      <c r="N1387" s="138">
        <v>7</v>
      </c>
      <c r="O1387" s="138">
        <v>5</v>
      </c>
      <c r="R1387" s="138">
        <v>1</v>
      </c>
      <c r="S1387" s="138">
        <v>21</v>
      </c>
      <c r="T1387" s="138">
        <v>29</v>
      </c>
      <c r="U1387" s="138">
        <f t="shared" si="2560"/>
        <v>56</v>
      </c>
      <c r="W1387" s="139">
        <f t="shared" ref="W1387:AA1387" si="2782">J1387/$I1387</f>
        <v>0.44083224967490248</v>
      </c>
      <c r="X1387" s="139">
        <f t="shared" si="2782"/>
        <v>0.47724317295188556</v>
      </c>
      <c r="Y1387" s="139">
        <f t="shared" si="2782"/>
        <v>0</v>
      </c>
      <c r="Z1387" s="139">
        <f t="shared" si="2782"/>
        <v>0</v>
      </c>
      <c r="AA1387" s="139">
        <f t="shared" si="2782"/>
        <v>9.1027308192457735E-3</v>
      </c>
      <c r="AB1387" s="139"/>
      <c r="AC1387" s="139">
        <f t="shared" si="2562"/>
        <v>7.2821846553966188E-2</v>
      </c>
      <c r="AD1387" s="139">
        <f t="shared" ref="AD1387:AI1387" si="2783">O1387/$I1387</f>
        <v>6.5019505851755524E-3</v>
      </c>
      <c r="AE1387" s="139">
        <f t="shared" si="2783"/>
        <v>0</v>
      </c>
      <c r="AF1387" s="139">
        <f t="shared" si="2783"/>
        <v>0</v>
      </c>
      <c r="AG1387" s="139">
        <f t="shared" si="2783"/>
        <v>1.3003901170351106E-3</v>
      </c>
      <c r="AH1387" s="139">
        <f t="shared" si="2783"/>
        <v>2.7308192457737322E-2</v>
      </c>
      <c r="AI1387" s="139">
        <f t="shared" si="2783"/>
        <v>3.7711313394018203E-2</v>
      </c>
    </row>
    <row r="1388" spans="2:35">
      <c r="B1388" s="138" t="s">
        <v>8077</v>
      </c>
      <c r="C1388" s="138" t="s">
        <v>4367</v>
      </c>
      <c r="D1388" s="138" t="s">
        <v>8</v>
      </c>
      <c r="E1388" s="138" t="s">
        <v>587</v>
      </c>
      <c r="F1388" s="138" t="s">
        <v>626</v>
      </c>
      <c r="H1388" s="138">
        <v>198</v>
      </c>
      <c r="I1388" s="138">
        <v>1161</v>
      </c>
      <c r="J1388" s="138">
        <v>572</v>
      </c>
      <c r="K1388" s="138">
        <v>483</v>
      </c>
      <c r="N1388" s="138">
        <v>4</v>
      </c>
      <c r="O1388" s="138">
        <v>3</v>
      </c>
      <c r="R1388" s="138">
        <v>3</v>
      </c>
      <c r="S1388" s="138">
        <v>51</v>
      </c>
      <c r="T1388" s="138">
        <v>45</v>
      </c>
      <c r="U1388" s="138">
        <f t="shared" si="2560"/>
        <v>102</v>
      </c>
      <c r="W1388" s="139">
        <f t="shared" ref="W1388:AA1388" si="2784">J1388/$I1388</f>
        <v>0.49267872523686479</v>
      </c>
      <c r="X1388" s="139">
        <f t="shared" si="2784"/>
        <v>0.41602067183462532</v>
      </c>
      <c r="Y1388" s="139">
        <f t="shared" si="2784"/>
        <v>0</v>
      </c>
      <c r="Z1388" s="139">
        <f t="shared" si="2784"/>
        <v>0</v>
      </c>
      <c r="AA1388" s="139">
        <f t="shared" si="2784"/>
        <v>3.4453057708871662E-3</v>
      </c>
      <c r="AB1388" s="139"/>
      <c r="AC1388" s="139">
        <f t="shared" si="2562"/>
        <v>8.7855297157622733E-2</v>
      </c>
      <c r="AD1388" s="139">
        <f t="shared" ref="AD1388:AI1388" si="2785">O1388/$I1388</f>
        <v>2.5839793281653748E-3</v>
      </c>
      <c r="AE1388" s="139">
        <f t="shared" si="2785"/>
        <v>0</v>
      </c>
      <c r="AF1388" s="139">
        <f t="shared" si="2785"/>
        <v>0</v>
      </c>
      <c r="AG1388" s="139">
        <f t="shared" si="2785"/>
        <v>2.5839793281653748E-3</v>
      </c>
      <c r="AH1388" s="139">
        <f t="shared" si="2785"/>
        <v>4.3927648578811367E-2</v>
      </c>
      <c r="AI1388" s="139">
        <f t="shared" si="2785"/>
        <v>3.875968992248062E-2</v>
      </c>
    </row>
    <row r="1389" spans="2:35">
      <c r="B1389" s="138" t="s">
        <v>8077</v>
      </c>
      <c r="C1389" s="138" t="s">
        <v>4367</v>
      </c>
      <c r="D1389" s="138" t="s">
        <v>8</v>
      </c>
      <c r="E1389" s="138" t="s">
        <v>587</v>
      </c>
      <c r="F1389" s="138" t="s">
        <v>626</v>
      </c>
      <c r="H1389" s="138">
        <v>199</v>
      </c>
      <c r="I1389" s="138">
        <v>495</v>
      </c>
      <c r="J1389" s="138">
        <v>304</v>
      </c>
      <c r="K1389" s="138">
        <v>176</v>
      </c>
      <c r="N1389" s="138">
        <v>2</v>
      </c>
      <c r="O1389" s="138">
        <v>1</v>
      </c>
      <c r="R1389" s="138">
        <v>1</v>
      </c>
      <c r="S1389" s="138">
        <v>6</v>
      </c>
      <c r="T1389" s="138">
        <v>5</v>
      </c>
      <c r="U1389" s="138">
        <f t="shared" si="2560"/>
        <v>13</v>
      </c>
      <c r="W1389" s="139">
        <f t="shared" ref="W1389:AA1389" si="2786">J1389/$I1389</f>
        <v>0.6141414141414141</v>
      </c>
      <c r="X1389" s="139">
        <f t="shared" si="2786"/>
        <v>0.35555555555555557</v>
      </c>
      <c r="Y1389" s="139">
        <f t="shared" si="2786"/>
        <v>0</v>
      </c>
      <c r="Z1389" s="139">
        <f t="shared" si="2786"/>
        <v>0</v>
      </c>
      <c r="AA1389" s="139">
        <f t="shared" si="2786"/>
        <v>4.0404040404040404E-3</v>
      </c>
      <c r="AB1389" s="139"/>
      <c r="AC1389" s="139">
        <f t="shared" si="2562"/>
        <v>2.6262626262626262E-2</v>
      </c>
      <c r="AD1389" s="139">
        <f t="shared" ref="AD1389:AI1389" si="2787">O1389/$I1389</f>
        <v>2.0202020202020202E-3</v>
      </c>
      <c r="AE1389" s="139">
        <f t="shared" si="2787"/>
        <v>0</v>
      </c>
      <c r="AF1389" s="139">
        <f t="shared" si="2787"/>
        <v>0</v>
      </c>
      <c r="AG1389" s="139">
        <f t="shared" si="2787"/>
        <v>2.0202020202020202E-3</v>
      </c>
      <c r="AH1389" s="139">
        <f t="shared" si="2787"/>
        <v>1.2121212121212121E-2</v>
      </c>
      <c r="AI1389" s="139">
        <f t="shared" si="2787"/>
        <v>1.0101010101010102E-2</v>
      </c>
    </row>
    <row r="1390" spans="2:35">
      <c r="B1390" s="138" t="s">
        <v>8077</v>
      </c>
      <c r="C1390" s="138" t="s">
        <v>4367</v>
      </c>
      <c r="D1390" s="138" t="s">
        <v>8</v>
      </c>
      <c r="E1390" s="138" t="s">
        <v>587</v>
      </c>
      <c r="F1390" s="138" t="s">
        <v>626</v>
      </c>
      <c r="H1390" s="138">
        <v>200</v>
      </c>
      <c r="I1390" s="138">
        <v>864</v>
      </c>
      <c r="J1390" s="138">
        <v>490</v>
      </c>
      <c r="K1390" s="138">
        <v>329</v>
      </c>
      <c r="N1390" s="138">
        <v>9</v>
      </c>
      <c r="O1390" s="138">
        <v>8</v>
      </c>
      <c r="R1390" s="138">
        <v>5</v>
      </c>
      <c r="S1390" s="138">
        <v>10</v>
      </c>
      <c r="T1390" s="138">
        <v>13</v>
      </c>
      <c r="U1390" s="138">
        <f t="shared" si="2560"/>
        <v>36</v>
      </c>
      <c r="W1390" s="139">
        <f t="shared" ref="W1390:AA1390" si="2788">J1390/$I1390</f>
        <v>0.56712962962962965</v>
      </c>
      <c r="X1390" s="139">
        <f t="shared" si="2788"/>
        <v>0.38078703703703703</v>
      </c>
      <c r="Y1390" s="139">
        <f t="shared" si="2788"/>
        <v>0</v>
      </c>
      <c r="Z1390" s="139">
        <f t="shared" si="2788"/>
        <v>0</v>
      </c>
      <c r="AA1390" s="139">
        <f t="shared" si="2788"/>
        <v>1.0416666666666666E-2</v>
      </c>
      <c r="AB1390" s="139"/>
      <c r="AC1390" s="139">
        <f t="shared" si="2562"/>
        <v>4.1666666666666664E-2</v>
      </c>
      <c r="AD1390" s="139">
        <f t="shared" ref="AD1390:AI1390" si="2789">O1390/$I1390</f>
        <v>9.2592592592592587E-3</v>
      </c>
      <c r="AE1390" s="139">
        <f t="shared" si="2789"/>
        <v>0</v>
      </c>
      <c r="AF1390" s="139">
        <f t="shared" si="2789"/>
        <v>0</v>
      </c>
      <c r="AG1390" s="139">
        <f t="shared" si="2789"/>
        <v>5.7870370370370367E-3</v>
      </c>
      <c r="AH1390" s="139">
        <f t="shared" si="2789"/>
        <v>1.1574074074074073E-2</v>
      </c>
      <c r="AI1390" s="139">
        <f t="shared" si="2789"/>
        <v>1.5046296296296295E-2</v>
      </c>
    </row>
    <row r="1391" spans="2:35">
      <c r="B1391" s="138" t="s">
        <v>8077</v>
      </c>
      <c r="C1391" s="138" t="s">
        <v>4367</v>
      </c>
      <c r="D1391" s="138" t="s">
        <v>8</v>
      </c>
      <c r="E1391" s="138" t="s">
        <v>587</v>
      </c>
      <c r="F1391" s="138" t="s">
        <v>602</v>
      </c>
      <c r="H1391" s="138">
        <v>201</v>
      </c>
      <c r="I1391" s="138">
        <v>937</v>
      </c>
      <c r="J1391" s="138">
        <v>362</v>
      </c>
      <c r="K1391" s="138">
        <v>501</v>
      </c>
      <c r="N1391" s="138">
        <v>7</v>
      </c>
      <c r="O1391" s="138">
        <v>3</v>
      </c>
      <c r="R1391" s="138">
        <v>7</v>
      </c>
      <c r="S1391" s="138">
        <v>28</v>
      </c>
      <c r="T1391" s="138">
        <v>29</v>
      </c>
      <c r="U1391" s="138">
        <f t="shared" si="2560"/>
        <v>67</v>
      </c>
      <c r="W1391" s="139">
        <f t="shared" ref="W1391:AA1391" si="2790">J1391/$I1391</f>
        <v>0.3863393810032017</v>
      </c>
      <c r="X1391" s="139">
        <f t="shared" si="2790"/>
        <v>0.5346851654215582</v>
      </c>
      <c r="Y1391" s="139">
        <f t="shared" si="2790"/>
        <v>0</v>
      </c>
      <c r="Z1391" s="139">
        <f t="shared" si="2790"/>
        <v>0</v>
      </c>
      <c r="AA1391" s="139">
        <f t="shared" si="2790"/>
        <v>7.470651013874066E-3</v>
      </c>
      <c r="AB1391" s="139"/>
      <c r="AC1391" s="139">
        <f t="shared" si="2562"/>
        <v>7.1504802561366057E-2</v>
      </c>
      <c r="AD1391" s="139">
        <f t="shared" ref="AD1391:AI1391" si="2791">O1391/$I1391</f>
        <v>3.2017075773745998E-3</v>
      </c>
      <c r="AE1391" s="139">
        <f t="shared" si="2791"/>
        <v>0</v>
      </c>
      <c r="AF1391" s="139">
        <f t="shared" si="2791"/>
        <v>0</v>
      </c>
      <c r="AG1391" s="139">
        <f t="shared" si="2791"/>
        <v>7.470651013874066E-3</v>
      </c>
      <c r="AH1391" s="139">
        <f t="shared" si="2791"/>
        <v>2.9882604055496264E-2</v>
      </c>
      <c r="AI1391" s="139">
        <f t="shared" si="2791"/>
        <v>3.0949839914621132E-2</v>
      </c>
    </row>
    <row r="1392" spans="2:35">
      <c r="B1392" s="138" t="s">
        <v>8077</v>
      </c>
      <c r="C1392" s="138" t="s">
        <v>4367</v>
      </c>
      <c r="D1392" s="138" t="s">
        <v>8</v>
      </c>
      <c r="E1392" s="138" t="s">
        <v>587</v>
      </c>
      <c r="F1392" s="138" t="s">
        <v>602</v>
      </c>
      <c r="H1392" s="138">
        <v>202</v>
      </c>
      <c r="I1392" s="138">
        <v>539</v>
      </c>
      <c r="J1392" s="138">
        <v>304</v>
      </c>
      <c r="K1392" s="138">
        <v>186</v>
      </c>
      <c r="N1392" s="138">
        <v>7</v>
      </c>
      <c r="O1392" s="138">
        <v>8</v>
      </c>
      <c r="R1392" s="138">
        <v>2</v>
      </c>
      <c r="S1392" s="138">
        <v>20</v>
      </c>
      <c r="T1392" s="138">
        <v>12</v>
      </c>
      <c r="U1392" s="138">
        <f t="shared" si="2560"/>
        <v>42</v>
      </c>
      <c r="W1392" s="139">
        <f t="shared" ref="W1392:AA1392" si="2792">J1392/$I1392</f>
        <v>0.56400742115027824</v>
      </c>
      <c r="X1392" s="139">
        <f t="shared" si="2792"/>
        <v>0.34508348794063082</v>
      </c>
      <c r="Y1392" s="139">
        <f t="shared" si="2792"/>
        <v>0</v>
      </c>
      <c r="Z1392" s="139">
        <f t="shared" si="2792"/>
        <v>0</v>
      </c>
      <c r="AA1392" s="139">
        <f t="shared" si="2792"/>
        <v>1.2987012987012988E-2</v>
      </c>
      <c r="AB1392" s="139"/>
      <c r="AC1392" s="139">
        <f t="shared" si="2562"/>
        <v>7.792207792207792E-2</v>
      </c>
      <c r="AD1392" s="139">
        <f t="shared" ref="AD1392:AI1392" si="2793">O1392/$I1392</f>
        <v>1.4842300556586271E-2</v>
      </c>
      <c r="AE1392" s="139">
        <f t="shared" si="2793"/>
        <v>0</v>
      </c>
      <c r="AF1392" s="139">
        <f t="shared" si="2793"/>
        <v>0</v>
      </c>
      <c r="AG1392" s="139">
        <f t="shared" si="2793"/>
        <v>3.7105751391465678E-3</v>
      </c>
      <c r="AH1392" s="139">
        <f t="shared" si="2793"/>
        <v>3.7105751391465679E-2</v>
      </c>
      <c r="AI1392" s="139">
        <f t="shared" si="2793"/>
        <v>2.2263450834879406E-2</v>
      </c>
    </row>
    <row r="1393" spans="2:35">
      <c r="B1393" s="138" t="s">
        <v>8077</v>
      </c>
      <c r="C1393" s="138" t="s">
        <v>4367</v>
      </c>
      <c r="D1393" s="138" t="s">
        <v>8</v>
      </c>
      <c r="E1393" s="138" t="s">
        <v>587</v>
      </c>
      <c r="F1393" s="138" t="s">
        <v>605</v>
      </c>
      <c r="H1393" s="138">
        <v>203</v>
      </c>
      <c r="I1393" s="138">
        <v>1021</v>
      </c>
      <c r="J1393" s="138">
        <v>290</v>
      </c>
      <c r="K1393" s="138">
        <v>592</v>
      </c>
      <c r="N1393" s="138">
        <v>5</v>
      </c>
      <c r="O1393" s="138">
        <v>4</v>
      </c>
      <c r="R1393" s="138">
        <v>4</v>
      </c>
      <c r="S1393" s="138">
        <v>70</v>
      </c>
      <c r="T1393" s="138">
        <v>56</v>
      </c>
      <c r="U1393" s="138">
        <f t="shared" si="2560"/>
        <v>134</v>
      </c>
      <c r="W1393" s="139">
        <f t="shared" ref="W1393:AA1393" si="2794">J1393/$I1393</f>
        <v>0.28403525954946129</v>
      </c>
      <c r="X1393" s="139">
        <f t="shared" si="2794"/>
        <v>0.57982370225269342</v>
      </c>
      <c r="Y1393" s="139">
        <f t="shared" si="2794"/>
        <v>0</v>
      </c>
      <c r="Z1393" s="139">
        <f t="shared" si="2794"/>
        <v>0</v>
      </c>
      <c r="AA1393" s="139">
        <f t="shared" si="2794"/>
        <v>4.8971596474045058E-3</v>
      </c>
      <c r="AB1393" s="139"/>
      <c r="AC1393" s="139">
        <f t="shared" si="2562"/>
        <v>0.13124387855044076</v>
      </c>
      <c r="AD1393" s="139">
        <f t="shared" ref="AD1393:AI1393" si="2795">O1393/$I1393</f>
        <v>3.9177277179236044E-3</v>
      </c>
      <c r="AE1393" s="139">
        <f t="shared" si="2795"/>
        <v>0</v>
      </c>
      <c r="AF1393" s="139">
        <f t="shared" si="2795"/>
        <v>0</v>
      </c>
      <c r="AG1393" s="139">
        <f t="shared" si="2795"/>
        <v>3.9177277179236044E-3</v>
      </c>
      <c r="AH1393" s="139">
        <f t="shared" si="2795"/>
        <v>6.8560235063663072E-2</v>
      </c>
      <c r="AI1393" s="139">
        <f t="shared" si="2795"/>
        <v>5.484818805093046E-2</v>
      </c>
    </row>
    <row r="1394" spans="2:35">
      <c r="B1394" s="138" t="s">
        <v>8077</v>
      </c>
      <c r="C1394" s="138" t="s">
        <v>4367</v>
      </c>
      <c r="D1394" s="138" t="s">
        <v>8</v>
      </c>
      <c r="E1394" s="138" t="s">
        <v>587</v>
      </c>
      <c r="F1394" s="138" t="s">
        <v>621</v>
      </c>
      <c r="H1394" s="138">
        <v>204</v>
      </c>
      <c r="I1394" s="138">
        <v>852</v>
      </c>
      <c r="J1394" s="138">
        <v>387</v>
      </c>
      <c r="K1394" s="138">
        <v>445</v>
      </c>
      <c r="N1394" s="138">
        <v>4</v>
      </c>
      <c r="O1394" s="138">
        <v>1</v>
      </c>
      <c r="R1394" s="138">
        <v>1</v>
      </c>
      <c r="S1394" s="138">
        <v>10</v>
      </c>
      <c r="T1394" s="138">
        <v>4</v>
      </c>
      <c r="U1394" s="138">
        <f t="shared" si="2560"/>
        <v>16</v>
      </c>
      <c r="W1394" s="139">
        <f t="shared" ref="W1394:AA1394" si="2796">J1394/$I1394</f>
        <v>0.45422535211267606</v>
      </c>
      <c r="X1394" s="139">
        <f t="shared" si="2796"/>
        <v>0.52230046948356812</v>
      </c>
      <c r="Y1394" s="139">
        <f t="shared" si="2796"/>
        <v>0</v>
      </c>
      <c r="Z1394" s="139">
        <f t="shared" si="2796"/>
        <v>0</v>
      </c>
      <c r="AA1394" s="139">
        <f t="shared" si="2796"/>
        <v>4.6948356807511738E-3</v>
      </c>
      <c r="AB1394" s="139"/>
      <c r="AC1394" s="139">
        <f t="shared" si="2562"/>
        <v>1.8779342723004695E-2</v>
      </c>
      <c r="AD1394" s="139">
        <f t="shared" ref="AD1394:AI1394" si="2797">O1394/$I1394</f>
        <v>1.1737089201877935E-3</v>
      </c>
      <c r="AE1394" s="139">
        <f t="shared" si="2797"/>
        <v>0</v>
      </c>
      <c r="AF1394" s="139">
        <f t="shared" si="2797"/>
        <v>0</v>
      </c>
      <c r="AG1394" s="139">
        <f t="shared" si="2797"/>
        <v>1.1737089201877935E-3</v>
      </c>
      <c r="AH1394" s="139">
        <f t="shared" si="2797"/>
        <v>1.1737089201877934E-2</v>
      </c>
      <c r="AI1394" s="139">
        <f t="shared" si="2797"/>
        <v>4.6948356807511738E-3</v>
      </c>
    </row>
    <row r="1395" spans="2:35">
      <c r="B1395" s="138" t="s">
        <v>8077</v>
      </c>
      <c r="C1395" s="138" t="s">
        <v>4367</v>
      </c>
      <c r="D1395" s="138" t="s">
        <v>8</v>
      </c>
      <c r="E1395" s="138" t="s">
        <v>587</v>
      </c>
      <c r="F1395" s="138" t="s">
        <v>599</v>
      </c>
      <c r="H1395" s="138">
        <v>205</v>
      </c>
      <c r="I1395" s="138">
        <v>715</v>
      </c>
      <c r="J1395" s="138">
        <v>356</v>
      </c>
      <c r="K1395" s="138">
        <v>329</v>
      </c>
      <c r="N1395" s="138">
        <v>2</v>
      </c>
      <c r="O1395" s="138">
        <v>4</v>
      </c>
      <c r="R1395" s="138">
        <v>2</v>
      </c>
      <c r="S1395" s="138">
        <v>10</v>
      </c>
      <c r="T1395" s="138">
        <v>12</v>
      </c>
      <c r="U1395" s="138">
        <f t="shared" si="2560"/>
        <v>28</v>
      </c>
      <c r="W1395" s="139">
        <f t="shared" ref="W1395:AA1395" si="2798">J1395/$I1395</f>
        <v>0.49790209790209788</v>
      </c>
      <c r="X1395" s="139">
        <f t="shared" si="2798"/>
        <v>0.46013986013986014</v>
      </c>
      <c r="Y1395" s="139">
        <f t="shared" si="2798"/>
        <v>0</v>
      </c>
      <c r="Z1395" s="139">
        <f t="shared" si="2798"/>
        <v>0</v>
      </c>
      <c r="AA1395" s="139">
        <f t="shared" si="2798"/>
        <v>2.7972027972027972E-3</v>
      </c>
      <c r="AB1395" s="139"/>
      <c r="AC1395" s="139">
        <f t="shared" si="2562"/>
        <v>3.9160839160839164E-2</v>
      </c>
      <c r="AD1395" s="139">
        <f t="shared" ref="AD1395:AI1395" si="2799">O1395/$I1395</f>
        <v>5.5944055944055944E-3</v>
      </c>
      <c r="AE1395" s="139">
        <f t="shared" si="2799"/>
        <v>0</v>
      </c>
      <c r="AF1395" s="139">
        <f t="shared" si="2799"/>
        <v>0</v>
      </c>
      <c r="AG1395" s="139">
        <f t="shared" si="2799"/>
        <v>2.7972027972027972E-3</v>
      </c>
      <c r="AH1395" s="139">
        <f t="shared" si="2799"/>
        <v>1.3986013986013986E-2</v>
      </c>
      <c r="AI1395" s="139">
        <f t="shared" si="2799"/>
        <v>1.6783216783216783E-2</v>
      </c>
    </row>
    <row r="1396" spans="2:35">
      <c r="B1396" s="138" t="s">
        <v>8077</v>
      </c>
      <c r="C1396" s="138" t="s">
        <v>4367</v>
      </c>
      <c r="D1396" s="138" t="s">
        <v>8</v>
      </c>
      <c r="E1396" s="138" t="s">
        <v>587</v>
      </c>
      <c r="F1396" s="138" t="s">
        <v>598</v>
      </c>
      <c r="H1396" s="138">
        <v>206</v>
      </c>
      <c r="I1396" s="138">
        <v>878</v>
      </c>
      <c r="J1396" s="138">
        <v>523</v>
      </c>
      <c r="K1396" s="138">
        <v>330</v>
      </c>
      <c r="N1396" s="138">
        <v>6</v>
      </c>
      <c r="O1396" s="138">
        <v>3</v>
      </c>
      <c r="R1396" s="138">
        <v>2</v>
      </c>
      <c r="S1396" s="138">
        <v>7</v>
      </c>
      <c r="T1396" s="138">
        <v>7</v>
      </c>
      <c r="U1396" s="138">
        <f t="shared" si="2560"/>
        <v>19</v>
      </c>
      <c r="W1396" s="139">
        <f t="shared" ref="W1396:AA1396" si="2800">J1396/$I1396</f>
        <v>0.59567198177676539</v>
      </c>
      <c r="X1396" s="139">
        <f t="shared" si="2800"/>
        <v>0.37585421412300685</v>
      </c>
      <c r="Y1396" s="139">
        <f t="shared" si="2800"/>
        <v>0</v>
      </c>
      <c r="Z1396" s="139">
        <f t="shared" si="2800"/>
        <v>0</v>
      </c>
      <c r="AA1396" s="139">
        <f t="shared" si="2800"/>
        <v>6.8337129840546698E-3</v>
      </c>
      <c r="AB1396" s="139"/>
      <c r="AC1396" s="139">
        <f t="shared" si="2562"/>
        <v>2.164009111617312E-2</v>
      </c>
      <c r="AD1396" s="139">
        <f t="shared" ref="AD1396:AI1396" si="2801">O1396/$I1396</f>
        <v>3.4168564920273349E-3</v>
      </c>
      <c r="AE1396" s="139">
        <f t="shared" si="2801"/>
        <v>0</v>
      </c>
      <c r="AF1396" s="139">
        <f t="shared" si="2801"/>
        <v>0</v>
      </c>
      <c r="AG1396" s="139">
        <f t="shared" si="2801"/>
        <v>2.2779043280182231E-3</v>
      </c>
      <c r="AH1396" s="139">
        <f t="shared" si="2801"/>
        <v>7.972665148063782E-3</v>
      </c>
      <c r="AI1396" s="139">
        <f t="shared" si="2801"/>
        <v>7.972665148063782E-3</v>
      </c>
    </row>
    <row r="1397" spans="2:35">
      <c r="B1397" s="138" t="s">
        <v>8077</v>
      </c>
      <c r="C1397" s="138" t="s">
        <v>4367</v>
      </c>
      <c r="D1397" s="138" t="s">
        <v>8</v>
      </c>
      <c r="E1397" s="138" t="s">
        <v>587</v>
      </c>
      <c r="F1397" s="138" t="s">
        <v>623</v>
      </c>
      <c r="H1397" s="138">
        <v>207</v>
      </c>
      <c r="I1397" s="138">
        <v>531</v>
      </c>
      <c r="J1397" s="138">
        <v>314</v>
      </c>
      <c r="K1397" s="138">
        <v>189</v>
      </c>
      <c r="N1397" s="138">
        <v>3</v>
      </c>
      <c r="O1397" s="138">
        <v>2</v>
      </c>
      <c r="R1397" s="138">
        <v>0</v>
      </c>
      <c r="S1397" s="138">
        <v>16</v>
      </c>
      <c r="T1397" s="138">
        <v>7</v>
      </c>
      <c r="U1397" s="138">
        <f t="shared" si="2560"/>
        <v>25</v>
      </c>
      <c r="W1397" s="139">
        <f t="shared" ref="W1397:AA1397" si="2802">J1397/$I1397</f>
        <v>0.59133709981167604</v>
      </c>
      <c r="X1397" s="139">
        <f t="shared" si="2802"/>
        <v>0.3559322033898305</v>
      </c>
      <c r="Y1397" s="139">
        <f t="shared" si="2802"/>
        <v>0</v>
      </c>
      <c r="Z1397" s="139">
        <f t="shared" si="2802"/>
        <v>0</v>
      </c>
      <c r="AA1397" s="139">
        <f t="shared" si="2802"/>
        <v>5.6497175141242938E-3</v>
      </c>
      <c r="AB1397" s="139"/>
      <c r="AC1397" s="139">
        <f t="shared" si="2562"/>
        <v>4.7080979284369114E-2</v>
      </c>
      <c r="AD1397" s="139">
        <f t="shared" ref="AD1397:AI1397" si="2803">O1397/$I1397</f>
        <v>3.766478342749529E-3</v>
      </c>
      <c r="AE1397" s="139">
        <f t="shared" si="2803"/>
        <v>0</v>
      </c>
      <c r="AF1397" s="139">
        <f t="shared" si="2803"/>
        <v>0</v>
      </c>
      <c r="AG1397" s="139">
        <f t="shared" si="2803"/>
        <v>0</v>
      </c>
      <c r="AH1397" s="139">
        <f t="shared" si="2803"/>
        <v>3.0131826741996232E-2</v>
      </c>
      <c r="AI1397" s="139">
        <f t="shared" si="2803"/>
        <v>1.3182674199623353E-2</v>
      </c>
    </row>
    <row r="1398" spans="2:35">
      <c r="B1398" s="138" t="s">
        <v>8077</v>
      </c>
      <c r="C1398" s="138" t="s">
        <v>4367</v>
      </c>
      <c r="D1398" s="138" t="s">
        <v>8</v>
      </c>
      <c r="E1398" s="138" t="s">
        <v>587</v>
      </c>
      <c r="F1398" s="138" t="s">
        <v>623</v>
      </c>
      <c r="H1398" s="138">
        <v>208</v>
      </c>
      <c r="I1398" s="138">
        <v>908</v>
      </c>
      <c r="J1398" s="138">
        <v>392</v>
      </c>
      <c r="K1398" s="138">
        <v>425</v>
      </c>
      <c r="N1398" s="138">
        <v>3</v>
      </c>
      <c r="O1398" s="138">
        <v>4</v>
      </c>
      <c r="R1398" s="138">
        <v>3</v>
      </c>
      <c r="S1398" s="138">
        <v>39</v>
      </c>
      <c r="T1398" s="138">
        <v>42</v>
      </c>
      <c r="U1398" s="138">
        <f t="shared" si="2560"/>
        <v>88</v>
      </c>
      <c r="W1398" s="139">
        <f t="shared" ref="W1398:AA1398" si="2804">J1398/$I1398</f>
        <v>0.43171806167400884</v>
      </c>
      <c r="X1398" s="139">
        <f t="shared" si="2804"/>
        <v>0.46806167400881055</v>
      </c>
      <c r="Y1398" s="139">
        <f t="shared" si="2804"/>
        <v>0</v>
      </c>
      <c r="Z1398" s="139">
        <f t="shared" si="2804"/>
        <v>0</v>
      </c>
      <c r="AA1398" s="139">
        <f t="shared" si="2804"/>
        <v>3.3039647577092512E-3</v>
      </c>
      <c r="AB1398" s="139"/>
      <c r="AC1398" s="139">
        <f t="shared" si="2562"/>
        <v>9.6916299559471369E-2</v>
      </c>
      <c r="AD1398" s="139">
        <f t="shared" ref="AD1398:AI1398" si="2805">O1398/$I1398</f>
        <v>4.4052863436123352E-3</v>
      </c>
      <c r="AE1398" s="139">
        <f t="shared" si="2805"/>
        <v>0</v>
      </c>
      <c r="AF1398" s="139">
        <f t="shared" si="2805"/>
        <v>0</v>
      </c>
      <c r="AG1398" s="139">
        <f t="shared" si="2805"/>
        <v>3.3039647577092512E-3</v>
      </c>
      <c r="AH1398" s="139">
        <f t="shared" si="2805"/>
        <v>4.2951541850220265E-2</v>
      </c>
      <c r="AI1398" s="139">
        <f t="shared" si="2805"/>
        <v>4.6255506607929514E-2</v>
      </c>
    </row>
    <row r="1399" spans="2:35">
      <c r="B1399" s="138" t="s">
        <v>8077</v>
      </c>
      <c r="C1399" s="138" t="s">
        <v>4367</v>
      </c>
      <c r="D1399" s="138" t="s">
        <v>8</v>
      </c>
      <c r="E1399" s="138" t="s">
        <v>587</v>
      </c>
      <c r="F1399" s="138" t="s">
        <v>612</v>
      </c>
      <c r="H1399" s="138">
        <v>209</v>
      </c>
      <c r="I1399" s="138">
        <v>687</v>
      </c>
      <c r="J1399" s="138">
        <v>355</v>
      </c>
      <c r="K1399" s="138">
        <v>267</v>
      </c>
      <c r="N1399" s="138">
        <v>5</v>
      </c>
      <c r="O1399" s="138">
        <v>4</v>
      </c>
      <c r="R1399" s="138">
        <v>4</v>
      </c>
      <c r="S1399" s="138">
        <v>25</v>
      </c>
      <c r="T1399" s="138">
        <v>27</v>
      </c>
      <c r="U1399" s="138">
        <f t="shared" si="2560"/>
        <v>60</v>
      </c>
      <c r="W1399" s="139">
        <f t="shared" ref="W1399:AA1399" si="2806">J1399/$I1399</f>
        <v>0.51673944687045126</v>
      </c>
      <c r="X1399" s="139">
        <f t="shared" si="2806"/>
        <v>0.388646288209607</v>
      </c>
      <c r="Y1399" s="139">
        <f t="shared" si="2806"/>
        <v>0</v>
      </c>
      <c r="Z1399" s="139">
        <f t="shared" si="2806"/>
        <v>0</v>
      </c>
      <c r="AA1399" s="139">
        <f t="shared" si="2806"/>
        <v>7.2780203784570596E-3</v>
      </c>
      <c r="AB1399" s="139"/>
      <c r="AC1399" s="139">
        <f t="shared" si="2562"/>
        <v>8.7336244541484712E-2</v>
      </c>
      <c r="AD1399" s="139">
        <f t="shared" ref="AD1399:AI1399" si="2807">O1399/$I1399</f>
        <v>5.822416302765648E-3</v>
      </c>
      <c r="AE1399" s="139">
        <f t="shared" si="2807"/>
        <v>0</v>
      </c>
      <c r="AF1399" s="139">
        <f t="shared" si="2807"/>
        <v>0</v>
      </c>
      <c r="AG1399" s="139">
        <f t="shared" si="2807"/>
        <v>5.822416302765648E-3</v>
      </c>
      <c r="AH1399" s="139">
        <f t="shared" si="2807"/>
        <v>3.6390101892285295E-2</v>
      </c>
      <c r="AI1399" s="139">
        <f t="shared" si="2807"/>
        <v>3.9301310043668124E-2</v>
      </c>
    </row>
    <row r="1400" spans="2:35">
      <c r="B1400" s="138" t="s">
        <v>8077</v>
      </c>
      <c r="C1400" s="138" t="s">
        <v>4367</v>
      </c>
      <c r="D1400" s="138" t="s">
        <v>8</v>
      </c>
      <c r="E1400" s="138" t="s">
        <v>587</v>
      </c>
      <c r="F1400" s="138" t="s">
        <v>612</v>
      </c>
      <c r="H1400" s="138">
        <v>210</v>
      </c>
      <c r="I1400" s="138">
        <v>683</v>
      </c>
      <c r="J1400" s="138">
        <v>427</v>
      </c>
      <c r="K1400" s="138">
        <v>187</v>
      </c>
      <c r="N1400" s="138">
        <v>7</v>
      </c>
      <c r="O1400" s="138">
        <v>4</v>
      </c>
      <c r="R1400" s="138">
        <v>2</v>
      </c>
      <c r="S1400" s="138">
        <v>26</v>
      </c>
      <c r="T1400" s="138">
        <v>30</v>
      </c>
      <c r="U1400" s="138">
        <f t="shared" si="2560"/>
        <v>62</v>
      </c>
      <c r="W1400" s="139">
        <f t="shared" ref="W1400:AA1400" si="2808">J1400/$I1400</f>
        <v>0.62518301610541727</v>
      </c>
      <c r="X1400" s="139">
        <f t="shared" si="2808"/>
        <v>0.27379209370424595</v>
      </c>
      <c r="Y1400" s="139">
        <f t="shared" si="2808"/>
        <v>0</v>
      </c>
      <c r="Z1400" s="139">
        <f t="shared" si="2808"/>
        <v>0</v>
      </c>
      <c r="AA1400" s="139">
        <f t="shared" si="2808"/>
        <v>1.0248901903367497E-2</v>
      </c>
      <c r="AB1400" s="139"/>
      <c r="AC1400" s="139">
        <f t="shared" si="2562"/>
        <v>9.0775988286969256E-2</v>
      </c>
      <c r="AD1400" s="139">
        <f t="shared" ref="AD1400:AI1400" si="2809">O1400/$I1400</f>
        <v>5.8565153733528552E-3</v>
      </c>
      <c r="AE1400" s="139">
        <f t="shared" si="2809"/>
        <v>0</v>
      </c>
      <c r="AF1400" s="139">
        <f t="shared" si="2809"/>
        <v>0</v>
      </c>
      <c r="AG1400" s="139">
        <f t="shared" si="2809"/>
        <v>2.9282576866764276E-3</v>
      </c>
      <c r="AH1400" s="139">
        <f t="shared" si="2809"/>
        <v>3.8067349926793559E-2</v>
      </c>
      <c r="AI1400" s="139">
        <f t="shared" si="2809"/>
        <v>4.3923865300146414E-2</v>
      </c>
    </row>
    <row r="1401" spans="2:35">
      <c r="B1401" s="138" t="s">
        <v>8077</v>
      </c>
      <c r="C1401" s="138" t="s">
        <v>4367</v>
      </c>
      <c r="D1401" s="138" t="s">
        <v>8</v>
      </c>
      <c r="E1401" s="138" t="s">
        <v>587</v>
      </c>
      <c r="F1401" s="138" t="s">
        <v>612</v>
      </c>
      <c r="H1401" s="138">
        <v>211</v>
      </c>
      <c r="I1401" s="138">
        <v>731</v>
      </c>
      <c r="J1401" s="138">
        <v>503</v>
      </c>
      <c r="K1401" s="138">
        <v>171</v>
      </c>
      <c r="N1401" s="138">
        <v>5</v>
      </c>
      <c r="O1401" s="138">
        <v>4</v>
      </c>
      <c r="R1401" s="138">
        <v>4</v>
      </c>
      <c r="S1401" s="138">
        <v>33</v>
      </c>
      <c r="T1401" s="138">
        <v>11</v>
      </c>
      <c r="U1401" s="138">
        <f t="shared" si="2560"/>
        <v>52</v>
      </c>
      <c r="W1401" s="139">
        <f t="shared" ref="W1401:AA1401" si="2810">J1401/$I1401</f>
        <v>0.68809849521203825</v>
      </c>
      <c r="X1401" s="139">
        <f t="shared" si="2810"/>
        <v>0.23392612859097128</v>
      </c>
      <c r="Y1401" s="139">
        <f t="shared" si="2810"/>
        <v>0</v>
      </c>
      <c r="Z1401" s="139">
        <f t="shared" si="2810"/>
        <v>0</v>
      </c>
      <c r="AA1401" s="139">
        <f t="shared" si="2810"/>
        <v>6.8399452804377564E-3</v>
      </c>
      <c r="AB1401" s="139"/>
      <c r="AC1401" s="139">
        <f t="shared" si="2562"/>
        <v>7.1135430916552667E-2</v>
      </c>
      <c r="AD1401" s="139">
        <f t="shared" ref="AD1401:AI1401" si="2811">O1401/$I1401</f>
        <v>5.4719562243502051E-3</v>
      </c>
      <c r="AE1401" s="139">
        <f t="shared" si="2811"/>
        <v>0</v>
      </c>
      <c r="AF1401" s="139">
        <f t="shared" si="2811"/>
        <v>0</v>
      </c>
      <c r="AG1401" s="139">
        <f t="shared" si="2811"/>
        <v>5.4719562243502051E-3</v>
      </c>
      <c r="AH1401" s="139">
        <f t="shared" si="2811"/>
        <v>4.5143638850889192E-2</v>
      </c>
      <c r="AI1401" s="139">
        <f t="shared" si="2811"/>
        <v>1.5047879616963064E-2</v>
      </c>
    </row>
    <row r="1402" spans="2:35">
      <c r="B1402" s="138" t="s">
        <v>8077</v>
      </c>
      <c r="C1402" s="138" t="s">
        <v>4367</v>
      </c>
      <c r="D1402" s="138" t="s">
        <v>8</v>
      </c>
      <c r="E1402" s="138" t="s">
        <v>587</v>
      </c>
      <c r="F1402" s="138" t="s">
        <v>612</v>
      </c>
      <c r="H1402" s="138">
        <v>212</v>
      </c>
      <c r="I1402" s="138">
        <v>753</v>
      </c>
      <c r="J1402" s="138">
        <v>309</v>
      </c>
      <c r="K1402" s="138">
        <v>385</v>
      </c>
      <c r="N1402" s="138">
        <v>8</v>
      </c>
      <c r="O1402" s="138">
        <v>5</v>
      </c>
      <c r="R1402" s="138">
        <v>1</v>
      </c>
      <c r="S1402" s="138">
        <v>21</v>
      </c>
      <c r="T1402" s="138">
        <v>24</v>
      </c>
      <c r="U1402" s="138">
        <f t="shared" si="2560"/>
        <v>51</v>
      </c>
      <c r="W1402" s="139">
        <f t="shared" ref="W1402:AA1402" si="2812">J1402/$I1402</f>
        <v>0.41035856573705182</v>
      </c>
      <c r="X1402" s="139">
        <f t="shared" si="2812"/>
        <v>0.51128818061088976</v>
      </c>
      <c r="Y1402" s="139">
        <f t="shared" si="2812"/>
        <v>0</v>
      </c>
      <c r="Z1402" s="139">
        <f t="shared" si="2812"/>
        <v>0</v>
      </c>
      <c r="AA1402" s="139">
        <f t="shared" si="2812"/>
        <v>1.0624169986719787E-2</v>
      </c>
      <c r="AB1402" s="139"/>
      <c r="AC1402" s="139">
        <f t="shared" si="2562"/>
        <v>6.7729083665338641E-2</v>
      </c>
      <c r="AD1402" s="139">
        <f t="shared" ref="AD1402:AI1402" si="2813">O1402/$I1402</f>
        <v>6.6401062416998674E-3</v>
      </c>
      <c r="AE1402" s="139">
        <f t="shared" si="2813"/>
        <v>0</v>
      </c>
      <c r="AF1402" s="139">
        <f t="shared" si="2813"/>
        <v>0</v>
      </c>
      <c r="AG1402" s="139">
        <f t="shared" si="2813"/>
        <v>1.3280212483399733E-3</v>
      </c>
      <c r="AH1402" s="139">
        <f t="shared" si="2813"/>
        <v>2.7888446215139442E-2</v>
      </c>
      <c r="AI1402" s="139">
        <f t="shared" si="2813"/>
        <v>3.1872509960159362E-2</v>
      </c>
    </row>
    <row r="1403" spans="2:35">
      <c r="B1403" s="138" t="s">
        <v>8077</v>
      </c>
      <c r="C1403" s="138" t="s">
        <v>4367</v>
      </c>
      <c r="D1403" s="138" t="s">
        <v>8</v>
      </c>
      <c r="E1403" s="138" t="s">
        <v>587</v>
      </c>
      <c r="F1403" s="138" t="s">
        <v>629</v>
      </c>
      <c r="H1403" s="138">
        <v>213</v>
      </c>
      <c r="I1403" s="138">
        <v>604</v>
      </c>
      <c r="J1403" s="138">
        <v>300</v>
      </c>
      <c r="K1403" s="138">
        <v>285</v>
      </c>
      <c r="N1403" s="138">
        <v>2</v>
      </c>
      <c r="O1403" s="138">
        <v>3</v>
      </c>
      <c r="R1403" s="138">
        <v>3</v>
      </c>
      <c r="S1403" s="138">
        <v>5</v>
      </c>
      <c r="T1403" s="138">
        <v>6</v>
      </c>
      <c r="U1403" s="138">
        <f t="shared" si="2560"/>
        <v>17</v>
      </c>
      <c r="W1403" s="139">
        <f t="shared" ref="W1403:AA1403" si="2814">J1403/$I1403</f>
        <v>0.49668874172185429</v>
      </c>
      <c r="X1403" s="139">
        <f t="shared" si="2814"/>
        <v>0.47185430463576161</v>
      </c>
      <c r="Y1403" s="139">
        <f t="shared" si="2814"/>
        <v>0</v>
      </c>
      <c r="Z1403" s="139">
        <f t="shared" si="2814"/>
        <v>0</v>
      </c>
      <c r="AA1403" s="139">
        <f t="shared" si="2814"/>
        <v>3.3112582781456954E-3</v>
      </c>
      <c r="AB1403" s="139"/>
      <c r="AC1403" s="139">
        <f t="shared" si="2562"/>
        <v>2.8145695364238412E-2</v>
      </c>
      <c r="AD1403" s="139">
        <f t="shared" ref="AD1403:AI1403" si="2815">O1403/$I1403</f>
        <v>4.9668874172185433E-3</v>
      </c>
      <c r="AE1403" s="139">
        <f t="shared" si="2815"/>
        <v>0</v>
      </c>
      <c r="AF1403" s="139">
        <f t="shared" si="2815"/>
        <v>0</v>
      </c>
      <c r="AG1403" s="139">
        <f t="shared" si="2815"/>
        <v>4.9668874172185433E-3</v>
      </c>
      <c r="AH1403" s="139">
        <f t="shared" si="2815"/>
        <v>8.2781456953642391E-3</v>
      </c>
      <c r="AI1403" s="139">
        <f t="shared" si="2815"/>
        <v>9.9337748344370865E-3</v>
      </c>
    </row>
    <row r="1404" spans="2:35">
      <c r="B1404" s="138" t="s">
        <v>8077</v>
      </c>
      <c r="C1404" s="138" t="s">
        <v>4367</v>
      </c>
      <c r="D1404" s="138" t="s">
        <v>8</v>
      </c>
      <c r="E1404" s="138" t="s">
        <v>587</v>
      </c>
      <c r="F1404" s="138" t="s">
        <v>629</v>
      </c>
      <c r="H1404" s="138">
        <v>214</v>
      </c>
      <c r="I1404" s="138">
        <v>463</v>
      </c>
      <c r="J1404" s="138">
        <v>243</v>
      </c>
      <c r="K1404" s="138">
        <v>196</v>
      </c>
      <c r="N1404" s="138">
        <v>2</v>
      </c>
      <c r="O1404" s="138">
        <v>0</v>
      </c>
      <c r="R1404" s="138">
        <v>1</v>
      </c>
      <c r="S1404" s="138">
        <v>13</v>
      </c>
      <c r="T1404" s="138">
        <v>8</v>
      </c>
      <c r="U1404" s="138">
        <f t="shared" si="2560"/>
        <v>22</v>
      </c>
      <c r="W1404" s="139">
        <f t="shared" ref="W1404:AA1404" si="2816">J1404/$I1404</f>
        <v>0.52483801295896326</v>
      </c>
      <c r="X1404" s="139">
        <f t="shared" si="2816"/>
        <v>0.42332613390928725</v>
      </c>
      <c r="Y1404" s="139">
        <f t="shared" si="2816"/>
        <v>0</v>
      </c>
      <c r="Z1404" s="139">
        <f t="shared" si="2816"/>
        <v>0</v>
      </c>
      <c r="AA1404" s="139">
        <f t="shared" si="2816"/>
        <v>4.3196544276457886E-3</v>
      </c>
      <c r="AB1404" s="139"/>
      <c r="AC1404" s="139">
        <f t="shared" si="2562"/>
        <v>4.7516198704103674E-2</v>
      </c>
      <c r="AD1404" s="139">
        <f t="shared" ref="AD1404:AI1404" si="2817">O1404/$I1404</f>
        <v>0</v>
      </c>
      <c r="AE1404" s="139">
        <f t="shared" si="2817"/>
        <v>0</v>
      </c>
      <c r="AF1404" s="139">
        <f t="shared" si="2817"/>
        <v>0</v>
      </c>
      <c r="AG1404" s="139">
        <f t="shared" si="2817"/>
        <v>2.1598272138228943E-3</v>
      </c>
      <c r="AH1404" s="139">
        <f t="shared" si="2817"/>
        <v>2.8077753779697623E-2</v>
      </c>
      <c r="AI1404" s="139">
        <f t="shared" si="2817"/>
        <v>1.7278617710583154E-2</v>
      </c>
    </row>
    <row r="1405" spans="2:35">
      <c r="B1405" s="138" t="s">
        <v>8077</v>
      </c>
      <c r="C1405" s="138" t="s">
        <v>4367</v>
      </c>
      <c r="D1405" s="138" t="s">
        <v>8</v>
      </c>
      <c r="E1405" s="138" t="s">
        <v>587</v>
      </c>
      <c r="F1405" s="138" t="s">
        <v>592</v>
      </c>
      <c r="H1405" s="138">
        <v>215</v>
      </c>
      <c r="I1405" s="138">
        <v>729</v>
      </c>
      <c r="J1405" s="138">
        <v>443</v>
      </c>
      <c r="K1405" s="138">
        <v>253</v>
      </c>
      <c r="N1405" s="138">
        <v>3</v>
      </c>
      <c r="O1405" s="138">
        <v>3</v>
      </c>
      <c r="R1405" s="138">
        <v>2</v>
      </c>
      <c r="S1405" s="138">
        <v>11</v>
      </c>
      <c r="T1405" s="138">
        <v>14</v>
      </c>
      <c r="U1405" s="138">
        <f t="shared" si="2560"/>
        <v>30</v>
      </c>
      <c r="W1405" s="139">
        <f t="shared" ref="W1405:AA1405" si="2818">J1405/$I1405</f>
        <v>0.60768175582990402</v>
      </c>
      <c r="X1405" s="139">
        <f t="shared" si="2818"/>
        <v>0.34705075445816186</v>
      </c>
      <c r="Y1405" s="139">
        <f t="shared" si="2818"/>
        <v>0</v>
      </c>
      <c r="Z1405" s="139">
        <f t="shared" si="2818"/>
        <v>0</v>
      </c>
      <c r="AA1405" s="139">
        <f t="shared" si="2818"/>
        <v>4.11522633744856E-3</v>
      </c>
      <c r="AB1405" s="139"/>
      <c r="AC1405" s="139">
        <f t="shared" si="2562"/>
        <v>4.1152263374485597E-2</v>
      </c>
      <c r="AD1405" s="139">
        <f t="shared" ref="AD1405:AI1405" si="2819">O1405/$I1405</f>
        <v>4.11522633744856E-3</v>
      </c>
      <c r="AE1405" s="139">
        <f t="shared" si="2819"/>
        <v>0</v>
      </c>
      <c r="AF1405" s="139">
        <f t="shared" si="2819"/>
        <v>0</v>
      </c>
      <c r="AG1405" s="139">
        <f t="shared" si="2819"/>
        <v>2.7434842249657062E-3</v>
      </c>
      <c r="AH1405" s="139">
        <f t="shared" si="2819"/>
        <v>1.5089163237311385E-2</v>
      </c>
      <c r="AI1405" s="139">
        <f t="shared" si="2819"/>
        <v>1.9204389574759947E-2</v>
      </c>
    </row>
    <row r="1406" spans="2:35">
      <c r="B1406" s="138" t="s">
        <v>8077</v>
      </c>
      <c r="C1406" s="138" t="s">
        <v>4367</v>
      </c>
      <c r="D1406" s="138" t="s">
        <v>8</v>
      </c>
      <c r="E1406" s="138" t="s">
        <v>587</v>
      </c>
      <c r="F1406" s="138" t="s">
        <v>592</v>
      </c>
      <c r="H1406" s="138">
        <v>216</v>
      </c>
      <c r="I1406" s="138">
        <v>656</v>
      </c>
      <c r="J1406" s="138">
        <v>350</v>
      </c>
      <c r="K1406" s="138">
        <v>288</v>
      </c>
      <c r="N1406" s="138">
        <v>1</v>
      </c>
      <c r="O1406" s="138">
        <v>0</v>
      </c>
      <c r="R1406" s="138">
        <v>0</v>
      </c>
      <c r="S1406" s="138">
        <v>9</v>
      </c>
      <c r="T1406" s="138">
        <v>8</v>
      </c>
      <c r="U1406" s="138">
        <f t="shared" si="2560"/>
        <v>17</v>
      </c>
      <c r="W1406" s="139">
        <f t="shared" ref="W1406:AA1406" si="2820">J1406/$I1406</f>
        <v>0.53353658536585369</v>
      </c>
      <c r="X1406" s="139">
        <f t="shared" si="2820"/>
        <v>0.43902439024390244</v>
      </c>
      <c r="Y1406" s="139">
        <f t="shared" si="2820"/>
        <v>0</v>
      </c>
      <c r="Z1406" s="139">
        <f t="shared" si="2820"/>
        <v>0</v>
      </c>
      <c r="AA1406" s="139">
        <f t="shared" si="2820"/>
        <v>1.5243902439024391E-3</v>
      </c>
      <c r="AB1406" s="139"/>
      <c r="AC1406" s="139">
        <f t="shared" si="2562"/>
        <v>2.5914634146341462E-2</v>
      </c>
      <c r="AD1406" s="139">
        <f t="shared" ref="AD1406:AI1406" si="2821">O1406/$I1406</f>
        <v>0</v>
      </c>
      <c r="AE1406" s="139">
        <f t="shared" si="2821"/>
        <v>0</v>
      </c>
      <c r="AF1406" s="139">
        <f t="shared" si="2821"/>
        <v>0</v>
      </c>
      <c r="AG1406" s="139">
        <f t="shared" si="2821"/>
        <v>0</v>
      </c>
      <c r="AH1406" s="139">
        <f t="shared" si="2821"/>
        <v>1.3719512195121951E-2</v>
      </c>
      <c r="AI1406" s="139">
        <f t="shared" si="2821"/>
        <v>1.2195121951219513E-2</v>
      </c>
    </row>
    <row r="1407" spans="2:35">
      <c r="B1407" s="138" t="s">
        <v>8077</v>
      </c>
      <c r="C1407" s="138" t="s">
        <v>4367</v>
      </c>
      <c r="D1407" s="138" t="s">
        <v>8</v>
      </c>
      <c r="E1407" s="138" t="s">
        <v>587</v>
      </c>
      <c r="F1407" s="138" t="s">
        <v>604</v>
      </c>
      <c r="H1407" s="138">
        <v>217</v>
      </c>
      <c r="I1407" s="138">
        <v>361</v>
      </c>
      <c r="J1407" s="138">
        <v>280</v>
      </c>
      <c r="K1407" s="138">
        <v>69</v>
      </c>
      <c r="N1407" s="138">
        <v>1</v>
      </c>
      <c r="O1407" s="138">
        <v>2</v>
      </c>
      <c r="R1407" s="138">
        <v>2</v>
      </c>
      <c r="S1407" s="138">
        <v>5</v>
      </c>
      <c r="T1407" s="138">
        <v>2</v>
      </c>
      <c r="U1407" s="138">
        <f t="shared" si="2560"/>
        <v>11</v>
      </c>
      <c r="W1407" s="139">
        <f t="shared" ref="W1407:AA1407" si="2822">J1407/$I1407</f>
        <v>0.77562326869806097</v>
      </c>
      <c r="X1407" s="139">
        <f t="shared" si="2822"/>
        <v>0.19113573407202217</v>
      </c>
      <c r="Y1407" s="139">
        <f t="shared" si="2822"/>
        <v>0</v>
      </c>
      <c r="Z1407" s="139">
        <f t="shared" si="2822"/>
        <v>0</v>
      </c>
      <c r="AA1407" s="139">
        <f t="shared" si="2822"/>
        <v>2.7700831024930748E-3</v>
      </c>
      <c r="AB1407" s="139"/>
      <c r="AC1407" s="139">
        <f t="shared" si="2562"/>
        <v>3.0470914127423823E-2</v>
      </c>
      <c r="AD1407" s="139">
        <f t="shared" ref="AD1407:AI1407" si="2823">O1407/$I1407</f>
        <v>5.5401662049861496E-3</v>
      </c>
      <c r="AE1407" s="139">
        <f t="shared" si="2823"/>
        <v>0</v>
      </c>
      <c r="AF1407" s="139">
        <f t="shared" si="2823"/>
        <v>0</v>
      </c>
      <c r="AG1407" s="139">
        <f t="shared" si="2823"/>
        <v>5.5401662049861496E-3</v>
      </c>
      <c r="AH1407" s="139">
        <f t="shared" si="2823"/>
        <v>1.3850415512465374E-2</v>
      </c>
      <c r="AI1407" s="139">
        <f t="shared" si="2823"/>
        <v>5.5401662049861496E-3</v>
      </c>
    </row>
    <row r="1408" spans="2:35">
      <c r="B1408" s="138" t="s">
        <v>8077</v>
      </c>
      <c r="C1408" s="138" t="s">
        <v>4367</v>
      </c>
      <c r="D1408" s="138" t="s">
        <v>8</v>
      </c>
      <c r="E1408" s="138" t="s">
        <v>587</v>
      </c>
      <c r="F1408" s="138" t="s">
        <v>604</v>
      </c>
      <c r="H1408" s="138">
        <v>218</v>
      </c>
      <c r="I1408" s="138">
        <v>895</v>
      </c>
      <c r="J1408" s="138">
        <v>426</v>
      </c>
      <c r="K1408" s="138">
        <v>448</v>
      </c>
      <c r="N1408" s="138">
        <v>1</v>
      </c>
      <c r="O1408" s="138">
        <v>5</v>
      </c>
      <c r="R1408" s="138">
        <v>1</v>
      </c>
      <c r="S1408" s="138">
        <v>10</v>
      </c>
      <c r="T1408" s="138">
        <v>4</v>
      </c>
      <c r="U1408" s="138">
        <f t="shared" si="2560"/>
        <v>20</v>
      </c>
      <c r="W1408" s="139">
        <f t="shared" ref="W1408:AA1408" si="2824">J1408/$I1408</f>
        <v>0.47597765363128491</v>
      </c>
      <c r="X1408" s="139">
        <f t="shared" si="2824"/>
        <v>0.50055865921787712</v>
      </c>
      <c r="Y1408" s="139">
        <f t="shared" si="2824"/>
        <v>0</v>
      </c>
      <c r="Z1408" s="139">
        <f t="shared" si="2824"/>
        <v>0</v>
      </c>
      <c r="AA1408" s="139">
        <f t="shared" si="2824"/>
        <v>1.1173184357541898E-3</v>
      </c>
      <c r="AB1408" s="139"/>
      <c r="AC1408" s="139">
        <f t="shared" si="2562"/>
        <v>2.23463687150838E-2</v>
      </c>
      <c r="AD1408" s="139">
        <f t="shared" ref="AD1408:AI1408" si="2825">O1408/$I1408</f>
        <v>5.5865921787709499E-3</v>
      </c>
      <c r="AE1408" s="139">
        <f t="shared" si="2825"/>
        <v>0</v>
      </c>
      <c r="AF1408" s="139">
        <f t="shared" si="2825"/>
        <v>0</v>
      </c>
      <c r="AG1408" s="139">
        <f t="shared" si="2825"/>
        <v>1.1173184357541898E-3</v>
      </c>
      <c r="AH1408" s="139">
        <f t="shared" si="2825"/>
        <v>1.11731843575419E-2</v>
      </c>
      <c r="AI1408" s="139">
        <f t="shared" si="2825"/>
        <v>4.4692737430167594E-3</v>
      </c>
    </row>
    <row r="1409" spans="2:35">
      <c r="B1409" s="138" t="s">
        <v>8077</v>
      </c>
      <c r="C1409" s="138" t="s">
        <v>4367</v>
      </c>
      <c r="D1409" s="138" t="s">
        <v>8</v>
      </c>
      <c r="E1409" s="138" t="s">
        <v>587</v>
      </c>
      <c r="F1409" s="138" t="s">
        <v>604</v>
      </c>
      <c r="H1409" s="138">
        <v>219</v>
      </c>
      <c r="I1409" s="138">
        <v>689</v>
      </c>
      <c r="J1409" s="138">
        <v>407</v>
      </c>
      <c r="K1409" s="138">
        <v>256</v>
      </c>
      <c r="N1409" s="138">
        <v>2</v>
      </c>
      <c r="O1409" s="138">
        <v>2</v>
      </c>
      <c r="R1409" s="138">
        <v>0</v>
      </c>
      <c r="S1409" s="138">
        <v>13</v>
      </c>
      <c r="T1409" s="138">
        <v>9</v>
      </c>
      <c r="U1409" s="138">
        <f t="shared" si="2560"/>
        <v>24</v>
      </c>
      <c r="W1409" s="139">
        <f t="shared" ref="W1409:AA1409" si="2826">J1409/$I1409</f>
        <v>0.59071117561683595</v>
      </c>
      <c r="X1409" s="139">
        <f t="shared" si="2826"/>
        <v>0.37155297532656023</v>
      </c>
      <c r="Y1409" s="139">
        <f t="shared" si="2826"/>
        <v>0</v>
      </c>
      <c r="Z1409" s="139">
        <f t="shared" si="2826"/>
        <v>0</v>
      </c>
      <c r="AA1409" s="139">
        <f t="shared" si="2826"/>
        <v>2.9027576197387518E-3</v>
      </c>
      <c r="AB1409" s="139"/>
      <c r="AC1409" s="139">
        <f t="shared" si="2562"/>
        <v>3.483309143686502E-2</v>
      </c>
      <c r="AD1409" s="139">
        <f t="shared" ref="AD1409:AI1409" si="2827">O1409/$I1409</f>
        <v>2.9027576197387518E-3</v>
      </c>
      <c r="AE1409" s="139">
        <f t="shared" si="2827"/>
        <v>0</v>
      </c>
      <c r="AF1409" s="139">
        <f t="shared" si="2827"/>
        <v>0</v>
      </c>
      <c r="AG1409" s="139">
        <f t="shared" si="2827"/>
        <v>0</v>
      </c>
      <c r="AH1409" s="139">
        <f t="shared" si="2827"/>
        <v>1.8867924528301886E-2</v>
      </c>
      <c r="AI1409" s="139">
        <f t="shared" si="2827"/>
        <v>1.3062409288824383E-2</v>
      </c>
    </row>
    <row r="1410" spans="2:35">
      <c r="B1410" s="138" t="s">
        <v>8077</v>
      </c>
      <c r="C1410" s="138" t="s">
        <v>4367</v>
      </c>
      <c r="D1410" s="138" t="s">
        <v>8</v>
      </c>
      <c r="E1410" s="138" t="s">
        <v>587</v>
      </c>
      <c r="F1410" s="138" t="s">
        <v>588</v>
      </c>
      <c r="H1410" s="138">
        <v>220</v>
      </c>
      <c r="I1410" s="138">
        <v>838</v>
      </c>
      <c r="J1410" s="138">
        <v>454</v>
      </c>
      <c r="K1410" s="138">
        <v>356</v>
      </c>
      <c r="N1410" s="138">
        <v>4</v>
      </c>
      <c r="O1410" s="138">
        <v>4</v>
      </c>
      <c r="R1410" s="138">
        <v>5</v>
      </c>
      <c r="S1410" s="138">
        <v>8</v>
      </c>
      <c r="T1410" s="138">
        <v>7</v>
      </c>
      <c r="U1410" s="138">
        <f t="shared" si="2560"/>
        <v>24</v>
      </c>
      <c r="W1410" s="139">
        <f t="shared" ref="W1410:AA1410" si="2828">J1410/$I1410</f>
        <v>0.5417661097852029</v>
      </c>
      <c r="X1410" s="139">
        <f t="shared" si="2828"/>
        <v>0.42482100238663484</v>
      </c>
      <c r="Y1410" s="139">
        <f t="shared" si="2828"/>
        <v>0</v>
      </c>
      <c r="Z1410" s="139">
        <f t="shared" si="2828"/>
        <v>0</v>
      </c>
      <c r="AA1410" s="139">
        <f t="shared" si="2828"/>
        <v>4.7732696897374704E-3</v>
      </c>
      <c r="AB1410" s="139"/>
      <c r="AC1410" s="139">
        <f t="shared" si="2562"/>
        <v>2.8639618138424822E-2</v>
      </c>
      <c r="AD1410" s="139">
        <f t="shared" ref="AD1410:AI1410" si="2829">O1410/$I1410</f>
        <v>4.7732696897374704E-3</v>
      </c>
      <c r="AE1410" s="139">
        <f t="shared" si="2829"/>
        <v>0</v>
      </c>
      <c r="AF1410" s="139">
        <f t="shared" si="2829"/>
        <v>0</v>
      </c>
      <c r="AG1410" s="139">
        <f t="shared" si="2829"/>
        <v>5.9665871121718375E-3</v>
      </c>
      <c r="AH1410" s="139">
        <f t="shared" si="2829"/>
        <v>9.5465393794749408E-3</v>
      </c>
      <c r="AI1410" s="139">
        <f t="shared" si="2829"/>
        <v>8.3532219570405727E-3</v>
      </c>
    </row>
    <row r="1411" spans="2:35">
      <c r="B1411" s="138" t="s">
        <v>8077</v>
      </c>
      <c r="C1411" s="138" t="s">
        <v>4367</v>
      </c>
      <c r="D1411" s="138" t="s">
        <v>8</v>
      </c>
      <c r="E1411" s="138" t="s">
        <v>587</v>
      </c>
      <c r="F1411" s="138" t="s">
        <v>613</v>
      </c>
      <c r="H1411" s="138">
        <v>221</v>
      </c>
      <c r="I1411" s="138">
        <v>544</v>
      </c>
      <c r="J1411" s="138">
        <v>357</v>
      </c>
      <c r="K1411" s="138">
        <v>174</v>
      </c>
      <c r="N1411" s="138">
        <v>3</v>
      </c>
      <c r="O1411" s="138">
        <v>4</v>
      </c>
      <c r="R1411" s="138">
        <v>0</v>
      </c>
      <c r="S1411" s="138">
        <v>2</v>
      </c>
      <c r="T1411" s="138">
        <v>4</v>
      </c>
      <c r="U1411" s="138">
        <f t="shared" si="2560"/>
        <v>10</v>
      </c>
      <c r="W1411" s="139">
        <f t="shared" ref="W1411:AA1411" si="2830">J1411/$I1411</f>
        <v>0.65625</v>
      </c>
      <c r="X1411" s="139">
        <f t="shared" si="2830"/>
        <v>0.31985294117647056</v>
      </c>
      <c r="Y1411" s="139">
        <f t="shared" si="2830"/>
        <v>0</v>
      </c>
      <c r="Z1411" s="139">
        <f t="shared" si="2830"/>
        <v>0</v>
      </c>
      <c r="AA1411" s="139">
        <f t="shared" si="2830"/>
        <v>5.5147058823529415E-3</v>
      </c>
      <c r="AB1411" s="139"/>
      <c r="AC1411" s="139">
        <f t="shared" si="2562"/>
        <v>1.8382352941176471E-2</v>
      </c>
      <c r="AD1411" s="139">
        <f t="shared" ref="AD1411:AI1411" si="2831">O1411/$I1411</f>
        <v>7.3529411764705881E-3</v>
      </c>
      <c r="AE1411" s="139">
        <f t="shared" si="2831"/>
        <v>0</v>
      </c>
      <c r="AF1411" s="139">
        <f t="shared" si="2831"/>
        <v>0</v>
      </c>
      <c r="AG1411" s="139">
        <f t="shared" si="2831"/>
        <v>0</v>
      </c>
      <c r="AH1411" s="139">
        <f t="shared" si="2831"/>
        <v>3.6764705882352941E-3</v>
      </c>
      <c r="AI1411" s="139">
        <f t="shared" si="2831"/>
        <v>7.3529411764705881E-3</v>
      </c>
    </row>
    <row r="1412" spans="2:35">
      <c r="B1412" s="138" t="s">
        <v>8077</v>
      </c>
      <c r="C1412" s="138" t="s">
        <v>4367</v>
      </c>
      <c r="D1412" s="138" t="s">
        <v>8</v>
      </c>
      <c r="E1412" s="138" t="s">
        <v>587</v>
      </c>
      <c r="F1412" s="138" t="s">
        <v>8187</v>
      </c>
      <c r="H1412" s="138">
        <v>222</v>
      </c>
      <c r="I1412" s="138">
        <v>615</v>
      </c>
      <c r="J1412" s="138">
        <v>301</v>
      </c>
      <c r="K1412" s="138">
        <v>289</v>
      </c>
      <c r="N1412" s="138">
        <v>6</v>
      </c>
      <c r="O1412" s="138">
        <v>1</v>
      </c>
      <c r="R1412" s="138">
        <v>4</v>
      </c>
      <c r="S1412" s="138">
        <v>9</v>
      </c>
      <c r="T1412" s="138">
        <v>5</v>
      </c>
      <c r="U1412" s="138">
        <f t="shared" si="2560"/>
        <v>19</v>
      </c>
      <c r="W1412" s="139">
        <f t="shared" ref="W1412:AA1412" si="2832">J1412/$I1412</f>
        <v>0.4894308943089431</v>
      </c>
      <c r="X1412" s="139">
        <f t="shared" si="2832"/>
        <v>0.46991869918699186</v>
      </c>
      <c r="Y1412" s="139">
        <f t="shared" si="2832"/>
        <v>0</v>
      </c>
      <c r="Z1412" s="139">
        <f t="shared" si="2832"/>
        <v>0</v>
      </c>
      <c r="AA1412" s="139">
        <f t="shared" si="2832"/>
        <v>9.7560975609756097E-3</v>
      </c>
      <c r="AB1412" s="139"/>
      <c r="AC1412" s="139">
        <f t="shared" si="2562"/>
        <v>3.0894308943089432E-2</v>
      </c>
      <c r="AD1412" s="139">
        <f t="shared" ref="AD1412:AI1412" si="2833">O1412/$I1412</f>
        <v>1.6260162601626016E-3</v>
      </c>
      <c r="AE1412" s="139">
        <f t="shared" si="2833"/>
        <v>0</v>
      </c>
      <c r="AF1412" s="139">
        <f t="shared" si="2833"/>
        <v>0</v>
      </c>
      <c r="AG1412" s="139">
        <f t="shared" si="2833"/>
        <v>6.5040650406504065E-3</v>
      </c>
      <c r="AH1412" s="139">
        <f t="shared" si="2833"/>
        <v>1.4634146341463415E-2</v>
      </c>
      <c r="AI1412" s="139">
        <f t="shared" si="2833"/>
        <v>8.130081300813009E-3</v>
      </c>
    </row>
    <row r="1413" spans="2:35">
      <c r="B1413" s="138" t="s">
        <v>8077</v>
      </c>
      <c r="C1413" s="138" t="s">
        <v>4367</v>
      </c>
      <c r="D1413" s="138" t="s">
        <v>8</v>
      </c>
      <c r="E1413" s="138" t="s">
        <v>587</v>
      </c>
      <c r="F1413" s="138" t="s">
        <v>8187</v>
      </c>
      <c r="H1413" s="138">
        <v>223</v>
      </c>
      <c r="I1413" s="138">
        <v>496</v>
      </c>
      <c r="J1413" s="138">
        <v>321</v>
      </c>
      <c r="K1413" s="138">
        <v>157</v>
      </c>
      <c r="N1413" s="138">
        <v>4</v>
      </c>
      <c r="O1413" s="138">
        <v>6</v>
      </c>
      <c r="R1413" s="138">
        <v>0</v>
      </c>
      <c r="S1413" s="138">
        <v>7</v>
      </c>
      <c r="T1413" s="138">
        <v>1</v>
      </c>
      <c r="U1413" s="138">
        <f t="shared" si="2560"/>
        <v>14</v>
      </c>
      <c r="W1413" s="139">
        <f t="shared" ref="W1413:AA1413" si="2834">J1413/$I1413</f>
        <v>0.64717741935483875</v>
      </c>
      <c r="X1413" s="139">
        <f t="shared" si="2834"/>
        <v>0.31653225806451613</v>
      </c>
      <c r="Y1413" s="139">
        <f t="shared" si="2834"/>
        <v>0</v>
      </c>
      <c r="Z1413" s="139">
        <f t="shared" si="2834"/>
        <v>0</v>
      </c>
      <c r="AA1413" s="139">
        <f t="shared" si="2834"/>
        <v>8.0645161290322578E-3</v>
      </c>
      <c r="AB1413" s="139"/>
      <c r="AC1413" s="139">
        <f t="shared" si="2562"/>
        <v>2.8225806451612902E-2</v>
      </c>
      <c r="AD1413" s="139">
        <f t="shared" ref="AD1413:AI1413" si="2835">O1413/$I1413</f>
        <v>1.2096774193548387E-2</v>
      </c>
      <c r="AE1413" s="139">
        <f t="shared" si="2835"/>
        <v>0</v>
      </c>
      <c r="AF1413" s="139">
        <f t="shared" si="2835"/>
        <v>0</v>
      </c>
      <c r="AG1413" s="139">
        <f t="shared" si="2835"/>
        <v>0</v>
      </c>
      <c r="AH1413" s="139">
        <f t="shared" si="2835"/>
        <v>1.4112903225806451E-2</v>
      </c>
      <c r="AI1413" s="139">
        <f t="shared" si="2835"/>
        <v>2.0161290322580645E-3</v>
      </c>
    </row>
    <row r="1414" spans="2:35">
      <c r="B1414" s="138" t="s">
        <v>8077</v>
      </c>
      <c r="C1414" s="138" t="s">
        <v>4367</v>
      </c>
      <c r="D1414" s="138" t="s">
        <v>8</v>
      </c>
      <c r="E1414" s="138" t="s">
        <v>587</v>
      </c>
      <c r="F1414" s="138" t="s">
        <v>8187</v>
      </c>
      <c r="H1414" s="138">
        <v>224</v>
      </c>
      <c r="I1414" s="138">
        <v>830</v>
      </c>
      <c r="J1414" s="138">
        <v>515</v>
      </c>
      <c r="K1414" s="138">
        <v>259</v>
      </c>
      <c r="N1414" s="138">
        <v>3</v>
      </c>
      <c r="O1414" s="138">
        <v>9</v>
      </c>
      <c r="R1414" s="138">
        <v>3</v>
      </c>
      <c r="S1414" s="138">
        <v>31</v>
      </c>
      <c r="T1414" s="138">
        <v>10</v>
      </c>
      <c r="U1414" s="138">
        <f t="shared" si="2560"/>
        <v>53</v>
      </c>
      <c r="W1414" s="139">
        <f t="shared" ref="W1414:AA1414" si="2836">J1414/$I1414</f>
        <v>0.62048192771084343</v>
      </c>
      <c r="X1414" s="139">
        <f t="shared" si="2836"/>
        <v>0.31204819277108437</v>
      </c>
      <c r="Y1414" s="139">
        <f t="shared" si="2836"/>
        <v>0</v>
      </c>
      <c r="Z1414" s="139">
        <f t="shared" si="2836"/>
        <v>0</v>
      </c>
      <c r="AA1414" s="139">
        <f t="shared" si="2836"/>
        <v>3.6144578313253013E-3</v>
      </c>
      <c r="AB1414" s="139"/>
      <c r="AC1414" s="139">
        <f t="shared" si="2562"/>
        <v>6.3855421686746988E-2</v>
      </c>
      <c r="AD1414" s="139">
        <f t="shared" ref="AD1414:AI1414" si="2837">O1414/$I1414</f>
        <v>1.0843373493975903E-2</v>
      </c>
      <c r="AE1414" s="139">
        <f t="shared" si="2837"/>
        <v>0</v>
      </c>
      <c r="AF1414" s="139">
        <f t="shared" si="2837"/>
        <v>0</v>
      </c>
      <c r="AG1414" s="139">
        <f t="shared" si="2837"/>
        <v>3.6144578313253013E-3</v>
      </c>
      <c r="AH1414" s="139">
        <f t="shared" si="2837"/>
        <v>3.7349397590361447E-2</v>
      </c>
      <c r="AI1414" s="139">
        <f t="shared" si="2837"/>
        <v>1.2048192771084338E-2</v>
      </c>
    </row>
    <row r="1415" spans="2:35">
      <c r="B1415" s="138" t="s">
        <v>8077</v>
      </c>
      <c r="C1415" s="138" t="s">
        <v>4367</v>
      </c>
      <c r="D1415" s="138" t="s">
        <v>8</v>
      </c>
      <c r="E1415" s="138" t="s">
        <v>587</v>
      </c>
      <c r="F1415" s="138" t="s">
        <v>613</v>
      </c>
      <c r="H1415" s="138">
        <v>225</v>
      </c>
      <c r="I1415" s="138">
        <v>847</v>
      </c>
      <c r="J1415" s="138">
        <v>474</v>
      </c>
      <c r="K1415" s="138">
        <v>328</v>
      </c>
      <c r="N1415" s="138">
        <v>5</v>
      </c>
      <c r="O1415" s="138">
        <v>1</v>
      </c>
      <c r="R1415" s="138">
        <v>1</v>
      </c>
      <c r="S1415" s="138">
        <v>17</v>
      </c>
      <c r="T1415" s="138">
        <v>21</v>
      </c>
      <c r="U1415" s="138">
        <f t="shared" si="2560"/>
        <v>40</v>
      </c>
      <c r="W1415" s="139">
        <f t="shared" ref="W1415:AA1415" si="2838">J1415/$I1415</f>
        <v>0.5596221959858324</v>
      </c>
      <c r="X1415" s="139">
        <f t="shared" si="2838"/>
        <v>0.3872491145218418</v>
      </c>
      <c r="Y1415" s="139">
        <f t="shared" si="2838"/>
        <v>0</v>
      </c>
      <c r="Z1415" s="139">
        <f t="shared" si="2838"/>
        <v>0</v>
      </c>
      <c r="AA1415" s="139">
        <f t="shared" si="2838"/>
        <v>5.9031877213695395E-3</v>
      </c>
      <c r="AB1415" s="139"/>
      <c r="AC1415" s="139">
        <f t="shared" si="2562"/>
        <v>4.7225501770956316E-2</v>
      </c>
      <c r="AD1415" s="139">
        <f t="shared" ref="AD1415:AI1415" si="2839">O1415/$I1415</f>
        <v>1.1806375442739079E-3</v>
      </c>
      <c r="AE1415" s="139">
        <f t="shared" si="2839"/>
        <v>0</v>
      </c>
      <c r="AF1415" s="139">
        <f t="shared" si="2839"/>
        <v>0</v>
      </c>
      <c r="AG1415" s="139">
        <f t="shared" si="2839"/>
        <v>1.1806375442739079E-3</v>
      </c>
      <c r="AH1415" s="139">
        <f t="shared" si="2839"/>
        <v>2.0070838252656435E-2</v>
      </c>
      <c r="AI1415" s="139">
        <f t="shared" si="2839"/>
        <v>2.4793388429752067E-2</v>
      </c>
    </row>
    <row r="1416" spans="2:35">
      <c r="B1416" s="138" t="s">
        <v>8077</v>
      </c>
      <c r="C1416" s="138" t="s">
        <v>4367</v>
      </c>
      <c r="D1416" s="138" t="s">
        <v>8</v>
      </c>
      <c r="E1416" s="138" t="s">
        <v>587</v>
      </c>
      <c r="F1416" s="138" t="s">
        <v>613</v>
      </c>
      <c r="H1416" s="138">
        <v>226</v>
      </c>
      <c r="I1416" s="138">
        <v>767</v>
      </c>
      <c r="J1416" s="138">
        <v>400</v>
      </c>
      <c r="K1416" s="138">
        <v>304</v>
      </c>
      <c r="N1416" s="138">
        <v>7</v>
      </c>
      <c r="O1416" s="138">
        <v>1</v>
      </c>
      <c r="R1416" s="138">
        <v>1</v>
      </c>
      <c r="S1416" s="138">
        <v>14</v>
      </c>
      <c r="T1416" s="138">
        <v>40</v>
      </c>
      <c r="U1416" s="138">
        <f t="shared" si="2560"/>
        <v>56</v>
      </c>
      <c r="W1416" s="139">
        <f t="shared" ref="W1416:AA1416" si="2840">J1416/$I1416</f>
        <v>0.5215123859191656</v>
      </c>
      <c r="X1416" s="139">
        <f t="shared" si="2840"/>
        <v>0.39634941329856582</v>
      </c>
      <c r="Y1416" s="139">
        <f t="shared" si="2840"/>
        <v>0</v>
      </c>
      <c r="Z1416" s="139">
        <f t="shared" si="2840"/>
        <v>0</v>
      </c>
      <c r="AA1416" s="139">
        <f t="shared" si="2840"/>
        <v>9.126466753585397E-3</v>
      </c>
      <c r="AB1416" s="139"/>
      <c r="AC1416" s="139">
        <f t="shared" si="2562"/>
        <v>7.3011734028683176E-2</v>
      </c>
      <c r="AD1416" s="139">
        <f t="shared" ref="AD1416:AI1416" si="2841">O1416/$I1416</f>
        <v>1.3037809647979139E-3</v>
      </c>
      <c r="AE1416" s="139">
        <f t="shared" si="2841"/>
        <v>0</v>
      </c>
      <c r="AF1416" s="139">
        <f t="shared" si="2841"/>
        <v>0</v>
      </c>
      <c r="AG1416" s="139">
        <f t="shared" si="2841"/>
        <v>1.3037809647979139E-3</v>
      </c>
      <c r="AH1416" s="139">
        <f t="shared" si="2841"/>
        <v>1.8252933507170794E-2</v>
      </c>
      <c r="AI1416" s="139">
        <f t="shared" si="2841"/>
        <v>5.215123859191656E-2</v>
      </c>
    </row>
    <row r="1417" spans="2:35">
      <c r="B1417" s="138" t="s">
        <v>8077</v>
      </c>
      <c r="C1417" s="138" t="s">
        <v>4367</v>
      </c>
      <c r="D1417" s="138" t="s">
        <v>8</v>
      </c>
      <c r="E1417" s="138" t="s">
        <v>587</v>
      </c>
      <c r="F1417" s="138" t="s">
        <v>613</v>
      </c>
      <c r="H1417" s="138">
        <v>227</v>
      </c>
      <c r="I1417" s="138">
        <v>471</v>
      </c>
      <c r="J1417" s="138">
        <v>206</v>
      </c>
      <c r="K1417" s="138">
        <v>243</v>
      </c>
      <c r="N1417" s="138">
        <v>5</v>
      </c>
      <c r="O1417" s="138">
        <v>1</v>
      </c>
      <c r="R1417" s="138">
        <v>1</v>
      </c>
      <c r="S1417" s="138">
        <v>4</v>
      </c>
      <c r="T1417" s="138">
        <v>11</v>
      </c>
      <c r="U1417" s="138">
        <f t="shared" si="2560"/>
        <v>17</v>
      </c>
      <c r="W1417" s="139">
        <f t="shared" ref="W1417:AA1417" si="2842">J1417/$I1417</f>
        <v>0.43736730360934184</v>
      </c>
      <c r="X1417" s="139">
        <f t="shared" si="2842"/>
        <v>0.51592356687898089</v>
      </c>
      <c r="Y1417" s="139">
        <f t="shared" si="2842"/>
        <v>0</v>
      </c>
      <c r="Z1417" s="139">
        <f t="shared" si="2842"/>
        <v>0</v>
      </c>
      <c r="AA1417" s="139">
        <f t="shared" si="2842"/>
        <v>1.0615711252653927E-2</v>
      </c>
      <c r="AB1417" s="139"/>
      <c r="AC1417" s="139">
        <f t="shared" si="2562"/>
        <v>3.6093418259023353E-2</v>
      </c>
      <c r="AD1417" s="139">
        <f t="shared" ref="AD1417:AI1417" si="2843">O1417/$I1417</f>
        <v>2.1231422505307855E-3</v>
      </c>
      <c r="AE1417" s="139">
        <f t="shared" si="2843"/>
        <v>0</v>
      </c>
      <c r="AF1417" s="139">
        <f t="shared" si="2843"/>
        <v>0</v>
      </c>
      <c r="AG1417" s="139">
        <f t="shared" si="2843"/>
        <v>2.1231422505307855E-3</v>
      </c>
      <c r="AH1417" s="139">
        <f t="shared" si="2843"/>
        <v>8.4925690021231421E-3</v>
      </c>
      <c r="AI1417" s="139">
        <f t="shared" si="2843"/>
        <v>2.3354564755838639E-2</v>
      </c>
    </row>
    <row r="1418" spans="2:35">
      <c r="B1418" s="138" t="s">
        <v>8077</v>
      </c>
      <c r="C1418" s="138" t="s">
        <v>4367</v>
      </c>
      <c r="D1418" s="138" t="s">
        <v>7</v>
      </c>
      <c r="E1418" s="138" t="s">
        <v>671</v>
      </c>
      <c r="F1418" s="138" t="s">
        <v>1225</v>
      </c>
      <c r="H1418" s="138">
        <v>1</v>
      </c>
      <c r="I1418" s="138">
        <v>690</v>
      </c>
      <c r="J1418" s="138">
        <v>340</v>
      </c>
      <c r="K1418" s="138">
        <v>292</v>
      </c>
      <c r="N1418" s="138">
        <v>7</v>
      </c>
      <c r="O1418" s="138">
        <v>7</v>
      </c>
      <c r="R1418" s="138">
        <v>2</v>
      </c>
      <c r="S1418" s="138">
        <v>18</v>
      </c>
      <c r="T1418" s="138">
        <v>24</v>
      </c>
      <c r="U1418" s="138">
        <f t="shared" si="2560"/>
        <v>51</v>
      </c>
      <c r="W1418" s="139">
        <f t="shared" ref="W1418:AA1418" si="2844">J1418/$I1418</f>
        <v>0.49275362318840582</v>
      </c>
      <c r="X1418" s="139">
        <f t="shared" si="2844"/>
        <v>0.42318840579710143</v>
      </c>
      <c r="Y1418" s="139">
        <f t="shared" si="2844"/>
        <v>0</v>
      </c>
      <c r="Z1418" s="139">
        <f t="shared" si="2844"/>
        <v>0</v>
      </c>
      <c r="AA1418" s="139">
        <f t="shared" si="2844"/>
        <v>1.0144927536231883E-2</v>
      </c>
      <c r="AB1418" s="139"/>
      <c r="AC1418" s="139">
        <f t="shared" si="2562"/>
        <v>7.3913043478260873E-2</v>
      </c>
      <c r="AD1418" s="139">
        <f t="shared" ref="AD1418:AI1418" si="2845">O1418/$I1418</f>
        <v>1.0144927536231883E-2</v>
      </c>
      <c r="AE1418" s="139">
        <f t="shared" si="2845"/>
        <v>0</v>
      </c>
      <c r="AF1418" s="139">
        <f t="shared" si="2845"/>
        <v>0</v>
      </c>
      <c r="AG1418" s="139">
        <f t="shared" si="2845"/>
        <v>2.8985507246376812E-3</v>
      </c>
      <c r="AH1418" s="139">
        <f t="shared" si="2845"/>
        <v>2.6086956521739129E-2</v>
      </c>
      <c r="AI1418" s="139">
        <f t="shared" si="2845"/>
        <v>3.4782608695652174E-2</v>
      </c>
    </row>
    <row r="1419" spans="2:35">
      <c r="B1419" s="138" t="s">
        <v>8077</v>
      </c>
      <c r="C1419" s="138" t="s">
        <v>4367</v>
      </c>
      <c r="D1419" s="138" t="s">
        <v>7</v>
      </c>
      <c r="E1419" s="138" t="s">
        <v>671</v>
      </c>
      <c r="F1419" s="138" t="s">
        <v>1225</v>
      </c>
      <c r="H1419" s="138">
        <v>2</v>
      </c>
      <c r="I1419" s="138">
        <v>785</v>
      </c>
      <c r="J1419" s="138">
        <v>354</v>
      </c>
      <c r="K1419" s="138">
        <v>383</v>
      </c>
      <c r="N1419" s="138">
        <v>6</v>
      </c>
      <c r="O1419" s="138">
        <v>2</v>
      </c>
      <c r="R1419" s="138">
        <v>1</v>
      </c>
      <c r="S1419" s="138">
        <v>16</v>
      </c>
      <c r="T1419" s="138">
        <v>23</v>
      </c>
      <c r="U1419" s="138">
        <f t="shared" si="2560"/>
        <v>42</v>
      </c>
      <c r="W1419" s="139">
        <f t="shared" ref="W1419:AA1419" si="2846">J1419/$I1419</f>
        <v>0.45095541401273886</v>
      </c>
      <c r="X1419" s="139">
        <f t="shared" si="2846"/>
        <v>0.48789808917197452</v>
      </c>
      <c r="Y1419" s="139">
        <f t="shared" si="2846"/>
        <v>0</v>
      </c>
      <c r="Z1419" s="139">
        <f t="shared" si="2846"/>
        <v>0</v>
      </c>
      <c r="AA1419" s="139">
        <f t="shared" si="2846"/>
        <v>7.6433121019108281E-3</v>
      </c>
      <c r="AB1419" s="139"/>
      <c r="AC1419" s="139">
        <f t="shared" si="2562"/>
        <v>5.3503184713375798E-2</v>
      </c>
      <c r="AD1419" s="139">
        <f t="shared" ref="AD1419:AI1419" si="2847">O1419/$I1419</f>
        <v>2.5477707006369425E-3</v>
      </c>
      <c r="AE1419" s="139">
        <f t="shared" si="2847"/>
        <v>0</v>
      </c>
      <c r="AF1419" s="139">
        <f t="shared" si="2847"/>
        <v>0</v>
      </c>
      <c r="AG1419" s="139">
        <f t="shared" si="2847"/>
        <v>1.2738853503184713E-3</v>
      </c>
      <c r="AH1419" s="139">
        <f t="shared" si="2847"/>
        <v>2.038216560509554E-2</v>
      </c>
      <c r="AI1419" s="139">
        <f t="shared" si="2847"/>
        <v>2.9299363057324841E-2</v>
      </c>
    </row>
    <row r="1420" spans="2:35">
      <c r="B1420" s="138" t="s">
        <v>8077</v>
      </c>
      <c r="C1420" s="138" t="s">
        <v>4367</v>
      </c>
      <c r="D1420" s="138" t="s">
        <v>7</v>
      </c>
      <c r="E1420" s="138" t="s">
        <v>671</v>
      </c>
      <c r="F1420" s="138" t="s">
        <v>1225</v>
      </c>
      <c r="H1420" s="138">
        <v>3</v>
      </c>
      <c r="I1420" s="138">
        <v>663</v>
      </c>
      <c r="J1420" s="138">
        <v>307</v>
      </c>
      <c r="K1420" s="138">
        <v>316</v>
      </c>
      <c r="N1420" s="138">
        <v>7</v>
      </c>
      <c r="O1420" s="138">
        <v>5</v>
      </c>
      <c r="R1420" s="138">
        <v>0</v>
      </c>
      <c r="S1420" s="138">
        <v>6</v>
      </c>
      <c r="T1420" s="138">
        <v>22</v>
      </c>
      <c r="U1420" s="138">
        <f t="shared" si="2560"/>
        <v>33</v>
      </c>
      <c r="W1420" s="139">
        <f t="shared" ref="W1420:AA1420" si="2848">J1420/$I1420</f>
        <v>0.46304675716440424</v>
      </c>
      <c r="X1420" s="139">
        <f t="shared" si="2848"/>
        <v>0.47662141779788841</v>
      </c>
      <c r="Y1420" s="139">
        <f t="shared" si="2848"/>
        <v>0</v>
      </c>
      <c r="Z1420" s="139">
        <f t="shared" si="2848"/>
        <v>0</v>
      </c>
      <c r="AA1420" s="139">
        <f t="shared" si="2848"/>
        <v>1.0558069381598794E-2</v>
      </c>
      <c r="AB1420" s="139"/>
      <c r="AC1420" s="139">
        <f t="shared" si="2562"/>
        <v>4.9773755656108594E-2</v>
      </c>
      <c r="AD1420" s="139">
        <f t="shared" ref="AD1420:AI1420" si="2849">O1420/$I1420</f>
        <v>7.5414781297134239E-3</v>
      </c>
      <c r="AE1420" s="139">
        <f t="shared" si="2849"/>
        <v>0</v>
      </c>
      <c r="AF1420" s="139">
        <f t="shared" si="2849"/>
        <v>0</v>
      </c>
      <c r="AG1420" s="139">
        <f t="shared" si="2849"/>
        <v>0</v>
      </c>
      <c r="AH1420" s="139">
        <f t="shared" si="2849"/>
        <v>9.0497737556561094E-3</v>
      </c>
      <c r="AI1420" s="139">
        <f t="shared" si="2849"/>
        <v>3.3182503770739065E-2</v>
      </c>
    </row>
    <row r="1421" spans="2:35">
      <c r="B1421" s="138" t="s">
        <v>8077</v>
      </c>
      <c r="C1421" s="138" t="s">
        <v>4367</v>
      </c>
      <c r="D1421" s="138" t="s">
        <v>7</v>
      </c>
      <c r="E1421" s="138" t="s">
        <v>671</v>
      </c>
      <c r="F1421" s="138" t="s">
        <v>1225</v>
      </c>
      <c r="H1421" s="138">
        <v>4</v>
      </c>
      <c r="I1421" s="138">
        <v>712</v>
      </c>
      <c r="J1421" s="138">
        <v>366</v>
      </c>
      <c r="K1421" s="138">
        <v>313</v>
      </c>
      <c r="N1421" s="138">
        <v>6</v>
      </c>
      <c r="O1421" s="138">
        <v>4</v>
      </c>
      <c r="R1421" s="138">
        <v>0</v>
      </c>
      <c r="S1421" s="138">
        <v>16</v>
      </c>
      <c r="T1421" s="138">
        <v>7</v>
      </c>
      <c r="U1421" s="138">
        <f t="shared" si="2560"/>
        <v>27</v>
      </c>
      <c r="W1421" s="139">
        <f t="shared" ref="W1421:AA1421" si="2850">J1421/$I1421</f>
        <v>0.5140449438202247</v>
      </c>
      <c r="X1421" s="139">
        <f t="shared" si="2850"/>
        <v>0.4396067415730337</v>
      </c>
      <c r="Y1421" s="139">
        <f t="shared" si="2850"/>
        <v>0</v>
      </c>
      <c r="Z1421" s="139">
        <f t="shared" si="2850"/>
        <v>0</v>
      </c>
      <c r="AA1421" s="139">
        <f t="shared" si="2850"/>
        <v>8.4269662921348312E-3</v>
      </c>
      <c r="AB1421" s="139"/>
      <c r="AC1421" s="139">
        <f t="shared" si="2562"/>
        <v>3.7921348314606744E-2</v>
      </c>
      <c r="AD1421" s="139">
        <f t="shared" ref="AD1421:AI1421" si="2851">O1421/$I1421</f>
        <v>5.6179775280898875E-3</v>
      </c>
      <c r="AE1421" s="139">
        <f t="shared" si="2851"/>
        <v>0</v>
      </c>
      <c r="AF1421" s="139">
        <f t="shared" si="2851"/>
        <v>0</v>
      </c>
      <c r="AG1421" s="139">
        <f t="shared" si="2851"/>
        <v>0</v>
      </c>
      <c r="AH1421" s="139">
        <f t="shared" si="2851"/>
        <v>2.247191011235955E-2</v>
      </c>
      <c r="AI1421" s="139">
        <f t="shared" si="2851"/>
        <v>9.8314606741573031E-3</v>
      </c>
    </row>
    <row r="1422" spans="2:35">
      <c r="B1422" s="138" t="s">
        <v>8077</v>
      </c>
      <c r="C1422" s="138" t="s">
        <v>4367</v>
      </c>
      <c r="D1422" s="138" t="s">
        <v>7</v>
      </c>
      <c r="E1422" s="138" t="s">
        <v>671</v>
      </c>
      <c r="F1422" s="138" t="s">
        <v>1225</v>
      </c>
      <c r="H1422" s="138">
        <v>5</v>
      </c>
      <c r="I1422" s="138">
        <v>804</v>
      </c>
      <c r="J1422" s="138">
        <v>333</v>
      </c>
      <c r="K1422" s="138">
        <v>438</v>
      </c>
      <c r="N1422" s="138">
        <v>7</v>
      </c>
      <c r="O1422" s="138">
        <v>1</v>
      </c>
      <c r="R1422" s="138">
        <v>0</v>
      </c>
      <c r="S1422" s="138">
        <v>11</v>
      </c>
      <c r="T1422" s="138">
        <v>14</v>
      </c>
      <c r="U1422" s="138">
        <f t="shared" si="2560"/>
        <v>26</v>
      </c>
      <c r="W1422" s="139">
        <f t="shared" ref="W1422:AA1422" si="2852">J1422/$I1422</f>
        <v>0.41417910447761191</v>
      </c>
      <c r="X1422" s="139">
        <f t="shared" si="2852"/>
        <v>0.54477611940298509</v>
      </c>
      <c r="Y1422" s="139">
        <f t="shared" si="2852"/>
        <v>0</v>
      </c>
      <c r="Z1422" s="139">
        <f t="shared" si="2852"/>
        <v>0</v>
      </c>
      <c r="AA1422" s="139">
        <f t="shared" si="2852"/>
        <v>8.7064676616915426E-3</v>
      </c>
      <c r="AB1422" s="139"/>
      <c r="AC1422" s="139">
        <f t="shared" si="2562"/>
        <v>3.2338308457711441E-2</v>
      </c>
      <c r="AD1422" s="139">
        <f t="shared" ref="AD1422:AI1422" si="2853">O1422/$I1422</f>
        <v>1.2437810945273632E-3</v>
      </c>
      <c r="AE1422" s="139">
        <f t="shared" si="2853"/>
        <v>0</v>
      </c>
      <c r="AF1422" s="139">
        <f t="shared" si="2853"/>
        <v>0</v>
      </c>
      <c r="AG1422" s="139">
        <f t="shared" si="2853"/>
        <v>0</v>
      </c>
      <c r="AH1422" s="139">
        <f t="shared" si="2853"/>
        <v>1.3681592039800995E-2</v>
      </c>
      <c r="AI1422" s="139">
        <f t="shared" si="2853"/>
        <v>1.7412935323383085E-2</v>
      </c>
    </row>
    <row r="1423" spans="2:35">
      <c r="B1423" s="138" t="s">
        <v>8077</v>
      </c>
      <c r="C1423" s="138" t="s">
        <v>4367</v>
      </c>
      <c r="D1423" s="138" t="s">
        <v>7</v>
      </c>
      <c r="E1423" s="138" t="s">
        <v>671</v>
      </c>
      <c r="F1423" s="138" t="s">
        <v>1249</v>
      </c>
      <c r="H1423" s="138">
        <v>6</v>
      </c>
      <c r="I1423" s="138">
        <v>851</v>
      </c>
      <c r="J1423" s="138">
        <v>416</v>
      </c>
      <c r="K1423" s="138">
        <v>371</v>
      </c>
      <c r="N1423" s="138">
        <v>4</v>
      </c>
      <c r="O1423" s="138">
        <v>1</v>
      </c>
      <c r="R1423" s="138">
        <v>2</v>
      </c>
      <c r="S1423" s="138">
        <v>23</v>
      </c>
      <c r="T1423" s="138">
        <v>34</v>
      </c>
      <c r="U1423" s="138">
        <f t="shared" si="2560"/>
        <v>60</v>
      </c>
      <c r="W1423" s="139">
        <f t="shared" ref="W1423:AA1423" si="2854">J1423/$I1423</f>
        <v>0.48883666274970622</v>
      </c>
      <c r="X1423" s="139">
        <f t="shared" si="2854"/>
        <v>0.43595769682726204</v>
      </c>
      <c r="Y1423" s="139">
        <f t="shared" si="2854"/>
        <v>0</v>
      </c>
      <c r="Z1423" s="139">
        <f t="shared" si="2854"/>
        <v>0</v>
      </c>
      <c r="AA1423" s="139">
        <f t="shared" si="2854"/>
        <v>4.7003525264394828E-3</v>
      </c>
      <c r="AB1423" s="139"/>
      <c r="AC1423" s="139">
        <f t="shared" si="2562"/>
        <v>7.0505287896592245E-2</v>
      </c>
      <c r="AD1423" s="139">
        <f t="shared" ref="AD1423:AI1423" si="2855">O1423/$I1423</f>
        <v>1.1750881316098707E-3</v>
      </c>
      <c r="AE1423" s="139">
        <f t="shared" si="2855"/>
        <v>0</v>
      </c>
      <c r="AF1423" s="139">
        <f t="shared" si="2855"/>
        <v>0</v>
      </c>
      <c r="AG1423" s="139">
        <f t="shared" si="2855"/>
        <v>2.3501762632197414E-3</v>
      </c>
      <c r="AH1423" s="139">
        <f t="shared" si="2855"/>
        <v>2.7027027027027029E-2</v>
      </c>
      <c r="AI1423" s="139">
        <f t="shared" si="2855"/>
        <v>3.9952996474735603E-2</v>
      </c>
    </row>
    <row r="1424" spans="2:35">
      <c r="B1424" s="138" t="s">
        <v>8077</v>
      </c>
      <c r="C1424" s="138" t="s">
        <v>4367</v>
      </c>
      <c r="D1424" s="138" t="s">
        <v>7</v>
      </c>
      <c r="E1424" s="138" t="s">
        <v>671</v>
      </c>
      <c r="F1424" s="138" t="s">
        <v>1249</v>
      </c>
      <c r="H1424" s="138">
        <v>7</v>
      </c>
      <c r="I1424" s="138">
        <v>856</v>
      </c>
      <c r="J1424" s="138">
        <v>360</v>
      </c>
      <c r="K1424" s="138">
        <v>437</v>
      </c>
      <c r="N1424" s="138">
        <v>9</v>
      </c>
      <c r="O1424" s="138">
        <v>5</v>
      </c>
      <c r="R1424" s="138">
        <v>0</v>
      </c>
      <c r="S1424" s="138">
        <v>17</v>
      </c>
      <c r="T1424" s="138">
        <v>28</v>
      </c>
      <c r="U1424" s="138">
        <f t="shared" si="2560"/>
        <v>50</v>
      </c>
      <c r="W1424" s="139">
        <f t="shared" ref="W1424:AA1424" si="2856">J1424/$I1424</f>
        <v>0.42056074766355139</v>
      </c>
      <c r="X1424" s="139">
        <f t="shared" si="2856"/>
        <v>0.51051401869158874</v>
      </c>
      <c r="Y1424" s="139">
        <f t="shared" si="2856"/>
        <v>0</v>
      </c>
      <c r="Z1424" s="139">
        <f t="shared" si="2856"/>
        <v>0</v>
      </c>
      <c r="AA1424" s="139">
        <f t="shared" si="2856"/>
        <v>1.0514018691588784E-2</v>
      </c>
      <c r="AB1424" s="139"/>
      <c r="AC1424" s="139">
        <f t="shared" si="2562"/>
        <v>5.8411214953271028E-2</v>
      </c>
      <c r="AD1424" s="139">
        <f t="shared" ref="AD1424:AI1424" si="2857">O1424/$I1424</f>
        <v>5.8411214953271026E-3</v>
      </c>
      <c r="AE1424" s="139">
        <f t="shared" si="2857"/>
        <v>0</v>
      </c>
      <c r="AF1424" s="139">
        <f t="shared" si="2857"/>
        <v>0</v>
      </c>
      <c r="AG1424" s="139">
        <f t="shared" si="2857"/>
        <v>0</v>
      </c>
      <c r="AH1424" s="139">
        <f t="shared" si="2857"/>
        <v>1.9859813084112148E-2</v>
      </c>
      <c r="AI1424" s="139">
        <f t="shared" si="2857"/>
        <v>3.2710280373831772E-2</v>
      </c>
    </row>
    <row r="1425" spans="2:35">
      <c r="B1425" s="138" t="s">
        <v>8077</v>
      </c>
      <c r="C1425" s="138" t="s">
        <v>4367</v>
      </c>
      <c r="D1425" s="138" t="s">
        <v>7</v>
      </c>
      <c r="E1425" s="138" t="s">
        <v>671</v>
      </c>
      <c r="F1425" s="138" t="s">
        <v>1249</v>
      </c>
      <c r="H1425" s="138">
        <v>8</v>
      </c>
      <c r="I1425" s="138">
        <v>826</v>
      </c>
      <c r="J1425" s="138">
        <v>422</v>
      </c>
      <c r="K1425" s="138">
        <v>365</v>
      </c>
      <c r="N1425" s="138">
        <v>10</v>
      </c>
      <c r="O1425" s="138">
        <v>8</v>
      </c>
      <c r="R1425" s="138">
        <v>2</v>
      </c>
      <c r="S1425" s="138">
        <v>11</v>
      </c>
      <c r="T1425" s="138">
        <v>8</v>
      </c>
      <c r="U1425" s="138">
        <f t="shared" si="2560"/>
        <v>29</v>
      </c>
      <c r="W1425" s="139">
        <f t="shared" ref="W1425:AA1425" si="2858">J1425/$I1425</f>
        <v>0.51089588377723971</v>
      </c>
      <c r="X1425" s="139">
        <f t="shared" si="2858"/>
        <v>0.44188861985472155</v>
      </c>
      <c r="Y1425" s="139">
        <f t="shared" si="2858"/>
        <v>0</v>
      </c>
      <c r="Z1425" s="139">
        <f t="shared" si="2858"/>
        <v>0</v>
      </c>
      <c r="AA1425" s="139">
        <f t="shared" si="2858"/>
        <v>1.2106537530266344E-2</v>
      </c>
      <c r="AB1425" s="139"/>
      <c r="AC1425" s="139">
        <f t="shared" si="2562"/>
        <v>3.5108958837772396E-2</v>
      </c>
      <c r="AD1425" s="139">
        <f t="shared" ref="AD1425:AI1425" si="2859">O1425/$I1425</f>
        <v>9.6852300242130755E-3</v>
      </c>
      <c r="AE1425" s="139">
        <f t="shared" si="2859"/>
        <v>0</v>
      </c>
      <c r="AF1425" s="139">
        <f t="shared" si="2859"/>
        <v>0</v>
      </c>
      <c r="AG1425" s="139">
        <f t="shared" si="2859"/>
        <v>2.4213075060532689E-3</v>
      </c>
      <c r="AH1425" s="139">
        <f t="shared" si="2859"/>
        <v>1.3317191283292978E-2</v>
      </c>
      <c r="AI1425" s="139">
        <f t="shared" si="2859"/>
        <v>9.6852300242130755E-3</v>
      </c>
    </row>
    <row r="1426" spans="2:35">
      <c r="B1426" s="138" t="s">
        <v>8077</v>
      </c>
      <c r="C1426" s="138" t="s">
        <v>4367</v>
      </c>
      <c r="D1426" s="138" t="s">
        <v>7</v>
      </c>
      <c r="E1426" s="138" t="s">
        <v>671</v>
      </c>
      <c r="F1426" s="138" t="s">
        <v>1249</v>
      </c>
      <c r="H1426" s="138">
        <v>9</v>
      </c>
      <c r="I1426" s="138">
        <v>834</v>
      </c>
      <c r="J1426" s="138">
        <v>481</v>
      </c>
      <c r="K1426" s="138">
        <v>299</v>
      </c>
      <c r="N1426" s="138">
        <v>7</v>
      </c>
      <c r="O1426" s="138">
        <v>6</v>
      </c>
      <c r="R1426" s="138">
        <v>1</v>
      </c>
      <c r="S1426" s="138">
        <v>19</v>
      </c>
      <c r="T1426" s="138">
        <v>21</v>
      </c>
      <c r="U1426" s="138">
        <f t="shared" si="2560"/>
        <v>47</v>
      </c>
      <c r="W1426" s="139">
        <f t="shared" ref="W1426:AA1426" si="2860">J1426/$I1426</f>
        <v>0.5767386091127098</v>
      </c>
      <c r="X1426" s="139">
        <f t="shared" si="2860"/>
        <v>0.35851318944844124</v>
      </c>
      <c r="Y1426" s="139">
        <f t="shared" si="2860"/>
        <v>0</v>
      </c>
      <c r="Z1426" s="139">
        <f t="shared" si="2860"/>
        <v>0</v>
      </c>
      <c r="AA1426" s="139">
        <f t="shared" si="2860"/>
        <v>8.3932853717026377E-3</v>
      </c>
      <c r="AB1426" s="139"/>
      <c r="AC1426" s="139">
        <f t="shared" si="2562"/>
        <v>5.635491606714628E-2</v>
      </c>
      <c r="AD1426" s="139">
        <f t="shared" ref="AD1426:AI1426" si="2861">O1426/$I1426</f>
        <v>7.1942446043165471E-3</v>
      </c>
      <c r="AE1426" s="139">
        <f t="shared" si="2861"/>
        <v>0</v>
      </c>
      <c r="AF1426" s="139">
        <f t="shared" si="2861"/>
        <v>0</v>
      </c>
      <c r="AG1426" s="139">
        <f t="shared" si="2861"/>
        <v>1.199040767386091E-3</v>
      </c>
      <c r="AH1426" s="139">
        <f t="shared" si="2861"/>
        <v>2.2781774580335732E-2</v>
      </c>
      <c r="AI1426" s="139">
        <f t="shared" si="2861"/>
        <v>2.5179856115107913E-2</v>
      </c>
    </row>
    <row r="1427" spans="2:35">
      <c r="B1427" s="138" t="s">
        <v>8077</v>
      </c>
      <c r="C1427" s="138" t="s">
        <v>4367</v>
      </c>
      <c r="D1427" s="138" t="s">
        <v>7</v>
      </c>
      <c r="E1427" s="138" t="s">
        <v>671</v>
      </c>
      <c r="F1427" s="138" t="s">
        <v>1249</v>
      </c>
      <c r="H1427" s="138">
        <v>10</v>
      </c>
      <c r="I1427" s="138">
        <v>756</v>
      </c>
      <c r="J1427" s="138">
        <v>359</v>
      </c>
      <c r="K1427" s="138">
        <v>371</v>
      </c>
      <c r="N1427" s="138">
        <v>7</v>
      </c>
      <c r="O1427" s="138">
        <v>0</v>
      </c>
      <c r="R1427" s="138">
        <v>0</v>
      </c>
      <c r="S1427" s="138">
        <v>8</v>
      </c>
      <c r="T1427" s="138">
        <v>11</v>
      </c>
      <c r="U1427" s="138">
        <f t="shared" si="2560"/>
        <v>19</v>
      </c>
      <c r="W1427" s="139">
        <f t="shared" ref="W1427:AA1427" si="2862">J1427/$I1427</f>
        <v>0.47486772486772488</v>
      </c>
      <c r="X1427" s="139">
        <f t="shared" si="2862"/>
        <v>0.49074074074074076</v>
      </c>
      <c r="Y1427" s="139">
        <f t="shared" si="2862"/>
        <v>0</v>
      </c>
      <c r="Z1427" s="139">
        <f t="shared" si="2862"/>
        <v>0</v>
      </c>
      <c r="AA1427" s="139">
        <f t="shared" si="2862"/>
        <v>9.2592592592592587E-3</v>
      </c>
      <c r="AB1427" s="139"/>
      <c r="AC1427" s="139">
        <f t="shared" si="2562"/>
        <v>2.5132275132275131E-2</v>
      </c>
      <c r="AD1427" s="139">
        <f t="shared" ref="AD1427:AI1427" si="2863">O1427/$I1427</f>
        <v>0</v>
      </c>
      <c r="AE1427" s="139">
        <f t="shared" si="2863"/>
        <v>0</v>
      </c>
      <c r="AF1427" s="139">
        <f t="shared" si="2863"/>
        <v>0</v>
      </c>
      <c r="AG1427" s="139">
        <f t="shared" si="2863"/>
        <v>0</v>
      </c>
      <c r="AH1427" s="139">
        <f t="shared" si="2863"/>
        <v>1.0582010582010581E-2</v>
      </c>
      <c r="AI1427" s="139">
        <f t="shared" si="2863"/>
        <v>1.4550264550264549E-2</v>
      </c>
    </row>
    <row r="1428" spans="2:35">
      <c r="B1428" s="138" t="s">
        <v>8077</v>
      </c>
      <c r="C1428" s="138" t="s">
        <v>4367</v>
      </c>
      <c r="D1428" s="138" t="s">
        <v>7</v>
      </c>
      <c r="E1428" s="138" t="s">
        <v>671</v>
      </c>
      <c r="F1428" s="138" t="s">
        <v>8188</v>
      </c>
      <c r="H1428" s="138">
        <v>11</v>
      </c>
      <c r="I1428" s="138">
        <v>823</v>
      </c>
      <c r="J1428" s="138">
        <v>379</v>
      </c>
      <c r="K1428" s="138">
        <v>415</v>
      </c>
      <c r="N1428" s="138">
        <v>4</v>
      </c>
      <c r="O1428" s="138">
        <v>3</v>
      </c>
      <c r="R1428" s="138">
        <v>0</v>
      </c>
      <c r="S1428" s="138">
        <v>13</v>
      </c>
      <c r="T1428" s="138">
        <v>9</v>
      </c>
      <c r="U1428" s="138">
        <f t="shared" si="2560"/>
        <v>25</v>
      </c>
      <c r="W1428" s="139">
        <f t="shared" ref="W1428:AA1428" si="2864">J1428/$I1428</f>
        <v>0.46051032806804376</v>
      </c>
      <c r="X1428" s="139">
        <f t="shared" si="2864"/>
        <v>0.50425273390036451</v>
      </c>
      <c r="Y1428" s="139">
        <f t="shared" si="2864"/>
        <v>0</v>
      </c>
      <c r="Z1428" s="139">
        <f t="shared" si="2864"/>
        <v>0</v>
      </c>
      <c r="AA1428" s="139">
        <f t="shared" si="2864"/>
        <v>4.8602673147023082E-3</v>
      </c>
      <c r="AB1428" s="139"/>
      <c r="AC1428" s="139">
        <f t="shared" si="2562"/>
        <v>3.0376670716889428E-2</v>
      </c>
      <c r="AD1428" s="139">
        <f t="shared" ref="AD1428:AI1428" si="2865">O1428/$I1428</f>
        <v>3.6452004860267314E-3</v>
      </c>
      <c r="AE1428" s="139">
        <f t="shared" si="2865"/>
        <v>0</v>
      </c>
      <c r="AF1428" s="139">
        <f t="shared" si="2865"/>
        <v>0</v>
      </c>
      <c r="AG1428" s="139">
        <f t="shared" si="2865"/>
        <v>0</v>
      </c>
      <c r="AH1428" s="139">
        <f t="shared" si="2865"/>
        <v>1.5795868772782502E-2</v>
      </c>
      <c r="AI1428" s="139">
        <f t="shared" si="2865"/>
        <v>1.0935601458080195E-2</v>
      </c>
    </row>
    <row r="1429" spans="2:35">
      <c r="B1429" s="138" t="s">
        <v>8077</v>
      </c>
      <c r="C1429" s="138" t="s">
        <v>4367</v>
      </c>
      <c r="D1429" s="138" t="s">
        <v>7</v>
      </c>
      <c r="E1429" s="138" t="s">
        <v>671</v>
      </c>
      <c r="F1429" s="138" t="s">
        <v>8188</v>
      </c>
      <c r="H1429" s="138">
        <v>12</v>
      </c>
      <c r="I1429" s="138">
        <v>1002</v>
      </c>
      <c r="J1429" s="138">
        <v>423</v>
      </c>
      <c r="K1429" s="138">
        <v>547</v>
      </c>
      <c r="N1429" s="138">
        <v>2</v>
      </c>
      <c r="O1429" s="138">
        <v>1</v>
      </c>
      <c r="R1429" s="138">
        <v>0</v>
      </c>
      <c r="S1429" s="138">
        <v>15</v>
      </c>
      <c r="T1429" s="138">
        <v>14</v>
      </c>
      <c r="U1429" s="138">
        <f t="shared" si="2560"/>
        <v>30</v>
      </c>
      <c r="W1429" s="139">
        <f t="shared" ref="W1429:AA1429" si="2866">J1429/$I1429</f>
        <v>0.42215568862275449</v>
      </c>
      <c r="X1429" s="139">
        <f t="shared" si="2866"/>
        <v>0.54590818363273452</v>
      </c>
      <c r="Y1429" s="139">
        <f t="shared" si="2866"/>
        <v>0</v>
      </c>
      <c r="Z1429" s="139">
        <f t="shared" si="2866"/>
        <v>0</v>
      </c>
      <c r="AA1429" s="139">
        <f t="shared" si="2866"/>
        <v>1.996007984031936E-3</v>
      </c>
      <c r="AB1429" s="139"/>
      <c r="AC1429" s="139">
        <f t="shared" si="2562"/>
        <v>2.9940119760479042E-2</v>
      </c>
      <c r="AD1429" s="139">
        <f t="shared" ref="AD1429:AI1429" si="2867">O1429/$I1429</f>
        <v>9.9800399201596798E-4</v>
      </c>
      <c r="AE1429" s="139">
        <f t="shared" si="2867"/>
        <v>0</v>
      </c>
      <c r="AF1429" s="139">
        <f t="shared" si="2867"/>
        <v>0</v>
      </c>
      <c r="AG1429" s="139">
        <f t="shared" si="2867"/>
        <v>0</v>
      </c>
      <c r="AH1429" s="139">
        <f t="shared" si="2867"/>
        <v>1.4970059880239521E-2</v>
      </c>
      <c r="AI1429" s="139">
        <f t="shared" si="2867"/>
        <v>1.3972055888223553E-2</v>
      </c>
    </row>
    <row r="1430" spans="2:35">
      <c r="B1430" s="138" t="s">
        <v>8077</v>
      </c>
      <c r="C1430" s="138" t="s">
        <v>4367</v>
      </c>
      <c r="D1430" s="138" t="s">
        <v>7</v>
      </c>
      <c r="E1430" s="138" t="s">
        <v>671</v>
      </c>
      <c r="F1430" s="138" t="s">
        <v>8189</v>
      </c>
      <c r="H1430" s="138">
        <v>13</v>
      </c>
      <c r="I1430" s="138">
        <v>961</v>
      </c>
      <c r="J1430" s="138">
        <v>635</v>
      </c>
      <c r="K1430" s="138">
        <v>288</v>
      </c>
      <c r="N1430" s="138">
        <v>7</v>
      </c>
      <c r="O1430" s="138">
        <v>7</v>
      </c>
      <c r="R1430" s="138">
        <v>0</v>
      </c>
      <c r="S1430" s="138">
        <v>12</v>
      </c>
      <c r="T1430" s="138">
        <v>12</v>
      </c>
      <c r="U1430" s="138">
        <f t="shared" si="2560"/>
        <v>31</v>
      </c>
      <c r="W1430" s="139">
        <f t="shared" ref="W1430:AA1430" si="2868">J1430/$I1430</f>
        <v>0.66077003121748179</v>
      </c>
      <c r="X1430" s="139">
        <f t="shared" si="2868"/>
        <v>0.29968782518210196</v>
      </c>
      <c r="Y1430" s="139">
        <f t="shared" si="2868"/>
        <v>0</v>
      </c>
      <c r="Z1430" s="139">
        <f t="shared" si="2868"/>
        <v>0</v>
      </c>
      <c r="AA1430" s="139">
        <f t="shared" si="2868"/>
        <v>7.2840790842872011E-3</v>
      </c>
      <c r="AB1430" s="139"/>
      <c r="AC1430" s="139">
        <f t="shared" si="2562"/>
        <v>3.2258064516129031E-2</v>
      </c>
      <c r="AD1430" s="139">
        <f t="shared" ref="AD1430:AI1430" si="2869">O1430/$I1430</f>
        <v>7.2840790842872011E-3</v>
      </c>
      <c r="AE1430" s="139">
        <f t="shared" si="2869"/>
        <v>0</v>
      </c>
      <c r="AF1430" s="139">
        <f t="shared" si="2869"/>
        <v>0</v>
      </c>
      <c r="AG1430" s="139">
        <f t="shared" si="2869"/>
        <v>0</v>
      </c>
      <c r="AH1430" s="139">
        <f t="shared" si="2869"/>
        <v>1.2486992715920915E-2</v>
      </c>
      <c r="AI1430" s="139">
        <f t="shared" si="2869"/>
        <v>1.2486992715920915E-2</v>
      </c>
    </row>
    <row r="1431" spans="2:35">
      <c r="B1431" s="138" t="s">
        <v>8077</v>
      </c>
      <c r="C1431" s="138" t="s">
        <v>4367</v>
      </c>
      <c r="D1431" s="138" t="s">
        <v>7</v>
      </c>
      <c r="E1431" s="138" t="s">
        <v>671</v>
      </c>
      <c r="F1431" s="138" t="s">
        <v>8189</v>
      </c>
      <c r="H1431" s="138">
        <v>14</v>
      </c>
      <c r="I1431" s="138">
        <v>955</v>
      </c>
      <c r="J1431" s="138">
        <v>405</v>
      </c>
      <c r="K1431" s="138">
        <v>527</v>
      </c>
      <c r="N1431" s="138">
        <v>7</v>
      </c>
      <c r="O1431" s="138">
        <v>2</v>
      </c>
      <c r="R1431" s="138">
        <v>0</v>
      </c>
      <c r="S1431" s="138">
        <v>8</v>
      </c>
      <c r="T1431" s="138">
        <v>6</v>
      </c>
      <c r="U1431" s="138">
        <f t="shared" si="2560"/>
        <v>16</v>
      </c>
      <c r="W1431" s="139">
        <f t="shared" ref="W1431:AA1431" si="2870">J1431/$I1431</f>
        <v>0.42408376963350786</v>
      </c>
      <c r="X1431" s="139">
        <f t="shared" si="2870"/>
        <v>0.55183246073298431</v>
      </c>
      <c r="Y1431" s="139">
        <f t="shared" si="2870"/>
        <v>0</v>
      </c>
      <c r="Z1431" s="139">
        <f t="shared" si="2870"/>
        <v>0</v>
      </c>
      <c r="AA1431" s="139">
        <f t="shared" si="2870"/>
        <v>7.3298429319371729E-3</v>
      </c>
      <c r="AB1431" s="139"/>
      <c r="AC1431" s="139">
        <f t="shared" si="2562"/>
        <v>1.6753926701570682E-2</v>
      </c>
      <c r="AD1431" s="139">
        <f t="shared" ref="AD1431:AI1431" si="2871">O1431/$I1431</f>
        <v>2.0942408376963353E-3</v>
      </c>
      <c r="AE1431" s="139">
        <f t="shared" si="2871"/>
        <v>0</v>
      </c>
      <c r="AF1431" s="139">
        <f t="shared" si="2871"/>
        <v>0</v>
      </c>
      <c r="AG1431" s="139">
        <f t="shared" si="2871"/>
        <v>0</v>
      </c>
      <c r="AH1431" s="139">
        <f t="shared" si="2871"/>
        <v>8.3769633507853412E-3</v>
      </c>
      <c r="AI1431" s="139">
        <f t="shared" si="2871"/>
        <v>6.2827225130890054E-3</v>
      </c>
    </row>
    <row r="1432" spans="2:35">
      <c r="B1432" s="138" t="s">
        <v>8077</v>
      </c>
      <c r="C1432" s="138" t="s">
        <v>4367</v>
      </c>
      <c r="D1432" s="138" t="s">
        <v>7</v>
      </c>
      <c r="E1432" s="138" t="s">
        <v>671</v>
      </c>
      <c r="F1432" s="138" t="s">
        <v>702</v>
      </c>
      <c r="H1432" s="138">
        <v>15</v>
      </c>
      <c r="I1432" s="138">
        <v>861</v>
      </c>
      <c r="J1432" s="138">
        <v>437</v>
      </c>
      <c r="K1432" s="138">
        <v>384</v>
      </c>
      <c r="N1432" s="138">
        <v>15</v>
      </c>
      <c r="O1432" s="138">
        <v>2</v>
      </c>
      <c r="R1432" s="138">
        <v>1</v>
      </c>
      <c r="S1432" s="138">
        <v>8</v>
      </c>
      <c r="T1432" s="138">
        <v>14</v>
      </c>
      <c r="U1432" s="138">
        <f t="shared" si="2560"/>
        <v>25</v>
      </c>
      <c r="W1432" s="139">
        <f t="shared" ref="W1432:AA1432" si="2872">J1432/$I1432</f>
        <v>0.50754936120789784</v>
      </c>
      <c r="X1432" s="139">
        <f t="shared" si="2872"/>
        <v>0.44599303135888502</v>
      </c>
      <c r="Y1432" s="139">
        <f t="shared" si="2872"/>
        <v>0</v>
      </c>
      <c r="Z1432" s="139">
        <f t="shared" si="2872"/>
        <v>0</v>
      </c>
      <c r="AA1432" s="139">
        <f t="shared" si="2872"/>
        <v>1.7421602787456445E-2</v>
      </c>
      <c r="AB1432" s="139"/>
      <c r="AC1432" s="139">
        <f t="shared" si="2562"/>
        <v>2.9036004645760744E-2</v>
      </c>
      <c r="AD1432" s="139">
        <f t="shared" ref="AD1432:AI1432" si="2873">O1432/$I1432</f>
        <v>2.3228803716608595E-3</v>
      </c>
      <c r="AE1432" s="139">
        <f t="shared" si="2873"/>
        <v>0</v>
      </c>
      <c r="AF1432" s="139">
        <f t="shared" si="2873"/>
        <v>0</v>
      </c>
      <c r="AG1432" s="139">
        <f t="shared" si="2873"/>
        <v>1.1614401858304297E-3</v>
      </c>
      <c r="AH1432" s="139">
        <f t="shared" si="2873"/>
        <v>9.2915214866434379E-3</v>
      </c>
      <c r="AI1432" s="139">
        <f t="shared" si="2873"/>
        <v>1.6260162601626018E-2</v>
      </c>
    </row>
    <row r="1433" spans="2:35">
      <c r="B1433" s="138" t="s">
        <v>8077</v>
      </c>
      <c r="C1433" s="138" t="s">
        <v>4367</v>
      </c>
      <c r="D1433" s="138" t="s">
        <v>7</v>
      </c>
      <c r="E1433" s="138" t="s">
        <v>671</v>
      </c>
      <c r="F1433" s="138" t="s">
        <v>702</v>
      </c>
      <c r="H1433" s="138">
        <v>16</v>
      </c>
      <c r="I1433" s="138">
        <v>1004</v>
      </c>
      <c r="J1433" s="138">
        <v>458</v>
      </c>
      <c r="K1433" s="138">
        <v>491</v>
      </c>
      <c r="N1433" s="138">
        <v>4</v>
      </c>
      <c r="O1433" s="138">
        <v>5</v>
      </c>
      <c r="R1433" s="138">
        <v>2</v>
      </c>
      <c r="S1433" s="138">
        <v>18</v>
      </c>
      <c r="T1433" s="138">
        <v>26</v>
      </c>
      <c r="U1433" s="138">
        <f t="shared" si="2560"/>
        <v>51</v>
      </c>
      <c r="W1433" s="139">
        <f t="shared" ref="W1433:AA1433" si="2874">J1433/$I1433</f>
        <v>0.45617529880478086</v>
      </c>
      <c r="X1433" s="139">
        <f t="shared" si="2874"/>
        <v>0.48904382470119523</v>
      </c>
      <c r="Y1433" s="139">
        <f t="shared" si="2874"/>
        <v>0</v>
      </c>
      <c r="Z1433" s="139">
        <f t="shared" si="2874"/>
        <v>0</v>
      </c>
      <c r="AA1433" s="139">
        <f t="shared" si="2874"/>
        <v>3.9840637450199202E-3</v>
      </c>
      <c r="AB1433" s="139"/>
      <c r="AC1433" s="139">
        <f t="shared" si="2562"/>
        <v>5.0796812749003988E-2</v>
      </c>
      <c r="AD1433" s="139">
        <f t="shared" ref="AD1433:AI1433" si="2875">O1433/$I1433</f>
        <v>4.9800796812749003E-3</v>
      </c>
      <c r="AE1433" s="139">
        <f t="shared" si="2875"/>
        <v>0</v>
      </c>
      <c r="AF1433" s="139">
        <f t="shared" si="2875"/>
        <v>0</v>
      </c>
      <c r="AG1433" s="139">
        <f t="shared" si="2875"/>
        <v>1.9920318725099601E-3</v>
      </c>
      <c r="AH1433" s="139">
        <f t="shared" si="2875"/>
        <v>1.7928286852589643E-2</v>
      </c>
      <c r="AI1433" s="139">
        <f t="shared" si="2875"/>
        <v>2.5896414342629483E-2</v>
      </c>
    </row>
    <row r="1434" spans="2:35">
      <c r="B1434" s="138" t="s">
        <v>8077</v>
      </c>
      <c r="C1434" s="138" t="s">
        <v>4367</v>
      </c>
      <c r="D1434" s="138" t="s">
        <v>7</v>
      </c>
      <c r="E1434" s="138" t="s">
        <v>671</v>
      </c>
      <c r="F1434" s="138" t="s">
        <v>702</v>
      </c>
      <c r="H1434" s="138">
        <v>17</v>
      </c>
      <c r="I1434" s="138">
        <v>989</v>
      </c>
      <c r="J1434" s="138">
        <v>433</v>
      </c>
      <c r="K1434" s="138">
        <v>515</v>
      </c>
      <c r="N1434" s="138">
        <v>6</v>
      </c>
      <c r="O1434" s="138">
        <v>1</v>
      </c>
      <c r="R1434" s="138">
        <v>1</v>
      </c>
      <c r="S1434" s="138">
        <v>9</v>
      </c>
      <c r="T1434" s="138">
        <v>24</v>
      </c>
      <c r="U1434" s="138">
        <f t="shared" si="2560"/>
        <v>35</v>
      </c>
      <c r="W1434" s="139">
        <f t="shared" ref="W1434:AA1434" si="2876">J1434/$I1434</f>
        <v>0.43781597573306369</v>
      </c>
      <c r="X1434" s="139">
        <f t="shared" si="2876"/>
        <v>0.52072800808897879</v>
      </c>
      <c r="Y1434" s="139">
        <f t="shared" si="2876"/>
        <v>0</v>
      </c>
      <c r="Z1434" s="139">
        <f t="shared" si="2876"/>
        <v>0</v>
      </c>
      <c r="AA1434" s="139">
        <f t="shared" si="2876"/>
        <v>6.0667340748230538E-3</v>
      </c>
      <c r="AB1434" s="139"/>
      <c r="AC1434" s="139">
        <f t="shared" si="2562"/>
        <v>3.5389282103134481E-2</v>
      </c>
      <c r="AD1434" s="139">
        <f t="shared" ref="AD1434:AI1434" si="2877">O1434/$I1434</f>
        <v>1.0111223458038423E-3</v>
      </c>
      <c r="AE1434" s="139">
        <f t="shared" si="2877"/>
        <v>0</v>
      </c>
      <c r="AF1434" s="139">
        <f t="shared" si="2877"/>
        <v>0</v>
      </c>
      <c r="AG1434" s="139">
        <f t="shared" si="2877"/>
        <v>1.0111223458038423E-3</v>
      </c>
      <c r="AH1434" s="139">
        <f t="shared" si="2877"/>
        <v>9.1001011122345803E-3</v>
      </c>
      <c r="AI1434" s="139">
        <f t="shared" si="2877"/>
        <v>2.4266936299292215E-2</v>
      </c>
    </row>
    <row r="1435" spans="2:35">
      <c r="B1435" s="138" t="s">
        <v>8077</v>
      </c>
      <c r="C1435" s="138" t="s">
        <v>4367</v>
      </c>
      <c r="D1435" s="138" t="s">
        <v>7</v>
      </c>
      <c r="E1435" s="138" t="s">
        <v>671</v>
      </c>
      <c r="F1435" s="138" t="s">
        <v>1241</v>
      </c>
      <c r="H1435" s="138">
        <v>18</v>
      </c>
      <c r="I1435" s="138">
        <v>966</v>
      </c>
      <c r="J1435" s="138">
        <v>550</v>
      </c>
      <c r="K1435" s="138">
        <v>370</v>
      </c>
      <c r="N1435" s="138">
        <v>4</v>
      </c>
      <c r="O1435" s="138">
        <v>5</v>
      </c>
      <c r="R1435" s="138">
        <v>1</v>
      </c>
      <c r="S1435" s="138">
        <v>17</v>
      </c>
      <c r="T1435" s="138">
        <v>19</v>
      </c>
      <c r="U1435" s="138">
        <f t="shared" si="2560"/>
        <v>42</v>
      </c>
      <c r="W1435" s="139">
        <f t="shared" ref="W1435:AA1435" si="2878">J1435/$I1435</f>
        <v>0.56935817805383027</v>
      </c>
      <c r="X1435" s="139">
        <f t="shared" si="2878"/>
        <v>0.38302277432712217</v>
      </c>
      <c r="Y1435" s="139">
        <f t="shared" si="2878"/>
        <v>0</v>
      </c>
      <c r="Z1435" s="139">
        <f t="shared" si="2878"/>
        <v>0</v>
      </c>
      <c r="AA1435" s="139">
        <f t="shared" si="2878"/>
        <v>4.140786749482402E-3</v>
      </c>
      <c r="AB1435" s="139"/>
      <c r="AC1435" s="139">
        <f t="shared" si="2562"/>
        <v>4.3478260869565216E-2</v>
      </c>
      <c r="AD1435" s="139">
        <f t="shared" ref="AD1435:AI1435" si="2879">O1435/$I1435</f>
        <v>5.175983436853002E-3</v>
      </c>
      <c r="AE1435" s="139">
        <f t="shared" si="2879"/>
        <v>0</v>
      </c>
      <c r="AF1435" s="139">
        <f t="shared" si="2879"/>
        <v>0</v>
      </c>
      <c r="AG1435" s="139">
        <f t="shared" si="2879"/>
        <v>1.0351966873706005E-3</v>
      </c>
      <c r="AH1435" s="139">
        <f t="shared" si="2879"/>
        <v>1.7598343685300208E-2</v>
      </c>
      <c r="AI1435" s="139">
        <f t="shared" si="2879"/>
        <v>1.9668737060041408E-2</v>
      </c>
    </row>
    <row r="1436" spans="2:35">
      <c r="B1436" s="138" t="s">
        <v>8077</v>
      </c>
      <c r="C1436" s="138" t="s">
        <v>4367</v>
      </c>
      <c r="D1436" s="138" t="s">
        <v>7</v>
      </c>
      <c r="E1436" s="138" t="s">
        <v>671</v>
      </c>
      <c r="F1436" s="138" t="s">
        <v>1241</v>
      </c>
      <c r="H1436" s="138">
        <v>19</v>
      </c>
      <c r="I1436" s="138">
        <v>970</v>
      </c>
      <c r="J1436" s="138">
        <v>330</v>
      </c>
      <c r="K1436" s="138">
        <v>577</v>
      </c>
      <c r="N1436" s="138">
        <v>8</v>
      </c>
      <c r="O1436" s="138">
        <v>3</v>
      </c>
      <c r="R1436" s="138">
        <v>2</v>
      </c>
      <c r="S1436" s="138">
        <v>11</v>
      </c>
      <c r="T1436" s="138">
        <v>39</v>
      </c>
      <c r="U1436" s="138">
        <f t="shared" si="2560"/>
        <v>55</v>
      </c>
      <c r="W1436" s="139">
        <f t="shared" ref="W1436:AA1436" si="2880">J1436/$I1436</f>
        <v>0.34020618556701032</v>
      </c>
      <c r="X1436" s="139">
        <f t="shared" si="2880"/>
        <v>0.59484536082474226</v>
      </c>
      <c r="Y1436" s="139">
        <f t="shared" si="2880"/>
        <v>0</v>
      </c>
      <c r="Z1436" s="139">
        <f t="shared" si="2880"/>
        <v>0</v>
      </c>
      <c r="AA1436" s="139">
        <f t="shared" si="2880"/>
        <v>8.2474226804123713E-3</v>
      </c>
      <c r="AB1436" s="139"/>
      <c r="AC1436" s="139">
        <f t="shared" si="2562"/>
        <v>5.6701030927835051E-2</v>
      </c>
      <c r="AD1436" s="139">
        <f t="shared" ref="AD1436:AI1436" si="2881">O1436/$I1436</f>
        <v>3.092783505154639E-3</v>
      </c>
      <c r="AE1436" s="139">
        <f t="shared" si="2881"/>
        <v>0</v>
      </c>
      <c r="AF1436" s="139">
        <f t="shared" si="2881"/>
        <v>0</v>
      </c>
      <c r="AG1436" s="139">
        <f t="shared" si="2881"/>
        <v>2.0618556701030928E-3</v>
      </c>
      <c r="AH1436" s="139">
        <f t="shared" si="2881"/>
        <v>1.134020618556701E-2</v>
      </c>
      <c r="AI1436" s="139">
        <f t="shared" si="2881"/>
        <v>4.0206185567010312E-2</v>
      </c>
    </row>
    <row r="1437" spans="2:35">
      <c r="B1437" s="138" t="s">
        <v>8077</v>
      </c>
      <c r="C1437" s="138" t="s">
        <v>4367</v>
      </c>
      <c r="D1437" s="138" t="s">
        <v>7</v>
      </c>
      <c r="E1437" s="138" t="s">
        <v>671</v>
      </c>
      <c r="F1437" s="138" t="s">
        <v>1241</v>
      </c>
      <c r="H1437" s="138">
        <v>20</v>
      </c>
      <c r="I1437" s="138">
        <v>529</v>
      </c>
      <c r="J1437" s="138">
        <v>306</v>
      </c>
      <c r="K1437" s="138">
        <v>193</v>
      </c>
      <c r="N1437" s="138">
        <v>7</v>
      </c>
      <c r="O1437" s="138">
        <v>3</v>
      </c>
      <c r="R1437" s="138">
        <v>0</v>
      </c>
      <c r="S1437" s="138">
        <v>10</v>
      </c>
      <c r="T1437" s="138">
        <v>10</v>
      </c>
      <c r="U1437" s="138">
        <f t="shared" si="2560"/>
        <v>23</v>
      </c>
      <c r="W1437" s="139">
        <f t="shared" ref="W1437:AA1437" si="2882">J1437/$I1437</f>
        <v>0.57844990548204156</v>
      </c>
      <c r="X1437" s="139">
        <f t="shared" si="2882"/>
        <v>0.36483931947069942</v>
      </c>
      <c r="Y1437" s="139">
        <f t="shared" si="2882"/>
        <v>0</v>
      </c>
      <c r="Z1437" s="139">
        <f t="shared" si="2882"/>
        <v>0</v>
      </c>
      <c r="AA1437" s="139">
        <f t="shared" si="2882"/>
        <v>1.3232514177693762E-2</v>
      </c>
      <c r="AB1437" s="139"/>
      <c r="AC1437" s="139">
        <f t="shared" si="2562"/>
        <v>4.3478260869565216E-2</v>
      </c>
      <c r="AD1437" s="139">
        <f t="shared" ref="AD1437:AI1437" si="2883">O1437/$I1437</f>
        <v>5.6710775047258983E-3</v>
      </c>
      <c r="AE1437" s="139">
        <f t="shared" si="2883"/>
        <v>0</v>
      </c>
      <c r="AF1437" s="139">
        <f t="shared" si="2883"/>
        <v>0</v>
      </c>
      <c r="AG1437" s="139">
        <f t="shared" si="2883"/>
        <v>0</v>
      </c>
      <c r="AH1437" s="139">
        <f t="shared" si="2883"/>
        <v>1.890359168241966E-2</v>
      </c>
      <c r="AI1437" s="139">
        <f t="shared" si="2883"/>
        <v>1.890359168241966E-2</v>
      </c>
    </row>
    <row r="1438" spans="2:35">
      <c r="B1438" s="138" t="s">
        <v>8077</v>
      </c>
      <c r="C1438" s="138" t="s">
        <v>4367</v>
      </c>
      <c r="D1438" s="138" t="s">
        <v>7</v>
      </c>
      <c r="E1438" s="138" t="s">
        <v>671</v>
      </c>
      <c r="F1438" s="138" t="s">
        <v>1241</v>
      </c>
      <c r="H1438" s="138">
        <v>21</v>
      </c>
      <c r="I1438" s="138">
        <v>577</v>
      </c>
      <c r="J1438" s="138">
        <v>287</v>
      </c>
      <c r="K1438" s="138">
        <v>238</v>
      </c>
      <c r="N1438" s="138">
        <v>7</v>
      </c>
      <c r="O1438" s="138">
        <v>3</v>
      </c>
      <c r="R1438" s="138">
        <v>7</v>
      </c>
      <c r="S1438" s="138">
        <v>13</v>
      </c>
      <c r="T1438" s="138">
        <v>22</v>
      </c>
      <c r="U1438" s="138">
        <f t="shared" si="2560"/>
        <v>45</v>
      </c>
      <c r="W1438" s="139">
        <f t="shared" ref="W1438:AA1438" si="2884">J1438/$I1438</f>
        <v>0.49740034662045063</v>
      </c>
      <c r="X1438" s="139">
        <f t="shared" si="2884"/>
        <v>0.41247833622183711</v>
      </c>
      <c r="Y1438" s="139">
        <f t="shared" si="2884"/>
        <v>0</v>
      </c>
      <c r="Z1438" s="139">
        <f t="shared" si="2884"/>
        <v>0</v>
      </c>
      <c r="AA1438" s="139">
        <f t="shared" si="2884"/>
        <v>1.2131715771230503E-2</v>
      </c>
      <c r="AB1438" s="139"/>
      <c r="AC1438" s="139">
        <f t="shared" si="2562"/>
        <v>7.7989601386481797E-2</v>
      </c>
      <c r="AD1438" s="139">
        <f t="shared" ref="AD1438:AI1438" si="2885">O1438/$I1438</f>
        <v>5.1993067590987872E-3</v>
      </c>
      <c r="AE1438" s="139">
        <f t="shared" si="2885"/>
        <v>0</v>
      </c>
      <c r="AF1438" s="139">
        <f t="shared" si="2885"/>
        <v>0</v>
      </c>
      <c r="AG1438" s="139">
        <f t="shared" si="2885"/>
        <v>1.2131715771230503E-2</v>
      </c>
      <c r="AH1438" s="139">
        <f t="shared" si="2885"/>
        <v>2.2530329289428077E-2</v>
      </c>
      <c r="AI1438" s="139">
        <f t="shared" si="2885"/>
        <v>3.8128249566724434E-2</v>
      </c>
    </row>
    <row r="1439" spans="2:35">
      <c r="B1439" s="138" t="s">
        <v>8077</v>
      </c>
      <c r="C1439" s="138" t="s">
        <v>4367</v>
      </c>
      <c r="D1439" s="138" t="s">
        <v>7</v>
      </c>
      <c r="E1439" s="138" t="s">
        <v>671</v>
      </c>
      <c r="F1439" s="138" t="s">
        <v>1253</v>
      </c>
      <c r="H1439" s="138">
        <v>22</v>
      </c>
      <c r="I1439" s="138">
        <v>1073</v>
      </c>
      <c r="J1439" s="138">
        <v>538</v>
      </c>
      <c r="K1439" s="138">
        <v>507</v>
      </c>
      <c r="N1439" s="138">
        <v>7</v>
      </c>
      <c r="O1439" s="138">
        <v>1</v>
      </c>
      <c r="R1439" s="138">
        <v>0</v>
      </c>
      <c r="S1439" s="138">
        <v>10</v>
      </c>
      <c r="T1439" s="138">
        <v>10</v>
      </c>
      <c r="U1439" s="138">
        <f t="shared" si="2560"/>
        <v>21</v>
      </c>
      <c r="W1439" s="139">
        <f t="shared" ref="W1439:AA1439" si="2886">J1439/$I1439</f>
        <v>0.50139794967381179</v>
      </c>
      <c r="X1439" s="139">
        <f t="shared" si="2886"/>
        <v>0.47250698974836908</v>
      </c>
      <c r="Y1439" s="139">
        <f t="shared" si="2886"/>
        <v>0</v>
      </c>
      <c r="Z1439" s="139">
        <f t="shared" si="2886"/>
        <v>0</v>
      </c>
      <c r="AA1439" s="139">
        <f t="shared" si="2886"/>
        <v>6.5237651444547996E-3</v>
      </c>
      <c r="AB1439" s="139"/>
      <c r="AC1439" s="139">
        <f t="shared" si="2562"/>
        <v>1.9571295433364399E-2</v>
      </c>
      <c r="AD1439" s="139">
        <f t="shared" ref="AD1439:AI1439" si="2887">O1439/$I1439</f>
        <v>9.3196644920782849E-4</v>
      </c>
      <c r="AE1439" s="139">
        <f t="shared" si="2887"/>
        <v>0</v>
      </c>
      <c r="AF1439" s="139">
        <f t="shared" si="2887"/>
        <v>0</v>
      </c>
      <c r="AG1439" s="139">
        <f t="shared" si="2887"/>
        <v>0</v>
      </c>
      <c r="AH1439" s="139">
        <f t="shared" si="2887"/>
        <v>9.3196644920782844E-3</v>
      </c>
      <c r="AI1439" s="139">
        <f t="shared" si="2887"/>
        <v>9.3196644920782844E-3</v>
      </c>
    </row>
    <row r="1440" spans="2:35">
      <c r="B1440" s="138" t="s">
        <v>8077</v>
      </c>
      <c r="C1440" s="138" t="s">
        <v>4367</v>
      </c>
      <c r="D1440" s="138" t="s">
        <v>7</v>
      </c>
      <c r="E1440" s="138" t="s">
        <v>671</v>
      </c>
      <c r="F1440" s="138" t="s">
        <v>1253</v>
      </c>
      <c r="H1440" s="138">
        <v>23</v>
      </c>
      <c r="I1440" s="138">
        <v>959</v>
      </c>
      <c r="J1440" s="138">
        <v>497</v>
      </c>
      <c r="K1440" s="138">
        <v>424</v>
      </c>
      <c r="N1440" s="138">
        <v>6</v>
      </c>
      <c r="O1440" s="138">
        <v>1</v>
      </c>
      <c r="R1440" s="138">
        <v>2</v>
      </c>
      <c r="S1440" s="138">
        <v>12</v>
      </c>
      <c r="T1440" s="138">
        <v>17</v>
      </c>
      <c r="U1440" s="138">
        <f t="shared" si="2560"/>
        <v>32</v>
      </c>
      <c r="W1440" s="139">
        <f t="shared" ref="W1440:AA1440" si="2888">J1440/$I1440</f>
        <v>0.51824817518248179</v>
      </c>
      <c r="X1440" s="139">
        <f t="shared" si="2888"/>
        <v>0.4421272158498436</v>
      </c>
      <c r="Y1440" s="139">
        <f t="shared" si="2888"/>
        <v>0</v>
      </c>
      <c r="Z1440" s="139">
        <f t="shared" si="2888"/>
        <v>0</v>
      </c>
      <c r="AA1440" s="139">
        <f t="shared" si="2888"/>
        <v>6.2565172054223151E-3</v>
      </c>
      <c r="AB1440" s="139"/>
      <c r="AC1440" s="139">
        <f t="shared" si="2562"/>
        <v>3.3368091762252347E-2</v>
      </c>
      <c r="AD1440" s="139">
        <f t="shared" ref="AD1440:AI1440" si="2889">O1440/$I1440</f>
        <v>1.0427528675703858E-3</v>
      </c>
      <c r="AE1440" s="139">
        <f t="shared" si="2889"/>
        <v>0</v>
      </c>
      <c r="AF1440" s="139">
        <f t="shared" si="2889"/>
        <v>0</v>
      </c>
      <c r="AG1440" s="139">
        <f t="shared" si="2889"/>
        <v>2.0855057351407717E-3</v>
      </c>
      <c r="AH1440" s="139">
        <f t="shared" si="2889"/>
        <v>1.251303441084463E-2</v>
      </c>
      <c r="AI1440" s="139">
        <f t="shared" si="2889"/>
        <v>1.7726798748696558E-2</v>
      </c>
    </row>
    <row r="1441" spans="2:35">
      <c r="B1441" s="138" t="s">
        <v>8077</v>
      </c>
      <c r="C1441" s="138" t="s">
        <v>4367</v>
      </c>
      <c r="D1441" s="138" t="s">
        <v>7</v>
      </c>
      <c r="E1441" s="138" t="s">
        <v>671</v>
      </c>
      <c r="F1441" s="138" t="s">
        <v>1253</v>
      </c>
      <c r="H1441" s="138">
        <v>24</v>
      </c>
      <c r="I1441" s="138">
        <v>692</v>
      </c>
      <c r="J1441" s="138">
        <v>435</v>
      </c>
      <c r="K1441" s="138">
        <v>218</v>
      </c>
      <c r="N1441" s="138">
        <v>5</v>
      </c>
      <c r="O1441" s="138">
        <v>2</v>
      </c>
      <c r="R1441" s="138">
        <v>4</v>
      </c>
      <c r="S1441" s="138">
        <v>12</v>
      </c>
      <c r="T1441" s="138">
        <v>16</v>
      </c>
      <c r="U1441" s="138">
        <f t="shared" si="2560"/>
        <v>34</v>
      </c>
      <c r="W1441" s="139">
        <f t="shared" ref="W1441:AA1441" si="2890">J1441/$I1441</f>
        <v>0.62861271676300579</v>
      </c>
      <c r="X1441" s="139">
        <f t="shared" si="2890"/>
        <v>0.31502890173410403</v>
      </c>
      <c r="Y1441" s="139">
        <f t="shared" si="2890"/>
        <v>0</v>
      </c>
      <c r="Z1441" s="139">
        <f t="shared" si="2890"/>
        <v>0</v>
      </c>
      <c r="AA1441" s="139">
        <f t="shared" si="2890"/>
        <v>7.2254335260115606E-3</v>
      </c>
      <c r="AB1441" s="139"/>
      <c r="AC1441" s="139">
        <f t="shared" si="2562"/>
        <v>4.9132947976878616E-2</v>
      </c>
      <c r="AD1441" s="139">
        <f t="shared" ref="AD1441:AI1441" si="2891">O1441/$I1441</f>
        <v>2.8901734104046241E-3</v>
      </c>
      <c r="AE1441" s="139">
        <f t="shared" si="2891"/>
        <v>0</v>
      </c>
      <c r="AF1441" s="139">
        <f t="shared" si="2891"/>
        <v>0</v>
      </c>
      <c r="AG1441" s="139">
        <f t="shared" si="2891"/>
        <v>5.7803468208092483E-3</v>
      </c>
      <c r="AH1441" s="139">
        <f t="shared" si="2891"/>
        <v>1.7341040462427744E-2</v>
      </c>
      <c r="AI1441" s="139">
        <f t="shared" si="2891"/>
        <v>2.3121387283236993E-2</v>
      </c>
    </row>
    <row r="1442" spans="2:35">
      <c r="B1442" s="138" t="s">
        <v>8077</v>
      </c>
      <c r="C1442" s="138" t="s">
        <v>4367</v>
      </c>
      <c r="D1442" s="138" t="s">
        <v>7</v>
      </c>
      <c r="E1442" s="138" t="s">
        <v>671</v>
      </c>
      <c r="F1442" s="138" t="s">
        <v>1253</v>
      </c>
      <c r="H1442" s="138">
        <v>25</v>
      </c>
      <c r="I1442" s="138">
        <v>591</v>
      </c>
      <c r="J1442" s="138">
        <v>326</v>
      </c>
      <c r="K1442" s="138">
        <v>246</v>
      </c>
      <c r="N1442" s="138">
        <v>3</v>
      </c>
      <c r="O1442" s="138">
        <v>1</v>
      </c>
      <c r="R1442" s="138">
        <v>0</v>
      </c>
      <c r="S1442" s="138">
        <v>6</v>
      </c>
      <c r="T1442" s="138">
        <v>9</v>
      </c>
      <c r="U1442" s="138">
        <f t="shared" si="2560"/>
        <v>16</v>
      </c>
      <c r="W1442" s="139">
        <f t="shared" ref="W1442:AA1442" si="2892">J1442/$I1442</f>
        <v>0.55160744500846026</v>
      </c>
      <c r="X1442" s="139">
        <f t="shared" si="2892"/>
        <v>0.41624365482233505</v>
      </c>
      <c r="Y1442" s="139">
        <f t="shared" si="2892"/>
        <v>0</v>
      </c>
      <c r="Z1442" s="139">
        <f t="shared" si="2892"/>
        <v>0</v>
      </c>
      <c r="AA1442" s="139">
        <f t="shared" si="2892"/>
        <v>5.076142131979695E-3</v>
      </c>
      <c r="AB1442" s="139"/>
      <c r="AC1442" s="139">
        <f t="shared" si="2562"/>
        <v>2.7072758037225041E-2</v>
      </c>
      <c r="AD1442" s="139">
        <f t="shared" ref="AD1442:AI1442" si="2893">O1442/$I1442</f>
        <v>1.6920473773265651E-3</v>
      </c>
      <c r="AE1442" s="139">
        <f t="shared" si="2893"/>
        <v>0</v>
      </c>
      <c r="AF1442" s="139">
        <f t="shared" si="2893"/>
        <v>0</v>
      </c>
      <c r="AG1442" s="139">
        <f t="shared" si="2893"/>
        <v>0</v>
      </c>
      <c r="AH1442" s="139">
        <f t="shared" si="2893"/>
        <v>1.015228426395939E-2</v>
      </c>
      <c r="AI1442" s="139">
        <f t="shared" si="2893"/>
        <v>1.5228426395939087E-2</v>
      </c>
    </row>
    <row r="1443" spans="2:35">
      <c r="B1443" s="138" t="s">
        <v>8077</v>
      </c>
      <c r="C1443" s="138" t="s">
        <v>4367</v>
      </c>
      <c r="D1443" s="138" t="s">
        <v>7</v>
      </c>
      <c r="E1443" s="138" t="s">
        <v>671</v>
      </c>
      <c r="F1443" s="138" t="s">
        <v>1243</v>
      </c>
      <c r="H1443" s="138">
        <v>26</v>
      </c>
      <c r="I1443" s="138">
        <v>1049</v>
      </c>
      <c r="J1443" s="138">
        <v>512</v>
      </c>
      <c r="K1443" s="138">
        <v>490</v>
      </c>
      <c r="N1443" s="138">
        <v>10</v>
      </c>
      <c r="O1443" s="138">
        <v>4</v>
      </c>
      <c r="R1443" s="138">
        <v>1</v>
      </c>
      <c r="S1443" s="138">
        <v>15</v>
      </c>
      <c r="T1443" s="138">
        <v>17</v>
      </c>
      <c r="U1443" s="138">
        <f t="shared" si="2560"/>
        <v>37</v>
      </c>
      <c r="W1443" s="139">
        <f t="shared" ref="W1443:AA1443" si="2894">J1443/$I1443</f>
        <v>0.48808388941849379</v>
      </c>
      <c r="X1443" s="139">
        <f t="shared" si="2894"/>
        <v>0.46711153479504292</v>
      </c>
      <c r="Y1443" s="139">
        <f t="shared" si="2894"/>
        <v>0</v>
      </c>
      <c r="Z1443" s="139">
        <f t="shared" si="2894"/>
        <v>0</v>
      </c>
      <c r="AA1443" s="139">
        <f t="shared" si="2894"/>
        <v>9.5328884652049577E-3</v>
      </c>
      <c r="AB1443" s="139"/>
      <c r="AC1443" s="139">
        <f t="shared" si="2562"/>
        <v>3.5271687321258342E-2</v>
      </c>
      <c r="AD1443" s="139">
        <f t="shared" ref="AD1443:AI1443" si="2895">O1443/$I1443</f>
        <v>3.8131553860819827E-3</v>
      </c>
      <c r="AE1443" s="139">
        <f t="shared" si="2895"/>
        <v>0</v>
      </c>
      <c r="AF1443" s="139">
        <f t="shared" si="2895"/>
        <v>0</v>
      </c>
      <c r="AG1443" s="139">
        <f t="shared" si="2895"/>
        <v>9.5328884652049568E-4</v>
      </c>
      <c r="AH1443" s="139">
        <f t="shared" si="2895"/>
        <v>1.4299332697807437E-2</v>
      </c>
      <c r="AI1443" s="139">
        <f t="shared" si="2895"/>
        <v>1.6205910390848427E-2</v>
      </c>
    </row>
    <row r="1444" spans="2:35">
      <c r="B1444" s="138" t="s">
        <v>8077</v>
      </c>
      <c r="C1444" s="138" t="s">
        <v>4367</v>
      </c>
      <c r="D1444" s="138" t="s">
        <v>7</v>
      </c>
      <c r="E1444" s="138" t="s">
        <v>671</v>
      </c>
      <c r="F1444" s="138" t="s">
        <v>1243</v>
      </c>
      <c r="H1444" s="138">
        <v>27</v>
      </c>
      <c r="I1444" s="138">
        <v>831</v>
      </c>
      <c r="J1444" s="138">
        <v>439</v>
      </c>
      <c r="K1444" s="138">
        <v>364</v>
      </c>
      <c r="N1444" s="138">
        <v>8</v>
      </c>
      <c r="O1444" s="138">
        <v>2</v>
      </c>
      <c r="R1444" s="138">
        <v>0</v>
      </c>
      <c r="S1444" s="138">
        <v>9</v>
      </c>
      <c r="T1444" s="138">
        <v>9</v>
      </c>
      <c r="U1444" s="138">
        <f t="shared" si="2560"/>
        <v>20</v>
      </c>
      <c r="W1444" s="139">
        <f t="shared" ref="W1444:AA1444" si="2896">J1444/$I1444</f>
        <v>0.52827918170878463</v>
      </c>
      <c r="X1444" s="139">
        <f t="shared" si="2896"/>
        <v>0.43802647412755719</v>
      </c>
      <c r="Y1444" s="139">
        <f t="shared" si="2896"/>
        <v>0</v>
      </c>
      <c r="Z1444" s="139">
        <f t="shared" si="2896"/>
        <v>0</v>
      </c>
      <c r="AA1444" s="139">
        <f t="shared" si="2896"/>
        <v>9.6269554753309269E-3</v>
      </c>
      <c r="AB1444" s="139"/>
      <c r="AC1444" s="139">
        <f t="shared" si="2562"/>
        <v>2.4067388688327317E-2</v>
      </c>
      <c r="AD1444" s="139">
        <f t="shared" ref="AD1444:AI1444" si="2897">O1444/$I1444</f>
        <v>2.4067388688327317E-3</v>
      </c>
      <c r="AE1444" s="139">
        <f t="shared" si="2897"/>
        <v>0</v>
      </c>
      <c r="AF1444" s="139">
        <f t="shared" si="2897"/>
        <v>0</v>
      </c>
      <c r="AG1444" s="139">
        <f t="shared" si="2897"/>
        <v>0</v>
      </c>
      <c r="AH1444" s="139">
        <f t="shared" si="2897"/>
        <v>1.0830324909747292E-2</v>
      </c>
      <c r="AI1444" s="139">
        <f t="shared" si="2897"/>
        <v>1.0830324909747292E-2</v>
      </c>
    </row>
    <row r="1445" spans="2:35">
      <c r="B1445" s="138" t="s">
        <v>8077</v>
      </c>
      <c r="C1445" s="138" t="s">
        <v>4367</v>
      </c>
      <c r="D1445" s="138" t="s">
        <v>7</v>
      </c>
      <c r="E1445" s="138" t="s">
        <v>671</v>
      </c>
      <c r="F1445" s="138" t="s">
        <v>8190</v>
      </c>
      <c r="H1445" s="138">
        <v>28</v>
      </c>
      <c r="I1445" s="138">
        <v>978</v>
      </c>
      <c r="J1445" s="138">
        <v>360</v>
      </c>
      <c r="K1445" s="138">
        <v>579</v>
      </c>
      <c r="N1445" s="138">
        <v>10</v>
      </c>
      <c r="O1445" s="138">
        <v>6</v>
      </c>
      <c r="R1445" s="138">
        <v>1</v>
      </c>
      <c r="S1445" s="138">
        <v>5</v>
      </c>
      <c r="T1445" s="138">
        <v>17</v>
      </c>
      <c r="U1445" s="138">
        <f t="shared" si="2560"/>
        <v>29</v>
      </c>
      <c r="W1445" s="139">
        <f t="shared" ref="W1445:AA1445" si="2898">J1445/$I1445</f>
        <v>0.36809815950920244</v>
      </c>
      <c r="X1445" s="139">
        <f t="shared" si="2898"/>
        <v>0.59202453987730064</v>
      </c>
      <c r="Y1445" s="139">
        <f t="shared" si="2898"/>
        <v>0</v>
      </c>
      <c r="Z1445" s="139">
        <f t="shared" si="2898"/>
        <v>0</v>
      </c>
      <c r="AA1445" s="139">
        <f t="shared" si="2898"/>
        <v>1.0224948875255624E-2</v>
      </c>
      <c r="AB1445" s="139"/>
      <c r="AC1445" s="139">
        <f t="shared" si="2562"/>
        <v>2.9652351738241309E-2</v>
      </c>
      <c r="AD1445" s="139">
        <f t="shared" ref="AD1445:AI1445" si="2899">O1445/$I1445</f>
        <v>6.1349693251533744E-3</v>
      </c>
      <c r="AE1445" s="139">
        <f t="shared" si="2899"/>
        <v>0</v>
      </c>
      <c r="AF1445" s="139">
        <f t="shared" si="2899"/>
        <v>0</v>
      </c>
      <c r="AG1445" s="139">
        <f t="shared" si="2899"/>
        <v>1.0224948875255625E-3</v>
      </c>
      <c r="AH1445" s="139">
        <f t="shared" si="2899"/>
        <v>5.1124744376278121E-3</v>
      </c>
      <c r="AI1445" s="139">
        <f t="shared" si="2899"/>
        <v>1.7382413087934562E-2</v>
      </c>
    </row>
    <row r="1446" spans="2:35">
      <c r="B1446" s="138" t="s">
        <v>8077</v>
      </c>
      <c r="C1446" s="138" t="s">
        <v>4367</v>
      </c>
      <c r="D1446" s="138" t="s">
        <v>7</v>
      </c>
      <c r="E1446" s="138" t="s">
        <v>671</v>
      </c>
      <c r="F1446" s="138" t="s">
        <v>1239</v>
      </c>
      <c r="H1446" s="138">
        <v>29</v>
      </c>
      <c r="I1446" s="138">
        <v>920</v>
      </c>
      <c r="J1446" s="138">
        <v>458</v>
      </c>
      <c r="K1446" s="138">
        <v>438</v>
      </c>
      <c r="N1446" s="138">
        <v>1</v>
      </c>
      <c r="O1446" s="138">
        <v>2</v>
      </c>
      <c r="R1446" s="138">
        <v>1</v>
      </c>
      <c r="S1446" s="138">
        <v>12</v>
      </c>
      <c r="T1446" s="138">
        <v>8</v>
      </c>
      <c r="U1446" s="138">
        <f t="shared" si="2560"/>
        <v>23</v>
      </c>
      <c r="W1446" s="139">
        <f t="shared" ref="W1446:AA1446" si="2900">J1446/$I1446</f>
        <v>0.49782608695652175</v>
      </c>
      <c r="X1446" s="139">
        <f t="shared" si="2900"/>
        <v>0.47608695652173916</v>
      </c>
      <c r="Y1446" s="139">
        <f t="shared" si="2900"/>
        <v>0</v>
      </c>
      <c r="Z1446" s="139">
        <f t="shared" si="2900"/>
        <v>0</v>
      </c>
      <c r="AA1446" s="139">
        <f t="shared" si="2900"/>
        <v>1.0869565217391304E-3</v>
      </c>
      <c r="AB1446" s="139"/>
      <c r="AC1446" s="139">
        <f t="shared" si="2562"/>
        <v>2.5000000000000001E-2</v>
      </c>
      <c r="AD1446" s="139">
        <f t="shared" ref="AD1446:AI1446" si="2901">O1446/$I1446</f>
        <v>2.1739130434782609E-3</v>
      </c>
      <c r="AE1446" s="139">
        <f t="shared" si="2901"/>
        <v>0</v>
      </c>
      <c r="AF1446" s="139">
        <f t="shared" si="2901"/>
        <v>0</v>
      </c>
      <c r="AG1446" s="139">
        <f t="shared" si="2901"/>
        <v>1.0869565217391304E-3</v>
      </c>
      <c r="AH1446" s="139">
        <f t="shared" si="2901"/>
        <v>1.3043478260869565E-2</v>
      </c>
      <c r="AI1446" s="139">
        <f t="shared" si="2901"/>
        <v>8.6956521739130436E-3</v>
      </c>
    </row>
    <row r="1447" spans="2:35">
      <c r="B1447" s="138" t="s">
        <v>8077</v>
      </c>
      <c r="C1447" s="138" t="s">
        <v>4367</v>
      </c>
      <c r="D1447" s="138" t="s">
        <v>7</v>
      </c>
      <c r="E1447" s="138" t="s">
        <v>671</v>
      </c>
      <c r="F1447" s="138" t="s">
        <v>1239</v>
      </c>
      <c r="H1447" s="138">
        <v>30</v>
      </c>
      <c r="I1447" s="138">
        <v>897</v>
      </c>
      <c r="J1447" s="138">
        <v>388</v>
      </c>
      <c r="K1447" s="138">
        <v>481</v>
      </c>
      <c r="N1447" s="138">
        <v>6</v>
      </c>
      <c r="O1447" s="138">
        <v>0</v>
      </c>
      <c r="R1447" s="138">
        <v>0</v>
      </c>
      <c r="S1447" s="138">
        <v>8</v>
      </c>
      <c r="T1447" s="138">
        <v>14</v>
      </c>
      <c r="U1447" s="138">
        <f t="shared" si="2560"/>
        <v>22</v>
      </c>
      <c r="W1447" s="139">
        <f t="shared" ref="W1447:AA1447" si="2902">J1447/$I1447</f>
        <v>0.43255295429208473</v>
      </c>
      <c r="X1447" s="139">
        <f t="shared" si="2902"/>
        <v>0.53623188405797106</v>
      </c>
      <c r="Y1447" s="139">
        <f t="shared" si="2902"/>
        <v>0</v>
      </c>
      <c r="Z1447" s="139">
        <f t="shared" si="2902"/>
        <v>0</v>
      </c>
      <c r="AA1447" s="139">
        <f t="shared" si="2902"/>
        <v>6.688963210702341E-3</v>
      </c>
      <c r="AB1447" s="139"/>
      <c r="AC1447" s="139">
        <f t="shared" si="2562"/>
        <v>2.4526198439241916E-2</v>
      </c>
      <c r="AD1447" s="139">
        <f t="shared" ref="AD1447:AI1447" si="2903">O1447/$I1447</f>
        <v>0</v>
      </c>
      <c r="AE1447" s="139">
        <f t="shared" si="2903"/>
        <v>0</v>
      </c>
      <c r="AF1447" s="139">
        <f t="shared" si="2903"/>
        <v>0</v>
      </c>
      <c r="AG1447" s="139">
        <f t="shared" si="2903"/>
        <v>0</v>
      </c>
      <c r="AH1447" s="139">
        <f t="shared" si="2903"/>
        <v>8.918617614269788E-3</v>
      </c>
      <c r="AI1447" s="139">
        <f t="shared" si="2903"/>
        <v>1.560758082497213E-2</v>
      </c>
    </row>
    <row r="1448" spans="2:35">
      <c r="B1448" s="138" t="s">
        <v>8077</v>
      </c>
      <c r="C1448" s="138" t="s">
        <v>4367</v>
      </c>
      <c r="D1448" s="138" t="s">
        <v>7</v>
      </c>
      <c r="E1448" s="138" t="s">
        <v>671</v>
      </c>
      <c r="F1448" s="138" t="s">
        <v>1245</v>
      </c>
      <c r="H1448" s="138">
        <v>31</v>
      </c>
      <c r="I1448" s="138">
        <v>1031</v>
      </c>
      <c r="J1448" s="138">
        <v>474</v>
      </c>
      <c r="K1448" s="138">
        <v>467</v>
      </c>
      <c r="N1448" s="138">
        <v>12</v>
      </c>
      <c r="O1448" s="138">
        <v>4</v>
      </c>
      <c r="R1448" s="138">
        <v>1</v>
      </c>
      <c r="S1448" s="138">
        <v>34</v>
      </c>
      <c r="T1448" s="138">
        <v>39</v>
      </c>
      <c r="U1448" s="138">
        <f t="shared" si="2560"/>
        <v>78</v>
      </c>
      <c r="W1448" s="139">
        <f t="shared" ref="W1448:AA1448" si="2904">J1448/$I1448</f>
        <v>0.45974781765276429</v>
      </c>
      <c r="X1448" s="139">
        <f t="shared" si="2904"/>
        <v>0.45295829291949563</v>
      </c>
      <c r="Y1448" s="139">
        <f t="shared" si="2904"/>
        <v>0</v>
      </c>
      <c r="Z1448" s="139">
        <f t="shared" si="2904"/>
        <v>0</v>
      </c>
      <c r="AA1448" s="139">
        <f t="shared" si="2904"/>
        <v>1.1639185257032008E-2</v>
      </c>
      <c r="AB1448" s="139"/>
      <c r="AC1448" s="139">
        <f t="shared" si="2562"/>
        <v>7.5654704170708048E-2</v>
      </c>
      <c r="AD1448" s="139">
        <f t="shared" ref="AD1448:AI1448" si="2905">O1448/$I1448</f>
        <v>3.8797284190106693E-3</v>
      </c>
      <c r="AE1448" s="139">
        <f t="shared" si="2905"/>
        <v>0</v>
      </c>
      <c r="AF1448" s="139">
        <f t="shared" si="2905"/>
        <v>0</v>
      </c>
      <c r="AG1448" s="139">
        <f t="shared" si="2905"/>
        <v>9.6993210475266732E-4</v>
      </c>
      <c r="AH1448" s="139">
        <f t="shared" si="2905"/>
        <v>3.2977691561590687E-2</v>
      </c>
      <c r="AI1448" s="139">
        <f t="shared" si="2905"/>
        <v>3.7827352085354024E-2</v>
      </c>
    </row>
    <row r="1449" spans="2:35">
      <c r="B1449" s="138" t="s">
        <v>8077</v>
      </c>
      <c r="C1449" s="138" t="s">
        <v>4367</v>
      </c>
      <c r="D1449" s="138" t="s">
        <v>7</v>
      </c>
      <c r="E1449" s="138" t="s">
        <v>671</v>
      </c>
      <c r="F1449" s="138" t="s">
        <v>8191</v>
      </c>
      <c r="H1449" s="138">
        <v>32</v>
      </c>
      <c r="I1449" s="138">
        <v>671</v>
      </c>
      <c r="J1449" s="138">
        <v>343</v>
      </c>
      <c r="K1449" s="138">
        <v>296</v>
      </c>
      <c r="N1449" s="138">
        <v>2</v>
      </c>
      <c r="O1449" s="138">
        <v>3</v>
      </c>
      <c r="R1449" s="138">
        <v>1</v>
      </c>
      <c r="S1449" s="138">
        <v>9</v>
      </c>
      <c r="T1449" s="138">
        <v>17</v>
      </c>
      <c r="U1449" s="138">
        <f t="shared" si="2560"/>
        <v>30</v>
      </c>
      <c r="W1449" s="139">
        <f t="shared" ref="W1449:AA1449" si="2906">J1449/$I1449</f>
        <v>0.51117734724292097</v>
      </c>
      <c r="X1449" s="139">
        <f t="shared" si="2906"/>
        <v>0.44113263785394935</v>
      </c>
      <c r="Y1449" s="139">
        <f t="shared" si="2906"/>
        <v>0</v>
      </c>
      <c r="Z1449" s="139">
        <f t="shared" si="2906"/>
        <v>0</v>
      </c>
      <c r="AA1449" s="139">
        <f t="shared" si="2906"/>
        <v>2.9806259314456036E-3</v>
      </c>
      <c r="AB1449" s="139"/>
      <c r="AC1449" s="139">
        <f t="shared" si="2562"/>
        <v>4.4709388971684055E-2</v>
      </c>
      <c r="AD1449" s="139">
        <f t="shared" ref="AD1449:AI1449" si="2907">O1449/$I1449</f>
        <v>4.4709388971684054E-3</v>
      </c>
      <c r="AE1449" s="139">
        <f t="shared" si="2907"/>
        <v>0</v>
      </c>
      <c r="AF1449" s="139">
        <f t="shared" si="2907"/>
        <v>0</v>
      </c>
      <c r="AG1449" s="139">
        <f t="shared" si="2907"/>
        <v>1.4903129657228018E-3</v>
      </c>
      <c r="AH1449" s="139">
        <f t="shared" si="2907"/>
        <v>1.3412816691505217E-2</v>
      </c>
      <c r="AI1449" s="139">
        <f t="shared" si="2907"/>
        <v>2.533532041728763E-2</v>
      </c>
    </row>
    <row r="1450" spans="2:35">
      <c r="B1450" s="138" t="s">
        <v>8077</v>
      </c>
      <c r="C1450" s="138" t="s">
        <v>4367</v>
      </c>
      <c r="D1450" s="138" t="s">
        <v>7</v>
      </c>
      <c r="E1450" s="138" t="s">
        <v>671</v>
      </c>
      <c r="F1450" s="138" t="s">
        <v>8191</v>
      </c>
      <c r="H1450" s="138">
        <v>33</v>
      </c>
      <c r="I1450" s="138">
        <v>538</v>
      </c>
      <c r="J1450" s="138">
        <v>231</v>
      </c>
      <c r="K1450" s="138">
        <v>288</v>
      </c>
      <c r="N1450" s="138">
        <v>7</v>
      </c>
      <c r="O1450" s="138">
        <v>1</v>
      </c>
      <c r="R1450" s="138">
        <v>0</v>
      </c>
      <c r="S1450" s="138">
        <v>4</v>
      </c>
      <c r="T1450" s="138">
        <v>7</v>
      </c>
      <c r="U1450" s="138">
        <f t="shared" si="2560"/>
        <v>12</v>
      </c>
      <c r="W1450" s="139">
        <f t="shared" ref="W1450:AA1450" si="2908">J1450/$I1450</f>
        <v>0.42936802973977695</v>
      </c>
      <c r="X1450" s="139">
        <f t="shared" si="2908"/>
        <v>0.53531598513011147</v>
      </c>
      <c r="Y1450" s="139">
        <f t="shared" si="2908"/>
        <v>0</v>
      </c>
      <c r="Z1450" s="139">
        <f t="shared" si="2908"/>
        <v>0</v>
      </c>
      <c r="AA1450" s="139">
        <f t="shared" si="2908"/>
        <v>1.3011152416356878E-2</v>
      </c>
      <c r="AB1450" s="139"/>
      <c r="AC1450" s="139">
        <f t="shared" si="2562"/>
        <v>2.2304832713754646E-2</v>
      </c>
      <c r="AD1450" s="139">
        <f t="shared" ref="AD1450:AI1450" si="2909">O1450/$I1450</f>
        <v>1.8587360594795538E-3</v>
      </c>
      <c r="AE1450" s="139">
        <f t="shared" si="2909"/>
        <v>0</v>
      </c>
      <c r="AF1450" s="139">
        <f t="shared" si="2909"/>
        <v>0</v>
      </c>
      <c r="AG1450" s="139">
        <f t="shared" si="2909"/>
        <v>0</v>
      </c>
      <c r="AH1450" s="139">
        <f t="shared" si="2909"/>
        <v>7.4349442379182153E-3</v>
      </c>
      <c r="AI1450" s="139">
        <f t="shared" si="2909"/>
        <v>1.3011152416356878E-2</v>
      </c>
    </row>
    <row r="1451" spans="2:35">
      <c r="B1451" s="138" t="s">
        <v>8077</v>
      </c>
      <c r="C1451" s="138" t="s">
        <v>4367</v>
      </c>
      <c r="D1451" s="138" t="s">
        <v>7</v>
      </c>
      <c r="E1451" s="138" t="s">
        <v>671</v>
      </c>
      <c r="F1451" s="138" t="s">
        <v>1237</v>
      </c>
      <c r="H1451" s="138">
        <v>34</v>
      </c>
      <c r="I1451" s="138">
        <v>818</v>
      </c>
      <c r="J1451" s="138">
        <v>346</v>
      </c>
      <c r="K1451" s="138">
        <v>446</v>
      </c>
      <c r="N1451" s="138">
        <v>2</v>
      </c>
      <c r="O1451" s="138">
        <v>2</v>
      </c>
      <c r="R1451" s="138">
        <v>1</v>
      </c>
      <c r="S1451" s="138">
        <v>9</v>
      </c>
      <c r="T1451" s="138">
        <v>12</v>
      </c>
      <c r="U1451" s="138">
        <f t="shared" si="2560"/>
        <v>24</v>
      </c>
      <c r="W1451" s="139">
        <f t="shared" ref="W1451:AA1451" si="2910">J1451/$I1451</f>
        <v>0.42298288508557458</v>
      </c>
      <c r="X1451" s="139">
        <f t="shared" si="2910"/>
        <v>0.54523227383863082</v>
      </c>
      <c r="Y1451" s="139">
        <f t="shared" si="2910"/>
        <v>0</v>
      </c>
      <c r="Z1451" s="139">
        <f t="shared" si="2910"/>
        <v>0</v>
      </c>
      <c r="AA1451" s="139">
        <f t="shared" si="2910"/>
        <v>2.4449877750611247E-3</v>
      </c>
      <c r="AB1451" s="139"/>
      <c r="AC1451" s="139">
        <f t="shared" si="2562"/>
        <v>2.9339853300733496E-2</v>
      </c>
      <c r="AD1451" s="139">
        <f t="shared" ref="AD1451:AI1451" si="2911">O1451/$I1451</f>
        <v>2.4449877750611247E-3</v>
      </c>
      <c r="AE1451" s="139">
        <f t="shared" si="2911"/>
        <v>0</v>
      </c>
      <c r="AF1451" s="139">
        <f t="shared" si="2911"/>
        <v>0</v>
      </c>
      <c r="AG1451" s="139">
        <f t="shared" si="2911"/>
        <v>1.2224938875305623E-3</v>
      </c>
      <c r="AH1451" s="139">
        <f t="shared" si="2911"/>
        <v>1.1002444987775062E-2</v>
      </c>
      <c r="AI1451" s="139">
        <f t="shared" si="2911"/>
        <v>1.4669926650366748E-2</v>
      </c>
    </row>
    <row r="1452" spans="2:35">
      <c r="B1452" s="138" t="s">
        <v>8077</v>
      </c>
      <c r="C1452" s="138" t="s">
        <v>4367</v>
      </c>
      <c r="D1452" s="138" t="s">
        <v>7</v>
      </c>
      <c r="E1452" s="138" t="s">
        <v>671</v>
      </c>
      <c r="F1452" s="138" t="s">
        <v>1237</v>
      </c>
      <c r="H1452" s="138">
        <v>35</v>
      </c>
      <c r="I1452" s="138">
        <v>938</v>
      </c>
      <c r="J1452" s="138">
        <v>478</v>
      </c>
      <c r="K1452" s="138">
        <v>416</v>
      </c>
      <c r="N1452" s="138">
        <v>7</v>
      </c>
      <c r="O1452" s="138">
        <v>1</v>
      </c>
      <c r="R1452" s="138">
        <v>1</v>
      </c>
      <c r="S1452" s="138">
        <v>17</v>
      </c>
      <c r="T1452" s="138">
        <v>18</v>
      </c>
      <c r="U1452" s="138">
        <f t="shared" si="2560"/>
        <v>37</v>
      </c>
      <c r="W1452" s="139">
        <f t="shared" ref="W1452:AA1452" si="2912">J1452/$I1452</f>
        <v>0.50959488272921105</v>
      </c>
      <c r="X1452" s="139">
        <f t="shared" si="2912"/>
        <v>0.44349680170575695</v>
      </c>
      <c r="Y1452" s="139">
        <f t="shared" si="2912"/>
        <v>0</v>
      </c>
      <c r="Z1452" s="139">
        <f t="shared" si="2912"/>
        <v>0</v>
      </c>
      <c r="AA1452" s="139">
        <f t="shared" si="2912"/>
        <v>7.462686567164179E-3</v>
      </c>
      <c r="AB1452" s="139"/>
      <c r="AC1452" s="139">
        <f t="shared" si="2562"/>
        <v>3.9445628997867806E-2</v>
      </c>
      <c r="AD1452" s="139">
        <f t="shared" ref="AD1452:AI1452" si="2913">O1452/$I1452</f>
        <v>1.0660980810234541E-3</v>
      </c>
      <c r="AE1452" s="139">
        <f t="shared" si="2913"/>
        <v>0</v>
      </c>
      <c r="AF1452" s="139">
        <f t="shared" si="2913"/>
        <v>0</v>
      </c>
      <c r="AG1452" s="139">
        <f t="shared" si="2913"/>
        <v>1.0660980810234541E-3</v>
      </c>
      <c r="AH1452" s="139">
        <f t="shared" si="2913"/>
        <v>1.8123667377398719E-2</v>
      </c>
      <c r="AI1452" s="139">
        <f t="shared" si="2913"/>
        <v>1.9189765458422176E-2</v>
      </c>
    </row>
    <row r="1453" spans="2:35">
      <c r="B1453" s="138" t="s">
        <v>8077</v>
      </c>
      <c r="C1453" s="138" t="s">
        <v>4367</v>
      </c>
      <c r="D1453" s="138" t="s">
        <v>7</v>
      </c>
      <c r="E1453" s="138" t="s">
        <v>671</v>
      </c>
      <c r="F1453" s="138" t="s">
        <v>1231</v>
      </c>
      <c r="H1453" s="138">
        <v>36</v>
      </c>
      <c r="I1453" s="138">
        <v>1028</v>
      </c>
      <c r="J1453" s="138">
        <v>472</v>
      </c>
      <c r="K1453" s="138">
        <v>517</v>
      </c>
      <c r="N1453" s="138">
        <v>11</v>
      </c>
      <c r="O1453" s="138">
        <v>2</v>
      </c>
      <c r="R1453" s="138">
        <v>1</v>
      </c>
      <c r="S1453" s="138">
        <v>9</v>
      </c>
      <c r="T1453" s="138">
        <v>16</v>
      </c>
      <c r="U1453" s="138">
        <f t="shared" si="2560"/>
        <v>28</v>
      </c>
      <c r="W1453" s="139">
        <f t="shared" ref="W1453:AA1453" si="2914">J1453/$I1453</f>
        <v>0.45914396887159531</v>
      </c>
      <c r="X1453" s="139">
        <f t="shared" si="2914"/>
        <v>0.50291828793774318</v>
      </c>
      <c r="Y1453" s="139">
        <f t="shared" si="2914"/>
        <v>0</v>
      </c>
      <c r="Z1453" s="139">
        <f t="shared" si="2914"/>
        <v>0</v>
      </c>
      <c r="AA1453" s="139">
        <f t="shared" si="2914"/>
        <v>1.0700389105058366E-2</v>
      </c>
      <c r="AB1453" s="139"/>
      <c r="AC1453" s="139">
        <f t="shared" si="2562"/>
        <v>2.7237354085603113E-2</v>
      </c>
      <c r="AD1453" s="139">
        <f t="shared" ref="AD1453:AI1453" si="2915">O1453/$I1453</f>
        <v>1.9455252918287938E-3</v>
      </c>
      <c r="AE1453" s="139">
        <f t="shared" si="2915"/>
        <v>0</v>
      </c>
      <c r="AF1453" s="139">
        <f t="shared" si="2915"/>
        <v>0</v>
      </c>
      <c r="AG1453" s="139">
        <f t="shared" si="2915"/>
        <v>9.727626459143969E-4</v>
      </c>
      <c r="AH1453" s="139">
        <f t="shared" si="2915"/>
        <v>8.7548638132295721E-3</v>
      </c>
      <c r="AI1453" s="139">
        <f t="shared" si="2915"/>
        <v>1.556420233463035E-2</v>
      </c>
    </row>
    <row r="1454" spans="2:35">
      <c r="B1454" s="138" t="s">
        <v>8077</v>
      </c>
      <c r="C1454" s="138" t="s">
        <v>4367</v>
      </c>
      <c r="D1454" s="138" t="s">
        <v>7</v>
      </c>
      <c r="E1454" s="138" t="s">
        <v>671</v>
      </c>
      <c r="F1454" s="138" t="s">
        <v>1231</v>
      </c>
      <c r="H1454" s="138">
        <v>37</v>
      </c>
      <c r="I1454" s="138">
        <v>907</v>
      </c>
      <c r="J1454" s="138">
        <v>317</v>
      </c>
      <c r="K1454" s="138">
        <v>543</v>
      </c>
      <c r="N1454" s="138">
        <v>12</v>
      </c>
      <c r="O1454" s="138">
        <v>2</v>
      </c>
      <c r="R1454" s="138">
        <v>1</v>
      </c>
      <c r="S1454" s="138">
        <v>15</v>
      </c>
      <c r="T1454" s="138">
        <v>17</v>
      </c>
      <c r="U1454" s="138">
        <f t="shared" si="2560"/>
        <v>35</v>
      </c>
      <c r="W1454" s="139">
        <f t="shared" ref="W1454:AA1454" si="2916">J1454/$I1454</f>
        <v>0.34950385887541346</v>
      </c>
      <c r="X1454" s="139">
        <f t="shared" si="2916"/>
        <v>0.59867695700110257</v>
      </c>
      <c r="Y1454" s="139">
        <f t="shared" si="2916"/>
        <v>0</v>
      </c>
      <c r="Z1454" s="139">
        <f t="shared" si="2916"/>
        <v>0</v>
      </c>
      <c r="AA1454" s="139">
        <f t="shared" si="2916"/>
        <v>1.3230429988974642E-2</v>
      </c>
      <c r="AB1454" s="139"/>
      <c r="AC1454" s="139">
        <f t="shared" si="2562"/>
        <v>3.8588754134509372E-2</v>
      </c>
      <c r="AD1454" s="139">
        <f t="shared" ref="AD1454:AI1454" si="2917">O1454/$I1454</f>
        <v>2.205071664829107E-3</v>
      </c>
      <c r="AE1454" s="139">
        <f t="shared" si="2917"/>
        <v>0</v>
      </c>
      <c r="AF1454" s="139">
        <f t="shared" si="2917"/>
        <v>0</v>
      </c>
      <c r="AG1454" s="139">
        <f t="shared" si="2917"/>
        <v>1.1025358324145535E-3</v>
      </c>
      <c r="AH1454" s="139">
        <f t="shared" si="2917"/>
        <v>1.6538037486218304E-2</v>
      </c>
      <c r="AI1454" s="139">
        <f t="shared" si="2917"/>
        <v>1.8743109151047408E-2</v>
      </c>
    </row>
    <row r="1455" spans="2:35">
      <c r="B1455" s="138" t="s">
        <v>8077</v>
      </c>
      <c r="C1455" s="138" t="s">
        <v>4367</v>
      </c>
      <c r="D1455" s="138" t="s">
        <v>7</v>
      </c>
      <c r="E1455" s="138" t="s">
        <v>671</v>
      </c>
      <c r="F1455" s="138" t="s">
        <v>679</v>
      </c>
      <c r="H1455" s="138">
        <v>38</v>
      </c>
      <c r="I1455" s="138">
        <v>1022</v>
      </c>
      <c r="J1455" s="138">
        <v>416</v>
      </c>
      <c r="K1455" s="138">
        <v>537</v>
      </c>
      <c r="N1455" s="138">
        <v>16</v>
      </c>
      <c r="O1455" s="138">
        <v>3</v>
      </c>
      <c r="R1455" s="138">
        <v>0</v>
      </c>
      <c r="S1455" s="138">
        <v>23</v>
      </c>
      <c r="T1455" s="138">
        <v>27</v>
      </c>
      <c r="U1455" s="138">
        <f t="shared" si="2560"/>
        <v>53</v>
      </c>
      <c r="W1455" s="139">
        <f t="shared" ref="W1455:AA1455" si="2918">J1455/$I1455</f>
        <v>0.40704500978473579</v>
      </c>
      <c r="X1455" s="139">
        <f t="shared" si="2918"/>
        <v>0.52544031311154604</v>
      </c>
      <c r="Y1455" s="139">
        <f t="shared" si="2918"/>
        <v>0</v>
      </c>
      <c r="Z1455" s="139">
        <f t="shared" si="2918"/>
        <v>0</v>
      </c>
      <c r="AA1455" s="139">
        <f t="shared" si="2918"/>
        <v>1.5655577299412915E-2</v>
      </c>
      <c r="AB1455" s="139"/>
      <c r="AC1455" s="139">
        <f t="shared" si="2562"/>
        <v>5.1859099804305281E-2</v>
      </c>
      <c r="AD1455" s="139">
        <f t="shared" ref="AD1455:AI1455" si="2919">O1455/$I1455</f>
        <v>2.9354207436399216E-3</v>
      </c>
      <c r="AE1455" s="139">
        <f t="shared" si="2919"/>
        <v>0</v>
      </c>
      <c r="AF1455" s="139">
        <f t="shared" si="2919"/>
        <v>0</v>
      </c>
      <c r="AG1455" s="139">
        <f t="shared" si="2919"/>
        <v>0</v>
      </c>
      <c r="AH1455" s="139">
        <f t="shared" si="2919"/>
        <v>2.2504892367906065E-2</v>
      </c>
      <c r="AI1455" s="139">
        <f t="shared" si="2919"/>
        <v>2.6418786692759294E-2</v>
      </c>
    </row>
    <row r="1456" spans="2:35">
      <c r="B1456" s="138" t="s">
        <v>8077</v>
      </c>
      <c r="C1456" s="138" t="s">
        <v>4367</v>
      </c>
      <c r="D1456" s="138" t="s">
        <v>7</v>
      </c>
      <c r="E1456" s="138" t="s">
        <v>671</v>
      </c>
      <c r="F1456" s="138" t="s">
        <v>679</v>
      </c>
      <c r="H1456" s="138">
        <v>39</v>
      </c>
      <c r="I1456" s="138">
        <v>801</v>
      </c>
      <c r="J1456" s="138">
        <v>457</v>
      </c>
      <c r="K1456" s="138">
        <v>286</v>
      </c>
      <c r="N1456" s="138">
        <v>5</v>
      </c>
      <c r="O1456" s="138">
        <v>8</v>
      </c>
      <c r="R1456" s="138">
        <v>2</v>
      </c>
      <c r="S1456" s="138">
        <v>30</v>
      </c>
      <c r="T1456" s="138">
        <v>13</v>
      </c>
      <c r="U1456" s="138">
        <f t="shared" si="2560"/>
        <v>53</v>
      </c>
      <c r="W1456" s="139">
        <f t="shared" ref="W1456:AA1456" si="2920">J1456/$I1456</f>
        <v>0.57053682896379521</v>
      </c>
      <c r="X1456" s="139">
        <f t="shared" si="2920"/>
        <v>0.35705368289637951</v>
      </c>
      <c r="Y1456" s="139">
        <f t="shared" si="2920"/>
        <v>0</v>
      </c>
      <c r="Z1456" s="139">
        <f t="shared" si="2920"/>
        <v>0</v>
      </c>
      <c r="AA1456" s="139">
        <f t="shared" si="2920"/>
        <v>6.2421972534332081E-3</v>
      </c>
      <c r="AB1456" s="139"/>
      <c r="AC1456" s="139">
        <f t="shared" si="2562"/>
        <v>6.6167290886392005E-2</v>
      </c>
      <c r="AD1456" s="139">
        <f t="shared" ref="AD1456:AI1456" si="2921">O1456/$I1456</f>
        <v>9.9875156054931337E-3</v>
      </c>
      <c r="AE1456" s="139">
        <f t="shared" si="2921"/>
        <v>0</v>
      </c>
      <c r="AF1456" s="139">
        <f t="shared" si="2921"/>
        <v>0</v>
      </c>
      <c r="AG1456" s="139">
        <f t="shared" si="2921"/>
        <v>2.4968789013732834E-3</v>
      </c>
      <c r="AH1456" s="139">
        <f t="shared" si="2921"/>
        <v>3.7453183520599252E-2</v>
      </c>
      <c r="AI1456" s="139">
        <f t="shared" si="2921"/>
        <v>1.6229712858926344E-2</v>
      </c>
    </row>
    <row r="1457" spans="2:35">
      <c r="B1457" s="138" t="s">
        <v>8077</v>
      </c>
      <c r="C1457" s="138" t="s">
        <v>4367</v>
      </c>
      <c r="D1457" s="138" t="s">
        <v>7</v>
      </c>
      <c r="E1457" s="138" t="s">
        <v>671</v>
      </c>
      <c r="F1457" s="138" t="s">
        <v>679</v>
      </c>
      <c r="H1457" s="138">
        <v>40</v>
      </c>
      <c r="I1457" s="138">
        <v>719</v>
      </c>
      <c r="J1457" s="138">
        <v>445</v>
      </c>
      <c r="K1457" s="138">
        <v>225</v>
      </c>
      <c r="N1457" s="138">
        <v>5</v>
      </c>
      <c r="O1457" s="138">
        <v>3</v>
      </c>
      <c r="R1457" s="138">
        <v>0</v>
      </c>
      <c r="S1457" s="138">
        <v>23</v>
      </c>
      <c r="T1457" s="138">
        <v>18</v>
      </c>
      <c r="U1457" s="138">
        <f t="shared" si="2560"/>
        <v>44</v>
      </c>
      <c r="W1457" s="139">
        <f t="shared" ref="W1457:AA1457" si="2922">J1457/$I1457</f>
        <v>0.61891515994436719</v>
      </c>
      <c r="X1457" s="139">
        <f t="shared" si="2922"/>
        <v>0.31293463143254518</v>
      </c>
      <c r="Y1457" s="139">
        <f t="shared" si="2922"/>
        <v>0</v>
      </c>
      <c r="Z1457" s="139">
        <f t="shared" si="2922"/>
        <v>0</v>
      </c>
      <c r="AA1457" s="139">
        <f t="shared" si="2922"/>
        <v>6.954102920723227E-3</v>
      </c>
      <c r="AB1457" s="139"/>
      <c r="AC1457" s="139">
        <f t="shared" si="2562"/>
        <v>6.1196105702364396E-2</v>
      </c>
      <c r="AD1457" s="139">
        <f t="shared" ref="AD1457:AI1457" si="2923">O1457/$I1457</f>
        <v>4.172461752433936E-3</v>
      </c>
      <c r="AE1457" s="139">
        <f t="shared" si="2923"/>
        <v>0</v>
      </c>
      <c r="AF1457" s="139">
        <f t="shared" si="2923"/>
        <v>0</v>
      </c>
      <c r="AG1457" s="139">
        <f t="shared" si="2923"/>
        <v>0</v>
      </c>
      <c r="AH1457" s="139">
        <f t="shared" si="2923"/>
        <v>3.1988873435326845E-2</v>
      </c>
      <c r="AI1457" s="139">
        <f t="shared" si="2923"/>
        <v>2.5034770514603615E-2</v>
      </c>
    </row>
    <row r="1458" spans="2:35">
      <c r="B1458" s="138" t="s">
        <v>8077</v>
      </c>
      <c r="C1458" s="138" t="s">
        <v>4367</v>
      </c>
      <c r="D1458" s="138" t="s">
        <v>7</v>
      </c>
      <c r="E1458" s="138" t="s">
        <v>671</v>
      </c>
      <c r="F1458" s="138" t="s">
        <v>1257</v>
      </c>
      <c r="H1458" s="138">
        <v>41</v>
      </c>
      <c r="I1458" s="138">
        <v>921</v>
      </c>
      <c r="J1458" s="138">
        <v>422</v>
      </c>
      <c r="K1458" s="138">
        <v>490</v>
      </c>
      <c r="N1458" s="138">
        <v>4</v>
      </c>
      <c r="O1458" s="138">
        <v>1</v>
      </c>
      <c r="R1458" s="138">
        <v>0</v>
      </c>
      <c r="S1458" s="138">
        <v>3</v>
      </c>
      <c r="T1458" s="138">
        <v>1</v>
      </c>
      <c r="U1458" s="138">
        <f t="shared" si="2560"/>
        <v>5</v>
      </c>
      <c r="W1458" s="139">
        <f t="shared" ref="W1458:AA1458" si="2924">J1458/$I1458</f>
        <v>0.45819761129207381</v>
      </c>
      <c r="X1458" s="139">
        <f t="shared" si="2924"/>
        <v>0.53203040173724214</v>
      </c>
      <c r="Y1458" s="139">
        <f t="shared" si="2924"/>
        <v>0</v>
      </c>
      <c r="Z1458" s="139">
        <f t="shared" si="2924"/>
        <v>0</v>
      </c>
      <c r="AA1458" s="139">
        <f t="shared" si="2924"/>
        <v>4.3431053203040176E-3</v>
      </c>
      <c r="AB1458" s="139"/>
      <c r="AC1458" s="139">
        <f t="shared" si="2562"/>
        <v>5.4288816503800215E-3</v>
      </c>
      <c r="AD1458" s="139">
        <f t="shared" ref="AD1458:AI1458" si="2925">O1458/$I1458</f>
        <v>1.0857763300760044E-3</v>
      </c>
      <c r="AE1458" s="139">
        <f t="shared" si="2925"/>
        <v>0</v>
      </c>
      <c r="AF1458" s="139">
        <f t="shared" si="2925"/>
        <v>0</v>
      </c>
      <c r="AG1458" s="139">
        <f t="shared" si="2925"/>
        <v>0</v>
      </c>
      <c r="AH1458" s="139">
        <f t="shared" si="2925"/>
        <v>3.2573289902280132E-3</v>
      </c>
      <c r="AI1458" s="139">
        <f t="shared" si="2925"/>
        <v>1.0857763300760044E-3</v>
      </c>
    </row>
    <row r="1459" spans="2:35">
      <c r="B1459" s="138" t="s">
        <v>8077</v>
      </c>
      <c r="C1459" s="138" t="s">
        <v>4367</v>
      </c>
      <c r="D1459" s="138" t="s">
        <v>7</v>
      </c>
      <c r="E1459" s="138" t="s">
        <v>7</v>
      </c>
      <c r="F1459" s="138" t="s">
        <v>1523</v>
      </c>
      <c r="H1459" s="138">
        <v>42</v>
      </c>
      <c r="I1459" s="138">
        <v>896</v>
      </c>
      <c r="J1459" s="138">
        <v>451</v>
      </c>
      <c r="K1459" s="138">
        <v>404</v>
      </c>
      <c r="N1459" s="138">
        <v>8</v>
      </c>
      <c r="O1459" s="138">
        <v>1</v>
      </c>
      <c r="R1459" s="138">
        <v>0</v>
      </c>
      <c r="S1459" s="138">
        <v>16</v>
      </c>
      <c r="T1459" s="138">
        <v>16</v>
      </c>
      <c r="U1459" s="138">
        <f t="shared" si="2560"/>
        <v>33</v>
      </c>
      <c r="W1459" s="139">
        <f t="shared" ref="W1459:AA1459" si="2926">J1459/$I1459</f>
        <v>0.5033482142857143</v>
      </c>
      <c r="X1459" s="139">
        <f t="shared" si="2926"/>
        <v>0.45089285714285715</v>
      </c>
      <c r="Y1459" s="139">
        <f t="shared" si="2926"/>
        <v>0</v>
      </c>
      <c r="Z1459" s="139">
        <f t="shared" si="2926"/>
        <v>0</v>
      </c>
      <c r="AA1459" s="139">
        <f t="shared" si="2926"/>
        <v>8.9285714285714281E-3</v>
      </c>
      <c r="AB1459" s="139"/>
      <c r="AC1459" s="139">
        <f t="shared" si="2562"/>
        <v>3.6830357142857144E-2</v>
      </c>
      <c r="AD1459" s="139">
        <f t="shared" ref="AD1459:AI1459" si="2927">O1459/$I1459</f>
        <v>1.1160714285714285E-3</v>
      </c>
      <c r="AE1459" s="139">
        <f t="shared" si="2927"/>
        <v>0</v>
      </c>
      <c r="AF1459" s="139">
        <f t="shared" si="2927"/>
        <v>0</v>
      </c>
      <c r="AG1459" s="139">
        <f t="shared" si="2927"/>
        <v>0</v>
      </c>
      <c r="AH1459" s="139">
        <f t="shared" si="2927"/>
        <v>1.7857142857142856E-2</v>
      </c>
      <c r="AI1459" s="139">
        <f t="shared" si="2927"/>
        <v>1.7857142857142856E-2</v>
      </c>
    </row>
    <row r="1460" spans="2:35">
      <c r="B1460" s="138" t="s">
        <v>8077</v>
      </c>
      <c r="C1460" s="138" t="s">
        <v>4367</v>
      </c>
      <c r="D1460" s="138" t="s">
        <v>7</v>
      </c>
      <c r="E1460" s="138" t="s">
        <v>7</v>
      </c>
      <c r="F1460" s="138" t="s">
        <v>1523</v>
      </c>
      <c r="H1460" s="138">
        <v>43</v>
      </c>
      <c r="I1460" s="138">
        <v>963</v>
      </c>
      <c r="J1460" s="138">
        <v>477</v>
      </c>
      <c r="K1460" s="138">
        <v>463</v>
      </c>
      <c r="N1460" s="138">
        <v>9</v>
      </c>
      <c r="O1460" s="138">
        <v>2</v>
      </c>
      <c r="R1460" s="138">
        <v>3</v>
      </c>
      <c r="S1460" s="138">
        <v>3</v>
      </c>
      <c r="T1460" s="138">
        <v>6</v>
      </c>
      <c r="U1460" s="138">
        <f t="shared" si="2560"/>
        <v>14</v>
      </c>
      <c r="W1460" s="139">
        <f t="shared" ref="W1460:AA1460" si="2928">J1460/$I1460</f>
        <v>0.49532710280373832</v>
      </c>
      <c r="X1460" s="139">
        <f t="shared" si="2928"/>
        <v>0.48078920041536866</v>
      </c>
      <c r="Y1460" s="139">
        <f t="shared" si="2928"/>
        <v>0</v>
      </c>
      <c r="Z1460" s="139">
        <f t="shared" si="2928"/>
        <v>0</v>
      </c>
      <c r="AA1460" s="139">
        <f t="shared" si="2928"/>
        <v>9.3457943925233638E-3</v>
      </c>
      <c r="AB1460" s="139"/>
      <c r="AC1460" s="139">
        <f t="shared" si="2562"/>
        <v>1.4537902388369679E-2</v>
      </c>
      <c r="AD1460" s="139">
        <f t="shared" ref="AD1460:AI1460" si="2929">O1460/$I1460</f>
        <v>2.0768431983385254E-3</v>
      </c>
      <c r="AE1460" s="139">
        <f t="shared" si="2929"/>
        <v>0</v>
      </c>
      <c r="AF1460" s="139">
        <f t="shared" si="2929"/>
        <v>0</v>
      </c>
      <c r="AG1460" s="139">
        <f t="shared" si="2929"/>
        <v>3.1152647975077881E-3</v>
      </c>
      <c r="AH1460" s="139">
        <f t="shared" si="2929"/>
        <v>3.1152647975077881E-3</v>
      </c>
      <c r="AI1460" s="139">
        <f t="shared" si="2929"/>
        <v>6.2305295950155761E-3</v>
      </c>
    </row>
    <row r="1461" spans="2:35">
      <c r="B1461" s="138" t="s">
        <v>8077</v>
      </c>
      <c r="C1461" s="138" t="s">
        <v>4367</v>
      </c>
      <c r="D1461" s="138" t="s">
        <v>7</v>
      </c>
      <c r="E1461" s="138" t="s">
        <v>7</v>
      </c>
      <c r="F1461" s="138" t="s">
        <v>8192</v>
      </c>
      <c r="H1461" s="138">
        <v>44</v>
      </c>
      <c r="I1461" s="138">
        <v>759</v>
      </c>
      <c r="J1461" s="138">
        <v>438</v>
      </c>
      <c r="K1461" s="138">
        <v>276</v>
      </c>
      <c r="N1461" s="138">
        <v>12</v>
      </c>
      <c r="O1461" s="138">
        <v>2</v>
      </c>
      <c r="R1461" s="138">
        <v>1</v>
      </c>
      <c r="S1461" s="138">
        <v>12</v>
      </c>
      <c r="T1461" s="138">
        <v>18</v>
      </c>
      <c r="U1461" s="138">
        <f t="shared" si="2560"/>
        <v>33</v>
      </c>
      <c r="W1461" s="139">
        <f t="shared" ref="W1461:AA1461" si="2930">J1461/$I1461</f>
        <v>0.57707509881422925</v>
      </c>
      <c r="X1461" s="139">
        <f t="shared" si="2930"/>
        <v>0.36363636363636365</v>
      </c>
      <c r="Y1461" s="139">
        <f t="shared" si="2930"/>
        <v>0</v>
      </c>
      <c r="Z1461" s="139">
        <f t="shared" si="2930"/>
        <v>0</v>
      </c>
      <c r="AA1461" s="139">
        <f t="shared" si="2930"/>
        <v>1.5810276679841896E-2</v>
      </c>
      <c r="AB1461" s="139"/>
      <c r="AC1461" s="139">
        <f t="shared" si="2562"/>
        <v>4.3478260869565216E-2</v>
      </c>
      <c r="AD1461" s="139">
        <f t="shared" ref="AD1461:AI1461" si="2931">O1461/$I1461</f>
        <v>2.635046113306983E-3</v>
      </c>
      <c r="AE1461" s="139">
        <f t="shared" si="2931"/>
        <v>0</v>
      </c>
      <c r="AF1461" s="139">
        <f t="shared" si="2931"/>
        <v>0</v>
      </c>
      <c r="AG1461" s="139">
        <f t="shared" si="2931"/>
        <v>1.3175230566534915E-3</v>
      </c>
      <c r="AH1461" s="139">
        <f t="shared" si="2931"/>
        <v>1.5810276679841896E-2</v>
      </c>
      <c r="AI1461" s="139">
        <f t="shared" si="2931"/>
        <v>2.3715415019762844E-2</v>
      </c>
    </row>
    <row r="1462" spans="2:35">
      <c r="B1462" s="138" t="s">
        <v>8077</v>
      </c>
      <c r="C1462" s="138" t="s">
        <v>4367</v>
      </c>
      <c r="D1462" s="138" t="s">
        <v>7</v>
      </c>
      <c r="E1462" s="138" t="s">
        <v>7</v>
      </c>
      <c r="F1462" s="138" t="s">
        <v>8192</v>
      </c>
      <c r="H1462" s="138">
        <v>45</v>
      </c>
      <c r="I1462" s="138">
        <v>715</v>
      </c>
      <c r="J1462" s="138">
        <v>382</v>
      </c>
      <c r="K1462" s="138">
        <v>267</v>
      </c>
      <c r="N1462" s="138">
        <v>5</v>
      </c>
      <c r="O1462" s="138">
        <v>9</v>
      </c>
      <c r="R1462" s="138">
        <v>2</v>
      </c>
      <c r="S1462" s="138">
        <v>26</v>
      </c>
      <c r="T1462" s="138">
        <v>24</v>
      </c>
      <c r="U1462" s="138">
        <f t="shared" si="2560"/>
        <v>61</v>
      </c>
      <c r="W1462" s="139">
        <f t="shared" ref="W1462:AA1462" si="2932">J1462/$I1462</f>
        <v>0.53426573426573432</v>
      </c>
      <c r="X1462" s="139">
        <f t="shared" si="2932"/>
        <v>0.37342657342657343</v>
      </c>
      <c r="Y1462" s="139">
        <f t="shared" si="2932"/>
        <v>0</v>
      </c>
      <c r="Z1462" s="139">
        <f t="shared" si="2932"/>
        <v>0</v>
      </c>
      <c r="AA1462" s="139">
        <f t="shared" si="2932"/>
        <v>6.993006993006993E-3</v>
      </c>
      <c r="AB1462" s="139"/>
      <c r="AC1462" s="139">
        <f t="shared" si="2562"/>
        <v>8.5314685314685321E-2</v>
      </c>
      <c r="AD1462" s="139">
        <f t="shared" ref="AD1462:AI1462" si="2933">O1462/$I1462</f>
        <v>1.2587412587412588E-2</v>
      </c>
      <c r="AE1462" s="139">
        <f t="shared" si="2933"/>
        <v>0</v>
      </c>
      <c r="AF1462" s="139">
        <f t="shared" si="2933"/>
        <v>0</v>
      </c>
      <c r="AG1462" s="139">
        <f t="shared" si="2933"/>
        <v>2.7972027972027972E-3</v>
      </c>
      <c r="AH1462" s="139">
        <f t="shared" si="2933"/>
        <v>3.6363636363636362E-2</v>
      </c>
      <c r="AI1462" s="139">
        <f t="shared" si="2933"/>
        <v>3.3566433566433566E-2</v>
      </c>
    </row>
    <row r="1463" spans="2:35">
      <c r="B1463" s="138" t="s">
        <v>8077</v>
      </c>
      <c r="C1463" s="138" t="s">
        <v>4367</v>
      </c>
      <c r="D1463" s="138" t="s">
        <v>7</v>
      </c>
      <c r="E1463" s="138" t="s">
        <v>7</v>
      </c>
      <c r="F1463" s="138" t="s">
        <v>8193</v>
      </c>
      <c r="H1463" s="138">
        <v>46</v>
      </c>
      <c r="I1463" s="138">
        <v>999</v>
      </c>
      <c r="J1463" s="138">
        <v>446</v>
      </c>
      <c r="K1463" s="138">
        <v>477</v>
      </c>
      <c r="N1463" s="138">
        <v>11</v>
      </c>
      <c r="O1463" s="138">
        <v>10</v>
      </c>
      <c r="R1463" s="138">
        <v>4</v>
      </c>
      <c r="S1463" s="138">
        <v>22</v>
      </c>
      <c r="T1463" s="138">
        <v>29</v>
      </c>
      <c r="U1463" s="138">
        <f t="shared" si="2560"/>
        <v>65</v>
      </c>
      <c r="W1463" s="139">
        <f t="shared" ref="W1463:AA1463" si="2934">J1463/$I1463</f>
        <v>0.44644644644644643</v>
      </c>
      <c r="X1463" s="139">
        <f t="shared" si="2934"/>
        <v>0.47747747747747749</v>
      </c>
      <c r="Y1463" s="139">
        <f t="shared" si="2934"/>
        <v>0</v>
      </c>
      <c r="Z1463" s="139">
        <f t="shared" si="2934"/>
        <v>0</v>
      </c>
      <c r="AA1463" s="139">
        <f t="shared" si="2934"/>
        <v>1.1011011011011011E-2</v>
      </c>
      <c r="AB1463" s="139"/>
      <c r="AC1463" s="139">
        <f t="shared" si="2562"/>
        <v>6.506506506506507E-2</v>
      </c>
      <c r="AD1463" s="139">
        <f t="shared" ref="AD1463:AI1463" si="2935">O1463/$I1463</f>
        <v>1.001001001001001E-2</v>
      </c>
      <c r="AE1463" s="139">
        <f t="shared" si="2935"/>
        <v>0</v>
      </c>
      <c r="AF1463" s="139">
        <f t="shared" si="2935"/>
        <v>0</v>
      </c>
      <c r="AG1463" s="139">
        <f t="shared" si="2935"/>
        <v>4.004004004004004E-3</v>
      </c>
      <c r="AH1463" s="139">
        <f t="shared" si="2935"/>
        <v>2.2022022022022022E-2</v>
      </c>
      <c r="AI1463" s="139">
        <f t="shared" si="2935"/>
        <v>2.9029029029029031E-2</v>
      </c>
    </row>
    <row r="1464" spans="2:35">
      <c r="B1464" s="138" t="s">
        <v>8077</v>
      </c>
      <c r="C1464" s="138" t="s">
        <v>4367</v>
      </c>
      <c r="D1464" s="138" t="s">
        <v>7</v>
      </c>
      <c r="E1464" s="138" t="s">
        <v>7</v>
      </c>
      <c r="F1464" s="138" t="s">
        <v>8193</v>
      </c>
      <c r="H1464" s="138">
        <v>47</v>
      </c>
      <c r="I1464" s="138">
        <v>717</v>
      </c>
      <c r="J1464" s="138">
        <v>392</v>
      </c>
      <c r="K1464" s="138">
        <v>297</v>
      </c>
      <c r="N1464" s="138">
        <v>8</v>
      </c>
      <c r="O1464" s="138">
        <v>1</v>
      </c>
      <c r="R1464" s="138">
        <v>1</v>
      </c>
      <c r="S1464" s="138">
        <v>9</v>
      </c>
      <c r="T1464" s="138">
        <v>9</v>
      </c>
      <c r="U1464" s="138">
        <f t="shared" si="2560"/>
        <v>20</v>
      </c>
      <c r="W1464" s="139">
        <f t="shared" ref="W1464:AA1464" si="2936">J1464/$I1464</f>
        <v>0.54672245467224545</v>
      </c>
      <c r="X1464" s="139">
        <f t="shared" si="2936"/>
        <v>0.41422594142259417</v>
      </c>
      <c r="Y1464" s="139">
        <f t="shared" si="2936"/>
        <v>0</v>
      </c>
      <c r="Z1464" s="139">
        <f t="shared" si="2936"/>
        <v>0</v>
      </c>
      <c r="AA1464" s="139">
        <f t="shared" si="2936"/>
        <v>1.1157601115760111E-2</v>
      </c>
      <c r="AB1464" s="139"/>
      <c r="AC1464" s="139">
        <f t="shared" si="2562"/>
        <v>2.7894002789400279E-2</v>
      </c>
      <c r="AD1464" s="139">
        <f t="shared" ref="AD1464:AI1464" si="2937">O1464/$I1464</f>
        <v>1.3947001394700139E-3</v>
      </c>
      <c r="AE1464" s="139">
        <f t="shared" si="2937"/>
        <v>0</v>
      </c>
      <c r="AF1464" s="139">
        <f t="shared" si="2937"/>
        <v>0</v>
      </c>
      <c r="AG1464" s="139">
        <f t="shared" si="2937"/>
        <v>1.3947001394700139E-3</v>
      </c>
      <c r="AH1464" s="139">
        <f t="shared" si="2937"/>
        <v>1.2552301255230125E-2</v>
      </c>
      <c r="AI1464" s="139">
        <f t="shared" si="2937"/>
        <v>1.2552301255230125E-2</v>
      </c>
    </row>
    <row r="1465" spans="2:35">
      <c r="B1465" s="138" t="s">
        <v>8077</v>
      </c>
      <c r="C1465" s="138" t="s">
        <v>4367</v>
      </c>
      <c r="D1465" s="138" t="s">
        <v>7</v>
      </c>
      <c r="E1465" s="138" t="s">
        <v>7</v>
      </c>
      <c r="F1465" s="138" t="s">
        <v>8193</v>
      </c>
      <c r="H1465" s="138">
        <v>48</v>
      </c>
      <c r="I1465" s="138">
        <v>853</v>
      </c>
      <c r="J1465" s="138">
        <v>414</v>
      </c>
      <c r="K1465" s="138">
        <v>377</v>
      </c>
      <c r="N1465" s="138">
        <v>11</v>
      </c>
      <c r="O1465" s="138">
        <v>10</v>
      </c>
      <c r="R1465" s="138">
        <v>1</v>
      </c>
      <c r="S1465" s="138">
        <v>17</v>
      </c>
      <c r="T1465" s="138">
        <v>23</v>
      </c>
      <c r="U1465" s="138">
        <f t="shared" si="2560"/>
        <v>51</v>
      </c>
      <c r="W1465" s="139">
        <f t="shared" ref="W1465:AA1465" si="2938">J1465/$I1465</f>
        <v>0.48534583821805394</v>
      </c>
      <c r="X1465" s="139">
        <f t="shared" si="2938"/>
        <v>0.44196951934349354</v>
      </c>
      <c r="Y1465" s="139">
        <f t="shared" si="2938"/>
        <v>0</v>
      </c>
      <c r="Z1465" s="139">
        <f t="shared" si="2938"/>
        <v>0</v>
      </c>
      <c r="AA1465" s="139">
        <f t="shared" si="2938"/>
        <v>1.2895662368112544E-2</v>
      </c>
      <c r="AB1465" s="139"/>
      <c r="AC1465" s="139">
        <f t="shared" si="2562"/>
        <v>5.9788980070339975E-2</v>
      </c>
      <c r="AD1465" s="139">
        <f t="shared" ref="AD1465:AI1465" si="2939">O1465/$I1465</f>
        <v>1.1723329425556858E-2</v>
      </c>
      <c r="AE1465" s="139">
        <f t="shared" si="2939"/>
        <v>0</v>
      </c>
      <c r="AF1465" s="139">
        <f t="shared" si="2939"/>
        <v>0</v>
      </c>
      <c r="AG1465" s="139">
        <f t="shared" si="2939"/>
        <v>1.1723329425556857E-3</v>
      </c>
      <c r="AH1465" s="139">
        <f t="shared" si="2939"/>
        <v>1.992966002344666E-2</v>
      </c>
      <c r="AI1465" s="139">
        <f t="shared" si="2939"/>
        <v>2.6963657678780773E-2</v>
      </c>
    </row>
    <row r="1466" spans="2:35">
      <c r="B1466" s="138" t="s">
        <v>8077</v>
      </c>
      <c r="C1466" s="138" t="s">
        <v>4367</v>
      </c>
      <c r="D1466" s="138" t="s">
        <v>7</v>
      </c>
      <c r="E1466" s="138" t="s">
        <v>7</v>
      </c>
      <c r="F1466" s="138" t="s">
        <v>8193</v>
      </c>
      <c r="H1466" s="138">
        <v>49</v>
      </c>
      <c r="I1466" s="138">
        <v>575</v>
      </c>
      <c r="J1466" s="138">
        <v>374</v>
      </c>
      <c r="K1466" s="138">
        <v>187</v>
      </c>
      <c r="N1466" s="138">
        <v>1</v>
      </c>
      <c r="O1466" s="138">
        <v>1</v>
      </c>
      <c r="R1466" s="138">
        <v>2</v>
      </c>
      <c r="S1466" s="138">
        <v>5</v>
      </c>
      <c r="T1466" s="138">
        <v>5</v>
      </c>
      <c r="U1466" s="138">
        <f t="shared" si="2560"/>
        <v>13</v>
      </c>
      <c r="W1466" s="139">
        <f t="shared" ref="W1466:AA1466" si="2940">J1466/$I1466</f>
        <v>0.65043478260869569</v>
      </c>
      <c r="X1466" s="139">
        <f t="shared" si="2940"/>
        <v>0.32521739130434785</v>
      </c>
      <c r="Y1466" s="139">
        <f t="shared" si="2940"/>
        <v>0</v>
      </c>
      <c r="Z1466" s="139">
        <f t="shared" si="2940"/>
        <v>0</v>
      </c>
      <c r="AA1466" s="139">
        <f t="shared" si="2940"/>
        <v>1.7391304347826088E-3</v>
      </c>
      <c r="AB1466" s="139"/>
      <c r="AC1466" s="139">
        <f t="shared" si="2562"/>
        <v>2.2608695652173914E-2</v>
      </c>
      <c r="AD1466" s="139">
        <f t="shared" ref="AD1466:AI1466" si="2941">O1466/$I1466</f>
        <v>1.7391304347826088E-3</v>
      </c>
      <c r="AE1466" s="139">
        <f t="shared" si="2941"/>
        <v>0</v>
      </c>
      <c r="AF1466" s="139">
        <f t="shared" si="2941"/>
        <v>0</v>
      </c>
      <c r="AG1466" s="139">
        <f t="shared" si="2941"/>
        <v>3.4782608695652175E-3</v>
      </c>
      <c r="AH1466" s="139">
        <f t="shared" si="2941"/>
        <v>8.6956521739130436E-3</v>
      </c>
      <c r="AI1466" s="139">
        <f t="shared" si="2941"/>
        <v>8.6956521739130436E-3</v>
      </c>
    </row>
    <row r="1467" spans="2:35">
      <c r="B1467" s="138" t="s">
        <v>8077</v>
      </c>
      <c r="C1467" s="138" t="s">
        <v>4367</v>
      </c>
      <c r="D1467" s="138" t="s">
        <v>7</v>
      </c>
      <c r="E1467" s="138" t="s">
        <v>7</v>
      </c>
      <c r="F1467" s="138" t="s">
        <v>8193</v>
      </c>
      <c r="H1467" s="138">
        <v>50</v>
      </c>
      <c r="I1467" s="138">
        <v>933</v>
      </c>
      <c r="J1467" s="138">
        <v>542</v>
      </c>
      <c r="K1467" s="138">
        <v>335</v>
      </c>
      <c r="N1467" s="138">
        <v>15</v>
      </c>
      <c r="O1467" s="138">
        <v>2</v>
      </c>
      <c r="R1467" s="138">
        <v>3</v>
      </c>
      <c r="S1467" s="138">
        <v>15</v>
      </c>
      <c r="T1467" s="138">
        <v>21</v>
      </c>
      <c r="U1467" s="138">
        <f t="shared" si="2560"/>
        <v>41</v>
      </c>
      <c r="W1467" s="139">
        <f t="shared" ref="W1467:AA1467" si="2942">J1467/$I1467</f>
        <v>0.58092175777063237</v>
      </c>
      <c r="X1467" s="139">
        <f t="shared" si="2942"/>
        <v>0.35905680600214362</v>
      </c>
      <c r="Y1467" s="139">
        <f t="shared" si="2942"/>
        <v>0</v>
      </c>
      <c r="Z1467" s="139">
        <f t="shared" si="2942"/>
        <v>0</v>
      </c>
      <c r="AA1467" s="139">
        <f t="shared" si="2942"/>
        <v>1.607717041800643E-2</v>
      </c>
      <c r="AB1467" s="139"/>
      <c r="AC1467" s="139">
        <f t="shared" si="2562"/>
        <v>4.3944265809217578E-2</v>
      </c>
      <c r="AD1467" s="139">
        <f t="shared" ref="AD1467:AI1467" si="2943">O1467/$I1467</f>
        <v>2.1436227224008574E-3</v>
      </c>
      <c r="AE1467" s="139">
        <f t="shared" si="2943"/>
        <v>0</v>
      </c>
      <c r="AF1467" s="139">
        <f t="shared" si="2943"/>
        <v>0</v>
      </c>
      <c r="AG1467" s="139">
        <f t="shared" si="2943"/>
        <v>3.2154340836012861E-3</v>
      </c>
      <c r="AH1467" s="139">
        <f t="shared" si="2943"/>
        <v>1.607717041800643E-2</v>
      </c>
      <c r="AI1467" s="139">
        <f t="shared" si="2943"/>
        <v>2.2508038585209004E-2</v>
      </c>
    </row>
    <row r="1468" spans="2:35">
      <c r="B1468" s="138" t="s">
        <v>8077</v>
      </c>
      <c r="C1468" s="138" t="s">
        <v>4367</v>
      </c>
      <c r="D1468" s="138" t="s">
        <v>7</v>
      </c>
      <c r="E1468" s="138" t="s">
        <v>7</v>
      </c>
      <c r="F1468" s="138" t="s">
        <v>8193</v>
      </c>
      <c r="H1468" s="138">
        <v>51</v>
      </c>
      <c r="I1468" s="138">
        <v>752</v>
      </c>
      <c r="J1468" s="138">
        <v>351</v>
      </c>
      <c r="K1468" s="138">
        <v>375</v>
      </c>
      <c r="N1468" s="138">
        <v>6</v>
      </c>
      <c r="O1468" s="138">
        <v>1</v>
      </c>
      <c r="R1468" s="138">
        <v>1</v>
      </c>
      <c r="S1468" s="138">
        <v>12</v>
      </c>
      <c r="T1468" s="138">
        <v>6</v>
      </c>
      <c r="U1468" s="138">
        <f t="shared" si="2560"/>
        <v>20</v>
      </c>
      <c r="W1468" s="139">
        <f t="shared" ref="W1468:AA1468" si="2944">J1468/$I1468</f>
        <v>0.46675531914893614</v>
      </c>
      <c r="X1468" s="139">
        <f t="shared" si="2944"/>
        <v>0.49867021276595747</v>
      </c>
      <c r="Y1468" s="139">
        <f t="shared" si="2944"/>
        <v>0</v>
      </c>
      <c r="Z1468" s="139">
        <f t="shared" si="2944"/>
        <v>0</v>
      </c>
      <c r="AA1468" s="139">
        <f t="shared" si="2944"/>
        <v>7.9787234042553185E-3</v>
      </c>
      <c r="AB1468" s="139"/>
      <c r="AC1468" s="139">
        <f t="shared" si="2562"/>
        <v>2.6595744680851064E-2</v>
      </c>
      <c r="AD1468" s="139">
        <f t="shared" ref="AD1468:AI1468" si="2945">O1468/$I1468</f>
        <v>1.3297872340425532E-3</v>
      </c>
      <c r="AE1468" s="139">
        <f t="shared" si="2945"/>
        <v>0</v>
      </c>
      <c r="AF1468" s="139">
        <f t="shared" si="2945"/>
        <v>0</v>
      </c>
      <c r="AG1468" s="139">
        <f t="shared" si="2945"/>
        <v>1.3297872340425532E-3</v>
      </c>
      <c r="AH1468" s="139">
        <f t="shared" si="2945"/>
        <v>1.5957446808510637E-2</v>
      </c>
      <c r="AI1468" s="139">
        <f t="shared" si="2945"/>
        <v>7.9787234042553185E-3</v>
      </c>
    </row>
    <row r="1469" spans="2:35">
      <c r="B1469" s="138" t="s">
        <v>8077</v>
      </c>
      <c r="C1469" s="138" t="s">
        <v>4367</v>
      </c>
      <c r="D1469" s="138" t="s">
        <v>7</v>
      </c>
      <c r="E1469" s="138" t="s">
        <v>7</v>
      </c>
      <c r="F1469" s="138" t="s">
        <v>8194</v>
      </c>
      <c r="H1469" s="138">
        <v>52</v>
      </c>
      <c r="I1469" s="138">
        <v>802</v>
      </c>
      <c r="J1469" s="138">
        <v>381</v>
      </c>
      <c r="K1469" s="138">
        <v>362</v>
      </c>
      <c r="N1469" s="138">
        <v>5</v>
      </c>
      <c r="O1469" s="138">
        <v>3</v>
      </c>
      <c r="R1469" s="138">
        <v>0</v>
      </c>
      <c r="S1469" s="138">
        <v>23</v>
      </c>
      <c r="T1469" s="138">
        <v>28</v>
      </c>
      <c r="U1469" s="138">
        <f t="shared" si="2560"/>
        <v>54</v>
      </c>
      <c r="W1469" s="139">
        <f t="shared" ref="W1469:AA1469" si="2946">J1469/$I1469</f>
        <v>0.47506234413965087</v>
      </c>
      <c r="X1469" s="139">
        <f t="shared" si="2946"/>
        <v>0.45137157107231918</v>
      </c>
      <c r="Y1469" s="139">
        <f t="shared" si="2946"/>
        <v>0</v>
      </c>
      <c r="Z1469" s="139">
        <f t="shared" si="2946"/>
        <v>0</v>
      </c>
      <c r="AA1469" s="139">
        <f t="shared" si="2946"/>
        <v>6.2344139650872821E-3</v>
      </c>
      <c r="AB1469" s="139"/>
      <c r="AC1469" s="139">
        <f t="shared" si="2562"/>
        <v>6.7331670822942641E-2</v>
      </c>
      <c r="AD1469" s="139">
        <f t="shared" ref="AD1469:AI1469" si="2947">O1469/$I1469</f>
        <v>3.740648379052369E-3</v>
      </c>
      <c r="AE1469" s="139">
        <f t="shared" si="2947"/>
        <v>0</v>
      </c>
      <c r="AF1469" s="139">
        <f t="shared" si="2947"/>
        <v>0</v>
      </c>
      <c r="AG1469" s="139">
        <f t="shared" si="2947"/>
        <v>0</v>
      </c>
      <c r="AH1469" s="139">
        <f t="shared" si="2947"/>
        <v>2.8678304239401497E-2</v>
      </c>
      <c r="AI1469" s="139">
        <f t="shared" si="2947"/>
        <v>3.4912718204488775E-2</v>
      </c>
    </row>
    <row r="1470" spans="2:35">
      <c r="B1470" s="138" t="s">
        <v>8077</v>
      </c>
      <c r="C1470" s="138" t="s">
        <v>4367</v>
      </c>
      <c r="D1470" s="138" t="s">
        <v>7</v>
      </c>
      <c r="E1470" s="138" t="s">
        <v>7</v>
      </c>
      <c r="F1470" s="138" t="s">
        <v>1518</v>
      </c>
      <c r="H1470" s="138">
        <v>53</v>
      </c>
      <c r="I1470" s="138">
        <v>488</v>
      </c>
      <c r="J1470" s="138">
        <v>246</v>
      </c>
      <c r="K1470" s="138">
        <v>217</v>
      </c>
      <c r="N1470" s="138">
        <v>2</v>
      </c>
      <c r="O1470" s="138">
        <v>1</v>
      </c>
      <c r="R1470" s="138">
        <v>0</v>
      </c>
      <c r="S1470" s="138">
        <v>13</v>
      </c>
      <c r="T1470" s="138">
        <v>9</v>
      </c>
      <c r="U1470" s="138">
        <f t="shared" si="2560"/>
        <v>23</v>
      </c>
      <c r="W1470" s="139">
        <f t="shared" ref="W1470:AA1470" si="2948">J1470/$I1470</f>
        <v>0.50409836065573765</v>
      </c>
      <c r="X1470" s="139">
        <f t="shared" si="2948"/>
        <v>0.44467213114754101</v>
      </c>
      <c r="Y1470" s="139">
        <f t="shared" si="2948"/>
        <v>0</v>
      </c>
      <c r="Z1470" s="139">
        <f t="shared" si="2948"/>
        <v>0</v>
      </c>
      <c r="AA1470" s="139">
        <f t="shared" si="2948"/>
        <v>4.0983606557377051E-3</v>
      </c>
      <c r="AB1470" s="139"/>
      <c r="AC1470" s="139">
        <f t="shared" si="2562"/>
        <v>4.7131147540983603E-2</v>
      </c>
      <c r="AD1470" s="139">
        <f t="shared" ref="AD1470:AI1470" si="2949">O1470/$I1470</f>
        <v>2.0491803278688526E-3</v>
      </c>
      <c r="AE1470" s="139">
        <f t="shared" si="2949"/>
        <v>0</v>
      </c>
      <c r="AF1470" s="139">
        <f t="shared" si="2949"/>
        <v>0</v>
      </c>
      <c r="AG1470" s="139">
        <f t="shared" si="2949"/>
        <v>0</v>
      </c>
      <c r="AH1470" s="139">
        <f t="shared" si="2949"/>
        <v>2.663934426229508E-2</v>
      </c>
      <c r="AI1470" s="139">
        <f t="shared" si="2949"/>
        <v>1.8442622950819672E-2</v>
      </c>
    </row>
    <row r="1471" spans="2:35">
      <c r="B1471" s="138" t="s">
        <v>8077</v>
      </c>
      <c r="C1471" s="138" t="s">
        <v>4367</v>
      </c>
      <c r="D1471" s="138" t="s">
        <v>7</v>
      </c>
      <c r="E1471" s="138" t="s">
        <v>7</v>
      </c>
      <c r="F1471" s="138" t="s">
        <v>1512</v>
      </c>
      <c r="H1471" s="138">
        <v>54</v>
      </c>
      <c r="I1471" s="138">
        <v>872</v>
      </c>
      <c r="J1471" s="138">
        <v>407</v>
      </c>
      <c r="K1471" s="138">
        <v>404</v>
      </c>
      <c r="N1471" s="138">
        <v>12</v>
      </c>
      <c r="O1471" s="138">
        <v>8</v>
      </c>
      <c r="R1471" s="138">
        <v>1</v>
      </c>
      <c r="S1471" s="138">
        <v>21</v>
      </c>
      <c r="T1471" s="138">
        <v>19</v>
      </c>
      <c r="U1471" s="138">
        <f t="shared" si="2560"/>
        <v>49</v>
      </c>
      <c r="W1471" s="139">
        <f t="shared" ref="W1471:AA1471" si="2950">J1471/$I1471</f>
        <v>0.46674311926605505</v>
      </c>
      <c r="X1471" s="139">
        <f t="shared" si="2950"/>
        <v>0.46330275229357798</v>
      </c>
      <c r="Y1471" s="139">
        <f t="shared" si="2950"/>
        <v>0</v>
      </c>
      <c r="Z1471" s="139">
        <f t="shared" si="2950"/>
        <v>0</v>
      </c>
      <c r="AA1471" s="139">
        <f t="shared" si="2950"/>
        <v>1.3761467889908258E-2</v>
      </c>
      <c r="AB1471" s="139"/>
      <c r="AC1471" s="139">
        <f t="shared" si="2562"/>
        <v>5.6192660550458719E-2</v>
      </c>
      <c r="AD1471" s="139">
        <f t="shared" ref="AD1471:AI1471" si="2951">O1471/$I1471</f>
        <v>9.1743119266055051E-3</v>
      </c>
      <c r="AE1471" s="139">
        <f t="shared" si="2951"/>
        <v>0</v>
      </c>
      <c r="AF1471" s="139">
        <f t="shared" si="2951"/>
        <v>0</v>
      </c>
      <c r="AG1471" s="139">
        <f t="shared" si="2951"/>
        <v>1.1467889908256881E-3</v>
      </c>
      <c r="AH1471" s="139">
        <f t="shared" si="2951"/>
        <v>2.4082568807339451E-2</v>
      </c>
      <c r="AI1471" s="139">
        <f t="shared" si="2951"/>
        <v>2.1788990825688075E-2</v>
      </c>
    </row>
    <row r="1472" spans="2:35">
      <c r="B1472" s="138" t="s">
        <v>8077</v>
      </c>
      <c r="C1472" s="138" t="s">
        <v>4367</v>
      </c>
      <c r="D1472" s="138" t="s">
        <v>7</v>
      </c>
      <c r="E1472" s="138" t="s">
        <v>7</v>
      </c>
      <c r="F1472" s="138" t="s">
        <v>1512</v>
      </c>
      <c r="H1472" s="138">
        <v>55</v>
      </c>
      <c r="I1472" s="138">
        <v>830</v>
      </c>
      <c r="J1472" s="138">
        <v>365</v>
      </c>
      <c r="K1472" s="138">
        <v>400</v>
      </c>
      <c r="N1472" s="138">
        <v>16</v>
      </c>
      <c r="O1472" s="138">
        <v>5</v>
      </c>
      <c r="R1472" s="138">
        <v>3</v>
      </c>
      <c r="S1472" s="138">
        <v>25</v>
      </c>
      <c r="T1472" s="138">
        <v>16</v>
      </c>
      <c r="U1472" s="138">
        <f t="shared" si="2560"/>
        <v>49</v>
      </c>
      <c r="W1472" s="139">
        <f t="shared" ref="W1472:AA1472" si="2952">J1472/$I1472</f>
        <v>0.43975903614457829</v>
      </c>
      <c r="X1472" s="139">
        <f t="shared" si="2952"/>
        <v>0.48192771084337349</v>
      </c>
      <c r="Y1472" s="139">
        <f t="shared" si="2952"/>
        <v>0</v>
      </c>
      <c r="Z1472" s="139">
        <f t="shared" si="2952"/>
        <v>0</v>
      </c>
      <c r="AA1472" s="139">
        <f t="shared" si="2952"/>
        <v>1.9277108433734941E-2</v>
      </c>
      <c r="AB1472" s="139"/>
      <c r="AC1472" s="139">
        <f t="shared" si="2562"/>
        <v>5.903614457831325E-2</v>
      </c>
      <c r="AD1472" s="139">
        <f t="shared" ref="AD1472:AI1472" si="2953">O1472/$I1472</f>
        <v>6.024096385542169E-3</v>
      </c>
      <c r="AE1472" s="139">
        <f t="shared" si="2953"/>
        <v>0</v>
      </c>
      <c r="AF1472" s="139">
        <f t="shared" si="2953"/>
        <v>0</v>
      </c>
      <c r="AG1472" s="139">
        <f t="shared" si="2953"/>
        <v>3.6144578313253013E-3</v>
      </c>
      <c r="AH1472" s="139">
        <f t="shared" si="2953"/>
        <v>3.0120481927710843E-2</v>
      </c>
      <c r="AI1472" s="139">
        <f t="shared" si="2953"/>
        <v>1.9277108433734941E-2</v>
      </c>
    </row>
    <row r="1473" spans="2:35">
      <c r="B1473" s="138" t="s">
        <v>8077</v>
      </c>
      <c r="C1473" s="138" t="s">
        <v>4367</v>
      </c>
      <c r="D1473" s="138" t="s">
        <v>7</v>
      </c>
      <c r="E1473" s="138" t="s">
        <v>7</v>
      </c>
      <c r="F1473" s="138" t="s">
        <v>1507</v>
      </c>
      <c r="H1473" s="138">
        <v>56</v>
      </c>
      <c r="I1473" s="138">
        <v>592</v>
      </c>
      <c r="J1473" s="138">
        <v>259</v>
      </c>
      <c r="K1473" s="138">
        <v>310</v>
      </c>
      <c r="N1473" s="138">
        <v>7</v>
      </c>
      <c r="O1473" s="138">
        <v>0</v>
      </c>
      <c r="R1473" s="138">
        <v>1</v>
      </c>
      <c r="S1473" s="138">
        <v>9</v>
      </c>
      <c r="T1473" s="138">
        <v>6</v>
      </c>
      <c r="U1473" s="138">
        <f t="shared" si="2560"/>
        <v>16</v>
      </c>
      <c r="W1473" s="139">
        <f t="shared" ref="W1473:AA1473" si="2954">J1473/$I1473</f>
        <v>0.4375</v>
      </c>
      <c r="X1473" s="139">
        <f t="shared" si="2954"/>
        <v>0.52364864864864868</v>
      </c>
      <c r="Y1473" s="139">
        <f t="shared" si="2954"/>
        <v>0</v>
      </c>
      <c r="Z1473" s="139">
        <f t="shared" si="2954"/>
        <v>0</v>
      </c>
      <c r="AA1473" s="139">
        <f t="shared" si="2954"/>
        <v>1.1824324324324325E-2</v>
      </c>
      <c r="AB1473" s="139"/>
      <c r="AC1473" s="139">
        <f t="shared" si="2562"/>
        <v>2.7027027027027029E-2</v>
      </c>
      <c r="AD1473" s="139">
        <f t="shared" ref="AD1473:AI1473" si="2955">O1473/$I1473</f>
        <v>0</v>
      </c>
      <c r="AE1473" s="139">
        <f t="shared" si="2955"/>
        <v>0</v>
      </c>
      <c r="AF1473" s="139">
        <f t="shared" si="2955"/>
        <v>0</v>
      </c>
      <c r="AG1473" s="139">
        <f t="shared" si="2955"/>
        <v>1.6891891891891893E-3</v>
      </c>
      <c r="AH1473" s="139">
        <f t="shared" si="2955"/>
        <v>1.5202702702702704E-2</v>
      </c>
      <c r="AI1473" s="139">
        <f t="shared" si="2955"/>
        <v>1.0135135135135136E-2</v>
      </c>
    </row>
    <row r="1474" spans="2:35">
      <c r="B1474" s="138" t="s">
        <v>8077</v>
      </c>
      <c r="C1474" s="138" t="s">
        <v>4367</v>
      </c>
      <c r="D1474" s="138" t="s">
        <v>7</v>
      </c>
      <c r="E1474" s="138" t="s">
        <v>7</v>
      </c>
      <c r="F1474" s="138" t="s">
        <v>1507</v>
      </c>
      <c r="H1474" s="138">
        <v>57</v>
      </c>
      <c r="I1474" s="138">
        <v>408</v>
      </c>
      <c r="J1474" s="138">
        <v>246</v>
      </c>
      <c r="K1474" s="138">
        <v>147</v>
      </c>
      <c r="N1474" s="138">
        <v>3</v>
      </c>
      <c r="O1474" s="138">
        <v>0</v>
      </c>
      <c r="R1474" s="138">
        <v>0</v>
      </c>
      <c r="S1474" s="138">
        <v>7</v>
      </c>
      <c r="T1474" s="138">
        <v>5</v>
      </c>
      <c r="U1474" s="138">
        <f t="shared" si="2560"/>
        <v>12</v>
      </c>
      <c r="W1474" s="139">
        <f t="shared" ref="W1474:AA1474" si="2956">J1474/$I1474</f>
        <v>0.6029411764705882</v>
      </c>
      <c r="X1474" s="139">
        <f t="shared" si="2956"/>
        <v>0.36029411764705882</v>
      </c>
      <c r="Y1474" s="139">
        <f t="shared" si="2956"/>
        <v>0</v>
      </c>
      <c r="Z1474" s="139">
        <f t="shared" si="2956"/>
        <v>0</v>
      </c>
      <c r="AA1474" s="139">
        <f t="shared" si="2956"/>
        <v>7.3529411764705881E-3</v>
      </c>
      <c r="AB1474" s="139"/>
      <c r="AC1474" s="139">
        <f t="shared" si="2562"/>
        <v>2.9411764705882353E-2</v>
      </c>
      <c r="AD1474" s="139">
        <f t="shared" ref="AD1474:AI1474" si="2957">O1474/$I1474</f>
        <v>0</v>
      </c>
      <c r="AE1474" s="139">
        <f t="shared" si="2957"/>
        <v>0</v>
      </c>
      <c r="AF1474" s="139">
        <f t="shared" si="2957"/>
        <v>0</v>
      </c>
      <c r="AG1474" s="139">
        <f t="shared" si="2957"/>
        <v>0</v>
      </c>
      <c r="AH1474" s="139">
        <f t="shared" si="2957"/>
        <v>1.7156862745098041E-2</v>
      </c>
      <c r="AI1474" s="139">
        <f t="shared" si="2957"/>
        <v>1.2254901960784314E-2</v>
      </c>
    </row>
    <row r="1475" spans="2:35">
      <c r="B1475" s="138" t="s">
        <v>8077</v>
      </c>
      <c r="C1475" s="138" t="s">
        <v>4367</v>
      </c>
      <c r="D1475" s="138" t="s">
        <v>7</v>
      </c>
      <c r="E1475" s="138" t="s">
        <v>7</v>
      </c>
      <c r="F1475" s="138" t="s">
        <v>1516</v>
      </c>
      <c r="H1475" s="138">
        <v>58</v>
      </c>
      <c r="I1475" s="138">
        <v>953</v>
      </c>
      <c r="J1475" s="138">
        <v>402</v>
      </c>
      <c r="K1475" s="138">
        <v>513</v>
      </c>
      <c r="N1475" s="138">
        <v>8</v>
      </c>
      <c r="O1475" s="138">
        <v>2</v>
      </c>
      <c r="R1475" s="138">
        <v>0</v>
      </c>
      <c r="S1475" s="138">
        <v>9</v>
      </c>
      <c r="T1475" s="138">
        <v>19</v>
      </c>
      <c r="U1475" s="138">
        <f t="shared" si="2560"/>
        <v>30</v>
      </c>
      <c r="W1475" s="139">
        <f t="shared" ref="W1475:AA1475" si="2958">J1475/$I1475</f>
        <v>0.42182581322140611</v>
      </c>
      <c r="X1475" s="139">
        <f t="shared" si="2958"/>
        <v>0.53830010493179437</v>
      </c>
      <c r="Y1475" s="139">
        <f t="shared" si="2958"/>
        <v>0</v>
      </c>
      <c r="Z1475" s="139">
        <f t="shared" si="2958"/>
        <v>0</v>
      </c>
      <c r="AA1475" s="139">
        <f t="shared" si="2958"/>
        <v>8.3945435466946487E-3</v>
      </c>
      <c r="AB1475" s="139"/>
      <c r="AC1475" s="139">
        <f t="shared" si="2562"/>
        <v>3.1479538300104928E-2</v>
      </c>
      <c r="AD1475" s="139">
        <f t="shared" ref="AD1475:AI1475" si="2959">O1475/$I1475</f>
        <v>2.0986358866736622E-3</v>
      </c>
      <c r="AE1475" s="139">
        <f t="shared" si="2959"/>
        <v>0</v>
      </c>
      <c r="AF1475" s="139">
        <f t="shared" si="2959"/>
        <v>0</v>
      </c>
      <c r="AG1475" s="139">
        <f t="shared" si="2959"/>
        <v>0</v>
      </c>
      <c r="AH1475" s="139">
        <f t="shared" si="2959"/>
        <v>9.4438614900314802E-3</v>
      </c>
      <c r="AI1475" s="139">
        <f t="shared" si="2959"/>
        <v>1.993704092339979E-2</v>
      </c>
    </row>
    <row r="1476" spans="2:35">
      <c r="B1476" s="138" t="s">
        <v>8077</v>
      </c>
      <c r="C1476" s="138" t="s">
        <v>4367</v>
      </c>
      <c r="D1476" s="138" t="s">
        <v>7</v>
      </c>
      <c r="E1476" s="138" t="s">
        <v>7</v>
      </c>
      <c r="F1476" s="138" t="s">
        <v>1516</v>
      </c>
      <c r="H1476" s="138">
        <v>59</v>
      </c>
      <c r="I1476" s="138">
        <v>1096</v>
      </c>
      <c r="J1476" s="138">
        <v>608</v>
      </c>
      <c r="K1476" s="138">
        <v>415</v>
      </c>
      <c r="N1476" s="138">
        <v>11</v>
      </c>
      <c r="O1476" s="138">
        <v>7</v>
      </c>
      <c r="R1476" s="138">
        <v>6</v>
      </c>
      <c r="S1476" s="138">
        <v>18</v>
      </c>
      <c r="T1476" s="138">
        <v>31</v>
      </c>
      <c r="U1476" s="138">
        <f t="shared" si="2560"/>
        <v>62</v>
      </c>
      <c r="W1476" s="139">
        <f t="shared" ref="W1476:AA1476" si="2960">J1476/$I1476</f>
        <v>0.55474452554744524</v>
      </c>
      <c r="X1476" s="139">
        <f t="shared" si="2960"/>
        <v>0.37864963503649635</v>
      </c>
      <c r="Y1476" s="139">
        <f t="shared" si="2960"/>
        <v>0</v>
      </c>
      <c r="Z1476" s="139">
        <f t="shared" si="2960"/>
        <v>0</v>
      </c>
      <c r="AA1476" s="139">
        <f t="shared" si="2960"/>
        <v>1.0036496350364963E-2</v>
      </c>
      <c r="AB1476" s="139"/>
      <c r="AC1476" s="139">
        <f t="shared" si="2562"/>
        <v>5.6569343065693431E-2</v>
      </c>
      <c r="AD1476" s="139">
        <f t="shared" ref="AD1476:AI1476" si="2961">O1476/$I1476</f>
        <v>6.3868613138686131E-3</v>
      </c>
      <c r="AE1476" s="139">
        <f t="shared" si="2961"/>
        <v>0</v>
      </c>
      <c r="AF1476" s="139">
        <f t="shared" si="2961"/>
        <v>0</v>
      </c>
      <c r="AG1476" s="139">
        <f t="shared" si="2961"/>
        <v>5.4744525547445258E-3</v>
      </c>
      <c r="AH1476" s="139">
        <f t="shared" si="2961"/>
        <v>1.6423357664233577E-2</v>
      </c>
      <c r="AI1476" s="139">
        <f t="shared" si="2961"/>
        <v>2.8284671532846715E-2</v>
      </c>
    </row>
    <row r="1477" spans="2:35">
      <c r="B1477" s="138" t="s">
        <v>8077</v>
      </c>
      <c r="C1477" s="138" t="s">
        <v>4367</v>
      </c>
      <c r="D1477" s="138" t="s">
        <v>7</v>
      </c>
      <c r="E1477" s="138" t="s">
        <v>7</v>
      </c>
      <c r="F1477" s="138" t="s">
        <v>1516</v>
      </c>
      <c r="H1477" s="138">
        <v>60</v>
      </c>
      <c r="I1477" s="138">
        <v>1019</v>
      </c>
      <c r="J1477" s="138">
        <v>522</v>
      </c>
      <c r="K1477" s="138">
        <v>466</v>
      </c>
      <c r="N1477" s="138">
        <v>7</v>
      </c>
      <c r="O1477" s="138">
        <v>2</v>
      </c>
      <c r="R1477" s="138">
        <v>1</v>
      </c>
      <c r="S1477" s="138">
        <v>9</v>
      </c>
      <c r="T1477" s="138">
        <v>12</v>
      </c>
      <c r="U1477" s="138">
        <f t="shared" si="2560"/>
        <v>24</v>
      </c>
      <c r="W1477" s="139">
        <f t="shared" ref="W1477:AA1477" si="2962">J1477/$I1477</f>
        <v>0.51226692836113841</v>
      </c>
      <c r="X1477" s="139">
        <f t="shared" si="2962"/>
        <v>0.45731108930323849</v>
      </c>
      <c r="Y1477" s="139">
        <f t="shared" si="2962"/>
        <v>0</v>
      </c>
      <c r="Z1477" s="139">
        <f t="shared" si="2962"/>
        <v>0</v>
      </c>
      <c r="AA1477" s="139">
        <f t="shared" si="2962"/>
        <v>6.8694798822374874E-3</v>
      </c>
      <c r="AB1477" s="139"/>
      <c r="AC1477" s="139">
        <f t="shared" si="2562"/>
        <v>2.3552502453385672E-2</v>
      </c>
      <c r="AD1477" s="139">
        <f t="shared" ref="AD1477:AI1477" si="2963">O1477/$I1477</f>
        <v>1.9627085377821392E-3</v>
      </c>
      <c r="AE1477" s="139">
        <f t="shared" si="2963"/>
        <v>0</v>
      </c>
      <c r="AF1477" s="139">
        <f t="shared" si="2963"/>
        <v>0</v>
      </c>
      <c r="AG1477" s="139">
        <f t="shared" si="2963"/>
        <v>9.813542688910696E-4</v>
      </c>
      <c r="AH1477" s="139">
        <f t="shared" si="2963"/>
        <v>8.832188420019628E-3</v>
      </c>
      <c r="AI1477" s="139">
        <f t="shared" si="2963"/>
        <v>1.1776251226692836E-2</v>
      </c>
    </row>
    <row r="1478" spans="2:35">
      <c r="B1478" s="138" t="s">
        <v>8077</v>
      </c>
      <c r="C1478" s="138" t="s">
        <v>4367</v>
      </c>
      <c r="D1478" s="138" t="s">
        <v>7</v>
      </c>
      <c r="E1478" s="138" t="s">
        <v>7</v>
      </c>
      <c r="F1478" s="138" t="s">
        <v>8195</v>
      </c>
      <c r="H1478" s="138">
        <v>61</v>
      </c>
      <c r="I1478" s="138">
        <v>680</v>
      </c>
      <c r="J1478" s="138">
        <v>281</v>
      </c>
      <c r="K1478" s="138">
        <v>358</v>
      </c>
      <c r="N1478" s="138">
        <v>6</v>
      </c>
      <c r="O1478" s="138">
        <v>4</v>
      </c>
      <c r="R1478" s="138">
        <v>1</v>
      </c>
      <c r="S1478" s="138">
        <v>12</v>
      </c>
      <c r="T1478" s="138">
        <v>18</v>
      </c>
      <c r="U1478" s="138">
        <f t="shared" si="2560"/>
        <v>35</v>
      </c>
      <c r="W1478" s="139">
        <f t="shared" ref="W1478:AA1478" si="2964">J1478/$I1478</f>
        <v>0.41323529411764703</v>
      </c>
      <c r="X1478" s="139">
        <f t="shared" si="2964"/>
        <v>0.52647058823529413</v>
      </c>
      <c r="Y1478" s="139">
        <f t="shared" si="2964"/>
        <v>0</v>
      </c>
      <c r="Z1478" s="139">
        <f t="shared" si="2964"/>
        <v>0</v>
      </c>
      <c r="AA1478" s="139">
        <f t="shared" si="2964"/>
        <v>8.8235294117647058E-3</v>
      </c>
      <c r="AB1478" s="139"/>
      <c r="AC1478" s="139">
        <f t="shared" si="2562"/>
        <v>5.1470588235294115E-2</v>
      </c>
      <c r="AD1478" s="139">
        <f t="shared" ref="AD1478:AI1478" si="2965">O1478/$I1478</f>
        <v>5.8823529411764705E-3</v>
      </c>
      <c r="AE1478" s="139">
        <f t="shared" si="2965"/>
        <v>0</v>
      </c>
      <c r="AF1478" s="139">
        <f t="shared" si="2965"/>
        <v>0</v>
      </c>
      <c r="AG1478" s="139">
        <f t="shared" si="2965"/>
        <v>1.4705882352941176E-3</v>
      </c>
      <c r="AH1478" s="139">
        <f t="shared" si="2965"/>
        <v>1.7647058823529412E-2</v>
      </c>
      <c r="AI1478" s="139">
        <f t="shared" si="2965"/>
        <v>2.6470588235294117E-2</v>
      </c>
    </row>
    <row r="1479" spans="2:35">
      <c r="B1479" s="138" t="s">
        <v>8077</v>
      </c>
      <c r="C1479" s="138" t="s">
        <v>4367</v>
      </c>
      <c r="D1479" s="138" t="s">
        <v>7</v>
      </c>
      <c r="E1479" s="138" t="s">
        <v>7</v>
      </c>
      <c r="F1479" s="138" t="s">
        <v>8195</v>
      </c>
      <c r="H1479" s="138">
        <v>62</v>
      </c>
      <c r="I1479" s="138">
        <v>873</v>
      </c>
      <c r="J1479" s="138">
        <v>427</v>
      </c>
      <c r="K1479" s="138">
        <v>375</v>
      </c>
      <c r="N1479" s="138">
        <v>8</v>
      </c>
      <c r="O1479" s="138">
        <v>3</v>
      </c>
      <c r="R1479" s="138">
        <v>1</v>
      </c>
      <c r="S1479" s="138">
        <v>18</v>
      </c>
      <c r="T1479" s="138">
        <v>41</v>
      </c>
      <c r="U1479" s="138">
        <f t="shared" si="2560"/>
        <v>63</v>
      </c>
      <c r="W1479" s="139">
        <f t="shared" ref="W1479:AA1479" si="2966">J1479/$I1479</f>
        <v>0.48911798396334477</v>
      </c>
      <c r="X1479" s="139">
        <f t="shared" si="2966"/>
        <v>0.42955326460481097</v>
      </c>
      <c r="Y1479" s="139">
        <f t="shared" si="2966"/>
        <v>0</v>
      </c>
      <c r="Z1479" s="139">
        <f t="shared" si="2966"/>
        <v>0</v>
      </c>
      <c r="AA1479" s="139">
        <f t="shared" si="2966"/>
        <v>9.1638029782359683E-3</v>
      </c>
      <c r="AB1479" s="139"/>
      <c r="AC1479" s="139">
        <f t="shared" si="2562"/>
        <v>7.2164948453608241E-2</v>
      </c>
      <c r="AD1479" s="139">
        <f t="shared" ref="AD1479:AI1479" si="2967">O1479/$I1479</f>
        <v>3.4364261168384879E-3</v>
      </c>
      <c r="AE1479" s="139">
        <f t="shared" si="2967"/>
        <v>0</v>
      </c>
      <c r="AF1479" s="139">
        <f t="shared" si="2967"/>
        <v>0</v>
      </c>
      <c r="AG1479" s="139">
        <f t="shared" si="2967"/>
        <v>1.145475372279496E-3</v>
      </c>
      <c r="AH1479" s="139">
        <f t="shared" si="2967"/>
        <v>2.0618556701030927E-2</v>
      </c>
      <c r="AI1479" s="139">
        <f t="shared" si="2967"/>
        <v>4.6964490263459335E-2</v>
      </c>
    </row>
    <row r="1480" spans="2:35">
      <c r="B1480" s="138" t="s">
        <v>8077</v>
      </c>
      <c r="C1480" s="138" t="s">
        <v>4367</v>
      </c>
      <c r="D1480" s="138" t="s">
        <v>7</v>
      </c>
      <c r="E1480" s="138" t="s">
        <v>7</v>
      </c>
      <c r="F1480" s="138" t="s">
        <v>1518</v>
      </c>
      <c r="H1480" s="138">
        <v>63</v>
      </c>
      <c r="I1480" s="138">
        <v>945</v>
      </c>
      <c r="J1480" s="138">
        <v>440</v>
      </c>
      <c r="K1480" s="138">
        <v>429</v>
      </c>
      <c r="N1480" s="138">
        <v>9</v>
      </c>
      <c r="O1480" s="138">
        <v>7</v>
      </c>
      <c r="R1480" s="138">
        <v>1</v>
      </c>
      <c r="S1480" s="138">
        <v>31</v>
      </c>
      <c r="T1480" s="138">
        <v>28</v>
      </c>
      <c r="U1480" s="138">
        <f t="shared" si="2560"/>
        <v>67</v>
      </c>
      <c r="W1480" s="139">
        <f t="shared" ref="W1480:AA1480" si="2968">J1480/$I1480</f>
        <v>0.46560846560846558</v>
      </c>
      <c r="X1480" s="139">
        <f t="shared" si="2968"/>
        <v>0.45396825396825397</v>
      </c>
      <c r="Y1480" s="139">
        <f t="shared" si="2968"/>
        <v>0</v>
      </c>
      <c r="Z1480" s="139">
        <f t="shared" si="2968"/>
        <v>0</v>
      </c>
      <c r="AA1480" s="139">
        <f t="shared" si="2968"/>
        <v>9.5238095238095247E-3</v>
      </c>
      <c r="AB1480" s="139"/>
      <c r="AC1480" s="139">
        <f t="shared" si="2562"/>
        <v>7.0899470899470893E-2</v>
      </c>
      <c r="AD1480" s="139">
        <f t="shared" ref="AD1480:AI1480" si="2969">O1480/$I1480</f>
        <v>7.4074074074074077E-3</v>
      </c>
      <c r="AE1480" s="139">
        <f t="shared" si="2969"/>
        <v>0</v>
      </c>
      <c r="AF1480" s="139">
        <f t="shared" si="2969"/>
        <v>0</v>
      </c>
      <c r="AG1480" s="139">
        <f t="shared" si="2969"/>
        <v>1.0582010582010583E-3</v>
      </c>
      <c r="AH1480" s="139">
        <f t="shared" si="2969"/>
        <v>3.2804232804232801E-2</v>
      </c>
      <c r="AI1480" s="139">
        <f t="shared" si="2969"/>
        <v>2.9629629629629631E-2</v>
      </c>
    </row>
    <row r="1481" spans="2:35">
      <c r="B1481" s="138" t="s">
        <v>8077</v>
      </c>
      <c r="C1481" s="138" t="s">
        <v>4367</v>
      </c>
      <c r="D1481" s="138" t="s">
        <v>7</v>
      </c>
      <c r="E1481" s="138" t="s">
        <v>7</v>
      </c>
      <c r="F1481" s="138" t="s">
        <v>1518</v>
      </c>
      <c r="H1481" s="138">
        <v>64</v>
      </c>
      <c r="I1481" s="138">
        <v>846</v>
      </c>
      <c r="J1481" s="138">
        <v>358</v>
      </c>
      <c r="K1481" s="138">
        <v>412</v>
      </c>
      <c r="N1481" s="138">
        <v>11</v>
      </c>
      <c r="O1481" s="138">
        <v>5</v>
      </c>
      <c r="R1481" s="138">
        <v>1</v>
      </c>
      <c r="S1481" s="138">
        <v>27</v>
      </c>
      <c r="T1481" s="138">
        <v>32</v>
      </c>
      <c r="U1481" s="138">
        <f t="shared" si="2560"/>
        <v>65</v>
      </c>
      <c r="W1481" s="139">
        <f t="shared" ref="W1481:AA1481" si="2970">J1481/$I1481</f>
        <v>0.42316784869976359</v>
      </c>
      <c r="X1481" s="139">
        <f t="shared" si="2970"/>
        <v>0.48699763593380613</v>
      </c>
      <c r="Y1481" s="139">
        <f t="shared" si="2970"/>
        <v>0</v>
      </c>
      <c r="Z1481" s="139">
        <f t="shared" si="2970"/>
        <v>0</v>
      </c>
      <c r="AA1481" s="139">
        <f t="shared" si="2970"/>
        <v>1.3002364066193853E-2</v>
      </c>
      <c r="AB1481" s="139"/>
      <c r="AC1481" s="139">
        <f t="shared" si="2562"/>
        <v>7.6832151300236406E-2</v>
      </c>
      <c r="AD1481" s="139">
        <f t="shared" ref="AD1481:AI1481" si="2971">O1481/$I1481</f>
        <v>5.9101654846335696E-3</v>
      </c>
      <c r="AE1481" s="139">
        <f t="shared" si="2971"/>
        <v>0</v>
      </c>
      <c r="AF1481" s="139">
        <f t="shared" si="2971"/>
        <v>0</v>
      </c>
      <c r="AG1481" s="139">
        <f t="shared" si="2971"/>
        <v>1.1820330969267139E-3</v>
      </c>
      <c r="AH1481" s="139">
        <f t="shared" si="2971"/>
        <v>3.1914893617021274E-2</v>
      </c>
      <c r="AI1481" s="139">
        <f t="shared" si="2971"/>
        <v>3.7825059101654845E-2</v>
      </c>
    </row>
    <row r="1482" spans="2:35">
      <c r="B1482" s="138" t="s">
        <v>8077</v>
      </c>
      <c r="C1482" s="138" t="s">
        <v>4367</v>
      </c>
      <c r="D1482" s="138" t="s">
        <v>7</v>
      </c>
      <c r="E1482" s="138" t="s">
        <v>7</v>
      </c>
      <c r="F1482" s="138" t="s">
        <v>8194</v>
      </c>
      <c r="H1482" s="138">
        <v>65</v>
      </c>
      <c r="I1482" s="138">
        <v>678</v>
      </c>
      <c r="J1482" s="138">
        <v>329</v>
      </c>
      <c r="K1482" s="138">
        <v>313</v>
      </c>
      <c r="N1482" s="138">
        <v>11</v>
      </c>
      <c r="O1482" s="138">
        <v>2</v>
      </c>
      <c r="R1482" s="138">
        <v>0</v>
      </c>
      <c r="S1482" s="138">
        <v>19</v>
      </c>
      <c r="T1482" s="138">
        <v>4</v>
      </c>
      <c r="U1482" s="138">
        <f t="shared" si="2560"/>
        <v>25</v>
      </c>
      <c r="W1482" s="139">
        <f t="shared" ref="W1482:AA1482" si="2972">J1482/$I1482</f>
        <v>0.48525073746312686</v>
      </c>
      <c r="X1482" s="139">
        <f t="shared" si="2972"/>
        <v>0.46165191740412981</v>
      </c>
      <c r="Y1482" s="139">
        <f t="shared" si="2972"/>
        <v>0</v>
      </c>
      <c r="Z1482" s="139">
        <f t="shared" si="2972"/>
        <v>0</v>
      </c>
      <c r="AA1482" s="139">
        <f t="shared" si="2972"/>
        <v>1.6224188790560472E-2</v>
      </c>
      <c r="AB1482" s="139"/>
      <c r="AC1482" s="139">
        <f t="shared" si="2562"/>
        <v>3.687315634218289E-2</v>
      </c>
      <c r="AD1482" s="139">
        <f t="shared" ref="AD1482:AI1482" si="2973">O1482/$I1482</f>
        <v>2.9498525073746312E-3</v>
      </c>
      <c r="AE1482" s="139">
        <f t="shared" si="2973"/>
        <v>0</v>
      </c>
      <c r="AF1482" s="139">
        <f t="shared" si="2973"/>
        <v>0</v>
      </c>
      <c r="AG1482" s="139">
        <f t="shared" si="2973"/>
        <v>0</v>
      </c>
      <c r="AH1482" s="139">
        <f t="shared" si="2973"/>
        <v>2.8023598820058997E-2</v>
      </c>
      <c r="AI1482" s="139">
        <f t="shared" si="2973"/>
        <v>5.8997050147492625E-3</v>
      </c>
    </row>
    <row r="1483" spans="2:35">
      <c r="B1483" s="138" t="s">
        <v>8077</v>
      </c>
      <c r="C1483" s="138" t="s">
        <v>4367</v>
      </c>
      <c r="D1483" s="138" t="s">
        <v>7</v>
      </c>
      <c r="E1483" s="138" t="s">
        <v>7</v>
      </c>
      <c r="F1483" s="138" t="s">
        <v>8194</v>
      </c>
      <c r="H1483" s="138">
        <v>66</v>
      </c>
      <c r="I1483" s="138">
        <v>499</v>
      </c>
      <c r="J1483" s="138">
        <v>226</v>
      </c>
      <c r="K1483" s="138">
        <v>245</v>
      </c>
      <c r="N1483" s="138">
        <v>4</v>
      </c>
      <c r="O1483" s="138">
        <v>4</v>
      </c>
      <c r="R1483" s="138">
        <v>0</v>
      </c>
      <c r="S1483" s="138">
        <v>9</v>
      </c>
      <c r="T1483" s="138">
        <v>11</v>
      </c>
      <c r="U1483" s="138">
        <f t="shared" si="2560"/>
        <v>24</v>
      </c>
      <c r="W1483" s="139">
        <f t="shared" ref="W1483:AA1483" si="2974">J1483/$I1483</f>
        <v>0.4529058116232465</v>
      </c>
      <c r="X1483" s="139">
        <f t="shared" si="2974"/>
        <v>0.4909819639278557</v>
      </c>
      <c r="Y1483" s="139">
        <f t="shared" si="2974"/>
        <v>0</v>
      </c>
      <c r="Z1483" s="139">
        <f t="shared" si="2974"/>
        <v>0</v>
      </c>
      <c r="AA1483" s="139">
        <f t="shared" si="2974"/>
        <v>8.0160320641282558E-3</v>
      </c>
      <c r="AB1483" s="139"/>
      <c r="AC1483" s="139">
        <f t="shared" si="2562"/>
        <v>4.8096192384769539E-2</v>
      </c>
      <c r="AD1483" s="139">
        <f t="shared" ref="AD1483:AI1483" si="2975">O1483/$I1483</f>
        <v>8.0160320641282558E-3</v>
      </c>
      <c r="AE1483" s="139">
        <f t="shared" si="2975"/>
        <v>0</v>
      </c>
      <c r="AF1483" s="139">
        <f t="shared" si="2975"/>
        <v>0</v>
      </c>
      <c r="AG1483" s="139">
        <f t="shared" si="2975"/>
        <v>0</v>
      </c>
      <c r="AH1483" s="139">
        <f t="shared" si="2975"/>
        <v>1.8036072144288578E-2</v>
      </c>
      <c r="AI1483" s="139">
        <f t="shared" si="2975"/>
        <v>2.2044088176352707E-2</v>
      </c>
    </row>
    <row r="1484" spans="2:35">
      <c r="B1484" s="138" t="s">
        <v>8077</v>
      </c>
      <c r="C1484" s="138" t="s">
        <v>4367</v>
      </c>
      <c r="D1484" s="138" t="s">
        <v>7</v>
      </c>
      <c r="E1484" s="138" t="s">
        <v>7</v>
      </c>
      <c r="F1484" s="138" t="s">
        <v>8196</v>
      </c>
      <c r="H1484" s="138">
        <v>67</v>
      </c>
      <c r="I1484" s="138">
        <v>672</v>
      </c>
      <c r="J1484" s="138">
        <v>356</v>
      </c>
      <c r="K1484" s="138">
        <v>293</v>
      </c>
      <c r="N1484" s="138">
        <v>5</v>
      </c>
      <c r="O1484" s="138">
        <v>4</v>
      </c>
      <c r="R1484" s="138">
        <v>0</v>
      </c>
      <c r="S1484" s="138">
        <v>5</v>
      </c>
      <c r="T1484" s="138">
        <v>9</v>
      </c>
      <c r="U1484" s="138">
        <f t="shared" si="2560"/>
        <v>18</v>
      </c>
      <c r="W1484" s="139">
        <f t="shared" ref="W1484:AA1484" si="2976">J1484/$I1484</f>
        <v>0.52976190476190477</v>
      </c>
      <c r="X1484" s="139">
        <f t="shared" si="2976"/>
        <v>0.43601190476190477</v>
      </c>
      <c r="Y1484" s="139">
        <f t="shared" si="2976"/>
        <v>0</v>
      </c>
      <c r="Z1484" s="139">
        <f t="shared" si="2976"/>
        <v>0</v>
      </c>
      <c r="AA1484" s="139">
        <f t="shared" si="2976"/>
        <v>7.4404761904761901E-3</v>
      </c>
      <c r="AB1484" s="139"/>
      <c r="AC1484" s="139">
        <f t="shared" si="2562"/>
        <v>2.6785714285714284E-2</v>
      </c>
      <c r="AD1484" s="139">
        <f t="shared" ref="AD1484:AI1484" si="2977">O1484/$I1484</f>
        <v>5.9523809523809521E-3</v>
      </c>
      <c r="AE1484" s="139">
        <f t="shared" si="2977"/>
        <v>0</v>
      </c>
      <c r="AF1484" s="139">
        <f t="shared" si="2977"/>
        <v>0</v>
      </c>
      <c r="AG1484" s="139">
        <f t="shared" si="2977"/>
        <v>0</v>
      </c>
      <c r="AH1484" s="139">
        <f t="shared" si="2977"/>
        <v>7.4404761904761901E-3</v>
      </c>
      <c r="AI1484" s="139">
        <f t="shared" si="2977"/>
        <v>1.3392857142857142E-2</v>
      </c>
    </row>
    <row r="1485" spans="2:35">
      <c r="B1485" s="138" t="s">
        <v>8077</v>
      </c>
      <c r="C1485" s="138" t="s">
        <v>4367</v>
      </c>
      <c r="D1485" s="138" t="s">
        <v>7</v>
      </c>
      <c r="E1485" s="138" t="s">
        <v>7</v>
      </c>
      <c r="F1485" s="138" t="s">
        <v>8196</v>
      </c>
      <c r="H1485" s="138">
        <v>68</v>
      </c>
      <c r="I1485" s="138">
        <v>648</v>
      </c>
      <c r="J1485" s="138">
        <v>315</v>
      </c>
      <c r="K1485" s="138">
        <v>305</v>
      </c>
      <c r="N1485" s="138">
        <v>8</v>
      </c>
      <c r="O1485" s="138">
        <v>0</v>
      </c>
      <c r="R1485" s="138">
        <v>0</v>
      </c>
      <c r="S1485" s="138">
        <v>4</v>
      </c>
      <c r="T1485" s="138">
        <v>16</v>
      </c>
      <c r="U1485" s="138">
        <f t="shared" si="2560"/>
        <v>20</v>
      </c>
      <c r="W1485" s="139">
        <f t="shared" ref="W1485:AA1485" si="2978">J1485/$I1485</f>
        <v>0.4861111111111111</v>
      </c>
      <c r="X1485" s="139">
        <f t="shared" si="2978"/>
        <v>0.47067901234567899</v>
      </c>
      <c r="Y1485" s="139">
        <f t="shared" si="2978"/>
        <v>0</v>
      </c>
      <c r="Z1485" s="139">
        <f t="shared" si="2978"/>
        <v>0</v>
      </c>
      <c r="AA1485" s="139">
        <f t="shared" si="2978"/>
        <v>1.2345679012345678E-2</v>
      </c>
      <c r="AB1485" s="139"/>
      <c r="AC1485" s="139">
        <f t="shared" si="2562"/>
        <v>3.0864197530864196E-2</v>
      </c>
      <c r="AD1485" s="139">
        <f t="shared" ref="AD1485:AI1485" si="2979">O1485/$I1485</f>
        <v>0</v>
      </c>
      <c r="AE1485" s="139">
        <f t="shared" si="2979"/>
        <v>0</v>
      </c>
      <c r="AF1485" s="139">
        <f t="shared" si="2979"/>
        <v>0</v>
      </c>
      <c r="AG1485" s="139">
        <f t="shared" si="2979"/>
        <v>0</v>
      </c>
      <c r="AH1485" s="139">
        <f t="shared" si="2979"/>
        <v>6.1728395061728392E-3</v>
      </c>
      <c r="AI1485" s="139">
        <f t="shared" si="2979"/>
        <v>2.4691358024691357E-2</v>
      </c>
    </row>
    <row r="1486" spans="2:35">
      <c r="B1486" s="138" t="s">
        <v>8077</v>
      </c>
      <c r="C1486" s="138" t="s">
        <v>4367</v>
      </c>
      <c r="D1486" s="138" t="s">
        <v>7</v>
      </c>
      <c r="E1486" s="138" t="s">
        <v>7</v>
      </c>
      <c r="F1486" s="138" t="s">
        <v>8197</v>
      </c>
      <c r="H1486" s="138">
        <v>69</v>
      </c>
      <c r="I1486" s="138">
        <v>1087</v>
      </c>
      <c r="J1486" s="138">
        <v>415</v>
      </c>
      <c r="K1486" s="138">
        <v>622</v>
      </c>
      <c r="N1486" s="138">
        <v>18</v>
      </c>
      <c r="O1486" s="138">
        <v>2</v>
      </c>
      <c r="R1486" s="138">
        <v>1</v>
      </c>
      <c r="S1486" s="138">
        <v>14</v>
      </c>
      <c r="T1486" s="138">
        <v>15</v>
      </c>
      <c r="U1486" s="138">
        <f t="shared" si="2560"/>
        <v>32</v>
      </c>
      <c r="W1486" s="139">
        <f t="shared" ref="W1486:AA1486" si="2980">J1486/$I1486</f>
        <v>0.38178472861085555</v>
      </c>
      <c r="X1486" s="139">
        <f t="shared" si="2980"/>
        <v>0.57221711131554742</v>
      </c>
      <c r="Y1486" s="139">
        <f t="shared" si="2980"/>
        <v>0</v>
      </c>
      <c r="Z1486" s="139">
        <f t="shared" si="2980"/>
        <v>0</v>
      </c>
      <c r="AA1486" s="139">
        <f t="shared" si="2980"/>
        <v>1.655933762649494E-2</v>
      </c>
      <c r="AB1486" s="139"/>
      <c r="AC1486" s="139">
        <f t="shared" si="2562"/>
        <v>2.9438822447102116E-2</v>
      </c>
      <c r="AD1486" s="139">
        <f t="shared" ref="AD1486:AI1486" si="2981">O1486/$I1486</f>
        <v>1.8399264029438822E-3</v>
      </c>
      <c r="AE1486" s="139">
        <f t="shared" si="2981"/>
        <v>0</v>
      </c>
      <c r="AF1486" s="139">
        <f t="shared" si="2981"/>
        <v>0</v>
      </c>
      <c r="AG1486" s="139">
        <f t="shared" si="2981"/>
        <v>9.1996320147194111E-4</v>
      </c>
      <c r="AH1486" s="139">
        <f t="shared" si="2981"/>
        <v>1.2879484820607176E-2</v>
      </c>
      <c r="AI1486" s="139">
        <f t="shared" si="2981"/>
        <v>1.3799448022079117E-2</v>
      </c>
    </row>
    <row r="1487" spans="2:35">
      <c r="B1487" s="138" t="s">
        <v>8077</v>
      </c>
      <c r="C1487" s="138" t="s">
        <v>4367</v>
      </c>
      <c r="D1487" s="138" t="s">
        <v>7</v>
      </c>
      <c r="E1487" s="138" t="s">
        <v>7</v>
      </c>
      <c r="F1487" s="138" t="s">
        <v>8197</v>
      </c>
      <c r="H1487" s="138">
        <v>70</v>
      </c>
      <c r="I1487" s="138">
        <v>1158</v>
      </c>
      <c r="J1487" s="138">
        <v>692</v>
      </c>
      <c r="K1487" s="138">
        <v>430</v>
      </c>
      <c r="N1487" s="138">
        <v>4</v>
      </c>
      <c r="O1487" s="138">
        <v>2</v>
      </c>
      <c r="R1487" s="138">
        <v>1</v>
      </c>
      <c r="S1487" s="138">
        <v>18</v>
      </c>
      <c r="T1487" s="138">
        <v>11</v>
      </c>
      <c r="U1487" s="138">
        <f t="shared" si="2560"/>
        <v>32</v>
      </c>
      <c r="W1487" s="139">
        <f t="shared" ref="W1487:AA1487" si="2982">J1487/$I1487</f>
        <v>0.59758203799654575</v>
      </c>
      <c r="X1487" s="139">
        <f t="shared" si="2982"/>
        <v>0.37132987910189985</v>
      </c>
      <c r="Y1487" s="139">
        <f t="shared" si="2982"/>
        <v>0</v>
      </c>
      <c r="Z1487" s="139">
        <f t="shared" si="2982"/>
        <v>0</v>
      </c>
      <c r="AA1487" s="139">
        <f t="shared" si="2982"/>
        <v>3.4542314335060447E-3</v>
      </c>
      <c r="AB1487" s="139"/>
      <c r="AC1487" s="139">
        <f t="shared" si="2562"/>
        <v>2.7633851468048358E-2</v>
      </c>
      <c r="AD1487" s="139">
        <f t="shared" ref="AD1487:AI1487" si="2983">O1487/$I1487</f>
        <v>1.7271157167530224E-3</v>
      </c>
      <c r="AE1487" s="139">
        <f t="shared" si="2983"/>
        <v>0</v>
      </c>
      <c r="AF1487" s="139">
        <f t="shared" si="2983"/>
        <v>0</v>
      </c>
      <c r="AG1487" s="139">
        <f t="shared" si="2983"/>
        <v>8.6355785837651119E-4</v>
      </c>
      <c r="AH1487" s="139">
        <f t="shared" si="2983"/>
        <v>1.5544041450777202E-2</v>
      </c>
      <c r="AI1487" s="139">
        <f t="shared" si="2983"/>
        <v>9.4991364421416237E-3</v>
      </c>
    </row>
    <row r="1488" spans="2:35">
      <c r="B1488" s="138" t="s">
        <v>8077</v>
      </c>
      <c r="C1488" s="138" t="s">
        <v>4367</v>
      </c>
      <c r="D1488" s="138" t="s">
        <v>7</v>
      </c>
      <c r="E1488" s="138" t="s">
        <v>7</v>
      </c>
      <c r="F1488" s="138" t="s">
        <v>8197</v>
      </c>
      <c r="H1488" s="138">
        <v>71</v>
      </c>
      <c r="I1488" s="138">
        <v>773</v>
      </c>
      <c r="J1488" s="138">
        <v>387</v>
      </c>
      <c r="K1488" s="138">
        <v>337</v>
      </c>
      <c r="N1488" s="138">
        <v>3</v>
      </c>
      <c r="O1488" s="138">
        <v>4</v>
      </c>
      <c r="R1488" s="138">
        <v>2</v>
      </c>
      <c r="S1488" s="138">
        <v>15</v>
      </c>
      <c r="T1488" s="138">
        <v>25</v>
      </c>
      <c r="U1488" s="138">
        <f t="shared" si="2560"/>
        <v>46</v>
      </c>
      <c r="W1488" s="139">
        <f t="shared" ref="W1488:AA1488" si="2984">J1488/$I1488</f>
        <v>0.50064683053040104</v>
      </c>
      <c r="X1488" s="139">
        <f t="shared" si="2984"/>
        <v>0.43596377749029752</v>
      </c>
      <c r="Y1488" s="139">
        <f t="shared" si="2984"/>
        <v>0</v>
      </c>
      <c r="Z1488" s="139">
        <f t="shared" si="2984"/>
        <v>0</v>
      </c>
      <c r="AA1488" s="139">
        <f t="shared" si="2984"/>
        <v>3.8809831824062097E-3</v>
      </c>
      <c r="AB1488" s="139"/>
      <c r="AC1488" s="139">
        <f t="shared" si="2562"/>
        <v>5.9508408796895215E-2</v>
      </c>
      <c r="AD1488" s="139">
        <f t="shared" ref="AD1488:AI1488" si="2985">O1488/$I1488</f>
        <v>5.1746442432082798E-3</v>
      </c>
      <c r="AE1488" s="139">
        <f t="shared" si="2985"/>
        <v>0</v>
      </c>
      <c r="AF1488" s="139">
        <f t="shared" si="2985"/>
        <v>0</v>
      </c>
      <c r="AG1488" s="139">
        <f t="shared" si="2985"/>
        <v>2.5873221216041399E-3</v>
      </c>
      <c r="AH1488" s="139">
        <f t="shared" si="2985"/>
        <v>1.9404915912031046E-2</v>
      </c>
      <c r="AI1488" s="139">
        <f t="shared" si="2985"/>
        <v>3.2341526520051747E-2</v>
      </c>
    </row>
    <row r="1489" spans="2:35">
      <c r="B1489" s="138" t="s">
        <v>8077</v>
      </c>
      <c r="C1489" s="138" t="s">
        <v>4367</v>
      </c>
      <c r="D1489" s="138" t="s">
        <v>7</v>
      </c>
      <c r="E1489" s="138" t="s">
        <v>7</v>
      </c>
      <c r="F1489" s="138" t="s">
        <v>8197</v>
      </c>
      <c r="H1489" s="138">
        <v>72</v>
      </c>
      <c r="I1489" s="138">
        <v>1029</v>
      </c>
      <c r="J1489" s="138">
        <v>510</v>
      </c>
      <c r="K1489" s="138">
        <v>473</v>
      </c>
      <c r="N1489" s="138">
        <v>10</v>
      </c>
      <c r="O1489" s="138">
        <v>5</v>
      </c>
      <c r="R1489" s="138">
        <v>3</v>
      </c>
      <c r="S1489" s="138">
        <v>13</v>
      </c>
      <c r="T1489" s="138">
        <v>15</v>
      </c>
      <c r="U1489" s="138">
        <f t="shared" si="2560"/>
        <v>36</v>
      </c>
      <c r="W1489" s="139">
        <f t="shared" ref="W1489:AA1489" si="2986">J1489/$I1489</f>
        <v>0.49562682215743442</v>
      </c>
      <c r="X1489" s="139">
        <f t="shared" si="2986"/>
        <v>0.45966958211856174</v>
      </c>
      <c r="Y1489" s="139">
        <f t="shared" si="2986"/>
        <v>0</v>
      </c>
      <c r="Z1489" s="139">
        <f t="shared" si="2986"/>
        <v>0</v>
      </c>
      <c r="AA1489" s="139">
        <f t="shared" si="2986"/>
        <v>9.7181729834791061E-3</v>
      </c>
      <c r="AB1489" s="139"/>
      <c r="AC1489" s="139">
        <f t="shared" si="2562"/>
        <v>3.4985422740524783E-2</v>
      </c>
      <c r="AD1489" s="139">
        <f t="shared" ref="AD1489:AI1489" si="2987">O1489/$I1489</f>
        <v>4.859086491739553E-3</v>
      </c>
      <c r="AE1489" s="139">
        <f t="shared" si="2987"/>
        <v>0</v>
      </c>
      <c r="AF1489" s="139">
        <f t="shared" si="2987"/>
        <v>0</v>
      </c>
      <c r="AG1489" s="139">
        <f t="shared" si="2987"/>
        <v>2.9154518950437317E-3</v>
      </c>
      <c r="AH1489" s="139">
        <f t="shared" si="2987"/>
        <v>1.2633624878522837E-2</v>
      </c>
      <c r="AI1489" s="139">
        <f t="shared" si="2987"/>
        <v>1.4577259475218658E-2</v>
      </c>
    </row>
    <row r="1490" spans="2:35">
      <c r="B1490" s="138" t="s">
        <v>8077</v>
      </c>
      <c r="C1490" s="138" t="s">
        <v>4367</v>
      </c>
      <c r="D1490" s="138" t="s">
        <v>7</v>
      </c>
      <c r="E1490" s="138" t="s">
        <v>7</v>
      </c>
      <c r="F1490" s="138" t="s">
        <v>8197</v>
      </c>
      <c r="H1490" s="138">
        <v>73</v>
      </c>
      <c r="I1490" s="138">
        <v>1002</v>
      </c>
      <c r="J1490" s="138">
        <v>554</v>
      </c>
      <c r="K1490" s="138">
        <v>403</v>
      </c>
      <c r="N1490" s="138">
        <v>8</v>
      </c>
      <c r="O1490" s="138">
        <v>3</v>
      </c>
      <c r="R1490" s="138">
        <v>2</v>
      </c>
      <c r="S1490" s="138">
        <v>19</v>
      </c>
      <c r="T1490" s="138">
        <v>13</v>
      </c>
      <c r="U1490" s="138">
        <f t="shared" si="2560"/>
        <v>37</v>
      </c>
      <c r="W1490" s="139">
        <f t="shared" ref="W1490:AA1490" si="2988">J1490/$I1490</f>
        <v>0.55289421157684626</v>
      </c>
      <c r="X1490" s="139">
        <f t="shared" si="2988"/>
        <v>0.40219560878243515</v>
      </c>
      <c r="Y1490" s="139">
        <f t="shared" si="2988"/>
        <v>0</v>
      </c>
      <c r="Z1490" s="139">
        <f t="shared" si="2988"/>
        <v>0</v>
      </c>
      <c r="AA1490" s="139">
        <f t="shared" si="2988"/>
        <v>7.9840319361277438E-3</v>
      </c>
      <c r="AB1490" s="139"/>
      <c r="AC1490" s="139">
        <f t="shared" si="2562"/>
        <v>3.6926147704590816E-2</v>
      </c>
      <c r="AD1490" s="139">
        <f t="shared" ref="AD1490:AI1490" si="2989">O1490/$I1490</f>
        <v>2.9940119760479044E-3</v>
      </c>
      <c r="AE1490" s="139">
        <f t="shared" si="2989"/>
        <v>0</v>
      </c>
      <c r="AF1490" s="139">
        <f t="shared" si="2989"/>
        <v>0</v>
      </c>
      <c r="AG1490" s="139">
        <f t="shared" si="2989"/>
        <v>1.996007984031936E-3</v>
      </c>
      <c r="AH1490" s="139">
        <f t="shared" si="2989"/>
        <v>1.8962075848303395E-2</v>
      </c>
      <c r="AI1490" s="139">
        <f t="shared" si="2989"/>
        <v>1.2974051896207584E-2</v>
      </c>
    </row>
    <row r="1491" spans="2:35">
      <c r="B1491" s="138" t="s">
        <v>8077</v>
      </c>
      <c r="C1491" s="138" t="s">
        <v>4367</v>
      </c>
      <c r="D1491" s="138" t="s">
        <v>7</v>
      </c>
      <c r="E1491" s="138" t="s">
        <v>7</v>
      </c>
      <c r="F1491" s="138" t="s">
        <v>8197</v>
      </c>
      <c r="H1491" s="138">
        <v>74</v>
      </c>
      <c r="I1491" s="138">
        <v>1052</v>
      </c>
      <c r="J1491" s="138">
        <v>609</v>
      </c>
      <c r="K1491" s="138">
        <v>396</v>
      </c>
      <c r="N1491" s="138">
        <v>11</v>
      </c>
      <c r="O1491" s="138">
        <v>4</v>
      </c>
      <c r="R1491" s="138">
        <v>2</v>
      </c>
      <c r="S1491" s="138">
        <v>20</v>
      </c>
      <c r="T1491" s="138">
        <v>10</v>
      </c>
      <c r="U1491" s="138">
        <f t="shared" si="2560"/>
        <v>36</v>
      </c>
      <c r="W1491" s="139">
        <f t="shared" ref="W1491:AA1491" si="2990">J1491/$I1491</f>
        <v>0.57889733840304181</v>
      </c>
      <c r="X1491" s="139">
        <f t="shared" si="2990"/>
        <v>0.37642585551330798</v>
      </c>
      <c r="Y1491" s="139">
        <f t="shared" si="2990"/>
        <v>0</v>
      </c>
      <c r="Z1491" s="139">
        <f t="shared" si="2990"/>
        <v>0</v>
      </c>
      <c r="AA1491" s="139">
        <f t="shared" si="2990"/>
        <v>1.0456273764258554E-2</v>
      </c>
      <c r="AB1491" s="139"/>
      <c r="AC1491" s="139">
        <f t="shared" si="2562"/>
        <v>3.4220532319391636E-2</v>
      </c>
      <c r="AD1491" s="139">
        <f t="shared" ref="AD1491:AI1491" si="2991">O1491/$I1491</f>
        <v>3.8022813688212928E-3</v>
      </c>
      <c r="AE1491" s="139">
        <f t="shared" si="2991"/>
        <v>0</v>
      </c>
      <c r="AF1491" s="139">
        <f t="shared" si="2991"/>
        <v>0</v>
      </c>
      <c r="AG1491" s="139">
        <f t="shared" si="2991"/>
        <v>1.9011406844106464E-3</v>
      </c>
      <c r="AH1491" s="139">
        <f t="shared" si="2991"/>
        <v>1.9011406844106463E-2</v>
      </c>
      <c r="AI1491" s="139">
        <f t="shared" si="2991"/>
        <v>9.5057034220532317E-3</v>
      </c>
    </row>
    <row r="1492" spans="2:35">
      <c r="B1492" s="138" t="s">
        <v>8077</v>
      </c>
      <c r="C1492" s="138" t="s">
        <v>4367</v>
      </c>
      <c r="D1492" s="138" t="s">
        <v>7</v>
      </c>
      <c r="E1492" s="138" t="s">
        <v>7</v>
      </c>
      <c r="F1492" s="138" t="s">
        <v>8197</v>
      </c>
      <c r="H1492" s="138">
        <v>75</v>
      </c>
      <c r="I1492" s="138">
        <v>906</v>
      </c>
      <c r="J1492" s="138">
        <v>404</v>
      </c>
      <c r="K1492" s="138">
        <v>433</v>
      </c>
      <c r="N1492" s="138">
        <v>8</v>
      </c>
      <c r="O1492" s="138">
        <v>7</v>
      </c>
      <c r="R1492" s="138">
        <v>2</v>
      </c>
      <c r="S1492" s="138">
        <v>23</v>
      </c>
      <c r="T1492" s="138">
        <v>29</v>
      </c>
      <c r="U1492" s="138">
        <f t="shared" si="2560"/>
        <v>61</v>
      </c>
      <c r="W1492" s="139">
        <f t="shared" ref="W1492:AA1492" si="2992">J1492/$I1492</f>
        <v>0.44591611479028698</v>
      </c>
      <c r="X1492" s="139">
        <f t="shared" si="2992"/>
        <v>0.47792494481236203</v>
      </c>
      <c r="Y1492" s="139">
        <f t="shared" si="2992"/>
        <v>0</v>
      </c>
      <c r="Z1492" s="139">
        <f t="shared" si="2992"/>
        <v>0</v>
      </c>
      <c r="AA1492" s="139">
        <f t="shared" si="2992"/>
        <v>8.8300220750551876E-3</v>
      </c>
      <c r="AB1492" s="139"/>
      <c r="AC1492" s="139">
        <f t="shared" si="2562"/>
        <v>6.7328918322295803E-2</v>
      </c>
      <c r="AD1492" s="139">
        <f t="shared" ref="AD1492:AI1492" si="2993">O1492/$I1492</f>
        <v>7.7262693156732896E-3</v>
      </c>
      <c r="AE1492" s="139">
        <f t="shared" si="2993"/>
        <v>0</v>
      </c>
      <c r="AF1492" s="139">
        <f t="shared" si="2993"/>
        <v>0</v>
      </c>
      <c r="AG1492" s="139">
        <f t="shared" si="2993"/>
        <v>2.2075055187637969E-3</v>
      </c>
      <c r="AH1492" s="139">
        <f t="shared" si="2993"/>
        <v>2.5386313465783666E-2</v>
      </c>
      <c r="AI1492" s="139">
        <f t="shared" si="2993"/>
        <v>3.2008830022075052E-2</v>
      </c>
    </row>
    <row r="1493" spans="2:35">
      <c r="B1493" s="138" t="s">
        <v>8077</v>
      </c>
      <c r="C1493" s="138" t="s">
        <v>4367</v>
      </c>
      <c r="D1493" s="138" t="s">
        <v>7</v>
      </c>
      <c r="E1493" s="138" t="s">
        <v>7</v>
      </c>
      <c r="F1493" s="138" t="s">
        <v>8197</v>
      </c>
      <c r="H1493" s="138">
        <v>76</v>
      </c>
      <c r="I1493" s="138">
        <v>1084</v>
      </c>
      <c r="J1493" s="138">
        <v>562</v>
      </c>
      <c r="K1493" s="138">
        <v>452</v>
      </c>
      <c r="N1493" s="138">
        <v>11</v>
      </c>
      <c r="O1493" s="138">
        <v>8</v>
      </c>
      <c r="R1493" s="138">
        <v>0</v>
      </c>
      <c r="S1493" s="138">
        <v>25</v>
      </c>
      <c r="T1493" s="138">
        <v>26</v>
      </c>
      <c r="U1493" s="138">
        <f t="shared" si="2560"/>
        <v>59</v>
      </c>
      <c r="W1493" s="139">
        <f t="shared" ref="W1493:AA1493" si="2994">J1493/$I1493</f>
        <v>0.51845018450184499</v>
      </c>
      <c r="X1493" s="139">
        <f t="shared" si="2994"/>
        <v>0.41697416974169743</v>
      </c>
      <c r="Y1493" s="139">
        <f t="shared" si="2994"/>
        <v>0</v>
      </c>
      <c r="Z1493" s="139">
        <f t="shared" si="2994"/>
        <v>0</v>
      </c>
      <c r="AA1493" s="139">
        <f t="shared" si="2994"/>
        <v>1.014760147601476E-2</v>
      </c>
      <c r="AB1493" s="139"/>
      <c r="AC1493" s="139">
        <f t="shared" si="2562"/>
        <v>5.4428044280442803E-2</v>
      </c>
      <c r="AD1493" s="139">
        <f t="shared" ref="AD1493:AI1493" si="2995">O1493/$I1493</f>
        <v>7.3800738007380072E-3</v>
      </c>
      <c r="AE1493" s="139">
        <f t="shared" si="2995"/>
        <v>0</v>
      </c>
      <c r="AF1493" s="139">
        <f t="shared" si="2995"/>
        <v>0</v>
      </c>
      <c r="AG1493" s="139">
        <f t="shared" si="2995"/>
        <v>0</v>
      </c>
      <c r="AH1493" s="139">
        <f t="shared" si="2995"/>
        <v>2.3062730627306273E-2</v>
      </c>
      <c r="AI1493" s="139">
        <f t="shared" si="2995"/>
        <v>2.3985239852398525E-2</v>
      </c>
    </row>
    <row r="1494" spans="2:35">
      <c r="B1494" s="138" t="s">
        <v>8077</v>
      </c>
      <c r="C1494" s="138" t="s">
        <v>4367</v>
      </c>
      <c r="D1494" s="138" t="s">
        <v>7</v>
      </c>
      <c r="E1494" s="138" t="s">
        <v>7</v>
      </c>
      <c r="F1494" s="138" t="s">
        <v>8088</v>
      </c>
      <c r="H1494" s="138">
        <v>77</v>
      </c>
      <c r="I1494" s="138">
        <v>980</v>
      </c>
      <c r="J1494" s="138">
        <v>413</v>
      </c>
      <c r="K1494" s="138">
        <v>465</v>
      </c>
      <c r="N1494" s="138">
        <v>43</v>
      </c>
      <c r="O1494" s="138">
        <v>5</v>
      </c>
      <c r="R1494" s="138">
        <v>1</v>
      </c>
      <c r="S1494" s="138">
        <v>19</v>
      </c>
      <c r="T1494" s="138">
        <v>34</v>
      </c>
      <c r="U1494" s="138">
        <f t="shared" si="2560"/>
        <v>59</v>
      </c>
      <c r="W1494" s="139">
        <f t="shared" ref="W1494:AA1494" si="2996">J1494/$I1494</f>
        <v>0.42142857142857143</v>
      </c>
      <c r="X1494" s="139">
        <f t="shared" si="2996"/>
        <v>0.47448979591836737</v>
      </c>
      <c r="Y1494" s="139">
        <f t="shared" si="2996"/>
        <v>0</v>
      </c>
      <c r="Z1494" s="139">
        <f t="shared" si="2996"/>
        <v>0</v>
      </c>
      <c r="AA1494" s="139">
        <f t="shared" si="2996"/>
        <v>4.3877551020408162E-2</v>
      </c>
      <c r="AB1494" s="139"/>
      <c r="AC1494" s="139">
        <f t="shared" si="2562"/>
        <v>6.0204081632653061E-2</v>
      </c>
      <c r="AD1494" s="139">
        <f t="shared" ref="AD1494:AI1494" si="2997">O1494/$I1494</f>
        <v>5.1020408163265302E-3</v>
      </c>
      <c r="AE1494" s="139">
        <f t="shared" si="2997"/>
        <v>0</v>
      </c>
      <c r="AF1494" s="139">
        <f t="shared" si="2997"/>
        <v>0</v>
      </c>
      <c r="AG1494" s="139">
        <f t="shared" si="2997"/>
        <v>1.0204081632653062E-3</v>
      </c>
      <c r="AH1494" s="139">
        <f t="shared" si="2997"/>
        <v>1.9387755102040816E-2</v>
      </c>
      <c r="AI1494" s="139">
        <f t="shared" si="2997"/>
        <v>3.4693877551020408E-2</v>
      </c>
    </row>
    <row r="1495" spans="2:35">
      <c r="B1495" s="138" t="s">
        <v>8077</v>
      </c>
      <c r="C1495" s="138" t="s">
        <v>4367</v>
      </c>
      <c r="D1495" s="138" t="s">
        <v>7</v>
      </c>
      <c r="E1495" s="138" t="s">
        <v>7</v>
      </c>
      <c r="F1495" s="138" t="s">
        <v>8088</v>
      </c>
      <c r="H1495" s="138">
        <v>78</v>
      </c>
      <c r="I1495" s="138">
        <v>957</v>
      </c>
      <c r="J1495" s="138">
        <v>465</v>
      </c>
      <c r="K1495" s="138">
        <v>390</v>
      </c>
      <c r="N1495" s="138">
        <v>20</v>
      </c>
      <c r="O1495" s="138">
        <v>11</v>
      </c>
      <c r="R1495" s="138">
        <v>1</v>
      </c>
      <c r="S1495" s="138">
        <v>30</v>
      </c>
      <c r="T1495" s="138">
        <v>40</v>
      </c>
      <c r="U1495" s="138">
        <f t="shared" si="2560"/>
        <v>82</v>
      </c>
      <c r="W1495" s="139">
        <f t="shared" ref="W1495:AA1495" si="2998">J1495/$I1495</f>
        <v>0.48589341692789967</v>
      </c>
      <c r="X1495" s="139">
        <f t="shared" si="2998"/>
        <v>0.40752351097178685</v>
      </c>
      <c r="Y1495" s="139">
        <f t="shared" si="2998"/>
        <v>0</v>
      </c>
      <c r="Z1495" s="139">
        <f t="shared" si="2998"/>
        <v>0</v>
      </c>
      <c r="AA1495" s="139">
        <f t="shared" si="2998"/>
        <v>2.0898641588296761E-2</v>
      </c>
      <c r="AB1495" s="139"/>
      <c r="AC1495" s="139">
        <f t="shared" si="2562"/>
        <v>8.5684430512016713E-2</v>
      </c>
      <c r="AD1495" s="139">
        <f t="shared" ref="AD1495:AI1495" si="2999">O1495/$I1495</f>
        <v>1.1494252873563218E-2</v>
      </c>
      <c r="AE1495" s="139">
        <f t="shared" si="2999"/>
        <v>0</v>
      </c>
      <c r="AF1495" s="139">
        <f t="shared" si="2999"/>
        <v>0</v>
      </c>
      <c r="AG1495" s="139">
        <f t="shared" si="2999"/>
        <v>1.0449320794148381E-3</v>
      </c>
      <c r="AH1495" s="139">
        <f t="shared" si="2999"/>
        <v>3.1347962382445138E-2</v>
      </c>
      <c r="AI1495" s="139">
        <f t="shared" si="2999"/>
        <v>4.1797283176593522E-2</v>
      </c>
    </row>
    <row r="1496" spans="2:35">
      <c r="B1496" s="138" t="s">
        <v>8077</v>
      </c>
      <c r="C1496" s="138" t="s">
        <v>4367</v>
      </c>
      <c r="D1496" s="138" t="s">
        <v>7</v>
      </c>
      <c r="E1496" s="138" t="s">
        <v>7</v>
      </c>
      <c r="F1496" s="138" t="s">
        <v>1528</v>
      </c>
      <c r="H1496" s="138">
        <v>79</v>
      </c>
      <c r="I1496" s="138">
        <v>944</v>
      </c>
      <c r="J1496" s="138">
        <v>380</v>
      </c>
      <c r="K1496" s="138">
        <v>513</v>
      </c>
      <c r="N1496" s="138">
        <v>10</v>
      </c>
      <c r="O1496" s="138">
        <v>5</v>
      </c>
      <c r="R1496" s="138">
        <v>0</v>
      </c>
      <c r="S1496" s="138">
        <v>16</v>
      </c>
      <c r="T1496" s="138">
        <v>20</v>
      </c>
      <c r="U1496" s="138">
        <f t="shared" si="2560"/>
        <v>41</v>
      </c>
      <c r="W1496" s="139">
        <f t="shared" ref="W1496:AA1496" si="3000">J1496/$I1496</f>
        <v>0.40254237288135591</v>
      </c>
      <c r="X1496" s="139">
        <f t="shared" si="3000"/>
        <v>0.54343220338983056</v>
      </c>
      <c r="Y1496" s="139">
        <f t="shared" si="3000"/>
        <v>0</v>
      </c>
      <c r="Z1496" s="139">
        <f t="shared" si="3000"/>
        <v>0</v>
      </c>
      <c r="AA1496" s="139">
        <f t="shared" si="3000"/>
        <v>1.059322033898305E-2</v>
      </c>
      <c r="AB1496" s="139"/>
      <c r="AC1496" s="139">
        <f t="shared" si="2562"/>
        <v>4.3432203389830511E-2</v>
      </c>
      <c r="AD1496" s="139">
        <f t="shared" ref="AD1496:AI1496" si="3001">O1496/$I1496</f>
        <v>5.2966101694915252E-3</v>
      </c>
      <c r="AE1496" s="139">
        <f t="shared" si="3001"/>
        <v>0</v>
      </c>
      <c r="AF1496" s="139">
        <f t="shared" si="3001"/>
        <v>0</v>
      </c>
      <c r="AG1496" s="139">
        <f t="shared" si="3001"/>
        <v>0</v>
      </c>
      <c r="AH1496" s="139">
        <f t="shared" si="3001"/>
        <v>1.6949152542372881E-2</v>
      </c>
      <c r="AI1496" s="139">
        <f t="shared" si="3001"/>
        <v>2.1186440677966101E-2</v>
      </c>
    </row>
    <row r="1497" spans="2:35">
      <c r="B1497" s="138" t="s">
        <v>8077</v>
      </c>
      <c r="C1497" s="138" t="s">
        <v>4367</v>
      </c>
      <c r="D1497" s="138" t="s">
        <v>7</v>
      </c>
      <c r="E1497" s="138" t="s">
        <v>7</v>
      </c>
      <c r="F1497" s="138" t="s">
        <v>1528</v>
      </c>
      <c r="H1497" s="138">
        <v>80</v>
      </c>
      <c r="I1497" s="138">
        <v>928</v>
      </c>
      <c r="J1497" s="138">
        <v>388</v>
      </c>
      <c r="K1497" s="138">
        <v>482</v>
      </c>
      <c r="N1497" s="138">
        <v>12</v>
      </c>
      <c r="O1497" s="138">
        <v>4</v>
      </c>
      <c r="R1497" s="138">
        <v>3</v>
      </c>
      <c r="S1497" s="138">
        <v>23</v>
      </c>
      <c r="T1497" s="138">
        <v>16</v>
      </c>
      <c r="U1497" s="138">
        <f t="shared" si="2560"/>
        <v>46</v>
      </c>
      <c r="W1497" s="139">
        <f t="shared" ref="W1497:AA1497" si="3002">J1497/$I1497</f>
        <v>0.41810344827586204</v>
      </c>
      <c r="X1497" s="139">
        <f t="shared" si="3002"/>
        <v>0.5193965517241379</v>
      </c>
      <c r="Y1497" s="139">
        <f t="shared" si="3002"/>
        <v>0</v>
      </c>
      <c r="Z1497" s="139">
        <f t="shared" si="3002"/>
        <v>0</v>
      </c>
      <c r="AA1497" s="139">
        <f t="shared" si="3002"/>
        <v>1.2931034482758621E-2</v>
      </c>
      <c r="AB1497" s="139"/>
      <c r="AC1497" s="139">
        <f t="shared" si="2562"/>
        <v>4.9568965517241381E-2</v>
      </c>
      <c r="AD1497" s="139">
        <f t="shared" ref="AD1497:AI1497" si="3003">O1497/$I1497</f>
        <v>4.3103448275862068E-3</v>
      </c>
      <c r="AE1497" s="139">
        <f t="shared" si="3003"/>
        <v>0</v>
      </c>
      <c r="AF1497" s="139">
        <f t="shared" si="3003"/>
        <v>0</v>
      </c>
      <c r="AG1497" s="139">
        <f t="shared" si="3003"/>
        <v>3.2327586206896551E-3</v>
      </c>
      <c r="AH1497" s="139">
        <f t="shared" si="3003"/>
        <v>2.4784482758620691E-2</v>
      </c>
      <c r="AI1497" s="139">
        <f t="shared" si="3003"/>
        <v>1.7241379310344827E-2</v>
      </c>
    </row>
    <row r="1498" spans="2:35">
      <c r="B1498" s="138" t="s">
        <v>8077</v>
      </c>
      <c r="C1498" s="138" t="s">
        <v>4367</v>
      </c>
      <c r="D1498" s="138" t="s">
        <v>7</v>
      </c>
      <c r="E1498" s="138" t="s">
        <v>7</v>
      </c>
      <c r="F1498" s="138" t="s">
        <v>1528</v>
      </c>
      <c r="H1498" s="138">
        <v>81</v>
      </c>
      <c r="I1498" s="138">
        <v>727</v>
      </c>
      <c r="J1498" s="138">
        <v>274</v>
      </c>
      <c r="K1498" s="138">
        <v>408</v>
      </c>
      <c r="N1498" s="138">
        <v>5</v>
      </c>
      <c r="O1498" s="138">
        <v>4</v>
      </c>
      <c r="R1498" s="138">
        <v>0</v>
      </c>
      <c r="S1498" s="138">
        <v>22</v>
      </c>
      <c r="T1498" s="138">
        <v>14</v>
      </c>
      <c r="U1498" s="138">
        <f t="shared" si="2560"/>
        <v>40</v>
      </c>
      <c r="W1498" s="139">
        <f t="shared" ref="W1498:AA1498" si="3004">J1498/$I1498</f>
        <v>0.37689133425034388</v>
      </c>
      <c r="X1498" s="139">
        <f t="shared" si="3004"/>
        <v>0.56121045392022006</v>
      </c>
      <c r="Y1498" s="139">
        <f t="shared" si="3004"/>
        <v>0</v>
      </c>
      <c r="Z1498" s="139">
        <f t="shared" si="3004"/>
        <v>0</v>
      </c>
      <c r="AA1498" s="139">
        <f t="shared" si="3004"/>
        <v>6.8775790921595595E-3</v>
      </c>
      <c r="AB1498" s="139"/>
      <c r="AC1498" s="139">
        <f t="shared" si="2562"/>
        <v>5.5020632737276476E-2</v>
      </c>
      <c r="AD1498" s="139">
        <f t="shared" ref="AD1498:AI1498" si="3005">O1498/$I1498</f>
        <v>5.5020632737276479E-3</v>
      </c>
      <c r="AE1498" s="139">
        <f t="shared" si="3005"/>
        <v>0</v>
      </c>
      <c r="AF1498" s="139">
        <f t="shared" si="3005"/>
        <v>0</v>
      </c>
      <c r="AG1498" s="139">
        <f t="shared" si="3005"/>
        <v>0</v>
      </c>
      <c r="AH1498" s="139">
        <f t="shared" si="3005"/>
        <v>3.0261348005502064E-2</v>
      </c>
      <c r="AI1498" s="139">
        <f t="shared" si="3005"/>
        <v>1.9257221458046769E-2</v>
      </c>
    </row>
    <row r="1499" spans="2:35">
      <c r="B1499" s="138" t="s">
        <v>8077</v>
      </c>
      <c r="C1499" s="138" t="s">
        <v>4367</v>
      </c>
      <c r="D1499" s="138" t="s">
        <v>7</v>
      </c>
      <c r="E1499" s="138" t="s">
        <v>7</v>
      </c>
      <c r="F1499" s="138" t="s">
        <v>1528</v>
      </c>
      <c r="H1499" s="138">
        <v>82</v>
      </c>
      <c r="I1499" s="138">
        <v>1102</v>
      </c>
      <c r="J1499" s="138">
        <v>630</v>
      </c>
      <c r="K1499" s="138">
        <v>388</v>
      </c>
      <c r="N1499" s="138">
        <v>14</v>
      </c>
      <c r="O1499" s="138">
        <v>3</v>
      </c>
      <c r="R1499" s="138">
        <v>1</v>
      </c>
      <c r="S1499" s="138">
        <v>41</v>
      </c>
      <c r="T1499" s="138">
        <v>25</v>
      </c>
      <c r="U1499" s="138">
        <f t="shared" si="2560"/>
        <v>70</v>
      </c>
      <c r="W1499" s="139">
        <f t="shared" ref="W1499:AA1499" si="3006">J1499/$I1499</f>
        <v>0.57168784029038111</v>
      </c>
      <c r="X1499" s="139">
        <f t="shared" si="3006"/>
        <v>0.35208711433756806</v>
      </c>
      <c r="Y1499" s="139">
        <f t="shared" si="3006"/>
        <v>0</v>
      </c>
      <c r="Z1499" s="139">
        <f t="shared" si="3006"/>
        <v>0</v>
      </c>
      <c r="AA1499" s="139">
        <f t="shared" si="3006"/>
        <v>1.2704174228675136E-2</v>
      </c>
      <c r="AB1499" s="139"/>
      <c r="AC1499" s="139">
        <f t="shared" si="2562"/>
        <v>6.3520871143375679E-2</v>
      </c>
      <c r="AD1499" s="139">
        <f t="shared" ref="AD1499:AI1499" si="3007">O1499/$I1499</f>
        <v>2.7223230490018148E-3</v>
      </c>
      <c r="AE1499" s="139">
        <f t="shared" si="3007"/>
        <v>0</v>
      </c>
      <c r="AF1499" s="139">
        <f t="shared" si="3007"/>
        <v>0</v>
      </c>
      <c r="AG1499" s="139">
        <f t="shared" si="3007"/>
        <v>9.0744101633393826E-4</v>
      </c>
      <c r="AH1499" s="139">
        <f t="shared" si="3007"/>
        <v>3.720508166969147E-2</v>
      </c>
      <c r="AI1499" s="139">
        <f t="shared" si="3007"/>
        <v>2.2686025408348458E-2</v>
      </c>
    </row>
    <row r="1500" spans="2:35">
      <c r="B1500" s="138" t="s">
        <v>8077</v>
      </c>
      <c r="C1500" s="138" t="s">
        <v>4367</v>
      </c>
      <c r="D1500" s="138" t="s">
        <v>7</v>
      </c>
      <c r="E1500" s="138" t="s">
        <v>7</v>
      </c>
      <c r="F1500" s="138" t="s">
        <v>1528</v>
      </c>
      <c r="H1500" s="138">
        <v>83</v>
      </c>
      <c r="I1500" s="138">
        <v>672</v>
      </c>
      <c r="J1500" s="138">
        <v>403</v>
      </c>
      <c r="K1500" s="138">
        <v>229</v>
      </c>
      <c r="N1500" s="138">
        <v>9</v>
      </c>
      <c r="O1500" s="138">
        <v>2</v>
      </c>
      <c r="R1500" s="138">
        <v>0</v>
      </c>
      <c r="S1500" s="138">
        <v>17</v>
      </c>
      <c r="T1500" s="138">
        <v>12</v>
      </c>
      <c r="U1500" s="138">
        <f t="shared" si="2560"/>
        <v>31</v>
      </c>
      <c r="W1500" s="139">
        <f t="shared" ref="W1500:AA1500" si="3008">J1500/$I1500</f>
        <v>0.59970238095238093</v>
      </c>
      <c r="X1500" s="139">
        <f t="shared" si="3008"/>
        <v>0.34077380952380953</v>
      </c>
      <c r="Y1500" s="139">
        <f t="shared" si="3008"/>
        <v>0</v>
      </c>
      <c r="Z1500" s="139">
        <f t="shared" si="3008"/>
        <v>0</v>
      </c>
      <c r="AA1500" s="139">
        <f t="shared" si="3008"/>
        <v>1.3392857142857142E-2</v>
      </c>
      <c r="AB1500" s="139"/>
      <c r="AC1500" s="139">
        <f t="shared" si="2562"/>
        <v>4.6130952380952384E-2</v>
      </c>
      <c r="AD1500" s="139">
        <f t="shared" ref="AD1500:AI1500" si="3009">O1500/$I1500</f>
        <v>2.976190476190476E-3</v>
      </c>
      <c r="AE1500" s="139">
        <f t="shared" si="3009"/>
        <v>0</v>
      </c>
      <c r="AF1500" s="139">
        <f t="shared" si="3009"/>
        <v>0</v>
      </c>
      <c r="AG1500" s="139">
        <f t="shared" si="3009"/>
        <v>0</v>
      </c>
      <c r="AH1500" s="139">
        <f t="shared" si="3009"/>
        <v>2.5297619047619048E-2</v>
      </c>
      <c r="AI1500" s="139">
        <f t="shared" si="3009"/>
        <v>1.7857142857142856E-2</v>
      </c>
    </row>
    <row r="1501" spans="2:35">
      <c r="B1501" s="138" t="s">
        <v>8077</v>
      </c>
      <c r="C1501" s="138" t="s">
        <v>4367</v>
      </c>
      <c r="D1501" s="138" t="s">
        <v>7</v>
      </c>
      <c r="E1501" s="138" t="s">
        <v>7</v>
      </c>
      <c r="F1501" s="138" t="s">
        <v>1528</v>
      </c>
      <c r="H1501" s="138">
        <v>84</v>
      </c>
      <c r="I1501" s="138">
        <v>741</v>
      </c>
      <c r="J1501" s="138">
        <v>490</v>
      </c>
      <c r="K1501" s="138">
        <v>218</v>
      </c>
      <c r="N1501" s="138">
        <v>5</v>
      </c>
      <c r="O1501" s="138">
        <v>3</v>
      </c>
      <c r="R1501" s="138">
        <v>3</v>
      </c>
      <c r="S1501" s="138">
        <v>19</v>
      </c>
      <c r="T1501" s="138">
        <v>3</v>
      </c>
      <c r="U1501" s="138">
        <f t="shared" si="2560"/>
        <v>28</v>
      </c>
      <c r="W1501" s="139">
        <f t="shared" ref="W1501:AA1501" si="3010">J1501/$I1501</f>
        <v>0.66126855600539813</v>
      </c>
      <c r="X1501" s="139">
        <f t="shared" si="3010"/>
        <v>0.2941970310391363</v>
      </c>
      <c r="Y1501" s="139">
        <f t="shared" si="3010"/>
        <v>0</v>
      </c>
      <c r="Z1501" s="139">
        <f t="shared" si="3010"/>
        <v>0</v>
      </c>
      <c r="AA1501" s="139">
        <f t="shared" si="3010"/>
        <v>6.7476383265856954E-3</v>
      </c>
      <c r="AB1501" s="139"/>
      <c r="AC1501" s="139">
        <f t="shared" si="2562"/>
        <v>3.7786774628879895E-2</v>
      </c>
      <c r="AD1501" s="139">
        <f t="shared" ref="AD1501:AI1501" si="3011">O1501/$I1501</f>
        <v>4.048582995951417E-3</v>
      </c>
      <c r="AE1501" s="139">
        <f t="shared" si="3011"/>
        <v>0</v>
      </c>
      <c r="AF1501" s="139">
        <f t="shared" si="3011"/>
        <v>0</v>
      </c>
      <c r="AG1501" s="139">
        <f t="shared" si="3011"/>
        <v>4.048582995951417E-3</v>
      </c>
      <c r="AH1501" s="139">
        <f t="shared" si="3011"/>
        <v>2.564102564102564E-2</v>
      </c>
      <c r="AI1501" s="139">
        <f t="shared" si="3011"/>
        <v>4.048582995951417E-3</v>
      </c>
    </row>
    <row r="1502" spans="2:35">
      <c r="B1502" s="138" t="s">
        <v>8077</v>
      </c>
      <c r="C1502" s="138" t="s">
        <v>4367</v>
      </c>
      <c r="D1502" s="138" t="s">
        <v>7</v>
      </c>
      <c r="E1502" s="138" t="s">
        <v>7</v>
      </c>
      <c r="F1502" s="138" t="s">
        <v>1528</v>
      </c>
      <c r="H1502" s="138">
        <v>85</v>
      </c>
      <c r="I1502" s="138">
        <v>575</v>
      </c>
      <c r="J1502" s="138">
        <v>264</v>
      </c>
      <c r="K1502" s="138">
        <v>284</v>
      </c>
      <c r="N1502" s="138">
        <v>2</v>
      </c>
      <c r="O1502" s="138">
        <v>5</v>
      </c>
      <c r="R1502" s="138">
        <v>0</v>
      </c>
      <c r="S1502" s="138">
        <v>14</v>
      </c>
      <c r="T1502" s="138">
        <v>6</v>
      </c>
      <c r="U1502" s="138">
        <f t="shared" si="2560"/>
        <v>25</v>
      </c>
      <c r="W1502" s="139">
        <f t="shared" ref="W1502:AA1502" si="3012">J1502/$I1502</f>
        <v>0.45913043478260868</v>
      </c>
      <c r="X1502" s="139">
        <f t="shared" si="3012"/>
        <v>0.49391304347826087</v>
      </c>
      <c r="Y1502" s="139">
        <f t="shared" si="3012"/>
        <v>0</v>
      </c>
      <c r="Z1502" s="139">
        <f t="shared" si="3012"/>
        <v>0</v>
      </c>
      <c r="AA1502" s="139">
        <f t="shared" si="3012"/>
        <v>3.4782608695652175E-3</v>
      </c>
      <c r="AB1502" s="139"/>
      <c r="AC1502" s="139">
        <f t="shared" si="2562"/>
        <v>4.3478260869565216E-2</v>
      </c>
      <c r="AD1502" s="139">
        <f t="shared" ref="AD1502:AI1502" si="3013">O1502/$I1502</f>
        <v>8.6956521739130436E-3</v>
      </c>
      <c r="AE1502" s="139">
        <f t="shared" si="3013"/>
        <v>0</v>
      </c>
      <c r="AF1502" s="139">
        <f t="shared" si="3013"/>
        <v>0</v>
      </c>
      <c r="AG1502" s="139">
        <f t="shared" si="3013"/>
        <v>0</v>
      </c>
      <c r="AH1502" s="139">
        <f t="shared" si="3013"/>
        <v>2.4347826086956521E-2</v>
      </c>
      <c r="AI1502" s="139">
        <f t="shared" si="3013"/>
        <v>1.0434782608695653E-2</v>
      </c>
    </row>
    <row r="1503" spans="2:35">
      <c r="B1503" s="138" t="s">
        <v>8077</v>
      </c>
      <c r="C1503" s="138" t="s">
        <v>4367</v>
      </c>
      <c r="D1503" s="138" t="s">
        <v>7</v>
      </c>
      <c r="E1503" s="138" t="s">
        <v>7</v>
      </c>
      <c r="F1503" s="138" t="s">
        <v>1530</v>
      </c>
      <c r="H1503" s="138">
        <v>86</v>
      </c>
      <c r="I1503" s="138">
        <v>923</v>
      </c>
      <c r="J1503" s="138">
        <v>401</v>
      </c>
      <c r="K1503" s="138">
        <v>460</v>
      </c>
      <c r="N1503" s="138">
        <v>13</v>
      </c>
      <c r="O1503" s="138">
        <v>6</v>
      </c>
      <c r="R1503" s="138">
        <v>3</v>
      </c>
      <c r="S1503" s="138">
        <v>29</v>
      </c>
      <c r="T1503" s="138">
        <v>11</v>
      </c>
      <c r="U1503" s="138">
        <f t="shared" si="2560"/>
        <v>49</v>
      </c>
      <c r="W1503" s="139">
        <f t="shared" ref="W1503:AA1503" si="3014">J1503/$I1503</f>
        <v>0.4344528710725894</v>
      </c>
      <c r="X1503" s="139">
        <f t="shared" si="3014"/>
        <v>0.49837486457204766</v>
      </c>
      <c r="Y1503" s="139">
        <f t="shared" si="3014"/>
        <v>0</v>
      </c>
      <c r="Z1503" s="139">
        <f t="shared" si="3014"/>
        <v>0</v>
      </c>
      <c r="AA1503" s="139">
        <f t="shared" si="3014"/>
        <v>1.4084507042253521E-2</v>
      </c>
      <c r="AB1503" s="139"/>
      <c r="AC1503" s="139">
        <f t="shared" si="2562"/>
        <v>5.3087757313109427E-2</v>
      </c>
      <c r="AD1503" s="139">
        <f t="shared" ref="AD1503:AI1503" si="3015">O1503/$I1503</f>
        <v>6.5005417118093175E-3</v>
      </c>
      <c r="AE1503" s="139">
        <f t="shared" si="3015"/>
        <v>0</v>
      </c>
      <c r="AF1503" s="139">
        <f t="shared" si="3015"/>
        <v>0</v>
      </c>
      <c r="AG1503" s="139">
        <f t="shared" si="3015"/>
        <v>3.2502708559046588E-3</v>
      </c>
      <c r="AH1503" s="139">
        <f t="shared" si="3015"/>
        <v>3.1419284940411699E-2</v>
      </c>
      <c r="AI1503" s="139">
        <f t="shared" si="3015"/>
        <v>1.1917659804983749E-2</v>
      </c>
    </row>
    <row r="1504" spans="2:35">
      <c r="B1504" s="138" t="s">
        <v>8077</v>
      </c>
      <c r="C1504" s="138" t="s">
        <v>4367</v>
      </c>
      <c r="D1504" s="138" t="s">
        <v>7</v>
      </c>
      <c r="E1504" s="138" t="s">
        <v>7</v>
      </c>
      <c r="F1504" s="138" t="s">
        <v>1530</v>
      </c>
      <c r="H1504" s="138">
        <v>87</v>
      </c>
      <c r="I1504" s="138">
        <v>1005</v>
      </c>
      <c r="J1504" s="138">
        <v>417</v>
      </c>
      <c r="K1504" s="138">
        <v>540</v>
      </c>
      <c r="N1504" s="138">
        <v>11</v>
      </c>
      <c r="O1504" s="138">
        <v>6</v>
      </c>
      <c r="R1504" s="138">
        <v>2</v>
      </c>
      <c r="S1504" s="138">
        <v>12</v>
      </c>
      <c r="T1504" s="138">
        <v>17</v>
      </c>
      <c r="U1504" s="138">
        <f t="shared" si="2560"/>
        <v>37</v>
      </c>
      <c r="W1504" s="139">
        <f t="shared" ref="W1504:AA1504" si="3016">J1504/$I1504</f>
        <v>0.41492537313432837</v>
      </c>
      <c r="X1504" s="139">
        <f t="shared" si="3016"/>
        <v>0.53731343283582089</v>
      </c>
      <c r="Y1504" s="139">
        <f t="shared" si="3016"/>
        <v>0</v>
      </c>
      <c r="Z1504" s="139">
        <f t="shared" si="3016"/>
        <v>0</v>
      </c>
      <c r="AA1504" s="139">
        <f t="shared" si="3016"/>
        <v>1.0945273631840797E-2</v>
      </c>
      <c r="AB1504" s="139"/>
      <c r="AC1504" s="139">
        <f t="shared" si="2562"/>
        <v>3.6815920398009953E-2</v>
      </c>
      <c r="AD1504" s="139">
        <f t="shared" ref="AD1504:AI1504" si="3017">O1504/$I1504</f>
        <v>5.9701492537313433E-3</v>
      </c>
      <c r="AE1504" s="139">
        <f t="shared" si="3017"/>
        <v>0</v>
      </c>
      <c r="AF1504" s="139">
        <f t="shared" si="3017"/>
        <v>0</v>
      </c>
      <c r="AG1504" s="139">
        <f t="shared" si="3017"/>
        <v>1.990049751243781E-3</v>
      </c>
      <c r="AH1504" s="139">
        <f t="shared" si="3017"/>
        <v>1.1940298507462687E-2</v>
      </c>
      <c r="AI1504" s="139">
        <f t="shared" si="3017"/>
        <v>1.6915422885572139E-2</v>
      </c>
    </row>
    <row r="1505" spans="2:35">
      <c r="B1505" s="138" t="s">
        <v>8077</v>
      </c>
      <c r="C1505" s="138" t="s">
        <v>4367</v>
      </c>
      <c r="D1505" s="138" t="s">
        <v>7</v>
      </c>
      <c r="E1505" s="138" t="s">
        <v>7</v>
      </c>
      <c r="F1505" s="138" t="s">
        <v>1530</v>
      </c>
      <c r="H1505" s="138">
        <v>88</v>
      </c>
      <c r="I1505" s="138">
        <v>991</v>
      </c>
      <c r="J1505" s="138">
        <v>476</v>
      </c>
      <c r="K1505" s="138">
        <v>458</v>
      </c>
      <c r="N1505" s="138">
        <v>9</v>
      </c>
      <c r="O1505" s="138">
        <v>6</v>
      </c>
      <c r="R1505" s="138">
        <v>1</v>
      </c>
      <c r="S1505" s="138">
        <v>26</v>
      </c>
      <c r="T1505" s="138">
        <v>15</v>
      </c>
      <c r="U1505" s="138">
        <f t="shared" si="2560"/>
        <v>48</v>
      </c>
      <c r="W1505" s="139">
        <f t="shared" ref="W1505:AA1505" si="3018">J1505/$I1505</f>
        <v>0.48032290615539858</v>
      </c>
      <c r="X1505" s="139">
        <f t="shared" si="3018"/>
        <v>0.46215943491422806</v>
      </c>
      <c r="Y1505" s="139">
        <f t="shared" si="3018"/>
        <v>0</v>
      </c>
      <c r="Z1505" s="139">
        <f t="shared" si="3018"/>
        <v>0</v>
      </c>
      <c r="AA1505" s="139">
        <f t="shared" si="3018"/>
        <v>9.0817356205852677E-3</v>
      </c>
      <c r="AB1505" s="139"/>
      <c r="AC1505" s="139">
        <f t="shared" si="2562"/>
        <v>4.843592330978809E-2</v>
      </c>
      <c r="AD1505" s="139">
        <f t="shared" ref="AD1505:AI1505" si="3019">O1505/$I1505</f>
        <v>6.0544904137235112E-3</v>
      </c>
      <c r="AE1505" s="139">
        <f t="shared" si="3019"/>
        <v>0</v>
      </c>
      <c r="AF1505" s="139">
        <f t="shared" si="3019"/>
        <v>0</v>
      </c>
      <c r="AG1505" s="139">
        <f t="shared" si="3019"/>
        <v>1.0090817356205853E-3</v>
      </c>
      <c r="AH1505" s="139">
        <f t="shared" si="3019"/>
        <v>2.6236125126135216E-2</v>
      </c>
      <c r="AI1505" s="139">
        <f t="shared" si="3019"/>
        <v>1.5136226034308779E-2</v>
      </c>
    </row>
    <row r="1506" spans="2:35">
      <c r="B1506" s="138" t="s">
        <v>8077</v>
      </c>
      <c r="C1506" s="138" t="s">
        <v>4367</v>
      </c>
      <c r="D1506" s="138" t="s">
        <v>7</v>
      </c>
      <c r="E1506" s="138" t="s">
        <v>7</v>
      </c>
      <c r="F1506" s="138" t="s">
        <v>8198</v>
      </c>
      <c r="H1506" s="138">
        <v>89</v>
      </c>
      <c r="I1506" s="138">
        <v>788</v>
      </c>
      <c r="J1506" s="138">
        <v>428</v>
      </c>
      <c r="K1506" s="138">
        <v>339</v>
      </c>
      <c r="N1506" s="138">
        <v>5</v>
      </c>
      <c r="O1506" s="138">
        <v>1</v>
      </c>
      <c r="R1506" s="138">
        <v>1</v>
      </c>
      <c r="S1506" s="138">
        <v>10</v>
      </c>
      <c r="T1506" s="138">
        <v>4</v>
      </c>
      <c r="U1506" s="138">
        <f t="shared" si="2560"/>
        <v>16</v>
      </c>
      <c r="W1506" s="139">
        <f t="shared" ref="W1506:AA1506" si="3020">J1506/$I1506</f>
        <v>0.54314720812182737</v>
      </c>
      <c r="X1506" s="139">
        <f t="shared" si="3020"/>
        <v>0.43020304568527917</v>
      </c>
      <c r="Y1506" s="139">
        <f t="shared" si="3020"/>
        <v>0</v>
      </c>
      <c r="Z1506" s="139">
        <f t="shared" si="3020"/>
        <v>0</v>
      </c>
      <c r="AA1506" s="139">
        <f t="shared" si="3020"/>
        <v>6.3451776649746192E-3</v>
      </c>
      <c r="AB1506" s="139"/>
      <c r="AC1506" s="139">
        <f t="shared" si="2562"/>
        <v>2.030456852791878E-2</v>
      </c>
      <c r="AD1506" s="139">
        <f t="shared" ref="AD1506:AI1506" si="3021">O1506/$I1506</f>
        <v>1.2690355329949238E-3</v>
      </c>
      <c r="AE1506" s="139">
        <f t="shared" si="3021"/>
        <v>0</v>
      </c>
      <c r="AF1506" s="139">
        <f t="shared" si="3021"/>
        <v>0</v>
      </c>
      <c r="AG1506" s="139">
        <f t="shared" si="3021"/>
        <v>1.2690355329949238E-3</v>
      </c>
      <c r="AH1506" s="139">
        <f t="shared" si="3021"/>
        <v>1.2690355329949238E-2</v>
      </c>
      <c r="AI1506" s="139">
        <f t="shared" si="3021"/>
        <v>5.076142131979695E-3</v>
      </c>
    </row>
    <row r="1507" spans="2:35">
      <c r="B1507" s="138" t="s">
        <v>8077</v>
      </c>
      <c r="C1507" s="138" t="s">
        <v>4367</v>
      </c>
      <c r="D1507" s="138" t="s">
        <v>7</v>
      </c>
      <c r="E1507" s="138" t="s">
        <v>7</v>
      </c>
      <c r="F1507" s="138" t="s">
        <v>8198</v>
      </c>
      <c r="H1507" s="138">
        <v>90</v>
      </c>
      <c r="I1507" s="138">
        <v>1033</v>
      </c>
      <c r="J1507" s="138">
        <v>453</v>
      </c>
      <c r="K1507" s="138">
        <v>527</v>
      </c>
      <c r="N1507" s="138">
        <v>11</v>
      </c>
      <c r="O1507" s="138">
        <v>2</v>
      </c>
      <c r="R1507" s="138">
        <v>2</v>
      </c>
      <c r="S1507" s="138">
        <v>24</v>
      </c>
      <c r="T1507" s="138">
        <v>14</v>
      </c>
      <c r="U1507" s="138">
        <f t="shared" si="2560"/>
        <v>42</v>
      </c>
      <c r="W1507" s="139">
        <f t="shared" ref="W1507:AA1507" si="3022">J1507/$I1507</f>
        <v>0.43852855759922554</v>
      </c>
      <c r="X1507" s="139">
        <f t="shared" si="3022"/>
        <v>0.51016456921587605</v>
      </c>
      <c r="Y1507" s="139">
        <f t="shared" si="3022"/>
        <v>0</v>
      </c>
      <c r="Z1507" s="139">
        <f t="shared" si="3022"/>
        <v>0</v>
      </c>
      <c r="AA1507" s="139">
        <f t="shared" si="3022"/>
        <v>1.0648596321393998E-2</v>
      </c>
      <c r="AB1507" s="139"/>
      <c r="AC1507" s="139">
        <f t="shared" si="2562"/>
        <v>4.0658276863504358E-2</v>
      </c>
      <c r="AD1507" s="139">
        <f t="shared" ref="AD1507:AI1507" si="3023">O1507/$I1507</f>
        <v>1.9361084220716361E-3</v>
      </c>
      <c r="AE1507" s="139">
        <f t="shared" si="3023"/>
        <v>0</v>
      </c>
      <c r="AF1507" s="139">
        <f t="shared" si="3023"/>
        <v>0</v>
      </c>
      <c r="AG1507" s="139">
        <f t="shared" si="3023"/>
        <v>1.9361084220716361E-3</v>
      </c>
      <c r="AH1507" s="139">
        <f t="shared" si="3023"/>
        <v>2.3233301064859633E-2</v>
      </c>
      <c r="AI1507" s="139">
        <f t="shared" si="3023"/>
        <v>1.3552758954501452E-2</v>
      </c>
    </row>
    <row r="1508" spans="2:35">
      <c r="B1508" s="138" t="s">
        <v>8077</v>
      </c>
      <c r="C1508" s="138" t="s">
        <v>4367</v>
      </c>
      <c r="D1508" s="138" t="s">
        <v>7</v>
      </c>
      <c r="E1508" s="138" t="s">
        <v>7</v>
      </c>
      <c r="F1508" s="138" t="s">
        <v>8199</v>
      </c>
      <c r="H1508" s="138">
        <v>91</v>
      </c>
      <c r="I1508" s="138">
        <v>713</v>
      </c>
      <c r="J1508" s="138">
        <v>472</v>
      </c>
      <c r="K1508" s="138">
        <v>223</v>
      </c>
      <c r="N1508" s="138">
        <v>2</v>
      </c>
      <c r="O1508" s="138">
        <v>2</v>
      </c>
      <c r="R1508" s="138">
        <v>0</v>
      </c>
      <c r="S1508" s="138">
        <v>10</v>
      </c>
      <c r="T1508" s="138">
        <v>4</v>
      </c>
      <c r="U1508" s="138">
        <f t="shared" si="2560"/>
        <v>16</v>
      </c>
      <c r="W1508" s="139">
        <f t="shared" ref="W1508:AA1508" si="3024">J1508/$I1508</f>
        <v>0.6619915848527349</v>
      </c>
      <c r="X1508" s="139">
        <f t="shared" si="3024"/>
        <v>0.31276297335203368</v>
      </c>
      <c r="Y1508" s="139">
        <f t="shared" si="3024"/>
        <v>0</v>
      </c>
      <c r="Z1508" s="139">
        <f t="shared" si="3024"/>
        <v>0</v>
      </c>
      <c r="AA1508" s="139">
        <f t="shared" si="3024"/>
        <v>2.8050490883590462E-3</v>
      </c>
      <c r="AB1508" s="139"/>
      <c r="AC1508" s="139">
        <f t="shared" si="2562"/>
        <v>2.244039270687237E-2</v>
      </c>
      <c r="AD1508" s="139">
        <f t="shared" ref="AD1508:AI1508" si="3025">O1508/$I1508</f>
        <v>2.8050490883590462E-3</v>
      </c>
      <c r="AE1508" s="139">
        <f t="shared" si="3025"/>
        <v>0</v>
      </c>
      <c r="AF1508" s="139">
        <f t="shared" si="3025"/>
        <v>0</v>
      </c>
      <c r="AG1508" s="139">
        <f t="shared" si="3025"/>
        <v>0</v>
      </c>
      <c r="AH1508" s="139">
        <f t="shared" si="3025"/>
        <v>1.4025245441795231E-2</v>
      </c>
      <c r="AI1508" s="139">
        <f t="shared" si="3025"/>
        <v>5.6100981767180924E-3</v>
      </c>
    </row>
    <row r="1509" spans="2:35">
      <c r="B1509" s="138" t="s">
        <v>8077</v>
      </c>
      <c r="C1509" s="138" t="s">
        <v>4367</v>
      </c>
      <c r="D1509" s="138" t="s">
        <v>7</v>
      </c>
      <c r="E1509" s="138" t="s">
        <v>7</v>
      </c>
      <c r="F1509" s="138" t="s">
        <v>8199</v>
      </c>
      <c r="H1509" s="138">
        <v>92</v>
      </c>
      <c r="I1509" s="138">
        <v>702</v>
      </c>
      <c r="J1509" s="138">
        <v>383</v>
      </c>
      <c r="K1509" s="138">
        <v>289</v>
      </c>
      <c r="N1509" s="138">
        <v>7</v>
      </c>
      <c r="O1509" s="138">
        <v>1</v>
      </c>
      <c r="R1509" s="138">
        <v>1</v>
      </c>
      <c r="S1509" s="138">
        <v>8</v>
      </c>
      <c r="T1509" s="138">
        <v>13</v>
      </c>
      <c r="U1509" s="138">
        <f t="shared" si="2560"/>
        <v>23</v>
      </c>
      <c r="W1509" s="139">
        <f t="shared" ref="W1509:AA1509" si="3026">J1509/$I1509</f>
        <v>0.54558404558404561</v>
      </c>
      <c r="X1509" s="139">
        <f t="shared" si="3026"/>
        <v>0.4116809116809117</v>
      </c>
      <c r="Y1509" s="139">
        <f t="shared" si="3026"/>
        <v>0</v>
      </c>
      <c r="Z1509" s="139">
        <f t="shared" si="3026"/>
        <v>0</v>
      </c>
      <c r="AA1509" s="139">
        <f t="shared" si="3026"/>
        <v>9.9715099715099714E-3</v>
      </c>
      <c r="AB1509" s="139"/>
      <c r="AC1509" s="139">
        <f t="shared" si="2562"/>
        <v>3.2763532763532763E-2</v>
      </c>
      <c r="AD1509" s="139">
        <f t="shared" ref="AD1509:AI1509" si="3027">O1509/$I1509</f>
        <v>1.4245014245014246E-3</v>
      </c>
      <c r="AE1509" s="139">
        <f t="shared" si="3027"/>
        <v>0</v>
      </c>
      <c r="AF1509" s="139">
        <f t="shared" si="3027"/>
        <v>0</v>
      </c>
      <c r="AG1509" s="139">
        <f t="shared" si="3027"/>
        <v>1.4245014245014246E-3</v>
      </c>
      <c r="AH1509" s="139">
        <f t="shared" si="3027"/>
        <v>1.1396011396011397E-2</v>
      </c>
      <c r="AI1509" s="139">
        <f t="shared" si="3027"/>
        <v>1.8518518518518517E-2</v>
      </c>
    </row>
    <row r="1510" spans="2:35">
      <c r="B1510" s="138" t="s">
        <v>8077</v>
      </c>
      <c r="C1510" s="138" t="s">
        <v>4367</v>
      </c>
      <c r="D1510" s="138" t="s">
        <v>7</v>
      </c>
      <c r="E1510" s="138" t="s">
        <v>7</v>
      </c>
      <c r="F1510" s="138" t="s">
        <v>8200</v>
      </c>
      <c r="H1510" s="138">
        <v>93</v>
      </c>
      <c r="I1510" s="138">
        <v>752</v>
      </c>
      <c r="J1510" s="138">
        <v>339</v>
      </c>
      <c r="K1510" s="138">
        <v>376</v>
      </c>
      <c r="N1510" s="138">
        <v>7</v>
      </c>
      <c r="O1510" s="138">
        <v>3</v>
      </c>
      <c r="R1510" s="138">
        <v>1</v>
      </c>
      <c r="S1510" s="138">
        <v>18</v>
      </c>
      <c r="T1510" s="138">
        <v>8</v>
      </c>
      <c r="U1510" s="138">
        <f t="shared" si="2560"/>
        <v>30</v>
      </c>
      <c r="W1510" s="139">
        <f t="shared" ref="W1510:AA1510" si="3028">J1510/$I1510</f>
        <v>0.45079787234042551</v>
      </c>
      <c r="X1510" s="139">
        <f t="shared" si="3028"/>
        <v>0.5</v>
      </c>
      <c r="Y1510" s="139">
        <f t="shared" si="3028"/>
        <v>0</v>
      </c>
      <c r="Z1510" s="139">
        <f t="shared" si="3028"/>
        <v>0</v>
      </c>
      <c r="AA1510" s="139">
        <f t="shared" si="3028"/>
        <v>9.3085106382978719E-3</v>
      </c>
      <c r="AB1510" s="139"/>
      <c r="AC1510" s="139">
        <f t="shared" si="2562"/>
        <v>3.9893617021276598E-2</v>
      </c>
      <c r="AD1510" s="139">
        <f t="shared" ref="AD1510:AI1510" si="3029">O1510/$I1510</f>
        <v>3.9893617021276593E-3</v>
      </c>
      <c r="AE1510" s="139">
        <f t="shared" si="3029"/>
        <v>0</v>
      </c>
      <c r="AF1510" s="139">
        <f t="shared" si="3029"/>
        <v>0</v>
      </c>
      <c r="AG1510" s="139">
        <f t="shared" si="3029"/>
        <v>1.3297872340425532E-3</v>
      </c>
      <c r="AH1510" s="139">
        <f t="shared" si="3029"/>
        <v>2.3936170212765957E-2</v>
      </c>
      <c r="AI1510" s="139">
        <f t="shared" si="3029"/>
        <v>1.0638297872340425E-2</v>
      </c>
    </row>
    <row r="1511" spans="2:35">
      <c r="B1511" s="138" t="s">
        <v>8077</v>
      </c>
      <c r="C1511" s="138" t="s">
        <v>4367</v>
      </c>
      <c r="D1511" s="138" t="s">
        <v>7</v>
      </c>
      <c r="E1511" s="138" t="s">
        <v>7</v>
      </c>
      <c r="F1511" s="138" t="s">
        <v>8200</v>
      </c>
      <c r="H1511" s="138">
        <v>94</v>
      </c>
      <c r="I1511" s="138">
        <v>961</v>
      </c>
      <c r="J1511" s="138">
        <v>401</v>
      </c>
      <c r="K1511" s="138">
        <v>500</v>
      </c>
      <c r="N1511" s="138">
        <v>15</v>
      </c>
      <c r="O1511" s="138">
        <v>8</v>
      </c>
      <c r="R1511" s="138">
        <v>1</v>
      </c>
      <c r="S1511" s="138">
        <v>20</v>
      </c>
      <c r="T1511" s="138">
        <v>16</v>
      </c>
      <c r="U1511" s="138">
        <f t="shared" si="2560"/>
        <v>45</v>
      </c>
      <c r="W1511" s="139">
        <f t="shared" ref="W1511:AA1511" si="3030">J1511/$I1511</f>
        <v>0.41727367325702391</v>
      </c>
      <c r="X1511" s="139">
        <f t="shared" si="3030"/>
        <v>0.52029136316337143</v>
      </c>
      <c r="Y1511" s="139">
        <f t="shared" si="3030"/>
        <v>0</v>
      </c>
      <c r="Z1511" s="139">
        <f t="shared" si="3030"/>
        <v>0</v>
      </c>
      <c r="AA1511" s="139">
        <f t="shared" si="3030"/>
        <v>1.5608740894901144E-2</v>
      </c>
      <c r="AB1511" s="139"/>
      <c r="AC1511" s="139">
        <f t="shared" si="2562"/>
        <v>4.6826222684703434E-2</v>
      </c>
      <c r="AD1511" s="139">
        <f t="shared" ref="AD1511:AI1511" si="3031">O1511/$I1511</f>
        <v>8.3246618106139446E-3</v>
      </c>
      <c r="AE1511" s="139">
        <f t="shared" si="3031"/>
        <v>0</v>
      </c>
      <c r="AF1511" s="139">
        <f t="shared" si="3031"/>
        <v>0</v>
      </c>
      <c r="AG1511" s="139">
        <f t="shared" si="3031"/>
        <v>1.0405827263267431E-3</v>
      </c>
      <c r="AH1511" s="139">
        <f t="shared" si="3031"/>
        <v>2.081165452653486E-2</v>
      </c>
      <c r="AI1511" s="139">
        <f t="shared" si="3031"/>
        <v>1.6649323621227889E-2</v>
      </c>
    </row>
    <row r="1512" spans="2:35">
      <c r="B1512" s="138" t="s">
        <v>8077</v>
      </c>
      <c r="C1512" s="138" t="s">
        <v>4367</v>
      </c>
      <c r="D1512" s="138" t="s">
        <v>7</v>
      </c>
      <c r="E1512" s="138" t="s">
        <v>7</v>
      </c>
      <c r="F1512" s="138" t="s">
        <v>8200</v>
      </c>
      <c r="H1512" s="138">
        <v>95</v>
      </c>
      <c r="I1512" s="138">
        <v>799</v>
      </c>
      <c r="J1512" s="138">
        <v>374</v>
      </c>
      <c r="K1512" s="138">
        <v>395</v>
      </c>
      <c r="N1512" s="138">
        <v>3</v>
      </c>
      <c r="O1512" s="138">
        <v>0</v>
      </c>
      <c r="R1512" s="138">
        <v>0</v>
      </c>
      <c r="S1512" s="138">
        <v>20</v>
      </c>
      <c r="T1512" s="138">
        <v>7</v>
      </c>
      <c r="U1512" s="138">
        <f t="shared" si="2560"/>
        <v>27</v>
      </c>
      <c r="W1512" s="139">
        <f t="shared" ref="W1512:AA1512" si="3032">J1512/$I1512</f>
        <v>0.46808510638297873</v>
      </c>
      <c r="X1512" s="139">
        <f t="shared" si="3032"/>
        <v>0.49436795994993743</v>
      </c>
      <c r="Y1512" s="139">
        <f t="shared" si="3032"/>
        <v>0</v>
      </c>
      <c r="Z1512" s="139">
        <f t="shared" si="3032"/>
        <v>0</v>
      </c>
      <c r="AA1512" s="139">
        <f t="shared" si="3032"/>
        <v>3.7546933667083854E-3</v>
      </c>
      <c r="AB1512" s="139"/>
      <c r="AC1512" s="139">
        <f t="shared" si="2562"/>
        <v>3.3792240300375469E-2</v>
      </c>
      <c r="AD1512" s="139">
        <f t="shared" ref="AD1512:AI1512" si="3033">O1512/$I1512</f>
        <v>0</v>
      </c>
      <c r="AE1512" s="139">
        <f t="shared" si="3033"/>
        <v>0</v>
      </c>
      <c r="AF1512" s="139">
        <f t="shared" si="3033"/>
        <v>0</v>
      </c>
      <c r="AG1512" s="139">
        <f t="shared" si="3033"/>
        <v>0</v>
      </c>
      <c r="AH1512" s="139">
        <f t="shared" si="3033"/>
        <v>2.5031289111389236E-2</v>
      </c>
      <c r="AI1512" s="139">
        <f t="shared" si="3033"/>
        <v>8.7609511889862324E-3</v>
      </c>
    </row>
    <row r="1513" spans="2:35">
      <c r="B1513" s="138" t="s">
        <v>8077</v>
      </c>
      <c r="C1513" s="138" t="s">
        <v>4367</v>
      </c>
      <c r="D1513" s="138" t="s">
        <v>7</v>
      </c>
      <c r="E1513" s="138" t="s">
        <v>7</v>
      </c>
      <c r="F1513" s="138" t="s">
        <v>8200</v>
      </c>
      <c r="H1513" s="138">
        <v>96</v>
      </c>
      <c r="I1513" s="138">
        <v>610</v>
      </c>
      <c r="J1513" s="138">
        <v>247</v>
      </c>
      <c r="K1513" s="138">
        <v>329</v>
      </c>
      <c r="N1513" s="138">
        <v>2</v>
      </c>
      <c r="O1513" s="138">
        <v>0</v>
      </c>
      <c r="R1513" s="138">
        <v>0</v>
      </c>
      <c r="S1513" s="138">
        <v>20</v>
      </c>
      <c r="T1513" s="138">
        <v>12</v>
      </c>
      <c r="U1513" s="138">
        <f t="shared" si="2560"/>
        <v>32</v>
      </c>
      <c r="W1513" s="139">
        <f t="shared" ref="W1513:AA1513" si="3034">J1513/$I1513</f>
        <v>0.40491803278688526</v>
      </c>
      <c r="X1513" s="139">
        <f t="shared" si="3034"/>
        <v>0.53934426229508192</v>
      </c>
      <c r="Y1513" s="139">
        <f t="shared" si="3034"/>
        <v>0</v>
      </c>
      <c r="Z1513" s="139">
        <f t="shared" si="3034"/>
        <v>0</v>
      </c>
      <c r="AA1513" s="139">
        <f t="shared" si="3034"/>
        <v>3.2786885245901639E-3</v>
      </c>
      <c r="AB1513" s="139"/>
      <c r="AC1513" s="139">
        <f t="shared" si="2562"/>
        <v>5.2459016393442623E-2</v>
      </c>
      <c r="AD1513" s="139">
        <f t="shared" ref="AD1513:AI1513" si="3035">O1513/$I1513</f>
        <v>0</v>
      </c>
      <c r="AE1513" s="139">
        <f t="shared" si="3035"/>
        <v>0</v>
      </c>
      <c r="AF1513" s="139">
        <f t="shared" si="3035"/>
        <v>0</v>
      </c>
      <c r="AG1513" s="139">
        <f t="shared" si="3035"/>
        <v>0</v>
      </c>
      <c r="AH1513" s="139">
        <f t="shared" si="3035"/>
        <v>3.2786885245901641E-2</v>
      </c>
      <c r="AI1513" s="139">
        <f t="shared" si="3035"/>
        <v>1.9672131147540985E-2</v>
      </c>
    </row>
    <row r="1514" spans="2:35">
      <c r="B1514" s="138" t="s">
        <v>8077</v>
      </c>
      <c r="C1514" s="138" t="s">
        <v>4367</v>
      </c>
      <c r="D1514" s="138" t="s">
        <v>7</v>
      </c>
      <c r="E1514" s="138" t="s">
        <v>7</v>
      </c>
      <c r="F1514" s="138" t="s">
        <v>8200</v>
      </c>
      <c r="H1514" s="138">
        <v>97</v>
      </c>
      <c r="I1514" s="138">
        <v>678</v>
      </c>
      <c r="J1514" s="138">
        <v>297</v>
      </c>
      <c r="K1514" s="138">
        <v>333</v>
      </c>
      <c r="N1514" s="138">
        <v>9</v>
      </c>
      <c r="O1514" s="138">
        <v>4</v>
      </c>
      <c r="R1514" s="138">
        <v>0</v>
      </c>
      <c r="S1514" s="138">
        <v>25</v>
      </c>
      <c r="T1514" s="138">
        <v>10</v>
      </c>
      <c r="U1514" s="138">
        <f t="shared" si="2560"/>
        <v>39</v>
      </c>
      <c r="W1514" s="139">
        <f t="shared" ref="W1514:AA1514" si="3036">J1514/$I1514</f>
        <v>0.43805309734513276</v>
      </c>
      <c r="X1514" s="139">
        <f t="shared" si="3036"/>
        <v>0.49115044247787609</v>
      </c>
      <c r="Y1514" s="139">
        <f t="shared" si="3036"/>
        <v>0</v>
      </c>
      <c r="Z1514" s="139">
        <f t="shared" si="3036"/>
        <v>0</v>
      </c>
      <c r="AA1514" s="139">
        <f t="shared" si="3036"/>
        <v>1.3274336283185841E-2</v>
      </c>
      <c r="AB1514" s="139"/>
      <c r="AC1514" s="139">
        <f t="shared" si="2562"/>
        <v>5.7522123893805309E-2</v>
      </c>
      <c r="AD1514" s="139">
        <f t="shared" ref="AD1514:AI1514" si="3037">O1514/$I1514</f>
        <v>5.8997050147492625E-3</v>
      </c>
      <c r="AE1514" s="139">
        <f t="shared" si="3037"/>
        <v>0</v>
      </c>
      <c r="AF1514" s="139">
        <f t="shared" si="3037"/>
        <v>0</v>
      </c>
      <c r="AG1514" s="139">
        <f t="shared" si="3037"/>
        <v>0</v>
      </c>
      <c r="AH1514" s="139">
        <f t="shared" si="3037"/>
        <v>3.687315634218289E-2</v>
      </c>
      <c r="AI1514" s="139">
        <f t="shared" si="3037"/>
        <v>1.4749262536873156E-2</v>
      </c>
    </row>
    <row r="1515" spans="2:35">
      <c r="B1515" s="138" t="s">
        <v>8077</v>
      </c>
      <c r="C1515" s="138" t="s">
        <v>4367</v>
      </c>
      <c r="D1515" s="138" t="s">
        <v>7</v>
      </c>
      <c r="E1515" s="138" t="s">
        <v>7</v>
      </c>
      <c r="F1515" s="138" t="s">
        <v>8200</v>
      </c>
      <c r="H1515" s="138">
        <v>98</v>
      </c>
      <c r="I1515" s="138">
        <v>628</v>
      </c>
      <c r="J1515" s="138">
        <v>251</v>
      </c>
      <c r="K1515" s="138">
        <v>349</v>
      </c>
      <c r="N1515" s="138">
        <v>10</v>
      </c>
      <c r="O1515" s="138">
        <v>1</v>
      </c>
      <c r="R1515" s="138">
        <v>0</v>
      </c>
      <c r="S1515" s="138">
        <v>11</v>
      </c>
      <c r="T1515" s="138">
        <v>6</v>
      </c>
      <c r="U1515" s="138">
        <f t="shared" si="2560"/>
        <v>18</v>
      </c>
      <c r="W1515" s="139">
        <f t="shared" ref="W1515:AA1515" si="3038">J1515/$I1515</f>
        <v>0.3996815286624204</v>
      </c>
      <c r="X1515" s="139">
        <f t="shared" si="3038"/>
        <v>0.55573248407643316</v>
      </c>
      <c r="Y1515" s="139">
        <f t="shared" si="3038"/>
        <v>0</v>
      </c>
      <c r="Z1515" s="139">
        <f t="shared" si="3038"/>
        <v>0</v>
      </c>
      <c r="AA1515" s="139">
        <f t="shared" si="3038"/>
        <v>1.5923566878980892E-2</v>
      </c>
      <c r="AB1515" s="139"/>
      <c r="AC1515" s="139">
        <f t="shared" si="2562"/>
        <v>2.8662420382165606E-2</v>
      </c>
      <c r="AD1515" s="139">
        <f t="shared" ref="AD1515:AI1515" si="3039">O1515/$I1515</f>
        <v>1.5923566878980893E-3</v>
      </c>
      <c r="AE1515" s="139">
        <f t="shared" si="3039"/>
        <v>0</v>
      </c>
      <c r="AF1515" s="139">
        <f t="shared" si="3039"/>
        <v>0</v>
      </c>
      <c r="AG1515" s="139">
        <f t="shared" si="3039"/>
        <v>0</v>
      </c>
      <c r="AH1515" s="139">
        <f t="shared" si="3039"/>
        <v>1.751592356687898E-2</v>
      </c>
      <c r="AI1515" s="139">
        <f t="shared" si="3039"/>
        <v>9.5541401273885346E-3</v>
      </c>
    </row>
    <row r="1516" spans="2:35">
      <c r="B1516" s="138" t="s">
        <v>8077</v>
      </c>
      <c r="C1516" s="138" t="s">
        <v>4367</v>
      </c>
      <c r="D1516" s="138" t="s">
        <v>7</v>
      </c>
      <c r="E1516" s="138" t="s">
        <v>7</v>
      </c>
      <c r="F1516" s="138" t="s">
        <v>8200</v>
      </c>
      <c r="H1516" s="138">
        <v>99</v>
      </c>
      <c r="I1516" s="138">
        <v>690</v>
      </c>
      <c r="J1516" s="138">
        <v>320</v>
      </c>
      <c r="K1516" s="138">
        <v>340</v>
      </c>
      <c r="N1516" s="138">
        <v>6</v>
      </c>
      <c r="O1516" s="138">
        <v>3</v>
      </c>
      <c r="R1516" s="138">
        <v>1</v>
      </c>
      <c r="S1516" s="138">
        <v>13</v>
      </c>
      <c r="T1516" s="138">
        <v>7</v>
      </c>
      <c r="U1516" s="138">
        <f t="shared" si="2560"/>
        <v>24</v>
      </c>
      <c r="W1516" s="139">
        <f t="shared" ref="W1516:AA1516" si="3040">J1516/$I1516</f>
        <v>0.46376811594202899</v>
      </c>
      <c r="X1516" s="139">
        <f t="shared" si="3040"/>
        <v>0.49275362318840582</v>
      </c>
      <c r="Y1516" s="139">
        <f t="shared" si="3040"/>
        <v>0</v>
      </c>
      <c r="Z1516" s="139">
        <f t="shared" si="3040"/>
        <v>0</v>
      </c>
      <c r="AA1516" s="139">
        <f t="shared" si="3040"/>
        <v>8.6956521739130436E-3</v>
      </c>
      <c r="AB1516" s="139"/>
      <c r="AC1516" s="139">
        <f t="shared" si="2562"/>
        <v>3.4782608695652174E-2</v>
      </c>
      <c r="AD1516" s="139">
        <f t="shared" ref="AD1516:AI1516" si="3041">O1516/$I1516</f>
        <v>4.3478260869565218E-3</v>
      </c>
      <c r="AE1516" s="139">
        <f t="shared" si="3041"/>
        <v>0</v>
      </c>
      <c r="AF1516" s="139">
        <f t="shared" si="3041"/>
        <v>0</v>
      </c>
      <c r="AG1516" s="139">
        <f t="shared" si="3041"/>
        <v>1.4492753623188406E-3</v>
      </c>
      <c r="AH1516" s="139">
        <f t="shared" si="3041"/>
        <v>1.8840579710144929E-2</v>
      </c>
      <c r="AI1516" s="139">
        <f t="shared" si="3041"/>
        <v>1.0144927536231883E-2</v>
      </c>
    </row>
    <row r="1517" spans="2:35">
      <c r="B1517" s="138" t="s">
        <v>8077</v>
      </c>
      <c r="C1517" s="138" t="s">
        <v>4367</v>
      </c>
      <c r="D1517" s="138" t="s">
        <v>7</v>
      </c>
      <c r="E1517" s="138" t="s">
        <v>7</v>
      </c>
      <c r="F1517" s="138" t="s">
        <v>8200</v>
      </c>
      <c r="H1517" s="138">
        <v>100</v>
      </c>
      <c r="I1517" s="138">
        <v>969</v>
      </c>
      <c r="J1517" s="138">
        <v>472</v>
      </c>
      <c r="K1517" s="138">
        <v>443</v>
      </c>
      <c r="N1517" s="138">
        <v>7</v>
      </c>
      <c r="O1517" s="138">
        <v>5</v>
      </c>
      <c r="R1517" s="138">
        <v>1</v>
      </c>
      <c r="S1517" s="138">
        <v>25</v>
      </c>
      <c r="T1517" s="138">
        <v>16</v>
      </c>
      <c r="U1517" s="138">
        <f t="shared" si="2560"/>
        <v>47</v>
      </c>
      <c r="W1517" s="139">
        <f t="shared" ref="W1517:AA1517" si="3042">J1517/$I1517</f>
        <v>0.48710010319917441</v>
      </c>
      <c r="X1517" s="139">
        <f t="shared" si="3042"/>
        <v>0.45717234262125905</v>
      </c>
      <c r="Y1517" s="139">
        <f t="shared" si="3042"/>
        <v>0</v>
      </c>
      <c r="Z1517" s="139">
        <f t="shared" si="3042"/>
        <v>0</v>
      </c>
      <c r="AA1517" s="139">
        <f t="shared" si="3042"/>
        <v>7.2239422084623322E-3</v>
      </c>
      <c r="AB1517" s="139"/>
      <c r="AC1517" s="139">
        <f t="shared" si="2562"/>
        <v>4.8503611971104234E-2</v>
      </c>
      <c r="AD1517" s="139">
        <f t="shared" ref="AD1517:AI1517" si="3043">O1517/$I1517</f>
        <v>5.1599587203302374E-3</v>
      </c>
      <c r="AE1517" s="139">
        <f t="shared" si="3043"/>
        <v>0</v>
      </c>
      <c r="AF1517" s="139">
        <f t="shared" si="3043"/>
        <v>0</v>
      </c>
      <c r="AG1517" s="139">
        <f t="shared" si="3043"/>
        <v>1.0319917440660474E-3</v>
      </c>
      <c r="AH1517" s="139">
        <f t="shared" si="3043"/>
        <v>2.5799793601651185E-2</v>
      </c>
      <c r="AI1517" s="139">
        <f t="shared" si="3043"/>
        <v>1.6511867905056758E-2</v>
      </c>
    </row>
    <row r="1518" spans="2:35">
      <c r="B1518" s="138" t="s">
        <v>8077</v>
      </c>
      <c r="C1518" s="138" t="s">
        <v>4367</v>
      </c>
      <c r="D1518" s="138" t="s">
        <v>7</v>
      </c>
      <c r="E1518" s="138" t="s">
        <v>7</v>
      </c>
      <c r="F1518" s="138" t="s">
        <v>8200</v>
      </c>
      <c r="H1518" s="138">
        <v>101</v>
      </c>
      <c r="I1518" s="138">
        <v>1080</v>
      </c>
      <c r="J1518" s="138">
        <v>477</v>
      </c>
      <c r="K1518" s="138">
        <v>500</v>
      </c>
      <c r="N1518" s="138">
        <v>8</v>
      </c>
      <c r="O1518" s="138">
        <v>9</v>
      </c>
      <c r="R1518" s="138">
        <v>2</v>
      </c>
      <c r="S1518" s="138">
        <v>53</v>
      </c>
      <c r="T1518" s="138">
        <v>31</v>
      </c>
      <c r="U1518" s="138">
        <f t="shared" si="2560"/>
        <v>95</v>
      </c>
      <c r="W1518" s="139">
        <f t="shared" ref="W1518:AA1518" si="3044">J1518/$I1518</f>
        <v>0.44166666666666665</v>
      </c>
      <c r="X1518" s="139">
        <f t="shared" si="3044"/>
        <v>0.46296296296296297</v>
      </c>
      <c r="Y1518" s="139">
        <f t="shared" si="3044"/>
        <v>0</v>
      </c>
      <c r="Z1518" s="139">
        <f t="shared" si="3044"/>
        <v>0</v>
      </c>
      <c r="AA1518" s="139">
        <f t="shared" si="3044"/>
        <v>7.4074074074074077E-3</v>
      </c>
      <c r="AB1518" s="139"/>
      <c r="AC1518" s="139">
        <f t="shared" si="2562"/>
        <v>8.7962962962962965E-2</v>
      </c>
      <c r="AD1518" s="139">
        <f t="shared" ref="AD1518:AI1518" si="3045">O1518/$I1518</f>
        <v>8.3333333333333332E-3</v>
      </c>
      <c r="AE1518" s="139">
        <f t="shared" si="3045"/>
        <v>0</v>
      </c>
      <c r="AF1518" s="139">
        <f t="shared" si="3045"/>
        <v>0</v>
      </c>
      <c r="AG1518" s="139">
        <f t="shared" si="3045"/>
        <v>1.8518518518518519E-3</v>
      </c>
      <c r="AH1518" s="139">
        <f t="shared" si="3045"/>
        <v>4.9074074074074076E-2</v>
      </c>
      <c r="AI1518" s="139">
        <f t="shared" si="3045"/>
        <v>2.8703703703703703E-2</v>
      </c>
    </row>
    <row r="1519" spans="2:35">
      <c r="B1519" s="138" t="s">
        <v>8077</v>
      </c>
      <c r="C1519" s="138" t="s">
        <v>4367</v>
      </c>
      <c r="D1519" s="138" t="s">
        <v>7</v>
      </c>
      <c r="E1519" s="138" t="s">
        <v>7</v>
      </c>
      <c r="F1519" s="138" t="s">
        <v>8200</v>
      </c>
      <c r="H1519" s="138">
        <v>102</v>
      </c>
      <c r="I1519" s="138">
        <v>819</v>
      </c>
      <c r="J1519" s="138">
        <v>427</v>
      </c>
      <c r="K1519" s="138">
        <v>324</v>
      </c>
      <c r="N1519" s="138">
        <v>11</v>
      </c>
      <c r="O1519" s="138">
        <v>6</v>
      </c>
      <c r="R1519" s="138">
        <v>1</v>
      </c>
      <c r="S1519" s="138">
        <v>31</v>
      </c>
      <c r="T1519" s="138">
        <v>19</v>
      </c>
      <c r="U1519" s="138">
        <f t="shared" si="2560"/>
        <v>57</v>
      </c>
      <c r="W1519" s="139">
        <f t="shared" ref="W1519:AA1519" si="3046">J1519/$I1519</f>
        <v>0.5213675213675214</v>
      </c>
      <c r="X1519" s="139">
        <f t="shared" si="3046"/>
        <v>0.39560439560439559</v>
      </c>
      <c r="Y1519" s="139">
        <f t="shared" si="3046"/>
        <v>0</v>
      </c>
      <c r="Z1519" s="139">
        <f t="shared" si="3046"/>
        <v>0</v>
      </c>
      <c r="AA1519" s="139">
        <f t="shared" si="3046"/>
        <v>1.3431013431013432E-2</v>
      </c>
      <c r="AB1519" s="139"/>
      <c r="AC1519" s="139">
        <f t="shared" si="2562"/>
        <v>6.95970695970696E-2</v>
      </c>
      <c r="AD1519" s="139">
        <f t="shared" ref="AD1519:AI1519" si="3047">O1519/$I1519</f>
        <v>7.326007326007326E-3</v>
      </c>
      <c r="AE1519" s="139">
        <f t="shared" si="3047"/>
        <v>0</v>
      </c>
      <c r="AF1519" s="139">
        <f t="shared" si="3047"/>
        <v>0</v>
      </c>
      <c r="AG1519" s="139">
        <f t="shared" si="3047"/>
        <v>1.221001221001221E-3</v>
      </c>
      <c r="AH1519" s="139">
        <f t="shared" si="3047"/>
        <v>3.7851037851037848E-2</v>
      </c>
      <c r="AI1519" s="139">
        <f t="shared" si="3047"/>
        <v>2.31990231990232E-2</v>
      </c>
    </row>
    <row r="1520" spans="2:35">
      <c r="B1520" s="138" t="s">
        <v>8077</v>
      </c>
      <c r="C1520" s="138" t="s">
        <v>4367</v>
      </c>
      <c r="D1520" s="138" t="s">
        <v>7</v>
      </c>
      <c r="E1520" s="138" t="s">
        <v>7</v>
      </c>
      <c r="F1520" s="138" t="s">
        <v>8200</v>
      </c>
      <c r="H1520" s="138">
        <v>103</v>
      </c>
      <c r="I1520" s="138">
        <v>715</v>
      </c>
      <c r="J1520" s="138">
        <v>381</v>
      </c>
      <c r="K1520" s="138">
        <v>301</v>
      </c>
      <c r="N1520" s="138">
        <v>7</v>
      </c>
      <c r="O1520" s="138">
        <v>2</v>
      </c>
      <c r="R1520" s="138">
        <v>0</v>
      </c>
      <c r="S1520" s="138">
        <v>14</v>
      </c>
      <c r="T1520" s="138">
        <v>10</v>
      </c>
      <c r="U1520" s="138">
        <f t="shared" si="2560"/>
        <v>26</v>
      </c>
      <c r="W1520" s="139">
        <f t="shared" ref="W1520:AA1520" si="3048">J1520/$I1520</f>
        <v>0.53286713286713283</v>
      </c>
      <c r="X1520" s="139">
        <f t="shared" si="3048"/>
        <v>0.42097902097902096</v>
      </c>
      <c r="Y1520" s="139">
        <f t="shared" si="3048"/>
        <v>0</v>
      </c>
      <c r="Z1520" s="139">
        <f t="shared" si="3048"/>
        <v>0</v>
      </c>
      <c r="AA1520" s="139">
        <f t="shared" si="3048"/>
        <v>9.7902097902097911E-3</v>
      </c>
      <c r="AB1520" s="139"/>
      <c r="AC1520" s="139">
        <f t="shared" si="2562"/>
        <v>3.6363636363636362E-2</v>
      </c>
      <c r="AD1520" s="139">
        <f t="shared" ref="AD1520:AI1520" si="3049">O1520/$I1520</f>
        <v>2.7972027972027972E-3</v>
      </c>
      <c r="AE1520" s="139">
        <f t="shared" si="3049"/>
        <v>0</v>
      </c>
      <c r="AF1520" s="139">
        <f t="shared" si="3049"/>
        <v>0</v>
      </c>
      <c r="AG1520" s="139">
        <f t="shared" si="3049"/>
        <v>0</v>
      </c>
      <c r="AH1520" s="139">
        <f t="shared" si="3049"/>
        <v>1.9580419580419582E-2</v>
      </c>
      <c r="AI1520" s="139">
        <f t="shared" si="3049"/>
        <v>1.3986013986013986E-2</v>
      </c>
    </row>
    <row r="1521" spans="2:35">
      <c r="B1521" s="138" t="s">
        <v>8077</v>
      </c>
      <c r="C1521" s="138" t="s">
        <v>4367</v>
      </c>
      <c r="D1521" s="138" t="s">
        <v>7</v>
      </c>
      <c r="E1521" s="138" t="s">
        <v>7</v>
      </c>
      <c r="F1521" s="138" t="s">
        <v>1532</v>
      </c>
      <c r="H1521" s="138">
        <v>104</v>
      </c>
      <c r="I1521" s="138">
        <v>828</v>
      </c>
      <c r="J1521" s="138">
        <v>464</v>
      </c>
      <c r="K1521" s="138">
        <v>314</v>
      </c>
      <c r="N1521" s="138">
        <v>2</v>
      </c>
      <c r="O1521" s="138">
        <v>3</v>
      </c>
      <c r="R1521" s="138">
        <v>1</v>
      </c>
      <c r="S1521" s="138">
        <v>24</v>
      </c>
      <c r="T1521" s="138">
        <v>20</v>
      </c>
      <c r="U1521" s="138">
        <f t="shared" si="2560"/>
        <v>48</v>
      </c>
      <c r="W1521" s="139">
        <f t="shared" ref="W1521:AA1521" si="3050">J1521/$I1521</f>
        <v>0.56038647342995174</v>
      </c>
      <c r="X1521" s="139">
        <f t="shared" si="3050"/>
        <v>0.37922705314009664</v>
      </c>
      <c r="Y1521" s="139">
        <f t="shared" si="3050"/>
        <v>0</v>
      </c>
      <c r="Z1521" s="139">
        <f t="shared" si="3050"/>
        <v>0</v>
      </c>
      <c r="AA1521" s="139">
        <f t="shared" si="3050"/>
        <v>2.4154589371980675E-3</v>
      </c>
      <c r="AB1521" s="139"/>
      <c r="AC1521" s="139">
        <f t="shared" si="2562"/>
        <v>5.7971014492753624E-2</v>
      </c>
      <c r="AD1521" s="139">
        <f t="shared" ref="AD1521:AI1521" si="3051">O1521/$I1521</f>
        <v>3.6231884057971015E-3</v>
      </c>
      <c r="AE1521" s="139">
        <f t="shared" si="3051"/>
        <v>0</v>
      </c>
      <c r="AF1521" s="139">
        <f t="shared" si="3051"/>
        <v>0</v>
      </c>
      <c r="AG1521" s="139">
        <f t="shared" si="3051"/>
        <v>1.2077294685990338E-3</v>
      </c>
      <c r="AH1521" s="139">
        <f t="shared" si="3051"/>
        <v>2.8985507246376812E-2</v>
      </c>
      <c r="AI1521" s="139">
        <f t="shared" si="3051"/>
        <v>2.4154589371980676E-2</v>
      </c>
    </row>
    <row r="1522" spans="2:35">
      <c r="B1522" s="138" t="s">
        <v>8077</v>
      </c>
      <c r="C1522" s="138" t="s">
        <v>4367</v>
      </c>
      <c r="D1522" s="138" t="s">
        <v>7</v>
      </c>
      <c r="E1522" s="138" t="s">
        <v>7</v>
      </c>
      <c r="F1522" s="138" t="s">
        <v>1532</v>
      </c>
      <c r="H1522" s="138">
        <v>105</v>
      </c>
      <c r="I1522" s="138">
        <v>642</v>
      </c>
      <c r="J1522" s="138">
        <v>343</v>
      </c>
      <c r="K1522" s="138">
        <v>282</v>
      </c>
      <c r="N1522" s="138">
        <v>11</v>
      </c>
      <c r="O1522" s="138">
        <v>1</v>
      </c>
      <c r="R1522" s="138">
        <v>0</v>
      </c>
      <c r="S1522" s="138">
        <v>1</v>
      </c>
      <c r="T1522" s="138">
        <v>4</v>
      </c>
      <c r="U1522" s="138">
        <f t="shared" si="2560"/>
        <v>6</v>
      </c>
      <c r="W1522" s="139">
        <f t="shared" ref="W1522:AA1522" si="3052">J1522/$I1522</f>
        <v>0.53426791277258567</v>
      </c>
      <c r="X1522" s="139">
        <f t="shared" si="3052"/>
        <v>0.43925233644859812</v>
      </c>
      <c r="Y1522" s="139">
        <f t="shared" si="3052"/>
        <v>0</v>
      </c>
      <c r="Z1522" s="139">
        <f t="shared" si="3052"/>
        <v>0</v>
      </c>
      <c r="AA1522" s="139">
        <f t="shared" si="3052"/>
        <v>1.7133956386292833E-2</v>
      </c>
      <c r="AB1522" s="139"/>
      <c r="AC1522" s="139">
        <f t="shared" si="2562"/>
        <v>9.3457943925233638E-3</v>
      </c>
      <c r="AD1522" s="139">
        <f t="shared" ref="AD1522:AI1522" si="3053">O1522/$I1522</f>
        <v>1.557632398753894E-3</v>
      </c>
      <c r="AE1522" s="139">
        <f t="shared" si="3053"/>
        <v>0</v>
      </c>
      <c r="AF1522" s="139">
        <f t="shared" si="3053"/>
        <v>0</v>
      </c>
      <c r="AG1522" s="139">
        <f t="shared" si="3053"/>
        <v>0</v>
      </c>
      <c r="AH1522" s="139">
        <f t="shared" si="3053"/>
        <v>1.557632398753894E-3</v>
      </c>
      <c r="AI1522" s="139">
        <f t="shared" si="3053"/>
        <v>6.2305295950155761E-3</v>
      </c>
    </row>
    <row r="1523" spans="2:35">
      <c r="B1523" s="138" t="s">
        <v>8077</v>
      </c>
      <c r="C1523" s="138" t="s">
        <v>4367</v>
      </c>
      <c r="D1523" s="138" t="s">
        <v>7</v>
      </c>
      <c r="E1523" s="138" t="s">
        <v>7</v>
      </c>
      <c r="F1523" s="138" t="s">
        <v>1532</v>
      </c>
      <c r="H1523" s="138">
        <v>106</v>
      </c>
      <c r="I1523" s="138">
        <v>1048</v>
      </c>
      <c r="J1523" s="138">
        <v>571</v>
      </c>
      <c r="K1523" s="138">
        <v>433</v>
      </c>
      <c r="N1523" s="138">
        <v>8</v>
      </c>
      <c r="O1523" s="138">
        <v>3</v>
      </c>
      <c r="R1523" s="138">
        <v>1</v>
      </c>
      <c r="S1523" s="138">
        <v>21</v>
      </c>
      <c r="T1523" s="138">
        <v>11</v>
      </c>
      <c r="U1523" s="138">
        <f t="shared" si="2560"/>
        <v>36</v>
      </c>
      <c r="W1523" s="139">
        <f t="shared" ref="W1523:AA1523" si="3054">J1523/$I1523</f>
        <v>0.54484732824427484</v>
      </c>
      <c r="X1523" s="139">
        <f t="shared" si="3054"/>
        <v>0.41316793893129772</v>
      </c>
      <c r="Y1523" s="139">
        <f t="shared" si="3054"/>
        <v>0</v>
      </c>
      <c r="Z1523" s="139">
        <f t="shared" si="3054"/>
        <v>0</v>
      </c>
      <c r="AA1523" s="139">
        <f t="shared" si="3054"/>
        <v>7.6335877862595417E-3</v>
      </c>
      <c r="AB1523" s="139"/>
      <c r="AC1523" s="139">
        <f t="shared" si="2562"/>
        <v>3.4351145038167941E-2</v>
      </c>
      <c r="AD1523" s="139">
        <f t="shared" ref="AD1523:AI1523" si="3055">O1523/$I1523</f>
        <v>2.8625954198473282E-3</v>
      </c>
      <c r="AE1523" s="139">
        <f t="shared" si="3055"/>
        <v>0</v>
      </c>
      <c r="AF1523" s="139">
        <f t="shared" si="3055"/>
        <v>0</v>
      </c>
      <c r="AG1523" s="139">
        <f t="shared" si="3055"/>
        <v>9.5419847328244271E-4</v>
      </c>
      <c r="AH1523" s="139">
        <f t="shared" si="3055"/>
        <v>2.0038167938931296E-2</v>
      </c>
      <c r="AI1523" s="139">
        <f t="shared" si="3055"/>
        <v>1.049618320610687E-2</v>
      </c>
    </row>
    <row r="1524" spans="2:35">
      <c r="B1524" s="138" t="s">
        <v>8077</v>
      </c>
      <c r="C1524" s="138" t="s">
        <v>4367</v>
      </c>
      <c r="D1524" s="138" t="s">
        <v>7</v>
      </c>
      <c r="E1524" s="138" t="s">
        <v>785</v>
      </c>
      <c r="F1524" s="138" t="s">
        <v>785</v>
      </c>
      <c r="H1524" s="138">
        <v>107</v>
      </c>
      <c r="I1524" s="138">
        <v>982</v>
      </c>
      <c r="J1524" s="138">
        <v>439</v>
      </c>
      <c r="K1524" s="138">
        <v>502</v>
      </c>
      <c r="N1524" s="138">
        <v>11</v>
      </c>
      <c r="O1524" s="138">
        <v>6</v>
      </c>
      <c r="R1524" s="138">
        <v>1</v>
      </c>
      <c r="S1524" s="138">
        <v>16</v>
      </c>
      <c r="T1524" s="138">
        <v>7</v>
      </c>
      <c r="U1524" s="138">
        <f t="shared" si="2560"/>
        <v>30</v>
      </c>
      <c r="W1524" s="139">
        <f t="shared" ref="W1524:AA1524" si="3056">J1524/$I1524</f>
        <v>0.4470468431771894</v>
      </c>
      <c r="X1524" s="139">
        <f t="shared" si="3056"/>
        <v>0.51120162932790225</v>
      </c>
      <c r="Y1524" s="139">
        <f t="shared" si="3056"/>
        <v>0</v>
      </c>
      <c r="Z1524" s="139">
        <f t="shared" si="3056"/>
        <v>0</v>
      </c>
      <c r="AA1524" s="139">
        <f t="shared" si="3056"/>
        <v>1.1201629327902239E-2</v>
      </c>
      <c r="AB1524" s="139"/>
      <c r="AC1524" s="139">
        <f t="shared" si="2562"/>
        <v>3.0549898167006109E-2</v>
      </c>
      <c r="AD1524" s="139">
        <f t="shared" ref="AD1524:AI1524" si="3057">O1524/$I1524</f>
        <v>6.1099796334012219E-3</v>
      </c>
      <c r="AE1524" s="139">
        <f t="shared" si="3057"/>
        <v>0</v>
      </c>
      <c r="AF1524" s="139">
        <f t="shared" si="3057"/>
        <v>0</v>
      </c>
      <c r="AG1524" s="139">
        <f t="shared" si="3057"/>
        <v>1.0183299389002036E-3</v>
      </c>
      <c r="AH1524" s="139">
        <f t="shared" si="3057"/>
        <v>1.6293279022403257E-2</v>
      </c>
      <c r="AI1524" s="139">
        <f t="shared" si="3057"/>
        <v>7.1283095723014261E-3</v>
      </c>
    </row>
    <row r="1525" spans="2:35">
      <c r="B1525" s="138" t="s">
        <v>8077</v>
      </c>
      <c r="C1525" s="138" t="s">
        <v>4367</v>
      </c>
      <c r="D1525" s="138" t="s">
        <v>7</v>
      </c>
      <c r="E1525" s="138" t="s">
        <v>785</v>
      </c>
      <c r="F1525" s="138" t="s">
        <v>785</v>
      </c>
      <c r="H1525" s="138">
        <v>108</v>
      </c>
      <c r="I1525" s="138">
        <v>850</v>
      </c>
      <c r="J1525" s="138">
        <v>394</v>
      </c>
      <c r="K1525" s="138">
        <v>405</v>
      </c>
      <c r="N1525" s="138">
        <v>16</v>
      </c>
      <c r="O1525" s="138">
        <v>2</v>
      </c>
      <c r="R1525" s="138">
        <v>1</v>
      </c>
      <c r="S1525" s="138">
        <v>14</v>
      </c>
      <c r="T1525" s="138">
        <v>18</v>
      </c>
      <c r="U1525" s="138">
        <f t="shared" si="2560"/>
        <v>35</v>
      </c>
      <c r="W1525" s="139">
        <f t="shared" ref="W1525:AA1525" si="3058">J1525/$I1525</f>
        <v>0.46352941176470586</v>
      </c>
      <c r="X1525" s="139">
        <f t="shared" si="3058"/>
        <v>0.47647058823529409</v>
      </c>
      <c r="Y1525" s="139">
        <f t="shared" si="3058"/>
        <v>0</v>
      </c>
      <c r="Z1525" s="139">
        <f t="shared" si="3058"/>
        <v>0</v>
      </c>
      <c r="AA1525" s="139">
        <f t="shared" si="3058"/>
        <v>1.8823529411764704E-2</v>
      </c>
      <c r="AB1525" s="139"/>
      <c r="AC1525" s="139">
        <f t="shared" si="2562"/>
        <v>4.1176470588235294E-2</v>
      </c>
      <c r="AD1525" s="139">
        <f t="shared" ref="AD1525:AI1525" si="3059">O1525/$I1525</f>
        <v>2.352941176470588E-3</v>
      </c>
      <c r="AE1525" s="139">
        <f t="shared" si="3059"/>
        <v>0</v>
      </c>
      <c r="AF1525" s="139">
        <f t="shared" si="3059"/>
        <v>0</v>
      </c>
      <c r="AG1525" s="139">
        <f t="shared" si="3059"/>
        <v>1.176470588235294E-3</v>
      </c>
      <c r="AH1525" s="139">
        <f t="shared" si="3059"/>
        <v>1.6470588235294119E-2</v>
      </c>
      <c r="AI1525" s="139">
        <f t="shared" si="3059"/>
        <v>2.1176470588235293E-2</v>
      </c>
    </row>
    <row r="1526" spans="2:35">
      <c r="B1526" s="138" t="s">
        <v>8077</v>
      </c>
      <c r="C1526" s="138" t="s">
        <v>4367</v>
      </c>
      <c r="D1526" s="138" t="s">
        <v>7</v>
      </c>
      <c r="E1526" s="138" t="s">
        <v>785</v>
      </c>
      <c r="F1526" s="138" t="s">
        <v>785</v>
      </c>
      <c r="H1526" s="138">
        <v>109</v>
      </c>
      <c r="I1526" s="138">
        <v>962</v>
      </c>
      <c r="J1526" s="138">
        <v>387</v>
      </c>
      <c r="K1526" s="138">
        <v>517</v>
      </c>
      <c r="N1526" s="138">
        <v>13</v>
      </c>
      <c r="O1526" s="138">
        <v>4</v>
      </c>
      <c r="R1526" s="138">
        <v>0</v>
      </c>
      <c r="S1526" s="138">
        <v>19</v>
      </c>
      <c r="T1526" s="138">
        <v>22</v>
      </c>
      <c r="U1526" s="138">
        <f t="shared" si="2560"/>
        <v>45</v>
      </c>
      <c r="W1526" s="139">
        <f t="shared" ref="W1526:AA1526" si="3060">J1526/$I1526</f>
        <v>0.40228690228690228</v>
      </c>
      <c r="X1526" s="139">
        <f t="shared" si="3060"/>
        <v>0.53742203742203742</v>
      </c>
      <c r="Y1526" s="139">
        <f t="shared" si="3060"/>
        <v>0</v>
      </c>
      <c r="Z1526" s="139">
        <f t="shared" si="3060"/>
        <v>0</v>
      </c>
      <c r="AA1526" s="139">
        <f t="shared" si="3060"/>
        <v>1.3513513513513514E-2</v>
      </c>
      <c r="AB1526" s="139"/>
      <c r="AC1526" s="139">
        <f t="shared" si="2562"/>
        <v>4.677754677754678E-2</v>
      </c>
      <c r="AD1526" s="139">
        <f t="shared" ref="AD1526:AI1526" si="3061">O1526/$I1526</f>
        <v>4.1580041580041582E-3</v>
      </c>
      <c r="AE1526" s="139">
        <f t="shared" si="3061"/>
        <v>0</v>
      </c>
      <c r="AF1526" s="139">
        <f t="shared" si="3061"/>
        <v>0</v>
      </c>
      <c r="AG1526" s="139">
        <f t="shared" si="3061"/>
        <v>0</v>
      </c>
      <c r="AH1526" s="139">
        <f t="shared" si="3061"/>
        <v>1.9750519750519752E-2</v>
      </c>
      <c r="AI1526" s="139">
        <f t="shared" si="3061"/>
        <v>2.286902286902287E-2</v>
      </c>
    </row>
    <row r="1527" spans="2:35">
      <c r="B1527" s="138" t="s">
        <v>8077</v>
      </c>
      <c r="C1527" s="138" t="s">
        <v>4367</v>
      </c>
      <c r="D1527" s="138" t="s">
        <v>7</v>
      </c>
      <c r="E1527" s="138" t="s">
        <v>785</v>
      </c>
      <c r="F1527" s="138" t="s">
        <v>785</v>
      </c>
      <c r="H1527" s="138">
        <v>110</v>
      </c>
      <c r="I1527" s="138">
        <v>831</v>
      </c>
      <c r="J1527" s="138">
        <v>440</v>
      </c>
      <c r="K1527" s="138">
        <v>356</v>
      </c>
      <c r="N1527" s="138">
        <v>7</v>
      </c>
      <c r="O1527" s="138">
        <v>2</v>
      </c>
      <c r="R1527" s="138">
        <v>0</v>
      </c>
      <c r="S1527" s="138">
        <v>12</v>
      </c>
      <c r="T1527" s="138">
        <v>14</v>
      </c>
      <c r="U1527" s="138">
        <f t="shared" si="2560"/>
        <v>28</v>
      </c>
      <c r="W1527" s="139">
        <f t="shared" ref="W1527:AA1527" si="3062">J1527/$I1527</f>
        <v>0.52948255114320097</v>
      </c>
      <c r="X1527" s="139">
        <f t="shared" si="3062"/>
        <v>0.42839951865222625</v>
      </c>
      <c r="Y1527" s="139">
        <f t="shared" si="3062"/>
        <v>0</v>
      </c>
      <c r="Z1527" s="139">
        <f t="shared" si="3062"/>
        <v>0</v>
      </c>
      <c r="AA1527" s="139">
        <f t="shared" si="3062"/>
        <v>8.4235860409145602E-3</v>
      </c>
      <c r="AB1527" s="139"/>
      <c r="AC1527" s="139">
        <f t="shared" si="2562"/>
        <v>3.3694344163658241E-2</v>
      </c>
      <c r="AD1527" s="139">
        <f t="shared" ref="AD1527:AI1527" si="3063">O1527/$I1527</f>
        <v>2.4067388688327317E-3</v>
      </c>
      <c r="AE1527" s="139">
        <f t="shared" si="3063"/>
        <v>0</v>
      </c>
      <c r="AF1527" s="139">
        <f t="shared" si="3063"/>
        <v>0</v>
      </c>
      <c r="AG1527" s="139">
        <f t="shared" si="3063"/>
        <v>0</v>
      </c>
      <c r="AH1527" s="139">
        <f t="shared" si="3063"/>
        <v>1.444043321299639E-2</v>
      </c>
      <c r="AI1527" s="139">
        <f t="shared" si="3063"/>
        <v>1.684717208182912E-2</v>
      </c>
    </row>
    <row r="1528" spans="2:35">
      <c r="B1528" s="138" t="s">
        <v>8077</v>
      </c>
      <c r="C1528" s="138" t="s">
        <v>4367</v>
      </c>
      <c r="D1528" s="138" t="s">
        <v>7</v>
      </c>
      <c r="E1528" s="138" t="s">
        <v>785</v>
      </c>
      <c r="F1528" s="138" t="s">
        <v>785</v>
      </c>
      <c r="H1528" s="138">
        <v>111</v>
      </c>
      <c r="I1528" s="138">
        <v>944</v>
      </c>
      <c r="J1528" s="138">
        <v>520</v>
      </c>
      <c r="K1528" s="138">
        <v>374</v>
      </c>
      <c r="N1528" s="138">
        <v>10</v>
      </c>
      <c r="O1528" s="138">
        <v>5</v>
      </c>
      <c r="R1528" s="138">
        <v>1</v>
      </c>
      <c r="S1528" s="138">
        <v>19</v>
      </c>
      <c r="T1528" s="138">
        <v>15</v>
      </c>
      <c r="U1528" s="138">
        <f t="shared" si="2560"/>
        <v>40</v>
      </c>
      <c r="W1528" s="139">
        <f t="shared" ref="W1528:AA1528" si="3064">J1528/$I1528</f>
        <v>0.55084745762711862</v>
      </c>
      <c r="X1528" s="139">
        <f t="shared" si="3064"/>
        <v>0.3961864406779661</v>
      </c>
      <c r="Y1528" s="139">
        <f t="shared" si="3064"/>
        <v>0</v>
      </c>
      <c r="Z1528" s="139">
        <f t="shared" si="3064"/>
        <v>0</v>
      </c>
      <c r="AA1528" s="139">
        <f t="shared" si="3064"/>
        <v>1.059322033898305E-2</v>
      </c>
      <c r="AB1528" s="139"/>
      <c r="AC1528" s="139">
        <f t="shared" si="2562"/>
        <v>4.2372881355932202E-2</v>
      </c>
      <c r="AD1528" s="139">
        <f t="shared" ref="AD1528:AI1528" si="3065">O1528/$I1528</f>
        <v>5.2966101694915252E-3</v>
      </c>
      <c r="AE1528" s="139">
        <f t="shared" si="3065"/>
        <v>0</v>
      </c>
      <c r="AF1528" s="139">
        <f t="shared" si="3065"/>
        <v>0</v>
      </c>
      <c r="AG1528" s="139">
        <f t="shared" si="3065"/>
        <v>1.0593220338983051E-3</v>
      </c>
      <c r="AH1528" s="139">
        <f t="shared" si="3065"/>
        <v>2.0127118644067795E-2</v>
      </c>
      <c r="AI1528" s="139">
        <f t="shared" si="3065"/>
        <v>1.5889830508474576E-2</v>
      </c>
    </row>
    <row r="1529" spans="2:35">
      <c r="B1529" s="138" t="s">
        <v>8077</v>
      </c>
      <c r="C1529" s="138" t="s">
        <v>4367</v>
      </c>
      <c r="D1529" s="138" t="s">
        <v>7</v>
      </c>
      <c r="E1529" s="138" t="s">
        <v>785</v>
      </c>
      <c r="F1529" s="138" t="s">
        <v>785</v>
      </c>
      <c r="H1529" s="138">
        <v>112</v>
      </c>
      <c r="I1529" s="138">
        <v>748</v>
      </c>
      <c r="J1529" s="138">
        <v>436</v>
      </c>
      <c r="K1529" s="138">
        <v>279</v>
      </c>
      <c r="N1529" s="138">
        <v>4</v>
      </c>
      <c r="O1529" s="138">
        <v>5</v>
      </c>
      <c r="R1529" s="138">
        <v>0</v>
      </c>
      <c r="S1529" s="138">
        <v>17</v>
      </c>
      <c r="T1529" s="138">
        <v>7</v>
      </c>
      <c r="U1529" s="138">
        <f t="shared" si="2560"/>
        <v>29</v>
      </c>
      <c r="W1529" s="139">
        <f t="shared" ref="W1529:AA1529" si="3066">J1529/$I1529</f>
        <v>0.58288770053475936</v>
      </c>
      <c r="X1529" s="139">
        <f t="shared" si="3066"/>
        <v>0.3729946524064171</v>
      </c>
      <c r="Y1529" s="139">
        <f t="shared" si="3066"/>
        <v>0</v>
      </c>
      <c r="Z1529" s="139">
        <f t="shared" si="3066"/>
        <v>0</v>
      </c>
      <c r="AA1529" s="139">
        <f t="shared" si="3066"/>
        <v>5.3475935828877002E-3</v>
      </c>
      <c r="AB1529" s="139"/>
      <c r="AC1529" s="139">
        <f t="shared" si="2562"/>
        <v>3.8770053475935831E-2</v>
      </c>
      <c r="AD1529" s="139">
        <f t="shared" ref="AD1529:AI1529" si="3067">O1529/$I1529</f>
        <v>6.6844919786096255E-3</v>
      </c>
      <c r="AE1529" s="139">
        <f t="shared" si="3067"/>
        <v>0</v>
      </c>
      <c r="AF1529" s="139">
        <f t="shared" si="3067"/>
        <v>0</v>
      </c>
      <c r="AG1529" s="139">
        <f t="shared" si="3067"/>
        <v>0</v>
      </c>
      <c r="AH1529" s="139">
        <f t="shared" si="3067"/>
        <v>2.2727272727272728E-2</v>
      </c>
      <c r="AI1529" s="139">
        <f t="shared" si="3067"/>
        <v>9.3582887700534752E-3</v>
      </c>
    </row>
    <row r="1530" spans="2:35">
      <c r="B1530" s="138" t="s">
        <v>8077</v>
      </c>
      <c r="C1530" s="138" t="s">
        <v>4367</v>
      </c>
      <c r="D1530" s="138" t="s">
        <v>7</v>
      </c>
      <c r="E1530" s="138" t="s">
        <v>785</v>
      </c>
      <c r="F1530" s="138" t="s">
        <v>785</v>
      </c>
      <c r="H1530" s="138">
        <v>113</v>
      </c>
      <c r="I1530" s="138">
        <v>957</v>
      </c>
      <c r="J1530" s="138">
        <v>555</v>
      </c>
      <c r="K1530" s="138">
        <v>366</v>
      </c>
      <c r="N1530" s="138">
        <v>8</v>
      </c>
      <c r="O1530" s="138">
        <v>1</v>
      </c>
      <c r="R1530" s="138">
        <v>0</v>
      </c>
      <c r="S1530" s="138">
        <v>14</v>
      </c>
      <c r="T1530" s="138">
        <v>13</v>
      </c>
      <c r="U1530" s="138">
        <f t="shared" si="2560"/>
        <v>28</v>
      </c>
      <c r="W1530" s="139">
        <f t="shared" ref="W1530:AA1530" si="3068">J1530/$I1530</f>
        <v>0.57993730407523514</v>
      </c>
      <c r="X1530" s="139">
        <f t="shared" si="3068"/>
        <v>0.38244514106583072</v>
      </c>
      <c r="Y1530" s="139">
        <f t="shared" si="3068"/>
        <v>0</v>
      </c>
      <c r="Z1530" s="139">
        <f t="shared" si="3068"/>
        <v>0</v>
      </c>
      <c r="AA1530" s="139">
        <f t="shared" si="3068"/>
        <v>8.3594566353187051E-3</v>
      </c>
      <c r="AB1530" s="139"/>
      <c r="AC1530" s="139">
        <f t="shared" si="2562"/>
        <v>2.9258098223615466E-2</v>
      </c>
      <c r="AD1530" s="139">
        <f t="shared" ref="AD1530:AI1530" si="3069">O1530/$I1530</f>
        <v>1.0449320794148381E-3</v>
      </c>
      <c r="AE1530" s="139">
        <f t="shared" si="3069"/>
        <v>0</v>
      </c>
      <c r="AF1530" s="139">
        <f t="shared" si="3069"/>
        <v>0</v>
      </c>
      <c r="AG1530" s="139">
        <f t="shared" si="3069"/>
        <v>0</v>
      </c>
      <c r="AH1530" s="139">
        <f t="shared" si="3069"/>
        <v>1.4629049111807733E-2</v>
      </c>
      <c r="AI1530" s="139">
        <f t="shared" si="3069"/>
        <v>1.3584117032392894E-2</v>
      </c>
    </row>
    <row r="1531" spans="2:35">
      <c r="B1531" s="138" t="s">
        <v>8077</v>
      </c>
      <c r="C1531" s="138" t="s">
        <v>4367</v>
      </c>
      <c r="D1531" s="138" t="s">
        <v>7</v>
      </c>
      <c r="E1531" s="138" t="s">
        <v>785</v>
      </c>
      <c r="F1531" s="138" t="s">
        <v>785</v>
      </c>
      <c r="H1531" s="138">
        <v>114</v>
      </c>
      <c r="I1531" s="138">
        <v>918</v>
      </c>
      <c r="J1531" s="138">
        <v>515</v>
      </c>
      <c r="K1531" s="138">
        <v>366</v>
      </c>
      <c r="N1531" s="138">
        <v>8</v>
      </c>
      <c r="O1531" s="138">
        <v>3</v>
      </c>
      <c r="R1531" s="138">
        <v>0</v>
      </c>
      <c r="S1531" s="138">
        <v>19</v>
      </c>
      <c r="T1531" s="138">
        <v>7</v>
      </c>
      <c r="U1531" s="138">
        <f t="shared" si="2560"/>
        <v>29</v>
      </c>
      <c r="W1531" s="139">
        <f t="shared" ref="W1531:AA1531" si="3070">J1531/$I1531</f>
        <v>0.56100217864923752</v>
      </c>
      <c r="X1531" s="139">
        <f t="shared" si="3070"/>
        <v>0.39869281045751637</v>
      </c>
      <c r="Y1531" s="139">
        <f t="shared" si="3070"/>
        <v>0</v>
      </c>
      <c r="Z1531" s="139">
        <f t="shared" si="3070"/>
        <v>0</v>
      </c>
      <c r="AA1531" s="139">
        <f t="shared" si="3070"/>
        <v>8.7145969498910684E-3</v>
      </c>
      <c r="AB1531" s="139"/>
      <c r="AC1531" s="139">
        <f t="shared" si="2562"/>
        <v>3.1590413943355121E-2</v>
      </c>
      <c r="AD1531" s="139">
        <f t="shared" ref="AD1531:AI1531" si="3071">O1531/$I1531</f>
        <v>3.2679738562091504E-3</v>
      </c>
      <c r="AE1531" s="139">
        <f t="shared" si="3071"/>
        <v>0</v>
      </c>
      <c r="AF1531" s="139">
        <f t="shared" si="3071"/>
        <v>0</v>
      </c>
      <c r="AG1531" s="139">
        <f t="shared" si="3071"/>
        <v>0</v>
      </c>
      <c r="AH1531" s="139">
        <f t="shared" si="3071"/>
        <v>2.0697167755991286E-2</v>
      </c>
      <c r="AI1531" s="139">
        <f t="shared" si="3071"/>
        <v>7.6252723311546842E-3</v>
      </c>
    </row>
    <row r="1532" spans="2:35">
      <c r="B1532" s="138" t="s">
        <v>8077</v>
      </c>
      <c r="C1532" s="138" t="s">
        <v>4367</v>
      </c>
      <c r="D1532" s="138" t="s">
        <v>7</v>
      </c>
      <c r="E1532" s="138" t="s">
        <v>785</v>
      </c>
      <c r="F1532" s="138" t="s">
        <v>785</v>
      </c>
      <c r="H1532" s="138">
        <v>115</v>
      </c>
      <c r="I1532" s="138">
        <v>1083</v>
      </c>
      <c r="J1532" s="138">
        <v>603</v>
      </c>
      <c r="K1532" s="138">
        <v>436</v>
      </c>
      <c r="N1532" s="138">
        <v>10</v>
      </c>
      <c r="O1532" s="138">
        <v>4</v>
      </c>
      <c r="R1532" s="138">
        <v>1</v>
      </c>
      <c r="S1532" s="138">
        <v>23</v>
      </c>
      <c r="T1532" s="138">
        <v>6</v>
      </c>
      <c r="U1532" s="138">
        <f t="shared" ref="U1532:U1641" si="3072">SUM(O1532:T1532)</f>
        <v>34</v>
      </c>
      <c r="W1532" s="139">
        <f t="shared" ref="W1532:AA1532" si="3073">J1532/$I1532</f>
        <v>0.55678670360110805</v>
      </c>
      <c r="X1532" s="139">
        <f t="shared" si="3073"/>
        <v>0.40258541089566019</v>
      </c>
      <c r="Y1532" s="139">
        <f t="shared" si="3073"/>
        <v>0</v>
      </c>
      <c r="Z1532" s="139">
        <f t="shared" si="3073"/>
        <v>0</v>
      </c>
      <c r="AA1532" s="139">
        <f t="shared" si="3073"/>
        <v>9.2336103416435829E-3</v>
      </c>
      <c r="AB1532" s="139"/>
      <c r="AC1532" s="139">
        <f t="shared" ref="AC1532:AC1641" si="3074">U1532/$I1532</f>
        <v>3.139427516158818E-2</v>
      </c>
      <c r="AD1532" s="139">
        <f t="shared" ref="AD1532:AI1532" si="3075">O1532/$I1532</f>
        <v>3.6934441366574329E-3</v>
      </c>
      <c r="AE1532" s="139">
        <f t="shared" si="3075"/>
        <v>0</v>
      </c>
      <c r="AF1532" s="139">
        <f t="shared" si="3075"/>
        <v>0</v>
      </c>
      <c r="AG1532" s="139">
        <f t="shared" si="3075"/>
        <v>9.2336103416435823E-4</v>
      </c>
      <c r="AH1532" s="139">
        <f t="shared" si="3075"/>
        <v>2.1237303785780239E-2</v>
      </c>
      <c r="AI1532" s="139">
        <f t="shared" si="3075"/>
        <v>5.5401662049861496E-3</v>
      </c>
    </row>
    <row r="1533" spans="2:35">
      <c r="B1533" s="138" t="s">
        <v>8077</v>
      </c>
      <c r="C1533" s="138" t="s">
        <v>4367</v>
      </c>
      <c r="D1533" s="138" t="s">
        <v>7</v>
      </c>
      <c r="E1533" s="138" t="s">
        <v>785</v>
      </c>
      <c r="F1533" s="138" t="s">
        <v>785</v>
      </c>
      <c r="H1533" s="138">
        <v>116</v>
      </c>
      <c r="I1533" s="138">
        <v>965</v>
      </c>
      <c r="J1533" s="138">
        <v>512</v>
      </c>
      <c r="K1533" s="138">
        <v>411</v>
      </c>
      <c r="N1533" s="138">
        <v>13</v>
      </c>
      <c r="O1533" s="138">
        <v>1</v>
      </c>
      <c r="R1533" s="138">
        <v>0</v>
      </c>
      <c r="S1533" s="138">
        <v>22</v>
      </c>
      <c r="T1533" s="138">
        <v>6</v>
      </c>
      <c r="U1533" s="138">
        <f t="shared" si="3072"/>
        <v>29</v>
      </c>
      <c r="W1533" s="139">
        <f t="shared" ref="W1533:AA1533" si="3076">J1533/$I1533</f>
        <v>0.53056994818652847</v>
      </c>
      <c r="X1533" s="139">
        <f t="shared" si="3076"/>
        <v>0.42590673575129534</v>
      </c>
      <c r="Y1533" s="139">
        <f t="shared" si="3076"/>
        <v>0</v>
      </c>
      <c r="Z1533" s="139">
        <f t="shared" si="3076"/>
        <v>0</v>
      </c>
      <c r="AA1533" s="139">
        <f t="shared" si="3076"/>
        <v>1.3471502590673576E-2</v>
      </c>
      <c r="AB1533" s="139"/>
      <c r="AC1533" s="139">
        <f t="shared" si="3074"/>
        <v>3.0051813471502591E-2</v>
      </c>
      <c r="AD1533" s="139">
        <f t="shared" ref="AD1533:AI1533" si="3077">O1533/$I1533</f>
        <v>1.0362694300518134E-3</v>
      </c>
      <c r="AE1533" s="139">
        <f t="shared" si="3077"/>
        <v>0</v>
      </c>
      <c r="AF1533" s="139">
        <f t="shared" si="3077"/>
        <v>0</v>
      </c>
      <c r="AG1533" s="139">
        <f t="shared" si="3077"/>
        <v>0</v>
      </c>
      <c r="AH1533" s="139">
        <f t="shared" si="3077"/>
        <v>2.2797927461139896E-2</v>
      </c>
      <c r="AI1533" s="139">
        <f t="shared" si="3077"/>
        <v>6.2176165803108805E-3</v>
      </c>
    </row>
    <row r="1534" spans="2:35">
      <c r="B1534" s="138" t="s">
        <v>8077</v>
      </c>
      <c r="C1534" s="138" t="s">
        <v>4367</v>
      </c>
      <c r="D1534" s="138" t="s">
        <v>7</v>
      </c>
      <c r="E1534" s="138" t="s">
        <v>785</v>
      </c>
      <c r="F1534" s="138" t="s">
        <v>785</v>
      </c>
      <c r="H1534" s="138">
        <v>117</v>
      </c>
      <c r="I1534" s="138">
        <v>970</v>
      </c>
      <c r="J1534" s="138">
        <v>458</v>
      </c>
      <c r="K1534" s="138">
        <v>442</v>
      </c>
      <c r="N1534" s="138">
        <v>15</v>
      </c>
      <c r="O1534" s="138">
        <v>8</v>
      </c>
      <c r="R1534" s="138">
        <v>1</v>
      </c>
      <c r="S1534" s="138">
        <v>29</v>
      </c>
      <c r="T1534" s="138">
        <v>17</v>
      </c>
      <c r="U1534" s="138">
        <f t="shared" si="3072"/>
        <v>55</v>
      </c>
      <c r="W1534" s="139">
        <f t="shared" ref="W1534:AA1534" si="3078">J1534/$I1534</f>
        <v>0.47216494845360824</v>
      </c>
      <c r="X1534" s="139">
        <f t="shared" si="3078"/>
        <v>0.4556701030927835</v>
      </c>
      <c r="Y1534" s="139">
        <f t="shared" si="3078"/>
        <v>0</v>
      </c>
      <c r="Z1534" s="139">
        <f t="shared" si="3078"/>
        <v>0</v>
      </c>
      <c r="AA1534" s="139">
        <f t="shared" si="3078"/>
        <v>1.5463917525773196E-2</v>
      </c>
      <c r="AB1534" s="139"/>
      <c r="AC1534" s="139">
        <f t="shared" si="3074"/>
        <v>5.6701030927835051E-2</v>
      </c>
      <c r="AD1534" s="139">
        <f t="shared" ref="AD1534:AI1534" si="3079">O1534/$I1534</f>
        <v>8.2474226804123713E-3</v>
      </c>
      <c r="AE1534" s="139">
        <f t="shared" si="3079"/>
        <v>0</v>
      </c>
      <c r="AF1534" s="139">
        <f t="shared" si="3079"/>
        <v>0</v>
      </c>
      <c r="AG1534" s="139">
        <f t="shared" si="3079"/>
        <v>1.0309278350515464E-3</v>
      </c>
      <c r="AH1534" s="139">
        <f t="shared" si="3079"/>
        <v>2.9896907216494847E-2</v>
      </c>
      <c r="AI1534" s="139">
        <f t="shared" si="3079"/>
        <v>1.7525773195876289E-2</v>
      </c>
    </row>
    <row r="1535" spans="2:35">
      <c r="B1535" s="138" t="s">
        <v>8077</v>
      </c>
      <c r="C1535" s="138" t="s">
        <v>4367</v>
      </c>
      <c r="D1535" s="138" t="s">
        <v>7</v>
      </c>
      <c r="E1535" s="138" t="s">
        <v>785</v>
      </c>
      <c r="F1535" s="138" t="s">
        <v>785</v>
      </c>
      <c r="H1535" s="138">
        <v>118</v>
      </c>
      <c r="I1535" s="138">
        <v>647</v>
      </c>
      <c r="J1535" s="138">
        <v>296</v>
      </c>
      <c r="K1535" s="138">
        <v>307</v>
      </c>
      <c r="N1535" s="138">
        <v>12</v>
      </c>
      <c r="O1535" s="138">
        <v>5</v>
      </c>
      <c r="R1535" s="138">
        <v>0</v>
      </c>
      <c r="S1535" s="138">
        <v>18</v>
      </c>
      <c r="T1535" s="138">
        <v>9</v>
      </c>
      <c r="U1535" s="138">
        <f t="shared" si="3072"/>
        <v>32</v>
      </c>
      <c r="W1535" s="139">
        <f t="shared" ref="W1535:AA1535" si="3080">J1535/$I1535</f>
        <v>0.45749613601236477</v>
      </c>
      <c r="X1535" s="139">
        <f t="shared" si="3080"/>
        <v>0.47449768160741884</v>
      </c>
      <c r="Y1535" s="139">
        <f t="shared" si="3080"/>
        <v>0</v>
      </c>
      <c r="Z1535" s="139">
        <f t="shared" si="3080"/>
        <v>0</v>
      </c>
      <c r="AA1535" s="139">
        <f t="shared" si="3080"/>
        <v>1.8547140649149921E-2</v>
      </c>
      <c r="AB1535" s="139"/>
      <c r="AC1535" s="139">
        <f t="shared" si="3074"/>
        <v>4.945904173106646E-2</v>
      </c>
      <c r="AD1535" s="139">
        <f t="shared" ref="AD1535:AI1535" si="3081">O1535/$I1535</f>
        <v>7.7279752704791345E-3</v>
      </c>
      <c r="AE1535" s="139">
        <f t="shared" si="3081"/>
        <v>0</v>
      </c>
      <c r="AF1535" s="139">
        <f t="shared" si="3081"/>
        <v>0</v>
      </c>
      <c r="AG1535" s="139">
        <f t="shared" si="3081"/>
        <v>0</v>
      </c>
      <c r="AH1535" s="139">
        <f t="shared" si="3081"/>
        <v>2.7820710973724884E-2</v>
      </c>
      <c r="AI1535" s="139">
        <f t="shared" si="3081"/>
        <v>1.3910355486862442E-2</v>
      </c>
    </row>
    <row r="1536" spans="2:35">
      <c r="B1536" s="138" t="s">
        <v>8077</v>
      </c>
      <c r="C1536" s="138" t="s">
        <v>4367</v>
      </c>
      <c r="D1536" s="138" t="s">
        <v>7</v>
      </c>
      <c r="E1536" s="138" t="s">
        <v>785</v>
      </c>
      <c r="F1536" s="138" t="s">
        <v>785</v>
      </c>
      <c r="H1536" s="138">
        <v>119</v>
      </c>
      <c r="I1536" s="138">
        <v>626</v>
      </c>
      <c r="J1536" s="138">
        <v>401</v>
      </c>
      <c r="K1536" s="138">
        <v>188</v>
      </c>
      <c r="N1536" s="138">
        <v>9</v>
      </c>
      <c r="O1536" s="138">
        <v>2</v>
      </c>
      <c r="R1536" s="138">
        <v>1</v>
      </c>
      <c r="S1536" s="138">
        <v>14</v>
      </c>
      <c r="T1536" s="138">
        <v>11</v>
      </c>
      <c r="U1536" s="138">
        <f t="shared" si="3072"/>
        <v>28</v>
      </c>
      <c r="W1536" s="139">
        <f t="shared" ref="W1536:AA1536" si="3082">J1536/$I1536</f>
        <v>0.64057507987220452</v>
      </c>
      <c r="X1536" s="139">
        <f t="shared" si="3082"/>
        <v>0.30031948881789139</v>
      </c>
      <c r="Y1536" s="139">
        <f t="shared" si="3082"/>
        <v>0</v>
      </c>
      <c r="Z1536" s="139">
        <f t="shared" si="3082"/>
        <v>0</v>
      </c>
      <c r="AA1536" s="139">
        <f t="shared" si="3082"/>
        <v>1.437699680511182E-2</v>
      </c>
      <c r="AB1536" s="139"/>
      <c r="AC1536" s="139">
        <f t="shared" si="3074"/>
        <v>4.472843450479233E-2</v>
      </c>
      <c r="AD1536" s="139">
        <f t="shared" ref="AD1536:AI1536" si="3083">O1536/$I1536</f>
        <v>3.1948881789137379E-3</v>
      </c>
      <c r="AE1536" s="139">
        <f t="shared" si="3083"/>
        <v>0</v>
      </c>
      <c r="AF1536" s="139">
        <f t="shared" si="3083"/>
        <v>0</v>
      </c>
      <c r="AG1536" s="139">
        <f t="shared" si="3083"/>
        <v>1.5974440894568689E-3</v>
      </c>
      <c r="AH1536" s="139">
        <f t="shared" si="3083"/>
        <v>2.2364217252396165E-2</v>
      </c>
      <c r="AI1536" s="139">
        <f t="shared" si="3083"/>
        <v>1.7571884984025558E-2</v>
      </c>
    </row>
    <row r="1537" spans="2:35">
      <c r="B1537" s="138" t="s">
        <v>8077</v>
      </c>
      <c r="C1537" s="138" t="s">
        <v>4367</v>
      </c>
      <c r="D1537" s="138" t="s">
        <v>7</v>
      </c>
      <c r="E1537" s="138" t="s">
        <v>785</v>
      </c>
      <c r="F1537" s="138" t="s">
        <v>785</v>
      </c>
      <c r="H1537" s="138">
        <v>120</v>
      </c>
      <c r="I1537" s="138">
        <v>425</v>
      </c>
      <c r="J1537" s="138">
        <v>247</v>
      </c>
      <c r="K1537" s="138">
        <v>167</v>
      </c>
      <c r="N1537" s="138">
        <v>1</v>
      </c>
      <c r="O1537" s="138">
        <v>0</v>
      </c>
      <c r="R1537" s="138">
        <v>0</v>
      </c>
      <c r="S1537" s="138">
        <v>7</v>
      </c>
      <c r="T1537" s="138">
        <v>3</v>
      </c>
      <c r="U1537" s="138">
        <f t="shared" si="3072"/>
        <v>10</v>
      </c>
      <c r="W1537" s="139">
        <f t="shared" ref="W1537:AA1537" si="3084">J1537/$I1537</f>
        <v>0.58117647058823529</v>
      </c>
      <c r="X1537" s="139">
        <f t="shared" si="3084"/>
        <v>0.39294117647058824</v>
      </c>
      <c r="Y1537" s="139">
        <f t="shared" si="3084"/>
        <v>0</v>
      </c>
      <c r="Z1537" s="139">
        <f t="shared" si="3084"/>
        <v>0</v>
      </c>
      <c r="AA1537" s="139">
        <f t="shared" si="3084"/>
        <v>2.352941176470588E-3</v>
      </c>
      <c r="AB1537" s="139"/>
      <c r="AC1537" s="139">
        <f t="shared" si="3074"/>
        <v>2.3529411764705882E-2</v>
      </c>
      <c r="AD1537" s="139">
        <f t="shared" ref="AD1537:AI1537" si="3085">O1537/$I1537</f>
        <v>0</v>
      </c>
      <c r="AE1537" s="139">
        <f t="shared" si="3085"/>
        <v>0</v>
      </c>
      <c r="AF1537" s="139">
        <f t="shared" si="3085"/>
        <v>0</v>
      </c>
      <c r="AG1537" s="139">
        <f t="shared" si="3085"/>
        <v>0</v>
      </c>
      <c r="AH1537" s="139">
        <f t="shared" si="3085"/>
        <v>1.6470588235294119E-2</v>
      </c>
      <c r="AI1537" s="139">
        <f t="shared" si="3085"/>
        <v>7.058823529411765E-3</v>
      </c>
    </row>
    <row r="1538" spans="2:35">
      <c r="B1538" s="138" t="s">
        <v>8077</v>
      </c>
      <c r="C1538" s="138" t="s">
        <v>4367</v>
      </c>
      <c r="D1538" s="138" t="s">
        <v>7</v>
      </c>
      <c r="E1538" s="138" t="s">
        <v>785</v>
      </c>
      <c r="F1538" s="138" t="s">
        <v>785</v>
      </c>
      <c r="H1538" s="138">
        <v>121</v>
      </c>
      <c r="I1538" s="138">
        <v>261</v>
      </c>
      <c r="J1538" s="138">
        <v>133</v>
      </c>
      <c r="K1538" s="138">
        <v>119</v>
      </c>
      <c r="N1538" s="138">
        <v>3</v>
      </c>
      <c r="O1538" s="138">
        <v>1</v>
      </c>
      <c r="R1538" s="138">
        <v>0</v>
      </c>
      <c r="S1538" s="138">
        <v>1</v>
      </c>
      <c r="T1538" s="138">
        <v>4</v>
      </c>
      <c r="U1538" s="138">
        <f t="shared" si="3072"/>
        <v>6</v>
      </c>
      <c r="W1538" s="139">
        <f t="shared" ref="W1538:AA1538" si="3086">J1538/$I1538</f>
        <v>0.50957854406130265</v>
      </c>
      <c r="X1538" s="139">
        <f t="shared" si="3086"/>
        <v>0.45593869731800768</v>
      </c>
      <c r="Y1538" s="139">
        <f t="shared" si="3086"/>
        <v>0</v>
      </c>
      <c r="Z1538" s="139">
        <f t="shared" si="3086"/>
        <v>0</v>
      </c>
      <c r="AA1538" s="139">
        <f t="shared" si="3086"/>
        <v>1.1494252873563218E-2</v>
      </c>
      <c r="AB1538" s="139"/>
      <c r="AC1538" s="139">
        <f t="shared" si="3074"/>
        <v>2.2988505747126436E-2</v>
      </c>
      <c r="AD1538" s="139">
        <f t="shared" ref="AD1538:AI1538" si="3087">O1538/$I1538</f>
        <v>3.8314176245210726E-3</v>
      </c>
      <c r="AE1538" s="139">
        <f t="shared" si="3087"/>
        <v>0</v>
      </c>
      <c r="AF1538" s="139">
        <f t="shared" si="3087"/>
        <v>0</v>
      </c>
      <c r="AG1538" s="139">
        <f t="shared" si="3087"/>
        <v>0</v>
      </c>
      <c r="AH1538" s="139">
        <f t="shared" si="3087"/>
        <v>3.8314176245210726E-3</v>
      </c>
      <c r="AI1538" s="139">
        <f t="shared" si="3087"/>
        <v>1.532567049808429E-2</v>
      </c>
    </row>
    <row r="1539" spans="2:35">
      <c r="B1539" s="138" t="s">
        <v>8077</v>
      </c>
      <c r="C1539" s="138" t="s">
        <v>4367</v>
      </c>
      <c r="D1539" s="138" t="s">
        <v>7</v>
      </c>
      <c r="E1539" s="138" t="s">
        <v>785</v>
      </c>
      <c r="F1539" s="138" t="s">
        <v>785</v>
      </c>
      <c r="H1539" s="138">
        <v>122</v>
      </c>
      <c r="I1539" s="138">
        <v>813</v>
      </c>
      <c r="J1539" s="138">
        <v>475</v>
      </c>
      <c r="K1539" s="138">
        <v>309</v>
      </c>
      <c r="N1539" s="138">
        <v>5</v>
      </c>
      <c r="O1539" s="138">
        <v>0</v>
      </c>
      <c r="R1539" s="138">
        <v>0</v>
      </c>
      <c r="S1539" s="138">
        <v>13</v>
      </c>
      <c r="T1539" s="138">
        <v>11</v>
      </c>
      <c r="U1539" s="138">
        <f t="shared" si="3072"/>
        <v>24</v>
      </c>
      <c r="W1539" s="139">
        <f t="shared" ref="W1539:AA1539" si="3088">J1539/$I1539</f>
        <v>0.58425584255842555</v>
      </c>
      <c r="X1539" s="139">
        <f t="shared" si="3088"/>
        <v>0.38007380073800739</v>
      </c>
      <c r="Y1539" s="139">
        <f t="shared" si="3088"/>
        <v>0</v>
      </c>
      <c r="Z1539" s="139">
        <f t="shared" si="3088"/>
        <v>0</v>
      </c>
      <c r="AA1539" s="139">
        <f t="shared" si="3088"/>
        <v>6.1500615006150061E-3</v>
      </c>
      <c r="AB1539" s="139"/>
      <c r="AC1539" s="139">
        <f t="shared" si="3074"/>
        <v>2.9520295202952029E-2</v>
      </c>
      <c r="AD1539" s="139">
        <f t="shared" ref="AD1539:AI1539" si="3089">O1539/$I1539</f>
        <v>0</v>
      </c>
      <c r="AE1539" s="139">
        <f t="shared" si="3089"/>
        <v>0</v>
      </c>
      <c r="AF1539" s="139">
        <f t="shared" si="3089"/>
        <v>0</v>
      </c>
      <c r="AG1539" s="139">
        <f t="shared" si="3089"/>
        <v>0</v>
      </c>
      <c r="AH1539" s="139">
        <f t="shared" si="3089"/>
        <v>1.5990159901599015E-2</v>
      </c>
      <c r="AI1539" s="139">
        <f t="shared" si="3089"/>
        <v>1.3530135301353014E-2</v>
      </c>
    </row>
    <row r="1540" spans="2:35">
      <c r="B1540" s="138" t="s">
        <v>8077</v>
      </c>
      <c r="C1540" s="138" t="s">
        <v>4367</v>
      </c>
      <c r="D1540" s="138" t="s">
        <v>7</v>
      </c>
      <c r="E1540" s="138" t="s">
        <v>785</v>
      </c>
      <c r="F1540" s="138" t="s">
        <v>785</v>
      </c>
      <c r="H1540" s="138">
        <v>123</v>
      </c>
      <c r="I1540" s="138">
        <v>887</v>
      </c>
      <c r="J1540" s="138">
        <v>523</v>
      </c>
      <c r="K1540" s="138">
        <v>336</v>
      </c>
      <c r="N1540" s="138">
        <v>7</v>
      </c>
      <c r="O1540" s="138">
        <v>2</v>
      </c>
      <c r="R1540" s="138">
        <v>0</v>
      </c>
      <c r="S1540" s="138">
        <v>14</v>
      </c>
      <c r="T1540" s="138">
        <v>5</v>
      </c>
      <c r="U1540" s="138">
        <f t="shared" si="3072"/>
        <v>21</v>
      </c>
      <c r="W1540" s="139">
        <f t="shared" ref="W1540:AA1540" si="3090">J1540/$I1540</f>
        <v>0.58962795941375423</v>
      </c>
      <c r="X1540" s="139">
        <f t="shared" si="3090"/>
        <v>0.37880496054114993</v>
      </c>
      <c r="Y1540" s="139">
        <f t="shared" si="3090"/>
        <v>0</v>
      </c>
      <c r="Z1540" s="139">
        <f t="shared" si="3090"/>
        <v>0</v>
      </c>
      <c r="AA1540" s="139">
        <f t="shared" si="3090"/>
        <v>7.8917700112739568E-3</v>
      </c>
      <c r="AB1540" s="139"/>
      <c r="AC1540" s="139">
        <f t="shared" si="3074"/>
        <v>2.367531003382187E-2</v>
      </c>
      <c r="AD1540" s="139">
        <f t="shared" ref="AD1540:AI1540" si="3091">O1540/$I1540</f>
        <v>2.2547914317925591E-3</v>
      </c>
      <c r="AE1540" s="139">
        <f t="shared" si="3091"/>
        <v>0</v>
      </c>
      <c r="AF1540" s="139">
        <f t="shared" si="3091"/>
        <v>0</v>
      </c>
      <c r="AG1540" s="139">
        <f t="shared" si="3091"/>
        <v>0</v>
      </c>
      <c r="AH1540" s="139">
        <f t="shared" si="3091"/>
        <v>1.5783540022547914E-2</v>
      </c>
      <c r="AI1540" s="139">
        <f t="shared" si="3091"/>
        <v>5.6369785794813977E-3</v>
      </c>
    </row>
    <row r="1541" spans="2:35">
      <c r="B1541" s="138" t="s">
        <v>8077</v>
      </c>
      <c r="C1541" s="138" t="s">
        <v>4367</v>
      </c>
      <c r="D1541" s="138" t="s">
        <v>7</v>
      </c>
      <c r="E1541" s="138" t="s">
        <v>785</v>
      </c>
      <c r="F1541" s="138" t="s">
        <v>785</v>
      </c>
      <c r="H1541" s="138">
        <v>124</v>
      </c>
      <c r="I1541" s="138">
        <v>784</v>
      </c>
      <c r="J1541" s="138">
        <v>463</v>
      </c>
      <c r="K1541" s="138">
        <v>291</v>
      </c>
      <c r="N1541" s="138">
        <v>9</v>
      </c>
      <c r="O1541" s="138">
        <v>1</v>
      </c>
      <c r="R1541" s="138">
        <v>0</v>
      </c>
      <c r="S1541" s="138">
        <v>11</v>
      </c>
      <c r="T1541" s="138">
        <v>9</v>
      </c>
      <c r="U1541" s="138">
        <f t="shared" si="3072"/>
        <v>21</v>
      </c>
      <c r="W1541" s="139">
        <f t="shared" ref="W1541:AA1541" si="3092">J1541/$I1541</f>
        <v>0.59056122448979587</v>
      </c>
      <c r="X1541" s="139">
        <f t="shared" si="3092"/>
        <v>0.37117346938775508</v>
      </c>
      <c r="Y1541" s="139">
        <f t="shared" si="3092"/>
        <v>0</v>
      </c>
      <c r="Z1541" s="139">
        <f t="shared" si="3092"/>
        <v>0</v>
      </c>
      <c r="AA1541" s="139">
        <f t="shared" si="3092"/>
        <v>1.1479591836734694E-2</v>
      </c>
      <c r="AB1541" s="139"/>
      <c r="AC1541" s="139">
        <f t="shared" si="3074"/>
        <v>2.6785714285714284E-2</v>
      </c>
      <c r="AD1541" s="139">
        <f t="shared" ref="AD1541:AI1541" si="3093">O1541/$I1541</f>
        <v>1.2755102040816326E-3</v>
      </c>
      <c r="AE1541" s="139">
        <f t="shared" si="3093"/>
        <v>0</v>
      </c>
      <c r="AF1541" s="139">
        <f t="shared" si="3093"/>
        <v>0</v>
      </c>
      <c r="AG1541" s="139">
        <f t="shared" si="3093"/>
        <v>0</v>
      </c>
      <c r="AH1541" s="139">
        <f t="shared" si="3093"/>
        <v>1.4030612244897959E-2</v>
      </c>
      <c r="AI1541" s="139">
        <f t="shared" si="3093"/>
        <v>1.1479591836734694E-2</v>
      </c>
    </row>
    <row r="1542" spans="2:35">
      <c r="B1542" s="138" t="s">
        <v>8077</v>
      </c>
      <c r="C1542" s="138" t="s">
        <v>4367</v>
      </c>
      <c r="D1542" s="138" t="s">
        <v>7</v>
      </c>
      <c r="E1542" s="138" t="s">
        <v>785</v>
      </c>
      <c r="F1542" s="138" t="s">
        <v>785</v>
      </c>
      <c r="H1542" s="138">
        <v>125</v>
      </c>
      <c r="I1542" s="138">
        <v>778</v>
      </c>
      <c r="J1542" s="138">
        <v>451</v>
      </c>
      <c r="K1542" s="138">
        <v>296</v>
      </c>
      <c r="N1542" s="138">
        <v>8</v>
      </c>
      <c r="O1542" s="138">
        <v>1</v>
      </c>
      <c r="R1542" s="138">
        <v>0</v>
      </c>
      <c r="S1542" s="138">
        <v>16</v>
      </c>
      <c r="T1542" s="138">
        <v>6</v>
      </c>
      <c r="U1542" s="138">
        <f t="shared" si="3072"/>
        <v>23</v>
      </c>
      <c r="W1542" s="139">
        <f t="shared" ref="W1542:AA1542" si="3094">J1542/$I1542</f>
        <v>0.57969151670951158</v>
      </c>
      <c r="X1542" s="139">
        <f t="shared" si="3094"/>
        <v>0.38046272493573263</v>
      </c>
      <c r="Y1542" s="139">
        <f t="shared" si="3094"/>
        <v>0</v>
      </c>
      <c r="Z1542" s="139">
        <f t="shared" si="3094"/>
        <v>0</v>
      </c>
      <c r="AA1542" s="139">
        <f t="shared" si="3094"/>
        <v>1.0282776349614395E-2</v>
      </c>
      <c r="AB1542" s="139"/>
      <c r="AC1542" s="139">
        <f t="shared" si="3074"/>
        <v>2.9562982005141389E-2</v>
      </c>
      <c r="AD1542" s="139">
        <f t="shared" ref="AD1542:AI1542" si="3095">O1542/$I1542</f>
        <v>1.2853470437017994E-3</v>
      </c>
      <c r="AE1542" s="139">
        <f t="shared" si="3095"/>
        <v>0</v>
      </c>
      <c r="AF1542" s="139">
        <f t="shared" si="3095"/>
        <v>0</v>
      </c>
      <c r="AG1542" s="139">
        <f t="shared" si="3095"/>
        <v>0</v>
      </c>
      <c r="AH1542" s="139">
        <f t="shared" si="3095"/>
        <v>2.056555269922879E-2</v>
      </c>
      <c r="AI1542" s="139">
        <f t="shared" si="3095"/>
        <v>7.7120822622107968E-3</v>
      </c>
    </row>
    <row r="1543" spans="2:35">
      <c r="B1543" s="138" t="s">
        <v>8077</v>
      </c>
      <c r="C1543" s="138" t="s">
        <v>4367</v>
      </c>
      <c r="D1543" s="138" t="s">
        <v>7</v>
      </c>
      <c r="E1543" s="138" t="s">
        <v>785</v>
      </c>
      <c r="F1543" s="138" t="s">
        <v>785</v>
      </c>
      <c r="H1543" s="138">
        <v>126</v>
      </c>
      <c r="I1543" s="138">
        <v>839</v>
      </c>
      <c r="J1543" s="138">
        <v>521</v>
      </c>
      <c r="K1543" s="138">
        <v>288</v>
      </c>
      <c r="N1543" s="138">
        <v>8</v>
      </c>
      <c r="O1543" s="138">
        <v>1</v>
      </c>
      <c r="R1543" s="138">
        <v>2</v>
      </c>
      <c r="S1543" s="138">
        <v>7</v>
      </c>
      <c r="T1543" s="138">
        <v>12</v>
      </c>
      <c r="U1543" s="138">
        <f t="shared" si="3072"/>
        <v>22</v>
      </c>
      <c r="W1543" s="139">
        <f t="shared" ref="W1543:AA1543" si="3096">J1543/$I1543</f>
        <v>0.62097735399284859</v>
      </c>
      <c r="X1543" s="139">
        <f t="shared" si="3096"/>
        <v>0.34326579261025031</v>
      </c>
      <c r="Y1543" s="139">
        <f t="shared" si="3096"/>
        <v>0</v>
      </c>
      <c r="Z1543" s="139">
        <f t="shared" si="3096"/>
        <v>0</v>
      </c>
      <c r="AA1543" s="139">
        <f t="shared" si="3096"/>
        <v>9.5351609058402856E-3</v>
      </c>
      <c r="AB1543" s="139"/>
      <c r="AC1543" s="139">
        <f t="shared" si="3074"/>
        <v>2.6221692491060787E-2</v>
      </c>
      <c r="AD1543" s="139">
        <f t="shared" ref="AD1543:AI1543" si="3097">O1543/$I1543</f>
        <v>1.1918951132300357E-3</v>
      </c>
      <c r="AE1543" s="139">
        <f t="shared" si="3097"/>
        <v>0</v>
      </c>
      <c r="AF1543" s="139">
        <f t="shared" si="3097"/>
        <v>0</v>
      </c>
      <c r="AG1543" s="139">
        <f t="shared" si="3097"/>
        <v>2.3837902264600714E-3</v>
      </c>
      <c r="AH1543" s="139">
        <f t="shared" si="3097"/>
        <v>8.3432657926102508E-3</v>
      </c>
      <c r="AI1543" s="139">
        <f t="shared" si="3097"/>
        <v>1.4302741358760428E-2</v>
      </c>
    </row>
    <row r="1544" spans="2:35">
      <c r="B1544" s="138" t="s">
        <v>8077</v>
      </c>
      <c r="C1544" s="138" t="s">
        <v>4367</v>
      </c>
      <c r="D1544" s="138" t="s">
        <v>7</v>
      </c>
      <c r="E1544" s="138" t="s">
        <v>785</v>
      </c>
      <c r="F1544" s="138" t="s">
        <v>785</v>
      </c>
      <c r="H1544" s="138">
        <v>127</v>
      </c>
      <c r="I1544" s="138">
        <v>828</v>
      </c>
      <c r="J1544" s="138">
        <v>527</v>
      </c>
      <c r="K1544" s="138">
        <v>270</v>
      </c>
      <c r="N1544" s="138">
        <v>11</v>
      </c>
      <c r="O1544" s="138">
        <v>1</v>
      </c>
      <c r="R1544" s="138">
        <v>1</v>
      </c>
      <c r="S1544" s="138">
        <v>10</v>
      </c>
      <c r="T1544" s="138">
        <v>8</v>
      </c>
      <c r="U1544" s="138">
        <f t="shared" si="3072"/>
        <v>20</v>
      </c>
      <c r="W1544" s="139">
        <f t="shared" ref="W1544:AA1544" si="3098">J1544/$I1544</f>
        <v>0.63647342995169087</v>
      </c>
      <c r="X1544" s="139">
        <f t="shared" si="3098"/>
        <v>0.32608695652173914</v>
      </c>
      <c r="Y1544" s="139">
        <f t="shared" si="3098"/>
        <v>0</v>
      </c>
      <c r="Z1544" s="139">
        <f t="shared" si="3098"/>
        <v>0</v>
      </c>
      <c r="AA1544" s="139">
        <f t="shared" si="3098"/>
        <v>1.3285024154589372E-2</v>
      </c>
      <c r="AB1544" s="139"/>
      <c r="AC1544" s="139">
        <f t="shared" si="3074"/>
        <v>2.4154589371980676E-2</v>
      </c>
      <c r="AD1544" s="139">
        <f t="shared" ref="AD1544:AI1544" si="3099">O1544/$I1544</f>
        <v>1.2077294685990338E-3</v>
      </c>
      <c r="AE1544" s="139">
        <f t="shared" si="3099"/>
        <v>0</v>
      </c>
      <c r="AF1544" s="139">
        <f t="shared" si="3099"/>
        <v>0</v>
      </c>
      <c r="AG1544" s="139">
        <f t="shared" si="3099"/>
        <v>1.2077294685990338E-3</v>
      </c>
      <c r="AH1544" s="139">
        <f t="shared" si="3099"/>
        <v>1.2077294685990338E-2</v>
      </c>
      <c r="AI1544" s="139">
        <f t="shared" si="3099"/>
        <v>9.6618357487922701E-3</v>
      </c>
    </row>
    <row r="1545" spans="2:35">
      <c r="B1545" s="138" t="s">
        <v>8077</v>
      </c>
      <c r="C1545" s="138" t="s">
        <v>4367</v>
      </c>
      <c r="D1545" s="138" t="s">
        <v>7</v>
      </c>
      <c r="E1545" s="138" t="s">
        <v>785</v>
      </c>
      <c r="F1545" s="138" t="s">
        <v>785</v>
      </c>
      <c r="H1545" s="138">
        <v>128</v>
      </c>
      <c r="I1545" s="138">
        <v>670</v>
      </c>
      <c r="J1545" s="138">
        <v>408</v>
      </c>
      <c r="K1545" s="138">
        <v>232</v>
      </c>
      <c r="N1545" s="138">
        <v>11</v>
      </c>
      <c r="O1545" s="138">
        <v>3</v>
      </c>
      <c r="R1545" s="138">
        <v>0</v>
      </c>
      <c r="S1545" s="138">
        <v>9</v>
      </c>
      <c r="T1545" s="138">
        <v>7</v>
      </c>
      <c r="U1545" s="138">
        <f t="shared" si="3072"/>
        <v>19</v>
      </c>
      <c r="W1545" s="139">
        <f t="shared" ref="W1545:AA1545" si="3100">J1545/$I1545</f>
        <v>0.60895522388059697</v>
      </c>
      <c r="X1545" s="139">
        <f t="shared" si="3100"/>
        <v>0.34626865671641793</v>
      </c>
      <c r="Y1545" s="139">
        <f t="shared" si="3100"/>
        <v>0</v>
      </c>
      <c r="Z1545" s="139">
        <f t="shared" si="3100"/>
        <v>0</v>
      </c>
      <c r="AA1545" s="139">
        <f t="shared" si="3100"/>
        <v>1.6417910447761194E-2</v>
      </c>
      <c r="AB1545" s="139"/>
      <c r="AC1545" s="139">
        <f t="shared" si="3074"/>
        <v>2.8358208955223882E-2</v>
      </c>
      <c r="AD1545" s="139">
        <f t="shared" ref="AD1545:AI1545" si="3101">O1545/$I1545</f>
        <v>4.4776119402985077E-3</v>
      </c>
      <c r="AE1545" s="139">
        <f t="shared" si="3101"/>
        <v>0</v>
      </c>
      <c r="AF1545" s="139">
        <f t="shared" si="3101"/>
        <v>0</v>
      </c>
      <c r="AG1545" s="139">
        <f t="shared" si="3101"/>
        <v>0</v>
      </c>
      <c r="AH1545" s="139">
        <f t="shared" si="3101"/>
        <v>1.3432835820895522E-2</v>
      </c>
      <c r="AI1545" s="139">
        <f t="shared" si="3101"/>
        <v>1.0447761194029851E-2</v>
      </c>
    </row>
    <row r="1546" spans="2:35">
      <c r="B1546" s="138" t="s">
        <v>8077</v>
      </c>
      <c r="C1546" s="138" t="s">
        <v>4367</v>
      </c>
      <c r="D1546" s="138" t="s">
        <v>7</v>
      </c>
      <c r="E1546" s="138" t="s">
        <v>785</v>
      </c>
      <c r="F1546" s="138" t="s">
        <v>785</v>
      </c>
      <c r="H1546" s="138">
        <v>129</v>
      </c>
      <c r="I1546" s="138">
        <v>827</v>
      </c>
      <c r="J1546" s="138">
        <v>283</v>
      </c>
      <c r="K1546" s="138">
        <v>490</v>
      </c>
      <c r="N1546" s="138">
        <v>22</v>
      </c>
      <c r="O1546" s="138">
        <v>0</v>
      </c>
      <c r="R1546" s="138">
        <v>0</v>
      </c>
      <c r="S1546" s="138">
        <v>12</v>
      </c>
      <c r="T1546" s="138">
        <v>20</v>
      </c>
      <c r="U1546" s="138">
        <f t="shared" si="3072"/>
        <v>32</v>
      </c>
      <c r="W1546" s="139">
        <f t="shared" ref="W1546:AA1546" si="3102">J1546/$I1546</f>
        <v>0.34220072551390568</v>
      </c>
      <c r="X1546" s="139">
        <f t="shared" si="3102"/>
        <v>0.592503022974607</v>
      </c>
      <c r="Y1546" s="139">
        <f t="shared" si="3102"/>
        <v>0</v>
      </c>
      <c r="Z1546" s="139">
        <f t="shared" si="3102"/>
        <v>0</v>
      </c>
      <c r="AA1546" s="139">
        <f t="shared" si="3102"/>
        <v>2.6602176541717048E-2</v>
      </c>
      <c r="AB1546" s="139"/>
      <c r="AC1546" s="139">
        <f t="shared" si="3074"/>
        <v>3.8694074969770252E-2</v>
      </c>
      <c r="AD1546" s="139">
        <f t="shared" ref="AD1546:AI1546" si="3103">O1546/$I1546</f>
        <v>0</v>
      </c>
      <c r="AE1546" s="139">
        <f t="shared" si="3103"/>
        <v>0</v>
      </c>
      <c r="AF1546" s="139">
        <f t="shared" si="3103"/>
        <v>0</v>
      </c>
      <c r="AG1546" s="139">
        <f t="shared" si="3103"/>
        <v>0</v>
      </c>
      <c r="AH1546" s="139">
        <f t="shared" si="3103"/>
        <v>1.4510278113663845E-2</v>
      </c>
      <c r="AI1546" s="139">
        <f t="shared" si="3103"/>
        <v>2.4183796856106408E-2</v>
      </c>
    </row>
    <row r="1547" spans="2:35">
      <c r="B1547" s="138" t="s">
        <v>8077</v>
      </c>
      <c r="C1547" s="138" t="s">
        <v>4367</v>
      </c>
      <c r="D1547" s="138" t="s">
        <v>7</v>
      </c>
      <c r="E1547" s="138" t="s">
        <v>785</v>
      </c>
      <c r="F1547" s="138" t="s">
        <v>785</v>
      </c>
      <c r="H1547" s="138">
        <v>130</v>
      </c>
      <c r="I1547" s="138">
        <v>809</v>
      </c>
      <c r="J1547" s="138">
        <v>344</v>
      </c>
      <c r="K1547" s="138">
        <v>421</v>
      </c>
      <c r="N1547" s="138">
        <v>8</v>
      </c>
      <c r="O1547" s="138">
        <v>3</v>
      </c>
      <c r="R1547" s="138">
        <v>3</v>
      </c>
      <c r="S1547" s="138">
        <v>13</v>
      </c>
      <c r="T1547" s="138">
        <v>17</v>
      </c>
      <c r="U1547" s="138">
        <f t="shared" si="3072"/>
        <v>36</v>
      </c>
      <c r="W1547" s="139">
        <f t="shared" ref="W1547:AA1547" si="3104">J1547/$I1547</f>
        <v>0.42521631644004942</v>
      </c>
      <c r="X1547" s="139">
        <f t="shared" si="3104"/>
        <v>0.52039555006180471</v>
      </c>
      <c r="Y1547" s="139">
        <f t="shared" si="3104"/>
        <v>0</v>
      </c>
      <c r="Z1547" s="139">
        <f t="shared" si="3104"/>
        <v>0</v>
      </c>
      <c r="AA1547" s="139">
        <f t="shared" si="3104"/>
        <v>9.8887515451174281E-3</v>
      </c>
      <c r="AB1547" s="139"/>
      <c r="AC1547" s="139">
        <f t="shared" si="3074"/>
        <v>4.4499381953028432E-2</v>
      </c>
      <c r="AD1547" s="139">
        <f t="shared" ref="AD1547:AI1547" si="3105">O1547/$I1547</f>
        <v>3.708281829419036E-3</v>
      </c>
      <c r="AE1547" s="139">
        <f t="shared" si="3105"/>
        <v>0</v>
      </c>
      <c r="AF1547" s="139">
        <f t="shared" si="3105"/>
        <v>0</v>
      </c>
      <c r="AG1547" s="139">
        <f t="shared" si="3105"/>
        <v>3.708281829419036E-3</v>
      </c>
      <c r="AH1547" s="139">
        <f t="shared" si="3105"/>
        <v>1.6069221260815822E-2</v>
      </c>
      <c r="AI1547" s="139">
        <f t="shared" si="3105"/>
        <v>2.1013597033374538E-2</v>
      </c>
    </row>
    <row r="1548" spans="2:35">
      <c r="B1548" s="138" t="s">
        <v>8077</v>
      </c>
      <c r="C1548" s="138" t="s">
        <v>4367</v>
      </c>
      <c r="D1548" s="138" t="s">
        <v>7</v>
      </c>
      <c r="E1548" s="138" t="s">
        <v>785</v>
      </c>
      <c r="F1548" s="138" t="s">
        <v>785</v>
      </c>
      <c r="H1548" s="138">
        <v>131</v>
      </c>
      <c r="I1548" s="138">
        <v>633</v>
      </c>
      <c r="J1548" s="138">
        <v>400</v>
      </c>
      <c r="K1548" s="138">
        <v>221</v>
      </c>
      <c r="N1548" s="138">
        <v>5</v>
      </c>
      <c r="O1548" s="138">
        <v>1</v>
      </c>
      <c r="R1548" s="138">
        <v>1</v>
      </c>
      <c r="S1548" s="138">
        <v>4</v>
      </c>
      <c r="T1548" s="138">
        <v>1</v>
      </c>
      <c r="U1548" s="138">
        <f t="shared" si="3072"/>
        <v>7</v>
      </c>
      <c r="W1548" s="139">
        <f t="shared" ref="W1548:AA1548" si="3106">J1548/$I1548</f>
        <v>0.63191153238546605</v>
      </c>
      <c r="X1548" s="139">
        <f t="shared" si="3106"/>
        <v>0.34913112164297</v>
      </c>
      <c r="Y1548" s="139">
        <f t="shared" si="3106"/>
        <v>0</v>
      </c>
      <c r="Z1548" s="139">
        <f t="shared" si="3106"/>
        <v>0</v>
      </c>
      <c r="AA1548" s="139">
        <f t="shared" si="3106"/>
        <v>7.8988941548183249E-3</v>
      </c>
      <c r="AB1548" s="139"/>
      <c r="AC1548" s="139">
        <f t="shared" si="3074"/>
        <v>1.1058451816745656E-2</v>
      </c>
      <c r="AD1548" s="139">
        <f t="shared" ref="AD1548:AI1548" si="3107">O1548/$I1548</f>
        <v>1.5797788309636651E-3</v>
      </c>
      <c r="AE1548" s="139">
        <f t="shared" si="3107"/>
        <v>0</v>
      </c>
      <c r="AF1548" s="139">
        <f t="shared" si="3107"/>
        <v>0</v>
      </c>
      <c r="AG1548" s="139">
        <f t="shared" si="3107"/>
        <v>1.5797788309636651E-3</v>
      </c>
      <c r="AH1548" s="139">
        <f t="shared" si="3107"/>
        <v>6.3191153238546603E-3</v>
      </c>
      <c r="AI1548" s="139">
        <f t="shared" si="3107"/>
        <v>1.5797788309636651E-3</v>
      </c>
    </row>
    <row r="1549" spans="2:35">
      <c r="B1549" s="138" t="s">
        <v>8077</v>
      </c>
      <c r="C1549" s="138" t="s">
        <v>4367</v>
      </c>
      <c r="D1549" s="138" t="s">
        <v>7</v>
      </c>
      <c r="E1549" s="138" t="s">
        <v>785</v>
      </c>
      <c r="F1549" s="138" t="s">
        <v>785</v>
      </c>
      <c r="H1549" s="138">
        <v>132</v>
      </c>
      <c r="I1549" s="138">
        <v>712</v>
      </c>
      <c r="J1549" s="138">
        <v>355</v>
      </c>
      <c r="K1549" s="138">
        <v>321</v>
      </c>
      <c r="N1549" s="138">
        <v>12</v>
      </c>
      <c r="O1549" s="138">
        <v>3</v>
      </c>
      <c r="R1549" s="138">
        <v>1</v>
      </c>
      <c r="S1549" s="138">
        <v>10</v>
      </c>
      <c r="T1549" s="138">
        <v>10</v>
      </c>
      <c r="U1549" s="138">
        <f t="shared" si="3072"/>
        <v>24</v>
      </c>
      <c r="W1549" s="139">
        <f t="shared" ref="W1549:AA1549" si="3108">J1549/$I1549</f>
        <v>0.49859550561797755</v>
      </c>
      <c r="X1549" s="139">
        <f t="shared" si="3108"/>
        <v>0.4508426966292135</v>
      </c>
      <c r="Y1549" s="139">
        <f t="shared" si="3108"/>
        <v>0</v>
      </c>
      <c r="Z1549" s="139">
        <f t="shared" si="3108"/>
        <v>0</v>
      </c>
      <c r="AA1549" s="139">
        <f t="shared" si="3108"/>
        <v>1.6853932584269662E-2</v>
      </c>
      <c r="AB1549" s="139"/>
      <c r="AC1549" s="139">
        <f t="shared" si="3074"/>
        <v>3.3707865168539325E-2</v>
      </c>
      <c r="AD1549" s="139">
        <f t="shared" ref="AD1549:AI1549" si="3109">O1549/$I1549</f>
        <v>4.2134831460674156E-3</v>
      </c>
      <c r="AE1549" s="139">
        <f t="shared" si="3109"/>
        <v>0</v>
      </c>
      <c r="AF1549" s="139">
        <f t="shared" si="3109"/>
        <v>0</v>
      </c>
      <c r="AG1549" s="139">
        <f t="shared" si="3109"/>
        <v>1.4044943820224719E-3</v>
      </c>
      <c r="AH1549" s="139">
        <f t="shared" si="3109"/>
        <v>1.4044943820224719E-2</v>
      </c>
      <c r="AI1549" s="139">
        <f t="shared" si="3109"/>
        <v>1.4044943820224719E-2</v>
      </c>
    </row>
    <row r="1550" spans="2:35">
      <c r="B1550" s="138" t="s">
        <v>8077</v>
      </c>
      <c r="C1550" s="138" t="s">
        <v>4367</v>
      </c>
      <c r="D1550" s="138" t="s">
        <v>7</v>
      </c>
      <c r="E1550" s="138" t="s">
        <v>785</v>
      </c>
      <c r="F1550" s="138" t="s">
        <v>785</v>
      </c>
      <c r="H1550" s="138">
        <v>133</v>
      </c>
      <c r="I1550" s="138">
        <v>917</v>
      </c>
      <c r="J1550" s="138">
        <v>610</v>
      </c>
      <c r="K1550" s="138">
        <v>269</v>
      </c>
      <c r="N1550" s="138">
        <v>13</v>
      </c>
      <c r="O1550" s="138">
        <v>2</v>
      </c>
      <c r="R1550" s="138">
        <v>3</v>
      </c>
      <c r="S1550" s="138">
        <v>9</v>
      </c>
      <c r="T1550" s="138">
        <v>11</v>
      </c>
      <c r="U1550" s="138">
        <f t="shared" si="3072"/>
        <v>25</v>
      </c>
      <c r="W1550" s="139">
        <f t="shared" ref="W1550:AA1550" si="3110">J1550/$I1550</f>
        <v>0.66521264994547435</v>
      </c>
      <c r="X1550" s="139">
        <f t="shared" si="3110"/>
        <v>0.29334787350054525</v>
      </c>
      <c r="Y1550" s="139">
        <f t="shared" si="3110"/>
        <v>0</v>
      </c>
      <c r="Z1550" s="139">
        <f t="shared" si="3110"/>
        <v>0</v>
      </c>
      <c r="AA1550" s="139">
        <f t="shared" si="3110"/>
        <v>1.4176663031624863E-2</v>
      </c>
      <c r="AB1550" s="139"/>
      <c r="AC1550" s="139">
        <f t="shared" si="3074"/>
        <v>2.7262813522355506E-2</v>
      </c>
      <c r="AD1550" s="139">
        <f t="shared" ref="AD1550:AI1550" si="3111">O1550/$I1550</f>
        <v>2.1810250817884407E-3</v>
      </c>
      <c r="AE1550" s="139">
        <f t="shared" si="3111"/>
        <v>0</v>
      </c>
      <c r="AF1550" s="139">
        <f t="shared" si="3111"/>
        <v>0</v>
      </c>
      <c r="AG1550" s="139">
        <f t="shared" si="3111"/>
        <v>3.2715376226826608E-3</v>
      </c>
      <c r="AH1550" s="139">
        <f t="shared" si="3111"/>
        <v>9.8146128680479828E-3</v>
      </c>
      <c r="AI1550" s="139">
        <f t="shared" si="3111"/>
        <v>1.1995637949836423E-2</v>
      </c>
    </row>
    <row r="1551" spans="2:35">
      <c r="B1551" s="138" t="s">
        <v>8077</v>
      </c>
      <c r="C1551" s="138" t="s">
        <v>4367</v>
      </c>
      <c r="D1551" s="138" t="s">
        <v>7</v>
      </c>
      <c r="E1551" s="138" t="s">
        <v>785</v>
      </c>
      <c r="F1551" s="138" t="s">
        <v>785</v>
      </c>
      <c r="H1551" s="138">
        <v>134</v>
      </c>
      <c r="I1551" s="138">
        <v>670</v>
      </c>
      <c r="J1551" s="138">
        <v>397</v>
      </c>
      <c r="K1551" s="138">
        <v>244</v>
      </c>
      <c r="N1551" s="138">
        <v>7</v>
      </c>
      <c r="O1551" s="138">
        <v>1</v>
      </c>
      <c r="R1551" s="138">
        <v>0</v>
      </c>
      <c r="S1551" s="138">
        <v>9</v>
      </c>
      <c r="T1551" s="138">
        <v>12</v>
      </c>
      <c r="U1551" s="138">
        <f t="shared" si="3072"/>
        <v>22</v>
      </c>
      <c r="W1551" s="139">
        <f t="shared" ref="W1551:AA1551" si="3112">J1551/$I1551</f>
        <v>0.59253731343283578</v>
      </c>
      <c r="X1551" s="139">
        <f t="shared" si="3112"/>
        <v>0.36417910447761193</v>
      </c>
      <c r="Y1551" s="139">
        <f t="shared" si="3112"/>
        <v>0</v>
      </c>
      <c r="Z1551" s="139">
        <f t="shared" si="3112"/>
        <v>0</v>
      </c>
      <c r="AA1551" s="139">
        <f t="shared" si="3112"/>
        <v>1.0447761194029851E-2</v>
      </c>
      <c r="AB1551" s="139"/>
      <c r="AC1551" s="139">
        <f t="shared" si="3074"/>
        <v>3.2835820895522387E-2</v>
      </c>
      <c r="AD1551" s="139">
        <f t="shared" ref="AD1551:AI1551" si="3113">O1551/$I1551</f>
        <v>1.4925373134328358E-3</v>
      </c>
      <c r="AE1551" s="139">
        <f t="shared" si="3113"/>
        <v>0</v>
      </c>
      <c r="AF1551" s="139">
        <f t="shared" si="3113"/>
        <v>0</v>
      </c>
      <c r="AG1551" s="139">
        <f t="shared" si="3113"/>
        <v>0</v>
      </c>
      <c r="AH1551" s="139">
        <f t="shared" si="3113"/>
        <v>1.3432835820895522E-2</v>
      </c>
      <c r="AI1551" s="139">
        <f t="shared" si="3113"/>
        <v>1.7910447761194031E-2</v>
      </c>
    </row>
    <row r="1552" spans="2:35">
      <c r="B1552" s="138" t="s">
        <v>8077</v>
      </c>
      <c r="C1552" s="138" t="s">
        <v>4367</v>
      </c>
      <c r="D1552" s="138" t="s">
        <v>7</v>
      </c>
      <c r="E1552" s="138" t="s">
        <v>785</v>
      </c>
      <c r="F1552" s="138" t="s">
        <v>785</v>
      </c>
      <c r="H1552" s="138">
        <v>135</v>
      </c>
      <c r="I1552" s="138">
        <v>992</v>
      </c>
      <c r="J1552" s="138">
        <v>549</v>
      </c>
      <c r="K1552" s="138">
        <v>382</v>
      </c>
      <c r="N1552" s="138">
        <v>8</v>
      </c>
      <c r="O1552" s="138">
        <v>7</v>
      </c>
      <c r="R1552" s="138">
        <v>2</v>
      </c>
      <c r="S1552" s="138">
        <v>28</v>
      </c>
      <c r="T1552" s="138">
        <v>16</v>
      </c>
      <c r="U1552" s="138">
        <f t="shared" si="3072"/>
        <v>53</v>
      </c>
      <c r="W1552" s="139">
        <f t="shared" ref="W1552:AA1552" si="3114">J1552/$I1552</f>
        <v>0.55342741935483875</v>
      </c>
      <c r="X1552" s="139">
        <f t="shared" si="3114"/>
        <v>0.38508064516129031</v>
      </c>
      <c r="Y1552" s="139">
        <f t="shared" si="3114"/>
        <v>0</v>
      </c>
      <c r="Z1552" s="139">
        <f t="shared" si="3114"/>
        <v>0</v>
      </c>
      <c r="AA1552" s="139">
        <f t="shared" si="3114"/>
        <v>8.0645161290322578E-3</v>
      </c>
      <c r="AB1552" s="139"/>
      <c r="AC1552" s="139">
        <f t="shared" si="3074"/>
        <v>5.3427419354838711E-2</v>
      </c>
      <c r="AD1552" s="139">
        <f t="shared" ref="AD1552:AI1552" si="3115">O1552/$I1552</f>
        <v>7.0564516129032256E-3</v>
      </c>
      <c r="AE1552" s="139">
        <f t="shared" si="3115"/>
        <v>0</v>
      </c>
      <c r="AF1552" s="139">
        <f t="shared" si="3115"/>
        <v>0</v>
      </c>
      <c r="AG1552" s="139">
        <f t="shared" si="3115"/>
        <v>2.0161290322580645E-3</v>
      </c>
      <c r="AH1552" s="139">
        <f t="shared" si="3115"/>
        <v>2.8225806451612902E-2</v>
      </c>
      <c r="AI1552" s="139">
        <f t="shared" si="3115"/>
        <v>1.6129032258064516E-2</v>
      </c>
    </row>
    <row r="1553" spans="2:35">
      <c r="B1553" s="138" t="s">
        <v>8077</v>
      </c>
      <c r="C1553" s="138" t="s">
        <v>4367</v>
      </c>
      <c r="D1553" s="138" t="s">
        <v>7</v>
      </c>
      <c r="E1553" s="138" t="s">
        <v>785</v>
      </c>
      <c r="F1553" s="138" t="s">
        <v>785</v>
      </c>
      <c r="H1553" s="138">
        <v>136</v>
      </c>
      <c r="I1553" s="138">
        <v>842</v>
      </c>
      <c r="J1553" s="138">
        <v>603</v>
      </c>
      <c r="K1553" s="138">
        <v>210</v>
      </c>
      <c r="N1553" s="138">
        <v>7</v>
      </c>
      <c r="O1553" s="138">
        <v>2</v>
      </c>
      <c r="R1553" s="138">
        <v>0</v>
      </c>
      <c r="S1553" s="138">
        <v>12</v>
      </c>
      <c r="T1553" s="138">
        <v>8</v>
      </c>
      <c r="U1553" s="138">
        <f t="shared" si="3072"/>
        <v>22</v>
      </c>
      <c r="W1553" s="139">
        <f t="shared" ref="W1553:AA1553" si="3116">J1553/$I1553</f>
        <v>0.71615201900237535</v>
      </c>
      <c r="X1553" s="139">
        <f t="shared" si="3116"/>
        <v>0.24940617577197149</v>
      </c>
      <c r="Y1553" s="139">
        <f t="shared" si="3116"/>
        <v>0</v>
      </c>
      <c r="Z1553" s="139">
        <f t="shared" si="3116"/>
        <v>0</v>
      </c>
      <c r="AA1553" s="139">
        <f t="shared" si="3116"/>
        <v>8.3135391923990498E-3</v>
      </c>
      <c r="AB1553" s="139"/>
      <c r="AC1553" s="139">
        <f t="shared" si="3074"/>
        <v>2.6128266033254157E-2</v>
      </c>
      <c r="AD1553" s="139">
        <f t="shared" ref="AD1553:AI1553" si="3117">O1553/$I1553</f>
        <v>2.3752969121140144E-3</v>
      </c>
      <c r="AE1553" s="139">
        <f t="shared" si="3117"/>
        <v>0</v>
      </c>
      <c r="AF1553" s="139">
        <f t="shared" si="3117"/>
        <v>0</v>
      </c>
      <c r="AG1553" s="139">
        <f t="shared" si="3117"/>
        <v>0</v>
      </c>
      <c r="AH1553" s="139">
        <f t="shared" si="3117"/>
        <v>1.4251781472684086E-2</v>
      </c>
      <c r="AI1553" s="139">
        <f t="shared" si="3117"/>
        <v>9.5011876484560574E-3</v>
      </c>
    </row>
    <row r="1554" spans="2:35">
      <c r="B1554" s="138" t="s">
        <v>8077</v>
      </c>
      <c r="C1554" s="138" t="s">
        <v>4367</v>
      </c>
      <c r="D1554" s="138" t="s">
        <v>7</v>
      </c>
      <c r="E1554" s="138" t="s">
        <v>785</v>
      </c>
      <c r="F1554" s="138" t="s">
        <v>785</v>
      </c>
      <c r="H1554" s="138">
        <v>137</v>
      </c>
      <c r="I1554" s="138">
        <v>568</v>
      </c>
      <c r="J1554" s="138">
        <v>371</v>
      </c>
      <c r="K1554" s="138">
        <v>183</v>
      </c>
      <c r="N1554" s="138">
        <v>2</v>
      </c>
      <c r="O1554" s="138">
        <v>4</v>
      </c>
      <c r="R1554" s="138">
        <v>0</v>
      </c>
      <c r="S1554" s="138">
        <v>6</v>
      </c>
      <c r="T1554" s="138">
        <v>2</v>
      </c>
      <c r="U1554" s="138">
        <f t="shared" si="3072"/>
        <v>12</v>
      </c>
      <c r="W1554" s="139">
        <f t="shared" ref="W1554:AA1554" si="3118">J1554/$I1554</f>
        <v>0.653169014084507</v>
      </c>
      <c r="X1554" s="139">
        <f t="shared" si="3118"/>
        <v>0.32218309859154931</v>
      </c>
      <c r="Y1554" s="139">
        <f t="shared" si="3118"/>
        <v>0</v>
      </c>
      <c r="Z1554" s="139">
        <f t="shared" si="3118"/>
        <v>0</v>
      </c>
      <c r="AA1554" s="139">
        <f t="shared" si="3118"/>
        <v>3.5211267605633804E-3</v>
      </c>
      <c r="AB1554" s="139"/>
      <c r="AC1554" s="139">
        <f t="shared" si="3074"/>
        <v>2.1126760563380281E-2</v>
      </c>
      <c r="AD1554" s="139">
        <f t="shared" ref="AD1554:AI1554" si="3119">O1554/$I1554</f>
        <v>7.0422535211267607E-3</v>
      </c>
      <c r="AE1554" s="139">
        <f t="shared" si="3119"/>
        <v>0</v>
      </c>
      <c r="AF1554" s="139">
        <f t="shared" si="3119"/>
        <v>0</v>
      </c>
      <c r="AG1554" s="139">
        <f t="shared" si="3119"/>
        <v>0</v>
      </c>
      <c r="AH1554" s="139">
        <f t="shared" si="3119"/>
        <v>1.0563380281690141E-2</v>
      </c>
      <c r="AI1554" s="139">
        <f t="shared" si="3119"/>
        <v>3.5211267605633804E-3</v>
      </c>
    </row>
    <row r="1555" spans="2:35">
      <c r="B1555" s="138" t="s">
        <v>8077</v>
      </c>
      <c r="C1555" s="138" t="s">
        <v>4367</v>
      </c>
      <c r="D1555" s="138" t="s">
        <v>7</v>
      </c>
      <c r="E1555" s="138" t="s">
        <v>785</v>
      </c>
      <c r="F1555" s="138" t="s">
        <v>785</v>
      </c>
      <c r="H1555" s="138">
        <v>138</v>
      </c>
      <c r="I1555" s="138">
        <v>546</v>
      </c>
      <c r="J1555" s="138">
        <v>324</v>
      </c>
      <c r="K1555" s="138">
        <v>197</v>
      </c>
      <c r="N1555" s="138">
        <v>2</v>
      </c>
      <c r="O1555" s="138">
        <v>3</v>
      </c>
      <c r="R1555" s="138">
        <v>0</v>
      </c>
      <c r="S1555" s="138">
        <v>10</v>
      </c>
      <c r="T1555" s="138">
        <v>10</v>
      </c>
      <c r="U1555" s="138">
        <f t="shared" si="3072"/>
        <v>23</v>
      </c>
      <c r="W1555" s="139">
        <f t="shared" ref="W1555:AA1555" si="3120">J1555/$I1555</f>
        <v>0.59340659340659341</v>
      </c>
      <c r="X1555" s="139">
        <f t="shared" si="3120"/>
        <v>0.3608058608058608</v>
      </c>
      <c r="Y1555" s="139">
        <f t="shared" si="3120"/>
        <v>0</v>
      </c>
      <c r="Z1555" s="139">
        <f t="shared" si="3120"/>
        <v>0</v>
      </c>
      <c r="AA1555" s="139">
        <f t="shared" si="3120"/>
        <v>3.663003663003663E-3</v>
      </c>
      <c r="AB1555" s="139"/>
      <c r="AC1555" s="139">
        <f t="shared" si="3074"/>
        <v>4.2124542124542128E-2</v>
      </c>
      <c r="AD1555" s="139">
        <f t="shared" ref="AD1555:AI1555" si="3121">O1555/$I1555</f>
        <v>5.4945054945054949E-3</v>
      </c>
      <c r="AE1555" s="139">
        <f t="shared" si="3121"/>
        <v>0</v>
      </c>
      <c r="AF1555" s="139">
        <f t="shared" si="3121"/>
        <v>0</v>
      </c>
      <c r="AG1555" s="139">
        <f t="shared" si="3121"/>
        <v>0</v>
      </c>
      <c r="AH1555" s="139">
        <f t="shared" si="3121"/>
        <v>1.8315018315018316E-2</v>
      </c>
      <c r="AI1555" s="139">
        <f t="shared" si="3121"/>
        <v>1.8315018315018316E-2</v>
      </c>
    </row>
    <row r="1556" spans="2:35">
      <c r="B1556" s="138" t="s">
        <v>8077</v>
      </c>
      <c r="C1556" s="138" t="s">
        <v>4367</v>
      </c>
      <c r="D1556" s="138" t="s">
        <v>7</v>
      </c>
      <c r="E1556" s="138" t="s">
        <v>785</v>
      </c>
      <c r="F1556" s="138" t="s">
        <v>785</v>
      </c>
      <c r="H1556" s="138">
        <v>139</v>
      </c>
      <c r="I1556" s="138">
        <v>598</v>
      </c>
      <c r="J1556" s="138">
        <v>360</v>
      </c>
      <c r="K1556" s="138">
        <v>217</v>
      </c>
      <c r="N1556" s="138">
        <v>3</v>
      </c>
      <c r="O1556" s="138">
        <v>3</v>
      </c>
      <c r="R1556" s="138">
        <v>0</v>
      </c>
      <c r="S1556" s="138">
        <v>11</v>
      </c>
      <c r="T1556" s="138">
        <v>4</v>
      </c>
      <c r="U1556" s="138">
        <f t="shared" si="3072"/>
        <v>18</v>
      </c>
      <c r="W1556" s="139">
        <f t="shared" ref="W1556:AA1556" si="3122">J1556/$I1556</f>
        <v>0.60200668896321075</v>
      </c>
      <c r="X1556" s="139">
        <f t="shared" si="3122"/>
        <v>0.36287625418060199</v>
      </c>
      <c r="Y1556" s="139">
        <f t="shared" si="3122"/>
        <v>0</v>
      </c>
      <c r="Z1556" s="139">
        <f t="shared" si="3122"/>
        <v>0</v>
      </c>
      <c r="AA1556" s="139">
        <f t="shared" si="3122"/>
        <v>5.016722408026756E-3</v>
      </c>
      <c r="AB1556" s="139"/>
      <c r="AC1556" s="139">
        <f t="shared" si="3074"/>
        <v>3.0100334448160536E-2</v>
      </c>
      <c r="AD1556" s="139">
        <f t="shared" ref="AD1556:AI1556" si="3123">O1556/$I1556</f>
        <v>5.016722408026756E-3</v>
      </c>
      <c r="AE1556" s="139">
        <f t="shared" si="3123"/>
        <v>0</v>
      </c>
      <c r="AF1556" s="139">
        <f t="shared" si="3123"/>
        <v>0</v>
      </c>
      <c r="AG1556" s="139">
        <f t="shared" si="3123"/>
        <v>0</v>
      </c>
      <c r="AH1556" s="139">
        <f t="shared" si="3123"/>
        <v>1.839464882943144E-2</v>
      </c>
      <c r="AI1556" s="139">
        <f t="shared" si="3123"/>
        <v>6.688963210702341E-3</v>
      </c>
    </row>
    <row r="1557" spans="2:35">
      <c r="B1557" s="138" t="s">
        <v>8077</v>
      </c>
      <c r="C1557" s="138" t="s">
        <v>4367</v>
      </c>
      <c r="D1557" s="138" t="s">
        <v>7</v>
      </c>
      <c r="E1557" s="138" t="s">
        <v>785</v>
      </c>
      <c r="F1557" s="138" t="s">
        <v>785</v>
      </c>
      <c r="H1557" s="138">
        <v>140</v>
      </c>
      <c r="I1557" s="138">
        <v>614</v>
      </c>
      <c r="J1557" s="138">
        <v>401</v>
      </c>
      <c r="K1557" s="138">
        <v>184</v>
      </c>
      <c r="N1557" s="138">
        <v>7</v>
      </c>
      <c r="O1557" s="138">
        <v>1</v>
      </c>
      <c r="R1557" s="138">
        <v>3</v>
      </c>
      <c r="S1557" s="138">
        <v>14</v>
      </c>
      <c r="T1557" s="138">
        <v>4</v>
      </c>
      <c r="U1557" s="138">
        <f t="shared" si="3072"/>
        <v>22</v>
      </c>
      <c r="W1557" s="139">
        <f t="shared" ref="W1557:AA1557" si="3124">J1557/$I1557</f>
        <v>0.65309446254071657</v>
      </c>
      <c r="X1557" s="139">
        <f t="shared" si="3124"/>
        <v>0.29967426710097722</v>
      </c>
      <c r="Y1557" s="139">
        <f t="shared" si="3124"/>
        <v>0</v>
      </c>
      <c r="Z1557" s="139">
        <f t="shared" si="3124"/>
        <v>0</v>
      </c>
      <c r="AA1557" s="139">
        <f t="shared" si="3124"/>
        <v>1.1400651465798045E-2</v>
      </c>
      <c r="AB1557" s="139"/>
      <c r="AC1557" s="139">
        <f t="shared" si="3074"/>
        <v>3.5830618892508145E-2</v>
      </c>
      <c r="AD1557" s="139">
        <f t="shared" ref="AD1557:AI1557" si="3125">O1557/$I1557</f>
        <v>1.6286644951140066E-3</v>
      </c>
      <c r="AE1557" s="139">
        <f t="shared" si="3125"/>
        <v>0</v>
      </c>
      <c r="AF1557" s="139">
        <f t="shared" si="3125"/>
        <v>0</v>
      </c>
      <c r="AG1557" s="139">
        <f t="shared" si="3125"/>
        <v>4.8859934853420191E-3</v>
      </c>
      <c r="AH1557" s="139">
        <f t="shared" si="3125"/>
        <v>2.2801302931596091E-2</v>
      </c>
      <c r="AI1557" s="139">
        <f t="shared" si="3125"/>
        <v>6.5146579804560263E-3</v>
      </c>
    </row>
    <row r="1558" spans="2:35">
      <c r="B1558" s="138" t="s">
        <v>8077</v>
      </c>
      <c r="C1558" s="138" t="s">
        <v>4367</v>
      </c>
      <c r="D1558" s="138" t="s">
        <v>7</v>
      </c>
      <c r="E1558" s="138" t="s">
        <v>785</v>
      </c>
      <c r="F1558" s="138" t="s">
        <v>785</v>
      </c>
      <c r="H1558" s="138">
        <v>141</v>
      </c>
      <c r="I1558" s="138">
        <v>860</v>
      </c>
      <c r="J1558" s="138">
        <v>533</v>
      </c>
      <c r="K1558" s="138">
        <v>272</v>
      </c>
      <c r="N1558" s="138">
        <v>13</v>
      </c>
      <c r="O1558" s="138">
        <v>4</v>
      </c>
      <c r="R1558" s="138">
        <v>2</v>
      </c>
      <c r="S1558" s="138">
        <v>25</v>
      </c>
      <c r="T1558" s="138">
        <v>11</v>
      </c>
      <c r="U1558" s="138">
        <f t="shared" si="3072"/>
        <v>42</v>
      </c>
      <c r="W1558" s="139">
        <f t="shared" ref="W1558:AA1558" si="3126">J1558/$I1558</f>
        <v>0.61976744186046506</v>
      </c>
      <c r="X1558" s="139">
        <f t="shared" si="3126"/>
        <v>0.31627906976744186</v>
      </c>
      <c r="Y1558" s="139">
        <f t="shared" si="3126"/>
        <v>0</v>
      </c>
      <c r="Z1558" s="139">
        <f t="shared" si="3126"/>
        <v>0</v>
      </c>
      <c r="AA1558" s="139">
        <f t="shared" si="3126"/>
        <v>1.5116279069767442E-2</v>
      </c>
      <c r="AB1558" s="139"/>
      <c r="AC1558" s="139">
        <f t="shared" si="3074"/>
        <v>4.8837209302325581E-2</v>
      </c>
      <c r="AD1558" s="139">
        <f t="shared" ref="AD1558:AI1558" si="3127">O1558/$I1558</f>
        <v>4.6511627906976744E-3</v>
      </c>
      <c r="AE1558" s="139">
        <f t="shared" si="3127"/>
        <v>0</v>
      </c>
      <c r="AF1558" s="139">
        <f t="shared" si="3127"/>
        <v>0</v>
      </c>
      <c r="AG1558" s="139">
        <f t="shared" si="3127"/>
        <v>2.3255813953488372E-3</v>
      </c>
      <c r="AH1558" s="139">
        <f t="shared" si="3127"/>
        <v>2.9069767441860465E-2</v>
      </c>
      <c r="AI1558" s="139">
        <f t="shared" si="3127"/>
        <v>1.2790697674418604E-2</v>
      </c>
    </row>
    <row r="1559" spans="2:35">
      <c r="B1559" s="138" t="s">
        <v>8077</v>
      </c>
      <c r="C1559" s="138" t="s">
        <v>4367</v>
      </c>
      <c r="D1559" s="138" t="s">
        <v>7</v>
      </c>
      <c r="E1559" s="138" t="s">
        <v>785</v>
      </c>
      <c r="F1559" s="138" t="s">
        <v>785</v>
      </c>
      <c r="H1559" s="138">
        <v>142</v>
      </c>
      <c r="I1559" s="138">
        <v>791</v>
      </c>
      <c r="J1559" s="138">
        <v>519</v>
      </c>
      <c r="K1559" s="138">
        <v>243</v>
      </c>
      <c r="N1559" s="138">
        <v>13</v>
      </c>
      <c r="O1559" s="138">
        <v>1</v>
      </c>
      <c r="R1559" s="138">
        <v>0</v>
      </c>
      <c r="S1559" s="138">
        <v>13</v>
      </c>
      <c r="T1559" s="138">
        <v>2</v>
      </c>
      <c r="U1559" s="138">
        <f t="shared" si="3072"/>
        <v>16</v>
      </c>
      <c r="W1559" s="139">
        <f t="shared" ref="W1559:AA1559" si="3128">J1559/$I1559</f>
        <v>0.65613147914032866</v>
      </c>
      <c r="X1559" s="139">
        <f t="shared" si="3128"/>
        <v>0.30720606826801516</v>
      </c>
      <c r="Y1559" s="139">
        <f t="shared" si="3128"/>
        <v>0</v>
      </c>
      <c r="Z1559" s="139">
        <f t="shared" si="3128"/>
        <v>0</v>
      </c>
      <c r="AA1559" s="139">
        <f t="shared" si="3128"/>
        <v>1.643489254108723E-2</v>
      </c>
      <c r="AB1559" s="139"/>
      <c r="AC1559" s="139">
        <f t="shared" si="3074"/>
        <v>2.0227560050568902E-2</v>
      </c>
      <c r="AD1559" s="139">
        <f t="shared" ref="AD1559:AI1559" si="3129">O1559/$I1559</f>
        <v>1.2642225031605564E-3</v>
      </c>
      <c r="AE1559" s="139">
        <f t="shared" si="3129"/>
        <v>0</v>
      </c>
      <c r="AF1559" s="139">
        <f t="shared" si="3129"/>
        <v>0</v>
      </c>
      <c r="AG1559" s="139">
        <f t="shared" si="3129"/>
        <v>0</v>
      </c>
      <c r="AH1559" s="139">
        <f t="shared" si="3129"/>
        <v>1.643489254108723E-2</v>
      </c>
      <c r="AI1559" s="139">
        <f t="shared" si="3129"/>
        <v>2.5284450063211127E-3</v>
      </c>
    </row>
    <row r="1560" spans="2:35">
      <c r="B1560" s="138" t="s">
        <v>8077</v>
      </c>
      <c r="C1560" s="138" t="s">
        <v>4367</v>
      </c>
      <c r="D1560" s="138" t="s">
        <v>7</v>
      </c>
      <c r="E1560" s="138" t="s">
        <v>785</v>
      </c>
      <c r="F1560" s="138" t="s">
        <v>785</v>
      </c>
      <c r="H1560" s="138">
        <v>143</v>
      </c>
      <c r="I1560" s="138">
        <v>870</v>
      </c>
      <c r="J1560" s="138">
        <v>533</v>
      </c>
      <c r="K1560" s="138">
        <v>296</v>
      </c>
      <c r="N1560" s="138">
        <v>9</v>
      </c>
      <c r="O1560" s="138">
        <v>4</v>
      </c>
      <c r="R1560" s="138">
        <v>1</v>
      </c>
      <c r="S1560" s="138">
        <v>19</v>
      </c>
      <c r="T1560" s="138">
        <v>8</v>
      </c>
      <c r="U1560" s="138">
        <f t="shared" si="3072"/>
        <v>32</v>
      </c>
      <c r="W1560" s="139">
        <f t="shared" ref="W1560:AA1560" si="3130">J1560/$I1560</f>
        <v>0.61264367816091958</v>
      </c>
      <c r="X1560" s="139">
        <f t="shared" si="3130"/>
        <v>0.34022988505747126</v>
      </c>
      <c r="Y1560" s="139">
        <f t="shared" si="3130"/>
        <v>0</v>
      </c>
      <c r="Z1560" s="139">
        <f t="shared" si="3130"/>
        <v>0</v>
      </c>
      <c r="AA1560" s="139">
        <f t="shared" si="3130"/>
        <v>1.0344827586206896E-2</v>
      </c>
      <c r="AB1560" s="139"/>
      <c r="AC1560" s="139">
        <f t="shared" si="3074"/>
        <v>3.6781609195402298E-2</v>
      </c>
      <c r="AD1560" s="139">
        <f t="shared" ref="AD1560:AI1560" si="3131">O1560/$I1560</f>
        <v>4.5977011494252873E-3</v>
      </c>
      <c r="AE1560" s="139">
        <f t="shared" si="3131"/>
        <v>0</v>
      </c>
      <c r="AF1560" s="139">
        <f t="shared" si="3131"/>
        <v>0</v>
      </c>
      <c r="AG1560" s="139">
        <f t="shared" si="3131"/>
        <v>1.1494252873563218E-3</v>
      </c>
      <c r="AH1560" s="139">
        <f t="shared" si="3131"/>
        <v>2.1839080459770115E-2</v>
      </c>
      <c r="AI1560" s="139">
        <f t="shared" si="3131"/>
        <v>9.1954022988505746E-3</v>
      </c>
    </row>
    <row r="1561" spans="2:35">
      <c r="B1561" s="138" t="s">
        <v>8077</v>
      </c>
      <c r="C1561" s="138" t="s">
        <v>4367</v>
      </c>
      <c r="D1561" s="138" t="s">
        <v>7</v>
      </c>
      <c r="E1561" s="138" t="s">
        <v>785</v>
      </c>
      <c r="F1561" s="138" t="s">
        <v>785</v>
      </c>
      <c r="H1561" s="138">
        <v>144</v>
      </c>
      <c r="I1561" s="138">
        <v>1045</v>
      </c>
      <c r="J1561" s="138">
        <v>613</v>
      </c>
      <c r="K1561" s="138">
        <v>370</v>
      </c>
      <c r="N1561" s="138">
        <v>12</v>
      </c>
      <c r="O1561" s="138">
        <v>6</v>
      </c>
      <c r="R1561" s="138">
        <v>1</v>
      </c>
      <c r="S1561" s="138">
        <v>31</v>
      </c>
      <c r="T1561" s="138">
        <v>12</v>
      </c>
      <c r="U1561" s="138">
        <f t="shared" si="3072"/>
        <v>50</v>
      </c>
      <c r="W1561" s="139">
        <f t="shared" ref="W1561:AA1561" si="3132">J1561/$I1561</f>
        <v>0.58660287081339713</v>
      </c>
      <c r="X1561" s="139">
        <f t="shared" si="3132"/>
        <v>0.35406698564593303</v>
      </c>
      <c r="Y1561" s="139">
        <f t="shared" si="3132"/>
        <v>0</v>
      </c>
      <c r="Z1561" s="139">
        <f t="shared" si="3132"/>
        <v>0</v>
      </c>
      <c r="AA1561" s="139">
        <f t="shared" si="3132"/>
        <v>1.1483253588516746E-2</v>
      </c>
      <c r="AB1561" s="139"/>
      <c r="AC1561" s="139">
        <f t="shared" si="3074"/>
        <v>4.784688995215311E-2</v>
      </c>
      <c r="AD1561" s="139">
        <f t="shared" ref="AD1561:AI1561" si="3133">O1561/$I1561</f>
        <v>5.7416267942583732E-3</v>
      </c>
      <c r="AE1561" s="139">
        <f t="shared" si="3133"/>
        <v>0</v>
      </c>
      <c r="AF1561" s="139">
        <f t="shared" si="3133"/>
        <v>0</v>
      </c>
      <c r="AG1561" s="139">
        <f t="shared" si="3133"/>
        <v>9.5693779904306223E-4</v>
      </c>
      <c r="AH1561" s="139">
        <f t="shared" si="3133"/>
        <v>2.9665071770334929E-2</v>
      </c>
      <c r="AI1561" s="139">
        <f t="shared" si="3133"/>
        <v>1.1483253588516746E-2</v>
      </c>
    </row>
    <row r="1562" spans="2:35">
      <c r="B1562" s="138" t="s">
        <v>8077</v>
      </c>
      <c r="C1562" s="138" t="s">
        <v>4367</v>
      </c>
      <c r="D1562" s="138" t="s">
        <v>7</v>
      </c>
      <c r="E1562" s="138" t="s">
        <v>785</v>
      </c>
      <c r="F1562" s="138" t="s">
        <v>785</v>
      </c>
      <c r="H1562" s="138">
        <v>145</v>
      </c>
      <c r="I1562" s="138">
        <v>1201</v>
      </c>
      <c r="J1562" s="138">
        <v>689</v>
      </c>
      <c r="K1562" s="138">
        <v>467</v>
      </c>
      <c r="N1562" s="138">
        <v>9</v>
      </c>
      <c r="O1562" s="138">
        <v>5</v>
      </c>
      <c r="R1562" s="138">
        <v>2</v>
      </c>
      <c r="S1562" s="138">
        <v>22</v>
      </c>
      <c r="T1562" s="138">
        <v>7</v>
      </c>
      <c r="U1562" s="138">
        <f t="shared" si="3072"/>
        <v>36</v>
      </c>
      <c r="W1562" s="139">
        <f t="shared" ref="W1562:AA1562" si="3134">J1562/$I1562</f>
        <v>0.57368859283930063</v>
      </c>
      <c r="X1562" s="139">
        <f t="shared" si="3134"/>
        <v>0.38884263114071604</v>
      </c>
      <c r="Y1562" s="139">
        <f t="shared" si="3134"/>
        <v>0</v>
      </c>
      <c r="Z1562" s="139">
        <f t="shared" si="3134"/>
        <v>0</v>
      </c>
      <c r="AA1562" s="139">
        <f t="shared" si="3134"/>
        <v>7.4937552039966698E-3</v>
      </c>
      <c r="AB1562" s="139"/>
      <c r="AC1562" s="139">
        <f t="shared" si="3074"/>
        <v>2.9975020815986679E-2</v>
      </c>
      <c r="AD1562" s="139">
        <f t="shared" ref="AD1562:AI1562" si="3135">O1562/$I1562</f>
        <v>4.163197335553705E-3</v>
      </c>
      <c r="AE1562" s="139">
        <f t="shared" si="3135"/>
        <v>0</v>
      </c>
      <c r="AF1562" s="139">
        <f t="shared" si="3135"/>
        <v>0</v>
      </c>
      <c r="AG1562" s="139">
        <f t="shared" si="3135"/>
        <v>1.6652789342214821E-3</v>
      </c>
      <c r="AH1562" s="139">
        <f t="shared" si="3135"/>
        <v>1.8318068276436304E-2</v>
      </c>
      <c r="AI1562" s="139">
        <f t="shared" si="3135"/>
        <v>5.8284762697751874E-3</v>
      </c>
    </row>
    <row r="1563" spans="2:35">
      <c r="B1563" s="138" t="s">
        <v>8077</v>
      </c>
      <c r="C1563" s="138" t="s">
        <v>4367</v>
      </c>
      <c r="D1563" s="138" t="s">
        <v>7</v>
      </c>
      <c r="E1563" s="138" t="s">
        <v>7</v>
      </c>
      <c r="F1563" s="138" t="s">
        <v>8201</v>
      </c>
      <c r="H1563" s="138">
        <v>146</v>
      </c>
      <c r="I1563" s="138">
        <v>726</v>
      </c>
      <c r="J1563" s="138">
        <v>501</v>
      </c>
      <c r="K1563" s="138">
        <v>193</v>
      </c>
      <c r="N1563" s="138">
        <v>7</v>
      </c>
      <c r="O1563" s="138">
        <v>4</v>
      </c>
      <c r="R1563" s="138">
        <v>1</v>
      </c>
      <c r="S1563" s="138">
        <v>12</v>
      </c>
      <c r="T1563" s="138">
        <v>8</v>
      </c>
      <c r="U1563" s="138">
        <f t="shared" si="3072"/>
        <v>25</v>
      </c>
      <c r="W1563" s="139">
        <f t="shared" ref="W1563:AA1563" si="3136">J1563/$I1563</f>
        <v>0.69008264462809921</v>
      </c>
      <c r="X1563" s="139">
        <f t="shared" si="3136"/>
        <v>0.26584022038567495</v>
      </c>
      <c r="Y1563" s="139">
        <f t="shared" si="3136"/>
        <v>0</v>
      </c>
      <c r="Z1563" s="139">
        <f t="shared" si="3136"/>
        <v>0</v>
      </c>
      <c r="AA1563" s="139">
        <f t="shared" si="3136"/>
        <v>9.6418732782369149E-3</v>
      </c>
      <c r="AB1563" s="139"/>
      <c r="AC1563" s="139">
        <f t="shared" si="3074"/>
        <v>3.4435261707988982E-2</v>
      </c>
      <c r="AD1563" s="139">
        <f t="shared" ref="AD1563:AI1563" si="3137">O1563/$I1563</f>
        <v>5.5096418732782371E-3</v>
      </c>
      <c r="AE1563" s="139">
        <f t="shared" si="3137"/>
        <v>0</v>
      </c>
      <c r="AF1563" s="139">
        <f t="shared" si="3137"/>
        <v>0</v>
      </c>
      <c r="AG1563" s="139">
        <f t="shared" si="3137"/>
        <v>1.3774104683195593E-3</v>
      </c>
      <c r="AH1563" s="139">
        <f t="shared" si="3137"/>
        <v>1.6528925619834711E-2</v>
      </c>
      <c r="AI1563" s="139">
        <f t="shared" si="3137"/>
        <v>1.1019283746556474E-2</v>
      </c>
    </row>
    <row r="1564" spans="2:35">
      <c r="B1564" s="138" t="s">
        <v>8077</v>
      </c>
      <c r="C1564" s="138" t="s">
        <v>4367</v>
      </c>
      <c r="D1564" s="138" t="s">
        <v>7</v>
      </c>
      <c r="E1564" s="138" t="s">
        <v>7</v>
      </c>
      <c r="F1564" s="138" t="s">
        <v>8201</v>
      </c>
      <c r="H1564" s="138">
        <v>147</v>
      </c>
      <c r="I1564" s="138">
        <v>869</v>
      </c>
      <c r="J1564" s="138">
        <v>332</v>
      </c>
      <c r="K1564" s="138">
        <v>487</v>
      </c>
      <c r="N1564" s="138">
        <v>8</v>
      </c>
      <c r="O1564" s="138">
        <v>8</v>
      </c>
      <c r="R1564" s="138">
        <v>0</v>
      </c>
      <c r="S1564" s="138">
        <v>16</v>
      </c>
      <c r="T1564" s="138">
        <v>18</v>
      </c>
      <c r="U1564" s="138">
        <f t="shared" si="3072"/>
        <v>42</v>
      </c>
      <c r="W1564" s="139">
        <f t="shared" ref="W1564:AA1564" si="3138">J1564/$I1564</f>
        <v>0.38204833141542005</v>
      </c>
      <c r="X1564" s="139">
        <f t="shared" si="3138"/>
        <v>0.5604142692750288</v>
      </c>
      <c r="Y1564" s="139">
        <f t="shared" si="3138"/>
        <v>0</v>
      </c>
      <c r="Z1564" s="139">
        <f t="shared" si="3138"/>
        <v>0</v>
      </c>
      <c r="AA1564" s="139">
        <f t="shared" si="3138"/>
        <v>9.2059838895281933E-3</v>
      </c>
      <c r="AB1564" s="139"/>
      <c r="AC1564" s="139">
        <f t="shared" si="3074"/>
        <v>4.8331415420023012E-2</v>
      </c>
      <c r="AD1564" s="139">
        <f t="shared" ref="AD1564:AI1564" si="3139">O1564/$I1564</f>
        <v>9.2059838895281933E-3</v>
      </c>
      <c r="AE1564" s="139">
        <f t="shared" si="3139"/>
        <v>0</v>
      </c>
      <c r="AF1564" s="139">
        <f t="shared" si="3139"/>
        <v>0</v>
      </c>
      <c r="AG1564" s="139">
        <f t="shared" si="3139"/>
        <v>0</v>
      </c>
      <c r="AH1564" s="139">
        <f t="shared" si="3139"/>
        <v>1.8411967779056387E-2</v>
      </c>
      <c r="AI1564" s="139">
        <f t="shared" si="3139"/>
        <v>2.0713463751438434E-2</v>
      </c>
    </row>
    <row r="1565" spans="2:35">
      <c r="B1565" s="138" t="s">
        <v>8077</v>
      </c>
      <c r="C1565" s="138" t="s">
        <v>4367</v>
      </c>
      <c r="D1565" s="138" t="s">
        <v>7</v>
      </c>
      <c r="E1565" s="138" t="s">
        <v>7</v>
      </c>
      <c r="F1565" s="138" t="s">
        <v>8201</v>
      </c>
      <c r="H1565" s="138">
        <v>148</v>
      </c>
      <c r="I1565" s="138">
        <v>1045</v>
      </c>
      <c r="J1565" s="138">
        <v>299</v>
      </c>
      <c r="K1565" s="138">
        <v>689</v>
      </c>
      <c r="N1565" s="138">
        <v>11</v>
      </c>
      <c r="O1565" s="138">
        <v>9</v>
      </c>
      <c r="R1565" s="138">
        <v>2</v>
      </c>
      <c r="S1565" s="138">
        <v>12</v>
      </c>
      <c r="T1565" s="138">
        <v>23</v>
      </c>
      <c r="U1565" s="138">
        <f t="shared" si="3072"/>
        <v>46</v>
      </c>
      <c r="W1565" s="139">
        <f t="shared" ref="W1565:AA1565" si="3140">J1565/$I1565</f>
        <v>0.28612440191387561</v>
      </c>
      <c r="X1565" s="139">
        <f t="shared" si="3140"/>
        <v>0.65933014354066988</v>
      </c>
      <c r="Y1565" s="139">
        <f t="shared" si="3140"/>
        <v>0</v>
      </c>
      <c r="Z1565" s="139">
        <f t="shared" si="3140"/>
        <v>0</v>
      </c>
      <c r="AA1565" s="139">
        <f t="shared" si="3140"/>
        <v>1.0526315789473684E-2</v>
      </c>
      <c r="AB1565" s="139"/>
      <c r="AC1565" s="139">
        <f t="shared" si="3074"/>
        <v>4.4019138755980861E-2</v>
      </c>
      <c r="AD1565" s="139">
        <f t="shared" ref="AD1565:AI1565" si="3141">O1565/$I1565</f>
        <v>8.6124401913875593E-3</v>
      </c>
      <c r="AE1565" s="139">
        <f t="shared" si="3141"/>
        <v>0</v>
      </c>
      <c r="AF1565" s="139">
        <f t="shared" si="3141"/>
        <v>0</v>
      </c>
      <c r="AG1565" s="139">
        <f t="shared" si="3141"/>
        <v>1.9138755980861245E-3</v>
      </c>
      <c r="AH1565" s="139">
        <f t="shared" si="3141"/>
        <v>1.1483253588516746E-2</v>
      </c>
      <c r="AI1565" s="139">
        <f t="shared" si="3141"/>
        <v>2.200956937799043E-2</v>
      </c>
    </row>
    <row r="1566" spans="2:35">
      <c r="B1566" s="138" t="s">
        <v>8077</v>
      </c>
      <c r="C1566" s="138" t="s">
        <v>4367</v>
      </c>
      <c r="D1566" s="138" t="s">
        <v>7</v>
      </c>
      <c r="E1566" s="138" t="s">
        <v>7</v>
      </c>
      <c r="F1566" s="138" t="s">
        <v>8201</v>
      </c>
      <c r="H1566" s="138">
        <v>149</v>
      </c>
      <c r="I1566" s="138">
        <v>365</v>
      </c>
      <c r="J1566" s="138">
        <v>212</v>
      </c>
      <c r="K1566" s="138">
        <v>134</v>
      </c>
      <c r="N1566" s="138">
        <v>6</v>
      </c>
      <c r="O1566" s="138">
        <v>1</v>
      </c>
      <c r="R1566" s="138">
        <v>0</v>
      </c>
      <c r="S1566" s="138">
        <v>5</v>
      </c>
      <c r="T1566" s="138">
        <v>7</v>
      </c>
      <c r="U1566" s="138">
        <f t="shared" si="3072"/>
        <v>13</v>
      </c>
      <c r="W1566" s="139">
        <f t="shared" ref="W1566:AA1566" si="3142">J1566/$I1566</f>
        <v>0.58082191780821912</v>
      </c>
      <c r="X1566" s="139">
        <f t="shared" si="3142"/>
        <v>0.36712328767123287</v>
      </c>
      <c r="Y1566" s="139">
        <f t="shared" si="3142"/>
        <v>0</v>
      </c>
      <c r="Z1566" s="139">
        <f t="shared" si="3142"/>
        <v>0</v>
      </c>
      <c r="AA1566" s="139">
        <f t="shared" si="3142"/>
        <v>1.643835616438356E-2</v>
      </c>
      <c r="AB1566" s="139"/>
      <c r="AC1566" s="139">
        <f t="shared" si="3074"/>
        <v>3.5616438356164383E-2</v>
      </c>
      <c r="AD1566" s="139">
        <f t="shared" ref="AD1566:AI1566" si="3143">O1566/$I1566</f>
        <v>2.7397260273972603E-3</v>
      </c>
      <c r="AE1566" s="139">
        <f t="shared" si="3143"/>
        <v>0</v>
      </c>
      <c r="AF1566" s="139">
        <f t="shared" si="3143"/>
        <v>0</v>
      </c>
      <c r="AG1566" s="139">
        <f t="shared" si="3143"/>
        <v>0</v>
      </c>
      <c r="AH1566" s="139">
        <f t="shared" si="3143"/>
        <v>1.3698630136986301E-2</v>
      </c>
      <c r="AI1566" s="139">
        <f t="shared" si="3143"/>
        <v>1.9178082191780823E-2</v>
      </c>
    </row>
    <row r="1567" spans="2:35">
      <c r="B1567" s="138" t="s">
        <v>8077</v>
      </c>
      <c r="C1567" s="138" t="s">
        <v>4367</v>
      </c>
      <c r="D1567" s="138" t="s">
        <v>7</v>
      </c>
      <c r="E1567" s="138" t="s">
        <v>7</v>
      </c>
      <c r="F1567" s="138" t="s">
        <v>8201</v>
      </c>
      <c r="H1567" s="138">
        <v>150</v>
      </c>
      <c r="I1567" s="138">
        <v>525</v>
      </c>
      <c r="J1567" s="138">
        <v>218</v>
      </c>
      <c r="K1567" s="138">
        <v>273</v>
      </c>
      <c r="N1567" s="138">
        <v>8</v>
      </c>
      <c r="O1567" s="138">
        <v>2</v>
      </c>
      <c r="R1567" s="138">
        <v>4</v>
      </c>
      <c r="S1567" s="138">
        <v>6</v>
      </c>
      <c r="T1567" s="138">
        <v>14</v>
      </c>
      <c r="U1567" s="138">
        <f t="shared" si="3072"/>
        <v>26</v>
      </c>
      <c r="W1567" s="139">
        <f t="shared" ref="W1567:AA1567" si="3144">J1567/$I1567</f>
        <v>0.41523809523809524</v>
      </c>
      <c r="X1567" s="139">
        <f t="shared" si="3144"/>
        <v>0.52</v>
      </c>
      <c r="Y1567" s="139">
        <f t="shared" si="3144"/>
        <v>0</v>
      </c>
      <c r="Z1567" s="139">
        <f t="shared" si="3144"/>
        <v>0</v>
      </c>
      <c r="AA1567" s="139">
        <f t="shared" si="3144"/>
        <v>1.5238095238095238E-2</v>
      </c>
      <c r="AB1567" s="139"/>
      <c r="AC1567" s="139">
        <f t="shared" si="3074"/>
        <v>4.9523809523809526E-2</v>
      </c>
      <c r="AD1567" s="139">
        <f t="shared" ref="AD1567:AI1567" si="3145">O1567/$I1567</f>
        <v>3.8095238095238095E-3</v>
      </c>
      <c r="AE1567" s="139">
        <f t="shared" si="3145"/>
        <v>0</v>
      </c>
      <c r="AF1567" s="139">
        <f t="shared" si="3145"/>
        <v>0</v>
      </c>
      <c r="AG1567" s="139">
        <f t="shared" si="3145"/>
        <v>7.619047619047619E-3</v>
      </c>
      <c r="AH1567" s="139">
        <f t="shared" si="3145"/>
        <v>1.1428571428571429E-2</v>
      </c>
      <c r="AI1567" s="139">
        <f t="shared" si="3145"/>
        <v>2.6666666666666668E-2</v>
      </c>
    </row>
    <row r="1568" spans="2:35">
      <c r="B1568" s="138" t="s">
        <v>8077</v>
      </c>
      <c r="C1568" s="138" t="s">
        <v>4367</v>
      </c>
      <c r="D1568" s="138" t="s">
        <v>7</v>
      </c>
      <c r="E1568" s="138" t="s">
        <v>7</v>
      </c>
      <c r="F1568" s="138" t="s">
        <v>8201</v>
      </c>
      <c r="H1568" s="138">
        <v>151</v>
      </c>
      <c r="I1568" s="138">
        <v>928</v>
      </c>
      <c r="J1568" s="138">
        <v>569</v>
      </c>
      <c r="K1568" s="138">
        <v>324</v>
      </c>
      <c r="N1568" s="138">
        <v>3</v>
      </c>
      <c r="O1568" s="138">
        <v>6</v>
      </c>
      <c r="R1568" s="138">
        <v>3</v>
      </c>
      <c r="S1568" s="138">
        <v>18</v>
      </c>
      <c r="T1568" s="138">
        <v>5</v>
      </c>
      <c r="U1568" s="138">
        <f t="shared" si="3072"/>
        <v>32</v>
      </c>
      <c r="W1568" s="139">
        <f t="shared" ref="W1568:AA1568" si="3146">J1568/$I1568</f>
        <v>0.6131465517241379</v>
      </c>
      <c r="X1568" s="139">
        <f t="shared" si="3146"/>
        <v>0.34913793103448276</v>
      </c>
      <c r="Y1568" s="139">
        <f t="shared" si="3146"/>
        <v>0</v>
      </c>
      <c r="Z1568" s="139">
        <f t="shared" si="3146"/>
        <v>0</v>
      </c>
      <c r="AA1568" s="139">
        <f t="shared" si="3146"/>
        <v>3.2327586206896551E-3</v>
      </c>
      <c r="AB1568" s="139"/>
      <c r="AC1568" s="139">
        <f t="shared" si="3074"/>
        <v>3.4482758620689655E-2</v>
      </c>
      <c r="AD1568" s="139">
        <f t="shared" ref="AD1568:AI1568" si="3147">O1568/$I1568</f>
        <v>6.4655172413793103E-3</v>
      </c>
      <c r="AE1568" s="139">
        <f t="shared" si="3147"/>
        <v>0</v>
      </c>
      <c r="AF1568" s="139">
        <f t="shared" si="3147"/>
        <v>0</v>
      </c>
      <c r="AG1568" s="139">
        <f t="shared" si="3147"/>
        <v>3.2327586206896551E-3</v>
      </c>
      <c r="AH1568" s="139">
        <f t="shared" si="3147"/>
        <v>1.9396551724137932E-2</v>
      </c>
      <c r="AI1568" s="139">
        <f t="shared" si="3147"/>
        <v>5.387931034482759E-3</v>
      </c>
    </row>
    <row r="1569" spans="2:35">
      <c r="B1569" s="138" t="s">
        <v>8077</v>
      </c>
      <c r="C1569" s="138" t="s">
        <v>4367</v>
      </c>
      <c r="D1569" s="138" t="s">
        <v>7</v>
      </c>
      <c r="E1569" s="138" t="s">
        <v>706</v>
      </c>
      <c r="F1569" s="138" t="s">
        <v>1425</v>
      </c>
      <c r="H1569" s="138">
        <v>152</v>
      </c>
      <c r="I1569" s="138">
        <v>930</v>
      </c>
      <c r="J1569" s="138">
        <v>579</v>
      </c>
      <c r="K1569" s="138">
        <v>331</v>
      </c>
      <c r="N1569" s="138">
        <v>7</v>
      </c>
      <c r="O1569" s="138">
        <v>1</v>
      </c>
      <c r="R1569" s="138">
        <v>0</v>
      </c>
      <c r="S1569" s="138">
        <v>9</v>
      </c>
      <c r="T1569" s="138">
        <v>3</v>
      </c>
      <c r="U1569" s="138">
        <f t="shared" si="3072"/>
        <v>13</v>
      </c>
      <c r="W1569" s="139">
        <f t="shared" ref="W1569:AA1569" si="3148">J1569/$I1569</f>
        <v>0.6225806451612903</v>
      </c>
      <c r="X1569" s="139">
        <f t="shared" si="3148"/>
        <v>0.35591397849462364</v>
      </c>
      <c r="Y1569" s="139">
        <f t="shared" si="3148"/>
        <v>0</v>
      </c>
      <c r="Z1569" s="139">
        <f t="shared" si="3148"/>
        <v>0</v>
      </c>
      <c r="AA1569" s="139">
        <f t="shared" si="3148"/>
        <v>7.526881720430108E-3</v>
      </c>
      <c r="AB1569" s="139"/>
      <c r="AC1569" s="139">
        <f t="shared" si="3074"/>
        <v>1.3978494623655914E-2</v>
      </c>
      <c r="AD1569" s="139">
        <f t="shared" ref="AD1569:AI1569" si="3149">O1569/$I1569</f>
        <v>1.0752688172043011E-3</v>
      </c>
      <c r="AE1569" s="139">
        <f t="shared" si="3149"/>
        <v>0</v>
      </c>
      <c r="AF1569" s="139">
        <f t="shared" si="3149"/>
        <v>0</v>
      </c>
      <c r="AG1569" s="139">
        <f t="shared" si="3149"/>
        <v>0</v>
      </c>
      <c r="AH1569" s="139">
        <f t="shared" si="3149"/>
        <v>9.6774193548387101E-3</v>
      </c>
      <c r="AI1569" s="139">
        <f t="shared" si="3149"/>
        <v>3.2258064516129032E-3</v>
      </c>
    </row>
    <row r="1570" spans="2:35">
      <c r="B1570" s="138" t="s">
        <v>8077</v>
      </c>
      <c r="C1570" s="138" t="s">
        <v>4367</v>
      </c>
      <c r="D1570" s="138" t="s">
        <v>7</v>
      </c>
      <c r="E1570" s="138" t="s">
        <v>706</v>
      </c>
      <c r="F1570" s="138" t="s">
        <v>1425</v>
      </c>
      <c r="H1570" s="138">
        <v>153</v>
      </c>
      <c r="I1570" s="138">
        <v>869</v>
      </c>
      <c r="J1570" s="138">
        <v>515</v>
      </c>
      <c r="K1570" s="138">
        <v>331</v>
      </c>
      <c r="N1570" s="138">
        <v>6</v>
      </c>
      <c r="O1570" s="138">
        <v>4</v>
      </c>
      <c r="R1570" s="138">
        <v>1</v>
      </c>
      <c r="S1570" s="138">
        <v>9</v>
      </c>
      <c r="T1570" s="138">
        <v>3</v>
      </c>
      <c r="U1570" s="138">
        <f t="shared" si="3072"/>
        <v>17</v>
      </c>
      <c r="W1570" s="139">
        <f t="shared" ref="W1570:AA1570" si="3150">J1570/$I1570</f>
        <v>0.59263521288837739</v>
      </c>
      <c r="X1570" s="139">
        <f t="shared" si="3150"/>
        <v>0.38089758342922903</v>
      </c>
      <c r="Y1570" s="139">
        <f t="shared" si="3150"/>
        <v>0</v>
      </c>
      <c r="Z1570" s="139">
        <f t="shared" si="3150"/>
        <v>0</v>
      </c>
      <c r="AA1570" s="139">
        <f t="shared" si="3150"/>
        <v>6.9044879171461446E-3</v>
      </c>
      <c r="AB1570" s="139"/>
      <c r="AC1570" s="139">
        <f t="shared" si="3074"/>
        <v>1.9562715765247412E-2</v>
      </c>
      <c r="AD1570" s="139">
        <f t="shared" ref="AD1570:AI1570" si="3151">O1570/$I1570</f>
        <v>4.6029919447640967E-3</v>
      </c>
      <c r="AE1570" s="139">
        <f t="shared" si="3151"/>
        <v>0</v>
      </c>
      <c r="AF1570" s="139">
        <f t="shared" si="3151"/>
        <v>0</v>
      </c>
      <c r="AG1570" s="139">
        <f t="shared" si="3151"/>
        <v>1.1507479861910242E-3</v>
      </c>
      <c r="AH1570" s="139">
        <f t="shared" si="3151"/>
        <v>1.0356731875719217E-2</v>
      </c>
      <c r="AI1570" s="139">
        <f t="shared" si="3151"/>
        <v>3.4522439585730723E-3</v>
      </c>
    </row>
    <row r="1571" spans="2:35">
      <c r="B1571" s="138" t="s">
        <v>8077</v>
      </c>
      <c r="C1571" s="138" t="s">
        <v>4367</v>
      </c>
      <c r="D1571" s="138" t="s">
        <v>7</v>
      </c>
      <c r="E1571" s="138" t="s">
        <v>706</v>
      </c>
      <c r="F1571" s="138" t="s">
        <v>1425</v>
      </c>
      <c r="H1571" s="138">
        <v>154</v>
      </c>
      <c r="I1571" s="138">
        <v>921</v>
      </c>
      <c r="J1571" s="138">
        <v>306</v>
      </c>
      <c r="K1571" s="138">
        <v>576</v>
      </c>
      <c r="N1571" s="138">
        <v>10</v>
      </c>
      <c r="O1571" s="138">
        <v>2</v>
      </c>
      <c r="R1571" s="138">
        <v>0</v>
      </c>
      <c r="S1571" s="138">
        <v>8</v>
      </c>
      <c r="T1571" s="138">
        <v>19</v>
      </c>
      <c r="U1571" s="138">
        <f t="shared" si="3072"/>
        <v>29</v>
      </c>
      <c r="W1571" s="139">
        <f t="shared" ref="W1571:AA1571" si="3152">J1571/$I1571</f>
        <v>0.33224755700325731</v>
      </c>
      <c r="X1571" s="139">
        <f t="shared" si="3152"/>
        <v>0.62540716612377845</v>
      </c>
      <c r="Y1571" s="139">
        <f t="shared" si="3152"/>
        <v>0</v>
      </c>
      <c r="Z1571" s="139">
        <f t="shared" si="3152"/>
        <v>0</v>
      </c>
      <c r="AA1571" s="139">
        <f t="shared" si="3152"/>
        <v>1.0857763300760043E-2</v>
      </c>
      <c r="AB1571" s="139"/>
      <c r="AC1571" s="139">
        <f t="shared" si="3074"/>
        <v>3.1487513572204126E-2</v>
      </c>
      <c r="AD1571" s="139">
        <f t="shared" ref="AD1571:AI1571" si="3153">O1571/$I1571</f>
        <v>2.1715526601520088E-3</v>
      </c>
      <c r="AE1571" s="139">
        <f t="shared" si="3153"/>
        <v>0</v>
      </c>
      <c r="AF1571" s="139">
        <f t="shared" si="3153"/>
        <v>0</v>
      </c>
      <c r="AG1571" s="139">
        <f t="shared" si="3153"/>
        <v>0</v>
      </c>
      <c r="AH1571" s="139">
        <f t="shared" si="3153"/>
        <v>8.6862106406080351E-3</v>
      </c>
      <c r="AI1571" s="139">
        <f t="shared" si="3153"/>
        <v>2.0629750271444081E-2</v>
      </c>
    </row>
    <row r="1572" spans="2:35">
      <c r="B1572" s="138" t="s">
        <v>8077</v>
      </c>
      <c r="C1572" s="138" t="s">
        <v>4367</v>
      </c>
      <c r="D1572" s="138" t="s">
        <v>7</v>
      </c>
      <c r="E1572" s="138" t="s">
        <v>706</v>
      </c>
      <c r="F1572" s="138" t="s">
        <v>1425</v>
      </c>
      <c r="H1572" s="138">
        <v>155</v>
      </c>
      <c r="I1572" s="138">
        <v>588</v>
      </c>
      <c r="J1572" s="138">
        <v>234</v>
      </c>
      <c r="K1572" s="138">
        <v>323</v>
      </c>
      <c r="N1572" s="138">
        <v>3</v>
      </c>
      <c r="O1572" s="138">
        <v>3</v>
      </c>
      <c r="R1572" s="138">
        <v>1</v>
      </c>
      <c r="S1572" s="138">
        <v>6</v>
      </c>
      <c r="T1572" s="138">
        <v>18</v>
      </c>
      <c r="U1572" s="138">
        <f t="shared" si="3072"/>
        <v>28</v>
      </c>
      <c r="W1572" s="139">
        <f t="shared" ref="W1572:AA1572" si="3154">J1572/$I1572</f>
        <v>0.39795918367346939</v>
      </c>
      <c r="X1572" s="139">
        <f t="shared" si="3154"/>
        <v>0.54931972789115646</v>
      </c>
      <c r="Y1572" s="139">
        <f t="shared" si="3154"/>
        <v>0</v>
      </c>
      <c r="Z1572" s="139">
        <f t="shared" si="3154"/>
        <v>0</v>
      </c>
      <c r="AA1572" s="139">
        <f t="shared" si="3154"/>
        <v>5.1020408163265302E-3</v>
      </c>
      <c r="AB1572" s="139"/>
      <c r="AC1572" s="139">
        <f t="shared" si="3074"/>
        <v>4.7619047619047616E-2</v>
      </c>
      <c r="AD1572" s="139">
        <f t="shared" ref="AD1572:AI1572" si="3155">O1572/$I1572</f>
        <v>5.1020408163265302E-3</v>
      </c>
      <c r="AE1572" s="139">
        <f t="shared" si="3155"/>
        <v>0</v>
      </c>
      <c r="AF1572" s="139">
        <f t="shared" si="3155"/>
        <v>0</v>
      </c>
      <c r="AG1572" s="139">
        <f t="shared" si="3155"/>
        <v>1.7006802721088435E-3</v>
      </c>
      <c r="AH1572" s="139">
        <f t="shared" si="3155"/>
        <v>1.020408163265306E-2</v>
      </c>
      <c r="AI1572" s="139">
        <f t="shared" si="3155"/>
        <v>3.0612244897959183E-2</v>
      </c>
    </row>
    <row r="1573" spans="2:35">
      <c r="B1573" s="138" t="s">
        <v>8077</v>
      </c>
      <c r="C1573" s="138" t="s">
        <v>4367</v>
      </c>
      <c r="D1573" s="138" t="s">
        <v>7</v>
      </c>
      <c r="E1573" s="138" t="s">
        <v>706</v>
      </c>
      <c r="F1573" s="138" t="s">
        <v>1425</v>
      </c>
      <c r="H1573" s="138">
        <v>156</v>
      </c>
      <c r="I1573" s="138">
        <v>895</v>
      </c>
      <c r="J1573" s="138">
        <v>594</v>
      </c>
      <c r="K1573" s="138">
        <v>249</v>
      </c>
      <c r="N1573" s="138">
        <v>6</v>
      </c>
      <c r="O1573" s="138">
        <v>7</v>
      </c>
      <c r="R1573" s="138">
        <v>4</v>
      </c>
      <c r="S1573" s="138">
        <v>26</v>
      </c>
      <c r="T1573" s="138">
        <v>9</v>
      </c>
      <c r="U1573" s="138">
        <f t="shared" si="3072"/>
        <v>46</v>
      </c>
      <c r="W1573" s="139">
        <f t="shared" ref="W1573:AA1573" si="3156">J1573/$I1573</f>
        <v>0.66368715083798879</v>
      </c>
      <c r="X1573" s="139">
        <f t="shared" si="3156"/>
        <v>0.27821229050279328</v>
      </c>
      <c r="Y1573" s="139">
        <f t="shared" si="3156"/>
        <v>0</v>
      </c>
      <c r="Z1573" s="139">
        <f t="shared" si="3156"/>
        <v>0</v>
      </c>
      <c r="AA1573" s="139">
        <f t="shared" si="3156"/>
        <v>6.7039106145251395E-3</v>
      </c>
      <c r="AB1573" s="139"/>
      <c r="AC1573" s="139">
        <f t="shared" si="3074"/>
        <v>5.1396648044692739E-2</v>
      </c>
      <c r="AD1573" s="139">
        <f t="shared" ref="AD1573:AI1573" si="3157">O1573/$I1573</f>
        <v>7.82122905027933E-3</v>
      </c>
      <c r="AE1573" s="139">
        <f t="shared" si="3157"/>
        <v>0</v>
      </c>
      <c r="AF1573" s="139">
        <f t="shared" si="3157"/>
        <v>0</v>
      </c>
      <c r="AG1573" s="139">
        <f t="shared" si="3157"/>
        <v>4.4692737430167594E-3</v>
      </c>
      <c r="AH1573" s="139">
        <f t="shared" si="3157"/>
        <v>2.9050279329608939E-2</v>
      </c>
      <c r="AI1573" s="139">
        <f t="shared" si="3157"/>
        <v>1.0055865921787709E-2</v>
      </c>
    </row>
    <row r="1574" spans="2:35">
      <c r="B1574" s="138" t="s">
        <v>8077</v>
      </c>
      <c r="C1574" s="138" t="s">
        <v>4367</v>
      </c>
      <c r="D1574" s="138" t="s">
        <v>7</v>
      </c>
      <c r="E1574" s="138" t="s">
        <v>706</v>
      </c>
      <c r="F1574" s="138" t="s">
        <v>1425</v>
      </c>
      <c r="H1574" s="138">
        <v>157</v>
      </c>
      <c r="I1574" s="138">
        <v>816</v>
      </c>
      <c r="J1574" s="138">
        <v>353</v>
      </c>
      <c r="K1574" s="138">
        <v>388</v>
      </c>
      <c r="N1574" s="138">
        <v>7</v>
      </c>
      <c r="O1574" s="138">
        <v>5</v>
      </c>
      <c r="R1574" s="138">
        <v>3</v>
      </c>
      <c r="S1574" s="138">
        <v>24</v>
      </c>
      <c r="T1574" s="138">
        <v>36</v>
      </c>
      <c r="U1574" s="138">
        <f t="shared" si="3072"/>
        <v>68</v>
      </c>
      <c r="W1574" s="139">
        <f t="shared" ref="W1574:AA1574" si="3158">J1574/$I1574</f>
        <v>0.43259803921568629</v>
      </c>
      <c r="X1574" s="139">
        <f t="shared" si="3158"/>
        <v>0.47549019607843135</v>
      </c>
      <c r="Y1574" s="139">
        <f t="shared" si="3158"/>
        <v>0</v>
      </c>
      <c r="Z1574" s="139">
        <f t="shared" si="3158"/>
        <v>0</v>
      </c>
      <c r="AA1574" s="139">
        <f t="shared" si="3158"/>
        <v>8.5784313725490204E-3</v>
      </c>
      <c r="AB1574" s="139"/>
      <c r="AC1574" s="139">
        <f t="shared" si="3074"/>
        <v>8.3333333333333329E-2</v>
      </c>
      <c r="AD1574" s="139">
        <f t="shared" ref="AD1574:AI1574" si="3159">O1574/$I1574</f>
        <v>6.1274509803921568E-3</v>
      </c>
      <c r="AE1574" s="139">
        <f t="shared" si="3159"/>
        <v>0</v>
      </c>
      <c r="AF1574" s="139">
        <f t="shared" si="3159"/>
        <v>0</v>
      </c>
      <c r="AG1574" s="139">
        <f t="shared" si="3159"/>
        <v>3.6764705882352941E-3</v>
      </c>
      <c r="AH1574" s="139">
        <f t="shared" si="3159"/>
        <v>2.9411764705882353E-2</v>
      </c>
      <c r="AI1574" s="139">
        <f t="shared" si="3159"/>
        <v>4.4117647058823532E-2</v>
      </c>
    </row>
    <row r="1575" spans="2:35">
      <c r="B1575" s="138" t="s">
        <v>8077</v>
      </c>
      <c r="C1575" s="138" t="s">
        <v>4367</v>
      </c>
      <c r="D1575" s="138" t="s">
        <v>7</v>
      </c>
      <c r="E1575" s="138" t="s">
        <v>706</v>
      </c>
      <c r="F1575" s="138" t="s">
        <v>1444</v>
      </c>
      <c r="H1575" s="138">
        <v>158</v>
      </c>
      <c r="I1575" s="138">
        <v>1035</v>
      </c>
      <c r="J1575" s="138">
        <v>567</v>
      </c>
      <c r="K1575" s="138">
        <v>408</v>
      </c>
      <c r="N1575" s="138">
        <v>14</v>
      </c>
      <c r="O1575" s="138">
        <v>5</v>
      </c>
      <c r="R1575" s="138">
        <v>1</v>
      </c>
      <c r="S1575" s="138">
        <v>30</v>
      </c>
      <c r="T1575" s="138">
        <v>10</v>
      </c>
      <c r="U1575" s="138">
        <f t="shared" si="3072"/>
        <v>46</v>
      </c>
      <c r="W1575" s="139">
        <f t="shared" ref="W1575:AA1575" si="3160">J1575/$I1575</f>
        <v>0.54782608695652169</v>
      </c>
      <c r="X1575" s="139">
        <f t="shared" si="3160"/>
        <v>0.39420289855072466</v>
      </c>
      <c r="Y1575" s="139">
        <f t="shared" si="3160"/>
        <v>0</v>
      </c>
      <c r="Z1575" s="139">
        <f t="shared" si="3160"/>
        <v>0</v>
      </c>
      <c r="AA1575" s="139">
        <f t="shared" si="3160"/>
        <v>1.3526570048309179E-2</v>
      </c>
      <c r="AB1575" s="139"/>
      <c r="AC1575" s="139">
        <f t="shared" si="3074"/>
        <v>4.4444444444444446E-2</v>
      </c>
      <c r="AD1575" s="139">
        <f t="shared" ref="AD1575:AI1575" si="3161">O1575/$I1575</f>
        <v>4.830917874396135E-3</v>
      </c>
      <c r="AE1575" s="139">
        <f t="shared" si="3161"/>
        <v>0</v>
      </c>
      <c r="AF1575" s="139">
        <f t="shared" si="3161"/>
        <v>0</v>
      </c>
      <c r="AG1575" s="139">
        <f t="shared" si="3161"/>
        <v>9.6618357487922703E-4</v>
      </c>
      <c r="AH1575" s="139">
        <f t="shared" si="3161"/>
        <v>2.8985507246376812E-2</v>
      </c>
      <c r="AI1575" s="139">
        <f t="shared" si="3161"/>
        <v>9.6618357487922701E-3</v>
      </c>
    </row>
    <row r="1576" spans="2:35">
      <c r="B1576" s="138" t="s">
        <v>8077</v>
      </c>
      <c r="C1576" s="138" t="s">
        <v>4367</v>
      </c>
      <c r="D1576" s="138" t="s">
        <v>7</v>
      </c>
      <c r="E1576" s="138" t="s">
        <v>706</v>
      </c>
      <c r="F1576" s="138" t="s">
        <v>1444</v>
      </c>
      <c r="H1576" s="138">
        <v>159</v>
      </c>
      <c r="I1576" s="138">
        <v>786</v>
      </c>
      <c r="J1576" s="138">
        <v>501</v>
      </c>
      <c r="K1576" s="138">
        <v>251</v>
      </c>
      <c r="N1576" s="138">
        <v>6</v>
      </c>
      <c r="O1576" s="138">
        <v>6</v>
      </c>
      <c r="R1576" s="138">
        <v>0</v>
      </c>
      <c r="S1576" s="138">
        <v>13</v>
      </c>
      <c r="T1576" s="138">
        <v>9</v>
      </c>
      <c r="U1576" s="138">
        <f t="shared" si="3072"/>
        <v>28</v>
      </c>
      <c r="W1576" s="139">
        <f t="shared" ref="W1576:AA1576" si="3162">J1576/$I1576</f>
        <v>0.63740458015267176</v>
      </c>
      <c r="X1576" s="139">
        <f t="shared" si="3162"/>
        <v>0.3193384223918575</v>
      </c>
      <c r="Y1576" s="139">
        <f t="shared" si="3162"/>
        <v>0</v>
      </c>
      <c r="Z1576" s="139">
        <f t="shared" si="3162"/>
        <v>0</v>
      </c>
      <c r="AA1576" s="139">
        <f t="shared" si="3162"/>
        <v>7.6335877862595417E-3</v>
      </c>
      <c r="AB1576" s="139"/>
      <c r="AC1576" s="139">
        <f t="shared" si="3074"/>
        <v>3.5623409669211195E-2</v>
      </c>
      <c r="AD1576" s="139">
        <f t="shared" ref="AD1576:AI1576" si="3163">O1576/$I1576</f>
        <v>7.6335877862595417E-3</v>
      </c>
      <c r="AE1576" s="139">
        <f t="shared" si="3163"/>
        <v>0</v>
      </c>
      <c r="AF1576" s="139">
        <f t="shared" si="3163"/>
        <v>0</v>
      </c>
      <c r="AG1576" s="139">
        <f t="shared" si="3163"/>
        <v>0</v>
      </c>
      <c r="AH1576" s="139">
        <f t="shared" si="3163"/>
        <v>1.653944020356234E-2</v>
      </c>
      <c r="AI1576" s="139">
        <f t="shared" si="3163"/>
        <v>1.1450381679389313E-2</v>
      </c>
    </row>
    <row r="1577" spans="2:35">
      <c r="B1577" s="138" t="s">
        <v>8077</v>
      </c>
      <c r="C1577" s="138" t="s">
        <v>4367</v>
      </c>
      <c r="D1577" s="138" t="s">
        <v>7</v>
      </c>
      <c r="E1577" s="138" t="s">
        <v>706</v>
      </c>
      <c r="F1577" s="138" t="s">
        <v>1465</v>
      </c>
      <c r="H1577" s="138">
        <v>160</v>
      </c>
      <c r="I1577" s="138">
        <v>1107</v>
      </c>
      <c r="J1577" s="138">
        <v>531</v>
      </c>
      <c r="K1577" s="138">
        <v>526</v>
      </c>
      <c r="N1577" s="138">
        <v>13</v>
      </c>
      <c r="O1577" s="138">
        <v>3</v>
      </c>
      <c r="R1577" s="138">
        <v>4</v>
      </c>
      <c r="S1577" s="138">
        <v>18</v>
      </c>
      <c r="T1577" s="138">
        <v>12</v>
      </c>
      <c r="U1577" s="138">
        <f t="shared" si="3072"/>
        <v>37</v>
      </c>
      <c r="W1577" s="139">
        <f t="shared" ref="W1577:AA1577" si="3164">J1577/$I1577</f>
        <v>0.47967479674796748</v>
      </c>
      <c r="X1577" s="139">
        <f t="shared" si="3164"/>
        <v>0.47515808491418249</v>
      </c>
      <c r="Y1577" s="139">
        <f t="shared" si="3164"/>
        <v>0</v>
      </c>
      <c r="Z1577" s="139">
        <f t="shared" si="3164"/>
        <v>0</v>
      </c>
      <c r="AA1577" s="139">
        <f t="shared" si="3164"/>
        <v>1.1743450767841012E-2</v>
      </c>
      <c r="AB1577" s="139"/>
      <c r="AC1577" s="139">
        <f t="shared" si="3074"/>
        <v>3.342366757000903E-2</v>
      </c>
      <c r="AD1577" s="139">
        <f t="shared" ref="AD1577:AI1577" si="3165">O1577/$I1577</f>
        <v>2.7100271002710027E-3</v>
      </c>
      <c r="AE1577" s="139">
        <f t="shared" si="3165"/>
        <v>0</v>
      </c>
      <c r="AF1577" s="139">
        <f t="shared" si="3165"/>
        <v>0</v>
      </c>
      <c r="AG1577" s="139">
        <f t="shared" si="3165"/>
        <v>3.6133694670280035E-3</v>
      </c>
      <c r="AH1577" s="139">
        <f t="shared" si="3165"/>
        <v>1.6260162601626018E-2</v>
      </c>
      <c r="AI1577" s="139">
        <f t="shared" si="3165"/>
        <v>1.0840108401084011E-2</v>
      </c>
    </row>
    <row r="1578" spans="2:35">
      <c r="B1578" s="138" t="s">
        <v>8077</v>
      </c>
      <c r="C1578" s="138" t="s">
        <v>4367</v>
      </c>
      <c r="D1578" s="138" t="s">
        <v>7</v>
      </c>
      <c r="E1578" s="138" t="s">
        <v>706</v>
      </c>
      <c r="F1578" s="138" t="s">
        <v>1465</v>
      </c>
      <c r="H1578" s="138">
        <v>161</v>
      </c>
      <c r="I1578" s="138">
        <v>644</v>
      </c>
      <c r="J1578" s="138">
        <v>328</v>
      </c>
      <c r="K1578" s="138">
        <v>267</v>
      </c>
      <c r="N1578" s="138">
        <v>11</v>
      </c>
      <c r="O1578" s="138">
        <v>3</v>
      </c>
      <c r="R1578" s="138">
        <v>0</v>
      </c>
      <c r="S1578" s="138">
        <v>22</v>
      </c>
      <c r="T1578" s="138">
        <v>13</v>
      </c>
      <c r="U1578" s="138">
        <f t="shared" si="3072"/>
        <v>38</v>
      </c>
      <c r="W1578" s="139">
        <f t="shared" ref="W1578:AA1578" si="3166">J1578/$I1578</f>
        <v>0.50931677018633537</v>
      </c>
      <c r="X1578" s="139">
        <f t="shared" si="3166"/>
        <v>0.41459627329192544</v>
      </c>
      <c r="Y1578" s="139">
        <f t="shared" si="3166"/>
        <v>0</v>
      </c>
      <c r="Z1578" s="139">
        <f t="shared" si="3166"/>
        <v>0</v>
      </c>
      <c r="AA1578" s="139">
        <f t="shared" si="3166"/>
        <v>1.7080745341614908E-2</v>
      </c>
      <c r="AB1578" s="139"/>
      <c r="AC1578" s="139">
        <f t="shared" si="3074"/>
        <v>5.9006211180124224E-2</v>
      </c>
      <c r="AD1578" s="139">
        <f t="shared" ref="AD1578:AI1578" si="3167">O1578/$I1578</f>
        <v>4.658385093167702E-3</v>
      </c>
      <c r="AE1578" s="139">
        <f t="shared" si="3167"/>
        <v>0</v>
      </c>
      <c r="AF1578" s="139">
        <f t="shared" si="3167"/>
        <v>0</v>
      </c>
      <c r="AG1578" s="139">
        <f t="shared" si="3167"/>
        <v>0</v>
      </c>
      <c r="AH1578" s="139">
        <f t="shared" si="3167"/>
        <v>3.4161490683229816E-2</v>
      </c>
      <c r="AI1578" s="139">
        <f t="shared" si="3167"/>
        <v>2.0186335403726708E-2</v>
      </c>
    </row>
    <row r="1579" spans="2:35">
      <c r="B1579" s="138" t="s">
        <v>8077</v>
      </c>
      <c r="C1579" s="138" t="s">
        <v>4367</v>
      </c>
      <c r="D1579" s="138" t="s">
        <v>7</v>
      </c>
      <c r="E1579" s="138" t="s">
        <v>706</v>
      </c>
      <c r="F1579" s="138" t="s">
        <v>1471</v>
      </c>
      <c r="H1579" s="138">
        <v>162</v>
      </c>
      <c r="I1579" s="138">
        <v>870</v>
      </c>
      <c r="J1579" s="138">
        <v>422</v>
      </c>
      <c r="K1579" s="138">
        <v>407</v>
      </c>
      <c r="N1579" s="138">
        <v>7</v>
      </c>
      <c r="O1579" s="138">
        <v>0</v>
      </c>
      <c r="R1579" s="138">
        <v>0</v>
      </c>
      <c r="S1579" s="138">
        <v>19</v>
      </c>
      <c r="T1579" s="138">
        <v>15</v>
      </c>
      <c r="U1579" s="138">
        <f t="shared" si="3072"/>
        <v>34</v>
      </c>
      <c r="W1579" s="139">
        <f t="shared" ref="W1579:AA1579" si="3168">J1579/$I1579</f>
        <v>0.48505747126436782</v>
      </c>
      <c r="X1579" s="139">
        <f t="shared" si="3168"/>
        <v>0.46781609195402296</v>
      </c>
      <c r="Y1579" s="139">
        <f t="shared" si="3168"/>
        <v>0</v>
      </c>
      <c r="Z1579" s="139">
        <f t="shared" si="3168"/>
        <v>0</v>
      </c>
      <c r="AA1579" s="139">
        <f t="shared" si="3168"/>
        <v>8.0459770114942528E-3</v>
      </c>
      <c r="AB1579" s="139"/>
      <c r="AC1579" s="139">
        <f t="shared" si="3074"/>
        <v>3.9080459770114942E-2</v>
      </c>
      <c r="AD1579" s="139">
        <f t="shared" ref="AD1579:AI1579" si="3169">O1579/$I1579</f>
        <v>0</v>
      </c>
      <c r="AE1579" s="139">
        <f t="shared" si="3169"/>
        <v>0</v>
      </c>
      <c r="AF1579" s="139">
        <f t="shared" si="3169"/>
        <v>0</v>
      </c>
      <c r="AG1579" s="139">
        <f t="shared" si="3169"/>
        <v>0</v>
      </c>
      <c r="AH1579" s="139">
        <f t="shared" si="3169"/>
        <v>2.1839080459770115E-2</v>
      </c>
      <c r="AI1579" s="139">
        <f t="shared" si="3169"/>
        <v>1.7241379310344827E-2</v>
      </c>
    </row>
    <row r="1580" spans="2:35">
      <c r="B1580" s="138" t="s">
        <v>8077</v>
      </c>
      <c r="C1580" s="138" t="s">
        <v>4367</v>
      </c>
      <c r="D1580" s="138" t="s">
        <v>7</v>
      </c>
      <c r="E1580" s="138" t="s">
        <v>706</v>
      </c>
      <c r="F1580" s="138" t="s">
        <v>1471</v>
      </c>
      <c r="H1580" s="138">
        <v>163</v>
      </c>
      <c r="I1580" s="138">
        <v>1002</v>
      </c>
      <c r="J1580" s="138">
        <v>478</v>
      </c>
      <c r="K1580" s="138">
        <v>482</v>
      </c>
      <c r="N1580" s="138">
        <v>11</v>
      </c>
      <c r="O1580" s="138">
        <v>3</v>
      </c>
      <c r="R1580" s="138">
        <v>1</v>
      </c>
      <c r="S1580" s="138">
        <v>14</v>
      </c>
      <c r="T1580" s="138">
        <v>13</v>
      </c>
      <c r="U1580" s="138">
        <f t="shared" si="3072"/>
        <v>31</v>
      </c>
      <c r="W1580" s="139">
        <f t="shared" ref="W1580:AA1580" si="3170">J1580/$I1580</f>
        <v>0.47704590818363274</v>
      </c>
      <c r="X1580" s="139">
        <f t="shared" si="3170"/>
        <v>0.48103792415169661</v>
      </c>
      <c r="Y1580" s="139">
        <f t="shared" si="3170"/>
        <v>0</v>
      </c>
      <c r="Z1580" s="139">
        <f t="shared" si="3170"/>
        <v>0</v>
      </c>
      <c r="AA1580" s="139">
        <f t="shared" si="3170"/>
        <v>1.0978043912175649E-2</v>
      </c>
      <c r="AB1580" s="139"/>
      <c r="AC1580" s="139">
        <f t="shared" si="3074"/>
        <v>3.0938123752495009E-2</v>
      </c>
      <c r="AD1580" s="139">
        <f t="shared" ref="AD1580:AI1580" si="3171">O1580/$I1580</f>
        <v>2.9940119760479044E-3</v>
      </c>
      <c r="AE1580" s="139">
        <f t="shared" si="3171"/>
        <v>0</v>
      </c>
      <c r="AF1580" s="139">
        <f t="shared" si="3171"/>
        <v>0</v>
      </c>
      <c r="AG1580" s="139">
        <f t="shared" si="3171"/>
        <v>9.9800399201596798E-4</v>
      </c>
      <c r="AH1580" s="139">
        <f t="shared" si="3171"/>
        <v>1.3972055888223553E-2</v>
      </c>
      <c r="AI1580" s="139">
        <f t="shared" si="3171"/>
        <v>1.2974051896207584E-2</v>
      </c>
    </row>
    <row r="1581" spans="2:35">
      <c r="B1581" s="138" t="s">
        <v>8077</v>
      </c>
      <c r="C1581" s="138" t="s">
        <v>4367</v>
      </c>
      <c r="D1581" s="138" t="s">
        <v>7</v>
      </c>
      <c r="E1581" s="138" t="s">
        <v>706</v>
      </c>
      <c r="F1581" s="138" t="s">
        <v>1471</v>
      </c>
      <c r="H1581" s="138">
        <v>164</v>
      </c>
      <c r="I1581" s="138">
        <v>770</v>
      </c>
      <c r="J1581" s="138">
        <v>360</v>
      </c>
      <c r="K1581" s="138">
        <v>381</v>
      </c>
      <c r="N1581" s="138">
        <v>5</v>
      </c>
      <c r="O1581" s="138">
        <v>1</v>
      </c>
      <c r="R1581" s="138">
        <v>0</v>
      </c>
      <c r="S1581" s="138">
        <v>10</v>
      </c>
      <c r="T1581" s="138">
        <v>13</v>
      </c>
      <c r="U1581" s="138">
        <f t="shared" si="3072"/>
        <v>24</v>
      </c>
      <c r="W1581" s="139">
        <f t="shared" ref="W1581:AA1581" si="3172">J1581/$I1581</f>
        <v>0.46753246753246752</v>
      </c>
      <c r="X1581" s="139">
        <f t="shared" si="3172"/>
        <v>0.4948051948051948</v>
      </c>
      <c r="Y1581" s="139">
        <f t="shared" si="3172"/>
        <v>0</v>
      </c>
      <c r="Z1581" s="139">
        <f t="shared" si="3172"/>
        <v>0</v>
      </c>
      <c r="AA1581" s="139">
        <f t="shared" si="3172"/>
        <v>6.4935064935064939E-3</v>
      </c>
      <c r="AB1581" s="139"/>
      <c r="AC1581" s="139">
        <f t="shared" si="3074"/>
        <v>3.1168831168831169E-2</v>
      </c>
      <c r="AD1581" s="139">
        <f t="shared" ref="AD1581:AI1581" si="3173">O1581/$I1581</f>
        <v>1.2987012987012987E-3</v>
      </c>
      <c r="AE1581" s="139">
        <f t="shared" si="3173"/>
        <v>0</v>
      </c>
      <c r="AF1581" s="139">
        <f t="shared" si="3173"/>
        <v>0</v>
      </c>
      <c r="AG1581" s="139">
        <f t="shared" si="3173"/>
        <v>0</v>
      </c>
      <c r="AH1581" s="139">
        <f t="shared" si="3173"/>
        <v>1.2987012987012988E-2</v>
      </c>
      <c r="AI1581" s="139">
        <f t="shared" si="3173"/>
        <v>1.6883116883116882E-2</v>
      </c>
    </row>
    <row r="1582" spans="2:35">
      <c r="B1582" s="138" t="s">
        <v>8077</v>
      </c>
      <c r="C1582" s="138" t="s">
        <v>4367</v>
      </c>
      <c r="D1582" s="138" t="s">
        <v>7</v>
      </c>
      <c r="E1582" s="138" t="s">
        <v>706</v>
      </c>
      <c r="F1582" s="138" t="s">
        <v>1471</v>
      </c>
      <c r="H1582" s="138">
        <v>165</v>
      </c>
      <c r="I1582" s="138">
        <v>866</v>
      </c>
      <c r="J1582" s="138">
        <v>331</v>
      </c>
      <c r="K1582" s="138">
        <v>474</v>
      </c>
      <c r="N1582" s="138">
        <v>17</v>
      </c>
      <c r="O1582" s="138">
        <v>7</v>
      </c>
      <c r="R1582" s="138">
        <v>0</v>
      </c>
      <c r="S1582" s="138">
        <v>12</v>
      </c>
      <c r="T1582" s="138">
        <v>25</v>
      </c>
      <c r="U1582" s="138">
        <f t="shared" si="3072"/>
        <v>44</v>
      </c>
      <c r="W1582" s="139">
        <f t="shared" ref="W1582:AA1582" si="3174">J1582/$I1582</f>
        <v>0.38221709006928406</v>
      </c>
      <c r="X1582" s="139">
        <f t="shared" si="3174"/>
        <v>0.54734411085450352</v>
      </c>
      <c r="Y1582" s="139">
        <f t="shared" si="3174"/>
        <v>0</v>
      </c>
      <c r="Z1582" s="139">
        <f t="shared" si="3174"/>
        <v>0</v>
      </c>
      <c r="AA1582" s="139">
        <f t="shared" si="3174"/>
        <v>1.9630484988452657E-2</v>
      </c>
      <c r="AB1582" s="139"/>
      <c r="AC1582" s="139">
        <f t="shared" si="3074"/>
        <v>5.0808314087759814E-2</v>
      </c>
      <c r="AD1582" s="139">
        <f t="shared" ref="AD1582:AI1582" si="3175">O1582/$I1582</f>
        <v>8.0831408775981529E-3</v>
      </c>
      <c r="AE1582" s="139">
        <f t="shared" si="3175"/>
        <v>0</v>
      </c>
      <c r="AF1582" s="139">
        <f t="shared" si="3175"/>
        <v>0</v>
      </c>
      <c r="AG1582" s="139">
        <f t="shared" si="3175"/>
        <v>0</v>
      </c>
      <c r="AH1582" s="139">
        <f t="shared" si="3175"/>
        <v>1.3856812933025405E-2</v>
      </c>
      <c r="AI1582" s="139">
        <f t="shared" si="3175"/>
        <v>2.8868360277136258E-2</v>
      </c>
    </row>
    <row r="1583" spans="2:35">
      <c r="B1583" s="138" t="s">
        <v>8077</v>
      </c>
      <c r="C1583" s="138" t="s">
        <v>4367</v>
      </c>
      <c r="D1583" s="138" t="s">
        <v>7</v>
      </c>
      <c r="E1583" s="138" t="s">
        <v>706</v>
      </c>
      <c r="F1583" s="138" t="s">
        <v>1414</v>
      </c>
      <c r="H1583" s="138">
        <v>166</v>
      </c>
      <c r="I1583" s="138">
        <v>899</v>
      </c>
      <c r="J1583" s="138">
        <v>313</v>
      </c>
      <c r="K1583" s="138">
        <v>548</v>
      </c>
      <c r="N1583" s="138">
        <v>5</v>
      </c>
      <c r="O1583" s="138">
        <v>5</v>
      </c>
      <c r="R1583" s="138">
        <v>0</v>
      </c>
      <c r="S1583" s="138">
        <v>13</v>
      </c>
      <c r="T1583" s="138">
        <v>15</v>
      </c>
      <c r="U1583" s="138">
        <f t="shared" si="3072"/>
        <v>33</v>
      </c>
      <c r="W1583" s="139">
        <f t="shared" ref="W1583:AA1583" si="3176">J1583/$I1583</f>
        <v>0.34816462736373749</v>
      </c>
      <c r="X1583" s="139">
        <f t="shared" si="3176"/>
        <v>0.60956618464961065</v>
      </c>
      <c r="Y1583" s="139">
        <f t="shared" si="3176"/>
        <v>0</v>
      </c>
      <c r="Z1583" s="139">
        <f t="shared" si="3176"/>
        <v>0</v>
      </c>
      <c r="AA1583" s="139">
        <f t="shared" si="3176"/>
        <v>5.5617352614015575E-3</v>
      </c>
      <c r="AB1583" s="139"/>
      <c r="AC1583" s="139">
        <f t="shared" si="3074"/>
        <v>3.6707452725250278E-2</v>
      </c>
      <c r="AD1583" s="139">
        <f t="shared" ref="AD1583:AI1583" si="3177">O1583/$I1583</f>
        <v>5.5617352614015575E-3</v>
      </c>
      <c r="AE1583" s="139">
        <f t="shared" si="3177"/>
        <v>0</v>
      </c>
      <c r="AF1583" s="139">
        <f t="shared" si="3177"/>
        <v>0</v>
      </c>
      <c r="AG1583" s="139">
        <f t="shared" si="3177"/>
        <v>0</v>
      </c>
      <c r="AH1583" s="139">
        <f t="shared" si="3177"/>
        <v>1.4460511679644048E-2</v>
      </c>
      <c r="AI1583" s="139">
        <f t="shared" si="3177"/>
        <v>1.6685205784204672E-2</v>
      </c>
    </row>
    <row r="1584" spans="2:35">
      <c r="B1584" s="138" t="s">
        <v>8077</v>
      </c>
      <c r="C1584" s="138" t="s">
        <v>4367</v>
      </c>
      <c r="D1584" s="138" t="s">
        <v>7</v>
      </c>
      <c r="E1584" s="138" t="s">
        <v>706</v>
      </c>
      <c r="F1584" s="138" t="s">
        <v>1414</v>
      </c>
      <c r="H1584" s="138">
        <v>167</v>
      </c>
      <c r="I1584" s="138">
        <v>959</v>
      </c>
      <c r="J1584" s="138">
        <v>403</v>
      </c>
      <c r="K1584" s="138">
        <v>521</v>
      </c>
      <c r="N1584" s="138">
        <v>7</v>
      </c>
      <c r="O1584" s="138">
        <v>2</v>
      </c>
      <c r="R1584" s="138">
        <v>1</v>
      </c>
      <c r="S1584" s="138">
        <v>13</v>
      </c>
      <c r="T1584" s="138">
        <v>12</v>
      </c>
      <c r="U1584" s="138">
        <f t="shared" si="3072"/>
        <v>28</v>
      </c>
      <c r="W1584" s="139">
        <f t="shared" ref="W1584:AA1584" si="3178">J1584/$I1584</f>
        <v>0.42022940563086547</v>
      </c>
      <c r="X1584" s="139">
        <f t="shared" si="3178"/>
        <v>0.54327424400417101</v>
      </c>
      <c r="Y1584" s="139">
        <f t="shared" si="3178"/>
        <v>0</v>
      </c>
      <c r="Z1584" s="139">
        <f t="shared" si="3178"/>
        <v>0</v>
      </c>
      <c r="AA1584" s="139">
        <f t="shared" si="3178"/>
        <v>7.2992700729927005E-3</v>
      </c>
      <c r="AB1584" s="139"/>
      <c r="AC1584" s="139">
        <f t="shared" si="3074"/>
        <v>2.9197080291970802E-2</v>
      </c>
      <c r="AD1584" s="139">
        <f t="shared" ref="AD1584:AI1584" si="3179">O1584/$I1584</f>
        <v>2.0855057351407717E-3</v>
      </c>
      <c r="AE1584" s="139">
        <f t="shared" si="3179"/>
        <v>0</v>
      </c>
      <c r="AF1584" s="139">
        <f t="shared" si="3179"/>
        <v>0</v>
      </c>
      <c r="AG1584" s="139">
        <f t="shared" si="3179"/>
        <v>1.0427528675703858E-3</v>
      </c>
      <c r="AH1584" s="139">
        <f t="shared" si="3179"/>
        <v>1.3555787278415016E-2</v>
      </c>
      <c r="AI1584" s="139">
        <f t="shared" si="3179"/>
        <v>1.251303441084463E-2</v>
      </c>
    </row>
    <row r="1585" spans="2:35">
      <c r="B1585" s="138" t="s">
        <v>8077</v>
      </c>
      <c r="C1585" s="138" t="s">
        <v>4367</v>
      </c>
      <c r="D1585" s="138" t="s">
        <v>7</v>
      </c>
      <c r="E1585" s="138" t="s">
        <v>706</v>
      </c>
      <c r="F1585" s="138" t="s">
        <v>1414</v>
      </c>
      <c r="H1585" s="138">
        <v>168</v>
      </c>
      <c r="I1585" s="138">
        <v>915</v>
      </c>
      <c r="J1585" s="138">
        <v>400</v>
      </c>
      <c r="K1585" s="138">
        <v>429</v>
      </c>
      <c r="N1585" s="138">
        <v>14</v>
      </c>
      <c r="O1585" s="138">
        <v>6</v>
      </c>
      <c r="R1585" s="138">
        <v>1</v>
      </c>
      <c r="S1585" s="138">
        <v>35</v>
      </c>
      <c r="T1585" s="138">
        <v>30</v>
      </c>
      <c r="U1585" s="138">
        <f t="shared" si="3072"/>
        <v>72</v>
      </c>
      <c r="W1585" s="139">
        <f t="shared" ref="W1585:AA1585" si="3180">J1585/$I1585</f>
        <v>0.43715846994535518</v>
      </c>
      <c r="X1585" s="139">
        <f t="shared" si="3180"/>
        <v>0.46885245901639344</v>
      </c>
      <c r="Y1585" s="139">
        <f t="shared" si="3180"/>
        <v>0</v>
      </c>
      <c r="Z1585" s="139">
        <f t="shared" si="3180"/>
        <v>0</v>
      </c>
      <c r="AA1585" s="139">
        <f t="shared" si="3180"/>
        <v>1.5300546448087432E-2</v>
      </c>
      <c r="AB1585" s="139"/>
      <c r="AC1585" s="139">
        <f t="shared" si="3074"/>
        <v>7.8688524590163941E-2</v>
      </c>
      <c r="AD1585" s="139">
        <f t="shared" ref="AD1585:AI1585" si="3181">O1585/$I1585</f>
        <v>6.5573770491803279E-3</v>
      </c>
      <c r="AE1585" s="139">
        <f t="shared" si="3181"/>
        <v>0</v>
      </c>
      <c r="AF1585" s="139">
        <f t="shared" si="3181"/>
        <v>0</v>
      </c>
      <c r="AG1585" s="139">
        <f t="shared" si="3181"/>
        <v>1.092896174863388E-3</v>
      </c>
      <c r="AH1585" s="139">
        <f t="shared" si="3181"/>
        <v>3.825136612021858E-2</v>
      </c>
      <c r="AI1585" s="139">
        <f t="shared" si="3181"/>
        <v>3.2786885245901641E-2</v>
      </c>
    </row>
    <row r="1586" spans="2:35">
      <c r="B1586" s="138" t="s">
        <v>8077</v>
      </c>
      <c r="C1586" s="138" t="s">
        <v>4367</v>
      </c>
      <c r="D1586" s="138" t="s">
        <v>7</v>
      </c>
      <c r="E1586" s="138" t="s">
        <v>706</v>
      </c>
      <c r="F1586" s="138" t="s">
        <v>8202</v>
      </c>
      <c r="H1586" s="138">
        <v>169</v>
      </c>
      <c r="I1586" s="138">
        <v>790</v>
      </c>
      <c r="J1586" s="138">
        <v>386</v>
      </c>
      <c r="K1586" s="138">
        <v>342</v>
      </c>
      <c r="N1586" s="138">
        <v>3</v>
      </c>
      <c r="O1586" s="138">
        <v>3</v>
      </c>
      <c r="R1586" s="138">
        <v>1</v>
      </c>
      <c r="S1586" s="138">
        <v>23</v>
      </c>
      <c r="T1586" s="138">
        <v>32</v>
      </c>
      <c r="U1586" s="138">
        <f t="shared" si="3072"/>
        <v>59</v>
      </c>
      <c r="W1586" s="139">
        <f t="shared" ref="W1586:AA1586" si="3182">J1586/$I1586</f>
        <v>0.48860759493670886</v>
      </c>
      <c r="X1586" s="139">
        <f t="shared" si="3182"/>
        <v>0.43291139240506327</v>
      </c>
      <c r="Y1586" s="139">
        <f t="shared" si="3182"/>
        <v>0</v>
      </c>
      <c r="Z1586" s="139">
        <f t="shared" si="3182"/>
        <v>0</v>
      </c>
      <c r="AA1586" s="139">
        <f t="shared" si="3182"/>
        <v>3.7974683544303796E-3</v>
      </c>
      <c r="AB1586" s="139"/>
      <c r="AC1586" s="139">
        <f t="shared" si="3074"/>
        <v>7.4683544303797464E-2</v>
      </c>
      <c r="AD1586" s="139">
        <f t="shared" ref="AD1586:AI1586" si="3183">O1586/$I1586</f>
        <v>3.7974683544303796E-3</v>
      </c>
      <c r="AE1586" s="139">
        <f t="shared" si="3183"/>
        <v>0</v>
      </c>
      <c r="AF1586" s="139">
        <f t="shared" si="3183"/>
        <v>0</v>
      </c>
      <c r="AG1586" s="139">
        <f t="shared" si="3183"/>
        <v>1.2658227848101266E-3</v>
      </c>
      <c r="AH1586" s="139">
        <f t="shared" si="3183"/>
        <v>2.911392405063291E-2</v>
      </c>
      <c r="AI1586" s="139">
        <f t="shared" si="3183"/>
        <v>4.0506329113924051E-2</v>
      </c>
    </row>
    <row r="1587" spans="2:35">
      <c r="B1587" s="138" t="s">
        <v>8077</v>
      </c>
      <c r="C1587" s="138" t="s">
        <v>4367</v>
      </c>
      <c r="D1587" s="138" t="s">
        <v>7</v>
      </c>
      <c r="E1587" s="138" t="s">
        <v>706</v>
      </c>
      <c r="F1587" s="138" t="s">
        <v>8202</v>
      </c>
      <c r="H1587" s="138">
        <v>170</v>
      </c>
      <c r="I1587" s="138">
        <v>695</v>
      </c>
      <c r="J1587" s="138">
        <v>430</v>
      </c>
      <c r="K1587" s="138">
        <v>235</v>
      </c>
      <c r="N1587" s="138">
        <v>6</v>
      </c>
      <c r="O1587" s="138">
        <v>1</v>
      </c>
      <c r="R1587" s="138">
        <v>1</v>
      </c>
      <c r="S1587" s="138">
        <v>14</v>
      </c>
      <c r="T1587" s="138">
        <v>8</v>
      </c>
      <c r="U1587" s="138">
        <f t="shared" si="3072"/>
        <v>24</v>
      </c>
      <c r="W1587" s="139">
        <f t="shared" ref="W1587:AA1587" si="3184">J1587/$I1587</f>
        <v>0.61870503597122306</v>
      </c>
      <c r="X1587" s="139">
        <f t="shared" si="3184"/>
        <v>0.33812949640287771</v>
      </c>
      <c r="Y1587" s="139">
        <f t="shared" si="3184"/>
        <v>0</v>
      </c>
      <c r="Z1587" s="139">
        <f t="shared" si="3184"/>
        <v>0</v>
      </c>
      <c r="AA1587" s="139">
        <f t="shared" si="3184"/>
        <v>8.6330935251798559E-3</v>
      </c>
      <c r="AB1587" s="139"/>
      <c r="AC1587" s="139">
        <f t="shared" si="3074"/>
        <v>3.4532374100719423E-2</v>
      </c>
      <c r="AD1587" s="139">
        <f t="shared" ref="AD1587:AI1587" si="3185">O1587/$I1587</f>
        <v>1.4388489208633094E-3</v>
      </c>
      <c r="AE1587" s="139">
        <f t="shared" si="3185"/>
        <v>0</v>
      </c>
      <c r="AF1587" s="139">
        <f t="shared" si="3185"/>
        <v>0</v>
      </c>
      <c r="AG1587" s="139">
        <f t="shared" si="3185"/>
        <v>1.4388489208633094E-3</v>
      </c>
      <c r="AH1587" s="139">
        <f t="shared" si="3185"/>
        <v>2.0143884892086329E-2</v>
      </c>
      <c r="AI1587" s="139">
        <f t="shared" si="3185"/>
        <v>1.1510791366906475E-2</v>
      </c>
    </row>
    <row r="1588" spans="2:35">
      <c r="B1588" s="138" t="s">
        <v>8077</v>
      </c>
      <c r="C1588" s="138" t="s">
        <v>4367</v>
      </c>
      <c r="D1588" s="138" t="s">
        <v>7</v>
      </c>
      <c r="E1588" s="138" t="s">
        <v>706</v>
      </c>
      <c r="F1588" s="138" t="s">
        <v>8202</v>
      </c>
      <c r="H1588" s="138">
        <v>171</v>
      </c>
      <c r="I1588" s="138">
        <v>871</v>
      </c>
      <c r="J1588" s="138">
        <v>522</v>
      </c>
      <c r="K1588" s="138">
        <v>294</v>
      </c>
      <c r="N1588" s="138">
        <v>7</v>
      </c>
      <c r="O1588" s="138">
        <v>5</v>
      </c>
      <c r="R1588" s="138">
        <v>2</v>
      </c>
      <c r="S1588" s="138">
        <v>16</v>
      </c>
      <c r="T1588" s="138">
        <v>25</v>
      </c>
      <c r="U1588" s="138">
        <f t="shared" si="3072"/>
        <v>48</v>
      </c>
      <c r="W1588" s="139">
        <f t="shared" ref="W1588:AA1588" si="3186">J1588/$I1588</f>
        <v>0.59931113662456947</v>
      </c>
      <c r="X1588" s="139">
        <f t="shared" si="3186"/>
        <v>0.3375430539609644</v>
      </c>
      <c r="Y1588" s="139">
        <f t="shared" si="3186"/>
        <v>0</v>
      </c>
      <c r="Z1588" s="139">
        <f t="shared" si="3186"/>
        <v>0</v>
      </c>
      <c r="AA1588" s="139">
        <f t="shared" si="3186"/>
        <v>8.0367393800229621E-3</v>
      </c>
      <c r="AB1588" s="139"/>
      <c r="AC1588" s="139">
        <f t="shared" si="3074"/>
        <v>5.5109070034443167E-2</v>
      </c>
      <c r="AD1588" s="139">
        <f t="shared" ref="AD1588:AI1588" si="3187">O1588/$I1588</f>
        <v>5.7405281285878304E-3</v>
      </c>
      <c r="AE1588" s="139">
        <f t="shared" si="3187"/>
        <v>0</v>
      </c>
      <c r="AF1588" s="139">
        <f t="shared" si="3187"/>
        <v>0</v>
      </c>
      <c r="AG1588" s="139">
        <f t="shared" si="3187"/>
        <v>2.2962112514351321E-3</v>
      </c>
      <c r="AH1588" s="139">
        <f t="shared" si="3187"/>
        <v>1.8369690011481057E-2</v>
      </c>
      <c r="AI1588" s="139">
        <f t="shared" si="3187"/>
        <v>2.8702640642939151E-2</v>
      </c>
    </row>
    <row r="1589" spans="2:35">
      <c r="B1589" s="138" t="s">
        <v>8077</v>
      </c>
      <c r="C1589" s="138" t="s">
        <v>4367</v>
      </c>
      <c r="D1589" s="138" t="s">
        <v>7</v>
      </c>
      <c r="E1589" s="138" t="s">
        <v>706</v>
      </c>
      <c r="F1589" s="138" t="s">
        <v>1467</v>
      </c>
      <c r="H1589" s="138">
        <v>172</v>
      </c>
      <c r="I1589" s="138">
        <v>1041</v>
      </c>
      <c r="J1589" s="138">
        <v>545</v>
      </c>
      <c r="K1589" s="138">
        <v>446</v>
      </c>
      <c r="N1589" s="138">
        <v>7</v>
      </c>
      <c r="O1589" s="138">
        <v>1</v>
      </c>
      <c r="R1589" s="138">
        <v>1</v>
      </c>
      <c r="S1589" s="138">
        <v>20</v>
      </c>
      <c r="T1589" s="138">
        <v>21</v>
      </c>
      <c r="U1589" s="138">
        <f t="shared" si="3072"/>
        <v>43</v>
      </c>
      <c r="W1589" s="139">
        <f t="shared" ref="W1589:AA1589" si="3188">J1589/$I1589</f>
        <v>0.52353506243996162</v>
      </c>
      <c r="X1589" s="139">
        <f t="shared" si="3188"/>
        <v>0.42843419788664744</v>
      </c>
      <c r="Y1589" s="139">
        <f t="shared" si="3188"/>
        <v>0</v>
      </c>
      <c r="Z1589" s="139">
        <f t="shared" si="3188"/>
        <v>0</v>
      </c>
      <c r="AA1589" s="139">
        <f t="shared" si="3188"/>
        <v>6.7243035542747355E-3</v>
      </c>
      <c r="AB1589" s="139"/>
      <c r="AC1589" s="139">
        <f t="shared" si="3074"/>
        <v>4.1306436119116233E-2</v>
      </c>
      <c r="AD1589" s="139">
        <f t="shared" ref="AD1589:AI1589" si="3189">O1589/$I1589</f>
        <v>9.6061479346781938E-4</v>
      </c>
      <c r="AE1589" s="139">
        <f t="shared" si="3189"/>
        <v>0</v>
      </c>
      <c r="AF1589" s="139">
        <f t="shared" si="3189"/>
        <v>0</v>
      </c>
      <c r="AG1589" s="139">
        <f t="shared" si="3189"/>
        <v>9.6061479346781938E-4</v>
      </c>
      <c r="AH1589" s="139">
        <f t="shared" si="3189"/>
        <v>1.921229586935639E-2</v>
      </c>
      <c r="AI1589" s="139">
        <f t="shared" si="3189"/>
        <v>2.0172910662824207E-2</v>
      </c>
    </row>
    <row r="1590" spans="2:35">
      <c r="B1590" s="138" t="s">
        <v>8077</v>
      </c>
      <c r="C1590" s="138" t="s">
        <v>4367</v>
      </c>
      <c r="D1590" s="138" t="s">
        <v>7</v>
      </c>
      <c r="E1590" s="138" t="s">
        <v>706</v>
      </c>
      <c r="F1590" s="138" t="s">
        <v>1467</v>
      </c>
      <c r="H1590" s="138">
        <v>173</v>
      </c>
      <c r="I1590" s="138">
        <v>967</v>
      </c>
      <c r="J1590" s="138">
        <v>582</v>
      </c>
      <c r="K1590" s="138">
        <v>335</v>
      </c>
      <c r="N1590" s="138">
        <v>12</v>
      </c>
      <c r="O1590" s="138">
        <v>7</v>
      </c>
      <c r="R1590" s="138">
        <v>2</v>
      </c>
      <c r="S1590" s="138">
        <v>22</v>
      </c>
      <c r="T1590" s="138">
        <v>7</v>
      </c>
      <c r="U1590" s="138">
        <f t="shared" si="3072"/>
        <v>38</v>
      </c>
      <c r="W1590" s="139">
        <f t="shared" ref="W1590:AA1590" si="3190">J1590/$I1590</f>
        <v>0.60186142709410551</v>
      </c>
      <c r="X1590" s="139">
        <f t="shared" si="3190"/>
        <v>0.34643226473629785</v>
      </c>
      <c r="Y1590" s="139">
        <f t="shared" si="3190"/>
        <v>0</v>
      </c>
      <c r="Z1590" s="139">
        <f t="shared" si="3190"/>
        <v>0</v>
      </c>
      <c r="AA1590" s="139">
        <f t="shared" si="3190"/>
        <v>1.2409513960703205E-2</v>
      </c>
      <c r="AB1590" s="139"/>
      <c r="AC1590" s="139">
        <f t="shared" si="3074"/>
        <v>3.9296794208893482E-2</v>
      </c>
      <c r="AD1590" s="139">
        <f t="shared" ref="AD1590:AI1590" si="3191">O1590/$I1590</f>
        <v>7.2388831437435368E-3</v>
      </c>
      <c r="AE1590" s="139">
        <f t="shared" si="3191"/>
        <v>0</v>
      </c>
      <c r="AF1590" s="139">
        <f t="shared" si="3191"/>
        <v>0</v>
      </c>
      <c r="AG1590" s="139">
        <f t="shared" si="3191"/>
        <v>2.0682523267838678E-3</v>
      </c>
      <c r="AH1590" s="139">
        <f t="shared" si="3191"/>
        <v>2.2750775594622543E-2</v>
      </c>
      <c r="AI1590" s="139">
        <f t="shared" si="3191"/>
        <v>7.2388831437435368E-3</v>
      </c>
    </row>
    <row r="1591" spans="2:35">
      <c r="B1591" s="138" t="s">
        <v>8077</v>
      </c>
      <c r="C1591" s="138" t="s">
        <v>4367</v>
      </c>
      <c r="D1591" s="138" t="s">
        <v>7</v>
      </c>
      <c r="E1591" s="138" t="s">
        <v>706</v>
      </c>
      <c r="F1591" s="138" t="s">
        <v>1467</v>
      </c>
      <c r="H1591" s="138">
        <v>174</v>
      </c>
      <c r="I1591" s="138">
        <v>966</v>
      </c>
      <c r="J1591" s="138">
        <v>290</v>
      </c>
      <c r="K1591" s="138">
        <v>636</v>
      </c>
      <c r="N1591" s="138">
        <v>11</v>
      </c>
      <c r="O1591" s="138">
        <v>0</v>
      </c>
      <c r="R1591" s="138">
        <v>0</v>
      </c>
      <c r="S1591" s="138">
        <v>13</v>
      </c>
      <c r="T1591" s="138">
        <v>16</v>
      </c>
      <c r="U1591" s="138">
        <f t="shared" si="3072"/>
        <v>29</v>
      </c>
      <c r="W1591" s="139">
        <f t="shared" ref="W1591:AA1591" si="3192">J1591/$I1591</f>
        <v>0.30020703933747411</v>
      </c>
      <c r="X1591" s="139">
        <f t="shared" si="3192"/>
        <v>0.65838509316770188</v>
      </c>
      <c r="Y1591" s="139">
        <f t="shared" si="3192"/>
        <v>0</v>
      </c>
      <c r="Z1591" s="139">
        <f t="shared" si="3192"/>
        <v>0</v>
      </c>
      <c r="AA1591" s="139">
        <f t="shared" si="3192"/>
        <v>1.1387163561076604E-2</v>
      </c>
      <c r="AB1591" s="139"/>
      <c r="AC1591" s="139">
        <f t="shared" si="3074"/>
        <v>3.0020703933747412E-2</v>
      </c>
      <c r="AD1591" s="139">
        <f t="shared" ref="AD1591:AI1591" si="3193">O1591/$I1591</f>
        <v>0</v>
      </c>
      <c r="AE1591" s="139">
        <f t="shared" si="3193"/>
        <v>0</v>
      </c>
      <c r="AF1591" s="139">
        <f t="shared" si="3193"/>
        <v>0</v>
      </c>
      <c r="AG1591" s="139">
        <f t="shared" si="3193"/>
        <v>0</v>
      </c>
      <c r="AH1591" s="139">
        <f t="shared" si="3193"/>
        <v>1.3457556935817806E-2</v>
      </c>
      <c r="AI1591" s="139">
        <f t="shared" si="3193"/>
        <v>1.6563146997929608E-2</v>
      </c>
    </row>
    <row r="1592" spans="2:35">
      <c r="B1592" s="138" t="s">
        <v>8077</v>
      </c>
      <c r="C1592" s="138" t="s">
        <v>4367</v>
      </c>
      <c r="D1592" s="138" t="s">
        <v>7</v>
      </c>
      <c r="E1592" s="138" t="s">
        <v>706</v>
      </c>
      <c r="F1592" s="138" t="s">
        <v>1477</v>
      </c>
      <c r="H1592" s="138">
        <v>175</v>
      </c>
      <c r="I1592" s="138">
        <v>975</v>
      </c>
      <c r="J1592" s="138">
        <v>450</v>
      </c>
      <c r="K1592" s="138">
        <v>440</v>
      </c>
      <c r="N1592" s="138">
        <v>13</v>
      </c>
      <c r="O1592" s="138">
        <v>2</v>
      </c>
      <c r="R1592" s="138">
        <v>3</v>
      </c>
      <c r="S1592" s="138">
        <v>40</v>
      </c>
      <c r="T1592" s="138">
        <v>27</v>
      </c>
      <c r="U1592" s="138">
        <f t="shared" si="3072"/>
        <v>72</v>
      </c>
      <c r="W1592" s="139">
        <f t="shared" ref="W1592:AA1592" si="3194">J1592/$I1592</f>
        <v>0.46153846153846156</v>
      </c>
      <c r="X1592" s="139">
        <f t="shared" si="3194"/>
        <v>0.45128205128205129</v>
      </c>
      <c r="Y1592" s="139">
        <f t="shared" si="3194"/>
        <v>0</v>
      </c>
      <c r="Z1592" s="139">
        <f t="shared" si="3194"/>
        <v>0</v>
      </c>
      <c r="AA1592" s="139">
        <f t="shared" si="3194"/>
        <v>1.3333333333333334E-2</v>
      </c>
      <c r="AB1592" s="139"/>
      <c r="AC1592" s="139">
        <f t="shared" si="3074"/>
        <v>7.3846153846153853E-2</v>
      </c>
      <c r="AD1592" s="139">
        <f t="shared" ref="AD1592:AI1592" si="3195">O1592/$I1592</f>
        <v>2.0512820512820513E-3</v>
      </c>
      <c r="AE1592" s="139">
        <f t="shared" si="3195"/>
        <v>0</v>
      </c>
      <c r="AF1592" s="139">
        <f t="shared" si="3195"/>
        <v>0</v>
      </c>
      <c r="AG1592" s="139">
        <f t="shared" si="3195"/>
        <v>3.0769230769230769E-3</v>
      </c>
      <c r="AH1592" s="139">
        <f t="shared" si="3195"/>
        <v>4.1025641025641026E-2</v>
      </c>
      <c r="AI1592" s="139">
        <f t="shared" si="3195"/>
        <v>2.7692307692307693E-2</v>
      </c>
    </row>
    <row r="1593" spans="2:35">
      <c r="B1593" s="138" t="s">
        <v>8077</v>
      </c>
      <c r="C1593" s="138" t="s">
        <v>4367</v>
      </c>
      <c r="D1593" s="138" t="s">
        <v>7</v>
      </c>
      <c r="E1593" s="138" t="s">
        <v>706</v>
      </c>
      <c r="F1593" s="138" t="s">
        <v>1477</v>
      </c>
      <c r="H1593" s="138">
        <v>176</v>
      </c>
      <c r="I1593" s="138">
        <v>744</v>
      </c>
      <c r="J1593" s="138">
        <v>338</v>
      </c>
      <c r="K1593" s="138">
        <v>350</v>
      </c>
      <c r="N1593" s="138">
        <v>9</v>
      </c>
      <c r="O1593" s="138">
        <v>5</v>
      </c>
      <c r="R1593" s="138">
        <v>2</v>
      </c>
      <c r="S1593" s="138">
        <v>21</v>
      </c>
      <c r="T1593" s="138">
        <v>19</v>
      </c>
      <c r="U1593" s="138">
        <f t="shared" si="3072"/>
        <v>47</v>
      </c>
      <c r="W1593" s="139">
        <f t="shared" ref="W1593:AA1593" si="3196">J1593/$I1593</f>
        <v>0.45430107526881719</v>
      </c>
      <c r="X1593" s="139">
        <f t="shared" si="3196"/>
        <v>0.47043010752688175</v>
      </c>
      <c r="Y1593" s="139">
        <f t="shared" si="3196"/>
        <v>0</v>
      </c>
      <c r="Z1593" s="139">
        <f t="shared" si="3196"/>
        <v>0</v>
      </c>
      <c r="AA1593" s="139">
        <f t="shared" si="3196"/>
        <v>1.2096774193548387E-2</v>
      </c>
      <c r="AB1593" s="139"/>
      <c r="AC1593" s="139">
        <f t="shared" si="3074"/>
        <v>6.3172043010752688E-2</v>
      </c>
      <c r="AD1593" s="139">
        <f t="shared" ref="AD1593:AI1593" si="3197">O1593/$I1593</f>
        <v>6.7204301075268818E-3</v>
      </c>
      <c r="AE1593" s="139">
        <f t="shared" si="3197"/>
        <v>0</v>
      </c>
      <c r="AF1593" s="139">
        <f t="shared" si="3197"/>
        <v>0</v>
      </c>
      <c r="AG1593" s="139">
        <f t="shared" si="3197"/>
        <v>2.6881720430107529E-3</v>
      </c>
      <c r="AH1593" s="139">
        <f t="shared" si="3197"/>
        <v>2.8225806451612902E-2</v>
      </c>
      <c r="AI1593" s="139">
        <f t="shared" si="3197"/>
        <v>2.5537634408602152E-2</v>
      </c>
    </row>
    <row r="1594" spans="2:35">
      <c r="B1594" s="138" t="s">
        <v>8077</v>
      </c>
      <c r="C1594" s="138" t="s">
        <v>4367</v>
      </c>
      <c r="D1594" s="138" t="s">
        <v>7</v>
      </c>
      <c r="E1594" s="138" t="s">
        <v>706</v>
      </c>
      <c r="F1594" s="138" t="s">
        <v>1477</v>
      </c>
      <c r="H1594" s="138">
        <v>177</v>
      </c>
      <c r="I1594" s="138">
        <v>862</v>
      </c>
      <c r="J1594" s="138">
        <v>430</v>
      </c>
      <c r="K1594" s="138">
        <v>354</v>
      </c>
      <c r="N1594" s="138">
        <v>2</v>
      </c>
      <c r="O1594" s="138">
        <v>12</v>
      </c>
      <c r="R1594" s="138">
        <v>2</v>
      </c>
      <c r="S1594" s="138">
        <v>40</v>
      </c>
      <c r="T1594" s="138">
        <v>22</v>
      </c>
      <c r="U1594" s="138">
        <f t="shared" si="3072"/>
        <v>76</v>
      </c>
      <c r="W1594" s="139">
        <f t="shared" ref="W1594:AA1594" si="3198">J1594/$I1594</f>
        <v>0.49883990719257543</v>
      </c>
      <c r="X1594" s="139">
        <f t="shared" si="3198"/>
        <v>0.41067285382830626</v>
      </c>
      <c r="Y1594" s="139">
        <f t="shared" si="3198"/>
        <v>0</v>
      </c>
      <c r="Z1594" s="139">
        <f t="shared" si="3198"/>
        <v>0</v>
      </c>
      <c r="AA1594" s="139">
        <f t="shared" si="3198"/>
        <v>2.3201856148491878E-3</v>
      </c>
      <c r="AB1594" s="139"/>
      <c r="AC1594" s="139">
        <f t="shared" si="3074"/>
        <v>8.8167053364269138E-2</v>
      </c>
      <c r="AD1594" s="139">
        <f t="shared" ref="AD1594:AI1594" si="3199">O1594/$I1594</f>
        <v>1.3921113689095127E-2</v>
      </c>
      <c r="AE1594" s="139">
        <f t="shared" si="3199"/>
        <v>0</v>
      </c>
      <c r="AF1594" s="139">
        <f t="shared" si="3199"/>
        <v>0</v>
      </c>
      <c r="AG1594" s="139">
        <f t="shared" si="3199"/>
        <v>2.3201856148491878E-3</v>
      </c>
      <c r="AH1594" s="139">
        <f t="shared" si="3199"/>
        <v>4.6403712296983757E-2</v>
      </c>
      <c r="AI1594" s="139">
        <f t="shared" si="3199"/>
        <v>2.5522041763341066E-2</v>
      </c>
    </row>
    <row r="1595" spans="2:35">
      <c r="B1595" s="138" t="s">
        <v>8077</v>
      </c>
      <c r="C1595" s="138" t="s">
        <v>4367</v>
      </c>
      <c r="D1595" s="138" t="s">
        <v>7</v>
      </c>
      <c r="E1595" s="138" t="s">
        <v>706</v>
      </c>
      <c r="F1595" s="138" t="s">
        <v>1455</v>
      </c>
      <c r="H1595" s="138">
        <v>178</v>
      </c>
      <c r="I1595" s="138">
        <v>695</v>
      </c>
      <c r="J1595" s="138">
        <v>467</v>
      </c>
      <c r="K1595" s="138">
        <v>193</v>
      </c>
      <c r="N1595" s="138">
        <v>13</v>
      </c>
      <c r="O1595" s="138">
        <v>3</v>
      </c>
      <c r="R1595" s="138">
        <v>1</v>
      </c>
      <c r="S1595" s="138">
        <v>13</v>
      </c>
      <c r="T1595" s="138">
        <v>5</v>
      </c>
      <c r="U1595" s="138">
        <f t="shared" si="3072"/>
        <v>22</v>
      </c>
      <c r="W1595" s="139">
        <f t="shared" ref="W1595:AA1595" si="3200">J1595/$I1595</f>
        <v>0.67194244604316544</v>
      </c>
      <c r="X1595" s="139">
        <f t="shared" si="3200"/>
        <v>0.27769784172661871</v>
      </c>
      <c r="Y1595" s="139">
        <f t="shared" si="3200"/>
        <v>0</v>
      </c>
      <c r="Z1595" s="139">
        <f t="shared" si="3200"/>
        <v>0</v>
      </c>
      <c r="AA1595" s="139">
        <f t="shared" si="3200"/>
        <v>1.870503597122302E-2</v>
      </c>
      <c r="AB1595" s="139"/>
      <c r="AC1595" s="139">
        <f t="shared" si="3074"/>
        <v>3.1654676258992806E-2</v>
      </c>
      <c r="AD1595" s="139">
        <f t="shared" ref="AD1595:AI1595" si="3201">O1595/$I1595</f>
        <v>4.3165467625899279E-3</v>
      </c>
      <c r="AE1595" s="139">
        <f t="shared" si="3201"/>
        <v>0</v>
      </c>
      <c r="AF1595" s="139">
        <f t="shared" si="3201"/>
        <v>0</v>
      </c>
      <c r="AG1595" s="139">
        <f t="shared" si="3201"/>
        <v>1.4388489208633094E-3</v>
      </c>
      <c r="AH1595" s="139">
        <f t="shared" si="3201"/>
        <v>1.870503597122302E-2</v>
      </c>
      <c r="AI1595" s="139">
        <f t="shared" si="3201"/>
        <v>7.1942446043165471E-3</v>
      </c>
    </row>
    <row r="1596" spans="2:35">
      <c r="B1596" s="138" t="s">
        <v>8077</v>
      </c>
      <c r="C1596" s="138" t="s">
        <v>4367</v>
      </c>
      <c r="D1596" s="138" t="s">
        <v>7</v>
      </c>
      <c r="E1596" s="138" t="s">
        <v>706</v>
      </c>
      <c r="F1596" s="138" t="s">
        <v>1455</v>
      </c>
      <c r="H1596" s="138">
        <v>179</v>
      </c>
      <c r="I1596" s="138">
        <v>1044</v>
      </c>
      <c r="J1596" s="138">
        <v>494</v>
      </c>
      <c r="K1596" s="138">
        <v>487</v>
      </c>
      <c r="N1596" s="138">
        <v>8</v>
      </c>
      <c r="O1596" s="138">
        <v>2</v>
      </c>
      <c r="R1596" s="138">
        <v>2</v>
      </c>
      <c r="S1596" s="138">
        <v>32</v>
      </c>
      <c r="T1596" s="138">
        <v>19</v>
      </c>
      <c r="U1596" s="138">
        <f t="shared" si="3072"/>
        <v>55</v>
      </c>
      <c r="W1596" s="139">
        <f t="shared" ref="W1596:AA1596" si="3202">J1596/$I1596</f>
        <v>0.47318007662835249</v>
      </c>
      <c r="X1596" s="139">
        <f t="shared" si="3202"/>
        <v>0.46647509578544061</v>
      </c>
      <c r="Y1596" s="139">
        <f t="shared" si="3202"/>
        <v>0</v>
      </c>
      <c r="Z1596" s="139">
        <f t="shared" si="3202"/>
        <v>0</v>
      </c>
      <c r="AA1596" s="139">
        <f t="shared" si="3202"/>
        <v>7.6628352490421452E-3</v>
      </c>
      <c r="AB1596" s="139"/>
      <c r="AC1596" s="139">
        <f t="shared" si="3074"/>
        <v>5.2681992337164751E-2</v>
      </c>
      <c r="AD1596" s="139">
        <f t="shared" ref="AD1596:AI1596" si="3203">O1596/$I1596</f>
        <v>1.9157088122605363E-3</v>
      </c>
      <c r="AE1596" s="139">
        <f t="shared" si="3203"/>
        <v>0</v>
      </c>
      <c r="AF1596" s="139">
        <f t="shared" si="3203"/>
        <v>0</v>
      </c>
      <c r="AG1596" s="139">
        <f t="shared" si="3203"/>
        <v>1.9157088122605363E-3</v>
      </c>
      <c r="AH1596" s="139">
        <f t="shared" si="3203"/>
        <v>3.0651340996168581E-2</v>
      </c>
      <c r="AI1596" s="139">
        <f t="shared" si="3203"/>
        <v>1.8199233716475097E-2</v>
      </c>
    </row>
    <row r="1597" spans="2:35">
      <c r="B1597" s="138" t="s">
        <v>8077</v>
      </c>
      <c r="C1597" s="138" t="s">
        <v>4367</v>
      </c>
      <c r="D1597" s="138" t="s">
        <v>7</v>
      </c>
      <c r="E1597" s="138" t="s">
        <v>706</v>
      </c>
      <c r="F1597" s="138" t="s">
        <v>1455</v>
      </c>
      <c r="H1597" s="138">
        <v>180</v>
      </c>
      <c r="I1597" s="138">
        <v>883</v>
      </c>
      <c r="J1597" s="138">
        <v>424</v>
      </c>
      <c r="K1597" s="138">
        <v>393</v>
      </c>
      <c r="N1597" s="138">
        <v>12</v>
      </c>
      <c r="O1597" s="138">
        <v>4</v>
      </c>
      <c r="R1597" s="138">
        <v>1</v>
      </c>
      <c r="S1597" s="138">
        <v>35</v>
      </c>
      <c r="T1597" s="138">
        <v>14</v>
      </c>
      <c r="U1597" s="138">
        <f t="shared" si="3072"/>
        <v>54</v>
      </c>
      <c r="W1597" s="139">
        <f t="shared" ref="W1597:AA1597" si="3204">J1597/$I1597</f>
        <v>0.48018120045300111</v>
      </c>
      <c r="X1597" s="139">
        <f t="shared" si="3204"/>
        <v>0.44507361268403173</v>
      </c>
      <c r="Y1597" s="139">
        <f t="shared" si="3204"/>
        <v>0</v>
      </c>
      <c r="Z1597" s="139">
        <f t="shared" si="3204"/>
        <v>0</v>
      </c>
      <c r="AA1597" s="139">
        <f t="shared" si="3204"/>
        <v>1.3590033975084938E-2</v>
      </c>
      <c r="AB1597" s="139"/>
      <c r="AC1597" s="139">
        <f t="shared" si="3074"/>
        <v>6.1155152887882216E-2</v>
      </c>
      <c r="AD1597" s="139">
        <f t="shared" ref="AD1597:AI1597" si="3205">O1597/$I1597</f>
        <v>4.5300113250283129E-3</v>
      </c>
      <c r="AE1597" s="139">
        <f t="shared" si="3205"/>
        <v>0</v>
      </c>
      <c r="AF1597" s="139">
        <f t="shared" si="3205"/>
        <v>0</v>
      </c>
      <c r="AG1597" s="139">
        <f t="shared" si="3205"/>
        <v>1.1325028312570782E-3</v>
      </c>
      <c r="AH1597" s="139">
        <f t="shared" si="3205"/>
        <v>3.9637599093997736E-2</v>
      </c>
      <c r="AI1597" s="139">
        <f t="shared" si="3205"/>
        <v>1.5855039637599093E-2</v>
      </c>
    </row>
    <row r="1598" spans="2:35">
      <c r="B1598" s="138" t="s">
        <v>8077</v>
      </c>
      <c r="C1598" s="138" t="s">
        <v>4367</v>
      </c>
      <c r="D1598" s="138" t="s">
        <v>7</v>
      </c>
      <c r="E1598" s="138" t="s">
        <v>706</v>
      </c>
      <c r="F1598" s="138" t="s">
        <v>1480</v>
      </c>
      <c r="H1598" s="138">
        <v>181</v>
      </c>
      <c r="I1598" s="138">
        <v>993</v>
      </c>
      <c r="J1598" s="138">
        <v>519</v>
      </c>
      <c r="K1598" s="138">
        <v>439</v>
      </c>
      <c r="N1598" s="138">
        <v>10</v>
      </c>
      <c r="O1598" s="138">
        <v>1</v>
      </c>
      <c r="R1598" s="138">
        <v>0</v>
      </c>
      <c r="S1598" s="138">
        <v>17</v>
      </c>
      <c r="T1598" s="138">
        <v>7</v>
      </c>
      <c r="U1598" s="138">
        <f t="shared" si="3072"/>
        <v>25</v>
      </c>
      <c r="W1598" s="139">
        <f t="shared" ref="W1598:AA1598" si="3206">J1598/$I1598</f>
        <v>0.5226586102719033</v>
      </c>
      <c r="X1598" s="139">
        <f t="shared" si="3206"/>
        <v>0.4420946626384693</v>
      </c>
      <c r="Y1598" s="139">
        <f t="shared" si="3206"/>
        <v>0</v>
      </c>
      <c r="Z1598" s="139">
        <f t="shared" si="3206"/>
        <v>0</v>
      </c>
      <c r="AA1598" s="139">
        <f t="shared" si="3206"/>
        <v>1.0070493454179255E-2</v>
      </c>
      <c r="AB1598" s="139"/>
      <c r="AC1598" s="139">
        <f t="shared" si="3074"/>
        <v>2.5176233635448138E-2</v>
      </c>
      <c r="AD1598" s="139">
        <f t="shared" ref="AD1598:AI1598" si="3207">O1598/$I1598</f>
        <v>1.0070493454179255E-3</v>
      </c>
      <c r="AE1598" s="139">
        <f t="shared" si="3207"/>
        <v>0</v>
      </c>
      <c r="AF1598" s="139">
        <f t="shared" si="3207"/>
        <v>0</v>
      </c>
      <c r="AG1598" s="139">
        <f t="shared" si="3207"/>
        <v>0</v>
      </c>
      <c r="AH1598" s="139">
        <f t="shared" si="3207"/>
        <v>1.7119838872104734E-2</v>
      </c>
      <c r="AI1598" s="139">
        <f t="shared" si="3207"/>
        <v>7.0493454179254783E-3</v>
      </c>
    </row>
    <row r="1599" spans="2:35">
      <c r="B1599" s="138" t="s">
        <v>8077</v>
      </c>
      <c r="C1599" s="138" t="s">
        <v>4367</v>
      </c>
      <c r="D1599" s="138" t="s">
        <v>7</v>
      </c>
      <c r="E1599" s="138" t="s">
        <v>706</v>
      </c>
      <c r="F1599" s="138" t="s">
        <v>1480</v>
      </c>
      <c r="H1599" s="138">
        <v>182</v>
      </c>
      <c r="I1599" s="138">
        <v>772</v>
      </c>
      <c r="J1599" s="138">
        <v>375</v>
      </c>
      <c r="K1599" s="138">
        <v>368</v>
      </c>
      <c r="N1599" s="138">
        <v>4</v>
      </c>
      <c r="O1599" s="138">
        <v>2</v>
      </c>
      <c r="R1599" s="138">
        <v>2</v>
      </c>
      <c r="S1599" s="138">
        <v>10</v>
      </c>
      <c r="T1599" s="138">
        <v>11</v>
      </c>
      <c r="U1599" s="138">
        <f t="shared" si="3072"/>
        <v>25</v>
      </c>
      <c r="W1599" s="139">
        <f t="shared" ref="W1599:AA1599" si="3208">J1599/$I1599</f>
        <v>0.48575129533678757</v>
      </c>
      <c r="X1599" s="139">
        <f t="shared" si="3208"/>
        <v>0.47668393782383417</v>
      </c>
      <c r="Y1599" s="139">
        <f t="shared" si="3208"/>
        <v>0</v>
      </c>
      <c r="Z1599" s="139">
        <f t="shared" si="3208"/>
        <v>0</v>
      </c>
      <c r="AA1599" s="139">
        <f t="shared" si="3208"/>
        <v>5.1813471502590676E-3</v>
      </c>
      <c r="AB1599" s="139"/>
      <c r="AC1599" s="139">
        <f t="shared" si="3074"/>
        <v>3.2383419689119168E-2</v>
      </c>
      <c r="AD1599" s="139">
        <f t="shared" ref="AD1599:AI1599" si="3209">O1599/$I1599</f>
        <v>2.5906735751295338E-3</v>
      </c>
      <c r="AE1599" s="139">
        <f t="shared" si="3209"/>
        <v>0</v>
      </c>
      <c r="AF1599" s="139">
        <f t="shared" si="3209"/>
        <v>0</v>
      </c>
      <c r="AG1599" s="139">
        <f t="shared" si="3209"/>
        <v>2.5906735751295338E-3</v>
      </c>
      <c r="AH1599" s="139">
        <f t="shared" si="3209"/>
        <v>1.2953367875647668E-2</v>
      </c>
      <c r="AI1599" s="139">
        <f t="shared" si="3209"/>
        <v>1.4248704663212436E-2</v>
      </c>
    </row>
    <row r="1600" spans="2:35">
      <c r="B1600" s="138" t="s">
        <v>8077</v>
      </c>
      <c r="C1600" s="138" t="s">
        <v>4367</v>
      </c>
      <c r="D1600" s="138" t="s">
        <v>7</v>
      </c>
      <c r="E1600" s="138" t="s">
        <v>706</v>
      </c>
      <c r="F1600" s="138" t="s">
        <v>1480</v>
      </c>
      <c r="H1600" s="138">
        <v>183</v>
      </c>
      <c r="I1600" s="138">
        <v>994</v>
      </c>
      <c r="J1600" s="138">
        <v>558</v>
      </c>
      <c r="K1600" s="138">
        <v>376</v>
      </c>
      <c r="N1600" s="138">
        <v>17</v>
      </c>
      <c r="O1600" s="138">
        <v>4</v>
      </c>
      <c r="R1600" s="138">
        <v>4</v>
      </c>
      <c r="S1600" s="138">
        <v>19</v>
      </c>
      <c r="T1600" s="138">
        <v>16</v>
      </c>
      <c r="U1600" s="138">
        <f t="shared" si="3072"/>
        <v>43</v>
      </c>
      <c r="W1600" s="139">
        <f t="shared" ref="W1600:AA1600" si="3210">J1600/$I1600</f>
        <v>0.56136820925553321</v>
      </c>
      <c r="X1600" s="139">
        <f t="shared" si="3210"/>
        <v>0.3782696177062374</v>
      </c>
      <c r="Y1600" s="139">
        <f t="shared" si="3210"/>
        <v>0</v>
      </c>
      <c r="Z1600" s="139">
        <f t="shared" si="3210"/>
        <v>0</v>
      </c>
      <c r="AA1600" s="139">
        <f t="shared" si="3210"/>
        <v>1.7102615694164991E-2</v>
      </c>
      <c r="AB1600" s="139"/>
      <c r="AC1600" s="139">
        <f t="shared" si="3074"/>
        <v>4.3259557344064385E-2</v>
      </c>
      <c r="AD1600" s="139">
        <f t="shared" ref="AD1600:AI1600" si="3211">O1600/$I1600</f>
        <v>4.0241448692152921E-3</v>
      </c>
      <c r="AE1600" s="139">
        <f t="shared" si="3211"/>
        <v>0</v>
      </c>
      <c r="AF1600" s="139">
        <f t="shared" si="3211"/>
        <v>0</v>
      </c>
      <c r="AG1600" s="139">
        <f t="shared" si="3211"/>
        <v>4.0241448692152921E-3</v>
      </c>
      <c r="AH1600" s="139">
        <f t="shared" si="3211"/>
        <v>1.9114688128772636E-2</v>
      </c>
      <c r="AI1600" s="139">
        <f t="shared" si="3211"/>
        <v>1.6096579476861168E-2</v>
      </c>
    </row>
    <row r="1601" spans="2:35">
      <c r="B1601" s="138" t="s">
        <v>8077</v>
      </c>
      <c r="C1601" s="138" t="s">
        <v>4367</v>
      </c>
      <c r="D1601" s="138" t="s">
        <v>7</v>
      </c>
      <c r="E1601" s="138" t="s">
        <v>706</v>
      </c>
      <c r="F1601" s="138" t="s">
        <v>1497</v>
      </c>
      <c r="H1601" s="138">
        <v>184</v>
      </c>
      <c r="I1601" s="138">
        <v>908</v>
      </c>
      <c r="J1601" s="138">
        <v>485</v>
      </c>
      <c r="K1601" s="138">
        <v>390</v>
      </c>
      <c r="N1601" s="138">
        <v>9</v>
      </c>
      <c r="O1601" s="138">
        <v>2</v>
      </c>
      <c r="R1601" s="138">
        <v>0</v>
      </c>
      <c r="S1601" s="138">
        <v>9</v>
      </c>
      <c r="T1601" s="138">
        <v>13</v>
      </c>
      <c r="U1601" s="138">
        <f t="shared" si="3072"/>
        <v>24</v>
      </c>
      <c r="W1601" s="139">
        <f t="shared" ref="W1601:AA1601" si="3212">J1601/$I1601</f>
        <v>0.53414096916299558</v>
      </c>
      <c r="X1601" s="139">
        <f t="shared" si="3212"/>
        <v>0.42951541850220265</v>
      </c>
      <c r="Y1601" s="139">
        <f t="shared" si="3212"/>
        <v>0</v>
      </c>
      <c r="Z1601" s="139">
        <f t="shared" si="3212"/>
        <v>0</v>
      </c>
      <c r="AA1601" s="139">
        <f t="shared" si="3212"/>
        <v>9.911894273127754E-3</v>
      </c>
      <c r="AB1601" s="139"/>
      <c r="AC1601" s="139">
        <f t="shared" si="3074"/>
        <v>2.643171806167401E-2</v>
      </c>
      <c r="AD1601" s="139">
        <f t="shared" ref="AD1601:AI1601" si="3213">O1601/$I1601</f>
        <v>2.2026431718061676E-3</v>
      </c>
      <c r="AE1601" s="139">
        <f t="shared" si="3213"/>
        <v>0</v>
      </c>
      <c r="AF1601" s="139">
        <f t="shared" si="3213"/>
        <v>0</v>
      </c>
      <c r="AG1601" s="139">
        <f t="shared" si="3213"/>
        <v>0</v>
      </c>
      <c r="AH1601" s="139">
        <f t="shared" si="3213"/>
        <v>9.911894273127754E-3</v>
      </c>
      <c r="AI1601" s="139">
        <f t="shared" si="3213"/>
        <v>1.4317180616740088E-2</v>
      </c>
    </row>
    <row r="1602" spans="2:35">
      <c r="B1602" s="138" t="s">
        <v>8077</v>
      </c>
      <c r="C1602" s="138" t="s">
        <v>4367</v>
      </c>
      <c r="D1602" s="138" t="s">
        <v>7</v>
      </c>
      <c r="E1602" s="138" t="s">
        <v>706</v>
      </c>
      <c r="F1602" s="138" t="s">
        <v>1497</v>
      </c>
      <c r="H1602" s="138">
        <v>185</v>
      </c>
      <c r="I1602" s="138">
        <v>911</v>
      </c>
      <c r="J1602" s="138">
        <v>474</v>
      </c>
      <c r="K1602" s="138">
        <v>357</v>
      </c>
      <c r="N1602" s="138">
        <v>11</v>
      </c>
      <c r="O1602" s="138">
        <v>4</v>
      </c>
      <c r="R1602" s="138">
        <v>1</v>
      </c>
      <c r="S1602" s="138">
        <v>26</v>
      </c>
      <c r="T1602" s="138">
        <v>38</v>
      </c>
      <c r="U1602" s="138">
        <f t="shared" si="3072"/>
        <v>69</v>
      </c>
      <c r="W1602" s="139">
        <f t="shared" ref="W1602:AA1602" si="3214">J1602/$I1602</f>
        <v>0.52030735455543364</v>
      </c>
      <c r="X1602" s="139">
        <f t="shared" si="3214"/>
        <v>0.39187705817782659</v>
      </c>
      <c r="Y1602" s="139">
        <f t="shared" si="3214"/>
        <v>0</v>
      </c>
      <c r="Z1602" s="139">
        <f t="shared" si="3214"/>
        <v>0</v>
      </c>
      <c r="AA1602" s="139">
        <f t="shared" si="3214"/>
        <v>1.2074643249176729E-2</v>
      </c>
      <c r="AB1602" s="139"/>
      <c r="AC1602" s="139">
        <f t="shared" si="3074"/>
        <v>7.5740944017563122E-2</v>
      </c>
      <c r="AD1602" s="139">
        <f t="shared" ref="AD1602:AI1602" si="3215">O1602/$I1602</f>
        <v>4.3907793633369925E-3</v>
      </c>
      <c r="AE1602" s="139">
        <f t="shared" si="3215"/>
        <v>0</v>
      </c>
      <c r="AF1602" s="139">
        <f t="shared" si="3215"/>
        <v>0</v>
      </c>
      <c r="AG1602" s="139">
        <f t="shared" si="3215"/>
        <v>1.0976948408342481E-3</v>
      </c>
      <c r="AH1602" s="139">
        <f t="shared" si="3215"/>
        <v>2.8540065861690452E-2</v>
      </c>
      <c r="AI1602" s="139">
        <f t="shared" si="3215"/>
        <v>4.1712403951701428E-2</v>
      </c>
    </row>
    <row r="1603" spans="2:35">
      <c r="B1603" s="138" t="s">
        <v>8077</v>
      </c>
      <c r="C1603" s="138" t="s">
        <v>4367</v>
      </c>
      <c r="D1603" s="138" t="s">
        <v>7</v>
      </c>
      <c r="E1603" s="138" t="s">
        <v>706</v>
      </c>
      <c r="F1603" s="138" t="s">
        <v>1497</v>
      </c>
      <c r="H1603" s="138">
        <v>186</v>
      </c>
      <c r="I1603" s="138">
        <v>724</v>
      </c>
      <c r="J1603" s="138">
        <v>265</v>
      </c>
      <c r="K1603" s="138">
        <v>424</v>
      </c>
      <c r="N1603" s="138">
        <v>5</v>
      </c>
      <c r="O1603" s="138">
        <v>1</v>
      </c>
      <c r="R1603" s="138">
        <v>0</v>
      </c>
      <c r="S1603" s="138">
        <v>12</v>
      </c>
      <c r="T1603" s="138">
        <v>17</v>
      </c>
      <c r="U1603" s="138">
        <f t="shared" si="3072"/>
        <v>30</v>
      </c>
      <c r="W1603" s="139">
        <f t="shared" ref="W1603:AA1603" si="3216">J1603/$I1603</f>
        <v>0.36602209944751379</v>
      </c>
      <c r="X1603" s="139">
        <f t="shared" si="3216"/>
        <v>0.58563535911602205</v>
      </c>
      <c r="Y1603" s="139">
        <f t="shared" si="3216"/>
        <v>0</v>
      </c>
      <c r="Z1603" s="139">
        <f t="shared" si="3216"/>
        <v>0</v>
      </c>
      <c r="AA1603" s="139">
        <f t="shared" si="3216"/>
        <v>6.9060773480662981E-3</v>
      </c>
      <c r="AB1603" s="139"/>
      <c r="AC1603" s="139">
        <f t="shared" si="3074"/>
        <v>4.1436464088397788E-2</v>
      </c>
      <c r="AD1603" s="139">
        <f t="shared" ref="AD1603:AI1603" si="3217">O1603/$I1603</f>
        <v>1.3812154696132596E-3</v>
      </c>
      <c r="AE1603" s="139">
        <f t="shared" si="3217"/>
        <v>0</v>
      </c>
      <c r="AF1603" s="139">
        <f t="shared" si="3217"/>
        <v>0</v>
      </c>
      <c r="AG1603" s="139">
        <f t="shared" si="3217"/>
        <v>0</v>
      </c>
      <c r="AH1603" s="139">
        <f t="shared" si="3217"/>
        <v>1.6574585635359115E-2</v>
      </c>
      <c r="AI1603" s="139">
        <f t="shared" si="3217"/>
        <v>2.3480662983425413E-2</v>
      </c>
    </row>
    <row r="1604" spans="2:35">
      <c r="B1604" s="138" t="s">
        <v>8077</v>
      </c>
      <c r="C1604" s="138" t="s">
        <v>4367</v>
      </c>
      <c r="D1604" s="138" t="s">
        <v>7</v>
      </c>
      <c r="E1604" s="138" t="s">
        <v>706</v>
      </c>
      <c r="F1604" s="138" t="s">
        <v>1473</v>
      </c>
      <c r="H1604" s="138">
        <v>187</v>
      </c>
      <c r="I1604" s="138">
        <v>832</v>
      </c>
      <c r="J1604" s="138">
        <v>362</v>
      </c>
      <c r="K1604" s="138">
        <v>422</v>
      </c>
      <c r="N1604" s="138">
        <v>7</v>
      </c>
      <c r="O1604" s="138">
        <v>4</v>
      </c>
      <c r="R1604" s="138">
        <v>1</v>
      </c>
      <c r="S1604" s="138">
        <v>22</v>
      </c>
      <c r="T1604" s="138">
        <v>14</v>
      </c>
      <c r="U1604" s="138">
        <f t="shared" si="3072"/>
        <v>41</v>
      </c>
      <c r="W1604" s="139">
        <f t="shared" ref="W1604:AA1604" si="3218">J1604/$I1604</f>
        <v>0.43509615384615385</v>
      </c>
      <c r="X1604" s="139">
        <f t="shared" si="3218"/>
        <v>0.50721153846153844</v>
      </c>
      <c r="Y1604" s="139">
        <f t="shared" si="3218"/>
        <v>0</v>
      </c>
      <c r="Z1604" s="139">
        <f t="shared" si="3218"/>
        <v>0</v>
      </c>
      <c r="AA1604" s="139">
        <f t="shared" si="3218"/>
        <v>8.4134615384615381E-3</v>
      </c>
      <c r="AB1604" s="139"/>
      <c r="AC1604" s="139">
        <f t="shared" si="3074"/>
        <v>4.9278846153846152E-2</v>
      </c>
      <c r="AD1604" s="139">
        <f t="shared" ref="AD1604:AI1604" si="3219">O1604/$I1604</f>
        <v>4.807692307692308E-3</v>
      </c>
      <c r="AE1604" s="139">
        <f t="shared" si="3219"/>
        <v>0</v>
      </c>
      <c r="AF1604" s="139">
        <f t="shared" si="3219"/>
        <v>0</v>
      </c>
      <c r="AG1604" s="139">
        <f t="shared" si="3219"/>
        <v>1.201923076923077E-3</v>
      </c>
      <c r="AH1604" s="139">
        <f t="shared" si="3219"/>
        <v>2.6442307692307692E-2</v>
      </c>
      <c r="AI1604" s="139">
        <f t="shared" si="3219"/>
        <v>1.6826923076923076E-2</v>
      </c>
    </row>
    <row r="1605" spans="2:35">
      <c r="B1605" s="138" t="s">
        <v>8077</v>
      </c>
      <c r="C1605" s="138" t="s">
        <v>4367</v>
      </c>
      <c r="D1605" s="138" t="s">
        <v>7</v>
      </c>
      <c r="E1605" s="138" t="s">
        <v>706</v>
      </c>
      <c r="F1605" s="138" t="s">
        <v>1473</v>
      </c>
      <c r="H1605" s="138">
        <v>188</v>
      </c>
      <c r="I1605" s="138">
        <v>875</v>
      </c>
      <c r="J1605" s="138">
        <v>405</v>
      </c>
      <c r="K1605" s="138">
        <v>422</v>
      </c>
      <c r="N1605" s="138">
        <v>11</v>
      </c>
      <c r="O1605" s="138">
        <v>1</v>
      </c>
      <c r="R1605" s="138">
        <v>0</v>
      </c>
      <c r="S1605" s="138">
        <v>21</v>
      </c>
      <c r="T1605" s="138">
        <v>15</v>
      </c>
      <c r="U1605" s="138">
        <f t="shared" si="3072"/>
        <v>37</v>
      </c>
      <c r="W1605" s="139">
        <f t="shared" ref="W1605:AA1605" si="3220">J1605/$I1605</f>
        <v>0.46285714285714286</v>
      </c>
      <c r="X1605" s="139">
        <f t="shared" si="3220"/>
        <v>0.48228571428571426</v>
      </c>
      <c r="Y1605" s="139">
        <f t="shared" si="3220"/>
        <v>0</v>
      </c>
      <c r="Z1605" s="139">
        <f t="shared" si="3220"/>
        <v>0</v>
      </c>
      <c r="AA1605" s="139">
        <f t="shared" si="3220"/>
        <v>1.2571428571428572E-2</v>
      </c>
      <c r="AB1605" s="139"/>
      <c r="AC1605" s="139">
        <f t="shared" si="3074"/>
        <v>4.2285714285714288E-2</v>
      </c>
      <c r="AD1605" s="139">
        <f t="shared" ref="AD1605:AI1605" si="3221">O1605/$I1605</f>
        <v>1.1428571428571429E-3</v>
      </c>
      <c r="AE1605" s="139">
        <f t="shared" si="3221"/>
        <v>0</v>
      </c>
      <c r="AF1605" s="139">
        <f t="shared" si="3221"/>
        <v>0</v>
      </c>
      <c r="AG1605" s="139">
        <f t="shared" si="3221"/>
        <v>0</v>
      </c>
      <c r="AH1605" s="139">
        <f t="shared" si="3221"/>
        <v>2.4E-2</v>
      </c>
      <c r="AI1605" s="139">
        <f t="shared" si="3221"/>
        <v>1.7142857142857144E-2</v>
      </c>
    </row>
    <row r="1606" spans="2:35">
      <c r="B1606" s="138" t="s">
        <v>8077</v>
      </c>
      <c r="C1606" s="138" t="s">
        <v>4367</v>
      </c>
      <c r="D1606" s="138" t="s">
        <v>7</v>
      </c>
      <c r="E1606" s="138" t="s">
        <v>706</v>
      </c>
      <c r="F1606" s="138" t="s">
        <v>1473</v>
      </c>
      <c r="H1606" s="138">
        <v>189</v>
      </c>
      <c r="I1606" s="138">
        <v>939</v>
      </c>
      <c r="J1606" s="138">
        <v>419</v>
      </c>
      <c r="K1606" s="138">
        <v>469</v>
      </c>
      <c r="N1606" s="138">
        <v>12</v>
      </c>
      <c r="O1606" s="138">
        <v>4</v>
      </c>
      <c r="R1606" s="138">
        <v>3</v>
      </c>
      <c r="S1606" s="138">
        <v>19</v>
      </c>
      <c r="T1606" s="138">
        <v>13</v>
      </c>
      <c r="U1606" s="138">
        <f t="shared" si="3072"/>
        <v>39</v>
      </c>
      <c r="W1606" s="139">
        <f t="shared" ref="W1606:AA1606" si="3222">J1606/$I1606</f>
        <v>0.44621938232161873</v>
      </c>
      <c r="X1606" s="139">
        <f t="shared" si="3222"/>
        <v>0.49946751863684768</v>
      </c>
      <c r="Y1606" s="139">
        <f t="shared" si="3222"/>
        <v>0</v>
      </c>
      <c r="Z1606" s="139">
        <f t="shared" si="3222"/>
        <v>0</v>
      </c>
      <c r="AA1606" s="139">
        <f t="shared" si="3222"/>
        <v>1.2779552715654952E-2</v>
      </c>
      <c r="AB1606" s="139"/>
      <c r="AC1606" s="139">
        <f t="shared" si="3074"/>
        <v>4.1533546325878593E-2</v>
      </c>
      <c r="AD1606" s="139">
        <f t="shared" ref="AD1606:AI1606" si="3223">O1606/$I1606</f>
        <v>4.2598509052183178E-3</v>
      </c>
      <c r="AE1606" s="139">
        <f t="shared" si="3223"/>
        <v>0</v>
      </c>
      <c r="AF1606" s="139">
        <f t="shared" si="3223"/>
        <v>0</v>
      </c>
      <c r="AG1606" s="139">
        <f t="shared" si="3223"/>
        <v>3.1948881789137379E-3</v>
      </c>
      <c r="AH1606" s="139">
        <f t="shared" si="3223"/>
        <v>2.0234291799787009E-2</v>
      </c>
      <c r="AI1606" s="139">
        <f t="shared" si="3223"/>
        <v>1.3844515441959531E-2</v>
      </c>
    </row>
    <row r="1607" spans="2:35">
      <c r="B1607" s="138" t="s">
        <v>8077</v>
      </c>
      <c r="C1607" s="138" t="s">
        <v>4367</v>
      </c>
      <c r="D1607" s="138" t="s">
        <v>7</v>
      </c>
      <c r="E1607" s="138" t="s">
        <v>706</v>
      </c>
      <c r="F1607" s="138" t="s">
        <v>8203</v>
      </c>
      <c r="H1607" s="138">
        <v>190</v>
      </c>
      <c r="I1607" s="138">
        <v>1116</v>
      </c>
      <c r="J1607" s="138">
        <v>351</v>
      </c>
      <c r="K1607" s="138">
        <v>718</v>
      </c>
      <c r="N1607" s="138">
        <v>13</v>
      </c>
      <c r="O1607" s="138">
        <v>1</v>
      </c>
      <c r="R1607" s="138">
        <v>2</v>
      </c>
      <c r="S1607" s="138">
        <v>16</v>
      </c>
      <c r="T1607" s="138">
        <v>15</v>
      </c>
      <c r="U1607" s="138">
        <f t="shared" si="3072"/>
        <v>34</v>
      </c>
      <c r="W1607" s="139">
        <f t="shared" ref="W1607:AA1607" si="3224">J1607/$I1607</f>
        <v>0.31451612903225806</v>
      </c>
      <c r="X1607" s="139">
        <f t="shared" si="3224"/>
        <v>0.64336917562724016</v>
      </c>
      <c r="Y1607" s="139">
        <f t="shared" si="3224"/>
        <v>0</v>
      </c>
      <c r="Z1607" s="139">
        <f t="shared" si="3224"/>
        <v>0</v>
      </c>
      <c r="AA1607" s="139">
        <f t="shared" si="3224"/>
        <v>1.1648745519713262E-2</v>
      </c>
      <c r="AB1607" s="139"/>
      <c r="AC1607" s="139">
        <f t="shared" si="3074"/>
        <v>3.046594982078853E-2</v>
      </c>
      <c r="AD1607" s="139">
        <f t="shared" ref="AD1607:AI1607" si="3225">O1607/$I1607</f>
        <v>8.960573476702509E-4</v>
      </c>
      <c r="AE1607" s="139">
        <f t="shared" si="3225"/>
        <v>0</v>
      </c>
      <c r="AF1607" s="139">
        <f t="shared" si="3225"/>
        <v>0</v>
      </c>
      <c r="AG1607" s="139">
        <f t="shared" si="3225"/>
        <v>1.7921146953405018E-3</v>
      </c>
      <c r="AH1607" s="139">
        <f t="shared" si="3225"/>
        <v>1.4336917562724014E-2</v>
      </c>
      <c r="AI1607" s="139">
        <f t="shared" si="3225"/>
        <v>1.3440860215053764E-2</v>
      </c>
    </row>
    <row r="1608" spans="2:35">
      <c r="B1608" s="138" t="s">
        <v>8077</v>
      </c>
      <c r="C1608" s="138" t="s">
        <v>4367</v>
      </c>
      <c r="D1608" s="138" t="s">
        <v>7</v>
      </c>
      <c r="E1608" s="138" t="s">
        <v>706</v>
      </c>
      <c r="F1608" s="138" t="s">
        <v>8203</v>
      </c>
      <c r="H1608" s="138">
        <v>191</v>
      </c>
      <c r="I1608" s="138">
        <v>867</v>
      </c>
      <c r="J1608" s="138">
        <v>569</v>
      </c>
      <c r="K1608" s="138">
        <v>255</v>
      </c>
      <c r="N1608" s="138">
        <v>12</v>
      </c>
      <c r="O1608" s="138">
        <v>6</v>
      </c>
      <c r="R1608" s="138">
        <v>0</v>
      </c>
      <c r="S1608" s="138">
        <v>16</v>
      </c>
      <c r="T1608" s="138">
        <v>9</v>
      </c>
      <c r="U1608" s="138">
        <f t="shared" si="3072"/>
        <v>31</v>
      </c>
      <c r="W1608" s="139">
        <f t="shared" ref="W1608:AA1608" si="3226">J1608/$I1608</f>
        <v>0.65628604382929645</v>
      </c>
      <c r="X1608" s="139">
        <f t="shared" si="3226"/>
        <v>0.29411764705882354</v>
      </c>
      <c r="Y1608" s="139">
        <f t="shared" si="3226"/>
        <v>0</v>
      </c>
      <c r="Z1608" s="139">
        <f t="shared" si="3226"/>
        <v>0</v>
      </c>
      <c r="AA1608" s="139">
        <f t="shared" si="3226"/>
        <v>1.384083044982699E-2</v>
      </c>
      <c r="AB1608" s="139"/>
      <c r="AC1608" s="139">
        <f t="shared" si="3074"/>
        <v>3.5755478662053058E-2</v>
      </c>
      <c r="AD1608" s="139">
        <f t="shared" ref="AD1608:AI1608" si="3227">O1608/$I1608</f>
        <v>6.920415224913495E-3</v>
      </c>
      <c r="AE1608" s="139">
        <f t="shared" si="3227"/>
        <v>0</v>
      </c>
      <c r="AF1608" s="139">
        <f t="shared" si="3227"/>
        <v>0</v>
      </c>
      <c r="AG1608" s="139">
        <f t="shared" si="3227"/>
        <v>0</v>
      </c>
      <c r="AH1608" s="139">
        <f t="shared" si="3227"/>
        <v>1.845444059976932E-2</v>
      </c>
      <c r="AI1608" s="139">
        <f t="shared" si="3227"/>
        <v>1.0380622837370242E-2</v>
      </c>
    </row>
    <row r="1609" spans="2:35">
      <c r="B1609" s="138" t="s">
        <v>8077</v>
      </c>
      <c r="C1609" s="138" t="s">
        <v>4367</v>
      </c>
      <c r="D1609" s="138" t="s">
        <v>7</v>
      </c>
      <c r="E1609" s="138" t="s">
        <v>706</v>
      </c>
      <c r="F1609" s="138" t="s">
        <v>1416</v>
      </c>
      <c r="H1609" s="138">
        <v>192</v>
      </c>
      <c r="I1609" s="138">
        <v>1066</v>
      </c>
      <c r="J1609" s="138">
        <v>691</v>
      </c>
      <c r="K1609" s="138">
        <v>284</v>
      </c>
      <c r="N1609" s="138">
        <v>19</v>
      </c>
      <c r="O1609" s="138">
        <v>5</v>
      </c>
      <c r="R1609" s="138">
        <v>1</v>
      </c>
      <c r="S1609" s="138">
        <v>28</v>
      </c>
      <c r="T1609" s="138">
        <v>38</v>
      </c>
      <c r="U1609" s="138">
        <f t="shared" si="3072"/>
        <v>72</v>
      </c>
      <c r="W1609" s="139">
        <f t="shared" ref="W1609:AA1609" si="3228">J1609/$I1609</f>
        <v>0.64821763602251403</v>
      </c>
      <c r="X1609" s="139">
        <f t="shared" si="3228"/>
        <v>0.26641651031894936</v>
      </c>
      <c r="Y1609" s="139">
        <f t="shared" si="3228"/>
        <v>0</v>
      </c>
      <c r="Z1609" s="139">
        <f t="shared" si="3228"/>
        <v>0</v>
      </c>
      <c r="AA1609" s="139">
        <f t="shared" si="3228"/>
        <v>1.7823639774859287E-2</v>
      </c>
      <c r="AB1609" s="139"/>
      <c r="AC1609" s="139">
        <f t="shared" si="3074"/>
        <v>6.7542213883677302E-2</v>
      </c>
      <c r="AD1609" s="139">
        <f t="shared" ref="AD1609:AI1609" si="3229">O1609/$I1609</f>
        <v>4.6904315196998128E-3</v>
      </c>
      <c r="AE1609" s="139">
        <f t="shared" si="3229"/>
        <v>0</v>
      </c>
      <c r="AF1609" s="139">
        <f t="shared" si="3229"/>
        <v>0</v>
      </c>
      <c r="AG1609" s="139">
        <f t="shared" si="3229"/>
        <v>9.3808630393996248E-4</v>
      </c>
      <c r="AH1609" s="139">
        <f t="shared" si="3229"/>
        <v>2.6266416510318951E-2</v>
      </c>
      <c r="AI1609" s="139">
        <f t="shared" si="3229"/>
        <v>3.5647279549718573E-2</v>
      </c>
    </row>
    <row r="1610" spans="2:35">
      <c r="B1610" s="138" t="s">
        <v>8077</v>
      </c>
      <c r="C1610" s="138" t="s">
        <v>4367</v>
      </c>
      <c r="D1610" s="138" t="s">
        <v>7</v>
      </c>
      <c r="E1610" s="138" t="s">
        <v>706</v>
      </c>
      <c r="F1610" s="138" t="s">
        <v>1416</v>
      </c>
      <c r="H1610" s="138">
        <v>193</v>
      </c>
      <c r="I1610" s="138">
        <v>891</v>
      </c>
      <c r="J1610" s="138">
        <v>523</v>
      </c>
      <c r="K1610" s="138">
        <v>340</v>
      </c>
      <c r="N1610" s="138">
        <v>8</v>
      </c>
      <c r="O1610" s="138">
        <v>1</v>
      </c>
      <c r="R1610" s="138">
        <v>0</v>
      </c>
      <c r="S1610" s="138">
        <v>11</v>
      </c>
      <c r="T1610" s="138">
        <v>8</v>
      </c>
      <c r="U1610" s="138">
        <f t="shared" si="3072"/>
        <v>20</v>
      </c>
      <c r="W1610" s="139">
        <f t="shared" ref="W1610:AA1610" si="3230">J1610/$I1610</f>
        <v>0.58698092031425364</v>
      </c>
      <c r="X1610" s="139">
        <f t="shared" si="3230"/>
        <v>0.38159371492704824</v>
      </c>
      <c r="Y1610" s="139">
        <f t="shared" si="3230"/>
        <v>0</v>
      </c>
      <c r="Z1610" s="139">
        <f t="shared" si="3230"/>
        <v>0</v>
      </c>
      <c r="AA1610" s="139">
        <f t="shared" si="3230"/>
        <v>8.9786756453423128E-3</v>
      </c>
      <c r="AB1610" s="139"/>
      <c r="AC1610" s="139">
        <f t="shared" si="3074"/>
        <v>2.2446689113355778E-2</v>
      </c>
      <c r="AD1610" s="139">
        <f t="shared" ref="AD1610:AI1610" si="3231">O1610/$I1610</f>
        <v>1.1223344556677891E-3</v>
      </c>
      <c r="AE1610" s="139">
        <f t="shared" si="3231"/>
        <v>0</v>
      </c>
      <c r="AF1610" s="139">
        <f t="shared" si="3231"/>
        <v>0</v>
      </c>
      <c r="AG1610" s="139">
        <f t="shared" si="3231"/>
        <v>0</v>
      </c>
      <c r="AH1610" s="139">
        <f t="shared" si="3231"/>
        <v>1.2345679012345678E-2</v>
      </c>
      <c r="AI1610" s="139">
        <f t="shared" si="3231"/>
        <v>8.9786756453423128E-3</v>
      </c>
    </row>
    <row r="1611" spans="2:35">
      <c r="B1611" s="138" t="s">
        <v>8077</v>
      </c>
      <c r="C1611" s="138" t="s">
        <v>4367</v>
      </c>
      <c r="D1611" s="138" t="s">
        <v>7</v>
      </c>
      <c r="E1611" s="138" t="s">
        <v>706</v>
      </c>
      <c r="F1611" s="138" t="s">
        <v>1453</v>
      </c>
      <c r="H1611" s="138">
        <v>194</v>
      </c>
      <c r="I1611" s="138">
        <v>929</v>
      </c>
      <c r="J1611" s="138">
        <v>552</v>
      </c>
      <c r="K1611" s="138">
        <v>311</v>
      </c>
      <c r="N1611" s="138">
        <v>12</v>
      </c>
      <c r="O1611" s="138">
        <v>4</v>
      </c>
      <c r="R1611" s="138">
        <v>2</v>
      </c>
      <c r="S1611" s="138">
        <v>15</v>
      </c>
      <c r="T1611" s="138">
        <v>33</v>
      </c>
      <c r="U1611" s="138">
        <f t="shared" si="3072"/>
        <v>54</v>
      </c>
      <c r="W1611" s="139">
        <f t="shared" ref="W1611:AA1611" si="3232">J1611/$I1611</f>
        <v>0.59418729817007532</v>
      </c>
      <c r="X1611" s="139">
        <f t="shared" si="3232"/>
        <v>0.33476856835306784</v>
      </c>
      <c r="Y1611" s="139">
        <f t="shared" si="3232"/>
        <v>0</v>
      </c>
      <c r="Z1611" s="139">
        <f t="shared" si="3232"/>
        <v>0</v>
      </c>
      <c r="AA1611" s="139">
        <f t="shared" si="3232"/>
        <v>1.2917115177610334E-2</v>
      </c>
      <c r="AB1611" s="139"/>
      <c r="AC1611" s="139">
        <f t="shared" si="3074"/>
        <v>5.8127018299246498E-2</v>
      </c>
      <c r="AD1611" s="139">
        <f t="shared" ref="AD1611:AI1611" si="3233">O1611/$I1611</f>
        <v>4.3057050592034442E-3</v>
      </c>
      <c r="AE1611" s="139">
        <f t="shared" si="3233"/>
        <v>0</v>
      </c>
      <c r="AF1611" s="139">
        <f t="shared" si="3233"/>
        <v>0</v>
      </c>
      <c r="AG1611" s="139">
        <f t="shared" si="3233"/>
        <v>2.1528525296017221E-3</v>
      </c>
      <c r="AH1611" s="139">
        <f t="shared" si="3233"/>
        <v>1.6146393972012917E-2</v>
      </c>
      <c r="AI1611" s="139">
        <f t="shared" si="3233"/>
        <v>3.5522066738428421E-2</v>
      </c>
    </row>
    <row r="1612" spans="2:35">
      <c r="B1612" s="138" t="s">
        <v>8077</v>
      </c>
      <c r="C1612" s="138" t="s">
        <v>4367</v>
      </c>
      <c r="D1612" s="138" t="s">
        <v>7</v>
      </c>
      <c r="E1612" s="138" t="s">
        <v>706</v>
      </c>
      <c r="F1612" s="138" t="s">
        <v>1453</v>
      </c>
      <c r="H1612" s="138">
        <v>195</v>
      </c>
      <c r="I1612" s="138">
        <v>1167</v>
      </c>
      <c r="J1612" s="138">
        <v>566</v>
      </c>
      <c r="K1612" s="138">
        <v>480</v>
      </c>
      <c r="N1612" s="138">
        <v>23</v>
      </c>
      <c r="O1612" s="138">
        <v>14</v>
      </c>
      <c r="R1612" s="138">
        <v>0</v>
      </c>
      <c r="S1612" s="138">
        <v>44</v>
      </c>
      <c r="T1612" s="138">
        <v>40</v>
      </c>
      <c r="U1612" s="138">
        <f t="shared" si="3072"/>
        <v>98</v>
      </c>
      <c r="W1612" s="139">
        <f t="shared" ref="W1612:AA1612" si="3234">J1612/$I1612</f>
        <v>0.48500428449014565</v>
      </c>
      <c r="X1612" s="139">
        <f t="shared" si="3234"/>
        <v>0.41131105398457585</v>
      </c>
      <c r="Y1612" s="139">
        <f t="shared" si="3234"/>
        <v>0</v>
      </c>
      <c r="Z1612" s="139">
        <f t="shared" si="3234"/>
        <v>0</v>
      </c>
      <c r="AA1612" s="139">
        <f t="shared" si="3234"/>
        <v>1.970865467009426E-2</v>
      </c>
      <c r="AB1612" s="139"/>
      <c r="AC1612" s="139">
        <f t="shared" si="3074"/>
        <v>8.3976006855184235E-2</v>
      </c>
      <c r="AD1612" s="139">
        <f t="shared" ref="AD1612:AI1612" si="3235">O1612/$I1612</f>
        <v>1.1996572407883462E-2</v>
      </c>
      <c r="AE1612" s="139">
        <f t="shared" si="3235"/>
        <v>0</v>
      </c>
      <c r="AF1612" s="139">
        <f t="shared" si="3235"/>
        <v>0</v>
      </c>
      <c r="AG1612" s="139">
        <f t="shared" si="3235"/>
        <v>0</v>
      </c>
      <c r="AH1612" s="139">
        <f t="shared" si="3235"/>
        <v>3.7703513281919454E-2</v>
      </c>
      <c r="AI1612" s="139">
        <f t="shared" si="3235"/>
        <v>3.4275921165381321E-2</v>
      </c>
    </row>
    <row r="1613" spans="2:35">
      <c r="B1613" s="138" t="s">
        <v>8077</v>
      </c>
      <c r="C1613" s="138" t="s">
        <v>4367</v>
      </c>
      <c r="D1613" s="138" t="s">
        <v>7</v>
      </c>
      <c r="E1613" s="138" t="s">
        <v>706</v>
      </c>
      <c r="F1613" s="138" t="s">
        <v>1453</v>
      </c>
      <c r="H1613" s="138">
        <v>196</v>
      </c>
      <c r="I1613" s="138">
        <v>677</v>
      </c>
      <c r="J1613" s="138">
        <v>426</v>
      </c>
      <c r="K1613" s="138">
        <v>198</v>
      </c>
      <c r="N1613" s="138">
        <v>9</v>
      </c>
      <c r="O1613" s="138">
        <v>3</v>
      </c>
      <c r="R1613" s="138">
        <v>0</v>
      </c>
      <c r="S1613" s="138">
        <v>24</v>
      </c>
      <c r="T1613" s="138">
        <v>17</v>
      </c>
      <c r="U1613" s="138">
        <f t="shared" si="3072"/>
        <v>44</v>
      </c>
      <c r="W1613" s="139">
        <f t="shared" ref="W1613:AA1613" si="3236">J1613/$I1613</f>
        <v>0.62924667651403254</v>
      </c>
      <c r="X1613" s="139">
        <f t="shared" si="3236"/>
        <v>0.29246676514032494</v>
      </c>
      <c r="Y1613" s="139">
        <f t="shared" si="3236"/>
        <v>0</v>
      </c>
      <c r="Z1613" s="139">
        <f t="shared" si="3236"/>
        <v>0</v>
      </c>
      <c r="AA1613" s="139">
        <f t="shared" si="3236"/>
        <v>1.3293943870014771E-2</v>
      </c>
      <c r="AB1613" s="139"/>
      <c r="AC1613" s="139">
        <f t="shared" si="3074"/>
        <v>6.4992614475627764E-2</v>
      </c>
      <c r="AD1613" s="139">
        <f t="shared" ref="AD1613:AI1613" si="3237">O1613/$I1613</f>
        <v>4.4313146233382573E-3</v>
      </c>
      <c r="AE1613" s="139">
        <f t="shared" si="3237"/>
        <v>0</v>
      </c>
      <c r="AF1613" s="139">
        <f t="shared" si="3237"/>
        <v>0</v>
      </c>
      <c r="AG1613" s="139">
        <f t="shared" si="3237"/>
        <v>0</v>
      </c>
      <c r="AH1613" s="139">
        <f t="shared" si="3237"/>
        <v>3.5450516986706058E-2</v>
      </c>
      <c r="AI1613" s="139">
        <f t="shared" si="3237"/>
        <v>2.5110782865583457E-2</v>
      </c>
    </row>
    <row r="1614" spans="2:35">
      <c r="B1614" s="138" t="s">
        <v>8077</v>
      </c>
      <c r="C1614" s="138" t="s">
        <v>4367</v>
      </c>
      <c r="D1614" s="138" t="s">
        <v>7</v>
      </c>
      <c r="E1614" s="138" t="s">
        <v>706</v>
      </c>
      <c r="F1614" s="138" t="s">
        <v>1416</v>
      </c>
      <c r="H1614" s="138">
        <v>197</v>
      </c>
      <c r="I1614" s="138">
        <v>868</v>
      </c>
      <c r="J1614" s="138">
        <v>538</v>
      </c>
      <c r="K1614" s="138">
        <v>269</v>
      </c>
      <c r="N1614" s="138">
        <v>14</v>
      </c>
      <c r="O1614" s="138">
        <v>5</v>
      </c>
      <c r="R1614" s="138">
        <v>1</v>
      </c>
      <c r="S1614" s="138">
        <v>22</v>
      </c>
      <c r="T1614" s="138">
        <v>19</v>
      </c>
      <c r="U1614" s="138">
        <f t="shared" si="3072"/>
        <v>47</v>
      </c>
      <c r="W1614" s="139">
        <f t="shared" ref="W1614:AA1614" si="3238">J1614/$I1614</f>
        <v>0.61981566820276501</v>
      </c>
      <c r="X1614" s="139">
        <f t="shared" si="3238"/>
        <v>0.30990783410138251</v>
      </c>
      <c r="Y1614" s="139">
        <f t="shared" si="3238"/>
        <v>0</v>
      </c>
      <c r="Z1614" s="139">
        <f t="shared" si="3238"/>
        <v>0</v>
      </c>
      <c r="AA1614" s="139">
        <f t="shared" si="3238"/>
        <v>1.6129032258064516E-2</v>
      </c>
      <c r="AB1614" s="139"/>
      <c r="AC1614" s="139">
        <f t="shared" si="3074"/>
        <v>5.414746543778802E-2</v>
      </c>
      <c r="AD1614" s="139">
        <f t="shared" ref="AD1614:AI1614" si="3239">O1614/$I1614</f>
        <v>5.7603686635944703E-3</v>
      </c>
      <c r="AE1614" s="139">
        <f t="shared" si="3239"/>
        <v>0</v>
      </c>
      <c r="AF1614" s="139">
        <f t="shared" si="3239"/>
        <v>0</v>
      </c>
      <c r="AG1614" s="139">
        <f t="shared" si="3239"/>
        <v>1.152073732718894E-3</v>
      </c>
      <c r="AH1614" s="139">
        <f t="shared" si="3239"/>
        <v>2.5345622119815669E-2</v>
      </c>
      <c r="AI1614" s="139">
        <f t="shared" si="3239"/>
        <v>2.1889400921658985E-2</v>
      </c>
    </row>
    <row r="1615" spans="2:35">
      <c r="B1615" s="138" t="s">
        <v>8077</v>
      </c>
      <c r="C1615" s="138" t="s">
        <v>4367</v>
      </c>
      <c r="D1615" s="138" t="s">
        <v>7</v>
      </c>
      <c r="E1615" s="138" t="s">
        <v>706</v>
      </c>
      <c r="F1615" s="138" t="s">
        <v>1453</v>
      </c>
      <c r="H1615" s="138">
        <v>198</v>
      </c>
      <c r="I1615" s="138">
        <v>619</v>
      </c>
      <c r="J1615" s="138">
        <v>395</v>
      </c>
      <c r="K1615" s="138">
        <v>197</v>
      </c>
      <c r="N1615" s="138">
        <v>5</v>
      </c>
      <c r="O1615" s="138">
        <v>6</v>
      </c>
      <c r="R1615" s="138">
        <v>2</v>
      </c>
      <c r="S1615" s="138">
        <v>9</v>
      </c>
      <c r="T1615" s="138">
        <v>5</v>
      </c>
      <c r="U1615" s="138">
        <f t="shared" si="3072"/>
        <v>22</v>
      </c>
      <c r="W1615" s="139">
        <f t="shared" ref="W1615:AA1615" si="3240">J1615/$I1615</f>
        <v>0.63812600969305333</v>
      </c>
      <c r="X1615" s="139">
        <f t="shared" si="3240"/>
        <v>0.3182552504038772</v>
      </c>
      <c r="Y1615" s="139">
        <f t="shared" si="3240"/>
        <v>0</v>
      </c>
      <c r="Z1615" s="139">
        <f t="shared" si="3240"/>
        <v>0</v>
      </c>
      <c r="AA1615" s="139">
        <f t="shared" si="3240"/>
        <v>8.0775444264943458E-3</v>
      </c>
      <c r="AB1615" s="139"/>
      <c r="AC1615" s="139">
        <f t="shared" si="3074"/>
        <v>3.5541195476575124E-2</v>
      </c>
      <c r="AD1615" s="139">
        <f t="shared" ref="AD1615:AI1615" si="3241">O1615/$I1615</f>
        <v>9.6930533117932146E-3</v>
      </c>
      <c r="AE1615" s="139">
        <f t="shared" si="3241"/>
        <v>0</v>
      </c>
      <c r="AF1615" s="139">
        <f t="shared" si="3241"/>
        <v>0</v>
      </c>
      <c r="AG1615" s="139">
        <f t="shared" si="3241"/>
        <v>3.2310177705977385E-3</v>
      </c>
      <c r="AH1615" s="139">
        <f t="shared" si="3241"/>
        <v>1.4539579967689823E-2</v>
      </c>
      <c r="AI1615" s="139">
        <f t="shared" si="3241"/>
        <v>8.0775444264943458E-3</v>
      </c>
    </row>
    <row r="1616" spans="2:35">
      <c r="B1616" s="138" t="s">
        <v>8077</v>
      </c>
      <c r="C1616" s="138" t="s">
        <v>4367</v>
      </c>
      <c r="D1616" s="138" t="s">
        <v>7</v>
      </c>
      <c r="E1616" s="138" t="s">
        <v>706</v>
      </c>
      <c r="F1616" s="138" t="s">
        <v>1453</v>
      </c>
      <c r="H1616" s="138">
        <v>199</v>
      </c>
      <c r="I1616" s="138">
        <v>810</v>
      </c>
      <c r="J1616" s="138">
        <v>599</v>
      </c>
      <c r="K1616" s="138">
        <v>168</v>
      </c>
      <c r="N1616" s="138">
        <v>9</v>
      </c>
      <c r="O1616" s="138">
        <v>5</v>
      </c>
      <c r="R1616" s="138">
        <v>0</v>
      </c>
      <c r="S1616" s="138">
        <v>21</v>
      </c>
      <c r="T1616" s="138">
        <v>8</v>
      </c>
      <c r="U1616" s="138">
        <f t="shared" si="3072"/>
        <v>34</v>
      </c>
      <c r="W1616" s="139">
        <f t="shared" ref="W1616:AA1616" si="3242">J1616/$I1616</f>
        <v>0.73950617283950615</v>
      </c>
      <c r="X1616" s="139">
        <f t="shared" si="3242"/>
        <v>0.2074074074074074</v>
      </c>
      <c r="Y1616" s="139">
        <f t="shared" si="3242"/>
        <v>0</v>
      </c>
      <c r="Z1616" s="139">
        <f t="shared" si="3242"/>
        <v>0</v>
      </c>
      <c r="AA1616" s="139">
        <f t="shared" si="3242"/>
        <v>1.1111111111111112E-2</v>
      </c>
      <c r="AB1616" s="139"/>
      <c r="AC1616" s="139">
        <f t="shared" si="3074"/>
        <v>4.1975308641975309E-2</v>
      </c>
      <c r="AD1616" s="139">
        <f t="shared" ref="AD1616:AI1616" si="3243">O1616/$I1616</f>
        <v>6.1728395061728392E-3</v>
      </c>
      <c r="AE1616" s="139">
        <f t="shared" si="3243"/>
        <v>0</v>
      </c>
      <c r="AF1616" s="139">
        <f t="shared" si="3243"/>
        <v>0</v>
      </c>
      <c r="AG1616" s="139">
        <f t="shared" si="3243"/>
        <v>0</v>
      </c>
      <c r="AH1616" s="139">
        <f t="shared" si="3243"/>
        <v>2.5925925925925925E-2</v>
      </c>
      <c r="AI1616" s="139">
        <f t="shared" si="3243"/>
        <v>9.876543209876543E-3</v>
      </c>
    </row>
    <row r="1617" spans="2:35">
      <c r="B1617" s="138" t="s">
        <v>8077</v>
      </c>
      <c r="C1617" s="138" t="s">
        <v>4367</v>
      </c>
      <c r="D1617" s="138" t="s">
        <v>7</v>
      </c>
      <c r="E1617" s="138" t="s">
        <v>706</v>
      </c>
      <c r="F1617" s="138" t="s">
        <v>1453</v>
      </c>
      <c r="H1617" s="138">
        <v>200</v>
      </c>
      <c r="I1617" s="138">
        <v>486</v>
      </c>
      <c r="J1617" s="138">
        <v>399</v>
      </c>
      <c r="K1617" s="138">
        <v>61</v>
      </c>
      <c r="N1617" s="138">
        <v>4</v>
      </c>
      <c r="O1617" s="138">
        <v>7</v>
      </c>
      <c r="R1617" s="138">
        <v>0</v>
      </c>
      <c r="S1617" s="138">
        <v>11</v>
      </c>
      <c r="T1617" s="138">
        <v>4</v>
      </c>
      <c r="U1617" s="138">
        <f t="shared" si="3072"/>
        <v>22</v>
      </c>
      <c r="W1617" s="139">
        <f t="shared" ref="W1617:AA1617" si="3244">J1617/$I1617</f>
        <v>0.82098765432098764</v>
      </c>
      <c r="X1617" s="139">
        <f t="shared" si="3244"/>
        <v>0.12551440329218108</v>
      </c>
      <c r="Y1617" s="139">
        <f t="shared" si="3244"/>
        <v>0</v>
      </c>
      <c r="Z1617" s="139">
        <f t="shared" si="3244"/>
        <v>0</v>
      </c>
      <c r="AA1617" s="139">
        <f t="shared" si="3244"/>
        <v>8.23045267489712E-3</v>
      </c>
      <c r="AB1617" s="139"/>
      <c r="AC1617" s="139">
        <f t="shared" si="3074"/>
        <v>4.5267489711934158E-2</v>
      </c>
      <c r="AD1617" s="139">
        <f t="shared" ref="AD1617:AI1617" si="3245">O1617/$I1617</f>
        <v>1.4403292181069959E-2</v>
      </c>
      <c r="AE1617" s="139">
        <f t="shared" si="3245"/>
        <v>0</v>
      </c>
      <c r="AF1617" s="139">
        <f t="shared" si="3245"/>
        <v>0</v>
      </c>
      <c r="AG1617" s="139">
        <f t="shared" si="3245"/>
        <v>0</v>
      </c>
      <c r="AH1617" s="139">
        <f t="shared" si="3245"/>
        <v>2.2633744855967079E-2</v>
      </c>
      <c r="AI1617" s="139">
        <f t="shared" si="3245"/>
        <v>8.23045267489712E-3</v>
      </c>
    </row>
    <row r="1618" spans="2:35">
      <c r="B1618" s="138" t="s">
        <v>8077</v>
      </c>
      <c r="C1618" s="138" t="s">
        <v>4367</v>
      </c>
      <c r="D1618" s="138" t="s">
        <v>7</v>
      </c>
      <c r="E1618" s="138" t="s">
        <v>706</v>
      </c>
      <c r="F1618" s="138" t="s">
        <v>1453</v>
      </c>
      <c r="H1618" s="138">
        <v>201</v>
      </c>
      <c r="I1618" s="138">
        <v>642</v>
      </c>
      <c r="J1618" s="138">
        <v>273</v>
      </c>
      <c r="K1618" s="138">
        <v>312</v>
      </c>
      <c r="N1618" s="138">
        <v>11</v>
      </c>
      <c r="O1618" s="138">
        <v>8</v>
      </c>
      <c r="R1618" s="138">
        <v>0</v>
      </c>
      <c r="S1618" s="138">
        <v>19</v>
      </c>
      <c r="T1618" s="138">
        <v>19</v>
      </c>
      <c r="U1618" s="138">
        <f t="shared" si="3072"/>
        <v>46</v>
      </c>
      <c r="W1618" s="139">
        <f t="shared" ref="W1618:AA1618" si="3246">J1618/$I1618</f>
        <v>0.42523364485981308</v>
      </c>
      <c r="X1618" s="139">
        <f t="shared" si="3246"/>
        <v>0.48598130841121495</v>
      </c>
      <c r="Y1618" s="139">
        <f t="shared" si="3246"/>
        <v>0</v>
      </c>
      <c r="Z1618" s="139">
        <f t="shared" si="3246"/>
        <v>0</v>
      </c>
      <c r="AA1618" s="139">
        <f t="shared" si="3246"/>
        <v>1.7133956386292833E-2</v>
      </c>
      <c r="AB1618" s="139"/>
      <c r="AC1618" s="139">
        <f t="shared" si="3074"/>
        <v>7.1651090342679122E-2</v>
      </c>
      <c r="AD1618" s="139">
        <f t="shared" ref="AD1618:AI1618" si="3247">O1618/$I1618</f>
        <v>1.2461059190031152E-2</v>
      </c>
      <c r="AE1618" s="139">
        <f t="shared" si="3247"/>
        <v>0</v>
      </c>
      <c r="AF1618" s="139">
        <f t="shared" si="3247"/>
        <v>0</v>
      </c>
      <c r="AG1618" s="139">
        <f t="shared" si="3247"/>
        <v>0</v>
      </c>
      <c r="AH1618" s="139">
        <f t="shared" si="3247"/>
        <v>2.9595015576323987E-2</v>
      </c>
      <c r="AI1618" s="139">
        <f t="shared" si="3247"/>
        <v>2.9595015576323987E-2</v>
      </c>
    </row>
    <row r="1619" spans="2:35">
      <c r="B1619" s="138" t="s">
        <v>8077</v>
      </c>
      <c r="C1619" s="138" t="s">
        <v>4367</v>
      </c>
      <c r="D1619" s="138" t="s">
        <v>7</v>
      </c>
      <c r="E1619" s="138" t="s">
        <v>706</v>
      </c>
      <c r="F1619" s="138" t="s">
        <v>1453</v>
      </c>
      <c r="H1619" s="138">
        <v>202</v>
      </c>
      <c r="I1619" s="138">
        <v>1134</v>
      </c>
      <c r="J1619" s="138">
        <v>557</v>
      </c>
      <c r="K1619" s="138">
        <v>467</v>
      </c>
      <c r="N1619" s="138">
        <v>12</v>
      </c>
      <c r="O1619" s="138">
        <v>8</v>
      </c>
      <c r="R1619" s="138">
        <v>1</v>
      </c>
      <c r="S1619" s="138">
        <v>45</v>
      </c>
      <c r="T1619" s="138">
        <v>44</v>
      </c>
      <c r="U1619" s="138">
        <f t="shared" si="3072"/>
        <v>98</v>
      </c>
      <c r="W1619" s="139">
        <f t="shared" ref="W1619:AA1619" si="3248">J1619/$I1619</f>
        <v>0.49118165784832452</v>
      </c>
      <c r="X1619" s="139">
        <f t="shared" si="3248"/>
        <v>0.41181657848324515</v>
      </c>
      <c r="Y1619" s="139">
        <f t="shared" si="3248"/>
        <v>0</v>
      </c>
      <c r="Z1619" s="139">
        <f t="shared" si="3248"/>
        <v>0</v>
      </c>
      <c r="AA1619" s="139">
        <f t="shared" si="3248"/>
        <v>1.0582010582010581E-2</v>
      </c>
      <c r="AB1619" s="139"/>
      <c r="AC1619" s="139">
        <f t="shared" si="3074"/>
        <v>8.6419753086419748E-2</v>
      </c>
      <c r="AD1619" s="139">
        <f t="shared" ref="AD1619:AI1619" si="3249">O1619/$I1619</f>
        <v>7.0546737213403876E-3</v>
      </c>
      <c r="AE1619" s="139">
        <f t="shared" si="3249"/>
        <v>0</v>
      </c>
      <c r="AF1619" s="139">
        <f t="shared" si="3249"/>
        <v>0</v>
      </c>
      <c r="AG1619" s="139">
        <f t="shared" si="3249"/>
        <v>8.8183421516754845E-4</v>
      </c>
      <c r="AH1619" s="139">
        <f t="shared" si="3249"/>
        <v>3.968253968253968E-2</v>
      </c>
      <c r="AI1619" s="139">
        <f t="shared" si="3249"/>
        <v>3.8800705467372132E-2</v>
      </c>
    </row>
    <row r="1620" spans="2:35">
      <c r="B1620" s="138" t="s">
        <v>8077</v>
      </c>
      <c r="C1620" s="138" t="s">
        <v>4367</v>
      </c>
      <c r="D1620" s="138" t="s">
        <v>7</v>
      </c>
      <c r="E1620" s="138" t="s">
        <v>706</v>
      </c>
      <c r="F1620" s="138" t="s">
        <v>1453</v>
      </c>
      <c r="H1620" s="138">
        <v>203</v>
      </c>
      <c r="I1620" s="138">
        <v>438</v>
      </c>
      <c r="J1620" s="138">
        <v>264</v>
      </c>
      <c r="K1620" s="138">
        <v>139</v>
      </c>
      <c r="N1620" s="138">
        <v>7</v>
      </c>
      <c r="O1620" s="138">
        <v>7</v>
      </c>
      <c r="R1620" s="138">
        <v>0</v>
      </c>
      <c r="S1620" s="138">
        <v>8</v>
      </c>
      <c r="T1620" s="138">
        <v>13</v>
      </c>
      <c r="U1620" s="138">
        <f t="shared" si="3072"/>
        <v>28</v>
      </c>
      <c r="W1620" s="139">
        <f t="shared" ref="W1620:AA1620" si="3250">J1620/$I1620</f>
        <v>0.60273972602739723</v>
      </c>
      <c r="X1620" s="139">
        <f t="shared" si="3250"/>
        <v>0.31735159817351599</v>
      </c>
      <c r="Y1620" s="139">
        <f t="shared" si="3250"/>
        <v>0</v>
      </c>
      <c r="Z1620" s="139">
        <f t="shared" si="3250"/>
        <v>0</v>
      </c>
      <c r="AA1620" s="139">
        <f t="shared" si="3250"/>
        <v>1.5981735159817351E-2</v>
      </c>
      <c r="AB1620" s="139"/>
      <c r="AC1620" s="139">
        <f t="shared" si="3074"/>
        <v>6.3926940639269403E-2</v>
      </c>
      <c r="AD1620" s="139">
        <f t="shared" ref="AD1620:AI1620" si="3251">O1620/$I1620</f>
        <v>1.5981735159817351E-2</v>
      </c>
      <c r="AE1620" s="139">
        <f t="shared" si="3251"/>
        <v>0</v>
      </c>
      <c r="AF1620" s="139">
        <f t="shared" si="3251"/>
        <v>0</v>
      </c>
      <c r="AG1620" s="139">
        <f t="shared" si="3251"/>
        <v>0</v>
      </c>
      <c r="AH1620" s="139">
        <f t="shared" si="3251"/>
        <v>1.8264840182648401E-2</v>
      </c>
      <c r="AI1620" s="139">
        <f t="shared" si="3251"/>
        <v>2.9680365296803651E-2</v>
      </c>
    </row>
    <row r="1621" spans="2:35">
      <c r="B1621" s="138" t="s">
        <v>8077</v>
      </c>
      <c r="C1621" s="138" t="s">
        <v>4367</v>
      </c>
      <c r="D1621" s="138" t="s">
        <v>7</v>
      </c>
      <c r="E1621" s="138" t="s">
        <v>706</v>
      </c>
      <c r="F1621" s="138" t="s">
        <v>1446</v>
      </c>
      <c r="H1621" s="138">
        <v>204</v>
      </c>
      <c r="I1621" s="138">
        <v>960</v>
      </c>
      <c r="J1621" s="138">
        <v>623</v>
      </c>
      <c r="K1621" s="138">
        <v>274</v>
      </c>
      <c r="N1621" s="138">
        <v>6</v>
      </c>
      <c r="O1621" s="138">
        <v>3</v>
      </c>
      <c r="R1621" s="138">
        <v>1</v>
      </c>
      <c r="S1621" s="138">
        <v>34</v>
      </c>
      <c r="T1621" s="138">
        <v>19</v>
      </c>
      <c r="U1621" s="138">
        <f t="shared" si="3072"/>
        <v>57</v>
      </c>
      <c r="W1621" s="139">
        <f t="shared" ref="W1621:AA1621" si="3252">J1621/$I1621</f>
        <v>0.6489583333333333</v>
      </c>
      <c r="X1621" s="139">
        <f t="shared" si="3252"/>
        <v>0.28541666666666665</v>
      </c>
      <c r="Y1621" s="139">
        <f t="shared" si="3252"/>
        <v>0</v>
      </c>
      <c r="Z1621" s="139">
        <f t="shared" si="3252"/>
        <v>0</v>
      </c>
      <c r="AA1621" s="139">
        <f t="shared" si="3252"/>
        <v>6.2500000000000003E-3</v>
      </c>
      <c r="AB1621" s="139"/>
      <c r="AC1621" s="139">
        <f t="shared" si="3074"/>
        <v>5.9374999999999997E-2</v>
      </c>
      <c r="AD1621" s="139">
        <f t="shared" ref="AD1621:AI1621" si="3253">O1621/$I1621</f>
        <v>3.1250000000000002E-3</v>
      </c>
      <c r="AE1621" s="139">
        <f t="shared" si="3253"/>
        <v>0</v>
      </c>
      <c r="AF1621" s="139">
        <f t="shared" si="3253"/>
        <v>0</v>
      </c>
      <c r="AG1621" s="139">
        <f t="shared" si="3253"/>
        <v>1.0416666666666667E-3</v>
      </c>
      <c r="AH1621" s="139">
        <f t="shared" si="3253"/>
        <v>3.5416666666666666E-2</v>
      </c>
      <c r="AI1621" s="139">
        <f t="shared" si="3253"/>
        <v>1.9791666666666666E-2</v>
      </c>
    </row>
    <row r="1622" spans="2:35">
      <c r="B1622" s="138" t="s">
        <v>8077</v>
      </c>
      <c r="C1622" s="138" t="s">
        <v>4367</v>
      </c>
      <c r="D1622" s="138" t="s">
        <v>7</v>
      </c>
      <c r="E1622" s="138" t="s">
        <v>706</v>
      </c>
      <c r="F1622" s="138" t="s">
        <v>1446</v>
      </c>
      <c r="H1622" s="138">
        <v>205</v>
      </c>
      <c r="I1622" s="138">
        <v>1138</v>
      </c>
      <c r="J1622" s="138">
        <v>904</v>
      </c>
      <c r="K1622" s="138">
        <v>184</v>
      </c>
      <c r="N1622" s="138">
        <v>7</v>
      </c>
      <c r="O1622" s="138">
        <v>4</v>
      </c>
      <c r="R1622" s="138">
        <v>2</v>
      </c>
      <c r="S1622" s="138">
        <v>24</v>
      </c>
      <c r="T1622" s="138">
        <v>13</v>
      </c>
      <c r="U1622" s="138">
        <f t="shared" si="3072"/>
        <v>43</v>
      </c>
      <c r="W1622" s="139">
        <f t="shared" ref="W1622:AA1622" si="3254">J1622/$I1622</f>
        <v>0.79437609841827772</v>
      </c>
      <c r="X1622" s="139">
        <f t="shared" si="3254"/>
        <v>0.16168717047451669</v>
      </c>
      <c r="Y1622" s="139">
        <f t="shared" si="3254"/>
        <v>0</v>
      </c>
      <c r="Z1622" s="139">
        <f t="shared" si="3254"/>
        <v>0</v>
      </c>
      <c r="AA1622" s="139">
        <f t="shared" si="3254"/>
        <v>6.1511423550087872E-3</v>
      </c>
      <c r="AB1622" s="139"/>
      <c r="AC1622" s="139">
        <f t="shared" si="3074"/>
        <v>3.7785588752196834E-2</v>
      </c>
      <c r="AD1622" s="139">
        <f t="shared" ref="AD1622:AI1622" si="3255">O1622/$I1622</f>
        <v>3.5149384885764497E-3</v>
      </c>
      <c r="AE1622" s="139">
        <f t="shared" si="3255"/>
        <v>0</v>
      </c>
      <c r="AF1622" s="139">
        <f t="shared" si="3255"/>
        <v>0</v>
      </c>
      <c r="AG1622" s="139">
        <f t="shared" si="3255"/>
        <v>1.7574692442882249E-3</v>
      </c>
      <c r="AH1622" s="139">
        <f t="shared" si="3255"/>
        <v>2.10896309314587E-2</v>
      </c>
      <c r="AI1622" s="139">
        <f t="shared" si="3255"/>
        <v>1.1423550087873463E-2</v>
      </c>
    </row>
    <row r="1623" spans="2:35">
      <c r="B1623" s="138" t="s">
        <v>8077</v>
      </c>
      <c r="C1623" s="138" t="s">
        <v>4367</v>
      </c>
      <c r="D1623" s="138" t="s">
        <v>7</v>
      </c>
      <c r="E1623" s="138" t="s">
        <v>706</v>
      </c>
      <c r="F1623" s="138" t="s">
        <v>8204</v>
      </c>
      <c r="H1623" s="138">
        <v>206</v>
      </c>
      <c r="I1623" s="138">
        <v>1219</v>
      </c>
      <c r="J1623" s="138">
        <v>737</v>
      </c>
      <c r="K1623" s="138">
        <v>380</v>
      </c>
      <c r="N1623" s="138">
        <v>12</v>
      </c>
      <c r="O1623" s="138">
        <v>5</v>
      </c>
      <c r="R1623" s="138">
        <v>1</v>
      </c>
      <c r="S1623" s="138">
        <v>47</v>
      </c>
      <c r="T1623" s="138">
        <v>37</v>
      </c>
      <c r="U1623" s="138">
        <f t="shared" si="3072"/>
        <v>90</v>
      </c>
      <c r="W1623" s="139">
        <f t="shared" ref="W1623:AA1623" si="3256">J1623/$I1623</f>
        <v>0.60459392945036916</v>
      </c>
      <c r="X1623" s="139">
        <f t="shared" si="3256"/>
        <v>0.31173092698933552</v>
      </c>
      <c r="Y1623" s="139">
        <f t="shared" si="3256"/>
        <v>0</v>
      </c>
      <c r="Z1623" s="139">
        <f t="shared" si="3256"/>
        <v>0</v>
      </c>
      <c r="AA1623" s="139">
        <f t="shared" si="3256"/>
        <v>9.8441345365053324E-3</v>
      </c>
      <c r="AB1623" s="139"/>
      <c r="AC1623" s="139">
        <f t="shared" si="3074"/>
        <v>7.3831009023789987E-2</v>
      </c>
      <c r="AD1623" s="139">
        <f t="shared" ref="AD1623:AI1623" si="3257">O1623/$I1623</f>
        <v>4.1017227235438884E-3</v>
      </c>
      <c r="AE1623" s="139">
        <f t="shared" si="3257"/>
        <v>0</v>
      </c>
      <c r="AF1623" s="139">
        <f t="shared" si="3257"/>
        <v>0</v>
      </c>
      <c r="AG1623" s="139">
        <f t="shared" si="3257"/>
        <v>8.2034454470877774E-4</v>
      </c>
      <c r="AH1623" s="139">
        <f t="shared" si="3257"/>
        <v>3.8556193601312551E-2</v>
      </c>
      <c r="AI1623" s="139">
        <f t="shared" si="3257"/>
        <v>3.0352748154224774E-2</v>
      </c>
    </row>
    <row r="1624" spans="2:35">
      <c r="B1624" s="138" t="s">
        <v>8077</v>
      </c>
      <c r="C1624" s="138" t="s">
        <v>4367</v>
      </c>
      <c r="D1624" s="138" t="s">
        <v>7</v>
      </c>
      <c r="E1624" s="138" t="s">
        <v>706</v>
      </c>
      <c r="F1624" s="138" t="s">
        <v>8204</v>
      </c>
      <c r="H1624" s="138">
        <v>207</v>
      </c>
      <c r="I1624" s="138">
        <v>906</v>
      </c>
      <c r="J1624" s="138">
        <v>437</v>
      </c>
      <c r="K1624" s="138">
        <v>406</v>
      </c>
      <c r="N1624" s="138">
        <v>4</v>
      </c>
      <c r="O1624" s="138">
        <v>8</v>
      </c>
      <c r="R1624" s="138">
        <v>3</v>
      </c>
      <c r="S1624" s="138">
        <v>31</v>
      </c>
      <c r="T1624" s="138">
        <v>17</v>
      </c>
      <c r="U1624" s="138">
        <f t="shared" si="3072"/>
        <v>59</v>
      </c>
      <c r="W1624" s="139">
        <f t="shared" ref="W1624:AA1624" si="3258">J1624/$I1624</f>
        <v>0.48233995584988965</v>
      </c>
      <c r="X1624" s="139">
        <f t="shared" si="3258"/>
        <v>0.44812362030905079</v>
      </c>
      <c r="Y1624" s="139">
        <f t="shared" si="3258"/>
        <v>0</v>
      </c>
      <c r="Z1624" s="139">
        <f t="shared" si="3258"/>
        <v>0</v>
      </c>
      <c r="AA1624" s="139">
        <f t="shared" si="3258"/>
        <v>4.4150110375275938E-3</v>
      </c>
      <c r="AB1624" s="139"/>
      <c r="AC1624" s="139">
        <f t="shared" si="3074"/>
        <v>6.5121412803532008E-2</v>
      </c>
      <c r="AD1624" s="139">
        <f t="shared" ref="AD1624:AI1624" si="3259">O1624/$I1624</f>
        <v>8.8300220750551876E-3</v>
      </c>
      <c r="AE1624" s="139">
        <f t="shared" si="3259"/>
        <v>0</v>
      </c>
      <c r="AF1624" s="139">
        <f t="shared" si="3259"/>
        <v>0</v>
      </c>
      <c r="AG1624" s="139">
        <f t="shared" si="3259"/>
        <v>3.3112582781456954E-3</v>
      </c>
      <c r="AH1624" s="139">
        <f t="shared" si="3259"/>
        <v>3.4216335540838853E-2</v>
      </c>
      <c r="AI1624" s="139">
        <f t="shared" si="3259"/>
        <v>1.8763796909492272E-2</v>
      </c>
    </row>
    <row r="1625" spans="2:35">
      <c r="B1625" s="138" t="s">
        <v>8077</v>
      </c>
      <c r="C1625" s="138" t="s">
        <v>4367</v>
      </c>
      <c r="D1625" s="138" t="s">
        <v>7</v>
      </c>
      <c r="E1625" s="138" t="s">
        <v>706</v>
      </c>
      <c r="F1625" s="138" t="s">
        <v>8204</v>
      </c>
      <c r="H1625" s="138">
        <v>208</v>
      </c>
      <c r="I1625" s="138">
        <v>909</v>
      </c>
      <c r="J1625" s="138">
        <v>514</v>
      </c>
      <c r="K1625" s="138">
        <v>356</v>
      </c>
      <c r="N1625" s="138">
        <v>6</v>
      </c>
      <c r="O1625" s="138">
        <v>5</v>
      </c>
      <c r="R1625" s="138">
        <v>1</v>
      </c>
      <c r="S1625" s="138">
        <v>15</v>
      </c>
      <c r="T1625" s="138">
        <v>12</v>
      </c>
      <c r="U1625" s="138">
        <f t="shared" si="3072"/>
        <v>33</v>
      </c>
      <c r="W1625" s="139">
        <f t="shared" ref="W1625:AA1625" si="3260">J1625/$I1625</f>
        <v>0.56545654565456549</v>
      </c>
      <c r="X1625" s="139">
        <f t="shared" si="3260"/>
        <v>0.39163916391639164</v>
      </c>
      <c r="Y1625" s="139">
        <f t="shared" si="3260"/>
        <v>0</v>
      </c>
      <c r="Z1625" s="139">
        <f t="shared" si="3260"/>
        <v>0</v>
      </c>
      <c r="AA1625" s="139">
        <f t="shared" si="3260"/>
        <v>6.6006600660066007E-3</v>
      </c>
      <c r="AB1625" s="139"/>
      <c r="AC1625" s="139">
        <f t="shared" si="3074"/>
        <v>3.6303630363036306E-2</v>
      </c>
      <c r="AD1625" s="139">
        <f t="shared" ref="AD1625:AI1625" si="3261">O1625/$I1625</f>
        <v>5.5005500550055009E-3</v>
      </c>
      <c r="AE1625" s="139">
        <f t="shared" si="3261"/>
        <v>0</v>
      </c>
      <c r="AF1625" s="139">
        <f t="shared" si="3261"/>
        <v>0</v>
      </c>
      <c r="AG1625" s="139">
        <f t="shared" si="3261"/>
        <v>1.1001100110011001E-3</v>
      </c>
      <c r="AH1625" s="139">
        <f t="shared" si="3261"/>
        <v>1.65016501650165E-2</v>
      </c>
      <c r="AI1625" s="139">
        <f t="shared" si="3261"/>
        <v>1.3201320132013201E-2</v>
      </c>
    </row>
    <row r="1626" spans="2:35">
      <c r="B1626" s="138" t="s">
        <v>8077</v>
      </c>
      <c r="C1626" s="138" t="s">
        <v>4367</v>
      </c>
      <c r="D1626" s="138" t="s">
        <v>7</v>
      </c>
      <c r="E1626" s="138" t="s">
        <v>706</v>
      </c>
      <c r="F1626" s="138" t="s">
        <v>8204</v>
      </c>
      <c r="H1626" s="138">
        <v>209</v>
      </c>
      <c r="I1626" s="138">
        <v>922</v>
      </c>
      <c r="J1626" s="138">
        <v>439</v>
      </c>
      <c r="K1626" s="138">
        <v>423</v>
      </c>
      <c r="N1626" s="138">
        <v>5</v>
      </c>
      <c r="O1626" s="138">
        <v>5</v>
      </c>
      <c r="R1626" s="138">
        <v>1</v>
      </c>
      <c r="S1626" s="138">
        <v>30</v>
      </c>
      <c r="T1626" s="138">
        <v>19</v>
      </c>
      <c r="U1626" s="138">
        <f t="shared" si="3072"/>
        <v>55</v>
      </c>
      <c r="W1626" s="139">
        <f t="shared" ref="W1626:AA1626" si="3262">J1626/$I1626</f>
        <v>0.47613882863340562</v>
      </c>
      <c r="X1626" s="139">
        <f t="shared" si="3262"/>
        <v>0.45878524945770066</v>
      </c>
      <c r="Y1626" s="139">
        <f t="shared" si="3262"/>
        <v>0</v>
      </c>
      <c r="Z1626" s="139">
        <f t="shared" si="3262"/>
        <v>0</v>
      </c>
      <c r="AA1626" s="139">
        <f t="shared" si="3262"/>
        <v>5.4229934924078091E-3</v>
      </c>
      <c r="AB1626" s="139"/>
      <c r="AC1626" s="139">
        <f t="shared" si="3074"/>
        <v>5.9652928416485902E-2</v>
      </c>
      <c r="AD1626" s="139">
        <f t="shared" ref="AD1626:AI1626" si="3263">O1626/$I1626</f>
        <v>5.4229934924078091E-3</v>
      </c>
      <c r="AE1626" s="139">
        <f t="shared" si="3263"/>
        <v>0</v>
      </c>
      <c r="AF1626" s="139">
        <f t="shared" si="3263"/>
        <v>0</v>
      </c>
      <c r="AG1626" s="139">
        <f t="shared" si="3263"/>
        <v>1.0845986984815619E-3</v>
      </c>
      <c r="AH1626" s="139">
        <f t="shared" si="3263"/>
        <v>3.2537960954446853E-2</v>
      </c>
      <c r="AI1626" s="139">
        <f t="shared" si="3263"/>
        <v>2.0607375271149676E-2</v>
      </c>
    </row>
    <row r="1627" spans="2:35">
      <c r="B1627" s="138" t="s">
        <v>8077</v>
      </c>
      <c r="C1627" s="138" t="s">
        <v>4367</v>
      </c>
      <c r="D1627" s="138" t="s">
        <v>7</v>
      </c>
      <c r="E1627" s="138" t="s">
        <v>706</v>
      </c>
      <c r="F1627" s="138" t="s">
        <v>8204</v>
      </c>
      <c r="H1627" s="138">
        <v>210</v>
      </c>
      <c r="I1627" s="138">
        <v>851</v>
      </c>
      <c r="J1627" s="138">
        <v>282</v>
      </c>
      <c r="K1627" s="138">
        <v>485</v>
      </c>
      <c r="N1627" s="138">
        <v>12</v>
      </c>
      <c r="O1627" s="138">
        <v>6</v>
      </c>
      <c r="R1627" s="138">
        <v>2</v>
      </c>
      <c r="S1627" s="138">
        <v>24</v>
      </c>
      <c r="T1627" s="138">
        <v>40</v>
      </c>
      <c r="U1627" s="138">
        <f t="shared" si="3072"/>
        <v>72</v>
      </c>
      <c r="W1627" s="139">
        <f t="shared" ref="W1627:AA1627" si="3264">J1627/$I1627</f>
        <v>0.33137485311398357</v>
      </c>
      <c r="X1627" s="139">
        <f t="shared" si="3264"/>
        <v>0.5699177438307873</v>
      </c>
      <c r="Y1627" s="139">
        <f t="shared" si="3264"/>
        <v>0</v>
      </c>
      <c r="Z1627" s="139">
        <f t="shared" si="3264"/>
        <v>0</v>
      </c>
      <c r="AA1627" s="139">
        <f t="shared" si="3264"/>
        <v>1.4101057579318449E-2</v>
      </c>
      <c r="AB1627" s="139"/>
      <c r="AC1627" s="139">
        <f t="shared" si="3074"/>
        <v>8.4606345475910699E-2</v>
      </c>
      <c r="AD1627" s="139">
        <f t="shared" ref="AD1627:AI1627" si="3265">O1627/$I1627</f>
        <v>7.0505287896592246E-3</v>
      </c>
      <c r="AE1627" s="139">
        <f t="shared" si="3265"/>
        <v>0</v>
      </c>
      <c r="AF1627" s="139">
        <f t="shared" si="3265"/>
        <v>0</v>
      </c>
      <c r="AG1627" s="139">
        <f t="shared" si="3265"/>
        <v>2.3501762632197414E-3</v>
      </c>
      <c r="AH1627" s="139">
        <f t="shared" si="3265"/>
        <v>2.8202115158636899E-2</v>
      </c>
      <c r="AI1627" s="139">
        <f t="shared" si="3265"/>
        <v>4.700352526439483E-2</v>
      </c>
    </row>
    <row r="1628" spans="2:35">
      <c r="B1628" s="138" t="s">
        <v>8077</v>
      </c>
      <c r="C1628" s="138" t="s">
        <v>4367</v>
      </c>
      <c r="D1628" s="138" t="s">
        <v>7</v>
      </c>
      <c r="E1628" s="138" t="s">
        <v>706</v>
      </c>
      <c r="F1628" s="138" t="s">
        <v>8204</v>
      </c>
      <c r="H1628" s="138">
        <v>211</v>
      </c>
      <c r="I1628" s="138">
        <v>812</v>
      </c>
      <c r="J1628" s="138">
        <v>404</v>
      </c>
      <c r="K1628" s="138">
        <v>337</v>
      </c>
      <c r="N1628" s="138">
        <v>10</v>
      </c>
      <c r="O1628" s="138">
        <v>6</v>
      </c>
      <c r="R1628" s="138">
        <v>3</v>
      </c>
      <c r="S1628" s="138">
        <v>30</v>
      </c>
      <c r="T1628" s="138">
        <v>22</v>
      </c>
      <c r="U1628" s="138">
        <f t="shared" si="3072"/>
        <v>61</v>
      </c>
      <c r="W1628" s="139">
        <f t="shared" ref="W1628:AA1628" si="3266">J1628/$I1628</f>
        <v>0.49753694581280788</v>
      </c>
      <c r="X1628" s="139">
        <f t="shared" si="3266"/>
        <v>0.41502463054187194</v>
      </c>
      <c r="Y1628" s="139">
        <f t="shared" si="3266"/>
        <v>0</v>
      </c>
      <c r="Z1628" s="139">
        <f t="shared" si="3266"/>
        <v>0</v>
      </c>
      <c r="AA1628" s="139">
        <f t="shared" si="3266"/>
        <v>1.2315270935960592E-2</v>
      </c>
      <c r="AB1628" s="139"/>
      <c r="AC1628" s="139">
        <f t="shared" si="3074"/>
        <v>7.5123152709359611E-2</v>
      </c>
      <c r="AD1628" s="139">
        <f t="shared" ref="AD1628:AI1628" si="3267">O1628/$I1628</f>
        <v>7.3891625615763543E-3</v>
      </c>
      <c r="AE1628" s="139">
        <f t="shared" si="3267"/>
        <v>0</v>
      </c>
      <c r="AF1628" s="139">
        <f t="shared" si="3267"/>
        <v>0</v>
      </c>
      <c r="AG1628" s="139">
        <f t="shared" si="3267"/>
        <v>3.6945812807881772E-3</v>
      </c>
      <c r="AH1628" s="139">
        <f t="shared" si="3267"/>
        <v>3.6945812807881777E-2</v>
      </c>
      <c r="AI1628" s="139">
        <f t="shared" si="3267"/>
        <v>2.7093596059113302E-2</v>
      </c>
    </row>
    <row r="1629" spans="2:35">
      <c r="B1629" s="138" t="s">
        <v>8077</v>
      </c>
      <c r="C1629" s="138" t="s">
        <v>4367</v>
      </c>
      <c r="D1629" s="138" t="s">
        <v>7</v>
      </c>
      <c r="E1629" s="138" t="s">
        <v>706</v>
      </c>
      <c r="F1629" s="138" t="s">
        <v>1446</v>
      </c>
      <c r="H1629" s="138">
        <v>212</v>
      </c>
      <c r="I1629" s="138">
        <v>811</v>
      </c>
      <c r="J1629" s="138">
        <v>416</v>
      </c>
      <c r="K1629" s="138">
        <v>354</v>
      </c>
      <c r="N1629" s="138">
        <v>7</v>
      </c>
      <c r="O1629" s="138">
        <v>4</v>
      </c>
      <c r="R1629" s="138">
        <v>0</v>
      </c>
      <c r="S1629" s="138">
        <v>13</v>
      </c>
      <c r="T1629" s="138">
        <v>17</v>
      </c>
      <c r="U1629" s="138">
        <f t="shared" si="3072"/>
        <v>34</v>
      </c>
      <c r="W1629" s="139">
        <f t="shared" ref="W1629:AA1629" si="3268">J1629/$I1629</f>
        <v>0.51294697903822439</v>
      </c>
      <c r="X1629" s="139">
        <f t="shared" si="3268"/>
        <v>0.43649815043156598</v>
      </c>
      <c r="Y1629" s="139">
        <f t="shared" si="3268"/>
        <v>0</v>
      </c>
      <c r="Z1629" s="139">
        <f t="shared" si="3268"/>
        <v>0</v>
      </c>
      <c r="AA1629" s="139">
        <f t="shared" si="3268"/>
        <v>8.6313193588162754E-3</v>
      </c>
      <c r="AB1629" s="139"/>
      <c r="AC1629" s="139">
        <f t="shared" si="3074"/>
        <v>4.192355117139334E-2</v>
      </c>
      <c r="AD1629" s="139">
        <f t="shared" ref="AD1629:AI1629" si="3269">O1629/$I1629</f>
        <v>4.9321824907521579E-3</v>
      </c>
      <c r="AE1629" s="139">
        <f t="shared" si="3269"/>
        <v>0</v>
      </c>
      <c r="AF1629" s="139">
        <f t="shared" si="3269"/>
        <v>0</v>
      </c>
      <c r="AG1629" s="139">
        <f t="shared" si="3269"/>
        <v>0</v>
      </c>
      <c r="AH1629" s="139">
        <f t="shared" si="3269"/>
        <v>1.6029593094944512E-2</v>
      </c>
      <c r="AI1629" s="139">
        <f t="shared" si="3269"/>
        <v>2.096177558569667E-2</v>
      </c>
    </row>
    <row r="1630" spans="2:35">
      <c r="B1630" s="138" t="s">
        <v>8077</v>
      </c>
      <c r="C1630" s="138" t="s">
        <v>4367</v>
      </c>
      <c r="D1630" s="138" t="s">
        <v>7</v>
      </c>
      <c r="E1630" s="138" t="s">
        <v>706</v>
      </c>
      <c r="F1630" s="138" t="s">
        <v>1446</v>
      </c>
      <c r="H1630" s="138">
        <v>213</v>
      </c>
      <c r="I1630" s="138">
        <v>709</v>
      </c>
      <c r="J1630" s="138">
        <v>261</v>
      </c>
      <c r="K1630" s="138">
        <v>414</v>
      </c>
      <c r="N1630" s="138">
        <v>11</v>
      </c>
      <c r="O1630" s="138">
        <v>2</v>
      </c>
      <c r="R1630" s="138">
        <v>0</v>
      </c>
      <c r="S1630" s="138">
        <v>7</v>
      </c>
      <c r="T1630" s="138">
        <v>14</v>
      </c>
      <c r="U1630" s="138">
        <f t="shared" si="3072"/>
        <v>23</v>
      </c>
      <c r="W1630" s="139">
        <f t="shared" ref="W1630:AA1630" si="3270">J1630/$I1630</f>
        <v>0.36812411847672777</v>
      </c>
      <c r="X1630" s="139">
        <f t="shared" si="3270"/>
        <v>0.58392101551480957</v>
      </c>
      <c r="Y1630" s="139">
        <f t="shared" si="3270"/>
        <v>0</v>
      </c>
      <c r="Z1630" s="139">
        <f t="shared" si="3270"/>
        <v>0</v>
      </c>
      <c r="AA1630" s="139">
        <f t="shared" si="3270"/>
        <v>1.5514809590973202E-2</v>
      </c>
      <c r="AB1630" s="139"/>
      <c r="AC1630" s="139">
        <f t="shared" si="3074"/>
        <v>3.244005641748942E-2</v>
      </c>
      <c r="AD1630" s="139">
        <f t="shared" ref="AD1630:AI1630" si="3271">O1630/$I1630</f>
        <v>2.8208744710860366E-3</v>
      </c>
      <c r="AE1630" s="139">
        <f t="shared" si="3271"/>
        <v>0</v>
      </c>
      <c r="AF1630" s="139">
        <f t="shared" si="3271"/>
        <v>0</v>
      </c>
      <c r="AG1630" s="139">
        <f t="shared" si="3271"/>
        <v>0</v>
      </c>
      <c r="AH1630" s="139">
        <f t="shared" si="3271"/>
        <v>9.8730606488011286E-3</v>
      </c>
      <c r="AI1630" s="139">
        <f t="shared" si="3271"/>
        <v>1.9746121297602257E-2</v>
      </c>
    </row>
    <row r="1631" spans="2:35">
      <c r="B1631" s="138" t="s">
        <v>8077</v>
      </c>
      <c r="C1631" s="138" t="s">
        <v>4367</v>
      </c>
      <c r="D1631" s="138" t="s">
        <v>7</v>
      </c>
      <c r="E1631" s="138" t="s">
        <v>706</v>
      </c>
      <c r="F1631" s="138" t="s">
        <v>1427</v>
      </c>
      <c r="H1631" s="138">
        <v>214</v>
      </c>
      <c r="I1631" s="138">
        <v>561</v>
      </c>
      <c r="J1631" s="138">
        <v>190</v>
      </c>
      <c r="K1631" s="138">
        <v>358</v>
      </c>
      <c r="N1631" s="138">
        <v>6</v>
      </c>
      <c r="O1631" s="138">
        <v>2</v>
      </c>
      <c r="R1631" s="138">
        <v>1</v>
      </c>
      <c r="S1631" s="138">
        <v>0</v>
      </c>
      <c r="T1631" s="138">
        <v>4</v>
      </c>
      <c r="U1631" s="138">
        <f t="shared" si="3072"/>
        <v>7</v>
      </c>
      <c r="W1631" s="139">
        <f t="shared" ref="W1631:AA1631" si="3272">J1631/$I1631</f>
        <v>0.33868092691622104</v>
      </c>
      <c r="X1631" s="139">
        <f t="shared" si="3272"/>
        <v>0.6381461675579323</v>
      </c>
      <c r="Y1631" s="139">
        <f t="shared" si="3272"/>
        <v>0</v>
      </c>
      <c r="Z1631" s="139">
        <f t="shared" si="3272"/>
        <v>0</v>
      </c>
      <c r="AA1631" s="139">
        <f t="shared" si="3272"/>
        <v>1.06951871657754E-2</v>
      </c>
      <c r="AB1631" s="139"/>
      <c r="AC1631" s="139">
        <f t="shared" si="3074"/>
        <v>1.2477718360071301E-2</v>
      </c>
      <c r="AD1631" s="139">
        <f t="shared" ref="AD1631:AI1631" si="3273">O1631/$I1631</f>
        <v>3.5650623885918001E-3</v>
      </c>
      <c r="AE1631" s="139">
        <f t="shared" si="3273"/>
        <v>0</v>
      </c>
      <c r="AF1631" s="139">
        <f t="shared" si="3273"/>
        <v>0</v>
      </c>
      <c r="AG1631" s="139">
        <f t="shared" si="3273"/>
        <v>1.7825311942959001E-3</v>
      </c>
      <c r="AH1631" s="139">
        <f t="shared" si="3273"/>
        <v>0</v>
      </c>
      <c r="AI1631" s="139">
        <f t="shared" si="3273"/>
        <v>7.1301247771836003E-3</v>
      </c>
    </row>
    <row r="1632" spans="2:35">
      <c r="B1632" s="138" t="s">
        <v>8077</v>
      </c>
      <c r="C1632" s="138" t="s">
        <v>4367</v>
      </c>
      <c r="D1632" s="138" t="s">
        <v>7</v>
      </c>
      <c r="E1632" s="138" t="s">
        <v>706</v>
      </c>
      <c r="F1632" s="138" t="s">
        <v>1427</v>
      </c>
      <c r="H1632" s="138">
        <v>215</v>
      </c>
      <c r="I1632" s="138">
        <v>611</v>
      </c>
      <c r="J1632" s="138">
        <v>344</v>
      </c>
      <c r="K1632" s="138">
        <v>232</v>
      </c>
      <c r="N1632" s="138">
        <v>8</v>
      </c>
      <c r="O1632" s="138">
        <v>2</v>
      </c>
      <c r="R1632" s="138">
        <v>2</v>
      </c>
      <c r="S1632" s="138">
        <v>19</v>
      </c>
      <c r="T1632" s="138">
        <v>4</v>
      </c>
      <c r="U1632" s="138">
        <f t="shared" si="3072"/>
        <v>27</v>
      </c>
      <c r="W1632" s="139">
        <f t="shared" ref="W1632:AA1632" si="3274">J1632/$I1632</f>
        <v>0.56301145662847796</v>
      </c>
      <c r="X1632" s="139">
        <f t="shared" si="3274"/>
        <v>0.37970540098199673</v>
      </c>
      <c r="Y1632" s="139">
        <f t="shared" si="3274"/>
        <v>0</v>
      </c>
      <c r="Z1632" s="139">
        <f t="shared" si="3274"/>
        <v>0</v>
      </c>
      <c r="AA1632" s="139">
        <f t="shared" si="3274"/>
        <v>1.3093289689034371E-2</v>
      </c>
      <c r="AB1632" s="139"/>
      <c r="AC1632" s="139">
        <f t="shared" si="3074"/>
        <v>4.4189852700491E-2</v>
      </c>
      <c r="AD1632" s="139">
        <f t="shared" ref="AD1632:AI1632" si="3275">O1632/$I1632</f>
        <v>3.2733224222585926E-3</v>
      </c>
      <c r="AE1632" s="139">
        <f t="shared" si="3275"/>
        <v>0</v>
      </c>
      <c r="AF1632" s="139">
        <f t="shared" si="3275"/>
        <v>0</v>
      </c>
      <c r="AG1632" s="139">
        <f t="shared" si="3275"/>
        <v>3.2733224222585926E-3</v>
      </c>
      <c r="AH1632" s="139">
        <f t="shared" si="3275"/>
        <v>3.1096563011456628E-2</v>
      </c>
      <c r="AI1632" s="139">
        <f t="shared" si="3275"/>
        <v>6.5466448445171853E-3</v>
      </c>
    </row>
    <row r="1633" spans="2:35">
      <c r="B1633" s="138" t="s">
        <v>8077</v>
      </c>
      <c r="C1633" s="138" t="s">
        <v>4367</v>
      </c>
      <c r="D1633" s="138" t="s">
        <v>7</v>
      </c>
      <c r="E1633" s="138" t="s">
        <v>706</v>
      </c>
      <c r="F1633" s="138" t="s">
        <v>1427</v>
      </c>
      <c r="H1633" s="138" t="s">
        <v>8205</v>
      </c>
      <c r="I1633" s="138">
        <v>648</v>
      </c>
      <c r="J1633" s="138">
        <v>390</v>
      </c>
      <c r="K1633" s="138">
        <v>216</v>
      </c>
      <c r="N1633" s="138">
        <v>9</v>
      </c>
      <c r="O1633" s="138">
        <v>5</v>
      </c>
      <c r="R1633" s="138">
        <v>0</v>
      </c>
      <c r="S1633" s="138">
        <v>23</v>
      </c>
      <c r="T1633" s="138">
        <v>5</v>
      </c>
      <c r="U1633" s="138">
        <f t="shared" si="3072"/>
        <v>33</v>
      </c>
      <c r="W1633" s="139">
        <f t="shared" ref="W1633:AA1633" si="3276">J1633/$I1633</f>
        <v>0.60185185185185186</v>
      </c>
      <c r="X1633" s="139">
        <f t="shared" si="3276"/>
        <v>0.33333333333333331</v>
      </c>
      <c r="Y1633" s="139">
        <f t="shared" si="3276"/>
        <v>0</v>
      </c>
      <c r="Z1633" s="139">
        <f t="shared" si="3276"/>
        <v>0</v>
      </c>
      <c r="AA1633" s="139">
        <f t="shared" si="3276"/>
        <v>1.3888888888888888E-2</v>
      </c>
      <c r="AB1633" s="139"/>
      <c r="AC1633" s="139">
        <f t="shared" si="3074"/>
        <v>5.0925925925925923E-2</v>
      </c>
      <c r="AD1633" s="139">
        <f t="shared" ref="AD1633:AI1633" si="3277">O1633/$I1633</f>
        <v>7.716049382716049E-3</v>
      </c>
      <c r="AE1633" s="139">
        <f t="shared" si="3277"/>
        <v>0</v>
      </c>
      <c r="AF1633" s="139">
        <f t="shared" si="3277"/>
        <v>0</v>
      </c>
      <c r="AG1633" s="139">
        <f t="shared" si="3277"/>
        <v>0</v>
      </c>
      <c r="AH1633" s="139">
        <f t="shared" si="3277"/>
        <v>3.5493827160493825E-2</v>
      </c>
      <c r="AI1633" s="139">
        <f t="shared" si="3277"/>
        <v>7.716049382716049E-3</v>
      </c>
    </row>
    <row r="1634" spans="2:35">
      <c r="B1634" s="138" t="s">
        <v>8077</v>
      </c>
      <c r="C1634" s="138" t="s">
        <v>4367</v>
      </c>
      <c r="D1634" s="138" t="s">
        <v>7</v>
      </c>
      <c r="E1634" s="138" t="s">
        <v>706</v>
      </c>
      <c r="F1634" s="138" t="s">
        <v>1427</v>
      </c>
      <c r="H1634" s="138">
        <v>216</v>
      </c>
      <c r="I1634" s="138">
        <v>964</v>
      </c>
      <c r="J1634" s="138">
        <v>474</v>
      </c>
      <c r="K1634" s="138">
        <v>423</v>
      </c>
      <c r="N1634" s="138">
        <v>11</v>
      </c>
      <c r="O1634" s="138">
        <v>7</v>
      </c>
      <c r="R1634" s="138">
        <v>1</v>
      </c>
      <c r="S1634" s="138">
        <v>20</v>
      </c>
      <c r="T1634" s="138">
        <v>28</v>
      </c>
      <c r="U1634" s="138">
        <f t="shared" si="3072"/>
        <v>56</v>
      </c>
      <c r="W1634" s="139">
        <f t="shared" ref="W1634:AA1634" si="3278">J1634/$I1634</f>
        <v>0.49170124481327798</v>
      </c>
      <c r="X1634" s="139">
        <f t="shared" si="3278"/>
        <v>0.43879668049792531</v>
      </c>
      <c r="Y1634" s="139">
        <f t="shared" si="3278"/>
        <v>0</v>
      </c>
      <c r="Z1634" s="139">
        <f t="shared" si="3278"/>
        <v>0</v>
      </c>
      <c r="AA1634" s="139">
        <f t="shared" si="3278"/>
        <v>1.1410788381742738E-2</v>
      </c>
      <c r="AB1634" s="139"/>
      <c r="AC1634" s="139">
        <f t="shared" si="3074"/>
        <v>5.8091286307053944E-2</v>
      </c>
      <c r="AD1634" s="139">
        <f t="shared" ref="AD1634:AI1634" si="3279">O1634/$I1634</f>
        <v>7.261410788381743E-3</v>
      </c>
      <c r="AE1634" s="139">
        <f t="shared" si="3279"/>
        <v>0</v>
      </c>
      <c r="AF1634" s="139">
        <f t="shared" si="3279"/>
        <v>0</v>
      </c>
      <c r="AG1634" s="139">
        <f t="shared" si="3279"/>
        <v>1.037344398340249E-3</v>
      </c>
      <c r="AH1634" s="139">
        <f t="shared" si="3279"/>
        <v>2.0746887966804978E-2</v>
      </c>
      <c r="AI1634" s="139">
        <f t="shared" si="3279"/>
        <v>2.9045643153526972E-2</v>
      </c>
    </row>
    <row r="1635" spans="2:35">
      <c r="B1635" s="138" t="s">
        <v>8077</v>
      </c>
      <c r="C1635" s="138" t="s">
        <v>4367</v>
      </c>
      <c r="D1635" s="138" t="s">
        <v>7</v>
      </c>
      <c r="E1635" s="138" t="s">
        <v>706</v>
      </c>
      <c r="F1635" s="138" t="s">
        <v>1427</v>
      </c>
      <c r="H1635" s="138">
        <v>217</v>
      </c>
      <c r="I1635" s="138">
        <v>945</v>
      </c>
      <c r="J1635" s="138">
        <v>433</v>
      </c>
      <c r="K1635" s="138">
        <v>418</v>
      </c>
      <c r="N1635" s="138">
        <v>18</v>
      </c>
      <c r="O1635" s="138">
        <v>1</v>
      </c>
      <c r="R1635" s="138">
        <v>1</v>
      </c>
      <c r="S1635" s="138">
        <v>33</v>
      </c>
      <c r="T1635" s="138">
        <v>41</v>
      </c>
      <c r="U1635" s="138">
        <f t="shared" si="3072"/>
        <v>76</v>
      </c>
      <c r="W1635" s="139">
        <f t="shared" ref="W1635:AA1635" si="3280">J1635/$I1635</f>
        <v>0.45820105820105822</v>
      </c>
      <c r="X1635" s="139">
        <f t="shared" si="3280"/>
        <v>0.44232804232804235</v>
      </c>
      <c r="Y1635" s="139">
        <f t="shared" si="3280"/>
        <v>0</v>
      </c>
      <c r="Z1635" s="139">
        <f t="shared" si="3280"/>
        <v>0</v>
      </c>
      <c r="AA1635" s="139">
        <f t="shared" si="3280"/>
        <v>1.9047619047619049E-2</v>
      </c>
      <c r="AB1635" s="139"/>
      <c r="AC1635" s="139">
        <f t="shared" si="3074"/>
        <v>8.0423280423280424E-2</v>
      </c>
      <c r="AD1635" s="139">
        <f t="shared" ref="AD1635:AI1635" si="3281">O1635/$I1635</f>
        <v>1.0582010582010583E-3</v>
      </c>
      <c r="AE1635" s="139">
        <f t="shared" si="3281"/>
        <v>0</v>
      </c>
      <c r="AF1635" s="139">
        <f t="shared" si="3281"/>
        <v>0</v>
      </c>
      <c r="AG1635" s="139">
        <f t="shared" si="3281"/>
        <v>1.0582010582010583E-3</v>
      </c>
      <c r="AH1635" s="139">
        <f t="shared" si="3281"/>
        <v>3.4920634920634921E-2</v>
      </c>
      <c r="AI1635" s="139">
        <f t="shared" si="3281"/>
        <v>4.3386243386243389E-2</v>
      </c>
    </row>
    <row r="1636" spans="2:35">
      <c r="B1636" s="138" t="s">
        <v>8077</v>
      </c>
      <c r="C1636" s="138" t="s">
        <v>4367</v>
      </c>
      <c r="D1636" s="138" t="s">
        <v>7</v>
      </c>
      <c r="E1636" s="138" t="s">
        <v>706</v>
      </c>
      <c r="F1636" s="138" t="s">
        <v>1427</v>
      </c>
      <c r="H1636" s="138">
        <v>218</v>
      </c>
      <c r="I1636" s="138">
        <v>685</v>
      </c>
      <c r="J1636" s="138">
        <v>521</v>
      </c>
      <c r="K1636" s="138">
        <v>145</v>
      </c>
      <c r="N1636" s="138">
        <v>3</v>
      </c>
      <c r="O1636" s="138">
        <v>1</v>
      </c>
      <c r="R1636" s="138">
        <v>1</v>
      </c>
      <c r="S1636" s="138">
        <v>11</v>
      </c>
      <c r="T1636" s="138">
        <v>3</v>
      </c>
      <c r="U1636" s="138">
        <f t="shared" si="3072"/>
        <v>16</v>
      </c>
      <c r="W1636" s="139">
        <f t="shared" ref="W1636:AA1636" si="3282">J1636/$I1636</f>
        <v>0.76058394160583942</v>
      </c>
      <c r="X1636" s="139">
        <f t="shared" si="3282"/>
        <v>0.21167883211678831</v>
      </c>
      <c r="Y1636" s="139">
        <f t="shared" si="3282"/>
        <v>0</v>
      </c>
      <c r="Z1636" s="139">
        <f t="shared" si="3282"/>
        <v>0</v>
      </c>
      <c r="AA1636" s="139">
        <f t="shared" si="3282"/>
        <v>4.3795620437956208E-3</v>
      </c>
      <c r="AB1636" s="139"/>
      <c r="AC1636" s="139">
        <f t="shared" si="3074"/>
        <v>2.3357664233576641E-2</v>
      </c>
      <c r="AD1636" s="139">
        <f t="shared" ref="AD1636:AI1636" si="3283">O1636/$I1636</f>
        <v>1.4598540145985401E-3</v>
      </c>
      <c r="AE1636" s="139">
        <f t="shared" si="3283"/>
        <v>0</v>
      </c>
      <c r="AF1636" s="139">
        <f t="shared" si="3283"/>
        <v>0</v>
      </c>
      <c r="AG1636" s="139">
        <f t="shared" si="3283"/>
        <v>1.4598540145985401E-3</v>
      </c>
      <c r="AH1636" s="139">
        <f t="shared" si="3283"/>
        <v>1.6058394160583942E-2</v>
      </c>
      <c r="AI1636" s="139">
        <f t="shared" si="3283"/>
        <v>4.3795620437956208E-3</v>
      </c>
    </row>
    <row r="1637" spans="2:35">
      <c r="B1637" s="138" t="s">
        <v>8077</v>
      </c>
      <c r="C1637" s="138" t="s">
        <v>4367</v>
      </c>
      <c r="D1637" s="138" t="s">
        <v>7</v>
      </c>
      <c r="E1637" s="138" t="s">
        <v>706</v>
      </c>
      <c r="F1637" s="138" t="s">
        <v>1427</v>
      </c>
      <c r="H1637" s="138">
        <v>219</v>
      </c>
      <c r="I1637" s="138">
        <v>739</v>
      </c>
      <c r="J1637" s="138">
        <v>378</v>
      </c>
      <c r="K1637" s="138">
        <v>323</v>
      </c>
      <c r="N1637" s="138">
        <v>6</v>
      </c>
      <c r="O1637" s="138">
        <v>4</v>
      </c>
      <c r="R1637" s="138">
        <v>1</v>
      </c>
      <c r="S1637" s="138">
        <v>16</v>
      </c>
      <c r="T1637" s="138">
        <v>11</v>
      </c>
      <c r="U1637" s="138">
        <f t="shared" si="3072"/>
        <v>32</v>
      </c>
      <c r="W1637" s="139">
        <f t="shared" ref="W1637:AA1637" si="3284">J1637/$I1637</f>
        <v>0.5115020297699594</v>
      </c>
      <c r="X1637" s="139">
        <f t="shared" si="3284"/>
        <v>0.43707713125845737</v>
      </c>
      <c r="Y1637" s="139">
        <f t="shared" si="3284"/>
        <v>0</v>
      </c>
      <c r="Z1637" s="139">
        <f t="shared" si="3284"/>
        <v>0</v>
      </c>
      <c r="AA1637" s="139">
        <f t="shared" si="3284"/>
        <v>8.119079837618403E-3</v>
      </c>
      <c r="AB1637" s="139"/>
      <c r="AC1637" s="139">
        <f t="shared" si="3074"/>
        <v>4.3301759133964821E-2</v>
      </c>
      <c r="AD1637" s="139">
        <f t="shared" ref="AD1637:AI1637" si="3285">O1637/$I1637</f>
        <v>5.4127198917456026E-3</v>
      </c>
      <c r="AE1637" s="139">
        <f t="shared" si="3285"/>
        <v>0</v>
      </c>
      <c r="AF1637" s="139">
        <f t="shared" si="3285"/>
        <v>0</v>
      </c>
      <c r="AG1637" s="139">
        <f t="shared" si="3285"/>
        <v>1.3531799729364006E-3</v>
      </c>
      <c r="AH1637" s="139">
        <f t="shared" si="3285"/>
        <v>2.165087956698241E-2</v>
      </c>
      <c r="AI1637" s="139">
        <f t="shared" si="3285"/>
        <v>1.4884979702300407E-2</v>
      </c>
    </row>
    <row r="1638" spans="2:35">
      <c r="B1638" s="138" t="s">
        <v>8077</v>
      </c>
      <c r="C1638" s="138" t="s">
        <v>4367</v>
      </c>
      <c r="D1638" s="138" t="s">
        <v>7</v>
      </c>
      <c r="E1638" s="138" t="s">
        <v>706</v>
      </c>
      <c r="F1638" s="138" t="s">
        <v>1436</v>
      </c>
      <c r="H1638" s="138">
        <v>220</v>
      </c>
      <c r="I1638" s="138">
        <v>738</v>
      </c>
      <c r="J1638" s="138">
        <v>479</v>
      </c>
      <c r="K1638" s="138">
        <v>207</v>
      </c>
      <c r="N1638" s="138">
        <v>6</v>
      </c>
      <c r="O1638" s="138">
        <v>11</v>
      </c>
      <c r="R1638" s="138">
        <v>1</v>
      </c>
      <c r="S1638" s="138">
        <v>19</v>
      </c>
      <c r="T1638" s="138">
        <v>15</v>
      </c>
      <c r="U1638" s="138">
        <f t="shared" si="3072"/>
        <v>46</v>
      </c>
      <c r="W1638" s="139">
        <f t="shared" ref="W1638:AA1638" si="3286">J1638/$I1638</f>
        <v>0.64905149051490518</v>
      </c>
      <c r="X1638" s="139">
        <f t="shared" si="3286"/>
        <v>0.28048780487804881</v>
      </c>
      <c r="Y1638" s="139">
        <f t="shared" si="3286"/>
        <v>0</v>
      </c>
      <c r="Z1638" s="139">
        <f t="shared" si="3286"/>
        <v>0</v>
      </c>
      <c r="AA1638" s="139">
        <f t="shared" si="3286"/>
        <v>8.130081300813009E-3</v>
      </c>
      <c r="AB1638" s="139"/>
      <c r="AC1638" s="139">
        <f t="shared" si="3074"/>
        <v>6.2330623306233061E-2</v>
      </c>
      <c r="AD1638" s="139">
        <f t="shared" ref="AD1638:AI1638" si="3287">O1638/$I1638</f>
        <v>1.4905149051490514E-2</v>
      </c>
      <c r="AE1638" s="139">
        <f t="shared" si="3287"/>
        <v>0</v>
      </c>
      <c r="AF1638" s="139">
        <f t="shared" si="3287"/>
        <v>0</v>
      </c>
      <c r="AG1638" s="139">
        <f t="shared" si="3287"/>
        <v>1.3550135501355014E-3</v>
      </c>
      <c r="AH1638" s="139">
        <f t="shared" si="3287"/>
        <v>2.5745257452574527E-2</v>
      </c>
      <c r="AI1638" s="139">
        <f t="shared" si="3287"/>
        <v>2.032520325203252E-2</v>
      </c>
    </row>
    <row r="1639" spans="2:35">
      <c r="B1639" s="138" t="s">
        <v>8077</v>
      </c>
      <c r="C1639" s="138" t="s">
        <v>4367</v>
      </c>
      <c r="D1639" s="138" t="s">
        <v>7</v>
      </c>
      <c r="E1639" s="138" t="s">
        <v>706</v>
      </c>
      <c r="F1639" s="138" t="s">
        <v>1436</v>
      </c>
      <c r="H1639" s="138">
        <v>221</v>
      </c>
      <c r="I1639" s="138">
        <v>762</v>
      </c>
      <c r="J1639" s="138">
        <v>537</v>
      </c>
      <c r="K1639" s="138">
        <v>180</v>
      </c>
      <c r="N1639" s="138">
        <v>4</v>
      </c>
      <c r="O1639" s="138">
        <v>3</v>
      </c>
      <c r="R1639" s="138">
        <v>2</v>
      </c>
      <c r="S1639" s="138">
        <v>17</v>
      </c>
      <c r="T1639" s="138">
        <v>19</v>
      </c>
      <c r="U1639" s="138">
        <f t="shared" si="3072"/>
        <v>41</v>
      </c>
      <c r="W1639" s="139">
        <f t="shared" ref="W1639:AA1639" si="3288">J1639/$I1639</f>
        <v>0.70472440944881887</v>
      </c>
      <c r="X1639" s="139">
        <f t="shared" si="3288"/>
        <v>0.23622047244094488</v>
      </c>
      <c r="Y1639" s="139">
        <f t="shared" si="3288"/>
        <v>0</v>
      </c>
      <c r="Z1639" s="139">
        <f t="shared" si="3288"/>
        <v>0</v>
      </c>
      <c r="AA1639" s="139">
        <f t="shared" si="3288"/>
        <v>5.2493438320209973E-3</v>
      </c>
      <c r="AB1639" s="139"/>
      <c r="AC1639" s="139">
        <f t="shared" si="3074"/>
        <v>5.3805774278215222E-2</v>
      </c>
      <c r="AD1639" s="139">
        <f t="shared" ref="AD1639:AI1639" si="3289">O1639/$I1639</f>
        <v>3.937007874015748E-3</v>
      </c>
      <c r="AE1639" s="139">
        <f t="shared" si="3289"/>
        <v>0</v>
      </c>
      <c r="AF1639" s="139">
        <f t="shared" si="3289"/>
        <v>0</v>
      </c>
      <c r="AG1639" s="139">
        <f t="shared" si="3289"/>
        <v>2.6246719160104987E-3</v>
      </c>
      <c r="AH1639" s="139">
        <f t="shared" si="3289"/>
        <v>2.2309711286089239E-2</v>
      </c>
      <c r="AI1639" s="139">
        <f t="shared" si="3289"/>
        <v>2.4934383202099737E-2</v>
      </c>
    </row>
    <row r="1640" spans="2:35">
      <c r="B1640" s="138" t="s">
        <v>8077</v>
      </c>
      <c r="C1640" s="138" t="s">
        <v>4367</v>
      </c>
      <c r="D1640" s="138" t="s">
        <v>7</v>
      </c>
      <c r="E1640" s="138" t="s">
        <v>706</v>
      </c>
      <c r="F1640" s="138" t="s">
        <v>1436</v>
      </c>
      <c r="H1640" s="138">
        <v>222</v>
      </c>
      <c r="I1640" s="138">
        <v>876</v>
      </c>
      <c r="J1640" s="138">
        <v>392</v>
      </c>
      <c r="K1640" s="138">
        <v>453</v>
      </c>
      <c r="N1640" s="138">
        <v>6</v>
      </c>
      <c r="O1640" s="138">
        <v>1</v>
      </c>
      <c r="R1640" s="138">
        <v>1</v>
      </c>
      <c r="S1640" s="138">
        <v>14</v>
      </c>
      <c r="T1640" s="138">
        <v>9</v>
      </c>
      <c r="U1640" s="138">
        <f t="shared" si="3072"/>
        <v>25</v>
      </c>
      <c r="W1640" s="139">
        <f t="shared" ref="W1640:AA1640" si="3290">J1640/$I1640</f>
        <v>0.44748858447488582</v>
      </c>
      <c r="X1640" s="139">
        <f t="shared" si="3290"/>
        <v>0.51712328767123283</v>
      </c>
      <c r="Y1640" s="139">
        <f t="shared" si="3290"/>
        <v>0</v>
      </c>
      <c r="Z1640" s="139">
        <f t="shared" si="3290"/>
        <v>0</v>
      </c>
      <c r="AA1640" s="139">
        <f t="shared" si="3290"/>
        <v>6.8493150684931503E-3</v>
      </c>
      <c r="AB1640" s="139"/>
      <c r="AC1640" s="139">
        <f t="shared" si="3074"/>
        <v>2.8538812785388126E-2</v>
      </c>
      <c r="AD1640" s="139">
        <f t="shared" ref="AD1640:AI1640" si="3291">O1640/$I1640</f>
        <v>1.1415525114155251E-3</v>
      </c>
      <c r="AE1640" s="139">
        <f t="shared" si="3291"/>
        <v>0</v>
      </c>
      <c r="AF1640" s="139">
        <f t="shared" si="3291"/>
        <v>0</v>
      </c>
      <c r="AG1640" s="139">
        <f t="shared" si="3291"/>
        <v>1.1415525114155251E-3</v>
      </c>
      <c r="AH1640" s="139">
        <f t="shared" si="3291"/>
        <v>1.5981735159817351E-2</v>
      </c>
      <c r="AI1640" s="139">
        <f t="shared" si="3291"/>
        <v>1.0273972602739725E-2</v>
      </c>
    </row>
    <row r="1641" spans="2:35">
      <c r="B1641" s="138" t="s">
        <v>8077</v>
      </c>
      <c r="C1641" s="138" t="s">
        <v>4367</v>
      </c>
      <c r="D1641" s="138" t="s">
        <v>7</v>
      </c>
      <c r="E1641" s="138" t="s">
        <v>706</v>
      </c>
      <c r="F1641" s="138" t="s">
        <v>1436</v>
      </c>
      <c r="H1641" s="138">
        <v>223</v>
      </c>
      <c r="I1641" s="138">
        <v>800</v>
      </c>
      <c r="J1641" s="138">
        <v>420</v>
      </c>
      <c r="K1641" s="138">
        <v>332</v>
      </c>
      <c r="N1641" s="138">
        <v>5</v>
      </c>
      <c r="O1641" s="138">
        <v>2</v>
      </c>
      <c r="R1641" s="138">
        <v>0</v>
      </c>
      <c r="S1641" s="138">
        <v>26</v>
      </c>
      <c r="T1641" s="138">
        <v>15</v>
      </c>
      <c r="U1641" s="138">
        <f t="shared" si="3072"/>
        <v>43</v>
      </c>
      <c r="W1641" s="139">
        <f t="shared" ref="W1641:AA1641" si="3292">J1641/$I1641</f>
        <v>0.52500000000000002</v>
      </c>
      <c r="X1641" s="139">
        <f t="shared" si="3292"/>
        <v>0.41499999999999998</v>
      </c>
      <c r="Y1641" s="139">
        <f t="shared" si="3292"/>
        <v>0</v>
      </c>
      <c r="Z1641" s="139">
        <f t="shared" si="3292"/>
        <v>0</v>
      </c>
      <c r="AA1641" s="139">
        <f t="shared" si="3292"/>
        <v>6.2500000000000003E-3</v>
      </c>
      <c r="AB1641" s="139"/>
      <c r="AC1641" s="139">
        <f t="shared" si="3074"/>
        <v>5.3749999999999999E-2</v>
      </c>
      <c r="AD1641" s="139">
        <f t="shared" ref="AD1641:AI1641" si="3293">O1641/$I1641</f>
        <v>2.5000000000000001E-3</v>
      </c>
      <c r="AE1641" s="139">
        <f t="shared" si="3293"/>
        <v>0</v>
      </c>
      <c r="AF1641" s="139">
        <f t="shared" si="3293"/>
        <v>0</v>
      </c>
      <c r="AG1641" s="139">
        <f t="shared" si="3293"/>
        <v>0</v>
      </c>
      <c r="AH1641" s="139">
        <f t="shared" si="3293"/>
        <v>3.2500000000000001E-2</v>
      </c>
      <c r="AI1641" s="139">
        <f t="shared" si="3293"/>
        <v>1.8749999999999999E-2</v>
      </c>
    </row>
    <row r="1642" spans="2:35">
      <c r="W1642" s="139"/>
      <c r="X1642" s="139"/>
      <c r="Y1642" s="139"/>
      <c r="Z1642" s="139"/>
      <c r="AA1642" s="139"/>
      <c r="AB1642" s="139"/>
      <c r="AC1642" s="139"/>
      <c r="AD1642" s="139"/>
      <c r="AE1642" s="139"/>
      <c r="AF1642" s="139"/>
      <c r="AG1642" s="139"/>
      <c r="AH1642" s="139"/>
      <c r="AI1642" s="139"/>
    </row>
    <row r="1643" spans="2:35">
      <c r="W1643" s="139"/>
      <c r="X1643" s="139"/>
      <c r="Y1643" s="139"/>
      <c r="Z1643" s="139"/>
      <c r="AA1643" s="139"/>
      <c r="AB1643" s="139"/>
      <c r="AC1643" s="139"/>
      <c r="AD1643" s="139"/>
      <c r="AE1643" s="139"/>
      <c r="AF1643" s="139"/>
      <c r="AG1643" s="139"/>
      <c r="AH1643" s="139"/>
      <c r="AI1643" s="139"/>
    </row>
    <row r="1644" spans="2:35">
      <c r="W1644" s="139"/>
      <c r="X1644" s="139"/>
      <c r="Y1644" s="139"/>
      <c r="Z1644" s="139"/>
      <c r="AA1644" s="139"/>
      <c r="AB1644" s="139"/>
      <c r="AC1644" s="139"/>
      <c r="AD1644" s="139"/>
      <c r="AE1644" s="139"/>
      <c r="AF1644" s="139"/>
      <c r="AG1644" s="139"/>
      <c r="AH1644" s="139"/>
      <c r="AI1644" s="139"/>
    </row>
    <row r="1645" spans="2:35">
      <c r="W1645" s="139"/>
      <c r="X1645" s="139"/>
      <c r="Y1645" s="139"/>
      <c r="Z1645" s="139"/>
      <c r="AA1645" s="139"/>
      <c r="AB1645" s="139"/>
      <c r="AC1645" s="139"/>
      <c r="AD1645" s="139"/>
      <c r="AE1645" s="139"/>
      <c r="AF1645" s="139"/>
      <c r="AG1645" s="139"/>
      <c r="AH1645" s="139"/>
      <c r="AI1645" s="139"/>
    </row>
    <row r="1646" spans="2:35">
      <c r="W1646" s="139"/>
      <c r="X1646" s="139"/>
      <c r="Y1646" s="139"/>
      <c r="Z1646" s="139"/>
      <c r="AA1646" s="139"/>
      <c r="AB1646" s="139"/>
      <c r="AC1646" s="139"/>
      <c r="AD1646" s="139"/>
      <c r="AE1646" s="139"/>
      <c r="AF1646" s="139"/>
      <c r="AG1646" s="139"/>
      <c r="AH1646" s="139"/>
      <c r="AI1646" s="139"/>
    </row>
    <row r="1647" spans="2:35">
      <c r="W1647" s="139"/>
      <c r="X1647" s="139"/>
      <c r="Y1647" s="139"/>
      <c r="Z1647" s="139"/>
      <c r="AA1647" s="139"/>
      <c r="AB1647" s="139"/>
      <c r="AC1647" s="139"/>
      <c r="AD1647" s="139"/>
      <c r="AE1647" s="139"/>
      <c r="AF1647" s="139"/>
      <c r="AG1647" s="139"/>
      <c r="AH1647" s="139"/>
      <c r="AI1647" s="139"/>
    </row>
    <row r="1648" spans="2:35">
      <c r="W1648" s="139"/>
      <c r="X1648" s="139"/>
      <c r="Y1648" s="139"/>
      <c r="Z1648" s="139"/>
      <c r="AA1648" s="139"/>
      <c r="AB1648" s="139"/>
      <c r="AC1648" s="139"/>
      <c r="AD1648" s="139"/>
      <c r="AE1648" s="139"/>
      <c r="AF1648" s="139"/>
      <c r="AG1648" s="139"/>
      <c r="AH1648" s="139"/>
      <c r="AI1648" s="139"/>
    </row>
    <row r="1649" spans="23:35">
      <c r="W1649" s="139"/>
      <c r="X1649" s="139"/>
      <c r="Y1649" s="139"/>
      <c r="Z1649" s="139"/>
      <c r="AA1649" s="139"/>
      <c r="AB1649" s="139"/>
      <c r="AC1649" s="139"/>
      <c r="AD1649" s="139"/>
      <c r="AE1649" s="139"/>
      <c r="AF1649" s="139"/>
      <c r="AG1649" s="139"/>
      <c r="AH1649" s="139"/>
      <c r="AI1649" s="139"/>
    </row>
    <row r="1650" spans="23:35">
      <c r="W1650" s="139"/>
      <c r="X1650" s="139"/>
      <c r="Y1650" s="139"/>
      <c r="Z1650" s="139"/>
      <c r="AA1650" s="139"/>
      <c r="AB1650" s="139"/>
      <c r="AC1650" s="139"/>
      <c r="AD1650" s="139"/>
      <c r="AE1650" s="139"/>
      <c r="AF1650" s="139"/>
      <c r="AG1650" s="139"/>
      <c r="AH1650" s="139"/>
      <c r="AI1650" s="139"/>
    </row>
    <row r="1651" spans="23:35">
      <c r="W1651" s="139"/>
      <c r="X1651" s="139"/>
      <c r="Y1651" s="139"/>
      <c r="Z1651" s="139"/>
      <c r="AA1651" s="139"/>
      <c r="AB1651" s="139"/>
      <c r="AC1651" s="139"/>
      <c r="AD1651" s="139"/>
      <c r="AE1651" s="139"/>
      <c r="AF1651" s="139"/>
      <c r="AG1651" s="139"/>
      <c r="AH1651" s="139"/>
      <c r="AI1651" s="139"/>
    </row>
    <row r="1652" spans="23:35">
      <c r="W1652" s="139"/>
      <c r="X1652" s="139"/>
      <c r="Y1652" s="139"/>
      <c r="Z1652" s="139"/>
      <c r="AA1652" s="139"/>
      <c r="AB1652" s="139"/>
      <c r="AC1652" s="139"/>
      <c r="AD1652" s="139"/>
      <c r="AE1652" s="139"/>
      <c r="AF1652" s="139"/>
      <c r="AG1652" s="139"/>
      <c r="AH1652" s="139"/>
      <c r="AI1652" s="139"/>
    </row>
    <row r="1653" spans="23:35">
      <c r="W1653" s="139"/>
      <c r="X1653" s="139"/>
      <c r="Y1653" s="139"/>
      <c r="Z1653" s="139"/>
      <c r="AA1653" s="139"/>
      <c r="AB1653" s="139"/>
      <c r="AC1653" s="139"/>
      <c r="AD1653" s="139"/>
      <c r="AE1653" s="139"/>
      <c r="AF1653" s="139"/>
      <c r="AG1653" s="139"/>
      <c r="AH1653" s="139"/>
      <c r="AI1653" s="139"/>
    </row>
    <row r="1654" spans="23:35">
      <c r="W1654" s="139"/>
      <c r="X1654" s="139"/>
      <c r="Y1654" s="139"/>
      <c r="Z1654" s="139"/>
      <c r="AA1654" s="139"/>
      <c r="AB1654" s="139"/>
      <c r="AC1654" s="139"/>
      <c r="AD1654" s="139"/>
      <c r="AE1654" s="139"/>
      <c r="AF1654" s="139"/>
      <c r="AG1654" s="139"/>
      <c r="AH1654" s="139"/>
      <c r="AI1654" s="139"/>
    </row>
    <row r="1655" spans="23:35">
      <c r="W1655" s="139"/>
      <c r="X1655" s="139"/>
      <c r="Y1655" s="139"/>
      <c r="Z1655" s="139"/>
      <c r="AA1655" s="139"/>
      <c r="AB1655" s="139"/>
      <c r="AC1655" s="139"/>
      <c r="AD1655" s="139"/>
      <c r="AE1655" s="139"/>
      <c r="AF1655" s="139"/>
      <c r="AG1655" s="139"/>
      <c r="AH1655" s="139"/>
      <c r="AI1655" s="139"/>
    </row>
    <row r="1656" spans="23:35">
      <c r="W1656" s="139"/>
      <c r="X1656" s="139"/>
      <c r="Y1656" s="139"/>
      <c r="Z1656" s="139"/>
      <c r="AA1656" s="139"/>
      <c r="AB1656" s="139"/>
      <c r="AC1656" s="139"/>
      <c r="AD1656" s="139"/>
      <c r="AE1656" s="139"/>
      <c r="AF1656" s="139"/>
      <c r="AG1656" s="139"/>
      <c r="AH1656" s="139"/>
      <c r="AI1656" s="139"/>
    </row>
    <row r="1657" spans="23:35">
      <c r="W1657" s="139"/>
      <c r="X1657" s="139"/>
      <c r="Y1657" s="139"/>
      <c r="Z1657" s="139"/>
      <c r="AA1657" s="139"/>
      <c r="AB1657" s="139"/>
      <c r="AC1657" s="139"/>
      <c r="AD1657" s="139"/>
      <c r="AE1657" s="139"/>
      <c r="AF1657" s="139"/>
      <c r="AG1657" s="139"/>
      <c r="AH1657" s="139"/>
      <c r="AI1657" s="139"/>
    </row>
    <row r="1658" spans="23:35">
      <c r="W1658" s="139"/>
      <c r="X1658" s="139"/>
      <c r="Y1658" s="139"/>
      <c r="Z1658" s="139"/>
      <c r="AA1658" s="139"/>
      <c r="AB1658" s="139"/>
      <c r="AC1658" s="139"/>
      <c r="AD1658" s="139"/>
      <c r="AE1658" s="139"/>
      <c r="AF1658" s="139"/>
      <c r="AG1658" s="139"/>
      <c r="AH1658" s="139"/>
      <c r="AI1658" s="139"/>
    </row>
    <row r="1659" spans="23:35">
      <c r="W1659" s="139"/>
      <c r="X1659" s="139"/>
      <c r="Y1659" s="139"/>
      <c r="Z1659" s="139"/>
      <c r="AA1659" s="139"/>
      <c r="AB1659" s="139"/>
      <c r="AC1659" s="139"/>
      <c r="AD1659" s="139"/>
      <c r="AE1659" s="139"/>
      <c r="AF1659" s="139"/>
      <c r="AG1659" s="139"/>
      <c r="AH1659" s="139"/>
      <c r="AI1659" s="139"/>
    </row>
    <row r="1660" spans="23:35">
      <c r="W1660" s="139"/>
      <c r="X1660" s="139"/>
      <c r="Y1660" s="139"/>
      <c r="Z1660" s="139"/>
      <c r="AA1660" s="139"/>
      <c r="AB1660" s="139"/>
      <c r="AC1660" s="139"/>
      <c r="AD1660" s="139"/>
      <c r="AE1660" s="139"/>
      <c r="AF1660" s="139"/>
      <c r="AG1660" s="139"/>
      <c r="AH1660" s="139"/>
      <c r="AI1660" s="139"/>
    </row>
    <row r="1661" spans="23:35">
      <c r="W1661" s="139"/>
      <c r="X1661" s="139"/>
      <c r="Y1661" s="139"/>
      <c r="Z1661" s="139"/>
      <c r="AA1661" s="139"/>
      <c r="AB1661" s="139"/>
      <c r="AC1661" s="139"/>
      <c r="AD1661" s="139"/>
      <c r="AE1661" s="139"/>
      <c r="AF1661" s="139"/>
      <c r="AG1661" s="139"/>
      <c r="AH1661" s="139"/>
      <c r="AI1661" s="139"/>
    </row>
    <row r="1662" spans="23:35">
      <c r="W1662" s="139"/>
      <c r="X1662" s="139"/>
      <c r="Y1662" s="139"/>
      <c r="Z1662" s="139"/>
      <c r="AA1662" s="139"/>
      <c r="AB1662" s="139"/>
      <c r="AC1662" s="139"/>
      <c r="AD1662" s="139"/>
      <c r="AE1662" s="139"/>
      <c r="AF1662" s="139"/>
      <c r="AG1662" s="139"/>
      <c r="AH1662" s="139"/>
      <c r="AI1662" s="139"/>
    </row>
    <row r="1663" spans="23:35">
      <c r="W1663" s="139"/>
      <c r="X1663" s="139"/>
      <c r="Y1663" s="139"/>
      <c r="Z1663" s="139"/>
      <c r="AA1663" s="139"/>
      <c r="AB1663" s="139"/>
      <c r="AC1663" s="139"/>
      <c r="AD1663" s="139"/>
      <c r="AE1663" s="139"/>
      <c r="AF1663" s="139"/>
      <c r="AG1663" s="139"/>
      <c r="AH1663" s="139"/>
      <c r="AI1663" s="139"/>
    </row>
    <row r="1664" spans="23:35">
      <c r="W1664" s="139"/>
      <c r="X1664" s="139"/>
      <c r="Y1664" s="139"/>
      <c r="Z1664" s="139"/>
      <c r="AA1664" s="139"/>
      <c r="AB1664" s="139"/>
      <c r="AC1664" s="139"/>
      <c r="AD1664" s="139"/>
      <c r="AE1664" s="139"/>
      <c r="AF1664" s="139"/>
      <c r="AG1664" s="139"/>
      <c r="AH1664" s="139"/>
      <c r="AI1664" s="139"/>
    </row>
    <row r="1665" spans="23:35">
      <c r="W1665" s="139"/>
      <c r="X1665" s="139"/>
      <c r="Y1665" s="139"/>
      <c r="Z1665" s="139"/>
      <c r="AA1665" s="139"/>
      <c r="AB1665" s="139"/>
      <c r="AC1665" s="139"/>
      <c r="AD1665" s="139"/>
      <c r="AE1665" s="139"/>
      <c r="AF1665" s="139"/>
      <c r="AG1665" s="139"/>
      <c r="AH1665" s="139"/>
      <c r="AI1665" s="139"/>
    </row>
    <row r="1666" spans="23:35">
      <c r="W1666" s="139"/>
      <c r="X1666" s="139"/>
      <c r="Y1666" s="139"/>
      <c r="Z1666" s="139"/>
      <c r="AA1666" s="139"/>
      <c r="AB1666" s="139"/>
      <c r="AC1666" s="139"/>
      <c r="AD1666" s="139"/>
      <c r="AE1666" s="139"/>
      <c r="AF1666" s="139"/>
      <c r="AG1666" s="139"/>
      <c r="AH1666" s="139"/>
      <c r="AI1666" s="139"/>
    </row>
    <row r="1667" spans="23:35">
      <c r="W1667" s="139"/>
      <c r="X1667" s="139"/>
      <c r="Y1667" s="139"/>
      <c r="Z1667" s="139"/>
      <c r="AA1667" s="139"/>
      <c r="AB1667" s="139"/>
      <c r="AC1667" s="139"/>
      <c r="AD1667" s="139"/>
      <c r="AE1667" s="139"/>
      <c r="AF1667" s="139"/>
      <c r="AG1667" s="139"/>
      <c r="AH1667" s="139"/>
      <c r="AI1667" s="139"/>
    </row>
    <row r="1668" spans="23:35">
      <c r="W1668" s="139"/>
      <c r="X1668" s="139"/>
      <c r="Y1668" s="139"/>
      <c r="Z1668" s="139"/>
      <c r="AA1668" s="139"/>
      <c r="AB1668" s="139"/>
      <c r="AC1668" s="139"/>
      <c r="AD1668" s="139"/>
      <c r="AE1668" s="139"/>
      <c r="AF1668" s="139"/>
      <c r="AG1668" s="139"/>
      <c r="AH1668" s="139"/>
      <c r="AI1668" s="139"/>
    </row>
    <row r="1669" spans="23:35">
      <c r="W1669" s="139"/>
      <c r="X1669" s="139"/>
      <c r="Y1669" s="139"/>
      <c r="Z1669" s="139"/>
      <c r="AA1669" s="139"/>
      <c r="AB1669" s="139"/>
      <c r="AC1669" s="139"/>
      <c r="AD1669" s="139"/>
      <c r="AE1669" s="139"/>
      <c r="AF1669" s="139"/>
      <c r="AG1669" s="139"/>
      <c r="AH1669" s="139"/>
      <c r="AI1669" s="139"/>
    </row>
    <row r="1670" spans="23:35">
      <c r="W1670" s="139"/>
      <c r="X1670" s="139"/>
      <c r="Y1670" s="139"/>
      <c r="Z1670" s="139"/>
      <c r="AA1670" s="139"/>
      <c r="AB1670" s="139"/>
      <c r="AC1670" s="139"/>
      <c r="AD1670" s="139"/>
      <c r="AE1670" s="139"/>
      <c r="AF1670" s="139"/>
      <c r="AG1670" s="139"/>
      <c r="AH1670" s="139"/>
      <c r="AI1670" s="139"/>
    </row>
    <row r="1671" spans="23:35">
      <c r="W1671" s="139"/>
      <c r="X1671" s="139"/>
      <c r="Y1671" s="139"/>
      <c r="Z1671" s="139"/>
      <c r="AA1671" s="139"/>
      <c r="AB1671" s="139"/>
      <c r="AC1671" s="139"/>
      <c r="AD1671" s="139"/>
      <c r="AE1671" s="139"/>
      <c r="AF1671" s="139"/>
      <c r="AG1671" s="139"/>
      <c r="AH1671" s="139"/>
      <c r="AI1671" s="139"/>
    </row>
    <row r="1672" spans="23:35">
      <c r="W1672" s="139"/>
      <c r="X1672" s="139"/>
      <c r="Y1672" s="139"/>
      <c r="Z1672" s="139"/>
      <c r="AA1672" s="139"/>
      <c r="AB1672" s="139"/>
      <c r="AC1672" s="139"/>
      <c r="AD1672" s="139"/>
      <c r="AE1672" s="139"/>
      <c r="AF1672" s="139"/>
      <c r="AG1672" s="139"/>
      <c r="AH1672" s="139"/>
      <c r="AI1672" s="139"/>
    </row>
    <row r="1673" spans="23:35">
      <c r="W1673" s="139"/>
      <c r="X1673" s="139"/>
      <c r="Y1673" s="139"/>
      <c r="Z1673" s="139"/>
      <c r="AA1673" s="139"/>
      <c r="AB1673" s="139"/>
      <c r="AC1673" s="139"/>
      <c r="AD1673" s="139"/>
      <c r="AE1673" s="139"/>
      <c r="AF1673" s="139"/>
      <c r="AG1673" s="139"/>
      <c r="AH1673" s="139"/>
      <c r="AI1673" s="139"/>
    </row>
    <row r="1674" spans="23:35">
      <c r="W1674" s="139"/>
      <c r="X1674" s="139"/>
      <c r="Y1674" s="139"/>
      <c r="Z1674" s="139"/>
      <c r="AA1674" s="139"/>
      <c r="AB1674" s="139"/>
      <c r="AC1674" s="139"/>
      <c r="AD1674" s="139"/>
      <c r="AE1674" s="139"/>
      <c r="AF1674" s="139"/>
      <c r="AG1674" s="139"/>
      <c r="AH1674" s="139"/>
      <c r="AI1674" s="139"/>
    </row>
    <row r="1675" spans="23:35">
      <c r="W1675" s="139"/>
      <c r="X1675" s="139"/>
      <c r="Y1675" s="139"/>
      <c r="Z1675" s="139"/>
      <c r="AA1675" s="139"/>
      <c r="AB1675" s="139"/>
      <c r="AC1675" s="139"/>
      <c r="AD1675" s="139"/>
      <c r="AE1675" s="139"/>
      <c r="AF1675" s="139"/>
      <c r="AG1675" s="139"/>
      <c r="AH1675" s="139"/>
      <c r="AI1675" s="139"/>
    </row>
    <row r="1676" spans="23:35">
      <c r="W1676" s="139"/>
      <c r="X1676" s="139"/>
      <c r="Y1676" s="139"/>
      <c r="Z1676" s="139"/>
      <c r="AA1676" s="139"/>
      <c r="AB1676" s="139"/>
      <c r="AC1676" s="139"/>
      <c r="AD1676" s="139"/>
      <c r="AE1676" s="139"/>
      <c r="AF1676" s="139"/>
      <c r="AG1676" s="139"/>
      <c r="AH1676" s="139"/>
      <c r="AI1676" s="139"/>
    </row>
    <row r="1677" spans="23:35">
      <c r="W1677" s="139"/>
      <c r="X1677" s="139"/>
      <c r="Y1677" s="139"/>
      <c r="Z1677" s="139"/>
      <c r="AA1677" s="139"/>
      <c r="AB1677" s="139"/>
      <c r="AC1677" s="139"/>
      <c r="AD1677" s="139"/>
      <c r="AE1677" s="139"/>
      <c r="AF1677" s="139"/>
      <c r="AG1677" s="139"/>
      <c r="AH1677" s="139"/>
      <c r="AI1677" s="139"/>
    </row>
    <row r="1678" spans="23:35">
      <c r="W1678" s="139"/>
      <c r="X1678" s="139"/>
      <c r="Y1678" s="139"/>
      <c r="Z1678" s="139"/>
      <c r="AA1678" s="139"/>
      <c r="AB1678" s="139"/>
      <c r="AC1678" s="139"/>
      <c r="AD1678" s="139"/>
      <c r="AE1678" s="139"/>
      <c r="AF1678" s="139"/>
      <c r="AG1678" s="139"/>
      <c r="AH1678" s="139"/>
      <c r="AI1678" s="139"/>
    </row>
    <row r="1679" spans="23:35">
      <c r="W1679" s="139"/>
      <c r="X1679" s="139"/>
      <c r="Y1679" s="139"/>
      <c r="Z1679" s="139"/>
      <c r="AA1679" s="139"/>
      <c r="AB1679" s="139"/>
      <c r="AC1679" s="139"/>
      <c r="AD1679" s="139"/>
      <c r="AE1679" s="139"/>
      <c r="AF1679" s="139"/>
      <c r="AG1679" s="139"/>
      <c r="AH1679" s="139"/>
      <c r="AI1679" s="139"/>
    </row>
    <row r="1680" spans="23:35">
      <c r="W1680" s="139"/>
      <c r="X1680" s="139"/>
      <c r="Y1680" s="139"/>
      <c r="Z1680" s="139"/>
      <c r="AA1680" s="139"/>
      <c r="AB1680" s="139"/>
      <c r="AC1680" s="139"/>
      <c r="AD1680" s="139"/>
      <c r="AE1680" s="139"/>
      <c r="AF1680" s="139"/>
      <c r="AG1680" s="139"/>
      <c r="AH1680" s="139"/>
      <c r="AI1680" s="139"/>
    </row>
    <row r="1681" spans="23:35">
      <c r="W1681" s="139"/>
      <c r="X1681" s="139"/>
      <c r="Y1681" s="139"/>
      <c r="Z1681" s="139"/>
      <c r="AA1681" s="139"/>
      <c r="AB1681" s="139"/>
      <c r="AC1681" s="139"/>
      <c r="AD1681" s="139"/>
      <c r="AE1681" s="139"/>
      <c r="AF1681" s="139"/>
      <c r="AG1681" s="139"/>
      <c r="AH1681" s="139"/>
      <c r="AI1681" s="139"/>
    </row>
    <row r="1682" spans="23:35">
      <c r="W1682" s="139"/>
      <c r="X1682" s="139"/>
      <c r="Y1682" s="139"/>
      <c r="Z1682" s="139"/>
      <c r="AA1682" s="139"/>
      <c r="AB1682" s="139"/>
      <c r="AC1682" s="139"/>
      <c r="AD1682" s="139"/>
      <c r="AE1682" s="139"/>
      <c r="AF1682" s="139"/>
      <c r="AG1682" s="139"/>
      <c r="AH1682" s="139"/>
      <c r="AI1682" s="139"/>
    </row>
    <row r="1683" spans="23:35">
      <c r="W1683" s="139"/>
      <c r="X1683" s="139"/>
      <c r="Y1683" s="139"/>
      <c r="Z1683" s="139"/>
      <c r="AA1683" s="139"/>
      <c r="AB1683" s="139"/>
      <c r="AC1683" s="139"/>
      <c r="AD1683" s="139"/>
      <c r="AE1683" s="139"/>
      <c r="AF1683" s="139"/>
      <c r="AG1683" s="139"/>
      <c r="AH1683" s="139"/>
      <c r="AI1683" s="139"/>
    </row>
    <row r="1684" spans="23:35">
      <c r="W1684" s="139"/>
      <c r="X1684" s="139"/>
      <c r="Y1684" s="139"/>
      <c r="Z1684" s="139"/>
      <c r="AA1684" s="139"/>
      <c r="AB1684" s="139"/>
      <c r="AC1684" s="139"/>
      <c r="AD1684" s="139"/>
      <c r="AE1684" s="139"/>
      <c r="AF1684" s="139"/>
      <c r="AG1684" s="139"/>
      <c r="AH1684" s="139"/>
      <c r="AI1684" s="139"/>
    </row>
    <row r="1685" spans="23:35">
      <c r="W1685" s="139"/>
      <c r="X1685" s="139"/>
      <c r="Y1685" s="139"/>
      <c r="Z1685" s="139"/>
      <c r="AA1685" s="139"/>
      <c r="AB1685" s="139"/>
      <c r="AC1685" s="139"/>
      <c r="AD1685" s="139"/>
      <c r="AE1685" s="139"/>
      <c r="AF1685" s="139"/>
      <c r="AG1685" s="139"/>
      <c r="AH1685" s="139"/>
      <c r="AI1685" s="139"/>
    </row>
    <row r="1686" spans="23:35">
      <c r="W1686" s="139"/>
      <c r="X1686" s="139"/>
      <c r="Y1686" s="139"/>
      <c r="Z1686" s="139"/>
      <c r="AA1686" s="139"/>
      <c r="AB1686" s="139"/>
      <c r="AC1686" s="139"/>
      <c r="AD1686" s="139"/>
      <c r="AE1686" s="139"/>
      <c r="AF1686" s="139"/>
      <c r="AG1686" s="139"/>
      <c r="AH1686" s="139"/>
      <c r="AI1686" s="139"/>
    </row>
    <row r="1687" spans="23:35">
      <c r="W1687" s="139"/>
      <c r="X1687" s="139"/>
      <c r="Y1687" s="139"/>
      <c r="Z1687" s="139"/>
      <c r="AA1687" s="139"/>
      <c r="AB1687" s="139"/>
      <c r="AC1687" s="139"/>
      <c r="AD1687" s="139"/>
      <c r="AE1687" s="139"/>
      <c r="AF1687" s="139"/>
      <c r="AG1687" s="139"/>
      <c r="AH1687" s="139"/>
      <c r="AI1687" s="139"/>
    </row>
    <row r="1688" spans="23:35">
      <c r="W1688" s="139"/>
      <c r="X1688" s="139"/>
      <c r="Y1688" s="139"/>
      <c r="Z1688" s="139"/>
      <c r="AA1688" s="139"/>
      <c r="AB1688" s="139"/>
      <c r="AC1688" s="139"/>
      <c r="AD1688" s="139"/>
      <c r="AE1688" s="139"/>
      <c r="AF1688" s="139"/>
      <c r="AG1688" s="139"/>
      <c r="AH1688" s="139"/>
      <c r="AI1688" s="139"/>
    </row>
    <row r="1689" spans="23:35">
      <c r="W1689" s="139"/>
      <c r="X1689" s="139"/>
      <c r="Y1689" s="139"/>
      <c r="Z1689" s="139"/>
      <c r="AA1689" s="139"/>
      <c r="AB1689" s="139"/>
      <c r="AC1689" s="139"/>
      <c r="AD1689" s="139"/>
      <c r="AE1689" s="139"/>
      <c r="AF1689" s="139"/>
      <c r="AG1689" s="139"/>
      <c r="AH1689" s="139"/>
      <c r="AI1689" s="139"/>
    </row>
    <row r="1690" spans="23:35">
      <c r="W1690" s="139"/>
      <c r="X1690" s="139"/>
      <c r="Y1690" s="139"/>
      <c r="Z1690" s="139"/>
      <c r="AA1690" s="139"/>
      <c r="AB1690" s="139"/>
      <c r="AC1690" s="139"/>
      <c r="AD1690" s="139"/>
      <c r="AE1690" s="139"/>
      <c r="AF1690" s="139"/>
      <c r="AG1690" s="139"/>
      <c r="AH1690" s="139"/>
      <c r="AI1690" s="139"/>
    </row>
    <row r="1691" spans="23:35">
      <c r="W1691" s="139"/>
      <c r="X1691" s="139"/>
      <c r="Y1691" s="139"/>
      <c r="Z1691" s="139"/>
      <c r="AA1691" s="139"/>
      <c r="AB1691" s="139"/>
      <c r="AC1691" s="139"/>
      <c r="AD1691" s="139"/>
      <c r="AE1691" s="139"/>
      <c r="AF1691" s="139"/>
      <c r="AG1691" s="139"/>
      <c r="AH1691" s="139"/>
      <c r="AI1691" s="139"/>
    </row>
    <row r="1692" spans="23:35">
      <c r="W1692" s="139"/>
      <c r="X1692" s="139"/>
      <c r="Y1692" s="139"/>
      <c r="Z1692" s="139"/>
      <c r="AA1692" s="139"/>
      <c r="AB1692" s="139"/>
      <c r="AC1692" s="139"/>
      <c r="AD1692" s="139"/>
      <c r="AE1692" s="139"/>
      <c r="AF1692" s="139"/>
      <c r="AG1692" s="139"/>
      <c r="AH1692" s="139"/>
      <c r="AI1692" s="139"/>
    </row>
    <row r="1693" spans="23:35">
      <c r="W1693" s="139"/>
      <c r="X1693" s="139"/>
      <c r="Y1693" s="139"/>
      <c r="Z1693" s="139"/>
      <c r="AA1693" s="139"/>
      <c r="AB1693" s="139"/>
      <c r="AC1693" s="139"/>
      <c r="AD1693" s="139"/>
      <c r="AE1693" s="139"/>
      <c r="AF1693" s="139"/>
      <c r="AG1693" s="139"/>
      <c r="AH1693" s="139"/>
      <c r="AI1693" s="139"/>
    </row>
    <row r="1694" spans="23:35">
      <c r="W1694" s="139"/>
      <c r="X1694" s="139"/>
      <c r="Y1694" s="139"/>
      <c r="Z1694" s="139"/>
      <c r="AA1694" s="139"/>
      <c r="AB1694" s="139"/>
      <c r="AC1694" s="139"/>
      <c r="AD1694" s="139"/>
      <c r="AE1694" s="139"/>
      <c r="AF1694" s="139"/>
      <c r="AG1694" s="139"/>
      <c r="AH1694" s="139"/>
      <c r="AI1694" s="139"/>
    </row>
    <row r="1695" spans="23:35">
      <c r="W1695" s="139"/>
      <c r="X1695" s="139"/>
      <c r="Y1695" s="139"/>
      <c r="Z1695" s="139"/>
      <c r="AA1695" s="139"/>
      <c r="AB1695" s="139"/>
      <c r="AC1695" s="139"/>
      <c r="AD1695" s="139"/>
      <c r="AE1695" s="139"/>
      <c r="AF1695" s="139"/>
      <c r="AG1695" s="139"/>
      <c r="AH1695" s="139"/>
      <c r="AI1695" s="139"/>
    </row>
    <row r="1696" spans="23:35">
      <c r="W1696" s="139"/>
      <c r="X1696" s="139"/>
      <c r="Y1696" s="139"/>
      <c r="Z1696" s="139"/>
      <c r="AA1696" s="139"/>
      <c r="AB1696" s="139"/>
      <c r="AC1696" s="139"/>
      <c r="AD1696" s="139"/>
      <c r="AE1696" s="139"/>
      <c r="AF1696" s="139"/>
      <c r="AG1696" s="139"/>
      <c r="AH1696" s="139"/>
      <c r="AI1696" s="139"/>
    </row>
    <row r="1697" spans="23:35">
      <c r="W1697" s="139"/>
      <c r="X1697" s="139"/>
      <c r="Y1697" s="139"/>
      <c r="Z1697" s="139"/>
      <c r="AA1697" s="139"/>
      <c r="AB1697" s="139"/>
      <c r="AC1697" s="139"/>
      <c r="AD1697" s="139"/>
      <c r="AE1697" s="139"/>
      <c r="AF1697" s="139"/>
      <c r="AG1697" s="139"/>
      <c r="AH1697" s="139"/>
      <c r="AI1697" s="139"/>
    </row>
    <row r="1698" spans="23:35">
      <c r="W1698" s="139"/>
      <c r="X1698" s="139"/>
      <c r="Y1698" s="139"/>
      <c r="Z1698" s="139"/>
      <c r="AA1698" s="139"/>
      <c r="AB1698" s="139"/>
      <c r="AC1698" s="139"/>
      <c r="AD1698" s="139"/>
      <c r="AE1698" s="139"/>
      <c r="AF1698" s="139"/>
      <c r="AG1698" s="139"/>
      <c r="AH1698" s="139"/>
      <c r="AI1698" s="139"/>
    </row>
    <row r="1699" spans="23:35">
      <c r="W1699" s="139"/>
      <c r="X1699" s="139"/>
      <c r="Y1699" s="139"/>
      <c r="Z1699" s="139"/>
      <c r="AA1699" s="139"/>
      <c r="AB1699" s="139"/>
      <c r="AC1699" s="139"/>
      <c r="AD1699" s="139"/>
      <c r="AE1699" s="139"/>
      <c r="AF1699" s="139"/>
      <c r="AG1699" s="139"/>
      <c r="AH1699" s="139"/>
      <c r="AI1699" s="139"/>
    </row>
    <row r="1700" spans="23:35">
      <c r="W1700" s="139"/>
      <c r="X1700" s="139"/>
      <c r="Y1700" s="139"/>
      <c r="Z1700" s="139"/>
      <c r="AA1700" s="139"/>
      <c r="AB1700" s="139"/>
      <c r="AC1700" s="139"/>
      <c r="AD1700" s="139"/>
      <c r="AE1700" s="139"/>
      <c r="AF1700" s="139"/>
      <c r="AG1700" s="139"/>
      <c r="AH1700" s="139"/>
      <c r="AI1700" s="139"/>
    </row>
    <row r="1701" spans="23:35">
      <c r="W1701" s="139"/>
      <c r="X1701" s="139"/>
      <c r="Y1701" s="139"/>
      <c r="Z1701" s="139"/>
      <c r="AA1701" s="139"/>
      <c r="AB1701" s="139"/>
      <c r="AC1701" s="139"/>
      <c r="AD1701" s="139"/>
      <c r="AE1701" s="139"/>
      <c r="AF1701" s="139"/>
      <c r="AG1701" s="139"/>
      <c r="AH1701" s="139"/>
      <c r="AI1701" s="139"/>
    </row>
    <row r="1702" spans="23:35">
      <c r="W1702" s="139"/>
      <c r="X1702" s="139"/>
      <c r="Y1702" s="139"/>
      <c r="Z1702" s="139"/>
      <c r="AA1702" s="139"/>
      <c r="AB1702" s="139"/>
      <c r="AC1702" s="139"/>
      <c r="AD1702" s="139"/>
      <c r="AE1702" s="139"/>
      <c r="AF1702" s="139"/>
      <c r="AG1702" s="139"/>
      <c r="AH1702" s="139"/>
      <c r="AI1702" s="139"/>
    </row>
    <row r="1703" spans="23:35">
      <c r="W1703" s="139"/>
      <c r="X1703" s="139"/>
      <c r="Y1703" s="139"/>
      <c r="Z1703" s="139"/>
      <c r="AA1703" s="139"/>
      <c r="AB1703" s="139"/>
      <c r="AC1703" s="139"/>
      <c r="AD1703" s="139"/>
      <c r="AE1703" s="139"/>
      <c r="AF1703" s="139"/>
      <c r="AG1703" s="139"/>
      <c r="AH1703" s="139"/>
      <c r="AI1703" s="139"/>
    </row>
    <row r="1704" spans="23:35">
      <c r="W1704" s="139"/>
      <c r="X1704" s="139"/>
      <c r="Y1704" s="139"/>
      <c r="Z1704" s="139"/>
      <c r="AA1704" s="139"/>
      <c r="AB1704" s="139"/>
      <c r="AC1704" s="139"/>
      <c r="AD1704" s="139"/>
      <c r="AE1704" s="139"/>
      <c r="AF1704" s="139"/>
      <c r="AG1704" s="139"/>
      <c r="AH1704" s="139"/>
      <c r="AI1704" s="139"/>
    </row>
    <row r="1705" spans="23:35">
      <c r="W1705" s="139"/>
      <c r="X1705" s="139"/>
      <c r="Y1705" s="139"/>
      <c r="Z1705" s="139"/>
      <c r="AA1705" s="139"/>
      <c r="AB1705" s="139"/>
      <c r="AC1705" s="139"/>
      <c r="AD1705" s="139"/>
      <c r="AE1705" s="139"/>
      <c r="AF1705" s="139"/>
      <c r="AG1705" s="139"/>
      <c r="AH1705" s="139"/>
      <c r="AI1705" s="139"/>
    </row>
    <row r="1706" spans="23:35">
      <c r="W1706" s="139"/>
      <c r="X1706" s="139"/>
      <c r="Y1706" s="139"/>
      <c r="Z1706" s="139"/>
      <c r="AA1706" s="139"/>
      <c r="AB1706" s="139"/>
      <c r="AC1706" s="139"/>
      <c r="AD1706" s="139"/>
      <c r="AE1706" s="139"/>
      <c r="AF1706" s="139"/>
      <c r="AG1706" s="139"/>
      <c r="AH1706" s="139"/>
      <c r="AI1706" s="139"/>
    </row>
    <row r="1707" spans="23:35">
      <c r="W1707" s="139"/>
      <c r="X1707" s="139"/>
      <c r="Y1707" s="139"/>
      <c r="Z1707" s="139"/>
      <c r="AA1707" s="139"/>
      <c r="AB1707" s="139"/>
      <c r="AC1707" s="139"/>
      <c r="AD1707" s="139"/>
      <c r="AE1707" s="139"/>
      <c r="AF1707" s="139"/>
      <c r="AG1707" s="139"/>
      <c r="AH1707" s="139"/>
      <c r="AI1707" s="139"/>
    </row>
    <row r="1708" spans="23:35">
      <c r="W1708" s="139"/>
      <c r="X1708" s="139"/>
      <c r="Y1708" s="139"/>
      <c r="Z1708" s="139"/>
      <c r="AA1708" s="139"/>
      <c r="AB1708" s="139"/>
      <c r="AC1708" s="139"/>
      <c r="AD1708" s="139"/>
      <c r="AE1708" s="139"/>
      <c r="AF1708" s="139"/>
      <c r="AG1708" s="139"/>
      <c r="AH1708" s="139"/>
      <c r="AI1708" s="139"/>
    </row>
    <row r="1709" spans="23:35">
      <c r="W1709" s="139"/>
      <c r="X1709" s="139"/>
      <c r="Y1709" s="139"/>
      <c r="Z1709" s="139"/>
      <c r="AA1709" s="139"/>
      <c r="AB1709" s="139"/>
      <c r="AC1709" s="139"/>
      <c r="AD1709" s="139"/>
      <c r="AE1709" s="139"/>
      <c r="AF1709" s="139"/>
      <c r="AG1709" s="139"/>
      <c r="AH1709" s="139"/>
      <c r="AI1709" s="139"/>
    </row>
    <row r="1710" spans="23:35">
      <c r="W1710" s="139"/>
      <c r="X1710" s="139"/>
      <c r="Y1710" s="139"/>
      <c r="Z1710" s="139"/>
      <c r="AA1710" s="139"/>
      <c r="AB1710" s="139"/>
      <c r="AC1710" s="139"/>
      <c r="AD1710" s="139"/>
      <c r="AE1710" s="139"/>
      <c r="AF1710" s="139"/>
      <c r="AG1710" s="139"/>
      <c r="AH1710" s="139"/>
      <c r="AI1710" s="139"/>
    </row>
    <row r="1711" spans="23:35">
      <c r="W1711" s="139"/>
      <c r="X1711" s="139"/>
      <c r="Y1711" s="139"/>
      <c r="Z1711" s="139"/>
      <c r="AA1711" s="139"/>
      <c r="AB1711" s="139"/>
      <c r="AC1711" s="139"/>
      <c r="AD1711" s="139"/>
      <c r="AE1711" s="139"/>
      <c r="AF1711" s="139"/>
      <c r="AG1711" s="139"/>
      <c r="AH1711" s="139"/>
      <c r="AI1711" s="139"/>
    </row>
    <row r="1712" spans="23:35">
      <c r="W1712" s="139"/>
      <c r="X1712" s="139"/>
      <c r="Y1712" s="139"/>
      <c r="Z1712" s="139"/>
      <c r="AA1712" s="139"/>
      <c r="AB1712" s="139"/>
      <c r="AC1712" s="139"/>
      <c r="AD1712" s="139"/>
      <c r="AE1712" s="139"/>
      <c r="AF1712" s="139"/>
      <c r="AG1712" s="139"/>
      <c r="AH1712" s="139"/>
      <c r="AI1712" s="139"/>
    </row>
    <row r="1713" spans="23:35">
      <c r="W1713" s="139"/>
      <c r="X1713" s="139"/>
      <c r="Y1713" s="139"/>
      <c r="Z1713" s="139"/>
      <c r="AA1713" s="139"/>
      <c r="AB1713" s="139"/>
      <c r="AC1713" s="139"/>
      <c r="AD1713" s="139"/>
      <c r="AE1713" s="139"/>
      <c r="AF1713" s="139"/>
      <c r="AG1713" s="139"/>
      <c r="AH1713" s="139"/>
      <c r="AI1713" s="139"/>
    </row>
    <row r="1714" spans="23:35">
      <c r="W1714" s="139"/>
      <c r="X1714" s="139"/>
      <c r="Y1714" s="139"/>
      <c r="Z1714" s="139"/>
      <c r="AA1714" s="139"/>
      <c r="AB1714" s="139"/>
      <c r="AC1714" s="139"/>
      <c r="AD1714" s="139"/>
      <c r="AE1714" s="139"/>
      <c r="AF1714" s="139"/>
      <c r="AG1714" s="139"/>
      <c r="AH1714" s="139"/>
      <c r="AI1714" s="139"/>
    </row>
    <row r="1715" spans="23:35">
      <c r="W1715" s="139"/>
      <c r="X1715" s="139"/>
      <c r="Y1715" s="139"/>
      <c r="Z1715" s="139"/>
      <c r="AA1715" s="139"/>
      <c r="AB1715" s="139"/>
      <c r="AC1715" s="139"/>
      <c r="AD1715" s="139"/>
      <c r="AE1715" s="139"/>
      <c r="AF1715" s="139"/>
      <c r="AG1715" s="139"/>
      <c r="AH1715" s="139"/>
      <c r="AI1715" s="139"/>
    </row>
    <row r="1716" spans="23:35">
      <c r="W1716" s="139"/>
      <c r="X1716" s="139"/>
      <c r="Y1716" s="139"/>
      <c r="Z1716" s="139"/>
      <c r="AA1716" s="139"/>
      <c r="AB1716" s="139"/>
      <c r="AC1716" s="139"/>
      <c r="AD1716" s="139"/>
      <c r="AE1716" s="139"/>
      <c r="AF1716" s="139"/>
      <c r="AG1716" s="139"/>
      <c r="AH1716" s="139"/>
      <c r="AI1716" s="139"/>
    </row>
    <row r="1717" spans="23:35">
      <c r="W1717" s="139"/>
      <c r="X1717" s="139"/>
      <c r="Y1717" s="139"/>
      <c r="Z1717" s="139"/>
      <c r="AA1717" s="139"/>
      <c r="AB1717" s="139"/>
      <c r="AC1717" s="139"/>
      <c r="AD1717" s="139"/>
      <c r="AE1717" s="139"/>
      <c r="AF1717" s="139"/>
      <c r="AG1717" s="139"/>
      <c r="AH1717" s="139"/>
      <c r="AI1717" s="139"/>
    </row>
    <row r="1718" spans="23:35">
      <c r="W1718" s="139"/>
      <c r="X1718" s="139"/>
      <c r="Y1718" s="139"/>
      <c r="Z1718" s="139"/>
      <c r="AA1718" s="139"/>
      <c r="AB1718" s="139"/>
      <c r="AC1718" s="139"/>
      <c r="AD1718" s="139"/>
      <c r="AE1718" s="139"/>
      <c r="AF1718" s="139"/>
      <c r="AG1718" s="139"/>
      <c r="AH1718" s="139"/>
      <c r="AI1718" s="139"/>
    </row>
    <row r="1719" spans="23:35">
      <c r="W1719" s="139"/>
      <c r="X1719" s="139"/>
      <c r="Y1719" s="139"/>
      <c r="Z1719" s="139"/>
      <c r="AA1719" s="139"/>
      <c r="AB1719" s="139"/>
      <c r="AC1719" s="139"/>
      <c r="AD1719" s="139"/>
      <c r="AE1719" s="139"/>
      <c r="AF1719" s="139"/>
      <c r="AG1719" s="139"/>
      <c r="AH1719" s="139"/>
      <c r="AI1719" s="139"/>
    </row>
    <row r="1720" spans="23:35">
      <c r="W1720" s="139"/>
      <c r="X1720" s="139"/>
      <c r="Y1720" s="139"/>
      <c r="Z1720" s="139"/>
      <c r="AA1720" s="139"/>
      <c r="AB1720" s="139"/>
      <c r="AC1720" s="139"/>
      <c r="AD1720" s="139"/>
      <c r="AE1720" s="139"/>
      <c r="AF1720" s="139"/>
      <c r="AG1720" s="139"/>
      <c r="AH1720" s="139"/>
      <c r="AI1720" s="139"/>
    </row>
    <row r="1721" spans="23:35">
      <c r="W1721" s="139"/>
      <c r="X1721" s="139"/>
      <c r="Y1721" s="139"/>
      <c r="Z1721" s="139"/>
      <c r="AA1721" s="139"/>
      <c r="AB1721" s="139"/>
      <c r="AC1721" s="139"/>
      <c r="AD1721" s="139"/>
      <c r="AE1721" s="139"/>
      <c r="AF1721" s="139"/>
      <c r="AG1721" s="139"/>
      <c r="AH1721" s="139"/>
      <c r="AI1721" s="139"/>
    </row>
    <row r="1722" spans="23:35">
      <c r="W1722" s="139"/>
      <c r="X1722" s="139"/>
      <c r="Y1722" s="139"/>
      <c r="Z1722" s="139"/>
      <c r="AA1722" s="139"/>
      <c r="AB1722" s="139"/>
      <c r="AC1722" s="139"/>
      <c r="AD1722" s="139"/>
      <c r="AE1722" s="139"/>
      <c r="AF1722" s="139"/>
      <c r="AG1722" s="139"/>
      <c r="AH1722" s="139"/>
      <c r="AI1722" s="139"/>
    </row>
    <row r="1723" spans="23:35">
      <c r="W1723" s="139"/>
      <c r="X1723" s="139"/>
      <c r="Y1723" s="139"/>
      <c r="Z1723" s="139"/>
      <c r="AA1723" s="139"/>
      <c r="AB1723" s="139"/>
      <c r="AC1723" s="139"/>
      <c r="AD1723" s="139"/>
      <c r="AE1723" s="139"/>
      <c r="AF1723" s="139"/>
      <c r="AG1723" s="139"/>
      <c r="AH1723" s="139"/>
      <c r="AI1723" s="139"/>
    </row>
    <row r="1724" spans="23:35">
      <c r="W1724" s="139"/>
      <c r="X1724" s="139"/>
      <c r="Y1724" s="139"/>
      <c r="Z1724" s="139"/>
      <c r="AA1724" s="139"/>
      <c r="AB1724" s="139"/>
      <c r="AC1724" s="139"/>
      <c r="AD1724" s="139"/>
      <c r="AE1724" s="139"/>
      <c r="AF1724" s="139"/>
      <c r="AG1724" s="139"/>
      <c r="AH1724" s="139"/>
      <c r="AI1724" s="139"/>
    </row>
    <row r="1725" spans="23:35">
      <c r="W1725" s="139"/>
      <c r="X1725" s="139"/>
      <c r="Y1725" s="139"/>
      <c r="Z1725" s="139"/>
      <c r="AA1725" s="139"/>
      <c r="AB1725" s="139"/>
      <c r="AC1725" s="139"/>
      <c r="AD1725" s="139"/>
      <c r="AE1725" s="139"/>
      <c r="AF1725" s="139"/>
      <c r="AG1725" s="139"/>
      <c r="AH1725" s="139"/>
      <c r="AI1725" s="139"/>
    </row>
    <row r="1726" spans="23:35">
      <c r="W1726" s="139"/>
      <c r="X1726" s="139"/>
      <c r="Y1726" s="139"/>
      <c r="Z1726" s="139"/>
      <c r="AA1726" s="139"/>
      <c r="AB1726" s="139"/>
      <c r="AC1726" s="139"/>
      <c r="AD1726" s="139"/>
      <c r="AE1726" s="139"/>
      <c r="AF1726" s="139"/>
      <c r="AG1726" s="139"/>
      <c r="AH1726" s="139"/>
      <c r="AI1726" s="139"/>
    </row>
    <row r="1727" spans="23:35">
      <c r="W1727" s="139"/>
      <c r="X1727" s="139"/>
      <c r="Y1727" s="139"/>
      <c r="Z1727" s="139"/>
      <c r="AA1727" s="139"/>
      <c r="AB1727" s="139"/>
      <c r="AC1727" s="139"/>
      <c r="AD1727" s="139"/>
      <c r="AE1727" s="139"/>
      <c r="AF1727" s="139"/>
      <c r="AG1727" s="139"/>
      <c r="AH1727" s="139"/>
      <c r="AI1727" s="139"/>
    </row>
    <row r="1728" spans="23:35">
      <c r="W1728" s="139"/>
      <c r="X1728" s="139"/>
      <c r="Y1728" s="139"/>
      <c r="Z1728" s="139"/>
      <c r="AA1728" s="139"/>
      <c r="AB1728" s="139"/>
      <c r="AC1728" s="139"/>
      <c r="AD1728" s="139"/>
      <c r="AE1728" s="139"/>
      <c r="AF1728" s="139"/>
      <c r="AG1728" s="139"/>
      <c r="AH1728" s="139"/>
      <c r="AI1728" s="139"/>
    </row>
    <row r="1729" spans="23:35">
      <c r="W1729" s="139"/>
      <c r="X1729" s="139"/>
      <c r="Y1729" s="139"/>
      <c r="Z1729" s="139"/>
      <c r="AA1729" s="139"/>
      <c r="AB1729" s="139"/>
      <c r="AC1729" s="139"/>
      <c r="AD1729" s="139"/>
      <c r="AE1729" s="139"/>
      <c r="AF1729" s="139"/>
      <c r="AG1729" s="139"/>
      <c r="AH1729" s="139"/>
      <c r="AI1729" s="139"/>
    </row>
    <row r="1730" spans="23:35">
      <c r="W1730" s="139"/>
      <c r="X1730" s="139"/>
      <c r="Y1730" s="139"/>
      <c r="Z1730" s="139"/>
      <c r="AA1730" s="139"/>
      <c r="AB1730" s="139"/>
      <c r="AC1730" s="139"/>
      <c r="AD1730" s="139"/>
      <c r="AE1730" s="139"/>
      <c r="AF1730" s="139"/>
      <c r="AG1730" s="139"/>
      <c r="AH1730" s="139"/>
      <c r="AI1730" s="139"/>
    </row>
    <row r="1731" spans="23:35">
      <c r="W1731" s="139"/>
      <c r="X1731" s="139"/>
      <c r="Y1731" s="139"/>
      <c r="Z1731" s="139"/>
      <c r="AA1731" s="139"/>
      <c r="AB1731" s="139"/>
      <c r="AC1731" s="139"/>
      <c r="AD1731" s="139"/>
      <c r="AE1731" s="139"/>
      <c r="AF1731" s="139"/>
      <c r="AG1731" s="139"/>
      <c r="AH1731" s="139"/>
      <c r="AI1731" s="139"/>
    </row>
    <row r="1732" spans="23:35">
      <c r="W1732" s="139"/>
      <c r="X1732" s="139"/>
      <c r="Y1732" s="139"/>
      <c r="Z1732" s="139"/>
      <c r="AA1732" s="139"/>
      <c r="AB1732" s="139"/>
      <c r="AC1732" s="139"/>
      <c r="AD1732" s="139"/>
      <c r="AE1732" s="139"/>
      <c r="AF1732" s="139"/>
      <c r="AG1732" s="139"/>
      <c r="AH1732" s="139"/>
      <c r="AI1732" s="139"/>
    </row>
    <row r="1733" spans="23:35">
      <c r="W1733" s="139"/>
      <c r="X1733" s="139"/>
      <c r="Y1733" s="139"/>
      <c r="Z1733" s="139"/>
      <c r="AA1733" s="139"/>
      <c r="AB1733" s="139"/>
      <c r="AC1733" s="139"/>
      <c r="AD1733" s="139"/>
      <c r="AE1733" s="139"/>
      <c r="AF1733" s="139"/>
      <c r="AG1733" s="139"/>
      <c r="AH1733" s="139"/>
      <c r="AI1733" s="139"/>
    </row>
    <row r="1734" spans="23:35">
      <c r="W1734" s="139"/>
      <c r="X1734" s="139"/>
      <c r="Y1734" s="139"/>
      <c r="Z1734" s="139"/>
      <c r="AA1734" s="139"/>
      <c r="AB1734" s="139"/>
      <c r="AC1734" s="139"/>
      <c r="AD1734" s="139"/>
      <c r="AE1734" s="139"/>
      <c r="AF1734" s="139"/>
      <c r="AG1734" s="139"/>
      <c r="AH1734" s="139"/>
      <c r="AI1734" s="139"/>
    </row>
    <row r="1735" spans="23:35">
      <c r="W1735" s="139"/>
      <c r="X1735" s="139"/>
      <c r="Y1735" s="139"/>
      <c r="Z1735" s="139"/>
      <c r="AA1735" s="139"/>
      <c r="AB1735" s="139"/>
      <c r="AC1735" s="139"/>
      <c r="AD1735" s="139"/>
      <c r="AE1735" s="139"/>
      <c r="AF1735" s="139"/>
      <c r="AG1735" s="139"/>
      <c r="AH1735" s="139"/>
      <c r="AI1735" s="139"/>
    </row>
    <row r="1736" spans="23:35">
      <c r="W1736" s="139"/>
      <c r="X1736" s="139"/>
      <c r="Y1736" s="139"/>
      <c r="Z1736" s="139"/>
      <c r="AA1736" s="139"/>
      <c r="AB1736" s="139"/>
      <c r="AC1736" s="139"/>
      <c r="AD1736" s="139"/>
      <c r="AE1736" s="139"/>
      <c r="AF1736" s="139"/>
      <c r="AG1736" s="139"/>
      <c r="AH1736" s="139"/>
      <c r="AI1736" s="139"/>
    </row>
    <row r="1737" spans="23:35">
      <c r="W1737" s="139"/>
      <c r="X1737" s="139"/>
      <c r="Y1737" s="139"/>
      <c r="Z1737" s="139"/>
      <c r="AA1737" s="139"/>
      <c r="AB1737" s="139"/>
      <c r="AC1737" s="139"/>
      <c r="AD1737" s="139"/>
      <c r="AE1737" s="139"/>
      <c r="AF1737" s="139"/>
      <c r="AG1737" s="139"/>
      <c r="AH1737" s="139"/>
      <c r="AI1737" s="139"/>
    </row>
    <row r="1738" spans="23:35">
      <c r="W1738" s="139"/>
      <c r="X1738" s="139"/>
      <c r="Y1738" s="139"/>
      <c r="Z1738" s="139"/>
      <c r="AA1738" s="139"/>
      <c r="AB1738" s="139"/>
      <c r="AC1738" s="139"/>
      <c r="AD1738" s="139"/>
      <c r="AE1738" s="139"/>
      <c r="AF1738" s="139"/>
      <c r="AG1738" s="139"/>
      <c r="AH1738" s="139"/>
      <c r="AI1738" s="139"/>
    </row>
    <row r="1739" spans="23:35">
      <c r="W1739" s="139"/>
      <c r="X1739" s="139"/>
      <c r="Y1739" s="139"/>
      <c r="Z1739" s="139"/>
      <c r="AA1739" s="139"/>
      <c r="AB1739" s="139"/>
      <c r="AC1739" s="139"/>
      <c r="AD1739" s="139"/>
      <c r="AE1739" s="139"/>
      <c r="AF1739" s="139"/>
      <c r="AG1739" s="139"/>
      <c r="AH1739" s="139"/>
      <c r="AI1739" s="139"/>
    </row>
    <row r="1740" spans="23:35">
      <c r="W1740" s="139"/>
      <c r="X1740" s="139"/>
      <c r="Y1740" s="139"/>
      <c r="Z1740" s="139"/>
      <c r="AA1740" s="139"/>
      <c r="AB1740" s="139"/>
      <c r="AC1740" s="139"/>
      <c r="AD1740" s="139"/>
      <c r="AE1740" s="139"/>
      <c r="AF1740" s="139"/>
      <c r="AG1740" s="139"/>
      <c r="AH1740" s="139"/>
      <c r="AI1740" s="139"/>
    </row>
    <row r="1741" spans="23:35">
      <c r="W1741" s="139"/>
      <c r="X1741" s="139"/>
      <c r="Y1741" s="139"/>
      <c r="Z1741" s="139"/>
      <c r="AA1741" s="139"/>
      <c r="AB1741" s="139"/>
      <c r="AC1741" s="139"/>
      <c r="AD1741" s="139"/>
      <c r="AE1741" s="139"/>
      <c r="AF1741" s="139"/>
      <c r="AG1741" s="139"/>
      <c r="AH1741" s="139"/>
      <c r="AI1741" s="139"/>
    </row>
    <row r="1742" spans="23:35">
      <c r="W1742" s="139"/>
      <c r="X1742" s="139"/>
      <c r="Y1742" s="139"/>
      <c r="Z1742" s="139"/>
      <c r="AA1742" s="139"/>
      <c r="AB1742" s="139"/>
      <c r="AC1742" s="139"/>
      <c r="AD1742" s="139"/>
      <c r="AE1742" s="139"/>
      <c r="AF1742" s="139"/>
      <c r="AG1742" s="139"/>
      <c r="AH1742" s="139"/>
      <c r="AI1742" s="139"/>
    </row>
    <row r="1743" spans="23:35">
      <c r="W1743" s="139"/>
      <c r="X1743" s="139"/>
      <c r="Y1743" s="139"/>
      <c r="Z1743" s="139"/>
      <c r="AA1743" s="139"/>
      <c r="AB1743" s="139"/>
      <c r="AC1743" s="139"/>
      <c r="AD1743" s="139"/>
      <c r="AE1743" s="139"/>
      <c r="AF1743" s="139"/>
      <c r="AG1743" s="139"/>
      <c r="AH1743" s="139"/>
      <c r="AI1743" s="139"/>
    </row>
    <row r="1744" spans="23:35">
      <c r="W1744" s="139"/>
      <c r="X1744" s="139"/>
      <c r="Y1744" s="139"/>
      <c r="Z1744" s="139"/>
      <c r="AA1744" s="139"/>
      <c r="AB1744" s="139"/>
      <c r="AC1744" s="139"/>
      <c r="AD1744" s="139"/>
      <c r="AE1744" s="139"/>
      <c r="AF1744" s="139"/>
      <c r="AG1744" s="139"/>
      <c r="AH1744" s="139"/>
      <c r="AI1744" s="139"/>
    </row>
    <row r="1745" spans="23:35">
      <c r="W1745" s="139"/>
      <c r="X1745" s="139"/>
      <c r="Y1745" s="139"/>
      <c r="Z1745" s="139"/>
      <c r="AA1745" s="139"/>
      <c r="AB1745" s="139"/>
      <c r="AC1745" s="139"/>
      <c r="AD1745" s="139"/>
      <c r="AE1745" s="139"/>
      <c r="AF1745" s="139"/>
      <c r="AG1745" s="139"/>
      <c r="AH1745" s="139"/>
      <c r="AI1745" s="139"/>
    </row>
    <row r="1746" spans="23:35">
      <c r="W1746" s="139"/>
      <c r="X1746" s="139"/>
      <c r="Y1746" s="139"/>
      <c r="Z1746" s="139"/>
      <c r="AA1746" s="139"/>
      <c r="AB1746" s="139"/>
      <c r="AC1746" s="139"/>
      <c r="AD1746" s="139"/>
      <c r="AE1746" s="139"/>
      <c r="AF1746" s="139"/>
      <c r="AG1746" s="139"/>
      <c r="AH1746" s="139"/>
      <c r="AI1746" s="139"/>
    </row>
    <row r="1747" spans="23:35">
      <c r="W1747" s="139"/>
      <c r="X1747" s="139"/>
      <c r="Y1747" s="139"/>
      <c r="Z1747" s="139"/>
      <c r="AA1747" s="139"/>
      <c r="AB1747" s="139"/>
      <c r="AC1747" s="139"/>
      <c r="AD1747" s="139"/>
      <c r="AE1747" s="139"/>
      <c r="AF1747" s="139"/>
      <c r="AG1747" s="139"/>
      <c r="AH1747" s="139"/>
      <c r="AI1747" s="139"/>
    </row>
    <row r="1748" spans="23:35">
      <c r="W1748" s="139"/>
      <c r="X1748" s="139"/>
      <c r="Y1748" s="139"/>
      <c r="Z1748" s="139"/>
      <c r="AA1748" s="139"/>
      <c r="AB1748" s="139"/>
      <c r="AC1748" s="139"/>
      <c r="AD1748" s="139"/>
      <c r="AE1748" s="139"/>
      <c r="AF1748" s="139"/>
      <c r="AG1748" s="139"/>
      <c r="AH1748" s="139"/>
      <c r="AI1748" s="139"/>
    </row>
    <row r="1749" spans="23:35">
      <c r="W1749" s="139"/>
      <c r="X1749" s="139"/>
      <c r="Y1749" s="139"/>
      <c r="Z1749" s="139"/>
      <c r="AA1749" s="139"/>
      <c r="AB1749" s="139"/>
      <c r="AC1749" s="139"/>
      <c r="AD1749" s="139"/>
      <c r="AE1749" s="139"/>
      <c r="AF1749" s="139"/>
      <c r="AG1749" s="139"/>
      <c r="AH1749" s="139"/>
      <c r="AI1749" s="139"/>
    </row>
    <row r="1750" spans="23:35">
      <c r="W1750" s="139"/>
      <c r="X1750" s="139"/>
      <c r="Y1750" s="139"/>
      <c r="Z1750" s="139"/>
      <c r="AA1750" s="139"/>
      <c r="AB1750" s="139"/>
      <c r="AC1750" s="139"/>
      <c r="AD1750" s="139"/>
      <c r="AE1750" s="139"/>
      <c r="AF1750" s="139"/>
      <c r="AG1750" s="139"/>
      <c r="AH1750" s="139"/>
      <c r="AI1750" s="139"/>
    </row>
    <row r="1751" spans="23:35">
      <c r="W1751" s="139"/>
      <c r="X1751" s="139"/>
      <c r="Y1751" s="139"/>
      <c r="Z1751" s="139"/>
      <c r="AA1751" s="139"/>
      <c r="AB1751" s="139"/>
      <c r="AC1751" s="139"/>
      <c r="AD1751" s="139"/>
      <c r="AE1751" s="139"/>
      <c r="AF1751" s="139"/>
      <c r="AG1751" s="139"/>
      <c r="AH1751" s="139"/>
      <c r="AI1751" s="139"/>
    </row>
    <row r="1752" spans="23:35">
      <c r="W1752" s="139"/>
      <c r="X1752" s="139"/>
      <c r="Y1752" s="139"/>
      <c r="Z1752" s="139"/>
      <c r="AA1752" s="139"/>
      <c r="AB1752" s="139"/>
      <c r="AC1752" s="139"/>
      <c r="AD1752" s="139"/>
      <c r="AE1752" s="139"/>
      <c r="AF1752" s="139"/>
      <c r="AG1752" s="139"/>
      <c r="AH1752" s="139"/>
      <c r="AI1752" s="139"/>
    </row>
    <row r="1753" spans="23:35">
      <c r="W1753" s="139"/>
      <c r="X1753" s="139"/>
      <c r="Y1753" s="139"/>
      <c r="Z1753" s="139"/>
      <c r="AA1753" s="139"/>
      <c r="AB1753" s="139"/>
      <c r="AC1753" s="139"/>
      <c r="AD1753" s="139"/>
      <c r="AE1753" s="139"/>
      <c r="AF1753" s="139"/>
      <c r="AG1753" s="139"/>
      <c r="AH1753" s="139"/>
      <c r="AI1753" s="139"/>
    </row>
    <row r="1754" spans="23:35">
      <c r="W1754" s="139"/>
      <c r="X1754" s="139"/>
      <c r="Y1754" s="139"/>
      <c r="Z1754" s="139"/>
      <c r="AA1754" s="139"/>
      <c r="AB1754" s="139"/>
      <c r="AC1754" s="139"/>
      <c r="AD1754" s="139"/>
      <c r="AE1754" s="139"/>
      <c r="AF1754" s="139"/>
      <c r="AG1754" s="139"/>
      <c r="AH1754" s="139"/>
      <c r="AI1754" s="139"/>
    </row>
    <row r="1755" spans="23:35">
      <c r="W1755" s="139"/>
      <c r="X1755" s="139"/>
      <c r="Y1755" s="139"/>
      <c r="Z1755" s="139"/>
      <c r="AA1755" s="139"/>
      <c r="AB1755" s="139"/>
      <c r="AC1755" s="139"/>
      <c r="AD1755" s="139"/>
      <c r="AE1755" s="139"/>
      <c r="AF1755" s="139"/>
      <c r="AG1755" s="139"/>
      <c r="AH1755" s="139"/>
      <c r="AI1755" s="139"/>
    </row>
    <row r="1756" spans="23:35">
      <c r="W1756" s="139"/>
      <c r="X1756" s="139"/>
      <c r="Y1756" s="139"/>
      <c r="Z1756" s="139"/>
      <c r="AA1756" s="139"/>
      <c r="AB1756" s="139"/>
      <c r="AC1756" s="139"/>
      <c r="AD1756" s="139"/>
      <c r="AE1756" s="139"/>
      <c r="AF1756" s="139"/>
      <c r="AG1756" s="139"/>
      <c r="AH1756" s="139"/>
      <c r="AI1756" s="139"/>
    </row>
    <row r="1757" spans="23:35">
      <c r="W1757" s="139"/>
      <c r="X1757" s="139"/>
      <c r="Y1757" s="139"/>
      <c r="Z1757" s="139"/>
      <c r="AA1757" s="139"/>
      <c r="AB1757" s="139"/>
      <c r="AC1757" s="139"/>
      <c r="AD1757" s="139"/>
      <c r="AE1757" s="139"/>
      <c r="AF1757" s="139"/>
      <c r="AG1757" s="139"/>
      <c r="AH1757" s="139"/>
      <c r="AI1757" s="139"/>
    </row>
    <row r="1758" spans="23:35">
      <c r="W1758" s="139"/>
      <c r="X1758" s="139"/>
      <c r="Y1758" s="139"/>
      <c r="Z1758" s="139"/>
      <c r="AA1758" s="139"/>
      <c r="AB1758" s="139"/>
      <c r="AC1758" s="139"/>
      <c r="AD1758" s="139"/>
      <c r="AE1758" s="139"/>
      <c r="AF1758" s="139"/>
      <c r="AG1758" s="139"/>
      <c r="AH1758" s="139"/>
      <c r="AI1758" s="139"/>
    </row>
    <row r="1759" spans="23:35">
      <c r="W1759" s="139"/>
      <c r="X1759" s="139"/>
      <c r="Y1759" s="139"/>
      <c r="Z1759" s="139"/>
      <c r="AA1759" s="139"/>
      <c r="AB1759" s="139"/>
      <c r="AC1759" s="139"/>
      <c r="AD1759" s="139"/>
      <c r="AE1759" s="139"/>
      <c r="AF1759" s="139"/>
      <c r="AG1759" s="139"/>
      <c r="AH1759" s="139"/>
      <c r="AI1759" s="139"/>
    </row>
    <row r="1760" spans="23:35">
      <c r="W1760" s="139"/>
      <c r="X1760" s="139"/>
      <c r="Y1760" s="139"/>
      <c r="Z1760" s="139"/>
      <c r="AA1760" s="139"/>
      <c r="AB1760" s="139"/>
      <c r="AC1760" s="139"/>
      <c r="AD1760" s="139"/>
      <c r="AE1760" s="139"/>
      <c r="AF1760" s="139"/>
      <c r="AG1760" s="139"/>
      <c r="AH1760" s="139"/>
      <c r="AI1760" s="139"/>
    </row>
    <row r="1761" spans="23:35">
      <c r="W1761" s="139"/>
      <c r="X1761" s="139"/>
      <c r="Y1761" s="139"/>
      <c r="Z1761" s="139"/>
      <c r="AA1761" s="139"/>
      <c r="AB1761" s="139"/>
      <c r="AC1761" s="139"/>
      <c r="AD1761" s="139"/>
      <c r="AE1761" s="139"/>
      <c r="AF1761" s="139"/>
      <c r="AG1761" s="139"/>
      <c r="AH1761" s="139"/>
      <c r="AI1761" s="139"/>
    </row>
    <row r="1762" spans="23:35">
      <c r="W1762" s="139"/>
      <c r="X1762" s="139"/>
      <c r="Y1762" s="139"/>
      <c r="Z1762" s="139"/>
      <c r="AA1762" s="139"/>
      <c r="AB1762" s="139"/>
      <c r="AC1762" s="139"/>
      <c r="AD1762" s="139"/>
      <c r="AE1762" s="139"/>
      <c r="AF1762" s="139"/>
      <c r="AG1762" s="139"/>
      <c r="AH1762" s="139"/>
      <c r="AI1762" s="139"/>
    </row>
    <row r="1763" spans="23:35">
      <c r="W1763" s="139"/>
      <c r="X1763" s="139"/>
      <c r="Y1763" s="139"/>
      <c r="Z1763" s="139"/>
      <c r="AA1763" s="139"/>
      <c r="AB1763" s="139"/>
      <c r="AC1763" s="139"/>
      <c r="AD1763" s="139"/>
      <c r="AE1763" s="139"/>
      <c r="AF1763" s="139"/>
      <c r="AG1763" s="139"/>
      <c r="AH1763" s="139"/>
      <c r="AI1763" s="139"/>
    </row>
    <row r="1764" spans="23:35">
      <c r="W1764" s="139"/>
      <c r="X1764" s="139"/>
      <c r="Y1764" s="139"/>
      <c r="Z1764" s="139"/>
      <c r="AA1764" s="139"/>
      <c r="AB1764" s="139"/>
      <c r="AC1764" s="139"/>
      <c r="AD1764" s="139"/>
      <c r="AE1764" s="139"/>
      <c r="AF1764" s="139"/>
      <c r="AG1764" s="139"/>
      <c r="AH1764" s="139"/>
      <c r="AI1764" s="139"/>
    </row>
    <row r="1765" spans="23:35">
      <c r="W1765" s="139"/>
      <c r="X1765" s="139"/>
      <c r="Y1765" s="139"/>
      <c r="Z1765" s="139"/>
      <c r="AA1765" s="139"/>
      <c r="AB1765" s="139"/>
      <c r="AC1765" s="139"/>
      <c r="AD1765" s="139"/>
      <c r="AE1765" s="139"/>
      <c r="AF1765" s="139"/>
      <c r="AG1765" s="139"/>
      <c r="AH1765" s="139"/>
      <c r="AI1765" s="139"/>
    </row>
    <row r="1766" spans="23:35">
      <c r="W1766" s="139"/>
      <c r="X1766" s="139"/>
      <c r="Y1766" s="139"/>
      <c r="Z1766" s="139"/>
      <c r="AA1766" s="139"/>
      <c r="AB1766" s="139"/>
      <c r="AC1766" s="139"/>
      <c r="AD1766" s="139"/>
      <c r="AE1766" s="139"/>
      <c r="AF1766" s="139"/>
      <c r="AG1766" s="139"/>
      <c r="AH1766" s="139"/>
      <c r="AI1766" s="139"/>
    </row>
    <row r="1767" spans="23:35">
      <c r="W1767" s="139"/>
      <c r="X1767" s="139"/>
      <c r="Y1767" s="139"/>
      <c r="Z1767" s="139"/>
      <c r="AA1767" s="139"/>
      <c r="AB1767" s="139"/>
      <c r="AC1767" s="139"/>
      <c r="AD1767" s="139"/>
      <c r="AE1767" s="139"/>
      <c r="AF1767" s="139"/>
      <c r="AG1767" s="139"/>
      <c r="AH1767" s="139"/>
      <c r="AI1767" s="139"/>
    </row>
    <row r="1768" spans="23:35">
      <c r="W1768" s="139"/>
      <c r="X1768" s="139"/>
      <c r="Y1768" s="139"/>
      <c r="Z1768" s="139"/>
      <c r="AA1768" s="139"/>
      <c r="AB1768" s="139"/>
      <c r="AC1768" s="139"/>
      <c r="AD1768" s="139"/>
      <c r="AE1768" s="139"/>
      <c r="AF1768" s="139"/>
      <c r="AG1768" s="139"/>
      <c r="AH1768" s="139"/>
      <c r="AI1768" s="139"/>
    </row>
    <row r="1769" spans="23:35">
      <c r="W1769" s="139"/>
      <c r="X1769" s="139"/>
      <c r="Y1769" s="139"/>
      <c r="Z1769" s="139"/>
      <c r="AA1769" s="139"/>
      <c r="AB1769" s="139"/>
      <c r="AC1769" s="139"/>
      <c r="AD1769" s="139"/>
      <c r="AE1769" s="139"/>
      <c r="AF1769" s="139"/>
      <c r="AG1769" s="139"/>
      <c r="AH1769" s="139"/>
      <c r="AI1769" s="139"/>
    </row>
    <row r="1770" spans="23:35">
      <c r="W1770" s="139"/>
      <c r="X1770" s="139"/>
      <c r="Y1770" s="139"/>
      <c r="Z1770" s="139"/>
      <c r="AA1770" s="139"/>
      <c r="AB1770" s="139"/>
      <c r="AC1770" s="139"/>
      <c r="AD1770" s="139"/>
      <c r="AE1770" s="139"/>
      <c r="AF1770" s="139"/>
      <c r="AG1770" s="139"/>
      <c r="AH1770" s="139"/>
      <c r="AI1770" s="139"/>
    </row>
    <row r="1771" spans="23:35">
      <c r="W1771" s="139"/>
      <c r="X1771" s="139"/>
      <c r="Y1771" s="139"/>
      <c r="Z1771" s="139"/>
      <c r="AA1771" s="139"/>
      <c r="AB1771" s="139"/>
      <c r="AC1771" s="139"/>
      <c r="AD1771" s="139"/>
      <c r="AE1771" s="139"/>
      <c r="AF1771" s="139"/>
      <c r="AG1771" s="139"/>
      <c r="AH1771" s="139"/>
      <c r="AI1771" s="139"/>
    </row>
    <row r="1772" spans="23:35">
      <c r="W1772" s="139"/>
      <c r="X1772" s="139"/>
      <c r="Y1772" s="139"/>
      <c r="Z1772" s="139"/>
      <c r="AA1772" s="139"/>
      <c r="AB1772" s="139"/>
      <c r="AC1772" s="139"/>
      <c r="AD1772" s="139"/>
      <c r="AE1772" s="139"/>
      <c r="AF1772" s="139"/>
      <c r="AG1772" s="139"/>
      <c r="AH1772" s="139"/>
      <c r="AI1772" s="139"/>
    </row>
    <row r="1773" spans="23:35">
      <c r="W1773" s="139"/>
      <c r="X1773" s="139"/>
      <c r="Y1773" s="139"/>
      <c r="Z1773" s="139"/>
      <c r="AA1773" s="139"/>
      <c r="AB1773" s="139"/>
      <c r="AC1773" s="139"/>
      <c r="AD1773" s="139"/>
      <c r="AE1773" s="139"/>
      <c r="AF1773" s="139"/>
      <c r="AG1773" s="139"/>
      <c r="AH1773" s="139"/>
      <c r="AI1773" s="139"/>
    </row>
    <row r="1774" spans="23:35">
      <c r="W1774" s="139"/>
      <c r="X1774" s="139"/>
      <c r="Y1774" s="139"/>
      <c r="Z1774" s="139"/>
      <c r="AA1774" s="139"/>
      <c r="AB1774" s="139"/>
      <c r="AC1774" s="139"/>
      <c r="AD1774" s="139"/>
      <c r="AE1774" s="139"/>
      <c r="AF1774" s="139"/>
      <c r="AG1774" s="139"/>
      <c r="AH1774" s="139"/>
      <c r="AI1774" s="139"/>
    </row>
    <row r="1775" spans="23:35">
      <c r="W1775" s="139"/>
      <c r="X1775" s="139"/>
      <c r="Y1775" s="139"/>
      <c r="Z1775" s="139"/>
      <c r="AA1775" s="139"/>
      <c r="AB1775" s="139"/>
      <c r="AC1775" s="139"/>
      <c r="AD1775" s="139"/>
      <c r="AE1775" s="139"/>
      <c r="AF1775" s="139"/>
      <c r="AG1775" s="139"/>
      <c r="AH1775" s="139"/>
      <c r="AI1775" s="139"/>
    </row>
    <row r="1776" spans="23:35">
      <c r="W1776" s="139"/>
      <c r="X1776" s="139"/>
      <c r="Y1776" s="139"/>
      <c r="Z1776" s="139"/>
      <c r="AA1776" s="139"/>
      <c r="AB1776" s="139"/>
      <c r="AC1776" s="139"/>
      <c r="AD1776" s="139"/>
      <c r="AE1776" s="139"/>
      <c r="AF1776" s="139"/>
      <c r="AG1776" s="139"/>
      <c r="AH1776" s="139"/>
      <c r="AI1776" s="139"/>
    </row>
    <row r="1777" spans="23:35">
      <c r="W1777" s="139"/>
      <c r="X1777" s="139"/>
      <c r="Y1777" s="139"/>
      <c r="Z1777" s="139"/>
      <c r="AA1777" s="139"/>
      <c r="AB1777" s="139"/>
      <c r="AC1777" s="139"/>
      <c r="AD1777" s="139"/>
      <c r="AE1777" s="139"/>
      <c r="AF1777" s="139"/>
      <c r="AG1777" s="139"/>
      <c r="AH1777" s="139"/>
      <c r="AI1777" s="139"/>
    </row>
    <row r="1778" spans="23:35">
      <c r="W1778" s="139"/>
      <c r="X1778" s="139"/>
      <c r="Y1778" s="139"/>
      <c r="Z1778" s="139"/>
      <c r="AA1778" s="139"/>
      <c r="AB1778" s="139"/>
      <c r="AC1778" s="139"/>
      <c r="AD1778" s="139"/>
      <c r="AE1778" s="139"/>
      <c r="AF1778" s="139"/>
      <c r="AG1778" s="139"/>
      <c r="AH1778" s="139"/>
      <c r="AI1778" s="139"/>
    </row>
    <row r="1779" spans="23:35">
      <c r="W1779" s="139"/>
      <c r="X1779" s="139"/>
      <c r="Y1779" s="139"/>
      <c r="Z1779" s="139"/>
      <c r="AA1779" s="139"/>
      <c r="AB1779" s="139"/>
      <c r="AC1779" s="139"/>
      <c r="AD1779" s="139"/>
      <c r="AE1779" s="139"/>
      <c r="AF1779" s="139"/>
      <c r="AG1779" s="139"/>
      <c r="AH1779" s="139"/>
      <c r="AI1779" s="139"/>
    </row>
    <row r="1780" spans="23:35">
      <c r="W1780" s="139"/>
      <c r="X1780" s="139"/>
      <c r="Y1780" s="139"/>
      <c r="Z1780" s="139"/>
      <c r="AA1780" s="139"/>
      <c r="AB1780" s="139"/>
      <c r="AC1780" s="139"/>
      <c r="AD1780" s="139"/>
      <c r="AE1780" s="139"/>
      <c r="AF1780" s="139"/>
      <c r="AG1780" s="139"/>
      <c r="AH1780" s="139"/>
      <c r="AI1780" s="139"/>
    </row>
    <row r="1781" spans="23:35">
      <c r="W1781" s="139"/>
      <c r="X1781" s="139"/>
      <c r="Y1781" s="139"/>
      <c r="Z1781" s="139"/>
      <c r="AA1781" s="139"/>
      <c r="AB1781" s="139"/>
      <c r="AC1781" s="139"/>
      <c r="AD1781" s="139"/>
      <c r="AE1781" s="139"/>
      <c r="AF1781" s="139"/>
      <c r="AG1781" s="139"/>
      <c r="AH1781" s="139"/>
      <c r="AI1781" s="139"/>
    </row>
    <row r="1782" spans="23:35">
      <c r="W1782" s="139"/>
      <c r="X1782" s="139"/>
      <c r="Y1782" s="139"/>
      <c r="Z1782" s="139"/>
      <c r="AA1782" s="139"/>
      <c r="AB1782" s="139"/>
      <c r="AC1782" s="139"/>
      <c r="AD1782" s="139"/>
      <c r="AE1782" s="139"/>
      <c r="AF1782" s="139"/>
      <c r="AG1782" s="139"/>
      <c r="AH1782" s="139"/>
      <c r="AI1782" s="139"/>
    </row>
    <row r="1783" spans="23:35">
      <c r="W1783" s="139"/>
      <c r="X1783" s="139"/>
      <c r="Y1783" s="139"/>
      <c r="Z1783" s="139"/>
      <c r="AA1783" s="139"/>
      <c r="AB1783" s="139"/>
      <c r="AC1783" s="139"/>
      <c r="AD1783" s="139"/>
      <c r="AE1783" s="139"/>
      <c r="AF1783" s="139"/>
      <c r="AG1783" s="139"/>
      <c r="AH1783" s="139"/>
      <c r="AI1783" s="139"/>
    </row>
    <row r="1784" spans="23:35">
      <c r="W1784" s="139"/>
      <c r="X1784" s="139"/>
      <c r="Y1784" s="139"/>
      <c r="Z1784" s="139"/>
      <c r="AA1784" s="139"/>
      <c r="AB1784" s="139"/>
      <c r="AC1784" s="139"/>
      <c r="AD1784" s="139"/>
      <c r="AE1784" s="139"/>
      <c r="AF1784" s="139"/>
      <c r="AG1784" s="139"/>
      <c r="AH1784" s="139"/>
      <c r="AI1784" s="139"/>
    </row>
    <row r="1785" spans="23:35">
      <c r="W1785" s="139"/>
      <c r="X1785" s="139"/>
      <c r="Y1785" s="139"/>
      <c r="Z1785" s="139"/>
      <c r="AA1785" s="139"/>
      <c r="AB1785" s="139"/>
      <c r="AC1785" s="139"/>
      <c r="AD1785" s="139"/>
      <c r="AE1785" s="139"/>
      <c r="AF1785" s="139"/>
      <c r="AG1785" s="139"/>
      <c r="AH1785" s="139"/>
      <c r="AI1785" s="139"/>
    </row>
    <row r="1786" spans="23:35">
      <c r="W1786" s="139"/>
      <c r="X1786" s="139"/>
      <c r="Y1786" s="139"/>
      <c r="Z1786" s="139"/>
      <c r="AA1786" s="139"/>
      <c r="AB1786" s="139"/>
      <c r="AC1786" s="139"/>
      <c r="AD1786" s="139"/>
      <c r="AE1786" s="139"/>
      <c r="AF1786" s="139"/>
      <c r="AG1786" s="139"/>
      <c r="AH1786" s="139"/>
      <c r="AI1786" s="139"/>
    </row>
    <row r="1787" spans="23:35">
      <c r="W1787" s="139"/>
      <c r="X1787" s="139"/>
      <c r="Y1787" s="139"/>
      <c r="Z1787" s="139"/>
      <c r="AA1787" s="139"/>
      <c r="AB1787" s="139"/>
      <c r="AC1787" s="139"/>
      <c r="AD1787" s="139"/>
      <c r="AE1787" s="139"/>
      <c r="AF1787" s="139"/>
      <c r="AG1787" s="139"/>
      <c r="AH1787" s="139"/>
      <c r="AI1787" s="139"/>
    </row>
    <row r="1788" spans="23:35">
      <c r="W1788" s="139"/>
      <c r="X1788" s="139"/>
      <c r="Y1788" s="139"/>
      <c r="Z1788" s="139"/>
      <c r="AA1788" s="139"/>
      <c r="AB1788" s="139"/>
      <c r="AC1788" s="139"/>
      <c r="AD1788" s="139"/>
      <c r="AE1788" s="139"/>
      <c r="AF1788" s="139"/>
      <c r="AG1788" s="139"/>
      <c r="AH1788" s="139"/>
      <c r="AI1788" s="139"/>
    </row>
    <row r="1789" spans="23:35">
      <c r="W1789" s="139"/>
      <c r="X1789" s="139"/>
      <c r="Y1789" s="139"/>
      <c r="Z1789" s="139"/>
      <c r="AA1789" s="139"/>
      <c r="AB1789" s="139"/>
      <c r="AC1789" s="139"/>
      <c r="AD1789" s="139"/>
      <c r="AE1789" s="139"/>
      <c r="AF1789" s="139"/>
      <c r="AG1789" s="139"/>
      <c r="AH1789" s="139"/>
      <c r="AI1789" s="139"/>
    </row>
    <row r="1790" spans="23:35">
      <c r="W1790" s="139"/>
      <c r="X1790" s="139"/>
      <c r="Y1790" s="139"/>
      <c r="Z1790" s="139"/>
      <c r="AA1790" s="139"/>
      <c r="AB1790" s="139"/>
      <c r="AC1790" s="139"/>
      <c r="AD1790" s="139"/>
      <c r="AE1790" s="139"/>
      <c r="AF1790" s="139"/>
      <c r="AG1790" s="139"/>
      <c r="AH1790" s="139"/>
      <c r="AI1790" s="139"/>
    </row>
    <row r="1791" spans="23:35">
      <c r="W1791" s="139"/>
      <c r="X1791" s="139"/>
      <c r="Y1791" s="139"/>
      <c r="Z1791" s="139"/>
      <c r="AA1791" s="139"/>
      <c r="AB1791" s="139"/>
      <c r="AC1791" s="139"/>
      <c r="AD1791" s="139"/>
      <c r="AE1791" s="139"/>
      <c r="AF1791" s="139"/>
      <c r="AG1791" s="139"/>
      <c r="AH1791" s="139"/>
      <c r="AI1791" s="139"/>
    </row>
    <row r="1792" spans="23:35">
      <c r="W1792" s="139"/>
      <c r="X1792" s="139"/>
      <c r="Y1792" s="139"/>
      <c r="Z1792" s="139"/>
      <c r="AA1792" s="139"/>
      <c r="AB1792" s="139"/>
      <c r="AC1792" s="139"/>
      <c r="AD1792" s="139"/>
      <c r="AE1792" s="139"/>
      <c r="AF1792" s="139"/>
      <c r="AG1792" s="139"/>
      <c r="AH1792" s="139"/>
      <c r="AI1792" s="139"/>
    </row>
    <row r="1793" spans="23:35">
      <c r="W1793" s="139"/>
      <c r="X1793" s="139"/>
      <c r="Y1793" s="139"/>
      <c r="Z1793" s="139"/>
      <c r="AA1793" s="139"/>
      <c r="AB1793" s="139"/>
      <c r="AC1793" s="139"/>
      <c r="AD1793" s="139"/>
      <c r="AE1793" s="139"/>
      <c r="AF1793" s="139"/>
      <c r="AG1793" s="139"/>
      <c r="AH1793" s="139"/>
      <c r="AI1793" s="139"/>
    </row>
    <row r="1794" spans="23:35">
      <c r="W1794" s="139"/>
      <c r="X1794" s="139"/>
      <c r="Y1794" s="139"/>
      <c r="Z1794" s="139"/>
      <c r="AA1794" s="139"/>
      <c r="AB1794" s="139"/>
      <c r="AC1794" s="139"/>
      <c r="AD1794" s="139"/>
      <c r="AE1794" s="139"/>
      <c r="AF1794" s="139"/>
      <c r="AG1794" s="139"/>
      <c r="AH1794" s="139"/>
      <c r="AI1794" s="139"/>
    </row>
    <row r="1795" spans="23:35">
      <c r="W1795" s="139"/>
      <c r="X1795" s="139"/>
      <c r="Y1795" s="139"/>
      <c r="Z1795" s="139"/>
      <c r="AA1795" s="139"/>
      <c r="AB1795" s="139"/>
      <c r="AC1795" s="139"/>
      <c r="AD1795" s="139"/>
      <c r="AE1795" s="139"/>
      <c r="AF1795" s="139"/>
      <c r="AG1795" s="139"/>
      <c r="AH1795" s="139"/>
      <c r="AI1795" s="139"/>
    </row>
    <row r="1796" spans="23:35">
      <c r="W1796" s="139"/>
      <c r="X1796" s="139"/>
      <c r="Y1796" s="139"/>
      <c r="Z1796" s="139"/>
      <c r="AA1796" s="139"/>
      <c r="AB1796" s="139"/>
      <c r="AC1796" s="139"/>
      <c r="AD1796" s="139"/>
      <c r="AE1796" s="139"/>
      <c r="AF1796" s="139"/>
      <c r="AG1796" s="139"/>
      <c r="AH1796" s="139"/>
      <c r="AI1796" s="139"/>
    </row>
    <row r="1797" spans="23:35">
      <c r="W1797" s="139"/>
      <c r="X1797" s="139"/>
      <c r="Y1797" s="139"/>
      <c r="Z1797" s="139"/>
      <c r="AA1797" s="139"/>
      <c r="AB1797" s="139"/>
      <c r="AC1797" s="139"/>
      <c r="AD1797" s="139"/>
      <c r="AE1797" s="139"/>
      <c r="AF1797" s="139"/>
      <c r="AG1797" s="139"/>
      <c r="AH1797" s="139"/>
      <c r="AI1797" s="139"/>
    </row>
    <row r="1798" spans="23:35">
      <c r="W1798" s="139"/>
      <c r="X1798" s="139"/>
      <c r="Y1798" s="139"/>
      <c r="Z1798" s="139"/>
      <c r="AA1798" s="139"/>
      <c r="AB1798" s="139"/>
      <c r="AC1798" s="139"/>
      <c r="AD1798" s="139"/>
      <c r="AE1798" s="139"/>
      <c r="AF1798" s="139"/>
      <c r="AG1798" s="139"/>
      <c r="AH1798" s="139"/>
      <c r="AI1798" s="139"/>
    </row>
    <row r="1799" spans="23:35">
      <c r="W1799" s="139"/>
      <c r="X1799" s="139"/>
      <c r="Y1799" s="139"/>
      <c r="Z1799" s="139"/>
      <c r="AA1799" s="139"/>
      <c r="AB1799" s="139"/>
      <c r="AC1799" s="139"/>
      <c r="AD1799" s="139"/>
      <c r="AE1799" s="139"/>
      <c r="AF1799" s="139"/>
      <c r="AG1799" s="139"/>
      <c r="AH1799" s="139"/>
      <c r="AI1799" s="139"/>
    </row>
    <row r="1800" spans="23:35">
      <c r="W1800" s="139"/>
      <c r="X1800" s="139"/>
      <c r="Y1800" s="139"/>
      <c r="Z1800" s="139"/>
      <c r="AA1800" s="139"/>
      <c r="AB1800" s="139"/>
      <c r="AC1800" s="139"/>
      <c r="AD1800" s="139"/>
      <c r="AE1800" s="139"/>
      <c r="AF1800" s="139"/>
      <c r="AG1800" s="139"/>
      <c r="AH1800" s="139"/>
      <c r="AI1800" s="139"/>
    </row>
    <row r="1801" spans="23:35">
      <c r="W1801" s="139"/>
      <c r="X1801" s="139"/>
      <c r="Y1801" s="139"/>
      <c r="Z1801" s="139"/>
      <c r="AA1801" s="139"/>
      <c r="AB1801" s="139"/>
      <c r="AC1801" s="139"/>
      <c r="AD1801" s="139"/>
      <c r="AE1801" s="139"/>
      <c r="AF1801" s="139"/>
      <c r="AG1801" s="139"/>
      <c r="AH1801" s="139"/>
      <c r="AI1801" s="139"/>
    </row>
    <row r="1802" spans="23:35">
      <c r="W1802" s="139"/>
      <c r="X1802" s="139"/>
      <c r="Y1802" s="139"/>
      <c r="Z1802" s="139"/>
      <c r="AA1802" s="139"/>
      <c r="AB1802" s="139"/>
      <c r="AC1802" s="139"/>
      <c r="AD1802" s="139"/>
      <c r="AE1802" s="139"/>
      <c r="AF1802" s="139"/>
      <c r="AG1802" s="139"/>
      <c r="AH1802" s="139"/>
      <c r="AI1802" s="139"/>
    </row>
    <row r="1803" spans="23:35">
      <c r="W1803" s="139"/>
      <c r="X1803" s="139"/>
      <c r="Y1803" s="139"/>
      <c r="Z1803" s="139"/>
      <c r="AA1803" s="139"/>
      <c r="AB1803" s="139"/>
      <c r="AC1803" s="139"/>
      <c r="AD1803" s="139"/>
      <c r="AE1803" s="139"/>
      <c r="AF1803" s="139"/>
      <c r="AG1803" s="139"/>
      <c r="AH1803" s="139"/>
      <c r="AI1803" s="139"/>
    </row>
    <row r="1804" spans="23:35">
      <c r="W1804" s="139"/>
      <c r="X1804" s="139"/>
      <c r="Y1804" s="139"/>
      <c r="Z1804" s="139"/>
      <c r="AA1804" s="139"/>
      <c r="AB1804" s="139"/>
      <c r="AC1804" s="139"/>
      <c r="AD1804" s="139"/>
      <c r="AE1804" s="139"/>
      <c r="AF1804" s="139"/>
      <c r="AG1804" s="139"/>
      <c r="AH1804" s="139"/>
      <c r="AI1804" s="139"/>
    </row>
    <row r="1805" spans="23:35">
      <c r="W1805" s="139"/>
      <c r="X1805" s="139"/>
      <c r="Y1805" s="139"/>
      <c r="Z1805" s="139"/>
      <c r="AA1805" s="139"/>
      <c r="AB1805" s="139"/>
      <c r="AC1805" s="139"/>
      <c r="AD1805" s="139"/>
      <c r="AE1805" s="139"/>
      <c r="AF1805" s="139"/>
      <c r="AG1805" s="139"/>
      <c r="AH1805" s="139"/>
      <c r="AI1805" s="139"/>
    </row>
    <row r="1806" spans="23:35">
      <c r="W1806" s="139"/>
      <c r="X1806" s="139"/>
      <c r="Y1806" s="139"/>
      <c r="Z1806" s="139"/>
      <c r="AA1806" s="139"/>
      <c r="AB1806" s="139"/>
      <c r="AC1806" s="139"/>
      <c r="AD1806" s="139"/>
      <c r="AE1806" s="139"/>
      <c r="AF1806" s="139"/>
      <c r="AG1806" s="139"/>
      <c r="AH1806" s="139"/>
      <c r="AI1806" s="139"/>
    </row>
    <row r="1807" spans="23:35">
      <c r="W1807" s="139"/>
      <c r="X1807" s="139"/>
      <c r="Y1807" s="139"/>
      <c r="Z1807" s="139"/>
      <c r="AA1807" s="139"/>
      <c r="AB1807" s="139"/>
      <c r="AC1807" s="139"/>
      <c r="AD1807" s="139"/>
      <c r="AE1807" s="139"/>
      <c r="AF1807" s="139"/>
      <c r="AG1807" s="139"/>
      <c r="AH1807" s="139"/>
      <c r="AI1807" s="139"/>
    </row>
    <row r="1808" spans="23:35">
      <c r="W1808" s="139"/>
      <c r="X1808" s="139"/>
      <c r="Y1808" s="139"/>
      <c r="Z1808" s="139"/>
      <c r="AA1808" s="139"/>
      <c r="AB1808" s="139"/>
      <c r="AC1808" s="139"/>
      <c r="AD1808" s="139"/>
      <c r="AE1808" s="139"/>
      <c r="AF1808" s="139"/>
      <c r="AG1808" s="139"/>
      <c r="AH1808" s="139"/>
      <c r="AI1808" s="139"/>
    </row>
    <row r="1809" spans="23:35">
      <c r="W1809" s="139"/>
      <c r="X1809" s="139"/>
      <c r="Y1809" s="139"/>
      <c r="Z1809" s="139"/>
      <c r="AA1809" s="139"/>
      <c r="AB1809" s="139"/>
      <c r="AC1809" s="139"/>
      <c r="AD1809" s="139"/>
      <c r="AE1809" s="139"/>
      <c r="AF1809" s="139"/>
      <c r="AG1809" s="139"/>
      <c r="AH1809" s="139"/>
      <c r="AI1809" s="139"/>
    </row>
    <row r="1810" spans="23:35">
      <c r="W1810" s="139"/>
      <c r="X1810" s="139"/>
      <c r="Y1810" s="139"/>
      <c r="Z1810" s="139"/>
      <c r="AA1810" s="139"/>
      <c r="AB1810" s="139"/>
      <c r="AC1810" s="139"/>
      <c r="AD1810" s="139"/>
      <c r="AE1810" s="139"/>
      <c r="AF1810" s="139"/>
      <c r="AG1810" s="139"/>
      <c r="AH1810" s="139"/>
      <c r="AI1810" s="139"/>
    </row>
    <row r="1811" spans="23:35">
      <c r="W1811" s="139"/>
      <c r="X1811" s="139"/>
      <c r="Y1811" s="139"/>
      <c r="Z1811" s="139"/>
      <c r="AA1811" s="139"/>
      <c r="AB1811" s="139"/>
      <c r="AC1811" s="139"/>
      <c r="AD1811" s="139"/>
      <c r="AE1811" s="139"/>
      <c r="AF1811" s="139"/>
      <c r="AG1811" s="139"/>
      <c r="AH1811" s="139"/>
      <c r="AI1811" s="139"/>
    </row>
    <row r="1812" spans="23:35">
      <c r="W1812" s="139"/>
      <c r="X1812" s="139"/>
      <c r="Y1812" s="139"/>
      <c r="Z1812" s="139"/>
      <c r="AA1812" s="139"/>
      <c r="AB1812" s="139"/>
      <c r="AC1812" s="139"/>
      <c r="AD1812" s="139"/>
      <c r="AE1812" s="139"/>
      <c r="AF1812" s="139"/>
      <c r="AG1812" s="139"/>
      <c r="AH1812" s="139"/>
      <c r="AI1812" s="139"/>
    </row>
    <row r="1813" spans="23:35">
      <c r="W1813" s="139"/>
      <c r="X1813" s="139"/>
      <c r="Y1813" s="139"/>
      <c r="Z1813" s="139"/>
      <c r="AA1813" s="139"/>
      <c r="AB1813" s="139"/>
      <c r="AC1813" s="139"/>
      <c r="AD1813" s="139"/>
      <c r="AE1813" s="139"/>
      <c r="AF1813" s="139"/>
      <c r="AG1813" s="139"/>
      <c r="AH1813" s="139"/>
      <c r="AI1813" s="139"/>
    </row>
    <row r="1814" spans="23:35">
      <c r="W1814" s="139"/>
      <c r="X1814" s="139"/>
      <c r="Y1814" s="139"/>
      <c r="Z1814" s="139"/>
      <c r="AA1814" s="139"/>
      <c r="AB1814" s="139"/>
      <c r="AC1814" s="139"/>
      <c r="AD1814" s="139"/>
      <c r="AE1814" s="139"/>
      <c r="AF1814" s="139"/>
      <c r="AG1814" s="139"/>
      <c r="AH1814" s="139"/>
      <c r="AI1814" s="139"/>
    </row>
    <row r="1815" spans="23:35">
      <c r="W1815" s="139"/>
      <c r="X1815" s="139"/>
      <c r="Y1815" s="139"/>
      <c r="Z1815" s="139"/>
      <c r="AA1815" s="139"/>
      <c r="AB1815" s="139"/>
      <c r="AC1815" s="139"/>
      <c r="AD1815" s="139"/>
      <c r="AE1815" s="139"/>
      <c r="AF1815" s="139"/>
      <c r="AG1815" s="139"/>
      <c r="AH1815" s="139"/>
      <c r="AI1815" s="139"/>
    </row>
    <row r="1816" spans="23:35">
      <c r="W1816" s="139"/>
      <c r="X1816" s="139"/>
      <c r="Y1816" s="139"/>
      <c r="Z1816" s="139"/>
      <c r="AA1816" s="139"/>
      <c r="AB1816" s="139"/>
      <c r="AC1816" s="139"/>
      <c r="AD1816" s="139"/>
      <c r="AE1816" s="139"/>
      <c r="AF1816" s="139"/>
      <c r="AG1816" s="139"/>
      <c r="AH1816" s="139"/>
      <c r="AI1816" s="139"/>
    </row>
    <row r="1817" spans="23:35">
      <c r="W1817" s="139"/>
      <c r="X1817" s="139"/>
      <c r="Y1817" s="139"/>
      <c r="Z1817" s="139"/>
      <c r="AA1817" s="139"/>
      <c r="AB1817" s="139"/>
      <c r="AC1817" s="139"/>
      <c r="AD1817" s="139"/>
      <c r="AE1817" s="139"/>
      <c r="AF1817" s="139"/>
      <c r="AG1817" s="139"/>
      <c r="AH1817" s="139"/>
      <c r="AI1817" s="139"/>
    </row>
    <row r="1818" spans="23:35">
      <c r="W1818" s="139"/>
      <c r="X1818" s="139"/>
      <c r="Y1818" s="139"/>
      <c r="Z1818" s="139"/>
      <c r="AA1818" s="139"/>
      <c r="AB1818" s="139"/>
      <c r="AC1818" s="139"/>
      <c r="AD1818" s="139"/>
      <c r="AE1818" s="139"/>
      <c r="AF1818" s="139"/>
      <c r="AG1818" s="139"/>
      <c r="AH1818" s="139"/>
      <c r="AI1818" s="139"/>
    </row>
    <row r="1819" spans="23:35">
      <c r="W1819" s="139"/>
      <c r="X1819" s="139"/>
      <c r="Y1819" s="139"/>
      <c r="Z1819" s="139"/>
      <c r="AA1819" s="139"/>
      <c r="AB1819" s="139"/>
      <c r="AC1819" s="139"/>
      <c r="AD1819" s="139"/>
      <c r="AE1819" s="139"/>
      <c r="AF1819" s="139"/>
      <c r="AG1819" s="139"/>
      <c r="AH1819" s="139"/>
      <c r="AI1819" s="139"/>
    </row>
    <row r="1820" spans="23:35">
      <c r="W1820" s="139"/>
      <c r="X1820" s="139"/>
      <c r="Y1820" s="139"/>
      <c r="Z1820" s="139"/>
      <c r="AA1820" s="139"/>
      <c r="AB1820" s="139"/>
      <c r="AC1820" s="139"/>
      <c r="AD1820" s="139"/>
      <c r="AE1820" s="139"/>
      <c r="AF1820" s="139"/>
      <c r="AG1820" s="139"/>
      <c r="AH1820" s="139"/>
      <c r="AI1820" s="139"/>
    </row>
    <row r="1821" spans="23:35">
      <c r="W1821" s="139"/>
      <c r="X1821" s="139"/>
      <c r="Y1821" s="139"/>
      <c r="Z1821" s="139"/>
      <c r="AA1821" s="139"/>
      <c r="AB1821" s="139"/>
      <c r="AC1821" s="139"/>
      <c r="AD1821" s="139"/>
      <c r="AE1821" s="139"/>
      <c r="AF1821" s="139"/>
      <c r="AG1821" s="139"/>
      <c r="AH1821" s="139"/>
      <c r="AI1821" s="139"/>
    </row>
    <row r="1822" spans="23:35">
      <c r="W1822" s="139"/>
      <c r="X1822" s="139"/>
      <c r="Y1822" s="139"/>
      <c r="Z1822" s="139"/>
      <c r="AA1822" s="139"/>
      <c r="AB1822" s="139"/>
      <c r="AC1822" s="139"/>
      <c r="AD1822" s="139"/>
      <c r="AE1822" s="139"/>
      <c r="AF1822" s="139"/>
      <c r="AG1822" s="139"/>
      <c r="AH1822" s="139"/>
      <c r="AI1822" s="139"/>
    </row>
    <row r="1823" spans="23:35">
      <c r="W1823" s="139"/>
      <c r="X1823" s="139"/>
      <c r="Y1823" s="139"/>
      <c r="Z1823" s="139"/>
      <c r="AA1823" s="139"/>
      <c r="AB1823" s="139"/>
      <c r="AC1823" s="139"/>
      <c r="AD1823" s="139"/>
      <c r="AE1823" s="139"/>
      <c r="AF1823" s="139"/>
      <c r="AG1823" s="139"/>
      <c r="AH1823" s="139"/>
      <c r="AI1823" s="139"/>
    </row>
    <row r="1824" spans="23:35">
      <c r="W1824" s="139"/>
      <c r="X1824" s="139"/>
      <c r="Y1824" s="139"/>
      <c r="Z1824" s="139"/>
      <c r="AA1824" s="139"/>
      <c r="AB1824" s="139"/>
      <c r="AC1824" s="139"/>
      <c r="AD1824" s="139"/>
      <c r="AE1824" s="139"/>
      <c r="AF1824" s="139"/>
      <c r="AG1824" s="139"/>
      <c r="AH1824" s="139"/>
      <c r="AI1824" s="139"/>
    </row>
    <row r="1825" spans="23:35">
      <c r="W1825" s="139"/>
      <c r="X1825" s="139"/>
      <c r="Y1825" s="139"/>
      <c r="Z1825" s="139"/>
      <c r="AA1825" s="139"/>
      <c r="AB1825" s="139"/>
      <c r="AC1825" s="139"/>
      <c r="AD1825" s="139"/>
      <c r="AE1825" s="139"/>
      <c r="AF1825" s="139"/>
      <c r="AG1825" s="139"/>
      <c r="AH1825" s="139"/>
      <c r="AI1825" s="139"/>
    </row>
    <row r="1826" spans="23:35">
      <c r="W1826" s="139"/>
      <c r="X1826" s="139"/>
      <c r="Y1826" s="139"/>
      <c r="Z1826" s="139"/>
      <c r="AA1826" s="139"/>
      <c r="AB1826" s="139"/>
      <c r="AC1826" s="139"/>
      <c r="AD1826" s="139"/>
      <c r="AE1826" s="139"/>
      <c r="AF1826" s="139"/>
      <c r="AG1826" s="139"/>
      <c r="AH1826" s="139"/>
      <c r="AI1826" s="139"/>
    </row>
    <row r="1827" spans="23:35">
      <c r="W1827" s="139"/>
      <c r="X1827" s="139"/>
      <c r="Y1827" s="139"/>
      <c r="Z1827" s="139"/>
      <c r="AA1827" s="139"/>
      <c r="AB1827" s="139"/>
      <c r="AC1827" s="139"/>
      <c r="AD1827" s="139"/>
      <c r="AE1827" s="139"/>
      <c r="AF1827" s="139"/>
      <c r="AG1827" s="139"/>
      <c r="AH1827" s="139"/>
      <c r="AI1827" s="139"/>
    </row>
    <row r="1828" spans="23:35">
      <c r="W1828" s="139"/>
      <c r="X1828" s="139"/>
      <c r="Y1828" s="139"/>
      <c r="Z1828" s="139"/>
      <c r="AA1828" s="139"/>
      <c r="AB1828" s="139"/>
      <c r="AC1828" s="139"/>
      <c r="AD1828" s="139"/>
      <c r="AE1828" s="139"/>
      <c r="AF1828" s="139"/>
      <c r="AG1828" s="139"/>
      <c r="AH1828" s="139"/>
      <c r="AI1828" s="139"/>
    </row>
    <row r="1829" spans="23:35">
      <c r="W1829" s="139"/>
      <c r="X1829" s="139"/>
      <c r="Y1829" s="139"/>
      <c r="Z1829" s="139"/>
      <c r="AA1829" s="139"/>
      <c r="AB1829" s="139"/>
      <c r="AC1829" s="139"/>
      <c r="AD1829" s="139"/>
      <c r="AE1829" s="139"/>
      <c r="AF1829" s="139"/>
      <c r="AG1829" s="139"/>
      <c r="AH1829" s="139"/>
      <c r="AI1829" s="139"/>
    </row>
    <row r="1830" spans="23:35">
      <c r="W1830" s="139"/>
      <c r="X1830" s="139"/>
      <c r="Y1830" s="139"/>
      <c r="Z1830" s="139"/>
      <c r="AA1830" s="139"/>
      <c r="AB1830" s="139"/>
      <c r="AC1830" s="139"/>
      <c r="AD1830" s="139"/>
      <c r="AE1830" s="139"/>
      <c r="AF1830" s="139"/>
      <c r="AG1830" s="139"/>
      <c r="AH1830" s="139"/>
      <c r="AI1830" s="139"/>
    </row>
    <row r="1831" spans="23:35">
      <c r="W1831" s="139"/>
      <c r="X1831" s="139"/>
      <c r="Y1831" s="139"/>
      <c r="Z1831" s="139"/>
      <c r="AA1831" s="139"/>
      <c r="AB1831" s="139"/>
      <c r="AC1831" s="139"/>
      <c r="AD1831" s="139"/>
      <c r="AE1831" s="139"/>
      <c r="AF1831" s="139"/>
      <c r="AG1831" s="139"/>
      <c r="AH1831" s="139"/>
      <c r="AI1831" s="139"/>
    </row>
    <row r="1832" spans="23:35">
      <c r="W1832" s="139"/>
      <c r="X1832" s="139"/>
      <c r="Y1832" s="139"/>
      <c r="Z1832" s="139"/>
      <c r="AA1832" s="139"/>
      <c r="AB1832" s="139"/>
      <c r="AC1832" s="139"/>
      <c r="AD1832" s="139"/>
      <c r="AE1832" s="139"/>
      <c r="AF1832" s="139"/>
      <c r="AG1832" s="139"/>
      <c r="AH1832" s="139"/>
      <c r="AI1832" s="139"/>
    </row>
    <row r="1833" spans="23:35">
      <c r="W1833" s="139"/>
      <c r="X1833" s="139"/>
      <c r="Y1833" s="139"/>
      <c r="Z1833" s="139"/>
      <c r="AA1833" s="139"/>
      <c r="AB1833" s="139"/>
      <c r="AC1833" s="139"/>
      <c r="AD1833" s="139"/>
      <c r="AE1833" s="139"/>
      <c r="AF1833" s="139"/>
      <c r="AG1833" s="139"/>
      <c r="AH1833" s="139"/>
      <c r="AI1833" s="139"/>
    </row>
    <row r="1834" spans="23:35">
      <c r="W1834" s="139"/>
      <c r="X1834" s="139"/>
      <c r="Y1834" s="139"/>
      <c r="Z1834" s="139"/>
      <c r="AA1834" s="139"/>
      <c r="AB1834" s="139"/>
      <c r="AC1834" s="139"/>
      <c r="AD1834" s="139"/>
      <c r="AE1834" s="139"/>
      <c r="AF1834" s="139"/>
      <c r="AG1834" s="139"/>
      <c r="AH1834" s="139"/>
      <c r="AI1834" s="139"/>
    </row>
    <row r="1835" spans="23:35">
      <c r="W1835" s="139"/>
      <c r="X1835" s="139"/>
      <c r="Y1835" s="139"/>
      <c r="Z1835" s="139"/>
      <c r="AA1835" s="139"/>
      <c r="AB1835" s="139"/>
      <c r="AC1835" s="139"/>
      <c r="AD1835" s="139"/>
      <c r="AE1835" s="139"/>
      <c r="AF1835" s="139"/>
      <c r="AG1835" s="139"/>
      <c r="AH1835" s="139"/>
      <c r="AI1835" s="139"/>
    </row>
    <row r="1836" spans="23:35">
      <c r="W1836" s="139"/>
      <c r="X1836" s="139"/>
      <c r="Y1836" s="139"/>
      <c r="Z1836" s="139"/>
      <c r="AA1836" s="139"/>
      <c r="AB1836" s="139"/>
      <c r="AC1836" s="139"/>
      <c r="AD1836" s="139"/>
      <c r="AE1836" s="139"/>
      <c r="AF1836" s="139"/>
      <c r="AG1836" s="139"/>
      <c r="AH1836" s="139"/>
      <c r="AI1836" s="139"/>
    </row>
    <row r="1837" spans="23:35">
      <c r="W1837" s="139"/>
      <c r="X1837" s="139"/>
      <c r="Y1837" s="139"/>
      <c r="Z1837" s="139"/>
      <c r="AA1837" s="139"/>
      <c r="AB1837" s="139"/>
      <c r="AC1837" s="139"/>
      <c r="AD1837" s="139"/>
      <c r="AE1837" s="139"/>
      <c r="AF1837" s="139"/>
      <c r="AG1837" s="139"/>
      <c r="AH1837" s="139"/>
      <c r="AI1837" s="139"/>
    </row>
    <row r="1838" spans="23:35">
      <c r="W1838" s="139"/>
      <c r="X1838" s="139"/>
      <c r="Y1838" s="139"/>
      <c r="Z1838" s="139"/>
      <c r="AA1838" s="139"/>
      <c r="AB1838" s="139"/>
      <c r="AC1838" s="139"/>
      <c r="AD1838" s="139"/>
      <c r="AE1838" s="139"/>
      <c r="AF1838" s="139"/>
      <c r="AG1838" s="139"/>
      <c r="AH1838" s="139"/>
      <c r="AI1838" s="139"/>
    </row>
    <row r="1839" spans="23:35">
      <c r="W1839" s="139"/>
      <c r="X1839" s="139"/>
      <c r="Y1839" s="139"/>
      <c r="Z1839" s="139"/>
      <c r="AA1839" s="139"/>
      <c r="AB1839" s="139"/>
      <c r="AC1839" s="139"/>
      <c r="AD1839" s="139"/>
      <c r="AE1839" s="139"/>
      <c r="AF1839" s="139"/>
      <c r="AG1839" s="139"/>
      <c r="AH1839" s="139"/>
      <c r="AI1839" s="139"/>
    </row>
    <row r="1840" spans="23:35">
      <c r="W1840" s="139"/>
      <c r="X1840" s="139"/>
      <c r="Y1840" s="139"/>
      <c r="Z1840" s="139"/>
      <c r="AA1840" s="139"/>
      <c r="AB1840" s="139"/>
      <c r="AC1840" s="139"/>
      <c r="AD1840" s="139"/>
      <c r="AE1840" s="139"/>
      <c r="AF1840" s="139"/>
      <c r="AG1840" s="139"/>
      <c r="AH1840" s="139"/>
      <c r="AI1840" s="139"/>
    </row>
    <row r="1841" spans="23:35">
      <c r="W1841" s="139"/>
      <c r="X1841" s="139"/>
      <c r="Y1841" s="139"/>
      <c r="Z1841" s="139"/>
      <c r="AA1841" s="139"/>
      <c r="AB1841" s="139"/>
      <c r="AC1841" s="139"/>
      <c r="AD1841" s="139"/>
      <c r="AE1841" s="139"/>
      <c r="AF1841" s="139"/>
      <c r="AG1841" s="139"/>
      <c r="AH1841" s="139"/>
      <c r="AI1841" s="139"/>
    </row>
    <row r="1842" spans="23:35">
      <c r="W1842" s="139"/>
      <c r="X1842" s="139"/>
      <c r="Y1842" s="139"/>
      <c r="Z1842" s="139"/>
      <c r="AA1842" s="139"/>
      <c r="AB1842" s="139"/>
      <c r="AC1842" s="139"/>
      <c r="AD1842" s="139"/>
      <c r="AE1842" s="139"/>
      <c r="AF1842" s="139"/>
      <c r="AG1842" s="139"/>
      <c r="AH1842" s="139"/>
      <c r="AI1842" s="139"/>
    </row>
    <row r="1843" spans="23:35">
      <c r="W1843" s="139"/>
      <c r="X1843" s="139"/>
      <c r="Y1843" s="139"/>
      <c r="Z1843" s="139"/>
      <c r="AA1843" s="139"/>
      <c r="AB1843" s="139"/>
      <c r="AC1843" s="139"/>
      <c r="AD1843" s="139"/>
      <c r="AE1843" s="139"/>
      <c r="AF1843" s="139"/>
      <c r="AG1843" s="139"/>
      <c r="AH1843" s="139"/>
      <c r="AI1843" s="139"/>
    </row>
    <row r="1844" spans="23:35">
      <c r="W1844" s="139"/>
      <c r="X1844" s="139"/>
      <c r="Y1844" s="139"/>
      <c r="Z1844" s="139"/>
      <c r="AA1844" s="139"/>
      <c r="AB1844" s="139"/>
      <c r="AC1844" s="139"/>
      <c r="AD1844" s="139"/>
      <c r="AE1844" s="139"/>
      <c r="AF1844" s="139"/>
      <c r="AG1844" s="139"/>
      <c r="AH1844" s="139"/>
      <c r="AI1844" s="139"/>
    </row>
    <row r="1845" spans="23:35">
      <c r="W1845" s="139"/>
      <c r="X1845" s="139"/>
      <c r="Y1845" s="139"/>
      <c r="Z1845" s="139"/>
      <c r="AA1845" s="139"/>
      <c r="AB1845" s="139"/>
      <c r="AC1845" s="139"/>
      <c r="AD1845" s="139"/>
      <c r="AE1845" s="139"/>
      <c r="AF1845" s="139"/>
      <c r="AG1845" s="139"/>
      <c r="AH1845" s="139"/>
      <c r="AI1845" s="139"/>
    </row>
    <row r="1846" spans="23:35">
      <c r="W1846" s="139"/>
      <c r="X1846" s="139"/>
      <c r="Y1846" s="139"/>
      <c r="Z1846" s="139"/>
      <c r="AA1846" s="139"/>
      <c r="AB1846" s="139"/>
      <c r="AC1846" s="139"/>
      <c r="AD1846" s="139"/>
      <c r="AE1846" s="139"/>
      <c r="AF1846" s="139"/>
      <c r="AG1846" s="139"/>
      <c r="AH1846" s="139"/>
      <c r="AI1846" s="139"/>
    </row>
    <row r="1847" spans="23:35">
      <c r="W1847" s="139"/>
      <c r="X1847" s="139"/>
      <c r="Y1847" s="139"/>
      <c r="Z1847" s="139"/>
      <c r="AA1847" s="139"/>
      <c r="AB1847" s="139"/>
      <c r="AC1847" s="139"/>
      <c r="AD1847" s="139"/>
      <c r="AE1847" s="139"/>
      <c r="AF1847" s="139"/>
      <c r="AG1847" s="139"/>
      <c r="AH1847" s="139"/>
      <c r="AI1847" s="139"/>
    </row>
    <row r="1848" spans="23:35">
      <c r="W1848" s="139"/>
      <c r="X1848" s="139"/>
      <c r="Y1848" s="139"/>
      <c r="Z1848" s="139"/>
      <c r="AA1848" s="139"/>
      <c r="AB1848" s="139"/>
      <c r="AC1848" s="139"/>
      <c r="AD1848" s="139"/>
      <c r="AE1848" s="139"/>
      <c r="AF1848" s="139"/>
      <c r="AG1848" s="139"/>
      <c r="AH1848" s="139"/>
      <c r="AI1848" s="139"/>
    </row>
    <row r="1849" spans="23:35">
      <c r="W1849" s="139"/>
      <c r="X1849" s="139"/>
      <c r="Y1849" s="139"/>
      <c r="Z1849" s="139"/>
      <c r="AA1849" s="139"/>
      <c r="AB1849" s="139"/>
      <c r="AC1849" s="139"/>
      <c r="AD1849" s="139"/>
      <c r="AE1849" s="139"/>
      <c r="AF1849" s="139"/>
      <c r="AG1849" s="139"/>
      <c r="AH1849" s="139"/>
      <c r="AI1849" s="139"/>
    </row>
    <row r="1850" spans="23:35">
      <c r="W1850" s="139"/>
      <c r="X1850" s="139"/>
      <c r="Y1850" s="139"/>
      <c r="Z1850" s="139"/>
      <c r="AA1850" s="139"/>
      <c r="AB1850" s="139"/>
      <c r="AC1850" s="139"/>
      <c r="AD1850" s="139"/>
      <c r="AE1850" s="139"/>
      <c r="AF1850" s="139"/>
      <c r="AG1850" s="139"/>
      <c r="AH1850" s="139"/>
      <c r="AI1850" s="139"/>
    </row>
    <row r="1851" spans="23:35">
      <c r="W1851" s="139"/>
      <c r="X1851" s="139"/>
      <c r="Y1851" s="139"/>
      <c r="Z1851" s="139"/>
      <c r="AA1851" s="139"/>
      <c r="AB1851" s="139"/>
      <c r="AC1851" s="139"/>
      <c r="AD1851" s="139"/>
      <c r="AE1851" s="139"/>
      <c r="AF1851" s="139"/>
      <c r="AG1851" s="139"/>
      <c r="AH1851" s="139"/>
      <c r="AI1851" s="139"/>
    </row>
    <row r="1852" spans="23:35">
      <c r="W1852" s="139"/>
      <c r="X1852" s="139"/>
      <c r="Y1852" s="139"/>
      <c r="Z1852" s="139"/>
      <c r="AA1852" s="139"/>
      <c r="AB1852" s="139"/>
      <c r="AC1852" s="139"/>
      <c r="AD1852" s="139"/>
      <c r="AE1852" s="139"/>
      <c r="AF1852" s="139"/>
      <c r="AG1852" s="139"/>
      <c r="AH1852" s="139"/>
      <c r="AI1852" s="139"/>
    </row>
    <row r="1853" spans="23:35">
      <c r="W1853" s="139"/>
      <c r="X1853" s="139"/>
      <c r="Y1853" s="139"/>
      <c r="Z1853" s="139"/>
      <c r="AA1853" s="139"/>
      <c r="AB1853" s="139"/>
      <c r="AC1853" s="139"/>
      <c r="AD1853" s="139"/>
      <c r="AE1853" s="139"/>
      <c r="AF1853" s="139"/>
      <c r="AG1853" s="139"/>
      <c r="AH1853" s="139"/>
      <c r="AI1853" s="139"/>
    </row>
    <row r="1854" spans="23:35">
      <c r="W1854" s="139"/>
      <c r="X1854" s="139"/>
      <c r="Y1854" s="139"/>
      <c r="Z1854" s="139"/>
      <c r="AA1854" s="139"/>
      <c r="AB1854" s="139"/>
      <c r="AC1854" s="139"/>
      <c r="AD1854" s="139"/>
      <c r="AE1854" s="139"/>
      <c r="AF1854" s="139"/>
      <c r="AG1854" s="139"/>
      <c r="AH1854" s="139"/>
      <c r="AI1854" s="139"/>
    </row>
    <row r="1855" spans="23:35">
      <c r="W1855" s="139"/>
      <c r="X1855" s="139"/>
      <c r="Y1855" s="139"/>
      <c r="Z1855" s="139"/>
      <c r="AA1855" s="139"/>
      <c r="AB1855" s="139"/>
      <c r="AC1855" s="139"/>
      <c r="AD1855" s="139"/>
      <c r="AE1855" s="139"/>
      <c r="AF1855" s="139"/>
      <c r="AG1855" s="139"/>
      <c r="AH1855" s="139"/>
      <c r="AI1855" s="139"/>
    </row>
    <row r="1856" spans="23:35">
      <c r="W1856" s="139"/>
      <c r="X1856" s="139"/>
      <c r="Y1856" s="139"/>
      <c r="Z1856" s="139"/>
      <c r="AA1856" s="139"/>
      <c r="AB1856" s="139"/>
      <c r="AC1856" s="139"/>
      <c r="AD1856" s="139"/>
      <c r="AE1856" s="139"/>
      <c r="AF1856" s="139"/>
      <c r="AG1856" s="139"/>
      <c r="AH1856" s="139"/>
      <c r="AI1856" s="139"/>
    </row>
    <row r="1857" spans="23:35">
      <c r="W1857" s="139"/>
      <c r="X1857" s="139"/>
      <c r="Y1857" s="139"/>
      <c r="Z1857" s="139"/>
      <c r="AA1857" s="139"/>
      <c r="AB1857" s="139"/>
      <c r="AC1857" s="139"/>
      <c r="AD1857" s="139"/>
      <c r="AE1857" s="139"/>
      <c r="AF1857" s="139"/>
      <c r="AG1857" s="139"/>
      <c r="AH1857" s="139"/>
      <c r="AI1857" s="139"/>
    </row>
    <row r="1858" spans="23:35">
      <c r="W1858" s="139"/>
      <c r="X1858" s="139"/>
      <c r="Y1858" s="139"/>
      <c r="Z1858" s="139"/>
      <c r="AA1858" s="139"/>
      <c r="AB1858" s="139"/>
      <c r="AC1858" s="139"/>
      <c r="AD1858" s="139"/>
      <c r="AE1858" s="139"/>
      <c r="AF1858" s="139"/>
      <c r="AG1858" s="139"/>
      <c r="AH1858" s="139"/>
      <c r="AI1858" s="139"/>
    </row>
    <row r="1859" spans="23:35">
      <c r="W1859" s="139"/>
      <c r="X1859" s="139"/>
      <c r="Y1859" s="139"/>
      <c r="Z1859" s="139"/>
      <c r="AA1859" s="139"/>
      <c r="AB1859" s="139"/>
      <c r="AC1859" s="139"/>
      <c r="AD1859" s="139"/>
      <c r="AE1859" s="139"/>
      <c r="AF1859" s="139"/>
      <c r="AG1859" s="139"/>
      <c r="AH1859" s="139"/>
      <c r="AI1859" s="139"/>
    </row>
    <row r="1860" spans="23:35">
      <c r="W1860" s="139"/>
      <c r="X1860" s="139"/>
      <c r="Y1860" s="139"/>
      <c r="Z1860" s="139"/>
      <c r="AA1860" s="139"/>
      <c r="AB1860" s="139"/>
      <c r="AC1860" s="139"/>
      <c r="AD1860" s="139"/>
      <c r="AE1860" s="139"/>
      <c r="AF1860" s="139"/>
      <c r="AG1860" s="139"/>
      <c r="AH1860" s="139"/>
      <c r="AI1860" s="139"/>
    </row>
    <row r="1861" spans="23:35">
      <c r="W1861" s="139"/>
      <c r="X1861" s="139"/>
      <c r="Y1861" s="139"/>
      <c r="Z1861" s="139"/>
      <c r="AA1861" s="139"/>
      <c r="AB1861" s="139"/>
      <c r="AC1861" s="139"/>
      <c r="AD1861" s="139"/>
      <c r="AE1861" s="139"/>
      <c r="AF1861" s="139"/>
      <c r="AG1861" s="139"/>
      <c r="AH1861" s="139"/>
      <c r="AI1861" s="139"/>
    </row>
    <row r="1862" spans="23:35">
      <c r="W1862" s="139"/>
      <c r="X1862" s="139"/>
      <c r="Y1862" s="139"/>
      <c r="Z1862" s="139"/>
      <c r="AA1862" s="139"/>
      <c r="AB1862" s="139"/>
      <c r="AC1862" s="139"/>
      <c r="AD1862" s="139"/>
      <c r="AE1862" s="139"/>
      <c r="AF1862" s="139"/>
      <c r="AG1862" s="139"/>
      <c r="AH1862" s="139"/>
      <c r="AI1862" s="139"/>
    </row>
    <row r="1863" spans="23:35">
      <c r="W1863" s="139"/>
      <c r="X1863" s="139"/>
      <c r="Y1863" s="139"/>
      <c r="Z1863" s="139"/>
      <c r="AA1863" s="139"/>
      <c r="AB1863" s="139"/>
      <c r="AC1863" s="139"/>
      <c r="AD1863" s="139"/>
      <c r="AE1863" s="139"/>
      <c r="AF1863" s="139"/>
      <c r="AG1863" s="139"/>
      <c r="AH1863" s="139"/>
      <c r="AI1863" s="139"/>
    </row>
    <row r="1864" spans="23:35">
      <c r="W1864" s="139"/>
      <c r="X1864" s="139"/>
      <c r="Y1864" s="139"/>
      <c r="Z1864" s="139"/>
      <c r="AA1864" s="139"/>
      <c r="AB1864" s="139"/>
      <c r="AC1864" s="139"/>
      <c r="AD1864" s="139"/>
      <c r="AE1864" s="139"/>
      <c r="AF1864" s="139"/>
      <c r="AG1864" s="139"/>
      <c r="AH1864" s="139"/>
      <c r="AI1864" s="139"/>
    </row>
    <row r="1865" spans="23:35">
      <c r="W1865" s="139"/>
      <c r="X1865" s="139"/>
      <c r="Y1865" s="139"/>
      <c r="Z1865" s="139"/>
      <c r="AA1865" s="139"/>
      <c r="AB1865" s="139"/>
      <c r="AC1865" s="139"/>
      <c r="AD1865" s="139"/>
      <c r="AE1865" s="139"/>
      <c r="AF1865" s="139"/>
      <c r="AG1865" s="139"/>
      <c r="AH1865" s="139"/>
      <c r="AI1865" s="139"/>
    </row>
    <row r="1866" spans="23:35">
      <c r="W1866" s="139"/>
      <c r="X1866" s="139"/>
      <c r="Y1866" s="139"/>
      <c r="Z1866" s="139"/>
      <c r="AA1866" s="139"/>
      <c r="AB1866" s="139"/>
      <c r="AC1866" s="139"/>
      <c r="AD1866" s="139"/>
      <c r="AE1866" s="139"/>
      <c r="AF1866" s="139"/>
      <c r="AG1866" s="139"/>
      <c r="AH1866" s="139"/>
      <c r="AI1866" s="139"/>
    </row>
    <row r="1867" spans="23:35">
      <c r="W1867" s="139"/>
      <c r="X1867" s="139"/>
      <c r="Y1867" s="139"/>
      <c r="Z1867" s="139"/>
      <c r="AA1867" s="139"/>
      <c r="AB1867" s="139"/>
      <c r="AC1867" s="139"/>
      <c r="AD1867" s="139"/>
      <c r="AE1867" s="139"/>
      <c r="AF1867" s="139"/>
      <c r="AG1867" s="139"/>
      <c r="AH1867" s="139"/>
      <c r="AI1867" s="139"/>
    </row>
    <row r="1868" spans="23:35">
      <c r="W1868" s="139"/>
      <c r="X1868" s="139"/>
      <c r="Y1868" s="139"/>
      <c r="Z1868" s="139"/>
      <c r="AA1868" s="139"/>
      <c r="AB1868" s="139"/>
      <c r="AC1868" s="139"/>
      <c r="AD1868" s="139"/>
      <c r="AE1868" s="139"/>
      <c r="AF1868" s="139"/>
      <c r="AG1868" s="139"/>
      <c r="AH1868" s="139"/>
      <c r="AI1868" s="139"/>
    </row>
    <row r="1869" spans="23:35">
      <c r="W1869" s="139"/>
      <c r="X1869" s="139"/>
      <c r="Y1869" s="139"/>
      <c r="Z1869" s="139"/>
      <c r="AA1869" s="139"/>
      <c r="AB1869" s="139"/>
      <c r="AC1869" s="139"/>
      <c r="AD1869" s="139"/>
      <c r="AE1869" s="139"/>
      <c r="AF1869" s="139"/>
      <c r="AG1869" s="139"/>
      <c r="AH1869" s="139"/>
      <c r="AI1869" s="139"/>
    </row>
    <row r="1870" spans="23:35">
      <c r="W1870" s="139"/>
      <c r="X1870" s="139"/>
      <c r="Y1870" s="139"/>
      <c r="Z1870" s="139"/>
      <c r="AA1870" s="139"/>
      <c r="AB1870" s="139"/>
      <c r="AC1870" s="139"/>
      <c r="AD1870" s="139"/>
      <c r="AE1870" s="139"/>
      <c r="AF1870" s="139"/>
      <c r="AG1870" s="139"/>
      <c r="AH1870" s="139"/>
      <c r="AI1870" s="139"/>
    </row>
    <row r="1871" spans="23:35">
      <c r="W1871" s="139"/>
      <c r="X1871" s="139"/>
      <c r="Y1871" s="139"/>
      <c r="Z1871" s="139"/>
      <c r="AA1871" s="139"/>
      <c r="AB1871" s="139"/>
      <c r="AC1871" s="139"/>
      <c r="AD1871" s="139"/>
      <c r="AE1871" s="139"/>
      <c r="AF1871" s="139"/>
      <c r="AG1871" s="139"/>
      <c r="AH1871" s="139"/>
      <c r="AI1871" s="139"/>
    </row>
    <row r="1872" spans="23:35">
      <c r="W1872" s="139"/>
      <c r="X1872" s="139"/>
      <c r="Y1872" s="139"/>
      <c r="Z1872" s="139"/>
      <c r="AA1872" s="139"/>
      <c r="AB1872" s="139"/>
      <c r="AC1872" s="139"/>
      <c r="AD1872" s="139"/>
      <c r="AE1872" s="139"/>
      <c r="AF1872" s="139"/>
      <c r="AG1872" s="139"/>
      <c r="AH1872" s="139"/>
      <c r="AI1872" s="139"/>
    </row>
    <row r="1873" spans="23:35">
      <c r="W1873" s="139"/>
      <c r="X1873" s="139"/>
      <c r="Y1873" s="139"/>
      <c r="Z1873" s="139"/>
      <c r="AA1873" s="139"/>
      <c r="AB1873" s="139"/>
      <c r="AC1873" s="139"/>
      <c r="AD1873" s="139"/>
      <c r="AE1873" s="139"/>
      <c r="AF1873" s="139"/>
      <c r="AG1873" s="139"/>
      <c r="AH1873" s="139"/>
      <c r="AI1873" s="139"/>
    </row>
    <row r="1874" spans="23:35">
      <c r="W1874" s="139"/>
      <c r="X1874" s="139"/>
      <c r="Y1874" s="139"/>
      <c r="Z1874" s="139"/>
      <c r="AA1874" s="139"/>
      <c r="AB1874" s="139"/>
      <c r="AC1874" s="139"/>
      <c r="AD1874" s="139"/>
      <c r="AE1874" s="139"/>
      <c r="AF1874" s="139"/>
      <c r="AG1874" s="139"/>
      <c r="AH1874" s="139"/>
      <c r="AI1874" s="139"/>
    </row>
    <row r="1875" spans="23:35">
      <c r="W1875" s="139"/>
      <c r="X1875" s="139"/>
      <c r="Y1875" s="139"/>
      <c r="Z1875" s="139"/>
      <c r="AA1875" s="139"/>
      <c r="AB1875" s="139"/>
      <c r="AC1875" s="139"/>
      <c r="AD1875" s="139"/>
      <c r="AE1875" s="139"/>
      <c r="AF1875" s="139"/>
      <c r="AG1875" s="139"/>
      <c r="AH1875" s="139"/>
      <c r="AI1875" s="139"/>
    </row>
    <row r="1876" spans="23:35">
      <c r="W1876" s="139"/>
      <c r="X1876" s="139"/>
      <c r="Y1876" s="139"/>
      <c r="Z1876" s="139"/>
      <c r="AA1876" s="139"/>
      <c r="AB1876" s="139"/>
      <c r="AC1876" s="139"/>
      <c r="AD1876" s="139"/>
      <c r="AE1876" s="139"/>
      <c r="AF1876" s="139"/>
      <c r="AG1876" s="139"/>
      <c r="AH1876" s="139"/>
      <c r="AI1876" s="139"/>
    </row>
    <row r="1877" spans="23:35">
      <c r="W1877" s="139"/>
      <c r="X1877" s="139"/>
      <c r="Y1877" s="139"/>
      <c r="Z1877" s="139"/>
      <c r="AA1877" s="139"/>
      <c r="AB1877" s="139"/>
      <c r="AC1877" s="139"/>
      <c r="AD1877" s="139"/>
      <c r="AE1877" s="139"/>
      <c r="AF1877" s="139"/>
      <c r="AG1877" s="139"/>
      <c r="AH1877" s="139"/>
      <c r="AI1877" s="139"/>
    </row>
    <row r="1878" spans="23:35">
      <c r="W1878" s="139"/>
      <c r="X1878" s="139"/>
      <c r="Y1878" s="139"/>
      <c r="Z1878" s="139"/>
      <c r="AA1878" s="139"/>
      <c r="AB1878" s="139"/>
      <c r="AC1878" s="139"/>
      <c r="AD1878" s="139"/>
      <c r="AE1878" s="139"/>
      <c r="AF1878" s="139"/>
      <c r="AG1878" s="139"/>
      <c r="AH1878" s="139"/>
      <c r="AI1878" s="139"/>
    </row>
    <row r="1879" spans="23:35">
      <c r="W1879" s="139"/>
      <c r="X1879" s="139"/>
      <c r="Y1879" s="139"/>
      <c r="Z1879" s="139"/>
      <c r="AA1879" s="139"/>
      <c r="AB1879" s="139"/>
      <c r="AC1879" s="139"/>
      <c r="AD1879" s="139"/>
      <c r="AE1879" s="139"/>
      <c r="AF1879" s="139"/>
      <c r="AG1879" s="139"/>
      <c r="AH1879" s="139"/>
      <c r="AI1879" s="139"/>
    </row>
    <row r="1880" spans="23:35">
      <c r="W1880" s="139"/>
      <c r="X1880" s="139"/>
      <c r="Y1880" s="139"/>
      <c r="Z1880" s="139"/>
      <c r="AA1880" s="139"/>
      <c r="AB1880" s="139"/>
      <c r="AC1880" s="139"/>
      <c r="AD1880" s="139"/>
      <c r="AE1880" s="139"/>
      <c r="AF1880" s="139"/>
      <c r="AG1880" s="139"/>
      <c r="AH1880" s="139"/>
      <c r="AI1880" s="139"/>
    </row>
    <row r="1881" spans="23:35">
      <c r="W1881" s="139"/>
      <c r="X1881" s="139"/>
      <c r="Y1881" s="139"/>
      <c r="Z1881" s="139"/>
      <c r="AA1881" s="139"/>
      <c r="AB1881" s="139"/>
      <c r="AC1881" s="139"/>
      <c r="AD1881" s="139"/>
      <c r="AE1881" s="139"/>
      <c r="AF1881" s="139"/>
      <c r="AG1881" s="139"/>
      <c r="AH1881" s="139"/>
      <c r="AI1881" s="139"/>
    </row>
    <row r="1882" spans="23:35">
      <c r="W1882" s="139"/>
      <c r="X1882" s="139"/>
      <c r="Y1882" s="139"/>
      <c r="Z1882" s="139"/>
      <c r="AA1882" s="139"/>
      <c r="AB1882" s="139"/>
      <c r="AC1882" s="139"/>
      <c r="AD1882" s="139"/>
      <c r="AE1882" s="139"/>
      <c r="AF1882" s="139"/>
      <c r="AG1882" s="139"/>
      <c r="AH1882" s="139"/>
      <c r="AI1882" s="139"/>
    </row>
    <row r="1883" spans="23:35">
      <c r="W1883" s="139"/>
      <c r="X1883" s="139"/>
      <c r="Y1883" s="139"/>
      <c r="Z1883" s="139"/>
      <c r="AA1883" s="139"/>
      <c r="AB1883" s="139"/>
      <c r="AC1883" s="139"/>
      <c r="AD1883" s="139"/>
      <c r="AE1883" s="139"/>
      <c r="AF1883" s="139"/>
      <c r="AG1883" s="139"/>
      <c r="AH1883" s="139"/>
      <c r="AI1883" s="139"/>
    </row>
    <row r="1884" spans="23:35">
      <c r="W1884" s="139"/>
      <c r="X1884" s="139"/>
      <c r="Y1884" s="139"/>
      <c r="Z1884" s="139"/>
      <c r="AA1884" s="139"/>
      <c r="AB1884" s="139"/>
      <c r="AC1884" s="139"/>
      <c r="AD1884" s="139"/>
      <c r="AE1884" s="139"/>
      <c r="AF1884" s="139"/>
      <c r="AG1884" s="139"/>
      <c r="AH1884" s="139"/>
      <c r="AI1884" s="139"/>
    </row>
    <row r="1885" spans="23:35">
      <c r="W1885" s="139"/>
      <c r="X1885" s="139"/>
      <c r="Y1885" s="139"/>
      <c r="Z1885" s="139"/>
      <c r="AA1885" s="139"/>
      <c r="AB1885" s="139"/>
      <c r="AC1885" s="139"/>
      <c r="AD1885" s="139"/>
      <c r="AE1885" s="139"/>
      <c r="AF1885" s="139"/>
      <c r="AG1885" s="139"/>
      <c r="AH1885" s="139"/>
      <c r="AI1885" s="139"/>
    </row>
    <row r="1886" spans="23:35">
      <c r="W1886" s="139"/>
      <c r="X1886" s="139"/>
      <c r="Y1886" s="139"/>
      <c r="Z1886" s="139"/>
      <c r="AA1886" s="139"/>
      <c r="AB1886" s="139"/>
      <c r="AC1886" s="139"/>
      <c r="AD1886" s="139"/>
      <c r="AE1886" s="139"/>
      <c r="AF1886" s="139"/>
      <c r="AG1886" s="139"/>
      <c r="AH1886" s="139"/>
      <c r="AI1886" s="139"/>
    </row>
    <row r="1887" spans="23:35">
      <c r="W1887" s="139"/>
      <c r="X1887" s="139"/>
      <c r="Y1887" s="139"/>
      <c r="Z1887" s="139"/>
      <c r="AA1887" s="139"/>
      <c r="AB1887" s="139"/>
      <c r="AC1887" s="139"/>
      <c r="AD1887" s="139"/>
      <c r="AE1887" s="139"/>
      <c r="AF1887" s="139"/>
      <c r="AG1887" s="139"/>
      <c r="AH1887" s="139"/>
      <c r="AI1887" s="139"/>
    </row>
    <row r="1888" spans="23:35">
      <c r="W1888" s="139"/>
      <c r="X1888" s="139"/>
      <c r="Y1888" s="139"/>
      <c r="Z1888" s="139"/>
      <c r="AA1888" s="139"/>
      <c r="AB1888" s="139"/>
      <c r="AC1888" s="139"/>
      <c r="AD1888" s="139"/>
      <c r="AE1888" s="139"/>
      <c r="AF1888" s="139"/>
      <c r="AG1888" s="139"/>
      <c r="AH1888" s="139"/>
      <c r="AI1888" s="139"/>
    </row>
    <row r="1889" spans="23:35">
      <c r="W1889" s="139"/>
      <c r="X1889" s="139"/>
      <c r="Y1889" s="139"/>
      <c r="Z1889" s="139"/>
      <c r="AA1889" s="139"/>
      <c r="AB1889" s="139"/>
      <c r="AC1889" s="139"/>
      <c r="AD1889" s="139"/>
      <c r="AE1889" s="139"/>
      <c r="AF1889" s="139"/>
      <c r="AG1889" s="139"/>
      <c r="AH1889" s="139"/>
      <c r="AI1889" s="139"/>
    </row>
  </sheetData>
  <autoFilter ref="A1:AJ18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J1000"/>
  <sheetViews>
    <sheetView workbookViewId="0"/>
  </sheetViews>
  <sheetFormatPr defaultColWidth="12.59765625" defaultRowHeight="15.75" customHeight="1"/>
  <sheetData>
    <row r="1" spans="1:36">
      <c r="A1" s="140" t="s">
        <v>8059</v>
      </c>
      <c r="B1" s="140" t="s">
        <v>8060</v>
      </c>
      <c r="C1" s="140" t="s">
        <v>8061</v>
      </c>
      <c r="D1" s="140" t="s">
        <v>8062</v>
      </c>
      <c r="E1" s="140" t="s">
        <v>8063</v>
      </c>
      <c r="F1" s="140" t="s">
        <v>8064</v>
      </c>
      <c r="G1" s="140" t="s">
        <v>8065</v>
      </c>
      <c r="H1" s="140" t="s">
        <v>8066</v>
      </c>
      <c r="I1" s="140" t="s">
        <v>31</v>
      </c>
      <c r="J1" s="140" t="s">
        <v>8067</v>
      </c>
      <c r="K1" s="140" t="s">
        <v>8068</v>
      </c>
      <c r="L1" s="140" t="s">
        <v>6</v>
      </c>
      <c r="M1" s="140" t="s">
        <v>35</v>
      </c>
      <c r="N1" s="140" t="s">
        <v>8069</v>
      </c>
      <c r="O1" s="140" t="s">
        <v>8070</v>
      </c>
      <c r="P1" s="140" t="s">
        <v>8071</v>
      </c>
      <c r="Q1" s="140" t="s">
        <v>8072</v>
      </c>
      <c r="R1" s="140" t="s">
        <v>8073</v>
      </c>
      <c r="S1" s="140" t="s">
        <v>38</v>
      </c>
      <c r="T1" s="140" t="s">
        <v>8074</v>
      </c>
      <c r="U1" s="140" t="s">
        <v>8075</v>
      </c>
      <c r="V1" s="140"/>
      <c r="W1" s="140" t="s">
        <v>4</v>
      </c>
      <c r="X1" s="140" t="s">
        <v>5</v>
      </c>
      <c r="Y1" s="140" t="s">
        <v>6</v>
      </c>
      <c r="Z1" s="140" t="s">
        <v>35</v>
      </c>
      <c r="AA1" s="140" t="s">
        <v>36</v>
      </c>
      <c r="AB1" s="140" t="s">
        <v>37</v>
      </c>
      <c r="AC1" s="140" t="s">
        <v>8076</v>
      </c>
      <c r="AD1" s="140" t="s">
        <v>1605</v>
      </c>
      <c r="AE1" s="140" t="s">
        <v>8071</v>
      </c>
      <c r="AF1" s="140" t="s">
        <v>8072</v>
      </c>
      <c r="AG1" s="140" t="s">
        <v>8073</v>
      </c>
      <c r="AH1" s="140" t="s">
        <v>38</v>
      </c>
      <c r="AI1" s="140" t="s">
        <v>8074</v>
      </c>
      <c r="AJ1" s="140"/>
    </row>
    <row r="2" spans="1:36">
      <c r="A2" s="140" t="e">
        <f t="array" aca="1" ref="A2:G323" ca="1">_xludf.unique('F20-2024'!A2:G1000)</f>
        <v>#NAME?</v>
      </c>
      <c r="B2" s="140" t="e">
        <f ca="1"/>
        <v>#NAME?</v>
      </c>
      <c r="C2" s="140" t="e">
        <f ca="1"/>
        <v>#NAME?</v>
      </c>
      <c r="D2" s="140" t="e">
        <f ca="1"/>
        <v>#NAME?</v>
      </c>
      <c r="E2" s="140" t="e">
        <f ca="1"/>
        <v>#NAME?</v>
      </c>
      <c r="F2" s="140" t="e">
        <f ca="1"/>
        <v>#NAME?</v>
      </c>
      <c r="G2" s="140" t="e">
        <f ca="1"/>
        <v>#NAME?</v>
      </c>
      <c r="H2" s="140"/>
      <c r="I2" s="140">
        <f ca="1">SUMIFS('F20-2024'!I:I,'F20-2024'!$D:$D,$D2,'F20-2024'!$E:$E,$E2,'F20-2024'!$F:$F,$F2)</f>
        <v>0</v>
      </c>
      <c r="J2" s="140">
        <f ca="1">SUMIFS('F20-2024'!J:J,'F20-2024'!$D:$D,$D2,'F20-2024'!$E:$E,$E2,'F20-2024'!$F:$F,$F2)</f>
        <v>0</v>
      </c>
      <c r="K2" s="140">
        <f ca="1">SUMIFS('F20-2024'!K:K,'F20-2024'!$D:$D,$D2,'F20-2024'!$E:$E,$E2,'F20-2024'!$F:$F,$F2)</f>
        <v>0</v>
      </c>
      <c r="L2" s="140">
        <f ca="1">SUMIFS('F20-2024'!L:L,'F20-2024'!$D:$D,$D2,'F20-2024'!$E:$E,$E2,'F20-2024'!$F:$F,$F2)</f>
        <v>0</v>
      </c>
      <c r="M2" s="140">
        <f ca="1">SUMIFS('F20-2024'!M:M,'F20-2024'!$D:$D,$D2,'F20-2024'!$E:$E,$E2,'F20-2024'!$F:$F,$F2)</f>
        <v>0</v>
      </c>
      <c r="N2" s="140">
        <f ca="1">SUMIFS('F20-2024'!N:N,'F20-2024'!$D:$D,$D2,'F20-2024'!$E:$E,$E2,'F20-2024'!$F:$F,$F2)</f>
        <v>0</v>
      </c>
      <c r="O2" s="140">
        <f ca="1">SUMIFS('F20-2024'!O:O,'F20-2024'!$D:$D,$D2,'F20-2024'!$E:$E,$E2,'F20-2024'!$F:$F,$F2)</f>
        <v>0</v>
      </c>
      <c r="P2" s="140">
        <f ca="1">SUMIFS('F20-2024'!P:P,'F20-2024'!$D:$D,$D2,'F20-2024'!$E:$E,$E2,'F20-2024'!$F:$F,$F2)</f>
        <v>0</v>
      </c>
      <c r="Q2" s="140">
        <f ca="1">SUMIFS('F20-2024'!Q:Q,'F20-2024'!$D:$D,$D2,'F20-2024'!$E:$E,$E2,'F20-2024'!$F:$F,$F2)</f>
        <v>0</v>
      </c>
      <c r="R2" s="140">
        <f ca="1">SUMIFS('F20-2024'!R:R,'F20-2024'!$D:$D,$D2,'F20-2024'!$E:$E,$E2,'F20-2024'!$F:$F,$F2)</f>
        <v>0</v>
      </c>
      <c r="S2" s="140">
        <f ca="1">SUMIFS('F20-2024'!S:S,'F20-2024'!$D:$D,$D2,'F20-2024'!$E:$E,$E2,'F20-2024'!$F:$F,$F2)</f>
        <v>0</v>
      </c>
      <c r="T2" s="140">
        <f ca="1">SUMIFS('F20-2024'!T:T,'F20-2024'!$D:$D,$D2,'F20-2024'!$E:$E,$E2,'F20-2024'!$F:$F,$F2)</f>
        <v>0</v>
      </c>
      <c r="U2" s="140">
        <f ca="1">SUMIFS('F20-2024'!U:U,'F20-2024'!$D:$D,$D2,'F20-2024'!$E:$E,$E2,'F20-2024'!$F:$F,$F2)</f>
        <v>0</v>
      </c>
      <c r="V2" s="140"/>
      <c r="W2" s="141" t="e">
        <f t="shared" ref="W2:AA2" ca="1" si="0">J2/$I2</f>
        <v>#DIV/0!</v>
      </c>
      <c r="X2" s="141" t="e">
        <f t="shared" ca="1" si="0"/>
        <v>#DIV/0!</v>
      </c>
      <c r="Y2" s="141" t="e">
        <f t="shared" ca="1" si="0"/>
        <v>#DIV/0!</v>
      </c>
      <c r="Z2" s="141" t="e">
        <f t="shared" ca="1" si="0"/>
        <v>#DIV/0!</v>
      </c>
      <c r="AA2" s="141" t="e">
        <f t="shared" ca="1" si="0"/>
        <v>#DIV/0!</v>
      </c>
      <c r="AB2" s="141"/>
      <c r="AC2" s="141" t="e">
        <f t="shared" ref="AC2:AC256" ca="1" si="1">U2/$I2</f>
        <v>#DIV/0!</v>
      </c>
      <c r="AD2" s="141" t="e">
        <f t="shared" ref="AD2:AI2" ca="1" si="2">O2/$I2</f>
        <v>#DIV/0!</v>
      </c>
      <c r="AE2" s="141" t="e">
        <f t="shared" ca="1" si="2"/>
        <v>#DIV/0!</v>
      </c>
      <c r="AF2" s="141" t="e">
        <f t="shared" ca="1" si="2"/>
        <v>#DIV/0!</v>
      </c>
      <c r="AG2" s="141" t="e">
        <f t="shared" ca="1" si="2"/>
        <v>#DIV/0!</v>
      </c>
      <c r="AH2" s="141" t="e">
        <f t="shared" ca="1" si="2"/>
        <v>#DIV/0!</v>
      </c>
      <c r="AI2" s="141" t="e">
        <f t="shared" ca="1" si="2"/>
        <v>#DIV/0!</v>
      </c>
      <c r="AJ2" s="140"/>
    </row>
    <row r="3" spans="1:36">
      <c r="A3" s="140" t="e">
        <f ca="1"/>
        <v>#NAME?</v>
      </c>
      <c r="B3" s="140" t="e">
        <f ca="1"/>
        <v>#NAME?</v>
      </c>
      <c r="C3" s="140" t="e">
        <f ca="1"/>
        <v>#NAME?</v>
      </c>
      <c r="D3" s="140" t="e">
        <f ca="1"/>
        <v>#NAME?</v>
      </c>
      <c r="E3" s="140" t="e">
        <f ca="1"/>
        <v>#NAME?</v>
      </c>
      <c r="F3" s="140" t="e">
        <f ca="1"/>
        <v>#NAME?</v>
      </c>
      <c r="G3" s="140" t="e">
        <f ca="1"/>
        <v>#NAME?</v>
      </c>
      <c r="H3" s="140"/>
      <c r="I3" s="140">
        <f ca="1">SUMIFS('F20-2024'!I:I,'F20-2024'!$D:$D,$D3,'F20-2024'!$E:$E,$E3,'F20-2024'!$F:$F,$F3)</f>
        <v>0</v>
      </c>
      <c r="J3" s="140">
        <f ca="1">SUMIFS('F20-2024'!J:J,'F20-2024'!$D:$D,$D3,'F20-2024'!$E:$E,$E3,'F20-2024'!$F:$F,$F3)</f>
        <v>0</v>
      </c>
      <c r="K3" s="140">
        <f ca="1">SUMIFS('F20-2024'!K:K,'F20-2024'!$D:$D,$D3,'F20-2024'!$E:$E,$E3,'F20-2024'!$F:$F,$F3)</f>
        <v>0</v>
      </c>
      <c r="L3" s="140">
        <f ca="1">SUMIFS('F20-2024'!L:L,'F20-2024'!$D:$D,$D3,'F20-2024'!$E:$E,$E3,'F20-2024'!$F:$F,$F3)</f>
        <v>0</v>
      </c>
      <c r="M3" s="140">
        <f ca="1">SUMIFS('F20-2024'!M:M,'F20-2024'!$D:$D,$D3,'F20-2024'!$E:$E,$E3,'F20-2024'!$F:$F,$F3)</f>
        <v>0</v>
      </c>
      <c r="N3" s="140">
        <f ca="1">SUMIFS('F20-2024'!N:N,'F20-2024'!$D:$D,$D3,'F20-2024'!$E:$E,$E3,'F20-2024'!$F:$F,$F3)</f>
        <v>0</v>
      </c>
      <c r="O3" s="140">
        <f ca="1">SUMIFS('F20-2024'!O:O,'F20-2024'!$D:$D,$D3,'F20-2024'!$E:$E,$E3,'F20-2024'!$F:$F,$F3)</f>
        <v>0</v>
      </c>
      <c r="P3" s="140">
        <f ca="1">SUMIFS('F20-2024'!P:P,'F20-2024'!$D:$D,$D3,'F20-2024'!$E:$E,$E3,'F20-2024'!$F:$F,$F3)</f>
        <v>0</v>
      </c>
      <c r="Q3" s="140">
        <f ca="1">SUMIFS('F20-2024'!Q:Q,'F20-2024'!$D:$D,$D3,'F20-2024'!$E:$E,$E3,'F20-2024'!$F:$F,$F3)</f>
        <v>0</v>
      </c>
      <c r="R3" s="140">
        <f ca="1">SUMIFS('F20-2024'!R:R,'F20-2024'!$D:$D,$D3,'F20-2024'!$E:$E,$E3,'F20-2024'!$F:$F,$F3)</f>
        <v>0</v>
      </c>
      <c r="S3" s="140">
        <f ca="1">SUMIFS('F20-2024'!S:S,'F20-2024'!$D:$D,$D3,'F20-2024'!$E:$E,$E3,'F20-2024'!$F:$F,$F3)</f>
        <v>0</v>
      </c>
      <c r="T3" s="140">
        <f ca="1">SUMIFS('F20-2024'!T:T,'F20-2024'!$D:$D,$D3,'F20-2024'!$E:$E,$E3,'F20-2024'!$F:$F,$F3)</f>
        <v>0</v>
      </c>
      <c r="U3" s="140">
        <f ca="1">SUMIFS('F20-2024'!U:U,'F20-2024'!$D:$D,$D3,'F20-2024'!$E:$E,$E3,'F20-2024'!$F:$F,$F3)</f>
        <v>0</v>
      </c>
      <c r="V3" s="140"/>
      <c r="W3" s="141" t="e">
        <f t="shared" ref="W3:AA3" ca="1" si="3">J3/$I3</f>
        <v>#DIV/0!</v>
      </c>
      <c r="X3" s="141" t="e">
        <f t="shared" ca="1" si="3"/>
        <v>#DIV/0!</v>
      </c>
      <c r="Y3" s="141" t="e">
        <f t="shared" ca="1" si="3"/>
        <v>#DIV/0!</v>
      </c>
      <c r="Z3" s="141" t="e">
        <f t="shared" ca="1" si="3"/>
        <v>#DIV/0!</v>
      </c>
      <c r="AA3" s="141" t="e">
        <f t="shared" ca="1" si="3"/>
        <v>#DIV/0!</v>
      </c>
      <c r="AB3" s="141"/>
      <c r="AC3" s="141" t="e">
        <f t="shared" ca="1" si="1"/>
        <v>#DIV/0!</v>
      </c>
      <c r="AD3" s="141" t="e">
        <f t="shared" ref="AD3:AI3" ca="1" si="4">O3/$I3</f>
        <v>#DIV/0!</v>
      </c>
      <c r="AE3" s="141" t="e">
        <f t="shared" ca="1" si="4"/>
        <v>#DIV/0!</v>
      </c>
      <c r="AF3" s="141" t="e">
        <f t="shared" ca="1" si="4"/>
        <v>#DIV/0!</v>
      </c>
      <c r="AG3" s="141" t="e">
        <f t="shared" ca="1" si="4"/>
        <v>#DIV/0!</v>
      </c>
      <c r="AH3" s="141" t="e">
        <f t="shared" ca="1" si="4"/>
        <v>#DIV/0!</v>
      </c>
      <c r="AI3" s="141" t="e">
        <f t="shared" ca="1" si="4"/>
        <v>#DIV/0!</v>
      </c>
      <c r="AJ3" s="140"/>
    </row>
    <row r="4" spans="1:36">
      <c r="A4" s="140" t="e">
        <f ca="1"/>
        <v>#NAME?</v>
      </c>
      <c r="B4" s="140" t="e">
        <f ca="1"/>
        <v>#NAME?</v>
      </c>
      <c r="C4" s="140" t="e">
        <f ca="1"/>
        <v>#NAME?</v>
      </c>
      <c r="D4" s="140" t="e">
        <f ca="1"/>
        <v>#NAME?</v>
      </c>
      <c r="E4" s="140" t="e">
        <f ca="1"/>
        <v>#NAME?</v>
      </c>
      <c r="F4" s="140" t="e">
        <f ca="1"/>
        <v>#NAME?</v>
      </c>
      <c r="G4" s="140" t="e">
        <f ca="1"/>
        <v>#NAME?</v>
      </c>
      <c r="H4" s="140"/>
      <c r="I4" s="140">
        <f ca="1">SUMIFS('F20-2024'!I:I,'F20-2024'!$D:$D,$D4,'F20-2024'!$E:$E,$E4,'F20-2024'!$F:$F,$F4)</f>
        <v>0</v>
      </c>
      <c r="J4" s="140">
        <f ca="1">SUMIFS('F20-2024'!J:J,'F20-2024'!$D:$D,$D4,'F20-2024'!$E:$E,$E4,'F20-2024'!$F:$F,$F4)</f>
        <v>0</v>
      </c>
      <c r="K4" s="140">
        <f ca="1">SUMIFS('F20-2024'!K:K,'F20-2024'!$D:$D,$D4,'F20-2024'!$E:$E,$E4,'F20-2024'!$F:$F,$F4)</f>
        <v>0</v>
      </c>
      <c r="L4" s="140">
        <f ca="1">SUMIFS('F20-2024'!L:L,'F20-2024'!$D:$D,$D4,'F20-2024'!$E:$E,$E4,'F20-2024'!$F:$F,$F4)</f>
        <v>0</v>
      </c>
      <c r="M4" s="140">
        <f ca="1">SUMIFS('F20-2024'!M:M,'F20-2024'!$D:$D,$D4,'F20-2024'!$E:$E,$E4,'F20-2024'!$F:$F,$F4)</f>
        <v>0</v>
      </c>
      <c r="N4" s="140">
        <f ca="1">SUMIFS('F20-2024'!N:N,'F20-2024'!$D:$D,$D4,'F20-2024'!$E:$E,$E4,'F20-2024'!$F:$F,$F4)</f>
        <v>0</v>
      </c>
      <c r="O4" s="140">
        <f ca="1">SUMIFS('F20-2024'!O:O,'F20-2024'!$D:$D,$D4,'F20-2024'!$E:$E,$E4,'F20-2024'!$F:$F,$F4)</f>
        <v>0</v>
      </c>
      <c r="P4" s="140">
        <f ca="1">SUMIFS('F20-2024'!P:P,'F20-2024'!$D:$D,$D4,'F20-2024'!$E:$E,$E4,'F20-2024'!$F:$F,$F4)</f>
        <v>0</v>
      </c>
      <c r="Q4" s="140">
        <f ca="1">SUMIFS('F20-2024'!Q:Q,'F20-2024'!$D:$D,$D4,'F20-2024'!$E:$E,$E4,'F20-2024'!$F:$F,$F4)</f>
        <v>0</v>
      </c>
      <c r="R4" s="140">
        <f ca="1">SUMIFS('F20-2024'!R:R,'F20-2024'!$D:$D,$D4,'F20-2024'!$E:$E,$E4,'F20-2024'!$F:$F,$F4)</f>
        <v>0</v>
      </c>
      <c r="S4" s="140">
        <f ca="1">SUMIFS('F20-2024'!S:S,'F20-2024'!$D:$D,$D4,'F20-2024'!$E:$E,$E4,'F20-2024'!$F:$F,$F4)</f>
        <v>0</v>
      </c>
      <c r="T4" s="140">
        <f ca="1">SUMIFS('F20-2024'!T:T,'F20-2024'!$D:$D,$D4,'F20-2024'!$E:$E,$E4,'F20-2024'!$F:$F,$F4)</f>
        <v>0</v>
      </c>
      <c r="U4" s="140">
        <f ca="1">SUMIFS('F20-2024'!U:U,'F20-2024'!$D:$D,$D4,'F20-2024'!$E:$E,$E4,'F20-2024'!$F:$F,$F4)</f>
        <v>0</v>
      </c>
      <c r="V4" s="140"/>
      <c r="W4" s="141" t="e">
        <f t="shared" ref="W4:AA4" ca="1" si="5">J4/$I4</f>
        <v>#DIV/0!</v>
      </c>
      <c r="X4" s="141" t="e">
        <f t="shared" ca="1" si="5"/>
        <v>#DIV/0!</v>
      </c>
      <c r="Y4" s="141" t="e">
        <f t="shared" ca="1" si="5"/>
        <v>#DIV/0!</v>
      </c>
      <c r="Z4" s="141" t="e">
        <f t="shared" ca="1" si="5"/>
        <v>#DIV/0!</v>
      </c>
      <c r="AA4" s="141" t="e">
        <f t="shared" ca="1" si="5"/>
        <v>#DIV/0!</v>
      </c>
      <c r="AB4" s="141"/>
      <c r="AC4" s="141" t="e">
        <f t="shared" ca="1" si="1"/>
        <v>#DIV/0!</v>
      </c>
      <c r="AD4" s="141" t="e">
        <f t="shared" ref="AD4:AI4" ca="1" si="6">O4/$I4</f>
        <v>#DIV/0!</v>
      </c>
      <c r="AE4" s="141" t="e">
        <f t="shared" ca="1" si="6"/>
        <v>#DIV/0!</v>
      </c>
      <c r="AF4" s="141" t="e">
        <f t="shared" ca="1" si="6"/>
        <v>#DIV/0!</v>
      </c>
      <c r="AG4" s="141" t="e">
        <f t="shared" ca="1" si="6"/>
        <v>#DIV/0!</v>
      </c>
      <c r="AH4" s="141" t="e">
        <f t="shared" ca="1" si="6"/>
        <v>#DIV/0!</v>
      </c>
      <c r="AI4" s="141" t="e">
        <f t="shared" ca="1" si="6"/>
        <v>#DIV/0!</v>
      </c>
      <c r="AJ4" s="140"/>
    </row>
    <row r="5" spans="1:36">
      <c r="A5" s="140" t="e">
        <f ca="1"/>
        <v>#NAME?</v>
      </c>
      <c r="B5" s="140" t="e">
        <f ca="1"/>
        <v>#NAME?</v>
      </c>
      <c r="C5" s="140" t="e">
        <f ca="1"/>
        <v>#NAME?</v>
      </c>
      <c r="D5" s="140" t="e">
        <f ca="1"/>
        <v>#NAME?</v>
      </c>
      <c r="E5" s="140" t="e">
        <f ca="1"/>
        <v>#NAME?</v>
      </c>
      <c r="F5" s="140" t="e">
        <f ca="1"/>
        <v>#NAME?</v>
      </c>
      <c r="G5" s="140" t="e">
        <f ca="1"/>
        <v>#NAME?</v>
      </c>
      <c r="H5" s="140"/>
      <c r="I5" s="140">
        <f ca="1">SUMIFS('F20-2024'!I:I,'F20-2024'!$D:$D,$D5,'F20-2024'!$E:$E,$E5,'F20-2024'!$F:$F,$F5)</f>
        <v>0</v>
      </c>
      <c r="J5" s="140">
        <f ca="1">SUMIFS('F20-2024'!J:J,'F20-2024'!$D:$D,$D5,'F20-2024'!$E:$E,$E5,'F20-2024'!$F:$F,$F5)</f>
        <v>0</v>
      </c>
      <c r="K5" s="140">
        <f ca="1">SUMIFS('F20-2024'!K:K,'F20-2024'!$D:$D,$D5,'F20-2024'!$E:$E,$E5,'F20-2024'!$F:$F,$F5)</f>
        <v>0</v>
      </c>
      <c r="L5" s="140">
        <f ca="1">SUMIFS('F20-2024'!L:L,'F20-2024'!$D:$D,$D5,'F20-2024'!$E:$E,$E5,'F20-2024'!$F:$F,$F5)</f>
        <v>0</v>
      </c>
      <c r="M5" s="140">
        <f ca="1">SUMIFS('F20-2024'!M:M,'F20-2024'!$D:$D,$D5,'F20-2024'!$E:$E,$E5,'F20-2024'!$F:$F,$F5)</f>
        <v>0</v>
      </c>
      <c r="N5" s="140">
        <f ca="1">SUMIFS('F20-2024'!N:N,'F20-2024'!$D:$D,$D5,'F20-2024'!$E:$E,$E5,'F20-2024'!$F:$F,$F5)</f>
        <v>0</v>
      </c>
      <c r="O5" s="140">
        <f ca="1">SUMIFS('F20-2024'!O:O,'F20-2024'!$D:$D,$D5,'F20-2024'!$E:$E,$E5,'F20-2024'!$F:$F,$F5)</f>
        <v>0</v>
      </c>
      <c r="P5" s="140">
        <f ca="1">SUMIFS('F20-2024'!P:P,'F20-2024'!$D:$D,$D5,'F20-2024'!$E:$E,$E5,'F20-2024'!$F:$F,$F5)</f>
        <v>0</v>
      </c>
      <c r="Q5" s="140">
        <f ca="1">SUMIFS('F20-2024'!Q:Q,'F20-2024'!$D:$D,$D5,'F20-2024'!$E:$E,$E5,'F20-2024'!$F:$F,$F5)</f>
        <v>0</v>
      </c>
      <c r="R5" s="140">
        <f ca="1">SUMIFS('F20-2024'!R:R,'F20-2024'!$D:$D,$D5,'F20-2024'!$E:$E,$E5,'F20-2024'!$F:$F,$F5)</f>
        <v>0</v>
      </c>
      <c r="S5" s="140">
        <f ca="1">SUMIFS('F20-2024'!S:S,'F20-2024'!$D:$D,$D5,'F20-2024'!$E:$E,$E5,'F20-2024'!$F:$F,$F5)</f>
        <v>0</v>
      </c>
      <c r="T5" s="140">
        <f ca="1">SUMIFS('F20-2024'!T:T,'F20-2024'!$D:$D,$D5,'F20-2024'!$E:$E,$E5,'F20-2024'!$F:$F,$F5)</f>
        <v>0</v>
      </c>
      <c r="U5" s="140">
        <f ca="1">SUMIFS('F20-2024'!U:U,'F20-2024'!$D:$D,$D5,'F20-2024'!$E:$E,$E5,'F20-2024'!$F:$F,$F5)</f>
        <v>0</v>
      </c>
      <c r="V5" s="140"/>
      <c r="W5" s="141" t="e">
        <f t="shared" ref="W5:AA5" ca="1" si="7">J5/$I5</f>
        <v>#DIV/0!</v>
      </c>
      <c r="X5" s="141" t="e">
        <f t="shared" ca="1" si="7"/>
        <v>#DIV/0!</v>
      </c>
      <c r="Y5" s="141" t="e">
        <f t="shared" ca="1" si="7"/>
        <v>#DIV/0!</v>
      </c>
      <c r="Z5" s="141" t="e">
        <f t="shared" ca="1" si="7"/>
        <v>#DIV/0!</v>
      </c>
      <c r="AA5" s="141" t="e">
        <f t="shared" ca="1" si="7"/>
        <v>#DIV/0!</v>
      </c>
      <c r="AB5" s="141"/>
      <c r="AC5" s="141" t="e">
        <f t="shared" ca="1" si="1"/>
        <v>#DIV/0!</v>
      </c>
      <c r="AD5" s="141" t="e">
        <f t="shared" ref="AD5:AI5" ca="1" si="8">O5/$I5</f>
        <v>#DIV/0!</v>
      </c>
      <c r="AE5" s="141" t="e">
        <f t="shared" ca="1" si="8"/>
        <v>#DIV/0!</v>
      </c>
      <c r="AF5" s="141" t="e">
        <f t="shared" ca="1" si="8"/>
        <v>#DIV/0!</v>
      </c>
      <c r="AG5" s="141" t="e">
        <f t="shared" ca="1" si="8"/>
        <v>#DIV/0!</v>
      </c>
      <c r="AH5" s="141" t="e">
        <f t="shared" ca="1" si="8"/>
        <v>#DIV/0!</v>
      </c>
      <c r="AI5" s="141" t="e">
        <f t="shared" ca="1" si="8"/>
        <v>#DIV/0!</v>
      </c>
      <c r="AJ5" s="140"/>
    </row>
    <row r="6" spans="1:36">
      <c r="A6" s="140" t="e">
        <f ca="1"/>
        <v>#NAME?</v>
      </c>
      <c r="B6" s="140" t="e">
        <f ca="1"/>
        <v>#NAME?</v>
      </c>
      <c r="C6" s="140" t="e">
        <f ca="1"/>
        <v>#NAME?</v>
      </c>
      <c r="D6" s="140" t="e">
        <f ca="1"/>
        <v>#NAME?</v>
      </c>
      <c r="E6" s="140" t="e">
        <f ca="1"/>
        <v>#NAME?</v>
      </c>
      <c r="F6" s="140" t="e">
        <f ca="1"/>
        <v>#NAME?</v>
      </c>
      <c r="G6" s="140" t="e">
        <f ca="1"/>
        <v>#NAME?</v>
      </c>
      <c r="H6" s="140"/>
      <c r="I6" s="140">
        <f ca="1">SUMIFS('F20-2024'!I:I,'F20-2024'!$D:$D,$D6,'F20-2024'!$E:$E,$E6,'F20-2024'!$F:$F,$F6)</f>
        <v>0</v>
      </c>
      <c r="J6" s="140">
        <f ca="1">SUMIFS('F20-2024'!J:J,'F20-2024'!$D:$D,$D6,'F20-2024'!$E:$E,$E6,'F20-2024'!$F:$F,$F6)</f>
        <v>0</v>
      </c>
      <c r="K6" s="140">
        <f ca="1">SUMIFS('F20-2024'!K:K,'F20-2024'!$D:$D,$D6,'F20-2024'!$E:$E,$E6,'F20-2024'!$F:$F,$F6)</f>
        <v>0</v>
      </c>
      <c r="L6" s="140">
        <f ca="1">SUMIFS('F20-2024'!L:L,'F20-2024'!$D:$D,$D6,'F20-2024'!$E:$E,$E6,'F20-2024'!$F:$F,$F6)</f>
        <v>0</v>
      </c>
      <c r="M6" s="140">
        <f ca="1">SUMIFS('F20-2024'!M:M,'F20-2024'!$D:$D,$D6,'F20-2024'!$E:$E,$E6,'F20-2024'!$F:$F,$F6)</f>
        <v>0</v>
      </c>
      <c r="N6" s="140">
        <f ca="1">SUMIFS('F20-2024'!N:N,'F20-2024'!$D:$D,$D6,'F20-2024'!$E:$E,$E6,'F20-2024'!$F:$F,$F6)</f>
        <v>0</v>
      </c>
      <c r="O6" s="140">
        <f ca="1">SUMIFS('F20-2024'!O:O,'F20-2024'!$D:$D,$D6,'F20-2024'!$E:$E,$E6,'F20-2024'!$F:$F,$F6)</f>
        <v>0</v>
      </c>
      <c r="P6" s="140">
        <f ca="1">SUMIFS('F20-2024'!P:P,'F20-2024'!$D:$D,$D6,'F20-2024'!$E:$E,$E6,'F20-2024'!$F:$F,$F6)</f>
        <v>0</v>
      </c>
      <c r="Q6" s="140">
        <f ca="1">SUMIFS('F20-2024'!Q:Q,'F20-2024'!$D:$D,$D6,'F20-2024'!$E:$E,$E6,'F20-2024'!$F:$F,$F6)</f>
        <v>0</v>
      </c>
      <c r="R6" s="140">
        <f ca="1">SUMIFS('F20-2024'!R:R,'F20-2024'!$D:$D,$D6,'F20-2024'!$E:$E,$E6,'F20-2024'!$F:$F,$F6)</f>
        <v>0</v>
      </c>
      <c r="S6" s="140">
        <f ca="1">SUMIFS('F20-2024'!S:S,'F20-2024'!$D:$D,$D6,'F20-2024'!$E:$E,$E6,'F20-2024'!$F:$F,$F6)</f>
        <v>0</v>
      </c>
      <c r="T6" s="140">
        <f ca="1">SUMIFS('F20-2024'!T:T,'F20-2024'!$D:$D,$D6,'F20-2024'!$E:$E,$E6,'F20-2024'!$F:$F,$F6)</f>
        <v>0</v>
      </c>
      <c r="U6" s="140">
        <f ca="1">SUMIFS('F20-2024'!U:U,'F20-2024'!$D:$D,$D6,'F20-2024'!$E:$E,$E6,'F20-2024'!$F:$F,$F6)</f>
        <v>0</v>
      </c>
      <c r="V6" s="140"/>
      <c r="W6" s="141" t="e">
        <f t="shared" ref="W6:AA6" ca="1" si="9">J6/$I6</f>
        <v>#DIV/0!</v>
      </c>
      <c r="X6" s="141" t="e">
        <f t="shared" ca="1" si="9"/>
        <v>#DIV/0!</v>
      </c>
      <c r="Y6" s="141" t="e">
        <f t="shared" ca="1" si="9"/>
        <v>#DIV/0!</v>
      </c>
      <c r="Z6" s="141" t="e">
        <f t="shared" ca="1" si="9"/>
        <v>#DIV/0!</v>
      </c>
      <c r="AA6" s="141" t="e">
        <f t="shared" ca="1" si="9"/>
        <v>#DIV/0!</v>
      </c>
      <c r="AB6" s="141"/>
      <c r="AC6" s="141" t="e">
        <f t="shared" ca="1" si="1"/>
        <v>#DIV/0!</v>
      </c>
      <c r="AD6" s="141" t="e">
        <f t="shared" ref="AD6:AI6" ca="1" si="10">O6/$I6</f>
        <v>#DIV/0!</v>
      </c>
      <c r="AE6" s="141" t="e">
        <f t="shared" ca="1" si="10"/>
        <v>#DIV/0!</v>
      </c>
      <c r="AF6" s="141" t="e">
        <f t="shared" ca="1" si="10"/>
        <v>#DIV/0!</v>
      </c>
      <c r="AG6" s="141" t="e">
        <f t="shared" ca="1" si="10"/>
        <v>#DIV/0!</v>
      </c>
      <c r="AH6" s="141" t="e">
        <f t="shared" ca="1" si="10"/>
        <v>#DIV/0!</v>
      </c>
      <c r="AI6" s="141" t="e">
        <f t="shared" ca="1" si="10"/>
        <v>#DIV/0!</v>
      </c>
      <c r="AJ6" s="140"/>
    </row>
    <row r="7" spans="1:36">
      <c r="A7" s="140" t="e">
        <f ca="1"/>
        <v>#NAME?</v>
      </c>
      <c r="B7" s="140" t="e">
        <f ca="1"/>
        <v>#NAME?</v>
      </c>
      <c r="C7" s="140" t="e">
        <f ca="1"/>
        <v>#NAME?</v>
      </c>
      <c r="D7" s="140" t="e">
        <f ca="1"/>
        <v>#NAME?</v>
      </c>
      <c r="E7" s="140" t="e">
        <f ca="1"/>
        <v>#NAME?</v>
      </c>
      <c r="F7" s="140" t="e">
        <f ca="1"/>
        <v>#NAME?</v>
      </c>
      <c r="G7" s="140" t="e">
        <f ca="1"/>
        <v>#NAME?</v>
      </c>
      <c r="H7" s="140"/>
      <c r="I7" s="140">
        <f ca="1">SUMIFS('F20-2024'!I:I,'F20-2024'!$D:$D,$D7,'F20-2024'!$E:$E,$E7,'F20-2024'!$F:$F,$F7)</f>
        <v>0</v>
      </c>
      <c r="J7" s="140">
        <f ca="1">SUMIFS('F20-2024'!J:J,'F20-2024'!$D:$D,$D7,'F20-2024'!$E:$E,$E7,'F20-2024'!$F:$F,$F7)</f>
        <v>0</v>
      </c>
      <c r="K7" s="140">
        <f ca="1">SUMIFS('F20-2024'!K:K,'F20-2024'!$D:$D,$D7,'F20-2024'!$E:$E,$E7,'F20-2024'!$F:$F,$F7)</f>
        <v>0</v>
      </c>
      <c r="L7" s="140">
        <f ca="1">SUMIFS('F20-2024'!L:L,'F20-2024'!$D:$D,$D7,'F20-2024'!$E:$E,$E7,'F20-2024'!$F:$F,$F7)</f>
        <v>0</v>
      </c>
      <c r="M7" s="140">
        <f ca="1">SUMIFS('F20-2024'!M:M,'F20-2024'!$D:$D,$D7,'F20-2024'!$E:$E,$E7,'F20-2024'!$F:$F,$F7)</f>
        <v>0</v>
      </c>
      <c r="N7" s="140">
        <f ca="1">SUMIFS('F20-2024'!N:N,'F20-2024'!$D:$D,$D7,'F20-2024'!$E:$E,$E7,'F20-2024'!$F:$F,$F7)</f>
        <v>0</v>
      </c>
      <c r="O7" s="140">
        <f ca="1">SUMIFS('F20-2024'!O:O,'F20-2024'!$D:$D,$D7,'F20-2024'!$E:$E,$E7,'F20-2024'!$F:$F,$F7)</f>
        <v>0</v>
      </c>
      <c r="P7" s="140">
        <f ca="1">SUMIFS('F20-2024'!P:P,'F20-2024'!$D:$D,$D7,'F20-2024'!$E:$E,$E7,'F20-2024'!$F:$F,$F7)</f>
        <v>0</v>
      </c>
      <c r="Q7" s="140">
        <f ca="1">SUMIFS('F20-2024'!Q:Q,'F20-2024'!$D:$D,$D7,'F20-2024'!$E:$E,$E7,'F20-2024'!$F:$F,$F7)</f>
        <v>0</v>
      </c>
      <c r="R7" s="140">
        <f ca="1">SUMIFS('F20-2024'!R:R,'F20-2024'!$D:$D,$D7,'F20-2024'!$E:$E,$E7,'F20-2024'!$F:$F,$F7)</f>
        <v>0</v>
      </c>
      <c r="S7" s="140">
        <f ca="1">SUMIFS('F20-2024'!S:S,'F20-2024'!$D:$D,$D7,'F20-2024'!$E:$E,$E7,'F20-2024'!$F:$F,$F7)</f>
        <v>0</v>
      </c>
      <c r="T7" s="140">
        <f ca="1">SUMIFS('F20-2024'!T:T,'F20-2024'!$D:$D,$D7,'F20-2024'!$E:$E,$E7,'F20-2024'!$F:$F,$F7)</f>
        <v>0</v>
      </c>
      <c r="U7" s="140">
        <f ca="1">SUMIFS('F20-2024'!U:U,'F20-2024'!$D:$D,$D7,'F20-2024'!$E:$E,$E7,'F20-2024'!$F:$F,$F7)</f>
        <v>0</v>
      </c>
      <c r="V7" s="140"/>
      <c r="W7" s="141" t="e">
        <f t="shared" ref="W7:AA7" ca="1" si="11">J7/$I7</f>
        <v>#DIV/0!</v>
      </c>
      <c r="X7" s="141" t="e">
        <f t="shared" ca="1" si="11"/>
        <v>#DIV/0!</v>
      </c>
      <c r="Y7" s="141" t="e">
        <f t="shared" ca="1" si="11"/>
        <v>#DIV/0!</v>
      </c>
      <c r="Z7" s="141" t="e">
        <f t="shared" ca="1" si="11"/>
        <v>#DIV/0!</v>
      </c>
      <c r="AA7" s="141" t="e">
        <f t="shared" ca="1" si="11"/>
        <v>#DIV/0!</v>
      </c>
      <c r="AB7" s="141"/>
      <c r="AC7" s="141" t="e">
        <f t="shared" ca="1" si="1"/>
        <v>#DIV/0!</v>
      </c>
      <c r="AD7" s="141" t="e">
        <f t="shared" ref="AD7:AI7" ca="1" si="12">O7/$I7</f>
        <v>#DIV/0!</v>
      </c>
      <c r="AE7" s="141" t="e">
        <f t="shared" ca="1" si="12"/>
        <v>#DIV/0!</v>
      </c>
      <c r="AF7" s="141" t="e">
        <f t="shared" ca="1" si="12"/>
        <v>#DIV/0!</v>
      </c>
      <c r="AG7" s="141" t="e">
        <f t="shared" ca="1" si="12"/>
        <v>#DIV/0!</v>
      </c>
      <c r="AH7" s="141" t="e">
        <f t="shared" ca="1" si="12"/>
        <v>#DIV/0!</v>
      </c>
      <c r="AI7" s="141" t="e">
        <f t="shared" ca="1" si="12"/>
        <v>#DIV/0!</v>
      </c>
      <c r="AJ7" s="140"/>
    </row>
    <row r="8" spans="1:36">
      <c r="A8" s="140" t="e">
        <f ca="1"/>
        <v>#NAME?</v>
      </c>
      <c r="B8" s="140" t="e">
        <f ca="1"/>
        <v>#NAME?</v>
      </c>
      <c r="C8" s="140" t="e">
        <f ca="1"/>
        <v>#NAME?</v>
      </c>
      <c r="D8" s="140" t="e">
        <f ca="1"/>
        <v>#NAME?</v>
      </c>
      <c r="E8" s="140" t="e">
        <f ca="1"/>
        <v>#NAME?</v>
      </c>
      <c r="F8" s="140" t="e">
        <f ca="1"/>
        <v>#NAME?</v>
      </c>
      <c r="G8" s="140" t="e">
        <f ca="1"/>
        <v>#NAME?</v>
      </c>
      <c r="H8" s="140"/>
      <c r="I8" s="140">
        <f ca="1">SUMIFS('F20-2024'!I:I,'F20-2024'!$D:$D,$D8,'F20-2024'!$E:$E,$E8,'F20-2024'!$F:$F,$F8)</f>
        <v>0</v>
      </c>
      <c r="J8" s="140">
        <f ca="1">SUMIFS('F20-2024'!J:J,'F20-2024'!$D:$D,$D8,'F20-2024'!$E:$E,$E8,'F20-2024'!$F:$F,$F8)</f>
        <v>0</v>
      </c>
      <c r="K8" s="140">
        <f ca="1">SUMIFS('F20-2024'!K:K,'F20-2024'!$D:$D,$D8,'F20-2024'!$E:$E,$E8,'F20-2024'!$F:$F,$F8)</f>
        <v>0</v>
      </c>
      <c r="L8" s="140">
        <f ca="1">SUMIFS('F20-2024'!L:L,'F20-2024'!$D:$D,$D8,'F20-2024'!$E:$E,$E8,'F20-2024'!$F:$F,$F8)</f>
        <v>0</v>
      </c>
      <c r="M8" s="140">
        <f ca="1">SUMIFS('F20-2024'!M:M,'F20-2024'!$D:$D,$D8,'F20-2024'!$E:$E,$E8,'F20-2024'!$F:$F,$F8)</f>
        <v>0</v>
      </c>
      <c r="N8" s="140">
        <f ca="1">SUMIFS('F20-2024'!N:N,'F20-2024'!$D:$D,$D8,'F20-2024'!$E:$E,$E8,'F20-2024'!$F:$F,$F8)</f>
        <v>0</v>
      </c>
      <c r="O8" s="140">
        <f ca="1">SUMIFS('F20-2024'!O:O,'F20-2024'!$D:$D,$D8,'F20-2024'!$E:$E,$E8,'F20-2024'!$F:$F,$F8)</f>
        <v>0</v>
      </c>
      <c r="P8" s="140">
        <f ca="1">SUMIFS('F20-2024'!P:P,'F20-2024'!$D:$D,$D8,'F20-2024'!$E:$E,$E8,'F20-2024'!$F:$F,$F8)</f>
        <v>0</v>
      </c>
      <c r="Q8" s="140">
        <f ca="1">SUMIFS('F20-2024'!Q:Q,'F20-2024'!$D:$D,$D8,'F20-2024'!$E:$E,$E8,'F20-2024'!$F:$F,$F8)</f>
        <v>0</v>
      </c>
      <c r="R8" s="140">
        <f ca="1">SUMIFS('F20-2024'!R:R,'F20-2024'!$D:$D,$D8,'F20-2024'!$E:$E,$E8,'F20-2024'!$F:$F,$F8)</f>
        <v>0</v>
      </c>
      <c r="S8" s="140">
        <f ca="1">SUMIFS('F20-2024'!S:S,'F20-2024'!$D:$D,$D8,'F20-2024'!$E:$E,$E8,'F20-2024'!$F:$F,$F8)</f>
        <v>0</v>
      </c>
      <c r="T8" s="140">
        <f ca="1">SUMIFS('F20-2024'!T:T,'F20-2024'!$D:$D,$D8,'F20-2024'!$E:$E,$E8,'F20-2024'!$F:$F,$F8)</f>
        <v>0</v>
      </c>
      <c r="U8" s="140">
        <f ca="1">SUMIFS('F20-2024'!U:U,'F20-2024'!$D:$D,$D8,'F20-2024'!$E:$E,$E8,'F20-2024'!$F:$F,$F8)</f>
        <v>0</v>
      </c>
      <c r="V8" s="140"/>
      <c r="W8" s="141" t="e">
        <f t="shared" ref="W8:AA8" ca="1" si="13">J8/$I8</f>
        <v>#DIV/0!</v>
      </c>
      <c r="X8" s="141" t="e">
        <f t="shared" ca="1" si="13"/>
        <v>#DIV/0!</v>
      </c>
      <c r="Y8" s="141" t="e">
        <f t="shared" ca="1" si="13"/>
        <v>#DIV/0!</v>
      </c>
      <c r="Z8" s="141" t="e">
        <f t="shared" ca="1" si="13"/>
        <v>#DIV/0!</v>
      </c>
      <c r="AA8" s="141" t="e">
        <f t="shared" ca="1" si="13"/>
        <v>#DIV/0!</v>
      </c>
      <c r="AB8" s="141"/>
      <c r="AC8" s="141" t="e">
        <f t="shared" ca="1" si="1"/>
        <v>#DIV/0!</v>
      </c>
      <c r="AD8" s="141" t="e">
        <f t="shared" ref="AD8:AI8" ca="1" si="14">O8/$I8</f>
        <v>#DIV/0!</v>
      </c>
      <c r="AE8" s="141" t="e">
        <f t="shared" ca="1" si="14"/>
        <v>#DIV/0!</v>
      </c>
      <c r="AF8" s="141" t="e">
        <f t="shared" ca="1" si="14"/>
        <v>#DIV/0!</v>
      </c>
      <c r="AG8" s="141" t="e">
        <f t="shared" ca="1" si="14"/>
        <v>#DIV/0!</v>
      </c>
      <c r="AH8" s="141" t="e">
        <f t="shared" ca="1" si="14"/>
        <v>#DIV/0!</v>
      </c>
      <c r="AI8" s="141" t="e">
        <f t="shared" ca="1" si="14"/>
        <v>#DIV/0!</v>
      </c>
      <c r="AJ8" s="140"/>
    </row>
    <row r="9" spans="1:36">
      <c r="A9" s="140" t="e">
        <f ca="1"/>
        <v>#NAME?</v>
      </c>
      <c r="B9" s="140" t="e">
        <f ca="1"/>
        <v>#NAME?</v>
      </c>
      <c r="C9" s="140" t="e">
        <f ca="1"/>
        <v>#NAME?</v>
      </c>
      <c r="D9" s="140" t="e">
        <f ca="1"/>
        <v>#NAME?</v>
      </c>
      <c r="E9" s="140" t="e">
        <f ca="1"/>
        <v>#NAME?</v>
      </c>
      <c r="F9" s="140" t="e">
        <f ca="1"/>
        <v>#NAME?</v>
      </c>
      <c r="G9" s="140" t="e">
        <f ca="1"/>
        <v>#NAME?</v>
      </c>
      <c r="H9" s="140"/>
      <c r="I9" s="140">
        <f ca="1">SUMIFS('F20-2024'!I:I,'F20-2024'!$D:$D,$D9,'F20-2024'!$E:$E,$E9,'F20-2024'!$F:$F,$F9)</f>
        <v>0</v>
      </c>
      <c r="J9" s="140">
        <f ca="1">SUMIFS('F20-2024'!J:J,'F20-2024'!$D:$D,$D9,'F20-2024'!$E:$E,$E9,'F20-2024'!$F:$F,$F9)</f>
        <v>0</v>
      </c>
      <c r="K9" s="140">
        <f ca="1">SUMIFS('F20-2024'!K:K,'F20-2024'!$D:$D,$D9,'F20-2024'!$E:$E,$E9,'F20-2024'!$F:$F,$F9)</f>
        <v>0</v>
      </c>
      <c r="L9" s="140">
        <f ca="1">SUMIFS('F20-2024'!L:L,'F20-2024'!$D:$D,$D9,'F20-2024'!$E:$E,$E9,'F20-2024'!$F:$F,$F9)</f>
        <v>0</v>
      </c>
      <c r="M9" s="140">
        <f ca="1">SUMIFS('F20-2024'!M:M,'F20-2024'!$D:$D,$D9,'F20-2024'!$E:$E,$E9,'F20-2024'!$F:$F,$F9)</f>
        <v>0</v>
      </c>
      <c r="N9" s="140">
        <f ca="1">SUMIFS('F20-2024'!N:N,'F20-2024'!$D:$D,$D9,'F20-2024'!$E:$E,$E9,'F20-2024'!$F:$F,$F9)</f>
        <v>0</v>
      </c>
      <c r="O9" s="140">
        <f ca="1">SUMIFS('F20-2024'!O:O,'F20-2024'!$D:$D,$D9,'F20-2024'!$E:$E,$E9,'F20-2024'!$F:$F,$F9)</f>
        <v>0</v>
      </c>
      <c r="P9" s="140">
        <f ca="1">SUMIFS('F20-2024'!P:P,'F20-2024'!$D:$D,$D9,'F20-2024'!$E:$E,$E9,'F20-2024'!$F:$F,$F9)</f>
        <v>0</v>
      </c>
      <c r="Q9" s="140">
        <f ca="1">SUMIFS('F20-2024'!Q:Q,'F20-2024'!$D:$D,$D9,'F20-2024'!$E:$E,$E9,'F20-2024'!$F:$F,$F9)</f>
        <v>0</v>
      </c>
      <c r="R9" s="140">
        <f ca="1">SUMIFS('F20-2024'!R:R,'F20-2024'!$D:$D,$D9,'F20-2024'!$E:$E,$E9,'F20-2024'!$F:$F,$F9)</f>
        <v>0</v>
      </c>
      <c r="S9" s="140">
        <f ca="1">SUMIFS('F20-2024'!S:S,'F20-2024'!$D:$D,$D9,'F20-2024'!$E:$E,$E9,'F20-2024'!$F:$F,$F9)</f>
        <v>0</v>
      </c>
      <c r="T9" s="140">
        <f ca="1">SUMIFS('F20-2024'!T:T,'F20-2024'!$D:$D,$D9,'F20-2024'!$E:$E,$E9,'F20-2024'!$F:$F,$F9)</f>
        <v>0</v>
      </c>
      <c r="U9" s="140">
        <f ca="1">SUMIFS('F20-2024'!U:U,'F20-2024'!$D:$D,$D9,'F20-2024'!$E:$E,$E9,'F20-2024'!$F:$F,$F9)</f>
        <v>0</v>
      </c>
      <c r="V9" s="140"/>
      <c r="W9" s="141" t="e">
        <f t="shared" ref="W9:AA9" ca="1" si="15">J9/$I9</f>
        <v>#DIV/0!</v>
      </c>
      <c r="X9" s="141" t="e">
        <f t="shared" ca="1" si="15"/>
        <v>#DIV/0!</v>
      </c>
      <c r="Y9" s="141" t="e">
        <f t="shared" ca="1" si="15"/>
        <v>#DIV/0!</v>
      </c>
      <c r="Z9" s="141" t="e">
        <f t="shared" ca="1" si="15"/>
        <v>#DIV/0!</v>
      </c>
      <c r="AA9" s="141" t="e">
        <f t="shared" ca="1" si="15"/>
        <v>#DIV/0!</v>
      </c>
      <c r="AB9" s="141"/>
      <c r="AC9" s="141" t="e">
        <f t="shared" ca="1" si="1"/>
        <v>#DIV/0!</v>
      </c>
      <c r="AD9" s="141" t="e">
        <f t="shared" ref="AD9:AI9" ca="1" si="16">O9/$I9</f>
        <v>#DIV/0!</v>
      </c>
      <c r="AE9" s="141" t="e">
        <f t="shared" ca="1" si="16"/>
        <v>#DIV/0!</v>
      </c>
      <c r="AF9" s="141" t="e">
        <f t="shared" ca="1" si="16"/>
        <v>#DIV/0!</v>
      </c>
      <c r="AG9" s="141" t="e">
        <f t="shared" ca="1" si="16"/>
        <v>#DIV/0!</v>
      </c>
      <c r="AH9" s="141" t="e">
        <f t="shared" ca="1" si="16"/>
        <v>#DIV/0!</v>
      </c>
      <c r="AI9" s="141" t="e">
        <f t="shared" ca="1" si="16"/>
        <v>#DIV/0!</v>
      </c>
      <c r="AJ9" s="140"/>
    </row>
    <row r="10" spans="1:36">
      <c r="A10" s="140" t="e">
        <f ca="1"/>
        <v>#NAME?</v>
      </c>
      <c r="B10" s="140" t="e">
        <f ca="1"/>
        <v>#NAME?</v>
      </c>
      <c r="C10" s="140" t="e">
        <f ca="1"/>
        <v>#NAME?</v>
      </c>
      <c r="D10" s="140" t="e">
        <f ca="1"/>
        <v>#NAME?</v>
      </c>
      <c r="E10" s="140" t="e">
        <f ca="1"/>
        <v>#NAME?</v>
      </c>
      <c r="F10" s="140" t="e">
        <f ca="1"/>
        <v>#NAME?</v>
      </c>
      <c r="G10" s="140" t="e">
        <f ca="1"/>
        <v>#NAME?</v>
      </c>
      <c r="H10" s="140"/>
      <c r="I10" s="140">
        <f ca="1">SUMIFS('F20-2024'!I:I,'F20-2024'!$D:$D,$D10,'F20-2024'!$E:$E,$E10,'F20-2024'!$F:$F,$F10)</f>
        <v>0</v>
      </c>
      <c r="J10" s="140">
        <f ca="1">SUMIFS('F20-2024'!J:J,'F20-2024'!$D:$D,$D10,'F20-2024'!$E:$E,$E10,'F20-2024'!$F:$F,$F10)</f>
        <v>0</v>
      </c>
      <c r="K10" s="140">
        <f ca="1">SUMIFS('F20-2024'!K:K,'F20-2024'!$D:$D,$D10,'F20-2024'!$E:$E,$E10,'F20-2024'!$F:$F,$F10)</f>
        <v>0</v>
      </c>
      <c r="L10" s="140">
        <f ca="1">SUMIFS('F20-2024'!L:L,'F20-2024'!$D:$D,$D10,'F20-2024'!$E:$E,$E10,'F20-2024'!$F:$F,$F10)</f>
        <v>0</v>
      </c>
      <c r="M10" s="140">
        <f ca="1">SUMIFS('F20-2024'!M:M,'F20-2024'!$D:$D,$D10,'F20-2024'!$E:$E,$E10,'F20-2024'!$F:$F,$F10)</f>
        <v>0</v>
      </c>
      <c r="N10" s="140">
        <f ca="1">SUMIFS('F20-2024'!N:N,'F20-2024'!$D:$D,$D10,'F20-2024'!$E:$E,$E10,'F20-2024'!$F:$F,$F10)</f>
        <v>0</v>
      </c>
      <c r="O10" s="140">
        <f ca="1">SUMIFS('F20-2024'!O:O,'F20-2024'!$D:$D,$D10,'F20-2024'!$E:$E,$E10,'F20-2024'!$F:$F,$F10)</f>
        <v>0</v>
      </c>
      <c r="P10" s="140">
        <f ca="1">SUMIFS('F20-2024'!P:P,'F20-2024'!$D:$D,$D10,'F20-2024'!$E:$E,$E10,'F20-2024'!$F:$F,$F10)</f>
        <v>0</v>
      </c>
      <c r="Q10" s="140">
        <f ca="1">SUMIFS('F20-2024'!Q:Q,'F20-2024'!$D:$D,$D10,'F20-2024'!$E:$E,$E10,'F20-2024'!$F:$F,$F10)</f>
        <v>0</v>
      </c>
      <c r="R10" s="140">
        <f ca="1">SUMIFS('F20-2024'!R:R,'F20-2024'!$D:$D,$D10,'F20-2024'!$E:$E,$E10,'F20-2024'!$F:$F,$F10)</f>
        <v>0</v>
      </c>
      <c r="S10" s="140">
        <f ca="1">SUMIFS('F20-2024'!S:S,'F20-2024'!$D:$D,$D10,'F20-2024'!$E:$E,$E10,'F20-2024'!$F:$F,$F10)</f>
        <v>0</v>
      </c>
      <c r="T10" s="140">
        <f ca="1">SUMIFS('F20-2024'!T:T,'F20-2024'!$D:$D,$D10,'F20-2024'!$E:$E,$E10,'F20-2024'!$F:$F,$F10)</f>
        <v>0</v>
      </c>
      <c r="U10" s="140">
        <f ca="1">SUMIFS('F20-2024'!U:U,'F20-2024'!$D:$D,$D10,'F20-2024'!$E:$E,$E10,'F20-2024'!$F:$F,$F10)</f>
        <v>0</v>
      </c>
      <c r="V10" s="140"/>
      <c r="W10" s="141" t="e">
        <f t="shared" ref="W10:AA10" ca="1" si="17">J10/$I10</f>
        <v>#DIV/0!</v>
      </c>
      <c r="X10" s="141" t="e">
        <f t="shared" ca="1" si="17"/>
        <v>#DIV/0!</v>
      </c>
      <c r="Y10" s="141" t="e">
        <f t="shared" ca="1" si="17"/>
        <v>#DIV/0!</v>
      </c>
      <c r="Z10" s="141" t="e">
        <f t="shared" ca="1" si="17"/>
        <v>#DIV/0!</v>
      </c>
      <c r="AA10" s="141" t="e">
        <f t="shared" ca="1" si="17"/>
        <v>#DIV/0!</v>
      </c>
      <c r="AB10" s="141"/>
      <c r="AC10" s="141" t="e">
        <f t="shared" ca="1" si="1"/>
        <v>#DIV/0!</v>
      </c>
      <c r="AD10" s="141" t="e">
        <f t="shared" ref="AD10:AI10" ca="1" si="18">O10/$I10</f>
        <v>#DIV/0!</v>
      </c>
      <c r="AE10" s="141" t="e">
        <f t="shared" ca="1" si="18"/>
        <v>#DIV/0!</v>
      </c>
      <c r="AF10" s="141" t="e">
        <f t="shared" ca="1" si="18"/>
        <v>#DIV/0!</v>
      </c>
      <c r="AG10" s="141" t="e">
        <f t="shared" ca="1" si="18"/>
        <v>#DIV/0!</v>
      </c>
      <c r="AH10" s="141" t="e">
        <f t="shared" ca="1" si="18"/>
        <v>#DIV/0!</v>
      </c>
      <c r="AI10" s="141" t="e">
        <f t="shared" ca="1" si="18"/>
        <v>#DIV/0!</v>
      </c>
      <c r="AJ10" s="140"/>
    </row>
    <row r="11" spans="1:36">
      <c r="A11" s="140" t="e">
        <f ca="1"/>
        <v>#NAME?</v>
      </c>
      <c r="B11" s="140" t="e">
        <f ca="1"/>
        <v>#NAME?</v>
      </c>
      <c r="C11" s="140" t="e">
        <f ca="1"/>
        <v>#NAME?</v>
      </c>
      <c r="D11" s="140" t="e">
        <f ca="1"/>
        <v>#NAME?</v>
      </c>
      <c r="E11" s="140" t="e">
        <f ca="1"/>
        <v>#NAME?</v>
      </c>
      <c r="F11" s="140" t="e">
        <f ca="1"/>
        <v>#NAME?</v>
      </c>
      <c r="G11" s="140" t="e">
        <f ca="1"/>
        <v>#NAME?</v>
      </c>
      <c r="H11" s="140"/>
      <c r="I11" s="140">
        <f ca="1">SUMIFS('F20-2024'!I:I,'F20-2024'!$D:$D,$D11,'F20-2024'!$E:$E,$E11,'F20-2024'!$F:$F,$F11)</f>
        <v>0</v>
      </c>
      <c r="J11" s="140">
        <f ca="1">SUMIFS('F20-2024'!J:J,'F20-2024'!$D:$D,$D11,'F20-2024'!$E:$E,$E11,'F20-2024'!$F:$F,$F11)</f>
        <v>0</v>
      </c>
      <c r="K11" s="140">
        <f ca="1">SUMIFS('F20-2024'!K:K,'F20-2024'!$D:$D,$D11,'F20-2024'!$E:$E,$E11,'F20-2024'!$F:$F,$F11)</f>
        <v>0</v>
      </c>
      <c r="L11" s="140">
        <f ca="1">SUMIFS('F20-2024'!L:L,'F20-2024'!$D:$D,$D11,'F20-2024'!$E:$E,$E11,'F20-2024'!$F:$F,$F11)</f>
        <v>0</v>
      </c>
      <c r="M11" s="140">
        <f ca="1">SUMIFS('F20-2024'!M:M,'F20-2024'!$D:$D,$D11,'F20-2024'!$E:$E,$E11,'F20-2024'!$F:$F,$F11)</f>
        <v>0</v>
      </c>
      <c r="N11" s="140">
        <f ca="1">SUMIFS('F20-2024'!N:N,'F20-2024'!$D:$D,$D11,'F20-2024'!$E:$E,$E11,'F20-2024'!$F:$F,$F11)</f>
        <v>0</v>
      </c>
      <c r="O11" s="140">
        <f ca="1">SUMIFS('F20-2024'!O:O,'F20-2024'!$D:$D,$D11,'F20-2024'!$E:$E,$E11,'F20-2024'!$F:$F,$F11)</f>
        <v>0</v>
      </c>
      <c r="P11" s="140">
        <f ca="1">SUMIFS('F20-2024'!P:P,'F20-2024'!$D:$D,$D11,'F20-2024'!$E:$E,$E11,'F20-2024'!$F:$F,$F11)</f>
        <v>0</v>
      </c>
      <c r="Q11" s="140">
        <f ca="1">SUMIFS('F20-2024'!Q:Q,'F20-2024'!$D:$D,$D11,'F20-2024'!$E:$E,$E11,'F20-2024'!$F:$F,$F11)</f>
        <v>0</v>
      </c>
      <c r="R11" s="140">
        <f ca="1">SUMIFS('F20-2024'!R:R,'F20-2024'!$D:$D,$D11,'F20-2024'!$E:$E,$E11,'F20-2024'!$F:$F,$F11)</f>
        <v>0</v>
      </c>
      <c r="S11" s="140">
        <f ca="1">SUMIFS('F20-2024'!S:S,'F20-2024'!$D:$D,$D11,'F20-2024'!$E:$E,$E11,'F20-2024'!$F:$F,$F11)</f>
        <v>0</v>
      </c>
      <c r="T11" s="140">
        <f ca="1">SUMIFS('F20-2024'!T:T,'F20-2024'!$D:$D,$D11,'F20-2024'!$E:$E,$E11,'F20-2024'!$F:$F,$F11)</f>
        <v>0</v>
      </c>
      <c r="U11" s="140">
        <f ca="1">SUMIFS('F20-2024'!U:U,'F20-2024'!$D:$D,$D11,'F20-2024'!$E:$E,$E11,'F20-2024'!$F:$F,$F11)</f>
        <v>0</v>
      </c>
      <c r="V11" s="140"/>
      <c r="W11" s="141" t="e">
        <f t="shared" ref="W11:AA11" ca="1" si="19">J11/$I11</f>
        <v>#DIV/0!</v>
      </c>
      <c r="X11" s="141" t="e">
        <f t="shared" ca="1" si="19"/>
        <v>#DIV/0!</v>
      </c>
      <c r="Y11" s="141" t="e">
        <f t="shared" ca="1" si="19"/>
        <v>#DIV/0!</v>
      </c>
      <c r="Z11" s="141" t="e">
        <f t="shared" ca="1" si="19"/>
        <v>#DIV/0!</v>
      </c>
      <c r="AA11" s="141" t="e">
        <f t="shared" ca="1" si="19"/>
        <v>#DIV/0!</v>
      </c>
      <c r="AB11" s="141"/>
      <c r="AC11" s="141" t="e">
        <f t="shared" ca="1" si="1"/>
        <v>#DIV/0!</v>
      </c>
      <c r="AD11" s="141" t="e">
        <f t="shared" ref="AD11:AI11" ca="1" si="20">O11/$I11</f>
        <v>#DIV/0!</v>
      </c>
      <c r="AE11" s="141" t="e">
        <f t="shared" ca="1" si="20"/>
        <v>#DIV/0!</v>
      </c>
      <c r="AF11" s="141" t="e">
        <f t="shared" ca="1" si="20"/>
        <v>#DIV/0!</v>
      </c>
      <c r="AG11" s="141" t="e">
        <f t="shared" ca="1" si="20"/>
        <v>#DIV/0!</v>
      </c>
      <c r="AH11" s="141" t="e">
        <f t="shared" ca="1" si="20"/>
        <v>#DIV/0!</v>
      </c>
      <c r="AI11" s="141" t="e">
        <f t="shared" ca="1" si="20"/>
        <v>#DIV/0!</v>
      </c>
      <c r="AJ11" s="140"/>
    </row>
    <row r="12" spans="1:36">
      <c r="A12" s="140" t="e">
        <f ca="1"/>
        <v>#NAME?</v>
      </c>
      <c r="B12" s="140" t="e">
        <f ca="1"/>
        <v>#NAME?</v>
      </c>
      <c r="C12" s="140" t="e">
        <f ca="1"/>
        <v>#NAME?</v>
      </c>
      <c r="D12" s="140" t="e">
        <f ca="1"/>
        <v>#NAME?</v>
      </c>
      <c r="E12" s="140" t="e">
        <f ca="1"/>
        <v>#NAME?</v>
      </c>
      <c r="F12" s="140" t="e">
        <f ca="1"/>
        <v>#NAME?</v>
      </c>
      <c r="G12" s="140" t="e">
        <f ca="1"/>
        <v>#NAME?</v>
      </c>
      <c r="H12" s="140"/>
      <c r="I12" s="140">
        <f ca="1">SUMIFS('F20-2024'!I:I,'F20-2024'!$D:$D,$D12,'F20-2024'!$E:$E,$E12,'F20-2024'!$F:$F,$F12)</f>
        <v>0</v>
      </c>
      <c r="J12" s="140">
        <f ca="1">SUMIFS('F20-2024'!J:J,'F20-2024'!$D:$D,$D12,'F20-2024'!$E:$E,$E12,'F20-2024'!$F:$F,$F12)</f>
        <v>0</v>
      </c>
      <c r="K12" s="140">
        <f ca="1">SUMIFS('F20-2024'!K:K,'F20-2024'!$D:$D,$D12,'F20-2024'!$E:$E,$E12,'F20-2024'!$F:$F,$F12)</f>
        <v>0</v>
      </c>
      <c r="L12" s="140">
        <f ca="1">SUMIFS('F20-2024'!L:L,'F20-2024'!$D:$D,$D12,'F20-2024'!$E:$E,$E12,'F20-2024'!$F:$F,$F12)</f>
        <v>0</v>
      </c>
      <c r="M12" s="140">
        <f ca="1">SUMIFS('F20-2024'!M:M,'F20-2024'!$D:$D,$D12,'F20-2024'!$E:$E,$E12,'F20-2024'!$F:$F,$F12)</f>
        <v>0</v>
      </c>
      <c r="N12" s="140">
        <f ca="1">SUMIFS('F20-2024'!N:N,'F20-2024'!$D:$D,$D12,'F20-2024'!$E:$E,$E12,'F20-2024'!$F:$F,$F12)</f>
        <v>0</v>
      </c>
      <c r="O12" s="140">
        <f ca="1">SUMIFS('F20-2024'!O:O,'F20-2024'!$D:$D,$D12,'F20-2024'!$E:$E,$E12,'F20-2024'!$F:$F,$F12)</f>
        <v>0</v>
      </c>
      <c r="P12" s="140">
        <f ca="1">SUMIFS('F20-2024'!P:P,'F20-2024'!$D:$D,$D12,'F20-2024'!$E:$E,$E12,'F20-2024'!$F:$F,$F12)</f>
        <v>0</v>
      </c>
      <c r="Q12" s="140">
        <f ca="1">SUMIFS('F20-2024'!Q:Q,'F20-2024'!$D:$D,$D12,'F20-2024'!$E:$E,$E12,'F20-2024'!$F:$F,$F12)</f>
        <v>0</v>
      </c>
      <c r="R12" s="140">
        <f ca="1">SUMIFS('F20-2024'!R:R,'F20-2024'!$D:$D,$D12,'F20-2024'!$E:$E,$E12,'F20-2024'!$F:$F,$F12)</f>
        <v>0</v>
      </c>
      <c r="S12" s="140">
        <f ca="1">SUMIFS('F20-2024'!S:S,'F20-2024'!$D:$D,$D12,'F20-2024'!$E:$E,$E12,'F20-2024'!$F:$F,$F12)</f>
        <v>0</v>
      </c>
      <c r="T12" s="140">
        <f ca="1">SUMIFS('F20-2024'!T:T,'F20-2024'!$D:$D,$D12,'F20-2024'!$E:$E,$E12,'F20-2024'!$F:$F,$F12)</f>
        <v>0</v>
      </c>
      <c r="U12" s="140">
        <f ca="1">SUMIFS('F20-2024'!U:U,'F20-2024'!$D:$D,$D12,'F20-2024'!$E:$E,$E12,'F20-2024'!$F:$F,$F12)</f>
        <v>0</v>
      </c>
      <c r="V12" s="140"/>
      <c r="W12" s="141" t="e">
        <f t="shared" ref="W12:AA12" ca="1" si="21">J12/$I12</f>
        <v>#DIV/0!</v>
      </c>
      <c r="X12" s="141" t="e">
        <f t="shared" ca="1" si="21"/>
        <v>#DIV/0!</v>
      </c>
      <c r="Y12" s="141" t="e">
        <f t="shared" ca="1" si="21"/>
        <v>#DIV/0!</v>
      </c>
      <c r="Z12" s="141" t="e">
        <f t="shared" ca="1" si="21"/>
        <v>#DIV/0!</v>
      </c>
      <c r="AA12" s="141" t="e">
        <f t="shared" ca="1" si="21"/>
        <v>#DIV/0!</v>
      </c>
      <c r="AB12" s="141"/>
      <c r="AC12" s="141" t="e">
        <f t="shared" ca="1" si="1"/>
        <v>#DIV/0!</v>
      </c>
      <c r="AD12" s="141" t="e">
        <f t="shared" ref="AD12:AI12" ca="1" si="22">O12/$I12</f>
        <v>#DIV/0!</v>
      </c>
      <c r="AE12" s="141" t="e">
        <f t="shared" ca="1" si="22"/>
        <v>#DIV/0!</v>
      </c>
      <c r="AF12" s="141" t="e">
        <f t="shared" ca="1" si="22"/>
        <v>#DIV/0!</v>
      </c>
      <c r="AG12" s="141" t="e">
        <f t="shared" ca="1" si="22"/>
        <v>#DIV/0!</v>
      </c>
      <c r="AH12" s="141" t="e">
        <f t="shared" ca="1" si="22"/>
        <v>#DIV/0!</v>
      </c>
      <c r="AI12" s="141" t="e">
        <f t="shared" ca="1" si="22"/>
        <v>#DIV/0!</v>
      </c>
      <c r="AJ12" s="140"/>
    </row>
    <row r="13" spans="1:36">
      <c r="A13" s="140" t="e">
        <f ca="1"/>
        <v>#NAME?</v>
      </c>
      <c r="B13" s="140" t="e">
        <f ca="1"/>
        <v>#NAME?</v>
      </c>
      <c r="C13" s="140" t="e">
        <f ca="1"/>
        <v>#NAME?</v>
      </c>
      <c r="D13" s="140" t="e">
        <f ca="1"/>
        <v>#NAME?</v>
      </c>
      <c r="E13" s="140" t="e">
        <f ca="1"/>
        <v>#NAME?</v>
      </c>
      <c r="F13" s="140" t="e">
        <f ca="1"/>
        <v>#NAME?</v>
      </c>
      <c r="G13" s="140" t="e">
        <f ca="1"/>
        <v>#NAME?</v>
      </c>
      <c r="H13" s="140"/>
      <c r="I13" s="140">
        <f ca="1">SUMIFS('F20-2024'!I:I,'F20-2024'!$D:$D,$D13,'F20-2024'!$E:$E,$E13,'F20-2024'!$F:$F,$F13)</f>
        <v>0</v>
      </c>
      <c r="J13" s="140">
        <f ca="1">SUMIFS('F20-2024'!J:J,'F20-2024'!$D:$D,$D13,'F20-2024'!$E:$E,$E13,'F20-2024'!$F:$F,$F13)</f>
        <v>0</v>
      </c>
      <c r="K13" s="140">
        <f ca="1">SUMIFS('F20-2024'!K:K,'F20-2024'!$D:$D,$D13,'F20-2024'!$E:$E,$E13,'F20-2024'!$F:$F,$F13)</f>
        <v>0</v>
      </c>
      <c r="L13" s="140">
        <f ca="1">SUMIFS('F20-2024'!L:L,'F20-2024'!$D:$D,$D13,'F20-2024'!$E:$E,$E13,'F20-2024'!$F:$F,$F13)</f>
        <v>0</v>
      </c>
      <c r="M13" s="140">
        <f ca="1">SUMIFS('F20-2024'!M:M,'F20-2024'!$D:$D,$D13,'F20-2024'!$E:$E,$E13,'F20-2024'!$F:$F,$F13)</f>
        <v>0</v>
      </c>
      <c r="N13" s="140">
        <f ca="1">SUMIFS('F20-2024'!N:N,'F20-2024'!$D:$D,$D13,'F20-2024'!$E:$E,$E13,'F20-2024'!$F:$F,$F13)</f>
        <v>0</v>
      </c>
      <c r="O13" s="140">
        <f ca="1">SUMIFS('F20-2024'!O:O,'F20-2024'!$D:$D,$D13,'F20-2024'!$E:$E,$E13,'F20-2024'!$F:$F,$F13)</f>
        <v>0</v>
      </c>
      <c r="P13" s="140">
        <f ca="1">SUMIFS('F20-2024'!P:P,'F20-2024'!$D:$D,$D13,'F20-2024'!$E:$E,$E13,'F20-2024'!$F:$F,$F13)</f>
        <v>0</v>
      </c>
      <c r="Q13" s="140">
        <f ca="1">SUMIFS('F20-2024'!Q:Q,'F20-2024'!$D:$D,$D13,'F20-2024'!$E:$E,$E13,'F20-2024'!$F:$F,$F13)</f>
        <v>0</v>
      </c>
      <c r="R13" s="140">
        <f ca="1">SUMIFS('F20-2024'!R:R,'F20-2024'!$D:$D,$D13,'F20-2024'!$E:$E,$E13,'F20-2024'!$F:$F,$F13)</f>
        <v>0</v>
      </c>
      <c r="S13" s="140">
        <f ca="1">SUMIFS('F20-2024'!S:S,'F20-2024'!$D:$D,$D13,'F20-2024'!$E:$E,$E13,'F20-2024'!$F:$F,$F13)</f>
        <v>0</v>
      </c>
      <c r="T13" s="140">
        <f ca="1">SUMIFS('F20-2024'!T:T,'F20-2024'!$D:$D,$D13,'F20-2024'!$E:$E,$E13,'F20-2024'!$F:$F,$F13)</f>
        <v>0</v>
      </c>
      <c r="U13" s="140">
        <f ca="1">SUMIFS('F20-2024'!U:U,'F20-2024'!$D:$D,$D13,'F20-2024'!$E:$E,$E13,'F20-2024'!$F:$F,$F13)</f>
        <v>0</v>
      </c>
      <c r="V13" s="140"/>
      <c r="W13" s="141" t="e">
        <f t="shared" ref="W13:AA13" ca="1" si="23">J13/$I13</f>
        <v>#DIV/0!</v>
      </c>
      <c r="X13" s="141" t="e">
        <f t="shared" ca="1" si="23"/>
        <v>#DIV/0!</v>
      </c>
      <c r="Y13" s="141" t="e">
        <f t="shared" ca="1" si="23"/>
        <v>#DIV/0!</v>
      </c>
      <c r="Z13" s="141" t="e">
        <f t="shared" ca="1" si="23"/>
        <v>#DIV/0!</v>
      </c>
      <c r="AA13" s="141" t="e">
        <f t="shared" ca="1" si="23"/>
        <v>#DIV/0!</v>
      </c>
      <c r="AB13" s="141"/>
      <c r="AC13" s="141" t="e">
        <f t="shared" ca="1" si="1"/>
        <v>#DIV/0!</v>
      </c>
      <c r="AD13" s="141" t="e">
        <f t="shared" ref="AD13:AI13" ca="1" si="24">O13/$I13</f>
        <v>#DIV/0!</v>
      </c>
      <c r="AE13" s="141" t="e">
        <f t="shared" ca="1" si="24"/>
        <v>#DIV/0!</v>
      </c>
      <c r="AF13" s="141" t="e">
        <f t="shared" ca="1" si="24"/>
        <v>#DIV/0!</v>
      </c>
      <c r="AG13" s="141" t="e">
        <f t="shared" ca="1" si="24"/>
        <v>#DIV/0!</v>
      </c>
      <c r="AH13" s="141" t="e">
        <f t="shared" ca="1" si="24"/>
        <v>#DIV/0!</v>
      </c>
      <c r="AI13" s="141" t="e">
        <f t="shared" ca="1" si="24"/>
        <v>#DIV/0!</v>
      </c>
      <c r="AJ13" s="140"/>
    </row>
    <row r="14" spans="1:36">
      <c r="A14" s="140" t="e">
        <f ca="1"/>
        <v>#NAME?</v>
      </c>
      <c r="B14" s="140" t="e">
        <f ca="1"/>
        <v>#NAME?</v>
      </c>
      <c r="C14" s="140" t="e">
        <f ca="1"/>
        <v>#NAME?</v>
      </c>
      <c r="D14" s="140" t="e">
        <f ca="1"/>
        <v>#NAME?</v>
      </c>
      <c r="E14" s="140" t="e">
        <f ca="1"/>
        <v>#NAME?</v>
      </c>
      <c r="F14" s="140" t="e">
        <f ca="1"/>
        <v>#NAME?</v>
      </c>
      <c r="G14" s="140" t="e">
        <f ca="1"/>
        <v>#NAME?</v>
      </c>
      <c r="H14" s="140"/>
      <c r="I14" s="140">
        <f ca="1">SUMIFS('F20-2024'!I:I,'F20-2024'!$D:$D,$D14,'F20-2024'!$E:$E,$E14,'F20-2024'!$F:$F,$F14)</f>
        <v>0</v>
      </c>
      <c r="J14" s="140">
        <f ca="1">SUMIFS('F20-2024'!J:J,'F20-2024'!$D:$D,$D14,'F20-2024'!$E:$E,$E14,'F20-2024'!$F:$F,$F14)</f>
        <v>0</v>
      </c>
      <c r="K14" s="140">
        <f ca="1">SUMIFS('F20-2024'!K:K,'F20-2024'!$D:$D,$D14,'F20-2024'!$E:$E,$E14,'F20-2024'!$F:$F,$F14)</f>
        <v>0</v>
      </c>
      <c r="L14" s="140">
        <f ca="1">SUMIFS('F20-2024'!L:L,'F20-2024'!$D:$D,$D14,'F20-2024'!$E:$E,$E14,'F20-2024'!$F:$F,$F14)</f>
        <v>0</v>
      </c>
      <c r="M14" s="140">
        <f ca="1">SUMIFS('F20-2024'!M:M,'F20-2024'!$D:$D,$D14,'F20-2024'!$E:$E,$E14,'F20-2024'!$F:$F,$F14)</f>
        <v>0</v>
      </c>
      <c r="N14" s="140">
        <f ca="1">SUMIFS('F20-2024'!N:N,'F20-2024'!$D:$D,$D14,'F20-2024'!$E:$E,$E14,'F20-2024'!$F:$F,$F14)</f>
        <v>0</v>
      </c>
      <c r="O14" s="140">
        <f ca="1">SUMIFS('F20-2024'!O:O,'F20-2024'!$D:$D,$D14,'F20-2024'!$E:$E,$E14,'F20-2024'!$F:$F,$F14)</f>
        <v>0</v>
      </c>
      <c r="P14" s="140">
        <f ca="1">SUMIFS('F20-2024'!P:P,'F20-2024'!$D:$D,$D14,'F20-2024'!$E:$E,$E14,'F20-2024'!$F:$F,$F14)</f>
        <v>0</v>
      </c>
      <c r="Q14" s="140">
        <f ca="1">SUMIFS('F20-2024'!Q:Q,'F20-2024'!$D:$D,$D14,'F20-2024'!$E:$E,$E14,'F20-2024'!$F:$F,$F14)</f>
        <v>0</v>
      </c>
      <c r="R14" s="140">
        <f ca="1">SUMIFS('F20-2024'!R:R,'F20-2024'!$D:$D,$D14,'F20-2024'!$E:$E,$E14,'F20-2024'!$F:$F,$F14)</f>
        <v>0</v>
      </c>
      <c r="S14" s="140">
        <f ca="1">SUMIFS('F20-2024'!S:S,'F20-2024'!$D:$D,$D14,'F20-2024'!$E:$E,$E14,'F20-2024'!$F:$F,$F14)</f>
        <v>0</v>
      </c>
      <c r="T14" s="140">
        <f ca="1">SUMIFS('F20-2024'!T:T,'F20-2024'!$D:$D,$D14,'F20-2024'!$E:$E,$E14,'F20-2024'!$F:$F,$F14)</f>
        <v>0</v>
      </c>
      <c r="U14" s="140">
        <f ca="1">SUMIFS('F20-2024'!U:U,'F20-2024'!$D:$D,$D14,'F20-2024'!$E:$E,$E14,'F20-2024'!$F:$F,$F14)</f>
        <v>0</v>
      </c>
      <c r="V14" s="140"/>
      <c r="W14" s="141" t="e">
        <f t="shared" ref="W14:AA14" ca="1" si="25">J14/$I14</f>
        <v>#DIV/0!</v>
      </c>
      <c r="X14" s="141" t="e">
        <f t="shared" ca="1" si="25"/>
        <v>#DIV/0!</v>
      </c>
      <c r="Y14" s="141" t="e">
        <f t="shared" ca="1" si="25"/>
        <v>#DIV/0!</v>
      </c>
      <c r="Z14" s="141" t="e">
        <f t="shared" ca="1" si="25"/>
        <v>#DIV/0!</v>
      </c>
      <c r="AA14" s="141" t="e">
        <f t="shared" ca="1" si="25"/>
        <v>#DIV/0!</v>
      </c>
      <c r="AB14" s="141"/>
      <c r="AC14" s="141" t="e">
        <f t="shared" ca="1" si="1"/>
        <v>#DIV/0!</v>
      </c>
      <c r="AD14" s="141" t="e">
        <f t="shared" ref="AD14:AI14" ca="1" si="26">O14/$I14</f>
        <v>#DIV/0!</v>
      </c>
      <c r="AE14" s="141" t="e">
        <f t="shared" ca="1" si="26"/>
        <v>#DIV/0!</v>
      </c>
      <c r="AF14" s="141" t="e">
        <f t="shared" ca="1" si="26"/>
        <v>#DIV/0!</v>
      </c>
      <c r="AG14" s="141" t="e">
        <f t="shared" ca="1" si="26"/>
        <v>#DIV/0!</v>
      </c>
      <c r="AH14" s="141" t="e">
        <f t="shared" ca="1" si="26"/>
        <v>#DIV/0!</v>
      </c>
      <c r="AI14" s="141" t="e">
        <f t="shared" ca="1" si="26"/>
        <v>#DIV/0!</v>
      </c>
      <c r="AJ14" s="140"/>
    </row>
    <row r="15" spans="1:36">
      <c r="A15" s="140" t="e">
        <f ca="1"/>
        <v>#NAME?</v>
      </c>
      <c r="B15" s="140" t="e">
        <f ca="1"/>
        <v>#NAME?</v>
      </c>
      <c r="C15" s="140" t="e">
        <f ca="1"/>
        <v>#NAME?</v>
      </c>
      <c r="D15" s="140" t="e">
        <f ca="1"/>
        <v>#NAME?</v>
      </c>
      <c r="E15" s="140" t="e">
        <f ca="1"/>
        <v>#NAME?</v>
      </c>
      <c r="F15" s="140" t="e">
        <f ca="1"/>
        <v>#NAME?</v>
      </c>
      <c r="G15" s="140" t="e">
        <f ca="1"/>
        <v>#NAME?</v>
      </c>
      <c r="H15" s="140"/>
      <c r="I15" s="140">
        <f ca="1">SUMIFS('F20-2024'!I:I,'F20-2024'!$D:$D,$D15,'F20-2024'!$E:$E,$E15,'F20-2024'!$F:$F,$F15)</f>
        <v>0</v>
      </c>
      <c r="J15" s="140">
        <f ca="1">SUMIFS('F20-2024'!J:J,'F20-2024'!$D:$D,$D15,'F20-2024'!$E:$E,$E15,'F20-2024'!$F:$F,$F15)</f>
        <v>0</v>
      </c>
      <c r="K15" s="140">
        <f ca="1">SUMIFS('F20-2024'!K:K,'F20-2024'!$D:$D,$D15,'F20-2024'!$E:$E,$E15,'F20-2024'!$F:$F,$F15)</f>
        <v>0</v>
      </c>
      <c r="L15" s="140">
        <f ca="1">SUMIFS('F20-2024'!L:L,'F20-2024'!$D:$D,$D15,'F20-2024'!$E:$E,$E15,'F20-2024'!$F:$F,$F15)</f>
        <v>0</v>
      </c>
      <c r="M15" s="140">
        <f ca="1">SUMIFS('F20-2024'!M:M,'F20-2024'!$D:$D,$D15,'F20-2024'!$E:$E,$E15,'F20-2024'!$F:$F,$F15)</f>
        <v>0</v>
      </c>
      <c r="N15" s="140">
        <f ca="1">SUMIFS('F20-2024'!N:N,'F20-2024'!$D:$D,$D15,'F20-2024'!$E:$E,$E15,'F20-2024'!$F:$F,$F15)</f>
        <v>0</v>
      </c>
      <c r="O15" s="140">
        <f ca="1">SUMIFS('F20-2024'!O:O,'F20-2024'!$D:$D,$D15,'F20-2024'!$E:$E,$E15,'F20-2024'!$F:$F,$F15)</f>
        <v>0</v>
      </c>
      <c r="P15" s="140">
        <f ca="1">SUMIFS('F20-2024'!P:P,'F20-2024'!$D:$D,$D15,'F20-2024'!$E:$E,$E15,'F20-2024'!$F:$F,$F15)</f>
        <v>0</v>
      </c>
      <c r="Q15" s="140">
        <f ca="1">SUMIFS('F20-2024'!Q:Q,'F20-2024'!$D:$D,$D15,'F20-2024'!$E:$E,$E15,'F20-2024'!$F:$F,$F15)</f>
        <v>0</v>
      </c>
      <c r="R15" s="140">
        <f ca="1">SUMIFS('F20-2024'!R:R,'F20-2024'!$D:$D,$D15,'F20-2024'!$E:$E,$E15,'F20-2024'!$F:$F,$F15)</f>
        <v>0</v>
      </c>
      <c r="S15" s="140">
        <f ca="1">SUMIFS('F20-2024'!S:S,'F20-2024'!$D:$D,$D15,'F20-2024'!$E:$E,$E15,'F20-2024'!$F:$F,$F15)</f>
        <v>0</v>
      </c>
      <c r="T15" s="140">
        <f ca="1">SUMIFS('F20-2024'!T:T,'F20-2024'!$D:$D,$D15,'F20-2024'!$E:$E,$E15,'F20-2024'!$F:$F,$F15)</f>
        <v>0</v>
      </c>
      <c r="U15" s="140">
        <f ca="1">SUMIFS('F20-2024'!U:U,'F20-2024'!$D:$D,$D15,'F20-2024'!$E:$E,$E15,'F20-2024'!$F:$F,$F15)</f>
        <v>0</v>
      </c>
      <c r="V15" s="140"/>
      <c r="W15" s="141" t="e">
        <f t="shared" ref="W15:AA15" ca="1" si="27">J15/$I15</f>
        <v>#DIV/0!</v>
      </c>
      <c r="X15" s="141" t="e">
        <f t="shared" ca="1" si="27"/>
        <v>#DIV/0!</v>
      </c>
      <c r="Y15" s="141" t="e">
        <f t="shared" ca="1" si="27"/>
        <v>#DIV/0!</v>
      </c>
      <c r="Z15" s="141" t="e">
        <f t="shared" ca="1" si="27"/>
        <v>#DIV/0!</v>
      </c>
      <c r="AA15" s="141" t="e">
        <f t="shared" ca="1" si="27"/>
        <v>#DIV/0!</v>
      </c>
      <c r="AB15" s="141"/>
      <c r="AC15" s="141" t="e">
        <f t="shared" ca="1" si="1"/>
        <v>#DIV/0!</v>
      </c>
      <c r="AD15" s="141" t="e">
        <f t="shared" ref="AD15:AI15" ca="1" si="28">O15/$I15</f>
        <v>#DIV/0!</v>
      </c>
      <c r="AE15" s="141" t="e">
        <f t="shared" ca="1" si="28"/>
        <v>#DIV/0!</v>
      </c>
      <c r="AF15" s="141" t="e">
        <f t="shared" ca="1" si="28"/>
        <v>#DIV/0!</v>
      </c>
      <c r="AG15" s="141" t="e">
        <f t="shared" ca="1" si="28"/>
        <v>#DIV/0!</v>
      </c>
      <c r="AH15" s="141" t="e">
        <f t="shared" ca="1" si="28"/>
        <v>#DIV/0!</v>
      </c>
      <c r="AI15" s="141" t="e">
        <f t="shared" ca="1" si="28"/>
        <v>#DIV/0!</v>
      </c>
      <c r="AJ15" s="140"/>
    </row>
    <row r="16" spans="1:36">
      <c r="A16" s="140" t="e">
        <f ca="1"/>
        <v>#NAME?</v>
      </c>
      <c r="B16" s="140" t="e">
        <f ca="1"/>
        <v>#NAME?</v>
      </c>
      <c r="C16" s="140" t="e">
        <f ca="1"/>
        <v>#NAME?</v>
      </c>
      <c r="D16" s="140" t="e">
        <f ca="1"/>
        <v>#NAME?</v>
      </c>
      <c r="E16" s="140" t="e">
        <f ca="1"/>
        <v>#NAME?</v>
      </c>
      <c r="F16" s="140" t="e">
        <f ca="1"/>
        <v>#NAME?</v>
      </c>
      <c r="G16" s="140" t="e">
        <f ca="1"/>
        <v>#NAME?</v>
      </c>
      <c r="H16" s="140"/>
      <c r="I16" s="140">
        <f ca="1">SUMIFS('F20-2024'!I:I,'F20-2024'!$D:$D,$D16,'F20-2024'!$E:$E,$E16,'F20-2024'!$F:$F,$F16)</f>
        <v>0</v>
      </c>
      <c r="J16" s="140">
        <f ca="1">SUMIFS('F20-2024'!J:J,'F20-2024'!$D:$D,$D16,'F20-2024'!$E:$E,$E16,'F20-2024'!$F:$F,$F16)</f>
        <v>0</v>
      </c>
      <c r="K16" s="140">
        <f ca="1">SUMIFS('F20-2024'!K:K,'F20-2024'!$D:$D,$D16,'F20-2024'!$E:$E,$E16,'F20-2024'!$F:$F,$F16)</f>
        <v>0</v>
      </c>
      <c r="L16" s="140">
        <f ca="1">SUMIFS('F20-2024'!L:L,'F20-2024'!$D:$D,$D16,'F20-2024'!$E:$E,$E16,'F20-2024'!$F:$F,$F16)</f>
        <v>0</v>
      </c>
      <c r="M16" s="140">
        <f ca="1">SUMIFS('F20-2024'!M:M,'F20-2024'!$D:$D,$D16,'F20-2024'!$E:$E,$E16,'F20-2024'!$F:$F,$F16)</f>
        <v>0</v>
      </c>
      <c r="N16" s="140">
        <f ca="1">SUMIFS('F20-2024'!N:N,'F20-2024'!$D:$D,$D16,'F20-2024'!$E:$E,$E16,'F20-2024'!$F:$F,$F16)</f>
        <v>0</v>
      </c>
      <c r="O16" s="140">
        <f ca="1">SUMIFS('F20-2024'!O:O,'F20-2024'!$D:$D,$D16,'F20-2024'!$E:$E,$E16,'F20-2024'!$F:$F,$F16)</f>
        <v>0</v>
      </c>
      <c r="P16" s="140">
        <f ca="1">SUMIFS('F20-2024'!P:P,'F20-2024'!$D:$D,$D16,'F20-2024'!$E:$E,$E16,'F20-2024'!$F:$F,$F16)</f>
        <v>0</v>
      </c>
      <c r="Q16" s="140">
        <f ca="1">SUMIFS('F20-2024'!Q:Q,'F20-2024'!$D:$D,$D16,'F20-2024'!$E:$E,$E16,'F20-2024'!$F:$F,$F16)</f>
        <v>0</v>
      </c>
      <c r="R16" s="140">
        <f ca="1">SUMIFS('F20-2024'!R:R,'F20-2024'!$D:$D,$D16,'F20-2024'!$E:$E,$E16,'F20-2024'!$F:$F,$F16)</f>
        <v>0</v>
      </c>
      <c r="S16" s="140">
        <f ca="1">SUMIFS('F20-2024'!S:S,'F20-2024'!$D:$D,$D16,'F20-2024'!$E:$E,$E16,'F20-2024'!$F:$F,$F16)</f>
        <v>0</v>
      </c>
      <c r="T16" s="140">
        <f ca="1">SUMIFS('F20-2024'!T:T,'F20-2024'!$D:$D,$D16,'F20-2024'!$E:$E,$E16,'F20-2024'!$F:$F,$F16)</f>
        <v>0</v>
      </c>
      <c r="U16" s="140">
        <f ca="1">SUMIFS('F20-2024'!U:U,'F20-2024'!$D:$D,$D16,'F20-2024'!$E:$E,$E16,'F20-2024'!$F:$F,$F16)</f>
        <v>0</v>
      </c>
      <c r="V16" s="140"/>
      <c r="W16" s="141" t="e">
        <f t="shared" ref="W16:AA16" ca="1" si="29">J16/$I16</f>
        <v>#DIV/0!</v>
      </c>
      <c r="X16" s="141" t="e">
        <f t="shared" ca="1" si="29"/>
        <v>#DIV/0!</v>
      </c>
      <c r="Y16" s="141" t="e">
        <f t="shared" ca="1" si="29"/>
        <v>#DIV/0!</v>
      </c>
      <c r="Z16" s="141" t="e">
        <f t="shared" ca="1" si="29"/>
        <v>#DIV/0!</v>
      </c>
      <c r="AA16" s="141" t="e">
        <f t="shared" ca="1" si="29"/>
        <v>#DIV/0!</v>
      </c>
      <c r="AB16" s="141"/>
      <c r="AC16" s="141" t="e">
        <f t="shared" ca="1" si="1"/>
        <v>#DIV/0!</v>
      </c>
      <c r="AD16" s="141" t="e">
        <f t="shared" ref="AD16:AI16" ca="1" si="30">O16/$I16</f>
        <v>#DIV/0!</v>
      </c>
      <c r="AE16" s="141" t="e">
        <f t="shared" ca="1" si="30"/>
        <v>#DIV/0!</v>
      </c>
      <c r="AF16" s="141" t="e">
        <f t="shared" ca="1" si="30"/>
        <v>#DIV/0!</v>
      </c>
      <c r="AG16" s="141" t="e">
        <f t="shared" ca="1" si="30"/>
        <v>#DIV/0!</v>
      </c>
      <c r="AH16" s="141" t="e">
        <f t="shared" ca="1" si="30"/>
        <v>#DIV/0!</v>
      </c>
      <c r="AI16" s="141" t="e">
        <f t="shared" ca="1" si="30"/>
        <v>#DIV/0!</v>
      </c>
      <c r="AJ16" s="140"/>
    </row>
    <row r="17" spans="1:36">
      <c r="A17" s="140" t="e">
        <f ca="1"/>
        <v>#NAME?</v>
      </c>
      <c r="B17" s="140" t="e">
        <f ca="1"/>
        <v>#NAME?</v>
      </c>
      <c r="C17" s="140" t="e">
        <f ca="1"/>
        <v>#NAME?</v>
      </c>
      <c r="D17" s="140" t="e">
        <f ca="1"/>
        <v>#NAME?</v>
      </c>
      <c r="E17" s="140" t="e">
        <f ca="1"/>
        <v>#NAME?</v>
      </c>
      <c r="F17" s="140" t="e">
        <f ca="1"/>
        <v>#NAME?</v>
      </c>
      <c r="G17" s="140" t="e">
        <f ca="1"/>
        <v>#NAME?</v>
      </c>
      <c r="H17" s="140"/>
      <c r="I17" s="140">
        <f ca="1">SUMIFS('F20-2024'!I:I,'F20-2024'!$D:$D,$D17,'F20-2024'!$E:$E,$E17,'F20-2024'!$F:$F,$F17)</f>
        <v>0</v>
      </c>
      <c r="J17" s="140">
        <f ca="1">SUMIFS('F20-2024'!J:J,'F20-2024'!$D:$D,$D17,'F20-2024'!$E:$E,$E17,'F20-2024'!$F:$F,$F17)</f>
        <v>0</v>
      </c>
      <c r="K17" s="140">
        <f ca="1">SUMIFS('F20-2024'!K:K,'F20-2024'!$D:$D,$D17,'F20-2024'!$E:$E,$E17,'F20-2024'!$F:$F,$F17)</f>
        <v>0</v>
      </c>
      <c r="L17" s="140">
        <f ca="1">SUMIFS('F20-2024'!L:L,'F20-2024'!$D:$D,$D17,'F20-2024'!$E:$E,$E17,'F20-2024'!$F:$F,$F17)</f>
        <v>0</v>
      </c>
      <c r="M17" s="140">
        <f ca="1">SUMIFS('F20-2024'!M:M,'F20-2024'!$D:$D,$D17,'F20-2024'!$E:$E,$E17,'F20-2024'!$F:$F,$F17)</f>
        <v>0</v>
      </c>
      <c r="N17" s="140">
        <f ca="1">SUMIFS('F20-2024'!N:N,'F20-2024'!$D:$D,$D17,'F20-2024'!$E:$E,$E17,'F20-2024'!$F:$F,$F17)</f>
        <v>0</v>
      </c>
      <c r="O17" s="140">
        <f ca="1">SUMIFS('F20-2024'!O:O,'F20-2024'!$D:$D,$D17,'F20-2024'!$E:$E,$E17,'F20-2024'!$F:$F,$F17)</f>
        <v>0</v>
      </c>
      <c r="P17" s="140">
        <f ca="1">SUMIFS('F20-2024'!P:P,'F20-2024'!$D:$D,$D17,'F20-2024'!$E:$E,$E17,'F20-2024'!$F:$F,$F17)</f>
        <v>0</v>
      </c>
      <c r="Q17" s="140">
        <f ca="1">SUMIFS('F20-2024'!Q:Q,'F20-2024'!$D:$D,$D17,'F20-2024'!$E:$E,$E17,'F20-2024'!$F:$F,$F17)</f>
        <v>0</v>
      </c>
      <c r="R17" s="140">
        <f ca="1">SUMIFS('F20-2024'!R:R,'F20-2024'!$D:$D,$D17,'F20-2024'!$E:$E,$E17,'F20-2024'!$F:$F,$F17)</f>
        <v>0</v>
      </c>
      <c r="S17" s="140">
        <f ca="1">SUMIFS('F20-2024'!S:S,'F20-2024'!$D:$D,$D17,'F20-2024'!$E:$E,$E17,'F20-2024'!$F:$F,$F17)</f>
        <v>0</v>
      </c>
      <c r="T17" s="140">
        <f ca="1">SUMIFS('F20-2024'!T:T,'F20-2024'!$D:$D,$D17,'F20-2024'!$E:$E,$E17,'F20-2024'!$F:$F,$F17)</f>
        <v>0</v>
      </c>
      <c r="U17" s="140">
        <f ca="1">SUMIFS('F20-2024'!U:U,'F20-2024'!$D:$D,$D17,'F20-2024'!$E:$E,$E17,'F20-2024'!$F:$F,$F17)</f>
        <v>0</v>
      </c>
      <c r="V17" s="140"/>
      <c r="W17" s="141" t="e">
        <f t="shared" ref="W17:AA17" ca="1" si="31">J17/$I17</f>
        <v>#DIV/0!</v>
      </c>
      <c r="X17" s="141" t="e">
        <f t="shared" ca="1" si="31"/>
        <v>#DIV/0!</v>
      </c>
      <c r="Y17" s="141" t="e">
        <f t="shared" ca="1" si="31"/>
        <v>#DIV/0!</v>
      </c>
      <c r="Z17" s="141" t="e">
        <f t="shared" ca="1" si="31"/>
        <v>#DIV/0!</v>
      </c>
      <c r="AA17" s="141" t="e">
        <f t="shared" ca="1" si="31"/>
        <v>#DIV/0!</v>
      </c>
      <c r="AB17" s="141"/>
      <c r="AC17" s="141" t="e">
        <f t="shared" ca="1" si="1"/>
        <v>#DIV/0!</v>
      </c>
      <c r="AD17" s="141" t="e">
        <f t="shared" ref="AD17:AI17" ca="1" si="32">O17/$I17</f>
        <v>#DIV/0!</v>
      </c>
      <c r="AE17" s="141" t="e">
        <f t="shared" ca="1" si="32"/>
        <v>#DIV/0!</v>
      </c>
      <c r="AF17" s="141" t="e">
        <f t="shared" ca="1" si="32"/>
        <v>#DIV/0!</v>
      </c>
      <c r="AG17" s="141" t="e">
        <f t="shared" ca="1" si="32"/>
        <v>#DIV/0!</v>
      </c>
      <c r="AH17" s="141" t="e">
        <f t="shared" ca="1" si="32"/>
        <v>#DIV/0!</v>
      </c>
      <c r="AI17" s="141" t="e">
        <f t="shared" ca="1" si="32"/>
        <v>#DIV/0!</v>
      </c>
      <c r="AJ17" s="140"/>
    </row>
    <row r="18" spans="1:36">
      <c r="A18" s="140" t="e">
        <f ca="1"/>
        <v>#NAME?</v>
      </c>
      <c r="B18" s="140" t="e">
        <f ca="1"/>
        <v>#NAME?</v>
      </c>
      <c r="C18" s="140" t="e">
        <f ca="1"/>
        <v>#NAME?</v>
      </c>
      <c r="D18" s="140" t="e">
        <f ca="1"/>
        <v>#NAME?</v>
      </c>
      <c r="E18" s="140" t="e">
        <f ca="1"/>
        <v>#NAME?</v>
      </c>
      <c r="F18" s="140" t="e">
        <f ca="1"/>
        <v>#NAME?</v>
      </c>
      <c r="G18" s="140" t="e">
        <f ca="1"/>
        <v>#NAME?</v>
      </c>
      <c r="H18" s="140"/>
      <c r="I18" s="140">
        <f ca="1">SUMIFS('F20-2024'!I:I,'F20-2024'!$D:$D,$D18,'F20-2024'!$E:$E,$E18,'F20-2024'!$F:$F,$F18)</f>
        <v>0</v>
      </c>
      <c r="J18" s="140">
        <f ca="1">SUMIFS('F20-2024'!J:J,'F20-2024'!$D:$D,$D18,'F20-2024'!$E:$E,$E18,'F20-2024'!$F:$F,$F18)</f>
        <v>0</v>
      </c>
      <c r="K18" s="140">
        <f ca="1">SUMIFS('F20-2024'!K:K,'F20-2024'!$D:$D,$D18,'F20-2024'!$E:$E,$E18,'F20-2024'!$F:$F,$F18)</f>
        <v>0</v>
      </c>
      <c r="L18" s="140">
        <f ca="1">SUMIFS('F20-2024'!L:L,'F20-2024'!$D:$D,$D18,'F20-2024'!$E:$E,$E18,'F20-2024'!$F:$F,$F18)</f>
        <v>0</v>
      </c>
      <c r="M18" s="140">
        <f ca="1">SUMIFS('F20-2024'!M:M,'F20-2024'!$D:$D,$D18,'F20-2024'!$E:$E,$E18,'F20-2024'!$F:$F,$F18)</f>
        <v>0</v>
      </c>
      <c r="N18" s="140">
        <f ca="1">SUMIFS('F20-2024'!N:N,'F20-2024'!$D:$D,$D18,'F20-2024'!$E:$E,$E18,'F20-2024'!$F:$F,$F18)</f>
        <v>0</v>
      </c>
      <c r="O18" s="140">
        <f ca="1">SUMIFS('F20-2024'!O:O,'F20-2024'!$D:$D,$D18,'F20-2024'!$E:$E,$E18,'F20-2024'!$F:$F,$F18)</f>
        <v>0</v>
      </c>
      <c r="P18" s="140">
        <f ca="1">SUMIFS('F20-2024'!P:P,'F20-2024'!$D:$D,$D18,'F20-2024'!$E:$E,$E18,'F20-2024'!$F:$F,$F18)</f>
        <v>0</v>
      </c>
      <c r="Q18" s="140">
        <f ca="1">SUMIFS('F20-2024'!Q:Q,'F20-2024'!$D:$D,$D18,'F20-2024'!$E:$E,$E18,'F20-2024'!$F:$F,$F18)</f>
        <v>0</v>
      </c>
      <c r="R18" s="140">
        <f ca="1">SUMIFS('F20-2024'!R:R,'F20-2024'!$D:$D,$D18,'F20-2024'!$E:$E,$E18,'F20-2024'!$F:$F,$F18)</f>
        <v>0</v>
      </c>
      <c r="S18" s="140">
        <f ca="1">SUMIFS('F20-2024'!S:S,'F20-2024'!$D:$D,$D18,'F20-2024'!$E:$E,$E18,'F20-2024'!$F:$F,$F18)</f>
        <v>0</v>
      </c>
      <c r="T18" s="140">
        <f ca="1">SUMIFS('F20-2024'!T:T,'F20-2024'!$D:$D,$D18,'F20-2024'!$E:$E,$E18,'F20-2024'!$F:$F,$F18)</f>
        <v>0</v>
      </c>
      <c r="U18" s="140">
        <f ca="1">SUMIFS('F20-2024'!U:U,'F20-2024'!$D:$D,$D18,'F20-2024'!$E:$E,$E18,'F20-2024'!$F:$F,$F18)</f>
        <v>0</v>
      </c>
      <c r="V18" s="140"/>
      <c r="W18" s="141" t="e">
        <f t="shared" ref="W18:AA18" ca="1" si="33">J18/$I18</f>
        <v>#DIV/0!</v>
      </c>
      <c r="X18" s="141" t="e">
        <f t="shared" ca="1" si="33"/>
        <v>#DIV/0!</v>
      </c>
      <c r="Y18" s="141" t="e">
        <f t="shared" ca="1" si="33"/>
        <v>#DIV/0!</v>
      </c>
      <c r="Z18" s="141" t="e">
        <f t="shared" ca="1" si="33"/>
        <v>#DIV/0!</v>
      </c>
      <c r="AA18" s="141" t="e">
        <f t="shared" ca="1" si="33"/>
        <v>#DIV/0!</v>
      </c>
      <c r="AB18" s="141"/>
      <c r="AC18" s="141" t="e">
        <f t="shared" ca="1" si="1"/>
        <v>#DIV/0!</v>
      </c>
      <c r="AD18" s="141" t="e">
        <f t="shared" ref="AD18:AI18" ca="1" si="34">O18/$I18</f>
        <v>#DIV/0!</v>
      </c>
      <c r="AE18" s="141" t="e">
        <f t="shared" ca="1" si="34"/>
        <v>#DIV/0!</v>
      </c>
      <c r="AF18" s="141" t="e">
        <f t="shared" ca="1" si="34"/>
        <v>#DIV/0!</v>
      </c>
      <c r="AG18" s="141" t="e">
        <f t="shared" ca="1" si="34"/>
        <v>#DIV/0!</v>
      </c>
      <c r="AH18" s="141" t="e">
        <f t="shared" ca="1" si="34"/>
        <v>#DIV/0!</v>
      </c>
      <c r="AI18" s="141" t="e">
        <f t="shared" ca="1" si="34"/>
        <v>#DIV/0!</v>
      </c>
      <c r="AJ18" s="140"/>
    </row>
    <row r="19" spans="1:36">
      <c r="A19" s="140" t="e">
        <f ca="1"/>
        <v>#NAME?</v>
      </c>
      <c r="B19" s="140" t="e">
        <f ca="1"/>
        <v>#NAME?</v>
      </c>
      <c r="C19" s="140" t="e">
        <f ca="1"/>
        <v>#NAME?</v>
      </c>
      <c r="D19" s="140" t="e">
        <f ca="1"/>
        <v>#NAME?</v>
      </c>
      <c r="E19" s="140" t="e">
        <f ca="1"/>
        <v>#NAME?</v>
      </c>
      <c r="F19" s="140" t="e">
        <f ca="1"/>
        <v>#NAME?</v>
      </c>
      <c r="G19" s="140" t="e">
        <f ca="1"/>
        <v>#NAME?</v>
      </c>
      <c r="H19" s="140"/>
      <c r="I19" s="140">
        <f ca="1">SUMIFS('F20-2024'!I:I,'F20-2024'!$D:$D,$D19,'F20-2024'!$E:$E,$E19,'F20-2024'!$F:$F,$F19)</f>
        <v>0</v>
      </c>
      <c r="J19" s="140">
        <f ca="1">SUMIFS('F20-2024'!J:J,'F20-2024'!$D:$D,$D19,'F20-2024'!$E:$E,$E19,'F20-2024'!$F:$F,$F19)</f>
        <v>0</v>
      </c>
      <c r="K19" s="140">
        <f ca="1">SUMIFS('F20-2024'!K:K,'F20-2024'!$D:$D,$D19,'F20-2024'!$E:$E,$E19,'F20-2024'!$F:$F,$F19)</f>
        <v>0</v>
      </c>
      <c r="L19" s="140">
        <f ca="1">SUMIFS('F20-2024'!L:L,'F20-2024'!$D:$D,$D19,'F20-2024'!$E:$E,$E19,'F20-2024'!$F:$F,$F19)</f>
        <v>0</v>
      </c>
      <c r="M19" s="140">
        <f ca="1">SUMIFS('F20-2024'!M:M,'F20-2024'!$D:$D,$D19,'F20-2024'!$E:$E,$E19,'F20-2024'!$F:$F,$F19)</f>
        <v>0</v>
      </c>
      <c r="N19" s="140">
        <f ca="1">SUMIFS('F20-2024'!N:N,'F20-2024'!$D:$D,$D19,'F20-2024'!$E:$E,$E19,'F20-2024'!$F:$F,$F19)</f>
        <v>0</v>
      </c>
      <c r="O19" s="140">
        <f ca="1">SUMIFS('F20-2024'!O:O,'F20-2024'!$D:$D,$D19,'F20-2024'!$E:$E,$E19,'F20-2024'!$F:$F,$F19)</f>
        <v>0</v>
      </c>
      <c r="P19" s="140">
        <f ca="1">SUMIFS('F20-2024'!P:P,'F20-2024'!$D:$D,$D19,'F20-2024'!$E:$E,$E19,'F20-2024'!$F:$F,$F19)</f>
        <v>0</v>
      </c>
      <c r="Q19" s="140">
        <f ca="1">SUMIFS('F20-2024'!Q:Q,'F20-2024'!$D:$D,$D19,'F20-2024'!$E:$E,$E19,'F20-2024'!$F:$F,$F19)</f>
        <v>0</v>
      </c>
      <c r="R19" s="140">
        <f ca="1">SUMIFS('F20-2024'!R:R,'F20-2024'!$D:$D,$D19,'F20-2024'!$E:$E,$E19,'F20-2024'!$F:$F,$F19)</f>
        <v>0</v>
      </c>
      <c r="S19" s="140">
        <f ca="1">SUMIFS('F20-2024'!S:S,'F20-2024'!$D:$D,$D19,'F20-2024'!$E:$E,$E19,'F20-2024'!$F:$F,$F19)</f>
        <v>0</v>
      </c>
      <c r="T19" s="140">
        <f ca="1">SUMIFS('F20-2024'!T:T,'F20-2024'!$D:$D,$D19,'F20-2024'!$E:$E,$E19,'F20-2024'!$F:$F,$F19)</f>
        <v>0</v>
      </c>
      <c r="U19" s="140">
        <f ca="1">SUMIFS('F20-2024'!U:U,'F20-2024'!$D:$D,$D19,'F20-2024'!$E:$E,$E19,'F20-2024'!$F:$F,$F19)</f>
        <v>0</v>
      </c>
      <c r="V19" s="140"/>
      <c r="W19" s="141" t="e">
        <f t="shared" ref="W19:AA19" ca="1" si="35">J19/$I19</f>
        <v>#DIV/0!</v>
      </c>
      <c r="X19" s="141" t="e">
        <f t="shared" ca="1" si="35"/>
        <v>#DIV/0!</v>
      </c>
      <c r="Y19" s="141" t="e">
        <f t="shared" ca="1" si="35"/>
        <v>#DIV/0!</v>
      </c>
      <c r="Z19" s="141" t="e">
        <f t="shared" ca="1" si="35"/>
        <v>#DIV/0!</v>
      </c>
      <c r="AA19" s="141" t="e">
        <f t="shared" ca="1" si="35"/>
        <v>#DIV/0!</v>
      </c>
      <c r="AB19" s="141"/>
      <c r="AC19" s="141" t="e">
        <f t="shared" ca="1" si="1"/>
        <v>#DIV/0!</v>
      </c>
      <c r="AD19" s="141" t="e">
        <f t="shared" ref="AD19:AI19" ca="1" si="36">O19/$I19</f>
        <v>#DIV/0!</v>
      </c>
      <c r="AE19" s="141" t="e">
        <f t="shared" ca="1" si="36"/>
        <v>#DIV/0!</v>
      </c>
      <c r="AF19" s="141" t="e">
        <f t="shared" ca="1" si="36"/>
        <v>#DIV/0!</v>
      </c>
      <c r="AG19" s="141" t="e">
        <f t="shared" ca="1" si="36"/>
        <v>#DIV/0!</v>
      </c>
      <c r="AH19" s="141" t="e">
        <f t="shared" ca="1" si="36"/>
        <v>#DIV/0!</v>
      </c>
      <c r="AI19" s="141" t="e">
        <f t="shared" ca="1" si="36"/>
        <v>#DIV/0!</v>
      </c>
      <c r="AJ19" s="140"/>
    </row>
    <row r="20" spans="1:36">
      <c r="A20" s="140" t="e">
        <f ca="1"/>
        <v>#NAME?</v>
      </c>
      <c r="B20" s="140" t="e">
        <f ca="1"/>
        <v>#NAME?</v>
      </c>
      <c r="C20" s="140" t="e">
        <f ca="1"/>
        <v>#NAME?</v>
      </c>
      <c r="D20" s="140" t="e">
        <f ca="1"/>
        <v>#NAME?</v>
      </c>
      <c r="E20" s="140" t="e">
        <f ca="1"/>
        <v>#NAME?</v>
      </c>
      <c r="F20" s="140" t="e">
        <f ca="1"/>
        <v>#NAME?</v>
      </c>
      <c r="G20" s="140" t="e">
        <f ca="1"/>
        <v>#NAME?</v>
      </c>
      <c r="H20" s="140"/>
      <c r="I20" s="140">
        <f ca="1">SUMIFS('F20-2024'!I:I,'F20-2024'!$D:$D,$D20,'F20-2024'!$E:$E,$E20,'F20-2024'!$F:$F,$F20)</f>
        <v>0</v>
      </c>
      <c r="J20" s="140">
        <f ca="1">SUMIFS('F20-2024'!J:J,'F20-2024'!$D:$D,$D20,'F20-2024'!$E:$E,$E20,'F20-2024'!$F:$F,$F20)</f>
        <v>0</v>
      </c>
      <c r="K20" s="140">
        <f ca="1">SUMIFS('F20-2024'!K:K,'F20-2024'!$D:$D,$D20,'F20-2024'!$E:$E,$E20,'F20-2024'!$F:$F,$F20)</f>
        <v>0</v>
      </c>
      <c r="L20" s="140">
        <f ca="1">SUMIFS('F20-2024'!L:L,'F20-2024'!$D:$D,$D20,'F20-2024'!$E:$E,$E20,'F20-2024'!$F:$F,$F20)</f>
        <v>0</v>
      </c>
      <c r="M20" s="140">
        <f ca="1">SUMIFS('F20-2024'!M:M,'F20-2024'!$D:$D,$D20,'F20-2024'!$E:$E,$E20,'F20-2024'!$F:$F,$F20)</f>
        <v>0</v>
      </c>
      <c r="N20" s="140">
        <f ca="1">SUMIFS('F20-2024'!N:N,'F20-2024'!$D:$D,$D20,'F20-2024'!$E:$E,$E20,'F20-2024'!$F:$F,$F20)</f>
        <v>0</v>
      </c>
      <c r="O20" s="140">
        <f ca="1">SUMIFS('F20-2024'!O:O,'F20-2024'!$D:$D,$D20,'F20-2024'!$E:$E,$E20,'F20-2024'!$F:$F,$F20)</f>
        <v>0</v>
      </c>
      <c r="P20" s="140">
        <f ca="1">SUMIFS('F20-2024'!P:P,'F20-2024'!$D:$D,$D20,'F20-2024'!$E:$E,$E20,'F20-2024'!$F:$F,$F20)</f>
        <v>0</v>
      </c>
      <c r="Q20" s="140">
        <f ca="1">SUMIFS('F20-2024'!Q:Q,'F20-2024'!$D:$D,$D20,'F20-2024'!$E:$E,$E20,'F20-2024'!$F:$F,$F20)</f>
        <v>0</v>
      </c>
      <c r="R20" s="140">
        <f ca="1">SUMIFS('F20-2024'!R:R,'F20-2024'!$D:$D,$D20,'F20-2024'!$E:$E,$E20,'F20-2024'!$F:$F,$F20)</f>
        <v>0</v>
      </c>
      <c r="S20" s="140">
        <f ca="1">SUMIFS('F20-2024'!S:S,'F20-2024'!$D:$D,$D20,'F20-2024'!$E:$E,$E20,'F20-2024'!$F:$F,$F20)</f>
        <v>0</v>
      </c>
      <c r="T20" s="140">
        <f ca="1">SUMIFS('F20-2024'!T:T,'F20-2024'!$D:$D,$D20,'F20-2024'!$E:$E,$E20,'F20-2024'!$F:$F,$F20)</f>
        <v>0</v>
      </c>
      <c r="U20" s="140">
        <f ca="1">SUMIFS('F20-2024'!U:U,'F20-2024'!$D:$D,$D20,'F20-2024'!$E:$E,$E20,'F20-2024'!$F:$F,$F20)</f>
        <v>0</v>
      </c>
      <c r="V20" s="140"/>
      <c r="W20" s="141" t="e">
        <f t="shared" ref="W20:AA20" ca="1" si="37">J20/$I20</f>
        <v>#DIV/0!</v>
      </c>
      <c r="X20" s="141" t="e">
        <f t="shared" ca="1" si="37"/>
        <v>#DIV/0!</v>
      </c>
      <c r="Y20" s="141" t="e">
        <f t="shared" ca="1" si="37"/>
        <v>#DIV/0!</v>
      </c>
      <c r="Z20" s="141" t="e">
        <f t="shared" ca="1" si="37"/>
        <v>#DIV/0!</v>
      </c>
      <c r="AA20" s="141" t="e">
        <f t="shared" ca="1" si="37"/>
        <v>#DIV/0!</v>
      </c>
      <c r="AB20" s="141"/>
      <c r="AC20" s="141" t="e">
        <f t="shared" ca="1" si="1"/>
        <v>#DIV/0!</v>
      </c>
      <c r="AD20" s="141" t="e">
        <f t="shared" ref="AD20:AI20" ca="1" si="38">O20/$I20</f>
        <v>#DIV/0!</v>
      </c>
      <c r="AE20" s="141" t="e">
        <f t="shared" ca="1" si="38"/>
        <v>#DIV/0!</v>
      </c>
      <c r="AF20" s="141" t="e">
        <f t="shared" ca="1" si="38"/>
        <v>#DIV/0!</v>
      </c>
      <c r="AG20" s="141" t="e">
        <f t="shared" ca="1" si="38"/>
        <v>#DIV/0!</v>
      </c>
      <c r="AH20" s="141" t="e">
        <f t="shared" ca="1" si="38"/>
        <v>#DIV/0!</v>
      </c>
      <c r="AI20" s="141" t="e">
        <f t="shared" ca="1" si="38"/>
        <v>#DIV/0!</v>
      </c>
      <c r="AJ20" s="140"/>
    </row>
    <row r="21" spans="1:36">
      <c r="A21" s="140" t="e">
        <f ca="1"/>
        <v>#NAME?</v>
      </c>
      <c r="B21" s="140" t="e">
        <f ca="1"/>
        <v>#NAME?</v>
      </c>
      <c r="C21" s="140" t="e">
        <f ca="1"/>
        <v>#NAME?</v>
      </c>
      <c r="D21" s="140" t="e">
        <f ca="1"/>
        <v>#NAME?</v>
      </c>
      <c r="E21" s="140" t="e">
        <f ca="1"/>
        <v>#NAME?</v>
      </c>
      <c r="F21" s="140" t="e">
        <f ca="1"/>
        <v>#NAME?</v>
      </c>
      <c r="G21" s="140" t="e">
        <f ca="1"/>
        <v>#NAME?</v>
      </c>
      <c r="H21" s="140"/>
      <c r="I21" s="140">
        <f ca="1">SUMIFS('F20-2024'!I:I,'F20-2024'!$D:$D,$D21,'F20-2024'!$E:$E,$E21,'F20-2024'!$F:$F,$F21)</f>
        <v>0</v>
      </c>
      <c r="J21" s="140">
        <f ca="1">SUMIFS('F20-2024'!J:J,'F20-2024'!$D:$D,$D21,'F20-2024'!$E:$E,$E21,'F20-2024'!$F:$F,$F21)</f>
        <v>0</v>
      </c>
      <c r="K21" s="140">
        <f ca="1">SUMIFS('F20-2024'!K:K,'F20-2024'!$D:$D,$D21,'F20-2024'!$E:$E,$E21,'F20-2024'!$F:$F,$F21)</f>
        <v>0</v>
      </c>
      <c r="L21" s="140">
        <f ca="1">SUMIFS('F20-2024'!L:L,'F20-2024'!$D:$D,$D21,'F20-2024'!$E:$E,$E21,'F20-2024'!$F:$F,$F21)</f>
        <v>0</v>
      </c>
      <c r="M21" s="140">
        <f ca="1">SUMIFS('F20-2024'!M:M,'F20-2024'!$D:$D,$D21,'F20-2024'!$E:$E,$E21,'F20-2024'!$F:$F,$F21)</f>
        <v>0</v>
      </c>
      <c r="N21" s="140">
        <f ca="1">SUMIFS('F20-2024'!N:N,'F20-2024'!$D:$D,$D21,'F20-2024'!$E:$E,$E21,'F20-2024'!$F:$F,$F21)</f>
        <v>0</v>
      </c>
      <c r="O21" s="140">
        <f ca="1">SUMIFS('F20-2024'!O:O,'F20-2024'!$D:$D,$D21,'F20-2024'!$E:$E,$E21,'F20-2024'!$F:$F,$F21)</f>
        <v>0</v>
      </c>
      <c r="P21" s="140">
        <f ca="1">SUMIFS('F20-2024'!P:P,'F20-2024'!$D:$D,$D21,'F20-2024'!$E:$E,$E21,'F20-2024'!$F:$F,$F21)</f>
        <v>0</v>
      </c>
      <c r="Q21" s="140">
        <f ca="1">SUMIFS('F20-2024'!Q:Q,'F20-2024'!$D:$D,$D21,'F20-2024'!$E:$E,$E21,'F20-2024'!$F:$F,$F21)</f>
        <v>0</v>
      </c>
      <c r="R21" s="140">
        <f ca="1">SUMIFS('F20-2024'!R:R,'F20-2024'!$D:$D,$D21,'F20-2024'!$E:$E,$E21,'F20-2024'!$F:$F,$F21)</f>
        <v>0</v>
      </c>
      <c r="S21" s="140">
        <f ca="1">SUMIFS('F20-2024'!S:S,'F20-2024'!$D:$D,$D21,'F20-2024'!$E:$E,$E21,'F20-2024'!$F:$F,$F21)</f>
        <v>0</v>
      </c>
      <c r="T21" s="140">
        <f ca="1">SUMIFS('F20-2024'!T:T,'F20-2024'!$D:$D,$D21,'F20-2024'!$E:$E,$E21,'F20-2024'!$F:$F,$F21)</f>
        <v>0</v>
      </c>
      <c r="U21" s="140">
        <f ca="1">SUMIFS('F20-2024'!U:U,'F20-2024'!$D:$D,$D21,'F20-2024'!$E:$E,$E21,'F20-2024'!$F:$F,$F21)</f>
        <v>0</v>
      </c>
      <c r="V21" s="140"/>
      <c r="W21" s="141" t="e">
        <f t="shared" ref="W21:AA21" ca="1" si="39">J21/$I21</f>
        <v>#DIV/0!</v>
      </c>
      <c r="X21" s="141" t="e">
        <f t="shared" ca="1" si="39"/>
        <v>#DIV/0!</v>
      </c>
      <c r="Y21" s="141" t="e">
        <f t="shared" ca="1" si="39"/>
        <v>#DIV/0!</v>
      </c>
      <c r="Z21" s="141" t="e">
        <f t="shared" ca="1" si="39"/>
        <v>#DIV/0!</v>
      </c>
      <c r="AA21" s="141" t="e">
        <f t="shared" ca="1" si="39"/>
        <v>#DIV/0!</v>
      </c>
      <c r="AB21" s="141"/>
      <c r="AC21" s="141" t="e">
        <f t="shared" ca="1" si="1"/>
        <v>#DIV/0!</v>
      </c>
      <c r="AD21" s="141" t="e">
        <f t="shared" ref="AD21:AI21" ca="1" si="40">O21/$I21</f>
        <v>#DIV/0!</v>
      </c>
      <c r="AE21" s="141" t="e">
        <f t="shared" ca="1" si="40"/>
        <v>#DIV/0!</v>
      </c>
      <c r="AF21" s="141" t="e">
        <f t="shared" ca="1" si="40"/>
        <v>#DIV/0!</v>
      </c>
      <c r="AG21" s="141" t="e">
        <f t="shared" ca="1" si="40"/>
        <v>#DIV/0!</v>
      </c>
      <c r="AH21" s="141" t="e">
        <f t="shared" ca="1" si="40"/>
        <v>#DIV/0!</v>
      </c>
      <c r="AI21" s="141" t="e">
        <f t="shared" ca="1" si="40"/>
        <v>#DIV/0!</v>
      </c>
      <c r="AJ21" s="140"/>
    </row>
    <row r="22" spans="1:36">
      <c r="A22" s="140" t="e">
        <f ca="1"/>
        <v>#NAME?</v>
      </c>
      <c r="B22" s="140" t="e">
        <f ca="1"/>
        <v>#NAME?</v>
      </c>
      <c r="C22" s="140" t="e">
        <f ca="1"/>
        <v>#NAME?</v>
      </c>
      <c r="D22" s="140" t="e">
        <f ca="1"/>
        <v>#NAME?</v>
      </c>
      <c r="E22" s="140" t="e">
        <f ca="1"/>
        <v>#NAME?</v>
      </c>
      <c r="F22" s="140" t="e">
        <f ca="1"/>
        <v>#NAME?</v>
      </c>
      <c r="G22" s="140" t="e">
        <f ca="1"/>
        <v>#NAME?</v>
      </c>
      <c r="H22" s="140"/>
      <c r="I22" s="140">
        <f ca="1">SUMIFS('F20-2024'!I:I,'F20-2024'!$D:$D,$D22,'F20-2024'!$E:$E,$E22,'F20-2024'!$F:$F,$F22)</f>
        <v>0</v>
      </c>
      <c r="J22" s="140">
        <f ca="1">SUMIFS('F20-2024'!J:J,'F20-2024'!$D:$D,$D22,'F20-2024'!$E:$E,$E22,'F20-2024'!$F:$F,$F22)</f>
        <v>0</v>
      </c>
      <c r="K22" s="140">
        <f ca="1">SUMIFS('F20-2024'!K:K,'F20-2024'!$D:$D,$D22,'F20-2024'!$E:$E,$E22,'F20-2024'!$F:$F,$F22)</f>
        <v>0</v>
      </c>
      <c r="L22" s="140">
        <f ca="1">SUMIFS('F20-2024'!L:L,'F20-2024'!$D:$D,$D22,'F20-2024'!$E:$E,$E22,'F20-2024'!$F:$F,$F22)</f>
        <v>0</v>
      </c>
      <c r="M22" s="140">
        <f ca="1">SUMIFS('F20-2024'!M:M,'F20-2024'!$D:$D,$D22,'F20-2024'!$E:$E,$E22,'F20-2024'!$F:$F,$F22)</f>
        <v>0</v>
      </c>
      <c r="N22" s="140">
        <f ca="1">SUMIFS('F20-2024'!N:N,'F20-2024'!$D:$D,$D22,'F20-2024'!$E:$E,$E22,'F20-2024'!$F:$F,$F22)</f>
        <v>0</v>
      </c>
      <c r="O22" s="140">
        <f ca="1">SUMIFS('F20-2024'!O:O,'F20-2024'!$D:$D,$D22,'F20-2024'!$E:$E,$E22,'F20-2024'!$F:$F,$F22)</f>
        <v>0</v>
      </c>
      <c r="P22" s="140">
        <f ca="1">SUMIFS('F20-2024'!P:P,'F20-2024'!$D:$D,$D22,'F20-2024'!$E:$E,$E22,'F20-2024'!$F:$F,$F22)</f>
        <v>0</v>
      </c>
      <c r="Q22" s="140">
        <f ca="1">SUMIFS('F20-2024'!Q:Q,'F20-2024'!$D:$D,$D22,'F20-2024'!$E:$E,$E22,'F20-2024'!$F:$F,$F22)</f>
        <v>0</v>
      </c>
      <c r="R22" s="140">
        <f ca="1">SUMIFS('F20-2024'!R:R,'F20-2024'!$D:$D,$D22,'F20-2024'!$E:$E,$E22,'F20-2024'!$F:$F,$F22)</f>
        <v>0</v>
      </c>
      <c r="S22" s="140">
        <f ca="1">SUMIFS('F20-2024'!S:S,'F20-2024'!$D:$D,$D22,'F20-2024'!$E:$E,$E22,'F20-2024'!$F:$F,$F22)</f>
        <v>0</v>
      </c>
      <c r="T22" s="140">
        <f ca="1">SUMIFS('F20-2024'!T:T,'F20-2024'!$D:$D,$D22,'F20-2024'!$E:$E,$E22,'F20-2024'!$F:$F,$F22)</f>
        <v>0</v>
      </c>
      <c r="U22" s="140">
        <f ca="1">SUMIFS('F20-2024'!U:U,'F20-2024'!$D:$D,$D22,'F20-2024'!$E:$E,$E22,'F20-2024'!$F:$F,$F22)</f>
        <v>0</v>
      </c>
      <c r="V22" s="140"/>
      <c r="W22" s="141" t="e">
        <f t="shared" ref="W22:AA22" ca="1" si="41">J22/$I22</f>
        <v>#DIV/0!</v>
      </c>
      <c r="X22" s="141" t="e">
        <f t="shared" ca="1" si="41"/>
        <v>#DIV/0!</v>
      </c>
      <c r="Y22" s="141" t="e">
        <f t="shared" ca="1" si="41"/>
        <v>#DIV/0!</v>
      </c>
      <c r="Z22" s="141" t="e">
        <f t="shared" ca="1" si="41"/>
        <v>#DIV/0!</v>
      </c>
      <c r="AA22" s="141" t="e">
        <f t="shared" ca="1" si="41"/>
        <v>#DIV/0!</v>
      </c>
      <c r="AB22" s="141"/>
      <c r="AC22" s="141" t="e">
        <f t="shared" ca="1" si="1"/>
        <v>#DIV/0!</v>
      </c>
      <c r="AD22" s="141" t="e">
        <f t="shared" ref="AD22:AI22" ca="1" si="42">O22/$I22</f>
        <v>#DIV/0!</v>
      </c>
      <c r="AE22" s="141" t="e">
        <f t="shared" ca="1" si="42"/>
        <v>#DIV/0!</v>
      </c>
      <c r="AF22" s="141" t="e">
        <f t="shared" ca="1" si="42"/>
        <v>#DIV/0!</v>
      </c>
      <c r="AG22" s="141" t="e">
        <f t="shared" ca="1" si="42"/>
        <v>#DIV/0!</v>
      </c>
      <c r="AH22" s="141" t="e">
        <f t="shared" ca="1" si="42"/>
        <v>#DIV/0!</v>
      </c>
      <c r="AI22" s="141" t="e">
        <f t="shared" ca="1" si="42"/>
        <v>#DIV/0!</v>
      </c>
      <c r="AJ22" s="140"/>
    </row>
    <row r="23" spans="1:36">
      <c r="A23" s="140" t="e">
        <f ca="1"/>
        <v>#NAME?</v>
      </c>
      <c r="B23" s="140" t="e">
        <f ca="1"/>
        <v>#NAME?</v>
      </c>
      <c r="C23" s="140" t="e">
        <f ca="1"/>
        <v>#NAME?</v>
      </c>
      <c r="D23" s="140" t="e">
        <f ca="1"/>
        <v>#NAME?</v>
      </c>
      <c r="E23" s="140" t="e">
        <f ca="1"/>
        <v>#NAME?</v>
      </c>
      <c r="F23" s="140" t="e">
        <f ca="1"/>
        <v>#NAME?</v>
      </c>
      <c r="G23" s="140" t="e">
        <f ca="1"/>
        <v>#NAME?</v>
      </c>
      <c r="H23" s="140"/>
      <c r="I23" s="140">
        <f ca="1">SUMIFS('F20-2024'!I:I,'F20-2024'!$D:$D,$D23,'F20-2024'!$E:$E,$E23,'F20-2024'!$F:$F,$F23)</f>
        <v>0</v>
      </c>
      <c r="J23" s="140">
        <f ca="1">SUMIFS('F20-2024'!J:J,'F20-2024'!$D:$D,$D23,'F20-2024'!$E:$E,$E23,'F20-2024'!$F:$F,$F23)</f>
        <v>0</v>
      </c>
      <c r="K23" s="140">
        <f ca="1">SUMIFS('F20-2024'!K:K,'F20-2024'!$D:$D,$D23,'F20-2024'!$E:$E,$E23,'F20-2024'!$F:$F,$F23)</f>
        <v>0</v>
      </c>
      <c r="L23" s="140">
        <f ca="1">SUMIFS('F20-2024'!L:L,'F20-2024'!$D:$D,$D23,'F20-2024'!$E:$E,$E23,'F20-2024'!$F:$F,$F23)</f>
        <v>0</v>
      </c>
      <c r="M23" s="140">
        <f ca="1">SUMIFS('F20-2024'!M:M,'F20-2024'!$D:$D,$D23,'F20-2024'!$E:$E,$E23,'F20-2024'!$F:$F,$F23)</f>
        <v>0</v>
      </c>
      <c r="N23" s="140">
        <f ca="1">SUMIFS('F20-2024'!N:N,'F20-2024'!$D:$D,$D23,'F20-2024'!$E:$E,$E23,'F20-2024'!$F:$F,$F23)</f>
        <v>0</v>
      </c>
      <c r="O23" s="140">
        <f ca="1">SUMIFS('F20-2024'!O:O,'F20-2024'!$D:$D,$D23,'F20-2024'!$E:$E,$E23,'F20-2024'!$F:$F,$F23)</f>
        <v>0</v>
      </c>
      <c r="P23" s="140">
        <f ca="1">SUMIFS('F20-2024'!P:P,'F20-2024'!$D:$D,$D23,'F20-2024'!$E:$E,$E23,'F20-2024'!$F:$F,$F23)</f>
        <v>0</v>
      </c>
      <c r="Q23" s="140">
        <f ca="1">SUMIFS('F20-2024'!Q:Q,'F20-2024'!$D:$D,$D23,'F20-2024'!$E:$E,$E23,'F20-2024'!$F:$F,$F23)</f>
        <v>0</v>
      </c>
      <c r="R23" s="140">
        <f ca="1">SUMIFS('F20-2024'!R:R,'F20-2024'!$D:$D,$D23,'F20-2024'!$E:$E,$E23,'F20-2024'!$F:$F,$F23)</f>
        <v>0</v>
      </c>
      <c r="S23" s="140">
        <f ca="1">SUMIFS('F20-2024'!S:S,'F20-2024'!$D:$D,$D23,'F20-2024'!$E:$E,$E23,'F20-2024'!$F:$F,$F23)</f>
        <v>0</v>
      </c>
      <c r="T23" s="140">
        <f ca="1">SUMIFS('F20-2024'!T:T,'F20-2024'!$D:$D,$D23,'F20-2024'!$E:$E,$E23,'F20-2024'!$F:$F,$F23)</f>
        <v>0</v>
      </c>
      <c r="U23" s="140">
        <f ca="1">SUMIFS('F20-2024'!U:U,'F20-2024'!$D:$D,$D23,'F20-2024'!$E:$E,$E23,'F20-2024'!$F:$F,$F23)</f>
        <v>0</v>
      </c>
      <c r="V23" s="140"/>
      <c r="W23" s="141" t="e">
        <f t="shared" ref="W23:AA23" ca="1" si="43">J23/$I23</f>
        <v>#DIV/0!</v>
      </c>
      <c r="X23" s="141" t="e">
        <f t="shared" ca="1" si="43"/>
        <v>#DIV/0!</v>
      </c>
      <c r="Y23" s="141" t="e">
        <f t="shared" ca="1" si="43"/>
        <v>#DIV/0!</v>
      </c>
      <c r="Z23" s="141" t="e">
        <f t="shared" ca="1" si="43"/>
        <v>#DIV/0!</v>
      </c>
      <c r="AA23" s="141" t="e">
        <f t="shared" ca="1" si="43"/>
        <v>#DIV/0!</v>
      </c>
      <c r="AB23" s="141"/>
      <c r="AC23" s="141" t="e">
        <f t="shared" ca="1" si="1"/>
        <v>#DIV/0!</v>
      </c>
      <c r="AD23" s="141" t="e">
        <f t="shared" ref="AD23:AI23" ca="1" si="44">O23/$I23</f>
        <v>#DIV/0!</v>
      </c>
      <c r="AE23" s="141" t="e">
        <f t="shared" ca="1" si="44"/>
        <v>#DIV/0!</v>
      </c>
      <c r="AF23" s="141" t="e">
        <f t="shared" ca="1" si="44"/>
        <v>#DIV/0!</v>
      </c>
      <c r="AG23" s="141" t="e">
        <f t="shared" ca="1" si="44"/>
        <v>#DIV/0!</v>
      </c>
      <c r="AH23" s="141" t="e">
        <f t="shared" ca="1" si="44"/>
        <v>#DIV/0!</v>
      </c>
      <c r="AI23" s="141" t="e">
        <f t="shared" ca="1" si="44"/>
        <v>#DIV/0!</v>
      </c>
      <c r="AJ23" s="140"/>
    </row>
    <row r="24" spans="1:36">
      <c r="A24" s="140" t="e">
        <f ca="1"/>
        <v>#NAME?</v>
      </c>
      <c r="B24" s="140" t="e">
        <f ca="1"/>
        <v>#NAME?</v>
      </c>
      <c r="C24" s="140" t="e">
        <f ca="1"/>
        <v>#NAME?</v>
      </c>
      <c r="D24" s="140" t="e">
        <f ca="1"/>
        <v>#NAME?</v>
      </c>
      <c r="E24" s="140" t="e">
        <f ca="1"/>
        <v>#NAME?</v>
      </c>
      <c r="F24" s="140" t="e">
        <f ca="1"/>
        <v>#NAME?</v>
      </c>
      <c r="G24" s="140" t="e">
        <f ca="1"/>
        <v>#NAME?</v>
      </c>
      <c r="H24" s="140"/>
      <c r="I24" s="140">
        <f ca="1">SUMIFS('F20-2024'!I:I,'F20-2024'!$D:$D,$D24,'F20-2024'!$E:$E,$E24,'F20-2024'!$F:$F,$F24)</f>
        <v>0</v>
      </c>
      <c r="J24" s="140">
        <f ca="1">SUMIFS('F20-2024'!J:J,'F20-2024'!$D:$D,$D24,'F20-2024'!$E:$E,$E24,'F20-2024'!$F:$F,$F24)</f>
        <v>0</v>
      </c>
      <c r="K24" s="140">
        <f ca="1">SUMIFS('F20-2024'!K:K,'F20-2024'!$D:$D,$D24,'F20-2024'!$E:$E,$E24,'F20-2024'!$F:$F,$F24)</f>
        <v>0</v>
      </c>
      <c r="L24" s="140">
        <f ca="1">SUMIFS('F20-2024'!L:L,'F20-2024'!$D:$D,$D24,'F20-2024'!$E:$E,$E24,'F20-2024'!$F:$F,$F24)</f>
        <v>0</v>
      </c>
      <c r="M24" s="140">
        <f ca="1">SUMIFS('F20-2024'!M:M,'F20-2024'!$D:$D,$D24,'F20-2024'!$E:$E,$E24,'F20-2024'!$F:$F,$F24)</f>
        <v>0</v>
      </c>
      <c r="N24" s="140">
        <f ca="1">SUMIFS('F20-2024'!N:N,'F20-2024'!$D:$D,$D24,'F20-2024'!$E:$E,$E24,'F20-2024'!$F:$F,$F24)</f>
        <v>0</v>
      </c>
      <c r="O24" s="140">
        <f ca="1">SUMIFS('F20-2024'!O:O,'F20-2024'!$D:$D,$D24,'F20-2024'!$E:$E,$E24,'F20-2024'!$F:$F,$F24)</f>
        <v>0</v>
      </c>
      <c r="P24" s="140">
        <f ca="1">SUMIFS('F20-2024'!P:P,'F20-2024'!$D:$D,$D24,'F20-2024'!$E:$E,$E24,'F20-2024'!$F:$F,$F24)</f>
        <v>0</v>
      </c>
      <c r="Q24" s="140">
        <f ca="1">SUMIFS('F20-2024'!Q:Q,'F20-2024'!$D:$D,$D24,'F20-2024'!$E:$E,$E24,'F20-2024'!$F:$F,$F24)</f>
        <v>0</v>
      </c>
      <c r="R24" s="140">
        <f ca="1">SUMIFS('F20-2024'!R:R,'F20-2024'!$D:$D,$D24,'F20-2024'!$E:$E,$E24,'F20-2024'!$F:$F,$F24)</f>
        <v>0</v>
      </c>
      <c r="S24" s="140">
        <f ca="1">SUMIFS('F20-2024'!S:S,'F20-2024'!$D:$D,$D24,'F20-2024'!$E:$E,$E24,'F20-2024'!$F:$F,$F24)</f>
        <v>0</v>
      </c>
      <c r="T24" s="140">
        <f ca="1">SUMIFS('F20-2024'!T:T,'F20-2024'!$D:$D,$D24,'F20-2024'!$E:$E,$E24,'F20-2024'!$F:$F,$F24)</f>
        <v>0</v>
      </c>
      <c r="U24" s="140">
        <f ca="1">SUMIFS('F20-2024'!U:U,'F20-2024'!$D:$D,$D24,'F20-2024'!$E:$E,$E24,'F20-2024'!$F:$F,$F24)</f>
        <v>0</v>
      </c>
      <c r="V24" s="140"/>
      <c r="W24" s="141" t="e">
        <f t="shared" ref="W24:AA24" ca="1" si="45">J24/$I24</f>
        <v>#DIV/0!</v>
      </c>
      <c r="X24" s="141" t="e">
        <f t="shared" ca="1" si="45"/>
        <v>#DIV/0!</v>
      </c>
      <c r="Y24" s="141" t="e">
        <f t="shared" ca="1" si="45"/>
        <v>#DIV/0!</v>
      </c>
      <c r="Z24" s="141" t="e">
        <f t="shared" ca="1" si="45"/>
        <v>#DIV/0!</v>
      </c>
      <c r="AA24" s="141" t="e">
        <f t="shared" ca="1" si="45"/>
        <v>#DIV/0!</v>
      </c>
      <c r="AB24" s="141"/>
      <c r="AC24" s="141" t="e">
        <f t="shared" ca="1" si="1"/>
        <v>#DIV/0!</v>
      </c>
      <c r="AD24" s="141" t="e">
        <f t="shared" ref="AD24:AI24" ca="1" si="46">O24/$I24</f>
        <v>#DIV/0!</v>
      </c>
      <c r="AE24" s="141" t="e">
        <f t="shared" ca="1" si="46"/>
        <v>#DIV/0!</v>
      </c>
      <c r="AF24" s="141" t="e">
        <f t="shared" ca="1" si="46"/>
        <v>#DIV/0!</v>
      </c>
      <c r="AG24" s="141" t="e">
        <f t="shared" ca="1" si="46"/>
        <v>#DIV/0!</v>
      </c>
      <c r="AH24" s="141" t="e">
        <f t="shared" ca="1" si="46"/>
        <v>#DIV/0!</v>
      </c>
      <c r="AI24" s="141" t="e">
        <f t="shared" ca="1" si="46"/>
        <v>#DIV/0!</v>
      </c>
      <c r="AJ24" s="140"/>
    </row>
    <row r="25" spans="1:36">
      <c r="A25" s="140" t="e">
        <f ca="1"/>
        <v>#NAME?</v>
      </c>
      <c r="B25" s="140" t="e">
        <f ca="1"/>
        <v>#NAME?</v>
      </c>
      <c r="C25" s="140" t="e">
        <f ca="1"/>
        <v>#NAME?</v>
      </c>
      <c r="D25" s="140" t="e">
        <f ca="1"/>
        <v>#NAME?</v>
      </c>
      <c r="E25" s="140" t="e">
        <f ca="1"/>
        <v>#NAME?</v>
      </c>
      <c r="F25" s="140" t="e">
        <f ca="1"/>
        <v>#NAME?</v>
      </c>
      <c r="G25" s="140" t="e">
        <f ca="1"/>
        <v>#NAME?</v>
      </c>
      <c r="H25" s="140"/>
      <c r="I25" s="140">
        <f ca="1">SUMIFS('F20-2024'!I:I,'F20-2024'!$D:$D,$D25,'F20-2024'!$E:$E,$E25,'F20-2024'!$F:$F,$F25)</f>
        <v>0</v>
      </c>
      <c r="J25" s="140">
        <f ca="1">SUMIFS('F20-2024'!J:J,'F20-2024'!$D:$D,$D25,'F20-2024'!$E:$E,$E25,'F20-2024'!$F:$F,$F25)</f>
        <v>0</v>
      </c>
      <c r="K25" s="140">
        <f ca="1">SUMIFS('F20-2024'!K:K,'F20-2024'!$D:$D,$D25,'F20-2024'!$E:$E,$E25,'F20-2024'!$F:$F,$F25)</f>
        <v>0</v>
      </c>
      <c r="L25" s="140">
        <f ca="1">SUMIFS('F20-2024'!L:L,'F20-2024'!$D:$D,$D25,'F20-2024'!$E:$E,$E25,'F20-2024'!$F:$F,$F25)</f>
        <v>0</v>
      </c>
      <c r="M25" s="140">
        <f ca="1">SUMIFS('F20-2024'!M:M,'F20-2024'!$D:$D,$D25,'F20-2024'!$E:$E,$E25,'F20-2024'!$F:$F,$F25)</f>
        <v>0</v>
      </c>
      <c r="N25" s="140">
        <f ca="1">SUMIFS('F20-2024'!N:N,'F20-2024'!$D:$D,$D25,'F20-2024'!$E:$E,$E25,'F20-2024'!$F:$F,$F25)</f>
        <v>0</v>
      </c>
      <c r="O25" s="140">
        <f ca="1">SUMIFS('F20-2024'!O:O,'F20-2024'!$D:$D,$D25,'F20-2024'!$E:$E,$E25,'F20-2024'!$F:$F,$F25)</f>
        <v>0</v>
      </c>
      <c r="P25" s="140">
        <f ca="1">SUMIFS('F20-2024'!P:P,'F20-2024'!$D:$D,$D25,'F20-2024'!$E:$E,$E25,'F20-2024'!$F:$F,$F25)</f>
        <v>0</v>
      </c>
      <c r="Q25" s="140">
        <f ca="1">SUMIFS('F20-2024'!Q:Q,'F20-2024'!$D:$D,$D25,'F20-2024'!$E:$E,$E25,'F20-2024'!$F:$F,$F25)</f>
        <v>0</v>
      </c>
      <c r="R25" s="140">
        <f ca="1">SUMIFS('F20-2024'!R:R,'F20-2024'!$D:$D,$D25,'F20-2024'!$E:$E,$E25,'F20-2024'!$F:$F,$F25)</f>
        <v>0</v>
      </c>
      <c r="S25" s="140">
        <f ca="1">SUMIFS('F20-2024'!S:S,'F20-2024'!$D:$D,$D25,'F20-2024'!$E:$E,$E25,'F20-2024'!$F:$F,$F25)</f>
        <v>0</v>
      </c>
      <c r="T25" s="140">
        <f ca="1">SUMIFS('F20-2024'!T:T,'F20-2024'!$D:$D,$D25,'F20-2024'!$E:$E,$E25,'F20-2024'!$F:$F,$F25)</f>
        <v>0</v>
      </c>
      <c r="U25" s="140">
        <f ca="1">SUMIFS('F20-2024'!U:U,'F20-2024'!$D:$D,$D25,'F20-2024'!$E:$E,$E25,'F20-2024'!$F:$F,$F25)</f>
        <v>0</v>
      </c>
      <c r="V25" s="140"/>
      <c r="W25" s="141" t="e">
        <f t="shared" ref="W25:AA25" ca="1" si="47">J25/$I25</f>
        <v>#DIV/0!</v>
      </c>
      <c r="X25" s="141" t="e">
        <f t="shared" ca="1" si="47"/>
        <v>#DIV/0!</v>
      </c>
      <c r="Y25" s="141" t="e">
        <f t="shared" ca="1" si="47"/>
        <v>#DIV/0!</v>
      </c>
      <c r="Z25" s="141" t="e">
        <f t="shared" ca="1" si="47"/>
        <v>#DIV/0!</v>
      </c>
      <c r="AA25" s="141" t="e">
        <f t="shared" ca="1" si="47"/>
        <v>#DIV/0!</v>
      </c>
      <c r="AB25" s="141"/>
      <c r="AC25" s="141" t="e">
        <f t="shared" ca="1" si="1"/>
        <v>#DIV/0!</v>
      </c>
      <c r="AD25" s="141" t="e">
        <f t="shared" ref="AD25:AI25" ca="1" si="48">O25/$I25</f>
        <v>#DIV/0!</v>
      </c>
      <c r="AE25" s="141" t="e">
        <f t="shared" ca="1" si="48"/>
        <v>#DIV/0!</v>
      </c>
      <c r="AF25" s="141" t="e">
        <f t="shared" ca="1" si="48"/>
        <v>#DIV/0!</v>
      </c>
      <c r="AG25" s="141" t="e">
        <f t="shared" ca="1" si="48"/>
        <v>#DIV/0!</v>
      </c>
      <c r="AH25" s="141" t="e">
        <f t="shared" ca="1" si="48"/>
        <v>#DIV/0!</v>
      </c>
      <c r="AI25" s="141" t="e">
        <f t="shared" ca="1" si="48"/>
        <v>#DIV/0!</v>
      </c>
      <c r="AJ25" s="140"/>
    </row>
    <row r="26" spans="1:36">
      <c r="A26" s="140" t="e">
        <f ca="1"/>
        <v>#NAME?</v>
      </c>
      <c r="B26" s="140" t="e">
        <f ca="1"/>
        <v>#NAME?</v>
      </c>
      <c r="C26" s="140" t="e">
        <f ca="1"/>
        <v>#NAME?</v>
      </c>
      <c r="D26" s="140" t="e">
        <f ca="1"/>
        <v>#NAME?</v>
      </c>
      <c r="E26" s="140" t="e">
        <f ca="1"/>
        <v>#NAME?</v>
      </c>
      <c r="F26" s="140" t="e">
        <f ca="1"/>
        <v>#NAME?</v>
      </c>
      <c r="G26" s="140" t="e">
        <f ca="1"/>
        <v>#NAME?</v>
      </c>
      <c r="H26" s="140"/>
      <c r="I26" s="140">
        <f ca="1">SUMIFS('F20-2024'!I:I,'F20-2024'!$D:$D,$D26,'F20-2024'!$E:$E,$E26,'F20-2024'!$F:$F,$F26)</f>
        <v>0</v>
      </c>
      <c r="J26" s="140">
        <f ca="1">SUMIFS('F20-2024'!J:J,'F20-2024'!$D:$D,$D26,'F20-2024'!$E:$E,$E26,'F20-2024'!$F:$F,$F26)</f>
        <v>0</v>
      </c>
      <c r="K26" s="140">
        <f ca="1">SUMIFS('F20-2024'!K:K,'F20-2024'!$D:$D,$D26,'F20-2024'!$E:$E,$E26,'F20-2024'!$F:$F,$F26)</f>
        <v>0</v>
      </c>
      <c r="L26" s="140">
        <f ca="1">SUMIFS('F20-2024'!L:L,'F20-2024'!$D:$D,$D26,'F20-2024'!$E:$E,$E26,'F20-2024'!$F:$F,$F26)</f>
        <v>0</v>
      </c>
      <c r="M26" s="140">
        <f ca="1">SUMIFS('F20-2024'!M:M,'F20-2024'!$D:$D,$D26,'F20-2024'!$E:$E,$E26,'F20-2024'!$F:$F,$F26)</f>
        <v>0</v>
      </c>
      <c r="N26" s="140">
        <f ca="1">SUMIFS('F20-2024'!N:N,'F20-2024'!$D:$D,$D26,'F20-2024'!$E:$E,$E26,'F20-2024'!$F:$F,$F26)</f>
        <v>0</v>
      </c>
      <c r="O26" s="140">
        <f ca="1">SUMIFS('F20-2024'!O:O,'F20-2024'!$D:$D,$D26,'F20-2024'!$E:$E,$E26,'F20-2024'!$F:$F,$F26)</f>
        <v>0</v>
      </c>
      <c r="P26" s="140">
        <f ca="1">SUMIFS('F20-2024'!P:P,'F20-2024'!$D:$D,$D26,'F20-2024'!$E:$E,$E26,'F20-2024'!$F:$F,$F26)</f>
        <v>0</v>
      </c>
      <c r="Q26" s="140">
        <f ca="1">SUMIFS('F20-2024'!Q:Q,'F20-2024'!$D:$D,$D26,'F20-2024'!$E:$E,$E26,'F20-2024'!$F:$F,$F26)</f>
        <v>0</v>
      </c>
      <c r="R26" s="140">
        <f ca="1">SUMIFS('F20-2024'!R:R,'F20-2024'!$D:$D,$D26,'F20-2024'!$E:$E,$E26,'F20-2024'!$F:$F,$F26)</f>
        <v>0</v>
      </c>
      <c r="S26" s="140">
        <f ca="1">SUMIFS('F20-2024'!S:S,'F20-2024'!$D:$D,$D26,'F20-2024'!$E:$E,$E26,'F20-2024'!$F:$F,$F26)</f>
        <v>0</v>
      </c>
      <c r="T26" s="140">
        <f ca="1">SUMIFS('F20-2024'!T:T,'F20-2024'!$D:$D,$D26,'F20-2024'!$E:$E,$E26,'F20-2024'!$F:$F,$F26)</f>
        <v>0</v>
      </c>
      <c r="U26" s="140">
        <f ca="1">SUMIFS('F20-2024'!U:U,'F20-2024'!$D:$D,$D26,'F20-2024'!$E:$E,$E26,'F20-2024'!$F:$F,$F26)</f>
        <v>0</v>
      </c>
      <c r="V26" s="140"/>
      <c r="W26" s="141" t="e">
        <f t="shared" ref="W26:AA26" ca="1" si="49">J26/$I26</f>
        <v>#DIV/0!</v>
      </c>
      <c r="X26" s="141" t="e">
        <f t="shared" ca="1" si="49"/>
        <v>#DIV/0!</v>
      </c>
      <c r="Y26" s="141" t="e">
        <f t="shared" ca="1" si="49"/>
        <v>#DIV/0!</v>
      </c>
      <c r="Z26" s="141" t="e">
        <f t="shared" ca="1" si="49"/>
        <v>#DIV/0!</v>
      </c>
      <c r="AA26" s="141" t="e">
        <f t="shared" ca="1" si="49"/>
        <v>#DIV/0!</v>
      </c>
      <c r="AB26" s="141"/>
      <c r="AC26" s="141" t="e">
        <f t="shared" ca="1" si="1"/>
        <v>#DIV/0!</v>
      </c>
      <c r="AD26" s="141" t="e">
        <f t="shared" ref="AD26:AI26" ca="1" si="50">O26/$I26</f>
        <v>#DIV/0!</v>
      </c>
      <c r="AE26" s="141" t="e">
        <f t="shared" ca="1" si="50"/>
        <v>#DIV/0!</v>
      </c>
      <c r="AF26" s="141" t="e">
        <f t="shared" ca="1" si="50"/>
        <v>#DIV/0!</v>
      </c>
      <c r="AG26" s="141" t="e">
        <f t="shared" ca="1" si="50"/>
        <v>#DIV/0!</v>
      </c>
      <c r="AH26" s="141" t="e">
        <f t="shared" ca="1" si="50"/>
        <v>#DIV/0!</v>
      </c>
      <c r="AI26" s="141" t="e">
        <f t="shared" ca="1" si="50"/>
        <v>#DIV/0!</v>
      </c>
      <c r="AJ26" s="140"/>
    </row>
    <row r="27" spans="1:36">
      <c r="A27" s="140" t="e">
        <f ca="1"/>
        <v>#NAME?</v>
      </c>
      <c r="B27" s="140" t="e">
        <f ca="1"/>
        <v>#NAME?</v>
      </c>
      <c r="C27" s="140" t="e">
        <f ca="1"/>
        <v>#NAME?</v>
      </c>
      <c r="D27" s="140" t="e">
        <f ca="1"/>
        <v>#NAME?</v>
      </c>
      <c r="E27" s="140" t="e">
        <f ca="1"/>
        <v>#NAME?</v>
      </c>
      <c r="F27" s="140" t="e">
        <f ca="1"/>
        <v>#NAME?</v>
      </c>
      <c r="G27" s="140" t="e">
        <f ca="1"/>
        <v>#NAME?</v>
      </c>
      <c r="H27" s="140"/>
      <c r="I27" s="140">
        <f ca="1">SUMIFS('F20-2024'!I:I,'F20-2024'!$D:$D,$D27,'F20-2024'!$E:$E,$E27,'F20-2024'!$F:$F,$F27)</f>
        <v>0</v>
      </c>
      <c r="J27" s="140">
        <f ca="1">SUMIFS('F20-2024'!J:J,'F20-2024'!$D:$D,$D27,'F20-2024'!$E:$E,$E27,'F20-2024'!$F:$F,$F27)</f>
        <v>0</v>
      </c>
      <c r="K27" s="140">
        <f ca="1">SUMIFS('F20-2024'!K:K,'F20-2024'!$D:$D,$D27,'F20-2024'!$E:$E,$E27,'F20-2024'!$F:$F,$F27)</f>
        <v>0</v>
      </c>
      <c r="L27" s="140">
        <f ca="1">SUMIFS('F20-2024'!L:L,'F20-2024'!$D:$D,$D27,'F20-2024'!$E:$E,$E27,'F20-2024'!$F:$F,$F27)</f>
        <v>0</v>
      </c>
      <c r="M27" s="140">
        <f ca="1">SUMIFS('F20-2024'!M:M,'F20-2024'!$D:$D,$D27,'F20-2024'!$E:$E,$E27,'F20-2024'!$F:$F,$F27)</f>
        <v>0</v>
      </c>
      <c r="N27" s="140">
        <f ca="1">SUMIFS('F20-2024'!N:N,'F20-2024'!$D:$D,$D27,'F20-2024'!$E:$E,$E27,'F20-2024'!$F:$F,$F27)</f>
        <v>0</v>
      </c>
      <c r="O27" s="140">
        <f ca="1">SUMIFS('F20-2024'!O:O,'F20-2024'!$D:$D,$D27,'F20-2024'!$E:$E,$E27,'F20-2024'!$F:$F,$F27)</f>
        <v>0</v>
      </c>
      <c r="P27" s="140">
        <f ca="1">SUMIFS('F20-2024'!P:P,'F20-2024'!$D:$D,$D27,'F20-2024'!$E:$E,$E27,'F20-2024'!$F:$F,$F27)</f>
        <v>0</v>
      </c>
      <c r="Q27" s="140">
        <f ca="1">SUMIFS('F20-2024'!Q:Q,'F20-2024'!$D:$D,$D27,'F20-2024'!$E:$E,$E27,'F20-2024'!$F:$F,$F27)</f>
        <v>0</v>
      </c>
      <c r="R27" s="140">
        <f ca="1">SUMIFS('F20-2024'!R:R,'F20-2024'!$D:$D,$D27,'F20-2024'!$E:$E,$E27,'F20-2024'!$F:$F,$F27)</f>
        <v>0</v>
      </c>
      <c r="S27" s="140">
        <f ca="1">SUMIFS('F20-2024'!S:S,'F20-2024'!$D:$D,$D27,'F20-2024'!$E:$E,$E27,'F20-2024'!$F:$F,$F27)</f>
        <v>0</v>
      </c>
      <c r="T27" s="140">
        <f ca="1">SUMIFS('F20-2024'!T:T,'F20-2024'!$D:$D,$D27,'F20-2024'!$E:$E,$E27,'F20-2024'!$F:$F,$F27)</f>
        <v>0</v>
      </c>
      <c r="U27" s="140">
        <f ca="1">SUMIFS('F20-2024'!U:U,'F20-2024'!$D:$D,$D27,'F20-2024'!$E:$E,$E27,'F20-2024'!$F:$F,$F27)</f>
        <v>0</v>
      </c>
      <c r="V27" s="140"/>
      <c r="W27" s="141" t="e">
        <f t="shared" ref="W27:AA27" ca="1" si="51">J27/$I27</f>
        <v>#DIV/0!</v>
      </c>
      <c r="X27" s="141" t="e">
        <f t="shared" ca="1" si="51"/>
        <v>#DIV/0!</v>
      </c>
      <c r="Y27" s="141" t="e">
        <f t="shared" ca="1" si="51"/>
        <v>#DIV/0!</v>
      </c>
      <c r="Z27" s="141" t="e">
        <f t="shared" ca="1" si="51"/>
        <v>#DIV/0!</v>
      </c>
      <c r="AA27" s="141" t="e">
        <f t="shared" ca="1" si="51"/>
        <v>#DIV/0!</v>
      </c>
      <c r="AB27" s="141"/>
      <c r="AC27" s="141" t="e">
        <f t="shared" ca="1" si="1"/>
        <v>#DIV/0!</v>
      </c>
      <c r="AD27" s="141" t="e">
        <f t="shared" ref="AD27:AI27" ca="1" si="52">O27/$I27</f>
        <v>#DIV/0!</v>
      </c>
      <c r="AE27" s="141" t="e">
        <f t="shared" ca="1" si="52"/>
        <v>#DIV/0!</v>
      </c>
      <c r="AF27" s="141" t="e">
        <f t="shared" ca="1" si="52"/>
        <v>#DIV/0!</v>
      </c>
      <c r="AG27" s="141" t="e">
        <f t="shared" ca="1" si="52"/>
        <v>#DIV/0!</v>
      </c>
      <c r="AH27" s="141" t="e">
        <f t="shared" ca="1" si="52"/>
        <v>#DIV/0!</v>
      </c>
      <c r="AI27" s="141" t="e">
        <f t="shared" ca="1" si="52"/>
        <v>#DIV/0!</v>
      </c>
      <c r="AJ27" s="140"/>
    </row>
    <row r="28" spans="1:36">
      <c r="A28" s="140" t="e">
        <f ca="1"/>
        <v>#NAME?</v>
      </c>
      <c r="B28" s="140" t="e">
        <f ca="1"/>
        <v>#NAME?</v>
      </c>
      <c r="C28" s="140" t="e">
        <f ca="1"/>
        <v>#NAME?</v>
      </c>
      <c r="D28" s="140" t="e">
        <f ca="1"/>
        <v>#NAME?</v>
      </c>
      <c r="E28" s="140" t="e">
        <f ca="1"/>
        <v>#NAME?</v>
      </c>
      <c r="F28" s="140" t="e">
        <f ca="1"/>
        <v>#NAME?</v>
      </c>
      <c r="G28" s="140" t="e">
        <f ca="1"/>
        <v>#NAME?</v>
      </c>
      <c r="H28" s="140"/>
      <c r="I28" s="140">
        <f ca="1">SUMIFS('F20-2024'!I:I,'F20-2024'!$D:$D,$D28,'F20-2024'!$E:$E,$E28,'F20-2024'!$F:$F,$F28)</f>
        <v>0</v>
      </c>
      <c r="J28" s="140">
        <f ca="1">SUMIFS('F20-2024'!J:J,'F20-2024'!$D:$D,$D28,'F20-2024'!$E:$E,$E28,'F20-2024'!$F:$F,$F28)</f>
        <v>0</v>
      </c>
      <c r="K28" s="140">
        <f ca="1">SUMIFS('F20-2024'!K:K,'F20-2024'!$D:$D,$D28,'F20-2024'!$E:$E,$E28,'F20-2024'!$F:$F,$F28)</f>
        <v>0</v>
      </c>
      <c r="L28" s="140">
        <f ca="1">SUMIFS('F20-2024'!L:L,'F20-2024'!$D:$D,$D28,'F20-2024'!$E:$E,$E28,'F20-2024'!$F:$F,$F28)</f>
        <v>0</v>
      </c>
      <c r="M28" s="140">
        <f ca="1">SUMIFS('F20-2024'!M:M,'F20-2024'!$D:$D,$D28,'F20-2024'!$E:$E,$E28,'F20-2024'!$F:$F,$F28)</f>
        <v>0</v>
      </c>
      <c r="N28" s="140">
        <f ca="1">SUMIFS('F20-2024'!N:N,'F20-2024'!$D:$D,$D28,'F20-2024'!$E:$E,$E28,'F20-2024'!$F:$F,$F28)</f>
        <v>0</v>
      </c>
      <c r="O28" s="140">
        <f ca="1">SUMIFS('F20-2024'!O:O,'F20-2024'!$D:$D,$D28,'F20-2024'!$E:$E,$E28,'F20-2024'!$F:$F,$F28)</f>
        <v>0</v>
      </c>
      <c r="P28" s="140">
        <f ca="1">SUMIFS('F20-2024'!P:P,'F20-2024'!$D:$D,$D28,'F20-2024'!$E:$E,$E28,'F20-2024'!$F:$F,$F28)</f>
        <v>0</v>
      </c>
      <c r="Q28" s="140">
        <f ca="1">SUMIFS('F20-2024'!Q:Q,'F20-2024'!$D:$D,$D28,'F20-2024'!$E:$E,$E28,'F20-2024'!$F:$F,$F28)</f>
        <v>0</v>
      </c>
      <c r="R28" s="140">
        <f ca="1">SUMIFS('F20-2024'!R:R,'F20-2024'!$D:$D,$D28,'F20-2024'!$E:$E,$E28,'F20-2024'!$F:$F,$F28)</f>
        <v>0</v>
      </c>
      <c r="S28" s="140">
        <f ca="1">SUMIFS('F20-2024'!S:S,'F20-2024'!$D:$D,$D28,'F20-2024'!$E:$E,$E28,'F20-2024'!$F:$F,$F28)</f>
        <v>0</v>
      </c>
      <c r="T28" s="140">
        <f ca="1">SUMIFS('F20-2024'!T:T,'F20-2024'!$D:$D,$D28,'F20-2024'!$E:$E,$E28,'F20-2024'!$F:$F,$F28)</f>
        <v>0</v>
      </c>
      <c r="U28" s="140">
        <f ca="1">SUMIFS('F20-2024'!U:U,'F20-2024'!$D:$D,$D28,'F20-2024'!$E:$E,$E28,'F20-2024'!$F:$F,$F28)</f>
        <v>0</v>
      </c>
      <c r="V28" s="140"/>
      <c r="W28" s="141" t="e">
        <f t="shared" ref="W28:AA28" ca="1" si="53">J28/$I28</f>
        <v>#DIV/0!</v>
      </c>
      <c r="X28" s="141" t="e">
        <f t="shared" ca="1" si="53"/>
        <v>#DIV/0!</v>
      </c>
      <c r="Y28" s="141" t="e">
        <f t="shared" ca="1" si="53"/>
        <v>#DIV/0!</v>
      </c>
      <c r="Z28" s="141" t="e">
        <f t="shared" ca="1" si="53"/>
        <v>#DIV/0!</v>
      </c>
      <c r="AA28" s="141" t="e">
        <f t="shared" ca="1" si="53"/>
        <v>#DIV/0!</v>
      </c>
      <c r="AB28" s="141"/>
      <c r="AC28" s="141" t="e">
        <f t="shared" ca="1" si="1"/>
        <v>#DIV/0!</v>
      </c>
      <c r="AD28" s="141" t="e">
        <f t="shared" ref="AD28:AI28" ca="1" si="54">O28/$I28</f>
        <v>#DIV/0!</v>
      </c>
      <c r="AE28" s="141" t="e">
        <f t="shared" ca="1" si="54"/>
        <v>#DIV/0!</v>
      </c>
      <c r="AF28" s="141" t="e">
        <f t="shared" ca="1" si="54"/>
        <v>#DIV/0!</v>
      </c>
      <c r="AG28" s="141" t="e">
        <f t="shared" ca="1" si="54"/>
        <v>#DIV/0!</v>
      </c>
      <c r="AH28" s="141" t="e">
        <f t="shared" ca="1" si="54"/>
        <v>#DIV/0!</v>
      </c>
      <c r="AI28" s="141" t="e">
        <f t="shared" ca="1" si="54"/>
        <v>#DIV/0!</v>
      </c>
      <c r="AJ28" s="140"/>
    </row>
    <row r="29" spans="1:36">
      <c r="A29" s="140" t="e">
        <f ca="1"/>
        <v>#NAME?</v>
      </c>
      <c r="B29" s="140" t="e">
        <f ca="1"/>
        <v>#NAME?</v>
      </c>
      <c r="C29" s="140" t="e">
        <f ca="1"/>
        <v>#NAME?</v>
      </c>
      <c r="D29" s="140" t="e">
        <f ca="1"/>
        <v>#NAME?</v>
      </c>
      <c r="E29" s="140" t="e">
        <f ca="1"/>
        <v>#NAME?</v>
      </c>
      <c r="F29" s="140" t="e">
        <f ca="1"/>
        <v>#NAME?</v>
      </c>
      <c r="G29" s="140" t="e">
        <f ca="1"/>
        <v>#NAME?</v>
      </c>
      <c r="H29" s="140"/>
      <c r="I29" s="140">
        <f ca="1">SUMIFS('F20-2024'!I:I,'F20-2024'!$D:$D,$D29,'F20-2024'!$E:$E,$E29,'F20-2024'!$F:$F,$F29)</f>
        <v>0</v>
      </c>
      <c r="J29" s="140">
        <f ca="1">SUMIFS('F20-2024'!J:J,'F20-2024'!$D:$D,$D29,'F20-2024'!$E:$E,$E29,'F20-2024'!$F:$F,$F29)</f>
        <v>0</v>
      </c>
      <c r="K29" s="140">
        <f ca="1">SUMIFS('F20-2024'!K:K,'F20-2024'!$D:$D,$D29,'F20-2024'!$E:$E,$E29,'F20-2024'!$F:$F,$F29)</f>
        <v>0</v>
      </c>
      <c r="L29" s="140">
        <f ca="1">SUMIFS('F20-2024'!L:L,'F20-2024'!$D:$D,$D29,'F20-2024'!$E:$E,$E29,'F20-2024'!$F:$F,$F29)</f>
        <v>0</v>
      </c>
      <c r="M29" s="140">
        <f ca="1">SUMIFS('F20-2024'!M:M,'F20-2024'!$D:$D,$D29,'F20-2024'!$E:$E,$E29,'F20-2024'!$F:$F,$F29)</f>
        <v>0</v>
      </c>
      <c r="N29" s="140">
        <f ca="1">SUMIFS('F20-2024'!N:N,'F20-2024'!$D:$D,$D29,'F20-2024'!$E:$E,$E29,'F20-2024'!$F:$F,$F29)</f>
        <v>0</v>
      </c>
      <c r="O29" s="140">
        <f ca="1">SUMIFS('F20-2024'!O:O,'F20-2024'!$D:$D,$D29,'F20-2024'!$E:$E,$E29,'F20-2024'!$F:$F,$F29)</f>
        <v>0</v>
      </c>
      <c r="P29" s="140">
        <f ca="1">SUMIFS('F20-2024'!P:P,'F20-2024'!$D:$D,$D29,'F20-2024'!$E:$E,$E29,'F20-2024'!$F:$F,$F29)</f>
        <v>0</v>
      </c>
      <c r="Q29" s="140">
        <f ca="1">SUMIFS('F20-2024'!Q:Q,'F20-2024'!$D:$D,$D29,'F20-2024'!$E:$E,$E29,'F20-2024'!$F:$F,$F29)</f>
        <v>0</v>
      </c>
      <c r="R29" s="140">
        <f ca="1">SUMIFS('F20-2024'!R:R,'F20-2024'!$D:$D,$D29,'F20-2024'!$E:$E,$E29,'F20-2024'!$F:$F,$F29)</f>
        <v>0</v>
      </c>
      <c r="S29" s="140">
        <f ca="1">SUMIFS('F20-2024'!S:S,'F20-2024'!$D:$D,$D29,'F20-2024'!$E:$E,$E29,'F20-2024'!$F:$F,$F29)</f>
        <v>0</v>
      </c>
      <c r="T29" s="140">
        <f ca="1">SUMIFS('F20-2024'!T:T,'F20-2024'!$D:$D,$D29,'F20-2024'!$E:$E,$E29,'F20-2024'!$F:$F,$F29)</f>
        <v>0</v>
      </c>
      <c r="U29" s="140">
        <f ca="1">SUMIFS('F20-2024'!U:U,'F20-2024'!$D:$D,$D29,'F20-2024'!$E:$E,$E29,'F20-2024'!$F:$F,$F29)</f>
        <v>0</v>
      </c>
      <c r="V29" s="140"/>
      <c r="W29" s="141" t="e">
        <f t="shared" ref="W29:AA29" ca="1" si="55">J29/$I29</f>
        <v>#DIV/0!</v>
      </c>
      <c r="X29" s="141" t="e">
        <f t="shared" ca="1" si="55"/>
        <v>#DIV/0!</v>
      </c>
      <c r="Y29" s="141" t="e">
        <f t="shared" ca="1" si="55"/>
        <v>#DIV/0!</v>
      </c>
      <c r="Z29" s="141" t="e">
        <f t="shared" ca="1" si="55"/>
        <v>#DIV/0!</v>
      </c>
      <c r="AA29" s="141" t="e">
        <f t="shared" ca="1" si="55"/>
        <v>#DIV/0!</v>
      </c>
      <c r="AB29" s="141"/>
      <c r="AC29" s="141" t="e">
        <f t="shared" ca="1" si="1"/>
        <v>#DIV/0!</v>
      </c>
      <c r="AD29" s="141" t="e">
        <f t="shared" ref="AD29:AI29" ca="1" si="56">O29/$I29</f>
        <v>#DIV/0!</v>
      </c>
      <c r="AE29" s="141" t="e">
        <f t="shared" ca="1" si="56"/>
        <v>#DIV/0!</v>
      </c>
      <c r="AF29" s="141" t="e">
        <f t="shared" ca="1" si="56"/>
        <v>#DIV/0!</v>
      </c>
      <c r="AG29" s="141" t="e">
        <f t="shared" ca="1" si="56"/>
        <v>#DIV/0!</v>
      </c>
      <c r="AH29" s="141" t="e">
        <f t="shared" ca="1" si="56"/>
        <v>#DIV/0!</v>
      </c>
      <c r="AI29" s="141" t="e">
        <f t="shared" ca="1" si="56"/>
        <v>#DIV/0!</v>
      </c>
      <c r="AJ29" s="140"/>
    </row>
    <row r="30" spans="1:36">
      <c r="A30" s="140" t="e">
        <f ca="1"/>
        <v>#NAME?</v>
      </c>
      <c r="B30" s="140" t="e">
        <f ca="1"/>
        <v>#NAME?</v>
      </c>
      <c r="C30" s="140" t="e">
        <f ca="1"/>
        <v>#NAME?</v>
      </c>
      <c r="D30" s="140" t="e">
        <f ca="1"/>
        <v>#NAME?</v>
      </c>
      <c r="E30" s="140" t="e">
        <f ca="1"/>
        <v>#NAME?</v>
      </c>
      <c r="F30" s="140" t="e">
        <f ca="1"/>
        <v>#NAME?</v>
      </c>
      <c r="G30" s="140" t="e">
        <f ca="1"/>
        <v>#NAME?</v>
      </c>
      <c r="H30" s="140"/>
      <c r="I30" s="140">
        <f ca="1">SUMIFS('F20-2024'!I:I,'F20-2024'!$D:$D,$D30,'F20-2024'!$E:$E,$E30,'F20-2024'!$F:$F,$F30)</f>
        <v>0</v>
      </c>
      <c r="J30" s="140">
        <f ca="1">SUMIFS('F20-2024'!J:J,'F20-2024'!$D:$D,$D30,'F20-2024'!$E:$E,$E30,'F20-2024'!$F:$F,$F30)</f>
        <v>0</v>
      </c>
      <c r="K30" s="140">
        <f ca="1">SUMIFS('F20-2024'!K:K,'F20-2024'!$D:$D,$D30,'F20-2024'!$E:$E,$E30,'F20-2024'!$F:$F,$F30)</f>
        <v>0</v>
      </c>
      <c r="L30" s="140">
        <f ca="1">SUMIFS('F20-2024'!L:L,'F20-2024'!$D:$D,$D30,'F20-2024'!$E:$E,$E30,'F20-2024'!$F:$F,$F30)</f>
        <v>0</v>
      </c>
      <c r="M30" s="140">
        <f ca="1">SUMIFS('F20-2024'!M:M,'F20-2024'!$D:$D,$D30,'F20-2024'!$E:$E,$E30,'F20-2024'!$F:$F,$F30)</f>
        <v>0</v>
      </c>
      <c r="N30" s="140">
        <f ca="1">SUMIFS('F20-2024'!N:N,'F20-2024'!$D:$D,$D30,'F20-2024'!$E:$E,$E30,'F20-2024'!$F:$F,$F30)</f>
        <v>0</v>
      </c>
      <c r="O30" s="140">
        <f ca="1">SUMIFS('F20-2024'!O:O,'F20-2024'!$D:$D,$D30,'F20-2024'!$E:$E,$E30,'F20-2024'!$F:$F,$F30)</f>
        <v>0</v>
      </c>
      <c r="P30" s="140">
        <f ca="1">SUMIFS('F20-2024'!P:P,'F20-2024'!$D:$D,$D30,'F20-2024'!$E:$E,$E30,'F20-2024'!$F:$F,$F30)</f>
        <v>0</v>
      </c>
      <c r="Q30" s="140">
        <f ca="1">SUMIFS('F20-2024'!Q:Q,'F20-2024'!$D:$D,$D30,'F20-2024'!$E:$E,$E30,'F20-2024'!$F:$F,$F30)</f>
        <v>0</v>
      </c>
      <c r="R30" s="140">
        <f ca="1">SUMIFS('F20-2024'!R:R,'F20-2024'!$D:$D,$D30,'F20-2024'!$E:$E,$E30,'F20-2024'!$F:$F,$F30)</f>
        <v>0</v>
      </c>
      <c r="S30" s="140">
        <f ca="1">SUMIFS('F20-2024'!S:S,'F20-2024'!$D:$D,$D30,'F20-2024'!$E:$E,$E30,'F20-2024'!$F:$F,$F30)</f>
        <v>0</v>
      </c>
      <c r="T30" s="140">
        <f ca="1">SUMIFS('F20-2024'!T:T,'F20-2024'!$D:$D,$D30,'F20-2024'!$E:$E,$E30,'F20-2024'!$F:$F,$F30)</f>
        <v>0</v>
      </c>
      <c r="U30" s="140">
        <f ca="1">SUMIFS('F20-2024'!U:U,'F20-2024'!$D:$D,$D30,'F20-2024'!$E:$E,$E30,'F20-2024'!$F:$F,$F30)</f>
        <v>0</v>
      </c>
      <c r="V30" s="140"/>
      <c r="W30" s="141" t="e">
        <f t="shared" ref="W30:AA30" ca="1" si="57">J30/$I30</f>
        <v>#DIV/0!</v>
      </c>
      <c r="X30" s="141" t="e">
        <f t="shared" ca="1" si="57"/>
        <v>#DIV/0!</v>
      </c>
      <c r="Y30" s="141" t="e">
        <f t="shared" ca="1" si="57"/>
        <v>#DIV/0!</v>
      </c>
      <c r="Z30" s="141" t="e">
        <f t="shared" ca="1" si="57"/>
        <v>#DIV/0!</v>
      </c>
      <c r="AA30" s="141" t="e">
        <f t="shared" ca="1" si="57"/>
        <v>#DIV/0!</v>
      </c>
      <c r="AB30" s="141"/>
      <c r="AC30" s="141" t="e">
        <f t="shared" ca="1" si="1"/>
        <v>#DIV/0!</v>
      </c>
      <c r="AD30" s="141" t="e">
        <f t="shared" ref="AD30:AI30" ca="1" si="58">O30/$I30</f>
        <v>#DIV/0!</v>
      </c>
      <c r="AE30" s="141" t="e">
        <f t="shared" ca="1" si="58"/>
        <v>#DIV/0!</v>
      </c>
      <c r="AF30" s="141" t="e">
        <f t="shared" ca="1" si="58"/>
        <v>#DIV/0!</v>
      </c>
      <c r="AG30" s="141" t="e">
        <f t="shared" ca="1" si="58"/>
        <v>#DIV/0!</v>
      </c>
      <c r="AH30" s="141" t="e">
        <f t="shared" ca="1" si="58"/>
        <v>#DIV/0!</v>
      </c>
      <c r="AI30" s="141" t="e">
        <f t="shared" ca="1" si="58"/>
        <v>#DIV/0!</v>
      </c>
      <c r="AJ30" s="140"/>
    </row>
    <row r="31" spans="1:36">
      <c r="A31" s="140" t="e">
        <f ca="1"/>
        <v>#NAME?</v>
      </c>
      <c r="B31" s="140" t="e">
        <f ca="1"/>
        <v>#NAME?</v>
      </c>
      <c r="C31" s="140" t="e">
        <f ca="1"/>
        <v>#NAME?</v>
      </c>
      <c r="D31" s="140" t="e">
        <f ca="1"/>
        <v>#NAME?</v>
      </c>
      <c r="E31" s="140" t="e">
        <f ca="1"/>
        <v>#NAME?</v>
      </c>
      <c r="F31" s="140" t="e">
        <f ca="1"/>
        <v>#NAME?</v>
      </c>
      <c r="G31" s="140" t="e">
        <f ca="1"/>
        <v>#NAME?</v>
      </c>
      <c r="H31" s="140"/>
      <c r="I31" s="140">
        <f ca="1">SUMIFS('F20-2024'!I:I,'F20-2024'!$D:$D,$D31,'F20-2024'!$E:$E,$E31,'F20-2024'!$F:$F,$F31)</f>
        <v>0</v>
      </c>
      <c r="J31" s="140">
        <f ca="1">SUMIFS('F20-2024'!J:J,'F20-2024'!$D:$D,$D31,'F20-2024'!$E:$E,$E31,'F20-2024'!$F:$F,$F31)</f>
        <v>0</v>
      </c>
      <c r="K31" s="140">
        <f ca="1">SUMIFS('F20-2024'!K:K,'F20-2024'!$D:$D,$D31,'F20-2024'!$E:$E,$E31,'F20-2024'!$F:$F,$F31)</f>
        <v>0</v>
      </c>
      <c r="L31" s="140">
        <f ca="1">SUMIFS('F20-2024'!L:L,'F20-2024'!$D:$D,$D31,'F20-2024'!$E:$E,$E31,'F20-2024'!$F:$F,$F31)</f>
        <v>0</v>
      </c>
      <c r="M31" s="140">
        <f ca="1">SUMIFS('F20-2024'!M:M,'F20-2024'!$D:$D,$D31,'F20-2024'!$E:$E,$E31,'F20-2024'!$F:$F,$F31)</f>
        <v>0</v>
      </c>
      <c r="N31" s="140">
        <f ca="1">SUMIFS('F20-2024'!N:N,'F20-2024'!$D:$D,$D31,'F20-2024'!$E:$E,$E31,'F20-2024'!$F:$F,$F31)</f>
        <v>0</v>
      </c>
      <c r="O31" s="140">
        <f ca="1">SUMIFS('F20-2024'!O:O,'F20-2024'!$D:$D,$D31,'F20-2024'!$E:$E,$E31,'F20-2024'!$F:$F,$F31)</f>
        <v>0</v>
      </c>
      <c r="P31" s="140">
        <f ca="1">SUMIFS('F20-2024'!P:P,'F20-2024'!$D:$D,$D31,'F20-2024'!$E:$E,$E31,'F20-2024'!$F:$F,$F31)</f>
        <v>0</v>
      </c>
      <c r="Q31" s="140">
        <f ca="1">SUMIFS('F20-2024'!Q:Q,'F20-2024'!$D:$D,$D31,'F20-2024'!$E:$E,$E31,'F20-2024'!$F:$F,$F31)</f>
        <v>0</v>
      </c>
      <c r="R31" s="140">
        <f ca="1">SUMIFS('F20-2024'!R:R,'F20-2024'!$D:$D,$D31,'F20-2024'!$E:$E,$E31,'F20-2024'!$F:$F,$F31)</f>
        <v>0</v>
      </c>
      <c r="S31" s="140">
        <f ca="1">SUMIFS('F20-2024'!S:S,'F20-2024'!$D:$D,$D31,'F20-2024'!$E:$E,$E31,'F20-2024'!$F:$F,$F31)</f>
        <v>0</v>
      </c>
      <c r="T31" s="140">
        <f ca="1">SUMIFS('F20-2024'!T:T,'F20-2024'!$D:$D,$D31,'F20-2024'!$E:$E,$E31,'F20-2024'!$F:$F,$F31)</f>
        <v>0</v>
      </c>
      <c r="U31" s="140">
        <f ca="1">SUMIFS('F20-2024'!U:U,'F20-2024'!$D:$D,$D31,'F20-2024'!$E:$E,$E31,'F20-2024'!$F:$F,$F31)</f>
        <v>0</v>
      </c>
      <c r="V31" s="140"/>
      <c r="W31" s="141" t="e">
        <f t="shared" ref="W31:AA31" ca="1" si="59">J31/$I31</f>
        <v>#DIV/0!</v>
      </c>
      <c r="X31" s="141" t="e">
        <f t="shared" ca="1" si="59"/>
        <v>#DIV/0!</v>
      </c>
      <c r="Y31" s="141" t="e">
        <f t="shared" ca="1" si="59"/>
        <v>#DIV/0!</v>
      </c>
      <c r="Z31" s="141" t="e">
        <f t="shared" ca="1" si="59"/>
        <v>#DIV/0!</v>
      </c>
      <c r="AA31" s="141" t="e">
        <f t="shared" ca="1" si="59"/>
        <v>#DIV/0!</v>
      </c>
      <c r="AB31" s="141"/>
      <c r="AC31" s="141" t="e">
        <f t="shared" ca="1" si="1"/>
        <v>#DIV/0!</v>
      </c>
      <c r="AD31" s="141" t="e">
        <f t="shared" ref="AD31:AI31" ca="1" si="60">O31/$I31</f>
        <v>#DIV/0!</v>
      </c>
      <c r="AE31" s="141" t="e">
        <f t="shared" ca="1" si="60"/>
        <v>#DIV/0!</v>
      </c>
      <c r="AF31" s="141" t="e">
        <f t="shared" ca="1" si="60"/>
        <v>#DIV/0!</v>
      </c>
      <c r="AG31" s="141" t="e">
        <f t="shared" ca="1" si="60"/>
        <v>#DIV/0!</v>
      </c>
      <c r="AH31" s="141" t="e">
        <f t="shared" ca="1" si="60"/>
        <v>#DIV/0!</v>
      </c>
      <c r="AI31" s="141" t="e">
        <f t="shared" ca="1" si="60"/>
        <v>#DIV/0!</v>
      </c>
      <c r="AJ31" s="140"/>
    </row>
    <row r="32" spans="1:36">
      <c r="A32" s="140" t="e">
        <f ca="1"/>
        <v>#NAME?</v>
      </c>
      <c r="B32" s="140" t="e">
        <f ca="1"/>
        <v>#NAME?</v>
      </c>
      <c r="C32" s="140" t="e">
        <f ca="1"/>
        <v>#NAME?</v>
      </c>
      <c r="D32" s="140" t="e">
        <f ca="1"/>
        <v>#NAME?</v>
      </c>
      <c r="E32" s="140" t="e">
        <f ca="1"/>
        <v>#NAME?</v>
      </c>
      <c r="F32" s="140" t="e">
        <f ca="1"/>
        <v>#NAME?</v>
      </c>
      <c r="G32" s="140" t="e">
        <f ca="1"/>
        <v>#NAME?</v>
      </c>
      <c r="H32" s="140"/>
      <c r="I32" s="140">
        <f ca="1">SUMIFS('F20-2024'!I:I,'F20-2024'!$D:$D,$D32,'F20-2024'!$E:$E,$E32,'F20-2024'!$F:$F,$F32)</f>
        <v>0</v>
      </c>
      <c r="J32" s="140">
        <f ca="1">SUMIFS('F20-2024'!J:J,'F20-2024'!$D:$D,$D32,'F20-2024'!$E:$E,$E32,'F20-2024'!$F:$F,$F32)</f>
        <v>0</v>
      </c>
      <c r="K32" s="140">
        <f ca="1">SUMIFS('F20-2024'!K:K,'F20-2024'!$D:$D,$D32,'F20-2024'!$E:$E,$E32,'F20-2024'!$F:$F,$F32)</f>
        <v>0</v>
      </c>
      <c r="L32" s="140">
        <f ca="1">SUMIFS('F20-2024'!L:L,'F20-2024'!$D:$D,$D32,'F20-2024'!$E:$E,$E32,'F20-2024'!$F:$F,$F32)</f>
        <v>0</v>
      </c>
      <c r="M32" s="140">
        <f ca="1">SUMIFS('F20-2024'!M:M,'F20-2024'!$D:$D,$D32,'F20-2024'!$E:$E,$E32,'F20-2024'!$F:$F,$F32)</f>
        <v>0</v>
      </c>
      <c r="N32" s="140">
        <f ca="1">SUMIFS('F20-2024'!N:N,'F20-2024'!$D:$D,$D32,'F20-2024'!$E:$E,$E32,'F20-2024'!$F:$F,$F32)</f>
        <v>0</v>
      </c>
      <c r="O32" s="140">
        <f ca="1">SUMIFS('F20-2024'!O:O,'F20-2024'!$D:$D,$D32,'F20-2024'!$E:$E,$E32,'F20-2024'!$F:$F,$F32)</f>
        <v>0</v>
      </c>
      <c r="P32" s="140">
        <f ca="1">SUMIFS('F20-2024'!P:P,'F20-2024'!$D:$D,$D32,'F20-2024'!$E:$E,$E32,'F20-2024'!$F:$F,$F32)</f>
        <v>0</v>
      </c>
      <c r="Q32" s="140">
        <f ca="1">SUMIFS('F20-2024'!Q:Q,'F20-2024'!$D:$D,$D32,'F20-2024'!$E:$E,$E32,'F20-2024'!$F:$F,$F32)</f>
        <v>0</v>
      </c>
      <c r="R32" s="140">
        <f ca="1">SUMIFS('F20-2024'!R:R,'F20-2024'!$D:$D,$D32,'F20-2024'!$E:$E,$E32,'F20-2024'!$F:$F,$F32)</f>
        <v>0</v>
      </c>
      <c r="S32" s="140">
        <f ca="1">SUMIFS('F20-2024'!S:S,'F20-2024'!$D:$D,$D32,'F20-2024'!$E:$E,$E32,'F20-2024'!$F:$F,$F32)</f>
        <v>0</v>
      </c>
      <c r="T32" s="140">
        <f ca="1">SUMIFS('F20-2024'!T:T,'F20-2024'!$D:$D,$D32,'F20-2024'!$E:$E,$E32,'F20-2024'!$F:$F,$F32)</f>
        <v>0</v>
      </c>
      <c r="U32" s="140">
        <f ca="1">SUMIFS('F20-2024'!U:U,'F20-2024'!$D:$D,$D32,'F20-2024'!$E:$E,$E32,'F20-2024'!$F:$F,$F32)</f>
        <v>0</v>
      </c>
      <c r="V32" s="140"/>
      <c r="W32" s="141" t="e">
        <f t="shared" ref="W32:AA32" ca="1" si="61">J32/$I32</f>
        <v>#DIV/0!</v>
      </c>
      <c r="X32" s="141" t="e">
        <f t="shared" ca="1" si="61"/>
        <v>#DIV/0!</v>
      </c>
      <c r="Y32" s="141" t="e">
        <f t="shared" ca="1" si="61"/>
        <v>#DIV/0!</v>
      </c>
      <c r="Z32" s="141" t="e">
        <f t="shared" ca="1" si="61"/>
        <v>#DIV/0!</v>
      </c>
      <c r="AA32" s="141" t="e">
        <f t="shared" ca="1" si="61"/>
        <v>#DIV/0!</v>
      </c>
      <c r="AB32" s="141"/>
      <c r="AC32" s="141" t="e">
        <f t="shared" ca="1" si="1"/>
        <v>#DIV/0!</v>
      </c>
      <c r="AD32" s="141" t="e">
        <f t="shared" ref="AD32:AI32" ca="1" si="62">O32/$I32</f>
        <v>#DIV/0!</v>
      </c>
      <c r="AE32" s="141" t="e">
        <f t="shared" ca="1" si="62"/>
        <v>#DIV/0!</v>
      </c>
      <c r="AF32" s="141" t="e">
        <f t="shared" ca="1" si="62"/>
        <v>#DIV/0!</v>
      </c>
      <c r="AG32" s="141" t="e">
        <f t="shared" ca="1" si="62"/>
        <v>#DIV/0!</v>
      </c>
      <c r="AH32" s="141" t="e">
        <f t="shared" ca="1" si="62"/>
        <v>#DIV/0!</v>
      </c>
      <c r="AI32" s="141" t="e">
        <f t="shared" ca="1" si="62"/>
        <v>#DIV/0!</v>
      </c>
      <c r="AJ32" s="140"/>
    </row>
    <row r="33" spans="1:36">
      <c r="A33" s="140" t="e">
        <f ca="1"/>
        <v>#NAME?</v>
      </c>
      <c r="B33" s="140" t="e">
        <f ca="1"/>
        <v>#NAME?</v>
      </c>
      <c r="C33" s="140" t="e">
        <f ca="1"/>
        <v>#NAME?</v>
      </c>
      <c r="D33" s="140" t="e">
        <f ca="1"/>
        <v>#NAME?</v>
      </c>
      <c r="E33" s="140" t="e">
        <f ca="1"/>
        <v>#NAME?</v>
      </c>
      <c r="F33" s="140" t="e">
        <f ca="1"/>
        <v>#NAME?</v>
      </c>
      <c r="G33" s="140" t="e">
        <f ca="1"/>
        <v>#NAME?</v>
      </c>
      <c r="H33" s="140"/>
      <c r="I33" s="140">
        <f ca="1">SUMIFS('F20-2024'!I:I,'F20-2024'!$D:$D,$D33,'F20-2024'!$E:$E,$E33,'F20-2024'!$F:$F,$F33)</f>
        <v>0</v>
      </c>
      <c r="J33" s="140">
        <f ca="1">SUMIFS('F20-2024'!J:J,'F20-2024'!$D:$D,$D33,'F20-2024'!$E:$E,$E33,'F20-2024'!$F:$F,$F33)</f>
        <v>0</v>
      </c>
      <c r="K33" s="140">
        <f ca="1">SUMIFS('F20-2024'!K:K,'F20-2024'!$D:$D,$D33,'F20-2024'!$E:$E,$E33,'F20-2024'!$F:$F,$F33)</f>
        <v>0</v>
      </c>
      <c r="L33" s="140">
        <f ca="1">SUMIFS('F20-2024'!L:L,'F20-2024'!$D:$D,$D33,'F20-2024'!$E:$E,$E33,'F20-2024'!$F:$F,$F33)</f>
        <v>0</v>
      </c>
      <c r="M33" s="140">
        <f ca="1">SUMIFS('F20-2024'!M:M,'F20-2024'!$D:$D,$D33,'F20-2024'!$E:$E,$E33,'F20-2024'!$F:$F,$F33)</f>
        <v>0</v>
      </c>
      <c r="N33" s="140">
        <f ca="1">SUMIFS('F20-2024'!N:N,'F20-2024'!$D:$D,$D33,'F20-2024'!$E:$E,$E33,'F20-2024'!$F:$F,$F33)</f>
        <v>0</v>
      </c>
      <c r="O33" s="140">
        <f ca="1">SUMIFS('F20-2024'!O:O,'F20-2024'!$D:$D,$D33,'F20-2024'!$E:$E,$E33,'F20-2024'!$F:$F,$F33)</f>
        <v>0</v>
      </c>
      <c r="P33" s="140">
        <f ca="1">SUMIFS('F20-2024'!P:P,'F20-2024'!$D:$D,$D33,'F20-2024'!$E:$E,$E33,'F20-2024'!$F:$F,$F33)</f>
        <v>0</v>
      </c>
      <c r="Q33" s="140">
        <f ca="1">SUMIFS('F20-2024'!Q:Q,'F20-2024'!$D:$D,$D33,'F20-2024'!$E:$E,$E33,'F20-2024'!$F:$F,$F33)</f>
        <v>0</v>
      </c>
      <c r="R33" s="140">
        <f ca="1">SUMIFS('F20-2024'!R:R,'F20-2024'!$D:$D,$D33,'F20-2024'!$E:$E,$E33,'F20-2024'!$F:$F,$F33)</f>
        <v>0</v>
      </c>
      <c r="S33" s="140">
        <f ca="1">SUMIFS('F20-2024'!S:S,'F20-2024'!$D:$D,$D33,'F20-2024'!$E:$E,$E33,'F20-2024'!$F:$F,$F33)</f>
        <v>0</v>
      </c>
      <c r="T33" s="140">
        <f ca="1">SUMIFS('F20-2024'!T:T,'F20-2024'!$D:$D,$D33,'F20-2024'!$E:$E,$E33,'F20-2024'!$F:$F,$F33)</f>
        <v>0</v>
      </c>
      <c r="U33" s="140">
        <f ca="1">SUMIFS('F20-2024'!U:U,'F20-2024'!$D:$D,$D33,'F20-2024'!$E:$E,$E33,'F20-2024'!$F:$F,$F33)</f>
        <v>0</v>
      </c>
      <c r="V33" s="140"/>
      <c r="W33" s="141" t="e">
        <f t="shared" ref="W33:AA33" ca="1" si="63">J33/$I33</f>
        <v>#DIV/0!</v>
      </c>
      <c r="X33" s="141" t="e">
        <f t="shared" ca="1" si="63"/>
        <v>#DIV/0!</v>
      </c>
      <c r="Y33" s="141" t="e">
        <f t="shared" ca="1" si="63"/>
        <v>#DIV/0!</v>
      </c>
      <c r="Z33" s="141" t="e">
        <f t="shared" ca="1" si="63"/>
        <v>#DIV/0!</v>
      </c>
      <c r="AA33" s="141" t="e">
        <f t="shared" ca="1" si="63"/>
        <v>#DIV/0!</v>
      </c>
      <c r="AB33" s="141"/>
      <c r="AC33" s="141" t="e">
        <f t="shared" ca="1" si="1"/>
        <v>#DIV/0!</v>
      </c>
      <c r="AD33" s="141" t="e">
        <f t="shared" ref="AD33:AI33" ca="1" si="64">O33/$I33</f>
        <v>#DIV/0!</v>
      </c>
      <c r="AE33" s="141" t="e">
        <f t="shared" ca="1" si="64"/>
        <v>#DIV/0!</v>
      </c>
      <c r="AF33" s="141" t="e">
        <f t="shared" ca="1" si="64"/>
        <v>#DIV/0!</v>
      </c>
      <c r="AG33" s="141" t="e">
        <f t="shared" ca="1" si="64"/>
        <v>#DIV/0!</v>
      </c>
      <c r="AH33" s="141" t="e">
        <f t="shared" ca="1" si="64"/>
        <v>#DIV/0!</v>
      </c>
      <c r="AI33" s="141" t="e">
        <f t="shared" ca="1" si="64"/>
        <v>#DIV/0!</v>
      </c>
      <c r="AJ33" s="140"/>
    </row>
    <row r="34" spans="1:36">
      <c r="A34" s="140" t="e">
        <f ca="1"/>
        <v>#NAME?</v>
      </c>
      <c r="B34" s="140" t="e">
        <f ca="1"/>
        <v>#NAME?</v>
      </c>
      <c r="C34" s="140" t="e">
        <f ca="1"/>
        <v>#NAME?</v>
      </c>
      <c r="D34" s="140" t="e">
        <f ca="1"/>
        <v>#NAME?</v>
      </c>
      <c r="E34" s="140" t="e">
        <f ca="1"/>
        <v>#NAME?</v>
      </c>
      <c r="F34" s="140" t="e">
        <f ca="1"/>
        <v>#NAME?</v>
      </c>
      <c r="G34" s="140" t="e">
        <f ca="1"/>
        <v>#NAME?</v>
      </c>
      <c r="H34" s="140"/>
      <c r="I34" s="140">
        <f ca="1">SUMIFS('F20-2024'!I:I,'F20-2024'!$D:$D,$D34,'F20-2024'!$E:$E,$E34,'F20-2024'!$F:$F,$F34)</f>
        <v>0</v>
      </c>
      <c r="J34" s="140">
        <f ca="1">SUMIFS('F20-2024'!J:J,'F20-2024'!$D:$D,$D34,'F20-2024'!$E:$E,$E34,'F20-2024'!$F:$F,$F34)</f>
        <v>0</v>
      </c>
      <c r="K34" s="140">
        <f ca="1">SUMIFS('F20-2024'!K:K,'F20-2024'!$D:$D,$D34,'F20-2024'!$E:$E,$E34,'F20-2024'!$F:$F,$F34)</f>
        <v>0</v>
      </c>
      <c r="L34" s="140">
        <f ca="1">SUMIFS('F20-2024'!L:L,'F20-2024'!$D:$D,$D34,'F20-2024'!$E:$E,$E34,'F20-2024'!$F:$F,$F34)</f>
        <v>0</v>
      </c>
      <c r="M34" s="140">
        <f ca="1">SUMIFS('F20-2024'!M:M,'F20-2024'!$D:$D,$D34,'F20-2024'!$E:$E,$E34,'F20-2024'!$F:$F,$F34)</f>
        <v>0</v>
      </c>
      <c r="N34" s="140">
        <f ca="1">SUMIFS('F20-2024'!N:N,'F20-2024'!$D:$D,$D34,'F20-2024'!$E:$E,$E34,'F20-2024'!$F:$F,$F34)</f>
        <v>0</v>
      </c>
      <c r="O34" s="140">
        <f ca="1">SUMIFS('F20-2024'!O:O,'F20-2024'!$D:$D,$D34,'F20-2024'!$E:$E,$E34,'F20-2024'!$F:$F,$F34)</f>
        <v>0</v>
      </c>
      <c r="P34" s="140">
        <f ca="1">SUMIFS('F20-2024'!P:P,'F20-2024'!$D:$D,$D34,'F20-2024'!$E:$E,$E34,'F20-2024'!$F:$F,$F34)</f>
        <v>0</v>
      </c>
      <c r="Q34" s="140">
        <f ca="1">SUMIFS('F20-2024'!Q:Q,'F20-2024'!$D:$D,$D34,'F20-2024'!$E:$E,$E34,'F20-2024'!$F:$F,$F34)</f>
        <v>0</v>
      </c>
      <c r="R34" s="140">
        <f ca="1">SUMIFS('F20-2024'!R:R,'F20-2024'!$D:$D,$D34,'F20-2024'!$E:$E,$E34,'F20-2024'!$F:$F,$F34)</f>
        <v>0</v>
      </c>
      <c r="S34" s="140">
        <f ca="1">SUMIFS('F20-2024'!S:S,'F20-2024'!$D:$D,$D34,'F20-2024'!$E:$E,$E34,'F20-2024'!$F:$F,$F34)</f>
        <v>0</v>
      </c>
      <c r="T34" s="140">
        <f ca="1">SUMIFS('F20-2024'!T:T,'F20-2024'!$D:$D,$D34,'F20-2024'!$E:$E,$E34,'F20-2024'!$F:$F,$F34)</f>
        <v>0</v>
      </c>
      <c r="U34" s="140">
        <f ca="1">SUMIFS('F20-2024'!U:U,'F20-2024'!$D:$D,$D34,'F20-2024'!$E:$E,$E34,'F20-2024'!$F:$F,$F34)</f>
        <v>0</v>
      </c>
      <c r="V34" s="140"/>
      <c r="W34" s="141" t="e">
        <f t="shared" ref="W34:AA34" ca="1" si="65">J34/$I34</f>
        <v>#DIV/0!</v>
      </c>
      <c r="X34" s="141" t="e">
        <f t="shared" ca="1" si="65"/>
        <v>#DIV/0!</v>
      </c>
      <c r="Y34" s="141" t="e">
        <f t="shared" ca="1" si="65"/>
        <v>#DIV/0!</v>
      </c>
      <c r="Z34" s="141" t="e">
        <f t="shared" ca="1" si="65"/>
        <v>#DIV/0!</v>
      </c>
      <c r="AA34" s="141" t="e">
        <f t="shared" ca="1" si="65"/>
        <v>#DIV/0!</v>
      </c>
      <c r="AB34" s="141"/>
      <c r="AC34" s="141" t="e">
        <f t="shared" ca="1" si="1"/>
        <v>#DIV/0!</v>
      </c>
      <c r="AD34" s="141" t="e">
        <f t="shared" ref="AD34:AI34" ca="1" si="66">O34/$I34</f>
        <v>#DIV/0!</v>
      </c>
      <c r="AE34" s="141" t="e">
        <f t="shared" ca="1" si="66"/>
        <v>#DIV/0!</v>
      </c>
      <c r="AF34" s="141" t="e">
        <f t="shared" ca="1" si="66"/>
        <v>#DIV/0!</v>
      </c>
      <c r="AG34" s="141" t="e">
        <f t="shared" ca="1" si="66"/>
        <v>#DIV/0!</v>
      </c>
      <c r="AH34" s="141" t="e">
        <f t="shared" ca="1" si="66"/>
        <v>#DIV/0!</v>
      </c>
      <c r="AI34" s="141" t="e">
        <f t="shared" ca="1" si="66"/>
        <v>#DIV/0!</v>
      </c>
      <c r="AJ34" s="140"/>
    </row>
    <row r="35" spans="1:36">
      <c r="A35" s="140" t="e">
        <f ca="1"/>
        <v>#NAME?</v>
      </c>
      <c r="B35" s="140" t="e">
        <f ca="1"/>
        <v>#NAME?</v>
      </c>
      <c r="C35" s="140" t="e">
        <f ca="1"/>
        <v>#NAME?</v>
      </c>
      <c r="D35" s="140" t="e">
        <f ca="1"/>
        <v>#NAME?</v>
      </c>
      <c r="E35" s="140" t="e">
        <f ca="1"/>
        <v>#NAME?</v>
      </c>
      <c r="F35" s="140" t="e">
        <f ca="1"/>
        <v>#NAME?</v>
      </c>
      <c r="G35" s="140" t="e">
        <f ca="1"/>
        <v>#NAME?</v>
      </c>
      <c r="H35" s="140"/>
      <c r="I35" s="140">
        <f ca="1">SUMIFS('F20-2024'!I:I,'F20-2024'!$D:$D,$D35,'F20-2024'!$E:$E,$E35,'F20-2024'!$F:$F,$F35)</f>
        <v>0</v>
      </c>
      <c r="J35" s="140">
        <f ca="1">SUMIFS('F20-2024'!J:J,'F20-2024'!$D:$D,$D35,'F20-2024'!$E:$E,$E35,'F20-2024'!$F:$F,$F35)</f>
        <v>0</v>
      </c>
      <c r="K35" s="140">
        <f ca="1">SUMIFS('F20-2024'!K:K,'F20-2024'!$D:$D,$D35,'F20-2024'!$E:$E,$E35,'F20-2024'!$F:$F,$F35)</f>
        <v>0</v>
      </c>
      <c r="L35" s="140">
        <f ca="1">SUMIFS('F20-2024'!L:L,'F20-2024'!$D:$D,$D35,'F20-2024'!$E:$E,$E35,'F20-2024'!$F:$F,$F35)</f>
        <v>0</v>
      </c>
      <c r="M35" s="140">
        <f ca="1">SUMIFS('F20-2024'!M:M,'F20-2024'!$D:$D,$D35,'F20-2024'!$E:$E,$E35,'F20-2024'!$F:$F,$F35)</f>
        <v>0</v>
      </c>
      <c r="N35" s="140">
        <f ca="1">SUMIFS('F20-2024'!N:N,'F20-2024'!$D:$D,$D35,'F20-2024'!$E:$E,$E35,'F20-2024'!$F:$F,$F35)</f>
        <v>0</v>
      </c>
      <c r="O35" s="140">
        <f ca="1">SUMIFS('F20-2024'!O:O,'F20-2024'!$D:$D,$D35,'F20-2024'!$E:$E,$E35,'F20-2024'!$F:$F,$F35)</f>
        <v>0</v>
      </c>
      <c r="P35" s="140">
        <f ca="1">SUMIFS('F20-2024'!P:P,'F20-2024'!$D:$D,$D35,'F20-2024'!$E:$E,$E35,'F20-2024'!$F:$F,$F35)</f>
        <v>0</v>
      </c>
      <c r="Q35" s="140">
        <f ca="1">SUMIFS('F20-2024'!Q:Q,'F20-2024'!$D:$D,$D35,'F20-2024'!$E:$E,$E35,'F20-2024'!$F:$F,$F35)</f>
        <v>0</v>
      </c>
      <c r="R35" s="140">
        <f ca="1">SUMIFS('F20-2024'!R:R,'F20-2024'!$D:$D,$D35,'F20-2024'!$E:$E,$E35,'F20-2024'!$F:$F,$F35)</f>
        <v>0</v>
      </c>
      <c r="S35" s="140">
        <f ca="1">SUMIFS('F20-2024'!S:S,'F20-2024'!$D:$D,$D35,'F20-2024'!$E:$E,$E35,'F20-2024'!$F:$F,$F35)</f>
        <v>0</v>
      </c>
      <c r="T35" s="140">
        <f ca="1">SUMIFS('F20-2024'!T:T,'F20-2024'!$D:$D,$D35,'F20-2024'!$E:$E,$E35,'F20-2024'!$F:$F,$F35)</f>
        <v>0</v>
      </c>
      <c r="U35" s="140">
        <f ca="1">SUMIFS('F20-2024'!U:U,'F20-2024'!$D:$D,$D35,'F20-2024'!$E:$E,$E35,'F20-2024'!$F:$F,$F35)</f>
        <v>0</v>
      </c>
      <c r="V35" s="140"/>
      <c r="W35" s="141" t="e">
        <f t="shared" ref="W35:AA35" ca="1" si="67">J35/$I35</f>
        <v>#DIV/0!</v>
      </c>
      <c r="X35" s="141" t="e">
        <f t="shared" ca="1" si="67"/>
        <v>#DIV/0!</v>
      </c>
      <c r="Y35" s="141" t="e">
        <f t="shared" ca="1" si="67"/>
        <v>#DIV/0!</v>
      </c>
      <c r="Z35" s="141" t="e">
        <f t="shared" ca="1" si="67"/>
        <v>#DIV/0!</v>
      </c>
      <c r="AA35" s="141" t="e">
        <f t="shared" ca="1" si="67"/>
        <v>#DIV/0!</v>
      </c>
      <c r="AB35" s="141"/>
      <c r="AC35" s="141" t="e">
        <f t="shared" ca="1" si="1"/>
        <v>#DIV/0!</v>
      </c>
      <c r="AD35" s="141" t="e">
        <f t="shared" ref="AD35:AI35" ca="1" si="68">O35/$I35</f>
        <v>#DIV/0!</v>
      </c>
      <c r="AE35" s="141" t="e">
        <f t="shared" ca="1" si="68"/>
        <v>#DIV/0!</v>
      </c>
      <c r="AF35" s="141" t="e">
        <f t="shared" ca="1" si="68"/>
        <v>#DIV/0!</v>
      </c>
      <c r="AG35" s="141" t="e">
        <f t="shared" ca="1" si="68"/>
        <v>#DIV/0!</v>
      </c>
      <c r="AH35" s="141" t="e">
        <f t="shared" ca="1" si="68"/>
        <v>#DIV/0!</v>
      </c>
      <c r="AI35" s="141" t="e">
        <f t="shared" ca="1" si="68"/>
        <v>#DIV/0!</v>
      </c>
      <c r="AJ35" s="140"/>
    </row>
    <row r="36" spans="1:36">
      <c r="A36" s="140" t="e">
        <f ca="1"/>
        <v>#NAME?</v>
      </c>
      <c r="B36" s="140" t="e">
        <f ca="1"/>
        <v>#NAME?</v>
      </c>
      <c r="C36" s="140" t="e">
        <f ca="1"/>
        <v>#NAME?</v>
      </c>
      <c r="D36" s="140" t="e">
        <f ca="1"/>
        <v>#NAME?</v>
      </c>
      <c r="E36" s="140" t="e">
        <f ca="1"/>
        <v>#NAME?</v>
      </c>
      <c r="F36" s="140" t="e">
        <f ca="1"/>
        <v>#NAME?</v>
      </c>
      <c r="G36" s="140" t="e">
        <f ca="1"/>
        <v>#NAME?</v>
      </c>
      <c r="H36" s="140"/>
      <c r="I36" s="140">
        <f ca="1">SUMIFS('F20-2024'!I:I,'F20-2024'!$D:$D,$D36,'F20-2024'!$E:$E,$E36,'F20-2024'!$F:$F,$F36)</f>
        <v>0</v>
      </c>
      <c r="J36" s="140">
        <f ca="1">SUMIFS('F20-2024'!J:J,'F20-2024'!$D:$D,$D36,'F20-2024'!$E:$E,$E36,'F20-2024'!$F:$F,$F36)</f>
        <v>0</v>
      </c>
      <c r="K36" s="140">
        <f ca="1">SUMIFS('F20-2024'!K:K,'F20-2024'!$D:$D,$D36,'F20-2024'!$E:$E,$E36,'F20-2024'!$F:$F,$F36)</f>
        <v>0</v>
      </c>
      <c r="L36" s="140">
        <f ca="1">SUMIFS('F20-2024'!L:L,'F20-2024'!$D:$D,$D36,'F20-2024'!$E:$E,$E36,'F20-2024'!$F:$F,$F36)</f>
        <v>0</v>
      </c>
      <c r="M36" s="140">
        <f ca="1">SUMIFS('F20-2024'!M:M,'F20-2024'!$D:$D,$D36,'F20-2024'!$E:$E,$E36,'F20-2024'!$F:$F,$F36)</f>
        <v>0</v>
      </c>
      <c r="N36" s="140">
        <f ca="1">SUMIFS('F20-2024'!N:N,'F20-2024'!$D:$D,$D36,'F20-2024'!$E:$E,$E36,'F20-2024'!$F:$F,$F36)</f>
        <v>0</v>
      </c>
      <c r="O36" s="140">
        <f ca="1">SUMIFS('F20-2024'!O:O,'F20-2024'!$D:$D,$D36,'F20-2024'!$E:$E,$E36,'F20-2024'!$F:$F,$F36)</f>
        <v>0</v>
      </c>
      <c r="P36" s="140">
        <f ca="1">SUMIFS('F20-2024'!P:P,'F20-2024'!$D:$D,$D36,'F20-2024'!$E:$E,$E36,'F20-2024'!$F:$F,$F36)</f>
        <v>0</v>
      </c>
      <c r="Q36" s="140">
        <f ca="1">SUMIFS('F20-2024'!Q:Q,'F20-2024'!$D:$D,$D36,'F20-2024'!$E:$E,$E36,'F20-2024'!$F:$F,$F36)</f>
        <v>0</v>
      </c>
      <c r="R36" s="140">
        <f ca="1">SUMIFS('F20-2024'!R:R,'F20-2024'!$D:$D,$D36,'F20-2024'!$E:$E,$E36,'F20-2024'!$F:$F,$F36)</f>
        <v>0</v>
      </c>
      <c r="S36" s="140">
        <f ca="1">SUMIFS('F20-2024'!S:S,'F20-2024'!$D:$D,$D36,'F20-2024'!$E:$E,$E36,'F20-2024'!$F:$F,$F36)</f>
        <v>0</v>
      </c>
      <c r="T36" s="140">
        <f ca="1">SUMIFS('F20-2024'!T:T,'F20-2024'!$D:$D,$D36,'F20-2024'!$E:$E,$E36,'F20-2024'!$F:$F,$F36)</f>
        <v>0</v>
      </c>
      <c r="U36" s="140">
        <f ca="1">SUMIFS('F20-2024'!U:U,'F20-2024'!$D:$D,$D36,'F20-2024'!$E:$E,$E36,'F20-2024'!$F:$F,$F36)</f>
        <v>0</v>
      </c>
      <c r="V36" s="140"/>
      <c r="W36" s="141" t="e">
        <f t="shared" ref="W36:AA36" ca="1" si="69">J36/$I36</f>
        <v>#DIV/0!</v>
      </c>
      <c r="X36" s="141" t="e">
        <f t="shared" ca="1" si="69"/>
        <v>#DIV/0!</v>
      </c>
      <c r="Y36" s="141" t="e">
        <f t="shared" ca="1" si="69"/>
        <v>#DIV/0!</v>
      </c>
      <c r="Z36" s="141" t="e">
        <f t="shared" ca="1" si="69"/>
        <v>#DIV/0!</v>
      </c>
      <c r="AA36" s="141" t="e">
        <f t="shared" ca="1" si="69"/>
        <v>#DIV/0!</v>
      </c>
      <c r="AB36" s="141"/>
      <c r="AC36" s="141" t="e">
        <f t="shared" ca="1" si="1"/>
        <v>#DIV/0!</v>
      </c>
      <c r="AD36" s="141" t="e">
        <f t="shared" ref="AD36:AI36" ca="1" si="70">O36/$I36</f>
        <v>#DIV/0!</v>
      </c>
      <c r="AE36" s="141" t="e">
        <f t="shared" ca="1" si="70"/>
        <v>#DIV/0!</v>
      </c>
      <c r="AF36" s="141" t="e">
        <f t="shared" ca="1" si="70"/>
        <v>#DIV/0!</v>
      </c>
      <c r="AG36" s="141" t="e">
        <f t="shared" ca="1" si="70"/>
        <v>#DIV/0!</v>
      </c>
      <c r="AH36" s="141" t="e">
        <f t="shared" ca="1" si="70"/>
        <v>#DIV/0!</v>
      </c>
      <c r="AI36" s="141" t="e">
        <f t="shared" ca="1" si="70"/>
        <v>#DIV/0!</v>
      </c>
      <c r="AJ36" s="140"/>
    </row>
    <row r="37" spans="1:36">
      <c r="A37" s="140" t="e">
        <f ca="1"/>
        <v>#NAME?</v>
      </c>
      <c r="B37" s="140" t="e">
        <f ca="1"/>
        <v>#NAME?</v>
      </c>
      <c r="C37" s="140" t="e">
        <f ca="1"/>
        <v>#NAME?</v>
      </c>
      <c r="D37" s="140" t="e">
        <f ca="1"/>
        <v>#NAME?</v>
      </c>
      <c r="E37" s="140" t="e">
        <f ca="1"/>
        <v>#NAME?</v>
      </c>
      <c r="F37" s="140" t="e">
        <f ca="1"/>
        <v>#NAME?</v>
      </c>
      <c r="G37" s="140" t="e">
        <f ca="1"/>
        <v>#NAME?</v>
      </c>
      <c r="H37" s="140"/>
      <c r="I37" s="140">
        <f ca="1">SUMIFS('F20-2024'!I:I,'F20-2024'!$D:$D,$D37,'F20-2024'!$E:$E,$E37,'F20-2024'!$F:$F,$F37)</f>
        <v>0</v>
      </c>
      <c r="J37" s="140">
        <f ca="1">SUMIFS('F20-2024'!J:J,'F20-2024'!$D:$D,$D37,'F20-2024'!$E:$E,$E37,'F20-2024'!$F:$F,$F37)</f>
        <v>0</v>
      </c>
      <c r="K37" s="140">
        <f ca="1">SUMIFS('F20-2024'!K:K,'F20-2024'!$D:$D,$D37,'F20-2024'!$E:$E,$E37,'F20-2024'!$F:$F,$F37)</f>
        <v>0</v>
      </c>
      <c r="L37" s="140">
        <f ca="1">SUMIFS('F20-2024'!L:L,'F20-2024'!$D:$D,$D37,'F20-2024'!$E:$E,$E37,'F20-2024'!$F:$F,$F37)</f>
        <v>0</v>
      </c>
      <c r="M37" s="140">
        <f ca="1">SUMIFS('F20-2024'!M:M,'F20-2024'!$D:$D,$D37,'F20-2024'!$E:$E,$E37,'F20-2024'!$F:$F,$F37)</f>
        <v>0</v>
      </c>
      <c r="N37" s="140">
        <f ca="1">SUMIFS('F20-2024'!N:N,'F20-2024'!$D:$D,$D37,'F20-2024'!$E:$E,$E37,'F20-2024'!$F:$F,$F37)</f>
        <v>0</v>
      </c>
      <c r="O37" s="140">
        <f ca="1">SUMIFS('F20-2024'!O:O,'F20-2024'!$D:$D,$D37,'F20-2024'!$E:$E,$E37,'F20-2024'!$F:$F,$F37)</f>
        <v>0</v>
      </c>
      <c r="P37" s="140">
        <f ca="1">SUMIFS('F20-2024'!P:P,'F20-2024'!$D:$D,$D37,'F20-2024'!$E:$E,$E37,'F20-2024'!$F:$F,$F37)</f>
        <v>0</v>
      </c>
      <c r="Q37" s="140">
        <f ca="1">SUMIFS('F20-2024'!Q:Q,'F20-2024'!$D:$D,$D37,'F20-2024'!$E:$E,$E37,'F20-2024'!$F:$F,$F37)</f>
        <v>0</v>
      </c>
      <c r="R37" s="140">
        <f ca="1">SUMIFS('F20-2024'!R:R,'F20-2024'!$D:$D,$D37,'F20-2024'!$E:$E,$E37,'F20-2024'!$F:$F,$F37)</f>
        <v>0</v>
      </c>
      <c r="S37" s="140">
        <f ca="1">SUMIFS('F20-2024'!S:S,'F20-2024'!$D:$D,$D37,'F20-2024'!$E:$E,$E37,'F20-2024'!$F:$F,$F37)</f>
        <v>0</v>
      </c>
      <c r="T37" s="140">
        <f ca="1">SUMIFS('F20-2024'!T:T,'F20-2024'!$D:$D,$D37,'F20-2024'!$E:$E,$E37,'F20-2024'!$F:$F,$F37)</f>
        <v>0</v>
      </c>
      <c r="U37" s="140">
        <f ca="1">SUMIFS('F20-2024'!U:U,'F20-2024'!$D:$D,$D37,'F20-2024'!$E:$E,$E37,'F20-2024'!$F:$F,$F37)</f>
        <v>0</v>
      </c>
      <c r="V37" s="140"/>
      <c r="W37" s="141" t="e">
        <f t="shared" ref="W37:AA37" ca="1" si="71">J37/$I37</f>
        <v>#DIV/0!</v>
      </c>
      <c r="X37" s="141" t="e">
        <f t="shared" ca="1" si="71"/>
        <v>#DIV/0!</v>
      </c>
      <c r="Y37" s="141" t="e">
        <f t="shared" ca="1" si="71"/>
        <v>#DIV/0!</v>
      </c>
      <c r="Z37" s="141" t="e">
        <f t="shared" ca="1" si="71"/>
        <v>#DIV/0!</v>
      </c>
      <c r="AA37" s="141" t="e">
        <f t="shared" ca="1" si="71"/>
        <v>#DIV/0!</v>
      </c>
      <c r="AB37" s="141"/>
      <c r="AC37" s="141" t="e">
        <f t="shared" ca="1" si="1"/>
        <v>#DIV/0!</v>
      </c>
      <c r="AD37" s="141" t="e">
        <f t="shared" ref="AD37:AI37" ca="1" si="72">O37/$I37</f>
        <v>#DIV/0!</v>
      </c>
      <c r="AE37" s="141" t="e">
        <f t="shared" ca="1" si="72"/>
        <v>#DIV/0!</v>
      </c>
      <c r="AF37" s="141" t="e">
        <f t="shared" ca="1" si="72"/>
        <v>#DIV/0!</v>
      </c>
      <c r="AG37" s="141" t="e">
        <f t="shared" ca="1" si="72"/>
        <v>#DIV/0!</v>
      </c>
      <c r="AH37" s="141" t="e">
        <f t="shared" ca="1" si="72"/>
        <v>#DIV/0!</v>
      </c>
      <c r="AI37" s="141" t="e">
        <f t="shared" ca="1" si="72"/>
        <v>#DIV/0!</v>
      </c>
      <c r="AJ37" s="140"/>
    </row>
    <row r="38" spans="1:36">
      <c r="A38" s="140" t="e">
        <f ca="1"/>
        <v>#NAME?</v>
      </c>
      <c r="B38" s="140" t="e">
        <f ca="1"/>
        <v>#NAME?</v>
      </c>
      <c r="C38" s="140" t="e">
        <f ca="1"/>
        <v>#NAME?</v>
      </c>
      <c r="D38" s="140" t="e">
        <f ca="1"/>
        <v>#NAME?</v>
      </c>
      <c r="E38" s="140" t="e">
        <f ca="1"/>
        <v>#NAME?</v>
      </c>
      <c r="F38" s="140" t="e">
        <f ca="1"/>
        <v>#NAME?</v>
      </c>
      <c r="G38" s="140" t="e">
        <f ca="1"/>
        <v>#NAME?</v>
      </c>
      <c r="H38" s="140"/>
      <c r="I38" s="140">
        <f ca="1">SUMIFS('F20-2024'!I:I,'F20-2024'!$D:$D,$D38,'F20-2024'!$E:$E,$E38,'F20-2024'!$F:$F,$F38)</f>
        <v>0</v>
      </c>
      <c r="J38" s="140">
        <f ca="1">SUMIFS('F20-2024'!J:J,'F20-2024'!$D:$D,$D38,'F20-2024'!$E:$E,$E38,'F20-2024'!$F:$F,$F38)</f>
        <v>0</v>
      </c>
      <c r="K38" s="140">
        <f ca="1">SUMIFS('F20-2024'!K:K,'F20-2024'!$D:$D,$D38,'F20-2024'!$E:$E,$E38,'F20-2024'!$F:$F,$F38)</f>
        <v>0</v>
      </c>
      <c r="L38" s="140">
        <f ca="1">SUMIFS('F20-2024'!L:L,'F20-2024'!$D:$D,$D38,'F20-2024'!$E:$E,$E38,'F20-2024'!$F:$F,$F38)</f>
        <v>0</v>
      </c>
      <c r="M38" s="140">
        <f ca="1">SUMIFS('F20-2024'!M:M,'F20-2024'!$D:$D,$D38,'F20-2024'!$E:$E,$E38,'F20-2024'!$F:$F,$F38)</f>
        <v>0</v>
      </c>
      <c r="N38" s="140">
        <f ca="1">SUMIFS('F20-2024'!N:N,'F20-2024'!$D:$D,$D38,'F20-2024'!$E:$E,$E38,'F20-2024'!$F:$F,$F38)</f>
        <v>0</v>
      </c>
      <c r="O38" s="140">
        <f ca="1">SUMIFS('F20-2024'!O:O,'F20-2024'!$D:$D,$D38,'F20-2024'!$E:$E,$E38,'F20-2024'!$F:$F,$F38)</f>
        <v>0</v>
      </c>
      <c r="P38" s="140">
        <f ca="1">SUMIFS('F20-2024'!P:P,'F20-2024'!$D:$D,$D38,'F20-2024'!$E:$E,$E38,'F20-2024'!$F:$F,$F38)</f>
        <v>0</v>
      </c>
      <c r="Q38" s="140">
        <f ca="1">SUMIFS('F20-2024'!Q:Q,'F20-2024'!$D:$D,$D38,'F20-2024'!$E:$E,$E38,'F20-2024'!$F:$F,$F38)</f>
        <v>0</v>
      </c>
      <c r="R38" s="140">
        <f ca="1">SUMIFS('F20-2024'!R:R,'F20-2024'!$D:$D,$D38,'F20-2024'!$E:$E,$E38,'F20-2024'!$F:$F,$F38)</f>
        <v>0</v>
      </c>
      <c r="S38" s="140">
        <f ca="1">SUMIFS('F20-2024'!S:S,'F20-2024'!$D:$D,$D38,'F20-2024'!$E:$E,$E38,'F20-2024'!$F:$F,$F38)</f>
        <v>0</v>
      </c>
      <c r="T38" s="140">
        <f ca="1">SUMIFS('F20-2024'!T:T,'F20-2024'!$D:$D,$D38,'F20-2024'!$E:$E,$E38,'F20-2024'!$F:$F,$F38)</f>
        <v>0</v>
      </c>
      <c r="U38" s="140">
        <f ca="1">SUMIFS('F20-2024'!U:U,'F20-2024'!$D:$D,$D38,'F20-2024'!$E:$E,$E38,'F20-2024'!$F:$F,$F38)</f>
        <v>0</v>
      </c>
      <c r="V38" s="140"/>
      <c r="W38" s="141" t="e">
        <f t="shared" ref="W38:AA38" ca="1" si="73">J38/$I38</f>
        <v>#DIV/0!</v>
      </c>
      <c r="X38" s="141" t="e">
        <f t="shared" ca="1" si="73"/>
        <v>#DIV/0!</v>
      </c>
      <c r="Y38" s="141" t="e">
        <f t="shared" ca="1" si="73"/>
        <v>#DIV/0!</v>
      </c>
      <c r="Z38" s="141" t="e">
        <f t="shared" ca="1" si="73"/>
        <v>#DIV/0!</v>
      </c>
      <c r="AA38" s="141" t="e">
        <f t="shared" ca="1" si="73"/>
        <v>#DIV/0!</v>
      </c>
      <c r="AB38" s="141"/>
      <c r="AC38" s="141" t="e">
        <f t="shared" ca="1" si="1"/>
        <v>#DIV/0!</v>
      </c>
      <c r="AD38" s="141" t="e">
        <f t="shared" ref="AD38:AI38" ca="1" si="74">O38/$I38</f>
        <v>#DIV/0!</v>
      </c>
      <c r="AE38" s="141" t="e">
        <f t="shared" ca="1" si="74"/>
        <v>#DIV/0!</v>
      </c>
      <c r="AF38" s="141" t="e">
        <f t="shared" ca="1" si="74"/>
        <v>#DIV/0!</v>
      </c>
      <c r="AG38" s="141" t="e">
        <f t="shared" ca="1" si="74"/>
        <v>#DIV/0!</v>
      </c>
      <c r="AH38" s="141" t="e">
        <f t="shared" ca="1" si="74"/>
        <v>#DIV/0!</v>
      </c>
      <c r="AI38" s="141" t="e">
        <f t="shared" ca="1" si="74"/>
        <v>#DIV/0!</v>
      </c>
      <c r="AJ38" s="140"/>
    </row>
    <row r="39" spans="1:36">
      <c r="A39" s="140" t="e">
        <f ca="1"/>
        <v>#NAME?</v>
      </c>
      <c r="B39" s="140" t="e">
        <f ca="1"/>
        <v>#NAME?</v>
      </c>
      <c r="C39" s="140" t="e">
        <f ca="1"/>
        <v>#NAME?</v>
      </c>
      <c r="D39" s="140" t="e">
        <f ca="1"/>
        <v>#NAME?</v>
      </c>
      <c r="E39" s="140" t="e">
        <f ca="1"/>
        <v>#NAME?</v>
      </c>
      <c r="F39" s="140" t="e">
        <f ca="1"/>
        <v>#NAME?</v>
      </c>
      <c r="G39" s="140" t="e">
        <f ca="1"/>
        <v>#NAME?</v>
      </c>
      <c r="H39" s="140"/>
      <c r="I39" s="140">
        <f ca="1">SUMIFS('F20-2024'!I:I,'F20-2024'!$D:$D,$D39,'F20-2024'!$E:$E,$E39,'F20-2024'!$F:$F,$F39)</f>
        <v>0</v>
      </c>
      <c r="J39" s="140">
        <f ca="1">SUMIFS('F20-2024'!J:J,'F20-2024'!$D:$D,$D39,'F20-2024'!$E:$E,$E39,'F20-2024'!$F:$F,$F39)</f>
        <v>0</v>
      </c>
      <c r="K39" s="140">
        <f ca="1">SUMIFS('F20-2024'!K:K,'F20-2024'!$D:$D,$D39,'F20-2024'!$E:$E,$E39,'F20-2024'!$F:$F,$F39)</f>
        <v>0</v>
      </c>
      <c r="L39" s="140">
        <f ca="1">SUMIFS('F20-2024'!L:L,'F20-2024'!$D:$D,$D39,'F20-2024'!$E:$E,$E39,'F20-2024'!$F:$F,$F39)</f>
        <v>0</v>
      </c>
      <c r="M39" s="140">
        <f ca="1">SUMIFS('F20-2024'!M:M,'F20-2024'!$D:$D,$D39,'F20-2024'!$E:$E,$E39,'F20-2024'!$F:$F,$F39)</f>
        <v>0</v>
      </c>
      <c r="N39" s="140">
        <f ca="1">SUMIFS('F20-2024'!N:N,'F20-2024'!$D:$D,$D39,'F20-2024'!$E:$E,$E39,'F20-2024'!$F:$F,$F39)</f>
        <v>0</v>
      </c>
      <c r="O39" s="140">
        <f ca="1">SUMIFS('F20-2024'!O:O,'F20-2024'!$D:$D,$D39,'F20-2024'!$E:$E,$E39,'F20-2024'!$F:$F,$F39)</f>
        <v>0</v>
      </c>
      <c r="P39" s="140">
        <f ca="1">SUMIFS('F20-2024'!P:P,'F20-2024'!$D:$D,$D39,'F20-2024'!$E:$E,$E39,'F20-2024'!$F:$F,$F39)</f>
        <v>0</v>
      </c>
      <c r="Q39" s="140">
        <f ca="1">SUMIFS('F20-2024'!Q:Q,'F20-2024'!$D:$D,$D39,'F20-2024'!$E:$E,$E39,'F20-2024'!$F:$F,$F39)</f>
        <v>0</v>
      </c>
      <c r="R39" s="140">
        <f ca="1">SUMIFS('F20-2024'!R:R,'F20-2024'!$D:$D,$D39,'F20-2024'!$E:$E,$E39,'F20-2024'!$F:$F,$F39)</f>
        <v>0</v>
      </c>
      <c r="S39" s="140">
        <f ca="1">SUMIFS('F20-2024'!S:S,'F20-2024'!$D:$D,$D39,'F20-2024'!$E:$E,$E39,'F20-2024'!$F:$F,$F39)</f>
        <v>0</v>
      </c>
      <c r="T39" s="140">
        <f ca="1">SUMIFS('F20-2024'!T:T,'F20-2024'!$D:$D,$D39,'F20-2024'!$E:$E,$E39,'F20-2024'!$F:$F,$F39)</f>
        <v>0</v>
      </c>
      <c r="U39" s="140">
        <f ca="1">SUMIFS('F20-2024'!U:U,'F20-2024'!$D:$D,$D39,'F20-2024'!$E:$E,$E39,'F20-2024'!$F:$F,$F39)</f>
        <v>0</v>
      </c>
      <c r="V39" s="140"/>
      <c r="W39" s="141" t="e">
        <f t="shared" ref="W39:AA39" ca="1" si="75">J39/$I39</f>
        <v>#DIV/0!</v>
      </c>
      <c r="X39" s="141" t="e">
        <f t="shared" ca="1" si="75"/>
        <v>#DIV/0!</v>
      </c>
      <c r="Y39" s="141" t="e">
        <f t="shared" ca="1" si="75"/>
        <v>#DIV/0!</v>
      </c>
      <c r="Z39" s="141" t="e">
        <f t="shared" ca="1" si="75"/>
        <v>#DIV/0!</v>
      </c>
      <c r="AA39" s="141" t="e">
        <f t="shared" ca="1" si="75"/>
        <v>#DIV/0!</v>
      </c>
      <c r="AB39" s="141"/>
      <c r="AC39" s="141" t="e">
        <f t="shared" ca="1" si="1"/>
        <v>#DIV/0!</v>
      </c>
      <c r="AD39" s="141" t="e">
        <f t="shared" ref="AD39:AI39" ca="1" si="76">O39/$I39</f>
        <v>#DIV/0!</v>
      </c>
      <c r="AE39" s="141" t="e">
        <f t="shared" ca="1" si="76"/>
        <v>#DIV/0!</v>
      </c>
      <c r="AF39" s="141" t="e">
        <f t="shared" ca="1" si="76"/>
        <v>#DIV/0!</v>
      </c>
      <c r="AG39" s="141" t="e">
        <f t="shared" ca="1" si="76"/>
        <v>#DIV/0!</v>
      </c>
      <c r="AH39" s="141" t="e">
        <f t="shared" ca="1" si="76"/>
        <v>#DIV/0!</v>
      </c>
      <c r="AI39" s="141" t="e">
        <f t="shared" ca="1" si="76"/>
        <v>#DIV/0!</v>
      </c>
      <c r="AJ39" s="140"/>
    </row>
    <row r="40" spans="1:36">
      <c r="A40" s="140" t="e">
        <f ca="1"/>
        <v>#NAME?</v>
      </c>
      <c r="B40" s="140" t="e">
        <f ca="1"/>
        <v>#NAME?</v>
      </c>
      <c r="C40" s="140" t="e">
        <f ca="1"/>
        <v>#NAME?</v>
      </c>
      <c r="D40" s="140" t="e">
        <f ca="1"/>
        <v>#NAME?</v>
      </c>
      <c r="E40" s="140" t="e">
        <f ca="1"/>
        <v>#NAME?</v>
      </c>
      <c r="F40" s="140" t="e">
        <f ca="1"/>
        <v>#NAME?</v>
      </c>
      <c r="G40" s="140" t="e">
        <f ca="1"/>
        <v>#NAME?</v>
      </c>
      <c r="H40" s="140"/>
      <c r="I40" s="140">
        <f ca="1">SUMIFS('F20-2024'!I:I,'F20-2024'!$D:$D,$D40,'F20-2024'!$E:$E,$E40,'F20-2024'!$F:$F,$F40)</f>
        <v>0</v>
      </c>
      <c r="J40" s="140">
        <f ca="1">SUMIFS('F20-2024'!J:J,'F20-2024'!$D:$D,$D40,'F20-2024'!$E:$E,$E40,'F20-2024'!$F:$F,$F40)</f>
        <v>0</v>
      </c>
      <c r="K40" s="140">
        <f ca="1">SUMIFS('F20-2024'!K:K,'F20-2024'!$D:$D,$D40,'F20-2024'!$E:$E,$E40,'F20-2024'!$F:$F,$F40)</f>
        <v>0</v>
      </c>
      <c r="L40" s="140">
        <f ca="1">SUMIFS('F20-2024'!L:L,'F20-2024'!$D:$D,$D40,'F20-2024'!$E:$E,$E40,'F20-2024'!$F:$F,$F40)</f>
        <v>0</v>
      </c>
      <c r="M40" s="140">
        <f ca="1">SUMIFS('F20-2024'!M:M,'F20-2024'!$D:$D,$D40,'F20-2024'!$E:$E,$E40,'F20-2024'!$F:$F,$F40)</f>
        <v>0</v>
      </c>
      <c r="N40" s="140">
        <f ca="1">SUMIFS('F20-2024'!N:N,'F20-2024'!$D:$D,$D40,'F20-2024'!$E:$E,$E40,'F20-2024'!$F:$F,$F40)</f>
        <v>0</v>
      </c>
      <c r="O40" s="140">
        <f ca="1">SUMIFS('F20-2024'!O:O,'F20-2024'!$D:$D,$D40,'F20-2024'!$E:$E,$E40,'F20-2024'!$F:$F,$F40)</f>
        <v>0</v>
      </c>
      <c r="P40" s="140">
        <f ca="1">SUMIFS('F20-2024'!P:P,'F20-2024'!$D:$D,$D40,'F20-2024'!$E:$E,$E40,'F20-2024'!$F:$F,$F40)</f>
        <v>0</v>
      </c>
      <c r="Q40" s="140">
        <f ca="1">SUMIFS('F20-2024'!Q:Q,'F20-2024'!$D:$D,$D40,'F20-2024'!$E:$E,$E40,'F20-2024'!$F:$F,$F40)</f>
        <v>0</v>
      </c>
      <c r="R40" s="140">
        <f ca="1">SUMIFS('F20-2024'!R:R,'F20-2024'!$D:$D,$D40,'F20-2024'!$E:$E,$E40,'F20-2024'!$F:$F,$F40)</f>
        <v>0</v>
      </c>
      <c r="S40" s="140">
        <f ca="1">SUMIFS('F20-2024'!S:S,'F20-2024'!$D:$D,$D40,'F20-2024'!$E:$E,$E40,'F20-2024'!$F:$F,$F40)</f>
        <v>0</v>
      </c>
      <c r="T40" s="140">
        <f ca="1">SUMIFS('F20-2024'!T:T,'F20-2024'!$D:$D,$D40,'F20-2024'!$E:$E,$E40,'F20-2024'!$F:$F,$F40)</f>
        <v>0</v>
      </c>
      <c r="U40" s="140">
        <f ca="1">SUMIFS('F20-2024'!U:U,'F20-2024'!$D:$D,$D40,'F20-2024'!$E:$E,$E40,'F20-2024'!$F:$F,$F40)</f>
        <v>0</v>
      </c>
      <c r="V40" s="140"/>
      <c r="W40" s="141" t="e">
        <f t="shared" ref="W40:AA40" ca="1" si="77">J40/$I40</f>
        <v>#DIV/0!</v>
      </c>
      <c r="X40" s="141" t="e">
        <f t="shared" ca="1" si="77"/>
        <v>#DIV/0!</v>
      </c>
      <c r="Y40" s="141" t="e">
        <f t="shared" ca="1" si="77"/>
        <v>#DIV/0!</v>
      </c>
      <c r="Z40" s="141" t="e">
        <f t="shared" ca="1" si="77"/>
        <v>#DIV/0!</v>
      </c>
      <c r="AA40" s="141" t="e">
        <f t="shared" ca="1" si="77"/>
        <v>#DIV/0!</v>
      </c>
      <c r="AB40" s="141"/>
      <c r="AC40" s="141" t="e">
        <f t="shared" ca="1" si="1"/>
        <v>#DIV/0!</v>
      </c>
      <c r="AD40" s="141" t="e">
        <f t="shared" ref="AD40:AI40" ca="1" si="78">O40/$I40</f>
        <v>#DIV/0!</v>
      </c>
      <c r="AE40" s="141" t="e">
        <f t="shared" ca="1" si="78"/>
        <v>#DIV/0!</v>
      </c>
      <c r="AF40" s="141" t="e">
        <f t="shared" ca="1" si="78"/>
        <v>#DIV/0!</v>
      </c>
      <c r="AG40" s="141" t="e">
        <f t="shared" ca="1" si="78"/>
        <v>#DIV/0!</v>
      </c>
      <c r="AH40" s="141" t="e">
        <f t="shared" ca="1" si="78"/>
        <v>#DIV/0!</v>
      </c>
      <c r="AI40" s="141" t="e">
        <f t="shared" ca="1" si="78"/>
        <v>#DIV/0!</v>
      </c>
      <c r="AJ40" s="140"/>
    </row>
    <row r="41" spans="1:36">
      <c r="A41" s="140" t="e">
        <f ca="1"/>
        <v>#NAME?</v>
      </c>
      <c r="B41" s="140" t="e">
        <f ca="1"/>
        <v>#NAME?</v>
      </c>
      <c r="C41" s="140" t="e">
        <f ca="1"/>
        <v>#NAME?</v>
      </c>
      <c r="D41" s="140" t="e">
        <f ca="1"/>
        <v>#NAME?</v>
      </c>
      <c r="E41" s="140" t="e">
        <f ca="1"/>
        <v>#NAME?</v>
      </c>
      <c r="F41" s="140" t="e">
        <f ca="1"/>
        <v>#NAME?</v>
      </c>
      <c r="G41" s="140" t="e">
        <f ca="1"/>
        <v>#NAME?</v>
      </c>
      <c r="H41" s="140"/>
      <c r="I41" s="140">
        <f ca="1">SUMIFS('F20-2024'!I:I,'F20-2024'!$D:$D,$D41,'F20-2024'!$E:$E,$E41,'F20-2024'!$F:$F,$F41)</f>
        <v>0</v>
      </c>
      <c r="J41" s="140">
        <f ca="1">SUMIFS('F20-2024'!J:J,'F20-2024'!$D:$D,$D41,'F20-2024'!$E:$E,$E41,'F20-2024'!$F:$F,$F41)</f>
        <v>0</v>
      </c>
      <c r="K41" s="140">
        <f ca="1">SUMIFS('F20-2024'!K:K,'F20-2024'!$D:$D,$D41,'F20-2024'!$E:$E,$E41,'F20-2024'!$F:$F,$F41)</f>
        <v>0</v>
      </c>
      <c r="L41" s="140">
        <f ca="1">SUMIFS('F20-2024'!L:L,'F20-2024'!$D:$D,$D41,'F20-2024'!$E:$E,$E41,'F20-2024'!$F:$F,$F41)</f>
        <v>0</v>
      </c>
      <c r="M41" s="140">
        <f ca="1">SUMIFS('F20-2024'!M:M,'F20-2024'!$D:$D,$D41,'F20-2024'!$E:$E,$E41,'F20-2024'!$F:$F,$F41)</f>
        <v>0</v>
      </c>
      <c r="N41" s="140">
        <f ca="1">SUMIFS('F20-2024'!N:N,'F20-2024'!$D:$D,$D41,'F20-2024'!$E:$E,$E41,'F20-2024'!$F:$F,$F41)</f>
        <v>0</v>
      </c>
      <c r="O41" s="140">
        <f ca="1">SUMIFS('F20-2024'!O:O,'F20-2024'!$D:$D,$D41,'F20-2024'!$E:$E,$E41,'F20-2024'!$F:$F,$F41)</f>
        <v>0</v>
      </c>
      <c r="P41" s="140">
        <f ca="1">SUMIFS('F20-2024'!P:P,'F20-2024'!$D:$D,$D41,'F20-2024'!$E:$E,$E41,'F20-2024'!$F:$F,$F41)</f>
        <v>0</v>
      </c>
      <c r="Q41" s="140">
        <f ca="1">SUMIFS('F20-2024'!Q:Q,'F20-2024'!$D:$D,$D41,'F20-2024'!$E:$E,$E41,'F20-2024'!$F:$F,$F41)</f>
        <v>0</v>
      </c>
      <c r="R41" s="140">
        <f ca="1">SUMIFS('F20-2024'!R:R,'F20-2024'!$D:$D,$D41,'F20-2024'!$E:$E,$E41,'F20-2024'!$F:$F,$F41)</f>
        <v>0</v>
      </c>
      <c r="S41" s="140">
        <f ca="1">SUMIFS('F20-2024'!S:S,'F20-2024'!$D:$D,$D41,'F20-2024'!$E:$E,$E41,'F20-2024'!$F:$F,$F41)</f>
        <v>0</v>
      </c>
      <c r="T41" s="140">
        <f ca="1">SUMIFS('F20-2024'!T:T,'F20-2024'!$D:$D,$D41,'F20-2024'!$E:$E,$E41,'F20-2024'!$F:$F,$F41)</f>
        <v>0</v>
      </c>
      <c r="U41" s="140">
        <f ca="1">SUMIFS('F20-2024'!U:U,'F20-2024'!$D:$D,$D41,'F20-2024'!$E:$E,$E41,'F20-2024'!$F:$F,$F41)</f>
        <v>0</v>
      </c>
      <c r="V41" s="140"/>
      <c r="W41" s="141" t="e">
        <f t="shared" ref="W41:AA41" ca="1" si="79">J41/$I41</f>
        <v>#DIV/0!</v>
      </c>
      <c r="X41" s="141" t="e">
        <f t="shared" ca="1" si="79"/>
        <v>#DIV/0!</v>
      </c>
      <c r="Y41" s="141" t="e">
        <f t="shared" ca="1" si="79"/>
        <v>#DIV/0!</v>
      </c>
      <c r="Z41" s="141" t="e">
        <f t="shared" ca="1" si="79"/>
        <v>#DIV/0!</v>
      </c>
      <c r="AA41" s="141" t="e">
        <f t="shared" ca="1" si="79"/>
        <v>#DIV/0!</v>
      </c>
      <c r="AB41" s="141"/>
      <c r="AC41" s="141" t="e">
        <f t="shared" ca="1" si="1"/>
        <v>#DIV/0!</v>
      </c>
      <c r="AD41" s="141" t="e">
        <f t="shared" ref="AD41:AI41" ca="1" si="80">O41/$I41</f>
        <v>#DIV/0!</v>
      </c>
      <c r="AE41" s="141" t="e">
        <f t="shared" ca="1" si="80"/>
        <v>#DIV/0!</v>
      </c>
      <c r="AF41" s="141" t="e">
        <f t="shared" ca="1" si="80"/>
        <v>#DIV/0!</v>
      </c>
      <c r="AG41" s="141" t="e">
        <f t="shared" ca="1" si="80"/>
        <v>#DIV/0!</v>
      </c>
      <c r="AH41" s="141" t="e">
        <f t="shared" ca="1" si="80"/>
        <v>#DIV/0!</v>
      </c>
      <c r="AI41" s="141" t="e">
        <f t="shared" ca="1" si="80"/>
        <v>#DIV/0!</v>
      </c>
      <c r="AJ41" s="140"/>
    </row>
    <row r="42" spans="1:36">
      <c r="A42" s="140" t="e">
        <f ca="1"/>
        <v>#NAME?</v>
      </c>
      <c r="B42" s="140" t="e">
        <f ca="1"/>
        <v>#NAME?</v>
      </c>
      <c r="C42" s="140" t="e">
        <f ca="1"/>
        <v>#NAME?</v>
      </c>
      <c r="D42" s="140" t="e">
        <f ca="1"/>
        <v>#NAME?</v>
      </c>
      <c r="E42" s="140" t="e">
        <f ca="1"/>
        <v>#NAME?</v>
      </c>
      <c r="F42" s="140" t="e">
        <f ca="1"/>
        <v>#NAME?</v>
      </c>
      <c r="G42" s="140" t="e">
        <f ca="1"/>
        <v>#NAME?</v>
      </c>
      <c r="H42" s="140"/>
      <c r="I42" s="140">
        <f ca="1">SUMIFS('F20-2024'!I:I,'F20-2024'!$D:$D,$D42,'F20-2024'!$E:$E,$E42,'F20-2024'!$F:$F,$F42)</f>
        <v>0</v>
      </c>
      <c r="J42" s="140">
        <f ca="1">SUMIFS('F20-2024'!J:J,'F20-2024'!$D:$D,$D42,'F20-2024'!$E:$E,$E42,'F20-2024'!$F:$F,$F42)</f>
        <v>0</v>
      </c>
      <c r="K42" s="140">
        <f ca="1">SUMIFS('F20-2024'!K:K,'F20-2024'!$D:$D,$D42,'F20-2024'!$E:$E,$E42,'F20-2024'!$F:$F,$F42)</f>
        <v>0</v>
      </c>
      <c r="L42" s="140">
        <f ca="1">SUMIFS('F20-2024'!L:L,'F20-2024'!$D:$D,$D42,'F20-2024'!$E:$E,$E42,'F20-2024'!$F:$F,$F42)</f>
        <v>0</v>
      </c>
      <c r="M42" s="140">
        <f ca="1">SUMIFS('F20-2024'!M:M,'F20-2024'!$D:$D,$D42,'F20-2024'!$E:$E,$E42,'F20-2024'!$F:$F,$F42)</f>
        <v>0</v>
      </c>
      <c r="N42" s="140">
        <f ca="1">SUMIFS('F20-2024'!N:N,'F20-2024'!$D:$D,$D42,'F20-2024'!$E:$E,$E42,'F20-2024'!$F:$F,$F42)</f>
        <v>0</v>
      </c>
      <c r="O42" s="140">
        <f ca="1">SUMIFS('F20-2024'!O:O,'F20-2024'!$D:$D,$D42,'F20-2024'!$E:$E,$E42,'F20-2024'!$F:$F,$F42)</f>
        <v>0</v>
      </c>
      <c r="P42" s="140">
        <f ca="1">SUMIFS('F20-2024'!P:P,'F20-2024'!$D:$D,$D42,'F20-2024'!$E:$E,$E42,'F20-2024'!$F:$F,$F42)</f>
        <v>0</v>
      </c>
      <c r="Q42" s="140">
        <f ca="1">SUMIFS('F20-2024'!Q:Q,'F20-2024'!$D:$D,$D42,'F20-2024'!$E:$E,$E42,'F20-2024'!$F:$F,$F42)</f>
        <v>0</v>
      </c>
      <c r="R42" s="140">
        <f ca="1">SUMIFS('F20-2024'!R:R,'F20-2024'!$D:$D,$D42,'F20-2024'!$E:$E,$E42,'F20-2024'!$F:$F,$F42)</f>
        <v>0</v>
      </c>
      <c r="S42" s="140">
        <f ca="1">SUMIFS('F20-2024'!S:S,'F20-2024'!$D:$D,$D42,'F20-2024'!$E:$E,$E42,'F20-2024'!$F:$F,$F42)</f>
        <v>0</v>
      </c>
      <c r="T42" s="140">
        <f ca="1">SUMIFS('F20-2024'!T:T,'F20-2024'!$D:$D,$D42,'F20-2024'!$E:$E,$E42,'F20-2024'!$F:$F,$F42)</f>
        <v>0</v>
      </c>
      <c r="U42" s="140">
        <f ca="1">SUMIFS('F20-2024'!U:U,'F20-2024'!$D:$D,$D42,'F20-2024'!$E:$E,$E42,'F20-2024'!$F:$F,$F42)</f>
        <v>0</v>
      </c>
      <c r="V42" s="140"/>
      <c r="W42" s="141" t="e">
        <f t="shared" ref="W42:AA42" ca="1" si="81">J42/$I42</f>
        <v>#DIV/0!</v>
      </c>
      <c r="X42" s="141" t="e">
        <f t="shared" ca="1" si="81"/>
        <v>#DIV/0!</v>
      </c>
      <c r="Y42" s="141" t="e">
        <f t="shared" ca="1" si="81"/>
        <v>#DIV/0!</v>
      </c>
      <c r="Z42" s="141" t="e">
        <f t="shared" ca="1" si="81"/>
        <v>#DIV/0!</v>
      </c>
      <c r="AA42" s="141" t="e">
        <f t="shared" ca="1" si="81"/>
        <v>#DIV/0!</v>
      </c>
      <c r="AB42" s="141"/>
      <c r="AC42" s="141" t="e">
        <f t="shared" ca="1" si="1"/>
        <v>#DIV/0!</v>
      </c>
      <c r="AD42" s="141" t="e">
        <f t="shared" ref="AD42:AI42" ca="1" si="82">O42/$I42</f>
        <v>#DIV/0!</v>
      </c>
      <c r="AE42" s="141" t="e">
        <f t="shared" ca="1" si="82"/>
        <v>#DIV/0!</v>
      </c>
      <c r="AF42" s="141" t="e">
        <f t="shared" ca="1" si="82"/>
        <v>#DIV/0!</v>
      </c>
      <c r="AG42" s="141" t="e">
        <f t="shared" ca="1" si="82"/>
        <v>#DIV/0!</v>
      </c>
      <c r="AH42" s="141" t="e">
        <f t="shared" ca="1" si="82"/>
        <v>#DIV/0!</v>
      </c>
      <c r="AI42" s="141" t="e">
        <f t="shared" ca="1" si="82"/>
        <v>#DIV/0!</v>
      </c>
      <c r="AJ42" s="140"/>
    </row>
    <row r="43" spans="1:36">
      <c r="A43" s="140" t="e">
        <f ca="1"/>
        <v>#NAME?</v>
      </c>
      <c r="B43" s="140" t="e">
        <f ca="1"/>
        <v>#NAME?</v>
      </c>
      <c r="C43" s="140" t="e">
        <f ca="1"/>
        <v>#NAME?</v>
      </c>
      <c r="D43" s="140" t="e">
        <f ca="1"/>
        <v>#NAME?</v>
      </c>
      <c r="E43" s="140" t="e">
        <f ca="1"/>
        <v>#NAME?</v>
      </c>
      <c r="F43" s="140" t="e">
        <f ca="1"/>
        <v>#NAME?</v>
      </c>
      <c r="G43" s="140" t="e">
        <f ca="1"/>
        <v>#NAME?</v>
      </c>
      <c r="H43" s="140"/>
      <c r="I43" s="140">
        <f ca="1">SUMIFS('F20-2024'!I:I,'F20-2024'!$D:$D,$D43,'F20-2024'!$E:$E,$E43,'F20-2024'!$F:$F,$F43)</f>
        <v>0</v>
      </c>
      <c r="J43" s="140">
        <f ca="1">SUMIFS('F20-2024'!J:J,'F20-2024'!$D:$D,$D43,'F20-2024'!$E:$E,$E43,'F20-2024'!$F:$F,$F43)</f>
        <v>0</v>
      </c>
      <c r="K43" s="140">
        <f ca="1">SUMIFS('F20-2024'!K:K,'F20-2024'!$D:$D,$D43,'F20-2024'!$E:$E,$E43,'F20-2024'!$F:$F,$F43)</f>
        <v>0</v>
      </c>
      <c r="L43" s="140">
        <f ca="1">SUMIFS('F20-2024'!L:L,'F20-2024'!$D:$D,$D43,'F20-2024'!$E:$E,$E43,'F20-2024'!$F:$F,$F43)</f>
        <v>0</v>
      </c>
      <c r="M43" s="140">
        <f ca="1">SUMIFS('F20-2024'!M:M,'F20-2024'!$D:$D,$D43,'F20-2024'!$E:$E,$E43,'F20-2024'!$F:$F,$F43)</f>
        <v>0</v>
      </c>
      <c r="N43" s="140">
        <f ca="1">SUMIFS('F20-2024'!N:N,'F20-2024'!$D:$D,$D43,'F20-2024'!$E:$E,$E43,'F20-2024'!$F:$F,$F43)</f>
        <v>0</v>
      </c>
      <c r="O43" s="140">
        <f ca="1">SUMIFS('F20-2024'!O:O,'F20-2024'!$D:$D,$D43,'F20-2024'!$E:$E,$E43,'F20-2024'!$F:$F,$F43)</f>
        <v>0</v>
      </c>
      <c r="P43" s="140">
        <f ca="1">SUMIFS('F20-2024'!P:P,'F20-2024'!$D:$D,$D43,'F20-2024'!$E:$E,$E43,'F20-2024'!$F:$F,$F43)</f>
        <v>0</v>
      </c>
      <c r="Q43" s="140">
        <f ca="1">SUMIFS('F20-2024'!Q:Q,'F20-2024'!$D:$D,$D43,'F20-2024'!$E:$E,$E43,'F20-2024'!$F:$F,$F43)</f>
        <v>0</v>
      </c>
      <c r="R43" s="140">
        <f ca="1">SUMIFS('F20-2024'!R:R,'F20-2024'!$D:$D,$D43,'F20-2024'!$E:$E,$E43,'F20-2024'!$F:$F,$F43)</f>
        <v>0</v>
      </c>
      <c r="S43" s="140">
        <f ca="1">SUMIFS('F20-2024'!S:S,'F20-2024'!$D:$D,$D43,'F20-2024'!$E:$E,$E43,'F20-2024'!$F:$F,$F43)</f>
        <v>0</v>
      </c>
      <c r="T43" s="140">
        <f ca="1">SUMIFS('F20-2024'!T:T,'F20-2024'!$D:$D,$D43,'F20-2024'!$E:$E,$E43,'F20-2024'!$F:$F,$F43)</f>
        <v>0</v>
      </c>
      <c r="U43" s="140">
        <f ca="1">SUMIFS('F20-2024'!U:U,'F20-2024'!$D:$D,$D43,'F20-2024'!$E:$E,$E43,'F20-2024'!$F:$F,$F43)</f>
        <v>0</v>
      </c>
      <c r="V43" s="140"/>
      <c r="W43" s="141" t="e">
        <f t="shared" ref="W43:AA43" ca="1" si="83">J43/$I43</f>
        <v>#DIV/0!</v>
      </c>
      <c r="X43" s="141" t="e">
        <f t="shared" ca="1" si="83"/>
        <v>#DIV/0!</v>
      </c>
      <c r="Y43" s="141" t="e">
        <f t="shared" ca="1" si="83"/>
        <v>#DIV/0!</v>
      </c>
      <c r="Z43" s="141" t="e">
        <f t="shared" ca="1" si="83"/>
        <v>#DIV/0!</v>
      </c>
      <c r="AA43" s="141" t="e">
        <f t="shared" ca="1" si="83"/>
        <v>#DIV/0!</v>
      </c>
      <c r="AB43" s="141"/>
      <c r="AC43" s="141" t="e">
        <f t="shared" ca="1" si="1"/>
        <v>#DIV/0!</v>
      </c>
      <c r="AD43" s="141" t="e">
        <f t="shared" ref="AD43:AI43" ca="1" si="84">O43/$I43</f>
        <v>#DIV/0!</v>
      </c>
      <c r="AE43" s="141" t="e">
        <f t="shared" ca="1" si="84"/>
        <v>#DIV/0!</v>
      </c>
      <c r="AF43" s="141" t="e">
        <f t="shared" ca="1" si="84"/>
        <v>#DIV/0!</v>
      </c>
      <c r="AG43" s="141" t="e">
        <f t="shared" ca="1" si="84"/>
        <v>#DIV/0!</v>
      </c>
      <c r="AH43" s="141" t="e">
        <f t="shared" ca="1" si="84"/>
        <v>#DIV/0!</v>
      </c>
      <c r="AI43" s="141" t="e">
        <f t="shared" ca="1" si="84"/>
        <v>#DIV/0!</v>
      </c>
      <c r="AJ43" s="140"/>
    </row>
    <row r="44" spans="1:36">
      <c r="A44" s="140" t="e">
        <f ca="1"/>
        <v>#NAME?</v>
      </c>
      <c r="B44" s="140" t="e">
        <f ca="1"/>
        <v>#NAME?</v>
      </c>
      <c r="C44" s="140" t="e">
        <f ca="1"/>
        <v>#NAME?</v>
      </c>
      <c r="D44" s="140" t="e">
        <f ca="1"/>
        <v>#NAME?</v>
      </c>
      <c r="E44" s="140" t="e">
        <f ca="1"/>
        <v>#NAME?</v>
      </c>
      <c r="F44" s="140" t="e">
        <f ca="1"/>
        <v>#NAME?</v>
      </c>
      <c r="G44" s="140" t="e">
        <f ca="1"/>
        <v>#NAME?</v>
      </c>
      <c r="H44" s="140"/>
      <c r="I44" s="140">
        <f ca="1">SUMIFS('F20-2024'!I:I,'F20-2024'!$D:$D,$D44,'F20-2024'!$E:$E,$E44,'F20-2024'!$F:$F,$F44)</f>
        <v>0</v>
      </c>
      <c r="J44" s="140">
        <f ca="1">SUMIFS('F20-2024'!J:J,'F20-2024'!$D:$D,$D44,'F20-2024'!$E:$E,$E44,'F20-2024'!$F:$F,$F44)</f>
        <v>0</v>
      </c>
      <c r="K44" s="140">
        <f ca="1">SUMIFS('F20-2024'!K:K,'F20-2024'!$D:$D,$D44,'F20-2024'!$E:$E,$E44,'F20-2024'!$F:$F,$F44)</f>
        <v>0</v>
      </c>
      <c r="L44" s="140">
        <f ca="1">SUMIFS('F20-2024'!L:L,'F20-2024'!$D:$D,$D44,'F20-2024'!$E:$E,$E44,'F20-2024'!$F:$F,$F44)</f>
        <v>0</v>
      </c>
      <c r="M44" s="140">
        <f ca="1">SUMIFS('F20-2024'!M:M,'F20-2024'!$D:$D,$D44,'F20-2024'!$E:$E,$E44,'F20-2024'!$F:$F,$F44)</f>
        <v>0</v>
      </c>
      <c r="N44" s="140">
        <f ca="1">SUMIFS('F20-2024'!N:N,'F20-2024'!$D:$D,$D44,'F20-2024'!$E:$E,$E44,'F20-2024'!$F:$F,$F44)</f>
        <v>0</v>
      </c>
      <c r="O44" s="140">
        <f ca="1">SUMIFS('F20-2024'!O:O,'F20-2024'!$D:$D,$D44,'F20-2024'!$E:$E,$E44,'F20-2024'!$F:$F,$F44)</f>
        <v>0</v>
      </c>
      <c r="P44" s="140">
        <f ca="1">SUMIFS('F20-2024'!P:P,'F20-2024'!$D:$D,$D44,'F20-2024'!$E:$E,$E44,'F20-2024'!$F:$F,$F44)</f>
        <v>0</v>
      </c>
      <c r="Q44" s="140">
        <f ca="1">SUMIFS('F20-2024'!Q:Q,'F20-2024'!$D:$D,$D44,'F20-2024'!$E:$E,$E44,'F20-2024'!$F:$F,$F44)</f>
        <v>0</v>
      </c>
      <c r="R44" s="140">
        <f ca="1">SUMIFS('F20-2024'!R:R,'F20-2024'!$D:$D,$D44,'F20-2024'!$E:$E,$E44,'F20-2024'!$F:$F,$F44)</f>
        <v>0</v>
      </c>
      <c r="S44" s="140">
        <f ca="1">SUMIFS('F20-2024'!S:S,'F20-2024'!$D:$D,$D44,'F20-2024'!$E:$E,$E44,'F20-2024'!$F:$F,$F44)</f>
        <v>0</v>
      </c>
      <c r="T44" s="140">
        <f ca="1">SUMIFS('F20-2024'!T:T,'F20-2024'!$D:$D,$D44,'F20-2024'!$E:$E,$E44,'F20-2024'!$F:$F,$F44)</f>
        <v>0</v>
      </c>
      <c r="U44" s="140">
        <f ca="1">SUMIFS('F20-2024'!U:U,'F20-2024'!$D:$D,$D44,'F20-2024'!$E:$E,$E44,'F20-2024'!$F:$F,$F44)</f>
        <v>0</v>
      </c>
      <c r="V44" s="140"/>
      <c r="W44" s="141" t="e">
        <f t="shared" ref="W44:AA44" ca="1" si="85">J44/$I44</f>
        <v>#DIV/0!</v>
      </c>
      <c r="X44" s="141" t="e">
        <f t="shared" ca="1" si="85"/>
        <v>#DIV/0!</v>
      </c>
      <c r="Y44" s="141" t="e">
        <f t="shared" ca="1" si="85"/>
        <v>#DIV/0!</v>
      </c>
      <c r="Z44" s="141" t="e">
        <f t="shared" ca="1" si="85"/>
        <v>#DIV/0!</v>
      </c>
      <c r="AA44" s="141" t="e">
        <f t="shared" ca="1" si="85"/>
        <v>#DIV/0!</v>
      </c>
      <c r="AB44" s="141"/>
      <c r="AC44" s="141" t="e">
        <f t="shared" ca="1" si="1"/>
        <v>#DIV/0!</v>
      </c>
      <c r="AD44" s="141" t="e">
        <f t="shared" ref="AD44:AI44" ca="1" si="86">O44/$I44</f>
        <v>#DIV/0!</v>
      </c>
      <c r="AE44" s="141" t="e">
        <f t="shared" ca="1" si="86"/>
        <v>#DIV/0!</v>
      </c>
      <c r="AF44" s="141" t="e">
        <f t="shared" ca="1" si="86"/>
        <v>#DIV/0!</v>
      </c>
      <c r="AG44" s="141" t="e">
        <f t="shared" ca="1" si="86"/>
        <v>#DIV/0!</v>
      </c>
      <c r="AH44" s="141" t="e">
        <f t="shared" ca="1" si="86"/>
        <v>#DIV/0!</v>
      </c>
      <c r="AI44" s="141" t="e">
        <f t="shared" ca="1" si="86"/>
        <v>#DIV/0!</v>
      </c>
      <c r="AJ44" s="140"/>
    </row>
    <row r="45" spans="1:36">
      <c r="A45" s="140" t="e">
        <f ca="1"/>
        <v>#NAME?</v>
      </c>
      <c r="B45" s="140" t="e">
        <f ca="1"/>
        <v>#NAME?</v>
      </c>
      <c r="C45" s="140" t="e">
        <f ca="1"/>
        <v>#NAME?</v>
      </c>
      <c r="D45" s="140" t="e">
        <f ca="1"/>
        <v>#NAME?</v>
      </c>
      <c r="E45" s="140" t="e">
        <f ca="1"/>
        <v>#NAME?</v>
      </c>
      <c r="F45" s="140" t="e">
        <f ca="1"/>
        <v>#NAME?</v>
      </c>
      <c r="G45" s="140" t="e">
        <f ca="1"/>
        <v>#NAME?</v>
      </c>
      <c r="H45" s="140"/>
      <c r="I45" s="140">
        <f ca="1">SUMIFS('F20-2024'!I:I,'F20-2024'!$D:$D,$D45,'F20-2024'!$E:$E,$E45,'F20-2024'!$F:$F,$F45)</f>
        <v>0</v>
      </c>
      <c r="J45" s="140">
        <f ca="1">SUMIFS('F20-2024'!J:J,'F20-2024'!$D:$D,$D45,'F20-2024'!$E:$E,$E45,'F20-2024'!$F:$F,$F45)</f>
        <v>0</v>
      </c>
      <c r="K45" s="140">
        <f ca="1">SUMIFS('F20-2024'!K:K,'F20-2024'!$D:$D,$D45,'F20-2024'!$E:$E,$E45,'F20-2024'!$F:$F,$F45)</f>
        <v>0</v>
      </c>
      <c r="L45" s="140">
        <f ca="1">SUMIFS('F20-2024'!L:L,'F20-2024'!$D:$D,$D45,'F20-2024'!$E:$E,$E45,'F20-2024'!$F:$F,$F45)</f>
        <v>0</v>
      </c>
      <c r="M45" s="140">
        <f ca="1">SUMIFS('F20-2024'!M:M,'F20-2024'!$D:$D,$D45,'F20-2024'!$E:$E,$E45,'F20-2024'!$F:$F,$F45)</f>
        <v>0</v>
      </c>
      <c r="N45" s="140">
        <f ca="1">SUMIFS('F20-2024'!N:N,'F20-2024'!$D:$D,$D45,'F20-2024'!$E:$E,$E45,'F20-2024'!$F:$F,$F45)</f>
        <v>0</v>
      </c>
      <c r="O45" s="140">
        <f ca="1">SUMIFS('F20-2024'!O:O,'F20-2024'!$D:$D,$D45,'F20-2024'!$E:$E,$E45,'F20-2024'!$F:$F,$F45)</f>
        <v>0</v>
      </c>
      <c r="P45" s="140">
        <f ca="1">SUMIFS('F20-2024'!P:P,'F20-2024'!$D:$D,$D45,'F20-2024'!$E:$E,$E45,'F20-2024'!$F:$F,$F45)</f>
        <v>0</v>
      </c>
      <c r="Q45" s="140">
        <f ca="1">SUMIFS('F20-2024'!Q:Q,'F20-2024'!$D:$D,$D45,'F20-2024'!$E:$E,$E45,'F20-2024'!$F:$F,$F45)</f>
        <v>0</v>
      </c>
      <c r="R45" s="140">
        <f ca="1">SUMIFS('F20-2024'!R:R,'F20-2024'!$D:$D,$D45,'F20-2024'!$E:$E,$E45,'F20-2024'!$F:$F,$F45)</f>
        <v>0</v>
      </c>
      <c r="S45" s="140">
        <f ca="1">SUMIFS('F20-2024'!S:S,'F20-2024'!$D:$D,$D45,'F20-2024'!$E:$E,$E45,'F20-2024'!$F:$F,$F45)</f>
        <v>0</v>
      </c>
      <c r="T45" s="140">
        <f ca="1">SUMIFS('F20-2024'!T:T,'F20-2024'!$D:$D,$D45,'F20-2024'!$E:$E,$E45,'F20-2024'!$F:$F,$F45)</f>
        <v>0</v>
      </c>
      <c r="U45" s="140">
        <f ca="1">SUMIFS('F20-2024'!U:U,'F20-2024'!$D:$D,$D45,'F20-2024'!$E:$E,$E45,'F20-2024'!$F:$F,$F45)</f>
        <v>0</v>
      </c>
      <c r="V45" s="140"/>
      <c r="W45" s="141" t="e">
        <f t="shared" ref="W45:AA45" ca="1" si="87">J45/$I45</f>
        <v>#DIV/0!</v>
      </c>
      <c r="X45" s="141" t="e">
        <f t="shared" ca="1" si="87"/>
        <v>#DIV/0!</v>
      </c>
      <c r="Y45" s="141" t="e">
        <f t="shared" ca="1" si="87"/>
        <v>#DIV/0!</v>
      </c>
      <c r="Z45" s="141" t="e">
        <f t="shared" ca="1" si="87"/>
        <v>#DIV/0!</v>
      </c>
      <c r="AA45" s="141" t="e">
        <f t="shared" ca="1" si="87"/>
        <v>#DIV/0!</v>
      </c>
      <c r="AB45" s="141"/>
      <c r="AC45" s="141" t="e">
        <f t="shared" ca="1" si="1"/>
        <v>#DIV/0!</v>
      </c>
      <c r="AD45" s="141" t="e">
        <f t="shared" ref="AD45:AI45" ca="1" si="88">O45/$I45</f>
        <v>#DIV/0!</v>
      </c>
      <c r="AE45" s="141" t="e">
        <f t="shared" ca="1" si="88"/>
        <v>#DIV/0!</v>
      </c>
      <c r="AF45" s="141" t="e">
        <f t="shared" ca="1" si="88"/>
        <v>#DIV/0!</v>
      </c>
      <c r="AG45" s="141" t="e">
        <f t="shared" ca="1" si="88"/>
        <v>#DIV/0!</v>
      </c>
      <c r="AH45" s="141" t="e">
        <f t="shared" ca="1" si="88"/>
        <v>#DIV/0!</v>
      </c>
      <c r="AI45" s="141" t="e">
        <f t="shared" ca="1" si="88"/>
        <v>#DIV/0!</v>
      </c>
      <c r="AJ45" s="140"/>
    </row>
    <row r="46" spans="1:36">
      <c r="A46" s="140" t="e">
        <f ca="1"/>
        <v>#NAME?</v>
      </c>
      <c r="B46" s="140" t="e">
        <f ca="1"/>
        <v>#NAME?</v>
      </c>
      <c r="C46" s="140" t="e">
        <f ca="1"/>
        <v>#NAME?</v>
      </c>
      <c r="D46" s="140" t="e">
        <f ca="1"/>
        <v>#NAME?</v>
      </c>
      <c r="E46" s="140" t="e">
        <f ca="1"/>
        <v>#NAME?</v>
      </c>
      <c r="F46" s="140" t="e">
        <f ca="1"/>
        <v>#NAME?</v>
      </c>
      <c r="G46" s="140" t="e">
        <f ca="1"/>
        <v>#NAME?</v>
      </c>
      <c r="H46" s="140"/>
      <c r="I46" s="140">
        <f ca="1">SUMIFS('F20-2024'!I:I,'F20-2024'!$D:$D,$D46,'F20-2024'!$E:$E,$E46,'F20-2024'!$F:$F,$F46)</f>
        <v>0</v>
      </c>
      <c r="J46" s="140">
        <f ca="1">SUMIFS('F20-2024'!J:J,'F20-2024'!$D:$D,$D46,'F20-2024'!$E:$E,$E46,'F20-2024'!$F:$F,$F46)</f>
        <v>0</v>
      </c>
      <c r="K46" s="140">
        <f ca="1">SUMIFS('F20-2024'!K:K,'F20-2024'!$D:$D,$D46,'F20-2024'!$E:$E,$E46,'F20-2024'!$F:$F,$F46)</f>
        <v>0</v>
      </c>
      <c r="L46" s="140">
        <f ca="1">SUMIFS('F20-2024'!L:L,'F20-2024'!$D:$D,$D46,'F20-2024'!$E:$E,$E46,'F20-2024'!$F:$F,$F46)</f>
        <v>0</v>
      </c>
      <c r="M46" s="140">
        <f ca="1">SUMIFS('F20-2024'!M:M,'F20-2024'!$D:$D,$D46,'F20-2024'!$E:$E,$E46,'F20-2024'!$F:$F,$F46)</f>
        <v>0</v>
      </c>
      <c r="N46" s="140">
        <f ca="1">SUMIFS('F20-2024'!N:N,'F20-2024'!$D:$D,$D46,'F20-2024'!$E:$E,$E46,'F20-2024'!$F:$F,$F46)</f>
        <v>0</v>
      </c>
      <c r="O46" s="140">
        <f ca="1">SUMIFS('F20-2024'!O:O,'F20-2024'!$D:$D,$D46,'F20-2024'!$E:$E,$E46,'F20-2024'!$F:$F,$F46)</f>
        <v>0</v>
      </c>
      <c r="P46" s="140">
        <f ca="1">SUMIFS('F20-2024'!P:P,'F20-2024'!$D:$D,$D46,'F20-2024'!$E:$E,$E46,'F20-2024'!$F:$F,$F46)</f>
        <v>0</v>
      </c>
      <c r="Q46" s="140">
        <f ca="1">SUMIFS('F20-2024'!Q:Q,'F20-2024'!$D:$D,$D46,'F20-2024'!$E:$E,$E46,'F20-2024'!$F:$F,$F46)</f>
        <v>0</v>
      </c>
      <c r="R46" s="140">
        <f ca="1">SUMIFS('F20-2024'!R:R,'F20-2024'!$D:$D,$D46,'F20-2024'!$E:$E,$E46,'F20-2024'!$F:$F,$F46)</f>
        <v>0</v>
      </c>
      <c r="S46" s="140">
        <f ca="1">SUMIFS('F20-2024'!S:S,'F20-2024'!$D:$D,$D46,'F20-2024'!$E:$E,$E46,'F20-2024'!$F:$F,$F46)</f>
        <v>0</v>
      </c>
      <c r="T46" s="140">
        <f ca="1">SUMIFS('F20-2024'!T:T,'F20-2024'!$D:$D,$D46,'F20-2024'!$E:$E,$E46,'F20-2024'!$F:$F,$F46)</f>
        <v>0</v>
      </c>
      <c r="U46" s="140">
        <f ca="1">SUMIFS('F20-2024'!U:U,'F20-2024'!$D:$D,$D46,'F20-2024'!$E:$E,$E46,'F20-2024'!$F:$F,$F46)</f>
        <v>0</v>
      </c>
      <c r="V46" s="140"/>
      <c r="W46" s="141" t="e">
        <f t="shared" ref="W46:AA46" ca="1" si="89">J46/$I46</f>
        <v>#DIV/0!</v>
      </c>
      <c r="X46" s="141" t="e">
        <f t="shared" ca="1" si="89"/>
        <v>#DIV/0!</v>
      </c>
      <c r="Y46" s="141" t="e">
        <f t="shared" ca="1" si="89"/>
        <v>#DIV/0!</v>
      </c>
      <c r="Z46" s="141" t="e">
        <f t="shared" ca="1" si="89"/>
        <v>#DIV/0!</v>
      </c>
      <c r="AA46" s="141" t="e">
        <f t="shared" ca="1" si="89"/>
        <v>#DIV/0!</v>
      </c>
      <c r="AB46" s="141"/>
      <c r="AC46" s="141" t="e">
        <f t="shared" ca="1" si="1"/>
        <v>#DIV/0!</v>
      </c>
      <c r="AD46" s="141" t="e">
        <f t="shared" ref="AD46:AI46" ca="1" si="90">O46/$I46</f>
        <v>#DIV/0!</v>
      </c>
      <c r="AE46" s="141" t="e">
        <f t="shared" ca="1" si="90"/>
        <v>#DIV/0!</v>
      </c>
      <c r="AF46" s="141" t="e">
        <f t="shared" ca="1" si="90"/>
        <v>#DIV/0!</v>
      </c>
      <c r="AG46" s="141" t="e">
        <f t="shared" ca="1" si="90"/>
        <v>#DIV/0!</v>
      </c>
      <c r="AH46" s="141" t="e">
        <f t="shared" ca="1" si="90"/>
        <v>#DIV/0!</v>
      </c>
      <c r="AI46" s="141" t="e">
        <f t="shared" ca="1" si="90"/>
        <v>#DIV/0!</v>
      </c>
      <c r="AJ46" s="140"/>
    </row>
    <row r="47" spans="1:36">
      <c r="A47" s="140" t="e">
        <f ca="1"/>
        <v>#NAME?</v>
      </c>
      <c r="B47" s="140" t="e">
        <f ca="1"/>
        <v>#NAME?</v>
      </c>
      <c r="C47" s="140" t="e">
        <f ca="1"/>
        <v>#NAME?</v>
      </c>
      <c r="D47" s="140" t="e">
        <f ca="1"/>
        <v>#NAME?</v>
      </c>
      <c r="E47" s="140" t="e">
        <f ca="1"/>
        <v>#NAME?</v>
      </c>
      <c r="F47" s="140" t="e">
        <f ca="1"/>
        <v>#NAME?</v>
      </c>
      <c r="G47" s="140" t="e">
        <f ca="1"/>
        <v>#NAME?</v>
      </c>
      <c r="H47" s="140"/>
      <c r="I47" s="140">
        <f ca="1">SUMIFS('F20-2024'!I:I,'F20-2024'!$D:$D,$D47,'F20-2024'!$E:$E,$E47,'F20-2024'!$F:$F,$F47)</f>
        <v>0</v>
      </c>
      <c r="J47" s="140">
        <f ca="1">SUMIFS('F20-2024'!J:J,'F20-2024'!$D:$D,$D47,'F20-2024'!$E:$E,$E47,'F20-2024'!$F:$F,$F47)</f>
        <v>0</v>
      </c>
      <c r="K47" s="140">
        <f ca="1">SUMIFS('F20-2024'!K:K,'F20-2024'!$D:$D,$D47,'F20-2024'!$E:$E,$E47,'F20-2024'!$F:$F,$F47)</f>
        <v>0</v>
      </c>
      <c r="L47" s="140">
        <f ca="1">SUMIFS('F20-2024'!L:L,'F20-2024'!$D:$D,$D47,'F20-2024'!$E:$E,$E47,'F20-2024'!$F:$F,$F47)</f>
        <v>0</v>
      </c>
      <c r="M47" s="140">
        <f ca="1">SUMIFS('F20-2024'!M:M,'F20-2024'!$D:$D,$D47,'F20-2024'!$E:$E,$E47,'F20-2024'!$F:$F,$F47)</f>
        <v>0</v>
      </c>
      <c r="N47" s="140">
        <f ca="1">SUMIFS('F20-2024'!N:N,'F20-2024'!$D:$D,$D47,'F20-2024'!$E:$E,$E47,'F20-2024'!$F:$F,$F47)</f>
        <v>0</v>
      </c>
      <c r="O47" s="140">
        <f ca="1">SUMIFS('F20-2024'!O:O,'F20-2024'!$D:$D,$D47,'F20-2024'!$E:$E,$E47,'F20-2024'!$F:$F,$F47)</f>
        <v>0</v>
      </c>
      <c r="P47" s="140">
        <f ca="1">SUMIFS('F20-2024'!P:P,'F20-2024'!$D:$D,$D47,'F20-2024'!$E:$E,$E47,'F20-2024'!$F:$F,$F47)</f>
        <v>0</v>
      </c>
      <c r="Q47" s="140">
        <f ca="1">SUMIFS('F20-2024'!Q:Q,'F20-2024'!$D:$D,$D47,'F20-2024'!$E:$E,$E47,'F20-2024'!$F:$F,$F47)</f>
        <v>0</v>
      </c>
      <c r="R47" s="140">
        <f ca="1">SUMIFS('F20-2024'!R:R,'F20-2024'!$D:$D,$D47,'F20-2024'!$E:$E,$E47,'F20-2024'!$F:$F,$F47)</f>
        <v>0</v>
      </c>
      <c r="S47" s="140">
        <f ca="1">SUMIFS('F20-2024'!S:S,'F20-2024'!$D:$D,$D47,'F20-2024'!$E:$E,$E47,'F20-2024'!$F:$F,$F47)</f>
        <v>0</v>
      </c>
      <c r="T47" s="140">
        <f ca="1">SUMIFS('F20-2024'!T:T,'F20-2024'!$D:$D,$D47,'F20-2024'!$E:$E,$E47,'F20-2024'!$F:$F,$F47)</f>
        <v>0</v>
      </c>
      <c r="U47" s="140">
        <f ca="1">SUMIFS('F20-2024'!U:U,'F20-2024'!$D:$D,$D47,'F20-2024'!$E:$E,$E47,'F20-2024'!$F:$F,$F47)</f>
        <v>0</v>
      </c>
      <c r="V47" s="140"/>
      <c r="W47" s="141" t="e">
        <f t="shared" ref="W47:AA47" ca="1" si="91">J47/$I47</f>
        <v>#DIV/0!</v>
      </c>
      <c r="X47" s="141" t="e">
        <f t="shared" ca="1" si="91"/>
        <v>#DIV/0!</v>
      </c>
      <c r="Y47" s="141" t="e">
        <f t="shared" ca="1" si="91"/>
        <v>#DIV/0!</v>
      </c>
      <c r="Z47" s="141" t="e">
        <f t="shared" ca="1" si="91"/>
        <v>#DIV/0!</v>
      </c>
      <c r="AA47" s="141" t="e">
        <f t="shared" ca="1" si="91"/>
        <v>#DIV/0!</v>
      </c>
      <c r="AB47" s="141"/>
      <c r="AC47" s="141" t="e">
        <f t="shared" ca="1" si="1"/>
        <v>#DIV/0!</v>
      </c>
      <c r="AD47" s="141" t="e">
        <f t="shared" ref="AD47:AI47" ca="1" si="92">O47/$I47</f>
        <v>#DIV/0!</v>
      </c>
      <c r="AE47" s="141" t="e">
        <f t="shared" ca="1" si="92"/>
        <v>#DIV/0!</v>
      </c>
      <c r="AF47" s="141" t="e">
        <f t="shared" ca="1" si="92"/>
        <v>#DIV/0!</v>
      </c>
      <c r="AG47" s="141" t="e">
        <f t="shared" ca="1" si="92"/>
        <v>#DIV/0!</v>
      </c>
      <c r="AH47" s="141" t="e">
        <f t="shared" ca="1" si="92"/>
        <v>#DIV/0!</v>
      </c>
      <c r="AI47" s="141" t="e">
        <f t="shared" ca="1" si="92"/>
        <v>#DIV/0!</v>
      </c>
      <c r="AJ47" s="140"/>
    </row>
    <row r="48" spans="1:36">
      <c r="A48" s="140" t="e">
        <f ca="1"/>
        <v>#NAME?</v>
      </c>
      <c r="B48" s="140" t="e">
        <f ca="1"/>
        <v>#NAME?</v>
      </c>
      <c r="C48" s="140" t="e">
        <f ca="1"/>
        <v>#NAME?</v>
      </c>
      <c r="D48" s="140" t="e">
        <f ca="1"/>
        <v>#NAME?</v>
      </c>
      <c r="E48" s="140" t="e">
        <f ca="1"/>
        <v>#NAME?</v>
      </c>
      <c r="F48" s="140" t="e">
        <f ca="1"/>
        <v>#NAME?</v>
      </c>
      <c r="G48" s="140" t="e">
        <f ca="1"/>
        <v>#NAME?</v>
      </c>
      <c r="H48" s="140"/>
      <c r="I48" s="140">
        <f ca="1">SUMIFS('F20-2024'!I:I,'F20-2024'!$D:$D,$D48,'F20-2024'!$E:$E,$E48,'F20-2024'!$F:$F,$F48)</f>
        <v>0</v>
      </c>
      <c r="J48" s="140">
        <f ca="1">SUMIFS('F20-2024'!J:J,'F20-2024'!$D:$D,$D48,'F20-2024'!$E:$E,$E48,'F20-2024'!$F:$F,$F48)</f>
        <v>0</v>
      </c>
      <c r="K48" s="140">
        <f ca="1">SUMIFS('F20-2024'!K:K,'F20-2024'!$D:$D,$D48,'F20-2024'!$E:$E,$E48,'F20-2024'!$F:$F,$F48)</f>
        <v>0</v>
      </c>
      <c r="L48" s="140">
        <f ca="1">SUMIFS('F20-2024'!L:L,'F20-2024'!$D:$D,$D48,'F20-2024'!$E:$E,$E48,'F20-2024'!$F:$F,$F48)</f>
        <v>0</v>
      </c>
      <c r="M48" s="140">
        <f ca="1">SUMIFS('F20-2024'!M:M,'F20-2024'!$D:$D,$D48,'F20-2024'!$E:$E,$E48,'F20-2024'!$F:$F,$F48)</f>
        <v>0</v>
      </c>
      <c r="N48" s="140">
        <f ca="1">SUMIFS('F20-2024'!N:N,'F20-2024'!$D:$D,$D48,'F20-2024'!$E:$E,$E48,'F20-2024'!$F:$F,$F48)</f>
        <v>0</v>
      </c>
      <c r="O48" s="140">
        <f ca="1">SUMIFS('F20-2024'!O:O,'F20-2024'!$D:$D,$D48,'F20-2024'!$E:$E,$E48,'F20-2024'!$F:$F,$F48)</f>
        <v>0</v>
      </c>
      <c r="P48" s="140">
        <f ca="1">SUMIFS('F20-2024'!P:P,'F20-2024'!$D:$D,$D48,'F20-2024'!$E:$E,$E48,'F20-2024'!$F:$F,$F48)</f>
        <v>0</v>
      </c>
      <c r="Q48" s="140">
        <f ca="1">SUMIFS('F20-2024'!Q:Q,'F20-2024'!$D:$D,$D48,'F20-2024'!$E:$E,$E48,'F20-2024'!$F:$F,$F48)</f>
        <v>0</v>
      </c>
      <c r="R48" s="140">
        <f ca="1">SUMIFS('F20-2024'!R:R,'F20-2024'!$D:$D,$D48,'F20-2024'!$E:$E,$E48,'F20-2024'!$F:$F,$F48)</f>
        <v>0</v>
      </c>
      <c r="S48" s="140">
        <f ca="1">SUMIFS('F20-2024'!S:S,'F20-2024'!$D:$D,$D48,'F20-2024'!$E:$E,$E48,'F20-2024'!$F:$F,$F48)</f>
        <v>0</v>
      </c>
      <c r="T48" s="140">
        <f ca="1">SUMIFS('F20-2024'!T:T,'F20-2024'!$D:$D,$D48,'F20-2024'!$E:$E,$E48,'F20-2024'!$F:$F,$F48)</f>
        <v>0</v>
      </c>
      <c r="U48" s="140">
        <f ca="1">SUMIFS('F20-2024'!U:U,'F20-2024'!$D:$D,$D48,'F20-2024'!$E:$E,$E48,'F20-2024'!$F:$F,$F48)</f>
        <v>0</v>
      </c>
      <c r="V48" s="140"/>
      <c r="W48" s="141" t="e">
        <f t="shared" ref="W48:AA48" ca="1" si="93">J48/$I48</f>
        <v>#DIV/0!</v>
      </c>
      <c r="X48" s="141" t="e">
        <f t="shared" ca="1" si="93"/>
        <v>#DIV/0!</v>
      </c>
      <c r="Y48" s="141" t="e">
        <f t="shared" ca="1" si="93"/>
        <v>#DIV/0!</v>
      </c>
      <c r="Z48" s="141" t="e">
        <f t="shared" ca="1" si="93"/>
        <v>#DIV/0!</v>
      </c>
      <c r="AA48" s="141" t="e">
        <f t="shared" ca="1" si="93"/>
        <v>#DIV/0!</v>
      </c>
      <c r="AB48" s="141"/>
      <c r="AC48" s="141" t="e">
        <f t="shared" ca="1" si="1"/>
        <v>#DIV/0!</v>
      </c>
      <c r="AD48" s="141" t="e">
        <f t="shared" ref="AD48:AI48" ca="1" si="94">O48/$I48</f>
        <v>#DIV/0!</v>
      </c>
      <c r="AE48" s="141" t="e">
        <f t="shared" ca="1" si="94"/>
        <v>#DIV/0!</v>
      </c>
      <c r="AF48" s="141" t="e">
        <f t="shared" ca="1" si="94"/>
        <v>#DIV/0!</v>
      </c>
      <c r="AG48" s="141" t="e">
        <f t="shared" ca="1" si="94"/>
        <v>#DIV/0!</v>
      </c>
      <c r="AH48" s="141" t="e">
        <f t="shared" ca="1" si="94"/>
        <v>#DIV/0!</v>
      </c>
      <c r="AI48" s="141" t="e">
        <f t="shared" ca="1" si="94"/>
        <v>#DIV/0!</v>
      </c>
      <c r="AJ48" s="140"/>
    </row>
    <row r="49" spans="1:36">
      <c r="A49" s="140" t="e">
        <f ca="1"/>
        <v>#NAME?</v>
      </c>
      <c r="B49" s="140" t="e">
        <f ca="1"/>
        <v>#NAME?</v>
      </c>
      <c r="C49" s="140" t="e">
        <f ca="1"/>
        <v>#NAME?</v>
      </c>
      <c r="D49" s="140" t="e">
        <f ca="1"/>
        <v>#NAME?</v>
      </c>
      <c r="E49" s="140" t="e">
        <f ca="1"/>
        <v>#NAME?</v>
      </c>
      <c r="F49" s="140" t="e">
        <f ca="1"/>
        <v>#NAME?</v>
      </c>
      <c r="G49" s="140" t="e">
        <f ca="1"/>
        <v>#NAME?</v>
      </c>
      <c r="H49" s="140"/>
      <c r="I49" s="140">
        <f ca="1">SUMIFS('F20-2024'!I:I,'F20-2024'!$D:$D,$D49,'F20-2024'!$E:$E,$E49,'F20-2024'!$F:$F,$F49)</f>
        <v>0</v>
      </c>
      <c r="J49" s="140">
        <f ca="1">SUMIFS('F20-2024'!J:J,'F20-2024'!$D:$D,$D49,'F20-2024'!$E:$E,$E49,'F20-2024'!$F:$F,$F49)</f>
        <v>0</v>
      </c>
      <c r="K49" s="140">
        <f ca="1">SUMIFS('F20-2024'!K:K,'F20-2024'!$D:$D,$D49,'F20-2024'!$E:$E,$E49,'F20-2024'!$F:$F,$F49)</f>
        <v>0</v>
      </c>
      <c r="L49" s="140">
        <f ca="1">SUMIFS('F20-2024'!L:L,'F20-2024'!$D:$D,$D49,'F20-2024'!$E:$E,$E49,'F20-2024'!$F:$F,$F49)</f>
        <v>0</v>
      </c>
      <c r="M49" s="140">
        <f ca="1">SUMIFS('F20-2024'!M:M,'F20-2024'!$D:$D,$D49,'F20-2024'!$E:$E,$E49,'F20-2024'!$F:$F,$F49)</f>
        <v>0</v>
      </c>
      <c r="N49" s="140">
        <f ca="1">SUMIFS('F20-2024'!N:N,'F20-2024'!$D:$D,$D49,'F20-2024'!$E:$E,$E49,'F20-2024'!$F:$F,$F49)</f>
        <v>0</v>
      </c>
      <c r="O49" s="140">
        <f ca="1">SUMIFS('F20-2024'!O:O,'F20-2024'!$D:$D,$D49,'F20-2024'!$E:$E,$E49,'F20-2024'!$F:$F,$F49)</f>
        <v>0</v>
      </c>
      <c r="P49" s="140">
        <f ca="1">SUMIFS('F20-2024'!P:P,'F20-2024'!$D:$D,$D49,'F20-2024'!$E:$E,$E49,'F20-2024'!$F:$F,$F49)</f>
        <v>0</v>
      </c>
      <c r="Q49" s="140">
        <f ca="1">SUMIFS('F20-2024'!Q:Q,'F20-2024'!$D:$D,$D49,'F20-2024'!$E:$E,$E49,'F20-2024'!$F:$F,$F49)</f>
        <v>0</v>
      </c>
      <c r="R49" s="140">
        <f ca="1">SUMIFS('F20-2024'!R:R,'F20-2024'!$D:$D,$D49,'F20-2024'!$E:$E,$E49,'F20-2024'!$F:$F,$F49)</f>
        <v>0</v>
      </c>
      <c r="S49" s="140">
        <f ca="1">SUMIFS('F20-2024'!S:S,'F20-2024'!$D:$D,$D49,'F20-2024'!$E:$E,$E49,'F20-2024'!$F:$F,$F49)</f>
        <v>0</v>
      </c>
      <c r="T49" s="140">
        <f ca="1">SUMIFS('F20-2024'!T:T,'F20-2024'!$D:$D,$D49,'F20-2024'!$E:$E,$E49,'F20-2024'!$F:$F,$F49)</f>
        <v>0</v>
      </c>
      <c r="U49" s="140">
        <f ca="1">SUMIFS('F20-2024'!U:U,'F20-2024'!$D:$D,$D49,'F20-2024'!$E:$E,$E49,'F20-2024'!$F:$F,$F49)</f>
        <v>0</v>
      </c>
      <c r="V49" s="140"/>
      <c r="W49" s="141" t="e">
        <f t="shared" ref="W49:AA49" ca="1" si="95">J49/$I49</f>
        <v>#DIV/0!</v>
      </c>
      <c r="X49" s="141" t="e">
        <f t="shared" ca="1" si="95"/>
        <v>#DIV/0!</v>
      </c>
      <c r="Y49" s="141" t="e">
        <f t="shared" ca="1" si="95"/>
        <v>#DIV/0!</v>
      </c>
      <c r="Z49" s="141" t="e">
        <f t="shared" ca="1" si="95"/>
        <v>#DIV/0!</v>
      </c>
      <c r="AA49" s="141" t="e">
        <f t="shared" ca="1" si="95"/>
        <v>#DIV/0!</v>
      </c>
      <c r="AB49" s="141"/>
      <c r="AC49" s="141" t="e">
        <f t="shared" ca="1" si="1"/>
        <v>#DIV/0!</v>
      </c>
      <c r="AD49" s="141" t="e">
        <f t="shared" ref="AD49:AI49" ca="1" si="96">O49/$I49</f>
        <v>#DIV/0!</v>
      </c>
      <c r="AE49" s="141" t="e">
        <f t="shared" ca="1" si="96"/>
        <v>#DIV/0!</v>
      </c>
      <c r="AF49" s="141" t="e">
        <f t="shared" ca="1" si="96"/>
        <v>#DIV/0!</v>
      </c>
      <c r="AG49" s="141" t="e">
        <f t="shared" ca="1" si="96"/>
        <v>#DIV/0!</v>
      </c>
      <c r="AH49" s="141" t="e">
        <f t="shared" ca="1" si="96"/>
        <v>#DIV/0!</v>
      </c>
      <c r="AI49" s="141" t="e">
        <f t="shared" ca="1" si="96"/>
        <v>#DIV/0!</v>
      </c>
      <c r="AJ49" s="140"/>
    </row>
    <row r="50" spans="1:36">
      <c r="A50" s="140" t="e">
        <f ca="1"/>
        <v>#NAME?</v>
      </c>
      <c r="B50" s="140" t="e">
        <f ca="1"/>
        <v>#NAME?</v>
      </c>
      <c r="C50" s="140" t="e">
        <f ca="1"/>
        <v>#NAME?</v>
      </c>
      <c r="D50" s="140" t="e">
        <f ca="1"/>
        <v>#NAME?</v>
      </c>
      <c r="E50" s="140" t="e">
        <f ca="1"/>
        <v>#NAME?</v>
      </c>
      <c r="F50" s="140" t="e">
        <f ca="1"/>
        <v>#NAME?</v>
      </c>
      <c r="G50" s="140" t="e">
        <f ca="1"/>
        <v>#NAME?</v>
      </c>
      <c r="H50" s="140"/>
      <c r="I50" s="140">
        <f ca="1">SUMIFS('F20-2024'!I:I,'F20-2024'!$D:$D,$D50,'F20-2024'!$E:$E,$E50,'F20-2024'!$F:$F,$F50)</f>
        <v>0</v>
      </c>
      <c r="J50" s="140">
        <f ca="1">SUMIFS('F20-2024'!J:J,'F20-2024'!$D:$D,$D50,'F20-2024'!$E:$E,$E50,'F20-2024'!$F:$F,$F50)</f>
        <v>0</v>
      </c>
      <c r="K50" s="140">
        <f ca="1">SUMIFS('F20-2024'!K:K,'F20-2024'!$D:$D,$D50,'F20-2024'!$E:$E,$E50,'F20-2024'!$F:$F,$F50)</f>
        <v>0</v>
      </c>
      <c r="L50" s="140">
        <f ca="1">SUMIFS('F20-2024'!L:L,'F20-2024'!$D:$D,$D50,'F20-2024'!$E:$E,$E50,'F20-2024'!$F:$F,$F50)</f>
        <v>0</v>
      </c>
      <c r="M50" s="140">
        <f ca="1">SUMIFS('F20-2024'!M:M,'F20-2024'!$D:$D,$D50,'F20-2024'!$E:$E,$E50,'F20-2024'!$F:$F,$F50)</f>
        <v>0</v>
      </c>
      <c r="N50" s="140">
        <f ca="1">SUMIFS('F20-2024'!N:N,'F20-2024'!$D:$D,$D50,'F20-2024'!$E:$E,$E50,'F20-2024'!$F:$F,$F50)</f>
        <v>0</v>
      </c>
      <c r="O50" s="140">
        <f ca="1">SUMIFS('F20-2024'!O:O,'F20-2024'!$D:$D,$D50,'F20-2024'!$E:$E,$E50,'F20-2024'!$F:$F,$F50)</f>
        <v>0</v>
      </c>
      <c r="P50" s="140">
        <f ca="1">SUMIFS('F20-2024'!P:P,'F20-2024'!$D:$D,$D50,'F20-2024'!$E:$E,$E50,'F20-2024'!$F:$F,$F50)</f>
        <v>0</v>
      </c>
      <c r="Q50" s="140">
        <f ca="1">SUMIFS('F20-2024'!Q:Q,'F20-2024'!$D:$D,$D50,'F20-2024'!$E:$E,$E50,'F20-2024'!$F:$F,$F50)</f>
        <v>0</v>
      </c>
      <c r="R50" s="140">
        <f ca="1">SUMIFS('F20-2024'!R:R,'F20-2024'!$D:$D,$D50,'F20-2024'!$E:$E,$E50,'F20-2024'!$F:$F,$F50)</f>
        <v>0</v>
      </c>
      <c r="S50" s="140">
        <f ca="1">SUMIFS('F20-2024'!S:S,'F20-2024'!$D:$D,$D50,'F20-2024'!$E:$E,$E50,'F20-2024'!$F:$F,$F50)</f>
        <v>0</v>
      </c>
      <c r="T50" s="140">
        <f ca="1">SUMIFS('F20-2024'!T:T,'F20-2024'!$D:$D,$D50,'F20-2024'!$E:$E,$E50,'F20-2024'!$F:$F,$F50)</f>
        <v>0</v>
      </c>
      <c r="U50" s="140">
        <f ca="1">SUMIFS('F20-2024'!U:U,'F20-2024'!$D:$D,$D50,'F20-2024'!$E:$E,$E50,'F20-2024'!$F:$F,$F50)</f>
        <v>0</v>
      </c>
      <c r="V50" s="140"/>
      <c r="W50" s="141" t="e">
        <f t="shared" ref="W50:AA50" ca="1" si="97">J50/$I50</f>
        <v>#DIV/0!</v>
      </c>
      <c r="X50" s="141" t="e">
        <f t="shared" ca="1" si="97"/>
        <v>#DIV/0!</v>
      </c>
      <c r="Y50" s="141" t="e">
        <f t="shared" ca="1" si="97"/>
        <v>#DIV/0!</v>
      </c>
      <c r="Z50" s="141" t="e">
        <f t="shared" ca="1" si="97"/>
        <v>#DIV/0!</v>
      </c>
      <c r="AA50" s="141" t="e">
        <f t="shared" ca="1" si="97"/>
        <v>#DIV/0!</v>
      </c>
      <c r="AB50" s="141"/>
      <c r="AC50" s="141" t="e">
        <f t="shared" ca="1" si="1"/>
        <v>#DIV/0!</v>
      </c>
      <c r="AD50" s="141" t="e">
        <f t="shared" ref="AD50:AI50" ca="1" si="98">O50/$I50</f>
        <v>#DIV/0!</v>
      </c>
      <c r="AE50" s="141" t="e">
        <f t="shared" ca="1" si="98"/>
        <v>#DIV/0!</v>
      </c>
      <c r="AF50" s="141" t="e">
        <f t="shared" ca="1" si="98"/>
        <v>#DIV/0!</v>
      </c>
      <c r="AG50" s="141" t="e">
        <f t="shared" ca="1" si="98"/>
        <v>#DIV/0!</v>
      </c>
      <c r="AH50" s="141" t="e">
        <f t="shared" ca="1" si="98"/>
        <v>#DIV/0!</v>
      </c>
      <c r="AI50" s="141" t="e">
        <f t="shared" ca="1" si="98"/>
        <v>#DIV/0!</v>
      </c>
      <c r="AJ50" s="140"/>
    </row>
    <row r="51" spans="1:36">
      <c r="A51" s="140" t="e">
        <f ca="1"/>
        <v>#NAME?</v>
      </c>
      <c r="B51" s="140" t="e">
        <f ca="1"/>
        <v>#NAME?</v>
      </c>
      <c r="C51" s="140" t="e">
        <f ca="1"/>
        <v>#NAME?</v>
      </c>
      <c r="D51" s="140" t="e">
        <f ca="1"/>
        <v>#NAME?</v>
      </c>
      <c r="E51" s="140" t="e">
        <f ca="1"/>
        <v>#NAME?</v>
      </c>
      <c r="F51" s="140" t="e">
        <f ca="1"/>
        <v>#NAME?</v>
      </c>
      <c r="G51" s="140" t="e">
        <f ca="1"/>
        <v>#NAME?</v>
      </c>
      <c r="H51" s="140"/>
      <c r="I51" s="140">
        <f ca="1">SUMIFS('F20-2024'!I:I,'F20-2024'!$D:$D,$D51,'F20-2024'!$E:$E,$E51,'F20-2024'!$F:$F,$F51)</f>
        <v>0</v>
      </c>
      <c r="J51" s="140">
        <f ca="1">SUMIFS('F20-2024'!J:J,'F20-2024'!$D:$D,$D51,'F20-2024'!$E:$E,$E51,'F20-2024'!$F:$F,$F51)</f>
        <v>0</v>
      </c>
      <c r="K51" s="140">
        <f ca="1">SUMIFS('F20-2024'!K:K,'F20-2024'!$D:$D,$D51,'F20-2024'!$E:$E,$E51,'F20-2024'!$F:$F,$F51)</f>
        <v>0</v>
      </c>
      <c r="L51" s="140">
        <f ca="1">SUMIFS('F20-2024'!L:L,'F20-2024'!$D:$D,$D51,'F20-2024'!$E:$E,$E51,'F20-2024'!$F:$F,$F51)</f>
        <v>0</v>
      </c>
      <c r="M51" s="140">
        <f ca="1">SUMIFS('F20-2024'!M:M,'F20-2024'!$D:$D,$D51,'F20-2024'!$E:$E,$E51,'F20-2024'!$F:$F,$F51)</f>
        <v>0</v>
      </c>
      <c r="N51" s="140">
        <f ca="1">SUMIFS('F20-2024'!N:N,'F20-2024'!$D:$D,$D51,'F20-2024'!$E:$E,$E51,'F20-2024'!$F:$F,$F51)</f>
        <v>0</v>
      </c>
      <c r="O51" s="140">
        <f ca="1">SUMIFS('F20-2024'!O:O,'F20-2024'!$D:$D,$D51,'F20-2024'!$E:$E,$E51,'F20-2024'!$F:$F,$F51)</f>
        <v>0</v>
      </c>
      <c r="P51" s="140">
        <f ca="1">SUMIFS('F20-2024'!P:P,'F20-2024'!$D:$D,$D51,'F20-2024'!$E:$E,$E51,'F20-2024'!$F:$F,$F51)</f>
        <v>0</v>
      </c>
      <c r="Q51" s="140">
        <f ca="1">SUMIFS('F20-2024'!Q:Q,'F20-2024'!$D:$D,$D51,'F20-2024'!$E:$E,$E51,'F20-2024'!$F:$F,$F51)</f>
        <v>0</v>
      </c>
      <c r="R51" s="140">
        <f ca="1">SUMIFS('F20-2024'!R:R,'F20-2024'!$D:$D,$D51,'F20-2024'!$E:$E,$E51,'F20-2024'!$F:$F,$F51)</f>
        <v>0</v>
      </c>
      <c r="S51" s="140">
        <f ca="1">SUMIFS('F20-2024'!S:S,'F20-2024'!$D:$D,$D51,'F20-2024'!$E:$E,$E51,'F20-2024'!$F:$F,$F51)</f>
        <v>0</v>
      </c>
      <c r="T51" s="140">
        <f ca="1">SUMIFS('F20-2024'!T:T,'F20-2024'!$D:$D,$D51,'F20-2024'!$E:$E,$E51,'F20-2024'!$F:$F,$F51)</f>
        <v>0</v>
      </c>
      <c r="U51" s="140">
        <f ca="1">SUMIFS('F20-2024'!U:U,'F20-2024'!$D:$D,$D51,'F20-2024'!$E:$E,$E51,'F20-2024'!$F:$F,$F51)</f>
        <v>0</v>
      </c>
      <c r="V51" s="140"/>
      <c r="W51" s="141" t="e">
        <f t="shared" ref="W51:AA51" ca="1" si="99">J51/$I51</f>
        <v>#DIV/0!</v>
      </c>
      <c r="X51" s="141" t="e">
        <f t="shared" ca="1" si="99"/>
        <v>#DIV/0!</v>
      </c>
      <c r="Y51" s="141" t="e">
        <f t="shared" ca="1" si="99"/>
        <v>#DIV/0!</v>
      </c>
      <c r="Z51" s="141" t="e">
        <f t="shared" ca="1" si="99"/>
        <v>#DIV/0!</v>
      </c>
      <c r="AA51" s="141" t="e">
        <f t="shared" ca="1" si="99"/>
        <v>#DIV/0!</v>
      </c>
      <c r="AB51" s="141"/>
      <c r="AC51" s="141" t="e">
        <f t="shared" ca="1" si="1"/>
        <v>#DIV/0!</v>
      </c>
      <c r="AD51" s="141" t="e">
        <f t="shared" ref="AD51:AI51" ca="1" si="100">O51/$I51</f>
        <v>#DIV/0!</v>
      </c>
      <c r="AE51" s="141" t="e">
        <f t="shared" ca="1" si="100"/>
        <v>#DIV/0!</v>
      </c>
      <c r="AF51" s="141" t="e">
        <f t="shared" ca="1" si="100"/>
        <v>#DIV/0!</v>
      </c>
      <c r="AG51" s="141" t="e">
        <f t="shared" ca="1" si="100"/>
        <v>#DIV/0!</v>
      </c>
      <c r="AH51" s="141" t="e">
        <f t="shared" ca="1" si="100"/>
        <v>#DIV/0!</v>
      </c>
      <c r="AI51" s="141" t="e">
        <f t="shared" ca="1" si="100"/>
        <v>#DIV/0!</v>
      </c>
      <c r="AJ51" s="140"/>
    </row>
    <row r="52" spans="1:36">
      <c r="A52" s="140" t="e">
        <f ca="1"/>
        <v>#NAME?</v>
      </c>
      <c r="B52" s="140" t="e">
        <f ca="1"/>
        <v>#NAME?</v>
      </c>
      <c r="C52" s="140" t="e">
        <f ca="1"/>
        <v>#NAME?</v>
      </c>
      <c r="D52" s="140" t="e">
        <f ca="1"/>
        <v>#NAME?</v>
      </c>
      <c r="E52" s="140" t="e">
        <f ca="1"/>
        <v>#NAME?</v>
      </c>
      <c r="F52" s="140" t="e">
        <f ca="1"/>
        <v>#NAME?</v>
      </c>
      <c r="G52" s="140" t="e">
        <f ca="1"/>
        <v>#NAME?</v>
      </c>
      <c r="H52" s="140"/>
      <c r="I52" s="140">
        <f ca="1">SUMIFS('F20-2024'!I:I,'F20-2024'!$D:$D,$D52,'F20-2024'!$E:$E,$E52,'F20-2024'!$F:$F,$F52)</f>
        <v>0</v>
      </c>
      <c r="J52" s="140">
        <f ca="1">SUMIFS('F20-2024'!J:J,'F20-2024'!$D:$D,$D52,'F20-2024'!$E:$E,$E52,'F20-2024'!$F:$F,$F52)</f>
        <v>0</v>
      </c>
      <c r="K52" s="140">
        <f ca="1">SUMIFS('F20-2024'!K:K,'F20-2024'!$D:$D,$D52,'F20-2024'!$E:$E,$E52,'F20-2024'!$F:$F,$F52)</f>
        <v>0</v>
      </c>
      <c r="L52" s="140">
        <f ca="1">SUMIFS('F20-2024'!L:L,'F20-2024'!$D:$D,$D52,'F20-2024'!$E:$E,$E52,'F20-2024'!$F:$F,$F52)</f>
        <v>0</v>
      </c>
      <c r="M52" s="140">
        <f ca="1">SUMIFS('F20-2024'!M:M,'F20-2024'!$D:$D,$D52,'F20-2024'!$E:$E,$E52,'F20-2024'!$F:$F,$F52)</f>
        <v>0</v>
      </c>
      <c r="N52" s="140">
        <f ca="1">SUMIFS('F20-2024'!N:N,'F20-2024'!$D:$D,$D52,'F20-2024'!$E:$E,$E52,'F20-2024'!$F:$F,$F52)</f>
        <v>0</v>
      </c>
      <c r="O52" s="140">
        <f ca="1">SUMIFS('F20-2024'!O:O,'F20-2024'!$D:$D,$D52,'F20-2024'!$E:$E,$E52,'F20-2024'!$F:$F,$F52)</f>
        <v>0</v>
      </c>
      <c r="P52" s="140">
        <f ca="1">SUMIFS('F20-2024'!P:P,'F20-2024'!$D:$D,$D52,'F20-2024'!$E:$E,$E52,'F20-2024'!$F:$F,$F52)</f>
        <v>0</v>
      </c>
      <c r="Q52" s="140">
        <f ca="1">SUMIFS('F20-2024'!Q:Q,'F20-2024'!$D:$D,$D52,'F20-2024'!$E:$E,$E52,'F20-2024'!$F:$F,$F52)</f>
        <v>0</v>
      </c>
      <c r="R52" s="140">
        <f ca="1">SUMIFS('F20-2024'!R:R,'F20-2024'!$D:$D,$D52,'F20-2024'!$E:$E,$E52,'F20-2024'!$F:$F,$F52)</f>
        <v>0</v>
      </c>
      <c r="S52" s="140">
        <f ca="1">SUMIFS('F20-2024'!S:S,'F20-2024'!$D:$D,$D52,'F20-2024'!$E:$E,$E52,'F20-2024'!$F:$F,$F52)</f>
        <v>0</v>
      </c>
      <c r="T52" s="140">
        <f ca="1">SUMIFS('F20-2024'!T:T,'F20-2024'!$D:$D,$D52,'F20-2024'!$E:$E,$E52,'F20-2024'!$F:$F,$F52)</f>
        <v>0</v>
      </c>
      <c r="U52" s="140">
        <f ca="1">SUMIFS('F20-2024'!U:U,'F20-2024'!$D:$D,$D52,'F20-2024'!$E:$E,$E52,'F20-2024'!$F:$F,$F52)</f>
        <v>0</v>
      </c>
      <c r="V52" s="140"/>
      <c r="W52" s="141" t="e">
        <f t="shared" ref="W52:AA52" ca="1" si="101">J52/$I52</f>
        <v>#DIV/0!</v>
      </c>
      <c r="X52" s="141" t="e">
        <f t="shared" ca="1" si="101"/>
        <v>#DIV/0!</v>
      </c>
      <c r="Y52" s="141" t="e">
        <f t="shared" ca="1" si="101"/>
        <v>#DIV/0!</v>
      </c>
      <c r="Z52" s="141" t="e">
        <f t="shared" ca="1" si="101"/>
        <v>#DIV/0!</v>
      </c>
      <c r="AA52" s="141" t="e">
        <f t="shared" ca="1" si="101"/>
        <v>#DIV/0!</v>
      </c>
      <c r="AB52" s="141"/>
      <c r="AC52" s="141" t="e">
        <f t="shared" ca="1" si="1"/>
        <v>#DIV/0!</v>
      </c>
      <c r="AD52" s="141" t="e">
        <f t="shared" ref="AD52:AI52" ca="1" si="102">O52/$I52</f>
        <v>#DIV/0!</v>
      </c>
      <c r="AE52" s="141" t="e">
        <f t="shared" ca="1" si="102"/>
        <v>#DIV/0!</v>
      </c>
      <c r="AF52" s="141" t="e">
        <f t="shared" ca="1" si="102"/>
        <v>#DIV/0!</v>
      </c>
      <c r="AG52" s="141" t="e">
        <f t="shared" ca="1" si="102"/>
        <v>#DIV/0!</v>
      </c>
      <c r="AH52" s="141" t="e">
        <f t="shared" ca="1" si="102"/>
        <v>#DIV/0!</v>
      </c>
      <c r="AI52" s="141" t="e">
        <f t="shared" ca="1" si="102"/>
        <v>#DIV/0!</v>
      </c>
      <c r="AJ52" s="140"/>
    </row>
    <row r="53" spans="1:36">
      <c r="A53" s="140" t="e">
        <f ca="1"/>
        <v>#NAME?</v>
      </c>
      <c r="B53" s="140" t="e">
        <f ca="1"/>
        <v>#NAME?</v>
      </c>
      <c r="C53" s="140" t="e">
        <f ca="1"/>
        <v>#NAME?</v>
      </c>
      <c r="D53" s="140" t="e">
        <f ca="1"/>
        <v>#NAME?</v>
      </c>
      <c r="E53" s="140" t="e">
        <f ca="1"/>
        <v>#NAME?</v>
      </c>
      <c r="F53" s="140" t="e">
        <f ca="1"/>
        <v>#NAME?</v>
      </c>
      <c r="G53" s="140" t="e">
        <f ca="1"/>
        <v>#NAME?</v>
      </c>
      <c r="H53" s="140"/>
      <c r="I53" s="140">
        <f ca="1">SUMIFS('F20-2024'!I:I,'F20-2024'!$D:$D,$D53,'F20-2024'!$E:$E,$E53,'F20-2024'!$F:$F,$F53)</f>
        <v>0</v>
      </c>
      <c r="J53" s="140">
        <f ca="1">SUMIFS('F20-2024'!J:J,'F20-2024'!$D:$D,$D53,'F20-2024'!$E:$E,$E53,'F20-2024'!$F:$F,$F53)</f>
        <v>0</v>
      </c>
      <c r="K53" s="140">
        <f ca="1">SUMIFS('F20-2024'!K:K,'F20-2024'!$D:$D,$D53,'F20-2024'!$E:$E,$E53,'F20-2024'!$F:$F,$F53)</f>
        <v>0</v>
      </c>
      <c r="L53" s="140">
        <f ca="1">SUMIFS('F20-2024'!L:L,'F20-2024'!$D:$D,$D53,'F20-2024'!$E:$E,$E53,'F20-2024'!$F:$F,$F53)</f>
        <v>0</v>
      </c>
      <c r="M53" s="140">
        <f ca="1">SUMIFS('F20-2024'!M:M,'F20-2024'!$D:$D,$D53,'F20-2024'!$E:$E,$E53,'F20-2024'!$F:$F,$F53)</f>
        <v>0</v>
      </c>
      <c r="N53" s="140">
        <f ca="1">SUMIFS('F20-2024'!N:N,'F20-2024'!$D:$D,$D53,'F20-2024'!$E:$E,$E53,'F20-2024'!$F:$F,$F53)</f>
        <v>0</v>
      </c>
      <c r="O53" s="140">
        <f ca="1">SUMIFS('F20-2024'!O:O,'F20-2024'!$D:$D,$D53,'F20-2024'!$E:$E,$E53,'F20-2024'!$F:$F,$F53)</f>
        <v>0</v>
      </c>
      <c r="P53" s="140">
        <f ca="1">SUMIFS('F20-2024'!P:P,'F20-2024'!$D:$D,$D53,'F20-2024'!$E:$E,$E53,'F20-2024'!$F:$F,$F53)</f>
        <v>0</v>
      </c>
      <c r="Q53" s="140">
        <f ca="1">SUMIFS('F20-2024'!Q:Q,'F20-2024'!$D:$D,$D53,'F20-2024'!$E:$E,$E53,'F20-2024'!$F:$F,$F53)</f>
        <v>0</v>
      </c>
      <c r="R53" s="140">
        <f ca="1">SUMIFS('F20-2024'!R:R,'F20-2024'!$D:$D,$D53,'F20-2024'!$E:$E,$E53,'F20-2024'!$F:$F,$F53)</f>
        <v>0</v>
      </c>
      <c r="S53" s="140">
        <f ca="1">SUMIFS('F20-2024'!S:S,'F20-2024'!$D:$D,$D53,'F20-2024'!$E:$E,$E53,'F20-2024'!$F:$F,$F53)</f>
        <v>0</v>
      </c>
      <c r="T53" s="140">
        <f ca="1">SUMIFS('F20-2024'!T:T,'F20-2024'!$D:$D,$D53,'F20-2024'!$E:$E,$E53,'F20-2024'!$F:$F,$F53)</f>
        <v>0</v>
      </c>
      <c r="U53" s="140">
        <f ca="1">SUMIFS('F20-2024'!U:U,'F20-2024'!$D:$D,$D53,'F20-2024'!$E:$E,$E53,'F20-2024'!$F:$F,$F53)</f>
        <v>0</v>
      </c>
      <c r="V53" s="140"/>
      <c r="W53" s="141" t="e">
        <f t="shared" ref="W53:AA53" ca="1" si="103">J53/$I53</f>
        <v>#DIV/0!</v>
      </c>
      <c r="X53" s="141" t="e">
        <f t="shared" ca="1" si="103"/>
        <v>#DIV/0!</v>
      </c>
      <c r="Y53" s="141" t="e">
        <f t="shared" ca="1" si="103"/>
        <v>#DIV/0!</v>
      </c>
      <c r="Z53" s="141" t="e">
        <f t="shared" ca="1" si="103"/>
        <v>#DIV/0!</v>
      </c>
      <c r="AA53" s="141" t="e">
        <f t="shared" ca="1" si="103"/>
        <v>#DIV/0!</v>
      </c>
      <c r="AB53" s="141"/>
      <c r="AC53" s="141" t="e">
        <f t="shared" ca="1" si="1"/>
        <v>#DIV/0!</v>
      </c>
      <c r="AD53" s="141" t="e">
        <f t="shared" ref="AD53:AI53" ca="1" si="104">O53/$I53</f>
        <v>#DIV/0!</v>
      </c>
      <c r="AE53" s="141" t="e">
        <f t="shared" ca="1" si="104"/>
        <v>#DIV/0!</v>
      </c>
      <c r="AF53" s="141" t="e">
        <f t="shared" ca="1" si="104"/>
        <v>#DIV/0!</v>
      </c>
      <c r="AG53" s="141" t="e">
        <f t="shared" ca="1" si="104"/>
        <v>#DIV/0!</v>
      </c>
      <c r="AH53" s="141" t="e">
        <f t="shared" ca="1" si="104"/>
        <v>#DIV/0!</v>
      </c>
      <c r="AI53" s="141" t="e">
        <f t="shared" ca="1" si="104"/>
        <v>#DIV/0!</v>
      </c>
      <c r="AJ53" s="140"/>
    </row>
    <row r="54" spans="1:36">
      <c r="A54" s="140" t="e">
        <f ca="1"/>
        <v>#NAME?</v>
      </c>
      <c r="B54" s="140" t="e">
        <f ca="1"/>
        <v>#NAME?</v>
      </c>
      <c r="C54" s="140" t="e">
        <f ca="1"/>
        <v>#NAME?</v>
      </c>
      <c r="D54" s="140" t="e">
        <f ca="1"/>
        <v>#NAME?</v>
      </c>
      <c r="E54" s="140" t="e">
        <f ca="1"/>
        <v>#NAME?</v>
      </c>
      <c r="F54" s="140" t="e">
        <f ca="1"/>
        <v>#NAME?</v>
      </c>
      <c r="G54" s="140" t="e">
        <f ca="1"/>
        <v>#NAME?</v>
      </c>
      <c r="H54" s="140"/>
      <c r="I54" s="140">
        <f ca="1">SUMIFS('F20-2024'!I:I,'F20-2024'!$D:$D,$D54,'F20-2024'!$E:$E,$E54,'F20-2024'!$F:$F,$F54)</f>
        <v>0</v>
      </c>
      <c r="J54" s="140">
        <f ca="1">SUMIFS('F20-2024'!J:J,'F20-2024'!$D:$D,$D54,'F20-2024'!$E:$E,$E54,'F20-2024'!$F:$F,$F54)</f>
        <v>0</v>
      </c>
      <c r="K54" s="140">
        <f ca="1">SUMIFS('F20-2024'!K:K,'F20-2024'!$D:$D,$D54,'F20-2024'!$E:$E,$E54,'F20-2024'!$F:$F,$F54)</f>
        <v>0</v>
      </c>
      <c r="L54" s="140">
        <f ca="1">SUMIFS('F20-2024'!L:L,'F20-2024'!$D:$D,$D54,'F20-2024'!$E:$E,$E54,'F20-2024'!$F:$F,$F54)</f>
        <v>0</v>
      </c>
      <c r="M54" s="140">
        <f ca="1">SUMIFS('F20-2024'!M:M,'F20-2024'!$D:$D,$D54,'F20-2024'!$E:$E,$E54,'F20-2024'!$F:$F,$F54)</f>
        <v>0</v>
      </c>
      <c r="N54" s="140">
        <f ca="1">SUMIFS('F20-2024'!N:N,'F20-2024'!$D:$D,$D54,'F20-2024'!$E:$E,$E54,'F20-2024'!$F:$F,$F54)</f>
        <v>0</v>
      </c>
      <c r="O54" s="140">
        <f ca="1">SUMIFS('F20-2024'!O:O,'F20-2024'!$D:$D,$D54,'F20-2024'!$E:$E,$E54,'F20-2024'!$F:$F,$F54)</f>
        <v>0</v>
      </c>
      <c r="P54" s="140">
        <f ca="1">SUMIFS('F20-2024'!P:P,'F20-2024'!$D:$D,$D54,'F20-2024'!$E:$E,$E54,'F20-2024'!$F:$F,$F54)</f>
        <v>0</v>
      </c>
      <c r="Q54" s="140">
        <f ca="1">SUMIFS('F20-2024'!Q:Q,'F20-2024'!$D:$D,$D54,'F20-2024'!$E:$E,$E54,'F20-2024'!$F:$F,$F54)</f>
        <v>0</v>
      </c>
      <c r="R54" s="140">
        <f ca="1">SUMIFS('F20-2024'!R:R,'F20-2024'!$D:$D,$D54,'F20-2024'!$E:$E,$E54,'F20-2024'!$F:$F,$F54)</f>
        <v>0</v>
      </c>
      <c r="S54" s="140">
        <f ca="1">SUMIFS('F20-2024'!S:S,'F20-2024'!$D:$D,$D54,'F20-2024'!$E:$E,$E54,'F20-2024'!$F:$F,$F54)</f>
        <v>0</v>
      </c>
      <c r="T54" s="140">
        <f ca="1">SUMIFS('F20-2024'!T:T,'F20-2024'!$D:$D,$D54,'F20-2024'!$E:$E,$E54,'F20-2024'!$F:$F,$F54)</f>
        <v>0</v>
      </c>
      <c r="U54" s="140">
        <f ca="1">SUMIFS('F20-2024'!U:U,'F20-2024'!$D:$D,$D54,'F20-2024'!$E:$E,$E54,'F20-2024'!$F:$F,$F54)</f>
        <v>0</v>
      </c>
      <c r="V54" s="140"/>
      <c r="W54" s="141" t="e">
        <f t="shared" ref="W54:AA54" ca="1" si="105">J54/$I54</f>
        <v>#DIV/0!</v>
      </c>
      <c r="X54" s="141" t="e">
        <f t="shared" ca="1" si="105"/>
        <v>#DIV/0!</v>
      </c>
      <c r="Y54" s="141" t="e">
        <f t="shared" ca="1" si="105"/>
        <v>#DIV/0!</v>
      </c>
      <c r="Z54" s="141" t="e">
        <f t="shared" ca="1" si="105"/>
        <v>#DIV/0!</v>
      </c>
      <c r="AA54" s="141" t="e">
        <f t="shared" ca="1" si="105"/>
        <v>#DIV/0!</v>
      </c>
      <c r="AB54" s="141"/>
      <c r="AC54" s="141" t="e">
        <f t="shared" ca="1" si="1"/>
        <v>#DIV/0!</v>
      </c>
      <c r="AD54" s="141" t="e">
        <f t="shared" ref="AD54:AI54" ca="1" si="106">O54/$I54</f>
        <v>#DIV/0!</v>
      </c>
      <c r="AE54" s="141" t="e">
        <f t="shared" ca="1" si="106"/>
        <v>#DIV/0!</v>
      </c>
      <c r="AF54" s="141" t="e">
        <f t="shared" ca="1" si="106"/>
        <v>#DIV/0!</v>
      </c>
      <c r="AG54" s="141" t="e">
        <f t="shared" ca="1" si="106"/>
        <v>#DIV/0!</v>
      </c>
      <c r="AH54" s="141" t="e">
        <f t="shared" ca="1" si="106"/>
        <v>#DIV/0!</v>
      </c>
      <c r="AI54" s="141" t="e">
        <f t="shared" ca="1" si="106"/>
        <v>#DIV/0!</v>
      </c>
      <c r="AJ54" s="140"/>
    </row>
    <row r="55" spans="1:36">
      <c r="A55" s="140" t="e">
        <f ca="1"/>
        <v>#NAME?</v>
      </c>
      <c r="B55" s="140" t="e">
        <f ca="1"/>
        <v>#NAME?</v>
      </c>
      <c r="C55" s="140" t="e">
        <f ca="1"/>
        <v>#NAME?</v>
      </c>
      <c r="D55" s="140" t="e">
        <f ca="1"/>
        <v>#NAME?</v>
      </c>
      <c r="E55" s="140" t="e">
        <f ca="1"/>
        <v>#NAME?</v>
      </c>
      <c r="F55" s="140" t="e">
        <f ca="1"/>
        <v>#NAME?</v>
      </c>
      <c r="G55" s="140" t="e">
        <f ca="1"/>
        <v>#NAME?</v>
      </c>
      <c r="H55" s="140"/>
      <c r="I55" s="140">
        <f ca="1">SUMIFS('F20-2024'!I:I,'F20-2024'!$D:$D,$D55,'F20-2024'!$E:$E,$E55,'F20-2024'!$F:$F,$F55)</f>
        <v>0</v>
      </c>
      <c r="J55" s="140">
        <f ca="1">SUMIFS('F20-2024'!J:J,'F20-2024'!$D:$D,$D55,'F20-2024'!$E:$E,$E55,'F20-2024'!$F:$F,$F55)</f>
        <v>0</v>
      </c>
      <c r="K55" s="140">
        <f ca="1">SUMIFS('F20-2024'!K:K,'F20-2024'!$D:$D,$D55,'F20-2024'!$E:$E,$E55,'F20-2024'!$F:$F,$F55)</f>
        <v>0</v>
      </c>
      <c r="L55" s="140">
        <f ca="1">SUMIFS('F20-2024'!L:L,'F20-2024'!$D:$D,$D55,'F20-2024'!$E:$E,$E55,'F20-2024'!$F:$F,$F55)</f>
        <v>0</v>
      </c>
      <c r="M55" s="140">
        <f ca="1">SUMIFS('F20-2024'!M:M,'F20-2024'!$D:$D,$D55,'F20-2024'!$E:$E,$E55,'F20-2024'!$F:$F,$F55)</f>
        <v>0</v>
      </c>
      <c r="N55" s="140">
        <f ca="1">SUMIFS('F20-2024'!N:N,'F20-2024'!$D:$D,$D55,'F20-2024'!$E:$E,$E55,'F20-2024'!$F:$F,$F55)</f>
        <v>0</v>
      </c>
      <c r="O55" s="140">
        <f ca="1">SUMIFS('F20-2024'!O:O,'F20-2024'!$D:$D,$D55,'F20-2024'!$E:$E,$E55,'F20-2024'!$F:$F,$F55)</f>
        <v>0</v>
      </c>
      <c r="P55" s="140">
        <f ca="1">SUMIFS('F20-2024'!P:P,'F20-2024'!$D:$D,$D55,'F20-2024'!$E:$E,$E55,'F20-2024'!$F:$F,$F55)</f>
        <v>0</v>
      </c>
      <c r="Q55" s="140">
        <f ca="1">SUMIFS('F20-2024'!Q:Q,'F20-2024'!$D:$D,$D55,'F20-2024'!$E:$E,$E55,'F20-2024'!$F:$F,$F55)</f>
        <v>0</v>
      </c>
      <c r="R55" s="140">
        <f ca="1">SUMIFS('F20-2024'!R:R,'F20-2024'!$D:$D,$D55,'F20-2024'!$E:$E,$E55,'F20-2024'!$F:$F,$F55)</f>
        <v>0</v>
      </c>
      <c r="S55" s="140">
        <f ca="1">SUMIFS('F20-2024'!S:S,'F20-2024'!$D:$D,$D55,'F20-2024'!$E:$E,$E55,'F20-2024'!$F:$F,$F55)</f>
        <v>0</v>
      </c>
      <c r="T55" s="140">
        <f ca="1">SUMIFS('F20-2024'!T:T,'F20-2024'!$D:$D,$D55,'F20-2024'!$E:$E,$E55,'F20-2024'!$F:$F,$F55)</f>
        <v>0</v>
      </c>
      <c r="U55" s="140">
        <f ca="1">SUMIFS('F20-2024'!U:U,'F20-2024'!$D:$D,$D55,'F20-2024'!$E:$E,$E55,'F20-2024'!$F:$F,$F55)</f>
        <v>0</v>
      </c>
      <c r="V55" s="140"/>
      <c r="W55" s="141" t="e">
        <f t="shared" ref="W55:AA55" ca="1" si="107">J55/$I55</f>
        <v>#DIV/0!</v>
      </c>
      <c r="X55" s="141" t="e">
        <f t="shared" ca="1" si="107"/>
        <v>#DIV/0!</v>
      </c>
      <c r="Y55" s="141" t="e">
        <f t="shared" ca="1" si="107"/>
        <v>#DIV/0!</v>
      </c>
      <c r="Z55" s="141" t="e">
        <f t="shared" ca="1" si="107"/>
        <v>#DIV/0!</v>
      </c>
      <c r="AA55" s="141" t="e">
        <f t="shared" ca="1" si="107"/>
        <v>#DIV/0!</v>
      </c>
      <c r="AB55" s="141"/>
      <c r="AC55" s="141" t="e">
        <f t="shared" ca="1" si="1"/>
        <v>#DIV/0!</v>
      </c>
      <c r="AD55" s="141" t="e">
        <f t="shared" ref="AD55:AI55" ca="1" si="108">O55/$I55</f>
        <v>#DIV/0!</v>
      </c>
      <c r="AE55" s="141" t="e">
        <f t="shared" ca="1" si="108"/>
        <v>#DIV/0!</v>
      </c>
      <c r="AF55" s="141" t="e">
        <f t="shared" ca="1" si="108"/>
        <v>#DIV/0!</v>
      </c>
      <c r="AG55" s="141" t="e">
        <f t="shared" ca="1" si="108"/>
        <v>#DIV/0!</v>
      </c>
      <c r="AH55" s="141" t="e">
        <f t="shared" ca="1" si="108"/>
        <v>#DIV/0!</v>
      </c>
      <c r="AI55" s="141" t="e">
        <f t="shared" ca="1" si="108"/>
        <v>#DIV/0!</v>
      </c>
      <c r="AJ55" s="140"/>
    </row>
    <row r="56" spans="1:36">
      <c r="A56" s="140" t="e">
        <f ca="1"/>
        <v>#NAME?</v>
      </c>
      <c r="B56" s="140" t="e">
        <f ca="1"/>
        <v>#NAME?</v>
      </c>
      <c r="C56" s="140" t="e">
        <f ca="1"/>
        <v>#NAME?</v>
      </c>
      <c r="D56" s="140" t="e">
        <f ca="1"/>
        <v>#NAME?</v>
      </c>
      <c r="E56" s="140" t="e">
        <f ca="1"/>
        <v>#NAME?</v>
      </c>
      <c r="F56" s="140" t="e">
        <f ca="1"/>
        <v>#NAME?</v>
      </c>
      <c r="G56" s="140" t="e">
        <f ca="1"/>
        <v>#NAME?</v>
      </c>
      <c r="H56" s="140"/>
      <c r="I56" s="140">
        <f ca="1">SUMIFS('F20-2024'!I:I,'F20-2024'!$D:$D,$D56,'F20-2024'!$E:$E,$E56,'F20-2024'!$F:$F,$F56)</f>
        <v>0</v>
      </c>
      <c r="J56" s="140">
        <f ca="1">SUMIFS('F20-2024'!J:J,'F20-2024'!$D:$D,$D56,'F20-2024'!$E:$E,$E56,'F20-2024'!$F:$F,$F56)</f>
        <v>0</v>
      </c>
      <c r="K56" s="140">
        <f ca="1">SUMIFS('F20-2024'!K:K,'F20-2024'!$D:$D,$D56,'F20-2024'!$E:$E,$E56,'F20-2024'!$F:$F,$F56)</f>
        <v>0</v>
      </c>
      <c r="L56" s="140">
        <f ca="1">SUMIFS('F20-2024'!L:L,'F20-2024'!$D:$D,$D56,'F20-2024'!$E:$E,$E56,'F20-2024'!$F:$F,$F56)</f>
        <v>0</v>
      </c>
      <c r="M56" s="140">
        <f ca="1">SUMIFS('F20-2024'!M:M,'F20-2024'!$D:$D,$D56,'F20-2024'!$E:$E,$E56,'F20-2024'!$F:$F,$F56)</f>
        <v>0</v>
      </c>
      <c r="N56" s="140">
        <f ca="1">SUMIFS('F20-2024'!N:N,'F20-2024'!$D:$D,$D56,'F20-2024'!$E:$E,$E56,'F20-2024'!$F:$F,$F56)</f>
        <v>0</v>
      </c>
      <c r="O56" s="140">
        <f ca="1">SUMIFS('F20-2024'!O:O,'F20-2024'!$D:$D,$D56,'F20-2024'!$E:$E,$E56,'F20-2024'!$F:$F,$F56)</f>
        <v>0</v>
      </c>
      <c r="P56" s="140">
        <f ca="1">SUMIFS('F20-2024'!P:P,'F20-2024'!$D:$D,$D56,'F20-2024'!$E:$E,$E56,'F20-2024'!$F:$F,$F56)</f>
        <v>0</v>
      </c>
      <c r="Q56" s="140">
        <f ca="1">SUMIFS('F20-2024'!Q:Q,'F20-2024'!$D:$D,$D56,'F20-2024'!$E:$E,$E56,'F20-2024'!$F:$F,$F56)</f>
        <v>0</v>
      </c>
      <c r="R56" s="140">
        <f ca="1">SUMIFS('F20-2024'!R:R,'F20-2024'!$D:$D,$D56,'F20-2024'!$E:$E,$E56,'F20-2024'!$F:$F,$F56)</f>
        <v>0</v>
      </c>
      <c r="S56" s="140">
        <f ca="1">SUMIFS('F20-2024'!S:S,'F20-2024'!$D:$D,$D56,'F20-2024'!$E:$E,$E56,'F20-2024'!$F:$F,$F56)</f>
        <v>0</v>
      </c>
      <c r="T56" s="140">
        <f ca="1">SUMIFS('F20-2024'!T:T,'F20-2024'!$D:$D,$D56,'F20-2024'!$E:$E,$E56,'F20-2024'!$F:$F,$F56)</f>
        <v>0</v>
      </c>
      <c r="U56" s="140">
        <f ca="1">SUMIFS('F20-2024'!U:U,'F20-2024'!$D:$D,$D56,'F20-2024'!$E:$E,$E56,'F20-2024'!$F:$F,$F56)</f>
        <v>0</v>
      </c>
      <c r="V56" s="140"/>
      <c r="W56" s="141" t="e">
        <f t="shared" ref="W56:AA56" ca="1" si="109">J56/$I56</f>
        <v>#DIV/0!</v>
      </c>
      <c r="X56" s="141" t="e">
        <f t="shared" ca="1" si="109"/>
        <v>#DIV/0!</v>
      </c>
      <c r="Y56" s="141" t="e">
        <f t="shared" ca="1" si="109"/>
        <v>#DIV/0!</v>
      </c>
      <c r="Z56" s="141" t="e">
        <f t="shared" ca="1" si="109"/>
        <v>#DIV/0!</v>
      </c>
      <c r="AA56" s="141" t="e">
        <f t="shared" ca="1" si="109"/>
        <v>#DIV/0!</v>
      </c>
      <c r="AB56" s="141"/>
      <c r="AC56" s="141" t="e">
        <f t="shared" ca="1" si="1"/>
        <v>#DIV/0!</v>
      </c>
      <c r="AD56" s="141" t="e">
        <f t="shared" ref="AD56:AI56" ca="1" si="110">O56/$I56</f>
        <v>#DIV/0!</v>
      </c>
      <c r="AE56" s="141" t="e">
        <f t="shared" ca="1" si="110"/>
        <v>#DIV/0!</v>
      </c>
      <c r="AF56" s="141" t="e">
        <f t="shared" ca="1" si="110"/>
        <v>#DIV/0!</v>
      </c>
      <c r="AG56" s="141" t="e">
        <f t="shared" ca="1" si="110"/>
        <v>#DIV/0!</v>
      </c>
      <c r="AH56" s="141" t="e">
        <f t="shared" ca="1" si="110"/>
        <v>#DIV/0!</v>
      </c>
      <c r="AI56" s="141" t="e">
        <f t="shared" ca="1" si="110"/>
        <v>#DIV/0!</v>
      </c>
      <c r="AJ56" s="140"/>
    </row>
    <row r="57" spans="1:36">
      <c r="A57" s="140" t="e">
        <f ca="1"/>
        <v>#NAME?</v>
      </c>
      <c r="B57" s="140" t="e">
        <f ca="1"/>
        <v>#NAME?</v>
      </c>
      <c r="C57" s="140" t="e">
        <f ca="1"/>
        <v>#NAME?</v>
      </c>
      <c r="D57" s="140" t="e">
        <f ca="1"/>
        <v>#NAME?</v>
      </c>
      <c r="E57" s="140" t="e">
        <f ca="1"/>
        <v>#NAME?</v>
      </c>
      <c r="F57" s="140" t="e">
        <f ca="1"/>
        <v>#NAME?</v>
      </c>
      <c r="G57" s="140" t="e">
        <f ca="1"/>
        <v>#NAME?</v>
      </c>
      <c r="H57" s="140"/>
      <c r="I57" s="140">
        <f ca="1">SUMIFS('F20-2024'!I:I,'F20-2024'!$D:$D,$D57,'F20-2024'!$E:$E,$E57,'F20-2024'!$F:$F,$F57)</f>
        <v>0</v>
      </c>
      <c r="J57" s="140">
        <f ca="1">SUMIFS('F20-2024'!J:J,'F20-2024'!$D:$D,$D57,'F20-2024'!$E:$E,$E57,'F20-2024'!$F:$F,$F57)</f>
        <v>0</v>
      </c>
      <c r="K57" s="140">
        <f ca="1">SUMIFS('F20-2024'!K:K,'F20-2024'!$D:$D,$D57,'F20-2024'!$E:$E,$E57,'F20-2024'!$F:$F,$F57)</f>
        <v>0</v>
      </c>
      <c r="L57" s="140">
        <f ca="1">SUMIFS('F20-2024'!L:L,'F20-2024'!$D:$D,$D57,'F20-2024'!$E:$E,$E57,'F20-2024'!$F:$F,$F57)</f>
        <v>0</v>
      </c>
      <c r="M57" s="140">
        <f ca="1">SUMIFS('F20-2024'!M:M,'F20-2024'!$D:$D,$D57,'F20-2024'!$E:$E,$E57,'F20-2024'!$F:$F,$F57)</f>
        <v>0</v>
      </c>
      <c r="N57" s="140">
        <f ca="1">SUMIFS('F20-2024'!N:N,'F20-2024'!$D:$D,$D57,'F20-2024'!$E:$E,$E57,'F20-2024'!$F:$F,$F57)</f>
        <v>0</v>
      </c>
      <c r="O57" s="140">
        <f ca="1">SUMIFS('F20-2024'!O:O,'F20-2024'!$D:$D,$D57,'F20-2024'!$E:$E,$E57,'F20-2024'!$F:$F,$F57)</f>
        <v>0</v>
      </c>
      <c r="P57" s="140">
        <f ca="1">SUMIFS('F20-2024'!P:P,'F20-2024'!$D:$D,$D57,'F20-2024'!$E:$E,$E57,'F20-2024'!$F:$F,$F57)</f>
        <v>0</v>
      </c>
      <c r="Q57" s="140">
        <f ca="1">SUMIFS('F20-2024'!Q:Q,'F20-2024'!$D:$D,$D57,'F20-2024'!$E:$E,$E57,'F20-2024'!$F:$F,$F57)</f>
        <v>0</v>
      </c>
      <c r="R57" s="140">
        <f ca="1">SUMIFS('F20-2024'!R:R,'F20-2024'!$D:$D,$D57,'F20-2024'!$E:$E,$E57,'F20-2024'!$F:$F,$F57)</f>
        <v>0</v>
      </c>
      <c r="S57" s="140">
        <f ca="1">SUMIFS('F20-2024'!S:S,'F20-2024'!$D:$D,$D57,'F20-2024'!$E:$E,$E57,'F20-2024'!$F:$F,$F57)</f>
        <v>0</v>
      </c>
      <c r="T57" s="140">
        <f ca="1">SUMIFS('F20-2024'!T:T,'F20-2024'!$D:$D,$D57,'F20-2024'!$E:$E,$E57,'F20-2024'!$F:$F,$F57)</f>
        <v>0</v>
      </c>
      <c r="U57" s="140">
        <f ca="1">SUMIFS('F20-2024'!U:U,'F20-2024'!$D:$D,$D57,'F20-2024'!$E:$E,$E57,'F20-2024'!$F:$F,$F57)</f>
        <v>0</v>
      </c>
      <c r="V57" s="140"/>
      <c r="W57" s="141" t="e">
        <f t="shared" ref="W57:AA57" ca="1" si="111">J57/$I57</f>
        <v>#DIV/0!</v>
      </c>
      <c r="X57" s="141" t="e">
        <f t="shared" ca="1" si="111"/>
        <v>#DIV/0!</v>
      </c>
      <c r="Y57" s="141" t="e">
        <f t="shared" ca="1" si="111"/>
        <v>#DIV/0!</v>
      </c>
      <c r="Z57" s="141" t="e">
        <f t="shared" ca="1" si="111"/>
        <v>#DIV/0!</v>
      </c>
      <c r="AA57" s="141" t="e">
        <f t="shared" ca="1" si="111"/>
        <v>#DIV/0!</v>
      </c>
      <c r="AB57" s="141"/>
      <c r="AC57" s="141" t="e">
        <f t="shared" ca="1" si="1"/>
        <v>#DIV/0!</v>
      </c>
      <c r="AD57" s="141" t="e">
        <f t="shared" ref="AD57:AI57" ca="1" si="112">O57/$I57</f>
        <v>#DIV/0!</v>
      </c>
      <c r="AE57" s="141" t="e">
        <f t="shared" ca="1" si="112"/>
        <v>#DIV/0!</v>
      </c>
      <c r="AF57" s="141" t="e">
        <f t="shared" ca="1" si="112"/>
        <v>#DIV/0!</v>
      </c>
      <c r="AG57" s="141" t="e">
        <f t="shared" ca="1" si="112"/>
        <v>#DIV/0!</v>
      </c>
      <c r="AH57" s="141" t="e">
        <f t="shared" ca="1" si="112"/>
        <v>#DIV/0!</v>
      </c>
      <c r="AI57" s="141" t="e">
        <f t="shared" ca="1" si="112"/>
        <v>#DIV/0!</v>
      </c>
      <c r="AJ57" s="140"/>
    </row>
    <row r="58" spans="1:36">
      <c r="A58" s="140" t="e">
        <f ca="1"/>
        <v>#NAME?</v>
      </c>
      <c r="B58" s="140" t="e">
        <f ca="1"/>
        <v>#NAME?</v>
      </c>
      <c r="C58" s="140" t="e">
        <f ca="1"/>
        <v>#NAME?</v>
      </c>
      <c r="D58" s="140" t="e">
        <f ca="1"/>
        <v>#NAME?</v>
      </c>
      <c r="E58" s="140" t="e">
        <f ca="1"/>
        <v>#NAME?</v>
      </c>
      <c r="F58" s="140" t="e">
        <f ca="1"/>
        <v>#NAME?</v>
      </c>
      <c r="G58" s="140" t="e">
        <f ca="1"/>
        <v>#NAME?</v>
      </c>
      <c r="H58" s="140"/>
      <c r="I58" s="140">
        <f ca="1">SUMIFS('F20-2024'!I:I,'F20-2024'!$D:$D,$D58,'F20-2024'!$E:$E,$E58,'F20-2024'!$F:$F,$F58)</f>
        <v>0</v>
      </c>
      <c r="J58" s="140">
        <f ca="1">SUMIFS('F20-2024'!J:J,'F20-2024'!$D:$D,$D58,'F20-2024'!$E:$E,$E58,'F20-2024'!$F:$F,$F58)</f>
        <v>0</v>
      </c>
      <c r="K58" s="140">
        <f ca="1">SUMIFS('F20-2024'!K:K,'F20-2024'!$D:$D,$D58,'F20-2024'!$E:$E,$E58,'F20-2024'!$F:$F,$F58)</f>
        <v>0</v>
      </c>
      <c r="L58" s="140">
        <f ca="1">SUMIFS('F20-2024'!L:L,'F20-2024'!$D:$D,$D58,'F20-2024'!$E:$E,$E58,'F20-2024'!$F:$F,$F58)</f>
        <v>0</v>
      </c>
      <c r="M58" s="140">
        <f ca="1">SUMIFS('F20-2024'!M:M,'F20-2024'!$D:$D,$D58,'F20-2024'!$E:$E,$E58,'F20-2024'!$F:$F,$F58)</f>
        <v>0</v>
      </c>
      <c r="N58" s="140">
        <f ca="1">SUMIFS('F20-2024'!N:N,'F20-2024'!$D:$D,$D58,'F20-2024'!$E:$E,$E58,'F20-2024'!$F:$F,$F58)</f>
        <v>0</v>
      </c>
      <c r="O58" s="140">
        <f ca="1">SUMIFS('F20-2024'!O:O,'F20-2024'!$D:$D,$D58,'F20-2024'!$E:$E,$E58,'F20-2024'!$F:$F,$F58)</f>
        <v>0</v>
      </c>
      <c r="P58" s="140">
        <f ca="1">SUMIFS('F20-2024'!P:P,'F20-2024'!$D:$D,$D58,'F20-2024'!$E:$E,$E58,'F20-2024'!$F:$F,$F58)</f>
        <v>0</v>
      </c>
      <c r="Q58" s="140">
        <f ca="1">SUMIFS('F20-2024'!Q:Q,'F20-2024'!$D:$D,$D58,'F20-2024'!$E:$E,$E58,'F20-2024'!$F:$F,$F58)</f>
        <v>0</v>
      </c>
      <c r="R58" s="140">
        <f ca="1">SUMIFS('F20-2024'!R:R,'F20-2024'!$D:$D,$D58,'F20-2024'!$E:$E,$E58,'F20-2024'!$F:$F,$F58)</f>
        <v>0</v>
      </c>
      <c r="S58" s="140">
        <f ca="1">SUMIFS('F20-2024'!S:S,'F20-2024'!$D:$D,$D58,'F20-2024'!$E:$E,$E58,'F20-2024'!$F:$F,$F58)</f>
        <v>0</v>
      </c>
      <c r="T58" s="140">
        <f ca="1">SUMIFS('F20-2024'!T:T,'F20-2024'!$D:$D,$D58,'F20-2024'!$E:$E,$E58,'F20-2024'!$F:$F,$F58)</f>
        <v>0</v>
      </c>
      <c r="U58" s="140">
        <f ca="1">SUMIFS('F20-2024'!U:U,'F20-2024'!$D:$D,$D58,'F20-2024'!$E:$E,$E58,'F20-2024'!$F:$F,$F58)</f>
        <v>0</v>
      </c>
      <c r="V58" s="140"/>
      <c r="W58" s="141" t="e">
        <f t="shared" ref="W58:AA58" ca="1" si="113">J58/$I58</f>
        <v>#DIV/0!</v>
      </c>
      <c r="X58" s="141" t="e">
        <f t="shared" ca="1" si="113"/>
        <v>#DIV/0!</v>
      </c>
      <c r="Y58" s="141" t="e">
        <f t="shared" ca="1" si="113"/>
        <v>#DIV/0!</v>
      </c>
      <c r="Z58" s="141" t="e">
        <f t="shared" ca="1" si="113"/>
        <v>#DIV/0!</v>
      </c>
      <c r="AA58" s="141" t="e">
        <f t="shared" ca="1" si="113"/>
        <v>#DIV/0!</v>
      </c>
      <c r="AB58" s="141"/>
      <c r="AC58" s="141" t="e">
        <f t="shared" ca="1" si="1"/>
        <v>#DIV/0!</v>
      </c>
      <c r="AD58" s="141" t="e">
        <f t="shared" ref="AD58:AI58" ca="1" si="114">O58/$I58</f>
        <v>#DIV/0!</v>
      </c>
      <c r="AE58" s="141" t="e">
        <f t="shared" ca="1" si="114"/>
        <v>#DIV/0!</v>
      </c>
      <c r="AF58" s="141" t="e">
        <f t="shared" ca="1" si="114"/>
        <v>#DIV/0!</v>
      </c>
      <c r="AG58" s="141" t="e">
        <f t="shared" ca="1" si="114"/>
        <v>#DIV/0!</v>
      </c>
      <c r="AH58" s="141" t="e">
        <f t="shared" ca="1" si="114"/>
        <v>#DIV/0!</v>
      </c>
      <c r="AI58" s="141" t="e">
        <f t="shared" ca="1" si="114"/>
        <v>#DIV/0!</v>
      </c>
      <c r="AJ58" s="140"/>
    </row>
    <row r="59" spans="1:36">
      <c r="A59" s="140" t="e">
        <f ca="1"/>
        <v>#NAME?</v>
      </c>
      <c r="B59" s="140" t="e">
        <f ca="1"/>
        <v>#NAME?</v>
      </c>
      <c r="C59" s="140" t="e">
        <f ca="1"/>
        <v>#NAME?</v>
      </c>
      <c r="D59" s="140" t="e">
        <f ca="1"/>
        <v>#NAME?</v>
      </c>
      <c r="E59" s="140" t="e">
        <f ca="1"/>
        <v>#NAME?</v>
      </c>
      <c r="F59" s="140" t="e">
        <f ca="1"/>
        <v>#NAME?</v>
      </c>
      <c r="G59" s="140" t="e">
        <f ca="1"/>
        <v>#NAME?</v>
      </c>
      <c r="H59" s="140"/>
      <c r="I59" s="140">
        <f ca="1">SUMIFS('F20-2024'!I:I,'F20-2024'!$D:$D,$D59,'F20-2024'!$E:$E,$E59,'F20-2024'!$F:$F,$F59)</f>
        <v>0</v>
      </c>
      <c r="J59" s="140">
        <f ca="1">SUMIFS('F20-2024'!J:J,'F20-2024'!$D:$D,$D59,'F20-2024'!$E:$E,$E59,'F20-2024'!$F:$F,$F59)</f>
        <v>0</v>
      </c>
      <c r="K59" s="140">
        <f ca="1">SUMIFS('F20-2024'!K:K,'F20-2024'!$D:$D,$D59,'F20-2024'!$E:$E,$E59,'F20-2024'!$F:$F,$F59)</f>
        <v>0</v>
      </c>
      <c r="L59" s="140">
        <f ca="1">SUMIFS('F20-2024'!L:L,'F20-2024'!$D:$D,$D59,'F20-2024'!$E:$E,$E59,'F20-2024'!$F:$F,$F59)</f>
        <v>0</v>
      </c>
      <c r="M59" s="140">
        <f ca="1">SUMIFS('F20-2024'!M:M,'F20-2024'!$D:$D,$D59,'F20-2024'!$E:$E,$E59,'F20-2024'!$F:$F,$F59)</f>
        <v>0</v>
      </c>
      <c r="N59" s="140">
        <f ca="1">SUMIFS('F20-2024'!N:N,'F20-2024'!$D:$D,$D59,'F20-2024'!$E:$E,$E59,'F20-2024'!$F:$F,$F59)</f>
        <v>0</v>
      </c>
      <c r="O59" s="140">
        <f ca="1">SUMIFS('F20-2024'!O:O,'F20-2024'!$D:$D,$D59,'F20-2024'!$E:$E,$E59,'F20-2024'!$F:$F,$F59)</f>
        <v>0</v>
      </c>
      <c r="P59" s="140">
        <f ca="1">SUMIFS('F20-2024'!P:P,'F20-2024'!$D:$D,$D59,'F20-2024'!$E:$E,$E59,'F20-2024'!$F:$F,$F59)</f>
        <v>0</v>
      </c>
      <c r="Q59" s="140">
        <f ca="1">SUMIFS('F20-2024'!Q:Q,'F20-2024'!$D:$D,$D59,'F20-2024'!$E:$E,$E59,'F20-2024'!$F:$F,$F59)</f>
        <v>0</v>
      </c>
      <c r="R59" s="140">
        <f ca="1">SUMIFS('F20-2024'!R:R,'F20-2024'!$D:$D,$D59,'F20-2024'!$E:$E,$E59,'F20-2024'!$F:$F,$F59)</f>
        <v>0</v>
      </c>
      <c r="S59" s="140">
        <f ca="1">SUMIFS('F20-2024'!S:S,'F20-2024'!$D:$D,$D59,'F20-2024'!$E:$E,$E59,'F20-2024'!$F:$F,$F59)</f>
        <v>0</v>
      </c>
      <c r="T59" s="140">
        <f ca="1">SUMIFS('F20-2024'!T:T,'F20-2024'!$D:$D,$D59,'F20-2024'!$E:$E,$E59,'F20-2024'!$F:$F,$F59)</f>
        <v>0</v>
      </c>
      <c r="U59" s="140">
        <f ca="1">SUMIFS('F20-2024'!U:U,'F20-2024'!$D:$D,$D59,'F20-2024'!$E:$E,$E59,'F20-2024'!$F:$F,$F59)</f>
        <v>0</v>
      </c>
      <c r="V59" s="140"/>
      <c r="W59" s="141" t="e">
        <f t="shared" ref="W59:AA59" ca="1" si="115">J59/$I59</f>
        <v>#DIV/0!</v>
      </c>
      <c r="X59" s="141" t="e">
        <f t="shared" ca="1" si="115"/>
        <v>#DIV/0!</v>
      </c>
      <c r="Y59" s="141" t="e">
        <f t="shared" ca="1" si="115"/>
        <v>#DIV/0!</v>
      </c>
      <c r="Z59" s="141" t="e">
        <f t="shared" ca="1" si="115"/>
        <v>#DIV/0!</v>
      </c>
      <c r="AA59" s="141" t="e">
        <f t="shared" ca="1" si="115"/>
        <v>#DIV/0!</v>
      </c>
      <c r="AB59" s="141"/>
      <c r="AC59" s="141" t="e">
        <f t="shared" ca="1" si="1"/>
        <v>#DIV/0!</v>
      </c>
      <c r="AD59" s="141" t="e">
        <f t="shared" ref="AD59:AI59" ca="1" si="116">O59/$I59</f>
        <v>#DIV/0!</v>
      </c>
      <c r="AE59" s="141" t="e">
        <f t="shared" ca="1" si="116"/>
        <v>#DIV/0!</v>
      </c>
      <c r="AF59" s="141" t="e">
        <f t="shared" ca="1" si="116"/>
        <v>#DIV/0!</v>
      </c>
      <c r="AG59" s="141" t="e">
        <f t="shared" ca="1" si="116"/>
        <v>#DIV/0!</v>
      </c>
      <c r="AH59" s="141" t="e">
        <f t="shared" ca="1" si="116"/>
        <v>#DIV/0!</v>
      </c>
      <c r="AI59" s="141" t="e">
        <f t="shared" ca="1" si="116"/>
        <v>#DIV/0!</v>
      </c>
      <c r="AJ59" s="140"/>
    </row>
    <row r="60" spans="1:36">
      <c r="A60" s="140" t="e">
        <f ca="1"/>
        <v>#NAME?</v>
      </c>
      <c r="B60" s="140" t="e">
        <f ca="1"/>
        <v>#NAME?</v>
      </c>
      <c r="C60" s="140" t="e">
        <f ca="1"/>
        <v>#NAME?</v>
      </c>
      <c r="D60" s="140" t="e">
        <f ca="1"/>
        <v>#NAME?</v>
      </c>
      <c r="E60" s="140" t="e">
        <f ca="1"/>
        <v>#NAME?</v>
      </c>
      <c r="F60" s="140" t="e">
        <f ca="1"/>
        <v>#NAME?</v>
      </c>
      <c r="G60" s="140" t="e">
        <f ca="1"/>
        <v>#NAME?</v>
      </c>
      <c r="H60" s="140"/>
      <c r="I60" s="140">
        <f ca="1">SUMIFS('F20-2024'!I:I,'F20-2024'!$D:$D,$D60,'F20-2024'!$E:$E,$E60,'F20-2024'!$F:$F,$F60)</f>
        <v>0</v>
      </c>
      <c r="J60" s="140">
        <f ca="1">SUMIFS('F20-2024'!J:J,'F20-2024'!$D:$D,$D60,'F20-2024'!$E:$E,$E60,'F20-2024'!$F:$F,$F60)</f>
        <v>0</v>
      </c>
      <c r="K60" s="140">
        <f ca="1">SUMIFS('F20-2024'!K:K,'F20-2024'!$D:$D,$D60,'F20-2024'!$E:$E,$E60,'F20-2024'!$F:$F,$F60)</f>
        <v>0</v>
      </c>
      <c r="L60" s="140">
        <f ca="1">SUMIFS('F20-2024'!L:L,'F20-2024'!$D:$D,$D60,'F20-2024'!$E:$E,$E60,'F20-2024'!$F:$F,$F60)</f>
        <v>0</v>
      </c>
      <c r="M60" s="140">
        <f ca="1">SUMIFS('F20-2024'!M:M,'F20-2024'!$D:$D,$D60,'F20-2024'!$E:$E,$E60,'F20-2024'!$F:$F,$F60)</f>
        <v>0</v>
      </c>
      <c r="N60" s="140">
        <f ca="1">SUMIFS('F20-2024'!N:N,'F20-2024'!$D:$D,$D60,'F20-2024'!$E:$E,$E60,'F20-2024'!$F:$F,$F60)</f>
        <v>0</v>
      </c>
      <c r="O60" s="140">
        <f ca="1">SUMIFS('F20-2024'!O:O,'F20-2024'!$D:$D,$D60,'F20-2024'!$E:$E,$E60,'F20-2024'!$F:$F,$F60)</f>
        <v>0</v>
      </c>
      <c r="P60" s="140">
        <f ca="1">SUMIFS('F20-2024'!P:P,'F20-2024'!$D:$D,$D60,'F20-2024'!$E:$E,$E60,'F20-2024'!$F:$F,$F60)</f>
        <v>0</v>
      </c>
      <c r="Q60" s="140">
        <f ca="1">SUMIFS('F20-2024'!Q:Q,'F20-2024'!$D:$D,$D60,'F20-2024'!$E:$E,$E60,'F20-2024'!$F:$F,$F60)</f>
        <v>0</v>
      </c>
      <c r="R60" s="140">
        <f ca="1">SUMIFS('F20-2024'!R:R,'F20-2024'!$D:$D,$D60,'F20-2024'!$E:$E,$E60,'F20-2024'!$F:$F,$F60)</f>
        <v>0</v>
      </c>
      <c r="S60" s="140">
        <f ca="1">SUMIFS('F20-2024'!S:S,'F20-2024'!$D:$D,$D60,'F20-2024'!$E:$E,$E60,'F20-2024'!$F:$F,$F60)</f>
        <v>0</v>
      </c>
      <c r="T60" s="140">
        <f ca="1">SUMIFS('F20-2024'!T:T,'F20-2024'!$D:$D,$D60,'F20-2024'!$E:$E,$E60,'F20-2024'!$F:$F,$F60)</f>
        <v>0</v>
      </c>
      <c r="U60" s="140">
        <f ca="1">SUMIFS('F20-2024'!U:U,'F20-2024'!$D:$D,$D60,'F20-2024'!$E:$E,$E60,'F20-2024'!$F:$F,$F60)</f>
        <v>0</v>
      </c>
      <c r="V60" s="140"/>
      <c r="W60" s="141" t="e">
        <f t="shared" ref="W60:AA60" ca="1" si="117">J60/$I60</f>
        <v>#DIV/0!</v>
      </c>
      <c r="X60" s="141" t="e">
        <f t="shared" ca="1" si="117"/>
        <v>#DIV/0!</v>
      </c>
      <c r="Y60" s="141" t="e">
        <f t="shared" ca="1" si="117"/>
        <v>#DIV/0!</v>
      </c>
      <c r="Z60" s="141" t="e">
        <f t="shared" ca="1" si="117"/>
        <v>#DIV/0!</v>
      </c>
      <c r="AA60" s="141" t="e">
        <f t="shared" ca="1" si="117"/>
        <v>#DIV/0!</v>
      </c>
      <c r="AB60" s="141"/>
      <c r="AC60" s="141" t="e">
        <f t="shared" ca="1" si="1"/>
        <v>#DIV/0!</v>
      </c>
      <c r="AD60" s="141" t="e">
        <f t="shared" ref="AD60:AI60" ca="1" si="118">O60/$I60</f>
        <v>#DIV/0!</v>
      </c>
      <c r="AE60" s="141" t="e">
        <f t="shared" ca="1" si="118"/>
        <v>#DIV/0!</v>
      </c>
      <c r="AF60" s="141" t="e">
        <f t="shared" ca="1" si="118"/>
        <v>#DIV/0!</v>
      </c>
      <c r="AG60" s="141" t="e">
        <f t="shared" ca="1" si="118"/>
        <v>#DIV/0!</v>
      </c>
      <c r="AH60" s="141" t="e">
        <f t="shared" ca="1" si="118"/>
        <v>#DIV/0!</v>
      </c>
      <c r="AI60" s="141" t="e">
        <f t="shared" ca="1" si="118"/>
        <v>#DIV/0!</v>
      </c>
      <c r="AJ60" s="140"/>
    </row>
    <row r="61" spans="1:36">
      <c r="A61" s="140" t="e">
        <f ca="1"/>
        <v>#NAME?</v>
      </c>
      <c r="B61" s="140" t="e">
        <f ca="1"/>
        <v>#NAME?</v>
      </c>
      <c r="C61" s="140" t="e">
        <f ca="1"/>
        <v>#NAME?</v>
      </c>
      <c r="D61" s="140" t="e">
        <f ca="1"/>
        <v>#NAME?</v>
      </c>
      <c r="E61" s="140" t="e">
        <f ca="1"/>
        <v>#NAME?</v>
      </c>
      <c r="F61" s="140" t="e">
        <f ca="1"/>
        <v>#NAME?</v>
      </c>
      <c r="G61" s="140" t="e">
        <f ca="1"/>
        <v>#NAME?</v>
      </c>
      <c r="H61" s="140"/>
      <c r="I61" s="140">
        <f ca="1">SUMIFS('F20-2024'!I:I,'F20-2024'!$D:$D,$D61,'F20-2024'!$E:$E,$E61,'F20-2024'!$F:$F,$F61)</f>
        <v>0</v>
      </c>
      <c r="J61" s="140">
        <f ca="1">SUMIFS('F20-2024'!J:J,'F20-2024'!$D:$D,$D61,'F20-2024'!$E:$E,$E61,'F20-2024'!$F:$F,$F61)</f>
        <v>0</v>
      </c>
      <c r="K61" s="140">
        <f ca="1">SUMIFS('F20-2024'!K:K,'F20-2024'!$D:$D,$D61,'F20-2024'!$E:$E,$E61,'F20-2024'!$F:$F,$F61)</f>
        <v>0</v>
      </c>
      <c r="L61" s="140">
        <f ca="1">SUMIFS('F20-2024'!L:L,'F20-2024'!$D:$D,$D61,'F20-2024'!$E:$E,$E61,'F20-2024'!$F:$F,$F61)</f>
        <v>0</v>
      </c>
      <c r="M61" s="140">
        <f ca="1">SUMIFS('F20-2024'!M:M,'F20-2024'!$D:$D,$D61,'F20-2024'!$E:$E,$E61,'F20-2024'!$F:$F,$F61)</f>
        <v>0</v>
      </c>
      <c r="N61" s="140">
        <f ca="1">SUMIFS('F20-2024'!N:N,'F20-2024'!$D:$D,$D61,'F20-2024'!$E:$E,$E61,'F20-2024'!$F:$F,$F61)</f>
        <v>0</v>
      </c>
      <c r="O61" s="140">
        <f ca="1">SUMIFS('F20-2024'!O:O,'F20-2024'!$D:$D,$D61,'F20-2024'!$E:$E,$E61,'F20-2024'!$F:$F,$F61)</f>
        <v>0</v>
      </c>
      <c r="P61" s="140">
        <f ca="1">SUMIFS('F20-2024'!P:P,'F20-2024'!$D:$D,$D61,'F20-2024'!$E:$E,$E61,'F20-2024'!$F:$F,$F61)</f>
        <v>0</v>
      </c>
      <c r="Q61" s="140">
        <f ca="1">SUMIFS('F20-2024'!Q:Q,'F20-2024'!$D:$D,$D61,'F20-2024'!$E:$E,$E61,'F20-2024'!$F:$F,$F61)</f>
        <v>0</v>
      </c>
      <c r="R61" s="140">
        <f ca="1">SUMIFS('F20-2024'!R:R,'F20-2024'!$D:$D,$D61,'F20-2024'!$E:$E,$E61,'F20-2024'!$F:$F,$F61)</f>
        <v>0</v>
      </c>
      <c r="S61" s="140">
        <f ca="1">SUMIFS('F20-2024'!S:S,'F20-2024'!$D:$D,$D61,'F20-2024'!$E:$E,$E61,'F20-2024'!$F:$F,$F61)</f>
        <v>0</v>
      </c>
      <c r="T61" s="140">
        <f ca="1">SUMIFS('F20-2024'!T:T,'F20-2024'!$D:$D,$D61,'F20-2024'!$E:$E,$E61,'F20-2024'!$F:$F,$F61)</f>
        <v>0</v>
      </c>
      <c r="U61" s="140">
        <f ca="1">SUMIFS('F20-2024'!U:U,'F20-2024'!$D:$D,$D61,'F20-2024'!$E:$E,$E61,'F20-2024'!$F:$F,$F61)</f>
        <v>0</v>
      </c>
      <c r="V61" s="140"/>
      <c r="W61" s="141" t="e">
        <f t="shared" ref="W61:AA61" ca="1" si="119">J61/$I61</f>
        <v>#DIV/0!</v>
      </c>
      <c r="X61" s="141" t="e">
        <f t="shared" ca="1" si="119"/>
        <v>#DIV/0!</v>
      </c>
      <c r="Y61" s="141" t="e">
        <f t="shared" ca="1" si="119"/>
        <v>#DIV/0!</v>
      </c>
      <c r="Z61" s="141" t="e">
        <f t="shared" ca="1" si="119"/>
        <v>#DIV/0!</v>
      </c>
      <c r="AA61" s="141" t="e">
        <f t="shared" ca="1" si="119"/>
        <v>#DIV/0!</v>
      </c>
      <c r="AB61" s="141"/>
      <c r="AC61" s="141" t="e">
        <f t="shared" ca="1" si="1"/>
        <v>#DIV/0!</v>
      </c>
      <c r="AD61" s="141" t="e">
        <f t="shared" ref="AD61:AI61" ca="1" si="120">O61/$I61</f>
        <v>#DIV/0!</v>
      </c>
      <c r="AE61" s="141" t="e">
        <f t="shared" ca="1" si="120"/>
        <v>#DIV/0!</v>
      </c>
      <c r="AF61" s="141" t="e">
        <f t="shared" ca="1" si="120"/>
        <v>#DIV/0!</v>
      </c>
      <c r="AG61" s="141" t="e">
        <f t="shared" ca="1" si="120"/>
        <v>#DIV/0!</v>
      </c>
      <c r="AH61" s="141" t="e">
        <f t="shared" ca="1" si="120"/>
        <v>#DIV/0!</v>
      </c>
      <c r="AI61" s="141" t="e">
        <f t="shared" ca="1" si="120"/>
        <v>#DIV/0!</v>
      </c>
      <c r="AJ61" s="140"/>
    </row>
    <row r="62" spans="1:36">
      <c r="A62" s="140" t="e">
        <f ca="1"/>
        <v>#NAME?</v>
      </c>
      <c r="B62" s="140" t="e">
        <f ca="1"/>
        <v>#NAME?</v>
      </c>
      <c r="C62" s="140" t="e">
        <f ca="1"/>
        <v>#NAME?</v>
      </c>
      <c r="D62" s="140" t="e">
        <f ca="1"/>
        <v>#NAME?</v>
      </c>
      <c r="E62" s="140" t="e">
        <f ca="1"/>
        <v>#NAME?</v>
      </c>
      <c r="F62" s="140" t="e">
        <f ca="1"/>
        <v>#NAME?</v>
      </c>
      <c r="G62" s="140" t="e">
        <f ca="1"/>
        <v>#NAME?</v>
      </c>
      <c r="H62" s="140"/>
      <c r="I62" s="140">
        <f ca="1">SUMIFS('F20-2024'!I:I,'F20-2024'!$D:$D,$D62,'F20-2024'!$E:$E,$E62,'F20-2024'!$F:$F,$F62)</f>
        <v>0</v>
      </c>
      <c r="J62" s="140">
        <f ca="1">SUMIFS('F20-2024'!J:J,'F20-2024'!$D:$D,$D62,'F20-2024'!$E:$E,$E62,'F20-2024'!$F:$F,$F62)</f>
        <v>0</v>
      </c>
      <c r="K62" s="140">
        <f ca="1">SUMIFS('F20-2024'!K:K,'F20-2024'!$D:$D,$D62,'F20-2024'!$E:$E,$E62,'F20-2024'!$F:$F,$F62)</f>
        <v>0</v>
      </c>
      <c r="L62" s="140">
        <f ca="1">SUMIFS('F20-2024'!L:L,'F20-2024'!$D:$D,$D62,'F20-2024'!$E:$E,$E62,'F20-2024'!$F:$F,$F62)</f>
        <v>0</v>
      </c>
      <c r="M62" s="140">
        <f ca="1">SUMIFS('F20-2024'!M:M,'F20-2024'!$D:$D,$D62,'F20-2024'!$E:$E,$E62,'F20-2024'!$F:$F,$F62)</f>
        <v>0</v>
      </c>
      <c r="N62" s="140">
        <f ca="1">SUMIFS('F20-2024'!N:N,'F20-2024'!$D:$D,$D62,'F20-2024'!$E:$E,$E62,'F20-2024'!$F:$F,$F62)</f>
        <v>0</v>
      </c>
      <c r="O62" s="140">
        <f ca="1">SUMIFS('F20-2024'!O:O,'F20-2024'!$D:$D,$D62,'F20-2024'!$E:$E,$E62,'F20-2024'!$F:$F,$F62)</f>
        <v>0</v>
      </c>
      <c r="P62" s="140">
        <f ca="1">SUMIFS('F20-2024'!P:P,'F20-2024'!$D:$D,$D62,'F20-2024'!$E:$E,$E62,'F20-2024'!$F:$F,$F62)</f>
        <v>0</v>
      </c>
      <c r="Q62" s="140">
        <f ca="1">SUMIFS('F20-2024'!Q:Q,'F20-2024'!$D:$D,$D62,'F20-2024'!$E:$E,$E62,'F20-2024'!$F:$F,$F62)</f>
        <v>0</v>
      </c>
      <c r="R62" s="140">
        <f ca="1">SUMIFS('F20-2024'!R:R,'F20-2024'!$D:$D,$D62,'F20-2024'!$E:$E,$E62,'F20-2024'!$F:$F,$F62)</f>
        <v>0</v>
      </c>
      <c r="S62" s="140">
        <f ca="1">SUMIFS('F20-2024'!S:S,'F20-2024'!$D:$D,$D62,'F20-2024'!$E:$E,$E62,'F20-2024'!$F:$F,$F62)</f>
        <v>0</v>
      </c>
      <c r="T62" s="140">
        <f ca="1">SUMIFS('F20-2024'!T:T,'F20-2024'!$D:$D,$D62,'F20-2024'!$E:$E,$E62,'F20-2024'!$F:$F,$F62)</f>
        <v>0</v>
      </c>
      <c r="U62" s="140">
        <f ca="1">SUMIFS('F20-2024'!U:U,'F20-2024'!$D:$D,$D62,'F20-2024'!$E:$E,$E62,'F20-2024'!$F:$F,$F62)</f>
        <v>0</v>
      </c>
      <c r="V62" s="140"/>
      <c r="W62" s="141" t="e">
        <f t="shared" ref="W62:AA62" ca="1" si="121">J62/$I62</f>
        <v>#DIV/0!</v>
      </c>
      <c r="X62" s="141" t="e">
        <f t="shared" ca="1" si="121"/>
        <v>#DIV/0!</v>
      </c>
      <c r="Y62" s="141" t="e">
        <f t="shared" ca="1" si="121"/>
        <v>#DIV/0!</v>
      </c>
      <c r="Z62" s="141" t="e">
        <f t="shared" ca="1" si="121"/>
        <v>#DIV/0!</v>
      </c>
      <c r="AA62" s="141" t="e">
        <f t="shared" ca="1" si="121"/>
        <v>#DIV/0!</v>
      </c>
      <c r="AB62" s="141"/>
      <c r="AC62" s="141" t="e">
        <f t="shared" ca="1" si="1"/>
        <v>#DIV/0!</v>
      </c>
      <c r="AD62" s="141" t="e">
        <f t="shared" ref="AD62:AI62" ca="1" si="122">O62/$I62</f>
        <v>#DIV/0!</v>
      </c>
      <c r="AE62" s="141" t="e">
        <f t="shared" ca="1" si="122"/>
        <v>#DIV/0!</v>
      </c>
      <c r="AF62" s="141" t="e">
        <f t="shared" ca="1" si="122"/>
        <v>#DIV/0!</v>
      </c>
      <c r="AG62" s="141" t="e">
        <f t="shared" ca="1" si="122"/>
        <v>#DIV/0!</v>
      </c>
      <c r="AH62" s="141" t="e">
        <f t="shared" ca="1" si="122"/>
        <v>#DIV/0!</v>
      </c>
      <c r="AI62" s="141" t="e">
        <f t="shared" ca="1" si="122"/>
        <v>#DIV/0!</v>
      </c>
      <c r="AJ62" s="140"/>
    </row>
    <row r="63" spans="1:36">
      <c r="A63" s="140" t="e">
        <f ca="1"/>
        <v>#NAME?</v>
      </c>
      <c r="B63" s="140" t="e">
        <f ca="1"/>
        <v>#NAME?</v>
      </c>
      <c r="C63" s="140" t="e">
        <f ca="1"/>
        <v>#NAME?</v>
      </c>
      <c r="D63" s="140" t="e">
        <f ca="1"/>
        <v>#NAME?</v>
      </c>
      <c r="E63" s="140" t="e">
        <f ca="1"/>
        <v>#NAME?</v>
      </c>
      <c r="F63" s="140" t="e">
        <f ca="1"/>
        <v>#NAME?</v>
      </c>
      <c r="G63" s="140" t="e">
        <f ca="1"/>
        <v>#NAME?</v>
      </c>
      <c r="H63" s="140"/>
      <c r="I63" s="140">
        <f ca="1">SUMIFS('F20-2024'!I:I,'F20-2024'!$D:$D,$D63,'F20-2024'!$E:$E,$E63,'F20-2024'!$F:$F,$F63)</f>
        <v>0</v>
      </c>
      <c r="J63" s="140">
        <f ca="1">SUMIFS('F20-2024'!J:J,'F20-2024'!$D:$D,$D63,'F20-2024'!$E:$E,$E63,'F20-2024'!$F:$F,$F63)</f>
        <v>0</v>
      </c>
      <c r="K63" s="140">
        <f ca="1">SUMIFS('F20-2024'!K:K,'F20-2024'!$D:$D,$D63,'F20-2024'!$E:$E,$E63,'F20-2024'!$F:$F,$F63)</f>
        <v>0</v>
      </c>
      <c r="L63" s="140">
        <f ca="1">SUMIFS('F20-2024'!L:L,'F20-2024'!$D:$D,$D63,'F20-2024'!$E:$E,$E63,'F20-2024'!$F:$F,$F63)</f>
        <v>0</v>
      </c>
      <c r="M63" s="140">
        <f ca="1">SUMIFS('F20-2024'!M:M,'F20-2024'!$D:$D,$D63,'F20-2024'!$E:$E,$E63,'F20-2024'!$F:$F,$F63)</f>
        <v>0</v>
      </c>
      <c r="N63" s="140">
        <f ca="1">SUMIFS('F20-2024'!N:N,'F20-2024'!$D:$D,$D63,'F20-2024'!$E:$E,$E63,'F20-2024'!$F:$F,$F63)</f>
        <v>0</v>
      </c>
      <c r="O63" s="140">
        <f ca="1">SUMIFS('F20-2024'!O:O,'F20-2024'!$D:$D,$D63,'F20-2024'!$E:$E,$E63,'F20-2024'!$F:$F,$F63)</f>
        <v>0</v>
      </c>
      <c r="P63" s="140">
        <f ca="1">SUMIFS('F20-2024'!P:P,'F20-2024'!$D:$D,$D63,'F20-2024'!$E:$E,$E63,'F20-2024'!$F:$F,$F63)</f>
        <v>0</v>
      </c>
      <c r="Q63" s="140">
        <f ca="1">SUMIFS('F20-2024'!Q:Q,'F20-2024'!$D:$D,$D63,'F20-2024'!$E:$E,$E63,'F20-2024'!$F:$F,$F63)</f>
        <v>0</v>
      </c>
      <c r="R63" s="140">
        <f ca="1">SUMIFS('F20-2024'!R:R,'F20-2024'!$D:$D,$D63,'F20-2024'!$E:$E,$E63,'F20-2024'!$F:$F,$F63)</f>
        <v>0</v>
      </c>
      <c r="S63" s="140">
        <f ca="1">SUMIFS('F20-2024'!S:S,'F20-2024'!$D:$D,$D63,'F20-2024'!$E:$E,$E63,'F20-2024'!$F:$F,$F63)</f>
        <v>0</v>
      </c>
      <c r="T63" s="140">
        <f ca="1">SUMIFS('F20-2024'!T:T,'F20-2024'!$D:$D,$D63,'F20-2024'!$E:$E,$E63,'F20-2024'!$F:$F,$F63)</f>
        <v>0</v>
      </c>
      <c r="U63" s="140">
        <f ca="1">SUMIFS('F20-2024'!U:U,'F20-2024'!$D:$D,$D63,'F20-2024'!$E:$E,$E63,'F20-2024'!$F:$F,$F63)</f>
        <v>0</v>
      </c>
      <c r="V63" s="140"/>
      <c r="W63" s="141" t="e">
        <f t="shared" ref="W63:AA63" ca="1" si="123">J63/$I63</f>
        <v>#DIV/0!</v>
      </c>
      <c r="X63" s="141" t="e">
        <f t="shared" ca="1" si="123"/>
        <v>#DIV/0!</v>
      </c>
      <c r="Y63" s="141" t="e">
        <f t="shared" ca="1" si="123"/>
        <v>#DIV/0!</v>
      </c>
      <c r="Z63" s="141" t="e">
        <f t="shared" ca="1" si="123"/>
        <v>#DIV/0!</v>
      </c>
      <c r="AA63" s="141" t="e">
        <f t="shared" ca="1" si="123"/>
        <v>#DIV/0!</v>
      </c>
      <c r="AB63" s="141"/>
      <c r="AC63" s="141" t="e">
        <f t="shared" ca="1" si="1"/>
        <v>#DIV/0!</v>
      </c>
      <c r="AD63" s="141" t="e">
        <f t="shared" ref="AD63:AI63" ca="1" si="124">O63/$I63</f>
        <v>#DIV/0!</v>
      </c>
      <c r="AE63" s="141" t="e">
        <f t="shared" ca="1" si="124"/>
        <v>#DIV/0!</v>
      </c>
      <c r="AF63" s="141" t="e">
        <f t="shared" ca="1" si="124"/>
        <v>#DIV/0!</v>
      </c>
      <c r="AG63" s="141" t="e">
        <f t="shared" ca="1" si="124"/>
        <v>#DIV/0!</v>
      </c>
      <c r="AH63" s="141" t="e">
        <f t="shared" ca="1" si="124"/>
        <v>#DIV/0!</v>
      </c>
      <c r="AI63" s="141" t="e">
        <f t="shared" ca="1" si="124"/>
        <v>#DIV/0!</v>
      </c>
      <c r="AJ63" s="140"/>
    </row>
    <row r="64" spans="1:36">
      <c r="A64" s="140" t="e">
        <f ca="1"/>
        <v>#NAME?</v>
      </c>
      <c r="B64" s="140" t="e">
        <f ca="1"/>
        <v>#NAME?</v>
      </c>
      <c r="C64" s="140" t="e">
        <f ca="1"/>
        <v>#NAME?</v>
      </c>
      <c r="D64" s="140" t="e">
        <f ca="1"/>
        <v>#NAME?</v>
      </c>
      <c r="E64" s="140" t="e">
        <f ca="1"/>
        <v>#NAME?</v>
      </c>
      <c r="F64" s="140" t="e">
        <f ca="1"/>
        <v>#NAME?</v>
      </c>
      <c r="G64" s="140" t="e">
        <f ca="1"/>
        <v>#NAME?</v>
      </c>
      <c r="H64" s="140"/>
      <c r="I64" s="140">
        <f ca="1">SUMIFS('F20-2024'!I:I,'F20-2024'!$D:$D,$D64,'F20-2024'!$E:$E,$E64,'F20-2024'!$F:$F,$F64)</f>
        <v>0</v>
      </c>
      <c r="J64" s="140">
        <f ca="1">SUMIFS('F20-2024'!J:J,'F20-2024'!$D:$D,$D64,'F20-2024'!$E:$E,$E64,'F20-2024'!$F:$F,$F64)</f>
        <v>0</v>
      </c>
      <c r="K64" s="140">
        <f ca="1">SUMIFS('F20-2024'!K:K,'F20-2024'!$D:$D,$D64,'F20-2024'!$E:$E,$E64,'F20-2024'!$F:$F,$F64)</f>
        <v>0</v>
      </c>
      <c r="L64" s="140">
        <f ca="1">SUMIFS('F20-2024'!L:L,'F20-2024'!$D:$D,$D64,'F20-2024'!$E:$E,$E64,'F20-2024'!$F:$F,$F64)</f>
        <v>0</v>
      </c>
      <c r="M64" s="140">
        <f ca="1">SUMIFS('F20-2024'!M:M,'F20-2024'!$D:$D,$D64,'F20-2024'!$E:$E,$E64,'F20-2024'!$F:$F,$F64)</f>
        <v>0</v>
      </c>
      <c r="N64" s="140">
        <f ca="1">SUMIFS('F20-2024'!N:N,'F20-2024'!$D:$D,$D64,'F20-2024'!$E:$E,$E64,'F20-2024'!$F:$F,$F64)</f>
        <v>0</v>
      </c>
      <c r="O64" s="140">
        <f ca="1">SUMIFS('F20-2024'!O:O,'F20-2024'!$D:$D,$D64,'F20-2024'!$E:$E,$E64,'F20-2024'!$F:$F,$F64)</f>
        <v>0</v>
      </c>
      <c r="P64" s="140">
        <f ca="1">SUMIFS('F20-2024'!P:P,'F20-2024'!$D:$D,$D64,'F20-2024'!$E:$E,$E64,'F20-2024'!$F:$F,$F64)</f>
        <v>0</v>
      </c>
      <c r="Q64" s="140">
        <f ca="1">SUMIFS('F20-2024'!Q:Q,'F20-2024'!$D:$D,$D64,'F20-2024'!$E:$E,$E64,'F20-2024'!$F:$F,$F64)</f>
        <v>0</v>
      </c>
      <c r="R64" s="140">
        <f ca="1">SUMIFS('F20-2024'!R:R,'F20-2024'!$D:$D,$D64,'F20-2024'!$E:$E,$E64,'F20-2024'!$F:$F,$F64)</f>
        <v>0</v>
      </c>
      <c r="S64" s="140">
        <f ca="1">SUMIFS('F20-2024'!S:S,'F20-2024'!$D:$D,$D64,'F20-2024'!$E:$E,$E64,'F20-2024'!$F:$F,$F64)</f>
        <v>0</v>
      </c>
      <c r="T64" s="140">
        <f ca="1">SUMIFS('F20-2024'!T:T,'F20-2024'!$D:$D,$D64,'F20-2024'!$E:$E,$E64,'F20-2024'!$F:$F,$F64)</f>
        <v>0</v>
      </c>
      <c r="U64" s="140">
        <f ca="1">SUMIFS('F20-2024'!U:U,'F20-2024'!$D:$D,$D64,'F20-2024'!$E:$E,$E64,'F20-2024'!$F:$F,$F64)</f>
        <v>0</v>
      </c>
      <c r="V64" s="140"/>
      <c r="W64" s="141" t="e">
        <f t="shared" ref="W64:AA64" ca="1" si="125">J64/$I64</f>
        <v>#DIV/0!</v>
      </c>
      <c r="X64" s="141" t="e">
        <f t="shared" ca="1" si="125"/>
        <v>#DIV/0!</v>
      </c>
      <c r="Y64" s="141" t="e">
        <f t="shared" ca="1" si="125"/>
        <v>#DIV/0!</v>
      </c>
      <c r="Z64" s="141" t="e">
        <f t="shared" ca="1" si="125"/>
        <v>#DIV/0!</v>
      </c>
      <c r="AA64" s="141" t="e">
        <f t="shared" ca="1" si="125"/>
        <v>#DIV/0!</v>
      </c>
      <c r="AB64" s="141"/>
      <c r="AC64" s="141" t="e">
        <f t="shared" ca="1" si="1"/>
        <v>#DIV/0!</v>
      </c>
      <c r="AD64" s="141" t="e">
        <f t="shared" ref="AD64:AI64" ca="1" si="126">O64/$I64</f>
        <v>#DIV/0!</v>
      </c>
      <c r="AE64" s="141" t="e">
        <f t="shared" ca="1" si="126"/>
        <v>#DIV/0!</v>
      </c>
      <c r="AF64" s="141" t="e">
        <f t="shared" ca="1" si="126"/>
        <v>#DIV/0!</v>
      </c>
      <c r="AG64" s="141" t="e">
        <f t="shared" ca="1" si="126"/>
        <v>#DIV/0!</v>
      </c>
      <c r="AH64" s="141" t="e">
        <f t="shared" ca="1" si="126"/>
        <v>#DIV/0!</v>
      </c>
      <c r="AI64" s="141" t="e">
        <f t="shared" ca="1" si="126"/>
        <v>#DIV/0!</v>
      </c>
      <c r="AJ64" s="140"/>
    </row>
    <row r="65" spans="1:36">
      <c r="A65" s="140" t="e">
        <f ca="1"/>
        <v>#NAME?</v>
      </c>
      <c r="B65" s="140" t="e">
        <f ca="1"/>
        <v>#NAME?</v>
      </c>
      <c r="C65" s="140" t="e">
        <f ca="1"/>
        <v>#NAME?</v>
      </c>
      <c r="D65" s="140" t="e">
        <f ca="1"/>
        <v>#NAME?</v>
      </c>
      <c r="E65" s="140" t="e">
        <f ca="1"/>
        <v>#NAME?</v>
      </c>
      <c r="F65" s="140" t="e">
        <f ca="1"/>
        <v>#NAME?</v>
      </c>
      <c r="G65" s="140" t="e">
        <f ca="1"/>
        <v>#NAME?</v>
      </c>
      <c r="H65" s="140"/>
      <c r="I65" s="140">
        <f ca="1">SUMIFS('F20-2024'!I:I,'F20-2024'!$D:$D,$D65,'F20-2024'!$E:$E,$E65,'F20-2024'!$F:$F,$F65)</f>
        <v>0</v>
      </c>
      <c r="J65" s="140">
        <f ca="1">SUMIFS('F20-2024'!J:J,'F20-2024'!$D:$D,$D65,'F20-2024'!$E:$E,$E65,'F20-2024'!$F:$F,$F65)</f>
        <v>0</v>
      </c>
      <c r="K65" s="140">
        <f ca="1">SUMIFS('F20-2024'!K:K,'F20-2024'!$D:$D,$D65,'F20-2024'!$E:$E,$E65,'F20-2024'!$F:$F,$F65)</f>
        <v>0</v>
      </c>
      <c r="L65" s="140">
        <f ca="1">SUMIFS('F20-2024'!L:L,'F20-2024'!$D:$D,$D65,'F20-2024'!$E:$E,$E65,'F20-2024'!$F:$F,$F65)</f>
        <v>0</v>
      </c>
      <c r="M65" s="140">
        <f ca="1">SUMIFS('F20-2024'!M:M,'F20-2024'!$D:$D,$D65,'F20-2024'!$E:$E,$E65,'F20-2024'!$F:$F,$F65)</f>
        <v>0</v>
      </c>
      <c r="N65" s="140">
        <f ca="1">SUMIFS('F20-2024'!N:N,'F20-2024'!$D:$D,$D65,'F20-2024'!$E:$E,$E65,'F20-2024'!$F:$F,$F65)</f>
        <v>0</v>
      </c>
      <c r="O65" s="140">
        <f ca="1">SUMIFS('F20-2024'!O:O,'F20-2024'!$D:$D,$D65,'F20-2024'!$E:$E,$E65,'F20-2024'!$F:$F,$F65)</f>
        <v>0</v>
      </c>
      <c r="P65" s="140">
        <f ca="1">SUMIFS('F20-2024'!P:P,'F20-2024'!$D:$D,$D65,'F20-2024'!$E:$E,$E65,'F20-2024'!$F:$F,$F65)</f>
        <v>0</v>
      </c>
      <c r="Q65" s="140">
        <f ca="1">SUMIFS('F20-2024'!Q:Q,'F20-2024'!$D:$D,$D65,'F20-2024'!$E:$E,$E65,'F20-2024'!$F:$F,$F65)</f>
        <v>0</v>
      </c>
      <c r="R65" s="140">
        <f ca="1">SUMIFS('F20-2024'!R:R,'F20-2024'!$D:$D,$D65,'F20-2024'!$E:$E,$E65,'F20-2024'!$F:$F,$F65)</f>
        <v>0</v>
      </c>
      <c r="S65" s="140">
        <f ca="1">SUMIFS('F20-2024'!S:S,'F20-2024'!$D:$D,$D65,'F20-2024'!$E:$E,$E65,'F20-2024'!$F:$F,$F65)</f>
        <v>0</v>
      </c>
      <c r="T65" s="140">
        <f ca="1">SUMIFS('F20-2024'!T:T,'F20-2024'!$D:$D,$D65,'F20-2024'!$E:$E,$E65,'F20-2024'!$F:$F,$F65)</f>
        <v>0</v>
      </c>
      <c r="U65" s="140">
        <f ca="1">SUMIFS('F20-2024'!U:U,'F20-2024'!$D:$D,$D65,'F20-2024'!$E:$E,$E65,'F20-2024'!$F:$F,$F65)</f>
        <v>0</v>
      </c>
      <c r="V65" s="140"/>
      <c r="W65" s="141" t="e">
        <f t="shared" ref="W65:AA65" ca="1" si="127">J65/$I65</f>
        <v>#DIV/0!</v>
      </c>
      <c r="X65" s="141" t="e">
        <f t="shared" ca="1" si="127"/>
        <v>#DIV/0!</v>
      </c>
      <c r="Y65" s="141" t="e">
        <f t="shared" ca="1" si="127"/>
        <v>#DIV/0!</v>
      </c>
      <c r="Z65" s="141" t="e">
        <f t="shared" ca="1" si="127"/>
        <v>#DIV/0!</v>
      </c>
      <c r="AA65" s="141" t="e">
        <f t="shared" ca="1" si="127"/>
        <v>#DIV/0!</v>
      </c>
      <c r="AB65" s="141"/>
      <c r="AC65" s="141" t="e">
        <f t="shared" ca="1" si="1"/>
        <v>#DIV/0!</v>
      </c>
      <c r="AD65" s="141" t="e">
        <f t="shared" ref="AD65:AI65" ca="1" si="128">O65/$I65</f>
        <v>#DIV/0!</v>
      </c>
      <c r="AE65" s="141" t="e">
        <f t="shared" ca="1" si="128"/>
        <v>#DIV/0!</v>
      </c>
      <c r="AF65" s="141" t="e">
        <f t="shared" ca="1" si="128"/>
        <v>#DIV/0!</v>
      </c>
      <c r="AG65" s="141" t="e">
        <f t="shared" ca="1" si="128"/>
        <v>#DIV/0!</v>
      </c>
      <c r="AH65" s="141" t="e">
        <f t="shared" ca="1" si="128"/>
        <v>#DIV/0!</v>
      </c>
      <c r="AI65" s="141" t="e">
        <f t="shared" ca="1" si="128"/>
        <v>#DIV/0!</v>
      </c>
      <c r="AJ65" s="140"/>
    </row>
    <row r="66" spans="1:36">
      <c r="A66" s="140" t="e">
        <f ca="1"/>
        <v>#NAME?</v>
      </c>
      <c r="B66" s="140" t="e">
        <f ca="1"/>
        <v>#NAME?</v>
      </c>
      <c r="C66" s="140" t="e">
        <f ca="1"/>
        <v>#NAME?</v>
      </c>
      <c r="D66" s="140" t="e">
        <f ca="1"/>
        <v>#NAME?</v>
      </c>
      <c r="E66" s="140" t="e">
        <f ca="1"/>
        <v>#NAME?</v>
      </c>
      <c r="F66" s="140" t="e">
        <f ca="1"/>
        <v>#NAME?</v>
      </c>
      <c r="G66" s="140" t="e">
        <f ca="1"/>
        <v>#NAME?</v>
      </c>
      <c r="H66" s="140"/>
      <c r="I66" s="140">
        <f ca="1">SUMIFS('F20-2024'!I:I,'F20-2024'!$D:$D,$D66,'F20-2024'!$E:$E,$E66,'F20-2024'!$F:$F,$F66)</f>
        <v>0</v>
      </c>
      <c r="J66" s="140">
        <f ca="1">SUMIFS('F20-2024'!J:J,'F20-2024'!$D:$D,$D66,'F20-2024'!$E:$E,$E66,'F20-2024'!$F:$F,$F66)</f>
        <v>0</v>
      </c>
      <c r="K66" s="140">
        <f ca="1">SUMIFS('F20-2024'!K:K,'F20-2024'!$D:$D,$D66,'F20-2024'!$E:$E,$E66,'F20-2024'!$F:$F,$F66)</f>
        <v>0</v>
      </c>
      <c r="L66" s="140">
        <f ca="1">SUMIFS('F20-2024'!L:L,'F20-2024'!$D:$D,$D66,'F20-2024'!$E:$E,$E66,'F20-2024'!$F:$F,$F66)</f>
        <v>0</v>
      </c>
      <c r="M66" s="140">
        <f ca="1">SUMIFS('F20-2024'!M:M,'F20-2024'!$D:$D,$D66,'F20-2024'!$E:$E,$E66,'F20-2024'!$F:$F,$F66)</f>
        <v>0</v>
      </c>
      <c r="N66" s="140">
        <f ca="1">SUMIFS('F20-2024'!N:N,'F20-2024'!$D:$D,$D66,'F20-2024'!$E:$E,$E66,'F20-2024'!$F:$F,$F66)</f>
        <v>0</v>
      </c>
      <c r="O66" s="140">
        <f ca="1">SUMIFS('F20-2024'!O:O,'F20-2024'!$D:$D,$D66,'F20-2024'!$E:$E,$E66,'F20-2024'!$F:$F,$F66)</f>
        <v>0</v>
      </c>
      <c r="P66" s="140">
        <f ca="1">SUMIFS('F20-2024'!P:P,'F20-2024'!$D:$D,$D66,'F20-2024'!$E:$E,$E66,'F20-2024'!$F:$F,$F66)</f>
        <v>0</v>
      </c>
      <c r="Q66" s="140">
        <f ca="1">SUMIFS('F20-2024'!Q:Q,'F20-2024'!$D:$D,$D66,'F20-2024'!$E:$E,$E66,'F20-2024'!$F:$F,$F66)</f>
        <v>0</v>
      </c>
      <c r="R66" s="140">
        <f ca="1">SUMIFS('F20-2024'!R:R,'F20-2024'!$D:$D,$D66,'F20-2024'!$E:$E,$E66,'F20-2024'!$F:$F,$F66)</f>
        <v>0</v>
      </c>
      <c r="S66" s="140">
        <f ca="1">SUMIFS('F20-2024'!S:S,'F20-2024'!$D:$D,$D66,'F20-2024'!$E:$E,$E66,'F20-2024'!$F:$F,$F66)</f>
        <v>0</v>
      </c>
      <c r="T66" s="140">
        <f ca="1">SUMIFS('F20-2024'!T:T,'F20-2024'!$D:$D,$D66,'F20-2024'!$E:$E,$E66,'F20-2024'!$F:$F,$F66)</f>
        <v>0</v>
      </c>
      <c r="U66" s="140">
        <f ca="1">SUMIFS('F20-2024'!U:U,'F20-2024'!$D:$D,$D66,'F20-2024'!$E:$E,$E66,'F20-2024'!$F:$F,$F66)</f>
        <v>0</v>
      </c>
      <c r="V66" s="140"/>
      <c r="W66" s="141" t="e">
        <f t="shared" ref="W66:AA66" ca="1" si="129">J66/$I66</f>
        <v>#DIV/0!</v>
      </c>
      <c r="X66" s="141" t="e">
        <f t="shared" ca="1" si="129"/>
        <v>#DIV/0!</v>
      </c>
      <c r="Y66" s="141" t="e">
        <f t="shared" ca="1" si="129"/>
        <v>#DIV/0!</v>
      </c>
      <c r="Z66" s="141" t="e">
        <f t="shared" ca="1" si="129"/>
        <v>#DIV/0!</v>
      </c>
      <c r="AA66" s="141" t="e">
        <f t="shared" ca="1" si="129"/>
        <v>#DIV/0!</v>
      </c>
      <c r="AB66" s="141"/>
      <c r="AC66" s="141" t="e">
        <f t="shared" ca="1" si="1"/>
        <v>#DIV/0!</v>
      </c>
      <c r="AD66" s="141" t="e">
        <f t="shared" ref="AD66:AI66" ca="1" si="130">O66/$I66</f>
        <v>#DIV/0!</v>
      </c>
      <c r="AE66" s="141" t="e">
        <f t="shared" ca="1" si="130"/>
        <v>#DIV/0!</v>
      </c>
      <c r="AF66" s="141" t="e">
        <f t="shared" ca="1" si="130"/>
        <v>#DIV/0!</v>
      </c>
      <c r="AG66" s="141" t="e">
        <f t="shared" ca="1" si="130"/>
        <v>#DIV/0!</v>
      </c>
      <c r="AH66" s="141" t="e">
        <f t="shared" ca="1" si="130"/>
        <v>#DIV/0!</v>
      </c>
      <c r="AI66" s="141" t="e">
        <f t="shared" ca="1" si="130"/>
        <v>#DIV/0!</v>
      </c>
      <c r="AJ66" s="140"/>
    </row>
    <row r="67" spans="1:36">
      <c r="A67" s="140" t="e">
        <f ca="1"/>
        <v>#NAME?</v>
      </c>
      <c r="B67" s="140" t="e">
        <f ca="1"/>
        <v>#NAME?</v>
      </c>
      <c r="C67" s="140" t="e">
        <f ca="1"/>
        <v>#NAME?</v>
      </c>
      <c r="D67" s="140" t="e">
        <f ca="1"/>
        <v>#NAME?</v>
      </c>
      <c r="E67" s="140" t="e">
        <f ca="1"/>
        <v>#NAME?</v>
      </c>
      <c r="F67" s="140" t="e">
        <f ca="1"/>
        <v>#NAME?</v>
      </c>
      <c r="G67" s="140" t="e">
        <f ca="1"/>
        <v>#NAME?</v>
      </c>
      <c r="H67" s="140"/>
      <c r="I67" s="140">
        <f ca="1">SUMIFS('F20-2024'!I:I,'F20-2024'!$D:$D,$D67,'F20-2024'!$E:$E,$E67,'F20-2024'!$F:$F,$F67)</f>
        <v>0</v>
      </c>
      <c r="J67" s="140">
        <f ca="1">SUMIFS('F20-2024'!J:J,'F20-2024'!$D:$D,$D67,'F20-2024'!$E:$E,$E67,'F20-2024'!$F:$F,$F67)</f>
        <v>0</v>
      </c>
      <c r="K67" s="140">
        <f ca="1">SUMIFS('F20-2024'!K:K,'F20-2024'!$D:$D,$D67,'F20-2024'!$E:$E,$E67,'F20-2024'!$F:$F,$F67)</f>
        <v>0</v>
      </c>
      <c r="L67" s="140">
        <f ca="1">SUMIFS('F20-2024'!L:L,'F20-2024'!$D:$D,$D67,'F20-2024'!$E:$E,$E67,'F20-2024'!$F:$F,$F67)</f>
        <v>0</v>
      </c>
      <c r="M67" s="140">
        <f ca="1">SUMIFS('F20-2024'!M:M,'F20-2024'!$D:$D,$D67,'F20-2024'!$E:$E,$E67,'F20-2024'!$F:$F,$F67)</f>
        <v>0</v>
      </c>
      <c r="N67" s="140">
        <f ca="1">SUMIFS('F20-2024'!N:N,'F20-2024'!$D:$D,$D67,'F20-2024'!$E:$E,$E67,'F20-2024'!$F:$F,$F67)</f>
        <v>0</v>
      </c>
      <c r="O67" s="140">
        <f ca="1">SUMIFS('F20-2024'!O:O,'F20-2024'!$D:$D,$D67,'F20-2024'!$E:$E,$E67,'F20-2024'!$F:$F,$F67)</f>
        <v>0</v>
      </c>
      <c r="P67" s="140">
        <f ca="1">SUMIFS('F20-2024'!P:P,'F20-2024'!$D:$D,$D67,'F20-2024'!$E:$E,$E67,'F20-2024'!$F:$F,$F67)</f>
        <v>0</v>
      </c>
      <c r="Q67" s="140">
        <f ca="1">SUMIFS('F20-2024'!Q:Q,'F20-2024'!$D:$D,$D67,'F20-2024'!$E:$E,$E67,'F20-2024'!$F:$F,$F67)</f>
        <v>0</v>
      </c>
      <c r="R67" s="140">
        <f ca="1">SUMIFS('F20-2024'!R:R,'F20-2024'!$D:$D,$D67,'F20-2024'!$E:$E,$E67,'F20-2024'!$F:$F,$F67)</f>
        <v>0</v>
      </c>
      <c r="S67" s="140">
        <f ca="1">SUMIFS('F20-2024'!S:S,'F20-2024'!$D:$D,$D67,'F20-2024'!$E:$E,$E67,'F20-2024'!$F:$F,$F67)</f>
        <v>0</v>
      </c>
      <c r="T67" s="140">
        <f ca="1">SUMIFS('F20-2024'!T:T,'F20-2024'!$D:$D,$D67,'F20-2024'!$E:$E,$E67,'F20-2024'!$F:$F,$F67)</f>
        <v>0</v>
      </c>
      <c r="U67" s="140">
        <f ca="1">SUMIFS('F20-2024'!U:U,'F20-2024'!$D:$D,$D67,'F20-2024'!$E:$E,$E67,'F20-2024'!$F:$F,$F67)</f>
        <v>0</v>
      </c>
      <c r="V67" s="140"/>
      <c r="W67" s="141" t="e">
        <f t="shared" ref="W67:AA67" ca="1" si="131">J67/$I67</f>
        <v>#DIV/0!</v>
      </c>
      <c r="X67" s="141" t="e">
        <f t="shared" ca="1" si="131"/>
        <v>#DIV/0!</v>
      </c>
      <c r="Y67" s="141" t="e">
        <f t="shared" ca="1" si="131"/>
        <v>#DIV/0!</v>
      </c>
      <c r="Z67" s="141" t="e">
        <f t="shared" ca="1" si="131"/>
        <v>#DIV/0!</v>
      </c>
      <c r="AA67" s="141" t="e">
        <f t="shared" ca="1" si="131"/>
        <v>#DIV/0!</v>
      </c>
      <c r="AB67" s="141"/>
      <c r="AC67" s="141" t="e">
        <f t="shared" ca="1" si="1"/>
        <v>#DIV/0!</v>
      </c>
      <c r="AD67" s="141" t="e">
        <f t="shared" ref="AD67:AI67" ca="1" si="132">O67/$I67</f>
        <v>#DIV/0!</v>
      </c>
      <c r="AE67" s="141" t="e">
        <f t="shared" ca="1" si="132"/>
        <v>#DIV/0!</v>
      </c>
      <c r="AF67" s="141" t="e">
        <f t="shared" ca="1" si="132"/>
        <v>#DIV/0!</v>
      </c>
      <c r="AG67" s="141" t="e">
        <f t="shared" ca="1" si="132"/>
        <v>#DIV/0!</v>
      </c>
      <c r="AH67" s="141" t="e">
        <f t="shared" ca="1" si="132"/>
        <v>#DIV/0!</v>
      </c>
      <c r="AI67" s="141" t="e">
        <f t="shared" ca="1" si="132"/>
        <v>#DIV/0!</v>
      </c>
      <c r="AJ67" s="140"/>
    </row>
    <row r="68" spans="1:36">
      <c r="A68" s="140" t="e">
        <f ca="1"/>
        <v>#NAME?</v>
      </c>
      <c r="B68" s="140" t="e">
        <f ca="1"/>
        <v>#NAME?</v>
      </c>
      <c r="C68" s="140" t="e">
        <f ca="1"/>
        <v>#NAME?</v>
      </c>
      <c r="D68" s="140" t="e">
        <f ca="1"/>
        <v>#NAME?</v>
      </c>
      <c r="E68" s="140" t="e">
        <f ca="1"/>
        <v>#NAME?</v>
      </c>
      <c r="F68" s="140" t="e">
        <f ca="1"/>
        <v>#NAME?</v>
      </c>
      <c r="G68" s="140" t="e">
        <f ca="1"/>
        <v>#NAME?</v>
      </c>
      <c r="H68" s="140"/>
      <c r="I68" s="140">
        <f ca="1">SUMIFS('F20-2024'!I:I,'F20-2024'!$D:$D,$D68,'F20-2024'!$E:$E,$E68,'F20-2024'!$F:$F,$F68)</f>
        <v>0</v>
      </c>
      <c r="J68" s="140">
        <f ca="1">SUMIFS('F20-2024'!J:J,'F20-2024'!$D:$D,$D68,'F20-2024'!$E:$E,$E68,'F20-2024'!$F:$F,$F68)</f>
        <v>0</v>
      </c>
      <c r="K68" s="140">
        <f ca="1">SUMIFS('F20-2024'!K:K,'F20-2024'!$D:$D,$D68,'F20-2024'!$E:$E,$E68,'F20-2024'!$F:$F,$F68)</f>
        <v>0</v>
      </c>
      <c r="L68" s="140">
        <f ca="1">SUMIFS('F20-2024'!L:L,'F20-2024'!$D:$D,$D68,'F20-2024'!$E:$E,$E68,'F20-2024'!$F:$F,$F68)</f>
        <v>0</v>
      </c>
      <c r="M68" s="140">
        <f ca="1">SUMIFS('F20-2024'!M:M,'F20-2024'!$D:$D,$D68,'F20-2024'!$E:$E,$E68,'F20-2024'!$F:$F,$F68)</f>
        <v>0</v>
      </c>
      <c r="N68" s="140">
        <f ca="1">SUMIFS('F20-2024'!N:N,'F20-2024'!$D:$D,$D68,'F20-2024'!$E:$E,$E68,'F20-2024'!$F:$F,$F68)</f>
        <v>0</v>
      </c>
      <c r="O68" s="140">
        <f ca="1">SUMIFS('F20-2024'!O:O,'F20-2024'!$D:$D,$D68,'F20-2024'!$E:$E,$E68,'F20-2024'!$F:$F,$F68)</f>
        <v>0</v>
      </c>
      <c r="P68" s="140">
        <f ca="1">SUMIFS('F20-2024'!P:P,'F20-2024'!$D:$D,$D68,'F20-2024'!$E:$E,$E68,'F20-2024'!$F:$F,$F68)</f>
        <v>0</v>
      </c>
      <c r="Q68" s="140">
        <f ca="1">SUMIFS('F20-2024'!Q:Q,'F20-2024'!$D:$D,$D68,'F20-2024'!$E:$E,$E68,'F20-2024'!$F:$F,$F68)</f>
        <v>0</v>
      </c>
      <c r="R68" s="140">
        <f ca="1">SUMIFS('F20-2024'!R:R,'F20-2024'!$D:$D,$D68,'F20-2024'!$E:$E,$E68,'F20-2024'!$F:$F,$F68)</f>
        <v>0</v>
      </c>
      <c r="S68" s="140">
        <f ca="1">SUMIFS('F20-2024'!S:S,'F20-2024'!$D:$D,$D68,'F20-2024'!$E:$E,$E68,'F20-2024'!$F:$F,$F68)</f>
        <v>0</v>
      </c>
      <c r="T68" s="140">
        <f ca="1">SUMIFS('F20-2024'!T:T,'F20-2024'!$D:$D,$D68,'F20-2024'!$E:$E,$E68,'F20-2024'!$F:$F,$F68)</f>
        <v>0</v>
      </c>
      <c r="U68" s="140">
        <f ca="1">SUMIFS('F20-2024'!U:U,'F20-2024'!$D:$D,$D68,'F20-2024'!$E:$E,$E68,'F20-2024'!$F:$F,$F68)</f>
        <v>0</v>
      </c>
      <c r="V68" s="140"/>
      <c r="W68" s="141" t="e">
        <f t="shared" ref="W68:AA68" ca="1" si="133">J68/$I68</f>
        <v>#DIV/0!</v>
      </c>
      <c r="X68" s="141" t="e">
        <f t="shared" ca="1" si="133"/>
        <v>#DIV/0!</v>
      </c>
      <c r="Y68" s="141" t="e">
        <f t="shared" ca="1" si="133"/>
        <v>#DIV/0!</v>
      </c>
      <c r="Z68" s="141" t="e">
        <f t="shared" ca="1" si="133"/>
        <v>#DIV/0!</v>
      </c>
      <c r="AA68" s="141" t="e">
        <f t="shared" ca="1" si="133"/>
        <v>#DIV/0!</v>
      </c>
      <c r="AB68" s="141"/>
      <c r="AC68" s="141" t="e">
        <f t="shared" ca="1" si="1"/>
        <v>#DIV/0!</v>
      </c>
      <c r="AD68" s="141" t="e">
        <f t="shared" ref="AD68:AI68" ca="1" si="134">O68/$I68</f>
        <v>#DIV/0!</v>
      </c>
      <c r="AE68" s="141" t="e">
        <f t="shared" ca="1" si="134"/>
        <v>#DIV/0!</v>
      </c>
      <c r="AF68" s="141" t="e">
        <f t="shared" ca="1" si="134"/>
        <v>#DIV/0!</v>
      </c>
      <c r="AG68" s="141" t="e">
        <f t="shared" ca="1" si="134"/>
        <v>#DIV/0!</v>
      </c>
      <c r="AH68" s="141" t="e">
        <f t="shared" ca="1" si="134"/>
        <v>#DIV/0!</v>
      </c>
      <c r="AI68" s="141" t="e">
        <f t="shared" ca="1" si="134"/>
        <v>#DIV/0!</v>
      </c>
      <c r="AJ68" s="140"/>
    </row>
    <row r="69" spans="1:36">
      <c r="A69" s="140" t="e">
        <f ca="1"/>
        <v>#NAME?</v>
      </c>
      <c r="B69" s="140" t="e">
        <f ca="1"/>
        <v>#NAME?</v>
      </c>
      <c r="C69" s="140" t="e">
        <f ca="1"/>
        <v>#NAME?</v>
      </c>
      <c r="D69" s="140" t="e">
        <f ca="1"/>
        <v>#NAME?</v>
      </c>
      <c r="E69" s="140" t="e">
        <f ca="1"/>
        <v>#NAME?</v>
      </c>
      <c r="F69" s="140" t="e">
        <f ca="1"/>
        <v>#NAME?</v>
      </c>
      <c r="G69" s="140" t="e">
        <f ca="1"/>
        <v>#NAME?</v>
      </c>
      <c r="H69" s="140"/>
      <c r="I69" s="140">
        <f ca="1">SUMIFS('F20-2024'!I:I,'F20-2024'!$D:$D,$D69,'F20-2024'!$E:$E,$E69,'F20-2024'!$F:$F,$F69)</f>
        <v>0</v>
      </c>
      <c r="J69" s="140">
        <f ca="1">SUMIFS('F20-2024'!J:J,'F20-2024'!$D:$D,$D69,'F20-2024'!$E:$E,$E69,'F20-2024'!$F:$F,$F69)</f>
        <v>0</v>
      </c>
      <c r="K69" s="140">
        <f ca="1">SUMIFS('F20-2024'!K:K,'F20-2024'!$D:$D,$D69,'F20-2024'!$E:$E,$E69,'F20-2024'!$F:$F,$F69)</f>
        <v>0</v>
      </c>
      <c r="L69" s="140">
        <f ca="1">SUMIFS('F20-2024'!L:L,'F20-2024'!$D:$D,$D69,'F20-2024'!$E:$E,$E69,'F20-2024'!$F:$F,$F69)</f>
        <v>0</v>
      </c>
      <c r="M69" s="140">
        <f ca="1">SUMIFS('F20-2024'!M:M,'F20-2024'!$D:$D,$D69,'F20-2024'!$E:$E,$E69,'F20-2024'!$F:$F,$F69)</f>
        <v>0</v>
      </c>
      <c r="N69" s="140">
        <f ca="1">SUMIFS('F20-2024'!N:N,'F20-2024'!$D:$D,$D69,'F20-2024'!$E:$E,$E69,'F20-2024'!$F:$F,$F69)</f>
        <v>0</v>
      </c>
      <c r="O69" s="140">
        <f ca="1">SUMIFS('F20-2024'!O:O,'F20-2024'!$D:$D,$D69,'F20-2024'!$E:$E,$E69,'F20-2024'!$F:$F,$F69)</f>
        <v>0</v>
      </c>
      <c r="P69" s="140">
        <f ca="1">SUMIFS('F20-2024'!P:P,'F20-2024'!$D:$D,$D69,'F20-2024'!$E:$E,$E69,'F20-2024'!$F:$F,$F69)</f>
        <v>0</v>
      </c>
      <c r="Q69" s="140">
        <f ca="1">SUMIFS('F20-2024'!Q:Q,'F20-2024'!$D:$D,$D69,'F20-2024'!$E:$E,$E69,'F20-2024'!$F:$F,$F69)</f>
        <v>0</v>
      </c>
      <c r="R69" s="140">
        <f ca="1">SUMIFS('F20-2024'!R:R,'F20-2024'!$D:$D,$D69,'F20-2024'!$E:$E,$E69,'F20-2024'!$F:$F,$F69)</f>
        <v>0</v>
      </c>
      <c r="S69" s="140">
        <f ca="1">SUMIFS('F20-2024'!S:S,'F20-2024'!$D:$D,$D69,'F20-2024'!$E:$E,$E69,'F20-2024'!$F:$F,$F69)</f>
        <v>0</v>
      </c>
      <c r="T69" s="140">
        <f ca="1">SUMIFS('F20-2024'!T:T,'F20-2024'!$D:$D,$D69,'F20-2024'!$E:$E,$E69,'F20-2024'!$F:$F,$F69)</f>
        <v>0</v>
      </c>
      <c r="U69" s="140">
        <f ca="1">SUMIFS('F20-2024'!U:U,'F20-2024'!$D:$D,$D69,'F20-2024'!$E:$E,$E69,'F20-2024'!$F:$F,$F69)</f>
        <v>0</v>
      </c>
      <c r="V69" s="140"/>
      <c r="W69" s="141" t="e">
        <f t="shared" ref="W69:AA69" ca="1" si="135">J69/$I69</f>
        <v>#DIV/0!</v>
      </c>
      <c r="X69" s="141" t="e">
        <f t="shared" ca="1" si="135"/>
        <v>#DIV/0!</v>
      </c>
      <c r="Y69" s="141" t="e">
        <f t="shared" ca="1" si="135"/>
        <v>#DIV/0!</v>
      </c>
      <c r="Z69" s="141" t="e">
        <f t="shared" ca="1" si="135"/>
        <v>#DIV/0!</v>
      </c>
      <c r="AA69" s="141" t="e">
        <f t="shared" ca="1" si="135"/>
        <v>#DIV/0!</v>
      </c>
      <c r="AB69" s="141"/>
      <c r="AC69" s="141" t="e">
        <f t="shared" ca="1" si="1"/>
        <v>#DIV/0!</v>
      </c>
      <c r="AD69" s="141" t="e">
        <f t="shared" ref="AD69:AI69" ca="1" si="136">O69/$I69</f>
        <v>#DIV/0!</v>
      </c>
      <c r="AE69" s="141" t="e">
        <f t="shared" ca="1" si="136"/>
        <v>#DIV/0!</v>
      </c>
      <c r="AF69" s="141" t="e">
        <f t="shared" ca="1" si="136"/>
        <v>#DIV/0!</v>
      </c>
      <c r="AG69" s="141" t="e">
        <f t="shared" ca="1" si="136"/>
        <v>#DIV/0!</v>
      </c>
      <c r="AH69" s="141" t="e">
        <f t="shared" ca="1" si="136"/>
        <v>#DIV/0!</v>
      </c>
      <c r="AI69" s="141" t="e">
        <f t="shared" ca="1" si="136"/>
        <v>#DIV/0!</v>
      </c>
      <c r="AJ69" s="140"/>
    </row>
    <row r="70" spans="1:36">
      <c r="A70" s="140" t="e">
        <f ca="1"/>
        <v>#NAME?</v>
      </c>
      <c r="B70" s="140" t="e">
        <f ca="1"/>
        <v>#NAME?</v>
      </c>
      <c r="C70" s="140" t="e">
        <f ca="1"/>
        <v>#NAME?</v>
      </c>
      <c r="D70" s="140" t="e">
        <f ca="1"/>
        <v>#NAME?</v>
      </c>
      <c r="E70" s="140" t="e">
        <f ca="1"/>
        <v>#NAME?</v>
      </c>
      <c r="F70" s="140" t="e">
        <f ca="1"/>
        <v>#NAME?</v>
      </c>
      <c r="G70" s="140" t="e">
        <f ca="1"/>
        <v>#NAME?</v>
      </c>
      <c r="H70" s="140"/>
      <c r="I70" s="140">
        <f ca="1">SUMIFS('F20-2024'!I:I,'F20-2024'!$D:$D,$D70,'F20-2024'!$E:$E,$E70,'F20-2024'!$F:$F,$F70)</f>
        <v>0</v>
      </c>
      <c r="J70" s="140">
        <f ca="1">SUMIFS('F20-2024'!J:J,'F20-2024'!$D:$D,$D70,'F20-2024'!$E:$E,$E70,'F20-2024'!$F:$F,$F70)</f>
        <v>0</v>
      </c>
      <c r="K70" s="140">
        <f ca="1">SUMIFS('F20-2024'!K:K,'F20-2024'!$D:$D,$D70,'F20-2024'!$E:$E,$E70,'F20-2024'!$F:$F,$F70)</f>
        <v>0</v>
      </c>
      <c r="L70" s="140">
        <f ca="1">SUMIFS('F20-2024'!L:L,'F20-2024'!$D:$D,$D70,'F20-2024'!$E:$E,$E70,'F20-2024'!$F:$F,$F70)</f>
        <v>0</v>
      </c>
      <c r="M70" s="140">
        <f ca="1">SUMIFS('F20-2024'!M:M,'F20-2024'!$D:$D,$D70,'F20-2024'!$E:$E,$E70,'F20-2024'!$F:$F,$F70)</f>
        <v>0</v>
      </c>
      <c r="N70" s="140">
        <f ca="1">SUMIFS('F20-2024'!N:N,'F20-2024'!$D:$D,$D70,'F20-2024'!$E:$E,$E70,'F20-2024'!$F:$F,$F70)</f>
        <v>0</v>
      </c>
      <c r="O70" s="140">
        <f ca="1">SUMIFS('F20-2024'!O:O,'F20-2024'!$D:$D,$D70,'F20-2024'!$E:$E,$E70,'F20-2024'!$F:$F,$F70)</f>
        <v>0</v>
      </c>
      <c r="P70" s="140">
        <f ca="1">SUMIFS('F20-2024'!P:P,'F20-2024'!$D:$D,$D70,'F20-2024'!$E:$E,$E70,'F20-2024'!$F:$F,$F70)</f>
        <v>0</v>
      </c>
      <c r="Q70" s="140">
        <f ca="1">SUMIFS('F20-2024'!Q:Q,'F20-2024'!$D:$D,$D70,'F20-2024'!$E:$E,$E70,'F20-2024'!$F:$F,$F70)</f>
        <v>0</v>
      </c>
      <c r="R70" s="140">
        <f ca="1">SUMIFS('F20-2024'!R:R,'F20-2024'!$D:$D,$D70,'F20-2024'!$E:$E,$E70,'F20-2024'!$F:$F,$F70)</f>
        <v>0</v>
      </c>
      <c r="S70" s="140">
        <f ca="1">SUMIFS('F20-2024'!S:S,'F20-2024'!$D:$D,$D70,'F20-2024'!$E:$E,$E70,'F20-2024'!$F:$F,$F70)</f>
        <v>0</v>
      </c>
      <c r="T70" s="140">
        <f ca="1">SUMIFS('F20-2024'!T:T,'F20-2024'!$D:$D,$D70,'F20-2024'!$E:$E,$E70,'F20-2024'!$F:$F,$F70)</f>
        <v>0</v>
      </c>
      <c r="U70" s="140">
        <f ca="1">SUMIFS('F20-2024'!U:U,'F20-2024'!$D:$D,$D70,'F20-2024'!$E:$E,$E70,'F20-2024'!$F:$F,$F70)</f>
        <v>0</v>
      </c>
      <c r="V70" s="140"/>
      <c r="W70" s="141" t="e">
        <f t="shared" ref="W70:AA70" ca="1" si="137">J70/$I70</f>
        <v>#DIV/0!</v>
      </c>
      <c r="X70" s="141" t="e">
        <f t="shared" ca="1" si="137"/>
        <v>#DIV/0!</v>
      </c>
      <c r="Y70" s="141" t="e">
        <f t="shared" ca="1" si="137"/>
        <v>#DIV/0!</v>
      </c>
      <c r="Z70" s="141" t="e">
        <f t="shared" ca="1" si="137"/>
        <v>#DIV/0!</v>
      </c>
      <c r="AA70" s="141" t="e">
        <f t="shared" ca="1" si="137"/>
        <v>#DIV/0!</v>
      </c>
      <c r="AB70" s="141"/>
      <c r="AC70" s="141" t="e">
        <f t="shared" ca="1" si="1"/>
        <v>#DIV/0!</v>
      </c>
      <c r="AD70" s="141" t="e">
        <f t="shared" ref="AD70:AI70" ca="1" si="138">O70/$I70</f>
        <v>#DIV/0!</v>
      </c>
      <c r="AE70" s="141" t="e">
        <f t="shared" ca="1" si="138"/>
        <v>#DIV/0!</v>
      </c>
      <c r="AF70" s="141" t="e">
        <f t="shared" ca="1" si="138"/>
        <v>#DIV/0!</v>
      </c>
      <c r="AG70" s="141" t="e">
        <f t="shared" ca="1" si="138"/>
        <v>#DIV/0!</v>
      </c>
      <c r="AH70" s="141" t="e">
        <f t="shared" ca="1" si="138"/>
        <v>#DIV/0!</v>
      </c>
      <c r="AI70" s="141" t="e">
        <f t="shared" ca="1" si="138"/>
        <v>#DIV/0!</v>
      </c>
      <c r="AJ70" s="140"/>
    </row>
    <row r="71" spans="1:36">
      <c r="A71" s="140" t="e">
        <f ca="1"/>
        <v>#NAME?</v>
      </c>
      <c r="B71" s="140" t="e">
        <f ca="1"/>
        <v>#NAME?</v>
      </c>
      <c r="C71" s="140" t="e">
        <f ca="1"/>
        <v>#NAME?</v>
      </c>
      <c r="D71" s="140" t="e">
        <f ca="1"/>
        <v>#NAME?</v>
      </c>
      <c r="E71" s="140" t="e">
        <f ca="1"/>
        <v>#NAME?</v>
      </c>
      <c r="F71" s="140" t="e">
        <f ca="1"/>
        <v>#NAME?</v>
      </c>
      <c r="G71" s="140" t="e">
        <f ca="1"/>
        <v>#NAME?</v>
      </c>
      <c r="H71" s="140"/>
      <c r="I71" s="140">
        <f ca="1">SUMIFS('F20-2024'!I:I,'F20-2024'!$D:$D,$D71,'F20-2024'!$E:$E,$E71,'F20-2024'!$F:$F,$F71)</f>
        <v>0</v>
      </c>
      <c r="J71" s="140">
        <f ca="1">SUMIFS('F20-2024'!J:J,'F20-2024'!$D:$D,$D71,'F20-2024'!$E:$E,$E71,'F20-2024'!$F:$F,$F71)</f>
        <v>0</v>
      </c>
      <c r="K71" s="140">
        <f ca="1">SUMIFS('F20-2024'!K:K,'F20-2024'!$D:$D,$D71,'F20-2024'!$E:$E,$E71,'F20-2024'!$F:$F,$F71)</f>
        <v>0</v>
      </c>
      <c r="L71" s="140">
        <f ca="1">SUMIFS('F20-2024'!L:L,'F20-2024'!$D:$D,$D71,'F20-2024'!$E:$E,$E71,'F20-2024'!$F:$F,$F71)</f>
        <v>0</v>
      </c>
      <c r="M71" s="140">
        <f ca="1">SUMIFS('F20-2024'!M:M,'F20-2024'!$D:$D,$D71,'F20-2024'!$E:$E,$E71,'F20-2024'!$F:$F,$F71)</f>
        <v>0</v>
      </c>
      <c r="N71" s="140">
        <f ca="1">SUMIFS('F20-2024'!N:N,'F20-2024'!$D:$D,$D71,'F20-2024'!$E:$E,$E71,'F20-2024'!$F:$F,$F71)</f>
        <v>0</v>
      </c>
      <c r="O71" s="140">
        <f ca="1">SUMIFS('F20-2024'!O:O,'F20-2024'!$D:$D,$D71,'F20-2024'!$E:$E,$E71,'F20-2024'!$F:$F,$F71)</f>
        <v>0</v>
      </c>
      <c r="P71" s="140">
        <f ca="1">SUMIFS('F20-2024'!P:P,'F20-2024'!$D:$D,$D71,'F20-2024'!$E:$E,$E71,'F20-2024'!$F:$F,$F71)</f>
        <v>0</v>
      </c>
      <c r="Q71" s="140">
        <f ca="1">SUMIFS('F20-2024'!Q:Q,'F20-2024'!$D:$D,$D71,'F20-2024'!$E:$E,$E71,'F20-2024'!$F:$F,$F71)</f>
        <v>0</v>
      </c>
      <c r="R71" s="140">
        <f ca="1">SUMIFS('F20-2024'!R:R,'F20-2024'!$D:$D,$D71,'F20-2024'!$E:$E,$E71,'F20-2024'!$F:$F,$F71)</f>
        <v>0</v>
      </c>
      <c r="S71" s="140">
        <f ca="1">SUMIFS('F20-2024'!S:S,'F20-2024'!$D:$D,$D71,'F20-2024'!$E:$E,$E71,'F20-2024'!$F:$F,$F71)</f>
        <v>0</v>
      </c>
      <c r="T71" s="140">
        <f ca="1">SUMIFS('F20-2024'!T:T,'F20-2024'!$D:$D,$D71,'F20-2024'!$E:$E,$E71,'F20-2024'!$F:$F,$F71)</f>
        <v>0</v>
      </c>
      <c r="U71" s="140">
        <f ca="1">SUMIFS('F20-2024'!U:U,'F20-2024'!$D:$D,$D71,'F20-2024'!$E:$E,$E71,'F20-2024'!$F:$F,$F71)</f>
        <v>0</v>
      </c>
      <c r="V71" s="140"/>
      <c r="W71" s="141" t="e">
        <f t="shared" ref="W71:AA71" ca="1" si="139">J71/$I71</f>
        <v>#DIV/0!</v>
      </c>
      <c r="X71" s="141" t="e">
        <f t="shared" ca="1" si="139"/>
        <v>#DIV/0!</v>
      </c>
      <c r="Y71" s="141" t="e">
        <f t="shared" ca="1" si="139"/>
        <v>#DIV/0!</v>
      </c>
      <c r="Z71" s="141" t="e">
        <f t="shared" ca="1" si="139"/>
        <v>#DIV/0!</v>
      </c>
      <c r="AA71" s="141" t="e">
        <f t="shared" ca="1" si="139"/>
        <v>#DIV/0!</v>
      </c>
      <c r="AB71" s="141"/>
      <c r="AC71" s="141" t="e">
        <f t="shared" ca="1" si="1"/>
        <v>#DIV/0!</v>
      </c>
      <c r="AD71" s="141" t="e">
        <f t="shared" ref="AD71:AI71" ca="1" si="140">O71/$I71</f>
        <v>#DIV/0!</v>
      </c>
      <c r="AE71" s="141" t="e">
        <f t="shared" ca="1" si="140"/>
        <v>#DIV/0!</v>
      </c>
      <c r="AF71" s="141" t="e">
        <f t="shared" ca="1" si="140"/>
        <v>#DIV/0!</v>
      </c>
      <c r="AG71" s="141" t="e">
        <f t="shared" ca="1" si="140"/>
        <v>#DIV/0!</v>
      </c>
      <c r="AH71" s="141" t="e">
        <f t="shared" ca="1" si="140"/>
        <v>#DIV/0!</v>
      </c>
      <c r="AI71" s="141" t="e">
        <f t="shared" ca="1" si="140"/>
        <v>#DIV/0!</v>
      </c>
      <c r="AJ71" s="140"/>
    </row>
    <row r="72" spans="1:36">
      <c r="A72" s="140" t="e">
        <f ca="1"/>
        <v>#NAME?</v>
      </c>
      <c r="B72" s="140" t="e">
        <f ca="1"/>
        <v>#NAME?</v>
      </c>
      <c r="C72" s="140" t="e">
        <f ca="1"/>
        <v>#NAME?</v>
      </c>
      <c r="D72" s="140" t="e">
        <f ca="1"/>
        <v>#NAME?</v>
      </c>
      <c r="E72" s="140" t="e">
        <f ca="1"/>
        <v>#NAME?</v>
      </c>
      <c r="F72" s="140" t="e">
        <f ca="1"/>
        <v>#NAME?</v>
      </c>
      <c r="G72" s="140" t="e">
        <f ca="1"/>
        <v>#NAME?</v>
      </c>
      <c r="H72" s="140"/>
      <c r="I72" s="140">
        <f ca="1">SUMIFS('F20-2024'!I:I,'F20-2024'!$D:$D,$D72,'F20-2024'!$E:$E,$E72,'F20-2024'!$F:$F,$F72)</f>
        <v>0</v>
      </c>
      <c r="J72" s="140">
        <f ca="1">SUMIFS('F20-2024'!J:J,'F20-2024'!$D:$D,$D72,'F20-2024'!$E:$E,$E72,'F20-2024'!$F:$F,$F72)</f>
        <v>0</v>
      </c>
      <c r="K72" s="140">
        <f ca="1">SUMIFS('F20-2024'!K:K,'F20-2024'!$D:$D,$D72,'F20-2024'!$E:$E,$E72,'F20-2024'!$F:$F,$F72)</f>
        <v>0</v>
      </c>
      <c r="L72" s="140">
        <f ca="1">SUMIFS('F20-2024'!L:L,'F20-2024'!$D:$D,$D72,'F20-2024'!$E:$E,$E72,'F20-2024'!$F:$F,$F72)</f>
        <v>0</v>
      </c>
      <c r="M72" s="140">
        <f ca="1">SUMIFS('F20-2024'!M:M,'F20-2024'!$D:$D,$D72,'F20-2024'!$E:$E,$E72,'F20-2024'!$F:$F,$F72)</f>
        <v>0</v>
      </c>
      <c r="N72" s="140">
        <f ca="1">SUMIFS('F20-2024'!N:N,'F20-2024'!$D:$D,$D72,'F20-2024'!$E:$E,$E72,'F20-2024'!$F:$F,$F72)</f>
        <v>0</v>
      </c>
      <c r="O72" s="140">
        <f ca="1">SUMIFS('F20-2024'!O:O,'F20-2024'!$D:$D,$D72,'F20-2024'!$E:$E,$E72,'F20-2024'!$F:$F,$F72)</f>
        <v>0</v>
      </c>
      <c r="P72" s="140">
        <f ca="1">SUMIFS('F20-2024'!P:P,'F20-2024'!$D:$D,$D72,'F20-2024'!$E:$E,$E72,'F20-2024'!$F:$F,$F72)</f>
        <v>0</v>
      </c>
      <c r="Q72" s="140">
        <f ca="1">SUMIFS('F20-2024'!Q:Q,'F20-2024'!$D:$D,$D72,'F20-2024'!$E:$E,$E72,'F20-2024'!$F:$F,$F72)</f>
        <v>0</v>
      </c>
      <c r="R72" s="140">
        <f ca="1">SUMIFS('F20-2024'!R:R,'F20-2024'!$D:$D,$D72,'F20-2024'!$E:$E,$E72,'F20-2024'!$F:$F,$F72)</f>
        <v>0</v>
      </c>
      <c r="S72" s="140">
        <f ca="1">SUMIFS('F20-2024'!S:S,'F20-2024'!$D:$D,$D72,'F20-2024'!$E:$E,$E72,'F20-2024'!$F:$F,$F72)</f>
        <v>0</v>
      </c>
      <c r="T72" s="140">
        <f ca="1">SUMIFS('F20-2024'!T:T,'F20-2024'!$D:$D,$D72,'F20-2024'!$E:$E,$E72,'F20-2024'!$F:$F,$F72)</f>
        <v>0</v>
      </c>
      <c r="U72" s="140">
        <f ca="1">SUMIFS('F20-2024'!U:U,'F20-2024'!$D:$D,$D72,'F20-2024'!$E:$E,$E72,'F20-2024'!$F:$F,$F72)</f>
        <v>0</v>
      </c>
      <c r="V72" s="140"/>
      <c r="W72" s="141" t="e">
        <f t="shared" ref="W72:AA72" ca="1" si="141">J72/$I72</f>
        <v>#DIV/0!</v>
      </c>
      <c r="X72" s="141" t="e">
        <f t="shared" ca="1" si="141"/>
        <v>#DIV/0!</v>
      </c>
      <c r="Y72" s="141" t="e">
        <f t="shared" ca="1" si="141"/>
        <v>#DIV/0!</v>
      </c>
      <c r="Z72" s="141" t="e">
        <f t="shared" ca="1" si="141"/>
        <v>#DIV/0!</v>
      </c>
      <c r="AA72" s="141" t="e">
        <f t="shared" ca="1" si="141"/>
        <v>#DIV/0!</v>
      </c>
      <c r="AB72" s="141"/>
      <c r="AC72" s="141" t="e">
        <f t="shared" ca="1" si="1"/>
        <v>#DIV/0!</v>
      </c>
      <c r="AD72" s="141" t="e">
        <f t="shared" ref="AD72:AI72" ca="1" si="142">O72/$I72</f>
        <v>#DIV/0!</v>
      </c>
      <c r="AE72" s="141" t="e">
        <f t="shared" ca="1" si="142"/>
        <v>#DIV/0!</v>
      </c>
      <c r="AF72" s="141" t="e">
        <f t="shared" ca="1" si="142"/>
        <v>#DIV/0!</v>
      </c>
      <c r="AG72" s="141" t="e">
        <f t="shared" ca="1" si="142"/>
        <v>#DIV/0!</v>
      </c>
      <c r="AH72" s="141" t="e">
        <f t="shared" ca="1" si="142"/>
        <v>#DIV/0!</v>
      </c>
      <c r="AI72" s="141" t="e">
        <f t="shared" ca="1" si="142"/>
        <v>#DIV/0!</v>
      </c>
      <c r="AJ72" s="140"/>
    </row>
    <row r="73" spans="1:36">
      <c r="A73" s="140" t="e">
        <f ca="1"/>
        <v>#NAME?</v>
      </c>
      <c r="B73" s="140" t="e">
        <f ca="1"/>
        <v>#NAME?</v>
      </c>
      <c r="C73" s="140" t="e">
        <f ca="1"/>
        <v>#NAME?</v>
      </c>
      <c r="D73" s="140" t="e">
        <f ca="1"/>
        <v>#NAME?</v>
      </c>
      <c r="E73" s="140" t="e">
        <f ca="1"/>
        <v>#NAME?</v>
      </c>
      <c r="F73" s="140" t="e">
        <f ca="1"/>
        <v>#NAME?</v>
      </c>
      <c r="G73" s="140" t="e">
        <f ca="1"/>
        <v>#NAME?</v>
      </c>
      <c r="H73" s="140"/>
      <c r="I73" s="140">
        <f ca="1">SUMIFS('F20-2024'!I:I,'F20-2024'!$D:$D,$D73,'F20-2024'!$E:$E,$E73,'F20-2024'!$F:$F,$F73)</f>
        <v>0</v>
      </c>
      <c r="J73" s="140">
        <f ca="1">SUMIFS('F20-2024'!J:J,'F20-2024'!$D:$D,$D73,'F20-2024'!$E:$E,$E73,'F20-2024'!$F:$F,$F73)</f>
        <v>0</v>
      </c>
      <c r="K73" s="140">
        <f ca="1">SUMIFS('F20-2024'!K:K,'F20-2024'!$D:$D,$D73,'F20-2024'!$E:$E,$E73,'F20-2024'!$F:$F,$F73)</f>
        <v>0</v>
      </c>
      <c r="L73" s="140">
        <f ca="1">SUMIFS('F20-2024'!L:L,'F20-2024'!$D:$D,$D73,'F20-2024'!$E:$E,$E73,'F20-2024'!$F:$F,$F73)</f>
        <v>0</v>
      </c>
      <c r="M73" s="140">
        <f ca="1">SUMIFS('F20-2024'!M:M,'F20-2024'!$D:$D,$D73,'F20-2024'!$E:$E,$E73,'F20-2024'!$F:$F,$F73)</f>
        <v>0</v>
      </c>
      <c r="N73" s="140">
        <f ca="1">SUMIFS('F20-2024'!N:N,'F20-2024'!$D:$D,$D73,'F20-2024'!$E:$E,$E73,'F20-2024'!$F:$F,$F73)</f>
        <v>0</v>
      </c>
      <c r="O73" s="140">
        <f ca="1">SUMIFS('F20-2024'!O:O,'F20-2024'!$D:$D,$D73,'F20-2024'!$E:$E,$E73,'F20-2024'!$F:$F,$F73)</f>
        <v>0</v>
      </c>
      <c r="P73" s="140">
        <f ca="1">SUMIFS('F20-2024'!P:P,'F20-2024'!$D:$D,$D73,'F20-2024'!$E:$E,$E73,'F20-2024'!$F:$F,$F73)</f>
        <v>0</v>
      </c>
      <c r="Q73" s="140">
        <f ca="1">SUMIFS('F20-2024'!Q:Q,'F20-2024'!$D:$D,$D73,'F20-2024'!$E:$E,$E73,'F20-2024'!$F:$F,$F73)</f>
        <v>0</v>
      </c>
      <c r="R73" s="140">
        <f ca="1">SUMIFS('F20-2024'!R:R,'F20-2024'!$D:$D,$D73,'F20-2024'!$E:$E,$E73,'F20-2024'!$F:$F,$F73)</f>
        <v>0</v>
      </c>
      <c r="S73" s="140">
        <f ca="1">SUMIFS('F20-2024'!S:S,'F20-2024'!$D:$D,$D73,'F20-2024'!$E:$E,$E73,'F20-2024'!$F:$F,$F73)</f>
        <v>0</v>
      </c>
      <c r="T73" s="140">
        <f ca="1">SUMIFS('F20-2024'!T:T,'F20-2024'!$D:$D,$D73,'F20-2024'!$E:$E,$E73,'F20-2024'!$F:$F,$F73)</f>
        <v>0</v>
      </c>
      <c r="U73" s="140">
        <f ca="1">SUMIFS('F20-2024'!U:U,'F20-2024'!$D:$D,$D73,'F20-2024'!$E:$E,$E73,'F20-2024'!$F:$F,$F73)</f>
        <v>0</v>
      </c>
      <c r="V73" s="140"/>
      <c r="W73" s="141" t="e">
        <f t="shared" ref="W73:AA73" ca="1" si="143">J73/$I73</f>
        <v>#DIV/0!</v>
      </c>
      <c r="X73" s="141" t="e">
        <f t="shared" ca="1" si="143"/>
        <v>#DIV/0!</v>
      </c>
      <c r="Y73" s="141" t="e">
        <f t="shared" ca="1" si="143"/>
        <v>#DIV/0!</v>
      </c>
      <c r="Z73" s="141" t="e">
        <f t="shared" ca="1" si="143"/>
        <v>#DIV/0!</v>
      </c>
      <c r="AA73" s="141" t="e">
        <f t="shared" ca="1" si="143"/>
        <v>#DIV/0!</v>
      </c>
      <c r="AB73" s="141"/>
      <c r="AC73" s="141" t="e">
        <f t="shared" ca="1" si="1"/>
        <v>#DIV/0!</v>
      </c>
      <c r="AD73" s="141" t="e">
        <f t="shared" ref="AD73:AI73" ca="1" si="144">O73/$I73</f>
        <v>#DIV/0!</v>
      </c>
      <c r="AE73" s="141" t="e">
        <f t="shared" ca="1" si="144"/>
        <v>#DIV/0!</v>
      </c>
      <c r="AF73" s="141" t="e">
        <f t="shared" ca="1" si="144"/>
        <v>#DIV/0!</v>
      </c>
      <c r="AG73" s="141" t="e">
        <f t="shared" ca="1" si="144"/>
        <v>#DIV/0!</v>
      </c>
      <c r="AH73" s="141" t="e">
        <f t="shared" ca="1" si="144"/>
        <v>#DIV/0!</v>
      </c>
      <c r="AI73" s="141" t="e">
        <f t="shared" ca="1" si="144"/>
        <v>#DIV/0!</v>
      </c>
      <c r="AJ73" s="140"/>
    </row>
    <row r="74" spans="1:36">
      <c r="A74" s="140" t="e">
        <f ca="1"/>
        <v>#NAME?</v>
      </c>
      <c r="B74" s="140" t="e">
        <f ca="1"/>
        <v>#NAME?</v>
      </c>
      <c r="C74" s="140" t="e">
        <f ca="1"/>
        <v>#NAME?</v>
      </c>
      <c r="D74" s="140" t="e">
        <f ca="1"/>
        <v>#NAME?</v>
      </c>
      <c r="E74" s="140" t="e">
        <f ca="1"/>
        <v>#NAME?</v>
      </c>
      <c r="F74" s="140" t="e">
        <f ca="1"/>
        <v>#NAME?</v>
      </c>
      <c r="G74" s="140" t="e">
        <f ca="1"/>
        <v>#NAME?</v>
      </c>
      <c r="H74" s="140"/>
      <c r="I74" s="140">
        <f ca="1">SUMIFS('F20-2024'!I:I,'F20-2024'!$D:$D,$D74,'F20-2024'!$E:$E,$E74,'F20-2024'!$F:$F,$F74)</f>
        <v>0</v>
      </c>
      <c r="J74" s="140">
        <f ca="1">SUMIFS('F20-2024'!J:J,'F20-2024'!$D:$D,$D74,'F20-2024'!$E:$E,$E74,'F20-2024'!$F:$F,$F74)</f>
        <v>0</v>
      </c>
      <c r="K74" s="140">
        <f ca="1">SUMIFS('F20-2024'!K:K,'F20-2024'!$D:$D,$D74,'F20-2024'!$E:$E,$E74,'F20-2024'!$F:$F,$F74)</f>
        <v>0</v>
      </c>
      <c r="L74" s="140">
        <f ca="1">SUMIFS('F20-2024'!L:L,'F20-2024'!$D:$D,$D74,'F20-2024'!$E:$E,$E74,'F20-2024'!$F:$F,$F74)</f>
        <v>0</v>
      </c>
      <c r="M74" s="140">
        <f ca="1">SUMIFS('F20-2024'!M:M,'F20-2024'!$D:$D,$D74,'F20-2024'!$E:$E,$E74,'F20-2024'!$F:$F,$F74)</f>
        <v>0</v>
      </c>
      <c r="N74" s="140">
        <f ca="1">SUMIFS('F20-2024'!N:N,'F20-2024'!$D:$D,$D74,'F20-2024'!$E:$E,$E74,'F20-2024'!$F:$F,$F74)</f>
        <v>0</v>
      </c>
      <c r="O74" s="140">
        <f ca="1">SUMIFS('F20-2024'!O:O,'F20-2024'!$D:$D,$D74,'F20-2024'!$E:$E,$E74,'F20-2024'!$F:$F,$F74)</f>
        <v>0</v>
      </c>
      <c r="P74" s="140">
        <f ca="1">SUMIFS('F20-2024'!P:P,'F20-2024'!$D:$D,$D74,'F20-2024'!$E:$E,$E74,'F20-2024'!$F:$F,$F74)</f>
        <v>0</v>
      </c>
      <c r="Q74" s="140">
        <f ca="1">SUMIFS('F20-2024'!Q:Q,'F20-2024'!$D:$D,$D74,'F20-2024'!$E:$E,$E74,'F20-2024'!$F:$F,$F74)</f>
        <v>0</v>
      </c>
      <c r="R74" s="140">
        <f ca="1">SUMIFS('F20-2024'!R:R,'F20-2024'!$D:$D,$D74,'F20-2024'!$E:$E,$E74,'F20-2024'!$F:$F,$F74)</f>
        <v>0</v>
      </c>
      <c r="S74" s="140">
        <f ca="1">SUMIFS('F20-2024'!S:S,'F20-2024'!$D:$D,$D74,'F20-2024'!$E:$E,$E74,'F20-2024'!$F:$F,$F74)</f>
        <v>0</v>
      </c>
      <c r="T74" s="140">
        <f ca="1">SUMIFS('F20-2024'!T:T,'F20-2024'!$D:$D,$D74,'F20-2024'!$E:$E,$E74,'F20-2024'!$F:$F,$F74)</f>
        <v>0</v>
      </c>
      <c r="U74" s="140">
        <f ca="1">SUMIFS('F20-2024'!U:U,'F20-2024'!$D:$D,$D74,'F20-2024'!$E:$E,$E74,'F20-2024'!$F:$F,$F74)</f>
        <v>0</v>
      </c>
      <c r="V74" s="140"/>
      <c r="W74" s="141" t="e">
        <f t="shared" ref="W74:AA74" ca="1" si="145">J74/$I74</f>
        <v>#DIV/0!</v>
      </c>
      <c r="X74" s="141" t="e">
        <f t="shared" ca="1" si="145"/>
        <v>#DIV/0!</v>
      </c>
      <c r="Y74" s="141" t="e">
        <f t="shared" ca="1" si="145"/>
        <v>#DIV/0!</v>
      </c>
      <c r="Z74" s="141" t="e">
        <f t="shared" ca="1" si="145"/>
        <v>#DIV/0!</v>
      </c>
      <c r="AA74" s="141" t="e">
        <f t="shared" ca="1" si="145"/>
        <v>#DIV/0!</v>
      </c>
      <c r="AB74" s="141"/>
      <c r="AC74" s="141" t="e">
        <f t="shared" ca="1" si="1"/>
        <v>#DIV/0!</v>
      </c>
      <c r="AD74" s="141" t="e">
        <f t="shared" ref="AD74:AI74" ca="1" si="146">O74/$I74</f>
        <v>#DIV/0!</v>
      </c>
      <c r="AE74" s="141" t="e">
        <f t="shared" ca="1" si="146"/>
        <v>#DIV/0!</v>
      </c>
      <c r="AF74" s="141" t="e">
        <f t="shared" ca="1" si="146"/>
        <v>#DIV/0!</v>
      </c>
      <c r="AG74" s="141" t="e">
        <f t="shared" ca="1" si="146"/>
        <v>#DIV/0!</v>
      </c>
      <c r="AH74" s="141" t="e">
        <f t="shared" ca="1" si="146"/>
        <v>#DIV/0!</v>
      </c>
      <c r="AI74" s="141" t="e">
        <f t="shared" ca="1" si="146"/>
        <v>#DIV/0!</v>
      </c>
      <c r="AJ74" s="140"/>
    </row>
    <row r="75" spans="1:36">
      <c r="A75" s="140" t="e">
        <f ca="1"/>
        <v>#NAME?</v>
      </c>
      <c r="B75" s="140" t="e">
        <f ca="1"/>
        <v>#NAME?</v>
      </c>
      <c r="C75" s="140" t="e">
        <f ca="1"/>
        <v>#NAME?</v>
      </c>
      <c r="D75" s="140" t="e">
        <f ca="1"/>
        <v>#NAME?</v>
      </c>
      <c r="E75" s="140" t="e">
        <f ca="1"/>
        <v>#NAME?</v>
      </c>
      <c r="F75" s="140" t="e">
        <f ca="1"/>
        <v>#NAME?</v>
      </c>
      <c r="G75" s="140" t="e">
        <f ca="1"/>
        <v>#NAME?</v>
      </c>
      <c r="H75" s="140"/>
      <c r="I75" s="140">
        <f ca="1">SUMIFS('F20-2024'!I:I,'F20-2024'!$D:$D,$D75,'F20-2024'!$E:$E,$E75,'F20-2024'!$F:$F,$F75)</f>
        <v>0</v>
      </c>
      <c r="J75" s="140">
        <f ca="1">SUMIFS('F20-2024'!J:J,'F20-2024'!$D:$D,$D75,'F20-2024'!$E:$E,$E75,'F20-2024'!$F:$F,$F75)</f>
        <v>0</v>
      </c>
      <c r="K75" s="140">
        <f ca="1">SUMIFS('F20-2024'!K:K,'F20-2024'!$D:$D,$D75,'F20-2024'!$E:$E,$E75,'F20-2024'!$F:$F,$F75)</f>
        <v>0</v>
      </c>
      <c r="L75" s="140">
        <f ca="1">SUMIFS('F20-2024'!L:L,'F20-2024'!$D:$D,$D75,'F20-2024'!$E:$E,$E75,'F20-2024'!$F:$F,$F75)</f>
        <v>0</v>
      </c>
      <c r="M75" s="140">
        <f ca="1">SUMIFS('F20-2024'!M:M,'F20-2024'!$D:$D,$D75,'F20-2024'!$E:$E,$E75,'F20-2024'!$F:$F,$F75)</f>
        <v>0</v>
      </c>
      <c r="N75" s="140">
        <f ca="1">SUMIFS('F20-2024'!N:N,'F20-2024'!$D:$D,$D75,'F20-2024'!$E:$E,$E75,'F20-2024'!$F:$F,$F75)</f>
        <v>0</v>
      </c>
      <c r="O75" s="140">
        <f ca="1">SUMIFS('F20-2024'!O:O,'F20-2024'!$D:$D,$D75,'F20-2024'!$E:$E,$E75,'F20-2024'!$F:$F,$F75)</f>
        <v>0</v>
      </c>
      <c r="P75" s="140">
        <f ca="1">SUMIFS('F20-2024'!P:P,'F20-2024'!$D:$D,$D75,'F20-2024'!$E:$E,$E75,'F20-2024'!$F:$F,$F75)</f>
        <v>0</v>
      </c>
      <c r="Q75" s="140">
        <f ca="1">SUMIFS('F20-2024'!Q:Q,'F20-2024'!$D:$D,$D75,'F20-2024'!$E:$E,$E75,'F20-2024'!$F:$F,$F75)</f>
        <v>0</v>
      </c>
      <c r="R75" s="140">
        <f ca="1">SUMIFS('F20-2024'!R:R,'F20-2024'!$D:$D,$D75,'F20-2024'!$E:$E,$E75,'F20-2024'!$F:$F,$F75)</f>
        <v>0</v>
      </c>
      <c r="S75" s="140">
        <f ca="1">SUMIFS('F20-2024'!S:S,'F20-2024'!$D:$D,$D75,'F20-2024'!$E:$E,$E75,'F20-2024'!$F:$F,$F75)</f>
        <v>0</v>
      </c>
      <c r="T75" s="140">
        <f ca="1">SUMIFS('F20-2024'!T:T,'F20-2024'!$D:$D,$D75,'F20-2024'!$E:$E,$E75,'F20-2024'!$F:$F,$F75)</f>
        <v>0</v>
      </c>
      <c r="U75" s="140">
        <f ca="1">SUMIFS('F20-2024'!U:U,'F20-2024'!$D:$D,$D75,'F20-2024'!$E:$E,$E75,'F20-2024'!$F:$F,$F75)</f>
        <v>0</v>
      </c>
      <c r="V75" s="140"/>
      <c r="W75" s="141" t="e">
        <f t="shared" ref="W75:AA75" ca="1" si="147">J75/$I75</f>
        <v>#DIV/0!</v>
      </c>
      <c r="X75" s="141" t="e">
        <f t="shared" ca="1" si="147"/>
        <v>#DIV/0!</v>
      </c>
      <c r="Y75" s="141" t="e">
        <f t="shared" ca="1" si="147"/>
        <v>#DIV/0!</v>
      </c>
      <c r="Z75" s="141" t="e">
        <f t="shared" ca="1" si="147"/>
        <v>#DIV/0!</v>
      </c>
      <c r="AA75" s="141" t="e">
        <f t="shared" ca="1" si="147"/>
        <v>#DIV/0!</v>
      </c>
      <c r="AB75" s="141"/>
      <c r="AC75" s="141" t="e">
        <f t="shared" ca="1" si="1"/>
        <v>#DIV/0!</v>
      </c>
      <c r="AD75" s="141" t="e">
        <f t="shared" ref="AD75:AI75" ca="1" si="148">O75/$I75</f>
        <v>#DIV/0!</v>
      </c>
      <c r="AE75" s="141" t="e">
        <f t="shared" ca="1" si="148"/>
        <v>#DIV/0!</v>
      </c>
      <c r="AF75" s="141" t="e">
        <f t="shared" ca="1" si="148"/>
        <v>#DIV/0!</v>
      </c>
      <c r="AG75" s="141" t="e">
        <f t="shared" ca="1" si="148"/>
        <v>#DIV/0!</v>
      </c>
      <c r="AH75" s="141" t="e">
        <f t="shared" ca="1" si="148"/>
        <v>#DIV/0!</v>
      </c>
      <c r="AI75" s="141" t="e">
        <f t="shared" ca="1" si="148"/>
        <v>#DIV/0!</v>
      </c>
      <c r="AJ75" s="140"/>
    </row>
    <row r="76" spans="1:36">
      <c r="A76" s="140" t="e">
        <f ca="1"/>
        <v>#NAME?</v>
      </c>
      <c r="B76" s="140" t="e">
        <f ca="1"/>
        <v>#NAME?</v>
      </c>
      <c r="C76" s="140" t="e">
        <f ca="1"/>
        <v>#NAME?</v>
      </c>
      <c r="D76" s="140" t="e">
        <f ca="1"/>
        <v>#NAME?</v>
      </c>
      <c r="E76" s="140" t="e">
        <f ca="1"/>
        <v>#NAME?</v>
      </c>
      <c r="F76" s="140" t="e">
        <f ca="1"/>
        <v>#NAME?</v>
      </c>
      <c r="G76" s="140" t="e">
        <f ca="1"/>
        <v>#NAME?</v>
      </c>
      <c r="H76" s="140"/>
      <c r="I76" s="140">
        <f ca="1">SUMIFS('F20-2024'!I:I,'F20-2024'!$D:$D,$D76,'F20-2024'!$E:$E,$E76,'F20-2024'!$F:$F,$F76)</f>
        <v>0</v>
      </c>
      <c r="J76" s="140">
        <f ca="1">SUMIFS('F20-2024'!J:J,'F20-2024'!$D:$D,$D76,'F20-2024'!$E:$E,$E76,'F20-2024'!$F:$F,$F76)</f>
        <v>0</v>
      </c>
      <c r="K76" s="140">
        <f ca="1">SUMIFS('F20-2024'!K:K,'F20-2024'!$D:$D,$D76,'F20-2024'!$E:$E,$E76,'F20-2024'!$F:$F,$F76)</f>
        <v>0</v>
      </c>
      <c r="L76" s="140">
        <f ca="1">SUMIFS('F20-2024'!L:L,'F20-2024'!$D:$D,$D76,'F20-2024'!$E:$E,$E76,'F20-2024'!$F:$F,$F76)</f>
        <v>0</v>
      </c>
      <c r="M76" s="140">
        <f ca="1">SUMIFS('F20-2024'!M:M,'F20-2024'!$D:$D,$D76,'F20-2024'!$E:$E,$E76,'F20-2024'!$F:$F,$F76)</f>
        <v>0</v>
      </c>
      <c r="N76" s="140">
        <f ca="1">SUMIFS('F20-2024'!N:N,'F20-2024'!$D:$D,$D76,'F20-2024'!$E:$E,$E76,'F20-2024'!$F:$F,$F76)</f>
        <v>0</v>
      </c>
      <c r="O76" s="140">
        <f ca="1">SUMIFS('F20-2024'!O:O,'F20-2024'!$D:$D,$D76,'F20-2024'!$E:$E,$E76,'F20-2024'!$F:$F,$F76)</f>
        <v>0</v>
      </c>
      <c r="P76" s="140">
        <f ca="1">SUMIFS('F20-2024'!P:P,'F20-2024'!$D:$D,$D76,'F20-2024'!$E:$E,$E76,'F20-2024'!$F:$F,$F76)</f>
        <v>0</v>
      </c>
      <c r="Q76" s="140">
        <f ca="1">SUMIFS('F20-2024'!Q:Q,'F20-2024'!$D:$D,$D76,'F20-2024'!$E:$E,$E76,'F20-2024'!$F:$F,$F76)</f>
        <v>0</v>
      </c>
      <c r="R76" s="140">
        <f ca="1">SUMIFS('F20-2024'!R:R,'F20-2024'!$D:$D,$D76,'F20-2024'!$E:$E,$E76,'F20-2024'!$F:$F,$F76)</f>
        <v>0</v>
      </c>
      <c r="S76" s="140">
        <f ca="1">SUMIFS('F20-2024'!S:S,'F20-2024'!$D:$D,$D76,'F20-2024'!$E:$E,$E76,'F20-2024'!$F:$F,$F76)</f>
        <v>0</v>
      </c>
      <c r="T76" s="140">
        <f ca="1">SUMIFS('F20-2024'!T:T,'F20-2024'!$D:$D,$D76,'F20-2024'!$E:$E,$E76,'F20-2024'!$F:$F,$F76)</f>
        <v>0</v>
      </c>
      <c r="U76" s="140">
        <f ca="1">SUMIFS('F20-2024'!U:U,'F20-2024'!$D:$D,$D76,'F20-2024'!$E:$E,$E76,'F20-2024'!$F:$F,$F76)</f>
        <v>0</v>
      </c>
      <c r="V76" s="140"/>
      <c r="W76" s="141" t="e">
        <f t="shared" ref="W76:AA76" ca="1" si="149">J76/$I76</f>
        <v>#DIV/0!</v>
      </c>
      <c r="X76" s="141" t="e">
        <f t="shared" ca="1" si="149"/>
        <v>#DIV/0!</v>
      </c>
      <c r="Y76" s="141" t="e">
        <f t="shared" ca="1" si="149"/>
        <v>#DIV/0!</v>
      </c>
      <c r="Z76" s="141" t="e">
        <f t="shared" ca="1" si="149"/>
        <v>#DIV/0!</v>
      </c>
      <c r="AA76" s="141" t="e">
        <f t="shared" ca="1" si="149"/>
        <v>#DIV/0!</v>
      </c>
      <c r="AB76" s="141"/>
      <c r="AC76" s="141" t="e">
        <f t="shared" ca="1" si="1"/>
        <v>#DIV/0!</v>
      </c>
      <c r="AD76" s="141" t="e">
        <f t="shared" ref="AD76:AI76" ca="1" si="150">O76/$I76</f>
        <v>#DIV/0!</v>
      </c>
      <c r="AE76" s="141" t="e">
        <f t="shared" ca="1" si="150"/>
        <v>#DIV/0!</v>
      </c>
      <c r="AF76" s="141" t="e">
        <f t="shared" ca="1" si="150"/>
        <v>#DIV/0!</v>
      </c>
      <c r="AG76" s="141" t="e">
        <f t="shared" ca="1" si="150"/>
        <v>#DIV/0!</v>
      </c>
      <c r="AH76" s="141" t="e">
        <f t="shared" ca="1" si="150"/>
        <v>#DIV/0!</v>
      </c>
      <c r="AI76" s="141" t="e">
        <f t="shared" ca="1" si="150"/>
        <v>#DIV/0!</v>
      </c>
      <c r="AJ76" s="140"/>
    </row>
    <row r="77" spans="1:36">
      <c r="A77" s="140" t="e">
        <f ca="1"/>
        <v>#NAME?</v>
      </c>
      <c r="B77" s="140" t="e">
        <f ca="1"/>
        <v>#NAME?</v>
      </c>
      <c r="C77" s="140" t="e">
        <f ca="1"/>
        <v>#NAME?</v>
      </c>
      <c r="D77" s="140" t="e">
        <f ca="1"/>
        <v>#NAME?</v>
      </c>
      <c r="E77" s="140" t="e">
        <f ca="1"/>
        <v>#NAME?</v>
      </c>
      <c r="F77" s="140" t="e">
        <f ca="1"/>
        <v>#NAME?</v>
      </c>
      <c r="G77" s="140" t="e">
        <f ca="1"/>
        <v>#NAME?</v>
      </c>
      <c r="H77" s="140"/>
      <c r="I77" s="140">
        <f ca="1">SUMIFS('F20-2024'!I:I,'F20-2024'!$D:$D,$D77,'F20-2024'!$E:$E,$E77,'F20-2024'!$F:$F,$F77)</f>
        <v>0</v>
      </c>
      <c r="J77" s="140">
        <f ca="1">SUMIFS('F20-2024'!J:J,'F20-2024'!$D:$D,$D77,'F20-2024'!$E:$E,$E77,'F20-2024'!$F:$F,$F77)</f>
        <v>0</v>
      </c>
      <c r="K77" s="140">
        <f ca="1">SUMIFS('F20-2024'!K:K,'F20-2024'!$D:$D,$D77,'F20-2024'!$E:$E,$E77,'F20-2024'!$F:$F,$F77)</f>
        <v>0</v>
      </c>
      <c r="L77" s="140">
        <f ca="1">SUMIFS('F20-2024'!L:L,'F20-2024'!$D:$D,$D77,'F20-2024'!$E:$E,$E77,'F20-2024'!$F:$F,$F77)</f>
        <v>0</v>
      </c>
      <c r="M77" s="140">
        <f ca="1">SUMIFS('F20-2024'!M:M,'F20-2024'!$D:$D,$D77,'F20-2024'!$E:$E,$E77,'F20-2024'!$F:$F,$F77)</f>
        <v>0</v>
      </c>
      <c r="N77" s="140">
        <f ca="1">SUMIFS('F20-2024'!N:N,'F20-2024'!$D:$D,$D77,'F20-2024'!$E:$E,$E77,'F20-2024'!$F:$F,$F77)</f>
        <v>0</v>
      </c>
      <c r="O77" s="140">
        <f ca="1">SUMIFS('F20-2024'!O:O,'F20-2024'!$D:$D,$D77,'F20-2024'!$E:$E,$E77,'F20-2024'!$F:$F,$F77)</f>
        <v>0</v>
      </c>
      <c r="P77" s="140">
        <f ca="1">SUMIFS('F20-2024'!P:P,'F20-2024'!$D:$D,$D77,'F20-2024'!$E:$E,$E77,'F20-2024'!$F:$F,$F77)</f>
        <v>0</v>
      </c>
      <c r="Q77" s="140">
        <f ca="1">SUMIFS('F20-2024'!Q:Q,'F20-2024'!$D:$D,$D77,'F20-2024'!$E:$E,$E77,'F20-2024'!$F:$F,$F77)</f>
        <v>0</v>
      </c>
      <c r="R77" s="140">
        <f ca="1">SUMIFS('F20-2024'!R:R,'F20-2024'!$D:$D,$D77,'F20-2024'!$E:$E,$E77,'F20-2024'!$F:$F,$F77)</f>
        <v>0</v>
      </c>
      <c r="S77" s="140">
        <f ca="1">SUMIFS('F20-2024'!S:S,'F20-2024'!$D:$D,$D77,'F20-2024'!$E:$E,$E77,'F20-2024'!$F:$F,$F77)</f>
        <v>0</v>
      </c>
      <c r="T77" s="140">
        <f ca="1">SUMIFS('F20-2024'!T:T,'F20-2024'!$D:$D,$D77,'F20-2024'!$E:$E,$E77,'F20-2024'!$F:$F,$F77)</f>
        <v>0</v>
      </c>
      <c r="U77" s="140">
        <f ca="1">SUMIFS('F20-2024'!U:U,'F20-2024'!$D:$D,$D77,'F20-2024'!$E:$E,$E77,'F20-2024'!$F:$F,$F77)</f>
        <v>0</v>
      </c>
      <c r="V77" s="140"/>
      <c r="W77" s="141" t="e">
        <f t="shared" ref="W77:AA77" ca="1" si="151">J77/$I77</f>
        <v>#DIV/0!</v>
      </c>
      <c r="X77" s="141" t="e">
        <f t="shared" ca="1" si="151"/>
        <v>#DIV/0!</v>
      </c>
      <c r="Y77" s="141" t="e">
        <f t="shared" ca="1" si="151"/>
        <v>#DIV/0!</v>
      </c>
      <c r="Z77" s="141" t="e">
        <f t="shared" ca="1" si="151"/>
        <v>#DIV/0!</v>
      </c>
      <c r="AA77" s="141" t="e">
        <f t="shared" ca="1" si="151"/>
        <v>#DIV/0!</v>
      </c>
      <c r="AB77" s="141"/>
      <c r="AC77" s="141" t="e">
        <f t="shared" ca="1" si="1"/>
        <v>#DIV/0!</v>
      </c>
      <c r="AD77" s="141" t="e">
        <f t="shared" ref="AD77:AI77" ca="1" si="152">O77/$I77</f>
        <v>#DIV/0!</v>
      </c>
      <c r="AE77" s="141" t="e">
        <f t="shared" ca="1" si="152"/>
        <v>#DIV/0!</v>
      </c>
      <c r="AF77" s="141" t="e">
        <f t="shared" ca="1" si="152"/>
        <v>#DIV/0!</v>
      </c>
      <c r="AG77" s="141" t="e">
        <f t="shared" ca="1" si="152"/>
        <v>#DIV/0!</v>
      </c>
      <c r="AH77" s="141" t="e">
        <f t="shared" ca="1" si="152"/>
        <v>#DIV/0!</v>
      </c>
      <c r="AI77" s="141" t="e">
        <f t="shared" ca="1" si="152"/>
        <v>#DIV/0!</v>
      </c>
      <c r="AJ77" s="140"/>
    </row>
    <row r="78" spans="1:36">
      <c r="A78" s="140" t="e">
        <f ca="1"/>
        <v>#NAME?</v>
      </c>
      <c r="B78" s="140" t="e">
        <f ca="1"/>
        <v>#NAME?</v>
      </c>
      <c r="C78" s="140" t="e">
        <f ca="1"/>
        <v>#NAME?</v>
      </c>
      <c r="D78" s="140" t="e">
        <f ca="1"/>
        <v>#NAME?</v>
      </c>
      <c r="E78" s="140" t="e">
        <f ca="1"/>
        <v>#NAME?</v>
      </c>
      <c r="F78" s="140" t="e">
        <f ca="1"/>
        <v>#NAME?</v>
      </c>
      <c r="G78" s="140" t="e">
        <f ca="1"/>
        <v>#NAME?</v>
      </c>
      <c r="H78" s="140"/>
      <c r="I78" s="140">
        <f ca="1">SUMIFS('F20-2024'!I:I,'F20-2024'!$D:$D,$D78,'F20-2024'!$E:$E,$E78,'F20-2024'!$F:$F,$F78)</f>
        <v>0</v>
      </c>
      <c r="J78" s="140">
        <f ca="1">SUMIFS('F20-2024'!J:J,'F20-2024'!$D:$D,$D78,'F20-2024'!$E:$E,$E78,'F20-2024'!$F:$F,$F78)</f>
        <v>0</v>
      </c>
      <c r="K78" s="140">
        <f ca="1">SUMIFS('F20-2024'!K:K,'F20-2024'!$D:$D,$D78,'F20-2024'!$E:$E,$E78,'F20-2024'!$F:$F,$F78)</f>
        <v>0</v>
      </c>
      <c r="L78" s="140">
        <f ca="1">SUMIFS('F20-2024'!L:L,'F20-2024'!$D:$D,$D78,'F20-2024'!$E:$E,$E78,'F20-2024'!$F:$F,$F78)</f>
        <v>0</v>
      </c>
      <c r="M78" s="140">
        <f ca="1">SUMIFS('F20-2024'!M:M,'F20-2024'!$D:$D,$D78,'F20-2024'!$E:$E,$E78,'F20-2024'!$F:$F,$F78)</f>
        <v>0</v>
      </c>
      <c r="N78" s="140">
        <f ca="1">SUMIFS('F20-2024'!N:N,'F20-2024'!$D:$D,$D78,'F20-2024'!$E:$E,$E78,'F20-2024'!$F:$F,$F78)</f>
        <v>0</v>
      </c>
      <c r="O78" s="140">
        <f ca="1">SUMIFS('F20-2024'!O:O,'F20-2024'!$D:$D,$D78,'F20-2024'!$E:$E,$E78,'F20-2024'!$F:$F,$F78)</f>
        <v>0</v>
      </c>
      <c r="P78" s="140">
        <f ca="1">SUMIFS('F20-2024'!P:P,'F20-2024'!$D:$D,$D78,'F20-2024'!$E:$E,$E78,'F20-2024'!$F:$F,$F78)</f>
        <v>0</v>
      </c>
      <c r="Q78" s="140">
        <f ca="1">SUMIFS('F20-2024'!Q:Q,'F20-2024'!$D:$D,$D78,'F20-2024'!$E:$E,$E78,'F20-2024'!$F:$F,$F78)</f>
        <v>0</v>
      </c>
      <c r="R78" s="140">
        <f ca="1">SUMIFS('F20-2024'!R:R,'F20-2024'!$D:$D,$D78,'F20-2024'!$E:$E,$E78,'F20-2024'!$F:$F,$F78)</f>
        <v>0</v>
      </c>
      <c r="S78" s="140">
        <f ca="1">SUMIFS('F20-2024'!S:S,'F20-2024'!$D:$D,$D78,'F20-2024'!$E:$E,$E78,'F20-2024'!$F:$F,$F78)</f>
        <v>0</v>
      </c>
      <c r="T78" s="140">
        <f ca="1">SUMIFS('F20-2024'!T:T,'F20-2024'!$D:$D,$D78,'F20-2024'!$E:$E,$E78,'F20-2024'!$F:$F,$F78)</f>
        <v>0</v>
      </c>
      <c r="U78" s="140">
        <f ca="1">SUMIFS('F20-2024'!U:U,'F20-2024'!$D:$D,$D78,'F20-2024'!$E:$E,$E78,'F20-2024'!$F:$F,$F78)</f>
        <v>0</v>
      </c>
      <c r="V78" s="140"/>
      <c r="W78" s="141" t="e">
        <f t="shared" ref="W78:AA78" ca="1" si="153">J78/$I78</f>
        <v>#DIV/0!</v>
      </c>
      <c r="X78" s="141" t="e">
        <f t="shared" ca="1" si="153"/>
        <v>#DIV/0!</v>
      </c>
      <c r="Y78" s="141" t="e">
        <f t="shared" ca="1" si="153"/>
        <v>#DIV/0!</v>
      </c>
      <c r="Z78" s="141" t="e">
        <f t="shared" ca="1" si="153"/>
        <v>#DIV/0!</v>
      </c>
      <c r="AA78" s="141" t="e">
        <f t="shared" ca="1" si="153"/>
        <v>#DIV/0!</v>
      </c>
      <c r="AB78" s="141"/>
      <c r="AC78" s="141" t="e">
        <f t="shared" ca="1" si="1"/>
        <v>#DIV/0!</v>
      </c>
      <c r="AD78" s="141" t="e">
        <f t="shared" ref="AD78:AI78" ca="1" si="154">O78/$I78</f>
        <v>#DIV/0!</v>
      </c>
      <c r="AE78" s="141" t="e">
        <f t="shared" ca="1" si="154"/>
        <v>#DIV/0!</v>
      </c>
      <c r="AF78" s="141" t="e">
        <f t="shared" ca="1" si="154"/>
        <v>#DIV/0!</v>
      </c>
      <c r="AG78" s="141" t="e">
        <f t="shared" ca="1" si="154"/>
        <v>#DIV/0!</v>
      </c>
      <c r="AH78" s="141" t="e">
        <f t="shared" ca="1" si="154"/>
        <v>#DIV/0!</v>
      </c>
      <c r="AI78" s="141" t="e">
        <f t="shared" ca="1" si="154"/>
        <v>#DIV/0!</v>
      </c>
      <c r="AJ78" s="140"/>
    </row>
    <row r="79" spans="1:36">
      <c r="A79" s="140" t="e">
        <f ca="1"/>
        <v>#NAME?</v>
      </c>
      <c r="B79" s="140" t="e">
        <f ca="1"/>
        <v>#NAME?</v>
      </c>
      <c r="C79" s="140" t="e">
        <f ca="1"/>
        <v>#NAME?</v>
      </c>
      <c r="D79" s="140" t="e">
        <f ca="1"/>
        <v>#NAME?</v>
      </c>
      <c r="E79" s="140" t="e">
        <f ca="1"/>
        <v>#NAME?</v>
      </c>
      <c r="F79" s="140" t="e">
        <f ca="1"/>
        <v>#NAME?</v>
      </c>
      <c r="G79" s="140" t="e">
        <f ca="1"/>
        <v>#NAME?</v>
      </c>
      <c r="H79" s="140"/>
      <c r="I79" s="140">
        <f ca="1">SUMIFS('F20-2024'!I:I,'F20-2024'!$D:$D,$D79,'F20-2024'!$E:$E,$E79,'F20-2024'!$F:$F,$F79)</f>
        <v>0</v>
      </c>
      <c r="J79" s="140">
        <f ca="1">SUMIFS('F20-2024'!J:J,'F20-2024'!$D:$D,$D79,'F20-2024'!$E:$E,$E79,'F20-2024'!$F:$F,$F79)</f>
        <v>0</v>
      </c>
      <c r="K79" s="140">
        <f ca="1">SUMIFS('F20-2024'!K:K,'F20-2024'!$D:$D,$D79,'F20-2024'!$E:$E,$E79,'F20-2024'!$F:$F,$F79)</f>
        <v>0</v>
      </c>
      <c r="L79" s="140">
        <f ca="1">SUMIFS('F20-2024'!L:L,'F20-2024'!$D:$D,$D79,'F20-2024'!$E:$E,$E79,'F20-2024'!$F:$F,$F79)</f>
        <v>0</v>
      </c>
      <c r="M79" s="140">
        <f ca="1">SUMIFS('F20-2024'!M:M,'F20-2024'!$D:$D,$D79,'F20-2024'!$E:$E,$E79,'F20-2024'!$F:$F,$F79)</f>
        <v>0</v>
      </c>
      <c r="N79" s="140">
        <f ca="1">SUMIFS('F20-2024'!N:N,'F20-2024'!$D:$D,$D79,'F20-2024'!$E:$E,$E79,'F20-2024'!$F:$F,$F79)</f>
        <v>0</v>
      </c>
      <c r="O79" s="140">
        <f ca="1">SUMIFS('F20-2024'!O:O,'F20-2024'!$D:$D,$D79,'F20-2024'!$E:$E,$E79,'F20-2024'!$F:$F,$F79)</f>
        <v>0</v>
      </c>
      <c r="P79" s="140">
        <f ca="1">SUMIFS('F20-2024'!P:P,'F20-2024'!$D:$D,$D79,'F20-2024'!$E:$E,$E79,'F20-2024'!$F:$F,$F79)</f>
        <v>0</v>
      </c>
      <c r="Q79" s="140">
        <f ca="1">SUMIFS('F20-2024'!Q:Q,'F20-2024'!$D:$D,$D79,'F20-2024'!$E:$E,$E79,'F20-2024'!$F:$F,$F79)</f>
        <v>0</v>
      </c>
      <c r="R79" s="140">
        <f ca="1">SUMIFS('F20-2024'!R:R,'F20-2024'!$D:$D,$D79,'F20-2024'!$E:$E,$E79,'F20-2024'!$F:$F,$F79)</f>
        <v>0</v>
      </c>
      <c r="S79" s="140">
        <f ca="1">SUMIFS('F20-2024'!S:S,'F20-2024'!$D:$D,$D79,'F20-2024'!$E:$E,$E79,'F20-2024'!$F:$F,$F79)</f>
        <v>0</v>
      </c>
      <c r="T79" s="140">
        <f ca="1">SUMIFS('F20-2024'!T:T,'F20-2024'!$D:$D,$D79,'F20-2024'!$E:$E,$E79,'F20-2024'!$F:$F,$F79)</f>
        <v>0</v>
      </c>
      <c r="U79" s="140">
        <f ca="1">SUMIFS('F20-2024'!U:U,'F20-2024'!$D:$D,$D79,'F20-2024'!$E:$E,$E79,'F20-2024'!$F:$F,$F79)</f>
        <v>0</v>
      </c>
      <c r="V79" s="140"/>
      <c r="W79" s="141" t="e">
        <f t="shared" ref="W79:AA79" ca="1" si="155">J79/$I79</f>
        <v>#DIV/0!</v>
      </c>
      <c r="X79" s="141" t="e">
        <f t="shared" ca="1" si="155"/>
        <v>#DIV/0!</v>
      </c>
      <c r="Y79" s="141" t="e">
        <f t="shared" ca="1" si="155"/>
        <v>#DIV/0!</v>
      </c>
      <c r="Z79" s="141" t="e">
        <f t="shared" ca="1" si="155"/>
        <v>#DIV/0!</v>
      </c>
      <c r="AA79" s="141" t="e">
        <f t="shared" ca="1" si="155"/>
        <v>#DIV/0!</v>
      </c>
      <c r="AB79" s="141"/>
      <c r="AC79" s="141" t="e">
        <f t="shared" ca="1" si="1"/>
        <v>#DIV/0!</v>
      </c>
      <c r="AD79" s="141" t="e">
        <f t="shared" ref="AD79:AI79" ca="1" si="156">O79/$I79</f>
        <v>#DIV/0!</v>
      </c>
      <c r="AE79" s="141" t="e">
        <f t="shared" ca="1" si="156"/>
        <v>#DIV/0!</v>
      </c>
      <c r="AF79" s="141" t="e">
        <f t="shared" ca="1" si="156"/>
        <v>#DIV/0!</v>
      </c>
      <c r="AG79" s="141" t="e">
        <f t="shared" ca="1" si="156"/>
        <v>#DIV/0!</v>
      </c>
      <c r="AH79" s="141" t="e">
        <f t="shared" ca="1" si="156"/>
        <v>#DIV/0!</v>
      </c>
      <c r="AI79" s="141" t="e">
        <f t="shared" ca="1" si="156"/>
        <v>#DIV/0!</v>
      </c>
      <c r="AJ79" s="140"/>
    </row>
    <row r="80" spans="1:36">
      <c r="A80" s="140" t="e">
        <f ca="1"/>
        <v>#NAME?</v>
      </c>
      <c r="B80" s="140" t="e">
        <f ca="1"/>
        <v>#NAME?</v>
      </c>
      <c r="C80" s="140" t="e">
        <f ca="1"/>
        <v>#NAME?</v>
      </c>
      <c r="D80" s="140" t="e">
        <f ca="1"/>
        <v>#NAME?</v>
      </c>
      <c r="E80" s="140" t="e">
        <f ca="1"/>
        <v>#NAME?</v>
      </c>
      <c r="F80" s="140" t="e">
        <f ca="1"/>
        <v>#NAME?</v>
      </c>
      <c r="G80" s="140" t="e">
        <f ca="1"/>
        <v>#NAME?</v>
      </c>
      <c r="H80" s="140"/>
      <c r="I80" s="140">
        <f ca="1">SUMIFS('F20-2024'!I:I,'F20-2024'!$D:$D,$D80,'F20-2024'!$E:$E,$E80,'F20-2024'!$F:$F,$F80)</f>
        <v>0</v>
      </c>
      <c r="J80" s="140">
        <f ca="1">SUMIFS('F20-2024'!J:J,'F20-2024'!$D:$D,$D80,'F20-2024'!$E:$E,$E80,'F20-2024'!$F:$F,$F80)</f>
        <v>0</v>
      </c>
      <c r="K80" s="140">
        <f ca="1">SUMIFS('F20-2024'!K:K,'F20-2024'!$D:$D,$D80,'F20-2024'!$E:$E,$E80,'F20-2024'!$F:$F,$F80)</f>
        <v>0</v>
      </c>
      <c r="L80" s="140">
        <f ca="1">SUMIFS('F20-2024'!L:L,'F20-2024'!$D:$D,$D80,'F20-2024'!$E:$E,$E80,'F20-2024'!$F:$F,$F80)</f>
        <v>0</v>
      </c>
      <c r="M80" s="140">
        <f ca="1">SUMIFS('F20-2024'!M:M,'F20-2024'!$D:$D,$D80,'F20-2024'!$E:$E,$E80,'F20-2024'!$F:$F,$F80)</f>
        <v>0</v>
      </c>
      <c r="N80" s="140">
        <f ca="1">SUMIFS('F20-2024'!N:N,'F20-2024'!$D:$D,$D80,'F20-2024'!$E:$E,$E80,'F20-2024'!$F:$F,$F80)</f>
        <v>0</v>
      </c>
      <c r="O80" s="140">
        <f ca="1">SUMIFS('F20-2024'!O:O,'F20-2024'!$D:$D,$D80,'F20-2024'!$E:$E,$E80,'F20-2024'!$F:$F,$F80)</f>
        <v>0</v>
      </c>
      <c r="P80" s="140">
        <f ca="1">SUMIFS('F20-2024'!P:P,'F20-2024'!$D:$D,$D80,'F20-2024'!$E:$E,$E80,'F20-2024'!$F:$F,$F80)</f>
        <v>0</v>
      </c>
      <c r="Q80" s="140">
        <f ca="1">SUMIFS('F20-2024'!Q:Q,'F20-2024'!$D:$D,$D80,'F20-2024'!$E:$E,$E80,'F20-2024'!$F:$F,$F80)</f>
        <v>0</v>
      </c>
      <c r="R80" s="140">
        <f ca="1">SUMIFS('F20-2024'!R:R,'F20-2024'!$D:$D,$D80,'F20-2024'!$E:$E,$E80,'F20-2024'!$F:$F,$F80)</f>
        <v>0</v>
      </c>
      <c r="S80" s="140">
        <f ca="1">SUMIFS('F20-2024'!S:S,'F20-2024'!$D:$D,$D80,'F20-2024'!$E:$E,$E80,'F20-2024'!$F:$F,$F80)</f>
        <v>0</v>
      </c>
      <c r="T80" s="140">
        <f ca="1">SUMIFS('F20-2024'!T:T,'F20-2024'!$D:$D,$D80,'F20-2024'!$E:$E,$E80,'F20-2024'!$F:$F,$F80)</f>
        <v>0</v>
      </c>
      <c r="U80" s="140">
        <f ca="1">SUMIFS('F20-2024'!U:U,'F20-2024'!$D:$D,$D80,'F20-2024'!$E:$E,$E80,'F20-2024'!$F:$F,$F80)</f>
        <v>0</v>
      </c>
      <c r="V80" s="140"/>
      <c r="W80" s="141" t="e">
        <f t="shared" ref="W80:AA80" ca="1" si="157">J80/$I80</f>
        <v>#DIV/0!</v>
      </c>
      <c r="X80" s="141" t="e">
        <f t="shared" ca="1" si="157"/>
        <v>#DIV/0!</v>
      </c>
      <c r="Y80" s="141" t="e">
        <f t="shared" ca="1" si="157"/>
        <v>#DIV/0!</v>
      </c>
      <c r="Z80" s="141" t="e">
        <f t="shared" ca="1" si="157"/>
        <v>#DIV/0!</v>
      </c>
      <c r="AA80" s="141" t="e">
        <f t="shared" ca="1" si="157"/>
        <v>#DIV/0!</v>
      </c>
      <c r="AB80" s="141"/>
      <c r="AC80" s="141" t="e">
        <f t="shared" ca="1" si="1"/>
        <v>#DIV/0!</v>
      </c>
      <c r="AD80" s="141" t="e">
        <f t="shared" ref="AD80:AI80" ca="1" si="158">O80/$I80</f>
        <v>#DIV/0!</v>
      </c>
      <c r="AE80" s="141" t="e">
        <f t="shared" ca="1" si="158"/>
        <v>#DIV/0!</v>
      </c>
      <c r="AF80" s="141" t="e">
        <f t="shared" ca="1" si="158"/>
        <v>#DIV/0!</v>
      </c>
      <c r="AG80" s="141" t="e">
        <f t="shared" ca="1" si="158"/>
        <v>#DIV/0!</v>
      </c>
      <c r="AH80" s="141" t="e">
        <f t="shared" ca="1" si="158"/>
        <v>#DIV/0!</v>
      </c>
      <c r="AI80" s="141" t="e">
        <f t="shared" ca="1" si="158"/>
        <v>#DIV/0!</v>
      </c>
      <c r="AJ80" s="140"/>
    </row>
    <row r="81" spans="1:36">
      <c r="A81" s="140" t="e">
        <f ca="1"/>
        <v>#NAME?</v>
      </c>
      <c r="B81" s="140" t="e">
        <f ca="1"/>
        <v>#NAME?</v>
      </c>
      <c r="C81" s="140" t="e">
        <f ca="1"/>
        <v>#NAME?</v>
      </c>
      <c r="D81" s="140" t="e">
        <f ca="1"/>
        <v>#NAME?</v>
      </c>
      <c r="E81" s="140" t="e">
        <f ca="1"/>
        <v>#NAME?</v>
      </c>
      <c r="F81" s="140" t="e">
        <f ca="1"/>
        <v>#NAME?</v>
      </c>
      <c r="G81" s="140" t="e">
        <f ca="1"/>
        <v>#NAME?</v>
      </c>
      <c r="H81" s="140"/>
      <c r="I81" s="140">
        <f ca="1">SUMIFS('F20-2024'!I:I,'F20-2024'!$D:$D,$D81,'F20-2024'!$E:$E,$E81,'F20-2024'!$F:$F,$F81)</f>
        <v>0</v>
      </c>
      <c r="J81" s="140">
        <f ca="1">SUMIFS('F20-2024'!J:J,'F20-2024'!$D:$D,$D81,'F20-2024'!$E:$E,$E81,'F20-2024'!$F:$F,$F81)</f>
        <v>0</v>
      </c>
      <c r="K81" s="140">
        <f ca="1">SUMIFS('F20-2024'!K:K,'F20-2024'!$D:$D,$D81,'F20-2024'!$E:$E,$E81,'F20-2024'!$F:$F,$F81)</f>
        <v>0</v>
      </c>
      <c r="L81" s="140">
        <f ca="1">SUMIFS('F20-2024'!L:L,'F20-2024'!$D:$D,$D81,'F20-2024'!$E:$E,$E81,'F20-2024'!$F:$F,$F81)</f>
        <v>0</v>
      </c>
      <c r="M81" s="140">
        <f ca="1">SUMIFS('F20-2024'!M:M,'F20-2024'!$D:$D,$D81,'F20-2024'!$E:$E,$E81,'F20-2024'!$F:$F,$F81)</f>
        <v>0</v>
      </c>
      <c r="N81" s="140">
        <f ca="1">SUMIFS('F20-2024'!N:N,'F20-2024'!$D:$D,$D81,'F20-2024'!$E:$E,$E81,'F20-2024'!$F:$F,$F81)</f>
        <v>0</v>
      </c>
      <c r="O81" s="140">
        <f ca="1">SUMIFS('F20-2024'!O:O,'F20-2024'!$D:$D,$D81,'F20-2024'!$E:$E,$E81,'F20-2024'!$F:$F,$F81)</f>
        <v>0</v>
      </c>
      <c r="P81" s="140">
        <f ca="1">SUMIFS('F20-2024'!P:P,'F20-2024'!$D:$D,$D81,'F20-2024'!$E:$E,$E81,'F20-2024'!$F:$F,$F81)</f>
        <v>0</v>
      </c>
      <c r="Q81" s="140">
        <f ca="1">SUMIFS('F20-2024'!Q:Q,'F20-2024'!$D:$D,$D81,'F20-2024'!$E:$E,$E81,'F20-2024'!$F:$F,$F81)</f>
        <v>0</v>
      </c>
      <c r="R81" s="140">
        <f ca="1">SUMIFS('F20-2024'!R:R,'F20-2024'!$D:$D,$D81,'F20-2024'!$E:$E,$E81,'F20-2024'!$F:$F,$F81)</f>
        <v>0</v>
      </c>
      <c r="S81" s="140">
        <f ca="1">SUMIFS('F20-2024'!S:S,'F20-2024'!$D:$D,$D81,'F20-2024'!$E:$E,$E81,'F20-2024'!$F:$F,$F81)</f>
        <v>0</v>
      </c>
      <c r="T81" s="140">
        <f ca="1">SUMIFS('F20-2024'!T:T,'F20-2024'!$D:$D,$D81,'F20-2024'!$E:$E,$E81,'F20-2024'!$F:$F,$F81)</f>
        <v>0</v>
      </c>
      <c r="U81" s="140">
        <f ca="1">SUMIFS('F20-2024'!U:U,'F20-2024'!$D:$D,$D81,'F20-2024'!$E:$E,$E81,'F20-2024'!$F:$F,$F81)</f>
        <v>0</v>
      </c>
      <c r="V81" s="140"/>
      <c r="W81" s="141" t="e">
        <f t="shared" ref="W81:AA81" ca="1" si="159">J81/$I81</f>
        <v>#DIV/0!</v>
      </c>
      <c r="X81" s="141" t="e">
        <f t="shared" ca="1" si="159"/>
        <v>#DIV/0!</v>
      </c>
      <c r="Y81" s="141" t="e">
        <f t="shared" ca="1" si="159"/>
        <v>#DIV/0!</v>
      </c>
      <c r="Z81" s="141" t="e">
        <f t="shared" ca="1" si="159"/>
        <v>#DIV/0!</v>
      </c>
      <c r="AA81" s="141" t="e">
        <f t="shared" ca="1" si="159"/>
        <v>#DIV/0!</v>
      </c>
      <c r="AB81" s="141"/>
      <c r="AC81" s="141" t="e">
        <f t="shared" ca="1" si="1"/>
        <v>#DIV/0!</v>
      </c>
      <c r="AD81" s="141" t="e">
        <f t="shared" ref="AD81:AI81" ca="1" si="160">O81/$I81</f>
        <v>#DIV/0!</v>
      </c>
      <c r="AE81" s="141" t="e">
        <f t="shared" ca="1" si="160"/>
        <v>#DIV/0!</v>
      </c>
      <c r="AF81" s="141" t="e">
        <f t="shared" ca="1" si="160"/>
        <v>#DIV/0!</v>
      </c>
      <c r="AG81" s="141" t="e">
        <f t="shared" ca="1" si="160"/>
        <v>#DIV/0!</v>
      </c>
      <c r="AH81" s="141" t="e">
        <f t="shared" ca="1" si="160"/>
        <v>#DIV/0!</v>
      </c>
      <c r="AI81" s="141" t="e">
        <f t="shared" ca="1" si="160"/>
        <v>#DIV/0!</v>
      </c>
      <c r="AJ81" s="140"/>
    </row>
    <row r="82" spans="1:36">
      <c r="A82" s="140" t="e">
        <f ca="1"/>
        <v>#NAME?</v>
      </c>
      <c r="B82" s="140" t="e">
        <f ca="1"/>
        <v>#NAME?</v>
      </c>
      <c r="C82" s="140" t="e">
        <f ca="1"/>
        <v>#NAME?</v>
      </c>
      <c r="D82" s="140" t="e">
        <f ca="1"/>
        <v>#NAME?</v>
      </c>
      <c r="E82" s="140" t="e">
        <f ca="1"/>
        <v>#NAME?</v>
      </c>
      <c r="F82" s="140" t="e">
        <f ca="1"/>
        <v>#NAME?</v>
      </c>
      <c r="G82" s="140" t="e">
        <f ca="1"/>
        <v>#NAME?</v>
      </c>
      <c r="H82" s="140"/>
      <c r="I82" s="140">
        <f ca="1">SUMIFS('F20-2024'!I:I,'F20-2024'!$D:$D,$D82,'F20-2024'!$E:$E,$E82,'F20-2024'!$F:$F,$F82)</f>
        <v>0</v>
      </c>
      <c r="J82" s="140">
        <f ca="1">SUMIFS('F20-2024'!J:J,'F20-2024'!$D:$D,$D82,'F20-2024'!$E:$E,$E82,'F20-2024'!$F:$F,$F82)</f>
        <v>0</v>
      </c>
      <c r="K82" s="140">
        <f ca="1">SUMIFS('F20-2024'!K:K,'F20-2024'!$D:$D,$D82,'F20-2024'!$E:$E,$E82,'F20-2024'!$F:$F,$F82)</f>
        <v>0</v>
      </c>
      <c r="L82" s="140">
        <f ca="1">SUMIFS('F20-2024'!L:L,'F20-2024'!$D:$D,$D82,'F20-2024'!$E:$E,$E82,'F20-2024'!$F:$F,$F82)</f>
        <v>0</v>
      </c>
      <c r="M82" s="140">
        <f ca="1">SUMIFS('F20-2024'!M:M,'F20-2024'!$D:$D,$D82,'F20-2024'!$E:$E,$E82,'F20-2024'!$F:$F,$F82)</f>
        <v>0</v>
      </c>
      <c r="N82" s="140">
        <f ca="1">SUMIFS('F20-2024'!N:N,'F20-2024'!$D:$D,$D82,'F20-2024'!$E:$E,$E82,'F20-2024'!$F:$F,$F82)</f>
        <v>0</v>
      </c>
      <c r="O82" s="140">
        <f ca="1">SUMIFS('F20-2024'!O:O,'F20-2024'!$D:$D,$D82,'F20-2024'!$E:$E,$E82,'F20-2024'!$F:$F,$F82)</f>
        <v>0</v>
      </c>
      <c r="P82" s="140">
        <f ca="1">SUMIFS('F20-2024'!P:P,'F20-2024'!$D:$D,$D82,'F20-2024'!$E:$E,$E82,'F20-2024'!$F:$F,$F82)</f>
        <v>0</v>
      </c>
      <c r="Q82" s="140">
        <f ca="1">SUMIFS('F20-2024'!Q:Q,'F20-2024'!$D:$D,$D82,'F20-2024'!$E:$E,$E82,'F20-2024'!$F:$F,$F82)</f>
        <v>0</v>
      </c>
      <c r="R82" s="140">
        <f ca="1">SUMIFS('F20-2024'!R:R,'F20-2024'!$D:$D,$D82,'F20-2024'!$E:$E,$E82,'F20-2024'!$F:$F,$F82)</f>
        <v>0</v>
      </c>
      <c r="S82" s="140">
        <f ca="1">SUMIFS('F20-2024'!S:S,'F20-2024'!$D:$D,$D82,'F20-2024'!$E:$E,$E82,'F20-2024'!$F:$F,$F82)</f>
        <v>0</v>
      </c>
      <c r="T82" s="140">
        <f ca="1">SUMIFS('F20-2024'!T:T,'F20-2024'!$D:$D,$D82,'F20-2024'!$E:$E,$E82,'F20-2024'!$F:$F,$F82)</f>
        <v>0</v>
      </c>
      <c r="U82" s="140">
        <f ca="1">SUMIFS('F20-2024'!U:U,'F20-2024'!$D:$D,$D82,'F20-2024'!$E:$E,$E82,'F20-2024'!$F:$F,$F82)</f>
        <v>0</v>
      </c>
      <c r="V82" s="140"/>
      <c r="W82" s="141" t="e">
        <f t="shared" ref="W82:AA82" ca="1" si="161">J82/$I82</f>
        <v>#DIV/0!</v>
      </c>
      <c r="X82" s="141" t="e">
        <f t="shared" ca="1" si="161"/>
        <v>#DIV/0!</v>
      </c>
      <c r="Y82" s="141" t="e">
        <f t="shared" ca="1" si="161"/>
        <v>#DIV/0!</v>
      </c>
      <c r="Z82" s="141" t="e">
        <f t="shared" ca="1" si="161"/>
        <v>#DIV/0!</v>
      </c>
      <c r="AA82" s="141" t="e">
        <f t="shared" ca="1" si="161"/>
        <v>#DIV/0!</v>
      </c>
      <c r="AB82" s="141"/>
      <c r="AC82" s="141" t="e">
        <f t="shared" ca="1" si="1"/>
        <v>#DIV/0!</v>
      </c>
      <c r="AD82" s="141" t="e">
        <f t="shared" ref="AD82:AI82" ca="1" si="162">O82/$I82</f>
        <v>#DIV/0!</v>
      </c>
      <c r="AE82" s="141" t="e">
        <f t="shared" ca="1" si="162"/>
        <v>#DIV/0!</v>
      </c>
      <c r="AF82" s="141" t="e">
        <f t="shared" ca="1" si="162"/>
        <v>#DIV/0!</v>
      </c>
      <c r="AG82" s="141" t="e">
        <f t="shared" ca="1" si="162"/>
        <v>#DIV/0!</v>
      </c>
      <c r="AH82" s="141" t="e">
        <f t="shared" ca="1" si="162"/>
        <v>#DIV/0!</v>
      </c>
      <c r="AI82" s="141" t="e">
        <f t="shared" ca="1" si="162"/>
        <v>#DIV/0!</v>
      </c>
      <c r="AJ82" s="140"/>
    </row>
    <row r="83" spans="1:36">
      <c r="A83" s="140" t="e">
        <f ca="1"/>
        <v>#NAME?</v>
      </c>
      <c r="B83" s="140" t="e">
        <f ca="1"/>
        <v>#NAME?</v>
      </c>
      <c r="C83" s="140" t="e">
        <f ca="1"/>
        <v>#NAME?</v>
      </c>
      <c r="D83" s="140" t="e">
        <f ca="1"/>
        <v>#NAME?</v>
      </c>
      <c r="E83" s="140" t="e">
        <f ca="1"/>
        <v>#NAME?</v>
      </c>
      <c r="F83" s="140" t="e">
        <f ca="1"/>
        <v>#NAME?</v>
      </c>
      <c r="G83" s="140" t="e">
        <f ca="1"/>
        <v>#NAME?</v>
      </c>
      <c r="H83" s="140"/>
      <c r="I83" s="140">
        <f ca="1">SUMIFS('F20-2024'!I:I,'F20-2024'!$D:$D,$D83,'F20-2024'!$E:$E,$E83,'F20-2024'!$F:$F,$F83)</f>
        <v>0</v>
      </c>
      <c r="J83" s="140">
        <f ca="1">SUMIFS('F20-2024'!J:J,'F20-2024'!$D:$D,$D83,'F20-2024'!$E:$E,$E83,'F20-2024'!$F:$F,$F83)</f>
        <v>0</v>
      </c>
      <c r="K83" s="140">
        <f ca="1">SUMIFS('F20-2024'!K:K,'F20-2024'!$D:$D,$D83,'F20-2024'!$E:$E,$E83,'F20-2024'!$F:$F,$F83)</f>
        <v>0</v>
      </c>
      <c r="L83" s="140">
        <f ca="1">SUMIFS('F20-2024'!L:L,'F20-2024'!$D:$D,$D83,'F20-2024'!$E:$E,$E83,'F20-2024'!$F:$F,$F83)</f>
        <v>0</v>
      </c>
      <c r="M83" s="140">
        <f ca="1">SUMIFS('F20-2024'!M:M,'F20-2024'!$D:$D,$D83,'F20-2024'!$E:$E,$E83,'F20-2024'!$F:$F,$F83)</f>
        <v>0</v>
      </c>
      <c r="N83" s="140">
        <f ca="1">SUMIFS('F20-2024'!N:N,'F20-2024'!$D:$D,$D83,'F20-2024'!$E:$E,$E83,'F20-2024'!$F:$F,$F83)</f>
        <v>0</v>
      </c>
      <c r="O83" s="140">
        <f ca="1">SUMIFS('F20-2024'!O:O,'F20-2024'!$D:$D,$D83,'F20-2024'!$E:$E,$E83,'F20-2024'!$F:$F,$F83)</f>
        <v>0</v>
      </c>
      <c r="P83" s="140">
        <f ca="1">SUMIFS('F20-2024'!P:P,'F20-2024'!$D:$D,$D83,'F20-2024'!$E:$E,$E83,'F20-2024'!$F:$F,$F83)</f>
        <v>0</v>
      </c>
      <c r="Q83" s="140">
        <f ca="1">SUMIFS('F20-2024'!Q:Q,'F20-2024'!$D:$D,$D83,'F20-2024'!$E:$E,$E83,'F20-2024'!$F:$F,$F83)</f>
        <v>0</v>
      </c>
      <c r="R83" s="140">
        <f ca="1">SUMIFS('F20-2024'!R:R,'F20-2024'!$D:$D,$D83,'F20-2024'!$E:$E,$E83,'F20-2024'!$F:$F,$F83)</f>
        <v>0</v>
      </c>
      <c r="S83" s="140">
        <f ca="1">SUMIFS('F20-2024'!S:S,'F20-2024'!$D:$D,$D83,'F20-2024'!$E:$E,$E83,'F20-2024'!$F:$F,$F83)</f>
        <v>0</v>
      </c>
      <c r="T83" s="140">
        <f ca="1">SUMIFS('F20-2024'!T:T,'F20-2024'!$D:$D,$D83,'F20-2024'!$E:$E,$E83,'F20-2024'!$F:$F,$F83)</f>
        <v>0</v>
      </c>
      <c r="U83" s="140">
        <f ca="1">SUMIFS('F20-2024'!U:U,'F20-2024'!$D:$D,$D83,'F20-2024'!$E:$E,$E83,'F20-2024'!$F:$F,$F83)</f>
        <v>0</v>
      </c>
      <c r="V83" s="140"/>
      <c r="W83" s="141" t="e">
        <f t="shared" ref="W83:AA83" ca="1" si="163">J83/$I83</f>
        <v>#DIV/0!</v>
      </c>
      <c r="X83" s="141" t="e">
        <f t="shared" ca="1" si="163"/>
        <v>#DIV/0!</v>
      </c>
      <c r="Y83" s="141" t="e">
        <f t="shared" ca="1" si="163"/>
        <v>#DIV/0!</v>
      </c>
      <c r="Z83" s="141" t="e">
        <f t="shared" ca="1" si="163"/>
        <v>#DIV/0!</v>
      </c>
      <c r="AA83" s="141" t="e">
        <f t="shared" ca="1" si="163"/>
        <v>#DIV/0!</v>
      </c>
      <c r="AB83" s="141"/>
      <c r="AC83" s="141" t="e">
        <f t="shared" ca="1" si="1"/>
        <v>#DIV/0!</v>
      </c>
      <c r="AD83" s="141" t="e">
        <f t="shared" ref="AD83:AI83" ca="1" si="164">O83/$I83</f>
        <v>#DIV/0!</v>
      </c>
      <c r="AE83" s="141" t="e">
        <f t="shared" ca="1" si="164"/>
        <v>#DIV/0!</v>
      </c>
      <c r="AF83" s="141" t="e">
        <f t="shared" ca="1" si="164"/>
        <v>#DIV/0!</v>
      </c>
      <c r="AG83" s="141" t="e">
        <f t="shared" ca="1" si="164"/>
        <v>#DIV/0!</v>
      </c>
      <c r="AH83" s="141" t="e">
        <f t="shared" ca="1" si="164"/>
        <v>#DIV/0!</v>
      </c>
      <c r="AI83" s="141" t="e">
        <f t="shared" ca="1" si="164"/>
        <v>#DIV/0!</v>
      </c>
      <c r="AJ83" s="140"/>
    </row>
    <row r="84" spans="1:36">
      <c r="A84" s="140" t="e">
        <f ca="1"/>
        <v>#NAME?</v>
      </c>
      <c r="B84" s="140" t="e">
        <f ca="1"/>
        <v>#NAME?</v>
      </c>
      <c r="C84" s="140" t="e">
        <f ca="1"/>
        <v>#NAME?</v>
      </c>
      <c r="D84" s="140" t="e">
        <f ca="1"/>
        <v>#NAME?</v>
      </c>
      <c r="E84" s="140" t="e">
        <f ca="1"/>
        <v>#NAME?</v>
      </c>
      <c r="F84" s="140" t="e">
        <f ca="1"/>
        <v>#NAME?</v>
      </c>
      <c r="G84" s="140" t="e">
        <f ca="1"/>
        <v>#NAME?</v>
      </c>
      <c r="H84" s="140"/>
      <c r="I84" s="140">
        <f ca="1">SUMIFS('F20-2024'!I:I,'F20-2024'!$D:$D,$D84,'F20-2024'!$E:$E,$E84,'F20-2024'!$F:$F,$F84)</f>
        <v>0</v>
      </c>
      <c r="J84" s="140">
        <f ca="1">SUMIFS('F20-2024'!J:J,'F20-2024'!$D:$D,$D84,'F20-2024'!$E:$E,$E84,'F20-2024'!$F:$F,$F84)</f>
        <v>0</v>
      </c>
      <c r="K84" s="140">
        <f ca="1">SUMIFS('F20-2024'!K:K,'F20-2024'!$D:$D,$D84,'F20-2024'!$E:$E,$E84,'F20-2024'!$F:$F,$F84)</f>
        <v>0</v>
      </c>
      <c r="L84" s="140">
        <f ca="1">SUMIFS('F20-2024'!L:L,'F20-2024'!$D:$D,$D84,'F20-2024'!$E:$E,$E84,'F20-2024'!$F:$F,$F84)</f>
        <v>0</v>
      </c>
      <c r="M84" s="140">
        <f ca="1">SUMIFS('F20-2024'!M:M,'F20-2024'!$D:$D,$D84,'F20-2024'!$E:$E,$E84,'F20-2024'!$F:$F,$F84)</f>
        <v>0</v>
      </c>
      <c r="N84" s="140">
        <f ca="1">SUMIFS('F20-2024'!N:N,'F20-2024'!$D:$D,$D84,'F20-2024'!$E:$E,$E84,'F20-2024'!$F:$F,$F84)</f>
        <v>0</v>
      </c>
      <c r="O84" s="140">
        <f ca="1">SUMIFS('F20-2024'!O:O,'F20-2024'!$D:$D,$D84,'F20-2024'!$E:$E,$E84,'F20-2024'!$F:$F,$F84)</f>
        <v>0</v>
      </c>
      <c r="P84" s="140">
        <f ca="1">SUMIFS('F20-2024'!P:P,'F20-2024'!$D:$D,$D84,'F20-2024'!$E:$E,$E84,'F20-2024'!$F:$F,$F84)</f>
        <v>0</v>
      </c>
      <c r="Q84" s="140">
        <f ca="1">SUMIFS('F20-2024'!Q:Q,'F20-2024'!$D:$D,$D84,'F20-2024'!$E:$E,$E84,'F20-2024'!$F:$F,$F84)</f>
        <v>0</v>
      </c>
      <c r="R84" s="140">
        <f ca="1">SUMIFS('F20-2024'!R:R,'F20-2024'!$D:$D,$D84,'F20-2024'!$E:$E,$E84,'F20-2024'!$F:$F,$F84)</f>
        <v>0</v>
      </c>
      <c r="S84" s="140">
        <f ca="1">SUMIFS('F20-2024'!S:S,'F20-2024'!$D:$D,$D84,'F20-2024'!$E:$E,$E84,'F20-2024'!$F:$F,$F84)</f>
        <v>0</v>
      </c>
      <c r="T84" s="140">
        <f ca="1">SUMIFS('F20-2024'!T:T,'F20-2024'!$D:$D,$D84,'F20-2024'!$E:$E,$E84,'F20-2024'!$F:$F,$F84)</f>
        <v>0</v>
      </c>
      <c r="U84" s="140">
        <f ca="1">SUMIFS('F20-2024'!U:U,'F20-2024'!$D:$D,$D84,'F20-2024'!$E:$E,$E84,'F20-2024'!$F:$F,$F84)</f>
        <v>0</v>
      </c>
      <c r="V84" s="140"/>
      <c r="W84" s="141" t="e">
        <f t="shared" ref="W84:AA84" ca="1" si="165">J84/$I84</f>
        <v>#DIV/0!</v>
      </c>
      <c r="X84" s="141" t="e">
        <f t="shared" ca="1" si="165"/>
        <v>#DIV/0!</v>
      </c>
      <c r="Y84" s="141" t="e">
        <f t="shared" ca="1" si="165"/>
        <v>#DIV/0!</v>
      </c>
      <c r="Z84" s="141" t="e">
        <f t="shared" ca="1" si="165"/>
        <v>#DIV/0!</v>
      </c>
      <c r="AA84" s="141" t="e">
        <f t="shared" ca="1" si="165"/>
        <v>#DIV/0!</v>
      </c>
      <c r="AB84" s="141"/>
      <c r="AC84" s="141" t="e">
        <f t="shared" ca="1" si="1"/>
        <v>#DIV/0!</v>
      </c>
      <c r="AD84" s="141" t="e">
        <f t="shared" ref="AD84:AI84" ca="1" si="166">O84/$I84</f>
        <v>#DIV/0!</v>
      </c>
      <c r="AE84" s="141" t="e">
        <f t="shared" ca="1" si="166"/>
        <v>#DIV/0!</v>
      </c>
      <c r="AF84" s="141" t="e">
        <f t="shared" ca="1" si="166"/>
        <v>#DIV/0!</v>
      </c>
      <c r="AG84" s="141" t="e">
        <f t="shared" ca="1" si="166"/>
        <v>#DIV/0!</v>
      </c>
      <c r="AH84" s="141" t="e">
        <f t="shared" ca="1" si="166"/>
        <v>#DIV/0!</v>
      </c>
      <c r="AI84" s="141" t="e">
        <f t="shared" ca="1" si="166"/>
        <v>#DIV/0!</v>
      </c>
      <c r="AJ84" s="140"/>
    </row>
    <row r="85" spans="1:36">
      <c r="A85" s="140" t="e">
        <f ca="1"/>
        <v>#NAME?</v>
      </c>
      <c r="B85" s="140" t="e">
        <f ca="1"/>
        <v>#NAME?</v>
      </c>
      <c r="C85" s="140" t="e">
        <f ca="1"/>
        <v>#NAME?</v>
      </c>
      <c r="D85" s="140" t="e">
        <f ca="1"/>
        <v>#NAME?</v>
      </c>
      <c r="E85" s="140" t="e">
        <f ca="1"/>
        <v>#NAME?</v>
      </c>
      <c r="F85" s="140" t="e">
        <f ca="1"/>
        <v>#NAME?</v>
      </c>
      <c r="G85" s="140" t="e">
        <f ca="1"/>
        <v>#NAME?</v>
      </c>
      <c r="H85" s="140"/>
      <c r="I85" s="140">
        <f ca="1">SUMIFS('F20-2024'!I:I,'F20-2024'!$D:$D,$D85,'F20-2024'!$E:$E,$E85,'F20-2024'!$F:$F,$F85)</f>
        <v>0</v>
      </c>
      <c r="J85" s="140">
        <f ca="1">SUMIFS('F20-2024'!J:J,'F20-2024'!$D:$D,$D85,'F20-2024'!$E:$E,$E85,'F20-2024'!$F:$F,$F85)</f>
        <v>0</v>
      </c>
      <c r="K85" s="140">
        <f ca="1">SUMIFS('F20-2024'!K:K,'F20-2024'!$D:$D,$D85,'F20-2024'!$E:$E,$E85,'F20-2024'!$F:$F,$F85)</f>
        <v>0</v>
      </c>
      <c r="L85" s="140">
        <f ca="1">SUMIFS('F20-2024'!L:L,'F20-2024'!$D:$D,$D85,'F20-2024'!$E:$E,$E85,'F20-2024'!$F:$F,$F85)</f>
        <v>0</v>
      </c>
      <c r="M85" s="140">
        <f ca="1">SUMIFS('F20-2024'!M:M,'F20-2024'!$D:$D,$D85,'F20-2024'!$E:$E,$E85,'F20-2024'!$F:$F,$F85)</f>
        <v>0</v>
      </c>
      <c r="N85" s="140">
        <f ca="1">SUMIFS('F20-2024'!N:N,'F20-2024'!$D:$D,$D85,'F20-2024'!$E:$E,$E85,'F20-2024'!$F:$F,$F85)</f>
        <v>0</v>
      </c>
      <c r="O85" s="140">
        <f ca="1">SUMIFS('F20-2024'!O:O,'F20-2024'!$D:$D,$D85,'F20-2024'!$E:$E,$E85,'F20-2024'!$F:$F,$F85)</f>
        <v>0</v>
      </c>
      <c r="P85" s="140">
        <f ca="1">SUMIFS('F20-2024'!P:P,'F20-2024'!$D:$D,$D85,'F20-2024'!$E:$E,$E85,'F20-2024'!$F:$F,$F85)</f>
        <v>0</v>
      </c>
      <c r="Q85" s="140">
        <f ca="1">SUMIFS('F20-2024'!Q:Q,'F20-2024'!$D:$D,$D85,'F20-2024'!$E:$E,$E85,'F20-2024'!$F:$F,$F85)</f>
        <v>0</v>
      </c>
      <c r="R85" s="140">
        <f ca="1">SUMIFS('F20-2024'!R:R,'F20-2024'!$D:$D,$D85,'F20-2024'!$E:$E,$E85,'F20-2024'!$F:$F,$F85)</f>
        <v>0</v>
      </c>
      <c r="S85" s="140">
        <f ca="1">SUMIFS('F20-2024'!S:S,'F20-2024'!$D:$D,$D85,'F20-2024'!$E:$E,$E85,'F20-2024'!$F:$F,$F85)</f>
        <v>0</v>
      </c>
      <c r="T85" s="140">
        <f ca="1">SUMIFS('F20-2024'!T:T,'F20-2024'!$D:$D,$D85,'F20-2024'!$E:$E,$E85,'F20-2024'!$F:$F,$F85)</f>
        <v>0</v>
      </c>
      <c r="U85" s="140">
        <f ca="1">SUMIFS('F20-2024'!U:U,'F20-2024'!$D:$D,$D85,'F20-2024'!$E:$E,$E85,'F20-2024'!$F:$F,$F85)</f>
        <v>0</v>
      </c>
      <c r="V85" s="140"/>
      <c r="W85" s="141" t="e">
        <f t="shared" ref="W85:AA85" ca="1" si="167">J85/$I85</f>
        <v>#DIV/0!</v>
      </c>
      <c r="X85" s="141" t="e">
        <f t="shared" ca="1" si="167"/>
        <v>#DIV/0!</v>
      </c>
      <c r="Y85" s="141" t="e">
        <f t="shared" ca="1" si="167"/>
        <v>#DIV/0!</v>
      </c>
      <c r="Z85" s="141" t="e">
        <f t="shared" ca="1" si="167"/>
        <v>#DIV/0!</v>
      </c>
      <c r="AA85" s="141" t="e">
        <f t="shared" ca="1" si="167"/>
        <v>#DIV/0!</v>
      </c>
      <c r="AB85" s="141"/>
      <c r="AC85" s="141" t="e">
        <f t="shared" ca="1" si="1"/>
        <v>#DIV/0!</v>
      </c>
      <c r="AD85" s="141" t="e">
        <f t="shared" ref="AD85:AI85" ca="1" si="168">O85/$I85</f>
        <v>#DIV/0!</v>
      </c>
      <c r="AE85" s="141" t="e">
        <f t="shared" ca="1" si="168"/>
        <v>#DIV/0!</v>
      </c>
      <c r="AF85" s="141" t="e">
        <f t="shared" ca="1" si="168"/>
        <v>#DIV/0!</v>
      </c>
      <c r="AG85" s="141" t="e">
        <f t="shared" ca="1" si="168"/>
        <v>#DIV/0!</v>
      </c>
      <c r="AH85" s="141" t="e">
        <f t="shared" ca="1" si="168"/>
        <v>#DIV/0!</v>
      </c>
      <c r="AI85" s="141" t="e">
        <f t="shared" ca="1" si="168"/>
        <v>#DIV/0!</v>
      </c>
      <c r="AJ85" s="140"/>
    </row>
    <row r="86" spans="1:36">
      <c r="A86" s="140" t="e">
        <f ca="1"/>
        <v>#NAME?</v>
      </c>
      <c r="B86" s="140" t="e">
        <f ca="1"/>
        <v>#NAME?</v>
      </c>
      <c r="C86" s="140" t="e">
        <f ca="1"/>
        <v>#NAME?</v>
      </c>
      <c r="D86" s="140" t="e">
        <f ca="1"/>
        <v>#NAME?</v>
      </c>
      <c r="E86" s="140" t="e">
        <f ca="1"/>
        <v>#NAME?</v>
      </c>
      <c r="F86" s="140" t="e">
        <f ca="1"/>
        <v>#NAME?</v>
      </c>
      <c r="G86" s="140" t="e">
        <f ca="1"/>
        <v>#NAME?</v>
      </c>
      <c r="H86" s="140"/>
      <c r="I86" s="140">
        <f ca="1">SUMIFS('F20-2024'!I:I,'F20-2024'!$D:$D,$D86,'F20-2024'!$E:$E,$E86,'F20-2024'!$F:$F,$F86)</f>
        <v>0</v>
      </c>
      <c r="J86" s="140">
        <f ca="1">SUMIFS('F20-2024'!J:J,'F20-2024'!$D:$D,$D86,'F20-2024'!$E:$E,$E86,'F20-2024'!$F:$F,$F86)</f>
        <v>0</v>
      </c>
      <c r="K86" s="140">
        <f ca="1">SUMIFS('F20-2024'!K:K,'F20-2024'!$D:$D,$D86,'F20-2024'!$E:$E,$E86,'F20-2024'!$F:$F,$F86)</f>
        <v>0</v>
      </c>
      <c r="L86" s="140">
        <f ca="1">SUMIFS('F20-2024'!L:L,'F20-2024'!$D:$D,$D86,'F20-2024'!$E:$E,$E86,'F20-2024'!$F:$F,$F86)</f>
        <v>0</v>
      </c>
      <c r="M86" s="140">
        <f ca="1">SUMIFS('F20-2024'!M:M,'F20-2024'!$D:$D,$D86,'F20-2024'!$E:$E,$E86,'F20-2024'!$F:$F,$F86)</f>
        <v>0</v>
      </c>
      <c r="N86" s="140">
        <f ca="1">SUMIFS('F20-2024'!N:N,'F20-2024'!$D:$D,$D86,'F20-2024'!$E:$E,$E86,'F20-2024'!$F:$F,$F86)</f>
        <v>0</v>
      </c>
      <c r="O86" s="140">
        <f ca="1">SUMIFS('F20-2024'!O:O,'F20-2024'!$D:$D,$D86,'F20-2024'!$E:$E,$E86,'F20-2024'!$F:$F,$F86)</f>
        <v>0</v>
      </c>
      <c r="P86" s="140">
        <f ca="1">SUMIFS('F20-2024'!P:P,'F20-2024'!$D:$D,$D86,'F20-2024'!$E:$E,$E86,'F20-2024'!$F:$F,$F86)</f>
        <v>0</v>
      </c>
      <c r="Q86" s="140">
        <f ca="1">SUMIFS('F20-2024'!Q:Q,'F20-2024'!$D:$D,$D86,'F20-2024'!$E:$E,$E86,'F20-2024'!$F:$F,$F86)</f>
        <v>0</v>
      </c>
      <c r="R86" s="140">
        <f ca="1">SUMIFS('F20-2024'!R:R,'F20-2024'!$D:$D,$D86,'F20-2024'!$E:$E,$E86,'F20-2024'!$F:$F,$F86)</f>
        <v>0</v>
      </c>
      <c r="S86" s="140">
        <f ca="1">SUMIFS('F20-2024'!S:S,'F20-2024'!$D:$D,$D86,'F20-2024'!$E:$E,$E86,'F20-2024'!$F:$F,$F86)</f>
        <v>0</v>
      </c>
      <c r="T86" s="140">
        <f ca="1">SUMIFS('F20-2024'!T:T,'F20-2024'!$D:$D,$D86,'F20-2024'!$E:$E,$E86,'F20-2024'!$F:$F,$F86)</f>
        <v>0</v>
      </c>
      <c r="U86" s="140">
        <f ca="1">SUMIFS('F20-2024'!U:U,'F20-2024'!$D:$D,$D86,'F20-2024'!$E:$E,$E86,'F20-2024'!$F:$F,$F86)</f>
        <v>0</v>
      </c>
      <c r="V86" s="140"/>
      <c r="W86" s="141" t="e">
        <f t="shared" ref="W86:AA86" ca="1" si="169">J86/$I86</f>
        <v>#DIV/0!</v>
      </c>
      <c r="X86" s="141" t="e">
        <f t="shared" ca="1" si="169"/>
        <v>#DIV/0!</v>
      </c>
      <c r="Y86" s="141" t="e">
        <f t="shared" ca="1" si="169"/>
        <v>#DIV/0!</v>
      </c>
      <c r="Z86" s="141" t="e">
        <f t="shared" ca="1" si="169"/>
        <v>#DIV/0!</v>
      </c>
      <c r="AA86" s="141" t="e">
        <f t="shared" ca="1" si="169"/>
        <v>#DIV/0!</v>
      </c>
      <c r="AB86" s="141"/>
      <c r="AC86" s="141" t="e">
        <f t="shared" ca="1" si="1"/>
        <v>#DIV/0!</v>
      </c>
      <c r="AD86" s="141" t="e">
        <f t="shared" ref="AD86:AI86" ca="1" si="170">O86/$I86</f>
        <v>#DIV/0!</v>
      </c>
      <c r="AE86" s="141" t="e">
        <f t="shared" ca="1" si="170"/>
        <v>#DIV/0!</v>
      </c>
      <c r="AF86" s="141" t="e">
        <f t="shared" ca="1" si="170"/>
        <v>#DIV/0!</v>
      </c>
      <c r="AG86" s="141" t="e">
        <f t="shared" ca="1" si="170"/>
        <v>#DIV/0!</v>
      </c>
      <c r="AH86" s="141" t="e">
        <f t="shared" ca="1" si="170"/>
        <v>#DIV/0!</v>
      </c>
      <c r="AI86" s="141" t="e">
        <f t="shared" ca="1" si="170"/>
        <v>#DIV/0!</v>
      </c>
      <c r="AJ86" s="140"/>
    </row>
    <row r="87" spans="1:36">
      <c r="A87" s="140" t="e">
        <f ca="1"/>
        <v>#NAME?</v>
      </c>
      <c r="B87" s="140" t="e">
        <f ca="1"/>
        <v>#NAME?</v>
      </c>
      <c r="C87" s="140" t="e">
        <f ca="1"/>
        <v>#NAME?</v>
      </c>
      <c r="D87" s="140" t="e">
        <f ca="1"/>
        <v>#NAME?</v>
      </c>
      <c r="E87" s="140" t="e">
        <f ca="1"/>
        <v>#NAME?</v>
      </c>
      <c r="F87" s="140" t="e">
        <f ca="1"/>
        <v>#NAME?</v>
      </c>
      <c r="G87" s="140" t="e">
        <f ca="1"/>
        <v>#NAME?</v>
      </c>
      <c r="H87" s="140"/>
      <c r="I87" s="140">
        <f ca="1">SUMIFS('F20-2024'!I:I,'F20-2024'!$D:$D,$D87,'F20-2024'!$E:$E,$E87,'F20-2024'!$F:$F,$F87)</f>
        <v>0</v>
      </c>
      <c r="J87" s="140">
        <f ca="1">SUMIFS('F20-2024'!J:J,'F20-2024'!$D:$D,$D87,'F20-2024'!$E:$E,$E87,'F20-2024'!$F:$F,$F87)</f>
        <v>0</v>
      </c>
      <c r="K87" s="140">
        <f ca="1">SUMIFS('F20-2024'!K:K,'F20-2024'!$D:$D,$D87,'F20-2024'!$E:$E,$E87,'F20-2024'!$F:$F,$F87)</f>
        <v>0</v>
      </c>
      <c r="L87" s="140">
        <f ca="1">SUMIFS('F20-2024'!L:L,'F20-2024'!$D:$D,$D87,'F20-2024'!$E:$E,$E87,'F20-2024'!$F:$F,$F87)</f>
        <v>0</v>
      </c>
      <c r="M87" s="140">
        <f ca="1">SUMIFS('F20-2024'!M:M,'F20-2024'!$D:$D,$D87,'F20-2024'!$E:$E,$E87,'F20-2024'!$F:$F,$F87)</f>
        <v>0</v>
      </c>
      <c r="N87" s="140">
        <f ca="1">SUMIFS('F20-2024'!N:N,'F20-2024'!$D:$D,$D87,'F20-2024'!$E:$E,$E87,'F20-2024'!$F:$F,$F87)</f>
        <v>0</v>
      </c>
      <c r="O87" s="140">
        <f ca="1">SUMIFS('F20-2024'!O:O,'F20-2024'!$D:$D,$D87,'F20-2024'!$E:$E,$E87,'F20-2024'!$F:$F,$F87)</f>
        <v>0</v>
      </c>
      <c r="P87" s="140">
        <f ca="1">SUMIFS('F20-2024'!P:P,'F20-2024'!$D:$D,$D87,'F20-2024'!$E:$E,$E87,'F20-2024'!$F:$F,$F87)</f>
        <v>0</v>
      </c>
      <c r="Q87" s="140">
        <f ca="1">SUMIFS('F20-2024'!Q:Q,'F20-2024'!$D:$D,$D87,'F20-2024'!$E:$E,$E87,'F20-2024'!$F:$F,$F87)</f>
        <v>0</v>
      </c>
      <c r="R87" s="140">
        <f ca="1">SUMIFS('F20-2024'!R:R,'F20-2024'!$D:$D,$D87,'F20-2024'!$E:$E,$E87,'F20-2024'!$F:$F,$F87)</f>
        <v>0</v>
      </c>
      <c r="S87" s="140">
        <f ca="1">SUMIFS('F20-2024'!S:S,'F20-2024'!$D:$D,$D87,'F20-2024'!$E:$E,$E87,'F20-2024'!$F:$F,$F87)</f>
        <v>0</v>
      </c>
      <c r="T87" s="140">
        <f ca="1">SUMIFS('F20-2024'!T:T,'F20-2024'!$D:$D,$D87,'F20-2024'!$E:$E,$E87,'F20-2024'!$F:$F,$F87)</f>
        <v>0</v>
      </c>
      <c r="U87" s="140">
        <f ca="1">SUMIFS('F20-2024'!U:U,'F20-2024'!$D:$D,$D87,'F20-2024'!$E:$E,$E87,'F20-2024'!$F:$F,$F87)</f>
        <v>0</v>
      </c>
      <c r="V87" s="140"/>
      <c r="W87" s="141" t="e">
        <f t="shared" ref="W87:AA87" ca="1" si="171">J87/$I87</f>
        <v>#DIV/0!</v>
      </c>
      <c r="X87" s="141" t="e">
        <f t="shared" ca="1" si="171"/>
        <v>#DIV/0!</v>
      </c>
      <c r="Y87" s="141" t="e">
        <f t="shared" ca="1" si="171"/>
        <v>#DIV/0!</v>
      </c>
      <c r="Z87" s="141" t="e">
        <f t="shared" ca="1" si="171"/>
        <v>#DIV/0!</v>
      </c>
      <c r="AA87" s="141" t="e">
        <f t="shared" ca="1" si="171"/>
        <v>#DIV/0!</v>
      </c>
      <c r="AB87" s="141"/>
      <c r="AC87" s="141" t="e">
        <f t="shared" ca="1" si="1"/>
        <v>#DIV/0!</v>
      </c>
      <c r="AD87" s="141" t="e">
        <f t="shared" ref="AD87:AI87" ca="1" si="172">O87/$I87</f>
        <v>#DIV/0!</v>
      </c>
      <c r="AE87" s="141" t="e">
        <f t="shared" ca="1" si="172"/>
        <v>#DIV/0!</v>
      </c>
      <c r="AF87" s="141" t="e">
        <f t="shared" ca="1" si="172"/>
        <v>#DIV/0!</v>
      </c>
      <c r="AG87" s="141" t="e">
        <f t="shared" ca="1" si="172"/>
        <v>#DIV/0!</v>
      </c>
      <c r="AH87" s="141" t="e">
        <f t="shared" ca="1" si="172"/>
        <v>#DIV/0!</v>
      </c>
      <c r="AI87" s="141" t="e">
        <f t="shared" ca="1" si="172"/>
        <v>#DIV/0!</v>
      </c>
      <c r="AJ87" s="140"/>
    </row>
    <row r="88" spans="1:36">
      <c r="A88" s="140" t="e">
        <f ca="1"/>
        <v>#NAME?</v>
      </c>
      <c r="B88" s="140" t="e">
        <f ca="1"/>
        <v>#NAME?</v>
      </c>
      <c r="C88" s="140" t="e">
        <f ca="1"/>
        <v>#NAME?</v>
      </c>
      <c r="D88" s="140" t="e">
        <f ca="1"/>
        <v>#NAME?</v>
      </c>
      <c r="E88" s="140" t="e">
        <f ca="1"/>
        <v>#NAME?</v>
      </c>
      <c r="F88" s="140" t="e">
        <f ca="1"/>
        <v>#NAME?</v>
      </c>
      <c r="G88" s="140" t="e">
        <f ca="1"/>
        <v>#NAME?</v>
      </c>
      <c r="H88" s="140"/>
      <c r="I88" s="140">
        <f ca="1">SUMIFS('F20-2024'!I:I,'F20-2024'!$D:$D,$D88,'F20-2024'!$E:$E,$E88,'F20-2024'!$F:$F,$F88)</f>
        <v>0</v>
      </c>
      <c r="J88" s="140">
        <f ca="1">SUMIFS('F20-2024'!J:J,'F20-2024'!$D:$D,$D88,'F20-2024'!$E:$E,$E88,'F20-2024'!$F:$F,$F88)</f>
        <v>0</v>
      </c>
      <c r="K88" s="140">
        <f ca="1">SUMIFS('F20-2024'!K:K,'F20-2024'!$D:$D,$D88,'F20-2024'!$E:$E,$E88,'F20-2024'!$F:$F,$F88)</f>
        <v>0</v>
      </c>
      <c r="L88" s="140">
        <f ca="1">SUMIFS('F20-2024'!L:L,'F20-2024'!$D:$D,$D88,'F20-2024'!$E:$E,$E88,'F20-2024'!$F:$F,$F88)</f>
        <v>0</v>
      </c>
      <c r="M88" s="140">
        <f ca="1">SUMIFS('F20-2024'!M:M,'F20-2024'!$D:$D,$D88,'F20-2024'!$E:$E,$E88,'F20-2024'!$F:$F,$F88)</f>
        <v>0</v>
      </c>
      <c r="N88" s="140">
        <f ca="1">SUMIFS('F20-2024'!N:N,'F20-2024'!$D:$D,$D88,'F20-2024'!$E:$E,$E88,'F20-2024'!$F:$F,$F88)</f>
        <v>0</v>
      </c>
      <c r="O88" s="140">
        <f ca="1">SUMIFS('F20-2024'!O:O,'F20-2024'!$D:$D,$D88,'F20-2024'!$E:$E,$E88,'F20-2024'!$F:$F,$F88)</f>
        <v>0</v>
      </c>
      <c r="P88" s="140">
        <f ca="1">SUMIFS('F20-2024'!P:P,'F20-2024'!$D:$D,$D88,'F20-2024'!$E:$E,$E88,'F20-2024'!$F:$F,$F88)</f>
        <v>0</v>
      </c>
      <c r="Q88" s="140">
        <f ca="1">SUMIFS('F20-2024'!Q:Q,'F20-2024'!$D:$D,$D88,'F20-2024'!$E:$E,$E88,'F20-2024'!$F:$F,$F88)</f>
        <v>0</v>
      </c>
      <c r="R88" s="140">
        <f ca="1">SUMIFS('F20-2024'!R:R,'F20-2024'!$D:$D,$D88,'F20-2024'!$E:$E,$E88,'F20-2024'!$F:$F,$F88)</f>
        <v>0</v>
      </c>
      <c r="S88" s="140">
        <f ca="1">SUMIFS('F20-2024'!S:S,'F20-2024'!$D:$D,$D88,'F20-2024'!$E:$E,$E88,'F20-2024'!$F:$F,$F88)</f>
        <v>0</v>
      </c>
      <c r="T88" s="140">
        <f ca="1">SUMIFS('F20-2024'!T:T,'F20-2024'!$D:$D,$D88,'F20-2024'!$E:$E,$E88,'F20-2024'!$F:$F,$F88)</f>
        <v>0</v>
      </c>
      <c r="U88" s="140">
        <f ca="1">SUMIFS('F20-2024'!U:U,'F20-2024'!$D:$D,$D88,'F20-2024'!$E:$E,$E88,'F20-2024'!$F:$F,$F88)</f>
        <v>0</v>
      </c>
      <c r="V88" s="140"/>
      <c r="W88" s="141" t="e">
        <f t="shared" ref="W88:AA88" ca="1" si="173">J88/$I88</f>
        <v>#DIV/0!</v>
      </c>
      <c r="X88" s="141" t="e">
        <f t="shared" ca="1" si="173"/>
        <v>#DIV/0!</v>
      </c>
      <c r="Y88" s="141" t="e">
        <f t="shared" ca="1" si="173"/>
        <v>#DIV/0!</v>
      </c>
      <c r="Z88" s="141" t="e">
        <f t="shared" ca="1" si="173"/>
        <v>#DIV/0!</v>
      </c>
      <c r="AA88" s="141" t="e">
        <f t="shared" ca="1" si="173"/>
        <v>#DIV/0!</v>
      </c>
      <c r="AB88" s="141"/>
      <c r="AC88" s="141" t="e">
        <f t="shared" ca="1" si="1"/>
        <v>#DIV/0!</v>
      </c>
      <c r="AD88" s="141" t="e">
        <f t="shared" ref="AD88:AI88" ca="1" si="174">O88/$I88</f>
        <v>#DIV/0!</v>
      </c>
      <c r="AE88" s="141" t="e">
        <f t="shared" ca="1" si="174"/>
        <v>#DIV/0!</v>
      </c>
      <c r="AF88" s="141" t="e">
        <f t="shared" ca="1" si="174"/>
        <v>#DIV/0!</v>
      </c>
      <c r="AG88" s="141" t="e">
        <f t="shared" ca="1" si="174"/>
        <v>#DIV/0!</v>
      </c>
      <c r="AH88" s="141" t="e">
        <f t="shared" ca="1" si="174"/>
        <v>#DIV/0!</v>
      </c>
      <c r="AI88" s="141" t="e">
        <f t="shared" ca="1" si="174"/>
        <v>#DIV/0!</v>
      </c>
      <c r="AJ88" s="140"/>
    </row>
    <row r="89" spans="1:36">
      <c r="A89" s="140" t="e">
        <f ca="1"/>
        <v>#NAME?</v>
      </c>
      <c r="B89" s="140" t="e">
        <f ca="1"/>
        <v>#NAME?</v>
      </c>
      <c r="C89" s="140" t="e">
        <f ca="1"/>
        <v>#NAME?</v>
      </c>
      <c r="D89" s="140" t="e">
        <f ca="1"/>
        <v>#NAME?</v>
      </c>
      <c r="E89" s="140" t="e">
        <f ca="1"/>
        <v>#NAME?</v>
      </c>
      <c r="F89" s="140" t="e">
        <f ca="1"/>
        <v>#NAME?</v>
      </c>
      <c r="G89" s="140" t="e">
        <f ca="1"/>
        <v>#NAME?</v>
      </c>
      <c r="H89" s="140"/>
      <c r="I89" s="140">
        <f ca="1">SUMIFS('F20-2024'!I:I,'F20-2024'!$D:$D,$D89,'F20-2024'!$E:$E,$E89,'F20-2024'!$F:$F,$F89)</f>
        <v>0</v>
      </c>
      <c r="J89" s="140">
        <f ca="1">SUMIFS('F20-2024'!J:J,'F20-2024'!$D:$D,$D89,'F20-2024'!$E:$E,$E89,'F20-2024'!$F:$F,$F89)</f>
        <v>0</v>
      </c>
      <c r="K89" s="140">
        <f ca="1">SUMIFS('F20-2024'!K:K,'F20-2024'!$D:$D,$D89,'F20-2024'!$E:$E,$E89,'F20-2024'!$F:$F,$F89)</f>
        <v>0</v>
      </c>
      <c r="L89" s="140">
        <f ca="1">SUMIFS('F20-2024'!L:L,'F20-2024'!$D:$D,$D89,'F20-2024'!$E:$E,$E89,'F20-2024'!$F:$F,$F89)</f>
        <v>0</v>
      </c>
      <c r="M89" s="140">
        <f ca="1">SUMIFS('F20-2024'!M:M,'F20-2024'!$D:$D,$D89,'F20-2024'!$E:$E,$E89,'F20-2024'!$F:$F,$F89)</f>
        <v>0</v>
      </c>
      <c r="N89" s="140">
        <f ca="1">SUMIFS('F20-2024'!N:N,'F20-2024'!$D:$D,$D89,'F20-2024'!$E:$E,$E89,'F20-2024'!$F:$F,$F89)</f>
        <v>0</v>
      </c>
      <c r="O89" s="140">
        <f ca="1">SUMIFS('F20-2024'!O:O,'F20-2024'!$D:$D,$D89,'F20-2024'!$E:$E,$E89,'F20-2024'!$F:$F,$F89)</f>
        <v>0</v>
      </c>
      <c r="P89" s="140">
        <f ca="1">SUMIFS('F20-2024'!P:P,'F20-2024'!$D:$D,$D89,'F20-2024'!$E:$E,$E89,'F20-2024'!$F:$F,$F89)</f>
        <v>0</v>
      </c>
      <c r="Q89" s="140">
        <f ca="1">SUMIFS('F20-2024'!Q:Q,'F20-2024'!$D:$D,$D89,'F20-2024'!$E:$E,$E89,'F20-2024'!$F:$F,$F89)</f>
        <v>0</v>
      </c>
      <c r="R89" s="140">
        <f ca="1">SUMIFS('F20-2024'!R:R,'F20-2024'!$D:$D,$D89,'F20-2024'!$E:$E,$E89,'F20-2024'!$F:$F,$F89)</f>
        <v>0</v>
      </c>
      <c r="S89" s="140">
        <f ca="1">SUMIFS('F20-2024'!S:S,'F20-2024'!$D:$D,$D89,'F20-2024'!$E:$E,$E89,'F20-2024'!$F:$F,$F89)</f>
        <v>0</v>
      </c>
      <c r="T89" s="140">
        <f ca="1">SUMIFS('F20-2024'!T:T,'F20-2024'!$D:$D,$D89,'F20-2024'!$E:$E,$E89,'F20-2024'!$F:$F,$F89)</f>
        <v>0</v>
      </c>
      <c r="U89" s="140">
        <f ca="1">SUMIFS('F20-2024'!U:U,'F20-2024'!$D:$D,$D89,'F20-2024'!$E:$E,$E89,'F20-2024'!$F:$F,$F89)</f>
        <v>0</v>
      </c>
      <c r="V89" s="140"/>
      <c r="W89" s="141" t="e">
        <f t="shared" ref="W89:AA89" ca="1" si="175">J89/$I89</f>
        <v>#DIV/0!</v>
      </c>
      <c r="X89" s="141" t="e">
        <f t="shared" ca="1" si="175"/>
        <v>#DIV/0!</v>
      </c>
      <c r="Y89" s="141" t="e">
        <f t="shared" ca="1" si="175"/>
        <v>#DIV/0!</v>
      </c>
      <c r="Z89" s="141" t="e">
        <f t="shared" ca="1" si="175"/>
        <v>#DIV/0!</v>
      </c>
      <c r="AA89" s="141" t="e">
        <f t="shared" ca="1" si="175"/>
        <v>#DIV/0!</v>
      </c>
      <c r="AB89" s="141"/>
      <c r="AC89" s="141" t="e">
        <f t="shared" ca="1" si="1"/>
        <v>#DIV/0!</v>
      </c>
      <c r="AD89" s="141" t="e">
        <f t="shared" ref="AD89:AI89" ca="1" si="176">O89/$I89</f>
        <v>#DIV/0!</v>
      </c>
      <c r="AE89" s="141" t="e">
        <f t="shared" ca="1" si="176"/>
        <v>#DIV/0!</v>
      </c>
      <c r="AF89" s="141" t="e">
        <f t="shared" ca="1" si="176"/>
        <v>#DIV/0!</v>
      </c>
      <c r="AG89" s="141" t="e">
        <f t="shared" ca="1" si="176"/>
        <v>#DIV/0!</v>
      </c>
      <c r="AH89" s="141" t="e">
        <f t="shared" ca="1" si="176"/>
        <v>#DIV/0!</v>
      </c>
      <c r="AI89" s="141" t="e">
        <f t="shared" ca="1" si="176"/>
        <v>#DIV/0!</v>
      </c>
      <c r="AJ89" s="140"/>
    </row>
    <row r="90" spans="1:36">
      <c r="A90" s="140" t="e">
        <f ca="1"/>
        <v>#NAME?</v>
      </c>
      <c r="B90" s="140" t="e">
        <f ca="1"/>
        <v>#NAME?</v>
      </c>
      <c r="C90" s="140" t="e">
        <f ca="1"/>
        <v>#NAME?</v>
      </c>
      <c r="D90" s="140" t="e">
        <f ca="1"/>
        <v>#NAME?</v>
      </c>
      <c r="E90" s="140" t="e">
        <f ca="1"/>
        <v>#NAME?</v>
      </c>
      <c r="F90" s="140" t="e">
        <f ca="1"/>
        <v>#NAME?</v>
      </c>
      <c r="G90" s="140" t="e">
        <f ca="1"/>
        <v>#NAME?</v>
      </c>
      <c r="H90" s="140"/>
      <c r="I90" s="140">
        <f ca="1">SUMIFS('F20-2024'!I:I,'F20-2024'!$D:$D,$D90,'F20-2024'!$E:$E,$E90,'F20-2024'!$F:$F,$F90)</f>
        <v>0</v>
      </c>
      <c r="J90" s="140">
        <f ca="1">SUMIFS('F20-2024'!J:J,'F20-2024'!$D:$D,$D90,'F20-2024'!$E:$E,$E90,'F20-2024'!$F:$F,$F90)</f>
        <v>0</v>
      </c>
      <c r="K90" s="140">
        <f ca="1">SUMIFS('F20-2024'!K:K,'F20-2024'!$D:$D,$D90,'F20-2024'!$E:$E,$E90,'F20-2024'!$F:$F,$F90)</f>
        <v>0</v>
      </c>
      <c r="L90" s="140">
        <f ca="1">SUMIFS('F20-2024'!L:L,'F20-2024'!$D:$D,$D90,'F20-2024'!$E:$E,$E90,'F20-2024'!$F:$F,$F90)</f>
        <v>0</v>
      </c>
      <c r="M90" s="140">
        <f ca="1">SUMIFS('F20-2024'!M:M,'F20-2024'!$D:$D,$D90,'F20-2024'!$E:$E,$E90,'F20-2024'!$F:$F,$F90)</f>
        <v>0</v>
      </c>
      <c r="N90" s="140">
        <f ca="1">SUMIFS('F20-2024'!N:N,'F20-2024'!$D:$D,$D90,'F20-2024'!$E:$E,$E90,'F20-2024'!$F:$F,$F90)</f>
        <v>0</v>
      </c>
      <c r="O90" s="140">
        <f ca="1">SUMIFS('F20-2024'!O:O,'F20-2024'!$D:$D,$D90,'F20-2024'!$E:$E,$E90,'F20-2024'!$F:$F,$F90)</f>
        <v>0</v>
      </c>
      <c r="P90" s="140">
        <f ca="1">SUMIFS('F20-2024'!P:P,'F20-2024'!$D:$D,$D90,'F20-2024'!$E:$E,$E90,'F20-2024'!$F:$F,$F90)</f>
        <v>0</v>
      </c>
      <c r="Q90" s="140">
        <f ca="1">SUMIFS('F20-2024'!Q:Q,'F20-2024'!$D:$D,$D90,'F20-2024'!$E:$E,$E90,'F20-2024'!$F:$F,$F90)</f>
        <v>0</v>
      </c>
      <c r="R90" s="140">
        <f ca="1">SUMIFS('F20-2024'!R:R,'F20-2024'!$D:$D,$D90,'F20-2024'!$E:$E,$E90,'F20-2024'!$F:$F,$F90)</f>
        <v>0</v>
      </c>
      <c r="S90" s="140">
        <f ca="1">SUMIFS('F20-2024'!S:S,'F20-2024'!$D:$D,$D90,'F20-2024'!$E:$E,$E90,'F20-2024'!$F:$F,$F90)</f>
        <v>0</v>
      </c>
      <c r="T90" s="140">
        <f ca="1">SUMIFS('F20-2024'!T:T,'F20-2024'!$D:$D,$D90,'F20-2024'!$E:$E,$E90,'F20-2024'!$F:$F,$F90)</f>
        <v>0</v>
      </c>
      <c r="U90" s="140">
        <f ca="1">SUMIFS('F20-2024'!U:U,'F20-2024'!$D:$D,$D90,'F20-2024'!$E:$E,$E90,'F20-2024'!$F:$F,$F90)</f>
        <v>0</v>
      </c>
      <c r="V90" s="140"/>
      <c r="W90" s="141" t="e">
        <f t="shared" ref="W90:AA90" ca="1" si="177">J90/$I90</f>
        <v>#DIV/0!</v>
      </c>
      <c r="X90" s="141" t="e">
        <f t="shared" ca="1" si="177"/>
        <v>#DIV/0!</v>
      </c>
      <c r="Y90" s="141" t="e">
        <f t="shared" ca="1" si="177"/>
        <v>#DIV/0!</v>
      </c>
      <c r="Z90" s="141" t="e">
        <f t="shared" ca="1" si="177"/>
        <v>#DIV/0!</v>
      </c>
      <c r="AA90" s="141" t="e">
        <f t="shared" ca="1" si="177"/>
        <v>#DIV/0!</v>
      </c>
      <c r="AB90" s="141"/>
      <c r="AC90" s="141" t="e">
        <f t="shared" ca="1" si="1"/>
        <v>#DIV/0!</v>
      </c>
      <c r="AD90" s="141" t="e">
        <f t="shared" ref="AD90:AI90" ca="1" si="178">O90/$I90</f>
        <v>#DIV/0!</v>
      </c>
      <c r="AE90" s="141" t="e">
        <f t="shared" ca="1" si="178"/>
        <v>#DIV/0!</v>
      </c>
      <c r="AF90" s="141" t="e">
        <f t="shared" ca="1" si="178"/>
        <v>#DIV/0!</v>
      </c>
      <c r="AG90" s="141" t="e">
        <f t="shared" ca="1" si="178"/>
        <v>#DIV/0!</v>
      </c>
      <c r="AH90" s="141" t="e">
        <f t="shared" ca="1" si="178"/>
        <v>#DIV/0!</v>
      </c>
      <c r="AI90" s="141" t="e">
        <f t="shared" ca="1" si="178"/>
        <v>#DIV/0!</v>
      </c>
      <c r="AJ90" s="140"/>
    </row>
    <row r="91" spans="1:36">
      <c r="A91" s="140" t="e">
        <f ca="1"/>
        <v>#NAME?</v>
      </c>
      <c r="B91" s="140" t="e">
        <f ca="1"/>
        <v>#NAME?</v>
      </c>
      <c r="C91" s="140" t="e">
        <f ca="1"/>
        <v>#NAME?</v>
      </c>
      <c r="D91" s="140" t="e">
        <f ca="1"/>
        <v>#NAME?</v>
      </c>
      <c r="E91" s="140" t="e">
        <f ca="1"/>
        <v>#NAME?</v>
      </c>
      <c r="F91" s="140" t="e">
        <f ca="1"/>
        <v>#NAME?</v>
      </c>
      <c r="G91" s="140" t="e">
        <f ca="1"/>
        <v>#NAME?</v>
      </c>
      <c r="H91" s="140"/>
      <c r="I91" s="140">
        <f ca="1">SUMIFS('F20-2024'!I:I,'F20-2024'!$D:$D,$D91,'F20-2024'!$E:$E,$E91,'F20-2024'!$F:$F,$F91)</f>
        <v>0</v>
      </c>
      <c r="J91" s="140">
        <f ca="1">SUMIFS('F20-2024'!J:J,'F20-2024'!$D:$D,$D91,'F20-2024'!$E:$E,$E91,'F20-2024'!$F:$F,$F91)</f>
        <v>0</v>
      </c>
      <c r="K91" s="140">
        <f ca="1">SUMIFS('F20-2024'!K:K,'F20-2024'!$D:$D,$D91,'F20-2024'!$E:$E,$E91,'F20-2024'!$F:$F,$F91)</f>
        <v>0</v>
      </c>
      <c r="L91" s="140">
        <f ca="1">SUMIFS('F20-2024'!L:L,'F20-2024'!$D:$D,$D91,'F20-2024'!$E:$E,$E91,'F20-2024'!$F:$F,$F91)</f>
        <v>0</v>
      </c>
      <c r="M91" s="140">
        <f ca="1">SUMIFS('F20-2024'!M:M,'F20-2024'!$D:$D,$D91,'F20-2024'!$E:$E,$E91,'F20-2024'!$F:$F,$F91)</f>
        <v>0</v>
      </c>
      <c r="N91" s="140">
        <f ca="1">SUMIFS('F20-2024'!N:N,'F20-2024'!$D:$D,$D91,'F20-2024'!$E:$E,$E91,'F20-2024'!$F:$F,$F91)</f>
        <v>0</v>
      </c>
      <c r="O91" s="140">
        <f ca="1">SUMIFS('F20-2024'!O:O,'F20-2024'!$D:$D,$D91,'F20-2024'!$E:$E,$E91,'F20-2024'!$F:$F,$F91)</f>
        <v>0</v>
      </c>
      <c r="P91" s="140">
        <f ca="1">SUMIFS('F20-2024'!P:P,'F20-2024'!$D:$D,$D91,'F20-2024'!$E:$E,$E91,'F20-2024'!$F:$F,$F91)</f>
        <v>0</v>
      </c>
      <c r="Q91" s="140">
        <f ca="1">SUMIFS('F20-2024'!Q:Q,'F20-2024'!$D:$D,$D91,'F20-2024'!$E:$E,$E91,'F20-2024'!$F:$F,$F91)</f>
        <v>0</v>
      </c>
      <c r="R91" s="140">
        <f ca="1">SUMIFS('F20-2024'!R:R,'F20-2024'!$D:$D,$D91,'F20-2024'!$E:$E,$E91,'F20-2024'!$F:$F,$F91)</f>
        <v>0</v>
      </c>
      <c r="S91" s="140">
        <f ca="1">SUMIFS('F20-2024'!S:S,'F20-2024'!$D:$D,$D91,'F20-2024'!$E:$E,$E91,'F20-2024'!$F:$F,$F91)</f>
        <v>0</v>
      </c>
      <c r="T91" s="140">
        <f ca="1">SUMIFS('F20-2024'!T:T,'F20-2024'!$D:$D,$D91,'F20-2024'!$E:$E,$E91,'F20-2024'!$F:$F,$F91)</f>
        <v>0</v>
      </c>
      <c r="U91" s="140">
        <f ca="1">SUMIFS('F20-2024'!U:U,'F20-2024'!$D:$D,$D91,'F20-2024'!$E:$E,$E91,'F20-2024'!$F:$F,$F91)</f>
        <v>0</v>
      </c>
      <c r="V91" s="140"/>
      <c r="W91" s="141" t="e">
        <f t="shared" ref="W91:AA91" ca="1" si="179">J91/$I91</f>
        <v>#DIV/0!</v>
      </c>
      <c r="X91" s="141" t="e">
        <f t="shared" ca="1" si="179"/>
        <v>#DIV/0!</v>
      </c>
      <c r="Y91" s="141" t="e">
        <f t="shared" ca="1" si="179"/>
        <v>#DIV/0!</v>
      </c>
      <c r="Z91" s="141" t="e">
        <f t="shared" ca="1" si="179"/>
        <v>#DIV/0!</v>
      </c>
      <c r="AA91" s="141" t="e">
        <f t="shared" ca="1" si="179"/>
        <v>#DIV/0!</v>
      </c>
      <c r="AB91" s="141"/>
      <c r="AC91" s="141" t="e">
        <f t="shared" ca="1" si="1"/>
        <v>#DIV/0!</v>
      </c>
      <c r="AD91" s="141" t="e">
        <f t="shared" ref="AD91:AI91" ca="1" si="180">O91/$I91</f>
        <v>#DIV/0!</v>
      </c>
      <c r="AE91" s="141" t="e">
        <f t="shared" ca="1" si="180"/>
        <v>#DIV/0!</v>
      </c>
      <c r="AF91" s="141" t="e">
        <f t="shared" ca="1" si="180"/>
        <v>#DIV/0!</v>
      </c>
      <c r="AG91" s="141" t="e">
        <f t="shared" ca="1" si="180"/>
        <v>#DIV/0!</v>
      </c>
      <c r="AH91" s="141" t="e">
        <f t="shared" ca="1" si="180"/>
        <v>#DIV/0!</v>
      </c>
      <c r="AI91" s="141" t="e">
        <f t="shared" ca="1" si="180"/>
        <v>#DIV/0!</v>
      </c>
      <c r="AJ91" s="140"/>
    </row>
    <row r="92" spans="1:36">
      <c r="A92" s="140" t="e">
        <f ca="1"/>
        <v>#NAME?</v>
      </c>
      <c r="B92" s="140" t="e">
        <f ca="1"/>
        <v>#NAME?</v>
      </c>
      <c r="C92" s="140" t="e">
        <f ca="1"/>
        <v>#NAME?</v>
      </c>
      <c r="D92" s="140" t="e">
        <f ca="1"/>
        <v>#NAME?</v>
      </c>
      <c r="E92" s="140" t="e">
        <f ca="1"/>
        <v>#NAME?</v>
      </c>
      <c r="F92" s="140" t="e">
        <f ca="1"/>
        <v>#NAME?</v>
      </c>
      <c r="G92" s="140" t="e">
        <f ca="1"/>
        <v>#NAME?</v>
      </c>
      <c r="H92" s="140"/>
      <c r="I92" s="140">
        <f ca="1">SUMIFS('F20-2024'!I:I,'F20-2024'!$D:$D,$D92,'F20-2024'!$E:$E,$E92,'F20-2024'!$F:$F,$F92)</f>
        <v>0</v>
      </c>
      <c r="J92" s="140">
        <f ca="1">SUMIFS('F20-2024'!J:J,'F20-2024'!$D:$D,$D92,'F20-2024'!$E:$E,$E92,'F20-2024'!$F:$F,$F92)</f>
        <v>0</v>
      </c>
      <c r="K92" s="140">
        <f ca="1">SUMIFS('F20-2024'!K:K,'F20-2024'!$D:$D,$D92,'F20-2024'!$E:$E,$E92,'F20-2024'!$F:$F,$F92)</f>
        <v>0</v>
      </c>
      <c r="L92" s="140">
        <f ca="1">SUMIFS('F20-2024'!L:L,'F20-2024'!$D:$D,$D92,'F20-2024'!$E:$E,$E92,'F20-2024'!$F:$F,$F92)</f>
        <v>0</v>
      </c>
      <c r="M92" s="140">
        <f ca="1">SUMIFS('F20-2024'!M:M,'F20-2024'!$D:$D,$D92,'F20-2024'!$E:$E,$E92,'F20-2024'!$F:$F,$F92)</f>
        <v>0</v>
      </c>
      <c r="N92" s="140">
        <f ca="1">SUMIFS('F20-2024'!N:N,'F20-2024'!$D:$D,$D92,'F20-2024'!$E:$E,$E92,'F20-2024'!$F:$F,$F92)</f>
        <v>0</v>
      </c>
      <c r="O92" s="140">
        <f ca="1">SUMIFS('F20-2024'!O:O,'F20-2024'!$D:$D,$D92,'F20-2024'!$E:$E,$E92,'F20-2024'!$F:$F,$F92)</f>
        <v>0</v>
      </c>
      <c r="P92" s="140">
        <f ca="1">SUMIFS('F20-2024'!P:P,'F20-2024'!$D:$D,$D92,'F20-2024'!$E:$E,$E92,'F20-2024'!$F:$F,$F92)</f>
        <v>0</v>
      </c>
      <c r="Q92" s="140">
        <f ca="1">SUMIFS('F20-2024'!Q:Q,'F20-2024'!$D:$D,$D92,'F20-2024'!$E:$E,$E92,'F20-2024'!$F:$F,$F92)</f>
        <v>0</v>
      </c>
      <c r="R92" s="140">
        <f ca="1">SUMIFS('F20-2024'!R:R,'F20-2024'!$D:$D,$D92,'F20-2024'!$E:$E,$E92,'F20-2024'!$F:$F,$F92)</f>
        <v>0</v>
      </c>
      <c r="S92" s="140">
        <f ca="1">SUMIFS('F20-2024'!S:S,'F20-2024'!$D:$D,$D92,'F20-2024'!$E:$E,$E92,'F20-2024'!$F:$F,$F92)</f>
        <v>0</v>
      </c>
      <c r="T92" s="140">
        <f ca="1">SUMIFS('F20-2024'!T:T,'F20-2024'!$D:$D,$D92,'F20-2024'!$E:$E,$E92,'F20-2024'!$F:$F,$F92)</f>
        <v>0</v>
      </c>
      <c r="U92" s="140">
        <f ca="1">SUMIFS('F20-2024'!U:U,'F20-2024'!$D:$D,$D92,'F20-2024'!$E:$E,$E92,'F20-2024'!$F:$F,$F92)</f>
        <v>0</v>
      </c>
      <c r="V92" s="140"/>
      <c r="W92" s="141" t="e">
        <f t="shared" ref="W92:AA92" ca="1" si="181">J92/$I92</f>
        <v>#DIV/0!</v>
      </c>
      <c r="X92" s="141" t="e">
        <f t="shared" ca="1" si="181"/>
        <v>#DIV/0!</v>
      </c>
      <c r="Y92" s="141" t="e">
        <f t="shared" ca="1" si="181"/>
        <v>#DIV/0!</v>
      </c>
      <c r="Z92" s="141" t="e">
        <f t="shared" ca="1" si="181"/>
        <v>#DIV/0!</v>
      </c>
      <c r="AA92" s="141" t="e">
        <f t="shared" ca="1" si="181"/>
        <v>#DIV/0!</v>
      </c>
      <c r="AB92" s="141"/>
      <c r="AC92" s="141" t="e">
        <f t="shared" ca="1" si="1"/>
        <v>#DIV/0!</v>
      </c>
      <c r="AD92" s="141" t="e">
        <f t="shared" ref="AD92:AI92" ca="1" si="182">O92/$I92</f>
        <v>#DIV/0!</v>
      </c>
      <c r="AE92" s="141" t="e">
        <f t="shared" ca="1" si="182"/>
        <v>#DIV/0!</v>
      </c>
      <c r="AF92" s="141" t="e">
        <f t="shared" ca="1" si="182"/>
        <v>#DIV/0!</v>
      </c>
      <c r="AG92" s="141" t="e">
        <f t="shared" ca="1" si="182"/>
        <v>#DIV/0!</v>
      </c>
      <c r="AH92" s="141" t="e">
        <f t="shared" ca="1" si="182"/>
        <v>#DIV/0!</v>
      </c>
      <c r="AI92" s="141" t="e">
        <f t="shared" ca="1" si="182"/>
        <v>#DIV/0!</v>
      </c>
      <c r="AJ92" s="140"/>
    </row>
    <row r="93" spans="1:36">
      <c r="A93" s="140" t="e">
        <f ca="1"/>
        <v>#NAME?</v>
      </c>
      <c r="B93" s="140" t="e">
        <f ca="1"/>
        <v>#NAME?</v>
      </c>
      <c r="C93" s="140" t="e">
        <f ca="1"/>
        <v>#NAME?</v>
      </c>
      <c r="D93" s="140" t="e">
        <f ca="1"/>
        <v>#NAME?</v>
      </c>
      <c r="E93" s="140" t="e">
        <f ca="1"/>
        <v>#NAME?</v>
      </c>
      <c r="F93" s="140" t="e">
        <f ca="1"/>
        <v>#NAME?</v>
      </c>
      <c r="G93" s="140" t="e">
        <f ca="1"/>
        <v>#NAME?</v>
      </c>
      <c r="H93" s="140"/>
      <c r="I93" s="140">
        <f ca="1">SUMIFS('F20-2024'!I:I,'F20-2024'!$D:$D,$D93,'F20-2024'!$E:$E,$E93,'F20-2024'!$F:$F,$F93)</f>
        <v>0</v>
      </c>
      <c r="J93" s="140">
        <f ca="1">SUMIFS('F20-2024'!J:J,'F20-2024'!$D:$D,$D93,'F20-2024'!$E:$E,$E93,'F20-2024'!$F:$F,$F93)</f>
        <v>0</v>
      </c>
      <c r="K93" s="140">
        <f ca="1">SUMIFS('F20-2024'!K:K,'F20-2024'!$D:$D,$D93,'F20-2024'!$E:$E,$E93,'F20-2024'!$F:$F,$F93)</f>
        <v>0</v>
      </c>
      <c r="L93" s="140">
        <f ca="1">SUMIFS('F20-2024'!L:L,'F20-2024'!$D:$D,$D93,'F20-2024'!$E:$E,$E93,'F20-2024'!$F:$F,$F93)</f>
        <v>0</v>
      </c>
      <c r="M93" s="140">
        <f ca="1">SUMIFS('F20-2024'!M:M,'F20-2024'!$D:$D,$D93,'F20-2024'!$E:$E,$E93,'F20-2024'!$F:$F,$F93)</f>
        <v>0</v>
      </c>
      <c r="N93" s="140">
        <f ca="1">SUMIFS('F20-2024'!N:N,'F20-2024'!$D:$D,$D93,'F20-2024'!$E:$E,$E93,'F20-2024'!$F:$F,$F93)</f>
        <v>0</v>
      </c>
      <c r="O93" s="140">
        <f ca="1">SUMIFS('F20-2024'!O:O,'F20-2024'!$D:$D,$D93,'F20-2024'!$E:$E,$E93,'F20-2024'!$F:$F,$F93)</f>
        <v>0</v>
      </c>
      <c r="P93" s="140">
        <f ca="1">SUMIFS('F20-2024'!P:P,'F20-2024'!$D:$D,$D93,'F20-2024'!$E:$E,$E93,'F20-2024'!$F:$F,$F93)</f>
        <v>0</v>
      </c>
      <c r="Q93" s="140">
        <f ca="1">SUMIFS('F20-2024'!Q:Q,'F20-2024'!$D:$D,$D93,'F20-2024'!$E:$E,$E93,'F20-2024'!$F:$F,$F93)</f>
        <v>0</v>
      </c>
      <c r="R93" s="140">
        <f ca="1">SUMIFS('F20-2024'!R:R,'F20-2024'!$D:$D,$D93,'F20-2024'!$E:$E,$E93,'F20-2024'!$F:$F,$F93)</f>
        <v>0</v>
      </c>
      <c r="S93" s="140">
        <f ca="1">SUMIFS('F20-2024'!S:S,'F20-2024'!$D:$D,$D93,'F20-2024'!$E:$E,$E93,'F20-2024'!$F:$F,$F93)</f>
        <v>0</v>
      </c>
      <c r="T93" s="140">
        <f ca="1">SUMIFS('F20-2024'!T:T,'F20-2024'!$D:$D,$D93,'F20-2024'!$E:$E,$E93,'F20-2024'!$F:$F,$F93)</f>
        <v>0</v>
      </c>
      <c r="U93" s="140">
        <f ca="1">SUMIFS('F20-2024'!U:U,'F20-2024'!$D:$D,$D93,'F20-2024'!$E:$E,$E93,'F20-2024'!$F:$F,$F93)</f>
        <v>0</v>
      </c>
      <c r="V93" s="140"/>
      <c r="W93" s="141" t="e">
        <f t="shared" ref="W93:AA93" ca="1" si="183">J93/$I93</f>
        <v>#DIV/0!</v>
      </c>
      <c r="X93" s="141" t="e">
        <f t="shared" ca="1" si="183"/>
        <v>#DIV/0!</v>
      </c>
      <c r="Y93" s="141" t="e">
        <f t="shared" ca="1" si="183"/>
        <v>#DIV/0!</v>
      </c>
      <c r="Z93" s="141" t="e">
        <f t="shared" ca="1" si="183"/>
        <v>#DIV/0!</v>
      </c>
      <c r="AA93" s="141" t="e">
        <f t="shared" ca="1" si="183"/>
        <v>#DIV/0!</v>
      </c>
      <c r="AB93" s="141"/>
      <c r="AC93" s="141" t="e">
        <f t="shared" ca="1" si="1"/>
        <v>#DIV/0!</v>
      </c>
      <c r="AD93" s="141" t="e">
        <f t="shared" ref="AD93:AI93" ca="1" si="184">O93/$I93</f>
        <v>#DIV/0!</v>
      </c>
      <c r="AE93" s="141" t="e">
        <f t="shared" ca="1" si="184"/>
        <v>#DIV/0!</v>
      </c>
      <c r="AF93" s="141" t="e">
        <f t="shared" ca="1" si="184"/>
        <v>#DIV/0!</v>
      </c>
      <c r="AG93" s="141" t="e">
        <f t="shared" ca="1" si="184"/>
        <v>#DIV/0!</v>
      </c>
      <c r="AH93" s="141" t="e">
        <f t="shared" ca="1" si="184"/>
        <v>#DIV/0!</v>
      </c>
      <c r="AI93" s="141" t="e">
        <f t="shared" ca="1" si="184"/>
        <v>#DIV/0!</v>
      </c>
      <c r="AJ93" s="140"/>
    </row>
    <row r="94" spans="1:36">
      <c r="A94" s="140" t="e">
        <f ca="1"/>
        <v>#NAME?</v>
      </c>
      <c r="B94" s="140" t="e">
        <f ca="1"/>
        <v>#NAME?</v>
      </c>
      <c r="C94" s="140" t="e">
        <f ca="1"/>
        <v>#NAME?</v>
      </c>
      <c r="D94" s="140" t="e">
        <f ca="1"/>
        <v>#NAME?</v>
      </c>
      <c r="E94" s="140" t="e">
        <f ca="1"/>
        <v>#NAME?</v>
      </c>
      <c r="F94" s="140" t="e">
        <f ca="1"/>
        <v>#NAME?</v>
      </c>
      <c r="G94" s="140" t="e">
        <f ca="1"/>
        <v>#NAME?</v>
      </c>
      <c r="H94" s="140"/>
      <c r="I94" s="140">
        <f ca="1">SUMIFS('F20-2024'!I:I,'F20-2024'!$D:$D,$D94,'F20-2024'!$E:$E,$E94,'F20-2024'!$F:$F,$F94)</f>
        <v>0</v>
      </c>
      <c r="J94" s="140">
        <f ca="1">SUMIFS('F20-2024'!J:J,'F20-2024'!$D:$D,$D94,'F20-2024'!$E:$E,$E94,'F20-2024'!$F:$F,$F94)</f>
        <v>0</v>
      </c>
      <c r="K94" s="140">
        <f ca="1">SUMIFS('F20-2024'!K:K,'F20-2024'!$D:$D,$D94,'F20-2024'!$E:$E,$E94,'F20-2024'!$F:$F,$F94)</f>
        <v>0</v>
      </c>
      <c r="L94" s="140">
        <f ca="1">SUMIFS('F20-2024'!L:L,'F20-2024'!$D:$D,$D94,'F20-2024'!$E:$E,$E94,'F20-2024'!$F:$F,$F94)</f>
        <v>0</v>
      </c>
      <c r="M94" s="140">
        <f ca="1">SUMIFS('F20-2024'!M:M,'F20-2024'!$D:$D,$D94,'F20-2024'!$E:$E,$E94,'F20-2024'!$F:$F,$F94)</f>
        <v>0</v>
      </c>
      <c r="N94" s="140">
        <f ca="1">SUMIFS('F20-2024'!N:N,'F20-2024'!$D:$D,$D94,'F20-2024'!$E:$E,$E94,'F20-2024'!$F:$F,$F94)</f>
        <v>0</v>
      </c>
      <c r="O94" s="140">
        <f ca="1">SUMIFS('F20-2024'!O:O,'F20-2024'!$D:$D,$D94,'F20-2024'!$E:$E,$E94,'F20-2024'!$F:$F,$F94)</f>
        <v>0</v>
      </c>
      <c r="P94" s="140">
        <f ca="1">SUMIFS('F20-2024'!P:P,'F20-2024'!$D:$D,$D94,'F20-2024'!$E:$E,$E94,'F20-2024'!$F:$F,$F94)</f>
        <v>0</v>
      </c>
      <c r="Q94" s="140">
        <f ca="1">SUMIFS('F20-2024'!Q:Q,'F20-2024'!$D:$D,$D94,'F20-2024'!$E:$E,$E94,'F20-2024'!$F:$F,$F94)</f>
        <v>0</v>
      </c>
      <c r="R94" s="140">
        <f ca="1">SUMIFS('F20-2024'!R:R,'F20-2024'!$D:$D,$D94,'F20-2024'!$E:$E,$E94,'F20-2024'!$F:$F,$F94)</f>
        <v>0</v>
      </c>
      <c r="S94" s="140">
        <f ca="1">SUMIFS('F20-2024'!S:S,'F20-2024'!$D:$D,$D94,'F20-2024'!$E:$E,$E94,'F20-2024'!$F:$F,$F94)</f>
        <v>0</v>
      </c>
      <c r="T94" s="140">
        <f ca="1">SUMIFS('F20-2024'!T:T,'F20-2024'!$D:$D,$D94,'F20-2024'!$E:$E,$E94,'F20-2024'!$F:$F,$F94)</f>
        <v>0</v>
      </c>
      <c r="U94" s="140">
        <f ca="1">SUMIFS('F20-2024'!U:U,'F20-2024'!$D:$D,$D94,'F20-2024'!$E:$E,$E94,'F20-2024'!$F:$F,$F94)</f>
        <v>0</v>
      </c>
      <c r="V94" s="140"/>
      <c r="W94" s="141" t="e">
        <f t="shared" ref="W94:AA94" ca="1" si="185">J94/$I94</f>
        <v>#DIV/0!</v>
      </c>
      <c r="X94" s="141" t="e">
        <f t="shared" ca="1" si="185"/>
        <v>#DIV/0!</v>
      </c>
      <c r="Y94" s="141" t="e">
        <f t="shared" ca="1" si="185"/>
        <v>#DIV/0!</v>
      </c>
      <c r="Z94" s="141" t="e">
        <f t="shared" ca="1" si="185"/>
        <v>#DIV/0!</v>
      </c>
      <c r="AA94" s="141" t="e">
        <f t="shared" ca="1" si="185"/>
        <v>#DIV/0!</v>
      </c>
      <c r="AB94" s="141"/>
      <c r="AC94" s="141" t="e">
        <f t="shared" ca="1" si="1"/>
        <v>#DIV/0!</v>
      </c>
      <c r="AD94" s="141" t="e">
        <f t="shared" ref="AD94:AI94" ca="1" si="186">O94/$I94</f>
        <v>#DIV/0!</v>
      </c>
      <c r="AE94" s="141" t="e">
        <f t="shared" ca="1" si="186"/>
        <v>#DIV/0!</v>
      </c>
      <c r="AF94" s="141" t="e">
        <f t="shared" ca="1" si="186"/>
        <v>#DIV/0!</v>
      </c>
      <c r="AG94" s="141" t="e">
        <f t="shared" ca="1" si="186"/>
        <v>#DIV/0!</v>
      </c>
      <c r="AH94" s="141" t="e">
        <f t="shared" ca="1" si="186"/>
        <v>#DIV/0!</v>
      </c>
      <c r="AI94" s="141" t="e">
        <f t="shared" ca="1" si="186"/>
        <v>#DIV/0!</v>
      </c>
      <c r="AJ94" s="140"/>
    </row>
    <row r="95" spans="1:36">
      <c r="A95" s="140" t="e">
        <f ca="1"/>
        <v>#NAME?</v>
      </c>
      <c r="B95" s="140" t="e">
        <f ca="1"/>
        <v>#NAME?</v>
      </c>
      <c r="C95" s="140" t="e">
        <f ca="1"/>
        <v>#NAME?</v>
      </c>
      <c r="D95" s="140" t="e">
        <f ca="1"/>
        <v>#NAME?</v>
      </c>
      <c r="E95" s="140" t="e">
        <f ca="1"/>
        <v>#NAME?</v>
      </c>
      <c r="F95" s="140" t="e">
        <f ca="1"/>
        <v>#NAME?</v>
      </c>
      <c r="G95" s="140" t="e">
        <f ca="1"/>
        <v>#NAME?</v>
      </c>
      <c r="H95" s="140"/>
      <c r="I95" s="140">
        <f ca="1">SUMIFS('F20-2024'!I:I,'F20-2024'!$D:$D,$D95,'F20-2024'!$E:$E,$E95,'F20-2024'!$F:$F,$F95)</f>
        <v>0</v>
      </c>
      <c r="J95" s="140">
        <f ca="1">SUMIFS('F20-2024'!J:J,'F20-2024'!$D:$D,$D95,'F20-2024'!$E:$E,$E95,'F20-2024'!$F:$F,$F95)</f>
        <v>0</v>
      </c>
      <c r="K95" s="140">
        <f ca="1">SUMIFS('F20-2024'!K:K,'F20-2024'!$D:$D,$D95,'F20-2024'!$E:$E,$E95,'F20-2024'!$F:$F,$F95)</f>
        <v>0</v>
      </c>
      <c r="L95" s="140">
        <f ca="1">SUMIFS('F20-2024'!L:L,'F20-2024'!$D:$D,$D95,'F20-2024'!$E:$E,$E95,'F20-2024'!$F:$F,$F95)</f>
        <v>0</v>
      </c>
      <c r="M95" s="140">
        <f ca="1">SUMIFS('F20-2024'!M:M,'F20-2024'!$D:$D,$D95,'F20-2024'!$E:$E,$E95,'F20-2024'!$F:$F,$F95)</f>
        <v>0</v>
      </c>
      <c r="N95" s="140">
        <f ca="1">SUMIFS('F20-2024'!N:N,'F20-2024'!$D:$D,$D95,'F20-2024'!$E:$E,$E95,'F20-2024'!$F:$F,$F95)</f>
        <v>0</v>
      </c>
      <c r="O95" s="140">
        <f ca="1">SUMIFS('F20-2024'!O:O,'F20-2024'!$D:$D,$D95,'F20-2024'!$E:$E,$E95,'F20-2024'!$F:$F,$F95)</f>
        <v>0</v>
      </c>
      <c r="P95" s="140">
        <f ca="1">SUMIFS('F20-2024'!P:P,'F20-2024'!$D:$D,$D95,'F20-2024'!$E:$E,$E95,'F20-2024'!$F:$F,$F95)</f>
        <v>0</v>
      </c>
      <c r="Q95" s="140">
        <f ca="1">SUMIFS('F20-2024'!Q:Q,'F20-2024'!$D:$D,$D95,'F20-2024'!$E:$E,$E95,'F20-2024'!$F:$F,$F95)</f>
        <v>0</v>
      </c>
      <c r="R95" s="140">
        <f ca="1">SUMIFS('F20-2024'!R:R,'F20-2024'!$D:$D,$D95,'F20-2024'!$E:$E,$E95,'F20-2024'!$F:$F,$F95)</f>
        <v>0</v>
      </c>
      <c r="S95" s="140">
        <f ca="1">SUMIFS('F20-2024'!S:S,'F20-2024'!$D:$D,$D95,'F20-2024'!$E:$E,$E95,'F20-2024'!$F:$F,$F95)</f>
        <v>0</v>
      </c>
      <c r="T95" s="140">
        <f ca="1">SUMIFS('F20-2024'!T:T,'F20-2024'!$D:$D,$D95,'F20-2024'!$E:$E,$E95,'F20-2024'!$F:$F,$F95)</f>
        <v>0</v>
      </c>
      <c r="U95" s="140">
        <f ca="1">SUMIFS('F20-2024'!U:U,'F20-2024'!$D:$D,$D95,'F20-2024'!$E:$E,$E95,'F20-2024'!$F:$F,$F95)</f>
        <v>0</v>
      </c>
      <c r="V95" s="140"/>
      <c r="W95" s="141" t="e">
        <f t="shared" ref="W95:AA95" ca="1" si="187">J95/$I95</f>
        <v>#DIV/0!</v>
      </c>
      <c r="X95" s="141" t="e">
        <f t="shared" ca="1" si="187"/>
        <v>#DIV/0!</v>
      </c>
      <c r="Y95" s="141" t="e">
        <f t="shared" ca="1" si="187"/>
        <v>#DIV/0!</v>
      </c>
      <c r="Z95" s="141" t="e">
        <f t="shared" ca="1" si="187"/>
        <v>#DIV/0!</v>
      </c>
      <c r="AA95" s="141" t="e">
        <f t="shared" ca="1" si="187"/>
        <v>#DIV/0!</v>
      </c>
      <c r="AB95" s="141"/>
      <c r="AC95" s="141" t="e">
        <f t="shared" ca="1" si="1"/>
        <v>#DIV/0!</v>
      </c>
      <c r="AD95" s="141" t="e">
        <f t="shared" ref="AD95:AI95" ca="1" si="188">O95/$I95</f>
        <v>#DIV/0!</v>
      </c>
      <c r="AE95" s="141" t="e">
        <f t="shared" ca="1" si="188"/>
        <v>#DIV/0!</v>
      </c>
      <c r="AF95" s="141" t="e">
        <f t="shared" ca="1" si="188"/>
        <v>#DIV/0!</v>
      </c>
      <c r="AG95" s="141" t="e">
        <f t="shared" ca="1" si="188"/>
        <v>#DIV/0!</v>
      </c>
      <c r="AH95" s="141" t="e">
        <f t="shared" ca="1" si="188"/>
        <v>#DIV/0!</v>
      </c>
      <c r="AI95" s="141" t="e">
        <f t="shared" ca="1" si="188"/>
        <v>#DIV/0!</v>
      </c>
      <c r="AJ95" s="140"/>
    </row>
    <row r="96" spans="1:36">
      <c r="A96" s="140" t="e">
        <f ca="1"/>
        <v>#NAME?</v>
      </c>
      <c r="B96" s="140" t="e">
        <f ca="1"/>
        <v>#NAME?</v>
      </c>
      <c r="C96" s="140" t="e">
        <f ca="1"/>
        <v>#NAME?</v>
      </c>
      <c r="D96" s="140" t="e">
        <f ca="1"/>
        <v>#NAME?</v>
      </c>
      <c r="E96" s="140" t="e">
        <f ca="1"/>
        <v>#NAME?</v>
      </c>
      <c r="F96" s="140" t="e">
        <f ca="1"/>
        <v>#NAME?</v>
      </c>
      <c r="G96" s="140" t="e">
        <f ca="1"/>
        <v>#NAME?</v>
      </c>
      <c r="H96" s="140"/>
      <c r="I96" s="140">
        <f ca="1">SUMIFS('F20-2024'!I:I,'F20-2024'!$D:$D,$D96,'F20-2024'!$E:$E,$E96,'F20-2024'!$F:$F,$F96)</f>
        <v>0</v>
      </c>
      <c r="J96" s="140">
        <f ca="1">SUMIFS('F20-2024'!J:J,'F20-2024'!$D:$D,$D96,'F20-2024'!$E:$E,$E96,'F20-2024'!$F:$F,$F96)</f>
        <v>0</v>
      </c>
      <c r="K96" s="140">
        <f ca="1">SUMIFS('F20-2024'!K:K,'F20-2024'!$D:$D,$D96,'F20-2024'!$E:$E,$E96,'F20-2024'!$F:$F,$F96)</f>
        <v>0</v>
      </c>
      <c r="L96" s="140">
        <f ca="1">SUMIFS('F20-2024'!L:L,'F20-2024'!$D:$D,$D96,'F20-2024'!$E:$E,$E96,'F20-2024'!$F:$F,$F96)</f>
        <v>0</v>
      </c>
      <c r="M96" s="140">
        <f ca="1">SUMIFS('F20-2024'!M:M,'F20-2024'!$D:$D,$D96,'F20-2024'!$E:$E,$E96,'F20-2024'!$F:$F,$F96)</f>
        <v>0</v>
      </c>
      <c r="N96" s="140">
        <f ca="1">SUMIFS('F20-2024'!N:N,'F20-2024'!$D:$D,$D96,'F20-2024'!$E:$E,$E96,'F20-2024'!$F:$F,$F96)</f>
        <v>0</v>
      </c>
      <c r="O96" s="140">
        <f ca="1">SUMIFS('F20-2024'!O:O,'F20-2024'!$D:$D,$D96,'F20-2024'!$E:$E,$E96,'F20-2024'!$F:$F,$F96)</f>
        <v>0</v>
      </c>
      <c r="P96" s="140">
        <f ca="1">SUMIFS('F20-2024'!P:P,'F20-2024'!$D:$D,$D96,'F20-2024'!$E:$E,$E96,'F20-2024'!$F:$F,$F96)</f>
        <v>0</v>
      </c>
      <c r="Q96" s="140">
        <f ca="1">SUMIFS('F20-2024'!Q:Q,'F20-2024'!$D:$D,$D96,'F20-2024'!$E:$E,$E96,'F20-2024'!$F:$F,$F96)</f>
        <v>0</v>
      </c>
      <c r="R96" s="140">
        <f ca="1">SUMIFS('F20-2024'!R:R,'F20-2024'!$D:$D,$D96,'F20-2024'!$E:$E,$E96,'F20-2024'!$F:$F,$F96)</f>
        <v>0</v>
      </c>
      <c r="S96" s="140">
        <f ca="1">SUMIFS('F20-2024'!S:S,'F20-2024'!$D:$D,$D96,'F20-2024'!$E:$E,$E96,'F20-2024'!$F:$F,$F96)</f>
        <v>0</v>
      </c>
      <c r="T96" s="140">
        <f ca="1">SUMIFS('F20-2024'!T:T,'F20-2024'!$D:$D,$D96,'F20-2024'!$E:$E,$E96,'F20-2024'!$F:$F,$F96)</f>
        <v>0</v>
      </c>
      <c r="U96" s="140">
        <f ca="1">SUMIFS('F20-2024'!U:U,'F20-2024'!$D:$D,$D96,'F20-2024'!$E:$E,$E96,'F20-2024'!$F:$F,$F96)</f>
        <v>0</v>
      </c>
      <c r="V96" s="140"/>
      <c r="W96" s="141" t="e">
        <f t="shared" ref="W96:AA96" ca="1" si="189">J96/$I96</f>
        <v>#DIV/0!</v>
      </c>
      <c r="X96" s="141" t="e">
        <f t="shared" ca="1" si="189"/>
        <v>#DIV/0!</v>
      </c>
      <c r="Y96" s="141" t="e">
        <f t="shared" ca="1" si="189"/>
        <v>#DIV/0!</v>
      </c>
      <c r="Z96" s="141" t="e">
        <f t="shared" ca="1" si="189"/>
        <v>#DIV/0!</v>
      </c>
      <c r="AA96" s="141" t="e">
        <f t="shared" ca="1" si="189"/>
        <v>#DIV/0!</v>
      </c>
      <c r="AB96" s="141"/>
      <c r="AC96" s="141" t="e">
        <f t="shared" ca="1" si="1"/>
        <v>#DIV/0!</v>
      </c>
      <c r="AD96" s="141" t="e">
        <f t="shared" ref="AD96:AI96" ca="1" si="190">O96/$I96</f>
        <v>#DIV/0!</v>
      </c>
      <c r="AE96" s="141" t="e">
        <f t="shared" ca="1" si="190"/>
        <v>#DIV/0!</v>
      </c>
      <c r="AF96" s="141" t="e">
        <f t="shared" ca="1" si="190"/>
        <v>#DIV/0!</v>
      </c>
      <c r="AG96" s="141" t="e">
        <f t="shared" ca="1" si="190"/>
        <v>#DIV/0!</v>
      </c>
      <c r="AH96" s="141" t="e">
        <f t="shared" ca="1" si="190"/>
        <v>#DIV/0!</v>
      </c>
      <c r="AI96" s="141" t="e">
        <f t="shared" ca="1" si="190"/>
        <v>#DIV/0!</v>
      </c>
      <c r="AJ96" s="140"/>
    </row>
    <row r="97" spans="1:36">
      <c r="A97" s="140" t="e">
        <f ca="1"/>
        <v>#NAME?</v>
      </c>
      <c r="B97" s="140" t="e">
        <f ca="1"/>
        <v>#NAME?</v>
      </c>
      <c r="C97" s="140" t="e">
        <f ca="1"/>
        <v>#NAME?</v>
      </c>
      <c r="D97" s="140" t="e">
        <f ca="1"/>
        <v>#NAME?</v>
      </c>
      <c r="E97" s="140" t="e">
        <f ca="1"/>
        <v>#NAME?</v>
      </c>
      <c r="F97" s="140" t="e">
        <f ca="1"/>
        <v>#NAME?</v>
      </c>
      <c r="G97" s="140" t="e">
        <f ca="1"/>
        <v>#NAME?</v>
      </c>
      <c r="H97" s="140"/>
      <c r="I97" s="140">
        <f ca="1">SUMIFS('F20-2024'!I:I,'F20-2024'!$D:$D,$D97,'F20-2024'!$E:$E,$E97,'F20-2024'!$F:$F,$F97)</f>
        <v>0</v>
      </c>
      <c r="J97" s="140">
        <f ca="1">SUMIFS('F20-2024'!J:J,'F20-2024'!$D:$D,$D97,'F20-2024'!$E:$E,$E97,'F20-2024'!$F:$F,$F97)</f>
        <v>0</v>
      </c>
      <c r="K97" s="140">
        <f ca="1">SUMIFS('F20-2024'!K:K,'F20-2024'!$D:$D,$D97,'F20-2024'!$E:$E,$E97,'F20-2024'!$F:$F,$F97)</f>
        <v>0</v>
      </c>
      <c r="L97" s="140">
        <f ca="1">SUMIFS('F20-2024'!L:L,'F20-2024'!$D:$D,$D97,'F20-2024'!$E:$E,$E97,'F20-2024'!$F:$F,$F97)</f>
        <v>0</v>
      </c>
      <c r="M97" s="140">
        <f ca="1">SUMIFS('F20-2024'!M:M,'F20-2024'!$D:$D,$D97,'F20-2024'!$E:$E,$E97,'F20-2024'!$F:$F,$F97)</f>
        <v>0</v>
      </c>
      <c r="N97" s="140">
        <f ca="1">SUMIFS('F20-2024'!N:N,'F20-2024'!$D:$D,$D97,'F20-2024'!$E:$E,$E97,'F20-2024'!$F:$F,$F97)</f>
        <v>0</v>
      </c>
      <c r="O97" s="140">
        <f ca="1">SUMIFS('F20-2024'!O:O,'F20-2024'!$D:$D,$D97,'F20-2024'!$E:$E,$E97,'F20-2024'!$F:$F,$F97)</f>
        <v>0</v>
      </c>
      <c r="P97" s="140">
        <f ca="1">SUMIFS('F20-2024'!P:P,'F20-2024'!$D:$D,$D97,'F20-2024'!$E:$E,$E97,'F20-2024'!$F:$F,$F97)</f>
        <v>0</v>
      </c>
      <c r="Q97" s="140">
        <f ca="1">SUMIFS('F20-2024'!Q:Q,'F20-2024'!$D:$D,$D97,'F20-2024'!$E:$E,$E97,'F20-2024'!$F:$F,$F97)</f>
        <v>0</v>
      </c>
      <c r="R97" s="140">
        <f ca="1">SUMIFS('F20-2024'!R:R,'F20-2024'!$D:$D,$D97,'F20-2024'!$E:$E,$E97,'F20-2024'!$F:$F,$F97)</f>
        <v>0</v>
      </c>
      <c r="S97" s="140">
        <f ca="1">SUMIFS('F20-2024'!S:S,'F20-2024'!$D:$D,$D97,'F20-2024'!$E:$E,$E97,'F20-2024'!$F:$F,$F97)</f>
        <v>0</v>
      </c>
      <c r="T97" s="140">
        <f ca="1">SUMIFS('F20-2024'!T:T,'F20-2024'!$D:$D,$D97,'F20-2024'!$E:$E,$E97,'F20-2024'!$F:$F,$F97)</f>
        <v>0</v>
      </c>
      <c r="U97" s="140">
        <f ca="1">SUMIFS('F20-2024'!U:U,'F20-2024'!$D:$D,$D97,'F20-2024'!$E:$E,$E97,'F20-2024'!$F:$F,$F97)</f>
        <v>0</v>
      </c>
      <c r="V97" s="140"/>
      <c r="W97" s="141" t="e">
        <f t="shared" ref="W97:AA97" ca="1" si="191">J97/$I97</f>
        <v>#DIV/0!</v>
      </c>
      <c r="X97" s="141" t="e">
        <f t="shared" ca="1" si="191"/>
        <v>#DIV/0!</v>
      </c>
      <c r="Y97" s="141" t="e">
        <f t="shared" ca="1" si="191"/>
        <v>#DIV/0!</v>
      </c>
      <c r="Z97" s="141" t="e">
        <f t="shared" ca="1" si="191"/>
        <v>#DIV/0!</v>
      </c>
      <c r="AA97" s="141" t="e">
        <f t="shared" ca="1" si="191"/>
        <v>#DIV/0!</v>
      </c>
      <c r="AB97" s="141"/>
      <c r="AC97" s="141" t="e">
        <f t="shared" ca="1" si="1"/>
        <v>#DIV/0!</v>
      </c>
      <c r="AD97" s="141" t="e">
        <f t="shared" ref="AD97:AI97" ca="1" si="192">O97/$I97</f>
        <v>#DIV/0!</v>
      </c>
      <c r="AE97" s="141" t="e">
        <f t="shared" ca="1" si="192"/>
        <v>#DIV/0!</v>
      </c>
      <c r="AF97" s="141" t="e">
        <f t="shared" ca="1" si="192"/>
        <v>#DIV/0!</v>
      </c>
      <c r="AG97" s="141" t="e">
        <f t="shared" ca="1" si="192"/>
        <v>#DIV/0!</v>
      </c>
      <c r="AH97" s="141" t="e">
        <f t="shared" ca="1" si="192"/>
        <v>#DIV/0!</v>
      </c>
      <c r="AI97" s="141" t="e">
        <f t="shared" ca="1" si="192"/>
        <v>#DIV/0!</v>
      </c>
      <c r="AJ97" s="140"/>
    </row>
    <row r="98" spans="1:36">
      <c r="A98" s="140" t="e">
        <f ca="1"/>
        <v>#NAME?</v>
      </c>
      <c r="B98" s="140" t="e">
        <f ca="1"/>
        <v>#NAME?</v>
      </c>
      <c r="C98" s="140" t="e">
        <f ca="1"/>
        <v>#NAME?</v>
      </c>
      <c r="D98" s="140" t="e">
        <f ca="1"/>
        <v>#NAME?</v>
      </c>
      <c r="E98" s="140" t="e">
        <f ca="1"/>
        <v>#NAME?</v>
      </c>
      <c r="F98" s="140" t="e">
        <f ca="1"/>
        <v>#NAME?</v>
      </c>
      <c r="G98" s="140" t="e">
        <f ca="1"/>
        <v>#NAME?</v>
      </c>
      <c r="H98" s="140"/>
      <c r="I98" s="140">
        <f ca="1">SUMIFS('F20-2024'!I:I,'F20-2024'!$D:$D,$D98,'F20-2024'!$E:$E,$E98,'F20-2024'!$F:$F,$F98)</f>
        <v>0</v>
      </c>
      <c r="J98" s="140">
        <f ca="1">SUMIFS('F20-2024'!J:J,'F20-2024'!$D:$D,$D98,'F20-2024'!$E:$E,$E98,'F20-2024'!$F:$F,$F98)</f>
        <v>0</v>
      </c>
      <c r="K98" s="140">
        <f ca="1">SUMIFS('F20-2024'!K:K,'F20-2024'!$D:$D,$D98,'F20-2024'!$E:$E,$E98,'F20-2024'!$F:$F,$F98)</f>
        <v>0</v>
      </c>
      <c r="L98" s="140">
        <f ca="1">SUMIFS('F20-2024'!L:L,'F20-2024'!$D:$D,$D98,'F20-2024'!$E:$E,$E98,'F20-2024'!$F:$F,$F98)</f>
        <v>0</v>
      </c>
      <c r="M98" s="140">
        <f ca="1">SUMIFS('F20-2024'!M:M,'F20-2024'!$D:$D,$D98,'F20-2024'!$E:$E,$E98,'F20-2024'!$F:$F,$F98)</f>
        <v>0</v>
      </c>
      <c r="N98" s="140">
        <f ca="1">SUMIFS('F20-2024'!N:N,'F20-2024'!$D:$D,$D98,'F20-2024'!$E:$E,$E98,'F20-2024'!$F:$F,$F98)</f>
        <v>0</v>
      </c>
      <c r="O98" s="140">
        <f ca="1">SUMIFS('F20-2024'!O:O,'F20-2024'!$D:$D,$D98,'F20-2024'!$E:$E,$E98,'F20-2024'!$F:$F,$F98)</f>
        <v>0</v>
      </c>
      <c r="P98" s="140">
        <f ca="1">SUMIFS('F20-2024'!P:P,'F20-2024'!$D:$D,$D98,'F20-2024'!$E:$E,$E98,'F20-2024'!$F:$F,$F98)</f>
        <v>0</v>
      </c>
      <c r="Q98" s="140">
        <f ca="1">SUMIFS('F20-2024'!Q:Q,'F20-2024'!$D:$D,$D98,'F20-2024'!$E:$E,$E98,'F20-2024'!$F:$F,$F98)</f>
        <v>0</v>
      </c>
      <c r="R98" s="140">
        <f ca="1">SUMIFS('F20-2024'!R:R,'F20-2024'!$D:$D,$D98,'F20-2024'!$E:$E,$E98,'F20-2024'!$F:$F,$F98)</f>
        <v>0</v>
      </c>
      <c r="S98" s="140">
        <f ca="1">SUMIFS('F20-2024'!S:S,'F20-2024'!$D:$D,$D98,'F20-2024'!$E:$E,$E98,'F20-2024'!$F:$F,$F98)</f>
        <v>0</v>
      </c>
      <c r="T98" s="140">
        <f ca="1">SUMIFS('F20-2024'!T:T,'F20-2024'!$D:$D,$D98,'F20-2024'!$E:$E,$E98,'F20-2024'!$F:$F,$F98)</f>
        <v>0</v>
      </c>
      <c r="U98" s="140">
        <f ca="1">SUMIFS('F20-2024'!U:U,'F20-2024'!$D:$D,$D98,'F20-2024'!$E:$E,$E98,'F20-2024'!$F:$F,$F98)</f>
        <v>0</v>
      </c>
      <c r="V98" s="140"/>
      <c r="W98" s="141" t="e">
        <f t="shared" ref="W98:AA98" ca="1" si="193">J98/$I98</f>
        <v>#DIV/0!</v>
      </c>
      <c r="X98" s="141" t="e">
        <f t="shared" ca="1" si="193"/>
        <v>#DIV/0!</v>
      </c>
      <c r="Y98" s="141" t="e">
        <f t="shared" ca="1" si="193"/>
        <v>#DIV/0!</v>
      </c>
      <c r="Z98" s="141" t="e">
        <f t="shared" ca="1" si="193"/>
        <v>#DIV/0!</v>
      </c>
      <c r="AA98" s="141" t="e">
        <f t="shared" ca="1" si="193"/>
        <v>#DIV/0!</v>
      </c>
      <c r="AB98" s="141"/>
      <c r="AC98" s="141" t="e">
        <f t="shared" ca="1" si="1"/>
        <v>#DIV/0!</v>
      </c>
      <c r="AD98" s="141" t="e">
        <f t="shared" ref="AD98:AI98" ca="1" si="194">O98/$I98</f>
        <v>#DIV/0!</v>
      </c>
      <c r="AE98" s="141" t="e">
        <f t="shared" ca="1" si="194"/>
        <v>#DIV/0!</v>
      </c>
      <c r="AF98" s="141" t="e">
        <f t="shared" ca="1" si="194"/>
        <v>#DIV/0!</v>
      </c>
      <c r="AG98" s="141" t="e">
        <f t="shared" ca="1" si="194"/>
        <v>#DIV/0!</v>
      </c>
      <c r="AH98" s="141" t="e">
        <f t="shared" ca="1" si="194"/>
        <v>#DIV/0!</v>
      </c>
      <c r="AI98" s="141" t="e">
        <f t="shared" ca="1" si="194"/>
        <v>#DIV/0!</v>
      </c>
      <c r="AJ98" s="140"/>
    </row>
    <row r="99" spans="1:36">
      <c r="A99" s="140" t="e">
        <f ca="1"/>
        <v>#NAME?</v>
      </c>
      <c r="B99" s="140" t="e">
        <f ca="1"/>
        <v>#NAME?</v>
      </c>
      <c r="C99" s="140" t="e">
        <f ca="1"/>
        <v>#NAME?</v>
      </c>
      <c r="D99" s="140" t="e">
        <f ca="1"/>
        <v>#NAME?</v>
      </c>
      <c r="E99" s="140" t="e">
        <f ca="1"/>
        <v>#NAME?</v>
      </c>
      <c r="F99" s="140" t="e">
        <f ca="1"/>
        <v>#NAME?</v>
      </c>
      <c r="G99" s="140" t="e">
        <f ca="1"/>
        <v>#NAME?</v>
      </c>
      <c r="H99" s="140"/>
      <c r="I99" s="140">
        <f ca="1">SUMIFS('F20-2024'!I:I,'F20-2024'!$D:$D,$D99,'F20-2024'!$E:$E,$E99,'F20-2024'!$F:$F,$F99)</f>
        <v>0</v>
      </c>
      <c r="J99" s="140">
        <f ca="1">SUMIFS('F20-2024'!J:J,'F20-2024'!$D:$D,$D99,'F20-2024'!$E:$E,$E99,'F20-2024'!$F:$F,$F99)</f>
        <v>0</v>
      </c>
      <c r="K99" s="140">
        <f ca="1">SUMIFS('F20-2024'!K:K,'F20-2024'!$D:$D,$D99,'F20-2024'!$E:$E,$E99,'F20-2024'!$F:$F,$F99)</f>
        <v>0</v>
      </c>
      <c r="L99" s="140">
        <f ca="1">SUMIFS('F20-2024'!L:L,'F20-2024'!$D:$D,$D99,'F20-2024'!$E:$E,$E99,'F20-2024'!$F:$F,$F99)</f>
        <v>0</v>
      </c>
      <c r="M99" s="140">
        <f ca="1">SUMIFS('F20-2024'!M:M,'F20-2024'!$D:$D,$D99,'F20-2024'!$E:$E,$E99,'F20-2024'!$F:$F,$F99)</f>
        <v>0</v>
      </c>
      <c r="N99" s="140">
        <f ca="1">SUMIFS('F20-2024'!N:N,'F20-2024'!$D:$D,$D99,'F20-2024'!$E:$E,$E99,'F20-2024'!$F:$F,$F99)</f>
        <v>0</v>
      </c>
      <c r="O99" s="140">
        <f ca="1">SUMIFS('F20-2024'!O:O,'F20-2024'!$D:$D,$D99,'F20-2024'!$E:$E,$E99,'F20-2024'!$F:$F,$F99)</f>
        <v>0</v>
      </c>
      <c r="P99" s="140">
        <f ca="1">SUMIFS('F20-2024'!P:P,'F20-2024'!$D:$D,$D99,'F20-2024'!$E:$E,$E99,'F20-2024'!$F:$F,$F99)</f>
        <v>0</v>
      </c>
      <c r="Q99" s="140">
        <f ca="1">SUMIFS('F20-2024'!Q:Q,'F20-2024'!$D:$D,$D99,'F20-2024'!$E:$E,$E99,'F20-2024'!$F:$F,$F99)</f>
        <v>0</v>
      </c>
      <c r="R99" s="140">
        <f ca="1">SUMIFS('F20-2024'!R:R,'F20-2024'!$D:$D,$D99,'F20-2024'!$E:$E,$E99,'F20-2024'!$F:$F,$F99)</f>
        <v>0</v>
      </c>
      <c r="S99" s="140">
        <f ca="1">SUMIFS('F20-2024'!S:S,'F20-2024'!$D:$D,$D99,'F20-2024'!$E:$E,$E99,'F20-2024'!$F:$F,$F99)</f>
        <v>0</v>
      </c>
      <c r="T99" s="140">
        <f ca="1">SUMIFS('F20-2024'!T:T,'F20-2024'!$D:$D,$D99,'F20-2024'!$E:$E,$E99,'F20-2024'!$F:$F,$F99)</f>
        <v>0</v>
      </c>
      <c r="U99" s="140">
        <f ca="1">SUMIFS('F20-2024'!U:U,'F20-2024'!$D:$D,$D99,'F20-2024'!$E:$E,$E99,'F20-2024'!$F:$F,$F99)</f>
        <v>0</v>
      </c>
      <c r="V99" s="140"/>
      <c r="W99" s="141" t="e">
        <f t="shared" ref="W99:AA99" ca="1" si="195">J99/$I99</f>
        <v>#DIV/0!</v>
      </c>
      <c r="X99" s="141" t="e">
        <f t="shared" ca="1" si="195"/>
        <v>#DIV/0!</v>
      </c>
      <c r="Y99" s="141" t="e">
        <f t="shared" ca="1" si="195"/>
        <v>#DIV/0!</v>
      </c>
      <c r="Z99" s="141" t="e">
        <f t="shared" ca="1" si="195"/>
        <v>#DIV/0!</v>
      </c>
      <c r="AA99" s="141" t="e">
        <f t="shared" ca="1" si="195"/>
        <v>#DIV/0!</v>
      </c>
      <c r="AB99" s="141"/>
      <c r="AC99" s="141" t="e">
        <f t="shared" ca="1" si="1"/>
        <v>#DIV/0!</v>
      </c>
      <c r="AD99" s="141" t="e">
        <f t="shared" ref="AD99:AI99" ca="1" si="196">O99/$I99</f>
        <v>#DIV/0!</v>
      </c>
      <c r="AE99" s="141" t="e">
        <f t="shared" ca="1" si="196"/>
        <v>#DIV/0!</v>
      </c>
      <c r="AF99" s="141" t="e">
        <f t="shared" ca="1" si="196"/>
        <v>#DIV/0!</v>
      </c>
      <c r="AG99" s="141" t="e">
        <f t="shared" ca="1" si="196"/>
        <v>#DIV/0!</v>
      </c>
      <c r="AH99" s="141" t="e">
        <f t="shared" ca="1" si="196"/>
        <v>#DIV/0!</v>
      </c>
      <c r="AI99" s="141" t="e">
        <f t="shared" ca="1" si="196"/>
        <v>#DIV/0!</v>
      </c>
      <c r="AJ99" s="140"/>
    </row>
    <row r="100" spans="1:36">
      <c r="A100" s="140" t="e">
        <f ca="1"/>
        <v>#NAME?</v>
      </c>
      <c r="B100" s="140" t="e">
        <f ca="1"/>
        <v>#NAME?</v>
      </c>
      <c r="C100" s="140" t="e">
        <f ca="1"/>
        <v>#NAME?</v>
      </c>
      <c r="D100" s="140" t="e">
        <f ca="1"/>
        <v>#NAME?</v>
      </c>
      <c r="E100" s="140" t="e">
        <f ca="1"/>
        <v>#NAME?</v>
      </c>
      <c r="F100" s="140" t="e">
        <f ca="1"/>
        <v>#NAME?</v>
      </c>
      <c r="G100" s="140" t="e">
        <f ca="1"/>
        <v>#NAME?</v>
      </c>
      <c r="H100" s="140"/>
      <c r="I100" s="140">
        <f ca="1">SUMIFS('F20-2024'!I:I,'F20-2024'!$D:$D,$D100,'F20-2024'!$E:$E,$E100,'F20-2024'!$F:$F,$F100)</f>
        <v>0</v>
      </c>
      <c r="J100" s="140">
        <f ca="1">SUMIFS('F20-2024'!J:J,'F20-2024'!$D:$D,$D100,'F20-2024'!$E:$E,$E100,'F20-2024'!$F:$F,$F100)</f>
        <v>0</v>
      </c>
      <c r="K100" s="140">
        <f ca="1">SUMIFS('F20-2024'!K:K,'F20-2024'!$D:$D,$D100,'F20-2024'!$E:$E,$E100,'F20-2024'!$F:$F,$F100)</f>
        <v>0</v>
      </c>
      <c r="L100" s="140">
        <f ca="1">SUMIFS('F20-2024'!L:L,'F20-2024'!$D:$D,$D100,'F20-2024'!$E:$E,$E100,'F20-2024'!$F:$F,$F100)</f>
        <v>0</v>
      </c>
      <c r="M100" s="140">
        <f ca="1">SUMIFS('F20-2024'!M:M,'F20-2024'!$D:$D,$D100,'F20-2024'!$E:$E,$E100,'F20-2024'!$F:$F,$F100)</f>
        <v>0</v>
      </c>
      <c r="N100" s="140">
        <f ca="1">SUMIFS('F20-2024'!N:N,'F20-2024'!$D:$D,$D100,'F20-2024'!$E:$E,$E100,'F20-2024'!$F:$F,$F100)</f>
        <v>0</v>
      </c>
      <c r="O100" s="140">
        <f ca="1">SUMIFS('F20-2024'!O:O,'F20-2024'!$D:$D,$D100,'F20-2024'!$E:$E,$E100,'F20-2024'!$F:$F,$F100)</f>
        <v>0</v>
      </c>
      <c r="P100" s="140">
        <f ca="1">SUMIFS('F20-2024'!P:P,'F20-2024'!$D:$D,$D100,'F20-2024'!$E:$E,$E100,'F20-2024'!$F:$F,$F100)</f>
        <v>0</v>
      </c>
      <c r="Q100" s="140">
        <f ca="1">SUMIFS('F20-2024'!Q:Q,'F20-2024'!$D:$D,$D100,'F20-2024'!$E:$E,$E100,'F20-2024'!$F:$F,$F100)</f>
        <v>0</v>
      </c>
      <c r="R100" s="140">
        <f ca="1">SUMIFS('F20-2024'!R:R,'F20-2024'!$D:$D,$D100,'F20-2024'!$E:$E,$E100,'F20-2024'!$F:$F,$F100)</f>
        <v>0</v>
      </c>
      <c r="S100" s="140">
        <f ca="1">SUMIFS('F20-2024'!S:S,'F20-2024'!$D:$D,$D100,'F20-2024'!$E:$E,$E100,'F20-2024'!$F:$F,$F100)</f>
        <v>0</v>
      </c>
      <c r="T100" s="140">
        <f ca="1">SUMIFS('F20-2024'!T:T,'F20-2024'!$D:$D,$D100,'F20-2024'!$E:$E,$E100,'F20-2024'!$F:$F,$F100)</f>
        <v>0</v>
      </c>
      <c r="U100" s="140">
        <f ca="1">SUMIFS('F20-2024'!U:U,'F20-2024'!$D:$D,$D100,'F20-2024'!$E:$E,$E100,'F20-2024'!$F:$F,$F100)</f>
        <v>0</v>
      </c>
      <c r="V100" s="140"/>
      <c r="W100" s="141" t="e">
        <f t="shared" ref="W100:AA100" ca="1" si="197">J100/$I100</f>
        <v>#DIV/0!</v>
      </c>
      <c r="X100" s="141" t="e">
        <f t="shared" ca="1" si="197"/>
        <v>#DIV/0!</v>
      </c>
      <c r="Y100" s="141" t="e">
        <f t="shared" ca="1" si="197"/>
        <v>#DIV/0!</v>
      </c>
      <c r="Z100" s="141" t="e">
        <f t="shared" ca="1" si="197"/>
        <v>#DIV/0!</v>
      </c>
      <c r="AA100" s="141" t="e">
        <f t="shared" ca="1" si="197"/>
        <v>#DIV/0!</v>
      </c>
      <c r="AB100" s="141"/>
      <c r="AC100" s="141" t="e">
        <f t="shared" ca="1" si="1"/>
        <v>#DIV/0!</v>
      </c>
      <c r="AD100" s="141" t="e">
        <f t="shared" ref="AD100:AI100" ca="1" si="198">O100/$I100</f>
        <v>#DIV/0!</v>
      </c>
      <c r="AE100" s="141" t="e">
        <f t="shared" ca="1" si="198"/>
        <v>#DIV/0!</v>
      </c>
      <c r="AF100" s="141" t="e">
        <f t="shared" ca="1" si="198"/>
        <v>#DIV/0!</v>
      </c>
      <c r="AG100" s="141" t="e">
        <f t="shared" ca="1" si="198"/>
        <v>#DIV/0!</v>
      </c>
      <c r="AH100" s="141" t="e">
        <f t="shared" ca="1" si="198"/>
        <v>#DIV/0!</v>
      </c>
      <c r="AI100" s="141" t="e">
        <f t="shared" ca="1" si="198"/>
        <v>#DIV/0!</v>
      </c>
      <c r="AJ100" s="140"/>
    </row>
    <row r="101" spans="1:36">
      <c r="A101" s="140" t="e">
        <f ca="1"/>
        <v>#NAME?</v>
      </c>
      <c r="B101" s="140" t="e">
        <f ca="1"/>
        <v>#NAME?</v>
      </c>
      <c r="C101" s="140" t="e">
        <f ca="1"/>
        <v>#NAME?</v>
      </c>
      <c r="D101" s="140" t="e">
        <f ca="1"/>
        <v>#NAME?</v>
      </c>
      <c r="E101" s="140" t="e">
        <f ca="1"/>
        <v>#NAME?</v>
      </c>
      <c r="F101" s="140" t="e">
        <f ca="1"/>
        <v>#NAME?</v>
      </c>
      <c r="G101" s="140" t="e">
        <f ca="1"/>
        <v>#NAME?</v>
      </c>
      <c r="H101" s="140"/>
      <c r="I101" s="140">
        <f ca="1">SUMIFS('F20-2024'!I:I,'F20-2024'!$D:$D,$D101,'F20-2024'!$E:$E,$E101,'F20-2024'!$F:$F,$F101)</f>
        <v>0</v>
      </c>
      <c r="J101" s="140">
        <f ca="1">SUMIFS('F20-2024'!J:J,'F20-2024'!$D:$D,$D101,'F20-2024'!$E:$E,$E101,'F20-2024'!$F:$F,$F101)</f>
        <v>0</v>
      </c>
      <c r="K101" s="140">
        <f ca="1">SUMIFS('F20-2024'!K:K,'F20-2024'!$D:$D,$D101,'F20-2024'!$E:$E,$E101,'F20-2024'!$F:$F,$F101)</f>
        <v>0</v>
      </c>
      <c r="L101" s="140">
        <f ca="1">SUMIFS('F20-2024'!L:L,'F20-2024'!$D:$D,$D101,'F20-2024'!$E:$E,$E101,'F20-2024'!$F:$F,$F101)</f>
        <v>0</v>
      </c>
      <c r="M101" s="140">
        <f ca="1">SUMIFS('F20-2024'!M:M,'F20-2024'!$D:$D,$D101,'F20-2024'!$E:$E,$E101,'F20-2024'!$F:$F,$F101)</f>
        <v>0</v>
      </c>
      <c r="N101" s="140">
        <f ca="1">SUMIFS('F20-2024'!N:N,'F20-2024'!$D:$D,$D101,'F20-2024'!$E:$E,$E101,'F20-2024'!$F:$F,$F101)</f>
        <v>0</v>
      </c>
      <c r="O101" s="140">
        <f ca="1">SUMIFS('F20-2024'!O:O,'F20-2024'!$D:$D,$D101,'F20-2024'!$E:$E,$E101,'F20-2024'!$F:$F,$F101)</f>
        <v>0</v>
      </c>
      <c r="P101" s="140">
        <f ca="1">SUMIFS('F20-2024'!P:P,'F20-2024'!$D:$D,$D101,'F20-2024'!$E:$E,$E101,'F20-2024'!$F:$F,$F101)</f>
        <v>0</v>
      </c>
      <c r="Q101" s="140">
        <f ca="1">SUMIFS('F20-2024'!Q:Q,'F20-2024'!$D:$D,$D101,'F20-2024'!$E:$E,$E101,'F20-2024'!$F:$F,$F101)</f>
        <v>0</v>
      </c>
      <c r="R101" s="140">
        <f ca="1">SUMIFS('F20-2024'!R:R,'F20-2024'!$D:$D,$D101,'F20-2024'!$E:$E,$E101,'F20-2024'!$F:$F,$F101)</f>
        <v>0</v>
      </c>
      <c r="S101" s="140">
        <f ca="1">SUMIFS('F20-2024'!S:S,'F20-2024'!$D:$D,$D101,'F20-2024'!$E:$E,$E101,'F20-2024'!$F:$F,$F101)</f>
        <v>0</v>
      </c>
      <c r="T101" s="140">
        <f ca="1">SUMIFS('F20-2024'!T:T,'F20-2024'!$D:$D,$D101,'F20-2024'!$E:$E,$E101,'F20-2024'!$F:$F,$F101)</f>
        <v>0</v>
      </c>
      <c r="U101" s="140">
        <f ca="1">SUMIFS('F20-2024'!U:U,'F20-2024'!$D:$D,$D101,'F20-2024'!$E:$E,$E101,'F20-2024'!$F:$F,$F101)</f>
        <v>0</v>
      </c>
      <c r="V101" s="140"/>
      <c r="W101" s="141" t="e">
        <f t="shared" ref="W101:AA101" ca="1" si="199">J101/$I101</f>
        <v>#DIV/0!</v>
      </c>
      <c r="X101" s="141" t="e">
        <f t="shared" ca="1" si="199"/>
        <v>#DIV/0!</v>
      </c>
      <c r="Y101" s="141" t="e">
        <f t="shared" ca="1" si="199"/>
        <v>#DIV/0!</v>
      </c>
      <c r="Z101" s="141" t="e">
        <f t="shared" ca="1" si="199"/>
        <v>#DIV/0!</v>
      </c>
      <c r="AA101" s="141" t="e">
        <f t="shared" ca="1" si="199"/>
        <v>#DIV/0!</v>
      </c>
      <c r="AB101" s="141"/>
      <c r="AC101" s="141" t="e">
        <f t="shared" ca="1" si="1"/>
        <v>#DIV/0!</v>
      </c>
      <c r="AD101" s="141" t="e">
        <f t="shared" ref="AD101:AI101" ca="1" si="200">O101/$I101</f>
        <v>#DIV/0!</v>
      </c>
      <c r="AE101" s="141" t="e">
        <f t="shared" ca="1" si="200"/>
        <v>#DIV/0!</v>
      </c>
      <c r="AF101" s="141" t="e">
        <f t="shared" ca="1" si="200"/>
        <v>#DIV/0!</v>
      </c>
      <c r="AG101" s="141" t="e">
        <f t="shared" ca="1" si="200"/>
        <v>#DIV/0!</v>
      </c>
      <c r="AH101" s="141" t="e">
        <f t="shared" ca="1" si="200"/>
        <v>#DIV/0!</v>
      </c>
      <c r="AI101" s="141" t="e">
        <f t="shared" ca="1" si="200"/>
        <v>#DIV/0!</v>
      </c>
      <c r="AJ101" s="140"/>
    </row>
    <row r="102" spans="1:36">
      <c r="A102" s="140" t="e">
        <f ca="1"/>
        <v>#NAME?</v>
      </c>
      <c r="B102" s="140" t="e">
        <f ca="1"/>
        <v>#NAME?</v>
      </c>
      <c r="C102" s="140" t="e">
        <f ca="1"/>
        <v>#NAME?</v>
      </c>
      <c r="D102" s="140" t="e">
        <f ca="1"/>
        <v>#NAME?</v>
      </c>
      <c r="E102" s="140" t="e">
        <f ca="1"/>
        <v>#NAME?</v>
      </c>
      <c r="F102" s="140" t="e">
        <f ca="1"/>
        <v>#NAME?</v>
      </c>
      <c r="G102" s="140" t="e">
        <f ca="1"/>
        <v>#NAME?</v>
      </c>
      <c r="H102" s="140"/>
      <c r="I102" s="140">
        <f ca="1">SUMIFS('F20-2024'!I:I,'F20-2024'!$D:$D,$D102,'F20-2024'!$E:$E,$E102,'F20-2024'!$F:$F,$F102)</f>
        <v>0</v>
      </c>
      <c r="J102" s="140">
        <f ca="1">SUMIFS('F20-2024'!J:J,'F20-2024'!$D:$D,$D102,'F20-2024'!$E:$E,$E102,'F20-2024'!$F:$F,$F102)</f>
        <v>0</v>
      </c>
      <c r="K102" s="140">
        <f ca="1">SUMIFS('F20-2024'!K:K,'F20-2024'!$D:$D,$D102,'F20-2024'!$E:$E,$E102,'F20-2024'!$F:$F,$F102)</f>
        <v>0</v>
      </c>
      <c r="L102" s="140">
        <f ca="1">SUMIFS('F20-2024'!L:L,'F20-2024'!$D:$D,$D102,'F20-2024'!$E:$E,$E102,'F20-2024'!$F:$F,$F102)</f>
        <v>0</v>
      </c>
      <c r="M102" s="140">
        <f ca="1">SUMIFS('F20-2024'!M:M,'F20-2024'!$D:$D,$D102,'F20-2024'!$E:$E,$E102,'F20-2024'!$F:$F,$F102)</f>
        <v>0</v>
      </c>
      <c r="N102" s="140">
        <f ca="1">SUMIFS('F20-2024'!N:N,'F20-2024'!$D:$D,$D102,'F20-2024'!$E:$E,$E102,'F20-2024'!$F:$F,$F102)</f>
        <v>0</v>
      </c>
      <c r="O102" s="140">
        <f ca="1">SUMIFS('F20-2024'!O:O,'F20-2024'!$D:$D,$D102,'F20-2024'!$E:$E,$E102,'F20-2024'!$F:$F,$F102)</f>
        <v>0</v>
      </c>
      <c r="P102" s="140">
        <f ca="1">SUMIFS('F20-2024'!P:P,'F20-2024'!$D:$D,$D102,'F20-2024'!$E:$E,$E102,'F20-2024'!$F:$F,$F102)</f>
        <v>0</v>
      </c>
      <c r="Q102" s="140">
        <f ca="1">SUMIFS('F20-2024'!Q:Q,'F20-2024'!$D:$D,$D102,'F20-2024'!$E:$E,$E102,'F20-2024'!$F:$F,$F102)</f>
        <v>0</v>
      </c>
      <c r="R102" s="140">
        <f ca="1">SUMIFS('F20-2024'!R:R,'F20-2024'!$D:$D,$D102,'F20-2024'!$E:$E,$E102,'F20-2024'!$F:$F,$F102)</f>
        <v>0</v>
      </c>
      <c r="S102" s="140">
        <f ca="1">SUMIFS('F20-2024'!S:S,'F20-2024'!$D:$D,$D102,'F20-2024'!$E:$E,$E102,'F20-2024'!$F:$F,$F102)</f>
        <v>0</v>
      </c>
      <c r="T102" s="140">
        <f ca="1">SUMIFS('F20-2024'!T:T,'F20-2024'!$D:$D,$D102,'F20-2024'!$E:$E,$E102,'F20-2024'!$F:$F,$F102)</f>
        <v>0</v>
      </c>
      <c r="U102" s="140">
        <f ca="1">SUMIFS('F20-2024'!U:U,'F20-2024'!$D:$D,$D102,'F20-2024'!$E:$E,$E102,'F20-2024'!$F:$F,$F102)</f>
        <v>0</v>
      </c>
      <c r="V102" s="140"/>
      <c r="W102" s="141" t="e">
        <f t="shared" ref="W102:AA102" ca="1" si="201">J102/$I102</f>
        <v>#DIV/0!</v>
      </c>
      <c r="X102" s="141" t="e">
        <f t="shared" ca="1" si="201"/>
        <v>#DIV/0!</v>
      </c>
      <c r="Y102" s="141" t="e">
        <f t="shared" ca="1" si="201"/>
        <v>#DIV/0!</v>
      </c>
      <c r="Z102" s="141" t="e">
        <f t="shared" ca="1" si="201"/>
        <v>#DIV/0!</v>
      </c>
      <c r="AA102" s="141" t="e">
        <f t="shared" ca="1" si="201"/>
        <v>#DIV/0!</v>
      </c>
      <c r="AB102" s="141"/>
      <c r="AC102" s="141" t="e">
        <f t="shared" ca="1" si="1"/>
        <v>#DIV/0!</v>
      </c>
      <c r="AD102" s="141" t="e">
        <f t="shared" ref="AD102:AI102" ca="1" si="202">O102/$I102</f>
        <v>#DIV/0!</v>
      </c>
      <c r="AE102" s="141" t="e">
        <f t="shared" ca="1" si="202"/>
        <v>#DIV/0!</v>
      </c>
      <c r="AF102" s="141" t="e">
        <f t="shared" ca="1" si="202"/>
        <v>#DIV/0!</v>
      </c>
      <c r="AG102" s="141" t="e">
        <f t="shared" ca="1" si="202"/>
        <v>#DIV/0!</v>
      </c>
      <c r="AH102" s="141" t="e">
        <f t="shared" ca="1" si="202"/>
        <v>#DIV/0!</v>
      </c>
      <c r="AI102" s="141" t="e">
        <f t="shared" ca="1" si="202"/>
        <v>#DIV/0!</v>
      </c>
      <c r="AJ102" s="140"/>
    </row>
    <row r="103" spans="1:36">
      <c r="A103" s="140" t="e">
        <f ca="1"/>
        <v>#NAME?</v>
      </c>
      <c r="B103" s="140" t="e">
        <f ca="1"/>
        <v>#NAME?</v>
      </c>
      <c r="C103" s="140" t="e">
        <f ca="1"/>
        <v>#NAME?</v>
      </c>
      <c r="D103" s="140" t="e">
        <f ca="1"/>
        <v>#NAME?</v>
      </c>
      <c r="E103" s="140" t="e">
        <f ca="1"/>
        <v>#NAME?</v>
      </c>
      <c r="F103" s="140" t="e">
        <f ca="1"/>
        <v>#NAME?</v>
      </c>
      <c r="G103" s="140" t="e">
        <f ca="1"/>
        <v>#NAME?</v>
      </c>
      <c r="H103" s="140"/>
      <c r="I103" s="140">
        <f ca="1">SUMIFS('F20-2024'!I:I,'F20-2024'!$D:$D,$D103,'F20-2024'!$E:$E,$E103,'F20-2024'!$F:$F,$F103)</f>
        <v>0</v>
      </c>
      <c r="J103" s="140">
        <f ca="1">SUMIFS('F20-2024'!J:J,'F20-2024'!$D:$D,$D103,'F20-2024'!$E:$E,$E103,'F20-2024'!$F:$F,$F103)</f>
        <v>0</v>
      </c>
      <c r="K103" s="140">
        <f ca="1">SUMIFS('F20-2024'!K:K,'F20-2024'!$D:$D,$D103,'F20-2024'!$E:$E,$E103,'F20-2024'!$F:$F,$F103)</f>
        <v>0</v>
      </c>
      <c r="L103" s="140">
        <f ca="1">SUMIFS('F20-2024'!L:L,'F20-2024'!$D:$D,$D103,'F20-2024'!$E:$E,$E103,'F20-2024'!$F:$F,$F103)</f>
        <v>0</v>
      </c>
      <c r="M103" s="140">
        <f ca="1">SUMIFS('F20-2024'!M:M,'F20-2024'!$D:$D,$D103,'F20-2024'!$E:$E,$E103,'F20-2024'!$F:$F,$F103)</f>
        <v>0</v>
      </c>
      <c r="N103" s="140">
        <f ca="1">SUMIFS('F20-2024'!N:N,'F20-2024'!$D:$D,$D103,'F20-2024'!$E:$E,$E103,'F20-2024'!$F:$F,$F103)</f>
        <v>0</v>
      </c>
      <c r="O103" s="140">
        <f ca="1">SUMIFS('F20-2024'!O:O,'F20-2024'!$D:$D,$D103,'F20-2024'!$E:$E,$E103,'F20-2024'!$F:$F,$F103)</f>
        <v>0</v>
      </c>
      <c r="P103" s="140">
        <f ca="1">SUMIFS('F20-2024'!P:P,'F20-2024'!$D:$D,$D103,'F20-2024'!$E:$E,$E103,'F20-2024'!$F:$F,$F103)</f>
        <v>0</v>
      </c>
      <c r="Q103" s="140">
        <f ca="1">SUMIFS('F20-2024'!Q:Q,'F20-2024'!$D:$D,$D103,'F20-2024'!$E:$E,$E103,'F20-2024'!$F:$F,$F103)</f>
        <v>0</v>
      </c>
      <c r="R103" s="140">
        <f ca="1">SUMIFS('F20-2024'!R:R,'F20-2024'!$D:$D,$D103,'F20-2024'!$E:$E,$E103,'F20-2024'!$F:$F,$F103)</f>
        <v>0</v>
      </c>
      <c r="S103" s="140">
        <f ca="1">SUMIFS('F20-2024'!S:S,'F20-2024'!$D:$D,$D103,'F20-2024'!$E:$E,$E103,'F20-2024'!$F:$F,$F103)</f>
        <v>0</v>
      </c>
      <c r="T103" s="140">
        <f ca="1">SUMIFS('F20-2024'!T:T,'F20-2024'!$D:$D,$D103,'F20-2024'!$E:$E,$E103,'F20-2024'!$F:$F,$F103)</f>
        <v>0</v>
      </c>
      <c r="U103" s="140">
        <f ca="1">SUMIFS('F20-2024'!U:U,'F20-2024'!$D:$D,$D103,'F20-2024'!$E:$E,$E103,'F20-2024'!$F:$F,$F103)</f>
        <v>0</v>
      </c>
      <c r="V103" s="140"/>
      <c r="W103" s="141" t="e">
        <f t="shared" ref="W103:AA103" ca="1" si="203">J103/$I103</f>
        <v>#DIV/0!</v>
      </c>
      <c r="X103" s="141" t="e">
        <f t="shared" ca="1" si="203"/>
        <v>#DIV/0!</v>
      </c>
      <c r="Y103" s="141" t="e">
        <f t="shared" ca="1" si="203"/>
        <v>#DIV/0!</v>
      </c>
      <c r="Z103" s="141" t="e">
        <f t="shared" ca="1" si="203"/>
        <v>#DIV/0!</v>
      </c>
      <c r="AA103" s="141" t="e">
        <f t="shared" ca="1" si="203"/>
        <v>#DIV/0!</v>
      </c>
      <c r="AB103" s="141"/>
      <c r="AC103" s="141" t="e">
        <f t="shared" ca="1" si="1"/>
        <v>#DIV/0!</v>
      </c>
      <c r="AD103" s="141" t="e">
        <f t="shared" ref="AD103:AI103" ca="1" si="204">O103/$I103</f>
        <v>#DIV/0!</v>
      </c>
      <c r="AE103" s="141" t="e">
        <f t="shared" ca="1" si="204"/>
        <v>#DIV/0!</v>
      </c>
      <c r="AF103" s="141" t="e">
        <f t="shared" ca="1" si="204"/>
        <v>#DIV/0!</v>
      </c>
      <c r="AG103" s="141" t="e">
        <f t="shared" ca="1" si="204"/>
        <v>#DIV/0!</v>
      </c>
      <c r="AH103" s="141" t="e">
        <f t="shared" ca="1" si="204"/>
        <v>#DIV/0!</v>
      </c>
      <c r="AI103" s="141" t="e">
        <f t="shared" ca="1" si="204"/>
        <v>#DIV/0!</v>
      </c>
      <c r="AJ103" s="140"/>
    </row>
    <row r="104" spans="1:36">
      <c r="A104" s="140" t="e">
        <f ca="1"/>
        <v>#NAME?</v>
      </c>
      <c r="B104" s="140" t="e">
        <f ca="1"/>
        <v>#NAME?</v>
      </c>
      <c r="C104" s="140" t="e">
        <f ca="1"/>
        <v>#NAME?</v>
      </c>
      <c r="D104" s="140" t="e">
        <f ca="1"/>
        <v>#NAME?</v>
      </c>
      <c r="E104" s="140" t="e">
        <f ca="1"/>
        <v>#NAME?</v>
      </c>
      <c r="F104" s="140" t="e">
        <f ca="1"/>
        <v>#NAME?</v>
      </c>
      <c r="G104" s="140" t="e">
        <f ca="1"/>
        <v>#NAME?</v>
      </c>
      <c r="H104" s="140"/>
      <c r="I104" s="140">
        <f ca="1">SUMIFS('F20-2024'!I:I,'F20-2024'!$D:$D,$D104,'F20-2024'!$E:$E,$E104,'F20-2024'!$F:$F,$F104)</f>
        <v>0</v>
      </c>
      <c r="J104" s="140">
        <f ca="1">SUMIFS('F20-2024'!J:J,'F20-2024'!$D:$D,$D104,'F20-2024'!$E:$E,$E104,'F20-2024'!$F:$F,$F104)</f>
        <v>0</v>
      </c>
      <c r="K104" s="140">
        <f ca="1">SUMIFS('F20-2024'!K:K,'F20-2024'!$D:$D,$D104,'F20-2024'!$E:$E,$E104,'F20-2024'!$F:$F,$F104)</f>
        <v>0</v>
      </c>
      <c r="L104" s="140">
        <f ca="1">SUMIFS('F20-2024'!L:L,'F20-2024'!$D:$D,$D104,'F20-2024'!$E:$E,$E104,'F20-2024'!$F:$F,$F104)</f>
        <v>0</v>
      </c>
      <c r="M104" s="140">
        <f ca="1">SUMIFS('F20-2024'!M:M,'F20-2024'!$D:$D,$D104,'F20-2024'!$E:$E,$E104,'F20-2024'!$F:$F,$F104)</f>
        <v>0</v>
      </c>
      <c r="N104" s="140">
        <f ca="1">SUMIFS('F20-2024'!N:N,'F20-2024'!$D:$D,$D104,'F20-2024'!$E:$E,$E104,'F20-2024'!$F:$F,$F104)</f>
        <v>0</v>
      </c>
      <c r="O104" s="140">
        <f ca="1">SUMIFS('F20-2024'!O:O,'F20-2024'!$D:$D,$D104,'F20-2024'!$E:$E,$E104,'F20-2024'!$F:$F,$F104)</f>
        <v>0</v>
      </c>
      <c r="P104" s="140">
        <f ca="1">SUMIFS('F20-2024'!P:P,'F20-2024'!$D:$D,$D104,'F20-2024'!$E:$E,$E104,'F20-2024'!$F:$F,$F104)</f>
        <v>0</v>
      </c>
      <c r="Q104" s="140">
        <f ca="1">SUMIFS('F20-2024'!Q:Q,'F20-2024'!$D:$D,$D104,'F20-2024'!$E:$E,$E104,'F20-2024'!$F:$F,$F104)</f>
        <v>0</v>
      </c>
      <c r="R104" s="140">
        <f ca="1">SUMIFS('F20-2024'!R:R,'F20-2024'!$D:$D,$D104,'F20-2024'!$E:$E,$E104,'F20-2024'!$F:$F,$F104)</f>
        <v>0</v>
      </c>
      <c r="S104" s="140">
        <f ca="1">SUMIFS('F20-2024'!S:S,'F20-2024'!$D:$D,$D104,'F20-2024'!$E:$E,$E104,'F20-2024'!$F:$F,$F104)</f>
        <v>0</v>
      </c>
      <c r="T104" s="140">
        <f ca="1">SUMIFS('F20-2024'!T:T,'F20-2024'!$D:$D,$D104,'F20-2024'!$E:$E,$E104,'F20-2024'!$F:$F,$F104)</f>
        <v>0</v>
      </c>
      <c r="U104" s="140">
        <f ca="1">SUMIFS('F20-2024'!U:U,'F20-2024'!$D:$D,$D104,'F20-2024'!$E:$E,$E104,'F20-2024'!$F:$F,$F104)</f>
        <v>0</v>
      </c>
      <c r="V104" s="140"/>
      <c r="W104" s="141" t="e">
        <f t="shared" ref="W104:AA104" ca="1" si="205">J104/$I104</f>
        <v>#DIV/0!</v>
      </c>
      <c r="X104" s="141" t="e">
        <f t="shared" ca="1" si="205"/>
        <v>#DIV/0!</v>
      </c>
      <c r="Y104" s="141" t="e">
        <f t="shared" ca="1" si="205"/>
        <v>#DIV/0!</v>
      </c>
      <c r="Z104" s="141" t="e">
        <f t="shared" ca="1" si="205"/>
        <v>#DIV/0!</v>
      </c>
      <c r="AA104" s="141" t="e">
        <f t="shared" ca="1" si="205"/>
        <v>#DIV/0!</v>
      </c>
      <c r="AB104" s="141"/>
      <c r="AC104" s="141" t="e">
        <f t="shared" ca="1" si="1"/>
        <v>#DIV/0!</v>
      </c>
      <c r="AD104" s="141" t="e">
        <f t="shared" ref="AD104:AI104" ca="1" si="206">O104/$I104</f>
        <v>#DIV/0!</v>
      </c>
      <c r="AE104" s="141" t="e">
        <f t="shared" ca="1" si="206"/>
        <v>#DIV/0!</v>
      </c>
      <c r="AF104" s="141" t="e">
        <f t="shared" ca="1" si="206"/>
        <v>#DIV/0!</v>
      </c>
      <c r="AG104" s="141" t="e">
        <f t="shared" ca="1" si="206"/>
        <v>#DIV/0!</v>
      </c>
      <c r="AH104" s="141" t="e">
        <f t="shared" ca="1" si="206"/>
        <v>#DIV/0!</v>
      </c>
      <c r="AI104" s="141" t="e">
        <f t="shared" ca="1" si="206"/>
        <v>#DIV/0!</v>
      </c>
      <c r="AJ104" s="140"/>
    </row>
    <row r="105" spans="1:36">
      <c r="A105" s="140" t="e">
        <f ca="1"/>
        <v>#NAME?</v>
      </c>
      <c r="B105" s="140" t="e">
        <f ca="1"/>
        <v>#NAME?</v>
      </c>
      <c r="C105" s="140" t="e">
        <f ca="1"/>
        <v>#NAME?</v>
      </c>
      <c r="D105" s="140" t="e">
        <f ca="1"/>
        <v>#NAME?</v>
      </c>
      <c r="E105" s="140" t="e">
        <f ca="1"/>
        <v>#NAME?</v>
      </c>
      <c r="F105" s="140" t="e">
        <f ca="1"/>
        <v>#NAME?</v>
      </c>
      <c r="G105" s="140" t="e">
        <f ca="1"/>
        <v>#NAME?</v>
      </c>
      <c r="H105" s="140"/>
      <c r="I105" s="140">
        <f ca="1">SUMIFS('F20-2024'!I:I,'F20-2024'!$D:$D,$D105,'F20-2024'!$E:$E,$E105,'F20-2024'!$F:$F,$F105)</f>
        <v>0</v>
      </c>
      <c r="J105" s="140">
        <f ca="1">SUMIFS('F20-2024'!J:J,'F20-2024'!$D:$D,$D105,'F20-2024'!$E:$E,$E105,'F20-2024'!$F:$F,$F105)</f>
        <v>0</v>
      </c>
      <c r="K105" s="140">
        <f ca="1">SUMIFS('F20-2024'!K:K,'F20-2024'!$D:$D,$D105,'F20-2024'!$E:$E,$E105,'F20-2024'!$F:$F,$F105)</f>
        <v>0</v>
      </c>
      <c r="L105" s="140">
        <f ca="1">SUMIFS('F20-2024'!L:L,'F20-2024'!$D:$D,$D105,'F20-2024'!$E:$E,$E105,'F20-2024'!$F:$F,$F105)</f>
        <v>0</v>
      </c>
      <c r="M105" s="140">
        <f ca="1">SUMIFS('F20-2024'!M:M,'F20-2024'!$D:$D,$D105,'F20-2024'!$E:$E,$E105,'F20-2024'!$F:$F,$F105)</f>
        <v>0</v>
      </c>
      <c r="N105" s="140">
        <f ca="1">SUMIFS('F20-2024'!N:N,'F20-2024'!$D:$D,$D105,'F20-2024'!$E:$E,$E105,'F20-2024'!$F:$F,$F105)</f>
        <v>0</v>
      </c>
      <c r="O105" s="140">
        <f ca="1">SUMIFS('F20-2024'!O:O,'F20-2024'!$D:$D,$D105,'F20-2024'!$E:$E,$E105,'F20-2024'!$F:$F,$F105)</f>
        <v>0</v>
      </c>
      <c r="P105" s="140">
        <f ca="1">SUMIFS('F20-2024'!P:P,'F20-2024'!$D:$D,$D105,'F20-2024'!$E:$E,$E105,'F20-2024'!$F:$F,$F105)</f>
        <v>0</v>
      </c>
      <c r="Q105" s="140">
        <f ca="1">SUMIFS('F20-2024'!Q:Q,'F20-2024'!$D:$D,$D105,'F20-2024'!$E:$E,$E105,'F20-2024'!$F:$F,$F105)</f>
        <v>0</v>
      </c>
      <c r="R105" s="140">
        <f ca="1">SUMIFS('F20-2024'!R:R,'F20-2024'!$D:$D,$D105,'F20-2024'!$E:$E,$E105,'F20-2024'!$F:$F,$F105)</f>
        <v>0</v>
      </c>
      <c r="S105" s="140">
        <f ca="1">SUMIFS('F20-2024'!S:S,'F20-2024'!$D:$D,$D105,'F20-2024'!$E:$E,$E105,'F20-2024'!$F:$F,$F105)</f>
        <v>0</v>
      </c>
      <c r="T105" s="140">
        <f ca="1">SUMIFS('F20-2024'!T:T,'F20-2024'!$D:$D,$D105,'F20-2024'!$E:$E,$E105,'F20-2024'!$F:$F,$F105)</f>
        <v>0</v>
      </c>
      <c r="U105" s="140">
        <f ca="1">SUMIFS('F20-2024'!U:U,'F20-2024'!$D:$D,$D105,'F20-2024'!$E:$E,$E105,'F20-2024'!$F:$F,$F105)</f>
        <v>0</v>
      </c>
      <c r="V105" s="140"/>
      <c r="W105" s="141" t="e">
        <f t="shared" ref="W105:AA105" ca="1" si="207">J105/$I105</f>
        <v>#DIV/0!</v>
      </c>
      <c r="X105" s="141" t="e">
        <f t="shared" ca="1" si="207"/>
        <v>#DIV/0!</v>
      </c>
      <c r="Y105" s="141" t="e">
        <f t="shared" ca="1" si="207"/>
        <v>#DIV/0!</v>
      </c>
      <c r="Z105" s="141" t="e">
        <f t="shared" ca="1" si="207"/>
        <v>#DIV/0!</v>
      </c>
      <c r="AA105" s="141" t="e">
        <f t="shared" ca="1" si="207"/>
        <v>#DIV/0!</v>
      </c>
      <c r="AB105" s="141"/>
      <c r="AC105" s="141" t="e">
        <f t="shared" ca="1" si="1"/>
        <v>#DIV/0!</v>
      </c>
      <c r="AD105" s="141" t="e">
        <f t="shared" ref="AD105:AI105" ca="1" si="208">O105/$I105</f>
        <v>#DIV/0!</v>
      </c>
      <c r="AE105" s="141" t="e">
        <f t="shared" ca="1" si="208"/>
        <v>#DIV/0!</v>
      </c>
      <c r="AF105" s="141" t="e">
        <f t="shared" ca="1" si="208"/>
        <v>#DIV/0!</v>
      </c>
      <c r="AG105" s="141" t="e">
        <f t="shared" ca="1" si="208"/>
        <v>#DIV/0!</v>
      </c>
      <c r="AH105" s="141" t="e">
        <f t="shared" ca="1" si="208"/>
        <v>#DIV/0!</v>
      </c>
      <c r="AI105" s="141" t="e">
        <f t="shared" ca="1" si="208"/>
        <v>#DIV/0!</v>
      </c>
      <c r="AJ105" s="140"/>
    </row>
    <row r="106" spans="1:36">
      <c r="A106" s="140" t="e">
        <f ca="1"/>
        <v>#NAME?</v>
      </c>
      <c r="B106" s="140" t="e">
        <f ca="1"/>
        <v>#NAME?</v>
      </c>
      <c r="C106" s="140" t="e">
        <f ca="1"/>
        <v>#NAME?</v>
      </c>
      <c r="D106" s="140" t="e">
        <f ca="1"/>
        <v>#NAME?</v>
      </c>
      <c r="E106" s="140" t="e">
        <f ca="1"/>
        <v>#NAME?</v>
      </c>
      <c r="F106" s="140" t="e">
        <f ca="1"/>
        <v>#NAME?</v>
      </c>
      <c r="G106" s="140" t="e">
        <f ca="1"/>
        <v>#NAME?</v>
      </c>
      <c r="H106" s="140"/>
      <c r="I106" s="140">
        <f ca="1">SUMIFS('F20-2024'!I:I,'F20-2024'!$D:$D,$D106,'F20-2024'!$E:$E,$E106,'F20-2024'!$F:$F,$F106)</f>
        <v>0</v>
      </c>
      <c r="J106" s="140">
        <f ca="1">SUMIFS('F20-2024'!J:J,'F20-2024'!$D:$D,$D106,'F20-2024'!$E:$E,$E106,'F20-2024'!$F:$F,$F106)</f>
        <v>0</v>
      </c>
      <c r="K106" s="140">
        <f ca="1">SUMIFS('F20-2024'!K:K,'F20-2024'!$D:$D,$D106,'F20-2024'!$E:$E,$E106,'F20-2024'!$F:$F,$F106)</f>
        <v>0</v>
      </c>
      <c r="L106" s="140">
        <f ca="1">SUMIFS('F20-2024'!L:L,'F20-2024'!$D:$D,$D106,'F20-2024'!$E:$E,$E106,'F20-2024'!$F:$F,$F106)</f>
        <v>0</v>
      </c>
      <c r="M106" s="140">
        <f ca="1">SUMIFS('F20-2024'!M:M,'F20-2024'!$D:$D,$D106,'F20-2024'!$E:$E,$E106,'F20-2024'!$F:$F,$F106)</f>
        <v>0</v>
      </c>
      <c r="N106" s="140">
        <f ca="1">SUMIFS('F20-2024'!N:N,'F20-2024'!$D:$D,$D106,'F20-2024'!$E:$E,$E106,'F20-2024'!$F:$F,$F106)</f>
        <v>0</v>
      </c>
      <c r="O106" s="140">
        <f ca="1">SUMIFS('F20-2024'!O:O,'F20-2024'!$D:$D,$D106,'F20-2024'!$E:$E,$E106,'F20-2024'!$F:$F,$F106)</f>
        <v>0</v>
      </c>
      <c r="P106" s="140">
        <f ca="1">SUMIFS('F20-2024'!P:P,'F20-2024'!$D:$D,$D106,'F20-2024'!$E:$E,$E106,'F20-2024'!$F:$F,$F106)</f>
        <v>0</v>
      </c>
      <c r="Q106" s="140">
        <f ca="1">SUMIFS('F20-2024'!Q:Q,'F20-2024'!$D:$D,$D106,'F20-2024'!$E:$E,$E106,'F20-2024'!$F:$F,$F106)</f>
        <v>0</v>
      </c>
      <c r="R106" s="140">
        <f ca="1">SUMIFS('F20-2024'!R:R,'F20-2024'!$D:$D,$D106,'F20-2024'!$E:$E,$E106,'F20-2024'!$F:$F,$F106)</f>
        <v>0</v>
      </c>
      <c r="S106" s="140">
        <f ca="1">SUMIFS('F20-2024'!S:S,'F20-2024'!$D:$D,$D106,'F20-2024'!$E:$E,$E106,'F20-2024'!$F:$F,$F106)</f>
        <v>0</v>
      </c>
      <c r="T106" s="140">
        <f ca="1">SUMIFS('F20-2024'!T:T,'F20-2024'!$D:$D,$D106,'F20-2024'!$E:$E,$E106,'F20-2024'!$F:$F,$F106)</f>
        <v>0</v>
      </c>
      <c r="U106" s="140">
        <f ca="1">SUMIFS('F20-2024'!U:U,'F20-2024'!$D:$D,$D106,'F20-2024'!$E:$E,$E106,'F20-2024'!$F:$F,$F106)</f>
        <v>0</v>
      </c>
      <c r="V106" s="140"/>
      <c r="W106" s="141" t="e">
        <f t="shared" ref="W106:AA106" ca="1" si="209">J106/$I106</f>
        <v>#DIV/0!</v>
      </c>
      <c r="X106" s="141" t="e">
        <f t="shared" ca="1" si="209"/>
        <v>#DIV/0!</v>
      </c>
      <c r="Y106" s="141" t="e">
        <f t="shared" ca="1" si="209"/>
        <v>#DIV/0!</v>
      </c>
      <c r="Z106" s="141" t="e">
        <f t="shared" ca="1" si="209"/>
        <v>#DIV/0!</v>
      </c>
      <c r="AA106" s="141" t="e">
        <f t="shared" ca="1" si="209"/>
        <v>#DIV/0!</v>
      </c>
      <c r="AB106" s="141"/>
      <c r="AC106" s="141" t="e">
        <f t="shared" ca="1" si="1"/>
        <v>#DIV/0!</v>
      </c>
      <c r="AD106" s="141" t="e">
        <f t="shared" ref="AD106:AI106" ca="1" si="210">O106/$I106</f>
        <v>#DIV/0!</v>
      </c>
      <c r="AE106" s="141" t="e">
        <f t="shared" ca="1" si="210"/>
        <v>#DIV/0!</v>
      </c>
      <c r="AF106" s="141" t="e">
        <f t="shared" ca="1" si="210"/>
        <v>#DIV/0!</v>
      </c>
      <c r="AG106" s="141" t="e">
        <f t="shared" ca="1" si="210"/>
        <v>#DIV/0!</v>
      </c>
      <c r="AH106" s="141" t="e">
        <f t="shared" ca="1" si="210"/>
        <v>#DIV/0!</v>
      </c>
      <c r="AI106" s="141" t="e">
        <f t="shared" ca="1" si="210"/>
        <v>#DIV/0!</v>
      </c>
      <c r="AJ106" s="140"/>
    </row>
    <row r="107" spans="1:36">
      <c r="A107" s="140" t="e">
        <f ca="1"/>
        <v>#NAME?</v>
      </c>
      <c r="B107" s="140" t="e">
        <f ca="1"/>
        <v>#NAME?</v>
      </c>
      <c r="C107" s="140" t="e">
        <f ca="1"/>
        <v>#NAME?</v>
      </c>
      <c r="D107" s="140" t="e">
        <f ca="1"/>
        <v>#NAME?</v>
      </c>
      <c r="E107" s="140" t="e">
        <f ca="1"/>
        <v>#NAME?</v>
      </c>
      <c r="F107" s="140" t="e">
        <f ca="1"/>
        <v>#NAME?</v>
      </c>
      <c r="G107" s="140" t="e">
        <f ca="1"/>
        <v>#NAME?</v>
      </c>
      <c r="H107" s="140"/>
      <c r="I107" s="140">
        <f ca="1">SUMIFS('F20-2024'!I:I,'F20-2024'!$D:$D,$D107,'F20-2024'!$E:$E,$E107,'F20-2024'!$F:$F,$F107)</f>
        <v>0</v>
      </c>
      <c r="J107" s="140">
        <f ca="1">SUMIFS('F20-2024'!J:J,'F20-2024'!$D:$D,$D107,'F20-2024'!$E:$E,$E107,'F20-2024'!$F:$F,$F107)</f>
        <v>0</v>
      </c>
      <c r="K107" s="140">
        <f ca="1">SUMIFS('F20-2024'!K:K,'F20-2024'!$D:$D,$D107,'F20-2024'!$E:$E,$E107,'F20-2024'!$F:$F,$F107)</f>
        <v>0</v>
      </c>
      <c r="L107" s="140">
        <f ca="1">SUMIFS('F20-2024'!L:L,'F20-2024'!$D:$D,$D107,'F20-2024'!$E:$E,$E107,'F20-2024'!$F:$F,$F107)</f>
        <v>0</v>
      </c>
      <c r="M107" s="140">
        <f ca="1">SUMIFS('F20-2024'!M:M,'F20-2024'!$D:$D,$D107,'F20-2024'!$E:$E,$E107,'F20-2024'!$F:$F,$F107)</f>
        <v>0</v>
      </c>
      <c r="N107" s="140">
        <f ca="1">SUMIFS('F20-2024'!N:N,'F20-2024'!$D:$D,$D107,'F20-2024'!$E:$E,$E107,'F20-2024'!$F:$F,$F107)</f>
        <v>0</v>
      </c>
      <c r="O107" s="140">
        <f ca="1">SUMIFS('F20-2024'!O:O,'F20-2024'!$D:$D,$D107,'F20-2024'!$E:$E,$E107,'F20-2024'!$F:$F,$F107)</f>
        <v>0</v>
      </c>
      <c r="P107" s="140">
        <f ca="1">SUMIFS('F20-2024'!P:P,'F20-2024'!$D:$D,$D107,'F20-2024'!$E:$E,$E107,'F20-2024'!$F:$F,$F107)</f>
        <v>0</v>
      </c>
      <c r="Q107" s="140">
        <f ca="1">SUMIFS('F20-2024'!Q:Q,'F20-2024'!$D:$D,$D107,'F20-2024'!$E:$E,$E107,'F20-2024'!$F:$F,$F107)</f>
        <v>0</v>
      </c>
      <c r="R107" s="140">
        <f ca="1">SUMIFS('F20-2024'!R:R,'F20-2024'!$D:$D,$D107,'F20-2024'!$E:$E,$E107,'F20-2024'!$F:$F,$F107)</f>
        <v>0</v>
      </c>
      <c r="S107" s="140">
        <f ca="1">SUMIFS('F20-2024'!S:S,'F20-2024'!$D:$D,$D107,'F20-2024'!$E:$E,$E107,'F20-2024'!$F:$F,$F107)</f>
        <v>0</v>
      </c>
      <c r="T107" s="140">
        <f ca="1">SUMIFS('F20-2024'!T:T,'F20-2024'!$D:$D,$D107,'F20-2024'!$E:$E,$E107,'F20-2024'!$F:$F,$F107)</f>
        <v>0</v>
      </c>
      <c r="U107" s="140">
        <f ca="1">SUMIFS('F20-2024'!U:U,'F20-2024'!$D:$D,$D107,'F20-2024'!$E:$E,$E107,'F20-2024'!$F:$F,$F107)</f>
        <v>0</v>
      </c>
      <c r="V107" s="140"/>
      <c r="W107" s="141" t="e">
        <f t="shared" ref="W107:AA107" ca="1" si="211">J107/$I107</f>
        <v>#DIV/0!</v>
      </c>
      <c r="X107" s="141" t="e">
        <f t="shared" ca="1" si="211"/>
        <v>#DIV/0!</v>
      </c>
      <c r="Y107" s="141" t="e">
        <f t="shared" ca="1" si="211"/>
        <v>#DIV/0!</v>
      </c>
      <c r="Z107" s="141" t="e">
        <f t="shared" ca="1" si="211"/>
        <v>#DIV/0!</v>
      </c>
      <c r="AA107" s="141" t="e">
        <f t="shared" ca="1" si="211"/>
        <v>#DIV/0!</v>
      </c>
      <c r="AB107" s="141"/>
      <c r="AC107" s="141" t="e">
        <f t="shared" ca="1" si="1"/>
        <v>#DIV/0!</v>
      </c>
      <c r="AD107" s="141" t="e">
        <f t="shared" ref="AD107:AI107" ca="1" si="212">O107/$I107</f>
        <v>#DIV/0!</v>
      </c>
      <c r="AE107" s="141" t="e">
        <f t="shared" ca="1" si="212"/>
        <v>#DIV/0!</v>
      </c>
      <c r="AF107" s="141" t="e">
        <f t="shared" ca="1" si="212"/>
        <v>#DIV/0!</v>
      </c>
      <c r="AG107" s="141" t="e">
        <f t="shared" ca="1" si="212"/>
        <v>#DIV/0!</v>
      </c>
      <c r="AH107" s="141" t="e">
        <f t="shared" ca="1" si="212"/>
        <v>#DIV/0!</v>
      </c>
      <c r="AI107" s="141" t="e">
        <f t="shared" ca="1" si="212"/>
        <v>#DIV/0!</v>
      </c>
      <c r="AJ107" s="140"/>
    </row>
    <row r="108" spans="1:36">
      <c r="A108" s="140" t="e">
        <f ca="1"/>
        <v>#NAME?</v>
      </c>
      <c r="B108" s="140" t="e">
        <f ca="1"/>
        <v>#NAME?</v>
      </c>
      <c r="C108" s="140" t="e">
        <f ca="1"/>
        <v>#NAME?</v>
      </c>
      <c r="D108" s="140" t="e">
        <f ca="1"/>
        <v>#NAME?</v>
      </c>
      <c r="E108" s="140" t="e">
        <f ca="1"/>
        <v>#NAME?</v>
      </c>
      <c r="F108" s="140" t="e">
        <f ca="1"/>
        <v>#NAME?</v>
      </c>
      <c r="G108" s="140" t="e">
        <f ca="1"/>
        <v>#NAME?</v>
      </c>
      <c r="H108" s="140"/>
      <c r="I108" s="140">
        <f ca="1">SUMIFS('F20-2024'!I:I,'F20-2024'!$D:$D,$D108,'F20-2024'!$E:$E,$E108,'F20-2024'!$F:$F,$F108)</f>
        <v>0</v>
      </c>
      <c r="J108" s="140">
        <f ca="1">SUMIFS('F20-2024'!J:J,'F20-2024'!$D:$D,$D108,'F20-2024'!$E:$E,$E108,'F20-2024'!$F:$F,$F108)</f>
        <v>0</v>
      </c>
      <c r="K108" s="140">
        <f ca="1">SUMIFS('F20-2024'!K:K,'F20-2024'!$D:$D,$D108,'F20-2024'!$E:$E,$E108,'F20-2024'!$F:$F,$F108)</f>
        <v>0</v>
      </c>
      <c r="L108" s="140">
        <f ca="1">SUMIFS('F20-2024'!L:L,'F20-2024'!$D:$D,$D108,'F20-2024'!$E:$E,$E108,'F20-2024'!$F:$F,$F108)</f>
        <v>0</v>
      </c>
      <c r="M108" s="140">
        <f ca="1">SUMIFS('F20-2024'!M:M,'F20-2024'!$D:$D,$D108,'F20-2024'!$E:$E,$E108,'F20-2024'!$F:$F,$F108)</f>
        <v>0</v>
      </c>
      <c r="N108" s="140">
        <f ca="1">SUMIFS('F20-2024'!N:N,'F20-2024'!$D:$D,$D108,'F20-2024'!$E:$E,$E108,'F20-2024'!$F:$F,$F108)</f>
        <v>0</v>
      </c>
      <c r="O108" s="140">
        <f ca="1">SUMIFS('F20-2024'!O:O,'F20-2024'!$D:$D,$D108,'F20-2024'!$E:$E,$E108,'F20-2024'!$F:$F,$F108)</f>
        <v>0</v>
      </c>
      <c r="P108" s="140">
        <f ca="1">SUMIFS('F20-2024'!P:P,'F20-2024'!$D:$D,$D108,'F20-2024'!$E:$E,$E108,'F20-2024'!$F:$F,$F108)</f>
        <v>0</v>
      </c>
      <c r="Q108" s="140">
        <f ca="1">SUMIFS('F20-2024'!Q:Q,'F20-2024'!$D:$D,$D108,'F20-2024'!$E:$E,$E108,'F20-2024'!$F:$F,$F108)</f>
        <v>0</v>
      </c>
      <c r="R108" s="140">
        <f ca="1">SUMIFS('F20-2024'!R:R,'F20-2024'!$D:$D,$D108,'F20-2024'!$E:$E,$E108,'F20-2024'!$F:$F,$F108)</f>
        <v>0</v>
      </c>
      <c r="S108" s="140">
        <f ca="1">SUMIFS('F20-2024'!S:S,'F20-2024'!$D:$D,$D108,'F20-2024'!$E:$E,$E108,'F20-2024'!$F:$F,$F108)</f>
        <v>0</v>
      </c>
      <c r="T108" s="140">
        <f ca="1">SUMIFS('F20-2024'!T:T,'F20-2024'!$D:$D,$D108,'F20-2024'!$E:$E,$E108,'F20-2024'!$F:$F,$F108)</f>
        <v>0</v>
      </c>
      <c r="U108" s="140">
        <f ca="1">SUMIFS('F20-2024'!U:U,'F20-2024'!$D:$D,$D108,'F20-2024'!$E:$E,$E108,'F20-2024'!$F:$F,$F108)</f>
        <v>0</v>
      </c>
      <c r="V108" s="140"/>
      <c r="W108" s="141" t="e">
        <f t="shared" ref="W108:AA108" ca="1" si="213">J108/$I108</f>
        <v>#DIV/0!</v>
      </c>
      <c r="X108" s="141" t="e">
        <f t="shared" ca="1" si="213"/>
        <v>#DIV/0!</v>
      </c>
      <c r="Y108" s="141" t="e">
        <f t="shared" ca="1" si="213"/>
        <v>#DIV/0!</v>
      </c>
      <c r="Z108" s="141" t="e">
        <f t="shared" ca="1" si="213"/>
        <v>#DIV/0!</v>
      </c>
      <c r="AA108" s="141" t="e">
        <f t="shared" ca="1" si="213"/>
        <v>#DIV/0!</v>
      </c>
      <c r="AB108" s="141"/>
      <c r="AC108" s="141" t="e">
        <f t="shared" ca="1" si="1"/>
        <v>#DIV/0!</v>
      </c>
      <c r="AD108" s="141" t="e">
        <f t="shared" ref="AD108:AI108" ca="1" si="214">O108/$I108</f>
        <v>#DIV/0!</v>
      </c>
      <c r="AE108" s="141" t="e">
        <f t="shared" ca="1" si="214"/>
        <v>#DIV/0!</v>
      </c>
      <c r="AF108" s="141" t="e">
        <f t="shared" ca="1" si="214"/>
        <v>#DIV/0!</v>
      </c>
      <c r="AG108" s="141" t="e">
        <f t="shared" ca="1" si="214"/>
        <v>#DIV/0!</v>
      </c>
      <c r="AH108" s="141" t="e">
        <f t="shared" ca="1" si="214"/>
        <v>#DIV/0!</v>
      </c>
      <c r="AI108" s="141" t="e">
        <f t="shared" ca="1" si="214"/>
        <v>#DIV/0!</v>
      </c>
      <c r="AJ108" s="140"/>
    </row>
    <row r="109" spans="1:36">
      <c r="A109" s="140" t="e">
        <f ca="1"/>
        <v>#NAME?</v>
      </c>
      <c r="B109" s="140" t="e">
        <f ca="1"/>
        <v>#NAME?</v>
      </c>
      <c r="C109" s="140" t="e">
        <f ca="1"/>
        <v>#NAME?</v>
      </c>
      <c r="D109" s="140" t="e">
        <f ca="1"/>
        <v>#NAME?</v>
      </c>
      <c r="E109" s="140" t="e">
        <f ca="1"/>
        <v>#NAME?</v>
      </c>
      <c r="F109" s="140" t="e">
        <f ca="1"/>
        <v>#NAME?</v>
      </c>
      <c r="G109" s="140" t="e">
        <f ca="1"/>
        <v>#NAME?</v>
      </c>
      <c r="H109" s="140"/>
      <c r="I109" s="140">
        <f ca="1">SUMIFS('F20-2024'!I:I,'F20-2024'!$D:$D,$D109,'F20-2024'!$E:$E,$E109,'F20-2024'!$F:$F,$F109)</f>
        <v>0</v>
      </c>
      <c r="J109" s="140">
        <f ca="1">SUMIFS('F20-2024'!J:J,'F20-2024'!$D:$D,$D109,'F20-2024'!$E:$E,$E109,'F20-2024'!$F:$F,$F109)</f>
        <v>0</v>
      </c>
      <c r="K109" s="140">
        <f ca="1">SUMIFS('F20-2024'!K:K,'F20-2024'!$D:$D,$D109,'F20-2024'!$E:$E,$E109,'F20-2024'!$F:$F,$F109)</f>
        <v>0</v>
      </c>
      <c r="L109" s="140">
        <f ca="1">SUMIFS('F20-2024'!L:L,'F20-2024'!$D:$D,$D109,'F20-2024'!$E:$E,$E109,'F20-2024'!$F:$F,$F109)</f>
        <v>0</v>
      </c>
      <c r="M109" s="140">
        <f ca="1">SUMIFS('F20-2024'!M:M,'F20-2024'!$D:$D,$D109,'F20-2024'!$E:$E,$E109,'F20-2024'!$F:$F,$F109)</f>
        <v>0</v>
      </c>
      <c r="N109" s="140">
        <f ca="1">SUMIFS('F20-2024'!N:N,'F20-2024'!$D:$D,$D109,'F20-2024'!$E:$E,$E109,'F20-2024'!$F:$F,$F109)</f>
        <v>0</v>
      </c>
      <c r="O109" s="140">
        <f ca="1">SUMIFS('F20-2024'!O:O,'F20-2024'!$D:$D,$D109,'F20-2024'!$E:$E,$E109,'F20-2024'!$F:$F,$F109)</f>
        <v>0</v>
      </c>
      <c r="P109" s="140">
        <f ca="1">SUMIFS('F20-2024'!P:P,'F20-2024'!$D:$D,$D109,'F20-2024'!$E:$E,$E109,'F20-2024'!$F:$F,$F109)</f>
        <v>0</v>
      </c>
      <c r="Q109" s="140">
        <f ca="1">SUMIFS('F20-2024'!Q:Q,'F20-2024'!$D:$D,$D109,'F20-2024'!$E:$E,$E109,'F20-2024'!$F:$F,$F109)</f>
        <v>0</v>
      </c>
      <c r="R109" s="140">
        <f ca="1">SUMIFS('F20-2024'!R:R,'F20-2024'!$D:$D,$D109,'F20-2024'!$E:$E,$E109,'F20-2024'!$F:$F,$F109)</f>
        <v>0</v>
      </c>
      <c r="S109" s="140">
        <f ca="1">SUMIFS('F20-2024'!S:S,'F20-2024'!$D:$D,$D109,'F20-2024'!$E:$E,$E109,'F20-2024'!$F:$F,$F109)</f>
        <v>0</v>
      </c>
      <c r="T109" s="140">
        <f ca="1">SUMIFS('F20-2024'!T:T,'F20-2024'!$D:$D,$D109,'F20-2024'!$E:$E,$E109,'F20-2024'!$F:$F,$F109)</f>
        <v>0</v>
      </c>
      <c r="U109" s="140">
        <f ca="1">SUMIFS('F20-2024'!U:U,'F20-2024'!$D:$D,$D109,'F20-2024'!$E:$E,$E109,'F20-2024'!$F:$F,$F109)</f>
        <v>0</v>
      </c>
      <c r="V109" s="140"/>
      <c r="W109" s="141" t="e">
        <f t="shared" ref="W109:AA109" ca="1" si="215">J109/$I109</f>
        <v>#DIV/0!</v>
      </c>
      <c r="X109" s="141" t="e">
        <f t="shared" ca="1" si="215"/>
        <v>#DIV/0!</v>
      </c>
      <c r="Y109" s="141" t="e">
        <f t="shared" ca="1" si="215"/>
        <v>#DIV/0!</v>
      </c>
      <c r="Z109" s="141" t="e">
        <f t="shared" ca="1" si="215"/>
        <v>#DIV/0!</v>
      </c>
      <c r="AA109" s="141" t="e">
        <f t="shared" ca="1" si="215"/>
        <v>#DIV/0!</v>
      </c>
      <c r="AB109" s="141"/>
      <c r="AC109" s="141" t="e">
        <f t="shared" ca="1" si="1"/>
        <v>#DIV/0!</v>
      </c>
      <c r="AD109" s="141" t="e">
        <f t="shared" ref="AD109:AI109" ca="1" si="216">O109/$I109</f>
        <v>#DIV/0!</v>
      </c>
      <c r="AE109" s="141" t="e">
        <f t="shared" ca="1" si="216"/>
        <v>#DIV/0!</v>
      </c>
      <c r="AF109" s="141" t="e">
        <f t="shared" ca="1" si="216"/>
        <v>#DIV/0!</v>
      </c>
      <c r="AG109" s="141" t="e">
        <f t="shared" ca="1" si="216"/>
        <v>#DIV/0!</v>
      </c>
      <c r="AH109" s="141" t="e">
        <f t="shared" ca="1" si="216"/>
        <v>#DIV/0!</v>
      </c>
      <c r="AI109" s="141" t="e">
        <f t="shared" ca="1" si="216"/>
        <v>#DIV/0!</v>
      </c>
      <c r="AJ109" s="140"/>
    </row>
    <row r="110" spans="1:36">
      <c r="A110" s="140" t="e">
        <f ca="1"/>
        <v>#NAME?</v>
      </c>
      <c r="B110" s="140" t="e">
        <f ca="1"/>
        <v>#NAME?</v>
      </c>
      <c r="C110" s="140" t="e">
        <f ca="1"/>
        <v>#NAME?</v>
      </c>
      <c r="D110" s="140" t="e">
        <f ca="1"/>
        <v>#NAME?</v>
      </c>
      <c r="E110" s="140" t="e">
        <f ca="1"/>
        <v>#NAME?</v>
      </c>
      <c r="F110" s="140" t="e">
        <f ca="1"/>
        <v>#NAME?</v>
      </c>
      <c r="G110" s="140" t="e">
        <f ca="1"/>
        <v>#NAME?</v>
      </c>
      <c r="H110" s="140"/>
      <c r="I110" s="140">
        <f ca="1">SUMIFS('F20-2024'!I:I,'F20-2024'!$D:$D,$D110,'F20-2024'!$E:$E,$E110,'F20-2024'!$F:$F,$F110)</f>
        <v>0</v>
      </c>
      <c r="J110" s="140">
        <f ca="1">SUMIFS('F20-2024'!J:J,'F20-2024'!$D:$D,$D110,'F20-2024'!$E:$E,$E110,'F20-2024'!$F:$F,$F110)</f>
        <v>0</v>
      </c>
      <c r="K110" s="140">
        <f ca="1">SUMIFS('F20-2024'!K:K,'F20-2024'!$D:$D,$D110,'F20-2024'!$E:$E,$E110,'F20-2024'!$F:$F,$F110)</f>
        <v>0</v>
      </c>
      <c r="L110" s="140">
        <f ca="1">SUMIFS('F20-2024'!L:L,'F20-2024'!$D:$D,$D110,'F20-2024'!$E:$E,$E110,'F20-2024'!$F:$F,$F110)</f>
        <v>0</v>
      </c>
      <c r="M110" s="140">
        <f ca="1">SUMIFS('F20-2024'!M:M,'F20-2024'!$D:$D,$D110,'F20-2024'!$E:$E,$E110,'F20-2024'!$F:$F,$F110)</f>
        <v>0</v>
      </c>
      <c r="N110" s="140">
        <f ca="1">SUMIFS('F20-2024'!N:N,'F20-2024'!$D:$D,$D110,'F20-2024'!$E:$E,$E110,'F20-2024'!$F:$F,$F110)</f>
        <v>0</v>
      </c>
      <c r="O110" s="140">
        <f ca="1">SUMIFS('F20-2024'!O:O,'F20-2024'!$D:$D,$D110,'F20-2024'!$E:$E,$E110,'F20-2024'!$F:$F,$F110)</f>
        <v>0</v>
      </c>
      <c r="P110" s="140">
        <f ca="1">SUMIFS('F20-2024'!P:P,'F20-2024'!$D:$D,$D110,'F20-2024'!$E:$E,$E110,'F20-2024'!$F:$F,$F110)</f>
        <v>0</v>
      </c>
      <c r="Q110" s="140">
        <f ca="1">SUMIFS('F20-2024'!Q:Q,'F20-2024'!$D:$D,$D110,'F20-2024'!$E:$E,$E110,'F20-2024'!$F:$F,$F110)</f>
        <v>0</v>
      </c>
      <c r="R110" s="140">
        <f ca="1">SUMIFS('F20-2024'!R:R,'F20-2024'!$D:$D,$D110,'F20-2024'!$E:$E,$E110,'F20-2024'!$F:$F,$F110)</f>
        <v>0</v>
      </c>
      <c r="S110" s="140">
        <f ca="1">SUMIFS('F20-2024'!S:S,'F20-2024'!$D:$D,$D110,'F20-2024'!$E:$E,$E110,'F20-2024'!$F:$F,$F110)</f>
        <v>0</v>
      </c>
      <c r="T110" s="140">
        <f ca="1">SUMIFS('F20-2024'!T:T,'F20-2024'!$D:$D,$D110,'F20-2024'!$E:$E,$E110,'F20-2024'!$F:$F,$F110)</f>
        <v>0</v>
      </c>
      <c r="U110" s="140">
        <f ca="1">SUMIFS('F20-2024'!U:U,'F20-2024'!$D:$D,$D110,'F20-2024'!$E:$E,$E110,'F20-2024'!$F:$F,$F110)</f>
        <v>0</v>
      </c>
      <c r="V110" s="140"/>
      <c r="W110" s="141" t="e">
        <f t="shared" ref="W110:AA110" ca="1" si="217">J110/$I110</f>
        <v>#DIV/0!</v>
      </c>
      <c r="X110" s="141" t="e">
        <f t="shared" ca="1" si="217"/>
        <v>#DIV/0!</v>
      </c>
      <c r="Y110" s="141" t="e">
        <f t="shared" ca="1" si="217"/>
        <v>#DIV/0!</v>
      </c>
      <c r="Z110" s="141" t="e">
        <f t="shared" ca="1" si="217"/>
        <v>#DIV/0!</v>
      </c>
      <c r="AA110" s="141" t="e">
        <f t="shared" ca="1" si="217"/>
        <v>#DIV/0!</v>
      </c>
      <c r="AB110" s="141"/>
      <c r="AC110" s="141" t="e">
        <f t="shared" ca="1" si="1"/>
        <v>#DIV/0!</v>
      </c>
      <c r="AD110" s="141" t="e">
        <f t="shared" ref="AD110:AI110" ca="1" si="218">O110/$I110</f>
        <v>#DIV/0!</v>
      </c>
      <c r="AE110" s="141" t="e">
        <f t="shared" ca="1" si="218"/>
        <v>#DIV/0!</v>
      </c>
      <c r="AF110" s="141" t="e">
        <f t="shared" ca="1" si="218"/>
        <v>#DIV/0!</v>
      </c>
      <c r="AG110" s="141" t="e">
        <f t="shared" ca="1" si="218"/>
        <v>#DIV/0!</v>
      </c>
      <c r="AH110" s="141" t="e">
        <f t="shared" ca="1" si="218"/>
        <v>#DIV/0!</v>
      </c>
      <c r="AI110" s="141" t="e">
        <f t="shared" ca="1" si="218"/>
        <v>#DIV/0!</v>
      </c>
      <c r="AJ110" s="140"/>
    </row>
    <row r="111" spans="1:36">
      <c r="A111" s="140" t="e">
        <f ca="1"/>
        <v>#NAME?</v>
      </c>
      <c r="B111" s="140" t="e">
        <f ca="1"/>
        <v>#NAME?</v>
      </c>
      <c r="C111" s="140" t="e">
        <f ca="1"/>
        <v>#NAME?</v>
      </c>
      <c r="D111" s="140" t="e">
        <f ca="1"/>
        <v>#NAME?</v>
      </c>
      <c r="E111" s="140" t="e">
        <f ca="1"/>
        <v>#NAME?</v>
      </c>
      <c r="F111" s="140" t="e">
        <f ca="1"/>
        <v>#NAME?</v>
      </c>
      <c r="G111" s="140" t="e">
        <f ca="1"/>
        <v>#NAME?</v>
      </c>
      <c r="H111" s="140"/>
      <c r="I111" s="140">
        <f ca="1">SUMIFS('F20-2024'!I:I,'F20-2024'!$D:$D,$D111,'F20-2024'!$E:$E,$E111,'F20-2024'!$F:$F,$F111)</f>
        <v>0</v>
      </c>
      <c r="J111" s="140">
        <f ca="1">SUMIFS('F20-2024'!J:J,'F20-2024'!$D:$D,$D111,'F20-2024'!$E:$E,$E111,'F20-2024'!$F:$F,$F111)</f>
        <v>0</v>
      </c>
      <c r="K111" s="140">
        <f ca="1">SUMIFS('F20-2024'!K:K,'F20-2024'!$D:$D,$D111,'F20-2024'!$E:$E,$E111,'F20-2024'!$F:$F,$F111)</f>
        <v>0</v>
      </c>
      <c r="L111" s="140">
        <f ca="1">SUMIFS('F20-2024'!L:L,'F20-2024'!$D:$D,$D111,'F20-2024'!$E:$E,$E111,'F20-2024'!$F:$F,$F111)</f>
        <v>0</v>
      </c>
      <c r="M111" s="140">
        <f ca="1">SUMIFS('F20-2024'!M:M,'F20-2024'!$D:$D,$D111,'F20-2024'!$E:$E,$E111,'F20-2024'!$F:$F,$F111)</f>
        <v>0</v>
      </c>
      <c r="N111" s="140">
        <f ca="1">SUMIFS('F20-2024'!N:N,'F20-2024'!$D:$D,$D111,'F20-2024'!$E:$E,$E111,'F20-2024'!$F:$F,$F111)</f>
        <v>0</v>
      </c>
      <c r="O111" s="140">
        <f ca="1">SUMIFS('F20-2024'!O:O,'F20-2024'!$D:$D,$D111,'F20-2024'!$E:$E,$E111,'F20-2024'!$F:$F,$F111)</f>
        <v>0</v>
      </c>
      <c r="P111" s="140">
        <f ca="1">SUMIFS('F20-2024'!P:P,'F20-2024'!$D:$D,$D111,'F20-2024'!$E:$E,$E111,'F20-2024'!$F:$F,$F111)</f>
        <v>0</v>
      </c>
      <c r="Q111" s="140">
        <f ca="1">SUMIFS('F20-2024'!Q:Q,'F20-2024'!$D:$D,$D111,'F20-2024'!$E:$E,$E111,'F20-2024'!$F:$F,$F111)</f>
        <v>0</v>
      </c>
      <c r="R111" s="140">
        <f ca="1">SUMIFS('F20-2024'!R:R,'F20-2024'!$D:$D,$D111,'F20-2024'!$E:$E,$E111,'F20-2024'!$F:$F,$F111)</f>
        <v>0</v>
      </c>
      <c r="S111" s="140">
        <f ca="1">SUMIFS('F20-2024'!S:S,'F20-2024'!$D:$D,$D111,'F20-2024'!$E:$E,$E111,'F20-2024'!$F:$F,$F111)</f>
        <v>0</v>
      </c>
      <c r="T111" s="140">
        <f ca="1">SUMIFS('F20-2024'!T:T,'F20-2024'!$D:$D,$D111,'F20-2024'!$E:$E,$E111,'F20-2024'!$F:$F,$F111)</f>
        <v>0</v>
      </c>
      <c r="U111" s="140">
        <f ca="1">SUMIFS('F20-2024'!U:U,'F20-2024'!$D:$D,$D111,'F20-2024'!$E:$E,$E111,'F20-2024'!$F:$F,$F111)</f>
        <v>0</v>
      </c>
      <c r="V111" s="140"/>
      <c r="W111" s="141" t="e">
        <f t="shared" ref="W111:AA111" ca="1" si="219">J111/$I111</f>
        <v>#DIV/0!</v>
      </c>
      <c r="X111" s="141" t="e">
        <f t="shared" ca="1" si="219"/>
        <v>#DIV/0!</v>
      </c>
      <c r="Y111" s="141" t="e">
        <f t="shared" ca="1" si="219"/>
        <v>#DIV/0!</v>
      </c>
      <c r="Z111" s="141" t="e">
        <f t="shared" ca="1" si="219"/>
        <v>#DIV/0!</v>
      </c>
      <c r="AA111" s="141" t="e">
        <f t="shared" ca="1" si="219"/>
        <v>#DIV/0!</v>
      </c>
      <c r="AB111" s="141"/>
      <c r="AC111" s="141" t="e">
        <f t="shared" ca="1" si="1"/>
        <v>#DIV/0!</v>
      </c>
      <c r="AD111" s="141" t="e">
        <f t="shared" ref="AD111:AI111" ca="1" si="220">O111/$I111</f>
        <v>#DIV/0!</v>
      </c>
      <c r="AE111" s="141" t="e">
        <f t="shared" ca="1" si="220"/>
        <v>#DIV/0!</v>
      </c>
      <c r="AF111" s="141" t="e">
        <f t="shared" ca="1" si="220"/>
        <v>#DIV/0!</v>
      </c>
      <c r="AG111" s="141" t="e">
        <f t="shared" ca="1" si="220"/>
        <v>#DIV/0!</v>
      </c>
      <c r="AH111" s="141" t="e">
        <f t="shared" ca="1" si="220"/>
        <v>#DIV/0!</v>
      </c>
      <c r="AI111" s="141" t="e">
        <f t="shared" ca="1" si="220"/>
        <v>#DIV/0!</v>
      </c>
      <c r="AJ111" s="140"/>
    </row>
    <row r="112" spans="1:36">
      <c r="A112" s="140" t="e">
        <f ca="1"/>
        <v>#NAME?</v>
      </c>
      <c r="B112" s="140" t="e">
        <f ca="1"/>
        <v>#NAME?</v>
      </c>
      <c r="C112" s="140" t="e">
        <f ca="1"/>
        <v>#NAME?</v>
      </c>
      <c r="D112" s="140" t="e">
        <f ca="1"/>
        <v>#NAME?</v>
      </c>
      <c r="E112" s="140" t="e">
        <f ca="1"/>
        <v>#NAME?</v>
      </c>
      <c r="F112" s="140" t="e">
        <f ca="1"/>
        <v>#NAME?</v>
      </c>
      <c r="G112" s="140" t="e">
        <f ca="1"/>
        <v>#NAME?</v>
      </c>
      <c r="H112" s="140"/>
      <c r="I112" s="140">
        <f ca="1">SUMIFS('F20-2024'!I:I,'F20-2024'!$D:$D,$D112,'F20-2024'!$E:$E,$E112,'F20-2024'!$F:$F,$F112)</f>
        <v>0</v>
      </c>
      <c r="J112" s="140">
        <f ca="1">SUMIFS('F20-2024'!J:J,'F20-2024'!$D:$D,$D112,'F20-2024'!$E:$E,$E112,'F20-2024'!$F:$F,$F112)</f>
        <v>0</v>
      </c>
      <c r="K112" s="140">
        <f ca="1">SUMIFS('F20-2024'!K:K,'F20-2024'!$D:$D,$D112,'F20-2024'!$E:$E,$E112,'F20-2024'!$F:$F,$F112)</f>
        <v>0</v>
      </c>
      <c r="L112" s="140">
        <f ca="1">SUMIFS('F20-2024'!L:L,'F20-2024'!$D:$D,$D112,'F20-2024'!$E:$E,$E112,'F20-2024'!$F:$F,$F112)</f>
        <v>0</v>
      </c>
      <c r="M112" s="140">
        <f ca="1">SUMIFS('F20-2024'!M:M,'F20-2024'!$D:$D,$D112,'F20-2024'!$E:$E,$E112,'F20-2024'!$F:$F,$F112)</f>
        <v>0</v>
      </c>
      <c r="N112" s="140">
        <f ca="1">SUMIFS('F20-2024'!N:N,'F20-2024'!$D:$D,$D112,'F20-2024'!$E:$E,$E112,'F20-2024'!$F:$F,$F112)</f>
        <v>0</v>
      </c>
      <c r="O112" s="140">
        <f ca="1">SUMIFS('F20-2024'!O:O,'F20-2024'!$D:$D,$D112,'F20-2024'!$E:$E,$E112,'F20-2024'!$F:$F,$F112)</f>
        <v>0</v>
      </c>
      <c r="P112" s="140">
        <f ca="1">SUMIFS('F20-2024'!P:P,'F20-2024'!$D:$D,$D112,'F20-2024'!$E:$E,$E112,'F20-2024'!$F:$F,$F112)</f>
        <v>0</v>
      </c>
      <c r="Q112" s="140">
        <f ca="1">SUMIFS('F20-2024'!Q:Q,'F20-2024'!$D:$D,$D112,'F20-2024'!$E:$E,$E112,'F20-2024'!$F:$F,$F112)</f>
        <v>0</v>
      </c>
      <c r="R112" s="140">
        <f ca="1">SUMIFS('F20-2024'!R:R,'F20-2024'!$D:$D,$D112,'F20-2024'!$E:$E,$E112,'F20-2024'!$F:$F,$F112)</f>
        <v>0</v>
      </c>
      <c r="S112" s="140">
        <f ca="1">SUMIFS('F20-2024'!S:S,'F20-2024'!$D:$D,$D112,'F20-2024'!$E:$E,$E112,'F20-2024'!$F:$F,$F112)</f>
        <v>0</v>
      </c>
      <c r="T112" s="140">
        <f ca="1">SUMIFS('F20-2024'!T:T,'F20-2024'!$D:$D,$D112,'F20-2024'!$E:$E,$E112,'F20-2024'!$F:$F,$F112)</f>
        <v>0</v>
      </c>
      <c r="U112" s="140">
        <f ca="1">SUMIFS('F20-2024'!U:U,'F20-2024'!$D:$D,$D112,'F20-2024'!$E:$E,$E112,'F20-2024'!$F:$F,$F112)</f>
        <v>0</v>
      </c>
      <c r="V112" s="140"/>
      <c r="W112" s="141" t="e">
        <f t="shared" ref="W112:AA112" ca="1" si="221">J112/$I112</f>
        <v>#DIV/0!</v>
      </c>
      <c r="X112" s="141" t="e">
        <f t="shared" ca="1" si="221"/>
        <v>#DIV/0!</v>
      </c>
      <c r="Y112" s="141" t="e">
        <f t="shared" ca="1" si="221"/>
        <v>#DIV/0!</v>
      </c>
      <c r="Z112" s="141" t="e">
        <f t="shared" ca="1" si="221"/>
        <v>#DIV/0!</v>
      </c>
      <c r="AA112" s="141" t="e">
        <f t="shared" ca="1" si="221"/>
        <v>#DIV/0!</v>
      </c>
      <c r="AB112" s="141"/>
      <c r="AC112" s="141" t="e">
        <f t="shared" ca="1" si="1"/>
        <v>#DIV/0!</v>
      </c>
      <c r="AD112" s="141" t="e">
        <f t="shared" ref="AD112:AI112" ca="1" si="222">O112/$I112</f>
        <v>#DIV/0!</v>
      </c>
      <c r="AE112" s="141" t="e">
        <f t="shared" ca="1" si="222"/>
        <v>#DIV/0!</v>
      </c>
      <c r="AF112" s="141" t="e">
        <f t="shared" ca="1" si="222"/>
        <v>#DIV/0!</v>
      </c>
      <c r="AG112" s="141" t="e">
        <f t="shared" ca="1" si="222"/>
        <v>#DIV/0!</v>
      </c>
      <c r="AH112" s="141" t="e">
        <f t="shared" ca="1" si="222"/>
        <v>#DIV/0!</v>
      </c>
      <c r="AI112" s="141" t="e">
        <f t="shared" ca="1" si="222"/>
        <v>#DIV/0!</v>
      </c>
      <c r="AJ112" s="140"/>
    </row>
    <row r="113" spans="1:36">
      <c r="A113" s="140" t="e">
        <f ca="1"/>
        <v>#NAME?</v>
      </c>
      <c r="B113" s="140" t="e">
        <f ca="1"/>
        <v>#NAME?</v>
      </c>
      <c r="C113" s="140" t="e">
        <f ca="1"/>
        <v>#NAME?</v>
      </c>
      <c r="D113" s="140" t="e">
        <f ca="1"/>
        <v>#NAME?</v>
      </c>
      <c r="E113" s="140" t="e">
        <f ca="1"/>
        <v>#NAME?</v>
      </c>
      <c r="F113" s="140" t="e">
        <f ca="1"/>
        <v>#NAME?</v>
      </c>
      <c r="G113" s="140" t="e">
        <f ca="1"/>
        <v>#NAME?</v>
      </c>
      <c r="H113" s="140"/>
      <c r="I113" s="140">
        <f ca="1">SUMIFS('F20-2024'!I:I,'F20-2024'!$D:$D,$D113,'F20-2024'!$E:$E,$E113,'F20-2024'!$F:$F,$F113)</f>
        <v>0</v>
      </c>
      <c r="J113" s="140">
        <f ca="1">SUMIFS('F20-2024'!J:J,'F20-2024'!$D:$D,$D113,'F20-2024'!$E:$E,$E113,'F20-2024'!$F:$F,$F113)</f>
        <v>0</v>
      </c>
      <c r="K113" s="140">
        <f ca="1">SUMIFS('F20-2024'!K:K,'F20-2024'!$D:$D,$D113,'F20-2024'!$E:$E,$E113,'F20-2024'!$F:$F,$F113)</f>
        <v>0</v>
      </c>
      <c r="L113" s="140">
        <f ca="1">SUMIFS('F20-2024'!L:L,'F20-2024'!$D:$D,$D113,'F20-2024'!$E:$E,$E113,'F20-2024'!$F:$F,$F113)</f>
        <v>0</v>
      </c>
      <c r="M113" s="140">
        <f ca="1">SUMIFS('F20-2024'!M:M,'F20-2024'!$D:$D,$D113,'F20-2024'!$E:$E,$E113,'F20-2024'!$F:$F,$F113)</f>
        <v>0</v>
      </c>
      <c r="N113" s="140">
        <f ca="1">SUMIFS('F20-2024'!N:N,'F20-2024'!$D:$D,$D113,'F20-2024'!$E:$E,$E113,'F20-2024'!$F:$F,$F113)</f>
        <v>0</v>
      </c>
      <c r="O113" s="140">
        <f ca="1">SUMIFS('F20-2024'!O:O,'F20-2024'!$D:$D,$D113,'F20-2024'!$E:$E,$E113,'F20-2024'!$F:$F,$F113)</f>
        <v>0</v>
      </c>
      <c r="P113" s="140">
        <f ca="1">SUMIFS('F20-2024'!P:P,'F20-2024'!$D:$D,$D113,'F20-2024'!$E:$E,$E113,'F20-2024'!$F:$F,$F113)</f>
        <v>0</v>
      </c>
      <c r="Q113" s="140">
        <f ca="1">SUMIFS('F20-2024'!Q:Q,'F20-2024'!$D:$D,$D113,'F20-2024'!$E:$E,$E113,'F20-2024'!$F:$F,$F113)</f>
        <v>0</v>
      </c>
      <c r="R113" s="140">
        <f ca="1">SUMIFS('F20-2024'!R:R,'F20-2024'!$D:$D,$D113,'F20-2024'!$E:$E,$E113,'F20-2024'!$F:$F,$F113)</f>
        <v>0</v>
      </c>
      <c r="S113" s="140">
        <f ca="1">SUMIFS('F20-2024'!S:S,'F20-2024'!$D:$D,$D113,'F20-2024'!$E:$E,$E113,'F20-2024'!$F:$F,$F113)</f>
        <v>0</v>
      </c>
      <c r="T113" s="140">
        <f ca="1">SUMIFS('F20-2024'!T:T,'F20-2024'!$D:$D,$D113,'F20-2024'!$E:$E,$E113,'F20-2024'!$F:$F,$F113)</f>
        <v>0</v>
      </c>
      <c r="U113" s="140">
        <f ca="1">SUMIFS('F20-2024'!U:U,'F20-2024'!$D:$D,$D113,'F20-2024'!$E:$E,$E113,'F20-2024'!$F:$F,$F113)</f>
        <v>0</v>
      </c>
      <c r="V113" s="140"/>
      <c r="W113" s="141" t="e">
        <f t="shared" ref="W113:AA113" ca="1" si="223">J113/$I113</f>
        <v>#DIV/0!</v>
      </c>
      <c r="X113" s="141" t="e">
        <f t="shared" ca="1" si="223"/>
        <v>#DIV/0!</v>
      </c>
      <c r="Y113" s="141" t="e">
        <f t="shared" ca="1" si="223"/>
        <v>#DIV/0!</v>
      </c>
      <c r="Z113" s="141" t="e">
        <f t="shared" ca="1" si="223"/>
        <v>#DIV/0!</v>
      </c>
      <c r="AA113" s="141" t="e">
        <f t="shared" ca="1" si="223"/>
        <v>#DIV/0!</v>
      </c>
      <c r="AB113" s="141"/>
      <c r="AC113" s="141" t="e">
        <f t="shared" ca="1" si="1"/>
        <v>#DIV/0!</v>
      </c>
      <c r="AD113" s="141" t="e">
        <f t="shared" ref="AD113:AI113" ca="1" si="224">O113/$I113</f>
        <v>#DIV/0!</v>
      </c>
      <c r="AE113" s="141" t="e">
        <f t="shared" ca="1" si="224"/>
        <v>#DIV/0!</v>
      </c>
      <c r="AF113" s="141" t="e">
        <f t="shared" ca="1" si="224"/>
        <v>#DIV/0!</v>
      </c>
      <c r="AG113" s="141" t="e">
        <f t="shared" ca="1" si="224"/>
        <v>#DIV/0!</v>
      </c>
      <c r="AH113" s="141" t="e">
        <f t="shared" ca="1" si="224"/>
        <v>#DIV/0!</v>
      </c>
      <c r="AI113" s="141" t="e">
        <f t="shared" ca="1" si="224"/>
        <v>#DIV/0!</v>
      </c>
      <c r="AJ113" s="140"/>
    </row>
    <row r="114" spans="1:36">
      <c r="A114" s="140" t="e">
        <f ca="1"/>
        <v>#NAME?</v>
      </c>
      <c r="B114" s="140" t="e">
        <f ca="1"/>
        <v>#NAME?</v>
      </c>
      <c r="C114" s="140" t="e">
        <f ca="1"/>
        <v>#NAME?</v>
      </c>
      <c r="D114" s="140" t="e">
        <f ca="1"/>
        <v>#NAME?</v>
      </c>
      <c r="E114" s="140" t="e">
        <f ca="1"/>
        <v>#NAME?</v>
      </c>
      <c r="F114" s="140" t="e">
        <f ca="1"/>
        <v>#NAME?</v>
      </c>
      <c r="G114" s="140" t="e">
        <f ca="1"/>
        <v>#NAME?</v>
      </c>
      <c r="H114" s="140"/>
      <c r="I114" s="140">
        <f ca="1">SUMIFS('F20-2024'!I:I,'F20-2024'!$D:$D,$D114,'F20-2024'!$E:$E,$E114,'F20-2024'!$F:$F,$F114)</f>
        <v>0</v>
      </c>
      <c r="J114" s="140">
        <f ca="1">SUMIFS('F20-2024'!J:J,'F20-2024'!$D:$D,$D114,'F20-2024'!$E:$E,$E114,'F20-2024'!$F:$F,$F114)</f>
        <v>0</v>
      </c>
      <c r="K114" s="140">
        <f ca="1">SUMIFS('F20-2024'!K:K,'F20-2024'!$D:$D,$D114,'F20-2024'!$E:$E,$E114,'F20-2024'!$F:$F,$F114)</f>
        <v>0</v>
      </c>
      <c r="L114" s="140">
        <f ca="1">SUMIFS('F20-2024'!L:L,'F20-2024'!$D:$D,$D114,'F20-2024'!$E:$E,$E114,'F20-2024'!$F:$F,$F114)</f>
        <v>0</v>
      </c>
      <c r="M114" s="140">
        <f ca="1">SUMIFS('F20-2024'!M:M,'F20-2024'!$D:$D,$D114,'F20-2024'!$E:$E,$E114,'F20-2024'!$F:$F,$F114)</f>
        <v>0</v>
      </c>
      <c r="N114" s="140">
        <f ca="1">SUMIFS('F20-2024'!N:N,'F20-2024'!$D:$D,$D114,'F20-2024'!$E:$E,$E114,'F20-2024'!$F:$F,$F114)</f>
        <v>0</v>
      </c>
      <c r="O114" s="140">
        <f ca="1">SUMIFS('F20-2024'!O:O,'F20-2024'!$D:$D,$D114,'F20-2024'!$E:$E,$E114,'F20-2024'!$F:$F,$F114)</f>
        <v>0</v>
      </c>
      <c r="P114" s="140">
        <f ca="1">SUMIFS('F20-2024'!P:P,'F20-2024'!$D:$D,$D114,'F20-2024'!$E:$E,$E114,'F20-2024'!$F:$F,$F114)</f>
        <v>0</v>
      </c>
      <c r="Q114" s="140">
        <f ca="1">SUMIFS('F20-2024'!Q:Q,'F20-2024'!$D:$D,$D114,'F20-2024'!$E:$E,$E114,'F20-2024'!$F:$F,$F114)</f>
        <v>0</v>
      </c>
      <c r="R114" s="140">
        <f ca="1">SUMIFS('F20-2024'!R:R,'F20-2024'!$D:$D,$D114,'F20-2024'!$E:$E,$E114,'F20-2024'!$F:$F,$F114)</f>
        <v>0</v>
      </c>
      <c r="S114" s="140">
        <f ca="1">SUMIFS('F20-2024'!S:S,'F20-2024'!$D:$D,$D114,'F20-2024'!$E:$E,$E114,'F20-2024'!$F:$F,$F114)</f>
        <v>0</v>
      </c>
      <c r="T114" s="140">
        <f ca="1">SUMIFS('F20-2024'!T:T,'F20-2024'!$D:$D,$D114,'F20-2024'!$E:$E,$E114,'F20-2024'!$F:$F,$F114)</f>
        <v>0</v>
      </c>
      <c r="U114" s="140">
        <f ca="1">SUMIFS('F20-2024'!U:U,'F20-2024'!$D:$D,$D114,'F20-2024'!$E:$E,$E114,'F20-2024'!$F:$F,$F114)</f>
        <v>0</v>
      </c>
      <c r="V114" s="140"/>
      <c r="W114" s="141" t="e">
        <f t="shared" ref="W114:AA114" ca="1" si="225">J114/$I114</f>
        <v>#DIV/0!</v>
      </c>
      <c r="X114" s="141" t="e">
        <f t="shared" ca="1" si="225"/>
        <v>#DIV/0!</v>
      </c>
      <c r="Y114" s="141" t="e">
        <f t="shared" ca="1" si="225"/>
        <v>#DIV/0!</v>
      </c>
      <c r="Z114" s="141" t="e">
        <f t="shared" ca="1" si="225"/>
        <v>#DIV/0!</v>
      </c>
      <c r="AA114" s="141" t="e">
        <f t="shared" ca="1" si="225"/>
        <v>#DIV/0!</v>
      </c>
      <c r="AB114" s="141"/>
      <c r="AC114" s="141" t="e">
        <f t="shared" ca="1" si="1"/>
        <v>#DIV/0!</v>
      </c>
      <c r="AD114" s="141" t="e">
        <f t="shared" ref="AD114:AI114" ca="1" si="226">O114/$I114</f>
        <v>#DIV/0!</v>
      </c>
      <c r="AE114" s="141" t="e">
        <f t="shared" ca="1" si="226"/>
        <v>#DIV/0!</v>
      </c>
      <c r="AF114" s="141" t="e">
        <f t="shared" ca="1" si="226"/>
        <v>#DIV/0!</v>
      </c>
      <c r="AG114" s="141" t="e">
        <f t="shared" ca="1" si="226"/>
        <v>#DIV/0!</v>
      </c>
      <c r="AH114" s="141" t="e">
        <f t="shared" ca="1" si="226"/>
        <v>#DIV/0!</v>
      </c>
      <c r="AI114" s="141" t="e">
        <f t="shared" ca="1" si="226"/>
        <v>#DIV/0!</v>
      </c>
      <c r="AJ114" s="140"/>
    </row>
    <row r="115" spans="1:36">
      <c r="A115" s="140" t="e">
        <f ca="1"/>
        <v>#NAME?</v>
      </c>
      <c r="B115" s="140" t="e">
        <f ca="1"/>
        <v>#NAME?</v>
      </c>
      <c r="C115" s="140" t="e">
        <f ca="1"/>
        <v>#NAME?</v>
      </c>
      <c r="D115" s="140" t="e">
        <f ca="1"/>
        <v>#NAME?</v>
      </c>
      <c r="E115" s="140" t="e">
        <f ca="1"/>
        <v>#NAME?</v>
      </c>
      <c r="F115" s="140" t="e">
        <f ca="1"/>
        <v>#NAME?</v>
      </c>
      <c r="G115" s="140" t="e">
        <f ca="1"/>
        <v>#NAME?</v>
      </c>
      <c r="H115" s="140"/>
      <c r="I115" s="140">
        <f ca="1">SUMIFS('F20-2024'!I:I,'F20-2024'!$D:$D,$D115,'F20-2024'!$E:$E,$E115,'F20-2024'!$F:$F,$F115)</f>
        <v>0</v>
      </c>
      <c r="J115" s="140">
        <f ca="1">SUMIFS('F20-2024'!J:J,'F20-2024'!$D:$D,$D115,'F20-2024'!$E:$E,$E115,'F20-2024'!$F:$F,$F115)</f>
        <v>0</v>
      </c>
      <c r="K115" s="140">
        <f ca="1">SUMIFS('F20-2024'!K:K,'F20-2024'!$D:$D,$D115,'F20-2024'!$E:$E,$E115,'F20-2024'!$F:$F,$F115)</f>
        <v>0</v>
      </c>
      <c r="L115" s="140">
        <f ca="1">SUMIFS('F20-2024'!L:L,'F20-2024'!$D:$D,$D115,'F20-2024'!$E:$E,$E115,'F20-2024'!$F:$F,$F115)</f>
        <v>0</v>
      </c>
      <c r="M115" s="140">
        <f ca="1">SUMIFS('F20-2024'!M:M,'F20-2024'!$D:$D,$D115,'F20-2024'!$E:$E,$E115,'F20-2024'!$F:$F,$F115)</f>
        <v>0</v>
      </c>
      <c r="N115" s="140">
        <f ca="1">SUMIFS('F20-2024'!N:N,'F20-2024'!$D:$D,$D115,'F20-2024'!$E:$E,$E115,'F20-2024'!$F:$F,$F115)</f>
        <v>0</v>
      </c>
      <c r="O115" s="140">
        <f ca="1">SUMIFS('F20-2024'!O:O,'F20-2024'!$D:$D,$D115,'F20-2024'!$E:$E,$E115,'F20-2024'!$F:$F,$F115)</f>
        <v>0</v>
      </c>
      <c r="P115" s="140">
        <f ca="1">SUMIFS('F20-2024'!P:P,'F20-2024'!$D:$D,$D115,'F20-2024'!$E:$E,$E115,'F20-2024'!$F:$F,$F115)</f>
        <v>0</v>
      </c>
      <c r="Q115" s="140">
        <f ca="1">SUMIFS('F20-2024'!Q:Q,'F20-2024'!$D:$D,$D115,'F20-2024'!$E:$E,$E115,'F20-2024'!$F:$F,$F115)</f>
        <v>0</v>
      </c>
      <c r="R115" s="140">
        <f ca="1">SUMIFS('F20-2024'!R:R,'F20-2024'!$D:$D,$D115,'F20-2024'!$E:$E,$E115,'F20-2024'!$F:$F,$F115)</f>
        <v>0</v>
      </c>
      <c r="S115" s="140">
        <f ca="1">SUMIFS('F20-2024'!S:S,'F20-2024'!$D:$D,$D115,'F20-2024'!$E:$E,$E115,'F20-2024'!$F:$F,$F115)</f>
        <v>0</v>
      </c>
      <c r="T115" s="140">
        <f ca="1">SUMIFS('F20-2024'!T:T,'F20-2024'!$D:$D,$D115,'F20-2024'!$E:$E,$E115,'F20-2024'!$F:$F,$F115)</f>
        <v>0</v>
      </c>
      <c r="U115" s="140">
        <f ca="1">SUMIFS('F20-2024'!U:U,'F20-2024'!$D:$D,$D115,'F20-2024'!$E:$E,$E115,'F20-2024'!$F:$F,$F115)</f>
        <v>0</v>
      </c>
      <c r="V115" s="140"/>
      <c r="W115" s="141" t="e">
        <f t="shared" ref="W115:AA115" ca="1" si="227">J115/$I115</f>
        <v>#DIV/0!</v>
      </c>
      <c r="X115" s="141" t="e">
        <f t="shared" ca="1" si="227"/>
        <v>#DIV/0!</v>
      </c>
      <c r="Y115" s="141" t="e">
        <f t="shared" ca="1" si="227"/>
        <v>#DIV/0!</v>
      </c>
      <c r="Z115" s="141" t="e">
        <f t="shared" ca="1" si="227"/>
        <v>#DIV/0!</v>
      </c>
      <c r="AA115" s="141" t="e">
        <f t="shared" ca="1" si="227"/>
        <v>#DIV/0!</v>
      </c>
      <c r="AB115" s="141"/>
      <c r="AC115" s="141" t="e">
        <f t="shared" ca="1" si="1"/>
        <v>#DIV/0!</v>
      </c>
      <c r="AD115" s="141" t="e">
        <f t="shared" ref="AD115:AI115" ca="1" si="228">O115/$I115</f>
        <v>#DIV/0!</v>
      </c>
      <c r="AE115" s="141" t="e">
        <f t="shared" ca="1" si="228"/>
        <v>#DIV/0!</v>
      </c>
      <c r="AF115" s="141" t="e">
        <f t="shared" ca="1" si="228"/>
        <v>#DIV/0!</v>
      </c>
      <c r="AG115" s="141" t="e">
        <f t="shared" ca="1" si="228"/>
        <v>#DIV/0!</v>
      </c>
      <c r="AH115" s="141" t="e">
        <f t="shared" ca="1" si="228"/>
        <v>#DIV/0!</v>
      </c>
      <c r="AI115" s="141" t="e">
        <f t="shared" ca="1" si="228"/>
        <v>#DIV/0!</v>
      </c>
      <c r="AJ115" s="140"/>
    </row>
    <row r="116" spans="1:36">
      <c r="A116" s="140" t="e">
        <f ca="1"/>
        <v>#NAME?</v>
      </c>
      <c r="B116" s="140" t="e">
        <f ca="1"/>
        <v>#NAME?</v>
      </c>
      <c r="C116" s="140" t="e">
        <f ca="1"/>
        <v>#NAME?</v>
      </c>
      <c r="D116" s="140" t="e">
        <f ca="1"/>
        <v>#NAME?</v>
      </c>
      <c r="E116" s="140" t="e">
        <f ca="1"/>
        <v>#NAME?</v>
      </c>
      <c r="F116" s="140" t="e">
        <f ca="1"/>
        <v>#NAME?</v>
      </c>
      <c r="G116" s="140" t="e">
        <f ca="1"/>
        <v>#NAME?</v>
      </c>
      <c r="H116" s="140"/>
      <c r="I116" s="140">
        <f ca="1">SUMIFS('F20-2024'!I:I,'F20-2024'!$D:$D,$D116,'F20-2024'!$E:$E,$E116,'F20-2024'!$F:$F,$F116)</f>
        <v>0</v>
      </c>
      <c r="J116" s="140">
        <f ca="1">SUMIFS('F20-2024'!J:J,'F20-2024'!$D:$D,$D116,'F20-2024'!$E:$E,$E116,'F20-2024'!$F:$F,$F116)</f>
        <v>0</v>
      </c>
      <c r="K116" s="140">
        <f ca="1">SUMIFS('F20-2024'!K:K,'F20-2024'!$D:$D,$D116,'F20-2024'!$E:$E,$E116,'F20-2024'!$F:$F,$F116)</f>
        <v>0</v>
      </c>
      <c r="L116" s="140">
        <f ca="1">SUMIFS('F20-2024'!L:L,'F20-2024'!$D:$D,$D116,'F20-2024'!$E:$E,$E116,'F20-2024'!$F:$F,$F116)</f>
        <v>0</v>
      </c>
      <c r="M116" s="140">
        <f ca="1">SUMIFS('F20-2024'!M:M,'F20-2024'!$D:$D,$D116,'F20-2024'!$E:$E,$E116,'F20-2024'!$F:$F,$F116)</f>
        <v>0</v>
      </c>
      <c r="N116" s="140">
        <f ca="1">SUMIFS('F20-2024'!N:N,'F20-2024'!$D:$D,$D116,'F20-2024'!$E:$E,$E116,'F20-2024'!$F:$F,$F116)</f>
        <v>0</v>
      </c>
      <c r="O116" s="140">
        <f ca="1">SUMIFS('F20-2024'!O:O,'F20-2024'!$D:$D,$D116,'F20-2024'!$E:$E,$E116,'F20-2024'!$F:$F,$F116)</f>
        <v>0</v>
      </c>
      <c r="P116" s="140">
        <f ca="1">SUMIFS('F20-2024'!P:P,'F20-2024'!$D:$D,$D116,'F20-2024'!$E:$E,$E116,'F20-2024'!$F:$F,$F116)</f>
        <v>0</v>
      </c>
      <c r="Q116" s="140">
        <f ca="1">SUMIFS('F20-2024'!Q:Q,'F20-2024'!$D:$D,$D116,'F20-2024'!$E:$E,$E116,'F20-2024'!$F:$F,$F116)</f>
        <v>0</v>
      </c>
      <c r="R116" s="140">
        <f ca="1">SUMIFS('F20-2024'!R:R,'F20-2024'!$D:$D,$D116,'F20-2024'!$E:$E,$E116,'F20-2024'!$F:$F,$F116)</f>
        <v>0</v>
      </c>
      <c r="S116" s="140">
        <f ca="1">SUMIFS('F20-2024'!S:S,'F20-2024'!$D:$D,$D116,'F20-2024'!$E:$E,$E116,'F20-2024'!$F:$F,$F116)</f>
        <v>0</v>
      </c>
      <c r="T116" s="140">
        <f ca="1">SUMIFS('F20-2024'!T:T,'F20-2024'!$D:$D,$D116,'F20-2024'!$E:$E,$E116,'F20-2024'!$F:$F,$F116)</f>
        <v>0</v>
      </c>
      <c r="U116" s="140">
        <f ca="1">SUMIFS('F20-2024'!U:U,'F20-2024'!$D:$D,$D116,'F20-2024'!$E:$E,$E116,'F20-2024'!$F:$F,$F116)</f>
        <v>0</v>
      </c>
      <c r="V116" s="140"/>
      <c r="W116" s="141" t="e">
        <f t="shared" ref="W116:AA116" ca="1" si="229">J116/$I116</f>
        <v>#DIV/0!</v>
      </c>
      <c r="X116" s="141" t="e">
        <f t="shared" ca="1" si="229"/>
        <v>#DIV/0!</v>
      </c>
      <c r="Y116" s="141" t="e">
        <f t="shared" ca="1" si="229"/>
        <v>#DIV/0!</v>
      </c>
      <c r="Z116" s="141" t="e">
        <f t="shared" ca="1" si="229"/>
        <v>#DIV/0!</v>
      </c>
      <c r="AA116" s="141" t="e">
        <f t="shared" ca="1" si="229"/>
        <v>#DIV/0!</v>
      </c>
      <c r="AB116" s="141"/>
      <c r="AC116" s="141" t="e">
        <f t="shared" ca="1" si="1"/>
        <v>#DIV/0!</v>
      </c>
      <c r="AD116" s="141" t="e">
        <f t="shared" ref="AD116:AI116" ca="1" si="230">O116/$I116</f>
        <v>#DIV/0!</v>
      </c>
      <c r="AE116" s="141" t="e">
        <f t="shared" ca="1" si="230"/>
        <v>#DIV/0!</v>
      </c>
      <c r="AF116" s="141" t="e">
        <f t="shared" ca="1" si="230"/>
        <v>#DIV/0!</v>
      </c>
      <c r="AG116" s="141" t="e">
        <f t="shared" ca="1" si="230"/>
        <v>#DIV/0!</v>
      </c>
      <c r="AH116" s="141" t="e">
        <f t="shared" ca="1" si="230"/>
        <v>#DIV/0!</v>
      </c>
      <c r="AI116" s="141" t="e">
        <f t="shared" ca="1" si="230"/>
        <v>#DIV/0!</v>
      </c>
      <c r="AJ116" s="140"/>
    </row>
    <row r="117" spans="1:36">
      <c r="A117" s="140" t="e">
        <f ca="1"/>
        <v>#NAME?</v>
      </c>
      <c r="B117" s="140" t="e">
        <f ca="1"/>
        <v>#NAME?</v>
      </c>
      <c r="C117" s="140" t="e">
        <f ca="1"/>
        <v>#NAME?</v>
      </c>
      <c r="D117" s="140" t="e">
        <f ca="1"/>
        <v>#NAME?</v>
      </c>
      <c r="E117" s="140" t="e">
        <f ca="1"/>
        <v>#NAME?</v>
      </c>
      <c r="F117" s="140" t="e">
        <f ca="1"/>
        <v>#NAME?</v>
      </c>
      <c r="G117" s="140" t="e">
        <f ca="1"/>
        <v>#NAME?</v>
      </c>
      <c r="H117" s="140"/>
      <c r="I117" s="140">
        <f ca="1">SUMIFS('F20-2024'!I:I,'F20-2024'!$D:$D,$D117,'F20-2024'!$E:$E,$E117,'F20-2024'!$F:$F,$F117)</f>
        <v>0</v>
      </c>
      <c r="J117" s="140">
        <f ca="1">SUMIFS('F20-2024'!J:J,'F20-2024'!$D:$D,$D117,'F20-2024'!$E:$E,$E117,'F20-2024'!$F:$F,$F117)</f>
        <v>0</v>
      </c>
      <c r="K117" s="140">
        <f ca="1">SUMIFS('F20-2024'!K:K,'F20-2024'!$D:$D,$D117,'F20-2024'!$E:$E,$E117,'F20-2024'!$F:$F,$F117)</f>
        <v>0</v>
      </c>
      <c r="L117" s="140">
        <f ca="1">SUMIFS('F20-2024'!L:L,'F20-2024'!$D:$D,$D117,'F20-2024'!$E:$E,$E117,'F20-2024'!$F:$F,$F117)</f>
        <v>0</v>
      </c>
      <c r="M117" s="140">
        <f ca="1">SUMIFS('F20-2024'!M:M,'F20-2024'!$D:$D,$D117,'F20-2024'!$E:$E,$E117,'F20-2024'!$F:$F,$F117)</f>
        <v>0</v>
      </c>
      <c r="N117" s="140">
        <f ca="1">SUMIFS('F20-2024'!N:N,'F20-2024'!$D:$D,$D117,'F20-2024'!$E:$E,$E117,'F20-2024'!$F:$F,$F117)</f>
        <v>0</v>
      </c>
      <c r="O117" s="140">
        <f ca="1">SUMIFS('F20-2024'!O:O,'F20-2024'!$D:$D,$D117,'F20-2024'!$E:$E,$E117,'F20-2024'!$F:$F,$F117)</f>
        <v>0</v>
      </c>
      <c r="P117" s="140">
        <f ca="1">SUMIFS('F20-2024'!P:P,'F20-2024'!$D:$D,$D117,'F20-2024'!$E:$E,$E117,'F20-2024'!$F:$F,$F117)</f>
        <v>0</v>
      </c>
      <c r="Q117" s="140">
        <f ca="1">SUMIFS('F20-2024'!Q:Q,'F20-2024'!$D:$D,$D117,'F20-2024'!$E:$E,$E117,'F20-2024'!$F:$F,$F117)</f>
        <v>0</v>
      </c>
      <c r="R117" s="140">
        <f ca="1">SUMIFS('F20-2024'!R:R,'F20-2024'!$D:$D,$D117,'F20-2024'!$E:$E,$E117,'F20-2024'!$F:$F,$F117)</f>
        <v>0</v>
      </c>
      <c r="S117" s="140">
        <f ca="1">SUMIFS('F20-2024'!S:S,'F20-2024'!$D:$D,$D117,'F20-2024'!$E:$E,$E117,'F20-2024'!$F:$F,$F117)</f>
        <v>0</v>
      </c>
      <c r="T117" s="140">
        <f ca="1">SUMIFS('F20-2024'!T:T,'F20-2024'!$D:$D,$D117,'F20-2024'!$E:$E,$E117,'F20-2024'!$F:$F,$F117)</f>
        <v>0</v>
      </c>
      <c r="U117" s="140">
        <f ca="1">SUMIFS('F20-2024'!U:U,'F20-2024'!$D:$D,$D117,'F20-2024'!$E:$E,$E117,'F20-2024'!$F:$F,$F117)</f>
        <v>0</v>
      </c>
      <c r="V117" s="140"/>
      <c r="W117" s="141" t="e">
        <f t="shared" ref="W117:AA117" ca="1" si="231">J117/$I117</f>
        <v>#DIV/0!</v>
      </c>
      <c r="X117" s="141" t="e">
        <f t="shared" ca="1" si="231"/>
        <v>#DIV/0!</v>
      </c>
      <c r="Y117" s="141" t="e">
        <f t="shared" ca="1" si="231"/>
        <v>#DIV/0!</v>
      </c>
      <c r="Z117" s="141" t="e">
        <f t="shared" ca="1" si="231"/>
        <v>#DIV/0!</v>
      </c>
      <c r="AA117" s="141" t="e">
        <f t="shared" ca="1" si="231"/>
        <v>#DIV/0!</v>
      </c>
      <c r="AB117" s="141"/>
      <c r="AC117" s="141" t="e">
        <f t="shared" ca="1" si="1"/>
        <v>#DIV/0!</v>
      </c>
      <c r="AD117" s="141" t="e">
        <f t="shared" ref="AD117:AI117" ca="1" si="232">O117/$I117</f>
        <v>#DIV/0!</v>
      </c>
      <c r="AE117" s="141" t="e">
        <f t="shared" ca="1" si="232"/>
        <v>#DIV/0!</v>
      </c>
      <c r="AF117" s="141" t="e">
        <f t="shared" ca="1" si="232"/>
        <v>#DIV/0!</v>
      </c>
      <c r="AG117" s="141" t="e">
        <f t="shared" ca="1" si="232"/>
        <v>#DIV/0!</v>
      </c>
      <c r="AH117" s="141" t="e">
        <f t="shared" ca="1" si="232"/>
        <v>#DIV/0!</v>
      </c>
      <c r="AI117" s="141" t="e">
        <f t="shared" ca="1" si="232"/>
        <v>#DIV/0!</v>
      </c>
      <c r="AJ117" s="140"/>
    </row>
    <row r="118" spans="1:36">
      <c r="A118" s="140" t="e">
        <f ca="1"/>
        <v>#NAME?</v>
      </c>
      <c r="B118" s="140" t="e">
        <f ca="1"/>
        <v>#NAME?</v>
      </c>
      <c r="C118" s="140" t="e">
        <f ca="1"/>
        <v>#NAME?</v>
      </c>
      <c r="D118" s="140" t="e">
        <f ca="1"/>
        <v>#NAME?</v>
      </c>
      <c r="E118" s="140" t="e">
        <f ca="1"/>
        <v>#NAME?</v>
      </c>
      <c r="F118" s="140" t="e">
        <f ca="1"/>
        <v>#NAME?</v>
      </c>
      <c r="G118" s="140" t="e">
        <f ca="1"/>
        <v>#NAME?</v>
      </c>
      <c r="H118" s="140"/>
      <c r="I118" s="140">
        <f ca="1">SUMIFS('F20-2024'!I:I,'F20-2024'!$D:$D,$D118,'F20-2024'!$E:$E,$E118,'F20-2024'!$F:$F,$F118)</f>
        <v>0</v>
      </c>
      <c r="J118" s="140">
        <f ca="1">SUMIFS('F20-2024'!J:J,'F20-2024'!$D:$D,$D118,'F20-2024'!$E:$E,$E118,'F20-2024'!$F:$F,$F118)</f>
        <v>0</v>
      </c>
      <c r="K118" s="140">
        <f ca="1">SUMIFS('F20-2024'!K:K,'F20-2024'!$D:$D,$D118,'F20-2024'!$E:$E,$E118,'F20-2024'!$F:$F,$F118)</f>
        <v>0</v>
      </c>
      <c r="L118" s="140">
        <f ca="1">SUMIFS('F20-2024'!L:L,'F20-2024'!$D:$D,$D118,'F20-2024'!$E:$E,$E118,'F20-2024'!$F:$F,$F118)</f>
        <v>0</v>
      </c>
      <c r="M118" s="140">
        <f ca="1">SUMIFS('F20-2024'!M:M,'F20-2024'!$D:$D,$D118,'F20-2024'!$E:$E,$E118,'F20-2024'!$F:$F,$F118)</f>
        <v>0</v>
      </c>
      <c r="N118" s="140">
        <f ca="1">SUMIFS('F20-2024'!N:N,'F20-2024'!$D:$D,$D118,'F20-2024'!$E:$E,$E118,'F20-2024'!$F:$F,$F118)</f>
        <v>0</v>
      </c>
      <c r="O118" s="140">
        <f ca="1">SUMIFS('F20-2024'!O:O,'F20-2024'!$D:$D,$D118,'F20-2024'!$E:$E,$E118,'F20-2024'!$F:$F,$F118)</f>
        <v>0</v>
      </c>
      <c r="P118" s="140">
        <f ca="1">SUMIFS('F20-2024'!P:P,'F20-2024'!$D:$D,$D118,'F20-2024'!$E:$E,$E118,'F20-2024'!$F:$F,$F118)</f>
        <v>0</v>
      </c>
      <c r="Q118" s="140">
        <f ca="1">SUMIFS('F20-2024'!Q:Q,'F20-2024'!$D:$D,$D118,'F20-2024'!$E:$E,$E118,'F20-2024'!$F:$F,$F118)</f>
        <v>0</v>
      </c>
      <c r="R118" s="140">
        <f ca="1">SUMIFS('F20-2024'!R:R,'F20-2024'!$D:$D,$D118,'F20-2024'!$E:$E,$E118,'F20-2024'!$F:$F,$F118)</f>
        <v>0</v>
      </c>
      <c r="S118" s="140">
        <f ca="1">SUMIFS('F20-2024'!S:S,'F20-2024'!$D:$D,$D118,'F20-2024'!$E:$E,$E118,'F20-2024'!$F:$F,$F118)</f>
        <v>0</v>
      </c>
      <c r="T118" s="140">
        <f ca="1">SUMIFS('F20-2024'!T:T,'F20-2024'!$D:$D,$D118,'F20-2024'!$E:$E,$E118,'F20-2024'!$F:$F,$F118)</f>
        <v>0</v>
      </c>
      <c r="U118" s="140">
        <f ca="1">SUMIFS('F20-2024'!U:U,'F20-2024'!$D:$D,$D118,'F20-2024'!$E:$E,$E118,'F20-2024'!$F:$F,$F118)</f>
        <v>0</v>
      </c>
      <c r="V118" s="140"/>
      <c r="W118" s="141" t="e">
        <f t="shared" ref="W118:AA118" ca="1" si="233">J118/$I118</f>
        <v>#DIV/0!</v>
      </c>
      <c r="X118" s="141" t="e">
        <f t="shared" ca="1" si="233"/>
        <v>#DIV/0!</v>
      </c>
      <c r="Y118" s="141" t="e">
        <f t="shared" ca="1" si="233"/>
        <v>#DIV/0!</v>
      </c>
      <c r="Z118" s="141" t="e">
        <f t="shared" ca="1" si="233"/>
        <v>#DIV/0!</v>
      </c>
      <c r="AA118" s="141" t="e">
        <f t="shared" ca="1" si="233"/>
        <v>#DIV/0!</v>
      </c>
      <c r="AB118" s="141"/>
      <c r="AC118" s="141" t="e">
        <f t="shared" ca="1" si="1"/>
        <v>#DIV/0!</v>
      </c>
      <c r="AD118" s="141" t="e">
        <f t="shared" ref="AD118:AI118" ca="1" si="234">O118/$I118</f>
        <v>#DIV/0!</v>
      </c>
      <c r="AE118" s="141" t="e">
        <f t="shared" ca="1" si="234"/>
        <v>#DIV/0!</v>
      </c>
      <c r="AF118" s="141" t="e">
        <f t="shared" ca="1" si="234"/>
        <v>#DIV/0!</v>
      </c>
      <c r="AG118" s="141" t="e">
        <f t="shared" ca="1" si="234"/>
        <v>#DIV/0!</v>
      </c>
      <c r="AH118" s="141" t="e">
        <f t="shared" ca="1" si="234"/>
        <v>#DIV/0!</v>
      </c>
      <c r="AI118" s="141" t="e">
        <f t="shared" ca="1" si="234"/>
        <v>#DIV/0!</v>
      </c>
      <c r="AJ118" s="140"/>
    </row>
    <row r="119" spans="1:36">
      <c r="A119" s="140" t="e">
        <f ca="1"/>
        <v>#NAME?</v>
      </c>
      <c r="B119" s="140" t="e">
        <f ca="1"/>
        <v>#NAME?</v>
      </c>
      <c r="C119" s="140" t="e">
        <f ca="1"/>
        <v>#NAME?</v>
      </c>
      <c r="D119" s="140" t="e">
        <f ca="1"/>
        <v>#NAME?</v>
      </c>
      <c r="E119" s="140" t="e">
        <f ca="1"/>
        <v>#NAME?</v>
      </c>
      <c r="F119" s="140" t="e">
        <f ca="1"/>
        <v>#NAME?</v>
      </c>
      <c r="G119" s="140" t="e">
        <f ca="1"/>
        <v>#NAME?</v>
      </c>
      <c r="H119" s="140"/>
      <c r="I119" s="140">
        <f ca="1">SUMIFS('F20-2024'!I:I,'F20-2024'!$D:$D,$D119,'F20-2024'!$E:$E,$E119,'F20-2024'!$F:$F,$F119)</f>
        <v>0</v>
      </c>
      <c r="J119" s="140">
        <f ca="1">SUMIFS('F20-2024'!J:J,'F20-2024'!$D:$D,$D119,'F20-2024'!$E:$E,$E119,'F20-2024'!$F:$F,$F119)</f>
        <v>0</v>
      </c>
      <c r="K119" s="140">
        <f ca="1">SUMIFS('F20-2024'!K:K,'F20-2024'!$D:$D,$D119,'F20-2024'!$E:$E,$E119,'F20-2024'!$F:$F,$F119)</f>
        <v>0</v>
      </c>
      <c r="L119" s="140">
        <f ca="1">SUMIFS('F20-2024'!L:L,'F20-2024'!$D:$D,$D119,'F20-2024'!$E:$E,$E119,'F20-2024'!$F:$F,$F119)</f>
        <v>0</v>
      </c>
      <c r="M119" s="140">
        <f ca="1">SUMIFS('F20-2024'!M:M,'F20-2024'!$D:$D,$D119,'F20-2024'!$E:$E,$E119,'F20-2024'!$F:$F,$F119)</f>
        <v>0</v>
      </c>
      <c r="N119" s="140">
        <f ca="1">SUMIFS('F20-2024'!N:N,'F20-2024'!$D:$D,$D119,'F20-2024'!$E:$E,$E119,'F20-2024'!$F:$F,$F119)</f>
        <v>0</v>
      </c>
      <c r="O119" s="140">
        <f ca="1">SUMIFS('F20-2024'!O:O,'F20-2024'!$D:$D,$D119,'F20-2024'!$E:$E,$E119,'F20-2024'!$F:$F,$F119)</f>
        <v>0</v>
      </c>
      <c r="P119" s="140">
        <f ca="1">SUMIFS('F20-2024'!P:P,'F20-2024'!$D:$D,$D119,'F20-2024'!$E:$E,$E119,'F20-2024'!$F:$F,$F119)</f>
        <v>0</v>
      </c>
      <c r="Q119" s="140">
        <f ca="1">SUMIFS('F20-2024'!Q:Q,'F20-2024'!$D:$D,$D119,'F20-2024'!$E:$E,$E119,'F20-2024'!$F:$F,$F119)</f>
        <v>0</v>
      </c>
      <c r="R119" s="140">
        <f ca="1">SUMIFS('F20-2024'!R:R,'F20-2024'!$D:$D,$D119,'F20-2024'!$E:$E,$E119,'F20-2024'!$F:$F,$F119)</f>
        <v>0</v>
      </c>
      <c r="S119" s="140">
        <f ca="1">SUMIFS('F20-2024'!S:S,'F20-2024'!$D:$D,$D119,'F20-2024'!$E:$E,$E119,'F20-2024'!$F:$F,$F119)</f>
        <v>0</v>
      </c>
      <c r="T119" s="140">
        <f ca="1">SUMIFS('F20-2024'!T:T,'F20-2024'!$D:$D,$D119,'F20-2024'!$E:$E,$E119,'F20-2024'!$F:$F,$F119)</f>
        <v>0</v>
      </c>
      <c r="U119" s="140">
        <f ca="1">SUMIFS('F20-2024'!U:U,'F20-2024'!$D:$D,$D119,'F20-2024'!$E:$E,$E119,'F20-2024'!$F:$F,$F119)</f>
        <v>0</v>
      </c>
      <c r="V119" s="140"/>
      <c r="W119" s="141" t="e">
        <f t="shared" ref="W119:AA119" ca="1" si="235">J119/$I119</f>
        <v>#DIV/0!</v>
      </c>
      <c r="X119" s="141" t="e">
        <f t="shared" ca="1" si="235"/>
        <v>#DIV/0!</v>
      </c>
      <c r="Y119" s="141" t="e">
        <f t="shared" ca="1" si="235"/>
        <v>#DIV/0!</v>
      </c>
      <c r="Z119" s="141" t="e">
        <f t="shared" ca="1" si="235"/>
        <v>#DIV/0!</v>
      </c>
      <c r="AA119" s="141" t="e">
        <f t="shared" ca="1" si="235"/>
        <v>#DIV/0!</v>
      </c>
      <c r="AB119" s="141"/>
      <c r="AC119" s="141" t="e">
        <f t="shared" ca="1" si="1"/>
        <v>#DIV/0!</v>
      </c>
      <c r="AD119" s="141" t="e">
        <f t="shared" ref="AD119:AI119" ca="1" si="236">O119/$I119</f>
        <v>#DIV/0!</v>
      </c>
      <c r="AE119" s="141" t="e">
        <f t="shared" ca="1" si="236"/>
        <v>#DIV/0!</v>
      </c>
      <c r="AF119" s="141" t="e">
        <f t="shared" ca="1" si="236"/>
        <v>#DIV/0!</v>
      </c>
      <c r="AG119" s="141" t="e">
        <f t="shared" ca="1" si="236"/>
        <v>#DIV/0!</v>
      </c>
      <c r="AH119" s="141" t="e">
        <f t="shared" ca="1" si="236"/>
        <v>#DIV/0!</v>
      </c>
      <c r="AI119" s="141" t="e">
        <f t="shared" ca="1" si="236"/>
        <v>#DIV/0!</v>
      </c>
      <c r="AJ119" s="140"/>
    </row>
    <row r="120" spans="1:36">
      <c r="A120" s="140" t="e">
        <f ca="1"/>
        <v>#NAME?</v>
      </c>
      <c r="B120" s="140" t="e">
        <f ca="1"/>
        <v>#NAME?</v>
      </c>
      <c r="C120" s="140" t="e">
        <f ca="1"/>
        <v>#NAME?</v>
      </c>
      <c r="D120" s="140" t="e">
        <f ca="1"/>
        <v>#NAME?</v>
      </c>
      <c r="E120" s="140" t="e">
        <f ca="1"/>
        <v>#NAME?</v>
      </c>
      <c r="F120" s="140" t="e">
        <f ca="1"/>
        <v>#NAME?</v>
      </c>
      <c r="G120" s="140" t="e">
        <f ca="1"/>
        <v>#NAME?</v>
      </c>
      <c r="H120" s="140"/>
      <c r="I120" s="140">
        <f ca="1">SUMIFS('F20-2024'!I:I,'F20-2024'!$D:$D,$D120,'F20-2024'!$E:$E,$E120,'F20-2024'!$F:$F,$F120)</f>
        <v>0</v>
      </c>
      <c r="J120" s="140">
        <f ca="1">SUMIFS('F20-2024'!J:J,'F20-2024'!$D:$D,$D120,'F20-2024'!$E:$E,$E120,'F20-2024'!$F:$F,$F120)</f>
        <v>0</v>
      </c>
      <c r="K120" s="140">
        <f ca="1">SUMIFS('F20-2024'!K:K,'F20-2024'!$D:$D,$D120,'F20-2024'!$E:$E,$E120,'F20-2024'!$F:$F,$F120)</f>
        <v>0</v>
      </c>
      <c r="L120" s="140">
        <f ca="1">SUMIFS('F20-2024'!L:L,'F20-2024'!$D:$D,$D120,'F20-2024'!$E:$E,$E120,'F20-2024'!$F:$F,$F120)</f>
        <v>0</v>
      </c>
      <c r="M120" s="140">
        <f ca="1">SUMIFS('F20-2024'!M:M,'F20-2024'!$D:$D,$D120,'F20-2024'!$E:$E,$E120,'F20-2024'!$F:$F,$F120)</f>
        <v>0</v>
      </c>
      <c r="N120" s="140">
        <f ca="1">SUMIFS('F20-2024'!N:N,'F20-2024'!$D:$D,$D120,'F20-2024'!$E:$E,$E120,'F20-2024'!$F:$F,$F120)</f>
        <v>0</v>
      </c>
      <c r="O120" s="140">
        <f ca="1">SUMIFS('F20-2024'!O:O,'F20-2024'!$D:$D,$D120,'F20-2024'!$E:$E,$E120,'F20-2024'!$F:$F,$F120)</f>
        <v>0</v>
      </c>
      <c r="P120" s="140">
        <f ca="1">SUMIFS('F20-2024'!P:P,'F20-2024'!$D:$D,$D120,'F20-2024'!$E:$E,$E120,'F20-2024'!$F:$F,$F120)</f>
        <v>0</v>
      </c>
      <c r="Q120" s="140">
        <f ca="1">SUMIFS('F20-2024'!Q:Q,'F20-2024'!$D:$D,$D120,'F20-2024'!$E:$E,$E120,'F20-2024'!$F:$F,$F120)</f>
        <v>0</v>
      </c>
      <c r="R120" s="140">
        <f ca="1">SUMIFS('F20-2024'!R:R,'F20-2024'!$D:$D,$D120,'F20-2024'!$E:$E,$E120,'F20-2024'!$F:$F,$F120)</f>
        <v>0</v>
      </c>
      <c r="S120" s="140">
        <f ca="1">SUMIFS('F20-2024'!S:S,'F20-2024'!$D:$D,$D120,'F20-2024'!$E:$E,$E120,'F20-2024'!$F:$F,$F120)</f>
        <v>0</v>
      </c>
      <c r="T120" s="140">
        <f ca="1">SUMIFS('F20-2024'!T:T,'F20-2024'!$D:$D,$D120,'F20-2024'!$E:$E,$E120,'F20-2024'!$F:$F,$F120)</f>
        <v>0</v>
      </c>
      <c r="U120" s="140">
        <f ca="1">SUMIFS('F20-2024'!U:U,'F20-2024'!$D:$D,$D120,'F20-2024'!$E:$E,$E120,'F20-2024'!$F:$F,$F120)</f>
        <v>0</v>
      </c>
      <c r="V120" s="140"/>
      <c r="W120" s="141" t="e">
        <f t="shared" ref="W120:AA120" ca="1" si="237">J120/$I120</f>
        <v>#DIV/0!</v>
      </c>
      <c r="X120" s="141" t="e">
        <f t="shared" ca="1" si="237"/>
        <v>#DIV/0!</v>
      </c>
      <c r="Y120" s="141" t="e">
        <f t="shared" ca="1" si="237"/>
        <v>#DIV/0!</v>
      </c>
      <c r="Z120" s="141" t="e">
        <f t="shared" ca="1" si="237"/>
        <v>#DIV/0!</v>
      </c>
      <c r="AA120" s="141" t="e">
        <f t="shared" ca="1" si="237"/>
        <v>#DIV/0!</v>
      </c>
      <c r="AB120" s="141"/>
      <c r="AC120" s="141" t="e">
        <f t="shared" ca="1" si="1"/>
        <v>#DIV/0!</v>
      </c>
      <c r="AD120" s="141" t="e">
        <f t="shared" ref="AD120:AI120" ca="1" si="238">O120/$I120</f>
        <v>#DIV/0!</v>
      </c>
      <c r="AE120" s="141" t="e">
        <f t="shared" ca="1" si="238"/>
        <v>#DIV/0!</v>
      </c>
      <c r="AF120" s="141" t="e">
        <f t="shared" ca="1" si="238"/>
        <v>#DIV/0!</v>
      </c>
      <c r="AG120" s="141" t="e">
        <f t="shared" ca="1" si="238"/>
        <v>#DIV/0!</v>
      </c>
      <c r="AH120" s="141" t="e">
        <f t="shared" ca="1" si="238"/>
        <v>#DIV/0!</v>
      </c>
      <c r="AI120" s="141" t="e">
        <f t="shared" ca="1" si="238"/>
        <v>#DIV/0!</v>
      </c>
      <c r="AJ120" s="140"/>
    </row>
    <row r="121" spans="1:36">
      <c r="A121" s="140" t="e">
        <f ca="1"/>
        <v>#NAME?</v>
      </c>
      <c r="B121" s="140" t="e">
        <f ca="1"/>
        <v>#NAME?</v>
      </c>
      <c r="C121" s="140" t="e">
        <f ca="1"/>
        <v>#NAME?</v>
      </c>
      <c r="D121" s="140" t="e">
        <f ca="1"/>
        <v>#NAME?</v>
      </c>
      <c r="E121" s="140" t="e">
        <f ca="1"/>
        <v>#NAME?</v>
      </c>
      <c r="F121" s="140" t="e">
        <f ca="1"/>
        <v>#NAME?</v>
      </c>
      <c r="G121" s="140" t="e">
        <f ca="1"/>
        <v>#NAME?</v>
      </c>
      <c r="H121" s="140"/>
      <c r="I121" s="140">
        <f ca="1">SUMIFS('F20-2024'!I:I,'F20-2024'!$D:$D,$D121,'F20-2024'!$E:$E,$E121,'F20-2024'!$F:$F,$F121)</f>
        <v>0</v>
      </c>
      <c r="J121" s="140">
        <f ca="1">SUMIFS('F20-2024'!J:J,'F20-2024'!$D:$D,$D121,'F20-2024'!$E:$E,$E121,'F20-2024'!$F:$F,$F121)</f>
        <v>0</v>
      </c>
      <c r="K121" s="140">
        <f ca="1">SUMIFS('F20-2024'!K:K,'F20-2024'!$D:$D,$D121,'F20-2024'!$E:$E,$E121,'F20-2024'!$F:$F,$F121)</f>
        <v>0</v>
      </c>
      <c r="L121" s="140">
        <f ca="1">SUMIFS('F20-2024'!L:L,'F20-2024'!$D:$D,$D121,'F20-2024'!$E:$E,$E121,'F20-2024'!$F:$F,$F121)</f>
        <v>0</v>
      </c>
      <c r="M121" s="140">
        <f ca="1">SUMIFS('F20-2024'!M:M,'F20-2024'!$D:$D,$D121,'F20-2024'!$E:$E,$E121,'F20-2024'!$F:$F,$F121)</f>
        <v>0</v>
      </c>
      <c r="N121" s="140">
        <f ca="1">SUMIFS('F20-2024'!N:N,'F20-2024'!$D:$D,$D121,'F20-2024'!$E:$E,$E121,'F20-2024'!$F:$F,$F121)</f>
        <v>0</v>
      </c>
      <c r="O121" s="140">
        <f ca="1">SUMIFS('F20-2024'!O:O,'F20-2024'!$D:$D,$D121,'F20-2024'!$E:$E,$E121,'F20-2024'!$F:$F,$F121)</f>
        <v>0</v>
      </c>
      <c r="P121" s="140">
        <f ca="1">SUMIFS('F20-2024'!P:P,'F20-2024'!$D:$D,$D121,'F20-2024'!$E:$E,$E121,'F20-2024'!$F:$F,$F121)</f>
        <v>0</v>
      </c>
      <c r="Q121" s="140">
        <f ca="1">SUMIFS('F20-2024'!Q:Q,'F20-2024'!$D:$D,$D121,'F20-2024'!$E:$E,$E121,'F20-2024'!$F:$F,$F121)</f>
        <v>0</v>
      </c>
      <c r="R121" s="140">
        <f ca="1">SUMIFS('F20-2024'!R:R,'F20-2024'!$D:$D,$D121,'F20-2024'!$E:$E,$E121,'F20-2024'!$F:$F,$F121)</f>
        <v>0</v>
      </c>
      <c r="S121" s="140">
        <f ca="1">SUMIFS('F20-2024'!S:S,'F20-2024'!$D:$D,$D121,'F20-2024'!$E:$E,$E121,'F20-2024'!$F:$F,$F121)</f>
        <v>0</v>
      </c>
      <c r="T121" s="140">
        <f ca="1">SUMIFS('F20-2024'!T:T,'F20-2024'!$D:$D,$D121,'F20-2024'!$E:$E,$E121,'F20-2024'!$F:$F,$F121)</f>
        <v>0</v>
      </c>
      <c r="U121" s="140">
        <f ca="1">SUMIFS('F20-2024'!U:U,'F20-2024'!$D:$D,$D121,'F20-2024'!$E:$E,$E121,'F20-2024'!$F:$F,$F121)</f>
        <v>0</v>
      </c>
      <c r="V121" s="140"/>
      <c r="W121" s="141" t="e">
        <f t="shared" ref="W121:AA121" ca="1" si="239">J121/$I121</f>
        <v>#DIV/0!</v>
      </c>
      <c r="X121" s="141" t="e">
        <f t="shared" ca="1" si="239"/>
        <v>#DIV/0!</v>
      </c>
      <c r="Y121" s="141" t="e">
        <f t="shared" ca="1" si="239"/>
        <v>#DIV/0!</v>
      </c>
      <c r="Z121" s="141" t="e">
        <f t="shared" ca="1" si="239"/>
        <v>#DIV/0!</v>
      </c>
      <c r="AA121" s="141" t="e">
        <f t="shared" ca="1" si="239"/>
        <v>#DIV/0!</v>
      </c>
      <c r="AB121" s="141"/>
      <c r="AC121" s="141" t="e">
        <f t="shared" ca="1" si="1"/>
        <v>#DIV/0!</v>
      </c>
      <c r="AD121" s="141" t="e">
        <f t="shared" ref="AD121:AI121" ca="1" si="240">O121/$I121</f>
        <v>#DIV/0!</v>
      </c>
      <c r="AE121" s="141" t="e">
        <f t="shared" ca="1" si="240"/>
        <v>#DIV/0!</v>
      </c>
      <c r="AF121" s="141" t="e">
        <f t="shared" ca="1" si="240"/>
        <v>#DIV/0!</v>
      </c>
      <c r="AG121" s="141" t="e">
        <f t="shared" ca="1" si="240"/>
        <v>#DIV/0!</v>
      </c>
      <c r="AH121" s="141" t="e">
        <f t="shared" ca="1" si="240"/>
        <v>#DIV/0!</v>
      </c>
      <c r="AI121" s="141" t="e">
        <f t="shared" ca="1" si="240"/>
        <v>#DIV/0!</v>
      </c>
      <c r="AJ121" s="140"/>
    </row>
    <row r="122" spans="1:36">
      <c r="A122" s="140" t="e">
        <f ca="1"/>
        <v>#NAME?</v>
      </c>
      <c r="B122" s="140" t="e">
        <f ca="1"/>
        <v>#NAME?</v>
      </c>
      <c r="C122" s="140" t="e">
        <f ca="1"/>
        <v>#NAME?</v>
      </c>
      <c r="D122" s="140" t="e">
        <f ca="1"/>
        <v>#NAME?</v>
      </c>
      <c r="E122" s="140" t="e">
        <f ca="1"/>
        <v>#NAME?</v>
      </c>
      <c r="F122" s="140" t="e">
        <f ca="1"/>
        <v>#NAME?</v>
      </c>
      <c r="G122" s="140" t="e">
        <f ca="1"/>
        <v>#NAME?</v>
      </c>
      <c r="H122" s="140"/>
      <c r="I122" s="140">
        <f ca="1">SUMIFS('F20-2024'!I:I,'F20-2024'!$D:$D,$D122,'F20-2024'!$E:$E,$E122,'F20-2024'!$F:$F,$F122)</f>
        <v>0</v>
      </c>
      <c r="J122" s="140">
        <f ca="1">SUMIFS('F20-2024'!J:J,'F20-2024'!$D:$D,$D122,'F20-2024'!$E:$E,$E122,'F20-2024'!$F:$F,$F122)</f>
        <v>0</v>
      </c>
      <c r="K122" s="140">
        <f ca="1">SUMIFS('F20-2024'!K:K,'F20-2024'!$D:$D,$D122,'F20-2024'!$E:$E,$E122,'F20-2024'!$F:$F,$F122)</f>
        <v>0</v>
      </c>
      <c r="L122" s="140">
        <f ca="1">SUMIFS('F20-2024'!L:L,'F20-2024'!$D:$D,$D122,'F20-2024'!$E:$E,$E122,'F20-2024'!$F:$F,$F122)</f>
        <v>0</v>
      </c>
      <c r="M122" s="140">
        <f ca="1">SUMIFS('F20-2024'!M:M,'F20-2024'!$D:$D,$D122,'F20-2024'!$E:$E,$E122,'F20-2024'!$F:$F,$F122)</f>
        <v>0</v>
      </c>
      <c r="N122" s="140">
        <f ca="1">SUMIFS('F20-2024'!N:N,'F20-2024'!$D:$D,$D122,'F20-2024'!$E:$E,$E122,'F20-2024'!$F:$F,$F122)</f>
        <v>0</v>
      </c>
      <c r="O122" s="140">
        <f ca="1">SUMIFS('F20-2024'!O:O,'F20-2024'!$D:$D,$D122,'F20-2024'!$E:$E,$E122,'F20-2024'!$F:$F,$F122)</f>
        <v>0</v>
      </c>
      <c r="P122" s="140">
        <f ca="1">SUMIFS('F20-2024'!P:P,'F20-2024'!$D:$D,$D122,'F20-2024'!$E:$E,$E122,'F20-2024'!$F:$F,$F122)</f>
        <v>0</v>
      </c>
      <c r="Q122" s="140">
        <f ca="1">SUMIFS('F20-2024'!Q:Q,'F20-2024'!$D:$D,$D122,'F20-2024'!$E:$E,$E122,'F20-2024'!$F:$F,$F122)</f>
        <v>0</v>
      </c>
      <c r="R122" s="140">
        <f ca="1">SUMIFS('F20-2024'!R:R,'F20-2024'!$D:$D,$D122,'F20-2024'!$E:$E,$E122,'F20-2024'!$F:$F,$F122)</f>
        <v>0</v>
      </c>
      <c r="S122" s="140">
        <f ca="1">SUMIFS('F20-2024'!S:S,'F20-2024'!$D:$D,$D122,'F20-2024'!$E:$E,$E122,'F20-2024'!$F:$F,$F122)</f>
        <v>0</v>
      </c>
      <c r="T122" s="140">
        <f ca="1">SUMIFS('F20-2024'!T:T,'F20-2024'!$D:$D,$D122,'F20-2024'!$E:$E,$E122,'F20-2024'!$F:$F,$F122)</f>
        <v>0</v>
      </c>
      <c r="U122" s="140">
        <f ca="1">SUMIFS('F20-2024'!U:U,'F20-2024'!$D:$D,$D122,'F20-2024'!$E:$E,$E122,'F20-2024'!$F:$F,$F122)</f>
        <v>0</v>
      </c>
      <c r="V122" s="140"/>
      <c r="W122" s="141" t="e">
        <f t="shared" ref="W122:AA122" ca="1" si="241">J122/$I122</f>
        <v>#DIV/0!</v>
      </c>
      <c r="X122" s="141" t="e">
        <f t="shared" ca="1" si="241"/>
        <v>#DIV/0!</v>
      </c>
      <c r="Y122" s="141" t="e">
        <f t="shared" ca="1" si="241"/>
        <v>#DIV/0!</v>
      </c>
      <c r="Z122" s="141" t="e">
        <f t="shared" ca="1" si="241"/>
        <v>#DIV/0!</v>
      </c>
      <c r="AA122" s="141" t="e">
        <f t="shared" ca="1" si="241"/>
        <v>#DIV/0!</v>
      </c>
      <c r="AB122" s="141"/>
      <c r="AC122" s="141" t="e">
        <f t="shared" ca="1" si="1"/>
        <v>#DIV/0!</v>
      </c>
      <c r="AD122" s="141" t="e">
        <f t="shared" ref="AD122:AI122" ca="1" si="242">O122/$I122</f>
        <v>#DIV/0!</v>
      </c>
      <c r="AE122" s="141" t="e">
        <f t="shared" ca="1" si="242"/>
        <v>#DIV/0!</v>
      </c>
      <c r="AF122" s="141" t="e">
        <f t="shared" ca="1" si="242"/>
        <v>#DIV/0!</v>
      </c>
      <c r="AG122" s="141" t="e">
        <f t="shared" ca="1" si="242"/>
        <v>#DIV/0!</v>
      </c>
      <c r="AH122" s="141" t="e">
        <f t="shared" ca="1" si="242"/>
        <v>#DIV/0!</v>
      </c>
      <c r="AI122" s="141" t="e">
        <f t="shared" ca="1" si="242"/>
        <v>#DIV/0!</v>
      </c>
      <c r="AJ122" s="140"/>
    </row>
    <row r="123" spans="1:36">
      <c r="A123" s="140" t="e">
        <f ca="1"/>
        <v>#NAME?</v>
      </c>
      <c r="B123" s="140" t="e">
        <f ca="1"/>
        <v>#NAME?</v>
      </c>
      <c r="C123" s="140" t="e">
        <f ca="1"/>
        <v>#NAME?</v>
      </c>
      <c r="D123" s="140" t="e">
        <f ca="1"/>
        <v>#NAME?</v>
      </c>
      <c r="E123" s="140" t="e">
        <f ca="1"/>
        <v>#NAME?</v>
      </c>
      <c r="F123" s="140" t="e">
        <f ca="1"/>
        <v>#NAME?</v>
      </c>
      <c r="G123" s="140" t="e">
        <f ca="1"/>
        <v>#NAME?</v>
      </c>
      <c r="H123" s="140"/>
      <c r="I123" s="140">
        <f ca="1">SUMIFS('F20-2024'!I:I,'F20-2024'!$D:$D,$D123,'F20-2024'!$E:$E,$E123,'F20-2024'!$F:$F,$F123)</f>
        <v>0</v>
      </c>
      <c r="J123" s="140">
        <f ca="1">SUMIFS('F20-2024'!J:J,'F20-2024'!$D:$D,$D123,'F20-2024'!$E:$E,$E123,'F20-2024'!$F:$F,$F123)</f>
        <v>0</v>
      </c>
      <c r="K123" s="140">
        <f ca="1">SUMIFS('F20-2024'!K:K,'F20-2024'!$D:$D,$D123,'F20-2024'!$E:$E,$E123,'F20-2024'!$F:$F,$F123)</f>
        <v>0</v>
      </c>
      <c r="L123" s="140">
        <f ca="1">SUMIFS('F20-2024'!L:L,'F20-2024'!$D:$D,$D123,'F20-2024'!$E:$E,$E123,'F20-2024'!$F:$F,$F123)</f>
        <v>0</v>
      </c>
      <c r="M123" s="140">
        <f ca="1">SUMIFS('F20-2024'!M:M,'F20-2024'!$D:$D,$D123,'F20-2024'!$E:$E,$E123,'F20-2024'!$F:$F,$F123)</f>
        <v>0</v>
      </c>
      <c r="N123" s="140">
        <f ca="1">SUMIFS('F20-2024'!N:N,'F20-2024'!$D:$D,$D123,'F20-2024'!$E:$E,$E123,'F20-2024'!$F:$F,$F123)</f>
        <v>0</v>
      </c>
      <c r="O123" s="140">
        <f ca="1">SUMIFS('F20-2024'!O:O,'F20-2024'!$D:$D,$D123,'F20-2024'!$E:$E,$E123,'F20-2024'!$F:$F,$F123)</f>
        <v>0</v>
      </c>
      <c r="P123" s="140">
        <f ca="1">SUMIFS('F20-2024'!P:P,'F20-2024'!$D:$D,$D123,'F20-2024'!$E:$E,$E123,'F20-2024'!$F:$F,$F123)</f>
        <v>0</v>
      </c>
      <c r="Q123" s="140">
        <f ca="1">SUMIFS('F20-2024'!Q:Q,'F20-2024'!$D:$D,$D123,'F20-2024'!$E:$E,$E123,'F20-2024'!$F:$F,$F123)</f>
        <v>0</v>
      </c>
      <c r="R123" s="140">
        <f ca="1">SUMIFS('F20-2024'!R:R,'F20-2024'!$D:$D,$D123,'F20-2024'!$E:$E,$E123,'F20-2024'!$F:$F,$F123)</f>
        <v>0</v>
      </c>
      <c r="S123" s="140">
        <f ca="1">SUMIFS('F20-2024'!S:S,'F20-2024'!$D:$D,$D123,'F20-2024'!$E:$E,$E123,'F20-2024'!$F:$F,$F123)</f>
        <v>0</v>
      </c>
      <c r="T123" s="140">
        <f ca="1">SUMIFS('F20-2024'!T:T,'F20-2024'!$D:$D,$D123,'F20-2024'!$E:$E,$E123,'F20-2024'!$F:$F,$F123)</f>
        <v>0</v>
      </c>
      <c r="U123" s="140">
        <f ca="1">SUMIFS('F20-2024'!U:U,'F20-2024'!$D:$D,$D123,'F20-2024'!$E:$E,$E123,'F20-2024'!$F:$F,$F123)</f>
        <v>0</v>
      </c>
      <c r="V123" s="140"/>
      <c r="W123" s="141" t="e">
        <f t="shared" ref="W123:AA123" ca="1" si="243">J123/$I123</f>
        <v>#DIV/0!</v>
      </c>
      <c r="X123" s="141" t="e">
        <f t="shared" ca="1" si="243"/>
        <v>#DIV/0!</v>
      </c>
      <c r="Y123" s="141" t="e">
        <f t="shared" ca="1" si="243"/>
        <v>#DIV/0!</v>
      </c>
      <c r="Z123" s="141" t="e">
        <f t="shared" ca="1" si="243"/>
        <v>#DIV/0!</v>
      </c>
      <c r="AA123" s="141" t="e">
        <f t="shared" ca="1" si="243"/>
        <v>#DIV/0!</v>
      </c>
      <c r="AB123" s="141"/>
      <c r="AC123" s="141" t="e">
        <f t="shared" ca="1" si="1"/>
        <v>#DIV/0!</v>
      </c>
      <c r="AD123" s="141" t="e">
        <f t="shared" ref="AD123:AI123" ca="1" si="244">O123/$I123</f>
        <v>#DIV/0!</v>
      </c>
      <c r="AE123" s="141" t="e">
        <f t="shared" ca="1" si="244"/>
        <v>#DIV/0!</v>
      </c>
      <c r="AF123" s="141" t="e">
        <f t="shared" ca="1" si="244"/>
        <v>#DIV/0!</v>
      </c>
      <c r="AG123" s="141" t="e">
        <f t="shared" ca="1" si="244"/>
        <v>#DIV/0!</v>
      </c>
      <c r="AH123" s="141" t="e">
        <f t="shared" ca="1" si="244"/>
        <v>#DIV/0!</v>
      </c>
      <c r="AI123" s="141" t="e">
        <f t="shared" ca="1" si="244"/>
        <v>#DIV/0!</v>
      </c>
      <c r="AJ123" s="140"/>
    </row>
    <row r="124" spans="1:36">
      <c r="A124" s="140" t="e">
        <f ca="1"/>
        <v>#NAME?</v>
      </c>
      <c r="B124" s="140" t="e">
        <f ca="1"/>
        <v>#NAME?</v>
      </c>
      <c r="C124" s="140" t="e">
        <f ca="1"/>
        <v>#NAME?</v>
      </c>
      <c r="D124" s="140" t="e">
        <f ca="1"/>
        <v>#NAME?</v>
      </c>
      <c r="E124" s="140" t="e">
        <f ca="1"/>
        <v>#NAME?</v>
      </c>
      <c r="F124" s="140" t="e">
        <f ca="1"/>
        <v>#NAME?</v>
      </c>
      <c r="G124" s="140" t="e">
        <f ca="1"/>
        <v>#NAME?</v>
      </c>
      <c r="H124" s="140"/>
      <c r="I124" s="140">
        <f ca="1">SUMIFS('F20-2024'!I:I,'F20-2024'!$D:$D,$D124,'F20-2024'!$E:$E,$E124,'F20-2024'!$F:$F,$F124)</f>
        <v>0</v>
      </c>
      <c r="J124" s="140">
        <f ca="1">SUMIFS('F20-2024'!J:J,'F20-2024'!$D:$D,$D124,'F20-2024'!$E:$E,$E124,'F20-2024'!$F:$F,$F124)</f>
        <v>0</v>
      </c>
      <c r="K124" s="140">
        <f ca="1">SUMIFS('F20-2024'!K:K,'F20-2024'!$D:$D,$D124,'F20-2024'!$E:$E,$E124,'F20-2024'!$F:$F,$F124)</f>
        <v>0</v>
      </c>
      <c r="L124" s="140">
        <f ca="1">SUMIFS('F20-2024'!L:L,'F20-2024'!$D:$D,$D124,'F20-2024'!$E:$E,$E124,'F20-2024'!$F:$F,$F124)</f>
        <v>0</v>
      </c>
      <c r="M124" s="140">
        <f ca="1">SUMIFS('F20-2024'!M:M,'F20-2024'!$D:$D,$D124,'F20-2024'!$E:$E,$E124,'F20-2024'!$F:$F,$F124)</f>
        <v>0</v>
      </c>
      <c r="N124" s="140">
        <f ca="1">SUMIFS('F20-2024'!N:N,'F20-2024'!$D:$D,$D124,'F20-2024'!$E:$E,$E124,'F20-2024'!$F:$F,$F124)</f>
        <v>0</v>
      </c>
      <c r="O124" s="140">
        <f ca="1">SUMIFS('F20-2024'!O:O,'F20-2024'!$D:$D,$D124,'F20-2024'!$E:$E,$E124,'F20-2024'!$F:$F,$F124)</f>
        <v>0</v>
      </c>
      <c r="P124" s="140">
        <f ca="1">SUMIFS('F20-2024'!P:P,'F20-2024'!$D:$D,$D124,'F20-2024'!$E:$E,$E124,'F20-2024'!$F:$F,$F124)</f>
        <v>0</v>
      </c>
      <c r="Q124" s="140">
        <f ca="1">SUMIFS('F20-2024'!Q:Q,'F20-2024'!$D:$D,$D124,'F20-2024'!$E:$E,$E124,'F20-2024'!$F:$F,$F124)</f>
        <v>0</v>
      </c>
      <c r="R124" s="140">
        <f ca="1">SUMIFS('F20-2024'!R:R,'F20-2024'!$D:$D,$D124,'F20-2024'!$E:$E,$E124,'F20-2024'!$F:$F,$F124)</f>
        <v>0</v>
      </c>
      <c r="S124" s="140">
        <f ca="1">SUMIFS('F20-2024'!S:S,'F20-2024'!$D:$D,$D124,'F20-2024'!$E:$E,$E124,'F20-2024'!$F:$F,$F124)</f>
        <v>0</v>
      </c>
      <c r="T124" s="140">
        <f ca="1">SUMIFS('F20-2024'!T:T,'F20-2024'!$D:$D,$D124,'F20-2024'!$E:$E,$E124,'F20-2024'!$F:$F,$F124)</f>
        <v>0</v>
      </c>
      <c r="U124" s="140">
        <f ca="1">SUMIFS('F20-2024'!U:U,'F20-2024'!$D:$D,$D124,'F20-2024'!$E:$E,$E124,'F20-2024'!$F:$F,$F124)</f>
        <v>0</v>
      </c>
      <c r="V124" s="140"/>
      <c r="W124" s="141" t="e">
        <f t="shared" ref="W124:AA124" ca="1" si="245">J124/$I124</f>
        <v>#DIV/0!</v>
      </c>
      <c r="X124" s="141" t="e">
        <f t="shared" ca="1" si="245"/>
        <v>#DIV/0!</v>
      </c>
      <c r="Y124" s="141" t="e">
        <f t="shared" ca="1" si="245"/>
        <v>#DIV/0!</v>
      </c>
      <c r="Z124" s="141" t="e">
        <f t="shared" ca="1" si="245"/>
        <v>#DIV/0!</v>
      </c>
      <c r="AA124" s="141" t="e">
        <f t="shared" ca="1" si="245"/>
        <v>#DIV/0!</v>
      </c>
      <c r="AB124" s="141"/>
      <c r="AC124" s="141" t="e">
        <f t="shared" ca="1" si="1"/>
        <v>#DIV/0!</v>
      </c>
      <c r="AD124" s="141" t="e">
        <f t="shared" ref="AD124:AI124" ca="1" si="246">O124/$I124</f>
        <v>#DIV/0!</v>
      </c>
      <c r="AE124" s="141" t="e">
        <f t="shared" ca="1" si="246"/>
        <v>#DIV/0!</v>
      </c>
      <c r="AF124" s="141" t="e">
        <f t="shared" ca="1" si="246"/>
        <v>#DIV/0!</v>
      </c>
      <c r="AG124" s="141" t="e">
        <f t="shared" ca="1" si="246"/>
        <v>#DIV/0!</v>
      </c>
      <c r="AH124" s="141" t="e">
        <f t="shared" ca="1" si="246"/>
        <v>#DIV/0!</v>
      </c>
      <c r="AI124" s="141" t="e">
        <f t="shared" ca="1" si="246"/>
        <v>#DIV/0!</v>
      </c>
      <c r="AJ124" s="140"/>
    </row>
    <row r="125" spans="1:36">
      <c r="A125" s="140" t="e">
        <f ca="1"/>
        <v>#NAME?</v>
      </c>
      <c r="B125" s="140" t="e">
        <f ca="1"/>
        <v>#NAME?</v>
      </c>
      <c r="C125" s="140" t="e">
        <f ca="1"/>
        <v>#NAME?</v>
      </c>
      <c r="D125" s="140" t="e">
        <f ca="1"/>
        <v>#NAME?</v>
      </c>
      <c r="E125" s="140" t="e">
        <f ca="1"/>
        <v>#NAME?</v>
      </c>
      <c r="F125" s="140" t="e">
        <f ca="1"/>
        <v>#NAME?</v>
      </c>
      <c r="G125" s="140" t="e">
        <f ca="1"/>
        <v>#NAME?</v>
      </c>
      <c r="H125" s="140"/>
      <c r="I125" s="140">
        <f ca="1">SUMIFS('F20-2024'!I:I,'F20-2024'!$D:$D,$D125,'F20-2024'!$E:$E,$E125,'F20-2024'!$F:$F,$F125)</f>
        <v>0</v>
      </c>
      <c r="J125" s="140">
        <f ca="1">SUMIFS('F20-2024'!J:J,'F20-2024'!$D:$D,$D125,'F20-2024'!$E:$E,$E125,'F20-2024'!$F:$F,$F125)</f>
        <v>0</v>
      </c>
      <c r="K125" s="140">
        <f ca="1">SUMIFS('F20-2024'!K:K,'F20-2024'!$D:$D,$D125,'F20-2024'!$E:$E,$E125,'F20-2024'!$F:$F,$F125)</f>
        <v>0</v>
      </c>
      <c r="L125" s="140">
        <f ca="1">SUMIFS('F20-2024'!L:L,'F20-2024'!$D:$D,$D125,'F20-2024'!$E:$E,$E125,'F20-2024'!$F:$F,$F125)</f>
        <v>0</v>
      </c>
      <c r="M125" s="140">
        <f ca="1">SUMIFS('F20-2024'!M:M,'F20-2024'!$D:$D,$D125,'F20-2024'!$E:$E,$E125,'F20-2024'!$F:$F,$F125)</f>
        <v>0</v>
      </c>
      <c r="N125" s="140">
        <f ca="1">SUMIFS('F20-2024'!N:N,'F20-2024'!$D:$D,$D125,'F20-2024'!$E:$E,$E125,'F20-2024'!$F:$F,$F125)</f>
        <v>0</v>
      </c>
      <c r="O125" s="140">
        <f ca="1">SUMIFS('F20-2024'!O:O,'F20-2024'!$D:$D,$D125,'F20-2024'!$E:$E,$E125,'F20-2024'!$F:$F,$F125)</f>
        <v>0</v>
      </c>
      <c r="P125" s="140">
        <f ca="1">SUMIFS('F20-2024'!P:P,'F20-2024'!$D:$D,$D125,'F20-2024'!$E:$E,$E125,'F20-2024'!$F:$F,$F125)</f>
        <v>0</v>
      </c>
      <c r="Q125" s="140">
        <f ca="1">SUMIFS('F20-2024'!Q:Q,'F20-2024'!$D:$D,$D125,'F20-2024'!$E:$E,$E125,'F20-2024'!$F:$F,$F125)</f>
        <v>0</v>
      </c>
      <c r="R125" s="140">
        <f ca="1">SUMIFS('F20-2024'!R:R,'F20-2024'!$D:$D,$D125,'F20-2024'!$E:$E,$E125,'F20-2024'!$F:$F,$F125)</f>
        <v>0</v>
      </c>
      <c r="S125" s="140">
        <f ca="1">SUMIFS('F20-2024'!S:S,'F20-2024'!$D:$D,$D125,'F20-2024'!$E:$E,$E125,'F20-2024'!$F:$F,$F125)</f>
        <v>0</v>
      </c>
      <c r="T125" s="140">
        <f ca="1">SUMIFS('F20-2024'!T:T,'F20-2024'!$D:$D,$D125,'F20-2024'!$E:$E,$E125,'F20-2024'!$F:$F,$F125)</f>
        <v>0</v>
      </c>
      <c r="U125" s="140">
        <f ca="1">SUMIFS('F20-2024'!U:U,'F20-2024'!$D:$D,$D125,'F20-2024'!$E:$E,$E125,'F20-2024'!$F:$F,$F125)</f>
        <v>0</v>
      </c>
      <c r="V125" s="140"/>
      <c r="W125" s="141" t="e">
        <f t="shared" ref="W125:AA125" ca="1" si="247">J125/$I125</f>
        <v>#DIV/0!</v>
      </c>
      <c r="X125" s="141" t="e">
        <f t="shared" ca="1" si="247"/>
        <v>#DIV/0!</v>
      </c>
      <c r="Y125" s="141" t="e">
        <f t="shared" ca="1" si="247"/>
        <v>#DIV/0!</v>
      </c>
      <c r="Z125" s="141" t="e">
        <f t="shared" ca="1" si="247"/>
        <v>#DIV/0!</v>
      </c>
      <c r="AA125" s="141" t="e">
        <f t="shared" ca="1" si="247"/>
        <v>#DIV/0!</v>
      </c>
      <c r="AB125" s="141"/>
      <c r="AC125" s="141" t="e">
        <f t="shared" ca="1" si="1"/>
        <v>#DIV/0!</v>
      </c>
      <c r="AD125" s="141" t="e">
        <f t="shared" ref="AD125:AI125" ca="1" si="248">O125/$I125</f>
        <v>#DIV/0!</v>
      </c>
      <c r="AE125" s="141" t="e">
        <f t="shared" ca="1" si="248"/>
        <v>#DIV/0!</v>
      </c>
      <c r="AF125" s="141" t="e">
        <f t="shared" ca="1" si="248"/>
        <v>#DIV/0!</v>
      </c>
      <c r="AG125" s="141" t="e">
        <f t="shared" ca="1" si="248"/>
        <v>#DIV/0!</v>
      </c>
      <c r="AH125" s="141" t="e">
        <f t="shared" ca="1" si="248"/>
        <v>#DIV/0!</v>
      </c>
      <c r="AI125" s="141" t="e">
        <f t="shared" ca="1" si="248"/>
        <v>#DIV/0!</v>
      </c>
      <c r="AJ125" s="140"/>
    </row>
    <row r="126" spans="1:36">
      <c r="A126" s="140" t="e">
        <f ca="1"/>
        <v>#NAME?</v>
      </c>
      <c r="B126" s="140" t="e">
        <f ca="1"/>
        <v>#NAME?</v>
      </c>
      <c r="C126" s="140" t="e">
        <f ca="1"/>
        <v>#NAME?</v>
      </c>
      <c r="D126" s="140" t="e">
        <f ca="1"/>
        <v>#NAME?</v>
      </c>
      <c r="E126" s="140" t="e">
        <f ca="1"/>
        <v>#NAME?</v>
      </c>
      <c r="F126" s="140" t="e">
        <f ca="1"/>
        <v>#NAME?</v>
      </c>
      <c r="G126" s="140" t="e">
        <f ca="1"/>
        <v>#NAME?</v>
      </c>
      <c r="H126" s="140"/>
      <c r="I126" s="140">
        <f ca="1">SUMIFS('F20-2024'!I:I,'F20-2024'!$D:$D,$D126,'F20-2024'!$E:$E,$E126,'F20-2024'!$F:$F,$F126)</f>
        <v>0</v>
      </c>
      <c r="J126" s="140">
        <f ca="1">SUMIFS('F20-2024'!J:J,'F20-2024'!$D:$D,$D126,'F20-2024'!$E:$E,$E126,'F20-2024'!$F:$F,$F126)</f>
        <v>0</v>
      </c>
      <c r="K126" s="140">
        <f ca="1">SUMIFS('F20-2024'!K:K,'F20-2024'!$D:$D,$D126,'F20-2024'!$E:$E,$E126,'F20-2024'!$F:$F,$F126)</f>
        <v>0</v>
      </c>
      <c r="L126" s="140">
        <f ca="1">SUMIFS('F20-2024'!L:L,'F20-2024'!$D:$D,$D126,'F20-2024'!$E:$E,$E126,'F20-2024'!$F:$F,$F126)</f>
        <v>0</v>
      </c>
      <c r="M126" s="140">
        <f ca="1">SUMIFS('F20-2024'!M:M,'F20-2024'!$D:$D,$D126,'F20-2024'!$E:$E,$E126,'F20-2024'!$F:$F,$F126)</f>
        <v>0</v>
      </c>
      <c r="N126" s="140">
        <f ca="1">SUMIFS('F20-2024'!N:N,'F20-2024'!$D:$D,$D126,'F20-2024'!$E:$E,$E126,'F20-2024'!$F:$F,$F126)</f>
        <v>0</v>
      </c>
      <c r="O126" s="140">
        <f ca="1">SUMIFS('F20-2024'!O:O,'F20-2024'!$D:$D,$D126,'F20-2024'!$E:$E,$E126,'F20-2024'!$F:$F,$F126)</f>
        <v>0</v>
      </c>
      <c r="P126" s="140">
        <f ca="1">SUMIFS('F20-2024'!P:P,'F20-2024'!$D:$D,$D126,'F20-2024'!$E:$E,$E126,'F20-2024'!$F:$F,$F126)</f>
        <v>0</v>
      </c>
      <c r="Q126" s="140">
        <f ca="1">SUMIFS('F20-2024'!Q:Q,'F20-2024'!$D:$D,$D126,'F20-2024'!$E:$E,$E126,'F20-2024'!$F:$F,$F126)</f>
        <v>0</v>
      </c>
      <c r="R126" s="140">
        <f ca="1">SUMIFS('F20-2024'!R:R,'F20-2024'!$D:$D,$D126,'F20-2024'!$E:$E,$E126,'F20-2024'!$F:$F,$F126)</f>
        <v>0</v>
      </c>
      <c r="S126" s="140">
        <f ca="1">SUMIFS('F20-2024'!S:S,'F20-2024'!$D:$D,$D126,'F20-2024'!$E:$E,$E126,'F20-2024'!$F:$F,$F126)</f>
        <v>0</v>
      </c>
      <c r="T126" s="140">
        <f ca="1">SUMIFS('F20-2024'!T:T,'F20-2024'!$D:$D,$D126,'F20-2024'!$E:$E,$E126,'F20-2024'!$F:$F,$F126)</f>
        <v>0</v>
      </c>
      <c r="U126" s="140">
        <f ca="1">SUMIFS('F20-2024'!U:U,'F20-2024'!$D:$D,$D126,'F20-2024'!$E:$E,$E126,'F20-2024'!$F:$F,$F126)</f>
        <v>0</v>
      </c>
      <c r="V126" s="140"/>
      <c r="W126" s="141" t="e">
        <f t="shared" ref="W126:AA126" ca="1" si="249">J126/$I126</f>
        <v>#DIV/0!</v>
      </c>
      <c r="X126" s="141" t="e">
        <f t="shared" ca="1" si="249"/>
        <v>#DIV/0!</v>
      </c>
      <c r="Y126" s="141" t="e">
        <f t="shared" ca="1" si="249"/>
        <v>#DIV/0!</v>
      </c>
      <c r="Z126" s="141" t="e">
        <f t="shared" ca="1" si="249"/>
        <v>#DIV/0!</v>
      </c>
      <c r="AA126" s="141" t="e">
        <f t="shared" ca="1" si="249"/>
        <v>#DIV/0!</v>
      </c>
      <c r="AB126" s="141"/>
      <c r="AC126" s="141" t="e">
        <f t="shared" ca="1" si="1"/>
        <v>#DIV/0!</v>
      </c>
      <c r="AD126" s="141" t="e">
        <f t="shared" ref="AD126:AI126" ca="1" si="250">O126/$I126</f>
        <v>#DIV/0!</v>
      </c>
      <c r="AE126" s="141" t="e">
        <f t="shared" ca="1" si="250"/>
        <v>#DIV/0!</v>
      </c>
      <c r="AF126" s="141" t="e">
        <f t="shared" ca="1" si="250"/>
        <v>#DIV/0!</v>
      </c>
      <c r="AG126" s="141" t="e">
        <f t="shared" ca="1" si="250"/>
        <v>#DIV/0!</v>
      </c>
      <c r="AH126" s="141" t="e">
        <f t="shared" ca="1" si="250"/>
        <v>#DIV/0!</v>
      </c>
      <c r="AI126" s="141" t="e">
        <f t="shared" ca="1" si="250"/>
        <v>#DIV/0!</v>
      </c>
      <c r="AJ126" s="140"/>
    </row>
    <row r="127" spans="1:36">
      <c r="A127" s="140" t="e">
        <f ca="1"/>
        <v>#NAME?</v>
      </c>
      <c r="B127" s="140" t="e">
        <f ca="1"/>
        <v>#NAME?</v>
      </c>
      <c r="C127" s="140" t="e">
        <f ca="1"/>
        <v>#NAME?</v>
      </c>
      <c r="D127" s="140" t="e">
        <f ca="1"/>
        <v>#NAME?</v>
      </c>
      <c r="E127" s="140" t="e">
        <f ca="1"/>
        <v>#NAME?</v>
      </c>
      <c r="F127" s="140" t="e">
        <f ca="1"/>
        <v>#NAME?</v>
      </c>
      <c r="G127" s="140" t="e">
        <f ca="1"/>
        <v>#NAME?</v>
      </c>
      <c r="H127" s="140"/>
      <c r="I127" s="140">
        <f ca="1">SUMIFS('F20-2024'!I:I,'F20-2024'!$D:$D,$D127,'F20-2024'!$E:$E,$E127,'F20-2024'!$F:$F,$F127)</f>
        <v>0</v>
      </c>
      <c r="J127" s="140">
        <f ca="1">SUMIFS('F20-2024'!J:J,'F20-2024'!$D:$D,$D127,'F20-2024'!$E:$E,$E127,'F20-2024'!$F:$F,$F127)</f>
        <v>0</v>
      </c>
      <c r="K127" s="140">
        <f ca="1">SUMIFS('F20-2024'!K:K,'F20-2024'!$D:$D,$D127,'F20-2024'!$E:$E,$E127,'F20-2024'!$F:$F,$F127)</f>
        <v>0</v>
      </c>
      <c r="L127" s="140">
        <f ca="1">SUMIFS('F20-2024'!L:L,'F20-2024'!$D:$D,$D127,'F20-2024'!$E:$E,$E127,'F20-2024'!$F:$F,$F127)</f>
        <v>0</v>
      </c>
      <c r="M127" s="140">
        <f ca="1">SUMIFS('F20-2024'!M:M,'F20-2024'!$D:$D,$D127,'F20-2024'!$E:$E,$E127,'F20-2024'!$F:$F,$F127)</f>
        <v>0</v>
      </c>
      <c r="N127" s="140">
        <f ca="1">SUMIFS('F20-2024'!N:N,'F20-2024'!$D:$D,$D127,'F20-2024'!$E:$E,$E127,'F20-2024'!$F:$F,$F127)</f>
        <v>0</v>
      </c>
      <c r="O127" s="140">
        <f ca="1">SUMIFS('F20-2024'!O:O,'F20-2024'!$D:$D,$D127,'F20-2024'!$E:$E,$E127,'F20-2024'!$F:$F,$F127)</f>
        <v>0</v>
      </c>
      <c r="P127" s="140">
        <f ca="1">SUMIFS('F20-2024'!P:P,'F20-2024'!$D:$D,$D127,'F20-2024'!$E:$E,$E127,'F20-2024'!$F:$F,$F127)</f>
        <v>0</v>
      </c>
      <c r="Q127" s="140">
        <f ca="1">SUMIFS('F20-2024'!Q:Q,'F20-2024'!$D:$D,$D127,'F20-2024'!$E:$E,$E127,'F20-2024'!$F:$F,$F127)</f>
        <v>0</v>
      </c>
      <c r="R127" s="140">
        <f ca="1">SUMIFS('F20-2024'!R:R,'F20-2024'!$D:$D,$D127,'F20-2024'!$E:$E,$E127,'F20-2024'!$F:$F,$F127)</f>
        <v>0</v>
      </c>
      <c r="S127" s="140">
        <f ca="1">SUMIFS('F20-2024'!S:S,'F20-2024'!$D:$D,$D127,'F20-2024'!$E:$E,$E127,'F20-2024'!$F:$F,$F127)</f>
        <v>0</v>
      </c>
      <c r="T127" s="140">
        <f ca="1">SUMIFS('F20-2024'!T:T,'F20-2024'!$D:$D,$D127,'F20-2024'!$E:$E,$E127,'F20-2024'!$F:$F,$F127)</f>
        <v>0</v>
      </c>
      <c r="U127" s="140">
        <f ca="1">SUMIFS('F20-2024'!U:U,'F20-2024'!$D:$D,$D127,'F20-2024'!$E:$E,$E127,'F20-2024'!$F:$F,$F127)</f>
        <v>0</v>
      </c>
      <c r="V127" s="140"/>
      <c r="W127" s="141" t="e">
        <f t="shared" ref="W127:AA127" ca="1" si="251">J127/$I127</f>
        <v>#DIV/0!</v>
      </c>
      <c r="X127" s="141" t="e">
        <f t="shared" ca="1" si="251"/>
        <v>#DIV/0!</v>
      </c>
      <c r="Y127" s="141" t="e">
        <f t="shared" ca="1" si="251"/>
        <v>#DIV/0!</v>
      </c>
      <c r="Z127" s="141" t="e">
        <f t="shared" ca="1" si="251"/>
        <v>#DIV/0!</v>
      </c>
      <c r="AA127" s="141" t="e">
        <f t="shared" ca="1" si="251"/>
        <v>#DIV/0!</v>
      </c>
      <c r="AB127" s="141"/>
      <c r="AC127" s="141" t="e">
        <f t="shared" ca="1" si="1"/>
        <v>#DIV/0!</v>
      </c>
      <c r="AD127" s="141" t="e">
        <f t="shared" ref="AD127:AI127" ca="1" si="252">O127/$I127</f>
        <v>#DIV/0!</v>
      </c>
      <c r="AE127" s="141" t="e">
        <f t="shared" ca="1" si="252"/>
        <v>#DIV/0!</v>
      </c>
      <c r="AF127" s="141" t="e">
        <f t="shared" ca="1" si="252"/>
        <v>#DIV/0!</v>
      </c>
      <c r="AG127" s="141" t="e">
        <f t="shared" ca="1" si="252"/>
        <v>#DIV/0!</v>
      </c>
      <c r="AH127" s="141" t="e">
        <f t="shared" ca="1" si="252"/>
        <v>#DIV/0!</v>
      </c>
      <c r="AI127" s="141" t="e">
        <f t="shared" ca="1" si="252"/>
        <v>#DIV/0!</v>
      </c>
      <c r="AJ127" s="140"/>
    </row>
    <row r="128" spans="1:36">
      <c r="A128" s="140" t="e">
        <f ca="1"/>
        <v>#NAME?</v>
      </c>
      <c r="B128" s="140" t="e">
        <f ca="1"/>
        <v>#NAME?</v>
      </c>
      <c r="C128" s="140" t="e">
        <f ca="1"/>
        <v>#NAME?</v>
      </c>
      <c r="D128" s="140" t="e">
        <f ca="1"/>
        <v>#NAME?</v>
      </c>
      <c r="E128" s="140" t="e">
        <f ca="1"/>
        <v>#NAME?</v>
      </c>
      <c r="F128" s="140" t="e">
        <f ca="1"/>
        <v>#NAME?</v>
      </c>
      <c r="G128" s="140" t="e">
        <f ca="1"/>
        <v>#NAME?</v>
      </c>
      <c r="H128" s="140"/>
      <c r="I128" s="140">
        <f ca="1">SUMIFS('F20-2024'!I:I,'F20-2024'!$D:$D,$D128,'F20-2024'!$E:$E,$E128,'F20-2024'!$F:$F,$F128)</f>
        <v>0</v>
      </c>
      <c r="J128" s="140">
        <f ca="1">SUMIFS('F20-2024'!J:J,'F20-2024'!$D:$D,$D128,'F20-2024'!$E:$E,$E128,'F20-2024'!$F:$F,$F128)</f>
        <v>0</v>
      </c>
      <c r="K128" s="140">
        <f ca="1">SUMIFS('F20-2024'!K:K,'F20-2024'!$D:$D,$D128,'F20-2024'!$E:$E,$E128,'F20-2024'!$F:$F,$F128)</f>
        <v>0</v>
      </c>
      <c r="L128" s="140">
        <f ca="1">SUMIFS('F20-2024'!L:L,'F20-2024'!$D:$D,$D128,'F20-2024'!$E:$E,$E128,'F20-2024'!$F:$F,$F128)</f>
        <v>0</v>
      </c>
      <c r="M128" s="140">
        <f ca="1">SUMIFS('F20-2024'!M:M,'F20-2024'!$D:$D,$D128,'F20-2024'!$E:$E,$E128,'F20-2024'!$F:$F,$F128)</f>
        <v>0</v>
      </c>
      <c r="N128" s="140">
        <f ca="1">SUMIFS('F20-2024'!N:N,'F20-2024'!$D:$D,$D128,'F20-2024'!$E:$E,$E128,'F20-2024'!$F:$F,$F128)</f>
        <v>0</v>
      </c>
      <c r="O128" s="140">
        <f ca="1">SUMIFS('F20-2024'!O:O,'F20-2024'!$D:$D,$D128,'F20-2024'!$E:$E,$E128,'F20-2024'!$F:$F,$F128)</f>
        <v>0</v>
      </c>
      <c r="P128" s="140">
        <f ca="1">SUMIFS('F20-2024'!P:P,'F20-2024'!$D:$D,$D128,'F20-2024'!$E:$E,$E128,'F20-2024'!$F:$F,$F128)</f>
        <v>0</v>
      </c>
      <c r="Q128" s="140">
        <f ca="1">SUMIFS('F20-2024'!Q:Q,'F20-2024'!$D:$D,$D128,'F20-2024'!$E:$E,$E128,'F20-2024'!$F:$F,$F128)</f>
        <v>0</v>
      </c>
      <c r="R128" s="140">
        <f ca="1">SUMIFS('F20-2024'!R:R,'F20-2024'!$D:$D,$D128,'F20-2024'!$E:$E,$E128,'F20-2024'!$F:$F,$F128)</f>
        <v>0</v>
      </c>
      <c r="S128" s="140">
        <f ca="1">SUMIFS('F20-2024'!S:S,'F20-2024'!$D:$D,$D128,'F20-2024'!$E:$E,$E128,'F20-2024'!$F:$F,$F128)</f>
        <v>0</v>
      </c>
      <c r="T128" s="140">
        <f ca="1">SUMIFS('F20-2024'!T:T,'F20-2024'!$D:$D,$D128,'F20-2024'!$E:$E,$E128,'F20-2024'!$F:$F,$F128)</f>
        <v>0</v>
      </c>
      <c r="U128" s="140">
        <f ca="1">SUMIFS('F20-2024'!U:U,'F20-2024'!$D:$D,$D128,'F20-2024'!$E:$E,$E128,'F20-2024'!$F:$F,$F128)</f>
        <v>0</v>
      </c>
      <c r="V128" s="140"/>
      <c r="W128" s="141" t="e">
        <f t="shared" ref="W128:AA128" ca="1" si="253">J128/$I128</f>
        <v>#DIV/0!</v>
      </c>
      <c r="X128" s="141" t="e">
        <f t="shared" ca="1" si="253"/>
        <v>#DIV/0!</v>
      </c>
      <c r="Y128" s="141" t="e">
        <f t="shared" ca="1" si="253"/>
        <v>#DIV/0!</v>
      </c>
      <c r="Z128" s="141" t="e">
        <f t="shared" ca="1" si="253"/>
        <v>#DIV/0!</v>
      </c>
      <c r="AA128" s="141" t="e">
        <f t="shared" ca="1" si="253"/>
        <v>#DIV/0!</v>
      </c>
      <c r="AB128" s="141"/>
      <c r="AC128" s="141" t="e">
        <f t="shared" ca="1" si="1"/>
        <v>#DIV/0!</v>
      </c>
      <c r="AD128" s="141" t="e">
        <f t="shared" ref="AD128:AI128" ca="1" si="254">O128/$I128</f>
        <v>#DIV/0!</v>
      </c>
      <c r="AE128" s="141" t="e">
        <f t="shared" ca="1" si="254"/>
        <v>#DIV/0!</v>
      </c>
      <c r="AF128" s="141" t="e">
        <f t="shared" ca="1" si="254"/>
        <v>#DIV/0!</v>
      </c>
      <c r="AG128" s="141" t="e">
        <f t="shared" ca="1" si="254"/>
        <v>#DIV/0!</v>
      </c>
      <c r="AH128" s="141" t="e">
        <f t="shared" ca="1" si="254"/>
        <v>#DIV/0!</v>
      </c>
      <c r="AI128" s="141" t="e">
        <f t="shared" ca="1" si="254"/>
        <v>#DIV/0!</v>
      </c>
      <c r="AJ128" s="140"/>
    </row>
    <row r="129" spans="1:36">
      <c r="A129" s="140" t="e">
        <f ca="1"/>
        <v>#NAME?</v>
      </c>
      <c r="B129" s="140" t="e">
        <f ca="1"/>
        <v>#NAME?</v>
      </c>
      <c r="C129" s="140" t="e">
        <f ca="1"/>
        <v>#NAME?</v>
      </c>
      <c r="D129" s="140" t="e">
        <f ca="1"/>
        <v>#NAME?</v>
      </c>
      <c r="E129" s="140" t="e">
        <f ca="1"/>
        <v>#NAME?</v>
      </c>
      <c r="F129" s="140" t="e">
        <f ca="1"/>
        <v>#NAME?</v>
      </c>
      <c r="G129" s="140" t="e">
        <f ca="1"/>
        <v>#NAME?</v>
      </c>
      <c r="H129" s="140"/>
      <c r="I129" s="140">
        <f ca="1">SUMIFS('F20-2024'!I:I,'F20-2024'!$D:$D,$D129,'F20-2024'!$E:$E,$E129,'F20-2024'!$F:$F,$F129)</f>
        <v>0</v>
      </c>
      <c r="J129" s="140">
        <f ca="1">SUMIFS('F20-2024'!J:J,'F20-2024'!$D:$D,$D129,'F20-2024'!$E:$E,$E129,'F20-2024'!$F:$F,$F129)</f>
        <v>0</v>
      </c>
      <c r="K129" s="140">
        <f ca="1">SUMIFS('F20-2024'!K:K,'F20-2024'!$D:$D,$D129,'F20-2024'!$E:$E,$E129,'F20-2024'!$F:$F,$F129)</f>
        <v>0</v>
      </c>
      <c r="L129" s="140">
        <f ca="1">SUMIFS('F20-2024'!L:L,'F20-2024'!$D:$D,$D129,'F20-2024'!$E:$E,$E129,'F20-2024'!$F:$F,$F129)</f>
        <v>0</v>
      </c>
      <c r="M129" s="140">
        <f ca="1">SUMIFS('F20-2024'!M:M,'F20-2024'!$D:$D,$D129,'F20-2024'!$E:$E,$E129,'F20-2024'!$F:$F,$F129)</f>
        <v>0</v>
      </c>
      <c r="N129" s="140">
        <f ca="1">SUMIFS('F20-2024'!N:N,'F20-2024'!$D:$D,$D129,'F20-2024'!$E:$E,$E129,'F20-2024'!$F:$F,$F129)</f>
        <v>0</v>
      </c>
      <c r="O129" s="140">
        <f ca="1">SUMIFS('F20-2024'!O:O,'F20-2024'!$D:$D,$D129,'F20-2024'!$E:$E,$E129,'F20-2024'!$F:$F,$F129)</f>
        <v>0</v>
      </c>
      <c r="P129" s="140">
        <f ca="1">SUMIFS('F20-2024'!P:P,'F20-2024'!$D:$D,$D129,'F20-2024'!$E:$E,$E129,'F20-2024'!$F:$F,$F129)</f>
        <v>0</v>
      </c>
      <c r="Q129" s="140">
        <f ca="1">SUMIFS('F20-2024'!Q:Q,'F20-2024'!$D:$D,$D129,'F20-2024'!$E:$E,$E129,'F20-2024'!$F:$F,$F129)</f>
        <v>0</v>
      </c>
      <c r="R129" s="140">
        <f ca="1">SUMIFS('F20-2024'!R:R,'F20-2024'!$D:$D,$D129,'F20-2024'!$E:$E,$E129,'F20-2024'!$F:$F,$F129)</f>
        <v>0</v>
      </c>
      <c r="S129" s="140">
        <f ca="1">SUMIFS('F20-2024'!S:S,'F20-2024'!$D:$D,$D129,'F20-2024'!$E:$E,$E129,'F20-2024'!$F:$F,$F129)</f>
        <v>0</v>
      </c>
      <c r="T129" s="140">
        <f ca="1">SUMIFS('F20-2024'!T:T,'F20-2024'!$D:$D,$D129,'F20-2024'!$E:$E,$E129,'F20-2024'!$F:$F,$F129)</f>
        <v>0</v>
      </c>
      <c r="U129" s="140">
        <f ca="1">SUMIFS('F20-2024'!U:U,'F20-2024'!$D:$D,$D129,'F20-2024'!$E:$E,$E129,'F20-2024'!$F:$F,$F129)</f>
        <v>0</v>
      </c>
      <c r="V129" s="140"/>
      <c r="W129" s="141" t="e">
        <f t="shared" ref="W129:AA129" ca="1" si="255">J129/$I129</f>
        <v>#DIV/0!</v>
      </c>
      <c r="X129" s="141" t="e">
        <f t="shared" ca="1" si="255"/>
        <v>#DIV/0!</v>
      </c>
      <c r="Y129" s="141" t="e">
        <f t="shared" ca="1" si="255"/>
        <v>#DIV/0!</v>
      </c>
      <c r="Z129" s="141" t="e">
        <f t="shared" ca="1" si="255"/>
        <v>#DIV/0!</v>
      </c>
      <c r="AA129" s="141" t="e">
        <f t="shared" ca="1" si="255"/>
        <v>#DIV/0!</v>
      </c>
      <c r="AB129" s="141"/>
      <c r="AC129" s="141" t="e">
        <f t="shared" ca="1" si="1"/>
        <v>#DIV/0!</v>
      </c>
      <c r="AD129" s="141" t="e">
        <f t="shared" ref="AD129:AI129" ca="1" si="256">O129/$I129</f>
        <v>#DIV/0!</v>
      </c>
      <c r="AE129" s="141" t="e">
        <f t="shared" ca="1" si="256"/>
        <v>#DIV/0!</v>
      </c>
      <c r="AF129" s="141" t="e">
        <f t="shared" ca="1" si="256"/>
        <v>#DIV/0!</v>
      </c>
      <c r="AG129" s="141" t="e">
        <f t="shared" ca="1" si="256"/>
        <v>#DIV/0!</v>
      </c>
      <c r="AH129" s="141" t="e">
        <f t="shared" ca="1" si="256"/>
        <v>#DIV/0!</v>
      </c>
      <c r="AI129" s="141" t="e">
        <f t="shared" ca="1" si="256"/>
        <v>#DIV/0!</v>
      </c>
      <c r="AJ129" s="140"/>
    </row>
    <row r="130" spans="1:36">
      <c r="A130" s="140" t="e">
        <f ca="1"/>
        <v>#NAME?</v>
      </c>
      <c r="B130" s="140" t="e">
        <f ca="1"/>
        <v>#NAME?</v>
      </c>
      <c r="C130" s="140" t="e">
        <f ca="1"/>
        <v>#NAME?</v>
      </c>
      <c r="D130" s="140" t="e">
        <f ca="1"/>
        <v>#NAME?</v>
      </c>
      <c r="E130" s="140" t="e">
        <f ca="1"/>
        <v>#NAME?</v>
      </c>
      <c r="F130" s="140" t="e">
        <f ca="1"/>
        <v>#NAME?</v>
      </c>
      <c r="G130" s="140" t="e">
        <f ca="1"/>
        <v>#NAME?</v>
      </c>
      <c r="H130" s="140"/>
      <c r="I130" s="140">
        <f ca="1">SUMIFS('F20-2024'!I:I,'F20-2024'!$D:$D,$D130,'F20-2024'!$E:$E,$E130,'F20-2024'!$F:$F,$F130)</f>
        <v>0</v>
      </c>
      <c r="J130" s="140">
        <f ca="1">SUMIFS('F20-2024'!J:J,'F20-2024'!$D:$D,$D130,'F20-2024'!$E:$E,$E130,'F20-2024'!$F:$F,$F130)</f>
        <v>0</v>
      </c>
      <c r="K130" s="140">
        <f ca="1">SUMIFS('F20-2024'!K:K,'F20-2024'!$D:$D,$D130,'F20-2024'!$E:$E,$E130,'F20-2024'!$F:$F,$F130)</f>
        <v>0</v>
      </c>
      <c r="L130" s="140">
        <f ca="1">SUMIFS('F20-2024'!L:L,'F20-2024'!$D:$D,$D130,'F20-2024'!$E:$E,$E130,'F20-2024'!$F:$F,$F130)</f>
        <v>0</v>
      </c>
      <c r="M130" s="140">
        <f ca="1">SUMIFS('F20-2024'!M:M,'F20-2024'!$D:$D,$D130,'F20-2024'!$E:$E,$E130,'F20-2024'!$F:$F,$F130)</f>
        <v>0</v>
      </c>
      <c r="N130" s="140">
        <f ca="1">SUMIFS('F20-2024'!N:N,'F20-2024'!$D:$D,$D130,'F20-2024'!$E:$E,$E130,'F20-2024'!$F:$F,$F130)</f>
        <v>0</v>
      </c>
      <c r="O130" s="140">
        <f ca="1">SUMIFS('F20-2024'!O:O,'F20-2024'!$D:$D,$D130,'F20-2024'!$E:$E,$E130,'F20-2024'!$F:$F,$F130)</f>
        <v>0</v>
      </c>
      <c r="P130" s="140">
        <f ca="1">SUMIFS('F20-2024'!P:P,'F20-2024'!$D:$D,$D130,'F20-2024'!$E:$E,$E130,'F20-2024'!$F:$F,$F130)</f>
        <v>0</v>
      </c>
      <c r="Q130" s="140">
        <f ca="1">SUMIFS('F20-2024'!Q:Q,'F20-2024'!$D:$D,$D130,'F20-2024'!$E:$E,$E130,'F20-2024'!$F:$F,$F130)</f>
        <v>0</v>
      </c>
      <c r="R130" s="140">
        <f ca="1">SUMIFS('F20-2024'!R:R,'F20-2024'!$D:$D,$D130,'F20-2024'!$E:$E,$E130,'F20-2024'!$F:$F,$F130)</f>
        <v>0</v>
      </c>
      <c r="S130" s="140">
        <f ca="1">SUMIFS('F20-2024'!S:S,'F20-2024'!$D:$D,$D130,'F20-2024'!$E:$E,$E130,'F20-2024'!$F:$F,$F130)</f>
        <v>0</v>
      </c>
      <c r="T130" s="140">
        <f ca="1">SUMIFS('F20-2024'!T:T,'F20-2024'!$D:$D,$D130,'F20-2024'!$E:$E,$E130,'F20-2024'!$F:$F,$F130)</f>
        <v>0</v>
      </c>
      <c r="U130" s="140">
        <f ca="1">SUMIFS('F20-2024'!U:U,'F20-2024'!$D:$D,$D130,'F20-2024'!$E:$E,$E130,'F20-2024'!$F:$F,$F130)</f>
        <v>0</v>
      </c>
      <c r="V130" s="140"/>
      <c r="W130" s="141" t="e">
        <f t="shared" ref="W130:AA130" ca="1" si="257">J130/$I130</f>
        <v>#DIV/0!</v>
      </c>
      <c r="X130" s="141" t="e">
        <f t="shared" ca="1" si="257"/>
        <v>#DIV/0!</v>
      </c>
      <c r="Y130" s="141" t="e">
        <f t="shared" ca="1" si="257"/>
        <v>#DIV/0!</v>
      </c>
      <c r="Z130" s="141" t="e">
        <f t="shared" ca="1" si="257"/>
        <v>#DIV/0!</v>
      </c>
      <c r="AA130" s="141" t="e">
        <f t="shared" ca="1" si="257"/>
        <v>#DIV/0!</v>
      </c>
      <c r="AB130" s="141"/>
      <c r="AC130" s="141" t="e">
        <f t="shared" ca="1" si="1"/>
        <v>#DIV/0!</v>
      </c>
      <c r="AD130" s="141" t="e">
        <f t="shared" ref="AD130:AI130" ca="1" si="258">O130/$I130</f>
        <v>#DIV/0!</v>
      </c>
      <c r="AE130" s="141" t="e">
        <f t="shared" ca="1" si="258"/>
        <v>#DIV/0!</v>
      </c>
      <c r="AF130" s="141" t="e">
        <f t="shared" ca="1" si="258"/>
        <v>#DIV/0!</v>
      </c>
      <c r="AG130" s="141" t="e">
        <f t="shared" ca="1" si="258"/>
        <v>#DIV/0!</v>
      </c>
      <c r="AH130" s="141" t="e">
        <f t="shared" ca="1" si="258"/>
        <v>#DIV/0!</v>
      </c>
      <c r="AI130" s="141" t="e">
        <f t="shared" ca="1" si="258"/>
        <v>#DIV/0!</v>
      </c>
      <c r="AJ130" s="140"/>
    </row>
    <row r="131" spans="1:36">
      <c r="A131" s="140" t="e">
        <f ca="1"/>
        <v>#NAME?</v>
      </c>
      <c r="B131" s="140" t="e">
        <f ca="1"/>
        <v>#NAME?</v>
      </c>
      <c r="C131" s="140" t="e">
        <f ca="1"/>
        <v>#NAME?</v>
      </c>
      <c r="D131" s="140" t="e">
        <f ca="1"/>
        <v>#NAME?</v>
      </c>
      <c r="E131" s="140" t="e">
        <f ca="1"/>
        <v>#NAME?</v>
      </c>
      <c r="F131" s="140" t="e">
        <f ca="1"/>
        <v>#NAME?</v>
      </c>
      <c r="G131" s="140" t="e">
        <f ca="1"/>
        <v>#NAME?</v>
      </c>
      <c r="H131" s="140"/>
      <c r="I131" s="140">
        <f ca="1">SUMIFS('F20-2024'!I:I,'F20-2024'!$D:$D,$D131,'F20-2024'!$E:$E,$E131,'F20-2024'!$F:$F,$F131)</f>
        <v>0</v>
      </c>
      <c r="J131" s="140">
        <f ca="1">SUMIFS('F20-2024'!J:J,'F20-2024'!$D:$D,$D131,'F20-2024'!$E:$E,$E131,'F20-2024'!$F:$F,$F131)</f>
        <v>0</v>
      </c>
      <c r="K131" s="140">
        <f ca="1">SUMIFS('F20-2024'!K:K,'F20-2024'!$D:$D,$D131,'F20-2024'!$E:$E,$E131,'F20-2024'!$F:$F,$F131)</f>
        <v>0</v>
      </c>
      <c r="L131" s="140">
        <f ca="1">SUMIFS('F20-2024'!L:L,'F20-2024'!$D:$D,$D131,'F20-2024'!$E:$E,$E131,'F20-2024'!$F:$F,$F131)</f>
        <v>0</v>
      </c>
      <c r="M131" s="140">
        <f ca="1">SUMIFS('F20-2024'!M:M,'F20-2024'!$D:$D,$D131,'F20-2024'!$E:$E,$E131,'F20-2024'!$F:$F,$F131)</f>
        <v>0</v>
      </c>
      <c r="N131" s="140">
        <f ca="1">SUMIFS('F20-2024'!N:N,'F20-2024'!$D:$D,$D131,'F20-2024'!$E:$E,$E131,'F20-2024'!$F:$F,$F131)</f>
        <v>0</v>
      </c>
      <c r="O131" s="140">
        <f ca="1">SUMIFS('F20-2024'!O:O,'F20-2024'!$D:$D,$D131,'F20-2024'!$E:$E,$E131,'F20-2024'!$F:$F,$F131)</f>
        <v>0</v>
      </c>
      <c r="P131" s="140">
        <f ca="1">SUMIFS('F20-2024'!P:P,'F20-2024'!$D:$D,$D131,'F20-2024'!$E:$E,$E131,'F20-2024'!$F:$F,$F131)</f>
        <v>0</v>
      </c>
      <c r="Q131" s="140">
        <f ca="1">SUMIFS('F20-2024'!Q:Q,'F20-2024'!$D:$D,$D131,'F20-2024'!$E:$E,$E131,'F20-2024'!$F:$F,$F131)</f>
        <v>0</v>
      </c>
      <c r="R131" s="140">
        <f ca="1">SUMIFS('F20-2024'!R:R,'F20-2024'!$D:$D,$D131,'F20-2024'!$E:$E,$E131,'F20-2024'!$F:$F,$F131)</f>
        <v>0</v>
      </c>
      <c r="S131" s="140">
        <f ca="1">SUMIFS('F20-2024'!S:S,'F20-2024'!$D:$D,$D131,'F20-2024'!$E:$E,$E131,'F20-2024'!$F:$F,$F131)</f>
        <v>0</v>
      </c>
      <c r="T131" s="140">
        <f ca="1">SUMIFS('F20-2024'!T:T,'F20-2024'!$D:$D,$D131,'F20-2024'!$E:$E,$E131,'F20-2024'!$F:$F,$F131)</f>
        <v>0</v>
      </c>
      <c r="U131" s="140">
        <f ca="1">SUMIFS('F20-2024'!U:U,'F20-2024'!$D:$D,$D131,'F20-2024'!$E:$E,$E131,'F20-2024'!$F:$F,$F131)</f>
        <v>0</v>
      </c>
      <c r="V131" s="140"/>
      <c r="W131" s="141" t="e">
        <f t="shared" ref="W131:AA131" ca="1" si="259">J131/$I131</f>
        <v>#DIV/0!</v>
      </c>
      <c r="X131" s="141" t="e">
        <f t="shared" ca="1" si="259"/>
        <v>#DIV/0!</v>
      </c>
      <c r="Y131" s="141" t="e">
        <f t="shared" ca="1" si="259"/>
        <v>#DIV/0!</v>
      </c>
      <c r="Z131" s="141" t="e">
        <f t="shared" ca="1" si="259"/>
        <v>#DIV/0!</v>
      </c>
      <c r="AA131" s="141" t="e">
        <f t="shared" ca="1" si="259"/>
        <v>#DIV/0!</v>
      </c>
      <c r="AB131" s="141"/>
      <c r="AC131" s="141" t="e">
        <f t="shared" ca="1" si="1"/>
        <v>#DIV/0!</v>
      </c>
      <c r="AD131" s="141" t="e">
        <f t="shared" ref="AD131:AI131" ca="1" si="260">O131/$I131</f>
        <v>#DIV/0!</v>
      </c>
      <c r="AE131" s="141" t="e">
        <f t="shared" ca="1" si="260"/>
        <v>#DIV/0!</v>
      </c>
      <c r="AF131" s="141" t="e">
        <f t="shared" ca="1" si="260"/>
        <v>#DIV/0!</v>
      </c>
      <c r="AG131" s="141" t="e">
        <f t="shared" ca="1" si="260"/>
        <v>#DIV/0!</v>
      </c>
      <c r="AH131" s="141" t="e">
        <f t="shared" ca="1" si="260"/>
        <v>#DIV/0!</v>
      </c>
      <c r="AI131" s="141" t="e">
        <f t="shared" ca="1" si="260"/>
        <v>#DIV/0!</v>
      </c>
      <c r="AJ131" s="140"/>
    </row>
    <row r="132" spans="1:36">
      <c r="A132" s="140" t="e">
        <f ca="1"/>
        <v>#NAME?</v>
      </c>
      <c r="B132" s="140" t="e">
        <f ca="1"/>
        <v>#NAME?</v>
      </c>
      <c r="C132" s="140" t="e">
        <f ca="1"/>
        <v>#NAME?</v>
      </c>
      <c r="D132" s="140" t="e">
        <f ca="1"/>
        <v>#NAME?</v>
      </c>
      <c r="E132" s="140" t="e">
        <f ca="1"/>
        <v>#NAME?</v>
      </c>
      <c r="F132" s="140" t="e">
        <f ca="1"/>
        <v>#NAME?</v>
      </c>
      <c r="G132" s="140" t="e">
        <f ca="1"/>
        <v>#NAME?</v>
      </c>
      <c r="H132" s="140"/>
      <c r="I132" s="140">
        <f ca="1">SUMIFS('F20-2024'!I:I,'F20-2024'!$D:$D,$D132,'F20-2024'!$E:$E,$E132,'F20-2024'!$F:$F,$F132)</f>
        <v>0</v>
      </c>
      <c r="J132" s="140">
        <f ca="1">SUMIFS('F20-2024'!J:J,'F20-2024'!$D:$D,$D132,'F20-2024'!$E:$E,$E132,'F20-2024'!$F:$F,$F132)</f>
        <v>0</v>
      </c>
      <c r="K132" s="140">
        <f ca="1">SUMIFS('F20-2024'!K:K,'F20-2024'!$D:$D,$D132,'F20-2024'!$E:$E,$E132,'F20-2024'!$F:$F,$F132)</f>
        <v>0</v>
      </c>
      <c r="L132" s="140">
        <f ca="1">SUMIFS('F20-2024'!L:L,'F20-2024'!$D:$D,$D132,'F20-2024'!$E:$E,$E132,'F20-2024'!$F:$F,$F132)</f>
        <v>0</v>
      </c>
      <c r="M132" s="140">
        <f ca="1">SUMIFS('F20-2024'!M:M,'F20-2024'!$D:$D,$D132,'F20-2024'!$E:$E,$E132,'F20-2024'!$F:$F,$F132)</f>
        <v>0</v>
      </c>
      <c r="N132" s="140">
        <f ca="1">SUMIFS('F20-2024'!N:N,'F20-2024'!$D:$D,$D132,'F20-2024'!$E:$E,$E132,'F20-2024'!$F:$F,$F132)</f>
        <v>0</v>
      </c>
      <c r="O132" s="140">
        <f ca="1">SUMIFS('F20-2024'!O:O,'F20-2024'!$D:$D,$D132,'F20-2024'!$E:$E,$E132,'F20-2024'!$F:$F,$F132)</f>
        <v>0</v>
      </c>
      <c r="P132" s="140">
        <f ca="1">SUMIFS('F20-2024'!P:P,'F20-2024'!$D:$D,$D132,'F20-2024'!$E:$E,$E132,'F20-2024'!$F:$F,$F132)</f>
        <v>0</v>
      </c>
      <c r="Q132" s="140">
        <f ca="1">SUMIFS('F20-2024'!Q:Q,'F20-2024'!$D:$D,$D132,'F20-2024'!$E:$E,$E132,'F20-2024'!$F:$F,$F132)</f>
        <v>0</v>
      </c>
      <c r="R132" s="140">
        <f ca="1">SUMIFS('F20-2024'!R:R,'F20-2024'!$D:$D,$D132,'F20-2024'!$E:$E,$E132,'F20-2024'!$F:$F,$F132)</f>
        <v>0</v>
      </c>
      <c r="S132" s="140">
        <f ca="1">SUMIFS('F20-2024'!S:S,'F20-2024'!$D:$D,$D132,'F20-2024'!$E:$E,$E132,'F20-2024'!$F:$F,$F132)</f>
        <v>0</v>
      </c>
      <c r="T132" s="140">
        <f ca="1">SUMIFS('F20-2024'!T:T,'F20-2024'!$D:$D,$D132,'F20-2024'!$E:$E,$E132,'F20-2024'!$F:$F,$F132)</f>
        <v>0</v>
      </c>
      <c r="U132" s="140">
        <f ca="1">SUMIFS('F20-2024'!U:U,'F20-2024'!$D:$D,$D132,'F20-2024'!$E:$E,$E132,'F20-2024'!$F:$F,$F132)</f>
        <v>0</v>
      </c>
      <c r="V132" s="140"/>
      <c r="W132" s="141" t="e">
        <f t="shared" ref="W132:AA132" ca="1" si="261">J132/$I132</f>
        <v>#DIV/0!</v>
      </c>
      <c r="X132" s="141" t="e">
        <f t="shared" ca="1" si="261"/>
        <v>#DIV/0!</v>
      </c>
      <c r="Y132" s="141" t="e">
        <f t="shared" ca="1" si="261"/>
        <v>#DIV/0!</v>
      </c>
      <c r="Z132" s="141" t="e">
        <f t="shared" ca="1" si="261"/>
        <v>#DIV/0!</v>
      </c>
      <c r="AA132" s="141" t="e">
        <f t="shared" ca="1" si="261"/>
        <v>#DIV/0!</v>
      </c>
      <c r="AB132" s="141"/>
      <c r="AC132" s="141" t="e">
        <f t="shared" ca="1" si="1"/>
        <v>#DIV/0!</v>
      </c>
      <c r="AD132" s="141" t="e">
        <f t="shared" ref="AD132:AI132" ca="1" si="262">O132/$I132</f>
        <v>#DIV/0!</v>
      </c>
      <c r="AE132" s="141" t="e">
        <f t="shared" ca="1" si="262"/>
        <v>#DIV/0!</v>
      </c>
      <c r="AF132" s="141" t="e">
        <f t="shared" ca="1" si="262"/>
        <v>#DIV/0!</v>
      </c>
      <c r="AG132" s="141" t="e">
        <f t="shared" ca="1" si="262"/>
        <v>#DIV/0!</v>
      </c>
      <c r="AH132" s="141" t="e">
        <f t="shared" ca="1" si="262"/>
        <v>#DIV/0!</v>
      </c>
      <c r="AI132" s="141" t="e">
        <f t="shared" ca="1" si="262"/>
        <v>#DIV/0!</v>
      </c>
      <c r="AJ132" s="140"/>
    </row>
    <row r="133" spans="1:36">
      <c r="A133" s="140" t="e">
        <f ca="1"/>
        <v>#NAME?</v>
      </c>
      <c r="B133" s="140" t="e">
        <f ca="1"/>
        <v>#NAME?</v>
      </c>
      <c r="C133" s="140" t="e">
        <f ca="1"/>
        <v>#NAME?</v>
      </c>
      <c r="D133" s="140" t="e">
        <f ca="1"/>
        <v>#NAME?</v>
      </c>
      <c r="E133" s="140" t="e">
        <f ca="1"/>
        <v>#NAME?</v>
      </c>
      <c r="F133" s="140" t="e">
        <f ca="1"/>
        <v>#NAME?</v>
      </c>
      <c r="G133" s="140" t="e">
        <f ca="1"/>
        <v>#NAME?</v>
      </c>
      <c r="H133" s="140"/>
      <c r="I133" s="140">
        <f ca="1">SUMIFS('F20-2024'!I:I,'F20-2024'!$D:$D,$D133,'F20-2024'!$E:$E,$E133,'F20-2024'!$F:$F,$F133)</f>
        <v>0</v>
      </c>
      <c r="J133" s="140">
        <f ca="1">SUMIFS('F20-2024'!J:J,'F20-2024'!$D:$D,$D133,'F20-2024'!$E:$E,$E133,'F20-2024'!$F:$F,$F133)</f>
        <v>0</v>
      </c>
      <c r="K133" s="140">
        <f ca="1">SUMIFS('F20-2024'!K:K,'F20-2024'!$D:$D,$D133,'F20-2024'!$E:$E,$E133,'F20-2024'!$F:$F,$F133)</f>
        <v>0</v>
      </c>
      <c r="L133" s="140">
        <f ca="1">SUMIFS('F20-2024'!L:L,'F20-2024'!$D:$D,$D133,'F20-2024'!$E:$E,$E133,'F20-2024'!$F:$F,$F133)</f>
        <v>0</v>
      </c>
      <c r="M133" s="140">
        <f ca="1">SUMIFS('F20-2024'!M:M,'F20-2024'!$D:$D,$D133,'F20-2024'!$E:$E,$E133,'F20-2024'!$F:$F,$F133)</f>
        <v>0</v>
      </c>
      <c r="N133" s="140">
        <f ca="1">SUMIFS('F20-2024'!N:N,'F20-2024'!$D:$D,$D133,'F20-2024'!$E:$E,$E133,'F20-2024'!$F:$F,$F133)</f>
        <v>0</v>
      </c>
      <c r="O133" s="140">
        <f ca="1">SUMIFS('F20-2024'!O:O,'F20-2024'!$D:$D,$D133,'F20-2024'!$E:$E,$E133,'F20-2024'!$F:$F,$F133)</f>
        <v>0</v>
      </c>
      <c r="P133" s="140">
        <f ca="1">SUMIFS('F20-2024'!P:P,'F20-2024'!$D:$D,$D133,'F20-2024'!$E:$E,$E133,'F20-2024'!$F:$F,$F133)</f>
        <v>0</v>
      </c>
      <c r="Q133" s="140">
        <f ca="1">SUMIFS('F20-2024'!Q:Q,'F20-2024'!$D:$D,$D133,'F20-2024'!$E:$E,$E133,'F20-2024'!$F:$F,$F133)</f>
        <v>0</v>
      </c>
      <c r="R133" s="140">
        <f ca="1">SUMIFS('F20-2024'!R:R,'F20-2024'!$D:$D,$D133,'F20-2024'!$E:$E,$E133,'F20-2024'!$F:$F,$F133)</f>
        <v>0</v>
      </c>
      <c r="S133" s="140">
        <f ca="1">SUMIFS('F20-2024'!S:S,'F20-2024'!$D:$D,$D133,'F20-2024'!$E:$E,$E133,'F20-2024'!$F:$F,$F133)</f>
        <v>0</v>
      </c>
      <c r="T133" s="140">
        <f ca="1">SUMIFS('F20-2024'!T:T,'F20-2024'!$D:$D,$D133,'F20-2024'!$E:$E,$E133,'F20-2024'!$F:$F,$F133)</f>
        <v>0</v>
      </c>
      <c r="U133" s="140">
        <f ca="1">SUMIFS('F20-2024'!U:U,'F20-2024'!$D:$D,$D133,'F20-2024'!$E:$E,$E133,'F20-2024'!$F:$F,$F133)</f>
        <v>0</v>
      </c>
      <c r="V133" s="140"/>
      <c r="W133" s="141" t="e">
        <f t="shared" ref="W133:AA133" ca="1" si="263">J133/$I133</f>
        <v>#DIV/0!</v>
      </c>
      <c r="X133" s="141" t="e">
        <f t="shared" ca="1" si="263"/>
        <v>#DIV/0!</v>
      </c>
      <c r="Y133" s="141" t="e">
        <f t="shared" ca="1" si="263"/>
        <v>#DIV/0!</v>
      </c>
      <c r="Z133" s="141" t="e">
        <f t="shared" ca="1" si="263"/>
        <v>#DIV/0!</v>
      </c>
      <c r="AA133" s="141" t="e">
        <f t="shared" ca="1" si="263"/>
        <v>#DIV/0!</v>
      </c>
      <c r="AB133" s="141"/>
      <c r="AC133" s="141" t="e">
        <f t="shared" ca="1" si="1"/>
        <v>#DIV/0!</v>
      </c>
      <c r="AD133" s="141" t="e">
        <f t="shared" ref="AD133:AI133" ca="1" si="264">O133/$I133</f>
        <v>#DIV/0!</v>
      </c>
      <c r="AE133" s="141" t="e">
        <f t="shared" ca="1" si="264"/>
        <v>#DIV/0!</v>
      </c>
      <c r="AF133" s="141" t="e">
        <f t="shared" ca="1" si="264"/>
        <v>#DIV/0!</v>
      </c>
      <c r="AG133" s="141" t="e">
        <f t="shared" ca="1" si="264"/>
        <v>#DIV/0!</v>
      </c>
      <c r="AH133" s="141" t="e">
        <f t="shared" ca="1" si="264"/>
        <v>#DIV/0!</v>
      </c>
      <c r="AI133" s="141" t="e">
        <f t="shared" ca="1" si="264"/>
        <v>#DIV/0!</v>
      </c>
      <c r="AJ133" s="140"/>
    </row>
    <row r="134" spans="1:36">
      <c r="A134" s="140" t="e">
        <f ca="1"/>
        <v>#NAME?</v>
      </c>
      <c r="B134" s="140" t="e">
        <f ca="1"/>
        <v>#NAME?</v>
      </c>
      <c r="C134" s="140" t="e">
        <f ca="1"/>
        <v>#NAME?</v>
      </c>
      <c r="D134" s="140" t="e">
        <f ca="1"/>
        <v>#NAME?</v>
      </c>
      <c r="E134" s="140" t="e">
        <f ca="1"/>
        <v>#NAME?</v>
      </c>
      <c r="F134" s="140" t="e">
        <f ca="1"/>
        <v>#NAME?</v>
      </c>
      <c r="G134" s="140" t="e">
        <f ca="1"/>
        <v>#NAME?</v>
      </c>
      <c r="H134" s="140"/>
      <c r="I134" s="140">
        <f ca="1">SUMIFS('F20-2024'!I:I,'F20-2024'!$D:$D,$D134,'F20-2024'!$E:$E,$E134,'F20-2024'!$F:$F,$F134)</f>
        <v>0</v>
      </c>
      <c r="J134" s="140">
        <f ca="1">SUMIFS('F20-2024'!J:J,'F20-2024'!$D:$D,$D134,'F20-2024'!$E:$E,$E134,'F20-2024'!$F:$F,$F134)</f>
        <v>0</v>
      </c>
      <c r="K134" s="140">
        <f ca="1">SUMIFS('F20-2024'!K:K,'F20-2024'!$D:$D,$D134,'F20-2024'!$E:$E,$E134,'F20-2024'!$F:$F,$F134)</f>
        <v>0</v>
      </c>
      <c r="L134" s="140">
        <f ca="1">SUMIFS('F20-2024'!L:L,'F20-2024'!$D:$D,$D134,'F20-2024'!$E:$E,$E134,'F20-2024'!$F:$F,$F134)</f>
        <v>0</v>
      </c>
      <c r="M134" s="140">
        <f ca="1">SUMIFS('F20-2024'!M:M,'F20-2024'!$D:$D,$D134,'F20-2024'!$E:$E,$E134,'F20-2024'!$F:$F,$F134)</f>
        <v>0</v>
      </c>
      <c r="N134" s="140">
        <f ca="1">SUMIFS('F20-2024'!N:N,'F20-2024'!$D:$D,$D134,'F20-2024'!$E:$E,$E134,'F20-2024'!$F:$F,$F134)</f>
        <v>0</v>
      </c>
      <c r="O134" s="140">
        <f ca="1">SUMIFS('F20-2024'!O:O,'F20-2024'!$D:$D,$D134,'F20-2024'!$E:$E,$E134,'F20-2024'!$F:$F,$F134)</f>
        <v>0</v>
      </c>
      <c r="P134" s="140">
        <f ca="1">SUMIFS('F20-2024'!P:P,'F20-2024'!$D:$D,$D134,'F20-2024'!$E:$E,$E134,'F20-2024'!$F:$F,$F134)</f>
        <v>0</v>
      </c>
      <c r="Q134" s="140">
        <f ca="1">SUMIFS('F20-2024'!Q:Q,'F20-2024'!$D:$D,$D134,'F20-2024'!$E:$E,$E134,'F20-2024'!$F:$F,$F134)</f>
        <v>0</v>
      </c>
      <c r="R134" s="140">
        <f ca="1">SUMIFS('F20-2024'!R:R,'F20-2024'!$D:$D,$D134,'F20-2024'!$E:$E,$E134,'F20-2024'!$F:$F,$F134)</f>
        <v>0</v>
      </c>
      <c r="S134" s="140">
        <f ca="1">SUMIFS('F20-2024'!S:S,'F20-2024'!$D:$D,$D134,'F20-2024'!$E:$E,$E134,'F20-2024'!$F:$F,$F134)</f>
        <v>0</v>
      </c>
      <c r="T134" s="140">
        <f ca="1">SUMIFS('F20-2024'!T:T,'F20-2024'!$D:$D,$D134,'F20-2024'!$E:$E,$E134,'F20-2024'!$F:$F,$F134)</f>
        <v>0</v>
      </c>
      <c r="U134" s="140">
        <f ca="1">SUMIFS('F20-2024'!U:U,'F20-2024'!$D:$D,$D134,'F20-2024'!$E:$E,$E134,'F20-2024'!$F:$F,$F134)</f>
        <v>0</v>
      </c>
      <c r="V134" s="140"/>
      <c r="W134" s="141" t="e">
        <f t="shared" ref="W134:AA134" ca="1" si="265">J134/$I134</f>
        <v>#DIV/0!</v>
      </c>
      <c r="X134" s="141" t="e">
        <f t="shared" ca="1" si="265"/>
        <v>#DIV/0!</v>
      </c>
      <c r="Y134" s="141" t="e">
        <f t="shared" ca="1" si="265"/>
        <v>#DIV/0!</v>
      </c>
      <c r="Z134" s="141" t="e">
        <f t="shared" ca="1" si="265"/>
        <v>#DIV/0!</v>
      </c>
      <c r="AA134" s="141" t="e">
        <f t="shared" ca="1" si="265"/>
        <v>#DIV/0!</v>
      </c>
      <c r="AB134" s="141"/>
      <c r="AC134" s="141" t="e">
        <f t="shared" ca="1" si="1"/>
        <v>#DIV/0!</v>
      </c>
      <c r="AD134" s="141" t="e">
        <f t="shared" ref="AD134:AI134" ca="1" si="266">O134/$I134</f>
        <v>#DIV/0!</v>
      </c>
      <c r="AE134" s="141" t="e">
        <f t="shared" ca="1" si="266"/>
        <v>#DIV/0!</v>
      </c>
      <c r="AF134" s="141" t="e">
        <f t="shared" ca="1" si="266"/>
        <v>#DIV/0!</v>
      </c>
      <c r="AG134" s="141" t="e">
        <f t="shared" ca="1" si="266"/>
        <v>#DIV/0!</v>
      </c>
      <c r="AH134" s="141" t="e">
        <f t="shared" ca="1" si="266"/>
        <v>#DIV/0!</v>
      </c>
      <c r="AI134" s="141" t="e">
        <f t="shared" ca="1" si="266"/>
        <v>#DIV/0!</v>
      </c>
      <c r="AJ134" s="140"/>
    </row>
    <row r="135" spans="1:36">
      <c r="A135" s="140" t="e">
        <f ca="1"/>
        <v>#NAME?</v>
      </c>
      <c r="B135" s="140" t="e">
        <f ca="1"/>
        <v>#NAME?</v>
      </c>
      <c r="C135" s="140" t="e">
        <f ca="1"/>
        <v>#NAME?</v>
      </c>
      <c r="D135" s="140" t="e">
        <f ca="1"/>
        <v>#NAME?</v>
      </c>
      <c r="E135" s="140" t="e">
        <f ca="1"/>
        <v>#NAME?</v>
      </c>
      <c r="F135" s="140" t="e">
        <f ca="1"/>
        <v>#NAME?</v>
      </c>
      <c r="G135" s="140" t="e">
        <f ca="1"/>
        <v>#NAME?</v>
      </c>
      <c r="H135" s="140"/>
      <c r="I135" s="140">
        <f ca="1">SUMIFS('F20-2024'!I:I,'F20-2024'!$D:$D,$D135,'F20-2024'!$E:$E,$E135,'F20-2024'!$F:$F,$F135)</f>
        <v>0</v>
      </c>
      <c r="J135" s="140">
        <f ca="1">SUMIFS('F20-2024'!J:J,'F20-2024'!$D:$D,$D135,'F20-2024'!$E:$E,$E135,'F20-2024'!$F:$F,$F135)</f>
        <v>0</v>
      </c>
      <c r="K135" s="140">
        <f ca="1">SUMIFS('F20-2024'!K:K,'F20-2024'!$D:$D,$D135,'F20-2024'!$E:$E,$E135,'F20-2024'!$F:$F,$F135)</f>
        <v>0</v>
      </c>
      <c r="L135" s="140">
        <f ca="1">SUMIFS('F20-2024'!L:L,'F20-2024'!$D:$D,$D135,'F20-2024'!$E:$E,$E135,'F20-2024'!$F:$F,$F135)</f>
        <v>0</v>
      </c>
      <c r="M135" s="140">
        <f ca="1">SUMIFS('F20-2024'!M:M,'F20-2024'!$D:$D,$D135,'F20-2024'!$E:$E,$E135,'F20-2024'!$F:$F,$F135)</f>
        <v>0</v>
      </c>
      <c r="N135" s="140">
        <f ca="1">SUMIFS('F20-2024'!N:N,'F20-2024'!$D:$D,$D135,'F20-2024'!$E:$E,$E135,'F20-2024'!$F:$F,$F135)</f>
        <v>0</v>
      </c>
      <c r="O135" s="140">
        <f ca="1">SUMIFS('F20-2024'!O:O,'F20-2024'!$D:$D,$D135,'F20-2024'!$E:$E,$E135,'F20-2024'!$F:$F,$F135)</f>
        <v>0</v>
      </c>
      <c r="P135" s="140">
        <f ca="1">SUMIFS('F20-2024'!P:P,'F20-2024'!$D:$D,$D135,'F20-2024'!$E:$E,$E135,'F20-2024'!$F:$F,$F135)</f>
        <v>0</v>
      </c>
      <c r="Q135" s="140">
        <f ca="1">SUMIFS('F20-2024'!Q:Q,'F20-2024'!$D:$D,$D135,'F20-2024'!$E:$E,$E135,'F20-2024'!$F:$F,$F135)</f>
        <v>0</v>
      </c>
      <c r="R135" s="140">
        <f ca="1">SUMIFS('F20-2024'!R:R,'F20-2024'!$D:$D,$D135,'F20-2024'!$E:$E,$E135,'F20-2024'!$F:$F,$F135)</f>
        <v>0</v>
      </c>
      <c r="S135" s="140">
        <f ca="1">SUMIFS('F20-2024'!S:S,'F20-2024'!$D:$D,$D135,'F20-2024'!$E:$E,$E135,'F20-2024'!$F:$F,$F135)</f>
        <v>0</v>
      </c>
      <c r="T135" s="140">
        <f ca="1">SUMIFS('F20-2024'!T:T,'F20-2024'!$D:$D,$D135,'F20-2024'!$E:$E,$E135,'F20-2024'!$F:$F,$F135)</f>
        <v>0</v>
      </c>
      <c r="U135" s="140">
        <f ca="1">SUMIFS('F20-2024'!U:U,'F20-2024'!$D:$D,$D135,'F20-2024'!$E:$E,$E135,'F20-2024'!$F:$F,$F135)</f>
        <v>0</v>
      </c>
      <c r="V135" s="140"/>
      <c r="W135" s="141" t="e">
        <f t="shared" ref="W135:AA135" ca="1" si="267">J135/$I135</f>
        <v>#DIV/0!</v>
      </c>
      <c r="X135" s="141" t="e">
        <f t="shared" ca="1" si="267"/>
        <v>#DIV/0!</v>
      </c>
      <c r="Y135" s="141" t="e">
        <f t="shared" ca="1" si="267"/>
        <v>#DIV/0!</v>
      </c>
      <c r="Z135" s="141" t="e">
        <f t="shared" ca="1" si="267"/>
        <v>#DIV/0!</v>
      </c>
      <c r="AA135" s="141" t="e">
        <f t="shared" ca="1" si="267"/>
        <v>#DIV/0!</v>
      </c>
      <c r="AB135" s="141"/>
      <c r="AC135" s="141" t="e">
        <f t="shared" ca="1" si="1"/>
        <v>#DIV/0!</v>
      </c>
      <c r="AD135" s="141" t="e">
        <f t="shared" ref="AD135:AI135" ca="1" si="268">O135/$I135</f>
        <v>#DIV/0!</v>
      </c>
      <c r="AE135" s="141" t="e">
        <f t="shared" ca="1" si="268"/>
        <v>#DIV/0!</v>
      </c>
      <c r="AF135" s="141" t="e">
        <f t="shared" ca="1" si="268"/>
        <v>#DIV/0!</v>
      </c>
      <c r="AG135" s="141" t="e">
        <f t="shared" ca="1" si="268"/>
        <v>#DIV/0!</v>
      </c>
      <c r="AH135" s="141" t="e">
        <f t="shared" ca="1" si="268"/>
        <v>#DIV/0!</v>
      </c>
      <c r="AI135" s="141" t="e">
        <f t="shared" ca="1" si="268"/>
        <v>#DIV/0!</v>
      </c>
      <c r="AJ135" s="140"/>
    </row>
    <row r="136" spans="1:36">
      <c r="A136" s="140" t="e">
        <f ca="1"/>
        <v>#NAME?</v>
      </c>
      <c r="B136" s="140" t="e">
        <f ca="1"/>
        <v>#NAME?</v>
      </c>
      <c r="C136" s="140" t="e">
        <f ca="1"/>
        <v>#NAME?</v>
      </c>
      <c r="D136" s="140" t="e">
        <f ca="1"/>
        <v>#NAME?</v>
      </c>
      <c r="E136" s="140" t="e">
        <f ca="1"/>
        <v>#NAME?</v>
      </c>
      <c r="F136" s="140" t="e">
        <f ca="1"/>
        <v>#NAME?</v>
      </c>
      <c r="G136" s="140" t="e">
        <f ca="1"/>
        <v>#NAME?</v>
      </c>
      <c r="H136" s="140"/>
      <c r="I136" s="140">
        <f ca="1">SUMIFS('F20-2024'!I:I,'F20-2024'!$D:$D,$D136,'F20-2024'!$E:$E,$E136,'F20-2024'!$F:$F,$F136)</f>
        <v>0</v>
      </c>
      <c r="J136" s="140">
        <f ca="1">SUMIFS('F20-2024'!J:J,'F20-2024'!$D:$D,$D136,'F20-2024'!$E:$E,$E136,'F20-2024'!$F:$F,$F136)</f>
        <v>0</v>
      </c>
      <c r="K136" s="140">
        <f ca="1">SUMIFS('F20-2024'!K:K,'F20-2024'!$D:$D,$D136,'F20-2024'!$E:$E,$E136,'F20-2024'!$F:$F,$F136)</f>
        <v>0</v>
      </c>
      <c r="L136" s="140">
        <f ca="1">SUMIFS('F20-2024'!L:L,'F20-2024'!$D:$D,$D136,'F20-2024'!$E:$E,$E136,'F20-2024'!$F:$F,$F136)</f>
        <v>0</v>
      </c>
      <c r="M136" s="140">
        <f ca="1">SUMIFS('F20-2024'!M:M,'F20-2024'!$D:$D,$D136,'F20-2024'!$E:$E,$E136,'F20-2024'!$F:$F,$F136)</f>
        <v>0</v>
      </c>
      <c r="N136" s="140">
        <f ca="1">SUMIFS('F20-2024'!N:N,'F20-2024'!$D:$D,$D136,'F20-2024'!$E:$E,$E136,'F20-2024'!$F:$F,$F136)</f>
        <v>0</v>
      </c>
      <c r="O136" s="140">
        <f ca="1">SUMIFS('F20-2024'!O:O,'F20-2024'!$D:$D,$D136,'F20-2024'!$E:$E,$E136,'F20-2024'!$F:$F,$F136)</f>
        <v>0</v>
      </c>
      <c r="P136" s="140">
        <f ca="1">SUMIFS('F20-2024'!P:P,'F20-2024'!$D:$D,$D136,'F20-2024'!$E:$E,$E136,'F20-2024'!$F:$F,$F136)</f>
        <v>0</v>
      </c>
      <c r="Q136" s="140">
        <f ca="1">SUMIFS('F20-2024'!Q:Q,'F20-2024'!$D:$D,$D136,'F20-2024'!$E:$E,$E136,'F20-2024'!$F:$F,$F136)</f>
        <v>0</v>
      </c>
      <c r="R136" s="140">
        <f ca="1">SUMIFS('F20-2024'!R:R,'F20-2024'!$D:$D,$D136,'F20-2024'!$E:$E,$E136,'F20-2024'!$F:$F,$F136)</f>
        <v>0</v>
      </c>
      <c r="S136" s="140">
        <f ca="1">SUMIFS('F20-2024'!S:S,'F20-2024'!$D:$D,$D136,'F20-2024'!$E:$E,$E136,'F20-2024'!$F:$F,$F136)</f>
        <v>0</v>
      </c>
      <c r="T136" s="140">
        <f ca="1">SUMIFS('F20-2024'!T:T,'F20-2024'!$D:$D,$D136,'F20-2024'!$E:$E,$E136,'F20-2024'!$F:$F,$F136)</f>
        <v>0</v>
      </c>
      <c r="U136" s="140">
        <f ca="1">SUMIFS('F20-2024'!U:U,'F20-2024'!$D:$D,$D136,'F20-2024'!$E:$E,$E136,'F20-2024'!$F:$F,$F136)</f>
        <v>0</v>
      </c>
      <c r="V136" s="140"/>
      <c r="W136" s="141" t="e">
        <f t="shared" ref="W136:AA136" ca="1" si="269">J136/$I136</f>
        <v>#DIV/0!</v>
      </c>
      <c r="X136" s="141" t="e">
        <f t="shared" ca="1" si="269"/>
        <v>#DIV/0!</v>
      </c>
      <c r="Y136" s="141" t="e">
        <f t="shared" ca="1" si="269"/>
        <v>#DIV/0!</v>
      </c>
      <c r="Z136" s="141" t="e">
        <f t="shared" ca="1" si="269"/>
        <v>#DIV/0!</v>
      </c>
      <c r="AA136" s="141" t="e">
        <f t="shared" ca="1" si="269"/>
        <v>#DIV/0!</v>
      </c>
      <c r="AB136" s="141"/>
      <c r="AC136" s="141" t="e">
        <f t="shared" ca="1" si="1"/>
        <v>#DIV/0!</v>
      </c>
      <c r="AD136" s="141" t="e">
        <f t="shared" ref="AD136:AI136" ca="1" si="270">O136/$I136</f>
        <v>#DIV/0!</v>
      </c>
      <c r="AE136" s="141" t="e">
        <f t="shared" ca="1" si="270"/>
        <v>#DIV/0!</v>
      </c>
      <c r="AF136" s="141" t="e">
        <f t="shared" ca="1" si="270"/>
        <v>#DIV/0!</v>
      </c>
      <c r="AG136" s="141" t="e">
        <f t="shared" ca="1" si="270"/>
        <v>#DIV/0!</v>
      </c>
      <c r="AH136" s="141" t="e">
        <f t="shared" ca="1" si="270"/>
        <v>#DIV/0!</v>
      </c>
      <c r="AI136" s="141" t="e">
        <f t="shared" ca="1" si="270"/>
        <v>#DIV/0!</v>
      </c>
      <c r="AJ136" s="140"/>
    </row>
    <row r="137" spans="1:36">
      <c r="A137" s="140" t="e">
        <f ca="1"/>
        <v>#NAME?</v>
      </c>
      <c r="B137" s="140" t="e">
        <f ca="1"/>
        <v>#NAME?</v>
      </c>
      <c r="C137" s="140" t="e">
        <f ca="1"/>
        <v>#NAME?</v>
      </c>
      <c r="D137" s="140" t="e">
        <f ca="1"/>
        <v>#NAME?</v>
      </c>
      <c r="E137" s="140" t="e">
        <f ca="1"/>
        <v>#NAME?</v>
      </c>
      <c r="F137" s="140" t="e">
        <f ca="1"/>
        <v>#NAME?</v>
      </c>
      <c r="G137" s="140" t="e">
        <f ca="1"/>
        <v>#NAME?</v>
      </c>
      <c r="H137" s="140"/>
      <c r="I137" s="140">
        <f ca="1">SUMIFS('F20-2024'!I:I,'F20-2024'!$D:$D,$D137,'F20-2024'!$E:$E,$E137,'F20-2024'!$F:$F,$F137)</f>
        <v>0</v>
      </c>
      <c r="J137" s="140">
        <f ca="1">SUMIFS('F20-2024'!J:J,'F20-2024'!$D:$D,$D137,'F20-2024'!$E:$E,$E137,'F20-2024'!$F:$F,$F137)</f>
        <v>0</v>
      </c>
      <c r="K137" s="140">
        <f ca="1">SUMIFS('F20-2024'!K:K,'F20-2024'!$D:$D,$D137,'F20-2024'!$E:$E,$E137,'F20-2024'!$F:$F,$F137)</f>
        <v>0</v>
      </c>
      <c r="L137" s="140">
        <f ca="1">SUMIFS('F20-2024'!L:L,'F20-2024'!$D:$D,$D137,'F20-2024'!$E:$E,$E137,'F20-2024'!$F:$F,$F137)</f>
        <v>0</v>
      </c>
      <c r="M137" s="140">
        <f ca="1">SUMIFS('F20-2024'!M:M,'F20-2024'!$D:$D,$D137,'F20-2024'!$E:$E,$E137,'F20-2024'!$F:$F,$F137)</f>
        <v>0</v>
      </c>
      <c r="N137" s="140">
        <f ca="1">SUMIFS('F20-2024'!N:N,'F20-2024'!$D:$D,$D137,'F20-2024'!$E:$E,$E137,'F20-2024'!$F:$F,$F137)</f>
        <v>0</v>
      </c>
      <c r="O137" s="140">
        <f ca="1">SUMIFS('F20-2024'!O:O,'F20-2024'!$D:$D,$D137,'F20-2024'!$E:$E,$E137,'F20-2024'!$F:$F,$F137)</f>
        <v>0</v>
      </c>
      <c r="P137" s="140">
        <f ca="1">SUMIFS('F20-2024'!P:P,'F20-2024'!$D:$D,$D137,'F20-2024'!$E:$E,$E137,'F20-2024'!$F:$F,$F137)</f>
        <v>0</v>
      </c>
      <c r="Q137" s="140">
        <f ca="1">SUMIFS('F20-2024'!Q:Q,'F20-2024'!$D:$D,$D137,'F20-2024'!$E:$E,$E137,'F20-2024'!$F:$F,$F137)</f>
        <v>0</v>
      </c>
      <c r="R137" s="140">
        <f ca="1">SUMIFS('F20-2024'!R:R,'F20-2024'!$D:$D,$D137,'F20-2024'!$E:$E,$E137,'F20-2024'!$F:$F,$F137)</f>
        <v>0</v>
      </c>
      <c r="S137" s="140">
        <f ca="1">SUMIFS('F20-2024'!S:S,'F20-2024'!$D:$D,$D137,'F20-2024'!$E:$E,$E137,'F20-2024'!$F:$F,$F137)</f>
        <v>0</v>
      </c>
      <c r="T137" s="140">
        <f ca="1">SUMIFS('F20-2024'!T:T,'F20-2024'!$D:$D,$D137,'F20-2024'!$E:$E,$E137,'F20-2024'!$F:$F,$F137)</f>
        <v>0</v>
      </c>
      <c r="U137" s="140">
        <f ca="1">SUMIFS('F20-2024'!U:U,'F20-2024'!$D:$D,$D137,'F20-2024'!$E:$E,$E137,'F20-2024'!$F:$F,$F137)</f>
        <v>0</v>
      </c>
      <c r="V137" s="140"/>
      <c r="W137" s="141" t="e">
        <f t="shared" ref="W137:AA137" ca="1" si="271">J137/$I137</f>
        <v>#DIV/0!</v>
      </c>
      <c r="X137" s="141" t="e">
        <f t="shared" ca="1" si="271"/>
        <v>#DIV/0!</v>
      </c>
      <c r="Y137" s="141" t="e">
        <f t="shared" ca="1" si="271"/>
        <v>#DIV/0!</v>
      </c>
      <c r="Z137" s="141" t="e">
        <f t="shared" ca="1" si="271"/>
        <v>#DIV/0!</v>
      </c>
      <c r="AA137" s="141" t="e">
        <f t="shared" ca="1" si="271"/>
        <v>#DIV/0!</v>
      </c>
      <c r="AB137" s="141"/>
      <c r="AC137" s="141" t="e">
        <f t="shared" ca="1" si="1"/>
        <v>#DIV/0!</v>
      </c>
      <c r="AD137" s="141" t="e">
        <f t="shared" ref="AD137:AI137" ca="1" si="272">O137/$I137</f>
        <v>#DIV/0!</v>
      </c>
      <c r="AE137" s="141" t="e">
        <f t="shared" ca="1" si="272"/>
        <v>#DIV/0!</v>
      </c>
      <c r="AF137" s="141" t="e">
        <f t="shared" ca="1" si="272"/>
        <v>#DIV/0!</v>
      </c>
      <c r="AG137" s="141" t="e">
        <f t="shared" ca="1" si="272"/>
        <v>#DIV/0!</v>
      </c>
      <c r="AH137" s="141" t="e">
        <f t="shared" ca="1" si="272"/>
        <v>#DIV/0!</v>
      </c>
      <c r="AI137" s="141" t="e">
        <f t="shared" ca="1" si="272"/>
        <v>#DIV/0!</v>
      </c>
      <c r="AJ137" s="140"/>
    </row>
    <row r="138" spans="1:36">
      <c r="A138" s="140" t="e">
        <f ca="1"/>
        <v>#NAME?</v>
      </c>
      <c r="B138" s="140" t="e">
        <f ca="1"/>
        <v>#NAME?</v>
      </c>
      <c r="C138" s="140" t="e">
        <f ca="1"/>
        <v>#NAME?</v>
      </c>
      <c r="D138" s="140" t="e">
        <f ca="1"/>
        <v>#NAME?</v>
      </c>
      <c r="E138" s="140" t="e">
        <f ca="1"/>
        <v>#NAME?</v>
      </c>
      <c r="F138" s="140" t="e">
        <f ca="1"/>
        <v>#NAME?</v>
      </c>
      <c r="G138" s="140" t="e">
        <f ca="1"/>
        <v>#NAME?</v>
      </c>
      <c r="H138" s="140"/>
      <c r="I138" s="140">
        <f ca="1">SUMIFS('F20-2024'!I:I,'F20-2024'!$D:$D,$D138,'F20-2024'!$E:$E,$E138,'F20-2024'!$F:$F,$F138)</f>
        <v>0</v>
      </c>
      <c r="J138" s="140">
        <f ca="1">SUMIFS('F20-2024'!J:J,'F20-2024'!$D:$D,$D138,'F20-2024'!$E:$E,$E138,'F20-2024'!$F:$F,$F138)</f>
        <v>0</v>
      </c>
      <c r="K138" s="140">
        <f ca="1">SUMIFS('F20-2024'!K:K,'F20-2024'!$D:$D,$D138,'F20-2024'!$E:$E,$E138,'F20-2024'!$F:$F,$F138)</f>
        <v>0</v>
      </c>
      <c r="L138" s="140">
        <f ca="1">SUMIFS('F20-2024'!L:L,'F20-2024'!$D:$D,$D138,'F20-2024'!$E:$E,$E138,'F20-2024'!$F:$F,$F138)</f>
        <v>0</v>
      </c>
      <c r="M138" s="140">
        <f ca="1">SUMIFS('F20-2024'!M:M,'F20-2024'!$D:$D,$D138,'F20-2024'!$E:$E,$E138,'F20-2024'!$F:$F,$F138)</f>
        <v>0</v>
      </c>
      <c r="N138" s="140">
        <f ca="1">SUMIFS('F20-2024'!N:N,'F20-2024'!$D:$D,$D138,'F20-2024'!$E:$E,$E138,'F20-2024'!$F:$F,$F138)</f>
        <v>0</v>
      </c>
      <c r="O138" s="140">
        <f ca="1">SUMIFS('F20-2024'!O:O,'F20-2024'!$D:$D,$D138,'F20-2024'!$E:$E,$E138,'F20-2024'!$F:$F,$F138)</f>
        <v>0</v>
      </c>
      <c r="P138" s="140">
        <f ca="1">SUMIFS('F20-2024'!P:P,'F20-2024'!$D:$D,$D138,'F20-2024'!$E:$E,$E138,'F20-2024'!$F:$F,$F138)</f>
        <v>0</v>
      </c>
      <c r="Q138" s="140">
        <f ca="1">SUMIFS('F20-2024'!Q:Q,'F20-2024'!$D:$D,$D138,'F20-2024'!$E:$E,$E138,'F20-2024'!$F:$F,$F138)</f>
        <v>0</v>
      </c>
      <c r="R138" s="140">
        <f ca="1">SUMIFS('F20-2024'!R:R,'F20-2024'!$D:$D,$D138,'F20-2024'!$E:$E,$E138,'F20-2024'!$F:$F,$F138)</f>
        <v>0</v>
      </c>
      <c r="S138" s="140">
        <f ca="1">SUMIFS('F20-2024'!S:S,'F20-2024'!$D:$D,$D138,'F20-2024'!$E:$E,$E138,'F20-2024'!$F:$F,$F138)</f>
        <v>0</v>
      </c>
      <c r="T138" s="140">
        <f ca="1">SUMIFS('F20-2024'!T:T,'F20-2024'!$D:$D,$D138,'F20-2024'!$E:$E,$E138,'F20-2024'!$F:$F,$F138)</f>
        <v>0</v>
      </c>
      <c r="U138" s="140">
        <f ca="1">SUMIFS('F20-2024'!U:U,'F20-2024'!$D:$D,$D138,'F20-2024'!$E:$E,$E138,'F20-2024'!$F:$F,$F138)</f>
        <v>0</v>
      </c>
      <c r="V138" s="140"/>
      <c r="W138" s="141" t="e">
        <f t="shared" ref="W138:AA138" ca="1" si="273">J138/$I138</f>
        <v>#DIV/0!</v>
      </c>
      <c r="X138" s="141" t="e">
        <f t="shared" ca="1" si="273"/>
        <v>#DIV/0!</v>
      </c>
      <c r="Y138" s="141" t="e">
        <f t="shared" ca="1" si="273"/>
        <v>#DIV/0!</v>
      </c>
      <c r="Z138" s="141" t="e">
        <f t="shared" ca="1" si="273"/>
        <v>#DIV/0!</v>
      </c>
      <c r="AA138" s="141" t="e">
        <f t="shared" ca="1" si="273"/>
        <v>#DIV/0!</v>
      </c>
      <c r="AB138" s="141"/>
      <c r="AC138" s="141" t="e">
        <f t="shared" ca="1" si="1"/>
        <v>#DIV/0!</v>
      </c>
      <c r="AD138" s="141" t="e">
        <f t="shared" ref="AD138:AI138" ca="1" si="274">O138/$I138</f>
        <v>#DIV/0!</v>
      </c>
      <c r="AE138" s="141" t="e">
        <f t="shared" ca="1" si="274"/>
        <v>#DIV/0!</v>
      </c>
      <c r="AF138" s="141" t="e">
        <f t="shared" ca="1" si="274"/>
        <v>#DIV/0!</v>
      </c>
      <c r="AG138" s="141" t="e">
        <f t="shared" ca="1" si="274"/>
        <v>#DIV/0!</v>
      </c>
      <c r="AH138" s="141" t="e">
        <f t="shared" ca="1" si="274"/>
        <v>#DIV/0!</v>
      </c>
      <c r="AI138" s="141" t="e">
        <f t="shared" ca="1" si="274"/>
        <v>#DIV/0!</v>
      </c>
      <c r="AJ138" s="140"/>
    </row>
    <row r="139" spans="1:36">
      <c r="A139" s="140" t="e">
        <f ca="1"/>
        <v>#NAME?</v>
      </c>
      <c r="B139" s="140" t="e">
        <f ca="1"/>
        <v>#NAME?</v>
      </c>
      <c r="C139" s="140" t="e">
        <f ca="1"/>
        <v>#NAME?</v>
      </c>
      <c r="D139" s="140" t="e">
        <f ca="1"/>
        <v>#NAME?</v>
      </c>
      <c r="E139" s="140" t="e">
        <f ca="1"/>
        <v>#NAME?</v>
      </c>
      <c r="F139" s="140" t="e">
        <f ca="1"/>
        <v>#NAME?</v>
      </c>
      <c r="G139" s="140" t="e">
        <f ca="1"/>
        <v>#NAME?</v>
      </c>
      <c r="H139" s="140"/>
      <c r="I139" s="140">
        <f ca="1">SUMIFS('F20-2024'!I:I,'F20-2024'!$D:$D,$D139,'F20-2024'!$E:$E,$E139,'F20-2024'!$F:$F,$F139)</f>
        <v>0</v>
      </c>
      <c r="J139" s="140">
        <f ca="1">SUMIFS('F20-2024'!J:J,'F20-2024'!$D:$D,$D139,'F20-2024'!$E:$E,$E139,'F20-2024'!$F:$F,$F139)</f>
        <v>0</v>
      </c>
      <c r="K139" s="140">
        <f ca="1">SUMIFS('F20-2024'!K:K,'F20-2024'!$D:$D,$D139,'F20-2024'!$E:$E,$E139,'F20-2024'!$F:$F,$F139)</f>
        <v>0</v>
      </c>
      <c r="L139" s="140">
        <f ca="1">SUMIFS('F20-2024'!L:L,'F20-2024'!$D:$D,$D139,'F20-2024'!$E:$E,$E139,'F20-2024'!$F:$F,$F139)</f>
        <v>0</v>
      </c>
      <c r="M139" s="140">
        <f ca="1">SUMIFS('F20-2024'!M:M,'F20-2024'!$D:$D,$D139,'F20-2024'!$E:$E,$E139,'F20-2024'!$F:$F,$F139)</f>
        <v>0</v>
      </c>
      <c r="N139" s="140">
        <f ca="1">SUMIFS('F20-2024'!N:N,'F20-2024'!$D:$D,$D139,'F20-2024'!$E:$E,$E139,'F20-2024'!$F:$F,$F139)</f>
        <v>0</v>
      </c>
      <c r="O139" s="140">
        <f ca="1">SUMIFS('F20-2024'!O:O,'F20-2024'!$D:$D,$D139,'F20-2024'!$E:$E,$E139,'F20-2024'!$F:$F,$F139)</f>
        <v>0</v>
      </c>
      <c r="P139" s="140">
        <f ca="1">SUMIFS('F20-2024'!P:P,'F20-2024'!$D:$D,$D139,'F20-2024'!$E:$E,$E139,'F20-2024'!$F:$F,$F139)</f>
        <v>0</v>
      </c>
      <c r="Q139" s="140">
        <f ca="1">SUMIFS('F20-2024'!Q:Q,'F20-2024'!$D:$D,$D139,'F20-2024'!$E:$E,$E139,'F20-2024'!$F:$F,$F139)</f>
        <v>0</v>
      </c>
      <c r="R139" s="140">
        <f ca="1">SUMIFS('F20-2024'!R:R,'F20-2024'!$D:$D,$D139,'F20-2024'!$E:$E,$E139,'F20-2024'!$F:$F,$F139)</f>
        <v>0</v>
      </c>
      <c r="S139" s="140">
        <f ca="1">SUMIFS('F20-2024'!S:S,'F20-2024'!$D:$D,$D139,'F20-2024'!$E:$E,$E139,'F20-2024'!$F:$F,$F139)</f>
        <v>0</v>
      </c>
      <c r="T139" s="140">
        <f ca="1">SUMIFS('F20-2024'!T:T,'F20-2024'!$D:$D,$D139,'F20-2024'!$E:$E,$E139,'F20-2024'!$F:$F,$F139)</f>
        <v>0</v>
      </c>
      <c r="U139" s="140">
        <f ca="1">SUMIFS('F20-2024'!U:U,'F20-2024'!$D:$D,$D139,'F20-2024'!$E:$E,$E139,'F20-2024'!$F:$F,$F139)</f>
        <v>0</v>
      </c>
      <c r="V139" s="140"/>
      <c r="W139" s="141" t="e">
        <f t="shared" ref="W139:AA139" ca="1" si="275">J139/$I139</f>
        <v>#DIV/0!</v>
      </c>
      <c r="X139" s="141" t="e">
        <f t="shared" ca="1" si="275"/>
        <v>#DIV/0!</v>
      </c>
      <c r="Y139" s="141" t="e">
        <f t="shared" ca="1" si="275"/>
        <v>#DIV/0!</v>
      </c>
      <c r="Z139" s="141" t="e">
        <f t="shared" ca="1" si="275"/>
        <v>#DIV/0!</v>
      </c>
      <c r="AA139" s="141" t="e">
        <f t="shared" ca="1" si="275"/>
        <v>#DIV/0!</v>
      </c>
      <c r="AB139" s="141"/>
      <c r="AC139" s="141" t="e">
        <f t="shared" ca="1" si="1"/>
        <v>#DIV/0!</v>
      </c>
      <c r="AD139" s="141" t="e">
        <f t="shared" ref="AD139:AI139" ca="1" si="276">O139/$I139</f>
        <v>#DIV/0!</v>
      </c>
      <c r="AE139" s="141" t="e">
        <f t="shared" ca="1" si="276"/>
        <v>#DIV/0!</v>
      </c>
      <c r="AF139" s="141" t="e">
        <f t="shared" ca="1" si="276"/>
        <v>#DIV/0!</v>
      </c>
      <c r="AG139" s="141" t="e">
        <f t="shared" ca="1" si="276"/>
        <v>#DIV/0!</v>
      </c>
      <c r="AH139" s="141" t="e">
        <f t="shared" ca="1" si="276"/>
        <v>#DIV/0!</v>
      </c>
      <c r="AI139" s="141" t="e">
        <f t="shared" ca="1" si="276"/>
        <v>#DIV/0!</v>
      </c>
      <c r="AJ139" s="140"/>
    </row>
    <row r="140" spans="1:36">
      <c r="A140" s="140" t="e">
        <f ca="1"/>
        <v>#NAME?</v>
      </c>
      <c r="B140" s="140" t="e">
        <f ca="1"/>
        <v>#NAME?</v>
      </c>
      <c r="C140" s="140" t="e">
        <f ca="1"/>
        <v>#NAME?</v>
      </c>
      <c r="D140" s="140" t="e">
        <f ca="1"/>
        <v>#NAME?</v>
      </c>
      <c r="E140" s="140" t="e">
        <f ca="1"/>
        <v>#NAME?</v>
      </c>
      <c r="F140" s="140" t="e">
        <f ca="1"/>
        <v>#NAME?</v>
      </c>
      <c r="G140" s="140" t="e">
        <f ca="1"/>
        <v>#NAME?</v>
      </c>
      <c r="H140" s="140"/>
      <c r="I140" s="140">
        <f ca="1">SUMIFS('F20-2024'!I:I,'F20-2024'!$D:$D,$D140,'F20-2024'!$E:$E,$E140,'F20-2024'!$F:$F,$F140)</f>
        <v>0</v>
      </c>
      <c r="J140" s="140">
        <f ca="1">SUMIFS('F20-2024'!J:J,'F20-2024'!$D:$D,$D140,'F20-2024'!$E:$E,$E140,'F20-2024'!$F:$F,$F140)</f>
        <v>0</v>
      </c>
      <c r="K140" s="140">
        <f ca="1">SUMIFS('F20-2024'!K:K,'F20-2024'!$D:$D,$D140,'F20-2024'!$E:$E,$E140,'F20-2024'!$F:$F,$F140)</f>
        <v>0</v>
      </c>
      <c r="L140" s="140">
        <f ca="1">SUMIFS('F20-2024'!L:L,'F20-2024'!$D:$D,$D140,'F20-2024'!$E:$E,$E140,'F20-2024'!$F:$F,$F140)</f>
        <v>0</v>
      </c>
      <c r="M140" s="140">
        <f ca="1">SUMIFS('F20-2024'!M:M,'F20-2024'!$D:$D,$D140,'F20-2024'!$E:$E,$E140,'F20-2024'!$F:$F,$F140)</f>
        <v>0</v>
      </c>
      <c r="N140" s="140">
        <f ca="1">SUMIFS('F20-2024'!N:N,'F20-2024'!$D:$D,$D140,'F20-2024'!$E:$E,$E140,'F20-2024'!$F:$F,$F140)</f>
        <v>0</v>
      </c>
      <c r="O140" s="140">
        <f ca="1">SUMIFS('F20-2024'!O:O,'F20-2024'!$D:$D,$D140,'F20-2024'!$E:$E,$E140,'F20-2024'!$F:$F,$F140)</f>
        <v>0</v>
      </c>
      <c r="P140" s="140">
        <f ca="1">SUMIFS('F20-2024'!P:P,'F20-2024'!$D:$D,$D140,'F20-2024'!$E:$E,$E140,'F20-2024'!$F:$F,$F140)</f>
        <v>0</v>
      </c>
      <c r="Q140" s="140">
        <f ca="1">SUMIFS('F20-2024'!Q:Q,'F20-2024'!$D:$D,$D140,'F20-2024'!$E:$E,$E140,'F20-2024'!$F:$F,$F140)</f>
        <v>0</v>
      </c>
      <c r="R140" s="140">
        <f ca="1">SUMIFS('F20-2024'!R:R,'F20-2024'!$D:$D,$D140,'F20-2024'!$E:$E,$E140,'F20-2024'!$F:$F,$F140)</f>
        <v>0</v>
      </c>
      <c r="S140" s="140">
        <f ca="1">SUMIFS('F20-2024'!S:S,'F20-2024'!$D:$D,$D140,'F20-2024'!$E:$E,$E140,'F20-2024'!$F:$F,$F140)</f>
        <v>0</v>
      </c>
      <c r="T140" s="140">
        <f ca="1">SUMIFS('F20-2024'!T:T,'F20-2024'!$D:$D,$D140,'F20-2024'!$E:$E,$E140,'F20-2024'!$F:$F,$F140)</f>
        <v>0</v>
      </c>
      <c r="U140" s="140">
        <f ca="1">SUMIFS('F20-2024'!U:U,'F20-2024'!$D:$D,$D140,'F20-2024'!$E:$E,$E140,'F20-2024'!$F:$F,$F140)</f>
        <v>0</v>
      </c>
      <c r="V140" s="140"/>
      <c r="W140" s="141" t="e">
        <f t="shared" ref="W140:AA140" ca="1" si="277">J140/$I140</f>
        <v>#DIV/0!</v>
      </c>
      <c r="X140" s="141" t="e">
        <f t="shared" ca="1" si="277"/>
        <v>#DIV/0!</v>
      </c>
      <c r="Y140" s="141" t="e">
        <f t="shared" ca="1" si="277"/>
        <v>#DIV/0!</v>
      </c>
      <c r="Z140" s="141" t="e">
        <f t="shared" ca="1" si="277"/>
        <v>#DIV/0!</v>
      </c>
      <c r="AA140" s="141" t="e">
        <f t="shared" ca="1" si="277"/>
        <v>#DIV/0!</v>
      </c>
      <c r="AB140" s="141"/>
      <c r="AC140" s="141" t="e">
        <f t="shared" ca="1" si="1"/>
        <v>#DIV/0!</v>
      </c>
      <c r="AD140" s="141" t="e">
        <f t="shared" ref="AD140:AI140" ca="1" si="278">O140/$I140</f>
        <v>#DIV/0!</v>
      </c>
      <c r="AE140" s="141" t="e">
        <f t="shared" ca="1" si="278"/>
        <v>#DIV/0!</v>
      </c>
      <c r="AF140" s="141" t="e">
        <f t="shared" ca="1" si="278"/>
        <v>#DIV/0!</v>
      </c>
      <c r="AG140" s="141" t="e">
        <f t="shared" ca="1" si="278"/>
        <v>#DIV/0!</v>
      </c>
      <c r="AH140" s="141" t="e">
        <f t="shared" ca="1" si="278"/>
        <v>#DIV/0!</v>
      </c>
      <c r="AI140" s="141" t="e">
        <f t="shared" ca="1" si="278"/>
        <v>#DIV/0!</v>
      </c>
      <c r="AJ140" s="140"/>
    </row>
    <row r="141" spans="1:36">
      <c r="A141" s="140" t="e">
        <f ca="1"/>
        <v>#NAME?</v>
      </c>
      <c r="B141" s="140" t="e">
        <f ca="1"/>
        <v>#NAME?</v>
      </c>
      <c r="C141" s="140" t="e">
        <f ca="1"/>
        <v>#NAME?</v>
      </c>
      <c r="D141" s="140" t="e">
        <f ca="1"/>
        <v>#NAME?</v>
      </c>
      <c r="E141" s="140" t="e">
        <f ca="1"/>
        <v>#NAME?</v>
      </c>
      <c r="F141" s="140" t="e">
        <f ca="1"/>
        <v>#NAME?</v>
      </c>
      <c r="G141" s="140" t="e">
        <f ca="1"/>
        <v>#NAME?</v>
      </c>
      <c r="H141" s="140"/>
      <c r="I141" s="140">
        <f ca="1">SUMIFS('F20-2024'!I:I,'F20-2024'!$D:$D,$D141,'F20-2024'!$E:$E,$E141,'F20-2024'!$F:$F,$F141)</f>
        <v>0</v>
      </c>
      <c r="J141" s="140">
        <f ca="1">SUMIFS('F20-2024'!J:J,'F20-2024'!$D:$D,$D141,'F20-2024'!$E:$E,$E141,'F20-2024'!$F:$F,$F141)</f>
        <v>0</v>
      </c>
      <c r="K141" s="140">
        <f ca="1">SUMIFS('F20-2024'!K:K,'F20-2024'!$D:$D,$D141,'F20-2024'!$E:$E,$E141,'F20-2024'!$F:$F,$F141)</f>
        <v>0</v>
      </c>
      <c r="L141" s="140">
        <f ca="1">SUMIFS('F20-2024'!L:L,'F20-2024'!$D:$D,$D141,'F20-2024'!$E:$E,$E141,'F20-2024'!$F:$F,$F141)</f>
        <v>0</v>
      </c>
      <c r="M141" s="140">
        <f ca="1">SUMIFS('F20-2024'!M:M,'F20-2024'!$D:$D,$D141,'F20-2024'!$E:$E,$E141,'F20-2024'!$F:$F,$F141)</f>
        <v>0</v>
      </c>
      <c r="N141" s="140">
        <f ca="1">SUMIFS('F20-2024'!N:N,'F20-2024'!$D:$D,$D141,'F20-2024'!$E:$E,$E141,'F20-2024'!$F:$F,$F141)</f>
        <v>0</v>
      </c>
      <c r="O141" s="140">
        <f ca="1">SUMIFS('F20-2024'!O:O,'F20-2024'!$D:$D,$D141,'F20-2024'!$E:$E,$E141,'F20-2024'!$F:$F,$F141)</f>
        <v>0</v>
      </c>
      <c r="P141" s="140">
        <f ca="1">SUMIFS('F20-2024'!P:P,'F20-2024'!$D:$D,$D141,'F20-2024'!$E:$E,$E141,'F20-2024'!$F:$F,$F141)</f>
        <v>0</v>
      </c>
      <c r="Q141" s="140">
        <f ca="1">SUMIFS('F20-2024'!Q:Q,'F20-2024'!$D:$D,$D141,'F20-2024'!$E:$E,$E141,'F20-2024'!$F:$F,$F141)</f>
        <v>0</v>
      </c>
      <c r="R141" s="140">
        <f ca="1">SUMIFS('F20-2024'!R:R,'F20-2024'!$D:$D,$D141,'F20-2024'!$E:$E,$E141,'F20-2024'!$F:$F,$F141)</f>
        <v>0</v>
      </c>
      <c r="S141" s="140">
        <f ca="1">SUMIFS('F20-2024'!S:S,'F20-2024'!$D:$D,$D141,'F20-2024'!$E:$E,$E141,'F20-2024'!$F:$F,$F141)</f>
        <v>0</v>
      </c>
      <c r="T141" s="140">
        <f ca="1">SUMIFS('F20-2024'!T:T,'F20-2024'!$D:$D,$D141,'F20-2024'!$E:$E,$E141,'F20-2024'!$F:$F,$F141)</f>
        <v>0</v>
      </c>
      <c r="U141" s="140">
        <f ca="1">SUMIFS('F20-2024'!U:U,'F20-2024'!$D:$D,$D141,'F20-2024'!$E:$E,$E141,'F20-2024'!$F:$F,$F141)</f>
        <v>0</v>
      </c>
      <c r="V141" s="140"/>
      <c r="W141" s="141" t="e">
        <f t="shared" ref="W141:AA141" ca="1" si="279">J141/$I141</f>
        <v>#DIV/0!</v>
      </c>
      <c r="X141" s="141" t="e">
        <f t="shared" ca="1" si="279"/>
        <v>#DIV/0!</v>
      </c>
      <c r="Y141" s="141" t="e">
        <f t="shared" ca="1" si="279"/>
        <v>#DIV/0!</v>
      </c>
      <c r="Z141" s="141" t="e">
        <f t="shared" ca="1" si="279"/>
        <v>#DIV/0!</v>
      </c>
      <c r="AA141" s="141" t="e">
        <f t="shared" ca="1" si="279"/>
        <v>#DIV/0!</v>
      </c>
      <c r="AB141" s="141"/>
      <c r="AC141" s="141" t="e">
        <f t="shared" ca="1" si="1"/>
        <v>#DIV/0!</v>
      </c>
      <c r="AD141" s="141" t="e">
        <f t="shared" ref="AD141:AI141" ca="1" si="280">O141/$I141</f>
        <v>#DIV/0!</v>
      </c>
      <c r="AE141" s="141" t="e">
        <f t="shared" ca="1" si="280"/>
        <v>#DIV/0!</v>
      </c>
      <c r="AF141" s="141" t="e">
        <f t="shared" ca="1" si="280"/>
        <v>#DIV/0!</v>
      </c>
      <c r="AG141" s="141" t="e">
        <f t="shared" ca="1" si="280"/>
        <v>#DIV/0!</v>
      </c>
      <c r="AH141" s="141" t="e">
        <f t="shared" ca="1" si="280"/>
        <v>#DIV/0!</v>
      </c>
      <c r="AI141" s="141" t="e">
        <f t="shared" ca="1" si="280"/>
        <v>#DIV/0!</v>
      </c>
      <c r="AJ141" s="140"/>
    </row>
    <row r="142" spans="1:36">
      <c r="A142" s="140" t="e">
        <f ca="1"/>
        <v>#NAME?</v>
      </c>
      <c r="B142" s="140" t="e">
        <f ca="1"/>
        <v>#NAME?</v>
      </c>
      <c r="C142" s="140" t="e">
        <f ca="1"/>
        <v>#NAME?</v>
      </c>
      <c r="D142" s="140" t="e">
        <f ca="1"/>
        <v>#NAME?</v>
      </c>
      <c r="E142" s="140" t="e">
        <f ca="1"/>
        <v>#NAME?</v>
      </c>
      <c r="F142" s="140" t="e">
        <f ca="1"/>
        <v>#NAME?</v>
      </c>
      <c r="G142" s="140" t="e">
        <f ca="1"/>
        <v>#NAME?</v>
      </c>
      <c r="H142" s="140"/>
      <c r="I142" s="140">
        <f ca="1">SUMIFS('F20-2024'!I:I,'F20-2024'!$D:$D,$D142,'F20-2024'!$E:$E,$E142,'F20-2024'!$F:$F,$F142)</f>
        <v>0</v>
      </c>
      <c r="J142" s="140">
        <f ca="1">SUMIFS('F20-2024'!J:J,'F20-2024'!$D:$D,$D142,'F20-2024'!$E:$E,$E142,'F20-2024'!$F:$F,$F142)</f>
        <v>0</v>
      </c>
      <c r="K142" s="140">
        <f ca="1">SUMIFS('F20-2024'!K:K,'F20-2024'!$D:$D,$D142,'F20-2024'!$E:$E,$E142,'F20-2024'!$F:$F,$F142)</f>
        <v>0</v>
      </c>
      <c r="L142" s="140">
        <f ca="1">SUMIFS('F20-2024'!L:L,'F20-2024'!$D:$D,$D142,'F20-2024'!$E:$E,$E142,'F20-2024'!$F:$F,$F142)</f>
        <v>0</v>
      </c>
      <c r="M142" s="140">
        <f ca="1">SUMIFS('F20-2024'!M:M,'F20-2024'!$D:$D,$D142,'F20-2024'!$E:$E,$E142,'F20-2024'!$F:$F,$F142)</f>
        <v>0</v>
      </c>
      <c r="N142" s="140">
        <f ca="1">SUMIFS('F20-2024'!N:N,'F20-2024'!$D:$D,$D142,'F20-2024'!$E:$E,$E142,'F20-2024'!$F:$F,$F142)</f>
        <v>0</v>
      </c>
      <c r="O142" s="140">
        <f ca="1">SUMIFS('F20-2024'!O:O,'F20-2024'!$D:$D,$D142,'F20-2024'!$E:$E,$E142,'F20-2024'!$F:$F,$F142)</f>
        <v>0</v>
      </c>
      <c r="P142" s="140">
        <f ca="1">SUMIFS('F20-2024'!P:P,'F20-2024'!$D:$D,$D142,'F20-2024'!$E:$E,$E142,'F20-2024'!$F:$F,$F142)</f>
        <v>0</v>
      </c>
      <c r="Q142" s="140">
        <f ca="1">SUMIFS('F20-2024'!Q:Q,'F20-2024'!$D:$D,$D142,'F20-2024'!$E:$E,$E142,'F20-2024'!$F:$F,$F142)</f>
        <v>0</v>
      </c>
      <c r="R142" s="140">
        <f ca="1">SUMIFS('F20-2024'!R:R,'F20-2024'!$D:$D,$D142,'F20-2024'!$E:$E,$E142,'F20-2024'!$F:$F,$F142)</f>
        <v>0</v>
      </c>
      <c r="S142" s="140">
        <f ca="1">SUMIFS('F20-2024'!S:S,'F20-2024'!$D:$D,$D142,'F20-2024'!$E:$E,$E142,'F20-2024'!$F:$F,$F142)</f>
        <v>0</v>
      </c>
      <c r="T142" s="140">
        <f ca="1">SUMIFS('F20-2024'!T:T,'F20-2024'!$D:$D,$D142,'F20-2024'!$E:$E,$E142,'F20-2024'!$F:$F,$F142)</f>
        <v>0</v>
      </c>
      <c r="U142" s="140">
        <f ca="1">SUMIFS('F20-2024'!U:U,'F20-2024'!$D:$D,$D142,'F20-2024'!$E:$E,$E142,'F20-2024'!$F:$F,$F142)</f>
        <v>0</v>
      </c>
      <c r="V142" s="140"/>
      <c r="W142" s="141" t="e">
        <f t="shared" ref="W142:AA142" ca="1" si="281">J142/$I142</f>
        <v>#DIV/0!</v>
      </c>
      <c r="X142" s="141" t="e">
        <f t="shared" ca="1" si="281"/>
        <v>#DIV/0!</v>
      </c>
      <c r="Y142" s="141" t="e">
        <f t="shared" ca="1" si="281"/>
        <v>#DIV/0!</v>
      </c>
      <c r="Z142" s="141" t="e">
        <f t="shared" ca="1" si="281"/>
        <v>#DIV/0!</v>
      </c>
      <c r="AA142" s="141" t="e">
        <f t="shared" ca="1" si="281"/>
        <v>#DIV/0!</v>
      </c>
      <c r="AB142" s="141"/>
      <c r="AC142" s="141" t="e">
        <f t="shared" ca="1" si="1"/>
        <v>#DIV/0!</v>
      </c>
      <c r="AD142" s="141" t="e">
        <f t="shared" ref="AD142:AI142" ca="1" si="282">O142/$I142</f>
        <v>#DIV/0!</v>
      </c>
      <c r="AE142" s="141" t="e">
        <f t="shared" ca="1" si="282"/>
        <v>#DIV/0!</v>
      </c>
      <c r="AF142" s="141" t="e">
        <f t="shared" ca="1" si="282"/>
        <v>#DIV/0!</v>
      </c>
      <c r="AG142" s="141" t="e">
        <f t="shared" ca="1" si="282"/>
        <v>#DIV/0!</v>
      </c>
      <c r="AH142" s="141" t="e">
        <f t="shared" ca="1" si="282"/>
        <v>#DIV/0!</v>
      </c>
      <c r="AI142" s="141" t="e">
        <f t="shared" ca="1" si="282"/>
        <v>#DIV/0!</v>
      </c>
      <c r="AJ142" s="140"/>
    </row>
    <row r="143" spans="1:36">
      <c r="A143" s="140" t="e">
        <f ca="1"/>
        <v>#NAME?</v>
      </c>
      <c r="B143" s="140" t="e">
        <f ca="1"/>
        <v>#NAME?</v>
      </c>
      <c r="C143" s="140" t="e">
        <f ca="1"/>
        <v>#NAME?</v>
      </c>
      <c r="D143" s="140" t="e">
        <f ca="1"/>
        <v>#NAME?</v>
      </c>
      <c r="E143" s="140" t="e">
        <f ca="1"/>
        <v>#NAME?</v>
      </c>
      <c r="F143" s="140" t="e">
        <f ca="1"/>
        <v>#NAME?</v>
      </c>
      <c r="G143" s="140" t="e">
        <f ca="1"/>
        <v>#NAME?</v>
      </c>
      <c r="H143" s="140"/>
      <c r="I143" s="140">
        <f ca="1">SUMIFS('F20-2024'!I:I,'F20-2024'!$D:$D,$D143,'F20-2024'!$E:$E,$E143,'F20-2024'!$F:$F,$F143)</f>
        <v>0</v>
      </c>
      <c r="J143" s="140">
        <f ca="1">SUMIFS('F20-2024'!J:J,'F20-2024'!$D:$D,$D143,'F20-2024'!$E:$E,$E143,'F20-2024'!$F:$F,$F143)</f>
        <v>0</v>
      </c>
      <c r="K143" s="140">
        <f ca="1">SUMIFS('F20-2024'!K:K,'F20-2024'!$D:$D,$D143,'F20-2024'!$E:$E,$E143,'F20-2024'!$F:$F,$F143)</f>
        <v>0</v>
      </c>
      <c r="L143" s="140">
        <f ca="1">SUMIFS('F20-2024'!L:L,'F20-2024'!$D:$D,$D143,'F20-2024'!$E:$E,$E143,'F20-2024'!$F:$F,$F143)</f>
        <v>0</v>
      </c>
      <c r="M143" s="140">
        <f ca="1">SUMIFS('F20-2024'!M:M,'F20-2024'!$D:$D,$D143,'F20-2024'!$E:$E,$E143,'F20-2024'!$F:$F,$F143)</f>
        <v>0</v>
      </c>
      <c r="N143" s="140">
        <f ca="1">SUMIFS('F20-2024'!N:N,'F20-2024'!$D:$D,$D143,'F20-2024'!$E:$E,$E143,'F20-2024'!$F:$F,$F143)</f>
        <v>0</v>
      </c>
      <c r="O143" s="140">
        <f ca="1">SUMIFS('F20-2024'!O:O,'F20-2024'!$D:$D,$D143,'F20-2024'!$E:$E,$E143,'F20-2024'!$F:$F,$F143)</f>
        <v>0</v>
      </c>
      <c r="P143" s="140">
        <f ca="1">SUMIFS('F20-2024'!P:P,'F20-2024'!$D:$D,$D143,'F20-2024'!$E:$E,$E143,'F20-2024'!$F:$F,$F143)</f>
        <v>0</v>
      </c>
      <c r="Q143" s="140">
        <f ca="1">SUMIFS('F20-2024'!Q:Q,'F20-2024'!$D:$D,$D143,'F20-2024'!$E:$E,$E143,'F20-2024'!$F:$F,$F143)</f>
        <v>0</v>
      </c>
      <c r="R143" s="140">
        <f ca="1">SUMIFS('F20-2024'!R:R,'F20-2024'!$D:$D,$D143,'F20-2024'!$E:$E,$E143,'F20-2024'!$F:$F,$F143)</f>
        <v>0</v>
      </c>
      <c r="S143" s="140">
        <f ca="1">SUMIFS('F20-2024'!S:S,'F20-2024'!$D:$D,$D143,'F20-2024'!$E:$E,$E143,'F20-2024'!$F:$F,$F143)</f>
        <v>0</v>
      </c>
      <c r="T143" s="140">
        <f ca="1">SUMIFS('F20-2024'!T:T,'F20-2024'!$D:$D,$D143,'F20-2024'!$E:$E,$E143,'F20-2024'!$F:$F,$F143)</f>
        <v>0</v>
      </c>
      <c r="U143" s="140">
        <f ca="1">SUMIFS('F20-2024'!U:U,'F20-2024'!$D:$D,$D143,'F20-2024'!$E:$E,$E143,'F20-2024'!$F:$F,$F143)</f>
        <v>0</v>
      </c>
      <c r="V143" s="140"/>
      <c r="W143" s="141" t="e">
        <f t="shared" ref="W143:AA143" ca="1" si="283">J143/$I143</f>
        <v>#DIV/0!</v>
      </c>
      <c r="X143" s="141" t="e">
        <f t="shared" ca="1" si="283"/>
        <v>#DIV/0!</v>
      </c>
      <c r="Y143" s="141" t="e">
        <f t="shared" ca="1" si="283"/>
        <v>#DIV/0!</v>
      </c>
      <c r="Z143" s="141" t="e">
        <f t="shared" ca="1" si="283"/>
        <v>#DIV/0!</v>
      </c>
      <c r="AA143" s="141" t="e">
        <f t="shared" ca="1" si="283"/>
        <v>#DIV/0!</v>
      </c>
      <c r="AB143" s="141"/>
      <c r="AC143" s="141" t="e">
        <f t="shared" ca="1" si="1"/>
        <v>#DIV/0!</v>
      </c>
      <c r="AD143" s="141" t="e">
        <f t="shared" ref="AD143:AI143" ca="1" si="284">O143/$I143</f>
        <v>#DIV/0!</v>
      </c>
      <c r="AE143" s="141" t="e">
        <f t="shared" ca="1" si="284"/>
        <v>#DIV/0!</v>
      </c>
      <c r="AF143" s="141" t="e">
        <f t="shared" ca="1" si="284"/>
        <v>#DIV/0!</v>
      </c>
      <c r="AG143" s="141" t="e">
        <f t="shared" ca="1" si="284"/>
        <v>#DIV/0!</v>
      </c>
      <c r="AH143" s="141" t="e">
        <f t="shared" ca="1" si="284"/>
        <v>#DIV/0!</v>
      </c>
      <c r="AI143" s="141" t="e">
        <f t="shared" ca="1" si="284"/>
        <v>#DIV/0!</v>
      </c>
      <c r="AJ143" s="140"/>
    </row>
    <row r="144" spans="1:36">
      <c r="A144" s="140" t="e">
        <f ca="1"/>
        <v>#NAME?</v>
      </c>
      <c r="B144" s="140" t="e">
        <f ca="1"/>
        <v>#NAME?</v>
      </c>
      <c r="C144" s="140" t="e">
        <f ca="1"/>
        <v>#NAME?</v>
      </c>
      <c r="D144" s="140" t="e">
        <f ca="1"/>
        <v>#NAME?</v>
      </c>
      <c r="E144" s="140" t="e">
        <f ca="1"/>
        <v>#NAME?</v>
      </c>
      <c r="F144" s="140" t="e">
        <f ca="1"/>
        <v>#NAME?</v>
      </c>
      <c r="G144" s="140" t="e">
        <f ca="1"/>
        <v>#NAME?</v>
      </c>
      <c r="H144" s="140"/>
      <c r="I144" s="140">
        <f ca="1">SUMIFS('F20-2024'!I:I,'F20-2024'!$D:$D,$D144,'F20-2024'!$E:$E,$E144,'F20-2024'!$F:$F,$F144)</f>
        <v>0</v>
      </c>
      <c r="J144" s="140">
        <f ca="1">SUMIFS('F20-2024'!J:J,'F20-2024'!$D:$D,$D144,'F20-2024'!$E:$E,$E144,'F20-2024'!$F:$F,$F144)</f>
        <v>0</v>
      </c>
      <c r="K144" s="140">
        <f ca="1">SUMIFS('F20-2024'!K:K,'F20-2024'!$D:$D,$D144,'F20-2024'!$E:$E,$E144,'F20-2024'!$F:$F,$F144)</f>
        <v>0</v>
      </c>
      <c r="L144" s="140">
        <f ca="1">SUMIFS('F20-2024'!L:L,'F20-2024'!$D:$D,$D144,'F20-2024'!$E:$E,$E144,'F20-2024'!$F:$F,$F144)</f>
        <v>0</v>
      </c>
      <c r="M144" s="140">
        <f ca="1">SUMIFS('F20-2024'!M:M,'F20-2024'!$D:$D,$D144,'F20-2024'!$E:$E,$E144,'F20-2024'!$F:$F,$F144)</f>
        <v>0</v>
      </c>
      <c r="N144" s="140">
        <f ca="1">SUMIFS('F20-2024'!N:N,'F20-2024'!$D:$D,$D144,'F20-2024'!$E:$E,$E144,'F20-2024'!$F:$F,$F144)</f>
        <v>0</v>
      </c>
      <c r="O144" s="140">
        <f ca="1">SUMIFS('F20-2024'!O:O,'F20-2024'!$D:$D,$D144,'F20-2024'!$E:$E,$E144,'F20-2024'!$F:$F,$F144)</f>
        <v>0</v>
      </c>
      <c r="P144" s="140">
        <f ca="1">SUMIFS('F20-2024'!P:P,'F20-2024'!$D:$D,$D144,'F20-2024'!$E:$E,$E144,'F20-2024'!$F:$F,$F144)</f>
        <v>0</v>
      </c>
      <c r="Q144" s="140">
        <f ca="1">SUMIFS('F20-2024'!Q:Q,'F20-2024'!$D:$D,$D144,'F20-2024'!$E:$E,$E144,'F20-2024'!$F:$F,$F144)</f>
        <v>0</v>
      </c>
      <c r="R144" s="140">
        <f ca="1">SUMIFS('F20-2024'!R:R,'F20-2024'!$D:$D,$D144,'F20-2024'!$E:$E,$E144,'F20-2024'!$F:$F,$F144)</f>
        <v>0</v>
      </c>
      <c r="S144" s="140">
        <f ca="1">SUMIFS('F20-2024'!S:S,'F20-2024'!$D:$D,$D144,'F20-2024'!$E:$E,$E144,'F20-2024'!$F:$F,$F144)</f>
        <v>0</v>
      </c>
      <c r="T144" s="140">
        <f ca="1">SUMIFS('F20-2024'!T:T,'F20-2024'!$D:$D,$D144,'F20-2024'!$E:$E,$E144,'F20-2024'!$F:$F,$F144)</f>
        <v>0</v>
      </c>
      <c r="U144" s="140">
        <f ca="1">SUMIFS('F20-2024'!U:U,'F20-2024'!$D:$D,$D144,'F20-2024'!$E:$E,$E144,'F20-2024'!$F:$F,$F144)</f>
        <v>0</v>
      </c>
      <c r="V144" s="140"/>
      <c r="W144" s="141" t="e">
        <f t="shared" ref="W144:AA144" ca="1" si="285">J144/$I144</f>
        <v>#DIV/0!</v>
      </c>
      <c r="X144" s="141" t="e">
        <f t="shared" ca="1" si="285"/>
        <v>#DIV/0!</v>
      </c>
      <c r="Y144" s="141" t="e">
        <f t="shared" ca="1" si="285"/>
        <v>#DIV/0!</v>
      </c>
      <c r="Z144" s="141" t="e">
        <f t="shared" ca="1" si="285"/>
        <v>#DIV/0!</v>
      </c>
      <c r="AA144" s="141" t="e">
        <f t="shared" ca="1" si="285"/>
        <v>#DIV/0!</v>
      </c>
      <c r="AB144" s="141"/>
      <c r="AC144" s="141" t="e">
        <f t="shared" ca="1" si="1"/>
        <v>#DIV/0!</v>
      </c>
      <c r="AD144" s="141" t="e">
        <f t="shared" ref="AD144:AI144" ca="1" si="286">O144/$I144</f>
        <v>#DIV/0!</v>
      </c>
      <c r="AE144" s="141" t="e">
        <f t="shared" ca="1" si="286"/>
        <v>#DIV/0!</v>
      </c>
      <c r="AF144" s="141" t="e">
        <f t="shared" ca="1" si="286"/>
        <v>#DIV/0!</v>
      </c>
      <c r="AG144" s="141" t="e">
        <f t="shared" ca="1" si="286"/>
        <v>#DIV/0!</v>
      </c>
      <c r="AH144" s="141" t="e">
        <f t="shared" ca="1" si="286"/>
        <v>#DIV/0!</v>
      </c>
      <c r="AI144" s="141" t="e">
        <f t="shared" ca="1" si="286"/>
        <v>#DIV/0!</v>
      </c>
      <c r="AJ144" s="140"/>
    </row>
    <row r="145" spans="1:36">
      <c r="A145" s="140" t="e">
        <f ca="1"/>
        <v>#NAME?</v>
      </c>
      <c r="B145" s="140" t="e">
        <f ca="1"/>
        <v>#NAME?</v>
      </c>
      <c r="C145" s="140" t="e">
        <f ca="1"/>
        <v>#NAME?</v>
      </c>
      <c r="D145" s="140" t="e">
        <f ca="1"/>
        <v>#NAME?</v>
      </c>
      <c r="E145" s="140" t="e">
        <f ca="1"/>
        <v>#NAME?</v>
      </c>
      <c r="F145" s="140" t="e">
        <f ca="1"/>
        <v>#NAME?</v>
      </c>
      <c r="G145" s="140" t="e">
        <f ca="1"/>
        <v>#NAME?</v>
      </c>
      <c r="H145" s="140"/>
      <c r="I145" s="140">
        <f ca="1">SUMIFS('F20-2024'!I:I,'F20-2024'!$D:$D,$D145,'F20-2024'!$E:$E,$E145,'F20-2024'!$F:$F,$F145)</f>
        <v>0</v>
      </c>
      <c r="J145" s="140">
        <f ca="1">SUMIFS('F20-2024'!J:J,'F20-2024'!$D:$D,$D145,'F20-2024'!$E:$E,$E145,'F20-2024'!$F:$F,$F145)</f>
        <v>0</v>
      </c>
      <c r="K145" s="140">
        <f ca="1">SUMIFS('F20-2024'!K:K,'F20-2024'!$D:$D,$D145,'F20-2024'!$E:$E,$E145,'F20-2024'!$F:$F,$F145)</f>
        <v>0</v>
      </c>
      <c r="L145" s="140">
        <f ca="1">SUMIFS('F20-2024'!L:L,'F20-2024'!$D:$D,$D145,'F20-2024'!$E:$E,$E145,'F20-2024'!$F:$F,$F145)</f>
        <v>0</v>
      </c>
      <c r="M145" s="140">
        <f ca="1">SUMIFS('F20-2024'!M:M,'F20-2024'!$D:$D,$D145,'F20-2024'!$E:$E,$E145,'F20-2024'!$F:$F,$F145)</f>
        <v>0</v>
      </c>
      <c r="N145" s="140">
        <f ca="1">SUMIFS('F20-2024'!N:N,'F20-2024'!$D:$D,$D145,'F20-2024'!$E:$E,$E145,'F20-2024'!$F:$F,$F145)</f>
        <v>0</v>
      </c>
      <c r="O145" s="140">
        <f ca="1">SUMIFS('F20-2024'!O:O,'F20-2024'!$D:$D,$D145,'F20-2024'!$E:$E,$E145,'F20-2024'!$F:$F,$F145)</f>
        <v>0</v>
      </c>
      <c r="P145" s="140">
        <f ca="1">SUMIFS('F20-2024'!P:P,'F20-2024'!$D:$D,$D145,'F20-2024'!$E:$E,$E145,'F20-2024'!$F:$F,$F145)</f>
        <v>0</v>
      </c>
      <c r="Q145" s="140">
        <f ca="1">SUMIFS('F20-2024'!Q:Q,'F20-2024'!$D:$D,$D145,'F20-2024'!$E:$E,$E145,'F20-2024'!$F:$F,$F145)</f>
        <v>0</v>
      </c>
      <c r="R145" s="140">
        <f ca="1">SUMIFS('F20-2024'!R:R,'F20-2024'!$D:$D,$D145,'F20-2024'!$E:$E,$E145,'F20-2024'!$F:$F,$F145)</f>
        <v>0</v>
      </c>
      <c r="S145" s="140">
        <f ca="1">SUMIFS('F20-2024'!S:S,'F20-2024'!$D:$D,$D145,'F20-2024'!$E:$E,$E145,'F20-2024'!$F:$F,$F145)</f>
        <v>0</v>
      </c>
      <c r="T145" s="140">
        <f ca="1">SUMIFS('F20-2024'!T:T,'F20-2024'!$D:$D,$D145,'F20-2024'!$E:$E,$E145,'F20-2024'!$F:$F,$F145)</f>
        <v>0</v>
      </c>
      <c r="U145" s="140">
        <f ca="1">SUMIFS('F20-2024'!U:U,'F20-2024'!$D:$D,$D145,'F20-2024'!$E:$E,$E145,'F20-2024'!$F:$F,$F145)</f>
        <v>0</v>
      </c>
      <c r="V145" s="140"/>
      <c r="W145" s="141" t="e">
        <f t="shared" ref="W145:AA145" ca="1" si="287">J145/$I145</f>
        <v>#DIV/0!</v>
      </c>
      <c r="X145" s="141" t="e">
        <f t="shared" ca="1" si="287"/>
        <v>#DIV/0!</v>
      </c>
      <c r="Y145" s="141" t="e">
        <f t="shared" ca="1" si="287"/>
        <v>#DIV/0!</v>
      </c>
      <c r="Z145" s="141" t="e">
        <f t="shared" ca="1" si="287"/>
        <v>#DIV/0!</v>
      </c>
      <c r="AA145" s="141" t="e">
        <f t="shared" ca="1" si="287"/>
        <v>#DIV/0!</v>
      </c>
      <c r="AB145" s="141"/>
      <c r="AC145" s="141" t="e">
        <f t="shared" ca="1" si="1"/>
        <v>#DIV/0!</v>
      </c>
      <c r="AD145" s="141" t="e">
        <f t="shared" ref="AD145:AI145" ca="1" si="288">O145/$I145</f>
        <v>#DIV/0!</v>
      </c>
      <c r="AE145" s="141" t="e">
        <f t="shared" ca="1" si="288"/>
        <v>#DIV/0!</v>
      </c>
      <c r="AF145" s="141" t="e">
        <f t="shared" ca="1" si="288"/>
        <v>#DIV/0!</v>
      </c>
      <c r="AG145" s="141" t="e">
        <f t="shared" ca="1" si="288"/>
        <v>#DIV/0!</v>
      </c>
      <c r="AH145" s="141" t="e">
        <f t="shared" ca="1" si="288"/>
        <v>#DIV/0!</v>
      </c>
      <c r="AI145" s="141" t="e">
        <f t="shared" ca="1" si="288"/>
        <v>#DIV/0!</v>
      </c>
      <c r="AJ145" s="140"/>
    </row>
    <row r="146" spans="1:36">
      <c r="A146" s="140" t="e">
        <f ca="1"/>
        <v>#NAME?</v>
      </c>
      <c r="B146" s="140" t="e">
        <f ca="1"/>
        <v>#NAME?</v>
      </c>
      <c r="C146" s="140" t="e">
        <f ca="1"/>
        <v>#NAME?</v>
      </c>
      <c r="D146" s="140" t="e">
        <f ca="1"/>
        <v>#NAME?</v>
      </c>
      <c r="E146" s="140" t="e">
        <f ca="1"/>
        <v>#NAME?</v>
      </c>
      <c r="F146" s="140" t="e">
        <f ca="1"/>
        <v>#NAME?</v>
      </c>
      <c r="G146" s="140" t="e">
        <f ca="1"/>
        <v>#NAME?</v>
      </c>
      <c r="H146" s="140"/>
      <c r="I146" s="140">
        <f ca="1">SUMIFS('F20-2024'!I:I,'F20-2024'!$D:$D,$D146,'F20-2024'!$E:$E,$E146,'F20-2024'!$F:$F,$F146)</f>
        <v>0</v>
      </c>
      <c r="J146" s="140">
        <f ca="1">SUMIFS('F20-2024'!J:J,'F20-2024'!$D:$D,$D146,'F20-2024'!$E:$E,$E146,'F20-2024'!$F:$F,$F146)</f>
        <v>0</v>
      </c>
      <c r="K146" s="140">
        <f ca="1">SUMIFS('F20-2024'!K:K,'F20-2024'!$D:$D,$D146,'F20-2024'!$E:$E,$E146,'F20-2024'!$F:$F,$F146)</f>
        <v>0</v>
      </c>
      <c r="L146" s="140">
        <f ca="1">SUMIFS('F20-2024'!L:L,'F20-2024'!$D:$D,$D146,'F20-2024'!$E:$E,$E146,'F20-2024'!$F:$F,$F146)</f>
        <v>0</v>
      </c>
      <c r="M146" s="140">
        <f ca="1">SUMIFS('F20-2024'!M:M,'F20-2024'!$D:$D,$D146,'F20-2024'!$E:$E,$E146,'F20-2024'!$F:$F,$F146)</f>
        <v>0</v>
      </c>
      <c r="N146" s="140">
        <f ca="1">SUMIFS('F20-2024'!N:N,'F20-2024'!$D:$D,$D146,'F20-2024'!$E:$E,$E146,'F20-2024'!$F:$F,$F146)</f>
        <v>0</v>
      </c>
      <c r="O146" s="140">
        <f ca="1">SUMIFS('F20-2024'!O:O,'F20-2024'!$D:$D,$D146,'F20-2024'!$E:$E,$E146,'F20-2024'!$F:$F,$F146)</f>
        <v>0</v>
      </c>
      <c r="P146" s="140">
        <f ca="1">SUMIFS('F20-2024'!P:P,'F20-2024'!$D:$D,$D146,'F20-2024'!$E:$E,$E146,'F20-2024'!$F:$F,$F146)</f>
        <v>0</v>
      </c>
      <c r="Q146" s="140">
        <f ca="1">SUMIFS('F20-2024'!Q:Q,'F20-2024'!$D:$D,$D146,'F20-2024'!$E:$E,$E146,'F20-2024'!$F:$F,$F146)</f>
        <v>0</v>
      </c>
      <c r="R146" s="140">
        <f ca="1">SUMIFS('F20-2024'!R:R,'F20-2024'!$D:$D,$D146,'F20-2024'!$E:$E,$E146,'F20-2024'!$F:$F,$F146)</f>
        <v>0</v>
      </c>
      <c r="S146" s="140">
        <f ca="1">SUMIFS('F20-2024'!S:S,'F20-2024'!$D:$D,$D146,'F20-2024'!$E:$E,$E146,'F20-2024'!$F:$F,$F146)</f>
        <v>0</v>
      </c>
      <c r="T146" s="140">
        <f ca="1">SUMIFS('F20-2024'!T:T,'F20-2024'!$D:$D,$D146,'F20-2024'!$E:$E,$E146,'F20-2024'!$F:$F,$F146)</f>
        <v>0</v>
      </c>
      <c r="U146" s="140">
        <f ca="1">SUMIFS('F20-2024'!U:U,'F20-2024'!$D:$D,$D146,'F20-2024'!$E:$E,$E146,'F20-2024'!$F:$F,$F146)</f>
        <v>0</v>
      </c>
      <c r="V146" s="140"/>
      <c r="W146" s="141" t="e">
        <f t="shared" ref="W146:AA146" ca="1" si="289">J146/$I146</f>
        <v>#DIV/0!</v>
      </c>
      <c r="X146" s="141" t="e">
        <f t="shared" ca="1" si="289"/>
        <v>#DIV/0!</v>
      </c>
      <c r="Y146" s="141" t="e">
        <f t="shared" ca="1" si="289"/>
        <v>#DIV/0!</v>
      </c>
      <c r="Z146" s="141" t="e">
        <f t="shared" ca="1" si="289"/>
        <v>#DIV/0!</v>
      </c>
      <c r="AA146" s="141" t="e">
        <f t="shared" ca="1" si="289"/>
        <v>#DIV/0!</v>
      </c>
      <c r="AB146" s="141"/>
      <c r="AC146" s="141" t="e">
        <f t="shared" ca="1" si="1"/>
        <v>#DIV/0!</v>
      </c>
      <c r="AD146" s="141" t="e">
        <f t="shared" ref="AD146:AI146" ca="1" si="290">O146/$I146</f>
        <v>#DIV/0!</v>
      </c>
      <c r="AE146" s="141" t="e">
        <f t="shared" ca="1" si="290"/>
        <v>#DIV/0!</v>
      </c>
      <c r="AF146" s="141" t="e">
        <f t="shared" ca="1" si="290"/>
        <v>#DIV/0!</v>
      </c>
      <c r="AG146" s="141" t="e">
        <f t="shared" ca="1" si="290"/>
        <v>#DIV/0!</v>
      </c>
      <c r="AH146" s="141" t="e">
        <f t="shared" ca="1" si="290"/>
        <v>#DIV/0!</v>
      </c>
      <c r="AI146" s="141" t="e">
        <f t="shared" ca="1" si="290"/>
        <v>#DIV/0!</v>
      </c>
      <c r="AJ146" s="140"/>
    </row>
    <row r="147" spans="1:36">
      <c r="A147" s="140" t="e">
        <f ca="1"/>
        <v>#NAME?</v>
      </c>
      <c r="B147" s="140" t="e">
        <f ca="1"/>
        <v>#NAME?</v>
      </c>
      <c r="C147" s="140" t="e">
        <f ca="1"/>
        <v>#NAME?</v>
      </c>
      <c r="D147" s="140" t="e">
        <f ca="1"/>
        <v>#NAME?</v>
      </c>
      <c r="E147" s="140" t="e">
        <f ca="1"/>
        <v>#NAME?</v>
      </c>
      <c r="F147" s="140" t="e">
        <f ca="1"/>
        <v>#NAME?</v>
      </c>
      <c r="G147" s="140" t="e">
        <f ca="1"/>
        <v>#NAME?</v>
      </c>
      <c r="H147" s="140"/>
      <c r="I147" s="140">
        <f ca="1">SUMIFS('F20-2024'!I:I,'F20-2024'!$D:$D,$D147,'F20-2024'!$E:$E,$E147,'F20-2024'!$F:$F,$F147)</f>
        <v>0</v>
      </c>
      <c r="J147" s="140">
        <f ca="1">SUMIFS('F20-2024'!J:J,'F20-2024'!$D:$D,$D147,'F20-2024'!$E:$E,$E147,'F20-2024'!$F:$F,$F147)</f>
        <v>0</v>
      </c>
      <c r="K147" s="140">
        <f ca="1">SUMIFS('F20-2024'!K:K,'F20-2024'!$D:$D,$D147,'F20-2024'!$E:$E,$E147,'F20-2024'!$F:$F,$F147)</f>
        <v>0</v>
      </c>
      <c r="L147" s="140">
        <f ca="1">SUMIFS('F20-2024'!L:L,'F20-2024'!$D:$D,$D147,'F20-2024'!$E:$E,$E147,'F20-2024'!$F:$F,$F147)</f>
        <v>0</v>
      </c>
      <c r="M147" s="140">
        <f ca="1">SUMIFS('F20-2024'!M:M,'F20-2024'!$D:$D,$D147,'F20-2024'!$E:$E,$E147,'F20-2024'!$F:$F,$F147)</f>
        <v>0</v>
      </c>
      <c r="N147" s="140">
        <f ca="1">SUMIFS('F20-2024'!N:N,'F20-2024'!$D:$D,$D147,'F20-2024'!$E:$E,$E147,'F20-2024'!$F:$F,$F147)</f>
        <v>0</v>
      </c>
      <c r="O147" s="140">
        <f ca="1">SUMIFS('F20-2024'!O:O,'F20-2024'!$D:$D,$D147,'F20-2024'!$E:$E,$E147,'F20-2024'!$F:$F,$F147)</f>
        <v>0</v>
      </c>
      <c r="P147" s="140">
        <f ca="1">SUMIFS('F20-2024'!P:P,'F20-2024'!$D:$D,$D147,'F20-2024'!$E:$E,$E147,'F20-2024'!$F:$F,$F147)</f>
        <v>0</v>
      </c>
      <c r="Q147" s="140">
        <f ca="1">SUMIFS('F20-2024'!Q:Q,'F20-2024'!$D:$D,$D147,'F20-2024'!$E:$E,$E147,'F20-2024'!$F:$F,$F147)</f>
        <v>0</v>
      </c>
      <c r="R147" s="140">
        <f ca="1">SUMIFS('F20-2024'!R:R,'F20-2024'!$D:$D,$D147,'F20-2024'!$E:$E,$E147,'F20-2024'!$F:$F,$F147)</f>
        <v>0</v>
      </c>
      <c r="S147" s="140">
        <f ca="1">SUMIFS('F20-2024'!S:S,'F20-2024'!$D:$D,$D147,'F20-2024'!$E:$E,$E147,'F20-2024'!$F:$F,$F147)</f>
        <v>0</v>
      </c>
      <c r="T147" s="140">
        <f ca="1">SUMIFS('F20-2024'!T:T,'F20-2024'!$D:$D,$D147,'F20-2024'!$E:$E,$E147,'F20-2024'!$F:$F,$F147)</f>
        <v>0</v>
      </c>
      <c r="U147" s="140">
        <f ca="1">SUMIFS('F20-2024'!U:U,'F20-2024'!$D:$D,$D147,'F20-2024'!$E:$E,$E147,'F20-2024'!$F:$F,$F147)</f>
        <v>0</v>
      </c>
      <c r="V147" s="140"/>
      <c r="W147" s="141" t="e">
        <f t="shared" ref="W147:AA147" ca="1" si="291">J147/$I147</f>
        <v>#DIV/0!</v>
      </c>
      <c r="X147" s="141" t="e">
        <f t="shared" ca="1" si="291"/>
        <v>#DIV/0!</v>
      </c>
      <c r="Y147" s="141" t="e">
        <f t="shared" ca="1" si="291"/>
        <v>#DIV/0!</v>
      </c>
      <c r="Z147" s="141" t="e">
        <f t="shared" ca="1" si="291"/>
        <v>#DIV/0!</v>
      </c>
      <c r="AA147" s="141" t="e">
        <f t="shared" ca="1" si="291"/>
        <v>#DIV/0!</v>
      </c>
      <c r="AB147" s="141"/>
      <c r="AC147" s="141" t="e">
        <f t="shared" ca="1" si="1"/>
        <v>#DIV/0!</v>
      </c>
      <c r="AD147" s="141" t="e">
        <f t="shared" ref="AD147:AI147" ca="1" si="292">O147/$I147</f>
        <v>#DIV/0!</v>
      </c>
      <c r="AE147" s="141" t="e">
        <f t="shared" ca="1" si="292"/>
        <v>#DIV/0!</v>
      </c>
      <c r="AF147" s="141" t="e">
        <f t="shared" ca="1" si="292"/>
        <v>#DIV/0!</v>
      </c>
      <c r="AG147" s="141" t="e">
        <f t="shared" ca="1" si="292"/>
        <v>#DIV/0!</v>
      </c>
      <c r="AH147" s="141" t="e">
        <f t="shared" ca="1" si="292"/>
        <v>#DIV/0!</v>
      </c>
      <c r="AI147" s="141" t="e">
        <f t="shared" ca="1" si="292"/>
        <v>#DIV/0!</v>
      </c>
      <c r="AJ147" s="140"/>
    </row>
    <row r="148" spans="1:36">
      <c r="A148" s="140" t="e">
        <f ca="1"/>
        <v>#NAME?</v>
      </c>
      <c r="B148" s="140" t="e">
        <f ca="1"/>
        <v>#NAME?</v>
      </c>
      <c r="C148" s="140" t="e">
        <f ca="1"/>
        <v>#NAME?</v>
      </c>
      <c r="D148" s="140" t="e">
        <f ca="1"/>
        <v>#NAME?</v>
      </c>
      <c r="E148" s="140" t="e">
        <f ca="1"/>
        <v>#NAME?</v>
      </c>
      <c r="F148" s="140" t="e">
        <f ca="1"/>
        <v>#NAME?</v>
      </c>
      <c r="G148" s="140" t="e">
        <f ca="1"/>
        <v>#NAME?</v>
      </c>
      <c r="H148" s="140"/>
      <c r="I148" s="140">
        <f ca="1">SUMIFS('F20-2024'!I:I,'F20-2024'!$D:$D,$D148,'F20-2024'!$E:$E,$E148,'F20-2024'!$F:$F,$F148)</f>
        <v>0</v>
      </c>
      <c r="J148" s="140">
        <f ca="1">SUMIFS('F20-2024'!J:J,'F20-2024'!$D:$D,$D148,'F20-2024'!$E:$E,$E148,'F20-2024'!$F:$F,$F148)</f>
        <v>0</v>
      </c>
      <c r="K148" s="140">
        <f ca="1">SUMIFS('F20-2024'!K:K,'F20-2024'!$D:$D,$D148,'F20-2024'!$E:$E,$E148,'F20-2024'!$F:$F,$F148)</f>
        <v>0</v>
      </c>
      <c r="L148" s="140">
        <f ca="1">SUMIFS('F20-2024'!L:L,'F20-2024'!$D:$D,$D148,'F20-2024'!$E:$E,$E148,'F20-2024'!$F:$F,$F148)</f>
        <v>0</v>
      </c>
      <c r="M148" s="140">
        <f ca="1">SUMIFS('F20-2024'!M:M,'F20-2024'!$D:$D,$D148,'F20-2024'!$E:$E,$E148,'F20-2024'!$F:$F,$F148)</f>
        <v>0</v>
      </c>
      <c r="N148" s="140">
        <f ca="1">SUMIFS('F20-2024'!N:N,'F20-2024'!$D:$D,$D148,'F20-2024'!$E:$E,$E148,'F20-2024'!$F:$F,$F148)</f>
        <v>0</v>
      </c>
      <c r="O148" s="140">
        <f ca="1">SUMIFS('F20-2024'!O:O,'F20-2024'!$D:$D,$D148,'F20-2024'!$E:$E,$E148,'F20-2024'!$F:$F,$F148)</f>
        <v>0</v>
      </c>
      <c r="P148" s="140">
        <f ca="1">SUMIFS('F20-2024'!P:P,'F20-2024'!$D:$D,$D148,'F20-2024'!$E:$E,$E148,'F20-2024'!$F:$F,$F148)</f>
        <v>0</v>
      </c>
      <c r="Q148" s="140">
        <f ca="1">SUMIFS('F20-2024'!Q:Q,'F20-2024'!$D:$D,$D148,'F20-2024'!$E:$E,$E148,'F20-2024'!$F:$F,$F148)</f>
        <v>0</v>
      </c>
      <c r="R148" s="140">
        <f ca="1">SUMIFS('F20-2024'!R:R,'F20-2024'!$D:$D,$D148,'F20-2024'!$E:$E,$E148,'F20-2024'!$F:$F,$F148)</f>
        <v>0</v>
      </c>
      <c r="S148" s="140">
        <f ca="1">SUMIFS('F20-2024'!S:S,'F20-2024'!$D:$D,$D148,'F20-2024'!$E:$E,$E148,'F20-2024'!$F:$F,$F148)</f>
        <v>0</v>
      </c>
      <c r="T148" s="140">
        <f ca="1">SUMIFS('F20-2024'!T:T,'F20-2024'!$D:$D,$D148,'F20-2024'!$E:$E,$E148,'F20-2024'!$F:$F,$F148)</f>
        <v>0</v>
      </c>
      <c r="U148" s="140">
        <f ca="1">SUMIFS('F20-2024'!U:U,'F20-2024'!$D:$D,$D148,'F20-2024'!$E:$E,$E148,'F20-2024'!$F:$F,$F148)</f>
        <v>0</v>
      </c>
      <c r="V148" s="140"/>
      <c r="W148" s="141" t="e">
        <f t="shared" ref="W148:AA148" ca="1" si="293">J148/$I148</f>
        <v>#DIV/0!</v>
      </c>
      <c r="X148" s="141" t="e">
        <f t="shared" ca="1" si="293"/>
        <v>#DIV/0!</v>
      </c>
      <c r="Y148" s="141" t="e">
        <f t="shared" ca="1" si="293"/>
        <v>#DIV/0!</v>
      </c>
      <c r="Z148" s="141" t="e">
        <f t="shared" ca="1" si="293"/>
        <v>#DIV/0!</v>
      </c>
      <c r="AA148" s="141" t="e">
        <f t="shared" ca="1" si="293"/>
        <v>#DIV/0!</v>
      </c>
      <c r="AB148" s="141"/>
      <c r="AC148" s="141" t="e">
        <f t="shared" ca="1" si="1"/>
        <v>#DIV/0!</v>
      </c>
      <c r="AD148" s="141" t="e">
        <f t="shared" ref="AD148:AI148" ca="1" si="294">O148/$I148</f>
        <v>#DIV/0!</v>
      </c>
      <c r="AE148" s="141" t="e">
        <f t="shared" ca="1" si="294"/>
        <v>#DIV/0!</v>
      </c>
      <c r="AF148" s="141" t="e">
        <f t="shared" ca="1" si="294"/>
        <v>#DIV/0!</v>
      </c>
      <c r="AG148" s="141" t="e">
        <f t="shared" ca="1" si="294"/>
        <v>#DIV/0!</v>
      </c>
      <c r="AH148" s="141" t="e">
        <f t="shared" ca="1" si="294"/>
        <v>#DIV/0!</v>
      </c>
      <c r="AI148" s="141" t="e">
        <f t="shared" ca="1" si="294"/>
        <v>#DIV/0!</v>
      </c>
      <c r="AJ148" s="140"/>
    </row>
    <row r="149" spans="1:36">
      <c r="A149" s="140" t="e">
        <f ca="1"/>
        <v>#NAME?</v>
      </c>
      <c r="B149" s="140" t="e">
        <f ca="1"/>
        <v>#NAME?</v>
      </c>
      <c r="C149" s="140" t="e">
        <f ca="1"/>
        <v>#NAME?</v>
      </c>
      <c r="D149" s="140" t="e">
        <f ca="1"/>
        <v>#NAME?</v>
      </c>
      <c r="E149" s="140" t="e">
        <f ca="1"/>
        <v>#NAME?</v>
      </c>
      <c r="F149" s="140" t="e">
        <f ca="1"/>
        <v>#NAME?</v>
      </c>
      <c r="G149" s="140" t="e">
        <f ca="1"/>
        <v>#NAME?</v>
      </c>
      <c r="H149" s="140"/>
      <c r="I149" s="140">
        <f ca="1">SUMIFS('F20-2024'!I:I,'F20-2024'!$D:$D,$D149,'F20-2024'!$E:$E,$E149,'F20-2024'!$F:$F,$F149)</f>
        <v>0</v>
      </c>
      <c r="J149" s="140">
        <f ca="1">SUMIFS('F20-2024'!J:J,'F20-2024'!$D:$D,$D149,'F20-2024'!$E:$E,$E149,'F20-2024'!$F:$F,$F149)</f>
        <v>0</v>
      </c>
      <c r="K149" s="140">
        <f ca="1">SUMIFS('F20-2024'!K:K,'F20-2024'!$D:$D,$D149,'F20-2024'!$E:$E,$E149,'F20-2024'!$F:$F,$F149)</f>
        <v>0</v>
      </c>
      <c r="L149" s="140">
        <f ca="1">SUMIFS('F20-2024'!L:L,'F20-2024'!$D:$D,$D149,'F20-2024'!$E:$E,$E149,'F20-2024'!$F:$F,$F149)</f>
        <v>0</v>
      </c>
      <c r="M149" s="140">
        <f ca="1">SUMIFS('F20-2024'!M:M,'F20-2024'!$D:$D,$D149,'F20-2024'!$E:$E,$E149,'F20-2024'!$F:$F,$F149)</f>
        <v>0</v>
      </c>
      <c r="N149" s="140">
        <f ca="1">SUMIFS('F20-2024'!N:N,'F20-2024'!$D:$D,$D149,'F20-2024'!$E:$E,$E149,'F20-2024'!$F:$F,$F149)</f>
        <v>0</v>
      </c>
      <c r="O149" s="140">
        <f ca="1">SUMIFS('F20-2024'!O:O,'F20-2024'!$D:$D,$D149,'F20-2024'!$E:$E,$E149,'F20-2024'!$F:$F,$F149)</f>
        <v>0</v>
      </c>
      <c r="P149" s="140">
        <f ca="1">SUMIFS('F20-2024'!P:P,'F20-2024'!$D:$D,$D149,'F20-2024'!$E:$E,$E149,'F20-2024'!$F:$F,$F149)</f>
        <v>0</v>
      </c>
      <c r="Q149" s="140">
        <f ca="1">SUMIFS('F20-2024'!Q:Q,'F20-2024'!$D:$D,$D149,'F20-2024'!$E:$E,$E149,'F20-2024'!$F:$F,$F149)</f>
        <v>0</v>
      </c>
      <c r="R149" s="140">
        <f ca="1">SUMIFS('F20-2024'!R:R,'F20-2024'!$D:$D,$D149,'F20-2024'!$E:$E,$E149,'F20-2024'!$F:$F,$F149)</f>
        <v>0</v>
      </c>
      <c r="S149" s="140">
        <f ca="1">SUMIFS('F20-2024'!S:S,'F20-2024'!$D:$D,$D149,'F20-2024'!$E:$E,$E149,'F20-2024'!$F:$F,$F149)</f>
        <v>0</v>
      </c>
      <c r="T149" s="140">
        <f ca="1">SUMIFS('F20-2024'!T:T,'F20-2024'!$D:$D,$D149,'F20-2024'!$E:$E,$E149,'F20-2024'!$F:$F,$F149)</f>
        <v>0</v>
      </c>
      <c r="U149" s="140">
        <f ca="1">SUMIFS('F20-2024'!U:U,'F20-2024'!$D:$D,$D149,'F20-2024'!$E:$E,$E149,'F20-2024'!$F:$F,$F149)</f>
        <v>0</v>
      </c>
      <c r="V149" s="140"/>
      <c r="W149" s="141" t="e">
        <f t="shared" ref="W149:AA149" ca="1" si="295">J149/$I149</f>
        <v>#DIV/0!</v>
      </c>
      <c r="X149" s="141" t="e">
        <f t="shared" ca="1" si="295"/>
        <v>#DIV/0!</v>
      </c>
      <c r="Y149" s="141" t="e">
        <f t="shared" ca="1" si="295"/>
        <v>#DIV/0!</v>
      </c>
      <c r="Z149" s="141" t="e">
        <f t="shared" ca="1" si="295"/>
        <v>#DIV/0!</v>
      </c>
      <c r="AA149" s="141" t="e">
        <f t="shared" ca="1" si="295"/>
        <v>#DIV/0!</v>
      </c>
      <c r="AB149" s="141"/>
      <c r="AC149" s="141" t="e">
        <f t="shared" ca="1" si="1"/>
        <v>#DIV/0!</v>
      </c>
      <c r="AD149" s="141" t="e">
        <f t="shared" ref="AD149:AI149" ca="1" si="296">O149/$I149</f>
        <v>#DIV/0!</v>
      </c>
      <c r="AE149" s="141" t="e">
        <f t="shared" ca="1" si="296"/>
        <v>#DIV/0!</v>
      </c>
      <c r="AF149" s="141" t="e">
        <f t="shared" ca="1" si="296"/>
        <v>#DIV/0!</v>
      </c>
      <c r="AG149" s="141" t="e">
        <f t="shared" ca="1" si="296"/>
        <v>#DIV/0!</v>
      </c>
      <c r="AH149" s="141" t="e">
        <f t="shared" ca="1" si="296"/>
        <v>#DIV/0!</v>
      </c>
      <c r="AI149" s="141" t="e">
        <f t="shared" ca="1" si="296"/>
        <v>#DIV/0!</v>
      </c>
      <c r="AJ149" s="140"/>
    </row>
    <row r="150" spans="1:36">
      <c r="A150" s="140" t="e">
        <f ca="1"/>
        <v>#NAME?</v>
      </c>
      <c r="B150" s="140" t="e">
        <f ca="1"/>
        <v>#NAME?</v>
      </c>
      <c r="C150" s="140" t="e">
        <f ca="1"/>
        <v>#NAME?</v>
      </c>
      <c r="D150" s="140" t="e">
        <f ca="1"/>
        <v>#NAME?</v>
      </c>
      <c r="E150" s="140" t="e">
        <f ca="1"/>
        <v>#NAME?</v>
      </c>
      <c r="F150" s="140" t="e">
        <f ca="1"/>
        <v>#NAME?</v>
      </c>
      <c r="G150" s="140" t="e">
        <f ca="1"/>
        <v>#NAME?</v>
      </c>
      <c r="H150" s="140"/>
      <c r="I150" s="140">
        <f ca="1">SUMIFS('F20-2024'!I:I,'F20-2024'!$D:$D,$D150,'F20-2024'!$E:$E,$E150,'F20-2024'!$F:$F,$F150)</f>
        <v>0</v>
      </c>
      <c r="J150" s="140">
        <f ca="1">SUMIFS('F20-2024'!J:J,'F20-2024'!$D:$D,$D150,'F20-2024'!$E:$E,$E150,'F20-2024'!$F:$F,$F150)</f>
        <v>0</v>
      </c>
      <c r="K150" s="140">
        <f ca="1">SUMIFS('F20-2024'!K:K,'F20-2024'!$D:$D,$D150,'F20-2024'!$E:$E,$E150,'F20-2024'!$F:$F,$F150)</f>
        <v>0</v>
      </c>
      <c r="L150" s="140">
        <f ca="1">SUMIFS('F20-2024'!L:L,'F20-2024'!$D:$D,$D150,'F20-2024'!$E:$E,$E150,'F20-2024'!$F:$F,$F150)</f>
        <v>0</v>
      </c>
      <c r="M150" s="140">
        <f ca="1">SUMIFS('F20-2024'!M:M,'F20-2024'!$D:$D,$D150,'F20-2024'!$E:$E,$E150,'F20-2024'!$F:$F,$F150)</f>
        <v>0</v>
      </c>
      <c r="N150" s="140">
        <f ca="1">SUMIFS('F20-2024'!N:N,'F20-2024'!$D:$D,$D150,'F20-2024'!$E:$E,$E150,'F20-2024'!$F:$F,$F150)</f>
        <v>0</v>
      </c>
      <c r="O150" s="140">
        <f ca="1">SUMIFS('F20-2024'!O:O,'F20-2024'!$D:$D,$D150,'F20-2024'!$E:$E,$E150,'F20-2024'!$F:$F,$F150)</f>
        <v>0</v>
      </c>
      <c r="P150" s="140">
        <f ca="1">SUMIFS('F20-2024'!P:P,'F20-2024'!$D:$D,$D150,'F20-2024'!$E:$E,$E150,'F20-2024'!$F:$F,$F150)</f>
        <v>0</v>
      </c>
      <c r="Q150" s="140">
        <f ca="1">SUMIFS('F20-2024'!Q:Q,'F20-2024'!$D:$D,$D150,'F20-2024'!$E:$E,$E150,'F20-2024'!$F:$F,$F150)</f>
        <v>0</v>
      </c>
      <c r="R150" s="140">
        <f ca="1">SUMIFS('F20-2024'!R:R,'F20-2024'!$D:$D,$D150,'F20-2024'!$E:$E,$E150,'F20-2024'!$F:$F,$F150)</f>
        <v>0</v>
      </c>
      <c r="S150" s="140">
        <f ca="1">SUMIFS('F20-2024'!S:S,'F20-2024'!$D:$D,$D150,'F20-2024'!$E:$E,$E150,'F20-2024'!$F:$F,$F150)</f>
        <v>0</v>
      </c>
      <c r="T150" s="140">
        <f ca="1">SUMIFS('F20-2024'!T:T,'F20-2024'!$D:$D,$D150,'F20-2024'!$E:$E,$E150,'F20-2024'!$F:$F,$F150)</f>
        <v>0</v>
      </c>
      <c r="U150" s="140">
        <f ca="1">SUMIFS('F20-2024'!U:U,'F20-2024'!$D:$D,$D150,'F20-2024'!$E:$E,$E150,'F20-2024'!$F:$F,$F150)</f>
        <v>0</v>
      </c>
      <c r="V150" s="140"/>
      <c r="W150" s="141" t="e">
        <f t="shared" ref="W150:AA150" ca="1" si="297">J150/$I150</f>
        <v>#DIV/0!</v>
      </c>
      <c r="X150" s="141" t="e">
        <f t="shared" ca="1" si="297"/>
        <v>#DIV/0!</v>
      </c>
      <c r="Y150" s="141" t="e">
        <f t="shared" ca="1" si="297"/>
        <v>#DIV/0!</v>
      </c>
      <c r="Z150" s="141" t="e">
        <f t="shared" ca="1" si="297"/>
        <v>#DIV/0!</v>
      </c>
      <c r="AA150" s="141" t="e">
        <f t="shared" ca="1" si="297"/>
        <v>#DIV/0!</v>
      </c>
      <c r="AB150" s="141"/>
      <c r="AC150" s="141" t="e">
        <f t="shared" ca="1" si="1"/>
        <v>#DIV/0!</v>
      </c>
      <c r="AD150" s="141" t="e">
        <f t="shared" ref="AD150:AI150" ca="1" si="298">O150/$I150</f>
        <v>#DIV/0!</v>
      </c>
      <c r="AE150" s="141" t="e">
        <f t="shared" ca="1" si="298"/>
        <v>#DIV/0!</v>
      </c>
      <c r="AF150" s="141" t="e">
        <f t="shared" ca="1" si="298"/>
        <v>#DIV/0!</v>
      </c>
      <c r="AG150" s="141" t="e">
        <f t="shared" ca="1" si="298"/>
        <v>#DIV/0!</v>
      </c>
      <c r="AH150" s="141" t="e">
        <f t="shared" ca="1" si="298"/>
        <v>#DIV/0!</v>
      </c>
      <c r="AI150" s="141" t="e">
        <f t="shared" ca="1" si="298"/>
        <v>#DIV/0!</v>
      </c>
      <c r="AJ150" s="140"/>
    </row>
    <row r="151" spans="1:36">
      <c r="A151" s="140" t="e">
        <f ca="1"/>
        <v>#NAME?</v>
      </c>
      <c r="B151" s="140" t="e">
        <f ca="1"/>
        <v>#NAME?</v>
      </c>
      <c r="C151" s="140" t="e">
        <f ca="1"/>
        <v>#NAME?</v>
      </c>
      <c r="D151" s="140" t="e">
        <f ca="1"/>
        <v>#NAME?</v>
      </c>
      <c r="E151" s="140" t="e">
        <f ca="1"/>
        <v>#NAME?</v>
      </c>
      <c r="F151" s="140" t="e">
        <f ca="1"/>
        <v>#NAME?</v>
      </c>
      <c r="G151" s="140" t="e">
        <f ca="1"/>
        <v>#NAME?</v>
      </c>
      <c r="H151" s="140"/>
      <c r="I151" s="140">
        <f ca="1">SUMIFS('F20-2024'!I:I,'F20-2024'!$D:$D,$D151,'F20-2024'!$E:$E,$E151,'F20-2024'!$F:$F,$F151)</f>
        <v>0</v>
      </c>
      <c r="J151" s="140">
        <f ca="1">SUMIFS('F20-2024'!J:J,'F20-2024'!$D:$D,$D151,'F20-2024'!$E:$E,$E151,'F20-2024'!$F:$F,$F151)</f>
        <v>0</v>
      </c>
      <c r="K151" s="140">
        <f ca="1">SUMIFS('F20-2024'!K:K,'F20-2024'!$D:$D,$D151,'F20-2024'!$E:$E,$E151,'F20-2024'!$F:$F,$F151)</f>
        <v>0</v>
      </c>
      <c r="L151" s="140">
        <f ca="1">SUMIFS('F20-2024'!L:L,'F20-2024'!$D:$D,$D151,'F20-2024'!$E:$E,$E151,'F20-2024'!$F:$F,$F151)</f>
        <v>0</v>
      </c>
      <c r="M151" s="140">
        <f ca="1">SUMIFS('F20-2024'!M:M,'F20-2024'!$D:$D,$D151,'F20-2024'!$E:$E,$E151,'F20-2024'!$F:$F,$F151)</f>
        <v>0</v>
      </c>
      <c r="N151" s="140">
        <f ca="1">SUMIFS('F20-2024'!N:N,'F20-2024'!$D:$D,$D151,'F20-2024'!$E:$E,$E151,'F20-2024'!$F:$F,$F151)</f>
        <v>0</v>
      </c>
      <c r="O151" s="140">
        <f ca="1">SUMIFS('F20-2024'!O:O,'F20-2024'!$D:$D,$D151,'F20-2024'!$E:$E,$E151,'F20-2024'!$F:$F,$F151)</f>
        <v>0</v>
      </c>
      <c r="P151" s="140">
        <f ca="1">SUMIFS('F20-2024'!P:P,'F20-2024'!$D:$D,$D151,'F20-2024'!$E:$E,$E151,'F20-2024'!$F:$F,$F151)</f>
        <v>0</v>
      </c>
      <c r="Q151" s="140">
        <f ca="1">SUMIFS('F20-2024'!Q:Q,'F20-2024'!$D:$D,$D151,'F20-2024'!$E:$E,$E151,'F20-2024'!$F:$F,$F151)</f>
        <v>0</v>
      </c>
      <c r="R151" s="140">
        <f ca="1">SUMIFS('F20-2024'!R:R,'F20-2024'!$D:$D,$D151,'F20-2024'!$E:$E,$E151,'F20-2024'!$F:$F,$F151)</f>
        <v>0</v>
      </c>
      <c r="S151" s="140">
        <f ca="1">SUMIFS('F20-2024'!S:S,'F20-2024'!$D:$D,$D151,'F20-2024'!$E:$E,$E151,'F20-2024'!$F:$F,$F151)</f>
        <v>0</v>
      </c>
      <c r="T151" s="140">
        <f ca="1">SUMIFS('F20-2024'!T:T,'F20-2024'!$D:$D,$D151,'F20-2024'!$E:$E,$E151,'F20-2024'!$F:$F,$F151)</f>
        <v>0</v>
      </c>
      <c r="U151" s="140">
        <f ca="1">SUMIFS('F20-2024'!U:U,'F20-2024'!$D:$D,$D151,'F20-2024'!$E:$E,$E151,'F20-2024'!$F:$F,$F151)</f>
        <v>0</v>
      </c>
      <c r="V151" s="140"/>
      <c r="W151" s="141" t="e">
        <f t="shared" ref="W151:AA151" ca="1" si="299">J151/$I151</f>
        <v>#DIV/0!</v>
      </c>
      <c r="X151" s="141" t="e">
        <f t="shared" ca="1" si="299"/>
        <v>#DIV/0!</v>
      </c>
      <c r="Y151" s="141" t="e">
        <f t="shared" ca="1" si="299"/>
        <v>#DIV/0!</v>
      </c>
      <c r="Z151" s="141" t="e">
        <f t="shared" ca="1" si="299"/>
        <v>#DIV/0!</v>
      </c>
      <c r="AA151" s="141" t="e">
        <f t="shared" ca="1" si="299"/>
        <v>#DIV/0!</v>
      </c>
      <c r="AB151" s="141"/>
      <c r="AC151" s="141" t="e">
        <f t="shared" ca="1" si="1"/>
        <v>#DIV/0!</v>
      </c>
      <c r="AD151" s="141" t="e">
        <f t="shared" ref="AD151:AI151" ca="1" si="300">O151/$I151</f>
        <v>#DIV/0!</v>
      </c>
      <c r="AE151" s="141" t="e">
        <f t="shared" ca="1" si="300"/>
        <v>#DIV/0!</v>
      </c>
      <c r="AF151" s="141" t="e">
        <f t="shared" ca="1" si="300"/>
        <v>#DIV/0!</v>
      </c>
      <c r="AG151" s="141" t="e">
        <f t="shared" ca="1" si="300"/>
        <v>#DIV/0!</v>
      </c>
      <c r="AH151" s="141" t="e">
        <f t="shared" ca="1" si="300"/>
        <v>#DIV/0!</v>
      </c>
      <c r="AI151" s="141" t="e">
        <f t="shared" ca="1" si="300"/>
        <v>#DIV/0!</v>
      </c>
      <c r="AJ151" s="140"/>
    </row>
    <row r="152" spans="1:36">
      <c r="A152" s="140" t="e">
        <f ca="1"/>
        <v>#NAME?</v>
      </c>
      <c r="B152" s="140" t="e">
        <f ca="1"/>
        <v>#NAME?</v>
      </c>
      <c r="C152" s="140" t="e">
        <f ca="1"/>
        <v>#NAME?</v>
      </c>
      <c r="D152" s="140" t="e">
        <f ca="1"/>
        <v>#NAME?</v>
      </c>
      <c r="E152" s="140" t="e">
        <f ca="1"/>
        <v>#NAME?</v>
      </c>
      <c r="F152" s="140" t="e">
        <f ca="1"/>
        <v>#NAME?</v>
      </c>
      <c r="G152" s="140" t="e">
        <f ca="1"/>
        <v>#NAME?</v>
      </c>
      <c r="H152" s="140"/>
      <c r="I152" s="140">
        <f ca="1">SUMIFS('F20-2024'!I:I,'F20-2024'!$D:$D,$D152,'F20-2024'!$E:$E,$E152,'F20-2024'!$F:$F,$F152)</f>
        <v>0</v>
      </c>
      <c r="J152" s="140">
        <f ca="1">SUMIFS('F20-2024'!J:J,'F20-2024'!$D:$D,$D152,'F20-2024'!$E:$E,$E152,'F20-2024'!$F:$F,$F152)</f>
        <v>0</v>
      </c>
      <c r="K152" s="140">
        <f ca="1">SUMIFS('F20-2024'!K:K,'F20-2024'!$D:$D,$D152,'F20-2024'!$E:$E,$E152,'F20-2024'!$F:$F,$F152)</f>
        <v>0</v>
      </c>
      <c r="L152" s="140">
        <f ca="1">SUMIFS('F20-2024'!L:L,'F20-2024'!$D:$D,$D152,'F20-2024'!$E:$E,$E152,'F20-2024'!$F:$F,$F152)</f>
        <v>0</v>
      </c>
      <c r="M152" s="140">
        <f ca="1">SUMIFS('F20-2024'!M:M,'F20-2024'!$D:$D,$D152,'F20-2024'!$E:$E,$E152,'F20-2024'!$F:$F,$F152)</f>
        <v>0</v>
      </c>
      <c r="N152" s="140">
        <f ca="1">SUMIFS('F20-2024'!N:N,'F20-2024'!$D:$D,$D152,'F20-2024'!$E:$E,$E152,'F20-2024'!$F:$F,$F152)</f>
        <v>0</v>
      </c>
      <c r="O152" s="140">
        <f ca="1">SUMIFS('F20-2024'!O:O,'F20-2024'!$D:$D,$D152,'F20-2024'!$E:$E,$E152,'F20-2024'!$F:$F,$F152)</f>
        <v>0</v>
      </c>
      <c r="P152" s="140">
        <f ca="1">SUMIFS('F20-2024'!P:P,'F20-2024'!$D:$D,$D152,'F20-2024'!$E:$E,$E152,'F20-2024'!$F:$F,$F152)</f>
        <v>0</v>
      </c>
      <c r="Q152" s="140">
        <f ca="1">SUMIFS('F20-2024'!Q:Q,'F20-2024'!$D:$D,$D152,'F20-2024'!$E:$E,$E152,'F20-2024'!$F:$F,$F152)</f>
        <v>0</v>
      </c>
      <c r="R152" s="140">
        <f ca="1">SUMIFS('F20-2024'!R:R,'F20-2024'!$D:$D,$D152,'F20-2024'!$E:$E,$E152,'F20-2024'!$F:$F,$F152)</f>
        <v>0</v>
      </c>
      <c r="S152" s="140">
        <f ca="1">SUMIFS('F20-2024'!S:S,'F20-2024'!$D:$D,$D152,'F20-2024'!$E:$E,$E152,'F20-2024'!$F:$F,$F152)</f>
        <v>0</v>
      </c>
      <c r="T152" s="140">
        <f ca="1">SUMIFS('F20-2024'!T:T,'F20-2024'!$D:$D,$D152,'F20-2024'!$E:$E,$E152,'F20-2024'!$F:$F,$F152)</f>
        <v>0</v>
      </c>
      <c r="U152" s="140">
        <f ca="1">SUMIFS('F20-2024'!U:U,'F20-2024'!$D:$D,$D152,'F20-2024'!$E:$E,$E152,'F20-2024'!$F:$F,$F152)</f>
        <v>0</v>
      </c>
      <c r="V152" s="140"/>
      <c r="W152" s="141" t="e">
        <f t="shared" ref="W152:AA152" ca="1" si="301">J152/$I152</f>
        <v>#DIV/0!</v>
      </c>
      <c r="X152" s="141" t="e">
        <f t="shared" ca="1" si="301"/>
        <v>#DIV/0!</v>
      </c>
      <c r="Y152" s="141" t="e">
        <f t="shared" ca="1" si="301"/>
        <v>#DIV/0!</v>
      </c>
      <c r="Z152" s="141" t="e">
        <f t="shared" ca="1" si="301"/>
        <v>#DIV/0!</v>
      </c>
      <c r="AA152" s="141" t="e">
        <f t="shared" ca="1" si="301"/>
        <v>#DIV/0!</v>
      </c>
      <c r="AB152" s="141"/>
      <c r="AC152" s="141" t="e">
        <f t="shared" ca="1" si="1"/>
        <v>#DIV/0!</v>
      </c>
      <c r="AD152" s="141" t="e">
        <f t="shared" ref="AD152:AI152" ca="1" si="302">O152/$I152</f>
        <v>#DIV/0!</v>
      </c>
      <c r="AE152" s="141" t="e">
        <f t="shared" ca="1" si="302"/>
        <v>#DIV/0!</v>
      </c>
      <c r="AF152" s="141" t="e">
        <f t="shared" ca="1" si="302"/>
        <v>#DIV/0!</v>
      </c>
      <c r="AG152" s="141" t="e">
        <f t="shared" ca="1" si="302"/>
        <v>#DIV/0!</v>
      </c>
      <c r="AH152" s="141" t="e">
        <f t="shared" ca="1" si="302"/>
        <v>#DIV/0!</v>
      </c>
      <c r="AI152" s="141" t="e">
        <f t="shared" ca="1" si="302"/>
        <v>#DIV/0!</v>
      </c>
      <c r="AJ152" s="140"/>
    </row>
    <row r="153" spans="1:36">
      <c r="A153" s="140" t="e">
        <f ca="1"/>
        <v>#NAME?</v>
      </c>
      <c r="B153" s="140" t="e">
        <f ca="1"/>
        <v>#NAME?</v>
      </c>
      <c r="C153" s="140" t="e">
        <f ca="1"/>
        <v>#NAME?</v>
      </c>
      <c r="D153" s="140" t="e">
        <f ca="1"/>
        <v>#NAME?</v>
      </c>
      <c r="E153" s="140" t="e">
        <f ca="1"/>
        <v>#NAME?</v>
      </c>
      <c r="F153" s="140" t="e">
        <f ca="1"/>
        <v>#NAME?</v>
      </c>
      <c r="G153" s="140" t="e">
        <f ca="1"/>
        <v>#NAME?</v>
      </c>
      <c r="H153" s="140"/>
      <c r="I153" s="140">
        <f ca="1">SUMIFS('F20-2024'!I:I,'F20-2024'!$D:$D,$D153,'F20-2024'!$E:$E,$E153,'F20-2024'!$F:$F,$F153)</f>
        <v>0</v>
      </c>
      <c r="J153" s="140">
        <f ca="1">SUMIFS('F20-2024'!J:J,'F20-2024'!$D:$D,$D153,'F20-2024'!$E:$E,$E153,'F20-2024'!$F:$F,$F153)</f>
        <v>0</v>
      </c>
      <c r="K153" s="140">
        <f ca="1">SUMIFS('F20-2024'!K:K,'F20-2024'!$D:$D,$D153,'F20-2024'!$E:$E,$E153,'F20-2024'!$F:$F,$F153)</f>
        <v>0</v>
      </c>
      <c r="L153" s="140">
        <f ca="1">SUMIFS('F20-2024'!L:L,'F20-2024'!$D:$D,$D153,'F20-2024'!$E:$E,$E153,'F20-2024'!$F:$F,$F153)</f>
        <v>0</v>
      </c>
      <c r="M153" s="140">
        <f ca="1">SUMIFS('F20-2024'!M:M,'F20-2024'!$D:$D,$D153,'F20-2024'!$E:$E,$E153,'F20-2024'!$F:$F,$F153)</f>
        <v>0</v>
      </c>
      <c r="N153" s="140">
        <f ca="1">SUMIFS('F20-2024'!N:N,'F20-2024'!$D:$D,$D153,'F20-2024'!$E:$E,$E153,'F20-2024'!$F:$F,$F153)</f>
        <v>0</v>
      </c>
      <c r="O153" s="140">
        <f ca="1">SUMIFS('F20-2024'!O:O,'F20-2024'!$D:$D,$D153,'F20-2024'!$E:$E,$E153,'F20-2024'!$F:$F,$F153)</f>
        <v>0</v>
      </c>
      <c r="P153" s="140">
        <f ca="1">SUMIFS('F20-2024'!P:P,'F20-2024'!$D:$D,$D153,'F20-2024'!$E:$E,$E153,'F20-2024'!$F:$F,$F153)</f>
        <v>0</v>
      </c>
      <c r="Q153" s="140">
        <f ca="1">SUMIFS('F20-2024'!Q:Q,'F20-2024'!$D:$D,$D153,'F20-2024'!$E:$E,$E153,'F20-2024'!$F:$F,$F153)</f>
        <v>0</v>
      </c>
      <c r="R153" s="140">
        <f ca="1">SUMIFS('F20-2024'!R:R,'F20-2024'!$D:$D,$D153,'F20-2024'!$E:$E,$E153,'F20-2024'!$F:$F,$F153)</f>
        <v>0</v>
      </c>
      <c r="S153" s="140">
        <f ca="1">SUMIFS('F20-2024'!S:S,'F20-2024'!$D:$D,$D153,'F20-2024'!$E:$E,$E153,'F20-2024'!$F:$F,$F153)</f>
        <v>0</v>
      </c>
      <c r="T153" s="140">
        <f ca="1">SUMIFS('F20-2024'!T:T,'F20-2024'!$D:$D,$D153,'F20-2024'!$E:$E,$E153,'F20-2024'!$F:$F,$F153)</f>
        <v>0</v>
      </c>
      <c r="U153" s="140">
        <f ca="1">SUMIFS('F20-2024'!U:U,'F20-2024'!$D:$D,$D153,'F20-2024'!$E:$E,$E153,'F20-2024'!$F:$F,$F153)</f>
        <v>0</v>
      </c>
      <c r="V153" s="140"/>
      <c r="W153" s="141" t="e">
        <f t="shared" ref="W153:AA153" ca="1" si="303">J153/$I153</f>
        <v>#DIV/0!</v>
      </c>
      <c r="X153" s="141" t="e">
        <f t="shared" ca="1" si="303"/>
        <v>#DIV/0!</v>
      </c>
      <c r="Y153" s="141" t="e">
        <f t="shared" ca="1" si="303"/>
        <v>#DIV/0!</v>
      </c>
      <c r="Z153" s="141" t="e">
        <f t="shared" ca="1" si="303"/>
        <v>#DIV/0!</v>
      </c>
      <c r="AA153" s="141" t="e">
        <f t="shared" ca="1" si="303"/>
        <v>#DIV/0!</v>
      </c>
      <c r="AB153" s="141"/>
      <c r="AC153" s="141" t="e">
        <f t="shared" ca="1" si="1"/>
        <v>#DIV/0!</v>
      </c>
      <c r="AD153" s="141" t="e">
        <f t="shared" ref="AD153:AI153" ca="1" si="304">O153/$I153</f>
        <v>#DIV/0!</v>
      </c>
      <c r="AE153" s="141" t="e">
        <f t="shared" ca="1" si="304"/>
        <v>#DIV/0!</v>
      </c>
      <c r="AF153" s="141" t="e">
        <f t="shared" ca="1" si="304"/>
        <v>#DIV/0!</v>
      </c>
      <c r="AG153" s="141" t="e">
        <f t="shared" ca="1" si="304"/>
        <v>#DIV/0!</v>
      </c>
      <c r="AH153" s="141" t="e">
        <f t="shared" ca="1" si="304"/>
        <v>#DIV/0!</v>
      </c>
      <c r="AI153" s="141" t="e">
        <f t="shared" ca="1" si="304"/>
        <v>#DIV/0!</v>
      </c>
      <c r="AJ153" s="140"/>
    </row>
    <row r="154" spans="1:36">
      <c r="A154" s="140" t="e">
        <f ca="1"/>
        <v>#NAME?</v>
      </c>
      <c r="B154" s="140" t="e">
        <f ca="1"/>
        <v>#NAME?</v>
      </c>
      <c r="C154" s="140" t="e">
        <f ca="1"/>
        <v>#NAME?</v>
      </c>
      <c r="D154" s="140" t="e">
        <f ca="1"/>
        <v>#NAME?</v>
      </c>
      <c r="E154" s="140" t="e">
        <f ca="1"/>
        <v>#NAME?</v>
      </c>
      <c r="F154" s="140" t="e">
        <f ca="1"/>
        <v>#NAME?</v>
      </c>
      <c r="G154" s="140" t="e">
        <f ca="1"/>
        <v>#NAME?</v>
      </c>
      <c r="H154" s="140"/>
      <c r="I154" s="140">
        <f ca="1">SUMIFS('F20-2024'!I:I,'F20-2024'!$D:$D,$D154,'F20-2024'!$E:$E,$E154,'F20-2024'!$F:$F,$F154)</f>
        <v>0</v>
      </c>
      <c r="J154" s="140">
        <f ca="1">SUMIFS('F20-2024'!J:J,'F20-2024'!$D:$D,$D154,'F20-2024'!$E:$E,$E154,'F20-2024'!$F:$F,$F154)</f>
        <v>0</v>
      </c>
      <c r="K154" s="140">
        <f ca="1">SUMIFS('F20-2024'!K:K,'F20-2024'!$D:$D,$D154,'F20-2024'!$E:$E,$E154,'F20-2024'!$F:$F,$F154)</f>
        <v>0</v>
      </c>
      <c r="L154" s="140">
        <f ca="1">SUMIFS('F20-2024'!L:L,'F20-2024'!$D:$D,$D154,'F20-2024'!$E:$E,$E154,'F20-2024'!$F:$F,$F154)</f>
        <v>0</v>
      </c>
      <c r="M154" s="140">
        <f ca="1">SUMIFS('F20-2024'!M:M,'F20-2024'!$D:$D,$D154,'F20-2024'!$E:$E,$E154,'F20-2024'!$F:$F,$F154)</f>
        <v>0</v>
      </c>
      <c r="N154" s="140">
        <f ca="1">SUMIFS('F20-2024'!N:N,'F20-2024'!$D:$D,$D154,'F20-2024'!$E:$E,$E154,'F20-2024'!$F:$F,$F154)</f>
        <v>0</v>
      </c>
      <c r="O154" s="140">
        <f ca="1">SUMIFS('F20-2024'!O:O,'F20-2024'!$D:$D,$D154,'F20-2024'!$E:$E,$E154,'F20-2024'!$F:$F,$F154)</f>
        <v>0</v>
      </c>
      <c r="P154" s="140">
        <f ca="1">SUMIFS('F20-2024'!P:P,'F20-2024'!$D:$D,$D154,'F20-2024'!$E:$E,$E154,'F20-2024'!$F:$F,$F154)</f>
        <v>0</v>
      </c>
      <c r="Q154" s="140">
        <f ca="1">SUMIFS('F20-2024'!Q:Q,'F20-2024'!$D:$D,$D154,'F20-2024'!$E:$E,$E154,'F20-2024'!$F:$F,$F154)</f>
        <v>0</v>
      </c>
      <c r="R154" s="140">
        <f ca="1">SUMIFS('F20-2024'!R:R,'F20-2024'!$D:$D,$D154,'F20-2024'!$E:$E,$E154,'F20-2024'!$F:$F,$F154)</f>
        <v>0</v>
      </c>
      <c r="S154" s="140">
        <f ca="1">SUMIFS('F20-2024'!S:S,'F20-2024'!$D:$D,$D154,'F20-2024'!$E:$E,$E154,'F20-2024'!$F:$F,$F154)</f>
        <v>0</v>
      </c>
      <c r="T154" s="140">
        <f ca="1">SUMIFS('F20-2024'!T:T,'F20-2024'!$D:$D,$D154,'F20-2024'!$E:$E,$E154,'F20-2024'!$F:$F,$F154)</f>
        <v>0</v>
      </c>
      <c r="U154" s="140">
        <f ca="1">SUMIFS('F20-2024'!U:U,'F20-2024'!$D:$D,$D154,'F20-2024'!$E:$E,$E154,'F20-2024'!$F:$F,$F154)</f>
        <v>0</v>
      </c>
      <c r="V154" s="140"/>
      <c r="W154" s="141" t="e">
        <f t="shared" ref="W154:AA154" ca="1" si="305">J154/$I154</f>
        <v>#DIV/0!</v>
      </c>
      <c r="X154" s="141" t="e">
        <f t="shared" ca="1" si="305"/>
        <v>#DIV/0!</v>
      </c>
      <c r="Y154" s="141" t="e">
        <f t="shared" ca="1" si="305"/>
        <v>#DIV/0!</v>
      </c>
      <c r="Z154" s="141" t="e">
        <f t="shared" ca="1" si="305"/>
        <v>#DIV/0!</v>
      </c>
      <c r="AA154" s="141" t="e">
        <f t="shared" ca="1" si="305"/>
        <v>#DIV/0!</v>
      </c>
      <c r="AB154" s="141"/>
      <c r="AC154" s="141" t="e">
        <f t="shared" ca="1" si="1"/>
        <v>#DIV/0!</v>
      </c>
      <c r="AD154" s="141" t="e">
        <f t="shared" ref="AD154:AI154" ca="1" si="306">O154/$I154</f>
        <v>#DIV/0!</v>
      </c>
      <c r="AE154" s="141" t="e">
        <f t="shared" ca="1" si="306"/>
        <v>#DIV/0!</v>
      </c>
      <c r="AF154" s="141" t="e">
        <f t="shared" ca="1" si="306"/>
        <v>#DIV/0!</v>
      </c>
      <c r="AG154" s="141" t="e">
        <f t="shared" ca="1" si="306"/>
        <v>#DIV/0!</v>
      </c>
      <c r="AH154" s="141" t="e">
        <f t="shared" ca="1" si="306"/>
        <v>#DIV/0!</v>
      </c>
      <c r="AI154" s="141" t="e">
        <f t="shared" ca="1" si="306"/>
        <v>#DIV/0!</v>
      </c>
      <c r="AJ154" s="140"/>
    </row>
    <row r="155" spans="1:36">
      <c r="A155" s="140" t="e">
        <f ca="1"/>
        <v>#NAME?</v>
      </c>
      <c r="B155" s="140" t="e">
        <f ca="1"/>
        <v>#NAME?</v>
      </c>
      <c r="C155" s="140" t="e">
        <f ca="1"/>
        <v>#NAME?</v>
      </c>
      <c r="D155" s="140" t="e">
        <f ca="1"/>
        <v>#NAME?</v>
      </c>
      <c r="E155" s="140" t="e">
        <f ca="1"/>
        <v>#NAME?</v>
      </c>
      <c r="F155" s="140" t="e">
        <f ca="1"/>
        <v>#NAME?</v>
      </c>
      <c r="G155" s="140" t="e">
        <f ca="1"/>
        <v>#NAME?</v>
      </c>
      <c r="H155" s="140"/>
      <c r="I155" s="140">
        <f ca="1">SUMIFS('F20-2024'!I:I,'F20-2024'!$D:$D,$D155,'F20-2024'!$E:$E,$E155,'F20-2024'!$F:$F,$F155)</f>
        <v>0</v>
      </c>
      <c r="J155" s="140">
        <f ca="1">SUMIFS('F20-2024'!J:J,'F20-2024'!$D:$D,$D155,'F20-2024'!$E:$E,$E155,'F20-2024'!$F:$F,$F155)</f>
        <v>0</v>
      </c>
      <c r="K155" s="140">
        <f ca="1">SUMIFS('F20-2024'!K:K,'F20-2024'!$D:$D,$D155,'F20-2024'!$E:$E,$E155,'F20-2024'!$F:$F,$F155)</f>
        <v>0</v>
      </c>
      <c r="L155" s="140">
        <f ca="1">SUMIFS('F20-2024'!L:L,'F20-2024'!$D:$D,$D155,'F20-2024'!$E:$E,$E155,'F20-2024'!$F:$F,$F155)</f>
        <v>0</v>
      </c>
      <c r="M155" s="140">
        <f ca="1">SUMIFS('F20-2024'!M:M,'F20-2024'!$D:$D,$D155,'F20-2024'!$E:$E,$E155,'F20-2024'!$F:$F,$F155)</f>
        <v>0</v>
      </c>
      <c r="N155" s="140">
        <f ca="1">SUMIFS('F20-2024'!N:N,'F20-2024'!$D:$D,$D155,'F20-2024'!$E:$E,$E155,'F20-2024'!$F:$F,$F155)</f>
        <v>0</v>
      </c>
      <c r="O155" s="140">
        <f ca="1">SUMIFS('F20-2024'!O:O,'F20-2024'!$D:$D,$D155,'F20-2024'!$E:$E,$E155,'F20-2024'!$F:$F,$F155)</f>
        <v>0</v>
      </c>
      <c r="P155" s="140">
        <f ca="1">SUMIFS('F20-2024'!P:P,'F20-2024'!$D:$D,$D155,'F20-2024'!$E:$E,$E155,'F20-2024'!$F:$F,$F155)</f>
        <v>0</v>
      </c>
      <c r="Q155" s="140">
        <f ca="1">SUMIFS('F20-2024'!Q:Q,'F20-2024'!$D:$D,$D155,'F20-2024'!$E:$E,$E155,'F20-2024'!$F:$F,$F155)</f>
        <v>0</v>
      </c>
      <c r="R155" s="140">
        <f ca="1">SUMIFS('F20-2024'!R:R,'F20-2024'!$D:$D,$D155,'F20-2024'!$E:$E,$E155,'F20-2024'!$F:$F,$F155)</f>
        <v>0</v>
      </c>
      <c r="S155" s="140">
        <f ca="1">SUMIFS('F20-2024'!S:S,'F20-2024'!$D:$D,$D155,'F20-2024'!$E:$E,$E155,'F20-2024'!$F:$F,$F155)</f>
        <v>0</v>
      </c>
      <c r="T155" s="140">
        <f ca="1">SUMIFS('F20-2024'!T:T,'F20-2024'!$D:$D,$D155,'F20-2024'!$E:$E,$E155,'F20-2024'!$F:$F,$F155)</f>
        <v>0</v>
      </c>
      <c r="U155" s="140">
        <f ca="1">SUMIFS('F20-2024'!U:U,'F20-2024'!$D:$D,$D155,'F20-2024'!$E:$E,$E155,'F20-2024'!$F:$F,$F155)</f>
        <v>0</v>
      </c>
      <c r="V155" s="140"/>
      <c r="W155" s="141" t="e">
        <f t="shared" ref="W155:AA155" ca="1" si="307">J155/$I155</f>
        <v>#DIV/0!</v>
      </c>
      <c r="X155" s="141" t="e">
        <f t="shared" ca="1" si="307"/>
        <v>#DIV/0!</v>
      </c>
      <c r="Y155" s="141" t="e">
        <f t="shared" ca="1" si="307"/>
        <v>#DIV/0!</v>
      </c>
      <c r="Z155" s="141" t="e">
        <f t="shared" ca="1" si="307"/>
        <v>#DIV/0!</v>
      </c>
      <c r="AA155" s="141" t="e">
        <f t="shared" ca="1" si="307"/>
        <v>#DIV/0!</v>
      </c>
      <c r="AB155" s="141"/>
      <c r="AC155" s="141" t="e">
        <f t="shared" ca="1" si="1"/>
        <v>#DIV/0!</v>
      </c>
      <c r="AD155" s="141" t="e">
        <f t="shared" ref="AD155:AI155" ca="1" si="308">O155/$I155</f>
        <v>#DIV/0!</v>
      </c>
      <c r="AE155" s="141" t="e">
        <f t="shared" ca="1" si="308"/>
        <v>#DIV/0!</v>
      </c>
      <c r="AF155" s="141" t="e">
        <f t="shared" ca="1" si="308"/>
        <v>#DIV/0!</v>
      </c>
      <c r="AG155" s="141" t="e">
        <f t="shared" ca="1" si="308"/>
        <v>#DIV/0!</v>
      </c>
      <c r="AH155" s="141" t="e">
        <f t="shared" ca="1" si="308"/>
        <v>#DIV/0!</v>
      </c>
      <c r="AI155" s="141" t="e">
        <f t="shared" ca="1" si="308"/>
        <v>#DIV/0!</v>
      </c>
      <c r="AJ155" s="140"/>
    </row>
    <row r="156" spans="1:36">
      <c r="A156" s="140" t="e">
        <f ca="1"/>
        <v>#NAME?</v>
      </c>
      <c r="B156" s="140" t="e">
        <f ca="1"/>
        <v>#NAME?</v>
      </c>
      <c r="C156" s="140" t="e">
        <f ca="1"/>
        <v>#NAME?</v>
      </c>
      <c r="D156" s="140" t="e">
        <f ca="1"/>
        <v>#NAME?</v>
      </c>
      <c r="E156" s="140" t="e">
        <f ca="1"/>
        <v>#NAME?</v>
      </c>
      <c r="F156" s="140" t="e">
        <f ca="1"/>
        <v>#NAME?</v>
      </c>
      <c r="G156" s="140" t="e">
        <f ca="1"/>
        <v>#NAME?</v>
      </c>
      <c r="H156" s="140"/>
      <c r="I156" s="140">
        <f ca="1">SUMIFS('F20-2024'!I:I,'F20-2024'!$D:$D,$D156,'F20-2024'!$E:$E,$E156,'F20-2024'!$F:$F,$F156)</f>
        <v>0</v>
      </c>
      <c r="J156" s="140">
        <f ca="1">SUMIFS('F20-2024'!J:J,'F20-2024'!$D:$D,$D156,'F20-2024'!$E:$E,$E156,'F20-2024'!$F:$F,$F156)</f>
        <v>0</v>
      </c>
      <c r="K156" s="140">
        <f ca="1">SUMIFS('F20-2024'!K:K,'F20-2024'!$D:$D,$D156,'F20-2024'!$E:$E,$E156,'F20-2024'!$F:$F,$F156)</f>
        <v>0</v>
      </c>
      <c r="L156" s="140">
        <f ca="1">SUMIFS('F20-2024'!L:L,'F20-2024'!$D:$D,$D156,'F20-2024'!$E:$E,$E156,'F20-2024'!$F:$F,$F156)</f>
        <v>0</v>
      </c>
      <c r="M156" s="140">
        <f ca="1">SUMIFS('F20-2024'!M:M,'F20-2024'!$D:$D,$D156,'F20-2024'!$E:$E,$E156,'F20-2024'!$F:$F,$F156)</f>
        <v>0</v>
      </c>
      <c r="N156" s="140">
        <f ca="1">SUMIFS('F20-2024'!N:N,'F20-2024'!$D:$D,$D156,'F20-2024'!$E:$E,$E156,'F20-2024'!$F:$F,$F156)</f>
        <v>0</v>
      </c>
      <c r="O156" s="140">
        <f ca="1">SUMIFS('F20-2024'!O:O,'F20-2024'!$D:$D,$D156,'F20-2024'!$E:$E,$E156,'F20-2024'!$F:$F,$F156)</f>
        <v>0</v>
      </c>
      <c r="P156" s="140">
        <f ca="1">SUMIFS('F20-2024'!P:P,'F20-2024'!$D:$D,$D156,'F20-2024'!$E:$E,$E156,'F20-2024'!$F:$F,$F156)</f>
        <v>0</v>
      </c>
      <c r="Q156" s="140">
        <f ca="1">SUMIFS('F20-2024'!Q:Q,'F20-2024'!$D:$D,$D156,'F20-2024'!$E:$E,$E156,'F20-2024'!$F:$F,$F156)</f>
        <v>0</v>
      </c>
      <c r="R156" s="140">
        <f ca="1">SUMIFS('F20-2024'!R:R,'F20-2024'!$D:$D,$D156,'F20-2024'!$E:$E,$E156,'F20-2024'!$F:$F,$F156)</f>
        <v>0</v>
      </c>
      <c r="S156" s="140">
        <f ca="1">SUMIFS('F20-2024'!S:S,'F20-2024'!$D:$D,$D156,'F20-2024'!$E:$E,$E156,'F20-2024'!$F:$F,$F156)</f>
        <v>0</v>
      </c>
      <c r="T156" s="140">
        <f ca="1">SUMIFS('F20-2024'!T:T,'F20-2024'!$D:$D,$D156,'F20-2024'!$E:$E,$E156,'F20-2024'!$F:$F,$F156)</f>
        <v>0</v>
      </c>
      <c r="U156" s="140">
        <f ca="1">SUMIFS('F20-2024'!U:U,'F20-2024'!$D:$D,$D156,'F20-2024'!$E:$E,$E156,'F20-2024'!$F:$F,$F156)</f>
        <v>0</v>
      </c>
      <c r="V156" s="140"/>
      <c r="W156" s="141" t="e">
        <f t="shared" ref="W156:AA156" ca="1" si="309">J156/$I156</f>
        <v>#DIV/0!</v>
      </c>
      <c r="X156" s="141" t="e">
        <f t="shared" ca="1" si="309"/>
        <v>#DIV/0!</v>
      </c>
      <c r="Y156" s="141" t="e">
        <f t="shared" ca="1" si="309"/>
        <v>#DIV/0!</v>
      </c>
      <c r="Z156" s="141" t="e">
        <f t="shared" ca="1" si="309"/>
        <v>#DIV/0!</v>
      </c>
      <c r="AA156" s="141" t="e">
        <f t="shared" ca="1" si="309"/>
        <v>#DIV/0!</v>
      </c>
      <c r="AB156" s="141"/>
      <c r="AC156" s="141" t="e">
        <f t="shared" ca="1" si="1"/>
        <v>#DIV/0!</v>
      </c>
      <c r="AD156" s="141" t="e">
        <f t="shared" ref="AD156:AI156" ca="1" si="310">O156/$I156</f>
        <v>#DIV/0!</v>
      </c>
      <c r="AE156" s="141" t="e">
        <f t="shared" ca="1" si="310"/>
        <v>#DIV/0!</v>
      </c>
      <c r="AF156" s="141" t="e">
        <f t="shared" ca="1" si="310"/>
        <v>#DIV/0!</v>
      </c>
      <c r="AG156" s="141" t="e">
        <f t="shared" ca="1" si="310"/>
        <v>#DIV/0!</v>
      </c>
      <c r="AH156" s="141" t="e">
        <f t="shared" ca="1" si="310"/>
        <v>#DIV/0!</v>
      </c>
      <c r="AI156" s="141" t="e">
        <f t="shared" ca="1" si="310"/>
        <v>#DIV/0!</v>
      </c>
      <c r="AJ156" s="140"/>
    </row>
    <row r="157" spans="1:36">
      <c r="A157" s="140" t="e">
        <f ca="1"/>
        <v>#NAME?</v>
      </c>
      <c r="B157" s="140" t="e">
        <f ca="1"/>
        <v>#NAME?</v>
      </c>
      <c r="C157" s="140" t="e">
        <f ca="1"/>
        <v>#NAME?</v>
      </c>
      <c r="D157" s="140" t="e">
        <f ca="1"/>
        <v>#NAME?</v>
      </c>
      <c r="E157" s="140" t="e">
        <f ca="1"/>
        <v>#NAME?</v>
      </c>
      <c r="F157" s="140" t="e">
        <f ca="1"/>
        <v>#NAME?</v>
      </c>
      <c r="G157" s="140" t="e">
        <f ca="1"/>
        <v>#NAME?</v>
      </c>
      <c r="H157" s="140"/>
      <c r="I157" s="140">
        <f ca="1">SUMIFS('F20-2024'!I:I,'F20-2024'!$D:$D,$D157,'F20-2024'!$E:$E,$E157,'F20-2024'!$F:$F,$F157)</f>
        <v>0</v>
      </c>
      <c r="J157" s="140">
        <f ca="1">SUMIFS('F20-2024'!J:J,'F20-2024'!$D:$D,$D157,'F20-2024'!$E:$E,$E157,'F20-2024'!$F:$F,$F157)</f>
        <v>0</v>
      </c>
      <c r="K157" s="140">
        <f ca="1">SUMIFS('F20-2024'!K:K,'F20-2024'!$D:$D,$D157,'F20-2024'!$E:$E,$E157,'F20-2024'!$F:$F,$F157)</f>
        <v>0</v>
      </c>
      <c r="L157" s="140">
        <f ca="1">SUMIFS('F20-2024'!L:L,'F20-2024'!$D:$D,$D157,'F20-2024'!$E:$E,$E157,'F20-2024'!$F:$F,$F157)</f>
        <v>0</v>
      </c>
      <c r="M157" s="140">
        <f ca="1">SUMIFS('F20-2024'!M:M,'F20-2024'!$D:$D,$D157,'F20-2024'!$E:$E,$E157,'F20-2024'!$F:$F,$F157)</f>
        <v>0</v>
      </c>
      <c r="N157" s="140">
        <f ca="1">SUMIFS('F20-2024'!N:N,'F20-2024'!$D:$D,$D157,'F20-2024'!$E:$E,$E157,'F20-2024'!$F:$F,$F157)</f>
        <v>0</v>
      </c>
      <c r="O157" s="140">
        <f ca="1">SUMIFS('F20-2024'!O:O,'F20-2024'!$D:$D,$D157,'F20-2024'!$E:$E,$E157,'F20-2024'!$F:$F,$F157)</f>
        <v>0</v>
      </c>
      <c r="P157" s="140">
        <f ca="1">SUMIFS('F20-2024'!P:P,'F20-2024'!$D:$D,$D157,'F20-2024'!$E:$E,$E157,'F20-2024'!$F:$F,$F157)</f>
        <v>0</v>
      </c>
      <c r="Q157" s="140">
        <f ca="1">SUMIFS('F20-2024'!Q:Q,'F20-2024'!$D:$D,$D157,'F20-2024'!$E:$E,$E157,'F20-2024'!$F:$F,$F157)</f>
        <v>0</v>
      </c>
      <c r="R157" s="140">
        <f ca="1">SUMIFS('F20-2024'!R:R,'F20-2024'!$D:$D,$D157,'F20-2024'!$E:$E,$E157,'F20-2024'!$F:$F,$F157)</f>
        <v>0</v>
      </c>
      <c r="S157" s="140">
        <f ca="1">SUMIFS('F20-2024'!S:S,'F20-2024'!$D:$D,$D157,'F20-2024'!$E:$E,$E157,'F20-2024'!$F:$F,$F157)</f>
        <v>0</v>
      </c>
      <c r="T157" s="140">
        <f ca="1">SUMIFS('F20-2024'!T:T,'F20-2024'!$D:$D,$D157,'F20-2024'!$E:$E,$E157,'F20-2024'!$F:$F,$F157)</f>
        <v>0</v>
      </c>
      <c r="U157" s="140">
        <f ca="1">SUMIFS('F20-2024'!U:U,'F20-2024'!$D:$D,$D157,'F20-2024'!$E:$E,$E157,'F20-2024'!$F:$F,$F157)</f>
        <v>0</v>
      </c>
      <c r="V157" s="140"/>
      <c r="W157" s="141" t="e">
        <f t="shared" ref="W157:AA157" ca="1" si="311">J157/$I157</f>
        <v>#DIV/0!</v>
      </c>
      <c r="X157" s="141" t="e">
        <f t="shared" ca="1" si="311"/>
        <v>#DIV/0!</v>
      </c>
      <c r="Y157" s="141" t="e">
        <f t="shared" ca="1" si="311"/>
        <v>#DIV/0!</v>
      </c>
      <c r="Z157" s="141" t="e">
        <f t="shared" ca="1" si="311"/>
        <v>#DIV/0!</v>
      </c>
      <c r="AA157" s="141" t="e">
        <f t="shared" ca="1" si="311"/>
        <v>#DIV/0!</v>
      </c>
      <c r="AB157" s="141"/>
      <c r="AC157" s="141" t="e">
        <f t="shared" ca="1" si="1"/>
        <v>#DIV/0!</v>
      </c>
      <c r="AD157" s="141" t="e">
        <f t="shared" ref="AD157:AI157" ca="1" si="312">O157/$I157</f>
        <v>#DIV/0!</v>
      </c>
      <c r="AE157" s="141" t="e">
        <f t="shared" ca="1" si="312"/>
        <v>#DIV/0!</v>
      </c>
      <c r="AF157" s="141" t="e">
        <f t="shared" ca="1" si="312"/>
        <v>#DIV/0!</v>
      </c>
      <c r="AG157" s="141" t="e">
        <f t="shared" ca="1" si="312"/>
        <v>#DIV/0!</v>
      </c>
      <c r="AH157" s="141" t="e">
        <f t="shared" ca="1" si="312"/>
        <v>#DIV/0!</v>
      </c>
      <c r="AI157" s="141" t="e">
        <f t="shared" ca="1" si="312"/>
        <v>#DIV/0!</v>
      </c>
      <c r="AJ157" s="140"/>
    </row>
    <row r="158" spans="1:36">
      <c r="A158" s="140" t="e">
        <f ca="1"/>
        <v>#NAME?</v>
      </c>
      <c r="B158" s="140" t="e">
        <f ca="1"/>
        <v>#NAME?</v>
      </c>
      <c r="C158" s="140" t="e">
        <f ca="1"/>
        <v>#NAME?</v>
      </c>
      <c r="D158" s="140" t="e">
        <f ca="1"/>
        <v>#NAME?</v>
      </c>
      <c r="E158" s="140" t="e">
        <f ca="1"/>
        <v>#NAME?</v>
      </c>
      <c r="F158" s="140" t="e">
        <f ca="1"/>
        <v>#NAME?</v>
      </c>
      <c r="G158" s="140" t="e">
        <f ca="1"/>
        <v>#NAME?</v>
      </c>
      <c r="H158" s="140"/>
      <c r="I158" s="140">
        <f ca="1">SUMIFS('F20-2024'!I:I,'F20-2024'!$D:$D,$D158,'F20-2024'!$E:$E,$E158,'F20-2024'!$F:$F,$F158)</f>
        <v>0</v>
      </c>
      <c r="J158" s="140">
        <f ca="1">SUMIFS('F20-2024'!J:J,'F20-2024'!$D:$D,$D158,'F20-2024'!$E:$E,$E158,'F20-2024'!$F:$F,$F158)</f>
        <v>0</v>
      </c>
      <c r="K158" s="140">
        <f ca="1">SUMIFS('F20-2024'!K:K,'F20-2024'!$D:$D,$D158,'F20-2024'!$E:$E,$E158,'F20-2024'!$F:$F,$F158)</f>
        <v>0</v>
      </c>
      <c r="L158" s="140">
        <f ca="1">SUMIFS('F20-2024'!L:L,'F20-2024'!$D:$D,$D158,'F20-2024'!$E:$E,$E158,'F20-2024'!$F:$F,$F158)</f>
        <v>0</v>
      </c>
      <c r="M158" s="140">
        <f ca="1">SUMIFS('F20-2024'!M:M,'F20-2024'!$D:$D,$D158,'F20-2024'!$E:$E,$E158,'F20-2024'!$F:$F,$F158)</f>
        <v>0</v>
      </c>
      <c r="N158" s="140">
        <f ca="1">SUMIFS('F20-2024'!N:N,'F20-2024'!$D:$D,$D158,'F20-2024'!$E:$E,$E158,'F20-2024'!$F:$F,$F158)</f>
        <v>0</v>
      </c>
      <c r="O158" s="140">
        <f ca="1">SUMIFS('F20-2024'!O:O,'F20-2024'!$D:$D,$D158,'F20-2024'!$E:$E,$E158,'F20-2024'!$F:$F,$F158)</f>
        <v>0</v>
      </c>
      <c r="P158" s="140">
        <f ca="1">SUMIFS('F20-2024'!P:P,'F20-2024'!$D:$D,$D158,'F20-2024'!$E:$E,$E158,'F20-2024'!$F:$F,$F158)</f>
        <v>0</v>
      </c>
      <c r="Q158" s="140">
        <f ca="1">SUMIFS('F20-2024'!Q:Q,'F20-2024'!$D:$D,$D158,'F20-2024'!$E:$E,$E158,'F20-2024'!$F:$F,$F158)</f>
        <v>0</v>
      </c>
      <c r="R158" s="140">
        <f ca="1">SUMIFS('F20-2024'!R:R,'F20-2024'!$D:$D,$D158,'F20-2024'!$E:$E,$E158,'F20-2024'!$F:$F,$F158)</f>
        <v>0</v>
      </c>
      <c r="S158" s="140">
        <f ca="1">SUMIFS('F20-2024'!S:S,'F20-2024'!$D:$D,$D158,'F20-2024'!$E:$E,$E158,'F20-2024'!$F:$F,$F158)</f>
        <v>0</v>
      </c>
      <c r="T158" s="140">
        <f ca="1">SUMIFS('F20-2024'!T:T,'F20-2024'!$D:$D,$D158,'F20-2024'!$E:$E,$E158,'F20-2024'!$F:$F,$F158)</f>
        <v>0</v>
      </c>
      <c r="U158" s="140">
        <f ca="1">SUMIFS('F20-2024'!U:U,'F20-2024'!$D:$D,$D158,'F20-2024'!$E:$E,$E158,'F20-2024'!$F:$F,$F158)</f>
        <v>0</v>
      </c>
      <c r="V158" s="140"/>
      <c r="W158" s="141" t="e">
        <f t="shared" ref="W158:AA158" ca="1" si="313">J158/$I158</f>
        <v>#DIV/0!</v>
      </c>
      <c r="X158" s="141" t="e">
        <f t="shared" ca="1" si="313"/>
        <v>#DIV/0!</v>
      </c>
      <c r="Y158" s="141" t="e">
        <f t="shared" ca="1" si="313"/>
        <v>#DIV/0!</v>
      </c>
      <c r="Z158" s="141" t="e">
        <f t="shared" ca="1" si="313"/>
        <v>#DIV/0!</v>
      </c>
      <c r="AA158" s="141" t="e">
        <f t="shared" ca="1" si="313"/>
        <v>#DIV/0!</v>
      </c>
      <c r="AB158" s="141"/>
      <c r="AC158" s="141" t="e">
        <f t="shared" ca="1" si="1"/>
        <v>#DIV/0!</v>
      </c>
      <c r="AD158" s="141" t="e">
        <f t="shared" ref="AD158:AI158" ca="1" si="314">O158/$I158</f>
        <v>#DIV/0!</v>
      </c>
      <c r="AE158" s="141" t="e">
        <f t="shared" ca="1" si="314"/>
        <v>#DIV/0!</v>
      </c>
      <c r="AF158" s="141" t="e">
        <f t="shared" ca="1" si="314"/>
        <v>#DIV/0!</v>
      </c>
      <c r="AG158" s="141" t="e">
        <f t="shared" ca="1" si="314"/>
        <v>#DIV/0!</v>
      </c>
      <c r="AH158" s="141" t="e">
        <f t="shared" ca="1" si="314"/>
        <v>#DIV/0!</v>
      </c>
      <c r="AI158" s="141" t="e">
        <f t="shared" ca="1" si="314"/>
        <v>#DIV/0!</v>
      </c>
      <c r="AJ158" s="140"/>
    </row>
    <row r="159" spans="1:36">
      <c r="A159" s="140" t="e">
        <f ca="1"/>
        <v>#NAME?</v>
      </c>
      <c r="B159" s="140" t="e">
        <f ca="1"/>
        <v>#NAME?</v>
      </c>
      <c r="C159" s="140" t="e">
        <f ca="1"/>
        <v>#NAME?</v>
      </c>
      <c r="D159" s="140" t="e">
        <f ca="1"/>
        <v>#NAME?</v>
      </c>
      <c r="E159" s="140" t="e">
        <f ca="1"/>
        <v>#NAME?</v>
      </c>
      <c r="F159" s="140" t="e">
        <f ca="1"/>
        <v>#NAME?</v>
      </c>
      <c r="G159" s="140" t="e">
        <f ca="1"/>
        <v>#NAME?</v>
      </c>
      <c r="H159" s="140"/>
      <c r="I159" s="140">
        <f ca="1">SUMIFS('F20-2024'!I:I,'F20-2024'!$D:$D,$D159,'F20-2024'!$E:$E,$E159,'F20-2024'!$F:$F,$F159)</f>
        <v>0</v>
      </c>
      <c r="J159" s="140">
        <f ca="1">SUMIFS('F20-2024'!J:J,'F20-2024'!$D:$D,$D159,'F20-2024'!$E:$E,$E159,'F20-2024'!$F:$F,$F159)</f>
        <v>0</v>
      </c>
      <c r="K159" s="140">
        <f ca="1">SUMIFS('F20-2024'!K:K,'F20-2024'!$D:$D,$D159,'F20-2024'!$E:$E,$E159,'F20-2024'!$F:$F,$F159)</f>
        <v>0</v>
      </c>
      <c r="L159" s="140">
        <f ca="1">SUMIFS('F20-2024'!L:L,'F20-2024'!$D:$D,$D159,'F20-2024'!$E:$E,$E159,'F20-2024'!$F:$F,$F159)</f>
        <v>0</v>
      </c>
      <c r="M159" s="140">
        <f ca="1">SUMIFS('F20-2024'!M:M,'F20-2024'!$D:$D,$D159,'F20-2024'!$E:$E,$E159,'F20-2024'!$F:$F,$F159)</f>
        <v>0</v>
      </c>
      <c r="N159" s="140">
        <f ca="1">SUMIFS('F20-2024'!N:N,'F20-2024'!$D:$D,$D159,'F20-2024'!$E:$E,$E159,'F20-2024'!$F:$F,$F159)</f>
        <v>0</v>
      </c>
      <c r="O159" s="140">
        <f ca="1">SUMIFS('F20-2024'!O:O,'F20-2024'!$D:$D,$D159,'F20-2024'!$E:$E,$E159,'F20-2024'!$F:$F,$F159)</f>
        <v>0</v>
      </c>
      <c r="P159" s="140">
        <f ca="1">SUMIFS('F20-2024'!P:P,'F20-2024'!$D:$D,$D159,'F20-2024'!$E:$E,$E159,'F20-2024'!$F:$F,$F159)</f>
        <v>0</v>
      </c>
      <c r="Q159" s="140">
        <f ca="1">SUMIFS('F20-2024'!Q:Q,'F20-2024'!$D:$D,$D159,'F20-2024'!$E:$E,$E159,'F20-2024'!$F:$F,$F159)</f>
        <v>0</v>
      </c>
      <c r="R159" s="140">
        <f ca="1">SUMIFS('F20-2024'!R:R,'F20-2024'!$D:$D,$D159,'F20-2024'!$E:$E,$E159,'F20-2024'!$F:$F,$F159)</f>
        <v>0</v>
      </c>
      <c r="S159" s="140">
        <f ca="1">SUMIFS('F20-2024'!S:S,'F20-2024'!$D:$D,$D159,'F20-2024'!$E:$E,$E159,'F20-2024'!$F:$F,$F159)</f>
        <v>0</v>
      </c>
      <c r="T159" s="140">
        <f ca="1">SUMIFS('F20-2024'!T:T,'F20-2024'!$D:$D,$D159,'F20-2024'!$E:$E,$E159,'F20-2024'!$F:$F,$F159)</f>
        <v>0</v>
      </c>
      <c r="U159" s="140">
        <f ca="1">SUMIFS('F20-2024'!U:U,'F20-2024'!$D:$D,$D159,'F20-2024'!$E:$E,$E159,'F20-2024'!$F:$F,$F159)</f>
        <v>0</v>
      </c>
      <c r="V159" s="140"/>
      <c r="W159" s="141" t="e">
        <f t="shared" ref="W159:AA159" ca="1" si="315">J159/$I159</f>
        <v>#DIV/0!</v>
      </c>
      <c r="X159" s="141" t="e">
        <f t="shared" ca="1" si="315"/>
        <v>#DIV/0!</v>
      </c>
      <c r="Y159" s="141" t="e">
        <f t="shared" ca="1" si="315"/>
        <v>#DIV/0!</v>
      </c>
      <c r="Z159" s="141" t="e">
        <f t="shared" ca="1" si="315"/>
        <v>#DIV/0!</v>
      </c>
      <c r="AA159" s="141" t="e">
        <f t="shared" ca="1" si="315"/>
        <v>#DIV/0!</v>
      </c>
      <c r="AB159" s="141"/>
      <c r="AC159" s="141" t="e">
        <f t="shared" ca="1" si="1"/>
        <v>#DIV/0!</v>
      </c>
      <c r="AD159" s="141" t="e">
        <f t="shared" ref="AD159:AI159" ca="1" si="316">O159/$I159</f>
        <v>#DIV/0!</v>
      </c>
      <c r="AE159" s="141" t="e">
        <f t="shared" ca="1" si="316"/>
        <v>#DIV/0!</v>
      </c>
      <c r="AF159" s="141" t="e">
        <f t="shared" ca="1" si="316"/>
        <v>#DIV/0!</v>
      </c>
      <c r="AG159" s="141" t="e">
        <f t="shared" ca="1" si="316"/>
        <v>#DIV/0!</v>
      </c>
      <c r="AH159" s="141" t="e">
        <f t="shared" ca="1" si="316"/>
        <v>#DIV/0!</v>
      </c>
      <c r="AI159" s="141" t="e">
        <f t="shared" ca="1" si="316"/>
        <v>#DIV/0!</v>
      </c>
      <c r="AJ159" s="140"/>
    </row>
    <row r="160" spans="1:36">
      <c r="A160" s="140" t="e">
        <f ca="1"/>
        <v>#NAME?</v>
      </c>
      <c r="B160" s="140" t="e">
        <f ca="1"/>
        <v>#NAME?</v>
      </c>
      <c r="C160" s="140" t="e">
        <f ca="1"/>
        <v>#NAME?</v>
      </c>
      <c r="D160" s="140" t="e">
        <f ca="1"/>
        <v>#NAME?</v>
      </c>
      <c r="E160" s="140" t="e">
        <f ca="1"/>
        <v>#NAME?</v>
      </c>
      <c r="F160" s="140" t="e">
        <f ca="1"/>
        <v>#NAME?</v>
      </c>
      <c r="G160" s="140" t="e">
        <f ca="1"/>
        <v>#NAME?</v>
      </c>
      <c r="H160" s="140"/>
      <c r="I160" s="140">
        <f ca="1">SUMIFS('F20-2024'!I:I,'F20-2024'!$D:$D,$D160,'F20-2024'!$E:$E,$E160,'F20-2024'!$F:$F,$F160)</f>
        <v>0</v>
      </c>
      <c r="J160" s="140">
        <f ca="1">SUMIFS('F20-2024'!J:J,'F20-2024'!$D:$D,$D160,'F20-2024'!$E:$E,$E160,'F20-2024'!$F:$F,$F160)</f>
        <v>0</v>
      </c>
      <c r="K160" s="140">
        <f ca="1">SUMIFS('F20-2024'!K:K,'F20-2024'!$D:$D,$D160,'F20-2024'!$E:$E,$E160,'F20-2024'!$F:$F,$F160)</f>
        <v>0</v>
      </c>
      <c r="L160" s="140">
        <f ca="1">SUMIFS('F20-2024'!L:L,'F20-2024'!$D:$D,$D160,'F20-2024'!$E:$E,$E160,'F20-2024'!$F:$F,$F160)</f>
        <v>0</v>
      </c>
      <c r="M160" s="140">
        <f ca="1">SUMIFS('F20-2024'!M:M,'F20-2024'!$D:$D,$D160,'F20-2024'!$E:$E,$E160,'F20-2024'!$F:$F,$F160)</f>
        <v>0</v>
      </c>
      <c r="N160" s="140">
        <f ca="1">SUMIFS('F20-2024'!N:N,'F20-2024'!$D:$D,$D160,'F20-2024'!$E:$E,$E160,'F20-2024'!$F:$F,$F160)</f>
        <v>0</v>
      </c>
      <c r="O160" s="140">
        <f ca="1">SUMIFS('F20-2024'!O:O,'F20-2024'!$D:$D,$D160,'F20-2024'!$E:$E,$E160,'F20-2024'!$F:$F,$F160)</f>
        <v>0</v>
      </c>
      <c r="P160" s="140">
        <f ca="1">SUMIFS('F20-2024'!P:P,'F20-2024'!$D:$D,$D160,'F20-2024'!$E:$E,$E160,'F20-2024'!$F:$F,$F160)</f>
        <v>0</v>
      </c>
      <c r="Q160" s="140">
        <f ca="1">SUMIFS('F20-2024'!Q:Q,'F20-2024'!$D:$D,$D160,'F20-2024'!$E:$E,$E160,'F20-2024'!$F:$F,$F160)</f>
        <v>0</v>
      </c>
      <c r="R160" s="140">
        <f ca="1">SUMIFS('F20-2024'!R:R,'F20-2024'!$D:$D,$D160,'F20-2024'!$E:$E,$E160,'F20-2024'!$F:$F,$F160)</f>
        <v>0</v>
      </c>
      <c r="S160" s="140">
        <f ca="1">SUMIFS('F20-2024'!S:S,'F20-2024'!$D:$D,$D160,'F20-2024'!$E:$E,$E160,'F20-2024'!$F:$F,$F160)</f>
        <v>0</v>
      </c>
      <c r="T160" s="140">
        <f ca="1">SUMIFS('F20-2024'!T:T,'F20-2024'!$D:$D,$D160,'F20-2024'!$E:$E,$E160,'F20-2024'!$F:$F,$F160)</f>
        <v>0</v>
      </c>
      <c r="U160" s="140">
        <f ca="1">SUMIFS('F20-2024'!U:U,'F20-2024'!$D:$D,$D160,'F20-2024'!$E:$E,$E160,'F20-2024'!$F:$F,$F160)</f>
        <v>0</v>
      </c>
      <c r="V160" s="140"/>
      <c r="W160" s="141" t="e">
        <f t="shared" ref="W160:AA160" ca="1" si="317">J160/$I160</f>
        <v>#DIV/0!</v>
      </c>
      <c r="X160" s="141" t="e">
        <f t="shared" ca="1" si="317"/>
        <v>#DIV/0!</v>
      </c>
      <c r="Y160" s="141" t="e">
        <f t="shared" ca="1" si="317"/>
        <v>#DIV/0!</v>
      </c>
      <c r="Z160" s="141" t="e">
        <f t="shared" ca="1" si="317"/>
        <v>#DIV/0!</v>
      </c>
      <c r="AA160" s="141" t="e">
        <f t="shared" ca="1" si="317"/>
        <v>#DIV/0!</v>
      </c>
      <c r="AB160" s="141"/>
      <c r="AC160" s="141" t="e">
        <f t="shared" ca="1" si="1"/>
        <v>#DIV/0!</v>
      </c>
      <c r="AD160" s="141" t="e">
        <f t="shared" ref="AD160:AI160" ca="1" si="318">O160/$I160</f>
        <v>#DIV/0!</v>
      </c>
      <c r="AE160" s="141" t="e">
        <f t="shared" ca="1" si="318"/>
        <v>#DIV/0!</v>
      </c>
      <c r="AF160" s="141" t="e">
        <f t="shared" ca="1" si="318"/>
        <v>#DIV/0!</v>
      </c>
      <c r="AG160" s="141" t="e">
        <f t="shared" ca="1" si="318"/>
        <v>#DIV/0!</v>
      </c>
      <c r="AH160" s="141" t="e">
        <f t="shared" ca="1" si="318"/>
        <v>#DIV/0!</v>
      </c>
      <c r="AI160" s="141" t="e">
        <f t="shared" ca="1" si="318"/>
        <v>#DIV/0!</v>
      </c>
      <c r="AJ160" s="140"/>
    </row>
    <row r="161" spans="1:36">
      <c r="A161" s="140" t="e">
        <f ca="1"/>
        <v>#NAME?</v>
      </c>
      <c r="B161" s="140" t="e">
        <f ca="1"/>
        <v>#NAME?</v>
      </c>
      <c r="C161" s="140" t="e">
        <f ca="1"/>
        <v>#NAME?</v>
      </c>
      <c r="D161" s="140" t="e">
        <f ca="1"/>
        <v>#NAME?</v>
      </c>
      <c r="E161" s="140" t="e">
        <f ca="1"/>
        <v>#NAME?</v>
      </c>
      <c r="F161" s="140" t="e">
        <f ca="1"/>
        <v>#NAME?</v>
      </c>
      <c r="G161" s="140" t="e">
        <f ca="1"/>
        <v>#NAME?</v>
      </c>
      <c r="H161" s="140"/>
      <c r="I161" s="140">
        <f ca="1">SUMIFS('F20-2024'!I:I,'F20-2024'!$D:$D,$D161,'F20-2024'!$E:$E,$E161,'F20-2024'!$F:$F,$F161)</f>
        <v>0</v>
      </c>
      <c r="J161" s="140">
        <f ca="1">SUMIFS('F20-2024'!J:J,'F20-2024'!$D:$D,$D161,'F20-2024'!$E:$E,$E161,'F20-2024'!$F:$F,$F161)</f>
        <v>0</v>
      </c>
      <c r="K161" s="140">
        <f ca="1">SUMIFS('F20-2024'!K:K,'F20-2024'!$D:$D,$D161,'F20-2024'!$E:$E,$E161,'F20-2024'!$F:$F,$F161)</f>
        <v>0</v>
      </c>
      <c r="L161" s="140">
        <f ca="1">SUMIFS('F20-2024'!L:L,'F20-2024'!$D:$D,$D161,'F20-2024'!$E:$E,$E161,'F20-2024'!$F:$F,$F161)</f>
        <v>0</v>
      </c>
      <c r="M161" s="140">
        <f ca="1">SUMIFS('F20-2024'!M:M,'F20-2024'!$D:$D,$D161,'F20-2024'!$E:$E,$E161,'F20-2024'!$F:$F,$F161)</f>
        <v>0</v>
      </c>
      <c r="N161" s="140">
        <f ca="1">SUMIFS('F20-2024'!N:N,'F20-2024'!$D:$D,$D161,'F20-2024'!$E:$E,$E161,'F20-2024'!$F:$F,$F161)</f>
        <v>0</v>
      </c>
      <c r="O161" s="140">
        <f ca="1">SUMIFS('F20-2024'!O:O,'F20-2024'!$D:$D,$D161,'F20-2024'!$E:$E,$E161,'F20-2024'!$F:$F,$F161)</f>
        <v>0</v>
      </c>
      <c r="P161" s="140">
        <f ca="1">SUMIFS('F20-2024'!P:P,'F20-2024'!$D:$D,$D161,'F20-2024'!$E:$E,$E161,'F20-2024'!$F:$F,$F161)</f>
        <v>0</v>
      </c>
      <c r="Q161" s="140">
        <f ca="1">SUMIFS('F20-2024'!Q:Q,'F20-2024'!$D:$D,$D161,'F20-2024'!$E:$E,$E161,'F20-2024'!$F:$F,$F161)</f>
        <v>0</v>
      </c>
      <c r="R161" s="140">
        <f ca="1">SUMIFS('F20-2024'!R:R,'F20-2024'!$D:$D,$D161,'F20-2024'!$E:$E,$E161,'F20-2024'!$F:$F,$F161)</f>
        <v>0</v>
      </c>
      <c r="S161" s="140">
        <f ca="1">SUMIFS('F20-2024'!S:S,'F20-2024'!$D:$D,$D161,'F20-2024'!$E:$E,$E161,'F20-2024'!$F:$F,$F161)</f>
        <v>0</v>
      </c>
      <c r="T161" s="140">
        <f ca="1">SUMIFS('F20-2024'!T:T,'F20-2024'!$D:$D,$D161,'F20-2024'!$E:$E,$E161,'F20-2024'!$F:$F,$F161)</f>
        <v>0</v>
      </c>
      <c r="U161" s="140">
        <f ca="1">SUMIFS('F20-2024'!U:U,'F20-2024'!$D:$D,$D161,'F20-2024'!$E:$E,$E161,'F20-2024'!$F:$F,$F161)</f>
        <v>0</v>
      </c>
      <c r="V161" s="140"/>
      <c r="W161" s="141" t="e">
        <f t="shared" ref="W161:AA161" ca="1" si="319">J161/$I161</f>
        <v>#DIV/0!</v>
      </c>
      <c r="X161" s="141" t="e">
        <f t="shared" ca="1" si="319"/>
        <v>#DIV/0!</v>
      </c>
      <c r="Y161" s="141" t="e">
        <f t="shared" ca="1" si="319"/>
        <v>#DIV/0!</v>
      </c>
      <c r="Z161" s="141" t="e">
        <f t="shared" ca="1" si="319"/>
        <v>#DIV/0!</v>
      </c>
      <c r="AA161" s="141" t="e">
        <f t="shared" ca="1" si="319"/>
        <v>#DIV/0!</v>
      </c>
      <c r="AB161" s="141"/>
      <c r="AC161" s="141" t="e">
        <f t="shared" ca="1" si="1"/>
        <v>#DIV/0!</v>
      </c>
      <c r="AD161" s="141" t="e">
        <f t="shared" ref="AD161:AI161" ca="1" si="320">O161/$I161</f>
        <v>#DIV/0!</v>
      </c>
      <c r="AE161" s="141" t="e">
        <f t="shared" ca="1" si="320"/>
        <v>#DIV/0!</v>
      </c>
      <c r="AF161" s="141" t="e">
        <f t="shared" ca="1" si="320"/>
        <v>#DIV/0!</v>
      </c>
      <c r="AG161" s="141" t="e">
        <f t="shared" ca="1" si="320"/>
        <v>#DIV/0!</v>
      </c>
      <c r="AH161" s="141" t="e">
        <f t="shared" ca="1" si="320"/>
        <v>#DIV/0!</v>
      </c>
      <c r="AI161" s="141" t="e">
        <f t="shared" ca="1" si="320"/>
        <v>#DIV/0!</v>
      </c>
      <c r="AJ161" s="140"/>
    </row>
    <row r="162" spans="1:36">
      <c r="A162" s="140" t="e">
        <f ca="1"/>
        <v>#NAME?</v>
      </c>
      <c r="B162" s="140" t="e">
        <f ca="1"/>
        <v>#NAME?</v>
      </c>
      <c r="C162" s="140" t="e">
        <f ca="1"/>
        <v>#NAME?</v>
      </c>
      <c r="D162" s="140" t="e">
        <f ca="1"/>
        <v>#NAME?</v>
      </c>
      <c r="E162" s="140" t="e">
        <f ca="1"/>
        <v>#NAME?</v>
      </c>
      <c r="F162" s="140" t="e">
        <f ca="1"/>
        <v>#NAME?</v>
      </c>
      <c r="G162" s="140" t="e">
        <f ca="1"/>
        <v>#NAME?</v>
      </c>
      <c r="H162" s="140"/>
      <c r="I162" s="140">
        <f ca="1">SUMIFS('F20-2024'!I:I,'F20-2024'!$D:$D,$D162,'F20-2024'!$E:$E,$E162,'F20-2024'!$F:$F,$F162)</f>
        <v>0</v>
      </c>
      <c r="J162" s="140">
        <f ca="1">SUMIFS('F20-2024'!J:J,'F20-2024'!$D:$D,$D162,'F20-2024'!$E:$E,$E162,'F20-2024'!$F:$F,$F162)</f>
        <v>0</v>
      </c>
      <c r="K162" s="140">
        <f ca="1">SUMIFS('F20-2024'!K:K,'F20-2024'!$D:$D,$D162,'F20-2024'!$E:$E,$E162,'F20-2024'!$F:$F,$F162)</f>
        <v>0</v>
      </c>
      <c r="L162" s="140">
        <f ca="1">SUMIFS('F20-2024'!L:L,'F20-2024'!$D:$D,$D162,'F20-2024'!$E:$E,$E162,'F20-2024'!$F:$F,$F162)</f>
        <v>0</v>
      </c>
      <c r="M162" s="140">
        <f ca="1">SUMIFS('F20-2024'!M:M,'F20-2024'!$D:$D,$D162,'F20-2024'!$E:$E,$E162,'F20-2024'!$F:$F,$F162)</f>
        <v>0</v>
      </c>
      <c r="N162" s="140">
        <f ca="1">SUMIFS('F20-2024'!N:N,'F20-2024'!$D:$D,$D162,'F20-2024'!$E:$E,$E162,'F20-2024'!$F:$F,$F162)</f>
        <v>0</v>
      </c>
      <c r="O162" s="140">
        <f ca="1">SUMIFS('F20-2024'!O:O,'F20-2024'!$D:$D,$D162,'F20-2024'!$E:$E,$E162,'F20-2024'!$F:$F,$F162)</f>
        <v>0</v>
      </c>
      <c r="P162" s="140">
        <f ca="1">SUMIFS('F20-2024'!P:P,'F20-2024'!$D:$D,$D162,'F20-2024'!$E:$E,$E162,'F20-2024'!$F:$F,$F162)</f>
        <v>0</v>
      </c>
      <c r="Q162" s="140">
        <f ca="1">SUMIFS('F20-2024'!Q:Q,'F20-2024'!$D:$D,$D162,'F20-2024'!$E:$E,$E162,'F20-2024'!$F:$F,$F162)</f>
        <v>0</v>
      </c>
      <c r="R162" s="140">
        <f ca="1">SUMIFS('F20-2024'!R:R,'F20-2024'!$D:$D,$D162,'F20-2024'!$E:$E,$E162,'F20-2024'!$F:$F,$F162)</f>
        <v>0</v>
      </c>
      <c r="S162" s="140">
        <f ca="1">SUMIFS('F20-2024'!S:S,'F20-2024'!$D:$D,$D162,'F20-2024'!$E:$E,$E162,'F20-2024'!$F:$F,$F162)</f>
        <v>0</v>
      </c>
      <c r="T162" s="140">
        <f ca="1">SUMIFS('F20-2024'!T:T,'F20-2024'!$D:$D,$D162,'F20-2024'!$E:$E,$E162,'F20-2024'!$F:$F,$F162)</f>
        <v>0</v>
      </c>
      <c r="U162" s="140">
        <f ca="1">SUMIFS('F20-2024'!U:U,'F20-2024'!$D:$D,$D162,'F20-2024'!$E:$E,$E162,'F20-2024'!$F:$F,$F162)</f>
        <v>0</v>
      </c>
      <c r="V162" s="140"/>
      <c r="W162" s="141" t="e">
        <f t="shared" ref="W162:AA162" ca="1" si="321">J162/$I162</f>
        <v>#DIV/0!</v>
      </c>
      <c r="X162" s="141" t="e">
        <f t="shared" ca="1" si="321"/>
        <v>#DIV/0!</v>
      </c>
      <c r="Y162" s="141" t="e">
        <f t="shared" ca="1" si="321"/>
        <v>#DIV/0!</v>
      </c>
      <c r="Z162" s="141" t="e">
        <f t="shared" ca="1" si="321"/>
        <v>#DIV/0!</v>
      </c>
      <c r="AA162" s="141" t="e">
        <f t="shared" ca="1" si="321"/>
        <v>#DIV/0!</v>
      </c>
      <c r="AB162" s="141"/>
      <c r="AC162" s="141" t="e">
        <f t="shared" ca="1" si="1"/>
        <v>#DIV/0!</v>
      </c>
      <c r="AD162" s="141" t="e">
        <f t="shared" ref="AD162:AI162" ca="1" si="322">O162/$I162</f>
        <v>#DIV/0!</v>
      </c>
      <c r="AE162" s="141" t="e">
        <f t="shared" ca="1" si="322"/>
        <v>#DIV/0!</v>
      </c>
      <c r="AF162" s="141" t="e">
        <f t="shared" ca="1" si="322"/>
        <v>#DIV/0!</v>
      </c>
      <c r="AG162" s="141" t="e">
        <f t="shared" ca="1" si="322"/>
        <v>#DIV/0!</v>
      </c>
      <c r="AH162" s="141" t="e">
        <f t="shared" ca="1" si="322"/>
        <v>#DIV/0!</v>
      </c>
      <c r="AI162" s="141" t="e">
        <f t="shared" ca="1" si="322"/>
        <v>#DIV/0!</v>
      </c>
      <c r="AJ162" s="140"/>
    </row>
    <row r="163" spans="1:36">
      <c r="A163" s="140" t="e">
        <f ca="1"/>
        <v>#NAME?</v>
      </c>
      <c r="B163" s="140" t="e">
        <f ca="1"/>
        <v>#NAME?</v>
      </c>
      <c r="C163" s="140" t="e">
        <f ca="1"/>
        <v>#NAME?</v>
      </c>
      <c r="D163" s="140" t="e">
        <f ca="1"/>
        <v>#NAME?</v>
      </c>
      <c r="E163" s="140" t="e">
        <f ca="1"/>
        <v>#NAME?</v>
      </c>
      <c r="F163" s="140" t="e">
        <f ca="1"/>
        <v>#NAME?</v>
      </c>
      <c r="G163" s="140" t="e">
        <f ca="1"/>
        <v>#NAME?</v>
      </c>
      <c r="H163" s="140"/>
      <c r="I163" s="140">
        <f ca="1">SUMIFS('F20-2024'!I:I,'F20-2024'!$D:$D,$D163,'F20-2024'!$E:$E,$E163,'F20-2024'!$F:$F,$F163)</f>
        <v>0</v>
      </c>
      <c r="J163" s="140">
        <f ca="1">SUMIFS('F20-2024'!J:J,'F20-2024'!$D:$D,$D163,'F20-2024'!$E:$E,$E163,'F20-2024'!$F:$F,$F163)</f>
        <v>0</v>
      </c>
      <c r="K163" s="140">
        <f ca="1">SUMIFS('F20-2024'!K:K,'F20-2024'!$D:$D,$D163,'F20-2024'!$E:$E,$E163,'F20-2024'!$F:$F,$F163)</f>
        <v>0</v>
      </c>
      <c r="L163" s="140">
        <f ca="1">SUMIFS('F20-2024'!L:L,'F20-2024'!$D:$D,$D163,'F20-2024'!$E:$E,$E163,'F20-2024'!$F:$F,$F163)</f>
        <v>0</v>
      </c>
      <c r="M163" s="140">
        <f ca="1">SUMIFS('F20-2024'!M:M,'F20-2024'!$D:$D,$D163,'F20-2024'!$E:$E,$E163,'F20-2024'!$F:$F,$F163)</f>
        <v>0</v>
      </c>
      <c r="N163" s="140">
        <f ca="1">SUMIFS('F20-2024'!N:N,'F20-2024'!$D:$D,$D163,'F20-2024'!$E:$E,$E163,'F20-2024'!$F:$F,$F163)</f>
        <v>0</v>
      </c>
      <c r="O163" s="140">
        <f ca="1">SUMIFS('F20-2024'!O:O,'F20-2024'!$D:$D,$D163,'F20-2024'!$E:$E,$E163,'F20-2024'!$F:$F,$F163)</f>
        <v>0</v>
      </c>
      <c r="P163" s="140">
        <f ca="1">SUMIFS('F20-2024'!P:P,'F20-2024'!$D:$D,$D163,'F20-2024'!$E:$E,$E163,'F20-2024'!$F:$F,$F163)</f>
        <v>0</v>
      </c>
      <c r="Q163" s="140">
        <f ca="1">SUMIFS('F20-2024'!Q:Q,'F20-2024'!$D:$D,$D163,'F20-2024'!$E:$E,$E163,'F20-2024'!$F:$F,$F163)</f>
        <v>0</v>
      </c>
      <c r="R163" s="140">
        <f ca="1">SUMIFS('F20-2024'!R:R,'F20-2024'!$D:$D,$D163,'F20-2024'!$E:$E,$E163,'F20-2024'!$F:$F,$F163)</f>
        <v>0</v>
      </c>
      <c r="S163" s="140">
        <f ca="1">SUMIFS('F20-2024'!S:S,'F20-2024'!$D:$D,$D163,'F20-2024'!$E:$E,$E163,'F20-2024'!$F:$F,$F163)</f>
        <v>0</v>
      </c>
      <c r="T163" s="140">
        <f ca="1">SUMIFS('F20-2024'!T:T,'F20-2024'!$D:$D,$D163,'F20-2024'!$E:$E,$E163,'F20-2024'!$F:$F,$F163)</f>
        <v>0</v>
      </c>
      <c r="U163" s="140">
        <f ca="1">SUMIFS('F20-2024'!U:U,'F20-2024'!$D:$D,$D163,'F20-2024'!$E:$E,$E163,'F20-2024'!$F:$F,$F163)</f>
        <v>0</v>
      </c>
      <c r="V163" s="140"/>
      <c r="W163" s="141" t="e">
        <f t="shared" ref="W163:AA163" ca="1" si="323">J163/$I163</f>
        <v>#DIV/0!</v>
      </c>
      <c r="X163" s="141" t="e">
        <f t="shared" ca="1" si="323"/>
        <v>#DIV/0!</v>
      </c>
      <c r="Y163" s="141" t="e">
        <f t="shared" ca="1" si="323"/>
        <v>#DIV/0!</v>
      </c>
      <c r="Z163" s="141" t="e">
        <f t="shared" ca="1" si="323"/>
        <v>#DIV/0!</v>
      </c>
      <c r="AA163" s="141" t="e">
        <f t="shared" ca="1" si="323"/>
        <v>#DIV/0!</v>
      </c>
      <c r="AB163" s="141"/>
      <c r="AC163" s="141" t="e">
        <f t="shared" ca="1" si="1"/>
        <v>#DIV/0!</v>
      </c>
      <c r="AD163" s="141" t="e">
        <f t="shared" ref="AD163:AI163" ca="1" si="324">O163/$I163</f>
        <v>#DIV/0!</v>
      </c>
      <c r="AE163" s="141" t="e">
        <f t="shared" ca="1" si="324"/>
        <v>#DIV/0!</v>
      </c>
      <c r="AF163" s="141" t="e">
        <f t="shared" ca="1" si="324"/>
        <v>#DIV/0!</v>
      </c>
      <c r="AG163" s="141" t="e">
        <f t="shared" ca="1" si="324"/>
        <v>#DIV/0!</v>
      </c>
      <c r="AH163" s="141" t="e">
        <f t="shared" ca="1" si="324"/>
        <v>#DIV/0!</v>
      </c>
      <c r="AI163" s="141" t="e">
        <f t="shared" ca="1" si="324"/>
        <v>#DIV/0!</v>
      </c>
      <c r="AJ163" s="140"/>
    </row>
    <row r="164" spans="1:36">
      <c r="A164" s="140" t="e">
        <f ca="1"/>
        <v>#NAME?</v>
      </c>
      <c r="B164" s="140" t="e">
        <f ca="1"/>
        <v>#NAME?</v>
      </c>
      <c r="C164" s="140" t="e">
        <f ca="1"/>
        <v>#NAME?</v>
      </c>
      <c r="D164" s="140" t="e">
        <f ca="1"/>
        <v>#NAME?</v>
      </c>
      <c r="E164" s="140" t="e">
        <f ca="1"/>
        <v>#NAME?</v>
      </c>
      <c r="F164" s="140" t="e">
        <f ca="1"/>
        <v>#NAME?</v>
      </c>
      <c r="G164" s="140" t="e">
        <f ca="1"/>
        <v>#NAME?</v>
      </c>
      <c r="H164" s="140"/>
      <c r="I164" s="140">
        <f ca="1">SUMIFS('F20-2024'!I:I,'F20-2024'!$D:$D,$D164,'F20-2024'!$E:$E,$E164,'F20-2024'!$F:$F,$F164)</f>
        <v>0</v>
      </c>
      <c r="J164" s="140">
        <f ca="1">SUMIFS('F20-2024'!J:J,'F20-2024'!$D:$D,$D164,'F20-2024'!$E:$E,$E164,'F20-2024'!$F:$F,$F164)</f>
        <v>0</v>
      </c>
      <c r="K164" s="140">
        <f ca="1">SUMIFS('F20-2024'!K:K,'F20-2024'!$D:$D,$D164,'F20-2024'!$E:$E,$E164,'F20-2024'!$F:$F,$F164)</f>
        <v>0</v>
      </c>
      <c r="L164" s="140">
        <f ca="1">SUMIFS('F20-2024'!L:L,'F20-2024'!$D:$D,$D164,'F20-2024'!$E:$E,$E164,'F20-2024'!$F:$F,$F164)</f>
        <v>0</v>
      </c>
      <c r="M164" s="140">
        <f ca="1">SUMIFS('F20-2024'!M:M,'F20-2024'!$D:$D,$D164,'F20-2024'!$E:$E,$E164,'F20-2024'!$F:$F,$F164)</f>
        <v>0</v>
      </c>
      <c r="N164" s="140">
        <f ca="1">SUMIFS('F20-2024'!N:N,'F20-2024'!$D:$D,$D164,'F20-2024'!$E:$E,$E164,'F20-2024'!$F:$F,$F164)</f>
        <v>0</v>
      </c>
      <c r="O164" s="140">
        <f ca="1">SUMIFS('F20-2024'!O:O,'F20-2024'!$D:$D,$D164,'F20-2024'!$E:$E,$E164,'F20-2024'!$F:$F,$F164)</f>
        <v>0</v>
      </c>
      <c r="P164" s="140">
        <f ca="1">SUMIFS('F20-2024'!P:P,'F20-2024'!$D:$D,$D164,'F20-2024'!$E:$E,$E164,'F20-2024'!$F:$F,$F164)</f>
        <v>0</v>
      </c>
      <c r="Q164" s="140">
        <f ca="1">SUMIFS('F20-2024'!Q:Q,'F20-2024'!$D:$D,$D164,'F20-2024'!$E:$E,$E164,'F20-2024'!$F:$F,$F164)</f>
        <v>0</v>
      </c>
      <c r="R164" s="140">
        <f ca="1">SUMIFS('F20-2024'!R:R,'F20-2024'!$D:$D,$D164,'F20-2024'!$E:$E,$E164,'F20-2024'!$F:$F,$F164)</f>
        <v>0</v>
      </c>
      <c r="S164" s="140">
        <f ca="1">SUMIFS('F20-2024'!S:S,'F20-2024'!$D:$D,$D164,'F20-2024'!$E:$E,$E164,'F20-2024'!$F:$F,$F164)</f>
        <v>0</v>
      </c>
      <c r="T164" s="140">
        <f ca="1">SUMIFS('F20-2024'!T:T,'F20-2024'!$D:$D,$D164,'F20-2024'!$E:$E,$E164,'F20-2024'!$F:$F,$F164)</f>
        <v>0</v>
      </c>
      <c r="U164" s="140">
        <f ca="1">SUMIFS('F20-2024'!U:U,'F20-2024'!$D:$D,$D164,'F20-2024'!$E:$E,$E164,'F20-2024'!$F:$F,$F164)</f>
        <v>0</v>
      </c>
      <c r="V164" s="140"/>
      <c r="W164" s="141" t="e">
        <f t="shared" ref="W164:AA164" ca="1" si="325">J164/$I164</f>
        <v>#DIV/0!</v>
      </c>
      <c r="X164" s="141" t="e">
        <f t="shared" ca="1" si="325"/>
        <v>#DIV/0!</v>
      </c>
      <c r="Y164" s="141" t="e">
        <f t="shared" ca="1" si="325"/>
        <v>#DIV/0!</v>
      </c>
      <c r="Z164" s="141" t="e">
        <f t="shared" ca="1" si="325"/>
        <v>#DIV/0!</v>
      </c>
      <c r="AA164" s="141" t="e">
        <f t="shared" ca="1" si="325"/>
        <v>#DIV/0!</v>
      </c>
      <c r="AB164" s="141"/>
      <c r="AC164" s="141" t="e">
        <f t="shared" ca="1" si="1"/>
        <v>#DIV/0!</v>
      </c>
      <c r="AD164" s="141" t="e">
        <f t="shared" ref="AD164:AI164" ca="1" si="326">O164/$I164</f>
        <v>#DIV/0!</v>
      </c>
      <c r="AE164" s="141" t="e">
        <f t="shared" ca="1" si="326"/>
        <v>#DIV/0!</v>
      </c>
      <c r="AF164" s="141" t="e">
        <f t="shared" ca="1" si="326"/>
        <v>#DIV/0!</v>
      </c>
      <c r="AG164" s="141" t="e">
        <f t="shared" ca="1" si="326"/>
        <v>#DIV/0!</v>
      </c>
      <c r="AH164" s="141" t="e">
        <f t="shared" ca="1" si="326"/>
        <v>#DIV/0!</v>
      </c>
      <c r="AI164" s="141" t="e">
        <f t="shared" ca="1" si="326"/>
        <v>#DIV/0!</v>
      </c>
      <c r="AJ164" s="140"/>
    </row>
    <row r="165" spans="1:36">
      <c r="A165" s="140" t="e">
        <f ca="1"/>
        <v>#NAME?</v>
      </c>
      <c r="B165" s="140" t="e">
        <f ca="1"/>
        <v>#NAME?</v>
      </c>
      <c r="C165" s="140" t="e">
        <f ca="1"/>
        <v>#NAME?</v>
      </c>
      <c r="D165" s="140" t="e">
        <f ca="1"/>
        <v>#NAME?</v>
      </c>
      <c r="E165" s="140" t="e">
        <f ca="1"/>
        <v>#NAME?</v>
      </c>
      <c r="F165" s="140" t="e">
        <f ca="1"/>
        <v>#NAME?</v>
      </c>
      <c r="G165" s="140" t="e">
        <f ca="1"/>
        <v>#NAME?</v>
      </c>
      <c r="H165" s="140"/>
      <c r="I165" s="140">
        <f ca="1">SUMIFS('F20-2024'!I:I,'F20-2024'!$D:$D,$D165,'F20-2024'!$E:$E,$E165,'F20-2024'!$F:$F,$F165)</f>
        <v>0</v>
      </c>
      <c r="J165" s="140">
        <f ca="1">SUMIFS('F20-2024'!J:J,'F20-2024'!$D:$D,$D165,'F20-2024'!$E:$E,$E165,'F20-2024'!$F:$F,$F165)</f>
        <v>0</v>
      </c>
      <c r="K165" s="140">
        <f ca="1">SUMIFS('F20-2024'!K:K,'F20-2024'!$D:$D,$D165,'F20-2024'!$E:$E,$E165,'F20-2024'!$F:$F,$F165)</f>
        <v>0</v>
      </c>
      <c r="L165" s="140">
        <f ca="1">SUMIFS('F20-2024'!L:L,'F20-2024'!$D:$D,$D165,'F20-2024'!$E:$E,$E165,'F20-2024'!$F:$F,$F165)</f>
        <v>0</v>
      </c>
      <c r="M165" s="140">
        <f ca="1">SUMIFS('F20-2024'!M:M,'F20-2024'!$D:$D,$D165,'F20-2024'!$E:$E,$E165,'F20-2024'!$F:$F,$F165)</f>
        <v>0</v>
      </c>
      <c r="N165" s="140">
        <f ca="1">SUMIFS('F20-2024'!N:N,'F20-2024'!$D:$D,$D165,'F20-2024'!$E:$E,$E165,'F20-2024'!$F:$F,$F165)</f>
        <v>0</v>
      </c>
      <c r="O165" s="140">
        <f ca="1">SUMIFS('F20-2024'!O:O,'F20-2024'!$D:$D,$D165,'F20-2024'!$E:$E,$E165,'F20-2024'!$F:$F,$F165)</f>
        <v>0</v>
      </c>
      <c r="P165" s="140">
        <f ca="1">SUMIFS('F20-2024'!P:P,'F20-2024'!$D:$D,$D165,'F20-2024'!$E:$E,$E165,'F20-2024'!$F:$F,$F165)</f>
        <v>0</v>
      </c>
      <c r="Q165" s="140">
        <f ca="1">SUMIFS('F20-2024'!Q:Q,'F20-2024'!$D:$D,$D165,'F20-2024'!$E:$E,$E165,'F20-2024'!$F:$F,$F165)</f>
        <v>0</v>
      </c>
      <c r="R165" s="140">
        <f ca="1">SUMIFS('F20-2024'!R:R,'F20-2024'!$D:$D,$D165,'F20-2024'!$E:$E,$E165,'F20-2024'!$F:$F,$F165)</f>
        <v>0</v>
      </c>
      <c r="S165" s="140">
        <f ca="1">SUMIFS('F20-2024'!S:S,'F20-2024'!$D:$D,$D165,'F20-2024'!$E:$E,$E165,'F20-2024'!$F:$F,$F165)</f>
        <v>0</v>
      </c>
      <c r="T165" s="140">
        <f ca="1">SUMIFS('F20-2024'!T:T,'F20-2024'!$D:$D,$D165,'F20-2024'!$E:$E,$E165,'F20-2024'!$F:$F,$F165)</f>
        <v>0</v>
      </c>
      <c r="U165" s="140">
        <f ca="1">SUMIFS('F20-2024'!U:U,'F20-2024'!$D:$D,$D165,'F20-2024'!$E:$E,$E165,'F20-2024'!$F:$F,$F165)</f>
        <v>0</v>
      </c>
      <c r="V165" s="140"/>
      <c r="W165" s="141" t="e">
        <f t="shared" ref="W165:AA165" ca="1" si="327">J165/$I165</f>
        <v>#DIV/0!</v>
      </c>
      <c r="X165" s="141" t="e">
        <f t="shared" ca="1" si="327"/>
        <v>#DIV/0!</v>
      </c>
      <c r="Y165" s="141" t="e">
        <f t="shared" ca="1" si="327"/>
        <v>#DIV/0!</v>
      </c>
      <c r="Z165" s="141" t="e">
        <f t="shared" ca="1" si="327"/>
        <v>#DIV/0!</v>
      </c>
      <c r="AA165" s="141" t="e">
        <f t="shared" ca="1" si="327"/>
        <v>#DIV/0!</v>
      </c>
      <c r="AB165" s="141"/>
      <c r="AC165" s="141" t="e">
        <f t="shared" ca="1" si="1"/>
        <v>#DIV/0!</v>
      </c>
      <c r="AD165" s="141" t="e">
        <f t="shared" ref="AD165:AI165" ca="1" si="328">O165/$I165</f>
        <v>#DIV/0!</v>
      </c>
      <c r="AE165" s="141" t="e">
        <f t="shared" ca="1" si="328"/>
        <v>#DIV/0!</v>
      </c>
      <c r="AF165" s="141" t="e">
        <f t="shared" ca="1" si="328"/>
        <v>#DIV/0!</v>
      </c>
      <c r="AG165" s="141" t="e">
        <f t="shared" ca="1" si="328"/>
        <v>#DIV/0!</v>
      </c>
      <c r="AH165" s="141" t="e">
        <f t="shared" ca="1" si="328"/>
        <v>#DIV/0!</v>
      </c>
      <c r="AI165" s="141" t="e">
        <f t="shared" ca="1" si="328"/>
        <v>#DIV/0!</v>
      </c>
      <c r="AJ165" s="140"/>
    </row>
    <row r="166" spans="1:36">
      <c r="A166" s="140" t="e">
        <f ca="1"/>
        <v>#NAME?</v>
      </c>
      <c r="B166" s="140" t="e">
        <f ca="1"/>
        <v>#NAME?</v>
      </c>
      <c r="C166" s="140" t="e">
        <f ca="1"/>
        <v>#NAME?</v>
      </c>
      <c r="D166" s="140" t="e">
        <f ca="1"/>
        <v>#NAME?</v>
      </c>
      <c r="E166" s="140" t="e">
        <f ca="1"/>
        <v>#NAME?</v>
      </c>
      <c r="F166" s="140" t="e">
        <f ca="1"/>
        <v>#NAME?</v>
      </c>
      <c r="G166" s="140" t="e">
        <f ca="1"/>
        <v>#NAME?</v>
      </c>
      <c r="H166" s="140"/>
      <c r="I166" s="140">
        <f ca="1">SUMIFS('F20-2024'!I:I,'F20-2024'!$D:$D,$D166,'F20-2024'!$E:$E,$E166,'F20-2024'!$F:$F,$F166)</f>
        <v>0</v>
      </c>
      <c r="J166" s="140">
        <f ca="1">SUMIFS('F20-2024'!J:J,'F20-2024'!$D:$D,$D166,'F20-2024'!$E:$E,$E166,'F20-2024'!$F:$F,$F166)</f>
        <v>0</v>
      </c>
      <c r="K166" s="140">
        <f ca="1">SUMIFS('F20-2024'!K:K,'F20-2024'!$D:$D,$D166,'F20-2024'!$E:$E,$E166,'F20-2024'!$F:$F,$F166)</f>
        <v>0</v>
      </c>
      <c r="L166" s="140">
        <f ca="1">SUMIFS('F20-2024'!L:L,'F20-2024'!$D:$D,$D166,'F20-2024'!$E:$E,$E166,'F20-2024'!$F:$F,$F166)</f>
        <v>0</v>
      </c>
      <c r="M166" s="140">
        <f ca="1">SUMIFS('F20-2024'!M:M,'F20-2024'!$D:$D,$D166,'F20-2024'!$E:$E,$E166,'F20-2024'!$F:$F,$F166)</f>
        <v>0</v>
      </c>
      <c r="N166" s="140">
        <f ca="1">SUMIFS('F20-2024'!N:N,'F20-2024'!$D:$D,$D166,'F20-2024'!$E:$E,$E166,'F20-2024'!$F:$F,$F166)</f>
        <v>0</v>
      </c>
      <c r="O166" s="140">
        <f ca="1">SUMIFS('F20-2024'!O:O,'F20-2024'!$D:$D,$D166,'F20-2024'!$E:$E,$E166,'F20-2024'!$F:$F,$F166)</f>
        <v>0</v>
      </c>
      <c r="P166" s="140">
        <f ca="1">SUMIFS('F20-2024'!P:P,'F20-2024'!$D:$D,$D166,'F20-2024'!$E:$E,$E166,'F20-2024'!$F:$F,$F166)</f>
        <v>0</v>
      </c>
      <c r="Q166" s="140">
        <f ca="1">SUMIFS('F20-2024'!Q:Q,'F20-2024'!$D:$D,$D166,'F20-2024'!$E:$E,$E166,'F20-2024'!$F:$F,$F166)</f>
        <v>0</v>
      </c>
      <c r="R166" s="140">
        <f ca="1">SUMIFS('F20-2024'!R:R,'F20-2024'!$D:$D,$D166,'F20-2024'!$E:$E,$E166,'F20-2024'!$F:$F,$F166)</f>
        <v>0</v>
      </c>
      <c r="S166" s="140">
        <f ca="1">SUMIFS('F20-2024'!S:S,'F20-2024'!$D:$D,$D166,'F20-2024'!$E:$E,$E166,'F20-2024'!$F:$F,$F166)</f>
        <v>0</v>
      </c>
      <c r="T166" s="140">
        <f ca="1">SUMIFS('F20-2024'!T:T,'F20-2024'!$D:$D,$D166,'F20-2024'!$E:$E,$E166,'F20-2024'!$F:$F,$F166)</f>
        <v>0</v>
      </c>
      <c r="U166" s="140">
        <f ca="1">SUMIFS('F20-2024'!U:U,'F20-2024'!$D:$D,$D166,'F20-2024'!$E:$E,$E166,'F20-2024'!$F:$F,$F166)</f>
        <v>0</v>
      </c>
      <c r="V166" s="140"/>
      <c r="W166" s="141" t="e">
        <f t="shared" ref="W166:AA166" ca="1" si="329">J166/$I166</f>
        <v>#DIV/0!</v>
      </c>
      <c r="X166" s="141" t="e">
        <f t="shared" ca="1" si="329"/>
        <v>#DIV/0!</v>
      </c>
      <c r="Y166" s="141" t="e">
        <f t="shared" ca="1" si="329"/>
        <v>#DIV/0!</v>
      </c>
      <c r="Z166" s="141" t="e">
        <f t="shared" ca="1" si="329"/>
        <v>#DIV/0!</v>
      </c>
      <c r="AA166" s="141" t="e">
        <f t="shared" ca="1" si="329"/>
        <v>#DIV/0!</v>
      </c>
      <c r="AB166" s="141"/>
      <c r="AC166" s="141" t="e">
        <f t="shared" ca="1" si="1"/>
        <v>#DIV/0!</v>
      </c>
      <c r="AD166" s="141" t="e">
        <f t="shared" ref="AD166:AI166" ca="1" si="330">O166/$I166</f>
        <v>#DIV/0!</v>
      </c>
      <c r="AE166" s="141" t="e">
        <f t="shared" ca="1" si="330"/>
        <v>#DIV/0!</v>
      </c>
      <c r="AF166" s="141" t="e">
        <f t="shared" ca="1" si="330"/>
        <v>#DIV/0!</v>
      </c>
      <c r="AG166" s="141" t="e">
        <f t="shared" ca="1" si="330"/>
        <v>#DIV/0!</v>
      </c>
      <c r="AH166" s="141" t="e">
        <f t="shared" ca="1" si="330"/>
        <v>#DIV/0!</v>
      </c>
      <c r="AI166" s="141" t="e">
        <f t="shared" ca="1" si="330"/>
        <v>#DIV/0!</v>
      </c>
      <c r="AJ166" s="140"/>
    </row>
    <row r="167" spans="1:36">
      <c r="A167" s="140" t="e">
        <f ca="1"/>
        <v>#NAME?</v>
      </c>
      <c r="B167" s="140" t="e">
        <f ca="1"/>
        <v>#NAME?</v>
      </c>
      <c r="C167" s="140" t="e">
        <f ca="1"/>
        <v>#NAME?</v>
      </c>
      <c r="D167" s="140" t="e">
        <f ca="1"/>
        <v>#NAME?</v>
      </c>
      <c r="E167" s="140" t="e">
        <f ca="1"/>
        <v>#NAME?</v>
      </c>
      <c r="F167" s="140" t="e">
        <f ca="1"/>
        <v>#NAME?</v>
      </c>
      <c r="G167" s="140" t="e">
        <f ca="1"/>
        <v>#NAME?</v>
      </c>
      <c r="H167" s="140"/>
      <c r="I167" s="140">
        <f ca="1">SUMIFS('F20-2024'!I:I,'F20-2024'!$D:$D,$D167,'F20-2024'!$E:$E,$E167,'F20-2024'!$F:$F,$F167)</f>
        <v>0</v>
      </c>
      <c r="J167" s="140">
        <f ca="1">SUMIFS('F20-2024'!J:J,'F20-2024'!$D:$D,$D167,'F20-2024'!$E:$E,$E167,'F20-2024'!$F:$F,$F167)</f>
        <v>0</v>
      </c>
      <c r="K167" s="140">
        <f ca="1">SUMIFS('F20-2024'!K:K,'F20-2024'!$D:$D,$D167,'F20-2024'!$E:$E,$E167,'F20-2024'!$F:$F,$F167)</f>
        <v>0</v>
      </c>
      <c r="L167" s="140">
        <f ca="1">SUMIFS('F20-2024'!L:L,'F20-2024'!$D:$D,$D167,'F20-2024'!$E:$E,$E167,'F20-2024'!$F:$F,$F167)</f>
        <v>0</v>
      </c>
      <c r="M167" s="140">
        <f ca="1">SUMIFS('F20-2024'!M:M,'F20-2024'!$D:$D,$D167,'F20-2024'!$E:$E,$E167,'F20-2024'!$F:$F,$F167)</f>
        <v>0</v>
      </c>
      <c r="N167" s="140">
        <f ca="1">SUMIFS('F20-2024'!N:N,'F20-2024'!$D:$D,$D167,'F20-2024'!$E:$E,$E167,'F20-2024'!$F:$F,$F167)</f>
        <v>0</v>
      </c>
      <c r="O167" s="140">
        <f ca="1">SUMIFS('F20-2024'!O:O,'F20-2024'!$D:$D,$D167,'F20-2024'!$E:$E,$E167,'F20-2024'!$F:$F,$F167)</f>
        <v>0</v>
      </c>
      <c r="P167" s="140">
        <f ca="1">SUMIFS('F20-2024'!P:P,'F20-2024'!$D:$D,$D167,'F20-2024'!$E:$E,$E167,'F20-2024'!$F:$F,$F167)</f>
        <v>0</v>
      </c>
      <c r="Q167" s="140">
        <f ca="1">SUMIFS('F20-2024'!Q:Q,'F20-2024'!$D:$D,$D167,'F20-2024'!$E:$E,$E167,'F20-2024'!$F:$F,$F167)</f>
        <v>0</v>
      </c>
      <c r="R167" s="140">
        <f ca="1">SUMIFS('F20-2024'!R:R,'F20-2024'!$D:$D,$D167,'F20-2024'!$E:$E,$E167,'F20-2024'!$F:$F,$F167)</f>
        <v>0</v>
      </c>
      <c r="S167" s="140">
        <f ca="1">SUMIFS('F20-2024'!S:S,'F20-2024'!$D:$D,$D167,'F20-2024'!$E:$E,$E167,'F20-2024'!$F:$F,$F167)</f>
        <v>0</v>
      </c>
      <c r="T167" s="140">
        <f ca="1">SUMIFS('F20-2024'!T:T,'F20-2024'!$D:$D,$D167,'F20-2024'!$E:$E,$E167,'F20-2024'!$F:$F,$F167)</f>
        <v>0</v>
      </c>
      <c r="U167" s="140">
        <f ca="1">SUMIFS('F20-2024'!U:U,'F20-2024'!$D:$D,$D167,'F20-2024'!$E:$E,$E167,'F20-2024'!$F:$F,$F167)</f>
        <v>0</v>
      </c>
      <c r="V167" s="140"/>
      <c r="W167" s="141" t="e">
        <f t="shared" ref="W167:AA167" ca="1" si="331">J167/$I167</f>
        <v>#DIV/0!</v>
      </c>
      <c r="X167" s="141" t="e">
        <f t="shared" ca="1" si="331"/>
        <v>#DIV/0!</v>
      </c>
      <c r="Y167" s="141" t="e">
        <f t="shared" ca="1" si="331"/>
        <v>#DIV/0!</v>
      </c>
      <c r="Z167" s="141" t="e">
        <f t="shared" ca="1" si="331"/>
        <v>#DIV/0!</v>
      </c>
      <c r="AA167" s="141" t="e">
        <f t="shared" ca="1" si="331"/>
        <v>#DIV/0!</v>
      </c>
      <c r="AB167" s="141"/>
      <c r="AC167" s="141" t="e">
        <f t="shared" ca="1" si="1"/>
        <v>#DIV/0!</v>
      </c>
      <c r="AD167" s="141" t="e">
        <f t="shared" ref="AD167:AI167" ca="1" si="332">O167/$I167</f>
        <v>#DIV/0!</v>
      </c>
      <c r="AE167" s="141" t="e">
        <f t="shared" ca="1" si="332"/>
        <v>#DIV/0!</v>
      </c>
      <c r="AF167" s="141" t="e">
        <f t="shared" ca="1" si="332"/>
        <v>#DIV/0!</v>
      </c>
      <c r="AG167" s="141" t="e">
        <f t="shared" ca="1" si="332"/>
        <v>#DIV/0!</v>
      </c>
      <c r="AH167" s="141" t="e">
        <f t="shared" ca="1" si="332"/>
        <v>#DIV/0!</v>
      </c>
      <c r="AI167" s="141" t="e">
        <f t="shared" ca="1" si="332"/>
        <v>#DIV/0!</v>
      </c>
      <c r="AJ167" s="140"/>
    </row>
    <row r="168" spans="1:36">
      <c r="A168" s="140" t="e">
        <f ca="1"/>
        <v>#NAME?</v>
      </c>
      <c r="B168" s="140" t="e">
        <f ca="1"/>
        <v>#NAME?</v>
      </c>
      <c r="C168" s="140" t="e">
        <f ca="1"/>
        <v>#NAME?</v>
      </c>
      <c r="D168" s="140" t="e">
        <f ca="1"/>
        <v>#NAME?</v>
      </c>
      <c r="E168" s="140" t="e">
        <f ca="1"/>
        <v>#NAME?</v>
      </c>
      <c r="F168" s="140" t="e">
        <f ca="1"/>
        <v>#NAME?</v>
      </c>
      <c r="G168" s="140" t="e">
        <f ca="1"/>
        <v>#NAME?</v>
      </c>
      <c r="H168" s="140"/>
      <c r="I168" s="140">
        <f ca="1">SUMIFS('F20-2024'!I:I,'F20-2024'!$D:$D,$D168,'F20-2024'!$E:$E,$E168,'F20-2024'!$F:$F,$F168)</f>
        <v>0</v>
      </c>
      <c r="J168" s="140">
        <f ca="1">SUMIFS('F20-2024'!J:J,'F20-2024'!$D:$D,$D168,'F20-2024'!$E:$E,$E168,'F20-2024'!$F:$F,$F168)</f>
        <v>0</v>
      </c>
      <c r="K168" s="140">
        <f ca="1">SUMIFS('F20-2024'!K:K,'F20-2024'!$D:$D,$D168,'F20-2024'!$E:$E,$E168,'F20-2024'!$F:$F,$F168)</f>
        <v>0</v>
      </c>
      <c r="L168" s="140">
        <f ca="1">SUMIFS('F20-2024'!L:L,'F20-2024'!$D:$D,$D168,'F20-2024'!$E:$E,$E168,'F20-2024'!$F:$F,$F168)</f>
        <v>0</v>
      </c>
      <c r="M168" s="140">
        <f ca="1">SUMIFS('F20-2024'!M:M,'F20-2024'!$D:$D,$D168,'F20-2024'!$E:$E,$E168,'F20-2024'!$F:$F,$F168)</f>
        <v>0</v>
      </c>
      <c r="N168" s="140">
        <f ca="1">SUMIFS('F20-2024'!N:N,'F20-2024'!$D:$D,$D168,'F20-2024'!$E:$E,$E168,'F20-2024'!$F:$F,$F168)</f>
        <v>0</v>
      </c>
      <c r="O168" s="140">
        <f ca="1">SUMIFS('F20-2024'!O:O,'F20-2024'!$D:$D,$D168,'F20-2024'!$E:$E,$E168,'F20-2024'!$F:$F,$F168)</f>
        <v>0</v>
      </c>
      <c r="P168" s="140">
        <f ca="1">SUMIFS('F20-2024'!P:P,'F20-2024'!$D:$D,$D168,'F20-2024'!$E:$E,$E168,'F20-2024'!$F:$F,$F168)</f>
        <v>0</v>
      </c>
      <c r="Q168" s="140">
        <f ca="1">SUMIFS('F20-2024'!Q:Q,'F20-2024'!$D:$D,$D168,'F20-2024'!$E:$E,$E168,'F20-2024'!$F:$F,$F168)</f>
        <v>0</v>
      </c>
      <c r="R168" s="140">
        <f ca="1">SUMIFS('F20-2024'!R:R,'F20-2024'!$D:$D,$D168,'F20-2024'!$E:$E,$E168,'F20-2024'!$F:$F,$F168)</f>
        <v>0</v>
      </c>
      <c r="S168" s="140">
        <f ca="1">SUMIFS('F20-2024'!S:S,'F20-2024'!$D:$D,$D168,'F20-2024'!$E:$E,$E168,'F20-2024'!$F:$F,$F168)</f>
        <v>0</v>
      </c>
      <c r="T168" s="140">
        <f ca="1">SUMIFS('F20-2024'!T:T,'F20-2024'!$D:$D,$D168,'F20-2024'!$E:$E,$E168,'F20-2024'!$F:$F,$F168)</f>
        <v>0</v>
      </c>
      <c r="U168" s="140">
        <f ca="1">SUMIFS('F20-2024'!U:U,'F20-2024'!$D:$D,$D168,'F20-2024'!$E:$E,$E168,'F20-2024'!$F:$F,$F168)</f>
        <v>0</v>
      </c>
      <c r="V168" s="140"/>
      <c r="W168" s="141" t="e">
        <f t="shared" ref="W168:AA168" ca="1" si="333">J168/$I168</f>
        <v>#DIV/0!</v>
      </c>
      <c r="X168" s="141" t="e">
        <f t="shared" ca="1" si="333"/>
        <v>#DIV/0!</v>
      </c>
      <c r="Y168" s="141" t="e">
        <f t="shared" ca="1" si="333"/>
        <v>#DIV/0!</v>
      </c>
      <c r="Z168" s="141" t="e">
        <f t="shared" ca="1" si="333"/>
        <v>#DIV/0!</v>
      </c>
      <c r="AA168" s="141" t="e">
        <f t="shared" ca="1" si="333"/>
        <v>#DIV/0!</v>
      </c>
      <c r="AB168" s="141"/>
      <c r="AC168" s="141" t="e">
        <f t="shared" ca="1" si="1"/>
        <v>#DIV/0!</v>
      </c>
      <c r="AD168" s="141" t="e">
        <f t="shared" ref="AD168:AI168" ca="1" si="334">O168/$I168</f>
        <v>#DIV/0!</v>
      </c>
      <c r="AE168" s="141" t="e">
        <f t="shared" ca="1" si="334"/>
        <v>#DIV/0!</v>
      </c>
      <c r="AF168" s="141" t="e">
        <f t="shared" ca="1" si="334"/>
        <v>#DIV/0!</v>
      </c>
      <c r="AG168" s="141" t="e">
        <f t="shared" ca="1" si="334"/>
        <v>#DIV/0!</v>
      </c>
      <c r="AH168" s="141" t="e">
        <f t="shared" ca="1" si="334"/>
        <v>#DIV/0!</v>
      </c>
      <c r="AI168" s="141" t="e">
        <f t="shared" ca="1" si="334"/>
        <v>#DIV/0!</v>
      </c>
      <c r="AJ168" s="140"/>
    </row>
    <row r="169" spans="1:36">
      <c r="A169" s="140" t="e">
        <f ca="1"/>
        <v>#NAME?</v>
      </c>
      <c r="B169" s="140" t="e">
        <f ca="1"/>
        <v>#NAME?</v>
      </c>
      <c r="C169" s="140" t="e">
        <f ca="1"/>
        <v>#NAME?</v>
      </c>
      <c r="D169" s="140" t="e">
        <f ca="1"/>
        <v>#NAME?</v>
      </c>
      <c r="E169" s="140" t="e">
        <f ca="1"/>
        <v>#NAME?</v>
      </c>
      <c r="F169" s="140" t="e">
        <f ca="1"/>
        <v>#NAME?</v>
      </c>
      <c r="G169" s="140" t="e">
        <f ca="1"/>
        <v>#NAME?</v>
      </c>
      <c r="H169" s="140"/>
      <c r="I169" s="140">
        <f ca="1">SUMIFS('F20-2024'!I:I,'F20-2024'!$D:$D,$D169,'F20-2024'!$E:$E,$E169,'F20-2024'!$F:$F,$F169)</f>
        <v>0</v>
      </c>
      <c r="J169" s="140">
        <f ca="1">SUMIFS('F20-2024'!J:J,'F20-2024'!$D:$D,$D169,'F20-2024'!$E:$E,$E169,'F20-2024'!$F:$F,$F169)</f>
        <v>0</v>
      </c>
      <c r="K169" s="140">
        <f ca="1">SUMIFS('F20-2024'!K:K,'F20-2024'!$D:$D,$D169,'F20-2024'!$E:$E,$E169,'F20-2024'!$F:$F,$F169)</f>
        <v>0</v>
      </c>
      <c r="L169" s="140">
        <f ca="1">SUMIFS('F20-2024'!L:L,'F20-2024'!$D:$D,$D169,'F20-2024'!$E:$E,$E169,'F20-2024'!$F:$F,$F169)</f>
        <v>0</v>
      </c>
      <c r="M169" s="140">
        <f ca="1">SUMIFS('F20-2024'!M:M,'F20-2024'!$D:$D,$D169,'F20-2024'!$E:$E,$E169,'F20-2024'!$F:$F,$F169)</f>
        <v>0</v>
      </c>
      <c r="N169" s="140">
        <f ca="1">SUMIFS('F20-2024'!N:N,'F20-2024'!$D:$D,$D169,'F20-2024'!$E:$E,$E169,'F20-2024'!$F:$F,$F169)</f>
        <v>0</v>
      </c>
      <c r="O169" s="140">
        <f ca="1">SUMIFS('F20-2024'!O:O,'F20-2024'!$D:$D,$D169,'F20-2024'!$E:$E,$E169,'F20-2024'!$F:$F,$F169)</f>
        <v>0</v>
      </c>
      <c r="P169" s="140">
        <f ca="1">SUMIFS('F20-2024'!P:P,'F20-2024'!$D:$D,$D169,'F20-2024'!$E:$E,$E169,'F20-2024'!$F:$F,$F169)</f>
        <v>0</v>
      </c>
      <c r="Q169" s="140">
        <f ca="1">SUMIFS('F20-2024'!Q:Q,'F20-2024'!$D:$D,$D169,'F20-2024'!$E:$E,$E169,'F20-2024'!$F:$F,$F169)</f>
        <v>0</v>
      </c>
      <c r="R169" s="140">
        <f ca="1">SUMIFS('F20-2024'!R:R,'F20-2024'!$D:$D,$D169,'F20-2024'!$E:$E,$E169,'F20-2024'!$F:$F,$F169)</f>
        <v>0</v>
      </c>
      <c r="S169" s="140">
        <f ca="1">SUMIFS('F20-2024'!S:S,'F20-2024'!$D:$D,$D169,'F20-2024'!$E:$E,$E169,'F20-2024'!$F:$F,$F169)</f>
        <v>0</v>
      </c>
      <c r="T169" s="140">
        <f ca="1">SUMIFS('F20-2024'!T:T,'F20-2024'!$D:$D,$D169,'F20-2024'!$E:$E,$E169,'F20-2024'!$F:$F,$F169)</f>
        <v>0</v>
      </c>
      <c r="U169" s="140">
        <f ca="1">SUMIFS('F20-2024'!U:U,'F20-2024'!$D:$D,$D169,'F20-2024'!$E:$E,$E169,'F20-2024'!$F:$F,$F169)</f>
        <v>0</v>
      </c>
      <c r="V169" s="140"/>
      <c r="W169" s="141" t="e">
        <f t="shared" ref="W169:AA169" ca="1" si="335">J169/$I169</f>
        <v>#DIV/0!</v>
      </c>
      <c r="X169" s="141" t="e">
        <f t="shared" ca="1" si="335"/>
        <v>#DIV/0!</v>
      </c>
      <c r="Y169" s="141" t="e">
        <f t="shared" ca="1" si="335"/>
        <v>#DIV/0!</v>
      </c>
      <c r="Z169" s="141" t="e">
        <f t="shared" ca="1" si="335"/>
        <v>#DIV/0!</v>
      </c>
      <c r="AA169" s="141" t="e">
        <f t="shared" ca="1" si="335"/>
        <v>#DIV/0!</v>
      </c>
      <c r="AB169" s="141"/>
      <c r="AC169" s="141" t="e">
        <f t="shared" ca="1" si="1"/>
        <v>#DIV/0!</v>
      </c>
      <c r="AD169" s="141" t="e">
        <f t="shared" ref="AD169:AI169" ca="1" si="336">O169/$I169</f>
        <v>#DIV/0!</v>
      </c>
      <c r="AE169" s="141" t="e">
        <f t="shared" ca="1" si="336"/>
        <v>#DIV/0!</v>
      </c>
      <c r="AF169" s="141" t="e">
        <f t="shared" ca="1" si="336"/>
        <v>#DIV/0!</v>
      </c>
      <c r="AG169" s="141" t="e">
        <f t="shared" ca="1" si="336"/>
        <v>#DIV/0!</v>
      </c>
      <c r="AH169" s="141" t="e">
        <f t="shared" ca="1" si="336"/>
        <v>#DIV/0!</v>
      </c>
      <c r="AI169" s="141" t="e">
        <f t="shared" ca="1" si="336"/>
        <v>#DIV/0!</v>
      </c>
      <c r="AJ169" s="140"/>
    </row>
    <row r="170" spans="1:36">
      <c r="A170" s="140" t="e">
        <f ca="1"/>
        <v>#NAME?</v>
      </c>
      <c r="B170" s="140" t="e">
        <f ca="1"/>
        <v>#NAME?</v>
      </c>
      <c r="C170" s="140" t="e">
        <f ca="1"/>
        <v>#NAME?</v>
      </c>
      <c r="D170" s="140" t="e">
        <f ca="1"/>
        <v>#NAME?</v>
      </c>
      <c r="E170" s="140" t="e">
        <f ca="1"/>
        <v>#NAME?</v>
      </c>
      <c r="F170" s="140" t="e">
        <f ca="1"/>
        <v>#NAME?</v>
      </c>
      <c r="G170" s="140" t="e">
        <f ca="1"/>
        <v>#NAME?</v>
      </c>
      <c r="H170" s="140"/>
      <c r="I170" s="140">
        <f ca="1">SUMIFS('F20-2024'!I:I,'F20-2024'!$D:$D,$D170,'F20-2024'!$E:$E,$E170,'F20-2024'!$F:$F,$F170)</f>
        <v>0</v>
      </c>
      <c r="J170" s="140">
        <f ca="1">SUMIFS('F20-2024'!J:J,'F20-2024'!$D:$D,$D170,'F20-2024'!$E:$E,$E170,'F20-2024'!$F:$F,$F170)</f>
        <v>0</v>
      </c>
      <c r="K170" s="140">
        <f ca="1">SUMIFS('F20-2024'!K:K,'F20-2024'!$D:$D,$D170,'F20-2024'!$E:$E,$E170,'F20-2024'!$F:$F,$F170)</f>
        <v>0</v>
      </c>
      <c r="L170" s="140">
        <f ca="1">SUMIFS('F20-2024'!L:L,'F20-2024'!$D:$D,$D170,'F20-2024'!$E:$E,$E170,'F20-2024'!$F:$F,$F170)</f>
        <v>0</v>
      </c>
      <c r="M170" s="140">
        <f ca="1">SUMIFS('F20-2024'!M:M,'F20-2024'!$D:$D,$D170,'F20-2024'!$E:$E,$E170,'F20-2024'!$F:$F,$F170)</f>
        <v>0</v>
      </c>
      <c r="N170" s="140">
        <f ca="1">SUMIFS('F20-2024'!N:N,'F20-2024'!$D:$D,$D170,'F20-2024'!$E:$E,$E170,'F20-2024'!$F:$F,$F170)</f>
        <v>0</v>
      </c>
      <c r="O170" s="140">
        <f ca="1">SUMIFS('F20-2024'!O:O,'F20-2024'!$D:$D,$D170,'F20-2024'!$E:$E,$E170,'F20-2024'!$F:$F,$F170)</f>
        <v>0</v>
      </c>
      <c r="P170" s="140">
        <f ca="1">SUMIFS('F20-2024'!P:P,'F20-2024'!$D:$D,$D170,'F20-2024'!$E:$E,$E170,'F20-2024'!$F:$F,$F170)</f>
        <v>0</v>
      </c>
      <c r="Q170" s="140">
        <f ca="1">SUMIFS('F20-2024'!Q:Q,'F20-2024'!$D:$D,$D170,'F20-2024'!$E:$E,$E170,'F20-2024'!$F:$F,$F170)</f>
        <v>0</v>
      </c>
      <c r="R170" s="140">
        <f ca="1">SUMIFS('F20-2024'!R:R,'F20-2024'!$D:$D,$D170,'F20-2024'!$E:$E,$E170,'F20-2024'!$F:$F,$F170)</f>
        <v>0</v>
      </c>
      <c r="S170" s="140">
        <f ca="1">SUMIFS('F20-2024'!S:S,'F20-2024'!$D:$D,$D170,'F20-2024'!$E:$E,$E170,'F20-2024'!$F:$F,$F170)</f>
        <v>0</v>
      </c>
      <c r="T170" s="140">
        <f ca="1">SUMIFS('F20-2024'!T:T,'F20-2024'!$D:$D,$D170,'F20-2024'!$E:$E,$E170,'F20-2024'!$F:$F,$F170)</f>
        <v>0</v>
      </c>
      <c r="U170" s="140">
        <f ca="1">SUMIFS('F20-2024'!U:U,'F20-2024'!$D:$D,$D170,'F20-2024'!$E:$E,$E170,'F20-2024'!$F:$F,$F170)</f>
        <v>0</v>
      </c>
      <c r="V170" s="140"/>
      <c r="W170" s="141" t="e">
        <f t="shared" ref="W170:AA170" ca="1" si="337">J170/$I170</f>
        <v>#DIV/0!</v>
      </c>
      <c r="X170" s="141" t="e">
        <f t="shared" ca="1" si="337"/>
        <v>#DIV/0!</v>
      </c>
      <c r="Y170" s="141" t="e">
        <f t="shared" ca="1" si="337"/>
        <v>#DIV/0!</v>
      </c>
      <c r="Z170" s="141" t="e">
        <f t="shared" ca="1" si="337"/>
        <v>#DIV/0!</v>
      </c>
      <c r="AA170" s="141" t="e">
        <f t="shared" ca="1" si="337"/>
        <v>#DIV/0!</v>
      </c>
      <c r="AB170" s="141"/>
      <c r="AC170" s="141" t="e">
        <f t="shared" ca="1" si="1"/>
        <v>#DIV/0!</v>
      </c>
      <c r="AD170" s="141" t="e">
        <f t="shared" ref="AD170:AI170" ca="1" si="338">O170/$I170</f>
        <v>#DIV/0!</v>
      </c>
      <c r="AE170" s="141" t="e">
        <f t="shared" ca="1" si="338"/>
        <v>#DIV/0!</v>
      </c>
      <c r="AF170" s="141" t="e">
        <f t="shared" ca="1" si="338"/>
        <v>#DIV/0!</v>
      </c>
      <c r="AG170" s="141" t="e">
        <f t="shared" ca="1" si="338"/>
        <v>#DIV/0!</v>
      </c>
      <c r="AH170" s="141" t="e">
        <f t="shared" ca="1" si="338"/>
        <v>#DIV/0!</v>
      </c>
      <c r="AI170" s="141" t="e">
        <f t="shared" ca="1" si="338"/>
        <v>#DIV/0!</v>
      </c>
      <c r="AJ170" s="140"/>
    </row>
    <row r="171" spans="1:36">
      <c r="A171" s="140" t="e">
        <f ca="1"/>
        <v>#NAME?</v>
      </c>
      <c r="B171" s="140" t="e">
        <f ca="1"/>
        <v>#NAME?</v>
      </c>
      <c r="C171" s="140" t="e">
        <f ca="1"/>
        <v>#NAME?</v>
      </c>
      <c r="D171" s="140" t="e">
        <f ca="1"/>
        <v>#NAME?</v>
      </c>
      <c r="E171" s="140" t="e">
        <f ca="1"/>
        <v>#NAME?</v>
      </c>
      <c r="F171" s="140" t="e">
        <f ca="1"/>
        <v>#NAME?</v>
      </c>
      <c r="G171" s="140" t="e">
        <f ca="1"/>
        <v>#NAME?</v>
      </c>
      <c r="H171" s="140"/>
      <c r="I171" s="140">
        <f ca="1">SUMIFS('F20-2024'!I:I,'F20-2024'!$D:$D,$D171,'F20-2024'!$E:$E,$E171,'F20-2024'!$F:$F,$F171)</f>
        <v>0</v>
      </c>
      <c r="J171" s="140">
        <f ca="1">SUMIFS('F20-2024'!J:J,'F20-2024'!$D:$D,$D171,'F20-2024'!$E:$E,$E171,'F20-2024'!$F:$F,$F171)</f>
        <v>0</v>
      </c>
      <c r="K171" s="140">
        <f ca="1">SUMIFS('F20-2024'!K:K,'F20-2024'!$D:$D,$D171,'F20-2024'!$E:$E,$E171,'F20-2024'!$F:$F,$F171)</f>
        <v>0</v>
      </c>
      <c r="L171" s="140">
        <f ca="1">SUMIFS('F20-2024'!L:L,'F20-2024'!$D:$D,$D171,'F20-2024'!$E:$E,$E171,'F20-2024'!$F:$F,$F171)</f>
        <v>0</v>
      </c>
      <c r="M171" s="140">
        <f ca="1">SUMIFS('F20-2024'!M:M,'F20-2024'!$D:$D,$D171,'F20-2024'!$E:$E,$E171,'F20-2024'!$F:$F,$F171)</f>
        <v>0</v>
      </c>
      <c r="N171" s="140">
        <f ca="1">SUMIFS('F20-2024'!N:N,'F20-2024'!$D:$D,$D171,'F20-2024'!$E:$E,$E171,'F20-2024'!$F:$F,$F171)</f>
        <v>0</v>
      </c>
      <c r="O171" s="140">
        <f ca="1">SUMIFS('F20-2024'!O:O,'F20-2024'!$D:$D,$D171,'F20-2024'!$E:$E,$E171,'F20-2024'!$F:$F,$F171)</f>
        <v>0</v>
      </c>
      <c r="P171" s="140">
        <f ca="1">SUMIFS('F20-2024'!P:P,'F20-2024'!$D:$D,$D171,'F20-2024'!$E:$E,$E171,'F20-2024'!$F:$F,$F171)</f>
        <v>0</v>
      </c>
      <c r="Q171" s="140">
        <f ca="1">SUMIFS('F20-2024'!Q:Q,'F20-2024'!$D:$D,$D171,'F20-2024'!$E:$E,$E171,'F20-2024'!$F:$F,$F171)</f>
        <v>0</v>
      </c>
      <c r="R171" s="140">
        <f ca="1">SUMIFS('F20-2024'!R:R,'F20-2024'!$D:$D,$D171,'F20-2024'!$E:$E,$E171,'F20-2024'!$F:$F,$F171)</f>
        <v>0</v>
      </c>
      <c r="S171" s="140">
        <f ca="1">SUMIFS('F20-2024'!S:S,'F20-2024'!$D:$D,$D171,'F20-2024'!$E:$E,$E171,'F20-2024'!$F:$F,$F171)</f>
        <v>0</v>
      </c>
      <c r="T171" s="140">
        <f ca="1">SUMIFS('F20-2024'!T:T,'F20-2024'!$D:$D,$D171,'F20-2024'!$E:$E,$E171,'F20-2024'!$F:$F,$F171)</f>
        <v>0</v>
      </c>
      <c r="U171" s="140">
        <f ca="1">SUMIFS('F20-2024'!U:U,'F20-2024'!$D:$D,$D171,'F20-2024'!$E:$E,$E171,'F20-2024'!$F:$F,$F171)</f>
        <v>0</v>
      </c>
      <c r="V171" s="140"/>
      <c r="W171" s="141" t="e">
        <f t="shared" ref="W171:AA171" ca="1" si="339">J171/$I171</f>
        <v>#DIV/0!</v>
      </c>
      <c r="X171" s="141" t="e">
        <f t="shared" ca="1" si="339"/>
        <v>#DIV/0!</v>
      </c>
      <c r="Y171" s="141" t="e">
        <f t="shared" ca="1" si="339"/>
        <v>#DIV/0!</v>
      </c>
      <c r="Z171" s="141" t="e">
        <f t="shared" ca="1" si="339"/>
        <v>#DIV/0!</v>
      </c>
      <c r="AA171" s="141" t="e">
        <f t="shared" ca="1" si="339"/>
        <v>#DIV/0!</v>
      </c>
      <c r="AB171" s="141"/>
      <c r="AC171" s="141" t="e">
        <f t="shared" ca="1" si="1"/>
        <v>#DIV/0!</v>
      </c>
      <c r="AD171" s="141" t="e">
        <f t="shared" ref="AD171:AI171" ca="1" si="340">O171/$I171</f>
        <v>#DIV/0!</v>
      </c>
      <c r="AE171" s="141" t="e">
        <f t="shared" ca="1" si="340"/>
        <v>#DIV/0!</v>
      </c>
      <c r="AF171" s="141" t="e">
        <f t="shared" ca="1" si="340"/>
        <v>#DIV/0!</v>
      </c>
      <c r="AG171" s="141" t="e">
        <f t="shared" ca="1" si="340"/>
        <v>#DIV/0!</v>
      </c>
      <c r="AH171" s="141" t="e">
        <f t="shared" ca="1" si="340"/>
        <v>#DIV/0!</v>
      </c>
      <c r="AI171" s="141" t="e">
        <f t="shared" ca="1" si="340"/>
        <v>#DIV/0!</v>
      </c>
      <c r="AJ171" s="140"/>
    </row>
    <row r="172" spans="1:36">
      <c r="A172" s="140" t="e">
        <f ca="1"/>
        <v>#NAME?</v>
      </c>
      <c r="B172" s="140" t="e">
        <f ca="1"/>
        <v>#NAME?</v>
      </c>
      <c r="C172" s="140" t="e">
        <f ca="1"/>
        <v>#NAME?</v>
      </c>
      <c r="D172" s="140" t="e">
        <f ca="1"/>
        <v>#NAME?</v>
      </c>
      <c r="E172" s="140" t="e">
        <f ca="1"/>
        <v>#NAME?</v>
      </c>
      <c r="F172" s="140" t="e">
        <f ca="1"/>
        <v>#NAME?</v>
      </c>
      <c r="G172" s="140" t="e">
        <f ca="1"/>
        <v>#NAME?</v>
      </c>
      <c r="H172" s="140"/>
      <c r="I172" s="140">
        <f ca="1">SUMIFS('F20-2024'!I:I,'F20-2024'!$D:$D,$D172,'F20-2024'!$E:$E,$E172,'F20-2024'!$F:$F,$F172)</f>
        <v>0</v>
      </c>
      <c r="J172" s="140">
        <f ca="1">SUMIFS('F20-2024'!J:J,'F20-2024'!$D:$D,$D172,'F20-2024'!$E:$E,$E172,'F20-2024'!$F:$F,$F172)</f>
        <v>0</v>
      </c>
      <c r="K172" s="140">
        <f ca="1">SUMIFS('F20-2024'!K:K,'F20-2024'!$D:$D,$D172,'F20-2024'!$E:$E,$E172,'F20-2024'!$F:$F,$F172)</f>
        <v>0</v>
      </c>
      <c r="L172" s="140">
        <f ca="1">SUMIFS('F20-2024'!L:L,'F20-2024'!$D:$D,$D172,'F20-2024'!$E:$E,$E172,'F20-2024'!$F:$F,$F172)</f>
        <v>0</v>
      </c>
      <c r="M172" s="140">
        <f ca="1">SUMIFS('F20-2024'!M:M,'F20-2024'!$D:$D,$D172,'F20-2024'!$E:$E,$E172,'F20-2024'!$F:$F,$F172)</f>
        <v>0</v>
      </c>
      <c r="N172" s="140">
        <f ca="1">SUMIFS('F20-2024'!N:N,'F20-2024'!$D:$D,$D172,'F20-2024'!$E:$E,$E172,'F20-2024'!$F:$F,$F172)</f>
        <v>0</v>
      </c>
      <c r="O172" s="140">
        <f ca="1">SUMIFS('F20-2024'!O:O,'F20-2024'!$D:$D,$D172,'F20-2024'!$E:$E,$E172,'F20-2024'!$F:$F,$F172)</f>
        <v>0</v>
      </c>
      <c r="P172" s="140">
        <f ca="1">SUMIFS('F20-2024'!P:P,'F20-2024'!$D:$D,$D172,'F20-2024'!$E:$E,$E172,'F20-2024'!$F:$F,$F172)</f>
        <v>0</v>
      </c>
      <c r="Q172" s="140">
        <f ca="1">SUMIFS('F20-2024'!Q:Q,'F20-2024'!$D:$D,$D172,'F20-2024'!$E:$E,$E172,'F20-2024'!$F:$F,$F172)</f>
        <v>0</v>
      </c>
      <c r="R172" s="140">
        <f ca="1">SUMIFS('F20-2024'!R:R,'F20-2024'!$D:$D,$D172,'F20-2024'!$E:$E,$E172,'F20-2024'!$F:$F,$F172)</f>
        <v>0</v>
      </c>
      <c r="S172" s="140">
        <f ca="1">SUMIFS('F20-2024'!S:S,'F20-2024'!$D:$D,$D172,'F20-2024'!$E:$E,$E172,'F20-2024'!$F:$F,$F172)</f>
        <v>0</v>
      </c>
      <c r="T172" s="140">
        <f ca="1">SUMIFS('F20-2024'!T:T,'F20-2024'!$D:$D,$D172,'F20-2024'!$E:$E,$E172,'F20-2024'!$F:$F,$F172)</f>
        <v>0</v>
      </c>
      <c r="U172" s="140">
        <f ca="1">SUMIFS('F20-2024'!U:U,'F20-2024'!$D:$D,$D172,'F20-2024'!$E:$E,$E172,'F20-2024'!$F:$F,$F172)</f>
        <v>0</v>
      </c>
      <c r="V172" s="140"/>
      <c r="W172" s="141" t="e">
        <f t="shared" ref="W172:AA172" ca="1" si="341">J172/$I172</f>
        <v>#DIV/0!</v>
      </c>
      <c r="X172" s="141" t="e">
        <f t="shared" ca="1" si="341"/>
        <v>#DIV/0!</v>
      </c>
      <c r="Y172" s="141" t="e">
        <f t="shared" ca="1" si="341"/>
        <v>#DIV/0!</v>
      </c>
      <c r="Z172" s="141" t="e">
        <f t="shared" ca="1" si="341"/>
        <v>#DIV/0!</v>
      </c>
      <c r="AA172" s="141" t="e">
        <f t="shared" ca="1" si="341"/>
        <v>#DIV/0!</v>
      </c>
      <c r="AB172" s="141"/>
      <c r="AC172" s="141" t="e">
        <f t="shared" ca="1" si="1"/>
        <v>#DIV/0!</v>
      </c>
      <c r="AD172" s="141" t="e">
        <f t="shared" ref="AD172:AI172" ca="1" si="342">O172/$I172</f>
        <v>#DIV/0!</v>
      </c>
      <c r="AE172" s="141" t="e">
        <f t="shared" ca="1" si="342"/>
        <v>#DIV/0!</v>
      </c>
      <c r="AF172" s="141" t="e">
        <f t="shared" ca="1" si="342"/>
        <v>#DIV/0!</v>
      </c>
      <c r="AG172" s="141" t="e">
        <f t="shared" ca="1" si="342"/>
        <v>#DIV/0!</v>
      </c>
      <c r="AH172" s="141" t="e">
        <f t="shared" ca="1" si="342"/>
        <v>#DIV/0!</v>
      </c>
      <c r="AI172" s="141" t="e">
        <f t="shared" ca="1" si="342"/>
        <v>#DIV/0!</v>
      </c>
      <c r="AJ172" s="140"/>
    </row>
    <row r="173" spans="1:36">
      <c r="A173" s="140" t="e">
        <f ca="1"/>
        <v>#NAME?</v>
      </c>
      <c r="B173" s="140" t="e">
        <f ca="1"/>
        <v>#NAME?</v>
      </c>
      <c r="C173" s="140" t="e">
        <f ca="1"/>
        <v>#NAME?</v>
      </c>
      <c r="D173" s="140" t="e">
        <f ca="1"/>
        <v>#NAME?</v>
      </c>
      <c r="E173" s="140" t="e">
        <f ca="1"/>
        <v>#NAME?</v>
      </c>
      <c r="F173" s="140" t="e">
        <f ca="1"/>
        <v>#NAME?</v>
      </c>
      <c r="G173" s="140" t="e">
        <f ca="1"/>
        <v>#NAME?</v>
      </c>
      <c r="H173" s="140"/>
      <c r="I173" s="140">
        <f ca="1">SUMIFS('F20-2024'!I:I,'F20-2024'!$D:$D,$D173,'F20-2024'!$E:$E,$E173,'F20-2024'!$F:$F,$F173)</f>
        <v>0</v>
      </c>
      <c r="J173" s="140">
        <f ca="1">SUMIFS('F20-2024'!J:J,'F20-2024'!$D:$D,$D173,'F20-2024'!$E:$E,$E173,'F20-2024'!$F:$F,$F173)</f>
        <v>0</v>
      </c>
      <c r="K173" s="140">
        <f ca="1">SUMIFS('F20-2024'!K:K,'F20-2024'!$D:$D,$D173,'F20-2024'!$E:$E,$E173,'F20-2024'!$F:$F,$F173)</f>
        <v>0</v>
      </c>
      <c r="L173" s="140">
        <f ca="1">SUMIFS('F20-2024'!L:L,'F20-2024'!$D:$D,$D173,'F20-2024'!$E:$E,$E173,'F20-2024'!$F:$F,$F173)</f>
        <v>0</v>
      </c>
      <c r="M173" s="140">
        <f ca="1">SUMIFS('F20-2024'!M:M,'F20-2024'!$D:$D,$D173,'F20-2024'!$E:$E,$E173,'F20-2024'!$F:$F,$F173)</f>
        <v>0</v>
      </c>
      <c r="N173" s="140">
        <f ca="1">SUMIFS('F20-2024'!N:N,'F20-2024'!$D:$D,$D173,'F20-2024'!$E:$E,$E173,'F20-2024'!$F:$F,$F173)</f>
        <v>0</v>
      </c>
      <c r="O173" s="140">
        <f ca="1">SUMIFS('F20-2024'!O:O,'F20-2024'!$D:$D,$D173,'F20-2024'!$E:$E,$E173,'F20-2024'!$F:$F,$F173)</f>
        <v>0</v>
      </c>
      <c r="P173" s="140">
        <f ca="1">SUMIFS('F20-2024'!P:P,'F20-2024'!$D:$D,$D173,'F20-2024'!$E:$E,$E173,'F20-2024'!$F:$F,$F173)</f>
        <v>0</v>
      </c>
      <c r="Q173" s="140">
        <f ca="1">SUMIFS('F20-2024'!Q:Q,'F20-2024'!$D:$D,$D173,'F20-2024'!$E:$E,$E173,'F20-2024'!$F:$F,$F173)</f>
        <v>0</v>
      </c>
      <c r="R173" s="140">
        <f ca="1">SUMIFS('F20-2024'!R:R,'F20-2024'!$D:$D,$D173,'F20-2024'!$E:$E,$E173,'F20-2024'!$F:$F,$F173)</f>
        <v>0</v>
      </c>
      <c r="S173" s="140">
        <f ca="1">SUMIFS('F20-2024'!S:S,'F20-2024'!$D:$D,$D173,'F20-2024'!$E:$E,$E173,'F20-2024'!$F:$F,$F173)</f>
        <v>0</v>
      </c>
      <c r="T173" s="140">
        <f ca="1">SUMIFS('F20-2024'!T:T,'F20-2024'!$D:$D,$D173,'F20-2024'!$E:$E,$E173,'F20-2024'!$F:$F,$F173)</f>
        <v>0</v>
      </c>
      <c r="U173" s="140">
        <f ca="1">SUMIFS('F20-2024'!U:U,'F20-2024'!$D:$D,$D173,'F20-2024'!$E:$E,$E173,'F20-2024'!$F:$F,$F173)</f>
        <v>0</v>
      </c>
      <c r="V173" s="140"/>
      <c r="W173" s="141" t="e">
        <f t="shared" ref="W173:AA173" ca="1" si="343">J173/$I173</f>
        <v>#DIV/0!</v>
      </c>
      <c r="X173" s="141" t="e">
        <f t="shared" ca="1" si="343"/>
        <v>#DIV/0!</v>
      </c>
      <c r="Y173" s="141" t="e">
        <f t="shared" ca="1" si="343"/>
        <v>#DIV/0!</v>
      </c>
      <c r="Z173" s="141" t="e">
        <f t="shared" ca="1" si="343"/>
        <v>#DIV/0!</v>
      </c>
      <c r="AA173" s="141" t="e">
        <f t="shared" ca="1" si="343"/>
        <v>#DIV/0!</v>
      </c>
      <c r="AB173" s="141"/>
      <c r="AC173" s="141" t="e">
        <f t="shared" ca="1" si="1"/>
        <v>#DIV/0!</v>
      </c>
      <c r="AD173" s="141" t="e">
        <f t="shared" ref="AD173:AI173" ca="1" si="344">O173/$I173</f>
        <v>#DIV/0!</v>
      </c>
      <c r="AE173" s="141" t="e">
        <f t="shared" ca="1" si="344"/>
        <v>#DIV/0!</v>
      </c>
      <c r="AF173" s="141" t="e">
        <f t="shared" ca="1" si="344"/>
        <v>#DIV/0!</v>
      </c>
      <c r="AG173" s="141" t="e">
        <f t="shared" ca="1" si="344"/>
        <v>#DIV/0!</v>
      </c>
      <c r="AH173" s="141" t="e">
        <f t="shared" ca="1" si="344"/>
        <v>#DIV/0!</v>
      </c>
      <c r="AI173" s="141" t="e">
        <f t="shared" ca="1" si="344"/>
        <v>#DIV/0!</v>
      </c>
      <c r="AJ173" s="140"/>
    </row>
    <row r="174" spans="1:36">
      <c r="A174" s="140" t="e">
        <f ca="1"/>
        <v>#NAME?</v>
      </c>
      <c r="B174" s="140" t="e">
        <f ca="1"/>
        <v>#NAME?</v>
      </c>
      <c r="C174" s="140" t="e">
        <f ca="1"/>
        <v>#NAME?</v>
      </c>
      <c r="D174" s="140" t="e">
        <f ca="1"/>
        <v>#NAME?</v>
      </c>
      <c r="E174" s="140" t="e">
        <f ca="1"/>
        <v>#NAME?</v>
      </c>
      <c r="F174" s="140" t="e">
        <f ca="1"/>
        <v>#NAME?</v>
      </c>
      <c r="G174" s="140" t="e">
        <f ca="1"/>
        <v>#NAME?</v>
      </c>
      <c r="H174" s="140"/>
      <c r="I174" s="140">
        <f ca="1">SUMIFS('F20-2024'!I:I,'F20-2024'!$D:$D,$D174,'F20-2024'!$E:$E,$E174,'F20-2024'!$F:$F,$F174)</f>
        <v>0</v>
      </c>
      <c r="J174" s="140">
        <f ca="1">SUMIFS('F20-2024'!J:J,'F20-2024'!$D:$D,$D174,'F20-2024'!$E:$E,$E174,'F20-2024'!$F:$F,$F174)</f>
        <v>0</v>
      </c>
      <c r="K174" s="140">
        <f ca="1">SUMIFS('F20-2024'!K:K,'F20-2024'!$D:$D,$D174,'F20-2024'!$E:$E,$E174,'F20-2024'!$F:$F,$F174)</f>
        <v>0</v>
      </c>
      <c r="L174" s="140">
        <f ca="1">SUMIFS('F20-2024'!L:L,'F20-2024'!$D:$D,$D174,'F20-2024'!$E:$E,$E174,'F20-2024'!$F:$F,$F174)</f>
        <v>0</v>
      </c>
      <c r="M174" s="140">
        <f ca="1">SUMIFS('F20-2024'!M:M,'F20-2024'!$D:$D,$D174,'F20-2024'!$E:$E,$E174,'F20-2024'!$F:$F,$F174)</f>
        <v>0</v>
      </c>
      <c r="N174" s="140">
        <f ca="1">SUMIFS('F20-2024'!N:N,'F20-2024'!$D:$D,$D174,'F20-2024'!$E:$E,$E174,'F20-2024'!$F:$F,$F174)</f>
        <v>0</v>
      </c>
      <c r="O174" s="140">
        <f ca="1">SUMIFS('F20-2024'!O:O,'F20-2024'!$D:$D,$D174,'F20-2024'!$E:$E,$E174,'F20-2024'!$F:$F,$F174)</f>
        <v>0</v>
      </c>
      <c r="P174" s="140">
        <f ca="1">SUMIFS('F20-2024'!P:P,'F20-2024'!$D:$D,$D174,'F20-2024'!$E:$E,$E174,'F20-2024'!$F:$F,$F174)</f>
        <v>0</v>
      </c>
      <c r="Q174" s="140">
        <f ca="1">SUMIFS('F20-2024'!Q:Q,'F20-2024'!$D:$D,$D174,'F20-2024'!$E:$E,$E174,'F20-2024'!$F:$F,$F174)</f>
        <v>0</v>
      </c>
      <c r="R174" s="140">
        <f ca="1">SUMIFS('F20-2024'!R:R,'F20-2024'!$D:$D,$D174,'F20-2024'!$E:$E,$E174,'F20-2024'!$F:$F,$F174)</f>
        <v>0</v>
      </c>
      <c r="S174" s="140">
        <f ca="1">SUMIFS('F20-2024'!S:S,'F20-2024'!$D:$D,$D174,'F20-2024'!$E:$E,$E174,'F20-2024'!$F:$F,$F174)</f>
        <v>0</v>
      </c>
      <c r="T174" s="140">
        <f ca="1">SUMIFS('F20-2024'!T:T,'F20-2024'!$D:$D,$D174,'F20-2024'!$E:$E,$E174,'F20-2024'!$F:$F,$F174)</f>
        <v>0</v>
      </c>
      <c r="U174" s="140">
        <f ca="1">SUMIFS('F20-2024'!U:U,'F20-2024'!$D:$D,$D174,'F20-2024'!$E:$E,$E174,'F20-2024'!$F:$F,$F174)</f>
        <v>0</v>
      </c>
      <c r="V174" s="140"/>
      <c r="W174" s="141" t="e">
        <f t="shared" ref="W174:AA174" ca="1" si="345">J174/$I174</f>
        <v>#DIV/0!</v>
      </c>
      <c r="X174" s="141" t="e">
        <f t="shared" ca="1" si="345"/>
        <v>#DIV/0!</v>
      </c>
      <c r="Y174" s="141" t="e">
        <f t="shared" ca="1" si="345"/>
        <v>#DIV/0!</v>
      </c>
      <c r="Z174" s="141" t="e">
        <f t="shared" ca="1" si="345"/>
        <v>#DIV/0!</v>
      </c>
      <c r="AA174" s="141" t="e">
        <f t="shared" ca="1" si="345"/>
        <v>#DIV/0!</v>
      </c>
      <c r="AB174" s="141"/>
      <c r="AC174" s="141" t="e">
        <f t="shared" ca="1" si="1"/>
        <v>#DIV/0!</v>
      </c>
      <c r="AD174" s="141" t="e">
        <f t="shared" ref="AD174:AI174" ca="1" si="346">O174/$I174</f>
        <v>#DIV/0!</v>
      </c>
      <c r="AE174" s="141" t="e">
        <f t="shared" ca="1" si="346"/>
        <v>#DIV/0!</v>
      </c>
      <c r="AF174" s="141" t="e">
        <f t="shared" ca="1" si="346"/>
        <v>#DIV/0!</v>
      </c>
      <c r="AG174" s="141" t="e">
        <f t="shared" ca="1" si="346"/>
        <v>#DIV/0!</v>
      </c>
      <c r="AH174" s="141" t="e">
        <f t="shared" ca="1" si="346"/>
        <v>#DIV/0!</v>
      </c>
      <c r="AI174" s="141" t="e">
        <f t="shared" ca="1" si="346"/>
        <v>#DIV/0!</v>
      </c>
      <c r="AJ174" s="140"/>
    </row>
    <row r="175" spans="1:36">
      <c r="A175" s="140" t="e">
        <f ca="1"/>
        <v>#NAME?</v>
      </c>
      <c r="B175" s="140" t="e">
        <f ca="1"/>
        <v>#NAME?</v>
      </c>
      <c r="C175" s="140" t="e">
        <f ca="1"/>
        <v>#NAME?</v>
      </c>
      <c r="D175" s="140" t="e">
        <f ca="1"/>
        <v>#NAME?</v>
      </c>
      <c r="E175" s="140" t="e">
        <f ca="1"/>
        <v>#NAME?</v>
      </c>
      <c r="F175" s="140" t="e">
        <f ca="1"/>
        <v>#NAME?</v>
      </c>
      <c r="G175" s="140" t="e">
        <f ca="1"/>
        <v>#NAME?</v>
      </c>
      <c r="H175" s="140"/>
      <c r="I175" s="140">
        <f ca="1">SUMIFS('F20-2024'!I:I,'F20-2024'!$D:$D,$D175,'F20-2024'!$E:$E,$E175,'F20-2024'!$F:$F,$F175)</f>
        <v>0</v>
      </c>
      <c r="J175" s="140">
        <f ca="1">SUMIFS('F20-2024'!J:J,'F20-2024'!$D:$D,$D175,'F20-2024'!$E:$E,$E175,'F20-2024'!$F:$F,$F175)</f>
        <v>0</v>
      </c>
      <c r="K175" s="140">
        <f ca="1">SUMIFS('F20-2024'!K:K,'F20-2024'!$D:$D,$D175,'F20-2024'!$E:$E,$E175,'F20-2024'!$F:$F,$F175)</f>
        <v>0</v>
      </c>
      <c r="L175" s="140">
        <f ca="1">SUMIFS('F20-2024'!L:L,'F20-2024'!$D:$D,$D175,'F20-2024'!$E:$E,$E175,'F20-2024'!$F:$F,$F175)</f>
        <v>0</v>
      </c>
      <c r="M175" s="140">
        <f ca="1">SUMIFS('F20-2024'!M:M,'F20-2024'!$D:$D,$D175,'F20-2024'!$E:$E,$E175,'F20-2024'!$F:$F,$F175)</f>
        <v>0</v>
      </c>
      <c r="N175" s="140">
        <f ca="1">SUMIFS('F20-2024'!N:N,'F20-2024'!$D:$D,$D175,'F20-2024'!$E:$E,$E175,'F20-2024'!$F:$F,$F175)</f>
        <v>0</v>
      </c>
      <c r="O175" s="140">
        <f ca="1">SUMIFS('F20-2024'!O:O,'F20-2024'!$D:$D,$D175,'F20-2024'!$E:$E,$E175,'F20-2024'!$F:$F,$F175)</f>
        <v>0</v>
      </c>
      <c r="P175" s="140">
        <f ca="1">SUMIFS('F20-2024'!P:P,'F20-2024'!$D:$D,$D175,'F20-2024'!$E:$E,$E175,'F20-2024'!$F:$F,$F175)</f>
        <v>0</v>
      </c>
      <c r="Q175" s="140">
        <f ca="1">SUMIFS('F20-2024'!Q:Q,'F20-2024'!$D:$D,$D175,'F20-2024'!$E:$E,$E175,'F20-2024'!$F:$F,$F175)</f>
        <v>0</v>
      </c>
      <c r="R175" s="140">
        <f ca="1">SUMIFS('F20-2024'!R:R,'F20-2024'!$D:$D,$D175,'F20-2024'!$E:$E,$E175,'F20-2024'!$F:$F,$F175)</f>
        <v>0</v>
      </c>
      <c r="S175" s="140">
        <f ca="1">SUMIFS('F20-2024'!S:S,'F20-2024'!$D:$D,$D175,'F20-2024'!$E:$E,$E175,'F20-2024'!$F:$F,$F175)</f>
        <v>0</v>
      </c>
      <c r="T175" s="140">
        <f ca="1">SUMIFS('F20-2024'!T:T,'F20-2024'!$D:$D,$D175,'F20-2024'!$E:$E,$E175,'F20-2024'!$F:$F,$F175)</f>
        <v>0</v>
      </c>
      <c r="U175" s="140">
        <f ca="1">SUMIFS('F20-2024'!U:U,'F20-2024'!$D:$D,$D175,'F20-2024'!$E:$E,$E175,'F20-2024'!$F:$F,$F175)</f>
        <v>0</v>
      </c>
      <c r="V175" s="140"/>
      <c r="W175" s="141" t="e">
        <f t="shared" ref="W175:AA175" ca="1" si="347">J175/$I175</f>
        <v>#DIV/0!</v>
      </c>
      <c r="X175" s="141" t="e">
        <f t="shared" ca="1" si="347"/>
        <v>#DIV/0!</v>
      </c>
      <c r="Y175" s="141" t="e">
        <f t="shared" ca="1" si="347"/>
        <v>#DIV/0!</v>
      </c>
      <c r="Z175" s="141" t="e">
        <f t="shared" ca="1" si="347"/>
        <v>#DIV/0!</v>
      </c>
      <c r="AA175" s="141" t="e">
        <f t="shared" ca="1" si="347"/>
        <v>#DIV/0!</v>
      </c>
      <c r="AB175" s="141"/>
      <c r="AC175" s="141" t="e">
        <f t="shared" ca="1" si="1"/>
        <v>#DIV/0!</v>
      </c>
      <c r="AD175" s="141" t="e">
        <f t="shared" ref="AD175:AI175" ca="1" si="348">O175/$I175</f>
        <v>#DIV/0!</v>
      </c>
      <c r="AE175" s="141" t="e">
        <f t="shared" ca="1" si="348"/>
        <v>#DIV/0!</v>
      </c>
      <c r="AF175" s="141" t="e">
        <f t="shared" ca="1" si="348"/>
        <v>#DIV/0!</v>
      </c>
      <c r="AG175" s="141" t="e">
        <f t="shared" ca="1" si="348"/>
        <v>#DIV/0!</v>
      </c>
      <c r="AH175" s="141" t="e">
        <f t="shared" ca="1" si="348"/>
        <v>#DIV/0!</v>
      </c>
      <c r="AI175" s="141" t="e">
        <f t="shared" ca="1" si="348"/>
        <v>#DIV/0!</v>
      </c>
      <c r="AJ175" s="140"/>
    </row>
    <row r="176" spans="1:36">
      <c r="A176" s="140" t="e">
        <f ca="1"/>
        <v>#NAME?</v>
      </c>
      <c r="B176" s="140" t="e">
        <f ca="1"/>
        <v>#NAME?</v>
      </c>
      <c r="C176" s="140" t="e">
        <f ca="1"/>
        <v>#NAME?</v>
      </c>
      <c r="D176" s="140" t="e">
        <f ca="1"/>
        <v>#NAME?</v>
      </c>
      <c r="E176" s="140" t="e">
        <f ca="1"/>
        <v>#NAME?</v>
      </c>
      <c r="F176" s="140" t="e">
        <f ca="1"/>
        <v>#NAME?</v>
      </c>
      <c r="G176" s="140" t="e">
        <f ca="1"/>
        <v>#NAME?</v>
      </c>
      <c r="H176" s="140"/>
      <c r="I176" s="140">
        <f ca="1">SUMIFS('F20-2024'!I:I,'F20-2024'!$D:$D,$D176,'F20-2024'!$E:$E,$E176,'F20-2024'!$F:$F,$F176)</f>
        <v>0</v>
      </c>
      <c r="J176" s="140">
        <f ca="1">SUMIFS('F20-2024'!J:J,'F20-2024'!$D:$D,$D176,'F20-2024'!$E:$E,$E176,'F20-2024'!$F:$F,$F176)</f>
        <v>0</v>
      </c>
      <c r="K176" s="140">
        <f ca="1">SUMIFS('F20-2024'!K:K,'F20-2024'!$D:$D,$D176,'F20-2024'!$E:$E,$E176,'F20-2024'!$F:$F,$F176)</f>
        <v>0</v>
      </c>
      <c r="L176" s="140">
        <f ca="1">SUMIFS('F20-2024'!L:L,'F20-2024'!$D:$D,$D176,'F20-2024'!$E:$E,$E176,'F20-2024'!$F:$F,$F176)</f>
        <v>0</v>
      </c>
      <c r="M176" s="140">
        <f ca="1">SUMIFS('F20-2024'!M:M,'F20-2024'!$D:$D,$D176,'F20-2024'!$E:$E,$E176,'F20-2024'!$F:$F,$F176)</f>
        <v>0</v>
      </c>
      <c r="N176" s="140">
        <f ca="1">SUMIFS('F20-2024'!N:N,'F20-2024'!$D:$D,$D176,'F20-2024'!$E:$E,$E176,'F20-2024'!$F:$F,$F176)</f>
        <v>0</v>
      </c>
      <c r="O176" s="140">
        <f ca="1">SUMIFS('F20-2024'!O:O,'F20-2024'!$D:$D,$D176,'F20-2024'!$E:$E,$E176,'F20-2024'!$F:$F,$F176)</f>
        <v>0</v>
      </c>
      <c r="P176" s="140">
        <f ca="1">SUMIFS('F20-2024'!P:P,'F20-2024'!$D:$D,$D176,'F20-2024'!$E:$E,$E176,'F20-2024'!$F:$F,$F176)</f>
        <v>0</v>
      </c>
      <c r="Q176" s="140">
        <f ca="1">SUMIFS('F20-2024'!Q:Q,'F20-2024'!$D:$D,$D176,'F20-2024'!$E:$E,$E176,'F20-2024'!$F:$F,$F176)</f>
        <v>0</v>
      </c>
      <c r="R176" s="140">
        <f ca="1">SUMIFS('F20-2024'!R:R,'F20-2024'!$D:$D,$D176,'F20-2024'!$E:$E,$E176,'F20-2024'!$F:$F,$F176)</f>
        <v>0</v>
      </c>
      <c r="S176" s="140">
        <f ca="1">SUMIFS('F20-2024'!S:S,'F20-2024'!$D:$D,$D176,'F20-2024'!$E:$E,$E176,'F20-2024'!$F:$F,$F176)</f>
        <v>0</v>
      </c>
      <c r="T176" s="140">
        <f ca="1">SUMIFS('F20-2024'!T:T,'F20-2024'!$D:$D,$D176,'F20-2024'!$E:$E,$E176,'F20-2024'!$F:$F,$F176)</f>
        <v>0</v>
      </c>
      <c r="U176" s="140">
        <f ca="1">SUMIFS('F20-2024'!U:U,'F20-2024'!$D:$D,$D176,'F20-2024'!$E:$E,$E176,'F20-2024'!$F:$F,$F176)</f>
        <v>0</v>
      </c>
      <c r="V176" s="140"/>
      <c r="W176" s="141" t="e">
        <f t="shared" ref="W176:AA176" ca="1" si="349">J176/$I176</f>
        <v>#DIV/0!</v>
      </c>
      <c r="X176" s="141" t="e">
        <f t="shared" ca="1" si="349"/>
        <v>#DIV/0!</v>
      </c>
      <c r="Y176" s="141" t="e">
        <f t="shared" ca="1" si="349"/>
        <v>#DIV/0!</v>
      </c>
      <c r="Z176" s="141" t="e">
        <f t="shared" ca="1" si="349"/>
        <v>#DIV/0!</v>
      </c>
      <c r="AA176" s="141" t="e">
        <f t="shared" ca="1" si="349"/>
        <v>#DIV/0!</v>
      </c>
      <c r="AB176" s="141"/>
      <c r="AC176" s="141" t="e">
        <f t="shared" ca="1" si="1"/>
        <v>#DIV/0!</v>
      </c>
      <c r="AD176" s="141" t="e">
        <f t="shared" ref="AD176:AI176" ca="1" si="350">O176/$I176</f>
        <v>#DIV/0!</v>
      </c>
      <c r="AE176" s="141" t="e">
        <f t="shared" ca="1" si="350"/>
        <v>#DIV/0!</v>
      </c>
      <c r="AF176" s="141" t="e">
        <f t="shared" ca="1" si="350"/>
        <v>#DIV/0!</v>
      </c>
      <c r="AG176" s="141" t="e">
        <f t="shared" ca="1" si="350"/>
        <v>#DIV/0!</v>
      </c>
      <c r="AH176" s="141" t="e">
        <f t="shared" ca="1" si="350"/>
        <v>#DIV/0!</v>
      </c>
      <c r="AI176" s="141" t="e">
        <f t="shared" ca="1" si="350"/>
        <v>#DIV/0!</v>
      </c>
      <c r="AJ176" s="140"/>
    </row>
    <row r="177" spans="1:36">
      <c r="A177" s="140" t="e">
        <f ca="1"/>
        <v>#NAME?</v>
      </c>
      <c r="B177" s="140" t="e">
        <f ca="1"/>
        <v>#NAME?</v>
      </c>
      <c r="C177" s="140" t="e">
        <f ca="1"/>
        <v>#NAME?</v>
      </c>
      <c r="D177" s="140" t="e">
        <f ca="1"/>
        <v>#NAME?</v>
      </c>
      <c r="E177" s="140" t="e">
        <f ca="1"/>
        <v>#NAME?</v>
      </c>
      <c r="F177" s="140" t="e">
        <f ca="1"/>
        <v>#NAME?</v>
      </c>
      <c r="G177" s="140" t="e">
        <f ca="1"/>
        <v>#NAME?</v>
      </c>
      <c r="H177" s="140"/>
      <c r="I177" s="140">
        <f ca="1">SUMIFS('F20-2024'!I:I,'F20-2024'!$D:$D,$D177,'F20-2024'!$E:$E,$E177,'F20-2024'!$F:$F,$F177)</f>
        <v>0</v>
      </c>
      <c r="J177" s="140">
        <f ca="1">SUMIFS('F20-2024'!J:J,'F20-2024'!$D:$D,$D177,'F20-2024'!$E:$E,$E177,'F20-2024'!$F:$F,$F177)</f>
        <v>0</v>
      </c>
      <c r="K177" s="140">
        <f ca="1">SUMIFS('F20-2024'!K:K,'F20-2024'!$D:$D,$D177,'F20-2024'!$E:$E,$E177,'F20-2024'!$F:$F,$F177)</f>
        <v>0</v>
      </c>
      <c r="L177" s="140">
        <f ca="1">SUMIFS('F20-2024'!L:L,'F20-2024'!$D:$D,$D177,'F20-2024'!$E:$E,$E177,'F20-2024'!$F:$F,$F177)</f>
        <v>0</v>
      </c>
      <c r="M177" s="140">
        <f ca="1">SUMIFS('F20-2024'!M:M,'F20-2024'!$D:$D,$D177,'F20-2024'!$E:$E,$E177,'F20-2024'!$F:$F,$F177)</f>
        <v>0</v>
      </c>
      <c r="N177" s="140">
        <f ca="1">SUMIFS('F20-2024'!N:N,'F20-2024'!$D:$D,$D177,'F20-2024'!$E:$E,$E177,'F20-2024'!$F:$F,$F177)</f>
        <v>0</v>
      </c>
      <c r="O177" s="140">
        <f ca="1">SUMIFS('F20-2024'!O:O,'F20-2024'!$D:$D,$D177,'F20-2024'!$E:$E,$E177,'F20-2024'!$F:$F,$F177)</f>
        <v>0</v>
      </c>
      <c r="P177" s="140">
        <f ca="1">SUMIFS('F20-2024'!P:P,'F20-2024'!$D:$D,$D177,'F20-2024'!$E:$E,$E177,'F20-2024'!$F:$F,$F177)</f>
        <v>0</v>
      </c>
      <c r="Q177" s="140">
        <f ca="1">SUMIFS('F20-2024'!Q:Q,'F20-2024'!$D:$D,$D177,'F20-2024'!$E:$E,$E177,'F20-2024'!$F:$F,$F177)</f>
        <v>0</v>
      </c>
      <c r="R177" s="140">
        <f ca="1">SUMIFS('F20-2024'!R:R,'F20-2024'!$D:$D,$D177,'F20-2024'!$E:$E,$E177,'F20-2024'!$F:$F,$F177)</f>
        <v>0</v>
      </c>
      <c r="S177" s="140">
        <f ca="1">SUMIFS('F20-2024'!S:S,'F20-2024'!$D:$D,$D177,'F20-2024'!$E:$E,$E177,'F20-2024'!$F:$F,$F177)</f>
        <v>0</v>
      </c>
      <c r="T177" s="140">
        <f ca="1">SUMIFS('F20-2024'!T:T,'F20-2024'!$D:$D,$D177,'F20-2024'!$E:$E,$E177,'F20-2024'!$F:$F,$F177)</f>
        <v>0</v>
      </c>
      <c r="U177" s="140">
        <f ca="1">SUMIFS('F20-2024'!U:U,'F20-2024'!$D:$D,$D177,'F20-2024'!$E:$E,$E177,'F20-2024'!$F:$F,$F177)</f>
        <v>0</v>
      </c>
      <c r="V177" s="140"/>
      <c r="W177" s="141" t="e">
        <f t="shared" ref="W177:AA177" ca="1" si="351">J177/$I177</f>
        <v>#DIV/0!</v>
      </c>
      <c r="X177" s="141" t="e">
        <f t="shared" ca="1" si="351"/>
        <v>#DIV/0!</v>
      </c>
      <c r="Y177" s="141" t="e">
        <f t="shared" ca="1" si="351"/>
        <v>#DIV/0!</v>
      </c>
      <c r="Z177" s="141" t="e">
        <f t="shared" ca="1" si="351"/>
        <v>#DIV/0!</v>
      </c>
      <c r="AA177" s="141" t="e">
        <f t="shared" ca="1" si="351"/>
        <v>#DIV/0!</v>
      </c>
      <c r="AB177" s="141"/>
      <c r="AC177" s="141" t="e">
        <f t="shared" ca="1" si="1"/>
        <v>#DIV/0!</v>
      </c>
      <c r="AD177" s="141" t="e">
        <f t="shared" ref="AD177:AI177" ca="1" si="352">O177/$I177</f>
        <v>#DIV/0!</v>
      </c>
      <c r="AE177" s="141" t="e">
        <f t="shared" ca="1" si="352"/>
        <v>#DIV/0!</v>
      </c>
      <c r="AF177" s="141" t="e">
        <f t="shared" ca="1" si="352"/>
        <v>#DIV/0!</v>
      </c>
      <c r="AG177" s="141" t="e">
        <f t="shared" ca="1" si="352"/>
        <v>#DIV/0!</v>
      </c>
      <c r="AH177" s="141" t="e">
        <f t="shared" ca="1" si="352"/>
        <v>#DIV/0!</v>
      </c>
      <c r="AI177" s="141" t="e">
        <f t="shared" ca="1" si="352"/>
        <v>#DIV/0!</v>
      </c>
      <c r="AJ177" s="140"/>
    </row>
    <row r="178" spans="1:36">
      <c r="A178" s="140" t="e">
        <f ca="1"/>
        <v>#NAME?</v>
      </c>
      <c r="B178" s="140" t="e">
        <f ca="1"/>
        <v>#NAME?</v>
      </c>
      <c r="C178" s="140" t="e">
        <f ca="1"/>
        <v>#NAME?</v>
      </c>
      <c r="D178" s="140" t="e">
        <f ca="1"/>
        <v>#NAME?</v>
      </c>
      <c r="E178" s="140" t="e">
        <f ca="1"/>
        <v>#NAME?</v>
      </c>
      <c r="F178" s="140" t="e">
        <f ca="1"/>
        <v>#NAME?</v>
      </c>
      <c r="G178" s="140" t="e">
        <f ca="1"/>
        <v>#NAME?</v>
      </c>
      <c r="H178" s="140"/>
      <c r="I178" s="140">
        <f ca="1">SUMIFS('F20-2024'!I:I,'F20-2024'!$D:$D,$D178,'F20-2024'!$E:$E,$E178,'F20-2024'!$F:$F,$F178)</f>
        <v>0</v>
      </c>
      <c r="J178" s="140">
        <f ca="1">SUMIFS('F20-2024'!J:J,'F20-2024'!$D:$D,$D178,'F20-2024'!$E:$E,$E178,'F20-2024'!$F:$F,$F178)</f>
        <v>0</v>
      </c>
      <c r="K178" s="140">
        <f ca="1">SUMIFS('F20-2024'!K:K,'F20-2024'!$D:$D,$D178,'F20-2024'!$E:$E,$E178,'F20-2024'!$F:$F,$F178)</f>
        <v>0</v>
      </c>
      <c r="L178" s="140">
        <f ca="1">SUMIFS('F20-2024'!L:L,'F20-2024'!$D:$D,$D178,'F20-2024'!$E:$E,$E178,'F20-2024'!$F:$F,$F178)</f>
        <v>0</v>
      </c>
      <c r="M178" s="140">
        <f ca="1">SUMIFS('F20-2024'!M:M,'F20-2024'!$D:$D,$D178,'F20-2024'!$E:$E,$E178,'F20-2024'!$F:$F,$F178)</f>
        <v>0</v>
      </c>
      <c r="N178" s="140">
        <f ca="1">SUMIFS('F20-2024'!N:N,'F20-2024'!$D:$D,$D178,'F20-2024'!$E:$E,$E178,'F20-2024'!$F:$F,$F178)</f>
        <v>0</v>
      </c>
      <c r="O178" s="140">
        <f ca="1">SUMIFS('F20-2024'!O:O,'F20-2024'!$D:$D,$D178,'F20-2024'!$E:$E,$E178,'F20-2024'!$F:$F,$F178)</f>
        <v>0</v>
      </c>
      <c r="P178" s="140">
        <f ca="1">SUMIFS('F20-2024'!P:P,'F20-2024'!$D:$D,$D178,'F20-2024'!$E:$E,$E178,'F20-2024'!$F:$F,$F178)</f>
        <v>0</v>
      </c>
      <c r="Q178" s="140">
        <f ca="1">SUMIFS('F20-2024'!Q:Q,'F20-2024'!$D:$D,$D178,'F20-2024'!$E:$E,$E178,'F20-2024'!$F:$F,$F178)</f>
        <v>0</v>
      </c>
      <c r="R178" s="140">
        <f ca="1">SUMIFS('F20-2024'!R:R,'F20-2024'!$D:$D,$D178,'F20-2024'!$E:$E,$E178,'F20-2024'!$F:$F,$F178)</f>
        <v>0</v>
      </c>
      <c r="S178" s="140">
        <f ca="1">SUMIFS('F20-2024'!S:S,'F20-2024'!$D:$D,$D178,'F20-2024'!$E:$E,$E178,'F20-2024'!$F:$F,$F178)</f>
        <v>0</v>
      </c>
      <c r="T178" s="140">
        <f ca="1">SUMIFS('F20-2024'!T:T,'F20-2024'!$D:$D,$D178,'F20-2024'!$E:$E,$E178,'F20-2024'!$F:$F,$F178)</f>
        <v>0</v>
      </c>
      <c r="U178" s="140">
        <f ca="1">SUMIFS('F20-2024'!U:U,'F20-2024'!$D:$D,$D178,'F20-2024'!$E:$E,$E178,'F20-2024'!$F:$F,$F178)</f>
        <v>0</v>
      </c>
      <c r="V178" s="140"/>
      <c r="W178" s="141" t="e">
        <f t="shared" ref="W178:AA178" ca="1" si="353">J178/$I178</f>
        <v>#DIV/0!</v>
      </c>
      <c r="X178" s="141" t="e">
        <f t="shared" ca="1" si="353"/>
        <v>#DIV/0!</v>
      </c>
      <c r="Y178" s="141" t="e">
        <f t="shared" ca="1" si="353"/>
        <v>#DIV/0!</v>
      </c>
      <c r="Z178" s="141" t="e">
        <f t="shared" ca="1" si="353"/>
        <v>#DIV/0!</v>
      </c>
      <c r="AA178" s="141" t="e">
        <f t="shared" ca="1" si="353"/>
        <v>#DIV/0!</v>
      </c>
      <c r="AB178" s="141"/>
      <c r="AC178" s="141" t="e">
        <f t="shared" ca="1" si="1"/>
        <v>#DIV/0!</v>
      </c>
      <c r="AD178" s="141" t="e">
        <f t="shared" ref="AD178:AI178" ca="1" si="354">O178/$I178</f>
        <v>#DIV/0!</v>
      </c>
      <c r="AE178" s="141" t="e">
        <f t="shared" ca="1" si="354"/>
        <v>#DIV/0!</v>
      </c>
      <c r="AF178" s="141" t="e">
        <f t="shared" ca="1" si="354"/>
        <v>#DIV/0!</v>
      </c>
      <c r="AG178" s="141" t="e">
        <f t="shared" ca="1" si="354"/>
        <v>#DIV/0!</v>
      </c>
      <c r="AH178" s="141" t="e">
        <f t="shared" ca="1" si="354"/>
        <v>#DIV/0!</v>
      </c>
      <c r="AI178" s="141" t="e">
        <f t="shared" ca="1" si="354"/>
        <v>#DIV/0!</v>
      </c>
      <c r="AJ178" s="140"/>
    </row>
    <row r="179" spans="1:36">
      <c r="A179" s="140" t="e">
        <f ca="1"/>
        <v>#NAME?</v>
      </c>
      <c r="B179" s="140" t="e">
        <f ca="1"/>
        <v>#NAME?</v>
      </c>
      <c r="C179" s="140" t="e">
        <f ca="1"/>
        <v>#NAME?</v>
      </c>
      <c r="D179" s="140" t="e">
        <f ca="1"/>
        <v>#NAME?</v>
      </c>
      <c r="E179" s="140" t="e">
        <f ca="1"/>
        <v>#NAME?</v>
      </c>
      <c r="F179" s="140" t="e">
        <f ca="1"/>
        <v>#NAME?</v>
      </c>
      <c r="G179" s="140" t="e">
        <f ca="1"/>
        <v>#NAME?</v>
      </c>
      <c r="H179" s="140"/>
      <c r="I179" s="140">
        <f ca="1">SUMIFS('F20-2024'!I:I,'F20-2024'!$D:$D,$D179,'F20-2024'!$E:$E,$E179,'F20-2024'!$F:$F,$F179)</f>
        <v>0</v>
      </c>
      <c r="J179" s="140">
        <f ca="1">SUMIFS('F20-2024'!J:J,'F20-2024'!$D:$D,$D179,'F20-2024'!$E:$E,$E179,'F20-2024'!$F:$F,$F179)</f>
        <v>0</v>
      </c>
      <c r="K179" s="140">
        <f ca="1">SUMIFS('F20-2024'!K:K,'F20-2024'!$D:$D,$D179,'F20-2024'!$E:$E,$E179,'F20-2024'!$F:$F,$F179)</f>
        <v>0</v>
      </c>
      <c r="L179" s="140">
        <f ca="1">SUMIFS('F20-2024'!L:L,'F20-2024'!$D:$D,$D179,'F20-2024'!$E:$E,$E179,'F20-2024'!$F:$F,$F179)</f>
        <v>0</v>
      </c>
      <c r="M179" s="140">
        <f ca="1">SUMIFS('F20-2024'!M:M,'F20-2024'!$D:$D,$D179,'F20-2024'!$E:$E,$E179,'F20-2024'!$F:$F,$F179)</f>
        <v>0</v>
      </c>
      <c r="N179" s="140">
        <f ca="1">SUMIFS('F20-2024'!N:N,'F20-2024'!$D:$D,$D179,'F20-2024'!$E:$E,$E179,'F20-2024'!$F:$F,$F179)</f>
        <v>0</v>
      </c>
      <c r="O179" s="140">
        <f ca="1">SUMIFS('F20-2024'!O:O,'F20-2024'!$D:$D,$D179,'F20-2024'!$E:$E,$E179,'F20-2024'!$F:$F,$F179)</f>
        <v>0</v>
      </c>
      <c r="P179" s="140">
        <f ca="1">SUMIFS('F20-2024'!P:P,'F20-2024'!$D:$D,$D179,'F20-2024'!$E:$E,$E179,'F20-2024'!$F:$F,$F179)</f>
        <v>0</v>
      </c>
      <c r="Q179" s="140">
        <f ca="1">SUMIFS('F20-2024'!Q:Q,'F20-2024'!$D:$D,$D179,'F20-2024'!$E:$E,$E179,'F20-2024'!$F:$F,$F179)</f>
        <v>0</v>
      </c>
      <c r="R179" s="140">
        <f ca="1">SUMIFS('F20-2024'!R:R,'F20-2024'!$D:$D,$D179,'F20-2024'!$E:$E,$E179,'F20-2024'!$F:$F,$F179)</f>
        <v>0</v>
      </c>
      <c r="S179" s="140">
        <f ca="1">SUMIFS('F20-2024'!S:S,'F20-2024'!$D:$D,$D179,'F20-2024'!$E:$E,$E179,'F20-2024'!$F:$F,$F179)</f>
        <v>0</v>
      </c>
      <c r="T179" s="140">
        <f ca="1">SUMIFS('F20-2024'!T:T,'F20-2024'!$D:$D,$D179,'F20-2024'!$E:$E,$E179,'F20-2024'!$F:$F,$F179)</f>
        <v>0</v>
      </c>
      <c r="U179" s="140">
        <f ca="1">SUMIFS('F20-2024'!U:U,'F20-2024'!$D:$D,$D179,'F20-2024'!$E:$E,$E179,'F20-2024'!$F:$F,$F179)</f>
        <v>0</v>
      </c>
      <c r="V179" s="140"/>
      <c r="W179" s="141" t="e">
        <f t="shared" ref="W179:AA179" ca="1" si="355">J179/$I179</f>
        <v>#DIV/0!</v>
      </c>
      <c r="X179" s="141" t="e">
        <f t="shared" ca="1" si="355"/>
        <v>#DIV/0!</v>
      </c>
      <c r="Y179" s="141" t="e">
        <f t="shared" ca="1" si="355"/>
        <v>#DIV/0!</v>
      </c>
      <c r="Z179" s="141" t="e">
        <f t="shared" ca="1" si="355"/>
        <v>#DIV/0!</v>
      </c>
      <c r="AA179" s="141" t="e">
        <f t="shared" ca="1" si="355"/>
        <v>#DIV/0!</v>
      </c>
      <c r="AB179" s="141"/>
      <c r="AC179" s="141" t="e">
        <f t="shared" ca="1" si="1"/>
        <v>#DIV/0!</v>
      </c>
      <c r="AD179" s="141" t="e">
        <f t="shared" ref="AD179:AI179" ca="1" si="356">O179/$I179</f>
        <v>#DIV/0!</v>
      </c>
      <c r="AE179" s="141" t="e">
        <f t="shared" ca="1" si="356"/>
        <v>#DIV/0!</v>
      </c>
      <c r="AF179" s="141" t="e">
        <f t="shared" ca="1" si="356"/>
        <v>#DIV/0!</v>
      </c>
      <c r="AG179" s="141" t="e">
        <f t="shared" ca="1" si="356"/>
        <v>#DIV/0!</v>
      </c>
      <c r="AH179" s="141" t="e">
        <f t="shared" ca="1" si="356"/>
        <v>#DIV/0!</v>
      </c>
      <c r="AI179" s="141" t="e">
        <f t="shared" ca="1" si="356"/>
        <v>#DIV/0!</v>
      </c>
      <c r="AJ179" s="140"/>
    </row>
    <row r="180" spans="1:36">
      <c r="A180" s="140" t="e">
        <f ca="1"/>
        <v>#NAME?</v>
      </c>
      <c r="B180" s="140" t="e">
        <f ca="1"/>
        <v>#NAME?</v>
      </c>
      <c r="C180" s="140" t="e">
        <f ca="1"/>
        <v>#NAME?</v>
      </c>
      <c r="D180" s="140" t="e">
        <f ca="1"/>
        <v>#NAME?</v>
      </c>
      <c r="E180" s="140" t="e">
        <f ca="1"/>
        <v>#NAME?</v>
      </c>
      <c r="F180" s="140" t="e">
        <f ca="1"/>
        <v>#NAME?</v>
      </c>
      <c r="G180" s="140" t="e">
        <f ca="1"/>
        <v>#NAME?</v>
      </c>
      <c r="H180" s="140"/>
      <c r="I180" s="140">
        <f ca="1">SUMIFS('F20-2024'!I:I,'F20-2024'!$D:$D,$D180,'F20-2024'!$E:$E,$E180,'F20-2024'!$F:$F,$F180)</f>
        <v>0</v>
      </c>
      <c r="J180" s="140">
        <f ca="1">SUMIFS('F20-2024'!J:J,'F20-2024'!$D:$D,$D180,'F20-2024'!$E:$E,$E180,'F20-2024'!$F:$F,$F180)</f>
        <v>0</v>
      </c>
      <c r="K180" s="140">
        <f ca="1">SUMIFS('F20-2024'!K:K,'F20-2024'!$D:$D,$D180,'F20-2024'!$E:$E,$E180,'F20-2024'!$F:$F,$F180)</f>
        <v>0</v>
      </c>
      <c r="L180" s="140">
        <f ca="1">SUMIFS('F20-2024'!L:L,'F20-2024'!$D:$D,$D180,'F20-2024'!$E:$E,$E180,'F20-2024'!$F:$F,$F180)</f>
        <v>0</v>
      </c>
      <c r="M180" s="140">
        <f ca="1">SUMIFS('F20-2024'!M:M,'F20-2024'!$D:$D,$D180,'F20-2024'!$E:$E,$E180,'F20-2024'!$F:$F,$F180)</f>
        <v>0</v>
      </c>
      <c r="N180" s="140">
        <f ca="1">SUMIFS('F20-2024'!N:N,'F20-2024'!$D:$D,$D180,'F20-2024'!$E:$E,$E180,'F20-2024'!$F:$F,$F180)</f>
        <v>0</v>
      </c>
      <c r="O180" s="140">
        <f ca="1">SUMIFS('F20-2024'!O:O,'F20-2024'!$D:$D,$D180,'F20-2024'!$E:$E,$E180,'F20-2024'!$F:$F,$F180)</f>
        <v>0</v>
      </c>
      <c r="P180" s="140">
        <f ca="1">SUMIFS('F20-2024'!P:P,'F20-2024'!$D:$D,$D180,'F20-2024'!$E:$E,$E180,'F20-2024'!$F:$F,$F180)</f>
        <v>0</v>
      </c>
      <c r="Q180" s="140">
        <f ca="1">SUMIFS('F20-2024'!Q:Q,'F20-2024'!$D:$D,$D180,'F20-2024'!$E:$E,$E180,'F20-2024'!$F:$F,$F180)</f>
        <v>0</v>
      </c>
      <c r="R180" s="140">
        <f ca="1">SUMIFS('F20-2024'!R:R,'F20-2024'!$D:$D,$D180,'F20-2024'!$E:$E,$E180,'F20-2024'!$F:$F,$F180)</f>
        <v>0</v>
      </c>
      <c r="S180" s="140">
        <f ca="1">SUMIFS('F20-2024'!S:S,'F20-2024'!$D:$D,$D180,'F20-2024'!$E:$E,$E180,'F20-2024'!$F:$F,$F180)</f>
        <v>0</v>
      </c>
      <c r="T180" s="140">
        <f ca="1">SUMIFS('F20-2024'!T:T,'F20-2024'!$D:$D,$D180,'F20-2024'!$E:$E,$E180,'F20-2024'!$F:$F,$F180)</f>
        <v>0</v>
      </c>
      <c r="U180" s="140">
        <f ca="1">SUMIFS('F20-2024'!U:U,'F20-2024'!$D:$D,$D180,'F20-2024'!$E:$E,$E180,'F20-2024'!$F:$F,$F180)</f>
        <v>0</v>
      </c>
      <c r="V180" s="140"/>
      <c r="W180" s="141" t="e">
        <f t="shared" ref="W180:AA180" ca="1" si="357">J180/$I180</f>
        <v>#DIV/0!</v>
      </c>
      <c r="X180" s="141" t="e">
        <f t="shared" ca="1" si="357"/>
        <v>#DIV/0!</v>
      </c>
      <c r="Y180" s="141" t="e">
        <f t="shared" ca="1" si="357"/>
        <v>#DIV/0!</v>
      </c>
      <c r="Z180" s="141" t="e">
        <f t="shared" ca="1" si="357"/>
        <v>#DIV/0!</v>
      </c>
      <c r="AA180" s="141" t="e">
        <f t="shared" ca="1" si="357"/>
        <v>#DIV/0!</v>
      </c>
      <c r="AB180" s="141"/>
      <c r="AC180" s="141" t="e">
        <f t="shared" ca="1" si="1"/>
        <v>#DIV/0!</v>
      </c>
      <c r="AD180" s="141" t="e">
        <f t="shared" ref="AD180:AI180" ca="1" si="358">O180/$I180</f>
        <v>#DIV/0!</v>
      </c>
      <c r="AE180" s="141" t="e">
        <f t="shared" ca="1" si="358"/>
        <v>#DIV/0!</v>
      </c>
      <c r="AF180" s="141" t="e">
        <f t="shared" ca="1" si="358"/>
        <v>#DIV/0!</v>
      </c>
      <c r="AG180" s="141" t="e">
        <f t="shared" ca="1" si="358"/>
        <v>#DIV/0!</v>
      </c>
      <c r="AH180" s="141" t="e">
        <f t="shared" ca="1" si="358"/>
        <v>#DIV/0!</v>
      </c>
      <c r="AI180" s="141" t="e">
        <f t="shared" ca="1" si="358"/>
        <v>#DIV/0!</v>
      </c>
      <c r="AJ180" s="140"/>
    </row>
    <row r="181" spans="1:36">
      <c r="A181" s="140" t="e">
        <f ca="1"/>
        <v>#NAME?</v>
      </c>
      <c r="B181" s="140" t="e">
        <f ca="1"/>
        <v>#NAME?</v>
      </c>
      <c r="C181" s="140" t="e">
        <f ca="1"/>
        <v>#NAME?</v>
      </c>
      <c r="D181" s="140" t="e">
        <f ca="1"/>
        <v>#NAME?</v>
      </c>
      <c r="E181" s="140" t="e">
        <f ca="1"/>
        <v>#NAME?</v>
      </c>
      <c r="F181" s="140" t="e">
        <f ca="1"/>
        <v>#NAME?</v>
      </c>
      <c r="G181" s="140" t="e">
        <f ca="1"/>
        <v>#NAME?</v>
      </c>
      <c r="H181" s="140"/>
      <c r="I181" s="140">
        <f ca="1">SUMIFS('F20-2024'!I:I,'F20-2024'!$D:$D,$D181,'F20-2024'!$E:$E,$E181,'F20-2024'!$F:$F,$F181)</f>
        <v>0</v>
      </c>
      <c r="J181" s="140">
        <f ca="1">SUMIFS('F20-2024'!J:J,'F20-2024'!$D:$D,$D181,'F20-2024'!$E:$E,$E181,'F20-2024'!$F:$F,$F181)</f>
        <v>0</v>
      </c>
      <c r="K181" s="140">
        <f ca="1">SUMIFS('F20-2024'!K:K,'F20-2024'!$D:$D,$D181,'F20-2024'!$E:$E,$E181,'F20-2024'!$F:$F,$F181)</f>
        <v>0</v>
      </c>
      <c r="L181" s="140">
        <f ca="1">SUMIFS('F20-2024'!L:L,'F20-2024'!$D:$D,$D181,'F20-2024'!$E:$E,$E181,'F20-2024'!$F:$F,$F181)</f>
        <v>0</v>
      </c>
      <c r="M181" s="140">
        <f ca="1">SUMIFS('F20-2024'!M:M,'F20-2024'!$D:$D,$D181,'F20-2024'!$E:$E,$E181,'F20-2024'!$F:$F,$F181)</f>
        <v>0</v>
      </c>
      <c r="N181" s="140">
        <f ca="1">SUMIFS('F20-2024'!N:N,'F20-2024'!$D:$D,$D181,'F20-2024'!$E:$E,$E181,'F20-2024'!$F:$F,$F181)</f>
        <v>0</v>
      </c>
      <c r="O181" s="140">
        <f ca="1">SUMIFS('F20-2024'!O:O,'F20-2024'!$D:$D,$D181,'F20-2024'!$E:$E,$E181,'F20-2024'!$F:$F,$F181)</f>
        <v>0</v>
      </c>
      <c r="P181" s="140">
        <f ca="1">SUMIFS('F20-2024'!P:P,'F20-2024'!$D:$D,$D181,'F20-2024'!$E:$E,$E181,'F20-2024'!$F:$F,$F181)</f>
        <v>0</v>
      </c>
      <c r="Q181" s="140">
        <f ca="1">SUMIFS('F20-2024'!Q:Q,'F20-2024'!$D:$D,$D181,'F20-2024'!$E:$E,$E181,'F20-2024'!$F:$F,$F181)</f>
        <v>0</v>
      </c>
      <c r="R181" s="140">
        <f ca="1">SUMIFS('F20-2024'!R:R,'F20-2024'!$D:$D,$D181,'F20-2024'!$E:$E,$E181,'F20-2024'!$F:$F,$F181)</f>
        <v>0</v>
      </c>
      <c r="S181" s="140">
        <f ca="1">SUMIFS('F20-2024'!S:S,'F20-2024'!$D:$D,$D181,'F20-2024'!$E:$E,$E181,'F20-2024'!$F:$F,$F181)</f>
        <v>0</v>
      </c>
      <c r="T181" s="140">
        <f ca="1">SUMIFS('F20-2024'!T:T,'F20-2024'!$D:$D,$D181,'F20-2024'!$E:$E,$E181,'F20-2024'!$F:$F,$F181)</f>
        <v>0</v>
      </c>
      <c r="U181" s="140">
        <f ca="1">SUMIFS('F20-2024'!U:U,'F20-2024'!$D:$D,$D181,'F20-2024'!$E:$E,$E181,'F20-2024'!$F:$F,$F181)</f>
        <v>0</v>
      </c>
      <c r="V181" s="140"/>
      <c r="W181" s="141" t="e">
        <f t="shared" ref="W181:AA181" ca="1" si="359">J181/$I181</f>
        <v>#DIV/0!</v>
      </c>
      <c r="X181" s="141" t="e">
        <f t="shared" ca="1" si="359"/>
        <v>#DIV/0!</v>
      </c>
      <c r="Y181" s="141" t="e">
        <f t="shared" ca="1" si="359"/>
        <v>#DIV/0!</v>
      </c>
      <c r="Z181" s="141" t="e">
        <f t="shared" ca="1" si="359"/>
        <v>#DIV/0!</v>
      </c>
      <c r="AA181" s="141" t="e">
        <f t="shared" ca="1" si="359"/>
        <v>#DIV/0!</v>
      </c>
      <c r="AB181" s="141"/>
      <c r="AC181" s="141" t="e">
        <f t="shared" ca="1" si="1"/>
        <v>#DIV/0!</v>
      </c>
      <c r="AD181" s="141" t="e">
        <f t="shared" ref="AD181:AI181" ca="1" si="360">O181/$I181</f>
        <v>#DIV/0!</v>
      </c>
      <c r="AE181" s="141" t="e">
        <f t="shared" ca="1" si="360"/>
        <v>#DIV/0!</v>
      </c>
      <c r="AF181" s="141" t="e">
        <f t="shared" ca="1" si="360"/>
        <v>#DIV/0!</v>
      </c>
      <c r="AG181" s="141" t="e">
        <f t="shared" ca="1" si="360"/>
        <v>#DIV/0!</v>
      </c>
      <c r="AH181" s="141" t="e">
        <f t="shared" ca="1" si="360"/>
        <v>#DIV/0!</v>
      </c>
      <c r="AI181" s="141" t="e">
        <f t="shared" ca="1" si="360"/>
        <v>#DIV/0!</v>
      </c>
      <c r="AJ181" s="140"/>
    </row>
    <row r="182" spans="1:36">
      <c r="A182" s="140" t="e">
        <f ca="1"/>
        <v>#NAME?</v>
      </c>
      <c r="B182" s="140" t="e">
        <f ca="1"/>
        <v>#NAME?</v>
      </c>
      <c r="C182" s="140" t="e">
        <f ca="1"/>
        <v>#NAME?</v>
      </c>
      <c r="D182" s="140" t="e">
        <f ca="1"/>
        <v>#NAME?</v>
      </c>
      <c r="E182" s="140" t="e">
        <f ca="1"/>
        <v>#NAME?</v>
      </c>
      <c r="F182" s="140" t="e">
        <f ca="1"/>
        <v>#NAME?</v>
      </c>
      <c r="G182" s="140" t="e">
        <f ca="1"/>
        <v>#NAME?</v>
      </c>
      <c r="H182" s="140"/>
      <c r="I182" s="140">
        <f ca="1">SUMIFS('F20-2024'!I:I,'F20-2024'!$D:$D,$D182,'F20-2024'!$E:$E,$E182,'F20-2024'!$F:$F,$F182)</f>
        <v>0</v>
      </c>
      <c r="J182" s="140">
        <f ca="1">SUMIFS('F20-2024'!J:J,'F20-2024'!$D:$D,$D182,'F20-2024'!$E:$E,$E182,'F20-2024'!$F:$F,$F182)</f>
        <v>0</v>
      </c>
      <c r="K182" s="140">
        <f ca="1">SUMIFS('F20-2024'!K:K,'F20-2024'!$D:$D,$D182,'F20-2024'!$E:$E,$E182,'F20-2024'!$F:$F,$F182)</f>
        <v>0</v>
      </c>
      <c r="L182" s="140">
        <f ca="1">SUMIFS('F20-2024'!L:L,'F20-2024'!$D:$D,$D182,'F20-2024'!$E:$E,$E182,'F20-2024'!$F:$F,$F182)</f>
        <v>0</v>
      </c>
      <c r="M182" s="140">
        <f ca="1">SUMIFS('F20-2024'!M:M,'F20-2024'!$D:$D,$D182,'F20-2024'!$E:$E,$E182,'F20-2024'!$F:$F,$F182)</f>
        <v>0</v>
      </c>
      <c r="N182" s="140">
        <f ca="1">SUMIFS('F20-2024'!N:N,'F20-2024'!$D:$D,$D182,'F20-2024'!$E:$E,$E182,'F20-2024'!$F:$F,$F182)</f>
        <v>0</v>
      </c>
      <c r="O182" s="140">
        <f ca="1">SUMIFS('F20-2024'!O:O,'F20-2024'!$D:$D,$D182,'F20-2024'!$E:$E,$E182,'F20-2024'!$F:$F,$F182)</f>
        <v>0</v>
      </c>
      <c r="P182" s="140">
        <f ca="1">SUMIFS('F20-2024'!P:P,'F20-2024'!$D:$D,$D182,'F20-2024'!$E:$E,$E182,'F20-2024'!$F:$F,$F182)</f>
        <v>0</v>
      </c>
      <c r="Q182" s="140">
        <f ca="1">SUMIFS('F20-2024'!Q:Q,'F20-2024'!$D:$D,$D182,'F20-2024'!$E:$E,$E182,'F20-2024'!$F:$F,$F182)</f>
        <v>0</v>
      </c>
      <c r="R182" s="140">
        <f ca="1">SUMIFS('F20-2024'!R:R,'F20-2024'!$D:$D,$D182,'F20-2024'!$E:$E,$E182,'F20-2024'!$F:$F,$F182)</f>
        <v>0</v>
      </c>
      <c r="S182" s="140">
        <f ca="1">SUMIFS('F20-2024'!S:S,'F20-2024'!$D:$D,$D182,'F20-2024'!$E:$E,$E182,'F20-2024'!$F:$F,$F182)</f>
        <v>0</v>
      </c>
      <c r="T182" s="140">
        <f ca="1">SUMIFS('F20-2024'!T:T,'F20-2024'!$D:$D,$D182,'F20-2024'!$E:$E,$E182,'F20-2024'!$F:$F,$F182)</f>
        <v>0</v>
      </c>
      <c r="U182" s="140">
        <f ca="1">SUMIFS('F20-2024'!U:U,'F20-2024'!$D:$D,$D182,'F20-2024'!$E:$E,$E182,'F20-2024'!$F:$F,$F182)</f>
        <v>0</v>
      </c>
      <c r="V182" s="140"/>
      <c r="W182" s="141" t="e">
        <f t="shared" ref="W182:AA182" ca="1" si="361">J182/$I182</f>
        <v>#DIV/0!</v>
      </c>
      <c r="X182" s="141" t="e">
        <f t="shared" ca="1" si="361"/>
        <v>#DIV/0!</v>
      </c>
      <c r="Y182" s="141" t="e">
        <f t="shared" ca="1" si="361"/>
        <v>#DIV/0!</v>
      </c>
      <c r="Z182" s="141" t="e">
        <f t="shared" ca="1" si="361"/>
        <v>#DIV/0!</v>
      </c>
      <c r="AA182" s="141" t="e">
        <f t="shared" ca="1" si="361"/>
        <v>#DIV/0!</v>
      </c>
      <c r="AB182" s="141"/>
      <c r="AC182" s="141" t="e">
        <f t="shared" ca="1" si="1"/>
        <v>#DIV/0!</v>
      </c>
      <c r="AD182" s="141" t="e">
        <f t="shared" ref="AD182:AI182" ca="1" si="362">O182/$I182</f>
        <v>#DIV/0!</v>
      </c>
      <c r="AE182" s="141" t="e">
        <f t="shared" ca="1" si="362"/>
        <v>#DIV/0!</v>
      </c>
      <c r="AF182" s="141" t="e">
        <f t="shared" ca="1" si="362"/>
        <v>#DIV/0!</v>
      </c>
      <c r="AG182" s="141" t="e">
        <f t="shared" ca="1" si="362"/>
        <v>#DIV/0!</v>
      </c>
      <c r="AH182" s="141" t="e">
        <f t="shared" ca="1" si="362"/>
        <v>#DIV/0!</v>
      </c>
      <c r="AI182" s="141" t="e">
        <f t="shared" ca="1" si="362"/>
        <v>#DIV/0!</v>
      </c>
      <c r="AJ182" s="140"/>
    </row>
    <row r="183" spans="1:36">
      <c r="A183" s="140" t="e">
        <f ca="1"/>
        <v>#NAME?</v>
      </c>
      <c r="B183" s="140" t="e">
        <f ca="1"/>
        <v>#NAME?</v>
      </c>
      <c r="C183" s="140" t="e">
        <f ca="1"/>
        <v>#NAME?</v>
      </c>
      <c r="D183" s="140" t="e">
        <f ca="1"/>
        <v>#NAME?</v>
      </c>
      <c r="E183" s="140" t="e">
        <f ca="1"/>
        <v>#NAME?</v>
      </c>
      <c r="F183" s="140" t="e">
        <f ca="1"/>
        <v>#NAME?</v>
      </c>
      <c r="G183" s="140" t="e">
        <f ca="1"/>
        <v>#NAME?</v>
      </c>
      <c r="H183" s="140"/>
      <c r="I183" s="140">
        <f ca="1">SUMIFS('F20-2024'!I:I,'F20-2024'!$D:$D,$D183,'F20-2024'!$E:$E,$E183,'F20-2024'!$F:$F,$F183)</f>
        <v>0</v>
      </c>
      <c r="J183" s="140">
        <f ca="1">SUMIFS('F20-2024'!J:J,'F20-2024'!$D:$D,$D183,'F20-2024'!$E:$E,$E183,'F20-2024'!$F:$F,$F183)</f>
        <v>0</v>
      </c>
      <c r="K183" s="140">
        <f ca="1">SUMIFS('F20-2024'!K:K,'F20-2024'!$D:$D,$D183,'F20-2024'!$E:$E,$E183,'F20-2024'!$F:$F,$F183)</f>
        <v>0</v>
      </c>
      <c r="L183" s="140">
        <f ca="1">SUMIFS('F20-2024'!L:L,'F20-2024'!$D:$D,$D183,'F20-2024'!$E:$E,$E183,'F20-2024'!$F:$F,$F183)</f>
        <v>0</v>
      </c>
      <c r="M183" s="140">
        <f ca="1">SUMIFS('F20-2024'!M:M,'F20-2024'!$D:$D,$D183,'F20-2024'!$E:$E,$E183,'F20-2024'!$F:$F,$F183)</f>
        <v>0</v>
      </c>
      <c r="N183" s="140">
        <f ca="1">SUMIFS('F20-2024'!N:N,'F20-2024'!$D:$D,$D183,'F20-2024'!$E:$E,$E183,'F20-2024'!$F:$F,$F183)</f>
        <v>0</v>
      </c>
      <c r="O183" s="140">
        <f ca="1">SUMIFS('F20-2024'!O:O,'F20-2024'!$D:$D,$D183,'F20-2024'!$E:$E,$E183,'F20-2024'!$F:$F,$F183)</f>
        <v>0</v>
      </c>
      <c r="P183" s="140">
        <f ca="1">SUMIFS('F20-2024'!P:P,'F20-2024'!$D:$D,$D183,'F20-2024'!$E:$E,$E183,'F20-2024'!$F:$F,$F183)</f>
        <v>0</v>
      </c>
      <c r="Q183" s="140">
        <f ca="1">SUMIFS('F20-2024'!Q:Q,'F20-2024'!$D:$D,$D183,'F20-2024'!$E:$E,$E183,'F20-2024'!$F:$F,$F183)</f>
        <v>0</v>
      </c>
      <c r="R183" s="140">
        <f ca="1">SUMIFS('F20-2024'!R:R,'F20-2024'!$D:$D,$D183,'F20-2024'!$E:$E,$E183,'F20-2024'!$F:$F,$F183)</f>
        <v>0</v>
      </c>
      <c r="S183" s="140">
        <f ca="1">SUMIFS('F20-2024'!S:S,'F20-2024'!$D:$D,$D183,'F20-2024'!$E:$E,$E183,'F20-2024'!$F:$F,$F183)</f>
        <v>0</v>
      </c>
      <c r="T183" s="140">
        <f ca="1">SUMIFS('F20-2024'!T:T,'F20-2024'!$D:$D,$D183,'F20-2024'!$E:$E,$E183,'F20-2024'!$F:$F,$F183)</f>
        <v>0</v>
      </c>
      <c r="U183" s="140">
        <f ca="1">SUMIFS('F20-2024'!U:U,'F20-2024'!$D:$D,$D183,'F20-2024'!$E:$E,$E183,'F20-2024'!$F:$F,$F183)</f>
        <v>0</v>
      </c>
      <c r="V183" s="140"/>
      <c r="W183" s="141" t="e">
        <f t="shared" ref="W183:AA183" ca="1" si="363">J183/$I183</f>
        <v>#DIV/0!</v>
      </c>
      <c r="X183" s="141" t="e">
        <f t="shared" ca="1" si="363"/>
        <v>#DIV/0!</v>
      </c>
      <c r="Y183" s="141" t="e">
        <f t="shared" ca="1" si="363"/>
        <v>#DIV/0!</v>
      </c>
      <c r="Z183" s="141" t="e">
        <f t="shared" ca="1" si="363"/>
        <v>#DIV/0!</v>
      </c>
      <c r="AA183" s="141" t="e">
        <f t="shared" ca="1" si="363"/>
        <v>#DIV/0!</v>
      </c>
      <c r="AB183" s="141"/>
      <c r="AC183" s="141" t="e">
        <f t="shared" ca="1" si="1"/>
        <v>#DIV/0!</v>
      </c>
      <c r="AD183" s="141" t="e">
        <f t="shared" ref="AD183:AI183" ca="1" si="364">O183/$I183</f>
        <v>#DIV/0!</v>
      </c>
      <c r="AE183" s="141" t="e">
        <f t="shared" ca="1" si="364"/>
        <v>#DIV/0!</v>
      </c>
      <c r="AF183" s="141" t="e">
        <f t="shared" ca="1" si="364"/>
        <v>#DIV/0!</v>
      </c>
      <c r="AG183" s="141" t="e">
        <f t="shared" ca="1" si="364"/>
        <v>#DIV/0!</v>
      </c>
      <c r="AH183" s="141" t="e">
        <f t="shared" ca="1" si="364"/>
        <v>#DIV/0!</v>
      </c>
      <c r="AI183" s="141" t="e">
        <f t="shared" ca="1" si="364"/>
        <v>#DIV/0!</v>
      </c>
      <c r="AJ183" s="140"/>
    </row>
    <row r="184" spans="1:36">
      <c r="A184" s="140" t="e">
        <f ca="1"/>
        <v>#NAME?</v>
      </c>
      <c r="B184" s="140" t="e">
        <f ca="1"/>
        <v>#NAME?</v>
      </c>
      <c r="C184" s="140" t="e">
        <f ca="1"/>
        <v>#NAME?</v>
      </c>
      <c r="D184" s="140" t="e">
        <f ca="1"/>
        <v>#NAME?</v>
      </c>
      <c r="E184" s="140" t="e">
        <f ca="1"/>
        <v>#NAME?</v>
      </c>
      <c r="F184" s="140" t="e">
        <f ca="1"/>
        <v>#NAME?</v>
      </c>
      <c r="G184" s="140" t="e">
        <f ca="1"/>
        <v>#NAME?</v>
      </c>
      <c r="H184" s="140"/>
      <c r="I184" s="140">
        <f ca="1">SUMIFS('F20-2024'!I:I,'F20-2024'!$D:$D,$D184,'F20-2024'!$E:$E,$E184,'F20-2024'!$F:$F,$F184)</f>
        <v>0</v>
      </c>
      <c r="J184" s="140">
        <f ca="1">SUMIFS('F20-2024'!J:J,'F20-2024'!$D:$D,$D184,'F20-2024'!$E:$E,$E184,'F20-2024'!$F:$F,$F184)</f>
        <v>0</v>
      </c>
      <c r="K184" s="140">
        <f ca="1">SUMIFS('F20-2024'!K:K,'F20-2024'!$D:$D,$D184,'F20-2024'!$E:$E,$E184,'F20-2024'!$F:$F,$F184)</f>
        <v>0</v>
      </c>
      <c r="L184" s="140">
        <f ca="1">SUMIFS('F20-2024'!L:L,'F20-2024'!$D:$D,$D184,'F20-2024'!$E:$E,$E184,'F20-2024'!$F:$F,$F184)</f>
        <v>0</v>
      </c>
      <c r="M184" s="140">
        <f ca="1">SUMIFS('F20-2024'!M:M,'F20-2024'!$D:$D,$D184,'F20-2024'!$E:$E,$E184,'F20-2024'!$F:$F,$F184)</f>
        <v>0</v>
      </c>
      <c r="N184" s="140">
        <f ca="1">SUMIFS('F20-2024'!N:N,'F20-2024'!$D:$D,$D184,'F20-2024'!$E:$E,$E184,'F20-2024'!$F:$F,$F184)</f>
        <v>0</v>
      </c>
      <c r="O184" s="140">
        <f ca="1">SUMIFS('F20-2024'!O:O,'F20-2024'!$D:$D,$D184,'F20-2024'!$E:$E,$E184,'F20-2024'!$F:$F,$F184)</f>
        <v>0</v>
      </c>
      <c r="P184" s="140">
        <f ca="1">SUMIFS('F20-2024'!P:P,'F20-2024'!$D:$D,$D184,'F20-2024'!$E:$E,$E184,'F20-2024'!$F:$F,$F184)</f>
        <v>0</v>
      </c>
      <c r="Q184" s="140">
        <f ca="1">SUMIFS('F20-2024'!Q:Q,'F20-2024'!$D:$D,$D184,'F20-2024'!$E:$E,$E184,'F20-2024'!$F:$F,$F184)</f>
        <v>0</v>
      </c>
      <c r="R184" s="140">
        <f ca="1">SUMIFS('F20-2024'!R:R,'F20-2024'!$D:$D,$D184,'F20-2024'!$E:$E,$E184,'F20-2024'!$F:$F,$F184)</f>
        <v>0</v>
      </c>
      <c r="S184" s="140">
        <f ca="1">SUMIFS('F20-2024'!S:S,'F20-2024'!$D:$D,$D184,'F20-2024'!$E:$E,$E184,'F20-2024'!$F:$F,$F184)</f>
        <v>0</v>
      </c>
      <c r="T184" s="140">
        <f ca="1">SUMIFS('F20-2024'!T:T,'F20-2024'!$D:$D,$D184,'F20-2024'!$E:$E,$E184,'F20-2024'!$F:$F,$F184)</f>
        <v>0</v>
      </c>
      <c r="U184" s="140">
        <f ca="1">SUMIFS('F20-2024'!U:U,'F20-2024'!$D:$D,$D184,'F20-2024'!$E:$E,$E184,'F20-2024'!$F:$F,$F184)</f>
        <v>0</v>
      </c>
      <c r="V184" s="140"/>
      <c r="W184" s="141" t="e">
        <f t="shared" ref="W184:AA184" ca="1" si="365">J184/$I184</f>
        <v>#DIV/0!</v>
      </c>
      <c r="X184" s="141" t="e">
        <f t="shared" ca="1" si="365"/>
        <v>#DIV/0!</v>
      </c>
      <c r="Y184" s="141" t="e">
        <f t="shared" ca="1" si="365"/>
        <v>#DIV/0!</v>
      </c>
      <c r="Z184" s="141" t="e">
        <f t="shared" ca="1" si="365"/>
        <v>#DIV/0!</v>
      </c>
      <c r="AA184" s="141" t="e">
        <f t="shared" ca="1" si="365"/>
        <v>#DIV/0!</v>
      </c>
      <c r="AB184" s="141"/>
      <c r="AC184" s="141" t="e">
        <f t="shared" ca="1" si="1"/>
        <v>#DIV/0!</v>
      </c>
      <c r="AD184" s="141" t="e">
        <f t="shared" ref="AD184:AI184" ca="1" si="366">O184/$I184</f>
        <v>#DIV/0!</v>
      </c>
      <c r="AE184" s="141" t="e">
        <f t="shared" ca="1" si="366"/>
        <v>#DIV/0!</v>
      </c>
      <c r="AF184" s="141" t="e">
        <f t="shared" ca="1" si="366"/>
        <v>#DIV/0!</v>
      </c>
      <c r="AG184" s="141" t="e">
        <f t="shared" ca="1" si="366"/>
        <v>#DIV/0!</v>
      </c>
      <c r="AH184" s="141" t="e">
        <f t="shared" ca="1" si="366"/>
        <v>#DIV/0!</v>
      </c>
      <c r="AI184" s="141" t="e">
        <f t="shared" ca="1" si="366"/>
        <v>#DIV/0!</v>
      </c>
      <c r="AJ184" s="140"/>
    </row>
    <row r="185" spans="1:36">
      <c r="A185" s="140" t="e">
        <f ca="1"/>
        <v>#NAME?</v>
      </c>
      <c r="B185" s="140" t="e">
        <f ca="1"/>
        <v>#NAME?</v>
      </c>
      <c r="C185" s="140" t="e">
        <f ca="1"/>
        <v>#NAME?</v>
      </c>
      <c r="D185" s="140" t="e">
        <f ca="1"/>
        <v>#NAME?</v>
      </c>
      <c r="E185" s="140" t="e">
        <f ca="1"/>
        <v>#NAME?</v>
      </c>
      <c r="F185" s="140" t="e">
        <f ca="1"/>
        <v>#NAME?</v>
      </c>
      <c r="G185" s="140" t="e">
        <f ca="1"/>
        <v>#NAME?</v>
      </c>
      <c r="H185" s="140"/>
      <c r="I185" s="140">
        <f ca="1">SUMIFS('F20-2024'!I:I,'F20-2024'!$D:$D,$D185,'F20-2024'!$E:$E,$E185,'F20-2024'!$F:$F,$F185)</f>
        <v>0</v>
      </c>
      <c r="J185" s="140">
        <f ca="1">SUMIFS('F20-2024'!J:J,'F20-2024'!$D:$D,$D185,'F20-2024'!$E:$E,$E185,'F20-2024'!$F:$F,$F185)</f>
        <v>0</v>
      </c>
      <c r="K185" s="140">
        <f ca="1">SUMIFS('F20-2024'!K:K,'F20-2024'!$D:$D,$D185,'F20-2024'!$E:$E,$E185,'F20-2024'!$F:$F,$F185)</f>
        <v>0</v>
      </c>
      <c r="L185" s="140">
        <f ca="1">SUMIFS('F20-2024'!L:L,'F20-2024'!$D:$D,$D185,'F20-2024'!$E:$E,$E185,'F20-2024'!$F:$F,$F185)</f>
        <v>0</v>
      </c>
      <c r="M185" s="140">
        <f ca="1">SUMIFS('F20-2024'!M:M,'F20-2024'!$D:$D,$D185,'F20-2024'!$E:$E,$E185,'F20-2024'!$F:$F,$F185)</f>
        <v>0</v>
      </c>
      <c r="N185" s="140">
        <f ca="1">SUMIFS('F20-2024'!N:N,'F20-2024'!$D:$D,$D185,'F20-2024'!$E:$E,$E185,'F20-2024'!$F:$F,$F185)</f>
        <v>0</v>
      </c>
      <c r="O185" s="140">
        <f ca="1">SUMIFS('F20-2024'!O:O,'F20-2024'!$D:$D,$D185,'F20-2024'!$E:$E,$E185,'F20-2024'!$F:$F,$F185)</f>
        <v>0</v>
      </c>
      <c r="P185" s="140">
        <f ca="1">SUMIFS('F20-2024'!P:P,'F20-2024'!$D:$D,$D185,'F20-2024'!$E:$E,$E185,'F20-2024'!$F:$F,$F185)</f>
        <v>0</v>
      </c>
      <c r="Q185" s="140">
        <f ca="1">SUMIFS('F20-2024'!Q:Q,'F20-2024'!$D:$D,$D185,'F20-2024'!$E:$E,$E185,'F20-2024'!$F:$F,$F185)</f>
        <v>0</v>
      </c>
      <c r="R185" s="140">
        <f ca="1">SUMIFS('F20-2024'!R:R,'F20-2024'!$D:$D,$D185,'F20-2024'!$E:$E,$E185,'F20-2024'!$F:$F,$F185)</f>
        <v>0</v>
      </c>
      <c r="S185" s="140">
        <f ca="1">SUMIFS('F20-2024'!S:S,'F20-2024'!$D:$D,$D185,'F20-2024'!$E:$E,$E185,'F20-2024'!$F:$F,$F185)</f>
        <v>0</v>
      </c>
      <c r="T185" s="140">
        <f ca="1">SUMIFS('F20-2024'!T:T,'F20-2024'!$D:$D,$D185,'F20-2024'!$E:$E,$E185,'F20-2024'!$F:$F,$F185)</f>
        <v>0</v>
      </c>
      <c r="U185" s="140">
        <f ca="1">SUMIFS('F20-2024'!U:U,'F20-2024'!$D:$D,$D185,'F20-2024'!$E:$E,$E185,'F20-2024'!$F:$F,$F185)</f>
        <v>0</v>
      </c>
      <c r="V185" s="140"/>
      <c r="W185" s="141" t="e">
        <f t="shared" ref="W185:AA185" ca="1" si="367">J185/$I185</f>
        <v>#DIV/0!</v>
      </c>
      <c r="X185" s="141" t="e">
        <f t="shared" ca="1" si="367"/>
        <v>#DIV/0!</v>
      </c>
      <c r="Y185" s="141" t="e">
        <f t="shared" ca="1" si="367"/>
        <v>#DIV/0!</v>
      </c>
      <c r="Z185" s="141" t="e">
        <f t="shared" ca="1" si="367"/>
        <v>#DIV/0!</v>
      </c>
      <c r="AA185" s="141" t="e">
        <f t="shared" ca="1" si="367"/>
        <v>#DIV/0!</v>
      </c>
      <c r="AB185" s="141"/>
      <c r="AC185" s="141" t="e">
        <f t="shared" ca="1" si="1"/>
        <v>#DIV/0!</v>
      </c>
      <c r="AD185" s="141" t="e">
        <f t="shared" ref="AD185:AI185" ca="1" si="368">O185/$I185</f>
        <v>#DIV/0!</v>
      </c>
      <c r="AE185" s="141" t="e">
        <f t="shared" ca="1" si="368"/>
        <v>#DIV/0!</v>
      </c>
      <c r="AF185" s="141" t="e">
        <f t="shared" ca="1" si="368"/>
        <v>#DIV/0!</v>
      </c>
      <c r="AG185" s="141" t="e">
        <f t="shared" ca="1" si="368"/>
        <v>#DIV/0!</v>
      </c>
      <c r="AH185" s="141" t="e">
        <f t="shared" ca="1" si="368"/>
        <v>#DIV/0!</v>
      </c>
      <c r="AI185" s="141" t="e">
        <f t="shared" ca="1" si="368"/>
        <v>#DIV/0!</v>
      </c>
      <c r="AJ185" s="140"/>
    </row>
    <row r="186" spans="1:36">
      <c r="A186" s="140" t="e">
        <f ca="1"/>
        <v>#NAME?</v>
      </c>
      <c r="B186" s="140" t="e">
        <f ca="1"/>
        <v>#NAME?</v>
      </c>
      <c r="C186" s="140" t="e">
        <f ca="1"/>
        <v>#NAME?</v>
      </c>
      <c r="D186" s="140" t="e">
        <f ca="1"/>
        <v>#NAME?</v>
      </c>
      <c r="E186" s="140" t="e">
        <f ca="1"/>
        <v>#NAME?</v>
      </c>
      <c r="F186" s="140" t="e">
        <f ca="1"/>
        <v>#NAME?</v>
      </c>
      <c r="G186" s="140" t="e">
        <f ca="1"/>
        <v>#NAME?</v>
      </c>
      <c r="H186" s="140"/>
      <c r="I186" s="140">
        <f ca="1">SUMIFS('F20-2024'!I:I,'F20-2024'!$D:$D,$D186,'F20-2024'!$E:$E,$E186,'F20-2024'!$F:$F,$F186)</f>
        <v>0</v>
      </c>
      <c r="J186" s="140">
        <f ca="1">SUMIFS('F20-2024'!J:J,'F20-2024'!$D:$D,$D186,'F20-2024'!$E:$E,$E186,'F20-2024'!$F:$F,$F186)</f>
        <v>0</v>
      </c>
      <c r="K186" s="140">
        <f ca="1">SUMIFS('F20-2024'!K:K,'F20-2024'!$D:$D,$D186,'F20-2024'!$E:$E,$E186,'F20-2024'!$F:$F,$F186)</f>
        <v>0</v>
      </c>
      <c r="L186" s="140">
        <f ca="1">SUMIFS('F20-2024'!L:L,'F20-2024'!$D:$D,$D186,'F20-2024'!$E:$E,$E186,'F20-2024'!$F:$F,$F186)</f>
        <v>0</v>
      </c>
      <c r="M186" s="140">
        <f ca="1">SUMIFS('F20-2024'!M:M,'F20-2024'!$D:$D,$D186,'F20-2024'!$E:$E,$E186,'F20-2024'!$F:$F,$F186)</f>
        <v>0</v>
      </c>
      <c r="N186" s="140">
        <f ca="1">SUMIFS('F20-2024'!N:N,'F20-2024'!$D:$D,$D186,'F20-2024'!$E:$E,$E186,'F20-2024'!$F:$F,$F186)</f>
        <v>0</v>
      </c>
      <c r="O186" s="140">
        <f ca="1">SUMIFS('F20-2024'!O:O,'F20-2024'!$D:$D,$D186,'F20-2024'!$E:$E,$E186,'F20-2024'!$F:$F,$F186)</f>
        <v>0</v>
      </c>
      <c r="P186" s="140">
        <f ca="1">SUMIFS('F20-2024'!P:P,'F20-2024'!$D:$D,$D186,'F20-2024'!$E:$E,$E186,'F20-2024'!$F:$F,$F186)</f>
        <v>0</v>
      </c>
      <c r="Q186" s="140">
        <f ca="1">SUMIFS('F20-2024'!Q:Q,'F20-2024'!$D:$D,$D186,'F20-2024'!$E:$E,$E186,'F20-2024'!$F:$F,$F186)</f>
        <v>0</v>
      </c>
      <c r="R186" s="140">
        <f ca="1">SUMIFS('F20-2024'!R:R,'F20-2024'!$D:$D,$D186,'F20-2024'!$E:$E,$E186,'F20-2024'!$F:$F,$F186)</f>
        <v>0</v>
      </c>
      <c r="S186" s="140">
        <f ca="1">SUMIFS('F20-2024'!S:S,'F20-2024'!$D:$D,$D186,'F20-2024'!$E:$E,$E186,'F20-2024'!$F:$F,$F186)</f>
        <v>0</v>
      </c>
      <c r="T186" s="140">
        <f ca="1">SUMIFS('F20-2024'!T:T,'F20-2024'!$D:$D,$D186,'F20-2024'!$E:$E,$E186,'F20-2024'!$F:$F,$F186)</f>
        <v>0</v>
      </c>
      <c r="U186" s="140">
        <f ca="1">SUMIFS('F20-2024'!U:U,'F20-2024'!$D:$D,$D186,'F20-2024'!$E:$E,$E186,'F20-2024'!$F:$F,$F186)</f>
        <v>0</v>
      </c>
      <c r="V186" s="140"/>
      <c r="W186" s="141" t="e">
        <f t="shared" ref="W186:AA186" ca="1" si="369">J186/$I186</f>
        <v>#DIV/0!</v>
      </c>
      <c r="X186" s="141" t="e">
        <f t="shared" ca="1" si="369"/>
        <v>#DIV/0!</v>
      </c>
      <c r="Y186" s="141" t="e">
        <f t="shared" ca="1" si="369"/>
        <v>#DIV/0!</v>
      </c>
      <c r="Z186" s="141" t="e">
        <f t="shared" ca="1" si="369"/>
        <v>#DIV/0!</v>
      </c>
      <c r="AA186" s="141" t="e">
        <f t="shared" ca="1" si="369"/>
        <v>#DIV/0!</v>
      </c>
      <c r="AB186" s="141"/>
      <c r="AC186" s="141" t="e">
        <f t="shared" ca="1" si="1"/>
        <v>#DIV/0!</v>
      </c>
      <c r="AD186" s="141" t="e">
        <f t="shared" ref="AD186:AI186" ca="1" si="370">O186/$I186</f>
        <v>#DIV/0!</v>
      </c>
      <c r="AE186" s="141" t="e">
        <f t="shared" ca="1" si="370"/>
        <v>#DIV/0!</v>
      </c>
      <c r="AF186" s="141" t="e">
        <f t="shared" ca="1" si="370"/>
        <v>#DIV/0!</v>
      </c>
      <c r="AG186" s="141" t="e">
        <f t="shared" ca="1" si="370"/>
        <v>#DIV/0!</v>
      </c>
      <c r="AH186" s="141" t="e">
        <f t="shared" ca="1" si="370"/>
        <v>#DIV/0!</v>
      </c>
      <c r="AI186" s="141" t="e">
        <f t="shared" ca="1" si="370"/>
        <v>#DIV/0!</v>
      </c>
      <c r="AJ186" s="140"/>
    </row>
    <row r="187" spans="1:36">
      <c r="A187" s="140" t="e">
        <f ca="1"/>
        <v>#NAME?</v>
      </c>
      <c r="B187" s="140" t="e">
        <f ca="1"/>
        <v>#NAME?</v>
      </c>
      <c r="C187" s="140" t="e">
        <f ca="1"/>
        <v>#NAME?</v>
      </c>
      <c r="D187" s="140" t="e">
        <f ca="1"/>
        <v>#NAME?</v>
      </c>
      <c r="E187" s="140" t="e">
        <f ca="1"/>
        <v>#NAME?</v>
      </c>
      <c r="F187" s="140" t="e">
        <f ca="1"/>
        <v>#NAME?</v>
      </c>
      <c r="G187" s="140" t="e">
        <f ca="1"/>
        <v>#NAME?</v>
      </c>
      <c r="H187" s="140"/>
      <c r="I187" s="140">
        <f ca="1">SUMIFS('F20-2024'!I:I,'F20-2024'!$D:$D,$D187,'F20-2024'!$E:$E,$E187,'F20-2024'!$F:$F,$F187)</f>
        <v>0</v>
      </c>
      <c r="J187" s="140">
        <f ca="1">SUMIFS('F20-2024'!J:J,'F20-2024'!$D:$D,$D187,'F20-2024'!$E:$E,$E187,'F20-2024'!$F:$F,$F187)</f>
        <v>0</v>
      </c>
      <c r="K187" s="140">
        <f ca="1">SUMIFS('F20-2024'!K:K,'F20-2024'!$D:$D,$D187,'F20-2024'!$E:$E,$E187,'F20-2024'!$F:$F,$F187)</f>
        <v>0</v>
      </c>
      <c r="L187" s="140">
        <f ca="1">SUMIFS('F20-2024'!L:L,'F20-2024'!$D:$D,$D187,'F20-2024'!$E:$E,$E187,'F20-2024'!$F:$F,$F187)</f>
        <v>0</v>
      </c>
      <c r="M187" s="140">
        <f ca="1">SUMIFS('F20-2024'!M:M,'F20-2024'!$D:$D,$D187,'F20-2024'!$E:$E,$E187,'F20-2024'!$F:$F,$F187)</f>
        <v>0</v>
      </c>
      <c r="N187" s="140">
        <f ca="1">SUMIFS('F20-2024'!N:N,'F20-2024'!$D:$D,$D187,'F20-2024'!$E:$E,$E187,'F20-2024'!$F:$F,$F187)</f>
        <v>0</v>
      </c>
      <c r="O187" s="140">
        <f ca="1">SUMIFS('F20-2024'!O:O,'F20-2024'!$D:$D,$D187,'F20-2024'!$E:$E,$E187,'F20-2024'!$F:$F,$F187)</f>
        <v>0</v>
      </c>
      <c r="P187" s="140">
        <f ca="1">SUMIFS('F20-2024'!P:P,'F20-2024'!$D:$D,$D187,'F20-2024'!$E:$E,$E187,'F20-2024'!$F:$F,$F187)</f>
        <v>0</v>
      </c>
      <c r="Q187" s="140">
        <f ca="1">SUMIFS('F20-2024'!Q:Q,'F20-2024'!$D:$D,$D187,'F20-2024'!$E:$E,$E187,'F20-2024'!$F:$F,$F187)</f>
        <v>0</v>
      </c>
      <c r="R187" s="140">
        <f ca="1">SUMIFS('F20-2024'!R:R,'F20-2024'!$D:$D,$D187,'F20-2024'!$E:$E,$E187,'F20-2024'!$F:$F,$F187)</f>
        <v>0</v>
      </c>
      <c r="S187" s="140">
        <f ca="1">SUMIFS('F20-2024'!S:S,'F20-2024'!$D:$D,$D187,'F20-2024'!$E:$E,$E187,'F20-2024'!$F:$F,$F187)</f>
        <v>0</v>
      </c>
      <c r="T187" s="140">
        <f ca="1">SUMIFS('F20-2024'!T:T,'F20-2024'!$D:$D,$D187,'F20-2024'!$E:$E,$E187,'F20-2024'!$F:$F,$F187)</f>
        <v>0</v>
      </c>
      <c r="U187" s="140">
        <f ca="1">SUMIFS('F20-2024'!U:U,'F20-2024'!$D:$D,$D187,'F20-2024'!$E:$E,$E187,'F20-2024'!$F:$F,$F187)</f>
        <v>0</v>
      </c>
      <c r="V187" s="140"/>
      <c r="W187" s="141" t="e">
        <f t="shared" ref="W187:AA187" ca="1" si="371">J187/$I187</f>
        <v>#DIV/0!</v>
      </c>
      <c r="X187" s="141" t="e">
        <f t="shared" ca="1" si="371"/>
        <v>#DIV/0!</v>
      </c>
      <c r="Y187" s="141" t="e">
        <f t="shared" ca="1" si="371"/>
        <v>#DIV/0!</v>
      </c>
      <c r="Z187" s="141" t="e">
        <f t="shared" ca="1" si="371"/>
        <v>#DIV/0!</v>
      </c>
      <c r="AA187" s="141" t="e">
        <f t="shared" ca="1" si="371"/>
        <v>#DIV/0!</v>
      </c>
      <c r="AB187" s="141"/>
      <c r="AC187" s="141" t="e">
        <f t="shared" ca="1" si="1"/>
        <v>#DIV/0!</v>
      </c>
      <c r="AD187" s="141" t="e">
        <f t="shared" ref="AD187:AI187" ca="1" si="372">O187/$I187</f>
        <v>#DIV/0!</v>
      </c>
      <c r="AE187" s="141" t="e">
        <f t="shared" ca="1" si="372"/>
        <v>#DIV/0!</v>
      </c>
      <c r="AF187" s="141" t="e">
        <f t="shared" ca="1" si="372"/>
        <v>#DIV/0!</v>
      </c>
      <c r="AG187" s="141" t="e">
        <f t="shared" ca="1" si="372"/>
        <v>#DIV/0!</v>
      </c>
      <c r="AH187" s="141" t="e">
        <f t="shared" ca="1" si="372"/>
        <v>#DIV/0!</v>
      </c>
      <c r="AI187" s="141" t="e">
        <f t="shared" ca="1" si="372"/>
        <v>#DIV/0!</v>
      </c>
      <c r="AJ187" s="140"/>
    </row>
    <row r="188" spans="1:36">
      <c r="A188" s="140" t="e">
        <f ca="1"/>
        <v>#NAME?</v>
      </c>
      <c r="B188" s="140" t="e">
        <f ca="1"/>
        <v>#NAME?</v>
      </c>
      <c r="C188" s="140" t="e">
        <f ca="1"/>
        <v>#NAME?</v>
      </c>
      <c r="D188" s="140" t="e">
        <f ca="1"/>
        <v>#NAME?</v>
      </c>
      <c r="E188" s="140" t="e">
        <f ca="1"/>
        <v>#NAME?</v>
      </c>
      <c r="F188" s="140" t="e">
        <f ca="1"/>
        <v>#NAME?</v>
      </c>
      <c r="G188" s="140" t="e">
        <f ca="1"/>
        <v>#NAME?</v>
      </c>
      <c r="H188" s="140"/>
      <c r="I188" s="140">
        <f ca="1">SUMIFS('F20-2024'!I:I,'F20-2024'!$D:$D,$D188,'F20-2024'!$E:$E,$E188,'F20-2024'!$F:$F,$F188)</f>
        <v>0</v>
      </c>
      <c r="J188" s="140">
        <f ca="1">SUMIFS('F20-2024'!J:J,'F20-2024'!$D:$D,$D188,'F20-2024'!$E:$E,$E188,'F20-2024'!$F:$F,$F188)</f>
        <v>0</v>
      </c>
      <c r="K188" s="140">
        <f ca="1">SUMIFS('F20-2024'!K:K,'F20-2024'!$D:$D,$D188,'F20-2024'!$E:$E,$E188,'F20-2024'!$F:$F,$F188)</f>
        <v>0</v>
      </c>
      <c r="L188" s="140">
        <f ca="1">SUMIFS('F20-2024'!L:L,'F20-2024'!$D:$D,$D188,'F20-2024'!$E:$E,$E188,'F20-2024'!$F:$F,$F188)</f>
        <v>0</v>
      </c>
      <c r="M188" s="140">
        <f ca="1">SUMIFS('F20-2024'!M:M,'F20-2024'!$D:$D,$D188,'F20-2024'!$E:$E,$E188,'F20-2024'!$F:$F,$F188)</f>
        <v>0</v>
      </c>
      <c r="N188" s="140">
        <f ca="1">SUMIFS('F20-2024'!N:N,'F20-2024'!$D:$D,$D188,'F20-2024'!$E:$E,$E188,'F20-2024'!$F:$F,$F188)</f>
        <v>0</v>
      </c>
      <c r="O188" s="140">
        <f ca="1">SUMIFS('F20-2024'!O:O,'F20-2024'!$D:$D,$D188,'F20-2024'!$E:$E,$E188,'F20-2024'!$F:$F,$F188)</f>
        <v>0</v>
      </c>
      <c r="P188" s="140">
        <f ca="1">SUMIFS('F20-2024'!P:P,'F20-2024'!$D:$D,$D188,'F20-2024'!$E:$E,$E188,'F20-2024'!$F:$F,$F188)</f>
        <v>0</v>
      </c>
      <c r="Q188" s="140">
        <f ca="1">SUMIFS('F20-2024'!Q:Q,'F20-2024'!$D:$D,$D188,'F20-2024'!$E:$E,$E188,'F20-2024'!$F:$F,$F188)</f>
        <v>0</v>
      </c>
      <c r="R188" s="140">
        <f ca="1">SUMIFS('F20-2024'!R:R,'F20-2024'!$D:$D,$D188,'F20-2024'!$E:$E,$E188,'F20-2024'!$F:$F,$F188)</f>
        <v>0</v>
      </c>
      <c r="S188" s="140">
        <f ca="1">SUMIFS('F20-2024'!S:S,'F20-2024'!$D:$D,$D188,'F20-2024'!$E:$E,$E188,'F20-2024'!$F:$F,$F188)</f>
        <v>0</v>
      </c>
      <c r="T188" s="140">
        <f ca="1">SUMIFS('F20-2024'!T:T,'F20-2024'!$D:$D,$D188,'F20-2024'!$E:$E,$E188,'F20-2024'!$F:$F,$F188)</f>
        <v>0</v>
      </c>
      <c r="U188" s="140">
        <f ca="1">SUMIFS('F20-2024'!U:U,'F20-2024'!$D:$D,$D188,'F20-2024'!$E:$E,$E188,'F20-2024'!$F:$F,$F188)</f>
        <v>0</v>
      </c>
      <c r="V188" s="140"/>
      <c r="W188" s="141" t="e">
        <f t="shared" ref="W188:AA188" ca="1" si="373">J188/$I188</f>
        <v>#DIV/0!</v>
      </c>
      <c r="X188" s="141" t="e">
        <f t="shared" ca="1" si="373"/>
        <v>#DIV/0!</v>
      </c>
      <c r="Y188" s="141" t="e">
        <f t="shared" ca="1" si="373"/>
        <v>#DIV/0!</v>
      </c>
      <c r="Z188" s="141" t="e">
        <f t="shared" ca="1" si="373"/>
        <v>#DIV/0!</v>
      </c>
      <c r="AA188" s="141" t="e">
        <f t="shared" ca="1" si="373"/>
        <v>#DIV/0!</v>
      </c>
      <c r="AB188" s="141"/>
      <c r="AC188" s="141" t="e">
        <f t="shared" ca="1" si="1"/>
        <v>#DIV/0!</v>
      </c>
      <c r="AD188" s="141" t="e">
        <f t="shared" ref="AD188:AI188" ca="1" si="374">O188/$I188</f>
        <v>#DIV/0!</v>
      </c>
      <c r="AE188" s="141" t="e">
        <f t="shared" ca="1" si="374"/>
        <v>#DIV/0!</v>
      </c>
      <c r="AF188" s="141" t="e">
        <f t="shared" ca="1" si="374"/>
        <v>#DIV/0!</v>
      </c>
      <c r="AG188" s="141" t="e">
        <f t="shared" ca="1" si="374"/>
        <v>#DIV/0!</v>
      </c>
      <c r="AH188" s="141" t="e">
        <f t="shared" ca="1" si="374"/>
        <v>#DIV/0!</v>
      </c>
      <c r="AI188" s="141" t="e">
        <f t="shared" ca="1" si="374"/>
        <v>#DIV/0!</v>
      </c>
      <c r="AJ188" s="140"/>
    </row>
    <row r="189" spans="1:36">
      <c r="A189" s="140" t="e">
        <f ca="1"/>
        <v>#NAME?</v>
      </c>
      <c r="B189" s="140" t="e">
        <f ca="1"/>
        <v>#NAME?</v>
      </c>
      <c r="C189" s="140" t="e">
        <f ca="1"/>
        <v>#NAME?</v>
      </c>
      <c r="D189" s="140" t="e">
        <f ca="1"/>
        <v>#NAME?</v>
      </c>
      <c r="E189" s="140" t="e">
        <f ca="1"/>
        <v>#NAME?</v>
      </c>
      <c r="F189" s="140" t="e">
        <f ca="1"/>
        <v>#NAME?</v>
      </c>
      <c r="G189" s="140" t="e">
        <f ca="1"/>
        <v>#NAME?</v>
      </c>
      <c r="H189" s="140"/>
      <c r="I189" s="140">
        <f ca="1">SUMIFS('F20-2024'!I:I,'F20-2024'!$D:$D,$D189,'F20-2024'!$E:$E,$E189,'F20-2024'!$F:$F,$F189)</f>
        <v>0</v>
      </c>
      <c r="J189" s="140">
        <f ca="1">SUMIFS('F20-2024'!J:J,'F20-2024'!$D:$D,$D189,'F20-2024'!$E:$E,$E189,'F20-2024'!$F:$F,$F189)</f>
        <v>0</v>
      </c>
      <c r="K189" s="140">
        <f ca="1">SUMIFS('F20-2024'!K:K,'F20-2024'!$D:$D,$D189,'F20-2024'!$E:$E,$E189,'F20-2024'!$F:$F,$F189)</f>
        <v>0</v>
      </c>
      <c r="L189" s="140">
        <f ca="1">SUMIFS('F20-2024'!L:L,'F20-2024'!$D:$D,$D189,'F20-2024'!$E:$E,$E189,'F20-2024'!$F:$F,$F189)</f>
        <v>0</v>
      </c>
      <c r="M189" s="140">
        <f ca="1">SUMIFS('F20-2024'!M:M,'F20-2024'!$D:$D,$D189,'F20-2024'!$E:$E,$E189,'F20-2024'!$F:$F,$F189)</f>
        <v>0</v>
      </c>
      <c r="N189" s="140">
        <f ca="1">SUMIFS('F20-2024'!N:N,'F20-2024'!$D:$D,$D189,'F20-2024'!$E:$E,$E189,'F20-2024'!$F:$F,$F189)</f>
        <v>0</v>
      </c>
      <c r="O189" s="140">
        <f ca="1">SUMIFS('F20-2024'!O:O,'F20-2024'!$D:$D,$D189,'F20-2024'!$E:$E,$E189,'F20-2024'!$F:$F,$F189)</f>
        <v>0</v>
      </c>
      <c r="P189" s="140">
        <f ca="1">SUMIFS('F20-2024'!P:P,'F20-2024'!$D:$D,$D189,'F20-2024'!$E:$E,$E189,'F20-2024'!$F:$F,$F189)</f>
        <v>0</v>
      </c>
      <c r="Q189" s="140">
        <f ca="1">SUMIFS('F20-2024'!Q:Q,'F20-2024'!$D:$D,$D189,'F20-2024'!$E:$E,$E189,'F20-2024'!$F:$F,$F189)</f>
        <v>0</v>
      </c>
      <c r="R189" s="140">
        <f ca="1">SUMIFS('F20-2024'!R:R,'F20-2024'!$D:$D,$D189,'F20-2024'!$E:$E,$E189,'F20-2024'!$F:$F,$F189)</f>
        <v>0</v>
      </c>
      <c r="S189" s="140">
        <f ca="1">SUMIFS('F20-2024'!S:S,'F20-2024'!$D:$D,$D189,'F20-2024'!$E:$E,$E189,'F20-2024'!$F:$F,$F189)</f>
        <v>0</v>
      </c>
      <c r="T189" s="140">
        <f ca="1">SUMIFS('F20-2024'!T:T,'F20-2024'!$D:$D,$D189,'F20-2024'!$E:$E,$E189,'F20-2024'!$F:$F,$F189)</f>
        <v>0</v>
      </c>
      <c r="U189" s="140">
        <f ca="1">SUMIFS('F20-2024'!U:U,'F20-2024'!$D:$D,$D189,'F20-2024'!$E:$E,$E189,'F20-2024'!$F:$F,$F189)</f>
        <v>0</v>
      </c>
      <c r="V189" s="140"/>
      <c r="W189" s="141" t="e">
        <f t="shared" ref="W189:AA189" ca="1" si="375">J189/$I189</f>
        <v>#DIV/0!</v>
      </c>
      <c r="X189" s="141" t="e">
        <f t="shared" ca="1" si="375"/>
        <v>#DIV/0!</v>
      </c>
      <c r="Y189" s="141" t="e">
        <f t="shared" ca="1" si="375"/>
        <v>#DIV/0!</v>
      </c>
      <c r="Z189" s="141" t="e">
        <f t="shared" ca="1" si="375"/>
        <v>#DIV/0!</v>
      </c>
      <c r="AA189" s="141" t="e">
        <f t="shared" ca="1" si="375"/>
        <v>#DIV/0!</v>
      </c>
      <c r="AB189" s="141"/>
      <c r="AC189" s="141" t="e">
        <f t="shared" ca="1" si="1"/>
        <v>#DIV/0!</v>
      </c>
      <c r="AD189" s="141" t="e">
        <f t="shared" ref="AD189:AI189" ca="1" si="376">O189/$I189</f>
        <v>#DIV/0!</v>
      </c>
      <c r="AE189" s="141" t="e">
        <f t="shared" ca="1" si="376"/>
        <v>#DIV/0!</v>
      </c>
      <c r="AF189" s="141" t="e">
        <f t="shared" ca="1" si="376"/>
        <v>#DIV/0!</v>
      </c>
      <c r="AG189" s="141" t="e">
        <f t="shared" ca="1" si="376"/>
        <v>#DIV/0!</v>
      </c>
      <c r="AH189" s="141" t="e">
        <f t="shared" ca="1" si="376"/>
        <v>#DIV/0!</v>
      </c>
      <c r="AI189" s="141" t="e">
        <f t="shared" ca="1" si="376"/>
        <v>#DIV/0!</v>
      </c>
      <c r="AJ189" s="140"/>
    </row>
    <row r="190" spans="1:36">
      <c r="A190" s="140" t="e">
        <f ca="1"/>
        <v>#NAME?</v>
      </c>
      <c r="B190" s="140" t="e">
        <f ca="1"/>
        <v>#NAME?</v>
      </c>
      <c r="C190" s="140" t="e">
        <f ca="1"/>
        <v>#NAME?</v>
      </c>
      <c r="D190" s="140" t="e">
        <f ca="1"/>
        <v>#NAME?</v>
      </c>
      <c r="E190" s="140" t="e">
        <f ca="1"/>
        <v>#NAME?</v>
      </c>
      <c r="F190" s="140" t="e">
        <f ca="1"/>
        <v>#NAME?</v>
      </c>
      <c r="G190" s="140" t="e">
        <f ca="1"/>
        <v>#NAME?</v>
      </c>
      <c r="H190" s="140"/>
      <c r="I190" s="140">
        <f ca="1">SUMIFS('F20-2024'!I:I,'F20-2024'!$D:$D,$D190,'F20-2024'!$E:$E,$E190,'F20-2024'!$F:$F,$F190)</f>
        <v>0</v>
      </c>
      <c r="J190" s="140">
        <f ca="1">SUMIFS('F20-2024'!J:J,'F20-2024'!$D:$D,$D190,'F20-2024'!$E:$E,$E190,'F20-2024'!$F:$F,$F190)</f>
        <v>0</v>
      </c>
      <c r="K190" s="140">
        <f ca="1">SUMIFS('F20-2024'!K:K,'F20-2024'!$D:$D,$D190,'F20-2024'!$E:$E,$E190,'F20-2024'!$F:$F,$F190)</f>
        <v>0</v>
      </c>
      <c r="L190" s="140">
        <f ca="1">SUMIFS('F20-2024'!L:L,'F20-2024'!$D:$D,$D190,'F20-2024'!$E:$E,$E190,'F20-2024'!$F:$F,$F190)</f>
        <v>0</v>
      </c>
      <c r="M190" s="140">
        <f ca="1">SUMIFS('F20-2024'!M:M,'F20-2024'!$D:$D,$D190,'F20-2024'!$E:$E,$E190,'F20-2024'!$F:$F,$F190)</f>
        <v>0</v>
      </c>
      <c r="N190" s="140">
        <f ca="1">SUMIFS('F20-2024'!N:N,'F20-2024'!$D:$D,$D190,'F20-2024'!$E:$E,$E190,'F20-2024'!$F:$F,$F190)</f>
        <v>0</v>
      </c>
      <c r="O190" s="140">
        <f ca="1">SUMIFS('F20-2024'!O:O,'F20-2024'!$D:$D,$D190,'F20-2024'!$E:$E,$E190,'F20-2024'!$F:$F,$F190)</f>
        <v>0</v>
      </c>
      <c r="P190" s="140">
        <f ca="1">SUMIFS('F20-2024'!P:P,'F20-2024'!$D:$D,$D190,'F20-2024'!$E:$E,$E190,'F20-2024'!$F:$F,$F190)</f>
        <v>0</v>
      </c>
      <c r="Q190" s="140">
        <f ca="1">SUMIFS('F20-2024'!Q:Q,'F20-2024'!$D:$D,$D190,'F20-2024'!$E:$E,$E190,'F20-2024'!$F:$F,$F190)</f>
        <v>0</v>
      </c>
      <c r="R190" s="140">
        <f ca="1">SUMIFS('F20-2024'!R:R,'F20-2024'!$D:$D,$D190,'F20-2024'!$E:$E,$E190,'F20-2024'!$F:$F,$F190)</f>
        <v>0</v>
      </c>
      <c r="S190" s="140">
        <f ca="1">SUMIFS('F20-2024'!S:S,'F20-2024'!$D:$D,$D190,'F20-2024'!$E:$E,$E190,'F20-2024'!$F:$F,$F190)</f>
        <v>0</v>
      </c>
      <c r="T190" s="140">
        <f ca="1">SUMIFS('F20-2024'!T:T,'F20-2024'!$D:$D,$D190,'F20-2024'!$E:$E,$E190,'F20-2024'!$F:$F,$F190)</f>
        <v>0</v>
      </c>
      <c r="U190" s="140">
        <f ca="1">SUMIFS('F20-2024'!U:U,'F20-2024'!$D:$D,$D190,'F20-2024'!$E:$E,$E190,'F20-2024'!$F:$F,$F190)</f>
        <v>0</v>
      </c>
      <c r="V190" s="140"/>
      <c r="W190" s="141" t="e">
        <f t="shared" ref="W190:AA190" ca="1" si="377">J190/$I190</f>
        <v>#DIV/0!</v>
      </c>
      <c r="X190" s="141" t="e">
        <f t="shared" ca="1" si="377"/>
        <v>#DIV/0!</v>
      </c>
      <c r="Y190" s="141" t="e">
        <f t="shared" ca="1" si="377"/>
        <v>#DIV/0!</v>
      </c>
      <c r="Z190" s="141" t="e">
        <f t="shared" ca="1" si="377"/>
        <v>#DIV/0!</v>
      </c>
      <c r="AA190" s="141" t="e">
        <f t="shared" ca="1" si="377"/>
        <v>#DIV/0!</v>
      </c>
      <c r="AB190" s="141"/>
      <c r="AC190" s="141" t="e">
        <f t="shared" ca="1" si="1"/>
        <v>#DIV/0!</v>
      </c>
      <c r="AD190" s="141" t="e">
        <f t="shared" ref="AD190:AI190" ca="1" si="378">O190/$I190</f>
        <v>#DIV/0!</v>
      </c>
      <c r="AE190" s="141" t="e">
        <f t="shared" ca="1" si="378"/>
        <v>#DIV/0!</v>
      </c>
      <c r="AF190" s="141" t="e">
        <f t="shared" ca="1" si="378"/>
        <v>#DIV/0!</v>
      </c>
      <c r="AG190" s="141" t="e">
        <f t="shared" ca="1" si="378"/>
        <v>#DIV/0!</v>
      </c>
      <c r="AH190" s="141" t="e">
        <f t="shared" ca="1" si="378"/>
        <v>#DIV/0!</v>
      </c>
      <c r="AI190" s="141" t="e">
        <f t="shared" ca="1" si="378"/>
        <v>#DIV/0!</v>
      </c>
      <c r="AJ190" s="140"/>
    </row>
    <row r="191" spans="1:36">
      <c r="A191" s="140" t="e">
        <f ca="1"/>
        <v>#NAME?</v>
      </c>
      <c r="B191" s="140" t="e">
        <f ca="1"/>
        <v>#NAME?</v>
      </c>
      <c r="C191" s="140" t="e">
        <f ca="1"/>
        <v>#NAME?</v>
      </c>
      <c r="D191" s="140" t="e">
        <f ca="1"/>
        <v>#NAME?</v>
      </c>
      <c r="E191" s="140" t="e">
        <f ca="1"/>
        <v>#NAME?</v>
      </c>
      <c r="F191" s="140" t="e">
        <f ca="1"/>
        <v>#NAME?</v>
      </c>
      <c r="G191" s="140" t="e">
        <f ca="1"/>
        <v>#NAME?</v>
      </c>
      <c r="H191" s="140"/>
      <c r="I191" s="140">
        <f ca="1">SUMIFS('F20-2024'!I:I,'F20-2024'!$D:$D,$D191,'F20-2024'!$E:$E,$E191,'F20-2024'!$F:$F,$F191)</f>
        <v>0</v>
      </c>
      <c r="J191" s="140">
        <f ca="1">SUMIFS('F20-2024'!J:J,'F20-2024'!$D:$D,$D191,'F20-2024'!$E:$E,$E191,'F20-2024'!$F:$F,$F191)</f>
        <v>0</v>
      </c>
      <c r="K191" s="140">
        <f ca="1">SUMIFS('F20-2024'!K:K,'F20-2024'!$D:$D,$D191,'F20-2024'!$E:$E,$E191,'F20-2024'!$F:$F,$F191)</f>
        <v>0</v>
      </c>
      <c r="L191" s="140">
        <f ca="1">SUMIFS('F20-2024'!L:L,'F20-2024'!$D:$D,$D191,'F20-2024'!$E:$E,$E191,'F20-2024'!$F:$F,$F191)</f>
        <v>0</v>
      </c>
      <c r="M191" s="140">
        <f ca="1">SUMIFS('F20-2024'!M:M,'F20-2024'!$D:$D,$D191,'F20-2024'!$E:$E,$E191,'F20-2024'!$F:$F,$F191)</f>
        <v>0</v>
      </c>
      <c r="N191" s="140">
        <f ca="1">SUMIFS('F20-2024'!N:N,'F20-2024'!$D:$D,$D191,'F20-2024'!$E:$E,$E191,'F20-2024'!$F:$F,$F191)</f>
        <v>0</v>
      </c>
      <c r="O191" s="140">
        <f ca="1">SUMIFS('F20-2024'!O:O,'F20-2024'!$D:$D,$D191,'F20-2024'!$E:$E,$E191,'F20-2024'!$F:$F,$F191)</f>
        <v>0</v>
      </c>
      <c r="P191" s="140">
        <f ca="1">SUMIFS('F20-2024'!P:P,'F20-2024'!$D:$D,$D191,'F20-2024'!$E:$E,$E191,'F20-2024'!$F:$F,$F191)</f>
        <v>0</v>
      </c>
      <c r="Q191" s="140">
        <f ca="1">SUMIFS('F20-2024'!Q:Q,'F20-2024'!$D:$D,$D191,'F20-2024'!$E:$E,$E191,'F20-2024'!$F:$F,$F191)</f>
        <v>0</v>
      </c>
      <c r="R191" s="140">
        <f ca="1">SUMIFS('F20-2024'!R:R,'F20-2024'!$D:$D,$D191,'F20-2024'!$E:$E,$E191,'F20-2024'!$F:$F,$F191)</f>
        <v>0</v>
      </c>
      <c r="S191" s="140">
        <f ca="1">SUMIFS('F20-2024'!S:S,'F20-2024'!$D:$D,$D191,'F20-2024'!$E:$E,$E191,'F20-2024'!$F:$F,$F191)</f>
        <v>0</v>
      </c>
      <c r="T191" s="140">
        <f ca="1">SUMIFS('F20-2024'!T:T,'F20-2024'!$D:$D,$D191,'F20-2024'!$E:$E,$E191,'F20-2024'!$F:$F,$F191)</f>
        <v>0</v>
      </c>
      <c r="U191" s="140">
        <f ca="1">SUMIFS('F20-2024'!U:U,'F20-2024'!$D:$D,$D191,'F20-2024'!$E:$E,$E191,'F20-2024'!$F:$F,$F191)</f>
        <v>0</v>
      </c>
      <c r="V191" s="140"/>
      <c r="W191" s="141" t="e">
        <f t="shared" ref="W191:AA191" ca="1" si="379">J191/$I191</f>
        <v>#DIV/0!</v>
      </c>
      <c r="X191" s="141" t="e">
        <f t="shared" ca="1" si="379"/>
        <v>#DIV/0!</v>
      </c>
      <c r="Y191" s="141" t="e">
        <f t="shared" ca="1" si="379"/>
        <v>#DIV/0!</v>
      </c>
      <c r="Z191" s="141" t="e">
        <f t="shared" ca="1" si="379"/>
        <v>#DIV/0!</v>
      </c>
      <c r="AA191" s="141" t="e">
        <f t="shared" ca="1" si="379"/>
        <v>#DIV/0!</v>
      </c>
      <c r="AB191" s="141"/>
      <c r="AC191" s="141" t="e">
        <f t="shared" ca="1" si="1"/>
        <v>#DIV/0!</v>
      </c>
      <c r="AD191" s="141" t="e">
        <f t="shared" ref="AD191:AI191" ca="1" si="380">O191/$I191</f>
        <v>#DIV/0!</v>
      </c>
      <c r="AE191" s="141" t="e">
        <f t="shared" ca="1" si="380"/>
        <v>#DIV/0!</v>
      </c>
      <c r="AF191" s="141" t="e">
        <f t="shared" ca="1" si="380"/>
        <v>#DIV/0!</v>
      </c>
      <c r="AG191" s="141" t="e">
        <f t="shared" ca="1" si="380"/>
        <v>#DIV/0!</v>
      </c>
      <c r="AH191" s="141" t="e">
        <f t="shared" ca="1" si="380"/>
        <v>#DIV/0!</v>
      </c>
      <c r="AI191" s="141" t="e">
        <f t="shared" ca="1" si="380"/>
        <v>#DIV/0!</v>
      </c>
      <c r="AJ191" s="140"/>
    </row>
    <row r="192" spans="1:36">
      <c r="A192" s="140" t="e">
        <f ca="1"/>
        <v>#NAME?</v>
      </c>
      <c r="B192" s="140" t="e">
        <f ca="1"/>
        <v>#NAME?</v>
      </c>
      <c r="C192" s="140" t="e">
        <f ca="1"/>
        <v>#NAME?</v>
      </c>
      <c r="D192" s="140" t="e">
        <f ca="1"/>
        <v>#NAME?</v>
      </c>
      <c r="E192" s="140" t="e">
        <f ca="1"/>
        <v>#NAME?</v>
      </c>
      <c r="F192" s="140" t="e">
        <f ca="1"/>
        <v>#NAME?</v>
      </c>
      <c r="G192" s="140" t="e">
        <f ca="1"/>
        <v>#NAME?</v>
      </c>
      <c r="H192" s="140"/>
      <c r="I192" s="140">
        <f ca="1">SUMIFS('F20-2024'!I:I,'F20-2024'!$D:$D,$D192,'F20-2024'!$E:$E,$E192,'F20-2024'!$F:$F,$F192)</f>
        <v>0</v>
      </c>
      <c r="J192" s="140">
        <f ca="1">SUMIFS('F20-2024'!J:J,'F20-2024'!$D:$D,$D192,'F20-2024'!$E:$E,$E192,'F20-2024'!$F:$F,$F192)</f>
        <v>0</v>
      </c>
      <c r="K192" s="140">
        <f ca="1">SUMIFS('F20-2024'!K:K,'F20-2024'!$D:$D,$D192,'F20-2024'!$E:$E,$E192,'F20-2024'!$F:$F,$F192)</f>
        <v>0</v>
      </c>
      <c r="L192" s="140">
        <f ca="1">SUMIFS('F20-2024'!L:L,'F20-2024'!$D:$D,$D192,'F20-2024'!$E:$E,$E192,'F20-2024'!$F:$F,$F192)</f>
        <v>0</v>
      </c>
      <c r="M192" s="140">
        <f ca="1">SUMIFS('F20-2024'!M:M,'F20-2024'!$D:$D,$D192,'F20-2024'!$E:$E,$E192,'F20-2024'!$F:$F,$F192)</f>
        <v>0</v>
      </c>
      <c r="N192" s="140">
        <f ca="1">SUMIFS('F20-2024'!N:N,'F20-2024'!$D:$D,$D192,'F20-2024'!$E:$E,$E192,'F20-2024'!$F:$F,$F192)</f>
        <v>0</v>
      </c>
      <c r="O192" s="140">
        <f ca="1">SUMIFS('F20-2024'!O:O,'F20-2024'!$D:$D,$D192,'F20-2024'!$E:$E,$E192,'F20-2024'!$F:$F,$F192)</f>
        <v>0</v>
      </c>
      <c r="P192" s="140">
        <f ca="1">SUMIFS('F20-2024'!P:P,'F20-2024'!$D:$D,$D192,'F20-2024'!$E:$E,$E192,'F20-2024'!$F:$F,$F192)</f>
        <v>0</v>
      </c>
      <c r="Q192" s="140">
        <f ca="1">SUMIFS('F20-2024'!Q:Q,'F20-2024'!$D:$D,$D192,'F20-2024'!$E:$E,$E192,'F20-2024'!$F:$F,$F192)</f>
        <v>0</v>
      </c>
      <c r="R192" s="140">
        <f ca="1">SUMIFS('F20-2024'!R:R,'F20-2024'!$D:$D,$D192,'F20-2024'!$E:$E,$E192,'F20-2024'!$F:$F,$F192)</f>
        <v>0</v>
      </c>
      <c r="S192" s="140">
        <f ca="1">SUMIFS('F20-2024'!S:S,'F20-2024'!$D:$D,$D192,'F20-2024'!$E:$E,$E192,'F20-2024'!$F:$F,$F192)</f>
        <v>0</v>
      </c>
      <c r="T192" s="140">
        <f ca="1">SUMIFS('F20-2024'!T:T,'F20-2024'!$D:$D,$D192,'F20-2024'!$E:$E,$E192,'F20-2024'!$F:$F,$F192)</f>
        <v>0</v>
      </c>
      <c r="U192" s="140">
        <f ca="1">SUMIFS('F20-2024'!U:U,'F20-2024'!$D:$D,$D192,'F20-2024'!$E:$E,$E192,'F20-2024'!$F:$F,$F192)</f>
        <v>0</v>
      </c>
      <c r="V192" s="140"/>
      <c r="W192" s="141" t="e">
        <f t="shared" ref="W192:AA192" ca="1" si="381">J192/$I192</f>
        <v>#DIV/0!</v>
      </c>
      <c r="X192" s="141" t="e">
        <f t="shared" ca="1" si="381"/>
        <v>#DIV/0!</v>
      </c>
      <c r="Y192" s="141" t="e">
        <f t="shared" ca="1" si="381"/>
        <v>#DIV/0!</v>
      </c>
      <c r="Z192" s="141" t="e">
        <f t="shared" ca="1" si="381"/>
        <v>#DIV/0!</v>
      </c>
      <c r="AA192" s="141" t="e">
        <f t="shared" ca="1" si="381"/>
        <v>#DIV/0!</v>
      </c>
      <c r="AB192" s="141"/>
      <c r="AC192" s="141" t="e">
        <f t="shared" ca="1" si="1"/>
        <v>#DIV/0!</v>
      </c>
      <c r="AD192" s="141" t="e">
        <f t="shared" ref="AD192:AI192" ca="1" si="382">O192/$I192</f>
        <v>#DIV/0!</v>
      </c>
      <c r="AE192" s="141" t="e">
        <f t="shared" ca="1" si="382"/>
        <v>#DIV/0!</v>
      </c>
      <c r="AF192" s="141" t="e">
        <f t="shared" ca="1" si="382"/>
        <v>#DIV/0!</v>
      </c>
      <c r="AG192" s="141" t="e">
        <f t="shared" ca="1" si="382"/>
        <v>#DIV/0!</v>
      </c>
      <c r="AH192" s="141" t="e">
        <f t="shared" ca="1" si="382"/>
        <v>#DIV/0!</v>
      </c>
      <c r="AI192" s="141" t="e">
        <f t="shared" ca="1" si="382"/>
        <v>#DIV/0!</v>
      </c>
      <c r="AJ192" s="140"/>
    </row>
    <row r="193" spans="1:36">
      <c r="A193" s="140" t="e">
        <f ca="1"/>
        <v>#NAME?</v>
      </c>
      <c r="B193" s="140" t="e">
        <f ca="1"/>
        <v>#NAME?</v>
      </c>
      <c r="C193" s="140" t="e">
        <f ca="1"/>
        <v>#NAME?</v>
      </c>
      <c r="D193" s="140" t="e">
        <f ca="1"/>
        <v>#NAME?</v>
      </c>
      <c r="E193" s="140" t="e">
        <f ca="1"/>
        <v>#NAME?</v>
      </c>
      <c r="F193" s="140" t="e">
        <f ca="1"/>
        <v>#NAME?</v>
      </c>
      <c r="G193" s="140" t="e">
        <f ca="1"/>
        <v>#NAME?</v>
      </c>
      <c r="H193" s="140"/>
      <c r="I193" s="140">
        <f ca="1">SUMIFS('F20-2024'!I:I,'F20-2024'!$D:$D,$D193,'F20-2024'!$E:$E,$E193,'F20-2024'!$F:$F,$F193)</f>
        <v>0</v>
      </c>
      <c r="J193" s="140">
        <f ca="1">SUMIFS('F20-2024'!J:J,'F20-2024'!$D:$D,$D193,'F20-2024'!$E:$E,$E193,'F20-2024'!$F:$F,$F193)</f>
        <v>0</v>
      </c>
      <c r="K193" s="140">
        <f ca="1">SUMIFS('F20-2024'!K:K,'F20-2024'!$D:$D,$D193,'F20-2024'!$E:$E,$E193,'F20-2024'!$F:$F,$F193)</f>
        <v>0</v>
      </c>
      <c r="L193" s="140">
        <f ca="1">SUMIFS('F20-2024'!L:L,'F20-2024'!$D:$D,$D193,'F20-2024'!$E:$E,$E193,'F20-2024'!$F:$F,$F193)</f>
        <v>0</v>
      </c>
      <c r="M193" s="140">
        <f ca="1">SUMIFS('F20-2024'!M:M,'F20-2024'!$D:$D,$D193,'F20-2024'!$E:$E,$E193,'F20-2024'!$F:$F,$F193)</f>
        <v>0</v>
      </c>
      <c r="N193" s="140">
        <f ca="1">SUMIFS('F20-2024'!N:N,'F20-2024'!$D:$D,$D193,'F20-2024'!$E:$E,$E193,'F20-2024'!$F:$F,$F193)</f>
        <v>0</v>
      </c>
      <c r="O193" s="140">
        <f ca="1">SUMIFS('F20-2024'!O:O,'F20-2024'!$D:$D,$D193,'F20-2024'!$E:$E,$E193,'F20-2024'!$F:$F,$F193)</f>
        <v>0</v>
      </c>
      <c r="P193" s="140">
        <f ca="1">SUMIFS('F20-2024'!P:P,'F20-2024'!$D:$D,$D193,'F20-2024'!$E:$E,$E193,'F20-2024'!$F:$F,$F193)</f>
        <v>0</v>
      </c>
      <c r="Q193" s="140">
        <f ca="1">SUMIFS('F20-2024'!Q:Q,'F20-2024'!$D:$D,$D193,'F20-2024'!$E:$E,$E193,'F20-2024'!$F:$F,$F193)</f>
        <v>0</v>
      </c>
      <c r="R193" s="140">
        <f ca="1">SUMIFS('F20-2024'!R:R,'F20-2024'!$D:$D,$D193,'F20-2024'!$E:$E,$E193,'F20-2024'!$F:$F,$F193)</f>
        <v>0</v>
      </c>
      <c r="S193" s="140">
        <f ca="1">SUMIFS('F20-2024'!S:S,'F20-2024'!$D:$D,$D193,'F20-2024'!$E:$E,$E193,'F20-2024'!$F:$F,$F193)</f>
        <v>0</v>
      </c>
      <c r="T193" s="140">
        <f ca="1">SUMIFS('F20-2024'!T:T,'F20-2024'!$D:$D,$D193,'F20-2024'!$E:$E,$E193,'F20-2024'!$F:$F,$F193)</f>
        <v>0</v>
      </c>
      <c r="U193" s="140">
        <f ca="1">SUMIFS('F20-2024'!U:U,'F20-2024'!$D:$D,$D193,'F20-2024'!$E:$E,$E193,'F20-2024'!$F:$F,$F193)</f>
        <v>0</v>
      </c>
      <c r="V193" s="140"/>
      <c r="W193" s="141" t="e">
        <f t="shared" ref="W193:AA193" ca="1" si="383">J193/$I193</f>
        <v>#DIV/0!</v>
      </c>
      <c r="X193" s="141" t="e">
        <f t="shared" ca="1" si="383"/>
        <v>#DIV/0!</v>
      </c>
      <c r="Y193" s="141" t="e">
        <f t="shared" ca="1" si="383"/>
        <v>#DIV/0!</v>
      </c>
      <c r="Z193" s="141" t="e">
        <f t="shared" ca="1" si="383"/>
        <v>#DIV/0!</v>
      </c>
      <c r="AA193" s="141" t="e">
        <f t="shared" ca="1" si="383"/>
        <v>#DIV/0!</v>
      </c>
      <c r="AB193" s="141"/>
      <c r="AC193" s="141" t="e">
        <f t="shared" ca="1" si="1"/>
        <v>#DIV/0!</v>
      </c>
      <c r="AD193" s="141" t="e">
        <f t="shared" ref="AD193:AI193" ca="1" si="384">O193/$I193</f>
        <v>#DIV/0!</v>
      </c>
      <c r="AE193" s="141" t="e">
        <f t="shared" ca="1" si="384"/>
        <v>#DIV/0!</v>
      </c>
      <c r="AF193" s="141" t="e">
        <f t="shared" ca="1" si="384"/>
        <v>#DIV/0!</v>
      </c>
      <c r="AG193" s="141" t="e">
        <f t="shared" ca="1" si="384"/>
        <v>#DIV/0!</v>
      </c>
      <c r="AH193" s="141" t="e">
        <f t="shared" ca="1" si="384"/>
        <v>#DIV/0!</v>
      </c>
      <c r="AI193" s="141" t="e">
        <f t="shared" ca="1" si="384"/>
        <v>#DIV/0!</v>
      </c>
      <c r="AJ193" s="140"/>
    </row>
    <row r="194" spans="1:36">
      <c r="A194" s="140" t="e">
        <f ca="1"/>
        <v>#NAME?</v>
      </c>
      <c r="B194" s="140" t="e">
        <f ca="1"/>
        <v>#NAME?</v>
      </c>
      <c r="C194" s="140" t="e">
        <f ca="1"/>
        <v>#NAME?</v>
      </c>
      <c r="D194" s="140" t="e">
        <f ca="1"/>
        <v>#NAME?</v>
      </c>
      <c r="E194" s="140" t="e">
        <f ca="1"/>
        <v>#NAME?</v>
      </c>
      <c r="F194" s="140" t="e">
        <f ca="1"/>
        <v>#NAME?</v>
      </c>
      <c r="G194" s="140" t="e">
        <f ca="1"/>
        <v>#NAME?</v>
      </c>
      <c r="H194" s="140"/>
      <c r="I194" s="140">
        <f ca="1">SUMIFS('F20-2024'!I:I,'F20-2024'!$D:$D,$D194,'F20-2024'!$E:$E,$E194,'F20-2024'!$F:$F,$F194)</f>
        <v>0</v>
      </c>
      <c r="J194" s="140">
        <f ca="1">SUMIFS('F20-2024'!J:J,'F20-2024'!$D:$D,$D194,'F20-2024'!$E:$E,$E194,'F20-2024'!$F:$F,$F194)</f>
        <v>0</v>
      </c>
      <c r="K194" s="140">
        <f ca="1">SUMIFS('F20-2024'!K:K,'F20-2024'!$D:$D,$D194,'F20-2024'!$E:$E,$E194,'F20-2024'!$F:$F,$F194)</f>
        <v>0</v>
      </c>
      <c r="L194" s="140">
        <f ca="1">SUMIFS('F20-2024'!L:L,'F20-2024'!$D:$D,$D194,'F20-2024'!$E:$E,$E194,'F20-2024'!$F:$F,$F194)</f>
        <v>0</v>
      </c>
      <c r="M194" s="140">
        <f ca="1">SUMIFS('F20-2024'!M:M,'F20-2024'!$D:$D,$D194,'F20-2024'!$E:$E,$E194,'F20-2024'!$F:$F,$F194)</f>
        <v>0</v>
      </c>
      <c r="N194" s="140">
        <f ca="1">SUMIFS('F20-2024'!N:N,'F20-2024'!$D:$D,$D194,'F20-2024'!$E:$E,$E194,'F20-2024'!$F:$F,$F194)</f>
        <v>0</v>
      </c>
      <c r="O194" s="140">
        <f ca="1">SUMIFS('F20-2024'!O:O,'F20-2024'!$D:$D,$D194,'F20-2024'!$E:$E,$E194,'F20-2024'!$F:$F,$F194)</f>
        <v>0</v>
      </c>
      <c r="P194" s="140">
        <f ca="1">SUMIFS('F20-2024'!P:P,'F20-2024'!$D:$D,$D194,'F20-2024'!$E:$E,$E194,'F20-2024'!$F:$F,$F194)</f>
        <v>0</v>
      </c>
      <c r="Q194" s="140">
        <f ca="1">SUMIFS('F20-2024'!Q:Q,'F20-2024'!$D:$D,$D194,'F20-2024'!$E:$E,$E194,'F20-2024'!$F:$F,$F194)</f>
        <v>0</v>
      </c>
      <c r="R194" s="140">
        <f ca="1">SUMIFS('F20-2024'!R:R,'F20-2024'!$D:$D,$D194,'F20-2024'!$E:$E,$E194,'F20-2024'!$F:$F,$F194)</f>
        <v>0</v>
      </c>
      <c r="S194" s="140">
        <f ca="1">SUMIFS('F20-2024'!S:S,'F20-2024'!$D:$D,$D194,'F20-2024'!$E:$E,$E194,'F20-2024'!$F:$F,$F194)</f>
        <v>0</v>
      </c>
      <c r="T194" s="140">
        <f ca="1">SUMIFS('F20-2024'!T:T,'F20-2024'!$D:$D,$D194,'F20-2024'!$E:$E,$E194,'F20-2024'!$F:$F,$F194)</f>
        <v>0</v>
      </c>
      <c r="U194" s="140">
        <f ca="1">SUMIFS('F20-2024'!U:U,'F20-2024'!$D:$D,$D194,'F20-2024'!$E:$E,$E194,'F20-2024'!$F:$F,$F194)</f>
        <v>0</v>
      </c>
      <c r="V194" s="140"/>
      <c r="W194" s="141" t="e">
        <f t="shared" ref="W194:AA194" ca="1" si="385">J194/$I194</f>
        <v>#DIV/0!</v>
      </c>
      <c r="X194" s="141" t="e">
        <f t="shared" ca="1" si="385"/>
        <v>#DIV/0!</v>
      </c>
      <c r="Y194" s="141" t="e">
        <f t="shared" ca="1" si="385"/>
        <v>#DIV/0!</v>
      </c>
      <c r="Z194" s="141" t="e">
        <f t="shared" ca="1" si="385"/>
        <v>#DIV/0!</v>
      </c>
      <c r="AA194" s="141" t="e">
        <f t="shared" ca="1" si="385"/>
        <v>#DIV/0!</v>
      </c>
      <c r="AB194" s="141"/>
      <c r="AC194" s="141" t="e">
        <f t="shared" ca="1" si="1"/>
        <v>#DIV/0!</v>
      </c>
      <c r="AD194" s="141" t="e">
        <f t="shared" ref="AD194:AI194" ca="1" si="386">O194/$I194</f>
        <v>#DIV/0!</v>
      </c>
      <c r="AE194" s="141" t="e">
        <f t="shared" ca="1" si="386"/>
        <v>#DIV/0!</v>
      </c>
      <c r="AF194" s="141" t="e">
        <f t="shared" ca="1" si="386"/>
        <v>#DIV/0!</v>
      </c>
      <c r="AG194" s="141" t="e">
        <f t="shared" ca="1" si="386"/>
        <v>#DIV/0!</v>
      </c>
      <c r="AH194" s="141" t="e">
        <f t="shared" ca="1" si="386"/>
        <v>#DIV/0!</v>
      </c>
      <c r="AI194" s="141" t="e">
        <f t="shared" ca="1" si="386"/>
        <v>#DIV/0!</v>
      </c>
      <c r="AJ194" s="140"/>
    </row>
    <row r="195" spans="1:36">
      <c r="A195" s="140" t="e">
        <f ca="1"/>
        <v>#NAME?</v>
      </c>
      <c r="B195" s="140" t="e">
        <f ca="1"/>
        <v>#NAME?</v>
      </c>
      <c r="C195" s="140" t="e">
        <f ca="1"/>
        <v>#NAME?</v>
      </c>
      <c r="D195" s="140" t="e">
        <f ca="1"/>
        <v>#NAME?</v>
      </c>
      <c r="E195" s="140" t="e">
        <f ca="1"/>
        <v>#NAME?</v>
      </c>
      <c r="F195" s="140" t="e">
        <f ca="1"/>
        <v>#NAME?</v>
      </c>
      <c r="G195" s="140" t="e">
        <f ca="1"/>
        <v>#NAME?</v>
      </c>
      <c r="H195" s="140"/>
      <c r="I195" s="140">
        <f ca="1">SUMIFS('F20-2024'!I:I,'F20-2024'!$D:$D,$D195,'F20-2024'!$E:$E,$E195,'F20-2024'!$F:$F,$F195)</f>
        <v>0</v>
      </c>
      <c r="J195" s="140">
        <f ca="1">SUMIFS('F20-2024'!J:J,'F20-2024'!$D:$D,$D195,'F20-2024'!$E:$E,$E195,'F20-2024'!$F:$F,$F195)</f>
        <v>0</v>
      </c>
      <c r="K195" s="140">
        <f ca="1">SUMIFS('F20-2024'!K:K,'F20-2024'!$D:$D,$D195,'F20-2024'!$E:$E,$E195,'F20-2024'!$F:$F,$F195)</f>
        <v>0</v>
      </c>
      <c r="L195" s="140">
        <f ca="1">SUMIFS('F20-2024'!L:L,'F20-2024'!$D:$D,$D195,'F20-2024'!$E:$E,$E195,'F20-2024'!$F:$F,$F195)</f>
        <v>0</v>
      </c>
      <c r="M195" s="140">
        <f ca="1">SUMIFS('F20-2024'!M:M,'F20-2024'!$D:$D,$D195,'F20-2024'!$E:$E,$E195,'F20-2024'!$F:$F,$F195)</f>
        <v>0</v>
      </c>
      <c r="N195" s="140">
        <f ca="1">SUMIFS('F20-2024'!N:N,'F20-2024'!$D:$D,$D195,'F20-2024'!$E:$E,$E195,'F20-2024'!$F:$F,$F195)</f>
        <v>0</v>
      </c>
      <c r="O195" s="140">
        <f ca="1">SUMIFS('F20-2024'!O:O,'F20-2024'!$D:$D,$D195,'F20-2024'!$E:$E,$E195,'F20-2024'!$F:$F,$F195)</f>
        <v>0</v>
      </c>
      <c r="P195" s="140">
        <f ca="1">SUMIFS('F20-2024'!P:P,'F20-2024'!$D:$D,$D195,'F20-2024'!$E:$E,$E195,'F20-2024'!$F:$F,$F195)</f>
        <v>0</v>
      </c>
      <c r="Q195" s="140">
        <f ca="1">SUMIFS('F20-2024'!Q:Q,'F20-2024'!$D:$D,$D195,'F20-2024'!$E:$E,$E195,'F20-2024'!$F:$F,$F195)</f>
        <v>0</v>
      </c>
      <c r="R195" s="140">
        <f ca="1">SUMIFS('F20-2024'!R:R,'F20-2024'!$D:$D,$D195,'F20-2024'!$E:$E,$E195,'F20-2024'!$F:$F,$F195)</f>
        <v>0</v>
      </c>
      <c r="S195" s="140">
        <f ca="1">SUMIFS('F20-2024'!S:S,'F20-2024'!$D:$D,$D195,'F20-2024'!$E:$E,$E195,'F20-2024'!$F:$F,$F195)</f>
        <v>0</v>
      </c>
      <c r="T195" s="140">
        <f ca="1">SUMIFS('F20-2024'!T:T,'F20-2024'!$D:$D,$D195,'F20-2024'!$E:$E,$E195,'F20-2024'!$F:$F,$F195)</f>
        <v>0</v>
      </c>
      <c r="U195" s="140">
        <f ca="1">SUMIFS('F20-2024'!U:U,'F20-2024'!$D:$D,$D195,'F20-2024'!$E:$E,$E195,'F20-2024'!$F:$F,$F195)</f>
        <v>0</v>
      </c>
      <c r="V195" s="140"/>
      <c r="W195" s="141" t="e">
        <f t="shared" ref="W195:AA195" ca="1" si="387">J195/$I195</f>
        <v>#DIV/0!</v>
      </c>
      <c r="X195" s="141" t="e">
        <f t="shared" ca="1" si="387"/>
        <v>#DIV/0!</v>
      </c>
      <c r="Y195" s="141" t="e">
        <f t="shared" ca="1" si="387"/>
        <v>#DIV/0!</v>
      </c>
      <c r="Z195" s="141" t="e">
        <f t="shared" ca="1" si="387"/>
        <v>#DIV/0!</v>
      </c>
      <c r="AA195" s="141" t="e">
        <f t="shared" ca="1" si="387"/>
        <v>#DIV/0!</v>
      </c>
      <c r="AB195" s="141"/>
      <c r="AC195" s="141" t="e">
        <f t="shared" ca="1" si="1"/>
        <v>#DIV/0!</v>
      </c>
      <c r="AD195" s="141" t="e">
        <f t="shared" ref="AD195:AI195" ca="1" si="388">O195/$I195</f>
        <v>#DIV/0!</v>
      </c>
      <c r="AE195" s="141" t="e">
        <f t="shared" ca="1" si="388"/>
        <v>#DIV/0!</v>
      </c>
      <c r="AF195" s="141" t="e">
        <f t="shared" ca="1" si="388"/>
        <v>#DIV/0!</v>
      </c>
      <c r="AG195" s="141" t="e">
        <f t="shared" ca="1" si="388"/>
        <v>#DIV/0!</v>
      </c>
      <c r="AH195" s="141" t="e">
        <f t="shared" ca="1" si="388"/>
        <v>#DIV/0!</v>
      </c>
      <c r="AI195" s="141" t="e">
        <f t="shared" ca="1" si="388"/>
        <v>#DIV/0!</v>
      </c>
      <c r="AJ195" s="140"/>
    </row>
    <row r="196" spans="1:36">
      <c r="A196" s="140" t="e">
        <f ca="1"/>
        <v>#NAME?</v>
      </c>
      <c r="B196" s="140" t="e">
        <f ca="1"/>
        <v>#NAME?</v>
      </c>
      <c r="C196" s="140" t="e">
        <f ca="1"/>
        <v>#NAME?</v>
      </c>
      <c r="D196" s="140" t="e">
        <f ca="1"/>
        <v>#NAME?</v>
      </c>
      <c r="E196" s="140" t="e">
        <f ca="1"/>
        <v>#NAME?</v>
      </c>
      <c r="F196" s="140" t="e">
        <f ca="1"/>
        <v>#NAME?</v>
      </c>
      <c r="G196" s="140" t="e">
        <f ca="1"/>
        <v>#NAME?</v>
      </c>
      <c r="H196" s="140"/>
      <c r="I196" s="140">
        <f ca="1">SUMIFS('F20-2024'!I:I,'F20-2024'!$D:$D,$D196,'F20-2024'!$E:$E,$E196,'F20-2024'!$F:$F,$F196)</f>
        <v>0</v>
      </c>
      <c r="J196" s="140">
        <f ca="1">SUMIFS('F20-2024'!J:J,'F20-2024'!$D:$D,$D196,'F20-2024'!$E:$E,$E196,'F20-2024'!$F:$F,$F196)</f>
        <v>0</v>
      </c>
      <c r="K196" s="140">
        <f ca="1">SUMIFS('F20-2024'!K:K,'F20-2024'!$D:$D,$D196,'F20-2024'!$E:$E,$E196,'F20-2024'!$F:$F,$F196)</f>
        <v>0</v>
      </c>
      <c r="L196" s="140">
        <f ca="1">SUMIFS('F20-2024'!L:L,'F20-2024'!$D:$D,$D196,'F20-2024'!$E:$E,$E196,'F20-2024'!$F:$F,$F196)</f>
        <v>0</v>
      </c>
      <c r="M196" s="140">
        <f ca="1">SUMIFS('F20-2024'!M:M,'F20-2024'!$D:$D,$D196,'F20-2024'!$E:$E,$E196,'F20-2024'!$F:$F,$F196)</f>
        <v>0</v>
      </c>
      <c r="N196" s="140">
        <f ca="1">SUMIFS('F20-2024'!N:N,'F20-2024'!$D:$D,$D196,'F20-2024'!$E:$E,$E196,'F20-2024'!$F:$F,$F196)</f>
        <v>0</v>
      </c>
      <c r="O196" s="140">
        <f ca="1">SUMIFS('F20-2024'!O:O,'F20-2024'!$D:$D,$D196,'F20-2024'!$E:$E,$E196,'F20-2024'!$F:$F,$F196)</f>
        <v>0</v>
      </c>
      <c r="P196" s="140">
        <f ca="1">SUMIFS('F20-2024'!P:P,'F20-2024'!$D:$D,$D196,'F20-2024'!$E:$E,$E196,'F20-2024'!$F:$F,$F196)</f>
        <v>0</v>
      </c>
      <c r="Q196" s="140">
        <f ca="1">SUMIFS('F20-2024'!Q:Q,'F20-2024'!$D:$D,$D196,'F20-2024'!$E:$E,$E196,'F20-2024'!$F:$F,$F196)</f>
        <v>0</v>
      </c>
      <c r="R196" s="140">
        <f ca="1">SUMIFS('F20-2024'!R:R,'F20-2024'!$D:$D,$D196,'F20-2024'!$E:$E,$E196,'F20-2024'!$F:$F,$F196)</f>
        <v>0</v>
      </c>
      <c r="S196" s="140">
        <f ca="1">SUMIFS('F20-2024'!S:S,'F20-2024'!$D:$D,$D196,'F20-2024'!$E:$E,$E196,'F20-2024'!$F:$F,$F196)</f>
        <v>0</v>
      </c>
      <c r="T196" s="140">
        <f ca="1">SUMIFS('F20-2024'!T:T,'F20-2024'!$D:$D,$D196,'F20-2024'!$E:$E,$E196,'F20-2024'!$F:$F,$F196)</f>
        <v>0</v>
      </c>
      <c r="U196" s="140">
        <f ca="1">SUMIFS('F20-2024'!U:U,'F20-2024'!$D:$D,$D196,'F20-2024'!$E:$E,$E196,'F20-2024'!$F:$F,$F196)</f>
        <v>0</v>
      </c>
      <c r="V196" s="140"/>
      <c r="W196" s="141" t="e">
        <f t="shared" ref="W196:AA196" ca="1" si="389">J196/$I196</f>
        <v>#DIV/0!</v>
      </c>
      <c r="X196" s="141" t="e">
        <f t="shared" ca="1" si="389"/>
        <v>#DIV/0!</v>
      </c>
      <c r="Y196" s="141" t="e">
        <f t="shared" ca="1" si="389"/>
        <v>#DIV/0!</v>
      </c>
      <c r="Z196" s="141" t="e">
        <f t="shared" ca="1" si="389"/>
        <v>#DIV/0!</v>
      </c>
      <c r="AA196" s="141" t="e">
        <f t="shared" ca="1" si="389"/>
        <v>#DIV/0!</v>
      </c>
      <c r="AB196" s="141"/>
      <c r="AC196" s="141" t="e">
        <f t="shared" ca="1" si="1"/>
        <v>#DIV/0!</v>
      </c>
      <c r="AD196" s="141" t="e">
        <f t="shared" ref="AD196:AI196" ca="1" si="390">O196/$I196</f>
        <v>#DIV/0!</v>
      </c>
      <c r="AE196" s="141" t="e">
        <f t="shared" ca="1" si="390"/>
        <v>#DIV/0!</v>
      </c>
      <c r="AF196" s="141" t="e">
        <f t="shared" ca="1" si="390"/>
        <v>#DIV/0!</v>
      </c>
      <c r="AG196" s="141" t="e">
        <f t="shared" ca="1" si="390"/>
        <v>#DIV/0!</v>
      </c>
      <c r="AH196" s="141" t="e">
        <f t="shared" ca="1" si="390"/>
        <v>#DIV/0!</v>
      </c>
      <c r="AI196" s="141" t="e">
        <f t="shared" ca="1" si="390"/>
        <v>#DIV/0!</v>
      </c>
      <c r="AJ196" s="140"/>
    </row>
    <row r="197" spans="1:36">
      <c r="A197" s="140" t="e">
        <f ca="1"/>
        <v>#NAME?</v>
      </c>
      <c r="B197" s="140" t="e">
        <f ca="1"/>
        <v>#NAME?</v>
      </c>
      <c r="C197" s="140" t="e">
        <f ca="1"/>
        <v>#NAME?</v>
      </c>
      <c r="D197" s="140" t="e">
        <f ca="1"/>
        <v>#NAME?</v>
      </c>
      <c r="E197" s="140" t="e">
        <f ca="1"/>
        <v>#NAME?</v>
      </c>
      <c r="F197" s="140" t="e">
        <f ca="1"/>
        <v>#NAME?</v>
      </c>
      <c r="G197" s="140" t="e">
        <f ca="1"/>
        <v>#NAME?</v>
      </c>
      <c r="H197" s="140"/>
      <c r="I197" s="140">
        <f ca="1">SUMIFS('F20-2024'!I:I,'F20-2024'!$D:$D,$D197,'F20-2024'!$E:$E,$E197,'F20-2024'!$F:$F,$F197)</f>
        <v>0</v>
      </c>
      <c r="J197" s="140">
        <f ca="1">SUMIFS('F20-2024'!J:J,'F20-2024'!$D:$D,$D197,'F20-2024'!$E:$E,$E197,'F20-2024'!$F:$F,$F197)</f>
        <v>0</v>
      </c>
      <c r="K197" s="140">
        <f ca="1">SUMIFS('F20-2024'!K:K,'F20-2024'!$D:$D,$D197,'F20-2024'!$E:$E,$E197,'F20-2024'!$F:$F,$F197)</f>
        <v>0</v>
      </c>
      <c r="L197" s="140">
        <f ca="1">SUMIFS('F20-2024'!L:L,'F20-2024'!$D:$D,$D197,'F20-2024'!$E:$E,$E197,'F20-2024'!$F:$F,$F197)</f>
        <v>0</v>
      </c>
      <c r="M197" s="140">
        <f ca="1">SUMIFS('F20-2024'!M:M,'F20-2024'!$D:$D,$D197,'F20-2024'!$E:$E,$E197,'F20-2024'!$F:$F,$F197)</f>
        <v>0</v>
      </c>
      <c r="N197" s="140">
        <f ca="1">SUMIFS('F20-2024'!N:N,'F20-2024'!$D:$D,$D197,'F20-2024'!$E:$E,$E197,'F20-2024'!$F:$F,$F197)</f>
        <v>0</v>
      </c>
      <c r="O197" s="140">
        <f ca="1">SUMIFS('F20-2024'!O:O,'F20-2024'!$D:$D,$D197,'F20-2024'!$E:$E,$E197,'F20-2024'!$F:$F,$F197)</f>
        <v>0</v>
      </c>
      <c r="P197" s="140">
        <f ca="1">SUMIFS('F20-2024'!P:P,'F20-2024'!$D:$D,$D197,'F20-2024'!$E:$E,$E197,'F20-2024'!$F:$F,$F197)</f>
        <v>0</v>
      </c>
      <c r="Q197" s="140">
        <f ca="1">SUMIFS('F20-2024'!Q:Q,'F20-2024'!$D:$D,$D197,'F20-2024'!$E:$E,$E197,'F20-2024'!$F:$F,$F197)</f>
        <v>0</v>
      </c>
      <c r="R197" s="140">
        <f ca="1">SUMIFS('F20-2024'!R:R,'F20-2024'!$D:$D,$D197,'F20-2024'!$E:$E,$E197,'F20-2024'!$F:$F,$F197)</f>
        <v>0</v>
      </c>
      <c r="S197" s="140">
        <f ca="1">SUMIFS('F20-2024'!S:S,'F20-2024'!$D:$D,$D197,'F20-2024'!$E:$E,$E197,'F20-2024'!$F:$F,$F197)</f>
        <v>0</v>
      </c>
      <c r="T197" s="140">
        <f ca="1">SUMIFS('F20-2024'!T:T,'F20-2024'!$D:$D,$D197,'F20-2024'!$E:$E,$E197,'F20-2024'!$F:$F,$F197)</f>
        <v>0</v>
      </c>
      <c r="U197" s="140">
        <f ca="1">SUMIFS('F20-2024'!U:U,'F20-2024'!$D:$D,$D197,'F20-2024'!$E:$E,$E197,'F20-2024'!$F:$F,$F197)</f>
        <v>0</v>
      </c>
      <c r="V197" s="140"/>
      <c r="W197" s="141" t="e">
        <f t="shared" ref="W197:AA197" ca="1" si="391">J197/$I197</f>
        <v>#DIV/0!</v>
      </c>
      <c r="X197" s="141" t="e">
        <f t="shared" ca="1" si="391"/>
        <v>#DIV/0!</v>
      </c>
      <c r="Y197" s="141" t="e">
        <f t="shared" ca="1" si="391"/>
        <v>#DIV/0!</v>
      </c>
      <c r="Z197" s="141" t="e">
        <f t="shared" ca="1" si="391"/>
        <v>#DIV/0!</v>
      </c>
      <c r="AA197" s="141" t="e">
        <f t="shared" ca="1" si="391"/>
        <v>#DIV/0!</v>
      </c>
      <c r="AB197" s="141"/>
      <c r="AC197" s="141" t="e">
        <f t="shared" ca="1" si="1"/>
        <v>#DIV/0!</v>
      </c>
      <c r="AD197" s="141" t="e">
        <f t="shared" ref="AD197:AI197" ca="1" si="392">O197/$I197</f>
        <v>#DIV/0!</v>
      </c>
      <c r="AE197" s="141" t="e">
        <f t="shared" ca="1" si="392"/>
        <v>#DIV/0!</v>
      </c>
      <c r="AF197" s="141" t="e">
        <f t="shared" ca="1" si="392"/>
        <v>#DIV/0!</v>
      </c>
      <c r="AG197" s="141" t="e">
        <f t="shared" ca="1" si="392"/>
        <v>#DIV/0!</v>
      </c>
      <c r="AH197" s="141" t="e">
        <f t="shared" ca="1" si="392"/>
        <v>#DIV/0!</v>
      </c>
      <c r="AI197" s="141" t="e">
        <f t="shared" ca="1" si="392"/>
        <v>#DIV/0!</v>
      </c>
      <c r="AJ197" s="140"/>
    </row>
    <row r="198" spans="1:36">
      <c r="A198" s="140" t="e">
        <f ca="1"/>
        <v>#NAME?</v>
      </c>
      <c r="B198" s="140" t="e">
        <f ca="1"/>
        <v>#NAME?</v>
      </c>
      <c r="C198" s="140" t="e">
        <f ca="1"/>
        <v>#NAME?</v>
      </c>
      <c r="D198" s="140" t="e">
        <f ca="1"/>
        <v>#NAME?</v>
      </c>
      <c r="E198" s="140" t="e">
        <f ca="1"/>
        <v>#NAME?</v>
      </c>
      <c r="F198" s="140" t="e">
        <f ca="1"/>
        <v>#NAME?</v>
      </c>
      <c r="G198" s="140" t="e">
        <f ca="1"/>
        <v>#NAME?</v>
      </c>
      <c r="H198" s="140"/>
      <c r="I198" s="140">
        <f ca="1">SUMIFS('F20-2024'!I:I,'F20-2024'!$D:$D,$D198,'F20-2024'!$E:$E,$E198,'F20-2024'!$F:$F,$F198)</f>
        <v>0</v>
      </c>
      <c r="J198" s="140">
        <f ca="1">SUMIFS('F20-2024'!J:J,'F20-2024'!$D:$D,$D198,'F20-2024'!$E:$E,$E198,'F20-2024'!$F:$F,$F198)</f>
        <v>0</v>
      </c>
      <c r="K198" s="140">
        <f ca="1">SUMIFS('F20-2024'!K:K,'F20-2024'!$D:$D,$D198,'F20-2024'!$E:$E,$E198,'F20-2024'!$F:$F,$F198)</f>
        <v>0</v>
      </c>
      <c r="L198" s="140">
        <f ca="1">SUMIFS('F20-2024'!L:L,'F20-2024'!$D:$D,$D198,'F20-2024'!$E:$E,$E198,'F20-2024'!$F:$F,$F198)</f>
        <v>0</v>
      </c>
      <c r="M198" s="140">
        <f ca="1">SUMIFS('F20-2024'!M:M,'F20-2024'!$D:$D,$D198,'F20-2024'!$E:$E,$E198,'F20-2024'!$F:$F,$F198)</f>
        <v>0</v>
      </c>
      <c r="N198" s="140">
        <f ca="1">SUMIFS('F20-2024'!N:N,'F20-2024'!$D:$D,$D198,'F20-2024'!$E:$E,$E198,'F20-2024'!$F:$F,$F198)</f>
        <v>0</v>
      </c>
      <c r="O198" s="140">
        <f ca="1">SUMIFS('F20-2024'!O:O,'F20-2024'!$D:$D,$D198,'F20-2024'!$E:$E,$E198,'F20-2024'!$F:$F,$F198)</f>
        <v>0</v>
      </c>
      <c r="P198" s="140">
        <f ca="1">SUMIFS('F20-2024'!P:P,'F20-2024'!$D:$D,$D198,'F20-2024'!$E:$E,$E198,'F20-2024'!$F:$F,$F198)</f>
        <v>0</v>
      </c>
      <c r="Q198" s="140">
        <f ca="1">SUMIFS('F20-2024'!Q:Q,'F20-2024'!$D:$D,$D198,'F20-2024'!$E:$E,$E198,'F20-2024'!$F:$F,$F198)</f>
        <v>0</v>
      </c>
      <c r="R198" s="140">
        <f ca="1">SUMIFS('F20-2024'!R:R,'F20-2024'!$D:$D,$D198,'F20-2024'!$E:$E,$E198,'F20-2024'!$F:$F,$F198)</f>
        <v>0</v>
      </c>
      <c r="S198" s="140">
        <f ca="1">SUMIFS('F20-2024'!S:S,'F20-2024'!$D:$D,$D198,'F20-2024'!$E:$E,$E198,'F20-2024'!$F:$F,$F198)</f>
        <v>0</v>
      </c>
      <c r="T198" s="140">
        <f ca="1">SUMIFS('F20-2024'!T:T,'F20-2024'!$D:$D,$D198,'F20-2024'!$E:$E,$E198,'F20-2024'!$F:$F,$F198)</f>
        <v>0</v>
      </c>
      <c r="U198" s="140">
        <f ca="1">SUMIFS('F20-2024'!U:U,'F20-2024'!$D:$D,$D198,'F20-2024'!$E:$E,$E198,'F20-2024'!$F:$F,$F198)</f>
        <v>0</v>
      </c>
      <c r="V198" s="140"/>
      <c r="W198" s="141" t="e">
        <f t="shared" ref="W198:AA198" ca="1" si="393">J198/$I198</f>
        <v>#DIV/0!</v>
      </c>
      <c r="X198" s="141" t="e">
        <f t="shared" ca="1" si="393"/>
        <v>#DIV/0!</v>
      </c>
      <c r="Y198" s="141" t="e">
        <f t="shared" ca="1" si="393"/>
        <v>#DIV/0!</v>
      </c>
      <c r="Z198" s="141" t="e">
        <f t="shared" ca="1" si="393"/>
        <v>#DIV/0!</v>
      </c>
      <c r="AA198" s="141" t="e">
        <f t="shared" ca="1" si="393"/>
        <v>#DIV/0!</v>
      </c>
      <c r="AB198" s="141"/>
      <c r="AC198" s="141" t="e">
        <f t="shared" ca="1" si="1"/>
        <v>#DIV/0!</v>
      </c>
      <c r="AD198" s="141" t="e">
        <f t="shared" ref="AD198:AI198" ca="1" si="394">O198/$I198</f>
        <v>#DIV/0!</v>
      </c>
      <c r="AE198" s="141" t="e">
        <f t="shared" ca="1" si="394"/>
        <v>#DIV/0!</v>
      </c>
      <c r="AF198" s="141" t="e">
        <f t="shared" ca="1" si="394"/>
        <v>#DIV/0!</v>
      </c>
      <c r="AG198" s="141" t="e">
        <f t="shared" ca="1" si="394"/>
        <v>#DIV/0!</v>
      </c>
      <c r="AH198" s="141" t="e">
        <f t="shared" ca="1" si="394"/>
        <v>#DIV/0!</v>
      </c>
      <c r="AI198" s="141" t="e">
        <f t="shared" ca="1" si="394"/>
        <v>#DIV/0!</v>
      </c>
      <c r="AJ198" s="140"/>
    </row>
    <row r="199" spans="1:36">
      <c r="A199" s="140" t="e">
        <f ca="1"/>
        <v>#NAME?</v>
      </c>
      <c r="B199" s="140" t="e">
        <f ca="1"/>
        <v>#NAME?</v>
      </c>
      <c r="C199" s="140" t="e">
        <f ca="1"/>
        <v>#NAME?</v>
      </c>
      <c r="D199" s="140" t="e">
        <f ca="1"/>
        <v>#NAME?</v>
      </c>
      <c r="E199" s="140" t="e">
        <f ca="1"/>
        <v>#NAME?</v>
      </c>
      <c r="F199" s="140" t="e">
        <f ca="1"/>
        <v>#NAME?</v>
      </c>
      <c r="G199" s="140" t="e">
        <f ca="1"/>
        <v>#NAME?</v>
      </c>
      <c r="H199" s="140"/>
      <c r="I199" s="140">
        <f ca="1">SUMIFS('F20-2024'!I:I,'F20-2024'!$D:$D,$D199,'F20-2024'!$E:$E,$E199,'F20-2024'!$F:$F,$F199)</f>
        <v>0</v>
      </c>
      <c r="J199" s="140">
        <f ca="1">SUMIFS('F20-2024'!J:J,'F20-2024'!$D:$D,$D199,'F20-2024'!$E:$E,$E199,'F20-2024'!$F:$F,$F199)</f>
        <v>0</v>
      </c>
      <c r="K199" s="140">
        <f ca="1">SUMIFS('F20-2024'!K:K,'F20-2024'!$D:$D,$D199,'F20-2024'!$E:$E,$E199,'F20-2024'!$F:$F,$F199)</f>
        <v>0</v>
      </c>
      <c r="L199" s="140">
        <f ca="1">SUMIFS('F20-2024'!L:L,'F20-2024'!$D:$D,$D199,'F20-2024'!$E:$E,$E199,'F20-2024'!$F:$F,$F199)</f>
        <v>0</v>
      </c>
      <c r="M199" s="140">
        <f ca="1">SUMIFS('F20-2024'!M:M,'F20-2024'!$D:$D,$D199,'F20-2024'!$E:$E,$E199,'F20-2024'!$F:$F,$F199)</f>
        <v>0</v>
      </c>
      <c r="N199" s="140">
        <f ca="1">SUMIFS('F20-2024'!N:N,'F20-2024'!$D:$D,$D199,'F20-2024'!$E:$E,$E199,'F20-2024'!$F:$F,$F199)</f>
        <v>0</v>
      </c>
      <c r="O199" s="140">
        <f ca="1">SUMIFS('F20-2024'!O:O,'F20-2024'!$D:$D,$D199,'F20-2024'!$E:$E,$E199,'F20-2024'!$F:$F,$F199)</f>
        <v>0</v>
      </c>
      <c r="P199" s="140">
        <f ca="1">SUMIFS('F20-2024'!P:P,'F20-2024'!$D:$D,$D199,'F20-2024'!$E:$E,$E199,'F20-2024'!$F:$F,$F199)</f>
        <v>0</v>
      </c>
      <c r="Q199" s="140">
        <f ca="1">SUMIFS('F20-2024'!Q:Q,'F20-2024'!$D:$D,$D199,'F20-2024'!$E:$E,$E199,'F20-2024'!$F:$F,$F199)</f>
        <v>0</v>
      </c>
      <c r="R199" s="140">
        <f ca="1">SUMIFS('F20-2024'!R:R,'F20-2024'!$D:$D,$D199,'F20-2024'!$E:$E,$E199,'F20-2024'!$F:$F,$F199)</f>
        <v>0</v>
      </c>
      <c r="S199" s="140">
        <f ca="1">SUMIFS('F20-2024'!S:S,'F20-2024'!$D:$D,$D199,'F20-2024'!$E:$E,$E199,'F20-2024'!$F:$F,$F199)</f>
        <v>0</v>
      </c>
      <c r="T199" s="140">
        <f ca="1">SUMIFS('F20-2024'!T:T,'F20-2024'!$D:$D,$D199,'F20-2024'!$E:$E,$E199,'F20-2024'!$F:$F,$F199)</f>
        <v>0</v>
      </c>
      <c r="U199" s="140">
        <f ca="1">SUMIFS('F20-2024'!U:U,'F20-2024'!$D:$D,$D199,'F20-2024'!$E:$E,$E199,'F20-2024'!$F:$F,$F199)</f>
        <v>0</v>
      </c>
      <c r="V199" s="140"/>
      <c r="W199" s="141" t="e">
        <f t="shared" ref="W199:AA199" ca="1" si="395">J199/$I199</f>
        <v>#DIV/0!</v>
      </c>
      <c r="X199" s="141" t="e">
        <f t="shared" ca="1" si="395"/>
        <v>#DIV/0!</v>
      </c>
      <c r="Y199" s="141" t="e">
        <f t="shared" ca="1" si="395"/>
        <v>#DIV/0!</v>
      </c>
      <c r="Z199" s="141" t="e">
        <f t="shared" ca="1" si="395"/>
        <v>#DIV/0!</v>
      </c>
      <c r="AA199" s="141" t="e">
        <f t="shared" ca="1" si="395"/>
        <v>#DIV/0!</v>
      </c>
      <c r="AB199" s="141"/>
      <c r="AC199" s="141" t="e">
        <f t="shared" ca="1" si="1"/>
        <v>#DIV/0!</v>
      </c>
      <c r="AD199" s="141" t="e">
        <f t="shared" ref="AD199:AI199" ca="1" si="396">O199/$I199</f>
        <v>#DIV/0!</v>
      </c>
      <c r="AE199" s="141" t="e">
        <f t="shared" ca="1" si="396"/>
        <v>#DIV/0!</v>
      </c>
      <c r="AF199" s="141" t="e">
        <f t="shared" ca="1" si="396"/>
        <v>#DIV/0!</v>
      </c>
      <c r="AG199" s="141" t="e">
        <f t="shared" ca="1" si="396"/>
        <v>#DIV/0!</v>
      </c>
      <c r="AH199" s="141" t="e">
        <f t="shared" ca="1" si="396"/>
        <v>#DIV/0!</v>
      </c>
      <c r="AI199" s="141" t="e">
        <f t="shared" ca="1" si="396"/>
        <v>#DIV/0!</v>
      </c>
      <c r="AJ199" s="140"/>
    </row>
    <row r="200" spans="1:36">
      <c r="A200" s="140" t="e">
        <f ca="1"/>
        <v>#NAME?</v>
      </c>
      <c r="B200" s="140" t="e">
        <f ca="1"/>
        <v>#NAME?</v>
      </c>
      <c r="C200" s="140" t="e">
        <f ca="1"/>
        <v>#NAME?</v>
      </c>
      <c r="D200" s="140" t="e">
        <f ca="1"/>
        <v>#NAME?</v>
      </c>
      <c r="E200" s="140" t="e">
        <f ca="1"/>
        <v>#NAME?</v>
      </c>
      <c r="F200" s="140" t="e">
        <f ca="1"/>
        <v>#NAME?</v>
      </c>
      <c r="G200" s="140" t="e">
        <f ca="1"/>
        <v>#NAME?</v>
      </c>
      <c r="H200" s="140"/>
      <c r="I200" s="140">
        <f ca="1">SUMIFS('F20-2024'!I:I,'F20-2024'!$D:$D,$D200,'F20-2024'!$E:$E,$E200,'F20-2024'!$F:$F,$F200)</f>
        <v>0</v>
      </c>
      <c r="J200" s="140">
        <f ca="1">SUMIFS('F20-2024'!J:J,'F20-2024'!$D:$D,$D200,'F20-2024'!$E:$E,$E200,'F20-2024'!$F:$F,$F200)</f>
        <v>0</v>
      </c>
      <c r="K200" s="140">
        <f ca="1">SUMIFS('F20-2024'!K:K,'F20-2024'!$D:$D,$D200,'F20-2024'!$E:$E,$E200,'F20-2024'!$F:$F,$F200)</f>
        <v>0</v>
      </c>
      <c r="L200" s="140">
        <f ca="1">SUMIFS('F20-2024'!L:L,'F20-2024'!$D:$D,$D200,'F20-2024'!$E:$E,$E200,'F20-2024'!$F:$F,$F200)</f>
        <v>0</v>
      </c>
      <c r="M200" s="140">
        <f ca="1">SUMIFS('F20-2024'!M:M,'F20-2024'!$D:$D,$D200,'F20-2024'!$E:$E,$E200,'F20-2024'!$F:$F,$F200)</f>
        <v>0</v>
      </c>
      <c r="N200" s="140">
        <f ca="1">SUMIFS('F20-2024'!N:N,'F20-2024'!$D:$D,$D200,'F20-2024'!$E:$E,$E200,'F20-2024'!$F:$F,$F200)</f>
        <v>0</v>
      </c>
      <c r="O200" s="140">
        <f ca="1">SUMIFS('F20-2024'!O:O,'F20-2024'!$D:$D,$D200,'F20-2024'!$E:$E,$E200,'F20-2024'!$F:$F,$F200)</f>
        <v>0</v>
      </c>
      <c r="P200" s="140">
        <f ca="1">SUMIFS('F20-2024'!P:P,'F20-2024'!$D:$D,$D200,'F20-2024'!$E:$E,$E200,'F20-2024'!$F:$F,$F200)</f>
        <v>0</v>
      </c>
      <c r="Q200" s="140">
        <f ca="1">SUMIFS('F20-2024'!Q:Q,'F20-2024'!$D:$D,$D200,'F20-2024'!$E:$E,$E200,'F20-2024'!$F:$F,$F200)</f>
        <v>0</v>
      </c>
      <c r="R200" s="140">
        <f ca="1">SUMIFS('F20-2024'!R:R,'F20-2024'!$D:$D,$D200,'F20-2024'!$E:$E,$E200,'F20-2024'!$F:$F,$F200)</f>
        <v>0</v>
      </c>
      <c r="S200" s="140">
        <f ca="1">SUMIFS('F20-2024'!S:S,'F20-2024'!$D:$D,$D200,'F20-2024'!$E:$E,$E200,'F20-2024'!$F:$F,$F200)</f>
        <v>0</v>
      </c>
      <c r="T200" s="140">
        <f ca="1">SUMIFS('F20-2024'!T:T,'F20-2024'!$D:$D,$D200,'F20-2024'!$E:$E,$E200,'F20-2024'!$F:$F,$F200)</f>
        <v>0</v>
      </c>
      <c r="U200" s="140">
        <f ca="1">SUMIFS('F20-2024'!U:U,'F20-2024'!$D:$D,$D200,'F20-2024'!$E:$E,$E200,'F20-2024'!$F:$F,$F200)</f>
        <v>0</v>
      </c>
      <c r="V200" s="140"/>
      <c r="W200" s="141" t="e">
        <f t="shared" ref="W200:AA200" ca="1" si="397">J200/$I200</f>
        <v>#DIV/0!</v>
      </c>
      <c r="X200" s="141" t="e">
        <f t="shared" ca="1" si="397"/>
        <v>#DIV/0!</v>
      </c>
      <c r="Y200" s="141" t="e">
        <f t="shared" ca="1" si="397"/>
        <v>#DIV/0!</v>
      </c>
      <c r="Z200" s="141" t="e">
        <f t="shared" ca="1" si="397"/>
        <v>#DIV/0!</v>
      </c>
      <c r="AA200" s="141" t="e">
        <f t="shared" ca="1" si="397"/>
        <v>#DIV/0!</v>
      </c>
      <c r="AB200" s="141"/>
      <c r="AC200" s="141" t="e">
        <f t="shared" ca="1" si="1"/>
        <v>#DIV/0!</v>
      </c>
      <c r="AD200" s="141" t="e">
        <f t="shared" ref="AD200:AI200" ca="1" si="398">O200/$I200</f>
        <v>#DIV/0!</v>
      </c>
      <c r="AE200" s="141" t="e">
        <f t="shared" ca="1" si="398"/>
        <v>#DIV/0!</v>
      </c>
      <c r="AF200" s="141" t="e">
        <f t="shared" ca="1" si="398"/>
        <v>#DIV/0!</v>
      </c>
      <c r="AG200" s="141" t="e">
        <f t="shared" ca="1" si="398"/>
        <v>#DIV/0!</v>
      </c>
      <c r="AH200" s="141" t="e">
        <f t="shared" ca="1" si="398"/>
        <v>#DIV/0!</v>
      </c>
      <c r="AI200" s="141" t="e">
        <f t="shared" ca="1" si="398"/>
        <v>#DIV/0!</v>
      </c>
      <c r="AJ200" s="140"/>
    </row>
    <row r="201" spans="1:36">
      <c r="A201" s="140" t="e">
        <f ca="1"/>
        <v>#NAME?</v>
      </c>
      <c r="B201" s="140" t="e">
        <f ca="1"/>
        <v>#NAME?</v>
      </c>
      <c r="C201" s="140" t="e">
        <f ca="1"/>
        <v>#NAME?</v>
      </c>
      <c r="D201" s="140" t="e">
        <f ca="1"/>
        <v>#NAME?</v>
      </c>
      <c r="E201" s="140" t="e">
        <f ca="1"/>
        <v>#NAME?</v>
      </c>
      <c r="F201" s="140" t="e">
        <f ca="1"/>
        <v>#NAME?</v>
      </c>
      <c r="G201" s="140" t="e">
        <f ca="1"/>
        <v>#NAME?</v>
      </c>
      <c r="H201" s="140"/>
      <c r="I201" s="140">
        <f ca="1">SUMIFS('F20-2024'!I:I,'F20-2024'!$D:$D,$D201,'F20-2024'!$E:$E,$E201,'F20-2024'!$F:$F,$F201)</f>
        <v>0</v>
      </c>
      <c r="J201" s="140">
        <f ca="1">SUMIFS('F20-2024'!J:J,'F20-2024'!$D:$D,$D201,'F20-2024'!$E:$E,$E201,'F20-2024'!$F:$F,$F201)</f>
        <v>0</v>
      </c>
      <c r="K201" s="140">
        <f ca="1">SUMIFS('F20-2024'!K:K,'F20-2024'!$D:$D,$D201,'F20-2024'!$E:$E,$E201,'F20-2024'!$F:$F,$F201)</f>
        <v>0</v>
      </c>
      <c r="L201" s="140">
        <f ca="1">SUMIFS('F20-2024'!L:L,'F20-2024'!$D:$D,$D201,'F20-2024'!$E:$E,$E201,'F20-2024'!$F:$F,$F201)</f>
        <v>0</v>
      </c>
      <c r="M201" s="140">
        <f ca="1">SUMIFS('F20-2024'!M:M,'F20-2024'!$D:$D,$D201,'F20-2024'!$E:$E,$E201,'F20-2024'!$F:$F,$F201)</f>
        <v>0</v>
      </c>
      <c r="N201" s="140">
        <f ca="1">SUMIFS('F20-2024'!N:N,'F20-2024'!$D:$D,$D201,'F20-2024'!$E:$E,$E201,'F20-2024'!$F:$F,$F201)</f>
        <v>0</v>
      </c>
      <c r="O201" s="140">
        <f ca="1">SUMIFS('F20-2024'!O:O,'F20-2024'!$D:$D,$D201,'F20-2024'!$E:$E,$E201,'F20-2024'!$F:$F,$F201)</f>
        <v>0</v>
      </c>
      <c r="P201" s="140">
        <f ca="1">SUMIFS('F20-2024'!P:P,'F20-2024'!$D:$D,$D201,'F20-2024'!$E:$E,$E201,'F20-2024'!$F:$F,$F201)</f>
        <v>0</v>
      </c>
      <c r="Q201" s="140">
        <f ca="1">SUMIFS('F20-2024'!Q:Q,'F20-2024'!$D:$D,$D201,'F20-2024'!$E:$E,$E201,'F20-2024'!$F:$F,$F201)</f>
        <v>0</v>
      </c>
      <c r="R201" s="140">
        <f ca="1">SUMIFS('F20-2024'!R:R,'F20-2024'!$D:$D,$D201,'F20-2024'!$E:$E,$E201,'F20-2024'!$F:$F,$F201)</f>
        <v>0</v>
      </c>
      <c r="S201" s="140">
        <f ca="1">SUMIFS('F20-2024'!S:S,'F20-2024'!$D:$D,$D201,'F20-2024'!$E:$E,$E201,'F20-2024'!$F:$F,$F201)</f>
        <v>0</v>
      </c>
      <c r="T201" s="140">
        <f ca="1">SUMIFS('F20-2024'!T:T,'F20-2024'!$D:$D,$D201,'F20-2024'!$E:$E,$E201,'F20-2024'!$F:$F,$F201)</f>
        <v>0</v>
      </c>
      <c r="U201" s="140">
        <f ca="1">SUMIFS('F20-2024'!U:U,'F20-2024'!$D:$D,$D201,'F20-2024'!$E:$E,$E201,'F20-2024'!$F:$F,$F201)</f>
        <v>0</v>
      </c>
      <c r="V201" s="140"/>
      <c r="W201" s="141" t="e">
        <f t="shared" ref="W201:AA201" ca="1" si="399">J201/$I201</f>
        <v>#DIV/0!</v>
      </c>
      <c r="X201" s="141" t="e">
        <f t="shared" ca="1" si="399"/>
        <v>#DIV/0!</v>
      </c>
      <c r="Y201" s="141" t="e">
        <f t="shared" ca="1" si="399"/>
        <v>#DIV/0!</v>
      </c>
      <c r="Z201" s="141" t="e">
        <f t="shared" ca="1" si="399"/>
        <v>#DIV/0!</v>
      </c>
      <c r="AA201" s="141" t="e">
        <f t="shared" ca="1" si="399"/>
        <v>#DIV/0!</v>
      </c>
      <c r="AB201" s="141"/>
      <c r="AC201" s="141" t="e">
        <f t="shared" ca="1" si="1"/>
        <v>#DIV/0!</v>
      </c>
      <c r="AD201" s="141" t="e">
        <f t="shared" ref="AD201:AI201" ca="1" si="400">O201/$I201</f>
        <v>#DIV/0!</v>
      </c>
      <c r="AE201" s="141" t="e">
        <f t="shared" ca="1" si="400"/>
        <v>#DIV/0!</v>
      </c>
      <c r="AF201" s="141" t="e">
        <f t="shared" ca="1" si="400"/>
        <v>#DIV/0!</v>
      </c>
      <c r="AG201" s="141" t="e">
        <f t="shared" ca="1" si="400"/>
        <v>#DIV/0!</v>
      </c>
      <c r="AH201" s="141" t="e">
        <f t="shared" ca="1" si="400"/>
        <v>#DIV/0!</v>
      </c>
      <c r="AI201" s="141" t="e">
        <f t="shared" ca="1" si="400"/>
        <v>#DIV/0!</v>
      </c>
      <c r="AJ201" s="140"/>
    </row>
    <row r="202" spans="1:36">
      <c r="A202" s="140" t="e">
        <f ca="1"/>
        <v>#NAME?</v>
      </c>
      <c r="B202" s="140" t="e">
        <f ca="1"/>
        <v>#NAME?</v>
      </c>
      <c r="C202" s="140" t="e">
        <f ca="1"/>
        <v>#NAME?</v>
      </c>
      <c r="D202" s="140" t="e">
        <f ca="1"/>
        <v>#NAME?</v>
      </c>
      <c r="E202" s="140" t="e">
        <f ca="1"/>
        <v>#NAME?</v>
      </c>
      <c r="F202" s="140" t="e">
        <f ca="1"/>
        <v>#NAME?</v>
      </c>
      <c r="G202" s="140" t="e">
        <f ca="1"/>
        <v>#NAME?</v>
      </c>
      <c r="H202" s="140"/>
      <c r="I202" s="140">
        <f ca="1">SUMIFS('F20-2024'!I:I,'F20-2024'!$D:$D,$D202,'F20-2024'!$E:$E,$E202,'F20-2024'!$F:$F,$F202)</f>
        <v>0</v>
      </c>
      <c r="J202" s="140">
        <f ca="1">SUMIFS('F20-2024'!J:J,'F20-2024'!$D:$D,$D202,'F20-2024'!$E:$E,$E202,'F20-2024'!$F:$F,$F202)</f>
        <v>0</v>
      </c>
      <c r="K202" s="140">
        <f ca="1">SUMIFS('F20-2024'!K:K,'F20-2024'!$D:$D,$D202,'F20-2024'!$E:$E,$E202,'F20-2024'!$F:$F,$F202)</f>
        <v>0</v>
      </c>
      <c r="L202" s="140">
        <f ca="1">SUMIFS('F20-2024'!L:L,'F20-2024'!$D:$D,$D202,'F20-2024'!$E:$E,$E202,'F20-2024'!$F:$F,$F202)</f>
        <v>0</v>
      </c>
      <c r="M202" s="140">
        <f ca="1">SUMIFS('F20-2024'!M:M,'F20-2024'!$D:$D,$D202,'F20-2024'!$E:$E,$E202,'F20-2024'!$F:$F,$F202)</f>
        <v>0</v>
      </c>
      <c r="N202" s="140">
        <f ca="1">SUMIFS('F20-2024'!N:N,'F20-2024'!$D:$D,$D202,'F20-2024'!$E:$E,$E202,'F20-2024'!$F:$F,$F202)</f>
        <v>0</v>
      </c>
      <c r="O202" s="140">
        <f ca="1">SUMIFS('F20-2024'!O:O,'F20-2024'!$D:$D,$D202,'F20-2024'!$E:$E,$E202,'F20-2024'!$F:$F,$F202)</f>
        <v>0</v>
      </c>
      <c r="P202" s="140">
        <f ca="1">SUMIFS('F20-2024'!P:P,'F20-2024'!$D:$D,$D202,'F20-2024'!$E:$E,$E202,'F20-2024'!$F:$F,$F202)</f>
        <v>0</v>
      </c>
      <c r="Q202" s="140">
        <f ca="1">SUMIFS('F20-2024'!Q:Q,'F20-2024'!$D:$D,$D202,'F20-2024'!$E:$E,$E202,'F20-2024'!$F:$F,$F202)</f>
        <v>0</v>
      </c>
      <c r="R202" s="140">
        <f ca="1">SUMIFS('F20-2024'!R:R,'F20-2024'!$D:$D,$D202,'F20-2024'!$E:$E,$E202,'F20-2024'!$F:$F,$F202)</f>
        <v>0</v>
      </c>
      <c r="S202" s="140">
        <f ca="1">SUMIFS('F20-2024'!S:S,'F20-2024'!$D:$D,$D202,'F20-2024'!$E:$E,$E202,'F20-2024'!$F:$F,$F202)</f>
        <v>0</v>
      </c>
      <c r="T202" s="140">
        <f ca="1">SUMIFS('F20-2024'!T:T,'F20-2024'!$D:$D,$D202,'F20-2024'!$E:$E,$E202,'F20-2024'!$F:$F,$F202)</f>
        <v>0</v>
      </c>
      <c r="U202" s="140">
        <f ca="1">SUMIFS('F20-2024'!U:U,'F20-2024'!$D:$D,$D202,'F20-2024'!$E:$E,$E202,'F20-2024'!$F:$F,$F202)</f>
        <v>0</v>
      </c>
      <c r="V202" s="140"/>
      <c r="W202" s="141" t="e">
        <f t="shared" ref="W202:AA202" ca="1" si="401">J202/$I202</f>
        <v>#DIV/0!</v>
      </c>
      <c r="X202" s="141" t="e">
        <f t="shared" ca="1" si="401"/>
        <v>#DIV/0!</v>
      </c>
      <c r="Y202" s="141" t="e">
        <f t="shared" ca="1" si="401"/>
        <v>#DIV/0!</v>
      </c>
      <c r="Z202" s="141" t="e">
        <f t="shared" ca="1" si="401"/>
        <v>#DIV/0!</v>
      </c>
      <c r="AA202" s="141" t="e">
        <f t="shared" ca="1" si="401"/>
        <v>#DIV/0!</v>
      </c>
      <c r="AB202" s="141"/>
      <c r="AC202" s="141" t="e">
        <f t="shared" ca="1" si="1"/>
        <v>#DIV/0!</v>
      </c>
      <c r="AD202" s="141" t="e">
        <f t="shared" ref="AD202:AI202" ca="1" si="402">O202/$I202</f>
        <v>#DIV/0!</v>
      </c>
      <c r="AE202" s="141" t="e">
        <f t="shared" ca="1" si="402"/>
        <v>#DIV/0!</v>
      </c>
      <c r="AF202" s="141" t="e">
        <f t="shared" ca="1" si="402"/>
        <v>#DIV/0!</v>
      </c>
      <c r="AG202" s="141" t="e">
        <f t="shared" ca="1" si="402"/>
        <v>#DIV/0!</v>
      </c>
      <c r="AH202" s="141" t="e">
        <f t="shared" ca="1" si="402"/>
        <v>#DIV/0!</v>
      </c>
      <c r="AI202" s="141" t="e">
        <f t="shared" ca="1" si="402"/>
        <v>#DIV/0!</v>
      </c>
      <c r="AJ202" s="140"/>
    </row>
    <row r="203" spans="1:36">
      <c r="A203" s="140" t="e">
        <f ca="1"/>
        <v>#NAME?</v>
      </c>
      <c r="B203" s="140" t="e">
        <f ca="1"/>
        <v>#NAME?</v>
      </c>
      <c r="C203" s="140" t="e">
        <f ca="1"/>
        <v>#NAME?</v>
      </c>
      <c r="D203" s="140" t="e">
        <f ca="1"/>
        <v>#NAME?</v>
      </c>
      <c r="E203" s="140" t="e">
        <f ca="1"/>
        <v>#NAME?</v>
      </c>
      <c r="F203" s="140" t="e">
        <f ca="1"/>
        <v>#NAME?</v>
      </c>
      <c r="G203" s="140" t="e">
        <f ca="1"/>
        <v>#NAME?</v>
      </c>
      <c r="H203" s="140"/>
      <c r="I203" s="140">
        <f ca="1">SUMIFS('F20-2024'!I:I,'F20-2024'!$D:$D,$D203,'F20-2024'!$E:$E,$E203,'F20-2024'!$F:$F,$F203)</f>
        <v>0</v>
      </c>
      <c r="J203" s="140">
        <f ca="1">SUMIFS('F20-2024'!J:J,'F20-2024'!$D:$D,$D203,'F20-2024'!$E:$E,$E203,'F20-2024'!$F:$F,$F203)</f>
        <v>0</v>
      </c>
      <c r="K203" s="140">
        <f ca="1">SUMIFS('F20-2024'!K:K,'F20-2024'!$D:$D,$D203,'F20-2024'!$E:$E,$E203,'F20-2024'!$F:$F,$F203)</f>
        <v>0</v>
      </c>
      <c r="L203" s="140">
        <f ca="1">SUMIFS('F20-2024'!L:L,'F20-2024'!$D:$D,$D203,'F20-2024'!$E:$E,$E203,'F20-2024'!$F:$F,$F203)</f>
        <v>0</v>
      </c>
      <c r="M203" s="140">
        <f ca="1">SUMIFS('F20-2024'!M:M,'F20-2024'!$D:$D,$D203,'F20-2024'!$E:$E,$E203,'F20-2024'!$F:$F,$F203)</f>
        <v>0</v>
      </c>
      <c r="N203" s="140">
        <f ca="1">SUMIFS('F20-2024'!N:N,'F20-2024'!$D:$D,$D203,'F20-2024'!$E:$E,$E203,'F20-2024'!$F:$F,$F203)</f>
        <v>0</v>
      </c>
      <c r="O203" s="140">
        <f ca="1">SUMIFS('F20-2024'!O:O,'F20-2024'!$D:$D,$D203,'F20-2024'!$E:$E,$E203,'F20-2024'!$F:$F,$F203)</f>
        <v>0</v>
      </c>
      <c r="P203" s="140">
        <f ca="1">SUMIFS('F20-2024'!P:P,'F20-2024'!$D:$D,$D203,'F20-2024'!$E:$E,$E203,'F20-2024'!$F:$F,$F203)</f>
        <v>0</v>
      </c>
      <c r="Q203" s="140">
        <f ca="1">SUMIFS('F20-2024'!Q:Q,'F20-2024'!$D:$D,$D203,'F20-2024'!$E:$E,$E203,'F20-2024'!$F:$F,$F203)</f>
        <v>0</v>
      </c>
      <c r="R203" s="140">
        <f ca="1">SUMIFS('F20-2024'!R:R,'F20-2024'!$D:$D,$D203,'F20-2024'!$E:$E,$E203,'F20-2024'!$F:$F,$F203)</f>
        <v>0</v>
      </c>
      <c r="S203" s="140">
        <f ca="1">SUMIFS('F20-2024'!S:S,'F20-2024'!$D:$D,$D203,'F20-2024'!$E:$E,$E203,'F20-2024'!$F:$F,$F203)</f>
        <v>0</v>
      </c>
      <c r="T203" s="140">
        <f ca="1">SUMIFS('F20-2024'!T:T,'F20-2024'!$D:$D,$D203,'F20-2024'!$E:$E,$E203,'F20-2024'!$F:$F,$F203)</f>
        <v>0</v>
      </c>
      <c r="U203" s="140">
        <f ca="1">SUMIFS('F20-2024'!U:U,'F20-2024'!$D:$D,$D203,'F20-2024'!$E:$E,$E203,'F20-2024'!$F:$F,$F203)</f>
        <v>0</v>
      </c>
      <c r="V203" s="140"/>
      <c r="W203" s="141" t="e">
        <f t="shared" ref="W203:AA203" ca="1" si="403">J203/$I203</f>
        <v>#DIV/0!</v>
      </c>
      <c r="X203" s="141" t="e">
        <f t="shared" ca="1" si="403"/>
        <v>#DIV/0!</v>
      </c>
      <c r="Y203" s="141" t="e">
        <f t="shared" ca="1" si="403"/>
        <v>#DIV/0!</v>
      </c>
      <c r="Z203" s="141" t="e">
        <f t="shared" ca="1" si="403"/>
        <v>#DIV/0!</v>
      </c>
      <c r="AA203" s="141" t="e">
        <f t="shared" ca="1" si="403"/>
        <v>#DIV/0!</v>
      </c>
      <c r="AB203" s="141"/>
      <c r="AC203" s="141" t="e">
        <f t="shared" ca="1" si="1"/>
        <v>#DIV/0!</v>
      </c>
      <c r="AD203" s="141" t="e">
        <f t="shared" ref="AD203:AI203" ca="1" si="404">O203/$I203</f>
        <v>#DIV/0!</v>
      </c>
      <c r="AE203" s="141" t="e">
        <f t="shared" ca="1" si="404"/>
        <v>#DIV/0!</v>
      </c>
      <c r="AF203" s="141" t="e">
        <f t="shared" ca="1" si="404"/>
        <v>#DIV/0!</v>
      </c>
      <c r="AG203" s="141" t="e">
        <f t="shared" ca="1" si="404"/>
        <v>#DIV/0!</v>
      </c>
      <c r="AH203" s="141" t="e">
        <f t="shared" ca="1" si="404"/>
        <v>#DIV/0!</v>
      </c>
      <c r="AI203" s="141" t="e">
        <f t="shared" ca="1" si="404"/>
        <v>#DIV/0!</v>
      </c>
      <c r="AJ203" s="140"/>
    </row>
    <row r="204" spans="1:36">
      <c r="A204" s="140" t="e">
        <f ca="1"/>
        <v>#NAME?</v>
      </c>
      <c r="B204" s="140" t="e">
        <f ca="1"/>
        <v>#NAME?</v>
      </c>
      <c r="C204" s="140" t="e">
        <f ca="1"/>
        <v>#NAME?</v>
      </c>
      <c r="D204" s="140" t="e">
        <f ca="1"/>
        <v>#NAME?</v>
      </c>
      <c r="E204" s="140" t="e">
        <f ca="1"/>
        <v>#NAME?</v>
      </c>
      <c r="F204" s="140" t="e">
        <f ca="1"/>
        <v>#NAME?</v>
      </c>
      <c r="G204" s="140" t="e">
        <f ca="1"/>
        <v>#NAME?</v>
      </c>
      <c r="H204" s="140"/>
      <c r="I204" s="140">
        <f ca="1">SUMIFS('F20-2024'!I:I,'F20-2024'!$D:$D,$D204,'F20-2024'!$E:$E,$E204,'F20-2024'!$F:$F,$F204)</f>
        <v>0</v>
      </c>
      <c r="J204" s="140">
        <f ca="1">SUMIFS('F20-2024'!J:J,'F20-2024'!$D:$D,$D204,'F20-2024'!$E:$E,$E204,'F20-2024'!$F:$F,$F204)</f>
        <v>0</v>
      </c>
      <c r="K204" s="140">
        <f ca="1">SUMIFS('F20-2024'!K:K,'F20-2024'!$D:$D,$D204,'F20-2024'!$E:$E,$E204,'F20-2024'!$F:$F,$F204)</f>
        <v>0</v>
      </c>
      <c r="L204" s="140">
        <f ca="1">SUMIFS('F20-2024'!L:L,'F20-2024'!$D:$D,$D204,'F20-2024'!$E:$E,$E204,'F20-2024'!$F:$F,$F204)</f>
        <v>0</v>
      </c>
      <c r="M204" s="140">
        <f ca="1">SUMIFS('F20-2024'!M:M,'F20-2024'!$D:$D,$D204,'F20-2024'!$E:$E,$E204,'F20-2024'!$F:$F,$F204)</f>
        <v>0</v>
      </c>
      <c r="N204" s="140">
        <f ca="1">SUMIFS('F20-2024'!N:N,'F20-2024'!$D:$D,$D204,'F20-2024'!$E:$E,$E204,'F20-2024'!$F:$F,$F204)</f>
        <v>0</v>
      </c>
      <c r="O204" s="140">
        <f ca="1">SUMIFS('F20-2024'!O:O,'F20-2024'!$D:$D,$D204,'F20-2024'!$E:$E,$E204,'F20-2024'!$F:$F,$F204)</f>
        <v>0</v>
      </c>
      <c r="P204" s="140">
        <f ca="1">SUMIFS('F20-2024'!P:P,'F20-2024'!$D:$D,$D204,'F20-2024'!$E:$E,$E204,'F20-2024'!$F:$F,$F204)</f>
        <v>0</v>
      </c>
      <c r="Q204" s="140">
        <f ca="1">SUMIFS('F20-2024'!Q:Q,'F20-2024'!$D:$D,$D204,'F20-2024'!$E:$E,$E204,'F20-2024'!$F:$F,$F204)</f>
        <v>0</v>
      </c>
      <c r="R204" s="140">
        <f ca="1">SUMIFS('F20-2024'!R:R,'F20-2024'!$D:$D,$D204,'F20-2024'!$E:$E,$E204,'F20-2024'!$F:$F,$F204)</f>
        <v>0</v>
      </c>
      <c r="S204" s="140">
        <f ca="1">SUMIFS('F20-2024'!S:S,'F20-2024'!$D:$D,$D204,'F20-2024'!$E:$E,$E204,'F20-2024'!$F:$F,$F204)</f>
        <v>0</v>
      </c>
      <c r="T204" s="140">
        <f ca="1">SUMIFS('F20-2024'!T:T,'F20-2024'!$D:$D,$D204,'F20-2024'!$E:$E,$E204,'F20-2024'!$F:$F,$F204)</f>
        <v>0</v>
      </c>
      <c r="U204" s="140">
        <f ca="1">SUMIFS('F20-2024'!U:U,'F20-2024'!$D:$D,$D204,'F20-2024'!$E:$E,$E204,'F20-2024'!$F:$F,$F204)</f>
        <v>0</v>
      </c>
      <c r="V204" s="140"/>
      <c r="W204" s="141" t="e">
        <f t="shared" ref="W204:AA204" ca="1" si="405">J204/$I204</f>
        <v>#DIV/0!</v>
      </c>
      <c r="X204" s="141" t="e">
        <f t="shared" ca="1" si="405"/>
        <v>#DIV/0!</v>
      </c>
      <c r="Y204" s="141" t="e">
        <f t="shared" ca="1" si="405"/>
        <v>#DIV/0!</v>
      </c>
      <c r="Z204" s="141" t="e">
        <f t="shared" ca="1" si="405"/>
        <v>#DIV/0!</v>
      </c>
      <c r="AA204" s="141" t="e">
        <f t="shared" ca="1" si="405"/>
        <v>#DIV/0!</v>
      </c>
      <c r="AB204" s="141"/>
      <c r="AC204" s="141" t="e">
        <f t="shared" ca="1" si="1"/>
        <v>#DIV/0!</v>
      </c>
      <c r="AD204" s="141" t="e">
        <f t="shared" ref="AD204:AI204" ca="1" si="406">O204/$I204</f>
        <v>#DIV/0!</v>
      </c>
      <c r="AE204" s="141" t="e">
        <f t="shared" ca="1" si="406"/>
        <v>#DIV/0!</v>
      </c>
      <c r="AF204" s="141" t="e">
        <f t="shared" ca="1" si="406"/>
        <v>#DIV/0!</v>
      </c>
      <c r="AG204" s="141" t="e">
        <f t="shared" ca="1" si="406"/>
        <v>#DIV/0!</v>
      </c>
      <c r="AH204" s="141" t="e">
        <f t="shared" ca="1" si="406"/>
        <v>#DIV/0!</v>
      </c>
      <c r="AI204" s="141" t="e">
        <f t="shared" ca="1" si="406"/>
        <v>#DIV/0!</v>
      </c>
      <c r="AJ204" s="140"/>
    </row>
    <row r="205" spans="1:36">
      <c r="A205" s="140" t="e">
        <f ca="1"/>
        <v>#NAME?</v>
      </c>
      <c r="B205" s="140" t="e">
        <f ca="1"/>
        <v>#NAME?</v>
      </c>
      <c r="C205" s="140" t="e">
        <f ca="1"/>
        <v>#NAME?</v>
      </c>
      <c r="D205" s="140" t="e">
        <f ca="1"/>
        <v>#NAME?</v>
      </c>
      <c r="E205" s="140" t="e">
        <f ca="1"/>
        <v>#NAME?</v>
      </c>
      <c r="F205" s="140" t="e">
        <f ca="1"/>
        <v>#NAME?</v>
      </c>
      <c r="G205" s="140" t="e">
        <f ca="1"/>
        <v>#NAME?</v>
      </c>
      <c r="H205" s="140"/>
      <c r="I205" s="140">
        <f ca="1">SUMIFS('F20-2024'!I:I,'F20-2024'!$D:$D,$D205,'F20-2024'!$E:$E,$E205,'F20-2024'!$F:$F,$F205)</f>
        <v>0</v>
      </c>
      <c r="J205" s="140">
        <f ca="1">SUMIFS('F20-2024'!J:J,'F20-2024'!$D:$D,$D205,'F20-2024'!$E:$E,$E205,'F20-2024'!$F:$F,$F205)</f>
        <v>0</v>
      </c>
      <c r="K205" s="140">
        <f ca="1">SUMIFS('F20-2024'!K:K,'F20-2024'!$D:$D,$D205,'F20-2024'!$E:$E,$E205,'F20-2024'!$F:$F,$F205)</f>
        <v>0</v>
      </c>
      <c r="L205" s="140">
        <f ca="1">SUMIFS('F20-2024'!L:L,'F20-2024'!$D:$D,$D205,'F20-2024'!$E:$E,$E205,'F20-2024'!$F:$F,$F205)</f>
        <v>0</v>
      </c>
      <c r="M205" s="140">
        <f ca="1">SUMIFS('F20-2024'!M:M,'F20-2024'!$D:$D,$D205,'F20-2024'!$E:$E,$E205,'F20-2024'!$F:$F,$F205)</f>
        <v>0</v>
      </c>
      <c r="N205" s="140">
        <f ca="1">SUMIFS('F20-2024'!N:N,'F20-2024'!$D:$D,$D205,'F20-2024'!$E:$E,$E205,'F20-2024'!$F:$F,$F205)</f>
        <v>0</v>
      </c>
      <c r="O205" s="140">
        <f ca="1">SUMIFS('F20-2024'!O:O,'F20-2024'!$D:$D,$D205,'F20-2024'!$E:$E,$E205,'F20-2024'!$F:$F,$F205)</f>
        <v>0</v>
      </c>
      <c r="P205" s="140">
        <f ca="1">SUMIFS('F20-2024'!P:P,'F20-2024'!$D:$D,$D205,'F20-2024'!$E:$E,$E205,'F20-2024'!$F:$F,$F205)</f>
        <v>0</v>
      </c>
      <c r="Q205" s="140">
        <f ca="1">SUMIFS('F20-2024'!Q:Q,'F20-2024'!$D:$D,$D205,'F20-2024'!$E:$E,$E205,'F20-2024'!$F:$F,$F205)</f>
        <v>0</v>
      </c>
      <c r="R205" s="140">
        <f ca="1">SUMIFS('F20-2024'!R:R,'F20-2024'!$D:$D,$D205,'F20-2024'!$E:$E,$E205,'F20-2024'!$F:$F,$F205)</f>
        <v>0</v>
      </c>
      <c r="S205" s="140">
        <f ca="1">SUMIFS('F20-2024'!S:S,'F20-2024'!$D:$D,$D205,'F20-2024'!$E:$E,$E205,'F20-2024'!$F:$F,$F205)</f>
        <v>0</v>
      </c>
      <c r="T205" s="140">
        <f ca="1">SUMIFS('F20-2024'!T:T,'F20-2024'!$D:$D,$D205,'F20-2024'!$E:$E,$E205,'F20-2024'!$F:$F,$F205)</f>
        <v>0</v>
      </c>
      <c r="U205" s="140">
        <f ca="1">SUMIFS('F20-2024'!U:U,'F20-2024'!$D:$D,$D205,'F20-2024'!$E:$E,$E205,'F20-2024'!$F:$F,$F205)</f>
        <v>0</v>
      </c>
      <c r="V205" s="140"/>
      <c r="W205" s="141" t="e">
        <f t="shared" ref="W205:AA205" ca="1" si="407">J205/$I205</f>
        <v>#DIV/0!</v>
      </c>
      <c r="X205" s="141" t="e">
        <f t="shared" ca="1" si="407"/>
        <v>#DIV/0!</v>
      </c>
      <c r="Y205" s="141" t="e">
        <f t="shared" ca="1" si="407"/>
        <v>#DIV/0!</v>
      </c>
      <c r="Z205" s="141" t="e">
        <f t="shared" ca="1" si="407"/>
        <v>#DIV/0!</v>
      </c>
      <c r="AA205" s="141" t="e">
        <f t="shared" ca="1" si="407"/>
        <v>#DIV/0!</v>
      </c>
      <c r="AB205" s="141"/>
      <c r="AC205" s="141" t="e">
        <f t="shared" ca="1" si="1"/>
        <v>#DIV/0!</v>
      </c>
      <c r="AD205" s="141" t="e">
        <f t="shared" ref="AD205:AI205" ca="1" si="408">O205/$I205</f>
        <v>#DIV/0!</v>
      </c>
      <c r="AE205" s="141" t="e">
        <f t="shared" ca="1" si="408"/>
        <v>#DIV/0!</v>
      </c>
      <c r="AF205" s="141" t="e">
        <f t="shared" ca="1" si="408"/>
        <v>#DIV/0!</v>
      </c>
      <c r="AG205" s="141" t="e">
        <f t="shared" ca="1" si="408"/>
        <v>#DIV/0!</v>
      </c>
      <c r="AH205" s="141" t="e">
        <f t="shared" ca="1" si="408"/>
        <v>#DIV/0!</v>
      </c>
      <c r="AI205" s="141" t="e">
        <f t="shared" ca="1" si="408"/>
        <v>#DIV/0!</v>
      </c>
      <c r="AJ205" s="140"/>
    </row>
    <row r="206" spans="1:36">
      <c r="A206" s="140" t="e">
        <f ca="1"/>
        <v>#NAME?</v>
      </c>
      <c r="B206" s="140" t="e">
        <f ca="1"/>
        <v>#NAME?</v>
      </c>
      <c r="C206" s="140" t="e">
        <f ca="1"/>
        <v>#NAME?</v>
      </c>
      <c r="D206" s="140" t="e">
        <f ca="1"/>
        <v>#NAME?</v>
      </c>
      <c r="E206" s="140" t="e">
        <f ca="1"/>
        <v>#NAME?</v>
      </c>
      <c r="F206" s="140" t="e">
        <f ca="1"/>
        <v>#NAME?</v>
      </c>
      <c r="G206" s="140" t="e">
        <f ca="1"/>
        <v>#NAME?</v>
      </c>
      <c r="H206" s="140"/>
      <c r="I206" s="140">
        <f ca="1">SUMIFS('F20-2024'!I:I,'F20-2024'!$D:$D,$D206,'F20-2024'!$E:$E,$E206,'F20-2024'!$F:$F,$F206)</f>
        <v>0</v>
      </c>
      <c r="J206" s="140">
        <f ca="1">SUMIFS('F20-2024'!J:J,'F20-2024'!$D:$D,$D206,'F20-2024'!$E:$E,$E206,'F20-2024'!$F:$F,$F206)</f>
        <v>0</v>
      </c>
      <c r="K206" s="140">
        <f ca="1">SUMIFS('F20-2024'!K:K,'F20-2024'!$D:$D,$D206,'F20-2024'!$E:$E,$E206,'F20-2024'!$F:$F,$F206)</f>
        <v>0</v>
      </c>
      <c r="L206" s="140">
        <f ca="1">SUMIFS('F20-2024'!L:L,'F20-2024'!$D:$D,$D206,'F20-2024'!$E:$E,$E206,'F20-2024'!$F:$F,$F206)</f>
        <v>0</v>
      </c>
      <c r="M206" s="140">
        <f ca="1">SUMIFS('F20-2024'!M:M,'F20-2024'!$D:$D,$D206,'F20-2024'!$E:$E,$E206,'F20-2024'!$F:$F,$F206)</f>
        <v>0</v>
      </c>
      <c r="N206" s="140">
        <f ca="1">SUMIFS('F20-2024'!N:N,'F20-2024'!$D:$D,$D206,'F20-2024'!$E:$E,$E206,'F20-2024'!$F:$F,$F206)</f>
        <v>0</v>
      </c>
      <c r="O206" s="140">
        <f ca="1">SUMIFS('F20-2024'!O:O,'F20-2024'!$D:$D,$D206,'F20-2024'!$E:$E,$E206,'F20-2024'!$F:$F,$F206)</f>
        <v>0</v>
      </c>
      <c r="P206" s="140">
        <f ca="1">SUMIFS('F20-2024'!P:P,'F20-2024'!$D:$D,$D206,'F20-2024'!$E:$E,$E206,'F20-2024'!$F:$F,$F206)</f>
        <v>0</v>
      </c>
      <c r="Q206" s="140">
        <f ca="1">SUMIFS('F20-2024'!Q:Q,'F20-2024'!$D:$D,$D206,'F20-2024'!$E:$E,$E206,'F20-2024'!$F:$F,$F206)</f>
        <v>0</v>
      </c>
      <c r="R206" s="140">
        <f ca="1">SUMIFS('F20-2024'!R:R,'F20-2024'!$D:$D,$D206,'F20-2024'!$E:$E,$E206,'F20-2024'!$F:$F,$F206)</f>
        <v>0</v>
      </c>
      <c r="S206" s="140">
        <f ca="1">SUMIFS('F20-2024'!S:S,'F20-2024'!$D:$D,$D206,'F20-2024'!$E:$E,$E206,'F20-2024'!$F:$F,$F206)</f>
        <v>0</v>
      </c>
      <c r="T206" s="140">
        <f ca="1">SUMIFS('F20-2024'!T:T,'F20-2024'!$D:$D,$D206,'F20-2024'!$E:$E,$E206,'F20-2024'!$F:$F,$F206)</f>
        <v>0</v>
      </c>
      <c r="U206" s="140">
        <f ca="1">SUMIFS('F20-2024'!U:U,'F20-2024'!$D:$D,$D206,'F20-2024'!$E:$E,$E206,'F20-2024'!$F:$F,$F206)</f>
        <v>0</v>
      </c>
      <c r="V206" s="140"/>
      <c r="W206" s="141" t="e">
        <f t="shared" ref="W206:AA206" ca="1" si="409">J206/$I206</f>
        <v>#DIV/0!</v>
      </c>
      <c r="X206" s="141" t="e">
        <f t="shared" ca="1" si="409"/>
        <v>#DIV/0!</v>
      </c>
      <c r="Y206" s="141" t="e">
        <f t="shared" ca="1" si="409"/>
        <v>#DIV/0!</v>
      </c>
      <c r="Z206" s="141" t="e">
        <f t="shared" ca="1" si="409"/>
        <v>#DIV/0!</v>
      </c>
      <c r="AA206" s="141" t="e">
        <f t="shared" ca="1" si="409"/>
        <v>#DIV/0!</v>
      </c>
      <c r="AB206" s="141"/>
      <c r="AC206" s="141" t="e">
        <f t="shared" ca="1" si="1"/>
        <v>#DIV/0!</v>
      </c>
      <c r="AD206" s="141" t="e">
        <f t="shared" ref="AD206:AI206" ca="1" si="410">O206/$I206</f>
        <v>#DIV/0!</v>
      </c>
      <c r="AE206" s="141" t="e">
        <f t="shared" ca="1" si="410"/>
        <v>#DIV/0!</v>
      </c>
      <c r="AF206" s="141" t="e">
        <f t="shared" ca="1" si="410"/>
        <v>#DIV/0!</v>
      </c>
      <c r="AG206" s="141" t="e">
        <f t="shared" ca="1" si="410"/>
        <v>#DIV/0!</v>
      </c>
      <c r="AH206" s="141" t="e">
        <f t="shared" ca="1" si="410"/>
        <v>#DIV/0!</v>
      </c>
      <c r="AI206" s="141" t="e">
        <f t="shared" ca="1" si="410"/>
        <v>#DIV/0!</v>
      </c>
      <c r="AJ206" s="140"/>
    </row>
    <row r="207" spans="1:36">
      <c r="A207" s="140" t="e">
        <f ca="1"/>
        <v>#NAME?</v>
      </c>
      <c r="B207" s="140" t="e">
        <f ca="1"/>
        <v>#NAME?</v>
      </c>
      <c r="C207" s="140" t="e">
        <f ca="1"/>
        <v>#NAME?</v>
      </c>
      <c r="D207" s="140" t="e">
        <f ca="1"/>
        <v>#NAME?</v>
      </c>
      <c r="E207" s="140" t="e">
        <f ca="1"/>
        <v>#NAME?</v>
      </c>
      <c r="F207" s="140" t="e">
        <f ca="1"/>
        <v>#NAME?</v>
      </c>
      <c r="G207" s="140" t="e">
        <f ca="1"/>
        <v>#NAME?</v>
      </c>
      <c r="H207" s="140"/>
      <c r="I207" s="140">
        <f ca="1">SUMIFS('F20-2024'!I:I,'F20-2024'!$D:$D,$D207,'F20-2024'!$E:$E,$E207,'F20-2024'!$F:$F,$F207)</f>
        <v>0</v>
      </c>
      <c r="J207" s="140">
        <f ca="1">SUMIFS('F20-2024'!J:J,'F20-2024'!$D:$D,$D207,'F20-2024'!$E:$E,$E207,'F20-2024'!$F:$F,$F207)</f>
        <v>0</v>
      </c>
      <c r="K207" s="140">
        <f ca="1">SUMIFS('F20-2024'!K:K,'F20-2024'!$D:$D,$D207,'F20-2024'!$E:$E,$E207,'F20-2024'!$F:$F,$F207)</f>
        <v>0</v>
      </c>
      <c r="L207" s="140">
        <f ca="1">SUMIFS('F20-2024'!L:L,'F20-2024'!$D:$D,$D207,'F20-2024'!$E:$E,$E207,'F20-2024'!$F:$F,$F207)</f>
        <v>0</v>
      </c>
      <c r="M207" s="140">
        <f ca="1">SUMIFS('F20-2024'!M:M,'F20-2024'!$D:$D,$D207,'F20-2024'!$E:$E,$E207,'F20-2024'!$F:$F,$F207)</f>
        <v>0</v>
      </c>
      <c r="N207" s="140">
        <f ca="1">SUMIFS('F20-2024'!N:N,'F20-2024'!$D:$D,$D207,'F20-2024'!$E:$E,$E207,'F20-2024'!$F:$F,$F207)</f>
        <v>0</v>
      </c>
      <c r="O207" s="140">
        <f ca="1">SUMIFS('F20-2024'!O:O,'F20-2024'!$D:$D,$D207,'F20-2024'!$E:$E,$E207,'F20-2024'!$F:$F,$F207)</f>
        <v>0</v>
      </c>
      <c r="P207" s="140">
        <f ca="1">SUMIFS('F20-2024'!P:P,'F20-2024'!$D:$D,$D207,'F20-2024'!$E:$E,$E207,'F20-2024'!$F:$F,$F207)</f>
        <v>0</v>
      </c>
      <c r="Q207" s="140">
        <f ca="1">SUMIFS('F20-2024'!Q:Q,'F20-2024'!$D:$D,$D207,'F20-2024'!$E:$E,$E207,'F20-2024'!$F:$F,$F207)</f>
        <v>0</v>
      </c>
      <c r="R207" s="140">
        <f ca="1">SUMIFS('F20-2024'!R:R,'F20-2024'!$D:$D,$D207,'F20-2024'!$E:$E,$E207,'F20-2024'!$F:$F,$F207)</f>
        <v>0</v>
      </c>
      <c r="S207" s="140">
        <f ca="1">SUMIFS('F20-2024'!S:S,'F20-2024'!$D:$D,$D207,'F20-2024'!$E:$E,$E207,'F20-2024'!$F:$F,$F207)</f>
        <v>0</v>
      </c>
      <c r="T207" s="140">
        <f ca="1">SUMIFS('F20-2024'!T:T,'F20-2024'!$D:$D,$D207,'F20-2024'!$E:$E,$E207,'F20-2024'!$F:$F,$F207)</f>
        <v>0</v>
      </c>
      <c r="U207" s="140">
        <f ca="1">SUMIFS('F20-2024'!U:U,'F20-2024'!$D:$D,$D207,'F20-2024'!$E:$E,$E207,'F20-2024'!$F:$F,$F207)</f>
        <v>0</v>
      </c>
      <c r="V207" s="140"/>
      <c r="W207" s="141" t="e">
        <f t="shared" ref="W207:AA207" ca="1" si="411">J207/$I207</f>
        <v>#DIV/0!</v>
      </c>
      <c r="X207" s="141" t="e">
        <f t="shared" ca="1" si="411"/>
        <v>#DIV/0!</v>
      </c>
      <c r="Y207" s="141" t="e">
        <f t="shared" ca="1" si="411"/>
        <v>#DIV/0!</v>
      </c>
      <c r="Z207" s="141" t="e">
        <f t="shared" ca="1" si="411"/>
        <v>#DIV/0!</v>
      </c>
      <c r="AA207" s="141" t="e">
        <f t="shared" ca="1" si="411"/>
        <v>#DIV/0!</v>
      </c>
      <c r="AB207" s="141"/>
      <c r="AC207" s="141" t="e">
        <f t="shared" ca="1" si="1"/>
        <v>#DIV/0!</v>
      </c>
      <c r="AD207" s="141" t="e">
        <f t="shared" ref="AD207:AI207" ca="1" si="412">O207/$I207</f>
        <v>#DIV/0!</v>
      </c>
      <c r="AE207" s="141" t="e">
        <f t="shared" ca="1" si="412"/>
        <v>#DIV/0!</v>
      </c>
      <c r="AF207" s="141" t="e">
        <f t="shared" ca="1" si="412"/>
        <v>#DIV/0!</v>
      </c>
      <c r="AG207" s="141" t="e">
        <f t="shared" ca="1" si="412"/>
        <v>#DIV/0!</v>
      </c>
      <c r="AH207" s="141" t="e">
        <f t="shared" ca="1" si="412"/>
        <v>#DIV/0!</v>
      </c>
      <c r="AI207" s="141" t="e">
        <f t="shared" ca="1" si="412"/>
        <v>#DIV/0!</v>
      </c>
      <c r="AJ207" s="140"/>
    </row>
    <row r="208" spans="1:36">
      <c r="A208" s="140" t="e">
        <f ca="1"/>
        <v>#NAME?</v>
      </c>
      <c r="B208" s="140" t="e">
        <f ca="1"/>
        <v>#NAME?</v>
      </c>
      <c r="C208" s="140" t="e">
        <f ca="1"/>
        <v>#NAME?</v>
      </c>
      <c r="D208" s="140" t="e">
        <f ca="1"/>
        <v>#NAME?</v>
      </c>
      <c r="E208" s="140" t="e">
        <f ca="1"/>
        <v>#NAME?</v>
      </c>
      <c r="F208" s="140" t="e">
        <f ca="1"/>
        <v>#NAME?</v>
      </c>
      <c r="G208" s="140" t="e">
        <f ca="1"/>
        <v>#NAME?</v>
      </c>
      <c r="H208" s="140"/>
      <c r="I208" s="140">
        <f ca="1">SUMIFS('F20-2024'!I:I,'F20-2024'!$D:$D,$D208,'F20-2024'!$E:$E,$E208,'F20-2024'!$F:$F,$F208)</f>
        <v>0</v>
      </c>
      <c r="J208" s="140">
        <f ca="1">SUMIFS('F20-2024'!J:J,'F20-2024'!$D:$D,$D208,'F20-2024'!$E:$E,$E208,'F20-2024'!$F:$F,$F208)</f>
        <v>0</v>
      </c>
      <c r="K208" s="140">
        <f ca="1">SUMIFS('F20-2024'!K:K,'F20-2024'!$D:$D,$D208,'F20-2024'!$E:$E,$E208,'F20-2024'!$F:$F,$F208)</f>
        <v>0</v>
      </c>
      <c r="L208" s="140">
        <f ca="1">SUMIFS('F20-2024'!L:L,'F20-2024'!$D:$D,$D208,'F20-2024'!$E:$E,$E208,'F20-2024'!$F:$F,$F208)</f>
        <v>0</v>
      </c>
      <c r="M208" s="140">
        <f ca="1">SUMIFS('F20-2024'!M:M,'F20-2024'!$D:$D,$D208,'F20-2024'!$E:$E,$E208,'F20-2024'!$F:$F,$F208)</f>
        <v>0</v>
      </c>
      <c r="N208" s="140">
        <f ca="1">SUMIFS('F20-2024'!N:N,'F20-2024'!$D:$D,$D208,'F20-2024'!$E:$E,$E208,'F20-2024'!$F:$F,$F208)</f>
        <v>0</v>
      </c>
      <c r="O208" s="140">
        <f ca="1">SUMIFS('F20-2024'!O:O,'F20-2024'!$D:$D,$D208,'F20-2024'!$E:$E,$E208,'F20-2024'!$F:$F,$F208)</f>
        <v>0</v>
      </c>
      <c r="P208" s="140">
        <f ca="1">SUMIFS('F20-2024'!P:P,'F20-2024'!$D:$D,$D208,'F20-2024'!$E:$E,$E208,'F20-2024'!$F:$F,$F208)</f>
        <v>0</v>
      </c>
      <c r="Q208" s="140">
        <f ca="1">SUMIFS('F20-2024'!Q:Q,'F20-2024'!$D:$D,$D208,'F20-2024'!$E:$E,$E208,'F20-2024'!$F:$F,$F208)</f>
        <v>0</v>
      </c>
      <c r="R208" s="140">
        <f ca="1">SUMIFS('F20-2024'!R:R,'F20-2024'!$D:$D,$D208,'F20-2024'!$E:$E,$E208,'F20-2024'!$F:$F,$F208)</f>
        <v>0</v>
      </c>
      <c r="S208" s="140">
        <f ca="1">SUMIFS('F20-2024'!S:S,'F20-2024'!$D:$D,$D208,'F20-2024'!$E:$E,$E208,'F20-2024'!$F:$F,$F208)</f>
        <v>0</v>
      </c>
      <c r="T208" s="140">
        <f ca="1">SUMIFS('F20-2024'!T:T,'F20-2024'!$D:$D,$D208,'F20-2024'!$E:$E,$E208,'F20-2024'!$F:$F,$F208)</f>
        <v>0</v>
      </c>
      <c r="U208" s="140">
        <f ca="1">SUMIFS('F20-2024'!U:U,'F20-2024'!$D:$D,$D208,'F20-2024'!$E:$E,$E208,'F20-2024'!$F:$F,$F208)</f>
        <v>0</v>
      </c>
      <c r="V208" s="140"/>
      <c r="W208" s="141" t="e">
        <f t="shared" ref="W208:AA208" ca="1" si="413">J208/$I208</f>
        <v>#DIV/0!</v>
      </c>
      <c r="X208" s="141" t="e">
        <f t="shared" ca="1" si="413"/>
        <v>#DIV/0!</v>
      </c>
      <c r="Y208" s="141" t="e">
        <f t="shared" ca="1" si="413"/>
        <v>#DIV/0!</v>
      </c>
      <c r="Z208" s="141" t="e">
        <f t="shared" ca="1" si="413"/>
        <v>#DIV/0!</v>
      </c>
      <c r="AA208" s="141" t="e">
        <f t="shared" ca="1" si="413"/>
        <v>#DIV/0!</v>
      </c>
      <c r="AB208" s="141"/>
      <c r="AC208" s="141" t="e">
        <f t="shared" ca="1" si="1"/>
        <v>#DIV/0!</v>
      </c>
      <c r="AD208" s="141" t="e">
        <f t="shared" ref="AD208:AI208" ca="1" si="414">O208/$I208</f>
        <v>#DIV/0!</v>
      </c>
      <c r="AE208" s="141" t="e">
        <f t="shared" ca="1" si="414"/>
        <v>#DIV/0!</v>
      </c>
      <c r="AF208" s="141" t="e">
        <f t="shared" ca="1" si="414"/>
        <v>#DIV/0!</v>
      </c>
      <c r="AG208" s="141" t="e">
        <f t="shared" ca="1" si="414"/>
        <v>#DIV/0!</v>
      </c>
      <c r="AH208" s="141" t="e">
        <f t="shared" ca="1" si="414"/>
        <v>#DIV/0!</v>
      </c>
      <c r="AI208" s="141" t="e">
        <f t="shared" ca="1" si="414"/>
        <v>#DIV/0!</v>
      </c>
      <c r="AJ208" s="140"/>
    </row>
    <row r="209" spans="1:36">
      <c r="A209" s="140" t="e">
        <f ca="1"/>
        <v>#NAME?</v>
      </c>
      <c r="B209" s="140" t="e">
        <f ca="1"/>
        <v>#NAME?</v>
      </c>
      <c r="C209" s="140" t="e">
        <f ca="1"/>
        <v>#NAME?</v>
      </c>
      <c r="D209" s="140" t="e">
        <f ca="1"/>
        <v>#NAME?</v>
      </c>
      <c r="E209" s="140" t="e">
        <f ca="1"/>
        <v>#NAME?</v>
      </c>
      <c r="F209" s="140" t="e">
        <f ca="1"/>
        <v>#NAME?</v>
      </c>
      <c r="G209" s="140" t="e">
        <f ca="1"/>
        <v>#NAME?</v>
      </c>
      <c r="H209" s="140"/>
      <c r="I209" s="140">
        <f ca="1">SUMIFS('F20-2024'!I:I,'F20-2024'!$D:$D,$D209,'F20-2024'!$E:$E,$E209,'F20-2024'!$F:$F,$F209)</f>
        <v>0</v>
      </c>
      <c r="J209" s="140">
        <f ca="1">SUMIFS('F20-2024'!J:J,'F20-2024'!$D:$D,$D209,'F20-2024'!$E:$E,$E209,'F20-2024'!$F:$F,$F209)</f>
        <v>0</v>
      </c>
      <c r="K209" s="140">
        <f ca="1">SUMIFS('F20-2024'!K:K,'F20-2024'!$D:$D,$D209,'F20-2024'!$E:$E,$E209,'F20-2024'!$F:$F,$F209)</f>
        <v>0</v>
      </c>
      <c r="L209" s="140">
        <f ca="1">SUMIFS('F20-2024'!L:L,'F20-2024'!$D:$D,$D209,'F20-2024'!$E:$E,$E209,'F20-2024'!$F:$F,$F209)</f>
        <v>0</v>
      </c>
      <c r="M209" s="140">
        <f ca="1">SUMIFS('F20-2024'!M:M,'F20-2024'!$D:$D,$D209,'F20-2024'!$E:$E,$E209,'F20-2024'!$F:$F,$F209)</f>
        <v>0</v>
      </c>
      <c r="N209" s="140">
        <f ca="1">SUMIFS('F20-2024'!N:N,'F20-2024'!$D:$D,$D209,'F20-2024'!$E:$E,$E209,'F20-2024'!$F:$F,$F209)</f>
        <v>0</v>
      </c>
      <c r="O209" s="140">
        <f ca="1">SUMIFS('F20-2024'!O:O,'F20-2024'!$D:$D,$D209,'F20-2024'!$E:$E,$E209,'F20-2024'!$F:$F,$F209)</f>
        <v>0</v>
      </c>
      <c r="P209" s="140">
        <f ca="1">SUMIFS('F20-2024'!P:P,'F20-2024'!$D:$D,$D209,'F20-2024'!$E:$E,$E209,'F20-2024'!$F:$F,$F209)</f>
        <v>0</v>
      </c>
      <c r="Q209" s="140">
        <f ca="1">SUMIFS('F20-2024'!Q:Q,'F20-2024'!$D:$D,$D209,'F20-2024'!$E:$E,$E209,'F20-2024'!$F:$F,$F209)</f>
        <v>0</v>
      </c>
      <c r="R209" s="140">
        <f ca="1">SUMIFS('F20-2024'!R:R,'F20-2024'!$D:$D,$D209,'F20-2024'!$E:$E,$E209,'F20-2024'!$F:$F,$F209)</f>
        <v>0</v>
      </c>
      <c r="S209" s="140">
        <f ca="1">SUMIFS('F20-2024'!S:S,'F20-2024'!$D:$D,$D209,'F20-2024'!$E:$E,$E209,'F20-2024'!$F:$F,$F209)</f>
        <v>0</v>
      </c>
      <c r="T209" s="140">
        <f ca="1">SUMIFS('F20-2024'!T:T,'F20-2024'!$D:$D,$D209,'F20-2024'!$E:$E,$E209,'F20-2024'!$F:$F,$F209)</f>
        <v>0</v>
      </c>
      <c r="U209" s="140">
        <f ca="1">SUMIFS('F20-2024'!U:U,'F20-2024'!$D:$D,$D209,'F20-2024'!$E:$E,$E209,'F20-2024'!$F:$F,$F209)</f>
        <v>0</v>
      </c>
      <c r="V209" s="140"/>
      <c r="W209" s="141" t="e">
        <f t="shared" ref="W209:AA209" ca="1" si="415">J209/$I209</f>
        <v>#DIV/0!</v>
      </c>
      <c r="X209" s="141" t="e">
        <f t="shared" ca="1" si="415"/>
        <v>#DIV/0!</v>
      </c>
      <c r="Y209" s="141" t="e">
        <f t="shared" ca="1" si="415"/>
        <v>#DIV/0!</v>
      </c>
      <c r="Z209" s="141" t="e">
        <f t="shared" ca="1" si="415"/>
        <v>#DIV/0!</v>
      </c>
      <c r="AA209" s="141" t="e">
        <f t="shared" ca="1" si="415"/>
        <v>#DIV/0!</v>
      </c>
      <c r="AB209" s="141"/>
      <c r="AC209" s="141" t="e">
        <f t="shared" ca="1" si="1"/>
        <v>#DIV/0!</v>
      </c>
      <c r="AD209" s="141" t="e">
        <f t="shared" ref="AD209:AI209" ca="1" si="416">O209/$I209</f>
        <v>#DIV/0!</v>
      </c>
      <c r="AE209" s="141" t="e">
        <f t="shared" ca="1" si="416"/>
        <v>#DIV/0!</v>
      </c>
      <c r="AF209" s="141" t="e">
        <f t="shared" ca="1" si="416"/>
        <v>#DIV/0!</v>
      </c>
      <c r="AG209" s="141" t="e">
        <f t="shared" ca="1" si="416"/>
        <v>#DIV/0!</v>
      </c>
      <c r="AH209" s="141" t="e">
        <f t="shared" ca="1" si="416"/>
        <v>#DIV/0!</v>
      </c>
      <c r="AI209" s="141" t="e">
        <f t="shared" ca="1" si="416"/>
        <v>#DIV/0!</v>
      </c>
      <c r="AJ209" s="140"/>
    </row>
    <row r="210" spans="1:36">
      <c r="A210" s="140" t="e">
        <f ca="1"/>
        <v>#NAME?</v>
      </c>
      <c r="B210" s="140" t="e">
        <f ca="1"/>
        <v>#NAME?</v>
      </c>
      <c r="C210" s="140" t="e">
        <f ca="1"/>
        <v>#NAME?</v>
      </c>
      <c r="D210" s="140" t="e">
        <f ca="1"/>
        <v>#NAME?</v>
      </c>
      <c r="E210" s="140" t="e">
        <f ca="1"/>
        <v>#NAME?</v>
      </c>
      <c r="F210" s="140" t="e">
        <f ca="1"/>
        <v>#NAME?</v>
      </c>
      <c r="G210" s="140" t="e">
        <f ca="1"/>
        <v>#NAME?</v>
      </c>
      <c r="H210" s="140"/>
      <c r="I210" s="140">
        <f ca="1">SUMIFS('F20-2024'!I:I,'F20-2024'!$D:$D,$D210,'F20-2024'!$E:$E,$E210,'F20-2024'!$F:$F,$F210)</f>
        <v>0</v>
      </c>
      <c r="J210" s="140">
        <f ca="1">SUMIFS('F20-2024'!J:J,'F20-2024'!$D:$D,$D210,'F20-2024'!$E:$E,$E210,'F20-2024'!$F:$F,$F210)</f>
        <v>0</v>
      </c>
      <c r="K210" s="140">
        <f ca="1">SUMIFS('F20-2024'!K:K,'F20-2024'!$D:$D,$D210,'F20-2024'!$E:$E,$E210,'F20-2024'!$F:$F,$F210)</f>
        <v>0</v>
      </c>
      <c r="L210" s="140">
        <f ca="1">SUMIFS('F20-2024'!L:L,'F20-2024'!$D:$D,$D210,'F20-2024'!$E:$E,$E210,'F20-2024'!$F:$F,$F210)</f>
        <v>0</v>
      </c>
      <c r="M210" s="140">
        <f ca="1">SUMIFS('F20-2024'!M:M,'F20-2024'!$D:$D,$D210,'F20-2024'!$E:$E,$E210,'F20-2024'!$F:$F,$F210)</f>
        <v>0</v>
      </c>
      <c r="N210" s="140">
        <f ca="1">SUMIFS('F20-2024'!N:N,'F20-2024'!$D:$D,$D210,'F20-2024'!$E:$E,$E210,'F20-2024'!$F:$F,$F210)</f>
        <v>0</v>
      </c>
      <c r="O210" s="140">
        <f ca="1">SUMIFS('F20-2024'!O:O,'F20-2024'!$D:$D,$D210,'F20-2024'!$E:$E,$E210,'F20-2024'!$F:$F,$F210)</f>
        <v>0</v>
      </c>
      <c r="P210" s="140">
        <f ca="1">SUMIFS('F20-2024'!P:P,'F20-2024'!$D:$D,$D210,'F20-2024'!$E:$E,$E210,'F20-2024'!$F:$F,$F210)</f>
        <v>0</v>
      </c>
      <c r="Q210" s="140">
        <f ca="1">SUMIFS('F20-2024'!Q:Q,'F20-2024'!$D:$D,$D210,'F20-2024'!$E:$E,$E210,'F20-2024'!$F:$F,$F210)</f>
        <v>0</v>
      </c>
      <c r="R210" s="140">
        <f ca="1">SUMIFS('F20-2024'!R:R,'F20-2024'!$D:$D,$D210,'F20-2024'!$E:$E,$E210,'F20-2024'!$F:$F,$F210)</f>
        <v>0</v>
      </c>
      <c r="S210" s="140">
        <f ca="1">SUMIFS('F20-2024'!S:S,'F20-2024'!$D:$D,$D210,'F20-2024'!$E:$E,$E210,'F20-2024'!$F:$F,$F210)</f>
        <v>0</v>
      </c>
      <c r="T210" s="140">
        <f ca="1">SUMIFS('F20-2024'!T:T,'F20-2024'!$D:$D,$D210,'F20-2024'!$E:$E,$E210,'F20-2024'!$F:$F,$F210)</f>
        <v>0</v>
      </c>
      <c r="U210" s="140">
        <f ca="1">SUMIFS('F20-2024'!U:U,'F20-2024'!$D:$D,$D210,'F20-2024'!$E:$E,$E210,'F20-2024'!$F:$F,$F210)</f>
        <v>0</v>
      </c>
      <c r="V210" s="140"/>
      <c r="W210" s="141" t="e">
        <f t="shared" ref="W210:AA210" ca="1" si="417">J210/$I210</f>
        <v>#DIV/0!</v>
      </c>
      <c r="X210" s="141" t="e">
        <f t="shared" ca="1" si="417"/>
        <v>#DIV/0!</v>
      </c>
      <c r="Y210" s="141" t="e">
        <f t="shared" ca="1" si="417"/>
        <v>#DIV/0!</v>
      </c>
      <c r="Z210" s="141" t="e">
        <f t="shared" ca="1" si="417"/>
        <v>#DIV/0!</v>
      </c>
      <c r="AA210" s="141" t="e">
        <f t="shared" ca="1" si="417"/>
        <v>#DIV/0!</v>
      </c>
      <c r="AB210" s="141"/>
      <c r="AC210" s="141" t="e">
        <f t="shared" ca="1" si="1"/>
        <v>#DIV/0!</v>
      </c>
      <c r="AD210" s="141" t="e">
        <f t="shared" ref="AD210:AI210" ca="1" si="418">O210/$I210</f>
        <v>#DIV/0!</v>
      </c>
      <c r="AE210" s="141" t="e">
        <f t="shared" ca="1" si="418"/>
        <v>#DIV/0!</v>
      </c>
      <c r="AF210" s="141" t="e">
        <f t="shared" ca="1" si="418"/>
        <v>#DIV/0!</v>
      </c>
      <c r="AG210" s="141" t="e">
        <f t="shared" ca="1" si="418"/>
        <v>#DIV/0!</v>
      </c>
      <c r="AH210" s="141" t="e">
        <f t="shared" ca="1" si="418"/>
        <v>#DIV/0!</v>
      </c>
      <c r="AI210" s="141" t="e">
        <f t="shared" ca="1" si="418"/>
        <v>#DIV/0!</v>
      </c>
      <c r="AJ210" s="140"/>
    </row>
    <row r="211" spans="1:36">
      <c r="A211" s="140" t="e">
        <f ca="1"/>
        <v>#NAME?</v>
      </c>
      <c r="B211" s="140" t="e">
        <f ca="1"/>
        <v>#NAME?</v>
      </c>
      <c r="C211" s="140" t="e">
        <f ca="1"/>
        <v>#NAME?</v>
      </c>
      <c r="D211" s="140" t="e">
        <f ca="1"/>
        <v>#NAME?</v>
      </c>
      <c r="E211" s="140" t="e">
        <f ca="1"/>
        <v>#NAME?</v>
      </c>
      <c r="F211" s="140" t="e">
        <f ca="1"/>
        <v>#NAME?</v>
      </c>
      <c r="G211" s="140" t="e">
        <f ca="1"/>
        <v>#NAME?</v>
      </c>
      <c r="H211" s="140"/>
      <c r="I211" s="140">
        <f ca="1">SUMIFS('F20-2024'!I:I,'F20-2024'!$D:$D,$D211,'F20-2024'!$E:$E,$E211,'F20-2024'!$F:$F,$F211)</f>
        <v>0</v>
      </c>
      <c r="J211" s="140">
        <f ca="1">SUMIFS('F20-2024'!J:J,'F20-2024'!$D:$D,$D211,'F20-2024'!$E:$E,$E211,'F20-2024'!$F:$F,$F211)</f>
        <v>0</v>
      </c>
      <c r="K211" s="140">
        <f ca="1">SUMIFS('F20-2024'!K:K,'F20-2024'!$D:$D,$D211,'F20-2024'!$E:$E,$E211,'F20-2024'!$F:$F,$F211)</f>
        <v>0</v>
      </c>
      <c r="L211" s="140">
        <f ca="1">SUMIFS('F20-2024'!L:L,'F20-2024'!$D:$D,$D211,'F20-2024'!$E:$E,$E211,'F20-2024'!$F:$F,$F211)</f>
        <v>0</v>
      </c>
      <c r="M211" s="140">
        <f ca="1">SUMIFS('F20-2024'!M:M,'F20-2024'!$D:$D,$D211,'F20-2024'!$E:$E,$E211,'F20-2024'!$F:$F,$F211)</f>
        <v>0</v>
      </c>
      <c r="N211" s="140">
        <f ca="1">SUMIFS('F20-2024'!N:N,'F20-2024'!$D:$D,$D211,'F20-2024'!$E:$E,$E211,'F20-2024'!$F:$F,$F211)</f>
        <v>0</v>
      </c>
      <c r="O211" s="140">
        <f ca="1">SUMIFS('F20-2024'!O:O,'F20-2024'!$D:$D,$D211,'F20-2024'!$E:$E,$E211,'F20-2024'!$F:$F,$F211)</f>
        <v>0</v>
      </c>
      <c r="P211" s="140">
        <f ca="1">SUMIFS('F20-2024'!P:P,'F20-2024'!$D:$D,$D211,'F20-2024'!$E:$E,$E211,'F20-2024'!$F:$F,$F211)</f>
        <v>0</v>
      </c>
      <c r="Q211" s="140">
        <f ca="1">SUMIFS('F20-2024'!Q:Q,'F20-2024'!$D:$D,$D211,'F20-2024'!$E:$E,$E211,'F20-2024'!$F:$F,$F211)</f>
        <v>0</v>
      </c>
      <c r="R211" s="140">
        <f ca="1">SUMIFS('F20-2024'!R:R,'F20-2024'!$D:$D,$D211,'F20-2024'!$E:$E,$E211,'F20-2024'!$F:$F,$F211)</f>
        <v>0</v>
      </c>
      <c r="S211" s="140">
        <f ca="1">SUMIFS('F20-2024'!S:S,'F20-2024'!$D:$D,$D211,'F20-2024'!$E:$E,$E211,'F20-2024'!$F:$F,$F211)</f>
        <v>0</v>
      </c>
      <c r="T211" s="140">
        <f ca="1">SUMIFS('F20-2024'!T:T,'F20-2024'!$D:$D,$D211,'F20-2024'!$E:$E,$E211,'F20-2024'!$F:$F,$F211)</f>
        <v>0</v>
      </c>
      <c r="U211" s="140">
        <f ca="1">SUMIFS('F20-2024'!U:U,'F20-2024'!$D:$D,$D211,'F20-2024'!$E:$E,$E211,'F20-2024'!$F:$F,$F211)</f>
        <v>0</v>
      </c>
      <c r="V211" s="140"/>
      <c r="W211" s="141" t="e">
        <f t="shared" ref="W211:AA211" ca="1" si="419">J211/$I211</f>
        <v>#DIV/0!</v>
      </c>
      <c r="X211" s="141" t="e">
        <f t="shared" ca="1" si="419"/>
        <v>#DIV/0!</v>
      </c>
      <c r="Y211" s="141" t="e">
        <f t="shared" ca="1" si="419"/>
        <v>#DIV/0!</v>
      </c>
      <c r="Z211" s="141" t="e">
        <f t="shared" ca="1" si="419"/>
        <v>#DIV/0!</v>
      </c>
      <c r="AA211" s="141" t="e">
        <f t="shared" ca="1" si="419"/>
        <v>#DIV/0!</v>
      </c>
      <c r="AB211" s="141"/>
      <c r="AC211" s="141" t="e">
        <f t="shared" ca="1" si="1"/>
        <v>#DIV/0!</v>
      </c>
      <c r="AD211" s="141" t="e">
        <f t="shared" ref="AD211:AI211" ca="1" si="420">O211/$I211</f>
        <v>#DIV/0!</v>
      </c>
      <c r="AE211" s="141" t="e">
        <f t="shared" ca="1" si="420"/>
        <v>#DIV/0!</v>
      </c>
      <c r="AF211" s="141" t="e">
        <f t="shared" ca="1" si="420"/>
        <v>#DIV/0!</v>
      </c>
      <c r="AG211" s="141" t="e">
        <f t="shared" ca="1" si="420"/>
        <v>#DIV/0!</v>
      </c>
      <c r="AH211" s="141" t="e">
        <f t="shared" ca="1" si="420"/>
        <v>#DIV/0!</v>
      </c>
      <c r="AI211" s="141" t="e">
        <f t="shared" ca="1" si="420"/>
        <v>#DIV/0!</v>
      </c>
      <c r="AJ211" s="140"/>
    </row>
    <row r="212" spans="1:36">
      <c r="A212" s="140" t="e">
        <f ca="1"/>
        <v>#NAME?</v>
      </c>
      <c r="B212" s="140" t="e">
        <f ca="1"/>
        <v>#NAME?</v>
      </c>
      <c r="C212" s="140" t="e">
        <f ca="1"/>
        <v>#NAME?</v>
      </c>
      <c r="D212" s="140" t="e">
        <f ca="1"/>
        <v>#NAME?</v>
      </c>
      <c r="E212" s="140" t="e">
        <f ca="1"/>
        <v>#NAME?</v>
      </c>
      <c r="F212" s="140" t="e">
        <f ca="1"/>
        <v>#NAME?</v>
      </c>
      <c r="G212" s="140" t="e">
        <f ca="1"/>
        <v>#NAME?</v>
      </c>
      <c r="H212" s="140"/>
      <c r="I212" s="140">
        <f ca="1">SUMIFS('F20-2024'!I:I,'F20-2024'!$D:$D,$D212,'F20-2024'!$E:$E,$E212,'F20-2024'!$F:$F,$F212)</f>
        <v>0</v>
      </c>
      <c r="J212" s="140">
        <f ca="1">SUMIFS('F20-2024'!J:J,'F20-2024'!$D:$D,$D212,'F20-2024'!$E:$E,$E212,'F20-2024'!$F:$F,$F212)</f>
        <v>0</v>
      </c>
      <c r="K212" s="140">
        <f ca="1">SUMIFS('F20-2024'!K:K,'F20-2024'!$D:$D,$D212,'F20-2024'!$E:$E,$E212,'F20-2024'!$F:$F,$F212)</f>
        <v>0</v>
      </c>
      <c r="L212" s="140">
        <f ca="1">SUMIFS('F20-2024'!L:L,'F20-2024'!$D:$D,$D212,'F20-2024'!$E:$E,$E212,'F20-2024'!$F:$F,$F212)</f>
        <v>0</v>
      </c>
      <c r="M212" s="140">
        <f ca="1">SUMIFS('F20-2024'!M:M,'F20-2024'!$D:$D,$D212,'F20-2024'!$E:$E,$E212,'F20-2024'!$F:$F,$F212)</f>
        <v>0</v>
      </c>
      <c r="N212" s="140">
        <f ca="1">SUMIFS('F20-2024'!N:N,'F20-2024'!$D:$D,$D212,'F20-2024'!$E:$E,$E212,'F20-2024'!$F:$F,$F212)</f>
        <v>0</v>
      </c>
      <c r="O212" s="140">
        <f ca="1">SUMIFS('F20-2024'!O:O,'F20-2024'!$D:$D,$D212,'F20-2024'!$E:$E,$E212,'F20-2024'!$F:$F,$F212)</f>
        <v>0</v>
      </c>
      <c r="P212" s="140">
        <f ca="1">SUMIFS('F20-2024'!P:P,'F20-2024'!$D:$D,$D212,'F20-2024'!$E:$E,$E212,'F20-2024'!$F:$F,$F212)</f>
        <v>0</v>
      </c>
      <c r="Q212" s="140">
        <f ca="1">SUMIFS('F20-2024'!Q:Q,'F20-2024'!$D:$D,$D212,'F20-2024'!$E:$E,$E212,'F20-2024'!$F:$F,$F212)</f>
        <v>0</v>
      </c>
      <c r="R212" s="140">
        <f ca="1">SUMIFS('F20-2024'!R:R,'F20-2024'!$D:$D,$D212,'F20-2024'!$E:$E,$E212,'F20-2024'!$F:$F,$F212)</f>
        <v>0</v>
      </c>
      <c r="S212" s="140">
        <f ca="1">SUMIFS('F20-2024'!S:S,'F20-2024'!$D:$D,$D212,'F20-2024'!$E:$E,$E212,'F20-2024'!$F:$F,$F212)</f>
        <v>0</v>
      </c>
      <c r="T212" s="140">
        <f ca="1">SUMIFS('F20-2024'!T:T,'F20-2024'!$D:$D,$D212,'F20-2024'!$E:$E,$E212,'F20-2024'!$F:$F,$F212)</f>
        <v>0</v>
      </c>
      <c r="U212" s="140">
        <f ca="1">SUMIFS('F20-2024'!U:U,'F20-2024'!$D:$D,$D212,'F20-2024'!$E:$E,$E212,'F20-2024'!$F:$F,$F212)</f>
        <v>0</v>
      </c>
      <c r="V212" s="140"/>
      <c r="W212" s="141" t="e">
        <f t="shared" ref="W212:AA212" ca="1" si="421">J212/$I212</f>
        <v>#DIV/0!</v>
      </c>
      <c r="X212" s="141" t="e">
        <f t="shared" ca="1" si="421"/>
        <v>#DIV/0!</v>
      </c>
      <c r="Y212" s="141" t="e">
        <f t="shared" ca="1" si="421"/>
        <v>#DIV/0!</v>
      </c>
      <c r="Z212" s="141" t="e">
        <f t="shared" ca="1" si="421"/>
        <v>#DIV/0!</v>
      </c>
      <c r="AA212" s="141" t="e">
        <f t="shared" ca="1" si="421"/>
        <v>#DIV/0!</v>
      </c>
      <c r="AB212" s="141"/>
      <c r="AC212" s="141" t="e">
        <f t="shared" ca="1" si="1"/>
        <v>#DIV/0!</v>
      </c>
      <c r="AD212" s="141" t="e">
        <f t="shared" ref="AD212:AI212" ca="1" si="422">O212/$I212</f>
        <v>#DIV/0!</v>
      </c>
      <c r="AE212" s="141" t="e">
        <f t="shared" ca="1" si="422"/>
        <v>#DIV/0!</v>
      </c>
      <c r="AF212" s="141" t="e">
        <f t="shared" ca="1" si="422"/>
        <v>#DIV/0!</v>
      </c>
      <c r="AG212" s="141" t="e">
        <f t="shared" ca="1" si="422"/>
        <v>#DIV/0!</v>
      </c>
      <c r="AH212" s="141" t="e">
        <f t="shared" ca="1" si="422"/>
        <v>#DIV/0!</v>
      </c>
      <c r="AI212" s="141" t="e">
        <f t="shared" ca="1" si="422"/>
        <v>#DIV/0!</v>
      </c>
      <c r="AJ212" s="140"/>
    </row>
    <row r="213" spans="1:36">
      <c r="A213" s="140" t="e">
        <f ca="1"/>
        <v>#NAME?</v>
      </c>
      <c r="B213" s="140" t="e">
        <f ca="1"/>
        <v>#NAME?</v>
      </c>
      <c r="C213" s="140" t="e">
        <f ca="1"/>
        <v>#NAME?</v>
      </c>
      <c r="D213" s="140" t="e">
        <f ca="1"/>
        <v>#NAME?</v>
      </c>
      <c r="E213" s="140" t="e">
        <f ca="1"/>
        <v>#NAME?</v>
      </c>
      <c r="F213" s="140" t="e">
        <f ca="1"/>
        <v>#NAME?</v>
      </c>
      <c r="G213" s="140" t="e">
        <f ca="1"/>
        <v>#NAME?</v>
      </c>
      <c r="H213" s="140"/>
      <c r="I213" s="140">
        <f ca="1">SUMIFS('F20-2024'!I:I,'F20-2024'!$D:$D,$D213,'F20-2024'!$E:$E,$E213,'F20-2024'!$F:$F,$F213)</f>
        <v>0</v>
      </c>
      <c r="J213" s="140">
        <f ca="1">SUMIFS('F20-2024'!J:J,'F20-2024'!$D:$D,$D213,'F20-2024'!$E:$E,$E213,'F20-2024'!$F:$F,$F213)</f>
        <v>0</v>
      </c>
      <c r="K213" s="140">
        <f ca="1">SUMIFS('F20-2024'!K:K,'F20-2024'!$D:$D,$D213,'F20-2024'!$E:$E,$E213,'F20-2024'!$F:$F,$F213)</f>
        <v>0</v>
      </c>
      <c r="L213" s="140">
        <f ca="1">SUMIFS('F20-2024'!L:L,'F20-2024'!$D:$D,$D213,'F20-2024'!$E:$E,$E213,'F20-2024'!$F:$F,$F213)</f>
        <v>0</v>
      </c>
      <c r="M213" s="140">
        <f ca="1">SUMIFS('F20-2024'!M:M,'F20-2024'!$D:$D,$D213,'F20-2024'!$E:$E,$E213,'F20-2024'!$F:$F,$F213)</f>
        <v>0</v>
      </c>
      <c r="N213" s="140">
        <f ca="1">SUMIFS('F20-2024'!N:N,'F20-2024'!$D:$D,$D213,'F20-2024'!$E:$E,$E213,'F20-2024'!$F:$F,$F213)</f>
        <v>0</v>
      </c>
      <c r="O213" s="140">
        <f ca="1">SUMIFS('F20-2024'!O:O,'F20-2024'!$D:$D,$D213,'F20-2024'!$E:$E,$E213,'F20-2024'!$F:$F,$F213)</f>
        <v>0</v>
      </c>
      <c r="P213" s="140">
        <f ca="1">SUMIFS('F20-2024'!P:P,'F20-2024'!$D:$D,$D213,'F20-2024'!$E:$E,$E213,'F20-2024'!$F:$F,$F213)</f>
        <v>0</v>
      </c>
      <c r="Q213" s="140">
        <f ca="1">SUMIFS('F20-2024'!Q:Q,'F20-2024'!$D:$D,$D213,'F20-2024'!$E:$E,$E213,'F20-2024'!$F:$F,$F213)</f>
        <v>0</v>
      </c>
      <c r="R213" s="140">
        <f ca="1">SUMIFS('F20-2024'!R:R,'F20-2024'!$D:$D,$D213,'F20-2024'!$E:$E,$E213,'F20-2024'!$F:$F,$F213)</f>
        <v>0</v>
      </c>
      <c r="S213" s="140">
        <f ca="1">SUMIFS('F20-2024'!S:S,'F20-2024'!$D:$D,$D213,'F20-2024'!$E:$E,$E213,'F20-2024'!$F:$F,$F213)</f>
        <v>0</v>
      </c>
      <c r="T213" s="140">
        <f ca="1">SUMIFS('F20-2024'!T:T,'F20-2024'!$D:$D,$D213,'F20-2024'!$E:$E,$E213,'F20-2024'!$F:$F,$F213)</f>
        <v>0</v>
      </c>
      <c r="U213" s="140">
        <f ca="1">SUMIFS('F20-2024'!U:U,'F20-2024'!$D:$D,$D213,'F20-2024'!$E:$E,$E213,'F20-2024'!$F:$F,$F213)</f>
        <v>0</v>
      </c>
      <c r="V213" s="140"/>
      <c r="W213" s="141" t="e">
        <f t="shared" ref="W213:AA213" ca="1" si="423">J213/$I213</f>
        <v>#DIV/0!</v>
      </c>
      <c r="X213" s="141" t="e">
        <f t="shared" ca="1" si="423"/>
        <v>#DIV/0!</v>
      </c>
      <c r="Y213" s="141" t="e">
        <f t="shared" ca="1" si="423"/>
        <v>#DIV/0!</v>
      </c>
      <c r="Z213" s="141" t="e">
        <f t="shared" ca="1" si="423"/>
        <v>#DIV/0!</v>
      </c>
      <c r="AA213" s="141" t="e">
        <f t="shared" ca="1" si="423"/>
        <v>#DIV/0!</v>
      </c>
      <c r="AB213" s="141"/>
      <c r="AC213" s="141" t="e">
        <f t="shared" ca="1" si="1"/>
        <v>#DIV/0!</v>
      </c>
      <c r="AD213" s="141" t="e">
        <f t="shared" ref="AD213:AI213" ca="1" si="424">O213/$I213</f>
        <v>#DIV/0!</v>
      </c>
      <c r="AE213" s="141" t="e">
        <f t="shared" ca="1" si="424"/>
        <v>#DIV/0!</v>
      </c>
      <c r="AF213" s="141" t="e">
        <f t="shared" ca="1" si="424"/>
        <v>#DIV/0!</v>
      </c>
      <c r="AG213" s="141" t="e">
        <f t="shared" ca="1" si="424"/>
        <v>#DIV/0!</v>
      </c>
      <c r="AH213" s="141" t="e">
        <f t="shared" ca="1" si="424"/>
        <v>#DIV/0!</v>
      </c>
      <c r="AI213" s="141" t="e">
        <f t="shared" ca="1" si="424"/>
        <v>#DIV/0!</v>
      </c>
      <c r="AJ213" s="140"/>
    </row>
    <row r="214" spans="1:36">
      <c r="A214" s="140" t="e">
        <f ca="1"/>
        <v>#NAME?</v>
      </c>
      <c r="B214" s="140" t="e">
        <f ca="1"/>
        <v>#NAME?</v>
      </c>
      <c r="C214" s="140" t="e">
        <f ca="1"/>
        <v>#NAME?</v>
      </c>
      <c r="D214" s="140" t="e">
        <f ca="1"/>
        <v>#NAME?</v>
      </c>
      <c r="E214" s="140" t="e">
        <f ca="1"/>
        <v>#NAME?</v>
      </c>
      <c r="F214" s="140" t="e">
        <f ca="1"/>
        <v>#NAME?</v>
      </c>
      <c r="G214" s="140" t="e">
        <f ca="1"/>
        <v>#NAME?</v>
      </c>
      <c r="H214" s="140"/>
      <c r="I214" s="140">
        <f ca="1">SUMIFS('F20-2024'!I:I,'F20-2024'!$D:$D,$D214,'F20-2024'!$E:$E,$E214,'F20-2024'!$F:$F,$F214)</f>
        <v>0</v>
      </c>
      <c r="J214" s="140">
        <f ca="1">SUMIFS('F20-2024'!J:J,'F20-2024'!$D:$D,$D214,'F20-2024'!$E:$E,$E214,'F20-2024'!$F:$F,$F214)</f>
        <v>0</v>
      </c>
      <c r="K214" s="140">
        <f ca="1">SUMIFS('F20-2024'!K:K,'F20-2024'!$D:$D,$D214,'F20-2024'!$E:$E,$E214,'F20-2024'!$F:$F,$F214)</f>
        <v>0</v>
      </c>
      <c r="L214" s="140">
        <f ca="1">SUMIFS('F20-2024'!L:L,'F20-2024'!$D:$D,$D214,'F20-2024'!$E:$E,$E214,'F20-2024'!$F:$F,$F214)</f>
        <v>0</v>
      </c>
      <c r="M214" s="140">
        <f ca="1">SUMIFS('F20-2024'!M:M,'F20-2024'!$D:$D,$D214,'F20-2024'!$E:$E,$E214,'F20-2024'!$F:$F,$F214)</f>
        <v>0</v>
      </c>
      <c r="N214" s="140">
        <f ca="1">SUMIFS('F20-2024'!N:N,'F20-2024'!$D:$D,$D214,'F20-2024'!$E:$E,$E214,'F20-2024'!$F:$F,$F214)</f>
        <v>0</v>
      </c>
      <c r="O214" s="140">
        <f ca="1">SUMIFS('F20-2024'!O:O,'F20-2024'!$D:$D,$D214,'F20-2024'!$E:$E,$E214,'F20-2024'!$F:$F,$F214)</f>
        <v>0</v>
      </c>
      <c r="P214" s="140">
        <f ca="1">SUMIFS('F20-2024'!P:P,'F20-2024'!$D:$D,$D214,'F20-2024'!$E:$E,$E214,'F20-2024'!$F:$F,$F214)</f>
        <v>0</v>
      </c>
      <c r="Q214" s="140">
        <f ca="1">SUMIFS('F20-2024'!Q:Q,'F20-2024'!$D:$D,$D214,'F20-2024'!$E:$E,$E214,'F20-2024'!$F:$F,$F214)</f>
        <v>0</v>
      </c>
      <c r="R214" s="140">
        <f ca="1">SUMIFS('F20-2024'!R:R,'F20-2024'!$D:$D,$D214,'F20-2024'!$E:$E,$E214,'F20-2024'!$F:$F,$F214)</f>
        <v>0</v>
      </c>
      <c r="S214" s="140">
        <f ca="1">SUMIFS('F20-2024'!S:S,'F20-2024'!$D:$D,$D214,'F20-2024'!$E:$E,$E214,'F20-2024'!$F:$F,$F214)</f>
        <v>0</v>
      </c>
      <c r="T214" s="140">
        <f ca="1">SUMIFS('F20-2024'!T:T,'F20-2024'!$D:$D,$D214,'F20-2024'!$E:$E,$E214,'F20-2024'!$F:$F,$F214)</f>
        <v>0</v>
      </c>
      <c r="U214" s="140">
        <f ca="1">SUMIFS('F20-2024'!U:U,'F20-2024'!$D:$D,$D214,'F20-2024'!$E:$E,$E214,'F20-2024'!$F:$F,$F214)</f>
        <v>0</v>
      </c>
      <c r="V214" s="140"/>
      <c r="W214" s="141" t="e">
        <f t="shared" ref="W214:AA214" ca="1" si="425">J214/$I214</f>
        <v>#DIV/0!</v>
      </c>
      <c r="X214" s="141" t="e">
        <f t="shared" ca="1" si="425"/>
        <v>#DIV/0!</v>
      </c>
      <c r="Y214" s="141" t="e">
        <f t="shared" ca="1" si="425"/>
        <v>#DIV/0!</v>
      </c>
      <c r="Z214" s="141" t="e">
        <f t="shared" ca="1" si="425"/>
        <v>#DIV/0!</v>
      </c>
      <c r="AA214" s="141" t="e">
        <f t="shared" ca="1" si="425"/>
        <v>#DIV/0!</v>
      </c>
      <c r="AB214" s="141"/>
      <c r="AC214" s="141" t="e">
        <f t="shared" ca="1" si="1"/>
        <v>#DIV/0!</v>
      </c>
      <c r="AD214" s="141" t="e">
        <f t="shared" ref="AD214:AI214" ca="1" si="426">O214/$I214</f>
        <v>#DIV/0!</v>
      </c>
      <c r="AE214" s="141" t="e">
        <f t="shared" ca="1" si="426"/>
        <v>#DIV/0!</v>
      </c>
      <c r="AF214" s="141" t="e">
        <f t="shared" ca="1" si="426"/>
        <v>#DIV/0!</v>
      </c>
      <c r="AG214" s="141" t="e">
        <f t="shared" ca="1" si="426"/>
        <v>#DIV/0!</v>
      </c>
      <c r="AH214" s="141" t="e">
        <f t="shared" ca="1" si="426"/>
        <v>#DIV/0!</v>
      </c>
      <c r="AI214" s="141" t="e">
        <f t="shared" ca="1" si="426"/>
        <v>#DIV/0!</v>
      </c>
      <c r="AJ214" s="140"/>
    </row>
    <row r="215" spans="1:36">
      <c r="A215" s="140" t="e">
        <f ca="1"/>
        <v>#NAME?</v>
      </c>
      <c r="B215" s="140" t="e">
        <f ca="1"/>
        <v>#NAME?</v>
      </c>
      <c r="C215" s="140" t="e">
        <f ca="1"/>
        <v>#NAME?</v>
      </c>
      <c r="D215" s="140" t="e">
        <f ca="1"/>
        <v>#NAME?</v>
      </c>
      <c r="E215" s="140" t="e">
        <f ca="1"/>
        <v>#NAME?</v>
      </c>
      <c r="F215" s="140" t="e">
        <f ca="1"/>
        <v>#NAME?</v>
      </c>
      <c r="G215" s="140" t="e">
        <f ca="1"/>
        <v>#NAME?</v>
      </c>
      <c r="H215" s="140"/>
      <c r="I215" s="140">
        <f ca="1">SUMIFS('F20-2024'!I:I,'F20-2024'!$D:$D,$D215,'F20-2024'!$E:$E,$E215,'F20-2024'!$F:$F,$F215)</f>
        <v>0</v>
      </c>
      <c r="J215" s="140">
        <f ca="1">SUMIFS('F20-2024'!J:J,'F20-2024'!$D:$D,$D215,'F20-2024'!$E:$E,$E215,'F20-2024'!$F:$F,$F215)</f>
        <v>0</v>
      </c>
      <c r="K215" s="140">
        <f ca="1">SUMIFS('F20-2024'!K:K,'F20-2024'!$D:$D,$D215,'F20-2024'!$E:$E,$E215,'F20-2024'!$F:$F,$F215)</f>
        <v>0</v>
      </c>
      <c r="L215" s="140">
        <f ca="1">SUMIFS('F20-2024'!L:L,'F20-2024'!$D:$D,$D215,'F20-2024'!$E:$E,$E215,'F20-2024'!$F:$F,$F215)</f>
        <v>0</v>
      </c>
      <c r="M215" s="140">
        <f ca="1">SUMIFS('F20-2024'!M:M,'F20-2024'!$D:$D,$D215,'F20-2024'!$E:$E,$E215,'F20-2024'!$F:$F,$F215)</f>
        <v>0</v>
      </c>
      <c r="N215" s="140">
        <f ca="1">SUMIFS('F20-2024'!N:N,'F20-2024'!$D:$D,$D215,'F20-2024'!$E:$E,$E215,'F20-2024'!$F:$F,$F215)</f>
        <v>0</v>
      </c>
      <c r="O215" s="140">
        <f ca="1">SUMIFS('F20-2024'!O:O,'F20-2024'!$D:$D,$D215,'F20-2024'!$E:$E,$E215,'F20-2024'!$F:$F,$F215)</f>
        <v>0</v>
      </c>
      <c r="P215" s="140">
        <f ca="1">SUMIFS('F20-2024'!P:P,'F20-2024'!$D:$D,$D215,'F20-2024'!$E:$E,$E215,'F20-2024'!$F:$F,$F215)</f>
        <v>0</v>
      </c>
      <c r="Q215" s="140">
        <f ca="1">SUMIFS('F20-2024'!Q:Q,'F20-2024'!$D:$D,$D215,'F20-2024'!$E:$E,$E215,'F20-2024'!$F:$F,$F215)</f>
        <v>0</v>
      </c>
      <c r="R215" s="140">
        <f ca="1">SUMIFS('F20-2024'!R:R,'F20-2024'!$D:$D,$D215,'F20-2024'!$E:$E,$E215,'F20-2024'!$F:$F,$F215)</f>
        <v>0</v>
      </c>
      <c r="S215" s="140">
        <f ca="1">SUMIFS('F20-2024'!S:S,'F20-2024'!$D:$D,$D215,'F20-2024'!$E:$E,$E215,'F20-2024'!$F:$F,$F215)</f>
        <v>0</v>
      </c>
      <c r="T215" s="140">
        <f ca="1">SUMIFS('F20-2024'!T:T,'F20-2024'!$D:$D,$D215,'F20-2024'!$E:$E,$E215,'F20-2024'!$F:$F,$F215)</f>
        <v>0</v>
      </c>
      <c r="U215" s="140">
        <f ca="1">SUMIFS('F20-2024'!U:U,'F20-2024'!$D:$D,$D215,'F20-2024'!$E:$E,$E215,'F20-2024'!$F:$F,$F215)</f>
        <v>0</v>
      </c>
      <c r="V215" s="140"/>
      <c r="W215" s="141" t="e">
        <f t="shared" ref="W215:AA215" ca="1" si="427">J215/$I215</f>
        <v>#DIV/0!</v>
      </c>
      <c r="X215" s="141" t="e">
        <f t="shared" ca="1" si="427"/>
        <v>#DIV/0!</v>
      </c>
      <c r="Y215" s="141" t="e">
        <f t="shared" ca="1" si="427"/>
        <v>#DIV/0!</v>
      </c>
      <c r="Z215" s="141" t="e">
        <f t="shared" ca="1" si="427"/>
        <v>#DIV/0!</v>
      </c>
      <c r="AA215" s="141" t="e">
        <f t="shared" ca="1" si="427"/>
        <v>#DIV/0!</v>
      </c>
      <c r="AB215" s="141"/>
      <c r="AC215" s="141" t="e">
        <f t="shared" ca="1" si="1"/>
        <v>#DIV/0!</v>
      </c>
      <c r="AD215" s="141" t="e">
        <f t="shared" ref="AD215:AI215" ca="1" si="428">O215/$I215</f>
        <v>#DIV/0!</v>
      </c>
      <c r="AE215" s="141" t="e">
        <f t="shared" ca="1" si="428"/>
        <v>#DIV/0!</v>
      </c>
      <c r="AF215" s="141" t="e">
        <f t="shared" ca="1" si="428"/>
        <v>#DIV/0!</v>
      </c>
      <c r="AG215" s="141" t="e">
        <f t="shared" ca="1" si="428"/>
        <v>#DIV/0!</v>
      </c>
      <c r="AH215" s="141" t="e">
        <f t="shared" ca="1" si="428"/>
        <v>#DIV/0!</v>
      </c>
      <c r="AI215" s="141" t="e">
        <f t="shared" ca="1" si="428"/>
        <v>#DIV/0!</v>
      </c>
      <c r="AJ215" s="140"/>
    </row>
    <row r="216" spans="1:36">
      <c r="A216" s="140" t="e">
        <f ca="1"/>
        <v>#NAME?</v>
      </c>
      <c r="B216" s="140" t="e">
        <f ca="1"/>
        <v>#NAME?</v>
      </c>
      <c r="C216" s="140" t="e">
        <f ca="1"/>
        <v>#NAME?</v>
      </c>
      <c r="D216" s="140" t="e">
        <f ca="1"/>
        <v>#NAME?</v>
      </c>
      <c r="E216" s="140" t="e">
        <f ca="1"/>
        <v>#NAME?</v>
      </c>
      <c r="F216" s="140" t="e">
        <f ca="1"/>
        <v>#NAME?</v>
      </c>
      <c r="G216" s="140" t="e">
        <f ca="1"/>
        <v>#NAME?</v>
      </c>
      <c r="H216" s="140"/>
      <c r="I216" s="140">
        <f ca="1">SUMIFS('F20-2024'!I:I,'F20-2024'!$D:$D,$D216,'F20-2024'!$E:$E,$E216,'F20-2024'!$F:$F,$F216)</f>
        <v>0</v>
      </c>
      <c r="J216" s="140">
        <f ca="1">SUMIFS('F20-2024'!J:J,'F20-2024'!$D:$D,$D216,'F20-2024'!$E:$E,$E216,'F20-2024'!$F:$F,$F216)</f>
        <v>0</v>
      </c>
      <c r="K216" s="140">
        <f ca="1">SUMIFS('F20-2024'!K:K,'F20-2024'!$D:$D,$D216,'F20-2024'!$E:$E,$E216,'F20-2024'!$F:$F,$F216)</f>
        <v>0</v>
      </c>
      <c r="L216" s="140">
        <f ca="1">SUMIFS('F20-2024'!L:L,'F20-2024'!$D:$D,$D216,'F20-2024'!$E:$E,$E216,'F20-2024'!$F:$F,$F216)</f>
        <v>0</v>
      </c>
      <c r="M216" s="140">
        <f ca="1">SUMIFS('F20-2024'!M:M,'F20-2024'!$D:$D,$D216,'F20-2024'!$E:$E,$E216,'F20-2024'!$F:$F,$F216)</f>
        <v>0</v>
      </c>
      <c r="N216" s="140">
        <f ca="1">SUMIFS('F20-2024'!N:N,'F20-2024'!$D:$D,$D216,'F20-2024'!$E:$E,$E216,'F20-2024'!$F:$F,$F216)</f>
        <v>0</v>
      </c>
      <c r="O216" s="140">
        <f ca="1">SUMIFS('F20-2024'!O:O,'F20-2024'!$D:$D,$D216,'F20-2024'!$E:$E,$E216,'F20-2024'!$F:$F,$F216)</f>
        <v>0</v>
      </c>
      <c r="P216" s="140">
        <f ca="1">SUMIFS('F20-2024'!P:P,'F20-2024'!$D:$D,$D216,'F20-2024'!$E:$E,$E216,'F20-2024'!$F:$F,$F216)</f>
        <v>0</v>
      </c>
      <c r="Q216" s="140">
        <f ca="1">SUMIFS('F20-2024'!Q:Q,'F20-2024'!$D:$D,$D216,'F20-2024'!$E:$E,$E216,'F20-2024'!$F:$F,$F216)</f>
        <v>0</v>
      </c>
      <c r="R216" s="140">
        <f ca="1">SUMIFS('F20-2024'!R:R,'F20-2024'!$D:$D,$D216,'F20-2024'!$E:$E,$E216,'F20-2024'!$F:$F,$F216)</f>
        <v>0</v>
      </c>
      <c r="S216" s="140">
        <f ca="1">SUMIFS('F20-2024'!S:S,'F20-2024'!$D:$D,$D216,'F20-2024'!$E:$E,$E216,'F20-2024'!$F:$F,$F216)</f>
        <v>0</v>
      </c>
      <c r="T216" s="140">
        <f ca="1">SUMIFS('F20-2024'!T:T,'F20-2024'!$D:$D,$D216,'F20-2024'!$E:$E,$E216,'F20-2024'!$F:$F,$F216)</f>
        <v>0</v>
      </c>
      <c r="U216" s="140">
        <f ca="1">SUMIFS('F20-2024'!U:U,'F20-2024'!$D:$D,$D216,'F20-2024'!$E:$E,$E216,'F20-2024'!$F:$F,$F216)</f>
        <v>0</v>
      </c>
      <c r="V216" s="140"/>
      <c r="W216" s="141" t="e">
        <f t="shared" ref="W216:AA216" ca="1" si="429">J216/$I216</f>
        <v>#DIV/0!</v>
      </c>
      <c r="X216" s="141" t="e">
        <f t="shared" ca="1" si="429"/>
        <v>#DIV/0!</v>
      </c>
      <c r="Y216" s="141" t="e">
        <f t="shared" ca="1" si="429"/>
        <v>#DIV/0!</v>
      </c>
      <c r="Z216" s="141" t="e">
        <f t="shared" ca="1" si="429"/>
        <v>#DIV/0!</v>
      </c>
      <c r="AA216" s="141" t="e">
        <f t="shared" ca="1" si="429"/>
        <v>#DIV/0!</v>
      </c>
      <c r="AB216" s="141"/>
      <c r="AC216" s="141" t="e">
        <f t="shared" ca="1" si="1"/>
        <v>#DIV/0!</v>
      </c>
      <c r="AD216" s="141" t="e">
        <f t="shared" ref="AD216:AI216" ca="1" si="430">O216/$I216</f>
        <v>#DIV/0!</v>
      </c>
      <c r="AE216" s="141" t="e">
        <f t="shared" ca="1" si="430"/>
        <v>#DIV/0!</v>
      </c>
      <c r="AF216" s="141" t="e">
        <f t="shared" ca="1" si="430"/>
        <v>#DIV/0!</v>
      </c>
      <c r="AG216" s="141" t="e">
        <f t="shared" ca="1" si="430"/>
        <v>#DIV/0!</v>
      </c>
      <c r="AH216" s="141" t="e">
        <f t="shared" ca="1" si="430"/>
        <v>#DIV/0!</v>
      </c>
      <c r="AI216" s="141" t="e">
        <f t="shared" ca="1" si="430"/>
        <v>#DIV/0!</v>
      </c>
      <c r="AJ216" s="140"/>
    </row>
    <row r="217" spans="1:36">
      <c r="A217" s="140" t="e">
        <f ca="1"/>
        <v>#NAME?</v>
      </c>
      <c r="B217" s="140" t="e">
        <f ca="1"/>
        <v>#NAME?</v>
      </c>
      <c r="C217" s="140" t="e">
        <f ca="1"/>
        <v>#NAME?</v>
      </c>
      <c r="D217" s="140" t="e">
        <f ca="1"/>
        <v>#NAME?</v>
      </c>
      <c r="E217" s="140" t="e">
        <f ca="1"/>
        <v>#NAME?</v>
      </c>
      <c r="F217" s="140" t="e">
        <f ca="1"/>
        <v>#NAME?</v>
      </c>
      <c r="G217" s="140" t="e">
        <f ca="1"/>
        <v>#NAME?</v>
      </c>
      <c r="H217" s="140"/>
      <c r="I217" s="140">
        <f ca="1">SUMIFS('F20-2024'!I:I,'F20-2024'!$D:$D,$D217,'F20-2024'!$E:$E,$E217,'F20-2024'!$F:$F,$F217)</f>
        <v>0</v>
      </c>
      <c r="J217" s="140">
        <f ca="1">SUMIFS('F20-2024'!J:J,'F20-2024'!$D:$D,$D217,'F20-2024'!$E:$E,$E217,'F20-2024'!$F:$F,$F217)</f>
        <v>0</v>
      </c>
      <c r="K217" s="140">
        <f ca="1">SUMIFS('F20-2024'!K:K,'F20-2024'!$D:$D,$D217,'F20-2024'!$E:$E,$E217,'F20-2024'!$F:$F,$F217)</f>
        <v>0</v>
      </c>
      <c r="L217" s="140">
        <f ca="1">SUMIFS('F20-2024'!L:L,'F20-2024'!$D:$D,$D217,'F20-2024'!$E:$E,$E217,'F20-2024'!$F:$F,$F217)</f>
        <v>0</v>
      </c>
      <c r="M217" s="140">
        <f ca="1">SUMIFS('F20-2024'!M:M,'F20-2024'!$D:$D,$D217,'F20-2024'!$E:$E,$E217,'F20-2024'!$F:$F,$F217)</f>
        <v>0</v>
      </c>
      <c r="N217" s="140">
        <f ca="1">SUMIFS('F20-2024'!N:N,'F20-2024'!$D:$D,$D217,'F20-2024'!$E:$E,$E217,'F20-2024'!$F:$F,$F217)</f>
        <v>0</v>
      </c>
      <c r="O217" s="140">
        <f ca="1">SUMIFS('F20-2024'!O:O,'F20-2024'!$D:$D,$D217,'F20-2024'!$E:$E,$E217,'F20-2024'!$F:$F,$F217)</f>
        <v>0</v>
      </c>
      <c r="P217" s="140">
        <f ca="1">SUMIFS('F20-2024'!P:P,'F20-2024'!$D:$D,$D217,'F20-2024'!$E:$E,$E217,'F20-2024'!$F:$F,$F217)</f>
        <v>0</v>
      </c>
      <c r="Q217" s="140">
        <f ca="1">SUMIFS('F20-2024'!Q:Q,'F20-2024'!$D:$D,$D217,'F20-2024'!$E:$E,$E217,'F20-2024'!$F:$F,$F217)</f>
        <v>0</v>
      </c>
      <c r="R217" s="140">
        <f ca="1">SUMIFS('F20-2024'!R:R,'F20-2024'!$D:$D,$D217,'F20-2024'!$E:$E,$E217,'F20-2024'!$F:$F,$F217)</f>
        <v>0</v>
      </c>
      <c r="S217" s="140">
        <f ca="1">SUMIFS('F20-2024'!S:S,'F20-2024'!$D:$D,$D217,'F20-2024'!$E:$E,$E217,'F20-2024'!$F:$F,$F217)</f>
        <v>0</v>
      </c>
      <c r="T217" s="140">
        <f ca="1">SUMIFS('F20-2024'!T:T,'F20-2024'!$D:$D,$D217,'F20-2024'!$E:$E,$E217,'F20-2024'!$F:$F,$F217)</f>
        <v>0</v>
      </c>
      <c r="U217" s="140">
        <f ca="1">SUMIFS('F20-2024'!U:U,'F20-2024'!$D:$D,$D217,'F20-2024'!$E:$E,$E217,'F20-2024'!$F:$F,$F217)</f>
        <v>0</v>
      </c>
      <c r="V217" s="140"/>
      <c r="W217" s="141" t="e">
        <f t="shared" ref="W217:AA217" ca="1" si="431">J217/$I217</f>
        <v>#DIV/0!</v>
      </c>
      <c r="X217" s="141" t="e">
        <f t="shared" ca="1" si="431"/>
        <v>#DIV/0!</v>
      </c>
      <c r="Y217" s="141" t="e">
        <f t="shared" ca="1" si="431"/>
        <v>#DIV/0!</v>
      </c>
      <c r="Z217" s="141" t="e">
        <f t="shared" ca="1" si="431"/>
        <v>#DIV/0!</v>
      </c>
      <c r="AA217" s="141" t="e">
        <f t="shared" ca="1" si="431"/>
        <v>#DIV/0!</v>
      </c>
      <c r="AB217" s="141"/>
      <c r="AC217" s="141" t="e">
        <f t="shared" ca="1" si="1"/>
        <v>#DIV/0!</v>
      </c>
      <c r="AD217" s="141" t="e">
        <f t="shared" ref="AD217:AI217" ca="1" si="432">O217/$I217</f>
        <v>#DIV/0!</v>
      </c>
      <c r="AE217" s="141" t="e">
        <f t="shared" ca="1" si="432"/>
        <v>#DIV/0!</v>
      </c>
      <c r="AF217" s="141" t="e">
        <f t="shared" ca="1" si="432"/>
        <v>#DIV/0!</v>
      </c>
      <c r="AG217" s="141" t="e">
        <f t="shared" ca="1" si="432"/>
        <v>#DIV/0!</v>
      </c>
      <c r="AH217" s="141" t="e">
        <f t="shared" ca="1" si="432"/>
        <v>#DIV/0!</v>
      </c>
      <c r="AI217" s="141" t="e">
        <f t="shared" ca="1" si="432"/>
        <v>#DIV/0!</v>
      </c>
      <c r="AJ217" s="140"/>
    </row>
    <row r="218" spans="1:36">
      <c r="A218" s="140" t="e">
        <f ca="1"/>
        <v>#NAME?</v>
      </c>
      <c r="B218" s="140" t="e">
        <f ca="1"/>
        <v>#NAME?</v>
      </c>
      <c r="C218" s="140" t="e">
        <f ca="1"/>
        <v>#NAME?</v>
      </c>
      <c r="D218" s="140" t="e">
        <f ca="1"/>
        <v>#NAME?</v>
      </c>
      <c r="E218" s="140" t="e">
        <f ca="1"/>
        <v>#NAME?</v>
      </c>
      <c r="F218" s="140" t="e">
        <f ca="1"/>
        <v>#NAME?</v>
      </c>
      <c r="G218" s="140" t="e">
        <f ca="1"/>
        <v>#NAME?</v>
      </c>
      <c r="H218" s="140"/>
      <c r="I218" s="140">
        <f ca="1">SUMIFS('F20-2024'!I:I,'F20-2024'!$D:$D,$D218,'F20-2024'!$E:$E,$E218,'F20-2024'!$F:$F,$F218)</f>
        <v>0</v>
      </c>
      <c r="J218" s="140">
        <f ca="1">SUMIFS('F20-2024'!J:J,'F20-2024'!$D:$D,$D218,'F20-2024'!$E:$E,$E218,'F20-2024'!$F:$F,$F218)</f>
        <v>0</v>
      </c>
      <c r="K218" s="140">
        <f ca="1">SUMIFS('F20-2024'!K:K,'F20-2024'!$D:$D,$D218,'F20-2024'!$E:$E,$E218,'F20-2024'!$F:$F,$F218)</f>
        <v>0</v>
      </c>
      <c r="L218" s="140">
        <f ca="1">SUMIFS('F20-2024'!L:L,'F20-2024'!$D:$D,$D218,'F20-2024'!$E:$E,$E218,'F20-2024'!$F:$F,$F218)</f>
        <v>0</v>
      </c>
      <c r="M218" s="140">
        <f ca="1">SUMIFS('F20-2024'!M:M,'F20-2024'!$D:$D,$D218,'F20-2024'!$E:$E,$E218,'F20-2024'!$F:$F,$F218)</f>
        <v>0</v>
      </c>
      <c r="N218" s="140">
        <f ca="1">SUMIFS('F20-2024'!N:N,'F20-2024'!$D:$D,$D218,'F20-2024'!$E:$E,$E218,'F20-2024'!$F:$F,$F218)</f>
        <v>0</v>
      </c>
      <c r="O218" s="140">
        <f ca="1">SUMIFS('F20-2024'!O:O,'F20-2024'!$D:$D,$D218,'F20-2024'!$E:$E,$E218,'F20-2024'!$F:$F,$F218)</f>
        <v>0</v>
      </c>
      <c r="P218" s="140">
        <f ca="1">SUMIFS('F20-2024'!P:P,'F20-2024'!$D:$D,$D218,'F20-2024'!$E:$E,$E218,'F20-2024'!$F:$F,$F218)</f>
        <v>0</v>
      </c>
      <c r="Q218" s="140">
        <f ca="1">SUMIFS('F20-2024'!Q:Q,'F20-2024'!$D:$D,$D218,'F20-2024'!$E:$E,$E218,'F20-2024'!$F:$F,$F218)</f>
        <v>0</v>
      </c>
      <c r="R218" s="140">
        <f ca="1">SUMIFS('F20-2024'!R:R,'F20-2024'!$D:$D,$D218,'F20-2024'!$E:$E,$E218,'F20-2024'!$F:$F,$F218)</f>
        <v>0</v>
      </c>
      <c r="S218" s="140">
        <f ca="1">SUMIFS('F20-2024'!S:S,'F20-2024'!$D:$D,$D218,'F20-2024'!$E:$E,$E218,'F20-2024'!$F:$F,$F218)</f>
        <v>0</v>
      </c>
      <c r="T218" s="140">
        <f ca="1">SUMIFS('F20-2024'!T:T,'F20-2024'!$D:$D,$D218,'F20-2024'!$E:$E,$E218,'F20-2024'!$F:$F,$F218)</f>
        <v>0</v>
      </c>
      <c r="U218" s="140">
        <f ca="1">SUMIFS('F20-2024'!U:U,'F20-2024'!$D:$D,$D218,'F20-2024'!$E:$E,$E218,'F20-2024'!$F:$F,$F218)</f>
        <v>0</v>
      </c>
      <c r="V218" s="140"/>
      <c r="W218" s="141" t="e">
        <f t="shared" ref="W218:AA218" ca="1" si="433">J218/$I218</f>
        <v>#DIV/0!</v>
      </c>
      <c r="X218" s="141" t="e">
        <f t="shared" ca="1" si="433"/>
        <v>#DIV/0!</v>
      </c>
      <c r="Y218" s="141" t="e">
        <f t="shared" ca="1" si="433"/>
        <v>#DIV/0!</v>
      </c>
      <c r="Z218" s="141" t="e">
        <f t="shared" ca="1" si="433"/>
        <v>#DIV/0!</v>
      </c>
      <c r="AA218" s="141" t="e">
        <f t="shared" ca="1" si="433"/>
        <v>#DIV/0!</v>
      </c>
      <c r="AB218" s="141"/>
      <c r="AC218" s="141" t="e">
        <f t="shared" ca="1" si="1"/>
        <v>#DIV/0!</v>
      </c>
      <c r="AD218" s="141" t="e">
        <f t="shared" ref="AD218:AI218" ca="1" si="434">O218/$I218</f>
        <v>#DIV/0!</v>
      </c>
      <c r="AE218" s="141" t="e">
        <f t="shared" ca="1" si="434"/>
        <v>#DIV/0!</v>
      </c>
      <c r="AF218" s="141" t="e">
        <f t="shared" ca="1" si="434"/>
        <v>#DIV/0!</v>
      </c>
      <c r="AG218" s="141" t="e">
        <f t="shared" ca="1" si="434"/>
        <v>#DIV/0!</v>
      </c>
      <c r="AH218" s="141" t="e">
        <f t="shared" ca="1" si="434"/>
        <v>#DIV/0!</v>
      </c>
      <c r="AI218" s="141" t="e">
        <f t="shared" ca="1" si="434"/>
        <v>#DIV/0!</v>
      </c>
      <c r="AJ218" s="140"/>
    </row>
    <row r="219" spans="1:36">
      <c r="A219" s="140" t="e">
        <f ca="1"/>
        <v>#NAME?</v>
      </c>
      <c r="B219" s="140" t="e">
        <f ca="1"/>
        <v>#NAME?</v>
      </c>
      <c r="C219" s="140" t="e">
        <f ca="1"/>
        <v>#NAME?</v>
      </c>
      <c r="D219" s="140" t="e">
        <f ca="1"/>
        <v>#NAME?</v>
      </c>
      <c r="E219" s="140" t="e">
        <f ca="1"/>
        <v>#NAME?</v>
      </c>
      <c r="F219" s="140" t="e">
        <f ca="1"/>
        <v>#NAME?</v>
      </c>
      <c r="G219" s="140" t="e">
        <f ca="1"/>
        <v>#NAME?</v>
      </c>
      <c r="H219" s="140"/>
      <c r="I219" s="140">
        <f ca="1">SUMIFS('F20-2024'!I:I,'F20-2024'!$D:$D,$D219,'F20-2024'!$E:$E,$E219,'F20-2024'!$F:$F,$F219)</f>
        <v>0</v>
      </c>
      <c r="J219" s="140">
        <f ca="1">SUMIFS('F20-2024'!J:J,'F20-2024'!$D:$D,$D219,'F20-2024'!$E:$E,$E219,'F20-2024'!$F:$F,$F219)</f>
        <v>0</v>
      </c>
      <c r="K219" s="140">
        <f ca="1">SUMIFS('F20-2024'!K:K,'F20-2024'!$D:$D,$D219,'F20-2024'!$E:$E,$E219,'F20-2024'!$F:$F,$F219)</f>
        <v>0</v>
      </c>
      <c r="L219" s="140">
        <f ca="1">SUMIFS('F20-2024'!L:L,'F20-2024'!$D:$D,$D219,'F20-2024'!$E:$E,$E219,'F20-2024'!$F:$F,$F219)</f>
        <v>0</v>
      </c>
      <c r="M219" s="140">
        <f ca="1">SUMIFS('F20-2024'!M:M,'F20-2024'!$D:$D,$D219,'F20-2024'!$E:$E,$E219,'F20-2024'!$F:$F,$F219)</f>
        <v>0</v>
      </c>
      <c r="N219" s="140">
        <f ca="1">SUMIFS('F20-2024'!N:N,'F20-2024'!$D:$D,$D219,'F20-2024'!$E:$E,$E219,'F20-2024'!$F:$F,$F219)</f>
        <v>0</v>
      </c>
      <c r="O219" s="140">
        <f ca="1">SUMIFS('F20-2024'!O:O,'F20-2024'!$D:$D,$D219,'F20-2024'!$E:$E,$E219,'F20-2024'!$F:$F,$F219)</f>
        <v>0</v>
      </c>
      <c r="P219" s="140">
        <f ca="1">SUMIFS('F20-2024'!P:P,'F20-2024'!$D:$D,$D219,'F20-2024'!$E:$E,$E219,'F20-2024'!$F:$F,$F219)</f>
        <v>0</v>
      </c>
      <c r="Q219" s="140">
        <f ca="1">SUMIFS('F20-2024'!Q:Q,'F20-2024'!$D:$D,$D219,'F20-2024'!$E:$E,$E219,'F20-2024'!$F:$F,$F219)</f>
        <v>0</v>
      </c>
      <c r="R219" s="140">
        <f ca="1">SUMIFS('F20-2024'!R:R,'F20-2024'!$D:$D,$D219,'F20-2024'!$E:$E,$E219,'F20-2024'!$F:$F,$F219)</f>
        <v>0</v>
      </c>
      <c r="S219" s="140">
        <f ca="1">SUMIFS('F20-2024'!S:S,'F20-2024'!$D:$D,$D219,'F20-2024'!$E:$E,$E219,'F20-2024'!$F:$F,$F219)</f>
        <v>0</v>
      </c>
      <c r="T219" s="140">
        <f ca="1">SUMIFS('F20-2024'!T:T,'F20-2024'!$D:$D,$D219,'F20-2024'!$E:$E,$E219,'F20-2024'!$F:$F,$F219)</f>
        <v>0</v>
      </c>
      <c r="U219" s="140">
        <f ca="1">SUMIFS('F20-2024'!U:U,'F20-2024'!$D:$D,$D219,'F20-2024'!$E:$E,$E219,'F20-2024'!$F:$F,$F219)</f>
        <v>0</v>
      </c>
      <c r="V219" s="140"/>
      <c r="W219" s="141" t="e">
        <f t="shared" ref="W219:AA219" ca="1" si="435">J219/$I219</f>
        <v>#DIV/0!</v>
      </c>
      <c r="X219" s="141" t="e">
        <f t="shared" ca="1" si="435"/>
        <v>#DIV/0!</v>
      </c>
      <c r="Y219" s="141" t="e">
        <f t="shared" ca="1" si="435"/>
        <v>#DIV/0!</v>
      </c>
      <c r="Z219" s="141" t="e">
        <f t="shared" ca="1" si="435"/>
        <v>#DIV/0!</v>
      </c>
      <c r="AA219" s="141" t="e">
        <f t="shared" ca="1" si="435"/>
        <v>#DIV/0!</v>
      </c>
      <c r="AB219" s="141"/>
      <c r="AC219" s="141" t="e">
        <f t="shared" ca="1" si="1"/>
        <v>#DIV/0!</v>
      </c>
      <c r="AD219" s="141" t="e">
        <f t="shared" ref="AD219:AI219" ca="1" si="436">O219/$I219</f>
        <v>#DIV/0!</v>
      </c>
      <c r="AE219" s="141" t="e">
        <f t="shared" ca="1" si="436"/>
        <v>#DIV/0!</v>
      </c>
      <c r="AF219" s="141" t="e">
        <f t="shared" ca="1" si="436"/>
        <v>#DIV/0!</v>
      </c>
      <c r="AG219" s="141" t="e">
        <f t="shared" ca="1" si="436"/>
        <v>#DIV/0!</v>
      </c>
      <c r="AH219" s="141" t="e">
        <f t="shared" ca="1" si="436"/>
        <v>#DIV/0!</v>
      </c>
      <c r="AI219" s="141" t="e">
        <f t="shared" ca="1" si="436"/>
        <v>#DIV/0!</v>
      </c>
      <c r="AJ219" s="140"/>
    </row>
    <row r="220" spans="1:36">
      <c r="A220" s="140" t="e">
        <f ca="1"/>
        <v>#NAME?</v>
      </c>
      <c r="B220" s="140" t="e">
        <f ca="1"/>
        <v>#NAME?</v>
      </c>
      <c r="C220" s="140" t="e">
        <f ca="1"/>
        <v>#NAME?</v>
      </c>
      <c r="D220" s="140" t="e">
        <f ca="1"/>
        <v>#NAME?</v>
      </c>
      <c r="E220" s="140" t="e">
        <f ca="1"/>
        <v>#NAME?</v>
      </c>
      <c r="F220" s="140" t="e">
        <f ca="1"/>
        <v>#NAME?</v>
      </c>
      <c r="G220" s="140" t="e">
        <f ca="1"/>
        <v>#NAME?</v>
      </c>
      <c r="H220" s="140"/>
      <c r="I220" s="140">
        <f ca="1">SUMIFS('F20-2024'!I:I,'F20-2024'!$D:$D,$D220,'F20-2024'!$E:$E,$E220,'F20-2024'!$F:$F,$F220)</f>
        <v>0</v>
      </c>
      <c r="J220" s="140">
        <f ca="1">SUMIFS('F20-2024'!J:J,'F20-2024'!$D:$D,$D220,'F20-2024'!$E:$E,$E220,'F20-2024'!$F:$F,$F220)</f>
        <v>0</v>
      </c>
      <c r="K220" s="140">
        <f ca="1">SUMIFS('F20-2024'!K:K,'F20-2024'!$D:$D,$D220,'F20-2024'!$E:$E,$E220,'F20-2024'!$F:$F,$F220)</f>
        <v>0</v>
      </c>
      <c r="L220" s="140">
        <f ca="1">SUMIFS('F20-2024'!L:L,'F20-2024'!$D:$D,$D220,'F20-2024'!$E:$E,$E220,'F20-2024'!$F:$F,$F220)</f>
        <v>0</v>
      </c>
      <c r="M220" s="140">
        <f ca="1">SUMIFS('F20-2024'!M:M,'F20-2024'!$D:$D,$D220,'F20-2024'!$E:$E,$E220,'F20-2024'!$F:$F,$F220)</f>
        <v>0</v>
      </c>
      <c r="N220" s="140">
        <f ca="1">SUMIFS('F20-2024'!N:N,'F20-2024'!$D:$D,$D220,'F20-2024'!$E:$E,$E220,'F20-2024'!$F:$F,$F220)</f>
        <v>0</v>
      </c>
      <c r="O220" s="140">
        <f ca="1">SUMIFS('F20-2024'!O:O,'F20-2024'!$D:$D,$D220,'F20-2024'!$E:$E,$E220,'F20-2024'!$F:$F,$F220)</f>
        <v>0</v>
      </c>
      <c r="P220" s="140">
        <f ca="1">SUMIFS('F20-2024'!P:P,'F20-2024'!$D:$D,$D220,'F20-2024'!$E:$E,$E220,'F20-2024'!$F:$F,$F220)</f>
        <v>0</v>
      </c>
      <c r="Q220" s="140">
        <f ca="1">SUMIFS('F20-2024'!Q:Q,'F20-2024'!$D:$D,$D220,'F20-2024'!$E:$E,$E220,'F20-2024'!$F:$F,$F220)</f>
        <v>0</v>
      </c>
      <c r="R220" s="140">
        <f ca="1">SUMIFS('F20-2024'!R:R,'F20-2024'!$D:$D,$D220,'F20-2024'!$E:$E,$E220,'F20-2024'!$F:$F,$F220)</f>
        <v>0</v>
      </c>
      <c r="S220" s="140">
        <f ca="1">SUMIFS('F20-2024'!S:S,'F20-2024'!$D:$D,$D220,'F20-2024'!$E:$E,$E220,'F20-2024'!$F:$F,$F220)</f>
        <v>0</v>
      </c>
      <c r="T220" s="140">
        <f ca="1">SUMIFS('F20-2024'!T:T,'F20-2024'!$D:$D,$D220,'F20-2024'!$E:$E,$E220,'F20-2024'!$F:$F,$F220)</f>
        <v>0</v>
      </c>
      <c r="U220" s="140">
        <f ca="1">SUMIFS('F20-2024'!U:U,'F20-2024'!$D:$D,$D220,'F20-2024'!$E:$E,$E220,'F20-2024'!$F:$F,$F220)</f>
        <v>0</v>
      </c>
      <c r="V220" s="140"/>
      <c r="W220" s="141" t="e">
        <f t="shared" ref="W220:AA220" ca="1" si="437">J220/$I220</f>
        <v>#DIV/0!</v>
      </c>
      <c r="X220" s="141" t="e">
        <f t="shared" ca="1" si="437"/>
        <v>#DIV/0!</v>
      </c>
      <c r="Y220" s="141" t="e">
        <f t="shared" ca="1" si="437"/>
        <v>#DIV/0!</v>
      </c>
      <c r="Z220" s="141" t="e">
        <f t="shared" ca="1" si="437"/>
        <v>#DIV/0!</v>
      </c>
      <c r="AA220" s="141" t="e">
        <f t="shared" ca="1" si="437"/>
        <v>#DIV/0!</v>
      </c>
      <c r="AB220" s="141"/>
      <c r="AC220" s="141" t="e">
        <f t="shared" ca="1" si="1"/>
        <v>#DIV/0!</v>
      </c>
      <c r="AD220" s="141" t="e">
        <f t="shared" ref="AD220:AI220" ca="1" si="438">O220/$I220</f>
        <v>#DIV/0!</v>
      </c>
      <c r="AE220" s="141" t="e">
        <f t="shared" ca="1" si="438"/>
        <v>#DIV/0!</v>
      </c>
      <c r="AF220" s="141" t="e">
        <f t="shared" ca="1" si="438"/>
        <v>#DIV/0!</v>
      </c>
      <c r="AG220" s="141" t="e">
        <f t="shared" ca="1" si="438"/>
        <v>#DIV/0!</v>
      </c>
      <c r="AH220" s="141" t="e">
        <f t="shared" ca="1" si="438"/>
        <v>#DIV/0!</v>
      </c>
      <c r="AI220" s="141" t="e">
        <f t="shared" ca="1" si="438"/>
        <v>#DIV/0!</v>
      </c>
      <c r="AJ220" s="140"/>
    </row>
    <row r="221" spans="1:36">
      <c r="A221" s="140" t="e">
        <f ca="1"/>
        <v>#NAME?</v>
      </c>
      <c r="B221" s="140" t="e">
        <f ca="1"/>
        <v>#NAME?</v>
      </c>
      <c r="C221" s="140" t="e">
        <f ca="1"/>
        <v>#NAME?</v>
      </c>
      <c r="D221" s="140" t="e">
        <f ca="1"/>
        <v>#NAME?</v>
      </c>
      <c r="E221" s="140" t="e">
        <f ca="1"/>
        <v>#NAME?</v>
      </c>
      <c r="F221" s="140" t="e">
        <f ca="1"/>
        <v>#NAME?</v>
      </c>
      <c r="G221" s="140" t="e">
        <f ca="1"/>
        <v>#NAME?</v>
      </c>
      <c r="H221" s="140"/>
      <c r="I221" s="140">
        <f ca="1">SUMIFS('F20-2024'!I:I,'F20-2024'!$D:$D,$D221,'F20-2024'!$E:$E,$E221,'F20-2024'!$F:$F,$F221)</f>
        <v>0</v>
      </c>
      <c r="J221" s="140">
        <f ca="1">SUMIFS('F20-2024'!J:J,'F20-2024'!$D:$D,$D221,'F20-2024'!$E:$E,$E221,'F20-2024'!$F:$F,$F221)</f>
        <v>0</v>
      </c>
      <c r="K221" s="140">
        <f ca="1">SUMIFS('F20-2024'!K:K,'F20-2024'!$D:$D,$D221,'F20-2024'!$E:$E,$E221,'F20-2024'!$F:$F,$F221)</f>
        <v>0</v>
      </c>
      <c r="L221" s="140">
        <f ca="1">SUMIFS('F20-2024'!L:L,'F20-2024'!$D:$D,$D221,'F20-2024'!$E:$E,$E221,'F20-2024'!$F:$F,$F221)</f>
        <v>0</v>
      </c>
      <c r="M221" s="140">
        <f ca="1">SUMIFS('F20-2024'!M:M,'F20-2024'!$D:$D,$D221,'F20-2024'!$E:$E,$E221,'F20-2024'!$F:$F,$F221)</f>
        <v>0</v>
      </c>
      <c r="N221" s="140">
        <f ca="1">SUMIFS('F20-2024'!N:N,'F20-2024'!$D:$D,$D221,'F20-2024'!$E:$E,$E221,'F20-2024'!$F:$F,$F221)</f>
        <v>0</v>
      </c>
      <c r="O221" s="140">
        <f ca="1">SUMIFS('F20-2024'!O:O,'F20-2024'!$D:$D,$D221,'F20-2024'!$E:$E,$E221,'F20-2024'!$F:$F,$F221)</f>
        <v>0</v>
      </c>
      <c r="P221" s="140">
        <f ca="1">SUMIFS('F20-2024'!P:P,'F20-2024'!$D:$D,$D221,'F20-2024'!$E:$E,$E221,'F20-2024'!$F:$F,$F221)</f>
        <v>0</v>
      </c>
      <c r="Q221" s="140">
        <f ca="1">SUMIFS('F20-2024'!Q:Q,'F20-2024'!$D:$D,$D221,'F20-2024'!$E:$E,$E221,'F20-2024'!$F:$F,$F221)</f>
        <v>0</v>
      </c>
      <c r="R221" s="140">
        <f ca="1">SUMIFS('F20-2024'!R:R,'F20-2024'!$D:$D,$D221,'F20-2024'!$E:$E,$E221,'F20-2024'!$F:$F,$F221)</f>
        <v>0</v>
      </c>
      <c r="S221" s="140">
        <f ca="1">SUMIFS('F20-2024'!S:S,'F20-2024'!$D:$D,$D221,'F20-2024'!$E:$E,$E221,'F20-2024'!$F:$F,$F221)</f>
        <v>0</v>
      </c>
      <c r="T221" s="140">
        <f ca="1">SUMIFS('F20-2024'!T:T,'F20-2024'!$D:$D,$D221,'F20-2024'!$E:$E,$E221,'F20-2024'!$F:$F,$F221)</f>
        <v>0</v>
      </c>
      <c r="U221" s="140">
        <f ca="1">SUMIFS('F20-2024'!U:U,'F20-2024'!$D:$D,$D221,'F20-2024'!$E:$E,$E221,'F20-2024'!$F:$F,$F221)</f>
        <v>0</v>
      </c>
      <c r="V221" s="140"/>
      <c r="W221" s="141" t="e">
        <f t="shared" ref="W221:AA221" ca="1" si="439">J221/$I221</f>
        <v>#DIV/0!</v>
      </c>
      <c r="X221" s="141" t="e">
        <f t="shared" ca="1" si="439"/>
        <v>#DIV/0!</v>
      </c>
      <c r="Y221" s="141" t="e">
        <f t="shared" ca="1" si="439"/>
        <v>#DIV/0!</v>
      </c>
      <c r="Z221" s="141" t="e">
        <f t="shared" ca="1" si="439"/>
        <v>#DIV/0!</v>
      </c>
      <c r="AA221" s="141" t="e">
        <f t="shared" ca="1" si="439"/>
        <v>#DIV/0!</v>
      </c>
      <c r="AB221" s="141"/>
      <c r="AC221" s="141" t="e">
        <f t="shared" ca="1" si="1"/>
        <v>#DIV/0!</v>
      </c>
      <c r="AD221" s="141" t="e">
        <f t="shared" ref="AD221:AI221" ca="1" si="440">O221/$I221</f>
        <v>#DIV/0!</v>
      </c>
      <c r="AE221" s="141" t="e">
        <f t="shared" ca="1" si="440"/>
        <v>#DIV/0!</v>
      </c>
      <c r="AF221" s="141" t="e">
        <f t="shared" ca="1" si="440"/>
        <v>#DIV/0!</v>
      </c>
      <c r="AG221" s="141" t="e">
        <f t="shared" ca="1" si="440"/>
        <v>#DIV/0!</v>
      </c>
      <c r="AH221" s="141" t="e">
        <f t="shared" ca="1" si="440"/>
        <v>#DIV/0!</v>
      </c>
      <c r="AI221" s="141" t="e">
        <f t="shared" ca="1" si="440"/>
        <v>#DIV/0!</v>
      </c>
      <c r="AJ221" s="140"/>
    </row>
    <row r="222" spans="1:36">
      <c r="A222" s="140" t="e">
        <f ca="1"/>
        <v>#NAME?</v>
      </c>
      <c r="B222" s="140" t="e">
        <f ca="1"/>
        <v>#NAME?</v>
      </c>
      <c r="C222" s="140" t="e">
        <f ca="1"/>
        <v>#NAME?</v>
      </c>
      <c r="D222" s="140" t="e">
        <f ca="1"/>
        <v>#NAME?</v>
      </c>
      <c r="E222" s="140" t="e">
        <f ca="1"/>
        <v>#NAME?</v>
      </c>
      <c r="F222" s="140" t="e">
        <f ca="1"/>
        <v>#NAME?</v>
      </c>
      <c r="G222" s="140" t="e">
        <f ca="1"/>
        <v>#NAME?</v>
      </c>
      <c r="H222" s="140"/>
      <c r="I222" s="140">
        <f ca="1">SUMIFS('F20-2024'!I:I,'F20-2024'!$D:$D,$D222,'F20-2024'!$E:$E,$E222,'F20-2024'!$F:$F,$F222)</f>
        <v>0</v>
      </c>
      <c r="J222" s="140">
        <f ca="1">SUMIFS('F20-2024'!J:J,'F20-2024'!$D:$D,$D222,'F20-2024'!$E:$E,$E222,'F20-2024'!$F:$F,$F222)</f>
        <v>0</v>
      </c>
      <c r="K222" s="140">
        <f ca="1">SUMIFS('F20-2024'!K:K,'F20-2024'!$D:$D,$D222,'F20-2024'!$E:$E,$E222,'F20-2024'!$F:$F,$F222)</f>
        <v>0</v>
      </c>
      <c r="L222" s="140">
        <f ca="1">SUMIFS('F20-2024'!L:L,'F20-2024'!$D:$D,$D222,'F20-2024'!$E:$E,$E222,'F20-2024'!$F:$F,$F222)</f>
        <v>0</v>
      </c>
      <c r="M222" s="140">
        <f ca="1">SUMIFS('F20-2024'!M:M,'F20-2024'!$D:$D,$D222,'F20-2024'!$E:$E,$E222,'F20-2024'!$F:$F,$F222)</f>
        <v>0</v>
      </c>
      <c r="N222" s="140">
        <f ca="1">SUMIFS('F20-2024'!N:N,'F20-2024'!$D:$D,$D222,'F20-2024'!$E:$E,$E222,'F20-2024'!$F:$F,$F222)</f>
        <v>0</v>
      </c>
      <c r="O222" s="140">
        <f ca="1">SUMIFS('F20-2024'!O:O,'F20-2024'!$D:$D,$D222,'F20-2024'!$E:$E,$E222,'F20-2024'!$F:$F,$F222)</f>
        <v>0</v>
      </c>
      <c r="P222" s="140">
        <f ca="1">SUMIFS('F20-2024'!P:P,'F20-2024'!$D:$D,$D222,'F20-2024'!$E:$E,$E222,'F20-2024'!$F:$F,$F222)</f>
        <v>0</v>
      </c>
      <c r="Q222" s="140">
        <f ca="1">SUMIFS('F20-2024'!Q:Q,'F20-2024'!$D:$D,$D222,'F20-2024'!$E:$E,$E222,'F20-2024'!$F:$F,$F222)</f>
        <v>0</v>
      </c>
      <c r="R222" s="140">
        <f ca="1">SUMIFS('F20-2024'!R:R,'F20-2024'!$D:$D,$D222,'F20-2024'!$E:$E,$E222,'F20-2024'!$F:$F,$F222)</f>
        <v>0</v>
      </c>
      <c r="S222" s="140">
        <f ca="1">SUMIFS('F20-2024'!S:S,'F20-2024'!$D:$D,$D222,'F20-2024'!$E:$E,$E222,'F20-2024'!$F:$F,$F222)</f>
        <v>0</v>
      </c>
      <c r="T222" s="140">
        <f ca="1">SUMIFS('F20-2024'!T:T,'F20-2024'!$D:$D,$D222,'F20-2024'!$E:$E,$E222,'F20-2024'!$F:$F,$F222)</f>
        <v>0</v>
      </c>
      <c r="U222" s="140">
        <f ca="1">SUMIFS('F20-2024'!U:U,'F20-2024'!$D:$D,$D222,'F20-2024'!$E:$E,$E222,'F20-2024'!$F:$F,$F222)</f>
        <v>0</v>
      </c>
      <c r="V222" s="140"/>
      <c r="W222" s="141" t="e">
        <f t="shared" ref="W222:AA222" ca="1" si="441">J222/$I222</f>
        <v>#DIV/0!</v>
      </c>
      <c r="X222" s="141" t="e">
        <f t="shared" ca="1" si="441"/>
        <v>#DIV/0!</v>
      </c>
      <c r="Y222" s="141" t="e">
        <f t="shared" ca="1" si="441"/>
        <v>#DIV/0!</v>
      </c>
      <c r="Z222" s="141" t="e">
        <f t="shared" ca="1" si="441"/>
        <v>#DIV/0!</v>
      </c>
      <c r="AA222" s="141" t="e">
        <f t="shared" ca="1" si="441"/>
        <v>#DIV/0!</v>
      </c>
      <c r="AB222" s="141"/>
      <c r="AC222" s="141" t="e">
        <f t="shared" ca="1" si="1"/>
        <v>#DIV/0!</v>
      </c>
      <c r="AD222" s="141" t="e">
        <f t="shared" ref="AD222:AI222" ca="1" si="442">O222/$I222</f>
        <v>#DIV/0!</v>
      </c>
      <c r="AE222" s="141" t="e">
        <f t="shared" ca="1" si="442"/>
        <v>#DIV/0!</v>
      </c>
      <c r="AF222" s="141" t="e">
        <f t="shared" ca="1" si="442"/>
        <v>#DIV/0!</v>
      </c>
      <c r="AG222" s="141" t="e">
        <f t="shared" ca="1" si="442"/>
        <v>#DIV/0!</v>
      </c>
      <c r="AH222" s="141" t="e">
        <f t="shared" ca="1" si="442"/>
        <v>#DIV/0!</v>
      </c>
      <c r="AI222" s="141" t="e">
        <f t="shared" ca="1" si="442"/>
        <v>#DIV/0!</v>
      </c>
      <c r="AJ222" s="140"/>
    </row>
    <row r="223" spans="1:36">
      <c r="A223" s="140" t="e">
        <f ca="1"/>
        <v>#NAME?</v>
      </c>
      <c r="B223" s="140" t="e">
        <f ca="1"/>
        <v>#NAME?</v>
      </c>
      <c r="C223" s="140" t="e">
        <f ca="1"/>
        <v>#NAME?</v>
      </c>
      <c r="D223" s="140" t="e">
        <f ca="1"/>
        <v>#NAME?</v>
      </c>
      <c r="E223" s="140" t="e">
        <f ca="1"/>
        <v>#NAME?</v>
      </c>
      <c r="F223" s="140" t="e">
        <f ca="1"/>
        <v>#NAME?</v>
      </c>
      <c r="G223" s="140" t="e">
        <f ca="1"/>
        <v>#NAME?</v>
      </c>
      <c r="H223" s="140"/>
      <c r="I223" s="140">
        <f ca="1">SUMIFS('F20-2024'!I:I,'F20-2024'!$D:$D,$D223,'F20-2024'!$E:$E,$E223,'F20-2024'!$F:$F,$F223)</f>
        <v>0</v>
      </c>
      <c r="J223" s="140">
        <f ca="1">SUMIFS('F20-2024'!J:J,'F20-2024'!$D:$D,$D223,'F20-2024'!$E:$E,$E223,'F20-2024'!$F:$F,$F223)</f>
        <v>0</v>
      </c>
      <c r="K223" s="140">
        <f ca="1">SUMIFS('F20-2024'!K:K,'F20-2024'!$D:$D,$D223,'F20-2024'!$E:$E,$E223,'F20-2024'!$F:$F,$F223)</f>
        <v>0</v>
      </c>
      <c r="L223" s="140">
        <f ca="1">SUMIFS('F20-2024'!L:L,'F20-2024'!$D:$D,$D223,'F20-2024'!$E:$E,$E223,'F20-2024'!$F:$F,$F223)</f>
        <v>0</v>
      </c>
      <c r="M223" s="140">
        <f ca="1">SUMIFS('F20-2024'!M:M,'F20-2024'!$D:$D,$D223,'F20-2024'!$E:$E,$E223,'F20-2024'!$F:$F,$F223)</f>
        <v>0</v>
      </c>
      <c r="N223" s="140">
        <f ca="1">SUMIFS('F20-2024'!N:N,'F20-2024'!$D:$D,$D223,'F20-2024'!$E:$E,$E223,'F20-2024'!$F:$F,$F223)</f>
        <v>0</v>
      </c>
      <c r="O223" s="140">
        <f ca="1">SUMIFS('F20-2024'!O:O,'F20-2024'!$D:$D,$D223,'F20-2024'!$E:$E,$E223,'F20-2024'!$F:$F,$F223)</f>
        <v>0</v>
      </c>
      <c r="P223" s="140">
        <f ca="1">SUMIFS('F20-2024'!P:P,'F20-2024'!$D:$D,$D223,'F20-2024'!$E:$E,$E223,'F20-2024'!$F:$F,$F223)</f>
        <v>0</v>
      </c>
      <c r="Q223" s="140">
        <f ca="1">SUMIFS('F20-2024'!Q:Q,'F20-2024'!$D:$D,$D223,'F20-2024'!$E:$E,$E223,'F20-2024'!$F:$F,$F223)</f>
        <v>0</v>
      </c>
      <c r="R223" s="140">
        <f ca="1">SUMIFS('F20-2024'!R:R,'F20-2024'!$D:$D,$D223,'F20-2024'!$E:$E,$E223,'F20-2024'!$F:$F,$F223)</f>
        <v>0</v>
      </c>
      <c r="S223" s="140">
        <f ca="1">SUMIFS('F20-2024'!S:S,'F20-2024'!$D:$D,$D223,'F20-2024'!$E:$E,$E223,'F20-2024'!$F:$F,$F223)</f>
        <v>0</v>
      </c>
      <c r="T223" s="140">
        <f ca="1">SUMIFS('F20-2024'!T:T,'F20-2024'!$D:$D,$D223,'F20-2024'!$E:$E,$E223,'F20-2024'!$F:$F,$F223)</f>
        <v>0</v>
      </c>
      <c r="U223" s="140">
        <f ca="1">SUMIFS('F20-2024'!U:U,'F20-2024'!$D:$D,$D223,'F20-2024'!$E:$E,$E223,'F20-2024'!$F:$F,$F223)</f>
        <v>0</v>
      </c>
      <c r="V223" s="140"/>
      <c r="W223" s="141" t="e">
        <f t="shared" ref="W223:AA223" ca="1" si="443">J223/$I223</f>
        <v>#DIV/0!</v>
      </c>
      <c r="X223" s="141" t="e">
        <f t="shared" ca="1" si="443"/>
        <v>#DIV/0!</v>
      </c>
      <c r="Y223" s="141" t="e">
        <f t="shared" ca="1" si="443"/>
        <v>#DIV/0!</v>
      </c>
      <c r="Z223" s="141" t="e">
        <f t="shared" ca="1" si="443"/>
        <v>#DIV/0!</v>
      </c>
      <c r="AA223" s="141" t="e">
        <f t="shared" ca="1" si="443"/>
        <v>#DIV/0!</v>
      </c>
      <c r="AB223" s="141"/>
      <c r="AC223" s="141" t="e">
        <f t="shared" ca="1" si="1"/>
        <v>#DIV/0!</v>
      </c>
      <c r="AD223" s="141" t="e">
        <f t="shared" ref="AD223:AI223" ca="1" si="444">O223/$I223</f>
        <v>#DIV/0!</v>
      </c>
      <c r="AE223" s="141" t="e">
        <f t="shared" ca="1" si="444"/>
        <v>#DIV/0!</v>
      </c>
      <c r="AF223" s="141" t="e">
        <f t="shared" ca="1" si="444"/>
        <v>#DIV/0!</v>
      </c>
      <c r="AG223" s="141" t="e">
        <f t="shared" ca="1" si="444"/>
        <v>#DIV/0!</v>
      </c>
      <c r="AH223" s="141" t="e">
        <f t="shared" ca="1" si="444"/>
        <v>#DIV/0!</v>
      </c>
      <c r="AI223" s="141" t="e">
        <f t="shared" ca="1" si="444"/>
        <v>#DIV/0!</v>
      </c>
      <c r="AJ223" s="140"/>
    </row>
    <row r="224" spans="1:36">
      <c r="A224" s="140" t="e">
        <f ca="1"/>
        <v>#NAME?</v>
      </c>
      <c r="B224" s="140" t="e">
        <f ca="1"/>
        <v>#NAME?</v>
      </c>
      <c r="C224" s="140" t="e">
        <f ca="1"/>
        <v>#NAME?</v>
      </c>
      <c r="D224" s="140" t="e">
        <f ca="1"/>
        <v>#NAME?</v>
      </c>
      <c r="E224" s="140" t="e">
        <f ca="1"/>
        <v>#NAME?</v>
      </c>
      <c r="F224" s="140" t="e">
        <f ca="1"/>
        <v>#NAME?</v>
      </c>
      <c r="G224" s="140" t="e">
        <f ca="1"/>
        <v>#NAME?</v>
      </c>
      <c r="H224" s="140"/>
      <c r="I224" s="140">
        <f ca="1">SUMIFS('F20-2024'!I:I,'F20-2024'!$D:$D,$D224,'F20-2024'!$E:$E,$E224,'F20-2024'!$F:$F,$F224)</f>
        <v>0</v>
      </c>
      <c r="J224" s="140">
        <f ca="1">SUMIFS('F20-2024'!J:J,'F20-2024'!$D:$D,$D224,'F20-2024'!$E:$E,$E224,'F20-2024'!$F:$F,$F224)</f>
        <v>0</v>
      </c>
      <c r="K224" s="140">
        <f ca="1">SUMIFS('F20-2024'!K:K,'F20-2024'!$D:$D,$D224,'F20-2024'!$E:$E,$E224,'F20-2024'!$F:$F,$F224)</f>
        <v>0</v>
      </c>
      <c r="L224" s="140">
        <f ca="1">SUMIFS('F20-2024'!L:L,'F20-2024'!$D:$D,$D224,'F20-2024'!$E:$E,$E224,'F20-2024'!$F:$F,$F224)</f>
        <v>0</v>
      </c>
      <c r="M224" s="140">
        <f ca="1">SUMIFS('F20-2024'!M:M,'F20-2024'!$D:$D,$D224,'F20-2024'!$E:$E,$E224,'F20-2024'!$F:$F,$F224)</f>
        <v>0</v>
      </c>
      <c r="N224" s="140">
        <f ca="1">SUMIFS('F20-2024'!N:N,'F20-2024'!$D:$D,$D224,'F20-2024'!$E:$E,$E224,'F20-2024'!$F:$F,$F224)</f>
        <v>0</v>
      </c>
      <c r="O224" s="140">
        <f ca="1">SUMIFS('F20-2024'!O:O,'F20-2024'!$D:$D,$D224,'F20-2024'!$E:$E,$E224,'F20-2024'!$F:$F,$F224)</f>
        <v>0</v>
      </c>
      <c r="P224" s="140">
        <f ca="1">SUMIFS('F20-2024'!P:P,'F20-2024'!$D:$D,$D224,'F20-2024'!$E:$E,$E224,'F20-2024'!$F:$F,$F224)</f>
        <v>0</v>
      </c>
      <c r="Q224" s="140">
        <f ca="1">SUMIFS('F20-2024'!Q:Q,'F20-2024'!$D:$D,$D224,'F20-2024'!$E:$E,$E224,'F20-2024'!$F:$F,$F224)</f>
        <v>0</v>
      </c>
      <c r="R224" s="140">
        <f ca="1">SUMIFS('F20-2024'!R:R,'F20-2024'!$D:$D,$D224,'F20-2024'!$E:$E,$E224,'F20-2024'!$F:$F,$F224)</f>
        <v>0</v>
      </c>
      <c r="S224" s="140">
        <f ca="1">SUMIFS('F20-2024'!S:S,'F20-2024'!$D:$D,$D224,'F20-2024'!$E:$E,$E224,'F20-2024'!$F:$F,$F224)</f>
        <v>0</v>
      </c>
      <c r="T224" s="140">
        <f ca="1">SUMIFS('F20-2024'!T:T,'F20-2024'!$D:$D,$D224,'F20-2024'!$E:$E,$E224,'F20-2024'!$F:$F,$F224)</f>
        <v>0</v>
      </c>
      <c r="U224" s="140">
        <f ca="1">SUMIFS('F20-2024'!U:U,'F20-2024'!$D:$D,$D224,'F20-2024'!$E:$E,$E224,'F20-2024'!$F:$F,$F224)</f>
        <v>0</v>
      </c>
      <c r="V224" s="140"/>
      <c r="W224" s="141" t="e">
        <f t="shared" ref="W224:AA224" ca="1" si="445">J224/$I224</f>
        <v>#DIV/0!</v>
      </c>
      <c r="X224" s="141" t="e">
        <f t="shared" ca="1" si="445"/>
        <v>#DIV/0!</v>
      </c>
      <c r="Y224" s="141" t="e">
        <f t="shared" ca="1" si="445"/>
        <v>#DIV/0!</v>
      </c>
      <c r="Z224" s="141" t="e">
        <f t="shared" ca="1" si="445"/>
        <v>#DIV/0!</v>
      </c>
      <c r="AA224" s="141" t="e">
        <f t="shared" ca="1" si="445"/>
        <v>#DIV/0!</v>
      </c>
      <c r="AB224" s="141"/>
      <c r="AC224" s="141" t="e">
        <f t="shared" ca="1" si="1"/>
        <v>#DIV/0!</v>
      </c>
      <c r="AD224" s="141" t="e">
        <f t="shared" ref="AD224:AI224" ca="1" si="446">O224/$I224</f>
        <v>#DIV/0!</v>
      </c>
      <c r="AE224" s="141" t="e">
        <f t="shared" ca="1" si="446"/>
        <v>#DIV/0!</v>
      </c>
      <c r="AF224" s="141" t="e">
        <f t="shared" ca="1" si="446"/>
        <v>#DIV/0!</v>
      </c>
      <c r="AG224" s="141" t="e">
        <f t="shared" ca="1" si="446"/>
        <v>#DIV/0!</v>
      </c>
      <c r="AH224" s="141" t="e">
        <f t="shared" ca="1" si="446"/>
        <v>#DIV/0!</v>
      </c>
      <c r="AI224" s="141" t="e">
        <f t="shared" ca="1" si="446"/>
        <v>#DIV/0!</v>
      </c>
      <c r="AJ224" s="140"/>
    </row>
    <row r="225" spans="1:36">
      <c r="A225" s="140" t="e">
        <f ca="1"/>
        <v>#NAME?</v>
      </c>
      <c r="B225" s="140" t="e">
        <f ca="1"/>
        <v>#NAME?</v>
      </c>
      <c r="C225" s="140" t="e">
        <f ca="1"/>
        <v>#NAME?</v>
      </c>
      <c r="D225" s="140" t="e">
        <f ca="1"/>
        <v>#NAME?</v>
      </c>
      <c r="E225" s="140" t="e">
        <f ca="1"/>
        <v>#NAME?</v>
      </c>
      <c r="F225" s="140" t="e">
        <f ca="1"/>
        <v>#NAME?</v>
      </c>
      <c r="G225" s="140" t="e">
        <f ca="1"/>
        <v>#NAME?</v>
      </c>
      <c r="H225" s="140"/>
      <c r="I225" s="140">
        <f ca="1">SUMIFS('F20-2024'!I:I,'F20-2024'!$D:$D,$D225,'F20-2024'!$E:$E,$E225,'F20-2024'!$F:$F,$F225)</f>
        <v>0</v>
      </c>
      <c r="J225" s="140">
        <f ca="1">SUMIFS('F20-2024'!J:J,'F20-2024'!$D:$D,$D225,'F20-2024'!$E:$E,$E225,'F20-2024'!$F:$F,$F225)</f>
        <v>0</v>
      </c>
      <c r="K225" s="140">
        <f ca="1">SUMIFS('F20-2024'!K:K,'F20-2024'!$D:$D,$D225,'F20-2024'!$E:$E,$E225,'F20-2024'!$F:$F,$F225)</f>
        <v>0</v>
      </c>
      <c r="L225" s="140">
        <f ca="1">SUMIFS('F20-2024'!L:L,'F20-2024'!$D:$D,$D225,'F20-2024'!$E:$E,$E225,'F20-2024'!$F:$F,$F225)</f>
        <v>0</v>
      </c>
      <c r="M225" s="140">
        <f ca="1">SUMIFS('F20-2024'!M:M,'F20-2024'!$D:$D,$D225,'F20-2024'!$E:$E,$E225,'F20-2024'!$F:$F,$F225)</f>
        <v>0</v>
      </c>
      <c r="N225" s="140">
        <f ca="1">SUMIFS('F20-2024'!N:N,'F20-2024'!$D:$D,$D225,'F20-2024'!$E:$E,$E225,'F20-2024'!$F:$F,$F225)</f>
        <v>0</v>
      </c>
      <c r="O225" s="140">
        <f ca="1">SUMIFS('F20-2024'!O:O,'F20-2024'!$D:$D,$D225,'F20-2024'!$E:$E,$E225,'F20-2024'!$F:$F,$F225)</f>
        <v>0</v>
      </c>
      <c r="P225" s="140">
        <f ca="1">SUMIFS('F20-2024'!P:P,'F20-2024'!$D:$D,$D225,'F20-2024'!$E:$E,$E225,'F20-2024'!$F:$F,$F225)</f>
        <v>0</v>
      </c>
      <c r="Q225" s="140">
        <f ca="1">SUMIFS('F20-2024'!Q:Q,'F20-2024'!$D:$D,$D225,'F20-2024'!$E:$E,$E225,'F20-2024'!$F:$F,$F225)</f>
        <v>0</v>
      </c>
      <c r="R225" s="140">
        <f ca="1">SUMIFS('F20-2024'!R:R,'F20-2024'!$D:$D,$D225,'F20-2024'!$E:$E,$E225,'F20-2024'!$F:$F,$F225)</f>
        <v>0</v>
      </c>
      <c r="S225" s="140">
        <f ca="1">SUMIFS('F20-2024'!S:S,'F20-2024'!$D:$D,$D225,'F20-2024'!$E:$E,$E225,'F20-2024'!$F:$F,$F225)</f>
        <v>0</v>
      </c>
      <c r="T225" s="140">
        <f ca="1">SUMIFS('F20-2024'!T:T,'F20-2024'!$D:$D,$D225,'F20-2024'!$E:$E,$E225,'F20-2024'!$F:$F,$F225)</f>
        <v>0</v>
      </c>
      <c r="U225" s="140">
        <f ca="1">SUMIFS('F20-2024'!U:U,'F20-2024'!$D:$D,$D225,'F20-2024'!$E:$E,$E225,'F20-2024'!$F:$F,$F225)</f>
        <v>0</v>
      </c>
      <c r="V225" s="140"/>
      <c r="W225" s="141" t="e">
        <f t="shared" ref="W225:AA225" ca="1" si="447">J225/$I225</f>
        <v>#DIV/0!</v>
      </c>
      <c r="X225" s="141" t="e">
        <f t="shared" ca="1" si="447"/>
        <v>#DIV/0!</v>
      </c>
      <c r="Y225" s="141" t="e">
        <f t="shared" ca="1" si="447"/>
        <v>#DIV/0!</v>
      </c>
      <c r="Z225" s="141" t="e">
        <f t="shared" ca="1" si="447"/>
        <v>#DIV/0!</v>
      </c>
      <c r="AA225" s="141" t="e">
        <f t="shared" ca="1" si="447"/>
        <v>#DIV/0!</v>
      </c>
      <c r="AB225" s="141"/>
      <c r="AC225" s="141" t="e">
        <f t="shared" ca="1" si="1"/>
        <v>#DIV/0!</v>
      </c>
      <c r="AD225" s="141" t="e">
        <f t="shared" ref="AD225:AI225" ca="1" si="448">O225/$I225</f>
        <v>#DIV/0!</v>
      </c>
      <c r="AE225" s="141" t="e">
        <f t="shared" ca="1" si="448"/>
        <v>#DIV/0!</v>
      </c>
      <c r="AF225" s="141" t="e">
        <f t="shared" ca="1" si="448"/>
        <v>#DIV/0!</v>
      </c>
      <c r="AG225" s="141" t="e">
        <f t="shared" ca="1" si="448"/>
        <v>#DIV/0!</v>
      </c>
      <c r="AH225" s="141" t="e">
        <f t="shared" ca="1" si="448"/>
        <v>#DIV/0!</v>
      </c>
      <c r="AI225" s="141" t="e">
        <f t="shared" ca="1" si="448"/>
        <v>#DIV/0!</v>
      </c>
      <c r="AJ225" s="140"/>
    </row>
    <row r="226" spans="1:36">
      <c r="A226" s="140" t="e">
        <f ca="1"/>
        <v>#NAME?</v>
      </c>
      <c r="B226" s="140" t="e">
        <f ca="1"/>
        <v>#NAME?</v>
      </c>
      <c r="C226" s="140" t="e">
        <f ca="1"/>
        <v>#NAME?</v>
      </c>
      <c r="D226" s="140" t="e">
        <f ca="1"/>
        <v>#NAME?</v>
      </c>
      <c r="E226" s="140" t="e">
        <f ca="1"/>
        <v>#NAME?</v>
      </c>
      <c r="F226" s="140" t="e">
        <f ca="1"/>
        <v>#NAME?</v>
      </c>
      <c r="G226" s="140" t="e">
        <f ca="1"/>
        <v>#NAME?</v>
      </c>
      <c r="H226" s="140"/>
      <c r="I226" s="140">
        <f ca="1">SUMIFS('F20-2024'!I:I,'F20-2024'!$D:$D,$D226,'F20-2024'!$E:$E,$E226,'F20-2024'!$F:$F,$F226)</f>
        <v>0</v>
      </c>
      <c r="J226" s="140">
        <f ca="1">SUMIFS('F20-2024'!J:J,'F20-2024'!$D:$D,$D226,'F20-2024'!$E:$E,$E226,'F20-2024'!$F:$F,$F226)</f>
        <v>0</v>
      </c>
      <c r="K226" s="140">
        <f ca="1">SUMIFS('F20-2024'!K:K,'F20-2024'!$D:$D,$D226,'F20-2024'!$E:$E,$E226,'F20-2024'!$F:$F,$F226)</f>
        <v>0</v>
      </c>
      <c r="L226" s="140">
        <f ca="1">SUMIFS('F20-2024'!L:L,'F20-2024'!$D:$D,$D226,'F20-2024'!$E:$E,$E226,'F20-2024'!$F:$F,$F226)</f>
        <v>0</v>
      </c>
      <c r="M226" s="140">
        <f ca="1">SUMIFS('F20-2024'!M:M,'F20-2024'!$D:$D,$D226,'F20-2024'!$E:$E,$E226,'F20-2024'!$F:$F,$F226)</f>
        <v>0</v>
      </c>
      <c r="N226" s="140">
        <f ca="1">SUMIFS('F20-2024'!N:N,'F20-2024'!$D:$D,$D226,'F20-2024'!$E:$E,$E226,'F20-2024'!$F:$F,$F226)</f>
        <v>0</v>
      </c>
      <c r="O226" s="140">
        <f ca="1">SUMIFS('F20-2024'!O:O,'F20-2024'!$D:$D,$D226,'F20-2024'!$E:$E,$E226,'F20-2024'!$F:$F,$F226)</f>
        <v>0</v>
      </c>
      <c r="P226" s="140">
        <f ca="1">SUMIFS('F20-2024'!P:P,'F20-2024'!$D:$D,$D226,'F20-2024'!$E:$E,$E226,'F20-2024'!$F:$F,$F226)</f>
        <v>0</v>
      </c>
      <c r="Q226" s="140">
        <f ca="1">SUMIFS('F20-2024'!Q:Q,'F20-2024'!$D:$D,$D226,'F20-2024'!$E:$E,$E226,'F20-2024'!$F:$F,$F226)</f>
        <v>0</v>
      </c>
      <c r="R226" s="140">
        <f ca="1">SUMIFS('F20-2024'!R:R,'F20-2024'!$D:$D,$D226,'F20-2024'!$E:$E,$E226,'F20-2024'!$F:$F,$F226)</f>
        <v>0</v>
      </c>
      <c r="S226" s="140">
        <f ca="1">SUMIFS('F20-2024'!S:S,'F20-2024'!$D:$D,$D226,'F20-2024'!$E:$E,$E226,'F20-2024'!$F:$F,$F226)</f>
        <v>0</v>
      </c>
      <c r="T226" s="140">
        <f ca="1">SUMIFS('F20-2024'!T:T,'F20-2024'!$D:$D,$D226,'F20-2024'!$E:$E,$E226,'F20-2024'!$F:$F,$F226)</f>
        <v>0</v>
      </c>
      <c r="U226" s="140">
        <f ca="1">SUMIFS('F20-2024'!U:U,'F20-2024'!$D:$D,$D226,'F20-2024'!$E:$E,$E226,'F20-2024'!$F:$F,$F226)</f>
        <v>0</v>
      </c>
      <c r="V226" s="140"/>
      <c r="W226" s="141" t="e">
        <f t="shared" ref="W226:AA226" ca="1" si="449">J226/$I226</f>
        <v>#DIV/0!</v>
      </c>
      <c r="X226" s="141" t="e">
        <f t="shared" ca="1" si="449"/>
        <v>#DIV/0!</v>
      </c>
      <c r="Y226" s="141" t="e">
        <f t="shared" ca="1" si="449"/>
        <v>#DIV/0!</v>
      </c>
      <c r="Z226" s="141" t="e">
        <f t="shared" ca="1" si="449"/>
        <v>#DIV/0!</v>
      </c>
      <c r="AA226" s="141" t="e">
        <f t="shared" ca="1" si="449"/>
        <v>#DIV/0!</v>
      </c>
      <c r="AB226" s="141"/>
      <c r="AC226" s="141" t="e">
        <f t="shared" ca="1" si="1"/>
        <v>#DIV/0!</v>
      </c>
      <c r="AD226" s="141" t="e">
        <f t="shared" ref="AD226:AI226" ca="1" si="450">O226/$I226</f>
        <v>#DIV/0!</v>
      </c>
      <c r="AE226" s="141" t="e">
        <f t="shared" ca="1" si="450"/>
        <v>#DIV/0!</v>
      </c>
      <c r="AF226" s="141" t="e">
        <f t="shared" ca="1" si="450"/>
        <v>#DIV/0!</v>
      </c>
      <c r="AG226" s="141" t="e">
        <f t="shared" ca="1" si="450"/>
        <v>#DIV/0!</v>
      </c>
      <c r="AH226" s="141" t="e">
        <f t="shared" ca="1" si="450"/>
        <v>#DIV/0!</v>
      </c>
      <c r="AI226" s="141" t="e">
        <f t="shared" ca="1" si="450"/>
        <v>#DIV/0!</v>
      </c>
      <c r="AJ226" s="140"/>
    </row>
    <row r="227" spans="1:36">
      <c r="A227" s="140" t="e">
        <f ca="1"/>
        <v>#NAME?</v>
      </c>
      <c r="B227" s="140" t="e">
        <f ca="1"/>
        <v>#NAME?</v>
      </c>
      <c r="C227" s="140" t="e">
        <f ca="1"/>
        <v>#NAME?</v>
      </c>
      <c r="D227" s="140" t="e">
        <f ca="1"/>
        <v>#NAME?</v>
      </c>
      <c r="E227" s="140" t="e">
        <f ca="1"/>
        <v>#NAME?</v>
      </c>
      <c r="F227" s="140" t="e">
        <f ca="1"/>
        <v>#NAME?</v>
      </c>
      <c r="G227" s="140" t="e">
        <f ca="1"/>
        <v>#NAME?</v>
      </c>
      <c r="H227" s="140"/>
      <c r="I227" s="140">
        <f ca="1">SUMIFS('F20-2024'!I:I,'F20-2024'!$D:$D,$D227,'F20-2024'!$E:$E,$E227,'F20-2024'!$F:$F,$F227)</f>
        <v>0</v>
      </c>
      <c r="J227" s="140">
        <f ca="1">SUMIFS('F20-2024'!J:J,'F20-2024'!$D:$D,$D227,'F20-2024'!$E:$E,$E227,'F20-2024'!$F:$F,$F227)</f>
        <v>0</v>
      </c>
      <c r="K227" s="140">
        <f ca="1">SUMIFS('F20-2024'!K:K,'F20-2024'!$D:$D,$D227,'F20-2024'!$E:$E,$E227,'F20-2024'!$F:$F,$F227)</f>
        <v>0</v>
      </c>
      <c r="L227" s="140">
        <f ca="1">SUMIFS('F20-2024'!L:L,'F20-2024'!$D:$D,$D227,'F20-2024'!$E:$E,$E227,'F20-2024'!$F:$F,$F227)</f>
        <v>0</v>
      </c>
      <c r="M227" s="140">
        <f ca="1">SUMIFS('F20-2024'!M:M,'F20-2024'!$D:$D,$D227,'F20-2024'!$E:$E,$E227,'F20-2024'!$F:$F,$F227)</f>
        <v>0</v>
      </c>
      <c r="N227" s="140">
        <f ca="1">SUMIFS('F20-2024'!N:N,'F20-2024'!$D:$D,$D227,'F20-2024'!$E:$E,$E227,'F20-2024'!$F:$F,$F227)</f>
        <v>0</v>
      </c>
      <c r="O227" s="140">
        <f ca="1">SUMIFS('F20-2024'!O:O,'F20-2024'!$D:$D,$D227,'F20-2024'!$E:$E,$E227,'F20-2024'!$F:$F,$F227)</f>
        <v>0</v>
      </c>
      <c r="P227" s="140">
        <f ca="1">SUMIFS('F20-2024'!P:P,'F20-2024'!$D:$D,$D227,'F20-2024'!$E:$E,$E227,'F20-2024'!$F:$F,$F227)</f>
        <v>0</v>
      </c>
      <c r="Q227" s="140">
        <f ca="1">SUMIFS('F20-2024'!Q:Q,'F20-2024'!$D:$D,$D227,'F20-2024'!$E:$E,$E227,'F20-2024'!$F:$F,$F227)</f>
        <v>0</v>
      </c>
      <c r="R227" s="140">
        <f ca="1">SUMIFS('F20-2024'!R:R,'F20-2024'!$D:$D,$D227,'F20-2024'!$E:$E,$E227,'F20-2024'!$F:$F,$F227)</f>
        <v>0</v>
      </c>
      <c r="S227" s="140">
        <f ca="1">SUMIFS('F20-2024'!S:S,'F20-2024'!$D:$D,$D227,'F20-2024'!$E:$E,$E227,'F20-2024'!$F:$F,$F227)</f>
        <v>0</v>
      </c>
      <c r="T227" s="140">
        <f ca="1">SUMIFS('F20-2024'!T:T,'F20-2024'!$D:$D,$D227,'F20-2024'!$E:$E,$E227,'F20-2024'!$F:$F,$F227)</f>
        <v>0</v>
      </c>
      <c r="U227" s="140">
        <f ca="1">SUMIFS('F20-2024'!U:U,'F20-2024'!$D:$D,$D227,'F20-2024'!$E:$E,$E227,'F20-2024'!$F:$F,$F227)</f>
        <v>0</v>
      </c>
      <c r="V227" s="140"/>
      <c r="W227" s="141" t="e">
        <f t="shared" ref="W227:AA227" ca="1" si="451">J227/$I227</f>
        <v>#DIV/0!</v>
      </c>
      <c r="X227" s="141" t="e">
        <f t="shared" ca="1" si="451"/>
        <v>#DIV/0!</v>
      </c>
      <c r="Y227" s="141" t="e">
        <f t="shared" ca="1" si="451"/>
        <v>#DIV/0!</v>
      </c>
      <c r="Z227" s="141" t="e">
        <f t="shared" ca="1" si="451"/>
        <v>#DIV/0!</v>
      </c>
      <c r="AA227" s="141" t="e">
        <f t="shared" ca="1" si="451"/>
        <v>#DIV/0!</v>
      </c>
      <c r="AB227" s="141"/>
      <c r="AC227" s="141" t="e">
        <f t="shared" ca="1" si="1"/>
        <v>#DIV/0!</v>
      </c>
      <c r="AD227" s="141" t="e">
        <f t="shared" ref="AD227:AI227" ca="1" si="452">O227/$I227</f>
        <v>#DIV/0!</v>
      </c>
      <c r="AE227" s="141" t="e">
        <f t="shared" ca="1" si="452"/>
        <v>#DIV/0!</v>
      </c>
      <c r="AF227" s="141" t="e">
        <f t="shared" ca="1" si="452"/>
        <v>#DIV/0!</v>
      </c>
      <c r="AG227" s="141" t="e">
        <f t="shared" ca="1" si="452"/>
        <v>#DIV/0!</v>
      </c>
      <c r="AH227" s="141" t="e">
        <f t="shared" ca="1" si="452"/>
        <v>#DIV/0!</v>
      </c>
      <c r="AI227" s="141" t="e">
        <f t="shared" ca="1" si="452"/>
        <v>#DIV/0!</v>
      </c>
      <c r="AJ227" s="140"/>
    </row>
    <row r="228" spans="1:36">
      <c r="A228" s="140" t="e">
        <f ca="1"/>
        <v>#NAME?</v>
      </c>
      <c r="B228" s="140" t="e">
        <f ca="1"/>
        <v>#NAME?</v>
      </c>
      <c r="C228" s="140" t="e">
        <f ca="1"/>
        <v>#NAME?</v>
      </c>
      <c r="D228" s="140" t="e">
        <f ca="1"/>
        <v>#NAME?</v>
      </c>
      <c r="E228" s="140" t="e">
        <f ca="1"/>
        <v>#NAME?</v>
      </c>
      <c r="F228" s="140" t="e">
        <f ca="1"/>
        <v>#NAME?</v>
      </c>
      <c r="G228" s="140" t="e">
        <f ca="1"/>
        <v>#NAME?</v>
      </c>
      <c r="H228" s="140"/>
      <c r="I228" s="140">
        <f ca="1">SUMIFS('F20-2024'!I:I,'F20-2024'!$D:$D,$D228,'F20-2024'!$E:$E,$E228,'F20-2024'!$F:$F,$F228)</f>
        <v>0</v>
      </c>
      <c r="J228" s="140">
        <f ca="1">SUMIFS('F20-2024'!J:J,'F20-2024'!$D:$D,$D228,'F20-2024'!$E:$E,$E228,'F20-2024'!$F:$F,$F228)</f>
        <v>0</v>
      </c>
      <c r="K228" s="140">
        <f ca="1">SUMIFS('F20-2024'!K:K,'F20-2024'!$D:$D,$D228,'F20-2024'!$E:$E,$E228,'F20-2024'!$F:$F,$F228)</f>
        <v>0</v>
      </c>
      <c r="L228" s="140">
        <f ca="1">SUMIFS('F20-2024'!L:L,'F20-2024'!$D:$D,$D228,'F20-2024'!$E:$E,$E228,'F20-2024'!$F:$F,$F228)</f>
        <v>0</v>
      </c>
      <c r="M228" s="140">
        <f ca="1">SUMIFS('F20-2024'!M:M,'F20-2024'!$D:$D,$D228,'F20-2024'!$E:$E,$E228,'F20-2024'!$F:$F,$F228)</f>
        <v>0</v>
      </c>
      <c r="N228" s="140">
        <f ca="1">SUMIFS('F20-2024'!N:N,'F20-2024'!$D:$D,$D228,'F20-2024'!$E:$E,$E228,'F20-2024'!$F:$F,$F228)</f>
        <v>0</v>
      </c>
      <c r="O228" s="140">
        <f ca="1">SUMIFS('F20-2024'!O:O,'F20-2024'!$D:$D,$D228,'F20-2024'!$E:$E,$E228,'F20-2024'!$F:$F,$F228)</f>
        <v>0</v>
      </c>
      <c r="P228" s="140">
        <f ca="1">SUMIFS('F20-2024'!P:P,'F20-2024'!$D:$D,$D228,'F20-2024'!$E:$E,$E228,'F20-2024'!$F:$F,$F228)</f>
        <v>0</v>
      </c>
      <c r="Q228" s="140">
        <f ca="1">SUMIFS('F20-2024'!Q:Q,'F20-2024'!$D:$D,$D228,'F20-2024'!$E:$E,$E228,'F20-2024'!$F:$F,$F228)</f>
        <v>0</v>
      </c>
      <c r="R228" s="140">
        <f ca="1">SUMIFS('F20-2024'!R:R,'F20-2024'!$D:$D,$D228,'F20-2024'!$E:$E,$E228,'F20-2024'!$F:$F,$F228)</f>
        <v>0</v>
      </c>
      <c r="S228" s="140">
        <f ca="1">SUMIFS('F20-2024'!S:S,'F20-2024'!$D:$D,$D228,'F20-2024'!$E:$E,$E228,'F20-2024'!$F:$F,$F228)</f>
        <v>0</v>
      </c>
      <c r="T228" s="140">
        <f ca="1">SUMIFS('F20-2024'!T:T,'F20-2024'!$D:$D,$D228,'F20-2024'!$E:$E,$E228,'F20-2024'!$F:$F,$F228)</f>
        <v>0</v>
      </c>
      <c r="U228" s="140">
        <f ca="1">SUMIFS('F20-2024'!U:U,'F20-2024'!$D:$D,$D228,'F20-2024'!$E:$E,$E228,'F20-2024'!$F:$F,$F228)</f>
        <v>0</v>
      </c>
      <c r="V228" s="140"/>
      <c r="W228" s="141" t="e">
        <f t="shared" ref="W228:AA228" ca="1" si="453">J228/$I228</f>
        <v>#DIV/0!</v>
      </c>
      <c r="X228" s="141" t="e">
        <f t="shared" ca="1" si="453"/>
        <v>#DIV/0!</v>
      </c>
      <c r="Y228" s="141" t="e">
        <f t="shared" ca="1" si="453"/>
        <v>#DIV/0!</v>
      </c>
      <c r="Z228" s="141" t="e">
        <f t="shared" ca="1" si="453"/>
        <v>#DIV/0!</v>
      </c>
      <c r="AA228" s="141" t="e">
        <f t="shared" ca="1" si="453"/>
        <v>#DIV/0!</v>
      </c>
      <c r="AB228" s="141"/>
      <c r="AC228" s="141" t="e">
        <f t="shared" ca="1" si="1"/>
        <v>#DIV/0!</v>
      </c>
      <c r="AD228" s="141" t="e">
        <f t="shared" ref="AD228:AI228" ca="1" si="454">O228/$I228</f>
        <v>#DIV/0!</v>
      </c>
      <c r="AE228" s="141" t="e">
        <f t="shared" ca="1" si="454"/>
        <v>#DIV/0!</v>
      </c>
      <c r="AF228" s="141" t="e">
        <f t="shared" ca="1" si="454"/>
        <v>#DIV/0!</v>
      </c>
      <c r="AG228" s="141" t="e">
        <f t="shared" ca="1" si="454"/>
        <v>#DIV/0!</v>
      </c>
      <c r="AH228" s="141" t="e">
        <f t="shared" ca="1" si="454"/>
        <v>#DIV/0!</v>
      </c>
      <c r="AI228" s="141" t="e">
        <f t="shared" ca="1" si="454"/>
        <v>#DIV/0!</v>
      </c>
      <c r="AJ228" s="140"/>
    </row>
    <row r="229" spans="1:36">
      <c r="A229" s="140" t="e">
        <f ca="1"/>
        <v>#NAME?</v>
      </c>
      <c r="B229" s="140" t="e">
        <f ca="1"/>
        <v>#NAME?</v>
      </c>
      <c r="C229" s="140" t="e">
        <f ca="1"/>
        <v>#NAME?</v>
      </c>
      <c r="D229" s="140" t="e">
        <f ca="1"/>
        <v>#NAME?</v>
      </c>
      <c r="E229" s="140" t="e">
        <f ca="1"/>
        <v>#NAME?</v>
      </c>
      <c r="F229" s="140" t="e">
        <f ca="1"/>
        <v>#NAME?</v>
      </c>
      <c r="G229" s="140" t="e">
        <f ca="1"/>
        <v>#NAME?</v>
      </c>
      <c r="H229" s="140"/>
      <c r="I229" s="140">
        <f ca="1">SUMIFS('F20-2024'!I:I,'F20-2024'!$D:$D,$D229,'F20-2024'!$E:$E,$E229,'F20-2024'!$F:$F,$F229)</f>
        <v>0</v>
      </c>
      <c r="J229" s="140">
        <f ca="1">SUMIFS('F20-2024'!J:J,'F20-2024'!$D:$D,$D229,'F20-2024'!$E:$E,$E229,'F20-2024'!$F:$F,$F229)</f>
        <v>0</v>
      </c>
      <c r="K229" s="140">
        <f ca="1">SUMIFS('F20-2024'!K:K,'F20-2024'!$D:$D,$D229,'F20-2024'!$E:$E,$E229,'F20-2024'!$F:$F,$F229)</f>
        <v>0</v>
      </c>
      <c r="L229" s="140">
        <f ca="1">SUMIFS('F20-2024'!L:L,'F20-2024'!$D:$D,$D229,'F20-2024'!$E:$E,$E229,'F20-2024'!$F:$F,$F229)</f>
        <v>0</v>
      </c>
      <c r="M229" s="140">
        <f ca="1">SUMIFS('F20-2024'!M:M,'F20-2024'!$D:$D,$D229,'F20-2024'!$E:$E,$E229,'F20-2024'!$F:$F,$F229)</f>
        <v>0</v>
      </c>
      <c r="N229" s="140">
        <f ca="1">SUMIFS('F20-2024'!N:N,'F20-2024'!$D:$D,$D229,'F20-2024'!$E:$E,$E229,'F20-2024'!$F:$F,$F229)</f>
        <v>0</v>
      </c>
      <c r="O229" s="140">
        <f ca="1">SUMIFS('F20-2024'!O:O,'F20-2024'!$D:$D,$D229,'F20-2024'!$E:$E,$E229,'F20-2024'!$F:$F,$F229)</f>
        <v>0</v>
      </c>
      <c r="P229" s="140">
        <f ca="1">SUMIFS('F20-2024'!P:P,'F20-2024'!$D:$D,$D229,'F20-2024'!$E:$E,$E229,'F20-2024'!$F:$F,$F229)</f>
        <v>0</v>
      </c>
      <c r="Q229" s="140">
        <f ca="1">SUMIFS('F20-2024'!Q:Q,'F20-2024'!$D:$D,$D229,'F20-2024'!$E:$E,$E229,'F20-2024'!$F:$F,$F229)</f>
        <v>0</v>
      </c>
      <c r="R229" s="140">
        <f ca="1">SUMIFS('F20-2024'!R:R,'F20-2024'!$D:$D,$D229,'F20-2024'!$E:$E,$E229,'F20-2024'!$F:$F,$F229)</f>
        <v>0</v>
      </c>
      <c r="S229" s="140">
        <f ca="1">SUMIFS('F20-2024'!S:S,'F20-2024'!$D:$D,$D229,'F20-2024'!$E:$E,$E229,'F20-2024'!$F:$F,$F229)</f>
        <v>0</v>
      </c>
      <c r="T229" s="140">
        <f ca="1">SUMIFS('F20-2024'!T:T,'F20-2024'!$D:$D,$D229,'F20-2024'!$E:$E,$E229,'F20-2024'!$F:$F,$F229)</f>
        <v>0</v>
      </c>
      <c r="U229" s="140">
        <f ca="1">SUMIFS('F20-2024'!U:U,'F20-2024'!$D:$D,$D229,'F20-2024'!$E:$E,$E229,'F20-2024'!$F:$F,$F229)</f>
        <v>0</v>
      </c>
      <c r="V229" s="140"/>
      <c r="W229" s="141" t="e">
        <f t="shared" ref="W229:AA229" ca="1" si="455">J229/$I229</f>
        <v>#DIV/0!</v>
      </c>
      <c r="X229" s="141" t="e">
        <f t="shared" ca="1" si="455"/>
        <v>#DIV/0!</v>
      </c>
      <c r="Y229" s="141" t="e">
        <f t="shared" ca="1" si="455"/>
        <v>#DIV/0!</v>
      </c>
      <c r="Z229" s="141" t="e">
        <f t="shared" ca="1" si="455"/>
        <v>#DIV/0!</v>
      </c>
      <c r="AA229" s="141" t="e">
        <f t="shared" ca="1" si="455"/>
        <v>#DIV/0!</v>
      </c>
      <c r="AB229" s="141"/>
      <c r="AC229" s="141" t="e">
        <f t="shared" ca="1" si="1"/>
        <v>#DIV/0!</v>
      </c>
      <c r="AD229" s="141" t="e">
        <f t="shared" ref="AD229:AI229" ca="1" si="456">O229/$I229</f>
        <v>#DIV/0!</v>
      </c>
      <c r="AE229" s="141" t="e">
        <f t="shared" ca="1" si="456"/>
        <v>#DIV/0!</v>
      </c>
      <c r="AF229" s="141" t="e">
        <f t="shared" ca="1" si="456"/>
        <v>#DIV/0!</v>
      </c>
      <c r="AG229" s="141" t="e">
        <f t="shared" ca="1" si="456"/>
        <v>#DIV/0!</v>
      </c>
      <c r="AH229" s="141" t="e">
        <f t="shared" ca="1" si="456"/>
        <v>#DIV/0!</v>
      </c>
      <c r="AI229" s="141" t="e">
        <f t="shared" ca="1" si="456"/>
        <v>#DIV/0!</v>
      </c>
      <c r="AJ229" s="140"/>
    </row>
    <row r="230" spans="1:36">
      <c r="A230" s="140" t="e">
        <f ca="1"/>
        <v>#NAME?</v>
      </c>
      <c r="B230" s="140" t="e">
        <f ca="1"/>
        <v>#NAME?</v>
      </c>
      <c r="C230" s="140" t="e">
        <f ca="1"/>
        <v>#NAME?</v>
      </c>
      <c r="D230" s="140" t="e">
        <f ca="1"/>
        <v>#NAME?</v>
      </c>
      <c r="E230" s="140" t="e">
        <f ca="1"/>
        <v>#NAME?</v>
      </c>
      <c r="F230" s="140" t="e">
        <f ca="1"/>
        <v>#NAME?</v>
      </c>
      <c r="G230" s="140" t="e">
        <f ca="1"/>
        <v>#NAME?</v>
      </c>
      <c r="H230" s="140"/>
      <c r="I230" s="140">
        <f ca="1">SUMIFS('F20-2024'!I:I,'F20-2024'!$D:$D,$D230,'F20-2024'!$E:$E,$E230,'F20-2024'!$F:$F,$F230)</f>
        <v>0</v>
      </c>
      <c r="J230" s="140">
        <f ca="1">SUMIFS('F20-2024'!J:J,'F20-2024'!$D:$D,$D230,'F20-2024'!$E:$E,$E230,'F20-2024'!$F:$F,$F230)</f>
        <v>0</v>
      </c>
      <c r="K230" s="140">
        <f ca="1">SUMIFS('F20-2024'!K:K,'F20-2024'!$D:$D,$D230,'F20-2024'!$E:$E,$E230,'F20-2024'!$F:$F,$F230)</f>
        <v>0</v>
      </c>
      <c r="L230" s="140">
        <f ca="1">SUMIFS('F20-2024'!L:L,'F20-2024'!$D:$D,$D230,'F20-2024'!$E:$E,$E230,'F20-2024'!$F:$F,$F230)</f>
        <v>0</v>
      </c>
      <c r="M230" s="140">
        <f ca="1">SUMIFS('F20-2024'!M:M,'F20-2024'!$D:$D,$D230,'F20-2024'!$E:$E,$E230,'F20-2024'!$F:$F,$F230)</f>
        <v>0</v>
      </c>
      <c r="N230" s="140">
        <f ca="1">SUMIFS('F20-2024'!N:N,'F20-2024'!$D:$D,$D230,'F20-2024'!$E:$E,$E230,'F20-2024'!$F:$F,$F230)</f>
        <v>0</v>
      </c>
      <c r="O230" s="140">
        <f ca="1">SUMIFS('F20-2024'!O:O,'F20-2024'!$D:$D,$D230,'F20-2024'!$E:$E,$E230,'F20-2024'!$F:$F,$F230)</f>
        <v>0</v>
      </c>
      <c r="P230" s="140">
        <f ca="1">SUMIFS('F20-2024'!P:P,'F20-2024'!$D:$D,$D230,'F20-2024'!$E:$E,$E230,'F20-2024'!$F:$F,$F230)</f>
        <v>0</v>
      </c>
      <c r="Q230" s="140">
        <f ca="1">SUMIFS('F20-2024'!Q:Q,'F20-2024'!$D:$D,$D230,'F20-2024'!$E:$E,$E230,'F20-2024'!$F:$F,$F230)</f>
        <v>0</v>
      </c>
      <c r="R230" s="140">
        <f ca="1">SUMIFS('F20-2024'!R:R,'F20-2024'!$D:$D,$D230,'F20-2024'!$E:$E,$E230,'F20-2024'!$F:$F,$F230)</f>
        <v>0</v>
      </c>
      <c r="S230" s="140">
        <f ca="1">SUMIFS('F20-2024'!S:S,'F20-2024'!$D:$D,$D230,'F20-2024'!$E:$E,$E230,'F20-2024'!$F:$F,$F230)</f>
        <v>0</v>
      </c>
      <c r="T230" s="140">
        <f ca="1">SUMIFS('F20-2024'!T:T,'F20-2024'!$D:$D,$D230,'F20-2024'!$E:$E,$E230,'F20-2024'!$F:$F,$F230)</f>
        <v>0</v>
      </c>
      <c r="U230" s="140">
        <f ca="1">SUMIFS('F20-2024'!U:U,'F20-2024'!$D:$D,$D230,'F20-2024'!$E:$E,$E230,'F20-2024'!$F:$F,$F230)</f>
        <v>0</v>
      </c>
      <c r="V230" s="140"/>
      <c r="W230" s="141" t="e">
        <f t="shared" ref="W230:AA230" ca="1" si="457">J230/$I230</f>
        <v>#DIV/0!</v>
      </c>
      <c r="X230" s="141" t="e">
        <f t="shared" ca="1" si="457"/>
        <v>#DIV/0!</v>
      </c>
      <c r="Y230" s="141" t="e">
        <f t="shared" ca="1" si="457"/>
        <v>#DIV/0!</v>
      </c>
      <c r="Z230" s="141" t="e">
        <f t="shared" ca="1" si="457"/>
        <v>#DIV/0!</v>
      </c>
      <c r="AA230" s="141" t="e">
        <f t="shared" ca="1" si="457"/>
        <v>#DIV/0!</v>
      </c>
      <c r="AB230" s="141"/>
      <c r="AC230" s="141" t="e">
        <f t="shared" ca="1" si="1"/>
        <v>#DIV/0!</v>
      </c>
      <c r="AD230" s="141" t="e">
        <f t="shared" ref="AD230:AI230" ca="1" si="458">O230/$I230</f>
        <v>#DIV/0!</v>
      </c>
      <c r="AE230" s="141" t="e">
        <f t="shared" ca="1" si="458"/>
        <v>#DIV/0!</v>
      </c>
      <c r="AF230" s="141" t="e">
        <f t="shared" ca="1" si="458"/>
        <v>#DIV/0!</v>
      </c>
      <c r="AG230" s="141" t="e">
        <f t="shared" ca="1" si="458"/>
        <v>#DIV/0!</v>
      </c>
      <c r="AH230" s="141" t="e">
        <f t="shared" ca="1" si="458"/>
        <v>#DIV/0!</v>
      </c>
      <c r="AI230" s="141" t="e">
        <f t="shared" ca="1" si="458"/>
        <v>#DIV/0!</v>
      </c>
      <c r="AJ230" s="140"/>
    </row>
    <row r="231" spans="1:36">
      <c r="A231" s="140" t="e">
        <f ca="1"/>
        <v>#NAME?</v>
      </c>
      <c r="B231" s="140" t="e">
        <f ca="1"/>
        <v>#NAME?</v>
      </c>
      <c r="C231" s="140" t="e">
        <f ca="1"/>
        <v>#NAME?</v>
      </c>
      <c r="D231" s="140" t="e">
        <f ca="1"/>
        <v>#NAME?</v>
      </c>
      <c r="E231" s="140" t="e">
        <f ca="1"/>
        <v>#NAME?</v>
      </c>
      <c r="F231" s="140" t="e">
        <f ca="1"/>
        <v>#NAME?</v>
      </c>
      <c r="G231" s="140" t="e">
        <f ca="1"/>
        <v>#NAME?</v>
      </c>
      <c r="H231" s="140"/>
      <c r="I231" s="140">
        <f ca="1">SUMIFS('F20-2024'!I:I,'F20-2024'!$D:$D,$D231,'F20-2024'!$E:$E,$E231,'F20-2024'!$F:$F,$F231)</f>
        <v>0</v>
      </c>
      <c r="J231" s="140">
        <f ca="1">SUMIFS('F20-2024'!J:J,'F20-2024'!$D:$D,$D231,'F20-2024'!$E:$E,$E231,'F20-2024'!$F:$F,$F231)</f>
        <v>0</v>
      </c>
      <c r="K231" s="140">
        <f ca="1">SUMIFS('F20-2024'!K:K,'F20-2024'!$D:$D,$D231,'F20-2024'!$E:$E,$E231,'F20-2024'!$F:$F,$F231)</f>
        <v>0</v>
      </c>
      <c r="L231" s="140">
        <f ca="1">SUMIFS('F20-2024'!L:L,'F20-2024'!$D:$D,$D231,'F20-2024'!$E:$E,$E231,'F20-2024'!$F:$F,$F231)</f>
        <v>0</v>
      </c>
      <c r="M231" s="140">
        <f ca="1">SUMIFS('F20-2024'!M:M,'F20-2024'!$D:$D,$D231,'F20-2024'!$E:$E,$E231,'F20-2024'!$F:$F,$F231)</f>
        <v>0</v>
      </c>
      <c r="N231" s="140">
        <f ca="1">SUMIFS('F20-2024'!N:N,'F20-2024'!$D:$D,$D231,'F20-2024'!$E:$E,$E231,'F20-2024'!$F:$F,$F231)</f>
        <v>0</v>
      </c>
      <c r="O231" s="140">
        <f ca="1">SUMIFS('F20-2024'!O:O,'F20-2024'!$D:$D,$D231,'F20-2024'!$E:$E,$E231,'F20-2024'!$F:$F,$F231)</f>
        <v>0</v>
      </c>
      <c r="P231" s="140">
        <f ca="1">SUMIFS('F20-2024'!P:P,'F20-2024'!$D:$D,$D231,'F20-2024'!$E:$E,$E231,'F20-2024'!$F:$F,$F231)</f>
        <v>0</v>
      </c>
      <c r="Q231" s="140">
        <f ca="1">SUMIFS('F20-2024'!Q:Q,'F20-2024'!$D:$D,$D231,'F20-2024'!$E:$E,$E231,'F20-2024'!$F:$F,$F231)</f>
        <v>0</v>
      </c>
      <c r="R231" s="140">
        <f ca="1">SUMIFS('F20-2024'!R:R,'F20-2024'!$D:$D,$D231,'F20-2024'!$E:$E,$E231,'F20-2024'!$F:$F,$F231)</f>
        <v>0</v>
      </c>
      <c r="S231" s="140">
        <f ca="1">SUMIFS('F20-2024'!S:S,'F20-2024'!$D:$D,$D231,'F20-2024'!$E:$E,$E231,'F20-2024'!$F:$F,$F231)</f>
        <v>0</v>
      </c>
      <c r="T231" s="140">
        <f ca="1">SUMIFS('F20-2024'!T:T,'F20-2024'!$D:$D,$D231,'F20-2024'!$E:$E,$E231,'F20-2024'!$F:$F,$F231)</f>
        <v>0</v>
      </c>
      <c r="U231" s="140">
        <f ca="1">SUMIFS('F20-2024'!U:U,'F20-2024'!$D:$D,$D231,'F20-2024'!$E:$E,$E231,'F20-2024'!$F:$F,$F231)</f>
        <v>0</v>
      </c>
      <c r="V231" s="140"/>
      <c r="W231" s="141" t="e">
        <f t="shared" ref="W231:AA231" ca="1" si="459">J231/$I231</f>
        <v>#DIV/0!</v>
      </c>
      <c r="X231" s="141" t="e">
        <f t="shared" ca="1" si="459"/>
        <v>#DIV/0!</v>
      </c>
      <c r="Y231" s="141" t="e">
        <f t="shared" ca="1" si="459"/>
        <v>#DIV/0!</v>
      </c>
      <c r="Z231" s="141" t="e">
        <f t="shared" ca="1" si="459"/>
        <v>#DIV/0!</v>
      </c>
      <c r="AA231" s="141" t="e">
        <f t="shared" ca="1" si="459"/>
        <v>#DIV/0!</v>
      </c>
      <c r="AB231" s="141"/>
      <c r="AC231" s="141" t="e">
        <f t="shared" ca="1" si="1"/>
        <v>#DIV/0!</v>
      </c>
      <c r="AD231" s="141" t="e">
        <f t="shared" ref="AD231:AI231" ca="1" si="460">O231/$I231</f>
        <v>#DIV/0!</v>
      </c>
      <c r="AE231" s="141" t="e">
        <f t="shared" ca="1" si="460"/>
        <v>#DIV/0!</v>
      </c>
      <c r="AF231" s="141" t="e">
        <f t="shared" ca="1" si="460"/>
        <v>#DIV/0!</v>
      </c>
      <c r="AG231" s="141" t="e">
        <f t="shared" ca="1" si="460"/>
        <v>#DIV/0!</v>
      </c>
      <c r="AH231" s="141" t="e">
        <f t="shared" ca="1" si="460"/>
        <v>#DIV/0!</v>
      </c>
      <c r="AI231" s="141" t="e">
        <f t="shared" ca="1" si="460"/>
        <v>#DIV/0!</v>
      </c>
      <c r="AJ231" s="140"/>
    </row>
    <row r="232" spans="1:36">
      <c r="A232" s="140" t="e">
        <f ca="1"/>
        <v>#NAME?</v>
      </c>
      <c r="B232" s="140" t="e">
        <f ca="1"/>
        <v>#NAME?</v>
      </c>
      <c r="C232" s="140" t="e">
        <f ca="1"/>
        <v>#NAME?</v>
      </c>
      <c r="D232" s="140" t="e">
        <f ca="1"/>
        <v>#NAME?</v>
      </c>
      <c r="E232" s="140" t="e">
        <f ca="1"/>
        <v>#NAME?</v>
      </c>
      <c r="F232" s="140" t="e">
        <f ca="1"/>
        <v>#NAME?</v>
      </c>
      <c r="G232" s="140" t="e">
        <f ca="1"/>
        <v>#NAME?</v>
      </c>
      <c r="H232" s="140"/>
      <c r="I232" s="140">
        <f ca="1">SUMIFS('F20-2024'!I:I,'F20-2024'!$D:$D,$D232,'F20-2024'!$E:$E,$E232,'F20-2024'!$F:$F,$F232)</f>
        <v>0</v>
      </c>
      <c r="J232" s="140">
        <f ca="1">SUMIFS('F20-2024'!J:J,'F20-2024'!$D:$D,$D232,'F20-2024'!$E:$E,$E232,'F20-2024'!$F:$F,$F232)</f>
        <v>0</v>
      </c>
      <c r="K232" s="140">
        <f ca="1">SUMIFS('F20-2024'!K:K,'F20-2024'!$D:$D,$D232,'F20-2024'!$E:$E,$E232,'F20-2024'!$F:$F,$F232)</f>
        <v>0</v>
      </c>
      <c r="L232" s="140">
        <f ca="1">SUMIFS('F20-2024'!L:L,'F20-2024'!$D:$D,$D232,'F20-2024'!$E:$E,$E232,'F20-2024'!$F:$F,$F232)</f>
        <v>0</v>
      </c>
      <c r="M232" s="140">
        <f ca="1">SUMIFS('F20-2024'!M:M,'F20-2024'!$D:$D,$D232,'F20-2024'!$E:$E,$E232,'F20-2024'!$F:$F,$F232)</f>
        <v>0</v>
      </c>
      <c r="N232" s="140">
        <f ca="1">SUMIFS('F20-2024'!N:N,'F20-2024'!$D:$D,$D232,'F20-2024'!$E:$E,$E232,'F20-2024'!$F:$F,$F232)</f>
        <v>0</v>
      </c>
      <c r="O232" s="140">
        <f ca="1">SUMIFS('F20-2024'!O:O,'F20-2024'!$D:$D,$D232,'F20-2024'!$E:$E,$E232,'F20-2024'!$F:$F,$F232)</f>
        <v>0</v>
      </c>
      <c r="P232" s="140">
        <f ca="1">SUMIFS('F20-2024'!P:P,'F20-2024'!$D:$D,$D232,'F20-2024'!$E:$E,$E232,'F20-2024'!$F:$F,$F232)</f>
        <v>0</v>
      </c>
      <c r="Q232" s="140">
        <f ca="1">SUMIFS('F20-2024'!Q:Q,'F20-2024'!$D:$D,$D232,'F20-2024'!$E:$E,$E232,'F20-2024'!$F:$F,$F232)</f>
        <v>0</v>
      </c>
      <c r="R232" s="140">
        <f ca="1">SUMIFS('F20-2024'!R:R,'F20-2024'!$D:$D,$D232,'F20-2024'!$E:$E,$E232,'F20-2024'!$F:$F,$F232)</f>
        <v>0</v>
      </c>
      <c r="S232" s="140">
        <f ca="1">SUMIFS('F20-2024'!S:S,'F20-2024'!$D:$D,$D232,'F20-2024'!$E:$E,$E232,'F20-2024'!$F:$F,$F232)</f>
        <v>0</v>
      </c>
      <c r="T232" s="140">
        <f ca="1">SUMIFS('F20-2024'!T:T,'F20-2024'!$D:$D,$D232,'F20-2024'!$E:$E,$E232,'F20-2024'!$F:$F,$F232)</f>
        <v>0</v>
      </c>
      <c r="U232" s="140">
        <f ca="1">SUMIFS('F20-2024'!U:U,'F20-2024'!$D:$D,$D232,'F20-2024'!$E:$E,$E232,'F20-2024'!$F:$F,$F232)</f>
        <v>0</v>
      </c>
      <c r="V232" s="140"/>
      <c r="W232" s="141" t="e">
        <f t="shared" ref="W232:AA232" ca="1" si="461">J232/$I232</f>
        <v>#DIV/0!</v>
      </c>
      <c r="X232" s="141" t="e">
        <f t="shared" ca="1" si="461"/>
        <v>#DIV/0!</v>
      </c>
      <c r="Y232" s="141" t="e">
        <f t="shared" ca="1" si="461"/>
        <v>#DIV/0!</v>
      </c>
      <c r="Z232" s="141" t="e">
        <f t="shared" ca="1" si="461"/>
        <v>#DIV/0!</v>
      </c>
      <c r="AA232" s="141" t="e">
        <f t="shared" ca="1" si="461"/>
        <v>#DIV/0!</v>
      </c>
      <c r="AB232" s="141"/>
      <c r="AC232" s="141" t="e">
        <f t="shared" ca="1" si="1"/>
        <v>#DIV/0!</v>
      </c>
      <c r="AD232" s="141" t="e">
        <f t="shared" ref="AD232:AI232" ca="1" si="462">O232/$I232</f>
        <v>#DIV/0!</v>
      </c>
      <c r="AE232" s="141" t="e">
        <f t="shared" ca="1" si="462"/>
        <v>#DIV/0!</v>
      </c>
      <c r="AF232" s="141" t="e">
        <f t="shared" ca="1" si="462"/>
        <v>#DIV/0!</v>
      </c>
      <c r="AG232" s="141" t="e">
        <f t="shared" ca="1" si="462"/>
        <v>#DIV/0!</v>
      </c>
      <c r="AH232" s="141" t="e">
        <f t="shared" ca="1" si="462"/>
        <v>#DIV/0!</v>
      </c>
      <c r="AI232" s="141" t="e">
        <f t="shared" ca="1" si="462"/>
        <v>#DIV/0!</v>
      </c>
      <c r="AJ232" s="140"/>
    </row>
    <row r="233" spans="1:36">
      <c r="A233" s="140" t="e">
        <f ca="1"/>
        <v>#NAME?</v>
      </c>
      <c r="B233" s="140" t="e">
        <f ca="1"/>
        <v>#NAME?</v>
      </c>
      <c r="C233" s="140" t="e">
        <f ca="1"/>
        <v>#NAME?</v>
      </c>
      <c r="D233" s="140" t="e">
        <f ca="1"/>
        <v>#NAME?</v>
      </c>
      <c r="E233" s="140" t="e">
        <f ca="1"/>
        <v>#NAME?</v>
      </c>
      <c r="F233" s="140" t="e">
        <f ca="1"/>
        <v>#NAME?</v>
      </c>
      <c r="G233" s="140" t="e">
        <f ca="1"/>
        <v>#NAME?</v>
      </c>
      <c r="H233" s="140"/>
      <c r="I233" s="140">
        <f ca="1">SUMIFS('F20-2024'!I:I,'F20-2024'!$D:$D,$D233,'F20-2024'!$E:$E,$E233,'F20-2024'!$F:$F,$F233)</f>
        <v>0</v>
      </c>
      <c r="J233" s="140">
        <f ca="1">SUMIFS('F20-2024'!J:J,'F20-2024'!$D:$D,$D233,'F20-2024'!$E:$E,$E233,'F20-2024'!$F:$F,$F233)</f>
        <v>0</v>
      </c>
      <c r="K233" s="140">
        <f ca="1">SUMIFS('F20-2024'!K:K,'F20-2024'!$D:$D,$D233,'F20-2024'!$E:$E,$E233,'F20-2024'!$F:$F,$F233)</f>
        <v>0</v>
      </c>
      <c r="L233" s="140">
        <f ca="1">SUMIFS('F20-2024'!L:L,'F20-2024'!$D:$D,$D233,'F20-2024'!$E:$E,$E233,'F20-2024'!$F:$F,$F233)</f>
        <v>0</v>
      </c>
      <c r="M233" s="140">
        <f ca="1">SUMIFS('F20-2024'!M:M,'F20-2024'!$D:$D,$D233,'F20-2024'!$E:$E,$E233,'F20-2024'!$F:$F,$F233)</f>
        <v>0</v>
      </c>
      <c r="N233" s="140">
        <f ca="1">SUMIFS('F20-2024'!N:N,'F20-2024'!$D:$D,$D233,'F20-2024'!$E:$E,$E233,'F20-2024'!$F:$F,$F233)</f>
        <v>0</v>
      </c>
      <c r="O233" s="140">
        <f ca="1">SUMIFS('F20-2024'!O:O,'F20-2024'!$D:$D,$D233,'F20-2024'!$E:$E,$E233,'F20-2024'!$F:$F,$F233)</f>
        <v>0</v>
      </c>
      <c r="P233" s="140">
        <f ca="1">SUMIFS('F20-2024'!P:P,'F20-2024'!$D:$D,$D233,'F20-2024'!$E:$E,$E233,'F20-2024'!$F:$F,$F233)</f>
        <v>0</v>
      </c>
      <c r="Q233" s="140">
        <f ca="1">SUMIFS('F20-2024'!Q:Q,'F20-2024'!$D:$D,$D233,'F20-2024'!$E:$E,$E233,'F20-2024'!$F:$F,$F233)</f>
        <v>0</v>
      </c>
      <c r="R233" s="140">
        <f ca="1">SUMIFS('F20-2024'!R:R,'F20-2024'!$D:$D,$D233,'F20-2024'!$E:$E,$E233,'F20-2024'!$F:$F,$F233)</f>
        <v>0</v>
      </c>
      <c r="S233" s="140">
        <f ca="1">SUMIFS('F20-2024'!S:S,'F20-2024'!$D:$D,$D233,'F20-2024'!$E:$E,$E233,'F20-2024'!$F:$F,$F233)</f>
        <v>0</v>
      </c>
      <c r="T233" s="140">
        <f ca="1">SUMIFS('F20-2024'!T:T,'F20-2024'!$D:$D,$D233,'F20-2024'!$E:$E,$E233,'F20-2024'!$F:$F,$F233)</f>
        <v>0</v>
      </c>
      <c r="U233" s="140">
        <f ca="1">SUMIFS('F20-2024'!U:U,'F20-2024'!$D:$D,$D233,'F20-2024'!$E:$E,$E233,'F20-2024'!$F:$F,$F233)</f>
        <v>0</v>
      </c>
      <c r="V233" s="140"/>
      <c r="W233" s="141" t="e">
        <f t="shared" ref="W233:AA233" ca="1" si="463">J233/$I233</f>
        <v>#DIV/0!</v>
      </c>
      <c r="X233" s="141" t="e">
        <f t="shared" ca="1" si="463"/>
        <v>#DIV/0!</v>
      </c>
      <c r="Y233" s="141" t="e">
        <f t="shared" ca="1" si="463"/>
        <v>#DIV/0!</v>
      </c>
      <c r="Z233" s="141" t="e">
        <f t="shared" ca="1" si="463"/>
        <v>#DIV/0!</v>
      </c>
      <c r="AA233" s="141" t="e">
        <f t="shared" ca="1" si="463"/>
        <v>#DIV/0!</v>
      </c>
      <c r="AB233" s="141"/>
      <c r="AC233" s="141" t="e">
        <f t="shared" ca="1" si="1"/>
        <v>#DIV/0!</v>
      </c>
      <c r="AD233" s="141" t="e">
        <f t="shared" ref="AD233:AI233" ca="1" si="464">O233/$I233</f>
        <v>#DIV/0!</v>
      </c>
      <c r="AE233" s="141" t="e">
        <f t="shared" ca="1" si="464"/>
        <v>#DIV/0!</v>
      </c>
      <c r="AF233" s="141" t="e">
        <f t="shared" ca="1" si="464"/>
        <v>#DIV/0!</v>
      </c>
      <c r="AG233" s="141" t="e">
        <f t="shared" ca="1" si="464"/>
        <v>#DIV/0!</v>
      </c>
      <c r="AH233" s="141" t="e">
        <f t="shared" ca="1" si="464"/>
        <v>#DIV/0!</v>
      </c>
      <c r="AI233" s="141" t="e">
        <f t="shared" ca="1" si="464"/>
        <v>#DIV/0!</v>
      </c>
      <c r="AJ233" s="140"/>
    </row>
    <row r="234" spans="1:36">
      <c r="A234" s="140" t="e">
        <f ca="1"/>
        <v>#NAME?</v>
      </c>
      <c r="B234" s="140" t="e">
        <f ca="1"/>
        <v>#NAME?</v>
      </c>
      <c r="C234" s="140" t="e">
        <f ca="1"/>
        <v>#NAME?</v>
      </c>
      <c r="D234" s="140" t="e">
        <f ca="1"/>
        <v>#NAME?</v>
      </c>
      <c r="E234" s="140" t="e">
        <f ca="1"/>
        <v>#NAME?</v>
      </c>
      <c r="F234" s="140" t="e">
        <f ca="1"/>
        <v>#NAME?</v>
      </c>
      <c r="G234" s="140" t="e">
        <f ca="1"/>
        <v>#NAME?</v>
      </c>
      <c r="H234" s="140"/>
      <c r="I234" s="140">
        <f ca="1">SUMIFS('F20-2024'!I:I,'F20-2024'!$D:$D,$D234,'F20-2024'!$E:$E,$E234,'F20-2024'!$F:$F,$F234)</f>
        <v>0</v>
      </c>
      <c r="J234" s="140">
        <f ca="1">SUMIFS('F20-2024'!J:J,'F20-2024'!$D:$D,$D234,'F20-2024'!$E:$E,$E234,'F20-2024'!$F:$F,$F234)</f>
        <v>0</v>
      </c>
      <c r="K234" s="140">
        <f ca="1">SUMIFS('F20-2024'!K:K,'F20-2024'!$D:$D,$D234,'F20-2024'!$E:$E,$E234,'F20-2024'!$F:$F,$F234)</f>
        <v>0</v>
      </c>
      <c r="L234" s="140">
        <f ca="1">SUMIFS('F20-2024'!L:L,'F20-2024'!$D:$D,$D234,'F20-2024'!$E:$E,$E234,'F20-2024'!$F:$F,$F234)</f>
        <v>0</v>
      </c>
      <c r="M234" s="140">
        <f ca="1">SUMIFS('F20-2024'!M:M,'F20-2024'!$D:$D,$D234,'F20-2024'!$E:$E,$E234,'F20-2024'!$F:$F,$F234)</f>
        <v>0</v>
      </c>
      <c r="N234" s="140">
        <f ca="1">SUMIFS('F20-2024'!N:N,'F20-2024'!$D:$D,$D234,'F20-2024'!$E:$E,$E234,'F20-2024'!$F:$F,$F234)</f>
        <v>0</v>
      </c>
      <c r="O234" s="140">
        <f ca="1">SUMIFS('F20-2024'!O:O,'F20-2024'!$D:$D,$D234,'F20-2024'!$E:$E,$E234,'F20-2024'!$F:$F,$F234)</f>
        <v>0</v>
      </c>
      <c r="P234" s="140">
        <f ca="1">SUMIFS('F20-2024'!P:P,'F20-2024'!$D:$D,$D234,'F20-2024'!$E:$E,$E234,'F20-2024'!$F:$F,$F234)</f>
        <v>0</v>
      </c>
      <c r="Q234" s="140">
        <f ca="1">SUMIFS('F20-2024'!Q:Q,'F20-2024'!$D:$D,$D234,'F20-2024'!$E:$E,$E234,'F20-2024'!$F:$F,$F234)</f>
        <v>0</v>
      </c>
      <c r="R234" s="140">
        <f ca="1">SUMIFS('F20-2024'!R:R,'F20-2024'!$D:$D,$D234,'F20-2024'!$E:$E,$E234,'F20-2024'!$F:$F,$F234)</f>
        <v>0</v>
      </c>
      <c r="S234" s="140">
        <f ca="1">SUMIFS('F20-2024'!S:S,'F20-2024'!$D:$D,$D234,'F20-2024'!$E:$E,$E234,'F20-2024'!$F:$F,$F234)</f>
        <v>0</v>
      </c>
      <c r="T234" s="140">
        <f ca="1">SUMIFS('F20-2024'!T:T,'F20-2024'!$D:$D,$D234,'F20-2024'!$E:$E,$E234,'F20-2024'!$F:$F,$F234)</f>
        <v>0</v>
      </c>
      <c r="U234" s="140">
        <f ca="1">SUMIFS('F20-2024'!U:U,'F20-2024'!$D:$D,$D234,'F20-2024'!$E:$E,$E234,'F20-2024'!$F:$F,$F234)</f>
        <v>0</v>
      </c>
      <c r="V234" s="140"/>
      <c r="W234" s="141" t="e">
        <f t="shared" ref="W234:AA234" ca="1" si="465">J234/$I234</f>
        <v>#DIV/0!</v>
      </c>
      <c r="X234" s="141" t="e">
        <f t="shared" ca="1" si="465"/>
        <v>#DIV/0!</v>
      </c>
      <c r="Y234" s="141" t="e">
        <f t="shared" ca="1" si="465"/>
        <v>#DIV/0!</v>
      </c>
      <c r="Z234" s="141" t="e">
        <f t="shared" ca="1" si="465"/>
        <v>#DIV/0!</v>
      </c>
      <c r="AA234" s="141" t="e">
        <f t="shared" ca="1" si="465"/>
        <v>#DIV/0!</v>
      </c>
      <c r="AB234" s="141"/>
      <c r="AC234" s="141" t="e">
        <f t="shared" ca="1" si="1"/>
        <v>#DIV/0!</v>
      </c>
      <c r="AD234" s="141" t="e">
        <f t="shared" ref="AD234:AI234" ca="1" si="466">O234/$I234</f>
        <v>#DIV/0!</v>
      </c>
      <c r="AE234" s="141" t="e">
        <f t="shared" ca="1" si="466"/>
        <v>#DIV/0!</v>
      </c>
      <c r="AF234" s="141" t="e">
        <f t="shared" ca="1" si="466"/>
        <v>#DIV/0!</v>
      </c>
      <c r="AG234" s="141" t="e">
        <f t="shared" ca="1" si="466"/>
        <v>#DIV/0!</v>
      </c>
      <c r="AH234" s="141" t="e">
        <f t="shared" ca="1" si="466"/>
        <v>#DIV/0!</v>
      </c>
      <c r="AI234" s="141" t="e">
        <f t="shared" ca="1" si="466"/>
        <v>#DIV/0!</v>
      </c>
      <c r="AJ234" s="140"/>
    </row>
    <row r="235" spans="1:36">
      <c r="A235" s="140" t="e">
        <f ca="1"/>
        <v>#NAME?</v>
      </c>
      <c r="B235" s="140" t="e">
        <f ca="1"/>
        <v>#NAME?</v>
      </c>
      <c r="C235" s="140" t="e">
        <f ca="1"/>
        <v>#NAME?</v>
      </c>
      <c r="D235" s="140" t="e">
        <f ca="1"/>
        <v>#NAME?</v>
      </c>
      <c r="E235" s="140" t="e">
        <f ca="1"/>
        <v>#NAME?</v>
      </c>
      <c r="F235" s="140" t="e">
        <f ca="1"/>
        <v>#NAME?</v>
      </c>
      <c r="G235" s="140" t="e">
        <f ca="1"/>
        <v>#NAME?</v>
      </c>
      <c r="H235" s="140"/>
      <c r="I235" s="140">
        <f ca="1">SUMIFS('F20-2024'!I:I,'F20-2024'!$D:$D,$D235,'F20-2024'!$E:$E,$E235,'F20-2024'!$F:$F,$F235)</f>
        <v>0</v>
      </c>
      <c r="J235" s="140">
        <f ca="1">SUMIFS('F20-2024'!J:J,'F20-2024'!$D:$D,$D235,'F20-2024'!$E:$E,$E235,'F20-2024'!$F:$F,$F235)</f>
        <v>0</v>
      </c>
      <c r="K235" s="140">
        <f ca="1">SUMIFS('F20-2024'!K:K,'F20-2024'!$D:$D,$D235,'F20-2024'!$E:$E,$E235,'F20-2024'!$F:$F,$F235)</f>
        <v>0</v>
      </c>
      <c r="L235" s="140">
        <f ca="1">SUMIFS('F20-2024'!L:L,'F20-2024'!$D:$D,$D235,'F20-2024'!$E:$E,$E235,'F20-2024'!$F:$F,$F235)</f>
        <v>0</v>
      </c>
      <c r="M235" s="140">
        <f ca="1">SUMIFS('F20-2024'!M:M,'F20-2024'!$D:$D,$D235,'F20-2024'!$E:$E,$E235,'F20-2024'!$F:$F,$F235)</f>
        <v>0</v>
      </c>
      <c r="N235" s="140">
        <f ca="1">SUMIFS('F20-2024'!N:N,'F20-2024'!$D:$D,$D235,'F20-2024'!$E:$E,$E235,'F20-2024'!$F:$F,$F235)</f>
        <v>0</v>
      </c>
      <c r="O235" s="140">
        <f ca="1">SUMIFS('F20-2024'!O:O,'F20-2024'!$D:$D,$D235,'F20-2024'!$E:$E,$E235,'F20-2024'!$F:$F,$F235)</f>
        <v>0</v>
      </c>
      <c r="P235" s="140">
        <f ca="1">SUMIFS('F20-2024'!P:P,'F20-2024'!$D:$D,$D235,'F20-2024'!$E:$E,$E235,'F20-2024'!$F:$F,$F235)</f>
        <v>0</v>
      </c>
      <c r="Q235" s="140">
        <f ca="1">SUMIFS('F20-2024'!Q:Q,'F20-2024'!$D:$D,$D235,'F20-2024'!$E:$E,$E235,'F20-2024'!$F:$F,$F235)</f>
        <v>0</v>
      </c>
      <c r="R235" s="140">
        <f ca="1">SUMIFS('F20-2024'!R:R,'F20-2024'!$D:$D,$D235,'F20-2024'!$E:$E,$E235,'F20-2024'!$F:$F,$F235)</f>
        <v>0</v>
      </c>
      <c r="S235" s="140">
        <f ca="1">SUMIFS('F20-2024'!S:S,'F20-2024'!$D:$D,$D235,'F20-2024'!$E:$E,$E235,'F20-2024'!$F:$F,$F235)</f>
        <v>0</v>
      </c>
      <c r="T235" s="140">
        <f ca="1">SUMIFS('F20-2024'!T:T,'F20-2024'!$D:$D,$D235,'F20-2024'!$E:$E,$E235,'F20-2024'!$F:$F,$F235)</f>
        <v>0</v>
      </c>
      <c r="U235" s="140">
        <f ca="1">SUMIFS('F20-2024'!U:U,'F20-2024'!$D:$D,$D235,'F20-2024'!$E:$E,$E235,'F20-2024'!$F:$F,$F235)</f>
        <v>0</v>
      </c>
      <c r="V235" s="140"/>
      <c r="W235" s="141" t="e">
        <f t="shared" ref="W235:AA235" ca="1" si="467">J235/$I235</f>
        <v>#DIV/0!</v>
      </c>
      <c r="X235" s="141" t="e">
        <f t="shared" ca="1" si="467"/>
        <v>#DIV/0!</v>
      </c>
      <c r="Y235" s="141" t="e">
        <f t="shared" ca="1" si="467"/>
        <v>#DIV/0!</v>
      </c>
      <c r="Z235" s="141" t="e">
        <f t="shared" ca="1" si="467"/>
        <v>#DIV/0!</v>
      </c>
      <c r="AA235" s="141" t="e">
        <f t="shared" ca="1" si="467"/>
        <v>#DIV/0!</v>
      </c>
      <c r="AB235" s="141"/>
      <c r="AC235" s="141" t="e">
        <f t="shared" ca="1" si="1"/>
        <v>#DIV/0!</v>
      </c>
      <c r="AD235" s="141" t="e">
        <f t="shared" ref="AD235:AI235" ca="1" si="468">O235/$I235</f>
        <v>#DIV/0!</v>
      </c>
      <c r="AE235" s="141" t="e">
        <f t="shared" ca="1" si="468"/>
        <v>#DIV/0!</v>
      </c>
      <c r="AF235" s="141" t="e">
        <f t="shared" ca="1" si="468"/>
        <v>#DIV/0!</v>
      </c>
      <c r="AG235" s="141" t="e">
        <f t="shared" ca="1" si="468"/>
        <v>#DIV/0!</v>
      </c>
      <c r="AH235" s="141" t="e">
        <f t="shared" ca="1" si="468"/>
        <v>#DIV/0!</v>
      </c>
      <c r="AI235" s="141" t="e">
        <f t="shared" ca="1" si="468"/>
        <v>#DIV/0!</v>
      </c>
      <c r="AJ235" s="140"/>
    </row>
    <row r="236" spans="1:36">
      <c r="A236" s="140" t="e">
        <f ca="1"/>
        <v>#NAME?</v>
      </c>
      <c r="B236" s="140" t="e">
        <f ca="1"/>
        <v>#NAME?</v>
      </c>
      <c r="C236" s="140" t="e">
        <f ca="1"/>
        <v>#NAME?</v>
      </c>
      <c r="D236" s="140" t="e">
        <f ca="1"/>
        <v>#NAME?</v>
      </c>
      <c r="E236" s="140" t="e">
        <f ca="1"/>
        <v>#NAME?</v>
      </c>
      <c r="F236" s="140" t="e">
        <f ca="1"/>
        <v>#NAME?</v>
      </c>
      <c r="G236" s="140" t="e">
        <f ca="1"/>
        <v>#NAME?</v>
      </c>
      <c r="H236" s="140"/>
      <c r="I236" s="140">
        <f ca="1">SUMIFS('F20-2024'!I:I,'F20-2024'!$D:$D,$D236,'F20-2024'!$E:$E,$E236,'F20-2024'!$F:$F,$F236)</f>
        <v>0</v>
      </c>
      <c r="J236" s="140">
        <f ca="1">SUMIFS('F20-2024'!J:J,'F20-2024'!$D:$D,$D236,'F20-2024'!$E:$E,$E236,'F20-2024'!$F:$F,$F236)</f>
        <v>0</v>
      </c>
      <c r="K236" s="140">
        <f ca="1">SUMIFS('F20-2024'!K:K,'F20-2024'!$D:$D,$D236,'F20-2024'!$E:$E,$E236,'F20-2024'!$F:$F,$F236)</f>
        <v>0</v>
      </c>
      <c r="L236" s="140">
        <f ca="1">SUMIFS('F20-2024'!L:L,'F20-2024'!$D:$D,$D236,'F20-2024'!$E:$E,$E236,'F20-2024'!$F:$F,$F236)</f>
        <v>0</v>
      </c>
      <c r="M236" s="140">
        <f ca="1">SUMIFS('F20-2024'!M:M,'F20-2024'!$D:$D,$D236,'F20-2024'!$E:$E,$E236,'F20-2024'!$F:$F,$F236)</f>
        <v>0</v>
      </c>
      <c r="N236" s="140">
        <f ca="1">SUMIFS('F20-2024'!N:N,'F20-2024'!$D:$D,$D236,'F20-2024'!$E:$E,$E236,'F20-2024'!$F:$F,$F236)</f>
        <v>0</v>
      </c>
      <c r="O236" s="140">
        <f ca="1">SUMIFS('F20-2024'!O:O,'F20-2024'!$D:$D,$D236,'F20-2024'!$E:$E,$E236,'F20-2024'!$F:$F,$F236)</f>
        <v>0</v>
      </c>
      <c r="P236" s="140">
        <f ca="1">SUMIFS('F20-2024'!P:P,'F20-2024'!$D:$D,$D236,'F20-2024'!$E:$E,$E236,'F20-2024'!$F:$F,$F236)</f>
        <v>0</v>
      </c>
      <c r="Q236" s="140">
        <f ca="1">SUMIFS('F20-2024'!Q:Q,'F20-2024'!$D:$D,$D236,'F20-2024'!$E:$E,$E236,'F20-2024'!$F:$F,$F236)</f>
        <v>0</v>
      </c>
      <c r="R236" s="140">
        <f ca="1">SUMIFS('F20-2024'!R:R,'F20-2024'!$D:$D,$D236,'F20-2024'!$E:$E,$E236,'F20-2024'!$F:$F,$F236)</f>
        <v>0</v>
      </c>
      <c r="S236" s="140">
        <f ca="1">SUMIFS('F20-2024'!S:S,'F20-2024'!$D:$D,$D236,'F20-2024'!$E:$E,$E236,'F20-2024'!$F:$F,$F236)</f>
        <v>0</v>
      </c>
      <c r="T236" s="140">
        <f ca="1">SUMIFS('F20-2024'!T:T,'F20-2024'!$D:$D,$D236,'F20-2024'!$E:$E,$E236,'F20-2024'!$F:$F,$F236)</f>
        <v>0</v>
      </c>
      <c r="U236" s="140">
        <f ca="1">SUMIFS('F20-2024'!U:U,'F20-2024'!$D:$D,$D236,'F20-2024'!$E:$E,$E236,'F20-2024'!$F:$F,$F236)</f>
        <v>0</v>
      </c>
      <c r="V236" s="140"/>
      <c r="W236" s="141" t="e">
        <f t="shared" ref="W236:AA236" ca="1" si="469">J236/$I236</f>
        <v>#DIV/0!</v>
      </c>
      <c r="X236" s="141" t="e">
        <f t="shared" ca="1" si="469"/>
        <v>#DIV/0!</v>
      </c>
      <c r="Y236" s="141" t="e">
        <f t="shared" ca="1" si="469"/>
        <v>#DIV/0!</v>
      </c>
      <c r="Z236" s="141" t="e">
        <f t="shared" ca="1" si="469"/>
        <v>#DIV/0!</v>
      </c>
      <c r="AA236" s="141" t="e">
        <f t="shared" ca="1" si="469"/>
        <v>#DIV/0!</v>
      </c>
      <c r="AB236" s="141"/>
      <c r="AC236" s="141" t="e">
        <f t="shared" ca="1" si="1"/>
        <v>#DIV/0!</v>
      </c>
      <c r="AD236" s="141" t="e">
        <f t="shared" ref="AD236:AI236" ca="1" si="470">O236/$I236</f>
        <v>#DIV/0!</v>
      </c>
      <c r="AE236" s="141" t="e">
        <f t="shared" ca="1" si="470"/>
        <v>#DIV/0!</v>
      </c>
      <c r="AF236" s="141" t="e">
        <f t="shared" ca="1" si="470"/>
        <v>#DIV/0!</v>
      </c>
      <c r="AG236" s="141" t="e">
        <f t="shared" ca="1" si="470"/>
        <v>#DIV/0!</v>
      </c>
      <c r="AH236" s="141" t="e">
        <f t="shared" ca="1" si="470"/>
        <v>#DIV/0!</v>
      </c>
      <c r="AI236" s="141" t="e">
        <f t="shared" ca="1" si="470"/>
        <v>#DIV/0!</v>
      </c>
      <c r="AJ236" s="140"/>
    </row>
    <row r="237" spans="1:36">
      <c r="A237" s="140" t="e">
        <f ca="1"/>
        <v>#NAME?</v>
      </c>
      <c r="B237" s="140" t="e">
        <f ca="1"/>
        <v>#NAME?</v>
      </c>
      <c r="C237" s="140" t="e">
        <f ca="1"/>
        <v>#NAME?</v>
      </c>
      <c r="D237" s="140" t="e">
        <f ca="1"/>
        <v>#NAME?</v>
      </c>
      <c r="E237" s="140" t="e">
        <f ca="1"/>
        <v>#NAME?</v>
      </c>
      <c r="F237" s="140" t="e">
        <f ca="1"/>
        <v>#NAME?</v>
      </c>
      <c r="G237" s="140" t="e">
        <f ca="1"/>
        <v>#NAME?</v>
      </c>
      <c r="H237" s="140"/>
      <c r="I237" s="140">
        <f ca="1">SUMIFS('F20-2024'!I:I,'F20-2024'!$D:$D,$D237,'F20-2024'!$E:$E,$E237,'F20-2024'!$F:$F,$F237)</f>
        <v>0</v>
      </c>
      <c r="J237" s="140">
        <f ca="1">SUMIFS('F20-2024'!J:J,'F20-2024'!$D:$D,$D237,'F20-2024'!$E:$E,$E237,'F20-2024'!$F:$F,$F237)</f>
        <v>0</v>
      </c>
      <c r="K237" s="140">
        <f ca="1">SUMIFS('F20-2024'!K:K,'F20-2024'!$D:$D,$D237,'F20-2024'!$E:$E,$E237,'F20-2024'!$F:$F,$F237)</f>
        <v>0</v>
      </c>
      <c r="L237" s="140">
        <f ca="1">SUMIFS('F20-2024'!L:L,'F20-2024'!$D:$D,$D237,'F20-2024'!$E:$E,$E237,'F20-2024'!$F:$F,$F237)</f>
        <v>0</v>
      </c>
      <c r="M237" s="140">
        <f ca="1">SUMIFS('F20-2024'!M:M,'F20-2024'!$D:$D,$D237,'F20-2024'!$E:$E,$E237,'F20-2024'!$F:$F,$F237)</f>
        <v>0</v>
      </c>
      <c r="N237" s="140">
        <f ca="1">SUMIFS('F20-2024'!N:N,'F20-2024'!$D:$D,$D237,'F20-2024'!$E:$E,$E237,'F20-2024'!$F:$F,$F237)</f>
        <v>0</v>
      </c>
      <c r="O237" s="140">
        <f ca="1">SUMIFS('F20-2024'!O:O,'F20-2024'!$D:$D,$D237,'F20-2024'!$E:$E,$E237,'F20-2024'!$F:$F,$F237)</f>
        <v>0</v>
      </c>
      <c r="P237" s="140">
        <f ca="1">SUMIFS('F20-2024'!P:P,'F20-2024'!$D:$D,$D237,'F20-2024'!$E:$E,$E237,'F20-2024'!$F:$F,$F237)</f>
        <v>0</v>
      </c>
      <c r="Q237" s="140">
        <f ca="1">SUMIFS('F20-2024'!Q:Q,'F20-2024'!$D:$D,$D237,'F20-2024'!$E:$E,$E237,'F20-2024'!$F:$F,$F237)</f>
        <v>0</v>
      </c>
      <c r="R237" s="140">
        <f ca="1">SUMIFS('F20-2024'!R:R,'F20-2024'!$D:$D,$D237,'F20-2024'!$E:$E,$E237,'F20-2024'!$F:$F,$F237)</f>
        <v>0</v>
      </c>
      <c r="S237" s="140">
        <f ca="1">SUMIFS('F20-2024'!S:S,'F20-2024'!$D:$D,$D237,'F20-2024'!$E:$E,$E237,'F20-2024'!$F:$F,$F237)</f>
        <v>0</v>
      </c>
      <c r="T237" s="140">
        <f ca="1">SUMIFS('F20-2024'!T:T,'F20-2024'!$D:$D,$D237,'F20-2024'!$E:$E,$E237,'F20-2024'!$F:$F,$F237)</f>
        <v>0</v>
      </c>
      <c r="U237" s="140">
        <f ca="1">SUMIFS('F20-2024'!U:U,'F20-2024'!$D:$D,$D237,'F20-2024'!$E:$E,$E237,'F20-2024'!$F:$F,$F237)</f>
        <v>0</v>
      </c>
      <c r="V237" s="140"/>
      <c r="W237" s="141" t="e">
        <f t="shared" ref="W237:AA237" ca="1" si="471">J237/$I237</f>
        <v>#DIV/0!</v>
      </c>
      <c r="X237" s="141" t="e">
        <f t="shared" ca="1" si="471"/>
        <v>#DIV/0!</v>
      </c>
      <c r="Y237" s="141" t="e">
        <f t="shared" ca="1" si="471"/>
        <v>#DIV/0!</v>
      </c>
      <c r="Z237" s="141" t="e">
        <f t="shared" ca="1" si="471"/>
        <v>#DIV/0!</v>
      </c>
      <c r="AA237" s="141" t="e">
        <f t="shared" ca="1" si="471"/>
        <v>#DIV/0!</v>
      </c>
      <c r="AB237" s="141"/>
      <c r="AC237" s="141" t="e">
        <f t="shared" ca="1" si="1"/>
        <v>#DIV/0!</v>
      </c>
      <c r="AD237" s="141" t="e">
        <f t="shared" ref="AD237:AI237" ca="1" si="472">O237/$I237</f>
        <v>#DIV/0!</v>
      </c>
      <c r="AE237" s="141" t="e">
        <f t="shared" ca="1" si="472"/>
        <v>#DIV/0!</v>
      </c>
      <c r="AF237" s="141" t="e">
        <f t="shared" ca="1" si="472"/>
        <v>#DIV/0!</v>
      </c>
      <c r="AG237" s="141" t="e">
        <f t="shared" ca="1" si="472"/>
        <v>#DIV/0!</v>
      </c>
      <c r="AH237" s="141" t="e">
        <f t="shared" ca="1" si="472"/>
        <v>#DIV/0!</v>
      </c>
      <c r="AI237" s="141" t="e">
        <f t="shared" ca="1" si="472"/>
        <v>#DIV/0!</v>
      </c>
      <c r="AJ237" s="140"/>
    </row>
    <row r="238" spans="1:36">
      <c r="A238" s="140" t="e">
        <f ca="1"/>
        <v>#NAME?</v>
      </c>
      <c r="B238" s="140" t="e">
        <f ca="1"/>
        <v>#NAME?</v>
      </c>
      <c r="C238" s="140" t="e">
        <f ca="1"/>
        <v>#NAME?</v>
      </c>
      <c r="D238" s="140" t="e">
        <f ca="1"/>
        <v>#NAME?</v>
      </c>
      <c r="E238" s="140" t="e">
        <f ca="1"/>
        <v>#NAME?</v>
      </c>
      <c r="F238" s="140" t="e">
        <f ca="1"/>
        <v>#NAME?</v>
      </c>
      <c r="G238" s="140" t="e">
        <f ca="1"/>
        <v>#NAME?</v>
      </c>
      <c r="H238" s="140"/>
      <c r="I238" s="140">
        <f ca="1">SUMIFS('F20-2024'!I:I,'F20-2024'!$D:$D,$D238,'F20-2024'!$E:$E,$E238,'F20-2024'!$F:$F,$F238)</f>
        <v>0</v>
      </c>
      <c r="J238" s="140">
        <f ca="1">SUMIFS('F20-2024'!J:J,'F20-2024'!$D:$D,$D238,'F20-2024'!$E:$E,$E238,'F20-2024'!$F:$F,$F238)</f>
        <v>0</v>
      </c>
      <c r="K238" s="140">
        <f ca="1">SUMIFS('F20-2024'!K:K,'F20-2024'!$D:$D,$D238,'F20-2024'!$E:$E,$E238,'F20-2024'!$F:$F,$F238)</f>
        <v>0</v>
      </c>
      <c r="L238" s="140">
        <f ca="1">SUMIFS('F20-2024'!L:L,'F20-2024'!$D:$D,$D238,'F20-2024'!$E:$E,$E238,'F20-2024'!$F:$F,$F238)</f>
        <v>0</v>
      </c>
      <c r="M238" s="140">
        <f ca="1">SUMIFS('F20-2024'!M:M,'F20-2024'!$D:$D,$D238,'F20-2024'!$E:$E,$E238,'F20-2024'!$F:$F,$F238)</f>
        <v>0</v>
      </c>
      <c r="N238" s="140">
        <f ca="1">SUMIFS('F20-2024'!N:N,'F20-2024'!$D:$D,$D238,'F20-2024'!$E:$E,$E238,'F20-2024'!$F:$F,$F238)</f>
        <v>0</v>
      </c>
      <c r="O238" s="140">
        <f ca="1">SUMIFS('F20-2024'!O:O,'F20-2024'!$D:$D,$D238,'F20-2024'!$E:$E,$E238,'F20-2024'!$F:$F,$F238)</f>
        <v>0</v>
      </c>
      <c r="P238" s="140">
        <f ca="1">SUMIFS('F20-2024'!P:P,'F20-2024'!$D:$D,$D238,'F20-2024'!$E:$E,$E238,'F20-2024'!$F:$F,$F238)</f>
        <v>0</v>
      </c>
      <c r="Q238" s="140">
        <f ca="1">SUMIFS('F20-2024'!Q:Q,'F20-2024'!$D:$D,$D238,'F20-2024'!$E:$E,$E238,'F20-2024'!$F:$F,$F238)</f>
        <v>0</v>
      </c>
      <c r="R238" s="140">
        <f ca="1">SUMIFS('F20-2024'!R:R,'F20-2024'!$D:$D,$D238,'F20-2024'!$E:$E,$E238,'F20-2024'!$F:$F,$F238)</f>
        <v>0</v>
      </c>
      <c r="S238" s="140">
        <f ca="1">SUMIFS('F20-2024'!S:S,'F20-2024'!$D:$D,$D238,'F20-2024'!$E:$E,$E238,'F20-2024'!$F:$F,$F238)</f>
        <v>0</v>
      </c>
      <c r="T238" s="140">
        <f ca="1">SUMIFS('F20-2024'!T:T,'F20-2024'!$D:$D,$D238,'F20-2024'!$E:$E,$E238,'F20-2024'!$F:$F,$F238)</f>
        <v>0</v>
      </c>
      <c r="U238" s="140">
        <f ca="1">SUMIFS('F20-2024'!U:U,'F20-2024'!$D:$D,$D238,'F20-2024'!$E:$E,$E238,'F20-2024'!$F:$F,$F238)</f>
        <v>0</v>
      </c>
      <c r="V238" s="140"/>
      <c r="W238" s="141" t="e">
        <f t="shared" ref="W238:AA238" ca="1" si="473">J238/$I238</f>
        <v>#DIV/0!</v>
      </c>
      <c r="X238" s="141" t="e">
        <f t="shared" ca="1" si="473"/>
        <v>#DIV/0!</v>
      </c>
      <c r="Y238" s="141" t="e">
        <f t="shared" ca="1" si="473"/>
        <v>#DIV/0!</v>
      </c>
      <c r="Z238" s="141" t="e">
        <f t="shared" ca="1" si="473"/>
        <v>#DIV/0!</v>
      </c>
      <c r="AA238" s="141" t="e">
        <f t="shared" ca="1" si="473"/>
        <v>#DIV/0!</v>
      </c>
      <c r="AB238" s="141"/>
      <c r="AC238" s="141" t="e">
        <f t="shared" ca="1" si="1"/>
        <v>#DIV/0!</v>
      </c>
      <c r="AD238" s="141" t="e">
        <f t="shared" ref="AD238:AI238" ca="1" si="474">O238/$I238</f>
        <v>#DIV/0!</v>
      </c>
      <c r="AE238" s="141" t="e">
        <f t="shared" ca="1" si="474"/>
        <v>#DIV/0!</v>
      </c>
      <c r="AF238" s="141" t="e">
        <f t="shared" ca="1" si="474"/>
        <v>#DIV/0!</v>
      </c>
      <c r="AG238" s="141" t="e">
        <f t="shared" ca="1" si="474"/>
        <v>#DIV/0!</v>
      </c>
      <c r="AH238" s="141" t="e">
        <f t="shared" ca="1" si="474"/>
        <v>#DIV/0!</v>
      </c>
      <c r="AI238" s="141" t="e">
        <f t="shared" ca="1" si="474"/>
        <v>#DIV/0!</v>
      </c>
      <c r="AJ238" s="140"/>
    </row>
    <row r="239" spans="1:36">
      <c r="A239" s="140" t="e">
        <f ca="1"/>
        <v>#NAME?</v>
      </c>
      <c r="B239" s="140" t="e">
        <f ca="1"/>
        <v>#NAME?</v>
      </c>
      <c r="C239" s="140" t="e">
        <f ca="1"/>
        <v>#NAME?</v>
      </c>
      <c r="D239" s="140" t="e">
        <f ca="1"/>
        <v>#NAME?</v>
      </c>
      <c r="E239" s="140" t="e">
        <f ca="1"/>
        <v>#NAME?</v>
      </c>
      <c r="F239" s="140" t="e">
        <f ca="1"/>
        <v>#NAME?</v>
      </c>
      <c r="G239" s="140" t="e">
        <f ca="1"/>
        <v>#NAME?</v>
      </c>
      <c r="H239" s="140"/>
      <c r="I239" s="140">
        <f ca="1">SUMIFS('F20-2024'!I:I,'F20-2024'!$D:$D,$D239,'F20-2024'!$E:$E,$E239,'F20-2024'!$F:$F,$F239)</f>
        <v>0</v>
      </c>
      <c r="J239" s="140">
        <f ca="1">SUMIFS('F20-2024'!J:J,'F20-2024'!$D:$D,$D239,'F20-2024'!$E:$E,$E239,'F20-2024'!$F:$F,$F239)</f>
        <v>0</v>
      </c>
      <c r="K239" s="140">
        <f ca="1">SUMIFS('F20-2024'!K:K,'F20-2024'!$D:$D,$D239,'F20-2024'!$E:$E,$E239,'F20-2024'!$F:$F,$F239)</f>
        <v>0</v>
      </c>
      <c r="L239" s="140">
        <f ca="1">SUMIFS('F20-2024'!L:L,'F20-2024'!$D:$D,$D239,'F20-2024'!$E:$E,$E239,'F20-2024'!$F:$F,$F239)</f>
        <v>0</v>
      </c>
      <c r="M239" s="140">
        <f ca="1">SUMIFS('F20-2024'!M:M,'F20-2024'!$D:$D,$D239,'F20-2024'!$E:$E,$E239,'F20-2024'!$F:$F,$F239)</f>
        <v>0</v>
      </c>
      <c r="N239" s="140">
        <f ca="1">SUMIFS('F20-2024'!N:N,'F20-2024'!$D:$D,$D239,'F20-2024'!$E:$E,$E239,'F20-2024'!$F:$F,$F239)</f>
        <v>0</v>
      </c>
      <c r="O239" s="140">
        <f ca="1">SUMIFS('F20-2024'!O:O,'F20-2024'!$D:$D,$D239,'F20-2024'!$E:$E,$E239,'F20-2024'!$F:$F,$F239)</f>
        <v>0</v>
      </c>
      <c r="P239" s="140">
        <f ca="1">SUMIFS('F20-2024'!P:P,'F20-2024'!$D:$D,$D239,'F20-2024'!$E:$E,$E239,'F20-2024'!$F:$F,$F239)</f>
        <v>0</v>
      </c>
      <c r="Q239" s="140">
        <f ca="1">SUMIFS('F20-2024'!Q:Q,'F20-2024'!$D:$D,$D239,'F20-2024'!$E:$E,$E239,'F20-2024'!$F:$F,$F239)</f>
        <v>0</v>
      </c>
      <c r="R239" s="140">
        <f ca="1">SUMIFS('F20-2024'!R:R,'F20-2024'!$D:$D,$D239,'F20-2024'!$E:$E,$E239,'F20-2024'!$F:$F,$F239)</f>
        <v>0</v>
      </c>
      <c r="S239" s="140">
        <f ca="1">SUMIFS('F20-2024'!S:S,'F20-2024'!$D:$D,$D239,'F20-2024'!$E:$E,$E239,'F20-2024'!$F:$F,$F239)</f>
        <v>0</v>
      </c>
      <c r="T239" s="140">
        <f ca="1">SUMIFS('F20-2024'!T:T,'F20-2024'!$D:$D,$D239,'F20-2024'!$E:$E,$E239,'F20-2024'!$F:$F,$F239)</f>
        <v>0</v>
      </c>
      <c r="U239" s="140">
        <f ca="1">SUMIFS('F20-2024'!U:U,'F20-2024'!$D:$D,$D239,'F20-2024'!$E:$E,$E239,'F20-2024'!$F:$F,$F239)</f>
        <v>0</v>
      </c>
      <c r="V239" s="140"/>
      <c r="W239" s="141" t="e">
        <f t="shared" ref="W239:AA239" ca="1" si="475">J239/$I239</f>
        <v>#DIV/0!</v>
      </c>
      <c r="X239" s="141" t="e">
        <f t="shared" ca="1" si="475"/>
        <v>#DIV/0!</v>
      </c>
      <c r="Y239" s="141" t="e">
        <f t="shared" ca="1" si="475"/>
        <v>#DIV/0!</v>
      </c>
      <c r="Z239" s="141" t="e">
        <f t="shared" ca="1" si="475"/>
        <v>#DIV/0!</v>
      </c>
      <c r="AA239" s="141" t="e">
        <f t="shared" ca="1" si="475"/>
        <v>#DIV/0!</v>
      </c>
      <c r="AB239" s="141"/>
      <c r="AC239" s="141" t="e">
        <f t="shared" ca="1" si="1"/>
        <v>#DIV/0!</v>
      </c>
      <c r="AD239" s="141" t="e">
        <f t="shared" ref="AD239:AI239" ca="1" si="476">O239/$I239</f>
        <v>#DIV/0!</v>
      </c>
      <c r="AE239" s="141" t="e">
        <f t="shared" ca="1" si="476"/>
        <v>#DIV/0!</v>
      </c>
      <c r="AF239" s="141" t="e">
        <f t="shared" ca="1" si="476"/>
        <v>#DIV/0!</v>
      </c>
      <c r="AG239" s="141" t="e">
        <f t="shared" ca="1" si="476"/>
        <v>#DIV/0!</v>
      </c>
      <c r="AH239" s="141" t="e">
        <f t="shared" ca="1" si="476"/>
        <v>#DIV/0!</v>
      </c>
      <c r="AI239" s="141" t="e">
        <f t="shared" ca="1" si="476"/>
        <v>#DIV/0!</v>
      </c>
      <c r="AJ239" s="140"/>
    </row>
    <row r="240" spans="1:36">
      <c r="A240" s="140" t="e">
        <f ca="1"/>
        <v>#NAME?</v>
      </c>
      <c r="B240" s="140" t="e">
        <f ca="1"/>
        <v>#NAME?</v>
      </c>
      <c r="C240" s="140" t="e">
        <f ca="1"/>
        <v>#NAME?</v>
      </c>
      <c r="D240" s="140" t="e">
        <f ca="1"/>
        <v>#NAME?</v>
      </c>
      <c r="E240" s="140" t="e">
        <f ca="1"/>
        <v>#NAME?</v>
      </c>
      <c r="F240" s="140" t="e">
        <f ca="1"/>
        <v>#NAME?</v>
      </c>
      <c r="G240" s="140" t="e">
        <f ca="1"/>
        <v>#NAME?</v>
      </c>
      <c r="H240" s="140"/>
      <c r="I240" s="140">
        <f ca="1">SUMIFS('F20-2024'!I:I,'F20-2024'!$D:$D,$D240,'F20-2024'!$E:$E,$E240,'F20-2024'!$F:$F,$F240)</f>
        <v>0</v>
      </c>
      <c r="J240" s="140">
        <f ca="1">SUMIFS('F20-2024'!J:J,'F20-2024'!$D:$D,$D240,'F20-2024'!$E:$E,$E240,'F20-2024'!$F:$F,$F240)</f>
        <v>0</v>
      </c>
      <c r="K240" s="140">
        <f ca="1">SUMIFS('F20-2024'!K:K,'F20-2024'!$D:$D,$D240,'F20-2024'!$E:$E,$E240,'F20-2024'!$F:$F,$F240)</f>
        <v>0</v>
      </c>
      <c r="L240" s="140">
        <f ca="1">SUMIFS('F20-2024'!L:L,'F20-2024'!$D:$D,$D240,'F20-2024'!$E:$E,$E240,'F20-2024'!$F:$F,$F240)</f>
        <v>0</v>
      </c>
      <c r="M240" s="140">
        <f ca="1">SUMIFS('F20-2024'!M:M,'F20-2024'!$D:$D,$D240,'F20-2024'!$E:$E,$E240,'F20-2024'!$F:$F,$F240)</f>
        <v>0</v>
      </c>
      <c r="N240" s="140">
        <f ca="1">SUMIFS('F20-2024'!N:N,'F20-2024'!$D:$D,$D240,'F20-2024'!$E:$E,$E240,'F20-2024'!$F:$F,$F240)</f>
        <v>0</v>
      </c>
      <c r="O240" s="140">
        <f ca="1">SUMIFS('F20-2024'!O:O,'F20-2024'!$D:$D,$D240,'F20-2024'!$E:$E,$E240,'F20-2024'!$F:$F,$F240)</f>
        <v>0</v>
      </c>
      <c r="P240" s="140">
        <f ca="1">SUMIFS('F20-2024'!P:P,'F20-2024'!$D:$D,$D240,'F20-2024'!$E:$E,$E240,'F20-2024'!$F:$F,$F240)</f>
        <v>0</v>
      </c>
      <c r="Q240" s="140">
        <f ca="1">SUMIFS('F20-2024'!Q:Q,'F20-2024'!$D:$D,$D240,'F20-2024'!$E:$E,$E240,'F20-2024'!$F:$F,$F240)</f>
        <v>0</v>
      </c>
      <c r="R240" s="140">
        <f ca="1">SUMIFS('F20-2024'!R:R,'F20-2024'!$D:$D,$D240,'F20-2024'!$E:$E,$E240,'F20-2024'!$F:$F,$F240)</f>
        <v>0</v>
      </c>
      <c r="S240" s="140">
        <f ca="1">SUMIFS('F20-2024'!S:S,'F20-2024'!$D:$D,$D240,'F20-2024'!$E:$E,$E240,'F20-2024'!$F:$F,$F240)</f>
        <v>0</v>
      </c>
      <c r="T240" s="140">
        <f ca="1">SUMIFS('F20-2024'!T:T,'F20-2024'!$D:$D,$D240,'F20-2024'!$E:$E,$E240,'F20-2024'!$F:$F,$F240)</f>
        <v>0</v>
      </c>
      <c r="U240" s="140">
        <f ca="1">SUMIFS('F20-2024'!U:U,'F20-2024'!$D:$D,$D240,'F20-2024'!$E:$E,$E240,'F20-2024'!$F:$F,$F240)</f>
        <v>0</v>
      </c>
      <c r="V240" s="140"/>
      <c r="W240" s="141" t="e">
        <f t="shared" ref="W240:AA240" ca="1" si="477">J240/$I240</f>
        <v>#DIV/0!</v>
      </c>
      <c r="X240" s="141" t="e">
        <f t="shared" ca="1" si="477"/>
        <v>#DIV/0!</v>
      </c>
      <c r="Y240" s="141" t="e">
        <f t="shared" ca="1" si="477"/>
        <v>#DIV/0!</v>
      </c>
      <c r="Z240" s="141" t="e">
        <f t="shared" ca="1" si="477"/>
        <v>#DIV/0!</v>
      </c>
      <c r="AA240" s="141" t="e">
        <f t="shared" ca="1" si="477"/>
        <v>#DIV/0!</v>
      </c>
      <c r="AB240" s="141"/>
      <c r="AC240" s="141" t="e">
        <f t="shared" ca="1" si="1"/>
        <v>#DIV/0!</v>
      </c>
      <c r="AD240" s="141" t="e">
        <f t="shared" ref="AD240:AI240" ca="1" si="478">O240/$I240</f>
        <v>#DIV/0!</v>
      </c>
      <c r="AE240" s="141" t="e">
        <f t="shared" ca="1" si="478"/>
        <v>#DIV/0!</v>
      </c>
      <c r="AF240" s="141" t="e">
        <f t="shared" ca="1" si="478"/>
        <v>#DIV/0!</v>
      </c>
      <c r="AG240" s="141" t="e">
        <f t="shared" ca="1" si="478"/>
        <v>#DIV/0!</v>
      </c>
      <c r="AH240" s="141" t="e">
        <f t="shared" ca="1" si="478"/>
        <v>#DIV/0!</v>
      </c>
      <c r="AI240" s="141" t="e">
        <f t="shared" ca="1" si="478"/>
        <v>#DIV/0!</v>
      </c>
      <c r="AJ240" s="140"/>
    </row>
    <row r="241" spans="1:36">
      <c r="A241" s="140" t="e">
        <f ca="1"/>
        <v>#NAME?</v>
      </c>
      <c r="B241" s="140" t="e">
        <f ca="1"/>
        <v>#NAME?</v>
      </c>
      <c r="C241" s="140" t="e">
        <f ca="1"/>
        <v>#NAME?</v>
      </c>
      <c r="D241" s="140" t="e">
        <f ca="1"/>
        <v>#NAME?</v>
      </c>
      <c r="E241" s="140" t="e">
        <f ca="1"/>
        <v>#NAME?</v>
      </c>
      <c r="F241" s="140" t="e">
        <f ca="1"/>
        <v>#NAME?</v>
      </c>
      <c r="G241" s="140" t="e">
        <f ca="1"/>
        <v>#NAME?</v>
      </c>
      <c r="H241" s="140"/>
      <c r="I241" s="140">
        <f ca="1">SUMIFS('F20-2024'!I:I,'F20-2024'!$D:$D,$D241,'F20-2024'!$E:$E,$E241,'F20-2024'!$F:$F,$F241)</f>
        <v>0</v>
      </c>
      <c r="J241" s="140">
        <f ca="1">SUMIFS('F20-2024'!J:J,'F20-2024'!$D:$D,$D241,'F20-2024'!$E:$E,$E241,'F20-2024'!$F:$F,$F241)</f>
        <v>0</v>
      </c>
      <c r="K241" s="140">
        <f ca="1">SUMIFS('F20-2024'!K:K,'F20-2024'!$D:$D,$D241,'F20-2024'!$E:$E,$E241,'F20-2024'!$F:$F,$F241)</f>
        <v>0</v>
      </c>
      <c r="L241" s="140">
        <f ca="1">SUMIFS('F20-2024'!L:L,'F20-2024'!$D:$D,$D241,'F20-2024'!$E:$E,$E241,'F20-2024'!$F:$F,$F241)</f>
        <v>0</v>
      </c>
      <c r="M241" s="140">
        <f ca="1">SUMIFS('F20-2024'!M:M,'F20-2024'!$D:$D,$D241,'F20-2024'!$E:$E,$E241,'F20-2024'!$F:$F,$F241)</f>
        <v>0</v>
      </c>
      <c r="N241" s="140">
        <f ca="1">SUMIFS('F20-2024'!N:N,'F20-2024'!$D:$D,$D241,'F20-2024'!$E:$E,$E241,'F20-2024'!$F:$F,$F241)</f>
        <v>0</v>
      </c>
      <c r="O241" s="140">
        <f ca="1">SUMIFS('F20-2024'!O:O,'F20-2024'!$D:$D,$D241,'F20-2024'!$E:$E,$E241,'F20-2024'!$F:$F,$F241)</f>
        <v>0</v>
      </c>
      <c r="P241" s="140">
        <f ca="1">SUMIFS('F20-2024'!P:P,'F20-2024'!$D:$D,$D241,'F20-2024'!$E:$E,$E241,'F20-2024'!$F:$F,$F241)</f>
        <v>0</v>
      </c>
      <c r="Q241" s="140">
        <f ca="1">SUMIFS('F20-2024'!Q:Q,'F20-2024'!$D:$D,$D241,'F20-2024'!$E:$E,$E241,'F20-2024'!$F:$F,$F241)</f>
        <v>0</v>
      </c>
      <c r="R241" s="140">
        <f ca="1">SUMIFS('F20-2024'!R:R,'F20-2024'!$D:$D,$D241,'F20-2024'!$E:$E,$E241,'F20-2024'!$F:$F,$F241)</f>
        <v>0</v>
      </c>
      <c r="S241" s="140">
        <f ca="1">SUMIFS('F20-2024'!S:S,'F20-2024'!$D:$D,$D241,'F20-2024'!$E:$E,$E241,'F20-2024'!$F:$F,$F241)</f>
        <v>0</v>
      </c>
      <c r="T241" s="140">
        <f ca="1">SUMIFS('F20-2024'!T:T,'F20-2024'!$D:$D,$D241,'F20-2024'!$E:$E,$E241,'F20-2024'!$F:$F,$F241)</f>
        <v>0</v>
      </c>
      <c r="U241" s="140">
        <f ca="1">SUMIFS('F20-2024'!U:U,'F20-2024'!$D:$D,$D241,'F20-2024'!$E:$E,$E241,'F20-2024'!$F:$F,$F241)</f>
        <v>0</v>
      </c>
      <c r="V241" s="140"/>
      <c r="W241" s="141" t="e">
        <f t="shared" ref="W241:AA241" ca="1" si="479">J241/$I241</f>
        <v>#DIV/0!</v>
      </c>
      <c r="X241" s="141" t="e">
        <f t="shared" ca="1" si="479"/>
        <v>#DIV/0!</v>
      </c>
      <c r="Y241" s="141" t="e">
        <f t="shared" ca="1" si="479"/>
        <v>#DIV/0!</v>
      </c>
      <c r="Z241" s="141" t="e">
        <f t="shared" ca="1" si="479"/>
        <v>#DIV/0!</v>
      </c>
      <c r="AA241" s="141" t="e">
        <f t="shared" ca="1" si="479"/>
        <v>#DIV/0!</v>
      </c>
      <c r="AB241" s="141"/>
      <c r="AC241" s="141" t="e">
        <f t="shared" ca="1" si="1"/>
        <v>#DIV/0!</v>
      </c>
      <c r="AD241" s="141" t="e">
        <f t="shared" ref="AD241:AI241" ca="1" si="480">O241/$I241</f>
        <v>#DIV/0!</v>
      </c>
      <c r="AE241" s="141" t="e">
        <f t="shared" ca="1" si="480"/>
        <v>#DIV/0!</v>
      </c>
      <c r="AF241" s="141" t="e">
        <f t="shared" ca="1" si="480"/>
        <v>#DIV/0!</v>
      </c>
      <c r="AG241" s="141" t="e">
        <f t="shared" ca="1" si="480"/>
        <v>#DIV/0!</v>
      </c>
      <c r="AH241" s="141" t="e">
        <f t="shared" ca="1" si="480"/>
        <v>#DIV/0!</v>
      </c>
      <c r="AI241" s="141" t="e">
        <f t="shared" ca="1" si="480"/>
        <v>#DIV/0!</v>
      </c>
      <c r="AJ241" s="140"/>
    </row>
    <row r="242" spans="1:36">
      <c r="A242" s="140" t="e">
        <f ca="1"/>
        <v>#NAME?</v>
      </c>
      <c r="B242" s="140" t="e">
        <f ca="1"/>
        <v>#NAME?</v>
      </c>
      <c r="C242" s="140" t="e">
        <f ca="1"/>
        <v>#NAME?</v>
      </c>
      <c r="D242" s="140" t="e">
        <f ca="1"/>
        <v>#NAME?</v>
      </c>
      <c r="E242" s="140" t="e">
        <f ca="1"/>
        <v>#NAME?</v>
      </c>
      <c r="F242" s="140" t="e">
        <f ca="1"/>
        <v>#NAME?</v>
      </c>
      <c r="G242" s="140" t="e">
        <f ca="1"/>
        <v>#NAME?</v>
      </c>
      <c r="H242" s="140"/>
      <c r="I242" s="140">
        <f ca="1">SUMIFS('F20-2024'!I:I,'F20-2024'!$D:$D,$D242,'F20-2024'!$E:$E,$E242,'F20-2024'!$F:$F,$F242)</f>
        <v>0</v>
      </c>
      <c r="J242" s="140">
        <f ca="1">SUMIFS('F20-2024'!J:J,'F20-2024'!$D:$D,$D242,'F20-2024'!$E:$E,$E242,'F20-2024'!$F:$F,$F242)</f>
        <v>0</v>
      </c>
      <c r="K242" s="140">
        <f ca="1">SUMIFS('F20-2024'!K:K,'F20-2024'!$D:$D,$D242,'F20-2024'!$E:$E,$E242,'F20-2024'!$F:$F,$F242)</f>
        <v>0</v>
      </c>
      <c r="L242" s="140">
        <f ca="1">SUMIFS('F20-2024'!L:L,'F20-2024'!$D:$D,$D242,'F20-2024'!$E:$E,$E242,'F20-2024'!$F:$F,$F242)</f>
        <v>0</v>
      </c>
      <c r="M242" s="140">
        <f ca="1">SUMIFS('F20-2024'!M:M,'F20-2024'!$D:$D,$D242,'F20-2024'!$E:$E,$E242,'F20-2024'!$F:$F,$F242)</f>
        <v>0</v>
      </c>
      <c r="N242" s="140">
        <f ca="1">SUMIFS('F20-2024'!N:N,'F20-2024'!$D:$D,$D242,'F20-2024'!$E:$E,$E242,'F20-2024'!$F:$F,$F242)</f>
        <v>0</v>
      </c>
      <c r="O242" s="140">
        <f ca="1">SUMIFS('F20-2024'!O:O,'F20-2024'!$D:$D,$D242,'F20-2024'!$E:$E,$E242,'F20-2024'!$F:$F,$F242)</f>
        <v>0</v>
      </c>
      <c r="P242" s="140">
        <f ca="1">SUMIFS('F20-2024'!P:P,'F20-2024'!$D:$D,$D242,'F20-2024'!$E:$E,$E242,'F20-2024'!$F:$F,$F242)</f>
        <v>0</v>
      </c>
      <c r="Q242" s="140">
        <f ca="1">SUMIFS('F20-2024'!Q:Q,'F20-2024'!$D:$D,$D242,'F20-2024'!$E:$E,$E242,'F20-2024'!$F:$F,$F242)</f>
        <v>0</v>
      </c>
      <c r="R242" s="140">
        <f ca="1">SUMIFS('F20-2024'!R:R,'F20-2024'!$D:$D,$D242,'F20-2024'!$E:$E,$E242,'F20-2024'!$F:$F,$F242)</f>
        <v>0</v>
      </c>
      <c r="S242" s="140">
        <f ca="1">SUMIFS('F20-2024'!S:S,'F20-2024'!$D:$D,$D242,'F20-2024'!$E:$E,$E242,'F20-2024'!$F:$F,$F242)</f>
        <v>0</v>
      </c>
      <c r="T242" s="140">
        <f ca="1">SUMIFS('F20-2024'!T:T,'F20-2024'!$D:$D,$D242,'F20-2024'!$E:$E,$E242,'F20-2024'!$F:$F,$F242)</f>
        <v>0</v>
      </c>
      <c r="U242" s="140">
        <f ca="1">SUMIFS('F20-2024'!U:U,'F20-2024'!$D:$D,$D242,'F20-2024'!$E:$E,$E242,'F20-2024'!$F:$F,$F242)</f>
        <v>0</v>
      </c>
      <c r="V242" s="140"/>
      <c r="W242" s="141" t="e">
        <f t="shared" ref="W242:AA242" ca="1" si="481">J242/$I242</f>
        <v>#DIV/0!</v>
      </c>
      <c r="X242" s="141" t="e">
        <f t="shared" ca="1" si="481"/>
        <v>#DIV/0!</v>
      </c>
      <c r="Y242" s="141" t="e">
        <f t="shared" ca="1" si="481"/>
        <v>#DIV/0!</v>
      </c>
      <c r="Z242" s="141" t="e">
        <f t="shared" ca="1" si="481"/>
        <v>#DIV/0!</v>
      </c>
      <c r="AA242" s="141" t="e">
        <f t="shared" ca="1" si="481"/>
        <v>#DIV/0!</v>
      </c>
      <c r="AB242" s="141"/>
      <c r="AC242" s="141" t="e">
        <f t="shared" ca="1" si="1"/>
        <v>#DIV/0!</v>
      </c>
      <c r="AD242" s="141" t="e">
        <f t="shared" ref="AD242:AI242" ca="1" si="482">O242/$I242</f>
        <v>#DIV/0!</v>
      </c>
      <c r="AE242" s="141" t="e">
        <f t="shared" ca="1" si="482"/>
        <v>#DIV/0!</v>
      </c>
      <c r="AF242" s="141" t="e">
        <f t="shared" ca="1" si="482"/>
        <v>#DIV/0!</v>
      </c>
      <c r="AG242" s="141" t="e">
        <f t="shared" ca="1" si="482"/>
        <v>#DIV/0!</v>
      </c>
      <c r="AH242" s="141" t="e">
        <f t="shared" ca="1" si="482"/>
        <v>#DIV/0!</v>
      </c>
      <c r="AI242" s="141" t="e">
        <f t="shared" ca="1" si="482"/>
        <v>#DIV/0!</v>
      </c>
      <c r="AJ242" s="140"/>
    </row>
    <row r="243" spans="1:36">
      <c r="A243" s="140" t="e">
        <f ca="1"/>
        <v>#NAME?</v>
      </c>
      <c r="B243" s="140" t="e">
        <f ca="1"/>
        <v>#NAME?</v>
      </c>
      <c r="C243" s="140" t="e">
        <f ca="1"/>
        <v>#NAME?</v>
      </c>
      <c r="D243" s="140" t="e">
        <f ca="1"/>
        <v>#NAME?</v>
      </c>
      <c r="E243" s="140" t="e">
        <f ca="1"/>
        <v>#NAME?</v>
      </c>
      <c r="F243" s="140" t="e">
        <f ca="1"/>
        <v>#NAME?</v>
      </c>
      <c r="G243" s="140" t="e">
        <f ca="1"/>
        <v>#NAME?</v>
      </c>
      <c r="H243" s="140"/>
      <c r="I243" s="140">
        <f ca="1">SUMIFS('F20-2024'!I:I,'F20-2024'!$D:$D,$D243,'F20-2024'!$E:$E,$E243,'F20-2024'!$F:$F,$F243)</f>
        <v>0</v>
      </c>
      <c r="J243" s="140">
        <f ca="1">SUMIFS('F20-2024'!J:J,'F20-2024'!$D:$D,$D243,'F20-2024'!$E:$E,$E243,'F20-2024'!$F:$F,$F243)</f>
        <v>0</v>
      </c>
      <c r="K243" s="140">
        <f ca="1">SUMIFS('F20-2024'!K:K,'F20-2024'!$D:$D,$D243,'F20-2024'!$E:$E,$E243,'F20-2024'!$F:$F,$F243)</f>
        <v>0</v>
      </c>
      <c r="L243" s="140">
        <f ca="1">SUMIFS('F20-2024'!L:L,'F20-2024'!$D:$D,$D243,'F20-2024'!$E:$E,$E243,'F20-2024'!$F:$F,$F243)</f>
        <v>0</v>
      </c>
      <c r="M243" s="140">
        <f ca="1">SUMIFS('F20-2024'!M:M,'F20-2024'!$D:$D,$D243,'F20-2024'!$E:$E,$E243,'F20-2024'!$F:$F,$F243)</f>
        <v>0</v>
      </c>
      <c r="N243" s="140">
        <f ca="1">SUMIFS('F20-2024'!N:N,'F20-2024'!$D:$D,$D243,'F20-2024'!$E:$E,$E243,'F20-2024'!$F:$F,$F243)</f>
        <v>0</v>
      </c>
      <c r="O243" s="140">
        <f ca="1">SUMIFS('F20-2024'!O:O,'F20-2024'!$D:$D,$D243,'F20-2024'!$E:$E,$E243,'F20-2024'!$F:$F,$F243)</f>
        <v>0</v>
      </c>
      <c r="P243" s="140">
        <f ca="1">SUMIFS('F20-2024'!P:P,'F20-2024'!$D:$D,$D243,'F20-2024'!$E:$E,$E243,'F20-2024'!$F:$F,$F243)</f>
        <v>0</v>
      </c>
      <c r="Q243" s="140">
        <f ca="1">SUMIFS('F20-2024'!Q:Q,'F20-2024'!$D:$D,$D243,'F20-2024'!$E:$E,$E243,'F20-2024'!$F:$F,$F243)</f>
        <v>0</v>
      </c>
      <c r="R243" s="140">
        <f ca="1">SUMIFS('F20-2024'!R:R,'F20-2024'!$D:$D,$D243,'F20-2024'!$E:$E,$E243,'F20-2024'!$F:$F,$F243)</f>
        <v>0</v>
      </c>
      <c r="S243" s="140">
        <f ca="1">SUMIFS('F20-2024'!S:S,'F20-2024'!$D:$D,$D243,'F20-2024'!$E:$E,$E243,'F20-2024'!$F:$F,$F243)</f>
        <v>0</v>
      </c>
      <c r="T243" s="140">
        <f ca="1">SUMIFS('F20-2024'!T:T,'F20-2024'!$D:$D,$D243,'F20-2024'!$E:$E,$E243,'F20-2024'!$F:$F,$F243)</f>
        <v>0</v>
      </c>
      <c r="U243" s="140">
        <f ca="1">SUMIFS('F20-2024'!U:U,'F20-2024'!$D:$D,$D243,'F20-2024'!$E:$E,$E243,'F20-2024'!$F:$F,$F243)</f>
        <v>0</v>
      </c>
      <c r="V243" s="140"/>
      <c r="W243" s="141" t="e">
        <f t="shared" ref="W243:AA243" ca="1" si="483">J243/$I243</f>
        <v>#DIV/0!</v>
      </c>
      <c r="X243" s="141" t="e">
        <f t="shared" ca="1" si="483"/>
        <v>#DIV/0!</v>
      </c>
      <c r="Y243" s="141" t="e">
        <f t="shared" ca="1" si="483"/>
        <v>#DIV/0!</v>
      </c>
      <c r="Z243" s="141" t="e">
        <f t="shared" ca="1" si="483"/>
        <v>#DIV/0!</v>
      </c>
      <c r="AA243" s="141" t="e">
        <f t="shared" ca="1" si="483"/>
        <v>#DIV/0!</v>
      </c>
      <c r="AB243" s="141"/>
      <c r="AC243" s="141" t="e">
        <f t="shared" ca="1" si="1"/>
        <v>#DIV/0!</v>
      </c>
      <c r="AD243" s="141" t="e">
        <f t="shared" ref="AD243:AI243" ca="1" si="484">O243/$I243</f>
        <v>#DIV/0!</v>
      </c>
      <c r="AE243" s="141" t="e">
        <f t="shared" ca="1" si="484"/>
        <v>#DIV/0!</v>
      </c>
      <c r="AF243" s="141" t="e">
        <f t="shared" ca="1" si="484"/>
        <v>#DIV/0!</v>
      </c>
      <c r="AG243" s="141" t="e">
        <f t="shared" ca="1" si="484"/>
        <v>#DIV/0!</v>
      </c>
      <c r="AH243" s="141" t="e">
        <f t="shared" ca="1" si="484"/>
        <v>#DIV/0!</v>
      </c>
      <c r="AI243" s="141" t="e">
        <f t="shared" ca="1" si="484"/>
        <v>#DIV/0!</v>
      </c>
      <c r="AJ243" s="140"/>
    </row>
    <row r="244" spans="1:36">
      <c r="A244" s="140" t="e">
        <f ca="1"/>
        <v>#NAME?</v>
      </c>
      <c r="B244" s="140" t="e">
        <f ca="1"/>
        <v>#NAME?</v>
      </c>
      <c r="C244" s="140" t="e">
        <f ca="1"/>
        <v>#NAME?</v>
      </c>
      <c r="D244" s="140" t="e">
        <f ca="1"/>
        <v>#NAME?</v>
      </c>
      <c r="E244" s="140" t="e">
        <f ca="1"/>
        <v>#NAME?</v>
      </c>
      <c r="F244" s="140" t="e">
        <f ca="1"/>
        <v>#NAME?</v>
      </c>
      <c r="G244" s="140" t="e">
        <f ca="1"/>
        <v>#NAME?</v>
      </c>
      <c r="H244" s="140"/>
      <c r="I244" s="140">
        <f ca="1">SUMIFS('F20-2024'!I:I,'F20-2024'!$D:$D,$D244,'F20-2024'!$E:$E,$E244,'F20-2024'!$F:$F,$F244)</f>
        <v>0</v>
      </c>
      <c r="J244" s="140">
        <f ca="1">SUMIFS('F20-2024'!J:J,'F20-2024'!$D:$D,$D244,'F20-2024'!$E:$E,$E244,'F20-2024'!$F:$F,$F244)</f>
        <v>0</v>
      </c>
      <c r="K244" s="140">
        <f ca="1">SUMIFS('F20-2024'!K:K,'F20-2024'!$D:$D,$D244,'F20-2024'!$E:$E,$E244,'F20-2024'!$F:$F,$F244)</f>
        <v>0</v>
      </c>
      <c r="L244" s="140">
        <f ca="1">SUMIFS('F20-2024'!L:L,'F20-2024'!$D:$D,$D244,'F20-2024'!$E:$E,$E244,'F20-2024'!$F:$F,$F244)</f>
        <v>0</v>
      </c>
      <c r="M244" s="140">
        <f ca="1">SUMIFS('F20-2024'!M:M,'F20-2024'!$D:$D,$D244,'F20-2024'!$E:$E,$E244,'F20-2024'!$F:$F,$F244)</f>
        <v>0</v>
      </c>
      <c r="N244" s="140">
        <f ca="1">SUMIFS('F20-2024'!N:N,'F20-2024'!$D:$D,$D244,'F20-2024'!$E:$E,$E244,'F20-2024'!$F:$F,$F244)</f>
        <v>0</v>
      </c>
      <c r="O244" s="140">
        <f ca="1">SUMIFS('F20-2024'!O:O,'F20-2024'!$D:$D,$D244,'F20-2024'!$E:$E,$E244,'F20-2024'!$F:$F,$F244)</f>
        <v>0</v>
      </c>
      <c r="P244" s="140">
        <f ca="1">SUMIFS('F20-2024'!P:P,'F20-2024'!$D:$D,$D244,'F20-2024'!$E:$E,$E244,'F20-2024'!$F:$F,$F244)</f>
        <v>0</v>
      </c>
      <c r="Q244" s="140">
        <f ca="1">SUMIFS('F20-2024'!Q:Q,'F20-2024'!$D:$D,$D244,'F20-2024'!$E:$E,$E244,'F20-2024'!$F:$F,$F244)</f>
        <v>0</v>
      </c>
      <c r="R244" s="140">
        <f ca="1">SUMIFS('F20-2024'!R:R,'F20-2024'!$D:$D,$D244,'F20-2024'!$E:$E,$E244,'F20-2024'!$F:$F,$F244)</f>
        <v>0</v>
      </c>
      <c r="S244" s="140">
        <f ca="1">SUMIFS('F20-2024'!S:S,'F20-2024'!$D:$D,$D244,'F20-2024'!$E:$E,$E244,'F20-2024'!$F:$F,$F244)</f>
        <v>0</v>
      </c>
      <c r="T244" s="140">
        <f ca="1">SUMIFS('F20-2024'!T:T,'F20-2024'!$D:$D,$D244,'F20-2024'!$E:$E,$E244,'F20-2024'!$F:$F,$F244)</f>
        <v>0</v>
      </c>
      <c r="U244" s="140">
        <f ca="1">SUMIFS('F20-2024'!U:U,'F20-2024'!$D:$D,$D244,'F20-2024'!$E:$E,$E244,'F20-2024'!$F:$F,$F244)</f>
        <v>0</v>
      </c>
      <c r="V244" s="140"/>
      <c r="W244" s="141" t="e">
        <f t="shared" ref="W244:AA244" ca="1" si="485">J244/$I244</f>
        <v>#DIV/0!</v>
      </c>
      <c r="X244" s="141" t="e">
        <f t="shared" ca="1" si="485"/>
        <v>#DIV/0!</v>
      </c>
      <c r="Y244" s="141" t="e">
        <f t="shared" ca="1" si="485"/>
        <v>#DIV/0!</v>
      </c>
      <c r="Z244" s="141" t="e">
        <f t="shared" ca="1" si="485"/>
        <v>#DIV/0!</v>
      </c>
      <c r="AA244" s="141" t="e">
        <f t="shared" ca="1" si="485"/>
        <v>#DIV/0!</v>
      </c>
      <c r="AB244" s="141"/>
      <c r="AC244" s="141" t="e">
        <f t="shared" ca="1" si="1"/>
        <v>#DIV/0!</v>
      </c>
      <c r="AD244" s="141" t="e">
        <f t="shared" ref="AD244:AI244" ca="1" si="486">O244/$I244</f>
        <v>#DIV/0!</v>
      </c>
      <c r="AE244" s="141" t="e">
        <f t="shared" ca="1" si="486"/>
        <v>#DIV/0!</v>
      </c>
      <c r="AF244" s="141" t="e">
        <f t="shared" ca="1" si="486"/>
        <v>#DIV/0!</v>
      </c>
      <c r="AG244" s="141" t="e">
        <f t="shared" ca="1" si="486"/>
        <v>#DIV/0!</v>
      </c>
      <c r="AH244" s="141" t="e">
        <f t="shared" ca="1" si="486"/>
        <v>#DIV/0!</v>
      </c>
      <c r="AI244" s="141" t="e">
        <f t="shared" ca="1" si="486"/>
        <v>#DIV/0!</v>
      </c>
      <c r="AJ244" s="140"/>
    </row>
    <row r="245" spans="1:36">
      <c r="A245" s="140" t="e">
        <f ca="1"/>
        <v>#NAME?</v>
      </c>
      <c r="B245" s="140" t="e">
        <f ca="1"/>
        <v>#NAME?</v>
      </c>
      <c r="C245" s="140" t="e">
        <f ca="1"/>
        <v>#NAME?</v>
      </c>
      <c r="D245" s="140" t="e">
        <f ca="1"/>
        <v>#NAME?</v>
      </c>
      <c r="E245" s="140" t="e">
        <f ca="1"/>
        <v>#NAME?</v>
      </c>
      <c r="F245" s="140" t="e">
        <f ca="1"/>
        <v>#NAME?</v>
      </c>
      <c r="G245" s="140" t="e">
        <f ca="1"/>
        <v>#NAME?</v>
      </c>
      <c r="H245" s="140"/>
      <c r="I245" s="140">
        <f ca="1">SUMIFS('F20-2024'!I:I,'F20-2024'!$D:$D,$D245,'F20-2024'!$E:$E,$E245,'F20-2024'!$F:$F,$F245)</f>
        <v>0</v>
      </c>
      <c r="J245" s="140">
        <f ca="1">SUMIFS('F20-2024'!J:J,'F20-2024'!$D:$D,$D245,'F20-2024'!$E:$E,$E245,'F20-2024'!$F:$F,$F245)</f>
        <v>0</v>
      </c>
      <c r="K245" s="140">
        <f ca="1">SUMIFS('F20-2024'!K:K,'F20-2024'!$D:$D,$D245,'F20-2024'!$E:$E,$E245,'F20-2024'!$F:$F,$F245)</f>
        <v>0</v>
      </c>
      <c r="L245" s="140">
        <f ca="1">SUMIFS('F20-2024'!L:L,'F20-2024'!$D:$D,$D245,'F20-2024'!$E:$E,$E245,'F20-2024'!$F:$F,$F245)</f>
        <v>0</v>
      </c>
      <c r="M245" s="140">
        <f ca="1">SUMIFS('F20-2024'!M:M,'F20-2024'!$D:$D,$D245,'F20-2024'!$E:$E,$E245,'F20-2024'!$F:$F,$F245)</f>
        <v>0</v>
      </c>
      <c r="N245" s="140">
        <f ca="1">SUMIFS('F20-2024'!N:N,'F20-2024'!$D:$D,$D245,'F20-2024'!$E:$E,$E245,'F20-2024'!$F:$F,$F245)</f>
        <v>0</v>
      </c>
      <c r="O245" s="140">
        <f ca="1">SUMIFS('F20-2024'!O:O,'F20-2024'!$D:$D,$D245,'F20-2024'!$E:$E,$E245,'F20-2024'!$F:$F,$F245)</f>
        <v>0</v>
      </c>
      <c r="P245" s="140">
        <f ca="1">SUMIFS('F20-2024'!P:P,'F20-2024'!$D:$D,$D245,'F20-2024'!$E:$E,$E245,'F20-2024'!$F:$F,$F245)</f>
        <v>0</v>
      </c>
      <c r="Q245" s="140">
        <f ca="1">SUMIFS('F20-2024'!Q:Q,'F20-2024'!$D:$D,$D245,'F20-2024'!$E:$E,$E245,'F20-2024'!$F:$F,$F245)</f>
        <v>0</v>
      </c>
      <c r="R245" s="140">
        <f ca="1">SUMIFS('F20-2024'!R:R,'F20-2024'!$D:$D,$D245,'F20-2024'!$E:$E,$E245,'F20-2024'!$F:$F,$F245)</f>
        <v>0</v>
      </c>
      <c r="S245" s="140">
        <f ca="1">SUMIFS('F20-2024'!S:S,'F20-2024'!$D:$D,$D245,'F20-2024'!$E:$E,$E245,'F20-2024'!$F:$F,$F245)</f>
        <v>0</v>
      </c>
      <c r="T245" s="140">
        <f ca="1">SUMIFS('F20-2024'!T:T,'F20-2024'!$D:$D,$D245,'F20-2024'!$E:$E,$E245,'F20-2024'!$F:$F,$F245)</f>
        <v>0</v>
      </c>
      <c r="U245" s="140">
        <f ca="1">SUMIFS('F20-2024'!U:U,'F20-2024'!$D:$D,$D245,'F20-2024'!$E:$E,$E245,'F20-2024'!$F:$F,$F245)</f>
        <v>0</v>
      </c>
      <c r="V245" s="140"/>
      <c r="W245" s="141" t="e">
        <f t="shared" ref="W245:AA245" ca="1" si="487">J245/$I245</f>
        <v>#DIV/0!</v>
      </c>
      <c r="X245" s="141" t="e">
        <f t="shared" ca="1" si="487"/>
        <v>#DIV/0!</v>
      </c>
      <c r="Y245" s="141" t="e">
        <f t="shared" ca="1" si="487"/>
        <v>#DIV/0!</v>
      </c>
      <c r="Z245" s="141" t="e">
        <f t="shared" ca="1" si="487"/>
        <v>#DIV/0!</v>
      </c>
      <c r="AA245" s="141" t="e">
        <f t="shared" ca="1" si="487"/>
        <v>#DIV/0!</v>
      </c>
      <c r="AB245" s="141"/>
      <c r="AC245" s="141" t="e">
        <f t="shared" ca="1" si="1"/>
        <v>#DIV/0!</v>
      </c>
      <c r="AD245" s="141" t="e">
        <f t="shared" ref="AD245:AI245" ca="1" si="488">O245/$I245</f>
        <v>#DIV/0!</v>
      </c>
      <c r="AE245" s="141" t="e">
        <f t="shared" ca="1" si="488"/>
        <v>#DIV/0!</v>
      </c>
      <c r="AF245" s="141" t="e">
        <f t="shared" ca="1" si="488"/>
        <v>#DIV/0!</v>
      </c>
      <c r="AG245" s="141" t="e">
        <f t="shared" ca="1" si="488"/>
        <v>#DIV/0!</v>
      </c>
      <c r="AH245" s="141" t="e">
        <f t="shared" ca="1" si="488"/>
        <v>#DIV/0!</v>
      </c>
      <c r="AI245" s="141" t="e">
        <f t="shared" ca="1" si="488"/>
        <v>#DIV/0!</v>
      </c>
      <c r="AJ245" s="140"/>
    </row>
    <row r="246" spans="1:36">
      <c r="A246" s="140" t="e">
        <f ca="1"/>
        <v>#NAME?</v>
      </c>
      <c r="B246" s="140" t="e">
        <f ca="1"/>
        <v>#NAME?</v>
      </c>
      <c r="C246" s="140" t="e">
        <f ca="1"/>
        <v>#NAME?</v>
      </c>
      <c r="D246" s="140" t="e">
        <f ca="1"/>
        <v>#NAME?</v>
      </c>
      <c r="E246" s="140" t="e">
        <f ca="1"/>
        <v>#NAME?</v>
      </c>
      <c r="F246" s="140" t="e">
        <f ca="1"/>
        <v>#NAME?</v>
      </c>
      <c r="G246" s="140" t="e">
        <f ca="1"/>
        <v>#NAME?</v>
      </c>
      <c r="H246" s="140"/>
      <c r="I246" s="140">
        <f ca="1">SUMIFS('F20-2024'!I:I,'F20-2024'!$D:$D,$D246,'F20-2024'!$E:$E,$E246,'F20-2024'!$F:$F,$F246)</f>
        <v>0</v>
      </c>
      <c r="J246" s="140">
        <f ca="1">SUMIFS('F20-2024'!J:J,'F20-2024'!$D:$D,$D246,'F20-2024'!$E:$E,$E246,'F20-2024'!$F:$F,$F246)</f>
        <v>0</v>
      </c>
      <c r="K246" s="140">
        <f ca="1">SUMIFS('F20-2024'!K:K,'F20-2024'!$D:$D,$D246,'F20-2024'!$E:$E,$E246,'F20-2024'!$F:$F,$F246)</f>
        <v>0</v>
      </c>
      <c r="L246" s="140">
        <f ca="1">SUMIFS('F20-2024'!L:L,'F20-2024'!$D:$D,$D246,'F20-2024'!$E:$E,$E246,'F20-2024'!$F:$F,$F246)</f>
        <v>0</v>
      </c>
      <c r="M246" s="140">
        <f ca="1">SUMIFS('F20-2024'!M:M,'F20-2024'!$D:$D,$D246,'F20-2024'!$E:$E,$E246,'F20-2024'!$F:$F,$F246)</f>
        <v>0</v>
      </c>
      <c r="N246" s="140">
        <f ca="1">SUMIFS('F20-2024'!N:N,'F20-2024'!$D:$D,$D246,'F20-2024'!$E:$E,$E246,'F20-2024'!$F:$F,$F246)</f>
        <v>0</v>
      </c>
      <c r="O246" s="140">
        <f ca="1">SUMIFS('F20-2024'!O:O,'F20-2024'!$D:$D,$D246,'F20-2024'!$E:$E,$E246,'F20-2024'!$F:$F,$F246)</f>
        <v>0</v>
      </c>
      <c r="P246" s="140">
        <f ca="1">SUMIFS('F20-2024'!P:P,'F20-2024'!$D:$D,$D246,'F20-2024'!$E:$E,$E246,'F20-2024'!$F:$F,$F246)</f>
        <v>0</v>
      </c>
      <c r="Q246" s="140">
        <f ca="1">SUMIFS('F20-2024'!Q:Q,'F20-2024'!$D:$D,$D246,'F20-2024'!$E:$E,$E246,'F20-2024'!$F:$F,$F246)</f>
        <v>0</v>
      </c>
      <c r="R246" s="140">
        <f ca="1">SUMIFS('F20-2024'!R:R,'F20-2024'!$D:$D,$D246,'F20-2024'!$E:$E,$E246,'F20-2024'!$F:$F,$F246)</f>
        <v>0</v>
      </c>
      <c r="S246" s="140">
        <f ca="1">SUMIFS('F20-2024'!S:S,'F20-2024'!$D:$D,$D246,'F20-2024'!$E:$E,$E246,'F20-2024'!$F:$F,$F246)</f>
        <v>0</v>
      </c>
      <c r="T246" s="140">
        <f ca="1">SUMIFS('F20-2024'!T:T,'F20-2024'!$D:$D,$D246,'F20-2024'!$E:$E,$E246,'F20-2024'!$F:$F,$F246)</f>
        <v>0</v>
      </c>
      <c r="U246" s="140">
        <f ca="1">SUMIFS('F20-2024'!U:U,'F20-2024'!$D:$D,$D246,'F20-2024'!$E:$E,$E246,'F20-2024'!$F:$F,$F246)</f>
        <v>0</v>
      </c>
      <c r="V246" s="140"/>
      <c r="W246" s="141" t="e">
        <f t="shared" ref="W246:AA246" ca="1" si="489">J246/$I246</f>
        <v>#DIV/0!</v>
      </c>
      <c r="X246" s="141" t="e">
        <f t="shared" ca="1" si="489"/>
        <v>#DIV/0!</v>
      </c>
      <c r="Y246" s="141" t="e">
        <f t="shared" ca="1" si="489"/>
        <v>#DIV/0!</v>
      </c>
      <c r="Z246" s="141" t="e">
        <f t="shared" ca="1" si="489"/>
        <v>#DIV/0!</v>
      </c>
      <c r="AA246" s="141" t="e">
        <f t="shared" ca="1" si="489"/>
        <v>#DIV/0!</v>
      </c>
      <c r="AB246" s="141"/>
      <c r="AC246" s="141" t="e">
        <f t="shared" ca="1" si="1"/>
        <v>#DIV/0!</v>
      </c>
      <c r="AD246" s="141" t="e">
        <f t="shared" ref="AD246:AI246" ca="1" si="490">O246/$I246</f>
        <v>#DIV/0!</v>
      </c>
      <c r="AE246" s="141" t="e">
        <f t="shared" ca="1" si="490"/>
        <v>#DIV/0!</v>
      </c>
      <c r="AF246" s="141" t="e">
        <f t="shared" ca="1" si="490"/>
        <v>#DIV/0!</v>
      </c>
      <c r="AG246" s="141" t="e">
        <f t="shared" ca="1" si="490"/>
        <v>#DIV/0!</v>
      </c>
      <c r="AH246" s="141" t="e">
        <f t="shared" ca="1" si="490"/>
        <v>#DIV/0!</v>
      </c>
      <c r="AI246" s="141" t="e">
        <f t="shared" ca="1" si="490"/>
        <v>#DIV/0!</v>
      </c>
      <c r="AJ246" s="140"/>
    </row>
    <row r="247" spans="1:36">
      <c r="A247" s="140" t="e">
        <f ca="1"/>
        <v>#NAME?</v>
      </c>
      <c r="B247" s="140" t="e">
        <f ca="1"/>
        <v>#NAME?</v>
      </c>
      <c r="C247" s="140" t="e">
        <f ca="1"/>
        <v>#NAME?</v>
      </c>
      <c r="D247" s="140" t="e">
        <f ca="1"/>
        <v>#NAME?</v>
      </c>
      <c r="E247" s="140" t="e">
        <f ca="1"/>
        <v>#NAME?</v>
      </c>
      <c r="F247" s="140" t="e">
        <f ca="1"/>
        <v>#NAME?</v>
      </c>
      <c r="G247" s="140" t="e">
        <f ca="1"/>
        <v>#NAME?</v>
      </c>
      <c r="H247" s="140"/>
      <c r="I247" s="140">
        <f ca="1">SUMIFS('F20-2024'!I:I,'F20-2024'!$D:$D,$D247,'F20-2024'!$E:$E,$E247,'F20-2024'!$F:$F,$F247)</f>
        <v>0</v>
      </c>
      <c r="J247" s="140">
        <f ca="1">SUMIFS('F20-2024'!J:J,'F20-2024'!$D:$D,$D247,'F20-2024'!$E:$E,$E247,'F20-2024'!$F:$F,$F247)</f>
        <v>0</v>
      </c>
      <c r="K247" s="140">
        <f ca="1">SUMIFS('F20-2024'!K:K,'F20-2024'!$D:$D,$D247,'F20-2024'!$E:$E,$E247,'F20-2024'!$F:$F,$F247)</f>
        <v>0</v>
      </c>
      <c r="L247" s="140">
        <f ca="1">SUMIFS('F20-2024'!L:L,'F20-2024'!$D:$D,$D247,'F20-2024'!$E:$E,$E247,'F20-2024'!$F:$F,$F247)</f>
        <v>0</v>
      </c>
      <c r="M247" s="140">
        <f ca="1">SUMIFS('F20-2024'!M:M,'F20-2024'!$D:$D,$D247,'F20-2024'!$E:$E,$E247,'F20-2024'!$F:$F,$F247)</f>
        <v>0</v>
      </c>
      <c r="N247" s="140">
        <f ca="1">SUMIFS('F20-2024'!N:N,'F20-2024'!$D:$D,$D247,'F20-2024'!$E:$E,$E247,'F20-2024'!$F:$F,$F247)</f>
        <v>0</v>
      </c>
      <c r="O247" s="140">
        <f ca="1">SUMIFS('F20-2024'!O:O,'F20-2024'!$D:$D,$D247,'F20-2024'!$E:$E,$E247,'F20-2024'!$F:$F,$F247)</f>
        <v>0</v>
      </c>
      <c r="P247" s="140">
        <f ca="1">SUMIFS('F20-2024'!P:P,'F20-2024'!$D:$D,$D247,'F20-2024'!$E:$E,$E247,'F20-2024'!$F:$F,$F247)</f>
        <v>0</v>
      </c>
      <c r="Q247" s="140">
        <f ca="1">SUMIFS('F20-2024'!Q:Q,'F20-2024'!$D:$D,$D247,'F20-2024'!$E:$E,$E247,'F20-2024'!$F:$F,$F247)</f>
        <v>0</v>
      </c>
      <c r="R247" s="140">
        <f ca="1">SUMIFS('F20-2024'!R:R,'F20-2024'!$D:$D,$D247,'F20-2024'!$E:$E,$E247,'F20-2024'!$F:$F,$F247)</f>
        <v>0</v>
      </c>
      <c r="S247" s="140">
        <f ca="1">SUMIFS('F20-2024'!S:S,'F20-2024'!$D:$D,$D247,'F20-2024'!$E:$E,$E247,'F20-2024'!$F:$F,$F247)</f>
        <v>0</v>
      </c>
      <c r="T247" s="140">
        <f ca="1">SUMIFS('F20-2024'!T:T,'F20-2024'!$D:$D,$D247,'F20-2024'!$E:$E,$E247,'F20-2024'!$F:$F,$F247)</f>
        <v>0</v>
      </c>
      <c r="U247" s="140">
        <f ca="1">SUMIFS('F20-2024'!U:U,'F20-2024'!$D:$D,$D247,'F20-2024'!$E:$E,$E247,'F20-2024'!$F:$F,$F247)</f>
        <v>0</v>
      </c>
      <c r="V247" s="140"/>
      <c r="W247" s="141" t="e">
        <f t="shared" ref="W247:AA247" ca="1" si="491">J247/$I247</f>
        <v>#DIV/0!</v>
      </c>
      <c r="X247" s="141" t="e">
        <f t="shared" ca="1" si="491"/>
        <v>#DIV/0!</v>
      </c>
      <c r="Y247" s="141" t="e">
        <f t="shared" ca="1" si="491"/>
        <v>#DIV/0!</v>
      </c>
      <c r="Z247" s="141" t="e">
        <f t="shared" ca="1" si="491"/>
        <v>#DIV/0!</v>
      </c>
      <c r="AA247" s="141" t="e">
        <f t="shared" ca="1" si="491"/>
        <v>#DIV/0!</v>
      </c>
      <c r="AB247" s="141"/>
      <c r="AC247" s="141" t="e">
        <f t="shared" ca="1" si="1"/>
        <v>#DIV/0!</v>
      </c>
      <c r="AD247" s="141" t="e">
        <f t="shared" ref="AD247:AI247" ca="1" si="492">O247/$I247</f>
        <v>#DIV/0!</v>
      </c>
      <c r="AE247" s="141" t="e">
        <f t="shared" ca="1" si="492"/>
        <v>#DIV/0!</v>
      </c>
      <c r="AF247" s="141" t="e">
        <f t="shared" ca="1" si="492"/>
        <v>#DIV/0!</v>
      </c>
      <c r="AG247" s="141" t="e">
        <f t="shared" ca="1" si="492"/>
        <v>#DIV/0!</v>
      </c>
      <c r="AH247" s="141" t="e">
        <f t="shared" ca="1" si="492"/>
        <v>#DIV/0!</v>
      </c>
      <c r="AI247" s="141" t="e">
        <f t="shared" ca="1" si="492"/>
        <v>#DIV/0!</v>
      </c>
      <c r="AJ247" s="140"/>
    </row>
    <row r="248" spans="1:36">
      <c r="A248" s="140" t="e">
        <f ca="1"/>
        <v>#NAME?</v>
      </c>
      <c r="B248" s="140" t="e">
        <f ca="1"/>
        <v>#NAME?</v>
      </c>
      <c r="C248" s="140" t="e">
        <f ca="1"/>
        <v>#NAME?</v>
      </c>
      <c r="D248" s="140" t="e">
        <f ca="1"/>
        <v>#NAME?</v>
      </c>
      <c r="E248" s="140" t="e">
        <f ca="1"/>
        <v>#NAME?</v>
      </c>
      <c r="F248" s="140" t="e">
        <f ca="1"/>
        <v>#NAME?</v>
      </c>
      <c r="G248" s="140" t="e">
        <f ca="1"/>
        <v>#NAME?</v>
      </c>
      <c r="H248" s="140"/>
      <c r="I248" s="140">
        <f ca="1">SUMIFS('F20-2024'!I:I,'F20-2024'!$D:$D,$D248,'F20-2024'!$E:$E,$E248,'F20-2024'!$F:$F,$F248)</f>
        <v>0</v>
      </c>
      <c r="J248" s="140">
        <f ca="1">SUMIFS('F20-2024'!J:J,'F20-2024'!$D:$D,$D248,'F20-2024'!$E:$E,$E248,'F20-2024'!$F:$F,$F248)</f>
        <v>0</v>
      </c>
      <c r="K248" s="140">
        <f ca="1">SUMIFS('F20-2024'!K:K,'F20-2024'!$D:$D,$D248,'F20-2024'!$E:$E,$E248,'F20-2024'!$F:$F,$F248)</f>
        <v>0</v>
      </c>
      <c r="L248" s="140">
        <f ca="1">SUMIFS('F20-2024'!L:L,'F20-2024'!$D:$D,$D248,'F20-2024'!$E:$E,$E248,'F20-2024'!$F:$F,$F248)</f>
        <v>0</v>
      </c>
      <c r="M248" s="140">
        <f ca="1">SUMIFS('F20-2024'!M:M,'F20-2024'!$D:$D,$D248,'F20-2024'!$E:$E,$E248,'F20-2024'!$F:$F,$F248)</f>
        <v>0</v>
      </c>
      <c r="N248" s="140">
        <f ca="1">SUMIFS('F20-2024'!N:N,'F20-2024'!$D:$D,$D248,'F20-2024'!$E:$E,$E248,'F20-2024'!$F:$F,$F248)</f>
        <v>0</v>
      </c>
      <c r="O248" s="140">
        <f ca="1">SUMIFS('F20-2024'!O:O,'F20-2024'!$D:$D,$D248,'F20-2024'!$E:$E,$E248,'F20-2024'!$F:$F,$F248)</f>
        <v>0</v>
      </c>
      <c r="P248" s="140">
        <f ca="1">SUMIFS('F20-2024'!P:P,'F20-2024'!$D:$D,$D248,'F20-2024'!$E:$E,$E248,'F20-2024'!$F:$F,$F248)</f>
        <v>0</v>
      </c>
      <c r="Q248" s="140">
        <f ca="1">SUMIFS('F20-2024'!Q:Q,'F20-2024'!$D:$D,$D248,'F20-2024'!$E:$E,$E248,'F20-2024'!$F:$F,$F248)</f>
        <v>0</v>
      </c>
      <c r="R248" s="140">
        <f ca="1">SUMIFS('F20-2024'!R:R,'F20-2024'!$D:$D,$D248,'F20-2024'!$E:$E,$E248,'F20-2024'!$F:$F,$F248)</f>
        <v>0</v>
      </c>
      <c r="S248" s="140">
        <f ca="1">SUMIFS('F20-2024'!S:S,'F20-2024'!$D:$D,$D248,'F20-2024'!$E:$E,$E248,'F20-2024'!$F:$F,$F248)</f>
        <v>0</v>
      </c>
      <c r="T248" s="140">
        <f ca="1">SUMIFS('F20-2024'!T:T,'F20-2024'!$D:$D,$D248,'F20-2024'!$E:$E,$E248,'F20-2024'!$F:$F,$F248)</f>
        <v>0</v>
      </c>
      <c r="U248" s="140">
        <f ca="1">SUMIFS('F20-2024'!U:U,'F20-2024'!$D:$D,$D248,'F20-2024'!$E:$E,$E248,'F20-2024'!$F:$F,$F248)</f>
        <v>0</v>
      </c>
      <c r="V248" s="140"/>
      <c r="W248" s="141" t="e">
        <f t="shared" ref="W248:AA248" ca="1" si="493">J248/$I248</f>
        <v>#DIV/0!</v>
      </c>
      <c r="X248" s="141" t="e">
        <f t="shared" ca="1" si="493"/>
        <v>#DIV/0!</v>
      </c>
      <c r="Y248" s="141" t="e">
        <f t="shared" ca="1" si="493"/>
        <v>#DIV/0!</v>
      </c>
      <c r="Z248" s="141" t="e">
        <f t="shared" ca="1" si="493"/>
        <v>#DIV/0!</v>
      </c>
      <c r="AA248" s="141" t="e">
        <f t="shared" ca="1" si="493"/>
        <v>#DIV/0!</v>
      </c>
      <c r="AB248" s="141"/>
      <c r="AC248" s="141" t="e">
        <f t="shared" ca="1" si="1"/>
        <v>#DIV/0!</v>
      </c>
      <c r="AD248" s="141" t="e">
        <f t="shared" ref="AD248:AI248" ca="1" si="494">O248/$I248</f>
        <v>#DIV/0!</v>
      </c>
      <c r="AE248" s="141" t="e">
        <f t="shared" ca="1" si="494"/>
        <v>#DIV/0!</v>
      </c>
      <c r="AF248" s="141" t="e">
        <f t="shared" ca="1" si="494"/>
        <v>#DIV/0!</v>
      </c>
      <c r="AG248" s="141" t="e">
        <f t="shared" ca="1" si="494"/>
        <v>#DIV/0!</v>
      </c>
      <c r="AH248" s="141" t="e">
        <f t="shared" ca="1" si="494"/>
        <v>#DIV/0!</v>
      </c>
      <c r="AI248" s="141" t="e">
        <f t="shared" ca="1" si="494"/>
        <v>#DIV/0!</v>
      </c>
      <c r="AJ248" s="140"/>
    </row>
    <row r="249" spans="1:36">
      <c r="A249" s="140" t="e">
        <f ca="1"/>
        <v>#NAME?</v>
      </c>
      <c r="B249" s="140" t="e">
        <f ca="1"/>
        <v>#NAME?</v>
      </c>
      <c r="C249" s="140" t="e">
        <f ca="1"/>
        <v>#NAME?</v>
      </c>
      <c r="D249" s="140" t="e">
        <f ca="1"/>
        <v>#NAME?</v>
      </c>
      <c r="E249" s="140" t="e">
        <f ca="1"/>
        <v>#NAME?</v>
      </c>
      <c r="F249" s="140" t="e">
        <f ca="1"/>
        <v>#NAME?</v>
      </c>
      <c r="G249" s="140" t="e">
        <f ca="1"/>
        <v>#NAME?</v>
      </c>
      <c r="H249" s="140"/>
      <c r="I249" s="140">
        <f ca="1">SUMIFS('F20-2024'!I:I,'F20-2024'!$D:$D,$D249,'F20-2024'!$E:$E,$E249,'F20-2024'!$F:$F,$F249)</f>
        <v>0</v>
      </c>
      <c r="J249" s="140">
        <f ca="1">SUMIFS('F20-2024'!J:J,'F20-2024'!$D:$D,$D249,'F20-2024'!$E:$E,$E249,'F20-2024'!$F:$F,$F249)</f>
        <v>0</v>
      </c>
      <c r="K249" s="140">
        <f ca="1">SUMIFS('F20-2024'!K:K,'F20-2024'!$D:$D,$D249,'F20-2024'!$E:$E,$E249,'F20-2024'!$F:$F,$F249)</f>
        <v>0</v>
      </c>
      <c r="L249" s="140">
        <f ca="1">SUMIFS('F20-2024'!L:L,'F20-2024'!$D:$D,$D249,'F20-2024'!$E:$E,$E249,'F20-2024'!$F:$F,$F249)</f>
        <v>0</v>
      </c>
      <c r="M249" s="140">
        <f ca="1">SUMIFS('F20-2024'!M:M,'F20-2024'!$D:$D,$D249,'F20-2024'!$E:$E,$E249,'F20-2024'!$F:$F,$F249)</f>
        <v>0</v>
      </c>
      <c r="N249" s="140">
        <f ca="1">SUMIFS('F20-2024'!N:N,'F20-2024'!$D:$D,$D249,'F20-2024'!$E:$E,$E249,'F20-2024'!$F:$F,$F249)</f>
        <v>0</v>
      </c>
      <c r="O249" s="140">
        <f ca="1">SUMIFS('F20-2024'!O:O,'F20-2024'!$D:$D,$D249,'F20-2024'!$E:$E,$E249,'F20-2024'!$F:$F,$F249)</f>
        <v>0</v>
      </c>
      <c r="P249" s="140">
        <f ca="1">SUMIFS('F20-2024'!P:P,'F20-2024'!$D:$D,$D249,'F20-2024'!$E:$E,$E249,'F20-2024'!$F:$F,$F249)</f>
        <v>0</v>
      </c>
      <c r="Q249" s="140">
        <f ca="1">SUMIFS('F20-2024'!Q:Q,'F20-2024'!$D:$D,$D249,'F20-2024'!$E:$E,$E249,'F20-2024'!$F:$F,$F249)</f>
        <v>0</v>
      </c>
      <c r="R249" s="140">
        <f ca="1">SUMIFS('F20-2024'!R:R,'F20-2024'!$D:$D,$D249,'F20-2024'!$E:$E,$E249,'F20-2024'!$F:$F,$F249)</f>
        <v>0</v>
      </c>
      <c r="S249" s="140">
        <f ca="1">SUMIFS('F20-2024'!S:S,'F20-2024'!$D:$D,$D249,'F20-2024'!$E:$E,$E249,'F20-2024'!$F:$F,$F249)</f>
        <v>0</v>
      </c>
      <c r="T249" s="140">
        <f ca="1">SUMIFS('F20-2024'!T:T,'F20-2024'!$D:$D,$D249,'F20-2024'!$E:$E,$E249,'F20-2024'!$F:$F,$F249)</f>
        <v>0</v>
      </c>
      <c r="U249" s="140">
        <f ca="1">SUMIFS('F20-2024'!U:U,'F20-2024'!$D:$D,$D249,'F20-2024'!$E:$E,$E249,'F20-2024'!$F:$F,$F249)</f>
        <v>0</v>
      </c>
      <c r="V249" s="140"/>
      <c r="W249" s="141" t="e">
        <f t="shared" ref="W249:AA249" ca="1" si="495">J249/$I249</f>
        <v>#DIV/0!</v>
      </c>
      <c r="X249" s="141" t="e">
        <f t="shared" ca="1" si="495"/>
        <v>#DIV/0!</v>
      </c>
      <c r="Y249" s="141" t="e">
        <f t="shared" ca="1" si="495"/>
        <v>#DIV/0!</v>
      </c>
      <c r="Z249" s="141" t="e">
        <f t="shared" ca="1" si="495"/>
        <v>#DIV/0!</v>
      </c>
      <c r="AA249" s="141" t="e">
        <f t="shared" ca="1" si="495"/>
        <v>#DIV/0!</v>
      </c>
      <c r="AB249" s="141"/>
      <c r="AC249" s="141" t="e">
        <f t="shared" ca="1" si="1"/>
        <v>#DIV/0!</v>
      </c>
      <c r="AD249" s="141" t="e">
        <f t="shared" ref="AD249:AI249" ca="1" si="496">O249/$I249</f>
        <v>#DIV/0!</v>
      </c>
      <c r="AE249" s="141" t="e">
        <f t="shared" ca="1" si="496"/>
        <v>#DIV/0!</v>
      </c>
      <c r="AF249" s="141" t="e">
        <f t="shared" ca="1" si="496"/>
        <v>#DIV/0!</v>
      </c>
      <c r="AG249" s="141" t="e">
        <f t="shared" ca="1" si="496"/>
        <v>#DIV/0!</v>
      </c>
      <c r="AH249" s="141" t="e">
        <f t="shared" ca="1" si="496"/>
        <v>#DIV/0!</v>
      </c>
      <c r="AI249" s="141" t="e">
        <f t="shared" ca="1" si="496"/>
        <v>#DIV/0!</v>
      </c>
      <c r="AJ249" s="140"/>
    </row>
    <row r="250" spans="1:36">
      <c r="A250" s="140" t="e">
        <f ca="1"/>
        <v>#NAME?</v>
      </c>
      <c r="B250" s="140" t="e">
        <f ca="1"/>
        <v>#NAME?</v>
      </c>
      <c r="C250" s="140" t="e">
        <f ca="1"/>
        <v>#NAME?</v>
      </c>
      <c r="D250" s="140" t="e">
        <f ca="1"/>
        <v>#NAME?</v>
      </c>
      <c r="E250" s="140" t="e">
        <f ca="1"/>
        <v>#NAME?</v>
      </c>
      <c r="F250" s="140" t="e">
        <f ca="1"/>
        <v>#NAME?</v>
      </c>
      <c r="G250" s="140" t="e">
        <f ca="1"/>
        <v>#NAME?</v>
      </c>
      <c r="H250" s="140"/>
      <c r="I250" s="140">
        <f ca="1">SUMIFS('F20-2024'!I:I,'F20-2024'!$D:$D,$D250,'F20-2024'!$E:$E,$E250,'F20-2024'!$F:$F,$F250)</f>
        <v>0</v>
      </c>
      <c r="J250" s="140">
        <f ca="1">SUMIFS('F20-2024'!J:J,'F20-2024'!$D:$D,$D250,'F20-2024'!$E:$E,$E250,'F20-2024'!$F:$F,$F250)</f>
        <v>0</v>
      </c>
      <c r="K250" s="140">
        <f ca="1">SUMIFS('F20-2024'!K:K,'F20-2024'!$D:$D,$D250,'F20-2024'!$E:$E,$E250,'F20-2024'!$F:$F,$F250)</f>
        <v>0</v>
      </c>
      <c r="L250" s="140">
        <f ca="1">SUMIFS('F20-2024'!L:L,'F20-2024'!$D:$D,$D250,'F20-2024'!$E:$E,$E250,'F20-2024'!$F:$F,$F250)</f>
        <v>0</v>
      </c>
      <c r="M250" s="140">
        <f ca="1">SUMIFS('F20-2024'!M:M,'F20-2024'!$D:$D,$D250,'F20-2024'!$E:$E,$E250,'F20-2024'!$F:$F,$F250)</f>
        <v>0</v>
      </c>
      <c r="N250" s="140">
        <f ca="1">SUMIFS('F20-2024'!N:N,'F20-2024'!$D:$D,$D250,'F20-2024'!$E:$E,$E250,'F20-2024'!$F:$F,$F250)</f>
        <v>0</v>
      </c>
      <c r="O250" s="140">
        <f ca="1">SUMIFS('F20-2024'!O:O,'F20-2024'!$D:$D,$D250,'F20-2024'!$E:$E,$E250,'F20-2024'!$F:$F,$F250)</f>
        <v>0</v>
      </c>
      <c r="P250" s="140">
        <f ca="1">SUMIFS('F20-2024'!P:P,'F20-2024'!$D:$D,$D250,'F20-2024'!$E:$E,$E250,'F20-2024'!$F:$F,$F250)</f>
        <v>0</v>
      </c>
      <c r="Q250" s="140">
        <f ca="1">SUMIFS('F20-2024'!Q:Q,'F20-2024'!$D:$D,$D250,'F20-2024'!$E:$E,$E250,'F20-2024'!$F:$F,$F250)</f>
        <v>0</v>
      </c>
      <c r="R250" s="140">
        <f ca="1">SUMIFS('F20-2024'!R:R,'F20-2024'!$D:$D,$D250,'F20-2024'!$E:$E,$E250,'F20-2024'!$F:$F,$F250)</f>
        <v>0</v>
      </c>
      <c r="S250" s="140">
        <f ca="1">SUMIFS('F20-2024'!S:S,'F20-2024'!$D:$D,$D250,'F20-2024'!$E:$E,$E250,'F20-2024'!$F:$F,$F250)</f>
        <v>0</v>
      </c>
      <c r="T250" s="140">
        <f ca="1">SUMIFS('F20-2024'!T:T,'F20-2024'!$D:$D,$D250,'F20-2024'!$E:$E,$E250,'F20-2024'!$F:$F,$F250)</f>
        <v>0</v>
      </c>
      <c r="U250" s="140">
        <f ca="1">SUMIFS('F20-2024'!U:U,'F20-2024'!$D:$D,$D250,'F20-2024'!$E:$E,$E250,'F20-2024'!$F:$F,$F250)</f>
        <v>0</v>
      </c>
      <c r="V250" s="140"/>
      <c r="W250" s="141" t="e">
        <f t="shared" ref="W250:AA250" ca="1" si="497">J250/$I250</f>
        <v>#DIV/0!</v>
      </c>
      <c r="X250" s="141" t="e">
        <f t="shared" ca="1" si="497"/>
        <v>#DIV/0!</v>
      </c>
      <c r="Y250" s="141" t="e">
        <f t="shared" ca="1" si="497"/>
        <v>#DIV/0!</v>
      </c>
      <c r="Z250" s="141" t="e">
        <f t="shared" ca="1" si="497"/>
        <v>#DIV/0!</v>
      </c>
      <c r="AA250" s="141" t="e">
        <f t="shared" ca="1" si="497"/>
        <v>#DIV/0!</v>
      </c>
      <c r="AB250" s="141"/>
      <c r="AC250" s="141" t="e">
        <f t="shared" ca="1" si="1"/>
        <v>#DIV/0!</v>
      </c>
      <c r="AD250" s="141" t="e">
        <f t="shared" ref="AD250:AI250" ca="1" si="498">O250/$I250</f>
        <v>#DIV/0!</v>
      </c>
      <c r="AE250" s="141" t="e">
        <f t="shared" ca="1" si="498"/>
        <v>#DIV/0!</v>
      </c>
      <c r="AF250" s="141" t="e">
        <f t="shared" ca="1" si="498"/>
        <v>#DIV/0!</v>
      </c>
      <c r="AG250" s="141" t="e">
        <f t="shared" ca="1" si="498"/>
        <v>#DIV/0!</v>
      </c>
      <c r="AH250" s="141" t="e">
        <f t="shared" ca="1" si="498"/>
        <v>#DIV/0!</v>
      </c>
      <c r="AI250" s="141" t="e">
        <f t="shared" ca="1" si="498"/>
        <v>#DIV/0!</v>
      </c>
      <c r="AJ250" s="140"/>
    </row>
    <row r="251" spans="1:36">
      <c r="A251" s="140" t="e">
        <f ca="1"/>
        <v>#NAME?</v>
      </c>
      <c r="B251" s="140" t="e">
        <f ca="1"/>
        <v>#NAME?</v>
      </c>
      <c r="C251" s="140" t="e">
        <f ca="1"/>
        <v>#NAME?</v>
      </c>
      <c r="D251" s="140" t="e">
        <f ca="1"/>
        <v>#NAME?</v>
      </c>
      <c r="E251" s="140" t="e">
        <f ca="1"/>
        <v>#NAME?</v>
      </c>
      <c r="F251" s="140" t="e">
        <f ca="1"/>
        <v>#NAME?</v>
      </c>
      <c r="G251" s="140" t="e">
        <f ca="1"/>
        <v>#NAME?</v>
      </c>
      <c r="H251" s="140"/>
      <c r="I251" s="140">
        <f ca="1">SUMIFS('F20-2024'!I:I,'F20-2024'!$D:$D,$D251,'F20-2024'!$E:$E,$E251,'F20-2024'!$F:$F,$F251)</f>
        <v>0</v>
      </c>
      <c r="J251" s="140">
        <f ca="1">SUMIFS('F20-2024'!J:J,'F20-2024'!$D:$D,$D251,'F20-2024'!$E:$E,$E251,'F20-2024'!$F:$F,$F251)</f>
        <v>0</v>
      </c>
      <c r="K251" s="140">
        <f ca="1">SUMIFS('F20-2024'!K:K,'F20-2024'!$D:$D,$D251,'F20-2024'!$E:$E,$E251,'F20-2024'!$F:$F,$F251)</f>
        <v>0</v>
      </c>
      <c r="L251" s="140">
        <f ca="1">SUMIFS('F20-2024'!L:L,'F20-2024'!$D:$D,$D251,'F20-2024'!$E:$E,$E251,'F20-2024'!$F:$F,$F251)</f>
        <v>0</v>
      </c>
      <c r="M251" s="140">
        <f ca="1">SUMIFS('F20-2024'!M:M,'F20-2024'!$D:$D,$D251,'F20-2024'!$E:$E,$E251,'F20-2024'!$F:$F,$F251)</f>
        <v>0</v>
      </c>
      <c r="N251" s="140">
        <f ca="1">SUMIFS('F20-2024'!N:N,'F20-2024'!$D:$D,$D251,'F20-2024'!$E:$E,$E251,'F20-2024'!$F:$F,$F251)</f>
        <v>0</v>
      </c>
      <c r="O251" s="140">
        <f ca="1">SUMIFS('F20-2024'!O:O,'F20-2024'!$D:$D,$D251,'F20-2024'!$E:$E,$E251,'F20-2024'!$F:$F,$F251)</f>
        <v>0</v>
      </c>
      <c r="P251" s="140">
        <f ca="1">SUMIFS('F20-2024'!P:P,'F20-2024'!$D:$D,$D251,'F20-2024'!$E:$E,$E251,'F20-2024'!$F:$F,$F251)</f>
        <v>0</v>
      </c>
      <c r="Q251" s="140">
        <f ca="1">SUMIFS('F20-2024'!Q:Q,'F20-2024'!$D:$D,$D251,'F20-2024'!$E:$E,$E251,'F20-2024'!$F:$F,$F251)</f>
        <v>0</v>
      </c>
      <c r="R251" s="140">
        <f ca="1">SUMIFS('F20-2024'!R:R,'F20-2024'!$D:$D,$D251,'F20-2024'!$E:$E,$E251,'F20-2024'!$F:$F,$F251)</f>
        <v>0</v>
      </c>
      <c r="S251" s="140">
        <f ca="1">SUMIFS('F20-2024'!S:S,'F20-2024'!$D:$D,$D251,'F20-2024'!$E:$E,$E251,'F20-2024'!$F:$F,$F251)</f>
        <v>0</v>
      </c>
      <c r="T251" s="140">
        <f ca="1">SUMIFS('F20-2024'!T:T,'F20-2024'!$D:$D,$D251,'F20-2024'!$E:$E,$E251,'F20-2024'!$F:$F,$F251)</f>
        <v>0</v>
      </c>
      <c r="U251" s="140">
        <f ca="1">SUMIFS('F20-2024'!U:U,'F20-2024'!$D:$D,$D251,'F20-2024'!$E:$E,$E251,'F20-2024'!$F:$F,$F251)</f>
        <v>0</v>
      </c>
      <c r="V251" s="140"/>
      <c r="W251" s="141" t="e">
        <f t="shared" ref="W251:AA251" ca="1" si="499">J251/$I251</f>
        <v>#DIV/0!</v>
      </c>
      <c r="X251" s="141" t="e">
        <f t="shared" ca="1" si="499"/>
        <v>#DIV/0!</v>
      </c>
      <c r="Y251" s="141" t="e">
        <f t="shared" ca="1" si="499"/>
        <v>#DIV/0!</v>
      </c>
      <c r="Z251" s="141" t="e">
        <f t="shared" ca="1" si="499"/>
        <v>#DIV/0!</v>
      </c>
      <c r="AA251" s="141" t="e">
        <f t="shared" ca="1" si="499"/>
        <v>#DIV/0!</v>
      </c>
      <c r="AB251" s="141"/>
      <c r="AC251" s="141" t="e">
        <f t="shared" ca="1" si="1"/>
        <v>#DIV/0!</v>
      </c>
      <c r="AD251" s="141" t="e">
        <f t="shared" ref="AD251:AI251" ca="1" si="500">O251/$I251</f>
        <v>#DIV/0!</v>
      </c>
      <c r="AE251" s="141" t="e">
        <f t="shared" ca="1" si="500"/>
        <v>#DIV/0!</v>
      </c>
      <c r="AF251" s="141" t="e">
        <f t="shared" ca="1" si="500"/>
        <v>#DIV/0!</v>
      </c>
      <c r="AG251" s="141" t="e">
        <f t="shared" ca="1" si="500"/>
        <v>#DIV/0!</v>
      </c>
      <c r="AH251" s="141" t="e">
        <f t="shared" ca="1" si="500"/>
        <v>#DIV/0!</v>
      </c>
      <c r="AI251" s="141" t="e">
        <f t="shared" ca="1" si="500"/>
        <v>#DIV/0!</v>
      </c>
      <c r="AJ251" s="140"/>
    </row>
    <row r="252" spans="1:36">
      <c r="A252" s="140" t="e">
        <f ca="1"/>
        <v>#NAME?</v>
      </c>
      <c r="B252" s="140" t="e">
        <f ca="1"/>
        <v>#NAME?</v>
      </c>
      <c r="C252" s="140" t="e">
        <f ca="1"/>
        <v>#NAME?</v>
      </c>
      <c r="D252" s="140" t="e">
        <f ca="1"/>
        <v>#NAME?</v>
      </c>
      <c r="E252" s="140" t="e">
        <f ca="1"/>
        <v>#NAME?</v>
      </c>
      <c r="F252" s="140" t="e">
        <f ca="1"/>
        <v>#NAME?</v>
      </c>
      <c r="G252" s="140" t="e">
        <f ca="1"/>
        <v>#NAME?</v>
      </c>
      <c r="H252" s="140"/>
      <c r="I252" s="140">
        <f ca="1">SUMIFS('F20-2024'!I:I,'F20-2024'!$D:$D,$D252,'F20-2024'!$E:$E,$E252,'F20-2024'!$F:$F,$F252)</f>
        <v>0</v>
      </c>
      <c r="J252" s="140">
        <f ca="1">SUMIFS('F20-2024'!J:J,'F20-2024'!$D:$D,$D252,'F20-2024'!$E:$E,$E252,'F20-2024'!$F:$F,$F252)</f>
        <v>0</v>
      </c>
      <c r="K252" s="140">
        <f ca="1">SUMIFS('F20-2024'!K:K,'F20-2024'!$D:$D,$D252,'F20-2024'!$E:$E,$E252,'F20-2024'!$F:$F,$F252)</f>
        <v>0</v>
      </c>
      <c r="L252" s="140">
        <f ca="1">SUMIFS('F20-2024'!L:L,'F20-2024'!$D:$D,$D252,'F20-2024'!$E:$E,$E252,'F20-2024'!$F:$F,$F252)</f>
        <v>0</v>
      </c>
      <c r="M252" s="140">
        <f ca="1">SUMIFS('F20-2024'!M:M,'F20-2024'!$D:$D,$D252,'F20-2024'!$E:$E,$E252,'F20-2024'!$F:$F,$F252)</f>
        <v>0</v>
      </c>
      <c r="N252" s="140">
        <f ca="1">SUMIFS('F20-2024'!N:N,'F20-2024'!$D:$D,$D252,'F20-2024'!$E:$E,$E252,'F20-2024'!$F:$F,$F252)</f>
        <v>0</v>
      </c>
      <c r="O252" s="140">
        <f ca="1">SUMIFS('F20-2024'!O:O,'F20-2024'!$D:$D,$D252,'F20-2024'!$E:$E,$E252,'F20-2024'!$F:$F,$F252)</f>
        <v>0</v>
      </c>
      <c r="P252" s="140">
        <f ca="1">SUMIFS('F20-2024'!P:P,'F20-2024'!$D:$D,$D252,'F20-2024'!$E:$E,$E252,'F20-2024'!$F:$F,$F252)</f>
        <v>0</v>
      </c>
      <c r="Q252" s="140">
        <f ca="1">SUMIFS('F20-2024'!Q:Q,'F20-2024'!$D:$D,$D252,'F20-2024'!$E:$E,$E252,'F20-2024'!$F:$F,$F252)</f>
        <v>0</v>
      </c>
      <c r="R252" s="140">
        <f ca="1">SUMIFS('F20-2024'!R:R,'F20-2024'!$D:$D,$D252,'F20-2024'!$E:$E,$E252,'F20-2024'!$F:$F,$F252)</f>
        <v>0</v>
      </c>
      <c r="S252" s="140">
        <f ca="1">SUMIFS('F20-2024'!S:S,'F20-2024'!$D:$D,$D252,'F20-2024'!$E:$E,$E252,'F20-2024'!$F:$F,$F252)</f>
        <v>0</v>
      </c>
      <c r="T252" s="140">
        <f ca="1">SUMIFS('F20-2024'!T:T,'F20-2024'!$D:$D,$D252,'F20-2024'!$E:$E,$E252,'F20-2024'!$F:$F,$F252)</f>
        <v>0</v>
      </c>
      <c r="U252" s="140">
        <f ca="1">SUMIFS('F20-2024'!U:U,'F20-2024'!$D:$D,$D252,'F20-2024'!$E:$E,$E252,'F20-2024'!$F:$F,$F252)</f>
        <v>0</v>
      </c>
      <c r="V252" s="140"/>
      <c r="W252" s="141" t="e">
        <f t="shared" ref="W252:AA252" ca="1" si="501">J252/$I252</f>
        <v>#DIV/0!</v>
      </c>
      <c r="X252" s="141" t="e">
        <f t="shared" ca="1" si="501"/>
        <v>#DIV/0!</v>
      </c>
      <c r="Y252" s="141" t="e">
        <f t="shared" ca="1" si="501"/>
        <v>#DIV/0!</v>
      </c>
      <c r="Z252" s="141" t="e">
        <f t="shared" ca="1" si="501"/>
        <v>#DIV/0!</v>
      </c>
      <c r="AA252" s="141" t="e">
        <f t="shared" ca="1" si="501"/>
        <v>#DIV/0!</v>
      </c>
      <c r="AB252" s="141"/>
      <c r="AC252" s="141" t="e">
        <f t="shared" ca="1" si="1"/>
        <v>#DIV/0!</v>
      </c>
      <c r="AD252" s="141" t="e">
        <f t="shared" ref="AD252:AI252" ca="1" si="502">O252/$I252</f>
        <v>#DIV/0!</v>
      </c>
      <c r="AE252" s="141" t="e">
        <f t="shared" ca="1" si="502"/>
        <v>#DIV/0!</v>
      </c>
      <c r="AF252" s="141" t="e">
        <f t="shared" ca="1" si="502"/>
        <v>#DIV/0!</v>
      </c>
      <c r="AG252" s="141" t="e">
        <f t="shared" ca="1" si="502"/>
        <v>#DIV/0!</v>
      </c>
      <c r="AH252" s="141" t="e">
        <f t="shared" ca="1" si="502"/>
        <v>#DIV/0!</v>
      </c>
      <c r="AI252" s="141" t="e">
        <f t="shared" ca="1" si="502"/>
        <v>#DIV/0!</v>
      </c>
      <c r="AJ252" s="140"/>
    </row>
    <row r="253" spans="1:36">
      <c r="A253" s="140" t="e">
        <f ca="1"/>
        <v>#NAME?</v>
      </c>
      <c r="B253" s="140" t="e">
        <f ca="1"/>
        <v>#NAME?</v>
      </c>
      <c r="C253" s="140" t="e">
        <f ca="1"/>
        <v>#NAME?</v>
      </c>
      <c r="D253" s="140" t="e">
        <f ca="1"/>
        <v>#NAME?</v>
      </c>
      <c r="E253" s="140" t="e">
        <f ca="1"/>
        <v>#NAME?</v>
      </c>
      <c r="F253" s="140" t="e">
        <f ca="1"/>
        <v>#NAME?</v>
      </c>
      <c r="G253" s="140" t="e">
        <f ca="1"/>
        <v>#NAME?</v>
      </c>
      <c r="H253" s="140"/>
      <c r="I253" s="140">
        <f ca="1">SUMIFS('F20-2024'!I:I,'F20-2024'!$D:$D,$D253,'F20-2024'!$E:$E,$E253,'F20-2024'!$F:$F,$F253)</f>
        <v>0</v>
      </c>
      <c r="J253" s="140">
        <f ca="1">SUMIFS('F20-2024'!J:J,'F20-2024'!$D:$D,$D253,'F20-2024'!$E:$E,$E253,'F20-2024'!$F:$F,$F253)</f>
        <v>0</v>
      </c>
      <c r="K253" s="140">
        <f ca="1">SUMIFS('F20-2024'!K:K,'F20-2024'!$D:$D,$D253,'F20-2024'!$E:$E,$E253,'F20-2024'!$F:$F,$F253)</f>
        <v>0</v>
      </c>
      <c r="L253" s="140">
        <f ca="1">SUMIFS('F20-2024'!L:L,'F20-2024'!$D:$D,$D253,'F20-2024'!$E:$E,$E253,'F20-2024'!$F:$F,$F253)</f>
        <v>0</v>
      </c>
      <c r="M253" s="140">
        <f ca="1">SUMIFS('F20-2024'!M:M,'F20-2024'!$D:$D,$D253,'F20-2024'!$E:$E,$E253,'F20-2024'!$F:$F,$F253)</f>
        <v>0</v>
      </c>
      <c r="N253" s="140">
        <f ca="1">SUMIFS('F20-2024'!N:N,'F20-2024'!$D:$D,$D253,'F20-2024'!$E:$E,$E253,'F20-2024'!$F:$F,$F253)</f>
        <v>0</v>
      </c>
      <c r="O253" s="140">
        <f ca="1">SUMIFS('F20-2024'!O:O,'F20-2024'!$D:$D,$D253,'F20-2024'!$E:$E,$E253,'F20-2024'!$F:$F,$F253)</f>
        <v>0</v>
      </c>
      <c r="P253" s="140">
        <f ca="1">SUMIFS('F20-2024'!P:P,'F20-2024'!$D:$D,$D253,'F20-2024'!$E:$E,$E253,'F20-2024'!$F:$F,$F253)</f>
        <v>0</v>
      </c>
      <c r="Q253" s="140">
        <f ca="1">SUMIFS('F20-2024'!Q:Q,'F20-2024'!$D:$D,$D253,'F20-2024'!$E:$E,$E253,'F20-2024'!$F:$F,$F253)</f>
        <v>0</v>
      </c>
      <c r="R253" s="140">
        <f ca="1">SUMIFS('F20-2024'!R:R,'F20-2024'!$D:$D,$D253,'F20-2024'!$E:$E,$E253,'F20-2024'!$F:$F,$F253)</f>
        <v>0</v>
      </c>
      <c r="S253" s="140">
        <f ca="1">SUMIFS('F20-2024'!S:S,'F20-2024'!$D:$D,$D253,'F20-2024'!$E:$E,$E253,'F20-2024'!$F:$F,$F253)</f>
        <v>0</v>
      </c>
      <c r="T253" s="140">
        <f ca="1">SUMIFS('F20-2024'!T:T,'F20-2024'!$D:$D,$D253,'F20-2024'!$E:$E,$E253,'F20-2024'!$F:$F,$F253)</f>
        <v>0</v>
      </c>
      <c r="U253" s="140">
        <f ca="1">SUMIFS('F20-2024'!U:U,'F20-2024'!$D:$D,$D253,'F20-2024'!$E:$E,$E253,'F20-2024'!$F:$F,$F253)</f>
        <v>0</v>
      </c>
      <c r="V253" s="140"/>
      <c r="W253" s="141" t="e">
        <f t="shared" ref="W253:AA253" ca="1" si="503">J253/$I253</f>
        <v>#DIV/0!</v>
      </c>
      <c r="X253" s="141" t="e">
        <f t="shared" ca="1" si="503"/>
        <v>#DIV/0!</v>
      </c>
      <c r="Y253" s="141" t="e">
        <f t="shared" ca="1" si="503"/>
        <v>#DIV/0!</v>
      </c>
      <c r="Z253" s="141" t="e">
        <f t="shared" ca="1" si="503"/>
        <v>#DIV/0!</v>
      </c>
      <c r="AA253" s="141" t="e">
        <f t="shared" ca="1" si="503"/>
        <v>#DIV/0!</v>
      </c>
      <c r="AB253" s="141"/>
      <c r="AC253" s="141" t="e">
        <f t="shared" ca="1" si="1"/>
        <v>#DIV/0!</v>
      </c>
      <c r="AD253" s="141" t="e">
        <f t="shared" ref="AD253:AI253" ca="1" si="504">O253/$I253</f>
        <v>#DIV/0!</v>
      </c>
      <c r="AE253" s="141" t="e">
        <f t="shared" ca="1" si="504"/>
        <v>#DIV/0!</v>
      </c>
      <c r="AF253" s="141" t="e">
        <f t="shared" ca="1" si="504"/>
        <v>#DIV/0!</v>
      </c>
      <c r="AG253" s="141" t="e">
        <f t="shared" ca="1" si="504"/>
        <v>#DIV/0!</v>
      </c>
      <c r="AH253" s="141" t="e">
        <f t="shared" ca="1" si="504"/>
        <v>#DIV/0!</v>
      </c>
      <c r="AI253" s="141" t="e">
        <f t="shared" ca="1" si="504"/>
        <v>#DIV/0!</v>
      </c>
      <c r="AJ253" s="140"/>
    </row>
    <row r="254" spans="1:36">
      <c r="A254" s="140" t="e">
        <f ca="1"/>
        <v>#NAME?</v>
      </c>
      <c r="B254" s="140" t="e">
        <f ca="1"/>
        <v>#NAME?</v>
      </c>
      <c r="C254" s="140" t="e">
        <f ca="1"/>
        <v>#NAME?</v>
      </c>
      <c r="D254" s="140" t="e">
        <f ca="1"/>
        <v>#NAME?</v>
      </c>
      <c r="E254" s="140" t="e">
        <f ca="1"/>
        <v>#NAME?</v>
      </c>
      <c r="F254" s="140" t="e">
        <f ca="1"/>
        <v>#NAME?</v>
      </c>
      <c r="G254" s="140" t="e">
        <f ca="1"/>
        <v>#NAME?</v>
      </c>
      <c r="H254" s="140"/>
      <c r="I254" s="140">
        <f ca="1">SUMIFS('F20-2024'!I:I,'F20-2024'!$D:$D,$D254,'F20-2024'!$E:$E,$E254,'F20-2024'!$F:$F,$F254)</f>
        <v>0</v>
      </c>
      <c r="J254" s="140">
        <f ca="1">SUMIFS('F20-2024'!J:J,'F20-2024'!$D:$D,$D254,'F20-2024'!$E:$E,$E254,'F20-2024'!$F:$F,$F254)</f>
        <v>0</v>
      </c>
      <c r="K254" s="140">
        <f ca="1">SUMIFS('F20-2024'!K:K,'F20-2024'!$D:$D,$D254,'F20-2024'!$E:$E,$E254,'F20-2024'!$F:$F,$F254)</f>
        <v>0</v>
      </c>
      <c r="L254" s="140">
        <f ca="1">SUMIFS('F20-2024'!L:L,'F20-2024'!$D:$D,$D254,'F20-2024'!$E:$E,$E254,'F20-2024'!$F:$F,$F254)</f>
        <v>0</v>
      </c>
      <c r="M254" s="140">
        <f ca="1">SUMIFS('F20-2024'!M:M,'F20-2024'!$D:$D,$D254,'F20-2024'!$E:$E,$E254,'F20-2024'!$F:$F,$F254)</f>
        <v>0</v>
      </c>
      <c r="N254" s="140">
        <f ca="1">SUMIFS('F20-2024'!N:N,'F20-2024'!$D:$D,$D254,'F20-2024'!$E:$E,$E254,'F20-2024'!$F:$F,$F254)</f>
        <v>0</v>
      </c>
      <c r="O254" s="140">
        <f ca="1">SUMIFS('F20-2024'!O:O,'F20-2024'!$D:$D,$D254,'F20-2024'!$E:$E,$E254,'F20-2024'!$F:$F,$F254)</f>
        <v>0</v>
      </c>
      <c r="P254" s="140">
        <f ca="1">SUMIFS('F20-2024'!P:P,'F20-2024'!$D:$D,$D254,'F20-2024'!$E:$E,$E254,'F20-2024'!$F:$F,$F254)</f>
        <v>0</v>
      </c>
      <c r="Q254" s="140">
        <f ca="1">SUMIFS('F20-2024'!Q:Q,'F20-2024'!$D:$D,$D254,'F20-2024'!$E:$E,$E254,'F20-2024'!$F:$F,$F254)</f>
        <v>0</v>
      </c>
      <c r="R254" s="140">
        <f ca="1">SUMIFS('F20-2024'!R:R,'F20-2024'!$D:$D,$D254,'F20-2024'!$E:$E,$E254,'F20-2024'!$F:$F,$F254)</f>
        <v>0</v>
      </c>
      <c r="S254" s="140">
        <f ca="1">SUMIFS('F20-2024'!S:S,'F20-2024'!$D:$D,$D254,'F20-2024'!$E:$E,$E254,'F20-2024'!$F:$F,$F254)</f>
        <v>0</v>
      </c>
      <c r="T254" s="140">
        <f ca="1">SUMIFS('F20-2024'!T:T,'F20-2024'!$D:$D,$D254,'F20-2024'!$E:$E,$E254,'F20-2024'!$F:$F,$F254)</f>
        <v>0</v>
      </c>
      <c r="U254" s="140">
        <f ca="1">SUMIFS('F20-2024'!U:U,'F20-2024'!$D:$D,$D254,'F20-2024'!$E:$E,$E254,'F20-2024'!$F:$F,$F254)</f>
        <v>0</v>
      </c>
      <c r="V254" s="140"/>
      <c r="W254" s="141" t="e">
        <f t="shared" ref="W254:AA254" ca="1" si="505">J254/$I254</f>
        <v>#DIV/0!</v>
      </c>
      <c r="X254" s="141" t="e">
        <f t="shared" ca="1" si="505"/>
        <v>#DIV/0!</v>
      </c>
      <c r="Y254" s="141" t="e">
        <f t="shared" ca="1" si="505"/>
        <v>#DIV/0!</v>
      </c>
      <c r="Z254" s="141" t="e">
        <f t="shared" ca="1" si="505"/>
        <v>#DIV/0!</v>
      </c>
      <c r="AA254" s="141" t="e">
        <f t="shared" ca="1" si="505"/>
        <v>#DIV/0!</v>
      </c>
      <c r="AB254" s="141"/>
      <c r="AC254" s="141" t="e">
        <f t="shared" ca="1" si="1"/>
        <v>#DIV/0!</v>
      </c>
      <c r="AD254" s="141" t="e">
        <f t="shared" ref="AD254:AI254" ca="1" si="506">O254/$I254</f>
        <v>#DIV/0!</v>
      </c>
      <c r="AE254" s="141" t="e">
        <f t="shared" ca="1" si="506"/>
        <v>#DIV/0!</v>
      </c>
      <c r="AF254" s="141" t="e">
        <f t="shared" ca="1" si="506"/>
        <v>#DIV/0!</v>
      </c>
      <c r="AG254" s="141" t="e">
        <f t="shared" ca="1" si="506"/>
        <v>#DIV/0!</v>
      </c>
      <c r="AH254" s="141" t="e">
        <f t="shared" ca="1" si="506"/>
        <v>#DIV/0!</v>
      </c>
      <c r="AI254" s="141" t="e">
        <f t="shared" ca="1" si="506"/>
        <v>#DIV/0!</v>
      </c>
      <c r="AJ254" s="140"/>
    </row>
    <row r="255" spans="1:36">
      <c r="A255" s="140" t="e">
        <f ca="1"/>
        <v>#NAME?</v>
      </c>
      <c r="B255" s="140" t="e">
        <f ca="1"/>
        <v>#NAME?</v>
      </c>
      <c r="C255" s="140" t="e">
        <f ca="1"/>
        <v>#NAME?</v>
      </c>
      <c r="D255" s="140" t="e">
        <f ca="1"/>
        <v>#NAME?</v>
      </c>
      <c r="E255" s="140" t="e">
        <f ca="1"/>
        <v>#NAME?</v>
      </c>
      <c r="F255" s="140" t="e">
        <f ca="1"/>
        <v>#NAME?</v>
      </c>
      <c r="G255" s="140" t="e">
        <f ca="1"/>
        <v>#NAME?</v>
      </c>
      <c r="H255" s="140"/>
      <c r="I255" s="140">
        <f ca="1">SUMIFS('F20-2024'!I:I,'F20-2024'!$D:$D,$D255,'F20-2024'!$E:$E,$E255,'F20-2024'!$F:$F,$F255)</f>
        <v>0</v>
      </c>
      <c r="J255" s="140">
        <f ca="1">SUMIFS('F20-2024'!J:J,'F20-2024'!$D:$D,$D255,'F20-2024'!$E:$E,$E255,'F20-2024'!$F:$F,$F255)</f>
        <v>0</v>
      </c>
      <c r="K255" s="140">
        <f ca="1">SUMIFS('F20-2024'!K:K,'F20-2024'!$D:$D,$D255,'F20-2024'!$E:$E,$E255,'F20-2024'!$F:$F,$F255)</f>
        <v>0</v>
      </c>
      <c r="L255" s="140">
        <f ca="1">SUMIFS('F20-2024'!L:L,'F20-2024'!$D:$D,$D255,'F20-2024'!$E:$E,$E255,'F20-2024'!$F:$F,$F255)</f>
        <v>0</v>
      </c>
      <c r="M255" s="140">
        <f ca="1">SUMIFS('F20-2024'!M:M,'F20-2024'!$D:$D,$D255,'F20-2024'!$E:$E,$E255,'F20-2024'!$F:$F,$F255)</f>
        <v>0</v>
      </c>
      <c r="N255" s="140">
        <f ca="1">SUMIFS('F20-2024'!N:N,'F20-2024'!$D:$D,$D255,'F20-2024'!$E:$E,$E255,'F20-2024'!$F:$F,$F255)</f>
        <v>0</v>
      </c>
      <c r="O255" s="140">
        <f ca="1">SUMIFS('F20-2024'!O:O,'F20-2024'!$D:$D,$D255,'F20-2024'!$E:$E,$E255,'F20-2024'!$F:$F,$F255)</f>
        <v>0</v>
      </c>
      <c r="P255" s="140">
        <f ca="1">SUMIFS('F20-2024'!P:P,'F20-2024'!$D:$D,$D255,'F20-2024'!$E:$E,$E255,'F20-2024'!$F:$F,$F255)</f>
        <v>0</v>
      </c>
      <c r="Q255" s="140">
        <f ca="1">SUMIFS('F20-2024'!Q:Q,'F20-2024'!$D:$D,$D255,'F20-2024'!$E:$E,$E255,'F20-2024'!$F:$F,$F255)</f>
        <v>0</v>
      </c>
      <c r="R255" s="140">
        <f ca="1">SUMIFS('F20-2024'!R:R,'F20-2024'!$D:$D,$D255,'F20-2024'!$E:$E,$E255,'F20-2024'!$F:$F,$F255)</f>
        <v>0</v>
      </c>
      <c r="S255" s="140">
        <f ca="1">SUMIFS('F20-2024'!S:S,'F20-2024'!$D:$D,$D255,'F20-2024'!$E:$E,$E255,'F20-2024'!$F:$F,$F255)</f>
        <v>0</v>
      </c>
      <c r="T255" s="140">
        <f ca="1">SUMIFS('F20-2024'!T:T,'F20-2024'!$D:$D,$D255,'F20-2024'!$E:$E,$E255,'F20-2024'!$F:$F,$F255)</f>
        <v>0</v>
      </c>
      <c r="U255" s="140">
        <f ca="1">SUMIFS('F20-2024'!U:U,'F20-2024'!$D:$D,$D255,'F20-2024'!$E:$E,$E255,'F20-2024'!$F:$F,$F255)</f>
        <v>0</v>
      </c>
      <c r="V255" s="140"/>
      <c r="W255" s="141" t="e">
        <f t="shared" ref="W255:AA255" ca="1" si="507">J255/$I255</f>
        <v>#DIV/0!</v>
      </c>
      <c r="X255" s="141" t="e">
        <f t="shared" ca="1" si="507"/>
        <v>#DIV/0!</v>
      </c>
      <c r="Y255" s="141" t="e">
        <f t="shared" ca="1" si="507"/>
        <v>#DIV/0!</v>
      </c>
      <c r="Z255" s="141" t="e">
        <f t="shared" ca="1" si="507"/>
        <v>#DIV/0!</v>
      </c>
      <c r="AA255" s="141" t="e">
        <f t="shared" ca="1" si="507"/>
        <v>#DIV/0!</v>
      </c>
      <c r="AB255" s="141"/>
      <c r="AC255" s="141" t="e">
        <f t="shared" ca="1" si="1"/>
        <v>#DIV/0!</v>
      </c>
      <c r="AD255" s="141" t="e">
        <f t="shared" ref="AD255:AI255" ca="1" si="508">O255/$I255</f>
        <v>#DIV/0!</v>
      </c>
      <c r="AE255" s="141" t="e">
        <f t="shared" ca="1" si="508"/>
        <v>#DIV/0!</v>
      </c>
      <c r="AF255" s="141" t="e">
        <f t="shared" ca="1" si="508"/>
        <v>#DIV/0!</v>
      </c>
      <c r="AG255" s="141" t="e">
        <f t="shared" ca="1" si="508"/>
        <v>#DIV/0!</v>
      </c>
      <c r="AH255" s="141" t="e">
        <f t="shared" ca="1" si="508"/>
        <v>#DIV/0!</v>
      </c>
      <c r="AI255" s="141" t="e">
        <f t="shared" ca="1" si="508"/>
        <v>#DIV/0!</v>
      </c>
      <c r="AJ255" s="140"/>
    </row>
    <row r="256" spans="1:36">
      <c r="A256" s="140" t="e">
        <f ca="1"/>
        <v>#NAME?</v>
      </c>
      <c r="B256" s="140" t="e">
        <f ca="1"/>
        <v>#NAME?</v>
      </c>
      <c r="C256" s="140" t="e">
        <f ca="1"/>
        <v>#NAME?</v>
      </c>
      <c r="D256" s="140" t="e">
        <f ca="1"/>
        <v>#NAME?</v>
      </c>
      <c r="E256" s="140" t="e">
        <f ca="1"/>
        <v>#NAME?</v>
      </c>
      <c r="F256" s="140" t="e">
        <f ca="1"/>
        <v>#NAME?</v>
      </c>
      <c r="G256" s="140" t="e">
        <f ca="1"/>
        <v>#NAME?</v>
      </c>
      <c r="H256" s="140"/>
      <c r="I256" s="140">
        <f ca="1">SUMIFS('F20-2024'!I:I,'F20-2024'!$D:$D,$D256,'F20-2024'!$E:$E,$E256,'F20-2024'!$F:$F,$F256)</f>
        <v>0</v>
      </c>
      <c r="J256" s="140">
        <f ca="1">SUMIFS('F20-2024'!J:J,'F20-2024'!$D:$D,$D256,'F20-2024'!$E:$E,$E256,'F20-2024'!$F:$F,$F256)</f>
        <v>0</v>
      </c>
      <c r="K256" s="140">
        <f ca="1">SUMIFS('F20-2024'!K:K,'F20-2024'!$D:$D,$D256,'F20-2024'!$E:$E,$E256,'F20-2024'!$F:$F,$F256)</f>
        <v>0</v>
      </c>
      <c r="L256" s="140">
        <f ca="1">SUMIFS('F20-2024'!L:L,'F20-2024'!$D:$D,$D256,'F20-2024'!$E:$E,$E256,'F20-2024'!$F:$F,$F256)</f>
        <v>0</v>
      </c>
      <c r="M256" s="140">
        <f ca="1">SUMIFS('F20-2024'!M:M,'F20-2024'!$D:$D,$D256,'F20-2024'!$E:$E,$E256,'F20-2024'!$F:$F,$F256)</f>
        <v>0</v>
      </c>
      <c r="N256" s="140">
        <f ca="1">SUMIFS('F20-2024'!N:N,'F20-2024'!$D:$D,$D256,'F20-2024'!$E:$E,$E256,'F20-2024'!$F:$F,$F256)</f>
        <v>0</v>
      </c>
      <c r="O256" s="140">
        <f ca="1">SUMIFS('F20-2024'!O:O,'F20-2024'!$D:$D,$D256,'F20-2024'!$E:$E,$E256,'F20-2024'!$F:$F,$F256)</f>
        <v>0</v>
      </c>
      <c r="P256" s="140">
        <f ca="1">SUMIFS('F20-2024'!P:P,'F20-2024'!$D:$D,$D256,'F20-2024'!$E:$E,$E256,'F20-2024'!$F:$F,$F256)</f>
        <v>0</v>
      </c>
      <c r="Q256" s="140">
        <f ca="1">SUMIFS('F20-2024'!Q:Q,'F20-2024'!$D:$D,$D256,'F20-2024'!$E:$E,$E256,'F20-2024'!$F:$F,$F256)</f>
        <v>0</v>
      </c>
      <c r="R256" s="140">
        <f ca="1">SUMIFS('F20-2024'!R:R,'F20-2024'!$D:$D,$D256,'F20-2024'!$E:$E,$E256,'F20-2024'!$F:$F,$F256)</f>
        <v>0</v>
      </c>
      <c r="S256" s="140">
        <f ca="1">SUMIFS('F20-2024'!S:S,'F20-2024'!$D:$D,$D256,'F20-2024'!$E:$E,$E256,'F20-2024'!$F:$F,$F256)</f>
        <v>0</v>
      </c>
      <c r="T256" s="140">
        <f ca="1">SUMIFS('F20-2024'!T:T,'F20-2024'!$D:$D,$D256,'F20-2024'!$E:$E,$E256,'F20-2024'!$F:$F,$F256)</f>
        <v>0</v>
      </c>
      <c r="U256" s="140">
        <f ca="1">SUMIFS('F20-2024'!U:U,'F20-2024'!$D:$D,$D256,'F20-2024'!$E:$E,$E256,'F20-2024'!$F:$F,$F256)</f>
        <v>0</v>
      </c>
      <c r="V256" s="140"/>
      <c r="W256" s="141" t="e">
        <f t="shared" ref="W256:AA256" ca="1" si="509">J256/$I256</f>
        <v>#DIV/0!</v>
      </c>
      <c r="X256" s="141" t="e">
        <f t="shared" ca="1" si="509"/>
        <v>#DIV/0!</v>
      </c>
      <c r="Y256" s="141" t="e">
        <f t="shared" ca="1" si="509"/>
        <v>#DIV/0!</v>
      </c>
      <c r="Z256" s="141" t="e">
        <f t="shared" ca="1" si="509"/>
        <v>#DIV/0!</v>
      </c>
      <c r="AA256" s="141" t="e">
        <f t="shared" ca="1" si="509"/>
        <v>#DIV/0!</v>
      </c>
      <c r="AB256" s="141"/>
      <c r="AC256" s="141" t="e">
        <f t="shared" ca="1" si="1"/>
        <v>#DIV/0!</v>
      </c>
      <c r="AD256" s="141" t="e">
        <f t="shared" ref="AD256:AI256" ca="1" si="510">O256/$I256</f>
        <v>#DIV/0!</v>
      </c>
      <c r="AE256" s="141" t="e">
        <f t="shared" ca="1" si="510"/>
        <v>#DIV/0!</v>
      </c>
      <c r="AF256" s="141" t="e">
        <f t="shared" ca="1" si="510"/>
        <v>#DIV/0!</v>
      </c>
      <c r="AG256" s="141" t="e">
        <f t="shared" ca="1" si="510"/>
        <v>#DIV/0!</v>
      </c>
      <c r="AH256" s="141" t="e">
        <f t="shared" ca="1" si="510"/>
        <v>#DIV/0!</v>
      </c>
      <c r="AI256" s="141" t="e">
        <f t="shared" ca="1" si="510"/>
        <v>#DIV/0!</v>
      </c>
      <c r="AJ256" s="140"/>
    </row>
    <row r="257" spans="1:36">
      <c r="A257" s="140" t="e">
        <f ca="1"/>
        <v>#NAME?</v>
      </c>
      <c r="B257" s="140" t="e">
        <f ca="1"/>
        <v>#NAME?</v>
      </c>
      <c r="C257" s="140" t="e">
        <f ca="1"/>
        <v>#NAME?</v>
      </c>
      <c r="D257" s="140" t="e">
        <f ca="1"/>
        <v>#NAME?</v>
      </c>
      <c r="E257" s="140" t="e">
        <f ca="1"/>
        <v>#NAME?</v>
      </c>
      <c r="F257" s="140" t="e">
        <f ca="1"/>
        <v>#NAME?</v>
      </c>
      <c r="G257" s="140" t="e">
        <f ca="1"/>
        <v>#NAME?</v>
      </c>
      <c r="H257" s="140"/>
      <c r="I257" s="140">
        <f ca="1">SUMIFS('F20-2024'!I:I,'F20-2024'!$D:$D,$D257,'F20-2024'!$E:$E,$E257,'F20-2024'!$F:$F,$F257)</f>
        <v>0</v>
      </c>
      <c r="J257" s="140">
        <f ca="1">SUMIFS('F20-2024'!J:J,'F20-2024'!$D:$D,$D257,'F20-2024'!$E:$E,$E257,'F20-2024'!$F:$F,$F257)</f>
        <v>0</v>
      </c>
      <c r="K257" s="140">
        <f ca="1">SUMIFS('F20-2024'!K:K,'F20-2024'!$D:$D,$D257,'F20-2024'!$E:$E,$E257,'F20-2024'!$F:$F,$F257)</f>
        <v>0</v>
      </c>
      <c r="L257" s="140">
        <f ca="1">SUMIFS('F20-2024'!L:L,'F20-2024'!$D:$D,$D257,'F20-2024'!$E:$E,$E257,'F20-2024'!$F:$F,$F257)</f>
        <v>0</v>
      </c>
      <c r="M257" s="140">
        <f ca="1">SUMIFS('F20-2024'!M:M,'F20-2024'!$D:$D,$D257,'F20-2024'!$E:$E,$E257,'F20-2024'!$F:$F,$F257)</f>
        <v>0</v>
      </c>
      <c r="N257" s="140">
        <f ca="1">SUMIFS('F20-2024'!N:N,'F20-2024'!$D:$D,$D257,'F20-2024'!$E:$E,$E257,'F20-2024'!$F:$F,$F257)</f>
        <v>0</v>
      </c>
      <c r="O257" s="140">
        <f ca="1">SUMIFS('F20-2024'!O:O,'F20-2024'!$D:$D,$D257,'F20-2024'!$E:$E,$E257,'F20-2024'!$F:$F,$F257)</f>
        <v>0</v>
      </c>
      <c r="P257" s="140">
        <f ca="1">SUMIFS('F20-2024'!P:P,'F20-2024'!$D:$D,$D257,'F20-2024'!$E:$E,$E257,'F20-2024'!$F:$F,$F257)</f>
        <v>0</v>
      </c>
      <c r="Q257" s="140">
        <f ca="1">SUMIFS('F20-2024'!Q:Q,'F20-2024'!$D:$D,$D257,'F20-2024'!$E:$E,$E257,'F20-2024'!$F:$F,$F257)</f>
        <v>0</v>
      </c>
      <c r="R257" s="140">
        <f ca="1">SUMIFS('F20-2024'!R:R,'F20-2024'!$D:$D,$D257,'F20-2024'!$E:$E,$E257,'F20-2024'!$F:$F,$F257)</f>
        <v>0</v>
      </c>
      <c r="S257" s="140">
        <f ca="1">SUMIFS('F20-2024'!S:S,'F20-2024'!$D:$D,$D257,'F20-2024'!$E:$E,$E257,'F20-2024'!$F:$F,$F257)</f>
        <v>0</v>
      </c>
      <c r="T257" s="140">
        <f ca="1">SUMIFS('F20-2024'!T:T,'F20-2024'!$D:$D,$D257,'F20-2024'!$E:$E,$E257,'F20-2024'!$F:$F,$F257)</f>
        <v>0</v>
      </c>
      <c r="U257" s="140">
        <f ca="1">SUMIFS('F20-2024'!U:U,'F20-2024'!$D:$D,$D257,'F20-2024'!$E:$E,$E257,'F20-2024'!$F:$F,$F257)</f>
        <v>0</v>
      </c>
      <c r="V257" s="140"/>
      <c r="W257" s="141" t="e">
        <f t="shared" ref="W257:AA257" ca="1" si="511">J257/$I257</f>
        <v>#DIV/0!</v>
      </c>
      <c r="X257" s="141" t="e">
        <f t="shared" ca="1" si="511"/>
        <v>#DIV/0!</v>
      </c>
      <c r="Y257" s="141" t="e">
        <f t="shared" ca="1" si="511"/>
        <v>#DIV/0!</v>
      </c>
      <c r="Z257" s="141" t="e">
        <f t="shared" ca="1" si="511"/>
        <v>#DIV/0!</v>
      </c>
      <c r="AA257" s="141" t="e">
        <f t="shared" ca="1" si="511"/>
        <v>#DIV/0!</v>
      </c>
      <c r="AB257" s="141"/>
      <c r="AC257" s="141" t="e">
        <f t="shared" ref="AC257:AC327" ca="1" si="512">U257/$I257</f>
        <v>#DIV/0!</v>
      </c>
      <c r="AD257" s="141" t="e">
        <f t="shared" ref="AD257:AI257" ca="1" si="513">O257/$I257</f>
        <v>#DIV/0!</v>
      </c>
      <c r="AE257" s="141" t="e">
        <f t="shared" ca="1" si="513"/>
        <v>#DIV/0!</v>
      </c>
      <c r="AF257" s="141" t="e">
        <f t="shared" ca="1" si="513"/>
        <v>#DIV/0!</v>
      </c>
      <c r="AG257" s="141" t="e">
        <f t="shared" ca="1" si="513"/>
        <v>#DIV/0!</v>
      </c>
      <c r="AH257" s="141" t="e">
        <f t="shared" ca="1" si="513"/>
        <v>#DIV/0!</v>
      </c>
      <c r="AI257" s="141" t="e">
        <f t="shared" ca="1" si="513"/>
        <v>#DIV/0!</v>
      </c>
      <c r="AJ257" s="140"/>
    </row>
    <row r="258" spans="1:36">
      <c r="A258" s="140" t="e">
        <f ca="1"/>
        <v>#NAME?</v>
      </c>
      <c r="B258" s="140" t="e">
        <f ca="1"/>
        <v>#NAME?</v>
      </c>
      <c r="C258" s="140" t="e">
        <f ca="1"/>
        <v>#NAME?</v>
      </c>
      <c r="D258" s="140" t="e">
        <f ca="1"/>
        <v>#NAME?</v>
      </c>
      <c r="E258" s="140" t="e">
        <f ca="1"/>
        <v>#NAME?</v>
      </c>
      <c r="F258" s="140" t="e">
        <f ca="1"/>
        <v>#NAME?</v>
      </c>
      <c r="G258" s="140" t="e">
        <f ca="1"/>
        <v>#NAME?</v>
      </c>
      <c r="H258" s="140"/>
      <c r="I258" s="140">
        <f ca="1">SUMIFS('F20-2024'!I:I,'F20-2024'!$D:$D,$D258,'F20-2024'!$E:$E,$E258,'F20-2024'!$F:$F,$F258)</f>
        <v>0</v>
      </c>
      <c r="J258" s="140">
        <f ca="1">SUMIFS('F20-2024'!J:J,'F20-2024'!$D:$D,$D258,'F20-2024'!$E:$E,$E258,'F20-2024'!$F:$F,$F258)</f>
        <v>0</v>
      </c>
      <c r="K258" s="140">
        <f ca="1">SUMIFS('F20-2024'!K:K,'F20-2024'!$D:$D,$D258,'F20-2024'!$E:$E,$E258,'F20-2024'!$F:$F,$F258)</f>
        <v>0</v>
      </c>
      <c r="L258" s="140">
        <f ca="1">SUMIFS('F20-2024'!L:L,'F20-2024'!$D:$D,$D258,'F20-2024'!$E:$E,$E258,'F20-2024'!$F:$F,$F258)</f>
        <v>0</v>
      </c>
      <c r="M258" s="140">
        <f ca="1">SUMIFS('F20-2024'!M:M,'F20-2024'!$D:$D,$D258,'F20-2024'!$E:$E,$E258,'F20-2024'!$F:$F,$F258)</f>
        <v>0</v>
      </c>
      <c r="N258" s="140">
        <f ca="1">SUMIFS('F20-2024'!N:N,'F20-2024'!$D:$D,$D258,'F20-2024'!$E:$E,$E258,'F20-2024'!$F:$F,$F258)</f>
        <v>0</v>
      </c>
      <c r="O258" s="140">
        <f ca="1">SUMIFS('F20-2024'!O:O,'F20-2024'!$D:$D,$D258,'F20-2024'!$E:$E,$E258,'F20-2024'!$F:$F,$F258)</f>
        <v>0</v>
      </c>
      <c r="P258" s="140">
        <f ca="1">SUMIFS('F20-2024'!P:P,'F20-2024'!$D:$D,$D258,'F20-2024'!$E:$E,$E258,'F20-2024'!$F:$F,$F258)</f>
        <v>0</v>
      </c>
      <c r="Q258" s="140">
        <f ca="1">SUMIFS('F20-2024'!Q:Q,'F20-2024'!$D:$D,$D258,'F20-2024'!$E:$E,$E258,'F20-2024'!$F:$F,$F258)</f>
        <v>0</v>
      </c>
      <c r="R258" s="140">
        <f ca="1">SUMIFS('F20-2024'!R:R,'F20-2024'!$D:$D,$D258,'F20-2024'!$E:$E,$E258,'F20-2024'!$F:$F,$F258)</f>
        <v>0</v>
      </c>
      <c r="S258" s="140">
        <f ca="1">SUMIFS('F20-2024'!S:S,'F20-2024'!$D:$D,$D258,'F20-2024'!$E:$E,$E258,'F20-2024'!$F:$F,$F258)</f>
        <v>0</v>
      </c>
      <c r="T258" s="140">
        <f ca="1">SUMIFS('F20-2024'!T:T,'F20-2024'!$D:$D,$D258,'F20-2024'!$E:$E,$E258,'F20-2024'!$F:$F,$F258)</f>
        <v>0</v>
      </c>
      <c r="U258" s="140">
        <f ca="1">SUMIFS('F20-2024'!U:U,'F20-2024'!$D:$D,$D258,'F20-2024'!$E:$E,$E258,'F20-2024'!$F:$F,$F258)</f>
        <v>0</v>
      </c>
      <c r="V258" s="140"/>
      <c r="W258" s="141" t="e">
        <f t="shared" ref="W258:AA258" ca="1" si="514">J258/$I258</f>
        <v>#DIV/0!</v>
      </c>
      <c r="X258" s="141" t="e">
        <f t="shared" ca="1" si="514"/>
        <v>#DIV/0!</v>
      </c>
      <c r="Y258" s="141" t="e">
        <f t="shared" ca="1" si="514"/>
        <v>#DIV/0!</v>
      </c>
      <c r="Z258" s="141" t="e">
        <f t="shared" ca="1" si="514"/>
        <v>#DIV/0!</v>
      </c>
      <c r="AA258" s="141" t="e">
        <f t="shared" ca="1" si="514"/>
        <v>#DIV/0!</v>
      </c>
      <c r="AB258" s="141"/>
      <c r="AC258" s="141" t="e">
        <f t="shared" ca="1" si="512"/>
        <v>#DIV/0!</v>
      </c>
      <c r="AD258" s="141" t="e">
        <f t="shared" ref="AD258:AI258" ca="1" si="515">O258/$I258</f>
        <v>#DIV/0!</v>
      </c>
      <c r="AE258" s="141" t="e">
        <f t="shared" ca="1" si="515"/>
        <v>#DIV/0!</v>
      </c>
      <c r="AF258" s="141" t="e">
        <f t="shared" ca="1" si="515"/>
        <v>#DIV/0!</v>
      </c>
      <c r="AG258" s="141" t="e">
        <f t="shared" ca="1" si="515"/>
        <v>#DIV/0!</v>
      </c>
      <c r="AH258" s="141" t="e">
        <f t="shared" ca="1" si="515"/>
        <v>#DIV/0!</v>
      </c>
      <c r="AI258" s="141" t="e">
        <f t="shared" ca="1" si="515"/>
        <v>#DIV/0!</v>
      </c>
      <c r="AJ258" s="140"/>
    </row>
    <row r="259" spans="1:36">
      <c r="A259" s="140" t="e">
        <f ca="1"/>
        <v>#NAME?</v>
      </c>
      <c r="B259" s="140" t="e">
        <f ca="1"/>
        <v>#NAME?</v>
      </c>
      <c r="C259" s="140" t="e">
        <f ca="1"/>
        <v>#NAME?</v>
      </c>
      <c r="D259" s="140" t="e">
        <f ca="1"/>
        <v>#NAME?</v>
      </c>
      <c r="E259" s="140" t="e">
        <f ca="1"/>
        <v>#NAME?</v>
      </c>
      <c r="F259" s="140" t="e">
        <f ca="1"/>
        <v>#NAME?</v>
      </c>
      <c r="G259" s="140" t="e">
        <f ca="1"/>
        <v>#NAME?</v>
      </c>
      <c r="H259" s="140"/>
      <c r="I259" s="140">
        <f ca="1">SUMIFS('F20-2024'!I:I,'F20-2024'!$D:$D,$D259,'F20-2024'!$E:$E,$E259,'F20-2024'!$F:$F,$F259)</f>
        <v>0</v>
      </c>
      <c r="J259" s="140">
        <f ca="1">SUMIFS('F20-2024'!J:J,'F20-2024'!$D:$D,$D259,'F20-2024'!$E:$E,$E259,'F20-2024'!$F:$F,$F259)</f>
        <v>0</v>
      </c>
      <c r="K259" s="140">
        <f ca="1">SUMIFS('F20-2024'!K:K,'F20-2024'!$D:$D,$D259,'F20-2024'!$E:$E,$E259,'F20-2024'!$F:$F,$F259)</f>
        <v>0</v>
      </c>
      <c r="L259" s="140">
        <f ca="1">SUMIFS('F20-2024'!L:L,'F20-2024'!$D:$D,$D259,'F20-2024'!$E:$E,$E259,'F20-2024'!$F:$F,$F259)</f>
        <v>0</v>
      </c>
      <c r="M259" s="140">
        <f ca="1">SUMIFS('F20-2024'!M:M,'F20-2024'!$D:$D,$D259,'F20-2024'!$E:$E,$E259,'F20-2024'!$F:$F,$F259)</f>
        <v>0</v>
      </c>
      <c r="N259" s="140">
        <f ca="1">SUMIFS('F20-2024'!N:N,'F20-2024'!$D:$D,$D259,'F20-2024'!$E:$E,$E259,'F20-2024'!$F:$F,$F259)</f>
        <v>0</v>
      </c>
      <c r="O259" s="140">
        <f ca="1">SUMIFS('F20-2024'!O:O,'F20-2024'!$D:$D,$D259,'F20-2024'!$E:$E,$E259,'F20-2024'!$F:$F,$F259)</f>
        <v>0</v>
      </c>
      <c r="P259" s="140">
        <f ca="1">SUMIFS('F20-2024'!P:P,'F20-2024'!$D:$D,$D259,'F20-2024'!$E:$E,$E259,'F20-2024'!$F:$F,$F259)</f>
        <v>0</v>
      </c>
      <c r="Q259" s="140">
        <f ca="1">SUMIFS('F20-2024'!Q:Q,'F20-2024'!$D:$D,$D259,'F20-2024'!$E:$E,$E259,'F20-2024'!$F:$F,$F259)</f>
        <v>0</v>
      </c>
      <c r="R259" s="140">
        <f ca="1">SUMIFS('F20-2024'!R:R,'F20-2024'!$D:$D,$D259,'F20-2024'!$E:$E,$E259,'F20-2024'!$F:$F,$F259)</f>
        <v>0</v>
      </c>
      <c r="S259" s="140">
        <f ca="1">SUMIFS('F20-2024'!S:S,'F20-2024'!$D:$D,$D259,'F20-2024'!$E:$E,$E259,'F20-2024'!$F:$F,$F259)</f>
        <v>0</v>
      </c>
      <c r="T259" s="140">
        <f ca="1">SUMIFS('F20-2024'!T:T,'F20-2024'!$D:$D,$D259,'F20-2024'!$E:$E,$E259,'F20-2024'!$F:$F,$F259)</f>
        <v>0</v>
      </c>
      <c r="U259" s="140">
        <f ca="1">SUMIFS('F20-2024'!U:U,'F20-2024'!$D:$D,$D259,'F20-2024'!$E:$E,$E259,'F20-2024'!$F:$F,$F259)</f>
        <v>0</v>
      </c>
      <c r="V259" s="140"/>
      <c r="W259" s="141" t="e">
        <f t="shared" ref="W259:AA259" ca="1" si="516">J259/$I259</f>
        <v>#DIV/0!</v>
      </c>
      <c r="X259" s="141" t="e">
        <f t="shared" ca="1" si="516"/>
        <v>#DIV/0!</v>
      </c>
      <c r="Y259" s="141" t="e">
        <f t="shared" ca="1" si="516"/>
        <v>#DIV/0!</v>
      </c>
      <c r="Z259" s="141" t="e">
        <f t="shared" ca="1" si="516"/>
        <v>#DIV/0!</v>
      </c>
      <c r="AA259" s="141" t="e">
        <f t="shared" ca="1" si="516"/>
        <v>#DIV/0!</v>
      </c>
      <c r="AB259" s="141"/>
      <c r="AC259" s="141" t="e">
        <f t="shared" ca="1" si="512"/>
        <v>#DIV/0!</v>
      </c>
      <c r="AD259" s="141" t="e">
        <f t="shared" ref="AD259:AI259" ca="1" si="517">O259/$I259</f>
        <v>#DIV/0!</v>
      </c>
      <c r="AE259" s="141" t="e">
        <f t="shared" ca="1" si="517"/>
        <v>#DIV/0!</v>
      </c>
      <c r="AF259" s="141" t="e">
        <f t="shared" ca="1" si="517"/>
        <v>#DIV/0!</v>
      </c>
      <c r="AG259" s="141" t="e">
        <f t="shared" ca="1" si="517"/>
        <v>#DIV/0!</v>
      </c>
      <c r="AH259" s="141" t="e">
        <f t="shared" ca="1" si="517"/>
        <v>#DIV/0!</v>
      </c>
      <c r="AI259" s="141" t="e">
        <f t="shared" ca="1" si="517"/>
        <v>#DIV/0!</v>
      </c>
      <c r="AJ259" s="140"/>
    </row>
    <row r="260" spans="1:36">
      <c r="A260" s="140" t="e">
        <f ca="1"/>
        <v>#NAME?</v>
      </c>
      <c r="B260" s="140" t="e">
        <f ca="1"/>
        <v>#NAME?</v>
      </c>
      <c r="C260" s="140" t="e">
        <f ca="1"/>
        <v>#NAME?</v>
      </c>
      <c r="D260" s="140" t="e">
        <f ca="1"/>
        <v>#NAME?</v>
      </c>
      <c r="E260" s="140" t="e">
        <f ca="1"/>
        <v>#NAME?</v>
      </c>
      <c r="F260" s="140" t="e">
        <f ca="1"/>
        <v>#NAME?</v>
      </c>
      <c r="G260" s="140" t="e">
        <f ca="1"/>
        <v>#NAME?</v>
      </c>
      <c r="H260" s="140"/>
      <c r="I260" s="140">
        <f ca="1">SUMIFS('F20-2024'!I:I,'F20-2024'!$D:$D,$D260,'F20-2024'!$E:$E,$E260,'F20-2024'!$F:$F,$F260)</f>
        <v>0</v>
      </c>
      <c r="J260" s="140">
        <f ca="1">SUMIFS('F20-2024'!J:J,'F20-2024'!$D:$D,$D260,'F20-2024'!$E:$E,$E260,'F20-2024'!$F:$F,$F260)</f>
        <v>0</v>
      </c>
      <c r="K260" s="140">
        <f ca="1">SUMIFS('F20-2024'!K:K,'F20-2024'!$D:$D,$D260,'F20-2024'!$E:$E,$E260,'F20-2024'!$F:$F,$F260)</f>
        <v>0</v>
      </c>
      <c r="L260" s="140">
        <f ca="1">SUMIFS('F20-2024'!L:L,'F20-2024'!$D:$D,$D260,'F20-2024'!$E:$E,$E260,'F20-2024'!$F:$F,$F260)</f>
        <v>0</v>
      </c>
      <c r="M260" s="140">
        <f ca="1">SUMIFS('F20-2024'!M:M,'F20-2024'!$D:$D,$D260,'F20-2024'!$E:$E,$E260,'F20-2024'!$F:$F,$F260)</f>
        <v>0</v>
      </c>
      <c r="N260" s="140">
        <f ca="1">SUMIFS('F20-2024'!N:N,'F20-2024'!$D:$D,$D260,'F20-2024'!$E:$E,$E260,'F20-2024'!$F:$F,$F260)</f>
        <v>0</v>
      </c>
      <c r="O260" s="140">
        <f ca="1">SUMIFS('F20-2024'!O:O,'F20-2024'!$D:$D,$D260,'F20-2024'!$E:$E,$E260,'F20-2024'!$F:$F,$F260)</f>
        <v>0</v>
      </c>
      <c r="P260" s="140">
        <f ca="1">SUMIFS('F20-2024'!P:P,'F20-2024'!$D:$D,$D260,'F20-2024'!$E:$E,$E260,'F20-2024'!$F:$F,$F260)</f>
        <v>0</v>
      </c>
      <c r="Q260" s="140">
        <f ca="1">SUMIFS('F20-2024'!Q:Q,'F20-2024'!$D:$D,$D260,'F20-2024'!$E:$E,$E260,'F20-2024'!$F:$F,$F260)</f>
        <v>0</v>
      </c>
      <c r="R260" s="140">
        <f ca="1">SUMIFS('F20-2024'!R:R,'F20-2024'!$D:$D,$D260,'F20-2024'!$E:$E,$E260,'F20-2024'!$F:$F,$F260)</f>
        <v>0</v>
      </c>
      <c r="S260" s="140">
        <f ca="1">SUMIFS('F20-2024'!S:S,'F20-2024'!$D:$D,$D260,'F20-2024'!$E:$E,$E260,'F20-2024'!$F:$F,$F260)</f>
        <v>0</v>
      </c>
      <c r="T260" s="140">
        <f ca="1">SUMIFS('F20-2024'!T:T,'F20-2024'!$D:$D,$D260,'F20-2024'!$E:$E,$E260,'F20-2024'!$F:$F,$F260)</f>
        <v>0</v>
      </c>
      <c r="U260" s="140">
        <f ca="1">SUMIFS('F20-2024'!U:U,'F20-2024'!$D:$D,$D260,'F20-2024'!$E:$E,$E260,'F20-2024'!$F:$F,$F260)</f>
        <v>0</v>
      </c>
      <c r="V260" s="140"/>
      <c r="W260" s="141" t="e">
        <f t="shared" ref="W260:AA260" ca="1" si="518">J260/$I260</f>
        <v>#DIV/0!</v>
      </c>
      <c r="X260" s="141" t="e">
        <f t="shared" ca="1" si="518"/>
        <v>#DIV/0!</v>
      </c>
      <c r="Y260" s="141" t="e">
        <f t="shared" ca="1" si="518"/>
        <v>#DIV/0!</v>
      </c>
      <c r="Z260" s="141" t="e">
        <f t="shared" ca="1" si="518"/>
        <v>#DIV/0!</v>
      </c>
      <c r="AA260" s="141" t="e">
        <f t="shared" ca="1" si="518"/>
        <v>#DIV/0!</v>
      </c>
      <c r="AB260" s="141"/>
      <c r="AC260" s="141" t="e">
        <f t="shared" ca="1" si="512"/>
        <v>#DIV/0!</v>
      </c>
      <c r="AD260" s="141" t="e">
        <f t="shared" ref="AD260:AI260" ca="1" si="519">O260/$I260</f>
        <v>#DIV/0!</v>
      </c>
      <c r="AE260" s="141" t="e">
        <f t="shared" ca="1" si="519"/>
        <v>#DIV/0!</v>
      </c>
      <c r="AF260" s="141" t="e">
        <f t="shared" ca="1" si="519"/>
        <v>#DIV/0!</v>
      </c>
      <c r="AG260" s="141" t="e">
        <f t="shared" ca="1" si="519"/>
        <v>#DIV/0!</v>
      </c>
      <c r="AH260" s="141" t="e">
        <f t="shared" ca="1" si="519"/>
        <v>#DIV/0!</v>
      </c>
      <c r="AI260" s="141" t="e">
        <f t="shared" ca="1" si="519"/>
        <v>#DIV/0!</v>
      </c>
      <c r="AJ260" s="140"/>
    </row>
    <row r="261" spans="1:36">
      <c r="A261" s="140" t="e">
        <f ca="1"/>
        <v>#NAME?</v>
      </c>
      <c r="B261" s="140" t="e">
        <f ca="1"/>
        <v>#NAME?</v>
      </c>
      <c r="C261" s="140" t="e">
        <f ca="1"/>
        <v>#NAME?</v>
      </c>
      <c r="D261" s="140" t="e">
        <f ca="1"/>
        <v>#NAME?</v>
      </c>
      <c r="E261" s="140" t="e">
        <f ca="1"/>
        <v>#NAME?</v>
      </c>
      <c r="F261" s="140" t="e">
        <f ca="1"/>
        <v>#NAME?</v>
      </c>
      <c r="G261" s="140" t="e">
        <f ca="1"/>
        <v>#NAME?</v>
      </c>
      <c r="H261" s="140"/>
      <c r="I261" s="140">
        <f ca="1">SUMIFS('F20-2024'!I:I,'F20-2024'!$D:$D,$D261,'F20-2024'!$E:$E,$E261,'F20-2024'!$F:$F,$F261)</f>
        <v>0</v>
      </c>
      <c r="J261" s="140">
        <f ca="1">SUMIFS('F20-2024'!J:J,'F20-2024'!$D:$D,$D261,'F20-2024'!$E:$E,$E261,'F20-2024'!$F:$F,$F261)</f>
        <v>0</v>
      </c>
      <c r="K261" s="140">
        <f ca="1">SUMIFS('F20-2024'!K:K,'F20-2024'!$D:$D,$D261,'F20-2024'!$E:$E,$E261,'F20-2024'!$F:$F,$F261)</f>
        <v>0</v>
      </c>
      <c r="L261" s="140">
        <f ca="1">SUMIFS('F20-2024'!L:L,'F20-2024'!$D:$D,$D261,'F20-2024'!$E:$E,$E261,'F20-2024'!$F:$F,$F261)</f>
        <v>0</v>
      </c>
      <c r="M261" s="140">
        <f ca="1">SUMIFS('F20-2024'!M:M,'F20-2024'!$D:$D,$D261,'F20-2024'!$E:$E,$E261,'F20-2024'!$F:$F,$F261)</f>
        <v>0</v>
      </c>
      <c r="N261" s="140">
        <f ca="1">SUMIFS('F20-2024'!N:N,'F20-2024'!$D:$D,$D261,'F20-2024'!$E:$E,$E261,'F20-2024'!$F:$F,$F261)</f>
        <v>0</v>
      </c>
      <c r="O261" s="140">
        <f ca="1">SUMIFS('F20-2024'!O:O,'F20-2024'!$D:$D,$D261,'F20-2024'!$E:$E,$E261,'F20-2024'!$F:$F,$F261)</f>
        <v>0</v>
      </c>
      <c r="P261" s="140">
        <f ca="1">SUMIFS('F20-2024'!P:P,'F20-2024'!$D:$D,$D261,'F20-2024'!$E:$E,$E261,'F20-2024'!$F:$F,$F261)</f>
        <v>0</v>
      </c>
      <c r="Q261" s="140">
        <f ca="1">SUMIFS('F20-2024'!Q:Q,'F20-2024'!$D:$D,$D261,'F20-2024'!$E:$E,$E261,'F20-2024'!$F:$F,$F261)</f>
        <v>0</v>
      </c>
      <c r="R261" s="140">
        <f ca="1">SUMIFS('F20-2024'!R:R,'F20-2024'!$D:$D,$D261,'F20-2024'!$E:$E,$E261,'F20-2024'!$F:$F,$F261)</f>
        <v>0</v>
      </c>
      <c r="S261" s="140">
        <f ca="1">SUMIFS('F20-2024'!S:S,'F20-2024'!$D:$D,$D261,'F20-2024'!$E:$E,$E261,'F20-2024'!$F:$F,$F261)</f>
        <v>0</v>
      </c>
      <c r="T261" s="140">
        <f ca="1">SUMIFS('F20-2024'!T:T,'F20-2024'!$D:$D,$D261,'F20-2024'!$E:$E,$E261,'F20-2024'!$F:$F,$F261)</f>
        <v>0</v>
      </c>
      <c r="U261" s="140">
        <f ca="1">SUMIFS('F20-2024'!U:U,'F20-2024'!$D:$D,$D261,'F20-2024'!$E:$E,$E261,'F20-2024'!$F:$F,$F261)</f>
        <v>0</v>
      </c>
      <c r="V261" s="140"/>
      <c r="W261" s="141" t="e">
        <f t="shared" ref="W261:AA261" ca="1" si="520">J261/$I261</f>
        <v>#DIV/0!</v>
      </c>
      <c r="X261" s="141" t="e">
        <f t="shared" ca="1" si="520"/>
        <v>#DIV/0!</v>
      </c>
      <c r="Y261" s="141" t="e">
        <f t="shared" ca="1" si="520"/>
        <v>#DIV/0!</v>
      </c>
      <c r="Z261" s="141" t="e">
        <f t="shared" ca="1" si="520"/>
        <v>#DIV/0!</v>
      </c>
      <c r="AA261" s="141" t="e">
        <f t="shared" ca="1" si="520"/>
        <v>#DIV/0!</v>
      </c>
      <c r="AB261" s="141"/>
      <c r="AC261" s="141" t="e">
        <f t="shared" ca="1" si="512"/>
        <v>#DIV/0!</v>
      </c>
      <c r="AD261" s="141" t="e">
        <f t="shared" ref="AD261:AI261" ca="1" si="521">O261/$I261</f>
        <v>#DIV/0!</v>
      </c>
      <c r="AE261" s="141" t="e">
        <f t="shared" ca="1" si="521"/>
        <v>#DIV/0!</v>
      </c>
      <c r="AF261" s="141" t="e">
        <f t="shared" ca="1" si="521"/>
        <v>#DIV/0!</v>
      </c>
      <c r="AG261" s="141" t="e">
        <f t="shared" ca="1" si="521"/>
        <v>#DIV/0!</v>
      </c>
      <c r="AH261" s="141" t="e">
        <f t="shared" ca="1" si="521"/>
        <v>#DIV/0!</v>
      </c>
      <c r="AI261" s="141" t="e">
        <f t="shared" ca="1" si="521"/>
        <v>#DIV/0!</v>
      </c>
      <c r="AJ261" s="140"/>
    </row>
    <row r="262" spans="1:36">
      <c r="A262" s="140" t="e">
        <f ca="1"/>
        <v>#NAME?</v>
      </c>
      <c r="B262" s="140" t="e">
        <f ca="1"/>
        <v>#NAME?</v>
      </c>
      <c r="C262" s="140" t="e">
        <f ca="1"/>
        <v>#NAME?</v>
      </c>
      <c r="D262" s="140" t="e">
        <f ca="1"/>
        <v>#NAME?</v>
      </c>
      <c r="E262" s="140" t="e">
        <f ca="1"/>
        <v>#NAME?</v>
      </c>
      <c r="F262" s="140" t="e">
        <f ca="1"/>
        <v>#NAME?</v>
      </c>
      <c r="G262" s="140" t="e">
        <f ca="1"/>
        <v>#NAME?</v>
      </c>
      <c r="H262" s="140"/>
      <c r="I262" s="140">
        <f ca="1">SUMIFS('F20-2024'!I:I,'F20-2024'!$D:$D,$D262,'F20-2024'!$E:$E,$E262,'F20-2024'!$F:$F,$F262)</f>
        <v>0</v>
      </c>
      <c r="J262" s="140">
        <f ca="1">SUMIFS('F20-2024'!J:J,'F20-2024'!$D:$D,$D262,'F20-2024'!$E:$E,$E262,'F20-2024'!$F:$F,$F262)</f>
        <v>0</v>
      </c>
      <c r="K262" s="140">
        <f ca="1">SUMIFS('F20-2024'!K:K,'F20-2024'!$D:$D,$D262,'F20-2024'!$E:$E,$E262,'F20-2024'!$F:$F,$F262)</f>
        <v>0</v>
      </c>
      <c r="L262" s="140">
        <f ca="1">SUMIFS('F20-2024'!L:L,'F20-2024'!$D:$D,$D262,'F20-2024'!$E:$E,$E262,'F20-2024'!$F:$F,$F262)</f>
        <v>0</v>
      </c>
      <c r="M262" s="140">
        <f ca="1">SUMIFS('F20-2024'!M:M,'F20-2024'!$D:$D,$D262,'F20-2024'!$E:$E,$E262,'F20-2024'!$F:$F,$F262)</f>
        <v>0</v>
      </c>
      <c r="N262" s="140">
        <f ca="1">SUMIFS('F20-2024'!N:N,'F20-2024'!$D:$D,$D262,'F20-2024'!$E:$E,$E262,'F20-2024'!$F:$F,$F262)</f>
        <v>0</v>
      </c>
      <c r="O262" s="140">
        <f ca="1">SUMIFS('F20-2024'!O:O,'F20-2024'!$D:$D,$D262,'F20-2024'!$E:$E,$E262,'F20-2024'!$F:$F,$F262)</f>
        <v>0</v>
      </c>
      <c r="P262" s="140">
        <f ca="1">SUMIFS('F20-2024'!P:P,'F20-2024'!$D:$D,$D262,'F20-2024'!$E:$E,$E262,'F20-2024'!$F:$F,$F262)</f>
        <v>0</v>
      </c>
      <c r="Q262" s="140">
        <f ca="1">SUMIFS('F20-2024'!Q:Q,'F20-2024'!$D:$D,$D262,'F20-2024'!$E:$E,$E262,'F20-2024'!$F:$F,$F262)</f>
        <v>0</v>
      </c>
      <c r="R262" s="140">
        <f ca="1">SUMIFS('F20-2024'!R:R,'F20-2024'!$D:$D,$D262,'F20-2024'!$E:$E,$E262,'F20-2024'!$F:$F,$F262)</f>
        <v>0</v>
      </c>
      <c r="S262" s="140">
        <f ca="1">SUMIFS('F20-2024'!S:S,'F20-2024'!$D:$D,$D262,'F20-2024'!$E:$E,$E262,'F20-2024'!$F:$F,$F262)</f>
        <v>0</v>
      </c>
      <c r="T262" s="140">
        <f ca="1">SUMIFS('F20-2024'!T:T,'F20-2024'!$D:$D,$D262,'F20-2024'!$E:$E,$E262,'F20-2024'!$F:$F,$F262)</f>
        <v>0</v>
      </c>
      <c r="U262" s="140">
        <f ca="1">SUMIFS('F20-2024'!U:U,'F20-2024'!$D:$D,$D262,'F20-2024'!$E:$E,$E262,'F20-2024'!$F:$F,$F262)</f>
        <v>0</v>
      </c>
      <c r="V262" s="140"/>
      <c r="W262" s="141" t="e">
        <f t="shared" ref="W262:AA262" ca="1" si="522">J262/$I262</f>
        <v>#DIV/0!</v>
      </c>
      <c r="X262" s="141" t="e">
        <f t="shared" ca="1" si="522"/>
        <v>#DIV/0!</v>
      </c>
      <c r="Y262" s="141" t="e">
        <f t="shared" ca="1" si="522"/>
        <v>#DIV/0!</v>
      </c>
      <c r="Z262" s="141" t="e">
        <f t="shared" ca="1" si="522"/>
        <v>#DIV/0!</v>
      </c>
      <c r="AA262" s="141" t="e">
        <f t="shared" ca="1" si="522"/>
        <v>#DIV/0!</v>
      </c>
      <c r="AB262" s="141"/>
      <c r="AC262" s="141" t="e">
        <f t="shared" ca="1" si="512"/>
        <v>#DIV/0!</v>
      </c>
      <c r="AD262" s="141" t="e">
        <f t="shared" ref="AD262:AI262" ca="1" si="523">O262/$I262</f>
        <v>#DIV/0!</v>
      </c>
      <c r="AE262" s="141" t="e">
        <f t="shared" ca="1" si="523"/>
        <v>#DIV/0!</v>
      </c>
      <c r="AF262" s="141" t="e">
        <f t="shared" ca="1" si="523"/>
        <v>#DIV/0!</v>
      </c>
      <c r="AG262" s="141" t="e">
        <f t="shared" ca="1" si="523"/>
        <v>#DIV/0!</v>
      </c>
      <c r="AH262" s="141" t="e">
        <f t="shared" ca="1" si="523"/>
        <v>#DIV/0!</v>
      </c>
      <c r="AI262" s="141" t="e">
        <f t="shared" ca="1" si="523"/>
        <v>#DIV/0!</v>
      </c>
      <c r="AJ262" s="140"/>
    </row>
    <row r="263" spans="1:36">
      <c r="A263" s="140" t="e">
        <f ca="1"/>
        <v>#NAME?</v>
      </c>
      <c r="B263" s="140" t="e">
        <f ca="1"/>
        <v>#NAME?</v>
      </c>
      <c r="C263" s="140" t="e">
        <f ca="1"/>
        <v>#NAME?</v>
      </c>
      <c r="D263" s="140" t="e">
        <f ca="1"/>
        <v>#NAME?</v>
      </c>
      <c r="E263" s="140" t="e">
        <f ca="1"/>
        <v>#NAME?</v>
      </c>
      <c r="F263" s="140" t="e">
        <f ca="1"/>
        <v>#NAME?</v>
      </c>
      <c r="G263" s="140" t="e">
        <f ca="1"/>
        <v>#NAME?</v>
      </c>
      <c r="H263" s="140"/>
      <c r="I263" s="140">
        <f ca="1">SUMIFS('F20-2024'!I:I,'F20-2024'!$D:$D,$D263,'F20-2024'!$E:$E,$E263,'F20-2024'!$F:$F,$F263)</f>
        <v>0</v>
      </c>
      <c r="J263" s="140">
        <f ca="1">SUMIFS('F20-2024'!J:J,'F20-2024'!$D:$D,$D263,'F20-2024'!$E:$E,$E263,'F20-2024'!$F:$F,$F263)</f>
        <v>0</v>
      </c>
      <c r="K263" s="140">
        <f ca="1">SUMIFS('F20-2024'!K:K,'F20-2024'!$D:$D,$D263,'F20-2024'!$E:$E,$E263,'F20-2024'!$F:$F,$F263)</f>
        <v>0</v>
      </c>
      <c r="L263" s="140">
        <f ca="1">SUMIFS('F20-2024'!L:L,'F20-2024'!$D:$D,$D263,'F20-2024'!$E:$E,$E263,'F20-2024'!$F:$F,$F263)</f>
        <v>0</v>
      </c>
      <c r="M263" s="140">
        <f ca="1">SUMIFS('F20-2024'!M:M,'F20-2024'!$D:$D,$D263,'F20-2024'!$E:$E,$E263,'F20-2024'!$F:$F,$F263)</f>
        <v>0</v>
      </c>
      <c r="N263" s="140">
        <f ca="1">SUMIFS('F20-2024'!N:N,'F20-2024'!$D:$D,$D263,'F20-2024'!$E:$E,$E263,'F20-2024'!$F:$F,$F263)</f>
        <v>0</v>
      </c>
      <c r="O263" s="140">
        <f ca="1">SUMIFS('F20-2024'!O:O,'F20-2024'!$D:$D,$D263,'F20-2024'!$E:$E,$E263,'F20-2024'!$F:$F,$F263)</f>
        <v>0</v>
      </c>
      <c r="P263" s="140">
        <f ca="1">SUMIFS('F20-2024'!P:P,'F20-2024'!$D:$D,$D263,'F20-2024'!$E:$E,$E263,'F20-2024'!$F:$F,$F263)</f>
        <v>0</v>
      </c>
      <c r="Q263" s="140">
        <f ca="1">SUMIFS('F20-2024'!Q:Q,'F20-2024'!$D:$D,$D263,'F20-2024'!$E:$E,$E263,'F20-2024'!$F:$F,$F263)</f>
        <v>0</v>
      </c>
      <c r="R263" s="140">
        <f ca="1">SUMIFS('F20-2024'!R:R,'F20-2024'!$D:$D,$D263,'F20-2024'!$E:$E,$E263,'F20-2024'!$F:$F,$F263)</f>
        <v>0</v>
      </c>
      <c r="S263" s="140">
        <f ca="1">SUMIFS('F20-2024'!S:S,'F20-2024'!$D:$D,$D263,'F20-2024'!$E:$E,$E263,'F20-2024'!$F:$F,$F263)</f>
        <v>0</v>
      </c>
      <c r="T263" s="140">
        <f ca="1">SUMIFS('F20-2024'!T:T,'F20-2024'!$D:$D,$D263,'F20-2024'!$E:$E,$E263,'F20-2024'!$F:$F,$F263)</f>
        <v>0</v>
      </c>
      <c r="U263" s="140">
        <f ca="1">SUMIFS('F20-2024'!U:U,'F20-2024'!$D:$D,$D263,'F20-2024'!$E:$E,$E263,'F20-2024'!$F:$F,$F263)</f>
        <v>0</v>
      </c>
      <c r="V263" s="140"/>
      <c r="W263" s="141" t="e">
        <f t="shared" ref="W263:AA263" ca="1" si="524">J263/$I263</f>
        <v>#DIV/0!</v>
      </c>
      <c r="X263" s="141" t="e">
        <f t="shared" ca="1" si="524"/>
        <v>#DIV/0!</v>
      </c>
      <c r="Y263" s="141" t="e">
        <f t="shared" ca="1" si="524"/>
        <v>#DIV/0!</v>
      </c>
      <c r="Z263" s="141" t="e">
        <f t="shared" ca="1" si="524"/>
        <v>#DIV/0!</v>
      </c>
      <c r="AA263" s="141" t="e">
        <f t="shared" ca="1" si="524"/>
        <v>#DIV/0!</v>
      </c>
      <c r="AB263" s="141"/>
      <c r="AC263" s="141" t="e">
        <f t="shared" ca="1" si="512"/>
        <v>#DIV/0!</v>
      </c>
      <c r="AD263" s="141" t="e">
        <f t="shared" ref="AD263:AI263" ca="1" si="525">O263/$I263</f>
        <v>#DIV/0!</v>
      </c>
      <c r="AE263" s="141" t="e">
        <f t="shared" ca="1" si="525"/>
        <v>#DIV/0!</v>
      </c>
      <c r="AF263" s="141" t="e">
        <f t="shared" ca="1" si="525"/>
        <v>#DIV/0!</v>
      </c>
      <c r="AG263" s="141" t="e">
        <f t="shared" ca="1" si="525"/>
        <v>#DIV/0!</v>
      </c>
      <c r="AH263" s="141" t="e">
        <f t="shared" ca="1" si="525"/>
        <v>#DIV/0!</v>
      </c>
      <c r="AI263" s="141" t="e">
        <f t="shared" ca="1" si="525"/>
        <v>#DIV/0!</v>
      </c>
      <c r="AJ263" s="140"/>
    </row>
    <row r="264" spans="1:36">
      <c r="A264" s="140" t="e">
        <f ca="1"/>
        <v>#NAME?</v>
      </c>
      <c r="B264" s="140" t="e">
        <f ca="1"/>
        <v>#NAME?</v>
      </c>
      <c r="C264" s="140" t="e">
        <f ca="1"/>
        <v>#NAME?</v>
      </c>
      <c r="D264" s="140" t="e">
        <f ca="1"/>
        <v>#NAME?</v>
      </c>
      <c r="E264" s="140" t="e">
        <f ca="1"/>
        <v>#NAME?</v>
      </c>
      <c r="F264" s="140" t="e">
        <f ca="1"/>
        <v>#NAME?</v>
      </c>
      <c r="G264" s="140" t="e">
        <f ca="1"/>
        <v>#NAME?</v>
      </c>
      <c r="H264" s="140"/>
      <c r="I264" s="140">
        <f ca="1">SUMIFS('F20-2024'!I:I,'F20-2024'!$D:$D,$D264,'F20-2024'!$E:$E,$E264,'F20-2024'!$F:$F,$F264)</f>
        <v>0</v>
      </c>
      <c r="J264" s="140">
        <f ca="1">SUMIFS('F20-2024'!J:J,'F20-2024'!$D:$D,$D264,'F20-2024'!$E:$E,$E264,'F20-2024'!$F:$F,$F264)</f>
        <v>0</v>
      </c>
      <c r="K264" s="140">
        <f ca="1">SUMIFS('F20-2024'!K:K,'F20-2024'!$D:$D,$D264,'F20-2024'!$E:$E,$E264,'F20-2024'!$F:$F,$F264)</f>
        <v>0</v>
      </c>
      <c r="L264" s="140">
        <f ca="1">SUMIFS('F20-2024'!L:L,'F20-2024'!$D:$D,$D264,'F20-2024'!$E:$E,$E264,'F20-2024'!$F:$F,$F264)</f>
        <v>0</v>
      </c>
      <c r="M264" s="140">
        <f ca="1">SUMIFS('F20-2024'!M:M,'F20-2024'!$D:$D,$D264,'F20-2024'!$E:$E,$E264,'F20-2024'!$F:$F,$F264)</f>
        <v>0</v>
      </c>
      <c r="N264" s="140">
        <f ca="1">SUMIFS('F20-2024'!N:N,'F20-2024'!$D:$D,$D264,'F20-2024'!$E:$E,$E264,'F20-2024'!$F:$F,$F264)</f>
        <v>0</v>
      </c>
      <c r="O264" s="140">
        <f ca="1">SUMIFS('F20-2024'!O:O,'F20-2024'!$D:$D,$D264,'F20-2024'!$E:$E,$E264,'F20-2024'!$F:$F,$F264)</f>
        <v>0</v>
      </c>
      <c r="P264" s="140">
        <f ca="1">SUMIFS('F20-2024'!P:P,'F20-2024'!$D:$D,$D264,'F20-2024'!$E:$E,$E264,'F20-2024'!$F:$F,$F264)</f>
        <v>0</v>
      </c>
      <c r="Q264" s="140">
        <f ca="1">SUMIFS('F20-2024'!Q:Q,'F20-2024'!$D:$D,$D264,'F20-2024'!$E:$E,$E264,'F20-2024'!$F:$F,$F264)</f>
        <v>0</v>
      </c>
      <c r="R264" s="140">
        <f ca="1">SUMIFS('F20-2024'!R:R,'F20-2024'!$D:$D,$D264,'F20-2024'!$E:$E,$E264,'F20-2024'!$F:$F,$F264)</f>
        <v>0</v>
      </c>
      <c r="S264" s="140">
        <f ca="1">SUMIFS('F20-2024'!S:S,'F20-2024'!$D:$D,$D264,'F20-2024'!$E:$E,$E264,'F20-2024'!$F:$F,$F264)</f>
        <v>0</v>
      </c>
      <c r="T264" s="140">
        <f ca="1">SUMIFS('F20-2024'!T:T,'F20-2024'!$D:$D,$D264,'F20-2024'!$E:$E,$E264,'F20-2024'!$F:$F,$F264)</f>
        <v>0</v>
      </c>
      <c r="U264" s="140">
        <f ca="1">SUMIFS('F20-2024'!U:U,'F20-2024'!$D:$D,$D264,'F20-2024'!$E:$E,$E264,'F20-2024'!$F:$F,$F264)</f>
        <v>0</v>
      </c>
      <c r="V264" s="140"/>
      <c r="W264" s="141" t="e">
        <f t="shared" ref="W264:AA264" ca="1" si="526">J264/$I264</f>
        <v>#DIV/0!</v>
      </c>
      <c r="X264" s="141" t="e">
        <f t="shared" ca="1" si="526"/>
        <v>#DIV/0!</v>
      </c>
      <c r="Y264" s="141" t="e">
        <f t="shared" ca="1" si="526"/>
        <v>#DIV/0!</v>
      </c>
      <c r="Z264" s="141" t="e">
        <f t="shared" ca="1" si="526"/>
        <v>#DIV/0!</v>
      </c>
      <c r="AA264" s="141" t="e">
        <f t="shared" ca="1" si="526"/>
        <v>#DIV/0!</v>
      </c>
      <c r="AB264" s="141"/>
      <c r="AC264" s="141" t="e">
        <f t="shared" ca="1" si="512"/>
        <v>#DIV/0!</v>
      </c>
      <c r="AD264" s="141" t="e">
        <f t="shared" ref="AD264:AI264" ca="1" si="527">O264/$I264</f>
        <v>#DIV/0!</v>
      </c>
      <c r="AE264" s="141" t="e">
        <f t="shared" ca="1" si="527"/>
        <v>#DIV/0!</v>
      </c>
      <c r="AF264" s="141" t="e">
        <f t="shared" ca="1" si="527"/>
        <v>#DIV/0!</v>
      </c>
      <c r="AG264" s="141" t="e">
        <f t="shared" ca="1" si="527"/>
        <v>#DIV/0!</v>
      </c>
      <c r="AH264" s="141" t="e">
        <f t="shared" ca="1" si="527"/>
        <v>#DIV/0!</v>
      </c>
      <c r="AI264" s="141" t="e">
        <f t="shared" ca="1" si="527"/>
        <v>#DIV/0!</v>
      </c>
      <c r="AJ264" s="140"/>
    </row>
    <row r="265" spans="1:36">
      <c r="A265" s="140" t="e">
        <f ca="1"/>
        <v>#NAME?</v>
      </c>
      <c r="B265" s="140" t="e">
        <f ca="1"/>
        <v>#NAME?</v>
      </c>
      <c r="C265" s="140" t="e">
        <f ca="1"/>
        <v>#NAME?</v>
      </c>
      <c r="D265" s="140" t="e">
        <f ca="1"/>
        <v>#NAME?</v>
      </c>
      <c r="E265" s="140" t="e">
        <f ca="1"/>
        <v>#NAME?</v>
      </c>
      <c r="F265" s="140" t="e">
        <f ca="1"/>
        <v>#NAME?</v>
      </c>
      <c r="G265" s="140" t="e">
        <f ca="1"/>
        <v>#NAME?</v>
      </c>
      <c r="H265" s="140"/>
      <c r="I265" s="140">
        <f ca="1">SUMIFS('F20-2024'!I:I,'F20-2024'!$D:$D,$D265,'F20-2024'!$E:$E,$E265,'F20-2024'!$F:$F,$F265)</f>
        <v>0</v>
      </c>
      <c r="J265" s="140">
        <f ca="1">SUMIFS('F20-2024'!J:J,'F20-2024'!$D:$D,$D265,'F20-2024'!$E:$E,$E265,'F20-2024'!$F:$F,$F265)</f>
        <v>0</v>
      </c>
      <c r="K265" s="140">
        <f ca="1">SUMIFS('F20-2024'!K:K,'F20-2024'!$D:$D,$D265,'F20-2024'!$E:$E,$E265,'F20-2024'!$F:$F,$F265)</f>
        <v>0</v>
      </c>
      <c r="L265" s="140">
        <f ca="1">SUMIFS('F20-2024'!L:L,'F20-2024'!$D:$D,$D265,'F20-2024'!$E:$E,$E265,'F20-2024'!$F:$F,$F265)</f>
        <v>0</v>
      </c>
      <c r="M265" s="140">
        <f ca="1">SUMIFS('F20-2024'!M:M,'F20-2024'!$D:$D,$D265,'F20-2024'!$E:$E,$E265,'F20-2024'!$F:$F,$F265)</f>
        <v>0</v>
      </c>
      <c r="N265" s="140">
        <f ca="1">SUMIFS('F20-2024'!N:N,'F20-2024'!$D:$D,$D265,'F20-2024'!$E:$E,$E265,'F20-2024'!$F:$F,$F265)</f>
        <v>0</v>
      </c>
      <c r="O265" s="140">
        <f ca="1">SUMIFS('F20-2024'!O:O,'F20-2024'!$D:$D,$D265,'F20-2024'!$E:$E,$E265,'F20-2024'!$F:$F,$F265)</f>
        <v>0</v>
      </c>
      <c r="P265" s="140">
        <f ca="1">SUMIFS('F20-2024'!P:P,'F20-2024'!$D:$D,$D265,'F20-2024'!$E:$E,$E265,'F20-2024'!$F:$F,$F265)</f>
        <v>0</v>
      </c>
      <c r="Q265" s="140">
        <f ca="1">SUMIFS('F20-2024'!Q:Q,'F20-2024'!$D:$D,$D265,'F20-2024'!$E:$E,$E265,'F20-2024'!$F:$F,$F265)</f>
        <v>0</v>
      </c>
      <c r="R265" s="140">
        <f ca="1">SUMIFS('F20-2024'!R:R,'F20-2024'!$D:$D,$D265,'F20-2024'!$E:$E,$E265,'F20-2024'!$F:$F,$F265)</f>
        <v>0</v>
      </c>
      <c r="S265" s="140">
        <f ca="1">SUMIFS('F20-2024'!S:S,'F20-2024'!$D:$D,$D265,'F20-2024'!$E:$E,$E265,'F20-2024'!$F:$F,$F265)</f>
        <v>0</v>
      </c>
      <c r="T265" s="140">
        <f ca="1">SUMIFS('F20-2024'!T:T,'F20-2024'!$D:$D,$D265,'F20-2024'!$E:$E,$E265,'F20-2024'!$F:$F,$F265)</f>
        <v>0</v>
      </c>
      <c r="U265" s="140">
        <f ca="1">SUMIFS('F20-2024'!U:U,'F20-2024'!$D:$D,$D265,'F20-2024'!$E:$E,$E265,'F20-2024'!$F:$F,$F265)</f>
        <v>0</v>
      </c>
      <c r="V265" s="140"/>
      <c r="W265" s="141" t="e">
        <f t="shared" ref="W265:AA265" ca="1" si="528">J265/$I265</f>
        <v>#DIV/0!</v>
      </c>
      <c r="X265" s="141" t="e">
        <f t="shared" ca="1" si="528"/>
        <v>#DIV/0!</v>
      </c>
      <c r="Y265" s="141" t="e">
        <f t="shared" ca="1" si="528"/>
        <v>#DIV/0!</v>
      </c>
      <c r="Z265" s="141" t="e">
        <f t="shared" ca="1" si="528"/>
        <v>#DIV/0!</v>
      </c>
      <c r="AA265" s="141" t="e">
        <f t="shared" ca="1" si="528"/>
        <v>#DIV/0!</v>
      </c>
      <c r="AB265" s="141"/>
      <c r="AC265" s="141" t="e">
        <f t="shared" ca="1" si="512"/>
        <v>#DIV/0!</v>
      </c>
      <c r="AD265" s="141" t="e">
        <f t="shared" ref="AD265:AI265" ca="1" si="529">O265/$I265</f>
        <v>#DIV/0!</v>
      </c>
      <c r="AE265" s="141" t="e">
        <f t="shared" ca="1" si="529"/>
        <v>#DIV/0!</v>
      </c>
      <c r="AF265" s="141" t="e">
        <f t="shared" ca="1" si="529"/>
        <v>#DIV/0!</v>
      </c>
      <c r="AG265" s="141" t="e">
        <f t="shared" ca="1" si="529"/>
        <v>#DIV/0!</v>
      </c>
      <c r="AH265" s="141" t="e">
        <f t="shared" ca="1" si="529"/>
        <v>#DIV/0!</v>
      </c>
      <c r="AI265" s="141" t="e">
        <f t="shared" ca="1" si="529"/>
        <v>#DIV/0!</v>
      </c>
      <c r="AJ265" s="140"/>
    </row>
    <row r="266" spans="1:36">
      <c r="A266" s="140" t="e">
        <f ca="1"/>
        <v>#NAME?</v>
      </c>
      <c r="B266" s="140" t="e">
        <f ca="1"/>
        <v>#NAME?</v>
      </c>
      <c r="C266" s="140" t="e">
        <f ca="1"/>
        <v>#NAME?</v>
      </c>
      <c r="D266" s="140" t="e">
        <f ca="1"/>
        <v>#NAME?</v>
      </c>
      <c r="E266" s="140" t="e">
        <f ca="1"/>
        <v>#NAME?</v>
      </c>
      <c r="F266" s="140" t="e">
        <f ca="1"/>
        <v>#NAME?</v>
      </c>
      <c r="G266" s="140" t="e">
        <f ca="1"/>
        <v>#NAME?</v>
      </c>
      <c r="H266" s="140"/>
      <c r="I266" s="140">
        <f ca="1">SUMIFS('F20-2024'!I:I,'F20-2024'!$D:$D,$D266,'F20-2024'!$E:$E,$E266,'F20-2024'!$F:$F,$F266)</f>
        <v>0</v>
      </c>
      <c r="J266" s="140">
        <f ca="1">SUMIFS('F20-2024'!J:J,'F20-2024'!$D:$D,$D266,'F20-2024'!$E:$E,$E266,'F20-2024'!$F:$F,$F266)</f>
        <v>0</v>
      </c>
      <c r="K266" s="140">
        <f ca="1">SUMIFS('F20-2024'!K:K,'F20-2024'!$D:$D,$D266,'F20-2024'!$E:$E,$E266,'F20-2024'!$F:$F,$F266)</f>
        <v>0</v>
      </c>
      <c r="L266" s="140">
        <f ca="1">SUMIFS('F20-2024'!L:L,'F20-2024'!$D:$D,$D266,'F20-2024'!$E:$E,$E266,'F20-2024'!$F:$F,$F266)</f>
        <v>0</v>
      </c>
      <c r="M266" s="140">
        <f ca="1">SUMIFS('F20-2024'!M:M,'F20-2024'!$D:$D,$D266,'F20-2024'!$E:$E,$E266,'F20-2024'!$F:$F,$F266)</f>
        <v>0</v>
      </c>
      <c r="N266" s="140">
        <f ca="1">SUMIFS('F20-2024'!N:N,'F20-2024'!$D:$D,$D266,'F20-2024'!$E:$E,$E266,'F20-2024'!$F:$F,$F266)</f>
        <v>0</v>
      </c>
      <c r="O266" s="140">
        <f ca="1">SUMIFS('F20-2024'!O:O,'F20-2024'!$D:$D,$D266,'F20-2024'!$E:$E,$E266,'F20-2024'!$F:$F,$F266)</f>
        <v>0</v>
      </c>
      <c r="P266" s="140">
        <f ca="1">SUMIFS('F20-2024'!P:P,'F20-2024'!$D:$D,$D266,'F20-2024'!$E:$E,$E266,'F20-2024'!$F:$F,$F266)</f>
        <v>0</v>
      </c>
      <c r="Q266" s="140">
        <f ca="1">SUMIFS('F20-2024'!Q:Q,'F20-2024'!$D:$D,$D266,'F20-2024'!$E:$E,$E266,'F20-2024'!$F:$F,$F266)</f>
        <v>0</v>
      </c>
      <c r="R266" s="140">
        <f ca="1">SUMIFS('F20-2024'!R:R,'F20-2024'!$D:$D,$D266,'F20-2024'!$E:$E,$E266,'F20-2024'!$F:$F,$F266)</f>
        <v>0</v>
      </c>
      <c r="S266" s="140">
        <f ca="1">SUMIFS('F20-2024'!S:S,'F20-2024'!$D:$D,$D266,'F20-2024'!$E:$E,$E266,'F20-2024'!$F:$F,$F266)</f>
        <v>0</v>
      </c>
      <c r="T266" s="140">
        <f ca="1">SUMIFS('F20-2024'!T:T,'F20-2024'!$D:$D,$D266,'F20-2024'!$E:$E,$E266,'F20-2024'!$F:$F,$F266)</f>
        <v>0</v>
      </c>
      <c r="U266" s="140">
        <f ca="1">SUMIFS('F20-2024'!U:U,'F20-2024'!$D:$D,$D266,'F20-2024'!$E:$E,$E266,'F20-2024'!$F:$F,$F266)</f>
        <v>0</v>
      </c>
      <c r="V266" s="140"/>
      <c r="W266" s="141" t="e">
        <f t="shared" ref="W266:AA266" ca="1" si="530">J266/$I266</f>
        <v>#DIV/0!</v>
      </c>
      <c r="X266" s="141" t="e">
        <f t="shared" ca="1" si="530"/>
        <v>#DIV/0!</v>
      </c>
      <c r="Y266" s="141" t="e">
        <f t="shared" ca="1" si="530"/>
        <v>#DIV/0!</v>
      </c>
      <c r="Z266" s="141" t="e">
        <f t="shared" ca="1" si="530"/>
        <v>#DIV/0!</v>
      </c>
      <c r="AA266" s="141" t="e">
        <f t="shared" ca="1" si="530"/>
        <v>#DIV/0!</v>
      </c>
      <c r="AB266" s="141"/>
      <c r="AC266" s="141" t="e">
        <f t="shared" ca="1" si="512"/>
        <v>#DIV/0!</v>
      </c>
      <c r="AD266" s="141" t="e">
        <f t="shared" ref="AD266:AI266" ca="1" si="531">O266/$I266</f>
        <v>#DIV/0!</v>
      </c>
      <c r="AE266" s="141" t="e">
        <f t="shared" ca="1" si="531"/>
        <v>#DIV/0!</v>
      </c>
      <c r="AF266" s="141" t="e">
        <f t="shared" ca="1" si="531"/>
        <v>#DIV/0!</v>
      </c>
      <c r="AG266" s="141" t="e">
        <f t="shared" ca="1" si="531"/>
        <v>#DIV/0!</v>
      </c>
      <c r="AH266" s="141" t="e">
        <f t="shared" ca="1" si="531"/>
        <v>#DIV/0!</v>
      </c>
      <c r="AI266" s="141" t="e">
        <f t="shared" ca="1" si="531"/>
        <v>#DIV/0!</v>
      </c>
      <c r="AJ266" s="140"/>
    </row>
    <row r="267" spans="1:36">
      <c r="A267" s="140" t="e">
        <f ca="1"/>
        <v>#NAME?</v>
      </c>
      <c r="B267" s="140" t="e">
        <f ca="1"/>
        <v>#NAME?</v>
      </c>
      <c r="C267" s="140" t="e">
        <f ca="1"/>
        <v>#NAME?</v>
      </c>
      <c r="D267" s="140" t="e">
        <f ca="1"/>
        <v>#NAME?</v>
      </c>
      <c r="E267" s="140" t="e">
        <f ca="1"/>
        <v>#NAME?</v>
      </c>
      <c r="F267" s="140" t="e">
        <f ca="1"/>
        <v>#NAME?</v>
      </c>
      <c r="G267" s="140" t="e">
        <f ca="1"/>
        <v>#NAME?</v>
      </c>
      <c r="H267" s="140"/>
      <c r="I267" s="140">
        <f ca="1">SUMIFS('F20-2024'!I:I,'F20-2024'!$D:$D,$D267,'F20-2024'!$E:$E,$E267,'F20-2024'!$F:$F,$F267)</f>
        <v>0</v>
      </c>
      <c r="J267" s="140">
        <f ca="1">SUMIFS('F20-2024'!J:J,'F20-2024'!$D:$D,$D267,'F20-2024'!$E:$E,$E267,'F20-2024'!$F:$F,$F267)</f>
        <v>0</v>
      </c>
      <c r="K267" s="140">
        <f ca="1">SUMIFS('F20-2024'!K:K,'F20-2024'!$D:$D,$D267,'F20-2024'!$E:$E,$E267,'F20-2024'!$F:$F,$F267)</f>
        <v>0</v>
      </c>
      <c r="L267" s="140">
        <f ca="1">SUMIFS('F20-2024'!L:L,'F20-2024'!$D:$D,$D267,'F20-2024'!$E:$E,$E267,'F20-2024'!$F:$F,$F267)</f>
        <v>0</v>
      </c>
      <c r="M267" s="140">
        <f ca="1">SUMIFS('F20-2024'!M:M,'F20-2024'!$D:$D,$D267,'F20-2024'!$E:$E,$E267,'F20-2024'!$F:$F,$F267)</f>
        <v>0</v>
      </c>
      <c r="N267" s="140">
        <f ca="1">SUMIFS('F20-2024'!N:N,'F20-2024'!$D:$D,$D267,'F20-2024'!$E:$E,$E267,'F20-2024'!$F:$F,$F267)</f>
        <v>0</v>
      </c>
      <c r="O267" s="140">
        <f ca="1">SUMIFS('F20-2024'!O:O,'F20-2024'!$D:$D,$D267,'F20-2024'!$E:$E,$E267,'F20-2024'!$F:$F,$F267)</f>
        <v>0</v>
      </c>
      <c r="P267" s="140">
        <f ca="1">SUMIFS('F20-2024'!P:P,'F20-2024'!$D:$D,$D267,'F20-2024'!$E:$E,$E267,'F20-2024'!$F:$F,$F267)</f>
        <v>0</v>
      </c>
      <c r="Q267" s="140">
        <f ca="1">SUMIFS('F20-2024'!Q:Q,'F20-2024'!$D:$D,$D267,'F20-2024'!$E:$E,$E267,'F20-2024'!$F:$F,$F267)</f>
        <v>0</v>
      </c>
      <c r="R267" s="140">
        <f ca="1">SUMIFS('F20-2024'!R:R,'F20-2024'!$D:$D,$D267,'F20-2024'!$E:$E,$E267,'F20-2024'!$F:$F,$F267)</f>
        <v>0</v>
      </c>
      <c r="S267" s="140">
        <f ca="1">SUMIFS('F20-2024'!S:S,'F20-2024'!$D:$D,$D267,'F20-2024'!$E:$E,$E267,'F20-2024'!$F:$F,$F267)</f>
        <v>0</v>
      </c>
      <c r="T267" s="140">
        <f ca="1">SUMIFS('F20-2024'!T:T,'F20-2024'!$D:$D,$D267,'F20-2024'!$E:$E,$E267,'F20-2024'!$F:$F,$F267)</f>
        <v>0</v>
      </c>
      <c r="U267" s="140">
        <f ca="1">SUMIFS('F20-2024'!U:U,'F20-2024'!$D:$D,$D267,'F20-2024'!$E:$E,$E267,'F20-2024'!$F:$F,$F267)</f>
        <v>0</v>
      </c>
      <c r="V267" s="140"/>
      <c r="W267" s="141" t="e">
        <f t="shared" ref="W267:AA267" ca="1" si="532">J267/$I267</f>
        <v>#DIV/0!</v>
      </c>
      <c r="X267" s="141" t="e">
        <f t="shared" ca="1" si="532"/>
        <v>#DIV/0!</v>
      </c>
      <c r="Y267" s="141" t="e">
        <f t="shared" ca="1" si="532"/>
        <v>#DIV/0!</v>
      </c>
      <c r="Z267" s="141" t="e">
        <f t="shared" ca="1" si="532"/>
        <v>#DIV/0!</v>
      </c>
      <c r="AA267" s="141" t="e">
        <f t="shared" ca="1" si="532"/>
        <v>#DIV/0!</v>
      </c>
      <c r="AB267" s="141"/>
      <c r="AC267" s="141" t="e">
        <f t="shared" ca="1" si="512"/>
        <v>#DIV/0!</v>
      </c>
      <c r="AD267" s="141" t="e">
        <f t="shared" ref="AD267:AI267" ca="1" si="533">O267/$I267</f>
        <v>#DIV/0!</v>
      </c>
      <c r="AE267" s="141" t="e">
        <f t="shared" ca="1" si="533"/>
        <v>#DIV/0!</v>
      </c>
      <c r="AF267" s="141" t="e">
        <f t="shared" ca="1" si="533"/>
        <v>#DIV/0!</v>
      </c>
      <c r="AG267" s="141" t="e">
        <f t="shared" ca="1" si="533"/>
        <v>#DIV/0!</v>
      </c>
      <c r="AH267" s="141" t="e">
        <f t="shared" ca="1" si="533"/>
        <v>#DIV/0!</v>
      </c>
      <c r="AI267" s="141" t="e">
        <f t="shared" ca="1" si="533"/>
        <v>#DIV/0!</v>
      </c>
      <c r="AJ267" s="140"/>
    </row>
    <row r="268" spans="1:36">
      <c r="A268" s="140" t="e">
        <f ca="1"/>
        <v>#NAME?</v>
      </c>
      <c r="B268" s="140" t="e">
        <f ca="1"/>
        <v>#NAME?</v>
      </c>
      <c r="C268" s="140" t="e">
        <f ca="1"/>
        <v>#NAME?</v>
      </c>
      <c r="D268" s="140" t="e">
        <f ca="1"/>
        <v>#NAME?</v>
      </c>
      <c r="E268" s="140" t="e">
        <f ca="1"/>
        <v>#NAME?</v>
      </c>
      <c r="F268" s="140" t="e">
        <f ca="1"/>
        <v>#NAME?</v>
      </c>
      <c r="G268" s="140" t="e">
        <f ca="1"/>
        <v>#NAME?</v>
      </c>
      <c r="H268" s="140"/>
      <c r="I268" s="140">
        <f ca="1">SUMIFS('F20-2024'!I:I,'F20-2024'!$D:$D,$D268,'F20-2024'!$E:$E,$E268,'F20-2024'!$F:$F,$F268)</f>
        <v>0</v>
      </c>
      <c r="J268" s="140">
        <f ca="1">SUMIFS('F20-2024'!J:J,'F20-2024'!$D:$D,$D268,'F20-2024'!$E:$E,$E268,'F20-2024'!$F:$F,$F268)</f>
        <v>0</v>
      </c>
      <c r="K268" s="140">
        <f ca="1">SUMIFS('F20-2024'!K:K,'F20-2024'!$D:$D,$D268,'F20-2024'!$E:$E,$E268,'F20-2024'!$F:$F,$F268)</f>
        <v>0</v>
      </c>
      <c r="L268" s="140">
        <f ca="1">SUMIFS('F20-2024'!L:L,'F20-2024'!$D:$D,$D268,'F20-2024'!$E:$E,$E268,'F20-2024'!$F:$F,$F268)</f>
        <v>0</v>
      </c>
      <c r="M268" s="140">
        <f ca="1">SUMIFS('F20-2024'!M:M,'F20-2024'!$D:$D,$D268,'F20-2024'!$E:$E,$E268,'F20-2024'!$F:$F,$F268)</f>
        <v>0</v>
      </c>
      <c r="N268" s="140">
        <f ca="1">SUMIFS('F20-2024'!N:N,'F20-2024'!$D:$D,$D268,'F20-2024'!$E:$E,$E268,'F20-2024'!$F:$F,$F268)</f>
        <v>0</v>
      </c>
      <c r="O268" s="140">
        <f ca="1">SUMIFS('F20-2024'!O:O,'F20-2024'!$D:$D,$D268,'F20-2024'!$E:$E,$E268,'F20-2024'!$F:$F,$F268)</f>
        <v>0</v>
      </c>
      <c r="P268" s="140">
        <f ca="1">SUMIFS('F20-2024'!P:P,'F20-2024'!$D:$D,$D268,'F20-2024'!$E:$E,$E268,'F20-2024'!$F:$F,$F268)</f>
        <v>0</v>
      </c>
      <c r="Q268" s="140">
        <f ca="1">SUMIFS('F20-2024'!Q:Q,'F20-2024'!$D:$D,$D268,'F20-2024'!$E:$E,$E268,'F20-2024'!$F:$F,$F268)</f>
        <v>0</v>
      </c>
      <c r="R268" s="140">
        <f ca="1">SUMIFS('F20-2024'!R:R,'F20-2024'!$D:$D,$D268,'F20-2024'!$E:$E,$E268,'F20-2024'!$F:$F,$F268)</f>
        <v>0</v>
      </c>
      <c r="S268" s="140">
        <f ca="1">SUMIFS('F20-2024'!S:S,'F20-2024'!$D:$D,$D268,'F20-2024'!$E:$E,$E268,'F20-2024'!$F:$F,$F268)</f>
        <v>0</v>
      </c>
      <c r="T268" s="140">
        <f ca="1">SUMIFS('F20-2024'!T:T,'F20-2024'!$D:$D,$D268,'F20-2024'!$E:$E,$E268,'F20-2024'!$F:$F,$F268)</f>
        <v>0</v>
      </c>
      <c r="U268" s="140">
        <f ca="1">SUMIFS('F20-2024'!U:U,'F20-2024'!$D:$D,$D268,'F20-2024'!$E:$E,$E268,'F20-2024'!$F:$F,$F268)</f>
        <v>0</v>
      </c>
      <c r="V268" s="140"/>
      <c r="W268" s="141" t="e">
        <f t="shared" ref="W268:AA268" ca="1" si="534">J268/$I268</f>
        <v>#DIV/0!</v>
      </c>
      <c r="X268" s="141" t="e">
        <f t="shared" ca="1" si="534"/>
        <v>#DIV/0!</v>
      </c>
      <c r="Y268" s="141" t="e">
        <f t="shared" ca="1" si="534"/>
        <v>#DIV/0!</v>
      </c>
      <c r="Z268" s="141" t="e">
        <f t="shared" ca="1" si="534"/>
        <v>#DIV/0!</v>
      </c>
      <c r="AA268" s="141" t="e">
        <f t="shared" ca="1" si="534"/>
        <v>#DIV/0!</v>
      </c>
      <c r="AB268" s="141"/>
      <c r="AC268" s="141" t="e">
        <f t="shared" ca="1" si="512"/>
        <v>#DIV/0!</v>
      </c>
      <c r="AD268" s="141" t="e">
        <f t="shared" ref="AD268:AI268" ca="1" si="535">O268/$I268</f>
        <v>#DIV/0!</v>
      </c>
      <c r="AE268" s="141" t="e">
        <f t="shared" ca="1" si="535"/>
        <v>#DIV/0!</v>
      </c>
      <c r="AF268" s="141" t="e">
        <f t="shared" ca="1" si="535"/>
        <v>#DIV/0!</v>
      </c>
      <c r="AG268" s="141" t="e">
        <f t="shared" ca="1" si="535"/>
        <v>#DIV/0!</v>
      </c>
      <c r="AH268" s="141" t="e">
        <f t="shared" ca="1" si="535"/>
        <v>#DIV/0!</v>
      </c>
      <c r="AI268" s="141" t="e">
        <f t="shared" ca="1" si="535"/>
        <v>#DIV/0!</v>
      </c>
      <c r="AJ268" s="140"/>
    </row>
    <row r="269" spans="1:36">
      <c r="A269" s="140" t="e">
        <f ca="1"/>
        <v>#NAME?</v>
      </c>
      <c r="B269" s="140" t="e">
        <f ca="1"/>
        <v>#NAME?</v>
      </c>
      <c r="C269" s="140" t="e">
        <f ca="1"/>
        <v>#NAME?</v>
      </c>
      <c r="D269" s="140" t="e">
        <f ca="1"/>
        <v>#NAME?</v>
      </c>
      <c r="E269" s="140" t="e">
        <f ca="1"/>
        <v>#NAME?</v>
      </c>
      <c r="F269" s="140" t="e">
        <f ca="1"/>
        <v>#NAME?</v>
      </c>
      <c r="G269" s="140" t="e">
        <f ca="1"/>
        <v>#NAME?</v>
      </c>
      <c r="H269" s="140"/>
      <c r="I269" s="140">
        <f ca="1">SUMIFS('F20-2024'!I:I,'F20-2024'!$D:$D,$D269,'F20-2024'!$E:$E,$E269,'F20-2024'!$F:$F,$F269)</f>
        <v>0</v>
      </c>
      <c r="J269" s="140">
        <f ca="1">SUMIFS('F20-2024'!J:J,'F20-2024'!$D:$D,$D269,'F20-2024'!$E:$E,$E269,'F20-2024'!$F:$F,$F269)</f>
        <v>0</v>
      </c>
      <c r="K269" s="140">
        <f ca="1">SUMIFS('F20-2024'!K:K,'F20-2024'!$D:$D,$D269,'F20-2024'!$E:$E,$E269,'F20-2024'!$F:$F,$F269)</f>
        <v>0</v>
      </c>
      <c r="L269" s="140">
        <f ca="1">SUMIFS('F20-2024'!L:L,'F20-2024'!$D:$D,$D269,'F20-2024'!$E:$E,$E269,'F20-2024'!$F:$F,$F269)</f>
        <v>0</v>
      </c>
      <c r="M269" s="140">
        <f ca="1">SUMIFS('F20-2024'!M:M,'F20-2024'!$D:$D,$D269,'F20-2024'!$E:$E,$E269,'F20-2024'!$F:$F,$F269)</f>
        <v>0</v>
      </c>
      <c r="N269" s="140">
        <f ca="1">SUMIFS('F20-2024'!N:N,'F20-2024'!$D:$D,$D269,'F20-2024'!$E:$E,$E269,'F20-2024'!$F:$F,$F269)</f>
        <v>0</v>
      </c>
      <c r="O269" s="140">
        <f ca="1">SUMIFS('F20-2024'!O:O,'F20-2024'!$D:$D,$D269,'F20-2024'!$E:$E,$E269,'F20-2024'!$F:$F,$F269)</f>
        <v>0</v>
      </c>
      <c r="P269" s="140">
        <f ca="1">SUMIFS('F20-2024'!P:P,'F20-2024'!$D:$D,$D269,'F20-2024'!$E:$E,$E269,'F20-2024'!$F:$F,$F269)</f>
        <v>0</v>
      </c>
      <c r="Q269" s="140">
        <f ca="1">SUMIFS('F20-2024'!Q:Q,'F20-2024'!$D:$D,$D269,'F20-2024'!$E:$E,$E269,'F20-2024'!$F:$F,$F269)</f>
        <v>0</v>
      </c>
      <c r="R269" s="140">
        <f ca="1">SUMIFS('F20-2024'!R:R,'F20-2024'!$D:$D,$D269,'F20-2024'!$E:$E,$E269,'F20-2024'!$F:$F,$F269)</f>
        <v>0</v>
      </c>
      <c r="S269" s="140">
        <f ca="1">SUMIFS('F20-2024'!S:S,'F20-2024'!$D:$D,$D269,'F20-2024'!$E:$E,$E269,'F20-2024'!$F:$F,$F269)</f>
        <v>0</v>
      </c>
      <c r="T269" s="140">
        <f ca="1">SUMIFS('F20-2024'!T:T,'F20-2024'!$D:$D,$D269,'F20-2024'!$E:$E,$E269,'F20-2024'!$F:$F,$F269)</f>
        <v>0</v>
      </c>
      <c r="U269" s="140">
        <f ca="1">SUMIFS('F20-2024'!U:U,'F20-2024'!$D:$D,$D269,'F20-2024'!$E:$E,$E269,'F20-2024'!$F:$F,$F269)</f>
        <v>0</v>
      </c>
      <c r="V269" s="140"/>
      <c r="W269" s="141" t="e">
        <f t="shared" ref="W269:AA269" ca="1" si="536">J269/$I269</f>
        <v>#DIV/0!</v>
      </c>
      <c r="X269" s="141" t="e">
        <f t="shared" ca="1" si="536"/>
        <v>#DIV/0!</v>
      </c>
      <c r="Y269" s="141" t="e">
        <f t="shared" ca="1" si="536"/>
        <v>#DIV/0!</v>
      </c>
      <c r="Z269" s="141" t="e">
        <f t="shared" ca="1" si="536"/>
        <v>#DIV/0!</v>
      </c>
      <c r="AA269" s="141" t="e">
        <f t="shared" ca="1" si="536"/>
        <v>#DIV/0!</v>
      </c>
      <c r="AB269" s="141"/>
      <c r="AC269" s="141" t="e">
        <f t="shared" ca="1" si="512"/>
        <v>#DIV/0!</v>
      </c>
      <c r="AD269" s="141" t="e">
        <f t="shared" ref="AD269:AI269" ca="1" si="537">O269/$I269</f>
        <v>#DIV/0!</v>
      </c>
      <c r="AE269" s="141" t="e">
        <f t="shared" ca="1" si="537"/>
        <v>#DIV/0!</v>
      </c>
      <c r="AF269" s="141" t="e">
        <f t="shared" ca="1" si="537"/>
        <v>#DIV/0!</v>
      </c>
      <c r="AG269" s="141" t="e">
        <f t="shared" ca="1" si="537"/>
        <v>#DIV/0!</v>
      </c>
      <c r="AH269" s="141" t="e">
        <f t="shared" ca="1" si="537"/>
        <v>#DIV/0!</v>
      </c>
      <c r="AI269" s="141" t="e">
        <f t="shared" ca="1" si="537"/>
        <v>#DIV/0!</v>
      </c>
      <c r="AJ269" s="140"/>
    </row>
    <row r="270" spans="1:36">
      <c r="A270" s="140" t="e">
        <f ca="1"/>
        <v>#NAME?</v>
      </c>
      <c r="B270" s="140" t="e">
        <f ca="1"/>
        <v>#NAME?</v>
      </c>
      <c r="C270" s="140" t="e">
        <f ca="1"/>
        <v>#NAME?</v>
      </c>
      <c r="D270" s="140" t="e">
        <f ca="1"/>
        <v>#NAME?</v>
      </c>
      <c r="E270" s="140" t="e">
        <f ca="1"/>
        <v>#NAME?</v>
      </c>
      <c r="F270" s="140" t="e">
        <f ca="1"/>
        <v>#NAME?</v>
      </c>
      <c r="G270" s="140" t="e">
        <f ca="1"/>
        <v>#NAME?</v>
      </c>
      <c r="H270" s="140"/>
      <c r="I270" s="140">
        <f ca="1">SUMIFS('F20-2024'!I:I,'F20-2024'!$D:$D,$D270,'F20-2024'!$E:$E,$E270,'F20-2024'!$F:$F,$F270)</f>
        <v>0</v>
      </c>
      <c r="J270" s="140">
        <f ca="1">SUMIFS('F20-2024'!J:J,'F20-2024'!$D:$D,$D270,'F20-2024'!$E:$E,$E270,'F20-2024'!$F:$F,$F270)</f>
        <v>0</v>
      </c>
      <c r="K270" s="140">
        <f ca="1">SUMIFS('F20-2024'!K:K,'F20-2024'!$D:$D,$D270,'F20-2024'!$E:$E,$E270,'F20-2024'!$F:$F,$F270)</f>
        <v>0</v>
      </c>
      <c r="L270" s="140">
        <f ca="1">SUMIFS('F20-2024'!L:L,'F20-2024'!$D:$D,$D270,'F20-2024'!$E:$E,$E270,'F20-2024'!$F:$F,$F270)</f>
        <v>0</v>
      </c>
      <c r="M270" s="140">
        <f ca="1">SUMIFS('F20-2024'!M:M,'F20-2024'!$D:$D,$D270,'F20-2024'!$E:$E,$E270,'F20-2024'!$F:$F,$F270)</f>
        <v>0</v>
      </c>
      <c r="N270" s="140">
        <f ca="1">SUMIFS('F20-2024'!N:N,'F20-2024'!$D:$D,$D270,'F20-2024'!$E:$E,$E270,'F20-2024'!$F:$F,$F270)</f>
        <v>0</v>
      </c>
      <c r="O270" s="140">
        <f ca="1">SUMIFS('F20-2024'!O:O,'F20-2024'!$D:$D,$D270,'F20-2024'!$E:$E,$E270,'F20-2024'!$F:$F,$F270)</f>
        <v>0</v>
      </c>
      <c r="P270" s="140">
        <f ca="1">SUMIFS('F20-2024'!P:P,'F20-2024'!$D:$D,$D270,'F20-2024'!$E:$E,$E270,'F20-2024'!$F:$F,$F270)</f>
        <v>0</v>
      </c>
      <c r="Q270" s="140">
        <f ca="1">SUMIFS('F20-2024'!Q:Q,'F20-2024'!$D:$D,$D270,'F20-2024'!$E:$E,$E270,'F20-2024'!$F:$F,$F270)</f>
        <v>0</v>
      </c>
      <c r="R270" s="140">
        <f ca="1">SUMIFS('F20-2024'!R:R,'F20-2024'!$D:$D,$D270,'F20-2024'!$E:$E,$E270,'F20-2024'!$F:$F,$F270)</f>
        <v>0</v>
      </c>
      <c r="S270" s="140">
        <f ca="1">SUMIFS('F20-2024'!S:S,'F20-2024'!$D:$D,$D270,'F20-2024'!$E:$E,$E270,'F20-2024'!$F:$F,$F270)</f>
        <v>0</v>
      </c>
      <c r="T270" s="140">
        <f ca="1">SUMIFS('F20-2024'!T:T,'F20-2024'!$D:$D,$D270,'F20-2024'!$E:$E,$E270,'F20-2024'!$F:$F,$F270)</f>
        <v>0</v>
      </c>
      <c r="U270" s="140">
        <f ca="1">SUMIFS('F20-2024'!U:U,'F20-2024'!$D:$D,$D270,'F20-2024'!$E:$E,$E270,'F20-2024'!$F:$F,$F270)</f>
        <v>0</v>
      </c>
      <c r="V270" s="140"/>
      <c r="W270" s="141" t="e">
        <f t="shared" ref="W270:AA270" ca="1" si="538">J270/$I270</f>
        <v>#DIV/0!</v>
      </c>
      <c r="X270" s="141" t="e">
        <f t="shared" ca="1" si="538"/>
        <v>#DIV/0!</v>
      </c>
      <c r="Y270" s="141" t="e">
        <f t="shared" ca="1" si="538"/>
        <v>#DIV/0!</v>
      </c>
      <c r="Z270" s="141" t="e">
        <f t="shared" ca="1" si="538"/>
        <v>#DIV/0!</v>
      </c>
      <c r="AA270" s="141" t="e">
        <f t="shared" ca="1" si="538"/>
        <v>#DIV/0!</v>
      </c>
      <c r="AB270" s="141"/>
      <c r="AC270" s="141" t="e">
        <f t="shared" ca="1" si="512"/>
        <v>#DIV/0!</v>
      </c>
      <c r="AD270" s="141" t="e">
        <f t="shared" ref="AD270:AI270" ca="1" si="539">O270/$I270</f>
        <v>#DIV/0!</v>
      </c>
      <c r="AE270" s="141" t="e">
        <f t="shared" ca="1" si="539"/>
        <v>#DIV/0!</v>
      </c>
      <c r="AF270" s="141" t="e">
        <f t="shared" ca="1" si="539"/>
        <v>#DIV/0!</v>
      </c>
      <c r="AG270" s="141" t="e">
        <f t="shared" ca="1" si="539"/>
        <v>#DIV/0!</v>
      </c>
      <c r="AH270" s="141" t="e">
        <f t="shared" ca="1" si="539"/>
        <v>#DIV/0!</v>
      </c>
      <c r="AI270" s="141" t="e">
        <f t="shared" ca="1" si="539"/>
        <v>#DIV/0!</v>
      </c>
      <c r="AJ270" s="140"/>
    </row>
    <row r="271" spans="1:36">
      <c r="A271" s="140" t="e">
        <f ca="1"/>
        <v>#NAME?</v>
      </c>
      <c r="B271" s="140" t="e">
        <f ca="1"/>
        <v>#NAME?</v>
      </c>
      <c r="C271" s="140" t="e">
        <f ca="1"/>
        <v>#NAME?</v>
      </c>
      <c r="D271" s="140" t="e">
        <f ca="1"/>
        <v>#NAME?</v>
      </c>
      <c r="E271" s="140" t="e">
        <f ca="1"/>
        <v>#NAME?</v>
      </c>
      <c r="F271" s="140" t="e">
        <f ca="1"/>
        <v>#NAME?</v>
      </c>
      <c r="G271" s="140" t="e">
        <f ca="1"/>
        <v>#NAME?</v>
      </c>
      <c r="H271" s="140"/>
      <c r="I271" s="140">
        <f ca="1">SUMIFS('F20-2024'!I:I,'F20-2024'!$D:$D,$D271,'F20-2024'!$E:$E,$E271,'F20-2024'!$F:$F,$F271)</f>
        <v>0</v>
      </c>
      <c r="J271" s="140">
        <f ca="1">SUMIFS('F20-2024'!J:J,'F20-2024'!$D:$D,$D271,'F20-2024'!$E:$E,$E271,'F20-2024'!$F:$F,$F271)</f>
        <v>0</v>
      </c>
      <c r="K271" s="140">
        <f ca="1">SUMIFS('F20-2024'!K:K,'F20-2024'!$D:$D,$D271,'F20-2024'!$E:$E,$E271,'F20-2024'!$F:$F,$F271)</f>
        <v>0</v>
      </c>
      <c r="L271" s="140">
        <f ca="1">SUMIFS('F20-2024'!L:L,'F20-2024'!$D:$D,$D271,'F20-2024'!$E:$E,$E271,'F20-2024'!$F:$F,$F271)</f>
        <v>0</v>
      </c>
      <c r="M271" s="140">
        <f ca="1">SUMIFS('F20-2024'!M:M,'F20-2024'!$D:$D,$D271,'F20-2024'!$E:$E,$E271,'F20-2024'!$F:$F,$F271)</f>
        <v>0</v>
      </c>
      <c r="N271" s="140">
        <f ca="1">SUMIFS('F20-2024'!N:N,'F20-2024'!$D:$D,$D271,'F20-2024'!$E:$E,$E271,'F20-2024'!$F:$F,$F271)</f>
        <v>0</v>
      </c>
      <c r="O271" s="140">
        <f ca="1">SUMIFS('F20-2024'!O:O,'F20-2024'!$D:$D,$D271,'F20-2024'!$E:$E,$E271,'F20-2024'!$F:$F,$F271)</f>
        <v>0</v>
      </c>
      <c r="P271" s="140">
        <f ca="1">SUMIFS('F20-2024'!P:P,'F20-2024'!$D:$D,$D271,'F20-2024'!$E:$E,$E271,'F20-2024'!$F:$F,$F271)</f>
        <v>0</v>
      </c>
      <c r="Q271" s="140">
        <f ca="1">SUMIFS('F20-2024'!Q:Q,'F20-2024'!$D:$D,$D271,'F20-2024'!$E:$E,$E271,'F20-2024'!$F:$F,$F271)</f>
        <v>0</v>
      </c>
      <c r="R271" s="140">
        <f ca="1">SUMIFS('F20-2024'!R:R,'F20-2024'!$D:$D,$D271,'F20-2024'!$E:$E,$E271,'F20-2024'!$F:$F,$F271)</f>
        <v>0</v>
      </c>
      <c r="S271" s="140">
        <f ca="1">SUMIFS('F20-2024'!S:S,'F20-2024'!$D:$D,$D271,'F20-2024'!$E:$E,$E271,'F20-2024'!$F:$F,$F271)</f>
        <v>0</v>
      </c>
      <c r="T271" s="140">
        <f ca="1">SUMIFS('F20-2024'!T:T,'F20-2024'!$D:$D,$D271,'F20-2024'!$E:$E,$E271,'F20-2024'!$F:$F,$F271)</f>
        <v>0</v>
      </c>
      <c r="U271" s="140">
        <f ca="1">SUMIFS('F20-2024'!U:U,'F20-2024'!$D:$D,$D271,'F20-2024'!$E:$E,$E271,'F20-2024'!$F:$F,$F271)</f>
        <v>0</v>
      </c>
      <c r="V271" s="140"/>
      <c r="W271" s="141" t="e">
        <f t="shared" ref="W271:AA271" ca="1" si="540">J271/$I271</f>
        <v>#DIV/0!</v>
      </c>
      <c r="X271" s="141" t="e">
        <f t="shared" ca="1" si="540"/>
        <v>#DIV/0!</v>
      </c>
      <c r="Y271" s="141" t="e">
        <f t="shared" ca="1" si="540"/>
        <v>#DIV/0!</v>
      </c>
      <c r="Z271" s="141" t="e">
        <f t="shared" ca="1" si="540"/>
        <v>#DIV/0!</v>
      </c>
      <c r="AA271" s="141" t="e">
        <f t="shared" ca="1" si="540"/>
        <v>#DIV/0!</v>
      </c>
      <c r="AB271" s="141"/>
      <c r="AC271" s="141" t="e">
        <f t="shared" ca="1" si="512"/>
        <v>#DIV/0!</v>
      </c>
      <c r="AD271" s="141" t="e">
        <f t="shared" ref="AD271:AI271" ca="1" si="541">O271/$I271</f>
        <v>#DIV/0!</v>
      </c>
      <c r="AE271" s="141" t="e">
        <f t="shared" ca="1" si="541"/>
        <v>#DIV/0!</v>
      </c>
      <c r="AF271" s="141" t="e">
        <f t="shared" ca="1" si="541"/>
        <v>#DIV/0!</v>
      </c>
      <c r="AG271" s="141" t="e">
        <f t="shared" ca="1" si="541"/>
        <v>#DIV/0!</v>
      </c>
      <c r="AH271" s="141" t="e">
        <f t="shared" ca="1" si="541"/>
        <v>#DIV/0!</v>
      </c>
      <c r="AI271" s="141" t="e">
        <f t="shared" ca="1" si="541"/>
        <v>#DIV/0!</v>
      </c>
      <c r="AJ271" s="140"/>
    </row>
    <row r="272" spans="1:36">
      <c r="A272" s="140" t="e">
        <f ca="1"/>
        <v>#NAME?</v>
      </c>
      <c r="B272" s="140" t="e">
        <f ca="1"/>
        <v>#NAME?</v>
      </c>
      <c r="C272" s="140" t="e">
        <f ca="1"/>
        <v>#NAME?</v>
      </c>
      <c r="D272" s="140" t="e">
        <f ca="1"/>
        <v>#NAME?</v>
      </c>
      <c r="E272" s="140" t="e">
        <f ca="1"/>
        <v>#NAME?</v>
      </c>
      <c r="F272" s="140" t="e">
        <f ca="1"/>
        <v>#NAME?</v>
      </c>
      <c r="G272" s="140" t="e">
        <f ca="1"/>
        <v>#NAME?</v>
      </c>
      <c r="H272" s="140"/>
      <c r="I272" s="140">
        <f ca="1">SUMIFS('F20-2024'!I:I,'F20-2024'!$D:$D,$D272,'F20-2024'!$E:$E,$E272,'F20-2024'!$F:$F,$F272)</f>
        <v>0</v>
      </c>
      <c r="J272" s="140">
        <f ca="1">SUMIFS('F20-2024'!J:J,'F20-2024'!$D:$D,$D272,'F20-2024'!$E:$E,$E272,'F20-2024'!$F:$F,$F272)</f>
        <v>0</v>
      </c>
      <c r="K272" s="140">
        <f ca="1">SUMIFS('F20-2024'!K:K,'F20-2024'!$D:$D,$D272,'F20-2024'!$E:$E,$E272,'F20-2024'!$F:$F,$F272)</f>
        <v>0</v>
      </c>
      <c r="L272" s="140">
        <f ca="1">SUMIFS('F20-2024'!L:L,'F20-2024'!$D:$D,$D272,'F20-2024'!$E:$E,$E272,'F20-2024'!$F:$F,$F272)</f>
        <v>0</v>
      </c>
      <c r="M272" s="140">
        <f ca="1">SUMIFS('F20-2024'!M:M,'F20-2024'!$D:$D,$D272,'F20-2024'!$E:$E,$E272,'F20-2024'!$F:$F,$F272)</f>
        <v>0</v>
      </c>
      <c r="N272" s="140">
        <f ca="1">SUMIFS('F20-2024'!N:N,'F20-2024'!$D:$D,$D272,'F20-2024'!$E:$E,$E272,'F20-2024'!$F:$F,$F272)</f>
        <v>0</v>
      </c>
      <c r="O272" s="140">
        <f ca="1">SUMIFS('F20-2024'!O:O,'F20-2024'!$D:$D,$D272,'F20-2024'!$E:$E,$E272,'F20-2024'!$F:$F,$F272)</f>
        <v>0</v>
      </c>
      <c r="P272" s="140">
        <f ca="1">SUMIFS('F20-2024'!P:P,'F20-2024'!$D:$D,$D272,'F20-2024'!$E:$E,$E272,'F20-2024'!$F:$F,$F272)</f>
        <v>0</v>
      </c>
      <c r="Q272" s="140">
        <f ca="1">SUMIFS('F20-2024'!Q:Q,'F20-2024'!$D:$D,$D272,'F20-2024'!$E:$E,$E272,'F20-2024'!$F:$F,$F272)</f>
        <v>0</v>
      </c>
      <c r="R272" s="140">
        <f ca="1">SUMIFS('F20-2024'!R:R,'F20-2024'!$D:$D,$D272,'F20-2024'!$E:$E,$E272,'F20-2024'!$F:$F,$F272)</f>
        <v>0</v>
      </c>
      <c r="S272" s="140">
        <f ca="1">SUMIFS('F20-2024'!S:S,'F20-2024'!$D:$D,$D272,'F20-2024'!$E:$E,$E272,'F20-2024'!$F:$F,$F272)</f>
        <v>0</v>
      </c>
      <c r="T272" s="140">
        <f ca="1">SUMIFS('F20-2024'!T:T,'F20-2024'!$D:$D,$D272,'F20-2024'!$E:$E,$E272,'F20-2024'!$F:$F,$F272)</f>
        <v>0</v>
      </c>
      <c r="U272" s="140">
        <f ca="1">SUMIFS('F20-2024'!U:U,'F20-2024'!$D:$D,$D272,'F20-2024'!$E:$E,$E272,'F20-2024'!$F:$F,$F272)</f>
        <v>0</v>
      </c>
      <c r="V272" s="140"/>
      <c r="W272" s="141" t="e">
        <f t="shared" ref="W272:AA272" ca="1" si="542">J272/$I272</f>
        <v>#DIV/0!</v>
      </c>
      <c r="X272" s="141" t="e">
        <f t="shared" ca="1" si="542"/>
        <v>#DIV/0!</v>
      </c>
      <c r="Y272" s="141" t="e">
        <f t="shared" ca="1" si="542"/>
        <v>#DIV/0!</v>
      </c>
      <c r="Z272" s="141" t="e">
        <f t="shared" ca="1" si="542"/>
        <v>#DIV/0!</v>
      </c>
      <c r="AA272" s="141" t="e">
        <f t="shared" ca="1" si="542"/>
        <v>#DIV/0!</v>
      </c>
      <c r="AB272" s="141"/>
      <c r="AC272" s="141" t="e">
        <f t="shared" ca="1" si="512"/>
        <v>#DIV/0!</v>
      </c>
      <c r="AD272" s="141" t="e">
        <f t="shared" ref="AD272:AI272" ca="1" si="543">O272/$I272</f>
        <v>#DIV/0!</v>
      </c>
      <c r="AE272" s="141" t="e">
        <f t="shared" ca="1" si="543"/>
        <v>#DIV/0!</v>
      </c>
      <c r="AF272" s="141" t="e">
        <f t="shared" ca="1" si="543"/>
        <v>#DIV/0!</v>
      </c>
      <c r="AG272" s="141" t="e">
        <f t="shared" ca="1" si="543"/>
        <v>#DIV/0!</v>
      </c>
      <c r="AH272" s="141" t="e">
        <f t="shared" ca="1" si="543"/>
        <v>#DIV/0!</v>
      </c>
      <c r="AI272" s="141" t="e">
        <f t="shared" ca="1" si="543"/>
        <v>#DIV/0!</v>
      </c>
      <c r="AJ272" s="140"/>
    </row>
    <row r="273" spans="1:36">
      <c r="A273" s="140" t="e">
        <f ca="1"/>
        <v>#NAME?</v>
      </c>
      <c r="B273" s="140" t="e">
        <f ca="1"/>
        <v>#NAME?</v>
      </c>
      <c r="C273" s="140" t="e">
        <f ca="1"/>
        <v>#NAME?</v>
      </c>
      <c r="D273" s="140" t="e">
        <f ca="1"/>
        <v>#NAME?</v>
      </c>
      <c r="E273" s="140" t="e">
        <f ca="1"/>
        <v>#NAME?</v>
      </c>
      <c r="F273" s="140" t="e">
        <f ca="1"/>
        <v>#NAME?</v>
      </c>
      <c r="G273" s="140" t="e">
        <f ca="1"/>
        <v>#NAME?</v>
      </c>
      <c r="H273" s="140"/>
      <c r="I273" s="140">
        <f ca="1">SUMIFS('F20-2024'!I:I,'F20-2024'!$D:$D,$D273,'F20-2024'!$E:$E,$E273,'F20-2024'!$F:$F,$F273)</f>
        <v>0</v>
      </c>
      <c r="J273" s="140">
        <f ca="1">SUMIFS('F20-2024'!J:J,'F20-2024'!$D:$D,$D273,'F20-2024'!$E:$E,$E273,'F20-2024'!$F:$F,$F273)</f>
        <v>0</v>
      </c>
      <c r="K273" s="140">
        <f ca="1">SUMIFS('F20-2024'!K:K,'F20-2024'!$D:$D,$D273,'F20-2024'!$E:$E,$E273,'F20-2024'!$F:$F,$F273)</f>
        <v>0</v>
      </c>
      <c r="L273" s="140">
        <f ca="1">SUMIFS('F20-2024'!L:L,'F20-2024'!$D:$D,$D273,'F20-2024'!$E:$E,$E273,'F20-2024'!$F:$F,$F273)</f>
        <v>0</v>
      </c>
      <c r="M273" s="140">
        <f ca="1">SUMIFS('F20-2024'!M:M,'F20-2024'!$D:$D,$D273,'F20-2024'!$E:$E,$E273,'F20-2024'!$F:$F,$F273)</f>
        <v>0</v>
      </c>
      <c r="N273" s="140">
        <f ca="1">SUMIFS('F20-2024'!N:N,'F20-2024'!$D:$D,$D273,'F20-2024'!$E:$E,$E273,'F20-2024'!$F:$F,$F273)</f>
        <v>0</v>
      </c>
      <c r="O273" s="140">
        <f ca="1">SUMIFS('F20-2024'!O:O,'F20-2024'!$D:$D,$D273,'F20-2024'!$E:$E,$E273,'F20-2024'!$F:$F,$F273)</f>
        <v>0</v>
      </c>
      <c r="P273" s="140">
        <f ca="1">SUMIFS('F20-2024'!P:P,'F20-2024'!$D:$D,$D273,'F20-2024'!$E:$E,$E273,'F20-2024'!$F:$F,$F273)</f>
        <v>0</v>
      </c>
      <c r="Q273" s="140">
        <f ca="1">SUMIFS('F20-2024'!Q:Q,'F20-2024'!$D:$D,$D273,'F20-2024'!$E:$E,$E273,'F20-2024'!$F:$F,$F273)</f>
        <v>0</v>
      </c>
      <c r="R273" s="140">
        <f ca="1">SUMIFS('F20-2024'!R:R,'F20-2024'!$D:$D,$D273,'F20-2024'!$E:$E,$E273,'F20-2024'!$F:$F,$F273)</f>
        <v>0</v>
      </c>
      <c r="S273" s="140">
        <f ca="1">SUMIFS('F20-2024'!S:S,'F20-2024'!$D:$D,$D273,'F20-2024'!$E:$E,$E273,'F20-2024'!$F:$F,$F273)</f>
        <v>0</v>
      </c>
      <c r="T273" s="140">
        <f ca="1">SUMIFS('F20-2024'!T:T,'F20-2024'!$D:$D,$D273,'F20-2024'!$E:$E,$E273,'F20-2024'!$F:$F,$F273)</f>
        <v>0</v>
      </c>
      <c r="U273" s="140">
        <f ca="1">SUMIFS('F20-2024'!U:U,'F20-2024'!$D:$D,$D273,'F20-2024'!$E:$E,$E273,'F20-2024'!$F:$F,$F273)</f>
        <v>0</v>
      </c>
      <c r="V273" s="140"/>
      <c r="W273" s="141" t="e">
        <f t="shared" ref="W273:AA273" ca="1" si="544">J273/$I273</f>
        <v>#DIV/0!</v>
      </c>
      <c r="X273" s="141" t="e">
        <f t="shared" ca="1" si="544"/>
        <v>#DIV/0!</v>
      </c>
      <c r="Y273" s="141" t="e">
        <f t="shared" ca="1" si="544"/>
        <v>#DIV/0!</v>
      </c>
      <c r="Z273" s="141" t="e">
        <f t="shared" ca="1" si="544"/>
        <v>#DIV/0!</v>
      </c>
      <c r="AA273" s="141" t="e">
        <f t="shared" ca="1" si="544"/>
        <v>#DIV/0!</v>
      </c>
      <c r="AB273" s="141"/>
      <c r="AC273" s="141" t="e">
        <f t="shared" ca="1" si="512"/>
        <v>#DIV/0!</v>
      </c>
      <c r="AD273" s="141" t="e">
        <f t="shared" ref="AD273:AI273" ca="1" si="545">O273/$I273</f>
        <v>#DIV/0!</v>
      </c>
      <c r="AE273" s="141" t="e">
        <f t="shared" ca="1" si="545"/>
        <v>#DIV/0!</v>
      </c>
      <c r="AF273" s="141" t="e">
        <f t="shared" ca="1" si="545"/>
        <v>#DIV/0!</v>
      </c>
      <c r="AG273" s="141" t="e">
        <f t="shared" ca="1" si="545"/>
        <v>#DIV/0!</v>
      </c>
      <c r="AH273" s="141" t="e">
        <f t="shared" ca="1" si="545"/>
        <v>#DIV/0!</v>
      </c>
      <c r="AI273" s="141" t="e">
        <f t="shared" ca="1" si="545"/>
        <v>#DIV/0!</v>
      </c>
      <c r="AJ273" s="140"/>
    </row>
    <row r="274" spans="1:36">
      <c r="A274" s="140" t="e">
        <f ca="1"/>
        <v>#NAME?</v>
      </c>
      <c r="B274" s="140" t="e">
        <f ca="1"/>
        <v>#NAME?</v>
      </c>
      <c r="C274" s="140" t="e">
        <f ca="1"/>
        <v>#NAME?</v>
      </c>
      <c r="D274" s="140" t="e">
        <f ca="1"/>
        <v>#NAME?</v>
      </c>
      <c r="E274" s="140" t="e">
        <f ca="1"/>
        <v>#NAME?</v>
      </c>
      <c r="F274" s="140" t="e">
        <f ca="1"/>
        <v>#NAME?</v>
      </c>
      <c r="G274" s="140" t="e">
        <f ca="1"/>
        <v>#NAME?</v>
      </c>
      <c r="H274" s="140"/>
      <c r="I274" s="140">
        <f ca="1">SUMIFS('F20-2024'!I:I,'F20-2024'!$D:$D,$D274,'F20-2024'!$E:$E,$E274,'F20-2024'!$F:$F,$F274)</f>
        <v>0</v>
      </c>
      <c r="J274" s="140">
        <f ca="1">SUMIFS('F20-2024'!J:J,'F20-2024'!$D:$D,$D274,'F20-2024'!$E:$E,$E274,'F20-2024'!$F:$F,$F274)</f>
        <v>0</v>
      </c>
      <c r="K274" s="140">
        <f ca="1">SUMIFS('F20-2024'!K:K,'F20-2024'!$D:$D,$D274,'F20-2024'!$E:$E,$E274,'F20-2024'!$F:$F,$F274)</f>
        <v>0</v>
      </c>
      <c r="L274" s="140">
        <f ca="1">SUMIFS('F20-2024'!L:L,'F20-2024'!$D:$D,$D274,'F20-2024'!$E:$E,$E274,'F20-2024'!$F:$F,$F274)</f>
        <v>0</v>
      </c>
      <c r="M274" s="140">
        <f ca="1">SUMIFS('F20-2024'!M:M,'F20-2024'!$D:$D,$D274,'F20-2024'!$E:$E,$E274,'F20-2024'!$F:$F,$F274)</f>
        <v>0</v>
      </c>
      <c r="N274" s="140">
        <f ca="1">SUMIFS('F20-2024'!N:N,'F20-2024'!$D:$D,$D274,'F20-2024'!$E:$E,$E274,'F20-2024'!$F:$F,$F274)</f>
        <v>0</v>
      </c>
      <c r="O274" s="140">
        <f ca="1">SUMIFS('F20-2024'!O:O,'F20-2024'!$D:$D,$D274,'F20-2024'!$E:$E,$E274,'F20-2024'!$F:$F,$F274)</f>
        <v>0</v>
      </c>
      <c r="P274" s="140">
        <f ca="1">SUMIFS('F20-2024'!P:P,'F20-2024'!$D:$D,$D274,'F20-2024'!$E:$E,$E274,'F20-2024'!$F:$F,$F274)</f>
        <v>0</v>
      </c>
      <c r="Q274" s="140">
        <f ca="1">SUMIFS('F20-2024'!Q:Q,'F20-2024'!$D:$D,$D274,'F20-2024'!$E:$E,$E274,'F20-2024'!$F:$F,$F274)</f>
        <v>0</v>
      </c>
      <c r="R274" s="140">
        <f ca="1">SUMIFS('F20-2024'!R:R,'F20-2024'!$D:$D,$D274,'F20-2024'!$E:$E,$E274,'F20-2024'!$F:$F,$F274)</f>
        <v>0</v>
      </c>
      <c r="S274" s="140">
        <f ca="1">SUMIFS('F20-2024'!S:S,'F20-2024'!$D:$D,$D274,'F20-2024'!$E:$E,$E274,'F20-2024'!$F:$F,$F274)</f>
        <v>0</v>
      </c>
      <c r="T274" s="140">
        <f ca="1">SUMIFS('F20-2024'!T:T,'F20-2024'!$D:$D,$D274,'F20-2024'!$E:$E,$E274,'F20-2024'!$F:$F,$F274)</f>
        <v>0</v>
      </c>
      <c r="U274" s="140">
        <f ca="1">SUMIFS('F20-2024'!U:U,'F20-2024'!$D:$D,$D274,'F20-2024'!$E:$E,$E274,'F20-2024'!$F:$F,$F274)</f>
        <v>0</v>
      </c>
      <c r="V274" s="140"/>
      <c r="W274" s="141" t="e">
        <f t="shared" ref="W274:AA274" ca="1" si="546">J274/$I274</f>
        <v>#DIV/0!</v>
      </c>
      <c r="X274" s="141" t="e">
        <f t="shared" ca="1" si="546"/>
        <v>#DIV/0!</v>
      </c>
      <c r="Y274" s="141" t="e">
        <f t="shared" ca="1" si="546"/>
        <v>#DIV/0!</v>
      </c>
      <c r="Z274" s="141" t="e">
        <f t="shared" ca="1" si="546"/>
        <v>#DIV/0!</v>
      </c>
      <c r="AA274" s="141" t="e">
        <f t="shared" ca="1" si="546"/>
        <v>#DIV/0!</v>
      </c>
      <c r="AB274" s="141"/>
      <c r="AC274" s="141" t="e">
        <f t="shared" ca="1" si="512"/>
        <v>#DIV/0!</v>
      </c>
      <c r="AD274" s="141" t="e">
        <f t="shared" ref="AD274:AI274" ca="1" si="547">O274/$I274</f>
        <v>#DIV/0!</v>
      </c>
      <c r="AE274" s="141" t="e">
        <f t="shared" ca="1" si="547"/>
        <v>#DIV/0!</v>
      </c>
      <c r="AF274" s="141" t="e">
        <f t="shared" ca="1" si="547"/>
        <v>#DIV/0!</v>
      </c>
      <c r="AG274" s="141" t="e">
        <f t="shared" ca="1" si="547"/>
        <v>#DIV/0!</v>
      </c>
      <c r="AH274" s="141" t="e">
        <f t="shared" ca="1" si="547"/>
        <v>#DIV/0!</v>
      </c>
      <c r="AI274" s="141" t="e">
        <f t="shared" ca="1" si="547"/>
        <v>#DIV/0!</v>
      </c>
      <c r="AJ274" s="140"/>
    </row>
    <row r="275" spans="1:36">
      <c r="A275" s="140" t="e">
        <f ca="1"/>
        <v>#NAME?</v>
      </c>
      <c r="B275" s="140" t="e">
        <f ca="1"/>
        <v>#NAME?</v>
      </c>
      <c r="C275" s="140" t="e">
        <f ca="1"/>
        <v>#NAME?</v>
      </c>
      <c r="D275" s="140" t="e">
        <f ca="1"/>
        <v>#NAME?</v>
      </c>
      <c r="E275" s="140" t="e">
        <f ca="1"/>
        <v>#NAME?</v>
      </c>
      <c r="F275" s="140" t="e">
        <f ca="1"/>
        <v>#NAME?</v>
      </c>
      <c r="G275" s="140" t="e">
        <f ca="1"/>
        <v>#NAME?</v>
      </c>
      <c r="H275" s="140"/>
      <c r="I275" s="140">
        <f ca="1">SUMIFS('F20-2024'!I:I,'F20-2024'!$D:$D,$D275,'F20-2024'!$E:$E,$E275,'F20-2024'!$F:$F,$F275)</f>
        <v>0</v>
      </c>
      <c r="J275" s="140">
        <f ca="1">SUMIFS('F20-2024'!J:J,'F20-2024'!$D:$D,$D275,'F20-2024'!$E:$E,$E275,'F20-2024'!$F:$F,$F275)</f>
        <v>0</v>
      </c>
      <c r="K275" s="140">
        <f ca="1">SUMIFS('F20-2024'!K:K,'F20-2024'!$D:$D,$D275,'F20-2024'!$E:$E,$E275,'F20-2024'!$F:$F,$F275)</f>
        <v>0</v>
      </c>
      <c r="L275" s="140">
        <f ca="1">SUMIFS('F20-2024'!L:L,'F20-2024'!$D:$D,$D275,'F20-2024'!$E:$E,$E275,'F20-2024'!$F:$F,$F275)</f>
        <v>0</v>
      </c>
      <c r="M275" s="140">
        <f ca="1">SUMIFS('F20-2024'!M:M,'F20-2024'!$D:$D,$D275,'F20-2024'!$E:$E,$E275,'F20-2024'!$F:$F,$F275)</f>
        <v>0</v>
      </c>
      <c r="N275" s="140">
        <f ca="1">SUMIFS('F20-2024'!N:N,'F20-2024'!$D:$D,$D275,'F20-2024'!$E:$E,$E275,'F20-2024'!$F:$F,$F275)</f>
        <v>0</v>
      </c>
      <c r="O275" s="140">
        <f ca="1">SUMIFS('F20-2024'!O:O,'F20-2024'!$D:$D,$D275,'F20-2024'!$E:$E,$E275,'F20-2024'!$F:$F,$F275)</f>
        <v>0</v>
      </c>
      <c r="P275" s="140">
        <f ca="1">SUMIFS('F20-2024'!P:P,'F20-2024'!$D:$D,$D275,'F20-2024'!$E:$E,$E275,'F20-2024'!$F:$F,$F275)</f>
        <v>0</v>
      </c>
      <c r="Q275" s="140">
        <f ca="1">SUMIFS('F20-2024'!Q:Q,'F20-2024'!$D:$D,$D275,'F20-2024'!$E:$E,$E275,'F20-2024'!$F:$F,$F275)</f>
        <v>0</v>
      </c>
      <c r="R275" s="140">
        <f ca="1">SUMIFS('F20-2024'!R:R,'F20-2024'!$D:$D,$D275,'F20-2024'!$E:$E,$E275,'F20-2024'!$F:$F,$F275)</f>
        <v>0</v>
      </c>
      <c r="S275" s="140">
        <f ca="1">SUMIFS('F20-2024'!S:S,'F20-2024'!$D:$D,$D275,'F20-2024'!$E:$E,$E275,'F20-2024'!$F:$F,$F275)</f>
        <v>0</v>
      </c>
      <c r="T275" s="140">
        <f ca="1">SUMIFS('F20-2024'!T:T,'F20-2024'!$D:$D,$D275,'F20-2024'!$E:$E,$E275,'F20-2024'!$F:$F,$F275)</f>
        <v>0</v>
      </c>
      <c r="U275" s="140">
        <f ca="1">SUMIFS('F20-2024'!U:U,'F20-2024'!$D:$D,$D275,'F20-2024'!$E:$E,$E275,'F20-2024'!$F:$F,$F275)</f>
        <v>0</v>
      </c>
      <c r="V275" s="140"/>
      <c r="W275" s="141" t="e">
        <f t="shared" ref="W275:AA275" ca="1" si="548">J275/$I275</f>
        <v>#DIV/0!</v>
      </c>
      <c r="X275" s="141" t="e">
        <f t="shared" ca="1" si="548"/>
        <v>#DIV/0!</v>
      </c>
      <c r="Y275" s="141" t="e">
        <f t="shared" ca="1" si="548"/>
        <v>#DIV/0!</v>
      </c>
      <c r="Z275" s="141" t="e">
        <f t="shared" ca="1" si="548"/>
        <v>#DIV/0!</v>
      </c>
      <c r="AA275" s="141" t="e">
        <f t="shared" ca="1" si="548"/>
        <v>#DIV/0!</v>
      </c>
      <c r="AB275" s="141"/>
      <c r="AC275" s="141" t="e">
        <f t="shared" ca="1" si="512"/>
        <v>#DIV/0!</v>
      </c>
      <c r="AD275" s="141" t="e">
        <f t="shared" ref="AD275:AI275" ca="1" si="549">O275/$I275</f>
        <v>#DIV/0!</v>
      </c>
      <c r="AE275" s="141" t="e">
        <f t="shared" ca="1" si="549"/>
        <v>#DIV/0!</v>
      </c>
      <c r="AF275" s="141" t="e">
        <f t="shared" ca="1" si="549"/>
        <v>#DIV/0!</v>
      </c>
      <c r="AG275" s="141" t="e">
        <f t="shared" ca="1" si="549"/>
        <v>#DIV/0!</v>
      </c>
      <c r="AH275" s="141" t="e">
        <f t="shared" ca="1" si="549"/>
        <v>#DIV/0!</v>
      </c>
      <c r="AI275" s="141" t="e">
        <f t="shared" ca="1" si="549"/>
        <v>#DIV/0!</v>
      </c>
      <c r="AJ275" s="140"/>
    </row>
    <row r="276" spans="1:36">
      <c r="A276" s="140" t="e">
        <f ca="1"/>
        <v>#NAME?</v>
      </c>
      <c r="B276" s="140" t="e">
        <f ca="1"/>
        <v>#NAME?</v>
      </c>
      <c r="C276" s="140" t="e">
        <f ca="1"/>
        <v>#NAME?</v>
      </c>
      <c r="D276" s="140" t="e">
        <f ca="1"/>
        <v>#NAME?</v>
      </c>
      <c r="E276" s="140" t="e">
        <f ca="1"/>
        <v>#NAME?</v>
      </c>
      <c r="F276" s="140" t="e">
        <f ca="1"/>
        <v>#NAME?</v>
      </c>
      <c r="G276" s="140" t="e">
        <f ca="1"/>
        <v>#NAME?</v>
      </c>
      <c r="H276" s="140"/>
      <c r="I276" s="140">
        <f ca="1">SUMIFS('F20-2024'!I:I,'F20-2024'!$D:$D,$D276,'F20-2024'!$E:$E,$E276,'F20-2024'!$F:$F,$F276)</f>
        <v>0</v>
      </c>
      <c r="J276" s="140">
        <f ca="1">SUMIFS('F20-2024'!J:J,'F20-2024'!$D:$D,$D276,'F20-2024'!$E:$E,$E276,'F20-2024'!$F:$F,$F276)</f>
        <v>0</v>
      </c>
      <c r="K276" s="140">
        <f ca="1">SUMIFS('F20-2024'!K:K,'F20-2024'!$D:$D,$D276,'F20-2024'!$E:$E,$E276,'F20-2024'!$F:$F,$F276)</f>
        <v>0</v>
      </c>
      <c r="L276" s="140">
        <f ca="1">SUMIFS('F20-2024'!L:L,'F20-2024'!$D:$D,$D276,'F20-2024'!$E:$E,$E276,'F20-2024'!$F:$F,$F276)</f>
        <v>0</v>
      </c>
      <c r="M276" s="140">
        <f ca="1">SUMIFS('F20-2024'!M:M,'F20-2024'!$D:$D,$D276,'F20-2024'!$E:$E,$E276,'F20-2024'!$F:$F,$F276)</f>
        <v>0</v>
      </c>
      <c r="N276" s="140">
        <f ca="1">SUMIFS('F20-2024'!N:N,'F20-2024'!$D:$D,$D276,'F20-2024'!$E:$E,$E276,'F20-2024'!$F:$F,$F276)</f>
        <v>0</v>
      </c>
      <c r="O276" s="140">
        <f ca="1">SUMIFS('F20-2024'!O:O,'F20-2024'!$D:$D,$D276,'F20-2024'!$E:$E,$E276,'F20-2024'!$F:$F,$F276)</f>
        <v>0</v>
      </c>
      <c r="P276" s="140">
        <f ca="1">SUMIFS('F20-2024'!P:P,'F20-2024'!$D:$D,$D276,'F20-2024'!$E:$E,$E276,'F20-2024'!$F:$F,$F276)</f>
        <v>0</v>
      </c>
      <c r="Q276" s="140">
        <f ca="1">SUMIFS('F20-2024'!Q:Q,'F20-2024'!$D:$D,$D276,'F20-2024'!$E:$E,$E276,'F20-2024'!$F:$F,$F276)</f>
        <v>0</v>
      </c>
      <c r="R276" s="140">
        <f ca="1">SUMIFS('F20-2024'!R:R,'F20-2024'!$D:$D,$D276,'F20-2024'!$E:$E,$E276,'F20-2024'!$F:$F,$F276)</f>
        <v>0</v>
      </c>
      <c r="S276" s="140">
        <f ca="1">SUMIFS('F20-2024'!S:S,'F20-2024'!$D:$D,$D276,'F20-2024'!$E:$E,$E276,'F20-2024'!$F:$F,$F276)</f>
        <v>0</v>
      </c>
      <c r="T276" s="140">
        <f ca="1">SUMIFS('F20-2024'!T:T,'F20-2024'!$D:$D,$D276,'F20-2024'!$E:$E,$E276,'F20-2024'!$F:$F,$F276)</f>
        <v>0</v>
      </c>
      <c r="U276" s="140">
        <f ca="1">SUMIFS('F20-2024'!U:U,'F20-2024'!$D:$D,$D276,'F20-2024'!$E:$E,$E276,'F20-2024'!$F:$F,$F276)</f>
        <v>0</v>
      </c>
      <c r="V276" s="140"/>
      <c r="W276" s="141" t="e">
        <f t="shared" ref="W276:AA276" ca="1" si="550">J276/$I276</f>
        <v>#DIV/0!</v>
      </c>
      <c r="X276" s="141" t="e">
        <f t="shared" ca="1" si="550"/>
        <v>#DIV/0!</v>
      </c>
      <c r="Y276" s="141" t="e">
        <f t="shared" ca="1" si="550"/>
        <v>#DIV/0!</v>
      </c>
      <c r="Z276" s="141" t="e">
        <f t="shared" ca="1" si="550"/>
        <v>#DIV/0!</v>
      </c>
      <c r="AA276" s="141" t="e">
        <f t="shared" ca="1" si="550"/>
        <v>#DIV/0!</v>
      </c>
      <c r="AB276" s="141"/>
      <c r="AC276" s="141" t="e">
        <f t="shared" ca="1" si="512"/>
        <v>#DIV/0!</v>
      </c>
      <c r="AD276" s="141" t="e">
        <f t="shared" ref="AD276:AI276" ca="1" si="551">O276/$I276</f>
        <v>#DIV/0!</v>
      </c>
      <c r="AE276" s="141" t="e">
        <f t="shared" ca="1" si="551"/>
        <v>#DIV/0!</v>
      </c>
      <c r="AF276" s="141" t="e">
        <f t="shared" ca="1" si="551"/>
        <v>#DIV/0!</v>
      </c>
      <c r="AG276" s="141" t="e">
        <f t="shared" ca="1" si="551"/>
        <v>#DIV/0!</v>
      </c>
      <c r="AH276" s="141" t="e">
        <f t="shared" ca="1" si="551"/>
        <v>#DIV/0!</v>
      </c>
      <c r="AI276" s="141" t="e">
        <f t="shared" ca="1" si="551"/>
        <v>#DIV/0!</v>
      </c>
      <c r="AJ276" s="140"/>
    </row>
    <row r="277" spans="1:36">
      <c r="A277" s="140" t="e">
        <f ca="1"/>
        <v>#NAME?</v>
      </c>
      <c r="B277" s="140" t="e">
        <f ca="1"/>
        <v>#NAME?</v>
      </c>
      <c r="C277" s="140" t="e">
        <f ca="1"/>
        <v>#NAME?</v>
      </c>
      <c r="D277" s="140" t="e">
        <f ca="1"/>
        <v>#NAME?</v>
      </c>
      <c r="E277" s="140" t="e">
        <f ca="1"/>
        <v>#NAME?</v>
      </c>
      <c r="F277" s="140" t="e">
        <f ca="1"/>
        <v>#NAME?</v>
      </c>
      <c r="G277" s="140" t="e">
        <f ca="1"/>
        <v>#NAME?</v>
      </c>
      <c r="H277" s="140"/>
      <c r="I277" s="140">
        <f ca="1">SUMIFS('F20-2024'!I:I,'F20-2024'!$D:$D,$D277,'F20-2024'!$E:$E,$E277,'F20-2024'!$F:$F,$F277)</f>
        <v>0</v>
      </c>
      <c r="J277" s="140">
        <f ca="1">SUMIFS('F20-2024'!J:J,'F20-2024'!$D:$D,$D277,'F20-2024'!$E:$E,$E277,'F20-2024'!$F:$F,$F277)</f>
        <v>0</v>
      </c>
      <c r="K277" s="140">
        <f ca="1">SUMIFS('F20-2024'!K:K,'F20-2024'!$D:$D,$D277,'F20-2024'!$E:$E,$E277,'F20-2024'!$F:$F,$F277)</f>
        <v>0</v>
      </c>
      <c r="L277" s="140">
        <f ca="1">SUMIFS('F20-2024'!L:L,'F20-2024'!$D:$D,$D277,'F20-2024'!$E:$E,$E277,'F20-2024'!$F:$F,$F277)</f>
        <v>0</v>
      </c>
      <c r="M277" s="140">
        <f ca="1">SUMIFS('F20-2024'!M:M,'F20-2024'!$D:$D,$D277,'F20-2024'!$E:$E,$E277,'F20-2024'!$F:$F,$F277)</f>
        <v>0</v>
      </c>
      <c r="N277" s="140">
        <f ca="1">SUMIFS('F20-2024'!N:N,'F20-2024'!$D:$D,$D277,'F20-2024'!$E:$E,$E277,'F20-2024'!$F:$F,$F277)</f>
        <v>0</v>
      </c>
      <c r="O277" s="140">
        <f ca="1">SUMIFS('F20-2024'!O:O,'F20-2024'!$D:$D,$D277,'F20-2024'!$E:$E,$E277,'F20-2024'!$F:$F,$F277)</f>
        <v>0</v>
      </c>
      <c r="P277" s="140">
        <f ca="1">SUMIFS('F20-2024'!P:P,'F20-2024'!$D:$D,$D277,'F20-2024'!$E:$E,$E277,'F20-2024'!$F:$F,$F277)</f>
        <v>0</v>
      </c>
      <c r="Q277" s="140">
        <f ca="1">SUMIFS('F20-2024'!Q:Q,'F20-2024'!$D:$D,$D277,'F20-2024'!$E:$E,$E277,'F20-2024'!$F:$F,$F277)</f>
        <v>0</v>
      </c>
      <c r="R277" s="140">
        <f ca="1">SUMIFS('F20-2024'!R:R,'F20-2024'!$D:$D,$D277,'F20-2024'!$E:$E,$E277,'F20-2024'!$F:$F,$F277)</f>
        <v>0</v>
      </c>
      <c r="S277" s="140">
        <f ca="1">SUMIFS('F20-2024'!S:S,'F20-2024'!$D:$D,$D277,'F20-2024'!$E:$E,$E277,'F20-2024'!$F:$F,$F277)</f>
        <v>0</v>
      </c>
      <c r="T277" s="140">
        <f ca="1">SUMIFS('F20-2024'!T:T,'F20-2024'!$D:$D,$D277,'F20-2024'!$E:$E,$E277,'F20-2024'!$F:$F,$F277)</f>
        <v>0</v>
      </c>
      <c r="U277" s="140">
        <f ca="1">SUMIFS('F20-2024'!U:U,'F20-2024'!$D:$D,$D277,'F20-2024'!$E:$E,$E277,'F20-2024'!$F:$F,$F277)</f>
        <v>0</v>
      </c>
      <c r="V277" s="140"/>
      <c r="W277" s="141" t="e">
        <f t="shared" ref="W277:AA277" ca="1" si="552">J277/$I277</f>
        <v>#DIV/0!</v>
      </c>
      <c r="X277" s="141" t="e">
        <f t="shared" ca="1" si="552"/>
        <v>#DIV/0!</v>
      </c>
      <c r="Y277" s="141" t="e">
        <f t="shared" ca="1" si="552"/>
        <v>#DIV/0!</v>
      </c>
      <c r="Z277" s="141" t="e">
        <f t="shared" ca="1" si="552"/>
        <v>#DIV/0!</v>
      </c>
      <c r="AA277" s="141" t="e">
        <f t="shared" ca="1" si="552"/>
        <v>#DIV/0!</v>
      </c>
      <c r="AB277" s="141"/>
      <c r="AC277" s="141" t="e">
        <f t="shared" ca="1" si="512"/>
        <v>#DIV/0!</v>
      </c>
      <c r="AD277" s="141" t="e">
        <f t="shared" ref="AD277:AI277" ca="1" si="553">O277/$I277</f>
        <v>#DIV/0!</v>
      </c>
      <c r="AE277" s="141" t="e">
        <f t="shared" ca="1" si="553"/>
        <v>#DIV/0!</v>
      </c>
      <c r="AF277" s="141" t="e">
        <f t="shared" ca="1" si="553"/>
        <v>#DIV/0!</v>
      </c>
      <c r="AG277" s="141" t="e">
        <f t="shared" ca="1" si="553"/>
        <v>#DIV/0!</v>
      </c>
      <c r="AH277" s="141" t="e">
        <f t="shared" ca="1" si="553"/>
        <v>#DIV/0!</v>
      </c>
      <c r="AI277" s="141" t="e">
        <f t="shared" ca="1" si="553"/>
        <v>#DIV/0!</v>
      </c>
      <c r="AJ277" s="140"/>
    </row>
    <row r="278" spans="1:36">
      <c r="A278" s="140" t="e">
        <f ca="1"/>
        <v>#NAME?</v>
      </c>
      <c r="B278" s="140" t="e">
        <f ca="1"/>
        <v>#NAME?</v>
      </c>
      <c r="C278" s="140" t="e">
        <f ca="1"/>
        <v>#NAME?</v>
      </c>
      <c r="D278" s="140" t="e">
        <f ca="1"/>
        <v>#NAME?</v>
      </c>
      <c r="E278" s="140" t="e">
        <f ca="1"/>
        <v>#NAME?</v>
      </c>
      <c r="F278" s="140" t="e">
        <f ca="1"/>
        <v>#NAME?</v>
      </c>
      <c r="G278" s="140" t="e">
        <f ca="1"/>
        <v>#NAME?</v>
      </c>
      <c r="H278" s="140"/>
      <c r="I278" s="140">
        <f ca="1">SUMIFS('F20-2024'!I:I,'F20-2024'!$D:$D,$D278,'F20-2024'!$E:$E,$E278,'F20-2024'!$F:$F,$F278)</f>
        <v>0</v>
      </c>
      <c r="J278" s="140">
        <f ca="1">SUMIFS('F20-2024'!J:J,'F20-2024'!$D:$D,$D278,'F20-2024'!$E:$E,$E278,'F20-2024'!$F:$F,$F278)</f>
        <v>0</v>
      </c>
      <c r="K278" s="140">
        <f ca="1">SUMIFS('F20-2024'!K:K,'F20-2024'!$D:$D,$D278,'F20-2024'!$E:$E,$E278,'F20-2024'!$F:$F,$F278)</f>
        <v>0</v>
      </c>
      <c r="L278" s="140">
        <f ca="1">SUMIFS('F20-2024'!L:L,'F20-2024'!$D:$D,$D278,'F20-2024'!$E:$E,$E278,'F20-2024'!$F:$F,$F278)</f>
        <v>0</v>
      </c>
      <c r="M278" s="140">
        <f ca="1">SUMIFS('F20-2024'!M:M,'F20-2024'!$D:$D,$D278,'F20-2024'!$E:$E,$E278,'F20-2024'!$F:$F,$F278)</f>
        <v>0</v>
      </c>
      <c r="N278" s="140">
        <f ca="1">SUMIFS('F20-2024'!N:N,'F20-2024'!$D:$D,$D278,'F20-2024'!$E:$E,$E278,'F20-2024'!$F:$F,$F278)</f>
        <v>0</v>
      </c>
      <c r="O278" s="140">
        <f ca="1">SUMIFS('F20-2024'!O:O,'F20-2024'!$D:$D,$D278,'F20-2024'!$E:$E,$E278,'F20-2024'!$F:$F,$F278)</f>
        <v>0</v>
      </c>
      <c r="P278" s="140">
        <f ca="1">SUMIFS('F20-2024'!P:P,'F20-2024'!$D:$D,$D278,'F20-2024'!$E:$E,$E278,'F20-2024'!$F:$F,$F278)</f>
        <v>0</v>
      </c>
      <c r="Q278" s="140">
        <f ca="1">SUMIFS('F20-2024'!Q:Q,'F20-2024'!$D:$D,$D278,'F20-2024'!$E:$E,$E278,'F20-2024'!$F:$F,$F278)</f>
        <v>0</v>
      </c>
      <c r="R278" s="140">
        <f ca="1">SUMIFS('F20-2024'!R:R,'F20-2024'!$D:$D,$D278,'F20-2024'!$E:$E,$E278,'F20-2024'!$F:$F,$F278)</f>
        <v>0</v>
      </c>
      <c r="S278" s="140">
        <f ca="1">SUMIFS('F20-2024'!S:S,'F20-2024'!$D:$D,$D278,'F20-2024'!$E:$E,$E278,'F20-2024'!$F:$F,$F278)</f>
        <v>0</v>
      </c>
      <c r="T278" s="140">
        <f ca="1">SUMIFS('F20-2024'!T:T,'F20-2024'!$D:$D,$D278,'F20-2024'!$E:$E,$E278,'F20-2024'!$F:$F,$F278)</f>
        <v>0</v>
      </c>
      <c r="U278" s="140">
        <f ca="1">SUMIFS('F20-2024'!U:U,'F20-2024'!$D:$D,$D278,'F20-2024'!$E:$E,$E278,'F20-2024'!$F:$F,$F278)</f>
        <v>0</v>
      </c>
      <c r="V278" s="140"/>
      <c r="W278" s="141" t="e">
        <f t="shared" ref="W278:AA278" ca="1" si="554">J278/$I278</f>
        <v>#DIV/0!</v>
      </c>
      <c r="X278" s="141" t="e">
        <f t="shared" ca="1" si="554"/>
        <v>#DIV/0!</v>
      </c>
      <c r="Y278" s="141" t="e">
        <f t="shared" ca="1" si="554"/>
        <v>#DIV/0!</v>
      </c>
      <c r="Z278" s="141" t="e">
        <f t="shared" ca="1" si="554"/>
        <v>#DIV/0!</v>
      </c>
      <c r="AA278" s="141" t="e">
        <f t="shared" ca="1" si="554"/>
        <v>#DIV/0!</v>
      </c>
      <c r="AB278" s="141"/>
      <c r="AC278" s="141" t="e">
        <f t="shared" ca="1" si="512"/>
        <v>#DIV/0!</v>
      </c>
      <c r="AD278" s="141" t="e">
        <f t="shared" ref="AD278:AI278" ca="1" si="555">O278/$I278</f>
        <v>#DIV/0!</v>
      </c>
      <c r="AE278" s="141" t="e">
        <f t="shared" ca="1" si="555"/>
        <v>#DIV/0!</v>
      </c>
      <c r="AF278" s="141" t="e">
        <f t="shared" ca="1" si="555"/>
        <v>#DIV/0!</v>
      </c>
      <c r="AG278" s="141" t="e">
        <f t="shared" ca="1" si="555"/>
        <v>#DIV/0!</v>
      </c>
      <c r="AH278" s="141" t="e">
        <f t="shared" ca="1" si="555"/>
        <v>#DIV/0!</v>
      </c>
      <c r="AI278" s="141" t="e">
        <f t="shared" ca="1" si="555"/>
        <v>#DIV/0!</v>
      </c>
      <c r="AJ278" s="140"/>
    </row>
    <row r="279" spans="1:36">
      <c r="A279" s="140" t="e">
        <f ca="1"/>
        <v>#NAME?</v>
      </c>
      <c r="B279" s="140" t="e">
        <f ca="1"/>
        <v>#NAME?</v>
      </c>
      <c r="C279" s="140" t="e">
        <f ca="1"/>
        <v>#NAME?</v>
      </c>
      <c r="D279" s="140" t="e">
        <f ca="1"/>
        <v>#NAME?</v>
      </c>
      <c r="E279" s="140" t="e">
        <f ca="1"/>
        <v>#NAME?</v>
      </c>
      <c r="F279" s="140" t="e">
        <f ca="1"/>
        <v>#NAME?</v>
      </c>
      <c r="G279" s="140" t="e">
        <f ca="1"/>
        <v>#NAME?</v>
      </c>
      <c r="H279" s="140"/>
      <c r="I279" s="140">
        <f ca="1">SUMIFS('F20-2024'!I:I,'F20-2024'!$D:$D,$D279,'F20-2024'!$E:$E,$E279,'F20-2024'!$F:$F,$F279)</f>
        <v>0</v>
      </c>
      <c r="J279" s="140">
        <f ca="1">SUMIFS('F20-2024'!J:J,'F20-2024'!$D:$D,$D279,'F20-2024'!$E:$E,$E279,'F20-2024'!$F:$F,$F279)</f>
        <v>0</v>
      </c>
      <c r="K279" s="140">
        <f ca="1">SUMIFS('F20-2024'!K:K,'F20-2024'!$D:$D,$D279,'F20-2024'!$E:$E,$E279,'F20-2024'!$F:$F,$F279)</f>
        <v>0</v>
      </c>
      <c r="L279" s="140">
        <f ca="1">SUMIFS('F20-2024'!L:L,'F20-2024'!$D:$D,$D279,'F20-2024'!$E:$E,$E279,'F20-2024'!$F:$F,$F279)</f>
        <v>0</v>
      </c>
      <c r="M279" s="140">
        <f ca="1">SUMIFS('F20-2024'!M:M,'F20-2024'!$D:$D,$D279,'F20-2024'!$E:$E,$E279,'F20-2024'!$F:$F,$F279)</f>
        <v>0</v>
      </c>
      <c r="N279" s="140">
        <f ca="1">SUMIFS('F20-2024'!N:N,'F20-2024'!$D:$D,$D279,'F20-2024'!$E:$E,$E279,'F20-2024'!$F:$F,$F279)</f>
        <v>0</v>
      </c>
      <c r="O279" s="140">
        <f ca="1">SUMIFS('F20-2024'!O:O,'F20-2024'!$D:$D,$D279,'F20-2024'!$E:$E,$E279,'F20-2024'!$F:$F,$F279)</f>
        <v>0</v>
      </c>
      <c r="P279" s="140">
        <f ca="1">SUMIFS('F20-2024'!P:P,'F20-2024'!$D:$D,$D279,'F20-2024'!$E:$E,$E279,'F20-2024'!$F:$F,$F279)</f>
        <v>0</v>
      </c>
      <c r="Q279" s="140">
        <f ca="1">SUMIFS('F20-2024'!Q:Q,'F20-2024'!$D:$D,$D279,'F20-2024'!$E:$E,$E279,'F20-2024'!$F:$F,$F279)</f>
        <v>0</v>
      </c>
      <c r="R279" s="140">
        <f ca="1">SUMIFS('F20-2024'!R:R,'F20-2024'!$D:$D,$D279,'F20-2024'!$E:$E,$E279,'F20-2024'!$F:$F,$F279)</f>
        <v>0</v>
      </c>
      <c r="S279" s="140">
        <f ca="1">SUMIFS('F20-2024'!S:S,'F20-2024'!$D:$D,$D279,'F20-2024'!$E:$E,$E279,'F20-2024'!$F:$F,$F279)</f>
        <v>0</v>
      </c>
      <c r="T279" s="140">
        <f ca="1">SUMIFS('F20-2024'!T:T,'F20-2024'!$D:$D,$D279,'F20-2024'!$E:$E,$E279,'F20-2024'!$F:$F,$F279)</f>
        <v>0</v>
      </c>
      <c r="U279" s="140">
        <f ca="1">SUMIFS('F20-2024'!U:U,'F20-2024'!$D:$D,$D279,'F20-2024'!$E:$E,$E279,'F20-2024'!$F:$F,$F279)</f>
        <v>0</v>
      </c>
      <c r="V279" s="140"/>
      <c r="W279" s="141" t="e">
        <f t="shared" ref="W279:AA279" ca="1" si="556">J279/$I279</f>
        <v>#DIV/0!</v>
      </c>
      <c r="X279" s="141" t="e">
        <f t="shared" ca="1" si="556"/>
        <v>#DIV/0!</v>
      </c>
      <c r="Y279" s="141" t="e">
        <f t="shared" ca="1" si="556"/>
        <v>#DIV/0!</v>
      </c>
      <c r="Z279" s="141" t="e">
        <f t="shared" ca="1" si="556"/>
        <v>#DIV/0!</v>
      </c>
      <c r="AA279" s="141" t="e">
        <f t="shared" ca="1" si="556"/>
        <v>#DIV/0!</v>
      </c>
      <c r="AB279" s="141"/>
      <c r="AC279" s="141" t="e">
        <f t="shared" ca="1" si="512"/>
        <v>#DIV/0!</v>
      </c>
      <c r="AD279" s="141" t="e">
        <f t="shared" ref="AD279:AI279" ca="1" si="557">O279/$I279</f>
        <v>#DIV/0!</v>
      </c>
      <c r="AE279" s="141" t="e">
        <f t="shared" ca="1" si="557"/>
        <v>#DIV/0!</v>
      </c>
      <c r="AF279" s="141" t="e">
        <f t="shared" ca="1" si="557"/>
        <v>#DIV/0!</v>
      </c>
      <c r="AG279" s="141" t="e">
        <f t="shared" ca="1" si="557"/>
        <v>#DIV/0!</v>
      </c>
      <c r="AH279" s="141" t="e">
        <f t="shared" ca="1" si="557"/>
        <v>#DIV/0!</v>
      </c>
      <c r="AI279" s="141" t="e">
        <f t="shared" ca="1" si="557"/>
        <v>#DIV/0!</v>
      </c>
      <c r="AJ279" s="140"/>
    </row>
    <row r="280" spans="1:36">
      <c r="A280" s="140" t="e">
        <f ca="1"/>
        <v>#NAME?</v>
      </c>
      <c r="B280" s="140" t="e">
        <f ca="1"/>
        <v>#NAME?</v>
      </c>
      <c r="C280" s="140" t="e">
        <f ca="1"/>
        <v>#NAME?</v>
      </c>
      <c r="D280" s="140" t="e">
        <f ca="1"/>
        <v>#NAME?</v>
      </c>
      <c r="E280" s="140" t="e">
        <f ca="1"/>
        <v>#NAME?</v>
      </c>
      <c r="F280" s="140" t="e">
        <f ca="1"/>
        <v>#NAME?</v>
      </c>
      <c r="G280" s="140" t="e">
        <f ca="1"/>
        <v>#NAME?</v>
      </c>
      <c r="H280" s="140"/>
      <c r="I280" s="140">
        <f ca="1">SUMIFS('F20-2024'!I:I,'F20-2024'!$D:$D,$D280,'F20-2024'!$E:$E,$E280,'F20-2024'!$F:$F,$F280)</f>
        <v>0</v>
      </c>
      <c r="J280" s="140">
        <f ca="1">SUMIFS('F20-2024'!J:J,'F20-2024'!$D:$D,$D280,'F20-2024'!$E:$E,$E280,'F20-2024'!$F:$F,$F280)</f>
        <v>0</v>
      </c>
      <c r="K280" s="140">
        <f ca="1">SUMIFS('F20-2024'!K:K,'F20-2024'!$D:$D,$D280,'F20-2024'!$E:$E,$E280,'F20-2024'!$F:$F,$F280)</f>
        <v>0</v>
      </c>
      <c r="L280" s="140">
        <f ca="1">SUMIFS('F20-2024'!L:L,'F20-2024'!$D:$D,$D280,'F20-2024'!$E:$E,$E280,'F20-2024'!$F:$F,$F280)</f>
        <v>0</v>
      </c>
      <c r="M280" s="140">
        <f ca="1">SUMIFS('F20-2024'!M:M,'F20-2024'!$D:$D,$D280,'F20-2024'!$E:$E,$E280,'F20-2024'!$F:$F,$F280)</f>
        <v>0</v>
      </c>
      <c r="N280" s="140">
        <f ca="1">SUMIFS('F20-2024'!N:N,'F20-2024'!$D:$D,$D280,'F20-2024'!$E:$E,$E280,'F20-2024'!$F:$F,$F280)</f>
        <v>0</v>
      </c>
      <c r="O280" s="140">
        <f ca="1">SUMIFS('F20-2024'!O:O,'F20-2024'!$D:$D,$D280,'F20-2024'!$E:$E,$E280,'F20-2024'!$F:$F,$F280)</f>
        <v>0</v>
      </c>
      <c r="P280" s="140">
        <f ca="1">SUMIFS('F20-2024'!P:P,'F20-2024'!$D:$D,$D280,'F20-2024'!$E:$E,$E280,'F20-2024'!$F:$F,$F280)</f>
        <v>0</v>
      </c>
      <c r="Q280" s="140">
        <f ca="1">SUMIFS('F20-2024'!Q:Q,'F20-2024'!$D:$D,$D280,'F20-2024'!$E:$E,$E280,'F20-2024'!$F:$F,$F280)</f>
        <v>0</v>
      </c>
      <c r="R280" s="140">
        <f ca="1">SUMIFS('F20-2024'!R:R,'F20-2024'!$D:$D,$D280,'F20-2024'!$E:$E,$E280,'F20-2024'!$F:$F,$F280)</f>
        <v>0</v>
      </c>
      <c r="S280" s="140">
        <f ca="1">SUMIFS('F20-2024'!S:S,'F20-2024'!$D:$D,$D280,'F20-2024'!$E:$E,$E280,'F20-2024'!$F:$F,$F280)</f>
        <v>0</v>
      </c>
      <c r="T280" s="140">
        <f ca="1">SUMIFS('F20-2024'!T:T,'F20-2024'!$D:$D,$D280,'F20-2024'!$E:$E,$E280,'F20-2024'!$F:$F,$F280)</f>
        <v>0</v>
      </c>
      <c r="U280" s="140">
        <f ca="1">SUMIFS('F20-2024'!U:U,'F20-2024'!$D:$D,$D280,'F20-2024'!$E:$E,$E280,'F20-2024'!$F:$F,$F280)</f>
        <v>0</v>
      </c>
      <c r="V280" s="140"/>
      <c r="W280" s="141" t="e">
        <f t="shared" ref="W280:AA280" ca="1" si="558">J280/$I280</f>
        <v>#DIV/0!</v>
      </c>
      <c r="X280" s="141" t="e">
        <f t="shared" ca="1" si="558"/>
        <v>#DIV/0!</v>
      </c>
      <c r="Y280" s="141" t="e">
        <f t="shared" ca="1" si="558"/>
        <v>#DIV/0!</v>
      </c>
      <c r="Z280" s="141" t="e">
        <f t="shared" ca="1" si="558"/>
        <v>#DIV/0!</v>
      </c>
      <c r="AA280" s="141" t="e">
        <f t="shared" ca="1" si="558"/>
        <v>#DIV/0!</v>
      </c>
      <c r="AB280" s="141"/>
      <c r="AC280" s="141" t="e">
        <f t="shared" ca="1" si="512"/>
        <v>#DIV/0!</v>
      </c>
      <c r="AD280" s="141" t="e">
        <f t="shared" ref="AD280:AI280" ca="1" si="559">O280/$I280</f>
        <v>#DIV/0!</v>
      </c>
      <c r="AE280" s="141" t="e">
        <f t="shared" ca="1" si="559"/>
        <v>#DIV/0!</v>
      </c>
      <c r="AF280" s="141" t="e">
        <f t="shared" ca="1" si="559"/>
        <v>#DIV/0!</v>
      </c>
      <c r="AG280" s="141" t="e">
        <f t="shared" ca="1" si="559"/>
        <v>#DIV/0!</v>
      </c>
      <c r="AH280" s="141" t="e">
        <f t="shared" ca="1" si="559"/>
        <v>#DIV/0!</v>
      </c>
      <c r="AI280" s="141" t="e">
        <f t="shared" ca="1" si="559"/>
        <v>#DIV/0!</v>
      </c>
      <c r="AJ280" s="140"/>
    </row>
    <row r="281" spans="1:36">
      <c r="A281" s="140" t="e">
        <f ca="1"/>
        <v>#NAME?</v>
      </c>
      <c r="B281" s="140" t="e">
        <f ca="1"/>
        <v>#NAME?</v>
      </c>
      <c r="C281" s="140" t="e">
        <f ca="1"/>
        <v>#NAME?</v>
      </c>
      <c r="D281" s="140" t="e">
        <f ca="1"/>
        <v>#NAME?</v>
      </c>
      <c r="E281" s="140" t="e">
        <f ca="1"/>
        <v>#NAME?</v>
      </c>
      <c r="F281" s="140" t="e">
        <f ca="1"/>
        <v>#NAME?</v>
      </c>
      <c r="G281" s="140" t="e">
        <f ca="1"/>
        <v>#NAME?</v>
      </c>
      <c r="H281" s="140"/>
      <c r="I281" s="140">
        <f ca="1">SUMIFS('F20-2024'!I:I,'F20-2024'!$D:$D,$D281,'F20-2024'!$E:$E,$E281,'F20-2024'!$F:$F,$F281)</f>
        <v>0</v>
      </c>
      <c r="J281" s="140">
        <f ca="1">SUMIFS('F20-2024'!J:J,'F20-2024'!$D:$D,$D281,'F20-2024'!$E:$E,$E281,'F20-2024'!$F:$F,$F281)</f>
        <v>0</v>
      </c>
      <c r="K281" s="140">
        <f ca="1">SUMIFS('F20-2024'!K:K,'F20-2024'!$D:$D,$D281,'F20-2024'!$E:$E,$E281,'F20-2024'!$F:$F,$F281)</f>
        <v>0</v>
      </c>
      <c r="L281" s="140">
        <f ca="1">SUMIFS('F20-2024'!L:L,'F20-2024'!$D:$D,$D281,'F20-2024'!$E:$E,$E281,'F20-2024'!$F:$F,$F281)</f>
        <v>0</v>
      </c>
      <c r="M281" s="140">
        <f ca="1">SUMIFS('F20-2024'!M:M,'F20-2024'!$D:$D,$D281,'F20-2024'!$E:$E,$E281,'F20-2024'!$F:$F,$F281)</f>
        <v>0</v>
      </c>
      <c r="N281" s="140">
        <f ca="1">SUMIFS('F20-2024'!N:N,'F20-2024'!$D:$D,$D281,'F20-2024'!$E:$E,$E281,'F20-2024'!$F:$F,$F281)</f>
        <v>0</v>
      </c>
      <c r="O281" s="140">
        <f ca="1">SUMIFS('F20-2024'!O:O,'F20-2024'!$D:$D,$D281,'F20-2024'!$E:$E,$E281,'F20-2024'!$F:$F,$F281)</f>
        <v>0</v>
      </c>
      <c r="P281" s="140">
        <f ca="1">SUMIFS('F20-2024'!P:P,'F20-2024'!$D:$D,$D281,'F20-2024'!$E:$E,$E281,'F20-2024'!$F:$F,$F281)</f>
        <v>0</v>
      </c>
      <c r="Q281" s="140">
        <f ca="1">SUMIFS('F20-2024'!Q:Q,'F20-2024'!$D:$D,$D281,'F20-2024'!$E:$E,$E281,'F20-2024'!$F:$F,$F281)</f>
        <v>0</v>
      </c>
      <c r="R281" s="140">
        <f ca="1">SUMIFS('F20-2024'!R:R,'F20-2024'!$D:$D,$D281,'F20-2024'!$E:$E,$E281,'F20-2024'!$F:$F,$F281)</f>
        <v>0</v>
      </c>
      <c r="S281" s="140">
        <f ca="1">SUMIFS('F20-2024'!S:S,'F20-2024'!$D:$D,$D281,'F20-2024'!$E:$E,$E281,'F20-2024'!$F:$F,$F281)</f>
        <v>0</v>
      </c>
      <c r="T281" s="140">
        <f ca="1">SUMIFS('F20-2024'!T:T,'F20-2024'!$D:$D,$D281,'F20-2024'!$E:$E,$E281,'F20-2024'!$F:$F,$F281)</f>
        <v>0</v>
      </c>
      <c r="U281" s="140">
        <f ca="1">SUMIFS('F20-2024'!U:U,'F20-2024'!$D:$D,$D281,'F20-2024'!$E:$E,$E281,'F20-2024'!$F:$F,$F281)</f>
        <v>0</v>
      </c>
      <c r="V281" s="140"/>
      <c r="W281" s="141" t="e">
        <f t="shared" ref="W281:AA281" ca="1" si="560">J281/$I281</f>
        <v>#DIV/0!</v>
      </c>
      <c r="X281" s="141" t="e">
        <f t="shared" ca="1" si="560"/>
        <v>#DIV/0!</v>
      </c>
      <c r="Y281" s="141" t="e">
        <f t="shared" ca="1" si="560"/>
        <v>#DIV/0!</v>
      </c>
      <c r="Z281" s="141" t="e">
        <f t="shared" ca="1" si="560"/>
        <v>#DIV/0!</v>
      </c>
      <c r="AA281" s="141" t="e">
        <f t="shared" ca="1" si="560"/>
        <v>#DIV/0!</v>
      </c>
      <c r="AB281" s="141"/>
      <c r="AC281" s="141" t="e">
        <f t="shared" ca="1" si="512"/>
        <v>#DIV/0!</v>
      </c>
      <c r="AD281" s="141" t="e">
        <f t="shared" ref="AD281:AI281" ca="1" si="561">O281/$I281</f>
        <v>#DIV/0!</v>
      </c>
      <c r="AE281" s="141" t="e">
        <f t="shared" ca="1" si="561"/>
        <v>#DIV/0!</v>
      </c>
      <c r="AF281" s="141" t="e">
        <f t="shared" ca="1" si="561"/>
        <v>#DIV/0!</v>
      </c>
      <c r="AG281" s="141" t="e">
        <f t="shared" ca="1" si="561"/>
        <v>#DIV/0!</v>
      </c>
      <c r="AH281" s="141" t="e">
        <f t="shared" ca="1" si="561"/>
        <v>#DIV/0!</v>
      </c>
      <c r="AI281" s="141" t="e">
        <f t="shared" ca="1" si="561"/>
        <v>#DIV/0!</v>
      </c>
      <c r="AJ281" s="140"/>
    </row>
    <row r="282" spans="1:36">
      <c r="A282" s="140" t="e">
        <f ca="1"/>
        <v>#NAME?</v>
      </c>
      <c r="B282" s="140" t="e">
        <f ca="1"/>
        <v>#NAME?</v>
      </c>
      <c r="C282" s="140" t="e">
        <f ca="1"/>
        <v>#NAME?</v>
      </c>
      <c r="D282" s="140" t="e">
        <f ca="1"/>
        <v>#NAME?</v>
      </c>
      <c r="E282" s="140" t="e">
        <f ca="1"/>
        <v>#NAME?</v>
      </c>
      <c r="F282" s="140" t="e">
        <f ca="1"/>
        <v>#NAME?</v>
      </c>
      <c r="G282" s="140" t="e">
        <f ca="1"/>
        <v>#NAME?</v>
      </c>
      <c r="H282" s="140"/>
      <c r="I282" s="140">
        <f ca="1">SUMIFS('F20-2024'!I:I,'F20-2024'!$D:$D,$D282,'F20-2024'!$E:$E,$E282,'F20-2024'!$F:$F,$F282)</f>
        <v>0</v>
      </c>
      <c r="J282" s="140">
        <f ca="1">SUMIFS('F20-2024'!J:J,'F20-2024'!$D:$D,$D282,'F20-2024'!$E:$E,$E282,'F20-2024'!$F:$F,$F282)</f>
        <v>0</v>
      </c>
      <c r="K282" s="140">
        <f ca="1">SUMIFS('F20-2024'!K:K,'F20-2024'!$D:$D,$D282,'F20-2024'!$E:$E,$E282,'F20-2024'!$F:$F,$F282)</f>
        <v>0</v>
      </c>
      <c r="L282" s="140">
        <f ca="1">SUMIFS('F20-2024'!L:L,'F20-2024'!$D:$D,$D282,'F20-2024'!$E:$E,$E282,'F20-2024'!$F:$F,$F282)</f>
        <v>0</v>
      </c>
      <c r="M282" s="140">
        <f ca="1">SUMIFS('F20-2024'!M:M,'F20-2024'!$D:$D,$D282,'F20-2024'!$E:$E,$E282,'F20-2024'!$F:$F,$F282)</f>
        <v>0</v>
      </c>
      <c r="N282" s="140">
        <f ca="1">SUMIFS('F20-2024'!N:N,'F20-2024'!$D:$D,$D282,'F20-2024'!$E:$E,$E282,'F20-2024'!$F:$F,$F282)</f>
        <v>0</v>
      </c>
      <c r="O282" s="140">
        <f ca="1">SUMIFS('F20-2024'!O:O,'F20-2024'!$D:$D,$D282,'F20-2024'!$E:$E,$E282,'F20-2024'!$F:$F,$F282)</f>
        <v>0</v>
      </c>
      <c r="P282" s="140">
        <f ca="1">SUMIFS('F20-2024'!P:P,'F20-2024'!$D:$D,$D282,'F20-2024'!$E:$E,$E282,'F20-2024'!$F:$F,$F282)</f>
        <v>0</v>
      </c>
      <c r="Q282" s="140">
        <f ca="1">SUMIFS('F20-2024'!Q:Q,'F20-2024'!$D:$D,$D282,'F20-2024'!$E:$E,$E282,'F20-2024'!$F:$F,$F282)</f>
        <v>0</v>
      </c>
      <c r="R282" s="140">
        <f ca="1">SUMIFS('F20-2024'!R:R,'F20-2024'!$D:$D,$D282,'F20-2024'!$E:$E,$E282,'F20-2024'!$F:$F,$F282)</f>
        <v>0</v>
      </c>
      <c r="S282" s="140">
        <f ca="1">SUMIFS('F20-2024'!S:S,'F20-2024'!$D:$D,$D282,'F20-2024'!$E:$E,$E282,'F20-2024'!$F:$F,$F282)</f>
        <v>0</v>
      </c>
      <c r="T282" s="140">
        <f ca="1">SUMIFS('F20-2024'!T:T,'F20-2024'!$D:$D,$D282,'F20-2024'!$E:$E,$E282,'F20-2024'!$F:$F,$F282)</f>
        <v>0</v>
      </c>
      <c r="U282" s="140">
        <f ca="1">SUMIFS('F20-2024'!U:U,'F20-2024'!$D:$D,$D282,'F20-2024'!$E:$E,$E282,'F20-2024'!$F:$F,$F282)</f>
        <v>0</v>
      </c>
      <c r="V282" s="140"/>
      <c r="W282" s="141" t="e">
        <f t="shared" ref="W282:AA282" ca="1" si="562">J282/$I282</f>
        <v>#DIV/0!</v>
      </c>
      <c r="X282" s="141" t="e">
        <f t="shared" ca="1" si="562"/>
        <v>#DIV/0!</v>
      </c>
      <c r="Y282" s="141" t="e">
        <f t="shared" ca="1" si="562"/>
        <v>#DIV/0!</v>
      </c>
      <c r="Z282" s="141" t="e">
        <f t="shared" ca="1" si="562"/>
        <v>#DIV/0!</v>
      </c>
      <c r="AA282" s="141" t="e">
        <f t="shared" ca="1" si="562"/>
        <v>#DIV/0!</v>
      </c>
      <c r="AB282" s="141"/>
      <c r="AC282" s="141" t="e">
        <f t="shared" ca="1" si="512"/>
        <v>#DIV/0!</v>
      </c>
      <c r="AD282" s="141" t="e">
        <f t="shared" ref="AD282:AI282" ca="1" si="563">O282/$I282</f>
        <v>#DIV/0!</v>
      </c>
      <c r="AE282" s="141" t="e">
        <f t="shared" ca="1" si="563"/>
        <v>#DIV/0!</v>
      </c>
      <c r="AF282" s="141" t="e">
        <f t="shared" ca="1" si="563"/>
        <v>#DIV/0!</v>
      </c>
      <c r="AG282" s="141" t="e">
        <f t="shared" ca="1" si="563"/>
        <v>#DIV/0!</v>
      </c>
      <c r="AH282" s="141" t="e">
        <f t="shared" ca="1" si="563"/>
        <v>#DIV/0!</v>
      </c>
      <c r="AI282" s="141" t="e">
        <f t="shared" ca="1" si="563"/>
        <v>#DIV/0!</v>
      </c>
      <c r="AJ282" s="140"/>
    </row>
    <row r="283" spans="1:36">
      <c r="A283" s="140" t="e">
        <f ca="1"/>
        <v>#NAME?</v>
      </c>
      <c r="B283" s="140" t="e">
        <f ca="1"/>
        <v>#NAME?</v>
      </c>
      <c r="C283" s="140" t="e">
        <f ca="1"/>
        <v>#NAME?</v>
      </c>
      <c r="D283" s="140" t="e">
        <f ca="1"/>
        <v>#NAME?</v>
      </c>
      <c r="E283" s="140" t="e">
        <f ca="1"/>
        <v>#NAME?</v>
      </c>
      <c r="F283" s="140" t="e">
        <f ca="1"/>
        <v>#NAME?</v>
      </c>
      <c r="G283" s="140" t="e">
        <f ca="1"/>
        <v>#NAME?</v>
      </c>
      <c r="H283" s="140"/>
      <c r="I283" s="140">
        <f ca="1">SUMIFS('F20-2024'!I:I,'F20-2024'!$D:$D,$D283,'F20-2024'!$E:$E,$E283,'F20-2024'!$F:$F,$F283)</f>
        <v>0</v>
      </c>
      <c r="J283" s="140">
        <f ca="1">SUMIFS('F20-2024'!J:J,'F20-2024'!$D:$D,$D283,'F20-2024'!$E:$E,$E283,'F20-2024'!$F:$F,$F283)</f>
        <v>0</v>
      </c>
      <c r="K283" s="140">
        <f ca="1">SUMIFS('F20-2024'!K:K,'F20-2024'!$D:$D,$D283,'F20-2024'!$E:$E,$E283,'F20-2024'!$F:$F,$F283)</f>
        <v>0</v>
      </c>
      <c r="L283" s="140">
        <f ca="1">SUMIFS('F20-2024'!L:L,'F20-2024'!$D:$D,$D283,'F20-2024'!$E:$E,$E283,'F20-2024'!$F:$F,$F283)</f>
        <v>0</v>
      </c>
      <c r="M283" s="140">
        <f ca="1">SUMIFS('F20-2024'!M:M,'F20-2024'!$D:$D,$D283,'F20-2024'!$E:$E,$E283,'F20-2024'!$F:$F,$F283)</f>
        <v>0</v>
      </c>
      <c r="N283" s="140">
        <f ca="1">SUMIFS('F20-2024'!N:N,'F20-2024'!$D:$D,$D283,'F20-2024'!$E:$E,$E283,'F20-2024'!$F:$F,$F283)</f>
        <v>0</v>
      </c>
      <c r="O283" s="140">
        <f ca="1">SUMIFS('F20-2024'!O:O,'F20-2024'!$D:$D,$D283,'F20-2024'!$E:$E,$E283,'F20-2024'!$F:$F,$F283)</f>
        <v>0</v>
      </c>
      <c r="P283" s="140">
        <f ca="1">SUMIFS('F20-2024'!P:P,'F20-2024'!$D:$D,$D283,'F20-2024'!$E:$E,$E283,'F20-2024'!$F:$F,$F283)</f>
        <v>0</v>
      </c>
      <c r="Q283" s="140">
        <f ca="1">SUMIFS('F20-2024'!Q:Q,'F20-2024'!$D:$D,$D283,'F20-2024'!$E:$E,$E283,'F20-2024'!$F:$F,$F283)</f>
        <v>0</v>
      </c>
      <c r="R283" s="140">
        <f ca="1">SUMIFS('F20-2024'!R:R,'F20-2024'!$D:$D,$D283,'F20-2024'!$E:$E,$E283,'F20-2024'!$F:$F,$F283)</f>
        <v>0</v>
      </c>
      <c r="S283" s="140">
        <f ca="1">SUMIFS('F20-2024'!S:S,'F20-2024'!$D:$D,$D283,'F20-2024'!$E:$E,$E283,'F20-2024'!$F:$F,$F283)</f>
        <v>0</v>
      </c>
      <c r="T283" s="140">
        <f ca="1">SUMIFS('F20-2024'!T:T,'F20-2024'!$D:$D,$D283,'F20-2024'!$E:$E,$E283,'F20-2024'!$F:$F,$F283)</f>
        <v>0</v>
      </c>
      <c r="U283" s="140">
        <f ca="1">SUMIFS('F20-2024'!U:U,'F20-2024'!$D:$D,$D283,'F20-2024'!$E:$E,$E283,'F20-2024'!$F:$F,$F283)</f>
        <v>0</v>
      </c>
      <c r="V283" s="140"/>
      <c r="W283" s="141" t="e">
        <f t="shared" ref="W283:AA283" ca="1" si="564">J283/$I283</f>
        <v>#DIV/0!</v>
      </c>
      <c r="X283" s="141" t="e">
        <f t="shared" ca="1" si="564"/>
        <v>#DIV/0!</v>
      </c>
      <c r="Y283" s="141" t="e">
        <f t="shared" ca="1" si="564"/>
        <v>#DIV/0!</v>
      </c>
      <c r="Z283" s="141" t="e">
        <f t="shared" ca="1" si="564"/>
        <v>#DIV/0!</v>
      </c>
      <c r="AA283" s="141" t="e">
        <f t="shared" ca="1" si="564"/>
        <v>#DIV/0!</v>
      </c>
      <c r="AB283" s="141"/>
      <c r="AC283" s="141" t="e">
        <f t="shared" ca="1" si="512"/>
        <v>#DIV/0!</v>
      </c>
      <c r="AD283" s="141" t="e">
        <f t="shared" ref="AD283:AI283" ca="1" si="565">O283/$I283</f>
        <v>#DIV/0!</v>
      </c>
      <c r="AE283" s="141" t="e">
        <f t="shared" ca="1" si="565"/>
        <v>#DIV/0!</v>
      </c>
      <c r="AF283" s="141" t="e">
        <f t="shared" ca="1" si="565"/>
        <v>#DIV/0!</v>
      </c>
      <c r="AG283" s="141" t="e">
        <f t="shared" ca="1" si="565"/>
        <v>#DIV/0!</v>
      </c>
      <c r="AH283" s="141" t="e">
        <f t="shared" ca="1" si="565"/>
        <v>#DIV/0!</v>
      </c>
      <c r="AI283" s="141" t="e">
        <f t="shared" ca="1" si="565"/>
        <v>#DIV/0!</v>
      </c>
      <c r="AJ283" s="140"/>
    </row>
    <row r="284" spans="1:36">
      <c r="A284" s="140" t="e">
        <f ca="1"/>
        <v>#NAME?</v>
      </c>
      <c r="B284" s="140" t="e">
        <f ca="1"/>
        <v>#NAME?</v>
      </c>
      <c r="C284" s="140" t="e">
        <f ca="1"/>
        <v>#NAME?</v>
      </c>
      <c r="D284" s="140" t="e">
        <f ca="1"/>
        <v>#NAME?</v>
      </c>
      <c r="E284" s="140" t="e">
        <f ca="1"/>
        <v>#NAME?</v>
      </c>
      <c r="F284" s="140" t="e">
        <f ca="1"/>
        <v>#NAME?</v>
      </c>
      <c r="G284" s="140" t="e">
        <f ca="1"/>
        <v>#NAME?</v>
      </c>
      <c r="H284" s="140"/>
      <c r="I284" s="140">
        <f ca="1">SUMIFS('F20-2024'!I:I,'F20-2024'!$D:$D,$D284,'F20-2024'!$E:$E,$E284,'F20-2024'!$F:$F,$F284)</f>
        <v>0</v>
      </c>
      <c r="J284" s="140">
        <f ca="1">SUMIFS('F20-2024'!J:J,'F20-2024'!$D:$D,$D284,'F20-2024'!$E:$E,$E284,'F20-2024'!$F:$F,$F284)</f>
        <v>0</v>
      </c>
      <c r="K284" s="140">
        <f ca="1">SUMIFS('F20-2024'!K:K,'F20-2024'!$D:$D,$D284,'F20-2024'!$E:$E,$E284,'F20-2024'!$F:$F,$F284)</f>
        <v>0</v>
      </c>
      <c r="L284" s="140">
        <f ca="1">SUMIFS('F20-2024'!L:L,'F20-2024'!$D:$D,$D284,'F20-2024'!$E:$E,$E284,'F20-2024'!$F:$F,$F284)</f>
        <v>0</v>
      </c>
      <c r="M284" s="140">
        <f ca="1">SUMIFS('F20-2024'!M:M,'F20-2024'!$D:$D,$D284,'F20-2024'!$E:$E,$E284,'F20-2024'!$F:$F,$F284)</f>
        <v>0</v>
      </c>
      <c r="N284" s="140">
        <f ca="1">SUMIFS('F20-2024'!N:N,'F20-2024'!$D:$D,$D284,'F20-2024'!$E:$E,$E284,'F20-2024'!$F:$F,$F284)</f>
        <v>0</v>
      </c>
      <c r="O284" s="140">
        <f ca="1">SUMIFS('F20-2024'!O:O,'F20-2024'!$D:$D,$D284,'F20-2024'!$E:$E,$E284,'F20-2024'!$F:$F,$F284)</f>
        <v>0</v>
      </c>
      <c r="P284" s="140">
        <f ca="1">SUMIFS('F20-2024'!P:P,'F20-2024'!$D:$D,$D284,'F20-2024'!$E:$E,$E284,'F20-2024'!$F:$F,$F284)</f>
        <v>0</v>
      </c>
      <c r="Q284" s="140">
        <f ca="1">SUMIFS('F20-2024'!Q:Q,'F20-2024'!$D:$D,$D284,'F20-2024'!$E:$E,$E284,'F20-2024'!$F:$F,$F284)</f>
        <v>0</v>
      </c>
      <c r="R284" s="140">
        <f ca="1">SUMIFS('F20-2024'!R:R,'F20-2024'!$D:$D,$D284,'F20-2024'!$E:$E,$E284,'F20-2024'!$F:$F,$F284)</f>
        <v>0</v>
      </c>
      <c r="S284" s="140">
        <f ca="1">SUMIFS('F20-2024'!S:S,'F20-2024'!$D:$D,$D284,'F20-2024'!$E:$E,$E284,'F20-2024'!$F:$F,$F284)</f>
        <v>0</v>
      </c>
      <c r="T284" s="140">
        <f ca="1">SUMIFS('F20-2024'!T:T,'F20-2024'!$D:$D,$D284,'F20-2024'!$E:$E,$E284,'F20-2024'!$F:$F,$F284)</f>
        <v>0</v>
      </c>
      <c r="U284" s="140">
        <f ca="1">SUMIFS('F20-2024'!U:U,'F20-2024'!$D:$D,$D284,'F20-2024'!$E:$E,$E284,'F20-2024'!$F:$F,$F284)</f>
        <v>0</v>
      </c>
      <c r="V284" s="140"/>
      <c r="W284" s="141" t="e">
        <f t="shared" ref="W284:AA284" ca="1" si="566">J284/$I284</f>
        <v>#DIV/0!</v>
      </c>
      <c r="X284" s="141" t="e">
        <f t="shared" ca="1" si="566"/>
        <v>#DIV/0!</v>
      </c>
      <c r="Y284" s="141" t="e">
        <f t="shared" ca="1" si="566"/>
        <v>#DIV/0!</v>
      </c>
      <c r="Z284" s="141" t="e">
        <f t="shared" ca="1" si="566"/>
        <v>#DIV/0!</v>
      </c>
      <c r="AA284" s="141" t="e">
        <f t="shared" ca="1" si="566"/>
        <v>#DIV/0!</v>
      </c>
      <c r="AB284" s="141"/>
      <c r="AC284" s="141" t="e">
        <f t="shared" ca="1" si="512"/>
        <v>#DIV/0!</v>
      </c>
      <c r="AD284" s="141" t="e">
        <f t="shared" ref="AD284:AI284" ca="1" si="567">O284/$I284</f>
        <v>#DIV/0!</v>
      </c>
      <c r="AE284" s="141" t="e">
        <f t="shared" ca="1" si="567"/>
        <v>#DIV/0!</v>
      </c>
      <c r="AF284" s="141" t="e">
        <f t="shared" ca="1" si="567"/>
        <v>#DIV/0!</v>
      </c>
      <c r="AG284" s="141" t="e">
        <f t="shared" ca="1" si="567"/>
        <v>#DIV/0!</v>
      </c>
      <c r="AH284" s="141" t="e">
        <f t="shared" ca="1" si="567"/>
        <v>#DIV/0!</v>
      </c>
      <c r="AI284" s="141" t="e">
        <f t="shared" ca="1" si="567"/>
        <v>#DIV/0!</v>
      </c>
      <c r="AJ284" s="140"/>
    </row>
    <row r="285" spans="1:36">
      <c r="A285" s="140" t="e">
        <f ca="1"/>
        <v>#NAME?</v>
      </c>
      <c r="B285" s="140" t="e">
        <f ca="1"/>
        <v>#NAME?</v>
      </c>
      <c r="C285" s="140" t="e">
        <f ca="1"/>
        <v>#NAME?</v>
      </c>
      <c r="D285" s="140" t="e">
        <f ca="1"/>
        <v>#NAME?</v>
      </c>
      <c r="E285" s="140" t="e">
        <f ca="1"/>
        <v>#NAME?</v>
      </c>
      <c r="F285" s="140" t="e">
        <f ca="1"/>
        <v>#NAME?</v>
      </c>
      <c r="G285" s="140" t="e">
        <f ca="1"/>
        <v>#NAME?</v>
      </c>
      <c r="H285" s="140"/>
      <c r="I285" s="140">
        <f ca="1">SUMIFS('F20-2024'!I:I,'F20-2024'!$D:$D,$D285,'F20-2024'!$E:$E,$E285,'F20-2024'!$F:$F,$F285)</f>
        <v>0</v>
      </c>
      <c r="J285" s="140">
        <f ca="1">SUMIFS('F20-2024'!J:J,'F20-2024'!$D:$D,$D285,'F20-2024'!$E:$E,$E285,'F20-2024'!$F:$F,$F285)</f>
        <v>0</v>
      </c>
      <c r="K285" s="140">
        <f ca="1">SUMIFS('F20-2024'!K:K,'F20-2024'!$D:$D,$D285,'F20-2024'!$E:$E,$E285,'F20-2024'!$F:$F,$F285)</f>
        <v>0</v>
      </c>
      <c r="L285" s="140">
        <f ca="1">SUMIFS('F20-2024'!L:L,'F20-2024'!$D:$D,$D285,'F20-2024'!$E:$E,$E285,'F20-2024'!$F:$F,$F285)</f>
        <v>0</v>
      </c>
      <c r="M285" s="140">
        <f ca="1">SUMIFS('F20-2024'!M:M,'F20-2024'!$D:$D,$D285,'F20-2024'!$E:$E,$E285,'F20-2024'!$F:$F,$F285)</f>
        <v>0</v>
      </c>
      <c r="N285" s="140">
        <f ca="1">SUMIFS('F20-2024'!N:N,'F20-2024'!$D:$D,$D285,'F20-2024'!$E:$E,$E285,'F20-2024'!$F:$F,$F285)</f>
        <v>0</v>
      </c>
      <c r="O285" s="140">
        <f ca="1">SUMIFS('F20-2024'!O:O,'F20-2024'!$D:$D,$D285,'F20-2024'!$E:$E,$E285,'F20-2024'!$F:$F,$F285)</f>
        <v>0</v>
      </c>
      <c r="P285" s="140">
        <f ca="1">SUMIFS('F20-2024'!P:P,'F20-2024'!$D:$D,$D285,'F20-2024'!$E:$E,$E285,'F20-2024'!$F:$F,$F285)</f>
        <v>0</v>
      </c>
      <c r="Q285" s="140">
        <f ca="1">SUMIFS('F20-2024'!Q:Q,'F20-2024'!$D:$D,$D285,'F20-2024'!$E:$E,$E285,'F20-2024'!$F:$F,$F285)</f>
        <v>0</v>
      </c>
      <c r="R285" s="140">
        <f ca="1">SUMIFS('F20-2024'!R:R,'F20-2024'!$D:$D,$D285,'F20-2024'!$E:$E,$E285,'F20-2024'!$F:$F,$F285)</f>
        <v>0</v>
      </c>
      <c r="S285" s="140">
        <f ca="1">SUMIFS('F20-2024'!S:S,'F20-2024'!$D:$D,$D285,'F20-2024'!$E:$E,$E285,'F20-2024'!$F:$F,$F285)</f>
        <v>0</v>
      </c>
      <c r="T285" s="140">
        <f ca="1">SUMIFS('F20-2024'!T:T,'F20-2024'!$D:$D,$D285,'F20-2024'!$E:$E,$E285,'F20-2024'!$F:$F,$F285)</f>
        <v>0</v>
      </c>
      <c r="U285" s="140">
        <f ca="1">SUMIFS('F20-2024'!U:U,'F20-2024'!$D:$D,$D285,'F20-2024'!$E:$E,$E285,'F20-2024'!$F:$F,$F285)</f>
        <v>0</v>
      </c>
      <c r="V285" s="140"/>
      <c r="W285" s="141" t="e">
        <f t="shared" ref="W285:AA285" ca="1" si="568">J285/$I285</f>
        <v>#DIV/0!</v>
      </c>
      <c r="X285" s="141" t="e">
        <f t="shared" ca="1" si="568"/>
        <v>#DIV/0!</v>
      </c>
      <c r="Y285" s="141" t="e">
        <f t="shared" ca="1" si="568"/>
        <v>#DIV/0!</v>
      </c>
      <c r="Z285" s="141" t="e">
        <f t="shared" ca="1" si="568"/>
        <v>#DIV/0!</v>
      </c>
      <c r="AA285" s="141" t="e">
        <f t="shared" ca="1" si="568"/>
        <v>#DIV/0!</v>
      </c>
      <c r="AB285" s="141"/>
      <c r="AC285" s="141" t="e">
        <f t="shared" ca="1" si="512"/>
        <v>#DIV/0!</v>
      </c>
      <c r="AD285" s="141" t="e">
        <f t="shared" ref="AD285:AI285" ca="1" si="569">O285/$I285</f>
        <v>#DIV/0!</v>
      </c>
      <c r="AE285" s="141" t="e">
        <f t="shared" ca="1" si="569"/>
        <v>#DIV/0!</v>
      </c>
      <c r="AF285" s="141" t="e">
        <f t="shared" ca="1" si="569"/>
        <v>#DIV/0!</v>
      </c>
      <c r="AG285" s="141" t="e">
        <f t="shared" ca="1" si="569"/>
        <v>#DIV/0!</v>
      </c>
      <c r="AH285" s="141" t="e">
        <f t="shared" ca="1" si="569"/>
        <v>#DIV/0!</v>
      </c>
      <c r="AI285" s="141" t="e">
        <f t="shared" ca="1" si="569"/>
        <v>#DIV/0!</v>
      </c>
      <c r="AJ285" s="140"/>
    </row>
    <row r="286" spans="1:36">
      <c r="A286" s="140" t="e">
        <f ca="1"/>
        <v>#NAME?</v>
      </c>
      <c r="B286" s="140" t="e">
        <f ca="1"/>
        <v>#NAME?</v>
      </c>
      <c r="C286" s="140" t="e">
        <f ca="1"/>
        <v>#NAME?</v>
      </c>
      <c r="D286" s="140" t="e">
        <f ca="1"/>
        <v>#NAME?</v>
      </c>
      <c r="E286" s="140" t="e">
        <f ca="1"/>
        <v>#NAME?</v>
      </c>
      <c r="F286" s="140" t="e">
        <f ca="1"/>
        <v>#NAME?</v>
      </c>
      <c r="G286" s="140" t="e">
        <f ca="1"/>
        <v>#NAME?</v>
      </c>
      <c r="H286" s="140"/>
      <c r="I286" s="140">
        <f ca="1">SUMIFS('F20-2024'!I:I,'F20-2024'!$D:$D,$D286,'F20-2024'!$E:$E,$E286,'F20-2024'!$F:$F,$F286)</f>
        <v>0</v>
      </c>
      <c r="J286" s="140">
        <f ca="1">SUMIFS('F20-2024'!J:J,'F20-2024'!$D:$D,$D286,'F20-2024'!$E:$E,$E286,'F20-2024'!$F:$F,$F286)</f>
        <v>0</v>
      </c>
      <c r="K286" s="140">
        <f ca="1">SUMIFS('F20-2024'!K:K,'F20-2024'!$D:$D,$D286,'F20-2024'!$E:$E,$E286,'F20-2024'!$F:$F,$F286)</f>
        <v>0</v>
      </c>
      <c r="L286" s="140">
        <f ca="1">SUMIFS('F20-2024'!L:L,'F20-2024'!$D:$D,$D286,'F20-2024'!$E:$E,$E286,'F20-2024'!$F:$F,$F286)</f>
        <v>0</v>
      </c>
      <c r="M286" s="140">
        <f ca="1">SUMIFS('F20-2024'!M:M,'F20-2024'!$D:$D,$D286,'F20-2024'!$E:$E,$E286,'F20-2024'!$F:$F,$F286)</f>
        <v>0</v>
      </c>
      <c r="N286" s="140">
        <f ca="1">SUMIFS('F20-2024'!N:N,'F20-2024'!$D:$D,$D286,'F20-2024'!$E:$E,$E286,'F20-2024'!$F:$F,$F286)</f>
        <v>0</v>
      </c>
      <c r="O286" s="140">
        <f ca="1">SUMIFS('F20-2024'!O:O,'F20-2024'!$D:$D,$D286,'F20-2024'!$E:$E,$E286,'F20-2024'!$F:$F,$F286)</f>
        <v>0</v>
      </c>
      <c r="P286" s="140">
        <f ca="1">SUMIFS('F20-2024'!P:P,'F20-2024'!$D:$D,$D286,'F20-2024'!$E:$E,$E286,'F20-2024'!$F:$F,$F286)</f>
        <v>0</v>
      </c>
      <c r="Q286" s="140">
        <f ca="1">SUMIFS('F20-2024'!Q:Q,'F20-2024'!$D:$D,$D286,'F20-2024'!$E:$E,$E286,'F20-2024'!$F:$F,$F286)</f>
        <v>0</v>
      </c>
      <c r="R286" s="140">
        <f ca="1">SUMIFS('F20-2024'!R:R,'F20-2024'!$D:$D,$D286,'F20-2024'!$E:$E,$E286,'F20-2024'!$F:$F,$F286)</f>
        <v>0</v>
      </c>
      <c r="S286" s="140">
        <f ca="1">SUMIFS('F20-2024'!S:S,'F20-2024'!$D:$D,$D286,'F20-2024'!$E:$E,$E286,'F20-2024'!$F:$F,$F286)</f>
        <v>0</v>
      </c>
      <c r="T286" s="140">
        <f ca="1">SUMIFS('F20-2024'!T:T,'F20-2024'!$D:$D,$D286,'F20-2024'!$E:$E,$E286,'F20-2024'!$F:$F,$F286)</f>
        <v>0</v>
      </c>
      <c r="U286" s="140">
        <f ca="1">SUMIFS('F20-2024'!U:U,'F20-2024'!$D:$D,$D286,'F20-2024'!$E:$E,$E286,'F20-2024'!$F:$F,$F286)</f>
        <v>0</v>
      </c>
      <c r="V286" s="140"/>
      <c r="W286" s="141" t="e">
        <f t="shared" ref="W286:AA286" ca="1" si="570">J286/$I286</f>
        <v>#DIV/0!</v>
      </c>
      <c r="X286" s="141" t="e">
        <f t="shared" ca="1" si="570"/>
        <v>#DIV/0!</v>
      </c>
      <c r="Y286" s="141" t="e">
        <f t="shared" ca="1" si="570"/>
        <v>#DIV/0!</v>
      </c>
      <c r="Z286" s="141" t="e">
        <f t="shared" ca="1" si="570"/>
        <v>#DIV/0!</v>
      </c>
      <c r="AA286" s="141" t="e">
        <f t="shared" ca="1" si="570"/>
        <v>#DIV/0!</v>
      </c>
      <c r="AB286" s="141"/>
      <c r="AC286" s="141" t="e">
        <f t="shared" ca="1" si="512"/>
        <v>#DIV/0!</v>
      </c>
      <c r="AD286" s="141" t="e">
        <f t="shared" ref="AD286:AI286" ca="1" si="571">O286/$I286</f>
        <v>#DIV/0!</v>
      </c>
      <c r="AE286" s="141" t="e">
        <f t="shared" ca="1" si="571"/>
        <v>#DIV/0!</v>
      </c>
      <c r="AF286" s="141" t="e">
        <f t="shared" ca="1" si="571"/>
        <v>#DIV/0!</v>
      </c>
      <c r="AG286" s="141" t="e">
        <f t="shared" ca="1" si="571"/>
        <v>#DIV/0!</v>
      </c>
      <c r="AH286" s="141" t="e">
        <f t="shared" ca="1" si="571"/>
        <v>#DIV/0!</v>
      </c>
      <c r="AI286" s="141" t="e">
        <f t="shared" ca="1" si="571"/>
        <v>#DIV/0!</v>
      </c>
      <c r="AJ286" s="140"/>
    </row>
    <row r="287" spans="1:36">
      <c r="A287" s="140" t="e">
        <f ca="1"/>
        <v>#NAME?</v>
      </c>
      <c r="B287" s="140" t="e">
        <f ca="1"/>
        <v>#NAME?</v>
      </c>
      <c r="C287" s="140" t="e">
        <f ca="1"/>
        <v>#NAME?</v>
      </c>
      <c r="D287" s="140" t="e">
        <f ca="1"/>
        <v>#NAME?</v>
      </c>
      <c r="E287" s="140" t="e">
        <f ca="1"/>
        <v>#NAME?</v>
      </c>
      <c r="F287" s="140" t="e">
        <f ca="1"/>
        <v>#NAME?</v>
      </c>
      <c r="G287" s="140" t="e">
        <f ca="1"/>
        <v>#NAME?</v>
      </c>
      <c r="H287" s="140"/>
      <c r="I287" s="140">
        <f ca="1">SUMIFS('F20-2024'!I:I,'F20-2024'!$D:$D,$D287,'F20-2024'!$E:$E,$E287,'F20-2024'!$F:$F,$F287)</f>
        <v>0</v>
      </c>
      <c r="J287" s="140">
        <f ca="1">SUMIFS('F20-2024'!J:J,'F20-2024'!$D:$D,$D287,'F20-2024'!$E:$E,$E287,'F20-2024'!$F:$F,$F287)</f>
        <v>0</v>
      </c>
      <c r="K287" s="140">
        <f ca="1">SUMIFS('F20-2024'!K:K,'F20-2024'!$D:$D,$D287,'F20-2024'!$E:$E,$E287,'F20-2024'!$F:$F,$F287)</f>
        <v>0</v>
      </c>
      <c r="L287" s="140">
        <f ca="1">SUMIFS('F20-2024'!L:L,'F20-2024'!$D:$D,$D287,'F20-2024'!$E:$E,$E287,'F20-2024'!$F:$F,$F287)</f>
        <v>0</v>
      </c>
      <c r="M287" s="140">
        <f ca="1">SUMIFS('F20-2024'!M:M,'F20-2024'!$D:$D,$D287,'F20-2024'!$E:$E,$E287,'F20-2024'!$F:$F,$F287)</f>
        <v>0</v>
      </c>
      <c r="N287" s="140">
        <f ca="1">SUMIFS('F20-2024'!N:N,'F20-2024'!$D:$D,$D287,'F20-2024'!$E:$E,$E287,'F20-2024'!$F:$F,$F287)</f>
        <v>0</v>
      </c>
      <c r="O287" s="140">
        <f ca="1">SUMIFS('F20-2024'!O:O,'F20-2024'!$D:$D,$D287,'F20-2024'!$E:$E,$E287,'F20-2024'!$F:$F,$F287)</f>
        <v>0</v>
      </c>
      <c r="P287" s="140">
        <f ca="1">SUMIFS('F20-2024'!P:P,'F20-2024'!$D:$D,$D287,'F20-2024'!$E:$E,$E287,'F20-2024'!$F:$F,$F287)</f>
        <v>0</v>
      </c>
      <c r="Q287" s="140">
        <f ca="1">SUMIFS('F20-2024'!Q:Q,'F20-2024'!$D:$D,$D287,'F20-2024'!$E:$E,$E287,'F20-2024'!$F:$F,$F287)</f>
        <v>0</v>
      </c>
      <c r="R287" s="140">
        <f ca="1">SUMIFS('F20-2024'!R:R,'F20-2024'!$D:$D,$D287,'F20-2024'!$E:$E,$E287,'F20-2024'!$F:$F,$F287)</f>
        <v>0</v>
      </c>
      <c r="S287" s="140">
        <f ca="1">SUMIFS('F20-2024'!S:S,'F20-2024'!$D:$D,$D287,'F20-2024'!$E:$E,$E287,'F20-2024'!$F:$F,$F287)</f>
        <v>0</v>
      </c>
      <c r="T287" s="140">
        <f ca="1">SUMIFS('F20-2024'!T:T,'F20-2024'!$D:$D,$D287,'F20-2024'!$E:$E,$E287,'F20-2024'!$F:$F,$F287)</f>
        <v>0</v>
      </c>
      <c r="U287" s="140">
        <f ca="1">SUMIFS('F20-2024'!U:U,'F20-2024'!$D:$D,$D287,'F20-2024'!$E:$E,$E287,'F20-2024'!$F:$F,$F287)</f>
        <v>0</v>
      </c>
      <c r="V287" s="140"/>
      <c r="W287" s="141" t="e">
        <f t="shared" ref="W287:AA287" ca="1" si="572">J287/$I287</f>
        <v>#DIV/0!</v>
      </c>
      <c r="X287" s="141" t="e">
        <f t="shared" ca="1" si="572"/>
        <v>#DIV/0!</v>
      </c>
      <c r="Y287" s="141" t="e">
        <f t="shared" ca="1" si="572"/>
        <v>#DIV/0!</v>
      </c>
      <c r="Z287" s="141" t="e">
        <f t="shared" ca="1" si="572"/>
        <v>#DIV/0!</v>
      </c>
      <c r="AA287" s="141" t="e">
        <f t="shared" ca="1" si="572"/>
        <v>#DIV/0!</v>
      </c>
      <c r="AB287" s="141"/>
      <c r="AC287" s="141" t="e">
        <f t="shared" ca="1" si="512"/>
        <v>#DIV/0!</v>
      </c>
      <c r="AD287" s="141" t="e">
        <f t="shared" ref="AD287:AI287" ca="1" si="573">O287/$I287</f>
        <v>#DIV/0!</v>
      </c>
      <c r="AE287" s="141" t="e">
        <f t="shared" ca="1" si="573"/>
        <v>#DIV/0!</v>
      </c>
      <c r="AF287" s="141" t="e">
        <f t="shared" ca="1" si="573"/>
        <v>#DIV/0!</v>
      </c>
      <c r="AG287" s="141" t="e">
        <f t="shared" ca="1" si="573"/>
        <v>#DIV/0!</v>
      </c>
      <c r="AH287" s="141" t="e">
        <f t="shared" ca="1" si="573"/>
        <v>#DIV/0!</v>
      </c>
      <c r="AI287" s="141" t="e">
        <f t="shared" ca="1" si="573"/>
        <v>#DIV/0!</v>
      </c>
      <c r="AJ287" s="140"/>
    </row>
    <row r="288" spans="1:36">
      <c r="A288" s="140" t="e">
        <f ca="1"/>
        <v>#NAME?</v>
      </c>
      <c r="B288" s="140" t="e">
        <f ca="1"/>
        <v>#NAME?</v>
      </c>
      <c r="C288" s="140" t="e">
        <f ca="1"/>
        <v>#NAME?</v>
      </c>
      <c r="D288" s="140" t="e">
        <f ca="1"/>
        <v>#NAME?</v>
      </c>
      <c r="E288" s="140" t="e">
        <f ca="1"/>
        <v>#NAME?</v>
      </c>
      <c r="F288" s="140" t="e">
        <f ca="1"/>
        <v>#NAME?</v>
      </c>
      <c r="G288" s="140" t="e">
        <f ca="1"/>
        <v>#NAME?</v>
      </c>
      <c r="H288" s="140"/>
      <c r="I288" s="140">
        <f ca="1">SUMIFS('F20-2024'!I:I,'F20-2024'!$D:$D,$D288,'F20-2024'!$E:$E,$E288,'F20-2024'!$F:$F,$F288)</f>
        <v>0</v>
      </c>
      <c r="J288" s="140">
        <f ca="1">SUMIFS('F20-2024'!J:J,'F20-2024'!$D:$D,$D288,'F20-2024'!$E:$E,$E288,'F20-2024'!$F:$F,$F288)</f>
        <v>0</v>
      </c>
      <c r="K288" s="140">
        <f ca="1">SUMIFS('F20-2024'!K:K,'F20-2024'!$D:$D,$D288,'F20-2024'!$E:$E,$E288,'F20-2024'!$F:$F,$F288)</f>
        <v>0</v>
      </c>
      <c r="L288" s="140">
        <f ca="1">SUMIFS('F20-2024'!L:L,'F20-2024'!$D:$D,$D288,'F20-2024'!$E:$E,$E288,'F20-2024'!$F:$F,$F288)</f>
        <v>0</v>
      </c>
      <c r="M288" s="140">
        <f ca="1">SUMIFS('F20-2024'!M:M,'F20-2024'!$D:$D,$D288,'F20-2024'!$E:$E,$E288,'F20-2024'!$F:$F,$F288)</f>
        <v>0</v>
      </c>
      <c r="N288" s="140">
        <f ca="1">SUMIFS('F20-2024'!N:N,'F20-2024'!$D:$D,$D288,'F20-2024'!$E:$E,$E288,'F20-2024'!$F:$F,$F288)</f>
        <v>0</v>
      </c>
      <c r="O288" s="140">
        <f ca="1">SUMIFS('F20-2024'!O:O,'F20-2024'!$D:$D,$D288,'F20-2024'!$E:$E,$E288,'F20-2024'!$F:$F,$F288)</f>
        <v>0</v>
      </c>
      <c r="P288" s="140">
        <f ca="1">SUMIFS('F20-2024'!P:P,'F20-2024'!$D:$D,$D288,'F20-2024'!$E:$E,$E288,'F20-2024'!$F:$F,$F288)</f>
        <v>0</v>
      </c>
      <c r="Q288" s="140">
        <f ca="1">SUMIFS('F20-2024'!Q:Q,'F20-2024'!$D:$D,$D288,'F20-2024'!$E:$E,$E288,'F20-2024'!$F:$F,$F288)</f>
        <v>0</v>
      </c>
      <c r="R288" s="140">
        <f ca="1">SUMIFS('F20-2024'!R:R,'F20-2024'!$D:$D,$D288,'F20-2024'!$E:$E,$E288,'F20-2024'!$F:$F,$F288)</f>
        <v>0</v>
      </c>
      <c r="S288" s="140">
        <f ca="1">SUMIFS('F20-2024'!S:S,'F20-2024'!$D:$D,$D288,'F20-2024'!$E:$E,$E288,'F20-2024'!$F:$F,$F288)</f>
        <v>0</v>
      </c>
      <c r="T288" s="140">
        <f ca="1">SUMIFS('F20-2024'!T:T,'F20-2024'!$D:$D,$D288,'F20-2024'!$E:$E,$E288,'F20-2024'!$F:$F,$F288)</f>
        <v>0</v>
      </c>
      <c r="U288" s="140">
        <f ca="1">SUMIFS('F20-2024'!U:U,'F20-2024'!$D:$D,$D288,'F20-2024'!$E:$E,$E288,'F20-2024'!$F:$F,$F288)</f>
        <v>0</v>
      </c>
      <c r="V288" s="140"/>
      <c r="W288" s="141" t="e">
        <f t="shared" ref="W288:AA288" ca="1" si="574">J288/$I288</f>
        <v>#DIV/0!</v>
      </c>
      <c r="X288" s="141" t="e">
        <f t="shared" ca="1" si="574"/>
        <v>#DIV/0!</v>
      </c>
      <c r="Y288" s="141" t="e">
        <f t="shared" ca="1" si="574"/>
        <v>#DIV/0!</v>
      </c>
      <c r="Z288" s="141" t="e">
        <f t="shared" ca="1" si="574"/>
        <v>#DIV/0!</v>
      </c>
      <c r="AA288" s="141" t="e">
        <f t="shared" ca="1" si="574"/>
        <v>#DIV/0!</v>
      </c>
      <c r="AB288" s="141"/>
      <c r="AC288" s="141" t="e">
        <f t="shared" ca="1" si="512"/>
        <v>#DIV/0!</v>
      </c>
      <c r="AD288" s="141" t="e">
        <f t="shared" ref="AD288:AI288" ca="1" si="575">O288/$I288</f>
        <v>#DIV/0!</v>
      </c>
      <c r="AE288" s="141" t="e">
        <f t="shared" ca="1" si="575"/>
        <v>#DIV/0!</v>
      </c>
      <c r="AF288" s="141" t="e">
        <f t="shared" ca="1" si="575"/>
        <v>#DIV/0!</v>
      </c>
      <c r="AG288" s="141" t="e">
        <f t="shared" ca="1" si="575"/>
        <v>#DIV/0!</v>
      </c>
      <c r="AH288" s="141" t="e">
        <f t="shared" ca="1" si="575"/>
        <v>#DIV/0!</v>
      </c>
      <c r="AI288" s="141" t="e">
        <f t="shared" ca="1" si="575"/>
        <v>#DIV/0!</v>
      </c>
      <c r="AJ288" s="140"/>
    </row>
    <row r="289" spans="1:36">
      <c r="A289" s="140" t="e">
        <f ca="1"/>
        <v>#NAME?</v>
      </c>
      <c r="B289" s="140" t="e">
        <f ca="1"/>
        <v>#NAME?</v>
      </c>
      <c r="C289" s="140" t="e">
        <f ca="1"/>
        <v>#NAME?</v>
      </c>
      <c r="D289" s="140" t="e">
        <f ca="1"/>
        <v>#NAME?</v>
      </c>
      <c r="E289" s="140" t="e">
        <f ca="1"/>
        <v>#NAME?</v>
      </c>
      <c r="F289" s="140" t="e">
        <f ca="1"/>
        <v>#NAME?</v>
      </c>
      <c r="G289" s="140" t="e">
        <f ca="1"/>
        <v>#NAME?</v>
      </c>
      <c r="H289" s="140"/>
      <c r="I289" s="140">
        <f ca="1">SUMIFS('F20-2024'!I:I,'F20-2024'!$D:$D,$D289,'F20-2024'!$E:$E,$E289,'F20-2024'!$F:$F,$F289)</f>
        <v>0</v>
      </c>
      <c r="J289" s="140">
        <f ca="1">SUMIFS('F20-2024'!J:J,'F20-2024'!$D:$D,$D289,'F20-2024'!$E:$E,$E289,'F20-2024'!$F:$F,$F289)</f>
        <v>0</v>
      </c>
      <c r="K289" s="140">
        <f ca="1">SUMIFS('F20-2024'!K:K,'F20-2024'!$D:$D,$D289,'F20-2024'!$E:$E,$E289,'F20-2024'!$F:$F,$F289)</f>
        <v>0</v>
      </c>
      <c r="L289" s="140">
        <f ca="1">SUMIFS('F20-2024'!L:L,'F20-2024'!$D:$D,$D289,'F20-2024'!$E:$E,$E289,'F20-2024'!$F:$F,$F289)</f>
        <v>0</v>
      </c>
      <c r="M289" s="140">
        <f ca="1">SUMIFS('F20-2024'!M:M,'F20-2024'!$D:$D,$D289,'F20-2024'!$E:$E,$E289,'F20-2024'!$F:$F,$F289)</f>
        <v>0</v>
      </c>
      <c r="N289" s="140">
        <f ca="1">SUMIFS('F20-2024'!N:N,'F20-2024'!$D:$D,$D289,'F20-2024'!$E:$E,$E289,'F20-2024'!$F:$F,$F289)</f>
        <v>0</v>
      </c>
      <c r="O289" s="140">
        <f ca="1">SUMIFS('F20-2024'!O:O,'F20-2024'!$D:$D,$D289,'F20-2024'!$E:$E,$E289,'F20-2024'!$F:$F,$F289)</f>
        <v>0</v>
      </c>
      <c r="P289" s="140">
        <f ca="1">SUMIFS('F20-2024'!P:P,'F20-2024'!$D:$D,$D289,'F20-2024'!$E:$E,$E289,'F20-2024'!$F:$F,$F289)</f>
        <v>0</v>
      </c>
      <c r="Q289" s="140">
        <f ca="1">SUMIFS('F20-2024'!Q:Q,'F20-2024'!$D:$D,$D289,'F20-2024'!$E:$E,$E289,'F20-2024'!$F:$F,$F289)</f>
        <v>0</v>
      </c>
      <c r="R289" s="140">
        <f ca="1">SUMIFS('F20-2024'!R:R,'F20-2024'!$D:$D,$D289,'F20-2024'!$E:$E,$E289,'F20-2024'!$F:$F,$F289)</f>
        <v>0</v>
      </c>
      <c r="S289" s="140">
        <f ca="1">SUMIFS('F20-2024'!S:S,'F20-2024'!$D:$D,$D289,'F20-2024'!$E:$E,$E289,'F20-2024'!$F:$F,$F289)</f>
        <v>0</v>
      </c>
      <c r="T289" s="140">
        <f ca="1">SUMIFS('F20-2024'!T:T,'F20-2024'!$D:$D,$D289,'F20-2024'!$E:$E,$E289,'F20-2024'!$F:$F,$F289)</f>
        <v>0</v>
      </c>
      <c r="U289" s="140">
        <f ca="1">SUMIFS('F20-2024'!U:U,'F20-2024'!$D:$D,$D289,'F20-2024'!$E:$E,$E289,'F20-2024'!$F:$F,$F289)</f>
        <v>0</v>
      </c>
      <c r="V289" s="140"/>
      <c r="W289" s="141" t="e">
        <f t="shared" ref="W289:AA289" ca="1" si="576">J289/$I289</f>
        <v>#DIV/0!</v>
      </c>
      <c r="X289" s="141" t="e">
        <f t="shared" ca="1" si="576"/>
        <v>#DIV/0!</v>
      </c>
      <c r="Y289" s="141" t="e">
        <f t="shared" ca="1" si="576"/>
        <v>#DIV/0!</v>
      </c>
      <c r="Z289" s="141" t="e">
        <f t="shared" ca="1" si="576"/>
        <v>#DIV/0!</v>
      </c>
      <c r="AA289" s="141" t="e">
        <f t="shared" ca="1" si="576"/>
        <v>#DIV/0!</v>
      </c>
      <c r="AB289" s="141"/>
      <c r="AC289" s="141" t="e">
        <f t="shared" ca="1" si="512"/>
        <v>#DIV/0!</v>
      </c>
      <c r="AD289" s="141" t="e">
        <f t="shared" ref="AD289:AI289" ca="1" si="577">O289/$I289</f>
        <v>#DIV/0!</v>
      </c>
      <c r="AE289" s="141" t="e">
        <f t="shared" ca="1" si="577"/>
        <v>#DIV/0!</v>
      </c>
      <c r="AF289" s="141" t="e">
        <f t="shared" ca="1" si="577"/>
        <v>#DIV/0!</v>
      </c>
      <c r="AG289" s="141" t="e">
        <f t="shared" ca="1" si="577"/>
        <v>#DIV/0!</v>
      </c>
      <c r="AH289" s="141" t="e">
        <f t="shared" ca="1" si="577"/>
        <v>#DIV/0!</v>
      </c>
      <c r="AI289" s="141" t="e">
        <f t="shared" ca="1" si="577"/>
        <v>#DIV/0!</v>
      </c>
      <c r="AJ289" s="140"/>
    </row>
    <row r="290" spans="1:36">
      <c r="A290" s="140" t="e">
        <f ca="1"/>
        <v>#NAME?</v>
      </c>
      <c r="B290" s="140" t="e">
        <f ca="1"/>
        <v>#NAME?</v>
      </c>
      <c r="C290" s="140" t="e">
        <f ca="1"/>
        <v>#NAME?</v>
      </c>
      <c r="D290" s="140" t="e">
        <f ca="1"/>
        <v>#NAME?</v>
      </c>
      <c r="E290" s="140" t="e">
        <f ca="1"/>
        <v>#NAME?</v>
      </c>
      <c r="F290" s="140" t="e">
        <f ca="1"/>
        <v>#NAME?</v>
      </c>
      <c r="G290" s="140" t="e">
        <f ca="1"/>
        <v>#NAME?</v>
      </c>
      <c r="H290" s="140"/>
      <c r="I290" s="140">
        <f ca="1">SUMIFS('F20-2024'!I:I,'F20-2024'!$D:$D,$D290,'F20-2024'!$E:$E,$E290,'F20-2024'!$F:$F,$F290)</f>
        <v>0</v>
      </c>
      <c r="J290" s="140">
        <f ca="1">SUMIFS('F20-2024'!J:J,'F20-2024'!$D:$D,$D290,'F20-2024'!$E:$E,$E290,'F20-2024'!$F:$F,$F290)</f>
        <v>0</v>
      </c>
      <c r="K290" s="140">
        <f ca="1">SUMIFS('F20-2024'!K:K,'F20-2024'!$D:$D,$D290,'F20-2024'!$E:$E,$E290,'F20-2024'!$F:$F,$F290)</f>
        <v>0</v>
      </c>
      <c r="L290" s="140">
        <f ca="1">SUMIFS('F20-2024'!L:L,'F20-2024'!$D:$D,$D290,'F20-2024'!$E:$E,$E290,'F20-2024'!$F:$F,$F290)</f>
        <v>0</v>
      </c>
      <c r="M290" s="140">
        <f ca="1">SUMIFS('F20-2024'!M:M,'F20-2024'!$D:$D,$D290,'F20-2024'!$E:$E,$E290,'F20-2024'!$F:$F,$F290)</f>
        <v>0</v>
      </c>
      <c r="N290" s="140">
        <f ca="1">SUMIFS('F20-2024'!N:N,'F20-2024'!$D:$D,$D290,'F20-2024'!$E:$E,$E290,'F20-2024'!$F:$F,$F290)</f>
        <v>0</v>
      </c>
      <c r="O290" s="140">
        <f ca="1">SUMIFS('F20-2024'!O:O,'F20-2024'!$D:$D,$D290,'F20-2024'!$E:$E,$E290,'F20-2024'!$F:$F,$F290)</f>
        <v>0</v>
      </c>
      <c r="P290" s="140">
        <f ca="1">SUMIFS('F20-2024'!P:P,'F20-2024'!$D:$D,$D290,'F20-2024'!$E:$E,$E290,'F20-2024'!$F:$F,$F290)</f>
        <v>0</v>
      </c>
      <c r="Q290" s="140">
        <f ca="1">SUMIFS('F20-2024'!Q:Q,'F20-2024'!$D:$D,$D290,'F20-2024'!$E:$E,$E290,'F20-2024'!$F:$F,$F290)</f>
        <v>0</v>
      </c>
      <c r="R290" s="140">
        <f ca="1">SUMIFS('F20-2024'!R:R,'F20-2024'!$D:$D,$D290,'F20-2024'!$E:$E,$E290,'F20-2024'!$F:$F,$F290)</f>
        <v>0</v>
      </c>
      <c r="S290" s="140">
        <f ca="1">SUMIFS('F20-2024'!S:S,'F20-2024'!$D:$D,$D290,'F20-2024'!$E:$E,$E290,'F20-2024'!$F:$F,$F290)</f>
        <v>0</v>
      </c>
      <c r="T290" s="140">
        <f ca="1">SUMIFS('F20-2024'!T:T,'F20-2024'!$D:$D,$D290,'F20-2024'!$E:$E,$E290,'F20-2024'!$F:$F,$F290)</f>
        <v>0</v>
      </c>
      <c r="U290" s="140">
        <f ca="1">SUMIFS('F20-2024'!U:U,'F20-2024'!$D:$D,$D290,'F20-2024'!$E:$E,$E290,'F20-2024'!$F:$F,$F290)</f>
        <v>0</v>
      </c>
      <c r="V290" s="140"/>
      <c r="W290" s="141" t="e">
        <f t="shared" ref="W290:AA290" ca="1" si="578">J290/$I290</f>
        <v>#DIV/0!</v>
      </c>
      <c r="X290" s="141" t="e">
        <f t="shared" ca="1" si="578"/>
        <v>#DIV/0!</v>
      </c>
      <c r="Y290" s="141" t="e">
        <f t="shared" ca="1" si="578"/>
        <v>#DIV/0!</v>
      </c>
      <c r="Z290" s="141" t="e">
        <f t="shared" ca="1" si="578"/>
        <v>#DIV/0!</v>
      </c>
      <c r="AA290" s="141" t="e">
        <f t="shared" ca="1" si="578"/>
        <v>#DIV/0!</v>
      </c>
      <c r="AB290" s="141"/>
      <c r="AC290" s="141" t="e">
        <f t="shared" ca="1" si="512"/>
        <v>#DIV/0!</v>
      </c>
      <c r="AD290" s="141" t="e">
        <f t="shared" ref="AD290:AI290" ca="1" si="579">O290/$I290</f>
        <v>#DIV/0!</v>
      </c>
      <c r="AE290" s="141" t="e">
        <f t="shared" ca="1" si="579"/>
        <v>#DIV/0!</v>
      </c>
      <c r="AF290" s="141" t="e">
        <f t="shared" ca="1" si="579"/>
        <v>#DIV/0!</v>
      </c>
      <c r="AG290" s="141" t="e">
        <f t="shared" ca="1" si="579"/>
        <v>#DIV/0!</v>
      </c>
      <c r="AH290" s="141" t="e">
        <f t="shared" ca="1" si="579"/>
        <v>#DIV/0!</v>
      </c>
      <c r="AI290" s="141" t="e">
        <f t="shared" ca="1" si="579"/>
        <v>#DIV/0!</v>
      </c>
      <c r="AJ290" s="140"/>
    </row>
    <row r="291" spans="1:36">
      <c r="A291" s="140" t="e">
        <f ca="1"/>
        <v>#NAME?</v>
      </c>
      <c r="B291" s="140" t="e">
        <f ca="1"/>
        <v>#NAME?</v>
      </c>
      <c r="C291" s="140" t="e">
        <f ca="1"/>
        <v>#NAME?</v>
      </c>
      <c r="D291" s="140" t="e">
        <f ca="1"/>
        <v>#NAME?</v>
      </c>
      <c r="E291" s="140" t="e">
        <f ca="1"/>
        <v>#NAME?</v>
      </c>
      <c r="F291" s="140" t="e">
        <f ca="1"/>
        <v>#NAME?</v>
      </c>
      <c r="G291" s="140" t="e">
        <f ca="1"/>
        <v>#NAME?</v>
      </c>
      <c r="H291" s="140"/>
      <c r="I291" s="140">
        <f ca="1">SUMIFS('F20-2024'!I:I,'F20-2024'!$D:$D,$D291,'F20-2024'!$E:$E,$E291,'F20-2024'!$F:$F,$F291)</f>
        <v>0</v>
      </c>
      <c r="J291" s="140">
        <f ca="1">SUMIFS('F20-2024'!J:J,'F20-2024'!$D:$D,$D291,'F20-2024'!$E:$E,$E291,'F20-2024'!$F:$F,$F291)</f>
        <v>0</v>
      </c>
      <c r="K291" s="140">
        <f ca="1">SUMIFS('F20-2024'!K:K,'F20-2024'!$D:$D,$D291,'F20-2024'!$E:$E,$E291,'F20-2024'!$F:$F,$F291)</f>
        <v>0</v>
      </c>
      <c r="L291" s="140">
        <f ca="1">SUMIFS('F20-2024'!L:L,'F20-2024'!$D:$D,$D291,'F20-2024'!$E:$E,$E291,'F20-2024'!$F:$F,$F291)</f>
        <v>0</v>
      </c>
      <c r="M291" s="140">
        <f ca="1">SUMIFS('F20-2024'!M:M,'F20-2024'!$D:$D,$D291,'F20-2024'!$E:$E,$E291,'F20-2024'!$F:$F,$F291)</f>
        <v>0</v>
      </c>
      <c r="N291" s="140">
        <f ca="1">SUMIFS('F20-2024'!N:N,'F20-2024'!$D:$D,$D291,'F20-2024'!$E:$E,$E291,'F20-2024'!$F:$F,$F291)</f>
        <v>0</v>
      </c>
      <c r="O291" s="140">
        <f ca="1">SUMIFS('F20-2024'!O:O,'F20-2024'!$D:$D,$D291,'F20-2024'!$E:$E,$E291,'F20-2024'!$F:$F,$F291)</f>
        <v>0</v>
      </c>
      <c r="P291" s="140">
        <f ca="1">SUMIFS('F20-2024'!P:P,'F20-2024'!$D:$D,$D291,'F20-2024'!$E:$E,$E291,'F20-2024'!$F:$F,$F291)</f>
        <v>0</v>
      </c>
      <c r="Q291" s="140">
        <f ca="1">SUMIFS('F20-2024'!Q:Q,'F20-2024'!$D:$D,$D291,'F20-2024'!$E:$E,$E291,'F20-2024'!$F:$F,$F291)</f>
        <v>0</v>
      </c>
      <c r="R291" s="140">
        <f ca="1">SUMIFS('F20-2024'!R:R,'F20-2024'!$D:$D,$D291,'F20-2024'!$E:$E,$E291,'F20-2024'!$F:$F,$F291)</f>
        <v>0</v>
      </c>
      <c r="S291" s="140">
        <f ca="1">SUMIFS('F20-2024'!S:S,'F20-2024'!$D:$D,$D291,'F20-2024'!$E:$E,$E291,'F20-2024'!$F:$F,$F291)</f>
        <v>0</v>
      </c>
      <c r="T291" s="140">
        <f ca="1">SUMIFS('F20-2024'!T:T,'F20-2024'!$D:$D,$D291,'F20-2024'!$E:$E,$E291,'F20-2024'!$F:$F,$F291)</f>
        <v>0</v>
      </c>
      <c r="U291" s="140">
        <f ca="1">SUMIFS('F20-2024'!U:U,'F20-2024'!$D:$D,$D291,'F20-2024'!$E:$E,$E291,'F20-2024'!$F:$F,$F291)</f>
        <v>0</v>
      </c>
      <c r="V291" s="140"/>
      <c r="W291" s="141" t="e">
        <f t="shared" ref="W291:AA291" ca="1" si="580">J291/$I291</f>
        <v>#DIV/0!</v>
      </c>
      <c r="X291" s="141" t="e">
        <f t="shared" ca="1" si="580"/>
        <v>#DIV/0!</v>
      </c>
      <c r="Y291" s="141" t="e">
        <f t="shared" ca="1" si="580"/>
        <v>#DIV/0!</v>
      </c>
      <c r="Z291" s="141" t="e">
        <f t="shared" ca="1" si="580"/>
        <v>#DIV/0!</v>
      </c>
      <c r="AA291" s="141" t="e">
        <f t="shared" ca="1" si="580"/>
        <v>#DIV/0!</v>
      </c>
      <c r="AB291" s="141"/>
      <c r="AC291" s="141" t="e">
        <f t="shared" ca="1" si="512"/>
        <v>#DIV/0!</v>
      </c>
      <c r="AD291" s="141" t="e">
        <f t="shared" ref="AD291:AI291" ca="1" si="581">O291/$I291</f>
        <v>#DIV/0!</v>
      </c>
      <c r="AE291" s="141" t="e">
        <f t="shared" ca="1" si="581"/>
        <v>#DIV/0!</v>
      </c>
      <c r="AF291" s="141" t="e">
        <f t="shared" ca="1" si="581"/>
        <v>#DIV/0!</v>
      </c>
      <c r="AG291" s="141" t="e">
        <f t="shared" ca="1" si="581"/>
        <v>#DIV/0!</v>
      </c>
      <c r="AH291" s="141" t="e">
        <f t="shared" ca="1" si="581"/>
        <v>#DIV/0!</v>
      </c>
      <c r="AI291" s="141" t="e">
        <f t="shared" ca="1" si="581"/>
        <v>#DIV/0!</v>
      </c>
      <c r="AJ291" s="140"/>
    </row>
    <row r="292" spans="1:36">
      <c r="A292" s="140" t="e">
        <f ca="1"/>
        <v>#NAME?</v>
      </c>
      <c r="B292" s="140" t="e">
        <f ca="1"/>
        <v>#NAME?</v>
      </c>
      <c r="C292" s="140" t="e">
        <f ca="1"/>
        <v>#NAME?</v>
      </c>
      <c r="D292" s="140" t="e">
        <f ca="1"/>
        <v>#NAME?</v>
      </c>
      <c r="E292" s="140" t="e">
        <f ca="1"/>
        <v>#NAME?</v>
      </c>
      <c r="F292" s="140" t="e">
        <f ca="1"/>
        <v>#NAME?</v>
      </c>
      <c r="G292" s="140" t="e">
        <f ca="1"/>
        <v>#NAME?</v>
      </c>
      <c r="H292" s="140"/>
      <c r="I292" s="140">
        <f ca="1">SUMIFS('F20-2024'!I:I,'F20-2024'!$D:$D,$D292,'F20-2024'!$E:$E,$E292,'F20-2024'!$F:$F,$F292)</f>
        <v>0</v>
      </c>
      <c r="J292" s="140">
        <f ca="1">SUMIFS('F20-2024'!J:J,'F20-2024'!$D:$D,$D292,'F20-2024'!$E:$E,$E292,'F20-2024'!$F:$F,$F292)</f>
        <v>0</v>
      </c>
      <c r="K292" s="140">
        <f ca="1">SUMIFS('F20-2024'!K:K,'F20-2024'!$D:$D,$D292,'F20-2024'!$E:$E,$E292,'F20-2024'!$F:$F,$F292)</f>
        <v>0</v>
      </c>
      <c r="L292" s="140">
        <f ca="1">SUMIFS('F20-2024'!L:L,'F20-2024'!$D:$D,$D292,'F20-2024'!$E:$E,$E292,'F20-2024'!$F:$F,$F292)</f>
        <v>0</v>
      </c>
      <c r="M292" s="140">
        <f ca="1">SUMIFS('F20-2024'!M:M,'F20-2024'!$D:$D,$D292,'F20-2024'!$E:$E,$E292,'F20-2024'!$F:$F,$F292)</f>
        <v>0</v>
      </c>
      <c r="N292" s="140">
        <f ca="1">SUMIFS('F20-2024'!N:N,'F20-2024'!$D:$D,$D292,'F20-2024'!$E:$E,$E292,'F20-2024'!$F:$F,$F292)</f>
        <v>0</v>
      </c>
      <c r="O292" s="140">
        <f ca="1">SUMIFS('F20-2024'!O:O,'F20-2024'!$D:$D,$D292,'F20-2024'!$E:$E,$E292,'F20-2024'!$F:$F,$F292)</f>
        <v>0</v>
      </c>
      <c r="P292" s="140">
        <f ca="1">SUMIFS('F20-2024'!P:P,'F20-2024'!$D:$D,$D292,'F20-2024'!$E:$E,$E292,'F20-2024'!$F:$F,$F292)</f>
        <v>0</v>
      </c>
      <c r="Q292" s="140">
        <f ca="1">SUMIFS('F20-2024'!Q:Q,'F20-2024'!$D:$D,$D292,'F20-2024'!$E:$E,$E292,'F20-2024'!$F:$F,$F292)</f>
        <v>0</v>
      </c>
      <c r="R292" s="140">
        <f ca="1">SUMIFS('F20-2024'!R:R,'F20-2024'!$D:$D,$D292,'F20-2024'!$E:$E,$E292,'F20-2024'!$F:$F,$F292)</f>
        <v>0</v>
      </c>
      <c r="S292" s="140">
        <f ca="1">SUMIFS('F20-2024'!S:S,'F20-2024'!$D:$D,$D292,'F20-2024'!$E:$E,$E292,'F20-2024'!$F:$F,$F292)</f>
        <v>0</v>
      </c>
      <c r="T292" s="140">
        <f ca="1">SUMIFS('F20-2024'!T:T,'F20-2024'!$D:$D,$D292,'F20-2024'!$E:$E,$E292,'F20-2024'!$F:$F,$F292)</f>
        <v>0</v>
      </c>
      <c r="U292" s="140">
        <f ca="1">SUMIFS('F20-2024'!U:U,'F20-2024'!$D:$D,$D292,'F20-2024'!$E:$E,$E292,'F20-2024'!$F:$F,$F292)</f>
        <v>0</v>
      </c>
      <c r="V292" s="140"/>
      <c r="W292" s="141" t="e">
        <f t="shared" ref="W292:AA292" ca="1" si="582">J292/$I292</f>
        <v>#DIV/0!</v>
      </c>
      <c r="X292" s="141" t="e">
        <f t="shared" ca="1" si="582"/>
        <v>#DIV/0!</v>
      </c>
      <c r="Y292" s="141" t="e">
        <f t="shared" ca="1" si="582"/>
        <v>#DIV/0!</v>
      </c>
      <c r="Z292" s="141" t="e">
        <f t="shared" ca="1" si="582"/>
        <v>#DIV/0!</v>
      </c>
      <c r="AA292" s="141" t="e">
        <f t="shared" ca="1" si="582"/>
        <v>#DIV/0!</v>
      </c>
      <c r="AB292" s="141"/>
      <c r="AC292" s="141" t="e">
        <f t="shared" ca="1" si="512"/>
        <v>#DIV/0!</v>
      </c>
      <c r="AD292" s="141" t="e">
        <f t="shared" ref="AD292:AI292" ca="1" si="583">O292/$I292</f>
        <v>#DIV/0!</v>
      </c>
      <c r="AE292" s="141" t="e">
        <f t="shared" ca="1" si="583"/>
        <v>#DIV/0!</v>
      </c>
      <c r="AF292" s="141" t="e">
        <f t="shared" ca="1" si="583"/>
        <v>#DIV/0!</v>
      </c>
      <c r="AG292" s="141" t="e">
        <f t="shared" ca="1" si="583"/>
        <v>#DIV/0!</v>
      </c>
      <c r="AH292" s="141" t="e">
        <f t="shared" ca="1" si="583"/>
        <v>#DIV/0!</v>
      </c>
      <c r="AI292" s="141" t="e">
        <f t="shared" ca="1" si="583"/>
        <v>#DIV/0!</v>
      </c>
      <c r="AJ292" s="140"/>
    </row>
    <row r="293" spans="1:36">
      <c r="A293" s="140" t="e">
        <f ca="1"/>
        <v>#NAME?</v>
      </c>
      <c r="B293" s="140" t="e">
        <f ca="1"/>
        <v>#NAME?</v>
      </c>
      <c r="C293" s="140" t="e">
        <f ca="1"/>
        <v>#NAME?</v>
      </c>
      <c r="D293" s="140" t="e">
        <f ca="1"/>
        <v>#NAME?</v>
      </c>
      <c r="E293" s="140" t="e">
        <f ca="1"/>
        <v>#NAME?</v>
      </c>
      <c r="F293" s="140" t="e">
        <f ca="1"/>
        <v>#NAME?</v>
      </c>
      <c r="G293" s="140" t="e">
        <f ca="1"/>
        <v>#NAME?</v>
      </c>
      <c r="H293" s="140"/>
      <c r="I293" s="140">
        <f ca="1">SUMIFS('F20-2024'!I:I,'F20-2024'!$D:$D,$D293,'F20-2024'!$E:$E,$E293,'F20-2024'!$F:$F,$F293)</f>
        <v>0</v>
      </c>
      <c r="J293" s="140">
        <f ca="1">SUMIFS('F20-2024'!J:J,'F20-2024'!$D:$D,$D293,'F20-2024'!$E:$E,$E293,'F20-2024'!$F:$F,$F293)</f>
        <v>0</v>
      </c>
      <c r="K293" s="140">
        <f ca="1">SUMIFS('F20-2024'!K:K,'F20-2024'!$D:$D,$D293,'F20-2024'!$E:$E,$E293,'F20-2024'!$F:$F,$F293)</f>
        <v>0</v>
      </c>
      <c r="L293" s="140">
        <f ca="1">SUMIFS('F20-2024'!L:L,'F20-2024'!$D:$D,$D293,'F20-2024'!$E:$E,$E293,'F20-2024'!$F:$F,$F293)</f>
        <v>0</v>
      </c>
      <c r="M293" s="140">
        <f ca="1">SUMIFS('F20-2024'!M:M,'F20-2024'!$D:$D,$D293,'F20-2024'!$E:$E,$E293,'F20-2024'!$F:$F,$F293)</f>
        <v>0</v>
      </c>
      <c r="N293" s="140">
        <f ca="1">SUMIFS('F20-2024'!N:N,'F20-2024'!$D:$D,$D293,'F20-2024'!$E:$E,$E293,'F20-2024'!$F:$F,$F293)</f>
        <v>0</v>
      </c>
      <c r="O293" s="140">
        <f ca="1">SUMIFS('F20-2024'!O:O,'F20-2024'!$D:$D,$D293,'F20-2024'!$E:$E,$E293,'F20-2024'!$F:$F,$F293)</f>
        <v>0</v>
      </c>
      <c r="P293" s="140">
        <f ca="1">SUMIFS('F20-2024'!P:P,'F20-2024'!$D:$D,$D293,'F20-2024'!$E:$E,$E293,'F20-2024'!$F:$F,$F293)</f>
        <v>0</v>
      </c>
      <c r="Q293" s="140">
        <f ca="1">SUMIFS('F20-2024'!Q:Q,'F20-2024'!$D:$D,$D293,'F20-2024'!$E:$E,$E293,'F20-2024'!$F:$F,$F293)</f>
        <v>0</v>
      </c>
      <c r="R293" s="140">
        <f ca="1">SUMIFS('F20-2024'!R:R,'F20-2024'!$D:$D,$D293,'F20-2024'!$E:$E,$E293,'F20-2024'!$F:$F,$F293)</f>
        <v>0</v>
      </c>
      <c r="S293" s="140">
        <f ca="1">SUMIFS('F20-2024'!S:S,'F20-2024'!$D:$D,$D293,'F20-2024'!$E:$E,$E293,'F20-2024'!$F:$F,$F293)</f>
        <v>0</v>
      </c>
      <c r="T293" s="140">
        <f ca="1">SUMIFS('F20-2024'!T:T,'F20-2024'!$D:$D,$D293,'F20-2024'!$E:$E,$E293,'F20-2024'!$F:$F,$F293)</f>
        <v>0</v>
      </c>
      <c r="U293" s="140">
        <f ca="1">SUMIFS('F20-2024'!U:U,'F20-2024'!$D:$D,$D293,'F20-2024'!$E:$E,$E293,'F20-2024'!$F:$F,$F293)</f>
        <v>0</v>
      </c>
      <c r="V293" s="140"/>
      <c r="W293" s="141" t="e">
        <f t="shared" ref="W293:AA293" ca="1" si="584">J293/$I293</f>
        <v>#DIV/0!</v>
      </c>
      <c r="X293" s="141" t="e">
        <f t="shared" ca="1" si="584"/>
        <v>#DIV/0!</v>
      </c>
      <c r="Y293" s="141" t="e">
        <f t="shared" ca="1" si="584"/>
        <v>#DIV/0!</v>
      </c>
      <c r="Z293" s="141" t="e">
        <f t="shared" ca="1" si="584"/>
        <v>#DIV/0!</v>
      </c>
      <c r="AA293" s="141" t="e">
        <f t="shared" ca="1" si="584"/>
        <v>#DIV/0!</v>
      </c>
      <c r="AB293" s="141"/>
      <c r="AC293" s="141" t="e">
        <f t="shared" ca="1" si="512"/>
        <v>#DIV/0!</v>
      </c>
      <c r="AD293" s="141" t="e">
        <f t="shared" ref="AD293:AI293" ca="1" si="585">O293/$I293</f>
        <v>#DIV/0!</v>
      </c>
      <c r="AE293" s="141" t="e">
        <f t="shared" ca="1" si="585"/>
        <v>#DIV/0!</v>
      </c>
      <c r="AF293" s="141" t="e">
        <f t="shared" ca="1" si="585"/>
        <v>#DIV/0!</v>
      </c>
      <c r="AG293" s="141" t="e">
        <f t="shared" ca="1" si="585"/>
        <v>#DIV/0!</v>
      </c>
      <c r="AH293" s="141" t="e">
        <f t="shared" ca="1" si="585"/>
        <v>#DIV/0!</v>
      </c>
      <c r="AI293" s="141" t="e">
        <f t="shared" ca="1" si="585"/>
        <v>#DIV/0!</v>
      </c>
      <c r="AJ293" s="140"/>
    </row>
    <row r="294" spans="1:36">
      <c r="A294" s="140" t="e">
        <f ca="1"/>
        <v>#NAME?</v>
      </c>
      <c r="B294" s="140" t="e">
        <f ca="1"/>
        <v>#NAME?</v>
      </c>
      <c r="C294" s="140" t="e">
        <f ca="1"/>
        <v>#NAME?</v>
      </c>
      <c r="D294" s="140" t="e">
        <f ca="1"/>
        <v>#NAME?</v>
      </c>
      <c r="E294" s="140" t="e">
        <f ca="1"/>
        <v>#NAME?</v>
      </c>
      <c r="F294" s="140" t="e">
        <f ca="1"/>
        <v>#NAME?</v>
      </c>
      <c r="G294" s="140" t="e">
        <f ca="1"/>
        <v>#NAME?</v>
      </c>
      <c r="H294" s="140"/>
      <c r="I294" s="140">
        <f ca="1">SUMIFS('F20-2024'!I:I,'F20-2024'!$D:$D,$D294,'F20-2024'!$E:$E,$E294,'F20-2024'!$F:$F,$F294)</f>
        <v>0</v>
      </c>
      <c r="J294" s="140">
        <f ca="1">SUMIFS('F20-2024'!J:J,'F20-2024'!$D:$D,$D294,'F20-2024'!$E:$E,$E294,'F20-2024'!$F:$F,$F294)</f>
        <v>0</v>
      </c>
      <c r="K294" s="140">
        <f ca="1">SUMIFS('F20-2024'!K:K,'F20-2024'!$D:$D,$D294,'F20-2024'!$E:$E,$E294,'F20-2024'!$F:$F,$F294)</f>
        <v>0</v>
      </c>
      <c r="L294" s="140">
        <f ca="1">SUMIFS('F20-2024'!L:L,'F20-2024'!$D:$D,$D294,'F20-2024'!$E:$E,$E294,'F20-2024'!$F:$F,$F294)</f>
        <v>0</v>
      </c>
      <c r="M294" s="140">
        <f ca="1">SUMIFS('F20-2024'!M:M,'F20-2024'!$D:$D,$D294,'F20-2024'!$E:$E,$E294,'F20-2024'!$F:$F,$F294)</f>
        <v>0</v>
      </c>
      <c r="N294" s="140">
        <f ca="1">SUMIFS('F20-2024'!N:N,'F20-2024'!$D:$D,$D294,'F20-2024'!$E:$E,$E294,'F20-2024'!$F:$F,$F294)</f>
        <v>0</v>
      </c>
      <c r="O294" s="140">
        <f ca="1">SUMIFS('F20-2024'!O:O,'F20-2024'!$D:$D,$D294,'F20-2024'!$E:$E,$E294,'F20-2024'!$F:$F,$F294)</f>
        <v>0</v>
      </c>
      <c r="P294" s="140">
        <f ca="1">SUMIFS('F20-2024'!P:P,'F20-2024'!$D:$D,$D294,'F20-2024'!$E:$E,$E294,'F20-2024'!$F:$F,$F294)</f>
        <v>0</v>
      </c>
      <c r="Q294" s="140">
        <f ca="1">SUMIFS('F20-2024'!Q:Q,'F20-2024'!$D:$D,$D294,'F20-2024'!$E:$E,$E294,'F20-2024'!$F:$F,$F294)</f>
        <v>0</v>
      </c>
      <c r="R294" s="140">
        <f ca="1">SUMIFS('F20-2024'!R:R,'F20-2024'!$D:$D,$D294,'F20-2024'!$E:$E,$E294,'F20-2024'!$F:$F,$F294)</f>
        <v>0</v>
      </c>
      <c r="S294" s="140">
        <f ca="1">SUMIFS('F20-2024'!S:S,'F20-2024'!$D:$D,$D294,'F20-2024'!$E:$E,$E294,'F20-2024'!$F:$F,$F294)</f>
        <v>0</v>
      </c>
      <c r="T294" s="140">
        <f ca="1">SUMIFS('F20-2024'!T:T,'F20-2024'!$D:$D,$D294,'F20-2024'!$E:$E,$E294,'F20-2024'!$F:$F,$F294)</f>
        <v>0</v>
      </c>
      <c r="U294" s="140">
        <f ca="1">SUMIFS('F20-2024'!U:U,'F20-2024'!$D:$D,$D294,'F20-2024'!$E:$E,$E294,'F20-2024'!$F:$F,$F294)</f>
        <v>0</v>
      </c>
      <c r="V294" s="140"/>
      <c r="W294" s="141" t="e">
        <f t="shared" ref="W294:AA294" ca="1" si="586">J294/$I294</f>
        <v>#DIV/0!</v>
      </c>
      <c r="X294" s="141" t="e">
        <f t="shared" ca="1" si="586"/>
        <v>#DIV/0!</v>
      </c>
      <c r="Y294" s="141" t="e">
        <f t="shared" ca="1" si="586"/>
        <v>#DIV/0!</v>
      </c>
      <c r="Z294" s="141" t="e">
        <f t="shared" ca="1" si="586"/>
        <v>#DIV/0!</v>
      </c>
      <c r="AA294" s="141" t="e">
        <f t="shared" ca="1" si="586"/>
        <v>#DIV/0!</v>
      </c>
      <c r="AB294" s="141"/>
      <c r="AC294" s="141" t="e">
        <f t="shared" ca="1" si="512"/>
        <v>#DIV/0!</v>
      </c>
      <c r="AD294" s="141" t="e">
        <f t="shared" ref="AD294:AI294" ca="1" si="587">O294/$I294</f>
        <v>#DIV/0!</v>
      </c>
      <c r="AE294" s="141" t="e">
        <f t="shared" ca="1" si="587"/>
        <v>#DIV/0!</v>
      </c>
      <c r="AF294" s="141" t="e">
        <f t="shared" ca="1" si="587"/>
        <v>#DIV/0!</v>
      </c>
      <c r="AG294" s="141" t="e">
        <f t="shared" ca="1" si="587"/>
        <v>#DIV/0!</v>
      </c>
      <c r="AH294" s="141" t="e">
        <f t="shared" ca="1" si="587"/>
        <v>#DIV/0!</v>
      </c>
      <c r="AI294" s="141" t="e">
        <f t="shared" ca="1" si="587"/>
        <v>#DIV/0!</v>
      </c>
      <c r="AJ294" s="140"/>
    </row>
    <row r="295" spans="1:36">
      <c r="A295" s="140" t="e">
        <f ca="1"/>
        <v>#NAME?</v>
      </c>
      <c r="B295" s="140" t="e">
        <f ca="1"/>
        <v>#NAME?</v>
      </c>
      <c r="C295" s="140" t="e">
        <f ca="1"/>
        <v>#NAME?</v>
      </c>
      <c r="D295" s="140" t="e">
        <f ca="1"/>
        <v>#NAME?</v>
      </c>
      <c r="E295" s="140" t="e">
        <f ca="1"/>
        <v>#NAME?</v>
      </c>
      <c r="F295" s="140" t="e">
        <f ca="1"/>
        <v>#NAME?</v>
      </c>
      <c r="G295" s="140" t="e">
        <f ca="1"/>
        <v>#NAME?</v>
      </c>
      <c r="H295" s="140"/>
      <c r="I295" s="140">
        <f ca="1">SUMIFS('F20-2024'!I:I,'F20-2024'!$D:$D,$D295,'F20-2024'!$E:$E,$E295,'F20-2024'!$F:$F,$F295)</f>
        <v>0</v>
      </c>
      <c r="J295" s="140">
        <f ca="1">SUMIFS('F20-2024'!J:J,'F20-2024'!$D:$D,$D295,'F20-2024'!$E:$E,$E295,'F20-2024'!$F:$F,$F295)</f>
        <v>0</v>
      </c>
      <c r="K295" s="140">
        <f ca="1">SUMIFS('F20-2024'!K:K,'F20-2024'!$D:$D,$D295,'F20-2024'!$E:$E,$E295,'F20-2024'!$F:$F,$F295)</f>
        <v>0</v>
      </c>
      <c r="L295" s="140">
        <f ca="1">SUMIFS('F20-2024'!L:L,'F20-2024'!$D:$D,$D295,'F20-2024'!$E:$E,$E295,'F20-2024'!$F:$F,$F295)</f>
        <v>0</v>
      </c>
      <c r="M295" s="140">
        <f ca="1">SUMIFS('F20-2024'!M:M,'F20-2024'!$D:$D,$D295,'F20-2024'!$E:$E,$E295,'F20-2024'!$F:$F,$F295)</f>
        <v>0</v>
      </c>
      <c r="N295" s="140">
        <f ca="1">SUMIFS('F20-2024'!N:N,'F20-2024'!$D:$D,$D295,'F20-2024'!$E:$E,$E295,'F20-2024'!$F:$F,$F295)</f>
        <v>0</v>
      </c>
      <c r="O295" s="140">
        <f ca="1">SUMIFS('F20-2024'!O:O,'F20-2024'!$D:$D,$D295,'F20-2024'!$E:$E,$E295,'F20-2024'!$F:$F,$F295)</f>
        <v>0</v>
      </c>
      <c r="P295" s="140">
        <f ca="1">SUMIFS('F20-2024'!P:P,'F20-2024'!$D:$D,$D295,'F20-2024'!$E:$E,$E295,'F20-2024'!$F:$F,$F295)</f>
        <v>0</v>
      </c>
      <c r="Q295" s="140">
        <f ca="1">SUMIFS('F20-2024'!Q:Q,'F20-2024'!$D:$D,$D295,'F20-2024'!$E:$E,$E295,'F20-2024'!$F:$F,$F295)</f>
        <v>0</v>
      </c>
      <c r="R295" s="140">
        <f ca="1">SUMIFS('F20-2024'!R:R,'F20-2024'!$D:$D,$D295,'F20-2024'!$E:$E,$E295,'F20-2024'!$F:$F,$F295)</f>
        <v>0</v>
      </c>
      <c r="S295" s="140">
        <f ca="1">SUMIFS('F20-2024'!S:S,'F20-2024'!$D:$D,$D295,'F20-2024'!$E:$E,$E295,'F20-2024'!$F:$F,$F295)</f>
        <v>0</v>
      </c>
      <c r="T295" s="140">
        <f ca="1">SUMIFS('F20-2024'!T:T,'F20-2024'!$D:$D,$D295,'F20-2024'!$E:$E,$E295,'F20-2024'!$F:$F,$F295)</f>
        <v>0</v>
      </c>
      <c r="U295" s="140">
        <f ca="1">SUMIFS('F20-2024'!U:U,'F20-2024'!$D:$D,$D295,'F20-2024'!$E:$E,$E295,'F20-2024'!$F:$F,$F295)</f>
        <v>0</v>
      </c>
      <c r="V295" s="140"/>
      <c r="W295" s="141" t="e">
        <f t="shared" ref="W295:AA295" ca="1" si="588">J295/$I295</f>
        <v>#DIV/0!</v>
      </c>
      <c r="X295" s="141" t="e">
        <f t="shared" ca="1" si="588"/>
        <v>#DIV/0!</v>
      </c>
      <c r="Y295" s="141" t="e">
        <f t="shared" ca="1" si="588"/>
        <v>#DIV/0!</v>
      </c>
      <c r="Z295" s="141" t="e">
        <f t="shared" ca="1" si="588"/>
        <v>#DIV/0!</v>
      </c>
      <c r="AA295" s="141" t="e">
        <f t="shared" ca="1" si="588"/>
        <v>#DIV/0!</v>
      </c>
      <c r="AB295" s="141"/>
      <c r="AC295" s="141" t="e">
        <f t="shared" ca="1" si="512"/>
        <v>#DIV/0!</v>
      </c>
      <c r="AD295" s="141" t="e">
        <f t="shared" ref="AD295:AI295" ca="1" si="589">O295/$I295</f>
        <v>#DIV/0!</v>
      </c>
      <c r="AE295" s="141" t="e">
        <f t="shared" ca="1" si="589"/>
        <v>#DIV/0!</v>
      </c>
      <c r="AF295" s="141" t="e">
        <f t="shared" ca="1" si="589"/>
        <v>#DIV/0!</v>
      </c>
      <c r="AG295" s="141" t="e">
        <f t="shared" ca="1" si="589"/>
        <v>#DIV/0!</v>
      </c>
      <c r="AH295" s="141" t="e">
        <f t="shared" ca="1" si="589"/>
        <v>#DIV/0!</v>
      </c>
      <c r="AI295" s="141" t="e">
        <f t="shared" ca="1" si="589"/>
        <v>#DIV/0!</v>
      </c>
      <c r="AJ295" s="140"/>
    </row>
    <row r="296" spans="1:36">
      <c r="A296" s="140" t="e">
        <f ca="1"/>
        <v>#NAME?</v>
      </c>
      <c r="B296" s="140" t="e">
        <f ca="1"/>
        <v>#NAME?</v>
      </c>
      <c r="C296" s="140" t="e">
        <f ca="1"/>
        <v>#NAME?</v>
      </c>
      <c r="D296" s="140" t="e">
        <f ca="1"/>
        <v>#NAME?</v>
      </c>
      <c r="E296" s="140" t="e">
        <f ca="1"/>
        <v>#NAME?</v>
      </c>
      <c r="F296" s="140" t="e">
        <f ca="1"/>
        <v>#NAME?</v>
      </c>
      <c r="G296" s="140" t="e">
        <f ca="1"/>
        <v>#NAME?</v>
      </c>
      <c r="H296" s="140"/>
      <c r="I296" s="140">
        <f ca="1">SUMIFS('F20-2024'!I:I,'F20-2024'!$D:$D,$D296,'F20-2024'!$E:$E,$E296,'F20-2024'!$F:$F,$F296)</f>
        <v>0</v>
      </c>
      <c r="J296" s="140">
        <f ca="1">SUMIFS('F20-2024'!J:J,'F20-2024'!$D:$D,$D296,'F20-2024'!$E:$E,$E296,'F20-2024'!$F:$F,$F296)</f>
        <v>0</v>
      </c>
      <c r="K296" s="140">
        <f ca="1">SUMIFS('F20-2024'!K:K,'F20-2024'!$D:$D,$D296,'F20-2024'!$E:$E,$E296,'F20-2024'!$F:$F,$F296)</f>
        <v>0</v>
      </c>
      <c r="L296" s="140">
        <f ca="1">SUMIFS('F20-2024'!L:L,'F20-2024'!$D:$D,$D296,'F20-2024'!$E:$E,$E296,'F20-2024'!$F:$F,$F296)</f>
        <v>0</v>
      </c>
      <c r="M296" s="140">
        <f ca="1">SUMIFS('F20-2024'!M:M,'F20-2024'!$D:$D,$D296,'F20-2024'!$E:$E,$E296,'F20-2024'!$F:$F,$F296)</f>
        <v>0</v>
      </c>
      <c r="N296" s="140">
        <f ca="1">SUMIFS('F20-2024'!N:N,'F20-2024'!$D:$D,$D296,'F20-2024'!$E:$E,$E296,'F20-2024'!$F:$F,$F296)</f>
        <v>0</v>
      </c>
      <c r="O296" s="140">
        <f ca="1">SUMIFS('F20-2024'!O:O,'F20-2024'!$D:$D,$D296,'F20-2024'!$E:$E,$E296,'F20-2024'!$F:$F,$F296)</f>
        <v>0</v>
      </c>
      <c r="P296" s="140">
        <f ca="1">SUMIFS('F20-2024'!P:P,'F20-2024'!$D:$D,$D296,'F20-2024'!$E:$E,$E296,'F20-2024'!$F:$F,$F296)</f>
        <v>0</v>
      </c>
      <c r="Q296" s="140">
        <f ca="1">SUMIFS('F20-2024'!Q:Q,'F20-2024'!$D:$D,$D296,'F20-2024'!$E:$E,$E296,'F20-2024'!$F:$F,$F296)</f>
        <v>0</v>
      </c>
      <c r="R296" s="140">
        <f ca="1">SUMIFS('F20-2024'!R:R,'F20-2024'!$D:$D,$D296,'F20-2024'!$E:$E,$E296,'F20-2024'!$F:$F,$F296)</f>
        <v>0</v>
      </c>
      <c r="S296" s="140">
        <f ca="1">SUMIFS('F20-2024'!S:S,'F20-2024'!$D:$D,$D296,'F20-2024'!$E:$E,$E296,'F20-2024'!$F:$F,$F296)</f>
        <v>0</v>
      </c>
      <c r="T296" s="140">
        <f ca="1">SUMIFS('F20-2024'!T:T,'F20-2024'!$D:$D,$D296,'F20-2024'!$E:$E,$E296,'F20-2024'!$F:$F,$F296)</f>
        <v>0</v>
      </c>
      <c r="U296" s="140">
        <f ca="1">SUMIFS('F20-2024'!U:U,'F20-2024'!$D:$D,$D296,'F20-2024'!$E:$E,$E296,'F20-2024'!$F:$F,$F296)</f>
        <v>0</v>
      </c>
      <c r="V296" s="140"/>
      <c r="W296" s="141" t="e">
        <f t="shared" ref="W296:AA296" ca="1" si="590">J296/$I296</f>
        <v>#DIV/0!</v>
      </c>
      <c r="X296" s="141" t="e">
        <f t="shared" ca="1" si="590"/>
        <v>#DIV/0!</v>
      </c>
      <c r="Y296" s="141" t="e">
        <f t="shared" ca="1" si="590"/>
        <v>#DIV/0!</v>
      </c>
      <c r="Z296" s="141" t="e">
        <f t="shared" ca="1" si="590"/>
        <v>#DIV/0!</v>
      </c>
      <c r="AA296" s="141" t="e">
        <f t="shared" ca="1" si="590"/>
        <v>#DIV/0!</v>
      </c>
      <c r="AB296" s="141"/>
      <c r="AC296" s="141" t="e">
        <f t="shared" ca="1" si="512"/>
        <v>#DIV/0!</v>
      </c>
      <c r="AD296" s="141" t="e">
        <f t="shared" ref="AD296:AI296" ca="1" si="591">O296/$I296</f>
        <v>#DIV/0!</v>
      </c>
      <c r="AE296" s="141" t="e">
        <f t="shared" ca="1" si="591"/>
        <v>#DIV/0!</v>
      </c>
      <c r="AF296" s="141" t="e">
        <f t="shared" ca="1" si="591"/>
        <v>#DIV/0!</v>
      </c>
      <c r="AG296" s="141" t="e">
        <f t="shared" ca="1" si="591"/>
        <v>#DIV/0!</v>
      </c>
      <c r="AH296" s="141" t="e">
        <f t="shared" ca="1" si="591"/>
        <v>#DIV/0!</v>
      </c>
      <c r="AI296" s="141" t="e">
        <f t="shared" ca="1" si="591"/>
        <v>#DIV/0!</v>
      </c>
      <c r="AJ296" s="140"/>
    </row>
    <row r="297" spans="1:36">
      <c r="A297" s="140" t="e">
        <f ca="1"/>
        <v>#NAME?</v>
      </c>
      <c r="B297" s="140" t="e">
        <f ca="1"/>
        <v>#NAME?</v>
      </c>
      <c r="C297" s="140" t="e">
        <f ca="1"/>
        <v>#NAME?</v>
      </c>
      <c r="D297" s="140" t="e">
        <f ca="1"/>
        <v>#NAME?</v>
      </c>
      <c r="E297" s="140" t="e">
        <f ca="1"/>
        <v>#NAME?</v>
      </c>
      <c r="F297" s="140" t="e">
        <f ca="1"/>
        <v>#NAME?</v>
      </c>
      <c r="G297" s="140" t="e">
        <f ca="1"/>
        <v>#NAME?</v>
      </c>
      <c r="H297" s="140"/>
      <c r="I297" s="140">
        <f ca="1">SUMIFS('F20-2024'!I:I,'F20-2024'!$D:$D,$D297,'F20-2024'!$E:$E,$E297,'F20-2024'!$F:$F,$F297)</f>
        <v>0</v>
      </c>
      <c r="J297" s="140">
        <f ca="1">SUMIFS('F20-2024'!J:J,'F20-2024'!$D:$D,$D297,'F20-2024'!$E:$E,$E297,'F20-2024'!$F:$F,$F297)</f>
        <v>0</v>
      </c>
      <c r="K297" s="140">
        <f ca="1">SUMIFS('F20-2024'!K:K,'F20-2024'!$D:$D,$D297,'F20-2024'!$E:$E,$E297,'F20-2024'!$F:$F,$F297)</f>
        <v>0</v>
      </c>
      <c r="L297" s="140">
        <f ca="1">SUMIFS('F20-2024'!L:L,'F20-2024'!$D:$D,$D297,'F20-2024'!$E:$E,$E297,'F20-2024'!$F:$F,$F297)</f>
        <v>0</v>
      </c>
      <c r="M297" s="140">
        <f ca="1">SUMIFS('F20-2024'!M:M,'F20-2024'!$D:$D,$D297,'F20-2024'!$E:$E,$E297,'F20-2024'!$F:$F,$F297)</f>
        <v>0</v>
      </c>
      <c r="N297" s="140">
        <f ca="1">SUMIFS('F20-2024'!N:N,'F20-2024'!$D:$D,$D297,'F20-2024'!$E:$E,$E297,'F20-2024'!$F:$F,$F297)</f>
        <v>0</v>
      </c>
      <c r="O297" s="140">
        <f ca="1">SUMIFS('F20-2024'!O:O,'F20-2024'!$D:$D,$D297,'F20-2024'!$E:$E,$E297,'F20-2024'!$F:$F,$F297)</f>
        <v>0</v>
      </c>
      <c r="P297" s="140">
        <f ca="1">SUMIFS('F20-2024'!P:P,'F20-2024'!$D:$D,$D297,'F20-2024'!$E:$E,$E297,'F20-2024'!$F:$F,$F297)</f>
        <v>0</v>
      </c>
      <c r="Q297" s="140">
        <f ca="1">SUMIFS('F20-2024'!Q:Q,'F20-2024'!$D:$D,$D297,'F20-2024'!$E:$E,$E297,'F20-2024'!$F:$F,$F297)</f>
        <v>0</v>
      </c>
      <c r="R297" s="140">
        <f ca="1">SUMIFS('F20-2024'!R:R,'F20-2024'!$D:$D,$D297,'F20-2024'!$E:$E,$E297,'F20-2024'!$F:$F,$F297)</f>
        <v>0</v>
      </c>
      <c r="S297" s="140">
        <f ca="1">SUMIFS('F20-2024'!S:S,'F20-2024'!$D:$D,$D297,'F20-2024'!$E:$E,$E297,'F20-2024'!$F:$F,$F297)</f>
        <v>0</v>
      </c>
      <c r="T297" s="140">
        <f ca="1">SUMIFS('F20-2024'!T:T,'F20-2024'!$D:$D,$D297,'F20-2024'!$E:$E,$E297,'F20-2024'!$F:$F,$F297)</f>
        <v>0</v>
      </c>
      <c r="U297" s="140">
        <f ca="1">SUMIFS('F20-2024'!U:U,'F20-2024'!$D:$D,$D297,'F20-2024'!$E:$E,$E297,'F20-2024'!$F:$F,$F297)</f>
        <v>0</v>
      </c>
      <c r="V297" s="140"/>
      <c r="W297" s="141" t="e">
        <f t="shared" ref="W297:AA297" ca="1" si="592">J297/$I297</f>
        <v>#DIV/0!</v>
      </c>
      <c r="X297" s="141" t="e">
        <f t="shared" ca="1" si="592"/>
        <v>#DIV/0!</v>
      </c>
      <c r="Y297" s="141" t="e">
        <f t="shared" ca="1" si="592"/>
        <v>#DIV/0!</v>
      </c>
      <c r="Z297" s="141" t="e">
        <f t="shared" ca="1" si="592"/>
        <v>#DIV/0!</v>
      </c>
      <c r="AA297" s="141" t="e">
        <f t="shared" ca="1" si="592"/>
        <v>#DIV/0!</v>
      </c>
      <c r="AB297" s="141"/>
      <c r="AC297" s="141" t="e">
        <f t="shared" ca="1" si="512"/>
        <v>#DIV/0!</v>
      </c>
      <c r="AD297" s="141" t="e">
        <f t="shared" ref="AD297:AI297" ca="1" si="593">O297/$I297</f>
        <v>#DIV/0!</v>
      </c>
      <c r="AE297" s="141" t="e">
        <f t="shared" ca="1" si="593"/>
        <v>#DIV/0!</v>
      </c>
      <c r="AF297" s="141" t="e">
        <f t="shared" ca="1" si="593"/>
        <v>#DIV/0!</v>
      </c>
      <c r="AG297" s="141" t="e">
        <f t="shared" ca="1" si="593"/>
        <v>#DIV/0!</v>
      </c>
      <c r="AH297" s="141" t="e">
        <f t="shared" ca="1" si="593"/>
        <v>#DIV/0!</v>
      </c>
      <c r="AI297" s="141" t="e">
        <f t="shared" ca="1" si="593"/>
        <v>#DIV/0!</v>
      </c>
      <c r="AJ297" s="140"/>
    </row>
    <row r="298" spans="1:36">
      <c r="A298" s="140" t="e">
        <f ca="1"/>
        <v>#NAME?</v>
      </c>
      <c r="B298" s="140" t="e">
        <f ca="1"/>
        <v>#NAME?</v>
      </c>
      <c r="C298" s="140" t="e">
        <f ca="1"/>
        <v>#NAME?</v>
      </c>
      <c r="D298" s="140" t="e">
        <f ca="1"/>
        <v>#NAME?</v>
      </c>
      <c r="E298" s="140" t="e">
        <f ca="1"/>
        <v>#NAME?</v>
      </c>
      <c r="F298" s="140" t="e">
        <f ca="1"/>
        <v>#NAME?</v>
      </c>
      <c r="G298" s="140" t="e">
        <f ca="1"/>
        <v>#NAME?</v>
      </c>
      <c r="H298" s="140"/>
      <c r="I298" s="140">
        <f ca="1">SUMIFS('F20-2024'!I:I,'F20-2024'!$D:$D,$D298,'F20-2024'!$E:$E,$E298,'F20-2024'!$F:$F,$F298)</f>
        <v>0</v>
      </c>
      <c r="J298" s="140">
        <f ca="1">SUMIFS('F20-2024'!J:J,'F20-2024'!$D:$D,$D298,'F20-2024'!$E:$E,$E298,'F20-2024'!$F:$F,$F298)</f>
        <v>0</v>
      </c>
      <c r="K298" s="140">
        <f ca="1">SUMIFS('F20-2024'!K:K,'F20-2024'!$D:$D,$D298,'F20-2024'!$E:$E,$E298,'F20-2024'!$F:$F,$F298)</f>
        <v>0</v>
      </c>
      <c r="L298" s="140">
        <f ca="1">SUMIFS('F20-2024'!L:L,'F20-2024'!$D:$D,$D298,'F20-2024'!$E:$E,$E298,'F20-2024'!$F:$F,$F298)</f>
        <v>0</v>
      </c>
      <c r="M298" s="140">
        <f ca="1">SUMIFS('F20-2024'!M:M,'F20-2024'!$D:$D,$D298,'F20-2024'!$E:$E,$E298,'F20-2024'!$F:$F,$F298)</f>
        <v>0</v>
      </c>
      <c r="N298" s="140">
        <f ca="1">SUMIFS('F20-2024'!N:N,'F20-2024'!$D:$D,$D298,'F20-2024'!$E:$E,$E298,'F20-2024'!$F:$F,$F298)</f>
        <v>0</v>
      </c>
      <c r="O298" s="140">
        <f ca="1">SUMIFS('F20-2024'!O:O,'F20-2024'!$D:$D,$D298,'F20-2024'!$E:$E,$E298,'F20-2024'!$F:$F,$F298)</f>
        <v>0</v>
      </c>
      <c r="P298" s="140">
        <f ca="1">SUMIFS('F20-2024'!P:P,'F20-2024'!$D:$D,$D298,'F20-2024'!$E:$E,$E298,'F20-2024'!$F:$F,$F298)</f>
        <v>0</v>
      </c>
      <c r="Q298" s="140">
        <f ca="1">SUMIFS('F20-2024'!Q:Q,'F20-2024'!$D:$D,$D298,'F20-2024'!$E:$E,$E298,'F20-2024'!$F:$F,$F298)</f>
        <v>0</v>
      </c>
      <c r="R298" s="140">
        <f ca="1">SUMIFS('F20-2024'!R:R,'F20-2024'!$D:$D,$D298,'F20-2024'!$E:$E,$E298,'F20-2024'!$F:$F,$F298)</f>
        <v>0</v>
      </c>
      <c r="S298" s="140">
        <f ca="1">SUMIFS('F20-2024'!S:S,'F20-2024'!$D:$D,$D298,'F20-2024'!$E:$E,$E298,'F20-2024'!$F:$F,$F298)</f>
        <v>0</v>
      </c>
      <c r="T298" s="140">
        <f ca="1">SUMIFS('F20-2024'!T:T,'F20-2024'!$D:$D,$D298,'F20-2024'!$E:$E,$E298,'F20-2024'!$F:$F,$F298)</f>
        <v>0</v>
      </c>
      <c r="U298" s="140">
        <f ca="1">SUMIFS('F20-2024'!U:U,'F20-2024'!$D:$D,$D298,'F20-2024'!$E:$E,$E298,'F20-2024'!$F:$F,$F298)</f>
        <v>0</v>
      </c>
      <c r="V298" s="140"/>
      <c r="W298" s="141" t="e">
        <f t="shared" ref="W298:AA298" ca="1" si="594">J298/$I298</f>
        <v>#DIV/0!</v>
      </c>
      <c r="X298" s="141" t="e">
        <f t="shared" ca="1" si="594"/>
        <v>#DIV/0!</v>
      </c>
      <c r="Y298" s="141" t="e">
        <f t="shared" ca="1" si="594"/>
        <v>#DIV/0!</v>
      </c>
      <c r="Z298" s="141" t="e">
        <f t="shared" ca="1" si="594"/>
        <v>#DIV/0!</v>
      </c>
      <c r="AA298" s="141" t="e">
        <f t="shared" ca="1" si="594"/>
        <v>#DIV/0!</v>
      </c>
      <c r="AB298" s="141"/>
      <c r="AC298" s="141" t="e">
        <f t="shared" ca="1" si="512"/>
        <v>#DIV/0!</v>
      </c>
      <c r="AD298" s="141" t="e">
        <f t="shared" ref="AD298:AI298" ca="1" si="595">O298/$I298</f>
        <v>#DIV/0!</v>
      </c>
      <c r="AE298" s="141" t="e">
        <f t="shared" ca="1" si="595"/>
        <v>#DIV/0!</v>
      </c>
      <c r="AF298" s="141" t="e">
        <f t="shared" ca="1" si="595"/>
        <v>#DIV/0!</v>
      </c>
      <c r="AG298" s="141" t="e">
        <f t="shared" ca="1" si="595"/>
        <v>#DIV/0!</v>
      </c>
      <c r="AH298" s="141" t="e">
        <f t="shared" ca="1" si="595"/>
        <v>#DIV/0!</v>
      </c>
      <c r="AI298" s="141" t="e">
        <f t="shared" ca="1" si="595"/>
        <v>#DIV/0!</v>
      </c>
      <c r="AJ298" s="140"/>
    </row>
    <row r="299" spans="1:36">
      <c r="A299" s="140" t="e">
        <f ca="1"/>
        <v>#NAME?</v>
      </c>
      <c r="B299" s="140" t="e">
        <f ca="1"/>
        <v>#NAME?</v>
      </c>
      <c r="C299" s="140" t="e">
        <f ca="1"/>
        <v>#NAME?</v>
      </c>
      <c r="D299" s="140" t="e">
        <f ca="1"/>
        <v>#NAME?</v>
      </c>
      <c r="E299" s="140" t="e">
        <f ca="1"/>
        <v>#NAME?</v>
      </c>
      <c r="F299" s="140" t="e">
        <f ca="1"/>
        <v>#NAME?</v>
      </c>
      <c r="G299" s="140" t="e">
        <f ca="1"/>
        <v>#NAME?</v>
      </c>
      <c r="H299" s="140"/>
      <c r="I299" s="140">
        <f ca="1">SUMIFS('F20-2024'!I:I,'F20-2024'!$D:$D,$D299,'F20-2024'!$E:$E,$E299,'F20-2024'!$F:$F,$F299)</f>
        <v>0</v>
      </c>
      <c r="J299" s="140">
        <f ca="1">SUMIFS('F20-2024'!J:J,'F20-2024'!$D:$D,$D299,'F20-2024'!$E:$E,$E299,'F20-2024'!$F:$F,$F299)</f>
        <v>0</v>
      </c>
      <c r="K299" s="140">
        <f ca="1">SUMIFS('F20-2024'!K:K,'F20-2024'!$D:$D,$D299,'F20-2024'!$E:$E,$E299,'F20-2024'!$F:$F,$F299)</f>
        <v>0</v>
      </c>
      <c r="L299" s="140">
        <f ca="1">SUMIFS('F20-2024'!L:L,'F20-2024'!$D:$D,$D299,'F20-2024'!$E:$E,$E299,'F20-2024'!$F:$F,$F299)</f>
        <v>0</v>
      </c>
      <c r="M299" s="140">
        <f ca="1">SUMIFS('F20-2024'!M:M,'F20-2024'!$D:$D,$D299,'F20-2024'!$E:$E,$E299,'F20-2024'!$F:$F,$F299)</f>
        <v>0</v>
      </c>
      <c r="N299" s="140">
        <f ca="1">SUMIFS('F20-2024'!N:N,'F20-2024'!$D:$D,$D299,'F20-2024'!$E:$E,$E299,'F20-2024'!$F:$F,$F299)</f>
        <v>0</v>
      </c>
      <c r="O299" s="140">
        <f ca="1">SUMIFS('F20-2024'!O:O,'F20-2024'!$D:$D,$D299,'F20-2024'!$E:$E,$E299,'F20-2024'!$F:$F,$F299)</f>
        <v>0</v>
      </c>
      <c r="P299" s="140">
        <f ca="1">SUMIFS('F20-2024'!P:P,'F20-2024'!$D:$D,$D299,'F20-2024'!$E:$E,$E299,'F20-2024'!$F:$F,$F299)</f>
        <v>0</v>
      </c>
      <c r="Q299" s="140">
        <f ca="1">SUMIFS('F20-2024'!Q:Q,'F20-2024'!$D:$D,$D299,'F20-2024'!$E:$E,$E299,'F20-2024'!$F:$F,$F299)</f>
        <v>0</v>
      </c>
      <c r="R299" s="140">
        <f ca="1">SUMIFS('F20-2024'!R:R,'F20-2024'!$D:$D,$D299,'F20-2024'!$E:$E,$E299,'F20-2024'!$F:$F,$F299)</f>
        <v>0</v>
      </c>
      <c r="S299" s="140">
        <f ca="1">SUMIFS('F20-2024'!S:S,'F20-2024'!$D:$D,$D299,'F20-2024'!$E:$E,$E299,'F20-2024'!$F:$F,$F299)</f>
        <v>0</v>
      </c>
      <c r="T299" s="140">
        <f ca="1">SUMIFS('F20-2024'!T:T,'F20-2024'!$D:$D,$D299,'F20-2024'!$E:$E,$E299,'F20-2024'!$F:$F,$F299)</f>
        <v>0</v>
      </c>
      <c r="U299" s="140">
        <f ca="1">SUMIFS('F20-2024'!U:U,'F20-2024'!$D:$D,$D299,'F20-2024'!$E:$E,$E299,'F20-2024'!$F:$F,$F299)</f>
        <v>0</v>
      </c>
      <c r="V299" s="140"/>
      <c r="W299" s="141" t="e">
        <f t="shared" ref="W299:AA299" ca="1" si="596">J299/$I299</f>
        <v>#DIV/0!</v>
      </c>
      <c r="X299" s="141" t="e">
        <f t="shared" ca="1" si="596"/>
        <v>#DIV/0!</v>
      </c>
      <c r="Y299" s="141" t="e">
        <f t="shared" ca="1" si="596"/>
        <v>#DIV/0!</v>
      </c>
      <c r="Z299" s="141" t="e">
        <f t="shared" ca="1" si="596"/>
        <v>#DIV/0!</v>
      </c>
      <c r="AA299" s="141" t="e">
        <f t="shared" ca="1" si="596"/>
        <v>#DIV/0!</v>
      </c>
      <c r="AB299" s="141"/>
      <c r="AC299" s="141" t="e">
        <f t="shared" ca="1" si="512"/>
        <v>#DIV/0!</v>
      </c>
      <c r="AD299" s="141" t="e">
        <f t="shared" ref="AD299:AI299" ca="1" si="597">O299/$I299</f>
        <v>#DIV/0!</v>
      </c>
      <c r="AE299" s="141" t="e">
        <f t="shared" ca="1" si="597"/>
        <v>#DIV/0!</v>
      </c>
      <c r="AF299" s="141" t="e">
        <f t="shared" ca="1" si="597"/>
        <v>#DIV/0!</v>
      </c>
      <c r="AG299" s="141" t="e">
        <f t="shared" ca="1" si="597"/>
        <v>#DIV/0!</v>
      </c>
      <c r="AH299" s="141" t="e">
        <f t="shared" ca="1" si="597"/>
        <v>#DIV/0!</v>
      </c>
      <c r="AI299" s="141" t="e">
        <f t="shared" ca="1" si="597"/>
        <v>#DIV/0!</v>
      </c>
      <c r="AJ299" s="140"/>
    </row>
    <row r="300" spans="1:36">
      <c r="A300" s="140" t="e">
        <f ca="1"/>
        <v>#NAME?</v>
      </c>
      <c r="B300" s="140" t="e">
        <f ca="1"/>
        <v>#NAME?</v>
      </c>
      <c r="C300" s="140" t="e">
        <f ca="1"/>
        <v>#NAME?</v>
      </c>
      <c r="D300" s="140" t="e">
        <f ca="1"/>
        <v>#NAME?</v>
      </c>
      <c r="E300" s="140" t="e">
        <f ca="1"/>
        <v>#NAME?</v>
      </c>
      <c r="F300" s="140" t="e">
        <f ca="1"/>
        <v>#NAME?</v>
      </c>
      <c r="G300" s="140" t="e">
        <f ca="1"/>
        <v>#NAME?</v>
      </c>
      <c r="H300" s="140"/>
      <c r="I300" s="140">
        <f ca="1">SUMIFS('F20-2024'!I:I,'F20-2024'!$D:$D,$D300,'F20-2024'!$E:$E,$E300,'F20-2024'!$F:$F,$F300)</f>
        <v>0</v>
      </c>
      <c r="J300" s="140">
        <f ca="1">SUMIFS('F20-2024'!J:J,'F20-2024'!$D:$D,$D300,'F20-2024'!$E:$E,$E300,'F20-2024'!$F:$F,$F300)</f>
        <v>0</v>
      </c>
      <c r="K300" s="140">
        <f ca="1">SUMIFS('F20-2024'!K:K,'F20-2024'!$D:$D,$D300,'F20-2024'!$E:$E,$E300,'F20-2024'!$F:$F,$F300)</f>
        <v>0</v>
      </c>
      <c r="L300" s="140">
        <f ca="1">SUMIFS('F20-2024'!L:L,'F20-2024'!$D:$D,$D300,'F20-2024'!$E:$E,$E300,'F20-2024'!$F:$F,$F300)</f>
        <v>0</v>
      </c>
      <c r="M300" s="140">
        <f ca="1">SUMIFS('F20-2024'!M:M,'F20-2024'!$D:$D,$D300,'F20-2024'!$E:$E,$E300,'F20-2024'!$F:$F,$F300)</f>
        <v>0</v>
      </c>
      <c r="N300" s="140">
        <f ca="1">SUMIFS('F20-2024'!N:N,'F20-2024'!$D:$D,$D300,'F20-2024'!$E:$E,$E300,'F20-2024'!$F:$F,$F300)</f>
        <v>0</v>
      </c>
      <c r="O300" s="140">
        <f ca="1">SUMIFS('F20-2024'!O:O,'F20-2024'!$D:$D,$D300,'F20-2024'!$E:$E,$E300,'F20-2024'!$F:$F,$F300)</f>
        <v>0</v>
      </c>
      <c r="P300" s="140">
        <f ca="1">SUMIFS('F20-2024'!P:P,'F20-2024'!$D:$D,$D300,'F20-2024'!$E:$E,$E300,'F20-2024'!$F:$F,$F300)</f>
        <v>0</v>
      </c>
      <c r="Q300" s="140">
        <f ca="1">SUMIFS('F20-2024'!Q:Q,'F20-2024'!$D:$D,$D300,'F20-2024'!$E:$E,$E300,'F20-2024'!$F:$F,$F300)</f>
        <v>0</v>
      </c>
      <c r="R300" s="140">
        <f ca="1">SUMIFS('F20-2024'!R:R,'F20-2024'!$D:$D,$D300,'F20-2024'!$E:$E,$E300,'F20-2024'!$F:$F,$F300)</f>
        <v>0</v>
      </c>
      <c r="S300" s="140">
        <f ca="1">SUMIFS('F20-2024'!S:S,'F20-2024'!$D:$D,$D300,'F20-2024'!$E:$E,$E300,'F20-2024'!$F:$F,$F300)</f>
        <v>0</v>
      </c>
      <c r="T300" s="140">
        <f ca="1">SUMIFS('F20-2024'!T:T,'F20-2024'!$D:$D,$D300,'F20-2024'!$E:$E,$E300,'F20-2024'!$F:$F,$F300)</f>
        <v>0</v>
      </c>
      <c r="U300" s="140">
        <f ca="1">SUMIFS('F20-2024'!U:U,'F20-2024'!$D:$D,$D300,'F20-2024'!$E:$E,$E300,'F20-2024'!$F:$F,$F300)</f>
        <v>0</v>
      </c>
      <c r="V300" s="140"/>
      <c r="W300" s="141" t="e">
        <f t="shared" ref="W300:AA300" ca="1" si="598">J300/$I300</f>
        <v>#DIV/0!</v>
      </c>
      <c r="X300" s="141" t="e">
        <f t="shared" ca="1" si="598"/>
        <v>#DIV/0!</v>
      </c>
      <c r="Y300" s="141" t="e">
        <f t="shared" ca="1" si="598"/>
        <v>#DIV/0!</v>
      </c>
      <c r="Z300" s="141" t="e">
        <f t="shared" ca="1" si="598"/>
        <v>#DIV/0!</v>
      </c>
      <c r="AA300" s="141" t="e">
        <f t="shared" ca="1" si="598"/>
        <v>#DIV/0!</v>
      </c>
      <c r="AB300" s="141"/>
      <c r="AC300" s="141" t="e">
        <f t="shared" ca="1" si="512"/>
        <v>#DIV/0!</v>
      </c>
      <c r="AD300" s="141" t="e">
        <f t="shared" ref="AD300:AI300" ca="1" si="599">O300/$I300</f>
        <v>#DIV/0!</v>
      </c>
      <c r="AE300" s="141" t="e">
        <f t="shared" ca="1" si="599"/>
        <v>#DIV/0!</v>
      </c>
      <c r="AF300" s="141" t="e">
        <f t="shared" ca="1" si="599"/>
        <v>#DIV/0!</v>
      </c>
      <c r="AG300" s="141" t="e">
        <f t="shared" ca="1" si="599"/>
        <v>#DIV/0!</v>
      </c>
      <c r="AH300" s="141" t="e">
        <f t="shared" ca="1" si="599"/>
        <v>#DIV/0!</v>
      </c>
      <c r="AI300" s="141" t="e">
        <f t="shared" ca="1" si="599"/>
        <v>#DIV/0!</v>
      </c>
      <c r="AJ300" s="140"/>
    </row>
    <row r="301" spans="1:36">
      <c r="A301" s="140" t="e">
        <f ca="1"/>
        <v>#NAME?</v>
      </c>
      <c r="B301" s="140" t="e">
        <f ca="1"/>
        <v>#NAME?</v>
      </c>
      <c r="C301" s="140" t="e">
        <f ca="1"/>
        <v>#NAME?</v>
      </c>
      <c r="D301" s="140" t="e">
        <f ca="1"/>
        <v>#NAME?</v>
      </c>
      <c r="E301" s="140" t="e">
        <f ca="1"/>
        <v>#NAME?</v>
      </c>
      <c r="F301" s="140" t="e">
        <f ca="1"/>
        <v>#NAME?</v>
      </c>
      <c r="G301" s="140" t="e">
        <f ca="1"/>
        <v>#NAME?</v>
      </c>
      <c r="H301" s="140"/>
      <c r="I301" s="140">
        <f ca="1">SUMIFS('F20-2024'!I:I,'F20-2024'!$D:$D,$D301,'F20-2024'!$E:$E,$E301,'F20-2024'!$F:$F,$F301)</f>
        <v>0</v>
      </c>
      <c r="J301" s="140">
        <f ca="1">SUMIFS('F20-2024'!J:J,'F20-2024'!$D:$D,$D301,'F20-2024'!$E:$E,$E301,'F20-2024'!$F:$F,$F301)</f>
        <v>0</v>
      </c>
      <c r="K301" s="140">
        <f ca="1">SUMIFS('F20-2024'!K:K,'F20-2024'!$D:$D,$D301,'F20-2024'!$E:$E,$E301,'F20-2024'!$F:$F,$F301)</f>
        <v>0</v>
      </c>
      <c r="L301" s="140">
        <f ca="1">SUMIFS('F20-2024'!L:L,'F20-2024'!$D:$D,$D301,'F20-2024'!$E:$E,$E301,'F20-2024'!$F:$F,$F301)</f>
        <v>0</v>
      </c>
      <c r="M301" s="140">
        <f ca="1">SUMIFS('F20-2024'!M:M,'F20-2024'!$D:$D,$D301,'F20-2024'!$E:$E,$E301,'F20-2024'!$F:$F,$F301)</f>
        <v>0</v>
      </c>
      <c r="N301" s="140">
        <f ca="1">SUMIFS('F20-2024'!N:N,'F20-2024'!$D:$D,$D301,'F20-2024'!$E:$E,$E301,'F20-2024'!$F:$F,$F301)</f>
        <v>0</v>
      </c>
      <c r="O301" s="140">
        <f ca="1">SUMIFS('F20-2024'!O:O,'F20-2024'!$D:$D,$D301,'F20-2024'!$E:$E,$E301,'F20-2024'!$F:$F,$F301)</f>
        <v>0</v>
      </c>
      <c r="P301" s="140">
        <f ca="1">SUMIFS('F20-2024'!P:P,'F20-2024'!$D:$D,$D301,'F20-2024'!$E:$E,$E301,'F20-2024'!$F:$F,$F301)</f>
        <v>0</v>
      </c>
      <c r="Q301" s="140">
        <f ca="1">SUMIFS('F20-2024'!Q:Q,'F20-2024'!$D:$D,$D301,'F20-2024'!$E:$E,$E301,'F20-2024'!$F:$F,$F301)</f>
        <v>0</v>
      </c>
      <c r="R301" s="140">
        <f ca="1">SUMIFS('F20-2024'!R:R,'F20-2024'!$D:$D,$D301,'F20-2024'!$E:$E,$E301,'F20-2024'!$F:$F,$F301)</f>
        <v>0</v>
      </c>
      <c r="S301" s="140">
        <f ca="1">SUMIFS('F20-2024'!S:S,'F20-2024'!$D:$D,$D301,'F20-2024'!$E:$E,$E301,'F20-2024'!$F:$F,$F301)</f>
        <v>0</v>
      </c>
      <c r="T301" s="140">
        <f ca="1">SUMIFS('F20-2024'!T:T,'F20-2024'!$D:$D,$D301,'F20-2024'!$E:$E,$E301,'F20-2024'!$F:$F,$F301)</f>
        <v>0</v>
      </c>
      <c r="U301" s="140">
        <f ca="1">SUMIFS('F20-2024'!U:U,'F20-2024'!$D:$D,$D301,'F20-2024'!$E:$E,$E301,'F20-2024'!$F:$F,$F301)</f>
        <v>0</v>
      </c>
      <c r="V301" s="140"/>
      <c r="W301" s="141" t="e">
        <f t="shared" ref="W301:AA301" ca="1" si="600">J301/$I301</f>
        <v>#DIV/0!</v>
      </c>
      <c r="X301" s="141" t="e">
        <f t="shared" ca="1" si="600"/>
        <v>#DIV/0!</v>
      </c>
      <c r="Y301" s="141" t="e">
        <f t="shared" ca="1" si="600"/>
        <v>#DIV/0!</v>
      </c>
      <c r="Z301" s="141" t="e">
        <f t="shared" ca="1" si="600"/>
        <v>#DIV/0!</v>
      </c>
      <c r="AA301" s="141" t="e">
        <f t="shared" ca="1" si="600"/>
        <v>#DIV/0!</v>
      </c>
      <c r="AB301" s="141"/>
      <c r="AC301" s="141" t="e">
        <f t="shared" ca="1" si="512"/>
        <v>#DIV/0!</v>
      </c>
      <c r="AD301" s="141" t="e">
        <f t="shared" ref="AD301:AI301" ca="1" si="601">O301/$I301</f>
        <v>#DIV/0!</v>
      </c>
      <c r="AE301" s="141" t="e">
        <f t="shared" ca="1" si="601"/>
        <v>#DIV/0!</v>
      </c>
      <c r="AF301" s="141" t="e">
        <f t="shared" ca="1" si="601"/>
        <v>#DIV/0!</v>
      </c>
      <c r="AG301" s="141" t="e">
        <f t="shared" ca="1" si="601"/>
        <v>#DIV/0!</v>
      </c>
      <c r="AH301" s="141" t="e">
        <f t="shared" ca="1" si="601"/>
        <v>#DIV/0!</v>
      </c>
      <c r="AI301" s="141" t="e">
        <f t="shared" ca="1" si="601"/>
        <v>#DIV/0!</v>
      </c>
      <c r="AJ301" s="140"/>
    </row>
    <row r="302" spans="1:36">
      <c r="A302" s="140" t="e">
        <f ca="1"/>
        <v>#NAME?</v>
      </c>
      <c r="B302" s="140" t="e">
        <f ca="1"/>
        <v>#NAME?</v>
      </c>
      <c r="C302" s="140" t="e">
        <f ca="1"/>
        <v>#NAME?</v>
      </c>
      <c r="D302" s="140" t="e">
        <f ca="1"/>
        <v>#NAME?</v>
      </c>
      <c r="E302" s="140" t="e">
        <f ca="1"/>
        <v>#NAME?</v>
      </c>
      <c r="F302" s="140" t="e">
        <f ca="1"/>
        <v>#NAME?</v>
      </c>
      <c r="G302" s="140" t="e">
        <f ca="1"/>
        <v>#NAME?</v>
      </c>
      <c r="H302" s="140"/>
      <c r="I302" s="140">
        <f ca="1">SUMIFS('F20-2024'!I:I,'F20-2024'!$D:$D,$D302,'F20-2024'!$E:$E,$E302,'F20-2024'!$F:$F,$F302)</f>
        <v>0</v>
      </c>
      <c r="J302" s="140">
        <f ca="1">SUMIFS('F20-2024'!J:J,'F20-2024'!$D:$D,$D302,'F20-2024'!$E:$E,$E302,'F20-2024'!$F:$F,$F302)</f>
        <v>0</v>
      </c>
      <c r="K302" s="140">
        <f ca="1">SUMIFS('F20-2024'!K:K,'F20-2024'!$D:$D,$D302,'F20-2024'!$E:$E,$E302,'F20-2024'!$F:$F,$F302)</f>
        <v>0</v>
      </c>
      <c r="L302" s="140">
        <f ca="1">SUMIFS('F20-2024'!L:L,'F20-2024'!$D:$D,$D302,'F20-2024'!$E:$E,$E302,'F20-2024'!$F:$F,$F302)</f>
        <v>0</v>
      </c>
      <c r="M302" s="140">
        <f ca="1">SUMIFS('F20-2024'!M:M,'F20-2024'!$D:$D,$D302,'F20-2024'!$E:$E,$E302,'F20-2024'!$F:$F,$F302)</f>
        <v>0</v>
      </c>
      <c r="N302" s="140">
        <f ca="1">SUMIFS('F20-2024'!N:N,'F20-2024'!$D:$D,$D302,'F20-2024'!$E:$E,$E302,'F20-2024'!$F:$F,$F302)</f>
        <v>0</v>
      </c>
      <c r="O302" s="140">
        <f ca="1">SUMIFS('F20-2024'!O:O,'F20-2024'!$D:$D,$D302,'F20-2024'!$E:$E,$E302,'F20-2024'!$F:$F,$F302)</f>
        <v>0</v>
      </c>
      <c r="P302" s="140">
        <f ca="1">SUMIFS('F20-2024'!P:P,'F20-2024'!$D:$D,$D302,'F20-2024'!$E:$E,$E302,'F20-2024'!$F:$F,$F302)</f>
        <v>0</v>
      </c>
      <c r="Q302" s="140">
        <f ca="1">SUMIFS('F20-2024'!Q:Q,'F20-2024'!$D:$D,$D302,'F20-2024'!$E:$E,$E302,'F20-2024'!$F:$F,$F302)</f>
        <v>0</v>
      </c>
      <c r="R302" s="140">
        <f ca="1">SUMIFS('F20-2024'!R:R,'F20-2024'!$D:$D,$D302,'F20-2024'!$E:$E,$E302,'F20-2024'!$F:$F,$F302)</f>
        <v>0</v>
      </c>
      <c r="S302" s="140">
        <f ca="1">SUMIFS('F20-2024'!S:S,'F20-2024'!$D:$D,$D302,'F20-2024'!$E:$E,$E302,'F20-2024'!$F:$F,$F302)</f>
        <v>0</v>
      </c>
      <c r="T302" s="140">
        <f ca="1">SUMIFS('F20-2024'!T:T,'F20-2024'!$D:$D,$D302,'F20-2024'!$E:$E,$E302,'F20-2024'!$F:$F,$F302)</f>
        <v>0</v>
      </c>
      <c r="U302" s="140">
        <f ca="1">SUMIFS('F20-2024'!U:U,'F20-2024'!$D:$D,$D302,'F20-2024'!$E:$E,$E302,'F20-2024'!$F:$F,$F302)</f>
        <v>0</v>
      </c>
      <c r="V302" s="140"/>
      <c r="W302" s="141" t="e">
        <f t="shared" ref="W302:AA302" ca="1" si="602">J302/$I302</f>
        <v>#DIV/0!</v>
      </c>
      <c r="X302" s="141" t="e">
        <f t="shared" ca="1" si="602"/>
        <v>#DIV/0!</v>
      </c>
      <c r="Y302" s="141" t="e">
        <f t="shared" ca="1" si="602"/>
        <v>#DIV/0!</v>
      </c>
      <c r="Z302" s="141" t="e">
        <f t="shared" ca="1" si="602"/>
        <v>#DIV/0!</v>
      </c>
      <c r="AA302" s="141" t="e">
        <f t="shared" ca="1" si="602"/>
        <v>#DIV/0!</v>
      </c>
      <c r="AB302" s="141"/>
      <c r="AC302" s="141" t="e">
        <f t="shared" ca="1" si="512"/>
        <v>#DIV/0!</v>
      </c>
      <c r="AD302" s="141" t="e">
        <f t="shared" ref="AD302:AI302" ca="1" si="603">O302/$I302</f>
        <v>#DIV/0!</v>
      </c>
      <c r="AE302" s="141" t="e">
        <f t="shared" ca="1" si="603"/>
        <v>#DIV/0!</v>
      </c>
      <c r="AF302" s="141" t="e">
        <f t="shared" ca="1" si="603"/>
        <v>#DIV/0!</v>
      </c>
      <c r="AG302" s="141" t="e">
        <f t="shared" ca="1" si="603"/>
        <v>#DIV/0!</v>
      </c>
      <c r="AH302" s="141" t="e">
        <f t="shared" ca="1" si="603"/>
        <v>#DIV/0!</v>
      </c>
      <c r="AI302" s="141" t="e">
        <f t="shared" ca="1" si="603"/>
        <v>#DIV/0!</v>
      </c>
      <c r="AJ302" s="140"/>
    </row>
    <row r="303" spans="1:36">
      <c r="A303" s="140" t="e">
        <f ca="1"/>
        <v>#NAME?</v>
      </c>
      <c r="B303" s="140" t="e">
        <f ca="1"/>
        <v>#NAME?</v>
      </c>
      <c r="C303" s="140" t="e">
        <f ca="1"/>
        <v>#NAME?</v>
      </c>
      <c r="D303" s="140" t="e">
        <f ca="1"/>
        <v>#NAME?</v>
      </c>
      <c r="E303" s="140" t="e">
        <f ca="1"/>
        <v>#NAME?</v>
      </c>
      <c r="F303" s="140" t="e">
        <f ca="1"/>
        <v>#NAME?</v>
      </c>
      <c r="G303" s="140" t="e">
        <f ca="1"/>
        <v>#NAME?</v>
      </c>
      <c r="H303" s="140"/>
      <c r="I303" s="140">
        <f ca="1">SUMIFS('F20-2024'!I:I,'F20-2024'!$D:$D,$D303,'F20-2024'!$E:$E,$E303,'F20-2024'!$F:$F,$F303)</f>
        <v>0</v>
      </c>
      <c r="J303" s="140">
        <f ca="1">SUMIFS('F20-2024'!J:J,'F20-2024'!$D:$D,$D303,'F20-2024'!$E:$E,$E303,'F20-2024'!$F:$F,$F303)</f>
        <v>0</v>
      </c>
      <c r="K303" s="140">
        <f ca="1">SUMIFS('F20-2024'!K:K,'F20-2024'!$D:$D,$D303,'F20-2024'!$E:$E,$E303,'F20-2024'!$F:$F,$F303)</f>
        <v>0</v>
      </c>
      <c r="L303" s="140">
        <f ca="1">SUMIFS('F20-2024'!L:L,'F20-2024'!$D:$D,$D303,'F20-2024'!$E:$E,$E303,'F20-2024'!$F:$F,$F303)</f>
        <v>0</v>
      </c>
      <c r="M303" s="140">
        <f ca="1">SUMIFS('F20-2024'!M:M,'F20-2024'!$D:$D,$D303,'F20-2024'!$E:$E,$E303,'F20-2024'!$F:$F,$F303)</f>
        <v>0</v>
      </c>
      <c r="N303" s="140">
        <f ca="1">SUMIFS('F20-2024'!N:N,'F20-2024'!$D:$D,$D303,'F20-2024'!$E:$E,$E303,'F20-2024'!$F:$F,$F303)</f>
        <v>0</v>
      </c>
      <c r="O303" s="140">
        <f ca="1">SUMIFS('F20-2024'!O:O,'F20-2024'!$D:$D,$D303,'F20-2024'!$E:$E,$E303,'F20-2024'!$F:$F,$F303)</f>
        <v>0</v>
      </c>
      <c r="P303" s="140">
        <f ca="1">SUMIFS('F20-2024'!P:P,'F20-2024'!$D:$D,$D303,'F20-2024'!$E:$E,$E303,'F20-2024'!$F:$F,$F303)</f>
        <v>0</v>
      </c>
      <c r="Q303" s="140">
        <f ca="1">SUMIFS('F20-2024'!Q:Q,'F20-2024'!$D:$D,$D303,'F20-2024'!$E:$E,$E303,'F20-2024'!$F:$F,$F303)</f>
        <v>0</v>
      </c>
      <c r="R303" s="140">
        <f ca="1">SUMIFS('F20-2024'!R:R,'F20-2024'!$D:$D,$D303,'F20-2024'!$E:$E,$E303,'F20-2024'!$F:$F,$F303)</f>
        <v>0</v>
      </c>
      <c r="S303" s="140">
        <f ca="1">SUMIFS('F20-2024'!S:S,'F20-2024'!$D:$D,$D303,'F20-2024'!$E:$E,$E303,'F20-2024'!$F:$F,$F303)</f>
        <v>0</v>
      </c>
      <c r="T303" s="140">
        <f ca="1">SUMIFS('F20-2024'!T:T,'F20-2024'!$D:$D,$D303,'F20-2024'!$E:$E,$E303,'F20-2024'!$F:$F,$F303)</f>
        <v>0</v>
      </c>
      <c r="U303" s="140">
        <f ca="1">SUMIFS('F20-2024'!U:U,'F20-2024'!$D:$D,$D303,'F20-2024'!$E:$E,$E303,'F20-2024'!$F:$F,$F303)</f>
        <v>0</v>
      </c>
      <c r="V303" s="140"/>
      <c r="W303" s="141" t="e">
        <f t="shared" ref="W303:AA303" ca="1" si="604">J303/$I303</f>
        <v>#DIV/0!</v>
      </c>
      <c r="X303" s="141" t="e">
        <f t="shared" ca="1" si="604"/>
        <v>#DIV/0!</v>
      </c>
      <c r="Y303" s="141" t="e">
        <f t="shared" ca="1" si="604"/>
        <v>#DIV/0!</v>
      </c>
      <c r="Z303" s="141" t="e">
        <f t="shared" ca="1" si="604"/>
        <v>#DIV/0!</v>
      </c>
      <c r="AA303" s="141" t="e">
        <f t="shared" ca="1" si="604"/>
        <v>#DIV/0!</v>
      </c>
      <c r="AB303" s="141"/>
      <c r="AC303" s="141" t="e">
        <f t="shared" ca="1" si="512"/>
        <v>#DIV/0!</v>
      </c>
      <c r="AD303" s="141" t="e">
        <f t="shared" ref="AD303:AI303" ca="1" si="605">O303/$I303</f>
        <v>#DIV/0!</v>
      </c>
      <c r="AE303" s="141" t="e">
        <f t="shared" ca="1" si="605"/>
        <v>#DIV/0!</v>
      </c>
      <c r="AF303" s="141" t="e">
        <f t="shared" ca="1" si="605"/>
        <v>#DIV/0!</v>
      </c>
      <c r="AG303" s="141" t="e">
        <f t="shared" ca="1" si="605"/>
        <v>#DIV/0!</v>
      </c>
      <c r="AH303" s="141" t="e">
        <f t="shared" ca="1" si="605"/>
        <v>#DIV/0!</v>
      </c>
      <c r="AI303" s="141" t="e">
        <f t="shared" ca="1" si="605"/>
        <v>#DIV/0!</v>
      </c>
      <c r="AJ303" s="140"/>
    </row>
    <row r="304" spans="1:36">
      <c r="A304" s="140" t="e">
        <f ca="1"/>
        <v>#NAME?</v>
      </c>
      <c r="B304" s="140" t="e">
        <f ca="1"/>
        <v>#NAME?</v>
      </c>
      <c r="C304" s="140" t="e">
        <f ca="1"/>
        <v>#NAME?</v>
      </c>
      <c r="D304" s="140" t="e">
        <f ca="1"/>
        <v>#NAME?</v>
      </c>
      <c r="E304" s="140" t="e">
        <f ca="1"/>
        <v>#NAME?</v>
      </c>
      <c r="F304" s="140" t="e">
        <f ca="1"/>
        <v>#NAME?</v>
      </c>
      <c r="G304" s="140" t="e">
        <f ca="1"/>
        <v>#NAME?</v>
      </c>
      <c r="H304" s="140"/>
      <c r="I304" s="140">
        <f ca="1">SUMIFS('F20-2024'!I:I,'F20-2024'!$D:$D,$D304,'F20-2024'!$E:$E,$E304,'F20-2024'!$F:$F,$F304)</f>
        <v>0</v>
      </c>
      <c r="J304" s="140">
        <f ca="1">SUMIFS('F20-2024'!J:J,'F20-2024'!$D:$D,$D304,'F20-2024'!$E:$E,$E304,'F20-2024'!$F:$F,$F304)</f>
        <v>0</v>
      </c>
      <c r="K304" s="140">
        <f ca="1">SUMIFS('F20-2024'!K:K,'F20-2024'!$D:$D,$D304,'F20-2024'!$E:$E,$E304,'F20-2024'!$F:$F,$F304)</f>
        <v>0</v>
      </c>
      <c r="L304" s="140">
        <f ca="1">SUMIFS('F20-2024'!L:L,'F20-2024'!$D:$D,$D304,'F20-2024'!$E:$E,$E304,'F20-2024'!$F:$F,$F304)</f>
        <v>0</v>
      </c>
      <c r="M304" s="140">
        <f ca="1">SUMIFS('F20-2024'!M:M,'F20-2024'!$D:$D,$D304,'F20-2024'!$E:$E,$E304,'F20-2024'!$F:$F,$F304)</f>
        <v>0</v>
      </c>
      <c r="N304" s="140">
        <f ca="1">SUMIFS('F20-2024'!N:N,'F20-2024'!$D:$D,$D304,'F20-2024'!$E:$E,$E304,'F20-2024'!$F:$F,$F304)</f>
        <v>0</v>
      </c>
      <c r="O304" s="140">
        <f ca="1">SUMIFS('F20-2024'!O:O,'F20-2024'!$D:$D,$D304,'F20-2024'!$E:$E,$E304,'F20-2024'!$F:$F,$F304)</f>
        <v>0</v>
      </c>
      <c r="P304" s="140">
        <f ca="1">SUMIFS('F20-2024'!P:P,'F20-2024'!$D:$D,$D304,'F20-2024'!$E:$E,$E304,'F20-2024'!$F:$F,$F304)</f>
        <v>0</v>
      </c>
      <c r="Q304" s="140">
        <f ca="1">SUMIFS('F20-2024'!Q:Q,'F20-2024'!$D:$D,$D304,'F20-2024'!$E:$E,$E304,'F20-2024'!$F:$F,$F304)</f>
        <v>0</v>
      </c>
      <c r="R304" s="140">
        <f ca="1">SUMIFS('F20-2024'!R:R,'F20-2024'!$D:$D,$D304,'F20-2024'!$E:$E,$E304,'F20-2024'!$F:$F,$F304)</f>
        <v>0</v>
      </c>
      <c r="S304" s="140">
        <f ca="1">SUMIFS('F20-2024'!S:S,'F20-2024'!$D:$D,$D304,'F20-2024'!$E:$E,$E304,'F20-2024'!$F:$F,$F304)</f>
        <v>0</v>
      </c>
      <c r="T304" s="140">
        <f ca="1">SUMIFS('F20-2024'!T:T,'F20-2024'!$D:$D,$D304,'F20-2024'!$E:$E,$E304,'F20-2024'!$F:$F,$F304)</f>
        <v>0</v>
      </c>
      <c r="U304" s="140">
        <f ca="1">SUMIFS('F20-2024'!U:U,'F20-2024'!$D:$D,$D304,'F20-2024'!$E:$E,$E304,'F20-2024'!$F:$F,$F304)</f>
        <v>0</v>
      </c>
      <c r="V304" s="140"/>
      <c r="W304" s="141" t="e">
        <f t="shared" ref="W304:AA304" ca="1" si="606">J304/$I304</f>
        <v>#DIV/0!</v>
      </c>
      <c r="X304" s="141" t="e">
        <f t="shared" ca="1" si="606"/>
        <v>#DIV/0!</v>
      </c>
      <c r="Y304" s="141" t="e">
        <f t="shared" ca="1" si="606"/>
        <v>#DIV/0!</v>
      </c>
      <c r="Z304" s="141" t="e">
        <f t="shared" ca="1" si="606"/>
        <v>#DIV/0!</v>
      </c>
      <c r="AA304" s="141" t="e">
        <f t="shared" ca="1" si="606"/>
        <v>#DIV/0!</v>
      </c>
      <c r="AB304" s="141"/>
      <c r="AC304" s="141" t="e">
        <f t="shared" ca="1" si="512"/>
        <v>#DIV/0!</v>
      </c>
      <c r="AD304" s="141" t="e">
        <f t="shared" ref="AD304:AI304" ca="1" si="607">O304/$I304</f>
        <v>#DIV/0!</v>
      </c>
      <c r="AE304" s="141" t="e">
        <f t="shared" ca="1" si="607"/>
        <v>#DIV/0!</v>
      </c>
      <c r="AF304" s="141" t="e">
        <f t="shared" ca="1" si="607"/>
        <v>#DIV/0!</v>
      </c>
      <c r="AG304" s="141" t="e">
        <f t="shared" ca="1" si="607"/>
        <v>#DIV/0!</v>
      </c>
      <c r="AH304" s="141" t="e">
        <f t="shared" ca="1" si="607"/>
        <v>#DIV/0!</v>
      </c>
      <c r="AI304" s="141" t="e">
        <f t="shared" ca="1" si="607"/>
        <v>#DIV/0!</v>
      </c>
      <c r="AJ304" s="140"/>
    </row>
    <row r="305" spans="1:36">
      <c r="A305" s="140" t="e">
        <f ca="1"/>
        <v>#NAME?</v>
      </c>
      <c r="B305" s="140" t="e">
        <f ca="1"/>
        <v>#NAME?</v>
      </c>
      <c r="C305" s="140" t="e">
        <f ca="1"/>
        <v>#NAME?</v>
      </c>
      <c r="D305" s="140" t="e">
        <f ca="1"/>
        <v>#NAME?</v>
      </c>
      <c r="E305" s="140" t="e">
        <f ca="1"/>
        <v>#NAME?</v>
      </c>
      <c r="F305" s="140" t="e">
        <f ca="1"/>
        <v>#NAME?</v>
      </c>
      <c r="G305" s="140" t="e">
        <f ca="1"/>
        <v>#NAME?</v>
      </c>
      <c r="H305" s="140"/>
      <c r="I305" s="140">
        <f ca="1">SUMIFS('F20-2024'!I:I,'F20-2024'!$D:$D,$D305,'F20-2024'!$E:$E,$E305,'F20-2024'!$F:$F,$F305)</f>
        <v>0</v>
      </c>
      <c r="J305" s="140">
        <f ca="1">SUMIFS('F20-2024'!J:J,'F20-2024'!$D:$D,$D305,'F20-2024'!$E:$E,$E305,'F20-2024'!$F:$F,$F305)</f>
        <v>0</v>
      </c>
      <c r="K305" s="140">
        <f ca="1">SUMIFS('F20-2024'!K:K,'F20-2024'!$D:$D,$D305,'F20-2024'!$E:$E,$E305,'F20-2024'!$F:$F,$F305)</f>
        <v>0</v>
      </c>
      <c r="L305" s="140">
        <f ca="1">SUMIFS('F20-2024'!L:L,'F20-2024'!$D:$D,$D305,'F20-2024'!$E:$E,$E305,'F20-2024'!$F:$F,$F305)</f>
        <v>0</v>
      </c>
      <c r="M305" s="140">
        <f ca="1">SUMIFS('F20-2024'!M:M,'F20-2024'!$D:$D,$D305,'F20-2024'!$E:$E,$E305,'F20-2024'!$F:$F,$F305)</f>
        <v>0</v>
      </c>
      <c r="N305" s="140">
        <f ca="1">SUMIFS('F20-2024'!N:N,'F20-2024'!$D:$D,$D305,'F20-2024'!$E:$E,$E305,'F20-2024'!$F:$F,$F305)</f>
        <v>0</v>
      </c>
      <c r="O305" s="140">
        <f ca="1">SUMIFS('F20-2024'!O:O,'F20-2024'!$D:$D,$D305,'F20-2024'!$E:$E,$E305,'F20-2024'!$F:$F,$F305)</f>
        <v>0</v>
      </c>
      <c r="P305" s="140">
        <f ca="1">SUMIFS('F20-2024'!P:P,'F20-2024'!$D:$D,$D305,'F20-2024'!$E:$E,$E305,'F20-2024'!$F:$F,$F305)</f>
        <v>0</v>
      </c>
      <c r="Q305" s="140">
        <f ca="1">SUMIFS('F20-2024'!Q:Q,'F20-2024'!$D:$D,$D305,'F20-2024'!$E:$E,$E305,'F20-2024'!$F:$F,$F305)</f>
        <v>0</v>
      </c>
      <c r="R305" s="140">
        <f ca="1">SUMIFS('F20-2024'!R:R,'F20-2024'!$D:$D,$D305,'F20-2024'!$E:$E,$E305,'F20-2024'!$F:$F,$F305)</f>
        <v>0</v>
      </c>
      <c r="S305" s="140">
        <f ca="1">SUMIFS('F20-2024'!S:S,'F20-2024'!$D:$D,$D305,'F20-2024'!$E:$E,$E305,'F20-2024'!$F:$F,$F305)</f>
        <v>0</v>
      </c>
      <c r="T305" s="140">
        <f ca="1">SUMIFS('F20-2024'!T:T,'F20-2024'!$D:$D,$D305,'F20-2024'!$E:$E,$E305,'F20-2024'!$F:$F,$F305)</f>
        <v>0</v>
      </c>
      <c r="U305" s="140">
        <f ca="1">SUMIFS('F20-2024'!U:U,'F20-2024'!$D:$D,$D305,'F20-2024'!$E:$E,$E305,'F20-2024'!$F:$F,$F305)</f>
        <v>0</v>
      </c>
      <c r="V305" s="140"/>
      <c r="W305" s="141" t="e">
        <f t="shared" ref="W305:AA305" ca="1" si="608">J305/$I305</f>
        <v>#DIV/0!</v>
      </c>
      <c r="X305" s="141" t="e">
        <f t="shared" ca="1" si="608"/>
        <v>#DIV/0!</v>
      </c>
      <c r="Y305" s="141" t="e">
        <f t="shared" ca="1" si="608"/>
        <v>#DIV/0!</v>
      </c>
      <c r="Z305" s="141" t="e">
        <f t="shared" ca="1" si="608"/>
        <v>#DIV/0!</v>
      </c>
      <c r="AA305" s="141" t="e">
        <f t="shared" ca="1" si="608"/>
        <v>#DIV/0!</v>
      </c>
      <c r="AB305" s="141"/>
      <c r="AC305" s="141" t="e">
        <f t="shared" ca="1" si="512"/>
        <v>#DIV/0!</v>
      </c>
      <c r="AD305" s="141" t="e">
        <f t="shared" ref="AD305:AI305" ca="1" si="609">O305/$I305</f>
        <v>#DIV/0!</v>
      </c>
      <c r="AE305" s="141" t="e">
        <f t="shared" ca="1" si="609"/>
        <v>#DIV/0!</v>
      </c>
      <c r="AF305" s="141" t="e">
        <f t="shared" ca="1" si="609"/>
        <v>#DIV/0!</v>
      </c>
      <c r="AG305" s="141" t="e">
        <f t="shared" ca="1" si="609"/>
        <v>#DIV/0!</v>
      </c>
      <c r="AH305" s="141" t="e">
        <f t="shared" ca="1" si="609"/>
        <v>#DIV/0!</v>
      </c>
      <c r="AI305" s="141" t="e">
        <f t="shared" ca="1" si="609"/>
        <v>#DIV/0!</v>
      </c>
      <c r="AJ305" s="140"/>
    </row>
    <row r="306" spans="1:36">
      <c r="A306" s="140" t="e">
        <f ca="1"/>
        <v>#NAME?</v>
      </c>
      <c r="B306" s="140" t="e">
        <f ca="1"/>
        <v>#NAME?</v>
      </c>
      <c r="C306" s="140" t="e">
        <f ca="1"/>
        <v>#NAME?</v>
      </c>
      <c r="D306" s="140" t="e">
        <f ca="1"/>
        <v>#NAME?</v>
      </c>
      <c r="E306" s="140" t="e">
        <f ca="1"/>
        <v>#NAME?</v>
      </c>
      <c r="F306" s="140" t="e">
        <f ca="1"/>
        <v>#NAME?</v>
      </c>
      <c r="G306" s="140" t="e">
        <f ca="1"/>
        <v>#NAME?</v>
      </c>
      <c r="H306" s="140"/>
      <c r="I306" s="140">
        <f ca="1">SUMIFS('F20-2024'!I:I,'F20-2024'!$D:$D,$D306,'F20-2024'!$E:$E,$E306,'F20-2024'!$F:$F,$F306)</f>
        <v>0</v>
      </c>
      <c r="J306" s="140">
        <f ca="1">SUMIFS('F20-2024'!J:J,'F20-2024'!$D:$D,$D306,'F20-2024'!$E:$E,$E306,'F20-2024'!$F:$F,$F306)</f>
        <v>0</v>
      </c>
      <c r="K306" s="140">
        <f ca="1">SUMIFS('F20-2024'!K:K,'F20-2024'!$D:$D,$D306,'F20-2024'!$E:$E,$E306,'F20-2024'!$F:$F,$F306)</f>
        <v>0</v>
      </c>
      <c r="L306" s="140">
        <f ca="1">SUMIFS('F20-2024'!L:L,'F20-2024'!$D:$D,$D306,'F20-2024'!$E:$E,$E306,'F20-2024'!$F:$F,$F306)</f>
        <v>0</v>
      </c>
      <c r="M306" s="140">
        <f ca="1">SUMIFS('F20-2024'!M:M,'F20-2024'!$D:$D,$D306,'F20-2024'!$E:$E,$E306,'F20-2024'!$F:$F,$F306)</f>
        <v>0</v>
      </c>
      <c r="N306" s="140">
        <f ca="1">SUMIFS('F20-2024'!N:N,'F20-2024'!$D:$D,$D306,'F20-2024'!$E:$E,$E306,'F20-2024'!$F:$F,$F306)</f>
        <v>0</v>
      </c>
      <c r="O306" s="140">
        <f ca="1">SUMIFS('F20-2024'!O:O,'F20-2024'!$D:$D,$D306,'F20-2024'!$E:$E,$E306,'F20-2024'!$F:$F,$F306)</f>
        <v>0</v>
      </c>
      <c r="P306" s="140">
        <f ca="1">SUMIFS('F20-2024'!P:P,'F20-2024'!$D:$D,$D306,'F20-2024'!$E:$E,$E306,'F20-2024'!$F:$F,$F306)</f>
        <v>0</v>
      </c>
      <c r="Q306" s="140">
        <f ca="1">SUMIFS('F20-2024'!Q:Q,'F20-2024'!$D:$D,$D306,'F20-2024'!$E:$E,$E306,'F20-2024'!$F:$F,$F306)</f>
        <v>0</v>
      </c>
      <c r="R306" s="140">
        <f ca="1">SUMIFS('F20-2024'!R:R,'F20-2024'!$D:$D,$D306,'F20-2024'!$E:$E,$E306,'F20-2024'!$F:$F,$F306)</f>
        <v>0</v>
      </c>
      <c r="S306" s="140">
        <f ca="1">SUMIFS('F20-2024'!S:S,'F20-2024'!$D:$D,$D306,'F20-2024'!$E:$E,$E306,'F20-2024'!$F:$F,$F306)</f>
        <v>0</v>
      </c>
      <c r="T306" s="140">
        <f ca="1">SUMIFS('F20-2024'!T:T,'F20-2024'!$D:$D,$D306,'F20-2024'!$E:$E,$E306,'F20-2024'!$F:$F,$F306)</f>
        <v>0</v>
      </c>
      <c r="U306" s="140">
        <f ca="1">SUMIFS('F20-2024'!U:U,'F20-2024'!$D:$D,$D306,'F20-2024'!$E:$E,$E306,'F20-2024'!$F:$F,$F306)</f>
        <v>0</v>
      </c>
      <c r="V306" s="140"/>
      <c r="W306" s="141" t="e">
        <f t="shared" ref="W306:AA306" ca="1" si="610">J306/$I306</f>
        <v>#DIV/0!</v>
      </c>
      <c r="X306" s="141" t="e">
        <f t="shared" ca="1" si="610"/>
        <v>#DIV/0!</v>
      </c>
      <c r="Y306" s="141" t="e">
        <f t="shared" ca="1" si="610"/>
        <v>#DIV/0!</v>
      </c>
      <c r="Z306" s="141" t="e">
        <f t="shared" ca="1" si="610"/>
        <v>#DIV/0!</v>
      </c>
      <c r="AA306" s="141" t="e">
        <f t="shared" ca="1" si="610"/>
        <v>#DIV/0!</v>
      </c>
      <c r="AB306" s="141"/>
      <c r="AC306" s="141" t="e">
        <f t="shared" ca="1" si="512"/>
        <v>#DIV/0!</v>
      </c>
      <c r="AD306" s="141" t="e">
        <f t="shared" ref="AD306:AI306" ca="1" si="611">O306/$I306</f>
        <v>#DIV/0!</v>
      </c>
      <c r="AE306" s="141" t="e">
        <f t="shared" ca="1" si="611"/>
        <v>#DIV/0!</v>
      </c>
      <c r="AF306" s="141" t="e">
        <f t="shared" ca="1" si="611"/>
        <v>#DIV/0!</v>
      </c>
      <c r="AG306" s="141" t="e">
        <f t="shared" ca="1" si="611"/>
        <v>#DIV/0!</v>
      </c>
      <c r="AH306" s="141" t="e">
        <f t="shared" ca="1" si="611"/>
        <v>#DIV/0!</v>
      </c>
      <c r="AI306" s="141" t="e">
        <f t="shared" ca="1" si="611"/>
        <v>#DIV/0!</v>
      </c>
      <c r="AJ306" s="140"/>
    </row>
    <row r="307" spans="1:36">
      <c r="A307" s="140" t="e">
        <f ca="1"/>
        <v>#NAME?</v>
      </c>
      <c r="B307" s="140" t="e">
        <f ca="1"/>
        <v>#NAME?</v>
      </c>
      <c r="C307" s="140" t="e">
        <f ca="1"/>
        <v>#NAME?</v>
      </c>
      <c r="D307" s="140" t="e">
        <f ca="1"/>
        <v>#NAME?</v>
      </c>
      <c r="E307" s="140" t="e">
        <f ca="1"/>
        <v>#NAME?</v>
      </c>
      <c r="F307" s="140" t="e">
        <f ca="1"/>
        <v>#NAME?</v>
      </c>
      <c r="G307" s="140" t="e">
        <f ca="1"/>
        <v>#NAME?</v>
      </c>
      <c r="H307" s="140"/>
      <c r="I307" s="140">
        <f ca="1">SUMIFS('F20-2024'!I:I,'F20-2024'!$D:$D,$D307,'F20-2024'!$E:$E,$E307,'F20-2024'!$F:$F,$F307)</f>
        <v>0</v>
      </c>
      <c r="J307" s="140">
        <f ca="1">SUMIFS('F20-2024'!J:J,'F20-2024'!$D:$D,$D307,'F20-2024'!$E:$E,$E307,'F20-2024'!$F:$F,$F307)</f>
        <v>0</v>
      </c>
      <c r="K307" s="140">
        <f ca="1">SUMIFS('F20-2024'!K:K,'F20-2024'!$D:$D,$D307,'F20-2024'!$E:$E,$E307,'F20-2024'!$F:$F,$F307)</f>
        <v>0</v>
      </c>
      <c r="L307" s="140">
        <f ca="1">SUMIFS('F20-2024'!L:L,'F20-2024'!$D:$D,$D307,'F20-2024'!$E:$E,$E307,'F20-2024'!$F:$F,$F307)</f>
        <v>0</v>
      </c>
      <c r="M307" s="140">
        <f ca="1">SUMIFS('F20-2024'!M:M,'F20-2024'!$D:$D,$D307,'F20-2024'!$E:$E,$E307,'F20-2024'!$F:$F,$F307)</f>
        <v>0</v>
      </c>
      <c r="N307" s="140">
        <f ca="1">SUMIFS('F20-2024'!N:N,'F20-2024'!$D:$D,$D307,'F20-2024'!$E:$E,$E307,'F20-2024'!$F:$F,$F307)</f>
        <v>0</v>
      </c>
      <c r="O307" s="140">
        <f ca="1">SUMIFS('F20-2024'!O:O,'F20-2024'!$D:$D,$D307,'F20-2024'!$E:$E,$E307,'F20-2024'!$F:$F,$F307)</f>
        <v>0</v>
      </c>
      <c r="P307" s="140">
        <f ca="1">SUMIFS('F20-2024'!P:P,'F20-2024'!$D:$D,$D307,'F20-2024'!$E:$E,$E307,'F20-2024'!$F:$F,$F307)</f>
        <v>0</v>
      </c>
      <c r="Q307" s="140">
        <f ca="1">SUMIFS('F20-2024'!Q:Q,'F20-2024'!$D:$D,$D307,'F20-2024'!$E:$E,$E307,'F20-2024'!$F:$F,$F307)</f>
        <v>0</v>
      </c>
      <c r="R307" s="140">
        <f ca="1">SUMIFS('F20-2024'!R:R,'F20-2024'!$D:$D,$D307,'F20-2024'!$E:$E,$E307,'F20-2024'!$F:$F,$F307)</f>
        <v>0</v>
      </c>
      <c r="S307" s="140">
        <f ca="1">SUMIFS('F20-2024'!S:S,'F20-2024'!$D:$D,$D307,'F20-2024'!$E:$E,$E307,'F20-2024'!$F:$F,$F307)</f>
        <v>0</v>
      </c>
      <c r="T307" s="140">
        <f ca="1">SUMIFS('F20-2024'!T:T,'F20-2024'!$D:$D,$D307,'F20-2024'!$E:$E,$E307,'F20-2024'!$F:$F,$F307)</f>
        <v>0</v>
      </c>
      <c r="U307" s="140">
        <f ca="1">SUMIFS('F20-2024'!U:U,'F20-2024'!$D:$D,$D307,'F20-2024'!$E:$E,$E307,'F20-2024'!$F:$F,$F307)</f>
        <v>0</v>
      </c>
      <c r="V307" s="140"/>
      <c r="W307" s="141" t="e">
        <f t="shared" ref="W307:AA307" ca="1" si="612">J307/$I307</f>
        <v>#DIV/0!</v>
      </c>
      <c r="X307" s="141" t="e">
        <f t="shared" ca="1" si="612"/>
        <v>#DIV/0!</v>
      </c>
      <c r="Y307" s="141" t="e">
        <f t="shared" ca="1" si="612"/>
        <v>#DIV/0!</v>
      </c>
      <c r="Z307" s="141" t="e">
        <f t="shared" ca="1" si="612"/>
        <v>#DIV/0!</v>
      </c>
      <c r="AA307" s="141" t="e">
        <f t="shared" ca="1" si="612"/>
        <v>#DIV/0!</v>
      </c>
      <c r="AB307" s="141"/>
      <c r="AC307" s="141" t="e">
        <f t="shared" ca="1" si="512"/>
        <v>#DIV/0!</v>
      </c>
      <c r="AD307" s="141" t="e">
        <f t="shared" ref="AD307:AI307" ca="1" si="613">O307/$I307</f>
        <v>#DIV/0!</v>
      </c>
      <c r="AE307" s="141" t="e">
        <f t="shared" ca="1" si="613"/>
        <v>#DIV/0!</v>
      </c>
      <c r="AF307" s="141" t="e">
        <f t="shared" ca="1" si="613"/>
        <v>#DIV/0!</v>
      </c>
      <c r="AG307" s="141" t="e">
        <f t="shared" ca="1" si="613"/>
        <v>#DIV/0!</v>
      </c>
      <c r="AH307" s="141" t="e">
        <f t="shared" ca="1" si="613"/>
        <v>#DIV/0!</v>
      </c>
      <c r="AI307" s="141" t="e">
        <f t="shared" ca="1" si="613"/>
        <v>#DIV/0!</v>
      </c>
      <c r="AJ307" s="140"/>
    </row>
    <row r="308" spans="1:36">
      <c r="A308" s="140" t="e">
        <f ca="1"/>
        <v>#NAME?</v>
      </c>
      <c r="B308" s="140" t="e">
        <f ca="1"/>
        <v>#NAME?</v>
      </c>
      <c r="C308" s="140" t="e">
        <f ca="1"/>
        <v>#NAME?</v>
      </c>
      <c r="D308" s="140" t="e">
        <f ca="1"/>
        <v>#NAME?</v>
      </c>
      <c r="E308" s="140" t="e">
        <f ca="1"/>
        <v>#NAME?</v>
      </c>
      <c r="F308" s="140" t="e">
        <f ca="1"/>
        <v>#NAME?</v>
      </c>
      <c r="G308" s="140" t="e">
        <f ca="1"/>
        <v>#NAME?</v>
      </c>
      <c r="H308" s="140"/>
      <c r="I308" s="140">
        <f ca="1">SUMIFS('F20-2024'!I:I,'F20-2024'!$D:$D,$D308,'F20-2024'!$E:$E,$E308,'F20-2024'!$F:$F,$F308)</f>
        <v>0</v>
      </c>
      <c r="J308" s="140">
        <f ca="1">SUMIFS('F20-2024'!J:J,'F20-2024'!$D:$D,$D308,'F20-2024'!$E:$E,$E308,'F20-2024'!$F:$F,$F308)</f>
        <v>0</v>
      </c>
      <c r="K308" s="140">
        <f ca="1">SUMIFS('F20-2024'!K:K,'F20-2024'!$D:$D,$D308,'F20-2024'!$E:$E,$E308,'F20-2024'!$F:$F,$F308)</f>
        <v>0</v>
      </c>
      <c r="L308" s="140">
        <f ca="1">SUMIFS('F20-2024'!L:L,'F20-2024'!$D:$D,$D308,'F20-2024'!$E:$E,$E308,'F20-2024'!$F:$F,$F308)</f>
        <v>0</v>
      </c>
      <c r="M308" s="140">
        <f ca="1">SUMIFS('F20-2024'!M:M,'F20-2024'!$D:$D,$D308,'F20-2024'!$E:$E,$E308,'F20-2024'!$F:$F,$F308)</f>
        <v>0</v>
      </c>
      <c r="N308" s="140">
        <f ca="1">SUMIFS('F20-2024'!N:N,'F20-2024'!$D:$D,$D308,'F20-2024'!$E:$E,$E308,'F20-2024'!$F:$F,$F308)</f>
        <v>0</v>
      </c>
      <c r="O308" s="140">
        <f ca="1">SUMIFS('F20-2024'!O:O,'F20-2024'!$D:$D,$D308,'F20-2024'!$E:$E,$E308,'F20-2024'!$F:$F,$F308)</f>
        <v>0</v>
      </c>
      <c r="P308" s="140">
        <f ca="1">SUMIFS('F20-2024'!P:P,'F20-2024'!$D:$D,$D308,'F20-2024'!$E:$E,$E308,'F20-2024'!$F:$F,$F308)</f>
        <v>0</v>
      </c>
      <c r="Q308" s="140">
        <f ca="1">SUMIFS('F20-2024'!Q:Q,'F20-2024'!$D:$D,$D308,'F20-2024'!$E:$E,$E308,'F20-2024'!$F:$F,$F308)</f>
        <v>0</v>
      </c>
      <c r="R308" s="140">
        <f ca="1">SUMIFS('F20-2024'!R:R,'F20-2024'!$D:$D,$D308,'F20-2024'!$E:$E,$E308,'F20-2024'!$F:$F,$F308)</f>
        <v>0</v>
      </c>
      <c r="S308" s="140">
        <f ca="1">SUMIFS('F20-2024'!S:S,'F20-2024'!$D:$D,$D308,'F20-2024'!$E:$E,$E308,'F20-2024'!$F:$F,$F308)</f>
        <v>0</v>
      </c>
      <c r="T308" s="140">
        <f ca="1">SUMIFS('F20-2024'!T:T,'F20-2024'!$D:$D,$D308,'F20-2024'!$E:$E,$E308,'F20-2024'!$F:$F,$F308)</f>
        <v>0</v>
      </c>
      <c r="U308" s="140">
        <f ca="1">SUMIFS('F20-2024'!U:U,'F20-2024'!$D:$D,$D308,'F20-2024'!$E:$E,$E308,'F20-2024'!$F:$F,$F308)</f>
        <v>0</v>
      </c>
      <c r="V308" s="140"/>
      <c r="W308" s="141" t="e">
        <f t="shared" ref="W308:AA308" ca="1" si="614">J308/$I308</f>
        <v>#DIV/0!</v>
      </c>
      <c r="X308" s="141" t="e">
        <f t="shared" ca="1" si="614"/>
        <v>#DIV/0!</v>
      </c>
      <c r="Y308" s="141" t="e">
        <f t="shared" ca="1" si="614"/>
        <v>#DIV/0!</v>
      </c>
      <c r="Z308" s="141" t="e">
        <f t="shared" ca="1" si="614"/>
        <v>#DIV/0!</v>
      </c>
      <c r="AA308" s="141" t="e">
        <f t="shared" ca="1" si="614"/>
        <v>#DIV/0!</v>
      </c>
      <c r="AB308" s="141"/>
      <c r="AC308" s="141" t="e">
        <f t="shared" ca="1" si="512"/>
        <v>#DIV/0!</v>
      </c>
      <c r="AD308" s="141" t="e">
        <f t="shared" ref="AD308:AI308" ca="1" si="615">O308/$I308</f>
        <v>#DIV/0!</v>
      </c>
      <c r="AE308" s="141" t="e">
        <f t="shared" ca="1" si="615"/>
        <v>#DIV/0!</v>
      </c>
      <c r="AF308" s="141" t="e">
        <f t="shared" ca="1" si="615"/>
        <v>#DIV/0!</v>
      </c>
      <c r="AG308" s="141" t="e">
        <f t="shared" ca="1" si="615"/>
        <v>#DIV/0!</v>
      </c>
      <c r="AH308" s="141" t="e">
        <f t="shared" ca="1" si="615"/>
        <v>#DIV/0!</v>
      </c>
      <c r="AI308" s="141" t="e">
        <f t="shared" ca="1" si="615"/>
        <v>#DIV/0!</v>
      </c>
      <c r="AJ308" s="140"/>
    </row>
    <row r="309" spans="1:36">
      <c r="A309" s="140" t="e">
        <f ca="1"/>
        <v>#NAME?</v>
      </c>
      <c r="B309" s="140" t="e">
        <f ca="1"/>
        <v>#NAME?</v>
      </c>
      <c r="C309" s="140" t="e">
        <f ca="1"/>
        <v>#NAME?</v>
      </c>
      <c r="D309" s="140" t="e">
        <f ca="1"/>
        <v>#NAME?</v>
      </c>
      <c r="E309" s="140" t="e">
        <f ca="1"/>
        <v>#NAME?</v>
      </c>
      <c r="F309" s="140" t="e">
        <f ca="1"/>
        <v>#NAME?</v>
      </c>
      <c r="G309" s="140" t="e">
        <f ca="1"/>
        <v>#NAME?</v>
      </c>
      <c r="H309" s="140"/>
      <c r="I309" s="140">
        <f ca="1">SUMIFS('F20-2024'!I:I,'F20-2024'!$D:$D,$D309,'F20-2024'!$E:$E,$E309,'F20-2024'!$F:$F,$F309)</f>
        <v>0</v>
      </c>
      <c r="J309" s="140">
        <f ca="1">SUMIFS('F20-2024'!J:J,'F20-2024'!$D:$D,$D309,'F20-2024'!$E:$E,$E309,'F20-2024'!$F:$F,$F309)</f>
        <v>0</v>
      </c>
      <c r="K309" s="140">
        <f ca="1">SUMIFS('F20-2024'!K:K,'F20-2024'!$D:$D,$D309,'F20-2024'!$E:$E,$E309,'F20-2024'!$F:$F,$F309)</f>
        <v>0</v>
      </c>
      <c r="L309" s="140">
        <f ca="1">SUMIFS('F20-2024'!L:L,'F20-2024'!$D:$D,$D309,'F20-2024'!$E:$E,$E309,'F20-2024'!$F:$F,$F309)</f>
        <v>0</v>
      </c>
      <c r="M309" s="140">
        <f ca="1">SUMIFS('F20-2024'!M:M,'F20-2024'!$D:$D,$D309,'F20-2024'!$E:$E,$E309,'F20-2024'!$F:$F,$F309)</f>
        <v>0</v>
      </c>
      <c r="N309" s="140">
        <f ca="1">SUMIFS('F20-2024'!N:N,'F20-2024'!$D:$D,$D309,'F20-2024'!$E:$E,$E309,'F20-2024'!$F:$F,$F309)</f>
        <v>0</v>
      </c>
      <c r="O309" s="140">
        <f ca="1">SUMIFS('F20-2024'!O:O,'F20-2024'!$D:$D,$D309,'F20-2024'!$E:$E,$E309,'F20-2024'!$F:$F,$F309)</f>
        <v>0</v>
      </c>
      <c r="P309" s="140">
        <f ca="1">SUMIFS('F20-2024'!P:P,'F20-2024'!$D:$D,$D309,'F20-2024'!$E:$E,$E309,'F20-2024'!$F:$F,$F309)</f>
        <v>0</v>
      </c>
      <c r="Q309" s="140">
        <f ca="1">SUMIFS('F20-2024'!Q:Q,'F20-2024'!$D:$D,$D309,'F20-2024'!$E:$E,$E309,'F20-2024'!$F:$F,$F309)</f>
        <v>0</v>
      </c>
      <c r="R309" s="140">
        <f ca="1">SUMIFS('F20-2024'!R:R,'F20-2024'!$D:$D,$D309,'F20-2024'!$E:$E,$E309,'F20-2024'!$F:$F,$F309)</f>
        <v>0</v>
      </c>
      <c r="S309" s="140">
        <f ca="1">SUMIFS('F20-2024'!S:S,'F20-2024'!$D:$D,$D309,'F20-2024'!$E:$E,$E309,'F20-2024'!$F:$F,$F309)</f>
        <v>0</v>
      </c>
      <c r="T309" s="140">
        <f ca="1">SUMIFS('F20-2024'!T:T,'F20-2024'!$D:$D,$D309,'F20-2024'!$E:$E,$E309,'F20-2024'!$F:$F,$F309)</f>
        <v>0</v>
      </c>
      <c r="U309" s="140">
        <f ca="1">SUMIFS('F20-2024'!U:U,'F20-2024'!$D:$D,$D309,'F20-2024'!$E:$E,$E309,'F20-2024'!$F:$F,$F309)</f>
        <v>0</v>
      </c>
      <c r="V309" s="140"/>
      <c r="W309" s="141" t="e">
        <f t="shared" ref="W309:AA309" ca="1" si="616">J309/$I309</f>
        <v>#DIV/0!</v>
      </c>
      <c r="X309" s="141" t="e">
        <f t="shared" ca="1" si="616"/>
        <v>#DIV/0!</v>
      </c>
      <c r="Y309" s="141" t="e">
        <f t="shared" ca="1" si="616"/>
        <v>#DIV/0!</v>
      </c>
      <c r="Z309" s="141" t="e">
        <f t="shared" ca="1" si="616"/>
        <v>#DIV/0!</v>
      </c>
      <c r="AA309" s="141" t="e">
        <f t="shared" ca="1" si="616"/>
        <v>#DIV/0!</v>
      </c>
      <c r="AB309" s="141"/>
      <c r="AC309" s="141" t="e">
        <f t="shared" ca="1" si="512"/>
        <v>#DIV/0!</v>
      </c>
      <c r="AD309" s="141" t="e">
        <f t="shared" ref="AD309:AI309" ca="1" si="617">O309/$I309</f>
        <v>#DIV/0!</v>
      </c>
      <c r="AE309" s="141" t="e">
        <f t="shared" ca="1" si="617"/>
        <v>#DIV/0!</v>
      </c>
      <c r="AF309" s="141" t="e">
        <f t="shared" ca="1" si="617"/>
        <v>#DIV/0!</v>
      </c>
      <c r="AG309" s="141" t="e">
        <f t="shared" ca="1" si="617"/>
        <v>#DIV/0!</v>
      </c>
      <c r="AH309" s="141" t="e">
        <f t="shared" ca="1" si="617"/>
        <v>#DIV/0!</v>
      </c>
      <c r="AI309" s="141" t="e">
        <f t="shared" ca="1" si="617"/>
        <v>#DIV/0!</v>
      </c>
      <c r="AJ309" s="140"/>
    </row>
    <row r="310" spans="1:36">
      <c r="A310" s="140" t="e">
        <f ca="1"/>
        <v>#NAME?</v>
      </c>
      <c r="B310" s="140" t="e">
        <f ca="1"/>
        <v>#NAME?</v>
      </c>
      <c r="C310" s="140" t="e">
        <f ca="1"/>
        <v>#NAME?</v>
      </c>
      <c r="D310" s="140" t="e">
        <f ca="1"/>
        <v>#NAME?</v>
      </c>
      <c r="E310" s="140" t="e">
        <f ca="1"/>
        <v>#NAME?</v>
      </c>
      <c r="F310" s="140" t="e">
        <f ca="1"/>
        <v>#NAME?</v>
      </c>
      <c r="G310" s="140" t="e">
        <f ca="1"/>
        <v>#NAME?</v>
      </c>
      <c r="H310" s="140"/>
      <c r="I310" s="140">
        <f ca="1">SUMIFS('F20-2024'!I:I,'F20-2024'!$D:$D,$D310,'F20-2024'!$E:$E,$E310,'F20-2024'!$F:$F,$F310)</f>
        <v>0</v>
      </c>
      <c r="J310" s="140">
        <f ca="1">SUMIFS('F20-2024'!J:J,'F20-2024'!$D:$D,$D310,'F20-2024'!$E:$E,$E310,'F20-2024'!$F:$F,$F310)</f>
        <v>0</v>
      </c>
      <c r="K310" s="140">
        <f ca="1">SUMIFS('F20-2024'!K:K,'F20-2024'!$D:$D,$D310,'F20-2024'!$E:$E,$E310,'F20-2024'!$F:$F,$F310)</f>
        <v>0</v>
      </c>
      <c r="L310" s="140">
        <f ca="1">SUMIFS('F20-2024'!L:L,'F20-2024'!$D:$D,$D310,'F20-2024'!$E:$E,$E310,'F20-2024'!$F:$F,$F310)</f>
        <v>0</v>
      </c>
      <c r="M310" s="140">
        <f ca="1">SUMIFS('F20-2024'!M:M,'F20-2024'!$D:$D,$D310,'F20-2024'!$E:$E,$E310,'F20-2024'!$F:$F,$F310)</f>
        <v>0</v>
      </c>
      <c r="N310" s="140">
        <f ca="1">SUMIFS('F20-2024'!N:N,'F20-2024'!$D:$D,$D310,'F20-2024'!$E:$E,$E310,'F20-2024'!$F:$F,$F310)</f>
        <v>0</v>
      </c>
      <c r="O310" s="140">
        <f ca="1">SUMIFS('F20-2024'!O:O,'F20-2024'!$D:$D,$D310,'F20-2024'!$E:$E,$E310,'F20-2024'!$F:$F,$F310)</f>
        <v>0</v>
      </c>
      <c r="P310" s="140">
        <f ca="1">SUMIFS('F20-2024'!P:P,'F20-2024'!$D:$D,$D310,'F20-2024'!$E:$E,$E310,'F20-2024'!$F:$F,$F310)</f>
        <v>0</v>
      </c>
      <c r="Q310" s="140">
        <f ca="1">SUMIFS('F20-2024'!Q:Q,'F20-2024'!$D:$D,$D310,'F20-2024'!$E:$E,$E310,'F20-2024'!$F:$F,$F310)</f>
        <v>0</v>
      </c>
      <c r="R310" s="140">
        <f ca="1">SUMIFS('F20-2024'!R:R,'F20-2024'!$D:$D,$D310,'F20-2024'!$E:$E,$E310,'F20-2024'!$F:$F,$F310)</f>
        <v>0</v>
      </c>
      <c r="S310" s="140">
        <f ca="1">SUMIFS('F20-2024'!S:S,'F20-2024'!$D:$D,$D310,'F20-2024'!$E:$E,$E310,'F20-2024'!$F:$F,$F310)</f>
        <v>0</v>
      </c>
      <c r="T310" s="140">
        <f ca="1">SUMIFS('F20-2024'!T:T,'F20-2024'!$D:$D,$D310,'F20-2024'!$E:$E,$E310,'F20-2024'!$F:$F,$F310)</f>
        <v>0</v>
      </c>
      <c r="U310" s="140">
        <f ca="1">SUMIFS('F20-2024'!U:U,'F20-2024'!$D:$D,$D310,'F20-2024'!$E:$E,$E310,'F20-2024'!$F:$F,$F310)</f>
        <v>0</v>
      </c>
      <c r="V310" s="140"/>
      <c r="W310" s="141" t="e">
        <f t="shared" ref="W310:AA310" ca="1" si="618">J310/$I310</f>
        <v>#DIV/0!</v>
      </c>
      <c r="X310" s="141" t="e">
        <f t="shared" ca="1" si="618"/>
        <v>#DIV/0!</v>
      </c>
      <c r="Y310" s="141" t="e">
        <f t="shared" ca="1" si="618"/>
        <v>#DIV/0!</v>
      </c>
      <c r="Z310" s="141" t="e">
        <f t="shared" ca="1" si="618"/>
        <v>#DIV/0!</v>
      </c>
      <c r="AA310" s="141" t="e">
        <f t="shared" ca="1" si="618"/>
        <v>#DIV/0!</v>
      </c>
      <c r="AB310" s="141"/>
      <c r="AC310" s="141" t="e">
        <f t="shared" ca="1" si="512"/>
        <v>#DIV/0!</v>
      </c>
      <c r="AD310" s="141" t="e">
        <f t="shared" ref="AD310:AI310" ca="1" si="619">O310/$I310</f>
        <v>#DIV/0!</v>
      </c>
      <c r="AE310" s="141" t="e">
        <f t="shared" ca="1" si="619"/>
        <v>#DIV/0!</v>
      </c>
      <c r="AF310" s="141" t="e">
        <f t="shared" ca="1" si="619"/>
        <v>#DIV/0!</v>
      </c>
      <c r="AG310" s="141" t="e">
        <f t="shared" ca="1" si="619"/>
        <v>#DIV/0!</v>
      </c>
      <c r="AH310" s="141" t="e">
        <f t="shared" ca="1" si="619"/>
        <v>#DIV/0!</v>
      </c>
      <c r="AI310" s="141" t="e">
        <f t="shared" ca="1" si="619"/>
        <v>#DIV/0!</v>
      </c>
      <c r="AJ310" s="140"/>
    </row>
    <row r="311" spans="1:36">
      <c r="A311" s="140" t="e">
        <f ca="1"/>
        <v>#NAME?</v>
      </c>
      <c r="B311" s="140" t="e">
        <f ca="1"/>
        <v>#NAME?</v>
      </c>
      <c r="C311" s="140" t="e">
        <f ca="1"/>
        <v>#NAME?</v>
      </c>
      <c r="D311" s="140" t="e">
        <f ca="1"/>
        <v>#NAME?</v>
      </c>
      <c r="E311" s="140" t="e">
        <f ca="1"/>
        <v>#NAME?</v>
      </c>
      <c r="F311" s="140" t="e">
        <f ca="1"/>
        <v>#NAME?</v>
      </c>
      <c r="G311" s="140" t="e">
        <f ca="1"/>
        <v>#NAME?</v>
      </c>
      <c r="H311" s="140"/>
      <c r="I311" s="140">
        <f ca="1">SUMIFS('F20-2024'!I:I,'F20-2024'!$D:$D,$D311,'F20-2024'!$E:$E,$E311,'F20-2024'!$F:$F,$F311)</f>
        <v>0</v>
      </c>
      <c r="J311" s="140">
        <f ca="1">SUMIFS('F20-2024'!J:J,'F20-2024'!$D:$D,$D311,'F20-2024'!$E:$E,$E311,'F20-2024'!$F:$F,$F311)</f>
        <v>0</v>
      </c>
      <c r="K311" s="140">
        <f ca="1">SUMIFS('F20-2024'!K:K,'F20-2024'!$D:$D,$D311,'F20-2024'!$E:$E,$E311,'F20-2024'!$F:$F,$F311)</f>
        <v>0</v>
      </c>
      <c r="L311" s="140">
        <f ca="1">SUMIFS('F20-2024'!L:L,'F20-2024'!$D:$D,$D311,'F20-2024'!$E:$E,$E311,'F20-2024'!$F:$F,$F311)</f>
        <v>0</v>
      </c>
      <c r="M311" s="140">
        <f ca="1">SUMIFS('F20-2024'!M:M,'F20-2024'!$D:$D,$D311,'F20-2024'!$E:$E,$E311,'F20-2024'!$F:$F,$F311)</f>
        <v>0</v>
      </c>
      <c r="N311" s="140">
        <f ca="1">SUMIFS('F20-2024'!N:N,'F20-2024'!$D:$D,$D311,'F20-2024'!$E:$E,$E311,'F20-2024'!$F:$F,$F311)</f>
        <v>0</v>
      </c>
      <c r="O311" s="140">
        <f ca="1">SUMIFS('F20-2024'!O:O,'F20-2024'!$D:$D,$D311,'F20-2024'!$E:$E,$E311,'F20-2024'!$F:$F,$F311)</f>
        <v>0</v>
      </c>
      <c r="P311" s="140">
        <f ca="1">SUMIFS('F20-2024'!P:P,'F20-2024'!$D:$D,$D311,'F20-2024'!$E:$E,$E311,'F20-2024'!$F:$F,$F311)</f>
        <v>0</v>
      </c>
      <c r="Q311" s="140">
        <f ca="1">SUMIFS('F20-2024'!Q:Q,'F20-2024'!$D:$D,$D311,'F20-2024'!$E:$E,$E311,'F20-2024'!$F:$F,$F311)</f>
        <v>0</v>
      </c>
      <c r="R311" s="140">
        <f ca="1">SUMIFS('F20-2024'!R:R,'F20-2024'!$D:$D,$D311,'F20-2024'!$E:$E,$E311,'F20-2024'!$F:$F,$F311)</f>
        <v>0</v>
      </c>
      <c r="S311" s="140">
        <f ca="1">SUMIFS('F20-2024'!S:S,'F20-2024'!$D:$D,$D311,'F20-2024'!$E:$E,$E311,'F20-2024'!$F:$F,$F311)</f>
        <v>0</v>
      </c>
      <c r="T311" s="140">
        <f ca="1">SUMIFS('F20-2024'!T:T,'F20-2024'!$D:$D,$D311,'F20-2024'!$E:$E,$E311,'F20-2024'!$F:$F,$F311)</f>
        <v>0</v>
      </c>
      <c r="U311" s="140">
        <f ca="1">SUMIFS('F20-2024'!U:U,'F20-2024'!$D:$D,$D311,'F20-2024'!$E:$E,$E311,'F20-2024'!$F:$F,$F311)</f>
        <v>0</v>
      </c>
      <c r="V311" s="140"/>
      <c r="W311" s="141" t="e">
        <f t="shared" ref="W311:AA311" ca="1" si="620">J311/$I311</f>
        <v>#DIV/0!</v>
      </c>
      <c r="X311" s="141" t="e">
        <f t="shared" ca="1" si="620"/>
        <v>#DIV/0!</v>
      </c>
      <c r="Y311" s="141" t="e">
        <f t="shared" ca="1" si="620"/>
        <v>#DIV/0!</v>
      </c>
      <c r="Z311" s="141" t="e">
        <f t="shared" ca="1" si="620"/>
        <v>#DIV/0!</v>
      </c>
      <c r="AA311" s="141" t="e">
        <f t="shared" ca="1" si="620"/>
        <v>#DIV/0!</v>
      </c>
      <c r="AB311" s="141"/>
      <c r="AC311" s="141" t="e">
        <f t="shared" ca="1" si="512"/>
        <v>#DIV/0!</v>
      </c>
      <c r="AD311" s="141" t="e">
        <f t="shared" ref="AD311:AI311" ca="1" si="621">O311/$I311</f>
        <v>#DIV/0!</v>
      </c>
      <c r="AE311" s="141" t="e">
        <f t="shared" ca="1" si="621"/>
        <v>#DIV/0!</v>
      </c>
      <c r="AF311" s="141" t="e">
        <f t="shared" ca="1" si="621"/>
        <v>#DIV/0!</v>
      </c>
      <c r="AG311" s="141" t="e">
        <f t="shared" ca="1" si="621"/>
        <v>#DIV/0!</v>
      </c>
      <c r="AH311" s="141" t="e">
        <f t="shared" ca="1" si="621"/>
        <v>#DIV/0!</v>
      </c>
      <c r="AI311" s="141" t="e">
        <f t="shared" ca="1" si="621"/>
        <v>#DIV/0!</v>
      </c>
      <c r="AJ311" s="140"/>
    </row>
    <row r="312" spans="1:36">
      <c r="A312" s="140" t="e">
        <f ca="1"/>
        <v>#NAME?</v>
      </c>
      <c r="B312" s="140" t="e">
        <f ca="1"/>
        <v>#NAME?</v>
      </c>
      <c r="C312" s="140" t="e">
        <f ca="1"/>
        <v>#NAME?</v>
      </c>
      <c r="D312" s="140" t="e">
        <f ca="1"/>
        <v>#NAME?</v>
      </c>
      <c r="E312" s="140" t="e">
        <f ca="1"/>
        <v>#NAME?</v>
      </c>
      <c r="F312" s="140" t="e">
        <f ca="1"/>
        <v>#NAME?</v>
      </c>
      <c r="G312" s="140" t="e">
        <f ca="1"/>
        <v>#NAME?</v>
      </c>
      <c r="H312" s="140"/>
      <c r="I312" s="140">
        <f ca="1">SUMIFS('F20-2024'!I:I,'F20-2024'!$D:$D,$D312,'F20-2024'!$E:$E,$E312,'F20-2024'!$F:$F,$F312)</f>
        <v>0</v>
      </c>
      <c r="J312" s="140">
        <f ca="1">SUMIFS('F20-2024'!J:J,'F20-2024'!$D:$D,$D312,'F20-2024'!$E:$E,$E312,'F20-2024'!$F:$F,$F312)</f>
        <v>0</v>
      </c>
      <c r="K312" s="140">
        <f ca="1">SUMIFS('F20-2024'!K:K,'F20-2024'!$D:$D,$D312,'F20-2024'!$E:$E,$E312,'F20-2024'!$F:$F,$F312)</f>
        <v>0</v>
      </c>
      <c r="L312" s="140">
        <f ca="1">SUMIFS('F20-2024'!L:L,'F20-2024'!$D:$D,$D312,'F20-2024'!$E:$E,$E312,'F20-2024'!$F:$F,$F312)</f>
        <v>0</v>
      </c>
      <c r="M312" s="140">
        <f ca="1">SUMIFS('F20-2024'!M:M,'F20-2024'!$D:$D,$D312,'F20-2024'!$E:$E,$E312,'F20-2024'!$F:$F,$F312)</f>
        <v>0</v>
      </c>
      <c r="N312" s="140">
        <f ca="1">SUMIFS('F20-2024'!N:N,'F20-2024'!$D:$D,$D312,'F20-2024'!$E:$E,$E312,'F20-2024'!$F:$F,$F312)</f>
        <v>0</v>
      </c>
      <c r="O312" s="140">
        <f ca="1">SUMIFS('F20-2024'!O:O,'F20-2024'!$D:$D,$D312,'F20-2024'!$E:$E,$E312,'F20-2024'!$F:$F,$F312)</f>
        <v>0</v>
      </c>
      <c r="P312" s="140">
        <f ca="1">SUMIFS('F20-2024'!P:P,'F20-2024'!$D:$D,$D312,'F20-2024'!$E:$E,$E312,'F20-2024'!$F:$F,$F312)</f>
        <v>0</v>
      </c>
      <c r="Q312" s="140">
        <f ca="1">SUMIFS('F20-2024'!Q:Q,'F20-2024'!$D:$D,$D312,'F20-2024'!$E:$E,$E312,'F20-2024'!$F:$F,$F312)</f>
        <v>0</v>
      </c>
      <c r="R312" s="140">
        <f ca="1">SUMIFS('F20-2024'!R:R,'F20-2024'!$D:$D,$D312,'F20-2024'!$E:$E,$E312,'F20-2024'!$F:$F,$F312)</f>
        <v>0</v>
      </c>
      <c r="S312" s="140">
        <f ca="1">SUMIFS('F20-2024'!S:S,'F20-2024'!$D:$D,$D312,'F20-2024'!$E:$E,$E312,'F20-2024'!$F:$F,$F312)</f>
        <v>0</v>
      </c>
      <c r="T312" s="140">
        <f ca="1">SUMIFS('F20-2024'!T:T,'F20-2024'!$D:$D,$D312,'F20-2024'!$E:$E,$E312,'F20-2024'!$F:$F,$F312)</f>
        <v>0</v>
      </c>
      <c r="U312" s="140">
        <f ca="1">SUMIFS('F20-2024'!U:U,'F20-2024'!$D:$D,$D312,'F20-2024'!$E:$E,$E312,'F20-2024'!$F:$F,$F312)</f>
        <v>0</v>
      </c>
      <c r="V312" s="140"/>
      <c r="W312" s="141" t="e">
        <f t="shared" ref="W312:AA312" ca="1" si="622">J312/$I312</f>
        <v>#DIV/0!</v>
      </c>
      <c r="X312" s="141" t="e">
        <f t="shared" ca="1" si="622"/>
        <v>#DIV/0!</v>
      </c>
      <c r="Y312" s="141" t="e">
        <f t="shared" ca="1" si="622"/>
        <v>#DIV/0!</v>
      </c>
      <c r="Z312" s="141" t="e">
        <f t="shared" ca="1" si="622"/>
        <v>#DIV/0!</v>
      </c>
      <c r="AA312" s="141" t="e">
        <f t="shared" ca="1" si="622"/>
        <v>#DIV/0!</v>
      </c>
      <c r="AB312" s="141"/>
      <c r="AC312" s="141" t="e">
        <f t="shared" ca="1" si="512"/>
        <v>#DIV/0!</v>
      </c>
      <c r="AD312" s="141" t="e">
        <f t="shared" ref="AD312:AI312" ca="1" si="623">O312/$I312</f>
        <v>#DIV/0!</v>
      </c>
      <c r="AE312" s="141" t="e">
        <f t="shared" ca="1" si="623"/>
        <v>#DIV/0!</v>
      </c>
      <c r="AF312" s="141" t="e">
        <f t="shared" ca="1" si="623"/>
        <v>#DIV/0!</v>
      </c>
      <c r="AG312" s="141" t="e">
        <f t="shared" ca="1" si="623"/>
        <v>#DIV/0!</v>
      </c>
      <c r="AH312" s="141" t="e">
        <f t="shared" ca="1" si="623"/>
        <v>#DIV/0!</v>
      </c>
      <c r="AI312" s="141" t="e">
        <f t="shared" ca="1" si="623"/>
        <v>#DIV/0!</v>
      </c>
      <c r="AJ312" s="140"/>
    </row>
    <row r="313" spans="1:36">
      <c r="A313" s="140" t="e">
        <f ca="1"/>
        <v>#NAME?</v>
      </c>
      <c r="B313" s="140" t="e">
        <f ca="1"/>
        <v>#NAME?</v>
      </c>
      <c r="C313" s="140" t="e">
        <f ca="1"/>
        <v>#NAME?</v>
      </c>
      <c r="D313" s="140" t="e">
        <f ca="1"/>
        <v>#NAME?</v>
      </c>
      <c r="E313" s="140" t="e">
        <f ca="1"/>
        <v>#NAME?</v>
      </c>
      <c r="F313" s="140" t="e">
        <f ca="1"/>
        <v>#NAME?</v>
      </c>
      <c r="G313" s="140" t="e">
        <f ca="1"/>
        <v>#NAME?</v>
      </c>
      <c r="H313" s="140"/>
      <c r="I313" s="140">
        <f ca="1">SUMIFS('F20-2024'!I:I,'F20-2024'!$D:$D,$D313,'F20-2024'!$E:$E,$E313,'F20-2024'!$F:$F,$F313)</f>
        <v>0</v>
      </c>
      <c r="J313" s="140">
        <f ca="1">SUMIFS('F20-2024'!J:J,'F20-2024'!$D:$D,$D313,'F20-2024'!$E:$E,$E313,'F20-2024'!$F:$F,$F313)</f>
        <v>0</v>
      </c>
      <c r="K313" s="140">
        <f ca="1">SUMIFS('F20-2024'!K:K,'F20-2024'!$D:$D,$D313,'F20-2024'!$E:$E,$E313,'F20-2024'!$F:$F,$F313)</f>
        <v>0</v>
      </c>
      <c r="L313" s="140">
        <f ca="1">SUMIFS('F20-2024'!L:L,'F20-2024'!$D:$D,$D313,'F20-2024'!$E:$E,$E313,'F20-2024'!$F:$F,$F313)</f>
        <v>0</v>
      </c>
      <c r="M313" s="140">
        <f ca="1">SUMIFS('F20-2024'!M:M,'F20-2024'!$D:$D,$D313,'F20-2024'!$E:$E,$E313,'F20-2024'!$F:$F,$F313)</f>
        <v>0</v>
      </c>
      <c r="N313" s="140">
        <f ca="1">SUMIFS('F20-2024'!N:N,'F20-2024'!$D:$D,$D313,'F20-2024'!$E:$E,$E313,'F20-2024'!$F:$F,$F313)</f>
        <v>0</v>
      </c>
      <c r="O313" s="140">
        <f ca="1">SUMIFS('F20-2024'!O:O,'F20-2024'!$D:$D,$D313,'F20-2024'!$E:$E,$E313,'F20-2024'!$F:$F,$F313)</f>
        <v>0</v>
      </c>
      <c r="P313" s="140">
        <f ca="1">SUMIFS('F20-2024'!P:P,'F20-2024'!$D:$D,$D313,'F20-2024'!$E:$E,$E313,'F20-2024'!$F:$F,$F313)</f>
        <v>0</v>
      </c>
      <c r="Q313" s="140">
        <f ca="1">SUMIFS('F20-2024'!Q:Q,'F20-2024'!$D:$D,$D313,'F20-2024'!$E:$E,$E313,'F20-2024'!$F:$F,$F313)</f>
        <v>0</v>
      </c>
      <c r="R313" s="140">
        <f ca="1">SUMIFS('F20-2024'!R:R,'F20-2024'!$D:$D,$D313,'F20-2024'!$E:$E,$E313,'F20-2024'!$F:$F,$F313)</f>
        <v>0</v>
      </c>
      <c r="S313" s="140">
        <f ca="1">SUMIFS('F20-2024'!S:S,'F20-2024'!$D:$D,$D313,'F20-2024'!$E:$E,$E313,'F20-2024'!$F:$F,$F313)</f>
        <v>0</v>
      </c>
      <c r="T313" s="140">
        <f ca="1">SUMIFS('F20-2024'!T:T,'F20-2024'!$D:$D,$D313,'F20-2024'!$E:$E,$E313,'F20-2024'!$F:$F,$F313)</f>
        <v>0</v>
      </c>
      <c r="U313" s="140">
        <f ca="1">SUMIFS('F20-2024'!U:U,'F20-2024'!$D:$D,$D313,'F20-2024'!$E:$E,$E313,'F20-2024'!$F:$F,$F313)</f>
        <v>0</v>
      </c>
      <c r="V313" s="140"/>
      <c r="W313" s="141" t="e">
        <f t="shared" ref="W313:AA313" ca="1" si="624">J313/$I313</f>
        <v>#DIV/0!</v>
      </c>
      <c r="X313" s="141" t="e">
        <f t="shared" ca="1" si="624"/>
        <v>#DIV/0!</v>
      </c>
      <c r="Y313" s="141" t="e">
        <f t="shared" ca="1" si="624"/>
        <v>#DIV/0!</v>
      </c>
      <c r="Z313" s="141" t="e">
        <f t="shared" ca="1" si="624"/>
        <v>#DIV/0!</v>
      </c>
      <c r="AA313" s="141" t="e">
        <f t="shared" ca="1" si="624"/>
        <v>#DIV/0!</v>
      </c>
      <c r="AB313" s="141"/>
      <c r="AC313" s="141" t="e">
        <f t="shared" ca="1" si="512"/>
        <v>#DIV/0!</v>
      </c>
      <c r="AD313" s="141" t="e">
        <f t="shared" ref="AD313:AI313" ca="1" si="625">O313/$I313</f>
        <v>#DIV/0!</v>
      </c>
      <c r="AE313" s="141" t="e">
        <f t="shared" ca="1" si="625"/>
        <v>#DIV/0!</v>
      </c>
      <c r="AF313" s="141" t="e">
        <f t="shared" ca="1" si="625"/>
        <v>#DIV/0!</v>
      </c>
      <c r="AG313" s="141" t="e">
        <f t="shared" ca="1" si="625"/>
        <v>#DIV/0!</v>
      </c>
      <c r="AH313" s="141" t="e">
        <f t="shared" ca="1" si="625"/>
        <v>#DIV/0!</v>
      </c>
      <c r="AI313" s="141" t="e">
        <f t="shared" ca="1" si="625"/>
        <v>#DIV/0!</v>
      </c>
      <c r="AJ313" s="140"/>
    </row>
    <row r="314" spans="1:36">
      <c r="A314" s="140" t="e">
        <f ca="1"/>
        <v>#NAME?</v>
      </c>
      <c r="B314" s="140" t="e">
        <f ca="1"/>
        <v>#NAME?</v>
      </c>
      <c r="C314" s="140" t="e">
        <f ca="1"/>
        <v>#NAME?</v>
      </c>
      <c r="D314" s="140" t="e">
        <f ca="1"/>
        <v>#NAME?</v>
      </c>
      <c r="E314" s="140" t="e">
        <f ca="1"/>
        <v>#NAME?</v>
      </c>
      <c r="F314" s="140" t="e">
        <f ca="1"/>
        <v>#NAME?</v>
      </c>
      <c r="G314" s="140" t="e">
        <f ca="1"/>
        <v>#NAME?</v>
      </c>
      <c r="H314" s="140"/>
      <c r="I314" s="140">
        <f ca="1">SUMIFS('F20-2024'!I:I,'F20-2024'!$D:$D,$D314,'F20-2024'!$E:$E,$E314,'F20-2024'!$F:$F,$F314)</f>
        <v>0</v>
      </c>
      <c r="J314" s="140">
        <f ca="1">SUMIFS('F20-2024'!J:J,'F20-2024'!$D:$D,$D314,'F20-2024'!$E:$E,$E314,'F20-2024'!$F:$F,$F314)</f>
        <v>0</v>
      </c>
      <c r="K314" s="140">
        <f ca="1">SUMIFS('F20-2024'!K:K,'F20-2024'!$D:$D,$D314,'F20-2024'!$E:$E,$E314,'F20-2024'!$F:$F,$F314)</f>
        <v>0</v>
      </c>
      <c r="L314" s="140">
        <f ca="1">SUMIFS('F20-2024'!L:L,'F20-2024'!$D:$D,$D314,'F20-2024'!$E:$E,$E314,'F20-2024'!$F:$F,$F314)</f>
        <v>0</v>
      </c>
      <c r="M314" s="140">
        <f ca="1">SUMIFS('F20-2024'!M:M,'F20-2024'!$D:$D,$D314,'F20-2024'!$E:$E,$E314,'F20-2024'!$F:$F,$F314)</f>
        <v>0</v>
      </c>
      <c r="N314" s="140">
        <f ca="1">SUMIFS('F20-2024'!N:N,'F20-2024'!$D:$D,$D314,'F20-2024'!$E:$E,$E314,'F20-2024'!$F:$F,$F314)</f>
        <v>0</v>
      </c>
      <c r="O314" s="140">
        <f ca="1">SUMIFS('F20-2024'!O:O,'F20-2024'!$D:$D,$D314,'F20-2024'!$E:$E,$E314,'F20-2024'!$F:$F,$F314)</f>
        <v>0</v>
      </c>
      <c r="P314" s="140">
        <f ca="1">SUMIFS('F20-2024'!P:P,'F20-2024'!$D:$D,$D314,'F20-2024'!$E:$E,$E314,'F20-2024'!$F:$F,$F314)</f>
        <v>0</v>
      </c>
      <c r="Q314" s="140">
        <f ca="1">SUMIFS('F20-2024'!Q:Q,'F20-2024'!$D:$D,$D314,'F20-2024'!$E:$E,$E314,'F20-2024'!$F:$F,$F314)</f>
        <v>0</v>
      </c>
      <c r="R314" s="140">
        <f ca="1">SUMIFS('F20-2024'!R:R,'F20-2024'!$D:$D,$D314,'F20-2024'!$E:$E,$E314,'F20-2024'!$F:$F,$F314)</f>
        <v>0</v>
      </c>
      <c r="S314" s="140">
        <f ca="1">SUMIFS('F20-2024'!S:S,'F20-2024'!$D:$D,$D314,'F20-2024'!$E:$E,$E314,'F20-2024'!$F:$F,$F314)</f>
        <v>0</v>
      </c>
      <c r="T314" s="140">
        <f ca="1">SUMIFS('F20-2024'!T:T,'F20-2024'!$D:$D,$D314,'F20-2024'!$E:$E,$E314,'F20-2024'!$F:$F,$F314)</f>
        <v>0</v>
      </c>
      <c r="U314" s="140">
        <f ca="1">SUMIFS('F20-2024'!U:U,'F20-2024'!$D:$D,$D314,'F20-2024'!$E:$E,$E314,'F20-2024'!$F:$F,$F314)</f>
        <v>0</v>
      </c>
      <c r="V314" s="140"/>
      <c r="W314" s="141" t="e">
        <f t="shared" ref="W314:AA314" ca="1" si="626">J314/$I314</f>
        <v>#DIV/0!</v>
      </c>
      <c r="X314" s="141" t="e">
        <f t="shared" ca="1" si="626"/>
        <v>#DIV/0!</v>
      </c>
      <c r="Y314" s="141" t="e">
        <f t="shared" ca="1" si="626"/>
        <v>#DIV/0!</v>
      </c>
      <c r="Z314" s="141" t="e">
        <f t="shared" ca="1" si="626"/>
        <v>#DIV/0!</v>
      </c>
      <c r="AA314" s="141" t="e">
        <f t="shared" ca="1" si="626"/>
        <v>#DIV/0!</v>
      </c>
      <c r="AB314" s="141"/>
      <c r="AC314" s="141" t="e">
        <f t="shared" ca="1" si="512"/>
        <v>#DIV/0!</v>
      </c>
      <c r="AD314" s="141" t="e">
        <f t="shared" ref="AD314:AI314" ca="1" si="627">O314/$I314</f>
        <v>#DIV/0!</v>
      </c>
      <c r="AE314" s="141" t="e">
        <f t="shared" ca="1" si="627"/>
        <v>#DIV/0!</v>
      </c>
      <c r="AF314" s="141" t="e">
        <f t="shared" ca="1" si="627"/>
        <v>#DIV/0!</v>
      </c>
      <c r="AG314" s="141" t="e">
        <f t="shared" ca="1" si="627"/>
        <v>#DIV/0!</v>
      </c>
      <c r="AH314" s="141" t="e">
        <f t="shared" ca="1" si="627"/>
        <v>#DIV/0!</v>
      </c>
      <c r="AI314" s="141" t="e">
        <f t="shared" ca="1" si="627"/>
        <v>#DIV/0!</v>
      </c>
      <c r="AJ314" s="140"/>
    </row>
    <row r="315" spans="1:36">
      <c r="A315" s="140" t="e">
        <f ca="1"/>
        <v>#NAME?</v>
      </c>
      <c r="B315" s="140" t="e">
        <f ca="1"/>
        <v>#NAME?</v>
      </c>
      <c r="C315" s="140" t="e">
        <f ca="1"/>
        <v>#NAME?</v>
      </c>
      <c r="D315" s="140" t="e">
        <f ca="1"/>
        <v>#NAME?</v>
      </c>
      <c r="E315" s="140" t="e">
        <f ca="1"/>
        <v>#NAME?</v>
      </c>
      <c r="F315" s="140" t="e">
        <f ca="1"/>
        <v>#NAME?</v>
      </c>
      <c r="G315" s="140" t="e">
        <f ca="1"/>
        <v>#NAME?</v>
      </c>
      <c r="H315" s="140"/>
      <c r="I315" s="140">
        <f ca="1">SUMIFS('F20-2024'!I:I,'F20-2024'!$D:$D,$D315,'F20-2024'!$E:$E,$E315,'F20-2024'!$F:$F,$F315)</f>
        <v>0</v>
      </c>
      <c r="J315" s="140">
        <f ca="1">SUMIFS('F20-2024'!J:J,'F20-2024'!$D:$D,$D315,'F20-2024'!$E:$E,$E315,'F20-2024'!$F:$F,$F315)</f>
        <v>0</v>
      </c>
      <c r="K315" s="140">
        <f ca="1">SUMIFS('F20-2024'!K:K,'F20-2024'!$D:$D,$D315,'F20-2024'!$E:$E,$E315,'F20-2024'!$F:$F,$F315)</f>
        <v>0</v>
      </c>
      <c r="L315" s="140">
        <f ca="1">SUMIFS('F20-2024'!L:L,'F20-2024'!$D:$D,$D315,'F20-2024'!$E:$E,$E315,'F20-2024'!$F:$F,$F315)</f>
        <v>0</v>
      </c>
      <c r="M315" s="140">
        <f ca="1">SUMIFS('F20-2024'!M:M,'F20-2024'!$D:$D,$D315,'F20-2024'!$E:$E,$E315,'F20-2024'!$F:$F,$F315)</f>
        <v>0</v>
      </c>
      <c r="N315" s="140">
        <f ca="1">SUMIFS('F20-2024'!N:N,'F20-2024'!$D:$D,$D315,'F20-2024'!$E:$E,$E315,'F20-2024'!$F:$F,$F315)</f>
        <v>0</v>
      </c>
      <c r="O315" s="140">
        <f ca="1">SUMIFS('F20-2024'!O:O,'F20-2024'!$D:$D,$D315,'F20-2024'!$E:$E,$E315,'F20-2024'!$F:$F,$F315)</f>
        <v>0</v>
      </c>
      <c r="P315" s="140">
        <f ca="1">SUMIFS('F20-2024'!P:P,'F20-2024'!$D:$D,$D315,'F20-2024'!$E:$E,$E315,'F20-2024'!$F:$F,$F315)</f>
        <v>0</v>
      </c>
      <c r="Q315" s="140">
        <f ca="1">SUMIFS('F20-2024'!Q:Q,'F20-2024'!$D:$D,$D315,'F20-2024'!$E:$E,$E315,'F20-2024'!$F:$F,$F315)</f>
        <v>0</v>
      </c>
      <c r="R315" s="140">
        <f ca="1">SUMIFS('F20-2024'!R:R,'F20-2024'!$D:$D,$D315,'F20-2024'!$E:$E,$E315,'F20-2024'!$F:$F,$F315)</f>
        <v>0</v>
      </c>
      <c r="S315" s="140">
        <f ca="1">SUMIFS('F20-2024'!S:S,'F20-2024'!$D:$D,$D315,'F20-2024'!$E:$E,$E315,'F20-2024'!$F:$F,$F315)</f>
        <v>0</v>
      </c>
      <c r="T315" s="140">
        <f ca="1">SUMIFS('F20-2024'!T:T,'F20-2024'!$D:$D,$D315,'F20-2024'!$E:$E,$E315,'F20-2024'!$F:$F,$F315)</f>
        <v>0</v>
      </c>
      <c r="U315" s="140">
        <f ca="1">SUMIFS('F20-2024'!U:U,'F20-2024'!$D:$D,$D315,'F20-2024'!$E:$E,$E315,'F20-2024'!$F:$F,$F315)</f>
        <v>0</v>
      </c>
      <c r="V315" s="140"/>
      <c r="W315" s="141" t="e">
        <f t="shared" ref="W315:AA315" ca="1" si="628">J315/$I315</f>
        <v>#DIV/0!</v>
      </c>
      <c r="X315" s="141" t="e">
        <f t="shared" ca="1" si="628"/>
        <v>#DIV/0!</v>
      </c>
      <c r="Y315" s="141" t="e">
        <f t="shared" ca="1" si="628"/>
        <v>#DIV/0!</v>
      </c>
      <c r="Z315" s="141" t="e">
        <f t="shared" ca="1" si="628"/>
        <v>#DIV/0!</v>
      </c>
      <c r="AA315" s="141" t="e">
        <f t="shared" ca="1" si="628"/>
        <v>#DIV/0!</v>
      </c>
      <c r="AB315" s="141"/>
      <c r="AC315" s="141" t="e">
        <f t="shared" ca="1" si="512"/>
        <v>#DIV/0!</v>
      </c>
      <c r="AD315" s="141" t="e">
        <f t="shared" ref="AD315:AI315" ca="1" si="629">O315/$I315</f>
        <v>#DIV/0!</v>
      </c>
      <c r="AE315" s="141" t="e">
        <f t="shared" ca="1" si="629"/>
        <v>#DIV/0!</v>
      </c>
      <c r="AF315" s="141" t="e">
        <f t="shared" ca="1" si="629"/>
        <v>#DIV/0!</v>
      </c>
      <c r="AG315" s="141" t="e">
        <f t="shared" ca="1" si="629"/>
        <v>#DIV/0!</v>
      </c>
      <c r="AH315" s="141" t="e">
        <f t="shared" ca="1" si="629"/>
        <v>#DIV/0!</v>
      </c>
      <c r="AI315" s="141" t="e">
        <f t="shared" ca="1" si="629"/>
        <v>#DIV/0!</v>
      </c>
      <c r="AJ315" s="140"/>
    </row>
    <row r="316" spans="1:36">
      <c r="A316" s="140" t="e">
        <f ca="1"/>
        <v>#NAME?</v>
      </c>
      <c r="B316" s="140" t="e">
        <f ca="1"/>
        <v>#NAME?</v>
      </c>
      <c r="C316" s="140" t="e">
        <f ca="1"/>
        <v>#NAME?</v>
      </c>
      <c r="D316" s="140" t="e">
        <f ca="1"/>
        <v>#NAME?</v>
      </c>
      <c r="E316" s="140" t="e">
        <f ca="1"/>
        <v>#NAME?</v>
      </c>
      <c r="F316" s="140" t="e">
        <f ca="1"/>
        <v>#NAME?</v>
      </c>
      <c r="G316" s="140" t="e">
        <f ca="1"/>
        <v>#NAME?</v>
      </c>
      <c r="H316" s="140"/>
      <c r="I316" s="140">
        <f ca="1">SUMIFS('F20-2024'!I:I,'F20-2024'!$D:$D,$D316,'F20-2024'!$E:$E,$E316,'F20-2024'!$F:$F,$F316)</f>
        <v>0</v>
      </c>
      <c r="J316" s="140">
        <f ca="1">SUMIFS('F20-2024'!J:J,'F20-2024'!$D:$D,$D316,'F20-2024'!$E:$E,$E316,'F20-2024'!$F:$F,$F316)</f>
        <v>0</v>
      </c>
      <c r="K316" s="140">
        <f ca="1">SUMIFS('F20-2024'!K:K,'F20-2024'!$D:$D,$D316,'F20-2024'!$E:$E,$E316,'F20-2024'!$F:$F,$F316)</f>
        <v>0</v>
      </c>
      <c r="L316" s="140">
        <f ca="1">SUMIFS('F20-2024'!L:L,'F20-2024'!$D:$D,$D316,'F20-2024'!$E:$E,$E316,'F20-2024'!$F:$F,$F316)</f>
        <v>0</v>
      </c>
      <c r="M316" s="140">
        <f ca="1">SUMIFS('F20-2024'!M:M,'F20-2024'!$D:$D,$D316,'F20-2024'!$E:$E,$E316,'F20-2024'!$F:$F,$F316)</f>
        <v>0</v>
      </c>
      <c r="N316" s="140">
        <f ca="1">SUMIFS('F20-2024'!N:N,'F20-2024'!$D:$D,$D316,'F20-2024'!$E:$E,$E316,'F20-2024'!$F:$F,$F316)</f>
        <v>0</v>
      </c>
      <c r="O316" s="140">
        <f ca="1">SUMIFS('F20-2024'!O:O,'F20-2024'!$D:$D,$D316,'F20-2024'!$E:$E,$E316,'F20-2024'!$F:$F,$F316)</f>
        <v>0</v>
      </c>
      <c r="P316" s="140">
        <f ca="1">SUMIFS('F20-2024'!P:P,'F20-2024'!$D:$D,$D316,'F20-2024'!$E:$E,$E316,'F20-2024'!$F:$F,$F316)</f>
        <v>0</v>
      </c>
      <c r="Q316" s="140">
        <f ca="1">SUMIFS('F20-2024'!Q:Q,'F20-2024'!$D:$D,$D316,'F20-2024'!$E:$E,$E316,'F20-2024'!$F:$F,$F316)</f>
        <v>0</v>
      </c>
      <c r="R316" s="140">
        <f ca="1">SUMIFS('F20-2024'!R:R,'F20-2024'!$D:$D,$D316,'F20-2024'!$E:$E,$E316,'F20-2024'!$F:$F,$F316)</f>
        <v>0</v>
      </c>
      <c r="S316" s="140">
        <f ca="1">SUMIFS('F20-2024'!S:S,'F20-2024'!$D:$D,$D316,'F20-2024'!$E:$E,$E316,'F20-2024'!$F:$F,$F316)</f>
        <v>0</v>
      </c>
      <c r="T316" s="140">
        <f ca="1">SUMIFS('F20-2024'!T:T,'F20-2024'!$D:$D,$D316,'F20-2024'!$E:$E,$E316,'F20-2024'!$F:$F,$F316)</f>
        <v>0</v>
      </c>
      <c r="U316" s="140">
        <f ca="1">SUMIFS('F20-2024'!U:U,'F20-2024'!$D:$D,$D316,'F20-2024'!$E:$E,$E316,'F20-2024'!$F:$F,$F316)</f>
        <v>0</v>
      </c>
      <c r="V316" s="140"/>
      <c r="W316" s="141" t="e">
        <f t="shared" ref="W316:AA316" ca="1" si="630">J316/$I316</f>
        <v>#DIV/0!</v>
      </c>
      <c r="X316" s="141" t="e">
        <f t="shared" ca="1" si="630"/>
        <v>#DIV/0!</v>
      </c>
      <c r="Y316" s="141" t="e">
        <f t="shared" ca="1" si="630"/>
        <v>#DIV/0!</v>
      </c>
      <c r="Z316" s="141" t="e">
        <f t="shared" ca="1" si="630"/>
        <v>#DIV/0!</v>
      </c>
      <c r="AA316" s="141" t="e">
        <f t="shared" ca="1" si="630"/>
        <v>#DIV/0!</v>
      </c>
      <c r="AB316" s="141"/>
      <c r="AC316" s="141" t="e">
        <f t="shared" ca="1" si="512"/>
        <v>#DIV/0!</v>
      </c>
      <c r="AD316" s="141" t="e">
        <f t="shared" ref="AD316:AI316" ca="1" si="631">O316/$I316</f>
        <v>#DIV/0!</v>
      </c>
      <c r="AE316" s="141" t="e">
        <f t="shared" ca="1" si="631"/>
        <v>#DIV/0!</v>
      </c>
      <c r="AF316" s="141" t="e">
        <f t="shared" ca="1" si="631"/>
        <v>#DIV/0!</v>
      </c>
      <c r="AG316" s="141" t="e">
        <f t="shared" ca="1" si="631"/>
        <v>#DIV/0!</v>
      </c>
      <c r="AH316" s="141" t="e">
        <f t="shared" ca="1" si="631"/>
        <v>#DIV/0!</v>
      </c>
      <c r="AI316" s="141" t="e">
        <f t="shared" ca="1" si="631"/>
        <v>#DIV/0!</v>
      </c>
      <c r="AJ316" s="140"/>
    </row>
    <row r="317" spans="1:36">
      <c r="A317" s="140" t="e">
        <f ca="1"/>
        <v>#NAME?</v>
      </c>
      <c r="B317" s="140" t="e">
        <f ca="1"/>
        <v>#NAME?</v>
      </c>
      <c r="C317" s="140" t="e">
        <f ca="1"/>
        <v>#NAME?</v>
      </c>
      <c r="D317" s="140" t="e">
        <f ca="1"/>
        <v>#NAME?</v>
      </c>
      <c r="E317" s="140" t="e">
        <f ca="1"/>
        <v>#NAME?</v>
      </c>
      <c r="F317" s="140" t="e">
        <f ca="1"/>
        <v>#NAME?</v>
      </c>
      <c r="G317" s="140" t="e">
        <f ca="1"/>
        <v>#NAME?</v>
      </c>
      <c r="H317" s="140"/>
      <c r="I317" s="140">
        <f ca="1">SUMIFS('F20-2024'!I:I,'F20-2024'!$D:$D,$D317,'F20-2024'!$E:$E,$E317,'F20-2024'!$F:$F,$F317)</f>
        <v>0</v>
      </c>
      <c r="J317" s="140">
        <f ca="1">SUMIFS('F20-2024'!J:J,'F20-2024'!$D:$D,$D317,'F20-2024'!$E:$E,$E317,'F20-2024'!$F:$F,$F317)</f>
        <v>0</v>
      </c>
      <c r="K317" s="140">
        <f ca="1">SUMIFS('F20-2024'!K:K,'F20-2024'!$D:$D,$D317,'F20-2024'!$E:$E,$E317,'F20-2024'!$F:$F,$F317)</f>
        <v>0</v>
      </c>
      <c r="L317" s="140">
        <f ca="1">SUMIFS('F20-2024'!L:L,'F20-2024'!$D:$D,$D317,'F20-2024'!$E:$E,$E317,'F20-2024'!$F:$F,$F317)</f>
        <v>0</v>
      </c>
      <c r="M317" s="140">
        <f ca="1">SUMIFS('F20-2024'!M:M,'F20-2024'!$D:$D,$D317,'F20-2024'!$E:$E,$E317,'F20-2024'!$F:$F,$F317)</f>
        <v>0</v>
      </c>
      <c r="N317" s="140">
        <f ca="1">SUMIFS('F20-2024'!N:N,'F20-2024'!$D:$D,$D317,'F20-2024'!$E:$E,$E317,'F20-2024'!$F:$F,$F317)</f>
        <v>0</v>
      </c>
      <c r="O317" s="140">
        <f ca="1">SUMIFS('F20-2024'!O:O,'F20-2024'!$D:$D,$D317,'F20-2024'!$E:$E,$E317,'F20-2024'!$F:$F,$F317)</f>
        <v>0</v>
      </c>
      <c r="P317" s="140">
        <f ca="1">SUMIFS('F20-2024'!P:P,'F20-2024'!$D:$D,$D317,'F20-2024'!$E:$E,$E317,'F20-2024'!$F:$F,$F317)</f>
        <v>0</v>
      </c>
      <c r="Q317" s="140">
        <f ca="1">SUMIFS('F20-2024'!Q:Q,'F20-2024'!$D:$D,$D317,'F20-2024'!$E:$E,$E317,'F20-2024'!$F:$F,$F317)</f>
        <v>0</v>
      </c>
      <c r="R317" s="140">
        <f ca="1">SUMIFS('F20-2024'!R:R,'F20-2024'!$D:$D,$D317,'F20-2024'!$E:$E,$E317,'F20-2024'!$F:$F,$F317)</f>
        <v>0</v>
      </c>
      <c r="S317" s="140">
        <f ca="1">SUMIFS('F20-2024'!S:S,'F20-2024'!$D:$D,$D317,'F20-2024'!$E:$E,$E317,'F20-2024'!$F:$F,$F317)</f>
        <v>0</v>
      </c>
      <c r="T317" s="140">
        <f ca="1">SUMIFS('F20-2024'!T:T,'F20-2024'!$D:$D,$D317,'F20-2024'!$E:$E,$E317,'F20-2024'!$F:$F,$F317)</f>
        <v>0</v>
      </c>
      <c r="U317" s="140">
        <f ca="1">SUMIFS('F20-2024'!U:U,'F20-2024'!$D:$D,$D317,'F20-2024'!$E:$E,$E317,'F20-2024'!$F:$F,$F317)</f>
        <v>0</v>
      </c>
      <c r="V317" s="140"/>
      <c r="W317" s="141" t="e">
        <f t="shared" ref="W317:AA317" ca="1" si="632">J317/$I317</f>
        <v>#DIV/0!</v>
      </c>
      <c r="X317" s="141" t="e">
        <f t="shared" ca="1" si="632"/>
        <v>#DIV/0!</v>
      </c>
      <c r="Y317" s="141" t="e">
        <f t="shared" ca="1" si="632"/>
        <v>#DIV/0!</v>
      </c>
      <c r="Z317" s="141" t="e">
        <f t="shared" ca="1" si="632"/>
        <v>#DIV/0!</v>
      </c>
      <c r="AA317" s="141" t="e">
        <f t="shared" ca="1" si="632"/>
        <v>#DIV/0!</v>
      </c>
      <c r="AB317" s="141"/>
      <c r="AC317" s="141" t="e">
        <f t="shared" ca="1" si="512"/>
        <v>#DIV/0!</v>
      </c>
      <c r="AD317" s="141" t="e">
        <f t="shared" ref="AD317:AI317" ca="1" si="633">O317/$I317</f>
        <v>#DIV/0!</v>
      </c>
      <c r="AE317" s="141" t="e">
        <f t="shared" ca="1" si="633"/>
        <v>#DIV/0!</v>
      </c>
      <c r="AF317" s="141" t="e">
        <f t="shared" ca="1" si="633"/>
        <v>#DIV/0!</v>
      </c>
      <c r="AG317" s="141" t="e">
        <f t="shared" ca="1" si="633"/>
        <v>#DIV/0!</v>
      </c>
      <c r="AH317" s="141" t="e">
        <f t="shared" ca="1" si="633"/>
        <v>#DIV/0!</v>
      </c>
      <c r="AI317" s="141" t="e">
        <f t="shared" ca="1" si="633"/>
        <v>#DIV/0!</v>
      </c>
      <c r="AJ317" s="140"/>
    </row>
    <row r="318" spans="1:36">
      <c r="A318" s="140" t="e">
        <f ca="1"/>
        <v>#NAME?</v>
      </c>
      <c r="B318" s="140" t="e">
        <f ca="1"/>
        <v>#NAME?</v>
      </c>
      <c r="C318" s="140" t="e">
        <f ca="1"/>
        <v>#NAME?</v>
      </c>
      <c r="D318" s="140" t="e">
        <f ca="1"/>
        <v>#NAME?</v>
      </c>
      <c r="E318" s="140" t="e">
        <f ca="1"/>
        <v>#NAME?</v>
      </c>
      <c r="F318" s="140" t="e">
        <f ca="1"/>
        <v>#NAME?</v>
      </c>
      <c r="G318" s="140" t="e">
        <f ca="1"/>
        <v>#NAME?</v>
      </c>
      <c r="H318" s="140"/>
      <c r="I318" s="140">
        <f ca="1">SUMIFS('F20-2024'!I:I,'F20-2024'!$D:$D,$D318,'F20-2024'!$E:$E,$E318,'F20-2024'!$F:$F,$F318)</f>
        <v>0</v>
      </c>
      <c r="J318" s="140">
        <f ca="1">SUMIFS('F20-2024'!J:J,'F20-2024'!$D:$D,$D318,'F20-2024'!$E:$E,$E318,'F20-2024'!$F:$F,$F318)</f>
        <v>0</v>
      </c>
      <c r="K318" s="140">
        <f ca="1">SUMIFS('F20-2024'!K:K,'F20-2024'!$D:$D,$D318,'F20-2024'!$E:$E,$E318,'F20-2024'!$F:$F,$F318)</f>
        <v>0</v>
      </c>
      <c r="L318" s="140">
        <f ca="1">SUMIFS('F20-2024'!L:L,'F20-2024'!$D:$D,$D318,'F20-2024'!$E:$E,$E318,'F20-2024'!$F:$F,$F318)</f>
        <v>0</v>
      </c>
      <c r="M318" s="140">
        <f ca="1">SUMIFS('F20-2024'!M:M,'F20-2024'!$D:$D,$D318,'F20-2024'!$E:$E,$E318,'F20-2024'!$F:$F,$F318)</f>
        <v>0</v>
      </c>
      <c r="N318" s="140">
        <f ca="1">SUMIFS('F20-2024'!N:N,'F20-2024'!$D:$D,$D318,'F20-2024'!$E:$E,$E318,'F20-2024'!$F:$F,$F318)</f>
        <v>0</v>
      </c>
      <c r="O318" s="140">
        <f ca="1">SUMIFS('F20-2024'!O:O,'F20-2024'!$D:$D,$D318,'F20-2024'!$E:$E,$E318,'F20-2024'!$F:$F,$F318)</f>
        <v>0</v>
      </c>
      <c r="P318" s="140">
        <f ca="1">SUMIFS('F20-2024'!P:P,'F20-2024'!$D:$D,$D318,'F20-2024'!$E:$E,$E318,'F20-2024'!$F:$F,$F318)</f>
        <v>0</v>
      </c>
      <c r="Q318" s="140">
        <f ca="1">SUMIFS('F20-2024'!Q:Q,'F20-2024'!$D:$D,$D318,'F20-2024'!$E:$E,$E318,'F20-2024'!$F:$F,$F318)</f>
        <v>0</v>
      </c>
      <c r="R318" s="140">
        <f ca="1">SUMIFS('F20-2024'!R:R,'F20-2024'!$D:$D,$D318,'F20-2024'!$E:$E,$E318,'F20-2024'!$F:$F,$F318)</f>
        <v>0</v>
      </c>
      <c r="S318" s="140">
        <f ca="1">SUMIFS('F20-2024'!S:S,'F20-2024'!$D:$D,$D318,'F20-2024'!$E:$E,$E318,'F20-2024'!$F:$F,$F318)</f>
        <v>0</v>
      </c>
      <c r="T318" s="140">
        <f ca="1">SUMIFS('F20-2024'!T:T,'F20-2024'!$D:$D,$D318,'F20-2024'!$E:$E,$E318,'F20-2024'!$F:$F,$F318)</f>
        <v>0</v>
      </c>
      <c r="U318" s="140">
        <f ca="1">SUMIFS('F20-2024'!U:U,'F20-2024'!$D:$D,$D318,'F20-2024'!$E:$E,$E318,'F20-2024'!$F:$F,$F318)</f>
        <v>0</v>
      </c>
      <c r="V318" s="140"/>
      <c r="W318" s="141" t="e">
        <f t="shared" ref="W318:AA318" ca="1" si="634">J318/$I318</f>
        <v>#DIV/0!</v>
      </c>
      <c r="X318" s="141" t="e">
        <f t="shared" ca="1" si="634"/>
        <v>#DIV/0!</v>
      </c>
      <c r="Y318" s="141" t="e">
        <f t="shared" ca="1" si="634"/>
        <v>#DIV/0!</v>
      </c>
      <c r="Z318" s="141" t="e">
        <f t="shared" ca="1" si="634"/>
        <v>#DIV/0!</v>
      </c>
      <c r="AA318" s="141" t="e">
        <f t="shared" ca="1" si="634"/>
        <v>#DIV/0!</v>
      </c>
      <c r="AB318" s="141"/>
      <c r="AC318" s="141" t="e">
        <f t="shared" ca="1" si="512"/>
        <v>#DIV/0!</v>
      </c>
      <c r="AD318" s="141" t="e">
        <f t="shared" ref="AD318:AI318" ca="1" si="635">O318/$I318</f>
        <v>#DIV/0!</v>
      </c>
      <c r="AE318" s="141" t="e">
        <f t="shared" ca="1" si="635"/>
        <v>#DIV/0!</v>
      </c>
      <c r="AF318" s="141" t="e">
        <f t="shared" ca="1" si="635"/>
        <v>#DIV/0!</v>
      </c>
      <c r="AG318" s="141" t="e">
        <f t="shared" ca="1" si="635"/>
        <v>#DIV/0!</v>
      </c>
      <c r="AH318" s="141" t="e">
        <f t="shared" ca="1" si="635"/>
        <v>#DIV/0!</v>
      </c>
      <c r="AI318" s="141" t="e">
        <f t="shared" ca="1" si="635"/>
        <v>#DIV/0!</v>
      </c>
      <c r="AJ318" s="140"/>
    </row>
    <row r="319" spans="1:36">
      <c r="A319" s="140" t="e">
        <f ca="1"/>
        <v>#NAME?</v>
      </c>
      <c r="B319" s="140" t="e">
        <f ca="1"/>
        <v>#NAME?</v>
      </c>
      <c r="C319" s="140" t="e">
        <f ca="1"/>
        <v>#NAME?</v>
      </c>
      <c r="D319" s="140" t="e">
        <f ca="1"/>
        <v>#NAME?</v>
      </c>
      <c r="E319" s="140" t="e">
        <f ca="1"/>
        <v>#NAME?</v>
      </c>
      <c r="F319" s="140" t="e">
        <f ca="1"/>
        <v>#NAME?</v>
      </c>
      <c r="G319" s="140" t="e">
        <f ca="1"/>
        <v>#NAME?</v>
      </c>
      <c r="H319" s="140"/>
      <c r="I319" s="140">
        <f ca="1">SUMIFS('F20-2024'!I:I,'F20-2024'!$D:$D,$D319,'F20-2024'!$E:$E,$E319,'F20-2024'!$F:$F,$F319)</f>
        <v>0</v>
      </c>
      <c r="J319" s="140">
        <f ca="1">SUMIFS('F20-2024'!J:J,'F20-2024'!$D:$D,$D319,'F20-2024'!$E:$E,$E319,'F20-2024'!$F:$F,$F319)</f>
        <v>0</v>
      </c>
      <c r="K319" s="140">
        <f ca="1">SUMIFS('F20-2024'!K:K,'F20-2024'!$D:$D,$D319,'F20-2024'!$E:$E,$E319,'F20-2024'!$F:$F,$F319)</f>
        <v>0</v>
      </c>
      <c r="L319" s="140">
        <f ca="1">SUMIFS('F20-2024'!L:L,'F20-2024'!$D:$D,$D319,'F20-2024'!$E:$E,$E319,'F20-2024'!$F:$F,$F319)</f>
        <v>0</v>
      </c>
      <c r="M319" s="140">
        <f ca="1">SUMIFS('F20-2024'!M:M,'F20-2024'!$D:$D,$D319,'F20-2024'!$E:$E,$E319,'F20-2024'!$F:$F,$F319)</f>
        <v>0</v>
      </c>
      <c r="N319" s="140">
        <f ca="1">SUMIFS('F20-2024'!N:N,'F20-2024'!$D:$D,$D319,'F20-2024'!$E:$E,$E319,'F20-2024'!$F:$F,$F319)</f>
        <v>0</v>
      </c>
      <c r="O319" s="140">
        <f ca="1">SUMIFS('F20-2024'!O:O,'F20-2024'!$D:$D,$D319,'F20-2024'!$E:$E,$E319,'F20-2024'!$F:$F,$F319)</f>
        <v>0</v>
      </c>
      <c r="P319" s="140">
        <f ca="1">SUMIFS('F20-2024'!P:P,'F20-2024'!$D:$D,$D319,'F20-2024'!$E:$E,$E319,'F20-2024'!$F:$F,$F319)</f>
        <v>0</v>
      </c>
      <c r="Q319" s="140">
        <f ca="1">SUMIFS('F20-2024'!Q:Q,'F20-2024'!$D:$D,$D319,'F20-2024'!$E:$E,$E319,'F20-2024'!$F:$F,$F319)</f>
        <v>0</v>
      </c>
      <c r="R319" s="140">
        <f ca="1">SUMIFS('F20-2024'!R:R,'F20-2024'!$D:$D,$D319,'F20-2024'!$E:$E,$E319,'F20-2024'!$F:$F,$F319)</f>
        <v>0</v>
      </c>
      <c r="S319" s="140">
        <f ca="1">SUMIFS('F20-2024'!S:S,'F20-2024'!$D:$D,$D319,'F20-2024'!$E:$E,$E319,'F20-2024'!$F:$F,$F319)</f>
        <v>0</v>
      </c>
      <c r="T319" s="140">
        <f ca="1">SUMIFS('F20-2024'!T:T,'F20-2024'!$D:$D,$D319,'F20-2024'!$E:$E,$E319,'F20-2024'!$F:$F,$F319)</f>
        <v>0</v>
      </c>
      <c r="U319" s="140">
        <f ca="1">SUMIFS('F20-2024'!U:U,'F20-2024'!$D:$D,$D319,'F20-2024'!$E:$E,$E319,'F20-2024'!$F:$F,$F319)</f>
        <v>0</v>
      </c>
      <c r="V319" s="140"/>
      <c r="W319" s="141" t="e">
        <f t="shared" ref="W319:AA319" ca="1" si="636">J319/$I319</f>
        <v>#DIV/0!</v>
      </c>
      <c r="X319" s="141" t="e">
        <f t="shared" ca="1" si="636"/>
        <v>#DIV/0!</v>
      </c>
      <c r="Y319" s="141" t="e">
        <f t="shared" ca="1" si="636"/>
        <v>#DIV/0!</v>
      </c>
      <c r="Z319" s="141" t="e">
        <f t="shared" ca="1" si="636"/>
        <v>#DIV/0!</v>
      </c>
      <c r="AA319" s="141" t="e">
        <f t="shared" ca="1" si="636"/>
        <v>#DIV/0!</v>
      </c>
      <c r="AB319" s="141"/>
      <c r="AC319" s="141" t="e">
        <f t="shared" ca="1" si="512"/>
        <v>#DIV/0!</v>
      </c>
      <c r="AD319" s="141" t="e">
        <f t="shared" ref="AD319:AI319" ca="1" si="637">O319/$I319</f>
        <v>#DIV/0!</v>
      </c>
      <c r="AE319" s="141" t="e">
        <f t="shared" ca="1" si="637"/>
        <v>#DIV/0!</v>
      </c>
      <c r="AF319" s="141" t="e">
        <f t="shared" ca="1" si="637"/>
        <v>#DIV/0!</v>
      </c>
      <c r="AG319" s="141" t="e">
        <f t="shared" ca="1" si="637"/>
        <v>#DIV/0!</v>
      </c>
      <c r="AH319" s="141" t="e">
        <f t="shared" ca="1" si="637"/>
        <v>#DIV/0!</v>
      </c>
      <c r="AI319" s="141" t="e">
        <f t="shared" ca="1" si="637"/>
        <v>#DIV/0!</v>
      </c>
      <c r="AJ319" s="140"/>
    </row>
    <row r="320" spans="1:36">
      <c r="A320" s="140" t="e">
        <f ca="1"/>
        <v>#NAME?</v>
      </c>
      <c r="B320" s="140" t="e">
        <f ca="1"/>
        <v>#NAME?</v>
      </c>
      <c r="C320" s="140" t="e">
        <f ca="1"/>
        <v>#NAME?</v>
      </c>
      <c r="D320" s="140" t="e">
        <f ca="1"/>
        <v>#NAME?</v>
      </c>
      <c r="E320" s="140" t="e">
        <f ca="1"/>
        <v>#NAME?</v>
      </c>
      <c r="F320" s="140" t="e">
        <f ca="1"/>
        <v>#NAME?</v>
      </c>
      <c r="G320" s="140" t="e">
        <f ca="1"/>
        <v>#NAME?</v>
      </c>
      <c r="H320" s="140"/>
      <c r="I320" s="140">
        <f ca="1">SUMIFS('F20-2024'!I:I,'F20-2024'!$D:$D,$D320,'F20-2024'!$E:$E,$E320,'F20-2024'!$F:$F,$F320)</f>
        <v>0</v>
      </c>
      <c r="J320" s="140">
        <f ca="1">SUMIFS('F20-2024'!J:J,'F20-2024'!$D:$D,$D320,'F20-2024'!$E:$E,$E320,'F20-2024'!$F:$F,$F320)</f>
        <v>0</v>
      </c>
      <c r="K320" s="140">
        <f ca="1">SUMIFS('F20-2024'!K:K,'F20-2024'!$D:$D,$D320,'F20-2024'!$E:$E,$E320,'F20-2024'!$F:$F,$F320)</f>
        <v>0</v>
      </c>
      <c r="L320" s="140">
        <f ca="1">SUMIFS('F20-2024'!L:L,'F20-2024'!$D:$D,$D320,'F20-2024'!$E:$E,$E320,'F20-2024'!$F:$F,$F320)</f>
        <v>0</v>
      </c>
      <c r="M320" s="140">
        <f ca="1">SUMIFS('F20-2024'!M:M,'F20-2024'!$D:$D,$D320,'F20-2024'!$E:$E,$E320,'F20-2024'!$F:$F,$F320)</f>
        <v>0</v>
      </c>
      <c r="N320" s="140">
        <f ca="1">SUMIFS('F20-2024'!N:N,'F20-2024'!$D:$D,$D320,'F20-2024'!$E:$E,$E320,'F20-2024'!$F:$F,$F320)</f>
        <v>0</v>
      </c>
      <c r="O320" s="140">
        <f ca="1">SUMIFS('F20-2024'!O:O,'F20-2024'!$D:$D,$D320,'F20-2024'!$E:$E,$E320,'F20-2024'!$F:$F,$F320)</f>
        <v>0</v>
      </c>
      <c r="P320" s="140">
        <f ca="1">SUMIFS('F20-2024'!P:P,'F20-2024'!$D:$D,$D320,'F20-2024'!$E:$E,$E320,'F20-2024'!$F:$F,$F320)</f>
        <v>0</v>
      </c>
      <c r="Q320" s="140">
        <f ca="1">SUMIFS('F20-2024'!Q:Q,'F20-2024'!$D:$D,$D320,'F20-2024'!$E:$E,$E320,'F20-2024'!$F:$F,$F320)</f>
        <v>0</v>
      </c>
      <c r="R320" s="140">
        <f ca="1">SUMIFS('F20-2024'!R:R,'F20-2024'!$D:$D,$D320,'F20-2024'!$E:$E,$E320,'F20-2024'!$F:$F,$F320)</f>
        <v>0</v>
      </c>
      <c r="S320" s="140">
        <f ca="1">SUMIFS('F20-2024'!S:S,'F20-2024'!$D:$D,$D320,'F20-2024'!$E:$E,$E320,'F20-2024'!$F:$F,$F320)</f>
        <v>0</v>
      </c>
      <c r="T320" s="140">
        <f ca="1">SUMIFS('F20-2024'!T:T,'F20-2024'!$D:$D,$D320,'F20-2024'!$E:$E,$E320,'F20-2024'!$F:$F,$F320)</f>
        <v>0</v>
      </c>
      <c r="U320" s="140">
        <f ca="1">SUMIFS('F20-2024'!U:U,'F20-2024'!$D:$D,$D320,'F20-2024'!$E:$E,$E320,'F20-2024'!$F:$F,$F320)</f>
        <v>0</v>
      </c>
      <c r="V320" s="140"/>
      <c r="W320" s="141" t="e">
        <f t="shared" ref="W320:AA320" ca="1" si="638">J320/$I320</f>
        <v>#DIV/0!</v>
      </c>
      <c r="X320" s="141" t="e">
        <f t="shared" ca="1" si="638"/>
        <v>#DIV/0!</v>
      </c>
      <c r="Y320" s="141" t="e">
        <f t="shared" ca="1" si="638"/>
        <v>#DIV/0!</v>
      </c>
      <c r="Z320" s="141" t="e">
        <f t="shared" ca="1" si="638"/>
        <v>#DIV/0!</v>
      </c>
      <c r="AA320" s="141" t="e">
        <f t="shared" ca="1" si="638"/>
        <v>#DIV/0!</v>
      </c>
      <c r="AB320" s="141"/>
      <c r="AC320" s="141" t="e">
        <f t="shared" ca="1" si="512"/>
        <v>#DIV/0!</v>
      </c>
      <c r="AD320" s="141" t="e">
        <f t="shared" ref="AD320:AI320" ca="1" si="639">O320/$I320</f>
        <v>#DIV/0!</v>
      </c>
      <c r="AE320" s="141" t="e">
        <f t="shared" ca="1" si="639"/>
        <v>#DIV/0!</v>
      </c>
      <c r="AF320" s="141" t="e">
        <f t="shared" ca="1" si="639"/>
        <v>#DIV/0!</v>
      </c>
      <c r="AG320" s="141" t="e">
        <f t="shared" ca="1" si="639"/>
        <v>#DIV/0!</v>
      </c>
      <c r="AH320" s="141" t="e">
        <f t="shared" ca="1" si="639"/>
        <v>#DIV/0!</v>
      </c>
      <c r="AI320" s="141" t="e">
        <f t="shared" ca="1" si="639"/>
        <v>#DIV/0!</v>
      </c>
      <c r="AJ320" s="140"/>
    </row>
    <row r="321" spans="1:36">
      <c r="A321" s="140" t="e">
        <f ca="1"/>
        <v>#NAME?</v>
      </c>
      <c r="B321" s="140" t="e">
        <f ca="1"/>
        <v>#NAME?</v>
      </c>
      <c r="C321" s="140" t="e">
        <f ca="1"/>
        <v>#NAME?</v>
      </c>
      <c r="D321" s="140" t="e">
        <f ca="1"/>
        <v>#NAME?</v>
      </c>
      <c r="E321" s="140" t="e">
        <f ca="1"/>
        <v>#NAME?</v>
      </c>
      <c r="F321" s="140" t="e">
        <f ca="1"/>
        <v>#NAME?</v>
      </c>
      <c r="G321" s="140" t="e">
        <f ca="1"/>
        <v>#NAME?</v>
      </c>
      <c r="H321" s="140"/>
      <c r="I321" s="140">
        <f ca="1">SUMIFS('F20-2024'!I:I,'F20-2024'!$D:$D,$D321,'F20-2024'!$E:$E,$E321,'F20-2024'!$F:$F,$F321)</f>
        <v>0</v>
      </c>
      <c r="J321" s="140">
        <f ca="1">SUMIFS('F20-2024'!J:J,'F20-2024'!$D:$D,$D321,'F20-2024'!$E:$E,$E321,'F20-2024'!$F:$F,$F321)</f>
        <v>0</v>
      </c>
      <c r="K321" s="140">
        <f ca="1">SUMIFS('F20-2024'!K:K,'F20-2024'!$D:$D,$D321,'F20-2024'!$E:$E,$E321,'F20-2024'!$F:$F,$F321)</f>
        <v>0</v>
      </c>
      <c r="L321" s="140">
        <f ca="1">SUMIFS('F20-2024'!L:L,'F20-2024'!$D:$D,$D321,'F20-2024'!$E:$E,$E321,'F20-2024'!$F:$F,$F321)</f>
        <v>0</v>
      </c>
      <c r="M321" s="140">
        <f ca="1">SUMIFS('F20-2024'!M:M,'F20-2024'!$D:$D,$D321,'F20-2024'!$E:$E,$E321,'F20-2024'!$F:$F,$F321)</f>
        <v>0</v>
      </c>
      <c r="N321" s="140">
        <f ca="1">SUMIFS('F20-2024'!N:N,'F20-2024'!$D:$D,$D321,'F20-2024'!$E:$E,$E321,'F20-2024'!$F:$F,$F321)</f>
        <v>0</v>
      </c>
      <c r="O321" s="140">
        <f ca="1">SUMIFS('F20-2024'!O:O,'F20-2024'!$D:$D,$D321,'F20-2024'!$E:$E,$E321,'F20-2024'!$F:$F,$F321)</f>
        <v>0</v>
      </c>
      <c r="P321" s="140">
        <f ca="1">SUMIFS('F20-2024'!P:P,'F20-2024'!$D:$D,$D321,'F20-2024'!$E:$E,$E321,'F20-2024'!$F:$F,$F321)</f>
        <v>0</v>
      </c>
      <c r="Q321" s="140">
        <f ca="1">SUMIFS('F20-2024'!Q:Q,'F20-2024'!$D:$D,$D321,'F20-2024'!$E:$E,$E321,'F20-2024'!$F:$F,$F321)</f>
        <v>0</v>
      </c>
      <c r="R321" s="140">
        <f ca="1">SUMIFS('F20-2024'!R:R,'F20-2024'!$D:$D,$D321,'F20-2024'!$E:$E,$E321,'F20-2024'!$F:$F,$F321)</f>
        <v>0</v>
      </c>
      <c r="S321" s="140">
        <f ca="1">SUMIFS('F20-2024'!S:S,'F20-2024'!$D:$D,$D321,'F20-2024'!$E:$E,$E321,'F20-2024'!$F:$F,$F321)</f>
        <v>0</v>
      </c>
      <c r="T321" s="140">
        <f ca="1">SUMIFS('F20-2024'!T:T,'F20-2024'!$D:$D,$D321,'F20-2024'!$E:$E,$E321,'F20-2024'!$F:$F,$F321)</f>
        <v>0</v>
      </c>
      <c r="U321" s="140">
        <f ca="1">SUMIFS('F20-2024'!U:U,'F20-2024'!$D:$D,$D321,'F20-2024'!$E:$E,$E321,'F20-2024'!$F:$F,$F321)</f>
        <v>0</v>
      </c>
      <c r="V321" s="140"/>
      <c r="W321" s="141" t="e">
        <f t="shared" ref="W321:AA321" ca="1" si="640">J321/$I321</f>
        <v>#DIV/0!</v>
      </c>
      <c r="X321" s="141" t="e">
        <f t="shared" ca="1" si="640"/>
        <v>#DIV/0!</v>
      </c>
      <c r="Y321" s="141" t="e">
        <f t="shared" ca="1" si="640"/>
        <v>#DIV/0!</v>
      </c>
      <c r="Z321" s="141" t="e">
        <f t="shared" ca="1" si="640"/>
        <v>#DIV/0!</v>
      </c>
      <c r="AA321" s="141" t="e">
        <f t="shared" ca="1" si="640"/>
        <v>#DIV/0!</v>
      </c>
      <c r="AB321" s="141"/>
      <c r="AC321" s="141" t="e">
        <f t="shared" ca="1" si="512"/>
        <v>#DIV/0!</v>
      </c>
      <c r="AD321" s="141" t="e">
        <f t="shared" ref="AD321:AI321" ca="1" si="641">O321/$I321</f>
        <v>#DIV/0!</v>
      </c>
      <c r="AE321" s="141" t="e">
        <f t="shared" ca="1" si="641"/>
        <v>#DIV/0!</v>
      </c>
      <c r="AF321" s="141" t="e">
        <f t="shared" ca="1" si="641"/>
        <v>#DIV/0!</v>
      </c>
      <c r="AG321" s="141" t="e">
        <f t="shared" ca="1" si="641"/>
        <v>#DIV/0!</v>
      </c>
      <c r="AH321" s="141" t="e">
        <f t="shared" ca="1" si="641"/>
        <v>#DIV/0!</v>
      </c>
      <c r="AI321" s="141" t="e">
        <f t="shared" ca="1" si="641"/>
        <v>#DIV/0!</v>
      </c>
      <c r="AJ321" s="140"/>
    </row>
    <row r="322" spans="1:36">
      <c r="A322" s="140" t="e">
        <f ca="1"/>
        <v>#NAME?</v>
      </c>
      <c r="B322" s="140" t="e">
        <f ca="1"/>
        <v>#NAME?</v>
      </c>
      <c r="C322" s="140" t="e">
        <f ca="1"/>
        <v>#NAME?</v>
      </c>
      <c r="D322" s="140" t="e">
        <f ca="1"/>
        <v>#NAME?</v>
      </c>
      <c r="E322" s="140" t="e">
        <f ca="1"/>
        <v>#NAME?</v>
      </c>
      <c r="F322" s="140" t="e">
        <f ca="1"/>
        <v>#NAME?</v>
      </c>
      <c r="G322" s="140" t="e">
        <f ca="1"/>
        <v>#NAME?</v>
      </c>
      <c r="H322" s="140"/>
      <c r="I322" s="140">
        <f ca="1">SUMIFS('F20-2024'!I:I,'F20-2024'!$D:$D,$D322,'F20-2024'!$E:$E,$E322,'F20-2024'!$F:$F,$F322)</f>
        <v>0</v>
      </c>
      <c r="J322" s="140">
        <f ca="1">SUMIFS('F20-2024'!J:J,'F20-2024'!$D:$D,$D322,'F20-2024'!$E:$E,$E322,'F20-2024'!$F:$F,$F322)</f>
        <v>0</v>
      </c>
      <c r="K322" s="140">
        <f ca="1">SUMIFS('F20-2024'!K:K,'F20-2024'!$D:$D,$D322,'F20-2024'!$E:$E,$E322,'F20-2024'!$F:$F,$F322)</f>
        <v>0</v>
      </c>
      <c r="L322" s="140">
        <f ca="1">SUMIFS('F20-2024'!L:L,'F20-2024'!$D:$D,$D322,'F20-2024'!$E:$E,$E322,'F20-2024'!$F:$F,$F322)</f>
        <v>0</v>
      </c>
      <c r="M322" s="140">
        <f ca="1">SUMIFS('F20-2024'!M:M,'F20-2024'!$D:$D,$D322,'F20-2024'!$E:$E,$E322,'F20-2024'!$F:$F,$F322)</f>
        <v>0</v>
      </c>
      <c r="N322" s="140">
        <f ca="1">SUMIFS('F20-2024'!N:N,'F20-2024'!$D:$D,$D322,'F20-2024'!$E:$E,$E322,'F20-2024'!$F:$F,$F322)</f>
        <v>0</v>
      </c>
      <c r="O322" s="140">
        <f ca="1">SUMIFS('F20-2024'!O:O,'F20-2024'!$D:$D,$D322,'F20-2024'!$E:$E,$E322,'F20-2024'!$F:$F,$F322)</f>
        <v>0</v>
      </c>
      <c r="P322" s="140">
        <f ca="1">SUMIFS('F20-2024'!P:P,'F20-2024'!$D:$D,$D322,'F20-2024'!$E:$E,$E322,'F20-2024'!$F:$F,$F322)</f>
        <v>0</v>
      </c>
      <c r="Q322" s="140">
        <f ca="1">SUMIFS('F20-2024'!Q:Q,'F20-2024'!$D:$D,$D322,'F20-2024'!$E:$E,$E322,'F20-2024'!$F:$F,$F322)</f>
        <v>0</v>
      </c>
      <c r="R322" s="140">
        <f ca="1">SUMIFS('F20-2024'!R:R,'F20-2024'!$D:$D,$D322,'F20-2024'!$E:$E,$E322,'F20-2024'!$F:$F,$F322)</f>
        <v>0</v>
      </c>
      <c r="S322" s="140">
        <f ca="1">SUMIFS('F20-2024'!S:S,'F20-2024'!$D:$D,$D322,'F20-2024'!$E:$E,$E322,'F20-2024'!$F:$F,$F322)</f>
        <v>0</v>
      </c>
      <c r="T322" s="140">
        <f ca="1">SUMIFS('F20-2024'!T:T,'F20-2024'!$D:$D,$D322,'F20-2024'!$E:$E,$E322,'F20-2024'!$F:$F,$F322)</f>
        <v>0</v>
      </c>
      <c r="U322" s="140">
        <f ca="1">SUMIFS('F20-2024'!U:U,'F20-2024'!$D:$D,$D322,'F20-2024'!$E:$E,$E322,'F20-2024'!$F:$F,$F322)</f>
        <v>0</v>
      </c>
      <c r="V322" s="140"/>
      <c r="W322" s="141" t="e">
        <f t="shared" ref="W322:AA322" ca="1" si="642">J322/$I322</f>
        <v>#DIV/0!</v>
      </c>
      <c r="X322" s="141" t="e">
        <f t="shared" ca="1" si="642"/>
        <v>#DIV/0!</v>
      </c>
      <c r="Y322" s="141" t="e">
        <f t="shared" ca="1" si="642"/>
        <v>#DIV/0!</v>
      </c>
      <c r="Z322" s="141" t="e">
        <f t="shared" ca="1" si="642"/>
        <v>#DIV/0!</v>
      </c>
      <c r="AA322" s="141" t="e">
        <f t="shared" ca="1" si="642"/>
        <v>#DIV/0!</v>
      </c>
      <c r="AB322" s="141"/>
      <c r="AC322" s="141" t="e">
        <f t="shared" ca="1" si="512"/>
        <v>#DIV/0!</v>
      </c>
      <c r="AD322" s="141" t="e">
        <f t="shared" ref="AD322:AI322" ca="1" si="643">O322/$I322</f>
        <v>#DIV/0!</v>
      </c>
      <c r="AE322" s="141" t="e">
        <f t="shared" ca="1" si="643"/>
        <v>#DIV/0!</v>
      </c>
      <c r="AF322" s="141" t="e">
        <f t="shared" ca="1" si="643"/>
        <v>#DIV/0!</v>
      </c>
      <c r="AG322" s="141" t="e">
        <f t="shared" ca="1" si="643"/>
        <v>#DIV/0!</v>
      </c>
      <c r="AH322" s="141" t="e">
        <f t="shared" ca="1" si="643"/>
        <v>#DIV/0!</v>
      </c>
      <c r="AI322" s="141" t="e">
        <f t="shared" ca="1" si="643"/>
        <v>#DIV/0!</v>
      </c>
      <c r="AJ322" s="140"/>
    </row>
    <row r="323" spans="1:36">
      <c r="A323" s="140" t="e">
        <f ca="1"/>
        <v>#NAME?</v>
      </c>
      <c r="B323" s="140" t="e">
        <f ca="1"/>
        <v>#NAME?</v>
      </c>
      <c r="C323" s="140" t="e">
        <f ca="1"/>
        <v>#NAME?</v>
      </c>
      <c r="D323" s="140" t="e">
        <f ca="1"/>
        <v>#NAME?</v>
      </c>
      <c r="E323" s="140" t="e">
        <f ca="1"/>
        <v>#NAME?</v>
      </c>
      <c r="F323" s="140" t="e">
        <f ca="1"/>
        <v>#NAME?</v>
      </c>
      <c r="G323" s="140" t="e">
        <f ca="1"/>
        <v>#NAME?</v>
      </c>
      <c r="H323" s="140"/>
      <c r="I323" s="140">
        <f ca="1">SUMIFS('F20-2024'!I:I,'F20-2024'!$D:$D,$D323,'F20-2024'!$E:$E,$E323,'F20-2024'!$F:$F,$F323)</f>
        <v>0</v>
      </c>
      <c r="J323" s="140">
        <f ca="1">SUMIFS('F20-2024'!J:J,'F20-2024'!$D:$D,$D323,'F20-2024'!$E:$E,$E323,'F20-2024'!$F:$F,$F323)</f>
        <v>0</v>
      </c>
      <c r="K323" s="140">
        <f ca="1">SUMIFS('F20-2024'!K:K,'F20-2024'!$D:$D,$D323,'F20-2024'!$E:$E,$E323,'F20-2024'!$F:$F,$F323)</f>
        <v>0</v>
      </c>
      <c r="L323" s="140">
        <f ca="1">SUMIFS('F20-2024'!L:L,'F20-2024'!$D:$D,$D323,'F20-2024'!$E:$E,$E323,'F20-2024'!$F:$F,$F323)</f>
        <v>0</v>
      </c>
      <c r="M323" s="140">
        <f ca="1">SUMIFS('F20-2024'!M:M,'F20-2024'!$D:$D,$D323,'F20-2024'!$E:$E,$E323,'F20-2024'!$F:$F,$F323)</f>
        <v>0</v>
      </c>
      <c r="N323" s="140">
        <f ca="1">SUMIFS('F20-2024'!N:N,'F20-2024'!$D:$D,$D323,'F20-2024'!$E:$E,$E323,'F20-2024'!$F:$F,$F323)</f>
        <v>0</v>
      </c>
      <c r="O323" s="140">
        <f ca="1">SUMIFS('F20-2024'!O:O,'F20-2024'!$D:$D,$D323,'F20-2024'!$E:$E,$E323,'F20-2024'!$F:$F,$F323)</f>
        <v>0</v>
      </c>
      <c r="P323" s="140">
        <f ca="1">SUMIFS('F20-2024'!P:P,'F20-2024'!$D:$D,$D323,'F20-2024'!$E:$E,$E323,'F20-2024'!$F:$F,$F323)</f>
        <v>0</v>
      </c>
      <c r="Q323" s="140">
        <f ca="1">SUMIFS('F20-2024'!Q:Q,'F20-2024'!$D:$D,$D323,'F20-2024'!$E:$E,$E323,'F20-2024'!$F:$F,$F323)</f>
        <v>0</v>
      </c>
      <c r="R323" s="140">
        <f ca="1">SUMIFS('F20-2024'!R:R,'F20-2024'!$D:$D,$D323,'F20-2024'!$E:$E,$E323,'F20-2024'!$F:$F,$F323)</f>
        <v>0</v>
      </c>
      <c r="S323" s="140">
        <f ca="1">SUMIFS('F20-2024'!S:S,'F20-2024'!$D:$D,$D323,'F20-2024'!$E:$E,$E323,'F20-2024'!$F:$F,$F323)</f>
        <v>0</v>
      </c>
      <c r="T323" s="140">
        <f ca="1">SUMIFS('F20-2024'!T:T,'F20-2024'!$D:$D,$D323,'F20-2024'!$E:$E,$E323,'F20-2024'!$F:$F,$F323)</f>
        <v>0</v>
      </c>
      <c r="U323" s="140">
        <f ca="1">SUMIFS('F20-2024'!U:U,'F20-2024'!$D:$D,$D323,'F20-2024'!$E:$E,$E323,'F20-2024'!$F:$F,$F323)</f>
        <v>0</v>
      </c>
      <c r="V323" s="140"/>
      <c r="W323" s="141" t="e">
        <f t="shared" ref="W323:AA323" ca="1" si="644">J323/$I323</f>
        <v>#DIV/0!</v>
      </c>
      <c r="X323" s="141" t="e">
        <f t="shared" ca="1" si="644"/>
        <v>#DIV/0!</v>
      </c>
      <c r="Y323" s="141" t="e">
        <f t="shared" ca="1" si="644"/>
        <v>#DIV/0!</v>
      </c>
      <c r="Z323" s="141" t="e">
        <f t="shared" ca="1" si="644"/>
        <v>#DIV/0!</v>
      </c>
      <c r="AA323" s="141" t="e">
        <f t="shared" ca="1" si="644"/>
        <v>#DIV/0!</v>
      </c>
      <c r="AB323" s="141"/>
      <c r="AC323" s="141" t="e">
        <f t="shared" ca="1" si="512"/>
        <v>#DIV/0!</v>
      </c>
      <c r="AD323" s="141" t="e">
        <f t="shared" ref="AD323:AI323" ca="1" si="645">O323/$I323</f>
        <v>#DIV/0!</v>
      </c>
      <c r="AE323" s="141" t="e">
        <f t="shared" ca="1" si="645"/>
        <v>#DIV/0!</v>
      </c>
      <c r="AF323" s="141" t="e">
        <f t="shared" ca="1" si="645"/>
        <v>#DIV/0!</v>
      </c>
      <c r="AG323" s="141" t="e">
        <f t="shared" ca="1" si="645"/>
        <v>#DIV/0!</v>
      </c>
      <c r="AH323" s="141" t="e">
        <f t="shared" ca="1" si="645"/>
        <v>#DIV/0!</v>
      </c>
      <c r="AI323" s="141" t="e">
        <f t="shared" ca="1" si="645"/>
        <v>#DIV/0!</v>
      </c>
      <c r="AJ323" s="140"/>
    </row>
    <row r="324" spans="1:36">
      <c r="A324" s="140"/>
      <c r="B324" s="140"/>
      <c r="C324" s="140"/>
      <c r="D324" s="140"/>
      <c r="E324" s="140"/>
      <c r="F324" s="140"/>
      <c r="G324" s="140"/>
      <c r="H324" s="140"/>
      <c r="I324" s="140">
        <f>SUMIFS('F20-2024'!I:I,'F20-2024'!$D:$D,$D324,'F20-2024'!$E:$E,$E324,'F20-2024'!$F:$F,$F324)</f>
        <v>0</v>
      </c>
      <c r="J324" s="140">
        <f>SUMIFS('F20-2024'!J:J,'F20-2024'!$D:$D,$D324,'F20-2024'!$E:$E,$E324,'F20-2024'!$F:$F,$F324)</f>
        <v>0</v>
      </c>
      <c r="K324" s="140">
        <f>SUMIFS('F20-2024'!K:K,'F20-2024'!$D:$D,$D324,'F20-2024'!$E:$E,$E324,'F20-2024'!$F:$F,$F324)</f>
        <v>0</v>
      </c>
      <c r="L324" s="140">
        <f>SUMIFS('F20-2024'!L:L,'F20-2024'!$D:$D,$D324,'F20-2024'!$E:$E,$E324,'F20-2024'!$F:$F,$F324)</f>
        <v>0</v>
      </c>
      <c r="M324" s="140">
        <f>SUMIFS('F20-2024'!M:M,'F20-2024'!$D:$D,$D324,'F20-2024'!$E:$E,$E324,'F20-2024'!$F:$F,$F324)</f>
        <v>0</v>
      </c>
      <c r="N324" s="140">
        <f>SUMIFS('F20-2024'!N:N,'F20-2024'!$D:$D,$D324,'F20-2024'!$E:$E,$E324,'F20-2024'!$F:$F,$F324)</f>
        <v>0</v>
      </c>
      <c r="O324" s="140">
        <f>SUMIFS('F20-2024'!O:O,'F20-2024'!$D:$D,$D324,'F20-2024'!$E:$E,$E324,'F20-2024'!$F:$F,$F324)</f>
        <v>0</v>
      </c>
      <c r="P324" s="140">
        <f>SUMIFS('F20-2024'!P:P,'F20-2024'!$D:$D,$D324,'F20-2024'!$E:$E,$E324,'F20-2024'!$F:$F,$F324)</f>
        <v>0</v>
      </c>
      <c r="Q324" s="140">
        <f>SUMIFS('F20-2024'!Q:Q,'F20-2024'!$D:$D,$D324,'F20-2024'!$E:$E,$E324,'F20-2024'!$F:$F,$F324)</f>
        <v>0</v>
      </c>
      <c r="R324" s="140">
        <f>SUMIFS('F20-2024'!R:R,'F20-2024'!$D:$D,$D324,'F20-2024'!$E:$E,$E324,'F20-2024'!$F:$F,$F324)</f>
        <v>0</v>
      </c>
      <c r="S324" s="140">
        <f>SUMIFS('F20-2024'!S:S,'F20-2024'!$D:$D,$D324,'F20-2024'!$E:$E,$E324,'F20-2024'!$F:$F,$F324)</f>
        <v>0</v>
      </c>
      <c r="T324" s="140">
        <f>SUMIFS('F20-2024'!T:T,'F20-2024'!$D:$D,$D324,'F20-2024'!$E:$E,$E324,'F20-2024'!$F:$F,$F324)</f>
        <v>0</v>
      </c>
      <c r="U324" s="140">
        <f>SUMIFS('F20-2024'!U:U,'F20-2024'!$D:$D,$D324,'F20-2024'!$E:$E,$E324,'F20-2024'!$F:$F,$F324)</f>
        <v>0</v>
      </c>
      <c r="V324" s="140"/>
      <c r="W324" s="141" t="e">
        <f t="shared" ref="W324:AA324" si="646">J324/$I324</f>
        <v>#DIV/0!</v>
      </c>
      <c r="X324" s="141" t="e">
        <f t="shared" si="646"/>
        <v>#DIV/0!</v>
      </c>
      <c r="Y324" s="141" t="e">
        <f t="shared" si="646"/>
        <v>#DIV/0!</v>
      </c>
      <c r="Z324" s="141" t="e">
        <f t="shared" si="646"/>
        <v>#DIV/0!</v>
      </c>
      <c r="AA324" s="141" t="e">
        <f t="shared" si="646"/>
        <v>#DIV/0!</v>
      </c>
      <c r="AB324" s="141"/>
      <c r="AC324" s="141" t="e">
        <f t="shared" si="512"/>
        <v>#DIV/0!</v>
      </c>
      <c r="AD324" s="141" t="e">
        <f t="shared" ref="AD324:AI324" si="647">O324/$I324</f>
        <v>#DIV/0!</v>
      </c>
      <c r="AE324" s="141" t="e">
        <f t="shared" si="647"/>
        <v>#DIV/0!</v>
      </c>
      <c r="AF324" s="141" t="e">
        <f t="shared" si="647"/>
        <v>#DIV/0!</v>
      </c>
      <c r="AG324" s="141" t="e">
        <f t="shared" si="647"/>
        <v>#DIV/0!</v>
      </c>
      <c r="AH324" s="141" t="e">
        <f t="shared" si="647"/>
        <v>#DIV/0!</v>
      </c>
      <c r="AI324" s="141" t="e">
        <f t="shared" si="647"/>
        <v>#DIV/0!</v>
      </c>
      <c r="AJ324" s="140"/>
    </row>
    <row r="325" spans="1:36">
      <c r="A325" s="140"/>
      <c r="B325" s="140"/>
      <c r="C325" s="140"/>
      <c r="D325" s="140"/>
      <c r="E325" s="140"/>
      <c r="F325" s="140"/>
      <c r="G325" s="140"/>
      <c r="H325" s="140"/>
      <c r="I325" s="140">
        <f>SUMIFS('F20-2024'!I:I,'F20-2024'!$D:$D,$D325,'F20-2024'!$E:$E,$E325,'F20-2024'!$F:$F,$F325)</f>
        <v>0</v>
      </c>
      <c r="J325" s="140">
        <f>SUMIFS('F20-2024'!J:J,'F20-2024'!$D:$D,$D325,'F20-2024'!$E:$E,$E325,'F20-2024'!$F:$F,$F325)</f>
        <v>0</v>
      </c>
      <c r="K325" s="140">
        <f>SUMIFS('F20-2024'!K:K,'F20-2024'!$D:$D,$D325,'F20-2024'!$E:$E,$E325,'F20-2024'!$F:$F,$F325)</f>
        <v>0</v>
      </c>
      <c r="L325" s="140">
        <f>SUMIFS('F20-2024'!L:L,'F20-2024'!$D:$D,$D325,'F20-2024'!$E:$E,$E325,'F20-2024'!$F:$F,$F325)</f>
        <v>0</v>
      </c>
      <c r="M325" s="140">
        <f>SUMIFS('F20-2024'!M:M,'F20-2024'!$D:$D,$D325,'F20-2024'!$E:$E,$E325,'F20-2024'!$F:$F,$F325)</f>
        <v>0</v>
      </c>
      <c r="N325" s="140">
        <f>SUMIFS('F20-2024'!N:N,'F20-2024'!$D:$D,$D325,'F20-2024'!$E:$E,$E325,'F20-2024'!$F:$F,$F325)</f>
        <v>0</v>
      </c>
      <c r="O325" s="140">
        <f>SUMIFS('F20-2024'!O:O,'F20-2024'!$D:$D,$D325,'F20-2024'!$E:$E,$E325,'F20-2024'!$F:$F,$F325)</f>
        <v>0</v>
      </c>
      <c r="P325" s="140">
        <f>SUMIFS('F20-2024'!P:P,'F20-2024'!$D:$D,$D325,'F20-2024'!$E:$E,$E325,'F20-2024'!$F:$F,$F325)</f>
        <v>0</v>
      </c>
      <c r="Q325" s="140">
        <f>SUMIFS('F20-2024'!Q:Q,'F20-2024'!$D:$D,$D325,'F20-2024'!$E:$E,$E325,'F20-2024'!$F:$F,$F325)</f>
        <v>0</v>
      </c>
      <c r="R325" s="140">
        <f>SUMIFS('F20-2024'!R:R,'F20-2024'!$D:$D,$D325,'F20-2024'!$E:$E,$E325,'F20-2024'!$F:$F,$F325)</f>
        <v>0</v>
      </c>
      <c r="S325" s="140">
        <f>SUMIFS('F20-2024'!S:S,'F20-2024'!$D:$D,$D325,'F20-2024'!$E:$E,$E325,'F20-2024'!$F:$F,$F325)</f>
        <v>0</v>
      </c>
      <c r="T325" s="140">
        <f>SUMIFS('F20-2024'!T:T,'F20-2024'!$D:$D,$D325,'F20-2024'!$E:$E,$E325,'F20-2024'!$F:$F,$F325)</f>
        <v>0</v>
      </c>
      <c r="U325" s="140">
        <f>SUMIFS('F20-2024'!U:U,'F20-2024'!$D:$D,$D325,'F20-2024'!$E:$E,$E325,'F20-2024'!$F:$F,$F325)</f>
        <v>0</v>
      </c>
      <c r="V325" s="140"/>
      <c r="W325" s="141" t="e">
        <f t="shared" ref="W325:AA325" si="648">J325/$I325</f>
        <v>#DIV/0!</v>
      </c>
      <c r="X325" s="141" t="e">
        <f t="shared" si="648"/>
        <v>#DIV/0!</v>
      </c>
      <c r="Y325" s="141" t="e">
        <f t="shared" si="648"/>
        <v>#DIV/0!</v>
      </c>
      <c r="Z325" s="141" t="e">
        <f t="shared" si="648"/>
        <v>#DIV/0!</v>
      </c>
      <c r="AA325" s="141" t="e">
        <f t="shared" si="648"/>
        <v>#DIV/0!</v>
      </c>
      <c r="AB325" s="141"/>
      <c r="AC325" s="141" t="e">
        <f t="shared" si="512"/>
        <v>#DIV/0!</v>
      </c>
      <c r="AD325" s="141" t="e">
        <f t="shared" ref="AD325:AI325" si="649">O325/$I325</f>
        <v>#DIV/0!</v>
      </c>
      <c r="AE325" s="141" t="e">
        <f t="shared" si="649"/>
        <v>#DIV/0!</v>
      </c>
      <c r="AF325" s="141" t="e">
        <f t="shared" si="649"/>
        <v>#DIV/0!</v>
      </c>
      <c r="AG325" s="141" t="e">
        <f t="shared" si="649"/>
        <v>#DIV/0!</v>
      </c>
      <c r="AH325" s="141" t="e">
        <f t="shared" si="649"/>
        <v>#DIV/0!</v>
      </c>
      <c r="AI325" s="141" t="e">
        <f t="shared" si="649"/>
        <v>#DIV/0!</v>
      </c>
      <c r="AJ325" s="140"/>
    </row>
    <row r="326" spans="1:36">
      <c r="A326" s="140"/>
      <c r="B326" s="140"/>
      <c r="C326" s="140"/>
      <c r="D326" s="140"/>
      <c r="E326" s="140"/>
      <c r="F326" s="140"/>
      <c r="G326" s="140"/>
      <c r="H326" s="140"/>
      <c r="I326" s="140">
        <f>SUMIFS('F20-2024'!I:I,'F20-2024'!$D:$D,$D326,'F20-2024'!$E:$E,$E326,'F20-2024'!$F:$F,$F326)</f>
        <v>0</v>
      </c>
      <c r="J326" s="140">
        <f>SUMIFS('F20-2024'!J:J,'F20-2024'!$D:$D,$D326,'F20-2024'!$E:$E,$E326,'F20-2024'!$F:$F,$F326)</f>
        <v>0</v>
      </c>
      <c r="K326" s="140">
        <f>SUMIFS('F20-2024'!K:K,'F20-2024'!$D:$D,$D326,'F20-2024'!$E:$E,$E326,'F20-2024'!$F:$F,$F326)</f>
        <v>0</v>
      </c>
      <c r="L326" s="140">
        <f>SUMIFS('F20-2024'!L:L,'F20-2024'!$D:$D,$D326,'F20-2024'!$E:$E,$E326,'F20-2024'!$F:$F,$F326)</f>
        <v>0</v>
      </c>
      <c r="M326" s="140">
        <f>SUMIFS('F20-2024'!M:M,'F20-2024'!$D:$D,$D326,'F20-2024'!$E:$E,$E326,'F20-2024'!$F:$F,$F326)</f>
        <v>0</v>
      </c>
      <c r="N326" s="140">
        <f>SUMIFS('F20-2024'!N:N,'F20-2024'!$D:$D,$D326,'F20-2024'!$E:$E,$E326,'F20-2024'!$F:$F,$F326)</f>
        <v>0</v>
      </c>
      <c r="O326" s="140">
        <f>SUMIFS('F20-2024'!O:O,'F20-2024'!$D:$D,$D326,'F20-2024'!$E:$E,$E326,'F20-2024'!$F:$F,$F326)</f>
        <v>0</v>
      </c>
      <c r="P326" s="140">
        <f>SUMIFS('F20-2024'!P:P,'F20-2024'!$D:$D,$D326,'F20-2024'!$E:$E,$E326,'F20-2024'!$F:$F,$F326)</f>
        <v>0</v>
      </c>
      <c r="Q326" s="140">
        <f>SUMIFS('F20-2024'!Q:Q,'F20-2024'!$D:$D,$D326,'F20-2024'!$E:$E,$E326,'F20-2024'!$F:$F,$F326)</f>
        <v>0</v>
      </c>
      <c r="R326" s="140">
        <f>SUMIFS('F20-2024'!R:R,'F20-2024'!$D:$D,$D326,'F20-2024'!$E:$E,$E326,'F20-2024'!$F:$F,$F326)</f>
        <v>0</v>
      </c>
      <c r="S326" s="140">
        <f>SUMIFS('F20-2024'!S:S,'F20-2024'!$D:$D,$D326,'F20-2024'!$E:$E,$E326,'F20-2024'!$F:$F,$F326)</f>
        <v>0</v>
      </c>
      <c r="T326" s="140">
        <f>SUMIFS('F20-2024'!T:T,'F20-2024'!$D:$D,$D326,'F20-2024'!$E:$E,$E326,'F20-2024'!$F:$F,$F326)</f>
        <v>0</v>
      </c>
      <c r="U326" s="140">
        <f>SUMIFS('F20-2024'!U:U,'F20-2024'!$D:$D,$D326,'F20-2024'!$E:$E,$E326,'F20-2024'!$F:$F,$F326)</f>
        <v>0</v>
      </c>
      <c r="V326" s="140"/>
      <c r="W326" s="141" t="e">
        <f t="shared" ref="W326:AA326" si="650">J326/$I326</f>
        <v>#DIV/0!</v>
      </c>
      <c r="X326" s="141" t="e">
        <f t="shared" si="650"/>
        <v>#DIV/0!</v>
      </c>
      <c r="Y326" s="141" t="e">
        <f t="shared" si="650"/>
        <v>#DIV/0!</v>
      </c>
      <c r="Z326" s="141" t="e">
        <f t="shared" si="650"/>
        <v>#DIV/0!</v>
      </c>
      <c r="AA326" s="141" t="e">
        <f t="shared" si="650"/>
        <v>#DIV/0!</v>
      </c>
      <c r="AB326" s="141"/>
      <c r="AC326" s="141" t="e">
        <f t="shared" si="512"/>
        <v>#DIV/0!</v>
      </c>
      <c r="AD326" s="141" t="e">
        <f t="shared" ref="AD326:AI326" si="651">O326/$I326</f>
        <v>#DIV/0!</v>
      </c>
      <c r="AE326" s="141" t="e">
        <f t="shared" si="651"/>
        <v>#DIV/0!</v>
      </c>
      <c r="AF326" s="141" t="e">
        <f t="shared" si="651"/>
        <v>#DIV/0!</v>
      </c>
      <c r="AG326" s="141" t="e">
        <f t="shared" si="651"/>
        <v>#DIV/0!</v>
      </c>
      <c r="AH326" s="141" t="e">
        <f t="shared" si="651"/>
        <v>#DIV/0!</v>
      </c>
      <c r="AI326" s="141" t="e">
        <f t="shared" si="651"/>
        <v>#DIV/0!</v>
      </c>
      <c r="AJ326" s="140"/>
    </row>
    <row r="327" spans="1:36">
      <c r="A327" s="140"/>
      <c r="B327" s="140"/>
      <c r="C327" s="140"/>
      <c r="D327" s="140"/>
      <c r="E327" s="140"/>
      <c r="F327" s="140"/>
      <c r="G327" s="140"/>
      <c r="H327" s="140"/>
      <c r="I327" s="140">
        <f>SUMIFS('F20-2024'!I:I,'F20-2024'!$D:$D,$D327,'F20-2024'!$E:$E,$E327,'F20-2024'!$F:$F,$F327)</f>
        <v>0</v>
      </c>
      <c r="J327" s="140">
        <f>SUMIFS('F20-2024'!J:J,'F20-2024'!$D:$D,$D327,'F20-2024'!$E:$E,$E327,'F20-2024'!$F:$F,$F327)</f>
        <v>0</v>
      </c>
      <c r="K327" s="140">
        <f>SUMIFS('F20-2024'!K:K,'F20-2024'!$D:$D,$D327,'F20-2024'!$E:$E,$E327,'F20-2024'!$F:$F,$F327)</f>
        <v>0</v>
      </c>
      <c r="L327" s="140">
        <f>SUMIFS('F20-2024'!L:L,'F20-2024'!$D:$D,$D327,'F20-2024'!$E:$E,$E327,'F20-2024'!$F:$F,$F327)</f>
        <v>0</v>
      </c>
      <c r="M327" s="140">
        <f>SUMIFS('F20-2024'!M:M,'F20-2024'!$D:$D,$D327,'F20-2024'!$E:$E,$E327,'F20-2024'!$F:$F,$F327)</f>
        <v>0</v>
      </c>
      <c r="N327" s="140">
        <f>SUMIFS('F20-2024'!N:N,'F20-2024'!$D:$D,$D327,'F20-2024'!$E:$E,$E327,'F20-2024'!$F:$F,$F327)</f>
        <v>0</v>
      </c>
      <c r="O327" s="140">
        <f>SUMIFS('F20-2024'!O:O,'F20-2024'!$D:$D,$D327,'F20-2024'!$E:$E,$E327,'F20-2024'!$F:$F,$F327)</f>
        <v>0</v>
      </c>
      <c r="P327" s="140">
        <f>SUMIFS('F20-2024'!P:P,'F20-2024'!$D:$D,$D327,'F20-2024'!$E:$E,$E327,'F20-2024'!$F:$F,$F327)</f>
        <v>0</v>
      </c>
      <c r="Q327" s="140">
        <f>SUMIFS('F20-2024'!Q:Q,'F20-2024'!$D:$D,$D327,'F20-2024'!$E:$E,$E327,'F20-2024'!$F:$F,$F327)</f>
        <v>0</v>
      </c>
      <c r="R327" s="140">
        <f>SUMIFS('F20-2024'!R:R,'F20-2024'!$D:$D,$D327,'F20-2024'!$E:$E,$E327,'F20-2024'!$F:$F,$F327)</f>
        <v>0</v>
      </c>
      <c r="S327" s="140">
        <f>SUMIFS('F20-2024'!S:S,'F20-2024'!$D:$D,$D327,'F20-2024'!$E:$E,$E327,'F20-2024'!$F:$F,$F327)</f>
        <v>0</v>
      </c>
      <c r="T327" s="140">
        <f>SUMIFS('F20-2024'!T:T,'F20-2024'!$D:$D,$D327,'F20-2024'!$E:$E,$E327,'F20-2024'!$F:$F,$F327)</f>
        <v>0</v>
      </c>
      <c r="U327" s="140">
        <f>SUMIFS('F20-2024'!U:U,'F20-2024'!$D:$D,$D327,'F20-2024'!$E:$E,$E327,'F20-2024'!$F:$F,$F327)</f>
        <v>0</v>
      </c>
      <c r="V327" s="140"/>
      <c r="W327" s="141" t="e">
        <f t="shared" ref="W327:AA327" si="652">J327/$I327</f>
        <v>#DIV/0!</v>
      </c>
      <c r="X327" s="141" t="e">
        <f t="shared" si="652"/>
        <v>#DIV/0!</v>
      </c>
      <c r="Y327" s="141" t="e">
        <f t="shared" si="652"/>
        <v>#DIV/0!</v>
      </c>
      <c r="Z327" s="141" t="e">
        <f t="shared" si="652"/>
        <v>#DIV/0!</v>
      </c>
      <c r="AA327" s="141" t="e">
        <f t="shared" si="652"/>
        <v>#DIV/0!</v>
      </c>
      <c r="AB327" s="141"/>
      <c r="AC327" s="141" t="e">
        <f t="shared" si="512"/>
        <v>#DIV/0!</v>
      </c>
      <c r="AD327" s="141" t="e">
        <f t="shared" ref="AD327:AI327" si="653">O327/$I327</f>
        <v>#DIV/0!</v>
      </c>
      <c r="AE327" s="141" t="e">
        <f t="shared" si="653"/>
        <v>#DIV/0!</v>
      </c>
      <c r="AF327" s="141" t="e">
        <f t="shared" si="653"/>
        <v>#DIV/0!</v>
      </c>
      <c r="AG327" s="141" t="e">
        <f t="shared" si="653"/>
        <v>#DIV/0!</v>
      </c>
      <c r="AH327" s="141" t="e">
        <f t="shared" si="653"/>
        <v>#DIV/0!</v>
      </c>
      <c r="AI327" s="141" t="e">
        <f t="shared" si="653"/>
        <v>#DIV/0!</v>
      </c>
      <c r="AJ327" s="140"/>
    </row>
    <row r="328" spans="1:36">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1"/>
      <c r="X328" s="141"/>
      <c r="Y328" s="141"/>
      <c r="Z328" s="141"/>
      <c r="AA328" s="141"/>
      <c r="AB328" s="141"/>
      <c r="AC328" s="141"/>
      <c r="AD328" s="141"/>
      <c r="AE328" s="141"/>
      <c r="AF328" s="141"/>
      <c r="AG328" s="141"/>
      <c r="AH328" s="141"/>
      <c r="AI328" s="141"/>
      <c r="AJ328" s="140"/>
    </row>
    <row r="329" spans="1:36">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1"/>
      <c r="X329" s="141"/>
      <c r="Y329" s="141"/>
      <c r="Z329" s="141"/>
      <c r="AA329" s="141"/>
      <c r="AB329" s="141"/>
      <c r="AC329" s="141"/>
      <c r="AD329" s="141"/>
      <c r="AE329" s="141"/>
      <c r="AF329" s="141"/>
      <c r="AG329" s="141"/>
      <c r="AH329" s="141"/>
      <c r="AI329" s="141"/>
      <c r="AJ329" s="140"/>
    </row>
    <row r="330" spans="1:36">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1"/>
      <c r="X330" s="141"/>
      <c r="Y330" s="141"/>
      <c r="Z330" s="141"/>
      <c r="AA330" s="141"/>
      <c r="AB330" s="141"/>
      <c r="AC330" s="141"/>
      <c r="AD330" s="141"/>
      <c r="AE330" s="141"/>
      <c r="AF330" s="141"/>
      <c r="AG330" s="141"/>
      <c r="AH330" s="141"/>
      <c r="AI330" s="141"/>
      <c r="AJ330" s="140"/>
    </row>
    <row r="331" spans="1:36">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1"/>
      <c r="X331" s="141"/>
      <c r="Y331" s="141"/>
      <c r="Z331" s="141"/>
      <c r="AA331" s="141"/>
      <c r="AB331" s="141"/>
      <c r="AC331" s="141"/>
      <c r="AD331" s="141"/>
      <c r="AE331" s="141"/>
      <c r="AF331" s="141"/>
      <c r="AG331" s="141"/>
      <c r="AH331" s="141"/>
      <c r="AI331" s="141"/>
      <c r="AJ331" s="140"/>
    </row>
    <row r="332" spans="1:36">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1"/>
      <c r="X332" s="141"/>
      <c r="Y332" s="141"/>
      <c r="Z332" s="141"/>
      <c r="AA332" s="141"/>
      <c r="AB332" s="141"/>
      <c r="AC332" s="141"/>
      <c r="AD332" s="141"/>
      <c r="AE332" s="141"/>
      <c r="AF332" s="141"/>
      <c r="AG332" s="141"/>
      <c r="AH332" s="141"/>
      <c r="AI332" s="141"/>
      <c r="AJ332" s="140"/>
    </row>
    <row r="333" spans="1:36">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1"/>
      <c r="X333" s="141"/>
      <c r="Y333" s="141"/>
      <c r="Z333" s="141"/>
      <c r="AA333" s="141"/>
      <c r="AB333" s="141"/>
      <c r="AC333" s="141"/>
      <c r="AD333" s="141"/>
      <c r="AE333" s="141"/>
      <c r="AF333" s="141"/>
      <c r="AG333" s="141"/>
      <c r="AH333" s="141"/>
      <c r="AI333" s="141"/>
      <c r="AJ333" s="140"/>
    </row>
    <row r="334" spans="1:36">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1"/>
      <c r="X334" s="141"/>
      <c r="Y334" s="141"/>
      <c r="Z334" s="141"/>
      <c r="AA334" s="141"/>
      <c r="AB334" s="141"/>
      <c r="AC334" s="141"/>
      <c r="AD334" s="141"/>
      <c r="AE334" s="141"/>
      <c r="AF334" s="141"/>
      <c r="AG334" s="141"/>
      <c r="AH334" s="141"/>
      <c r="AI334" s="141"/>
      <c r="AJ334" s="140"/>
    </row>
    <row r="335" spans="1:36">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1"/>
      <c r="X335" s="141"/>
      <c r="Y335" s="141"/>
      <c r="Z335" s="141"/>
      <c r="AA335" s="141"/>
      <c r="AB335" s="141"/>
      <c r="AC335" s="141"/>
      <c r="AD335" s="141"/>
      <c r="AE335" s="141"/>
      <c r="AF335" s="141"/>
      <c r="AG335" s="141"/>
      <c r="AH335" s="141"/>
      <c r="AI335" s="141"/>
      <c r="AJ335" s="140"/>
    </row>
    <row r="336" spans="1:36">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1"/>
      <c r="X336" s="141"/>
      <c r="Y336" s="141"/>
      <c r="Z336" s="141"/>
      <c r="AA336" s="141"/>
      <c r="AB336" s="141"/>
      <c r="AC336" s="141"/>
      <c r="AD336" s="141"/>
      <c r="AE336" s="141"/>
      <c r="AF336" s="141"/>
      <c r="AG336" s="141"/>
      <c r="AH336" s="141"/>
      <c r="AI336" s="141"/>
      <c r="AJ336" s="140"/>
    </row>
    <row r="337" spans="1:36">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1"/>
      <c r="X337" s="141"/>
      <c r="Y337" s="141"/>
      <c r="Z337" s="141"/>
      <c r="AA337" s="141"/>
      <c r="AB337" s="141"/>
      <c r="AC337" s="141"/>
      <c r="AD337" s="141"/>
      <c r="AE337" s="141"/>
      <c r="AF337" s="141"/>
      <c r="AG337" s="141"/>
      <c r="AH337" s="141"/>
      <c r="AI337" s="141"/>
      <c r="AJ337" s="140"/>
    </row>
    <row r="338" spans="1:36">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1"/>
      <c r="X338" s="141"/>
      <c r="Y338" s="141"/>
      <c r="Z338" s="141"/>
      <c r="AA338" s="141"/>
      <c r="AB338" s="141"/>
      <c r="AC338" s="141"/>
      <c r="AD338" s="141"/>
      <c r="AE338" s="141"/>
      <c r="AF338" s="141"/>
      <c r="AG338" s="141"/>
      <c r="AH338" s="141"/>
      <c r="AI338" s="141"/>
      <c r="AJ338" s="140"/>
    </row>
    <row r="339" spans="1:36">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1"/>
      <c r="X339" s="141"/>
      <c r="Y339" s="141"/>
      <c r="Z339" s="141"/>
      <c r="AA339" s="141"/>
      <c r="AB339" s="141"/>
      <c r="AC339" s="141"/>
      <c r="AD339" s="141"/>
      <c r="AE339" s="141"/>
      <c r="AF339" s="141"/>
      <c r="AG339" s="141"/>
      <c r="AH339" s="141"/>
      <c r="AI339" s="141"/>
      <c r="AJ339" s="140"/>
    </row>
    <row r="340" spans="1:36">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1"/>
      <c r="X340" s="141"/>
      <c r="Y340" s="141"/>
      <c r="Z340" s="141"/>
      <c r="AA340" s="141"/>
      <c r="AB340" s="141"/>
      <c r="AC340" s="141"/>
      <c r="AD340" s="141"/>
      <c r="AE340" s="141"/>
      <c r="AF340" s="141"/>
      <c r="AG340" s="141"/>
      <c r="AH340" s="141"/>
      <c r="AI340" s="141"/>
      <c r="AJ340" s="140"/>
    </row>
    <row r="341" spans="1:36">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1"/>
      <c r="X341" s="141"/>
      <c r="Y341" s="141"/>
      <c r="Z341" s="141"/>
      <c r="AA341" s="141"/>
      <c r="AB341" s="141"/>
      <c r="AC341" s="141"/>
      <c r="AD341" s="141"/>
      <c r="AE341" s="141"/>
      <c r="AF341" s="141"/>
      <c r="AG341" s="141"/>
      <c r="AH341" s="141"/>
      <c r="AI341" s="141"/>
      <c r="AJ341" s="140"/>
    </row>
    <row r="342" spans="1:36">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1"/>
      <c r="X342" s="141"/>
      <c r="Y342" s="141"/>
      <c r="Z342" s="141"/>
      <c r="AA342" s="141"/>
      <c r="AB342" s="141"/>
      <c r="AC342" s="141"/>
      <c r="AD342" s="141"/>
      <c r="AE342" s="141"/>
      <c r="AF342" s="141"/>
      <c r="AG342" s="141"/>
      <c r="AH342" s="141"/>
      <c r="AI342" s="141"/>
      <c r="AJ342" s="140"/>
    </row>
    <row r="343" spans="1:36">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1"/>
      <c r="X343" s="141"/>
      <c r="Y343" s="141"/>
      <c r="Z343" s="141"/>
      <c r="AA343" s="141"/>
      <c r="AB343" s="141"/>
      <c r="AC343" s="141"/>
      <c r="AD343" s="141"/>
      <c r="AE343" s="141"/>
      <c r="AF343" s="141"/>
      <c r="AG343" s="141"/>
      <c r="AH343" s="141"/>
      <c r="AI343" s="141"/>
      <c r="AJ343" s="140"/>
    </row>
    <row r="344" spans="1:36">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1"/>
      <c r="X344" s="141"/>
      <c r="Y344" s="141"/>
      <c r="Z344" s="141"/>
      <c r="AA344" s="141"/>
      <c r="AB344" s="141"/>
      <c r="AC344" s="141"/>
      <c r="AD344" s="141"/>
      <c r="AE344" s="141"/>
      <c r="AF344" s="141"/>
      <c r="AG344" s="141"/>
      <c r="AH344" s="141"/>
      <c r="AI344" s="141"/>
      <c r="AJ344" s="140"/>
    </row>
    <row r="345" spans="1:36">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1"/>
      <c r="X345" s="141"/>
      <c r="Y345" s="141"/>
      <c r="Z345" s="141"/>
      <c r="AA345" s="141"/>
      <c r="AB345" s="141"/>
      <c r="AC345" s="141"/>
      <c r="AD345" s="141"/>
      <c r="AE345" s="141"/>
      <c r="AF345" s="141"/>
      <c r="AG345" s="141"/>
      <c r="AH345" s="141"/>
      <c r="AI345" s="141"/>
      <c r="AJ345" s="140"/>
    </row>
    <row r="346" spans="1:36">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1"/>
      <c r="X346" s="141"/>
      <c r="Y346" s="141"/>
      <c r="Z346" s="141"/>
      <c r="AA346" s="141"/>
      <c r="AB346" s="141"/>
      <c r="AC346" s="141"/>
      <c r="AD346" s="141"/>
      <c r="AE346" s="141"/>
      <c r="AF346" s="141"/>
      <c r="AG346" s="141"/>
      <c r="AH346" s="141"/>
      <c r="AI346" s="141"/>
      <c r="AJ346" s="140"/>
    </row>
    <row r="347" spans="1:36">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1"/>
      <c r="X347" s="141"/>
      <c r="Y347" s="141"/>
      <c r="Z347" s="141"/>
      <c r="AA347" s="141"/>
      <c r="AB347" s="141"/>
      <c r="AC347" s="141"/>
      <c r="AD347" s="141"/>
      <c r="AE347" s="141"/>
      <c r="AF347" s="141"/>
      <c r="AG347" s="141"/>
      <c r="AH347" s="141"/>
      <c r="AI347" s="141"/>
      <c r="AJ347" s="140"/>
    </row>
    <row r="348" spans="1:36">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1"/>
      <c r="X348" s="141"/>
      <c r="Y348" s="141"/>
      <c r="Z348" s="141"/>
      <c r="AA348" s="141"/>
      <c r="AB348" s="141"/>
      <c r="AC348" s="141"/>
      <c r="AD348" s="141"/>
      <c r="AE348" s="141"/>
      <c r="AF348" s="141"/>
      <c r="AG348" s="141"/>
      <c r="AH348" s="141"/>
      <c r="AI348" s="141"/>
      <c r="AJ348" s="140"/>
    </row>
    <row r="349" spans="1:36">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1"/>
      <c r="X349" s="141"/>
      <c r="Y349" s="141"/>
      <c r="Z349" s="141"/>
      <c r="AA349" s="141"/>
      <c r="AB349" s="141"/>
      <c r="AC349" s="141"/>
      <c r="AD349" s="141"/>
      <c r="AE349" s="141"/>
      <c r="AF349" s="141"/>
      <c r="AG349" s="141"/>
      <c r="AH349" s="141"/>
      <c r="AI349" s="141"/>
      <c r="AJ349" s="140"/>
    </row>
    <row r="350" spans="1:36">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1"/>
      <c r="X350" s="141"/>
      <c r="Y350" s="141"/>
      <c r="Z350" s="141"/>
      <c r="AA350" s="141"/>
      <c r="AB350" s="141"/>
      <c r="AC350" s="141"/>
      <c r="AD350" s="141"/>
      <c r="AE350" s="141"/>
      <c r="AF350" s="141"/>
      <c r="AG350" s="141"/>
      <c r="AH350" s="141"/>
      <c r="AI350" s="141"/>
      <c r="AJ350" s="140"/>
    </row>
    <row r="351" spans="1:36">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1"/>
      <c r="X351" s="141"/>
      <c r="Y351" s="141"/>
      <c r="Z351" s="141"/>
      <c r="AA351" s="141"/>
      <c r="AB351" s="141"/>
      <c r="AC351" s="141"/>
      <c r="AD351" s="141"/>
      <c r="AE351" s="141"/>
      <c r="AF351" s="141"/>
      <c r="AG351" s="141"/>
      <c r="AH351" s="141"/>
      <c r="AI351" s="141"/>
      <c r="AJ351" s="140"/>
    </row>
    <row r="352" spans="1:36">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1"/>
      <c r="X352" s="141"/>
      <c r="Y352" s="141"/>
      <c r="Z352" s="141"/>
      <c r="AA352" s="141"/>
      <c r="AB352" s="141"/>
      <c r="AC352" s="141"/>
      <c r="AD352" s="141"/>
      <c r="AE352" s="141"/>
      <c r="AF352" s="141"/>
      <c r="AG352" s="141"/>
      <c r="AH352" s="141"/>
      <c r="AI352" s="141"/>
      <c r="AJ352" s="140"/>
    </row>
    <row r="353" spans="1:36">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1"/>
      <c r="X353" s="141"/>
      <c r="Y353" s="141"/>
      <c r="Z353" s="141"/>
      <c r="AA353" s="141"/>
      <c r="AB353" s="141"/>
      <c r="AC353" s="141"/>
      <c r="AD353" s="141"/>
      <c r="AE353" s="141"/>
      <c r="AF353" s="141"/>
      <c r="AG353" s="141"/>
      <c r="AH353" s="141"/>
      <c r="AI353" s="141"/>
      <c r="AJ353" s="140"/>
    </row>
    <row r="354" spans="1:36">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1"/>
      <c r="X354" s="141"/>
      <c r="Y354" s="141"/>
      <c r="Z354" s="141"/>
      <c r="AA354" s="141"/>
      <c r="AB354" s="141"/>
      <c r="AC354" s="141"/>
      <c r="AD354" s="141"/>
      <c r="AE354" s="141"/>
      <c r="AF354" s="141"/>
      <c r="AG354" s="141"/>
      <c r="AH354" s="141"/>
      <c r="AI354" s="141"/>
      <c r="AJ354" s="140"/>
    </row>
    <row r="355" spans="1:36">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1"/>
      <c r="X355" s="141"/>
      <c r="Y355" s="141"/>
      <c r="Z355" s="141"/>
      <c r="AA355" s="141"/>
      <c r="AB355" s="141"/>
      <c r="AC355" s="141"/>
      <c r="AD355" s="141"/>
      <c r="AE355" s="141"/>
      <c r="AF355" s="141"/>
      <c r="AG355" s="141"/>
      <c r="AH355" s="141"/>
      <c r="AI355" s="141"/>
      <c r="AJ355" s="140"/>
    </row>
    <row r="356" spans="1:36">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1"/>
      <c r="X356" s="141"/>
      <c r="Y356" s="141"/>
      <c r="Z356" s="141"/>
      <c r="AA356" s="141"/>
      <c r="AB356" s="141"/>
      <c r="AC356" s="141"/>
      <c r="AD356" s="141"/>
      <c r="AE356" s="141"/>
      <c r="AF356" s="141"/>
      <c r="AG356" s="141"/>
      <c r="AH356" s="141"/>
      <c r="AI356" s="141"/>
      <c r="AJ356" s="140"/>
    </row>
    <row r="357" spans="1:36">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1"/>
      <c r="X357" s="141"/>
      <c r="Y357" s="141"/>
      <c r="Z357" s="141"/>
      <c r="AA357" s="141"/>
      <c r="AB357" s="141"/>
      <c r="AC357" s="141"/>
      <c r="AD357" s="141"/>
      <c r="AE357" s="141"/>
      <c r="AF357" s="141"/>
      <c r="AG357" s="141"/>
      <c r="AH357" s="141"/>
      <c r="AI357" s="141"/>
      <c r="AJ357" s="140"/>
    </row>
    <row r="358" spans="1:36">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1"/>
      <c r="X358" s="141"/>
      <c r="Y358" s="141"/>
      <c r="Z358" s="141"/>
      <c r="AA358" s="141"/>
      <c r="AB358" s="141"/>
      <c r="AC358" s="141"/>
      <c r="AD358" s="141"/>
      <c r="AE358" s="141"/>
      <c r="AF358" s="141"/>
      <c r="AG358" s="141"/>
      <c r="AH358" s="141"/>
      <c r="AI358" s="141"/>
      <c r="AJ358" s="140"/>
    </row>
    <row r="359" spans="1:36">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1"/>
      <c r="X359" s="141"/>
      <c r="Y359" s="141"/>
      <c r="Z359" s="141"/>
      <c r="AA359" s="141"/>
      <c r="AB359" s="141"/>
      <c r="AC359" s="141"/>
      <c r="AD359" s="141"/>
      <c r="AE359" s="141"/>
      <c r="AF359" s="141"/>
      <c r="AG359" s="141"/>
      <c r="AH359" s="141"/>
      <c r="AI359" s="141"/>
      <c r="AJ359" s="140"/>
    </row>
    <row r="360" spans="1:36">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1"/>
      <c r="X360" s="141"/>
      <c r="Y360" s="141"/>
      <c r="Z360" s="141"/>
      <c r="AA360" s="141"/>
      <c r="AB360" s="141"/>
      <c r="AC360" s="141"/>
      <c r="AD360" s="141"/>
      <c r="AE360" s="141"/>
      <c r="AF360" s="141"/>
      <c r="AG360" s="141"/>
      <c r="AH360" s="141"/>
      <c r="AI360" s="141"/>
      <c r="AJ360" s="140"/>
    </row>
    <row r="361" spans="1:36">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1"/>
      <c r="X361" s="141"/>
      <c r="Y361" s="141"/>
      <c r="Z361" s="141"/>
      <c r="AA361" s="141"/>
      <c r="AB361" s="141"/>
      <c r="AC361" s="141"/>
      <c r="AD361" s="141"/>
      <c r="AE361" s="141"/>
      <c r="AF361" s="141"/>
      <c r="AG361" s="141"/>
      <c r="AH361" s="141"/>
      <c r="AI361" s="141"/>
      <c r="AJ361" s="140"/>
    </row>
    <row r="362" spans="1:36">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1"/>
      <c r="X362" s="141"/>
      <c r="Y362" s="141"/>
      <c r="Z362" s="141"/>
      <c r="AA362" s="141"/>
      <c r="AB362" s="141"/>
      <c r="AC362" s="141"/>
      <c r="AD362" s="141"/>
      <c r="AE362" s="141"/>
      <c r="AF362" s="141"/>
      <c r="AG362" s="141"/>
      <c r="AH362" s="141"/>
      <c r="AI362" s="141"/>
      <c r="AJ362" s="140"/>
    </row>
    <row r="363" spans="1:36">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1"/>
      <c r="X363" s="141"/>
      <c r="Y363" s="141"/>
      <c r="Z363" s="141"/>
      <c r="AA363" s="141"/>
      <c r="AB363" s="141"/>
      <c r="AC363" s="141"/>
      <c r="AD363" s="141"/>
      <c r="AE363" s="141"/>
      <c r="AF363" s="141"/>
      <c r="AG363" s="141"/>
      <c r="AH363" s="141"/>
      <c r="AI363" s="141"/>
      <c r="AJ363" s="140"/>
    </row>
    <row r="364" spans="1:36">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1"/>
      <c r="X364" s="141"/>
      <c r="Y364" s="141"/>
      <c r="Z364" s="141"/>
      <c r="AA364" s="141"/>
      <c r="AB364" s="141"/>
      <c r="AC364" s="141"/>
      <c r="AD364" s="141"/>
      <c r="AE364" s="141"/>
      <c r="AF364" s="141"/>
      <c r="AG364" s="141"/>
      <c r="AH364" s="141"/>
      <c r="AI364" s="141"/>
      <c r="AJ364" s="140"/>
    </row>
    <row r="365" spans="1:36">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1"/>
      <c r="X365" s="141"/>
      <c r="Y365" s="141"/>
      <c r="Z365" s="141"/>
      <c r="AA365" s="141"/>
      <c r="AB365" s="141"/>
      <c r="AC365" s="141"/>
      <c r="AD365" s="141"/>
      <c r="AE365" s="141"/>
      <c r="AF365" s="141"/>
      <c r="AG365" s="141"/>
      <c r="AH365" s="141"/>
      <c r="AI365" s="141"/>
      <c r="AJ365" s="140"/>
    </row>
    <row r="366" spans="1:36">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1"/>
      <c r="X366" s="141"/>
      <c r="Y366" s="141"/>
      <c r="Z366" s="141"/>
      <c r="AA366" s="141"/>
      <c r="AB366" s="141"/>
      <c r="AC366" s="141"/>
      <c r="AD366" s="141"/>
      <c r="AE366" s="141"/>
      <c r="AF366" s="141"/>
      <c r="AG366" s="141"/>
      <c r="AH366" s="141"/>
      <c r="AI366" s="141"/>
      <c r="AJ366" s="140"/>
    </row>
    <row r="367" spans="1:36">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1"/>
      <c r="X367" s="141"/>
      <c r="Y367" s="141"/>
      <c r="Z367" s="141"/>
      <c r="AA367" s="141"/>
      <c r="AB367" s="141"/>
      <c r="AC367" s="141"/>
      <c r="AD367" s="141"/>
      <c r="AE367" s="141"/>
      <c r="AF367" s="141"/>
      <c r="AG367" s="141"/>
      <c r="AH367" s="141"/>
      <c r="AI367" s="141"/>
      <c r="AJ367" s="140"/>
    </row>
    <row r="368" spans="1:36">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1"/>
      <c r="X368" s="141"/>
      <c r="Y368" s="141"/>
      <c r="Z368" s="141"/>
      <c r="AA368" s="141"/>
      <c r="AB368" s="141"/>
      <c r="AC368" s="141"/>
      <c r="AD368" s="141"/>
      <c r="AE368" s="141"/>
      <c r="AF368" s="141"/>
      <c r="AG368" s="141"/>
      <c r="AH368" s="141"/>
      <c r="AI368" s="141"/>
      <c r="AJ368" s="140"/>
    </row>
    <row r="369" spans="1:36">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1"/>
      <c r="X369" s="141"/>
      <c r="Y369" s="141"/>
      <c r="Z369" s="141"/>
      <c r="AA369" s="141"/>
      <c r="AB369" s="141"/>
      <c r="AC369" s="141"/>
      <c r="AD369" s="141"/>
      <c r="AE369" s="141"/>
      <c r="AF369" s="141"/>
      <c r="AG369" s="141"/>
      <c r="AH369" s="141"/>
      <c r="AI369" s="141"/>
      <c r="AJ369" s="140"/>
    </row>
    <row r="370" spans="1:36">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1"/>
      <c r="X370" s="141"/>
      <c r="Y370" s="141"/>
      <c r="Z370" s="141"/>
      <c r="AA370" s="141"/>
      <c r="AB370" s="141"/>
      <c r="AC370" s="141"/>
      <c r="AD370" s="141"/>
      <c r="AE370" s="141"/>
      <c r="AF370" s="141"/>
      <c r="AG370" s="141"/>
      <c r="AH370" s="141"/>
      <c r="AI370" s="141"/>
      <c r="AJ370" s="140"/>
    </row>
    <row r="371" spans="1:36">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1"/>
      <c r="X371" s="141"/>
      <c r="Y371" s="141"/>
      <c r="Z371" s="141"/>
      <c r="AA371" s="141"/>
      <c r="AB371" s="141"/>
      <c r="AC371" s="141"/>
      <c r="AD371" s="141"/>
      <c r="AE371" s="141"/>
      <c r="AF371" s="141"/>
      <c r="AG371" s="141"/>
      <c r="AH371" s="141"/>
      <c r="AI371" s="141"/>
      <c r="AJ371" s="140"/>
    </row>
    <row r="372" spans="1:36">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1"/>
      <c r="X372" s="141"/>
      <c r="Y372" s="141"/>
      <c r="Z372" s="141"/>
      <c r="AA372" s="141"/>
      <c r="AB372" s="141"/>
      <c r="AC372" s="141"/>
      <c r="AD372" s="141"/>
      <c r="AE372" s="141"/>
      <c r="AF372" s="141"/>
      <c r="AG372" s="141"/>
      <c r="AH372" s="141"/>
      <c r="AI372" s="141"/>
      <c r="AJ372" s="140"/>
    </row>
    <row r="373" spans="1:36">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1"/>
      <c r="X373" s="141"/>
      <c r="Y373" s="141"/>
      <c r="Z373" s="141"/>
      <c r="AA373" s="141"/>
      <c r="AB373" s="141"/>
      <c r="AC373" s="141"/>
      <c r="AD373" s="141"/>
      <c r="AE373" s="141"/>
      <c r="AF373" s="141"/>
      <c r="AG373" s="141"/>
      <c r="AH373" s="141"/>
      <c r="AI373" s="141"/>
      <c r="AJ373" s="140"/>
    </row>
    <row r="374" spans="1:36">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1"/>
      <c r="X374" s="141"/>
      <c r="Y374" s="141"/>
      <c r="Z374" s="141"/>
      <c r="AA374" s="141"/>
      <c r="AB374" s="141"/>
      <c r="AC374" s="141"/>
      <c r="AD374" s="141"/>
      <c r="AE374" s="141"/>
      <c r="AF374" s="141"/>
      <c r="AG374" s="141"/>
      <c r="AH374" s="141"/>
      <c r="AI374" s="141"/>
      <c r="AJ374" s="140"/>
    </row>
    <row r="375" spans="1:36">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1"/>
      <c r="X375" s="141"/>
      <c r="Y375" s="141"/>
      <c r="Z375" s="141"/>
      <c r="AA375" s="141"/>
      <c r="AB375" s="141"/>
      <c r="AC375" s="141"/>
      <c r="AD375" s="141"/>
      <c r="AE375" s="141"/>
      <c r="AF375" s="141"/>
      <c r="AG375" s="141"/>
      <c r="AH375" s="141"/>
      <c r="AI375" s="141"/>
      <c r="AJ375" s="140"/>
    </row>
    <row r="376" spans="1:36">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1"/>
      <c r="X376" s="141"/>
      <c r="Y376" s="141"/>
      <c r="Z376" s="141"/>
      <c r="AA376" s="141"/>
      <c r="AB376" s="141"/>
      <c r="AC376" s="141"/>
      <c r="AD376" s="141"/>
      <c r="AE376" s="141"/>
      <c r="AF376" s="141"/>
      <c r="AG376" s="141"/>
      <c r="AH376" s="141"/>
      <c r="AI376" s="141"/>
      <c r="AJ376" s="140"/>
    </row>
    <row r="377" spans="1:36">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1"/>
      <c r="X377" s="141"/>
      <c r="Y377" s="141"/>
      <c r="Z377" s="141"/>
      <c r="AA377" s="141"/>
      <c r="AB377" s="141"/>
      <c r="AC377" s="141"/>
      <c r="AD377" s="141"/>
      <c r="AE377" s="141"/>
      <c r="AF377" s="141"/>
      <c r="AG377" s="141"/>
      <c r="AH377" s="141"/>
      <c r="AI377" s="141"/>
      <c r="AJ377" s="140"/>
    </row>
    <row r="378" spans="1:36">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1"/>
      <c r="X378" s="141"/>
      <c r="Y378" s="141"/>
      <c r="Z378" s="141"/>
      <c r="AA378" s="141"/>
      <c r="AB378" s="141"/>
      <c r="AC378" s="141"/>
      <c r="AD378" s="141"/>
      <c r="AE378" s="141"/>
      <c r="AF378" s="141"/>
      <c r="AG378" s="141"/>
      <c r="AH378" s="141"/>
      <c r="AI378" s="141"/>
      <c r="AJ378" s="140"/>
    </row>
    <row r="379" spans="1:36">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1"/>
      <c r="X379" s="141"/>
      <c r="Y379" s="141"/>
      <c r="Z379" s="141"/>
      <c r="AA379" s="141"/>
      <c r="AB379" s="141"/>
      <c r="AC379" s="141"/>
      <c r="AD379" s="141"/>
      <c r="AE379" s="141"/>
      <c r="AF379" s="141"/>
      <c r="AG379" s="141"/>
      <c r="AH379" s="141"/>
      <c r="AI379" s="141"/>
      <c r="AJ379" s="140"/>
    </row>
    <row r="380" spans="1:36">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1"/>
      <c r="X380" s="141"/>
      <c r="Y380" s="141"/>
      <c r="Z380" s="141"/>
      <c r="AA380" s="141"/>
      <c r="AB380" s="141"/>
      <c r="AC380" s="141"/>
      <c r="AD380" s="141"/>
      <c r="AE380" s="141"/>
      <c r="AF380" s="141"/>
      <c r="AG380" s="141"/>
      <c r="AH380" s="141"/>
      <c r="AI380" s="141"/>
      <c r="AJ380" s="140"/>
    </row>
    <row r="381" spans="1:36">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1"/>
      <c r="X381" s="141"/>
      <c r="Y381" s="141"/>
      <c r="Z381" s="141"/>
      <c r="AA381" s="141"/>
      <c r="AB381" s="141"/>
      <c r="AC381" s="141"/>
      <c r="AD381" s="141"/>
      <c r="AE381" s="141"/>
      <c r="AF381" s="141"/>
      <c r="AG381" s="141"/>
      <c r="AH381" s="141"/>
      <c r="AI381" s="141"/>
      <c r="AJ381" s="140"/>
    </row>
    <row r="382" spans="1:36">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1"/>
      <c r="X382" s="141"/>
      <c r="Y382" s="141"/>
      <c r="Z382" s="141"/>
      <c r="AA382" s="141"/>
      <c r="AB382" s="141"/>
      <c r="AC382" s="141"/>
      <c r="AD382" s="141"/>
      <c r="AE382" s="141"/>
      <c r="AF382" s="141"/>
      <c r="AG382" s="141"/>
      <c r="AH382" s="141"/>
      <c r="AI382" s="141"/>
      <c r="AJ382" s="140"/>
    </row>
    <row r="383" spans="1:36">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1"/>
      <c r="X383" s="141"/>
      <c r="Y383" s="141"/>
      <c r="Z383" s="141"/>
      <c r="AA383" s="141"/>
      <c r="AB383" s="141"/>
      <c r="AC383" s="141"/>
      <c r="AD383" s="141"/>
      <c r="AE383" s="141"/>
      <c r="AF383" s="141"/>
      <c r="AG383" s="141"/>
      <c r="AH383" s="141"/>
      <c r="AI383" s="141"/>
      <c r="AJ383" s="140"/>
    </row>
    <row r="384" spans="1:36">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1"/>
      <c r="X384" s="141"/>
      <c r="Y384" s="141"/>
      <c r="Z384" s="141"/>
      <c r="AA384" s="141"/>
      <c r="AB384" s="141"/>
      <c r="AC384" s="141"/>
      <c r="AD384" s="141"/>
      <c r="AE384" s="141"/>
      <c r="AF384" s="141"/>
      <c r="AG384" s="141"/>
      <c r="AH384" s="141"/>
      <c r="AI384" s="141"/>
      <c r="AJ384" s="140"/>
    </row>
    <row r="385" spans="1:36">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1"/>
      <c r="X385" s="141"/>
      <c r="Y385" s="141"/>
      <c r="Z385" s="141"/>
      <c r="AA385" s="141"/>
      <c r="AB385" s="141"/>
      <c r="AC385" s="141"/>
      <c r="AD385" s="141"/>
      <c r="AE385" s="141"/>
      <c r="AF385" s="141"/>
      <c r="AG385" s="141"/>
      <c r="AH385" s="141"/>
      <c r="AI385" s="141"/>
      <c r="AJ385" s="140"/>
    </row>
    <row r="386" spans="1:36">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1"/>
      <c r="X386" s="141"/>
      <c r="Y386" s="141"/>
      <c r="Z386" s="141"/>
      <c r="AA386" s="141"/>
      <c r="AB386" s="141"/>
      <c r="AC386" s="141"/>
      <c r="AD386" s="141"/>
      <c r="AE386" s="141"/>
      <c r="AF386" s="141"/>
      <c r="AG386" s="141"/>
      <c r="AH386" s="141"/>
      <c r="AI386" s="141"/>
      <c r="AJ386" s="140"/>
    </row>
    <row r="387" spans="1:36">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1"/>
      <c r="X387" s="141"/>
      <c r="Y387" s="141"/>
      <c r="Z387" s="141"/>
      <c r="AA387" s="141"/>
      <c r="AB387" s="141"/>
      <c r="AC387" s="141"/>
      <c r="AD387" s="141"/>
      <c r="AE387" s="141"/>
      <c r="AF387" s="141"/>
      <c r="AG387" s="141"/>
      <c r="AH387" s="141"/>
      <c r="AI387" s="141"/>
      <c r="AJ387" s="140"/>
    </row>
    <row r="388" spans="1:36">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1"/>
      <c r="X388" s="141"/>
      <c r="Y388" s="141"/>
      <c r="Z388" s="141"/>
      <c r="AA388" s="141"/>
      <c r="AB388" s="141"/>
      <c r="AC388" s="141"/>
      <c r="AD388" s="141"/>
      <c r="AE388" s="141"/>
      <c r="AF388" s="141"/>
      <c r="AG388" s="141"/>
      <c r="AH388" s="141"/>
      <c r="AI388" s="141"/>
      <c r="AJ388" s="140"/>
    </row>
    <row r="389" spans="1:36">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1"/>
      <c r="X389" s="141"/>
      <c r="Y389" s="141"/>
      <c r="Z389" s="141"/>
      <c r="AA389" s="141"/>
      <c r="AB389" s="141"/>
      <c r="AC389" s="141"/>
      <c r="AD389" s="141"/>
      <c r="AE389" s="141"/>
      <c r="AF389" s="141"/>
      <c r="AG389" s="141"/>
      <c r="AH389" s="141"/>
      <c r="AI389" s="141"/>
      <c r="AJ389" s="140"/>
    </row>
    <row r="390" spans="1:36">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1"/>
      <c r="X390" s="141"/>
      <c r="Y390" s="141"/>
      <c r="Z390" s="141"/>
      <c r="AA390" s="141"/>
      <c r="AB390" s="141"/>
      <c r="AC390" s="141"/>
      <c r="AD390" s="141"/>
      <c r="AE390" s="141"/>
      <c r="AF390" s="141"/>
      <c r="AG390" s="141"/>
      <c r="AH390" s="141"/>
      <c r="AI390" s="141"/>
      <c r="AJ390" s="140"/>
    </row>
    <row r="391" spans="1:36">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1"/>
      <c r="X391" s="141"/>
      <c r="Y391" s="141"/>
      <c r="Z391" s="141"/>
      <c r="AA391" s="141"/>
      <c r="AB391" s="141"/>
      <c r="AC391" s="141"/>
      <c r="AD391" s="141"/>
      <c r="AE391" s="141"/>
      <c r="AF391" s="141"/>
      <c r="AG391" s="141"/>
      <c r="AH391" s="141"/>
      <c r="AI391" s="141"/>
      <c r="AJ391" s="140"/>
    </row>
    <row r="392" spans="1:36">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1"/>
      <c r="X392" s="141"/>
      <c r="Y392" s="141"/>
      <c r="Z392" s="141"/>
      <c r="AA392" s="141"/>
      <c r="AB392" s="141"/>
      <c r="AC392" s="141"/>
      <c r="AD392" s="141"/>
      <c r="AE392" s="141"/>
      <c r="AF392" s="141"/>
      <c r="AG392" s="141"/>
      <c r="AH392" s="141"/>
      <c r="AI392" s="141"/>
      <c r="AJ392" s="140"/>
    </row>
    <row r="393" spans="1:36">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1"/>
      <c r="X393" s="141"/>
      <c r="Y393" s="141"/>
      <c r="Z393" s="141"/>
      <c r="AA393" s="141"/>
      <c r="AB393" s="141"/>
      <c r="AC393" s="141"/>
      <c r="AD393" s="141"/>
      <c r="AE393" s="141"/>
      <c r="AF393" s="141"/>
      <c r="AG393" s="141"/>
      <c r="AH393" s="141"/>
      <c r="AI393" s="141"/>
      <c r="AJ393" s="140"/>
    </row>
    <row r="394" spans="1:36">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1"/>
      <c r="X394" s="141"/>
      <c r="Y394" s="141"/>
      <c r="Z394" s="141"/>
      <c r="AA394" s="141"/>
      <c r="AB394" s="141"/>
      <c r="AC394" s="141"/>
      <c r="AD394" s="141"/>
      <c r="AE394" s="141"/>
      <c r="AF394" s="141"/>
      <c r="AG394" s="141"/>
      <c r="AH394" s="141"/>
      <c r="AI394" s="141"/>
      <c r="AJ394" s="140"/>
    </row>
    <row r="395" spans="1:36">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1"/>
      <c r="X395" s="141"/>
      <c r="Y395" s="141"/>
      <c r="Z395" s="141"/>
      <c r="AA395" s="141"/>
      <c r="AB395" s="141"/>
      <c r="AC395" s="141"/>
      <c r="AD395" s="141"/>
      <c r="AE395" s="141"/>
      <c r="AF395" s="141"/>
      <c r="AG395" s="141"/>
      <c r="AH395" s="141"/>
      <c r="AI395" s="141"/>
      <c r="AJ395" s="140"/>
    </row>
    <row r="396" spans="1:36">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1"/>
      <c r="X396" s="141"/>
      <c r="Y396" s="141"/>
      <c r="Z396" s="141"/>
      <c r="AA396" s="141"/>
      <c r="AB396" s="141"/>
      <c r="AC396" s="141"/>
      <c r="AD396" s="141"/>
      <c r="AE396" s="141"/>
      <c r="AF396" s="141"/>
      <c r="AG396" s="141"/>
      <c r="AH396" s="141"/>
      <c r="AI396" s="141"/>
      <c r="AJ396" s="140"/>
    </row>
    <row r="397" spans="1:36">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1"/>
      <c r="X397" s="141"/>
      <c r="Y397" s="141"/>
      <c r="Z397" s="141"/>
      <c r="AA397" s="141"/>
      <c r="AB397" s="141"/>
      <c r="AC397" s="141"/>
      <c r="AD397" s="141"/>
      <c r="AE397" s="141"/>
      <c r="AF397" s="141"/>
      <c r="AG397" s="141"/>
      <c r="AH397" s="141"/>
      <c r="AI397" s="141"/>
      <c r="AJ397" s="140"/>
    </row>
    <row r="398" spans="1:36">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1"/>
      <c r="X398" s="141"/>
      <c r="Y398" s="141"/>
      <c r="Z398" s="141"/>
      <c r="AA398" s="141"/>
      <c r="AB398" s="141"/>
      <c r="AC398" s="141"/>
      <c r="AD398" s="141"/>
      <c r="AE398" s="141"/>
      <c r="AF398" s="141"/>
      <c r="AG398" s="141"/>
      <c r="AH398" s="141"/>
      <c r="AI398" s="141"/>
      <c r="AJ398" s="140"/>
    </row>
    <row r="399" spans="1:36">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1"/>
      <c r="X399" s="141"/>
      <c r="Y399" s="141"/>
      <c r="Z399" s="141"/>
      <c r="AA399" s="141"/>
      <c r="AB399" s="141"/>
      <c r="AC399" s="141"/>
      <c r="AD399" s="141"/>
      <c r="AE399" s="141"/>
      <c r="AF399" s="141"/>
      <c r="AG399" s="141"/>
      <c r="AH399" s="141"/>
      <c r="AI399" s="141"/>
      <c r="AJ399" s="140"/>
    </row>
    <row r="400" spans="1:36">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1"/>
      <c r="X400" s="141"/>
      <c r="Y400" s="141"/>
      <c r="Z400" s="141"/>
      <c r="AA400" s="141"/>
      <c r="AB400" s="141"/>
      <c r="AC400" s="141"/>
      <c r="AD400" s="141"/>
      <c r="AE400" s="141"/>
      <c r="AF400" s="141"/>
      <c r="AG400" s="141"/>
      <c r="AH400" s="141"/>
      <c r="AI400" s="141"/>
      <c r="AJ400" s="140"/>
    </row>
    <row r="401" spans="1:36">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1"/>
      <c r="X401" s="141"/>
      <c r="Y401" s="141"/>
      <c r="Z401" s="141"/>
      <c r="AA401" s="141"/>
      <c r="AB401" s="141"/>
      <c r="AC401" s="141"/>
      <c r="AD401" s="141"/>
      <c r="AE401" s="141"/>
      <c r="AF401" s="141"/>
      <c r="AG401" s="141"/>
      <c r="AH401" s="141"/>
      <c r="AI401" s="141"/>
      <c r="AJ401" s="140"/>
    </row>
    <row r="402" spans="1:36">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1"/>
      <c r="X402" s="141"/>
      <c r="Y402" s="141"/>
      <c r="Z402" s="141"/>
      <c r="AA402" s="141"/>
      <c r="AB402" s="141"/>
      <c r="AC402" s="141"/>
      <c r="AD402" s="141"/>
      <c r="AE402" s="141"/>
      <c r="AF402" s="141"/>
      <c r="AG402" s="141"/>
      <c r="AH402" s="141"/>
      <c r="AI402" s="141"/>
      <c r="AJ402" s="140"/>
    </row>
    <row r="403" spans="1:36">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1"/>
      <c r="X403" s="141"/>
      <c r="Y403" s="141"/>
      <c r="Z403" s="141"/>
      <c r="AA403" s="141"/>
      <c r="AB403" s="141"/>
      <c r="AC403" s="141"/>
      <c r="AD403" s="141"/>
      <c r="AE403" s="141"/>
      <c r="AF403" s="141"/>
      <c r="AG403" s="141"/>
      <c r="AH403" s="141"/>
      <c r="AI403" s="141"/>
      <c r="AJ403" s="140"/>
    </row>
    <row r="404" spans="1:36">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1"/>
      <c r="X404" s="141"/>
      <c r="Y404" s="141"/>
      <c r="Z404" s="141"/>
      <c r="AA404" s="141"/>
      <c r="AB404" s="141"/>
      <c r="AC404" s="141"/>
      <c r="AD404" s="141"/>
      <c r="AE404" s="141"/>
      <c r="AF404" s="141"/>
      <c r="AG404" s="141"/>
      <c r="AH404" s="141"/>
      <c r="AI404" s="141"/>
      <c r="AJ404" s="140"/>
    </row>
    <row r="405" spans="1:36">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1"/>
      <c r="X405" s="141"/>
      <c r="Y405" s="141"/>
      <c r="Z405" s="141"/>
      <c r="AA405" s="141"/>
      <c r="AB405" s="141"/>
      <c r="AC405" s="141"/>
      <c r="AD405" s="141"/>
      <c r="AE405" s="141"/>
      <c r="AF405" s="141"/>
      <c r="AG405" s="141"/>
      <c r="AH405" s="141"/>
      <c r="AI405" s="141"/>
      <c r="AJ405" s="140"/>
    </row>
    <row r="406" spans="1:36">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1"/>
      <c r="X406" s="141"/>
      <c r="Y406" s="141"/>
      <c r="Z406" s="141"/>
      <c r="AA406" s="141"/>
      <c r="AB406" s="141"/>
      <c r="AC406" s="141"/>
      <c r="AD406" s="141"/>
      <c r="AE406" s="141"/>
      <c r="AF406" s="141"/>
      <c r="AG406" s="141"/>
      <c r="AH406" s="141"/>
      <c r="AI406" s="141"/>
      <c r="AJ406" s="140"/>
    </row>
    <row r="407" spans="1:36">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1"/>
      <c r="X407" s="141"/>
      <c r="Y407" s="141"/>
      <c r="Z407" s="141"/>
      <c r="AA407" s="141"/>
      <c r="AB407" s="141"/>
      <c r="AC407" s="141"/>
      <c r="AD407" s="141"/>
      <c r="AE407" s="141"/>
      <c r="AF407" s="141"/>
      <c r="AG407" s="141"/>
      <c r="AH407" s="141"/>
      <c r="AI407" s="141"/>
      <c r="AJ407" s="140"/>
    </row>
    <row r="408" spans="1:36">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1"/>
      <c r="X408" s="141"/>
      <c r="Y408" s="141"/>
      <c r="Z408" s="141"/>
      <c r="AA408" s="141"/>
      <c r="AB408" s="141"/>
      <c r="AC408" s="141"/>
      <c r="AD408" s="141"/>
      <c r="AE408" s="141"/>
      <c r="AF408" s="141"/>
      <c r="AG408" s="141"/>
      <c r="AH408" s="141"/>
      <c r="AI408" s="141"/>
      <c r="AJ408" s="140"/>
    </row>
    <row r="409" spans="1:36">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1"/>
      <c r="X409" s="141"/>
      <c r="Y409" s="141"/>
      <c r="Z409" s="141"/>
      <c r="AA409" s="141"/>
      <c r="AB409" s="141"/>
      <c r="AC409" s="141"/>
      <c r="AD409" s="141"/>
      <c r="AE409" s="141"/>
      <c r="AF409" s="141"/>
      <c r="AG409" s="141"/>
      <c r="AH409" s="141"/>
      <c r="AI409" s="141"/>
      <c r="AJ409" s="140"/>
    </row>
    <row r="410" spans="1:36">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1"/>
      <c r="X410" s="141"/>
      <c r="Y410" s="141"/>
      <c r="Z410" s="141"/>
      <c r="AA410" s="141"/>
      <c r="AB410" s="141"/>
      <c r="AC410" s="141"/>
      <c r="AD410" s="141"/>
      <c r="AE410" s="141"/>
      <c r="AF410" s="141"/>
      <c r="AG410" s="141"/>
      <c r="AH410" s="141"/>
      <c r="AI410" s="141"/>
      <c r="AJ410" s="140"/>
    </row>
    <row r="411" spans="1:36">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1"/>
      <c r="X411" s="141"/>
      <c r="Y411" s="141"/>
      <c r="Z411" s="141"/>
      <c r="AA411" s="141"/>
      <c r="AB411" s="141"/>
      <c r="AC411" s="141"/>
      <c r="AD411" s="141"/>
      <c r="AE411" s="141"/>
      <c r="AF411" s="141"/>
      <c r="AG411" s="141"/>
      <c r="AH411" s="141"/>
      <c r="AI411" s="141"/>
      <c r="AJ411" s="140"/>
    </row>
    <row r="412" spans="1:36">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1"/>
      <c r="X412" s="141"/>
      <c r="Y412" s="141"/>
      <c r="Z412" s="141"/>
      <c r="AA412" s="141"/>
      <c r="AB412" s="141"/>
      <c r="AC412" s="141"/>
      <c r="AD412" s="141"/>
      <c r="AE412" s="141"/>
      <c r="AF412" s="141"/>
      <c r="AG412" s="141"/>
      <c r="AH412" s="141"/>
      <c r="AI412" s="141"/>
      <c r="AJ412" s="140"/>
    </row>
    <row r="413" spans="1:36">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1"/>
      <c r="X413" s="141"/>
      <c r="Y413" s="141"/>
      <c r="Z413" s="141"/>
      <c r="AA413" s="141"/>
      <c r="AB413" s="141"/>
      <c r="AC413" s="141"/>
      <c r="AD413" s="141"/>
      <c r="AE413" s="141"/>
      <c r="AF413" s="141"/>
      <c r="AG413" s="141"/>
      <c r="AH413" s="141"/>
      <c r="AI413" s="141"/>
      <c r="AJ413" s="140"/>
    </row>
    <row r="414" spans="1:36">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1"/>
      <c r="X414" s="141"/>
      <c r="Y414" s="141"/>
      <c r="Z414" s="141"/>
      <c r="AA414" s="141"/>
      <c r="AB414" s="141"/>
      <c r="AC414" s="141"/>
      <c r="AD414" s="141"/>
      <c r="AE414" s="141"/>
      <c r="AF414" s="141"/>
      <c r="AG414" s="141"/>
      <c r="AH414" s="141"/>
      <c r="AI414" s="141"/>
      <c r="AJ414" s="140"/>
    </row>
    <row r="415" spans="1:36">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1"/>
      <c r="X415" s="141"/>
      <c r="Y415" s="141"/>
      <c r="Z415" s="141"/>
      <c r="AA415" s="141"/>
      <c r="AB415" s="141"/>
      <c r="AC415" s="141"/>
      <c r="AD415" s="141"/>
      <c r="AE415" s="141"/>
      <c r="AF415" s="141"/>
      <c r="AG415" s="141"/>
      <c r="AH415" s="141"/>
      <c r="AI415" s="141"/>
      <c r="AJ415" s="140"/>
    </row>
    <row r="416" spans="1:36">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1"/>
      <c r="X416" s="141"/>
      <c r="Y416" s="141"/>
      <c r="Z416" s="141"/>
      <c r="AA416" s="141"/>
      <c r="AB416" s="141"/>
      <c r="AC416" s="141"/>
      <c r="AD416" s="141"/>
      <c r="AE416" s="141"/>
      <c r="AF416" s="141"/>
      <c r="AG416" s="141"/>
      <c r="AH416" s="141"/>
      <c r="AI416" s="141"/>
      <c r="AJ416" s="140"/>
    </row>
    <row r="417" spans="1:36">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1"/>
      <c r="X417" s="141"/>
      <c r="Y417" s="141"/>
      <c r="Z417" s="141"/>
      <c r="AA417" s="141"/>
      <c r="AB417" s="141"/>
      <c r="AC417" s="141"/>
      <c r="AD417" s="141"/>
      <c r="AE417" s="141"/>
      <c r="AF417" s="141"/>
      <c r="AG417" s="141"/>
      <c r="AH417" s="141"/>
      <c r="AI417" s="141"/>
      <c r="AJ417" s="140"/>
    </row>
    <row r="418" spans="1:36">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1"/>
      <c r="X418" s="141"/>
      <c r="Y418" s="141"/>
      <c r="Z418" s="141"/>
      <c r="AA418" s="141"/>
      <c r="AB418" s="141"/>
      <c r="AC418" s="141"/>
      <c r="AD418" s="141"/>
      <c r="AE418" s="141"/>
      <c r="AF418" s="141"/>
      <c r="AG418" s="141"/>
      <c r="AH418" s="141"/>
      <c r="AI418" s="141"/>
      <c r="AJ418" s="140"/>
    </row>
    <row r="419" spans="1:36">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1"/>
      <c r="X419" s="141"/>
      <c r="Y419" s="141"/>
      <c r="Z419" s="141"/>
      <c r="AA419" s="141"/>
      <c r="AB419" s="141"/>
      <c r="AC419" s="141"/>
      <c r="AD419" s="141"/>
      <c r="AE419" s="141"/>
      <c r="AF419" s="141"/>
      <c r="AG419" s="141"/>
      <c r="AH419" s="141"/>
      <c r="AI419" s="141"/>
      <c r="AJ419" s="140"/>
    </row>
    <row r="420" spans="1:36">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1"/>
      <c r="X420" s="141"/>
      <c r="Y420" s="141"/>
      <c r="Z420" s="141"/>
      <c r="AA420" s="141"/>
      <c r="AB420" s="141"/>
      <c r="AC420" s="141"/>
      <c r="AD420" s="141"/>
      <c r="AE420" s="141"/>
      <c r="AF420" s="141"/>
      <c r="AG420" s="141"/>
      <c r="AH420" s="141"/>
      <c r="AI420" s="141"/>
      <c r="AJ420" s="140"/>
    </row>
    <row r="421" spans="1:36">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1"/>
      <c r="X421" s="141"/>
      <c r="Y421" s="141"/>
      <c r="Z421" s="141"/>
      <c r="AA421" s="141"/>
      <c r="AB421" s="141"/>
      <c r="AC421" s="141"/>
      <c r="AD421" s="141"/>
      <c r="AE421" s="141"/>
      <c r="AF421" s="141"/>
      <c r="AG421" s="141"/>
      <c r="AH421" s="141"/>
      <c r="AI421" s="141"/>
      <c r="AJ421" s="140"/>
    </row>
    <row r="422" spans="1:36">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1"/>
      <c r="X422" s="141"/>
      <c r="Y422" s="141"/>
      <c r="Z422" s="141"/>
      <c r="AA422" s="141"/>
      <c r="AB422" s="141"/>
      <c r="AC422" s="141"/>
      <c r="AD422" s="141"/>
      <c r="AE422" s="141"/>
      <c r="AF422" s="141"/>
      <c r="AG422" s="141"/>
      <c r="AH422" s="141"/>
      <c r="AI422" s="141"/>
      <c r="AJ422" s="140"/>
    </row>
    <row r="423" spans="1:36">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1"/>
      <c r="X423" s="141"/>
      <c r="Y423" s="141"/>
      <c r="Z423" s="141"/>
      <c r="AA423" s="141"/>
      <c r="AB423" s="141"/>
      <c r="AC423" s="141"/>
      <c r="AD423" s="141"/>
      <c r="AE423" s="141"/>
      <c r="AF423" s="141"/>
      <c r="AG423" s="141"/>
      <c r="AH423" s="141"/>
      <c r="AI423" s="141"/>
      <c r="AJ423" s="140"/>
    </row>
    <row r="424" spans="1:36">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1"/>
      <c r="X424" s="141"/>
      <c r="Y424" s="141"/>
      <c r="Z424" s="141"/>
      <c r="AA424" s="141"/>
      <c r="AB424" s="141"/>
      <c r="AC424" s="141"/>
      <c r="AD424" s="141"/>
      <c r="AE424" s="141"/>
      <c r="AF424" s="141"/>
      <c r="AG424" s="141"/>
      <c r="AH424" s="141"/>
      <c r="AI424" s="141"/>
      <c r="AJ424" s="140"/>
    </row>
    <row r="425" spans="1:36">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1"/>
      <c r="X425" s="141"/>
      <c r="Y425" s="141"/>
      <c r="Z425" s="141"/>
      <c r="AA425" s="141"/>
      <c r="AB425" s="141"/>
      <c r="AC425" s="141"/>
      <c r="AD425" s="141"/>
      <c r="AE425" s="141"/>
      <c r="AF425" s="141"/>
      <c r="AG425" s="141"/>
      <c r="AH425" s="141"/>
      <c r="AI425" s="141"/>
      <c r="AJ425" s="140"/>
    </row>
    <row r="426" spans="1:36">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1"/>
      <c r="X426" s="141"/>
      <c r="Y426" s="141"/>
      <c r="Z426" s="141"/>
      <c r="AA426" s="141"/>
      <c r="AB426" s="141"/>
      <c r="AC426" s="141"/>
      <c r="AD426" s="141"/>
      <c r="AE426" s="141"/>
      <c r="AF426" s="141"/>
      <c r="AG426" s="141"/>
      <c r="AH426" s="141"/>
      <c r="AI426" s="141"/>
      <c r="AJ426" s="140"/>
    </row>
    <row r="427" spans="1:36">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1"/>
      <c r="X427" s="141"/>
      <c r="Y427" s="141"/>
      <c r="Z427" s="141"/>
      <c r="AA427" s="141"/>
      <c r="AB427" s="141"/>
      <c r="AC427" s="141"/>
      <c r="AD427" s="141"/>
      <c r="AE427" s="141"/>
      <c r="AF427" s="141"/>
      <c r="AG427" s="141"/>
      <c r="AH427" s="141"/>
      <c r="AI427" s="141"/>
      <c r="AJ427" s="140"/>
    </row>
    <row r="428" spans="1:36">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1"/>
      <c r="X428" s="141"/>
      <c r="Y428" s="141"/>
      <c r="Z428" s="141"/>
      <c r="AA428" s="141"/>
      <c r="AB428" s="141"/>
      <c r="AC428" s="141"/>
      <c r="AD428" s="141"/>
      <c r="AE428" s="141"/>
      <c r="AF428" s="141"/>
      <c r="AG428" s="141"/>
      <c r="AH428" s="141"/>
      <c r="AI428" s="141"/>
      <c r="AJ428" s="140"/>
    </row>
    <row r="429" spans="1:36">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1"/>
      <c r="X429" s="141"/>
      <c r="Y429" s="141"/>
      <c r="Z429" s="141"/>
      <c r="AA429" s="141"/>
      <c r="AB429" s="141"/>
      <c r="AC429" s="141"/>
      <c r="AD429" s="141"/>
      <c r="AE429" s="141"/>
      <c r="AF429" s="141"/>
      <c r="AG429" s="141"/>
      <c r="AH429" s="141"/>
      <c r="AI429" s="141"/>
      <c r="AJ429" s="140"/>
    </row>
    <row r="430" spans="1:36">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1"/>
      <c r="X430" s="141"/>
      <c r="Y430" s="141"/>
      <c r="Z430" s="141"/>
      <c r="AA430" s="141"/>
      <c r="AB430" s="141"/>
      <c r="AC430" s="141"/>
      <c r="AD430" s="141"/>
      <c r="AE430" s="141"/>
      <c r="AF430" s="141"/>
      <c r="AG430" s="141"/>
      <c r="AH430" s="141"/>
      <c r="AI430" s="141"/>
      <c r="AJ430" s="140"/>
    </row>
    <row r="431" spans="1:36">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1"/>
      <c r="X431" s="141"/>
      <c r="Y431" s="141"/>
      <c r="Z431" s="141"/>
      <c r="AA431" s="141"/>
      <c r="AB431" s="141"/>
      <c r="AC431" s="141"/>
      <c r="AD431" s="141"/>
      <c r="AE431" s="141"/>
      <c r="AF431" s="141"/>
      <c r="AG431" s="141"/>
      <c r="AH431" s="141"/>
      <c r="AI431" s="141"/>
      <c r="AJ431" s="140"/>
    </row>
    <row r="432" spans="1:36">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1"/>
      <c r="X432" s="141"/>
      <c r="Y432" s="141"/>
      <c r="Z432" s="141"/>
      <c r="AA432" s="141"/>
      <c r="AB432" s="141"/>
      <c r="AC432" s="141"/>
      <c r="AD432" s="141"/>
      <c r="AE432" s="141"/>
      <c r="AF432" s="141"/>
      <c r="AG432" s="141"/>
      <c r="AH432" s="141"/>
      <c r="AI432" s="141"/>
      <c r="AJ432" s="140"/>
    </row>
    <row r="433" spans="1:36">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1"/>
      <c r="X433" s="141"/>
      <c r="Y433" s="141"/>
      <c r="Z433" s="141"/>
      <c r="AA433" s="141"/>
      <c r="AB433" s="141"/>
      <c r="AC433" s="141"/>
      <c r="AD433" s="141"/>
      <c r="AE433" s="141"/>
      <c r="AF433" s="141"/>
      <c r="AG433" s="141"/>
      <c r="AH433" s="141"/>
      <c r="AI433" s="141"/>
      <c r="AJ433" s="140"/>
    </row>
    <row r="434" spans="1:36">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1"/>
      <c r="X434" s="141"/>
      <c r="Y434" s="141"/>
      <c r="Z434" s="141"/>
      <c r="AA434" s="141"/>
      <c r="AB434" s="141"/>
      <c r="AC434" s="141"/>
      <c r="AD434" s="141"/>
      <c r="AE434" s="141"/>
      <c r="AF434" s="141"/>
      <c r="AG434" s="141"/>
      <c r="AH434" s="141"/>
      <c r="AI434" s="141"/>
      <c r="AJ434" s="140"/>
    </row>
    <row r="435" spans="1:36">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1"/>
      <c r="X435" s="141"/>
      <c r="Y435" s="141"/>
      <c r="Z435" s="141"/>
      <c r="AA435" s="141"/>
      <c r="AB435" s="141"/>
      <c r="AC435" s="141"/>
      <c r="AD435" s="141"/>
      <c r="AE435" s="141"/>
      <c r="AF435" s="141"/>
      <c r="AG435" s="141"/>
      <c r="AH435" s="141"/>
      <c r="AI435" s="141"/>
      <c r="AJ435" s="140"/>
    </row>
    <row r="436" spans="1:36">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1"/>
      <c r="X436" s="141"/>
      <c r="Y436" s="141"/>
      <c r="Z436" s="141"/>
      <c r="AA436" s="141"/>
      <c r="AB436" s="141"/>
      <c r="AC436" s="141"/>
      <c r="AD436" s="141"/>
      <c r="AE436" s="141"/>
      <c r="AF436" s="141"/>
      <c r="AG436" s="141"/>
      <c r="AH436" s="141"/>
      <c r="AI436" s="141"/>
      <c r="AJ436" s="140"/>
    </row>
    <row r="437" spans="1:36">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1"/>
      <c r="X437" s="141"/>
      <c r="Y437" s="141"/>
      <c r="Z437" s="141"/>
      <c r="AA437" s="141"/>
      <c r="AB437" s="141"/>
      <c r="AC437" s="141"/>
      <c r="AD437" s="141"/>
      <c r="AE437" s="141"/>
      <c r="AF437" s="141"/>
      <c r="AG437" s="141"/>
      <c r="AH437" s="141"/>
      <c r="AI437" s="141"/>
      <c r="AJ437" s="140"/>
    </row>
    <row r="438" spans="1:36">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1"/>
      <c r="X438" s="141"/>
      <c r="Y438" s="141"/>
      <c r="Z438" s="141"/>
      <c r="AA438" s="141"/>
      <c r="AB438" s="141"/>
      <c r="AC438" s="141"/>
      <c r="AD438" s="141"/>
      <c r="AE438" s="141"/>
      <c r="AF438" s="141"/>
      <c r="AG438" s="141"/>
      <c r="AH438" s="141"/>
      <c r="AI438" s="141"/>
      <c r="AJ438" s="140"/>
    </row>
    <row r="439" spans="1:36">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1"/>
      <c r="X439" s="141"/>
      <c r="Y439" s="141"/>
      <c r="Z439" s="141"/>
      <c r="AA439" s="141"/>
      <c r="AB439" s="141"/>
      <c r="AC439" s="141"/>
      <c r="AD439" s="141"/>
      <c r="AE439" s="141"/>
      <c r="AF439" s="141"/>
      <c r="AG439" s="141"/>
      <c r="AH439" s="141"/>
      <c r="AI439" s="141"/>
      <c r="AJ439" s="140"/>
    </row>
    <row r="440" spans="1:36">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1"/>
      <c r="X440" s="141"/>
      <c r="Y440" s="141"/>
      <c r="Z440" s="141"/>
      <c r="AA440" s="141"/>
      <c r="AB440" s="141"/>
      <c r="AC440" s="141"/>
      <c r="AD440" s="141"/>
      <c r="AE440" s="141"/>
      <c r="AF440" s="141"/>
      <c r="AG440" s="141"/>
      <c r="AH440" s="141"/>
      <c r="AI440" s="141"/>
      <c r="AJ440" s="140"/>
    </row>
    <row r="441" spans="1:36">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1"/>
      <c r="X441" s="141"/>
      <c r="Y441" s="141"/>
      <c r="Z441" s="141"/>
      <c r="AA441" s="141"/>
      <c r="AB441" s="141"/>
      <c r="AC441" s="141"/>
      <c r="AD441" s="141"/>
      <c r="AE441" s="141"/>
      <c r="AF441" s="141"/>
      <c r="AG441" s="141"/>
      <c r="AH441" s="141"/>
      <c r="AI441" s="141"/>
      <c r="AJ441" s="140"/>
    </row>
    <row r="442" spans="1:36">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1"/>
      <c r="X442" s="141"/>
      <c r="Y442" s="141"/>
      <c r="Z442" s="141"/>
      <c r="AA442" s="141"/>
      <c r="AB442" s="141"/>
      <c r="AC442" s="141"/>
      <c r="AD442" s="141"/>
      <c r="AE442" s="141"/>
      <c r="AF442" s="141"/>
      <c r="AG442" s="141"/>
      <c r="AH442" s="141"/>
      <c r="AI442" s="141"/>
      <c r="AJ442" s="140"/>
    </row>
    <row r="443" spans="1:36">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1"/>
      <c r="X443" s="141"/>
      <c r="Y443" s="141"/>
      <c r="Z443" s="141"/>
      <c r="AA443" s="141"/>
      <c r="AB443" s="141"/>
      <c r="AC443" s="141"/>
      <c r="AD443" s="141"/>
      <c r="AE443" s="141"/>
      <c r="AF443" s="141"/>
      <c r="AG443" s="141"/>
      <c r="AH443" s="141"/>
      <c r="AI443" s="141"/>
      <c r="AJ443" s="140"/>
    </row>
    <row r="444" spans="1:36">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1"/>
      <c r="X444" s="141"/>
      <c r="Y444" s="141"/>
      <c r="Z444" s="141"/>
      <c r="AA444" s="141"/>
      <c r="AB444" s="141"/>
      <c r="AC444" s="141"/>
      <c r="AD444" s="141"/>
      <c r="AE444" s="141"/>
      <c r="AF444" s="141"/>
      <c r="AG444" s="141"/>
      <c r="AH444" s="141"/>
      <c r="AI444" s="141"/>
      <c r="AJ444" s="140"/>
    </row>
    <row r="445" spans="1:36">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1"/>
      <c r="X445" s="141"/>
      <c r="Y445" s="141"/>
      <c r="Z445" s="141"/>
      <c r="AA445" s="141"/>
      <c r="AB445" s="141"/>
      <c r="AC445" s="141"/>
      <c r="AD445" s="141"/>
      <c r="AE445" s="141"/>
      <c r="AF445" s="141"/>
      <c r="AG445" s="141"/>
      <c r="AH445" s="141"/>
      <c r="AI445" s="141"/>
      <c r="AJ445" s="140"/>
    </row>
    <row r="446" spans="1:36">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1"/>
      <c r="X446" s="141"/>
      <c r="Y446" s="141"/>
      <c r="Z446" s="141"/>
      <c r="AA446" s="141"/>
      <c r="AB446" s="141"/>
      <c r="AC446" s="141"/>
      <c r="AD446" s="141"/>
      <c r="AE446" s="141"/>
      <c r="AF446" s="141"/>
      <c r="AG446" s="141"/>
      <c r="AH446" s="141"/>
      <c r="AI446" s="141"/>
      <c r="AJ446" s="140"/>
    </row>
    <row r="447" spans="1:36">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1"/>
      <c r="X447" s="141"/>
      <c r="Y447" s="141"/>
      <c r="Z447" s="141"/>
      <c r="AA447" s="141"/>
      <c r="AB447" s="141"/>
      <c r="AC447" s="141"/>
      <c r="AD447" s="141"/>
      <c r="AE447" s="141"/>
      <c r="AF447" s="141"/>
      <c r="AG447" s="141"/>
      <c r="AH447" s="141"/>
      <c r="AI447" s="141"/>
      <c r="AJ447" s="140"/>
    </row>
    <row r="448" spans="1:36">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1"/>
      <c r="X448" s="141"/>
      <c r="Y448" s="141"/>
      <c r="Z448" s="141"/>
      <c r="AA448" s="141"/>
      <c r="AB448" s="141"/>
      <c r="AC448" s="141"/>
      <c r="AD448" s="141"/>
      <c r="AE448" s="141"/>
      <c r="AF448" s="141"/>
      <c r="AG448" s="141"/>
      <c r="AH448" s="141"/>
      <c r="AI448" s="141"/>
      <c r="AJ448" s="140"/>
    </row>
    <row r="449" spans="1:36">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1"/>
      <c r="X449" s="141"/>
      <c r="Y449" s="141"/>
      <c r="Z449" s="141"/>
      <c r="AA449" s="141"/>
      <c r="AB449" s="141"/>
      <c r="AC449" s="141"/>
      <c r="AD449" s="141"/>
      <c r="AE449" s="141"/>
      <c r="AF449" s="141"/>
      <c r="AG449" s="141"/>
      <c r="AH449" s="141"/>
      <c r="AI449" s="141"/>
      <c r="AJ449" s="140"/>
    </row>
    <row r="450" spans="1:36">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1"/>
      <c r="X450" s="141"/>
      <c r="Y450" s="141"/>
      <c r="Z450" s="141"/>
      <c r="AA450" s="141"/>
      <c r="AB450" s="141"/>
      <c r="AC450" s="141"/>
      <c r="AD450" s="141"/>
      <c r="AE450" s="141"/>
      <c r="AF450" s="141"/>
      <c r="AG450" s="141"/>
      <c r="AH450" s="141"/>
      <c r="AI450" s="141"/>
      <c r="AJ450" s="140"/>
    </row>
    <row r="451" spans="1:36">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1"/>
      <c r="X451" s="141"/>
      <c r="Y451" s="141"/>
      <c r="Z451" s="141"/>
      <c r="AA451" s="141"/>
      <c r="AB451" s="141"/>
      <c r="AC451" s="141"/>
      <c r="AD451" s="141"/>
      <c r="AE451" s="141"/>
      <c r="AF451" s="141"/>
      <c r="AG451" s="141"/>
      <c r="AH451" s="141"/>
      <c r="AI451" s="141"/>
      <c r="AJ451" s="140"/>
    </row>
    <row r="452" spans="1:36">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1"/>
      <c r="X452" s="141"/>
      <c r="Y452" s="141"/>
      <c r="Z452" s="141"/>
      <c r="AA452" s="141"/>
      <c r="AB452" s="141"/>
      <c r="AC452" s="141"/>
      <c r="AD452" s="141"/>
      <c r="AE452" s="141"/>
      <c r="AF452" s="141"/>
      <c r="AG452" s="141"/>
      <c r="AH452" s="141"/>
      <c r="AI452" s="141"/>
      <c r="AJ452" s="140"/>
    </row>
    <row r="453" spans="1:36">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1"/>
      <c r="X453" s="141"/>
      <c r="Y453" s="141"/>
      <c r="Z453" s="141"/>
      <c r="AA453" s="141"/>
      <c r="AB453" s="141"/>
      <c r="AC453" s="141"/>
      <c r="AD453" s="141"/>
      <c r="AE453" s="141"/>
      <c r="AF453" s="141"/>
      <c r="AG453" s="141"/>
      <c r="AH453" s="141"/>
      <c r="AI453" s="141"/>
      <c r="AJ453" s="140"/>
    </row>
    <row r="454" spans="1:36">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1"/>
      <c r="X454" s="141"/>
      <c r="Y454" s="141"/>
      <c r="Z454" s="141"/>
      <c r="AA454" s="141"/>
      <c r="AB454" s="141"/>
      <c r="AC454" s="141"/>
      <c r="AD454" s="141"/>
      <c r="AE454" s="141"/>
      <c r="AF454" s="141"/>
      <c r="AG454" s="141"/>
      <c r="AH454" s="141"/>
      <c r="AI454" s="141"/>
      <c r="AJ454" s="140"/>
    </row>
    <row r="455" spans="1:36">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1"/>
      <c r="X455" s="141"/>
      <c r="Y455" s="141"/>
      <c r="Z455" s="141"/>
      <c r="AA455" s="141"/>
      <c r="AB455" s="141"/>
      <c r="AC455" s="141"/>
      <c r="AD455" s="141"/>
      <c r="AE455" s="141"/>
      <c r="AF455" s="141"/>
      <c r="AG455" s="141"/>
      <c r="AH455" s="141"/>
      <c r="AI455" s="141"/>
      <c r="AJ455" s="140"/>
    </row>
    <row r="456" spans="1:36">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1"/>
      <c r="X456" s="141"/>
      <c r="Y456" s="141"/>
      <c r="Z456" s="141"/>
      <c r="AA456" s="141"/>
      <c r="AB456" s="141"/>
      <c r="AC456" s="141"/>
      <c r="AD456" s="141"/>
      <c r="AE456" s="141"/>
      <c r="AF456" s="141"/>
      <c r="AG456" s="141"/>
      <c r="AH456" s="141"/>
      <c r="AI456" s="141"/>
      <c r="AJ456" s="140"/>
    </row>
    <row r="457" spans="1:36">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1"/>
      <c r="X457" s="141"/>
      <c r="Y457" s="141"/>
      <c r="Z457" s="141"/>
      <c r="AA457" s="141"/>
      <c r="AB457" s="141"/>
      <c r="AC457" s="141"/>
      <c r="AD457" s="141"/>
      <c r="AE457" s="141"/>
      <c r="AF457" s="141"/>
      <c r="AG457" s="141"/>
      <c r="AH457" s="141"/>
      <c r="AI457" s="141"/>
      <c r="AJ457" s="140"/>
    </row>
    <row r="458" spans="1:36">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1"/>
      <c r="X458" s="141"/>
      <c r="Y458" s="141"/>
      <c r="Z458" s="141"/>
      <c r="AA458" s="141"/>
      <c r="AB458" s="141"/>
      <c r="AC458" s="141"/>
      <c r="AD458" s="141"/>
      <c r="AE458" s="141"/>
      <c r="AF458" s="141"/>
      <c r="AG458" s="141"/>
      <c r="AH458" s="141"/>
      <c r="AI458" s="141"/>
      <c r="AJ458" s="140"/>
    </row>
    <row r="459" spans="1:36">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1"/>
      <c r="X459" s="141"/>
      <c r="Y459" s="141"/>
      <c r="Z459" s="141"/>
      <c r="AA459" s="141"/>
      <c r="AB459" s="141"/>
      <c r="AC459" s="141"/>
      <c r="AD459" s="141"/>
      <c r="AE459" s="141"/>
      <c r="AF459" s="141"/>
      <c r="AG459" s="141"/>
      <c r="AH459" s="141"/>
      <c r="AI459" s="141"/>
      <c r="AJ459" s="140"/>
    </row>
    <row r="460" spans="1:36">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1"/>
      <c r="X460" s="141"/>
      <c r="Y460" s="141"/>
      <c r="Z460" s="141"/>
      <c r="AA460" s="141"/>
      <c r="AB460" s="141"/>
      <c r="AC460" s="141"/>
      <c r="AD460" s="141"/>
      <c r="AE460" s="141"/>
      <c r="AF460" s="141"/>
      <c r="AG460" s="141"/>
      <c r="AH460" s="141"/>
      <c r="AI460" s="141"/>
      <c r="AJ460" s="140"/>
    </row>
    <row r="461" spans="1:36">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1"/>
      <c r="X461" s="141"/>
      <c r="Y461" s="141"/>
      <c r="Z461" s="141"/>
      <c r="AA461" s="141"/>
      <c r="AB461" s="141"/>
      <c r="AC461" s="141"/>
      <c r="AD461" s="141"/>
      <c r="AE461" s="141"/>
      <c r="AF461" s="141"/>
      <c r="AG461" s="141"/>
      <c r="AH461" s="141"/>
      <c r="AI461" s="141"/>
      <c r="AJ461" s="140"/>
    </row>
    <row r="462" spans="1:36">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1"/>
      <c r="X462" s="141"/>
      <c r="Y462" s="141"/>
      <c r="Z462" s="141"/>
      <c r="AA462" s="141"/>
      <c r="AB462" s="141"/>
      <c r="AC462" s="141"/>
      <c r="AD462" s="141"/>
      <c r="AE462" s="141"/>
      <c r="AF462" s="141"/>
      <c r="AG462" s="141"/>
      <c r="AH462" s="141"/>
      <c r="AI462" s="141"/>
      <c r="AJ462" s="140"/>
    </row>
    <row r="463" spans="1:36">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1"/>
      <c r="X463" s="141"/>
      <c r="Y463" s="141"/>
      <c r="Z463" s="141"/>
      <c r="AA463" s="141"/>
      <c r="AB463" s="141"/>
      <c r="AC463" s="141"/>
      <c r="AD463" s="141"/>
      <c r="AE463" s="141"/>
      <c r="AF463" s="141"/>
      <c r="AG463" s="141"/>
      <c r="AH463" s="141"/>
      <c r="AI463" s="141"/>
      <c r="AJ463" s="140"/>
    </row>
    <row r="464" spans="1:36">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1"/>
      <c r="X464" s="141"/>
      <c r="Y464" s="141"/>
      <c r="Z464" s="141"/>
      <c r="AA464" s="141"/>
      <c r="AB464" s="141"/>
      <c r="AC464" s="141"/>
      <c r="AD464" s="141"/>
      <c r="AE464" s="141"/>
      <c r="AF464" s="141"/>
      <c r="AG464" s="141"/>
      <c r="AH464" s="141"/>
      <c r="AI464" s="141"/>
      <c r="AJ464" s="140"/>
    </row>
    <row r="465" spans="1:36">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1"/>
      <c r="X465" s="141"/>
      <c r="Y465" s="141"/>
      <c r="Z465" s="141"/>
      <c r="AA465" s="141"/>
      <c r="AB465" s="141"/>
      <c r="AC465" s="141"/>
      <c r="AD465" s="141"/>
      <c r="AE465" s="141"/>
      <c r="AF465" s="141"/>
      <c r="AG465" s="141"/>
      <c r="AH465" s="141"/>
      <c r="AI465" s="141"/>
      <c r="AJ465" s="140"/>
    </row>
    <row r="466" spans="1:36">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1"/>
      <c r="X466" s="141"/>
      <c r="Y466" s="141"/>
      <c r="Z466" s="141"/>
      <c r="AA466" s="141"/>
      <c r="AB466" s="141"/>
      <c r="AC466" s="141"/>
      <c r="AD466" s="141"/>
      <c r="AE466" s="141"/>
      <c r="AF466" s="141"/>
      <c r="AG466" s="141"/>
      <c r="AH466" s="141"/>
      <c r="AI466" s="141"/>
      <c r="AJ466" s="140"/>
    </row>
    <row r="467" spans="1:36">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1"/>
      <c r="X467" s="141"/>
      <c r="Y467" s="141"/>
      <c r="Z467" s="141"/>
      <c r="AA467" s="141"/>
      <c r="AB467" s="141"/>
      <c r="AC467" s="141"/>
      <c r="AD467" s="141"/>
      <c r="AE467" s="141"/>
      <c r="AF467" s="141"/>
      <c r="AG467" s="141"/>
      <c r="AH467" s="141"/>
      <c r="AI467" s="141"/>
      <c r="AJ467" s="140"/>
    </row>
    <row r="468" spans="1:36">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1"/>
      <c r="X468" s="141"/>
      <c r="Y468" s="141"/>
      <c r="Z468" s="141"/>
      <c r="AA468" s="141"/>
      <c r="AB468" s="141"/>
      <c r="AC468" s="141"/>
      <c r="AD468" s="141"/>
      <c r="AE468" s="141"/>
      <c r="AF468" s="141"/>
      <c r="AG468" s="141"/>
      <c r="AH468" s="141"/>
      <c r="AI468" s="141"/>
      <c r="AJ468" s="140"/>
    </row>
    <row r="469" spans="1:36">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1"/>
      <c r="X469" s="141"/>
      <c r="Y469" s="141"/>
      <c r="Z469" s="141"/>
      <c r="AA469" s="141"/>
      <c r="AB469" s="141"/>
      <c r="AC469" s="141"/>
      <c r="AD469" s="141"/>
      <c r="AE469" s="141"/>
      <c r="AF469" s="141"/>
      <c r="AG469" s="141"/>
      <c r="AH469" s="141"/>
      <c r="AI469" s="141"/>
      <c r="AJ469" s="140"/>
    </row>
    <row r="470" spans="1:36">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1"/>
      <c r="X470" s="141"/>
      <c r="Y470" s="141"/>
      <c r="Z470" s="141"/>
      <c r="AA470" s="141"/>
      <c r="AB470" s="141"/>
      <c r="AC470" s="141"/>
      <c r="AD470" s="141"/>
      <c r="AE470" s="141"/>
      <c r="AF470" s="141"/>
      <c r="AG470" s="141"/>
      <c r="AH470" s="141"/>
      <c r="AI470" s="141"/>
      <c r="AJ470" s="140"/>
    </row>
    <row r="471" spans="1:36">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1"/>
      <c r="X471" s="141"/>
      <c r="Y471" s="141"/>
      <c r="Z471" s="141"/>
      <c r="AA471" s="141"/>
      <c r="AB471" s="141"/>
      <c r="AC471" s="141"/>
      <c r="AD471" s="141"/>
      <c r="AE471" s="141"/>
      <c r="AF471" s="141"/>
      <c r="AG471" s="141"/>
      <c r="AH471" s="141"/>
      <c r="AI471" s="141"/>
      <c r="AJ471" s="140"/>
    </row>
    <row r="472" spans="1:36">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1"/>
      <c r="X472" s="141"/>
      <c r="Y472" s="141"/>
      <c r="Z472" s="141"/>
      <c r="AA472" s="141"/>
      <c r="AB472" s="141"/>
      <c r="AC472" s="141"/>
      <c r="AD472" s="141"/>
      <c r="AE472" s="141"/>
      <c r="AF472" s="141"/>
      <c r="AG472" s="141"/>
      <c r="AH472" s="141"/>
      <c r="AI472" s="141"/>
      <c r="AJ472" s="140"/>
    </row>
    <row r="473" spans="1:36">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1"/>
      <c r="X473" s="141"/>
      <c r="Y473" s="141"/>
      <c r="Z473" s="141"/>
      <c r="AA473" s="141"/>
      <c r="AB473" s="141"/>
      <c r="AC473" s="141"/>
      <c r="AD473" s="141"/>
      <c r="AE473" s="141"/>
      <c r="AF473" s="141"/>
      <c r="AG473" s="141"/>
      <c r="AH473" s="141"/>
      <c r="AI473" s="141"/>
      <c r="AJ473" s="140"/>
    </row>
    <row r="474" spans="1:36">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1"/>
      <c r="X474" s="141"/>
      <c r="Y474" s="141"/>
      <c r="Z474" s="141"/>
      <c r="AA474" s="141"/>
      <c r="AB474" s="141"/>
      <c r="AC474" s="141"/>
      <c r="AD474" s="141"/>
      <c r="AE474" s="141"/>
      <c r="AF474" s="141"/>
      <c r="AG474" s="141"/>
      <c r="AH474" s="141"/>
      <c r="AI474" s="141"/>
      <c r="AJ474" s="140"/>
    </row>
    <row r="475" spans="1:36">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1"/>
      <c r="X475" s="141"/>
      <c r="Y475" s="141"/>
      <c r="Z475" s="141"/>
      <c r="AA475" s="141"/>
      <c r="AB475" s="141"/>
      <c r="AC475" s="141"/>
      <c r="AD475" s="141"/>
      <c r="AE475" s="141"/>
      <c r="AF475" s="141"/>
      <c r="AG475" s="141"/>
      <c r="AH475" s="141"/>
      <c r="AI475" s="141"/>
      <c r="AJ475" s="140"/>
    </row>
    <row r="476" spans="1:36">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1"/>
      <c r="X476" s="141"/>
      <c r="Y476" s="141"/>
      <c r="Z476" s="141"/>
      <c r="AA476" s="141"/>
      <c r="AB476" s="141"/>
      <c r="AC476" s="141"/>
      <c r="AD476" s="141"/>
      <c r="AE476" s="141"/>
      <c r="AF476" s="141"/>
      <c r="AG476" s="141"/>
      <c r="AH476" s="141"/>
      <c r="AI476" s="141"/>
      <c r="AJ476" s="140"/>
    </row>
    <row r="477" spans="1:36">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1"/>
      <c r="X477" s="141"/>
      <c r="Y477" s="141"/>
      <c r="Z477" s="141"/>
      <c r="AA477" s="141"/>
      <c r="AB477" s="141"/>
      <c r="AC477" s="141"/>
      <c r="AD477" s="141"/>
      <c r="AE477" s="141"/>
      <c r="AF477" s="141"/>
      <c r="AG477" s="141"/>
      <c r="AH477" s="141"/>
      <c r="AI477" s="141"/>
      <c r="AJ477" s="140"/>
    </row>
    <row r="478" spans="1:36">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1"/>
      <c r="X478" s="141"/>
      <c r="Y478" s="141"/>
      <c r="Z478" s="141"/>
      <c r="AA478" s="141"/>
      <c r="AB478" s="141"/>
      <c r="AC478" s="141"/>
      <c r="AD478" s="141"/>
      <c r="AE478" s="141"/>
      <c r="AF478" s="141"/>
      <c r="AG478" s="141"/>
      <c r="AH478" s="141"/>
      <c r="AI478" s="141"/>
      <c r="AJ478" s="140"/>
    </row>
    <row r="479" spans="1:36">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1"/>
      <c r="X479" s="141"/>
      <c r="Y479" s="141"/>
      <c r="Z479" s="141"/>
      <c r="AA479" s="141"/>
      <c r="AB479" s="141"/>
      <c r="AC479" s="141"/>
      <c r="AD479" s="141"/>
      <c r="AE479" s="141"/>
      <c r="AF479" s="141"/>
      <c r="AG479" s="141"/>
      <c r="AH479" s="141"/>
      <c r="AI479" s="141"/>
      <c r="AJ479" s="140"/>
    </row>
    <row r="480" spans="1:36">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1"/>
      <c r="X480" s="141"/>
      <c r="Y480" s="141"/>
      <c r="Z480" s="141"/>
      <c r="AA480" s="141"/>
      <c r="AB480" s="141"/>
      <c r="AC480" s="141"/>
      <c r="AD480" s="141"/>
      <c r="AE480" s="141"/>
      <c r="AF480" s="141"/>
      <c r="AG480" s="141"/>
      <c r="AH480" s="141"/>
      <c r="AI480" s="141"/>
      <c r="AJ480" s="140"/>
    </row>
    <row r="481" spans="1:36">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1"/>
      <c r="X481" s="141"/>
      <c r="Y481" s="141"/>
      <c r="Z481" s="141"/>
      <c r="AA481" s="141"/>
      <c r="AB481" s="141"/>
      <c r="AC481" s="141"/>
      <c r="AD481" s="141"/>
      <c r="AE481" s="141"/>
      <c r="AF481" s="141"/>
      <c r="AG481" s="141"/>
      <c r="AH481" s="141"/>
      <c r="AI481" s="141"/>
      <c r="AJ481" s="140"/>
    </row>
    <row r="482" spans="1:36">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1"/>
      <c r="X482" s="141"/>
      <c r="Y482" s="141"/>
      <c r="Z482" s="141"/>
      <c r="AA482" s="141"/>
      <c r="AB482" s="141"/>
      <c r="AC482" s="141"/>
      <c r="AD482" s="141"/>
      <c r="AE482" s="141"/>
      <c r="AF482" s="141"/>
      <c r="AG482" s="141"/>
      <c r="AH482" s="141"/>
      <c r="AI482" s="141"/>
      <c r="AJ482" s="140"/>
    </row>
    <row r="483" spans="1:36">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1"/>
      <c r="X483" s="141"/>
      <c r="Y483" s="141"/>
      <c r="Z483" s="141"/>
      <c r="AA483" s="141"/>
      <c r="AB483" s="141"/>
      <c r="AC483" s="141"/>
      <c r="AD483" s="141"/>
      <c r="AE483" s="141"/>
      <c r="AF483" s="141"/>
      <c r="AG483" s="141"/>
      <c r="AH483" s="141"/>
      <c r="AI483" s="141"/>
      <c r="AJ483" s="140"/>
    </row>
    <row r="484" spans="1:36">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1"/>
      <c r="X484" s="141"/>
      <c r="Y484" s="141"/>
      <c r="Z484" s="141"/>
      <c r="AA484" s="141"/>
      <c r="AB484" s="141"/>
      <c r="AC484" s="141"/>
      <c r="AD484" s="141"/>
      <c r="AE484" s="141"/>
      <c r="AF484" s="141"/>
      <c r="AG484" s="141"/>
      <c r="AH484" s="141"/>
      <c r="AI484" s="141"/>
      <c r="AJ484" s="140"/>
    </row>
    <row r="485" spans="1:36">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1"/>
      <c r="X485" s="141"/>
      <c r="Y485" s="141"/>
      <c r="Z485" s="141"/>
      <c r="AA485" s="141"/>
      <c r="AB485" s="141"/>
      <c r="AC485" s="141"/>
      <c r="AD485" s="141"/>
      <c r="AE485" s="141"/>
      <c r="AF485" s="141"/>
      <c r="AG485" s="141"/>
      <c r="AH485" s="141"/>
      <c r="AI485" s="141"/>
      <c r="AJ485" s="140"/>
    </row>
    <row r="486" spans="1:36">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1"/>
      <c r="X486" s="141"/>
      <c r="Y486" s="141"/>
      <c r="Z486" s="141"/>
      <c r="AA486" s="141"/>
      <c r="AB486" s="141"/>
      <c r="AC486" s="141"/>
      <c r="AD486" s="141"/>
      <c r="AE486" s="141"/>
      <c r="AF486" s="141"/>
      <c r="AG486" s="141"/>
      <c r="AH486" s="141"/>
      <c r="AI486" s="141"/>
      <c r="AJ486" s="140"/>
    </row>
    <row r="487" spans="1:36">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1"/>
      <c r="X487" s="141"/>
      <c r="Y487" s="141"/>
      <c r="Z487" s="141"/>
      <c r="AA487" s="141"/>
      <c r="AB487" s="141"/>
      <c r="AC487" s="141"/>
      <c r="AD487" s="141"/>
      <c r="AE487" s="141"/>
      <c r="AF487" s="141"/>
      <c r="AG487" s="141"/>
      <c r="AH487" s="141"/>
      <c r="AI487" s="141"/>
      <c r="AJ487" s="140"/>
    </row>
    <row r="488" spans="1:36">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1"/>
      <c r="X488" s="141"/>
      <c r="Y488" s="141"/>
      <c r="Z488" s="141"/>
      <c r="AA488" s="141"/>
      <c r="AB488" s="141"/>
      <c r="AC488" s="141"/>
      <c r="AD488" s="141"/>
      <c r="AE488" s="141"/>
      <c r="AF488" s="141"/>
      <c r="AG488" s="141"/>
      <c r="AH488" s="141"/>
      <c r="AI488" s="141"/>
      <c r="AJ488" s="140"/>
    </row>
    <row r="489" spans="1:36">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1"/>
      <c r="X489" s="141"/>
      <c r="Y489" s="141"/>
      <c r="Z489" s="141"/>
      <c r="AA489" s="141"/>
      <c r="AB489" s="141"/>
      <c r="AC489" s="141"/>
      <c r="AD489" s="141"/>
      <c r="AE489" s="141"/>
      <c r="AF489" s="141"/>
      <c r="AG489" s="141"/>
      <c r="AH489" s="141"/>
      <c r="AI489" s="141"/>
      <c r="AJ489" s="140"/>
    </row>
    <row r="490" spans="1:36">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1"/>
      <c r="X490" s="141"/>
      <c r="Y490" s="141"/>
      <c r="Z490" s="141"/>
      <c r="AA490" s="141"/>
      <c r="AB490" s="141"/>
      <c r="AC490" s="141"/>
      <c r="AD490" s="141"/>
      <c r="AE490" s="141"/>
      <c r="AF490" s="141"/>
      <c r="AG490" s="141"/>
      <c r="AH490" s="141"/>
      <c r="AI490" s="141"/>
      <c r="AJ490" s="140"/>
    </row>
    <row r="491" spans="1:36">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1"/>
      <c r="X491" s="141"/>
      <c r="Y491" s="141"/>
      <c r="Z491" s="141"/>
      <c r="AA491" s="141"/>
      <c r="AB491" s="141"/>
      <c r="AC491" s="141"/>
      <c r="AD491" s="141"/>
      <c r="AE491" s="141"/>
      <c r="AF491" s="141"/>
      <c r="AG491" s="141"/>
      <c r="AH491" s="141"/>
      <c r="AI491" s="141"/>
      <c r="AJ491" s="140"/>
    </row>
    <row r="492" spans="1:36">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1"/>
      <c r="X492" s="141"/>
      <c r="Y492" s="141"/>
      <c r="Z492" s="141"/>
      <c r="AA492" s="141"/>
      <c r="AB492" s="141"/>
      <c r="AC492" s="141"/>
      <c r="AD492" s="141"/>
      <c r="AE492" s="141"/>
      <c r="AF492" s="141"/>
      <c r="AG492" s="141"/>
      <c r="AH492" s="141"/>
      <c r="AI492" s="141"/>
      <c r="AJ492" s="140"/>
    </row>
    <row r="493" spans="1:36">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1"/>
      <c r="X493" s="141"/>
      <c r="Y493" s="141"/>
      <c r="Z493" s="141"/>
      <c r="AA493" s="141"/>
      <c r="AB493" s="141"/>
      <c r="AC493" s="141"/>
      <c r="AD493" s="141"/>
      <c r="AE493" s="141"/>
      <c r="AF493" s="141"/>
      <c r="AG493" s="141"/>
      <c r="AH493" s="141"/>
      <c r="AI493" s="141"/>
      <c r="AJ493" s="140"/>
    </row>
    <row r="494" spans="1:36">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1"/>
      <c r="X494" s="141"/>
      <c r="Y494" s="141"/>
      <c r="Z494" s="141"/>
      <c r="AA494" s="141"/>
      <c r="AB494" s="141"/>
      <c r="AC494" s="141"/>
      <c r="AD494" s="141"/>
      <c r="AE494" s="141"/>
      <c r="AF494" s="141"/>
      <c r="AG494" s="141"/>
      <c r="AH494" s="141"/>
      <c r="AI494" s="141"/>
      <c r="AJ494" s="140"/>
    </row>
    <row r="495" spans="1:36">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1"/>
      <c r="X495" s="141"/>
      <c r="Y495" s="141"/>
      <c r="Z495" s="141"/>
      <c r="AA495" s="141"/>
      <c r="AB495" s="141"/>
      <c r="AC495" s="141"/>
      <c r="AD495" s="141"/>
      <c r="AE495" s="141"/>
      <c r="AF495" s="141"/>
      <c r="AG495" s="141"/>
      <c r="AH495" s="141"/>
      <c r="AI495" s="141"/>
      <c r="AJ495" s="140"/>
    </row>
    <row r="496" spans="1:36">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1"/>
      <c r="X496" s="141"/>
      <c r="Y496" s="141"/>
      <c r="Z496" s="141"/>
      <c r="AA496" s="141"/>
      <c r="AB496" s="141"/>
      <c r="AC496" s="141"/>
      <c r="AD496" s="141"/>
      <c r="AE496" s="141"/>
      <c r="AF496" s="141"/>
      <c r="AG496" s="141"/>
      <c r="AH496" s="141"/>
      <c r="AI496" s="141"/>
      <c r="AJ496" s="140"/>
    </row>
    <row r="497" spans="1:36">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1"/>
      <c r="X497" s="141"/>
      <c r="Y497" s="141"/>
      <c r="Z497" s="141"/>
      <c r="AA497" s="141"/>
      <c r="AB497" s="141"/>
      <c r="AC497" s="141"/>
      <c r="AD497" s="141"/>
      <c r="AE497" s="141"/>
      <c r="AF497" s="141"/>
      <c r="AG497" s="141"/>
      <c r="AH497" s="141"/>
      <c r="AI497" s="141"/>
      <c r="AJ497" s="140"/>
    </row>
    <row r="498" spans="1:36">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1"/>
      <c r="X498" s="141"/>
      <c r="Y498" s="141"/>
      <c r="Z498" s="141"/>
      <c r="AA498" s="141"/>
      <c r="AB498" s="141"/>
      <c r="AC498" s="141"/>
      <c r="AD498" s="141"/>
      <c r="AE498" s="141"/>
      <c r="AF498" s="141"/>
      <c r="AG498" s="141"/>
      <c r="AH498" s="141"/>
      <c r="AI498" s="141"/>
      <c r="AJ498" s="140"/>
    </row>
    <row r="499" spans="1:36">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1"/>
      <c r="X499" s="141"/>
      <c r="Y499" s="141"/>
      <c r="Z499" s="141"/>
      <c r="AA499" s="141"/>
      <c r="AB499" s="141"/>
      <c r="AC499" s="141"/>
      <c r="AD499" s="141"/>
      <c r="AE499" s="141"/>
      <c r="AF499" s="141"/>
      <c r="AG499" s="141"/>
      <c r="AH499" s="141"/>
      <c r="AI499" s="141"/>
      <c r="AJ499" s="140"/>
    </row>
    <row r="500" spans="1:36">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1"/>
      <c r="X500" s="141"/>
      <c r="Y500" s="141"/>
      <c r="Z500" s="141"/>
      <c r="AA500" s="141"/>
      <c r="AB500" s="141"/>
      <c r="AC500" s="141"/>
      <c r="AD500" s="141"/>
      <c r="AE500" s="141"/>
      <c r="AF500" s="141"/>
      <c r="AG500" s="141"/>
      <c r="AH500" s="141"/>
      <c r="AI500" s="141"/>
      <c r="AJ500" s="140"/>
    </row>
    <row r="501" spans="1:36">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1"/>
      <c r="X501" s="141"/>
      <c r="Y501" s="141"/>
      <c r="Z501" s="141"/>
      <c r="AA501" s="141"/>
      <c r="AB501" s="141"/>
      <c r="AC501" s="141"/>
      <c r="AD501" s="141"/>
      <c r="AE501" s="141"/>
      <c r="AF501" s="141"/>
      <c r="AG501" s="141"/>
      <c r="AH501" s="141"/>
      <c r="AI501" s="141"/>
      <c r="AJ501" s="140"/>
    </row>
    <row r="502" spans="1:36">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1"/>
      <c r="X502" s="141"/>
      <c r="Y502" s="141"/>
      <c r="Z502" s="141"/>
      <c r="AA502" s="141"/>
      <c r="AB502" s="141"/>
      <c r="AC502" s="141"/>
      <c r="AD502" s="141"/>
      <c r="AE502" s="141"/>
      <c r="AF502" s="141"/>
      <c r="AG502" s="141"/>
      <c r="AH502" s="141"/>
      <c r="AI502" s="141"/>
      <c r="AJ502" s="140"/>
    </row>
    <row r="503" spans="1:36">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1"/>
      <c r="X503" s="141"/>
      <c r="Y503" s="141"/>
      <c r="Z503" s="141"/>
      <c r="AA503" s="141"/>
      <c r="AB503" s="141"/>
      <c r="AC503" s="141"/>
      <c r="AD503" s="141"/>
      <c r="AE503" s="141"/>
      <c r="AF503" s="141"/>
      <c r="AG503" s="141"/>
      <c r="AH503" s="141"/>
      <c r="AI503" s="141"/>
      <c r="AJ503" s="140"/>
    </row>
    <row r="504" spans="1:36">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1"/>
      <c r="X504" s="141"/>
      <c r="Y504" s="141"/>
      <c r="Z504" s="141"/>
      <c r="AA504" s="141"/>
      <c r="AB504" s="141"/>
      <c r="AC504" s="141"/>
      <c r="AD504" s="141"/>
      <c r="AE504" s="141"/>
      <c r="AF504" s="141"/>
      <c r="AG504" s="141"/>
      <c r="AH504" s="141"/>
      <c r="AI504" s="141"/>
      <c r="AJ504" s="140"/>
    </row>
    <row r="505" spans="1:36">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1"/>
      <c r="X505" s="141"/>
      <c r="Y505" s="141"/>
      <c r="Z505" s="141"/>
      <c r="AA505" s="141"/>
      <c r="AB505" s="141"/>
      <c r="AC505" s="141"/>
      <c r="AD505" s="141"/>
      <c r="AE505" s="141"/>
      <c r="AF505" s="141"/>
      <c r="AG505" s="141"/>
      <c r="AH505" s="141"/>
      <c r="AI505" s="141"/>
      <c r="AJ505" s="140"/>
    </row>
    <row r="506" spans="1:36">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1"/>
      <c r="X506" s="141"/>
      <c r="Y506" s="141"/>
      <c r="Z506" s="141"/>
      <c r="AA506" s="141"/>
      <c r="AB506" s="141"/>
      <c r="AC506" s="141"/>
      <c r="AD506" s="141"/>
      <c r="AE506" s="141"/>
      <c r="AF506" s="141"/>
      <c r="AG506" s="141"/>
      <c r="AH506" s="141"/>
      <c r="AI506" s="141"/>
      <c r="AJ506" s="140"/>
    </row>
    <row r="507" spans="1:36">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1"/>
      <c r="X507" s="141"/>
      <c r="Y507" s="141"/>
      <c r="Z507" s="141"/>
      <c r="AA507" s="141"/>
      <c r="AB507" s="141"/>
      <c r="AC507" s="141"/>
      <c r="AD507" s="141"/>
      <c r="AE507" s="141"/>
      <c r="AF507" s="141"/>
      <c r="AG507" s="141"/>
      <c r="AH507" s="141"/>
      <c r="AI507" s="141"/>
      <c r="AJ507" s="140"/>
    </row>
    <row r="508" spans="1:36">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1"/>
      <c r="X508" s="141"/>
      <c r="Y508" s="141"/>
      <c r="Z508" s="141"/>
      <c r="AA508" s="141"/>
      <c r="AB508" s="141"/>
      <c r="AC508" s="141"/>
      <c r="AD508" s="141"/>
      <c r="AE508" s="141"/>
      <c r="AF508" s="141"/>
      <c r="AG508" s="141"/>
      <c r="AH508" s="141"/>
      <c r="AI508" s="141"/>
      <c r="AJ508" s="140"/>
    </row>
    <row r="509" spans="1:36">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1"/>
      <c r="X509" s="141"/>
      <c r="Y509" s="141"/>
      <c r="Z509" s="141"/>
      <c r="AA509" s="141"/>
      <c r="AB509" s="141"/>
      <c r="AC509" s="141"/>
      <c r="AD509" s="141"/>
      <c r="AE509" s="141"/>
      <c r="AF509" s="141"/>
      <c r="AG509" s="141"/>
      <c r="AH509" s="141"/>
      <c r="AI509" s="141"/>
      <c r="AJ509" s="140"/>
    </row>
    <row r="510" spans="1:36">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1"/>
      <c r="X510" s="141"/>
      <c r="Y510" s="141"/>
      <c r="Z510" s="141"/>
      <c r="AA510" s="141"/>
      <c r="AB510" s="141"/>
      <c r="AC510" s="141"/>
      <c r="AD510" s="141"/>
      <c r="AE510" s="141"/>
      <c r="AF510" s="141"/>
      <c r="AG510" s="141"/>
      <c r="AH510" s="141"/>
      <c r="AI510" s="141"/>
      <c r="AJ510" s="140"/>
    </row>
    <row r="511" spans="1:36">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1"/>
      <c r="X511" s="141"/>
      <c r="Y511" s="141"/>
      <c r="Z511" s="141"/>
      <c r="AA511" s="141"/>
      <c r="AB511" s="141"/>
      <c r="AC511" s="141"/>
      <c r="AD511" s="141"/>
      <c r="AE511" s="141"/>
      <c r="AF511" s="141"/>
      <c r="AG511" s="141"/>
      <c r="AH511" s="141"/>
      <c r="AI511" s="141"/>
      <c r="AJ511" s="140"/>
    </row>
    <row r="512" spans="1:36">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1"/>
      <c r="X512" s="141"/>
      <c r="Y512" s="141"/>
      <c r="Z512" s="141"/>
      <c r="AA512" s="141"/>
      <c r="AB512" s="141"/>
      <c r="AC512" s="141"/>
      <c r="AD512" s="141"/>
      <c r="AE512" s="141"/>
      <c r="AF512" s="141"/>
      <c r="AG512" s="141"/>
      <c r="AH512" s="141"/>
      <c r="AI512" s="141"/>
      <c r="AJ512" s="140"/>
    </row>
    <row r="513" spans="1:36">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1"/>
      <c r="X513" s="141"/>
      <c r="Y513" s="141"/>
      <c r="Z513" s="141"/>
      <c r="AA513" s="141"/>
      <c r="AB513" s="141"/>
      <c r="AC513" s="141"/>
      <c r="AD513" s="141"/>
      <c r="AE513" s="141"/>
      <c r="AF513" s="141"/>
      <c r="AG513" s="141"/>
      <c r="AH513" s="141"/>
      <c r="AI513" s="141"/>
      <c r="AJ513" s="140"/>
    </row>
    <row r="514" spans="1:36">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1"/>
      <c r="X514" s="141"/>
      <c r="Y514" s="141"/>
      <c r="Z514" s="141"/>
      <c r="AA514" s="141"/>
      <c r="AB514" s="141"/>
      <c r="AC514" s="141"/>
      <c r="AD514" s="141"/>
      <c r="AE514" s="141"/>
      <c r="AF514" s="141"/>
      <c r="AG514" s="141"/>
      <c r="AH514" s="141"/>
      <c r="AI514" s="141"/>
      <c r="AJ514" s="140"/>
    </row>
    <row r="515" spans="1:36">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1"/>
      <c r="X515" s="141"/>
      <c r="Y515" s="141"/>
      <c r="Z515" s="141"/>
      <c r="AA515" s="141"/>
      <c r="AB515" s="141"/>
      <c r="AC515" s="141"/>
      <c r="AD515" s="141"/>
      <c r="AE515" s="141"/>
      <c r="AF515" s="141"/>
      <c r="AG515" s="141"/>
      <c r="AH515" s="141"/>
      <c r="AI515" s="141"/>
      <c r="AJ515" s="140"/>
    </row>
    <row r="516" spans="1:36">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1"/>
      <c r="X516" s="141"/>
      <c r="Y516" s="141"/>
      <c r="Z516" s="141"/>
      <c r="AA516" s="141"/>
      <c r="AB516" s="141"/>
      <c r="AC516" s="141"/>
      <c r="AD516" s="141"/>
      <c r="AE516" s="141"/>
      <c r="AF516" s="141"/>
      <c r="AG516" s="141"/>
      <c r="AH516" s="141"/>
      <c r="AI516" s="141"/>
      <c r="AJ516" s="140"/>
    </row>
    <row r="517" spans="1:36">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1"/>
      <c r="X517" s="141"/>
      <c r="Y517" s="141"/>
      <c r="Z517" s="141"/>
      <c r="AA517" s="141"/>
      <c r="AB517" s="141"/>
      <c r="AC517" s="141"/>
      <c r="AD517" s="141"/>
      <c r="AE517" s="141"/>
      <c r="AF517" s="141"/>
      <c r="AG517" s="141"/>
      <c r="AH517" s="141"/>
      <c r="AI517" s="141"/>
      <c r="AJ517" s="140"/>
    </row>
    <row r="518" spans="1:36">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1"/>
      <c r="X518" s="141"/>
      <c r="Y518" s="141"/>
      <c r="Z518" s="141"/>
      <c r="AA518" s="141"/>
      <c r="AB518" s="141"/>
      <c r="AC518" s="141"/>
      <c r="AD518" s="141"/>
      <c r="AE518" s="141"/>
      <c r="AF518" s="141"/>
      <c r="AG518" s="141"/>
      <c r="AH518" s="141"/>
      <c r="AI518" s="141"/>
      <c r="AJ518" s="140"/>
    </row>
    <row r="519" spans="1:36">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1"/>
      <c r="X519" s="141"/>
      <c r="Y519" s="141"/>
      <c r="Z519" s="141"/>
      <c r="AA519" s="141"/>
      <c r="AB519" s="141"/>
      <c r="AC519" s="141"/>
      <c r="AD519" s="141"/>
      <c r="AE519" s="141"/>
      <c r="AF519" s="141"/>
      <c r="AG519" s="141"/>
      <c r="AH519" s="141"/>
      <c r="AI519" s="141"/>
      <c r="AJ519" s="140"/>
    </row>
    <row r="520" spans="1:36">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1"/>
      <c r="X520" s="141"/>
      <c r="Y520" s="141"/>
      <c r="Z520" s="141"/>
      <c r="AA520" s="141"/>
      <c r="AB520" s="141"/>
      <c r="AC520" s="141"/>
      <c r="AD520" s="141"/>
      <c r="AE520" s="141"/>
      <c r="AF520" s="141"/>
      <c r="AG520" s="141"/>
      <c r="AH520" s="141"/>
      <c r="AI520" s="141"/>
      <c r="AJ520" s="140"/>
    </row>
    <row r="521" spans="1:36">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1"/>
      <c r="X521" s="141"/>
      <c r="Y521" s="141"/>
      <c r="Z521" s="141"/>
      <c r="AA521" s="141"/>
      <c r="AB521" s="141"/>
      <c r="AC521" s="141"/>
      <c r="AD521" s="141"/>
      <c r="AE521" s="141"/>
      <c r="AF521" s="141"/>
      <c r="AG521" s="141"/>
      <c r="AH521" s="141"/>
      <c r="AI521" s="141"/>
      <c r="AJ521" s="140"/>
    </row>
    <row r="522" spans="1:36">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1"/>
      <c r="X522" s="141"/>
      <c r="Y522" s="141"/>
      <c r="Z522" s="141"/>
      <c r="AA522" s="141"/>
      <c r="AB522" s="141"/>
      <c r="AC522" s="141"/>
      <c r="AD522" s="141"/>
      <c r="AE522" s="141"/>
      <c r="AF522" s="141"/>
      <c r="AG522" s="141"/>
      <c r="AH522" s="141"/>
      <c r="AI522" s="141"/>
      <c r="AJ522" s="140"/>
    </row>
    <row r="523" spans="1:36">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1"/>
      <c r="X523" s="141"/>
      <c r="Y523" s="141"/>
      <c r="Z523" s="141"/>
      <c r="AA523" s="141"/>
      <c r="AB523" s="141"/>
      <c r="AC523" s="141"/>
      <c r="AD523" s="141"/>
      <c r="AE523" s="141"/>
      <c r="AF523" s="141"/>
      <c r="AG523" s="141"/>
      <c r="AH523" s="141"/>
      <c r="AI523" s="141"/>
      <c r="AJ523" s="140"/>
    </row>
    <row r="524" spans="1:36">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1"/>
      <c r="X524" s="141"/>
      <c r="Y524" s="141"/>
      <c r="Z524" s="141"/>
      <c r="AA524" s="141"/>
      <c r="AB524" s="141"/>
      <c r="AC524" s="141"/>
      <c r="AD524" s="141"/>
      <c r="AE524" s="141"/>
      <c r="AF524" s="141"/>
      <c r="AG524" s="141"/>
      <c r="AH524" s="141"/>
      <c r="AI524" s="141"/>
      <c r="AJ524" s="140"/>
    </row>
    <row r="525" spans="1:36">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1"/>
      <c r="X525" s="141"/>
      <c r="Y525" s="141"/>
      <c r="Z525" s="141"/>
      <c r="AA525" s="141"/>
      <c r="AB525" s="141"/>
      <c r="AC525" s="141"/>
      <c r="AD525" s="141"/>
      <c r="AE525" s="141"/>
      <c r="AF525" s="141"/>
      <c r="AG525" s="141"/>
      <c r="AH525" s="141"/>
      <c r="AI525" s="141"/>
      <c r="AJ525" s="140"/>
    </row>
    <row r="526" spans="1:36">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1"/>
      <c r="X526" s="141"/>
      <c r="Y526" s="141"/>
      <c r="Z526" s="141"/>
      <c r="AA526" s="141"/>
      <c r="AB526" s="141"/>
      <c r="AC526" s="141"/>
      <c r="AD526" s="141"/>
      <c r="AE526" s="141"/>
      <c r="AF526" s="141"/>
      <c r="AG526" s="141"/>
      <c r="AH526" s="141"/>
      <c r="AI526" s="141"/>
      <c r="AJ526" s="140"/>
    </row>
    <row r="527" spans="1:36">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1"/>
      <c r="X527" s="141"/>
      <c r="Y527" s="141"/>
      <c r="Z527" s="141"/>
      <c r="AA527" s="141"/>
      <c r="AB527" s="141"/>
      <c r="AC527" s="141"/>
      <c r="AD527" s="141"/>
      <c r="AE527" s="141"/>
      <c r="AF527" s="141"/>
      <c r="AG527" s="141"/>
      <c r="AH527" s="141"/>
      <c r="AI527" s="141"/>
      <c r="AJ527" s="140"/>
    </row>
    <row r="528" spans="1:36">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1"/>
      <c r="X528" s="141"/>
      <c r="Y528" s="141"/>
      <c r="Z528" s="141"/>
      <c r="AA528" s="141"/>
      <c r="AB528" s="141"/>
      <c r="AC528" s="141"/>
      <c r="AD528" s="141"/>
      <c r="AE528" s="141"/>
      <c r="AF528" s="141"/>
      <c r="AG528" s="141"/>
      <c r="AH528" s="141"/>
      <c r="AI528" s="141"/>
      <c r="AJ528" s="140"/>
    </row>
    <row r="529" spans="1:36">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1"/>
      <c r="X529" s="141"/>
      <c r="Y529" s="141"/>
      <c r="Z529" s="141"/>
      <c r="AA529" s="141"/>
      <c r="AB529" s="141"/>
      <c r="AC529" s="141"/>
      <c r="AD529" s="141"/>
      <c r="AE529" s="141"/>
      <c r="AF529" s="141"/>
      <c r="AG529" s="141"/>
      <c r="AH529" s="141"/>
      <c r="AI529" s="141"/>
      <c r="AJ529" s="140"/>
    </row>
    <row r="530" spans="1:36">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1"/>
      <c r="X530" s="141"/>
      <c r="Y530" s="141"/>
      <c r="Z530" s="141"/>
      <c r="AA530" s="141"/>
      <c r="AB530" s="141"/>
      <c r="AC530" s="141"/>
      <c r="AD530" s="141"/>
      <c r="AE530" s="141"/>
      <c r="AF530" s="141"/>
      <c r="AG530" s="141"/>
      <c r="AH530" s="141"/>
      <c r="AI530" s="141"/>
      <c r="AJ530" s="140"/>
    </row>
    <row r="531" spans="1:36">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1"/>
      <c r="X531" s="141"/>
      <c r="Y531" s="141"/>
      <c r="Z531" s="141"/>
      <c r="AA531" s="141"/>
      <c r="AB531" s="141"/>
      <c r="AC531" s="141"/>
      <c r="AD531" s="141"/>
      <c r="AE531" s="141"/>
      <c r="AF531" s="141"/>
      <c r="AG531" s="141"/>
      <c r="AH531" s="141"/>
      <c r="AI531" s="141"/>
      <c r="AJ531" s="140"/>
    </row>
    <row r="532" spans="1:36">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1"/>
      <c r="X532" s="141"/>
      <c r="Y532" s="141"/>
      <c r="Z532" s="141"/>
      <c r="AA532" s="141"/>
      <c r="AB532" s="141"/>
      <c r="AC532" s="141"/>
      <c r="AD532" s="141"/>
      <c r="AE532" s="141"/>
      <c r="AF532" s="141"/>
      <c r="AG532" s="141"/>
      <c r="AH532" s="141"/>
      <c r="AI532" s="141"/>
      <c r="AJ532" s="140"/>
    </row>
    <row r="533" spans="1:36">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1"/>
      <c r="X533" s="141"/>
      <c r="Y533" s="141"/>
      <c r="Z533" s="141"/>
      <c r="AA533" s="141"/>
      <c r="AB533" s="141"/>
      <c r="AC533" s="141"/>
      <c r="AD533" s="141"/>
      <c r="AE533" s="141"/>
      <c r="AF533" s="141"/>
      <c r="AG533" s="141"/>
      <c r="AH533" s="141"/>
      <c r="AI533" s="141"/>
      <c r="AJ533" s="140"/>
    </row>
    <row r="534" spans="1:36">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1"/>
      <c r="X534" s="141"/>
      <c r="Y534" s="141"/>
      <c r="Z534" s="141"/>
      <c r="AA534" s="141"/>
      <c r="AB534" s="141"/>
      <c r="AC534" s="141"/>
      <c r="AD534" s="141"/>
      <c r="AE534" s="141"/>
      <c r="AF534" s="141"/>
      <c r="AG534" s="141"/>
      <c r="AH534" s="141"/>
      <c r="AI534" s="141"/>
      <c r="AJ534" s="140"/>
    </row>
    <row r="535" spans="1:36">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1"/>
      <c r="X535" s="141"/>
      <c r="Y535" s="141"/>
      <c r="Z535" s="141"/>
      <c r="AA535" s="141"/>
      <c r="AB535" s="141"/>
      <c r="AC535" s="141"/>
      <c r="AD535" s="141"/>
      <c r="AE535" s="141"/>
      <c r="AF535" s="141"/>
      <c r="AG535" s="141"/>
      <c r="AH535" s="141"/>
      <c r="AI535" s="141"/>
      <c r="AJ535" s="140"/>
    </row>
    <row r="536" spans="1:36">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1"/>
      <c r="X536" s="141"/>
      <c r="Y536" s="141"/>
      <c r="Z536" s="141"/>
      <c r="AA536" s="141"/>
      <c r="AB536" s="141"/>
      <c r="AC536" s="141"/>
      <c r="AD536" s="141"/>
      <c r="AE536" s="141"/>
      <c r="AF536" s="141"/>
      <c r="AG536" s="141"/>
      <c r="AH536" s="141"/>
      <c r="AI536" s="141"/>
      <c r="AJ536" s="140"/>
    </row>
    <row r="537" spans="1:36">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1"/>
      <c r="X537" s="141"/>
      <c r="Y537" s="141"/>
      <c r="Z537" s="141"/>
      <c r="AA537" s="141"/>
      <c r="AB537" s="141"/>
      <c r="AC537" s="141"/>
      <c r="AD537" s="141"/>
      <c r="AE537" s="141"/>
      <c r="AF537" s="141"/>
      <c r="AG537" s="141"/>
      <c r="AH537" s="141"/>
      <c r="AI537" s="141"/>
      <c r="AJ537" s="140"/>
    </row>
    <row r="538" spans="1:36">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1"/>
      <c r="X538" s="141"/>
      <c r="Y538" s="141"/>
      <c r="Z538" s="141"/>
      <c r="AA538" s="141"/>
      <c r="AB538" s="141"/>
      <c r="AC538" s="141"/>
      <c r="AD538" s="141"/>
      <c r="AE538" s="141"/>
      <c r="AF538" s="141"/>
      <c r="AG538" s="141"/>
      <c r="AH538" s="141"/>
      <c r="AI538" s="141"/>
      <c r="AJ538" s="140"/>
    </row>
    <row r="539" spans="1:36">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1"/>
      <c r="X539" s="141"/>
      <c r="Y539" s="141"/>
      <c r="Z539" s="141"/>
      <c r="AA539" s="141"/>
      <c r="AB539" s="141"/>
      <c r="AC539" s="141"/>
      <c r="AD539" s="141"/>
      <c r="AE539" s="141"/>
      <c r="AF539" s="141"/>
      <c r="AG539" s="141"/>
      <c r="AH539" s="141"/>
      <c r="AI539" s="141"/>
      <c r="AJ539" s="140"/>
    </row>
    <row r="540" spans="1:36">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1"/>
      <c r="X540" s="141"/>
      <c r="Y540" s="141"/>
      <c r="Z540" s="141"/>
      <c r="AA540" s="141"/>
      <c r="AB540" s="141"/>
      <c r="AC540" s="141"/>
      <c r="AD540" s="141"/>
      <c r="AE540" s="141"/>
      <c r="AF540" s="141"/>
      <c r="AG540" s="141"/>
      <c r="AH540" s="141"/>
      <c r="AI540" s="141"/>
      <c r="AJ540" s="140"/>
    </row>
    <row r="541" spans="1:36">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1"/>
      <c r="X541" s="141"/>
      <c r="Y541" s="141"/>
      <c r="Z541" s="141"/>
      <c r="AA541" s="141"/>
      <c r="AB541" s="141"/>
      <c r="AC541" s="141"/>
      <c r="AD541" s="141"/>
      <c r="AE541" s="141"/>
      <c r="AF541" s="141"/>
      <c r="AG541" s="141"/>
      <c r="AH541" s="141"/>
      <c r="AI541" s="141"/>
      <c r="AJ541" s="140"/>
    </row>
    <row r="542" spans="1:36">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1"/>
      <c r="X542" s="141"/>
      <c r="Y542" s="141"/>
      <c r="Z542" s="141"/>
      <c r="AA542" s="141"/>
      <c r="AB542" s="141"/>
      <c r="AC542" s="141"/>
      <c r="AD542" s="141"/>
      <c r="AE542" s="141"/>
      <c r="AF542" s="141"/>
      <c r="AG542" s="141"/>
      <c r="AH542" s="141"/>
      <c r="AI542" s="141"/>
      <c r="AJ542" s="140"/>
    </row>
    <row r="543" spans="1:36">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1"/>
      <c r="X543" s="141"/>
      <c r="Y543" s="141"/>
      <c r="Z543" s="141"/>
      <c r="AA543" s="141"/>
      <c r="AB543" s="141"/>
      <c r="AC543" s="141"/>
      <c r="AD543" s="141"/>
      <c r="AE543" s="141"/>
      <c r="AF543" s="141"/>
      <c r="AG543" s="141"/>
      <c r="AH543" s="141"/>
      <c r="AI543" s="141"/>
      <c r="AJ543" s="140"/>
    </row>
    <row r="544" spans="1:36">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1"/>
      <c r="X544" s="141"/>
      <c r="Y544" s="141"/>
      <c r="Z544" s="141"/>
      <c r="AA544" s="141"/>
      <c r="AB544" s="141"/>
      <c r="AC544" s="141"/>
      <c r="AD544" s="141"/>
      <c r="AE544" s="141"/>
      <c r="AF544" s="141"/>
      <c r="AG544" s="141"/>
      <c r="AH544" s="141"/>
      <c r="AI544" s="141"/>
      <c r="AJ544" s="140"/>
    </row>
    <row r="545" spans="1:36">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1"/>
      <c r="X545" s="141"/>
      <c r="Y545" s="141"/>
      <c r="Z545" s="141"/>
      <c r="AA545" s="141"/>
      <c r="AB545" s="141"/>
      <c r="AC545" s="141"/>
      <c r="AD545" s="141"/>
      <c r="AE545" s="141"/>
      <c r="AF545" s="141"/>
      <c r="AG545" s="141"/>
      <c r="AH545" s="141"/>
      <c r="AI545" s="141"/>
      <c r="AJ545" s="140"/>
    </row>
    <row r="546" spans="1:36">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1"/>
      <c r="X546" s="141"/>
      <c r="Y546" s="141"/>
      <c r="Z546" s="141"/>
      <c r="AA546" s="141"/>
      <c r="AB546" s="141"/>
      <c r="AC546" s="141"/>
      <c r="AD546" s="141"/>
      <c r="AE546" s="141"/>
      <c r="AF546" s="141"/>
      <c r="AG546" s="141"/>
      <c r="AH546" s="141"/>
      <c r="AI546" s="141"/>
      <c r="AJ546" s="140"/>
    </row>
    <row r="547" spans="1:36">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1"/>
      <c r="X547" s="141"/>
      <c r="Y547" s="141"/>
      <c r="Z547" s="141"/>
      <c r="AA547" s="141"/>
      <c r="AB547" s="141"/>
      <c r="AC547" s="141"/>
      <c r="AD547" s="141"/>
      <c r="AE547" s="141"/>
      <c r="AF547" s="141"/>
      <c r="AG547" s="141"/>
      <c r="AH547" s="141"/>
      <c r="AI547" s="141"/>
      <c r="AJ547" s="140"/>
    </row>
    <row r="548" spans="1:36">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1"/>
      <c r="X548" s="141"/>
      <c r="Y548" s="141"/>
      <c r="Z548" s="141"/>
      <c r="AA548" s="141"/>
      <c r="AB548" s="141"/>
      <c r="AC548" s="141"/>
      <c r="AD548" s="141"/>
      <c r="AE548" s="141"/>
      <c r="AF548" s="141"/>
      <c r="AG548" s="141"/>
      <c r="AH548" s="141"/>
      <c r="AI548" s="141"/>
      <c r="AJ548" s="140"/>
    </row>
    <row r="549" spans="1:36">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1"/>
      <c r="X549" s="141"/>
      <c r="Y549" s="141"/>
      <c r="Z549" s="141"/>
      <c r="AA549" s="141"/>
      <c r="AB549" s="141"/>
      <c r="AC549" s="141"/>
      <c r="AD549" s="141"/>
      <c r="AE549" s="141"/>
      <c r="AF549" s="141"/>
      <c r="AG549" s="141"/>
      <c r="AH549" s="141"/>
      <c r="AI549" s="141"/>
      <c r="AJ549" s="140"/>
    </row>
    <row r="550" spans="1:36">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1"/>
      <c r="X550" s="141"/>
      <c r="Y550" s="141"/>
      <c r="Z550" s="141"/>
      <c r="AA550" s="141"/>
      <c r="AB550" s="141"/>
      <c r="AC550" s="141"/>
      <c r="AD550" s="141"/>
      <c r="AE550" s="141"/>
      <c r="AF550" s="141"/>
      <c r="AG550" s="141"/>
      <c r="AH550" s="141"/>
      <c r="AI550" s="141"/>
      <c r="AJ550" s="140"/>
    </row>
    <row r="551" spans="1:36">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1"/>
      <c r="X551" s="141"/>
      <c r="Y551" s="141"/>
      <c r="Z551" s="141"/>
      <c r="AA551" s="141"/>
      <c r="AB551" s="141"/>
      <c r="AC551" s="141"/>
      <c r="AD551" s="141"/>
      <c r="AE551" s="141"/>
      <c r="AF551" s="141"/>
      <c r="AG551" s="141"/>
      <c r="AH551" s="141"/>
      <c r="AI551" s="141"/>
      <c r="AJ551" s="140"/>
    </row>
    <row r="552" spans="1:36">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1"/>
      <c r="X552" s="141"/>
      <c r="Y552" s="141"/>
      <c r="Z552" s="141"/>
      <c r="AA552" s="141"/>
      <c r="AB552" s="141"/>
      <c r="AC552" s="141"/>
      <c r="AD552" s="141"/>
      <c r="AE552" s="141"/>
      <c r="AF552" s="141"/>
      <c r="AG552" s="141"/>
      <c r="AH552" s="141"/>
      <c r="AI552" s="141"/>
      <c r="AJ552" s="140"/>
    </row>
    <row r="553" spans="1:36">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1"/>
      <c r="X553" s="141"/>
      <c r="Y553" s="141"/>
      <c r="Z553" s="141"/>
      <c r="AA553" s="141"/>
      <c r="AB553" s="141"/>
      <c r="AC553" s="141"/>
      <c r="AD553" s="141"/>
      <c r="AE553" s="141"/>
      <c r="AF553" s="141"/>
      <c r="AG553" s="141"/>
      <c r="AH553" s="141"/>
      <c r="AI553" s="141"/>
      <c r="AJ553" s="140"/>
    </row>
    <row r="554" spans="1:36">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1"/>
      <c r="X554" s="141"/>
      <c r="Y554" s="141"/>
      <c r="Z554" s="141"/>
      <c r="AA554" s="141"/>
      <c r="AB554" s="141"/>
      <c r="AC554" s="141"/>
      <c r="AD554" s="141"/>
      <c r="AE554" s="141"/>
      <c r="AF554" s="141"/>
      <c r="AG554" s="141"/>
      <c r="AH554" s="141"/>
      <c r="AI554" s="141"/>
      <c r="AJ554" s="140"/>
    </row>
    <row r="555" spans="1:36">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1"/>
      <c r="X555" s="141"/>
      <c r="Y555" s="141"/>
      <c r="Z555" s="141"/>
      <c r="AA555" s="141"/>
      <c r="AB555" s="141"/>
      <c r="AC555" s="141"/>
      <c r="AD555" s="141"/>
      <c r="AE555" s="141"/>
      <c r="AF555" s="141"/>
      <c r="AG555" s="141"/>
      <c r="AH555" s="141"/>
      <c r="AI555" s="141"/>
      <c r="AJ555" s="140"/>
    </row>
    <row r="556" spans="1:36">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1"/>
      <c r="X556" s="141"/>
      <c r="Y556" s="141"/>
      <c r="Z556" s="141"/>
      <c r="AA556" s="141"/>
      <c r="AB556" s="141"/>
      <c r="AC556" s="141"/>
      <c r="AD556" s="141"/>
      <c r="AE556" s="141"/>
      <c r="AF556" s="141"/>
      <c r="AG556" s="141"/>
      <c r="AH556" s="141"/>
      <c r="AI556" s="141"/>
      <c r="AJ556" s="140"/>
    </row>
    <row r="557" spans="1:36">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1"/>
      <c r="X557" s="141"/>
      <c r="Y557" s="141"/>
      <c r="Z557" s="141"/>
      <c r="AA557" s="141"/>
      <c r="AB557" s="141"/>
      <c r="AC557" s="141"/>
      <c r="AD557" s="141"/>
      <c r="AE557" s="141"/>
      <c r="AF557" s="141"/>
      <c r="AG557" s="141"/>
      <c r="AH557" s="141"/>
      <c r="AI557" s="141"/>
      <c r="AJ557" s="140"/>
    </row>
    <row r="558" spans="1:36">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1"/>
      <c r="X558" s="141"/>
      <c r="Y558" s="141"/>
      <c r="Z558" s="141"/>
      <c r="AA558" s="141"/>
      <c r="AB558" s="141"/>
      <c r="AC558" s="141"/>
      <c r="AD558" s="141"/>
      <c r="AE558" s="141"/>
      <c r="AF558" s="141"/>
      <c r="AG558" s="141"/>
      <c r="AH558" s="141"/>
      <c r="AI558" s="141"/>
      <c r="AJ558" s="140"/>
    </row>
    <row r="559" spans="1:36">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1"/>
      <c r="X559" s="141"/>
      <c r="Y559" s="141"/>
      <c r="Z559" s="141"/>
      <c r="AA559" s="141"/>
      <c r="AB559" s="141"/>
      <c r="AC559" s="141"/>
      <c r="AD559" s="141"/>
      <c r="AE559" s="141"/>
      <c r="AF559" s="141"/>
      <c r="AG559" s="141"/>
      <c r="AH559" s="141"/>
      <c r="AI559" s="141"/>
      <c r="AJ559" s="140"/>
    </row>
    <row r="560" spans="1:36">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1"/>
      <c r="X560" s="141"/>
      <c r="Y560" s="141"/>
      <c r="Z560" s="141"/>
      <c r="AA560" s="141"/>
      <c r="AB560" s="141"/>
      <c r="AC560" s="141"/>
      <c r="AD560" s="141"/>
      <c r="AE560" s="141"/>
      <c r="AF560" s="141"/>
      <c r="AG560" s="141"/>
      <c r="AH560" s="141"/>
      <c r="AI560" s="141"/>
      <c r="AJ560" s="140"/>
    </row>
    <row r="561" spans="1:36">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1"/>
      <c r="X561" s="141"/>
      <c r="Y561" s="141"/>
      <c r="Z561" s="141"/>
      <c r="AA561" s="141"/>
      <c r="AB561" s="141"/>
      <c r="AC561" s="141"/>
      <c r="AD561" s="141"/>
      <c r="AE561" s="141"/>
      <c r="AF561" s="141"/>
      <c r="AG561" s="141"/>
      <c r="AH561" s="141"/>
      <c r="AI561" s="141"/>
      <c r="AJ561" s="140"/>
    </row>
    <row r="562" spans="1:36">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1"/>
      <c r="X562" s="141"/>
      <c r="Y562" s="141"/>
      <c r="Z562" s="141"/>
      <c r="AA562" s="141"/>
      <c r="AB562" s="141"/>
      <c r="AC562" s="141"/>
      <c r="AD562" s="141"/>
      <c r="AE562" s="141"/>
      <c r="AF562" s="141"/>
      <c r="AG562" s="141"/>
      <c r="AH562" s="141"/>
      <c r="AI562" s="141"/>
      <c r="AJ562" s="140"/>
    </row>
    <row r="563" spans="1:36">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1"/>
      <c r="X563" s="141"/>
      <c r="Y563" s="141"/>
      <c r="Z563" s="141"/>
      <c r="AA563" s="141"/>
      <c r="AB563" s="141"/>
      <c r="AC563" s="141"/>
      <c r="AD563" s="141"/>
      <c r="AE563" s="141"/>
      <c r="AF563" s="141"/>
      <c r="AG563" s="141"/>
      <c r="AH563" s="141"/>
      <c r="AI563" s="141"/>
      <c r="AJ563" s="140"/>
    </row>
    <row r="564" spans="1:36">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1"/>
      <c r="X564" s="141"/>
      <c r="Y564" s="141"/>
      <c r="Z564" s="141"/>
      <c r="AA564" s="141"/>
      <c r="AB564" s="141"/>
      <c r="AC564" s="141"/>
      <c r="AD564" s="141"/>
      <c r="AE564" s="141"/>
      <c r="AF564" s="141"/>
      <c r="AG564" s="141"/>
      <c r="AH564" s="141"/>
      <c r="AI564" s="141"/>
      <c r="AJ564" s="140"/>
    </row>
    <row r="565" spans="1:36">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1"/>
      <c r="X565" s="141"/>
      <c r="Y565" s="141"/>
      <c r="Z565" s="141"/>
      <c r="AA565" s="141"/>
      <c r="AB565" s="141"/>
      <c r="AC565" s="141"/>
      <c r="AD565" s="141"/>
      <c r="AE565" s="141"/>
      <c r="AF565" s="141"/>
      <c r="AG565" s="141"/>
      <c r="AH565" s="141"/>
      <c r="AI565" s="141"/>
      <c r="AJ565" s="140"/>
    </row>
    <row r="566" spans="1:36">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1"/>
      <c r="X566" s="141"/>
      <c r="Y566" s="141"/>
      <c r="Z566" s="141"/>
      <c r="AA566" s="141"/>
      <c r="AB566" s="141"/>
      <c r="AC566" s="141"/>
      <c r="AD566" s="141"/>
      <c r="AE566" s="141"/>
      <c r="AF566" s="141"/>
      <c r="AG566" s="141"/>
      <c r="AH566" s="141"/>
      <c r="AI566" s="141"/>
      <c r="AJ566" s="140"/>
    </row>
    <row r="567" spans="1:36">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1"/>
      <c r="X567" s="141"/>
      <c r="Y567" s="141"/>
      <c r="Z567" s="141"/>
      <c r="AA567" s="141"/>
      <c r="AB567" s="141"/>
      <c r="AC567" s="141"/>
      <c r="AD567" s="141"/>
      <c r="AE567" s="141"/>
      <c r="AF567" s="141"/>
      <c r="AG567" s="141"/>
      <c r="AH567" s="141"/>
      <c r="AI567" s="141"/>
      <c r="AJ567" s="140"/>
    </row>
    <row r="568" spans="1:36">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1"/>
      <c r="X568" s="141"/>
      <c r="Y568" s="141"/>
      <c r="Z568" s="141"/>
      <c r="AA568" s="141"/>
      <c r="AB568" s="141"/>
      <c r="AC568" s="141"/>
      <c r="AD568" s="141"/>
      <c r="AE568" s="141"/>
      <c r="AF568" s="141"/>
      <c r="AG568" s="141"/>
      <c r="AH568" s="141"/>
      <c r="AI568" s="141"/>
      <c r="AJ568" s="140"/>
    </row>
    <row r="569" spans="1:36">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1"/>
      <c r="X569" s="141"/>
      <c r="Y569" s="141"/>
      <c r="Z569" s="141"/>
      <c r="AA569" s="141"/>
      <c r="AB569" s="141"/>
      <c r="AC569" s="141"/>
      <c r="AD569" s="141"/>
      <c r="AE569" s="141"/>
      <c r="AF569" s="141"/>
      <c r="AG569" s="141"/>
      <c r="AH569" s="141"/>
      <c r="AI569" s="141"/>
      <c r="AJ569" s="140"/>
    </row>
    <row r="570" spans="1:36">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1"/>
      <c r="X570" s="141"/>
      <c r="Y570" s="141"/>
      <c r="Z570" s="141"/>
      <c r="AA570" s="141"/>
      <c r="AB570" s="141"/>
      <c r="AC570" s="141"/>
      <c r="AD570" s="141"/>
      <c r="AE570" s="141"/>
      <c r="AF570" s="141"/>
      <c r="AG570" s="141"/>
      <c r="AH570" s="141"/>
      <c r="AI570" s="141"/>
      <c r="AJ570" s="140"/>
    </row>
    <row r="571" spans="1:36">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1"/>
      <c r="X571" s="141"/>
      <c r="Y571" s="141"/>
      <c r="Z571" s="141"/>
      <c r="AA571" s="141"/>
      <c r="AB571" s="141"/>
      <c r="AC571" s="141"/>
      <c r="AD571" s="141"/>
      <c r="AE571" s="141"/>
      <c r="AF571" s="141"/>
      <c r="AG571" s="141"/>
      <c r="AH571" s="141"/>
      <c r="AI571" s="141"/>
      <c r="AJ571" s="140"/>
    </row>
    <row r="572" spans="1:36">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1"/>
      <c r="X572" s="141"/>
      <c r="Y572" s="141"/>
      <c r="Z572" s="141"/>
      <c r="AA572" s="141"/>
      <c r="AB572" s="141"/>
      <c r="AC572" s="141"/>
      <c r="AD572" s="141"/>
      <c r="AE572" s="141"/>
      <c r="AF572" s="141"/>
      <c r="AG572" s="141"/>
      <c r="AH572" s="141"/>
      <c r="AI572" s="141"/>
      <c r="AJ572" s="140"/>
    </row>
    <row r="573" spans="1:36">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1"/>
      <c r="X573" s="141"/>
      <c r="Y573" s="141"/>
      <c r="Z573" s="141"/>
      <c r="AA573" s="141"/>
      <c r="AB573" s="141"/>
      <c r="AC573" s="141"/>
      <c r="AD573" s="141"/>
      <c r="AE573" s="141"/>
      <c r="AF573" s="141"/>
      <c r="AG573" s="141"/>
      <c r="AH573" s="141"/>
      <c r="AI573" s="141"/>
      <c r="AJ573" s="140"/>
    </row>
    <row r="574" spans="1:36">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1"/>
      <c r="X574" s="141"/>
      <c r="Y574" s="141"/>
      <c r="Z574" s="141"/>
      <c r="AA574" s="141"/>
      <c r="AB574" s="141"/>
      <c r="AC574" s="141"/>
      <c r="AD574" s="141"/>
      <c r="AE574" s="141"/>
      <c r="AF574" s="141"/>
      <c r="AG574" s="141"/>
      <c r="AH574" s="141"/>
      <c r="AI574" s="141"/>
      <c r="AJ574" s="140"/>
    </row>
    <row r="575" spans="1:36">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1"/>
      <c r="X575" s="141"/>
      <c r="Y575" s="141"/>
      <c r="Z575" s="141"/>
      <c r="AA575" s="141"/>
      <c r="AB575" s="141"/>
      <c r="AC575" s="141"/>
      <c r="AD575" s="141"/>
      <c r="AE575" s="141"/>
      <c r="AF575" s="141"/>
      <c r="AG575" s="141"/>
      <c r="AH575" s="141"/>
      <c r="AI575" s="141"/>
      <c r="AJ575" s="140"/>
    </row>
    <row r="576" spans="1:36">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1"/>
      <c r="X576" s="141"/>
      <c r="Y576" s="141"/>
      <c r="Z576" s="141"/>
      <c r="AA576" s="141"/>
      <c r="AB576" s="141"/>
      <c r="AC576" s="141"/>
      <c r="AD576" s="141"/>
      <c r="AE576" s="141"/>
      <c r="AF576" s="141"/>
      <c r="AG576" s="141"/>
      <c r="AH576" s="141"/>
      <c r="AI576" s="141"/>
      <c r="AJ576" s="140"/>
    </row>
    <row r="577" spans="1:36">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1"/>
      <c r="X577" s="141"/>
      <c r="Y577" s="141"/>
      <c r="Z577" s="141"/>
      <c r="AA577" s="141"/>
      <c r="AB577" s="141"/>
      <c r="AC577" s="141"/>
      <c r="AD577" s="141"/>
      <c r="AE577" s="141"/>
      <c r="AF577" s="141"/>
      <c r="AG577" s="141"/>
      <c r="AH577" s="141"/>
      <c r="AI577" s="141"/>
      <c r="AJ577" s="140"/>
    </row>
    <row r="578" spans="1:36">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1"/>
      <c r="X578" s="141"/>
      <c r="Y578" s="141"/>
      <c r="Z578" s="141"/>
      <c r="AA578" s="141"/>
      <c r="AB578" s="141"/>
      <c r="AC578" s="141"/>
      <c r="AD578" s="141"/>
      <c r="AE578" s="141"/>
      <c r="AF578" s="141"/>
      <c r="AG578" s="141"/>
      <c r="AH578" s="141"/>
      <c r="AI578" s="141"/>
      <c r="AJ578" s="140"/>
    </row>
    <row r="579" spans="1:36">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1"/>
      <c r="X579" s="141"/>
      <c r="Y579" s="141"/>
      <c r="Z579" s="141"/>
      <c r="AA579" s="141"/>
      <c r="AB579" s="141"/>
      <c r="AC579" s="141"/>
      <c r="AD579" s="141"/>
      <c r="AE579" s="141"/>
      <c r="AF579" s="141"/>
      <c r="AG579" s="141"/>
      <c r="AH579" s="141"/>
      <c r="AI579" s="141"/>
      <c r="AJ579" s="140"/>
    </row>
    <row r="580" spans="1:36">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1"/>
      <c r="X580" s="141"/>
      <c r="Y580" s="141"/>
      <c r="Z580" s="141"/>
      <c r="AA580" s="141"/>
      <c r="AB580" s="141"/>
      <c r="AC580" s="141"/>
      <c r="AD580" s="141"/>
      <c r="AE580" s="141"/>
      <c r="AF580" s="141"/>
      <c r="AG580" s="141"/>
      <c r="AH580" s="141"/>
      <c r="AI580" s="141"/>
      <c r="AJ580" s="140"/>
    </row>
    <row r="581" spans="1:36">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1"/>
      <c r="X581" s="141"/>
      <c r="Y581" s="141"/>
      <c r="Z581" s="141"/>
      <c r="AA581" s="141"/>
      <c r="AB581" s="141"/>
      <c r="AC581" s="141"/>
      <c r="AD581" s="141"/>
      <c r="AE581" s="141"/>
      <c r="AF581" s="141"/>
      <c r="AG581" s="141"/>
      <c r="AH581" s="141"/>
      <c r="AI581" s="141"/>
      <c r="AJ581" s="140"/>
    </row>
    <row r="582" spans="1:36">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1"/>
      <c r="X582" s="141"/>
      <c r="Y582" s="141"/>
      <c r="Z582" s="141"/>
      <c r="AA582" s="141"/>
      <c r="AB582" s="141"/>
      <c r="AC582" s="141"/>
      <c r="AD582" s="141"/>
      <c r="AE582" s="141"/>
      <c r="AF582" s="141"/>
      <c r="AG582" s="141"/>
      <c r="AH582" s="141"/>
      <c r="AI582" s="141"/>
      <c r="AJ582" s="140"/>
    </row>
    <row r="583" spans="1:36">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1"/>
      <c r="X583" s="141"/>
      <c r="Y583" s="141"/>
      <c r="Z583" s="141"/>
      <c r="AA583" s="141"/>
      <c r="AB583" s="141"/>
      <c r="AC583" s="141"/>
      <c r="AD583" s="141"/>
      <c r="AE583" s="141"/>
      <c r="AF583" s="141"/>
      <c r="AG583" s="141"/>
      <c r="AH583" s="141"/>
      <c r="AI583" s="141"/>
      <c r="AJ583" s="140"/>
    </row>
    <row r="584" spans="1:36">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1"/>
      <c r="X584" s="141"/>
      <c r="Y584" s="141"/>
      <c r="Z584" s="141"/>
      <c r="AA584" s="141"/>
      <c r="AB584" s="141"/>
      <c r="AC584" s="141"/>
      <c r="AD584" s="141"/>
      <c r="AE584" s="141"/>
      <c r="AF584" s="141"/>
      <c r="AG584" s="141"/>
      <c r="AH584" s="141"/>
      <c r="AI584" s="141"/>
      <c r="AJ584" s="140"/>
    </row>
    <row r="585" spans="1:36">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1"/>
      <c r="X585" s="141"/>
      <c r="Y585" s="141"/>
      <c r="Z585" s="141"/>
      <c r="AA585" s="141"/>
      <c r="AB585" s="141"/>
      <c r="AC585" s="141"/>
      <c r="AD585" s="141"/>
      <c r="AE585" s="141"/>
      <c r="AF585" s="141"/>
      <c r="AG585" s="141"/>
      <c r="AH585" s="141"/>
      <c r="AI585" s="141"/>
      <c r="AJ585" s="140"/>
    </row>
    <row r="586" spans="1:36">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1"/>
      <c r="X586" s="141"/>
      <c r="Y586" s="141"/>
      <c r="Z586" s="141"/>
      <c r="AA586" s="141"/>
      <c r="AB586" s="141"/>
      <c r="AC586" s="141"/>
      <c r="AD586" s="141"/>
      <c r="AE586" s="141"/>
      <c r="AF586" s="141"/>
      <c r="AG586" s="141"/>
      <c r="AH586" s="141"/>
      <c r="AI586" s="141"/>
      <c r="AJ586" s="140"/>
    </row>
    <row r="587" spans="1:36">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1"/>
      <c r="X587" s="141"/>
      <c r="Y587" s="141"/>
      <c r="Z587" s="141"/>
      <c r="AA587" s="141"/>
      <c r="AB587" s="141"/>
      <c r="AC587" s="141"/>
      <c r="AD587" s="141"/>
      <c r="AE587" s="141"/>
      <c r="AF587" s="141"/>
      <c r="AG587" s="141"/>
      <c r="AH587" s="141"/>
      <c r="AI587" s="141"/>
      <c r="AJ587" s="140"/>
    </row>
    <row r="588" spans="1:36">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1"/>
      <c r="X588" s="141"/>
      <c r="Y588" s="141"/>
      <c r="Z588" s="141"/>
      <c r="AA588" s="141"/>
      <c r="AB588" s="141"/>
      <c r="AC588" s="141"/>
      <c r="AD588" s="141"/>
      <c r="AE588" s="141"/>
      <c r="AF588" s="141"/>
      <c r="AG588" s="141"/>
      <c r="AH588" s="141"/>
      <c r="AI588" s="141"/>
      <c r="AJ588" s="140"/>
    </row>
    <row r="589" spans="1:36">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1"/>
      <c r="X589" s="141"/>
      <c r="Y589" s="141"/>
      <c r="Z589" s="141"/>
      <c r="AA589" s="141"/>
      <c r="AB589" s="141"/>
      <c r="AC589" s="141"/>
      <c r="AD589" s="141"/>
      <c r="AE589" s="141"/>
      <c r="AF589" s="141"/>
      <c r="AG589" s="141"/>
      <c r="AH589" s="141"/>
      <c r="AI589" s="141"/>
      <c r="AJ589" s="140"/>
    </row>
    <row r="590" spans="1:36">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1"/>
      <c r="X590" s="141"/>
      <c r="Y590" s="141"/>
      <c r="Z590" s="141"/>
      <c r="AA590" s="141"/>
      <c r="AB590" s="141"/>
      <c r="AC590" s="141"/>
      <c r="AD590" s="141"/>
      <c r="AE590" s="141"/>
      <c r="AF590" s="141"/>
      <c r="AG590" s="141"/>
      <c r="AH590" s="141"/>
      <c r="AI590" s="141"/>
      <c r="AJ590" s="140"/>
    </row>
    <row r="591" spans="1:36">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1"/>
      <c r="X591" s="141"/>
      <c r="Y591" s="141"/>
      <c r="Z591" s="141"/>
      <c r="AA591" s="141"/>
      <c r="AB591" s="141"/>
      <c r="AC591" s="141"/>
      <c r="AD591" s="141"/>
      <c r="AE591" s="141"/>
      <c r="AF591" s="141"/>
      <c r="AG591" s="141"/>
      <c r="AH591" s="141"/>
      <c r="AI591" s="141"/>
      <c r="AJ591" s="140"/>
    </row>
    <row r="592" spans="1:36">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1"/>
      <c r="X592" s="141"/>
      <c r="Y592" s="141"/>
      <c r="Z592" s="141"/>
      <c r="AA592" s="141"/>
      <c r="AB592" s="141"/>
      <c r="AC592" s="141"/>
      <c r="AD592" s="141"/>
      <c r="AE592" s="141"/>
      <c r="AF592" s="141"/>
      <c r="AG592" s="141"/>
      <c r="AH592" s="141"/>
      <c r="AI592" s="141"/>
      <c r="AJ592" s="140"/>
    </row>
    <row r="593" spans="1:36">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1"/>
      <c r="X593" s="141"/>
      <c r="Y593" s="141"/>
      <c r="Z593" s="141"/>
      <c r="AA593" s="141"/>
      <c r="AB593" s="141"/>
      <c r="AC593" s="141"/>
      <c r="AD593" s="141"/>
      <c r="AE593" s="141"/>
      <c r="AF593" s="141"/>
      <c r="AG593" s="141"/>
      <c r="AH593" s="141"/>
      <c r="AI593" s="141"/>
      <c r="AJ593" s="140"/>
    </row>
    <row r="594" spans="1:36">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1"/>
      <c r="X594" s="141"/>
      <c r="Y594" s="141"/>
      <c r="Z594" s="141"/>
      <c r="AA594" s="141"/>
      <c r="AB594" s="141"/>
      <c r="AC594" s="141"/>
      <c r="AD594" s="141"/>
      <c r="AE594" s="141"/>
      <c r="AF594" s="141"/>
      <c r="AG594" s="141"/>
      <c r="AH594" s="141"/>
      <c r="AI594" s="141"/>
      <c r="AJ594" s="140"/>
    </row>
    <row r="595" spans="1:36">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1"/>
      <c r="X595" s="141"/>
      <c r="Y595" s="141"/>
      <c r="Z595" s="141"/>
      <c r="AA595" s="141"/>
      <c r="AB595" s="141"/>
      <c r="AC595" s="141"/>
      <c r="AD595" s="141"/>
      <c r="AE595" s="141"/>
      <c r="AF595" s="141"/>
      <c r="AG595" s="141"/>
      <c r="AH595" s="141"/>
      <c r="AI595" s="141"/>
      <c r="AJ595" s="140"/>
    </row>
    <row r="596" spans="1:36">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1"/>
      <c r="X596" s="141"/>
      <c r="Y596" s="141"/>
      <c r="Z596" s="141"/>
      <c r="AA596" s="141"/>
      <c r="AB596" s="141"/>
      <c r="AC596" s="141"/>
      <c r="AD596" s="141"/>
      <c r="AE596" s="141"/>
      <c r="AF596" s="141"/>
      <c r="AG596" s="141"/>
      <c r="AH596" s="141"/>
      <c r="AI596" s="141"/>
      <c r="AJ596" s="140"/>
    </row>
    <row r="597" spans="1:36">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1"/>
      <c r="X597" s="141"/>
      <c r="Y597" s="141"/>
      <c r="Z597" s="141"/>
      <c r="AA597" s="141"/>
      <c r="AB597" s="141"/>
      <c r="AC597" s="141"/>
      <c r="AD597" s="141"/>
      <c r="AE597" s="141"/>
      <c r="AF597" s="141"/>
      <c r="AG597" s="141"/>
      <c r="AH597" s="141"/>
      <c r="AI597" s="141"/>
      <c r="AJ597" s="140"/>
    </row>
    <row r="598" spans="1:36">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1"/>
      <c r="X598" s="141"/>
      <c r="Y598" s="141"/>
      <c r="Z598" s="141"/>
      <c r="AA598" s="141"/>
      <c r="AB598" s="141"/>
      <c r="AC598" s="141"/>
      <c r="AD598" s="141"/>
      <c r="AE598" s="141"/>
      <c r="AF598" s="141"/>
      <c r="AG598" s="141"/>
      <c r="AH598" s="141"/>
      <c r="AI598" s="141"/>
      <c r="AJ598" s="140"/>
    </row>
    <row r="599" spans="1:36">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1"/>
      <c r="X599" s="141"/>
      <c r="Y599" s="141"/>
      <c r="Z599" s="141"/>
      <c r="AA599" s="141"/>
      <c r="AB599" s="141"/>
      <c r="AC599" s="141"/>
      <c r="AD599" s="141"/>
      <c r="AE599" s="141"/>
      <c r="AF599" s="141"/>
      <c r="AG599" s="141"/>
      <c r="AH599" s="141"/>
      <c r="AI599" s="141"/>
      <c r="AJ599" s="140"/>
    </row>
    <row r="600" spans="1:36">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1"/>
      <c r="X600" s="141"/>
      <c r="Y600" s="141"/>
      <c r="Z600" s="141"/>
      <c r="AA600" s="141"/>
      <c r="AB600" s="141"/>
      <c r="AC600" s="141"/>
      <c r="AD600" s="141"/>
      <c r="AE600" s="141"/>
      <c r="AF600" s="141"/>
      <c r="AG600" s="141"/>
      <c r="AH600" s="141"/>
      <c r="AI600" s="141"/>
      <c r="AJ600" s="140"/>
    </row>
    <row r="601" spans="1:36">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1"/>
      <c r="X601" s="141"/>
      <c r="Y601" s="141"/>
      <c r="Z601" s="141"/>
      <c r="AA601" s="141"/>
      <c r="AB601" s="141"/>
      <c r="AC601" s="141"/>
      <c r="AD601" s="141"/>
      <c r="AE601" s="141"/>
      <c r="AF601" s="141"/>
      <c r="AG601" s="141"/>
      <c r="AH601" s="141"/>
      <c r="AI601" s="141"/>
      <c r="AJ601" s="140"/>
    </row>
    <row r="602" spans="1:36">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1"/>
      <c r="X602" s="141"/>
      <c r="Y602" s="141"/>
      <c r="Z602" s="141"/>
      <c r="AA602" s="141"/>
      <c r="AB602" s="141"/>
      <c r="AC602" s="141"/>
      <c r="AD602" s="141"/>
      <c r="AE602" s="141"/>
      <c r="AF602" s="141"/>
      <c r="AG602" s="141"/>
      <c r="AH602" s="141"/>
      <c r="AI602" s="141"/>
      <c r="AJ602" s="140"/>
    </row>
    <row r="603" spans="1:36">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1"/>
      <c r="X603" s="141"/>
      <c r="Y603" s="141"/>
      <c r="Z603" s="141"/>
      <c r="AA603" s="141"/>
      <c r="AB603" s="141"/>
      <c r="AC603" s="141"/>
      <c r="AD603" s="141"/>
      <c r="AE603" s="141"/>
      <c r="AF603" s="141"/>
      <c r="AG603" s="141"/>
      <c r="AH603" s="141"/>
      <c r="AI603" s="141"/>
      <c r="AJ603" s="140"/>
    </row>
    <row r="604" spans="1:36">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1"/>
      <c r="X604" s="141"/>
      <c r="Y604" s="141"/>
      <c r="Z604" s="141"/>
      <c r="AA604" s="141"/>
      <c r="AB604" s="141"/>
      <c r="AC604" s="141"/>
      <c r="AD604" s="141"/>
      <c r="AE604" s="141"/>
      <c r="AF604" s="141"/>
      <c r="AG604" s="141"/>
      <c r="AH604" s="141"/>
      <c r="AI604" s="141"/>
      <c r="AJ604" s="140"/>
    </row>
    <row r="605" spans="1:36">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1"/>
      <c r="X605" s="141"/>
      <c r="Y605" s="141"/>
      <c r="Z605" s="141"/>
      <c r="AA605" s="141"/>
      <c r="AB605" s="141"/>
      <c r="AC605" s="141"/>
      <c r="AD605" s="141"/>
      <c r="AE605" s="141"/>
      <c r="AF605" s="141"/>
      <c r="AG605" s="141"/>
      <c r="AH605" s="141"/>
      <c r="AI605" s="141"/>
      <c r="AJ605" s="140"/>
    </row>
    <row r="606" spans="1:36">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1"/>
      <c r="X606" s="141"/>
      <c r="Y606" s="141"/>
      <c r="Z606" s="141"/>
      <c r="AA606" s="141"/>
      <c r="AB606" s="141"/>
      <c r="AC606" s="141"/>
      <c r="AD606" s="141"/>
      <c r="AE606" s="141"/>
      <c r="AF606" s="141"/>
      <c r="AG606" s="141"/>
      <c r="AH606" s="141"/>
      <c r="AI606" s="141"/>
      <c r="AJ606" s="140"/>
    </row>
    <row r="607" spans="1:36">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1"/>
      <c r="X607" s="141"/>
      <c r="Y607" s="141"/>
      <c r="Z607" s="141"/>
      <c r="AA607" s="141"/>
      <c r="AB607" s="141"/>
      <c r="AC607" s="141"/>
      <c r="AD607" s="141"/>
      <c r="AE607" s="141"/>
      <c r="AF607" s="141"/>
      <c r="AG607" s="141"/>
      <c r="AH607" s="141"/>
      <c r="AI607" s="141"/>
      <c r="AJ607" s="140"/>
    </row>
    <row r="608" spans="1:36">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1"/>
      <c r="X608" s="141"/>
      <c r="Y608" s="141"/>
      <c r="Z608" s="141"/>
      <c r="AA608" s="141"/>
      <c r="AB608" s="141"/>
      <c r="AC608" s="141"/>
      <c r="AD608" s="141"/>
      <c r="AE608" s="141"/>
      <c r="AF608" s="141"/>
      <c r="AG608" s="141"/>
      <c r="AH608" s="141"/>
      <c r="AI608" s="141"/>
      <c r="AJ608" s="140"/>
    </row>
    <row r="609" spans="1:36">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1"/>
      <c r="X609" s="141"/>
      <c r="Y609" s="141"/>
      <c r="Z609" s="141"/>
      <c r="AA609" s="141"/>
      <c r="AB609" s="141"/>
      <c r="AC609" s="141"/>
      <c r="AD609" s="141"/>
      <c r="AE609" s="141"/>
      <c r="AF609" s="141"/>
      <c r="AG609" s="141"/>
      <c r="AH609" s="141"/>
      <c r="AI609" s="141"/>
      <c r="AJ609" s="140"/>
    </row>
    <row r="610" spans="1:36">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1"/>
      <c r="X610" s="141"/>
      <c r="Y610" s="141"/>
      <c r="Z610" s="141"/>
      <c r="AA610" s="141"/>
      <c r="AB610" s="141"/>
      <c r="AC610" s="141"/>
      <c r="AD610" s="141"/>
      <c r="AE610" s="141"/>
      <c r="AF610" s="141"/>
      <c r="AG610" s="141"/>
      <c r="AH610" s="141"/>
      <c r="AI610" s="141"/>
      <c r="AJ610" s="140"/>
    </row>
    <row r="611" spans="1:36">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1"/>
      <c r="X611" s="141"/>
      <c r="Y611" s="141"/>
      <c r="Z611" s="141"/>
      <c r="AA611" s="141"/>
      <c r="AB611" s="141"/>
      <c r="AC611" s="141"/>
      <c r="AD611" s="141"/>
      <c r="AE611" s="141"/>
      <c r="AF611" s="141"/>
      <c r="AG611" s="141"/>
      <c r="AH611" s="141"/>
      <c r="AI611" s="141"/>
      <c r="AJ611" s="140"/>
    </row>
    <row r="612" spans="1:36">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1"/>
      <c r="X612" s="141"/>
      <c r="Y612" s="141"/>
      <c r="Z612" s="141"/>
      <c r="AA612" s="141"/>
      <c r="AB612" s="141"/>
      <c r="AC612" s="141"/>
      <c r="AD612" s="141"/>
      <c r="AE612" s="141"/>
      <c r="AF612" s="141"/>
      <c r="AG612" s="141"/>
      <c r="AH612" s="141"/>
      <c r="AI612" s="141"/>
      <c r="AJ612" s="140"/>
    </row>
    <row r="613" spans="1:36">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1"/>
      <c r="X613" s="141"/>
      <c r="Y613" s="141"/>
      <c r="Z613" s="141"/>
      <c r="AA613" s="141"/>
      <c r="AB613" s="141"/>
      <c r="AC613" s="141"/>
      <c r="AD613" s="141"/>
      <c r="AE613" s="141"/>
      <c r="AF613" s="141"/>
      <c r="AG613" s="141"/>
      <c r="AH613" s="141"/>
      <c r="AI613" s="141"/>
      <c r="AJ613" s="140"/>
    </row>
    <row r="614" spans="1:36">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1"/>
      <c r="X614" s="141"/>
      <c r="Y614" s="141"/>
      <c r="Z614" s="141"/>
      <c r="AA614" s="141"/>
      <c r="AB614" s="141"/>
      <c r="AC614" s="141"/>
      <c r="AD614" s="141"/>
      <c r="AE614" s="141"/>
      <c r="AF614" s="141"/>
      <c r="AG614" s="141"/>
      <c r="AH614" s="141"/>
      <c r="AI614" s="141"/>
      <c r="AJ614" s="140"/>
    </row>
    <row r="615" spans="1:36">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1"/>
      <c r="X615" s="141"/>
      <c r="Y615" s="141"/>
      <c r="Z615" s="141"/>
      <c r="AA615" s="141"/>
      <c r="AB615" s="141"/>
      <c r="AC615" s="141"/>
      <c r="AD615" s="141"/>
      <c r="AE615" s="141"/>
      <c r="AF615" s="141"/>
      <c r="AG615" s="141"/>
      <c r="AH615" s="141"/>
      <c r="AI615" s="141"/>
      <c r="AJ615" s="140"/>
    </row>
    <row r="616" spans="1:36">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1"/>
      <c r="X616" s="141"/>
      <c r="Y616" s="141"/>
      <c r="Z616" s="141"/>
      <c r="AA616" s="141"/>
      <c r="AB616" s="141"/>
      <c r="AC616" s="141"/>
      <c r="AD616" s="141"/>
      <c r="AE616" s="141"/>
      <c r="AF616" s="141"/>
      <c r="AG616" s="141"/>
      <c r="AH616" s="141"/>
      <c r="AI616" s="141"/>
      <c r="AJ616" s="140"/>
    </row>
    <row r="617" spans="1:36">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1"/>
      <c r="X617" s="141"/>
      <c r="Y617" s="141"/>
      <c r="Z617" s="141"/>
      <c r="AA617" s="141"/>
      <c r="AB617" s="141"/>
      <c r="AC617" s="141"/>
      <c r="AD617" s="141"/>
      <c r="AE617" s="141"/>
      <c r="AF617" s="141"/>
      <c r="AG617" s="141"/>
      <c r="AH617" s="141"/>
      <c r="AI617" s="141"/>
      <c r="AJ617" s="140"/>
    </row>
    <row r="618" spans="1:36">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1"/>
      <c r="X618" s="141"/>
      <c r="Y618" s="141"/>
      <c r="Z618" s="141"/>
      <c r="AA618" s="141"/>
      <c r="AB618" s="141"/>
      <c r="AC618" s="141"/>
      <c r="AD618" s="141"/>
      <c r="AE618" s="141"/>
      <c r="AF618" s="141"/>
      <c r="AG618" s="141"/>
      <c r="AH618" s="141"/>
      <c r="AI618" s="141"/>
      <c r="AJ618" s="140"/>
    </row>
    <row r="619" spans="1:36">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1"/>
      <c r="X619" s="141"/>
      <c r="Y619" s="141"/>
      <c r="Z619" s="141"/>
      <c r="AA619" s="141"/>
      <c r="AB619" s="141"/>
      <c r="AC619" s="141"/>
      <c r="AD619" s="141"/>
      <c r="AE619" s="141"/>
      <c r="AF619" s="141"/>
      <c r="AG619" s="141"/>
      <c r="AH619" s="141"/>
      <c r="AI619" s="141"/>
      <c r="AJ619" s="140"/>
    </row>
    <row r="620" spans="1:36">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1"/>
      <c r="X620" s="141"/>
      <c r="Y620" s="141"/>
      <c r="Z620" s="141"/>
      <c r="AA620" s="141"/>
      <c r="AB620" s="141"/>
      <c r="AC620" s="141"/>
      <c r="AD620" s="141"/>
      <c r="AE620" s="141"/>
      <c r="AF620" s="141"/>
      <c r="AG620" s="141"/>
      <c r="AH620" s="141"/>
      <c r="AI620" s="141"/>
      <c r="AJ620" s="140"/>
    </row>
    <row r="621" spans="1:36">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1"/>
      <c r="X621" s="141"/>
      <c r="Y621" s="141"/>
      <c r="Z621" s="141"/>
      <c r="AA621" s="141"/>
      <c r="AB621" s="141"/>
      <c r="AC621" s="141"/>
      <c r="AD621" s="141"/>
      <c r="AE621" s="141"/>
      <c r="AF621" s="141"/>
      <c r="AG621" s="141"/>
      <c r="AH621" s="141"/>
      <c r="AI621" s="141"/>
      <c r="AJ621" s="140"/>
    </row>
    <row r="622" spans="1:36">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1"/>
      <c r="X622" s="141"/>
      <c r="Y622" s="141"/>
      <c r="Z622" s="141"/>
      <c r="AA622" s="141"/>
      <c r="AB622" s="141"/>
      <c r="AC622" s="141"/>
      <c r="AD622" s="141"/>
      <c r="AE622" s="141"/>
      <c r="AF622" s="141"/>
      <c r="AG622" s="141"/>
      <c r="AH622" s="141"/>
      <c r="AI622" s="141"/>
      <c r="AJ622" s="140"/>
    </row>
    <row r="623" spans="1:36">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1"/>
      <c r="X623" s="141"/>
      <c r="Y623" s="141"/>
      <c r="Z623" s="141"/>
      <c r="AA623" s="141"/>
      <c r="AB623" s="141"/>
      <c r="AC623" s="141"/>
      <c r="AD623" s="141"/>
      <c r="AE623" s="141"/>
      <c r="AF623" s="141"/>
      <c r="AG623" s="141"/>
      <c r="AH623" s="141"/>
      <c r="AI623" s="141"/>
      <c r="AJ623" s="140"/>
    </row>
    <row r="624" spans="1:36">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1"/>
      <c r="X624" s="141"/>
      <c r="Y624" s="141"/>
      <c r="Z624" s="141"/>
      <c r="AA624" s="141"/>
      <c r="AB624" s="141"/>
      <c r="AC624" s="141"/>
      <c r="AD624" s="141"/>
      <c r="AE624" s="141"/>
      <c r="AF624" s="141"/>
      <c r="AG624" s="141"/>
      <c r="AH624" s="141"/>
      <c r="AI624" s="141"/>
      <c r="AJ624" s="140"/>
    </row>
    <row r="625" spans="1:36">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1"/>
      <c r="X625" s="141"/>
      <c r="Y625" s="141"/>
      <c r="Z625" s="141"/>
      <c r="AA625" s="141"/>
      <c r="AB625" s="141"/>
      <c r="AC625" s="141"/>
      <c r="AD625" s="141"/>
      <c r="AE625" s="141"/>
      <c r="AF625" s="141"/>
      <c r="AG625" s="141"/>
      <c r="AH625" s="141"/>
      <c r="AI625" s="141"/>
      <c r="AJ625" s="140"/>
    </row>
    <row r="626" spans="1:36">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1"/>
      <c r="X626" s="141"/>
      <c r="Y626" s="141"/>
      <c r="Z626" s="141"/>
      <c r="AA626" s="141"/>
      <c r="AB626" s="141"/>
      <c r="AC626" s="141"/>
      <c r="AD626" s="141"/>
      <c r="AE626" s="141"/>
      <c r="AF626" s="141"/>
      <c r="AG626" s="141"/>
      <c r="AH626" s="141"/>
      <c r="AI626" s="141"/>
      <c r="AJ626" s="140"/>
    </row>
    <row r="627" spans="1:36">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1"/>
      <c r="X627" s="141"/>
      <c r="Y627" s="141"/>
      <c r="Z627" s="141"/>
      <c r="AA627" s="141"/>
      <c r="AB627" s="141"/>
      <c r="AC627" s="141"/>
      <c r="AD627" s="141"/>
      <c r="AE627" s="141"/>
      <c r="AF627" s="141"/>
      <c r="AG627" s="141"/>
      <c r="AH627" s="141"/>
      <c r="AI627" s="141"/>
      <c r="AJ627" s="140"/>
    </row>
    <row r="628" spans="1:36">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1"/>
      <c r="X628" s="141"/>
      <c r="Y628" s="141"/>
      <c r="Z628" s="141"/>
      <c r="AA628" s="141"/>
      <c r="AB628" s="141"/>
      <c r="AC628" s="141"/>
      <c r="AD628" s="141"/>
      <c r="AE628" s="141"/>
      <c r="AF628" s="141"/>
      <c r="AG628" s="141"/>
      <c r="AH628" s="141"/>
      <c r="AI628" s="141"/>
      <c r="AJ628" s="140"/>
    </row>
    <row r="629" spans="1:36">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1"/>
      <c r="X629" s="141"/>
      <c r="Y629" s="141"/>
      <c r="Z629" s="141"/>
      <c r="AA629" s="141"/>
      <c r="AB629" s="141"/>
      <c r="AC629" s="141"/>
      <c r="AD629" s="141"/>
      <c r="AE629" s="141"/>
      <c r="AF629" s="141"/>
      <c r="AG629" s="141"/>
      <c r="AH629" s="141"/>
      <c r="AI629" s="141"/>
      <c r="AJ629" s="140"/>
    </row>
    <row r="630" spans="1:36">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1"/>
      <c r="X630" s="141"/>
      <c r="Y630" s="141"/>
      <c r="Z630" s="141"/>
      <c r="AA630" s="141"/>
      <c r="AB630" s="141"/>
      <c r="AC630" s="141"/>
      <c r="AD630" s="141"/>
      <c r="AE630" s="141"/>
      <c r="AF630" s="141"/>
      <c r="AG630" s="141"/>
      <c r="AH630" s="141"/>
      <c r="AI630" s="141"/>
      <c r="AJ630" s="140"/>
    </row>
    <row r="631" spans="1:36">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1"/>
      <c r="X631" s="141"/>
      <c r="Y631" s="141"/>
      <c r="Z631" s="141"/>
      <c r="AA631" s="141"/>
      <c r="AB631" s="141"/>
      <c r="AC631" s="141"/>
      <c r="AD631" s="141"/>
      <c r="AE631" s="141"/>
      <c r="AF631" s="141"/>
      <c r="AG631" s="141"/>
      <c r="AH631" s="141"/>
      <c r="AI631" s="141"/>
      <c r="AJ631" s="140"/>
    </row>
    <row r="632" spans="1:36">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1"/>
      <c r="X632" s="141"/>
      <c r="Y632" s="141"/>
      <c r="Z632" s="141"/>
      <c r="AA632" s="141"/>
      <c r="AB632" s="141"/>
      <c r="AC632" s="141"/>
      <c r="AD632" s="141"/>
      <c r="AE632" s="141"/>
      <c r="AF632" s="141"/>
      <c r="AG632" s="141"/>
      <c r="AH632" s="141"/>
      <c r="AI632" s="141"/>
      <c r="AJ632" s="140"/>
    </row>
    <row r="633" spans="1:36">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1"/>
      <c r="X633" s="141"/>
      <c r="Y633" s="141"/>
      <c r="Z633" s="141"/>
      <c r="AA633" s="141"/>
      <c r="AB633" s="141"/>
      <c r="AC633" s="141"/>
      <c r="AD633" s="141"/>
      <c r="AE633" s="141"/>
      <c r="AF633" s="141"/>
      <c r="AG633" s="141"/>
      <c r="AH633" s="141"/>
      <c r="AI633" s="141"/>
      <c r="AJ633" s="140"/>
    </row>
    <row r="634" spans="1:36">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1"/>
      <c r="X634" s="141"/>
      <c r="Y634" s="141"/>
      <c r="Z634" s="141"/>
      <c r="AA634" s="141"/>
      <c r="AB634" s="141"/>
      <c r="AC634" s="141"/>
      <c r="AD634" s="141"/>
      <c r="AE634" s="141"/>
      <c r="AF634" s="141"/>
      <c r="AG634" s="141"/>
      <c r="AH634" s="141"/>
      <c r="AI634" s="141"/>
      <c r="AJ634" s="140"/>
    </row>
    <row r="635" spans="1:36">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1"/>
      <c r="X635" s="141"/>
      <c r="Y635" s="141"/>
      <c r="Z635" s="141"/>
      <c r="AA635" s="141"/>
      <c r="AB635" s="141"/>
      <c r="AC635" s="141"/>
      <c r="AD635" s="141"/>
      <c r="AE635" s="141"/>
      <c r="AF635" s="141"/>
      <c r="AG635" s="141"/>
      <c r="AH635" s="141"/>
      <c r="AI635" s="141"/>
      <c r="AJ635" s="140"/>
    </row>
    <row r="636" spans="1:36">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1"/>
      <c r="X636" s="141"/>
      <c r="Y636" s="141"/>
      <c r="Z636" s="141"/>
      <c r="AA636" s="141"/>
      <c r="AB636" s="141"/>
      <c r="AC636" s="141"/>
      <c r="AD636" s="141"/>
      <c r="AE636" s="141"/>
      <c r="AF636" s="141"/>
      <c r="AG636" s="141"/>
      <c r="AH636" s="141"/>
      <c r="AI636" s="141"/>
      <c r="AJ636" s="140"/>
    </row>
    <row r="637" spans="1:36">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1"/>
      <c r="X637" s="141"/>
      <c r="Y637" s="141"/>
      <c r="Z637" s="141"/>
      <c r="AA637" s="141"/>
      <c r="AB637" s="141"/>
      <c r="AC637" s="141"/>
      <c r="AD637" s="141"/>
      <c r="AE637" s="141"/>
      <c r="AF637" s="141"/>
      <c r="AG637" s="141"/>
      <c r="AH637" s="141"/>
      <c r="AI637" s="141"/>
      <c r="AJ637" s="140"/>
    </row>
    <row r="638" spans="1:36">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1"/>
      <c r="X638" s="141"/>
      <c r="Y638" s="141"/>
      <c r="Z638" s="141"/>
      <c r="AA638" s="141"/>
      <c r="AB638" s="141"/>
      <c r="AC638" s="141"/>
      <c r="AD638" s="141"/>
      <c r="AE638" s="141"/>
      <c r="AF638" s="141"/>
      <c r="AG638" s="141"/>
      <c r="AH638" s="141"/>
      <c r="AI638" s="141"/>
      <c r="AJ638" s="140"/>
    </row>
    <row r="639" spans="1:36">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1"/>
      <c r="X639" s="141"/>
      <c r="Y639" s="141"/>
      <c r="Z639" s="141"/>
      <c r="AA639" s="141"/>
      <c r="AB639" s="141"/>
      <c r="AC639" s="141"/>
      <c r="AD639" s="141"/>
      <c r="AE639" s="141"/>
      <c r="AF639" s="141"/>
      <c r="AG639" s="141"/>
      <c r="AH639" s="141"/>
      <c r="AI639" s="141"/>
      <c r="AJ639" s="140"/>
    </row>
    <row r="640" spans="1:36">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1"/>
      <c r="X640" s="141"/>
      <c r="Y640" s="141"/>
      <c r="Z640" s="141"/>
      <c r="AA640" s="141"/>
      <c r="AB640" s="141"/>
      <c r="AC640" s="141"/>
      <c r="AD640" s="141"/>
      <c r="AE640" s="141"/>
      <c r="AF640" s="141"/>
      <c r="AG640" s="141"/>
      <c r="AH640" s="141"/>
      <c r="AI640" s="141"/>
      <c r="AJ640" s="140"/>
    </row>
    <row r="641" spans="1:36">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1"/>
      <c r="X641" s="141"/>
      <c r="Y641" s="141"/>
      <c r="Z641" s="141"/>
      <c r="AA641" s="141"/>
      <c r="AB641" s="141"/>
      <c r="AC641" s="141"/>
      <c r="AD641" s="141"/>
      <c r="AE641" s="141"/>
      <c r="AF641" s="141"/>
      <c r="AG641" s="141"/>
      <c r="AH641" s="141"/>
      <c r="AI641" s="141"/>
      <c r="AJ641" s="140"/>
    </row>
    <row r="642" spans="1:36">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1"/>
      <c r="X642" s="141"/>
      <c r="Y642" s="141"/>
      <c r="Z642" s="141"/>
      <c r="AA642" s="141"/>
      <c r="AB642" s="141"/>
      <c r="AC642" s="141"/>
      <c r="AD642" s="141"/>
      <c r="AE642" s="141"/>
      <c r="AF642" s="141"/>
      <c r="AG642" s="141"/>
      <c r="AH642" s="141"/>
      <c r="AI642" s="141"/>
      <c r="AJ642" s="140"/>
    </row>
    <row r="643" spans="1:36">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1"/>
      <c r="X643" s="141"/>
      <c r="Y643" s="141"/>
      <c r="Z643" s="141"/>
      <c r="AA643" s="141"/>
      <c r="AB643" s="141"/>
      <c r="AC643" s="141"/>
      <c r="AD643" s="141"/>
      <c r="AE643" s="141"/>
      <c r="AF643" s="141"/>
      <c r="AG643" s="141"/>
      <c r="AH643" s="141"/>
      <c r="AI643" s="141"/>
      <c r="AJ643" s="140"/>
    </row>
    <row r="644" spans="1:36">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1"/>
      <c r="X644" s="141"/>
      <c r="Y644" s="141"/>
      <c r="Z644" s="141"/>
      <c r="AA644" s="141"/>
      <c r="AB644" s="141"/>
      <c r="AC644" s="141"/>
      <c r="AD644" s="141"/>
      <c r="AE644" s="141"/>
      <c r="AF644" s="141"/>
      <c r="AG644" s="141"/>
      <c r="AH644" s="141"/>
      <c r="AI644" s="141"/>
      <c r="AJ644" s="140"/>
    </row>
    <row r="645" spans="1:36">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1"/>
      <c r="X645" s="141"/>
      <c r="Y645" s="141"/>
      <c r="Z645" s="141"/>
      <c r="AA645" s="141"/>
      <c r="AB645" s="141"/>
      <c r="AC645" s="141"/>
      <c r="AD645" s="141"/>
      <c r="AE645" s="141"/>
      <c r="AF645" s="141"/>
      <c r="AG645" s="141"/>
      <c r="AH645" s="141"/>
      <c r="AI645" s="141"/>
      <c r="AJ645" s="140"/>
    </row>
    <row r="646" spans="1:36">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1"/>
      <c r="X646" s="141"/>
      <c r="Y646" s="141"/>
      <c r="Z646" s="141"/>
      <c r="AA646" s="141"/>
      <c r="AB646" s="141"/>
      <c r="AC646" s="141"/>
      <c r="AD646" s="141"/>
      <c r="AE646" s="141"/>
      <c r="AF646" s="141"/>
      <c r="AG646" s="141"/>
      <c r="AH646" s="141"/>
      <c r="AI646" s="141"/>
      <c r="AJ646" s="140"/>
    </row>
    <row r="647" spans="1:36">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1"/>
      <c r="X647" s="141"/>
      <c r="Y647" s="141"/>
      <c r="Z647" s="141"/>
      <c r="AA647" s="141"/>
      <c r="AB647" s="141"/>
      <c r="AC647" s="141"/>
      <c r="AD647" s="141"/>
      <c r="AE647" s="141"/>
      <c r="AF647" s="141"/>
      <c r="AG647" s="141"/>
      <c r="AH647" s="141"/>
      <c r="AI647" s="141"/>
      <c r="AJ647" s="140"/>
    </row>
    <row r="648" spans="1:36">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1"/>
      <c r="X648" s="141"/>
      <c r="Y648" s="141"/>
      <c r="Z648" s="141"/>
      <c r="AA648" s="141"/>
      <c r="AB648" s="141"/>
      <c r="AC648" s="141"/>
      <c r="AD648" s="141"/>
      <c r="AE648" s="141"/>
      <c r="AF648" s="141"/>
      <c r="AG648" s="141"/>
      <c r="AH648" s="141"/>
      <c r="AI648" s="141"/>
      <c r="AJ648" s="140"/>
    </row>
    <row r="649" spans="1:36">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1"/>
      <c r="X649" s="141"/>
      <c r="Y649" s="141"/>
      <c r="Z649" s="141"/>
      <c r="AA649" s="141"/>
      <c r="AB649" s="141"/>
      <c r="AC649" s="141"/>
      <c r="AD649" s="141"/>
      <c r="AE649" s="141"/>
      <c r="AF649" s="141"/>
      <c r="AG649" s="141"/>
      <c r="AH649" s="141"/>
      <c r="AI649" s="141"/>
      <c r="AJ649" s="140"/>
    </row>
    <row r="650" spans="1:36">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1"/>
      <c r="X650" s="141"/>
      <c r="Y650" s="141"/>
      <c r="Z650" s="141"/>
      <c r="AA650" s="141"/>
      <c r="AB650" s="141"/>
      <c r="AC650" s="141"/>
      <c r="AD650" s="141"/>
      <c r="AE650" s="141"/>
      <c r="AF650" s="141"/>
      <c r="AG650" s="141"/>
      <c r="AH650" s="141"/>
      <c r="AI650" s="141"/>
      <c r="AJ650" s="140"/>
    </row>
    <row r="651" spans="1:36">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1"/>
      <c r="X651" s="141"/>
      <c r="Y651" s="141"/>
      <c r="Z651" s="141"/>
      <c r="AA651" s="141"/>
      <c r="AB651" s="141"/>
      <c r="AC651" s="141"/>
      <c r="AD651" s="141"/>
      <c r="AE651" s="141"/>
      <c r="AF651" s="141"/>
      <c r="AG651" s="141"/>
      <c r="AH651" s="141"/>
      <c r="AI651" s="141"/>
      <c r="AJ651" s="140"/>
    </row>
    <row r="652" spans="1:36">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1"/>
      <c r="X652" s="141"/>
      <c r="Y652" s="141"/>
      <c r="Z652" s="141"/>
      <c r="AA652" s="141"/>
      <c r="AB652" s="141"/>
      <c r="AC652" s="141"/>
      <c r="AD652" s="141"/>
      <c r="AE652" s="141"/>
      <c r="AF652" s="141"/>
      <c r="AG652" s="141"/>
      <c r="AH652" s="141"/>
      <c r="AI652" s="141"/>
      <c r="AJ652" s="140"/>
    </row>
    <row r="653" spans="1:36">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1"/>
      <c r="X653" s="141"/>
      <c r="Y653" s="141"/>
      <c r="Z653" s="141"/>
      <c r="AA653" s="141"/>
      <c r="AB653" s="141"/>
      <c r="AC653" s="141"/>
      <c r="AD653" s="141"/>
      <c r="AE653" s="141"/>
      <c r="AF653" s="141"/>
      <c r="AG653" s="141"/>
      <c r="AH653" s="141"/>
      <c r="AI653" s="141"/>
      <c r="AJ653" s="140"/>
    </row>
    <row r="654" spans="1:36">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1"/>
      <c r="X654" s="141"/>
      <c r="Y654" s="141"/>
      <c r="Z654" s="141"/>
      <c r="AA654" s="141"/>
      <c r="AB654" s="141"/>
      <c r="AC654" s="141"/>
      <c r="AD654" s="141"/>
      <c r="AE654" s="141"/>
      <c r="AF654" s="141"/>
      <c r="AG654" s="141"/>
      <c r="AH654" s="141"/>
      <c r="AI654" s="141"/>
      <c r="AJ654" s="140"/>
    </row>
    <row r="655" spans="1:36">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1"/>
      <c r="X655" s="141"/>
      <c r="Y655" s="141"/>
      <c r="Z655" s="141"/>
      <c r="AA655" s="141"/>
      <c r="AB655" s="141"/>
      <c r="AC655" s="141"/>
      <c r="AD655" s="141"/>
      <c r="AE655" s="141"/>
      <c r="AF655" s="141"/>
      <c r="AG655" s="141"/>
      <c r="AH655" s="141"/>
      <c r="AI655" s="141"/>
      <c r="AJ655" s="140"/>
    </row>
    <row r="656" spans="1:36">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1"/>
      <c r="X656" s="141"/>
      <c r="Y656" s="141"/>
      <c r="Z656" s="141"/>
      <c r="AA656" s="141"/>
      <c r="AB656" s="141"/>
      <c r="AC656" s="141"/>
      <c r="AD656" s="141"/>
      <c r="AE656" s="141"/>
      <c r="AF656" s="141"/>
      <c r="AG656" s="141"/>
      <c r="AH656" s="141"/>
      <c r="AI656" s="141"/>
      <c r="AJ656" s="140"/>
    </row>
    <row r="657" spans="1:36">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1"/>
      <c r="X657" s="141"/>
      <c r="Y657" s="141"/>
      <c r="Z657" s="141"/>
      <c r="AA657" s="141"/>
      <c r="AB657" s="141"/>
      <c r="AC657" s="141"/>
      <c r="AD657" s="141"/>
      <c r="AE657" s="141"/>
      <c r="AF657" s="141"/>
      <c r="AG657" s="141"/>
      <c r="AH657" s="141"/>
      <c r="AI657" s="141"/>
      <c r="AJ657" s="140"/>
    </row>
    <row r="658" spans="1:36">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1"/>
      <c r="X658" s="141"/>
      <c r="Y658" s="141"/>
      <c r="Z658" s="141"/>
      <c r="AA658" s="141"/>
      <c r="AB658" s="141"/>
      <c r="AC658" s="141"/>
      <c r="AD658" s="141"/>
      <c r="AE658" s="141"/>
      <c r="AF658" s="141"/>
      <c r="AG658" s="141"/>
      <c r="AH658" s="141"/>
      <c r="AI658" s="141"/>
      <c r="AJ658" s="140"/>
    </row>
    <row r="659" spans="1:36">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1"/>
      <c r="X659" s="141"/>
      <c r="Y659" s="141"/>
      <c r="Z659" s="141"/>
      <c r="AA659" s="141"/>
      <c r="AB659" s="141"/>
      <c r="AC659" s="141"/>
      <c r="AD659" s="141"/>
      <c r="AE659" s="141"/>
      <c r="AF659" s="141"/>
      <c r="AG659" s="141"/>
      <c r="AH659" s="141"/>
      <c r="AI659" s="141"/>
      <c r="AJ659" s="140"/>
    </row>
    <row r="660" spans="1:36">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1"/>
      <c r="X660" s="141"/>
      <c r="Y660" s="141"/>
      <c r="Z660" s="141"/>
      <c r="AA660" s="141"/>
      <c r="AB660" s="141"/>
      <c r="AC660" s="141"/>
      <c r="AD660" s="141"/>
      <c r="AE660" s="141"/>
      <c r="AF660" s="141"/>
      <c r="AG660" s="141"/>
      <c r="AH660" s="141"/>
      <c r="AI660" s="141"/>
      <c r="AJ660" s="140"/>
    </row>
    <row r="661" spans="1:36">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1"/>
      <c r="X661" s="141"/>
      <c r="Y661" s="141"/>
      <c r="Z661" s="141"/>
      <c r="AA661" s="141"/>
      <c r="AB661" s="141"/>
      <c r="AC661" s="141"/>
      <c r="AD661" s="141"/>
      <c r="AE661" s="141"/>
      <c r="AF661" s="141"/>
      <c r="AG661" s="141"/>
      <c r="AH661" s="141"/>
      <c r="AI661" s="141"/>
      <c r="AJ661" s="140"/>
    </row>
    <row r="662" spans="1:36">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1"/>
      <c r="X662" s="141"/>
      <c r="Y662" s="141"/>
      <c r="Z662" s="141"/>
      <c r="AA662" s="141"/>
      <c r="AB662" s="141"/>
      <c r="AC662" s="141"/>
      <c r="AD662" s="141"/>
      <c r="AE662" s="141"/>
      <c r="AF662" s="141"/>
      <c r="AG662" s="141"/>
      <c r="AH662" s="141"/>
      <c r="AI662" s="141"/>
      <c r="AJ662" s="140"/>
    </row>
    <row r="663" spans="1:36">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1"/>
      <c r="X663" s="141"/>
      <c r="Y663" s="141"/>
      <c r="Z663" s="141"/>
      <c r="AA663" s="141"/>
      <c r="AB663" s="141"/>
      <c r="AC663" s="141"/>
      <c r="AD663" s="141"/>
      <c r="AE663" s="141"/>
      <c r="AF663" s="141"/>
      <c r="AG663" s="141"/>
      <c r="AH663" s="141"/>
      <c r="AI663" s="141"/>
      <c r="AJ663" s="140"/>
    </row>
    <row r="664" spans="1:36">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1"/>
      <c r="X664" s="141"/>
      <c r="Y664" s="141"/>
      <c r="Z664" s="141"/>
      <c r="AA664" s="141"/>
      <c r="AB664" s="141"/>
      <c r="AC664" s="141"/>
      <c r="AD664" s="141"/>
      <c r="AE664" s="141"/>
      <c r="AF664" s="141"/>
      <c r="AG664" s="141"/>
      <c r="AH664" s="141"/>
      <c r="AI664" s="141"/>
      <c r="AJ664" s="140"/>
    </row>
    <row r="665" spans="1:36">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1"/>
      <c r="X665" s="141"/>
      <c r="Y665" s="141"/>
      <c r="Z665" s="141"/>
      <c r="AA665" s="141"/>
      <c r="AB665" s="141"/>
      <c r="AC665" s="141"/>
      <c r="AD665" s="141"/>
      <c r="AE665" s="141"/>
      <c r="AF665" s="141"/>
      <c r="AG665" s="141"/>
      <c r="AH665" s="141"/>
      <c r="AI665" s="141"/>
      <c r="AJ665" s="140"/>
    </row>
    <row r="666" spans="1:36">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1"/>
      <c r="X666" s="141"/>
      <c r="Y666" s="141"/>
      <c r="Z666" s="141"/>
      <c r="AA666" s="141"/>
      <c r="AB666" s="141"/>
      <c r="AC666" s="141"/>
      <c r="AD666" s="141"/>
      <c r="AE666" s="141"/>
      <c r="AF666" s="141"/>
      <c r="AG666" s="141"/>
      <c r="AH666" s="141"/>
      <c r="AI666" s="141"/>
      <c r="AJ666" s="140"/>
    </row>
    <row r="667" spans="1:36">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1"/>
      <c r="X667" s="141"/>
      <c r="Y667" s="141"/>
      <c r="Z667" s="141"/>
      <c r="AA667" s="141"/>
      <c r="AB667" s="141"/>
      <c r="AC667" s="141"/>
      <c r="AD667" s="141"/>
      <c r="AE667" s="141"/>
      <c r="AF667" s="141"/>
      <c r="AG667" s="141"/>
      <c r="AH667" s="141"/>
      <c r="AI667" s="141"/>
      <c r="AJ667" s="140"/>
    </row>
    <row r="668" spans="1:36">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1"/>
      <c r="X668" s="141"/>
      <c r="Y668" s="141"/>
      <c r="Z668" s="141"/>
      <c r="AA668" s="141"/>
      <c r="AB668" s="141"/>
      <c r="AC668" s="141"/>
      <c r="AD668" s="141"/>
      <c r="AE668" s="141"/>
      <c r="AF668" s="141"/>
      <c r="AG668" s="141"/>
      <c r="AH668" s="141"/>
      <c r="AI668" s="141"/>
      <c r="AJ668" s="140"/>
    </row>
    <row r="669" spans="1:36">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1"/>
      <c r="X669" s="141"/>
      <c r="Y669" s="141"/>
      <c r="Z669" s="141"/>
      <c r="AA669" s="141"/>
      <c r="AB669" s="141"/>
      <c r="AC669" s="141"/>
      <c r="AD669" s="141"/>
      <c r="AE669" s="141"/>
      <c r="AF669" s="141"/>
      <c r="AG669" s="141"/>
      <c r="AH669" s="141"/>
      <c r="AI669" s="141"/>
      <c r="AJ669" s="140"/>
    </row>
    <row r="670" spans="1:36">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1"/>
      <c r="X670" s="141"/>
      <c r="Y670" s="141"/>
      <c r="Z670" s="141"/>
      <c r="AA670" s="141"/>
      <c r="AB670" s="141"/>
      <c r="AC670" s="141"/>
      <c r="AD670" s="141"/>
      <c r="AE670" s="141"/>
      <c r="AF670" s="141"/>
      <c r="AG670" s="141"/>
      <c r="AH670" s="141"/>
      <c r="AI670" s="141"/>
      <c r="AJ670" s="140"/>
    </row>
    <row r="671" spans="1:36">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1"/>
      <c r="X671" s="141"/>
      <c r="Y671" s="141"/>
      <c r="Z671" s="141"/>
      <c r="AA671" s="141"/>
      <c r="AB671" s="141"/>
      <c r="AC671" s="141"/>
      <c r="AD671" s="141"/>
      <c r="AE671" s="141"/>
      <c r="AF671" s="141"/>
      <c r="AG671" s="141"/>
      <c r="AH671" s="141"/>
      <c r="AI671" s="141"/>
      <c r="AJ671" s="140"/>
    </row>
    <row r="672" spans="1:36">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1"/>
      <c r="X672" s="141"/>
      <c r="Y672" s="141"/>
      <c r="Z672" s="141"/>
      <c r="AA672" s="141"/>
      <c r="AB672" s="141"/>
      <c r="AC672" s="141"/>
      <c r="AD672" s="141"/>
      <c r="AE672" s="141"/>
      <c r="AF672" s="141"/>
      <c r="AG672" s="141"/>
      <c r="AH672" s="141"/>
      <c r="AI672" s="141"/>
      <c r="AJ672" s="140"/>
    </row>
    <row r="673" spans="1:36">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1"/>
      <c r="X673" s="141"/>
      <c r="Y673" s="141"/>
      <c r="Z673" s="141"/>
      <c r="AA673" s="141"/>
      <c r="AB673" s="141"/>
      <c r="AC673" s="141"/>
      <c r="AD673" s="141"/>
      <c r="AE673" s="141"/>
      <c r="AF673" s="141"/>
      <c r="AG673" s="141"/>
      <c r="AH673" s="141"/>
      <c r="AI673" s="141"/>
      <c r="AJ673" s="140"/>
    </row>
    <row r="674" spans="1:36">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1"/>
      <c r="X674" s="141"/>
      <c r="Y674" s="141"/>
      <c r="Z674" s="141"/>
      <c r="AA674" s="141"/>
      <c r="AB674" s="141"/>
      <c r="AC674" s="141"/>
      <c r="AD674" s="141"/>
      <c r="AE674" s="141"/>
      <c r="AF674" s="141"/>
      <c r="AG674" s="141"/>
      <c r="AH674" s="141"/>
      <c r="AI674" s="141"/>
      <c r="AJ674" s="140"/>
    </row>
    <row r="675" spans="1:36">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1"/>
      <c r="X675" s="141"/>
      <c r="Y675" s="141"/>
      <c r="Z675" s="141"/>
      <c r="AA675" s="141"/>
      <c r="AB675" s="141"/>
      <c r="AC675" s="141"/>
      <c r="AD675" s="141"/>
      <c r="AE675" s="141"/>
      <c r="AF675" s="141"/>
      <c r="AG675" s="141"/>
      <c r="AH675" s="141"/>
      <c r="AI675" s="141"/>
      <c r="AJ675" s="140"/>
    </row>
    <row r="676" spans="1:36">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1"/>
      <c r="X676" s="141"/>
      <c r="Y676" s="141"/>
      <c r="Z676" s="141"/>
      <c r="AA676" s="141"/>
      <c r="AB676" s="141"/>
      <c r="AC676" s="141"/>
      <c r="AD676" s="141"/>
      <c r="AE676" s="141"/>
      <c r="AF676" s="141"/>
      <c r="AG676" s="141"/>
      <c r="AH676" s="141"/>
      <c r="AI676" s="141"/>
      <c r="AJ676" s="140"/>
    </row>
    <row r="677" spans="1:36">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1"/>
      <c r="X677" s="141"/>
      <c r="Y677" s="141"/>
      <c r="Z677" s="141"/>
      <c r="AA677" s="141"/>
      <c r="AB677" s="141"/>
      <c r="AC677" s="141"/>
      <c r="AD677" s="141"/>
      <c r="AE677" s="141"/>
      <c r="AF677" s="141"/>
      <c r="AG677" s="141"/>
      <c r="AH677" s="141"/>
      <c r="AI677" s="141"/>
      <c r="AJ677" s="140"/>
    </row>
    <row r="678" spans="1:36">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1"/>
      <c r="X678" s="141"/>
      <c r="Y678" s="141"/>
      <c r="Z678" s="141"/>
      <c r="AA678" s="141"/>
      <c r="AB678" s="141"/>
      <c r="AC678" s="141"/>
      <c r="AD678" s="141"/>
      <c r="AE678" s="141"/>
      <c r="AF678" s="141"/>
      <c r="AG678" s="141"/>
      <c r="AH678" s="141"/>
      <c r="AI678" s="141"/>
      <c r="AJ678" s="140"/>
    </row>
    <row r="679" spans="1:36">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1"/>
      <c r="X679" s="141"/>
      <c r="Y679" s="141"/>
      <c r="Z679" s="141"/>
      <c r="AA679" s="141"/>
      <c r="AB679" s="141"/>
      <c r="AC679" s="141"/>
      <c r="AD679" s="141"/>
      <c r="AE679" s="141"/>
      <c r="AF679" s="141"/>
      <c r="AG679" s="141"/>
      <c r="AH679" s="141"/>
      <c r="AI679" s="141"/>
      <c r="AJ679" s="140"/>
    </row>
    <row r="680" spans="1:36">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1"/>
      <c r="X680" s="141"/>
      <c r="Y680" s="141"/>
      <c r="Z680" s="141"/>
      <c r="AA680" s="141"/>
      <c r="AB680" s="141"/>
      <c r="AC680" s="141"/>
      <c r="AD680" s="141"/>
      <c r="AE680" s="141"/>
      <c r="AF680" s="141"/>
      <c r="AG680" s="141"/>
      <c r="AH680" s="141"/>
      <c r="AI680" s="141"/>
      <c r="AJ680" s="140"/>
    </row>
    <row r="681" spans="1:36">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1"/>
      <c r="X681" s="141"/>
      <c r="Y681" s="141"/>
      <c r="Z681" s="141"/>
      <c r="AA681" s="141"/>
      <c r="AB681" s="141"/>
      <c r="AC681" s="141"/>
      <c r="AD681" s="141"/>
      <c r="AE681" s="141"/>
      <c r="AF681" s="141"/>
      <c r="AG681" s="141"/>
      <c r="AH681" s="141"/>
      <c r="AI681" s="141"/>
      <c r="AJ681" s="140"/>
    </row>
    <row r="682" spans="1:36">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1"/>
      <c r="X682" s="141"/>
      <c r="Y682" s="141"/>
      <c r="Z682" s="141"/>
      <c r="AA682" s="141"/>
      <c r="AB682" s="141"/>
      <c r="AC682" s="141"/>
      <c r="AD682" s="141"/>
      <c r="AE682" s="141"/>
      <c r="AF682" s="141"/>
      <c r="AG682" s="141"/>
      <c r="AH682" s="141"/>
      <c r="AI682" s="141"/>
      <c r="AJ682" s="140"/>
    </row>
    <row r="683" spans="1:36">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1"/>
      <c r="X683" s="141"/>
      <c r="Y683" s="141"/>
      <c r="Z683" s="141"/>
      <c r="AA683" s="141"/>
      <c r="AB683" s="141"/>
      <c r="AC683" s="141"/>
      <c r="AD683" s="141"/>
      <c r="AE683" s="141"/>
      <c r="AF683" s="141"/>
      <c r="AG683" s="141"/>
      <c r="AH683" s="141"/>
      <c r="AI683" s="141"/>
      <c r="AJ683" s="140"/>
    </row>
    <row r="684" spans="1:36">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1"/>
      <c r="X684" s="141"/>
      <c r="Y684" s="141"/>
      <c r="Z684" s="141"/>
      <c r="AA684" s="141"/>
      <c r="AB684" s="141"/>
      <c r="AC684" s="141"/>
      <c r="AD684" s="141"/>
      <c r="AE684" s="141"/>
      <c r="AF684" s="141"/>
      <c r="AG684" s="141"/>
      <c r="AH684" s="141"/>
      <c r="AI684" s="141"/>
      <c r="AJ684" s="140"/>
    </row>
    <row r="685" spans="1:36">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1"/>
      <c r="X685" s="141"/>
      <c r="Y685" s="141"/>
      <c r="Z685" s="141"/>
      <c r="AA685" s="141"/>
      <c r="AB685" s="141"/>
      <c r="AC685" s="141"/>
      <c r="AD685" s="141"/>
      <c r="AE685" s="141"/>
      <c r="AF685" s="141"/>
      <c r="AG685" s="141"/>
      <c r="AH685" s="141"/>
      <c r="AI685" s="141"/>
      <c r="AJ685" s="140"/>
    </row>
    <row r="686" spans="1:36">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1"/>
      <c r="X686" s="141"/>
      <c r="Y686" s="141"/>
      <c r="Z686" s="141"/>
      <c r="AA686" s="141"/>
      <c r="AB686" s="141"/>
      <c r="AC686" s="141"/>
      <c r="AD686" s="141"/>
      <c r="AE686" s="141"/>
      <c r="AF686" s="141"/>
      <c r="AG686" s="141"/>
      <c r="AH686" s="141"/>
      <c r="AI686" s="141"/>
      <c r="AJ686" s="140"/>
    </row>
    <row r="687" spans="1:36">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1"/>
      <c r="X687" s="141"/>
      <c r="Y687" s="141"/>
      <c r="Z687" s="141"/>
      <c r="AA687" s="141"/>
      <c r="AB687" s="141"/>
      <c r="AC687" s="141"/>
      <c r="AD687" s="141"/>
      <c r="AE687" s="141"/>
      <c r="AF687" s="141"/>
      <c r="AG687" s="141"/>
      <c r="AH687" s="141"/>
      <c r="AI687" s="141"/>
      <c r="AJ687" s="140"/>
    </row>
    <row r="688" spans="1:36">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1"/>
      <c r="X688" s="141"/>
      <c r="Y688" s="141"/>
      <c r="Z688" s="141"/>
      <c r="AA688" s="141"/>
      <c r="AB688" s="141"/>
      <c r="AC688" s="141"/>
      <c r="AD688" s="141"/>
      <c r="AE688" s="141"/>
      <c r="AF688" s="141"/>
      <c r="AG688" s="141"/>
      <c r="AH688" s="141"/>
      <c r="AI688" s="141"/>
      <c r="AJ688" s="140"/>
    </row>
    <row r="689" spans="1:36">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1"/>
      <c r="X689" s="141"/>
      <c r="Y689" s="141"/>
      <c r="Z689" s="141"/>
      <c r="AA689" s="141"/>
      <c r="AB689" s="141"/>
      <c r="AC689" s="141"/>
      <c r="AD689" s="141"/>
      <c r="AE689" s="141"/>
      <c r="AF689" s="141"/>
      <c r="AG689" s="141"/>
      <c r="AH689" s="141"/>
      <c r="AI689" s="141"/>
      <c r="AJ689" s="140"/>
    </row>
    <row r="690" spans="1:36">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1"/>
      <c r="X690" s="141"/>
      <c r="Y690" s="141"/>
      <c r="Z690" s="141"/>
      <c r="AA690" s="141"/>
      <c r="AB690" s="141"/>
      <c r="AC690" s="141"/>
      <c r="AD690" s="141"/>
      <c r="AE690" s="141"/>
      <c r="AF690" s="141"/>
      <c r="AG690" s="141"/>
      <c r="AH690" s="141"/>
      <c r="AI690" s="141"/>
      <c r="AJ690" s="140"/>
    </row>
    <row r="691" spans="1:36">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1"/>
      <c r="X691" s="141"/>
      <c r="Y691" s="141"/>
      <c r="Z691" s="141"/>
      <c r="AA691" s="141"/>
      <c r="AB691" s="141"/>
      <c r="AC691" s="141"/>
      <c r="AD691" s="141"/>
      <c r="AE691" s="141"/>
      <c r="AF691" s="141"/>
      <c r="AG691" s="141"/>
      <c r="AH691" s="141"/>
      <c r="AI691" s="141"/>
      <c r="AJ691" s="140"/>
    </row>
    <row r="692" spans="1:36">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1"/>
      <c r="X692" s="141"/>
      <c r="Y692" s="141"/>
      <c r="Z692" s="141"/>
      <c r="AA692" s="141"/>
      <c r="AB692" s="141"/>
      <c r="AC692" s="141"/>
      <c r="AD692" s="141"/>
      <c r="AE692" s="141"/>
      <c r="AF692" s="141"/>
      <c r="AG692" s="141"/>
      <c r="AH692" s="141"/>
      <c r="AI692" s="141"/>
      <c r="AJ692" s="140"/>
    </row>
    <row r="693" spans="1:36">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1"/>
      <c r="X693" s="141"/>
      <c r="Y693" s="141"/>
      <c r="Z693" s="141"/>
      <c r="AA693" s="141"/>
      <c r="AB693" s="141"/>
      <c r="AC693" s="141"/>
      <c r="AD693" s="141"/>
      <c r="AE693" s="141"/>
      <c r="AF693" s="141"/>
      <c r="AG693" s="141"/>
      <c r="AH693" s="141"/>
      <c r="AI693" s="141"/>
      <c r="AJ693" s="140"/>
    </row>
    <row r="694" spans="1:36">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1"/>
      <c r="X694" s="141"/>
      <c r="Y694" s="141"/>
      <c r="Z694" s="141"/>
      <c r="AA694" s="141"/>
      <c r="AB694" s="141"/>
      <c r="AC694" s="141"/>
      <c r="AD694" s="141"/>
      <c r="AE694" s="141"/>
      <c r="AF694" s="141"/>
      <c r="AG694" s="141"/>
      <c r="AH694" s="141"/>
      <c r="AI694" s="141"/>
      <c r="AJ694" s="140"/>
    </row>
    <row r="695" spans="1:36">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1"/>
      <c r="X695" s="141"/>
      <c r="Y695" s="141"/>
      <c r="Z695" s="141"/>
      <c r="AA695" s="141"/>
      <c r="AB695" s="141"/>
      <c r="AC695" s="141"/>
      <c r="AD695" s="141"/>
      <c r="AE695" s="141"/>
      <c r="AF695" s="141"/>
      <c r="AG695" s="141"/>
      <c r="AH695" s="141"/>
      <c r="AI695" s="141"/>
      <c r="AJ695" s="140"/>
    </row>
    <row r="696" spans="1:36">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1"/>
      <c r="X696" s="141"/>
      <c r="Y696" s="141"/>
      <c r="Z696" s="141"/>
      <c r="AA696" s="141"/>
      <c r="AB696" s="141"/>
      <c r="AC696" s="141"/>
      <c r="AD696" s="141"/>
      <c r="AE696" s="141"/>
      <c r="AF696" s="141"/>
      <c r="AG696" s="141"/>
      <c r="AH696" s="141"/>
      <c r="AI696" s="141"/>
      <c r="AJ696" s="140"/>
    </row>
    <row r="697" spans="1:36">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1"/>
      <c r="X697" s="141"/>
      <c r="Y697" s="141"/>
      <c r="Z697" s="141"/>
      <c r="AA697" s="141"/>
      <c r="AB697" s="141"/>
      <c r="AC697" s="141"/>
      <c r="AD697" s="141"/>
      <c r="AE697" s="141"/>
      <c r="AF697" s="141"/>
      <c r="AG697" s="141"/>
      <c r="AH697" s="141"/>
      <c r="AI697" s="141"/>
      <c r="AJ697" s="140"/>
    </row>
    <row r="698" spans="1:36">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1"/>
      <c r="X698" s="141"/>
      <c r="Y698" s="141"/>
      <c r="Z698" s="141"/>
      <c r="AA698" s="141"/>
      <c r="AB698" s="141"/>
      <c r="AC698" s="141"/>
      <c r="AD698" s="141"/>
      <c r="AE698" s="141"/>
      <c r="AF698" s="141"/>
      <c r="AG698" s="141"/>
      <c r="AH698" s="141"/>
      <c r="AI698" s="141"/>
      <c r="AJ698" s="140"/>
    </row>
    <row r="699" spans="1:36">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1"/>
      <c r="X699" s="141"/>
      <c r="Y699" s="141"/>
      <c r="Z699" s="141"/>
      <c r="AA699" s="141"/>
      <c r="AB699" s="141"/>
      <c r="AC699" s="141"/>
      <c r="AD699" s="141"/>
      <c r="AE699" s="141"/>
      <c r="AF699" s="141"/>
      <c r="AG699" s="141"/>
      <c r="AH699" s="141"/>
      <c r="AI699" s="141"/>
      <c r="AJ699" s="140"/>
    </row>
    <row r="700" spans="1:36">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1"/>
      <c r="X700" s="141"/>
      <c r="Y700" s="141"/>
      <c r="Z700" s="141"/>
      <c r="AA700" s="141"/>
      <c r="AB700" s="141"/>
      <c r="AC700" s="141"/>
      <c r="AD700" s="141"/>
      <c r="AE700" s="141"/>
      <c r="AF700" s="141"/>
      <c r="AG700" s="141"/>
      <c r="AH700" s="141"/>
      <c r="AI700" s="141"/>
      <c r="AJ700" s="140"/>
    </row>
    <row r="701" spans="1:36">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1"/>
      <c r="X701" s="141"/>
      <c r="Y701" s="141"/>
      <c r="Z701" s="141"/>
      <c r="AA701" s="141"/>
      <c r="AB701" s="141"/>
      <c r="AC701" s="141"/>
      <c r="AD701" s="141"/>
      <c r="AE701" s="141"/>
      <c r="AF701" s="141"/>
      <c r="AG701" s="141"/>
      <c r="AH701" s="141"/>
      <c r="AI701" s="141"/>
      <c r="AJ701" s="140"/>
    </row>
    <row r="702" spans="1:36">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1"/>
      <c r="X702" s="141"/>
      <c r="Y702" s="141"/>
      <c r="Z702" s="141"/>
      <c r="AA702" s="141"/>
      <c r="AB702" s="141"/>
      <c r="AC702" s="141"/>
      <c r="AD702" s="141"/>
      <c r="AE702" s="141"/>
      <c r="AF702" s="141"/>
      <c r="AG702" s="141"/>
      <c r="AH702" s="141"/>
      <c r="AI702" s="141"/>
      <c r="AJ702" s="140"/>
    </row>
    <row r="703" spans="1:36">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1"/>
      <c r="X703" s="141"/>
      <c r="Y703" s="141"/>
      <c r="Z703" s="141"/>
      <c r="AA703" s="141"/>
      <c r="AB703" s="141"/>
      <c r="AC703" s="141"/>
      <c r="AD703" s="141"/>
      <c r="AE703" s="141"/>
      <c r="AF703" s="141"/>
      <c r="AG703" s="141"/>
      <c r="AH703" s="141"/>
      <c r="AI703" s="141"/>
      <c r="AJ703" s="140"/>
    </row>
    <row r="704" spans="1:36">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1"/>
      <c r="X704" s="141"/>
      <c r="Y704" s="141"/>
      <c r="Z704" s="141"/>
      <c r="AA704" s="141"/>
      <c r="AB704" s="141"/>
      <c r="AC704" s="141"/>
      <c r="AD704" s="141"/>
      <c r="AE704" s="141"/>
      <c r="AF704" s="141"/>
      <c r="AG704" s="141"/>
      <c r="AH704" s="141"/>
      <c r="AI704" s="141"/>
      <c r="AJ704" s="140"/>
    </row>
    <row r="705" spans="1:36">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1"/>
      <c r="X705" s="141"/>
      <c r="Y705" s="141"/>
      <c r="Z705" s="141"/>
      <c r="AA705" s="141"/>
      <c r="AB705" s="141"/>
      <c r="AC705" s="141"/>
      <c r="AD705" s="141"/>
      <c r="AE705" s="141"/>
      <c r="AF705" s="141"/>
      <c r="AG705" s="141"/>
      <c r="AH705" s="141"/>
      <c r="AI705" s="141"/>
      <c r="AJ705" s="140"/>
    </row>
    <row r="706" spans="1:36">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1"/>
      <c r="X706" s="141"/>
      <c r="Y706" s="141"/>
      <c r="Z706" s="141"/>
      <c r="AA706" s="141"/>
      <c r="AB706" s="141"/>
      <c r="AC706" s="141"/>
      <c r="AD706" s="141"/>
      <c r="AE706" s="141"/>
      <c r="AF706" s="141"/>
      <c r="AG706" s="141"/>
      <c r="AH706" s="141"/>
      <c r="AI706" s="141"/>
      <c r="AJ706" s="140"/>
    </row>
    <row r="707" spans="1:36">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1"/>
      <c r="X707" s="141"/>
      <c r="Y707" s="141"/>
      <c r="Z707" s="141"/>
      <c r="AA707" s="141"/>
      <c r="AB707" s="141"/>
      <c r="AC707" s="141"/>
      <c r="AD707" s="141"/>
      <c r="AE707" s="141"/>
      <c r="AF707" s="141"/>
      <c r="AG707" s="141"/>
      <c r="AH707" s="141"/>
      <c r="AI707" s="141"/>
      <c r="AJ707" s="140"/>
    </row>
    <row r="708" spans="1:36">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1"/>
      <c r="X708" s="141"/>
      <c r="Y708" s="141"/>
      <c r="Z708" s="141"/>
      <c r="AA708" s="141"/>
      <c r="AB708" s="141"/>
      <c r="AC708" s="141"/>
      <c r="AD708" s="141"/>
      <c r="AE708" s="141"/>
      <c r="AF708" s="141"/>
      <c r="AG708" s="141"/>
      <c r="AH708" s="141"/>
      <c r="AI708" s="141"/>
      <c r="AJ708" s="140"/>
    </row>
    <row r="709" spans="1:36">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1"/>
      <c r="X709" s="141"/>
      <c r="Y709" s="141"/>
      <c r="Z709" s="141"/>
      <c r="AA709" s="141"/>
      <c r="AB709" s="141"/>
      <c r="AC709" s="141"/>
      <c r="AD709" s="141"/>
      <c r="AE709" s="141"/>
      <c r="AF709" s="141"/>
      <c r="AG709" s="141"/>
      <c r="AH709" s="141"/>
      <c r="AI709" s="141"/>
      <c r="AJ709" s="140"/>
    </row>
    <row r="710" spans="1:36">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1"/>
      <c r="X710" s="141"/>
      <c r="Y710" s="141"/>
      <c r="Z710" s="141"/>
      <c r="AA710" s="141"/>
      <c r="AB710" s="141"/>
      <c r="AC710" s="141"/>
      <c r="AD710" s="141"/>
      <c r="AE710" s="141"/>
      <c r="AF710" s="141"/>
      <c r="AG710" s="141"/>
      <c r="AH710" s="141"/>
      <c r="AI710" s="141"/>
      <c r="AJ710" s="140"/>
    </row>
    <row r="711" spans="1:36">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1"/>
      <c r="X711" s="141"/>
      <c r="Y711" s="141"/>
      <c r="Z711" s="141"/>
      <c r="AA711" s="141"/>
      <c r="AB711" s="141"/>
      <c r="AC711" s="141"/>
      <c r="AD711" s="141"/>
      <c r="AE711" s="141"/>
      <c r="AF711" s="141"/>
      <c r="AG711" s="141"/>
      <c r="AH711" s="141"/>
      <c r="AI711" s="141"/>
      <c r="AJ711" s="140"/>
    </row>
    <row r="712" spans="1:36">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1"/>
      <c r="X712" s="141"/>
      <c r="Y712" s="141"/>
      <c r="Z712" s="141"/>
      <c r="AA712" s="141"/>
      <c r="AB712" s="141"/>
      <c r="AC712" s="141"/>
      <c r="AD712" s="141"/>
      <c r="AE712" s="141"/>
      <c r="AF712" s="141"/>
      <c r="AG712" s="141"/>
      <c r="AH712" s="141"/>
      <c r="AI712" s="141"/>
      <c r="AJ712" s="140"/>
    </row>
    <row r="713" spans="1:36">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1"/>
      <c r="X713" s="141"/>
      <c r="Y713" s="141"/>
      <c r="Z713" s="141"/>
      <c r="AA713" s="141"/>
      <c r="AB713" s="141"/>
      <c r="AC713" s="141"/>
      <c r="AD713" s="141"/>
      <c r="AE713" s="141"/>
      <c r="AF713" s="141"/>
      <c r="AG713" s="141"/>
      <c r="AH713" s="141"/>
      <c r="AI713" s="141"/>
      <c r="AJ713" s="140"/>
    </row>
    <row r="714" spans="1:36">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1"/>
      <c r="X714" s="141"/>
      <c r="Y714" s="141"/>
      <c r="Z714" s="141"/>
      <c r="AA714" s="141"/>
      <c r="AB714" s="141"/>
      <c r="AC714" s="141"/>
      <c r="AD714" s="141"/>
      <c r="AE714" s="141"/>
      <c r="AF714" s="141"/>
      <c r="AG714" s="141"/>
      <c r="AH714" s="141"/>
      <c r="AI714" s="141"/>
      <c r="AJ714" s="140"/>
    </row>
    <row r="715" spans="1:36">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1"/>
      <c r="X715" s="141"/>
      <c r="Y715" s="141"/>
      <c r="Z715" s="141"/>
      <c r="AA715" s="141"/>
      <c r="AB715" s="141"/>
      <c r="AC715" s="141"/>
      <c r="AD715" s="141"/>
      <c r="AE715" s="141"/>
      <c r="AF715" s="141"/>
      <c r="AG715" s="141"/>
      <c r="AH715" s="141"/>
      <c r="AI715" s="141"/>
      <c r="AJ715" s="140"/>
    </row>
    <row r="716" spans="1:36">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1"/>
      <c r="X716" s="141"/>
      <c r="Y716" s="141"/>
      <c r="Z716" s="141"/>
      <c r="AA716" s="141"/>
      <c r="AB716" s="141"/>
      <c r="AC716" s="141"/>
      <c r="AD716" s="141"/>
      <c r="AE716" s="141"/>
      <c r="AF716" s="141"/>
      <c r="AG716" s="141"/>
      <c r="AH716" s="141"/>
      <c r="AI716" s="141"/>
      <c r="AJ716" s="140"/>
    </row>
    <row r="717" spans="1:36">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1"/>
      <c r="X717" s="141"/>
      <c r="Y717" s="141"/>
      <c r="Z717" s="141"/>
      <c r="AA717" s="141"/>
      <c r="AB717" s="141"/>
      <c r="AC717" s="141"/>
      <c r="AD717" s="141"/>
      <c r="AE717" s="141"/>
      <c r="AF717" s="141"/>
      <c r="AG717" s="141"/>
      <c r="AH717" s="141"/>
      <c r="AI717" s="141"/>
      <c r="AJ717" s="140"/>
    </row>
    <row r="718" spans="1:36">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1"/>
      <c r="X718" s="141"/>
      <c r="Y718" s="141"/>
      <c r="Z718" s="141"/>
      <c r="AA718" s="141"/>
      <c r="AB718" s="141"/>
      <c r="AC718" s="141"/>
      <c r="AD718" s="141"/>
      <c r="AE718" s="141"/>
      <c r="AF718" s="141"/>
      <c r="AG718" s="141"/>
      <c r="AH718" s="141"/>
      <c r="AI718" s="141"/>
      <c r="AJ718" s="140"/>
    </row>
    <row r="719" spans="1:36">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1"/>
      <c r="X719" s="141"/>
      <c r="Y719" s="141"/>
      <c r="Z719" s="141"/>
      <c r="AA719" s="141"/>
      <c r="AB719" s="141"/>
      <c r="AC719" s="141"/>
      <c r="AD719" s="141"/>
      <c r="AE719" s="141"/>
      <c r="AF719" s="141"/>
      <c r="AG719" s="141"/>
      <c r="AH719" s="141"/>
      <c r="AI719" s="141"/>
      <c r="AJ719" s="140"/>
    </row>
    <row r="720" spans="1:36">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1"/>
      <c r="X720" s="141"/>
      <c r="Y720" s="141"/>
      <c r="Z720" s="141"/>
      <c r="AA720" s="141"/>
      <c r="AB720" s="141"/>
      <c r="AC720" s="141"/>
      <c r="AD720" s="141"/>
      <c r="AE720" s="141"/>
      <c r="AF720" s="141"/>
      <c r="AG720" s="141"/>
      <c r="AH720" s="141"/>
      <c r="AI720" s="141"/>
      <c r="AJ720" s="140"/>
    </row>
    <row r="721" spans="1:36">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1"/>
      <c r="X721" s="141"/>
      <c r="Y721" s="141"/>
      <c r="Z721" s="141"/>
      <c r="AA721" s="141"/>
      <c r="AB721" s="141"/>
      <c r="AC721" s="141"/>
      <c r="AD721" s="141"/>
      <c r="AE721" s="141"/>
      <c r="AF721" s="141"/>
      <c r="AG721" s="141"/>
      <c r="AH721" s="141"/>
      <c r="AI721" s="141"/>
      <c r="AJ721" s="140"/>
    </row>
    <row r="722" spans="1:36">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1"/>
      <c r="X722" s="141"/>
      <c r="Y722" s="141"/>
      <c r="Z722" s="141"/>
      <c r="AA722" s="141"/>
      <c r="AB722" s="141"/>
      <c r="AC722" s="141"/>
      <c r="AD722" s="141"/>
      <c r="AE722" s="141"/>
      <c r="AF722" s="141"/>
      <c r="AG722" s="141"/>
      <c r="AH722" s="141"/>
      <c r="AI722" s="141"/>
      <c r="AJ722" s="140"/>
    </row>
    <row r="723" spans="1:36">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1"/>
      <c r="X723" s="141"/>
      <c r="Y723" s="141"/>
      <c r="Z723" s="141"/>
      <c r="AA723" s="141"/>
      <c r="AB723" s="141"/>
      <c r="AC723" s="141"/>
      <c r="AD723" s="141"/>
      <c r="AE723" s="141"/>
      <c r="AF723" s="141"/>
      <c r="AG723" s="141"/>
      <c r="AH723" s="141"/>
      <c r="AI723" s="141"/>
      <c r="AJ723" s="140"/>
    </row>
    <row r="724" spans="1:36">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1"/>
      <c r="X724" s="141"/>
      <c r="Y724" s="141"/>
      <c r="Z724" s="141"/>
      <c r="AA724" s="141"/>
      <c r="AB724" s="141"/>
      <c r="AC724" s="141"/>
      <c r="AD724" s="141"/>
      <c r="AE724" s="141"/>
      <c r="AF724" s="141"/>
      <c r="AG724" s="141"/>
      <c r="AH724" s="141"/>
      <c r="AI724" s="141"/>
      <c r="AJ724" s="140"/>
    </row>
    <row r="725" spans="1:36">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1"/>
      <c r="X725" s="141"/>
      <c r="Y725" s="141"/>
      <c r="Z725" s="141"/>
      <c r="AA725" s="141"/>
      <c r="AB725" s="141"/>
      <c r="AC725" s="141"/>
      <c r="AD725" s="141"/>
      <c r="AE725" s="141"/>
      <c r="AF725" s="141"/>
      <c r="AG725" s="141"/>
      <c r="AH725" s="141"/>
      <c r="AI725" s="141"/>
      <c r="AJ725" s="140"/>
    </row>
    <row r="726" spans="1:36">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1"/>
      <c r="X726" s="141"/>
      <c r="Y726" s="141"/>
      <c r="Z726" s="141"/>
      <c r="AA726" s="141"/>
      <c r="AB726" s="141"/>
      <c r="AC726" s="141"/>
      <c r="AD726" s="141"/>
      <c r="AE726" s="141"/>
      <c r="AF726" s="141"/>
      <c r="AG726" s="141"/>
      <c r="AH726" s="141"/>
      <c r="AI726" s="141"/>
      <c r="AJ726" s="140"/>
    </row>
    <row r="727" spans="1:36">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1"/>
      <c r="X727" s="141"/>
      <c r="Y727" s="141"/>
      <c r="Z727" s="141"/>
      <c r="AA727" s="141"/>
      <c r="AB727" s="141"/>
      <c r="AC727" s="141"/>
      <c r="AD727" s="141"/>
      <c r="AE727" s="141"/>
      <c r="AF727" s="141"/>
      <c r="AG727" s="141"/>
      <c r="AH727" s="141"/>
      <c r="AI727" s="141"/>
      <c r="AJ727" s="140"/>
    </row>
    <row r="728" spans="1:36">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1"/>
      <c r="X728" s="141"/>
      <c r="Y728" s="141"/>
      <c r="Z728" s="141"/>
      <c r="AA728" s="141"/>
      <c r="AB728" s="141"/>
      <c r="AC728" s="141"/>
      <c r="AD728" s="141"/>
      <c r="AE728" s="141"/>
      <c r="AF728" s="141"/>
      <c r="AG728" s="141"/>
      <c r="AH728" s="141"/>
      <c r="AI728" s="141"/>
      <c r="AJ728" s="140"/>
    </row>
    <row r="729" spans="1:36">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1"/>
      <c r="X729" s="141"/>
      <c r="Y729" s="141"/>
      <c r="Z729" s="141"/>
      <c r="AA729" s="141"/>
      <c r="AB729" s="141"/>
      <c r="AC729" s="141"/>
      <c r="AD729" s="141"/>
      <c r="AE729" s="141"/>
      <c r="AF729" s="141"/>
      <c r="AG729" s="141"/>
      <c r="AH729" s="141"/>
      <c r="AI729" s="141"/>
      <c r="AJ729" s="140"/>
    </row>
    <row r="730" spans="1:36">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1"/>
      <c r="X730" s="141"/>
      <c r="Y730" s="141"/>
      <c r="Z730" s="141"/>
      <c r="AA730" s="141"/>
      <c r="AB730" s="141"/>
      <c r="AC730" s="141"/>
      <c r="AD730" s="141"/>
      <c r="AE730" s="141"/>
      <c r="AF730" s="141"/>
      <c r="AG730" s="141"/>
      <c r="AH730" s="141"/>
      <c r="AI730" s="141"/>
      <c r="AJ730" s="140"/>
    </row>
    <row r="731" spans="1:36">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1"/>
      <c r="X731" s="141"/>
      <c r="Y731" s="141"/>
      <c r="Z731" s="141"/>
      <c r="AA731" s="141"/>
      <c r="AB731" s="141"/>
      <c r="AC731" s="141"/>
      <c r="AD731" s="141"/>
      <c r="AE731" s="141"/>
      <c r="AF731" s="141"/>
      <c r="AG731" s="141"/>
      <c r="AH731" s="141"/>
      <c r="AI731" s="141"/>
      <c r="AJ731" s="140"/>
    </row>
    <row r="732" spans="1:36">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1"/>
      <c r="X732" s="141"/>
      <c r="Y732" s="141"/>
      <c r="Z732" s="141"/>
      <c r="AA732" s="141"/>
      <c r="AB732" s="141"/>
      <c r="AC732" s="141"/>
      <c r="AD732" s="141"/>
      <c r="AE732" s="141"/>
      <c r="AF732" s="141"/>
      <c r="AG732" s="141"/>
      <c r="AH732" s="141"/>
      <c r="AI732" s="141"/>
      <c r="AJ732" s="140"/>
    </row>
    <row r="733" spans="1:36">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1"/>
      <c r="X733" s="141"/>
      <c r="Y733" s="141"/>
      <c r="Z733" s="141"/>
      <c r="AA733" s="141"/>
      <c r="AB733" s="141"/>
      <c r="AC733" s="141"/>
      <c r="AD733" s="141"/>
      <c r="AE733" s="141"/>
      <c r="AF733" s="141"/>
      <c r="AG733" s="141"/>
      <c r="AH733" s="141"/>
      <c r="AI733" s="141"/>
      <c r="AJ733" s="140"/>
    </row>
    <row r="734" spans="1:36">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1"/>
      <c r="X734" s="141"/>
      <c r="Y734" s="141"/>
      <c r="Z734" s="141"/>
      <c r="AA734" s="141"/>
      <c r="AB734" s="141"/>
      <c r="AC734" s="141"/>
      <c r="AD734" s="141"/>
      <c r="AE734" s="141"/>
      <c r="AF734" s="141"/>
      <c r="AG734" s="141"/>
      <c r="AH734" s="141"/>
      <c r="AI734" s="141"/>
      <c r="AJ734" s="140"/>
    </row>
    <row r="735" spans="1:36">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1"/>
      <c r="X735" s="141"/>
      <c r="Y735" s="141"/>
      <c r="Z735" s="141"/>
      <c r="AA735" s="141"/>
      <c r="AB735" s="141"/>
      <c r="AC735" s="141"/>
      <c r="AD735" s="141"/>
      <c r="AE735" s="141"/>
      <c r="AF735" s="141"/>
      <c r="AG735" s="141"/>
      <c r="AH735" s="141"/>
      <c r="AI735" s="141"/>
      <c r="AJ735" s="140"/>
    </row>
    <row r="736" spans="1:36">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1"/>
      <c r="X736" s="141"/>
      <c r="Y736" s="141"/>
      <c r="Z736" s="141"/>
      <c r="AA736" s="141"/>
      <c r="AB736" s="141"/>
      <c r="AC736" s="141"/>
      <c r="AD736" s="141"/>
      <c r="AE736" s="141"/>
      <c r="AF736" s="141"/>
      <c r="AG736" s="141"/>
      <c r="AH736" s="141"/>
      <c r="AI736" s="141"/>
      <c r="AJ736" s="140"/>
    </row>
    <row r="737" spans="1:36">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1"/>
      <c r="X737" s="141"/>
      <c r="Y737" s="141"/>
      <c r="Z737" s="141"/>
      <c r="AA737" s="141"/>
      <c r="AB737" s="141"/>
      <c r="AC737" s="141"/>
      <c r="AD737" s="141"/>
      <c r="AE737" s="141"/>
      <c r="AF737" s="141"/>
      <c r="AG737" s="141"/>
      <c r="AH737" s="141"/>
      <c r="AI737" s="141"/>
      <c r="AJ737" s="140"/>
    </row>
    <row r="738" spans="1:36">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1"/>
      <c r="X738" s="141"/>
      <c r="Y738" s="141"/>
      <c r="Z738" s="141"/>
      <c r="AA738" s="141"/>
      <c r="AB738" s="141"/>
      <c r="AC738" s="141"/>
      <c r="AD738" s="141"/>
      <c r="AE738" s="141"/>
      <c r="AF738" s="141"/>
      <c r="AG738" s="141"/>
      <c r="AH738" s="141"/>
      <c r="AI738" s="141"/>
      <c r="AJ738" s="140"/>
    </row>
    <row r="739" spans="1:36">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1"/>
      <c r="X739" s="141"/>
      <c r="Y739" s="141"/>
      <c r="Z739" s="141"/>
      <c r="AA739" s="141"/>
      <c r="AB739" s="141"/>
      <c r="AC739" s="141"/>
      <c r="AD739" s="141"/>
      <c r="AE739" s="141"/>
      <c r="AF739" s="141"/>
      <c r="AG739" s="141"/>
      <c r="AH739" s="141"/>
      <c r="AI739" s="141"/>
      <c r="AJ739" s="140"/>
    </row>
    <row r="740" spans="1:36">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1"/>
      <c r="X740" s="141"/>
      <c r="Y740" s="141"/>
      <c r="Z740" s="141"/>
      <c r="AA740" s="141"/>
      <c r="AB740" s="141"/>
      <c r="AC740" s="141"/>
      <c r="AD740" s="141"/>
      <c r="AE740" s="141"/>
      <c r="AF740" s="141"/>
      <c r="AG740" s="141"/>
      <c r="AH740" s="141"/>
      <c r="AI740" s="141"/>
      <c r="AJ740" s="140"/>
    </row>
    <row r="741" spans="1:36">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1"/>
      <c r="X741" s="141"/>
      <c r="Y741" s="141"/>
      <c r="Z741" s="141"/>
      <c r="AA741" s="141"/>
      <c r="AB741" s="141"/>
      <c r="AC741" s="141"/>
      <c r="AD741" s="141"/>
      <c r="AE741" s="141"/>
      <c r="AF741" s="141"/>
      <c r="AG741" s="141"/>
      <c r="AH741" s="141"/>
      <c r="AI741" s="141"/>
      <c r="AJ741" s="140"/>
    </row>
    <row r="742" spans="1:36">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1"/>
      <c r="X742" s="141"/>
      <c r="Y742" s="141"/>
      <c r="Z742" s="141"/>
      <c r="AA742" s="141"/>
      <c r="AB742" s="141"/>
      <c r="AC742" s="141"/>
      <c r="AD742" s="141"/>
      <c r="AE742" s="141"/>
      <c r="AF742" s="141"/>
      <c r="AG742" s="141"/>
      <c r="AH742" s="141"/>
      <c r="AI742" s="141"/>
      <c r="AJ742" s="140"/>
    </row>
    <row r="743" spans="1:36">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1"/>
      <c r="X743" s="141"/>
      <c r="Y743" s="141"/>
      <c r="Z743" s="141"/>
      <c r="AA743" s="141"/>
      <c r="AB743" s="141"/>
      <c r="AC743" s="141"/>
      <c r="AD743" s="141"/>
      <c r="AE743" s="141"/>
      <c r="AF743" s="141"/>
      <c r="AG743" s="141"/>
      <c r="AH743" s="141"/>
      <c r="AI743" s="141"/>
      <c r="AJ743" s="140"/>
    </row>
    <row r="744" spans="1:36">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1"/>
      <c r="X744" s="141"/>
      <c r="Y744" s="141"/>
      <c r="Z744" s="141"/>
      <c r="AA744" s="141"/>
      <c r="AB744" s="141"/>
      <c r="AC744" s="141"/>
      <c r="AD744" s="141"/>
      <c r="AE744" s="141"/>
      <c r="AF744" s="141"/>
      <c r="AG744" s="141"/>
      <c r="AH744" s="141"/>
      <c r="AI744" s="141"/>
      <c r="AJ744" s="140"/>
    </row>
    <row r="745" spans="1:36">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1"/>
      <c r="X745" s="141"/>
      <c r="Y745" s="141"/>
      <c r="Z745" s="141"/>
      <c r="AA745" s="141"/>
      <c r="AB745" s="141"/>
      <c r="AC745" s="141"/>
      <c r="AD745" s="141"/>
      <c r="AE745" s="141"/>
      <c r="AF745" s="141"/>
      <c r="AG745" s="141"/>
      <c r="AH745" s="141"/>
      <c r="AI745" s="141"/>
      <c r="AJ745" s="140"/>
    </row>
    <row r="746" spans="1:36">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1"/>
      <c r="X746" s="141"/>
      <c r="Y746" s="141"/>
      <c r="Z746" s="141"/>
      <c r="AA746" s="141"/>
      <c r="AB746" s="141"/>
      <c r="AC746" s="141"/>
      <c r="AD746" s="141"/>
      <c r="AE746" s="141"/>
      <c r="AF746" s="141"/>
      <c r="AG746" s="141"/>
      <c r="AH746" s="141"/>
      <c r="AI746" s="141"/>
      <c r="AJ746" s="140"/>
    </row>
    <row r="747" spans="1:36">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1"/>
      <c r="X747" s="141"/>
      <c r="Y747" s="141"/>
      <c r="Z747" s="141"/>
      <c r="AA747" s="141"/>
      <c r="AB747" s="141"/>
      <c r="AC747" s="141"/>
      <c r="AD747" s="141"/>
      <c r="AE747" s="141"/>
      <c r="AF747" s="141"/>
      <c r="AG747" s="141"/>
      <c r="AH747" s="141"/>
      <c r="AI747" s="141"/>
      <c r="AJ747" s="140"/>
    </row>
    <row r="748" spans="1:36">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1"/>
      <c r="X748" s="141"/>
      <c r="Y748" s="141"/>
      <c r="Z748" s="141"/>
      <c r="AA748" s="141"/>
      <c r="AB748" s="141"/>
      <c r="AC748" s="141"/>
      <c r="AD748" s="141"/>
      <c r="AE748" s="141"/>
      <c r="AF748" s="141"/>
      <c r="AG748" s="141"/>
      <c r="AH748" s="141"/>
      <c r="AI748" s="141"/>
      <c r="AJ748" s="140"/>
    </row>
    <row r="749" spans="1:36">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1"/>
      <c r="X749" s="141"/>
      <c r="Y749" s="141"/>
      <c r="Z749" s="141"/>
      <c r="AA749" s="141"/>
      <c r="AB749" s="141"/>
      <c r="AC749" s="141"/>
      <c r="AD749" s="141"/>
      <c r="AE749" s="141"/>
      <c r="AF749" s="141"/>
      <c r="AG749" s="141"/>
      <c r="AH749" s="141"/>
      <c r="AI749" s="141"/>
      <c r="AJ749" s="140"/>
    </row>
    <row r="750" spans="1:36">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1"/>
      <c r="X750" s="141"/>
      <c r="Y750" s="141"/>
      <c r="Z750" s="141"/>
      <c r="AA750" s="141"/>
      <c r="AB750" s="141"/>
      <c r="AC750" s="141"/>
      <c r="AD750" s="141"/>
      <c r="AE750" s="141"/>
      <c r="AF750" s="141"/>
      <c r="AG750" s="141"/>
      <c r="AH750" s="141"/>
      <c r="AI750" s="141"/>
      <c r="AJ750" s="140"/>
    </row>
    <row r="751" spans="1:36">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1"/>
      <c r="X751" s="141"/>
      <c r="Y751" s="141"/>
      <c r="Z751" s="141"/>
      <c r="AA751" s="141"/>
      <c r="AB751" s="141"/>
      <c r="AC751" s="141"/>
      <c r="AD751" s="141"/>
      <c r="AE751" s="141"/>
      <c r="AF751" s="141"/>
      <c r="AG751" s="141"/>
      <c r="AH751" s="141"/>
      <c r="AI751" s="141"/>
      <c r="AJ751" s="140"/>
    </row>
    <row r="752" spans="1:36">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1"/>
      <c r="X752" s="141"/>
      <c r="Y752" s="141"/>
      <c r="Z752" s="141"/>
      <c r="AA752" s="141"/>
      <c r="AB752" s="141"/>
      <c r="AC752" s="141"/>
      <c r="AD752" s="141"/>
      <c r="AE752" s="141"/>
      <c r="AF752" s="141"/>
      <c r="AG752" s="141"/>
      <c r="AH752" s="141"/>
      <c r="AI752" s="141"/>
      <c r="AJ752" s="140"/>
    </row>
    <row r="753" spans="1:36">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1"/>
      <c r="X753" s="141"/>
      <c r="Y753" s="141"/>
      <c r="Z753" s="141"/>
      <c r="AA753" s="141"/>
      <c r="AB753" s="141"/>
      <c r="AC753" s="141"/>
      <c r="AD753" s="141"/>
      <c r="AE753" s="141"/>
      <c r="AF753" s="141"/>
      <c r="AG753" s="141"/>
      <c r="AH753" s="141"/>
      <c r="AI753" s="141"/>
      <c r="AJ753" s="140"/>
    </row>
    <row r="754" spans="1:36">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1"/>
      <c r="X754" s="141"/>
      <c r="Y754" s="141"/>
      <c r="Z754" s="141"/>
      <c r="AA754" s="141"/>
      <c r="AB754" s="141"/>
      <c r="AC754" s="141"/>
      <c r="AD754" s="141"/>
      <c r="AE754" s="141"/>
      <c r="AF754" s="141"/>
      <c r="AG754" s="141"/>
      <c r="AH754" s="141"/>
      <c r="AI754" s="141"/>
      <c r="AJ754" s="140"/>
    </row>
    <row r="755" spans="1:36">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1"/>
      <c r="X755" s="141"/>
      <c r="Y755" s="141"/>
      <c r="Z755" s="141"/>
      <c r="AA755" s="141"/>
      <c r="AB755" s="141"/>
      <c r="AC755" s="141"/>
      <c r="AD755" s="141"/>
      <c r="AE755" s="141"/>
      <c r="AF755" s="141"/>
      <c r="AG755" s="141"/>
      <c r="AH755" s="141"/>
      <c r="AI755" s="141"/>
      <c r="AJ755" s="140"/>
    </row>
    <row r="756" spans="1:36">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1"/>
      <c r="X756" s="141"/>
      <c r="Y756" s="141"/>
      <c r="Z756" s="141"/>
      <c r="AA756" s="141"/>
      <c r="AB756" s="141"/>
      <c r="AC756" s="141"/>
      <c r="AD756" s="141"/>
      <c r="AE756" s="141"/>
      <c r="AF756" s="141"/>
      <c r="AG756" s="141"/>
      <c r="AH756" s="141"/>
      <c r="AI756" s="141"/>
      <c r="AJ756" s="140"/>
    </row>
    <row r="757" spans="1:36">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1"/>
      <c r="X757" s="141"/>
      <c r="Y757" s="141"/>
      <c r="Z757" s="141"/>
      <c r="AA757" s="141"/>
      <c r="AB757" s="141"/>
      <c r="AC757" s="141"/>
      <c r="AD757" s="141"/>
      <c r="AE757" s="141"/>
      <c r="AF757" s="141"/>
      <c r="AG757" s="141"/>
      <c r="AH757" s="141"/>
      <c r="AI757" s="141"/>
      <c r="AJ757" s="140"/>
    </row>
    <row r="758" spans="1:36">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1"/>
      <c r="X758" s="141"/>
      <c r="Y758" s="141"/>
      <c r="Z758" s="141"/>
      <c r="AA758" s="141"/>
      <c r="AB758" s="141"/>
      <c r="AC758" s="141"/>
      <c r="AD758" s="141"/>
      <c r="AE758" s="141"/>
      <c r="AF758" s="141"/>
      <c r="AG758" s="141"/>
      <c r="AH758" s="141"/>
      <c r="AI758" s="141"/>
      <c r="AJ758" s="140"/>
    </row>
    <row r="759" spans="1:36">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1"/>
      <c r="X759" s="141"/>
      <c r="Y759" s="141"/>
      <c r="Z759" s="141"/>
      <c r="AA759" s="141"/>
      <c r="AB759" s="141"/>
      <c r="AC759" s="141"/>
      <c r="AD759" s="141"/>
      <c r="AE759" s="141"/>
      <c r="AF759" s="141"/>
      <c r="AG759" s="141"/>
      <c r="AH759" s="141"/>
      <c r="AI759" s="141"/>
      <c r="AJ759" s="140"/>
    </row>
    <row r="760" spans="1:36">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1"/>
      <c r="X760" s="141"/>
      <c r="Y760" s="141"/>
      <c r="Z760" s="141"/>
      <c r="AA760" s="141"/>
      <c r="AB760" s="141"/>
      <c r="AC760" s="141"/>
      <c r="AD760" s="141"/>
      <c r="AE760" s="141"/>
      <c r="AF760" s="141"/>
      <c r="AG760" s="141"/>
      <c r="AH760" s="141"/>
      <c r="AI760" s="141"/>
      <c r="AJ760" s="140"/>
    </row>
    <row r="761" spans="1:36">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1"/>
      <c r="X761" s="141"/>
      <c r="Y761" s="141"/>
      <c r="Z761" s="141"/>
      <c r="AA761" s="141"/>
      <c r="AB761" s="141"/>
      <c r="AC761" s="141"/>
      <c r="AD761" s="141"/>
      <c r="AE761" s="141"/>
      <c r="AF761" s="141"/>
      <c r="AG761" s="141"/>
      <c r="AH761" s="141"/>
      <c r="AI761" s="141"/>
      <c r="AJ761" s="140"/>
    </row>
    <row r="762" spans="1:36">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1"/>
      <c r="X762" s="141"/>
      <c r="Y762" s="141"/>
      <c r="Z762" s="141"/>
      <c r="AA762" s="141"/>
      <c r="AB762" s="141"/>
      <c r="AC762" s="141"/>
      <c r="AD762" s="141"/>
      <c r="AE762" s="141"/>
      <c r="AF762" s="141"/>
      <c r="AG762" s="141"/>
      <c r="AH762" s="141"/>
      <c r="AI762" s="141"/>
      <c r="AJ762" s="140"/>
    </row>
    <row r="763" spans="1:36">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1"/>
      <c r="X763" s="141"/>
      <c r="Y763" s="141"/>
      <c r="Z763" s="141"/>
      <c r="AA763" s="141"/>
      <c r="AB763" s="141"/>
      <c r="AC763" s="141"/>
      <c r="AD763" s="141"/>
      <c r="AE763" s="141"/>
      <c r="AF763" s="141"/>
      <c r="AG763" s="141"/>
      <c r="AH763" s="141"/>
      <c r="AI763" s="141"/>
      <c r="AJ763" s="140"/>
    </row>
    <row r="764" spans="1:36">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1"/>
      <c r="X764" s="141"/>
      <c r="Y764" s="141"/>
      <c r="Z764" s="141"/>
      <c r="AA764" s="141"/>
      <c r="AB764" s="141"/>
      <c r="AC764" s="141"/>
      <c r="AD764" s="141"/>
      <c r="AE764" s="141"/>
      <c r="AF764" s="141"/>
      <c r="AG764" s="141"/>
      <c r="AH764" s="141"/>
      <c r="AI764" s="141"/>
      <c r="AJ764" s="140"/>
    </row>
    <row r="765" spans="1:36">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1"/>
      <c r="X765" s="141"/>
      <c r="Y765" s="141"/>
      <c r="Z765" s="141"/>
      <c r="AA765" s="141"/>
      <c r="AB765" s="141"/>
      <c r="AC765" s="141"/>
      <c r="AD765" s="141"/>
      <c r="AE765" s="141"/>
      <c r="AF765" s="141"/>
      <c r="AG765" s="141"/>
      <c r="AH765" s="141"/>
      <c r="AI765" s="141"/>
      <c r="AJ765" s="140"/>
    </row>
    <row r="766" spans="1:36">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1"/>
      <c r="X766" s="141"/>
      <c r="Y766" s="141"/>
      <c r="Z766" s="141"/>
      <c r="AA766" s="141"/>
      <c r="AB766" s="141"/>
      <c r="AC766" s="141"/>
      <c r="AD766" s="141"/>
      <c r="AE766" s="141"/>
      <c r="AF766" s="141"/>
      <c r="AG766" s="141"/>
      <c r="AH766" s="141"/>
      <c r="AI766" s="141"/>
      <c r="AJ766" s="140"/>
    </row>
    <row r="767" spans="1:36">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1"/>
      <c r="X767" s="141"/>
      <c r="Y767" s="141"/>
      <c r="Z767" s="141"/>
      <c r="AA767" s="141"/>
      <c r="AB767" s="141"/>
      <c r="AC767" s="141"/>
      <c r="AD767" s="141"/>
      <c r="AE767" s="141"/>
      <c r="AF767" s="141"/>
      <c r="AG767" s="141"/>
      <c r="AH767" s="141"/>
      <c r="AI767" s="141"/>
      <c r="AJ767" s="140"/>
    </row>
    <row r="768" spans="1:36">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1"/>
      <c r="X768" s="141"/>
      <c r="Y768" s="141"/>
      <c r="Z768" s="141"/>
      <c r="AA768" s="141"/>
      <c r="AB768" s="141"/>
      <c r="AC768" s="141"/>
      <c r="AD768" s="141"/>
      <c r="AE768" s="141"/>
      <c r="AF768" s="141"/>
      <c r="AG768" s="141"/>
      <c r="AH768" s="141"/>
      <c r="AI768" s="141"/>
      <c r="AJ768" s="140"/>
    </row>
    <row r="769" spans="1:36">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1"/>
      <c r="X769" s="141"/>
      <c r="Y769" s="141"/>
      <c r="Z769" s="141"/>
      <c r="AA769" s="141"/>
      <c r="AB769" s="141"/>
      <c r="AC769" s="141"/>
      <c r="AD769" s="141"/>
      <c r="AE769" s="141"/>
      <c r="AF769" s="141"/>
      <c r="AG769" s="141"/>
      <c r="AH769" s="141"/>
      <c r="AI769" s="141"/>
      <c r="AJ769" s="140"/>
    </row>
    <row r="770" spans="1:36">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1"/>
      <c r="X770" s="141"/>
      <c r="Y770" s="141"/>
      <c r="Z770" s="141"/>
      <c r="AA770" s="141"/>
      <c r="AB770" s="141"/>
      <c r="AC770" s="141"/>
      <c r="AD770" s="141"/>
      <c r="AE770" s="141"/>
      <c r="AF770" s="141"/>
      <c r="AG770" s="141"/>
      <c r="AH770" s="141"/>
      <c r="AI770" s="141"/>
      <c r="AJ770" s="140"/>
    </row>
    <row r="771" spans="1:36">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1"/>
      <c r="X771" s="141"/>
      <c r="Y771" s="141"/>
      <c r="Z771" s="141"/>
      <c r="AA771" s="141"/>
      <c r="AB771" s="141"/>
      <c r="AC771" s="141"/>
      <c r="AD771" s="141"/>
      <c r="AE771" s="141"/>
      <c r="AF771" s="141"/>
      <c r="AG771" s="141"/>
      <c r="AH771" s="141"/>
      <c r="AI771" s="141"/>
      <c r="AJ771" s="140"/>
    </row>
    <row r="772" spans="1:36">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1"/>
      <c r="X772" s="141"/>
      <c r="Y772" s="141"/>
      <c r="Z772" s="141"/>
      <c r="AA772" s="141"/>
      <c r="AB772" s="141"/>
      <c r="AC772" s="141"/>
      <c r="AD772" s="141"/>
      <c r="AE772" s="141"/>
      <c r="AF772" s="141"/>
      <c r="AG772" s="141"/>
      <c r="AH772" s="141"/>
      <c r="AI772" s="141"/>
      <c r="AJ772" s="140"/>
    </row>
    <row r="773" spans="1:36">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1"/>
      <c r="X773" s="141"/>
      <c r="Y773" s="141"/>
      <c r="Z773" s="141"/>
      <c r="AA773" s="141"/>
      <c r="AB773" s="141"/>
      <c r="AC773" s="141"/>
      <c r="AD773" s="141"/>
      <c r="AE773" s="141"/>
      <c r="AF773" s="141"/>
      <c r="AG773" s="141"/>
      <c r="AH773" s="141"/>
      <c r="AI773" s="141"/>
      <c r="AJ773" s="140"/>
    </row>
    <row r="774" spans="1:36">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1"/>
      <c r="X774" s="141"/>
      <c r="Y774" s="141"/>
      <c r="Z774" s="141"/>
      <c r="AA774" s="141"/>
      <c r="AB774" s="141"/>
      <c r="AC774" s="141"/>
      <c r="AD774" s="141"/>
      <c r="AE774" s="141"/>
      <c r="AF774" s="141"/>
      <c r="AG774" s="141"/>
      <c r="AH774" s="141"/>
      <c r="AI774" s="141"/>
      <c r="AJ774" s="140"/>
    </row>
    <row r="775" spans="1:36">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1"/>
      <c r="X775" s="141"/>
      <c r="Y775" s="141"/>
      <c r="Z775" s="141"/>
      <c r="AA775" s="141"/>
      <c r="AB775" s="141"/>
      <c r="AC775" s="141"/>
      <c r="AD775" s="141"/>
      <c r="AE775" s="141"/>
      <c r="AF775" s="141"/>
      <c r="AG775" s="141"/>
      <c r="AH775" s="141"/>
      <c r="AI775" s="141"/>
      <c r="AJ775" s="140"/>
    </row>
    <row r="776" spans="1:36">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1"/>
      <c r="X776" s="141"/>
      <c r="Y776" s="141"/>
      <c r="Z776" s="141"/>
      <c r="AA776" s="141"/>
      <c r="AB776" s="141"/>
      <c r="AC776" s="141"/>
      <c r="AD776" s="141"/>
      <c r="AE776" s="141"/>
      <c r="AF776" s="141"/>
      <c r="AG776" s="141"/>
      <c r="AH776" s="141"/>
      <c r="AI776" s="141"/>
      <c r="AJ776" s="140"/>
    </row>
    <row r="777" spans="1:36">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1"/>
      <c r="X777" s="141"/>
      <c r="Y777" s="141"/>
      <c r="Z777" s="141"/>
      <c r="AA777" s="141"/>
      <c r="AB777" s="141"/>
      <c r="AC777" s="141"/>
      <c r="AD777" s="141"/>
      <c r="AE777" s="141"/>
      <c r="AF777" s="141"/>
      <c r="AG777" s="141"/>
      <c r="AH777" s="141"/>
      <c r="AI777" s="141"/>
      <c r="AJ777" s="140"/>
    </row>
    <row r="778" spans="1:36">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1"/>
      <c r="X778" s="141"/>
      <c r="Y778" s="141"/>
      <c r="Z778" s="141"/>
      <c r="AA778" s="141"/>
      <c r="AB778" s="141"/>
      <c r="AC778" s="141"/>
      <c r="AD778" s="141"/>
      <c r="AE778" s="141"/>
      <c r="AF778" s="141"/>
      <c r="AG778" s="141"/>
      <c r="AH778" s="141"/>
      <c r="AI778" s="141"/>
      <c r="AJ778" s="140"/>
    </row>
    <row r="779" spans="1:36">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1"/>
      <c r="X779" s="141"/>
      <c r="Y779" s="141"/>
      <c r="Z779" s="141"/>
      <c r="AA779" s="141"/>
      <c r="AB779" s="141"/>
      <c r="AC779" s="141"/>
      <c r="AD779" s="141"/>
      <c r="AE779" s="141"/>
      <c r="AF779" s="141"/>
      <c r="AG779" s="141"/>
      <c r="AH779" s="141"/>
      <c r="AI779" s="141"/>
      <c r="AJ779" s="140"/>
    </row>
    <row r="780" spans="1:36">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1"/>
      <c r="X780" s="141"/>
      <c r="Y780" s="141"/>
      <c r="Z780" s="141"/>
      <c r="AA780" s="141"/>
      <c r="AB780" s="141"/>
      <c r="AC780" s="141"/>
      <c r="AD780" s="141"/>
      <c r="AE780" s="141"/>
      <c r="AF780" s="141"/>
      <c r="AG780" s="141"/>
      <c r="AH780" s="141"/>
      <c r="AI780" s="141"/>
      <c r="AJ780" s="140"/>
    </row>
    <row r="781" spans="1:36">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1"/>
      <c r="X781" s="141"/>
      <c r="Y781" s="141"/>
      <c r="Z781" s="141"/>
      <c r="AA781" s="141"/>
      <c r="AB781" s="141"/>
      <c r="AC781" s="141"/>
      <c r="AD781" s="141"/>
      <c r="AE781" s="141"/>
      <c r="AF781" s="141"/>
      <c r="AG781" s="141"/>
      <c r="AH781" s="141"/>
      <c r="AI781" s="141"/>
      <c r="AJ781" s="140"/>
    </row>
    <row r="782" spans="1:36">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1"/>
      <c r="X782" s="141"/>
      <c r="Y782" s="141"/>
      <c r="Z782" s="141"/>
      <c r="AA782" s="141"/>
      <c r="AB782" s="141"/>
      <c r="AC782" s="141"/>
      <c r="AD782" s="141"/>
      <c r="AE782" s="141"/>
      <c r="AF782" s="141"/>
      <c r="AG782" s="141"/>
      <c r="AH782" s="141"/>
      <c r="AI782" s="141"/>
      <c r="AJ782" s="140"/>
    </row>
    <row r="783" spans="1:36">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1"/>
      <c r="X783" s="141"/>
      <c r="Y783" s="141"/>
      <c r="Z783" s="141"/>
      <c r="AA783" s="141"/>
      <c r="AB783" s="141"/>
      <c r="AC783" s="141"/>
      <c r="AD783" s="141"/>
      <c r="AE783" s="141"/>
      <c r="AF783" s="141"/>
      <c r="AG783" s="141"/>
      <c r="AH783" s="141"/>
      <c r="AI783" s="141"/>
      <c r="AJ783" s="140"/>
    </row>
    <row r="784" spans="1:36">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1"/>
      <c r="X784" s="141"/>
      <c r="Y784" s="141"/>
      <c r="Z784" s="141"/>
      <c r="AA784" s="141"/>
      <c r="AB784" s="141"/>
      <c r="AC784" s="141"/>
      <c r="AD784" s="141"/>
      <c r="AE784" s="141"/>
      <c r="AF784" s="141"/>
      <c r="AG784" s="141"/>
      <c r="AH784" s="141"/>
      <c r="AI784" s="141"/>
      <c r="AJ784" s="140"/>
    </row>
    <row r="785" spans="1:36">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1"/>
      <c r="X785" s="141"/>
      <c r="Y785" s="141"/>
      <c r="Z785" s="141"/>
      <c r="AA785" s="141"/>
      <c r="AB785" s="141"/>
      <c r="AC785" s="141"/>
      <c r="AD785" s="141"/>
      <c r="AE785" s="141"/>
      <c r="AF785" s="141"/>
      <c r="AG785" s="141"/>
      <c r="AH785" s="141"/>
      <c r="AI785" s="141"/>
      <c r="AJ785" s="140"/>
    </row>
    <row r="786" spans="1:36">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1"/>
      <c r="X786" s="141"/>
      <c r="Y786" s="141"/>
      <c r="Z786" s="141"/>
      <c r="AA786" s="141"/>
      <c r="AB786" s="141"/>
      <c r="AC786" s="141"/>
      <c r="AD786" s="141"/>
      <c r="AE786" s="141"/>
      <c r="AF786" s="141"/>
      <c r="AG786" s="141"/>
      <c r="AH786" s="141"/>
      <c r="AI786" s="141"/>
      <c r="AJ786" s="140"/>
    </row>
    <row r="787" spans="1:36">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1"/>
      <c r="X787" s="141"/>
      <c r="Y787" s="141"/>
      <c r="Z787" s="141"/>
      <c r="AA787" s="141"/>
      <c r="AB787" s="141"/>
      <c r="AC787" s="141"/>
      <c r="AD787" s="141"/>
      <c r="AE787" s="141"/>
      <c r="AF787" s="141"/>
      <c r="AG787" s="141"/>
      <c r="AH787" s="141"/>
      <c r="AI787" s="141"/>
      <c r="AJ787" s="140"/>
    </row>
    <row r="788" spans="1:36">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1"/>
      <c r="X788" s="141"/>
      <c r="Y788" s="141"/>
      <c r="Z788" s="141"/>
      <c r="AA788" s="141"/>
      <c r="AB788" s="141"/>
      <c r="AC788" s="141"/>
      <c r="AD788" s="141"/>
      <c r="AE788" s="141"/>
      <c r="AF788" s="141"/>
      <c r="AG788" s="141"/>
      <c r="AH788" s="141"/>
      <c r="AI788" s="141"/>
      <c r="AJ788" s="140"/>
    </row>
    <row r="789" spans="1:36">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1"/>
      <c r="X789" s="141"/>
      <c r="Y789" s="141"/>
      <c r="Z789" s="141"/>
      <c r="AA789" s="141"/>
      <c r="AB789" s="141"/>
      <c r="AC789" s="141"/>
      <c r="AD789" s="141"/>
      <c r="AE789" s="141"/>
      <c r="AF789" s="141"/>
      <c r="AG789" s="141"/>
      <c r="AH789" s="141"/>
      <c r="AI789" s="141"/>
      <c r="AJ789" s="140"/>
    </row>
    <row r="790" spans="1:36">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1"/>
      <c r="X790" s="141"/>
      <c r="Y790" s="141"/>
      <c r="Z790" s="141"/>
      <c r="AA790" s="141"/>
      <c r="AB790" s="141"/>
      <c r="AC790" s="141"/>
      <c r="AD790" s="141"/>
      <c r="AE790" s="141"/>
      <c r="AF790" s="141"/>
      <c r="AG790" s="141"/>
      <c r="AH790" s="141"/>
      <c r="AI790" s="141"/>
      <c r="AJ790" s="140"/>
    </row>
    <row r="791" spans="1:36">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1"/>
      <c r="X791" s="141"/>
      <c r="Y791" s="141"/>
      <c r="Z791" s="141"/>
      <c r="AA791" s="141"/>
      <c r="AB791" s="141"/>
      <c r="AC791" s="141"/>
      <c r="AD791" s="141"/>
      <c r="AE791" s="141"/>
      <c r="AF791" s="141"/>
      <c r="AG791" s="141"/>
      <c r="AH791" s="141"/>
      <c r="AI791" s="141"/>
      <c r="AJ791" s="140"/>
    </row>
    <row r="792" spans="1:36">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1"/>
      <c r="X792" s="141"/>
      <c r="Y792" s="141"/>
      <c r="Z792" s="141"/>
      <c r="AA792" s="141"/>
      <c r="AB792" s="141"/>
      <c r="AC792" s="141"/>
      <c r="AD792" s="141"/>
      <c r="AE792" s="141"/>
      <c r="AF792" s="141"/>
      <c r="AG792" s="141"/>
      <c r="AH792" s="141"/>
      <c r="AI792" s="141"/>
      <c r="AJ792" s="140"/>
    </row>
    <row r="793" spans="1:36">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1"/>
      <c r="X793" s="141"/>
      <c r="Y793" s="141"/>
      <c r="Z793" s="141"/>
      <c r="AA793" s="141"/>
      <c r="AB793" s="141"/>
      <c r="AC793" s="141"/>
      <c r="AD793" s="141"/>
      <c r="AE793" s="141"/>
      <c r="AF793" s="141"/>
      <c r="AG793" s="141"/>
      <c r="AH793" s="141"/>
      <c r="AI793" s="141"/>
      <c r="AJ793" s="140"/>
    </row>
    <row r="794" spans="1:36">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1"/>
      <c r="X794" s="141"/>
      <c r="Y794" s="141"/>
      <c r="Z794" s="141"/>
      <c r="AA794" s="141"/>
      <c r="AB794" s="141"/>
      <c r="AC794" s="141"/>
      <c r="AD794" s="141"/>
      <c r="AE794" s="141"/>
      <c r="AF794" s="141"/>
      <c r="AG794" s="141"/>
      <c r="AH794" s="141"/>
      <c r="AI794" s="141"/>
      <c r="AJ794" s="140"/>
    </row>
    <row r="795" spans="1:36">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1"/>
      <c r="X795" s="141"/>
      <c r="Y795" s="141"/>
      <c r="Z795" s="141"/>
      <c r="AA795" s="141"/>
      <c r="AB795" s="141"/>
      <c r="AC795" s="141"/>
      <c r="AD795" s="141"/>
      <c r="AE795" s="141"/>
      <c r="AF795" s="141"/>
      <c r="AG795" s="141"/>
      <c r="AH795" s="141"/>
      <c r="AI795" s="141"/>
      <c r="AJ795" s="140"/>
    </row>
    <row r="796" spans="1:36">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1"/>
      <c r="X796" s="141"/>
      <c r="Y796" s="141"/>
      <c r="Z796" s="141"/>
      <c r="AA796" s="141"/>
      <c r="AB796" s="141"/>
      <c r="AC796" s="141"/>
      <c r="AD796" s="141"/>
      <c r="AE796" s="141"/>
      <c r="AF796" s="141"/>
      <c r="AG796" s="141"/>
      <c r="AH796" s="141"/>
      <c r="AI796" s="141"/>
      <c r="AJ796" s="140"/>
    </row>
    <row r="797" spans="1:36">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1"/>
      <c r="X797" s="141"/>
      <c r="Y797" s="141"/>
      <c r="Z797" s="141"/>
      <c r="AA797" s="141"/>
      <c r="AB797" s="141"/>
      <c r="AC797" s="141"/>
      <c r="AD797" s="141"/>
      <c r="AE797" s="141"/>
      <c r="AF797" s="141"/>
      <c r="AG797" s="141"/>
      <c r="AH797" s="141"/>
      <c r="AI797" s="141"/>
      <c r="AJ797" s="140"/>
    </row>
    <row r="798" spans="1:36">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1"/>
      <c r="X798" s="141"/>
      <c r="Y798" s="141"/>
      <c r="Z798" s="141"/>
      <c r="AA798" s="141"/>
      <c r="AB798" s="141"/>
      <c r="AC798" s="141"/>
      <c r="AD798" s="141"/>
      <c r="AE798" s="141"/>
      <c r="AF798" s="141"/>
      <c r="AG798" s="141"/>
      <c r="AH798" s="141"/>
      <c r="AI798" s="141"/>
      <c r="AJ798" s="140"/>
    </row>
    <row r="799" spans="1:36">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1"/>
      <c r="X799" s="141"/>
      <c r="Y799" s="141"/>
      <c r="Z799" s="141"/>
      <c r="AA799" s="141"/>
      <c r="AB799" s="141"/>
      <c r="AC799" s="141"/>
      <c r="AD799" s="141"/>
      <c r="AE799" s="141"/>
      <c r="AF799" s="141"/>
      <c r="AG799" s="141"/>
      <c r="AH799" s="141"/>
      <c r="AI799" s="141"/>
      <c r="AJ799" s="140"/>
    </row>
    <row r="800" spans="1:36">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1"/>
      <c r="X800" s="141"/>
      <c r="Y800" s="141"/>
      <c r="Z800" s="141"/>
      <c r="AA800" s="141"/>
      <c r="AB800" s="141"/>
      <c r="AC800" s="141"/>
      <c r="AD800" s="141"/>
      <c r="AE800" s="141"/>
      <c r="AF800" s="141"/>
      <c r="AG800" s="141"/>
      <c r="AH800" s="141"/>
      <c r="AI800" s="141"/>
      <c r="AJ800" s="140"/>
    </row>
    <row r="801" spans="1:36">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1"/>
      <c r="X801" s="141"/>
      <c r="Y801" s="141"/>
      <c r="Z801" s="141"/>
      <c r="AA801" s="141"/>
      <c r="AB801" s="141"/>
      <c r="AC801" s="141"/>
      <c r="AD801" s="141"/>
      <c r="AE801" s="141"/>
      <c r="AF801" s="141"/>
      <c r="AG801" s="141"/>
      <c r="AH801" s="141"/>
      <c r="AI801" s="141"/>
      <c r="AJ801" s="140"/>
    </row>
    <row r="802" spans="1:36">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1"/>
      <c r="X802" s="141"/>
      <c r="Y802" s="141"/>
      <c r="Z802" s="141"/>
      <c r="AA802" s="141"/>
      <c r="AB802" s="141"/>
      <c r="AC802" s="141"/>
      <c r="AD802" s="141"/>
      <c r="AE802" s="141"/>
      <c r="AF802" s="141"/>
      <c r="AG802" s="141"/>
      <c r="AH802" s="141"/>
      <c r="AI802" s="141"/>
      <c r="AJ802" s="140"/>
    </row>
    <row r="803" spans="1:36">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1"/>
      <c r="X803" s="141"/>
      <c r="Y803" s="141"/>
      <c r="Z803" s="141"/>
      <c r="AA803" s="141"/>
      <c r="AB803" s="141"/>
      <c r="AC803" s="141"/>
      <c r="AD803" s="141"/>
      <c r="AE803" s="141"/>
      <c r="AF803" s="141"/>
      <c r="AG803" s="141"/>
      <c r="AH803" s="141"/>
      <c r="AI803" s="141"/>
      <c r="AJ803" s="140"/>
    </row>
    <row r="804" spans="1:36">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1"/>
      <c r="X804" s="141"/>
      <c r="Y804" s="141"/>
      <c r="Z804" s="141"/>
      <c r="AA804" s="141"/>
      <c r="AB804" s="141"/>
      <c r="AC804" s="141"/>
      <c r="AD804" s="141"/>
      <c r="AE804" s="141"/>
      <c r="AF804" s="141"/>
      <c r="AG804" s="141"/>
      <c r="AH804" s="141"/>
      <c r="AI804" s="141"/>
      <c r="AJ804" s="140"/>
    </row>
    <row r="805" spans="1:36">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1"/>
      <c r="X805" s="141"/>
      <c r="Y805" s="141"/>
      <c r="Z805" s="141"/>
      <c r="AA805" s="141"/>
      <c r="AB805" s="141"/>
      <c r="AC805" s="141"/>
      <c r="AD805" s="141"/>
      <c r="AE805" s="141"/>
      <c r="AF805" s="141"/>
      <c r="AG805" s="141"/>
      <c r="AH805" s="141"/>
      <c r="AI805" s="141"/>
      <c r="AJ805" s="140"/>
    </row>
    <row r="806" spans="1:36">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1"/>
      <c r="X806" s="141"/>
      <c r="Y806" s="141"/>
      <c r="Z806" s="141"/>
      <c r="AA806" s="141"/>
      <c r="AB806" s="141"/>
      <c r="AC806" s="141"/>
      <c r="AD806" s="141"/>
      <c r="AE806" s="141"/>
      <c r="AF806" s="141"/>
      <c r="AG806" s="141"/>
      <c r="AH806" s="141"/>
      <c r="AI806" s="141"/>
      <c r="AJ806" s="140"/>
    </row>
    <row r="807" spans="1:36">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1"/>
      <c r="X807" s="141"/>
      <c r="Y807" s="141"/>
      <c r="Z807" s="141"/>
      <c r="AA807" s="141"/>
      <c r="AB807" s="141"/>
      <c r="AC807" s="141"/>
      <c r="AD807" s="141"/>
      <c r="AE807" s="141"/>
      <c r="AF807" s="141"/>
      <c r="AG807" s="141"/>
      <c r="AH807" s="141"/>
      <c r="AI807" s="141"/>
      <c r="AJ807" s="140"/>
    </row>
    <row r="808" spans="1:36">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1"/>
      <c r="X808" s="141"/>
      <c r="Y808" s="141"/>
      <c r="Z808" s="141"/>
      <c r="AA808" s="141"/>
      <c r="AB808" s="141"/>
      <c r="AC808" s="141"/>
      <c r="AD808" s="141"/>
      <c r="AE808" s="141"/>
      <c r="AF808" s="141"/>
      <c r="AG808" s="141"/>
      <c r="AH808" s="141"/>
      <c r="AI808" s="141"/>
      <c r="AJ808" s="140"/>
    </row>
    <row r="809" spans="1:36">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1"/>
      <c r="X809" s="141"/>
      <c r="Y809" s="141"/>
      <c r="Z809" s="141"/>
      <c r="AA809" s="141"/>
      <c r="AB809" s="141"/>
      <c r="AC809" s="141"/>
      <c r="AD809" s="141"/>
      <c r="AE809" s="141"/>
      <c r="AF809" s="141"/>
      <c r="AG809" s="141"/>
      <c r="AH809" s="141"/>
      <c r="AI809" s="141"/>
      <c r="AJ809" s="140"/>
    </row>
    <row r="810" spans="1:36">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1"/>
      <c r="X810" s="141"/>
      <c r="Y810" s="141"/>
      <c r="Z810" s="141"/>
      <c r="AA810" s="141"/>
      <c r="AB810" s="141"/>
      <c r="AC810" s="141"/>
      <c r="AD810" s="141"/>
      <c r="AE810" s="141"/>
      <c r="AF810" s="141"/>
      <c r="AG810" s="141"/>
      <c r="AH810" s="141"/>
      <c r="AI810" s="141"/>
      <c r="AJ810" s="140"/>
    </row>
    <row r="811" spans="1:36">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1"/>
      <c r="X811" s="141"/>
      <c r="Y811" s="141"/>
      <c r="Z811" s="141"/>
      <c r="AA811" s="141"/>
      <c r="AB811" s="141"/>
      <c r="AC811" s="141"/>
      <c r="AD811" s="141"/>
      <c r="AE811" s="141"/>
      <c r="AF811" s="141"/>
      <c r="AG811" s="141"/>
      <c r="AH811" s="141"/>
      <c r="AI811" s="141"/>
      <c r="AJ811" s="140"/>
    </row>
    <row r="812" spans="1:36">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1"/>
      <c r="X812" s="141"/>
      <c r="Y812" s="141"/>
      <c r="Z812" s="141"/>
      <c r="AA812" s="141"/>
      <c r="AB812" s="141"/>
      <c r="AC812" s="141"/>
      <c r="AD812" s="141"/>
      <c r="AE812" s="141"/>
      <c r="AF812" s="141"/>
      <c r="AG812" s="141"/>
      <c r="AH812" s="141"/>
      <c r="AI812" s="141"/>
      <c r="AJ812" s="140"/>
    </row>
    <row r="813" spans="1:36">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1"/>
      <c r="X813" s="141"/>
      <c r="Y813" s="141"/>
      <c r="Z813" s="141"/>
      <c r="AA813" s="141"/>
      <c r="AB813" s="141"/>
      <c r="AC813" s="141"/>
      <c r="AD813" s="141"/>
      <c r="AE813" s="141"/>
      <c r="AF813" s="141"/>
      <c r="AG813" s="141"/>
      <c r="AH813" s="141"/>
      <c r="AI813" s="141"/>
      <c r="AJ813" s="140"/>
    </row>
    <row r="814" spans="1:36">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1"/>
      <c r="X814" s="141"/>
      <c r="Y814" s="141"/>
      <c r="Z814" s="141"/>
      <c r="AA814" s="141"/>
      <c r="AB814" s="141"/>
      <c r="AC814" s="141"/>
      <c r="AD814" s="141"/>
      <c r="AE814" s="141"/>
      <c r="AF814" s="141"/>
      <c r="AG814" s="141"/>
      <c r="AH814" s="141"/>
      <c r="AI814" s="141"/>
      <c r="AJ814" s="140"/>
    </row>
    <row r="815" spans="1:36">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1"/>
      <c r="X815" s="141"/>
      <c r="Y815" s="141"/>
      <c r="Z815" s="141"/>
      <c r="AA815" s="141"/>
      <c r="AB815" s="141"/>
      <c r="AC815" s="141"/>
      <c r="AD815" s="141"/>
      <c r="AE815" s="141"/>
      <c r="AF815" s="141"/>
      <c r="AG815" s="141"/>
      <c r="AH815" s="141"/>
      <c r="AI815" s="141"/>
      <c r="AJ815" s="140"/>
    </row>
    <row r="816" spans="1:36">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1"/>
      <c r="X816" s="141"/>
      <c r="Y816" s="141"/>
      <c r="Z816" s="141"/>
      <c r="AA816" s="141"/>
      <c r="AB816" s="141"/>
      <c r="AC816" s="141"/>
      <c r="AD816" s="141"/>
      <c r="AE816" s="141"/>
      <c r="AF816" s="141"/>
      <c r="AG816" s="141"/>
      <c r="AH816" s="141"/>
      <c r="AI816" s="141"/>
      <c r="AJ816" s="140"/>
    </row>
    <row r="817" spans="1:36">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1"/>
      <c r="X817" s="141"/>
      <c r="Y817" s="141"/>
      <c r="Z817" s="141"/>
      <c r="AA817" s="141"/>
      <c r="AB817" s="141"/>
      <c r="AC817" s="141"/>
      <c r="AD817" s="141"/>
      <c r="AE817" s="141"/>
      <c r="AF817" s="141"/>
      <c r="AG817" s="141"/>
      <c r="AH817" s="141"/>
      <c r="AI817" s="141"/>
      <c r="AJ817" s="140"/>
    </row>
    <row r="818" spans="1:36">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1"/>
      <c r="X818" s="141"/>
      <c r="Y818" s="141"/>
      <c r="Z818" s="141"/>
      <c r="AA818" s="141"/>
      <c r="AB818" s="141"/>
      <c r="AC818" s="141"/>
      <c r="AD818" s="141"/>
      <c r="AE818" s="141"/>
      <c r="AF818" s="141"/>
      <c r="AG818" s="141"/>
      <c r="AH818" s="141"/>
      <c r="AI818" s="141"/>
      <c r="AJ818" s="140"/>
    </row>
    <row r="819" spans="1:36">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1"/>
      <c r="X819" s="141"/>
      <c r="Y819" s="141"/>
      <c r="Z819" s="141"/>
      <c r="AA819" s="141"/>
      <c r="AB819" s="141"/>
      <c r="AC819" s="141"/>
      <c r="AD819" s="141"/>
      <c r="AE819" s="141"/>
      <c r="AF819" s="141"/>
      <c r="AG819" s="141"/>
      <c r="AH819" s="141"/>
      <c r="AI819" s="141"/>
      <c r="AJ819" s="140"/>
    </row>
    <row r="820" spans="1:36">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1"/>
      <c r="X820" s="141"/>
      <c r="Y820" s="141"/>
      <c r="Z820" s="141"/>
      <c r="AA820" s="141"/>
      <c r="AB820" s="141"/>
      <c r="AC820" s="141"/>
      <c r="AD820" s="141"/>
      <c r="AE820" s="141"/>
      <c r="AF820" s="141"/>
      <c r="AG820" s="141"/>
      <c r="AH820" s="141"/>
      <c r="AI820" s="141"/>
      <c r="AJ820" s="140"/>
    </row>
    <row r="821" spans="1:36">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1"/>
      <c r="X821" s="141"/>
      <c r="Y821" s="141"/>
      <c r="Z821" s="141"/>
      <c r="AA821" s="141"/>
      <c r="AB821" s="141"/>
      <c r="AC821" s="141"/>
      <c r="AD821" s="141"/>
      <c r="AE821" s="141"/>
      <c r="AF821" s="141"/>
      <c r="AG821" s="141"/>
      <c r="AH821" s="141"/>
      <c r="AI821" s="141"/>
      <c r="AJ821" s="140"/>
    </row>
    <row r="822" spans="1:36">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1"/>
      <c r="X822" s="141"/>
      <c r="Y822" s="141"/>
      <c r="Z822" s="141"/>
      <c r="AA822" s="141"/>
      <c r="AB822" s="141"/>
      <c r="AC822" s="141"/>
      <c r="AD822" s="141"/>
      <c r="AE822" s="141"/>
      <c r="AF822" s="141"/>
      <c r="AG822" s="141"/>
      <c r="AH822" s="141"/>
      <c r="AI822" s="141"/>
      <c r="AJ822" s="140"/>
    </row>
    <row r="823" spans="1:36">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1"/>
      <c r="X823" s="141"/>
      <c r="Y823" s="141"/>
      <c r="Z823" s="141"/>
      <c r="AA823" s="141"/>
      <c r="AB823" s="141"/>
      <c r="AC823" s="141"/>
      <c r="AD823" s="141"/>
      <c r="AE823" s="141"/>
      <c r="AF823" s="141"/>
      <c r="AG823" s="141"/>
      <c r="AH823" s="141"/>
      <c r="AI823" s="141"/>
      <c r="AJ823" s="140"/>
    </row>
    <row r="824" spans="1:36">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1"/>
      <c r="X824" s="141"/>
      <c r="Y824" s="141"/>
      <c r="Z824" s="141"/>
      <c r="AA824" s="141"/>
      <c r="AB824" s="141"/>
      <c r="AC824" s="141"/>
      <c r="AD824" s="141"/>
      <c r="AE824" s="141"/>
      <c r="AF824" s="141"/>
      <c r="AG824" s="141"/>
      <c r="AH824" s="141"/>
      <c r="AI824" s="141"/>
      <c r="AJ824" s="140"/>
    </row>
    <row r="825" spans="1:36">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1"/>
      <c r="X825" s="141"/>
      <c r="Y825" s="141"/>
      <c r="Z825" s="141"/>
      <c r="AA825" s="141"/>
      <c r="AB825" s="141"/>
      <c r="AC825" s="141"/>
      <c r="AD825" s="141"/>
      <c r="AE825" s="141"/>
      <c r="AF825" s="141"/>
      <c r="AG825" s="141"/>
      <c r="AH825" s="141"/>
      <c r="AI825" s="141"/>
      <c r="AJ825" s="140"/>
    </row>
    <row r="826" spans="1:36">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1"/>
      <c r="X826" s="141"/>
      <c r="Y826" s="141"/>
      <c r="Z826" s="141"/>
      <c r="AA826" s="141"/>
      <c r="AB826" s="141"/>
      <c r="AC826" s="141"/>
      <c r="AD826" s="141"/>
      <c r="AE826" s="141"/>
      <c r="AF826" s="141"/>
      <c r="AG826" s="141"/>
      <c r="AH826" s="141"/>
      <c r="AI826" s="141"/>
      <c r="AJ826" s="140"/>
    </row>
    <row r="827" spans="1:36">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1"/>
      <c r="X827" s="141"/>
      <c r="Y827" s="141"/>
      <c r="Z827" s="141"/>
      <c r="AA827" s="141"/>
      <c r="AB827" s="141"/>
      <c r="AC827" s="141"/>
      <c r="AD827" s="141"/>
      <c r="AE827" s="141"/>
      <c r="AF827" s="141"/>
      <c r="AG827" s="141"/>
      <c r="AH827" s="141"/>
      <c r="AI827" s="141"/>
      <c r="AJ827" s="140"/>
    </row>
    <row r="828" spans="1:36">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1"/>
      <c r="X828" s="141"/>
      <c r="Y828" s="141"/>
      <c r="Z828" s="141"/>
      <c r="AA828" s="141"/>
      <c r="AB828" s="141"/>
      <c r="AC828" s="141"/>
      <c r="AD828" s="141"/>
      <c r="AE828" s="141"/>
      <c r="AF828" s="141"/>
      <c r="AG828" s="141"/>
      <c r="AH828" s="141"/>
      <c r="AI828" s="141"/>
      <c r="AJ828" s="140"/>
    </row>
    <row r="829" spans="1:36">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1"/>
      <c r="X829" s="141"/>
      <c r="Y829" s="141"/>
      <c r="Z829" s="141"/>
      <c r="AA829" s="141"/>
      <c r="AB829" s="141"/>
      <c r="AC829" s="141"/>
      <c r="AD829" s="141"/>
      <c r="AE829" s="141"/>
      <c r="AF829" s="141"/>
      <c r="AG829" s="141"/>
      <c r="AH829" s="141"/>
      <c r="AI829" s="141"/>
      <c r="AJ829" s="140"/>
    </row>
    <row r="830" spans="1:36">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1"/>
      <c r="X830" s="141"/>
      <c r="Y830" s="141"/>
      <c r="Z830" s="141"/>
      <c r="AA830" s="141"/>
      <c r="AB830" s="141"/>
      <c r="AC830" s="141"/>
      <c r="AD830" s="141"/>
      <c r="AE830" s="141"/>
      <c r="AF830" s="141"/>
      <c r="AG830" s="141"/>
      <c r="AH830" s="141"/>
      <c r="AI830" s="141"/>
      <c r="AJ830" s="140"/>
    </row>
    <row r="831" spans="1:36">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1"/>
      <c r="X831" s="141"/>
      <c r="Y831" s="141"/>
      <c r="Z831" s="141"/>
      <c r="AA831" s="141"/>
      <c r="AB831" s="141"/>
      <c r="AC831" s="141"/>
      <c r="AD831" s="141"/>
      <c r="AE831" s="141"/>
      <c r="AF831" s="141"/>
      <c r="AG831" s="141"/>
      <c r="AH831" s="141"/>
      <c r="AI831" s="141"/>
      <c r="AJ831" s="140"/>
    </row>
    <row r="832" spans="1:36">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1"/>
      <c r="X832" s="141"/>
      <c r="Y832" s="141"/>
      <c r="Z832" s="141"/>
      <c r="AA832" s="141"/>
      <c r="AB832" s="141"/>
      <c r="AC832" s="141"/>
      <c r="AD832" s="141"/>
      <c r="AE832" s="141"/>
      <c r="AF832" s="141"/>
      <c r="AG832" s="141"/>
      <c r="AH832" s="141"/>
      <c r="AI832" s="141"/>
      <c r="AJ832" s="140"/>
    </row>
    <row r="833" spans="1:36">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1"/>
      <c r="X833" s="141"/>
      <c r="Y833" s="141"/>
      <c r="Z833" s="141"/>
      <c r="AA833" s="141"/>
      <c r="AB833" s="141"/>
      <c r="AC833" s="141"/>
      <c r="AD833" s="141"/>
      <c r="AE833" s="141"/>
      <c r="AF833" s="141"/>
      <c r="AG833" s="141"/>
      <c r="AH833" s="141"/>
      <c r="AI833" s="141"/>
      <c r="AJ833" s="140"/>
    </row>
    <row r="834" spans="1:36">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1"/>
      <c r="X834" s="141"/>
      <c r="Y834" s="141"/>
      <c r="Z834" s="141"/>
      <c r="AA834" s="141"/>
      <c r="AB834" s="141"/>
      <c r="AC834" s="141"/>
      <c r="AD834" s="141"/>
      <c r="AE834" s="141"/>
      <c r="AF834" s="141"/>
      <c r="AG834" s="141"/>
      <c r="AH834" s="141"/>
      <c r="AI834" s="141"/>
      <c r="AJ834" s="140"/>
    </row>
    <row r="835" spans="1:36">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1"/>
      <c r="X835" s="141"/>
      <c r="Y835" s="141"/>
      <c r="Z835" s="141"/>
      <c r="AA835" s="141"/>
      <c r="AB835" s="141"/>
      <c r="AC835" s="141"/>
      <c r="AD835" s="141"/>
      <c r="AE835" s="141"/>
      <c r="AF835" s="141"/>
      <c r="AG835" s="141"/>
      <c r="AH835" s="141"/>
      <c r="AI835" s="141"/>
      <c r="AJ835" s="140"/>
    </row>
    <row r="836" spans="1:36">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1"/>
      <c r="X836" s="141"/>
      <c r="Y836" s="141"/>
      <c r="Z836" s="141"/>
      <c r="AA836" s="141"/>
      <c r="AB836" s="141"/>
      <c r="AC836" s="141"/>
      <c r="AD836" s="141"/>
      <c r="AE836" s="141"/>
      <c r="AF836" s="141"/>
      <c r="AG836" s="141"/>
      <c r="AH836" s="141"/>
      <c r="AI836" s="141"/>
      <c r="AJ836" s="140"/>
    </row>
    <row r="837" spans="1:36">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1"/>
      <c r="X837" s="141"/>
      <c r="Y837" s="141"/>
      <c r="Z837" s="141"/>
      <c r="AA837" s="141"/>
      <c r="AB837" s="141"/>
      <c r="AC837" s="141"/>
      <c r="AD837" s="141"/>
      <c r="AE837" s="141"/>
      <c r="AF837" s="141"/>
      <c r="AG837" s="141"/>
      <c r="AH837" s="141"/>
      <c r="AI837" s="141"/>
      <c r="AJ837" s="140"/>
    </row>
    <row r="838" spans="1:36">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1"/>
      <c r="X838" s="141"/>
      <c r="Y838" s="141"/>
      <c r="Z838" s="141"/>
      <c r="AA838" s="141"/>
      <c r="AB838" s="141"/>
      <c r="AC838" s="141"/>
      <c r="AD838" s="141"/>
      <c r="AE838" s="141"/>
      <c r="AF838" s="141"/>
      <c r="AG838" s="141"/>
      <c r="AH838" s="141"/>
      <c r="AI838" s="141"/>
      <c r="AJ838" s="140"/>
    </row>
    <row r="839" spans="1:36">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1"/>
      <c r="X839" s="141"/>
      <c r="Y839" s="141"/>
      <c r="Z839" s="141"/>
      <c r="AA839" s="141"/>
      <c r="AB839" s="141"/>
      <c r="AC839" s="141"/>
      <c r="AD839" s="141"/>
      <c r="AE839" s="141"/>
      <c r="AF839" s="141"/>
      <c r="AG839" s="141"/>
      <c r="AH839" s="141"/>
      <c r="AI839" s="141"/>
      <c r="AJ839" s="140"/>
    </row>
    <row r="840" spans="1:36">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1"/>
      <c r="X840" s="141"/>
      <c r="Y840" s="141"/>
      <c r="Z840" s="141"/>
      <c r="AA840" s="141"/>
      <c r="AB840" s="141"/>
      <c r="AC840" s="141"/>
      <c r="AD840" s="141"/>
      <c r="AE840" s="141"/>
      <c r="AF840" s="141"/>
      <c r="AG840" s="141"/>
      <c r="AH840" s="141"/>
      <c r="AI840" s="141"/>
      <c r="AJ840" s="140"/>
    </row>
    <row r="841" spans="1:36">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1"/>
      <c r="X841" s="141"/>
      <c r="Y841" s="141"/>
      <c r="Z841" s="141"/>
      <c r="AA841" s="141"/>
      <c r="AB841" s="141"/>
      <c r="AC841" s="141"/>
      <c r="AD841" s="141"/>
      <c r="AE841" s="141"/>
      <c r="AF841" s="141"/>
      <c r="AG841" s="141"/>
      <c r="AH841" s="141"/>
      <c r="AI841" s="141"/>
      <c r="AJ841" s="140"/>
    </row>
    <row r="842" spans="1:36">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1"/>
      <c r="X842" s="141"/>
      <c r="Y842" s="141"/>
      <c r="Z842" s="141"/>
      <c r="AA842" s="141"/>
      <c r="AB842" s="141"/>
      <c r="AC842" s="141"/>
      <c r="AD842" s="141"/>
      <c r="AE842" s="141"/>
      <c r="AF842" s="141"/>
      <c r="AG842" s="141"/>
      <c r="AH842" s="141"/>
      <c r="AI842" s="141"/>
      <c r="AJ842" s="140"/>
    </row>
    <row r="843" spans="1:36">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1"/>
      <c r="X843" s="141"/>
      <c r="Y843" s="141"/>
      <c r="Z843" s="141"/>
      <c r="AA843" s="141"/>
      <c r="AB843" s="141"/>
      <c r="AC843" s="141"/>
      <c r="AD843" s="141"/>
      <c r="AE843" s="141"/>
      <c r="AF843" s="141"/>
      <c r="AG843" s="141"/>
      <c r="AH843" s="141"/>
      <c r="AI843" s="141"/>
      <c r="AJ843" s="140"/>
    </row>
    <row r="844" spans="1:36">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1"/>
      <c r="X844" s="141"/>
      <c r="Y844" s="141"/>
      <c r="Z844" s="141"/>
      <c r="AA844" s="141"/>
      <c r="AB844" s="141"/>
      <c r="AC844" s="141"/>
      <c r="AD844" s="141"/>
      <c r="AE844" s="141"/>
      <c r="AF844" s="141"/>
      <c r="AG844" s="141"/>
      <c r="AH844" s="141"/>
      <c r="AI844" s="141"/>
      <c r="AJ844" s="140"/>
    </row>
    <row r="845" spans="1:36">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1"/>
      <c r="X845" s="141"/>
      <c r="Y845" s="141"/>
      <c r="Z845" s="141"/>
      <c r="AA845" s="141"/>
      <c r="AB845" s="141"/>
      <c r="AC845" s="141"/>
      <c r="AD845" s="141"/>
      <c r="AE845" s="141"/>
      <c r="AF845" s="141"/>
      <c r="AG845" s="141"/>
      <c r="AH845" s="141"/>
      <c r="AI845" s="141"/>
      <c r="AJ845" s="140"/>
    </row>
    <row r="846" spans="1:36">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1"/>
      <c r="X846" s="141"/>
      <c r="Y846" s="141"/>
      <c r="Z846" s="141"/>
      <c r="AA846" s="141"/>
      <c r="AB846" s="141"/>
      <c r="AC846" s="141"/>
      <c r="AD846" s="141"/>
      <c r="AE846" s="141"/>
      <c r="AF846" s="141"/>
      <c r="AG846" s="141"/>
      <c r="AH846" s="141"/>
      <c r="AI846" s="141"/>
      <c r="AJ846" s="140"/>
    </row>
    <row r="847" spans="1:36">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1"/>
      <c r="X847" s="141"/>
      <c r="Y847" s="141"/>
      <c r="Z847" s="141"/>
      <c r="AA847" s="141"/>
      <c r="AB847" s="141"/>
      <c r="AC847" s="141"/>
      <c r="AD847" s="141"/>
      <c r="AE847" s="141"/>
      <c r="AF847" s="141"/>
      <c r="AG847" s="141"/>
      <c r="AH847" s="141"/>
      <c r="AI847" s="141"/>
      <c r="AJ847" s="140"/>
    </row>
    <row r="848" spans="1:36">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1"/>
      <c r="X848" s="141"/>
      <c r="Y848" s="141"/>
      <c r="Z848" s="141"/>
      <c r="AA848" s="141"/>
      <c r="AB848" s="141"/>
      <c r="AC848" s="141"/>
      <c r="AD848" s="141"/>
      <c r="AE848" s="141"/>
      <c r="AF848" s="141"/>
      <c r="AG848" s="141"/>
      <c r="AH848" s="141"/>
      <c r="AI848" s="141"/>
      <c r="AJ848" s="140"/>
    </row>
    <row r="849" spans="1:36">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1"/>
      <c r="X849" s="141"/>
      <c r="Y849" s="141"/>
      <c r="Z849" s="141"/>
      <c r="AA849" s="141"/>
      <c r="AB849" s="141"/>
      <c r="AC849" s="141"/>
      <c r="AD849" s="141"/>
      <c r="AE849" s="141"/>
      <c r="AF849" s="141"/>
      <c r="AG849" s="141"/>
      <c r="AH849" s="141"/>
      <c r="AI849" s="141"/>
      <c r="AJ849" s="140"/>
    </row>
    <row r="850" spans="1:36">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1"/>
      <c r="X850" s="141"/>
      <c r="Y850" s="141"/>
      <c r="Z850" s="141"/>
      <c r="AA850" s="141"/>
      <c r="AB850" s="141"/>
      <c r="AC850" s="141"/>
      <c r="AD850" s="141"/>
      <c r="AE850" s="141"/>
      <c r="AF850" s="141"/>
      <c r="AG850" s="141"/>
      <c r="AH850" s="141"/>
      <c r="AI850" s="141"/>
      <c r="AJ850" s="140"/>
    </row>
    <row r="851" spans="1:36">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1"/>
      <c r="X851" s="141"/>
      <c r="Y851" s="141"/>
      <c r="Z851" s="141"/>
      <c r="AA851" s="141"/>
      <c r="AB851" s="141"/>
      <c r="AC851" s="141"/>
      <c r="AD851" s="141"/>
      <c r="AE851" s="141"/>
      <c r="AF851" s="141"/>
      <c r="AG851" s="141"/>
      <c r="AH851" s="141"/>
      <c r="AI851" s="141"/>
      <c r="AJ851" s="140"/>
    </row>
    <row r="852" spans="1:36">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1"/>
      <c r="X852" s="141"/>
      <c r="Y852" s="141"/>
      <c r="Z852" s="141"/>
      <c r="AA852" s="141"/>
      <c r="AB852" s="141"/>
      <c r="AC852" s="141"/>
      <c r="AD852" s="141"/>
      <c r="AE852" s="141"/>
      <c r="AF852" s="141"/>
      <c r="AG852" s="141"/>
      <c r="AH852" s="141"/>
      <c r="AI852" s="141"/>
      <c r="AJ852" s="140"/>
    </row>
    <row r="853" spans="1:36">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1"/>
      <c r="X853" s="141"/>
      <c r="Y853" s="141"/>
      <c r="Z853" s="141"/>
      <c r="AA853" s="141"/>
      <c r="AB853" s="141"/>
      <c r="AC853" s="141"/>
      <c r="AD853" s="141"/>
      <c r="AE853" s="141"/>
      <c r="AF853" s="141"/>
      <c r="AG853" s="141"/>
      <c r="AH853" s="141"/>
      <c r="AI853" s="141"/>
      <c r="AJ853" s="140"/>
    </row>
    <row r="854" spans="1:36">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1"/>
      <c r="X854" s="141"/>
      <c r="Y854" s="141"/>
      <c r="Z854" s="141"/>
      <c r="AA854" s="141"/>
      <c r="AB854" s="141"/>
      <c r="AC854" s="141"/>
      <c r="AD854" s="141"/>
      <c r="AE854" s="141"/>
      <c r="AF854" s="141"/>
      <c r="AG854" s="141"/>
      <c r="AH854" s="141"/>
      <c r="AI854" s="141"/>
      <c r="AJ854" s="140"/>
    </row>
    <row r="855" spans="1:36">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1"/>
      <c r="X855" s="141"/>
      <c r="Y855" s="141"/>
      <c r="Z855" s="141"/>
      <c r="AA855" s="141"/>
      <c r="AB855" s="141"/>
      <c r="AC855" s="141"/>
      <c r="AD855" s="141"/>
      <c r="AE855" s="141"/>
      <c r="AF855" s="141"/>
      <c r="AG855" s="141"/>
      <c r="AH855" s="141"/>
      <c r="AI855" s="141"/>
      <c r="AJ855" s="140"/>
    </row>
    <row r="856" spans="1:36">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1"/>
      <c r="X856" s="141"/>
      <c r="Y856" s="141"/>
      <c r="Z856" s="141"/>
      <c r="AA856" s="141"/>
      <c r="AB856" s="141"/>
      <c r="AC856" s="141"/>
      <c r="AD856" s="141"/>
      <c r="AE856" s="141"/>
      <c r="AF856" s="141"/>
      <c r="AG856" s="141"/>
      <c r="AH856" s="141"/>
      <c r="AI856" s="141"/>
      <c r="AJ856" s="140"/>
    </row>
    <row r="857" spans="1:36">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1"/>
      <c r="X857" s="141"/>
      <c r="Y857" s="141"/>
      <c r="Z857" s="141"/>
      <c r="AA857" s="141"/>
      <c r="AB857" s="141"/>
      <c r="AC857" s="141"/>
      <c r="AD857" s="141"/>
      <c r="AE857" s="141"/>
      <c r="AF857" s="141"/>
      <c r="AG857" s="141"/>
      <c r="AH857" s="141"/>
      <c r="AI857" s="141"/>
      <c r="AJ857" s="140"/>
    </row>
    <row r="858" spans="1:36">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1"/>
      <c r="X858" s="141"/>
      <c r="Y858" s="141"/>
      <c r="Z858" s="141"/>
      <c r="AA858" s="141"/>
      <c r="AB858" s="141"/>
      <c r="AC858" s="141"/>
      <c r="AD858" s="141"/>
      <c r="AE858" s="141"/>
      <c r="AF858" s="141"/>
      <c r="AG858" s="141"/>
      <c r="AH858" s="141"/>
      <c r="AI858" s="141"/>
      <c r="AJ858" s="140"/>
    </row>
    <row r="859" spans="1:36">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1"/>
      <c r="X859" s="141"/>
      <c r="Y859" s="141"/>
      <c r="Z859" s="141"/>
      <c r="AA859" s="141"/>
      <c r="AB859" s="141"/>
      <c r="AC859" s="141"/>
      <c r="AD859" s="141"/>
      <c r="AE859" s="141"/>
      <c r="AF859" s="141"/>
      <c r="AG859" s="141"/>
      <c r="AH859" s="141"/>
      <c r="AI859" s="141"/>
      <c r="AJ859" s="140"/>
    </row>
    <row r="860" spans="1:36">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1"/>
      <c r="X860" s="141"/>
      <c r="Y860" s="141"/>
      <c r="Z860" s="141"/>
      <c r="AA860" s="141"/>
      <c r="AB860" s="141"/>
      <c r="AC860" s="141"/>
      <c r="AD860" s="141"/>
      <c r="AE860" s="141"/>
      <c r="AF860" s="141"/>
      <c r="AG860" s="141"/>
      <c r="AH860" s="141"/>
      <c r="AI860" s="141"/>
      <c r="AJ860" s="140"/>
    </row>
    <row r="861" spans="1:36">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1"/>
      <c r="X861" s="141"/>
      <c r="Y861" s="141"/>
      <c r="Z861" s="141"/>
      <c r="AA861" s="141"/>
      <c r="AB861" s="141"/>
      <c r="AC861" s="141"/>
      <c r="AD861" s="141"/>
      <c r="AE861" s="141"/>
      <c r="AF861" s="141"/>
      <c r="AG861" s="141"/>
      <c r="AH861" s="141"/>
      <c r="AI861" s="141"/>
      <c r="AJ861" s="140"/>
    </row>
    <row r="862" spans="1:36">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1"/>
      <c r="X862" s="141"/>
      <c r="Y862" s="141"/>
      <c r="Z862" s="141"/>
      <c r="AA862" s="141"/>
      <c r="AB862" s="141"/>
      <c r="AC862" s="141"/>
      <c r="AD862" s="141"/>
      <c r="AE862" s="141"/>
      <c r="AF862" s="141"/>
      <c r="AG862" s="141"/>
      <c r="AH862" s="141"/>
      <c r="AI862" s="141"/>
      <c r="AJ862" s="140"/>
    </row>
    <row r="863" spans="1:36">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1"/>
      <c r="X863" s="141"/>
      <c r="Y863" s="141"/>
      <c r="Z863" s="141"/>
      <c r="AA863" s="141"/>
      <c r="AB863" s="141"/>
      <c r="AC863" s="141"/>
      <c r="AD863" s="141"/>
      <c r="AE863" s="141"/>
      <c r="AF863" s="141"/>
      <c r="AG863" s="141"/>
      <c r="AH863" s="141"/>
      <c r="AI863" s="141"/>
      <c r="AJ863" s="140"/>
    </row>
    <row r="864" spans="1:36">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1"/>
      <c r="X864" s="141"/>
      <c r="Y864" s="141"/>
      <c r="Z864" s="141"/>
      <c r="AA864" s="141"/>
      <c r="AB864" s="141"/>
      <c r="AC864" s="141"/>
      <c r="AD864" s="141"/>
      <c r="AE864" s="141"/>
      <c r="AF864" s="141"/>
      <c r="AG864" s="141"/>
      <c r="AH864" s="141"/>
      <c r="AI864" s="141"/>
      <c r="AJ864" s="140"/>
    </row>
    <row r="865" spans="1:36">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1"/>
      <c r="X865" s="141"/>
      <c r="Y865" s="141"/>
      <c r="Z865" s="141"/>
      <c r="AA865" s="141"/>
      <c r="AB865" s="141"/>
      <c r="AC865" s="141"/>
      <c r="AD865" s="141"/>
      <c r="AE865" s="141"/>
      <c r="AF865" s="141"/>
      <c r="AG865" s="141"/>
      <c r="AH865" s="141"/>
      <c r="AI865" s="141"/>
      <c r="AJ865" s="140"/>
    </row>
    <row r="866" spans="1:36">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1"/>
      <c r="X866" s="141"/>
      <c r="Y866" s="141"/>
      <c r="Z866" s="141"/>
      <c r="AA866" s="141"/>
      <c r="AB866" s="141"/>
      <c r="AC866" s="141"/>
      <c r="AD866" s="141"/>
      <c r="AE866" s="141"/>
      <c r="AF866" s="141"/>
      <c r="AG866" s="141"/>
      <c r="AH866" s="141"/>
      <c r="AI866" s="141"/>
      <c r="AJ866" s="140"/>
    </row>
    <row r="867" spans="1:36">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1"/>
      <c r="X867" s="141"/>
      <c r="Y867" s="141"/>
      <c r="Z867" s="141"/>
      <c r="AA867" s="141"/>
      <c r="AB867" s="141"/>
      <c r="AC867" s="141"/>
      <c r="AD867" s="141"/>
      <c r="AE867" s="141"/>
      <c r="AF867" s="141"/>
      <c r="AG867" s="141"/>
      <c r="AH867" s="141"/>
      <c r="AI867" s="141"/>
      <c r="AJ867" s="140"/>
    </row>
    <row r="868" spans="1:36">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1"/>
      <c r="X868" s="141"/>
      <c r="Y868" s="141"/>
      <c r="Z868" s="141"/>
      <c r="AA868" s="141"/>
      <c r="AB868" s="141"/>
      <c r="AC868" s="141"/>
      <c r="AD868" s="141"/>
      <c r="AE868" s="141"/>
      <c r="AF868" s="141"/>
      <c r="AG868" s="141"/>
      <c r="AH868" s="141"/>
      <c r="AI868" s="141"/>
      <c r="AJ868" s="140"/>
    </row>
    <row r="869" spans="1:36">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1"/>
      <c r="X869" s="141"/>
      <c r="Y869" s="141"/>
      <c r="Z869" s="141"/>
      <c r="AA869" s="141"/>
      <c r="AB869" s="141"/>
      <c r="AC869" s="141"/>
      <c r="AD869" s="141"/>
      <c r="AE869" s="141"/>
      <c r="AF869" s="141"/>
      <c r="AG869" s="141"/>
      <c r="AH869" s="141"/>
      <c r="AI869" s="141"/>
      <c r="AJ869" s="140"/>
    </row>
    <row r="870" spans="1:36">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1"/>
      <c r="X870" s="141"/>
      <c r="Y870" s="141"/>
      <c r="Z870" s="141"/>
      <c r="AA870" s="141"/>
      <c r="AB870" s="141"/>
      <c r="AC870" s="141"/>
      <c r="AD870" s="141"/>
      <c r="AE870" s="141"/>
      <c r="AF870" s="141"/>
      <c r="AG870" s="141"/>
      <c r="AH870" s="141"/>
      <c r="AI870" s="141"/>
      <c r="AJ870" s="140"/>
    </row>
    <row r="871" spans="1:36">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1"/>
      <c r="X871" s="141"/>
      <c r="Y871" s="141"/>
      <c r="Z871" s="141"/>
      <c r="AA871" s="141"/>
      <c r="AB871" s="141"/>
      <c r="AC871" s="141"/>
      <c r="AD871" s="141"/>
      <c r="AE871" s="141"/>
      <c r="AF871" s="141"/>
      <c r="AG871" s="141"/>
      <c r="AH871" s="141"/>
      <c r="AI871" s="141"/>
      <c r="AJ871" s="140"/>
    </row>
    <row r="872" spans="1:36">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1"/>
      <c r="X872" s="141"/>
      <c r="Y872" s="141"/>
      <c r="Z872" s="141"/>
      <c r="AA872" s="141"/>
      <c r="AB872" s="141"/>
      <c r="AC872" s="141"/>
      <c r="AD872" s="141"/>
      <c r="AE872" s="141"/>
      <c r="AF872" s="141"/>
      <c r="AG872" s="141"/>
      <c r="AH872" s="141"/>
      <c r="AI872" s="141"/>
      <c r="AJ872" s="140"/>
    </row>
    <row r="873" spans="1:36">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1"/>
      <c r="X873" s="141"/>
      <c r="Y873" s="141"/>
      <c r="Z873" s="141"/>
      <c r="AA873" s="141"/>
      <c r="AB873" s="141"/>
      <c r="AC873" s="141"/>
      <c r="AD873" s="141"/>
      <c r="AE873" s="141"/>
      <c r="AF873" s="141"/>
      <c r="AG873" s="141"/>
      <c r="AH873" s="141"/>
      <c r="AI873" s="141"/>
      <c r="AJ873" s="140"/>
    </row>
    <row r="874" spans="1:36">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1"/>
      <c r="X874" s="141"/>
      <c r="Y874" s="141"/>
      <c r="Z874" s="141"/>
      <c r="AA874" s="141"/>
      <c r="AB874" s="141"/>
      <c r="AC874" s="141"/>
      <c r="AD874" s="141"/>
      <c r="AE874" s="141"/>
      <c r="AF874" s="141"/>
      <c r="AG874" s="141"/>
      <c r="AH874" s="141"/>
      <c r="AI874" s="141"/>
      <c r="AJ874" s="140"/>
    </row>
    <row r="875" spans="1:36">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1"/>
      <c r="X875" s="141"/>
      <c r="Y875" s="141"/>
      <c r="Z875" s="141"/>
      <c r="AA875" s="141"/>
      <c r="AB875" s="141"/>
      <c r="AC875" s="141"/>
      <c r="AD875" s="141"/>
      <c r="AE875" s="141"/>
      <c r="AF875" s="141"/>
      <c r="AG875" s="141"/>
      <c r="AH875" s="141"/>
      <c r="AI875" s="141"/>
      <c r="AJ875" s="140"/>
    </row>
    <row r="876" spans="1:36">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1"/>
      <c r="X876" s="141"/>
      <c r="Y876" s="141"/>
      <c r="Z876" s="141"/>
      <c r="AA876" s="141"/>
      <c r="AB876" s="141"/>
      <c r="AC876" s="141"/>
      <c r="AD876" s="141"/>
      <c r="AE876" s="141"/>
      <c r="AF876" s="141"/>
      <c r="AG876" s="141"/>
      <c r="AH876" s="141"/>
      <c r="AI876" s="141"/>
      <c r="AJ876" s="140"/>
    </row>
    <row r="877" spans="1:36">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1"/>
      <c r="X877" s="141"/>
      <c r="Y877" s="141"/>
      <c r="Z877" s="141"/>
      <c r="AA877" s="141"/>
      <c r="AB877" s="141"/>
      <c r="AC877" s="141"/>
      <c r="AD877" s="141"/>
      <c r="AE877" s="141"/>
      <c r="AF877" s="141"/>
      <c r="AG877" s="141"/>
      <c r="AH877" s="141"/>
      <c r="AI877" s="141"/>
      <c r="AJ877" s="140"/>
    </row>
    <row r="878" spans="1:36">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1"/>
      <c r="X878" s="141"/>
      <c r="Y878" s="141"/>
      <c r="Z878" s="141"/>
      <c r="AA878" s="141"/>
      <c r="AB878" s="141"/>
      <c r="AC878" s="141"/>
      <c r="AD878" s="141"/>
      <c r="AE878" s="141"/>
      <c r="AF878" s="141"/>
      <c r="AG878" s="141"/>
      <c r="AH878" s="141"/>
      <c r="AI878" s="141"/>
      <c r="AJ878" s="140"/>
    </row>
    <row r="879" spans="1:36">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1"/>
      <c r="X879" s="141"/>
      <c r="Y879" s="141"/>
      <c r="Z879" s="141"/>
      <c r="AA879" s="141"/>
      <c r="AB879" s="141"/>
      <c r="AC879" s="141"/>
      <c r="AD879" s="141"/>
      <c r="AE879" s="141"/>
      <c r="AF879" s="141"/>
      <c r="AG879" s="141"/>
      <c r="AH879" s="141"/>
      <c r="AI879" s="141"/>
      <c r="AJ879" s="140"/>
    </row>
    <row r="880" spans="1:36">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1"/>
      <c r="X880" s="141"/>
      <c r="Y880" s="141"/>
      <c r="Z880" s="141"/>
      <c r="AA880" s="141"/>
      <c r="AB880" s="141"/>
      <c r="AC880" s="141"/>
      <c r="AD880" s="141"/>
      <c r="AE880" s="141"/>
      <c r="AF880" s="141"/>
      <c r="AG880" s="141"/>
      <c r="AH880" s="141"/>
      <c r="AI880" s="141"/>
      <c r="AJ880" s="140"/>
    </row>
    <row r="881" spans="1:36">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1"/>
      <c r="X881" s="141"/>
      <c r="Y881" s="141"/>
      <c r="Z881" s="141"/>
      <c r="AA881" s="141"/>
      <c r="AB881" s="141"/>
      <c r="AC881" s="141"/>
      <c r="AD881" s="141"/>
      <c r="AE881" s="141"/>
      <c r="AF881" s="141"/>
      <c r="AG881" s="141"/>
      <c r="AH881" s="141"/>
      <c r="AI881" s="141"/>
      <c r="AJ881" s="140"/>
    </row>
    <row r="882" spans="1:36">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1"/>
      <c r="X882" s="141"/>
      <c r="Y882" s="141"/>
      <c r="Z882" s="141"/>
      <c r="AA882" s="141"/>
      <c r="AB882" s="141"/>
      <c r="AC882" s="141"/>
      <c r="AD882" s="141"/>
      <c r="AE882" s="141"/>
      <c r="AF882" s="141"/>
      <c r="AG882" s="141"/>
      <c r="AH882" s="141"/>
      <c r="AI882" s="141"/>
      <c r="AJ882" s="140"/>
    </row>
    <row r="883" spans="1:36">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1"/>
      <c r="X883" s="141"/>
      <c r="Y883" s="141"/>
      <c r="Z883" s="141"/>
      <c r="AA883" s="141"/>
      <c r="AB883" s="141"/>
      <c r="AC883" s="141"/>
      <c r="AD883" s="141"/>
      <c r="AE883" s="141"/>
      <c r="AF883" s="141"/>
      <c r="AG883" s="141"/>
      <c r="AH883" s="141"/>
      <c r="AI883" s="141"/>
      <c r="AJ883" s="140"/>
    </row>
    <row r="884" spans="1:36">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1"/>
      <c r="X884" s="141"/>
      <c r="Y884" s="141"/>
      <c r="Z884" s="141"/>
      <c r="AA884" s="141"/>
      <c r="AB884" s="141"/>
      <c r="AC884" s="141"/>
      <c r="AD884" s="141"/>
      <c r="AE884" s="141"/>
      <c r="AF884" s="141"/>
      <c r="AG884" s="141"/>
      <c r="AH884" s="141"/>
      <c r="AI884" s="141"/>
      <c r="AJ884" s="140"/>
    </row>
    <row r="885" spans="1:36">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1"/>
      <c r="X885" s="141"/>
      <c r="Y885" s="141"/>
      <c r="Z885" s="141"/>
      <c r="AA885" s="141"/>
      <c r="AB885" s="141"/>
      <c r="AC885" s="141"/>
      <c r="AD885" s="141"/>
      <c r="AE885" s="141"/>
      <c r="AF885" s="141"/>
      <c r="AG885" s="141"/>
      <c r="AH885" s="141"/>
      <c r="AI885" s="141"/>
      <c r="AJ885" s="140"/>
    </row>
    <row r="886" spans="1:36">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1"/>
      <c r="X886" s="141"/>
      <c r="Y886" s="141"/>
      <c r="Z886" s="141"/>
      <c r="AA886" s="141"/>
      <c r="AB886" s="141"/>
      <c r="AC886" s="141"/>
      <c r="AD886" s="141"/>
      <c r="AE886" s="141"/>
      <c r="AF886" s="141"/>
      <c r="AG886" s="141"/>
      <c r="AH886" s="141"/>
      <c r="AI886" s="141"/>
      <c r="AJ886" s="140"/>
    </row>
    <row r="887" spans="1:36">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1"/>
      <c r="X887" s="141"/>
      <c r="Y887" s="141"/>
      <c r="Z887" s="141"/>
      <c r="AA887" s="141"/>
      <c r="AB887" s="141"/>
      <c r="AC887" s="141"/>
      <c r="AD887" s="141"/>
      <c r="AE887" s="141"/>
      <c r="AF887" s="141"/>
      <c r="AG887" s="141"/>
      <c r="AH887" s="141"/>
      <c r="AI887" s="141"/>
      <c r="AJ887" s="140"/>
    </row>
    <row r="888" spans="1:36">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1"/>
      <c r="X888" s="141"/>
      <c r="Y888" s="141"/>
      <c r="Z888" s="141"/>
      <c r="AA888" s="141"/>
      <c r="AB888" s="141"/>
      <c r="AC888" s="141"/>
      <c r="AD888" s="141"/>
      <c r="AE888" s="141"/>
      <c r="AF888" s="141"/>
      <c r="AG888" s="141"/>
      <c r="AH888" s="141"/>
      <c r="AI888" s="141"/>
      <c r="AJ888" s="140"/>
    </row>
    <row r="889" spans="1:36">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1"/>
      <c r="X889" s="141"/>
      <c r="Y889" s="141"/>
      <c r="Z889" s="141"/>
      <c r="AA889" s="141"/>
      <c r="AB889" s="141"/>
      <c r="AC889" s="141"/>
      <c r="AD889" s="141"/>
      <c r="AE889" s="141"/>
      <c r="AF889" s="141"/>
      <c r="AG889" s="141"/>
      <c r="AH889" s="141"/>
      <c r="AI889" s="141"/>
      <c r="AJ889" s="140"/>
    </row>
    <row r="890" spans="1:36">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1"/>
      <c r="X890" s="141"/>
      <c r="Y890" s="141"/>
      <c r="Z890" s="141"/>
      <c r="AA890" s="141"/>
      <c r="AB890" s="141"/>
      <c r="AC890" s="141"/>
      <c r="AD890" s="141"/>
      <c r="AE890" s="141"/>
      <c r="AF890" s="141"/>
      <c r="AG890" s="141"/>
      <c r="AH890" s="141"/>
      <c r="AI890" s="141"/>
      <c r="AJ890" s="140"/>
    </row>
    <row r="891" spans="1:36">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1"/>
      <c r="X891" s="141"/>
      <c r="Y891" s="141"/>
      <c r="Z891" s="141"/>
      <c r="AA891" s="141"/>
      <c r="AB891" s="141"/>
      <c r="AC891" s="141"/>
      <c r="AD891" s="141"/>
      <c r="AE891" s="141"/>
      <c r="AF891" s="141"/>
      <c r="AG891" s="141"/>
      <c r="AH891" s="141"/>
      <c r="AI891" s="141"/>
      <c r="AJ891" s="140"/>
    </row>
    <row r="892" spans="1:36">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1"/>
      <c r="X892" s="141"/>
      <c r="Y892" s="141"/>
      <c r="Z892" s="141"/>
      <c r="AA892" s="141"/>
      <c r="AB892" s="141"/>
      <c r="AC892" s="141"/>
      <c r="AD892" s="141"/>
      <c r="AE892" s="141"/>
      <c r="AF892" s="141"/>
      <c r="AG892" s="141"/>
      <c r="AH892" s="141"/>
      <c r="AI892" s="141"/>
      <c r="AJ892" s="140"/>
    </row>
    <row r="893" spans="1:36">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1"/>
      <c r="X893" s="141"/>
      <c r="Y893" s="141"/>
      <c r="Z893" s="141"/>
      <c r="AA893" s="141"/>
      <c r="AB893" s="141"/>
      <c r="AC893" s="141"/>
      <c r="AD893" s="141"/>
      <c r="AE893" s="141"/>
      <c r="AF893" s="141"/>
      <c r="AG893" s="141"/>
      <c r="AH893" s="141"/>
      <c r="AI893" s="141"/>
      <c r="AJ893" s="140"/>
    </row>
    <row r="894" spans="1:36">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1"/>
      <c r="X894" s="141"/>
      <c r="Y894" s="141"/>
      <c r="Z894" s="141"/>
      <c r="AA894" s="141"/>
      <c r="AB894" s="141"/>
      <c r="AC894" s="141"/>
      <c r="AD894" s="141"/>
      <c r="AE894" s="141"/>
      <c r="AF894" s="141"/>
      <c r="AG894" s="141"/>
      <c r="AH894" s="141"/>
      <c r="AI894" s="141"/>
      <c r="AJ894" s="140"/>
    </row>
    <row r="895" spans="1:36">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1"/>
      <c r="X895" s="141"/>
      <c r="Y895" s="141"/>
      <c r="Z895" s="141"/>
      <c r="AA895" s="141"/>
      <c r="AB895" s="141"/>
      <c r="AC895" s="141"/>
      <c r="AD895" s="141"/>
      <c r="AE895" s="141"/>
      <c r="AF895" s="141"/>
      <c r="AG895" s="141"/>
      <c r="AH895" s="141"/>
      <c r="AI895" s="141"/>
      <c r="AJ895" s="140"/>
    </row>
    <row r="896" spans="1:36">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1"/>
      <c r="X896" s="141"/>
      <c r="Y896" s="141"/>
      <c r="Z896" s="141"/>
      <c r="AA896" s="141"/>
      <c r="AB896" s="141"/>
      <c r="AC896" s="141"/>
      <c r="AD896" s="141"/>
      <c r="AE896" s="141"/>
      <c r="AF896" s="141"/>
      <c r="AG896" s="141"/>
      <c r="AH896" s="141"/>
      <c r="AI896" s="141"/>
      <c r="AJ896" s="140"/>
    </row>
    <row r="897" spans="1:36">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1"/>
      <c r="X897" s="141"/>
      <c r="Y897" s="141"/>
      <c r="Z897" s="141"/>
      <c r="AA897" s="141"/>
      <c r="AB897" s="141"/>
      <c r="AC897" s="141"/>
      <c r="AD897" s="141"/>
      <c r="AE897" s="141"/>
      <c r="AF897" s="141"/>
      <c r="AG897" s="141"/>
      <c r="AH897" s="141"/>
      <c r="AI897" s="141"/>
      <c r="AJ897" s="140"/>
    </row>
    <row r="898" spans="1:36">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1"/>
      <c r="X898" s="141"/>
      <c r="Y898" s="141"/>
      <c r="Z898" s="141"/>
      <c r="AA898" s="141"/>
      <c r="AB898" s="141"/>
      <c r="AC898" s="141"/>
      <c r="AD898" s="141"/>
      <c r="AE898" s="141"/>
      <c r="AF898" s="141"/>
      <c r="AG898" s="141"/>
      <c r="AH898" s="141"/>
      <c r="AI898" s="141"/>
      <c r="AJ898" s="140"/>
    </row>
    <row r="899" spans="1:36">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1"/>
      <c r="X899" s="141"/>
      <c r="Y899" s="141"/>
      <c r="Z899" s="141"/>
      <c r="AA899" s="141"/>
      <c r="AB899" s="141"/>
      <c r="AC899" s="141"/>
      <c r="AD899" s="141"/>
      <c r="AE899" s="141"/>
      <c r="AF899" s="141"/>
      <c r="AG899" s="141"/>
      <c r="AH899" s="141"/>
      <c r="AI899" s="141"/>
      <c r="AJ899" s="140"/>
    </row>
    <row r="900" spans="1:36">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1"/>
      <c r="X900" s="141"/>
      <c r="Y900" s="141"/>
      <c r="Z900" s="141"/>
      <c r="AA900" s="141"/>
      <c r="AB900" s="141"/>
      <c r="AC900" s="141"/>
      <c r="AD900" s="141"/>
      <c r="AE900" s="141"/>
      <c r="AF900" s="141"/>
      <c r="AG900" s="141"/>
      <c r="AH900" s="141"/>
      <c r="AI900" s="141"/>
      <c r="AJ900" s="140"/>
    </row>
    <row r="901" spans="1:36">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1"/>
      <c r="X901" s="141"/>
      <c r="Y901" s="141"/>
      <c r="Z901" s="141"/>
      <c r="AA901" s="141"/>
      <c r="AB901" s="141"/>
      <c r="AC901" s="141"/>
      <c r="AD901" s="141"/>
      <c r="AE901" s="141"/>
      <c r="AF901" s="141"/>
      <c r="AG901" s="141"/>
      <c r="AH901" s="141"/>
      <c r="AI901" s="141"/>
      <c r="AJ901" s="140"/>
    </row>
    <row r="902" spans="1:36">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1"/>
      <c r="X902" s="141"/>
      <c r="Y902" s="141"/>
      <c r="Z902" s="141"/>
      <c r="AA902" s="141"/>
      <c r="AB902" s="141"/>
      <c r="AC902" s="141"/>
      <c r="AD902" s="141"/>
      <c r="AE902" s="141"/>
      <c r="AF902" s="141"/>
      <c r="AG902" s="141"/>
      <c r="AH902" s="141"/>
      <c r="AI902" s="141"/>
      <c r="AJ902" s="140"/>
    </row>
    <row r="903" spans="1:36">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1"/>
      <c r="X903" s="141"/>
      <c r="Y903" s="141"/>
      <c r="Z903" s="141"/>
      <c r="AA903" s="141"/>
      <c r="AB903" s="141"/>
      <c r="AC903" s="141"/>
      <c r="AD903" s="141"/>
      <c r="AE903" s="141"/>
      <c r="AF903" s="141"/>
      <c r="AG903" s="141"/>
      <c r="AH903" s="141"/>
      <c r="AI903" s="141"/>
      <c r="AJ903" s="140"/>
    </row>
    <row r="904" spans="1:36">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1"/>
      <c r="X904" s="141"/>
      <c r="Y904" s="141"/>
      <c r="Z904" s="141"/>
      <c r="AA904" s="141"/>
      <c r="AB904" s="141"/>
      <c r="AC904" s="141"/>
      <c r="AD904" s="141"/>
      <c r="AE904" s="141"/>
      <c r="AF904" s="141"/>
      <c r="AG904" s="141"/>
      <c r="AH904" s="141"/>
      <c r="AI904" s="141"/>
      <c r="AJ904" s="140"/>
    </row>
    <row r="905" spans="1:36">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1"/>
      <c r="X905" s="141"/>
      <c r="Y905" s="141"/>
      <c r="Z905" s="141"/>
      <c r="AA905" s="141"/>
      <c r="AB905" s="141"/>
      <c r="AC905" s="141"/>
      <c r="AD905" s="141"/>
      <c r="AE905" s="141"/>
      <c r="AF905" s="141"/>
      <c r="AG905" s="141"/>
      <c r="AH905" s="141"/>
      <c r="AI905" s="141"/>
      <c r="AJ905" s="140"/>
    </row>
    <row r="906" spans="1:36">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1"/>
      <c r="X906" s="141"/>
      <c r="Y906" s="141"/>
      <c r="Z906" s="141"/>
      <c r="AA906" s="141"/>
      <c r="AB906" s="141"/>
      <c r="AC906" s="141"/>
      <c r="AD906" s="141"/>
      <c r="AE906" s="141"/>
      <c r="AF906" s="141"/>
      <c r="AG906" s="141"/>
      <c r="AH906" s="141"/>
      <c r="AI906" s="141"/>
      <c r="AJ906" s="140"/>
    </row>
    <row r="907" spans="1:36">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1"/>
      <c r="X907" s="141"/>
      <c r="Y907" s="141"/>
      <c r="Z907" s="141"/>
      <c r="AA907" s="141"/>
      <c r="AB907" s="141"/>
      <c r="AC907" s="141"/>
      <c r="AD907" s="141"/>
      <c r="AE907" s="141"/>
      <c r="AF907" s="141"/>
      <c r="AG907" s="141"/>
      <c r="AH907" s="141"/>
      <c r="AI907" s="141"/>
      <c r="AJ907" s="140"/>
    </row>
    <row r="908" spans="1:36">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1"/>
      <c r="X908" s="141"/>
      <c r="Y908" s="141"/>
      <c r="Z908" s="141"/>
      <c r="AA908" s="141"/>
      <c r="AB908" s="141"/>
      <c r="AC908" s="141"/>
      <c r="AD908" s="141"/>
      <c r="AE908" s="141"/>
      <c r="AF908" s="141"/>
      <c r="AG908" s="141"/>
      <c r="AH908" s="141"/>
      <c r="AI908" s="141"/>
      <c r="AJ908" s="140"/>
    </row>
    <row r="909" spans="1:36">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1"/>
      <c r="X909" s="141"/>
      <c r="Y909" s="141"/>
      <c r="Z909" s="141"/>
      <c r="AA909" s="141"/>
      <c r="AB909" s="141"/>
      <c r="AC909" s="141"/>
      <c r="AD909" s="141"/>
      <c r="AE909" s="141"/>
      <c r="AF909" s="141"/>
      <c r="AG909" s="141"/>
      <c r="AH909" s="141"/>
      <c r="AI909" s="141"/>
      <c r="AJ909" s="140"/>
    </row>
    <row r="910" spans="1:36">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1"/>
      <c r="X910" s="141"/>
      <c r="Y910" s="141"/>
      <c r="Z910" s="141"/>
      <c r="AA910" s="141"/>
      <c r="AB910" s="141"/>
      <c r="AC910" s="141"/>
      <c r="AD910" s="141"/>
      <c r="AE910" s="141"/>
      <c r="AF910" s="141"/>
      <c r="AG910" s="141"/>
      <c r="AH910" s="141"/>
      <c r="AI910" s="141"/>
      <c r="AJ910" s="140"/>
    </row>
    <row r="911" spans="1:36">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1"/>
      <c r="X911" s="141"/>
      <c r="Y911" s="141"/>
      <c r="Z911" s="141"/>
      <c r="AA911" s="141"/>
      <c r="AB911" s="141"/>
      <c r="AC911" s="141"/>
      <c r="AD911" s="141"/>
      <c r="AE911" s="141"/>
      <c r="AF911" s="141"/>
      <c r="AG911" s="141"/>
      <c r="AH911" s="141"/>
      <c r="AI911" s="141"/>
      <c r="AJ911" s="140"/>
    </row>
    <row r="912" spans="1:36">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1"/>
      <c r="X912" s="141"/>
      <c r="Y912" s="141"/>
      <c r="Z912" s="141"/>
      <c r="AA912" s="141"/>
      <c r="AB912" s="141"/>
      <c r="AC912" s="141"/>
      <c r="AD912" s="141"/>
      <c r="AE912" s="141"/>
      <c r="AF912" s="141"/>
      <c r="AG912" s="141"/>
      <c r="AH912" s="141"/>
      <c r="AI912" s="141"/>
      <c r="AJ912" s="140"/>
    </row>
    <row r="913" spans="1:36">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1"/>
      <c r="X913" s="141"/>
      <c r="Y913" s="141"/>
      <c r="Z913" s="141"/>
      <c r="AA913" s="141"/>
      <c r="AB913" s="141"/>
      <c r="AC913" s="141"/>
      <c r="AD913" s="141"/>
      <c r="AE913" s="141"/>
      <c r="AF913" s="141"/>
      <c r="AG913" s="141"/>
      <c r="AH913" s="141"/>
      <c r="AI913" s="141"/>
      <c r="AJ913" s="140"/>
    </row>
    <row r="914" spans="1:36">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1"/>
      <c r="X914" s="141"/>
      <c r="Y914" s="141"/>
      <c r="Z914" s="141"/>
      <c r="AA914" s="141"/>
      <c r="AB914" s="141"/>
      <c r="AC914" s="141"/>
      <c r="AD914" s="141"/>
      <c r="AE914" s="141"/>
      <c r="AF914" s="141"/>
      <c r="AG914" s="141"/>
      <c r="AH914" s="141"/>
      <c r="AI914" s="141"/>
      <c r="AJ914" s="140"/>
    </row>
    <row r="915" spans="1:36">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1"/>
      <c r="X915" s="141"/>
      <c r="Y915" s="141"/>
      <c r="Z915" s="141"/>
      <c r="AA915" s="141"/>
      <c r="AB915" s="141"/>
      <c r="AC915" s="141"/>
      <c r="AD915" s="141"/>
      <c r="AE915" s="141"/>
      <c r="AF915" s="141"/>
      <c r="AG915" s="141"/>
      <c r="AH915" s="141"/>
      <c r="AI915" s="141"/>
      <c r="AJ915" s="140"/>
    </row>
    <row r="916" spans="1:36">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1"/>
      <c r="X916" s="141"/>
      <c r="Y916" s="141"/>
      <c r="Z916" s="141"/>
      <c r="AA916" s="141"/>
      <c r="AB916" s="141"/>
      <c r="AC916" s="141"/>
      <c r="AD916" s="141"/>
      <c r="AE916" s="141"/>
      <c r="AF916" s="141"/>
      <c r="AG916" s="141"/>
      <c r="AH916" s="141"/>
      <c r="AI916" s="141"/>
      <c r="AJ916" s="140"/>
    </row>
    <row r="917" spans="1:36">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1"/>
      <c r="X917" s="141"/>
      <c r="Y917" s="141"/>
      <c r="Z917" s="141"/>
      <c r="AA917" s="141"/>
      <c r="AB917" s="141"/>
      <c r="AC917" s="141"/>
      <c r="AD917" s="141"/>
      <c r="AE917" s="141"/>
      <c r="AF917" s="141"/>
      <c r="AG917" s="141"/>
      <c r="AH917" s="141"/>
      <c r="AI917" s="141"/>
      <c r="AJ917" s="140"/>
    </row>
    <row r="918" spans="1:36">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1"/>
      <c r="X918" s="141"/>
      <c r="Y918" s="141"/>
      <c r="Z918" s="141"/>
      <c r="AA918" s="141"/>
      <c r="AB918" s="141"/>
      <c r="AC918" s="141"/>
      <c r="AD918" s="141"/>
      <c r="AE918" s="141"/>
      <c r="AF918" s="141"/>
      <c r="AG918" s="141"/>
      <c r="AH918" s="141"/>
      <c r="AI918" s="141"/>
      <c r="AJ918" s="140"/>
    </row>
    <row r="919" spans="1:36">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1"/>
      <c r="X919" s="141"/>
      <c r="Y919" s="141"/>
      <c r="Z919" s="141"/>
      <c r="AA919" s="141"/>
      <c r="AB919" s="141"/>
      <c r="AC919" s="141"/>
      <c r="AD919" s="141"/>
      <c r="AE919" s="141"/>
      <c r="AF919" s="141"/>
      <c r="AG919" s="141"/>
      <c r="AH919" s="141"/>
      <c r="AI919" s="141"/>
      <c r="AJ919" s="140"/>
    </row>
    <row r="920" spans="1:36">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1"/>
      <c r="X920" s="141"/>
      <c r="Y920" s="141"/>
      <c r="Z920" s="141"/>
      <c r="AA920" s="141"/>
      <c r="AB920" s="141"/>
      <c r="AC920" s="141"/>
      <c r="AD920" s="141"/>
      <c r="AE920" s="141"/>
      <c r="AF920" s="141"/>
      <c r="AG920" s="141"/>
      <c r="AH920" s="141"/>
      <c r="AI920" s="141"/>
      <c r="AJ920" s="140"/>
    </row>
    <row r="921" spans="1:36">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1"/>
      <c r="X921" s="141"/>
      <c r="Y921" s="141"/>
      <c r="Z921" s="141"/>
      <c r="AA921" s="141"/>
      <c r="AB921" s="141"/>
      <c r="AC921" s="141"/>
      <c r="AD921" s="141"/>
      <c r="AE921" s="141"/>
      <c r="AF921" s="141"/>
      <c r="AG921" s="141"/>
      <c r="AH921" s="141"/>
      <c r="AI921" s="141"/>
      <c r="AJ921" s="140"/>
    </row>
    <row r="922" spans="1:36">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1"/>
      <c r="X922" s="141"/>
      <c r="Y922" s="141"/>
      <c r="Z922" s="141"/>
      <c r="AA922" s="141"/>
      <c r="AB922" s="141"/>
      <c r="AC922" s="141"/>
      <c r="AD922" s="141"/>
      <c r="AE922" s="141"/>
      <c r="AF922" s="141"/>
      <c r="AG922" s="141"/>
      <c r="AH922" s="141"/>
      <c r="AI922" s="141"/>
      <c r="AJ922" s="140"/>
    </row>
    <row r="923" spans="1:36">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1"/>
      <c r="X923" s="141"/>
      <c r="Y923" s="141"/>
      <c r="Z923" s="141"/>
      <c r="AA923" s="141"/>
      <c r="AB923" s="141"/>
      <c r="AC923" s="141"/>
      <c r="AD923" s="141"/>
      <c r="AE923" s="141"/>
      <c r="AF923" s="141"/>
      <c r="AG923" s="141"/>
      <c r="AH923" s="141"/>
      <c r="AI923" s="141"/>
      <c r="AJ923" s="140"/>
    </row>
    <row r="924" spans="1:36">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1"/>
      <c r="X924" s="141"/>
      <c r="Y924" s="141"/>
      <c r="Z924" s="141"/>
      <c r="AA924" s="141"/>
      <c r="AB924" s="141"/>
      <c r="AC924" s="141"/>
      <c r="AD924" s="141"/>
      <c r="AE924" s="141"/>
      <c r="AF924" s="141"/>
      <c r="AG924" s="141"/>
      <c r="AH924" s="141"/>
      <c r="AI924" s="141"/>
      <c r="AJ924" s="140"/>
    </row>
    <row r="925" spans="1:36">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1"/>
      <c r="X925" s="141"/>
      <c r="Y925" s="141"/>
      <c r="Z925" s="141"/>
      <c r="AA925" s="141"/>
      <c r="AB925" s="141"/>
      <c r="AC925" s="141"/>
      <c r="AD925" s="141"/>
      <c r="AE925" s="141"/>
      <c r="AF925" s="141"/>
      <c r="AG925" s="141"/>
      <c r="AH925" s="141"/>
      <c r="AI925" s="141"/>
      <c r="AJ925" s="140"/>
    </row>
    <row r="926" spans="1:36">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1"/>
      <c r="X926" s="141"/>
      <c r="Y926" s="141"/>
      <c r="Z926" s="141"/>
      <c r="AA926" s="141"/>
      <c r="AB926" s="141"/>
      <c r="AC926" s="141"/>
      <c r="AD926" s="141"/>
      <c r="AE926" s="141"/>
      <c r="AF926" s="141"/>
      <c r="AG926" s="141"/>
      <c r="AH926" s="141"/>
      <c r="AI926" s="141"/>
      <c r="AJ926" s="140"/>
    </row>
    <row r="927" spans="1:36">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1"/>
      <c r="X927" s="141"/>
      <c r="Y927" s="141"/>
      <c r="Z927" s="141"/>
      <c r="AA927" s="141"/>
      <c r="AB927" s="141"/>
      <c r="AC927" s="141"/>
      <c r="AD927" s="141"/>
      <c r="AE927" s="141"/>
      <c r="AF927" s="141"/>
      <c r="AG927" s="141"/>
      <c r="AH927" s="141"/>
      <c r="AI927" s="141"/>
      <c r="AJ927" s="140"/>
    </row>
    <row r="928" spans="1:36">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1"/>
      <c r="X928" s="141"/>
      <c r="Y928" s="141"/>
      <c r="Z928" s="141"/>
      <c r="AA928" s="141"/>
      <c r="AB928" s="141"/>
      <c r="AC928" s="141"/>
      <c r="AD928" s="141"/>
      <c r="AE928" s="141"/>
      <c r="AF928" s="141"/>
      <c r="AG928" s="141"/>
      <c r="AH928" s="141"/>
      <c r="AI928" s="141"/>
      <c r="AJ928" s="140"/>
    </row>
    <row r="929" spans="1:36">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1"/>
      <c r="X929" s="141"/>
      <c r="Y929" s="141"/>
      <c r="Z929" s="141"/>
      <c r="AA929" s="141"/>
      <c r="AB929" s="141"/>
      <c r="AC929" s="141"/>
      <c r="AD929" s="141"/>
      <c r="AE929" s="141"/>
      <c r="AF929" s="141"/>
      <c r="AG929" s="141"/>
      <c r="AH929" s="141"/>
      <c r="AI929" s="141"/>
      <c r="AJ929" s="140"/>
    </row>
    <row r="930" spans="1:36">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1"/>
      <c r="X930" s="141"/>
      <c r="Y930" s="141"/>
      <c r="Z930" s="141"/>
      <c r="AA930" s="141"/>
      <c r="AB930" s="141"/>
      <c r="AC930" s="141"/>
      <c r="AD930" s="141"/>
      <c r="AE930" s="141"/>
      <c r="AF930" s="141"/>
      <c r="AG930" s="141"/>
      <c r="AH930" s="141"/>
      <c r="AI930" s="141"/>
      <c r="AJ930" s="140"/>
    </row>
    <row r="931" spans="1:36">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1"/>
      <c r="X931" s="141"/>
      <c r="Y931" s="141"/>
      <c r="Z931" s="141"/>
      <c r="AA931" s="141"/>
      <c r="AB931" s="141"/>
      <c r="AC931" s="141"/>
      <c r="AD931" s="141"/>
      <c r="AE931" s="141"/>
      <c r="AF931" s="141"/>
      <c r="AG931" s="141"/>
      <c r="AH931" s="141"/>
      <c r="AI931" s="141"/>
      <c r="AJ931" s="140"/>
    </row>
    <row r="932" spans="1:36">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1"/>
      <c r="X932" s="141"/>
      <c r="Y932" s="141"/>
      <c r="Z932" s="141"/>
      <c r="AA932" s="141"/>
      <c r="AB932" s="141"/>
      <c r="AC932" s="141"/>
      <c r="AD932" s="141"/>
      <c r="AE932" s="141"/>
      <c r="AF932" s="141"/>
      <c r="AG932" s="141"/>
      <c r="AH932" s="141"/>
      <c r="AI932" s="141"/>
      <c r="AJ932" s="140"/>
    </row>
    <row r="933" spans="1:36">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1"/>
      <c r="X933" s="141"/>
      <c r="Y933" s="141"/>
      <c r="Z933" s="141"/>
      <c r="AA933" s="141"/>
      <c r="AB933" s="141"/>
      <c r="AC933" s="141"/>
      <c r="AD933" s="141"/>
      <c r="AE933" s="141"/>
      <c r="AF933" s="141"/>
      <c r="AG933" s="141"/>
      <c r="AH933" s="141"/>
      <c r="AI933" s="141"/>
      <c r="AJ933" s="140"/>
    </row>
    <row r="934" spans="1:36">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1"/>
      <c r="X934" s="141"/>
      <c r="Y934" s="141"/>
      <c r="Z934" s="141"/>
      <c r="AA934" s="141"/>
      <c r="AB934" s="141"/>
      <c r="AC934" s="141"/>
      <c r="AD934" s="141"/>
      <c r="AE934" s="141"/>
      <c r="AF934" s="141"/>
      <c r="AG934" s="141"/>
      <c r="AH934" s="141"/>
      <c r="AI934" s="141"/>
      <c r="AJ934" s="140"/>
    </row>
    <row r="935" spans="1:36">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1"/>
      <c r="X935" s="141"/>
      <c r="Y935" s="141"/>
      <c r="Z935" s="141"/>
      <c r="AA935" s="141"/>
      <c r="AB935" s="141"/>
      <c r="AC935" s="141"/>
      <c r="AD935" s="141"/>
      <c r="AE935" s="141"/>
      <c r="AF935" s="141"/>
      <c r="AG935" s="141"/>
      <c r="AH935" s="141"/>
      <c r="AI935" s="141"/>
      <c r="AJ935" s="140"/>
    </row>
    <row r="936" spans="1:36">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1"/>
      <c r="X936" s="141"/>
      <c r="Y936" s="141"/>
      <c r="Z936" s="141"/>
      <c r="AA936" s="141"/>
      <c r="AB936" s="141"/>
      <c r="AC936" s="141"/>
      <c r="AD936" s="141"/>
      <c r="AE936" s="141"/>
      <c r="AF936" s="141"/>
      <c r="AG936" s="141"/>
      <c r="AH936" s="141"/>
      <c r="AI936" s="141"/>
      <c r="AJ936" s="140"/>
    </row>
    <row r="937" spans="1:36">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1"/>
      <c r="X937" s="141"/>
      <c r="Y937" s="141"/>
      <c r="Z937" s="141"/>
      <c r="AA937" s="141"/>
      <c r="AB937" s="141"/>
      <c r="AC937" s="141"/>
      <c r="AD937" s="141"/>
      <c r="AE937" s="141"/>
      <c r="AF937" s="141"/>
      <c r="AG937" s="141"/>
      <c r="AH937" s="141"/>
      <c r="AI937" s="141"/>
      <c r="AJ937" s="140"/>
    </row>
    <row r="938" spans="1:36">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1"/>
      <c r="X938" s="141"/>
      <c r="Y938" s="141"/>
      <c r="Z938" s="141"/>
      <c r="AA938" s="141"/>
      <c r="AB938" s="141"/>
      <c r="AC938" s="141"/>
      <c r="AD938" s="141"/>
      <c r="AE938" s="141"/>
      <c r="AF938" s="141"/>
      <c r="AG938" s="141"/>
      <c r="AH938" s="141"/>
      <c r="AI938" s="141"/>
      <c r="AJ938" s="140"/>
    </row>
    <row r="939" spans="1:36">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1"/>
      <c r="X939" s="141"/>
      <c r="Y939" s="141"/>
      <c r="Z939" s="141"/>
      <c r="AA939" s="141"/>
      <c r="AB939" s="141"/>
      <c r="AC939" s="141"/>
      <c r="AD939" s="141"/>
      <c r="AE939" s="141"/>
      <c r="AF939" s="141"/>
      <c r="AG939" s="141"/>
      <c r="AH939" s="141"/>
      <c r="AI939" s="141"/>
      <c r="AJ939" s="140"/>
    </row>
    <row r="940" spans="1:36">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1"/>
      <c r="X940" s="141"/>
      <c r="Y940" s="141"/>
      <c r="Z940" s="141"/>
      <c r="AA940" s="141"/>
      <c r="AB940" s="141"/>
      <c r="AC940" s="141"/>
      <c r="AD940" s="141"/>
      <c r="AE940" s="141"/>
      <c r="AF940" s="141"/>
      <c r="AG940" s="141"/>
      <c r="AH940" s="141"/>
      <c r="AI940" s="141"/>
      <c r="AJ940" s="140"/>
    </row>
    <row r="941" spans="1:36">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1"/>
      <c r="X941" s="141"/>
      <c r="Y941" s="141"/>
      <c r="Z941" s="141"/>
      <c r="AA941" s="141"/>
      <c r="AB941" s="141"/>
      <c r="AC941" s="141"/>
      <c r="AD941" s="141"/>
      <c r="AE941" s="141"/>
      <c r="AF941" s="141"/>
      <c r="AG941" s="141"/>
      <c r="AH941" s="141"/>
      <c r="AI941" s="141"/>
      <c r="AJ941" s="140"/>
    </row>
    <row r="942" spans="1:36">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1"/>
      <c r="X942" s="141"/>
      <c r="Y942" s="141"/>
      <c r="Z942" s="141"/>
      <c r="AA942" s="141"/>
      <c r="AB942" s="141"/>
      <c r="AC942" s="141"/>
      <c r="AD942" s="141"/>
      <c r="AE942" s="141"/>
      <c r="AF942" s="141"/>
      <c r="AG942" s="141"/>
      <c r="AH942" s="141"/>
      <c r="AI942" s="141"/>
      <c r="AJ942" s="140"/>
    </row>
    <row r="943" spans="1:36">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1"/>
      <c r="X943" s="141"/>
      <c r="Y943" s="141"/>
      <c r="Z943" s="141"/>
      <c r="AA943" s="141"/>
      <c r="AB943" s="141"/>
      <c r="AC943" s="141"/>
      <c r="AD943" s="141"/>
      <c r="AE943" s="141"/>
      <c r="AF943" s="141"/>
      <c r="AG943" s="141"/>
      <c r="AH943" s="141"/>
      <c r="AI943" s="141"/>
      <c r="AJ943" s="140"/>
    </row>
    <row r="944" spans="1:36">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1"/>
      <c r="X944" s="141"/>
      <c r="Y944" s="141"/>
      <c r="Z944" s="141"/>
      <c r="AA944" s="141"/>
      <c r="AB944" s="141"/>
      <c r="AC944" s="141"/>
      <c r="AD944" s="141"/>
      <c r="AE944" s="141"/>
      <c r="AF944" s="141"/>
      <c r="AG944" s="141"/>
      <c r="AH944" s="141"/>
      <c r="AI944" s="141"/>
      <c r="AJ944" s="140"/>
    </row>
    <row r="945" spans="1:36">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1"/>
      <c r="X945" s="141"/>
      <c r="Y945" s="141"/>
      <c r="Z945" s="141"/>
      <c r="AA945" s="141"/>
      <c r="AB945" s="141"/>
      <c r="AC945" s="141"/>
      <c r="AD945" s="141"/>
      <c r="AE945" s="141"/>
      <c r="AF945" s="141"/>
      <c r="AG945" s="141"/>
      <c r="AH945" s="141"/>
      <c r="AI945" s="141"/>
      <c r="AJ945" s="140"/>
    </row>
    <row r="946" spans="1:36">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1"/>
      <c r="X946" s="141"/>
      <c r="Y946" s="141"/>
      <c r="Z946" s="141"/>
      <c r="AA946" s="141"/>
      <c r="AB946" s="141"/>
      <c r="AC946" s="141"/>
      <c r="AD946" s="141"/>
      <c r="AE946" s="141"/>
      <c r="AF946" s="141"/>
      <c r="AG946" s="141"/>
      <c r="AH946" s="141"/>
      <c r="AI946" s="141"/>
      <c r="AJ946" s="140"/>
    </row>
    <row r="947" spans="1:36">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1"/>
      <c r="X947" s="141"/>
      <c r="Y947" s="141"/>
      <c r="Z947" s="141"/>
      <c r="AA947" s="141"/>
      <c r="AB947" s="141"/>
      <c r="AC947" s="141"/>
      <c r="AD947" s="141"/>
      <c r="AE947" s="141"/>
      <c r="AF947" s="141"/>
      <c r="AG947" s="141"/>
      <c r="AH947" s="141"/>
      <c r="AI947" s="141"/>
      <c r="AJ947" s="140"/>
    </row>
    <row r="948" spans="1:36">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1"/>
      <c r="X948" s="141"/>
      <c r="Y948" s="141"/>
      <c r="Z948" s="141"/>
      <c r="AA948" s="141"/>
      <c r="AB948" s="141"/>
      <c r="AC948" s="141"/>
      <c r="AD948" s="141"/>
      <c r="AE948" s="141"/>
      <c r="AF948" s="141"/>
      <c r="AG948" s="141"/>
      <c r="AH948" s="141"/>
      <c r="AI948" s="141"/>
      <c r="AJ948" s="140"/>
    </row>
    <row r="949" spans="1:36">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1"/>
      <c r="X949" s="141"/>
      <c r="Y949" s="141"/>
      <c r="Z949" s="141"/>
      <c r="AA949" s="141"/>
      <c r="AB949" s="141"/>
      <c r="AC949" s="141"/>
      <c r="AD949" s="141"/>
      <c r="AE949" s="141"/>
      <c r="AF949" s="141"/>
      <c r="AG949" s="141"/>
      <c r="AH949" s="141"/>
      <c r="AI949" s="141"/>
      <c r="AJ949" s="140"/>
    </row>
    <row r="950" spans="1:36">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1"/>
      <c r="X950" s="141"/>
      <c r="Y950" s="141"/>
      <c r="Z950" s="141"/>
      <c r="AA950" s="141"/>
      <c r="AB950" s="141"/>
      <c r="AC950" s="141"/>
      <c r="AD950" s="141"/>
      <c r="AE950" s="141"/>
      <c r="AF950" s="141"/>
      <c r="AG950" s="141"/>
      <c r="AH950" s="141"/>
      <c r="AI950" s="141"/>
      <c r="AJ950" s="140"/>
    </row>
    <row r="951" spans="1:36">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1"/>
      <c r="X951" s="141"/>
      <c r="Y951" s="141"/>
      <c r="Z951" s="141"/>
      <c r="AA951" s="141"/>
      <c r="AB951" s="141"/>
      <c r="AC951" s="141"/>
      <c r="AD951" s="141"/>
      <c r="AE951" s="141"/>
      <c r="AF951" s="141"/>
      <c r="AG951" s="141"/>
      <c r="AH951" s="141"/>
      <c r="AI951" s="141"/>
      <c r="AJ951" s="140"/>
    </row>
    <row r="952" spans="1:36">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1"/>
      <c r="X952" s="141"/>
      <c r="Y952" s="141"/>
      <c r="Z952" s="141"/>
      <c r="AA952" s="141"/>
      <c r="AB952" s="141"/>
      <c r="AC952" s="141"/>
      <c r="AD952" s="141"/>
      <c r="AE952" s="141"/>
      <c r="AF952" s="141"/>
      <c r="AG952" s="141"/>
      <c r="AH952" s="141"/>
      <c r="AI952" s="141"/>
      <c r="AJ952" s="140"/>
    </row>
    <row r="953" spans="1:36">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1"/>
      <c r="X953" s="141"/>
      <c r="Y953" s="141"/>
      <c r="Z953" s="141"/>
      <c r="AA953" s="141"/>
      <c r="AB953" s="141"/>
      <c r="AC953" s="141"/>
      <c r="AD953" s="141"/>
      <c r="AE953" s="141"/>
      <c r="AF953" s="141"/>
      <c r="AG953" s="141"/>
      <c r="AH953" s="141"/>
      <c r="AI953" s="141"/>
      <c r="AJ953" s="140"/>
    </row>
    <row r="954" spans="1:36">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1"/>
      <c r="X954" s="141"/>
      <c r="Y954" s="141"/>
      <c r="Z954" s="141"/>
      <c r="AA954" s="141"/>
      <c r="AB954" s="141"/>
      <c r="AC954" s="141"/>
      <c r="AD954" s="141"/>
      <c r="AE954" s="141"/>
      <c r="AF954" s="141"/>
      <c r="AG954" s="141"/>
      <c r="AH954" s="141"/>
      <c r="AI954" s="141"/>
      <c r="AJ954" s="140"/>
    </row>
    <row r="955" spans="1:36">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1"/>
      <c r="X955" s="141"/>
      <c r="Y955" s="141"/>
      <c r="Z955" s="141"/>
      <c r="AA955" s="141"/>
      <c r="AB955" s="141"/>
      <c r="AC955" s="141"/>
      <c r="AD955" s="141"/>
      <c r="AE955" s="141"/>
      <c r="AF955" s="141"/>
      <c r="AG955" s="141"/>
      <c r="AH955" s="141"/>
      <c r="AI955" s="141"/>
      <c r="AJ955" s="140"/>
    </row>
    <row r="956" spans="1:36">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1"/>
      <c r="X956" s="141"/>
      <c r="Y956" s="141"/>
      <c r="Z956" s="141"/>
      <c r="AA956" s="141"/>
      <c r="AB956" s="141"/>
      <c r="AC956" s="141"/>
      <c r="AD956" s="141"/>
      <c r="AE956" s="141"/>
      <c r="AF956" s="141"/>
      <c r="AG956" s="141"/>
      <c r="AH956" s="141"/>
      <c r="AI956" s="141"/>
      <c r="AJ956" s="140"/>
    </row>
    <row r="957" spans="1:36">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1"/>
      <c r="X957" s="141"/>
      <c r="Y957" s="141"/>
      <c r="Z957" s="141"/>
      <c r="AA957" s="141"/>
      <c r="AB957" s="141"/>
      <c r="AC957" s="141"/>
      <c r="AD957" s="141"/>
      <c r="AE957" s="141"/>
      <c r="AF957" s="141"/>
      <c r="AG957" s="141"/>
      <c r="AH957" s="141"/>
      <c r="AI957" s="141"/>
      <c r="AJ957" s="140"/>
    </row>
    <row r="958" spans="1:36">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1"/>
      <c r="X958" s="141"/>
      <c r="Y958" s="141"/>
      <c r="Z958" s="141"/>
      <c r="AA958" s="141"/>
      <c r="AB958" s="141"/>
      <c r="AC958" s="141"/>
      <c r="AD958" s="141"/>
      <c r="AE958" s="141"/>
      <c r="AF958" s="141"/>
      <c r="AG958" s="141"/>
      <c r="AH958" s="141"/>
      <c r="AI958" s="141"/>
      <c r="AJ958" s="140"/>
    </row>
    <row r="959" spans="1:36">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1"/>
      <c r="X959" s="141"/>
      <c r="Y959" s="141"/>
      <c r="Z959" s="141"/>
      <c r="AA959" s="141"/>
      <c r="AB959" s="141"/>
      <c r="AC959" s="141"/>
      <c r="AD959" s="141"/>
      <c r="AE959" s="141"/>
      <c r="AF959" s="141"/>
      <c r="AG959" s="141"/>
      <c r="AH959" s="141"/>
      <c r="AI959" s="141"/>
      <c r="AJ959" s="140"/>
    </row>
    <row r="960" spans="1:36">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1"/>
      <c r="X960" s="141"/>
      <c r="Y960" s="141"/>
      <c r="Z960" s="141"/>
      <c r="AA960" s="141"/>
      <c r="AB960" s="141"/>
      <c r="AC960" s="141"/>
      <c r="AD960" s="141"/>
      <c r="AE960" s="141"/>
      <c r="AF960" s="141"/>
      <c r="AG960" s="141"/>
      <c r="AH960" s="141"/>
      <c r="AI960" s="141"/>
      <c r="AJ960" s="140"/>
    </row>
    <row r="961" spans="1:36">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1"/>
      <c r="X961" s="141"/>
      <c r="Y961" s="141"/>
      <c r="Z961" s="141"/>
      <c r="AA961" s="141"/>
      <c r="AB961" s="141"/>
      <c r="AC961" s="141"/>
      <c r="AD961" s="141"/>
      <c r="AE961" s="141"/>
      <c r="AF961" s="141"/>
      <c r="AG961" s="141"/>
      <c r="AH961" s="141"/>
      <c r="AI961" s="141"/>
      <c r="AJ961" s="140"/>
    </row>
    <row r="962" spans="1:36">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1"/>
      <c r="X962" s="141"/>
      <c r="Y962" s="141"/>
      <c r="Z962" s="141"/>
      <c r="AA962" s="141"/>
      <c r="AB962" s="141"/>
      <c r="AC962" s="141"/>
      <c r="AD962" s="141"/>
      <c r="AE962" s="141"/>
      <c r="AF962" s="141"/>
      <c r="AG962" s="141"/>
      <c r="AH962" s="141"/>
      <c r="AI962" s="141"/>
      <c r="AJ962" s="140"/>
    </row>
    <row r="963" spans="1:36">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1"/>
      <c r="X963" s="141"/>
      <c r="Y963" s="141"/>
      <c r="Z963" s="141"/>
      <c r="AA963" s="141"/>
      <c r="AB963" s="141"/>
      <c r="AC963" s="141"/>
      <c r="AD963" s="141"/>
      <c r="AE963" s="141"/>
      <c r="AF963" s="141"/>
      <c r="AG963" s="141"/>
      <c r="AH963" s="141"/>
      <c r="AI963" s="141"/>
      <c r="AJ963" s="140"/>
    </row>
    <row r="964" spans="1:36">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1"/>
      <c r="X964" s="141"/>
      <c r="Y964" s="141"/>
      <c r="Z964" s="141"/>
      <c r="AA964" s="141"/>
      <c r="AB964" s="141"/>
      <c r="AC964" s="141"/>
      <c r="AD964" s="141"/>
      <c r="AE964" s="141"/>
      <c r="AF964" s="141"/>
      <c r="AG964" s="141"/>
      <c r="AH964" s="141"/>
      <c r="AI964" s="141"/>
      <c r="AJ964" s="140"/>
    </row>
    <row r="965" spans="1:36">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1"/>
      <c r="X965" s="141"/>
      <c r="Y965" s="141"/>
      <c r="Z965" s="141"/>
      <c r="AA965" s="141"/>
      <c r="AB965" s="141"/>
      <c r="AC965" s="141"/>
      <c r="AD965" s="141"/>
      <c r="AE965" s="141"/>
      <c r="AF965" s="141"/>
      <c r="AG965" s="141"/>
      <c r="AH965" s="141"/>
      <c r="AI965" s="141"/>
      <c r="AJ965" s="140"/>
    </row>
    <row r="966" spans="1:36">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1"/>
      <c r="X966" s="141"/>
      <c r="Y966" s="141"/>
      <c r="Z966" s="141"/>
      <c r="AA966" s="141"/>
      <c r="AB966" s="141"/>
      <c r="AC966" s="141"/>
      <c r="AD966" s="141"/>
      <c r="AE966" s="141"/>
      <c r="AF966" s="141"/>
      <c r="AG966" s="141"/>
      <c r="AH966" s="141"/>
      <c r="AI966" s="141"/>
      <c r="AJ966" s="140"/>
    </row>
    <row r="967" spans="1:36">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1"/>
      <c r="X967" s="141"/>
      <c r="Y967" s="141"/>
      <c r="Z967" s="141"/>
      <c r="AA967" s="141"/>
      <c r="AB967" s="141"/>
      <c r="AC967" s="141"/>
      <c r="AD967" s="141"/>
      <c r="AE967" s="141"/>
      <c r="AF967" s="141"/>
      <c r="AG967" s="141"/>
      <c r="AH967" s="141"/>
      <c r="AI967" s="141"/>
      <c r="AJ967" s="140"/>
    </row>
    <row r="968" spans="1:36">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1"/>
      <c r="X968" s="141"/>
      <c r="Y968" s="141"/>
      <c r="Z968" s="141"/>
      <c r="AA968" s="141"/>
      <c r="AB968" s="141"/>
      <c r="AC968" s="141"/>
      <c r="AD968" s="141"/>
      <c r="AE968" s="141"/>
      <c r="AF968" s="141"/>
      <c r="AG968" s="141"/>
      <c r="AH968" s="141"/>
      <c r="AI968" s="141"/>
      <c r="AJ968" s="140"/>
    </row>
    <row r="969" spans="1:36">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1"/>
      <c r="X969" s="141"/>
      <c r="Y969" s="141"/>
      <c r="Z969" s="141"/>
      <c r="AA969" s="141"/>
      <c r="AB969" s="141"/>
      <c r="AC969" s="141"/>
      <c r="AD969" s="141"/>
      <c r="AE969" s="141"/>
      <c r="AF969" s="141"/>
      <c r="AG969" s="141"/>
      <c r="AH969" s="141"/>
      <c r="AI969" s="141"/>
      <c r="AJ969" s="140"/>
    </row>
    <row r="970" spans="1:36">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1"/>
      <c r="X970" s="141"/>
      <c r="Y970" s="141"/>
      <c r="Z970" s="141"/>
      <c r="AA970" s="141"/>
      <c r="AB970" s="141"/>
      <c r="AC970" s="141"/>
      <c r="AD970" s="141"/>
      <c r="AE970" s="141"/>
      <c r="AF970" s="141"/>
      <c r="AG970" s="141"/>
      <c r="AH970" s="141"/>
      <c r="AI970" s="141"/>
      <c r="AJ970" s="140"/>
    </row>
    <row r="971" spans="1:36">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1"/>
      <c r="X971" s="141"/>
      <c r="Y971" s="141"/>
      <c r="Z971" s="141"/>
      <c r="AA971" s="141"/>
      <c r="AB971" s="141"/>
      <c r="AC971" s="141"/>
      <c r="AD971" s="141"/>
      <c r="AE971" s="141"/>
      <c r="AF971" s="141"/>
      <c r="AG971" s="141"/>
      <c r="AH971" s="141"/>
      <c r="AI971" s="141"/>
      <c r="AJ971" s="140"/>
    </row>
    <row r="972" spans="1:36">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1"/>
      <c r="X972" s="141"/>
      <c r="Y972" s="141"/>
      <c r="Z972" s="141"/>
      <c r="AA972" s="141"/>
      <c r="AB972" s="141"/>
      <c r="AC972" s="141"/>
      <c r="AD972" s="141"/>
      <c r="AE972" s="141"/>
      <c r="AF972" s="141"/>
      <c r="AG972" s="141"/>
      <c r="AH972" s="141"/>
      <c r="AI972" s="141"/>
      <c r="AJ972" s="140"/>
    </row>
    <row r="973" spans="1:36">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1"/>
      <c r="X973" s="141"/>
      <c r="Y973" s="141"/>
      <c r="Z973" s="141"/>
      <c r="AA973" s="141"/>
      <c r="AB973" s="141"/>
      <c r="AC973" s="141"/>
      <c r="AD973" s="141"/>
      <c r="AE973" s="141"/>
      <c r="AF973" s="141"/>
      <c r="AG973" s="141"/>
      <c r="AH973" s="141"/>
      <c r="AI973" s="141"/>
      <c r="AJ973" s="140"/>
    </row>
    <row r="974" spans="1:36">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1"/>
      <c r="X974" s="141"/>
      <c r="Y974" s="141"/>
      <c r="Z974" s="141"/>
      <c r="AA974" s="141"/>
      <c r="AB974" s="141"/>
      <c r="AC974" s="141"/>
      <c r="AD974" s="141"/>
      <c r="AE974" s="141"/>
      <c r="AF974" s="141"/>
      <c r="AG974" s="141"/>
      <c r="AH974" s="141"/>
      <c r="AI974" s="141"/>
      <c r="AJ974" s="140"/>
    </row>
    <row r="975" spans="1:36">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1"/>
      <c r="X975" s="141"/>
      <c r="Y975" s="141"/>
      <c r="Z975" s="141"/>
      <c r="AA975" s="141"/>
      <c r="AB975" s="141"/>
      <c r="AC975" s="141"/>
      <c r="AD975" s="141"/>
      <c r="AE975" s="141"/>
      <c r="AF975" s="141"/>
      <c r="AG975" s="141"/>
      <c r="AH975" s="141"/>
      <c r="AI975" s="141"/>
      <c r="AJ975" s="140"/>
    </row>
    <row r="976" spans="1:36">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1"/>
      <c r="X976" s="141"/>
      <c r="Y976" s="141"/>
      <c r="Z976" s="141"/>
      <c r="AA976" s="141"/>
      <c r="AB976" s="141"/>
      <c r="AC976" s="141"/>
      <c r="AD976" s="141"/>
      <c r="AE976" s="141"/>
      <c r="AF976" s="141"/>
      <c r="AG976" s="141"/>
      <c r="AH976" s="141"/>
      <c r="AI976" s="141"/>
      <c r="AJ976" s="140"/>
    </row>
    <row r="977" spans="1:36">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1"/>
      <c r="X977" s="141"/>
      <c r="Y977" s="141"/>
      <c r="Z977" s="141"/>
      <c r="AA977" s="141"/>
      <c r="AB977" s="141"/>
      <c r="AC977" s="141"/>
      <c r="AD977" s="141"/>
      <c r="AE977" s="141"/>
      <c r="AF977" s="141"/>
      <c r="AG977" s="141"/>
      <c r="AH977" s="141"/>
      <c r="AI977" s="141"/>
      <c r="AJ977" s="140"/>
    </row>
    <row r="978" spans="1:36">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1"/>
      <c r="X978" s="141"/>
      <c r="Y978" s="141"/>
      <c r="Z978" s="141"/>
      <c r="AA978" s="141"/>
      <c r="AB978" s="141"/>
      <c r="AC978" s="141"/>
      <c r="AD978" s="141"/>
      <c r="AE978" s="141"/>
      <c r="AF978" s="141"/>
      <c r="AG978" s="141"/>
      <c r="AH978" s="141"/>
      <c r="AI978" s="141"/>
      <c r="AJ978" s="140"/>
    </row>
    <row r="979" spans="1:36">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1"/>
      <c r="X979" s="141"/>
      <c r="Y979" s="141"/>
      <c r="Z979" s="141"/>
      <c r="AA979" s="141"/>
      <c r="AB979" s="141"/>
      <c r="AC979" s="141"/>
      <c r="AD979" s="141"/>
      <c r="AE979" s="141"/>
      <c r="AF979" s="141"/>
      <c r="AG979" s="141"/>
      <c r="AH979" s="141"/>
      <c r="AI979" s="141"/>
      <c r="AJ979" s="140"/>
    </row>
    <row r="980" spans="1:36">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1"/>
      <c r="X980" s="141"/>
      <c r="Y980" s="141"/>
      <c r="Z980" s="141"/>
      <c r="AA980" s="141"/>
      <c r="AB980" s="141"/>
      <c r="AC980" s="141"/>
      <c r="AD980" s="141"/>
      <c r="AE980" s="141"/>
      <c r="AF980" s="141"/>
      <c r="AG980" s="141"/>
      <c r="AH980" s="141"/>
      <c r="AI980" s="141"/>
      <c r="AJ980" s="140"/>
    </row>
    <row r="981" spans="1:36">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1"/>
      <c r="X981" s="141"/>
      <c r="Y981" s="141"/>
      <c r="Z981" s="141"/>
      <c r="AA981" s="141"/>
      <c r="AB981" s="141"/>
      <c r="AC981" s="141"/>
      <c r="AD981" s="141"/>
      <c r="AE981" s="141"/>
      <c r="AF981" s="141"/>
      <c r="AG981" s="141"/>
      <c r="AH981" s="141"/>
      <c r="AI981" s="141"/>
      <c r="AJ981" s="140"/>
    </row>
    <row r="982" spans="1:36">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1"/>
      <c r="X982" s="141"/>
      <c r="Y982" s="141"/>
      <c r="Z982" s="141"/>
      <c r="AA982" s="141"/>
      <c r="AB982" s="141"/>
      <c r="AC982" s="141"/>
      <c r="AD982" s="141"/>
      <c r="AE982" s="141"/>
      <c r="AF982" s="141"/>
      <c r="AG982" s="141"/>
      <c r="AH982" s="141"/>
      <c r="AI982" s="141"/>
      <c r="AJ982" s="140"/>
    </row>
    <row r="983" spans="1:36">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1"/>
      <c r="X983" s="141"/>
      <c r="Y983" s="141"/>
      <c r="Z983" s="141"/>
      <c r="AA983" s="141"/>
      <c r="AB983" s="141"/>
      <c r="AC983" s="141"/>
      <c r="AD983" s="141"/>
      <c r="AE983" s="141"/>
      <c r="AF983" s="141"/>
      <c r="AG983" s="141"/>
      <c r="AH983" s="141"/>
      <c r="AI983" s="141"/>
      <c r="AJ983" s="140"/>
    </row>
    <row r="984" spans="1:36">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1"/>
      <c r="X984" s="141"/>
      <c r="Y984" s="141"/>
      <c r="Z984" s="141"/>
      <c r="AA984" s="141"/>
      <c r="AB984" s="141"/>
      <c r="AC984" s="141"/>
      <c r="AD984" s="141"/>
      <c r="AE984" s="141"/>
      <c r="AF984" s="141"/>
      <c r="AG984" s="141"/>
      <c r="AH984" s="141"/>
      <c r="AI984" s="141"/>
      <c r="AJ984" s="140"/>
    </row>
    <row r="985" spans="1:36">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1"/>
      <c r="X985" s="141"/>
      <c r="Y985" s="141"/>
      <c r="Z985" s="141"/>
      <c r="AA985" s="141"/>
      <c r="AB985" s="141"/>
      <c r="AC985" s="141"/>
      <c r="AD985" s="141"/>
      <c r="AE985" s="141"/>
      <c r="AF985" s="141"/>
      <c r="AG985" s="141"/>
      <c r="AH985" s="141"/>
      <c r="AI985" s="141"/>
      <c r="AJ985" s="140"/>
    </row>
    <row r="986" spans="1:36">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1"/>
      <c r="X986" s="141"/>
      <c r="Y986" s="141"/>
      <c r="Z986" s="141"/>
      <c r="AA986" s="141"/>
      <c r="AB986" s="141"/>
      <c r="AC986" s="141"/>
      <c r="AD986" s="141"/>
      <c r="AE986" s="141"/>
      <c r="AF986" s="141"/>
      <c r="AG986" s="141"/>
      <c r="AH986" s="141"/>
      <c r="AI986" s="141"/>
      <c r="AJ986" s="140"/>
    </row>
    <row r="987" spans="1:36">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1"/>
      <c r="X987" s="141"/>
      <c r="Y987" s="141"/>
      <c r="Z987" s="141"/>
      <c r="AA987" s="141"/>
      <c r="AB987" s="141"/>
      <c r="AC987" s="141"/>
      <c r="AD987" s="141"/>
      <c r="AE987" s="141"/>
      <c r="AF987" s="141"/>
      <c r="AG987" s="141"/>
      <c r="AH987" s="141"/>
      <c r="AI987" s="141"/>
      <c r="AJ987" s="140"/>
    </row>
    <row r="988" spans="1:36">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1"/>
      <c r="X988" s="141"/>
      <c r="Y988" s="141"/>
      <c r="Z988" s="141"/>
      <c r="AA988" s="141"/>
      <c r="AB988" s="141"/>
      <c r="AC988" s="141"/>
      <c r="AD988" s="141"/>
      <c r="AE988" s="141"/>
      <c r="AF988" s="141"/>
      <c r="AG988" s="141"/>
      <c r="AH988" s="141"/>
      <c r="AI988" s="141"/>
      <c r="AJ988" s="140"/>
    </row>
    <row r="989" spans="1:36">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1"/>
      <c r="X989" s="141"/>
      <c r="Y989" s="141"/>
      <c r="Z989" s="141"/>
      <c r="AA989" s="141"/>
      <c r="AB989" s="141"/>
      <c r="AC989" s="141"/>
      <c r="AD989" s="141"/>
      <c r="AE989" s="141"/>
      <c r="AF989" s="141"/>
      <c r="AG989" s="141"/>
      <c r="AH989" s="141"/>
      <c r="AI989" s="141"/>
      <c r="AJ989" s="140"/>
    </row>
    <row r="990" spans="1:36">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1"/>
      <c r="X990" s="141"/>
      <c r="Y990" s="141"/>
      <c r="Z990" s="141"/>
      <c r="AA990" s="141"/>
      <c r="AB990" s="141"/>
      <c r="AC990" s="141"/>
      <c r="AD990" s="141"/>
      <c r="AE990" s="141"/>
      <c r="AF990" s="141"/>
      <c r="AG990" s="141"/>
      <c r="AH990" s="141"/>
      <c r="AI990" s="141"/>
      <c r="AJ990" s="140"/>
    </row>
    <row r="991" spans="1:36">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1"/>
      <c r="X991" s="141"/>
      <c r="Y991" s="141"/>
      <c r="Z991" s="141"/>
      <c r="AA991" s="141"/>
      <c r="AB991" s="141"/>
      <c r="AC991" s="141"/>
      <c r="AD991" s="141"/>
      <c r="AE991" s="141"/>
      <c r="AF991" s="141"/>
      <c r="AG991" s="141"/>
      <c r="AH991" s="141"/>
      <c r="AI991" s="141"/>
      <c r="AJ991" s="140"/>
    </row>
    <row r="992" spans="1:36">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1"/>
      <c r="X992" s="141"/>
      <c r="Y992" s="141"/>
      <c r="Z992" s="141"/>
      <c r="AA992" s="141"/>
      <c r="AB992" s="141"/>
      <c r="AC992" s="141"/>
      <c r="AD992" s="141"/>
      <c r="AE992" s="141"/>
      <c r="AF992" s="141"/>
      <c r="AG992" s="141"/>
      <c r="AH992" s="141"/>
      <c r="AI992" s="141"/>
      <c r="AJ992" s="140"/>
    </row>
    <row r="993" spans="1:36">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1"/>
      <c r="X993" s="141"/>
      <c r="Y993" s="141"/>
      <c r="Z993" s="141"/>
      <c r="AA993" s="141"/>
      <c r="AB993" s="141"/>
      <c r="AC993" s="141"/>
      <c r="AD993" s="141"/>
      <c r="AE993" s="141"/>
      <c r="AF993" s="141"/>
      <c r="AG993" s="141"/>
      <c r="AH993" s="141"/>
      <c r="AI993" s="141"/>
      <c r="AJ993" s="140"/>
    </row>
    <row r="994" spans="1:36">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1"/>
      <c r="X994" s="141"/>
      <c r="Y994" s="141"/>
      <c r="Z994" s="141"/>
      <c r="AA994" s="141"/>
      <c r="AB994" s="141"/>
      <c r="AC994" s="141"/>
      <c r="AD994" s="141"/>
      <c r="AE994" s="141"/>
      <c r="AF994" s="141"/>
      <c r="AG994" s="141"/>
      <c r="AH994" s="141"/>
      <c r="AI994" s="141"/>
      <c r="AJ994" s="140"/>
    </row>
    <row r="995" spans="1:36">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1"/>
      <c r="X995" s="141"/>
      <c r="Y995" s="141"/>
      <c r="Z995" s="141"/>
      <c r="AA995" s="141"/>
      <c r="AB995" s="141"/>
      <c r="AC995" s="141"/>
      <c r="AD995" s="141"/>
      <c r="AE995" s="141"/>
      <c r="AF995" s="141"/>
      <c r="AG995" s="141"/>
      <c r="AH995" s="141"/>
      <c r="AI995" s="141"/>
      <c r="AJ995" s="140"/>
    </row>
    <row r="996" spans="1:36">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1"/>
      <c r="X996" s="141"/>
      <c r="Y996" s="141"/>
      <c r="Z996" s="141"/>
      <c r="AA996" s="141"/>
      <c r="AB996" s="141"/>
      <c r="AC996" s="141"/>
      <c r="AD996" s="141"/>
      <c r="AE996" s="141"/>
      <c r="AF996" s="141"/>
      <c r="AG996" s="141"/>
      <c r="AH996" s="141"/>
      <c r="AI996" s="141"/>
      <c r="AJ996" s="140"/>
    </row>
    <row r="997" spans="1:36">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1"/>
      <c r="X997" s="141"/>
      <c r="Y997" s="141"/>
      <c r="Z997" s="141"/>
      <c r="AA997" s="141"/>
      <c r="AB997" s="141"/>
      <c r="AC997" s="141"/>
      <c r="AD997" s="141"/>
      <c r="AE997" s="141"/>
      <c r="AF997" s="141"/>
      <c r="AG997" s="141"/>
      <c r="AH997" s="141"/>
      <c r="AI997" s="141"/>
      <c r="AJ997" s="140"/>
    </row>
    <row r="998" spans="1:36">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1"/>
      <c r="X998" s="141"/>
      <c r="Y998" s="141"/>
      <c r="Z998" s="141"/>
      <c r="AA998" s="141"/>
      <c r="AB998" s="141"/>
      <c r="AC998" s="141"/>
      <c r="AD998" s="141"/>
      <c r="AE998" s="141"/>
      <c r="AF998" s="141"/>
      <c r="AG998" s="141"/>
      <c r="AH998" s="141"/>
      <c r="AI998" s="141"/>
      <c r="AJ998" s="140"/>
    </row>
    <row r="999" spans="1:36">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1"/>
      <c r="X999" s="141"/>
      <c r="Y999" s="141"/>
      <c r="Z999" s="141"/>
      <c r="AA999" s="141"/>
      <c r="AB999" s="141"/>
      <c r="AC999" s="141"/>
      <c r="AD999" s="141"/>
      <c r="AE999" s="141"/>
      <c r="AF999" s="141"/>
      <c r="AG999" s="141"/>
      <c r="AH999" s="141"/>
      <c r="AI999" s="141"/>
      <c r="AJ999" s="140"/>
    </row>
    <row r="1000" spans="1:36">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1"/>
      <c r="X1000" s="141"/>
      <c r="Y1000" s="141"/>
      <c r="Z1000" s="141"/>
      <c r="AA1000" s="141"/>
      <c r="AB1000" s="141"/>
      <c r="AC1000" s="141"/>
      <c r="AD1000" s="141"/>
      <c r="AE1000" s="141"/>
      <c r="AF1000" s="141"/>
      <c r="AG1000" s="141"/>
      <c r="AH1000" s="141"/>
      <c r="AI1000" s="141"/>
      <c r="AJ1000" s="14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election sqref="A1:B1"/>
    </sheetView>
  </sheetViews>
  <sheetFormatPr defaultColWidth="12.59765625" defaultRowHeight="15.75" customHeight="1"/>
  <cols>
    <col min="1" max="1" width="9.59765625" customWidth="1"/>
    <col min="2" max="2" width="16.73046875" customWidth="1"/>
    <col min="4" max="7" width="20.265625" customWidth="1"/>
    <col min="14" max="14" width="56.46484375" customWidth="1"/>
  </cols>
  <sheetData>
    <row r="1" spans="1:26">
      <c r="A1" s="248" t="s">
        <v>8206</v>
      </c>
      <c r="B1" s="203"/>
      <c r="C1" s="45"/>
      <c r="D1" s="249" t="s">
        <v>8207</v>
      </c>
      <c r="E1" s="196"/>
      <c r="F1" s="196"/>
      <c r="G1" s="203"/>
      <c r="H1" s="45"/>
      <c r="I1" s="250" t="s">
        <v>8208</v>
      </c>
      <c r="J1" s="196"/>
      <c r="K1" s="203"/>
      <c r="L1" s="45"/>
      <c r="M1" s="45"/>
      <c r="N1" s="44" t="s">
        <v>8209</v>
      </c>
      <c r="O1" s="45"/>
      <c r="P1" s="45"/>
      <c r="Q1" s="45"/>
      <c r="R1" s="45"/>
      <c r="S1" s="45"/>
      <c r="T1" s="45"/>
      <c r="U1" s="45"/>
      <c r="V1" s="45"/>
      <c r="W1" s="45"/>
      <c r="X1" s="45"/>
      <c r="Y1" s="45"/>
      <c r="Z1" s="45"/>
    </row>
    <row r="2" spans="1:26">
      <c r="A2" s="42">
        <v>1</v>
      </c>
      <c r="B2" s="42" t="s">
        <v>8210</v>
      </c>
      <c r="C2" s="45"/>
      <c r="D2" s="142" t="s">
        <v>8211</v>
      </c>
      <c r="E2" s="142" t="s">
        <v>8212</v>
      </c>
      <c r="F2" s="251" t="s">
        <v>8213</v>
      </c>
      <c r="G2" s="203"/>
      <c r="H2" s="45"/>
      <c r="I2" s="42" t="s">
        <v>8214</v>
      </c>
      <c r="J2" s="252" t="s">
        <v>8215</v>
      </c>
      <c r="K2" s="42" t="s">
        <v>8216</v>
      </c>
      <c r="L2" s="45"/>
      <c r="M2" s="45"/>
      <c r="N2" s="44" t="s">
        <v>8217</v>
      </c>
      <c r="O2" s="45"/>
      <c r="P2" s="45"/>
      <c r="Q2" s="45"/>
      <c r="R2" s="45"/>
      <c r="S2" s="45"/>
      <c r="T2" s="45"/>
      <c r="U2" s="45"/>
      <c r="V2" s="45"/>
      <c r="W2" s="45"/>
      <c r="X2" s="45"/>
      <c r="Y2" s="45"/>
      <c r="Z2" s="45"/>
    </row>
    <row r="3" spans="1:26">
      <c r="A3" s="42">
        <v>2</v>
      </c>
      <c r="B3" s="42" t="s">
        <v>990</v>
      </c>
      <c r="C3" s="45"/>
      <c r="D3" s="42" t="s">
        <v>8218</v>
      </c>
      <c r="E3" s="42" t="s">
        <v>8219</v>
      </c>
      <c r="F3" s="42" t="s">
        <v>8220</v>
      </c>
      <c r="G3" s="42" t="s">
        <v>8221</v>
      </c>
      <c r="H3" s="45"/>
      <c r="I3" s="42" t="s">
        <v>8222</v>
      </c>
      <c r="J3" s="253"/>
      <c r="K3" s="42" t="s">
        <v>8223</v>
      </c>
      <c r="L3" s="45"/>
      <c r="M3" s="45"/>
      <c r="N3" s="44" t="s">
        <v>8224</v>
      </c>
      <c r="O3" s="45"/>
      <c r="P3" s="45"/>
      <c r="Q3" s="45"/>
      <c r="R3" s="45"/>
      <c r="S3" s="45"/>
      <c r="T3" s="45"/>
      <c r="U3" s="45"/>
      <c r="V3" s="45"/>
      <c r="W3" s="45"/>
      <c r="X3" s="45"/>
      <c r="Y3" s="45"/>
      <c r="Z3" s="45"/>
    </row>
    <row r="4" spans="1:26">
      <c r="A4" s="42">
        <v>3</v>
      </c>
      <c r="B4" s="42" t="s">
        <v>8225</v>
      </c>
      <c r="C4" s="45"/>
      <c r="D4" s="42" t="s">
        <v>8226</v>
      </c>
      <c r="E4" s="42"/>
      <c r="F4" s="42" t="s">
        <v>8227</v>
      </c>
      <c r="G4" s="42" t="s">
        <v>8228</v>
      </c>
      <c r="H4" s="45"/>
      <c r="I4" s="42" t="s">
        <v>8229</v>
      </c>
      <c r="J4" s="254"/>
      <c r="K4" s="42" t="s">
        <v>8230</v>
      </c>
      <c r="L4" s="45"/>
      <c r="M4" s="45"/>
      <c r="N4" s="44" t="s">
        <v>8231</v>
      </c>
      <c r="O4" s="45"/>
      <c r="P4" s="45"/>
      <c r="Q4" s="45"/>
      <c r="R4" s="45"/>
      <c r="S4" s="45"/>
      <c r="T4" s="45"/>
      <c r="U4" s="45"/>
      <c r="V4" s="45"/>
      <c r="W4" s="45"/>
      <c r="X4" s="45"/>
      <c r="Y4" s="45"/>
      <c r="Z4" s="45"/>
    </row>
    <row r="5" spans="1:26">
      <c r="A5" s="42">
        <v>4</v>
      </c>
      <c r="B5" s="42" t="s">
        <v>8232</v>
      </c>
      <c r="C5" s="45"/>
      <c r="D5" s="42" t="s">
        <v>8233</v>
      </c>
      <c r="E5" s="42"/>
      <c r="F5" s="42" t="s">
        <v>8234</v>
      </c>
      <c r="G5" s="42" t="s">
        <v>8235</v>
      </c>
      <c r="H5" s="45"/>
      <c r="I5" s="45"/>
      <c r="J5" s="45"/>
      <c r="K5" s="45"/>
      <c r="L5" s="45"/>
      <c r="M5" s="45"/>
      <c r="N5" s="44" t="s">
        <v>8236</v>
      </c>
      <c r="O5" s="45"/>
      <c r="P5" s="45"/>
      <c r="Q5" s="45"/>
      <c r="R5" s="45"/>
      <c r="S5" s="45"/>
      <c r="T5" s="45"/>
      <c r="U5" s="45"/>
      <c r="V5" s="45"/>
      <c r="W5" s="45"/>
      <c r="X5" s="45"/>
      <c r="Y5" s="45"/>
      <c r="Z5" s="45"/>
    </row>
    <row r="6" spans="1:26">
      <c r="A6" s="42">
        <v>5</v>
      </c>
      <c r="B6" s="42" t="s">
        <v>8237</v>
      </c>
      <c r="C6" s="45"/>
      <c r="D6" s="42" t="s">
        <v>8238</v>
      </c>
      <c r="E6" s="42"/>
      <c r="F6" s="42"/>
      <c r="G6" s="42"/>
      <c r="H6" s="45"/>
      <c r="I6" s="45"/>
      <c r="J6" s="45"/>
      <c r="K6" s="45"/>
      <c r="L6" s="45"/>
      <c r="M6" s="45"/>
      <c r="N6" s="44" t="s">
        <v>8239</v>
      </c>
      <c r="O6" s="45"/>
      <c r="P6" s="45"/>
      <c r="Q6" s="45"/>
      <c r="R6" s="45"/>
      <c r="S6" s="45"/>
      <c r="T6" s="45"/>
      <c r="U6" s="45"/>
      <c r="V6" s="45"/>
      <c r="W6" s="45"/>
      <c r="X6" s="45"/>
      <c r="Y6" s="45"/>
      <c r="Z6" s="45"/>
    </row>
    <row r="7" spans="1:26">
      <c r="A7" s="42">
        <v>6</v>
      </c>
      <c r="B7" s="42" t="s">
        <v>8240</v>
      </c>
      <c r="C7" s="45"/>
      <c r="D7" s="42" t="s">
        <v>8241</v>
      </c>
      <c r="E7" s="42"/>
      <c r="F7" s="42"/>
      <c r="G7" s="42"/>
      <c r="H7" s="45"/>
      <c r="I7" s="45"/>
      <c r="J7" s="45"/>
      <c r="K7" s="45"/>
      <c r="L7" s="45"/>
      <c r="M7" s="45"/>
      <c r="N7" s="44" t="s">
        <v>8242</v>
      </c>
      <c r="O7" s="45"/>
      <c r="P7" s="45"/>
      <c r="Q7" s="45"/>
      <c r="R7" s="45"/>
      <c r="S7" s="45"/>
      <c r="T7" s="45"/>
      <c r="U7" s="45"/>
      <c r="V7" s="45"/>
      <c r="W7" s="45"/>
      <c r="X7" s="45"/>
      <c r="Y7" s="45"/>
      <c r="Z7" s="45"/>
    </row>
    <row r="8" spans="1:26">
      <c r="A8" s="45"/>
      <c r="B8" s="45"/>
      <c r="C8" s="45"/>
      <c r="D8" s="45"/>
      <c r="E8" s="45"/>
      <c r="F8" s="45"/>
      <c r="G8" s="45"/>
      <c r="H8" s="45"/>
      <c r="I8" s="45"/>
      <c r="J8" s="45"/>
      <c r="K8" s="45"/>
      <c r="L8" s="45"/>
      <c r="M8" s="45"/>
      <c r="N8" s="44" t="s">
        <v>8243</v>
      </c>
      <c r="O8" s="45"/>
      <c r="P8" s="45"/>
      <c r="Q8" s="45"/>
      <c r="R8" s="45"/>
      <c r="S8" s="45"/>
      <c r="T8" s="45"/>
      <c r="U8" s="45"/>
      <c r="V8" s="45"/>
      <c r="W8" s="45"/>
      <c r="X8" s="45"/>
      <c r="Y8" s="45"/>
      <c r="Z8" s="45"/>
    </row>
    <row r="9" spans="1:26">
      <c r="A9" s="45"/>
      <c r="B9" s="45"/>
      <c r="C9" s="45"/>
      <c r="D9" s="45"/>
      <c r="E9" s="45"/>
      <c r="F9" s="45"/>
      <c r="G9" s="45"/>
      <c r="H9" s="45"/>
      <c r="I9" s="45"/>
      <c r="J9" s="45"/>
      <c r="K9" s="45"/>
      <c r="L9" s="45"/>
      <c r="M9" s="45"/>
      <c r="N9" s="44" t="s">
        <v>8244</v>
      </c>
      <c r="O9" s="45"/>
      <c r="P9" s="45"/>
      <c r="Q9" s="45"/>
      <c r="R9" s="45"/>
      <c r="S9" s="45"/>
      <c r="T9" s="45"/>
      <c r="U9" s="45"/>
      <c r="V9" s="45"/>
      <c r="W9" s="45"/>
      <c r="X9" s="45"/>
      <c r="Y9" s="45"/>
      <c r="Z9" s="45"/>
    </row>
    <row r="10" spans="1:26">
      <c r="A10" s="45"/>
      <c r="B10" s="45"/>
      <c r="C10" s="45"/>
      <c r="D10" s="45"/>
      <c r="E10" s="45"/>
      <c r="F10" s="45"/>
      <c r="G10" s="45"/>
      <c r="H10" s="45"/>
      <c r="I10" s="45"/>
      <c r="J10" s="45"/>
      <c r="K10" s="45"/>
      <c r="L10" s="45"/>
      <c r="M10" s="45"/>
      <c r="N10" s="44" t="s">
        <v>8245</v>
      </c>
      <c r="O10" s="45"/>
      <c r="P10" s="45"/>
      <c r="Q10" s="45"/>
      <c r="R10" s="45"/>
      <c r="S10" s="45"/>
      <c r="T10" s="45"/>
      <c r="U10" s="45"/>
      <c r="V10" s="45"/>
      <c r="W10" s="45"/>
      <c r="X10" s="45"/>
      <c r="Y10" s="45"/>
      <c r="Z10" s="45"/>
    </row>
    <row r="11" spans="1:26">
      <c r="A11" s="63"/>
      <c r="B11" s="45"/>
      <c r="C11" s="45"/>
      <c r="D11" s="44"/>
      <c r="E11" s="45"/>
      <c r="F11" s="45"/>
      <c r="G11" s="45"/>
      <c r="H11" s="45"/>
      <c r="I11" s="45"/>
      <c r="J11" s="45"/>
      <c r="K11" s="45"/>
      <c r="L11" s="45"/>
      <c r="M11" s="45"/>
      <c r="N11" s="44" t="s">
        <v>8246</v>
      </c>
      <c r="O11" s="45"/>
      <c r="P11" s="45"/>
      <c r="Q11" s="45"/>
      <c r="R11" s="45"/>
      <c r="S11" s="45"/>
      <c r="T11" s="45"/>
      <c r="U11" s="45"/>
      <c r="V11" s="45"/>
      <c r="W11" s="45"/>
      <c r="X11" s="45"/>
      <c r="Y11" s="45"/>
      <c r="Z11" s="45"/>
    </row>
    <row r="12" spans="1:26">
      <c r="A12" s="45"/>
      <c r="B12" s="45"/>
      <c r="C12" s="45"/>
      <c r="D12" s="45"/>
      <c r="E12" s="45"/>
      <c r="F12" s="45"/>
      <c r="G12" s="45"/>
      <c r="H12" s="45"/>
      <c r="I12" s="45"/>
      <c r="J12" s="45"/>
      <c r="K12" s="45"/>
      <c r="L12" s="45"/>
      <c r="M12" s="45"/>
      <c r="N12" s="44" t="s">
        <v>8247</v>
      </c>
      <c r="O12" s="45"/>
      <c r="P12" s="45"/>
      <c r="Q12" s="45"/>
      <c r="R12" s="45"/>
      <c r="S12" s="45"/>
      <c r="T12" s="45"/>
      <c r="U12" s="45"/>
      <c r="V12" s="45"/>
      <c r="W12" s="45"/>
      <c r="X12" s="45"/>
      <c r="Y12" s="45"/>
      <c r="Z12" s="45"/>
    </row>
    <row r="13" spans="1:26">
      <c r="A13" s="45"/>
      <c r="B13" s="45"/>
      <c r="C13" s="45"/>
      <c r="D13" s="45"/>
      <c r="E13" s="45"/>
      <c r="F13" s="45"/>
      <c r="G13" s="45"/>
      <c r="H13" s="45"/>
      <c r="I13" s="45"/>
      <c r="J13" s="45"/>
      <c r="K13" s="45"/>
      <c r="L13" s="45"/>
      <c r="M13" s="45"/>
      <c r="N13" s="44"/>
      <c r="O13" s="45"/>
      <c r="P13" s="45"/>
      <c r="Q13" s="45"/>
      <c r="R13" s="45"/>
      <c r="S13" s="45"/>
      <c r="T13" s="45"/>
      <c r="U13" s="45"/>
      <c r="V13" s="45"/>
      <c r="W13" s="45"/>
      <c r="X13" s="45"/>
      <c r="Y13" s="45"/>
      <c r="Z13" s="45"/>
    </row>
    <row r="14" spans="1:26">
      <c r="A14" s="45"/>
      <c r="B14" s="45"/>
      <c r="C14" s="45"/>
      <c r="D14" s="45"/>
      <c r="E14" s="45"/>
      <c r="F14" s="45"/>
      <c r="G14" s="45"/>
      <c r="H14" s="45"/>
      <c r="I14" s="45"/>
      <c r="J14" s="45"/>
      <c r="K14" s="45"/>
      <c r="L14" s="45"/>
      <c r="M14" s="45"/>
      <c r="N14" s="44" t="s">
        <v>8248</v>
      </c>
      <c r="O14" s="45"/>
      <c r="P14" s="45"/>
      <c r="Q14" s="45"/>
      <c r="R14" s="45"/>
      <c r="S14" s="45"/>
      <c r="T14" s="45"/>
      <c r="U14" s="45"/>
      <c r="V14" s="45"/>
      <c r="W14" s="45"/>
      <c r="X14" s="45"/>
      <c r="Y14" s="45"/>
      <c r="Z14" s="45"/>
    </row>
    <row r="15" spans="1:26">
      <c r="A15" s="45"/>
      <c r="B15" s="45"/>
      <c r="C15" s="45"/>
      <c r="D15" s="45"/>
      <c r="E15" s="45"/>
      <c r="F15" s="45"/>
      <c r="G15" s="45"/>
      <c r="H15" s="45"/>
      <c r="I15" s="45"/>
      <c r="J15" s="45"/>
      <c r="K15" s="45"/>
      <c r="L15" s="45"/>
      <c r="M15" s="45"/>
      <c r="N15" s="44" t="s">
        <v>8249</v>
      </c>
      <c r="O15" s="45"/>
      <c r="P15" s="45"/>
      <c r="Q15" s="45"/>
      <c r="R15" s="45"/>
      <c r="S15" s="45"/>
      <c r="T15" s="45"/>
      <c r="U15" s="45"/>
      <c r="V15" s="45"/>
      <c r="W15" s="45"/>
      <c r="X15" s="45"/>
      <c r="Y15" s="45"/>
      <c r="Z15" s="45"/>
    </row>
    <row r="16" spans="1:26">
      <c r="A16" s="45"/>
      <c r="B16" s="45"/>
      <c r="C16" s="45"/>
      <c r="D16" s="45"/>
      <c r="E16" s="45"/>
      <c r="F16" s="45"/>
      <c r="G16" s="45"/>
      <c r="H16" s="45"/>
      <c r="I16" s="45"/>
      <c r="J16" s="45"/>
      <c r="K16" s="45"/>
      <c r="L16" s="45"/>
      <c r="M16" s="45"/>
      <c r="N16" s="44" t="s">
        <v>8250</v>
      </c>
      <c r="O16" s="45"/>
      <c r="P16" s="45"/>
      <c r="Q16" s="45"/>
      <c r="R16" s="45"/>
      <c r="S16" s="45"/>
      <c r="T16" s="45"/>
      <c r="U16" s="45"/>
      <c r="V16" s="45"/>
      <c r="W16" s="45"/>
      <c r="X16" s="45"/>
      <c r="Y16" s="45"/>
      <c r="Z16" s="45"/>
    </row>
    <row r="17" spans="1:26">
      <c r="A17" s="45"/>
      <c r="B17" s="45"/>
      <c r="C17" s="45"/>
      <c r="D17" s="45"/>
      <c r="E17" s="45"/>
      <c r="F17" s="45"/>
      <c r="G17" s="45"/>
      <c r="H17" s="45"/>
      <c r="I17" s="45"/>
      <c r="J17" s="45"/>
      <c r="K17" s="45"/>
      <c r="L17" s="45"/>
      <c r="M17" s="45"/>
      <c r="N17" s="44"/>
      <c r="O17" s="45"/>
      <c r="P17" s="45"/>
      <c r="Q17" s="45"/>
      <c r="R17" s="45"/>
      <c r="S17" s="45"/>
      <c r="T17" s="45"/>
      <c r="U17" s="45"/>
      <c r="V17" s="45"/>
      <c r="W17" s="45"/>
      <c r="X17" s="45"/>
      <c r="Y17" s="45"/>
      <c r="Z17" s="45"/>
    </row>
    <row r="18" spans="1:26">
      <c r="A18" s="45"/>
      <c r="B18" s="45"/>
      <c r="C18" s="45"/>
      <c r="D18" s="45"/>
      <c r="E18" s="45"/>
      <c r="F18" s="45"/>
      <c r="G18" s="45"/>
      <c r="H18" s="45"/>
      <c r="I18" s="45"/>
      <c r="J18" s="45"/>
      <c r="K18" s="45"/>
      <c r="L18" s="45"/>
      <c r="M18" s="45"/>
      <c r="N18" s="44"/>
      <c r="O18" s="45"/>
      <c r="P18" s="45"/>
      <c r="Q18" s="45"/>
      <c r="R18" s="45"/>
      <c r="S18" s="45"/>
      <c r="T18" s="45"/>
      <c r="U18" s="45"/>
      <c r="V18" s="45"/>
      <c r="W18" s="45"/>
      <c r="X18" s="45"/>
      <c r="Y18" s="45"/>
      <c r="Z18" s="45"/>
    </row>
    <row r="19" spans="1:26">
      <c r="A19" s="45"/>
      <c r="B19" s="45"/>
      <c r="C19" s="45"/>
      <c r="D19" s="45"/>
      <c r="E19" s="45"/>
      <c r="F19" s="45"/>
      <c r="G19" s="45"/>
      <c r="H19" s="45"/>
      <c r="I19" s="45"/>
      <c r="J19" s="45"/>
      <c r="K19" s="45"/>
      <c r="L19" s="45"/>
      <c r="M19" s="45"/>
      <c r="N19" s="44"/>
      <c r="O19" s="45"/>
      <c r="P19" s="45"/>
      <c r="Q19" s="45"/>
      <c r="R19" s="45"/>
      <c r="S19" s="45"/>
      <c r="T19" s="45"/>
      <c r="U19" s="45"/>
      <c r="V19" s="45"/>
      <c r="W19" s="45"/>
      <c r="X19" s="45"/>
      <c r="Y19" s="45"/>
      <c r="Z19" s="45"/>
    </row>
    <row r="20" spans="1:26">
      <c r="A20" s="45"/>
      <c r="B20" s="45"/>
      <c r="C20" s="45"/>
      <c r="D20" s="45"/>
      <c r="E20" s="45"/>
      <c r="F20" s="45"/>
      <c r="G20" s="45"/>
      <c r="H20" s="45"/>
      <c r="I20" s="45"/>
      <c r="J20" s="45"/>
      <c r="K20" s="45"/>
      <c r="L20" s="45"/>
      <c r="M20" s="45"/>
      <c r="N20" s="44"/>
      <c r="O20" s="45"/>
      <c r="P20" s="45"/>
      <c r="Q20" s="45"/>
      <c r="R20" s="45"/>
      <c r="S20" s="45"/>
      <c r="T20" s="45"/>
      <c r="U20" s="45"/>
      <c r="V20" s="45"/>
      <c r="W20" s="45"/>
      <c r="X20" s="45"/>
      <c r="Y20" s="45"/>
      <c r="Z20" s="45"/>
    </row>
    <row r="21" spans="1:26">
      <c r="A21" s="45"/>
      <c r="B21" s="45"/>
      <c r="C21" s="45"/>
      <c r="D21" s="45"/>
      <c r="E21" s="45"/>
      <c r="F21" s="45"/>
      <c r="G21" s="45"/>
      <c r="H21" s="45"/>
      <c r="I21" s="45"/>
      <c r="J21" s="45"/>
      <c r="K21" s="45"/>
      <c r="L21" s="45"/>
      <c r="M21" s="45"/>
      <c r="N21" s="44"/>
      <c r="O21" s="45"/>
      <c r="P21" s="45"/>
      <c r="Q21" s="45"/>
      <c r="R21" s="45"/>
      <c r="S21" s="45"/>
      <c r="T21" s="45"/>
      <c r="U21" s="45"/>
      <c r="V21" s="45"/>
      <c r="W21" s="45"/>
      <c r="X21" s="45"/>
      <c r="Y21" s="45"/>
      <c r="Z21" s="45"/>
    </row>
    <row r="22" spans="1:26">
      <c r="A22" s="45"/>
      <c r="B22" s="45"/>
      <c r="C22" s="45"/>
      <c r="D22" s="45"/>
      <c r="E22" s="45"/>
      <c r="F22" s="45"/>
      <c r="G22" s="45"/>
      <c r="H22" s="45"/>
      <c r="I22" s="45"/>
      <c r="J22" s="45"/>
      <c r="K22" s="45"/>
      <c r="L22" s="45"/>
      <c r="M22" s="45"/>
      <c r="N22" s="44"/>
      <c r="O22" s="45"/>
      <c r="P22" s="45"/>
      <c r="Q22" s="45"/>
      <c r="R22" s="45"/>
      <c r="S22" s="45"/>
      <c r="T22" s="45"/>
      <c r="U22" s="45"/>
      <c r="V22" s="45"/>
      <c r="W22" s="45"/>
      <c r="X22" s="45"/>
      <c r="Y22" s="45"/>
      <c r="Z22" s="45"/>
    </row>
    <row r="23" spans="1:26">
      <c r="A23" s="45"/>
      <c r="B23" s="45"/>
      <c r="C23" s="45"/>
      <c r="D23" s="45"/>
      <c r="E23" s="45"/>
      <c r="F23" s="45"/>
      <c r="G23" s="45"/>
      <c r="H23" s="45"/>
      <c r="I23" s="45"/>
      <c r="J23" s="45"/>
      <c r="K23" s="45"/>
      <c r="L23" s="45"/>
      <c r="M23" s="45"/>
      <c r="N23" s="44"/>
      <c r="O23" s="45"/>
      <c r="P23" s="45"/>
      <c r="Q23" s="45"/>
      <c r="R23" s="45"/>
      <c r="S23" s="45"/>
      <c r="T23" s="45"/>
      <c r="U23" s="45"/>
      <c r="V23" s="45"/>
      <c r="W23" s="45"/>
      <c r="X23" s="45"/>
      <c r="Y23" s="45"/>
      <c r="Z23" s="45"/>
    </row>
    <row r="24" spans="1:26">
      <c r="A24" s="45"/>
      <c r="B24" s="45"/>
      <c r="C24" s="45"/>
      <c r="D24" s="45"/>
      <c r="E24" s="45"/>
      <c r="F24" s="45"/>
      <c r="G24" s="45"/>
      <c r="H24" s="45"/>
      <c r="I24" s="45"/>
      <c r="J24" s="45"/>
      <c r="K24" s="45"/>
      <c r="L24" s="45"/>
      <c r="M24" s="45"/>
      <c r="N24" s="44"/>
      <c r="O24" s="45"/>
      <c r="P24" s="45"/>
      <c r="Q24" s="45"/>
      <c r="R24" s="45"/>
      <c r="S24" s="45"/>
      <c r="T24" s="45"/>
      <c r="U24" s="45"/>
      <c r="V24" s="45"/>
      <c r="W24" s="45"/>
      <c r="X24" s="45"/>
      <c r="Y24" s="45"/>
      <c r="Z24" s="45"/>
    </row>
    <row r="25" spans="1:26">
      <c r="A25" s="45"/>
      <c r="B25" s="45"/>
      <c r="C25" s="45"/>
      <c r="D25" s="45"/>
      <c r="E25" s="45"/>
      <c r="F25" s="45"/>
      <c r="G25" s="45"/>
      <c r="H25" s="45"/>
      <c r="I25" s="45"/>
      <c r="J25" s="45"/>
      <c r="K25" s="45"/>
      <c r="L25" s="45"/>
      <c r="M25" s="45"/>
      <c r="N25" s="44"/>
      <c r="O25" s="45"/>
      <c r="P25" s="45"/>
      <c r="Q25" s="45"/>
      <c r="R25" s="45"/>
      <c r="S25" s="45"/>
      <c r="T25" s="45"/>
      <c r="U25" s="45"/>
      <c r="V25" s="45"/>
      <c r="W25" s="45"/>
      <c r="X25" s="45"/>
      <c r="Y25" s="45"/>
      <c r="Z25" s="45"/>
    </row>
    <row r="26" spans="1:26">
      <c r="A26" s="45"/>
      <c r="B26" s="45"/>
      <c r="C26" s="45"/>
      <c r="D26" s="45"/>
      <c r="E26" s="45"/>
      <c r="F26" s="45"/>
      <c r="G26" s="45"/>
      <c r="H26" s="45"/>
      <c r="I26" s="45"/>
      <c r="J26" s="45"/>
      <c r="K26" s="45"/>
      <c r="L26" s="45"/>
      <c r="M26" s="45"/>
      <c r="N26" s="44"/>
      <c r="O26" s="45"/>
      <c r="P26" s="45"/>
      <c r="Q26" s="45"/>
      <c r="R26" s="45"/>
      <c r="S26" s="45"/>
      <c r="T26" s="45"/>
      <c r="U26" s="45"/>
      <c r="V26" s="45"/>
      <c r="W26" s="45"/>
      <c r="X26" s="45"/>
      <c r="Y26" s="45"/>
      <c r="Z26" s="45"/>
    </row>
    <row r="27" spans="1:26">
      <c r="A27" s="45"/>
      <c r="B27" s="45"/>
      <c r="C27" s="45"/>
      <c r="D27" s="45"/>
      <c r="E27" s="45"/>
      <c r="F27" s="45"/>
      <c r="G27" s="45"/>
      <c r="H27" s="45"/>
      <c r="I27" s="45"/>
      <c r="J27" s="45"/>
      <c r="K27" s="45"/>
      <c r="L27" s="45"/>
      <c r="M27" s="45"/>
      <c r="N27" s="44"/>
      <c r="O27" s="45"/>
      <c r="P27" s="45"/>
      <c r="Q27" s="45"/>
      <c r="R27" s="45"/>
      <c r="S27" s="45"/>
      <c r="T27" s="45"/>
      <c r="U27" s="45"/>
      <c r="V27" s="45"/>
      <c r="W27" s="45"/>
      <c r="X27" s="45"/>
      <c r="Y27" s="45"/>
      <c r="Z27" s="45"/>
    </row>
    <row r="28" spans="1:26">
      <c r="A28" s="45"/>
      <c r="B28" s="45"/>
      <c r="C28" s="45"/>
      <c r="D28" s="45"/>
      <c r="E28" s="45"/>
      <c r="F28" s="45"/>
      <c r="G28" s="45"/>
      <c r="H28" s="45"/>
      <c r="I28" s="45"/>
      <c r="J28" s="45"/>
      <c r="K28" s="45"/>
      <c r="L28" s="45"/>
      <c r="M28" s="45"/>
      <c r="N28" s="44"/>
      <c r="O28" s="45"/>
      <c r="P28" s="45"/>
      <c r="Q28" s="45"/>
      <c r="R28" s="45"/>
      <c r="S28" s="45"/>
      <c r="T28" s="45"/>
      <c r="U28" s="45"/>
      <c r="V28" s="45"/>
      <c r="W28" s="45"/>
      <c r="X28" s="45"/>
      <c r="Y28" s="45"/>
      <c r="Z28" s="45"/>
    </row>
    <row r="29" spans="1:26">
      <c r="A29" s="45"/>
      <c r="B29" s="45"/>
      <c r="C29" s="45"/>
      <c r="D29" s="45"/>
      <c r="E29" s="45"/>
      <c r="F29" s="45"/>
      <c r="G29" s="45"/>
      <c r="H29" s="45"/>
      <c r="I29" s="45"/>
      <c r="J29" s="45"/>
      <c r="K29" s="45"/>
      <c r="L29" s="45"/>
      <c r="M29" s="45"/>
      <c r="N29" s="44"/>
      <c r="O29" s="45"/>
      <c r="P29" s="45"/>
      <c r="Q29" s="45"/>
      <c r="R29" s="45"/>
      <c r="S29" s="45"/>
      <c r="T29" s="45"/>
      <c r="U29" s="45"/>
      <c r="V29" s="45"/>
      <c r="W29" s="45"/>
      <c r="X29" s="45"/>
      <c r="Y29" s="45"/>
      <c r="Z29" s="45"/>
    </row>
    <row r="30" spans="1:26">
      <c r="A30" s="45"/>
      <c r="B30" s="45"/>
      <c r="C30" s="45"/>
      <c r="D30" s="45"/>
      <c r="E30" s="45"/>
      <c r="F30" s="45"/>
      <c r="G30" s="45"/>
      <c r="H30" s="45"/>
      <c r="I30" s="45"/>
      <c r="J30" s="45"/>
      <c r="K30" s="45"/>
      <c r="L30" s="45"/>
      <c r="M30" s="45"/>
      <c r="N30" s="44"/>
      <c r="O30" s="45"/>
      <c r="P30" s="45"/>
      <c r="Q30" s="45"/>
      <c r="R30" s="45"/>
      <c r="S30" s="45"/>
      <c r="T30" s="45"/>
      <c r="U30" s="45"/>
      <c r="V30" s="45"/>
      <c r="W30" s="45"/>
      <c r="X30" s="45"/>
      <c r="Y30" s="45"/>
      <c r="Z30" s="45"/>
    </row>
    <row r="31" spans="1:26">
      <c r="A31" s="45"/>
      <c r="B31" s="45"/>
      <c r="C31" s="45"/>
      <c r="D31" s="45"/>
      <c r="E31" s="45"/>
      <c r="F31" s="45"/>
      <c r="G31" s="45"/>
      <c r="H31" s="45"/>
      <c r="I31" s="45"/>
      <c r="J31" s="45"/>
      <c r="K31" s="45"/>
      <c r="L31" s="45"/>
      <c r="M31" s="45"/>
      <c r="N31" s="44"/>
      <c r="O31" s="45"/>
      <c r="P31" s="45"/>
      <c r="Q31" s="45"/>
      <c r="R31" s="45"/>
      <c r="S31" s="45"/>
      <c r="T31" s="45"/>
      <c r="U31" s="45"/>
      <c r="V31" s="45"/>
      <c r="W31" s="45"/>
      <c r="X31" s="45"/>
      <c r="Y31" s="45"/>
      <c r="Z31" s="45"/>
    </row>
    <row r="32" spans="1:26">
      <c r="A32" s="45"/>
      <c r="B32" s="45"/>
      <c r="C32" s="45"/>
      <c r="D32" s="45"/>
      <c r="E32" s="45"/>
      <c r="F32" s="45"/>
      <c r="G32" s="45"/>
      <c r="H32" s="45"/>
      <c r="I32" s="45"/>
      <c r="J32" s="45"/>
      <c r="K32" s="45"/>
      <c r="L32" s="45"/>
      <c r="M32" s="45"/>
      <c r="N32" s="44"/>
      <c r="O32" s="45"/>
      <c r="P32" s="45"/>
      <c r="Q32" s="45"/>
      <c r="R32" s="45"/>
      <c r="S32" s="45"/>
      <c r="T32" s="45"/>
      <c r="U32" s="45"/>
      <c r="V32" s="45"/>
      <c r="W32" s="45"/>
      <c r="X32" s="45"/>
      <c r="Y32" s="45"/>
      <c r="Z32" s="45"/>
    </row>
    <row r="33" spans="1:26">
      <c r="A33" s="45"/>
      <c r="B33" s="45"/>
      <c r="C33" s="45"/>
      <c r="D33" s="45"/>
      <c r="E33" s="45"/>
      <c r="F33" s="45"/>
      <c r="G33" s="45"/>
      <c r="H33" s="45"/>
      <c r="I33" s="45"/>
      <c r="J33" s="45"/>
      <c r="K33" s="45"/>
      <c r="L33" s="45"/>
      <c r="M33" s="45"/>
      <c r="N33" s="44"/>
      <c r="O33" s="45"/>
      <c r="P33" s="45"/>
      <c r="Q33" s="45"/>
      <c r="R33" s="45"/>
      <c r="S33" s="45"/>
      <c r="T33" s="45"/>
      <c r="U33" s="45"/>
      <c r="V33" s="45"/>
      <c r="W33" s="45"/>
      <c r="X33" s="45"/>
      <c r="Y33" s="45"/>
      <c r="Z33" s="45"/>
    </row>
    <row r="34" spans="1:26">
      <c r="A34" s="45"/>
      <c r="B34" s="45"/>
      <c r="C34" s="45"/>
      <c r="D34" s="45"/>
      <c r="E34" s="45"/>
      <c r="F34" s="45"/>
      <c r="G34" s="45"/>
      <c r="H34" s="45"/>
      <c r="I34" s="45"/>
      <c r="J34" s="45"/>
      <c r="K34" s="45"/>
      <c r="L34" s="45"/>
      <c r="M34" s="45"/>
      <c r="N34" s="44"/>
      <c r="O34" s="45"/>
      <c r="P34" s="45"/>
      <c r="Q34" s="45"/>
      <c r="R34" s="45"/>
      <c r="S34" s="45"/>
      <c r="T34" s="45"/>
      <c r="U34" s="45"/>
      <c r="V34" s="45"/>
      <c r="W34" s="45"/>
      <c r="X34" s="45"/>
      <c r="Y34" s="45"/>
      <c r="Z34" s="45"/>
    </row>
    <row r="35" spans="1:26">
      <c r="A35" s="45"/>
      <c r="B35" s="45"/>
      <c r="C35" s="45"/>
      <c r="D35" s="45"/>
      <c r="E35" s="45"/>
      <c r="F35" s="45"/>
      <c r="G35" s="45"/>
      <c r="H35" s="45"/>
      <c r="I35" s="45"/>
      <c r="J35" s="45"/>
      <c r="K35" s="45"/>
      <c r="L35" s="45"/>
      <c r="M35" s="45"/>
      <c r="N35" s="44"/>
      <c r="O35" s="45"/>
      <c r="P35" s="45"/>
      <c r="Q35" s="45"/>
      <c r="R35" s="45"/>
      <c r="S35" s="45"/>
      <c r="T35" s="45"/>
      <c r="U35" s="45"/>
      <c r="V35" s="45"/>
      <c r="W35" s="45"/>
      <c r="X35" s="45"/>
      <c r="Y35" s="45"/>
      <c r="Z35" s="45"/>
    </row>
    <row r="36" spans="1:26">
      <c r="A36" s="45"/>
      <c r="B36" s="45"/>
      <c r="C36" s="45"/>
      <c r="D36" s="45"/>
      <c r="E36" s="45"/>
      <c r="F36" s="45"/>
      <c r="G36" s="45"/>
      <c r="H36" s="45"/>
      <c r="I36" s="45"/>
      <c r="J36" s="45"/>
      <c r="K36" s="45"/>
      <c r="L36" s="45"/>
      <c r="M36" s="45"/>
      <c r="N36" s="44"/>
      <c r="O36" s="45"/>
      <c r="P36" s="45"/>
      <c r="Q36" s="45"/>
      <c r="R36" s="45"/>
      <c r="S36" s="45"/>
      <c r="T36" s="45"/>
      <c r="U36" s="45"/>
      <c r="V36" s="45"/>
      <c r="W36" s="45"/>
      <c r="X36" s="45"/>
      <c r="Y36" s="45"/>
      <c r="Z36" s="45"/>
    </row>
    <row r="37" spans="1:26">
      <c r="A37" s="45"/>
      <c r="B37" s="45"/>
      <c r="C37" s="45"/>
      <c r="D37" s="45"/>
      <c r="E37" s="45"/>
      <c r="F37" s="45"/>
      <c r="G37" s="45"/>
      <c r="H37" s="45"/>
      <c r="I37" s="45"/>
      <c r="J37" s="45"/>
      <c r="K37" s="45"/>
      <c r="L37" s="45"/>
      <c r="M37" s="45"/>
      <c r="N37" s="44"/>
      <c r="O37" s="45"/>
      <c r="P37" s="45"/>
      <c r="Q37" s="45"/>
      <c r="R37" s="45"/>
      <c r="S37" s="45"/>
      <c r="T37" s="45"/>
      <c r="U37" s="45"/>
      <c r="V37" s="45"/>
      <c r="W37" s="45"/>
      <c r="X37" s="45"/>
      <c r="Y37" s="45"/>
      <c r="Z37" s="45"/>
    </row>
    <row r="38" spans="1:26">
      <c r="A38" s="45"/>
      <c r="B38" s="45"/>
      <c r="C38" s="45"/>
      <c r="D38" s="45"/>
      <c r="E38" s="45"/>
      <c r="F38" s="45"/>
      <c r="G38" s="45"/>
      <c r="H38" s="45"/>
      <c r="I38" s="45"/>
      <c r="J38" s="45"/>
      <c r="K38" s="45"/>
      <c r="L38" s="45"/>
      <c r="M38" s="45"/>
      <c r="N38" s="44"/>
      <c r="O38" s="45"/>
      <c r="P38" s="45"/>
      <c r="Q38" s="45"/>
      <c r="R38" s="45"/>
      <c r="S38" s="45"/>
      <c r="T38" s="45"/>
      <c r="U38" s="45"/>
      <c r="V38" s="45"/>
      <c r="W38" s="45"/>
      <c r="X38" s="45"/>
      <c r="Y38" s="45"/>
      <c r="Z38" s="45"/>
    </row>
    <row r="39" spans="1:26">
      <c r="A39" s="45"/>
      <c r="B39" s="45"/>
      <c r="C39" s="45"/>
      <c r="D39" s="45"/>
      <c r="E39" s="45"/>
      <c r="F39" s="45"/>
      <c r="G39" s="45"/>
      <c r="H39" s="45"/>
      <c r="I39" s="45"/>
      <c r="J39" s="45"/>
      <c r="K39" s="45"/>
      <c r="L39" s="45"/>
      <c r="M39" s="45"/>
      <c r="N39" s="44"/>
      <c r="O39" s="45"/>
      <c r="P39" s="45"/>
      <c r="Q39" s="45"/>
      <c r="R39" s="45"/>
      <c r="S39" s="45"/>
      <c r="T39" s="45"/>
      <c r="U39" s="45"/>
      <c r="V39" s="45"/>
      <c r="W39" s="45"/>
      <c r="X39" s="45"/>
      <c r="Y39" s="45"/>
      <c r="Z39" s="45"/>
    </row>
    <row r="40" spans="1:26">
      <c r="A40" s="45"/>
      <c r="B40" s="45"/>
      <c r="C40" s="45"/>
      <c r="D40" s="45"/>
      <c r="E40" s="45"/>
      <c r="F40" s="45"/>
      <c r="G40" s="45"/>
      <c r="H40" s="45"/>
      <c r="I40" s="45"/>
      <c r="J40" s="45"/>
      <c r="K40" s="45"/>
      <c r="L40" s="45"/>
      <c r="M40" s="45"/>
      <c r="N40" s="44"/>
      <c r="O40" s="45"/>
      <c r="P40" s="45"/>
      <c r="Q40" s="45"/>
      <c r="R40" s="45"/>
      <c r="S40" s="45"/>
      <c r="T40" s="45"/>
      <c r="U40" s="45"/>
      <c r="V40" s="45"/>
      <c r="W40" s="45"/>
      <c r="X40" s="45"/>
      <c r="Y40" s="45"/>
      <c r="Z40" s="45"/>
    </row>
    <row r="41" spans="1:26">
      <c r="A41" s="45"/>
      <c r="B41" s="45"/>
      <c r="C41" s="45"/>
      <c r="D41" s="45"/>
      <c r="E41" s="45"/>
      <c r="F41" s="45"/>
      <c r="G41" s="45"/>
      <c r="H41" s="45"/>
      <c r="I41" s="45"/>
      <c r="J41" s="45"/>
      <c r="K41" s="45"/>
      <c r="L41" s="45"/>
      <c r="M41" s="45"/>
      <c r="N41" s="44"/>
      <c r="O41" s="45"/>
      <c r="P41" s="45"/>
      <c r="Q41" s="45"/>
      <c r="R41" s="45"/>
      <c r="S41" s="45"/>
      <c r="T41" s="45"/>
      <c r="U41" s="45"/>
      <c r="V41" s="45"/>
      <c r="W41" s="45"/>
      <c r="X41" s="45"/>
      <c r="Y41" s="45"/>
      <c r="Z41" s="45"/>
    </row>
    <row r="42" spans="1:26">
      <c r="A42" s="45"/>
      <c r="B42" s="45"/>
      <c r="C42" s="45"/>
      <c r="D42" s="45"/>
      <c r="E42" s="45"/>
      <c r="F42" s="45"/>
      <c r="G42" s="45"/>
      <c r="H42" s="45"/>
      <c r="I42" s="45"/>
      <c r="J42" s="45"/>
      <c r="K42" s="45"/>
      <c r="L42" s="45"/>
      <c r="M42" s="45"/>
      <c r="N42" s="44"/>
      <c r="O42" s="45"/>
      <c r="P42" s="45"/>
      <c r="Q42" s="45"/>
      <c r="R42" s="45"/>
      <c r="S42" s="45"/>
      <c r="T42" s="45"/>
      <c r="U42" s="45"/>
      <c r="V42" s="45"/>
      <c r="W42" s="45"/>
      <c r="X42" s="45"/>
      <c r="Y42" s="45"/>
      <c r="Z42" s="45"/>
    </row>
    <row r="43" spans="1:26">
      <c r="A43" s="45"/>
      <c r="B43" s="45"/>
      <c r="C43" s="45"/>
      <c r="D43" s="45"/>
      <c r="E43" s="45"/>
      <c r="F43" s="45"/>
      <c r="G43" s="45"/>
      <c r="H43" s="45"/>
      <c r="I43" s="45"/>
      <c r="J43" s="45"/>
      <c r="K43" s="45"/>
      <c r="L43" s="45"/>
      <c r="M43" s="45"/>
      <c r="N43" s="44"/>
      <c r="O43" s="45"/>
      <c r="P43" s="45"/>
      <c r="Q43" s="45"/>
      <c r="R43" s="45"/>
      <c r="S43" s="45"/>
      <c r="T43" s="45"/>
      <c r="U43" s="45"/>
      <c r="V43" s="45"/>
      <c r="W43" s="45"/>
      <c r="X43" s="45"/>
      <c r="Y43" s="45"/>
      <c r="Z43" s="45"/>
    </row>
    <row r="44" spans="1:26">
      <c r="A44" s="45"/>
      <c r="B44" s="45"/>
      <c r="C44" s="45"/>
      <c r="D44" s="45"/>
      <c r="E44" s="45"/>
      <c r="F44" s="45"/>
      <c r="G44" s="45"/>
      <c r="H44" s="45"/>
      <c r="I44" s="45"/>
      <c r="J44" s="45"/>
      <c r="K44" s="45"/>
      <c r="L44" s="45"/>
      <c r="M44" s="45"/>
      <c r="N44" s="44"/>
      <c r="O44" s="45"/>
      <c r="P44" s="45"/>
      <c r="Q44" s="45"/>
      <c r="R44" s="45"/>
      <c r="S44" s="45"/>
      <c r="T44" s="45"/>
      <c r="U44" s="45"/>
      <c r="V44" s="45"/>
      <c r="W44" s="45"/>
      <c r="X44" s="45"/>
      <c r="Y44" s="45"/>
      <c r="Z44" s="45"/>
    </row>
    <row r="45" spans="1:26">
      <c r="A45" s="45"/>
      <c r="B45" s="45"/>
      <c r="C45" s="45"/>
      <c r="D45" s="45"/>
      <c r="E45" s="45"/>
      <c r="F45" s="45"/>
      <c r="G45" s="45"/>
      <c r="H45" s="45"/>
      <c r="I45" s="45"/>
      <c r="J45" s="45"/>
      <c r="K45" s="45"/>
      <c r="L45" s="45"/>
      <c r="M45" s="45"/>
      <c r="N45" s="44"/>
      <c r="O45" s="45"/>
      <c r="P45" s="45"/>
      <c r="Q45" s="45"/>
      <c r="R45" s="45"/>
      <c r="S45" s="45"/>
      <c r="T45" s="45"/>
      <c r="U45" s="45"/>
      <c r="V45" s="45"/>
      <c r="W45" s="45"/>
      <c r="X45" s="45"/>
      <c r="Y45" s="45"/>
      <c r="Z45" s="45"/>
    </row>
    <row r="46" spans="1:26">
      <c r="A46" s="45"/>
      <c r="B46" s="45"/>
      <c r="C46" s="45"/>
      <c r="D46" s="45"/>
      <c r="E46" s="45"/>
      <c r="F46" s="45"/>
      <c r="G46" s="45"/>
      <c r="H46" s="45"/>
      <c r="I46" s="45"/>
      <c r="J46" s="45"/>
      <c r="K46" s="45"/>
      <c r="L46" s="45"/>
      <c r="M46" s="45"/>
      <c r="N46" s="44"/>
      <c r="O46" s="45"/>
      <c r="P46" s="45"/>
      <c r="Q46" s="45"/>
      <c r="R46" s="45"/>
      <c r="S46" s="45"/>
      <c r="T46" s="45"/>
      <c r="U46" s="45"/>
      <c r="V46" s="45"/>
      <c r="W46" s="45"/>
      <c r="X46" s="45"/>
      <c r="Y46" s="45"/>
      <c r="Z46" s="45"/>
    </row>
    <row r="47" spans="1:26">
      <c r="A47" s="45"/>
      <c r="B47" s="45"/>
      <c r="C47" s="45"/>
      <c r="D47" s="45"/>
      <c r="E47" s="45"/>
      <c r="F47" s="45"/>
      <c r="G47" s="45"/>
      <c r="H47" s="45"/>
      <c r="I47" s="45"/>
      <c r="J47" s="45"/>
      <c r="K47" s="45"/>
      <c r="L47" s="45"/>
      <c r="M47" s="45"/>
      <c r="N47" s="44"/>
      <c r="O47" s="45"/>
      <c r="P47" s="45"/>
      <c r="Q47" s="45"/>
      <c r="R47" s="45"/>
      <c r="S47" s="45"/>
      <c r="T47" s="45"/>
      <c r="U47" s="45"/>
      <c r="V47" s="45"/>
      <c r="W47" s="45"/>
      <c r="X47" s="45"/>
      <c r="Y47" s="45"/>
      <c r="Z47" s="45"/>
    </row>
    <row r="48" spans="1:26">
      <c r="A48" s="45"/>
      <c r="B48" s="45"/>
      <c r="C48" s="45"/>
      <c r="D48" s="45"/>
      <c r="E48" s="45"/>
      <c r="F48" s="45"/>
      <c r="G48" s="45"/>
      <c r="H48" s="45"/>
      <c r="I48" s="45"/>
      <c r="J48" s="45"/>
      <c r="K48" s="45"/>
      <c r="L48" s="45"/>
      <c r="M48" s="45"/>
      <c r="N48" s="44"/>
      <c r="O48" s="45"/>
      <c r="P48" s="45"/>
      <c r="Q48" s="45"/>
      <c r="R48" s="45"/>
      <c r="S48" s="45"/>
      <c r="T48" s="45"/>
      <c r="U48" s="45"/>
      <c r="V48" s="45"/>
      <c r="W48" s="45"/>
      <c r="X48" s="45"/>
      <c r="Y48" s="45"/>
      <c r="Z48" s="45"/>
    </row>
    <row r="49" spans="1:26">
      <c r="A49" s="45"/>
      <c r="B49" s="45"/>
      <c r="C49" s="45"/>
      <c r="D49" s="45"/>
      <c r="E49" s="45"/>
      <c r="F49" s="45"/>
      <c r="G49" s="45"/>
      <c r="H49" s="45"/>
      <c r="I49" s="45"/>
      <c r="J49" s="45"/>
      <c r="K49" s="45"/>
      <c r="L49" s="45"/>
      <c r="M49" s="45"/>
      <c r="N49" s="44"/>
      <c r="O49" s="45"/>
      <c r="P49" s="45"/>
      <c r="Q49" s="45"/>
      <c r="R49" s="45"/>
      <c r="S49" s="45"/>
      <c r="T49" s="45"/>
      <c r="U49" s="45"/>
      <c r="V49" s="45"/>
      <c r="W49" s="45"/>
      <c r="X49" s="45"/>
      <c r="Y49" s="45"/>
      <c r="Z49" s="45"/>
    </row>
    <row r="50" spans="1:26">
      <c r="A50" s="45"/>
      <c r="B50" s="45"/>
      <c r="C50" s="45"/>
      <c r="D50" s="45"/>
      <c r="E50" s="45"/>
      <c r="F50" s="45"/>
      <c r="G50" s="45"/>
      <c r="H50" s="45"/>
      <c r="I50" s="45"/>
      <c r="J50" s="45"/>
      <c r="K50" s="45"/>
      <c r="L50" s="45"/>
      <c r="M50" s="45"/>
      <c r="N50" s="44"/>
      <c r="O50" s="45"/>
      <c r="P50" s="45"/>
      <c r="Q50" s="45"/>
      <c r="R50" s="45"/>
      <c r="S50" s="45"/>
      <c r="T50" s="45"/>
      <c r="U50" s="45"/>
      <c r="V50" s="45"/>
      <c r="W50" s="45"/>
      <c r="X50" s="45"/>
      <c r="Y50" s="45"/>
      <c r="Z50" s="45"/>
    </row>
    <row r="51" spans="1:26">
      <c r="A51" s="45"/>
      <c r="B51" s="45"/>
      <c r="C51" s="45"/>
      <c r="D51" s="45"/>
      <c r="E51" s="45"/>
      <c r="F51" s="45"/>
      <c r="G51" s="45"/>
      <c r="H51" s="45"/>
      <c r="I51" s="45"/>
      <c r="J51" s="45"/>
      <c r="K51" s="45"/>
      <c r="L51" s="45"/>
      <c r="M51" s="45"/>
      <c r="N51" s="44"/>
      <c r="O51" s="45"/>
      <c r="P51" s="45"/>
      <c r="Q51" s="45"/>
      <c r="R51" s="45"/>
      <c r="S51" s="45"/>
      <c r="T51" s="45"/>
      <c r="U51" s="45"/>
      <c r="V51" s="45"/>
      <c r="W51" s="45"/>
      <c r="X51" s="45"/>
      <c r="Y51" s="45"/>
      <c r="Z51" s="45"/>
    </row>
    <row r="52" spans="1:26">
      <c r="A52" s="45"/>
      <c r="B52" s="45"/>
      <c r="C52" s="45"/>
      <c r="D52" s="45"/>
      <c r="E52" s="45"/>
      <c r="F52" s="45"/>
      <c r="G52" s="45"/>
      <c r="H52" s="45"/>
      <c r="I52" s="45"/>
      <c r="J52" s="45"/>
      <c r="K52" s="45"/>
      <c r="L52" s="45"/>
      <c r="M52" s="45"/>
      <c r="N52" s="44"/>
      <c r="O52" s="45"/>
      <c r="P52" s="45"/>
      <c r="Q52" s="45"/>
      <c r="R52" s="45"/>
      <c r="S52" s="45"/>
      <c r="T52" s="45"/>
      <c r="U52" s="45"/>
      <c r="V52" s="45"/>
      <c r="W52" s="45"/>
      <c r="X52" s="45"/>
      <c r="Y52" s="45"/>
      <c r="Z52" s="45"/>
    </row>
    <row r="53" spans="1:26">
      <c r="A53" s="45"/>
      <c r="B53" s="45"/>
      <c r="C53" s="45"/>
      <c r="D53" s="45"/>
      <c r="E53" s="45"/>
      <c r="F53" s="45"/>
      <c r="G53" s="45"/>
      <c r="H53" s="45"/>
      <c r="I53" s="45"/>
      <c r="J53" s="45"/>
      <c r="K53" s="45"/>
      <c r="L53" s="45"/>
      <c r="M53" s="45"/>
      <c r="N53" s="44"/>
      <c r="O53" s="45"/>
      <c r="P53" s="45"/>
      <c r="Q53" s="45"/>
      <c r="R53" s="45"/>
      <c r="S53" s="45"/>
      <c r="T53" s="45"/>
      <c r="U53" s="45"/>
      <c r="V53" s="45"/>
      <c r="W53" s="45"/>
      <c r="X53" s="45"/>
      <c r="Y53" s="45"/>
      <c r="Z53" s="45"/>
    </row>
    <row r="54" spans="1:26">
      <c r="A54" s="45"/>
      <c r="B54" s="45"/>
      <c r="C54" s="45"/>
      <c r="D54" s="45"/>
      <c r="E54" s="45"/>
      <c r="F54" s="45"/>
      <c r="G54" s="45"/>
      <c r="H54" s="45"/>
      <c r="I54" s="45"/>
      <c r="J54" s="45"/>
      <c r="K54" s="45"/>
      <c r="L54" s="45"/>
      <c r="M54" s="45"/>
      <c r="N54" s="44"/>
      <c r="O54" s="45"/>
      <c r="P54" s="45"/>
      <c r="Q54" s="45"/>
      <c r="R54" s="45"/>
      <c r="S54" s="45"/>
      <c r="T54" s="45"/>
      <c r="U54" s="45"/>
      <c r="V54" s="45"/>
      <c r="W54" s="45"/>
      <c r="X54" s="45"/>
      <c r="Y54" s="45"/>
      <c r="Z54" s="45"/>
    </row>
    <row r="55" spans="1:26">
      <c r="A55" s="45"/>
      <c r="B55" s="45"/>
      <c r="C55" s="45"/>
      <c r="D55" s="45"/>
      <c r="E55" s="45"/>
      <c r="F55" s="45"/>
      <c r="G55" s="45"/>
      <c r="H55" s="45"/>
      <c r="I55" s="45"/>
      <c r="J55" s="45"/>
      <c r="K55" s="45"/>
      <c r="L55" s="45"/>
      <c r="M55" s="45"/>
      <c r="N55" s="44"/>
      <c r="O55" s="45"/>
      <c r="P55" s="45"/>
      <c r="Q55" s="45"/>
      <c r="R55" s="45"/>
      <c r="S55" s="45"/>
      <c r="T55" s="45"/>
      <c r="U55" s="45"/>
      <c r="V55" s="45"/>
      <c r="W55" s="45"/>
      <c r="X55" s="45"/>
      <c r="Y55" s="45"/>
      <c r="Z55" s="45"/>
    </row>
    <row r="56" spans="1:26">
      <c r="A56" s="45"/>
      <c r="B56" s="45"/>
      <c r="C56" s="45"/>
      <c r="D56" s="45"/>
      <c r="E56" s="45"/>
      <c r="F56" s="45"/>
      <c r="G56" s="45"/>
      <c r="H56" s="45"/>
      <c r="I56" s="45"/>
      <c r="J56" s="45"/>
      <c r="K56" s="45"/>
      <c r="L56" s="45"/>
      <c r="M56" s="45"/>
      <c r="N56" s="44"/>
      <c r="O56" s="45"/>
      <c r="P56" s="45"/>
      <c r="Q56" s="45"/>
      <c r="R56" s="45"/>
      <c r="S56" s="45"/>
      <c r="T56" s="45"/>
      <c r="U56" s="45"/>
      <c r="V56" s="45"/>
      <c r="W56" s="45"/>
      <c r="X56" s="45"/>
      <c r="Y56" s="45"/>
      <c r="Z56" s="45"/>
    </row>
    <row r="57" spans="1:26">
      <c r="A57" s="45"/>
      <c r="B57" s="45"/>
      <c r="C57" s="45"/>
      <c r="D57" s="45"/>
      <c r="E57" s="45"/>
      <c r="F57" s="45"/>
      <c r="G57" s="45"/>
      <c r="H57" s="45"/>
      <c r="I57" s="45"/>
      <c r="J57" s="45"/>
      <c r="K57" s="45"/>
      <c r="L57" s="45"/>
      <c r="M57" s="45"/>
      <c r="N57" s="44"/>
      <c r="O57" s="45"/>
      <c r="P57" s="45"/>
      <c r="Q57" s="45"/>
      <c r="R57" s="45"/>
      <c r="S57" s="45"/>
      <c r="T57" s="45"/>
      <c r="U57" s="45"/>
      <c r="V57" s="45"/>
      <c r="W57" s="45"/>
      <c r="X57" s="45"/>
      <c r="Y57" s="45"/>
      <c r="Z57" s="45"/>
    </row>
    <row r="58" spans="1:26">
      <c r="A58" s="45"/>
      <c r="B58" s="45"/>
      <c r="C58" s="45"/>
      <c r="D58" s="45"/>
      <c r="E58" s="45"/>
      <c r="F58" s="45"/>
      <c r="G58" s="45"/>
      <c r="H58" s="45"/>
      <c r="I58" s="45"/>
      <c r="J58" s="45"/>
      <c r="K58" s="45"/>
      <c r="L58" s="45"/>
      <c r="M58" s="45"/>
      <c r="N58" s="44"/>
      <c r="O58" s="45"/>
      <c r="P58" s="45"/>
      <c r="Q58" s="45"/>
      <c r="R58" s="45"/>
      <c r="S58" s="45"/>
      <c r="T58" s="45"/>
      <c r="U58" s="45"/>
      <c r="V58" s="45"/>
      <c r="W58" s="45"/>
      <c r="X58" s="45"/>
      <c r="Y58" s="45"/>
      <c r="Z58" s="45"/>
    </row>
    <row r="59" spans="1:26">
      <c r="A59" s="45"/>
      <c r="B59" s="45"/>
      <c r="C59" s="45"/>
      <c r="D59" s="45"/>
      <c r="E59" s="45"/>
      <c r="F59" s="45"/>
      <c r="G59" s="45"/>
      <c r="H59" s="45"/>
      <c r="I59" s="45"/>
      <c r="J59" s="45"/>
      <c r="K59" s="45"/>
      <c r="L59" s="45"/>
      <c r="M59" s="45"/>
      <c r="N59" s="44"/>
      <c r="O59" s="45"/>
      <c r="P59" s="45"/>
      <c r="Q59" s="45"/>
      <c r="R59" s="45"/>
      <c r="S59" s="45"/>
      <c r="T59" s="45"/>
      <c r="U59" s="45"/>
      <c r="V59" s="45"/>
      <c r="W59" s="45"/>
      <c r="X59" s="45"/>
      <c r="Y59" s="45"/>
      <c r="Z59" s="45"/>
    </row>
    <row r="60" spans="1:26">
      <c r="A60" s="45"/>
      <c r="B60" s="45"/>
      <c r="C60" s="45"/>
      <c r="D60" s="45"/>
      <c r="E60" s="45"/>
      <c r="F60" s="45"/>
      <c r="G60" s="45"/>
      <c r="H60" s="45"/>
      <c r="I60" s="45"/>
      <c r="J60" s="45"/>
      <c r="K60" s="45"/>
      <c r="L60" s="45"/>
      <c r="M60" s="45"/>
      <c r="N60" s="44"/>
      <c r="O60" s="45"/>
      <c r="P60" s="45"/>
      <c r="Q60" s="45"/>
      <c r="R60" s="45"/>
      <c r="S60" s="45"/>
      <c r="T60" s="45"/>
      <c r="U60" s="45"/>
      <c r="V60" s="45"/>
      <c r="W60" s="45"/>
      <c r="X60" s="45"/>
      <c r="Y60" s="45"/>
      <c r="Z60" s="45"/>
    </row>
    <row r="61" spans="1:26">
      <c r="A61" s="45"/>
      <c r="B61" s="45"/>
      <c r="C61" s="45"/>
      <c r="D61" s="45"/>
      <c r="E61" s="45"/>
      <c r="F61" s="45"/>
      <c r="G61" s="45"/>
      <c r="H61" s="45"/>
      <c r="I61" s="45"/>
      <c r="J61" s="45"/>
      <c r="K61" s="45"/>
      <c r="L61" s="45"/>
      <c r="M61" s="45"/>
      <c r="N61" s="44"/>
      <c r="O61" s="45"/>
      <c r="P61" s="45"/>
      <c r="Q61" s="45"/>
      <c r="R61" s="45"/>
      <c r="S61" s="45"/>
      <c r="T61" s="45"/>
      <c r="U61" s="45"/>
      <c r="V61" s="45"/>
      <c r="W61" s="45"/>
      <c r="X61" s="45"/>
      <c r="Y61" s="45"/>
      <c r="Z61" s="45"/>
    </row>
    <row r="62" spans="1:26">
      <c r="A62" s="45"/>
      <c r="B62" s="45"/>
      <c r="C62" s="45"/>
      <c r="D62" s="45"/>
      <c r="E62" s="45"/>
      <c r="F62" s="45"/>
      <c r="G62" s="45"/>
      <c r="H62" s="45"/>
      <c r="I62" s="45"/>
      <c r="J62" s="45"/>
      <c r="K62" s="45"/>
      <c r="L62" s="45"/>
      <c r="M62" s="45"/>
      <c r="N62" s="44"/>
      <c r="O62" s="45"/>
      <c r="P62" s="45"/>
      <c r="Q62" s="45"/>
      <c r="R62" s="45"/>
      <c r="S62" s="45"/>
      <c r="T62" s="45"/>
      <c r="U62" s="45"/>
      <c r="V62" s="45"/>
      <c r="W62" s="45"/>
      <c r="X62" s="45"/>
      <c r="Y62" s="45"/>
      <c r="Z62" s="45"/>
    </row>
    <row r="63" spans="1:26">
      <c r="A63" s="45"/>
      <c r="B63" s="45"/>
      <c r="C63" s="45"/>
      <c r="D63" s="45"/>
      <c r="E63" s="45"/>
      <c r="F63" s="45"/>
      <c r="G63" s="45"/>
      <c r="H63" s="45"/>
      <c r="I63" s="45"/>
      <c r="J63" s="45"/>
      <c r="K63" s="45"/>
      <c r="L63" s="45"/>
      <c r="M63" s="45"/>
      <c r="N63" s="44"/>
      <c r="O63" s="45"/>
      <c r="P63" s="45"/>
      <c r="Q63" s="45"/>
      <c r="R63" s="45"/>
      <c r="S63" s="45"/>
      <c r="T63" s="45"/>
      <c r="U63" s="45"/>
      <c r="V63" s="45"/>
      <c r="W63" s="45"/>
      <c r="X63" s="45"/>
      <c r="Y63" s="45"/>
      <c r="Z63" s="45"/>
    </row>
    <row r="64" spans="1:26">
      <c r="A64" s="45"/>
      <c r="B64" s="45"/>
      <c r="C64" s="45"/>
      <c r="D64" s="45"/>
      <c r="E64" s="45"/>
      <c r="F64" s="45"/>
      <c r="G64" s="45"/>
      <c r="H64" s="45"/>
      <c r="I64" s="45"/>
      <c r="J64" s="45"/>
      <c r="K64" s="45"/>
      <c r="L64" s="45"/>
      <c r="M64" s="45"/>
      <c r="N64" s="44"/>
      <c r="O64" s="45"/>
      <c r="P64" s="45"/>
      <c r="Q64" s="45"/>
      <c r="R64" s="45"/>
      <c r="S64" s="45"/>
      <c r="T64" s="45"/>
      <c r="U64" s="45"/>
      <c r="V64" s="45"/>
      <c r="W64" s="45"/>
      <c r="X64" s="45"/>
      <c r="Y64" s="45"/>
      <c r="Z64" s="45"/>
    </row>
    <row r="65" spans="1:26">
      <c r="A65" s="45"/>
      <c r="B65" s="45"/>
      <c r="C65" s="45"/>
      <c r="D65" s="45"/>
      <c r="E65" s="45"/>
      <c r="F65" s="45"/>
      <c r="G65" s="45"/>
      <c r="H65" s="45"/>
      <c r="I65" s="45"/>
      <c r="J65" s="45"/>
      <c r="K65" s="45"/>
      <c r="L65" s="45"/>
      <c r="M65" s="45"/>
      <c r="N65" s="44"/>
      <c r="O65" s="45"/>
      <c r="P65" s="45"/>
      <c r="Q65" s="45"/>
      <c r="R65" s="45"/>
      <c r="S65" s="45"/>
      <c r="T65" s="45"/>
      <c r="U65" s="45"/>
      <c r="V65" s="45"/>
      <c r="W65" s="45"/>
      <c r="X65" s="45"/>
      <c r="Y65" s="45"/>
      <c r="Z65" s="45"/>
    </row>
    <row r="66" spans="1:26">
      <c r="A66" s="45"/>
      <c r="B66" s="45"/>
      <c r="C66" s="45"/>
      <c r="D66" s="45"/>
      <c r="E66" s="45"/>
      <c r="F66" s="45"/>
      <c r="G66" s="45"/>
      <c r="H66" s="45"/>
      <c r="I66" s="45"/>
      <c r="J66" s="45"/>
      <c r="K66" s="45"/>
      <c r="L66" s="45"/>
      <c r="M66" s="45"/>
      <c r="N66" s="44"/>
      <c r="O66" s="45"/>
      <c r="P66" s="45"/>
      <c r="Q66" s="45"/>
      <c r="R66" s="45"/>
      <c r="S66" s="45"/>
      <c r="T66" s="45"/>
      <c r="U66" s="45"/>
      <c r="V66" s="45"/>
      <c r="W66" s="45"/>
      <c r="X66" s="45"/>
      <c r="Y66" s="45"/>
      <c r="Z66" s="45"/>
    </row>
    <row r="67" spans="1:26">
      <c r="A67" s="45"/>
      <c r="B67" s="45"/>
      <c r="C67" s="45"/>
      <c r="D67" s="45"/>
      <c r="E67" s="45"/>
      <c r="F67" s="45"/>
      <c r="G67" s="45"/>
      <c r="H67" s="45"/>
      <c r="I67" s="45"/>
      <c r="J67" s="45"/>
      <c r="K67" s="45"/>
      <c r="L67" s="45"/>
      <c r="M67" s="45"/>
      <c r="N67" s="44"/>
      <c r="O67" s="45"/>
      <c r="P67" s="45"/>
      <c r="Q67" s="45"/>
      <c r="R67" s="45"/>
      <c r="S67" s="45"/>
      <c r="T67" s="45"/>
      <c r="U67" s="45"/>
      <c r="V67" s="45"/>
      <c r="W67" s="45"/>
      <c r="X67" s="45"/>
      <c r="Y67" s="45"/>
      <c r="Z67" s="45"/>
    </row>
    <row r="68" spans="1:26">
      <c r="A68" s="45"/>
      <c r="B68" s="45"/>
      <c r="C68" s="45"/>
      <c r="D68" s="45"/>
      <c r="E68" s="45"/>
      <c r="F68" s="45"/>
      <c r="G68" s="45"/>
      <c r="H68" s="45"/>
      <c r="I68" s="45"/>
      <c r="J68" s="45"/>
      <c r="K68" s="45"/>
      <c r="L68" s="45"/>
      <c r="M68" s="45"/>
      <c r="N68" s="44"/>
      <c r="O68" s="45"/>
      <c r="P68" s="45"/>
      <c r="Q68" s="45"/>
      <c r="R68" s="45"/>
      <c r="S68" s="45"/>
      <c r="T68" s="45"/>
      <c r="U68" s="45"/>
      <c r="V68" s="45"/>
      <c r="W68" s="45"/>
      <c r="X68" s="45"/>
      <c r="Y68" s="45"/>
      <c r="Z68" s="45"/>
    </row>
    <row r="69" spans="1:26">
      <c r="A69" s="45"/>
      <c r="B69" s="45"/>
      <c r="C69" s="45"/>
      <c r="D69" s="45"/>
      <c r="E69" s="45"/>
      <c r="F69" s="45"/>
      <c r="G69" s="45"/>
      <c r="H69" s="45"/>
      <c r="I69" s="45"/>
      <c r="J69" s="45"/>
      <c r="K69" s="45"/>
      <c r="L69" s="45"/>
      <c r="M69" s="45"/>
      <c r="N69" s="44"/>
      <c r="O69" s="45"/>
      <c r="P69" s="45"/>
      <c r="Q69" s="45"/>
      <c r="R69" s="45"/>
      <c r="S69" s="45"/>
      <c r="T69" s="45"/>
      <c r="U69" s="45"/>
      <c r="V69" s="45"/>
      <c r="W69" s="45"/>
      <c r="X69" s="45"/>
      <c r="Y69" s="45"/>
      <c r="Z69" s="45"/>
    </row>
    <row r="70" spans="1:26">
      <c r="A70" s="45"/>
      <c r="B70" s="45"/>
      <c r="C70" s="45"/>
      <c r="D70" s="45"/>
      <c r="E70" s="45"/>
      <c r="F70" s="45"/>
      <c r="G70" s="45"/>
      <c r="H70" s="45"/>
      <c r="I70" s="45"/>
      <c r="J70" s="45"/>
      <c r="K70" s="45"/>
      <c r="L70" s="45"/>
      <c r="M70" s="45"/>
      <c r="N70" s="44"/>
      <c r="O70" s="45"/>
      <c r="P70" s="45"/>
      <c r="Q70" s="45"/>
      <c r="R70" s="45"/>
      <c r="S70" s="45"/>
      <c r="T70" s="45"/>
      <c r="U70" s="45"/>
      <c r="V70" s="45"/>
      <c r="W70" s="45"/>
      <c r="X70" s="45"/>
      <c r="Y70" s="45"/>
      <c r="Z70" s="45"/>
    </row>
    <row r="71" spans="1:26">
      <c r="A71" s="45"/>
      <c r="B71" s="45"/>
      <c r="C71" s="45"/>
      <c r="D71" s="45"/>
      <c r="E71" s="45"/>
      <c r="F71" s="45"/>
      <c r="G71" s="45"/>
      <c r="H71" s="45"/>
      <c r="I71" s="45"/>
      <c r="J71" s="45"/>
      <c r="K71" s="45"/>
      <c r="L71" s="45"/>
      <c r="M71" s="45"/>
      <c r="N71" s="44"/>
      <c r="O71" s="45"/>
      <c r="P71" s="45"/>
      <c r="Q71" s="45"/>
      <c r="R71" s="45"/>
      <c r="S71" s="45"/>
      <c r="T71" s="45"/>
      <c r="U71" s="45"/>
      <c r="V71" s="45"/>
      <c r="W71" s="45"/>
      <c r="X71" s="45"/>
      <c r="Y71" s="45"/>
      <c r="Z71" s="45"/>
    </row>
    <row r="72" spans="1:26">
      <c r="A72" s="45"/>
      <c r="B72" s="45"/>
      <c r="C72" s="45"/>
      <c r="D72" s="45"/>
      <c r="E72" s="45"/>
      <c r="F72" s="45"/>
      <c r="G72" s="45"/>
      <c r="H72" s="45"/>
      <c r="I72" s="45"/>
      <c r="J72" s="45"/>
      <c r="K72" s="45"/>
      <c r="L72" s="45"/>
      <c r="M72" s="45"/>
      <c r="N72" s="44"/>
      <c r="O72" s="45"/>
      <c r="P72" s="45"/>
      <c r="Q72" s="45"/>
      <c r="R72" s="45"/>
      <c r="S72" s="45"/>
      <c r="T72" s="45"/>
      <c r="U72" s="45"/>
      <c r="V72" s="45"/>
      <c r="W72" s="45"/>
      <c r="X72" s="45"/>
      <c r="Y72" s="45"/>
      <c r="Z72" s="45"/>
    </row>
    <row r="73" spans="1:26">
      <c r="A73" s="45"/>
      <c r="B73" s="45"/>
      <c r="C73" s="45"/>
      <c r="D73" s="45"/>
      <c r="E73" s="45"/>
      <c r="F73" s="45"/>
      <c r="G73" s="45"/>
      <c r="H73" s="45"/>
      <c r="I73" s="45"/>
      <c r="J73" s="45"/>
      <c r="K73" s="45"/>
      <c r="L73" s="45"/>
      <c r="M73" s="45"/>
      <c r="N73" s="44"/>
      <c r="O73" s="45"/>
      <c r="P73" s="45"/>
      <c r="Q73" s="45"/>
      <c r="R73" s="45"/>
      <c r="S73" s="45"/>
      <c r="T73" s="45"/>
      <c r="U73" s="45"/>
      <c r="V73" s="45"/>
      <c r="W73" s="45"/>
      <c r="X73" s="45"/>
      <c r="Y73" s="45"/>
      <c r="Z73" s="45"/>
    </row>
    <row r="74" spans="1:26">
      <c r="A74" s="45"/>
      <c r="B74" s="45"/>
      <c r="C74" s="45"/>
      <c r="D74" s="45"/>
      <c r="E74" s="45"/>
      <c r="F74" s="45"/>
      <c r="G74" s="45"/>
      <c r="H74" s="45"/>
      <c r="I74" s="45"/>
      <c r="J74" s="45"/>
      <c r="K74" s="45"/>
      <c r="L74" s="45"/>
      <c r="M74" s="45"/>
      <c r="N74" s="44"/>
      <c r="O74" s="45"/>
      <c r="P74" s="45"/>
      <c r="Q74" s="45"/>
      <c r="R74" s="45"/>
      <c r="S74" s="45"/>
      <c r="T74" s="45"/>
      <c r="U74" s="45"/>
      <c r="V74" s="45"/>
      <c r="W74" s="45"/>
      <c r="X74" s="45"/>
      <c r="Y74" s="45"/>
      <c r="Z74" s="45"/>
    </row>
    <row r="75" spans="1:26">
      <c r="A75" s="45"/>
      <c r="B75" s="45"/>
      <c r="C75" s="45"/>
      <c r="D75" s="45"/>
      <c r="E75" s="45"/>
      <c r="F75" s="45"/>
      <c r="G75" s="45"/>
      <c r="H75" s="45"/>
      <c r="I75" s="45"/>
      <c r="J75" s="45"/>
      <c r="K75" s="45"/>
      <c r="L75" s="45"/>
      <c r="M75" s="45"/>
      <c r="N75" s="44"/>
      <c r="O75" s="45"/>
      <c r="P75" s="45"/>
      <c r="Q75" s="45"/>
      <c r="R75" s="45"/>
      <c r="S75" s="45"/>
      <c r="T75" s="45"/>
      <c r="U75" s="45"/>
      <c r="V75" s="45"/>
      <c r="W75" s="45"/>
      <c r="X75" s="45"/>
      <c r="Y75" s="45"/>
      <c r="Z75" s="45"/>
    </row>
    <row r="76" spans="1:26">
      <c r="A76" s="45"/>
      <c r="B76" s="45"/>
      <c r="C76" s="45"/>
      <c r="D76" s="45"/>
      <c r="E76" s="45"/>
      <c r="F76" s="45"/>
      <c r="G76" s="45"/>
      <c r="H76" s="45"/>
      <c r="I76" s="45"/>
      <c r="J76" s="45"/>
      <c r="K76" s="45"/>
      <c r="L76" s="45"/>
      <c r="M76" s="45"/>
      <c r="N76" s="44"/>
      <c r="O76" s="45"/>
      <c r="P76" s="45"/>
      <c r="Q76" s="45"/>
      <c r="R76" s="45"/>
      <c r="S76" s="45"/>
      <c r="T76" s="45"/>
      <c r="U76" s="45"/>
      <c r="V76" s="45"/>
      <c r="W76" s="45"/>
      <c r="X76" s="45"/>
      <c r="Y76" s="45"/>
      <c r="Z76" s="45"/>
    </row>
    <row r="77" spans="1:26">
      <c r="A77" s="45"/>
      <c r="B77" s="45"/>
      <c r="C77" s="45"/>
      <c r="D77" s="45"/>
      <c r="E77" s="45"/>
      <c r="F77" s="45"/>
      <c r="G77" s="45"/>
      <c r="H77" s="45"/>
      <c r="I77" s="45"/>
      <c r="J77" s="45"/>
      <c r="K77" s="45"/>
      <c r="L77" s="45"/>
      <c r="M77" s="45"/>
      <c r="N77" s="44"/>
      <c r="O77" s="45"/>
      <c r="P77" s="45"/>
      <c r="Q77" s="45"/>
      <c r="R77" s="45"/>
      <c r="S77" s="45"/>
      <c r="T77" s="45"/>
      <c r="U77" s="45"/>
      <c r="V77" s="45"/>
      <c r="W77" s="45"/>
      <c r="X77" s="45"/>
      <c r="Y77" s="45"/>
      <c r="Z77" s="45"/>
    </row>
    <row r="78" spans="1:26">
      <c r="A78" s="45"/>
      <c r="B78" s="45"/>
      <c r="C78" s="45"/>
      <c r="D78" s="45"/>
      <c r="E78" s="45"/>
      <c r="F78" s="45"/>
      <c r="G78" s="45"/>
      <c r="H78" s="45"/>
      <c r="I78" s="45"/>
      <c r="J78" s="45"/>
      <c r="K78" s="45"/>
      <c r="L78" s="45"/>
      <c r="M78" s="45"/>
      <c r="N78" s="44"/>
      <c r="O78" s="45"/>
      <c r="P78" s="45"/>
      <c r="Q78" s="45"/>
      <c r="R78" s="45"/>
      <c r="S78" s="45"/>
      <c r="T78" s="45"/>
      <c r="U78" s="45"/>
      <c r="V78" s="45"/>
      <c r="W78" s="45"/>
      <c r="X78" s="45"/>
      <c r="Y78" s="45"/>
      <c r="Z78" s="45"/>
    </row>
    <row r="79" spans="1:26">
      <c r="A79" s="45"/>
      <c r="B79" s="45"/>
      <c r="C79" s="45"/>
      <c r="D79" s="45"/>
      <c r="E79" s="45"/>
      <c r="F79" s="45"/>
      <c r="G79" s="45"/>
      <c r="H79" s="45"/>
      <c r="I79" s="45"/>
      <c r="J79" s="45"/>
      <c r="K79" s="45"/>
      <c r="L79" s="45"/>
      <c r="M79" s="45"/>
      <c r="N79" s="44"/>
      <c r="O79" s="45"/>
      <c r="P79" s="45"/>
      <c r="Q79" s="45"/>
      <c r="R79" s="45"/>
      <c r="S79" s="45"/>
      <c r="T79" s="45"/>
      <c r="U79" s="45"/>
      <c r="V79" s="45"/>
      <c r="W79" s="45"/>
      <c r="X79" s="45"/>
      <c r="Y79" s="45"/>
      <c r="Z79" s="45"/>
    </row>
    <row r="80" spans="1:26">
      <c r="A80" s="45"/>
      <c r="B80" s="45"/>
      <c r="C80" s="45"/>
      <c r="D80" s="45"/>
      <c r="E80" s="45"/>
      <c r="F80" s="45"/>
      <c r="G80" s="45"/>
      <c r="H80" s="45"/>
      <c r="I80" s="45"/>
      <c r="J80" s="45"/>
      <c r="K80" s="45"/>
      <c r="L80" s="45"/>
      <c r="M80" s="45"/>
      <c r="N80" s="44"/>
      <c r="O80" s="45"/>
      <c r="P80" s="45"/>
      <c r="Q80" s="45"/>
      <c r="R80" s="45"/>
      <c r="S80" s="45"/>
      <c r="T80" s="45"/>
      <c r="U80" s="45"/>
      <c r="V80" s="45"/>
      <c r="W80" s="45"/>
      <c r="X80" s="45"/>
      <c r="Y80" s="45"/>
      <c r="Z80" s="45"/>
    </row>
    <row r="81" spans="1:26">
      <c r="A81" s="45"/>
      <c r="B81" s="45"/>
      <c r="C81" s="45"/>
      <c r="D81" s="45"/>
      <c r="E81" s="45"/>
      <c r="F81" s="45"/>
      <c r="G81" s="45"/>
      <c r="H81" s="45"/>
      <c r="I81" s="45"/>
      <c r="J81" s="45"/>
      <c r="K81" s="45"/>
      <c r="L81" s="45"/>
      <c r="M81" s="45"/>
      <c r="N81" s="44"/>
      <c r="O81" s="45"/>
      <c r="P81" s="45"/>
      <c r="Q81" s="45"/>
      <c r="R81" s="45"/>
      <c r="S81" s="45"/>
      <c r="T81" s="45"/>
      <c r="U81" s="45"/>
      <c r="V81" s="45"/>
      <c r="W81" s="45"/>
      <c r="X81" s="45"/>
      <c r="Y81" s="45"/>
      <c r="Z81" s="45"/>
    </row>
    <row r="82" spans="1:26">
      <c r="A82" s="45"/>
      <c r="B82" s="45"/>
      <c r="C82" s="45"/>
      <c r="D82" s="45"/>
      <c r="E82" s="45"/>
      <c r="F82" s="45"/>
      <c r="G82" s="45"/>
      <c r="H82" s="45"/>
      <c r="I82" s="45"/>
      <c r="J82" s="45"/>
      <c r="K82" s="45"/>
      <c r="L82" s="45"/>
      <c r="M82" s="45"/>
      <c r="N82" s="44"/>
      <c r="O82" s="45"/>
      <c r="P82" s="45"/>
      <c r="Q82" s="45"/>
      <c r="R82" s="45"/>
      <c r="S82" s="45"/>
      <c r="T82" s="45"/>
      <c r="U82" s="45"/>
      <c r="V82" s="45"/>
      <c r="W82" s="45"/>
      <c r="X82" s="45"/>
      <c r="Y82" s="45"/>
      <c r="Z82" s="45"/>
    </row>
    <row r="83" spans="1:26">
      <c r="A83" s="45"/>
      <c r="B83" s="45"/>
      <c r="C83" s="45"/>
      <c r="D83" s="45"/>
      <c r="E83" s="45"/>
      <c r="F83" s="45"/>
      <c r="G83" s="45"/>
      <c r="H83" s="45"/>
      <c r="I83" s="45"/>
      <c r="J83" s="45"/>
      <c r="K83" s="45"/>
      <c r="L83" s="45"/>
      <c r="M83" s="45"/>
      <c r="N83" s="44"/>
      <c r="O83" s="45"/>
      <c r="P83" s="45"/>
      <c r="Q83" s="45"/>
      <c r="R83" s="45"/>
      <c r="S83" s="45"/>
      <c r="T83" s="45"/>
      <c r="U83" s="45"/>
      <c r="V83" s="45"/>
      <c r="W83" s="45"/>
      <c r="X83" s="45"/>
      <c r="Y83" s="45"/>
      <c r="Z83" s="45"/>
    </row>
    <row r="84" spans="1:26">
      <c r="A84" s="45"/>
      <c r="B84" s="45"/>
      <c r="C84" s="45"/>
      <c r="D84" s="45"/>
      <c r="E84" s="45"/>
      <c r="F84" s="45"/>
      <c r="G84" s="45"/>
      <c r="H84" s="45"/>
      <c r="I84" s="45"/>
      <c r="J84" s="45"/>
      <c r="K84" s="45"/>
      <c r="L84" s="45"/>
      <c r="M84" s="45"/>
      <c r="N84" s="44"/>
      <c r="O84" s="45"/>
      <c r="P84" s="45"/>
      <c r="Q84" s="45"/>
      <c r="R84" s="45"/>
      <c r="S84" s="45"/>
      <c r="T84" s="45"/>
      <c r="U84" s="45"/>
      <c r="V84" s="45"/>
      <c r="W84" s="45"/>
      <c r="X84" s="45"/>
      <c r="Y84" s="45"/>
      <c r="Z84" s="45"/>
    </row>
    <row r="85" spans="1:26">
      <c r="A85" s="45"/>
      <c r="B85" s="45"/>
      <c r="C85" s="45"/>
      <c r="D85" s="45"/>
      <c r="E85" s="45"/>
      <c r="F85" s="45"/>
      <c r="G85" s="45"/>
      <c r="H85" s="45"/>
      <c r="I85" s="45"/>
      <c r="J85" s="45"/>
      <c r="K85" s="45"/>
      <c r="L85" s="45"/>
      <c r="M85" s="45"/>
      <c r="N85" s="44"/>
      <c r="O85" s="45"/>
      <c r="P85" s="45"/>
      <c r="Q85" s="45"/>
      <c r="R85" s="45"/>
      <c r="S85" s="45"/>
      <c r="T85" s="45"/>
      <c r="U85" s="45"/>
      <c r="V85" s="45"/>
      <c r="W85" s="45"/>
      <c r="X85" s="45"/>
      <c r="Y85" s="45"/>
      <c r="Z85" s="45"/>
    </row>
    <row r="86" spans="1:26">
      <c r="A86" s="45"/>
      <c r="B86" s="45"/>
      <c r="C86" s="45"/>
      <c r="D86" s="45"/>
      <c r="E86" s="45"/>
      <c r="F86" s="45"/>
      <c r="G86" s="45"/>
      <c r="H86" s="45"/>
      <c r="I86" s="45"/>
      <c r="J86" s="45"/>
      <c r="K86" s="45"/>
      <c r="L86" s="45"/>
      <c r="M86" s="45"/>
      <c r="N86" s="44"/>
      <c r="O86" s="45"/>
      <c r="P86" s="45"/>
      <c r="Q86" s="45"/>
      <c r="R86" s="45"/>
      <c r="S86" s="45"/>
      <c r="T86" s="45"/>
      <c r="U86" s="45"/>
      <c r="V86" s="45"/>
      <c r="W86" s="45"/>
      <c r="X86" s="45"/>
      <c r="Y86" s="45"/>
      <c r="Z86" s="45"/>
    </row>
    <row r="87" spans="1:26">
      <c r="A87" s="45"/>
      <c r="B87" s="45"/>
      <c r="C87" s="45"/>
      <c r="D87" s="45"/>
      <c r="E87" s="45"/>
      <c r="F87" s="45"/>
      <c r="G87" s="45"/>
      <c r="H87" s="45"/>
      <c r="I87" s="45"/>
      <c r="J87" s="45"/>
      <c r="K87" s="45"/>
      <c r="L87" s="45"/>
      <c r="M87" s="45"/>
      <c r="N87" s="44"/>
      <c r="O87" s="45"/>
      <c r="P87" s="45"/>
      <c r="Q87" s="45"/>
      <c r="R87" s="45"/>
      <c r="S87" s="45"/>
      <c r="T87" s="45"/>
      <c r="U87" s="45"/>
      <c r="V87" s="45"/>
      <c r="W87" s="45"/>
      <c r="X87" s="45"/>
      <c r="Y87" s="45"/>
      <c r="Z87" s="45"/>
    </row>
    <row r="88" spans="1:26">
      <c r="A88" s="45"/>
      <c r="B88" s="45"/>
      <c r="C88" s="45"/>
      <c r="D88" s="45"/>
      <c r="E88" s="45"/>
      <c r="F88" s="45"/>
      <c r="G88" s="45"/>
      <c r="H88" s="45"/>
      <c r="I88" s="45"/>
      <c r="J88" s="45"/>
      <c r="K88" s="45"/>
      <c r="L88" s="45"/>
      <c r="M88" s="45"/>
      <c r="N88" s="44"/>
      <c r="O88" s="45"/>
      <c r="P88" s="45"/>
      <c r="Q88" s="45"/>
      <c r="R88" s="45"/>
      <c r="S88" s="45"/>
      <c r="T88" s="45"/>
      <c r="U88" s="45"/>
      <c r="V88" s="45"/>
      <c r="W88" s="45"/>
      <c r="X88" s="45"/>
      <c r="Y88" s="45"/>
      <c r="Z88" s="45"/>
    </row>
    <row r="89" spans="1:26">
      <c r="A89" s="45"/>
      <c r="B89" s="45"/>
      <c r="C89" s="45"/>
      <c r="D89" s="45"/>
      <c r="E89" s="45"/>
      <c r="F89" s="45"/>
      <c r="G89" s="45"/>
      <c r="H89" s="45"/>
      <c r="I89" s="45"/>
      <c r="J89" s="45"/>
      <c r="K89" s="45"/>
      <c r="L89" s="45"/>
      <c r="M89" s="45"/>
      <c r="N89" s="44"/>
      <c r="O89" s="45"/>
      <c r="P89" s="45"/>
      <c r="Q89" s="45"/>
      <c r="R89" s="45"/>
      <c r="S89" s="45"/>
      <c r="T89" s="45"/>
      <c r="U89" s="45"/>
      <c r="V89" s="45"/>
      <c r="W89" s="45"/>
      <c r="X89" s="45"/>
      <c r="Y89" s="45"/>
      <c r="Z89" s="45"/>
    </row>
    <row r="90" spans="1:26">
      <c r="A90" s="45"/>
      <c r="B90" s="45"/>
      <c r="C90" s="45"/>
      <c r="D90" s="45"/>
      <c r="E90" s="45"/>
      <c r="F90" s="45"/>
      <c r="G90" s="45"/>
      <c r="H90" s="45"/>
      <c r="I90" s="45"/>
      <c r="J90" s="45"/>
      <c r="K90" s="45"/>
      <c r="L90" s="45"/>
      <c r="M90" s="45"/>
      <c r="N90" s="44"/>
      <c r="O90" s="45"/>
      <c r="P90" s="45"/>
      <c r="Q90" s="45"/>
      <c r="R90" s="45"/>
      <c r="S90" s="45"/>
      <c r="T90" s="45"/>
      <c r="U90" s="45"/>
      <c r="V90" s="45"/>
      <c r="W90" s="45"/>
      <c r="X90" s="45"/>
      <c r="Y90" s="45"/>
      <c r="Z90" s="45"/>
    </row>
    <row r="91" spans="1:26">
      <c r="A91" s="45"/>
      <c r="B91" s="45"/>
      <c r="C91" s="45"/>
      <c r="D91" s="45"/>
      <c r="E91" s="45"/>
      <c r="F91" s="45"/>
      <c r="G91" s="45"/>
      <c r="H91" s="45"/>
      <c r="I91" s="45"/>
      <c r="J91" s="45"/>
      <c r="K91" s="45"/>
      <c r="L91" s="45"/>
      <c r="M91" s="45"/>
      <c r="N91" s="44"/>
      <c r="O91" s="45"/>
      <c r="P91" s="45"/>
      <c r="Q91" s="45"/>
      <c r="R91" s="45"/>
      <c r="S91" s="45"/>
      <c r="T91" s="45"/>
      <c r="U91" s="45"/>
      <c r="V91" s="45"/>
      <c r="W91" s="45"/>
      <c r="X91" s="45"/>
      <c r="Y91" s="45"/>
      <c r="Z91" s="45"/>
    </row>
    <row r="92" spans="1:26">
      <c r="A92" s="45"/>
      <c r="B92" s="45"/>
      <c r="C92" s="45"/>
      <c r="D92" s="45"/>
      <c r="E92" s="45"/>
      <c r="F92" s="45"/>
      <c r="G92" s="45"/>
      <c r="H92" s="45"/>
      <c r="I92" s="45"/>
      <c r="J92" s="45"/>
      <c r="K92" s="45"/>
      <c r="L92" s="45"/>
      <c r="M92" s="45"/>
      <c r="N92" s="44"/>
      <c r="O92" s="45"/>
      <c r="P92" s="45"/>
      <c r="Q92" s="45"/>
      <c r="R92" s="45"/>
      <c r="S92" s="45"/>
      <c r="T92" s="45"/>
      <c r="U92" s="45"/>
      <c r="V92" s="45"/>
      <c r="W92" s="45"/>
      <c r="X92" s="45"/>
      <c r="Y92" s="45"/>
      <c r="Z92" s="45"/>
    </row>
    <row r="93" spans="1:26">
      <c r="A93" s="45"/>
      <c r="B93" s="45"/>
      <c r="C93" s="45"/>
      <c r="D93" s="45"/>
      <c r="E93" s="45"/>
      <c r="F93" s="45"/>
      <c r="G93" s="45"/>
      <c r="H93" s="45"/>
      <c r="I93" s="45"/>
      <c r="J93" s="45"/>
      <c r="K93" s="45"/>
      <c r="L93" s="45"/>
      <c r="M93" s="45"/>
      <c r="N93" s="44"/>
      <c r="O93" s="45"/>
      <c r="P93" s="45"/>
      <c r="Q93" s="45"/>
      <c r="R93" s="45"/>
      <c r="S93" s="45"/>
      <c r="T93" s="45"/>
      <c r="U93" s="45"/>
      <c r="V93" s="45"/>
      <c r="W93" s="45"/>
      <c r="X93" s="45"/>
      <c r="Y93" s="45"/>
      <c r="Z93" s="45"/>
    </row>
    <row r="94" spans="1:26">
      <c r="A94" s="45"/>
      <c r="B94" s="45"/>
      <c r="C94" s="45"/>
      <c r="D94" s="45"/>
      <c r="E94" s="45"/>
      <c r="F94" s="45"/>
      <c r="G94" s="45"/>
      <c r="H94" s="45"/>
      <c r="I94" s="45"/>
      <c r="J94" s="45"/>
      <c r="K94" s="45"/>
      <c r="L94" s="45"/>
      <c r="M94" s="45"/>
      <c r="N94" s="44"/>
      <c r="O94" s="45"/>
      <c r="P94" s="45"/>
      <c r="Q94" s="45"/>
      <c r="R94" s="45"/>
      <c r="S94" s="45"/>
      <c r="T94" s="45"/>
      <c r="U94" s="45"/>
      <c r="V94" s="45"/>
      <c r="W94" s="45"/>
      <c r="X94" s="45"/>
      <c r="Y94" s="45"/>
      <c r="Z94" s="45"/>
    </row>
    <row r="95" spans="1:26">
      <c r="A95" s="45"/>
      <c r="B95" s="45"/>
      <c r="C95" s="45"/>
      <c r="D95" s="45"/>
      <c r="E95" s="45"/>
      <c r="F95" s="45"/>
      <c r="G95" s="45"/>
      <c r="H95" s="45"/>
      <c r="I95" s="45"/>
      <c r="J95" s="45"/>
      <c r="K95" s="45"/>
      <c r="L95" s="45"/>
      <c r="M95" s="45"/>
      <c r="N95" s="44"/>
      <c r="O95" s="45"/>
      <c r="P95" s="45"/>
      <c r="Q95" s="45"/>
      <c r="R95" s="45"/>
      <c r="S95" s="45"/>
      <c r="T95" s="45"/>
      <c r="U95" s="45"/>
      <c r="V95" s="45"/>
      <c r="W95" s="45"/>
      <c r="X95" s="45"/>
      <c r="Y95" s="45"/>
      <c r="Z95" s="45"/>
    </row>
    <row r="96" spans="1:26">
      <c r="A96" s="45"/>
      <c r="B96" s="45"/>
      <c r="C96" s="45"/>
      <c r="D96" s="45"/>
      <c r="E96" s="45"/>
      <c r="F96" s="45"/>
      <c r="G96" s="45"/>
      <c r="H96" s="45"/>
      <c r="I96" s="45"/>
      <c r="J96" s="45"/>
      <c r="K96" s="45"/>
      <c r="L96" s="45"/>
      <c r="M96" s="45"/>
      <c r="N96" s="44"/>
      <c r="O96" s="45"/>
      <c r="P96" s="45"/>
      <c r="Q96" s="45"/>
      <c r="R96" s="45"/>
      <c r="S96" s="45"/>
      <c r="T96" s="45"/>
      <c r="U96" s="45"/>
      <c r="V96" s="45"/>
      <c r="W96" s="45"/>
      <c r="X96" s="45"/>
      <c r="Y96" s="45"/>
      <c r="Z96" s="45"/>
    </row>
    <row r="97" spans="1:26">
      <c r="A97" s="45"/>
      <c r="B97" s="45"/>
      <c r="C97" s="45"/>
      <c r="D97" s="45"/>
      <c r="E97" s="45"/>
      <c r="F97" s="45"/>
      <c r="G97" s="45"/>
      <c r="H97" s="45"/>
      <c r="I97" s="45"/>
      <c r="J97" s="45"/>
      <c r="K97" s="45"/>
      <c r="L97" s="45"/>
      <c r="M97" s="45"/>
      <c r="N97" s="44"/>
      <c r="O97" s="45"/>
      <c r="P97" s="45"/>
      <c r="Q97" s="45"/>
      <c r="R97" s="45"/>
      <c r="S97" s="45"/>
      <c r="T97" s="45"/>
      <c r="U97" s="45"/>
      <c r="V97" s="45"/>
      <c r="W97" s="45"/>
      <c r="X97" s="45"/>
      <c r="Y97" s="45"/>
      <c r="Z97" s="45"/>
    </row>
    <row r="98" spans="1:26">
      <c r="A98" s="45"/>
      <c r="B98" s="45"/>
      <c r="C98" s="45"/>
      <c r="D98" s="45"/>
      <c r="E98" s="45"/>
      <c r="F98" s="45"/>
      <c r="G98" s="45"/>
      <c r="H98" s="45"/>
      <c r="I98" s="45"/>
      <c r="J98" s="45"/>
      <c r="K98" s="45"/>
      <c r="L98" s="45"/>
      <c r="M98" s="45"/>
      <c r="N98" s="44"/>
      <c r="O98" s="45"/>
      <c r="P98" s="45"/>
      <c r="Q98" s="45"/>
      <c r="R98" s="45"/>
      <c r="S98" s="45"/>
      <c r="T98" s="45"/>
      <c r="U98" s="45"/>
      <c r="V98" s="45"/>
      <c r="W98" s="45"/>
      <c r="X98" s="45"/>
      <c r="Y98" s="45"/>
      <c r="Z98" s="45"/>
    </row>
    <row r="99" spans="1:26">
      <c r="A99" s="45"/>
      <c r="B99" s="45"/>
      <c r="C99" s="45"/>
      <c r="D99" s="45"/>
      <c r="E99" s="45"/>
      <c r="F99" s="45"/>
      <c r="G99" s="45"/>
      <c r="H99" s="45"/>
      <c r="I99" s="45"/>
      <c r="J99" s="45"/>
      <c r="K99" s="45"/>
      <c r="L99" s="45"/>
      <c r="M99" s="45"/>
      <c r="N99" s="44"/>
      <c r="O99" s="45"/>
      <c r="P99" s="45"/>
      <c r="Q99" s="45"/>
      <c r="R99" s="45"/>
      <c r="S99" s="45"/>
      <c r="T99" s="45"/>
      <c r="U99" s="45"/>
      <c r="V99" s="45"/>
      <c r="W99" s="45"/>
      <c r="X99" s="45"/>
      <c r="Y99" s="45"/>
      <c r="Z99" s="45"/>
    </row>
    <row r="100" spans="1:26">
      <c r="A100" s="45"/>
      <c r="B100" s="45"/>
      <c r="C100" s="45"/>
      <c r="D100" s="45"/>
      <c r="E100" s="45"/>
      <c r="F100" s="45"/>
      <c r="G100" s="45"/>
      <c r="H100" s="45"/>
      <c r="I100" s="45"/>
      <c r="J100" s="45"/>
      <c r="K100" s="45"/>
      <c r="L100" s="45"/>
      <c r="M100" s="45"/>
      <c r="N100" s="44"/>
      <c r="O100" s="45"/>
      <c r="P100" s="45"/>
      <c r="Q100" s="45"/>
      <c r="R100" s="45"/>
      <c r="S100" s="45"/>
      <c r="T100" s="45"/>
      <c r="U100" s="45"/>
      <c r="V100" s="45"/>
      <c r="W100" s="45"/>
      <c r="X100" s="45"/>
      <c r="Y100" s="45"/>
      <c r="Z100" s="45"/>
    </row>
    <row r="101" spans="1:26">
      <c r="A101" s="45"/>
      <c r="B101" s="45"/>
      <c r="C101" s="45"/>
      <c r="D101" s="45"/>
      <c r="E101" s="45"/>
      <c r="F101" s="45"/>
      <c r="G101" s="45"/>
      <c r="H101" s="45"/>
      <c r="I101" s="45"/>
      <c r="J101" s="45"/>
      <c r="K101" s="45"/>
      <c r="L101" s="45"/>
      <c r="M101" s="45"/>
      <c r="N101" s="44"/>
      <c r="O101" s="45"/>
      <c r="P101" s="45"/>
      <c r="Q101" s="45"/>
      <c r="R101" s="45"/>
      <c r="S101" s="45"/>
      <c r="T101" s="45"/>
      <c r="U101" s="45"/>
      <c r="V101" s="45"/>
      <c r="W101" s="45"/>
      <c r="X101" s="45"/>
      <c r="Y101" s="45"/>
      <c r="Z101" s="45"/>
    </row>
    <row r="102" spans="1:26">
      <c r="A102" s="45"/>
      <c r="B102" s="45"/>
      <c r="C102" s="45"/>
      <c r="D102" s="45"/>
      <c r="E102" s="45"/>
      <c r="F102" s="45"/>
      <c r="G102" s="45"/>
      <c r="H102" s="45"/>
      <c r="I102" s="45"/>
      <c r="J102" s="45"/>
      <c r="K102" s="45"/>
      <c r="L102" s="45"/>
      <c r="M102" s="45"/>
      <c r="N102" s="44"/>
      <c r="O102" s="45"/>
      <c r="P102" s="45"/>
      <c r="Q102" s="45"/>
      <c r="R102" s="45"/>
      <c r="S102" s="45"/>
      <c r="T102" s="45"/>
      <c r="U102" s="45"/>
      <c r="V102" s="45"/>
      <c r="W102" s="45"/>
      <c r="X102" s="45"/>
      <c r="Y102" s="45"/>
      <c r="Z102" s="45"/>
    </row>
    <row r="103" spans="1:26">
      <c r="A103" s="45"/>
      <c r="B103" s="45"/>
      <c r="C103" s="45"/>
      <c r="D103" s="45"/>
      <c r="E103" s="45"/>
      <c r="F103" s="45"/>
      <c r="G103" s="45"/>
      <c r="H103" s="45"/>
      <c r="I103" s="45"/>
      <c r="J103" s="45"/>
      <c r="K103" s="45"/>
      <c r="L103" s="45"/>
      <c r="M103" s="45"/>
      <c r="N103" s="44"/>
      <c r="O103" s="45"/>
      <c r="P103" s="45"/>
      <c r="Q103" s="45"/>
      <c r="R103" s="45"/>
      <c r="S103" s="45"/>
      <c r="T103" s="45"/>
      <c r="U103" s="45"/>
      <c r="V103" s="45"/>
      <c r="W103" s="45"/>
      <c r="X103" s="45"/>
      <c r="Y103" s="45"/>
      <c r="Z103" s="45"/>
    </row>
    <row r="104" spans="1:26">
      <c r="A104" s="45"/>
      <c r="B104" s="45"/>
      <c r="C104" s="45"/>
      <c r="D104" s="45"/>
      <c r="E104" s="45"/>
      <c r="F104" s="45"/>
      <c r="G104" s="45"/>
      <c r="H104" s="45"/>
      <c r="I104" s="45"/>
      <c r="J104" s="45"/>
      <c r="K104" s="45"/>
      <c r="L104" s="45"/>
      <c r="M104" s="45"/>
      <c r="N104" s="44"/>
      <c r="O104" s="45"/>
      <c r="P104" s="45"/>
      <c r="Q104" s="45"/>
      <c r="R104" s="45"/>
      <c r="S104" s="45"/>
      <c r="T104" s="45"/>
      <c r="U104" s="45"/>
      <c r="V104" s="45"/>
      <c r="W104" s="45"/>
      <c r="X104" s="45"/>
      <c r="Y104" s="45"/>
      <c r="Z104" s="45"/>
    </row>
    <row r="105" spans="1:26">
      <c r="A105" s="45"/>
      <c r="B105" s="45"/>
      <c r="C105" s="45"/>
      <c r="D105" s="45"/>
      <c r="E105" s="45"/>
      <c r="F105" s="45"/>
      <c r="G105" s="45"/>
      <c r="H105" s="45"/>
      <c r="I105" s="45"/>
      <c r="J105" s="45"/>
      <c r="K105" s="45"/>
      <c r="L105" s="45"/>
      <c r="M105" s="45"/>
      <c r="N105" s="44"/>
      <c r="O105" s="45"/>
      <c r="P105" s="45"/>
      <c r="Q105" s="45"/>
      <c r="R105" s="45"/>
      <c r="S105" s="45"/>
      <c r="T105" s="45"/>
      <c r="U105" s="45"/>
      <c r="V105" s="45"/>
      <c r="W105" s="45"/>
      <c r="X105" s="45"/>
      <c r="Y105" s="45"/>
      <c r="Z105" s="45"/>
    </row>
    <row r="106" spans="1:26">
      <c r="A106" s="45"/>
      <c r="B106" s="45"/>
      <c r="C106" s="45"/>
      <c r="D106" s="45"/>
      <c r="E106" s="45"/>
      <c r="F106" s="45"/>
      <c r="G106" s="45"/>
      <c r="H106" s="45"/>
      <c r="I106" s="45"/>
      <c r="J106" s="45"/>
      <c r="K106" s="45"/>
      <c r="L106" s="45"/>
      <c r="M106" s="45"/>
      <c r="N106" s="44"/>
      <c r="O106" s="45"/>
      <c r="P106" s="45"/>
      <c r="Q106" s="45"/>
      <c r="R106" s="45"/>
      <c r="S106" s="45"/>
      <c r="T106" s="45"/>
      <c r="U106" s="45"/>
      <c r="V106" s="45"/>
      <c r="W106" s="45"/>
      <c r="X106" s="45"/>
      <c r="Y106" s="45"/>
      <c r="Z106" s="45"/>
    </row>
    <row r="107" spans="1:26">
      <c r="A107" s="45"/>
      <c r="B107" s="45"/>
      <c r="C107" s="45"/>
      <c r="D107" s="45"/>
      <c r="E107" s="45"/>
      <c r="F107" s="45"/>
      <c r="G107" s="45"/>
      <c r="H107" s="45"/>
      <c r="I107" s="45"/>
      <c r="J107" s="45"/>
      <c r="K107" s="45"/>
      <c r="L107" s="45"/>
      <c r="M107" s="45"/>
      <c r="N107" s="44"/>
      <c r="O107" s="45"/>
      <c r="P107" s="45"/>
      <c r="Q107" s="45"/>
      <c r="R107" s="45"/>
      <c r="S107" s="45"/>
      <c r="T107" s="45"/>
      <c r="U107" s="45"/>
      <c r="V107" s="45"/>
      <c r="W107" s="45"/>
      <c r="X107" s="45"/>
      <c r="Y107" s="45"/>
      <c r="Z107" s="45"/>
    </row>
    <row r="108" spans="1:26">
      <c r="A108" s="45"/>
      <c r="B108" s="45"/>
      <c r="C108" s="45"/>
      <c r="D108" s="45"/>
      <c r="E108" s="45"/>
      <c r="F108" s="45"/>
      <c r="G108" s="45"/>
      <c r="H108" s="45"/>
      <c r="I108" s="45"/>
      <c r="J108" s="45"/>
      <c r="K108" s="45"/>
      <c r="L108" s="45"/>
      <c r="M108" s="45"/>
      <c r="N108" s="44"/>
      <c r="O108" s="45"/>
      <c r="P108" s="45"/>
      <c r="Q108" s="45"/>
      <c r="R108" s="45"/>
      <c r="S108" s="45"/>
      <c r="T108" s="45"/>
      <c r="U108" s="45"/>
      <c r="V108" s="45"/>
      <c r="W108" s="45"/>
      <c r="X108" s="45"/>
      <c r="Y108" s="45"/>
      <c r="Z108" s="45"/>
    </row>
    <row r="109" spans="1:26">
      <c r="A109" s="45"/>
      <c r="B109" s="45"/>
      <c r="C109" s="45"/>
      <c r="D109" s="45"/>
      <c r="E109" s="45"/>
      <c r="F109" s="45"/>
      <c r="G109" s="45"/>
      <c r="H109" s="45"/>
      <c r="I109" s="45"/>
      <c r="J109" s="45"/>
      <c r="K109" s="45"/>
      <c r="L109" s="45"/>
      <c r="M109" s="45"/>
      <c r="N109" s="44"/>
      <c r="O109" s="45"/>
      <c r="P109" s="45"/>
      <c r="Q109" s="45"/>
      <c r="R109" s="45"/>
      <c r="S109" s="45"/>
      <c r="T109" s="45"/>
      <c r="U109" s="45"/>
      <c r="V109" s="45"/>
      <c r="W109" s="45"/>
      <c r="X109" s="45"/>
      <c r="Y109" s="45"/>
      <c r="Z109" s="45"/>
    </row>
    <row r="110" spans="1:26">
      <c r="A110" s="45"/>
      <c r="B110" s="45"/>
      <c r="C110" s="45"/>
      <c r="D110" s="45"/>
      <c r="E110" s="45"/>
      <c r="F110" s="45"/>
      <c r="G110" s="45"/>
      <c r="H110" s="45"/>
      <c r="I110" s="45"/>
      <c r="J110" s="45"/>
      <c r="K110" s="45"/>
      <c r="L110" s="45"/>
      <c r="M110" s="45"/>
      <c r="N110" s="44"/>
      <c r="O110" s="45"/>
      <c r="P110" s="45"/>
      <c r="Q110" s="45"/>
      <c r="R110" s="45"/>
      <c r="S110" s="45"/>
      <c r="T110" s="45"/>
      <c r="U110" s="45"/>
      <c r="V110" s="45"/>
      <c r="W110" s="45"/>
      <c r="X110" s="45"/>
      <c r="Y110" s="45"/>
      <c r="Z110" s="45"/>
    </row>
    <row r="111" spans="1:26">
      <c r="A111" s="45"/>
      <c r="B111" s="45"/>
      <c r="C111" s="45"/>
      <c r="D111" s="45"/>
      <c r="E111" s="45"/>
      <c r="F111" s="45"/>
      <c r="G111" s="45"/>
      <c r="H111" s="45"/>
      <c r="I111" s="45"/>
      <c r="J111" s="45"/>
      <c r="K111" s="45"/>
      <c r="L111" s="45"/>
      <c r="M111" s="45"/>
      <c r="N111" s="44"/>
      <c r="O111" s="45"/>
      <c r="P111" s="45"/>
      <c r="Q111" s="45"/>
      <c r="R111" s="45"/>
      <c r="S111" s="45"/>
      <c r="T111" s="45"/>
      <c r="U111" s="45"/>
      <c r="V111" s="45"/>
      <c r="W111" s="45"/>
      <c r="X111" s="45"/>
      <c r="Y111" s="45"/>
      <c r="Z111" s="45"/>
    </row>
    <row r="112" spans="1:26">
      <c r="A112" s="45"/>
      <c r="B112" s="45"/>
      <c r="C112" s="45"/>
      <c r="D112" s="45"/>
      <c r="E112" s="45"/>
      <c r="F112" s="45"/>
      <c r="G112" s="45"/>
      <c r="H112" s="45"/>
      <c r="I112" s="45"/>
      <c r="J112" s="45"/>
      <c r="K112" s="45"/>
      <c r="L112" s="45"/>
      <c r="M112" s="45"/>
      <c r="N112" s="44"/>
      <c r="O112" s="45"/>
      <c r="P112" s="45"/>
      <c r="Q112" s="45"/>
      <c r="R112" s="45"/>
      <c r="S112" s="45"/>
      <c r="T112" s="45"/>
      <c r="U112" s="45"/>
      <c r="V112" s="45"/>
      <c r="W112" s="45"/>
      <c r="X112" s="45"/>
      <c r="Y112" s="45"/>
      <c r="Z112" s="45"/>
    </row>
    <row r="113" spans="1:26">
      <c r="A113" s="45"/>
      <c r="B113" s="45"/>
      <c r="C113" s="45"/>
      <c r="D113" s="45"/>
      <c r="E113" s="45"/>
      <c r="F113" s="45"/>
      <c r="G113" s="45"/>
      <c r="H113" s="45"/>
      <c r="I113" s="45"/>
      <c r="J113" s="45"/>
      <c r="K113" s="45"/>
      <c r="L113" s="45"/>
      <c r="M113" s="45"/>
      <c r="N113" s="44"/>
      <c r="O113" s="45"/>
      <c r="P113" s="45"/>
      <c r="Q113" s="45"/>
      <c r="R113" s="45"/>
      <c r="S113" s="45"/>
      <c r="T113" s="45"/>
      <c r="U113" s="45"/>
      <c r="V113" s="45"/>
      <c r="W113" s="45"/>
      <c r="X113" s="45"/>
      <c r="Y113" s="45"/>
      <c r="Z113" s="45"/>
    </row>
    <row r="114" spans="1:26">
      <c r="A114" s="45"/>
      <c r="B114" s="45"/>
      <c r="C114" s="45"/>
      <c r="D114" s="45"/>
      <c r="E114" s="45"/>
      <c r="F114" s="45"/>
      <c r="G114" s="45"/>
      <c r="H114" s="45"/>
      <c r="I114" s="45"/>
      <c r="J114" s="45"/>
      <c r="K114" s="45"/>
      <c r="L114" s="45"/>
      <c r="M114" s="45"/>
      <c r="N114" s="44"/>
      <c r="O114" s="45"/>
      <c r="P114" s="45"/>
      <c r="Q114" s="45"/>
      <c r="R114" s="45"/>
      <c r="S114" s="45"/>
      <c r="T114" s="45"/>
      <c r="U114" s="45"/>
      <c r="V114" s="45"/>
      <c r="W114" s="45"/>
      <c r="X114" s="45"/>
      <c r="Y114" s="45"/>
      <c r="Z114" s="45"/>
    </row>
    <row r="115" spans="1:26">
      <c r="A115" s="45"/>
      <c r="B115" s="45"/>
      <c r="C115" s="45"/>
      <c r="D115" s="45"/>
      <c r="E115" s="45"/>
      <c r="F115" s="45"/>
      <c r="G115" s="45"/>
      <c r="H115" s="45"/>
      <c r="I115" s="45"/>
      <c r="J115" s="45"/>
      <c r="K115" s="45"/>
      <c r="L115" s="45"/>
      <c r="M115" s="45"/>
      <c r="N115" s="44"/>
      <c r="O115" s="45"/>
      <c r="P115" s="45"/>
      <c r="Q115" s="45"/>
      <c r="R115" s="45"/>
      <c r="S115" s="45"/>
      <c r="T115" s="45"/>
      <c r="U115" s="45"/>
      <c r="V115" s="45"/>
      <c r="W115" s="45"/>
      <c r="X115" s="45"/>
      <c r="Y115" s="45"/>
      <c r="Z115" s="45"/>
    </row>
    <row r="116" spans="1:26">
      <c r="A116" s="45"/>
      <c r="B116" s="45"/>
      <c r="C116" s="45"/>
      <c r="D116" s="45"/>
      <c r="E116" s="45"/>
      <c r="F116" s="45"/>
      <c r="G116" s="45"/>
      <c r="H116" s="45"/>
      <c r="I116" s="45"/>
      <c r="J116" s="45"/>
      <c r="K116" s="45"/>
      <c r="L116" s="45"/>
      <c r="M116" s="45"/>
      <c r="N116" s="44"/>
      <c r="O116" s="45"/>
      <c r="P116" s="45"/>
      <c r="Q116" s="45"/>
      <c r="R116" s="45"/>
      <c r="S116" s="45"/>
      <c r="T116" s="45"/>
      <c r="U116" s="45"/>
      <c r="V116" s="45"/>
      <c r="W116" s="45"/>
      <c r="X116" s="45"/>
      <c r="Y116" s="45"/>
      <c r="Z116" s="45"/>
    </row>
    <row r="117" spans="1:26">
      <c r="A117" s="45"/>
      <c r="B117" s="45"/>
      <c r="C117" s="45"/>
      <c r="D117" s="45"/>
      <c r="E117" s="45"/>
      <c r="F117" s="45"/>
      <c r="G117" s="45"/>
      <c r="H117" s="45"/>
      <c r="I117" s="45"/>
      <c r="J117" s="45"/>
      <c r="K117" s="45"/>
      <c r="L117" s="45"/>
      <c r="M117" s="45"/>
      <c r="N117" s="44"/>
      <c r="O117" s="45"/>
      <c r="P117" s="45"/>
      <c r="Q117" s="45"/>
      <c r="R117" s="45"/>
      <c r="S117" s="45"/>
      <c r="T117" s="45"/>
      <c r="U117" s="45"/>
      <c r="V117" s="45"/>
      <c r="W117" s="45"/>
      <c r="X117" s="45"/>
      <c r="Y117" s="45"/>
      <c r="Z117" s="45"/>
    </row>
    <row r="118" spans="1:26">
      <c r="A118" s="45"/>
      <c r="B118" s="45"/>
      <c r="C118" s="45"/>
      <c r="D118" s="45"/>
      <c r="E118" s="45"/>
      <c r="F118" s="45"/>
      <c r="G118" s="45"/>
      <c r="H118" s="45"/>
      <c r="I118" s="45"/>
      <c r="J118" s="45"/>
      <c r="K118" s="45"/>
      <c r="L118" s="45"/>
      <c r="M118" s="45"/>
      <c r="N118" s="44"/>
      <c r="O118" s="45"/>
      <c r="P118" s="45"/>
      <c r="Q118" s="45"/>
      <c r="R118" s="45"/>
      <c r="S118" s="45"/>
      <c r="T118" s="45"/>
      <c r="U118" s="45"/>
      <c r="V118" s="45"/>
      <c r="W118" s="45"/>
      <c r="X118" s="45"/>
      <c r="Y118" s="45"/>
      <c r="Z118" s="45"/>
    </row>
    <row r="119" spans="1:26">
      <c r="A119" s="45"/>
      <c r="B119" s="45"/>
      <c r="C119" s="45"/>
      <c r="D119" s="45"/>
      <c r="E119" s="45"/>
      <c r="F119" s="45"/>
      <c r="G119" s="45"/>
      <c r="H119" s="45"/>
      <c r="I119" s="45"/>
      <c r="J119" s="45"/>
      <c r="K119" s="45"/>
      <c r="L119" s="45"/>
      <c r="M119" s="45"/>
      <c r="N119" s="44"/>
      <c r="O119" s="45"/>
      <c r="P119" s="45"/>
      <c r="Q119" s="45"/>
      <c r="R119" s="45"/>
      <c r="S119" s="45"/>
      <c r="T119" s="45"/>
      <c r="U119" s="45"/>
      <c r="V119" s="45"/>
      <c r="W119" s="45"/>
      <c r="X119" s="45"/>
      <c r="Y119" s="45"/>
      <c r="Z119" s="45"/>
    </row>
    <row r="120" spans="1:26">
      <c r="A120" s="45"/>
      <c r="B120" s="45"/>
      <c r="C120" s="45"/>
      <c r="D120" s="45"/>
      <c r="E120" s="45"/>
      <c r="F120" s="45"/>
      <c r="G120" s="45"/>
      <c r="H120" s="45"/>
      <c r="I120" s="45"/>
      <c r="J120" s="45"/>
      <c r="K120" s="45"/>
      <c r="L120" s="45"/>
      <c r="M120" s="45"/>
      <c r="N120" s="44"/>
      <c r="O120" s="45"/>
      <c r="P120" s="45"/>
      <c r="Q120" s="45"/>
      <c r="R120" s="45"/>
      <c r="S120" s="45"/>
      <c r="T120" s="45"/>
      <c r="U120" s="45"/>
      <c r="V120" s="45"/>
      <c r="W120" s="45"/>
      <c r="X120" s="45"/>
      <c r="Y120" s="45"/>
      <c r="Z120" s="45"/>
    </row>
    <row r="121" spans="1:26">
      <c r="A121" s="45"/>
      <c r="B121" s="45"/>
      <c r="C121" s="45"/>
      <c r="D121" s="45"/>
      <c r="E121" s="45"/>
      <c r="F121" s="45"/>
      <c r="G121" s="45"/>
      <c r="H121" s="45"/>
      <c r="I121" s="45"/>
      <c r="J121" s="45"/>
      <c r="K121" s="45"/>
      <c r="L121" s="45"/>
      <c r="M121" s="45"/>
      <c r="N121" s="44"/>
      <c r="O121" s="45"/>
      <c r="P121" s="45"/>
      <c r="Q121" s="45"/>
      <c r="R121" s="45"/>
      <c r="S121" s="45"/>
      <c r="T121" s="45"/>
      <c r="U121" s="45"/>
      <c r="V121" s="45"/>
      <c r="W121" s="45"/>
      <c r="X121" s="45"/>
      <c r="Y121" s="45"/>
      <c r="Z121" s="45"/>
    </row>
    <row r="122" spans="1:26">
      <c r="A122" s="45"/>
      <c r="B122" s="45"/>
      <c r="C122" s="45"/>
      <c r="D122" s="45"/>
      <c r="E122" s="45"/>
      <c r="F122" s="45"/>
      <c r="G122" s="45"/>
      <c r="H122" s="45"/>
      <c r="I122" s="45"/>
      <c r="J122" s="45"/>
      <c r="K122" s="45"/>
      <c r="L122" s="45"/>
      <c r="M122" s="45"/>
      <c r="N122" s="44"/>
      <c r="O122" s="45"/>
      <c r="P122" s="45"/>
      <c r="Q122" s="45"/>
      <c r="R122" s="45"/>
      <c r="S122" s="45"/>
      <c r="T122" s="45"/>
      <c r="U122" s="45"/>
      <c r="V122" s="45"/>
      <c r="W122" s="45"/>
      <c r="X122" s="45"/>
      <c r="Y122" s="45"/>
      <c r="Z122" s="45"/>
    </row>
    <row r="123" spans="1:26">
      <c r="A123" s="45"/>
      <c r="B123" s="45"/>
      <c r="C123" s="45"/>
      <c r="D123" s="45"/>
      <c r="E123" s="45"/>
      <c r="F123" s="45"/>
      <c r="G123" s="45"/>
      <c r="H123" s="45"/>
      <c r="I123" s="45"/>
      <c r="J123" s="45"/>
      <c r="K123" s="45"/>
      <c r="L123" s="45"/>
      <c r="M123" s="45"/>
      <c r="N123" s="44"/>
      <c r="O123" s="45"/>
      <c r="P123" s="45"/>
      <c r="Q123" s="45"/>
      <c r="R123" s="45"/>
      <c r="S123" s="45"/>
      <c r="T123" s="45"/>
      <c r="U123" s="45"/>
      <c r="V123" s="45"/>
      <c r="W123" s="45"/>
      <c r="X123" s="45"/>
      <c r="Y123" s="45"/>
      <c r="Z123" s="45"/>
    </row>
    <row r="124" spans="1:26">
      <c r="A124" s="45"/>
      <c r="B124" s="45"/>
      <c r="C124" s="45"/>
      <c r="D124" s="45"/>
      <c r="E124" s="45"/>
      <c r="F124" s="45"/>
      <c r="G124" s="45"/>
      <c r="H124" s="45"/>
      <c r="I124" s="45"/>
      <c r="J124" s="45"/>
      <c r="K124" s="45"/>
      <c r="L124" s="45"/>
      <c r="M124" s="45"/>
      <c r="N124" s="44"/>
      <c r="O124" s="45"/>
      <c r="P124" s="45"/>
      <c r="Q124" s="45"/>
      <c r="R124" s="45"/>
      <c r="S124" s="45"/>
      <c r="T124" s="45"/>
      <c r="U124" s="45"/>
      <c r="V124" s="45"/>
      <c r="W124" s="45"/>
      <c r="X124" s="45"/>
      <c r="Y124" s="45"/>
      <c r="Z124" s="45"/>
    </row>
    <row r="125" spans="1:26">
      <c r="A125" s="45"/>
      <c r="B125" s="45"/>
      <c r="C125" s="45"/>
      <c r="D125" s="45"/>
      <c r="E125" s="45"/>
      <c r="F125" s="45"/>
      <c r="G125" s="45"/>
      <c r="H125" s="45"/>
      <c r="I125" s="45"/>
      <c r="J125" s="45"/>
      <c r="K125" s="45"/>
      <c r="L125" s="45"/>
      <c r="M125" s="45"/>
      <c r="N125" s="44"/>
      <c r="O125" s="45"/>
      <c r="P125" s="45"/>
      <c r="Q125" s="45"/>
      <c r="R125" s="45"/>
      <c r="S125" s="45"/>
      <c r="T125" s="45"/>
      <c r="U125" s="45"/>
      <c r="V125" s="45"/>
      <c r="W125" s="45"/>
      <c r="X125" s="45"/>
      <c r="Y125" s="45"/>
      <c r="Z125" s="45"/>
    </row>
    <row r="126" spans="1:26">
      <c r="A126" s="45"/>
      <c r="B126" s="45"/>
      <c r="C126" s="45"/>
      <c r="D126" s="45"/>
      <c r="E126" s="45"/>
      <c r="F126" s="45"/>
      <c r="G126" s="45"/>
      <c r="H126" s="45"/>
      <c r="I126" s="45"/>
      <c r="J126" s="45"/>
      <c r="K126" s="45"/>
      <c r="L126" s="45"/>
      <c r="M126" s="45"/>
      <c r="N126" s="44"/>
      <c r="O126" s="45"/>
      <c r="P126" s="45"/>
      <c r="Q126" s="45"/>
      <c r="R126" s="45"/>
      <c r="S126" s="45"/>
      <c r="T126" s="45"/>
      <c r="U126" s="45"/>
      <c r="V126" s="45"/>
      <c r="W126" s="45"/>
      <c r="X126" s="45"/>
      <c r="Y126" s="45"/>
      <c r="Z126" s="45"/>
    </row>
    <row r="127" spans="1:26">
      <c r="A127" s="45"/>
      <c r="B127" s="45"/>
      <c r="C127" s="45"/>
      <c r="D127" s="45"/>
      <c r="E127" s="45"/>
      <c r="F127" s="45"/>
      <c r="G127" s="45"/>
      <c r="H127" s="45"/>
      <c r="I127" s="45"/>
      <c r="J127" s="45"/>
      <c r="K127" s="45"/>
      <c r="L127" s="45"/>
      <c r="M127" s="45"/>
      <c r="N127" s="44"/>
      <c r="O127" s="45"/>
      <c r="P127" s="45"/>
      <c r="Q127" s="45"/>
      <c r="R127" s="45"/>
      <c r="S127" s="45"/>
      <c r="T127" s="45"/>
      <c r="U127" s="45"/>
      <c r="V127" s="45"/>
      <c r="W127" s="45"/>
      <c r="X127" s="45"/>
      <c r="Y127" s="45"/>
      <c r="Z127" s="45"/>
    </row>
    <row r="128" spans="1:26">
      <c r="A128" s="45"/>
      <c r="B128" s="45"/>
      <c r="C128" s="45"/>
      <c r="D128" s="45"/>
      <c r="E128" s="45"/>
      <c r="F128" s="45"/>
      <c r="G128" s="45"/>
      <c r="H128" s="45"/>
      <c r="I128" s="45"/>
      <c r="J128" s="45"/>
      <c r="K128" s="45"/>
      <c r="L128" s="45"/>
      <c r="M128" s="45"/>
      <c r="N128" s="44"/>
      <c r="O128" s="45"/>
      <c r="P128" s="45"/>
      <c r="Q128" s="45"/>
      <c r="R128" s="45"/>
      <c r="S128" s="45"/>
      <c r="T128" s="45"/>
      <c r="U128" s="45"/>
      <c r="V128" s="45"/>
      <c r="W128" s="45"/>
      <c r="X128" s="45"/>
      <c r="Y128" s="45"/>
      <c r="Z128" s="45"/>
    </row>
    <row r="129" spans="1:26">
      <c r="A129" s="45"/>
      <c r="B129" s="45"/>
      <c r="C129" s="45"/>
      <c r="D129" s="45"/>
      <c r="E129" s="45"/>
      <c r="F129" s="45"/>
      <c r="G129" s="45"/>
      <c r="H129" s="45"/>
      <c r="I129" s="45"/>
      <c r="J129" s="45"/>
      <c r="K129" s="45"/>
      <c r="L129" s="45"/>
      <c r="M129" s="45"/>
      <c r="N129" s="44"/>
      <c r="O129" s="45"/>
      <c r="P129" s="45"/>
      <c r="Q129" s="45"/>
      <c r="R129" s="45"/>
      <c r="S129" s="45"/>
      <c r="T129" s="45"/>
      <c r="U129" s="45"/>
      <c r="V129" s="45"/>
      <c r="W129" s="45"/>
      <c r="X129" s="45"/>
      <c r="Y129" s="45"/>
      <c r="Z129" s="45"/>
    </row>
    <row r="130" spans="1:26">
      <c r="A130" s="45"/>
      <c r="B130" s="45"/>
      <c r="C130" s="45"/>
      <c r="D130" s="45"/>
      <c r="E130" s="45"/>
      <c r="F130" s="45"/>
      <c r="G130" s="45"/>
      <c r="H130" s="45"/>
      <c r="I130" s="45"/>
      <c r="J130" s="45"/>
      <c r="K130" s="45"/>
      <c r="L130" s="45"/>
      <c r="M130" s="45"/>
      <c r="N130" s="44"/>
      <c r="O130" s="45"/>
      <c r="P130" s="45"/>
      <c r="Q130" s="45"/>
      <c r="R130" s="45"/>
      <c r="S130" s="45"/>
      <c r="T130" s="45"/>
      <c r="U130" s="45"/>
      <c r="V130" s="45"/>
      <c r="W130" s="45"/>
      <c r="X130" s="45"/>
      <c r="Y130" s="45"/>
      <c r="Z130" s="45"/>
    </row>
    <row r="131" spans="1:26">
      <c r="A131" s="45"/>
      <c r="B131" s="45"/>
      <c r="C131" s="45"/>
      <c r="D131" s="45"/>
      <c r="E131" s="45"/>
      <c r="F131" s="45"/>
      <c r="G131" s="45"/>
      <c r="H131" s="45"/>
      <c r="I131" s="45"/>
      <c r="J131" s="45"/>
      <c r="K131" s="45"/>
      <c r="L131" s="45"/>
      <c r="M131" s="45"/>
      <c r="N131" s="44"/>
      <c r="O131" s="45"/>
      <c r="P131" s="45"/>
      <c r="Q131" s="45"/>
      <c r="R131" s="45"/>
      <c r="S131" s="45"/>
      <c r="T131" s="45"/>
      <c r="U131" s="45"/>
      <c r="V131" s="45"/>
      <c r="W131" s="45"/>
      <c r="X131" s="45"/>
      <c r="Y131" s="45"/>
      <c r="Z131" s="45"/>
    </row>
    <row r="132" spans="1:26">
      <c r="A132" s="45"/>
      <c r="B132" s="45"/>
      <c r="C132" s="45"/>
      <c r="D132" s="45"/>
      <c r="E132" s="45"/>
      <c r="F132" s="45"/>
      <c r="G132" s="45"/>
      <c r="H132" s="45"/>
      <c r="I132" s="45"/>
      <c r="J132" s="45"/>
      <c r="K132" s="45"/>
      <c r="L132" s="45"/>
      <c r="M132" s="45"/>
      <c r="N132" s="44"/>
      <c r="O132" s="45"/>
      <c r="P132" s="45"/>
      <c r="Q132" s="45"/>
      <c r="R132" s="45"/>
      <c r="S132" s="45"/>
      <c r="T132" s="45"/>
      <c r="U132" s="45"/>
      <c r="V132" s="45"/>
      <c r="W132" s="45"/>
      <c r="X132" s="45"/>
      <c r="Y132" s="45"/>
      <c r="Z132" s="45"/>
    </row>
    <row r="133" spans="1:26">
      <c r="A133" s="45"/>
      <c r="B133" s="45"/>
      <c r="C133" s="45"/>
      <c r="D133" s="45"/>
      <c r="E133" s="45"/>
      <c r="F133" s="45"/>
      <c r="G133" s="45"/>
      <c r="H133" s="45"/>
      <c r="I133" s="45"/>
      <c r="J133" s="45"/>
      <c r="K133" s="45"/>
      <c r="L133" s="45"/>
      <c r="M133" s="45"/>
      <c r="N133" s="44"/>
      <c r="O133" s="45"/>
      <c r="P133" s="45"/>
      <c r="Q133" s="45"/>
      <c r="R133" s="45"/>
      <c r="S133" s="45"/>
      <c r="T133" s="45"/>
      <c r="U133" s="45"/>
      <c r="V133" s="45"/>
      <c r="W133" s="45"/>
      <c r="X133" s="45"/>
      <c r="Y133" s="45"/>
      <c r="Z133" s="45"/>
    </row>
    <row r="134" spans="1:26">
      <c r="A134" s="45"/>
      <c r="B134" s="45"/>
      <c r="C134" s="45"/>
      <c r="D134" s="45"/>
      <c r="E134" s="45"/>
      <c r="F134" s="45"/>
      <c r="G134" s="45"/>
      <c r="H134" s="45"/>
      <c r="I134" s="45"/>
      <c r="J134" s="45"/>
      <c r="K134" s="45"/>
      <c r="L134" s="45"/>
      <c r="M134" s="45"/>
      <c r="N134" s="44"/>
      <c r="O134" s="45"/>
      <c r="P134" s="45"/>
      <c r="Q134" s="45"/>
      <c r="R134" s="45"/>
      <c r="S134" s="45"/>
      <c r="T134" s="45"/>
      <c r="U134" s="45"/>
      <c r="V134" s="45"/>
      <c r="W134" s="45"/>
      <c r="X134" s="45"/>
      <c r="Y134" s="45"/>
      <c r="Z134" s="45"/>
    </row>
    <row r="135" spans="1:26">
      <c r="A135" s="45"/>
      <c r="B135" s="45"/>
      <c r="C135" s="45"/>
      <c r="D135" s="45"/>
      <c r="E135" s="45"/>
      <c r="F135" s="45"/>
      <c r="G135" s="45"/>
      <c r="H135" s="45"/>
      <c r="I135" s="45"/>
      <c r="J135" s="45"/>
      <c r="K135" s="45"/>
      <c r="L135" s="45"/>
      <c r="M135" s="45"/>
      <c r="N135" s="44"/>
      <c r="O135" s="45"/>
      <c r="P135" s="45"/>
      <c r="Q135" s="45"/>
      <c r="R135" s="45"/>
      <c r="S135" s="45"/>
      <c r="T135" s="45"/>
      <c r="U135" s="45"/>
      <c r="V135" s="45"/>
      <c r="W135" s="45"/>
      <c r="X135" s="45"/>
      <c r="Y135" s="45"/>
      <c r="Z135" s="45"/>
    </row>
    <row r="136" spans="1:26">
      <c r="A136" s="45"/>
      <c r="B136" s="45"/>
      <c r="C136" s="45"/>
      <c r="D136" s="45"/>
      <c r="E136" s="45"/>
      <c r="F136" s="45"/>
      <c r="G136" s="45"/>
      <c r="H136" s="45"/>
      <c r="I136" s="45"/>
      <c r="J136" s="45"/>
      <c r="K136" s="45"/>
      <c r="L136" s="45"/>
      <c r="M136" s="45"/>
      <c r="N136" s="44"/>
      <c r="O136" s="45"/>
      <c r="P136" s="45"/>
      <c r="Q136" s="45"/>
      <c r="R136" s="45"/>
      <c r="S136" s="45"/>
      <c r="T136" s="45"/>
      <c r="U136" s="45"/>
      <c r="V136" s="45"/>
      <c r="W136" s="45"/>
      <c r="X136" s="45"/>
      <c r="Y136" s="45"/>
      <c r="Z136" s="45"/>
    </row>
    <row r="137" spans="1:26">
      <c r="A137" s="45"/>
      <c r="B137" s="45"/>
      <c r="C137" s="45"/>
      <c r="D137" s="45"/>
      <c r="E137" s="45"/>
      <c r="F137" s="45"/>
      <c r="G137" s="45"/>
      <c r="H137" s="45"/>
      <c r="I137" s="45"/>
      <c r="J137" s="45"/>
      <c r="K137" s="45"/>
      <c r="L137" s="45"/>
      <c r="M137" s="45"/>
      <c r="N137" s="44"/>
      <c r="O137" s="45"/>
      <c r="P137" s="45"/>
      <c r="Q137" s="45"/>
      <c r="R137" s="45"/>
      <c r="S137" s="45"/>
      <c r="T137" s="45"/>
      <c r="U137" s="45"/>
      <c r="V137" s="45"/>
      <c r="W137" s="45"/>
      <c r="X137" s="45"/>
      <c r="Y137" s="45"/>
      <c r="Z137" s="45"/>
    </row>
    <row r="138" spans="1:26">
      <c r="A138" s="45"/>
      <c r="B138" s="45"/>
      <c r="C138" s="45"/>
      <c r="D138" s="45"/>
      <c r="E138" s="45"/>
      <c r="F138" s="45"/>
      <c r="G138" s="45"/>
      <c r="H138" s="45"/>
      <c r="I138" s="45"/>
      <c r="J138" s="45"/>
      <c r="K138" s="45"/>
      <c r="L138" s="45"/>
      <c r="M138" s="45"/>
      <c r="N138" s="44"/>
      <c r="O138" s="45"/>
      <c r="P138" s="45"/>
      <c r="Q138" s="45"/>
      <c r="R138" s="45"/>
      <c r="S138" s="45"/>
      <c r="T138" s="45"/>
      <c r="U138" s="45"/>
      <c r="V138" s="45"/>
      <c r="W138" s="45"/>
      <c r="X138" s="45"/>
      <c r="Y138" s="45"/>
      <c r="Z138" s="45"/>
    </row>
    <row r="139" spans="1:26">
      <c r="A139" s="45"/>
      <c r="B139" s="45"/>
      <c r="C139" s="45"/>
      <c r="D139" s="45"/>
      <c r="E139" s="45"/>
      <c r="F139" s="45"/>
      <c r="G139" s="45"/>
      <c r="H139" s="45"/>
      <c r="I139" s="45"/>
      <c r="J139" s="45"/>
      <c r="K139" s="45"/>
      <c r="L139" s="45"/>
      <c r="M139" s="45"/>
      <c r="N139" s="44"/>
      <c r="O139" s="45"/>
      <c r="P139" s="45"/>
      <c r="Q139" s="45"/>
      <c r="R139" s="45"/>
      <c r="S139" s="45"/>
      <c r="T139" s="45"/>
      <c r="U139" s="45"/>
      <c r="V139" s="45"/>
      <c r="W139" s="45"/>
      <c r="X139" s="45"/>
      <c r="Y139" s="45"/>
      <c r="Z139" s="45"/>
    </row>
    <row r="140" spans="1:26">
      <c r="A140" s="45"/>
      <c r="B140" s="45"/>
      <c r="C140" s="45"/>
      <c r="D140" s="45"/>
      <c r="E140" s="45"/>
      <c r="F140" s="45"/>
      <c r="G140" s="45"/>
      <c r="H140" s="45"/>
      <c r="I140" s="45"/>
      <c r="J140" s="45"/>
      <c r="K140" s="45"/>
      <c r="L140" s="45"/>
      <c r="M140" s="45"/>
      <c r="N140" s="44"/>
      <c r="O140" s="45"/>
      <c r="P140" s="45"/>
      <c r="Q140" s="45"/>
      <c r="R140" s="45"/>
      <c r="S140" s="45"/>
      <c r="T140" s="45"/>
      <c r="U140" s="45"/>
      <c r="V140" s="45"/>
      <c r="W140" s="45"/>
      <c r="X140" s="45"/>
      <c r="Y140" s="45"/>
      <c r="Z140" s="45"/>
    </row>
    <row r="141" spans="1:26">
      <c r="A141" s="45"/>
      <c r="B141" s="45"/>
      <c r="C141" s="45"/>
      <c r="D141" s="45"/>
      <c r="E141" s="45"/>
      <c r="F141" s="45"/>
      <c r="G141" s="45"/>
      <c r="H141" s="45"/>
      <c r="I141" s="45"/>
      <c r="J141" s="45"/>
      <c r="K141" s="45"/>
      <c r="L141" s="45"/>
      <c r="M141" s="45"/>
      <c r="N141" s="44"/>
      <c r="O141" s="45"/>
      <c r="P141" s="45"/>
      <c r="Q141" s="45"/>
      <c r="R141" s="45"/>
      <c r="S141" s="45"/>
      <c r="T141" s="45"/>
      <c r="U141" s="45"/>
      <c r="V141" s="45"/>
      <c r="W141" s="45"/>
      <c r="X141" s="45"/>
      <c r="Y141" s="45"/>
      <c r="Z141" s="45"/>
    </row>
    <row r="142" spans="1:26">
      <c r="A142" s="45"/>
      <c r="B142" s="45"/>
      <c r="C142" s="45"/>
      <c r="D142" s="45"/>
      <c r="E142" s="45"/>
      <c r="F142" s="45"/>
      <c r="G142" s="45"/>
      <c r="H142" s="45"/>
      <c r="I142" s="45"/>
      <c r="J142" s="45"/>
      <c r="K142" s="45"/>
      <c r="L142" s="45"/>
      <c r="M142" s="45"/>
      <c r="N142" s="44"/>
      <c r="O142" s="45"/>
      <c r="P142" s="45"/>
      <c r="Q142" s="45"/>
      <c r="R142" s="45"/>
      <c r="S142" s="45"/>
      <c r="T142" s="45"/>
      <c r="U142" s="45"/>
      <c r="V142" s="45"/>
      <c r="W142" s="45"/>
      <c r="X142" s="45"/>
      <c r="Y142" s="45"/>
      <c r="Z142" s="45"/>
    </row>
    <row r="143" spans="1:26">
      <c r="A143" s="45"/>
      <c r="B143" s="45"/>
      <c r="C143" s="45"/>
      <c r="D143" s="45"/>
      <c r="E143" s="45"/>
      <c r="F143" s="45"/>
      <c r="G143" s="45"/>
      <c r="H143" s="45"/>
      <c r="I143" s="45"/>
      <c r="J143" s="45"/>
      <c r="K143" s="45"/>
      <c r="L143" s="45"/>
      <c r="M143" s="45"/>
      <c r="N143" s="44"/>
      <c r="O143" s="45"/>
      <c r="P143" s="45"/>
      <c r="Q143" s="45"/>
      <c r="R143" s="45"/>
      <c r="S143" s="45"/>
      <c r="T143" s="45"/>
      <c r="U143" s="45"/>
      <c r="V143" s="45"/>
      <c r="W143" s="45"/>
      <c r="X143" s="45"/>
      <c r="Y143" s="45"/>
      <c r="Z143" s="45"/>
    </row>
    <row r="144" spans="1:26">
      <c r="A144" s="45"/>
      <c r="B144" s="45"/>
      <c r="C144" s="45"/>
      <c r="D144" s="45"/>
      <c r="E144" s="45"/>
      <c r="F144" s="45"/>
      <c r="G144" s="45"/>
      <c r="H144" s="45"/>
      <c r="I144" s="45"/>
      <c r="J144" s="45"/>
      <c r="K144" s="45"/>
      <c r="L144" s="45"/>
      <c r="M144" s="45"/>
      <c r="N144" s="44"/>
      <c r="O144" s="45"/>
      <c r="P144" s="45"/>
      <c r="Q144" s="45"/>
      <c r="R144" s="45"/>
      <c r="S144" s="45"/>
      <c r="T144" s="45"/>
      <c r="U144" s="45"/>
      <c r="V144" s="45"/>
      <c r="W144" s="45"/>
      <c r="X144" s="45"/>
      <c r="Y144" s="45"/>
      <c r="Z144" s="45"/>
    </row>
    <row r="145" spans="1:26">
      <c r="A145" s="45"/>
      <c r="B145" s="45"/>
      <c r="C145" s="45"/>
      <c r="D145" s="45"/>
      <c r="E145" s="45"/>
      <c r="F145" s="45"/>
      <c r="G145" s="45"/>
      <c r="H145" s="45"/>
      <c r="I145" s="45"/>
      <c r="J145" s="45"/>
      <c r="K145" s="45"/>
      <c r="L145" s="45"/>
      <c r="M145" s="45"/>
      <c r="N145" s="44"/>
      <c r="O145" s="45"/>
      <c r="P145" s="45"/>
      <c r="Q145" s="45"/>
      <c r="R145" s="45"/>
      <c r="S145" s="45"/>
      <c r="T145" s="45"/>
      <c r="U145" s="45"/>
      <c r="V145" s="45"/>
      <c r="W145" s="45"/>
      <c r="X145" s="45"/>
      <c r="Y145" s="45"/>
      <c r="Z145" s="45"/>
    </row>
    <row r="146" spans="1:26">
      <c r="A146" s="45"/>
      <c r="B146" s="45"/>
      <c r="C146" s="45"/>
      <c r="D146" s="45"/>
      <c r="E146" s="45"/>
      <c r="F146" s="45"/>
      <c r="G146" s="45"/>
      <c r="H146" s="45"/>
      <c r="I146" s="45"/>
      <c r="J146" s="45"/>
      <c r="K146" s="45"/>
      <c r="L146" s="45"/>
      <c r="M146" s="45"/>
      <c r="N146" s="44"/>
      <c r="O146" s="45"/>
      <c r="P146" s="45"/>
      <c r="Q146" s="45"/>
      <c r="R146" s="45"/>
      <c r="S146" s="45"/>
      <c r="T146" s="45"/>
      <c r="U146" s="45"/>
      <c r="V146" s="45"/>
      <c r="W146" s="45"/>
      <c r="X146" s="45"/>
      <c r="Y146" s="45"/>
      <c r="Z146" s="45"/>
    </row>
    <row r="147" spans="1:26">
      <c r="A147" s="45"/>
      <c r="B147" s="45"/>
      <c r="C147" s="45"/>
      <c r="D147" s="45"/>
      <c r="E147" s="45"/>
      <c r="F147" s="45"/>
      <c r="G147" s="45"/>
      <c r="H147" s="45"/>
      <c r="I147" s="45"/>
      <c r="J147" s="45"/>
      <c r="K147" s="45"/>
      <c r="L147" s="45"/>
      <c r="M147" s="45"/>
      <c r="N147" s="44"/>
      <c r="O147" s="45"/>
      <c r="P147" s="45"/>
      <c r="Q147" s="45"/>
      <c r="R147" s="45"/>
      <c r="S147" s="45"/>
      <c r="T147" s="45"/>
      <c r="U147" s="45"/>
      <c r="V147" s="45"/>
      <c r="W147" s="45"/>
      <c r="X147" s="45"/>
      <c r="Y147" s="45"/>
      <c r="Z147" s="45"/>
    </row>
    <row r="148" spans="1:26">
      <c r="A148" s="45"/>
      <c r="B148" s="45"/>
      <c r="C148" s="45"/>
      <c r="D148" s="45"/>
      <c r="E148" s="45"/>
      <c r="F148" s="45"/>
      <c r="G148" s="45"/>
      <c r="H148" s="45"/>
      <c r="I148" s="45"/>
      <c r="J148" s="45"/>
      <c r="K148" s="45"/>
      <c r="L148" s="45"/>
      <c r="M148" s="45"/>
      <c r="N148" s="44"/>
      <c r="O148" s="45"/>
      <c r="P148" s="45"/>
      <c r="Q148" s="45"/>
      <c r="R148" s="45"/>
      <c r="S148" s="45"/>
      <c r="T148" s="45"/>
      <c r="U148" s="45"/>
      <c r="V148" s="45"/>
      <c r="W148" s="45"/>
      <c r="X148" s="45"/>
      <c r="Y148" s="45"/>
      <c r="Z148" s="45"/>
    </row>
    <row r="149" spans="1:26">
      <c r="A149" s="45"/>
      <c r="B149" s="45"/>
      <c r="C149" s="45"/>
      <c r="D149" s="45"/>
      <c r="E149" s="45"/>
      <c r="F149" s="45"/>
      <c r="G149" s="45"/>
      <c r="H149" s="45"/>
      <c r="I149" s="45"/>
      <c r="J149" s="45"/>
      <c r="K149" s="45"/>
      <c r="L149" s="45"/>
      <c r="M149" s="45"/>
      <c r="N149" s="44"/>
      <c r="O149" s="45"/>
      <c r="P149" s="45"/>
      <c r="Q149" s="45"/>
      <c r="R149" s="45"/>
      <c r="S149" s="45"/>
      <c r="T149" s="45"/>
      <c r="U149" s="45"/>
      <c r="V149" s="45"/>
      <c r="W149" s="45"/>
      <c r="X149" s="45"/>
      <c r="Y149" s="45"/>
      <c r="Z149" s="45"/>
    </row>
    <row r="150" spans="1:26">
      <c r="A150" s="45"/>
      <c r="B150" s="45"/>
      <c r="C150" s="45"/>
      <c r="D150" s="45"/>
      <c r="E150" s="45"/>
      <c r="F150" s="45"/>
      <c r="G150" s="45"/>
      <c r="H150" s="45"/>
      <c r="I150" s="45"/>
      <c r="J150" s="45"/>
      <c r="K150" s="45"/>
      <c r="L150" s="45"/>
      <c r="M150" s="45"/>
      <c r="N150" s="44"/>
      <c r="O150" s="45"/>
      <c r="P150" s="45"/>
      <c r="Q150" s="45"/>
      <c r="R150" s="45"/>
      <c r="S150" s="45"/>
      <c r="T150" s="45"/>
      <c r="U150" s="45"/>
      <c r="V150" s="45"/>
      <c r="W150" s="45"/>
      <c r="X150" s="45"/>
      <c r="Y150" s="45"/>
      <c r="Z150" s="45"/>
    </row>
    <row r="151" spans="1:26">
      <c r="A151" s="45"/>
      <c r="B151" s="45"/>
      <c r="C151" s="45"/>
      <c r="D151" s="45"/>
      <c r="E151" s="45"/>
      <c r="F151" s="45"/>
      <c r="G151" s="45"/>
      <c r="H151" s="45"/>
      <c r="I151" s="45"/>
      <c r="J151" s="45"/>
      <c r="K151" s="45"/>
      <c r="L151" s="45"/>
      <c r="M151" s="45"/>
      <c r="N151" s="44"/>
      <c r="O151" s="45"/>
      <c r="P151" s="45"/>
      <c r="Q151" s="45"/>
      <c r="R151" s="45"/>
      <c r="S151" s="45"/>
      <c r="T151" s="45"/>
      <c r="U151" s="45"/>
      <c r="V151" s="45"/>
      <c r="W151" s="45"/>
      <c r="X151" s="45"/>
      <c r="Y151" s="45"/>
      <c r="Z151" s="45"/>
    </row>
    <row r="152" spans="1:26">
      <c r="A152" s="45"/>
      <c r="B152" s="45"/>
      <c r="C152" s="45"/>
      <c r="D152" s="45"/>
      <c r="E152" s="45"/>
      <c r="F152" s="45"/>
      <c r="G152" s="45"/>
      <c r="H152" s="45"/>
      <c r="I152" s="45"/>
      <c r="J152" s="45"/>
      <c r="K152" s="45"/>
      <c r="L152" s="45"/>
      <c r="M152" s="45"/>
      <c r="N152" s="44"/>
      <c r="O152" s="45"/>
      <c r="P152" s="45"/>
      <c r="Q152" s="45"/>
      <c r="R152" s="45"/>
      <c r="S152" s="45"/>
      <c r="T152" s="45"/>
      <c r="U152" s="45"/>
      <c r="V152" s="45"/>
      <c r="W152" s="45"/>
      <c r="X152" s="45"/>
      <c r="Y152" s="45"/>
      <c r="Z152" s="45"/>
    </row>
    <row r="153" spans="1:26">
      <c r="A153" s="45"/>
      <c r="B153" s="45"/>
      <c r="C153" s="45"/>
      <c r="D153" s="45"/>
      <c r="E153" s="45"/>
      <c r="F153" s="45"/>
      <c r="G153" s="45"/>
      <c r="H153" s="45"/>
      <c r="I153" s="45"/>
      <c r="J153" s="45"/>
      <c r="K153" s="45"/>
      <c r="L153" s="45"/>
      <c r="M153" s="45"/>
      <c r="N153" s="44"/>
      <c r="O153" s="45"/>
      <c r="P153" s="45"/>
      <c r="Q153" s="45"/>
      <c r="R153" s="45"/>
      <c r="S153" s="45"/>
      <c r="T153" s="45"/>
      <c r="U153" s="45"/>
      <c r="V153" s="45"/>
      <c r="W153" s="45"/>
      <c r="X153" s="45"/>
      <c r="Y153" s="45"/>
      <c r="Z153" s="45"/>
    </row>
    <row r="154" spans="1:26">
      <c r="A154" s="45"/>
      <c r="B154" s="45"/>
      <c r="C154" s="45"/>
      <c r="D154" s="45"/>
      <c r="E154" s="45"/>
      <c r="F154" s="45"/>
      <c r="G154" s="45"/>
      <c r="H154" s="45"/>
      <c r="I154" s="45"/>
      <c r="J154" s="45"/>
      <c r="K154" s="45"/>
      <c r="L154" s="45"/>
      <c r="M154" s="45"/>
      <c r="N154" s="44"/>
      <c r="O154" s="45"/>
      <c r="P154" s="45"/>
      <c r="Q154" s="45"/>
      <c r="R154" s="45"/>
      <c r="S154" s="45"/>
      <c r="T154" s="45"/>
      <c r="U154" s="45"/>
      <c r="V154" s="45"/>
      <c r="W154" s="45"/>
      <c r="X154" s="45"/>
      <c r="Y154" s="45"/>
      <c r="Z154" s="45"/>
    </row>
    <row r="155" spans="1:26">
      <c r="A155" s="45"/>
      <c r="B155" s="45"/>
      <c r="C155" s="45"/>
      <c r="D155" s="45"/>
      <c r="E155" s="45"/>
      <c r="F155" s="45"/>
      <c r="G155" s="45"/>
      <c r="H155" s="45"/>
      <c r="I155" s="45"/>
      <c r="J155" s="45"/>
      <c r="K155" s="45"/>
      <c r="L155" s="45"/>
      <c r="M155" s="45"/>
      <c r="N155" s="44"/>
      <c r="O155" s="45"/>
      <c r="P155" s="45"/>
      <c r="Q155" s="45"/>
      <c r="R155" s="45"/>
      <c r="S155" s="45"/>
      <c r="T155" s="45"/>
      <c r="U155" s="45"/>
      <c r="V155" s="45"/>
      <c r="W155" s="45"/>
      <c r="X155" s="45"/>
      <c r="Y155" s="45"/>
      <c r="Z155" s="45"/>
    </row>
    <row r="156" spans="1:26">
      <c r="A156" s="45"/>
      <c r="B156" s="45"/>
      <c r="C156" s="45"/>
      <c r="D156" s="45"/>
      <c r="E156" s="45"/>
      <c r="F156" s="45"/>
      <c r="G156" s="45"/>
      <c r="H156" s="45"/>
      <c r="I156" s="45"/>
      <c r="J156" s="45"/>
      <c r="K156" s="45"/>
      <c r="L156" s="45"/>
      <c r="M156" s="45"/>
      <c r="N156" s="44"/>
      <c r="O156" s="45"/>
      <c r="P156" s="45"/>
      <c r="Q156" s="45"/>
      <c r="R156" s="45"/>
      <c r="S156" s="45"/>
      <c r="T156" s="45"/>
      <c r="U156" s="45"/>
      <c r="V156" s="45"/>
      <c r="W156" s="45"/>
      <c r="X156" s="45"/>
      <c r="Y156" s="45"/>
      <c r="Z156" s="45"/>
    </row>
    <row r="157" spans="1:26">
      <c r="A157" s="45"/>
      <c r="B157" s="45"/>
      <c r="C157" s="45"/>
      <c r="D157" s="45"/>
      <c r="E157" s="45"/>
      <c r="F157" s="45"/>
      <c r="G157" s="45"/>
      <c r="H157" s="45"/>
      <c r="I157" s="45"/>
      <c r="J157" s="45"/>
      <c r="K157" s="45"/>
      <c r="L157" s="45"/>
      <c r="M157" s="45"/>
      <c r="N157" s="44"/>
      <c r="O157" s="45"/>
      <c r="P157" s="45"/>
      <c r="Q157" s="45"/>
      <c r="R157" s="45"/>
      <c r="S157" s="45"/>
      <c r="T157" s="45"/>
      <c r="U157" s="45"/>
      <c r="V157" s="45"/>
      <c r="W157" s="45"/>
      <c r="X157" s="45"/>
      <c r="Y157" s="45"/>
      <c r="Z157" s="45"/>
    </row>
    <row r="158" spans="1:26">
      <c r="A158" s="45"/>
      <c r="B158" s="45"/>
      <c r="C158" s="45"/>
      <c r="D158" s="45"/>
      <c r="E158" s="45"/>
      <c r="F158" s="45"/>
      <c r="G158" s="45"/>
      <c r="H158" s="45"/>
      <c r="I158" s="45"/>
      <c r="J158" s="45"/>
      <c r="K158" s="45"/>
      <c r="L158" s="45"/>
      <c r="M158" s="45"/>
      <c r="N158" s="44"/>
      <c r="O158" s="45"/>
      <c r="P158" s="45"/>
      <c r="Q158" s="45"/>
      <c r="R158" s="45"/>
      <c r="S158" s="45"/>
      <c r="T158" s="45"/>
      <c r="U158" s="45"/>
      <c r="V158" s="45"/>
      <c r="W158" s="45"/>
      <c r="X158" s="45"/>
      <c r="Y158" s="45"/>
      <c r="Z158" s="45"/>
    </row>
    <row r="159" spans="1:26">
      <c r="A159" s="45"/>
      <c r="B159" s="45"/>
      <c r="C159" s="45"/>
      <c r="D159" s="45"/>
      <c r="E159" s="45"/>
      <c r="F159" s="45"/>
      <c r="G159" s="45"/>
      <c r="H159" s="45"/>
      <c r="I159" s="45"/>
      <c r="J159" s="45"/>
      <c r="K159" s="45"/>
      <c r="L159" s="45"/>
      <c r="M159" s="45"/>
      <c r="N159" s="44"/>
      <c r="O159" s="45"/>
      <c r="P159" s="45"/>
      <c r="Q159" s="45"/>
      <c r="R159" s="45"/>
      <c r="S159" s="45"/>
      <c r="T159" s="45"/>
      <c r="U159" s="45"/>
      <c r="V159" s="45"/>
      <c r="W159" s="45"/>
      <c r="X159" s="45"/>
      <c r="Y159" s="45"/>
      <c r="Z159" s="45"/>
    </row>
    <row r="160" spans="1:26">
      <c r="A160" s="45"/>
      <c r="B160" s="45"/>
      <c r="C160" s="45"/>
      <c r="D160" s="45"/>
      <c r="E160" s="45"/>
      <c r="F160" s="45"/>
      <c r="G160" s="45"/>
      <c r="H160" s="45"/>
      <c r="I160" s="45"/>
      <c r="J160" s="45"/>
      <c r="K160" s="45"/>
      <c r="L160" s="45"/>
      <c r="M160" s="45"/>
      <c r="N160" s="44"/>
      <c r="O160" s="45"/>
      <c r="P160" s="45"/>
      <c r="Q160" s="45"/>
      <c r="R160" s="45"/>
      <c r="S160" s="45"/>
      <c r="T160" s="45"/>
      <c r="U160" s="45"/>
      <c r="V160" s="45"/>
      <c r="W160" s="45"/>
      <c r="X160" s="45"/>
      <c r="Y160" s="45"/>
      <c r="Z160" s="45"/>
    </row>
    <row r="161" spans="1:26">
      <c r="A161" s="45"/>
      <c r="B161" s="45"/>
      <c r="C161" s="45"/>
      <c r="D161" s="45"/>
      <c r="E161" s="45"/>
      <c r="F161" s="45"/>
      <c r="G161" s="45"/>
      <c r="H161" s="45"/>
      <c r="I161" s="45"/>
      <c r="J161" s="45"/>
      <c r="K161" s="45"/>
      <c r="L161" s="45"/>
      <c r="M161" s="45"/>
      <c r="N161" s="44"/>
      <c r="O161" s="45"/>
      <c r="P161" s="45"/>
      <c r="Q161" s="45"/>
      <c r="R161" s="45"/>
      <c r="S161" s="45"/>
      <c r="T161" s="45"/>
      <c r="U161" s="45"/>
      <c r="V161" s="45"/>
      <c r="W161" s="45"/>
      <c r="X161" s="45"/>
      <c r="Y161" s="45"/>
      <c r="Z161" s="45"/>
    </row>
    <row r="162" spans="1:26">
      <c r="A162" s="45"/>
      <c r="B162" s="45"/>
      <c r="C162" s="45"/>
      <c r="D162" s="45"/>
      <c r="E162" s="45"/>
      <c r="F162" s="45"/>
      <c r="G162" s="45"/>
      <c r="H162" s="45"/>
      <c r="I162" s="45"/>
      <c r="J162" s="45"/>
      <c r="K162" s="45"/>
      <c r="L162" s="45"/>
      <c r="M162" s="45"/>
      <c r="N162" s="44"/>
      <c r="O162" s="45"/>
      <c r="P162" s="45"/>
      <c r="Q162" s="45"/>
      <c r="R162" s="45"/>
      <c r="S162" s="45"/>
      <c r="T162" s="45"/>
      <c r="U162" s="45"/>
      <c r="V162" s="45"/>
      <c r="W162" s="45"/>
      <c r="X162" s="45"/>
      <c r="Y162" s="45"/>
      <c r="Z162" s="45"/>
    </row>
    <row r="163" spans="1:26">
      <c r="A163" s="45"/>
      <c r="B163" s="45"/>
      <c r="C163" s="45"/>
      <c r="D163" s="45"/>
      <c r="E163" s="45"/>
      <c r="F163" s="45"/>
      <c r="G163" s="45"/>
      <c r="H163" s="45"/>
      <c r="I163" s="45"/>
      <c r="J163" s="45"/>
      <c r="K163" s="45"/>
      <c r="L163" s="45"/>
      <c r="M163" s="45"/>
      <c r="N163" s="44"/>
      <c r="O163" s="45"/>
      <c r="P163" s="45"/>
      <c r="Q163" s="45"/>
      <c r="R163" s="45"/>
      <c r="S163" s="45"/>
      <c r="T163" s="45"/>
      <c r="U163" s="45"/>
      <c r="V163" s="45"/>
      <c r="W163" s="45"/>
      <c r="X163" s="45"/>
      <c r="Y163" s="45"/>
      <c r="Z163" s="45"/>
    </row>
    <row r="164" spans="1:26">
      <c r="A164" s="45"/>
      <c r="B164" s="45"/>
      <c r="C164" s="45"/>
      <c r="D164" s="45"/>
      <c r="E164" s="45"/>
      <c r="F164" s="45"/>
      <c r="G164" s="45"/>
      <c r="H164" s="45"/>
      <c r="I164" s="45"/>
      <c r="J164" s="45"/>
      <c r="K164" s="45"/>
      <c r="L164" s="45"/>
      <c r="M164" s="45"/>
      <c r="N164" s="44"/>
      <c r="O164" s="45"/>
      <c r="P164" s="45"/>
      <c r="Q164" s="45"/>
      <c r="R164" s="45"/>
      <c r="S164" s="45"/>
      <c r="T164" s="45"/>
      <c r="U164" s="45"/>
      <c r="V164" s="45"/>
      <c r="W164" s="45"/>
      <c r="X164" s="45"/>
      <c r="Y164" s="45"/>
      <c r="Z164" s="45"/>
    </row>
    <row r="165" spans="1:26">
      <c r="A165" s="45"/>
      <c r="B165" s="45"/>
      <c r="C165" s="45"/>
      <c r="D165" s="45"/>
      <c r="E165" s="45"/>
      <c r="F165" s="45"/>
      <c r="G165" s="45"/>
      <c r="H165" s="45"/>
      <c r="I165" s="45"/>
      <c r="J165" s="45"/>
      <c r="K165" s="45"/>
      <c r="L165" s="45"/>
      <c r="M165" s="45"/>
      <c r="N165" s="44"/>
      <c r="O165" s="45"/>
      <c r="P165" s="45"/>
      <c r="Q165" s="45"/>
      <c r="R165" s="45"/>
      <c r="S165" s="45"/>
      <c r="T165" s="45"/>
      <c r="U165" s="45"/>
      <c r="V165" s="45"/>
      <c r="W165" s="45"/>
      <c r="X165" s="45"/>
      <c r="Y165" s="45"/>
      <c r="Z165" s="45"/>
    </row>
    <row r="166" spans="1:26">
      <c r="A166" s="45"/>
      <c r="B166" s="45"/>
      <c r="C166" s="45"/>
      <c r="D166" s="45"/>
      <c r="E166" s="45"/>
      <c r="F166" s="45"/>
      <c r="G166" s="45"/>
      <c r="H166" s="45"/>
      <c r="I166" s="45"/>
      <c r="J166" s="45"/>
      <c r="K166" s="45"/>
      <c r="L166" s="45"/>
      <c r="M166" s="45"/>
      <c r="N166" s="44"/>
      <c r="O166" s="45"/>
      <c r="P166" s="45"/>
      <c r="Q166" s="45"/>
      <c r="R166" s="45"/>
      <c r="S166" s="45"/>
      <c r="T166" s="45"/>
      <c r="U166" s="45"/>
      <c r="V166" s="45"/>
      <c r="W166" s="45"/>
      <c r="X166" s="45"/>
      <c r="Y166" s="45"/>
      <c r="Z166" s="45"/>
    </row>
    <row r="167" spans="1:26">
      <c r="A167" s="45"/>
      <c r="B167" s="45"/>
      <c r="C167" s="45"/>
      <c r="D167" s="45"/>
      <c r="E167" s="45"/>
      <c r="F167" s="45"/>
      <c r="G167" s="45"/>
      <c r="H167" s="45"/>
      <c r="I167" s="45"/>
      <c r="J167" s="45"/>
      <c r="K167" s="45"/>
      <c r="L167" s="45"/>
      <c r="M167" s="45"/>
      <c r="N167" s="44"/>
      <c r="O167" s="45"/>
      <c r="P167" s="45"/>
      <c r="Q167" s="45"/>
      <c r="R167" s="45"/>
      <c r="S167" s="45"/>
      <c r="T167" s="45"/>
      <c r="U167" s="45"/>
      <c r="V167" s="45"/>
      <c r="W167" s="45"/>
      <c r="X167" s="45"/>
      <c r="Y167" s="45"/>
      <c r="Z167" s="45"/>
    </row>
    <row r="168" spans="1:26">
      <c r="A168" s="45"/>
      <c r="B168" s="45"/>
      <c r="C168" s="45"/>
      <c r="D168" s="45"/>
      <c r="E168" s="45"/>
      <c r="F168" s="45"/>
      <c r="G168" s="45"/>
      <c r="H168" s="45"/>
      <c r="I168" s="45"/>
      <c r="J168" s="45"/>
      <c r="K168" s="45"/>
      <c r="L168" s="45"/>
      <c r="M168" s="45"/>
      <c r="N168" s="44"/>
      <c r="O168" s="45"/>
      <c r="P168" s="45"/>
      <c r="Q168" s="45"/>
      <c r="R168" s="45"/>
      <c r="S168" s="45"/>
      <c r="T168" s="45"/>
      <c r="U168" s="45"/>
      <c r="V168" s="45"/>
      <c r="W168" s="45"/>
      <c r="X168" s="45"/>
      <c r="Y168" s="45"/>
      <c r="Z168" s="45"/>
    </row>
    <row r="169" spans="1:26">
      <c r="A169" s="45"/>
      <c r="B169" s="45"/>
      <c r="C169" s="45"/>
      <c r="D169" s="45"/>
      <c r="E169" s="45"/>
      <c r="F169" s="45"/>
      <c r="G169" s="45"/>
      <c r="H169" s="45"/>
      <c r="I169" s="45"/>
      <c r="J169" s="45"/>
      <c r="K169" s="45"/>
      <c r="L169" s="45"/>
      <c r="M169" s="45"/>
      <c r="N169" s="44"/>
      <c r="O169" s="45"/>
      <c r="P169" s="45"/>
      <c r="Q169" s="45"/>
      <c r="R169" s="45"/>
      <c r="S169" s="45"/>
      <c r="T169" s="45"/>
      <c r="U169" s="45"/>
      <c r="V169" s="45"/>
      <c r="W169" s="45"/>
      <c r="X169" s="45"/>
      <c r="Y169" s="45"/>
      <c r="Z169" s="45"/>
    </row>
    <row r="170" spans="1:26">
      <c r="A170" s="45"/>
      <c r="B170" s="45"/>
      <c r="C170" s="45"/>
      <c r="D170" s="45"/>
      <c r="E170" s="45"/>
      <c r="F170" s="45"/>
      <c r="G170" s="45"/>
      <c r="H170" s="45"/>
      <c r="I170" s="45"/>
      <c r="J170" s="45"/>
      <c r="K170" s="45"/>
      <c r="L170" s="45"/>
      <c r="M170" s="45"/>
      <c r="N170" s="44"/>
      <c r="O170" s="45"/>
      <c r="P170" s="45"/>
      <c r="Q170" s="45"/>
      <c r="R170" s="45"/>
      <c r="S170" s="45"/>
      <c r="T170" s="45"/>
      <c r="U170" s="45"/>
      <c r="V170" s="45"/>
      <c r="W170" s="45"/>
      <c r="X170" s="45"/>
      <c r="Y170" s="45"/>
      <c r="Z170" s="45"/>
    </row>
    <row r="171" spans="1:26">
      <c r="A171" s="45"/>
      <c r="B171" s="45"/>
      <c r="C171" s="45"/>
      <c r="D171" s="45"/>
      <c r="E171" s="45"/>
      <c r="F171" s="45"/>
      <c r="G171" s="45"/>
      <c r="H171" s="45"/>
      <c r="I171" s="45"/>
      <c r="J171" s="45"/>
      <c r="K171" s="45"/>
      <c r="L171" s="45"/>
      <c r="M171" s="45"/>
      <c r="N171" s="44"/>
      <c r="O171" s="45"/>
      <c r="P171" s="45"/>
      <c r="Q171" s="45"/>
      <c r="R171" s="45"/>
      <c r="S171" s="45"/>
      <c r="T171" s="45"/>
      <c r="U171" s="45"/>
      <c r="V171" s="45"/>
      <c r="W171" s="45"/>
      <c r="X171" s="45"/>
      <c r="Y171" s="45"/>
      <c r="Z171" s="45"/>
    </row>
    <row r="172" spans="1:26">
      <c r="A172" s="45"/>
      <c r="B172" s="45"/>
      <c r="C172" s="45"/>
      <c r="D172" s="45"/>
      <c r="E172" s="45"/>
      <c r="F172" s="45"/>
      <c r="G172" s="45"/>
      <c r="H172" s="45"/>
      <c r="I172" s="45"/>
      <c r="J172" s="45"/>
      <c r="K172" s="45"/>
      <c r="L172" s="45"/>
      <c r="M172" s="45"/>
      <c r="N172" s="44"/>
      <c r="O172" s="45"/>
      <c r="P172" s="45"/>
      <c r="Q172" s="45"/>
      <c r="R172" s="45"/>
      <c r="S172" s="45"/>
      <c r="T172" s="45"/>
      <c r="U172" s="45"/>
      <c r="V172" s="45"/>
      <c r="W172" s="45"/>
      <c r="X172" s="45"/>
      <c r="Y172" s="45"/>
      <c r="Z172" s="45"/>
    </row>
    <row r="173" spans="1:26">
      <c r="A173" s="45"/>
      <c r="B173" s="45"/>
      <c r="C173" s="45"/>
      <c r="D173" s="45"/>
      <c r="E173" s="45"/>
      <c r="F173" s="45"/>
      <c r="G173" s="45"/>
      <c r="H173" s="45"/>
      <c r="I173" s="45"/>
      <c r="J173" s="45"/>
      <c r="K173" s="45"/>
      <c r="L173" s="45"/>
      <c r="M173" s="45"/>
      <c r="N173" s="44"/>
      <c r="O173" s="45"/>
      <c r="P173" s="45"/>
      <c r="Q173" s="45"/>
      <c r="R173" s="45"/>
      <c r="S173" s="45"/>
      <c r="T173" s="45"/>
      <c r="U173" s="45"/>
      <c r="V173" s="45"/>
      <c r="W173" s="45"/>
      <c r="X173" s="45"/>
      <c r="Y173" s="45"/>
      <c r="Z173" s="45"/>
    </row>
    <row r="174" spans="1:26">
      <c r="A174" s="45"/>
      <c r="B174" s="45"/>
      <c r="C174" s="45"/>
      <c r="D174" s="45"/>
      <c r="E174" s="45"/>
      <c r="F174" s="45"/>
      <c r="G174" s="45"/>
      <c r="H174" s="45"/>
      <c r="I174" s="45"/>
      <c r="J174" s="45"/>
      <c r="K174" s="45"/>
      <c r="L174" s="45"/>
      <c r="M174" s="45"/>
      <c r="N174" s="44"/>
      <c r="O174" s="45"/>
      <c r="P174" s="45"/>
      <c r="Q174" s="45"/>
      <c r="R174" s="45"/>
      <c r="S174" s="45"/>
      <c r="T174" s="45"/>
      <c r="U174" s="45"/>
      <c r="V174" s="45"/>
      <c r="W174" s="45"/>
      <c r="X174" s="45"/>
      <c r="Y174" s="45"/>
      <c r="Z174" s="45"/>
    </row>
    <row r="175" spans="1:26">
      <c r="A175" s="45"/>
      <c r="B175" s="45"/>
      <c r="C175" s="45"/>
      <c r="D175" s="45"/>
      <c r="E175" s="45"/>
      <c r="F175" s="45"/>
      <c r="G175" s="45"/>
      <c r="H175" s="45"/>
      <c r="I175" s="45"/>
      <c r="J175" s="45"/>
      <c r="K175" s="45"/>
      <c r="L175" s="45"/>
      <c r="M175" s="45"/>
      <c r="N175" s="44"/>
      <c r="O175" s="45"/>
      <c r="P175" s="45"/>
      <c r="Q175" s="45"/>
      <c r="R175" s="45"/>
      <c r="S175" s="45"/>
      <c r="T175" s="45"/>
      <c r="U175" s="45"/>
      <c r="V175" s="45"/>
      <c r="W175" s="45"/>
      <c r="X175" s="45"/>
      <c r="Y175" s="45"/>
      <c r="Z175" s="45"/>
    </row>
    <row r="176" spans="1:26">
      <c r="A176" s="45"/>
      <c r="B176" s="45"/>
      <c r="C176" s="45"/>
      <c r="D176" s="45"/>
      <c r="E176" s="45"/>
      <c r="F176" s="45"/>
      <c r="G176" s="45"/>
      <c r="H176" s="45"/>
      <c r="I176" s="45"/>
      <c r="J176" s="45"/>
      <c r="K176" s="45"/>
      <c r="L176" s="45"/>
      <c r="M176" s="45"/>
      <c r="N176" s="44"/>
      <c r="O176" s="45"/>
      <c r="P176" s="45"/>
      <c r="Q176" s="45"/>
      <c r="R176" s="45"/>
      <c r="S176" s="45"/>
      <c r="T176" s="45"/>
      <c r="U176" s="45"/>
      <c r="V176" s="45"/>
      <c r="W176" s="45"/>
      <c r="X176" s="45"/>
      <c r="Y176" s="45"/>
      <c r="Z176" s="45"/>
    </row>
    <row r="177" spans="1:26">
      <c r="A177" s="45"/>
      <c r="B177" s="45"/>
      <c r="C177" s="45"/>
      <c r="D177" s="45"/>
      <c r="E177" s="45"/>
      <c r="F177" s="45"/>
      <c r="G177" s="45"/>
      <c r="H177" s="45"/>
      <c r="I177" s="45"/>
      <c r="J177" s="45"/>
      <c r="K177" s="45"/>
      <c r="L177" s="45"/>
      <c r="M177" s="45"/>
      <c r="N177" s="44"/>
      <c r="O177" s="45"/>
      <c r="P177" s="45"/>
      <c r="Q177" s="45"/>
      <c r="R177" s="45"/>
      <c r="S177" s="45"/>
      <c r="T177" s="45"/>
      <c r="U177" s="45"/>
      <c r="V177" s="45"/>
      <c r="W177" s="45"/>
      <c r="X177" s="45"/>
      <c r="Y177" s="45"/>
      <c r="Z177" s="45"/>
    </row>
    <row r="178" spans="1:26">
      <c r="A178" s="45"/>
      <c r="B178" s="45"/>
      <c r="C178" s="45"/>
      <c r="D178" s="45"/>
      <c r="E178" s="45"/>
      <c r="F178" s="45"/>
      <c r="G178" s="45"/>
      <c r="H178" s="45"/>
      <c r="I178" s="45"/>
      <c r="J178" s="45"/>
      <c r="K178" s="45"/>
      <c r="L178" s="45"/>
      <c r="M178" s="45"/>
      <c r="N178" s="44"/>
      <c r="O178" s="45"/>
      <c r="P178" s="45"/>
      <c r="Q178" s="45"/>
      <c r="R178" s="45"/>
      <c r="S178" s="45"/>
      <c r="T178" s="45"/>
      <c r="U178" s="45"/>
      <c r="V178" s="45"/>
      <c r="W178" s="45"/>
      <c r="X178" s="45"/>
      <c r="Y178" s="45"/>
      <c r="Z178" s="45"/>
    </row>
    <row r="179" spans="1:26">
      <c r="A179" s="45"/>
      <c r="B179" s="45"/>
      <c r="C179" s="45"/>
      <c r="D179" s="45"/>
      <c r="E179" s="45"/>
      <c r="F179" s="45"/>
      <c r="G179" s="45"/>
      <c r="H179" s="45"/>
      <c r="I179" s="45"/>
      <c r="J179" s="45"/>
      <c r="K179" s="45"/>
      <c r="L179" s="45"/>
      <c r="M179" s="45"/>
      <c r="N179" s="44"/>
      <c r="O179" s="45"/>
      <c r="P179" s="45"/>
      <c r="Q179" s="45"/>
      <c r="R179" s="45"/>
      <c r="S179" s="45"/>
      <c r="T179" s="45"/>
      <c r="U179" s="45"/>
      <c r="V179" s="45"/>
      <c r="W179" s="45"/>
      <c r="X179" s="45"/>
      <c r="Y179" s="45"/>
      <c r="Z179" s="45"/>
    </row>
    <row r="180" spans="1:26">
      <c r="A180" s="45"/>
      <c r="B180" s="45"/>
      <c r="C180" s="45"/>
      <c r="D180" s="45"/>
      <c r="E180" s="45"/>
      <c r="F180" s="45"/>
      <c r="G180" s="45"/>
      <c r="H180" s="45"/>
      <c r="I180" s="45"/>
      <c r="J180" s="45"/>
      <c r="K180" s="45"/>
      <c r="L180" s="45"/>
      <c r="M180" s="45"/>
      <c r="N180" s="44"/>
      <c r="O180" s="45"/>
      <c r="P180" s="45"/>
      <c r="Q180" s="45"/>
      <c r="R180" s="45"/>
      <c r="S180" s="45"/>
      <c r="T180" s="45"/>
      <c r="U180" s="45"/>
      <c r="V180" s="45"/>
      <c r="W180" s="45"/>
      <c r="X180" s="45"/>
      <c r="Y180" s="45"/>
      <c r="Z180" s="45"/>
    </row>
    <row r="181" spans="1:26">
      <c r="A181" s="45"/>
      <c r="B181" s="45"/>
      <c r="C181" s="45"/>
      <c r="D181" s="45"/>
      <c r="E181" s="45"/>
      <c r="F181" s="45"/>
      <c r="G181" s="45"/>
      <c r="H181" s="45"/>
      <c r="I181" s="45"/>
      <c r="J181" s="45"/>
      <c r="K181" s="45"/>
      <c r="L181" s="45"/>
      <c r="M181" s="45"/>
      <c r="N181" s="44"/>
      <c r="O181" s="45"/>
      <c r="P181" s="45"/>
      <c r="Q181" s="45"/>
      <c r="R181" s="45"/>
      <c r="S181" s="45"/>
      <c r="T181" s="45"/>
      <c r="U181" s="45"/>
      <c r="V181" s="45"/>
      <c r="W181" s="45"/>
      <c r="X181" s="45"/>
      <c r="Y181" s="45"/>
      <c r="Z181" s="45"/>
    </row>
    <row r="182" spans="1:26">
      <c r="A182" s="45"/>
      <c r="B182" s="45"/>
      <c r="C182" s="45"/>
      <c r="D182" s="45"/>
      <c r="E182" s="45"/>
      <c r="F182" s="45"/>
      <c r="G182" s="45"/>
      <c r="H182" s="45"/>
      <c r="I182" s="45"/>
      <c r="J182" s="45"/>
      <c r="K182" s="45"/>
      <c r="L182" s="45"/>
      <c r="M182" s="45"/>
      <c r="N182" s="44"/>
      <c r="O182" s="45"/>
      <c r="P182" s="45"/>
      <c r="Q182" s="45"/>
      <c r="R182" s="45"/>
      <c r="S182" s="45"/>
      <c r="T182" s="45"/>
      <c r="U182" s="45"/>
      <c r="V182" s="45"/>
      <c r="W182" s="45"/>
      <c r="X182" s="45"/>
      <c r="Y182" s="45"/>
      <c r="Z182" s="45"/>
    </row>
    <row r="183" spans="1:26">
      <c r="A183" s="45"/>
      <c r="B183" s="45"/>
      <c r="C183" s="45"/>
      <c r="D183" s="45"/>
      <c r="E183" s="45"/>
      <c r="F183" s="45"/>
      <c r="G183" s="45"/>
      <c r="H183" s="45"/>
      <c r="I183" s="45"/>
      <c r="J183" s="45"/>
      <c r="K183" s="45"/>
      <c r="L183" s="45"/>
      <c r="M183" s="45"/>
      <c r="N183" s="44"/>
      <c r="O183" s="45"/>
      <c r="P183" s="45"/>
      <c r="Q183" s="45"/>
      <c r="R183" s="45"/>
      <c r="S183" s="45"/>
      <c r="T183" s="45"/>
      <c r="U183" s="45"/>
      <c r="V183" s="45"/>
      <c r="W183" s="45"/>
      <c r="X183" s="45"/>
      <c r="Y183" s="45"/>
      <c r="Z183" s="45"/>
    </row>
    <row r="184" spans="1:26">
      <c r="A184" s="45"/>
      <c r="B184" s="45"/>
      <c r="C184" s="45"/>
      <c r="D184" s="45"/>
      <c r="E184" s="45"/>
      <c r="F184" s="45"/>
      <c r="G184" s="45"/>
      <c r="H184" s="45"/>
      <c r="I184" s="45"/>
      <c r="J184" s="45"/>
      <c r="K184" s="45"/>
      <c r="L184" s="45"/>
      <c r="M184" s="45"/>
      <c r="N184" s="44"/>
      <c r="O184" s="45"/>
      <c r="P184" s="45"/>
      <c r="Q184" s="45"/>
      <c r="R184" s="45"/>
      <c r="S184" s="45"/>
      <c r="T184" s="45"/>
      <c r="U184" s="45"/>
      <c r="V184" s="45"/>
      <c r="W184" s="45"/>
      <c r="X184" s="45"/>
      <c r="Y184" s="45"/>
      <c r="Z184" s="45"/>
    </row>
    <row r="185" spans="1:26">
      <c r="A185" s="45"/>
      <c r="B185" s="45"/>
      <c r="C185" s="45"/>
      <c r="D185" s="45"/>
      <c r="E185" s="45"/>
      <c r="F185" s="45"/>
      <c r="G185" s="45"/>
      <c r="H185" s="45"/>
      <c r="I185" s="45"/>
      <c r="J185" s="45"/>
      <c r="K185" s="45"/>
      <c r="L185" s="45"/>
      <c r="M185" s="45"/>
      <c r="N185" s="44"/>
      <c r="O185" s="45"/>
      <c r="P185" s="45"/>
      <c r="Q185" s="45"/>
      <c r="R185" s="45"/>
      <c r="S185" s="45"/>
      <c r="T185" s="45"/>
      <c r="U185" s="45"/>
      <c r="V185" s="45"/>
      <c r="W185" s="45"/>
      <c r="X185" s="45"/>
      <c r="Y185" s="45"/>
      <c r="Z185" s="45"/>
    </row>
    <row r="186" spans="1:26">
      <c r="A186" s="45"/>
      <c r="B186" s="45"/>
      <c r="C186" s="45"/>
      <c r="D186" s="45"/>
      <c r="E186" s="45"/>
      <c r="F186" s="45"/>
      <c r="G186" s="45"/>
      <c r="H186" s="45"/>
      <c r="I186" s="45"/>
      <c r="J186" s="45"/>
      <c r="K186" s="45"/>
      <c r="L186" s="45"/>
      <c r="M186" s="45"/>
      <c r="N186" s="44"/>
      <c r="O186" s="45"/>
      <c r="P186" s="45"/>
      <c r="Q186" s="45"/>
      <c r="R186" s="45"/>
      <c r="S186" s="45"/>
      <c r="T186" s="45"/>
      <c r="U186" s="45"/>
      <c r="V186" s="45"/>
      <c r="W186" s="45"/>
      <c r="X186" s="45"/>
      <c r="Y186" s="45"/>
      <c r="Z186" s="45"/>
    </row>
    <row r="187" spans="1:26">
      <c r="A187" s="45"/>
      <c r="B187" s="45"/>
      <c r="C187" s="45"/>
      <c r="D187" s="45"/>
      <c r="E187" s="45"/>
      <c r="F187" s="45"/>
      <c r="G187" s="45"/>
      <c r="H187" s="45"/>
      <c r="I187" s="45"/>
      <c r="J187" s="45"/>
      <c r="K187" s="45"/>
      <c r="L187" s="45"/>
      <c r="M187" s="45"/>
      <c r="N187" s="44"/>
      <c r="O187" s="45"/>
      <c r="P187" s="45"/>
      <c r="Q187" s="45"/>
      <c r="R187" s="45"/>
      <c r="S187" s="45"/>
      <c r="T187" s="45"/>
      <c r="U187" s="45"/>
      <c r="V187" s="45"/>
      <c r="W187" s="45"/>
      <c r="X187" s="45"/>
      <c r="Y187" s="45"/>
      <c r="Z187" s="45"/>
    </row>
    <row r="188" spans="1:26">
      <c r="A188" s="45"/>
      <c r="B188" s="45"/>
      <c r="C188" s="45"/>
      <c r="D188" s="45"/>
      <c r="E188" s="45"/>
      <c r="F188" s="45"/>
      <c r="G188" s="45"/>
      <c r="H188" s="45"/>
      <c r="I188" s="45"/>
      <c r="J188" s="45"/>
      <c r="K188" s="45"/>
      <c r="L188" s="45"/>
      <c r="M188" s="45"/>
      <c r="N188" s="44"/>
      <c r="O188" s="45"/>
      <c r="P188" s="45"/>
      <c r="Q188" s="45"/>
      <c r="R188" s="45"/>
      <c r="S188" s="45"/>
      <c r="T188" s="45"/>
      <c r="U188" s="45"/>
      <c r="V188" s="45"/>
      <c r="W188" s="45"/>
      <c r="X188" s="45"/>
      <c r="Y188" s="45"/>
      <c r="Z188" s="45"/>
    </row>
    <row r="189" spans="1:26">
      <c r="A189" s="45"/>
      <c r="B189" s="45"/>
      <c r="C189" s="45"/>
      <c r="D189" s="45"/>
      <c r="E189" s="45"/>
      <c r="F189" s="45"/>
      <c r="G189" s="45"/>
      <c r="H189" s="45"/>
      <c r="I189" s="45"/>
      <c r="J189" s="45"/>
      <c r="K189" s="45"/>
      <c r="L189" s="45"/>
      <c r="M189" s="45"/>
      <c r="N189" s="44"/>
      <c r="O189" s="45"/>
      <c r="P189" s="45"/>
      <c r="Q189" s="45"/>
      <c r="R189" s="45"/>
      <c r="S189" s="45"/>
      <c r="T189" s="45"/>
      <c r="U189" s="45"/>
      <c r="V189" s="45"/>
      <c r="W189" s="45"/>
      <c r="X189" s="45"/>
      <c r="Y189" s="45"/>
      <c r="Z189" s="45"/>
    </row>
    <row r="190" spans="1:26">
      <c r="A190" s="45"/>
      <c r="B190" s="45"/>
      <c r="C190" s="45"/>
      <c r="D190" s="45"/>
      <c r="E190" s="45"/>
      <c r="F190" s="45"/>
      <c r="G190" s="45"/>
      <c r="H190" s="45"/>
      <c r="I190" s="45"/>
      <c r="J190" s="45"/>
      <c r="K190" s="45"/>
      <c r="L190" s="45"/>
      <c r="M190" s="45"/>
      <c r="N190" s="44"/>
      <c r="O190" s="45"/>
      <c r="P190" s="45"/>
      <c r="Q190" s="45"/>
      <c r="R190" s="45"/>
      <c r="S190" s="45"/>
      <c r="T190" s="45"/>
      <c r="U190" s="45"/>
      <c r="V190" s="45"/>
      <c r="W190" s="45"/>
      <c r="X190" s="45"/>
      <c r="Y190" s="45"/>
      <c r="Z190" s="45"/>
    </row>
    <row r="191" spans="1:26">
      <c r="A191" s="45"/>
      <c r="B191" s="45"/>
      <c r="C191" s="45"/>
      <c r="D191" s="45"/>
      <c r="E191" s="45"/>
      <c r="F191" s="45"/>
      <c r="G191" s="45"/>
      <c r="H191" s="45"/>
      <c r="I191" s="45"/>
      <c r="J191" s="45"/>
      <c r="K191" s="45"/>
      <c r="L191" s="45"/>
      <c r="M191" s="45"/>
      <c r="N191" s="44"/>
      <c r="O191" s="45"/>
      <c r="P191" s="45"/>
      <c r="Q191" s="45"/>
      <c r="R191" s="45"/>
      <c r="S191" s="45"/>
      <c r="T191" s="45"/>
      <c r="U191" s="45"/>
      <c r="V191" s="45"/>
      <c r="W191" s="45"/>
      <c r="X191" s="45"/>
      <c r="Y191" s="45"/>
      <c r="Z191" s="45"/>
    </row>
    <row r="192" spans="1:26">
      <c r="A192" s="45"/>
      <c r="B192" s="45"/>
      <c r="C192" s="45"/>
      <c r="D192" s="45"/>
      <c r="E192" s="45"/>
      <c r="F192" s="45"/>
      <c r="G192" s="45"/>
      <c r="H192" s="45"/>
      <c r="I192" s="45"/>
      <c r="J192" s="45"/>
      <c r="K192" s="45"/>
      <c r="L192" s="45"/>
      <c r="M192" s="45"/>
      <c r="N192" s="44"/>
      <c r="O192" s="45"/>
      <c r="P192" s="45"/>
      <c r="Q192" s="45"/>
      <c r="R192" s="45"/>
      <c r="S192" s="45"/>
      <c r="T192" s="45"/>
      <c r="U192" s="45"/>
      <c r="V192" s="45"/>
      <c r="W192" s="45"/>
      <c r="X192" s="45"/>
      <c r="Y192" s="45"/>
      <c r="Z192" s="45"/>
    </row>
    <row r="193" spans="1:26">
      <c r="A193" s="45"/>
      <c r="B193" s="45"/>
      <c r="C193" s="45"/>
      <c r="D193" s="45"/>
      <c r="E193" s="45"/>
      <c r="F193" s="45"/>
      <c r="G193" s="45"/>
      <c r="H193" s="45"/>
      <c r="I193" s="45"/>
      <c r="J193" s="45"/>
      <c r="K193" s="45"/>
      <c r="L193" s="45"/>
      <c r="M193" s="45"/>
      <c r="N193" s="44"/>
      <c r="O193" s="45"/>
      <c r="P193" s="45"/>
      <c r="Q193" s="45"/>
      <c r="R193" s="45"/>
      <c r="S193" s="45"/>
      <c r="T193" s="45"/>
      <c r="U193" s="45"/>
      <c r="V193" s="45"/>
      <c r="W193" s="45"/>
      <c r="X193" s="45"/>
      <c r="Y193" s="45"/>
      <c r="Z193" s="45"/>
    </row>
    <row r="194" spans="1:26">
      <c r="A194" s="45"/>
      <c r="B194" s="45"/>
      <c r="C194" s="45"/>
      <c r="D194" s="45"/>
      <c r="E194" s="45"/>
      <c r="F194" s="45"/>
      <c r="G194" s="45"/>
      <c r="H194" s="45"/>
      <c r="I194" s="45"/>
      <c r="J194" s="45"/>
      <c r="K194" s="45"/>
      <c r="L194" s="45"/>
      <c r="M194" s="45"/>
      <c r="N194" s="44"/>
      <c r="O194" s="45"/>
      <c r="P194" s="45"/>
      <c r="Q194" s="45"/>
      <c r="R194" s="45"/>
      <c r="S194" s="45"/>
      <c r="T194" s="45"/>
      <c r="U194" s="45"/>
      <c r="V194" s="45"/>
      <c r="W194" s="45"/>
      <c r="X194" s="45"/>
      <c r="Y194" s="45"/>
      <c r="Z194" s="45"/>
    </row>
    <row r="195" spans="1:26">
      <c r="A195" s="45"/>
      <c r="B195" s="45"/>
      <c r="C195" s="45"/>
      <c r="D195" s="45"/>
      <c r="E195" s="45"/>
      <c r="F195" s="45"/>
      <c r="G195" s="45"/>
      <c r="H195" s="45"/>
      <c r="I195" s="45"/>
      <c r="J195" s="45"/>
      <c r="K195" s="45"/>
      <c r="L195" s="45"/>
      <c r="M195" s="45"/>
      <c r="N195" s="44"/>
      <c r="O195" s="45"/>
      <c r="P195" s="45"/>
      <c r="Q195" s="45"/>
      <c r="R195" s="45"/>
      <c r="S195" s="45"/>
      <c r="T195" s="45"/>
      <c r="U195" s="45"/>
      <c r="V195" s="45"/>
      <c r="W195" s="45"/>
      <c r="X195" s="45"/>
      <c r="Y195" s="45"/>
      <c r="Z195" s="45"/>
    </row>
    <row r="196" spans="1:26">
      <c r="A196" s="45"/>
      <c r="B196" s="45"/>
      <c r="C196" s="45"/>
      <c r="D196" s="45"/>
      <c r="E196" s="45"/>
      <c r="F196" s="45"/>
      <c r="G196" s="45"/>
      <c r="H196" s="45"/>
      <c r="I196" s="45"/>
      <c r="J196" s="45"/>
      <c r="K196" s="45"/>
      <c r="L196" s="45"/>
      <c r="M196" s="45"/>
      <c r="N196" s="44"/>
      <c r="O196" s="45"/>
      <c r="P196" s="45"/>
      <c r="Q196" s="45"/>
      <c r="R196" s="45"/>
      <c r="S196" s="45"/>
      <c r="T196" s="45"/>
      <c r="U196" s="45"/>
      <c r="V196" s="45"/>
      <c r="W196" s="45"/>
      <c r="X196" s="45"/>
      <c r="Y196" s="45"/>
      <c r="Z196" s="45"/>
    </row>
    <row r="197" spans="1:26">
      <c r="A197" s="45"/>
      <c r="B197" s="45"/>
      <c r="C197" s="45"/>
      <c r="D197" s="45"/>
      <c r="E197" s="45"/>
      <c r="F197" s="45"/>
      <c r="G197" s="45"/>
      <c r="H197" s="45"/>
      <c r="I197" s="45"/>
      <c r="J197" s="45"/>
      <c r="K197" s="45"/>
      <c r="L197" s="45"/>
      <c r="M197" s="45"/>
      <c r="N197" s="44"/>
      <c r="O197" s="45"/>
      <c r="P197" s="45"/>
      <c r="Q197" s="45"/>
      <c r="R197" s="45"/>
      <c r="S197" s="45"/>
      <c r="T197" s="45"/>
      <c r="U197" s="45"/>
      <c r="V197" s="45"/>
      <c r="W197" s="45"/>
      <c r="X197" s="45"/>
      <c r="Y197" s="45"/>
      <c r="Z197" s="45"/>
    </row>
    <row r="198" spans="1:26">
      <c r="A198" s="45"/>
      <c r="B198" s="45"/>
      <c r="C198" s="45"/>
      <c r="D198" s="45"/>
      <c r="E198" s="45"/>
      <c r="F198" s="45"/>
      <c r="G198" s="45"/>
      <c r="H198" s="45"/>
      <c r="I198" s="45"/>
      <c r="J198" s="45"/>
      <c r="K198" s="45"/>
      <c r="L198" s="45"/>
      <c r="M198" s="45"/>
      <c r="N198" s="44"/>
      <c r="O198" s="45"/>
      <c r="P198" s="45"/>
      <c r="Q198" s="45"/>
      <c r="R198" s="45"/>
      <c r="S198" s="45"/>
      <c r="T198" s="45"/>
      <c r="U198" s="45"/>
      <c r="V198" s="45"/>
      <c r="W198" s="45"/>
      <c r="X198" s="45"/>
      <c r="Y198" s="45"/>
      <c r="Z198" s="45"/>
    </row>
    <row r="199" spans="1:26">
      <c r="A199" s="45"/>
      <c r="B199" s="45"/>
      <c r="C199" s="45"/>
      <c r="D199" s="45"/>
      <c r="E199" s="45"/>
      <c r="F199" s="45"/>
      <c r="G199" s="45"/>
      <c r="H199" s="45"/>
      <c r="I199" s="45"/>
      <c r="J199" s="45"/>
      <c r="K199" s="45"/>
      <c r="L199" s="45"/>
      <c r="M199" s="45"/>
      <c r="N199" s="44"/>
      <c r="O199" s="45"/>
      <c r="P199" s="45"/>
      <c r="Q199" s="45"/>
      <c r="R199" s="45"/>
      <c r="S199" s="45"/>
      <c r="T199" s="45"/>
      <c r="U199" s="45"/>
      <c r="V199" s="45"/>
      <c r="W199" s="45"/>
      <c r="X199" s="45"/>
      <c r="Y199" s="45"/>
      <c r="Z199" s="45"/>
    </row>
    <row r="200" spans="1:26">
      <c r="A200" s="45"/>
      <c r="B200" s="45"/>
      <c r="C200" s="45"/>
      <c r="D200" s="45"/>
      <c r="E200" s="45"/>
      <c r="F200" s="45"/>
      <c r="G200" s="45"/>
      <c r="H200" s="45"/>
      <c r="I200" s="45"/>
      <c r="J200" s="45"/>
      <c r="K200" s="45"/>
      <c r="L200" s="45"/>
      <c r="M200" s="45"/>
      <c r="N200" s="44"/>
      <c r="O200" s="45"/>
      <c r="P200" s="45"/>
      <c r="Q200" s="45"/>
      <c r="R200" s="45"/>
      <c r="S200" s="45"/>
      <c r="T200" s="45"/>
      <c r="U200" s="45"/>
      <c r="V200" s="45"/>
      <c r="W200" s="45"/>
      <c r="X200" s="45"/>
      <c r="Y200" s="45"/>
      <c r="Z200" s="45"/>
    </row>
    <row r="201" spans="1:26">
      <c r="A201" s="45"/>
      <c r="B201" s="45"/>
      <c r="C201" s="45"/>
      <c r="D201" s="45"/>
      <c r="E201" s="45"/>
      <c r="F201" s="45"/>
      <c r="G201" s="45"/>
      <c r="H201" s="45"/>
      <c r="I201" s="45"/>
      <c r="J201" s="45"/>
      <c r="K201" s="45"/>
      <c r="L201" s="45"/>
      <c r="M201" s="45"/>
      <c r="N201" s="44"/>
      <c r="O201" s="45"/>
      <c r="P201" s="45"/>
      <c r="Q201" s="45"/>
      <c r="R201" s="45"/>
      <c r="S201" s="45"/>
      <c r="T201" s="45"/>
      <c r="U201" s="45"/>
      <c r="V201" s="45"/>
      <c r="W201" s="45"/>
      <c r="X201" s="45"/>
      <c r="Y201" s="45"/>
      <c r="Z201" s="45"/>
    </row>
    <row r="202" spans="1:26">
      <c r="A202" s="45"/>
      <c r="B202" s="45"/>
      <c r="C202" s="45"/>
      <c r="D202" s="45"/>
      <c r="E202" s="45"/>
      <c r="F202" s="45"/>
      <c r="G202" s="45"/>
      <c r="H202" s="45"/>
      <c r="I202" s="45"/>
      <c r="J202" s="45"/>
      <c r="K202" s="45"/>
      <c r="L202" s="45"/>
      <c r="M202" s="45"/>
      <c r="N202" s="44"/>
      <c r="O202" s="45"/>
      <c r="P202" s="45"/>
      <c r="Q202" s="45"/>
      <c r="R202" s="45"/>
      <c r="S202" s="45"/>
      <c r="T202" s="45"/>
      <c r="U202" s="45"/>
      <c r="V202" s="45"/>
      <c r="W202" s="45"/>
      <c r="X202" s="45"/>
      <c r="Y202" s="45"/>
      <c r="Z202" s="45"/>
    </row>
    <row r="203" spans="1:26">
      <c r="A203" s="45"/>
      <c r="B203" s="45"/>
      <c r="C203" s="45"/>
      <c r="D203" s="45"/>
      <c r="E203" s="45"/>
      <c r="F203" s="45"/>
      <c r="G203" s="45"/>
      <c r="H203" s="45"/>
      <c r="I203" s="45"/>
      <c r="J203" s="45"/>
      <c r="K203" s="45"/>
      <c r="L203" s="45"/>
      <c r="M203" s="45"/>
      <c r="N203" s="44"/>
      <c r="O203" s="45"/>
      <c r="P203" s="45"/>
      <c r="Q203" s="45"/>
      <c r="R203" s="45"/>
      <c r="S203" s="45"/>
      <c r="T203" s="45"/>
      <c r="U203" s="45"/>
      <c r="V203" s="45"/>
      <c r="W203" s="45"/>
      <c r="X203" s="45"/>
      <c r="Y203" s="45"/>
      <c r="Z203" s="45"/>
    </row>
    <row r="204" spans="1:26">
      <c r="A204" s="45"/>
      <c r="B204" s="45"/>
      <c r="C204" s="45"/>
      <c r="D204" s="45"/>
      <c r="E204" s="45"/>
      <c r="F204" s="45"/>
      <c r="G204" s="45"/>
      <c r="H204" s="45"/>
      <c r="I204" s="45"/>
      <c r="J204" s="45"/>
      <c r="K204" s="45"/>
      <c r="L204" s="45"/>
      <c r="M204" s="45"/>
      <c r="N204" s="44"/>
      <c r="O204" s="45"/>
      <c r="P204" s="45"/>
      <c r="Q204" s="45"/>
      <c r="R204" s="45"/>
      <c r="S204" s="45"/>
      <c r="T204" s="45"/>
      <c r="U204" s="45"/>
      <c r="V204" s="45"/>
      <c r="W204" s="45"/>
      <c r="X204" s="45"/>
      <c r="Y204" s="45"/>
      <c r="Z204" s="45"/>
    </row>
    <row r="205" spans="1:26">
      <c r="A205" s="45"/>
      <c r="B205" s="45"/>
      <c r="C205" s="45"/>
      <c r="D205" s="45"/>
      <c r="E205" s="45"/>
      <c r="F205" s="45"/>
      <c r="G205" s="45"/>
      <c r="H205" s="45"/>
      <c r="I205" s="45"/>
      <c r="J205" s="45"/>
      <c r="K205" s="45"/>
      <c r="L205" s="45"/>
      <c r="M205" s="45"/>
      <c r="N205" s="44"/>
      <c r="O205" s="45"/>
      <c r="P205" s="45"/>
      <c r="Q205" s="45"/>
      <c r="R205" s="45"/>
      <c r="S205" s="45"/>
      <c r="T205" s="45"/>
      <c r="U205" s="45"/>
      <c r="V205" s="45"/>
      <c r="W205" s="45"/>
      <c r="X205" s="45"/>
      <c r="Y205" s="45"/>
      <c r="Z205" s="45"/>
    </row>
    <row r="206" spans="1:26">
      <c r="A206" s="45"/>
      <c r="B206" s="45"/>
      <c r="C206" s="45"/>
      <c r="D206" s="45"/>
      <c r="E206" s="45"/>
      <c r="F206" s="45"/>
      <c r="G206" s="45"/>
      <c r="H206" s="45"/>
      <c r="I206" s="45"/>
      <c r="J206" s="45"/>
      <c r="K206" s="45"/>
      <c r="L206" s="45"/>
      <c r="M206" s="45"/>
      <c r="N206" s="44"/>
      <c r="O206" s="45"/>
      <c r="P206" s="45"/>
      <c r="Q206" s="45"/>
      <c r="R206" s="45"/>
      <c r="S206" s="45"/>
      <c r="T206" s="45"/>
      <c r="U206" s="45"/>
      <c r="V206" s="45"/>
      <c r="W206" s="45"/>
      <c r="X206" s="45"/>
      <c r="Y206" s="45"/>
      <c r="Z206" s="45"/>
    </row>
    <row r="207" spans="1:26">
      <c r="A207" s="45"/>
      <c r="B207" s="45"/>
      <c r="C207" s="45"/>
      <c r="D207" s="45"/>
      <c r="E207" s="45"/>
      <c r="F207" s="45"/>
      <c r="G207" s="45"/>
      <c r="H207" s="45"/>
      <c r="I207" s="45"/>
      <c r="J207" s="45"/>
      <c r="K207" s="45"/>
      <c r="L207" s="45"/>
      <c r="M207" s="45"/>
      <c r="N207" s="44"/>
      <c r="O207" s="45"/>
      <c r="P207" s="45"/>
      <c r="Q207" s="45"/>
      <c r="R207" s="45"/>
      <c r="S207" s="45"/>
      <c r="T207" s="45"/>
      <c r="U207" s="45"/>
      <c r="V207" s="45"/>
      <c r="W207" s="45"/>
      <c r="X207" s="45"/>
      <c r="Y207" s="45"/>
      <c r="Z207" s="45"/>
    </row>
    <row r="208" spans="1:26">
      <c r="A208" s="45"/>
      <c r="B208" s="45"/>
      <c r="C208" s="45"/>
      <c r="D208" s="45"/>
      <c r="E208" s="45"/>
      <c r="F208" s="45"/>
      <c r="G208" s="45"/>
      <c r="H208" s="45"/>
      <c r="I208" s="45"/>
      <c r="J208" s="45"/>
      <c r="K208" s="45"/>
      <c r="L208" s="45"/>
      <c r="M208" s="45"/>
      <c r="N208" s="44"/>
      <c r="O208" s="45"/>
      <c r="P208" s="45"/>
      <c r="Q208" s="45"/>
      <c r="R208" s="45"/>
      <c r="S208" s="45"/>
      <c r="T208" s="45"/>
      <c r="U208" s="45"/>
      <c r="V208" s="45"/>
      <c r="W208" s="45"/>
      <c r="X208" s="45"/>
      <c r="Y208" s="45"/>
      <c r="Z208" s="45"/>
    </row>
    <row r="209" spans="1:26">
      <c r="A209" s="45"/>
      <c r="B209" s="45"/>
      <c r="C209" s="45"/>
      <c r="D209" s="45"/>
      <c r="E209" s="45"/>
      <c r="F209" s="45"/>
      <c r="G209" s="45"/>
      <c r="H209" s="45"/>
      <c r="I209" s="45"/>
      <c r="J209" s="45"/>
      <c r="K209" s="45"/>
      <c r="L209" s="45"/>
      <c r="M209" s="45"/>
      <c r="N209" s="44"/>
      <c r="O209" s="45"/>
      <c r="P209" s="45"/>
      <c r="Q209" s="45"/>
      <c r="R209" s="45"/>
      <c r="S209" s="45"/>
      <c r="T209" s="45"/>
      <c r="U209" s="45"/>
      <c r="V209" s="45"/>
      <c r="W209" s="45"/>
      <c r="X209" s="45"/>
      <c r="Y209" s="45"/>
      <c r="Z209" s="45"/>
    </row>
    <row r="210" spans="1:26">
      <c r="A210" s="45"/>
      <c r="B210" s="45"/>
      <c r="C210" s="45"/>
      <c r="D210" s="45"/>
      <c r="E210" s="45"/>
      <c r="F210" s="45"/>
      <c r="G210" s="45"/>
      <c r="H210" s="45"/>
      <c r="I210" s="45"/>
      <c r="J210" s="45"/>
      <c r="K210" s="45"/>
      <c r="L210" s="45"/>
      <c r="M210" s="45"/>
      <c r="N210" s="44"/>
      <c r="O210" s="45"/>
      <c r="P210" s="45"/>
      <c r="Q210" s="45"/>
      <c r="R210" s="45"/>
      <c r="S210" s="45"/>
      <c r="T210" s="45"/>
      <c r="U210" s="45"/>
      <c r="V210" s="45"/>
      <c r="W210" s="45"/>
      <c r="X210" s="45"/>
      <c r="Y210" s="45"/>
      <c r="Z210" s="45"/>
    </row>
    <row r="211" spans="1:26">
      <c r="A211" s="45"/>
      <c r="B211" s="45"/>
      <c r="C211" s="45"/>
      <c r="D211" s="45"/>
      <c r="E211" s="45"/>
      <c r="F211" s="45"/>
      <c r="G211" s="45"/>
      <c r="H211" s="45"/>
      <c r="I211" s="45"/>
      <c r="J211" s="45"/>
      <c r="K211" s="45"/>
      <c r="L211" s="45"/>
      <c r="M211" s="45"/>
      <c r="N211" s="44"/>
      <c r="O211" s="45"/>
      <c r="P211" s="45"/>
      <c r="Q211" s="45"/>
      <c r="R211" s="45"/>
      <c r="S211" s="45"/>
      <c r="T211" s="45"/>
      <c r="U211" s="45"/>
      <c r="V211" s="45"/>
      <c r="W211" s="45"/>
      <c r="X211" s="45"/>
      <c r="Y211" s="45"/>
      <c r="Z211" s="45"/>
    </row>
    <row r="212" spans="1:26">
      <c r="A212" s="45"/>
      <c r="B212" s="45"/>
      <c r="C212" s="45"/>
      <c r="D212" s="45"/>
      <c r="E212" s="45"/>
      <c r="F212" s="45"/>
      <c r="G212" s="45"/>
      <c r="H212" s="45"/>
      <c r="I212" s="45"/>
      <c r="J212" s="45"/>
      <c r="K212" s="45"/>
      <c r="L212" s="45"/>
      <c r="M212" s="45"/>
      <c r="N212" s="44"/>
      <c r="O212" s="45"/>
      <c r="P212" s="45"/>
      <c r="Q212" s="45"/>
      <c r="R212" s="45"/>
      <c r="S212" s="45"/>
      <c r="T212" s="45"/>
      <c r="U212" s="45"/>
      <c r="V212" s="45"/>
      <c r="W212" s="45"/>
      <c r="X212" s="45"/>
      <c r="Y212" s="45"/>
      <c r="Z212" s="45"/>
    </row>
    <row r="213" spans="1:26">
      <c r="A213" s="45"/>
      <c r="B213" s="45"/>
      <c r="C213" s="45"/>
      <c r="D213" s="45"/>
      <c r="E213" s="45"/>
      <c r="F213" s="45"/>
      <c r="G213" s="45"/>
      <c r="H213" s="45"/>
      <c r="I213" s="45"/>
      <c r="J213" s="45"/>
      <c r="K213" s="45"/>
      <c r="L213" s="45"/>
      <c r="M213" s="45"/>
      <c r="N213" s="44"/>
      <c r="O213" s="45"/>
      <c r="P213" s="45"/>
      <c r="Q213" s="45"/>
      <c r="R213" s="45"/>
      <c r="S213" s="45"/>
      <c r="T213" s="45"/>
      <c r="U213" s="45"/>
      <c r="V213" s="45"/>
      <c r="W213" s="45"/>
      <c r="X213" s="45"/>
      <c r="Y213" s="45"/>
      <c r="Z213" s="45"/>
    </row>
    <row r="214" spans="1:26">
      <c r="A214" s="45"/>
      <c r="B214" s="45"/>
      <c r="C214" s="45"/>
      <c r="D214" s="45"/>
      <c r="E214" s="45"/>
      <c r="F214" s="45"/>
      <c r="G214" s="45"/>
      <c r="H214" s="45"/>
      <c r="I214" s="45"/>
      <c r="J214" s="45"/>
      <c r="K214" s="45"/>
      <c r="L214" s="45"/>
      <c r="M214" s="45"/>
      <c r="N214" s="44"/>
      <c r="O214" s="45"/>
      <c r="P214" s="45"/>
      <c r="Q214" s="45"/>
      <c r="R214" s="45"/>
      <c r="S214" s="45"/>
      <c r="T214" s="45"/>
      <c r="U214" s="45"/>
      <c r="V214" s="45"/>
      <c r="W214" s="45"/>
      <c r="X214" s="45"/>
      <c r="Y214" s="45"/>
      <c r="Z214" s="45"/>
    </row>
    <row r="215" spans="1:26">
      <c r="A215" s="45"/>
      <c r="B215" s="45"/>
      <c r="C215" s="45"/>
      <c r="D215" s="45"/>
      <c r="E215" s="45"/>
      <c r="F215" s="45"/>
      <c r="G215" s="45"/>
      <c r="H215" s="45"/>
      <c r="I215" s="45"/>
      <c r="J215" s="45"/>
      <c r="K215" s="45"/>
      <c r="L215" s="45"/>
      <c r="M215" s="45"/>
      <c r="N215" s="44"/>
      <c r="O215" s="45"/>
      <c r="P215" s="45"/>
      <c r="Q215" s="45"/>
      <c r="R215" s="45"/>
      <c r="S215" s="45"/>
      <c r="T215" s="45"/>
      <c r="U215" s="45"/>
      <c r="V215" s="45"/>
      <c r="W215" s="45"/>
      <c r="X215" s="45"/>
      <c r="Y215" s="45"/>
      <c r="Z215" s="45"/>
    </row>
    <row r="216" spans="1:26">
      <c r="A216" s="45"/>
      <c r="B216" s="45"/>
      <c r="C216" s="45"/>
      <c r="D216" s="45"/>
      <c r="E216" s="45"/>
      <c r="F216" s="45"/>
      <c r="G216" s="45"/>
      <c r="H216" s="45"/>
      <c r="I216" s="45"/>
      <c r="J216" s="45"/>
      <c r="K216" s="45"/>
      <c r="L216" s="45"/>
      <c r="M216" s="45"/>
      <c r="N216" s="44"/>
      <c r="O216" s="45"/>
      <c r="P216" s="45"/>
      <c r="Q216" s="45"/>
      <c r="R216" s="45"/>
      <c r="S216" s="45"/>
      <c r="T216" s="45"/>
      <c r="U216" s="45"/>
      <c r="V216" s="45"/>
      <c r="W216" s="45"/>
      <c r="X216" s="45"/>
      <c r="Y216" s="45"/>
      <c r="Z216" s="45"/>
    </row>
    <row r="217" spans="1:26">
      <c r="A217" s="45"/>
      <c r="B217" s="45"/>
      <c r="C217" s="45"/>
      <c r="D217" s="45"/>
      <c r="E217" s="45"/>
      <c r="F217" s="45"/>
      <c r="G217" s="45"/>
      <c r="H217" s="45"/>
      <c r="I217" s="45"/>
      <c r="J217" s="45"/>
      <c r="K217" s="45"/>
      <c r="L217" s="45"/>
      <c r="M217" s="45"/>
      <c r="N217" s="44"/>
      <c r="O217" s="45"/>
      <c r="P217" s="45"/>
      <c r="Q217" s="45"/>
      <c r="R217" s="45"/>
      <c r="S217" s="45"/>
      <c r="T217" s="45"/>
      <c r="U217" s="45"/>
      <c r="V217" s="45"/>
      <c r="W217" s="45"/>
      <c r="X217" s="45"/>
      <c r="Y217" s="45"/>
      <c r="Z217" s="45"/>
    </row>
    <row r="218" spans="1:26">
      <c r="A218" s="45"/>
      <c r="B218" s="45"/>
      <c r="C218" s="45"/>
      <c r="D218" s="45"/>
      <c r="E218" s="45"/>
      <c r="F218" s="45"/>
      <c r="G218" s="45"/>
      <c r="H218" s="45"/>
      <c r="I218" s="45"/>
      <c r="J218" s="45"/>
      <c r="K218" s="45"/>
      <c r="L218" s="45"/>
      <c r="M218" s="45"/>
      <c r="N218" s="44"/>
      <c r="O218" s="45"/>
      <c r="P218" s="45"/>
      <c r="Q218" s="45"/>
      <c r="R218" s="45"/>
      <c r="S218" s="45"/>
      <c r="T218" s="45"/>
      <c r="U218" s="45"/>
      <c r="V218" s="45"/>
      <c r="W218" s="45"/>
      <c r="X218" s="45"/>
      <c r="Y218" s="45"/>
      <c r="Z218" s="45"/>
    </row>
    <row r="219" spans="1:26">
      <c r="A219" s="45"/>
      <c r="B219" s="45"/>
      <c r="C219" s="45"/>
      <c r="D219" s="45"/>
      <c r="E219" s="45"/>
      <c r="F219" s="45"/>
      <c r="G219" s="45"/>
      <c r="H219" s="45"/>
      <c r="I219" s="45"/>
      <c r="J219" s="45"/>
      <c r="K219" s="45"/>
      <c r="L219" s="45"/>
      <c r="M219" s="45"/>
      <c r="N219" s="44"/>
      <c r="O219" s="45"/>
      <c r="P219" s="45"/>
      <c r="Q219" s="45"/>
      <c r="R219" s="45"/>
      <c r="S219" s="45"/>
      <c r="T219" s="45"/>
      <c r="U219" s="45"/>
      <c r="V219" s="45"/>
      <c r="W219" s="45"/>
      <c r="X219" s="45"/>
      <c r="Y219" s="45"/>
      <c r="Z219" s="45"/>
    </row>
    <row r="220" spans="1:26">
      <c r="A220" s="45"/>
      <c r="B220" s="45"/>
      <c r="C220" s="45"/>
      <c r="D220" s="45"/>
      <c r="E220" s="45"/>
      <c r="F220" s="45"/>
      <c r="G220" s="45"/>
      <c r="H220" s="45"/>
      <c r="I220" s="45"/>
      <c r="J220" s="45"/>
      <c r="K220" s="45"/>
      <c r="L220" s="45"/>
      <c r="M220" s="45"/>
      <c r="N220" s="44"/>
      <c r="O220" s="45"/>
      <c r="P220" s="45"/>
      <c r="Q220" s="45"/>
      <c r="R220" s="45"/>
      <c r="S220" s="45"/>
      <c r="T220" s="45"/>
      <c r="U220" s="45"/>
      <c r="V220" s="45"/>
      <c r="W220" s="45"/>
      <c r="X220" s="45"/>
      <c r="Y220" s="45"/>
      <c r="Z220" s="45"/>
    </row>
    <row r="221" spans="1:26">
      <c r="A221" s="45"/>
      <c r="B221" s="45"/>
      <c r="C221" s="45"/>
      <c r="D221" s="45"/>
      <c r="E221" s="45"/>
      <c r="F221" s="45"/>
      <c r="G221" s="45"/>
      <c r="H221" s="45"/>
      <c r="I221" s="45"/>
      <c r="J221" s="45"/>
      <c r="K221" s="45"/>
      <c r="L221" s="45"/>
      <c r="M221" s="45"/>
      <c r="N221" s="44"/>
      <c r="O221" s="45"/>
      <c r="P221" s="45"/>
      <c r="Q221" s="45"/>
      <c r="R221" s="45"/>
      <c r="S221" s="45"/>
      <c r="T221" s="45"/>
      <c r="U221" s="45"/>
      <c r="V221" s="45"/>
      <c r="W221" s="45"/>
      <c r="X221" s="45"/>
      <c r="Y221" s="45"/>
      <c r="Z221" s="45"/>
    </row>
    <row r="222" spans="1:26">
      <c r="A222" s="45"/>
      <c r="B222" s="45"/>
      <c r="C222" s="45"/>
      <c r="D222" s="45"/>
      <c r="E222" s="45"/>
      <c r="F222" s="45"/>
      <c r="G222" s="45"/>
      <c r="H222" s="45"/>
      <c r="I222" s="45"/>
      <c r="J222" s="45"/>
      <c r="K222" s="45"/>
      <c r="L222" s="45"/>
      <c r="M222" s="45"/>
      <c r="N222" s="44"/>
      <c r="O222" s="45"/>
      <c r="P222" s="45"/>
      <c r="Q222" s="45"/>
      <c r="R222" s="45"/>
      <c r="S222" s="45"/>
      <c r="T222" s="45"/>
      <c r="U222" s="45"/>
      <c r="V222" s="45"/>
      <c r="W222" s="45"/>
      <c r="X222" s="45"/>
      <c r="Y222" s="45"/>
      <c r="Z222" s="45"/>
    </row>
    <row r="223" spans="1:26">
      <c r="A223" s="45"/>
      <c r="B223" s="45"/>
      <c r="C223" s="45"/>
      <c r="D223" s="45"/>
      <c r="E223" s="45"/>
      <c r="F223" s="45"/>
      <c r="G223" s="45"/>
      <c r="H223" s="45"/>
      <c r="I223" s="45"/>
      <c r="J223" s="45"/>
      <c r="K223" s="45"/>
      <c r="L223" s="45"/>
      <c r="M223" s="45"/>
      <c r="N223" s="44"/>
      <c r="O223" s="45"/>
      <c r="P223" s="45"/>
      <c r="Q223" s="45"/>
      <c r="R223" s="45"/>
      <c r="S223" s="45"/>
      <c r="T223" s="45"/>
      <c r="U223" s="45"/>
      <c r="V223" s="45"/>
      <c r="W223" s="45"/>
      <c r="X223" s="45"/>
      <c r="Y223" s="45"/>
      <c r="Z223" s="45"/>
    </row>
    <row r="224" spans="1:26">
      <c r="A224" s="45"/>
      <c r="B224" s="45"/>
      <c r="C224" s="45"/>
      <c r="D224" s="45"/>
      <c r="E224" s="45"/>
      <c r="F224" s="45"/>
      <c r="G224" s="45"/>
      <c r="H224" s="45"/>
      <c r="I224" s="45"/>
      <c r="J224" s="45"/>
      <c r="K224" s="45"/>
      <c r="L224" s="45"/>
      <c r="M224" s="45"/>
      <c r="N224" s="44"/>
      <c r="O224" s="45"/>
      <c r="P224" s="45"/>
      <c r="Q224" s="45"/>
      <c r="R224" s="45"/>
      <c r="S224" s="45"/>
      <c r="T224" s="45"/>
      <c r="U224" s="45"/>
      <c r="V224" s="45"/>
      <c r="W224" s="45"/>
      <c r="X224" s="45"/>
      <c r="Y224" s="45"/>
      <c r="Z224" s="45"/>
    </row>
    <row r="225" spans="1:26">
      <c r="A225" s="45"/>
      <c r="B225" s="45"/>
      <c r="C225" s="45"/>
      <c r="D225" s="45"/>
      <c r="E225" s="45"/>
      <c r="F225" s="45"/>
      <c r="G225" s="45"/>
      <c r="H225" s="45"/>
      <c r="I225" s="45"/>
      <c r="J225" s="45"/>
      <c r="K225" s="45"/>
      <c r="L225" s="45"/>
      <c r="M225" s="45"/>
      <c r="N225" s="44"/>
      <c r="O225" s="45"/>
      <c r="P225" s="45"/>
      <c r="Q225" s="45"/>
      <c r="R225" s="45"/>
      <c r="S225" s="45"/>
      <c r="T225" s="45"/>
      <c r="U225" s="45"/>
      <c r="V225" s="45"/>
      <c r="W225" s="45"/>
      <c r="X225" s="45"/>
      <c r="Y225" s="45"/>
      <c r="Z225" s="45"/>
    </row>
    <row r="226" spans="1:26">
      <c r="A226" s="45"/>
      <c r="B226" s="45"/>
      <c r="C226" s="45"/>
      <c r="D226" s="45"/>
      <c r="E226" s="45"/>
      <c r="F226" s="45"/>
      <c r="G226" s="45"/>
      <c r="H226" s="45"/>
      <c r="I226" s="45"/>
      <c r="J226" s="45"/>
      <c r="K226" s="45"/>
      <c r="L226" s="45"/>
      <c r="M226" s="45"/>
      <c r="N226" s="44"/>
      <c r="O226" s="45"/>
      <c r="P226" s="45"/>
      <c r="Q226" s="45"/>
      <c r="R226" s="45"/>
      <c r="S226" s="45"/>
      <c r="T226" s="45"/>
      <c r="U226" s="45"/>
      <c r="V226" s="45"/>
      <c r="W226" s="45"/>
      <c r="X226" s="45"/>
      <c r="Y226" s="45"/>
      <c r="Z226" s="45"/>
    </row>
    <row r="227" spans="1:26">
      <c r="A227" s="45"/>
      <c r="B227" s="45"/>
      <c r="C227" s="45"/>
      <c r="D227" s="45"/>
      <c r="E227" s="45"/>
      <c r="F227" s="45"/>
      <c r="G227" s="45"/>
      <c r="H227" s="45"/>
      <c r="I227" s="45"/>
      <c r="J227" s="45"/>
      <c r="K227" s="45"/>
      <c r="L227" s="45"/>
      <c r="M227" s="45"/>
      <c r="N227" s="44"/>
      <c r="O227" s="45"/>
      <c r="P227" s="45"/>
      <c r="Q227" s="45"/>
      <c r="R227" s="45"/>
      <c r="S227" s="45"/>
      <c r="T227" s="45"/>
      <c r="U227" s="45"/>
      <c r="V227" s="45"/>
      <c r="W227" s="45"/>
      <c r="X227" s="45"/>
      <c r="Y227" s="45"/>
      <c r="Z227" s="45"/>
    </row>
    <row r="228" spans="1:26">
      <c r="A228" s="45"/>
      <c r="B228" s="45"/>
      <c r="C228" s="45"/>
      <c r="D228" s="45"/>
      <c r="E228" s="45"/>
      <c r="F228" s="45"/>
      <c r="G228" s="45"/>
      <c r="H228" s="45"/>
      <c r="I228" s="45"/>
      <c r="J228" s="45"/>
      <c r="K228" s="45"/>
      <c r="L228" s="45"/>
      <c r="M228" s="45"/>
      <c r="N228" s="44"/>
      <c r="O228" s="45"/>
      <c r="P228" s="45"/>
      <c r="Q228" s="45"/>
      <c r="R228" s="45"/>
      <c r="S228" s="45"/>
      <c r="T228" s="45"/>
      <c r="U228" s="45"/>
      <c r="V228" s="45"/>
      <c r="W228" s="45"/>
      <c r="X228" s="45"/>
      <c r="Y228" s="45"/>
      <c r="Z228" s="45"/>
    </row>
    <row r="229" spans="1:26">
      <c r="A229" s="45"/>
      <c r="B229" s="45"/>
      <c r="C229" s="45"/>
      <c r="D229" s="45"/>
      <c r="E229" s="45"/>
      <c r="F229" s="45"/>
      <c r="G229" s="45"/>
      <c r="H229" s="45"/>
      <c r="I229" s="45"/>
      <c r="J229" s="45"/>
      <c r="K229" s="45"/>
      <c r="L229" s="45"/>
      <c r="M229" s="45"/>
      <c r="N229" s="44"/>
      <c r="O229" s="45"/>
      <c r="P229" s="45"/>
      <c r="Q229" s="45"/>
      <c r="R229" s="45"/>
      <c r="S229" s="45"/>
      <c r="T229" s="45"/>
      <c r="U229" s="45"/>
      <c r="V229" s="45"/>
      <c r="W229" s="45"/>
      <c r="X229" s="45"/>
      <c r="Y229" s="45"/>
      <c r="Z229" s="45"/>
    </row>
    <row r="230" spans="1:26">
      <c r="A230" s="45"/>
      <c r="B230" s="45"/>
      <c r="C230" s="45"/>
      <c r="D230" s="45"/>
      <c r="E230" s="45"/>
      <c r="F230" s="45"/>
      <c r="G230" s="45"/>
      <c r="H230" s="45"/>
      <c r="I230" s="45"/>
      <c r="J230" s="45"/>
      <c r="K230" s="45"/>
      <c r="L230" s="45"/>
      <c r="M230" s="45"/>
      <c r="N230" s="44"/>
      <c r="O230" s="45"/>
      <c r="P230" s="45"/>
      <c r="Q230" s="45"/>
      <c r="R230" s="45"/>
      <c r="S230" s="45"/>
      <c r="T230" s="45"/>
      <c r="U230" s="45"/>
      <c r="V230" s="45"/>
      <c r="W230" s="45"/>
      <c r="X230" s="45"/>
      <c r="Y230" s="45"/>
      <c r="Z230" s="45"/>
    </row>
    <row r="231" spans="1:26">
      <c r="A231" s="45"/>
      <c r="B231" s="45"/>
      <c r="C231" s="45"/>
      <c r="D231" s="45"/>
      <c r="E231" s="45"/>
      <c r="F231" s="45"/>
      <c r="G231" s="45"/>
      <c r="H231" s="45"/>
      <c r="I231" s="45"/>
      <c r="J231" s="45"/>
      <c r="K231" s="45"/>
      <c r="L231" s="45"/>
      <c r="M231" s="45"/>
      <c r="N231" s="44"/>
      <c r="O231" s="45"/>
      <c r="P231" s="45"/>
      <c r="Q231" s="45"/>
      <c r="R231" s="45"/>
      <c r="S231" s="45"/>
      <c r="T231" s="45"/>
      <c r="U231" s="45"/>
      <c r="V231" s="45"/>
      <c r="W231" s="45"/>
      <c r="X231" s="45"/>
      <c r="Y231" s="45"/>
      <c r="Z231" s="45"/>
    </row>
    <row r="232" spans="1:26">
      <c r="A232" s="45"/>
      <c r="B232" s="45"/>
      <c r="C232" s="45"/>
      <c r="D232" s="45"/>
      <c r="E232" s="45"/>
      <c r="F232" s="45"/>
      <c r="G232" s="45"/>
      <c r="H232" s="45"/>
      <c r="I232" s="45"/>
      <c r="J232" s="45"/>
      <c r="K232" s="45"/>
      <c r="L232" s="45"/>
      <c r="M232" s="45"/>
      <c r="N232" s="44"/>
      <c r="O232" s="45"/>
      <c r="P232" s="45"/>
      <c r="Q232" s="45"/>
      <c r="R232" s="45"/>
      <c r="S232" s="45"/>
      <c r="T232" s="45"/>
      <c r="U232" s="45"/>
      <c r="V232" s="45"/>
      <c r="W232" s="45"/>
      <c r="X232" s="45"/>
      <c r="Y232" s="45"/>
      <c r="Z232" s="45"/>
    </row>
    <row r="233" spans="1:26">
      <c r="A233" s="45"/>
      <c r="B233" s="45"/>
      <c r="C233" s="45"/>
      <c r="D233" s="45"/>
      <c r="E233" s="45"/>
      <c r="F233" s="45"/>
      <c r="G233" s="45"/>
      <c r="H233" s="45"/>
      <c r="I233" s="45"/>
      <c r="J233" s="45"/>
      <c r="K233" s="45"/>
      <c r="L233" s="45"/>
      <c r="M233" s="45"/>
      <c r="N233" s="44"/>
      <c r="O233" s="45"/>
      <c r="P233" s="45"/>
      <c r="Q233" s="45"/>
      <c r="R233" s="45"/>
      <c r="S233" s="45"/>
      <c r="T233" s="45"/>
      <c r="U233" s="45"/>
      <c r="V233" s="45"/>
      <c r="W233" s="45"/>
      <c r="X233" s="45"/>
      <c r="Y233" s="45"/>
      <c r="Z233" s="45"/>
    </row>
    <row r="234" spans="1:26">
      <c r="A234" s="45"/>
      <c r="B234" s="45"/>
      <c r="C234" s="45"/>
      <c r="D234" s="45"/>
      <c r="E234" s="45"/>
      <c r="F234" s="45"/>
      <c r="G234" s="45"/>
      <c r="H234" s="45"/>
      <c r="I234" s="45"/>
      <c r="J234" s="45"/>
      <c r="K234" s="45"/>
      <c r="L234" s="45"/>
      <c r="M234" s="45"/>
      <c r="N234" s="44"/>
      <c r="O234" s="45"/>
      <c r="P234" s="45"/>
      <c r="Q234" s="45"/>
      <c r="R234" s="45"/>
      <c r="S234" s="45"/>
      <c r="T234" s="45"/>
      <c r="U234" s="45"/>
      <c r="V234" s="45"/>
      <c r="W234" s="45"/>
      <c r="X234" s="45"/>
      <c r="Y234" s="45"/>
      <c r="Z234" s="45"/>
    </row>
    <row r="235" spans="1:26">
      <c r="A235" s="45"/>
      <c r="B235" s="45"/>
      <c r="C235" s="45"/>
      <c r="D235" s="45"/>
      <c r="E235" s="45"/>
      <c r="F235" s="45"/>
      <c r="G235" s="45"/>
      <c r="H235" s="45"/>
      <c r="I235" s="45"/>
      <c r="J235" s="45"/>
      <c r="K235" s="45"/>
      <c r="L235" s="45"/>
      <c r="M235" s="45"/>
      <c r="N235" s="44"/>
      <c r="O235" s="45"/>
      <c r="P235" s="45"/>
      <c r="Q235" s="45"/>
      <c r="R235" s="45"/>
      <c r="S235" s="45"/>
      <c r="T235" s="45"/>
      <c r="U235" s="45"/>
      <c r="V235" s="45"/>
      <c r="W235" s="45"/>
      <c r="X235" s="45"/>
      <c r="Y235" s="45"/>
      <c r="Z235" s="45"/>
    </row>
    <row r="236" spans="1:26">
      <c r="A236" s="45"/>
      <c r="B236" s="45"/>
      <c r="C236" s="45"/>
      <c r="D236" s="45"/>
      <c r="E236" s="45"/>
      <c r="F236" s="45"/>
      <c r="G236" s="45"/>
      <c r="H236" s="45"/>
      <c r="I236" s="45"/>
      <c r="J236" s="45"/>
      <c r="K236" s="45"/>
      <c r="L236" s="45"/>
      <c r="M236" s="45"/>
      <c r="N236" s="44"/>
      <c r="O236" s="45"/>
      <c r="P236" s="45"/>
      <c r="Q236" s="45"/>
      <c r="R236" s="45"/>
      <c r="S236" s="45"/>
      <c r="T236" s="45"/>
      <c r="U236" s="45"/>
      <c r="V236" s="45"/>
      <c r="W236" s="45"/>
      <c r="X236" s="45"/>
      <c r="Y236" s="45"/>
      <c r="Z236" s="45"/>
    </row>
    <row r="237" spans="1:26">
      <c r="A237" s="45"/>
      <c r="B237" s="45"/>
      <c r="C237" s="45"/>
      <c r="D237" s="45"/>
      <c r="E237" s="45"/>
      <c r="F237" s="45"/>
      <c r="G237" s="45"/>
      <c r="H237" s="45"/>
      <c r="I237" s="45"/>
      <c r="J237" s="45"/>
      <c r="K237" s="45"/>
      <c r="L237" s="45"/>
      <c r="M237" s="45"/>
      <c r="N237" s="44"/>
      <c r="O237" s="45"/>
      <c r="P237" s="45"/>
      <c r="Q237" s="45"/>
      <c r="R237" s="45"/>
      <c r="S237" s="45"/>
      <c r="T237" s="45"/>
      <c r="U237" s="45"/>
      <c r="V237" s="45"/>
      <c r="W237" s="45"/>
      <c r="X237" s="45"/>
      <c r="Y237" s="45"/>
      <c r="Z237" s="45"/>
    </row>
    <row r="238" spans="1:26">
      <c r="A238" s="45"/>
      <c r="B238" s="45"/>
      <c r="C238" s="45"/>
      <c r="D238" s="45"/>
      <c r="E238" s="45"/>
      <c r="F238" s="45"/>
      <c r="G238" s="45"/>
      <c r="H238" s="45"/>
      <c r="I238" s="45"/>
      <c r="J238" s="45"/>
      <c r="K238" s="45"/>
      <c r="L238" s="45"/>
      <c r="M238" s="45"/>
      <c r="N238" s="44"/>
      <c r="O238" s="45"/>
      <c r="P238" s="45"/>
      <c r="Q238" s="45"/>
      <c r="R238" s="45"/>
      <c r="S238" s="45"/>
      <c r="T238" s="45"/>
      <c r="U238" s="45"/>
      <c r="V238" s="45"/>
      <c r="W238" s="45"/>
      <c r="X238" s="45"/>
      <c r="Y238" s="45"/>
      <c r="Z238" s="45"/>
    </row>
    <row r="239" spans="1:26">
      <c r="A239" s="45"/>
      <c r="B239" s="45"/>
      <c r="C239" s="45"/>
      <c r="D239" s="45"/>
      <c r="E239" s="45"/>
      <c r="F239" s="45"/>
      <c r="G239" s="45"/>
      <c r="H239" s="45"/>
      <c r="I239" s="45"/>
      <c r="J239" s="45"/>
      <c r="K239" s="45"/>
      <c r="L239" s="45"/>
      <c r="M239" s="45"/>
      <c r="N239" s="44"/>
      <c r="O239" s="45"/>
      <c r="P239" s="45"/>
      <c r="Q239" s="45"/>
      <c r="R239" s="45"/>
      <c r="S239" s="45"/>
      <c r="T239" s="45"/>
      <c r="U239" s="45"/>
      <c r="V239" s="45"/>
      <c r="W239" s="45"/>
      <c r="X239" s="45"/>
      <c r="Y239" s="45"/>
      <c r="Z239" s="45"/>
    </row>
    <row r="240" spans="1:26">
      <c r="A240" s="45"/>
      <c r="B240" s="45"/>
      <c r="C240" s="45"/>
      <c r="D240" s="45"/>
      <c r="E240" s="45"/>
      <c r="F240" s="45"/>
      <c r="G240" s="45"/>
      <c r="H240" s="45"/>
      <c r="I240" s="45"/>
      <c r="J240" s="45"/>
      <c r="K240" s="45"/>
      <c r="L240" s="45"/>
      <c r="M240" s="45"/>
      <c r="N240" s="44"/>
      <c r="O240" s="45"/>
      <c r="P240" s="45"/>
      <c r="Q240" s="45"/>
      <c r="R240" s="45"/>
      <c r="S240" s="45"/>
      <c r="T240" s="45"/>
      <c r="U240" s="45"/>
      <c r="V240" s="45"/>
      <c r="W240" s="45"/>
      <c r="X240" s="45"/>
      <c r="Y240" s="45"/>
      <c r="Z240" s="45"/>
    </row>
    <row r="241" spans="1:26">
      <c r="A241" s="45"/>
      <c r="B241" s="45"/>
      <c r="C241" s="45"/>
      <c r="D241" s="45"/>
      <c r="E241" s="45"/>
      <c r="F241" s="45"/>
      <c r="G241" s="45"/>
      <c r="H241" s="45"/>
      <c r="I241" s="45"/>
      <c r="J241" s="45"/>
      <c r="K241" s="45"/>
      <c r="L241" s="45"/>
      <c r="M241" s="45"/>
      <c r="N241" s="44"/>
      <c r="O241" s="45"/>
      <c r="P241" s="45"/>
      <c r="Q241" s="45"/>
      <c r="R241" s="45"/>
      <c r="S241" s="45"/>
      <c r="T241" s="45"/>
      <c r="U241" s="45"/>
      <c r="V241" s="45"/>
      <c r="W241" s="45"/>
      <c r="X241" s="45"/>
      <c r="Y241" s="45"/>
      <c r="Z241" s="45"/>
    </row>
    <row r="242" spans="1:26">
      <c r="A242" s="45"/>
      <c r="B242" s="45"/>
      <c r="C242" s="45"/>
      <c r="D242" s="45"/>
      <c r="E242" s="45"/>
      <c r="F242" s="45"/>
      <c r="G242" s="45"/>
      <c r="H242" s="45"/>
      <c r="I242" s="45"/>
      <c r="J242" s="45"/>
      <c r="K242" s="45"/>
      <c r="L242" s="45"/>
      <c r="M242" s="45"/>
      <c r="N242" s="44"/>
      <c r="O242" s="45"/>
      <c r="P242" s="45"/>
      <c r="Q242" s="45"/>
      <c r="R242" s="45"/>
      <c r="S242" s="45"/>
      <c r="T242" s="45"/>
      <c r="U242" s="45"/>
      <c r="V242" s="45"/>
      <c r="W242" s="45"/>
      <c r="X242" s="45"/>
      <c r="Y242" s="45"/>
      <c r="Z242" s="45"/>
    </row>
    <row r="243" spans="1:26">
      <c r="A243" s="45"/>
      <c r="B243" s="45"/>
      <c r="C243" s="45"/>
      <c r="D243" s="45"/>
      <c r="E243" s="45"/>
      <c r="F243" s="45"/>
      <c r="G243" s="45"/>
      <c r="H243" s="45"/>
      <c r="I243" s="45"/>
      <c r="J243" s="45"/>
      <c r="K243" s="45"/>
      <c r="L243" s="45"/>
      <c r="M243" s="45"/>
      <c r="N243" s="44"/>
      <c r="O243" s="45"/>
      <c r="P243" s="45"/>
      <c r="Q243" s="45"/>
      <c r="R243" s="45"/>
      <c r="S243" s="45"/>
      <c r="T243" s="45"/>
      <c r="U243" s="45"/>
      <c r="V243" s="45"/>
      <c r="W243" s="45"/>
      <c r="X243" s="45"/>
      <c r="Y243" s="45"/>
      <c r="Z243" s="45"/>
    </row>
    <row r="244" spans="1:26">
      <c r="A244" s="45"/>
      <c r="B244" s="45"/>
      <c r="C244" s="45"/>
      <c r="D244" s="45"/>
      <c r="E244" s="45"/>
      <c r="F244" s="45"/>
      <c r="G244" s="45"/>
      <c r="H244" s="45"/>
      <c r="I244" s="45"/>
      <c r="J244" s="45"/>
      <c r="K244" s="45"/>
      <c r="L244" s="45"/>
      <c r="M244" s="45"/>
      <c r="N244" s="44"/>
      <c r="O244" s="45"/>
      <c r="P244" s="45"/>
      <c r="Q244" s="45"/>
      <c r="R244" s="45"/>
      <c r="S244" s="45"/>
      <c r="T244" s="45"/>
      <c r="U244" s="45"/>
      <c r="V244" s="45"/>
      <c r="W244" s="45"/>
      <c r="X244" s="45"/>
      <c r="Y244" s="45"/>
      <c r="Z244" s="45"/>
    </row>
    <row r="245" spans="1:26">
      <c r="A245" s="45"/>
      <c r="B245" s="45"/>
      <c r="C245" s="45"/>
      <c r="D245" s="45"/>
      <c r="E245" s="45"/>
      <c r="F245" s="45"/>
      <c r="G245" s="45"/>
      <c r="H245" s="45"/>
      <c r="I245" s="45"/>
      <c r="J245" s="45"/>
      <c r="K245" s="45"/>
      <c r="L245" s="45"/>
      <c r="M245" s="45"/>
      <c r="N245" s="44"/>
      <c r="O245" s="45"/>
      <c r="P245" s="45"/>
      <c r="Q245" s="45"/>
      <c r="R245" s="45"/>
      <c r="S245" s="45"/>
      <c r="T245" s="45"/>
      <c r="U245" s="45"/>
      <c r="V245" s="45"/>
      <c r="W245" s="45"/>
      <c r="X245" s="45"/>
      <c r="Y245" s="45"/>
      <c r="Z245" s="45"/>
    </row>
    <row r="246" spans="1:26">
      <c r="A246" s="45"/>
      <c r="B246" s="45"/>
      <c r="C246" s="45"/>
      <c r="D246" s="45"/>
      <c r="E246" s="45"/>
      <c r="F246" s="45"/>
      <c r="G246" s="45"/>
      <c r="H246" s="45"/>
      <c r="I246" s="45"/>
      <c r="J246" s="45"/>
      <c r="K246" s="45"/>
      <c r="L246" s="45"/>
      <c r="M246" s="45"/>
      <c r="N246" s="44"/>
      <c r="O246" s="45"/>
      <c r="P246" s="45"/>
      <c r="Q246" s="45"/>
      <c r="R246" s="45"/>
      <c r="S246" s="45"/>
      <c r="T246" s="45"/>
      <c r="U246" s="45"/>
      <c r="V246" s="45"/>
      <c r="W246" s="45"/>
      <c r="X246" s="45"/>
      <c r="Y246" s="45"/>
      <c r="Z246" s="45"/>
    </row>
    <row r="247" spans="1:26">
      <c r="A247" s="45"/>
      <c r="B247" s="45"/>
      <c r="C247" s="45"/>
      <c r="D247" s="45"/>
      <c r="E247" s="45"/>
      <c r="F247" s="45"/>
      <c r="G247" s="45"/>
      <c r="H247" s="45"/>
      <c r="I247" s="45"/>
      <c r="J247" s="45"/>
      <c r="K247" s="45"/>
      <c r="L247" s="45"/>
      <c r="M247" s="45"/>
      <c r="N247" s="44"/>
      <c r="O247" s="45"/>
      <c r="P247" s="45"/>
      <c r="Q247" s="45"/>
      <c r="R247" s="45"/>
      <c r="S247" s="45"/>
      <c r="T247" s="45"/>
      <c r="U247" s="45"/>
      <c r="V247" s="45"/>
      <c r="W247" s="45"/>
      <c r="X247" s="45"/>
      <c r="Y247" s="45"/>
      <c r="Z247" s="45"/>
    </row>
    <row r="248" spans="1:26">
      <c r="A248" s="45"/>
      <c r="B248" s="45"/>
      <c r="C248" s="45"/>
      <c r="D248" s="45"/>
      <c r="E248" s="45"/>
      <c r="F248" s="45"/>
      <c r="G248" s="45"/>
      <c r="H248" s="45"/>
      <c r="I248" s="45"/>
      <c r="J248" s="45"/>
      <c r="K248" s="45"/>
      <c r="L248" s="45"/>
      <c r="M248" s="45"/>
      <c r="N248" s="44"/>
      <c r="O248" s="45"/>
      <c r="P248" s="45"/>
      <c r="Q248" s="45"/>
      <c r="R248" s="45"/>
      <c r="S248" s="45"/>
      <c r="T248" s="45"/>
      <c r="U248" s="45"/>
      <c r="V248" s="45"/>
      <c r="W248" s="45"/>
      <c r="X248" s="45"/>
      <c r="Y248" s="45"/>
      <c r="Z248" s="45"/>
    </row>
    <row r="249" spans="1:26">
      <c r="A249" s="45"/>
      <c r="B249" s="45"/>
      <c r="C249" s="45"/>
      <c r="D249" s="45"/>
      <c r="E249" s="45"/>
      <c r="F249" s="45"/>
      <c r="G249" s="45"/>
      <c r="H249" s="45"/>
      <c r="I249" s="45"/>
      <c r="J249" s="45"/>
      <c r="K249" s="45"/>
      <c r="L249" s="45"/>
      <c r="M249" s="45"/>
      <c r="N249" s="44"/>
      <c r="O249" s="45"/>
      <c r="P249" s="45"/>
      <c r="Q249" s="45"/>
      <c r="R249" s="45"/>
      <c r="S249" s="45"/>
      <c r="T249" s="45"/>
      <c r="U249" s="45"/>
      <c r="V249" s="45"/>
      <c r="W249" s="45"/>
      <c r="X249" s="45"/>
      <c r="Y249" s="45"/>
      <c r="Z249" s="45"/>
    </row>
    <row r="250" spans="1:26">
      <c r="A250" s="45"/>
      <c r="B250" s="45"/>
      <c r="C250" s="45"/>
      <c r="D250" s="45"/>
      <c r="E250" s="45"/>
      <c r="F250" s="45"/>
      <c r="G250" s="45"/>
      <c r="H250" s="45"/>
      <c r="I250" s="45"/>
      <c r="J250" s="45"/>
      <c r="K250" s="45"/>
      <c r="L250" s="45"/>
      <c r="M250" s="45"/>
      <c r="N250" s="44"/>
      <c r="O250" s="45"/>
      <c r="P250" s="45"/>
      <c r="Q250" s="45"/>
      <c r="R250" s="45"/>
      <c r="S250" s="45"/>
      <c r="T250" s="45"/>
      <c r="U250" s="45"/>
      <c r="V250" s="45"/>
      <c r="W250" s="45"/>
      <c r="X250" s="45"/>
      <c r="Y250" s="45"/>
      <c r="Z250" s="45"/>
    </row>
    <row r="251" spans="1:26">
      <c r="A251" s="45"/>
      <c r="B251" s="45"/>
      <c r="C251" s="45"/>
      <c r="D251" s="45"/>
      <c r="E251" s="45"/>
      <c r="F251" s="45"/>
      <c r="G251" s="45"/>
      <c r="H251" s="45"/>
      <c r="I251" s="45"/>
      <c r="J251" s="45"/>
      <c r="K251" s="45"/>
      <c r="L251" s="45"/>
      <c r="M251" s="45"/>
      <c r="N251" s="44"/>
      <c r="O251" s="45"/>
      <c r="P251" s="45"/>
      <c r="Q251" s="45"/>
      <c r="R251" s="45"/>
      <c r="S251" s="45"/>
      <c r="T251" s="45"/>
      <c r="U251" s="45"/>
      <c r="V251" s="45"/>
      <c r="W251" s="45"/>
      <c r="X251" s="45"/>
      <c r="Y251" s="45"/>
      <c r="Z251" s="45"/>
    </row>
    <row r="252" spans="1:26">
      <c r="A252" s="45"/>
      <c r="B252" s="45"/>
      <c r="C252" s="45"/>
      <c r="D252" s="45"/>
      <c r="E252" s="45"/>
      <c r="F252" s="45"/>
      <c r="G252" s="45"/>
      <c r="H252" s="45"/>
      <c r="I252" s="45"/>
      <c r="J252" s="45"/>
      <c r="K252" s="45"/>
      <c r="L252" s="45"/>
      <c r="M252" s="45"/>
      <c r="N252" s="44"/>
      <c r="O252" s="45"/>
      <c r="P252" s="45"/>
      <c r="Q252" s="45"/>
      <c r="R252" s="45"/>
      <c r="S252" s="45"/>
      <c r="T252" s="45"/>
      <c r="U252" s="45"/>
      <c r="V252" s="45"/>
      <c r="W252" s="45"/>
      <c r="X252" s="45"/>
      <c r="Y252" s="45"/>
      <c r="Z252" s="45"/>
    </row>
    <row r="253" spans="1:26">
      <c r="A253" s="45"/>
      <c r="B253" s="45"/>
      <c r="C253" s="45"/>
      <c r="D253" s="45"/>
      <c r="E253" s="45"/>
      <c r="F253" s="45"/>
      <c r="G253" s="45"/>
      <c r="H253" s="45"/>
      <c r="I253" s="45"/>
      <c r="J253" s="45"/>
      <c r="K253" s="45"/>
      <c r="L253" s="45"/>
      <c r="M253" s="45"/>
      <c r="N253" s="44"/>
      <c r="O253" s="45"/>
      <c r="P253" s="45"/>
      <c r="Q253" s="45"/>
      <c r="R253" s="45"/>
      <c r="S253" s="45"/>
      <c r="T253" s="45"/>
      <c r="U253" s="45"/>
      <c r="V253" s="45"/>
      <c r="W253" s="45"/>
      <c r="X253" s="45"/>
      <c r="Y253" s="45"/>
      <c r="Z253" s="45"/>
    </row>
    <row r="254" spans="1:26">
      <c r="A254" s="45"/>
      <c r="B254" s="45"/>
      <c r="C254" s="45"/>
      <c r="D254" s="45"/>
      <c r="E254" s="45"/>
      <c r="F254" s="45"/>
      <c r="G254" s="45"/>
      <c r="H254" s="45"/>
      <c r="I254" s="45"/>
      <c r="J254" s="45"/>
      <c r="K254" s="45"/>
      <c r="L254" s="45"/>
      <c r="M254" s="45"/>
      <c r="N254" s="44"/>
      <c r="O254" s="45"/>
      <c r="P254" s="45"/>
      <c r="Q254" s="45"/>
      <c r="R254" s="45"/>
      <c r="S254" s="45"/>
      <c r="T254" s="45"/>
      <c r="U254" s="45"/>
      <c r="V254" s="45"/>
      <c r="W254" s="45"/>
      <c r="X254" s="45"/>
      <c r="Y254" s="45"/>
      <c r="Z254" s="45"/>
    </row>
    <row r="255" spans="1:26">
      <c r="A255" s="45"/>
      <c r="B255" s="45"/>
      <c r="C255" s="45"/>
      <c r="D255" s="45"/>
      <c r="E255" s="45"/>
      <c r="F255" s="45"/>
      <c r="G255" s="45"/>
      <c r="H255" s="45"/>
      <c r="I255" s="45"/>
      <c r="J255" s="45"/>
      <c r="K255" s="45"/>
      <c r="L255" s="45"/>
      <c r="M255" s="45"/>
      <c r="N255" s="44"/>
      <c r="O255" s="45"/>
      <c r="P255" s="45"/>
      <c r="Q255" s="45"/>
      <c r="R255" s="45"/>
      <c r="S255" s="45"/>
      <c r="T255" s="45"/>
      <c r="U255" s="45"/>
      <c r="V255" s="45"/>
      <c r="W255" s="45"/>
      <c r="X255" s="45"/>
      <c r="Y255" s="45"/>
      <c r="Z255" s="45"/>
    </row>
    <row r="256" spans="1:26">
      <c r="A256" s="45"/>
      <c r="B256" s="45"/>
      <c r="C256" s="45"/>
      <c r="D256" s="45"/>
      <c r="E256" s="45"/>
      <c r="F256" s="45"/>
      <c r="G256" s="45"/>
      <c r="H256" s="45"/>
      <c r="I256" s="45"/>
      <c r="J256" s="45"/>
      <c r="K256" s="45"/>
      <c r="L256" s="45"/>
      <c r="M256" s="45"/>
      <c r="N256" s="44"/>
      <c r="O256" s="45"/>
      <c r="P256" s="45"/>
      <c r="Q256" s="45"/>
      <c r="R256" s="45"/>
      <c r="S256" s="45"/>
      <c r="T256" s="45"/>
      <c r="U256" s="45"/>
      <c r="V256" s="45"/>
      <c r="W256" s="45"/>
      <c r="X256" s="45"/>
      <c r="Y256" s="45"/>
      <c r="Z256" s="45"/>
    </row>
    <row r="257" spans="1:26">
      <c r="A257" s="45"/>
      <c r="B257" s="45"/>
      <c r="C257" s="45"/>
      <c r="D257" s="45"/>
      <c r="E257" s="45"/>
      <c r="F257" s="45"/>
      <c r="G257" s="45"/>
      <c r="H257" s="45"/>
      <c r="I257" s="45"/>
      <c r="J257" s="45"/>
      <c r="K257" s="45"/>
      <c r="L257" s="45"/>
      <c r="M257" s="45"/>
      <c r="N257" s="44"/>
      <c r="O257" s="45"/>
      <c r="P257" s="45"/>
      <c r="Q257" s="45"/>
      <c r="R257" s="45"/>
      <c r="S257" s="45"/>
      <c r="T257" s="45"/>
      <c r="U257" s="45"/>
      <c r="V257" s="45"/>
      <c r="W257" s="45"/>
      <c r="X257" s="45"/>
      <c r="Y257" s="45"/>
      <c r="Z257" s="45"/>
    </row>
    <row r="258" spans="1:26">
      <c r="A258" s="45"/>
      <c r="B258" s="45"/>
      <c r="C258" s="45"/>
      <c r="D258" s="45"/>
      <c r="E258" s="45"/>
      <c r="F258" s="45"/>
      <c r="G258" s="45"/>
      <c r="H258" s="45"/>
      <c r="I258" s="45"/>
      <c r="J258" s="45"/>
      <c r="K258" s="45"/>
      <c r="L258" s="45"/>
      <c r="M258" s="45"/>
      <c r="N258" s="44"/>
      <c r="O258" s="45"/>
      <c r="P258" s="45"/>
      <c r="Q258" s="45"/>
      <c r="R258" s="45"/>
      <c r="S258" s="45"/>
      <c r="T258" s="45"/>
      <c r="U258" s="45"/>
      <c r="V258" s="45"/>
      <c r="W258" s="45"/>
      <c r="X258" s="45"/>
      <c r="Y258" s="45"/>
      <c r="Z258" s="45"/>
    </row>
    <row r="259" spans="1:26">
      <c r="A259" s="45"/>
      <c r="B259" s="45"/>
      <c r="C259" s="45"/>
      <c r="D259" s="45"/>
      <c r="E259" s="45"/>
      <c r="F259" s="45"/>
      <c r="G259" s="45"/>
      <c r="H259" s="45"/>
      <c r="I259" s="45"/>
      <c r="J259" s="45"/>
      <c r="K259" s="45"/>
      <c r="L259" s="45"/>
      <c r="M259" s="45"/>
      <c r="N259" s="44"/>
      <c r="O259" s="45"/>
      <c r="P259" s="45"/>
      <c r="Q259" s="45"/>
      <c r="R259" s="45"/>
      <c r="S259" s="45"/>
      <c r="T259" s="45"/>
      <c r="U259" s="45"/>
      <c r="V259" s="45"/>
      <c r="W259" s="45"/>
      <c r="X259" s="45"/>
      <c r="Y259" s="45"/>
      <c r="Z259" s="45"/>
    </row>
    <row r="260" spans="1:26">
      <c r="A260" s="45"/>
      <c r="B260" s="45"/>
      <c r="C260" s="45"/>
      <c r="D260" s="45"/>
      <c r="E260" s="45"/>
      <c r="F260" s="45"/>
      <c r="G260" s="45"/>
      <c r="H260" s="45"/>
      <c r="I260" s="45"/>
      <c r="J260" s="45"/>
      <c r="K260" s="45"/>
      <c r="L260" s="45"/>
      <c r="M260" s="45"/>
      <c r="N260" s="44"/>
      <c r="O260" s="45"/>
      <c r="P260" s="45"/>
      <c r="Q260" s="45"/>
      <c r="R260" s="45"/>
      <c r="S260" s="45"/>
      <c r="T260" s="45"/>
      <c r="U260" s="45"/>
      <c r="V260" s="45"/>
      <c r="W260" s="45"/>
      <c r="X260" s="45"/>
      <c r="Y260" s="45"/>
      <c r="Z260" s="45"/>
    </row>
    <row r="261" spans="1:26">
      <c r="A261" s="45"/>
      <c r="B261" s="45"/>
      <c r="C261" s="45"/>
      <c r="D261" s="45"/>
      <c r="E261" s="45"/>
      <c r="F261" s="45"/>
      <c r="G261" s="45"/>
      <c r="H261" s="45"/>
      <c r="I261" s="45"/>
      <c r="J261" s="45"/>
      <c r="K261" s="45"/>
      <c r="L261" s="45"/>
      <c r="M261" s="45"/>
      <c r="N261" s="44"/>
      <c r="O261" s="45"/>
      <c r="P261" s="45"/>
      <c r="Q261" s="45"/>
      <c r="R261" s="45"/>
      <c r="S261" s="45"/>
      <c r="T261" s="45"/>
      <c r="U261" s="45"/>
      <c r="V261" s="45"/>
      <c r="W261" s="45"/>
      <c r="X261" s="45"/>
      <c r="Y261" s="45"/>
      <c r="Z261" s="45"/>
    </row>
    <row r="262" spans="1:26">
      <c r="A262" s="45"/>
      <c r="B262" s="45"/>
      <c r="C262" s="45"/>
      <c r="D262" s="45"/>
      <c r="E262" s="45"/>
      <c r="F262" s="45"/>
      <c r="G262" s="45"/>
      <c r="H262" s="45"/>
      <c r="I262" s="45"/>
      <c r="J262" s="45"/>
      <c r="K262" s="45"/>
      <c r="L262" s="45"/>
      <c r="M262" s="45"/>
      <c r="N262" s="44"/>
      <c r="O262" s="45"/>
      <c r="P262" s="45"/>
      <c r="Q262" s="45"/>
      <c r="R262" s="45"/>
      <c r="S262" s="45"/>
      <c r="T262" s="45"/>
      <c r="U262" s="45"/>
      <c r="V262" s="45"/>
      <c r="W262" s="45"/>
      <c r="X262" s="45"/>
      <c r="Y262" s="45"/>
      <c r="Z262" s="45"/>
    </row>
    <row r="263" spans="1:26">
      <c r="A263" s="45"/>
      <c r="B263" s="45"/>
      <c r="C263" s="45"/>
      <c r="D263" s="45"/>
      <c r="E263" s="45"/>
      <c r="F263" s="45"/>
      <c r="G263" s="45"/>
      <c r="H263" s="45"/>
      <c r="I263" s="45"/>
      <c r="J263" s="45"/>
      <c r="K263" s="45"/>
      <c r="L263" s="45"/>
      <c r="M263" s="45"/>
      <c r="N263" s="44"/>
      <c r="O263" s="45"/>
      <c r="P263" s="45"/>
      <c r="Q263" s="45"/>
      <c r="R263" s="45"/>
      <c r="S263" s="45"/>
      <c r="T263" s="45"/>
      <c r="U263" s="45"/>
      <c r="V263" s="45"/>
      <c r="W263" s="45"/>
      <c r="X263" s="45"/>
      <c r="Y263" s="45"/>
      <c r="Z263" s="45"/>
    </row>
    <row r="264" spans="1:26">
      <c r="A264" s="45"/>
      <c r="B264" s="45"/>
      <c r="C264" s="45"/>
      <c r="D264" s="45"/>
      <c r="E264" s="45"/>
      <c r="F264" s="45"/>
      <c r="G264" s="45"/>
      <c r="H264" s="45"/>
      <c r="I264" s="45"/>
      <c r="J264" s="45"/>
      <c r="K264" s="45"/>
      <c r="L264" s="45"/>
      <c r="M264" s="45"/>
      <c r="N264" s="44"/>
      <c r="O264" s="45"/>
      <c r="P264" s="45"/>
      <c r="Q264" s="45"/>
      <c r="R264" s="45"/>
      <c r="S264" s="45"/>
      <c r="T264" s="45"/>
      <c r="U264" s="45"/>
      <c r="V264" s="45"/>
      <c r="W264" s="45"/>
      <c r="X264" s="45"/>
      <c r="Y264" s="45"/>
      <c r="Z264" s="45"/>
    </row>
    <row r="265" spans="1:26">
      <c r="A265" s="45"/>
      <c r="B265" s="45"/>
      <c r="C265" s="45"/>
      <c r="D265" s="45"/>
      <c r="E265" s="45"/>
      <c r="F265" s="45"/>
      <c r="G265" s="45"/>
      <c r="H265" s="45"/>
      <c r="I265" s="45"/>
      <c r="J265" s="45"/>
      <c r="K265" s="45"/>
      <c r="L265" s="45"/>
      <c r="M265" s="45"/>
      <c r="N265" s="44"/>
      <c r="O265" s="45"/>
      <c r="P265" s="45"/>
      <c r="Q265" s="45"/>
      <c r="R265" s="45"/>
      <c r="S265" s="45"/>
      <c r="T265" s="45"/>
      <c r="U265" s="45"/>
      <c r="V265" s="45"/>
      <c r="W265" s="45"/>
      <c r="X265" s="45"/>
      <c r="Y265" s="45"/>
      <c r="Z265" s="45"/>
    </row>
    <row r="266" spans="1:26">
      <c r="A266" s="45"/>
      <c r="B266" s="45"/>
      <c r="C266" s="45"/>
      <c r="D266" s="45"/>
      <c r="E266" s="45"/>
      <c r="F266" s="45"/>
      <c r="G266" s="45"/>
      <c r="H266" s="45"/>
      <c r="I266" s="45"/>
      <c r="J266" s="45"/>
      <c r="K266" s="45"/>
      <c r="L266" s="45"/>
      <c r="M266" s="45"/>
      <c r="N266" s="44"/>
      <c r="O266" s="45"/>
      <c r="P266" s="45"/>
      <c r="Q266" s="45"/>
      <c r="R266" s="45"/>
      <c r="S266" s="45"/>
      <c r="T266" s="45"/>
      <c r="U266" s="45"/>
      <c r="V266" s="45"/>
      <c r="W266" s="45"/>
      <c r="X266" s="45"/>
      <c r="Y266" s="45"/>
      <c r="Z266" s="45"/>
    </row>
    <row r="267" spans="1:26">
      <c r="A267" s="45"/>
      <c r="B267" s="45"/>
      <c r="C267" s="45"/>
      <c r="D267" s="45"/>
      <c r="E267" s="45"/>
      <c r="F267" s="45"/>
      <c r="G267" s="45"/>
      <c r="H267" s="45"/>
      <c r="I267" s="45"/>
      <c r="J267" s="45"/>
      <c r="K267" s="45"/>
      <c r="L267" s="45"/>
      <c r="M267" s="45"/>
      <c r="N267" s="44"/>
      <c r="O267" s="45"/>
      <c r="P267" s="45"/>
      <c r="Q267" s="45"/>
      <c r="R267" s="45"/>
      <c r="S267" s="45"/>
      <c r="T267" s="45"/>
      <c r="U267" s="45"/>
      <c r="V267" s="45"/>
      <c r="W267" s="45"/>
      <c r="X267" s="45"/>
      <c r="Y267" s="45"/>
      <c r="Z267" s="45"/>
    </row>
    <row r="268" spans="1:26">
      <c r="A268" s="45"/>
      <c r="B268" s="45"/>
      <c r="C268" s="45"/>
      <c r="D268" s="45"/>
      <c r="E268" s="45"/>
      <c r="F268" s="45"/>
      <c r="G268" s="45"/>
      <c r="H268" s="45"/>
      <c r="I268" s="45"/>
      <c r="J268" s="45"/>
      <c r="K268" s="45"/>
      <c r="L268" s="45"/>
      <c r="M268" s="45"/>
      <c r="N268" s="44"/>
      <c r="O268" s="45"/>
      <c r="P268" s="45"/>
      <c r="Q268" s="45"/>
      <c r="R268" s="45"/>
      <c r="S268" s="45"/>
      <c r="T268" s="45"/>
      <c r="U268" s="45"/>
      <c r="V268" s="45"/>
      <c r="W268" s="45"/>
      <c r="X268" s="45"/>
      <c r="Y268" s="45"/>
      <c r="Z268" s="45"/>
    </row>
    <row r="269" spans="1:26">
      <c r="A269" s="45"/>
      <c r="B269" s="45"/>
      <c r="C269" s="45"/>
      <c r="D269" s="45"/>
      <c r="E269" s="45"/>
      <c r="F269" s="45"/>
      <c r="G269" s="45"/>
      <c r="H269" s="45"/>
      <c r="I269" s="45"/>
      <c r="J269" s="45"/>
      <c r="K269" s="45"/>
      <c r="L269" s="45"/>
      <c r="M269" s="45"/>
      <c r="N269" s="44"/>
      <c r="O269" s="45"/>
      <c r="P269" s="45"/>
      <c r="Q269" s="45"/>
      <c r="R269" s="45"/>
      <c r="S269" s="45"/>
      <c r="T269" s="45"/>
      <c r="U269" s="45"/>
      <c r="V269" s="45"/>
      <c r="W269" s="45"/>
      <c r="X269" s="45"/>
      <c r="Y269" s="45"/>
      <c r="Z269" s="45"/>
    </row>
    <row r="270" spans="1:26">
      <c r="A270" s="45"/>
      <c r="B270" s="45"/>
      <c r="C270" s="45"/>
      <c r="D270" s="45"/>
      <c r="E270" s="45"/>
      <c r="F270" s="45"/>
      <c r="G270" s="45"/>
      <c r="H270" s="45"/>
      <c r="I270" s="45"/>
      <c r="J270" s="45"/>
      <c r="K270" s="45"/>
      <c r="L270" s="45"/>
      <c r="M270" s="45"/>
      <c r="N270" s="44"/>
      <c r="O270" s="45"/>
      <c r="P270" s="45"/>
      <c r="Q270" s="45"/>
      <c r="R270" s="45"/>
      <c r="S270" s="45"/>
      <c r="T270" s="45"/>
      <c r="U270" s="45"/>
      <c r="V270" s="45"/>
      <c r="W270" s="45"/>
      <c r="X270" s="45"/>
      <c r="Y270" s="45"/>
      <c r="Z270" s="45"/>
    </row>
    <row r="271" spans="1:26">
      <c r="A271" s="45"/>
      <c r="B271" s="45"/>
      <c r="C271" s="45"/>
      <c r="D271" s="45"/>
      <c r="E271" s="45"/>
      <c r="F271" s="45"/>
      <c r="G271" s="45"/>
      <c r="H271" s="45"/>
      <c r="I271" s="45"/>
      <c r="J271" s="45"/>
      <c r="K271" s="45"/>
      <c r="L271" s="45"/>
      <c r="M271" s="45"/>
      <c r="N271" s="44"/>
      <c r="O271" s="45"/>
      <c r="P271" s="45"/>
      <c r="Q271" s="45"/>
      <c r="R271" s="45"/>
      <c r="S271" s="45"/>
      <c r="T271" s="45"/>
      <c r="U271" s="45"/>
      <c r="V271" s="45"/>
      <c r="W271" s="45"/>
      <c r="X271" s="45"/>
      <c r="Y271" s="45"/>
      <c r="Z271" s="45"/>
    </row>
    <row r="272" spans="1:26">
      <c r="A272" s="45"/>
      <c r="B272" s="45"/>
      <c r="C272" s="45"/>
      <c r="D272" s="45"/>
      <c r="E272" s="45"/>
      <c r="F272" s="45"/>
      <c r="G272" s="45"/>
      <c r="H272" s="45"/>
      <c r="I272" s="45"/>
      <c r="J272" s="45"/>
      <c r="K272" s="45"/>
      <c r="L272" s="45"/>
      <c r="M272" s="45"/>
      <c r="N272" s="44"/>
      <c r="O272" s="45"/>
      <c r="P272" s="45"/>
      <c r="Q272" s="45"/>
      <c r="R272" s="45"/>
      <c r="S272" s="45"/>
      <c r="T272" s="45"/>
      <c r="U272" s="45"/>
      <c r="V272" s="45"/>
      <c r="W272" s="45"/>
      <c r="X272" s="45"/>
      <c r="Y272" s="45"/>
      <c r="Z272" s="45"/>
    </row>
    <row r="273" spans="1:26">
      <c r="A273" s="45"/>
      <c r="B273" s="45"/>
      <c r="C273" s="45"/>
      <c r="D273" s="45"/>
      <c r="E273" s="45"/>
      <c r="F273" s="45"/>
      <c r="G273" s="45"/>
      <c r="H273" s="45"/>
      <c r="I273" s="45"/>
      <c r="J273" s="45"/>
      <c r="K273" s="45"/>
      <c r="L273" s="45"/>
      <c r="M273" s="45"/>
      <c r="N273" s="44"/>
      <c r="O273" s="45"/>
      <c r="P273" s="45"/>
      <c r="Q273" s="45"/>
      <c r="R273" s="45"/>
      <c r="S273" s="45"/>
      <c r="T273" s="45"/>
      <c r="U273" s="45"/>
      <c r="V273" s="45"/>
      <c r="W273" s="45"/>
      <c r="X273" s="45"/>
      <c r="Y273" s="45"/>
      <c r="Z273" s="45"/>
    </row>
    <row r="274" spans="1:26">
      <c r="A274" s="45"/>
      <c r="B274" s="45"/>
      <c r="C274" s="45"/>
      <c r="D274" s="45"/>
      <c r="E274" s="45"/>
      <c r="F274" s="45"/>
      <c r="G274" s="45"/>
      <c r="H274" s="45"/>
      <c r="I274" s="45"/>
      <c r="J274" s="45"/>
      <c r="K274" s="45"/>
      <c r="L274" s="45"/>
      <c r="M274" s="45"/>
      <c r="N274" s="44"/>
      <c r="O274" s="45"/>
      <c r="P274" s="45"/>
      <c r="Q274" s="45"/>
      <c r="R274" s="45"/>
      <c r="S274" s="45"/>
      <c r="T274" s="45"/>
      <c r="U274" s="45"/>
      <c r="V274" s="45"/>
      <c r="W274" s="45"/>
      <c r="X274" s="45"/>
      <c r="Y274" s="45"/>
      <c r="Z274" s="45"/>
    </row>
    <row r="275" spans="1:26">
      <c r="A275" s="45"/>
      <c r="B275" s="45"/>
      <c r="C275" s="45"/>
      <c r="D275" s="45"/>
      <c r="E275" s="45"/>
      <c r="F275" s="45"/>
      <c r="G275" s="45"/>
      <c r="H275" s="45"/>
      <c r="I275" s="45"/>
      <c r="J275" s="45"/>
      <c r="K275" s="45"/>
      <c r="L275" s="45"/>
      <c r="M275" s="45"/>
      <c r="N275" s="44"/>
      <c r="O275" s="45"/>
      <c r="P275" s="45"/>
      <c r="Q275" s="45"/>
      <c r="R275" s="45"/>
      <c r="S275" s="45"/>
      <c r="T275" s="45"/>
      <c r="U275" s="45"/>
      <c r="V275" s="45"/>
      <c r="W275" s="45"/>
      <c r="X275" s="45"/>
      <c r="Y275" s="45"/>
      <c r="Z275" s="45"/>
    </row>
    <row r="276" spans="1:26">
      <c r="A276" s="45"/>
      <c r="B276" s="45"/>
      <c r="C276" s="45"/>
      <c r="D276" s="45"/>
      <c r="E276" s="45"/>
      <c r="F276" s="45"/>
      <c r="G276" s="45"/>
      <c r="H276" s="45"/>
      <c r="I276" s="45"/>
      <c r="J276" s="45"/>
      <c r="K276" s="45"/>
      <c r="L276" s="45"/>
      <c r="M276" s="45"/>
      <c r="N276" s="44"/>
      <c r="O276" s="45"/>
      <c r="P276" s="45"/>
      <c r="Q276" s="45"/>
      <c r="R276" s="45"/>
      <c r="S276" s="45"/>
      <c r="T276" s="45"/>
      <c r="U276" s="45"/>
      <c r="V276" s="45"/>
      <c r="W276" s="45"/>
      <c r="X276" s="45"/>
      <c r="Y276" s="45"/>
      <c r="Z276" s="45"/>
    </row>
    <row r="277" spans="1:26">
      <c r="A277" s="45"/>
      <c r="B277" s="45"/>
      <c r="C277" s="45"/>
      <c r="D277" s="45"/>
      <c r="E277" s="45"/>
      <c r="F277" s="45"/>
      <c r="G277" s="45"/>
      <c r="H277" s="45"/>
      <c r="I277" s="45"/>
      <c r="J277" s="45"/>
      <c r="K277" s="45"/>
      <c r="L277" s="45"/>
      <c r="M277" s="45"/>
      <c r="N277" s="44"/>
      <c r="O277" s="45"/>
      <c r="P277" s="45"/>
      <c r="Q277" s="45"/>
      <c r="R277" s="45"/>
      <c r="S277" s="45"/>
      <c r="T277" s="45"/>
      <c r="U277" s="45"/>
      <c r="V277" s="45"/>
      <c r="W277" s="45"/>
      <c r="X277" s="45"/>
      <c r="Y277" s="45"/>
      <c r="Z277" s="45"/>
    </row>
    <row r="278" spans="1:26">
      <c r="A278" s="45"/>
      <c r="B278" s="45"/>
      <c r="C278" s="45"/>
      <c r="D278" s="45"/>
      <c r="E278" s="45"/>
      <c r="F278" s="45"/>
      <c r="G278" s="45"/>
      <c r="H278" s="45"/>
      <c r="I278" s="45"/>
      <c r="J278" s="45"/>
      <c r="K278" s="45"/>
      <c r="L278" s="45"/>
      <c r="M278" s="45"/>
      <c r="N278" s="44"/>
      <c r="O278" s="45"/>
      <c r="P278" s="45"/>
      <c r="Q278" s="45"/>
      <c r="R278" s="45"/>
      <c r="S278" s="45"/>
      <c r="T278" s="45"/>
      <c r="U278" s="45"/>
      <c r="V278" s="45"/>
      <c r="W278" s="45"/>
      <c r="X278" s="45"/>
      <c r="Y278" s="45"/>
      <c r="Z278" s="45"/>
    </row>
    <row r="279" spans="1:26">
      <c r="A279" s="45"/>
      <c r="B279" s="45"/>
      <c r="C279" s="45"/>
      <c r="D279" s="45"/>
      <c r="E279" s="45"/>
      <c r="F279" s="45"/>
      <c r="G279" s="45"/>
      <c r="H279" s="45"/>
      <c r="I279" s="45"/>
      <c r="J279" s="45"/>
      <c r="K279" s="45"/>
      <c r="L279" s="45"/>
      <c r="M279" s="45"/>
      <c r="N279" s="44"/>
      <c r="O279" s="45"/>
      <c r="P279" s="45"/>
      <c r="Q279" s="45"/>
      <c r="R279" s="45"/>
      <c r="S279" s="45"/>
      <c r="T279" s="45"/>
      <c r="U279" s="45"/>
      <c r="V279" s="45"/>
      <c r="W279" s="45"/>
      <c r="X279" s="45"/>
      <c r="Y279" s="45"/>
      <c r="Z279" s="45"/>
    </row>
    <row r="280" spans="1:26">
      <c r="A280" s="45"/>
      <c r="B280" s="45"/>
      <c r="C280" s="45"/>
      <c r="D280" s="45"/>
      <c r="E280" s="45"/>
      <c r="F280" s="45"/>
      <c r="G280" s="45"/>
      <c r="H280" s="45"/>
      <c r="I280" s="45"/>
      <c r="J280" s="45"/>
      <c r="K280" s="45"/>
      <c r="L280" s="45"/>
      <c r="M280" s="45"/>
      <c r="N280" s="44"/>
      <c r="O280" s="45"/>
      <c r="P280" s="45"/>
      <c r="Q280" s="45"/>
      <c r="R280" s="45"/>
      <c r="S280" s="45"/>
      <c r="T280" s="45"/>
      <c r="U280" s="45"/>
      <c r="V280" s="45"/>
      <c r="W280" s="45"/>
      <c r="X280" s="45"/>
      <c r="Y280" s="45"/>
      <c r="Z280" s="45"/>
    </row>
    <row r="281" spans="1:26">
      <c r="A281" s="45"/>
      <c r="B281" s="45"/>
      <c r="C281" s="45"/>
      <c r="D281" s="45"/>
      <c r="E281" s="45"/>
      <c r="F281" s="45"/>
      <c r="G281" s="45"/>
      <c r="H281" s="45"/>
      <c r="I281" s="45"/>
      <c r="J281" s="45"/>
      <c r="K281" s="45"/>
      <c r="L281" s="45"/>
      <c r="M281" s="45"/>
      <c r="N281" s="44"/>
      <c r="O281" s="45"/>
      <c r="P281" s="45"/>
      <c r="Q281" s="45"/>
      <c r="R281" s="45"/>
      <c r="S281" s="45"/>
      <c r="T281" s="45"/>
      <c r="U281" s="45"/>
      <c r="V281" s="45"/>
      <c r="W281" s="45"/>
      <c r="X281" s="45"/>
      <c r="Y281" s="45"/>
      <c r="Z281" s="45"/>
    </row>
    <row r="282" spans="1:26">
      <c r="A282" s="45"/>
      <c r="B282" s="45"/>
      <c r="C282" s="45"/>
      <c r="D282" s="45"/>
      <c r="E282" s="45"/>
      <c r="F282" s="45"/>
      <c r="G282" s="45"/>
      <c r="H282" s="45"/>
      <c r="I282" s="45"/>
      <c r="J282" s="45"/>
      <c r="K282" s="45"/>
      <c r="L282" s="45"/>
      <c r="M282" s="45"/>
      <c r="N282" s="44"/>
      <c r="O282" s="45"/>
      <c r="P282" s="45"/>
      <c r="Q282" s="45"/>
      <c r="R282" s="45"/>
      <c r="S282" s="45"/>
      <c r="T282" s="45"/>
      <c r="U282" s="45"/>
      <c r="V282" s="45"/>
      <c r="W282" s="45"/>
      <c r="X282" s="45"/>
      <c r="Y282" s="45"/>
      <c r="Z282" s="45"/>
    </row>
    <row r="283" spans="1:26">
      <c r="A283" s="45"/>
      <c r="B283" s="45"/>
      <c r="C283" s="45"/>
      <c r="D283" s="45"/>
      <c r="E283" s="45"/>
      <c r="F283" s="45"/>
      <c r="G283" s="45"/>
      <c r="H283" s="45"/>
      <c r="I283" s="45"/>
      <c r="J283" s="45"/>
      <c r="K283" s="45"/>
      <c r="L283" s="45"/>
      <c r="M283" s="45"/>
      <c r="N283" s="44"/>
      <c r="O283" s="45"/>
      <c r="P283" s="45"/>
      <c r="Q283" s="45"/>
      <c r="R283" s="45"/>
      <c r="S283" s="45"/>
      <c r="T283" s="45"/>
      <c r="U283" s="45"/>
      <c r="V283" s="45"/>
      <c r="W283" s="45"/>
      <c r="X283" s="45"/>
      <c r="Y283" s="45"/>
      <c r="Z283" s="45"/>
    </row>
    <row r="284" spans="1:26">
      <c r="A284" s="45"/>
      <c r="B284" s="45"/>
      <c r="C284" s="45"/>
      <c r="D284" s="45"/>
      <c r="E284" s="45"/>
      <c r="F284" s="45"/>
      <c r="G284" s="45"/>
      <c r="H284" s="45"/>
      <c r="I284" s="45"/>
      <c r="J284" s="45"/>
      <c r="K284" s="45"/>
      <c r="L284" s="45"/>
      <c r="M284" s="45"/>
      <c r="N284" s="44"/>
      <c r="O284" s="45"/>
      <c r="P284" s="45"/>
      <c r="Q284" s="45"/>
      <c r="R284" s="45"/>
      <c r="S284" s="45"/>
      <c r="T284" s="45"/>
      <c r="U284" s="45"/>
      <c r="V284" s="45"/>
      <c r="W284" s="45"/>
      <c r="X284" s="45"/>
      <c r="Y284" s="45"/>
      <c r="Z284" s="45"/>
    </row>
    <row r="285" spans="1:26">
      <c r="A285" s="45"/>
      <c r="B285" s="45"/>
      <c r="C285" s="45"/>
      <c r="D285" s="45"/>
      <c r="E285" s="45"/>
      <c r="F285" s="45"/>
      <c r="G285" s="45"/>
      <c r="H285" s="45"/>
      <c r="I285" s="45"/>
      <c r="J285" s="45"/>
      <c r="K285" s="45"/>
      <c r="L285" s="45"/>
      <c r="M285" s="45"/>
      <c r="N285" s="44"/>
      <c r="O285" s="45"/>
      <c r="P285" s="45"/>
      <c r="Q285" s="45"/>
      <c r="R285" s="45"/>
      <c r="S285" s="45"/>
      <c r="T285" s="45"/>
      <c r="U285" s="45"/>
      <c r="V285" s="45"/>
      <c r="W285" s="45"/>
      <c r="X285" s="45"/>
      <c r="Y285" s="45"/>
      <c r="Z285" s="45"/>
    </row>
    <row r="286" spans="1:26">
      <c r="A286" s="45"/>
      <c r="B286" s="45"/>
      <c r="C286" s="45"/>
      <c r="D286" s="45"/>
      <c r="E286" s="45"/>
      <c r="F286" s="45"/>
      <c r="G286" s="45"/>
      <c r="H286" s="45"/>
      <c r="I286" s="45"/>
      <c r="J286" s="45"/>
      <c r="K286" s="45"/>
      <c r="L286" s="45"/>
      <c r="M286" s="45"/>
      <c r="N286" s="44"/>
      <c r="O286" s="45"/>
      <c r="P286" s="45"/>
      <c r="Q286" s="45"/>
      <c r="R286" s="45"/>
      <c r="S286" s="45"/>
      <c r="T286" s="45"/>
      <c r="U286" s="45"/>
      <c r="V286" s="45"/>
      <c r="W286" s="45"/>
      <c r="X286" s="45"/>
      <c r="Y286" s="45"/>
      <c r="Z286" s="45"/>
    </row>
    <row r="287" spans="1:26">
      <c r="A287" s="45"/>
      <c r="B287" s="45"/>
      <c r="C287" s="45"/>
      <c r="D287" s="45"/>
      <c r="E287" s="45"/>
      <c r="F287" s="45"/>
      <c r="G287" s="45"/>
      <c r="H287" s="45"/>
      <c r="I287" s="45"/>
      <c r="J287" s="45"/>
      <c r="K287" s="45"/>
      <c r="L287" s="45"/>
      <c r="M287" s="45"/>
      <c r="N287" s="44"/>
      <c r="O287" s="45"/>
      <c r="P287" s="45"/>
      <c r="Q287" s="45"/>
      <c r="R287" s="45"/>
      <c r="S287" s="45"/>
      <c r="T287" s="45"/>
      <c r="U287" s="45"/>
      <c r="V287" s="45"/>
      <c r="W287" s="45"/>
      <c r="X287" s="45"/>
      <c r="Y287" s="45"/>
      <c r="Z287" s="45"/>
    </row>
    <row r="288" spans="1:26">
      <c r="A288" s="45"/>
      <c r="B288" s="45"/>
      <c r="C288" s="45"/>
      <c r="D288" s="45"/>
      <c r="E288" s="45"/>
      <c r="F288" s="45"/>
      <c r="G288" s="45"/>
      <c r="H288" s="45"/>
      <c r="I288" s="45"/>
      <c r="J288" s="45"/>
      <c r="K288" s="45"/>
      <c r="L288" s="45"/>
      <c r="M288" s="45"/>
      <c r="N288" s="44"/>
      <c r="O288" s="45"/>
      <c r="P288" s="45"/>
      <c r="Q288" s="45"/>
      <c r="R288" s="45"/>
      <c r="S288" s="45"/>
      <c r="T288" s="45"/>
      <c r="U288" s="45"/>
      <c r="V288" s="45"/>
      <c r="W288" s="45"/>
      <c r="X288" s="45"/>
      <c r="Y288" s="45"/>
      <c r="Z288" s="45"/>
    </row>
    <row r="289" spans="1:26">
      <c r="A289" s="45"/>
      <c r="B289" s="45"/>
      <c r="C289" s="45"/>
      <c r="D289" s="45"/>
      <c r="E289" s="45"/>
      <c r="F289" s="45"/>
      <c r="G289" s="45"/>
      <c r="H289" s="45"/>
      <c r="I289" s="45"/>
      <c r="J289" s="45"/>
      <c r="K289" s="45"/>
      <c r="L289" s="45"/>
      <c r="M289" s="45"/>
      <c r="N289" s="44"/>
      <c r="O289" s="45"/>
      <c r="P289" s="45"/>
      <c r="Q289" s="45"/>
      <c r="R289" s="45"/>
      <c r="S289" s="45"/>
      <c r="T289" s="45"/>
      <c r="U289" s="45"/>
      <c r="V289" s="45"/>
      <c r="W289" s="45"/>
      <c r="X289" s="45"/>
      <c r="Y289" s="45"/>
      <c r="Z289" s="45"/>
    </row>
    <row r="290" spans="1:26">
      <c r="A290" s="45"/>
      <c r="B290" s="45"/>
      <c r="C290" s="45"/>
      <c r="D290" s="45"/>
      <c r="E290" s="45"/>
      <c r="F290" s="45"/>
      <c r="G290" s="45"/>
      <c r="H290" s="45"/>
      <c r="I290" s="45"/>
      <c r="J290" s="45"/>
      <c r="K290" s="45"/>
      <c r="L290" s="45"/>
      <c r="M290" s="45"/>
      <c r="N290" s="44"/>
      <c r="O290" s="45"/>
      <c r="P290" s="45"/>
      <c r="Q290" s="45"/>
      <c r="R290" s="45"/>
      <c r="S290" s="45"/>
      <c r="T290" s="45"/>
      <c r="U290" s="45"/>
      <c r="V290" s="45"/>
      <c r="W290" s="45"/>
      <c r="X290" s="45"/>
      <c r="Y290" s="45"/>
      <c r="Z290" s="45"/>
    </row>
    <row r="291" spans="1:26">
      <c r="A291" s="45"/>
      <c r="B291" s="45"/>
      <c r="C291" s="45"/>
      <c r="D291" s="45"/>
      <c r="E291" s="45"/>
      <c r="F291" s="45"/>
      <c r="G291" s="45"/>
      <c r="H291" s="45"/>
      <c r="I291" s="45"/>
      <c r="J291" s="45"/>
      <c r="K291" s="45"/>
      <c r="L291" s="45"/>
      <c r="M291" s="45"/>
      <c r="N291" s="44"/>
      <c r="O291" s="45"/>
      <c r="P291" s="45"/>
      <c r="Q291" s="45"/>
      <c r="R291" s="45"/>
      <c r="S291" s="45"/>
      <c r="T291" s="45"/>
      <c r="U291" s="45"/>
      <c r="V291" s="45"/>
      <c r="W291" s="45"/>
      <c r="X291" s="45"/>
      <c r="Y291" s="45"/>
      <c r="Z291" s="45"/>
    </row>
    <row r="292" spans="1:26">
      <c r="A292" s="45"/>
      <c r="B292" s="45"/>
      <c r="C292" s="45"/>
      <c r="D292" s="45"/>
      <c r="E292" s="45"/>
      <c r="F292" s="45"/>
      <c r="G292" s="45"/>
      <c r="H292" s="45"/>
      <c r="I292" s="45"/>
      <c r="J292" s="45"/>
      <c r="K292" s="45"/>
      <c r="L292" s="45"/>
      <c r="M292" s="45"/>
      <c r="N292" s="44"/>
      <c r="O292" s="45"/>
      <c r="P292" s="45"/>
      <c r="Q292" s="45"/>
      <c r="R292" s="45"/>
      <c r="S292" s="45"/>
      <c r="T292" s="45"/>
      <c r="U292" s="45"/>
      <c r="V292" s="45"/>
      <c r="W292" s="45"/>
      <c r="X292" s="45"/>
      <c r="Y292" s="45"/>
      <c r="Z292" s="45"/>
    </row>
    <row r="293" spans="1:26">
      <c r="A293" s="45"/>
      <c r="B293" s="45"/>
      <c r="C293" s="45"/>
      <c r="D293" s="45"/>
      <c r="E293" s="45"/>
      <c r="F293" s="45"/>
      <c r="G293" s="45"/>
      <c r="H293" s="45"/>
      <c r="I293" s="45"/>
      <c r="J293" s="45"/>
      <c r="K293" s="45"/>
      <c r="L293" s="45"/>
      <c r="M293" s="45"/>
      <c r="N293" s="44"/>
      <c r="O293" s="45"/>
      <c r="P293" s="45"/>
      <c r="Q293" s="45"/>
      <c r="R293" s="45"/>
      <c r="S293" s="45"/>
      <c r="T293" s="45"/>
      <c r="U293" s="45"/>
      <c r="V293" s="45"/>
      <c r="W293" s="45"/>
      <c r="X293" s="45"/>
      <c r="Y293" s="45"/>
      <c r="Z293" s="45"/>
    </row>
    <row r="294" spans="1:26">
      <c r="A294" s="45"/>
      <c r="B294" s="45"/>
      <c r="C294" s="45"/>
      <c r="D294" s="45"/>
      <c r="E294" s="45"/>
      <c r="F294" s="45"/>
      <c r="G294" s="45"/>
      <c r="H294" s="45"/>
      <c r="I294" s="45"/>
      <c r="J294" s="45"/>
      <c r="K294" s="45"/>
      <c r="L294" s="45"/>
      <c r="M294" s="45"/>
      <c r="N294" s="44"/>
      <c r="O294" s="45"/>
      <c r="P294" s="45"/>
      <c r="Q294" s="45"/>
      <c r="R294" s="45"/>
      <c r="S294" s="45"/>
      <c r="T294" s="45"/>
      <c r="U294" s="45"/>
      <c r="V294" s="45"/>
      <c r="W294" s="45"/>
      <c r="X294" s="45"/>
      <c r="Y294" s="45"/>
      <c r="Z294" s="45"/>
    </row>
    <row r="295" spans="1:26">
      <c r="A295" s="45"/>
      <c r="B295" s="45"/>
      <c r="C295" s="45"/>
      <c r="D295" s="45"/>
      <c r="E295" s="45"/>
      <c r="F295" s="45"/>
      <c r="G295" s="45"/>
      <c r="H295" s="45"/>
      <c r="I295" s="45"/>
      <c r="J295" s="45"/>
      <c r="K295" s="45"/>
      <c r="L295" s="45"/>
      <c r="M295" s="45"/>
      <c r="N295" s="44"/>
      <c r="O295" s="45"/>
      <c r="P295" s="45"/>
      <c r="Q295" s="45"/>
      <c r="R295" s="45"/>
      <c r="S295" s="45"/>
      <c r="T295" s="45"/>
      <c r="U295" s="45"/>
      <c r="V295" s="45"/>
      <c r="W295" s="45"/>
      <c r="X295" s="45"/>
      <c r="Y295" s="45"/>
      <c r="Z295" s="45"/>
    </row>
    <row r="296" spans="1:26">
      <c r="A296" s="45"/>
      <c r="B296" s="45"/>
      <c r="C296" s="45"/>
      <c r="D296" s="45"/>
      <c r="E296" s="45"/>
      <c r="F296" s="45"/>
      <c r="G296" s="45"/>
      <c r="H296" s="45"/>
      <c r="I296" s="45"/>
      <c r="J296" s="45"/>
      <c r="K296" s="45"/>
      <c r="L296" s="45"/>
      <c r="M296" s="45"/>
      <c r="N296" s="44"/>
      <c r="O296" s="45"/>
      <c r="P296" s="45"/>
      <c r="Q296" s="45"/>
      <c r="R296" s="45"/>
      <c r="S296" s="45"/>
      <c r="T296" s="45"/>
      <c r="U296" s="45"/>
      <c r="V296" s="45"/>
      <c r="W296" s="45"/>
      <c r="X296" s="45"/>
      <c r="Y296" s="45"/>
      <c r="Z296" s="45"/>
    </row>
    <row r="297" spans="1:26">
      <c r="A297" s="45"/>
      <c r="B297" s="45"/>
      <c r="C297" s="45"/>
      <c r="D297" s="45"/>
      <c r="E297" s="45"/>
      <c r="F297" s="45"/>
      <c r="G297" s="45"/>
      <c r="H297" s="45"/>
      <c r="I297" s="45"/>
      <c r="J297" s="45"/>
      <c r="K297" s="45"/>
      <c r="L297" s="45"/>
      <c r="M297" s="45"/>
      <c r="N297" s="44"/>
      <c r="O297" s="45"/>
      <c r="P297" s="45"/>
      <c r="Q297" s="45"/>
      <c r="R297" s="45"/>
      <c r="S297" s="45"/>
      <c r="T297" s="45"/>
      <c r="U297" s="45"/>
      <c r="V297" s="45"/>
      <c r="W297" s="45"/>
      <c r="X297" s="45"/>
      <c r="Y297" s="45"/>
      <c r="Z297" s="45"/>
    </row>
    <row r="298" spans="1:26">
      <c r="A298" s="45"/>
      <c r="B298" s="45"/>
      <c r="C298" s="45"/>
      <c r="D298" s="45"/>
      <c r="E298" s="45"/>
      <c r="F298" s="45"/>
      <c r="G298" s="45"/>
      <c r="H298" s="45"/>
      <c r="I298" s="45"/>
      <c r="J298" s="45"/>
      <c r="K298" s="45"/>
      <c r="L298" s="45"/>
      <c r="M298" s="45"/>
      <c r="N298" s="44"/>
      <c r="O298" s="45"/>
      <c r="P298" s="45"/>
      <c r="Q298" s="45"/>
      <c r="R298" s="45"/>
      <c r="S298" s="45"/>
      <c r="T298" s="45"/>
      <c r="U298" s="45"/>
      <c r="V298" s="45"/>
      <c r="W298" s="45"/>
      <c r="X298" s="45"/>
      <c r="Y298" s="45"/>
      <c r="Z298" s="45"/>
    </row>
    <row r="299" spans="1:26">
      <c r="A299" s="45"/>
      <c r="B299" s="45"/>
      <c r="C299" s="45"/>
      <c r="D299" s="45"/>
      <c r="E299" s="45"/>
      <c r="F299" s="45"/>
      <c r="G299" s="45"/>
      <c r="H299" s="45"/>
      <c r="I299" s="45"/>
      <c r="J299" s="45"/>
      <c r="K299" s="45"/>
      <c r="L299" s="45"/>
      <c r="M299" s="45"/>
      <c r="N299" s="44"/>
      <c r="O299" s="45"/>
      <c r="P299" s="45"/>
      <c r="Q299" s="45"/>
      <c r="R299" s="45"/>
      <c r="S299" s="45"/>
      <c r="T299" s="45"/>
      <c r="U299" s="45"/>
      <c r="V299" s="45"/>
      <c r="W299" s="45"/>
      <c r="X299" s="45"/>
      <c r="Y299" s="45"/>
      <c r="Z299" s="45"/>
    </row>
    <row r="300" spans="1:26">
      <c r="A300" s="45"/>
      <c r="B300" s="45"/>
      <c r="C300" s="45"/>
      <c r="D300" s="45"/>
      <c r="E300" s="45"/>
      <c r="F300" s="45"/>
      <c r="G300" s="45"/>
      <c r="H300" s="45"/>
      <c r="I300" s="45"/>
      <c r="J300" s="45"/>
      <c r="K300" s="45"/>
      <c r="L300" s="45"/>
      <c r="M300" s="45"/>
      <c r="N300" s="44"/>
      <c r="O300" s="45"/>
      <c r="P300" s="45"/>
      <c r="Q300" s="45"/>
      <c r="R300" s="45"/>
      <c r="S300" s="45"/>
      <c r="T300" s="45"/>
      <c r="U300" s="45"/>
      <c r="V300" s="45"/>
      <c r="W300" s="45"/>
      <c r="X300" s="45"/>
      <c r="Y300" s="45"/>
      <c r="Z300" s="45"/>
    </row>
    <row r="301" spans="1:26">
      <c r="A301" s="45"/>
      <c r="B301" s="45"/>
      <c r="C301" s="45"/>
      <c r="D301" s="45"/>
      <c r="E301" s="45"/>
      <c r="F301" s="45"/>
      <c r="G301" s="45"/>
      <c r="H301" s="45"/>
      <c r="I301" s="45"/>
      <c r="J301" s="45"/>
      <c r="K301" s="45"/>
      <c r="L301" s="45"/>
      <c r="M301" s="45"/>
      <c r="N301" s="44"/>
      <c r="O301" s="45"/>
      <c r="P301" s="45"/>
      <c r="Q301" s="45"/>
      <c r="R301" s="45"/>
      <c r="S301" s="45"/>
      <c r="T301" s="45"/>
      <c r="U301" s="45"/>
      <c r="V301" s="45"/>
      <c r="W301" s="45"/>
      <c r="X301" s="45"/>
      <c r="Y301" s="45"/>
      <c r="Z301" s="45"/>
    </row>
    <row r="302" spans="1:26">
      <c r="A302" s="45"/>
      <c r="B302" s="45"/>
      <c r="C302" s="45"/>
      <c r="D302" s="45"/>
      <c r="E302" s="45"/>
      <c r="F302" s="45"/>
      <c r="G302" s="45"/>
      <c r="H302" s="45"/>
      <c r="I302" s="45"/>
      <c r="J302" s="45"/>
      <c r="K302" s="45"/>
      <c r="L302" s="45"/>
      <c r="M302" s="45"/>
      <c r="N302" s="44"/>
      <c r="O302" s="45"/>
      <c r="P302" s="45"/>
      <c r="Q302" s="45"/>
      <c r="R302" s="45"/>
      <c r="S302" s="45"/>
      <c r="T302" s="45"/>
      <c r="U302" s="45"/>
      <c r="V302" s="45"/>
      <c r="W302" s="45"/>
      <c r="X302" s="45"/>
      <c r="Y302" s="45"/>
      <c r="Z302" s="45"/>
    </row>
    <row r="303" spans="1:26">
      <c r="A303" s="45"/>
      <c r="B303" s="45"/>
      <c r="C303" s="45"/>
      <c r="D303" s="45"/>
      <c r="E303" s="45"/>
      <c r="F303" s="45"/>
      <c r="G303" s="45"/>
      <c r="H303" s="45"/>
      <c r="I303" s="45"/>
      <c r="J303" s="45"/>
      <c r="K303" s="45"/>
      <c r="L303" s="45"/>
      <c r="M303" s="45"/>
      <c r="N303" s="44"/>
      <c r="O303" s="45"/>
      <c r="P303" s="45"/>
      <c r="Q303" s="45"/>
      <c r="R303" s="45"/>
      <c r="S303" s="45"/>
      <c r="T303" s="45"/>
      <c r="U303" s="45"/>
      <c r="V303" s="45"/>
      <c r="W303" s="45"/>
      <c r="X303" s="45"/>
      <c r="Y303" s="45"/>
      <c r="Z303" s="45"/>
    </row>
    <row r="304" spans="1:26">
      <c r="A304" s="45"/>
      <c r="B304" s="45"/>
      <c r="C304" s="45"/>
      <c r="D304" s="45"/>
      <c r="E304" s="45"/>
      <c r="F304" s="45"/>
      <c r="G304" s="45"/>
      <c r="H304" s="45"/>
      <c r="I304" s="45"/>
      <c r="J304" s="45"/>
      <c r="K304" s="45"/>
      <c r="L304" s="45"/>
      <c r="M304" s="45"/>
      <c r="N304" s="44"/>
      <c r="O304" s="45"/>
      <c r="P304" s="45"/>
      <c r="Q304" s="45"/>
      <c r="R304" s="45"/>
      <c r="S304" s="45"/>
      <c r="T304" s="45"/>
      <c r="U304" s="45"/>
      <c r="V304" s="45"/>
      <c r="W304" s="45"/>
      <c r="X304" s="45"/>
      <c r="Y304" s="45"/>
      <c r="Z304" s="45"/>
    </row>
    <row r="305" spans="1:26">
      <c r="A305" s="45"/>
      <c r="B305" s="45"/>
      <c r="C305" s="45"/>
      <c r="D305" s="45"/>
      <c r="E305" s="45"/>
      <c r="F305" s="45"/>
      <c r="G305" s="45"/>
      <c r="H305" s="45"/>
      <c r="I305" s="45"/>
      <c r="J305" s="45"/>
      <c r="K305" s="45"/>
      <c r="L305" s="45"/>
      <c r="M305" s="45"/>
      <c r="N305" s="44"/>
      <c r="O305" s="45"/>
      <c r="P305" s="45"/>
      <c r="Q305" s="45"/>
      <c r="R305" s="45"/>
      <c r="S305" s="45"/>
      <c r="T305" s="45"/>
      <c r="U305" s="45"/>
      <c r="V305" s="45"/>
      <c r="W305" s="45"/>
      <c r="X305" s="45"/>
      <c r="Y305" s="45"/>
      <c r="Z305" s="45"/>
    </row>
    <row r="306" spans="1:26">
      <c r="A306" s="45"/>
      <c r="B306" s="45"/>
      <c r="C306" s="45"/>
      <c r="D306" s="45"/>
      <c r="E306" s="45"/>
      <c r="F306" s="45"/>
      <c r="G306" s="45"/>
      <c r="H306" s="45"/>
      <c r="I306" s="45"/>
      <c r="J306" s="45"/>
      <c r="K306" s="45"/>
      <c r="L306" s="45"/>
      <c r="M306" s="45"/>
      <c r="N306" s="44"/>
      <c r="O306" s="45"/>
      <c r="P306" s="45"/>
      <c r="Q306" s="45"/>
      <c r="R306" s="45"/>
      <c r="S306" s="45"/>
      <c r="T306" s="45"/>
      <c r="U306" s="45"/>
      <c r="V306" s="45"/>
      <c r="W306" s="45"/>
      <c r="X306" s="45"/>
      <c r="Y306" s="45"/>
      <c r="Z306" s="45"/>
    </row>
    <row r="307" spans="1:26">
      <c r="A307" s="45"/>
      <c r="B307" s="45"/>
      <c r="C307" s="45"/>
      <c r="D307" s="45"/>
      <c r="E307" s="45"/>
      <c r="F307" s="45"/>
      <c r="G307" s="45"/>
      <c r="H307" s="45"/>
      <c r="I307" s="45"/>
      <c r="J307" s="45"/>
      <c r="K307" s="45"/>
      <c r="L307" s="45"/>
      <c r="M307" s="45"/>
      <c r="N307" s="44"/>
      <c r="O307" s="45"/>
      <c r="P307" s="45"/>
      <c r="Q307" s="45"/>
      <c r="R307" s="45"/>
      <c r="S307" s="45"/>
      <c r="T307" s="45"/>
      <c r="U307" s="45"/>
      <c r="V307" s="45"/>
      <c r="W307" s="45"/>
      <c r="X307" s="45"/>
      <c r="Y307" s="45"/>
      <c r="Z307" s="45"/>
    </row>
    <row r="308" spans="1:26">
      <c r="A308" s="45"/>
      <c r="B308" s="45"/>
      <c r="C308" s="45"/>
      <c r="D308" s="45"/>
      <c r="E308" s="45"/>
      <c r="F308" s="45"/>
      <c r="G308" s="45"/>
      <c r="H308" s="45"/>
      <c r="I308" s="45"/>
      <c r="J308" s="45"/>
      <c r="K308" s="45"/>
      <c r="L308" s="45"/>
      <c r="M308" s="45"/>
      <c r="N308" s="44"/>
      <c r="O308" s="45"/>
      <c r="P308" s="45"/>
      <c r="Q308" s="45"/>
      <c r="R308" s="45"/>
      <c r="S308" s="45"/>
      <c r="T308" s="45"/>
      <c r="U308" s="45"/>
      <c r="V308" s="45"/>
      <c r="W308" s="45"/>
      <c r="X308" s="45"/>
      <c r="Y308" s="45"/>
      <c r="Z308" s="45"/>
    </row>
    <row r="309" spans="1:26">
      <c r="A309" s="45"/>
      <c r="B309" s="45"/>
      <c r="C309" s="45"/>
      <c r="D309" s="45"/>
      <c r="E309" s="45"/>
      <c r="F309" s="45"/>
      <c r="G309" s="45"/>
      <c r="H309" s="45"/>
      <c r="I309" s="45"/>
      <c r="J309" s="45"/>
      <c r="K309" s="45"/>
      <c r="L309" s="45"/>
      <c r="M309" s="45"/>
      <c r="N309" s="44"/>
      <c r="O309" s="45"/>
      <c r="P309" s="45"/>
      <c r="Q309" s="45"/>
      <c r="R309" s="45"/>
      <c r="S309" s="45"/>
      <c r="T309" s="45"/>
      <c r="U309" s="45"/>
      <c r="V309" s="45"/>
      <c r="W309" s="45"/>
      <c r="X309" s="45"/>
      <c r="Y309" s="45"/>
      <c r="Z309" s="45"/>
    </row>
    <row r="310" spans="1:26">
      <c r="A310" s="45"/>
      <c r="B310" s="45"/>
      <c r="C310" s="45"/>
      <c r="D310" s="45"/>
      <c r="E310" s="45"/>
      <c r="F310" s="45"/>
      <c r="G310" s="45"/>
      <c r="H310" s="45"/>
      <c r="I310" s="45"/>
      <c r="J310" s="45"/>
      <c r="K310" s="45"/>
      <c r="L310" s="45"/>
      <c r="M310" s="45"/>
      <c r="N310" s="44"/>
      <c r="O310" s="45"/>
      <c r="P310" s="45"/>
      <c r="Q310" s="45"/>
      <c r="R310" s="45"/>
      <c r="S310" s="45"/>
      <c r="T310" s="45"/>
      <c r="U310" s="45"/>
      <c r="V310" s="45"/>
      <c r="W310" s="45"/>
      <c r="X310" s="45"/>
      <c r="Y310" s="45"/>
      <c r="Z310" s="45"/>
    </row>
    <row r="311" spans="1:26">
      <c r="A311" s="45"/>
      <c r="B311" s="45"/>
      <c r="C311" s="45"/>
      <c r="D311" s="45"/>
      <c r="E311" s="45"/>
      <c r="F311" s="45"/>
      <c r="G311" s="45"/>
      <c r="H311" s="45"/>
      <c r="I311" s="45"/>
      <c r="J311" s="45"/>
      <c r="K311" s="45"/>
      <c r="L311" s="45"/>
      <c r="M311" s="45"/>
      <c r="N311" s="44"/>
      <c r="O311" s="45"/>
      <c r="P311" s="45"/>
      <c r="Q311" s="45"/>
      <c r="R311" s="45"/>
      <c r="S311" s="45"/>
      <c r="T311" s="45"/>
      <c r="U311" s="45"/>
      <c r="V311" s="45"/>
      <c r="W311" s="45"/>
      <c r="X311" s="45"/>
      <c r="Y311" s="45"/>
      <c r="Z311" s="45"/>
    </row>
    <row r="312" spans="1:26">
      <c r="A312" s="45"/>
      <c r="B312" s="45"/>
      <c r="C312" s="45"/>
      <c r="D312" s="45"/>
      <c r="E312" s="45"/>
      <c r="F312" s="45"/>
      <c r="G312" s="45"/>
      <c r="H312" s="45"/>
      <c r="I312" s="45"/>
      <c r="J312" s="45"/>
      <c r="K312" s="45"/>
      <c r="L312" s="45"/>
      <c r="M312" s="45"/>
      <c r="N312" s="44"/>
      <c r="O312" s="45"/>
      <c r="P312" s="45"/>
      <c r="Q312" s="45"/>
      <c r="R312" s="45"/>
      <c r="S312" s="45"/>
      <c r="T312" s="45"/>
      <c r="U312" s="45"/>
      <c r="V312" s="45"/>
      <c r="W312" s="45"/>
      <c r="X312" s="45"/>
      <c r="Y312" s="45"/>
      <c r="Z312" s="45"/>
    </row>
    <row r="313" spans="1:26">
      <c r="A313" s="45"/>
      <c r="B313" s="45"/>
      <c r="C313" s="45"/>
      <c r="D313" s="45"/>
      <c r="E313" s="45"/>
      <c r="F313" s="45"/>
      <c r="G313" s="45"/>
      <c r="H313" s="45"/>
      <c r="I313" s="45"/>
      <c r="J313" s="45"/>
      <c r="K313" s="45"/>
      <c r="L313" s="45"/>
      <c r="M313" s="45"/>
      <c r="N313" s="44"/>
      <c r="O313" s="45"/>
      <c r="P313" s="45"/>
      <c r="Q313" s="45"/>
      <c r="R313" s="45"/>
      <c r="S313" s="45"/>
      <c r="T313" s="45"/>
      <c r="U313" s="45"/>
      <c r="V313" s="45"/>
      <c r="W313" s="45"/>
      <c r="X313" s="45"/>
      <c r="Y313" s="45"/>
      <c r="Z313" s="45"/>
    </row>
    <row r="314" spans="1:26">
      <c r="A314" s="45"/>
      <c r="B314" s="45"/>
      <c r="C314" s="45"/>
      <c r="D314" s="45"/>
      <c r="E314" s="45"/>
      <c r="F314" s="45"/>
      <c r="G314" s="45"/>
      <c r="H314" s="45"/>
      <c r="I314" s="45"/>
      <c r="J314" s="45"/>
      <c r="K314" s="45"/>
      <c r="L314" s="45"/>
      <c r="M314" s="45"/>
      <c r="N314" s="44"/>
      <c r="O314" s="45"/>
      <c r="P314" s="45"/>
      <c r="Q314" s="45"/>
      <c r="R314" s="45"/>
      <c r="S314" s="45"/>
      <c r="T314" s="45"/>
      <c r="U314" s="45"/>
      <c r="V314" s="45"/>
      <c r="W314" s="45"/>
      <c r="X314" s="45"/>
      <c r="Y314" s="45"/>
      <c r="Z314" s="45"/>
    </row>
    <row r="315" spans="1:26">
      <c r="A315" s="45"/>
      <c r="B315" s="45"/>
      <c r="C315" s="45"/>
      <c r="D315" s="45"/>
      <c r="E315" s="45"/>
      <c r="F315" s="45"/>
      <c r="G315" s="45"/>
      <c r="H315" s="45"/>
      <c r="I315" s="45"/>
      <c r="J315" s="45"/>
      <c r="K315" s="45"/>
      <c r="L315" s="45"/>
      <c r="M315" s="45"/>
      <c r="N315" s="44"/>
      <c r="O315" s="45"/>
      <c r="P315" s="45"/>
      <c r="Q315" s="45"/>
      <c r="R315" s="45"/>
      <c r="S315" s="45"/>
      <c r="T315" s="45"/>
      <c r="U315" s="45"/>
      <c r="V315" s="45"/>
      <c r="W315" s="45"/>
      <c r="X315" s="45"/>
      <c r="Y315" s="45"/>
      <c r="Z315" s="45"/>
    </row>
    <row r="316" spans="1:26">
      <c r="A316" s="45"/>
      <c r="B316" s="45"/>
      <c r="C316" s="45"/>
      <c r="D316" s="45"/>
      <c r="E316" s="45"/>
      <c r="F316" s="45"/>
      <c r="G316" s="45"/>
      <c r="H316" s="45"/>
      <c r="I316" s="45"/>
      <c r="J316" s="45"/>
      <c r="K316" s="45"/>
      <c r="L316" s="45"/>
      <c r="M316" s="45"/>
      <c r="N316" s="44"/>
      <c r="O316" s="45"/>
      <c r="P316" s="45"/>
      <c r="Q316" s="45"/>
      <c r="R316" s="45"/>
      <c r="S316" s="45"/>
      <c r="T316" s="45"/>
      <c r="U316" s="45"/>
      <c r="V316" s="45"/>
      <c r="W316" s="45"/>
      <c r="X316" s="45"/>
      <c r="Y316" s="45"/>
      <c r="Z316" s="45"/>
    </row>
    <row r="317" spans="1:26">
      <c r="A317" s="45"/>
      <c r="B317" s="45"/>
      <c r="C317" s="45"/>
      <c r="D317" s="45"/>
      <c r="E317" s="45"/>
      <c r="F317" s="45"/>
      <c r="G317" s="45"/>
      <c r="H317" s="45"/>
      <c r="I317" s="45"/>
      <c r="J317" s="45"/>
      <c r="K317" s="45"/>
      <c r="L317" s="45"/>
      <c r="M317" s="45"/>
      <c r="N317" s="44"/>
      <c r="O317" s="45"/>
      <c r="P317" s="45"/>
      <c r="Q317" s="45"/>
      <c r="R317" s="45"/>
      <c r="S317" s="45"/>
      <c r="T317" s="45"/>
      <c r="U317" s="45"/>
      <c r="V317" s="45"/>
      <c r="W317" s="45"/>
      <c r="X317" s="45"/>
      <c r="Y317" s="45"/>
      <c r="Z317" s="45"/>
    </row>
    <row r="318" spans="1:26">
      <c r="A318" s="45"/>
      <c r="B318" s="45"/>
      <c r="C318" s="45"/>
      <c r="D318" s="45"/>
      <c r="E318" s="45"/>
      <c r="F318" s="45"/>
      <c r="G318" s="45"/>
      <c r="H318" s="45"/>
      <c r="I318" s="45"/>
      <c r="J318" s="45"/>
      <c r="K318" s="45"/>
      <c r="L318" s="45"/>
      <c r="M318" s="45"/>
      <c r="N318" s="44"/>
      <c r="O318" s="45"/>
      <c r="P318" s="45"/>
      <c r="Q318" s="45"/>
      <c r="R318" s="45"/>
      <c r="S318" s="45"/>
      <c r="T318" s="45"/>
      <c r="U318" s="45"/>
      <c r="V318" s="45"/>
      <c r="W318" s="45"/>
      <c r="X318" s="45"/>
      <c r="Y318" s="45"/>
      <c r="Z318" s="45"/>
    </row>
    <row r="319" spans="1:26">
      <c r="A319" s="45"/>
      <c r="B319" s="45"/>
      <c r="C319" s="45"/>
      <c r="D319" s="45"/>
      <c r="E319" s="45"/>
      <c r="F319" s="45"/>
      <c r="G319" s="45"/>
      <c r="H319" s="45"/>
      <c r="I319" s="45"/>
      <c r="J319" s="45"/>
      <c r="K319" s="45"/>
      <c r="L319" s="45"/>
      <c r="M319" s="45"/>
      <c r="N319" s="44"/>
      <c r="O319" s="45"/>
      <c r="P319" s="45"/>
      <c r="Q319" s="45"/>
      <c r="R319" s="45"/>
      <c r="S319" s="45"/>
      <c r="T319" s="45"/>
      <c r="U319" s="45"/>
      <c r="V319" s="45"/>
      <c r="W319" s="45"/>
      <c r="X319" s="45"/>
      <c r="Y319" s="45"/>
      <c r="Z319" s="45"/>
    </row>
    <row r="320" spans="1:26">
      <c r="A320" s="45"/>
      <c r="B320" s="45"/>
      <c r="C320" s="45"/>
      <c r="D320" s="45"/>
      <c r="E320" s="45"/>
      <c r="F320" s="45"/>
      <c r="G320" s="45"/>
      <c r="H320" s="45"/>
      <c r="I320" s="45"/>
      <c r="J320" s="45"/>
      <c r="K320" s="45"/>
      <c r="L320" s="45"/>
      <c r="M320" s="45"/>
      <c r="N320" s="44"/>
      <c r="O320" s="45"/>
      <c r="P320" s="45"/>
      <c r="Q320" s="45"/>
      <c r="R320" s="45"/>
      <c r="S320" s="45"/>
      <c r="T320" s="45"/>
      <c r="U320" s="45"/>
      <c r="V320" s="45"/>
      <c r="W320" s="45"/>
      <c r="X320" s="45"/>
      <c r="Y320" s="45"/>
      <c r="Z320" s="45"/>
    </row>
    <row r="321" spans="1:26">
      <c r="A321" s="45"/>
      <c r="B321" s="45"/>
      <c r="C321" s="45"/>
      <c r="D321" s="45"/>
      <c r="E321" s="45"/>
      <c r="F321" s="45"/>
      <c r="G321" s="45"/>
      <c r="H321" s="45"/>
      <c r="I321" s="45"/>
      <c r="J321" s="45"/>
      <c r="K321" s="45"/>
      <c r="L321" s="45"/>
      <c r="M321" s="45"/>
      <c r="N321" s="44"/>
      <c r="O321" s="45"/>
      <c r="P321" s="45"/>
      <c r="Q321" s="45"/>
      <c r="R321" s="45"/>
      <c r="S321" s="45"/>
      <c r="T321" s="45"/>
      <c r="U321" s="45"/>
      <c r="V321" s="45"/>
      <c r="W321" s="45"/>
      <c r="X321" s="45"/>
      <c r="Y321" s="45"/>
      <c r="Z321" s="45"/>
    </row>
    <row r="322" spans="1:26">
      <c r="A322" s="45"/>
      <c r="B322" s="45"/>
      <c r="C322" s="45"/>
      <c r="D322" s="45"/>
      <c r="E322" s="45"/>
      <c r="F322" s="45"/>
      <c r="G322" s="45"/>
      <c r="H322" s="45"/>
      <c r="I322" s="45"/>
      <c r="J322" s="45"/>
      <c r="K322" s="45"/>
      <c r="L322" s="45"/>
      <c r="M322" s="45"/>
      <c r="N322" s="44"/>
      <c r="O322" s="45"/>
      <c r="P322" s="45"/>
      <c r="Q322" s="45"/>
      <c r="R322" s="45"/>
      <c r="S322" s="45"/>
      <c r="T322" s="45"/>
      <c r="U322" s="45"/>
      <c r="V322" s="45"/>
      <c r="W322" s="45"/>
      <c r="X322" s="45"/>
      <c r="Y322" s="45"/>
      <c r="Z322" s="45"/>
    </row>
    <row r="323" spans="1:26">
      <c r="A323" s="45"/>
      <c r="B323" s="45"/>
      <c r="C323" s="45"/>
      <c r="D323" s="45"/>
      <c r="E323" s="45"/>
      <c r="F323" s="45"/>
      <c r="G323" s="45"/>
      <c r="H323" s="45"/>
      <c r="I323" s="45"/>
      <c r="J323" s="45"/>
      <c r="K323" s="45"/>
      <c r="L323" s="45"/>
      <c r="M323" s="45"/>
      <c r="N323" s="44"/>
      <c r="O323" s="45"/>
      <c r="P323" s="45"/>
      <c r="Q323" s="45"/>
      <c r="R323" s="45"/>
      <c r="S323" s="45"/>
      <c r="T323" s="45"/>
      <c r="U323" s="45"/>
      <c r="V323" s="45"/>
      <c r="W323" s="45"/>
      <c r="X323" s="45"/>
      <c r="Y323" s="45"/>
      <c r="Z323" s="45"/>
    </row>
    <row r="324" spans="1:26">
      <c r="A324" s="45"/>
      <c r="B324" s="45"/>
      <c r="C324" s="45"/>
      <c r="D324" s="45"/>
      <c r="E324" s="45"/>
      <c r="F324" s="45"/>
      <c r="G324" s="45"/>
      <c r="H324" s="45"/>
      <c r="I324" s="45"/>
      <c r="J324" s="45"/>
      <c r="K324" s="45"/>
      <c r="L324" s="45"/>
      <c r="M324" s="45"/>
      <c r="N324" s="44"/>
      <c r="O324" s="45"/>
      <c r="P324" s="45"/>
      <c r="Q324" s="45"/>
      <c r="R324" s="45"/>
      <c r="S324" s="45"/>
      <c r="T324" s="45"/>
      <c r="U324" s="45"/>
      <c r="V324" s="45"/>
      <c r="W324" s="45"/>
      <c r="X324" s="45"/>
      <c r="Y324" s="45"/>
      <c r="Z324" s="45"/>
    </row>
    <row r="325" spans="1:26">
      <c r="A325" s="45"/>
      <c r="B325" s="45"/>
      <c r="C325" s="45"/>
      <c r="D325" s="45"/>
      <c r="E325" s="45"/>
      <c r="F325" s="45"/>
      <c r="G325" s="45"/>
      <c r="H325" s="45"/>
      <c r="I325" s="45"/>
      <c r="J325" s="45"/>
      <c r="K325" s="45"/>
      <c r="L325" s="45"/>
      <c r="M325" s="45"/>
      <c r="N325" s="44"/>
      <c r="O325" s="45"/>
      <c r="P325" s="45"/>
      <c r="Q325" s="45"/>
      <c r="R325" s="45"/>
      <c r="S325" s="45"/>
      <c r="T325" s="45"/>
      <c r="U325" s="45"/>
      <c r="V325" s="45"/>
      <c r="W325" s="45"/>
      <c r="X325" s="45"/>
      <c r="Y325" s="45"/>
      <c r="Z325" s="45"/>
    </row>
    <row r="326" spans="1:26">
      <c r="A326" s="45"/>
      <c r="B326" s="45"/>
      <c r="C326" s="45"/>
      <c r="D326" s="45"/>
      <c r="E326" s="45"/>
      <c r="F326" s="45"/>
      <c r="G326" s="45"/>
      <c r="H326" s="45"/>
      <c r="I326" s="45"/>
      <c r="J326" s="45"/>
      <c r="K326" s="45"/>
      <c r="L326" s="45"/>
      <c r="M326" s="45"/>
      <c r="N326" s="44"/>
      <c r="O326" s="45"/>
      <c r="P326" s="45"/>
      <c r="Q326" s="45"/>
      <c r="R326" s="45"/>
      <c r="S326" s="45"/>
      <c r="T326" s="45"/>
      <c r="U326" s="45"/>
      <c r="V326" s="45"/>
      <c r="W326" s="45"/>
      <c r="X326" s="45"/>
      <c r="Y326" s="45"/>
      <c r="Z326" s="45"/>
    </row>
    <row r="327" spans="1:26">
      <c r="A327" s="45"/>
      <c r="B327" s="45"/>
      <c r="C327" s="45"/>
      <c r="D327" s="45"/>
      <c r="E327" s="45"/>
      <c r="F327" s="45"/>
      <c r="G327" s="45"/>
      <c r="H327" s="45"/>
      <c r="I327" s="45"/>
      <c r="J327" s="45"/>
      <c r="K327" s="45"/>
      <c r="L327" s="45"/>
      <c r="M327" s="45"/>
      <c r="N327" s="44"/>
      <c r="O327" s="45"/>
      <c r="P327" s="45"/>
      <c r="Q327" s="45"/>
      <c r="R327" s="45"/>
      <c r="S327" s="45"/>
      <c r="T327" s="45"/>
      <c r="U327" s="45"/>
      <c r="V327" s="45"/>
      <c r="W327" s="45"/>
      <c r="X327" s="45"/>
      <c r="Y327" s="45"/>
      <c r="Z327" s="45"/>
    </row>
    <row r="328" spans="1:26">
      <c r="A328" s="45"/>
      <c r="B328" s="45"/>
      <c r="C328" s="45"/>
      <c r="D328" s="45"/>
      <c r="E328" s="45"/>
      <c r="F328" s="45"/>
      <c r="G328" s="45"/>
      <c r="H328" s="45"/>
      <c r="I328" s="45"/>
      <c r="J328" s="45"/>
      <c r="K328" s="45"/>
      <c r="L328" s="45"/>
      <c r="M328" s="45"/>
      <c r="N328" s="44"/>
      <c r="O328" s="45"/>
      <c r="P328" s="45"/>
      <c r="Q328" s="45"/>
      <c r="R328" s="45"/>
      <c r="S328" s="45"/>
      <c r="T328" s="45"/>
      <c r="U328" s="45"/>
      <c r="V328" s="45"/>
      <c r="W328" s="45"/>
      <c r="X328" s="45"/>
      <c r="Y328" s="45"/>
      <c r="Z328" s="45"/>
    </row>
    <row r="329" spans="1:26">
      <c r="A329" s="45"/>
      <c r="B329" s="45"/>
      <c r="C329" s="45"/>
      <c r="D329" s="45"/>
      <c r="E329" s="45"/>
      <c r="F329" s="45"/>
      <c r="G329" s="45"/>
      <c r="H329" s="45"/>
      <c r="I329" s="45"/>
      <c r="J329" s="45"/>
      <c r="K329" s="45"/>
      <c r="L329" s="45"/>
      <c r="M329" s="45"/>
      <c r="N329" s="44"/>
      <c r="O329" s="45"/>
      <c r="P329" s="45"/>
      <c r="Q329" s="45"/>
      <c r="R329" s="45"/>
      <c r="S329" s="45"/>
      <c r="T329" s="45"/>
      <c r="U329" s="45"/>
      <c r="V329" s="45"/>
      <c r="W329" s="45"/>
      <c r="X329" s="45"/>
      <c r="Y329" s="45"/>
      <c r="Z329" s="45"/>
    </row>
    <row r="330" spans="1:26">
      <c r="A330" s="45"/>
      <c r="B330" s="45"/>
      <c r="C330" s="45"/>
      <c r="D330" s="45"/>
      <c r="E330" s="45"/>
      <c r="F330" s="45"/>
      <c r="G330" s="45"/>
      <c r="H330" s="45"/>
      <c r="I330" s="45"/>
      <c r="J330" s="45"/>
      <c r="K330" s="45"/>
      <c r="L330" s="45"/>
      <c r="M330" s="45"/>
      <c r="N330" s="44"/>
      <c r="O330" s="45"/>
      <c r="P330" s="45"/>
      <c r="Q330" s="45"/>
      <c r="R330" s="45"/>
      <c r="S330" s="45"/>
      <c r="T330" s="45"/>
      <c r="U330" s="45"/>
      <c r="V330" s="45"/>
      <c r="W330" s="45"/>
      <c r="X330" s="45"/>
      <c r="Y330" s="45"/>
      <c r="Z330" s="45"/>
    </row>
    <row r="331" spans="1:26">
      <c r="A331" s="45"/>
      <c r="B331" s="45"/>
      <c r="C331" s="45"/>
      <c r="D331" s="45"/>
      <c r="E331" s="45"/>
      <c r="F331" s="45"/>
      <c r="G331" s="45"/>
      <c r="H331" s="45"/>
      <c r="I331" s="45"/>
      <c r="J331" s="45"/>
      <c r="K331" s="45"/>
      <c r="L331" s="45"/>
      <c r="M331" s="45"/>
      <c r="N331" s="44"/>
      <c r="O331" s="45"/>
      <c r="P331" s="45"/>
      <c r="Q331" s="45"/>
      <c r="R331" s="45"/>
      <c r="S331" s="45"/>
      <c r="T331" s="45"/>
      <c r="U331" s="45"/>
      <c r="V331" s="45"/>
      <c r="W331" s="45"/>
      <c r="X331" s="45"/>
      <c r="Y331" s="45"/>
      <c r="Z331" s="45"/>
    </row>
    <row r="332" spans="1:26">
      <c r="A332" s="45"/>
      <c r="B332" s="45"/>
      <c r="C332" s="45"/>
      <c r="D332" s="45"/>
      <c r="E332" s="45"/>
      <c r="F332" s="45"/>
      <c r="G332" s="45"/>
      <c r="H332" s="45"/>
      <c r="I332" s="45"/>
      <c r="J332" s="45"/>
      <c r="K332" s="45"/>
      <c r="L332" s="45"/>
      <c r="M332" s="45"/>
      <c r="N332" s="44"/>
      <c r="O332" s="45"/>
      <c r="P332" s="45"/>
      <c r="Q332" s="45"/>
      <c r="R332" s="45"/>
      <c r="S332" s="45"/>
      <c r="T332" s="45"/>
      <c r="U332" s="45"/>
      <c r="V332" s="45"/>
      <c r="W332" s="45"/>
      <c r="X332" s="45"/>
      <c r="Y332" s="45"/>
      <c r="Z332" s="45"/>
    </row>
    <row r="333" spans="1:26">
      <c r="A333" s="45"/>
      <c r="B333" s="45"/>
      <c r="C333" s="45"/>
      <c r="D333" s="45"/>
      <c r="E333" s="45"/>
      <c r="F333" s="45"/>
      <c r="G333" s="45"/>
      <c r="H333" s="45"/>
      <c r="I333" s="45"/>
      <c r="J333" s="45"/>
      <c r="K333" s="45"/>
      <c r="L333" s="45"/>
      <c r="M333" s="45"/>
      <c r="N333" s="44"/>
      <c r="O333" s="45"/>
      <c r="P333" s="45"/>
      <c r="Q333" s="45"/>
      <c r="R333" s="45"/>
      <c r="S333" s="45"/>
      <c r="T333" s="45"/>
      <c r="U333" s="45"/>
      <c r="V333" s="45"/>
      <c r="W333" s="45"/>
      <c r="X333" s="45"/>
      <c r="Y333" s="45"/>
      <c r="Z333" s="45"/>
    </row>
    <row r="334" spans="1:26">
      <c r="A334" s="45"/>
      <c r="B334" s="45"/>
      <c r="C334" s="45"/>
      <c r="D334" s="45"/>
      <c r="E334" s="45"/>
      <c r="F334" s="45"/>
      <c r="G334" s="45"/>
      <c r="H334" s="45"/>
      <c r="I334" s="45"/>
      <c r="J334" s="45"/>
      <c r="K334" s="45"/>
      <c r="L334" s="45"/>
      <c r="M334" s="45"/>
      <c r="N334" s="44"/>
      <c r="O334" s="45"/>
      <c r="P334" s="45"/>
      <c r="Q334" s="45"/>
      <c r="R334" s="45"/>
      <c r="S334" s="45"/>
      <c r="T334" s="45"/>
      <c r="U334" s="45"/>
      <c r="V334" s="45"/>
      <c r="W334" s="45"/>
      <c r="X334" s="45"/>
      <c r="Y334" s="45"/>
      <c r="Z334" s="45"/>
    </row>
    <row r="335" spans="1:26">
      <c r="A335" s="45"/>
      <c r="B335" s="45"/>
      <c r="C335" s="45"/>
      <c r="D335" s="45"/>
      <c r="E335" s="45"/>
      <c r="F335" s="45"/>
      <c r="G335" s="45"/>
      <c r="H335" s="45"/>
      <c r="I335" s="45"/>
      <c r="J335" s="45"/>
      <c r="K335" s="45"/>
      <c r="L335" s="45"/>
      <c r="M335" s="45"/>
      <c r="N335" s="44"/>
      <c r="O335" s="45"/>
      <c r="P335" s="45"/>
      <c r="Q335" s="45"/>
      <c r="R335" s="45"/>
      <c r="S335" s="45"/>
      <c r="T335" s="45"/>
      <c r="U335" s="45"/>
      <c r="V335" s="45"/>
      <c r="W335" s="45"/>
      <c r="X335" s="45"/>
      <c r="Y335" s="45"/>
      <c r="Z335" s="45"/>
    </row>
    <row r="336" spans="1:26">
      <c r="A336" s="45"/>
      <c r="B336" s="45"/>
      <c r="C336" s="45"/>
      <c r="D336" s="45"/>
      <c r="E336" s="45"/>
      <c r="F336" s="45"/>
      <c r="G336" s="45"/>
      <c r="H336" s="45"/>
      <c r="I336" s="45"/>
      <c r="J336" s="45"/>
      <c r="K336" s="45"/>
      <c r="L336" s="45"/>
      <c r="M336" s="45"/>
      <c r="N336" s="44"/>
      <c r="O336" s="45"/>
      <c r="P336" s="45"/>
      <c r="Q336" s="45"/>
      <c r="R336" s="45"/>
      <c r="S336" s="45"/>
      <c r="T336" s="45"/>
      <c r="U336" s="45"/>
      <c r="V336" s="45"/>
      <c r="W336" s="45"/>
      <c r="X336" s="45"/>
      <c r="Y336" s="45"/>
      <c r="Z336" s="45"/>
    </row>
    <row r="337" spans="1:26">
      <c r="A337" s="45"/>
      <c r="B337" s="45"/>
      <c r="C337" s="45"/>
      <c r="D337" s="45"/>
      <c r="E337" s="45"/>
      <c r="F337" s="45"/>
      <c r="G337" s="45"/>
      <c r="H337" s="45"/>
      <c r="I337" s="45"/>
      <c r="J337" s="45"/>
      <c r="K337" s="45"/>
      <c r="L337" s="45"/>
      <c r="M337" s="45"/>
      <c r="N337" s="44"/>
      <c r="O337" s="45"/>
      <c r="P337" s="45"/>
      <c r="Q337" s="45"/>
      <c r="R337" s="45"/>
      <c r="S337" s="45"/>
      <c r="T337" s="45"/>
      <c r="U337" s="45"/>
      <c r="V337" s="45"/>
      <c r="W337" s="45"/>
      <c r="X337" s="45"/>
      <c r="Y337" s="45"/>
      <c r="Z337" s="45"/>
    </row>
    <row r="338" spans="1:26">
      <c r="A338" s="45"/>
      <c r="B338" s="45"/>
      <c r="C338" s="45"/>
      <c r="D338" s="45"/>
      <c r="E338" s="45"/>
      <c r="F338" s="45"/>
      <c r="G338" s="45"/>
      <c r="H338" s="45"/>
      <c r="I338" s="45"/>
      <c r="J338" s="45"/>
      <c r="K338" s="45"/>
      <c r="L338" s="45"/>
      <c r="M338" s="45"/>
      <c r="N338" s="44"/>
      <c r="O338" s="45"/>
      <c r="P338" s="45"/>
      <c r="Q338" s="45"/>
      <c r="R338" s="45"/>
      <c r="S338" s="45"/>
      <c r="T338" s="45"/>
      <c r="U338" s="45"/>
      <c r="V338" s="45"/>
      <c r="W338" s="45"/>
      <c r="X338" s="45"/>
      <c r="Y338" s="45"/>
      <c r="Z338" s="45"/>
    </row>
    <row r="339" spans="1:26">
      <c r="A339" s="45"/>
      <c r="B339" s="45"/>
      <c r="C339" s="45"/>
      <c r="D339" s="45"/>
      <c r="E339" s="45"/>
      <c r="F339" s="45"/>
      <c r="G339" s="45"/>
      <c r="H339" s="45"/>
      <c r="I339" s="45"/>
      <c r="J339" s="45"/>
      <c r="K339" s="45"/>
      <c r="L339" s="45"/>
      <c r="M339" s="45"/>
      <c r="N339" s="44"/>
      <c r="O339" s="45"/>
      <c r="P339" s="45"/>
      <c r="Q339" s="45"/>
      <c r="R339" s="45"/>
      <c r="S339" s="45"/>
      <c r="T339" s="45"/>
      <c r="U339" s="45"/>
      <c r="V339" s="45"/>
      <c r="W339" s="45"/>
      <c r="X339" s="45"/>
      <c r="Y339" s="45"/>
      <c r="Z339" s="45"/>
    </row>
    <row r="340" spans="1:26">
      <c r="A340" s="45"/>
      <c r="B340" s="45"/>
      <c r="C340" s="45"/>
      <c r="D340" s="45"/>
      <c r="E340" s="45"/>
      <c r="F340" s="45"/>
      <c r="G340" s="45"/>
      <c r="H340" s="45"/>
      <c r="I340" s="45"/>
      <c r="J340" s="45"/>
      <c r="K340" s="45"/>
      <c r="L340" s="45"/>
      <c r="M340" s="45"/>
      <c r="N340" s="44"/>
      <c r="O340" s="45"/>
      <c r="P340" s="45"/>
      <c r="Q340" s="45"/>
      <c r="R340" s="45"/>
      <c r="S340" s="45"/>
      <c r="T340" s="45"/>
      <c r="U340" s="45"/>
      <c r="V340" s="45"/>
      <c r="W340" s="45"/>
      <c r="X340" s="45"/>
      <c r="Y340" s="45"/>
      <c r="Z340" s="45"/>
    </row>
    <row r="341" spans="1:26">
      <c r="A341" s="45"/>
      <c r="B341" s="45"/>
      <c r="C341" s="45"/>
      <c r="D341" s="45"/>
      <c r="E341" s="45"/>
      <c r="F341" s="45"/>
      <c r="G341" s="45"/>
      <c r="H341" s="45"/>
      <c r="I341" s="45"/>
      <c r="J341" s="45"/>
      <c r="K341" s="45"/>
      <c r="L341" s="45"/>
      <c r="M341" s="45"/>
      <c r="N341" s="44"/>
      <c r="O341" s="45"/>
      <c r="P341" s="45"/>
      <c r="Q341" s="45"/>
      <c r="R341" s="45"/>
      <c r="S341" s="45"/>
      <c r="T341" s="45"/>
      <c r="U341" s="45"/>
      <c r="V341" s="45"/>
      <c r="W341" s="45"/>
      <c r="X341" s="45"/>
      <c r="Y341" s="45"/>
      <c r="Z341" s="45"/>
    </row>
    <row r="342" spans="1:26">
      <c r="A342" s="45"/>
      <c r="B342" s="45"/>
      <c r="C342" s="45"/>
      <c r="D342" s="45"/>
      <c r="E342" s="45"/>
      <c r="F342" s="45"/>
      <c r="G342" s="45"/>
      <c r="H342" s="45"/>
      <c r="I342" s="45"/>
      <c r="J342" s="45"/>
      <c r="K342" s="45"/>
      <c r="L342" s="45"/>
      <c r="M342" s="45"/>
      <c r="N342" s="44"/>
      <c r="O342" s="45"/>
      <c r="P342" s="45"/>
      <c r="Q342" s="45"/>
      <c r="R342" s="45"/>
      <c r="S342" s="45"/>
      <c r="T342" s="45"/>
      <c r="U342" s="45"/>
      <c r="V342" s="45"/>
      <c r="W342" s="45"/>
      <c r="X342" s="45"/>
      <c r="Y342" s="45"/>
      <c r="Z342" s="45"/>
    </row>
    <row r="343" spans="1:26">
      <c r="A343" s="45"/>
      <c r="B343" s="45"/>
      <c r="C343" s="45"/>
      <c r="D343" s="45"/>
      <c r="E343" s="45"/>
      <c r="F343" s="45"/>
      <c r="G343" s="45"/>
      <c r="H343" s="45"/>
      <c r="I343" s="45"/>
      <c r="J343" s="45"/>
      <c r="K343" s="45"/>
      <c r="L343" s="45"/>
      <c r="M343" s="45"/>
      <c r="N343" s="44"/>
      <c r="O343" s="45"/>
      <c r="P343" s="45"/>
      <c r="Q343" s="45"/>
      <c r="R343" s="45"/>
      <c r="S343" s="45"/>
      <c r="T343" s="45"/>
      <c r="U343" s="45"/>
      <c r="V343" s="45"/>
      <c r="W343" s="45"/>
      <c r="X343" s="45"/>
      <c r="Y343" s="45"/>
      <c r="Z343" s="45"/>
    </row>
    <row r="344" spans="1:26">
      <c r="A344" s="45"/>
      <c r="B344" s="45"/>
      <c r="C344" s="45"/>
      <c r="D344" s="45"/>
      <c r="E344" s="45"/>
      <c r="F344" s="45"/>
      <c r="G344" s="45"/>
      <c r="H344" s="45"/>
      <c r="I344" s="45"/>
      <c r="J344" s="45"/>
      <c r="K344" s="45"/>
      <c r="L344" s="45"/>
      <c r="M344" s="45"/>
      <c r="N344" s="44"/>
      <c r="O344" s="45"/>
      <c r="P344" s="45"/>
      <c r="Q344" s="45"/>
      <c r="R344" s="45"/>
      <c r="S344" s="45"/>
      <c r="T344" s="45"/>
      <c r="U344" s="45"/>
      <c r="V344" s="45"/>
      <c r="W344" s="45"/>
      <c r="X344" s="45"/>
      <c r="Y344" s="45"/>
      <c r="Z344" s="45"/>
    </row>
    <row r="345" spans="1:26">
      <c r="A345" s="45"/>
      <c r="B345" s="45"/>
      <c r="C345" s="45"/>
      <c r="D345" s="45"/>
      <c r="E345" s="45"/>
      <c r="F345" s="45"/>
      <c r="G345" s="45"/>
      <c r="H345" s="45"/>
      <c r="I345" s="45"/>
      <c r="J345" s="45"/>
      <c r="K345" s="45"/>
      <c r="L345" s="45"/>
      <c r="M345" s="45"/>
      <c r="N345" s="44"/>
      <c r="O345" s="45"/>
      <c r="P345" s="45"/>
      <c r="Q345" s="45"/>
      <c r="R345" s="45"/>
      <c r="S345" s="45"/>
      <c r="T345" s="45"/>
      <c r="U345" s="45"/>
      <c r="V345" s="45"/>
      <c r="W345" s="45"/>
      <c r="X345" s="45"/>
      <c r="Y345" s="45"/>
      <c r="Z345" s="45"/>
    </row>
    <row r="346" spans="1:26">
      <c r="A346" s="45"/>
      <c r="B346" s="45"/>
      <c r="C346" s="45"/>
      <c r="D346" s="45"/>
      <c r="E346" s="45"/>
      <c r="F346" s="45"/>
      <c r="G346" s="45"/>
      <c r="H346" s="45"/>
      <c r="I346" s="45"/>
      <c r="J346" s="45"/>
      <c r="K346" s="45"/>
      <c r="L346" s="45"/>
      <c r="M346" s="45"/>
      <c r="N346" s="44"/>
      <c r="O346" s="45"/>
      <c r="P346" s="45"/>
      <c r="Q346" s="45"/>
      <c r="R346" s="45"/>
      <c r="S346" s="45"/>
      <c r="T346" s="45"/>
      <c r="U346" s="45"/>
      <c r="V346" s="45"/>
      <c r="W346" s="45"/>
      <c r="X346" s="45"/>
      <c r="Y346" s="45"/>
      <c r="Z346" s="45"/>
    </row>
    <row r="347" spans="1:26">
      <c r="A347" s="45"/>
      <c r="B347" s="45"/>
      <c r="C347" s="45"/>
      <c r="D347" s="45"/>
      <c r="E347" s="45"/>
      <c r="F347" s="45"/>
      <c r="G347" s="45"/>
      <c r="H347" s="45"/>
      <c r="I347" s="45"/>
      <c r="J347" s="45"/>
      <c r="K347" s="45"/>
      <c r="L347" s="45"/>
      <c r="M347" s="45"/>
      <c r="N347" s="44"/>
      <c r="O347" s="45"/>
      <c r="P347" s="45"/>
      <c r="Q347" s="45"/>
      <c r="R347" s="45"/>
      <c r="S347" s="45"/>
      <c r="T347" s="45"/>
      <c r="U347" s="45"/>
      <c r="V347" s="45"/>
      <c r="W347" s="45"/>
      <c r="X347" s="45"/>
      <c r="Y347" s="45"/>
      <c r="Z347" s="45"/>
    </row>
    <row r="348" spans="1:26">
      <c r="A348" s="45"/>
      <c r="B348" s="45"/>
      <c r="C348" s="45"/>
      <c r="D348" s="45"/>
      <c r="E348" s="45"/>
      <c r="F348" s="45"/>
      <c r="G348" s="45"/>
      <c r="H348" s="45"/>
      <c r="I348" s="45"/>
      <c r="J348" s="45"/>
      <c r="K348" s="45"/>
      <c r="L348" s="45"/>
      <c r="M348" s="45"/>
      <c r="N348" s="44"/>
      <c r="O348" s="45"/>
      <c r="P348" s="45"/>
      <c r="Q348" s="45"/>
      <c r="R348" s="45"/>
      <c r="S348" s="45"/>
      <c r="T348" s="45"/>
      <c r="U348" s="45"/>
      <c r="V348" s="45"/>
      <c r="W348" s="45"/>
      <c r="X348" s="45"/>
      <c r="Y348" s="45"/>
      <c r="Z348" s="45"/>
    </row>
    <row r="349" spans="1:26">
      <c r="A349" s="45"/>
      <c r="B349" s="45"/>
      <c r="C349" s="45"/>
      <c r="D349" s="45"/>
      <c r="E349" s="45"/>
      <c r="F349" s="45"/>
      <c r="G349" s="45"/>
      <c r="H349" s="45"/>
      <c r="I349" s="45"/>
      <c r="J349" s="45"/>
      <c r="K349" s="45"/>
      <c r="L349" s="45"/>
      <c r="M349" s="45"/>
      <c r="N349" s="44"/>
      <c r="O349" s="45"/>
      <c r="P349" s="45"/>
      <c r="Q349" s="45"/>
      <c r="R349" s="45"/>
      <c r="S349" s="45"/>
      <c r="T349" s="45"/>
      <c r="U349" s="45"/>
      <c r="V349" s="45"/>
      <c r="W349" s="45"/>
      <c r="X349" s="45"/>
      <c r="Y349" s="45"/>
      <c r="Z349" s="45"/>
    </row>
    <row r="350" spans="1:26">
      <c r="A350" s="45"/>
      <c r="B350" s="45"/>
      <c r="C350" s="45"/>
      <c r="D350" s="45"/>
      <c r="E350" s="45"/>
      <c r="F350" s="45"/>
      <c r="G350" s="45"/>
      <c r="H350" s="45"/>
      <c r="I350" s="45"/>
      <c r="J350" s="45"/>
      <c r="K350" s="45"/>
      <c r="L350" s="45"/>
      <c r="M350" s="45"/>
      <c r="N350" s="44"/>
      <c r="O350" s="45"/>
      <c r="P350" s="45"/>
      <c r="Q350" s="45"/>
      <c r="R350" s="45"/>
      <c r="S350" s="45"/>
      <c r="T350" s="45"/>
      <c r="U350" s="45"/>
      <c r="V350" s="45"/>
      <c r="W350" s="45"/>
      <c r="X350" s="45"/>
      <c r="Y350" s="45"/>
      <c r="Z350" s="45"/>
    </row>
    <row r="351" spans="1:26">
      <c r="A351" s="45"/>
      <c r="B351" s="45"/>
      <c r="C351" s="45"/>
      <c r="D351" s="45"/>
      <c r="E351" s="45"/>
      <c r="F351" s="45"/>
      <c r="G351" s="45"/>
      <c r="H351" s="45"/>
      <c r="I351" s="45"/>
      <c r="J351" s="45"/>
      <c r="K351" s="45"/>
      <c r="L351" s="45"/>
      <c r="M351" s="45"/>
      <c r="N351" s="44"/>
      <c r="O351" s="45"/>
      <c r="P351" s="45"/>
      <c r="Q351" s="45"/>
      <c r="R351" s="45"/>
      <c r="S351" s="45"/>
      <c r="T351" s="45"/>
      <c r="U351" s="45"/>
      <c r="V351" s="45"/>
      <c r="W351" s="45"/>
      <c r="X351" s="45"/>
      <c r="Y351" s="45"/>
      <c r="Z351" s="45"/>
    </row>
    <row r="352" spans="1:26">
      <c r="A352" s="45"/>
      <c r="B352" s="45"/>
      <c r="C352" s="45"/>
      <c r="D352" s="45"/>
      <c r="E352" s="45"/>
      <c r="F352" s="45"/>
      <c r="G352" s="45"/>
      <c r="H352" s="45"/>
      <c r="I352" s="45"/>
      <c r="J352" s="45"/>
      <c r="K352" s="45"/>
      <c r="L352" s="45"/>
      <c r="M352" s="45"/>
      <c r="N352" s="44"/>
      <c r="O352" s="45"/>
      <c r="P352" s="45"/>
      <c r="Q352" s="45"/>
      <c r="R352" s="45"/>
      <c r="S352" s="45"/>
      <c r="T352" s="45"/>
      <c r="U352" s="45"/>
      <c r="V352" s="45"/>
      <c r="W352" s="45"/>
      <c r="X352" s="45"/>
      <c r="Y352" s="45"/>
      <c r="Z352" s="45"/>
    </row>
    <row r="353" spans="1:26">
      <c r="A353" s="45"/>
      <c r="B353" s="45"/>
      <c r="C353" s="45"/>
      <c r="D353" s="45"/>
      <c r="E353" s="45"/>
      <c r="F353" s="45"/>
      <c r="G353" s="45"/>
      <c r="H353" s="45"/>
      <c r="I353" s="45"/>
      <c r="J353" s="45"/>
      <c r="K353" s="45"/>
      <c r="L353" s="45"/>
      <c r="M353" s="45"/>
      <c r="N353" s="44"/>
      <c r="O353" s="45"/>
      <c r="P353" s="45"/>
      <c r="Q353" s="45"/>
      <c r="R353" s="45"/>
      <c r="S353" s="45"/>
      <c r="T353" s="45"/>
      <c r="U353" s="45"/>
      <c r="V353" s="45"/>
      <c r="W353" s="45"/>
      <c r="X353" s="45"/>
      <c r="Y353" s="45"/>
      <c r="Z353" s="45"/>
    </row>
    <row r="354" spans="1:26">
      <c r="A354" s="45"/>
      <c r="B354" s="45"/>
      <c r="C354" s="45"/>
      <c r="D354" s="45"/>
      <c r="E354" s="45"/>
      <c r="F354" s="45"/>
      <c r="G354" s="45"/>
      <c r="H354" s="45"/>
      <c r="I354" s="45"/>
      <c r="J354" s="45"/>
      <c r="K354" s="45"/>
      <c r="L354" s="45"/>
      <c r="M354" s="45"/>
      <c r="N354" s="44"/>
      <c r="O354" s="45"/>
      <c r="P354" s="45"/>
      <c r="Q354" s="45"/>
      <c r="R354" s="45"/>
      <c r="S354" s="45"/>
      <c r="T354" s="45"/>
      <c r="U354" s="45"/>
      <c r="V354" s="45"/>
      <c r="W354" s="45"/>
      <c r="X354" s="45"/>
      <c r="Y354" s="45"/>
      <c r="Z354" s="45"/>
    </row>
    <row r="355" spans="1:26">
      <c r="A355" s="45"/>
      <c r="B355" s="45"/>
      <c r="C355" s="45"/>
      <c r="D355" s="45"/>
      <c r="E355" s="45"/>
      <c r="F355" s="45"/>
      <c r="G355" s="45"/>
      <c r="H355" s="45"/>
      <c r="I355" s="45"/>
      <c r="J355" s="45"/>
      <c r="K355" s="45"/>
      <c r="L355" s="45"/>
      <c r="M355" s="45"/>
      <c r="N355" s="44"/>
      <c r="O355" s="45"/>
      <c r="P355" s="45"/>
      <c r="Q355" s="45"/>
      <c r="R355" s="45"/>
      <c r="S355" s="45"/>
      <c r="T355" s="45"/>
      <c r="U355" s="45"/>
      <c r="V355" s="45"/>
      <c r="W355" s="45"/>
      <c r="X355" s="45"/>
      <c r="Y355" s="45"/>
      <c r="Z355" s="45"/>
    </row>
    <row r="356" spans="1:26">
      <c r="A356" s="45"/>
      <c r="B356" s="45"/>
      <c r="C356" s="45"/>
      <c r="D356" s="45"/>
      <c r="E356" s="45"/>
      <c r="F356" s="45"/>
      <c r="G356" s="45"/>
      <c r="H356" s="45"/>
      <c r="I356" s="45"/>
      <c r="J356" s="45"/>
      <c r="K356" s="45"/>
      <c r="L356" s="45"/>
      <c r="M356" s="45"/>
      <c r="N356" s="44"/>
      <c r="O356" s="45"/>
      <c r="P356" s="45"/>
      <c r="Q356" s="45"/>
      <c r="R356" s="45"/>
      <c r="S356" s="45"/>
      <c r="T356" s="45"/>
      <c r="U356" s="45"/>
      <c r="V356" s="45"/>
      <c r="W356" s="45"/>
      <c r="X356" s="45"/>
      <c r="Y356" s="45"/>
      <c r="Z356" s="45"/>
    </row>
    <row r="357" spans="1:26">
      <c r="A357" s="45"/>
      <c r="B357" s="45"/>
      <c r="C357" s="45"/>
      <c r="D357" s="45"/>
      <c r="E357" s="45"/>
      <c r="F357" s="45"/>
      <c r="G357" s="45"/>
      <c r="H357" s="45"/>
      <c r="I357" s="45"/>
      <c r="J357" s="45"/>
      <c r="K357" s="45"/>
      <c r="L357" s="45"/>
      <c r="M357" s="45"/>
      <c r="N357" s="44"/>
      <c r="O357" s="45"/>
      <c r="P357" s="45"/>
      <c r="Q357" s="45"/>
      <c r="R357" s="45"/>
      <c r="S357" s="45"/>
      <c r="T357" s="45"/>
      <c r="U357" s="45"/>
      <c r="V357" s="45"/>
      <c r="W357" s="45"/>
      <c r="X357" s="45"/>
      <c r="Y357" s="45"/>
      <c r="Z357" s="45"/>
    </row>
    <row r="358" spans="1:26">
      <c r="A358" s="45"/>
      <c r="B358" s="45"/>
      <c r="C358" s="45"/>
      <c r="D358" s="45"/>
      <c r="E358" s="45"/>
      <c r="F358" s="45"/>
      <c r="G358" s="45"/>
      <c r="H358" s="45"/>
      <c r="I358" s="45"/>
      <c r="J358" s="45"/>
      <c r="K358" s="45"/>
      <c r="L358" s="45"/>
      <c r="M358" s="45"/>
      <c r="N358" s="44"/>
      <c r="O358" s="45"/>
      <c r="P358" s="45"/>
      <c r="Q358" s="45"/>
      <c r="R358" s="45"/>
      <c r="S358" s="45"/>
      <c r="T358" s="45"/>
      <c r="U358" s="45"/>
      <c r="V358" s="45"/>
      <c r="W358" s="45"/>
      <c r="X358" s="45"/>
      <c r="Y358" s="45"/>
      <c r="Z358" s="45"/>
    </row>
    <row r="359" spans="1:26">
      <c r="A359" s="45"/>
      <c r="B359" s="45"/>
      <c r="C359" s="45"/>
      <c r="D359" s="45"/>
      <c r="E359" s="45"/>
      <c r="F359" s="45"/>
      <c r="G359" s="45"/>
      <c r="H359" s="45"/>
      <c r="I359" s="45"/>
      <c r="J359" s="45"/>
      <c r="K359" s="45"/>
      <c r="L359" s="45"/>
      <c r="M359" s="45"/>
      <c r="N359" s="44"/>
      <c r="O359" s="45"/>
      <c r="P359" s="45"/>
      <c r="Q359" s="45"/>
      <c r="R359" s="45"/>
      <c r="S359" s="45"/>
      <c r="T359" s="45"/>
      <c r="U359" s="45"/>
      <c r="V359" s="45"/>
      <c r="W359" s="45"/>
      <c r="X359" s="45"/>
      <c r="Y359" s="45"/>
      <c r="Z359" s="45"/>
    </row>
    <row r="360" spans="1:26">
      <c r="A360" s="45"/>
      <c r="B360" s="45"/>
      <c r="C360" s="45"/>
      <c r="D360" s="45"/>
      <c r="E360" s="45"/>
      <c r="F360" s="45"/>
      <c r="G360" s="45"/>
      <c r="H360" s="45"/>
      <c r="I360" s="45"/>
      <c r="J360" s="45"/>
      <c r="K360" s="45"/>
      <c r="L360" s="45"/>
      <c r="M360" s="45"/>
      <c r="N360" s="44"/>
      <c r="O360" s="45"/>
      <c r="P360" s="45"/>
      <c r="Q360" s="45"/>
      <c r="R360" s="45"/>
      <c r="S360" s="45"/>
      <c r="T360" s="45"/>
      <c r="U360" s="45"/>
      <c r="V360" s="45"/>
      <c r="W360" s="45"/>
      <c r="X360" s="45"/>
      <c r="Y360" s="45"/>
      <c r="Z360" s="45"/>
    </row>
    <row r="361" spans="1:26">
      <c r="A361" s="45"/>
      <c r="B361" s="45"/>
      <c r="C361" s="45"/>
      <c r="D361" s="45"/>
      <c r="E361" s="45"/>
      <c r="F361" s="45"/>
      <c r="G361" s="45"/>
      <c r="H361" s="45"/>
      <c r="I361" s="45"/>
      <c r="J361" s="45"/>
      <c r="K361" s="45"/>
      <c r="L361" s="45"/>
      <c r="M361" s="45"/>
      <c r="N361" s="44"/>
      <c r="O361" s="45"/>
      <c r="P361" s="45"/>
      <c r="Q361" s="45"/>
      <c r="R361" s="45"/>
      <c r="S361" s="45"/>
      <c r="T361" s="45"/>
      <c r="U361" s="45"/>
      <c r="V361" s="45"/>
      <c r="W361" s="45"/>
      <c r="X361" s="45"/>
      <c r="Y361" s="45"/>
      <c r="Z361" s="45"/>
    </row>
    <row r="362" spans="1:26">
      <c r="A362" s="45"/>
      <c r="B362" s="45"/>
      <c r="C362" s="45"/>
      <c r="D362" s="45"/>
      <c r="E362" s="45"/>
      <c r="F362" s="45"/>
      <c r="G362" s="45"/>
      <c r="H362" s="45"/>
      <c r="I362" s="45"/>
      <c r="J362" s="45"/>
      <c r="K362" s="45"/>
      <c r="L362" s="45"/>
      <c r="M362" s="45"/>
      <c r="N362" s="44"/>
      <c r="O362" s="45"/>
      <c r="P362" s="45"/>
      <c r="Q362" s="45"/>
      <c r="R362" s="45"/>
      <c r="S362" s="45"/>
      <c r="T362" s="45"/>
      <c r="U362" s="45"/>
      <c r="V362" s="45"/>
      <c r="W362" s="45"/>
      <c r="X362" s="45"/>
      <c r="Y362" s="45"/>
      <c r="Z362" s="45"/>
    </row>
    <row r="363" spans="1:26">
      <c r="A363" s="45"/>
      <c r="B363" s="45"/>
      <c r="C363" s="45"/>
      <c r="D363" s="45"/>
      <c r="E363" s="45"/>
      <c r="F363" s="45"/>
      <c r="G363" s="45"/>
      <c r="H363" s="45"/>
      <c r="I363" s="45"/>
      <c r="J363" s="45"/>
      <c r="K363" s="45"/>
      <c r="L363" s="45"/>
      <c r="M363" s="45"/>
      <c r="N363" s="44"/>
      <c r="O363" s="45"/>
      <c r="P363" s="45"/>
      <c r="Q363" s="45"/>
      <c r="R363" s="45"/>
      <c r="S363" s="45"/>
      <c r="T363" s="45"/>
      <c r="U363" s="45"/>
      <c r="V363" s="45"/>
      <c r="W363" s="45"/>
      <c r="X363" s="45"/>
      <c r="Y363" s="45"/>
      <c r="Z363" s="45"/>
    </row>
    <row r="364" spans="1:26">
      <c r="A364" s="45"/>
      <c r="B364" s="45"/>
      <c r="C364" s="45"/>
      <c r="D364" s="45"/>
      <c r="E364" s="45"/>
      <c r="F364" s="45"/>
      <c r="G364" s="45"/>
      <c r="H364" s="45"/>
      <c r="I364" s="45"/>
      <c r="J364" s="45"/>
      <c r="K364" s="45"/>
      <c r="L364" s="45"/>
      <c r="M364" s="45"/>
      <c r="N364" s="44"/>
      <c r="O364" s="45"/>
      <c r="P364" s="45"/>
      <c r="Q364" s="45"/>
      <c r="R364" s="45"/>
      <c r="S364" s="45"/>
      <c r="T364" s="45"/>
      <c r="U364" s="45"/>
      <c r="V364" s="45"/>
      <c r="W364" s="45"/>
      <c r="X364" s="45"/>
      <c r="Y364" s="45"/>
      <c r="Z364" s="45"/>
    </row>
    <row r="365" spans="1:26">
      <c r="A365" s="45"/>
      <c r="B365" s="45"/>
      <c r="C365" s="45"/>
      <c r="D365" s="45"/>
      <c r="E365" s="45"/>
      <c r="F365" s="45"/>
      <c r="G365" s="45"/>
      <c r="H365" s="45"/>
      <c r="I365" s="45"/>
      <c r="J365" s="45"/>
      <c r="K365" s="45"/>
      <c r="L365" s="45"/>
      <c r="M365" s="45"/>
      <c r="N365" s="44"/>
      <c r="O365" s="45"/>
      <c r="P365" s="45"/>
      <c r="Q365" s="45"/>
      <c r="R365" s="45"/>
      <c r="S365" s="45"/>
      <c r="T365" s="45"/>
      <c r="U365" s="45"/>
      <c r="V365" s="45"/>
      <c r="W365" s="45"/>
      <c r="X365" s="45"/>
      <c r="Y365" s="45"/>
      <c r="Z365" s="45"/>
    </row>
    <row r="366" spans="1:26">
      <c r="A366" s="45"/>
      <c r="B366" s="45"/>
      <c r="C366" s="45"/>
      <c r="D366" s="45"/>
      <c r="E366" s="45"/>
      <c r="F366" s="45"/>
      <c r="G366" s="45"/>
      <c r="H366" s="45"/>
      <c r="I366" s="45"/>
      <c r="J366" s="45"/>
      <c r="K366" s="45"/>
      <c r="L366" s="45"/>
      <c r="M366" s="45"/>
      <c r="N366" s="44"/>
      <c r="O366" s="45"/>
      <c r="P366" s="45"/>
      <c r="Q366" s="45"/>
      <c r="R366" s="45"/>
      <c r="S366" s="45"/>
      <c r="T366" s="45"/>
      <c r="U366" s="45"/>
      <c r="V366" s="45"/>
      <c r="W366" s="45"/>
      <c r="X366" s="45"/>
      <c r="Y366" s="45"/>
      <c r="Z366" s="45"/>
    </row>
    <row r="367" spans="1:26">
      <c r="A367" s="45"/>
      <c r="B367" s="45"/>
      <c r="C367" s="45"/>
      <c r="D367" s="45"/>
      <c r="E367" s="45"/>
      <c r="F367" s="45"/>
      <c r="G367" s="45"/>
      <c r="H367" s="45"/>
      <c r="I367" s="45"/>
      <c r="J367" s="45"/>
      <c r="K367" s="45"/>
      <c r="L367" s="45"/>
      <c r="M367" s="45"/>
      <c r="N367" s="44"/>
      <c r="O367" s="45"/>
      <c r="P367" s="45"/>
      <c r="Q367" s="45"/>
      <c r="R367" s="45"/>
      <c r="S367" s="45"/>
      <c r="T367" s="45"/>
      <c r="U367" s="45"/>
      <c r="V367" s="45"/>
      <c r="W367" s="45"/>
      <c r="X367" s="45"/>
      <c r="Y367" s="45"/>
      <c r="Z367" s="45"/>
    </row>
    <row r="368" spans="1:26">
      <c r="A368" s="45"/>
      <c r="B368" s="45"/>
      <c r="C368" s="45"/>
      <c r="D368" s="45"/>
      <c r="E368" s="45"/>
      <c r="F368" s="45"/>
      <c r="G368" s="45"/>
      <c r="H368" s="45"/>
      <c r="I368" s="45"/>
      <c r="J368" s="45"/>
      <c r="K368" s="45"/>
      <c r="L368" s="45"/>
      <c r="M368" s="45"/>
      <c r="N368" s="44"/>
      <c r="O368" s="45"/>
      <c r="P368" s="45"/>
      <c r="Q368" s="45"/>
      <c r="R368" s="45"/>
      <c r="S368" s="45"/>
      <c r="T368" s="45"/>
      <c r="U368" s="45"/>
      <c r="V368" s="45"/>
      <c r="W368" s="45"/>
      <c r="X368" s="45"/>
      <c r="Y368" s="45"/>
      <c r="Z368" s="45"/>
    </row>
    <row r="369" spans="1:26">
      <c r="A369" s="45"/>
      <c r="B369" s="45"/>
      <c r="C369" s="45"/>
      <c r="D369" s="45"/>
      <c r="E369" s="45"/>
      <c r="F369" s="45"/>
      <c r="G369" s="45"/>
      <c r="H369" s="45"/>
      <c r="I369" s="45"/>
      <c r="J369" s="45"/>
      <c r="K369" s="45"/>
      <c r="L369" s="45"/>
      <c r="M369" s="45"/>
      <c r="N369" s="44"/>
      <c r="O369" s="45"/>
      <c r="P369" s="45"/>
      <c r="Q369" s="45"/>
      <c r="R369" s="45"/>
      <c r="S369" s="45"/>
      <c r="T369" s="45"/>
      <c r="U369" s="45"/>
      <c r="V369" s="45"/>
      <c r="W369" s="45"/>
      <c r="X369" s="45"/>
      <c r="Y369" s="45"/>
      <c r="Z369" s="45"/>
    </row>
    <row r="370" spans="1:26">
      <c r="A370" s="45"/>
      <c r="B370" s="45"/>
      <c r="C370" s="45"/>
      <c r="D370" s="45"/>
      <c r="E370" s="45"/>
      <c r="F370" s="45"/>
      <c r="G370" s="45"/>
      <c r="H370" s="45"/>
      <c r="I370" s="45"/>
      <c r="J370" s="45"/>
      <c r="K370" s="45"/>
      <c r="L370" s="45"/>
      <c r="M370" s="45"/>
      <c r="N370" s="44"/>
      <c r="O370" s="45"/>
      <c r="P370" s="45"/>
      <c r="Q370" s="45"/>
      <c r="R370" s="45"/>
      <c r="S370" s="45"/>
      <c r="T370" s="45"/>
      <c r="U370" s="45"/>
      <c r="V370" s="45"/>
      <c r="W370" s="45"/>
      <c r="X370" s="45"/>
      <c r="Y370" s="45"/>
      <c r="Z370" s="45"/>
    </row>
    <row r="371" spans="1:26">
      <c r="A371" s="45"/>
      <c r="B371" s="45"/>
      <c r="C371" s="45"/>
      <c r="D371" s="45"/>
      <c r="E371" s="45"/>
      <c r="F371" s="45"/>
      <c r="G371" s="45"/>
      <c r="H371" s="45"/>
      <c r="I371" s="45"/>
      <c r="J371" s="45"/>
      <c r="K371" s="45"/>
      <c r="L371" s="45"/>
      <c r="M371" s="45"/>
      <c r="N371" s="44"/>
      <c r="O371" s="45"/>
      <c r="P371" s="45"/>
      <c r="Q371" s="45"/>
      <c r="R371" s="45"/>
      <c r="S371" s="45"/>
      <c r="T371" s="45"/>
      <c r="U371" s="45"/>
      <c r="V371" s="45"/>
      <c r="W371" s="45"/>
      <c r="X371" s="45"/>
      <c r="Y371" s="45"/>
      <c r="Z371" s="45"/>
    </row>
    <row r="372" spans="1:26">
      <c r="A372" s="45"/>
      <c r="B372" s="45"/>
      <c r="C372" s="45"/>
      <c r="D372" s="45"/>
      <c r="E372" s="45"/>
      <c r="F372" s="45"/>
      <c r="G372" s="45"/>
      <c r="H372" s="45"/>
      <c r="I372" s="45"/>
      <c r="J372" s="45"/>
      <c r="K372" s="45"/>
      <c r="L372" s="45"/>
      <c r="M372" s="45"/>
      <c r="N372" s="44"/>
      <c r="O372" s="45"/>
      <c r="P372" s="45"/>
      <c r="Q372" s="45"/>
      <c r="R372" s="45"/>
      <c r="S372" s="45"/>
      <c r="T372" s="45"/>
      <c r="U372" s="45"/>
      <c r="V372" s="45"/>
      <c r="W372" s="45"/>
      <c r="X372" s="45"/>
      <c r="Y372" s="45"/>
      <c r="Z372" s="45"/>
    </row>
    <row r="373" spans="1:26">
      <c r="A373" s="45"/>
      <c r="B373" s="45"/>
      <c r="C373" s="45"/>
      <c r="D373" s="45"/>
      <c r="E373" s="45"/>
      <c r="F373" s="45"/>
      <c r="G373" s="45"/>
      <c r="H373" s="45"/>
      <c r="I373" s="45"/>
      <c r="J373" s="45"/>
      <c r="K373" s="45"/>
      <c r="L373" s="45"/>
      <c r="M373" s="45"/>
      <c r="N373" s="44"/>
      <c r="O373" s="45"/>
      <c r="P373" s="45"/>
      <c r="Q373" s="45"/>
      <c r="R373" s="45"/>
      <c r="S373" s="45"/>
      <c r="T373" s="45"/>
      <c r="U373" s="45"/>
      <c r="V373" s="45"/>
      <c r="W373" s="45"/>
      <c r="X373" s="45"/>
      <c r="Y373" s="45"/>
      <c r="Z373" s="45"/>
    </row>
    <row r="374" spans="1:26">
      <c r="A374" s="45"/>
      <c r="B374" s="45"/>
      <c r="C374" s="45"/>
      <c r="D374" s="45"/>
      <c r="E374" s="45"/>
      <c r="F374" s="45"/>
      <c r="G374" s="45"/>
      <c r="H374" s="45"/>
      <c r="I374" s="45"/>
      <c r="J374" s="45"/>
      <c r="K374" s="45"/>
      <c r="L374" s="45"/>
      <c r="M374" s="45"/>
      <c r="N374" s="44"/>
      <c r="O374" s="45"/>
      <c r="P374" s="45"/>
      <c r="Q374" s="45"/>
      <c r="R374" s="45"/>
      <c r="S374" s="45"/>
      <c r="T374" s="45"/>
      <c r="U374" s="45"/>
      <c r="V374" s="45"/>
      <c r="W374" s="45"/>
      <c r="X374" s="45"/>
      <c r="Y374" s="45"/>
      <c r="Z374" s="45"/>
    </row>
    <row r="375" spans="1:26">
      <c r="A375" s="45"/>
      <c r="B375" s="45"/>
      <c r="C375" s="45"/>
      <c r="D375" s="45"/>
      <c r="E375" s="45"/>
      <c r="F375" s="45"/>
      <c r="G375" s="45"/>
      <c r="H375" s="45"/>
      <c r="I375" s="45"/>
      <c r="J375" s="45"/>
      <c r="K375" s="45"/>
      <c r="L375" s="45"/>
      <c r="M375" s="45"/>
      <c r="N375" s="44"/>
      <c r="O375" s="45"/>
      <c r="P375" s="45"/>
      <c r="Q375" s="45"/>
      <c r="R375" s="45"/>
      <c r="S375" s="45"/>
      <c r="T375" s="45"/>
      <c r="U375" s="45"/>
      <c r="V375" s="45"/>
      <c r="W375" s="45"/>
      <c r="X375" s="45"/>
      <c r="Y375" s="45"/>
      <c r="Z375" s="45"/>
    </row>
    <row r="376" spans="1:26">
      <c r="A376" s="45"/>
      <c r="B376" s="45"/>
      <c r="C376" s="45"/>
      <c r="D376" s="45"/>
      <c r="E376" s="45"/>
      <c r="F376" s="45"/>
      <c r="G376" s="45"/>
      <c r="H376" s="45"/>
      <c r="I376" s="45"/>
      <c r="J376" s="45"/>
      <c r="K376" s="45"/>
      <c r="L376" s="45"/>
      <c r="M376" s="45"/>
      <c r="N376" s="44"/>
      <c r="O376" s="45"/>
      <c r="P376" s="45"/>
      <c r="Q376" s="45"/>
      <c r="R376" s="45"/>
      <c r="S376" s="45"/>
      <c r="T376" s="45"/>
      <c r="U376" s="45"/>
      <c r="V376" s="45"/>
      <c r="W376" s="45"/>
      <c r="X376" s="45"/>
      <c r="Y376" s="45"/>
      <c r="Z376" s="45"/>
    </row>
    <row r="377" spans="1:26">
      <c r="A377" s="45"/>
      <c r="B377" s="45"/>
      <c r="C377" s="45"/>
      <c r="D377" s="45"/>
      <c r="E377" s="45"/>
      <c r="F377" s="45"/>
      <c r="G377" s="45"/>
      <c r="H377" s="45"/>
      <c r="I377" s="45"/>
      <c r="J377" s="45"/>
      <c r="K377" s="45"/>
      <c r="L377" s="45"/>
      <c r="M377" s="45"/>
      <c r="N377" s="44"/>
      <c r="O377" s="45"/>
      <c r="P377" s="45"/>
      <c r="Q377" s="45"/>
      <c r="R377" s="45"/>
      <c r="S377" s="45"/>
      <c r="T377" s="45"/>
      <c r="U377" s="45"/>
      <c r="V377" s="45"/>
      <c r="W377" s="45"/>
      <c r="X377" s="45"/>
      <c r="Y377" s="45"/>
      <c r="Z377" s="45"/>
    </row>
    <row r="378" spans="1:26">
      <c r="A378" s="45"/>
      <c r="B378" s="45"/>
      <c r="C378" s="45"/>
      <c r="D378" s="45"/>
      <c r="E378" s="45"/>
      <c r="F378" s="45"/>
      <c r="G378" s="45"/>
      <c r="H378" s="45"/>
      <c r="I378" s="45"/>
      <c r="J378" s="45"/>
      <c r="K378" s="45"/>
      <c r="L378" s="45"/>
      <c r="M378" s="45"/>
      <c r="N378" s="44"/>
      <c r="O378" s="45"/>
      <c r="P378" s="45"/>
      <c r="Q378" s="45"/>
      <c r="R378" s="45"/>
      <c r="S378" s="45"/>
      <c r="T378" s="45"/>
      <c r="U378" s="45"/>
      <c r="V378" s="45"/>
      <c r="W378" s="45"/>
      <c r="X378" s="45"/>
      <c r="Y378" s="45"/>
      <c r="Z378" s="45"/>
    </row>
    <row r="379" spans="1:26">
      <c r="A379" s="45"/>
      <c r="B379" s="45"/>
      <c r="C379" s="45"/>
      <c r="D379" s="45"/>
      <c r="E379" s="45"/>
      <c r="F379" s="45"/>
      <c r="G379" s="45"/>
      <c r="H379" s="45"/>
      <c r="I379" s="45"/>
      <c r="J379" s="45"/>
      <c r="K379" s="45"/>
      <c r="L379" s="45"/>
      <c r="M379" s="45"/>
      <c r="N379" s="44"/>
      <c r="O379" s="45"/>
      <c r="P379" s="45"/>
      <c r="Q379" s="45"/>
      <c r="R379" s="45"/>
      <c r="S379" s="45"/>
      <c r="T379" s="45"/>
      <c r="U379" s="45"/>
      <c r="V379" s="45"/>
      <c r="W379" s="45"/>
      <c r="X379" s="45"/>
      <c r="Y379" s="45"/>
      <c r="Z379" s="45"/>
    </row>
    <row r="380" spans="1:26">
      <c r="A380" s="45"/>
      <c r="B380" s="45"/>
      <c r="C380" s="45"/>
      <c r="D380" s="45"/>
      <c r="E380" s="45"/>
      <c r="F380" s="45"/>
      <c r="G380" s="45"/>
      <c r="H380" s="45"/>
      <c r="I380" s="45"/>
      <c r="J380" s="45"/>
      <c r="K380" s="45"/>
      <c r="L380" s="45"/>
      <c r="M380" s="45"/>
      <c r="N380" s="44"/>
      <c r="O380" s="45"/>
      <c r="P380" s="45"/>
      <c r="Q380" s="45"/>
      <c r="R380" s="45"/>
      <c r="S380" s="45"/>
      <c r="T380" s="45"/>
      <c r="U380" s="45"/>
      <c r="V380" s="45"/>
      <c r="W380" s="45"/>
      <c r="X380" s="45"/>
      <c r="Y380" s="45"/>
      <c r="Z380" s="45"/>
    </row>
    <row r="381" spans="1:26">
      <c r="A381" s="45"/>
      <c r="B381" s="45"/>
      <c r="C381" s="45"/>
      <c r="D381" s="45"/>
      <c r="E381" s="45"/>
      <c r="F381" s="45"/>
      <c r="G381" s="45"/>
      <c r="H381" s="45"/>
      <c r="I381" s="45"/>
      <c r="J381" s="45"/>
      <c r="K381" s="45"/>
      <c r="L381" s="45"/>
      <c r="M381" s="45"/>
      <c r="N381" s="44"/>
      <c r="O381" s="45"/>
      <c r="P381" s="45"/>
      <c r="Q381" s="45"/>
      <c r="R381" s="45"/>
      <c r="S381" s="45"/>
      <c r="T381" s="45"/>
      <c r="U381" s="45"/>
      <c r="V381" s="45"/>
      <c r="W381" s="45"/>
      <c r="X381" s="45"/>
      <c r="Y381" s="45"/>
      <c r="Z381" s="45"/>
    </row>
    <row r="382" spans="1:26">
      <c r="A382" s="45"/>
      <c r="B382" s="45"/>
      <c r="C382" s="45"/>
      <c r="D382" s="45"/>
      <c r="E382" s="45"/>
      <c r="F382" s="45"/>
      <c r="G382" s="45"/>
      <c r="H382" s="45"/>
      <c r="I382" s="45"/>
      <c r="J382" s="45"/>
      <c r="K382" s="45"/>
      <c r="L382" s="45"/>
      <c r="M382" s="45"/>
      <c r="N382" s="44"/>
      <c r="O382" s="45"/>
      <c r="P382" s="45"/>
      <c r="Q382" s="45"/>
      <c r="R382" s="45"/>
      <c r="S382" s="45"/>
      <c r="T382" s="45"/>
      <c r="U382" s="45"/>
      <c r="V382" s="45"/>
      <c r="W382" s="45"/>
      <c r="X382" s="45"/>
      <c r="Y382" s="45"/>
      <c r="Z382" s="45"/>
    </row>
    <row r="383" spans="1:26">
      <c r="A383" s="45"/>
      <c r="B383" s="45"/>
      <c r="C383" s="45"/>
      <c r="D383" s="45"/>
      <c r="E383" s="45"/>
      <c r="F383" s="45"/>
      <c r="G383" s="45"/>
      <c r="H383" s="45"/>
      <c r="I383" s="45"/>
      <c r="J383" s="45"/>
      <c r="K383" s="45"/>
      <c r="L383" s="45"/>
      <c r="M383" s="45"/>
      <c r="N383" s="44"/>
      <c r="O383" s="45"/>
      <c r="P383" s="45"/>
      <c r="Q383" s="45"/>
      <c r="R383" s="45"/>
      <c r="S383" s="45"/>
      <c r="T383" s="45"/>
      <c r="U383" s="45"/>
      <c r="V383" s="45"/>
      <c r="W383" s="45"/>
      <c r="X383" s="45"/>
      <c r="Y383" s="45"/>
      <c r="Z383" s="45"/>
    </row>
    <row r="384" spans="1:26">
      <c r="A384" s="45"/>
      <c r="B384" s="45"/>
      <c r="C384" s="45"/>
      <c r="D384" s="45"/>
      <c r="E384" s="45"/>
      <c r="F384" s="45"/>
      <c r="G384" s="45"/>
      <c r="H384" s="45"/>
      <c r="I384" s="45"/>
      <c r="J384" s="45"/>
      <c r="K384" s="45"/>
      <c r="L384" s="45"/>
      <c r="M384" s="45"/>
      <c r="N384" s="44"/>
      <c r="O384" s="45"/>
      <c r="P384" s="45"/>
      <c r="Q384" s="45"/>
      <c r="R384" s="45"/>
      <c r="S384" s="45"/>
      <c r="T384" s="45"/>
      <c r="U384" s="45"/>
      <c r="V384" s="45"/>
      <c r="W384" s="45"/>
      <c r="X384" s="45"/>
      <c r="Y384" s="45"/>
      <c r="Z384" s="45"/>
    </row>
    <row r="385" spans="1:26">
      <c r="A385" s="45"/>
      <c r="B385" s="45"/>
      <c r="C385" s="45"/>
      <c r="D385" s="45"/>
      <c r="E385" s="45"/>
      <c r="F385" s="45"/>
      <c r="G385" s="45"/>
      <c r="H385" s="45"/>
      <c r="I385" s="45"/>
      <c r="J385" s="45"/>
      <c r="K385" s="45"/>
      <c r="L385" s="45"/>
      <c r="M385" s="45"/>
      <c r="N385" s="44"/>
      <c r="O385" s="45"/>
      <c r="P385" s="45"/>
      <c r="Q385" s="45"/>
      <c r="R385" s="45"/>
      <c r="S385" s="45"/>
      <c r="T385" s="45"/>
      <c r="U385" s="45"/>
      <c r="V385" s="45"/>
      <c r="W385" s="45"/>
      <c r="X385" s="45"/>
      <c r="Y385" s="45"/>
      <c r="Z385" s="45"/>
    </row>
    <row r="386" spans="1:26">
      <c r="A386" s="45"/>
      <c r="B386" s="45"/>
      <c r="C386" s="45"/>
      <c r="D386" s="45"/>
      <c r="E386" s="45"/>
      <c r="F386" s="45"/>
      <c r="G386" s="45"/>
      <c r="H386" s="45"/>
      <c r="I386" s="45"/>
      <c r="J386" s="45"/>
      <c r="K386" s="45"/>
      <c r="L386" s="45"/>
      <c r="M386" s="45"/>
      <c r="N386" s="44"/>
      <c r="O386" s="45"/>
      <c r="P386" s="45"/>
      <c r="Q386" s="45"/>
      <c r="R386" s="45"/>
      <c r="S386" s="45"/>
      <c r="T386" s="45"/>
      <c r="U386" s="45"/>
      <c r="V386" s="45"/>
      <c r="W386" s="45"/>
      <c r="X386" s="45"/>
      <c r="Y386" s="45"/>
      <c r="Z386" s="45"/>
    </row>
    <row r="387" spans="1:26">
      <c r="A387" s="45"/>
      <c r="B387" s="45"/>
      <c r="C387" s="45"/>
      <c r="D387" s="45"/>
      <c r="E387" s="45"/>
      <c r="F387" s="45"/>
      <c r="G387" s="45"/>
      <c r="H387" s="45"/>
      <c r="I387" s="45"/>
      <c r="J387" s="45"/>
      <c r="K387" s="45"/>
      <c r="L387" s="45"/>
      <c r="M387" s="45"/>
      <c r="N387" s="44"/>
      <c r="O387" s="45"/>
      <c r="P387" s="45"/>
      <c r="Q387" s="45"/>
      <c r="R387" s="45"/>
      <c r="S387" s="45"/>
      <c r="T387" s="45"/>
      <c r="U387" s="45"/>
      <c r="V387" s="45"/>
      <c r="W387" s="45"/>
      <c r="X387" s="45"/>
      <c r="Y387" s="45"/>
      <c r="Z387" s="45"/>
    </row>
    <row r="388" spans="1:26">
      <c r="A388" s="45"/>
      <c r="B388" s="45"/>
      <c r="C388" s="45"/>
      <c r="D388" s="45"/>
      <c r="E388" s="45"/>
      <c r="F388" s="45"/>
      <c r="G388" s="45"/>
      <c r="H388" s="45"/>
      <c r="I388" s="45"/>
      <c r="J388" s="45"/>
      <c r="K388" s="45"/>
      <c r="L388" s="45"/>
      <c r="M388" s="45"/>
      <c r="N388" s="44"/>
      <c r="O388" s="45"/>
      <c r="P388" s="45"/>
      <c r="Q388" s="45"/>
      <c r="R388" s="45"/>
      <c r="S388" s="45"/>
      <c r="T388" s="45"/>
      <c r="U388" s="45"/>
      <c r="V388" s="45"/>
      <c r="W388" s="45"/>
      <c r="X388" s="45"/>
      <c r="Y388" s="45"/>
      <c r="Z388" s="45"/>
    </row>
    <row r="389" spans="1:26">
      <c r="A389" s="45"/>
      <c r="B389" s="45"/>
      <c r="C389" s="45"/>
      <c r="D389" s="45"/>
      <c r="E389" s="45"/>
      <c r="F389" s="45"/>
      <c r="G389" s="45"/>
      <c r="H389" s="45"/>
      <c r="I389" s="45"/>
      <c r="J389" s="45"/>
      <c r="K389" s="45"/>
      <c r="L389" s="45"/>
      <c r="M389" s="45"/>
      <c r="N389" s="44"/>
      <c r="O389" s="45"/>
      <c r="P389" s="45"/>
      <c r="Q389" s="45"/>
      <c r="R389" s="45"/>
      <c r="S389" s="45"/>
      <c r="T389" s="45"/>
      <c r="U389" s="45"/>
      <c r="V389" s="45"/>
      <c r="W389" s="45"/>
      <c r="X389" s="45"/>
      <c r="Y389" s="45"/>
      <c r="Z389" s="45"/>
    </row>
    <row r="390" spans="1:26">
      <c r="A390" s="45"/>
      <c r="B390" s="45"/>
      <c r="C390" s="45"/>
      <c r="D390" s="45"/>
      <c r="E390" s="45"/>
      <c r="F390" s="45"/>
      <c r="G390" s="45"/>
      <c r="H390" s="45"/>
      <c r="I390" s="45"/>
      <c r="J390" s="45"/>
      <c r="K390" s="45"/>
      <c r="L390" s="45"/>
      <c r="M390" s="45"/>
      <c r="N390" s="44"/>
      <c r="O390" s="45"/>
      <c r="P390" s="45"/>
      <c r="Q390" s="45"/>
      <c r="R390" s="45"/>
      <c r="S390" s="45"/>
      <c r="T390" s="45"/>
      <c r="U390" s="45"/>
      <c r="V390" s="45"/>
      <c r="W390" s="45"/>
      <c r="X390" s="45"/>
      <c r="Y390" s="45"/>
      <c r="Z390" s="45"/>
    </row>
    <row r="391" spans="1:26">
      <c r="A391" s="45"/>
      <c r="B391" s="45"/>
      <c r="C391" s="45"/>
      <c r="D391" s="45"/>
      <c r="E391" s="45"/>
      <c r="F391" s="45"/>
      <c r="G391" s="45"/>
      <c r="H391" s="45"/>
      <c r="I391" s="45"/>
      <c r="J391" s="45"/>
      <c r="K391" s="45"/>
      <c r="L391" s="45"/>
      <c r="M391" s="45"/>
      <c r="N391" s="44"/>
      <c r="O391" s="45"/>
      <c r="P391" s="45"/>
      <c r="Q391" s="45"/>
      <c r="R391" s="45"/>
      <c r="S391" s="45"/>
      <c r="T391" s="45"/>
      <c r="U391" s="45"/>
      <c r="V391" s="45"/>
      <c r="W391" s="45"/>
      <c r="X391" s="45"/>
      <c r="Y391" s="45"/>
      <c r="Z391" s="45"/>
    </row>
    <row r="392" spans="1:26">
      <c r="A392" s="45"/>
      <c r="B392" s="45"/>
      <c r="C392" s="45"/>
      <c r="D392" s="45"/>
      <c r="E392" s="45"/>
      <c r="F392" s="45"/>
      <c r="G392" s="45"/>
      <c r="H392" s="45"/>
      <c r="I392" s="45"/>
      <c r="J392" s="45"/>
      <c r="K392" s="45"/>
      <c r="L392" s="45"/>
      <c r="M392" s="45"/>
      <c r="N392" s="44"/>
      <c r="O392" s="45"/>
      <c r="P392" s="45"/>
      <c r="Q392" s="45"/>
      <c r="R392" s="45"/>
      <c r="S392" s="45"/>
      <c r="T392" s="45"/>
      <c r="U392" s="45"/>
      <c r="V392" s="45"/>
      <c r="W392" s="45"/>
      <c r="X392" s="45"/>
      <c r="Y392" s="45"/>
      <c r="Z392" s="45"/>
    </row>
    <row r="393" spans="1:26">
      <c r="A393" s="45"/>
      <c r="B393" s="45"/>
      <c r="C393" s="45"/>
      <c r="D393" s="45"/>
      <c r="E393" s="45"/>
      <c r="F393" s="45"/>
      <c r="G393" s="45"/>
      <c r="H393" s="45"/>
      <c r="I393" s="45"/>
      <c r="J393" s="45"/>
      <c r="K393" s="45"/>
      <c r="L393" s="45"/>
      <c r="M393" s="45"/>
      <c r="N393" s="44"/>
      <c r="O393" s="45"/>
      <c r="P393" s="45"/>
      <c r="Q393" s="45"/>
      <c r="R393" s="45"/>
      <c r="S393" s="45"/>
      <c r="T393" s="45"/>
      <c r="U393" s="45"/>
      <c r="V393" s="45"/>
      <c r="W393" s="45"/>
      <c r="X393" s="45"/>
      <c r="Y393" s="45"/>
      <c r="Z393" s="45"/>
    </row>
    <row r="394" spans="1:26">
      <c r="A394" s="45"/>
      <c r="B394" s="45"/>
      <c r="C394" s="45"/>
      <c r="D394" s="45"/>
      <c r="E394" s="45"/>
      <c r="F394" s="45"/>
      <c r="G394" s="45"/>
      <c r="H394" s="45"/>
      <c r="I394" s="45"/>
      <c r="J394" s="45"/>
      <c r="K394" s="45"/>
      <c r="L394" s="45"/>
      <c r="M394" s="45"/>
      <c r="N394" s="44"/>
      <c r="O394" s="45"/>
      <c r="P394" s="45"/>
      <c r="Q394" s="45"/>
      <c r="R394" s="45"/>
      <c r="S394" s="45"/>
      <c r="T394" s="45"/>
      <c r="U394" s="45"/>
      <c r="V394" s="45"/>
      <c r="W394" s="45"/>
      <c r="X394" s="45"/>
      <c r="Y394" s="45"/>
      <c r="Z394" s="45"/>
    </row>
    <row r="395" spans="1:26">
      <c r="A395" s="45"/>
      <c r="B395" s="45"/>
      <c r="C395" s="45"/>
      <c r="D395" s="45"/>
      <c r="E395" s="45"/>
      <c r="F395" s="45"/>
      <c r="G395" s="45"/>
      <c r="H395" s="45"/>
      <c r="I395" s="45"/>
      <c r="J395" s="45"/>
      <c r="K395" s="45"/>
      <c r="L395" s="45"/>
      <c r="M395" s="45"/>
      <c r="N395" s="44"/>
      <c r="O395" s="45"/>
      <c r="P395" s="45"/>
      <c r="Q395" s="45"/>
      <c r="R395" s="45"/>
      <c r="S395" s="45"/>
      <c r="T395" s="45"/>
      <c r="U395" s="45"/>
      <c r="V395" s="45"/>
      <c r="W395" s="45"/>
      <c r="X395" s="45"/>
      <c r="Y395" s="45"/>
      <c r="Z395" s="45"/>
    </row>
    <row r="396" spans="1:26">
      <c r="A396" s="45"/>
      <c r="B396" s="45"/>
      <c r="C396" s="45"/>
      <c r="D396" s="45"/>
      <c r="E396" s="45"/>
      <c r="F396" s="45"/>
      <c r="G396" s="45"/>
      <c r="H396" s="45"/>
      <c r="I396" s="45"/>
      <c r="J396" s="45"/>
      <c r="K396" s="45"/>
      <c r="L396" s="45"/>
      <c r="M396" s="45"/>
      <c r="N396" s="44"/>
      <c r="O396" s="45"/>
      <c r="P396" s="45"/>
      <c r="Q396" s="45"/>
      <c r="R396" s="45"/>
      <c r="S396" s="45"/>
      <c r="T396" s="45"/>
      <c r="U396" s="45"/>
      <c r="V396" s="45"/>
      <c r="W396" s="45"/>
      <c r="X396" s="45"/>
      <c r="Y396" s="45"/>
      <c r="Z396" s="45"/>
    </row>
    <row r="397" spans="1:26">
      <c r="A397" s="45"/>
      <c r="B397" s="45"/>
      <c r="C397" s="45"/>
      <c r="D397" s="45"/>
      <c r="E397" s="45"/>
      <c r="F397" s="45"/>
      <c r="G397" s="45"/>
      <c r="H397" s="45"/>
      <c r="I397" s="45"/>
      <c r="J397" s="45"/>
      <c r="K397" s="45"/>
      <c r="L397" s="45"/>
      <c r="M397" s="45"/>
      <c r="N397" s="44"/>
      <c r="O397" s="45"/>
      <c r="P397" s="45"/>
      <c r="Q397" s="45"/>
      <c r="R397" s="45"/>
      <c r="S397" s="45"/>
      <c r="T397" s="45"/>
      <c r="U397" s="45"/>
      <c r="V397" s="45"/>
      <c r="W397" s="45"/>
      <c r="X397" s="45"/>
      <c r="Y397" s="45"/>
      <c r="Z397" s="45"/>
    </row>
    <row r="398" spans="1:26">
      <c r="A398" s="45"/>
      <c r="B398" s="45"/>
      <c r="C398" s="45"/>
      <c r="D398" s="45"/>
      <c r="E398" s="45"/>
      <c r="F398" s="45"/>
      <c r="G398" s="45"/>
      <c r="H398" s="45"/>
      <c r="I398" s="45"/>
      <c r="J398" s="45"/>
      <c r="K398" s="45"/>
      <c r="L398" s="45"/>
      <c r="M398" s="45"/>
      <c r="N398" s="44"/>
      <c r="O398" s="45"/>
      <c r="P398" s="45"/>
      <c r="Q398" s="45"/>
      <c r="R398" s="45"/>
      <c r="S398" s="45"/>
      <c r="T398" s="45"/>
      <c r="U398" s="45"/>
      <c r="V398" s="45"/>
      <c r="W398" s="45"/>
      <c r="X398" s="45"/>
      <c r="Y398" s="45"/>
      <c r="Z398" s="45"/>
    </row>
    <row r="399" spans="1:26">
      <c r="A399" s="45"/>
      <c r="B399" s="45"/>
      <c r="C399" s="45"/>
      <c r="D399" s="45"/>
      <c r="E399" s="45"/>
      <c r="F399" s="45"/>
      <c r="G399" s="45"/>
      <c r="H399" s="45"/>
      <c r="I399" s="45"/>
      <c r="J399" s="45"/>
      <c r="K399" s="45"/>
      <c r="L399" s="45"/>
      <c r="M399" s="45"/>
      <c r="N399" s="44"/>
      <c r="O399" s="45"/>
      <c r="P399" s="45"/>
      <c r="Q399" s="45"/>
      <c r="R399" s="45"/>
      <c r="S399" s="45"/>
      <c r="T399" s="45"/>
      <c r="U399" s="45"/>
      <c r="V399" s="45"/>
      <c r="W399" s="45"/>
      <c r="X399" s="45"/>
      <c r="Y399" s="45"/>
      <c r="Z399" s="45"/>
    </row>
    <row r="400" spans="1:26">
      <c r="A400" s="45"/>
      <c r="B400" s="45"/>
      <c r="C400" s="45"/>
      <c r="D400" s="45"/>
      <c r="E400" s="45"/>
      <c r="F400" s="45"/>
      <c r="G400" s="45"/>
      <c r="H400" s="45"/>
      <c r="I400" s="45"/>
      <c r="J400" s="45"/>
      <c r="K400" s="45"/>
      <c r="L400" s="45"/>
      <c r="M400" s="45"/>
      <c r="N400" s="44"/>
      <c r="O400" s="45"/>
      <c r="P400" s="45"/>
      <c r="Q400" s="45"/>
      <c r="R400" s="45"/>
      <c r="S400" s="45"/>
      <c r="T400" s="45"/>
      <c r="U400" s="45"/>
      <c r="V400" s="45"/>
      <c r="W400" s="45"/>
      <c r="X400" s="45"/>
      <c r="Y400" s="45"/>
      <c r="Z400" s="45"/>
    </row>
    <row r="401" spans="1:26">
      <c r="A401" s="45"/>
      <c r="B401" s="45"/>
      <c r="C401" s="45"/>
      <c r="D401" s="45"/>
      <c r="E401" s="45"/>
      <c r="F401" s="45"/>
      <c r="G401" s="45"/>
      <c r="H401" s="45"/>
      <c r="I401" s="45"/>
      <c r="J401" s="45"/>
      <c r="K401" s="45"/>
      <c r="L401" s="45"/>
      <c r="M401" s="45"/>
      <c r="N401" s="44"/>
      <c r="O401" s="45"/>
      <c r="P401" s="45"/>
      <c r="Q401" s="45"/>
      <c r="R401" s="45"/>
      <c r="S401" s="45"/>
      <c r="T401" s="45"/>
      <c r="U401" s="45"/>
      <c r="V401" s="45"/>
      <c r="W401" s="45"/>
      <c r="X401" s="45"/>
      <c r="Y401" s="45"/>
      <c r="Z401" s="45"/>
    </row>
    <row r="402" spans="1:26">
      <c r="A402" s="45"/>
      <c r="B402" s="45"/>
      <c r="C402" s="45"/>
      <c r="D402" s="45"/>
      <c r="E402" s="45"/>
      <c r="F402" s="45"/>
      <c r="G402" s="45"/>
      <c r="H402" s="45"/>
      <c r="I402" s="45"/>
      <c r="J402" s="45"/>
      <c r="K402" s="45"/>
      <c r="L402" s="45"/>
      <c r="M402" s="45"/>
      <c r="N402" s="44"/>
      <c r="O402" s="45"/>
      <c r="P402" s="45"/>
      <c r="Q402" s="45"/>
      <c r="R402" s="45"/>
      <c r="S402" s="45"/>
      <c r="T402" s="45"/>
      <c r="U402" s="45"/>
      <c r="V402" s="45"/>
      <c r="W402" s="45"/>
      <c r="X402" s="45"/>
      <c r="Y402" s="45"/>
      <c r="Z402" s="45"/>
    </row>
    <row r="403" spans="1:26">
      <c r="A403" s="45"/>
      <c r="B403" s="45"/>
      <c r="C403" s="45"/>
      <c r="D403" s="45"/>
      <c r="E403" s="45"/>
      <c r="F403" s="45"/>
      <c r="G403" s="45"/>
      <c r="H403" s="45"/>
      <c r="I403" s="45"/>
      <c r="J403" s="45"/>
      <c r="K403" s="45"/>
      <c r="L403" s="45"/>
      <c r="M403" s="45"/>
      <c r="N403" s="44"/>
      <c r="O403" s="45"/>
      <c r="P403" s="45"/>
      <c r="Q403" s="45"/>
      <c r="R403" s="45"/>
      <c r="S403" s="45"/>
      <c r="T403" s="45"/>
      <c r="U403" s="45"/>
      <c r="V403" s="45"/>
      <c r="W403" s="45"/>
      <c r="X403" s="45"/>
      <c r="Y403" s="45"/>
      <c r="Z403" s="45"/>
    </row>
    <row r="404" spans="1:26">
      <c r="A404" s="45"/>
      <c r="B404" s="45"/>
      <c r="C404" s="45"/>
      <c r="D404" s="45"/>
      <c r="E404" s="45"/>
      <c r="F404" s="45"/>
      <c r="G404" s="45"/>
      <c r="H404" s="45"/>
      <c r="I404" s="45"/>
      <c r="J404" s="45"/>
      <c r="K404" s="45"/>
      <c r="L404" s="45"/>
      <c r="M404" s="45"/>
      <c r="N404" s="44"/>
      <c r="O404" s="45"/>
      <c r="P404" s="45"/>
      <c r="Q404" s="45"/>
      <c r="R404" s="45"/>
      <c r="S404" s="45"/>
      <c r="T404" s="45"/>
      <c r="U404" s="45"/>
      <c r="V404" s="45"/>
      <c r="W404" s="45"/>
      <c r="X404" s="45"/>
      <c r="Y404" s="45"/>
      <c r="Z404" s="45"/>
    </row>
    <row r="405" spans="1:26">
      <c r="A405" s="45"/>
      <c r="B405" s="45"/>
      <c r="C405" s="45"/>
      <c r="D405" s="45"/>
      <c r="E405" s="45"/>
      <c r="F405" s="45"/>
      <c r="G405" s="45"/>
      <c r="H405" s="45"/>
      <c r="I405" s="45"/>
      <c r="J405" s="45"/>
      <c r="K405" s="45"/>
      <c r="L405" s="45"/>
      <c r="M405" s="45"/>
      <c r="N405" s="44"/>
      <c r="O405" s="45"/>
      <c r="P405" s="45"/>
      <c r="Q405" s="45"/>
      <c r="R405" s="45"/>
      <c r="S405" s="45"/>
      <c r="T405" s="45"/>
      <c r="U405" s="45"/>
      <c r="V405" s="45"/>
      <c r="W405" s="45"/>
      <c r="X405" s="45"/>
      <c r="Y405" s="45"/>
      <c r="Z405" s="45"/>
    </row>
    <row r="406" spans="1:26">
      <c r="A406" s="45"/>
      <c r="B406" s="45"/>
      <c r="C406" s="45"/>
      <c r="D406" s="45"/>
      <c r="E406" s="45"/>
      <c r="F406" s="45"/>
      <c r="G406" s="45"/>
      <c r="H406" s="45"/>
      <c r="I406" s="45"/>
      <c r="J406" s="45"/>
      <c r="K406" s="45"/>
      <c r="L406" s="45"/>
      <c r="M406" s="45"/>
      <c r="N406" s="44"/>
      <c r="O406" s="45"/>
      <c r="P406" s="45"/>
      <c r="Q406" s="45"/>
      <c r="R406" s="45"/>
      <c r="S406" s="45"/>
      <c r="T406" s="45"/>
      <c r="U406" s="45"/>
      <c r="V406" s="45"/>
      <c r="W406" s="45"/>
      <c r="X406" s="45"/>
      <c r="Y406" s="45"/>
      <c r="Z406" s="45"/>
    </row>
    <row r="407" spans="1:26">
      <c r="A407" s="45"/>
      <c r="B407" s="45"/>
      <c r="C407" s="45"/>
      <c r="D407" s="45"/>
      <c r="E407" s="45"/>
      <c r="F407" s="45"/>
      <c r="G407" s="45"/>
      <c r="H407" s="45"/>
      <c r="I407" s="45"/>
      <c r="J407" s="45"/>
      <c r="K407" s="45"/>
      <c r="L407" s="45"/>
      <c r="M407" s="45"/>
      <c r="N407" s="44"/>
      <c r="O407" s="45"/>
      <c r="P407" s="45"/>
      <c r="Q407" s="45"/>
      <c r="R407" s="45"/>
      <c r="S407" s="45"/>
      <c r="T407" s="45"/>
      <c r="U407" s="45"/>
      <c r="V407" s="45"/>
      <c r="W407" s="45"/>
      <c r="X407" s="45"/>
      <c r="Y407" s="45"/>
      <c r="Z407" s="45"/>
    </row>
    <row r="408" spans="1:26">
      <c r="A408" s="45"/>
      <c r="B408" s="45"/>
      <c r="C408" s="45"/>
      <c r="D408" s="45"/>
      <c r="E408" s="45"/>
      <c r="F408" s="45"/>
      <c r="G408" s="45"/>
      <c r="H408" s="45"/>
      <c r="I408" s="45"/>
      <c r="J408" s="45"/>
      <c r="K408" s="45"/>
      <c r="L408" s="45"/>
      <c r="M408" s="45"/>
      <c r="N408" s="44"/>
      <c r="O408" s="45"/>
      <c r="P408" s="45"/>
      <c r="Q408" s="45"/>
      <c r="R408" s="45"/>
      <c r="S408" s="45"/>
      <c r="T408" s="45"/>
      <c r="U408" s="45"/>
      <c r="V408" s="45"/>
      <c r="W408" s="45"/>
      <c r="X408" s="45"/>
      <c r="Y408" s="45"/>
      <c r="Z408" s="45"/>
    </row>
    <row r="409" spans="1:26">
      <c r="A409" s="45"/>
      <c r="B409" s="45"/>
      <c r="C409" s="45"/>
      <c r="D409" s="45"/>
      <c r="E409" s="45"/>
      <c r="F409" s="45"/>
      <c r="G409" s="45"/>
      <c r="H409" s="45"/>
      <c r="I409" s="45"/>
      <c r="J409" s="45"/>
      <c r="K409" s="45"/>
      <c r="L409" s="45"/>
      <c r="M409" s="45"/>
      <c r="N409" s="44"/>
      <c r="O409" s="45"/>
      <c r="P409" s="45"/>
      <c r="Q409" s="45"/>
      <c r="R409" s="45"/>
      <c r="S409" s="45"/>
      <c r="T409" s="45"/>
      <c r="U409" s="45"/>
      <c r="V409" s="45"/>
      <c r="W409" s="45"/>
      <c r="X409" s="45"/>
      <c r="Y409" s="45"/>
      <c r="Z409" s="45"/>
    </row>
    <row r="410" spans="1:26">
      <c r="A410" s="45"/>
      <c r="B410" s="45"/>
      <c r="C410" s="45"/>
      <c r="D410" s="45"/>
      <c r="E410" s="45"/>
      <c r="F410" s="45"/>
      <c r="G410" s="45"/>
      <c r="H410" s="45"/>
      <c r="I410" s="45"/>
      <c r="J410" s="45"/>
      <c r="K410" s="45"/>
      <c r="L410" s="45"/>
      <c r="M410" s="45"/>
      <c r="N410" s="44"/>
      <c r="O410" s="45"/>
      <c r="P410" s="45"/>
      <c r="Q410" s="45"/>
      <c r="R410" s="45"/>
      <c r="S410" s="45"/>
      <c r="T410" s="45"/>
      <c r="U410" s="45"/>
      <c r="V410" s="45"/>
      <c r="W410" s="45"/>
      <c r="X410" s="45"/>
      <c r="Y410" s="45"/>
      <c r="Z410" s="45"/>
    </row>
    <row r="411" spans="1:26">
      <c r="A411" s="45"/>
      <c r="B411" s="45"/>
      <c r="C411" s="45"/>
      <c r="D411" s="45"/>
      <c r="E411" s="45"/>
      <c r="F411" s="45"/>
      <c r="G411" s="45"/>
      <c r="H411" s="45"/>
      <c r="I411" s="45"/>
      <c r="J411" s="45"/>
      <c r="K411" s="45"/>
      <c r="L411" s="45"/>
      <c r="M411" s="45"/>
      <c r="N411" s="44"/>
      <c r="O411" s="45"/>
      <c r="P411" s="45"/>
      <c r="Q411" s="45"/>
      <c r="R411" s="45"/>
      <c r="S411" s="45"/>
      <c r="T411" s="45"/>
      <c r="U411" s="45"/>
      <c r="V411" s="45"/>
      <c r="W411" s="45"/>
      <c r="X411" s="45"/>
      <c r="Y411" s="45"/>
      <c r="Z411" s="45"/>
    </row>
    <row r="412" spans="1:26">
      <c r="A412" s="45"/>
      <c r="B412" s="45"/>
      <c r="C412" s="45"/>
      <c r="D412" s="45"/>
      <c r="E412" s="45"/>
      <c r="F412" s="45"/>
      <c r="G412" s="45"/>
      <c r="H412" s="45"/>
      <c r="I412" s="45"/>
      <c r="J412" s="45"/>
      <c r="K412" s="45"/>
      <c r="L412" s="45"/>
      <c r="M412" s="45"/>
      <c r="N412" s="44"/>
      <c r="O412" s="45"/>
      <c r="P412" s="45"/>
      <c r="Q412" s="45"/>
      <c r="R412" s="45"/>
      <c r="S412" s="45"/>
      <c r="T412" s="45"/>
      <c r="U412" s="45"/>
      <c r="V412" s="45"/>
      <c r="W412" s="45"/>
      <c r="X412" s="45"/>
      <c r="Y412" s="45"/>
      <c r="Z412" s="45"/>
    </row>
    <row r="413" spans="1:26">
      <c r="A413" s="45"/>
      <c r="B413" s="45"/>
      <c r="C413" s="45"/>
      <c r="D413" s="45"/>
      <c r="E413" s="45"/>
      <c r="F413" s="45"/>
      <c r="G413" s="45"/>
      <c r="H413" s="45"/>
      <c r="I413" s="45"/>
      <c r="J413" s="45"/>
      <c r="K413" s="45"/>
      <c r="L413" s="45"/>
      <c r="M413" s="45"/>
      <c r="N413" s="44"/>
      <c r="O413" s="45"/>
      <c r="P413" s="45"/>
      <c r="Q413" s="45"/>
      <c r="R413" s="45"/>
      <c r="S413" s="45"/>
      <c r="T413" s="45"/>
      <c r="U413" s="45"/>
      <c r="V413" s="45"/>
      <c r="W413" s="45"/>
      <c r="X413" s="45"/>
      <c r="Y413" s="45"/>
      <c r="Z413" s="45"/>
    </row>
    <row r="414" spans="1:26">
      <c r="A414" s="45"/>
      <c r="B414" s="45"/>
      <c r="C414" s="45"/>
      <c r="D414" s="45"/>
      <c r="E414" s="45"/>
      <c r="F414" s="45"/>
      <c r="G414" s="45"/>
      <c r="H414" s="45"/>
      <c r="I414" s="45"/>
      <c r="J414" s="45"/>
      <c r="K414" s="45"/>
      <c r="L414" s="45"/>
      <c r="M414" s="45"/>
      <c r="N414" s="44"/>
      <c r="O414" s="45"/>
      <c r="P414" s="45"/>
      <c r="Q414" s="45"/>
      <c r="R414" s="45"/>
      <c r="S414" s="45"/>
      <c r="T414" s="45"/>
      <c r="U414" s="45"/>
      <c r="V414" s="45"/>
      <c r="W414" s="45"/>
      <c r="X414" s="45"/>
      <c r="Y414" s="45"/>
      <c r="Z414" s="45"/>
    </row>
    <row r="415" spans="1:26">
      <c r="A415" s="45"/>
      <c r="B415" s="45"/>
      <c r="C415" s="45"/>
      <c r="D415" s="45"/>
      <c r="E415" s="45"/>
      <c r="F415" s="45"/>
      <c r="G415" s="45"/>
      <c r="H415" s="45"/>
      <c r="I415" s="45"/>
      <c r="J415" s="45"/>
      <c r="K415" s="45"/>
      <c r="L415" s="45"/>
      <c r="M415" s="45"/>
      <c r="N415" s="44"/>
      <c r="O415" s="45"/>
      <c r="P415" s="45"/>
      <c r="Q415" s="45"/>
      <c r="R415" s="45"/>
      <c r="S415" s="45"/>
      <c r="T415" s="45"/>
      <c r="U415" s="45"/>
      <c r="V415" s="45"/>
      <c r="W415" s="45"/>
      <c r="X415" s="45"/>
      <c r="Y415" s="45"/>
      <c r="Z415" s="45"/>
    </row>
    <row r="416" spans="1:26">
      <c r="A416" s="45"/>
      <c r="B416" s="45"/>
      <c r="C416" s="45"/>
      <c r="D416" s="45"/>
      <c r="E416" s="45"/>
      <c r="F416" s="45"/>
      <c r="G416" s="45"/>
      <c r="H416" s="45"/>
      <c r="I416" s="45"/>
      <c r="J416" s="45"/>
      <c r="K416" s="45"/>
      <c r="L416" s="45"/>
      <c r="M416" s="45"/>
      <c r="N416" s="44"/>
      <c r="O416" s="45"/>
      <c r="P416" s="45"/>
      <c r="Q416" s="45"/>
      <c r="R416" s="45"/>
      <c r="S416" s="45"/>
      <c r="T416" s="45"/>
      <c r="U416" s="45"/>
      <c r="V416" s="45"/>
      <c r="W416" s="45"/>
      <c r="X416" s="45"/>
      <c r="Y416" s="45"/>
      <c r="Z416" s="45"/>
    </row>
    <row r="417" spans="1:26">
      <c r="A417" s="45"/>
      <c r="B417" s="45"/>
      <c r="C417" s="45"/>
      <c r="D417" s="45"/>
      <c r="E417" s="45"/>
      <c r="F417" s="45"/>
      <c r="G417" s="45"/>
      <c r="H417" s="45"/>
      <c r="I417" s="45"/>
      <c r="J417" s="45"/>
      <c r="K417" s="45"/>
      <c r="L417" s="45"/>
      <c r="M417" s="45"/>
      <c r="N417" s="44"/>
      <c r="O417" s="45"/>
      <c r="P417" s="45"/>
      <c r="Q417" s="45"/>
      <c r="R417" s="45"/>
      <c r="S417" s="45"/>
      <c r="T417" s="45"/>
      <c r="U417" s="45"/>
      <c r="V417" s="45"/>
      <c r="W417" s="45"/>
      <c r="X417" s="45"/>
      <c r="Y417" s="45"/>
      <c r="Z417" s="45"/>
    </row>
    <row r="418" spans="1:26">
      <c r="A418" s="45"/>
      <c r="B418" s="45"/>
      <c r="C418" s="45"/>
      <c r="D418" s="45"/>
      <c r="E418" s="45"/>
      <c r="F418" s="45"/>
      <c r="G418" s="45"/>
      <c r="H418" s="45"/>
      <c r="I418" s="45"/>
      <c r="J418" s="45"/>
      <c r="K418" s="45"/>
      <c r="L418" s="45"/>
      <c r="M418" s="45"/>
      <c r="N418" s="44"/>
      <c r="O418" s="45"/>
      <c r="P418" s="45"/>
      <c r="Q418" s="45"/>
      <c r="R418" s="45"/>
      <c r="S418" s="45"/>
      <c r="T418" s="45"/>
      <c r="U418" s="45"/>
      <c r="V418" s="45"/>
      <c r="W418" s="45"/>
      <c r="X418" s="45"/>
      <c r="Y418" s="45"/>
      <c r="Z418" s="45"/>
    </row>
    <row r="419" spans="1:26">
      <c r="A419" s="45"/>
      <c r="B419" s="45"/>
      <c r="C419" s="45"/>
      <c r="D419" s="45"/>
      <c r="E419" s="45"/>
      <c r="F419" s="45"/>
      <c r="G419" s="45"/>
      <c r="H419" s="45"/>
      <c r="I419" s="45"/>
      <c r="J419" s="45"/>
      <c r="K419" s="45"/>
      <c r="L419" s="45"/>
      <c r="M419" s="45"/>
      <c r="N419" s="44"/>
      <c r="O419" s="45"/>
      <c r="P419" s="45"/>
      <c r="Q419" s="45"/>
      <c r="R419" s="45"/>
      <c r="S419" s="45"/>
      <c r="T419" s="45"/>
      <c r="U419" s="45"/>
      <c r="V419" s="45"/>
      <c r="W419" s="45"/>
      <c r="X419" s="45"/>
      <c r="Y419" s="45"/>
      <c r="Z419" s="45"/>
    </row>
    <row r="420" spans="1:26">
      <c r="A420" s="45"/>
      <c r="B420" s="45"/>
      <c r="C420" s="45"/>
      <c r="D420" s="45"/>
      <c r="E420" s="45"/>
      <c r="F420" s="45"/>
      <c r="G420" s="45"/>
      <c r="H420" s="45"/>
      <c r="I420" s="45"/>
      <c r="J420" s="45"/>
      <c r="K420" s="45"/>
      <c r="L420" s="45"/>
      <c r="M420" s="45"/>
      <c r="N420" s="44"/>
      <c r="O420" s="45"/>
      <c r="P420" s="45"/>
      <c r="Q420" s="45"/>
      <c r="R420" s="45"/>
      <c r="S420" s="45"/>
      <c r="T420" s="45"/>
      <c r="U420" s="45"/>
      <c r="V420" s="45"/>
      <c r="W420" s="45"/>
      <c r="X420" s="45"/>
      <c r="Y420" s="45"/>
      <c r="Z420" s="45"/>
    </row>
    <row r="421" spans="1:26">
      <c r="A421" s="45"/>
      <c r="B421" s="45"/>
      <c r="C421" s="45"/>
      <c r="D421" s="45"/>
      <c r="E421" s="45"/>
      <c r="F421" s="45"/>
      <c r="G421" s="45"/>
      <c r="H421" s="45"/>
      <c r="I421" s="45"/>
      <c r="J421" s="45"/>
      <c r="K421" s="45"/>
      <c r="L421" s="45"/>
      <c r="M421" s="45"/>
      <c r="N421" s="44"/>
      <c r="O421" s="45"/>
      <c r="P421" s="45"/>
      <c r="Q421" s="45"/>
      <c r="R421" s="45"/>
      <c r="S421" s="45"/>
      <c r="T421" s="45"/>
      <c r="U421" s="45"/>
      <c r="V421" s="45"/>
      <c r="W421" s="45"/>
      <c r="X421" s="45"/>
      <c r="Y421" s="45"/>
      <c r="Z421" s="45"/>
    </row>
    <row r="422" spans="1:26">
      <c r="A422" s="45"/>
      <c r="B422" s="45"/>
      <c r="C422" s="45"/>
      <c r="D422" s="45"/>
      <c r="E422" s="45"/>
      <c r="F422" s="45"/>
      <c r="G422" s="45"/>
      <c r="H422" s="45"/>
      <c r="I422" s="45"/>
      <c r="J422" s="45"/>
      <c r="K422" s="45"/>
      <c r="L422" s="45"/>
      <c r="M422" s="45"/>
      <c r="N422" s="44"/>
      <c r="O422" s="45"/>
      <c r="P422" s="45"/>
      <c r="Q422" s="45"/>
      <c r="R422" s="45"/>
      <c r="S422" s="45"/>
      <c r="T422" s="45"/>
      <c r="U422" s="45"/>
      <c r="V422" s="45"/>
      <c r="W422" s="45"/>
      <c r="X422" s="45"/>
      <c r="Y422" s="45"/>
      <c r="Z422" s="45"/>
    </row>
    <row r="423" spans="1:26">
      <c r="A423" s="45"/>
      <c r="B423" s="45"/>
      <c r="C423" s="45"/>
      <c r="D423" s="45"/>
      <c r="E423" s="45"/>
      <c r="F423" s="45"/>
      <c r="G423" s="45"/>
      <c r="H423" s="45"/>
      <c r="I423" s="45"/>
      <c r="J423" s="45"/>
      <c r="K423" s="45"/>
      <c r="L423" s="45"/>
      <c r="M423" s="45"/>
      <c r="N423" s="44"/>
      <c r="O423" s="45"/>
      <c r="P423" s="45"/>
      <c r="Q423" s="45"/>
      <c r="R423" s="45"/>
      <c r="S423" s="45"/>
      <c r="T423" s="45"/>
      <c r="U423" s="45"/>
      <c r="V423" s="45"/>
      <c r="W423" s="45"/>
      <c r="X423" s="45"/>
      <c r="Y423" s="45"/>
      <c r="Z423" s="45"/>
    </row>
    <row r="424" spans="1:26">
      <c r="A424" s="45"/>
      <c r="B424" s="45"/>
      <c r="C424" s="45"/>
      <c r="D424" s="45"/>
      <c r="E424" s="45"/>
      <c r="F424" s="45"/>
      <c r="G424" s="45"/>
      <c r="H424" s="45"/>
      <c r="I424" s="45"/>
      <c r="J424" s="45"/>
      <c r="K424" s="45"/>
      <c r="L424" s="45"/>
      <c r="M424" s="45"/>
      <c r="N424" s="44"/>
      <c r="O424" s="45"/>
      <c r="P424" s="45"/>
      <c r="Q424" s="45"/>
      <c r="R424" s="45"/>
      <c r="S424" s="45"/>
      <c r="T424" s="45"/>
      <c r="U424" s="45"/>
      <c r="V424" s="45"/>
      <c r="W424" s="45"/>
      <c r="X424" s="45"/>
      <c r="Y424" s="45"/>
      <c r="Z424" s="45"/>
    </row>
    <row r="425" spans="1:26">
      <c r="A425" s="45"/>
      <c r="B425" s="45"/>
      <c r="C425" s="45"/>
      <c r="D425" s="45"/>
      <c r="E425" s="45"/>
      <c r="F425" s="45"/>
      <c r="G425" s="45"/>
      <c r="H425" s="45"/>
      <c r="I425" s="45"/>
      <c r="J425" s="45"/>
      <c r="K425" s="45"/>
      <c r="L425" s="45"/>
      <c r="M425" s="45"/>
      <c r="N425" s="44"/>
      <c r="O425" s="45"/>
      <c r="P425" s="45"/>
      <c r="Q425" s="45"/>
      <c r="R425" s="45"/>
      <c r="S425" s="45"/>
      <c r="T425" s="45"/>
      <c r="U425" s="45"/>
      <c r="V425" s="45"/>
      <c r="W425" s="45"/>
      <c r="X425" s="45"/>
      <c r="Y425" s="45"/>
      <c r="Z425" s="45"/>
    </row>
    <row r="426" spans="1:26">
      <c r="A426" s="45"/>
      <c r="B426" s="45"/>
      <c r="C426" s="45"/>
      <c r="D426" s="45"/>
      <c r="E426" s="45"/>
      <c r="F426" s="45"/>
      <c r="G426" s="45"/>
      <c r="H426" s="45"/>
      <c r="I426" s="45"/>
      <c r="J426" s="45"/>
      <c r="K426" s="45"/>
      <c r="L426" s="45"/>
      <c r="M426" s="45"/>
      <c r="N426" s="44"/>
      <c r="O426" s="45"/>
      <c r="P426" s="45"/>
      <c r="Q426" s="45"/>
      <c r="R426" s="45"/>
      <c r="S426" s="45"/>
      <c r="T426" s="45"/>
      <c r="U426" s="45"/>
      <c r="V426" s="45"/>
      <c r="W426" s="45"/>
      <c r="X426" s="45"/>
      <c r="Y426" s="45"/>
      <c r="Z426" s="45"/>
    </row>
    <row r="427" spans="1:26">
      <c r="A427" s="45"/>
      <c r="B427" s="45"/>
      <c r="C427" s="45"/>
      <c r="D427" s="45"/>
      <c r="E427" s="45"/>
      <c r="F427" s="45"/>
      <c r="G427" s="45"/>
      <c r="H427" s="45"/>
      <c r="I427" s="45"/>
      <c r="J427" s="45"/>
      <c r="K427" s="45"/>
      <c r="L427" s="45"/>
      <c r="M427" s="45"/>
      <c r="N427" s="44"/>
      <c r="O427" s="45"/>
      <c r="P427" s="45"/>
      <c r="Q427" s="45"/>
      <c r="R427" s="45"/>
      <c r="S427" s="45"/>
      <c r="T427" s="45"/>
      <c r="U427" s="45"/>
      <c r="V427" s="45"/>
      <c r="W427" s="45"/>
      <c r="X427" s="45"/>
      <c r="Y427" s="45"/>
      <c r="Z427" s="45"/>
    </row>
    <row r="428" spans="1:26">
      <c r="A428" s="45"/>
      <c r="B428" s="45"/>
      <c r="C428" s="45"/>
      <c r="D428" s="45"/>
      <c r="E428" s="45"/>
      <c r="F428" s="45"/>
      <c r="G428" s="45"/>
      <c r="H428" s="45"/>
      <c r="I428" s="45"/>
      <c r="J428" s="45"/>
      <c r="K428" s="45"/>
      <c r="L428" s="45"/>
      <c r="M428" s="45"/>
      <c r="N428" s="44"/>
      <c r="O428" s="45"/>
      <c r="P428" s="45"/>
      <c r="Q428" s="45"/>
      <c r="R428" s="45"/>
      <c r="S428" s="45"/>
      <c r="T428" s="45"/>
      <c r="U428" s="45"/>
      <c r="V428" s="45"/>
      <c r="W428" s="45"/>
      <c r="X428" s="45"/>
      <c r="Y428" s="45"/>
      <c r="Z428" s="45"/>
    </row>
    <row r="429" spans="1:26">
      <c r="A429" s="45"/>
      <c r="B429" s="45"/>
      <c r="C429" s="45"/>
      <c r="D429" s="45"/>
      <c r="E429" s="45"/>
      <c r="F429" s="45"/>
      <c r="G429" s="45"/>
      <c r="H429" s="45"/>
      <c r="I429" s="45"/>
      <c r="J429" s="45"/>
      <c r="K429" s="45"/>
      <c r="L429" s="45"/>
      <c r="M429" s="45"/>
      <c r="N429" s="44"/>
      <c r="O429" s="45"/>
      <c r="P429" s="45"/>
      <c r="Q429" s="45"/>
      <c r="R429" s="45"/>
      <c r="S429" s="45"/>
      <c r="T429" s="45"/>
      <c r="U429" s="45"/>
      <c r="V429" s="45"/>
      <c r="W429" s="45"/>
      <c r="X429" s="45"/>
      <c r="Y429" s="45"/>
      <c r="Z429" s="45"/>
    </row>
    <row r="430" spans="1:26">
      <c r="A430" s="45"/>
      <c r="B430" s="45"/>
      <c r="C430" s="45"/>
      <c r="D430" s="45"/>
      <c r="E430" s="45"/>
      <c r="F430" s="45"/>
      <c r="G430" s="45"/>
      <c r="H430" s="45"/>
      <c r="I430" s="45"/>
      <c r="J430" s="45"/>
      <c r="K430" s="45"/>
      <c r="L430" s="45"/>
      <c r="M430" s="45"/>
      <c r="N430" s="44"/>
      <c r="O430" s="45"/>
      <c r="P430" s="45"/>
      <c r="Q430" s="45"/>
      <c r="R430" s="45"/>
      <c r="S430" s="45"/>
      <c r="T430" s="45"/>
      <c r="U430" s="45"/>
      <c r="V430" s="45"/>
      <c r="W430" s="45"/>
      <c r="X430" s="45"/>
      <c r="Y430" s="45"/>
      <c r="Z430" s="45"/>
    </row>
    <row r="431" spans="1:26">
      <c r="A431" s="45"/>
      <c r="B431" s="45"/>
      <c r="C431" s="45"/>
      <c r="D431" s="45"/>
      <c r="E431" s="45"/>
      <c r="F431" s="45"/>
      <c r="G431" s="45"/>
      <c r="H431" s="45"/>
      <c r="I431" s="45"/>
      <c r="J431" s="45"/>
      <c r="K431" s="45"/>
      <c r="L431" s="45"/>
      <c r="M431" s="45"/>
      <c r="N431" s="44"/>
      <c r="O431" s="45"/>
      <c r="P431" s="45"/>
      <c r="Q431" s="45"/>
      <c r="R431" s="45"/>
      <c r="S431" s="45"/>
      <c r="T431" s="45"/>
      <c r="U431" s="45"/>
      <c r="V431" s="45"/>
      <c r="W431" s="45"/>
      <c r="X431" s="45"/>
      <c r="Y431" s="45"/>
      <c r="Z431" s="45"/>
    </row>
    <row r="432" spans="1:26">
      <c r="A432" s="45"/>
      <c r="B432" s="45"/>
      <c r="C432" s="45"/>
      <c r="D432" s="45"/>
      <c r="E432" s="45"/>
      <c r="F432" s="45"/>
      <c r="G432" s="45"/>
      <c r="H432" s="45"/>
      <c r="I432" s="45"/>
      <c r="J432" s="45"/>
      <c r="K432" s="45"/>
      <c r="L432" s="45"/>
      <c r="M432" s="45"/>
      <c r="N432" s="44"/>
      <c r="O432" s="45"/>
      <c r="P432" s="45"/>
      <c r="Q432" s="45"/>
      <c r="R432" s="45"/>
      <c r="S432" s="45"/>
      <c r="T432" s="45"/>
      <c r="U432" s="45"/>
      <c r="V432" s="45"/>
      <c r="W432" s="45"/>
      <c r="X432" s="45"/>
      <c r="Y432" s="45"/>
      <c r="Z432" s="45"/>
    </row>
    <row r="433" spans="1:26">
      <c r="A433" s="45"/>
      <c r="B433" s="45"/>
      <c r="C433" s="45"/>
      <c r="D433" s="45"/>
      <c r="E433" s="45"/>
      <c r="F433" s="45"/>
      <c r="G433" s="45"/>
      <c r="H433" s="45"/>
      <c r="I433" s="45"/>
      <c r="J433" s="45"/>
      <c r="K433" s="45"/>
      <c r="L433" s="45"/>
      <c r="M433" s="45"/>
      <c r="N433" s="44"/>
      <c r="O433" s="45"/>
      <c r="P433" s="45"/>
      <c r="Q433" s="45"/>
      <c r="R433" s="45"/>
      <c r="S433" s="45"/>
      <c r="T433" s="45"/>
      <c r="U433" s="45"/>
      <c r="V433" s="45"/>
      <c r="W433" s="45"/>
      <c r="X433" s="45"/>
      <c r="Y433" s="45"/>
      <c r="Z433" s="45"/>
    </row>
    <row r="434" spans="1:26">
      <c r="A434" s="45"/>
      <c r="B434" s="45"/>
      <c r="C434" s="45"/>
      <c r="D434" s="45"/>
      <c r="E434" s="45"/>
      <c r="F434" s="45"/>
      <c r="G434" s="45"/>
      <c r="H434" s="45"/>
      <c r="I434" s="45"/>
      <c r="J434" s="45"/>
      <c r="K434" s="45"/>
      <c r="L434" s="45"/>
      <c r="M434" s="45"/>
      <c r="N434" s="44"/>
      <c r="O434" s="45"/>
      <c r="P434" s="45"/>
      <c r="Q434" s="45"/>
      <c r="R434" s="45"/>
      <c r="S434" s="45"/>
      <c r="T434" s="45"/>
      <c r="U434" s="45"/>
      <c r="V434" s="45"/>
      <c r="W434" s="45"/>
      <c r="X434" s="45"/>
      <c r="Y434" s="45"/>
      <c r="Z434" s="45"/>
    </row>
    <row r="435" spans="1:26">
      <c r="A435" s="45"/>
      <c r="B435" s="45"/>
      <c r="C435" s="45"/>
      <c r="D435" s="45"/>
      <c r="E435" s="45"/>
      <c r="F435" s="45"/>
      <c r="G435" s="45"/>
      <c r="H435" s="45"/>
      <c r="I435" s="45"/>
      <c r="J435" s="45"/>
      <c r="K435" s="45"/>
      <c r="L435" s="45"/>
      <c r="M435" s="45"/>
      <c r="N435" s="44"/>
      <c r="O435" s="45"/>
      <c r="P435" s="45"/>
      <c r="Q435" s="45"/>
      <c r="R435" s="45"/>
      <c r="S435" s="45"/>
      <c r="T435" s="45"/>
      <c r="U435" s="45"/>
      <c r="V435" s="45"/>
      <c r="W435" s="45"/>
      <c r="X435" s="45"/>
      <c r="Y435" s="45"/>
      <c r="Z435" s="45"/>
    </row>
    <row r="436" spans="1:26">
      <c r="A436" s="45"/>
      <c r="B436" s="45"/>
      <c r="C436" s="45"/>
      <c r="D436" s="45"/>
      <c r="E436" s="45"/>
      <c r="F436" s="45"/>
      <c r="G436" s="45"/>
      <c r="H436" s="45"/>
      <c r="I436" s="45"/>
      <c r="J436" s="45"/>
      <c r="K436" s="45"/>
      <c r="L436" s="45"/>
      <c r="M436" s="45"/>
      <c r="N436" s="44"/>
      <c r="O436" s="45"/>
      <c r="P436" s="45"/>
      <c r="Q436" s="45"/>
      <c r="R436" s="45"/>
      <c r="S436" s="45"/>
      <c r="T436" s="45"/>
      <c r="U436" s="45"/>
      <c r="V436" s="45"/>
      <c r="W436" s="45"/>
      <c r="X436" s="45"/>
      <c r="Y436" s="45"/>
      <c r="Z436" s="45"/>
    </row>
    <row r="437" spans="1:26">
      <c r="A437" s="45"/>
      <c r="B437" s="45"/>
      <c r="C437" s="45"/>
      <c r="D437" s="45"/>
      <c r="E437" s="45"/>
      <c r="F437" s="45"/>
      <c r="G437" s="45"/>
      <c r="H437" s="45"/>
      <c r="I437" s="45"/>
      <c r="J437" s="45"/>
      <c r="K437" s="45"/>
      <c r="L437" s="45"/>
      <c r="M437" s="45"/>
      <c r="N437" s="44"/>
      <c r="O437" s="45"/>
      <c r="P437" s="45"/>
      <c r="Q437" s="45"/>
      <c r="R437" s="45"/>
      <c r="S437" s="45"/>
      <c r="T437" s="45"/>
      <c r="U437" s="45"/>
      <c r="V437" s="45"/>
      <c r="W437" s="45"/>
      <c r="X437" s="45"/>
      <c r="Y437" s="45"/>
      <c r="Z437" s="45"/>
    </row>
    <row r="438" spans="1:26">
      <c r="A438" s="45"/>
      <c r="B438" s="45"/>
      <c r="C438" s="45"/>
      <c r="D438" s="45"/>
      <c r="E438" s="45"/>
      <c r="F438" s="45"/>
      <c r="G438" s="45"/>
      <c r="H438" s="45"/>
      <c r="I438" s="45"/>
      <c r="J438" s="45"/>
      <c r="K438" s="45"/>
      <c r="L438" s="45"/>
      <c r="M438" s="45"/>
      <c r="N438" s="44"/>
      <c r="O438" s="45"/>
      <c r="P438" s="45"/>
      <c r="Q438" s="45"/>
      <c r="R438" s="45"/>
      <c r="S438" s="45"/>
      <c r="T438" s="45"/>
      <c r="U438" s="45"/>
      <c r="V438" s="45"/>
      <c r="W438" s="45"/>
      <c r="X438" s="45"/>
      <c r="Y438" s="45"/>
      <c r="Z438" s="45"/>
    </row>
    <row r="439" spans="1:26">
      <c r="A439" s="45"/>
      <c r="B439" s="45"/>
      <c r="C439" s="45"/>
      <c r="D439" s="45"/>
      <c r="E439" s="45"/>
      <c r="F439" s="45"/>
      <c r="G439" s="45"/>
      <c r="H439" s="45"/>
      <c r="I439" s="45"/>
      <c r="J439" s="45"/>
      <c r="K439" s="45"/>
      <c r="L439" s="45"/>
      <c r="M439" s="45"/>
      <c r="N439" s="44"/>
      <c r="O439" s="45"/>
      <c r="P439" s="45"/>
      <c r="Q439" s="45"/>
      <c r="R439" s="45"/>
      <c r="S439" s="45"/>
      <c r="T439" s="45"/>
      <c r="U439" s="45"/>
      <c r="V439" s="45"/>
      <c r="W439" s="45"/>
      <c r="X439" s="45"/>
      <c r="Y439" s="45"/>
      <c r="Z439" s="45"/>
    </row>
    <row r="440" spans="1:26">
      <c r="A440" s="45"/>
      <c r="B440" s="45"/>
      <c r="C440" s="45"/>
      <c r="D440" s="45"/>
      <c r="E440" s="45"/>
      <c r="F440" s="45"/>
      <c r="G440" s="45"/>
      <c r="H440" s="45"/>
      <c r="I440" s="45"/>
      <c r="J440" s="45"/>
      <c r="K440" s="45"/>
      <c r="L440" s="45"/>
      <c r="M440" s="45"/>
      <c r="N440" s="44"/>
      <c r="O440" s="45"/>
      <c r="P440" s="45"/>
      <c r="Q440" s="45"/>
      <c r="R440" s="45"/>
      <c r="S440" s="45"/>
      <c r="T440" s="45"/>
      <c r="U440" s="45"/>
      <c r="V440" s="45"/>
      <c r="W440" s="45"/>
      <c r="X440" s="45"/>
      <c r="Y440" s="45"/>
      <c r="Z440" s="45"/>
    </row>
    <row r="441" spans="1:26">
      <c r="A441" s="45"/>
      <c r="B441" s="45"/>
      <c r="C441" s="45"/>
      <c r="D441" s="45"/>
      <c r="E441" s="45"/>
      <c r="F441" s="45"/>
      <c r="G441" s="45"/>
      <c r="H441" s="45"/>
      <c r="I441" s="45"/>
      <c r="J441" s="45"/>
      <c r="K441" s="45"/>
      <c r="L441" s="45"/>
      <c r="M441" s="45"/>
      <c r="N441" s="44"/>
      <c r="O441" s="45"/>
      <c r="P441" s="45"/>
      <c r="Q441" s="45"/>
      <c r="R441" s="45"/>
      <c r="S441" s="45"/>
      <c r="T441" s="45"/>
      <c r="U441" s="45"/>
      <c r="V441" s="45"/>
      <c r="W441" s="45"/>
      <c r="X441" s="45"/>
      <c r="Y441" s="45"/>
      <c r="Z441" s="45"/>
    </row>
    <row r="442" spans="1:26">
      <c r="A442" s="45"/>
      <c r="B442" s="45"/>
      <c r="C442" s="45"/>
      <c r="D442" s="45"/>
      <c r="E442" s="45"/>
      <c r="F442" s="45"/>
      <c r="G442" s="45"/>
      <c r="H442" s="45"/>
      <c r="I442" s="45"/>
      <c r="J442" s="45"/>
      <c r="K442" s="45"/>
      <c r="L442" s="45"/>
      <c r="M442" s="45"/>
      <c r="N442" s="44"/>
      <c r="O442" s="45"/>
      <c r="P442" s="45"/>
      <c r="Q442" s="45"/>
      <c r="R442" s="45"/>
      <c r="S442" s="45"/>
      <c r="T442" s="45"/>
      <c r="U442" s="45"/>
      <c r="V442" s="45"/>
      <c r="W442" s="45"/>
      <c r="X442" s="45"/>
      <c r="Y442" s="45"/>
      <c r="Z442" s="45"/>
    </row>
    <row r="443" spans="1:26">
      <c r="A443" s="45"/>
      <c r="B443" s="45"/>
      <c r="C443" s="45"/>
      <c r="D443" s="45"/>
      <c r="E443" s="45"/>
      <c r="F443" s="45"/>
      <c r="G443" s="45"/>
      <c r="H443" s="45"/>
      <c r="I443" s="45"/>
      <c r="J443" s="45"/>
      <c r="K443" s="45"/>
      <c r="L443" s="45"/>
      <c r="M443" s="45"/>
      <c r="N443" s="44"/>
      <c r="O443" s="45"/>
      <c r="P443" s="45"/>
      <c r="Q443" s="45"/>
      <c r="R443" s="45"/>
      <c r="S443" s="45"/>
      <c r="T443" s="45"/>
      <c r="U443" s="45"/>
      <c r="V443" s="45"/>
      <c r="W443" s="45"/>
      <c r="X443" s="45"/>
      <c r="Y443" s="45"/>
      <c r="Z443" s="45"/>
    </row>
    <row r="444" spans="1:26">
      <c r="A444" s="45"/>
      <c r="B444" s="45"/>
      <c r="C444" s="45"/>
      <c r="D444" s="45"/>
      <c r="E444" s="45"/>
      <c r="F444" s="45"/>
      <c r="G444" s="45"/>
      <c r="H444" s="45"/>
      <c r="I444" s="45"/>
      <c r="J444" s="45"/>
      <c r="K444" s="45"/>
      <c r="L444" s="45"/>
      <c r="M444" s="45"/>
      <c r="N444" s="44"/>
      <c r="O444" s="45"/>
      <c r="P444" s="45"/>
      <c r="Q444" s="45"/>
      <c r="R444" s="45"/>
      <c r="S444" s="45"/>
      <c r="T444" s="45"/>
      <c r="U444" s="45"/>
      <c r="V444" s="45"/>
      <c r="W444" s="45"/>
      <c r="X444" s="45"/>
      <c r="Y444" s="45"/>
      <c r="Z444" s="45"/>
    </row>
    <row r="445" spans="1:26">
      <c r="A445" s="45"/>
      <c r="B445" s="45"/>
      <c r="C445" s="45"/>
      <c r="D445" s="45"/>
      <c r="E445" s="45"/>
      <c r="F445" s="45"/>
      <c r="G445" s="45"/>
      <c r="H445" s="45"/>
      <c r="I445" s="45"/>
      <c r="J445" s="45"/>
      <c r="K445" s="45"/>
      <c r="L445" s="45"/>
      <c r="M445" s="45"/>
      <c r="N445" s="44"/>
      <c r="O445" s="45"/>
      <c r="P445" s="45"/>
      <c r="Q445" s="45"/>
      <c r="R445" s="45"/>
      <c r="S445" s="45"/>
      <c r="T445" s="45"/>
      <c r="U445" s="45"/>
      <c r="V445" s="45"/>
      <c r="W445" s="45"/>
      <c r="X445" s="45"/>
      <c r="Y445" s="45"/>
      <c r="Z445" s="45"/>
    </row>
    <row r="446" spans="1:26">
      <c r="A446" s="45"/>
      <c r="B446" s="45"/>
      <c r="C446" s="45"/>
      <c r="D446" s="45"/>
      <c r="E446" s="45"/>
      <c r="F446" s="45"/>
      <c r="G446" s="45"/>
      <c r="H446" s="45"/>
      <c r="I446" s="45"/>
      <c r="J446" s="45"/>
      <c r="K446" s="45"/>
      <c r="L446" s="45"/>
      <c r="M446" s="45"/>
      <c r="N446" s="44"/>
      <c r="O446" s="45"/>
      <c r="P446" s="45"/>
      <c r="Q446" s="45"/>
      <c r="R446" s="45"/>
      <c r="S446" s="45"/>
      <c r="T446" s="45"/>
      <c r="U446" s="45"/>
      <c r="V446" s="45"/>
      <c r="W446" s="45"/>
      <c r="X446" s="45"/>
      <c r="Y446" s="45"/>
      <c r="Z446" s="45"/>
    </row>
    <row r="447" spans="1:26">
      <c r="A447" s="45"/>
      <c r="B447" s="45"/>
      <c r="C447" s="45"/>
      <c r="D447" s="45"/>
      <c r="E447" s="45"/>
      <c r="F447" s="45"/>
      <c r="G447" s="45"/>
      <c r="H447" s="45"/>
      <c r="I447" s="45"/>
      <c r="J447" s="45"/>
      <c r="K447" s="45"/>
      <c r="L447" s="45"/>
      <c r="M447" s="45"/>
      <c r="N447" s="44"/>
      <c r="O447" s="45"/>
      <c r="P447" s="45"/>
      <c r="Q447" s="45"/>
      <c r="R447" s="45"/>
      <c r="S447" s="45"/>
      <c r="T447" s="45"/>
      <c r="U447" s="45"/>
      <c r="V447" s="45"/>
      <c r="W447" s="45"/>
      <c r="X447" s="45"/>
      <c r="Y447" s="45"/>
      <c r="Z447" s="45"/>
    </row>
    <row r="448" spans="1:26">
      <c r="A448" s="45"/>
      <c r="B448" s="45"/>
      <c r="C448" s="45"/>
      <c r="D448" s="45"/>
      <c r="E448" s="45"/>
      <c r="F448" s="45"/>
      <c r="G448" s="45"/>
      <c r="H448" s="45"/>
      <c r="I448" s="45"/>
      <c r="J448" s="45"/>
      <c r="K448" s="45"/>
      <c r="L448" s="45"/>
      <c r="M448" s="45"/>
      <c r="N448" s="44"/>
      <c r="O448" s="45"/>
      <c r="P448" s="45"/>
      <c r="Q448" s="45"/>
      <c r="R448" s="45"/>
      <c r="S448" s="45"/>
      <c r="T448" s="45"/>
      <c r="U448" s="45"/>
      <c r="V448" s="45"/>
      <c r="W448" s="45"/>
      <c r="X448" s="45"/>
      <c r="Y448" s="45"/>
      <c r="Z448" s="45"/>
    </row>
    <row r="449" spans="1:26">
      <c r="A449" s="45"/>
      <c r="B449" s="45"/>
      <c r="C449" s="45"/>
      <c r="D449" s="45"/>
      <c r="E449" s="45"/>
      <c r="F449" s="45"/>
      <c r="G449" s="45"/>
      <c r="H449" s="45"/>
      <c r="I449" s="45"/>
      <c r="J449" s="45"/>
      <c r="K449" s="45"/>
      <c r="L449" s="45"/>
      <c r="M449" s="45"/>
      <c r="N449" s="44"/>
      <c r="O449" s="45"/>
      <c r="P449" s="45"/>
      <c r="Q449" s="45"/>
      <c r="R449" s="45"/>
      <c r="S449" s="45"/>
      <c r="T449" s="45"/>
      <c r="U449" s="45"/>
      <c r="V449" s="45"/>
      <c r="W449" s="45"/>
      <c r="X449" s="45"/>
      <c r="Y449" s="45"/>
      <c r="Z449" s="45"/>
    </row>
    <row r="450" spans="1:26">
      <c r="A450" s="45"/>
      <c r="B450" s="45"/>
      <c r="C450" s="45"/>
      <c r="D450" s="45"/>
      <c r="E450" s="45"/>
      <c r="F450" s="45"/>
      <c r="G450" s="45"/>
      <c r="H450" s="45"/>
      <c r="I450" s="45"/>
      <c r="J450" s="45"/>
      <c r="K450" s="45"/>
      <c r="L450" s="45"/>
      <c r="M450" s="45"/>
      <c r="N450" s="44"/>
      <c r="O450" s="45"/>
      <c r="P450" s="45"/>
      <c r="Q450" s="45"/>
      <c r="R450" s="45"/>
      <c r="S450" s="45"/>
      <c r="T450" s="45"/>
      <c r="U450" s="45"/>
      <c r="V450" s="45"/>
      <c r="W450" s="45"/>
      <c r="X450" s="45"/>
      <c r="Y450" s="45"/>
      <c r="Z450" s="45"/>
    </row>
    <row r="451" spans="1:26">
      <c r="A451" s="45"/>
      <c r="B451" s="45"/>
      <c r="C451" s="45"/>
      <c r="D451" s="45"/>
      <c r="E451" s="45"/>
      <c r="F451" s="45"/>
      <c r="G451" s="45"/>
      <c r="H451" s="45"/>
      <c r="I451" s="45"/>
      <c r="J451" s="45"/>
      <c r="K451" s="45"/>
      <c r="L451" s="45"/>
      <c r="M451" s="45"/>
      <c r="N451" s="44"/>
      <c r="O451" s="45"/>
      <c r="P451" s="45"/>
      <c r="Q451" s="45"/>
      <c r="R451" s="45"/>
      <c r="S451" s="45"/>
      <c r="T451" s="45"/>
      <c r="U451" s="45"/>
      <c r="V451" s="45"/>
      <c r="W451" s="45"/>
      <c r="X451" s="45"/>
      <c r="Y451" s="45"/>
      <c r="Z451" s="45"/>
    </row>
    <row r="452" spans="1:26">
      <c r="A452" s="45"/>
      <c r="B452" s="45"/>
      <c r="C452" s="45"/>
      <c r="D452" s="45"/>
      <c r="E452" s="45"/>
      <c r="F452" s="45"/>
      <c r="G452" s="45"/>
      <c r="H452" s="45"/>
      <c r="I452" s="45"/>
      <c r="J452" s="45"/>
      <c r="K452" s="45"/>
      <c r="L452" s="45"/>
      <c r="M452" s="45"/>
      <c r="N452" s="44"/>
      <c r="O452" s="45"/>
      <c r="P452" s="45"/>
      <c r="Q452" s="45"/>
      <c r="R452" s="45"/>
      <c r="S452" s="45"/>
      <c r="T452" s="45"/>
      <c r="U452" s="45"/>
      <c r="V452" s="45"/>
      <c r="W452" s="45"/>
      <c r="X452" s="45"/>
      <c r="Y452" s="45"/>
      <c r="Z452" s="45"/>
    </row>
    <row r="453" spans="1:26">
      <c r="A453" s="45"/>
      <c r="B453" s="45"/>
      <c r="C453" s="45"/>
      <c r="D453" s="45"/>
      <c r="E453" s="45"/>
      <c r="F453" s="45"/>
      <c r="G453" s="45"/>
      <c r="H453" s="45"/>
      <c r="I453" s="45"/>
      <c r="J453" s="45"/>
      <c r="K453" s="45"/>
      <c r="L453" s="45"/>
      <c r="M453" s="45"/>
      <c r="N453" s="44"/>
      <c r="O453" s="45"/>
      <c r="P453" s="45"/>
      <c r="Q453" s="45"/>
      <c r="R453" s="45"/>
      <c r="S453" s="45"/>
      <c r="T453" s="45"/>
      <c r="U453" s="45"/>
      <c r="V453" s="45"/>
      <c r="W453" s="45"/>
      <c r="X453" s="45"/>
      <c r="Y453" s="45"/>
      <c r="Z453" s="45"/>
    </row>
    <row r="454" spans="1:26">
      <c r="A454" s="45"/>
      <c r="B454" s="45"/>
      <c r="C454" s="45"/>
      <c r="D454" s="45"/>
      <c r="E454" s="45"/>
      <c r="F454" s="45"/>
      <c r="G454" s="45"/>
      <c r="H454" s="45"/>
      <c r="I454" s="45"/>
      <c r="J454" s="45"/>
      <c r="K454" s="45"/>
      <c r="L454" s="45"/>
      <c r="M454" s="45"/>
      <c r="N454" s="44"/>
      <c r="O454" s="45"/>
      <c r="P454" s="45"/>
      <c r="Q454" s="45"/>
      <c r="R454" s="45"/>
      <c r="S454" s="45"/>
      <c r="T454" s="45"/>
      <c r="U454" s="45"/>
      <c r="V454" s="45"/>
      <c r="W454" s="45"/>
      <c r="X454" s="45"/>
      <c r="Y454" s="45"/>
      <c r="Z454" s="45"/>
    </row>
    <row r="455" spans="1:26">
      <c r="A455" s="45"/>
      <c r="B455" s="45"/>
      <c r="C455" s="45"/>
      <c r="D455" s="45"/>
      <c r="E455" s="45"/>
      <c r="F455" s="45"/>
      <c r="G455" s="45"/>
      <c r="H455" s="45"/>
      <c r="I455" s="45"/>
      <c r="J455" s="45"/>
      <c r="K455" s="45"/>
      <c r="L455" s="45"/>
      <c r="M455" s="45"/>
      <c r="N455" s="44"/>
      <c r="O455" s="45"/>
      <c r="P455" s="45"/>
      <c r="Q455" s="45"/>
      <c r="R455" s="45"/>
      <c r="S455" s="45"/>
      <c r="T455" s="45"/>
      <c r="U455" s="45"/>
      <c r="V455" s="45"/>
      <c r="W455" s="45"/>
      <c r="X455" s="45"/>
      <c r="Y455" s="45"/>
      <c r="Z455" s="45"/>
    </row>
    <row r="456" spans="1:26">
      <c r="A456" s="45"/>
      <c r="B456" s="45"/>
      <c r="C456" s="45"/>
      <c r="D456" s="45"/>
      <c r="E456" s="45"/>
      <c r="F456" s="45"/>
      <c r="G456" s="45"/>
      <c r="H456" s="45"/>
      <c r="I456" s="45"/>
      <c r="J456" s="45"/>
      <c r="K456" s="45"/>
      <c r="L456" s="45"/>
      <c r="M456" s="45"/>
      <c r="N456" s="44"/>
      <c r="O456" s="45"/>
      <c r="P456" s="45"/>
      <c r="Q456" s="45"/>
      <c r="R456" s="45"/>
      <c r="S456" s="45"/>
      <c r="T456" s="45"/>
      <c r="U456" s="45"/>
      <c r="V456" s="45"/>
      <c r="W456" s="45"/>
      <c r="X456" s="45"/>
      <c r="Y456" s="45"/>
      <c r="Z456" s="45"/>
    </row>
    <row r="457" spans="1:26">
      <c r="A457" s="45"/>
      <c r="B457" s="45"/>
      <c r="C457" s="45"/>
      <c r="D457" s="45"/>
      <c r="E457" s="45"/>
      <c r="F457" s="45"/>
      <c r="G457" s="45"/>
      <c r="H457" s="45"/>
      <c r="I457" s="45"/>
      <c r="J457" s="45"/>
      <c r="K457" s="45"/>
      <c r="L457" s="45"/>
      <c r="M457" s="45"/>
      <c r="N457" s="44"/>
      <c r="O457" s="45"/>
      <c r="P457" s="45"/>
      <c r="Q457" s="45"/>
      <c r="R457" s="45"/>
      <c r="S457" s="45"/>
      <c r="T457" s="45"/>
      <c r="U457" s="45"/>
      <c r="V457" s="45"/>
      <c r="W457" s="45"/>
      <c r="X457" s="45"/>
      <c r="Y457" s="45"/>
      <c r="Z457" s="45"/>
    </row>
    <row r="458" spans="1:26">
      <c r="A458" s="45"/>
      <c r="B458" s="45"/>
      <c r="C458" s="45"/>
      <c r="D458" s="45"/>
      <c r="E458" s="45"/>
      <c r="F458" s="45"/>
      <c r="G458" s="45"/>
      <c r="H458" s="45"/>
      <c r="I458" s="45"/>
      <c r="J458" s="45"/>
      <c r="K458" s="45"/>
      <c r="L458" s="45"/>
      <c r="M458" s="45"/>
      <c r="N458" s="44"/>
      <c r="O458" s="45"/>
      <c r="P458" s="45"/>
      <c r="Q458" s="45"/>
      <c r="R458" s="45"/>
      <c r="S458" s="45"/>
      <c r="T458" s="45"/>
      <c r="U458" s="45"/>
      <c r="V458" s="45"/>
      <c r="W458" s="45"/>
      <c r="X458" s="45"/>
      <c r="Y458" s="45"/>
      <c r="Z458" s="45"/>
    </row>
    <row r="459" spans="1:26">
      <c r="A459" s="45"/>
      <c r="B459" s="45"/>
      <c r="C459" s="45"/>
      <c r="D459" s="45"/>
      <c r="E459" s="45"/>
      <c r="F459" s="45"/>
      <c r="G459" s="45"/>
      <c r="H459" s="45"/>
      <c r="I459" s="45"/>
      <c r="J459" s="45"/>
      <c r="K459" s="45"/>
      <c r="L459" s="45"/>
      <c r="M459" s="45"/>
      <c r="N459" s="44"/>
      <c r="O459" s="45"/>
      <c r="P459" s="45"/>
      <c r="Q459" s="45"/>
      <c r="R459" s="45"/>
      <c r="S459" s="45"/>
      <c r="T459" s="45"/>
      <c r="U459" s="45"/>
      <c r="V459" s="45"/>
      <c r="W459" s="45"/>
      <c r="X459" s="45"/>
      <c r="Y459" s="45"/>
      <c r="Z459" s="45"/>
    </row>
    <row r="460" spans="1:26">
      <c r="A460" s="45"/>
      <c r="B460" s="45"/>
      <c r="C460" s="45"/>
      <c r="D460" s="45"/>
      <c r="E460" s="45"/>
      <c r="F460" s="45"/>
      <c r="G460" s="45"/>
      <c r="H460" s="45"/>
      <c r="I460" s="45"/>
      <c r="J460" s="45"/>
      <c r="K460" s="45"/>
      <c r="L460" s="45"/>
      <c r="M460" s="45"/>
      <c r="N460" s="44"/>
      <c r="O460" s="45"/>
      <c r="P460" s="45"/>
      <c r="Q460" s="45"/>
      <c r="R460" s="45"/>
      <c r="S460" s="45"/>
      <c r="T460" s="45"/>
      <c r="U460" s="45"/>
      <c r="V460" s="45"/>
      <c r="W460" s="45"/>
      <c r="X460" s="45"/>
      <c r="Y460" s="45"/>
      <c r="Z460" s="45"/>
    </row>
    <row r="461" spans="1:26">
      <c r="A461" s="45"/>
      <c r="B461" s="45"/>
      <c r="C461" s="45"/>
      <c r="D461" s="45"/>
      <c r="E461" s="45"/>
      <c r="F461" s="45"/>
      <c r="G461" s="45"/>
      <c r="H461" s="45"/>
      <c r="I461" s="45"/>
      <c r="J461" s="45"/>
      <c r="K461" s="45"/>
      <c r="L461" s="45"/>
      <c r="M461" s="45"/>
      <c r="N461" s="44"/>
      <c r="O461" s="45"/>
      <c r="P461" s="45"/>
      <c r="Q461" s="45"/>
      <c r="R461" s="45"/>
      <c r="S461" s="45"/>
      <c r="T461" s="45"/>
      <c r="U461" s="45"/>
      <c r="V461" s="45"/>
      <c r="W461" s="45"/>
      <c r="X461" s="45"/>
      <c r="Y461" s="45"/>
      <c r="Z461" s="45"/>
    </row>
    <row r="462" spans="1:26">
      <c r="A462" s="45"/>
      <c r="B462" s="45"/>
      <c r="C462" s="45"/>
      <c r="D462" s="45"/>
      <c r="E462" s="45"/>
      <c r="F462" s="45"/>
      <c r="G462" s="45"/>
      <c r="H462" s="45"/>
      <c r="I462" s="45"/>
      <c r="J462" s="45"/>
      <c r="K462" s="45"/>
      <c r="L462" s="45"/>
      <c r="M462" s="45"/>
      <c r="N462" s="44"/>
      <c r="O462" s="45"/>
      <c r="P462" s="45"/>
      <c r="Q462" s="45"/>
      <c r="R462" s="45"/>
      <c r="S462" s="45"/>
      <c r="T462" s="45"/>
      <c r="U462" s="45"/>
      <c r="V462" s="45"/>
      <c r="W462" s="45"/>
      <c r="X462" s="45"/>
      <c r="Y462" s="45"/>
      <c r="Z462" s="45"/>
    </row>
    <row r="463" spans="1:26">
      <c r="A463" s="45"/>
      <c r="B463" s="45"/>
      <c r="C463" s="45"/>
      <c r="D463" s="45"/>
      <c r="E463" s="45"/>
      <c r="F463" s="45"/>
      <c r="G463" s="45"/>
      <c r="H463" s="45"/>
      <c r="I463" s="45"/>
      <c r="J463" s="45"/>
      <c r="K463" s="45"/>
      <c r="L463" s="45"/>
      <c r="M463" s="45"/>
      <c r="N463" s="44"/>
      <c r="O463" s="45"/>
      <c r="P463" s="45"/>
      <c r="Q463" s="45"/>
      <c r="R463" s="45"/>
      <c r="S463" s="45"/>
      <c r="T463" s="45"/>
      <c r="U463" s="45"/>
      <c r="V463" s="45"/>
      <c r="W463" s="45"/>
      <c r="X463" s="45"/>
      <c r="Y463" s="45"/>
      <c r="Z463" s="45"/>
    </row>
    <row r="464" spans="1:26">
      <c r="A464" s="45"/>
      <c r="B464" s="45"/>
      <c r="C464" s="45"/>
      <c r="D464" s="45"/>
      <c r="E464" s="45"/>
      <c r="F464" s="45"/>
      <c r="G464" s="45"/>
      <c r="H464" s="45"/>
      <c r="I464" s="45"/>
      <c r="J464" s="45"/>
      <c r="K464" s="45"/>
      <c r="L464" s="45"/>
      <c r="M464" s="45"/>
      <c r="N464" s="44"/>
      <c r="O464" s="45"/>
      <c r="P464" s="45"/>
      <c r="Q464" s="45"/>
      <c r="R464" s="45"/>
      <c r="S464" s="45"/>
      <c r="T464" s="45"/>
      <c r="U464" s="45"/>
      <c r="V464" s="45"/>
      <c r="W464" s="45"/>
      <c r="X464" s="45"/>
      <c r="Y464" s="45"/>
      <c r="Z464" s="45"/>
    </row>
    <row r="465" spans="1:26">
      <c r="A465" s="45"/>
      <c r="B465" s="45"/>
      <c r="C465" s="45"/>
      <c r="D465" s="45"/>
      <c r="E465" s="45"/>
      <c r="F465" s="45"/>
      <c r="G465" s="45"/>
      <c r="H465" s="45"/>
      <c r="I465" s="45"/>
      <c r="J465" s="45"/>
      <c r="K465" s="45"/>
      <c r="L465" s="45"/>
      <c r="M465" s="45"/>
      <c r="N465" s="44"/>
      <c r="O465" s="45"/>
      <c r="P465" s="45"/>
      <c r="Q465" s="45"/>
      <c r="R465" s="45"/>
      <c r="S465" s="45"/>
      <c r="T465" s="45"/>
      <c r="U465" s="45"/>
      <c r="V465" s="45"/>
      <c r="W465" s="45"/>
      <c r="X465" s="45"/>
      <c r="Y465" s="45"/>
      <c r="Z465" s="45"/>
    </row>
    <row r="466" spans="1:26">
      <c r="A466" s="45"/>
      <c r="B466" s="45"/>
      <c r="C466" s="45"/>
      <c r="D466" s="45"/>
      <c r="E466" s="45"/>
      <c r="F466" s="45"/>
      <c r="G466" s="45"/>
      <c r="H466" s="45"/>
      <c r="I466" s="45"/>
      <c r="J466" s="45"/>
      <c r="K466" s="45"/>
      <c r="L466" s="45"/>
      <c r="M466" s="45"/>
      <c r="N466" s="44"/>
      <c r="O466" s="45"/>
      <c r="P466" s="45"/>
      <c r="Q466" s="45"/>
      <c r="R466" s="45"/>
      <c r="S466" s="45"/>
      <c r="T466" s="45"/>
      <c r="U466" s="45"/>
      <c r="V466" s="45"/>
      <c r="W466" s="45"/>
      <c r="X466" s="45"/>
      <c r="Y466" s="45"/>
      <c r="Z466" s="45"/>
    </row>
    <row r="467" spans="1:26">
      <c r="A467" s="45"/>
      <c r="B467" s="45"/>
      <c r="C467" s="45"/>
      <c r="D467" s="45"/>
      <c r="E467" s="45"/>
      <c r="F467" s="45"/>
      <c r="G467" s="45"/>
      <c r="H467" s="45"/>
      <c r="I467" s="45"/>
      <c r="J467" s="45"/>
      <c r="K467" s="45"/>
      <c r="L467" s="45"/>
      <c r="M467" s="45"/>
      <c r="N467" s="44"/>
      <c r="O467" s="45"/>
      <c r="P467" s="45"/>
      <c r="Q467" s="45"/>
      <c r="R467" s="45"/>
      <c r="S467" s="45"/>
      <c r="T467" s="45"/>
      <c r="U467" s="45"/>
      <c r="V467" s="45"/>
      <c r="W467" s="45"/>
      <c r="X467" s="45"/>
      <c r="Y467" s="45"/>
      <c r="Z467" s="45"/>
    </row>
    <row r="468" spans="1:26">
      <c r="A468" s="45"/>
      <c r="B468" s="45"/>
      <c r="C468" s="45"/>
      <c r="D468" s="45"/>
      <c r="E468" s="45"/>
      <c r="F468" s="45"/>
      <c r="G468" s="45"/>
      <c r="H468" s="45"/>
      <c r="I468" s="45"/>
      <c r="J468" s="45"/>
      <c r="K468" s="45"/>
      <c r="L468" s="45"/>
      <c r="M468" s="45"/>
      <c r="N468" s="44"/>
      <c r="O468" s="45"/>
      <c r="P468" s="45"/>
      <c r="Q468" s="45"/>
      <c r="R468" s="45"/>
      <c r="S468" s="45"/>
      <c r="T468" s="45"/>
      <c r="U468" s="45"/>
      <c r="V468" s="45"/>
      <c r="W468" s="45"/>
      <c r="X468" s="45"/>
      <c r="Y468" s="45"/>
      <c r="Z468" s="45"/>
    </row>
    <row r="469" spans="1:26">
      <c r="A469" s="45"/>
      <c r="B469" s="45"/>
      <c r="C469" s="45"/>
      <c r="D469" s="45"/>
      <c r="E469" s="45"/>
      <c r="F469" s="45"/>
      <c r="G469" s="45"/>
      <c r="H469" s="45"/>
      <c r="I469" s="45"/>
      <c r="J469" s="45"/>
      <c r="K469" s="45"/>
      <c r="L469" s="45"/>
      <c r="M469" s="45"/>
      <c r="N469" s="44"/>
      <c r="O469" s="45"/>
      <c r="P469" s="45"/>
      <c r="Q469" s="45"/>
      <c r="R469" s="45"/>
      <c r="S469" s="45"/>
      <c r="T469" s="45"/>
      <c r="U469" s="45"/>
      <c r="V469" s="45"/>
      <c r="W469" s="45"/>
      <c r="X469" s="45"/>
      <c r="Y469" s="45"/>
      <c r="Z469" s="45"/>
    </row>
    <row r="470" spans="1:26">
      <c r="A470" s="45"/>
      <c r="B470" s="45"/>
      <c r="C470" s="45"/>
      <c r="D470" s="45"/>
      <c r="E470" s="45"/>
      <c r="F470" s="45"/>
      <c r="G470" s="45"/>
      <c r="H470" s="45"/>
      <c r="I470" s="45"/>
      <c r="J470" s="45"/>
      <c r="K470" s="45"/>
      <c r="L470" s="45"/>
      <c r="M470" s="45"/>
      <c r="N470" s="44"/>
      <c r="O470" s="45"/>
      <c r="P470" s="45"/>
      <c r="Q470" s="45"/>
      <c r="R470" s="45"/>
      <c r="S470" s="45"/>
      <c r="T470" s="45"/>
      <c r="U470" s="45"/>
      <c r="V470" s="45"/>
      <c r="W470" s="45"/>
      <c r="X470" s="45"/>
      <c r="Y470" s="45"/>
      <c r="Z470" s="45"/>
    </row>
    <row r="471" spans="1:26">
      <c r="A471" s="45"/>
      <c r="B471" s="45"/>
      <c r="C471" s="45"/>
      <c r="D471" s="45"/>
      <c r="E471" s="45"/>
      <c r="F471" s="45"/>
      <c r="G471" s="45"/>
      <c r="H471" s="45"/>
      <c r="I471" s="45"/>
      <c r="J471" s="45"/>
      <c r="K471" s="45"/>
      <c r="L471" s="45"/>
      <c r="M471" s="45"/>
      <c r="N471" s="44"/>
      <c r="O471" s="45"/>
      <c r="P471" s="45"/>
      <c r="Q471" s="45"/>
      <c r="R471" s="45"/>
      <c r="S471" s="45"/>
      <c r="T471" s="45"/>
      <c r="U471" s="45"/>
      <c r="V471" s="45"/>
      <c r="W471" s="45"/>
      <c r="X471" s="45"/>
      <c r="Y471" s="45"/>
      <c r="Z471" s="45"/>
    </row>
    <row r="472" spans="1:26">
      <c r="A472" s="45"/>
      <c r="B472" s="45"/>
      <c r="C472" s="45"/>
      <c r="D472" s="45"/>
      <c r="E472" s="45"/>
      <c r="F472" s="45"/>
      <c r="G472" s="45"/>
      <c r="H472" s="45"/>
      <c r="I472" s="45"/>
      <c r="J472" s="45"/>
      <c r="K472" s="45"/>
      <c r="L472" s="45"/>
      <c r="M472" s="45"/>
      <c r="N472" s="44"/>
      <c r="O472" s="45"/>
      <c r="P472" s="45"/>
      <c r="Q472" s="45"/>
      <c r="R472" s="45"/>
      <c r="S472" s="45"/>
      <c r="T472" s="45"/>
      <c r="U472" s="45"/>
      <c r="V472" s="45"/>
      <c r="W472" s="45"/>
      <c r="X472" s="45"/>
      <c r="Y472" s="45"/>
      <c r="Z472" s="45"/>
    </row>
    <row r="473" spans="1:26">
      <c r="A473" s="45"/>
      <c r="B473" s="45"/>
      <c r="C473" s="45"/>
      <c r="D473" s="45"/>
      <c r="E473" s="45"/>
      <c r="F473" s="45"/>
      <c r="G473" s="45"/>
      <c r="H473" s="45"/>
      <c r="I473" s="45"/>
      <c r="J473" s="45"/>
      <c r="K473" s="45"/>
      <c r="L473" s="45"/>
      <c r="M473" s="45"/>
      <c r="N473" s="44"/>
      <c r="O473" s="45"/>
      <c r="P473" s="45"/>
      <c r="Q473" s="45"/>
      <c r="R473" s="45"/>
      <c r="S473" s="45"/>
      <c r="T473" s="45"/>
      <c r="U473" s="45"/>
      <c r="V473" s="45"/>
      <c r="W473" s="45"/>
      <c r="X473" s="45"/>
      <c r="Y473" s="45"/>
      <c r="Z473" s="45"/>
    </row>
    <row r="474" spans="1:26">
      <c r="A474" s="45"/>
      <c r="B474" s="45"/>
      <c r="C474" s="45"/>
      <c r="D474" s="45"/>
      <c r="E474" s="45"/>
      <c r="F474" s="45"/>
      <c r="G474" s="45"/>
      <c r="H474" s="45"/>
      <c r="I474" s="45"/>
      <c r="J474" s="45"/>
      <c r="K474" s="45"/>
      <c r="L474" s="45"/>
      <c r="M474" s="45"/>
      <c r="N474" s="44"/>
      <c r="O474" s="45"/>
      <c r="P474" s="45"/>
      <c r="Q474" s="45"/>
      <c r="R474" s="45"/>
      <c r="S474" s="45"/>
      <c r="T474" s="45"/>
      <c r="U474" s="45"/>
      <c r="V474" s="45"/>
      <c r="W474" s="45"/>
      <c r="X474" s="45"/>
      <c r="Y474" s="45"/>
      <c r="Z474" s="45"/>
    </row>
    <row r="475" spans="1:26">
      <c r="A475" s="45"/>
      <c r="B475" s="45"/>
      <c r="C475" s="45"/>
      <c r="D475" s="45"/>
      <c r="E475" s="45"/>
      <c r="F475" s="45"/>
      <c r="G475" s="45"/>
      <c r="H475" s="45"/>
      <c r="I475" s="45"/>
      <c r="J475" s="45"/>
      <c r="K475" s="45"/>
      <c r="L475" s="45"/>
      <c r="M475" s="45"/>
      <c r="N475" s="44"/>
      <c r="O475" s="45"/>
      <c r="P475" s="45"/>
      <c r="Q475" s="45"/>
      <c r="R475" s="45"/>
      <c r="S475" s="45"/>
      <c r="T475" s="45"/>
      <c r="U475" s="45"/>
      <c r="V475" s="45"/>
      <c r="W475" s="45"/>
      <c r="X475" s="45"/>
      <c r="Y475" s="45"/>
      <c r="Z475" s="45"/>
    </row>
    <row r="476" spans="1:26">
      <c r="A476" s="45"/>
      <c r="B476" s="45"/>
      <c r="C476" s="45"/>
      <c r="D476" s="45"/>
      <c r="E476" s="45"/>
      <c r="F476" s="45"/>
      <c r="G476" s="45"/>
      <c r="H476" s="45"/>
      <c r="I476" s="45"/>
      <c r="J476" s="45"/>
      <c r="K476" s="45"/>
      <c r="L476" s="45"/>
      <c r="M476" s="45"/>
      <c r="N476" s="44"/>
      <c r="O476" s="45"/>
      <c r="P476" s="45"/>
      <c r="Q476" s="45"/>
      <c r="R476" s="45"/>
      <c r="S476" s="45"/>
      <c r="T476" s="45"/>
      <c r="U476" s="45"/>
      <c r="V476" s="45"/>
      <c r="W476" s="45"/>
      <c r="X476" s="45"/>
      <c r="Y476" s="45"/>
      <c r="Z476" s="45"/>
    </row>
    <row r="477" spans="1:26">
      <c r="A477" s="45"/>
      <c r="B477" s="45"/>
      <c r="C477" s="45"/>
      <c r="D477" s="45"/>
      <c r="E477" s="45"/>
      <c r="F477" s="45"/>
      <c r="G477" s="45"/>
      <c r="H477" s="45"/>
      <c r="I477" s="45"/>
      <c r="J477" s="45"/>
      <c r="K477" s="45"/>
      <c r="L477" s="45"/>
      <c r="M477" s="45"/>
      <c r="N477" s="44"/>
      <c r="O477" s="45"/>
      <c r="P477" s="45"/>
      <c r="Q477" s="45"/>
      <c r="R477" s="45"/>
      <c r="S477" s="45"/>
      <c r="T477" s="45"/>
      <c r="U477" s="45"/>
      <c r="V477" s="45"/>
      <c r="W477" s="45"/>
      <c r="X477" s="45"/>
      <c r="Y477" s="45"/>
      <c r="Z477" s="45"/>
    </row>
    <row r="478" spans="1:26">
      <c r="A478" s="45"/>
      <c r="B478" s="45"/>
      <c r="C478" s="45"/>
      <c r="D478" s="45"/>
      <c r="E478" s="45"/>
      <c r="F478" s="45"/>
      <c r="G478" s="45"/>
      <c r="H478" s="45"/>
      <c r="I478" s="45"/>
      <c r="J478" s="45"/>
      <c r="K478" s="45"/>
      <c r="L478" s="45"/>
      <c r="M478" s="45"/>
      <c r="N478" s="44"/>
      <c r="O478" s="45"/>
      <c r="P478" s="45"/>
      <c r="Q478" s="45"/>
      <c r="R478" s="45"/>
      <c r="S478" s="45"/>
      <c r="T478" s="45"/>
      <c r="U478" s="45"/>
      <c r="V478" s="45"/>
      <c r="W478" s="45"/>
      <c r="X478" s="45"/>
      <c r="Y478" s="45"/>
      <c r="Z478" s="45"/>
    </row>
    <row r="479" spans="1:26">
      <c r="A479" s="45"/>
      <c r="B479" s="45"/>
      <c r="C479" s="45"/>
      <c r="D479" s="45"/>
      <c r="E479" s="45"/>
      <c r="F479" s="45"/>
      <c r="G479" s="45"/>
      <c r="H479" s="45"/>
      <c r="I479" s="45"/>
      <c r="J479" s="45"/>
      <c r="K479" s="45"/>
      <c r="L479" s="45"/>
      <c r="M479" s="45"/>
      <c r="N479" s="44"/>
      <c r="O479" s="45"/>
      <c r="P479" s="45"/>
      <c r="Q479" s="45"/>
      <c r="R479" s="45"/>
      <c r="S479" s="45"/>
      <c r="T479" s="45"/>
      <c r="U479" s="45"/>
      <c r="V479" s="45"/>
      <c r="W479" s="45"/>
      <c r="X479" s="45"/>
      <c r="Y479" s="45"/>
      <c r="Z479" s="45"/>
    </row>
    <row r="480" spans="1:26">
      <c r="A480" s="45"/>
      <c r="B480" s="45"/>
      <c r="C480" s="45"/>
      <c r="D480" s="45"/>
      <c r="E480" s="45"/>
      <c r="F480" s="45"/>
      <c r="G480" s="45"/>
      <c r="H480" s="45"/>
      <c r="I480" s="45"/>
      <c r="J480" s="45"/>
      <c r="K480" s="45"/>
      <c r="L480" s="45"/>
      <c r="M480" s="45"/>
      <c r="N480" s="44"/>
      <c r="O480" s="45"/>
      <c r="P480" s="45"/>
      <c r="Q480" s="45"/>
      <c r="R480" s="45"/>
      <c r="S480" s="45"/>
      <c r="T480" s="45"/>
      <c r="U480" s="45"/>
      <c r="V480" s="45"/>
      <c r="W480" s="45"/>
      <c r="X480" s="45"/>
      <c r="Y480" s="45"/>
      <c r="Z480" s="45"/>
    </row>
    <row r="481" spans="1:26">
      <c r="A481" s="45"/>
      <c r="B481" s="45"/>
      <c r="C481" s="45"/>
      <c r="D481" s="45"/>
      <c r="E481" s="45"/>
      <c r="F481" s="45"/>
      <c r="G481" s="45"/>
      <c r="H481" s="45"/>
      <c r="I481" s="45"/>
      <c r="J481" s="45"/>
      <c r="K481" s="45"/>
      <c r="L481" s="45"/>
      <c r="M481" s="45"/>
      <c r="N481" s="44"/>
      <c r="O481" s="45"/>
      <c r="P481" s="45"/>
      <c r="Q481" s="45"/>
      <c r="R481" s="45"/>
      <c r="S481" s="45"/>
      <c r="T481" s="45"/>
      <c r="U481" s="45"/>
      <c r="V481" s="45"/>
      <c r="W481" s="45"/>
      <c r="X481" s="45"/>
      <c r="Y481" s="45"/>
      <c r="Z481" s="45"/>
    </row>
    <row r="482" spans="1:26">
      <c r="A482" s="45"/>
      <c r="B482" s="45"/>
      <c r="C482" s="45"/>
      <c r="D482" s="45"/>
      <c r="E482" s="45"/>
      <c r="F482" s="45"/>
      <c r="G482" s="45"/>
      <c r="H482" s="45"/>
      <c r="I482" s="45"/>
      <c r="J482" s="45"/>
      <c r="K482" s="45"/>
      <c r="L482" s="45"/>
      <c r="M482" s="45"/>
      <c r="N482" s="44"/>
      <c r="O482" s="45"/>
      <c r="P482" s="45"/>
      <c r="Q482" s="45"/>
      <c r="R482" s="45"/>
      <c r="S482" s="45"/>
      <c r="T482" s="45"/>
      <c r="U482" s="45"/>
      <c r="V482" s="45"/>
      <c r="W482" s="45"/>
      <c r="X482" s="45"/>
      <c r="Y482" s="45"/>
      <c r="Z482" s="45"/>
    </row>
    <row r="483" spans="1:26">
      <c r="A483" s="45"/>
      <c r="B483" s="45"/>
      <c r="C483" s="45"/>
      <c r="D483" s="45"/>
      <c r="E483" s="45"/>
      <c r="F483" s="45"/>
      <c r="G483" s="45"/>
      <c r="H483" s="45"/>
      <c r="I483" s="45"/>
      <c r="J483" s="45"/>
      <c r="K483" s="45"/>
      <c r="L483" s="45"/>
      <c r="M483" s="45"/>
      <c r="N483" s="44"/>
      <c r="O483" s="45"/>
      <c r="P483" s="45"/>
      <c r="Q483" s="45"/>
      <c r="R483" s="45"/>
      <c r="S483" s="45"/>
      <c r="T483" s="45"/>
      <c r="U483" s="45"/>
      <c r="V483" s="45"/>
      <c r="W483" s="45"/>
      <c r="X483" s="45"/>
      <c r="Y483" s="45"/>
      <c r="Z483" s="45"/>
    </row>
    <row r="484" spans="1:26">
      <c r="A484" s="45"/>
      <c r="B484" s="45"/>
      <c r="C484" s="45"/>
      <c r="D484" s="45"/>
      <c r="E484" s="45"/>
      <c r="F484" s="45"/>
      <c r="G484" s="45"/>
      <c r="H484" s="45"/>
      <c r="I484" s="45"/>
      <c r="J484" s="45"/>
      <c r="K484" s="45"/>
      <c r="L484" s="45"/>
      <c r="M484" s="45"/>
      <c r="N484" s="44"/>
      <c r="O484" s="45"/>
      <c r="P484" s="45"/>
      <c r="Q484" s="45"/>
      <c r="R484" s="45"/>
      <c r="S484" s="45"/>
      <c r="T484" s="45"/>
      <c r="U484" s="45"/>
      <c r="V484" s="45"/>
      <c r="W484" s="45"/>
      <c r="X484" s="45"/>
      <c r="Y484" s="45"/>
      <c r="Z484" s="45"/>
    </row>
    <row r="485" spans="1:26">
      <c r="A485" s="45"/>
      <c r="B485" s="45"/>
      <c r="C485" s="45"/>
      <c r="D485" s="45"/>
      <c r="E485" s="45"/>
      <c r="F485" s="45"/>
      <c r="G485" s="45"/>
      <c r="H485" s="45"/>
      <c r="I485" s="45"/>
      <c r="J485" s="45"/>
      <c r="K485" s="45"/>
      <c r="L485" s="45"/>
      <c r="M485" s="45"/>
      <c r="N485" s="44"/>
      <c r="O485" s="45"/>
      <c r="P485" s="45"/>
      <c r="Q485" s="45"/>
      <c r="R485" s="45"/>
      <c r="S485" s="45"/>
      <c r="T485" s="45"/>
      <c r="U485" s="45"/>
      <c r="V485" s="45"/>
      <c r="W485" s="45"/>
      <c r="X485" s="45"/>
      <c r="Y485" s="45"/>
      <c r="Z485" s="45"/>
    </row>
    <row r="486" spans="1:26">
      <c r="A486" s="45"/>
      <c r="B486" s="45"/>
      <c r="C486" s="45"/>
      <c r="D486" s="45"/>
      <c r="E486" s="45"/>
      <c r="F486" s="45"/>
      <c r="G486" s="45"/>
      <c r="H486" s="45"/>
      <c r="I486" s="45"/>
      <c r="J486" s="45"/>
      <c r="K486" s="45"/>
      <c r="L486" s="45"/>
      <c r="M486" s="45"/>
      <c r="N486" s="44"/>
      <c r="O486" s="45"/>
      <c r="P486" s="45"/>
      <c r="Q486" s="45"/>
      <c r="R486" s="45"/>
      <c r="S486" s="45"/>
      <c r="T486" s="45"/>
      <c r="U486" s="45"/>
      <c r="V486" s="45"/>
      <c r="W486" s="45"/>
      <c r="X486" s="45"/>
      <c r="Y486" s="45"/>
      <c r="Z486" s="45"/>
    </row>
    <row r="487" spans="1:26">
      <c r="A487" s="45"/>
      <c r="B487" s="45"/>
      <c r="C487" s="45"/>
      <c r="D487" s="45"/>
      <c r="E487" s="45"/>
      <c r="F487" s="45"/>
      <c r="G487" s="45"/>
      <c r="H487" s="45"/>
      <c r="I487" s="45"/>
      <c r="J487" s="45"/>
      <c r="K487" s="45"/>
      <c r="L487" s="45"/>
      <c r="M487" s="45"/>
      <c r="N487" s="44"/>
      <c r="O487" s="45"/>
      <c r="P487" s="45"/>
      <c r="Q487" s="45"/>
      <c r="R487" s="45"/>
      <c r="S487" s="45"/>
      <c r="T487" s="45"/>
      <c r="U487" s="45"/>
      <c r="V487" s="45"/>
      <c r="W487" s="45"/>
      <c r="X487" s="45"/>
      <c r="Y487" s="45"/>
      <c r="Z487" s="45"/>
    </row>
    <row r="488" spans="1:26">
      <c r="A488" s="45"/>
      <c r="B488" s="45"/>
      <c r="C488" s="45"/>
      <c r="D488" s="45"/>
      <c r="E488" s="45"/>
      <c r="F488" s="45"/>
      <c r="G488" s="45"/>
      <c r="H488" s="45"/>
      <c r="I488" s="45"/>
      <c r="J488" s="45"/>
      <c r="K488" s="45"/>
      <c r="L488" s="45"/>
      <c r="M488" s="45"/>
      <c r="N488" s="44"/>
      <c r="O488" s="45"/>
      <c r="P488" s="45"/>
      <c r="Q488" s="45"/>
      <c r="R488" s="45"/>
      <c r="S488" s="45"/>
      <c r="T488" s="45"/>
      <c r="U488" s="45"/>
      <c r="V488" s="45"/>
      <c r="W488" s="45"/>
      <c r="X488" s="45"/>
      <c r="Y488" s="45"/>
      <c r="Z488" s="45"/>
    </row>
    <row r="489" spans="1:26">
      <c r="A489" s="45"/>
      <c r="B489" s="45"/>
      <c r="C489" s="45"/>
      <c r="D489" s="45"/>
      <c r="E489" s="45"/>
      <c r="F489" s="45"/>
      <c r="G489" s="45"/>
      <c r="H489" s="45"/>
      <c r="I489" s="45"/>
      <c r="J489" s="45"/>
      <c r="K489" s="45"/>
      <c r="L489" s="45"/>
      <c r="M489" s="45"/>
      <c r="N489" s="44"/>
      <c r="O489" s="45"/>
      <c r="P489" s="45"/>
      <c r="Q489" s="45"/>
      <c r="R489" s="45"/>
      <c r="S489" s="45"/>
      <c r="T489" s="45"/>
      <c r="U489" s="45"/>
      <c r="V489" s="45"/>
      <c r="W489" s="45"/>
      <c r="X489" s="45"/>
      <c r="Y489" s="45"/>
      <c r="Z489" s="45"/>
    </row>
    <row r="490" spans="1:26">
      <c r="A490" s="45"/>
      <c r="B490" s="45"/>
      <c r="C490" s="45"/>
      <c r="D490" s="45"/>
      <c r="E490" s="45"/>
      <c r="F490" s="45"/>
      <c r="G490" s="45"/>
      <c r="H490" s="45"/>
      <c r="I490" s="45"/>
      <c r="J490" s="45"/>
      <c r="K490" s="45"/>
      <c r="L490" s="45"/>
      <c r="M490" s="45"/>
      <c r="N490" s="44"/>
      <c r="O490" s="45"/>
      <c r="P490" s="45"/>
      <c r="Q490" s="45"/>
      <c r="R490" s="45"/>
      <c r="S490" s="45"/>
      <c r="T490" s="45"/>
      <c r="U490" s="45"/>
      <c r="V490" s="45"/>
      <c r="W490" s="45"/>
      <c r="X490" s="45"/>
      <c r="Y490" s="45"/>
      <c r="Z490" s="45"/>
    </row>
    <row r="491" spans="1:26">
      <c r="A491" s="45"/>
      <c r="B491" s="45"/>
      <c r="C491" s="45"/>
      <c r="D491" s="45"/>
      <c r="E491" s="45"/>
      <c r="F491" s="45"/>
      <c r="G491" s="45"/>
      <c r="H491" s="45"/>
      <c r="I491" s="45"/>
      <c r="J491" s="45"/>
      <c r="K491" s="45"/>
      <c r="L491" s="45"/>
      <c r="M491" s="45"/>
      <c r="N491" s="44"/>
      <c r="O491" s="45"/>
      <c r="P491" s="45"/>
      <c r="Q491" s="45"/>
      <c r="R491" s="45"/>
      <c r="S491" s="45"/>
      <c r="T491" s="45"/>
      <c r="U491" s="45"/>
      <c r="V491" s="45"/>
      <c r="W491" s="45"/>
      <c r="X491" s="45"/>
      <c r="Y491" s="45"/>
      <c r="Z491" s="45"/>
    </row>
    <row r="492" spans="1:26">
      <c r="A492" s="45"/>
      <c r="B492" s="45"/>
      <c r="C492" s="45"/>
      <c r="D492" s="45"/>
      <c r="E492" s="45"/>
      <c r="F492" s="45"/>
      <c r="G492" s="45"/>
      <c r="H492" s="45"/>
      <c r="I492" s="45"/>
      <c r="J492" s="45"/>
      <c r="K492" s="45"/>
      <c r="L492" s="45"/>
      <c r="M492" s="45"/>
      <c r="N492" s="44"/>
      <c r="O492" s="45"/>
      <c r="P492" s="45"/>
      <c r="Q492" s="45"/>
      <c r="R492" s="45"/>
      <c r="S492" s="45"/>
      <c r="T492" s="45"/>
      <c r="U492" s="45"/>
      <c r="V492" s="45"/>
      <c r="W492" s="45"/>
      <c r="X492" s="45"/>
      <c r="Y492" s="45"/>
      <c r="Z492" s="45"/>
    </row>
    <row r="493" spans="1:26">
      <c r="A493" s="45"/>
      <c r="B493" s="45"/>
      <c r="C493" s="45"/>
      <c r="D493" s="45"/>
      <c r="E493" s="45"/>
      <c r="F493" s="45"/>
      <c r="G493" s="45"/>
      <c r="H493" s="45"/>
      <c r="I493" s="45"/>
      <c r="J493" s="45"/>
      <c r="K493" s="45"/>
      <c r="L493" s="45"/>
      <c r="M493" s="45"/>
      <c r="N493" s="44"/>
      <c r="O493" s="45"/>
      <c r="P493" s="45"/>
      <c r="Q493" s="45"/>
      <c r="R493" s="45"/>
      <c r="S493" s="45"/>
      <c r="T493" s="45"/>
      <c r="U493" s="45"/>
      <c r="V493" s="45"/>
      <c r="W493" s="45"/>
      <c r="X493" s="45"/>
      <c r="Y493" s="45"/>
      <c r="Z493" s="45"/>
    </row>
    <row r="494" spans="1:26">
      <c r="A494" s="45"/>
      <c r="B494" s="45"/>
      <c r="C494" s="45"/>
      <c r="D494" s="45"/>
      <c r="E494" s="45"/>
      <c r="F494" s="45"/>
      <c r="G494" s="45"/>
      <c r="H494" s="45"/>
      <c r="I494" s="45"/>
      <c r="J494" s="45"/>
      <c r="K494" s="45"/>
      <c r="L494" s="45"/>
      <c r="M494" s="45"/>
      <c r="N494" s="44"/>
      <c r="O494" s="45"/>
      <c r="P494" s="45"/>
      <c r="Q494" s="45"/>
      <c r="R494" s="45"/>
      <c r="S494" s="45"/>
      <c r="T494" s="45"/>
      <c r="U494" s="45"/>
      <c r="V494" s="45"/>
      <c r="W494" s="45"/>
      <c r="X494" s="45"/>
      <c r="Y494" s="45"/>
      <c r="Z494" s="45"/>
    </row>
    <row r="495" spans="1:26">
      <c r="A495" s="45"/>
      <c r="B495" s="45"/>
      <c r="C495" s="45"/>
      <c r="D495" s="45"/>
      <c r="E495" s="45"/>
      <c r="F495" s="45"/>
      <c r="G495" s="45"/>
      <c r="H495" s="45"/>
      <c r="I495" s="45"/>
      <c r="J495" s="45"/>
      <c r="K495" s="45"/>
      <c r="L495" s="45"/>
      <c r="M495" s="45"/>
      <c r="N495" s="44"/>
      <c r="O495" s="45"/>
      <c r="P495" s="45"/>
      <c r="Q495" s="45"/>
      <c r="R495" s="45"/>
      <c r="S495" s="45"/>
      <c r="T495" s="45"/>
      <c r="U495" s="45"/>
      <c r="V495" s="45"/>
      <c r="W495" s="45"/>
      <c r="X495" s="45"/>
      <c r="Y495" s="45"/>
      <c r="Z495" s="45"/>
    </row>
    <row r="496" spans="1:26">
      <c r="A496" s="45"/>
      <c r="B496" s="45"/>
      <c r="C496" s="45"/>
      <c r="D496" s="45"/>
      <c r="E496" s="45"/>
      <c r="F496" s="45"/>
      <c r="G496" s="45"/>
      <c r="H496" s="45"/>
      <c r="I496" s="45"/>
      <c r="J496" s="45"/>
      <c r="K496" s="45"/>
      <c r="L496" s="45"/>
      <c r="M496" s="45"/>
      <c r="N496" s="44"/>
      <c r="O496" s="45"/>
      <c r="P496" s="45"/>
      <c r="Q496" s="45"/>
      <c r="R496" s="45"/>
      <c r="S496" s="45"/>
      <c r="T496" s="45"/>
      <c r="U496" s="45"/>
      <c r="V496" s="45"/>
      <c r="W496" s="45"/>
      <c r="X496" s="45"/>
      <c r="Y496" s="45"/>
      <c r="Z496" s="45"/>
    </row>
    <row r="497" spans="1:26">
      <c r="A497" s="45"/>
      <c r="B497" s="45"/>
      <c r="C497" s="45"/>
      <c r="D497" s="45"/>
      <c r="E497" s="45"/>
      <c r="F497" s="45"/>
      <c r="G497" s="45"/>
      <c r="H497" s="45"/>
      <c r="I497" s="45"/>
      <c r="J497" s="45"/>
      <c r="K497" s="45"/>
      <c r="L497" s="45"/>
      <c r="M497" s="45"/>
      <c r="N497" s="44"/>
      <c r="O497" s="45"/>
      <c r="P497" s="45"/>
      <c r="Q497" s="45"/>
      <c r="R497" s="45"/>
      <c r="S497" s="45"/>
      <c r="T497" s="45"/>
      <c r="U497" s="45"/>
      <c r="V497" s="45"/>
      <c r="W497" s="45"/>
      <c r="X497" s="45"/>
      <c r="Y497" s="45"/>
      <c r="Z497" s="45"/>
    </row>
    <row r="498" spans="1:26">
      <c r="A498" s="45"/>
      <c r="B498" s="45"/>
      <c r="C498" s="45"/>
      <c r="D498" s="45"/>
      <c r="E498" s="45"/>
      <c r="F498" s="45"/>
      <c r="G498" s="45"/>
      <c r="H498" s="45"/>
      <c r="I498" s="45"/>
      <c r="J498" s="45"/>
      <c r="K498" s="45"/>
      <c r="L498" s="45"/>
      <c r="M498" s="45"/>
      <c r="N498" s="44"/>
      <c r="O498" s="45"/>
      <c r="P498" s="45"/>
      <c r="Q498" s="45"/>
      <c r="R498" s="45"/>
      <c r="S498" s="45"/>
      <c r="T498" s="45"/>
      <c r="U498" s="45"/>
      <c r="V498" s="45"/>
      <c r="W498" s="45"/>
      <c r="X498" s="45"/>
      <c r="Y498" s="45"/>
      <c r="Z498" s="45"/>
    </row>
    <row r="499" spans="1:26">
      <c r="A499" s="45"/>
      <c r="B499" s="45"/>
      <c r="C499" s="45"/>
      <c r="D499" s="45"/>
      <c r="E499" s="45"/>
      <c r="F499" s="45"/>
      <c r="G499" s="45"/>
      <c r="H499" s="45"/>
      <c r="I499" s="45"/>
      <c r="J499" s="45"/>
      <c r="K499" s="45"/>
      <c r="L499" s="45"/>
      <c r="M499" s="45"/>
      <c r="N499" s="44"/>
      <c r="O499" s="45"/>
      <c r="P499" s="45"/>
      <c r="Q499" s="45"/>
      <c r="R499" s="45"/>
      <c r="S499" s="45"/>
      <c r="T499" s="45"/>
      <c r="U499" s="45"/>
      <c r="V499" s="45"/>
      <c r="W499" s="45"/>
      <c r="X499" s="45"/>
      <c r="Y499" s="45"/>
      <c r="Z499" s="45"/>
    </row>
    <row r="500" spans="1:26">
      <c r="A500" s="45"/>
      <c r="B500" s="45"/>
      <c r="C500" s="45"/>
      <c r="D500" s="45"/>
      <c r="E500" s="45"/>
      <c r="F500" s="45"/>
      <c r="G500" s="45"/>
      <c r="H500" s="45"/>
      <c r="I500" s="45"/>
      <c r="J500" s="45"/>
      <c r="K500" s="45"/>
      <c r="L500" s="45"/>
      <c r="M500" s="45"/>
      <c r="N500" s="44"/>
      <c r="O500" s="45"/>
      <c r="P500" s="45"/>
      <c r="Q500" s="45"/>
      <c r="R500" s="45"/>
      <c r="S500" s="45"/>
      <c r="T500" s="45"/>
      <c r="U500" s="45"/>
      <c r="V500" s="45"/>
      <c r="W500" s="45"/>
      <c r="X500" s="45"/>
      <c r="Y500" s="45"/>
      <c r="Z500" s="45"/>
    </row>
    <row r="501" spans="1:26">
      <c r="A501" s="45"/>
      <c r="B501" s="45"/>
      <c r="C501" s="45"/>
      <c r="D501" s="45"/>
      <c r="E501" s="45"/>
      <c r="F501" s="45"/>
      <c r="G501" s="45"/>
      <c r="H501" s="45"/>
      <c r="I501" s="45"/>
      <c r="J501" s="45"/>
      <c r="K501" s="45"/>
      <c r="L501" s="45"/>
      <c r="M501" s="45"/>
      <c r="N501" s="44"/>
      <c r="O501" s="45"/>
      <c r="P501" s="45"/>
      <c r="Q501" s="45"/>
      <c r="R501" s="45"/>
      <c r="S501" s="45"/>
      <c r="T501" s="45"/>
      <c r="U501" s="45"/>
      <c r="V501" s="45"/>
      <c r="W501" s="45"/>
      <c r="X501" s="45"/>
      <c r="Y501" s="45"/>
      <c r="Z501" s="45"/>
    </row>
    <row r="502" spans="1:26">
      <c r="A502" s="45"/>
      <c r="B502" s="45"/>
      <c r="C502" s="45"/>
      <c r="D502" s="45"/>
      <c r="E502" s="45"/>
      <c r="F502" s="45"/>
      <c r="G502" s="45"/>
      <c r="H502" s="45"/>
      <c r="I502" s="45"/>
      <c r="J502" s="45"/>
      <c r="K502" s="45"/>
      <c r="L502" s="45"/>
      <c r="M502" s="45"/>
      <c r="N502" s="44"/>
      <c r="O502" s="45"/>
      <c r="P502" s="45"/>
      <c r="Q502" s="45"/>
      <c r="R502" s="45"/>
      <c r="S502" s="45"/>
      <c r="T502" s="45"/>
      <c r="U502" s="45"/>
      <c r="V502" s="45"/>
      <c r="W502" s="45"/>
      <c r="X502" s="45"/>
      <c r="Y502" s="45"/>
      <c r="Z502" s="45"/>
    </row>
    <row r="503" spans="1:26">
      <c r="A503" s="45"/>
      <c r="B503" s="45"/>
      <c r="C503" s="45"/>
      <c r="D503" s="45"/>
      <c r="E503" s="45"/>
      <c r="F503" s="45"/>
      <c r="G503" s="45"/>
      <c r="H503" s="45"/>
      <c r="I503" s="45"/>
      <c r="J503" s="45"/>
      <c r="K503" s="45"/>
      <c r="L503" s="45"/>
      <c r="M503" s="45"/>
      <c r="N503" s="44"/>
      <c r="O503" s="45"/>
      <c r="P503" s="45"/>
      <c r="Q503" s="45"/>
      <c r="R503" s="45"/>
      <c r="S503" s="45"/>
      <c r="T503" s="45"/>
      <c r="U503" s="45"/>
      <c r="V503" s="45"/>
      <c r="W503" s="45"/>
      <c r="X503" s="45"/>
      <c r="Y503" s="45"/>
      <c r="Z503" s="45"/>
    </row>
    <row r="504" spans="1:26">
      <c r="A504" s="45"/>
      <c r="B504" s="45"/>
      <c r="C504" s="45"/>
      <c r="D504" s="45"/>
      <c r="E504" s="45"/>
      <c r="F504" s="45"/>
      <c r="G504" s="45"/>
      <c r="H504" s="45"/>
      <c r="I504" s="45"/>
      <c r="J504" s="45"/>
      <c r="K504" s="45"/>
      <c r="L504" s="45"/>
      <c r="M504" s="45"/>
      <c r="N504" s="44"/>
      <c r="O504" s="45"/>
      <c r="P504" s="45"/>
      <c r="Q504" s="45"/>
      <c r="R504" s="45"/>
      <c r="S504" s="45"/>
      <c r="T504" s="45"/>
      <c r="U504" s="45"/>
      <c r="V504" s="45"/>
      <c r="W504" s="45"/>
      <c r="X504" s="45"/>
      <c r="Y504" s="45"/>
      <c r="Z504" s="45"/>
    </row>
    <row r="505" spans="1:26">
      <c r="A505" s="45"/>
      <c r="B505" s="45"/>
      <c r="C505" s="45"/>
      <c r="D505" s="45"/>
      <c r="E505" s="45"/>
      <c r="F505" s="45"/>
      <c r="G505" s="45"/>
      <c r="H505" s="45"/>
      <c r="I505" s="45"/>
      <c r="J505" s="45"/>
      <c r="K505" s="45"/>
      <c r="L505" s="45"/>
      <c r="M505" s="45"/>
      <c r="N505" s="44"/>
      <c r="O505" s="45"/>
      <c r="P505" s="45"/>
      <c r="Q505" s="45"/>
      <c r="R505" s="45"/>
      <c r="S505" s="45"/>
      <c r="T505" s="45"/>
      <c r="U505" s="45"/>
      <c r="V505" s="45"/>
      <c r="W505" s="45"/>
      <c r="X505" s="45"/>
      <c r="Y505" s="45"/>
      <c r="Z505" s="45"/>
    </row>
    <row r="506" spans="1:26">
      <c r="A506" s="45"/>
      <c r="B506" s="45"/>
      <c r="C506" s="45"/>
      <c r="D506" s="45"/>
      <c r="E506" s="45"/>
      <c r="F506" s="45"/>
      <c r="G506" s="45"/>
      <c r="H506" s="45"/>
      <c r="I506" s="45"/>
      <c r="J506" s="45"/>
      <c r="K506" s="45"/>
      <c r="L506" s="45"/>
      <c r="M506" s="45"/>
      <c r="N506" s="44"/>
      <c r="O506" s="45"/>
      <c r="P506" s="45"/>
      <c r="Q506" s="45"/>
      <c r="R506" s="45"/>
      <c r="S506" s="45"/>
      <c r="T506" s="45"/>
      <c r="U506" s="45"/>
      <c r="V506" s="45"/>
      <c r="W506" s="45"/>
      <c r="X506" s="45"/>
      <c r="Y506" s="45"/>
      <c r="Z506" s="45"/>
    </row>
    <row r="507" spans="1:26">
      <c r="A507" s="45"/>
      <c r="B507" s="45"/>
      <c r="C507" s="45"/>
      <c r="D507" s="45"/>
      <c r="E507" s="45"/>
      <c r="F507" s="45"/>
      <c r="G507" s="45"/>
      <c r="H507" s="45"/>
      <c r="I507" s="45"/>
      <c r="J507" s="45"/>
      <c r="K507" s="45"/>
      <c r="L507" s="45"/>
      <c r="M507" s="45"/>
      <c r="N507" s="44"/>
      <c r="O507" s="45"/>
      <c r="P507" s="45"/>
      <c r="Q507" s="45"/>
      <c r="R507" s="45"/>
      <c r="S507" s="45"/>
      <c r="T507" s="45"/>
      <c r="U507" s="45"/>
      <c r="V507" s="45"/>
      <c r="W507" s="45"/>
      <c r="X507" s="45"/>
      <c r="Y507" s="45"/>
      <c r="Z507" s="45"/>
    </row>
    <row r="508" spans="1:26">
      <c r="A508" s="45"/>
      <c r="B508" s="45"/>
      <c r="C508" s="45"/>
      <c r="D508" s="45"/>
      <c r="E508" s="45"/>
      <c r="F508" s="45"/>
      <c r="G508" s="45"/>
      <c r="H508" s="45"/>
      <c r="I508" s="45"/>
      <c r="J508" s="45"/>
      <c r="K508" s="45"/>
      <c r="L508" s="45"/>
      <c r="M508" s="45"/>
      <c r="N508" s="44"/>
      <c r="O508" s="45"/>
      <c r="P508" s="45"/>
      <c r="Q508" s="45"/>
      <c r="R508" s="45"/>
      <c r="S508" s="45"/>
      <c r="T508" s="45"/>
      <c r="U508" s="45"/>
      <c r="V508" s="45"/>
      <c r="W508" s="45"/>
      <c r="X508" s="45"/>
      <c r="Y508" s="45"/>
      <c r="Z508" s="45"/>
    </row>
    <row r="509" spans="1:26">
      <c r="A509" s="45"/>
      <c r="B509" s="45"/>
      <c r="C509" s="45"/>
      <c r="D509" s="45"/>
      <c r="E509" s="45"/>
      <c r="F509" s="45"/>
      <c r="G509" s="45"/>
      <c r="H509" s="45"/>
      <c r="I509" s="45"/>
      <c r="J509" s="45"/>
      <c r="K509" s="45"/>
      <c r="L509" s="45"/>
      <c r="M509" s="45"/>
      <c r="N509" s="44"/>
      <c r="O509" s="45"/>
      <c r="P509" s="45"/>
      <c r="Q509" s="45"/>
      <c r="R509" s="45"/>
      <c r="S509" s="45"/>
      <c r="T509" s="45"/>
      <c r="U509" s="45"/>
      <c r="V509" s="45"/>
      <c r="W509" s="45"/>
      <c r="X509" s="45"/>
      <c r="Y509" s="45"/>
      <c r="Z509" s="45"/>
    </row>
    <row r="510" spans="1:26">
      <c r="A510" s="45"/>
      <c r="B510" s="45"/>
      <c r="C510" s="45"/>
      <c r="D510" s="45"/>
      <c r="E510" s="45"/>
      <c r="F510" s="45"/>
      <c r="G510" s="45"/>
      <c r="H510" s="45"/>
      <c r="I510" s="45"/>
      <c r="J510" s="45"/>
      <c r="K510" s="45"/>
      <c r="L510" s="45"/>
      <c r="M510" s="45"/>
      <c r="N510" s="44"/>
      <c r="O510" s="45"/>
      <c r="P510" s="45"/>
      <c r="Q510" s="45"/>
      <c r="R510" s="45"/>
      <c r="S510" s="45"/>
      <c r="T510" s="45"/>
      <c r="U510" s="45"/>
      <c r="V510" s="45"/>
      <c r="W510" s="45"/>
      <c r="X510" s="45"/>
      <c r="Y510" s="45"/>
      <c r="Z510" s="45"/>
    </row>
    <row r="511" spans="1:26">
      <c r="A511" s="45"/>
      <c r="B511" s="45"/>
      <c r="C511" s="45"/>
      <c r="D511" s="45"/>
      <c r="E511" s="45"/>
      <c r="F511" s="45"/>
      <c r="G511" s="45"/>
      <c r="H511" s="45"/>
      <c r="I511" s="45"/>
      <c r="J511" s="45"/>
      <c r="K511" s="45"/>
      <c r="L511" s="45"/>
      <c r="M511" s="45"/>
      <c r="N511" s="44"/>
      <c r="O511" s="45"/>
      <c r="P511" s="45"/>
      <c r="Q511" s="45"/>
      <c r="R511" s="45"/>
      <c r="S511" s="45"/>
      <c r="T511" s="45"/>
      <c r="U511" s="45"/>
      <c r="V511" s="45"/>
      <c r="W511" s="45"/>
      <c r="X511" s="45"/>
      <c r="Y511" s="45"/>
      <c r="Z511" s="45"/>
    </row>
    <row r="512" spans="1:26">
      <c r="A512" s="45"/>
      <c r="B512" s="45"/>
      <c r="C512" s="45"/>
      <c r="D512" s="45"/>
      <c r="E512" s="45"/>
      <c r="F512" s="45"/>
      <c r="G512" s="45"/>
      <c r="H512" s="45"/>
      <c r="I512" s="45"/>
      <c r="J512" s="45"/>
      <c r="K512" s="45"/>
      <c r="L512" s="45"/>
      <c r="M512" s="45"/>
      <c r="N512" s="44"/>
      <c r="O512" s="45"/>
      <c r="P512" s="45"/>
      <c r="Q512" s="45"/>
      <c r="R512" s="45"/>
      <c r="S512" s="45"/>
      <c r="T512" s="45"/>
      <c r="U512" s="45"/>
      <c r="V512" s="45"/>
      <c r="W512" s="45"/>
      <c r="X512" s="45"/>
      <c r="Y512" s="45"/>
      <c r="Z512" s="45"/>
    </row>
    <row r="513" spans="1:26">
      <c r="A513" s="45"/>
      <c r="B513" s="45"/>
      <c r="C513" s="45"/>
      <c r="D513" s="45"/>
      <c r="E513" s="45"/>
      <c r="F513" s="45"/>
      <c r="G513" s="45"/>
      <c r="H513" s="45"/>
      <c r="I513" s="45"/>
      <c r="J513" s="45"/>
      <c r="K513" s="45"/>
      <c r="L513" s="45"/>
      <c r="M513" s="45"/>
      <c r="N513" s="44"/>
      <c r="O513" s="45"/>
      <c r="P513" s="45"/>
      <c r="Q513" s="45"/>
      <c r="R513" s="45"/>
      <c r="S513" s="45"/>
      <c r="T513" s="45"/>
      <c r="U513" s="45"/>
      <c r="V513" s="45"/>
      <c r="W513" s="45"/>
      <c r="X513" s="45"/>
      <c r="Y513" s="45"/>
      <c r="Z513" s="45"/>
    </row>
    <row r="514" spans="1:26">
      <c r="A514" s="45"/>
      <c r="B514" s="45"/>
      <c r="C514" s="45"/>
      <c r="D514" s="45"/>
      <c r="E514" s="45"/>
      <c r="F514" s="45"/>
      <c r="G514" s="45"/>
      <c r="H514" s="45"/>
      <c r="I514" s="45"/>
      <c r="J514" s="45"/>
      <c r="K514" s="45"/>
      <c r="L514" s="45"/>
      <c r="M514" s="45"/>
      <c r="N514" s="44"/>
      <c r="O514" s="45"/>
      <c r="P514" s="45"/>
      <c r="Q514" s="45"/>
      <c r="R514" s="45"/>
      <c r="S514" s="45"/>
      <c r="T514" s="45"/>
      <c r="U514" s="45"/>
      <c r="V514" s="45"/>
      <c r="W514" s="45"/>
      <c r="X514" s="45"/>
      <c r="Y514" s="45"/>
      <c r="Z514" s="45"/>
    </row>
    <row r="515" spans="1:26">
      <c r="A515" s="45"/>
      <c r="B515" s="45"/>
      <c r="C515" s="45"/>
      <c r="D515" s="45"/>
      <c r="E515" s="45"/>
      <c r="F515" s="45"/>
      <c r="G515" s="45"/>
      <c r="H515" s="45"/>
      <c r="I515" s="45"/>
      <c r="J515" s="45"/>
      <c r="K515" s="45"/>
      <c r="L515" s="45"/>
      <c r="M515" s="45"/>
      <c r="N515" s="44"/>
      <c r="O515" s="45"/>
      <c r="P515" s="45"/>
      <c r="Q515" s="45"/>
      <c r="R515" s="45"/>
      <c r="S515" s="45"/>
      <c r="T515" s="45"/>
      <c r="U515" s="45"/>
      <c r="V515" s="45"/>
      <c r="W515" s="45"/>
      <c r="X515" s="45"/>
      <c r="Y515" s="45"/>
      <c r="Z515" s="45"/>
    </row>
    <row r="516" spans="1:26">
      <c r="A516" s="45"/>
      <c r="B516" s="45"/>
      <c r="C516" s="45"/>
      <c r="D516" s="45"/>
      <c r="E516" s="45"/>
      <c r="F516" s="45"/>
      <c r="G516" s="45"/>
      <c r="H516" s="45"/>
      <c r="I516" s="45"/>
      <c r="J516" s="45"/>
      <c r="K516" s="45"/>
      <c r="L516" s="45"/>
      <c r="M516" s="45"/>
      <c r="N516" s="44"/>
      <c r="O516" s="45"/>
      <c r="P516" s="45"/>
      <c r="Q516" s="45"/>
      <c r="R516" s="45"/>
      <c r="S516" s="45"/>
      <c r="T516" s="45"/>
      <c r="U516" s="45"/>
      <c r="V516" s="45"/>
      <c r="W516" s="45"/>
      <c r="X516" s="45"/>
      <c r="Y516" s="45"/>
      <c r="Z516" s="45"/>
    </row>
    <row r="517" spans="1:26">
      <c r="A517" s="45"/>
      <c r="B517" s="45"/>
      <c r="C517" s="45"/>
      <c r="D517" s="45"/>
      <c r="E517" s="45"/>
      <c r="F517" s="45"/>
      <c r="G517" s="45"/>
      <c r="H517" s="45"/>
      <c r="I517" s="45"/>
      <c r="J517" s="45"/>
      <c r="K517" s="45"/>
      <c r="L517" s="45"/>
      <c r="M517" s="45"/>
      <c r="N517" s="44"/>
      <c r="O517" s="45"/>
      <c r="P517" s="45"/>
      <c r="Q517" s="45"/>
      <c r="R517" s="45"/>
      <c r="S517" s="45"/>
      <c r="T517" s="45"/>
      <c r="U517" s="45"/>
      <c r="V517" s="45"/>
      <c r="W517" s="45"/>
      <c r="X517" s="45"/>
      <c r="Y517" s="45"/>
      <c r="Z517" s="45"/>
    </row>
    <row r="518" spans="1:26">
      <c r="A518" s="45"/>
      <c r="B518" s="45"/>
      <c r="C518" s="45"/>
      <c r="D518" s="45"/>
      <c r="E518" s="45"/>
      <c r="F518" s="45"/>
      <c r="G518" s="45"/>
      <c r="H518" s="45"/>
      <c r="I518" s="45"/>
      <c r="J518" s="45"/>
      <c r="K518" s="45"/>
      <c r="L518" s="45"/>
      <c r="M518" s="45"/>
      <c r="N518" s="44"/>
      <c r="O518" s="45"/>
      <c r="P518" s="45"/>
      <c r="Q518" s="45"/>
      <c r="R518" s="45"/>
      <c r="S518" s="45"/>
      <c r="T518" s="45"/>
      <c r="U518" s="45"/>
      <c r="V518" s="45"/>
      <c r="W518" s="45"/>
      <c r="X518" s="45"/>
      <c r="Y518" s="45"/>
      <c r="Z518" s="45"/>
    </row>
    <row r="519" spans="1:26">
      <c r="A519" s="45"/>
      <c r="B519" s="45"/>
      <c r="C519" s="45"/>
      <c r="D519" s="45"/>
      <c r="E519" s="45"/>
      <c r="F519" s="45"/>
      <c r="G519" s="45"/>
      <c r="H519" s="45"/>
      <c r="I519" s="45"/>
      <c r="J519" s="45"/>
      <c r="K519" s="45"/>
      <c r="L519" s="45"/>
      <c r="M519" s="45"/>
      <c r="N519" s="44"/>
      <c r="O519" s="45"/>
      <c r="P519" s="45"/>
      <c r="Q519" s="45"/>
      <c r="R519" s="45"/>
      <c r="S519" s="45"/>
      <c r="T519" s="45"/>
      <c r="U519" s="45"/>
      <c r="V519" s="45"/>
      <c r="W519" s="45"/>
      <c r="X519" s="45"/>
      <c r="Y519" s="45"/>
      <c r="Z519" s="45"/>
    </row>
    <row r="520" spans="1:26">
      <c r="A520" s="45"/>
      <c r="B520" s="45"/>
      <c r="C520" s="45"/>
      <c r="D520" s="45"/>
      <c r="E520" s="45"/>
      <c r="F520" s="45"/>
      <c r="G520" s="45"/>
      <c r="H520" s="45"/>
      <c r="I520" s="45"/>
      <c r="J520" s="45"/>
      <c r="K520" s="45"/>
      <c r="L520" s="45"/>
      <c r="M520" s="45"/>
      <c r="N520" s="44"/>
      <c r="O520" s="45"/>
      <c r="P520" s="45"/>
      <c r="Q520" s="45"/>
      <c r="R520" s="45"/>
      <c r="S520" s="45"/>
      <c r="T520" s="45"/>
      <c r="U520" s="45"/>
      <c r="V520" s="45"/>
      <c r="W520" s="45"/>
      <c r="X520" s="45"/>
      <c r="Y520" s="45"/>
      <c r="Z520" s="45"/>
    </row>
    <row r="521" spans="1:26">
      <c r="A521" s="45"/>
      <c r="B521" s="45"/>
      <c r="C521" s="45"/>
      <c r="D521" s="45"/>
      <c r="E521" s="45"/>
      <c r="F521" s="45"/>
      <c r="G521" s="45"/>
      <c r="H521" s="45"/>
      <c r="I521" s="45"/>
      <c r="J521" s="45"/>
      <c r="K521" s="45"/>
      <c r="L521" s="45"/>
      <c r="M521" s="45"/>
      <c r="N521" s="44"/>
      <c r="O521" s="45"/>
      <c r="P521" s="45"/>
      <c r="Q521" s="45"/>
      <c r="R521" s="45"/>
      <c r="S521" s="45"/>
      <c r="T521" s="45"/>
      <c r="U521" s="45"/>
      <c r="V521" s="45"/>
      <c r="W521" s="45"/>
      <c r="X521" s="45"/>
      <c r="Y521" s="45"/>
      <c r="Z521" s="45"/>
    </row>
    <row r="522" spans="1:26">
      <c r="A522" s="45"/>
      <c r="B522" s="45"/>
      <c r="C522" s="45"/>
      <c r="D522" s="45"/>
      <c r="E522" s="45"/>
      <c r="F522" s="45"/>
      <c r="G522" s="45"/>
      <c r="H522" s="45"/>
      <c r="I522" s="45"/>
      <c r="J522" s="45"/>
      <c r="K522" s="45"/>
      <c r="L522" s="45"/>
      <c r="M522" s="45"/>
      <c r="N522" s="44"/>
      <c r="O522" s="45"/>
      <c r="P522" s="45"/>
      <c r="Q522" s="45"/>
      <c r="R522" s="45"/>
      <c r="S522" s="45"/>
      <c r="T522" s="45"/>
      <c r="U522" s="45"/>
      <c r="V522" s="45"/>
      <c r="W522" s="45"/>
      <c r="X522" s="45"/>
      <c r="Y522" s="45"/>
      <c r="Z522" s="45"/>
    </row>
    <row r="523" spans="1:26">
      <c r="A523" s="45"/>
      <c r="B523" s="45"/>
      <c r="C523" s="45"/>
      <c r="D523" s="45"/>
      <c r="E523" s="45"/>
      <c r="F523" s="45"/>
      <c r="G523" s="45"/>
      <c r="H523" s="45"/>
      <c r="I523" s="45"/>
      <c r="J523" s="45"/>
      <c r="K523" s="45"/>
      <c r="L523" s="45"/>
      <c r="M523" s="45"/>
      <c r="N523" s="44"/>
      <c r="O523" s="45"/>
      <c r="P523" s="45"/>
      <c r="Q523" s="45"/>
      <c r="R523" s="45"/>
      <c r="S523" s="45"/>
      <c r="T523" s="45"/>
      <c r="U523" s="45"/>
      <c r="V523" s="45"/>
      <c r="W523" s="45"/>
      <c r="X523" s="45"/>
      <c r="Y523" s="45"/>
      <c r="Z523" s="45"/>
    </row>
    <row r="524" spans="1:26">
      <c r="A524" s="45"/>
      <c r="B524" s="45"/>
      <c r="C524" s="45"/>
      <c r="D524" s="45"/>
      <c r="E524" s="45"/>
      <c r="F524" s="45"/>
      <c r="G524" s="45"/>
      <c r="H524" s="45"/>
      <c r="I524" s="45"/>
      <c r="J524" s="45"/>
      <c r="K524" s="45"/>
      <c r="L524" s="45"/>
      <c r="M524" s="45"/>
      <c r="N524" s="44"/>
      <c r="O524" s="45"/>
      <c r="P524" s="45"/>
      <c r="Q524" s="45"/>
      <c r="R524" s="45"/>
      <c r="S524" s="45"/>
      <c r="T524" s="45"/>
      <c r="U524" s="45"/>
      <c r="V524" s="45"/>
      <c r="W524" s="45"/>
      <c r="X524" s="45"/>
      <c r="Y524" s="45"/>
      <c r="Z524" s="45"/>
    </row>
    <row r="525" spans="1:26">
      <c r="A525" s="45"/>
      <c r="B525" s="45"/>
      <c r="C525" s="45"/>
      <c r="D525" s="45"/>
      <c r="E525" s="45"/>
      <c r="F525" s="45"/>
      <c r="G525" s="45"/>
      <c r="H525" s="45"/>
      <c r="I525" s="45"/>
      <c r="J525" s="45"/>
      <c r="K525" s="45"/>
      <c r="L525" s="45"/>
      <c r="M525" s="45"/>
      <c r="N525" s="44"/>
      <c r="O525" s="45"/>
      <c r="P525" s="45"/>
      <c r="Q525" s="45"/>
      <c r="R525" s="45"/>
      <c r="S525" s="45"/>
      <c r="T525" s="45"/>
      <c r="U525" s="45"/>
      <c r="V525" s="45"/>
      <c r="W525" s="45"/>
      <c r="X525" s="45"/>
      <c r="Y525" s="45"/>
      <c r="Z525" s="45"/>
    </row>
    <row r="526" spans="1:26">
      <c r="A526" s="45"/>
      <c r="B526" s="45"/>
      <c r="C526" s="45"/>
      <c r="D526" s="45"/>
      <c r="E526" s="45"/>
      <c r="F526" s="45"/>
      <c r="G526" s="45"/>
      <c r="H526" s="45"/>
      <c r="I526" s="45"/>
      <c r="J526" s="45"/>
      <c r="K526" s="45"/>
      <c r="L526" s="45"/>
      <c r="M526" s="45"/>
      <c r="N526" s="44"/>
      <c r="O526" s="45"/>
      <c r="P526" s="45"/>
      <c r="Q526" s="45"/>
      <c r="R526" s="45"/>
      <c r="S526" s="45"/>
      <c r="T526" s="45"/>
      <c r="U526" s="45"/>
      <c r="V526" s="45"/>
      <c r="W526" s="45"/>
      <c r="X526" s="45"/>
      <c r="Y526" s="45"/>
      <c r="Z526" s="45"/>
    </row>
    <row r="527" spans="1:26">
      <c r="A527" s="45"/>
      <c r="B527" s="45"/>
      <c r="C527" s="45"/>
      <c r="D527" s="45"/>
      <c r="E527" s="45"/>
      <c r="F527" s="45"/>
      <c r="G527" s="45"/>
      <c r="H527" s="45"/>
      <c r="I527" s="45"/>
      <c r="J527" s="45"/>
      <c r="K527" s="45"/>
      <c r="L527" s="45"/>
      <c r="M527" s="45"/>
      <c r="N527" s="44"/>
      <c r="O527" s="45"/>
      <c r="P527" s="45"/>
      <c r="Q527" s="45"/>
      <c r="R527" s="45"/>
      <c r="S527" s="45"/>
      <c r="T527" s="45"/>
      <c r="U527" s="45"/>
      <c r="V527" s="45"/>
      <c r="W527" s="45"/>
      <c r="X527" s="45"/>
      <c r="Y527" s="45"/>
      <c r="Z527" s="45"/>
    </row>
    <row r="528" spans="1:26">
      <c r="A528" s="45"/>
      <c r="B528" s="45"/>
      <c r="C528" s="45"/>
      <c r="D528" s="45"/>
      <c r="E528" s="45"/>
      <c r="F528" s="45"/>
      <c r="G528" s="45"/>
      <c r="H528" s="45"/>
      <c r="I528" s="45"/>
      <c r="J528" s="45"/>
      <c r="K528" s="45"/>
      <c r="L528" s="45"/>
      <c r="M528" s="45"/>
      <c r="N528" s="44"/>
      <c r="O528" s="45"/>
      <c r="P528" s="45"/>
      <c r="Q528" s="45"/>
      <c r="R528" s="45"/>
      <c r="S528" s="45"/>
      <c r="T528" s="45"/>
      <c r="U528" s="45"/>
      <c r="V528" s="45"/>
      <c r="W528" s="45"/>
      <c r="X528" s="45"/>
      <c r="Y528" s="45"/>
      <c r="Z528" s="45"/>
    </row>
    <row r="529" spans="1:26">
      <c r="A529" s="45"/>
      <c r="B529" s="45"/>
      <c r="C529" s="45"/>
      <c r="D529" s="45"/>
      <c r="E529" s="45"/>
      <c r="F529" s="45"/>
      <c r="G529" s="45"/>
      <c r="H529" s="45"/>
      <c r="I529" s="45"/>
      <c r="J529" s="45"/>
      <c r="K529" s="45"/>
      <c r="L529" s="45"/>
      <c r="M529" s="45"/>
      <c r="N529" s="44"/>
      <c r="O529" s="45"/>
      <c r="P529" s="45"/>
      <c r="Q529" s="45"/>
      <c r="R529" s="45"/>
      <c r="S529" s="45"/>
      <c r="T529" s="45"/>
      <c r="U529" s="45"/>
      <c r="V529" s="45"/>
      <c r="W529" s="45"/>
      <c r="X529" s="45"/>
      <c r="Y529" s="45"/>
      <c r="Z529" s="45"/>
    </row>
    <row r="530" spans="1:26">
      <c r="A530" s="45"/>
      <c r="B530" s="45"/>
      <c r="C530" s="45"/>
      <c r="D530" s="45"/>
      <c r="E530" s="45"/>
      <c r="F530" s="45"/>
      <c r="G530" s="45"/>
      <c r="H530" s="45"/>
      <c r="I530" s="45"/>
      <c r="J530" s="45"/>
      <c r="K530" s="45"/>
      <c r="L530" s="45"/>
      <c r="M530" s="45"/>
      <c r="N530" s="44"/>
      <c r="O530" s="45"/>
      <c r="P530" s="45"/>
      <c r="Q530" s="45"/>
      <c r="R530" s="45"/>
      <c r="S530" s="45"/>
      <c r="T530" s="45"/>
      <c r="U530" s="45"/>
      <c r="V530" s="45"/>
      <c r="W530" s="45"/>
      <c r="X530" s="45"/>
      <c r="Y530" s="45"/>
      <c r="Z530" s="45"/>
    </row>
    <row r="531" spans="1:26">
      <c r="A531" s="45"/>
      <c r="B531" s="45"/>
      <c r="C531" s="45"/>
      <c r="D531" s="45"/>
      <c r="E531" s="45"/>
      <c r="F531" s="45"/>
      <c r="G531" s="45"/>
      <c r="H531" s="45"/>
      <c r="I531" s="45"/>
      <c r="J531" s="45"/>
      <c r="K531" s="45"/>
      <c r="L531" s="45"/>
      <c r="M531" s="45"/>
      <c r="N531" s="44"/>
      <c r="O531" s="45"/>
      <c r="P531" s="45"/>
      <c r="Q531" s="45"/>
      <c r="R531" s="45"/>
      <c r="S531" s="45"/>
      <c r="T531" s="45"/>
      <c r="U531" s="45"/>
      <c r="V531" s="45"/>
      <c r="W531" s="45"/>
      <c r="X531" s="45"/>
      <c r="Y531" s="45"/>
      <c r="Z531" s="45"/>
    </row>
    <row r="532" spans="1:26">
      <c r="A532" s="45"/>
      <c r="B532" s="45"/>
      <c r="C532" s="45"/>
      <c r="D532" s="45"/>
      <c r="E532" s="45"/>
      <c r="F532" s="45"/>
      <c r="G532" s="45"/>
      <c r="H532" s="45"/>
      <c r="I532" s="45"/>
      <c r="J532" s="45"/>
      <c r="K532" s="45"/>
      <c r="L532" s="45"/>
      <c r="M532" s="45"/>
      <c r="N532" s="44"/>
      <c r="O532" s="45"/>
      <c r="P532" s="45"/>
      <c r="Q532" s="45"/>
      <c r="R532" s="45"/>
      <c r="S532" s="45"/>
      <c r="T532" s="45"/>
      <c r="U532" s="45"/>
      <c r="V532" s="45"/>
      <c r="W532" s="45"/>
      <c r="X532" s="45"/>
      <c r="Y532" s="45"/>
      <c r="Z532" s="45"/>
    </row>
    <row r="533" spans="1:26">
      <c r="A533" s="45"/>
      <c r="B533" s="45"/>
      <c r="C533" s="45"/>
      <c r="D533" s="45"/>
      <c r="E533" s="45"/>
      <c r="F533" s="45"/>
      <c r="G533" s="45"/>
      <c r="H533" s="45"/>
      <c r="I533" s="45"/>
      <c r="J533" s="45"/>
      <c r="K533" s="45"/>
      <c r="L533" s="45"/>
      <c r="M533" s="45"/>
      <c r="N533" s="44"/>
      <c r="O533" s="45"/>
      <c r="P533" s="45"/>
      <c r="Q533" s="45"/>
      <c r="R533" s="45"/>
      <c r="S533" s="45"/>
      <c r="T533" s="45"/>
      <c r="U533" s="45"/>
      <c r="V533" s="45"/>
      <c r="W533" s="45"/>
      <c r="X533" s="45"/>
      <c r="Y533" s="45"/>
      <c r="Z533" s="45"/>
    </row>
    <row r="534" spans="1:26">
      <c r="A534" s="45"/>
      <c r="B534" s="45"/>
      <c r="C534" s="45"/>
      <c r="D534" s="45"/>
      <c r="E534" s="45"/>
      <c r="F534" s="45"/>
      <c r="G534" s="45"/>
      <c r="H534" s="45"/>
      <c r="I534" s="45"/>
      <c r="J534" s="45"/>
      <c r="K534" s="45"/>
      <c r="L534" s="45"/>
      <c r="M534" s="45"/>
      <c r="N534" s="44"/>
      <c r="O534" s="45"/>
      <c r="P534" s="45"/>
      <c r="Q534" s="45"/>
      <c r="R534" s="45"/>
      <c r="S534" s="45"/>
      <c r="T534" s="45"/>
      <c r="U534" s="45"/>
      <c r="V534" s="45"/>
      <c r="W534" s="45"/>
      <c r="X534" s="45"/>
      <c r="Y534" s="45"/>
      <c r="Z534" s="45"/>
    </row>
    <row r="535" spans="1:26">
      <c r="A535" s="45"/>
      <c r="B535" s="45"/>
      <c r="C535" s="45"/>
      <c r="D535" s="45"/>
      <c r="E535" s="45"/>
      <c r="F535" s="45"/>
      <c r="G535" s="45"/>
      <c r="H535" s="45"/>
      <c r="I535" s="45"/>
      <c r="J535" s="45"/>
      <c r="K535" s="45"/>
      <c r="L535" s="45"/>
      <c r="M535" s="45"/>
      <c r="N535" s="44"/>
      <c r="O535" s="45"/>
      <c r="P535" s="45"/>
      <c r="Q535" s="45"/>
      <c r="R535" s="45"/>
      <c r="S535" s="45"/>
      <c r="T535" s="45"/>
      <c r="U535" s="45"/>
      <c r="V535" s="45"/>
      <c r="W535" s="45"/>
      <c r="X535" s="45"/>
      <c r="Y535" s="45"/>
      <c r="Z535" s="45"/>
    </row>
    <row r="536" spans="1:26">
      <c r="A536" s="45"/>
      <c r="B536" s="45"/>
      <c r="C536" s="45"/>
      <c r="D536" s="45"/>
      <c r="E536" s="45"/>
      <c r="F536" s="45"/>
      <c r="G536" s="45"/>
      <c r="H536" s="45"/>
      <c r="I536" s="45"/>
      <c r="J536" s="45"/>
      <c r="K536" s="45"/>
      <c r="L536" s="45"/>
      <c r="M536" s="45"/>
      <c r="N536" s="44"/>
      <c r="O536" s="45"/>
      <c r="P536" s="45"/>
      <c r="Q536" s="45"/>
      <c r="R536" s="45"/>
      <c r="S536" s="45"/>
      <c r="T536" s="45"/>
      <c r="U536" s="45"/>
      <c r="V536" s="45"/>
      <c r="W536" s="45"/>
      <c r="X536" s="45"/>
      <c r="Y536" s="45"/>
      <c r="Z536" s="45"/>
    </row>
    <row r="537" spans="1:26">
      <c r="A537" s="45"/>
      <c r="B537" s="45"/>
      <c r="C537" s="45"/>
      <c r="D537" s="45"/>
      <c r="E537" s="45"/>
      <c r="F537" s="45"/>
      <c r="G537" s="45"/>
      <c r="H537" s="45"/>
      <c r="I537" s="45"/>
      <c r="J537" s="45"/>
      <c r="K537" s="45"/>
      <c r="L537" s="45"/>
      <c r="M537" s="45"/>
      <c r="N537" s="44"/>
      <c r="O537" s="45"/>
      <c r="P537" s="45"/>
      <c r="Q537" s="45"/>
      <c r="R537" s="45"/>
      <c r="S537" s="45"/>
      <c r="T537" s="45"/>
      <c r="U537" s="45"/>
      <c r="V537" s="45"/>
      <c r="W537" s="45"/>
      <c r="X537" s="45"/>
      <c r="Y537" s="45"/>
      <c r="Z537" s="45"/>
    </row>
    <row r="538" spans="1:26">
      <c r="A538" s="45"/>
      <c r="B538" s="45"/>
      <c r="C538" s="45"/>
      <c r="D538" s="45"/>
      <c r="E538" s="45"/>
      <c r="F538" s="45"/>
      <c r="G538" s="45"/>
      <c r="H538" s="45"/>
      <c r="I538" s="45"/>
      <c r="J538" s="45"/>
      <c r="K538" s="45"/>
      <c r="L538" s="45"/>
      <c r="M538" s="45"/>
      <c r="N538" s="44"/>
      <c r="O538" s="45"/>
      <c r="P538" s="45"/>
      <c r="Q538" s="45"/>
      <c r="R538" s="45"/>
      <c r="S538" s="45"/>
      <c r="T538" s="45"/>
      <c r="U538" s="45"/>
      <c r="V538" s="45"/>
      <c r="W538" s="45"/>
      <c r="X538" s="45"/>
      <c r="Y538" s="45"/>
      <c r="Z538" s="45"/>
    </row>
    <row r="539" spans="1:26">
      <c r="A539" s="45"/>
      <c r="B539" s="45"/>
      <c r="C539" s="45"/>
      <c r="D539" s="45"/>
      <c r="E539" s="45"/>
      <c r="F539" s="45"/>
      <c r="G539" s="45"/>
      <c r="H539" s="45"/>
      <c r="I539" s="45"/>
      <c r="J539" s="45"/>
      <c r="K539" s="45"/>
      <c r="L539" s="45"/>
      <c r="M539" s="45"/>
      <c r="N539" s="44"/>
      <c r="O539" s="45"/>
      <c r="P539" s="45"/>
      <c r="Q539" s="45"/>
      <c r="R539" s="45"/>
      <c r="S539" s="45"/>
      <c r="T539" s="45"/>
      <c r="U539" s="45"/>
      <c r="V539" s="45"/>
      <c r="W539" s="45"/>
      <c r="X539" s="45"/>
      <c r="Y539" s="45"/>
      <c r="Z539" s="45"/>
    </row>
    <row r="540" spans="1:26">
      <c r="A540" s="45"/>
      <c r="B540" s="45"/>
      <c r="C540" s="45"/>
      <c r="D540" s="45"/>
      <c r="E540" s="45"/>
      <c r="F540" s="45"/>
      <c r="G540" s="45"/>
      <c r="H540" s="45"/>
      <c r="I540" s="45"/>
      <c r="J540" s="45"/>
      <c r="K540" s="45"/>
      <c r="L540" s="45"/>
      <c r="M540" s="45"/>
      <c r="N540" s="44"/>
      <c r="O540" s="45"/>
      <c r="P540" s="45"/>
      <c r="Q540" s="45"/>
      <c r="R540" s="45"/>
      <c r="S540" s="45"/>
      <c r="T540" s="45"/>
      <c r="U540" s="45"/>
      <c r="V540" s="45"/>
      <c r="W540" s="45"/>
      <c r="X540" s="45"/>
      <c r="Y540" s="45"/>
      <c r="Z540" s="45"/>
    </row>
    <row r="541" spans="1:26">
      <c r="A541" s="45"/>
      <c r="B541" s="45"/>
      <c r="C541" s="45"/>
      <c r="D541" s="45"/>
      <c r="E541" s="45"/>
      <c r="F541" s="45"/>
      <c r="G541" s="45"/>
      <c r="H541" s="45"/>
      <c r="I541" s="45"/>
      <c r="J541" s="45"/>
      <c r="K541" s="45"/>
      <c r="L541" s="45"/>
      <c r="M541" s="45"/>
      <c r="N541" s="44"/>
      <c r="O541" s="45"/>
      <c r="P541" s="45"/>
      <c r="Q541" s="45"/>
      <c r="R541" s="45"/>
      <c r="S541" s="45"/>
      <c r="T541" s="45"/>
      <c r="U541" s="45"/>
      <c r="V541" s="45"/>
      <c r="W541" s="45"/>
      <c r="X541" s="45"/>
      <c r="Y541" s="45"/>
      <c r="Z541" s="45"/>
    </row>
    <row r="542" spans="1:26">
      <c r="A542" s="45"/>
      <c r="B542" s="45"/>
      <c r="C542" s="45"/>
      <c r="D542" s="45"/>
      <c r="E542" s="45"/>
      <c r="F542" s="45"/>
      <c r="G542" s="45"/>
      <c r="H542" s="45"/>
      <c r="I542" s="45"/>
      <c r="J542" s="45"/>
      <c r="K542" s="45"/>
      <c r="L542" s="45"/>
      <c r="M542" s="45"/>
      <c r="N542" s="44"/>
      <c r="O542" s="45"/>
      <c r="P542" s="45"/>
      <c r="Q542" s="45"/>
      <c r="R542" s="45"/>
      <c r="S542" s="45"/>
      <c r="T542" s="45"/>
      <c r="U542" s="45"/>
      <c r="V542" s="45"/>
      <c r="W542" s="45"/>
      <c r="X542" s="45"/>
      <c r="Y542" s="45"/>
      <c r="Z542" s="45"/>
    </row>
    <row r="543" spans="1:26">
      <c r="A543" s="45"/>
      <c r="B543" s="45"/>
      <c r="C543" s="45"/>
      <c r="D543" s="45"/>
      <c r="E543" s="45"/>
      <c r="F543" s="45"/>
      <c r="G543" s="45"/>
      <c r="H543" s="45"/>
      <c r="I543" s="45"/>
      <c r="J543" s="45"/>
      <c r="K543" s="45"/>
      <c r="L543" s="45"/>
      <c r="M543" s="45"/>
      <c r="N543" s="44"/>
      <c r="O543" s="45"/>
      <c r="P543" s="45"/>
      <c r="Q543" s="45"/>
      <c r="R543" s="45"/>
      <c r="S543" s="45"/>
      <c r="T543" s="45"/>
      <c r="U543" s="45"/>
      <c r="V543" s="45"/>
      <c r="W543" s="45"/>
      <c r="X543" s="45"/>
      <c r="Y543" s="45"/>
      <c r="Z543" s="45"/>
    </row>
    <row r="544" spans="1:26">
      <c r="A544" s="45"/>
      <c r="B544" s="45"/>
      <c r="C544" s="45"/>
      <c r="D544" s="45"/>
      <c r="E544" s="45"/>
      <c r="F544" s="45"/>
      <c r="G544" s="45"/>
      <c r="H544" s="45"/>
      <c r="I544" s="45"/>
      <c r="J544" s="45"/>
      <c r="K544" s="45"/>
      <c r="L544" s="45"/>
      <c r="M544" s="45"/>
      <c r="N544" s="44"/>
      <c r="O544" s="45"/>
      <c r="P544" s="45"/>
      <c r="Q544" s="45"/>
      <c r="R544" s="45"/>
      <c r="S544" s="45"/>
      <c r="T544" s="45"/>
      <c r="U544" s="45"/>
      <c r="V544" s="45"/>
      <c r="W544" s="45"/>
      <c r="X544" s="45"/>
      <c r="Y544" s="45"/>
      <c r="Z544" s="45"/>
    </row>
    <row r="545" spans="1:26">
      <c r="A545" s="45"/>
      <c r="B545" s="45"/>
      <c r="C545" s="45"/>
      <c r="D545" s="45"/>
      <c r="E545" s="45"/>
      <c r="F545" s="45"/>
      <c r="G545" s="45"/>
      <c r="H545" s="45"/>
      <c r="I545" s="45"/>
      <c r="J545" s="45"/>
      <c r="K545" s="45"/>
      <c r="L545" s="45"/>
      <c r="M545" s="45"/>
      <c r="N545" s="44"/>
      <c r="O545" s="45"/>
      <c r="P545" s="45"/>
      <c r="Q545" s="45"/>
      <c r="R545" s="45"/>
      <c r="S545" s="45"/>
      <c r="T545" s="45"/>
      <c r="U545" s="45"/>
      <c r="V545" s="45"/>
      <c r="W545" s="45"/>
      <c r="X545" s="45"/>
      <c r="Y545" s="45"/>
      <c r="Z545" s="45"/>
    </row>
    <row r="546" spans="1:26">
      <c r="A546" s="45"/>
      <c r="B546" s="45"/>
      <c r="C546" s="45"/>
      <c r="D546" s="45"/>
      <c r="E546" s="45"/>
      <c r="F546" s="45"/>
      <c r="G546" s="45"/>
      <c r="H546" s="45"/>
      <c r="I546" s="45"/>
      <c r="J546" s="45"/>
      <c r="K546" s="45"/>
      <c r="L546" s="45"/>
      <c r="M546" s="45"/>
      <c r="N546" s="44"/>
      <c r="O546" s="45"/>
      <c r="P546" s="45"/>
      <c r="Q546" s="45"/>
      <c r="R546" s="45"/>
      <c r="S546" s="45"/>
      <c r="T546" s="45"/>
      <c r="U546" s="45"/>
      <c r="V546" s="45"/>
      <c r="W546" s="45"/>
      <c r="X546" s="45"/>
      <c r="Y546" s="45"/>
      <c r="Z546" s="45"/>
    </row>
    <row r="547" spans="1:26">
      <c r="A547" s="45"/>
      <c r="B547" s="45"/>
      <c r="C547" s="45"/>
      <c r="D547" s="45"/>
      <c r="E547" s="45"/>
      <c r="F547" s="45"/>
      <c r="G547" s="45"/>
      <c r="H547" s="45"/>
      <c r="I547" s="45"/>
      <c r="J547" s="45"/>
      <c r="K547" s="45"/>
      <c r="L547" s="45"/>
      <c r="M547" s="45"/>
      <c r="N547" s="44"/>
      <c r="O547" s="45"/>
      <c r="P547" s="45"/>
      <c r="Q547" s="45"/>
      <c r="R547" s="45"/>
      <c r="S547" s="45"/>
      <c r="T547" s="45"/>
      <c r="U547" s="45"/>
      <c r="V547" s="45"/>
      <c r="W547" s="45"/>
      <c r="X547" s="45"/>
      <c r="Y547" s="45"/>
      <c r="Z547" s="45"/>
    </row>
    <row r="548" spans="1:26">
      <c r="A548" s="45"/>
      <c r="B548" s="45"/>
      <c r="C548" s="45"/>
      <c r="D548" s="45"/>
      <c r="E548" s="45"/>
      <c r="F548" s="45"/>
      <c r="G548" s="45"/>
      <c r="H548" s="45"/>
      <c r="I548" s="45"/>
      <c r="J548" s="45"/>
      <c r="K548" s="45"/>
      <c r="L548" s="45"/>
      <c r="M548" s="45"/>
      <c r="N548" s="44"/>
      <c r="O548" s="45"/>
      <c r="P548" s="45"/>
      <c r="Q548" s="45"/>
      <c r="R548" s="45"/>
      <c r="S548" s="45"/>
      <c r="T548" s="45"/>
      <c r="U548" s="45"/>
      <c r="V548" s="45"/>
      <c r="W548" s="45"/>
      <c r="X548" s="45"/>
      <c r="Y548" s="45"/>
      <c r="Z548" s="45"/>
    </row>
    <row r="549" spans="1:26">
      <c r="A549" s="45"/>
      <c r="B549" s="45"/>
      <c r="C549" s="45"/>
      <c r="D549" s="45"/>
      <c r="E549" s="45"/>
      <c r="F549" s="45"/>
      <c r="G549" s="45"/>
      <c r="H549" s="45"/>
      <c r="I549" s="45"/>
      <c r="J549" s="45"/>
      <c r="K549" s="45"/>
      <c r="L549" s="45"/>
      <c r="M549" s="45"/>
      <c r="N549" s="44"/>
      <c r="O549" s="45"/>
      <c r="P549" s="45"/>
      <c r="Q549" s="45"/>
      <c r="R549" s="45"/>
      <c r="S549" s="45"/>
      <c r="T549" s="45"/>
      <c r="U549" s="45"/>
      <c r="V549" s="45"/>
      <c r="W549" s="45"/>
      <c r="X549" s="45"/>
      <c r="Y549" s="45"/>
      <c r="Z549" s="45"/>
    </row>
    <row r="550" spans="1:26">
      <c r="A550" s="45"/>
      <c r="B550" s="45"/>
      <c r="C550" s="45"/>
      <c r="D550" s="45"/>
      <c r="E550" s="45"/>
      <c r="F550" s="45"/>
      <c r="G550" s="45"/>
      <c r="H550" s="45"/>
      <c r="I550" s="45"/>
      <c r="J550" s="45"/>
      <c r="K550" s="45"/>
      <c r="L550" s="45"/>
      <c r="M550" s="45"/>
      <c r="N550" s="44"/>
      <c r="O550" s="45"/>
      <c r="P550" s="45"/>
      <c r="Q550" s="45"/>
      <c r="R550" s="45"/>
      <c r="S550" s="45"/>
      <c r="T550" s="45"/>
      <c r="U550" s="45"/>
      <c r="V550" s="45"/>
      <c r="W550" s="45"/>
      <c r="X550" s="45"/>
      <c r="Y550" s="45"/>
      <c r="Z550" s="45"/>
    </row>
    <row r="551" spans="1:26">
      <c r="A551" s="45"/>
      <c r="B551" s="45"/>
      <c r="C551" s="45"/>
      <c r="D551" s="45"/>
      <c r="E551" s="45"/>
      <c r="F551" s="45"/>
      <c r="G551" s="45"/>
      <c r="H551" s="45"/>
      <c r="I551" s="45"/>
      <c r="J551" s="45"/>
      <c r="K551" s="45"/>
      <c r="L551" s="45"/>
      <c r="M551" s="45"/>
      <c r="N551" s="44"/>
      <c r="O551" s="45"/>
      <c r="P551" s="45"/>
      <c r="Q551" s="45"/>
      <c r="R551" s="45"/>
      <c r="S551" s="45"/>
      <c r="T551" s="45"/>
      <c r="U551" s="45"/>
      <c r="V551" s="45"/>
      <c r="W551" s="45"/>
      <c r="X551" s="45"/>
      <c r="Y551" s="45"/>
      <c r="Z551" s="45"/>
    </row>
    <row r="552" spans="1:26">
      <c r="A552" s="45"/>
      <c r="B552" s="45"/>
      <c r="C552" s="45"/>
      <c r="D552" s="45"/>
      <c r="E552" s="45"/>
      <c r="F552" s="45"/>
      <c r="G552" s="45"/>
      <c r="H552" s="45"/>
      <c r="I552" s="45"/>
      <c r="J552" s="45"/>
      <c r="K552" s="45"/>
      <c r="L552" s="45"/>
      <c r="M552" s="45"/>
      <c r="N552" s="44"/>
      <c r="O552" s="45"/>
      <c r="P552" s="45"/>
      <c r="Q552" s="45"/>
      <c r="R552" s="45"/>
      <c r="S552" s="45"/>
      <c r="T552" s="45"/>
      <c r="U552" s="45"/>
      <c r="V552" s="45"/>
      <c r="W552" s="45"/>
      <c r="X552" s="45"/>
      <c r="Y552" s="45"/>
      <c r="Z552" s="45"/>
    </row>
    <row r="553" spans="1:26">
      <c r="A553" s="45"/>
      <c r="B553" s="45"/>
      <c r="C553" s="45"/>
      <c r="D553" s="45"/>
      <c r="E553" s="45"/>
      <c r="F553" s="45"/>
      <c r="G553" s="45"/>
      <c r="H553" s="45"/>
      <c r="I553" s="45"/>
      <c r="J553" s="45"/>
      <c r="K553" s="45"/>
      <c r="L553" s="45"/>
      <c r="M553" s="45"/>
      <c r="N553" s="44"/>
      <c r="O553" s="45"/>
      <c r="P553" s="45"/>
      <c r="Q553" s="45"/>
      <c r="R553" s="45"/>
      <c r="S553" s="45"/>
      <c r="T553" s="45"/>
      <c r="U553" s="45"/>
      <c r="V553" s="45"/>
      <c r="W553" s="45"/>
      <c r="X553" s="45"/>
      <c r="Y553" s="45"/>
      <c r="Z553" s="45"/>
    </row>
    <row r="554" spans="1:26">
      <c r="A554" s="45"/>
      <c r="B554" s="45"/>
      <c r="C554" s="45"/>
      <c r="D554" s="45"/>
      <c r="E554" s="45"/>
      <c r="F554" s="45"/>
      <c r="G554" s="45"/>
      <c r="H554" s="45"/>
      <c r="I554" s="45"/>
      <c r="J554" s="45"/>
      <c r="K554" s="45"/>
      <c r="L554" s="45"/>
      <c r="M554" s="45"/>
      <c r="N554" s="44"/>
      <c r="O554" s="45"/>
      <c r="P554" s="45"/>
      <c r="Q554" s="45"/>
      <c r="R554" s="45"/>
      <c r="S554" s="45"/>
      <c r="T554" s="45"/>
      <c r="U554" s="45"/>
      <c r="V554" s="45"/>
      <c r="W554" s="45"/>
      <c r="X554" s="45"/>
      <c r="Y554" s="45"/>
      <c r="Z554" s="45"/>
    </row>
    <row r="555" spans="1:26">
      <c r="A555" s="45"/>
      <c r="B555" s="45"/>
      <c r="C555" s="45"/>
      <c r="D555" s="45"/>
      <c r="E555" s="45"/>
      <c r="F555" s="45"/>
      <c r="G555" s="45"/>
      <c r="H555" s="45"/>
      <c r="I555" s="45"/>
      <c r="J555" s="45"/>
      <c r="K555" s="45"/>
      <c r="L555" s="45"/>
      <c r="M555" s="45"/>
      <c r="N555" s="44"/>
      <c r="O555" s="45"/>
      <c r="P555" s="45"/>
      <c r="Q555" s="45"/>
      <c r="R555" s="45"/>
      <c r="S555" s="45"/>
      <c r="T555" s="45"/>
      <c r="U555" s="45"/>
      <c r="V555" s="45"/>
      <c r="W555" s="45"/>
      <c r="X555" s="45"/>
      <c r="Y555" s="45"/>
      <c r="Z555" s="45"/>
    </row>
    <row r="556" spans="1:26">
      <c r="A556" s="45"/>
      <c r="B556" s="45"/>
      <c r="C556" s="45"/>
      <c r="D556" s="45"/>
      <c r="E556" s="45"/>
      <c r="F556" s="45"/>
      <c r="G556" s="45"/>
      <c r="H556" s="45"/>
      <c r="I556" s="45"/>
      <c r="J556" s="45"/>
      <c r="K556" s="45"/>
      <c r="L556" s="45"/>
      <c r="M556" s="45"/>
      <c r="N556" s="44"/>
      <c r="O556" s="45"/>
      <c r="P556" s="45"/>
      <c r="Q556" s="45"/>
      <c r="R556" s="45"/>
      <c r="S556" s="45"/>
      <c r="T556" s="45"/>
      <c r="U556" s="45"/>
      <c r="V556" s="45"/>
      <c r="W556" s="45"/>
      <c r="X556" s="45"/>
      <c r="Y556" s="45"/>
      <c r="Z556" s="45"/>
    </row>
    <row r="557" spans="1:26">
      <c r="A557" s="45"/>
      <c r="B557" s="45"/>
      <c r="C557" s="45"/>
      <c r="D557" s="45"/>
      <c r="E557" s="45"/>
      <c r="F557" s="45"/>
      <c r="G557" s="45"/>
      <c r="H557" s="45"/>
      <c r="I557" s="45"/>
      <c r="J557" s="45"/>
      <c r="K557" s="45"/>
      <c r="L557" s="45"/>
      <c r="M557" s="45"/>
      <c r="N557" s="44"/>
      <c r="O557" s="45"/>
      <c r="P557" s="45"/>
      <c r="Q557" s="45"/>
      <c r="R557" s="45"/>
      <c r="S557" s="45"/>
      <c r="T557" s="45"/>
      <c r="U557" s="45"/>
      <c r="V557" s="45"/>
      <c r="W557" s="45"/>
      <c r="X557" s="45"/>
      <c r="Y557" s="45"/>
      <c r="Z557" s="45"/>
    </row>
    <row r="558" spans="1:26">
      <c r="A558" s="45"/>
      <c r="B558" s="45"/>
      <c r="C558" s="45"/>
      <c r="D558" s="45"/>
      <c r="E558" s="45"/>
      <c r="F558" s="45"/>
      <c r="G558" s="45"/>
      <c r="H558" s="45"/>
      <c r="I558" s="45"/>
      <c r="J558" s="45"/>
      <c r="K558" s="45"/>
      <c r="L558" s="45"/>
      <c r="M558" s="45"/>
      <c r="N558" s="44"/>
      <c r="O558" s="45"/>
      <c r="P558" s="45"/>
      <c r="Q558" s="45"/>
      <c r="R558" s="45"/>
      <c r="S558" s="45"/>
      <c r="T558" s="45"/>
      <c r="U558" s="45"/>
      <c r="V558" s="45"/>
      <c r="W558" s="45"/>
      <c r="X558" s="45"/>
      <c r="Y558" s="45"/>
      <c r="Z558" s="45"/>
    </row>
    <row r="559" spans="1:26">
      <c r="A559" s="45"/>
      <c r="B559" s="45"/>
      <c r="C559" s="45"/>
      <c r="D559" s="45"/>
      <c r="E559" s="45"/>
      <c r="F559" s="45"/>
      <c r="G559" s="45"/>
      <c r="H559" s="45"/>
      <c r="I559" s="45"/>
      <c r="J559" s="45"/>
      <c r="K559" s="45"/>
      <c r="L559" s="45"/>
      <c r="M559" s="45"/>
      <c r="N559" s="44"/>
      <c r="O559" s="45"/>
      <c r="P559" s="45"/>
      <c r="Q559" s="45"/>
      <c r="R559" s="45"/>
      <c r="S559" s="45"/>
      <c r="T559" s="45"/>
      <c r="U559" s="45"/>
      <c r="V559" s="45"/>
      <c r="W559" s="45"/>
      <c r="X559" s="45"/>
      <c r="Y559" s="45"/>
      <c r="Z559" s="45"/>
    </row>
    <row r="560" spans="1:26">
      <c r="A560" s="45"/>
      <c r="B560" s="45"/>
      <c r="C560" s="45"/>
      <c r="D560" s="45"/>
      <c r="E560" s="45"/>
      <c r="F560" s="45"/>
      <c r="G560" s="45"/>
      <c r="H560" s="45"/>
      <c r="I560" s="45"/>
      <c r="J560" s="45"/>
      <c r="K560" s="45"/>
      <c r="L560" s="45"/>
      <c r="M560" s="45"/>
      <c r="N560" s="44"/>
      <c r="O560" s="45"/>
      <c r="P560" s="45"/>
      <c r="Q560" s="45"/>
      <c r="R560" s="45"/>
      <c r="S560" s="45"/>
      <c r="T560" s="45"/>
      <c r="U560" s="45"/>
      <c r="V560" s="45"/>
      <c r="W560" s="45"/>
      <c r="X560" s="45"/>
      <c r="Y560" s="45"/>
      <c r="Z560" s="45"/>
    </row>
    <row r="561" spans="1:26">
      <c r="A561" s="45"/>
      <c r="B561" s="45"/>
      <c r="C561" s="45"/>
      <c r="D561" s="45"/>
      <c r="E561" s="45"/>
      <c r="F561" s="45"/>
      <c r="G561" s="45"/>
      <c r="H561" s="45"/>
      <c r="I561" s="45"/>
      <c r="J561" s="45"/>
      <c r="K561" s="45"/>
      <c r="L561" s="45"/>
      <c r="M561" s="45"/>
      <c r="N561" s="44"/>
      <c r="O561" s="45"/>
      <c r="P561" s="45"/>
      <c r="Q561" s="45"/>
      <c r="R561" s="45"/>
      <c r="S561" s="45"/>
      <c r="T561" s="45"/>
      <c r="U561" s="45"/>
      <c r="V561" s="45"/>
      <c r="W561" s="45"/>
      <c r="X561" s="45"/>
      <c r="Y561" s="45"/>
      <c r="Z561" s="45"/>
    </row>
    <row r="562" spans="1:26">
      <c r="A562" s="45"/>
      <c r="B562" s="45"/>
      <c r="C562" s="45"/>
      <c r="D562" s="45"/>
      <c r="E562" s="45"/>
      <c r="F562" s="45"/>
      <c r="G562" s="45"/>
      <c r="H562" s="45"/>
      <c r="I562" s="45"/>
      <c r="J562" s="45"/>
      <c r="K562" s="45"/>
      <c r="L562" s="45"/>
      <c r="M562" s="45"/>
      <c r="N562" s="44"/>
      <c r="O562" s="45"/>
      <c r="P562" s="45"/>
      <c r="Q562" s="45"/>
      <c r="R562" s="45"/>
      <c r="S562" s="45"/>
      <c r="T562" s="45"/>
      <c r="U562" s="45"/>
      <c r="V562" s="45"/>
      <c r="W562" s="45"/>
      <c r="X562" s="45"/>
      <c r="Y562" s="45"/>
      <c r="Z562" s="45"/>
    </row>
    <row r="563" spans="1:26">
      <c r="A563" s="45"/>
      <c r="B563" s="45"/>
      <c r="C563" s="45"/>
      <c r="D563" s="45"/>
      <c r="E563" s="45"/>
      <c r="F563" s="45"/>
      <c r="G563" s="45"/>
      <c r="H563" s="45"/>
      <c r="I563" s="45"/>
      <c r="J563" s="45"/>
      <c r="K563" s="45"/>
      <c r="L563" s="45"/>
      <c r="M563" s="45"/>
      <c r="N563" s="44"/>
      <c r="O563" s="45"/>
      <c r="P563" s="45"/>
      <c r="Q563" s="45"/>
      <c r="R563" s="45"/>
      <c r="S563" s="45"/>
      <c r="T563" s="45"/>
      <c r="U563" s="45"/>
      <c r="V563" s="45"/>
      <c r="W563" s="45"/>
      <c r="X563" s="45"/>
      <c r="Y563" s="45"/>
      <c r="Z563" s="45"/>
    </row>
    <row r="564" spans="1:26">
      <c r="A564" s="45"/>
      <c r="B564" s="45"/>
      <c r="C564" s="45"/>
      <c r="D564" s="45"/>
      <c r="E564" s="45"/>
      <c r="F564" s="45"/>
      <c r="G564" s="45"/>
      <c r="H564" s="45"/>
      <c r="I564" s="45"/>
      <c r="J564" s="45"/>
      <c r="K564" s="45"/>
      <c r="L564" s="45"/>
      <c r="M564" s="45"/>
      <c r="N564" s="44"/>
      <c r="O564" s="45"/>
      <c r="P564" s="45"/>
      <c r="Q564" s="45"/>
      <c r="R564" s="45"/>
      <c r="S564" s="45"/>
      <c r="T564" s="45"/>
      <c r="U564" s="45"/>
      <c r="V564" s="45"/>
      <c r="W564" s="45"/>
      <c r="X564" s="45"/>
      <c r="Y564" s="45"/>
      <c r="Z564" s="45"/>
    </row>
    <row r="565" spans="1:26">
      <c r="A565" s="45"/>
      <c r="B565" s="45"/>
      <c r="C565" s="45"/>
      <c r="D565" s="45"/>
      <c r="E565" s="45"/>
      <c r="F565" s="45"/>
      <c r="G565" s="45"/>
      <c r="H565" s="45"/>
      <c r="I565" s="45"/>
      <c r="J565" s="45"/>
      <c r="K565" s="45"/>
      <c r="L565" s="45"/>
      <c r="M565" s="45"/>
      <c r="N565" s="44"/>
      <c r="O565" s="45"/>
      <c r="P565" s="45"/>
      <c r="Q565" s="45"/>
      <c r="R565" s="45"/>
      <c r="S565" s="45"/>
      <c r="T565" s="45"/>
      <c r="U565" s="45"/>
      <c r="V565" s="45"/>
      <c r="W565" s="45"/>
      <c r="X565" s="45"/>
      <c r="Y565" s="45"/>
      <c r="Z565" s="45"/>
    </row>
    <row r="566" spans="1:26">
      <c r="A566" s="45"/>
      <c r="B566" s="45"/>
      <c r="C566" s="45"/>
      <c r="D566" s="45"/>
      <c r="E566" s="45"/>
      <c r="F566" s="45"/>
      <c r="G566" s="45"/>
      <c r="H566" s="45"/>
      <c r="I566" s="45"/>
      <c r="J566" s="45"/>
      <c r="K566" s="45"/>
      <c r="L566" s="45"/>
      <c r="M566" s="45"/>
      <c r="N566" s="44"/>
      <c r="O566" s="45"/>
      <c r="P566" s="45"/>
      <c r="Q566" s="45"/>
      <c r="R566" s="45"/>
      <c r="S566" s="45"/>
      <c r="T566" s="45"/>
      <c r="U566" s="45"/>
      <c r="V566" s="45"/>
      <c r="W566" s="45"/>
      <c r="X566" s="45"/>
      <c r="Y566" s="45"/>
      <c r="Z566" s="45"/>
    </row>
    <row r="567" spans="1:26">
      <c r="A567" s="45"/>
      <c r="B567" s="45"/>
      <c r="C567" s="45"/>
      <c r="D567" s="45"/>
      <c r="E567" s="45"/>
      <c r="F567" s="45"/>
      <c r="G567" s="45"/>
      <c r="H567" s="45"/>
      <c r="I567" s="45"/>
      <c r="J567" s="45"/>
      <c r="K567" s="45"/>
      <c r="L567" s="45"/>
      <c r="M567" s="45"/>
      <c r="N567" s="44"/>
      <c r="O567" s="45"/>
      <c r="P567" s="45"/>
      <c r="Q567" s="45"/>
      <c r="R567" s="45"/>
      <c r="S567" s="45"/>
      <c r="T567" s="45"/>
      <c r="U567" s="45"/>
      <c r="V567" s="45"/>
      <c r="W567" s="45"/>
      <c r="X567" s="45"/>
      <c r="Y567" s="45"/>
      <c r="Z567" s="45"/>
    </row>
    <row r="568" spans="1:26">
      <c r="A568" s="45"/>
      <c r="B568" s="45"/>
      <c r="C568" s="45"/>
      <c r="D568" s="45"/>
      <c r="E568" s="45"/>
      <c r="F568" s="45"/>
      <c r="G568" s="45"/>
      <c r="H568" s="45"/>
      <c r="I568" s="45"/>
      <c r="J568" s="45"/>
      <c r="K568" s="45"/>
      <c r="L568" s="45"/>
      <c r="M568" s="45"/>
      <c r="N568" s="44"/>
      <c r="O568" s="45"/>
      <c r="P568" s="45"/>
      <c r="Q568" s="45"/>
      <c r="R568" s="45"/>
      <c r="S568" s="45"/>
      <c r="T568" s="45"/>
      <c r="U568" s="45"/>
      <c r="V568" s="45"/>
      <c r="W568" s="45"/>
      <c r="X568" s="45"/>
      <c r="Y568" s="45"/>
      <c r="Z568" s="45"/>
    </row>
    <row r="569" spans="1:26">
      <c r="A569" s="45"/>
      <c r="B569" s="45"/>
      <c r="C569" s="45"/>
      <c r="D569" s="45"/>
      <c r="E569" s="45"/>
      <c r="F569" s="45"/>
      <c r="G569" s="45"/>
      <c r="H569" s="45"/>
      <c r="I569" s="45"/>
      <c r="J569" s="45"/>
      <c r="K569" s="45"/>
      <c r="L569" s="45"/>
      <c r="M569" s="45"/>
      <c r="N569" s="44"/>
      <c r="O569" s="45"/>
      <c r="P569" s="45"/>
      <c r="Q569" s="45"/>
      <c r="R569" s="45"/>
      <c r="S569" s="45"/>
      <c r="T569" s="45"/>
      <c r="U569" s="45"/>
      <c r="V569" s="45"/>
      <c r="W569" s="45"/>
      <c r="X569" s="45"/>
      <c r="Y569" s="45"/>
      <c r="Z569" s="45"/>
    </row>
    <row r="570" spans="1:26">
      <c r="A570" s="45"/>
      <c r="B570" s="45"/>
      <c r="C570" s="45"/>
      <c r="D570" s="45"/>
      <c r="E570" s="45"/>
      <c r="F570" s="45"/>
      <c r="G570" s="45"/>
      <c r="H570" s="45"/>
      <c r="I570" s="45"/>
      <c r="J570" s="45"/>
      <c r="K570" s="45"/>
      <c r="L570" s="45"/>
      <c r="M570" s="45"/>
      <c r="N570" s="44"/>
      <c r="O570" s="45"/>
      <c r="P570" s="45"/>
      <c r="Q570" s="45"/>
      <c r="R570" s="45"/>
      <c r="S570" s="45"/>
      <c r="T570" s="45"/>
      <c r="U570" s="45"/>
      <c r="V570" s="45"/>
      <c r="W570" s="45"/>
      <c r="X570" s="45"/>
      <c r="Y570" s="45"/>
      <c r="Z570" s="45"/>
    </row>
    <row r="571" spans="1:26">
      <c r="A571" s="45"/>
      <c r="B571" s="45"/>
      <c r="C571" s="45"/>
      <c r="D571" s="45"/>
      <c r="E571" s="45"/>
      <c r="F571" s="45"/>
      <c r="G571" s="45"/>
      <c r="H571" s="45"/>
      <c r="I571" s="45"/>
      <c r="J571" s="45"/>
      <c r="K571" s="45"/>
      <c r="L571" s="45"/>
      <c r="M571" s="45"/>
      <c r="N571" s="44"/>
      <c r="O571" s="45"/>
      <c r="P571" s="45"/>
      <c r="Q571" s="45"/>
      <c r="R571" s="45"/>
      <c r="S571" s="45"/>
      <c r="T571" s="45"/>
      <c r="U571" s="45"/>
      <c r="V571" s="45"/>
      <c r="W571" s="45"/>
      <c r="X571" s="45"/>
      <c r="Y571" s="45"/>
      <c r="Z571" s="45"/>
    </row>
    <row r="572" spans="1:26">
      <c r="A572" s="45"/>
      <c r="B572" s="45"/>
      <c r="C572" s="45"/>
      <c r="D572" s="45"/>
      <c r="E572" s="45"/>
      <c r="F572" s="45"/>
      <c r="G572" s="45"/>
      <c r="H572" s="45"/>
      <c r="I572" s="45"/>
      <c r="J572" s="45"/>
      <c r="K572" s="45"/>
      <c r="L572" s="45"/>
      <c r="M572" s="45"/>
      <c r="N572" s="44"/>
      <c r="O572" s="45"/>
      <c r="P572" s="45"/>
      <c r="Q572" s="45"/>
      <c r="R572" s="45"/>
      <c r="S572" s="45"/>
      <c r="T572" s="45"/>
      <c r="U572" s="45"/>
      <c r="V572" s="45"/>
      <c r="W572" s="45"/>
      <c r="X572" s="45"/>
      <c r="Y572" s="45"/>
      <c r="Z572" s="45"/>
    </row>
    <row r="573" spans="1:26">
      <c r="A573" s="45"/>
      <c r="B573" s="45"/>
      <c r="C573" s="45"/>
      <c r="D573" s="45"/>
      <c r="E573" s="45"/>
      <c r="F573" s="45"/>
      <c r="G573" s="45"/>
      <c r="H573" s="45"/>
      <c r="I573" s="45"/>
      <c r="J573" s="45"/>
      <c r="K573" s="45"/>
      <c r="L573" s="45"/>
      <c r="M573" s="45"/>
      <c r="N573" s="44"/>
      <c r="O573" s="45"/>
      <c r="P573" s="45"/>
      <c r="Q573" s="45"/>
      <c r="R573" s="45"/>
      <c r="S573" s="45"/>
      <c r="T573" s="45"/>
      <c r="U573" s="45"/>
      <c r="V573" s="45"/>
      <c r="W573" s="45"/>
      <c r="X573" s="45"/>
      <c r="Y573" s="45"/>
      <c r="Z573" s="45"/>
    </row>
    <row r="574" spans="1:26">
      <c r="A574" s="45"/>
      <c r="B574" s="45"/>
      <c r="C574" s="45"/>
      <c r="D574" s="45"/>
      <c r="E574" s="45"/>
      <c r="F574" s="45"/>
      <c r="G574" s="45"/>
      <c r="H574" s="45"/>
      <c r="I574" s="45"/>
      <c r="J574" s="45"/>
      <c r="K574" s="45"/>
      <c r="L574" s="45"/>
      <c r="M574" s="45"/>
      <c r="N574" s="44"/>
      <c r="O574" s="45"/>
      <c r="P574" s="45"/>
      <c r="Q574" s="45"/>
      <c r="R574" s="45"/>
      <c r="S574" s="45"/>
      <c r="T574" s="45"/>
      <c r="U574" s="45"/>
      <c r="V574" s="45"/>
      <c r="W574" s="45"/>
      <c r="X574" s="45"/>
      <c r="Y574" s="45"/>
      <c r="Z574" s="45"/>
    </row>
    <row r="575" spans="1:26">
      <c r="A575" s="45"/>
      <c r="B575" s="45"/>
      <c r="C575" s="45"/>
      <c r="D575" s="45"/>
      <c r="E575" s="45"/>
      <c r="F575" s="45"/>
      <c r="G575" s="45"/>
      <c r="H575" s="45"/>
      <c r="I575" s="45"/>
      <c r="J575" s="45"/>
      <c r="K575" s="45"/>
      <c r="L575" s="45"/>
      <c r="M575" s="45"/>
      <c r="N575" s="44"/>
      <c r="O575" s="45"/>
      <c r="P575" s="45"/>
      <c r="Q575" s="45"/>
      <c r="R575" s="45"/>
      <c r="S575" s="45"/>
      <c r="T575" s="45"/>
      <c r="U575" s="45"/>
      <c r="V575" s="45"/>
      <c r="W575" s="45"/>
      <c r="X575" s="45"/>
      <c r="Y575" s="45"/>
      <c r="Z575" s="45"/>
    </row>
    <row r="576" spans="1:26">
      <c r="A576" s="45"/>
      <c r="B576" s="45"/>
      <c r="C576" s="45"/>
      <c r="D576" s="45"/>
      <c r="E576" s="45"/>
      <c r="F576" s="45"/>
      <c r="G576" s="45"/>
      <c r="H576" s="45"/>
      <c r="I576" s="45"/>
      <c r="J576" s="45"/>
      <c r="K576" s="45"/>
      <c r="L576" s="45"/>
      <c r="M576" s="45"/>
      <c r="N576" s="44"/>
      <c r="O576" s="45"/>
      <c r="P576" s="45"/>
      <c r="Q576" s="45"/>
      <c r="R576" s="45"/>
      <c r="S576" s="45"/>
      <c r="T576" s="45"/>
      <c r="U576" s="45"/>
      <c r="V576" s="45"/>
      <c r="W576" s="45"/>
      <c r="X576" s="45"/>
      <c r="Y576" s="45"/>
      <c r="Z576" s="45"/>
    </row>
    <row r="577" spans="1:26">
      <c r="A577" s="45"/>
      <c r="B577" s="45"/>
      <c r="C577" s="45"/>
      <c r="D577" s="45"/>
      <c r="E577" s="45"/>
      <c r="F577" s="45"/>
      <c r="G577" s="45"/>
      <c r="H577" s="45"/>
      <c r="I577" s="45"/>
      <c r="J577" s="45"/>
      <c r="K577" s="45"/>
      <c r="L577" s="45"/>
      <c r="M577" s="45"/>
      <c r="N577" s="44"/>
      <c r="O577" s="45"/>
      <c r="P577" s="45"/>
      <c r="Q577" s="45"/>
      <c r="R577" s="45"/>
      <c r="S577" s="45"/>
      <c r="T577" s="45"/>
      <c r="U577" s="45"/>
      <c r="V577" s="45"/>
      <c r="W577" s="45"/>
      <c r="X577" s="45"/>
      <c r="Y577" s="45"/>
      <c r="Z577" s="45"/>
    </row>
    <row r="578" spans="1:26">
      <c r="A578" s="45"/>
      <c r="B578" s="45"/>
      <c r="C578" s="45"/>
      <c r="D578" s="45"/>
      <c r="E578" s="45"/>
      <c r="F578" s="45"/>
      <c r="G578" s="45"/>
      <c r="H578" s="45"/>
      <c r="I578" s="45"/>
      <c r="J578" s="45"/>
      <c r="K578" s="45"/>
      <c r="L578" s="45"/>
      <c r="M578" s="45"/>
      <c r="N578" s="44"/>
      <c r="O578" s="45"/>
      <c r="P578" s="45"/>
      <c r="Q578" s="45"/>
      <c r="R578" s="45"/>
      <c r="S578" s="45"/>
      <c r="T578" s="45"/>
      <c r="U578" s="45"/>
      <c r="V578" s="45"/>
      <c r="W578" s="45"/>
      <c r="X578" s="45"/>
      <c r="Y578" s="45"/>
      <c r="Z578" s="45"/>
    </row>
    <row r="579" spans="1:26">
      <c r="A579" s="45"/>
      <c r="B579" s="45"/>
      <c r="C579" s="45"/>
      <c r="D579" s="45"/>
      <c r="E579" s="45"/>
      <c r="F579" s="45"/>
      <c r="G579" s="45"/>
      <c r="H579" s="45"/>
      <c r="I579" s="45"/>
      <c r="J579" s="45"/>
      <c r="K579" s="45"/>
      <c r="L579" s="45"/>
      <c r="M579" s="45"/>
      <c r="N579" s="44"/>
      <c r="O579" s="45"/>
      <c r="P579" s="45"/>
      <c r="Q579" s="45"/>
      <c r="R579" s="45"/>
      <c r="S579" s="45"/>
      <c r="T579" s="45"/>
      <c r="U579" s="45"/>
      <c r="V579" s="45"/>
      <c r="W579" s="45"/>
      <c r="X579" s="45"/>
      <c r="Y579" s="45"/>
      <c r="Z579" s="45"/>
    </row>
    <row r="580" spans="1:26">
      <c r="A580" s="45"/>
      <c r="B580" s="45"/>
      <c r="C580" s="45"/>
      <c r="D580" s="45"/>
      <c r="E580" s="45"/>
      <c r="F580" s="45"/>
      <c r="G580" s="45"/>
      <c r="H580" s="45"/>
      <c r="I580" s="45"/>
      <c r="J580" s="45"/>
      <c r="K580" s="45"/>
      <c r="L580" s="45"/>
      <c r="M580" s="45"/>
      <c r="N580" s="44"/>
      <c r="O580" s="45"/>
      <c r="P580" s="45"/>
      <c r="Q580" s="45"/>
      <c r="R580" s="45"/>
      <c r="S580" s="45"/>
      <c r="T580" s="45"/>
      <c r="U580" s="45"/>
      <c r="V580" s="45"/>
      <c r="W580" s="45"/>
      <c r="X580" s="45"/>
      <c r="Y580" s="45"/>
      <c r="Z580" s="45"/>
    </row>
    <row r="581" spans="1:26">
      <c r="A581" s="45"/>
      <c r="B581" s="45"/>
      <c r="C581" s="45"/>
      <c r="D581" s="45"/>
      <c r="E581" s="45"/>
      <c r="F581" s="45"/>
      <c r="G581" s="45"/>
      <c r="H581" s="45"/>
      <c r="I581" s="45"/>
      <c r="J581" s="45"/>
      <c r="K581" s="45"/>
      <c r="L581" s="45"/>
      <c r="M581" s="45"/>
      <c r="N581" s="44"/>
      <c r="O581" s="45"/>
      <c r="P581" s="45"/>
      <c r="Q581" s="45"/>
      <c r="R581" s="45"/>
      <c r="S581" s="45"/>
      <c r="T581" s="45"/>
      <c r="U581" s="45"/>
      <c r="V581" s="45"/>
      <c r="W581" s="45"/>
      <c r="X581" s="45"/>
      <c r="Y581" s="45"/>
      <c r="Z581" s="45"/>
    </row>
    <row r="582" spans="1:26">
      <c r="A582" s="45"/>
      <c r="B582" s="45"/>
      <c r="C582" s="45"/>
      <c r="D582" s="45"/>
      <c r="E582" s="45"/>
      <c r="F582" s="45"/>
      <c r="G582" s="45"/>
      <c r="H582" s="45"/>
      <c r="I582" s="45"/>
      <c r="J582" s="45"/>
      <c r="K582" s="45"/>
      <c r="L582" s="45"/>
      <c r="M582" s="45"/>
      <c r="N582" s="44"/>
      <c r="O582" s="45"/>
      <c r="P582" s="45"/>
      <c r="Q582" s="45"/>
      <c r="R582" s="45"/>
      <c r="S582" s="45"/>
      <c r="T582" s="45"/>
      <c r="U582" s="45"/>
      <c r="V582" s="45"/>
      <c r="W582" s="45"/>
      <c r="X582" s="45"/>
      <c r="Y582" s="45"/>
      <c r="Z582" s="45"/>
    </row>
    <row r="583" spans="1:26">
      <c r="A583" s="45"/>
      <c r="B583" s="45"/>
      <c r="C583" s="45"/>
      <c r="D583" s="45"/>
      <c r="E583" s="45"/>
      <c r="F583" s="45"/>
      <c r="G583" s="45"/>
      <c r="H583" s="45"/>
      <c r="I583" s="45"/>
      <c r="J583" s="45"/>
      <c r="K583" s="45"/>
      <c r="L583" s="45"/>
      <c r="M583" s="45"/>
      <c r="N583" s="44"/>
      <c r="O583" s="45"/>
      <c r="P583" s="45"/>
      <c r="Q583" s="45"/>
      <c r="R583" s="45"/>
      <c r="S583" s="45"/>
      <c r="T583" s="45"/>
      <c r="U583" s="45"/>
      <c r="V583" s="45"/>
      <c r="W583" s="45"/>
      <c r="X583" s="45"/>
      <c r="Y583" s="45"/>
      <c r="Z583" s="45"/>
    </row>
    <row r="584" spans="1:26">
      <c r="A584" s="45"/>
      <c r="B584" s="45"/>
      <c r="C584" s="45"/>
      <c r="D584" s="45"/>
      <c r="E584" s="45"/>
      <c r="F584" s="45"/>
      <c r="G584" s="45"/>
      <c r="H584" s="45"/>
      <c r="I584" s="45"/>
      <c r="J584" s="45"/>
      <c r="K584" s="45"/>
      <c r="L584" s="45"/>
      <c r="M584" s="45"/>
      <c r="N584" s="44"/>
      <c r="O584" s="45"/>
      <c r="P584" s="45"/>
      <c r="Q584" s="45"/>
      <c r="R584" s="45"/>
      <c r="S584" s="45"/>
      <c r="T584" s="45"/>
      <c r="U584" s="45"/>
      <c r="V584" s="45"/>
      <c r="W584" s="45"/>
      <c r="X584" s="45"/>
      <c r="Y584" s="45"/>
      <c r="Z584" s="45"/>
    </row>
    <row r="585" spans="1:26">
      <c r="A585" s="45"/>
      <c r="B585" s="45"/>
      <c r="C585" s="45"/>
      <c r="D585" s="45"/>
      <c r="E585" s="45"/>
      <c r="F585" s="45"/>
      <c r="G585" s="45"/>
      <c r="H585" s="45"/>
      <c r="I585" s="45"/>
      <c r="J585" s="45"/>
      <c r="K585" s="45"/>
      <c r="L585" s="45"/>
      <c r="M585" s="45"/>
      <c r="N585" s="44"/>
      <c r="O585" s="45"/>
      <c r="P585" s="45"/>
      <c r="Q585" s="45"/>
      <c r="R585" s="45"/>
      <c r="S585" s="45"/>
      <c r="T585" s="45"/>
      <c r="U585" s="45"/>
      <c r="V585" s="45"/>
      <c r="W585" s="45"/>
      <c r="X585" s="45"/>
      <c r="Y585" s="45"/>
      <c r="Z585" s="45"/>
    </row>
    <row r="586" spans="1:26">
      <c r="A586" s="45"/>
      <c r="B586" s="45"/>
      <c r="C586" s="45"/>
      <c r="D586" s="45"/>
      <c r="E586" s="45"/>
      <c r="F586" s="45"/>
      <c r="G586" s="45"/>
      <c r="H586" s="45"/>
      <c r="I586" s="45"/>
      <c r="J586" s="45"/>
      <c r="K586" s="45"/>
      <c r="L586" s="45"/>
      <c r="M586" s="45"/>
      <c r="N586" s="44"/>
      <c r="O586" s="45"/>
      <c r="P586" s="45"/>
      <c r="Q586" s="45"/>
      <c r="R586" s="45"/>
      <c r="S586" s="45"/>
      <c r="T586" s="45"/>
      <c r="U586" s="45"/>
      <c r="V586" s="45"/>
      <c r="W586" s="45"/>
      <c r="X586" s="45"/>
      <c r="Y586" s="45"/>
      <c r="Z586" s="45"/>
    </row>
    <row r="587" spans="1:26">
      <c r="A587" s="45"/>
      <c r="B587" s="45"/>
      <c r="C587" s="45"/>
      <c r="D587" s="45"/>
      <c r="E587" s="45"/>
      <c r="F587" s="45"/>
      <c r="G587" s="45"/>
      <c r="H587" s="45"/>
      <c r="I587" s="45"/>
      <c r="J587" s="45"/>
      <c r="K587" s="45"/>
      <c r="L587" s="45"/>
      <c r="M587" s="45"/>
      <c r="N587" s="44"/>
      <c r="O587" s="45"/>
      <c r="P587" s="45"/>
      <c r="Q587" s="45"/>
      <c r="R587" s="45"/>
      <c r="S587" s="45"/>
      <c r="T587" s="45"/>
      <c r="U587" s="45"/>
      <c r="V587" s="45"/>
      <c r="W587" s="45"/>
      <c r="X587" s="45"/>
      <c r="Y587" s="45"/>
      <c r="Z587" s="45"/>
    </row>
    <row r="588" spans="1:26">
      <c r="A588" s="45"/>
      <c r="B588" s="45"/>
      <c r="C588" s="45"/>
      <c r="D588" s="45"/>
      <c r="E588" s="45"/>
      <c r="F588" s="45"/>
      <c r="G588" s="45"/>
      <c r="H588" s="45"/>
      <c r="I588" s="45"/>
      <c r="J588" s="45"/>
      <c r="K588" s="45"/>
      <c r="L588" s="45"/>
      <c r="M588" s="45"/>
      <c r="N588" s="44"/>
      <c r="O588" s="45"/>
      <c r="P588" s="45"/>
      <c r="Q588" s="45"/>
      <c r="R588" s="45"/>
      <c r="S588" s="45"/>
      <c r="T588" s="45"/>
      <c r="U588" s="45"/>
      <c r="V588" s="45"/>
      <c r="W588" s="45"/>
      <c r="X588" s="45"/>
      <c r="Y588" s="45"/>
      <c r="Z588" s="45"/>
    </row>
    <row r="589" spans="1:26">
      <c r="A589" s="45"/>
      <c r="B589" s="45"/>
      <c r="C589" s="45"/>
      <c r="D589" s="45"/>
      <c r="E589" s="45"/>
      <c r="F589" s="45"/>
      <c r="G589" s="45"/>
      <c r="H589" s="45"/>
      <c r="I589" s="45"/>
      <c r="J589" s="45"/>
      <c r="K589" s="45"/>
      <c r="L589" s="45"/>
      <c r="M589" s="45"/>
      <c r="N589" s="44"/>
      <c r="O589" s="45"/>
      <c r="P589" s="45"/>
      <c r="Q589" s="45"/>
      <c r="R589" s="45"/>
      <c r="S589" s="45"/>
      <c r="T589" s="45"/>
      <c r="U589" s="45"/>
      <c r="V589" s="45"/>
      <c r="W589" s="45"/>
      <c r="X589" s="45"/>
      <c r="Y589" s="45"/>
      <c r="Z589" s="45"/>
    </row>
    <row r="590" spans="1:26">
      <c r="A590" s="45"/>
      <c r="B590" s="45"/>
      <c r="C590" s="45"/>
      <c r="D590" s="45"/>
      <c r="E590" s="45"/>
      <c r="F590" s="45"/>
      <c r="G590" s="45"/>
      <c r="H590" s="45"/>
      <c r="I590" s="45"/>
      <c r="J590" s="45"/>
      <c r="K590" s="45"/>
      <c r="L590" s="45"/>
      <c r="M590" s="45"/>
      <c r="N590" s="44"/>
      <c r="O590" s="45"/>
      <c r="P590" s="45"/>
      <c r="Q590" s="45"/>
      <c r="R590" s="45"/>
      <c r="S590" s="45"/>
      <c r="T590" s="45"/>
      <c r="U590" s="45"/>
      <c r="V590" s="45"/>
      <c r="W590" s="45"/>
      <c r="X590" s="45"/>
      <c r="Y590" s="45"/>
      <c r="Z590" s="45"/>
    </row>
    <row r="591" spans="1:26">
      <c r="A591" s="45"/>
      <c r="B591" s="45"/>
      <c r="C591" s="45"/>
      <c r="D591" s="45"/>
      <c r="E591" s="45"/>
      <c r="F591" s="45"/>
      <c r="G591" s="45"/>
      <c r="H591" s="45"/>
      <c r="I591" s="45"/>
      <c r="J591" s="45"/>
      <c r="K591" s="45"/>
      <c r="L591" s="45"/>
      <c r="M591" s="45"/>
      <c r="N591" s="44"/>
      <c r="O591" s="45"/>
      <c r="P591" s="45"/>
      <c r="Q591" s="45"/>
      <c r="R591" s="45"/>
      <c r="S591" s="45"/>
      <c r="T591" s="45"/>
      <c r="U591" s="45"/>
      <c r="V591" s="45"/>
      <c r="W591" s="45"/>
      <c r="X591" s="45"/>
      <c r="Y591" s="45"/>
      <c r="Z591" s="45"/>
    </row>
    <row r="592" spans="1:26">
      <c r="A592" s="45"/>
      <c r="B592" s="45"/>
      <c r="C592" s="45"/>
      <c r="D592" s="45"/>
      <c r="E592" s="45"/>
      <c r="F592" s="45"/>
      <c r="G592" s="45"/>
      <c r="H592" s="45"/>
      <c r="I592" s="45"/>
      <c r="J592" s="45"/>
      <c r="K592" s="45"/>
      <c r="L592" s="45"/>
      <c r="M592" s="45"/>
      <c r="N592" s="44"/>
      <c r="O592" s="45"/>
      <c r="P592" s="45"/>
      <c r="Q592" s="45"/>
      <c r="R592" s="45"/>
      <c r="S592" s="45"/>
      <c r="T592" s="45"/>
      <c r="U592" s="45"/>
      <c r="V592" s="45"/>
      <c r="W592" s="45"/>
      <c r="X592" s="45"/>
      <c r="Y592" s="45"/>
      <c r="Z592" s="45"/>
    </row>
    <row r="593" spans="1:26">
      <c r="A593" s="45"/>
      <c r="B593" s="45"/>
      <c r="C593" s="45"/>
      <c r="D593" s="45"/>
      <c r="E593" s="45"/>
      <c r="F593" s="45"/>
      <c r="G593" s="45"/>
      <c r="H593" s="45"/>
      <c r="I593" s="45"/>
      <c r="J593" s="45"/>
      <c r="K593" s="45"/>
      <c r="L593" s="45"/>
      <c r="M593" s="45"/>
      <c r="N593" s="44"/>
      <c r="O593" s="45"/>
      <c r="P593" s="45"/>
      <c r="Q593" s="45"/>
      <c r="R593" s="45"/>
      <c r="S593" s="45"/>
      <c r="T593" s="45"/>
      <c r="U593" s="45"/>
      <c r="V593" s="45"/>
      <c r="W593" s="45"/>
      <c r="X593" s="45"/>
      <c r="Y593" s="45"/>
      <c r="Z593" s="45"/>
    </row>
    <row r="594" spans="1:26">
      <c r="A594" s="45"/>
      <c r="B594" s="45"/>
      <c r="C594" s="45"/>
      <c r="D594" s="45"/>
      <c r="E594" s="45"/>
      <c r="F594" s="45"/>
      <c r="G594" s="45"/>
      <c r="H594" s="45"/>
      <c r="I594" s="45"/>
      <c r="J594" s="45"/>
      <c r="K594" s="45"/>
      <c r="L594" s="45"/>
      <c r="M594" s="45"/>
      <c r="N594" s="44"/>
      <c r="O594" s="45"/>
      <c r="P594" s="45"/>
      <c r="Q594" s="45"/>
      <c r="R594" s="45"/>
      <c r="S594" s="45"/>
      <c r="T594" s="45"/>
      <c r="U594" s="45"/>
      <c r="V594" s="45"/>
      <c r="W594" s="45"/>
      <c r="X594" s="45"/>
      <c r="Y594" s="45"/>
      <c r="Z594" s="45"/>
    </row>
    <row r="595" spans="1:26">
      <c r="A595" s="45"/>
      <c r="B595" s="45"/>
      <c r="C595" s="45"/>
      <c r="D595" s="45"/>
      <c r="E595" s="45"/>
      <c r="F595" s="45"/>
      <c r="G595" s="45"/>
      <c r="H595" s="45"/>
      <c r="I595" s="45"/>
      <c r="J595" s="45"/>
      <c r="K595" s="45"/>
      <c r="L595" s="45"/>
      <c r="M595" s="45"/>
      <c r="N595" s="44"/>
      <c r="O595" s="45"/>
      <c r="P595" s="45"/>
      <c r="Q595" s="45"/>
      <c r="R595" s="45"/>
      <c r="S595" s="45"/>
      <c r="T595" s="45"/>
      <c r="U595" s="45"/>
      <c r="V595" s="45"/>
      <c r="W595" s="45"/>
      <c r="X595" s="45"/>
      <c r="Y595" s="45"/>
      <c r="Z595" s="45"/>
    </row>
    <row r="596" spans="1:26">
      <c r="A596" s="45"/>
      <c r="B596" s="45"/>
      <c r="C596" s="45"/>
      <c r="D596" s="45"/>
      <c r="E596" s="45"/>
      <c r="F596" s="45"/>
      <c r="G596" s="45"/>
      <c r="H596" s="45"/>
      <c r="I596" s="45"/>
      <c r="J596" s="45"/>
      <c r="K596" s="45"/>
      <c r="L596" s="45"/>
      <c r="M596" s="45"/>
      <c r="N596" s="44"/>
      <c r="O596" s="45"/>
      <c r="P596" s="45"/>
      <c r="Q596" s="45"/>
      <c r="R596" s="45"/>
      <c r="S596" s="45"/>
      <c r="T596" s="45"/>
      <c r="U596" s="45"/>
      <c r="V596" s="45"/>
      <c r="W596" s="45"/>
      <c r="X596" s="45"/>
      <c r="Y596" s="45"/>
      <c r="Z596" s="45"/>
    </row>
    <row r="597" spans="1:26">
      <c r="A597" s="45"/>
      <c r="B597" s="45"/>
      <c r="C597" s="45"/>
      <c r="D597" s="45"/>
      <c r="E597" s="45"/>
      <c r="F597" s="45"/>
      <c r="G597" s="45"/>
      <c r="H597" s="45"/>
      <c r="I597" s="45"/>
      <c r="J597" s="45"/>
      <c r="K597" s="45"/>
      <c r="L597" s="45"/>
      <c r="M597" s="45"/>
      <c r="N597" s="44"/>
      <c r="O597" s="45"/>
      <c r="P597" s="45"/>
      <c r="Q597" s="45"/>
      <c r="R597" s="45"/>
      <c r="S597" s="45"/>
      <c r="T597" s="45"/>
      <c r="U597" s="45"/>
      <c r="V597" s="45"/>
      <c r="W597" s="45"/>
      <c r="X597" s="45"/>
      <c r="Y597" s="45"/>
      <c r="Z597" s="45"/>
    </row>
    <row r="598" spans="1:26">
      <c r="A598" s="45"/>
      <c r="B598" s="45"/>
      <c r="C598" s="45"/>
      <c r="D598" s="45"/>
      <c r="E598" s="45"/>
      <c r="F598" s="45"/>
      <c r="G598" s="45"/>
      <c r="H598" s="45"/>
      <c r="I598" s="45"/>
      <c r="J598" s="45"/>
      <c r="K598" s="45"/>
      <c r="L598" s="45"/>
      <c r="M598" s="45"/>
      <c r="N598" s="44"/>
      <c r="O598" s="45"/>
      <c r="P598" s="45"/>
      <c r="Q598" s="45"/>
      <c r="R598" s="45"/>
      <c r="S598" s="45"/>
      <c r="T598" s="45"/>
      <c r="U598" s="45"/>
      <c r="V598" s="45"/>
      <c r="W598" s="45"/>
      <c r="X598" s="45"/>
      <c r="Y598" s="45"/>
      <c r="Z598" s="45"/>
    </row>
    <row r="599" spans="1:26">
      <c r="A599" s="45"/>
      <c r="B599" s="45"/>
      <c r="C599" s="45"/>
      <c r="D599" s="45"/>
      <c r="E599" s="45"/>
      <c r="F599" s="45"/>
      <c r="G599" s="45"/>
      <c r="H599" s="45"/>
      <c r="I599" s="45"/>
      <c r="J599" s="45"/>
      <c r="K599" s="45"/>
      <c r="L599" s="45"/>
      <c r="M599" s="45"/>
      <c r="N599" s="44"/>
      <c r="O599" s="45"/>
      <c r="P599" s="45"/>
      <c r="Q599" s="45"/>
      <c r="R599" s="45"/>
      <c r="S599" s="45"/>
      <c r="T599" s="45"/>
      <c r="U599" s="45"/>
      <c r="V599" s="45"/>
      <c r="W599" s="45"/>
      <c r="X599" s="45"/>
      <c r="Y599" s="45"/>
      <c r="Z599" s="45"/>
    </row>
    <row r="600" spans="1:26">
      <c r="A600" s="45"/>
      <c r="B600" s="45"/>
      <c r="C600" s="45"/>
      <c r="D600" s="45"/>
      <c r="E600" s="45"/>
      <c r="F600" s="45"/>
      <c r="G600" s="45"/>
      <c r="H600" s="45"/>
      <c r="I600" s="45"/>
      <c r="J600" s="45"/>
      <c r="K600" s="45"/>
      <c r="L600" s="45"/>
      <c r="M600" s="45"/>
      <c r="N600" s="44"/>
      <c r="O600" s="45"/>
      <c r="P600" s="45"/>
      <c r="Q600" s="45"/>
      <c r="R600" s="45"/>
      <c r="S600" s="45"/>
      <c r="T600" s="45"/>
      <c r="U600" s="45"/>
      <c r="V600" s="45"/>
      <c r="W600" s="45"/>
      <c r="X600" s="45"/>
      <c r="Y600" s="45"/>
      <c r="Z600" s="45"/>
    </row>
    <row r="601" spans="1:26">
      <c r="A601" s="45"/>
      <c r="B601" s="45"/>
      <c r="C601" s="45"/>
      <c r="D601" s="45"/>
      <c r="E601" s="45"/>
      <c r="F601" s="45"/>
      <c r="G601" s="45"/>
      <c r="H601" s="45"/>
      <c r="I601" s="45"/>
      <c r="J601" s="45"/>
      <c r="K601" s="45"/>
      <c r="L601" s="45"/>
      <c r="M601" s="45"/>
      <c r="N601" s="44"/>
      <c r="O601" s="45"/>
      <c r="P601" s="45"/>
      <c r="Q601" s="45"/>
      <c r="R601" s="45"/>
      <c r="S601" s="45"/>
      <c r="T601" s="45"/>
      <c r="U601" s="45"/>
      <c r="V601" s="45"/>
      <c r="W601" s="45"/>
      <c r="X601" s="45"/>
      <c r="Y601" s="45"/>
      <c r="Z601" s="45"/>
    </row>
    <row r="602" spans="1:26">
      <c r="A602" s="45"/>
      <c r="B602" s="45"/>
      <c r="C602" s="45"/>
      <c r="D602" s="45"/>
      <c r="E602" s="45"/>
      <c r="F602" s="45"/>
      <c r="G602" s="45"/>
      <c r="H602" s="45"/>
      <c r="I602" s="45"/>
      <c r="J602" s="45"/>
      <c r="K602" s="45"/>
      <c r="L602" s="45"/>
      <c r="M602" s="45"/>
      <c r="N602" s="44"/>
      <c r="O602" s="45"/>
      <c r="P602" s="45"/>
      <c r="Q602" s="45"/>
      <c r="R602" s="45"/>
      <c r="S602" s="45"/>
      <c r="T602" s="45"/>
      <c r="U602" s="45"/>
      <c r="V602" s="45"/>
      <c r="W602" s="45"/>
      <c r="X602" s="45"/>
      <c r="Y602" s="45"/>
      <c r="Z602" s="45"/>
    </row>
    <row r="603" spans="1:26">
      <c r="A603" s="45"/>
      <c r="B603" s="45"/>
      <c r="C603" s="45"/>
      <c r="D603" s="45"/>
      <c r="E603" s="45"/>
      <c r="F603" s="45"/>
      <c r="G603" s="45"/>
      <c r="H603" s="45"/>
      <c r="I603" s="45"/>
      <c r="J603" s="45"/>
      <c r="K603" s="45"/>
      <c r="L603" s="45"/>
      <c r="M603" s="45"/>
      <c r="N603" s="44"/>
      <c r="O603" s="45"/>
      <c r="P603" s="45"/>
      <c r="Q603" s="45"/>
      <c r="R603" s="45"/>
      <c r="S603" s="45"/>
      <c r="T603" s="45"/>
      <c r="U603" s="45"/>
      <c r="V603" s="45"/>
      <c r="W603" s="45"/>
      <c r="X603" s="45"/>
      <c r="Y603" s="45"/>
      <c r="Z603" s="45"/>
    </row>
    <row r="604" spans="1:26">
      <c r="A604" s="45"/>
      <c r="B604" s="45"/>
      <c r="C604" s="45"/>
      <c r="D604" s="45"/>
      <c r="E604" s="45"/>
      <c r="F604" s="45"/>
      <c r="G604" s="45"/>
      <c r="H604" s="45"/>
      <c r="I604" s="45"/>
      <c r="J604" s="45"/>
      <c r="K604" s="45"/>
      <c r="L604" s="45"/>
      <c r="M604" s="45"/>
      <c r="N604" s="44"/>
      <c r="O604" s="45"/>
      <c r="P604" s="45"/>
      <c r="Q604" s="45"/>
      <c r="R604" s="45"/>
      <c r="S604" s="45"/>
      <c r="T604" s="45"/>
      <c r="U604" s="45"/>
      <c r="V604" s="45"/>
      <c r="W604" s="45"/>
      <c r="X604" s="45"/>
      <c r="Y604" s="45"/>
      <c r="Z604" s="45"/>
    </row>
    <row r="605" spans="1:26">
      <c r="A605" s="45"/>
      <c r="B605" s="45"/>
      <c r="C605" s="45"/>
      <c r="D605" s="45"/>
      <c r="E605" s="45"/>
      <c r="F605" s="45"/>
      <c r="G605" s="45"/>
      <c r="H605" s="45"/>
      <c r="I605" s="45"/>
      <c r="J605" s="45"/>
      <c r="K605" s="45"/>
      <c r="L605" s="45"/>
      <c r="M605" s="45"/>
      <c r="N605" s="44"/>
      <c r="O605" s="45"/>
      <c r="P605" s="45"/>
      <c r="Q605" s="45"/>
      <c r="R605" s="45"/>
      <c r="S605" s="45"/>
      <c r="T605" s="45"/>
      <c r="U605" s="45"/>
      <c r="V605" s="45"/>
      <c r="W605" s="45"/>
      <c r="X605" s="45"/>
      <c r="Y605" s="45"/>
      <c r="Z605" s="45"/>
    </row>
    <row r="606" spans="1:26">
      <c r="A606" s="45"/>
      <c r="B606" s="45"/>
      <c r="C606" s="45"/>
      <c r="D606" s="45"/>
      <c r="E606" s="45"/>
      <c r="F606" s="45"/>
      <c r="G606" s="45"/>
      <c r="H606" s="45"/>
      <c r="I606" s="45"/>
      <c r="J606" s="45"/>
      <c r="K606" s="45"/>
      <c r="L606" s="45"/>
      <c r="M606" s="45"/>
      <c r="N606" s="44"/>
      <c r="O606" s="45"/>
      <c r="P606" s="45"/>
      <c r="Q606" s="45"/>
      <c r="R606" s="45"/>
      <c r="S606" s="45"/>
      <c r="T606" s="45"/>
      <c r="U606" s="45"/>
      <c r="V606" s="45"/>
      <c r="W606" s="45"/>
      <c r="X606" s="45"/>
      <c r="Y606" s="45"/>
      <c r="Z606" s="45"/>
    </row>
    <row r="607" spans="1:26">
      <c r="A607" s="45"/>
      <c r="B607" s="45"/>
      <c r="C607" s="45"/>
      <c r="D607" s="45"/>
      <c r="E607" s="45"/>
      <c r="F607" s="45"/>
      <c r="G607" s="45"/>
      <c r="H607" s="45"/>
      <c r="I607" s="45"/>
      <c r="J607" s="45"/>
      <c r="K607" s="45"/>
      <c r="L607" s="45"/>
      <c r="M607" s="45"/>
      <c r="N607" s="44"/>
      <c r="O607" s="45"/>
      <c r="P607" s="45"/>
      <c r="Q607" s="45"/>
      <c r="R607" s="45"/>
      <c r="S607" s="45"/>
      <c r="T607" s="45"/>
      <c r="U607" s="45"/>
      <c r="V607" s="45"/>
      <c r="W607" s="45"/>
      <c r="X607" s="45"/>
      <c r="Y607" s="45"/>
      <c r="Z607" s="45"/>
    </row>
    <row r="608" spans="1:26">
      <c r="A608" s="45"/>
      <c r="B608" s="45"/>
      <c r="C608" s="45"/>
      <c r="D608" s="45"/>
      <c r="E608" s="45"/>
      <c r="F608" s="45"/>
      <c r="G608" s="45"/>
      <c r="H608" s="45"/>
      <c r="I608" s="45"/>
      <c r="J608" s="45"/>
      <c r="K608" s="45"/>
      <c r="L608" s="45"/>
      <c r="M608" s="45"/>
      <c r="N608" s="44"/>
      <c r="O608" s="45"/>
      <c r="P608" s="45"/>
      <c r="Q608" s="45"/>
      <c r="R608" s="45"/>
      <c r="S608" s="45"/>
      <c r="T608" s="45"/>
      <c r="U608" s="45"/>
      <c r="V608" s="45"/>
      <c r="W608" s="45"/>
      <c r="X608" s="45"/>
      <c r="Y608" s="45"/>
      <c r="Z608" s="45"/>
    </row>
    <row r="609" spans="1:26">
      <c r="A609" s="45"/>
      <c r="B609" s="45"/>
      <c r="C609" s="45"/>
      <c r="D609" s="45"/>
      <c r="E609" s="45"/>
      <c r="F609" s="45"/>
      <c r="G609" s="45"/>
      <c r="H609" s="45"/>
      <c r="I609" s="45"/>
      <c r="J609" s="45"/>
      <c r="K609" s="45"/>
      <c r="L609" s="45"/>
      <c r="M609" s="45"/>
      <c r="N609" s="44"/>
      <c r="O609" s="45"/>
      <c r="P609" s="45"/>
      <c r="Q609" s="45"/>
      <c r="R609" s="45"/>
      <c r="S609" s="45"/>
      <c r="T609" s="45"/>
      <c r="U609" s="45"/>
      <c r="V609" s="45"/>
      <c r="W609" s="45"/>
      <c r="X609" s="45"/>
      <c r="Y609" s="45"/>
      <c r="Z609" s="45"/>
    </row>
    <row r="610" spans="1:26">
      <c r="A610" s="45"/>
      <c r="B610" s="45"/>
      <c r="C610" s="45"/>
      <c r="D610" s="45"/>
      <c r="E610" s="45"/>
      <c r="F610" s="45"/>
      <c r="G610" s="45"/>
      <c r="H610" s="45"/>
      <c r="I610" s="45"/>
      <c r="J610" s="45"/>
      <c r="K610" s="45"/>
      <c r="L610" s="45"/>
      <c r="M610" s="45"/>
      <c r="N610" s="44"/>
      <c r="O610" s="45"/>
      <c r="P610" s="45"/>
      <c r="Q610" s="45"/>
      <c r="R610" s="45"/>
      <c r="S610" s="45"/>
      <c r="T610" s="45"/>
      <c r="U610" s="45"/>
      <c r="V610" s="45"/>
      <c r="W610" s="45"/>
      <c r="X610" s="45"/>
      <c r="Y610" s="45"/>
      <c r="Z610" s="45"/>
    </row>
    <row r="611" spans="1:26">
      <c r="A611" s="45"/>
      <c r="B611" s="45"/>
      <c r="C611" s="45"/>
      <c r="D611" s="45"/>
      <c r="E611" s="45"/>
      <c r="F611" s="45"/>
      <c r="G611" s="45"/>
      <c r="H611" s="45"/>
      <c r="I611" s="45"/>
      <c r="J611" s="45"/>
      <c r="K611" s="45"/>
      <c r="L611" s="45"/>
      <c r="M611" s="45"/>
      <c r="N611" s="44"/>
      <c r="O611" s="45"/>
      <c r="P611" s="45"/>
      <c r="Q611" s="45"/>
      <c r="R611" s="45"/>
      <c r="S611" s="45"/>
      <c r="T611" s="45"/>
      <c r="U611" s="45"/>
      <c r="V611" s="45"/>
      <c r="W611" s="45"/>
      <c r="X611" s="45"/>
      <c r="Y611" s="45"/>
      <c r="Z611" s="45"/>
    </row>
    <row r="612" spans="1:26">
      <c r="A612" s="45"/>
      <c r="B612" s="45"/>
      <c r="C612" s="45"/>
      <c r="D612" s="45"/>
      <c r="E612" s="45"/>
      <c r="F612" s="45"/>
      <c r="G612" s="45"/>
      <c r="H612" s="45"/>
      <c r="I612" s="45"/>
      <c r="J612" s="45"/>
      <c r="K612" s="45"/>
      <c r="L612" s="45"/>
      <c r="M612" s="45"/>
      <c r="N612" s="44"/>
      <c r="O612" s="45"/>
      <c r="P612" s="45"/>
      <c r="Q612" s="45"/>
      <c r="R612" s="45"/>
      <c r="S612" s="45"/>
      <c r="T612" s="45"/>
      <c r="U612" s="45"/>
      <c r="V612" s="45"/>
      <c r="W612" s="45"/>
      <c r="X612" s="45"/>
      <c r="Y612" s="45"/>
      <c r="Z612" s="45"/>
    </row>
    <row r="613" spans="1:26">
      <c r="A613" s="45"/>
      <c r="B613" s="45"/>
      <c r="C613" s="45"/>
      <c r="D613" s="45"/>
      <c r="E613" s="45"/>
      <c r="F613" s="45"/>
      <c r="G613" s="45"/>
      <c r="H613" s="45"/>
      <c r="I613" s="45"/>
      <c r="J613" s="45"/>
      <c r="K613" s="45"/>
      <c r="L613" s="45"/>
      <c r="M613" s="45"/>
      <c r="N613" s="44"/>
      <c r="O613" s="45"/>
      <c r="P613" s="45"/>
      <c r="Q613" s="45"/>
      <c r="R613" s="45"/>
      <c r="S613" s="45"/>
      <c r="T613" s="45"/>
      <c r="U613" s="45"/>
      <c r="V613" s="45"/>
      <c r="W613" s="45"/>
      <c r="X613" s="45"/>
      <c r="Y613" s="45"/>
      <c r="Z613" s="45"/>
    </row>
    <row r="614" spans="1:26">
      <c r="A614" s="45"/>
      <c r="B614" s="45"/>
      <c r="C614" s="45"/>
      <c r="D614" s="45"/>
      <c r="E614" s="45"/>
      <c r="F614" s="45"/>
      <c r="G614" s="45"/>
      <c r="H614" s="45"/>
      <c r="I614" s="45"/>
      <c r="J614" s="45"/>
      <c r="K614" s="45"/>
      <c r="L614" s="45"/>
      <c r="M614" s="45"/>
      <c r="N614" s="44"/>
      <c r="O614" s="45"/>
      <c r="P614" s="45"/>
      <c r="Q614" s="45"/>
      <c r="R614" s="45"/>
      <c r="S614" s="45"/>
      <c r="T614" s="45"/>
      <c r="U614" s="45"/>
      <c r="V614" s="45"/>
      <c r="W614" s="45"/>
      <c r="X614" s="45"/>
      <c r="Y614" s="45"/>
      <c r="Z614" s="45"/>
    </row>
    <row r="615" spans="1:26">
      <c r="A615" s="45"/>
      <c r="B615" s="45"/>
      <c r="C615" s="45"/>
      <c r="D615" s="45"/>
      <c r="E615" s="45"/>
      <c r="F615" s="45"/>
      <c r="G615" s="45"/>
      <c r="H615" s="45"/>
      <c r="I615" s="45"/>
      <c r="J615" s="45"/>
      <c r="K615" s="45"/>
      <c r="L615" s="45"/>
      <c r="M615" s="45"/>
      <c r="N615" s="44"/>
      <c r="O615" s="45"/>
      <c r="P615" s="45"/>
      <c r="Q615" s="45"/>
      <c r="R615" s="45"/>
      <c r="S615" s="45"/>
      <c r="T615" s="45"/>
      <c r="U615" s="45"/>
      <c r="V615" s="45"/>
      <c r="W615" s="45"/>
      <c r="X615" s="45"/>
      <c r="Y615" s="45"/>
      <c r="Z615" s="45"/>
    </row>
    <row r="616" spans="1:26">
      <c r="A616" s="45"/>
      <c r="B616" s="45"/>
      <c r="C616" s="45"/>
      <c r="D616" s="45"/>
      <c r="E616" s="45"/>
      <c r="F616" s="45"/>
      <c r="G616" s="45"/>
      <c r="H616" s="45"/>
      <c r="I616" s="45"/>
      <c r="J616" s="45"/>
      <c r="K616" s="45"/>
      <c r="L616" s="45"/>
      <c r="M616" s="45"/>
      <c r="N616" s="44"/>
      <c r="O616" s="45"/>
      <c r="P616" s="45"/>
      <c r="Q616" s="45"/>
      <c r="R616" s="45"/>
      <c r="S616" s="45"/>
      <c r="T616" s="45"/>
      <c r="U616" s="45"/>
      <c r="V616" s="45"/>
      <c r="W616" s="45"/>
      <c r="X616" s="45"/>
      <c r="Y616" s="45"/>
      <c r="Z616" s="45"/>
    </row>
    <row r="617" spans="1:26">
      <c r="A617" s="45"/>
      <c r="B617" s="45"/>
      <c r="C617" s="45"/>
      <c r="D617" s="45"/>
      <c r="E617" s="45"/>
      <c r="F617" s="45"/>
      <c r="G617" s="45"/>
      <c r="H617" s="45"/>
      <c r="I617" s="45"/>
      <c r="J617" s="45"/>
      <c r="K617" s="45"/>
      <c r="L617" s="45"/>
      <c r="M617" s="45"/>
      <c r="N617" s="44"/>
      <c r="O617" s="45"/>
      <c r="P617" s="45"/>
      <c r="Q617" s="45"/>
      <c r="R617" s="45"/>
      <c r="S617" s="45"/>
      <c r="T617" s="45"/>
      <c r="U617" s="45"/>
      <c r="V617" s="45"/>
      <c r="W617" s="45"/>
      <c r="X617" s="45"/>
      <c r="Y617" s="45"/>
      <c r="Z617" s="45"/>
    </row>
    <row r="618" spans="1:26">
      <c r="A618" s="45"/>
      <c r="B618" s="45"/>
      <c r="C618" s="45"/>
      <c r="D618" s="45"/>
      <c r="E618" s="45"/>
      <c r="F618" s="45"/>
      <c r="G618" s="45"/>
      <c r="H618" s="45"/>
      <c r="I618" s="45"/>
      <c r="J618" s="45"/>
      <c r="K618" s="45"/>
      <c r="L618" s="45"/>
      <c r="M618" s="45"/>
      <c r="N618" s="44"/>
      <c r="O618" s="45"/>
      <c r="P618" s="45"/>
      <c r="Q618" s="45"/>
      <c r="R618" s="45"/>
      <c r="S618" s="45"/>
      <c r="T618" s="45"/>
      <c r="U618" s="45"/>
      <c r="V618" s="45"/>
      <c r="W618" s="45"/>
      <c r="X618" s="45"/>
      <c r="Y618" s="45"/>
      <c r="Z618" s="45"/>
    </row>
    <row r="619" spans="1:26">
      <c r="A619" s="45"/>
      <c r="B619" s="45"/>
      <c r="C619" s="45"/>
      <c r="D619" s="45"/>
      <c r="E619" s="45"/>
      <c r="F619" s="45"/>
      <c r="G619" s="45"/>
      <c r="H619" s="45"/>
      <c r="I619" s="45"/>
      <c r="J619" s="45"/>
      <c r="K619" s="45"/>
      <c r="L619" s="45"/>
      <c r="M619" s="45"/>
      <c r="N619" s="44"/>
      <c r="O619" s="45"/>
      <c r="P619" s="45"/>
      <c r="Q619" s="45"/>
      <c r="R619" s="45"/>
      <c r="S619" s="45"/>
      <c r="T619" s="45"/>
      <c r="U619" s="45"/>
      <c r="V619" s="45"/>
      <c r="W619" s="45"/>
      <c r="X619" s="45"/>
      <c r="Y619" s="45"/>
      <c r="Z619" s="45"/>
    </row>
    <row r="620" spans="1:26">
      <c r="A620" s="45"/>
      <c r="B620" s="45"/>
      <c r="C620" s="45"/>
      <c r="D620" s="45"/>
      <c r="E620" s="45"/>
      <c r="F620" s="45"/>
      <c r="G620" s="45"/>
      <c r="H620" s="45"/>
      <c r="I620" s="45"/>
      <c r="J620" s="45"/>
      <c r="K620" s="45"/>
      <c r="L620" s="45"/>
      <c r="M620" s="45"/>
      <c r="N620" s="44"/>
      <c r="O620" s="45"/>
      <c r="P620" s="45"/>
      <c r="Q620" s="45"/>
      <c r="R620" s="45"/>
      <c r="S620" s="45"/>
      <c r="T620" s="45"/>
      <c r="U620" s="45"/>
      <c r="V620" s="45"/>
      <c r="W620" s="45"/>
      <c r="X620" s="45"/>
      <c r="Y620" s="45"/>
      <c r="Z620" s="45"/>
    </row>
    <row r="621" spans="1:26">
      <c r="A621" s="45"/>
      <c r="B621" s="45"/>
      <c r="C621" s="45"/>
      <c r="D621" s="45"/>
      <c r="E621" s="45"/>
      <c r="F621" s="45"/>
      <c r="G621" s="45"/>
      <c r="H621" s="45"/>
      <c r="I621" s="45"/>
      <c r="J621" s="45"/>
      <c r="K621" s="45"/>
      <c r="L621" s="45"/>
      <c r="M621" s="45"/>
      <c r="N621" s="44"/>
      <c r="O621" s="45"/>
      <c r="P621" s="45"/>
      <c r="Q621" s="45"/>
      <c r="R621" s="45"/>
      <c r="S621" s="45"/>
      <c r="T621" s="45"/>
      <c r="U621" s="45"/>
      <c r="V621" s="45"/>
      <c r="W621" s="45"/>
      <c r="X621" s="45"/>
      <c r="Y621" s="45"/>
      <c r="Z621" s="45"/>
    </row>
    <row r="622" spans="1:26">
      <c r="A622" s="45"/>
      <c r="B622" s="45"/>
      <c r="C622" s="45"/>
      <c r="D622" s="45"/>
      <c r="E622" s="45"/>
      <c r="F622" s="45"/>
      <c r="G622" s="45"/>
      <c r="H622" s="45"/>
      <c r="I622" s="45"/>
      <c r="J622" s="45"/>
      <c r="K622" s="45"/>
      <c r="L622" s="45"/>
      <c r="M622" s="45"/>
      <c r="N622" s="44"/>
      <c r="O622" s="45"/>
      <c r="P622" s="45"/>
      <c r="Q622" s="45"/>
      <c r="R622" s="45"/>
      <c r="S622" s="45"/>
      <c r="T622" s="45"/>
      <c r="U622" s="45"/>
      <c r="V622" s="45"/>
      <c r="W622" s="45"/>
      <c r="X622" s="45"/>
      <c r="Y622" s="45"/>
      <c r="Z622" s="45"/>
    </row>
    <row r="623" spans="1:26">
      <c r="A623" s="45"/>
      <c r="B623" s="45"/>
      <c r="C623" s="45"/>
      <c r="D623" s="45"/>
      <c r="E623" s="45"/>
      <c r="F623" s="45"/>
      <c r="G623" s="45"/>
      <c r="H623" s="45"/>
      <c r="I623" s="45"/>
      <c r="J623" s="45"/>
      <c r="K623" s="45"/>
      <c r="L623" s="45"/>
      <c r="M623" s="45"/>
      <c r="N623" s="44"/>
      <c r="O623" s="45"/>
      <c r="P623" s="45"/>
      <c r="Q623" s="45"/>
      <c r="R623" s="45"/>
      <c r="S623" s="45"/>
      <c r="T623" s="45"/>
      <c r="U623" s="45"/>
      <c r="V623" s="45"/>
      <c r="W623" s="45"/>
      <c r="X623" s="45"/>
      <c r="Y623" s="45"/>
      <c r="Z623" s="45"/>
    </row>
    <row r="624" spans="1:26">
      <c r="A624" s="45"/>
      <c r="B624" s="45"/>
      <c r="C624" s="45"/>
      <c r="D624" s="45"/>
      <c r="E624" s="45"/>
      <c r="F624" s="45"/>
      <c r="G624" s="45"/>
      <c r="H624" s="45"/>
      <c r="I624" s="45"/>
      <c r="J624" s="45"/>
      <c r="K624" s="45"/>
      <c r="L624" s="45"/>
      <c r="M624" s="45"/>
      <c r="N624" s="44"/>
      <c r="O624" s="45"/>
      <c r="P624" s="45"/>
      <c r="Q624" s="45"/>
      <c r="R624" s="45"/>
      <c r="S624" s="45"/>
      <c r="T624" s="45"/>
      <c r="U624" s="45"/>
      <c r="V624" s="45"/>
      <c r="W624" s="45"/>
      <c r="X624" s="45"/>
      <c r="Y624" s="45"/>
      <c r="Z624" s="45"/>
    </row>
    <row r="625" spans="1:26">
      <c r="A625" s="45"/>
      <c r="B625" s="45"/>
      <c r="C625" s="45"/>
      <c r="D625" s="45"/>
      <c r="E625" s="45"/>
      <c r="F625" s="45"/>
      <c r="G625" s="45"/>
      <c r="H625" s="45"/>
      <c r="I625" s="45"/>
      <c r="J625" s="45"/>
      <c r="K625" s="45"/>
      <c r="L625" s="45"/>
      <c r="M625" s="45"/>
      <c r="N625" s="44"/>
      <c r="O625" s="45"/>
      <c r="P625" s="45"/>
      <c r="Q625" s="45"/>
      <c r="R625" s="45"/>
      <c r="S625" s="45"/>
      <c r="T625" s="45"/>
      <c r="U625" s="45"/>
      <c r="V625" s="45"/>
      <c r="W625" s="45"/>
      <c r="X625" s="45"/>
      <c r="Y625" s="45"/>
      <c r="Z625" s="45"/>
    </row>
    <row r="626" spans="1:26">
      <c r="A626" s="45"/>
      <c r="B626" s="45"/>
      <c r="C626" s="45"/>
      <c r="D626" s="45"/>
      <c r="E626" s="45"/>
      <c r="F626" s="45"/>
      <c r="G626" s="45"/>
      <c r="H626" s="45"/>
      <c r="I626" s="45"/>
      <c r="J626" s="45"/>
      <c r="K626" s="45"/>
      <c r="L626" s="45"/>
      <c r="M626" s="45"/>
      <c r="N626" s="44"/>
      <c r="O626" s="45"/>
      <c r="P626" s="45"/>
      <c r="Q626" s="45"/>
      <c r="R626" s="45"/>
      <c r="S626" s="45"/>
      <c r="T626" s="45"/>
      <c r="U626" s="45"/>
      <c r="V626" s="45"/>
      <c r="W626" s="45"/>
      <c r="X626" s="45"/>
      <c r="Y626" s="45"/>
      <c r="Z626" s="45"/>
    </row>
    <row r="627" spans="1:26">
      <c r="A627" s="45"/>
      <c r="B627" s="45"/>
      <c r="C627" s="45"/>
      <c r="D627" s="45"/>
      <c r="E627" s="45"/>
      <c r="F627" s="45"/>
      <c r="G627" s="45"/>
      <c r="H627" s="45"/>
      <c r="I627" s="45"/>
      <c r="J627" s="45"/>
      <c r="K627" s="45"/>
      <c r="L627" s="45"/>
      <c r="M627" s="45"/>
      <c r="N627" s="44"/>
      <c r="O627" s="45"/>
      <c r="P627" s="45"/>
      <c r="Q627" s="45"/>
      <c r="R627" s="45"/>
      <c r="S627" s="45"/>
      <c r="T627" s="45"/>
      <c r="U627" s="45"/>
      <c r="V627" s="45"/>
      <c r="W627" s="45"/>
      <c r="X627" s="45"/>
      <c r="Y627" s="45"/>
      <c r="Z627" s="45"/>
    </row>
    <row r="628" spans="1:26">
      <c r="A628" s="45"/>
      <c r="B628" s="45"/>
      <c r="C628" s="45"/>
      <c r="D628" s="45"/>
      <c r="E628" s="45"/>
      <c r="F628" s="45"/>
      <c r="G628" s="45"/>
      <c r="H628" s="45"/>
      <c r="I628" s="45"/>
      <c r="J628" s="45"/>
      <c r="K628" s="45"/>
      <c r="L628" s="45"/>
      <c r="M628" s="45"/>
      <c r="N628" s="44"/>
      <c r="O628" s="45"/>
      <c r="P628" s="45"/>
      <c r="Q628" s="45"/>
      <c r="R628" s="45"/>
      <c r="S628" s="45"/>
      <c r="T628" s="45"/>
      <c r="U628" s="45"/>
      <c r="V628" s="45"/>
      <c r="W628" s="45"/>
      <c r="X628" s="45"/>
      <c r="Y628" s="45"/>
      <c r="Z628" s="45"/>
    </row>
    <row r="629" spans="1:26">
      <c r="A629" s="45"/>
      <c r="B629" s="45"/>
      <c r="C629" s="45"/>
      <c r="D629" s="45"/>
      <c r="E629" s="45"/>
      <c r="F629" s="45"/>
      <c r="G629" s="45"/>
      <c r="H629" s="45"/>
      <c r="I629" s="45"/>
      <c r="J629" s="45"/>
      <c r="K629" s="45"/>
      <c r="L629" s="45"/>
      <c r="M629" s="45"/>
      <c r="N629" s="44"/>
      <c r="O629" s="45"/>
      <c r="P629" s="45"/>
      <c r="Q629" s="45"/>
      <c r="R629" s="45"/>
      <c r="S629" s="45"/>
      <c r="T629" s="45"/>
      <c r="U629" s="45"/>
      <c r="V629" s="45"/>
      <c r="W629" s="45"/>
      <c r="X629" s="45"/>
      <c r="Y629" s="45"/>
      <c r="Z629" s="45"/>
    </row>
    <row r="630" spans="1:26">
      <c r="A630" s="45"/>
      <c r="B630" s="45"/>
      <c r="C630" s="45"/>
      <c r="D630" s="45"/>
      <c r="E630" s="45"/>
      <c r="F630" s="45"/>
      <c r="G630" s="45"/>
      <c r="H630" s="45"/>
      <c r="I630" s="45"/>
      <c r="J630" s="45"/>
      <c r="K630" s="45"/>
      <c r="L630" s="45"/>
      <c r="M630" s="45"/>
      <c r="N630" s="44"/>
      <c r="O630" s="45"/>
      <c r="P630" s="45"/>
      <c r="Q630" s="45"/>
      <c r="R630" s="45"/>
      <c r="S630" s="45"/>
      <c r="T630" s="45"/>
      <c r="U630" s="45"/>
      <c r="V630" s="45"/>
      <c r="W630" s="45"/>
      <c r="X630" s="45"/>
      <c r="Y630" s="45"/>
      <c r="Z630" s="45"/>
    </row>
    <row r="631" spans="1:26">
      <c r="A631" s="45"/>
      <c r="B631" s="45"/>
      <c r="C631" s="45"/>
      <c r="D631" s="45"/>
      <c r="E631" s="45"/>
      <c r="F631" s="45"/>
      <c r="G631" s="45"/>
      <c r="H631" s="45"/>
      <c r="I631" s="45"/>
      <c r="J631" s="45"/>
      <c r="K631" s="45"/>
      <c r="L631" s="45"/>
      <c r="M631" s="45"/>
      <c r="N631" s="44"/>
      <c r="O631" s="45"/>
      <c r="P631" s="45"/>
      <c r="Q631" s="45"/>
      <c r="R631" s="45"/>
      <c r="S631" s="45"/>
      <c r="T631" s="45"/>
      <c r="U631" s="45"/>
      <c r="V631" s="45"/>
      <c r="W631" s="45"/>
      <c r="X631" s="45"/>
      <c r="Y631" s="45"/>
      <c r="Z631" s="45"/>
    </row>
    <row r="632" spans="1:26">
      <c r="A632" s="45"/>
      <c r="B632" s="45"/>
      <c r="C632" s="45"/>
      <c r="D632" s="45"/>
      <c r="E632" s="45"/>
      <c r="F632" s="45"/>
      <c r="G632" s="45"/>
      <c r="H632" s="45"/>
      <c r="I632" s="45"/>
      <c r="J632" s="45"/>
      <c r="K632" s="45"/>
      <c r="L632" s="45"/>
      <c r="M632" s="45"/>
      <c r="N632" s="44"/>
      <c r="O632" s="45"/>
      <c r="P632" s="45"/>
      <c r="Q632" s="45"/>
      <c r="R632" s="45"/>
      <c r="S632" s="45"/>
      <c r="T632" s="45"/>
      <c r="U632" s="45"/>
      <c r="V632" s="45"/>
      <c r="W632" s="45"/>
      <c r="X632" s="45"/>
      <c r="Y632" s="45"/>
      <c r="Z632" s="45"/>
    </row>
    <row r="633" spans="1:26">
      <c r="A633" s="45"/>
      <c r="B633" s="45"/>
      <c r="C633" s="45"/>
      <c r="D633" s="45"/>
      <c r="E633" s="45"/>
      <c r="F633" s="45"/>
      <c r="G633" s="45"/>
      <c r="H633" s="45"/>
      <c r="I633" s="45"/>
      <c r="J633" s="45"/>
      <c r="K633" s="45"/>
      <c r="L633" s="45"/>
      <c r="M633" s="45"/>
      <c r="N633" s="44"/>
      <c r="O633" s="45"/>
      <c r="P633" s="45"/>
      <c r="Q633" s="45"/>
      <c r="R633" s="45"/>
      <c r="S633" s="45"/>
      <c r="T633" s="45"/>
      <c r="U633" s="45"/>
      <c r="V633" s="45"/>
      <c r="W633" s="45"/>
      <c r="X633" s="45"/>
      <c r="Y633" s="45"/>
      <c r="Z633" s="45"/>
    </row>
    <row r="634" spans="1:26">
      <c r="A634" s="45"/>
      <c r="B634" s="45"/>
      <c r="C634" s="45"/>
      <c r="D634" s="45"/>
      <c r="E634" s="45"/>
      <c r="F634" s="45"/>
      <c r="G634" s="45"/>
      <c r="H634" s="45"/>
      <c r="I634" s="45"/>
      <c r="J634" s="45"/>
      <c r="K634" s="45"/>
      <c r="L634" s="45"/>
      <c r="M634" s="45"/>
      <c r="N634" s="44"/>
      <c r="O634" s="45"/>
      <c r="P634" s="45"/>
      <c r="Q634" s="45"/>
      <c r="R634" s="45"/>
      <c r="S634" s="45"/>
      <c r="T634" s="45"/>
      <c r="U634" s="45"/>
      <c r="V634" s="45"/>
      <c r="W634" s="45"/>
      <c r="X634" s="45"/>
      <c r="Y634" s="45"/>
      <c r="Z634" s="45"/>
    </row>
    <row r="635" spans="1:26">
      <c r="A635" s="45"/>
      <c r="B635" s="45"/>
      <c r="C635" s="45"/>
      <c r="D635" s="45"/>
      <c r="E635" s="45"/>
      <c r="F635" s="45"/>
      <c r="G635" s="45"/>
      <c r="H635" s="45"/>
      <c r="I635" s="45"/>
      <c r="J635" s="45"/>
      <c r="K635" s="45"/>
      <c r="L635" s="45"/>
      <c r="M635" s="45"/>
      <c r="N635" s="44"/>
      <c r="O635" s="45"/>
      <c r="P635" s="45"/>
      <c r="Q635" s="45"/>
      <c r="R635" s="45"/>
      <c r="S635" s="45"/>
      <c r="T635" s="45"/>
      <c r="U635" s="45"/>
      <c r="V635" s="45"/>
      <c r="W635" s="45"/>
      <c r="X635" s="45"/>
      <c r="Y635" s="45"/>
      <c r="Z635" s="45"/>
    </row>
    <row r="636" spans="1:26">
      <c r="A636" s="45"/>
      <c r="B636" s="45"/>
      <c r="C636" s="45"/>
      <c r="D636" s="45"/>
      <c r="E636" s="45"/>
      <c r="F636" s="45"/>
      <c r="G636" s="45"/>
      <c r="H636" s="45"/>
      <c r="I636" s="45"/>
      <c r="J636" s="45"/>
      <c r="K636" s="45"/>
      <c r="L636" s="45"/>
      <c r="M636" s="45"/>
      <c r="N636" s="44"/>
      <c r="O636" s="45"/>
      <c r="P636" s="45"/>
      <c r="Q636" s="45"/>
      <c r="R636" s="45"/>
      <c r="S636" s="45"/>
      <c r="T636" s="45"/>
      <c r="U636" s="45"/>
      <c r="V636" s="45"/>
      <c r="W636" s="45"/>
      <c r="X636" s="45"/>
      <c r="Y636" s="45"/>
      <c r="Z636" s="45"/>
    </row>
    <row r="637" spans="1:26">
      <c r="A637" s="45"/>
      <c r="B637" s="45"/>
      <c r="C637" s="45"/>
      <c r="D637" s="45"/>
      <c r="E637" s="45"/>
      <c r="F637" s="45"/>
      <c r="G637" s="45"/>
      <c r="H637" s="45"/>
      <c r="I637" s="45"/>
      <c r="J637" s="45"/>
      <c r="K637" s="45"/>
      <c r="L637" s="45"/>
      <c r="M637" s="45"/>
      <c r="N637" s="44"/>
      <c r="O637" s="45"/>
      <c r="P637" s="45"/>
      <c r="Q637" s="45"/>
      <c r="R637" s="45"/>
      <c r="S637" s="45"/>
      <c r="T637" s="45"/>
      <c r="U637" s="45"/>
      <c r="V637" s="45"/>
      <c r="W637" s="45"/>
      <c r="X637" s="45"/>
      <c r="Y637" s="45"/>
      <c r="Z637" s="45"/>
    </row>
    <row r="638" spans="1:26">
      <c r="A638" s="45"/>
      <c r="B638" s="45"/>
      <c r="C638" s="45"/>
      <c r="D638" s="45"/>
      <c r="E638" s="45"/>
      <c r="F638" s="45"/>
      <c r="G638" s="45"/>
      <c r="H638" s="45"/>
      <c r="I638" s="45"/>
      <c r="J638" s="45"/>
      <c r="K638" s="45"/>
      <c r="L638" s="45"/>
      <c r="M638" s="45"/>
      <c r="N638" s="44"/>
      <c r="O638" s="45"/>
      <c r="P638" s="45"/>
      <c r="Q638" s="45"/>
      <c r="R638" s="45"/>
      <c r="S638" s="45"/>
      <c r="T638" s="45"/>
      <c r="U638" s="45"/>
      <c r="V638" s="45"/>
      <c r="W638" s="45"/>
      <c r="X638" s="45"/>
      <c r="Y638" s="45"/>
      <c r="Z638" s="45"/>
    </row>
    <row r="639" spans="1:26">
      <c r="A639" s="45"/>
      <c r="B639" s="45"/>
      <c r="C639" s="45"/>
      <c r="D639" s="45"/>
      <c r="E639" s="45"/>
      <c r="F639" s="45"/>
      <c r="G639" s="45"/>
      <c r="H639" s="45"/>
      <c r="I639" s="45"/>
      <c r="J639" s="45"/>
      <c r="K639" s="45"/>
      <c r="L639" s="45"/>
      <c r="M639" s="45"/>
      <c r="N639" s="44"/>
      <c r="O639" s="45"/>
      <c r="P639" s="45"/>
      <c r="Q639" s="45"/>
      <c r="R639" s="45"/>
      <c r="S639" s="45"/>
      <c r="T639" s="45"/>
      <c r="U639" s="45"/>
      <c r="V639" s="45"/>
      <c r="W639" s="45"/>
      <c r="X639" s="45"/>
      <c r="Y639" s="45"/>
      <c r="Z639" s="45"/>
    </row>
    <row r="640" spans="1:26">
      <c r="A640" s="45"/>
      <c r="B640" s="45"/>
      <c r="C640" s="45"/>
      <c r="D640" s="45"/>
      <c r="E640" s="45"/>
      <c r="F640" s="45"/>
      <c r="G640" s="45"/>
      <c r="H640" s="45"/>
      <c r="I640" s="45"/>
      <c r="J640" s="45"/>
      <c r="K640" s="45"/>
      <c r="L640" s="45"/>
      <c r="M640" s="45"/>
      <c r="N640" s="44"/>
      <c r="O640" s="45"/>
      <c r="P640" s="45"/>
      <c r="Q640" s="45"/>
      <c r="R640" s="45"/>
      <c r="S640" s="45"/>
      <c r="T640" s="45"/>
      <c r="U640" s="45"/>
      <c r="V640" s="45"/>
      <c r="W640" s="45"/>
      <c r="X640" s="45"/>
      <c r="Y640" s="45"/>
      <c r="Z640" s="45"/>
    </row>
    <row r="641" spans="1:26">
      <c r="A641" s="45"/>
      <c r="B641" s="45"/>
      <c r="C641" s="45"/>
      <c r="D641" s="45"/>
      <c r="E641" s="45"/>
      <c r="F641" s="45"/>
      <c r="G641" s="45"/>
      <c r="H641" s="45"/>
      <c r="I641" s="45"/>
      <c r="J641" s="45"/>
      <c r="K641" s="45"/>
      <c r="L641" s="45"/>
      <c r="M641" s="45"/>
      <c r="N641" s="44"/>
      <c r="O641" s="45"/>
      <c r="P641" s="45"/>
      <c r="Q641" s="45"/>
      <c r="R641" s="45"/>
      <c r="S641" s="45"/>
      <c r="T641" s="45"/>
      <c r="U641" s="45"/>
      <c r="V641" s="45"/>
      <c r="W641" s="45"/>
      <c r="X641" s="45"/>
      <c r="Y641" s="45"/>
      <c r="Z641" s="45"/>
    </row>
    <row r="642" spans="1:26">
      <c r="A642" s="45"/>
      <c r="B642" s="45"/>
      <c r="C642" s="45"/>
      <c r="D642" s="45"/>
      <c r="E642" s="45"/>
      <c r="F642" s="45"/>
      <c r="G642" s="45"/>
      <c r="H642" s="45"/>
      <c r="I642" s="45"/>
      <c r="J642" s="45"/>
      <c r="K642" s="45"/>
      <c r="L642" s="45"/>
      <c r="M642" s="45"/>
      <c r="N642" s="44"/>
      <c r="O642" s="45"/>
      <c r="P642" s="45"/>
      <c r="Q642" s="45"/>
      <c r="R642" s="45"/>
      <c r="S642" s="45"/>
      <c r="T642" s="45"/>
      <c r="U642" s="45"/>
      <c r="V642" s="45"/>
      <c r="W642" s="45"/>
      <c r="X642" s="45"/>
      <c r="Y642" s="45"/>
      <c r="Z642" s="45"/>
    </row>
    <row r="643" spans="1:26">
      <c r="A643" s="45"/>
      <c r="B643" s="45"/>
      <c r="C643" s="45"/>
      <c r="D643" s="45"/>
      <c r="E643" s="45"/>
      <c r="F643" s="45"/>
      <c r="G643" s="45"/>
      <c r="H643" s="45"/>
      <c r="I643" s="45"/>
      <c r="J643" s="45"/>
      <c r="K643" s="45"/>
      <c r="L643" s="45"/>
      <c r="M643" s="45"/>
      <c r="N643" s="44"/>
      <c r="O643" s="45"/>
      <c r="P643" s="45"/>
      <c r="Q643" s="45"/>
      <c r="R643" s="45"/>
      <c r="S643" s="45"/>
      <c r="T643" s="45"/>
      <c r="U643" s="45"/>
      <c r="V643" s="45"/>
      <c r="W643" s="45"/>
      <c r="X643" s="45"/>
      <c r="Y643" s="45"/>
      <c r="Z643" s="45"/>
    </row>
    <row r="644" spans="1:26">
      <c r="A644" s="45"/>
      <c r="B644" s="45"/>
      <c r="C644" s="45"/>
      <c r="D644" s="45"/>
      <c r="E644" s="45"/>
      <c r="F644" s="45"/>
      <c r="G644" s="45"/>
      <c r="H644" s="45"/>
      <c r="I644" s="45"/>
      <c r="J644" s="45"/>
      <c r="K644" s="45"/>
      <c r="L644" s="45"/>
      <c r="M644" s="45"/>
      <c r="N644" s="44"/>
      <c r="O644" s="45"/>
      <c r="P644" s="45"/>
      <c r="Q644" s="45"/>
      <c r="R644" s="45"/>
      <c r="S644" s="45"/>
      <c r="T644" s="45"/>
      <c r="U644" s="45"/>
      <c r="V644" s="45"/>
      <c r="W644" s="45"/>
      <c r="X644" s="45"/>
      <c r="Y644" s="45"/>
      <c r="Z644" s="45"/>
    </row>
    <row r="645" spans="1:26">
      <c r="A645" s="45"/>
      <c r="B645" s="45"/>
      <c r="C645" s="45"/>
      <c r="D645" s="45"/>
      <c r="E645" s="45"/>
      <c r="F645" s="45"/>
      <c r="G645" s="45"/>
      <c r="H645" s="45"/>
      <c r="I645" s="45"/>
      <c r="J645" s="45"/>
      <c r="K645" s="45"/>
      <c r="L645" s="45"/>
      <c r="M645" s="45"/>
      <c r="N645" s="44"/>
      <c r="O645" s="45"/>
      <c r="P645" s="45"/>
      <c r="Q645" s="45"/>
      <c r="R645" s="45"/>
      <c r="S645" s="45"/>
      <c r="T645" s="45"/>
      <c r="U645" s="45"/>
      <c r="V645" s="45"/>
      <c r="W645" s="45"/>
      <c r="X645" s="45"/>
      <c r="Y645" s="45"/>
      <c r="Z645" s="45"/>
    </row>
    <row r="646" spans="1:26">
      <c r="A646" s="45"/>
      <c r="B646" s="45"/>
      <c r="C646" s="45"/>
      <c r="D646" s="45"/>
      <c r="E646" s="45"/>
      <c r="F646" s="45"/>
      <c r="G646" s="45"/>
      <c r="H646" s="45"/>
      <c r="I646" s="45"/>
      <c r="J646" s="45"/>
      <c r="K646" s="45"/>
      <c r="L646" s="45"/>
      <c r="M646" s="45"/>
      <c r="N646" s="44"/>
      <c r="O646" s="45"/>
      <c r="P646" s="45"/>
      <c r="Q646" s="45"/>
      <c r="R646" s="45"/>
      <c r="S646" s="45"/>
      <c r="T646" s="45"/>
      <c r="U646" s="45"/>
      <c r="V646" s="45"/>
      <c r="W646" s="45"/>
      <c r="X646" s="45"/>
      <c r="Y646" s="45"/>
      <c r="Z646" s="45"/>
    </row>
    <row r="647" spans="1:26">
      <c r="A647" s="45"/>
      <c r="B647" s="45"/>
      <c r="C647" s="45"/>
      <c r="D647" s="45"/>
      <c r="E647" s="45"/>
      <c r="F647" s="45"/>
      <c r="G647" s="45"/>
      <c r="H647" s="45"/>
      <c r="I647" s="45"/>
      <c r="J647" s="45"/>
      <c r="K647" s="45"/>
      <c r="L647" s="45"/>
      <c r="M647" s="45"/>
      <c r="N647" s="44"/>
      <c r="O647" s="45"/>
      <c r="P647" s="45"/>
      <c r="Q647" s="45"/>
      <c r="R647" s="45"/>
      <c r="S647" s="45"/>
      <c r="T647" s="45"/>
      <c r="U647" s="45"/>
      <c r="V647" s="45"/>
      <c r="W647" s="45"/>
      <c r="X647" s="45"/>
      <c r="Y647" s="45"/>
      <c r="Z647" s="45"/>
    </row>
    <row r="648" spans="1:26">
      <c r="A648" s="45"/>
      <c r="B648" s="45"/>
      <c r="C648" s="45"/>
      <c r="D648" s="45"/>
      <c r="E648" s="45"/>
      <c r="F648" s="45"/>
      <c r="G648" s="45"/>
      <c r="H648" s="45"/>
      <c r="I648" s="45"/>
      <c r="J648" s="45"/>
      <c r="K648" s="45"/>
      <c r="L648" s="45"/>
      <c r="M648" s="45"/>
      <c r="N648" s="44"/>
      <c r="O648" s="45"/>
      <c r="P648" s="45"/>
      <c r="Q648" s="45"/>
      <c r="R648" s="45"/>
      <c r="S648" s="45"/>
      <c r="T648" s="45"/>
      <c r="U648" s="45"/>
      <c r="V648" s="45"/>
      <c r="W648" s="45"/>
      <c r="X648" s="45"/>
      <c r="Y648" s="45"/>
      <c r="Z648" s="45"/>
    </row>
    <row r="649" spans="1:26">
      <c r="A649" s="45"/>
      <c r="B649" s="45"/>
      <c r="C649" s="45"/>
      <c r="D649" s="45"/>
      <c r="E649" s="45"/>
      <c r="F649" s="45"/>
      <c r="G649" s="45"/>
      <c r="H649" s="45"/>
      <c r="I649" s="45"/>
      <c r="J649" s="45"/>
      <c r="K649" s="45"/>
      <c r="L649" s="45"/>
      <c r="M649" s="45"/>
      <c r="N649" s="44"/>
      <c r="O649" s="45"/>
      <c r="P649" s="45"/>
      <c r="Q649" s="45"/>
      <c r="R649" s="45"/>
      <c r="S649" s="45"/>
      <c r="T649" s="45"/>
      <c r="U649" s="45"/>
      <c r="V649" s="45"/>
      <c r="W649" s="45"/>
      <c r="X649" s="45"/>
      <c r="Y649" s="45"/>
      <c r="Z649" s="45"/>
    </row>
    <row r="650" spans="1:26">
      <c r="A650" s="45"/>
      <c r="B650" s="45"/>
      <c r="C650" s="45"/>
      <c r="D650" s="45"/>
      <c r="E650" s="45"/>
      <c r="F650" s="45"/>
      <c r="G650" s="45"/>
      <c r="H650" s="45"/>
      <c r="I650" s="45"/>
      <c r="J650" s="45"/>
      <c r="K650" s="45"/>
      <c r="L650" s="45"/>
      <c r="M650" s="45"/>
      <c r="N650" s="44"/>
      <c r="O650" s="45"/>
      <c r="P650" s="45"/>
      <c r="Q650" s="45"/>
      <c r="R650" s="45"/>
      <c r="S650" s="45"/>
      <c r="T650" s="45"/>
      <c r="U650" s="45"/>
      <c r="V650" s="45"/>
      <c r="W650" s="45"/>
      <c r="X650" s="45"/>
      <c r="Y650" s="45"/>
      <c r="Z650" s="45"/>
    </row>
    <row r="651" spans="1:26">
      <c r="A651" s="45"/>
      <c r="B651" s="45"/>
      <c r="C651" s="45"/>
      <c r="D651" s="45"/>
      <c r="E651" s="45"/>
      <c r="F651" s="45"/>
      <c r="G651" s="45"/>
      <c r="H651" s="45"/>
      <c r="I651" s="45"/>
      <c r="J651" s="45"/>
      <c r="K651" s="45"/>
      <c r="L651" s="45"/>
      <c r="M651" s="45"/>
      <c r="N651" s="44"/>
      <c r="O651" s="45"/>
      <c r="P651" s="45"/>
      <c r="Q651" s="45"/>
      <c r="R651" s="45"/>
      <c r="S651" s="45"/>
      <c r="T651" s="45"/>
      <c r="U651" s="45"/>
      <c r="V651" s="45"/>
      <c r="W651" s="45"/>
      <c r="X651" s="45"/>
      <c r="Y651" s="45"/>
      <c r="Z651" s="45"/>
    </row>
    <row r="652" spans="1:26">
      <c r="A652" s="45"/>
      <c r="B652" s="45"/>
      <c r="C652" s="45"/>
      <c r="D652" s="45"/>
      <c r="E652" s="45"/>
      <c r="F652" s="45"/>
      <c r="G652" s="45"/>
      <c r="H652" s="45"/>
      <c r="I652" s="45"/>
      <c r="J652" s="45"/>
      <c r="K652" s="45"/>
      <c r="L652" s="45"/>
      <c r="M652" s="45"/>
      <c r="N652" s="44"/>
      <c r="O652" s="45"/>
      <c r="P652" s="45"/>
      <c r="Q652" s="45"/>
      <c r="R652" s="45"/>
      <c r="S652" s="45"/>
      <c r="T652" s="45"/>
      <c r="U652" s="45"/>
      <c r="V652" s="45"/>
      <c r="W652" s="45"/>
      <c r="X652" s="45"/>
      <c r="Y652" s="45"/>
      <c r="Z652" s="45"/>
    </row>
    <row r="653" spans="1:26">
      <c r="A653" s="45"/>
      <c r="B653" s="45"/>
      <c r="C653" s="45"/>
      <c r="D653" s="45"/>
      <c r="E653" s="45"/>
      <c r="F653" s="45"/>
      <c r="G653" s="45"/>
      <c r="H653" s="45"/>
      <c r="I653" s="45"/>
      <c r="J653" s="45"/>
      <c r="K653" s="45"/>
      <c r="L653" s="45"/>
      <c r="M653" s="45"/>
      <c r="N653" s="44"/>
      <c r="O653" s="45"/>
      <c r="P653" s="45"/>
      <c r="Q653" s="45"/>
      <c r="R653" s="45"/>
      <c r="S653" s="45"/>
      <c r="T653" s="45"/>
      <c r="U653" s="45"/>
      <c r="V653" s="45"/>
      <c r="W653" s="45"/>
      <c r="X653" s="45"/>
      <c r="Y653" s="45"/>
      <c r="Z653" s="45"/>
    </row>
    <row r="654" spans="1:26">
      <c r="A654" s="45"/>
      <c r="B654" s="45"/>
      <c r="C654" s="45"/>
      <c r="D654" s="45"/>
      <c r="E654" s="45"/>
      <c r="F654" s="45"/>
      <c r="G654" s="45"/>
      <c r="H654" s="45"/>
      <c r="I654" s="45"/>
      <c r="J654" s="45"/>
      <c r="K654" s="45"/>
      <c r="L654" s="45"/>
      <c r="M654" s="45"/>
      <c r="N654" s="44"/>
      <c r="O654" s="45"/>
      <c r="P654" s="45"/>
      <c r="Q654" s="45"/>
      <c r="R654" s="45"/>
      <c r="S654" s="45"/>
      <c r="T654" s="45"/>
      <c r="U654" s="45"/>
      <c r="V654" s="45"/>
      <c r="W654" s="45"/>
      <c r="X654" s="45"/>
      <c r="Y654" s="45"/>
      <c r="Z654" s="45"/>
    </row>
    <row r="655" spans="1:26">
      <c r="A655" s="45"/>
      <c r="B655" s="45"/>
      <c r="C655" s="45"/>
      <c r="D655" s="45"/>
      <c r="E655" s="45"/>
      <c r="F655" s="45"/>
      <c r="G655" s="45"/>
      <c r="H655" s="45"/>
      <c r="I655" s="45"/>
      <c r="J655" s="45"/>
      <c r="K655" s="45"/>
      <c r="L655" s="45"/>
      <c r="M655" s="45"/>
      <c r="N655" s="44"/>
      <c r="O655" s="45"/>
      <c r="P655" s="45"/>
      <c r="Q655" s="45"/>
      <c r="R655" s="45"/>
      <c r="S655" s="45"/>
      <c r="T655" s="45"/>
      <c r="U655" s="45"/>
      <c r="V655" s="45"/>
      <c r="W655" s="45"/>
      <c r="X655" s="45"/>
      <c r="Y655" s="45"/>
      <c r="Z655" s="45"/>
    </row>
    <row r="656" spans="1:26">
      <c r="A656" s="45"/>
      <c r="B656" s="45"/>
      <c r="C656" s="45"/>
      <c r="D656" s="45"/>
      <c r="E656" s="45"/>
      <c r="F656" s="45"/>
      <c r="G656" s="45"/>
      <c r="H656" s="45"/>
      <c r="I656" s="45"/>
      <c r="J656" s="45"/>
      <c r="K656" s="45"/>
      <c r="L656" s="45"/>
      <c r="M656" s="45"/>
      <c r="N656" s="44"/>
      <c r="O656" s="45"/>
      <c r="P656" s="45"/>
      <c r="Q656" s="45"/>
      <c r="R656" s="45"/>
      <c r="S656" s="45"/>
      <c r="T656" s="45"/>
      <c r="U656" s="45"/>
      <c r="V656" s="45"/>
      <c r="W656" s="45"/>
      <c r="X656" s="45"/>
      <c r="Y656" s="45"/>
      <c r="Z656" s="45"/>
    </row>
    <row r="657" spans="1:26">
      <c r="A657" s="45"/>
      <c r="B657" s="45"/>
      <c r="C657" s="45"/>
      <c r="D657" s="45"/>
      <c r="E657" s="45"/>
      <c r="F657" s="45"/>
      <c r="G657" s="45"/>
      <c r="H657" s="45"/>
      <c r="I657" s="45"/>
      <c r="J657" s="45"/>
      <c r="K657" s="45"/>
      <c r="L657" s="45"/>
      <c r="M657" s="45"/>
      <c r="N657" s="44"/>
      <c r="O657" s="45"/>
      <c r="P657" s="45"/>
      <c r="Q657" s="45"/>
      <c r="R657" s="45"/>
      <c r="S657" s="45"/>
      <c r="T657" s="45"/>
      <c r="U657" s="45"/>
      <c r="V657" s="45"/>
      <c r="W657" s="45"/>
      <c r="X657" s="45"/>
      <c r="Y657" s="45"/>
      <c r="Z657" s="45"/>
    </row>
    <row r="658" spans="1:26">
      <c r="A658" s="45"/>
      <c r="B658" s="45"/>
      <c r="C658" s="45"/>
      <c r="D658" s="45"/>
      <c r="E658" s="45"/>
      <c r="F658" s="45"/>
      <c r="G658" s="45"/>
      <c r="H658" s="45"/>
      <c r="I658" s="45"/>
      <c r="J658" s="45"/>
      <c r="K658" s="45"/>
      <c r="L658" s="45"/>
      <c r="M658" s="45"/>
      <c r="N658" s="44"/>
      <c r="O658" s="45"/>
      <c r="P658" s="45"/>
      <c r="Q658" s="45"/>
      <c r="R658" s="45"/>
      <c r="S658" s="45"/>
      <c r="T658" s="45"/>
      <c r="U658" s="45"/>
      <c r="V658" s="45"/>
      <c r="W658" s="45"/>
      <c r="X658" s="45"/>
      <c r="Y658" s="45"/>
      <c r="Z658" s="45"/>
    </row>
    <row r="659" spans="1:26">
      <c r="A659" s="45"/>
      <c r="B659" s="45"/>
      <c r="C659" s="45"/>
      <c r="D659" s="45"/>
      <c r="E659" s="45"/>
      <c r="F659" s="45"/>
      <c r="G659" s="45"/>
      <c r="H659" s="45"/>
      <c r="I659" s="45"/>
      <c r="J659" s="45"/>
      <c r="K659" s="45"/>
      <c r="L659" s="45"/>
      <c r="M659" s="45"/>
      <c r="N659" s="44"/>
      <c r="O659" s="45"/>
      <c r="P659" s="45"/>
      <c r="Q659" s="45"/>
      <c r="R659" s="45"/>
      <c r="S659" s="45"/>
      <c r="T659" s="45"/>
      <c r="U659" s="45"/>
      <c r="V659" s="45"/>
      <c r="W659" s="45"/>
      <c r="X659" s="45"/>
      <c r="Y659" s="45"/>
      <c r="Z659" s="45"/>
    </row>
    <row r="660" spans="1:26">
      <c r="A660" s="45"/>
      <c r="B660" s="45"/>
      <c r="C660" s="45"/>
      <c r="D660" s="45"/>
      <c r="E660" s="45"/>
      <c r="F660" s="45"/>
      <c r="G660" s="45"/>
      <c r="H660" s="45"/>
      <c r="I660" s="45"/>
      <c r="J660" s="45"/>
      <c r="K660" s="45"/>
      <c r="L660" s="45"/>
      <c r="M660" s="45"/>
      <c r="N660" s="44"/>
      <c r="O660" s="45"/>
      <c r="P660" s="45"/>
      <c r="Q660" s="45"/>
      <c r="R660" s="45"/>
      <c r="S660" s="45"/>
      <c r="T660" s="45"/>
      <c r="U660" s="45"/>
      <c r="V660" s="45"/>
      <c r="W660" s="45"/>
      <c r="X660" s="45"/>
      <c r="Y660" s="45"/>
      <c r="Z660" s="45"/>
    </row>
    <row r="661" spans="1:26">
      <c r="A661" s="45"/>
      <c r="B661" s="45"/>
      <c r="C661" s="45"/>
      <c r="D661" s="45"/>
      <c r="E661" s="45"/>
      <c r="F661" s="45"/>
      <c r="G661" s="45"/>
      <c r="H661" s="45"/>
      <c r="I661" s="45"/>
      <c r="J661" s="45"/>
      <c r="K661" s="45"/>
      <c r="L661" s="45"/>
      <c r="M661" s="45"/>
      <c r="N661" s="44"/>
      <c r="O661" s="45"/>
      <c r="P661" s="45"/>
      <c r="Q661" s="45"/>
      <c r="R661" s="45"/>
      <c r="S661" s="45"/>
      <c r="T661" s="45"/>
      <c r="U661" s="45"/>
      <c r="V661" s="45"/>
      <c r="W661" s="45"/>
      <c r="X661" s="45"/>
      <c r="Y661" s="45"/>
      <c r="Z661" s="45"/>
    </row>
    <row r="662" spans="1:26">
      <c r="A662" s="45"/>
      <c r="B662" s="45"/>
      <c r="C662" s="45"/>
      <c r="D662" s="45"/>
      <c r="E662" s="45"/>
      <c r="F662" s="45"/>
      <c r="G662" s="45"/>
      <c r="H662" s="45"/>
      <c r="I662" s="45"/>
      <c r="J662" s="45"/>
      <c r="K662" s="45"/>
      <c r="L662" s="45"/>
      <c r="M662" s="45"/>
      <c r="N662" s="44"/>
      <c r="O662" s="45"/>
      <c r="P662" s="45"/>
      <c r="Q662" s="45"/>
      <c r="R662" s="45"/>
      <c r="S662" s="45"/>
      <c r="T662" s="45"/>
      <c r="U662" s="45"/>
      <c r="V662" s="45"/>
      <c r="W662" s="45"/>
      <c r="X662" s="45"/>
      <c r="Y662" s="45"/>
      <c r="Z662" s="45"/>
    </row>
    <row r="663" spans="1:26">
      <c r="A663" s="45"/>
      <c r="B663" s="45"/>
      <c r="C663" s="45"/>
      <c r="D663" s="45"/>
      <c r="E663" s="45"/>
      <c r="F663" s="45"/>
      <c r="G663" s="45"/>
      <c r="H663" s="45"/>
      <c r="I663" s="45"/>
      <c r="J663" s="45"/>
      <c r="K663" s="45"/>
      <c r="L663" s="45"/>
      <c r="M663" s="45"/>
      <c r="N663" s="44"/>
      <c r="O663" s="45"/>
      <c r="P663" s="45"/>
      <c r="Q663" s="45"/>
      <c r="R663" s="45"/>
      <c r="S663" s="45"/>
      <c r="T663" s="45"/>
      <c r="U663" s="45"/>
      <c r="V663" s="45"/>
      <c r="W663" s="45"/>
      <c r="X663" s="45"/>
      <c r="Y663" s="45"/>
      <c r="Z663" s="45"/>
    </row>
    <row r="664" spans="1:26">
      <c r="A664" s="45"/>
      <c r="B664" s="45"/>
      <c r="C664" s="45"/>
      <c r="D664" s="45"/>
      <c r="E664" s="45"/>
      <c r="F664" s="45"/>
      <c r="G664" s="45"/>
      <c r="H664" s="45"/>
      <c r="I664" s="45"/>
      <c r="J664" s="45"/>
      <c r="K664" s="45"/>
      <c r="L664" s="45"/>
      <c r="M664" s="45"/>
      <c r="N664" s="44"/>
      <c r="O664" s="45"/>
      <c r="P664" s="45"/>
      <c r="Q664" s="45"/>
      <c r="R664" s="45"/>
      <c r="S664" s="45"/>
      <c r="T664" s="45"/>
      <c r="U664" s="45"/>
      <c r="V664" s="45"/>
      <c r="W664" s="45"/>
      <c r="X664" s="45"/>
      <c r="Y664" s="45"/>
      <c r="Z664" s="45"/>
    </row>
    <row r="665" spans="1:26">
      <c r="A665" s="45"/>
      <c r="B665" s="45"/>
      <c r="C665" s="45"/>
      <c r="D665" s="45"/>
      <c r="E665" s="45"/>
      <c r="F665" s="45"/>
      <c r="G665" s="45"/>
      <c r="H665" s="45"/>
      <c r="I665" s="45"/>
      <c r="J665" s="45"/>
      <c r="K665" s="45"/>
      <c r="L665" s="45"/>
      <c r="M665" s="45"/>
      <c r="N665" s="44"/>
      <c r="O665" s="45"/>
      <c r="P665" s="45"/>
      <c r="Q665" s="45"/>
      <c r="R665" s="45"/>
      <c r="S665" s="45"/>
      <c r="T665" s="45"/>
      <c r="U665" s="45"/>
      <c r="V665" s="45"/>
      <c r="W665" s="45"/>
      <c r="X665" s="45"/>
      <c r="Y665" s="45"/>
      <c r="Z665" s="45"/>
    </row>
    <row r="666" spans="1:26">
      <c r="A666" s="45"/>
      <c r="B666" s="45"/>
      <c r="C666" s="45"/>
      <c r="D666" s="45"/>
      <c r="E666" s="45"/>
      <c r="F666" s="45"/>
      <c r="G666" s="45"/>
      <c r="H666" s="45"/>
      <c r="I666" s="45"/>
      <c r="J666" s="45"/>
      <c r="K666" s="45"/>
      <c r="L666" s="45"/>
      <c r="M666" s="45"/>
      <c r="N666" s="44"/>
      <c r="O666" s="45"/>
      <c r="P666" s="45"/>
      <c r="Q666" s="45"/>
      <c r="R666" s="45"/>
      <c r="S666" s="45"/>
      <c r="T666" s="45"/>
      <c r="U666" s="45"/>
      <c r="V666" s="45"/>
      <c r="W666" s="45"/>
      <c r="X666" s="45"/>
      <c r="Y666" s="45"/>
      <c r="Z666" s="45"/>
    </row>
    <row r="667" spans="1:26">
      <c r="A667" s="45"/>
      <c r="B667" s="45"/>
      <c r="C667" s="45"/>
      <c r="D667" s="45"/>
      <c r="E667" s="45"/>
      <c r="F667" s="45"/>
      <c r="G667" s="45"/>
      <c r="H667" s="45"/>
      <c r="I667" s="45"/>
      <c r="J667" s="45"/>
      <c r="K667" s="45"/>
      <c r="L667" s="45"/>
      <c r="M667" s="45"/>
      <c r="N667" s="44"/>
      <c r="O667" s="45"/>
      <c r="P667" s="45"/>
      <c r="Q667" s="45"/>
      <c r="R667" s="45"/>
      <c r="S667" s="45"/>
      <c r="T667" s="45"/>
      <c r="U667" s="45"/>
      <c r="V667" s="45"/>
      <c r="W667" s="45"/>
      <c r="X667" s="45"/>
      <c r="Y667" s="45"/>
      <c r="Z667" s="45"/>
    </row>
    <row r="668" spans="1:26">
      <c r="A668" s="45"/>
      <c r="B668" s="45"/>
      <c r="C668" s="45"/>
      <c r="D668" s="45"/>
      <c r="E668" s="45"/>
      <c r="F668" s="45"/>
      <c r="G668" s="45"/>
      <c r="H668" s="45"/>
      <c r="I668" s="45"/>
      <c r="J668" s="45"/>
      <c r="K668" s="45"/>
      <c r="L668" s="45"/>
      <c r="M668" s="45"/>
      <c r="N668" s="44"/>
      <c r="O668" s="45"/>
      <c r="P668" s="45"/>
      <c r="Q668" s="45"/>
      <c r="R668" s="45"/>
      <c r="S668" s="45"/>
      <c r="T668" s="45"/>
      <c r="U668" s="45"/>
      <c r="V668" s="45"/>
      <c r="W668" s="45"/>
      <c r="X668" s="45"/>
      <c r="Y668" s="45"/>
      <c r="Z668" s="45"/>
    </row>
    <row r="669" spans="1:26">
      <c r="A669" s="45"/>
      <c r="B669" s="45"/>
      <c r="C669" s="45"/>
      <c r="D669" s="45"/>
      <c r="E669" s="45"/>
      <c r="F669" s="45"/>
      <c r="G669" s="45"/>
      <c r="H669" s="45"/>
      <c r="I669" s="45"/>
      <c r="J669" s="45"/>
      <c r="K669" s="45"/>
      <c r="L669" s="45"/>
      <c r="M669" s="45"/>
      <c r="N669" s="44"/>
      <c r="O669" s="45"/>
      <c r="P669" s="45"/>
      <c r="Q669" s="45"/>
      <c r="R669" s="45"/>
      <c r="S669" s="45"/>
      <c r="T669" s="45"/>
      <c r="U669" s="45"/>
      <c r="V669" s="45"/>
      <c r="W669" s="45"/>
      <c r="X669" s="45"/>
      <c r="Y669" s="45"/>
      <c r="Z669" s="45"/>
    </row>
    <row r="670" spans="1:26">
      <c r="A670" s="45"/>
      <c r="B670" s="45"/>
      <c r="C670" s="45"/>
      <c r="D670" s="45"/>
      <c r="E670" s="45"/>
      <c r="F670" s="45"/>
      <c r="G670" s="45"/>
      <c r="H670" s="45"/>
      <c r="I670" s="45"/>
      <c r="J670" s="45"/>
      <c r="K670" s="45"/>
      <c r="L670" s="45"/>
      <c r="M670" s="45"/>
      <c r="N670" s="44"/>
      <c r="O670" s="45"/>
      <c r="P670" s="45"/>
      <c r="Q670" s="45"/>
      <c r="R670" s="45"/>
      <c r="S670" s="45"/>
      <c r="T670" s="45"/>
      <c r="U670" s="45"/>
      <c r="V670" s="45"/>
      <c r="W670" s="45"/>
      <c r="X670" s="45"/>
      <c r="Y670" s="45"/>
      <c r="Z670" s="45"/>
    </row>
    <row r="671" spans="1:26">
      <c r="A671" s="45"/>
      <c r="B671" s="45"/>
      <c r="C671" s="45"/>
      <c r="D671" s="45"/>
      <c r="E671" s="45"/>
      <c r="F671" s="45"/>
      <c r="G671" s="45"/>
      <c r="H671" s="45"/>
      <c r="I671" s="45"/>
      <c r="J671" s="45"/>
      <c r="K671" s="45"/>
      <c r="L671" s="45"/>
      <c r="M671" s="45"/>
      <c r="N671" s="44"/>
      <c r="O671" s="45"/>
      <c r="P671" s="45"/>
      <c r="Q671" s="45"/>
      <c r="R671" s="45"/>
      <c r="S671" s="45"/>
      <c r="T671" s="45"/>
      <c r="U671" s="45"/>
      <c r="V671" s="45"/>
      <c r="W671" s="45"/>
      <c r="X671" s="45"/>
      <c r="Y671" s="45"/>
      <c r="Z671" s="45"/>
    </row>
    <row r="672" spans="1:26">
      <c r="A672" s="45"/>
      <c r="B672" s="45"/>
      <c r="C672" s="45"/>
      <c r="D672" s="45"/>
      <c r="E672" s="45"/>
      <c r="F672" s="45"/>
      <c r="G672" s="45"/>
      <c r="H672" s="45"/>
      <c r="I672" s="45"/>
      <c r="J672" s="45"/>
      <c r="K672" s="45"/>
      <c r="L672" s="45"/>
      <c r="M672" s="45"/>
      <c r="N672" s="44"/>
      <c r="O672" s="45"/>
      <c r="P672" s="45"/>
      <c r="Q672" s="45"/>
      <c r="R672" s="45"/>
      <c r="S672" s="45"/>
      <c r="T672" s="45"/>
      <c r="U672" s="45"/>
      <c r="V672" s="45"/>
      <c r="W672" s="45"/>
      <c r="X672" s="45"/>
      <c r="Y672" s="45"/>
      <c r="Z672" s="45"/>
    </row>
    <row r="673" spans="1:26">
      <c r="A673" s="45"/>
      <c r="B673" s="45"/>
      <c r="C673" s="45"/>
      <c r="D673" s="45"/>
      <c r="E673" s="45"/>
      <c r="F673" s="45"/>
      <c r="G673" s="45"/>
      <c r="H673" s="45"/>
      <c r="I673" s="45"/>
      <c r="J673" s="45"/>
      <c r="K673" s="45"/>
      <c r="L673" s="45"/>
      <c r="M673" s="45"/>
      <c r="N673" s="44"/>
      <c r="O673" s="45"/>
      <c r="P673" s="45"/>
      <c r="Q673" s="45"/>
      <c r="R673" s="45"/>
      <c r="S673" s="45"/>
      <c r="T673" s="45"/>
      <c r="U673" s="45"/>
      <c r="V673" s="45"/>
      <c r="W673" s="45"/>
      <c r="X673" s="45"/>
      <c r="Y673" s="45"/>
      <c r="Z673" s="45"/>
    </row>
    <row r="674" spans="1:26">
      <c r="A674" s="45"/>
      <c r="B674" s="45"/>
      <c r="C674" s="45"/>
      <c r="D674" s="45"/>
      <c r="E674" s="45"/>
      <c r="F674" s="45"/>
      <c r="G674" s="45"/>
      <c r="H674" s="45"/>
      <c r="I674" s="45"/>
      <c r="J674" s="45"/>
      <c r="K674" s="45"/>
      <c r="L674" s="45"/>
      <c r="M674" s="45"/>
      <c r="N674" s="44"/>
      <c r="O674" s="45"/>
      <c r="P674" s="45"/>
      <c r="Q674" s="45"/>
      <c r="R674" s="45"/>
      <c r="S674" s="45"/>
      <c r="T674" s="45"/>
      <c r="U674" s="45"/>
      <c r="V674" s="45"/>
      <c r="W674" s="45"/>
      <c r="X674" s="45"/>
      <c r="Y674" s="45"/>
      <c r="Z674" s="45"/>
    </row>
    <row r="675" spans="1:26">
      <c r="A675" s="45"/>
      <c r="B675" s="45"/>
      <c r="C675" s="45"/>
      <c r="D675" s="45"/>
      <c r="E675" s="45"/>
      <c r="F675" s="45"/>
      <c r="G675" s="45"/>
      <c r="H675" s="45"/>
      <c r="I675" s="45"/>
      <c r="J675" s="45"/>
      <c r="K675" s="45"/>
      <c r="L675" s="45"/>
      <c r="M675" s="45"/>
      <c r="N675" s="44"/>
      <c r="O675" s="45"/>
      <c r="P675" s="45"/>
      <c r="Q675" s="45"/>
      <c r="R675" s="45"/>
      <c r="S675" s="45"/>
      <c r="T675" s="45"/>
      <c r="U675" s="45"/>
      <c r="V675" s="45"/>
      <c r="W675" s="45"/>
      <c r="X675" s="45"/>
      <c r="Y675" s="45"/>
      <c r="Z675" s="45"/>
    </row>
    <row r="676" spans="1:26">
      <c r="A676" s="45"/>
      <c r="B676" s="45"/>
      <c r="C676" s="45"/>
      <c r="D676" s="45"/>
      <c r="E676" s="45"/>
      <c r="F676" s="45"/>
      <c r="G676" s="45"/>
      <c r="H676" s="45"/>
      <c r="I676" s="45"/>
      <c r="J676" s="45"/>
      <c r="K676" s="45"/>
      <c r="L676" s="45"/>
      <c r="M676" s="45"/>
      <c r="N676" s="44"/>
      <c r="O676" s="45"/>
      <c r="P676" s="45"/>
      <c r="Q676" s="45"/>
      <c r="R676" s="45"/>
      <c r="S676" s="45"/>
      <c r="T676" s="45"/>
      <c r="U676" s="45"/>
      <c r="V676" s="45"/>
      <c r="W676" s="45"/>
      <c r="X676" s="45"/>
      <c r="Y676" s="45"/>
      <c r="Z676" s="45"/>
    </row>
    <row r="677" spans="1:26">
      <c r="A677" s="45"/>
      <c r="B677" s="45"/>
      <c r="C677" s="45"/>
      <c r="D677" s="45"/>
      <c r="E677" s="45"/>
      <c r="F677" s="45"/>
      <c r="G677" s="45"/>
      <c r="H677" s="45"/>
      <c r="I677" s="45"/>
      <c r="J677" s="45"/>
      <c r="K677" s="45"/>
      <c r="L677" s="45"/>
      <c r="M677" s="45"/>
      <c r="N677" s="44"/>
      <c r="O677" s="45"/>
      <c r="P677" s="45"/>
      <c r="Q677" s="45"/>
      <c r="R677" s="45"/>
      <c r="S677" s="45"/>
      <c r="T677" s="45"/>
      <c r="U677" s="45"/>
      <c r="V677" s="45"/>
      <c r="W677" s="45"/>
      <c r="X677" s="45"/>
      <c r="Y677" s="45"/>
      <c r="Z677" s="45"/>
    </row>
    <row r="678" spans="1:26">
      <c r="A678" s="45"/>
      <c r="B678" s="45"/>
      <c r="C678" s="45"/>
      <c r="D678" s="45"/>
      <c r="E678" s="45"/>
      <c r="F678" s="45"/>
      <c r="G678" s="45"/>
      <c r="H678" s="45"/>
      <c r="I678" s="45"/>
      <c r="J678" s="45"/>
      <c r="K678" s="45"/>
      <c r="L678" s="45"/>
      <c r="M678" s="45"/>
      <c r="N678" s="44"/>
      <c r="O678" s="45"/>
      <c r="P678" s="45"/>
      <c r="Q678" s="45"/>
      <c r="R678" s="45"/>
      <c r="S678" s="45"/>
      <c r="T678" s="45"/>
      <c r="U678" s="45"/>
      <c r="V678" s="45"/>
      <c r="W678" s="45"/>
      <c r="X678" s="45"/>
      <c r="Y678" s="45"/>
      <c r="Z678" s="45"/>
    </row>
    <row r="679" spans="1:26">
      <c r="A679" s="45"/>
      <c r="B679" s="45"/>
      <c r="C679" s="45"/>
      <c r="D679" s="45"/>
      <c r="E679" s="45"/>
      <c r="F679" s="45"/>
      <c r="G679" s="45"/>
      <c r="H679" s="45"/>
      <c r="I679" s="45"/>
      <c r="J679" s="45"/>
      <c r="K679" s="45"/>
      <c r="L679" s="45"/>
      <c r="M679" s="45"/>
      <c r="N679" s="44"/>
      <c r="O679" s="45"/>
      <c r="P679" s="45"/>
      <c r="Q679" s="45"/>
      <c r="R679" s="45"/>
      <c r="S679" s="45"/>
      <c r="T679" s="45"/>
      <c r="U679" s="45"/>
      <c r="V679" s="45"/>
      <c r="W679" s="45"/>
      <c r="X679" s="45"/>
      <c r="Y679" s="45"/>
      <c r="Z679" s="45"/>
    </row>
    <row r="680" spans="1:26">
      <c r="A680" s="45"/>
      <c r="B680" s="45"/>
      <c r="C680" s="45"/>
      <c r="D680" s="45"/>
      <c r="E680" s="45"/>
      <c r="F680" s="45"/>
      <c r="G680" s="45"/>
      <c r="H680" s="45"/>
      <c r="I680" s="45"/>
      <c r="J680" s="45"/>
      <c r="K680" s="45"/>
      <c r="L680" s="45"/>
      <c r="M680" s="45"/>
      <c r="N680" s="44"/>
      <c r="O680" s="45"/>
      <c r="P680" s="45"/>
      <c r="Q680" s="45"/>
      <c r="R680" s="45"/>
      <c r="S680" s="45"/>
      <c r="T680" s="45"/>
      <c r="U680" s="45"/>
      <c r="V680" s="45"/>
      <c r="W680" s="45"/>
      <c r="X680" s="45"/>
      <c r="Y680" s="45"/>
      <c r="Z680" s="45"/>
    </row>
    <row r="681" spans="1:26">
      <c r="A681" s="45"/>
      <c r="B681" s="45"/>
      <c r="C681" s="45"/>
      <c r="D681" s="45"/>
      <c r="E681" s="45"/>
      <c r="F681" s="45"/>
      <c r="G681" s="45"/>
      <c r="H681" s="45"/>
      <c r="I681" s="45"/>
      <c r="J681" s="45"/>
      <c r="K681" s="45"/>
      <c r="L681" s="45"/>
      <c r="M681" s="45"/>
      <c r="N681" s="44"/>
      <c r="O681" s="45"/>
      <c r="P681" s="45"/>
      <c r="Q681" s="45"/>
      <c r="R681" s="45"/>
      <c r="S681" s="45"/>
      <c r="T681" s="45"/>
      <c r="U681" s="45"/>
      <c r="V681" s="45"/>
      <c r="W681" s="45"/>
      <c r="X681" s="45"/>
      <c r="Y681" s="45"/>
      <c r="Z681" s="45"/>
    </row>
    <row r="682" spans="1:26">
      <c r="A682" s="45"/>
      <c r="B682" s="45"/>
      <c r="C682" s="45"/>
      <c r="D682" s="45"/>
      <c r="E682" s="45"/>
      <c r="F682" s="45"/>
      <c r="G682" s="45"/>
      <c r="H682" s="45"/>
      <c r="I682" s="45"/>
      <c r="J682" s="45"/>
      <c r="K682" s="45"/>
      <c r="L682" s="45"/>
      <c r="M682" s="45"/>
      <c r="N682" s="44"/>
      <c r="O682" s="45"/>
      <c r="P682" s="45"/>
      <c r="Q682" s="45"/>
      <c r="R682" s="45"/>
      <c r="S682" s="45"/>
      <c r="T682" s="45"/>
      <c r="U682" s="45"/>
      <c r="V682" s="45"/>
      <c r="W682" s="45"/>
      <c r="X682" s="45"/>
      <c r="Y682" s="45"/>
      <c r="Z682" s="45"/>
    </row>
    <row r="683" spans="1:26">
      <c r="A683" s="45"/>
      <c r="B683" s="45"/>
      <c r="C683" s="45"/>
      <c r="D683" s="45"/>
      <c r="E683" s="45"/>
      <c r="F683" s="45"/>
      <c r="G683" s="45"/>
      <c r="H683" s="45"/>
      <c r="I683" s="45"/>
      <c r="J683" s="45"/>
      <c r="K683" s="45"/>
      <c r="L683" s="45"/>
      <c r="M683" s="45"/>
      <c r="N683" s="44"/>
      <c r="O683" s="45"/>
      <c r="P683" s="45"/>
      <c r="Q683" s="45"/>
      <c r="R683" s="45"/>
      <c r="S683" s="45"/>
      <c r="T683" s="45"/>
      <c r="U683" s="45"/>
      <c r="V683" s="45"/>
      <c r="W683" s="45"/>
      <c r="X683" s="45"/>
      <c r="Y683" s="45"/>
      <c r="Z683" s="45"/>
    </row>
    <row r="684" spans="1:26">
      <c r="A684" s="45"/>
      <c r="B684" s="45"/>
      <c r="C684" s="45"/>
      <c r="D684" s="45"/>
      <c r="E684" s="45"/>
      <c r="F684" s="45"/>
      <c r="G684" s="45"/>
      <c r="H684" s="45"/>
      <c r="I684" s="45"/>
      <c r="J684" s="45"/>
      <c r="K684" s="45"/>
      <c r="L684" s="45"/>
      <c r="M684" s="45"/>
      <c r="N684" s="44"/>
      <c r="O684" s="45"/>
      <c r="P684" s="45"/>
      <c r="Q684" s="45"/>
      <c r="R684" s="45"/>
      <c r="S684" s="45"/>
      <c r="T684" s="45"/>
      <c r="U684" s="45"/>
      <c r="V684" s="45"/>
      <c r="W684" s="45"/>
      <c r="X684" s="45"/>
      <c r="Y684" s="45"/>
      <c r="Z684" s="45"/>
    </row>
    <row r="685" spans="1:26">
      <c r="A685" s="45"/>
      <c r="B685" s="45"/>
      <c r="C685" s="45"/>
      <c r="D685" s="45"/>
      <c r="E685" s="45"/>
      <c r="F685" s="45"/>
      <c r="G685" s="45"/>
      <c r="H685" s="45"/>
      <c r="I685" s="45"/>
      <c r="J685" s="45"/>
      <c r="K685" s="45"/>
      <c r="L685" s="45"/>
      <c r="M685" s="45"/>
      <c r="N685" s="44"/>
      <c r="O685" s="45"/>
      <c r="P685" s="45"/>
      <c r="Q685" s="45"/>
      <c r="R685" s="45"/>
      <c r="S685" s="45"/>
      <c r="T685" s="45"/>
      <c r="U685" s="45"/>
      <c r="V685" s="45"/>
      <c r="W685" s="45"/>
      <c r="X685" s="45"/>
      <c r="Y685" s="45"/>
      <c r="Z685" s="45"/>
    </row>
    <row r="686" spans="1:26">
      <c r="A686" s="45"/>
      <c r="B686" s="45"/>
      <c r="C686" s="45"/>
      <c r="D686" s="45"/>
      <c r="E686" s="45"/>
      <c r="F686" s="45"/>
      <c r="G686" s="45"/>
      <c r="H686" s="45"/>
      <c r="I686" s="45"/>
      <c r="J686" s="45"/>
      <c r="K686" s="45"/>
      <c r="L686" s="45"/>
      <c r="M686" s="45"/>
      <c r="N686" s="44"/>
      <c r="O686" s="45"/>
      <c r="P686" s="45"/>
      <c r="Q686" s="45"/>
      <c r="R686" s="45"/>
      <c r="S686" s="45"/>
      <c r="T686" s="45"/>
      <c r="U686" s="45"/>
      <c r="V686" s="45"/>
      <c r="W686" s="45"/>
      <c r="X686" s="45"/>
      <c r="Y686" s="45"/>
      <c r="Z686" s="45"/>
    </row>
    <row r="687" spans="1:26">
      <c r="A687" s="45"/>
      <c r="B687" s="45"/>
      <c r="C687" s="45"/>
      <c r="D687" s="45"/>
      <c r="E687" s="45"/>
      <c r="F687" s="45"/>
      <c r="G687" s="45"/>
      <c r="H687" s="45"/>
      <c r="I687" s="45"/>
      <c r="J687" s="45"/>
      <c r="K687" s="45"/>
      <c r="L687" s="45"/>
      <c r="M687" s="45"/>
      <c r="N687" s="44"/>
      <c r="O687" s="45"/>
      <c r="P687" s="45"/>
      <c r="Q687" s="45"/>
      <c r="R687" s="45"/>
      <c r="S687" s="45"/>
      <c r="T687" s="45"/>
      <c r="U687" s="45"/>
      <c r="V687" s="45"/>
      <c r="W687" s="45"/>
      <c r="X687" s="45"/>
      <c r="Y687" s="45"/>
      <c r="Z687" s="45"/>
    </row>
    <row r="688" spans="1:26">
      <c r="A688" s="45"/>
      <c r="B688" s="45"/>
      <c r="C688" s="45"/>
      <c r="D688" s="45"/>
      <c r="E688" s="45"/>
      <c r="F688" s="45"/>
      <c r="G688" s="45"/>
      <c r="H688" s="45"/>
      <c r="I688" s="45"/>
      <c r="J688" s="45"/>
      <c r="K688" s="45"/>
      <c r="L688" s="45"/>
      <c r="M688" s="45"/>
      <c r="N688" s="44"/>
      <c r="O688" s="45"/>
      <c r="P688" s="45"/>
      <c r="Q688" s="45"/>
      <c r="R688" s="45"/>
      <c r="S688" s="45"/>
      <c r="T688" s="45"/>
      <c r="U688" s="45"/>
      <c r="V688" s="45"/>
      <c r="W688" s="45"/>
      <c r="X688" s="45"/>
      <c r="Y688" s="45"/>
      <c r="Z688" s="45"/>
    </row>
    <row r="689" spans="1:26">
      <c r="A689" s="45"/>
      <c r="B689" s="45"/>
      <c r="C689" s="45"/>
      <c r="D689" s="45"/>
      <c r="E689" s="45"/>
      <c r="F689" s="45"/>
      <c r="G689" s="45"/>
      <c r="H689" s="45"/>
      <c r="I689" s="45"/>
      <c r="J689" s="45"/>
      <c r="K689" s="45"/>
      <c r="L689" s="45"/>
      <c r="M689" s="45"/>
      <c r="N689" s="44"/>
      <c r="O689" s="45"/>
      <c r="P689" s="45"/>
      <c r="Q689" s="45"/>
      <c r="R689" s="45"/>
      <c r="S689" s="45"/>
      <c r="T689" s="45"/>
      <c r="U689" s="45"/>
      <c r="V689" s="45"/>
      <c r="W689" s="45"/>
      <c r="X689" s="45"/>
      <c r="Y689" s="45"/>
      <c r="Z689" s="45"/>
    </row>
    <row r="690" spans="1:26">
      <c r="A690" s="45"/>
      <c r="B690" s="45"/>
      <c r="C690" s="45"/>
      <c r="D690" s="45"/>
      <c r="E690" s="45"/>
      <c r="F690" s="45"/>
      <c r="G690" s="45"/>
      <c r="H690" s="45"/>
      <c r="I690" s="45"/>
      <c r="J690" s="45"/>
      <c r="K690" s="45"/>
      <c r="L690" s="45"/>
      <c r="M690" s="45"/>
      <c r="N690" s="44"/>
      <c r="O690" s="45"/>
      <c r="P690" s="45"/>
      <c r="Q690" s="45"/>
      <c r="R690" s="45"/>
      <c r="S690" s="45"/>
      <c r="T690" s="45"/>
      <c r="U690" s="45"/>
      <c r="V690" s="45"/>
      <c r="W690" s="45"/>
      <c r="X690" s="45"/>
      <c r="Y690" s="45"/>
      <c r="Z690" s="45"/>
    </row>
    <row r="691" spans="1:26">
      <c r="A691" s="45"/>
      <c r="B691" s="45"/>
      <c r="C691" s="45"/>
      <c r="D691" s="45"/>
      <c r="E691" s="45"/>
      <c r="F691" s="45"/>
      <c r="G691" s="45"/>
      <c r="H691" s="45"/>
      <c r="I691" s="45"/>
      <c r="J691" s="45"/>
      <c r="K691" s="45"/>
      <c r="L691" s="45"/>
      <c r="M691" s="45"/>
      <c r="N691" s="44"/>
      <c r="O691" s="45"/>
      <c r="P691" s="45"/>
      <c r="Q691" s="45"/>
      <c r="R691" s="45"/>
      <c r="S691" s="45"/>
      <c r="T691" s="45"/>
      <c r="U691" s="45"/>
      <c r="V691" s="45"/>
      <c r="W691" s="45"/>
      <c r="X691" s="45"/>
      <c r="Y691" s="45"/>
      <c r="Z691" s="45"/>
    </row>
    <row r="692" spans="1:26">
      <c r="A692" s="45"/>
      <c r="B692" s="45"/>
      <c r="C692" s="45"/>
      <c r="D692" s="45"/>
      <c r="E692" s="45"/>
      <c r="F692" s="45"/>
      <c r="G692" s="45"/>
      <c r="H692" s="45"/>
      <c r="I692" s="45"/>
      <c r="J692" s="45"/>
      <c r="K692" s="45"/>
      <c r="L692" s="45"/>
      <c r="M692" s="45"/>
      <c r="N692" s="44"/>
      <c r="O692" s="45"/>
      <c r="P692" s="45"/>
      <c r="Q692" s="45"/>
      <c r="R692" s="45"/>
      <c r="S692" s="45"/>
      <c r="T692" s="45"/>
      <c r="U692" s="45"/>
      <c r="V692" s="45"/>
      <c r="W692" s="45"/>
      <c r="X692" s="45"/>
      <c r="Y692" s="45"/>
      <c r="Z692" s="45"/>
    </row>
    <row r="693" spans="1:26">
      <c r="A693" s="45"/>
      <c r="B693" s="45"/>
      <c r="C693" s="45"/>
      <c r="D693" s="45"/>
      <c r="E693" s="45"/>
      <c r="F693" s="45"/>
      <c r="G693" s="45"/>
      <c r="H693" s="45"/>
      <c r="I693" s="45"/>
      <c r="J693" s="45"/>
      <c r="K693" s="45"/>
      <c r="L693" s="45"/>
      <c r="M693" s="45"/>
      <c r="N693" s="44"/>
      <c r="O693" s="45"/>
      <c r="P693" s="45"/>
      <c r="Q693" s="45"/>
      <c r="R693" s="45"/>
      <c r="S693" s="45"/>
      <c r="T693" s="45"/>
      <c r="U693" s="45"/>
      <c r="V693" s="45"/>
      <c r="W693" s="45"/>
      <c r="X693" s="45"/>
      <c r="Y693" s="45"/>
      <c r="Z693" s="45"/>
    </row>
    <row r="694" spans="1:26">
      <c r="A694" s="45"/>
      <c r="B694" s="45"/>
      <c r="C694" s="45"/>
      <c r="D694" s="45"/>
      <c r="E694" s="45"/>
      <c r="F694" s="45"/>
      <c r="G694" s="45"/>
      <c r="H694" s="45"/>
      <c r="I694" s="45"/>
      <c r="J694" s="45"/>
      <c r="K694" s="45"/>
      <c r="L694" s="45"/>
      <c r="M694" s="45"/>
      <c r="N694" s="44"/>
      <c r="O694" s="45"/>
      <c r="P694" s="45"/>
      <c r="Q694" s="45"/>
      <c r="R694" s="45"/>
      <c r="S694" s="45"/>
      <c r="T694" s="45"/>
      <c r="U694" s="45"/>
      <c r="V694" s="45"/>
      <c r="W694" s="45"/>
      <c r="X694" s="45"/>
      <c r="Y694" s="45"/>
      <c r="Z694" s="45"/>
    </row>
    <row r="695" spans="1:26">
      <c r="A695" s="45"/>
      <c r="B695" s="45"/>
      <c r="C695" s="45"/>
      <c r="D695" s="45"/>
      <c r="E695" s="45"/>
      <c r="F695" s="45"/>
      <c r="G695" s="45"/>
      <c r="H695" s="45"/>
      <c r="I695" s="45"/>
      <c r="J695" s="45"/>
      <c r="K695" s="45"/>
      <c r="L695" s="45"/>
      <c r="M695" s="45"/>
      <c r="N695" s="44"/>
      <c r="O695" s="45"/>
      <c r="P695" s="45"/>
      <c r="Q695" s="45"/>
      <c r="R695" s="45"/>
      <c r="S695" s="45"/>
      <c r="T695" s="45"/>
      <c r="U695" s="45"/>
      <c r="V695" s="45"/>
      <c r="W695" s="45"/>
      <c r="X695" s="45"/>
      <c r="Y695" s="45"/>
      <c r="Z695" s="45"/>
    </row>
    <row r="696" spans="1:26">
      <c r="A696" s="45"/>
      <c r="B696" s="45"/>
      <c r="C696" s="45"/>
      <c r="D696" s="45"/>
      <c r="E696" s="45"/>
      <c r="F696" s="45"/>
      <c r="G696" s="45"/>
      <c r="H696" s="45"/>
      <c r="I696" s="45"/>
      <c r="J696" s="45"/>
      <c r="K696" s="45"/>
      <c r="L696" s="45"/>
      <c r="M696" s="45"/>
      <c r="N696" s="44"/>
      <c r="O696" s="45"/>
      <c r="P696" s="45"/>
      <c r="Q696" s="45"/>
      <c r="R696" s="45"/>
      <c r="S696" s="45"/>
      <c r="T696" s="45"/>
      <c r="U696" s="45"/>
      <c r="V696" s="45"/>
      <c r="W696" s="45"/>
      <c r="X696" s="45"/>
      <c r="Y696" s="45"/>
      <c r="Z696" s="45"/>
    </row>
    <row r="697" spans="1:26">
      <c r="A697" s="45"/>
      <c r="B697" s="45"/>
      <c r="C697" s="45"/>
      <c r="D697" s="45"/>
      <c r="E697" s="45"/>
      <c r="F697" s="45"/>
      <c r="G697" s="45"/>
      <c r="H697" s="45"/>
      <c r="I697" s="45"/>
      <c r="J697" s="45"/>
      <c r="K697" s="45"/>
      <c r="L697" s="45"/>
      <c r="M697" s="45"/>
      <c r="N697" s="44"/>
      <c r="O697" s="45"/>
      <c r="P697" s="45"/>
      <c r="Q697" s="45"/>
      <c r="R697" s="45"/>
      <c r="S697" s="45"/>
      <c r="T697" s="45"/>
      <c r="U697" s="45"/>
      <c r="V697" s="45"/>
      <c r="W697" s="45"/>
      <c r="X697" s="45"/>
      <c r="Y697" s="45"/>
      <c r="Z697" s="45"/>
    </row>
    <row r="698" spans="1:26">
      <c r="A698" s="45"/>
      <c r="B698" s="45"/>
      <c r="C698" s="45"/>
      <c r="D698" s="45"/>
      <c r="E698" s="45"/>
      <c r="F698" s="45"/>
      <c r="G698" s="45"/>
      <c r="H698" s="45"/>
      <c r="I698" s="45"/>
      <c r="J698" s="45"/>
      <c r="K698" s="45"/>
      <c r="L698" s="45"/>
      <c r="M698" s="45"/>
      <c r="N698" s="44"/>
      <c r="O698" s="45"/>
      <c r="P698" s="45"/>
      <c r="Q698" s="45"/>
      <c r="R698" s="45"/>
      <c r="S698" s="45"/>
      <c r="T698" s="45"/>
      <c r="U698" s="45"/>
      <c r="V698" s="45"/>
      <c r="W698" s="45"/>
      <c r="X698" s="45"/>
      <c r="Y698" s="45"/>
      <c r="Z698" s="45"/>
    </row>
    <row r="699" spans="1:26">
      <c r="A699" s="45"/>
      <c r="B699" s="45"/>
      <c r="C699" s="45"/>
      <c r="D699" s="45"/>
      <c r="E699" s="45"/>
      <c r="F699" s="45"/>
      <c r="G699" s="45"/>
      <c r="H699" s="45"/>
      <c r="I699" s="45"/>
      <c r="J699" s="45"/>
      <c r="K699" s="45"/>
      <c r="L699" s="45"/>
      <c r="M699" s="45"/>
      <c r="N699" s="44"/>
      <c r="O699" s="45"/>
      <c r="P699" s="45"/>
      <c r="Q699" s="45"/>
      <c r="R699" s="45"/>
      <c r="S699" s="45"/>
      <c r="T699" s="45"/>
      <c r="U699" s="45"/>
      <c r="V699" s="45"/>
      <c r="W699" s="45"/>
      <c r="X699" s="45"/>
      <c r="Y699" s="45"/>
      <c r="Z699" s="45"/>
    </row>
    <row r="700" spans="1:26">
      <c r="A700" s="45"/>
      <c r="B700" s="45"/>
      <c r="C700" s="45"/>
      <c r="D700" s="45"/>
      <c r="E700" s="45"/>
      <c r="F700" s="45"/>
      <c r="G700" s="45"/>
      <c r="H700" s="45"/>
      <c r="I700" s="45"/>
      <c r="J700" s="45"/>
      <c r="K700" s="45"/>
      <c r="L700" s="45"/>
      <c r="M700" s="45"/>
      <c r="N700" s="44"/>
      <c r="O700" s="45"/>
      <c r="P700" s="45"/>
      <c r="Q700" s="45"/>
      <c r="R700" s="45"/>
      <c r="S700" s="45"/>
      <c r="T700" s="45"/>
      <c r="U700" s="45"/>
      <c r="V700" s="45"/>
      <c r="W700" s="45"/>
      <c r="X700" s="45"/>
      <c r="Y700" s="45"/>
      <c r="Z700" s="45"/>
    </row>
    <row r="701" spans="1:26">
      <c r="A701" s="45"/>
      <c r="B701" s="45"/>
      <c r="C701" s="45"/>
      <c r="D701" s="45"/>
      <c r="E701" s="45"/>
      <c r="F701" s="45"/>
      <c r="G701" s="45"/>
      <c r="H701" s="45"/>
      <c r="I701" s="45"/>
      <c r="J701" s="45"/>
      <c r="K701" s="45"/>
      <c r="L701" s="45"/>
      <c r="M701" s="45"/>
      <c r="N701" s="44"/>
      <c r="O701" s="45"/>
      <c r="P701" s="45"/>
      <c r="Q701" s="45"/>
      <c r="R701" s="45"/>
      <c r="S701" s="45"/>
      <c r="T701" s="45"/>
      <c r="U701" s="45"/>
      <c r="V701" s="45"/>
      <c r="W701" s="45"/>
      <c r="X701" s="45"/>
      <c r="Y701" s="45"/>
      <c r="Z701" s="45"/>
    </row>
    <row r="702" spans="1:26">
      <c r="A702" s="45"/>
      <c r="B702" s="45"/>
      <c r="C702" s="45"/>
      <c r="D702" s="45"/>
      <c r="E702" s="45"/>
      <c r="F702" s="45"/>
      <c r="G702" s="45"/>
      <c r="H702" s="45"/>
      <c r="I702" s="45"/>
      <c r="J702" s="45"/>
      <c r="K702" s="45"/>
      <c r="L702" s="45"/>
      <c r="M702" s="45"/>
      <c r="N702" s="44"/>
      <c r="O702" s="45"/>
      <c r="P702" s="45"/>
      <c r="Q702" s="45"/>
      <c r="R702" s="45"/>
      <c r="S702" s="45"/>
      <c r="T702" s="45"/>
      <c r="U702" s="45"/>
      <c r="V702" s="45"/>
      <c r="W702" s="45"/>
      <c r="X702" s="45"/>
      <c r="Y702" s="45"/>
      <c r="Z702" s="45"/>
    </row>
    <row r="703" spans="1:26">
      <c r="A703" s="45"/>
      <c r="B703" s="45"/>
      <c r="C703" s="45"/>
      <c r="D703" s="45"/>
      <c r="E703" s="45"/>
      <c r="F703" s="45"/>
      <c r="G703" s="45"/>
      <c r="H703" s="45"/>
      <c r="I703" s="45"/>
      <c r="J703" s="45"/>
      <c r="K703" s="45"/>
      <c r="L703" s="45"/>
      <c r="M703" s="45"/>
      <c r="N703" s="44"/>
      <c r="O703" s="45"/>
      <c r="P703" s="45"/>
      <c r="Q703" s="45"/>
      <c r="R703" s="45"/>
      <c r="S703" s="45"/>
      <c r="T703" s="45"/>
      <c r="U703" s="45"/>
      <c r="V703" s="45"/>
      <c r="W703" s="45"/>
      <c r="X703" s="45"/>
      <c r="Y703" s="45"/>
      <c r="Z703" s="45"/>
    </row>
    <row r="704" spans="1:26">
      <c r="A704" s="45"/>
      <c r="B704" s="45"/>
      <c r="C704" s="45"/>
      <c r="D704" s="45"/>
      <c r="E704" s="45"/>
      <c r="F704" s="45"/>
      <c r="G704" s="45"/>
      <c r="H704" s="45"/>
      <c r="I704" s="45"/>
      <c r="J704" s="45"/>
      <c r="K704" s="45"/>
      <c r="L704" s="45"/>
      <c r="M704" s="45"/>
      <c r="N704" s="44"/>
      <c r="O704" s="45"/>
      <c r="P704" s="45"/>
      <c r="Q704" s="45"/>
      <c r="R704" s="45"/>
      <c r="S704" s="45"/>
      <c r="T704" s="45"/>
      <c r="U704" s="45"/>
      <c r="V704" s="45"/>
      <c r="W704" s="45"/>
      <c r="X704" s="45"/>
      <c r="Y704" s="45"/>
      <c r="Z704" s="45"/>
    </row>
    <row r="705" spans="1:26">
      <c r="A705" s="45"/>
      <c r="B705" s="45"/>
      <c r="C705" s="45"/>
      <c r="D705" s="45"/>
      <c r="E705" s="45"/>
      <c r="F705" s="45"/>
      <c r="G705" s="45"/>
      <c r="H705" s="45"/>
      <c r="I705" s="45"/>
      <c r="J705" s="45"/>
      <c r="K705" s="45"/>
      <c r="L705" s="45"/>
      <c r="M705" s="45"/>
      <c r="N705" s="44"/>
      <c r="O705" s="45"/>
      <c r="P705" s="45"/>
      <c r="Q705" s="45"/>
      <c r="R705" s="45"/>
      <c r="S705" s="45"/>
      <c r="T705" s="45"/>
      <c r="U705" s="45"/>
      <c r="V705" s="45"/>
      <c r="W705" s="45"/>
      <c r="X705" s="45"/>
      <c r="Y705" s="45"/>
      <c r="Z705" s="45"/>
    </row>
    <row r="706" spans="1:26">
      <c r="A706" s="45"/>
      <c r="B706" s="45"/>
      <c r="C706" s="45"/>
      <c r="D706" s="45"/>
      <c r="E706" s="45"/>
      <c r="F706" s="45"/>
      <c r="G706" s="45"/>
      <c r="H706" s="45"/>
      <c r="I706" s="45"/>
      <c r="J706" s="45"/>
      <c r="K706" s="45"/>
      <c r="L706" s="45"/>
      <c r="M706" s="45"/>
      <c r="N706" s="44"/>
      <c r="O706" s="45"/>
      <c r="P706" s="45"/>
      <c r="Q706" s="45"/>
      <c r="R706" s="45"/>
      <c r="S706" s="45"/>
      <c r="T706" s="45"/>
      <c r="U706" s="45"/>
      <c r="V706" s="45"/>
      <c r="W706" s="45"/>
      <c r="X706" s="45"/>
      <c r="Y706" s="45"/>
      <c r="Z706" s="45"/>
    </row>
    <row r="707" spans="1:26">
      <c r="A707" s="45"/>
      <c r="B707" s="45"/>
      <c r="C707" s="45"/>
      <c r="D707" s="45"/>
      <c r="E707" s="45"/>
      <c r="F707" s="45"/>
      <c r="G707" s="45"/>
      <c r="H707" s="45"/>
      <c r="I707" s="45"/>
      <c r="J707" s="45"/>
      <c r="K707" s="45"/>
      <c r="L707" s="45"/>
      <c r="M707" s="45"/>
      <c r="N707" s="44"/>
      <c r="O707" s="45"/>
      <c r="P707" s="45"/>
      <c r="Q707" s="45"/>
      <c r="R707" s="45"/>
      <c r="S707" s="45"/>
      <c r="T707" s="45"/>
      <c r="U707" s="45"/>
      <c r="V707" s="45"/>
      <c r="W707" s="45"/>
      <c r="X707" s="45"/>
      <c r="Y707" s="45"/>
      <c r="Z707" s="45"/>
    </row>
    <row r="708" spans="1:26">
      <c r="A708" s="45"/>
      <c r="B708" s="45"/>
      <c r="C708" s="45"/>
      <c r="D708" s="45"/>
      <c r="E708" s="45"/>
      <c r="F708" s="45"/>
      <c r="G708" s="45"/>
      <c r="H708" s="45"/>
      <c r="I708" s="45"/>
      <c r="J708" s="45"/>
      <c r="K708" s="45"/>
      <c r="L708" s="45"/>
      <c r="M708" s="45"/>
      <c r="N708" s="44"/>
      <c r="O708" s="45"/>
      <c r="P708" s="45"/>
      <c r="Q708" s="45"/>
      <c r="R708" s="45"/>
      <c r="S708" s="45"/>
      <c r="T708" s="45"/>
      <c r="U708" s="45"/>
      <c r="V708" s="45"/>
      <c r="W708" s="45"/>
      <c r="X708" s="45"/>
      <c r="Y708" s="45"/>
      <c r="Z708" s="45"/>
    </row>
    <row r="709" spans="1:26">
      <c r="A709" s="45"/>
      <c r="B709" s="45"/>
      <c r="C709" s="45"/>
      <c r="D709" s="45"/>
      <c r="E709" s="45"/>
      <c r="F709" s="45"/>
      <c r="G709" s="45"/>
      <c r="H709" s="45"/>
      <c r="I709" s="45"/>
      <c r="J709" s="45"/>
      <c r="K709" s="45"/>
      <c r="L709" s="45"/>
      <c r="M709" s="45"/>
      <c r="N709" s="44"/>
      <c r="O709" s="45"/>
      <c r="P709" s="45"/>
      <c r="Q709" s="45"/>
      <c r="R709" s="45"/>
      <c r="S709" s="45"/>
      <c r="T709" s="45"/>
      <c r="U709" s="45"/>
      <c r="V709" s="45"/>
      <c r="W709" s="45"/>
      <c r="X709" s="45"/>
      <c r="Y709" s="45"/>
      <c r="Z709" s="45"/>
    </row>
    <row r="710" spans="1:26">
      <c r="A710" s="45"/>
      <c r="B710" s="45"/>
      <c r="C710" s="45"/>
      <c r="D710" s="45"/>
      <c r="E710" s="45"/>
      <c r="F710" s="45"/>
      <c r="G710" s="45"/>
      <c r="H710" s="45"/>
      <c r="I710" s="45"/>
      <c r="J710" s="45"/>
      <c r="K710" s="45"/>
      <c r="L710" s="45"/>
      <c r="M710" s="45"/>
      <c r="N710" s="44"/>
      <c r="O710" s="45"/>
      <c r="P710" s="45"/>
      <c r="Q710" s="45"/>
      <c r="R710" s="45"/>
      <c r="S710" s="45"/>
      <c r="T710" s="45"/>
      <c r="U710" s="45"/>
      <c r="V710" s="45"/>
      <c r="W710" s="45"/>
      <c r="X710" s="45"/>
      <c r="Y710" s="45"/>
      <c r="Z710" s="45"/>
    </row>
    <row r="711" spans="1:26">
      <c r="A711" s="45"/>
      <c r="B711" s="45"/>
      <c r="C711" s="45"/>
      <c r="D711" s="45"/>
      <c r="E711" s="45"/>
      <c r="F711" s="45"/>
      <c r="G711" s="45"/>
      <c r="H711" s="45"/>
      <c r="I711" s="45"/>
      <c r="J711" s="45"/>
      <c r="K711" s="45"/>
      <c r="L711" s="45"/>
      <c r="M711" s="45"/>
      <c r="N711" s="44"/>
      <c r="O711" s="45"/>
      <c r="P711" s="45"/>
      <c r="Q711" s="45"/>
      <c r="R711" s="45"/>
      <c r="S711" s="45"/>
      <c r="T711" s="45"/>
      <c r="U711" s="45"/>
      <c r="V711" s="45"/>
      <c r="W711" s="45"/>
      <c r="X711" s="45"/>
      <c r="Y711" s="45"/>
      <c r="Z711" s="45"/>
    </row>
    <row r="712" spans="1:26">
      <c r="A712" s="45"/>
      <c r="B712" s="45"/>
      <c r="C712" s="45"/>
      <c r="D712" s="45"/>
      <c r="E712" s="45"/>
      <c r="F712" s="45"/>
      <c r="G712" s="45"/>
      <c r="H712" s="45"/>
      <c r="I712" s="45"/>
      <c r="J712" s="45"/>
      <c r="K712" s="45"/>
      <c r="L712" s="45"/>
      <c r="M712" s="45"/>
      <c r="N712" s="44"/>
      <c r="O712" s="45"/>
      <c r="P712" s="45"/>
      <c r="Q712" s="45"/>
      <c r="R712" s="45"/>
      <c r="S712" s="45"/>
      <c r="T712" s="45"/>
      <c r="U712" s="45"/>
      <c r="V712" s="45"/>
      <c r="W712" s="45"/>
      <c r="X712" s="45"/>
      <c r="Y712" s="45"/>
      <c r="Z712" s="45"/>
    </row>
    <row r="713" spans="1:26">
      <c r="A713" s="45"/>
      <c r="B713" s="45"/>
      <c r="C713" s="45"/>
      <c r="D713" s="45"/>
      <c r="E713" s="45"/>
      <c r="F713" s="45"/>
      <c r="G713" s="45"/>
      <c r="H713" s="45"/>
      <c r="I713" s="45"/>
      <c r="J713" s="45"/>
      <c r="K713" s="45"/>
      <c r="L713" s="45"/>
      <c r="M713" s="45"/>
      <c r="N713" s="44"/>
      <c r="O713" s="45"/>
      <c r="P713" s="45"/>
      <c r="Q713" s="45"/>
      <c r="R713" s="45"/>
      <c r="S713" s="45"/>
      <c r="T713" s="45"/>
      <c r="U713" s="45"/>
      <c r="V713" s="45"/>
      <c r="W713" s="45"/>
      <c r="X713" s="45"/>
      <c r="Y713" s="45"/>
      <c r="Z713" s="45"/>
    </row>
    <row r="714" spans="1:26">
      <c r="A714" s="45"/>
      <c r="B714" s="45"/>
      <c r="C714" s="45"/>
      <c r="D714" s="45"/>
      <c r="E714" s="45"/>
      <c r="F714" s="45"/>
      <c r="G714" s="45"/>
      <c r="H714" s="45"/>
      <c r="I714" s="45"/>
      <c r="J714" s="45"/>
      <c r="K714" s="45"/>
      <c r="L714" s="45"/>
      <c r="M714" s="45"/>
      <c r="N714" s="44"/>
      <c r="O714" s="45"/>
      <c r="P714" s="45"/>
      <c r="Q714" s="45"/>
      <c r="R714" s="45"/>
      <c r="S714" s="45"/>
      <c r="T714" s="45"/>
      <c r="U714" s="45"/>
      <c r="V714" s="45"/>
      <c r="W714" s="45"/>
      <c r="X714" s="45"/>
      <c r="Y714" s="45"/>
      <c r="Z714" s="45"/>
    </row>
    <row r="715" spans="1:26">
      <c r="A715" s="45"/>
      <c r="B715" s="45"/>
      <c r="C715" s="45"/>
      <c r="D715" s="45"/>
      <c r="E715" s="45"/>
      <c r="F715" s="45"/>
      <c r="G715" s="45"/>
      <c r="H715" s="45"/>
      <c r="I715" s="45"/>
      <c r="J715" s="45"/>
      <c r="K715" s="45"/>
      <c r="L715" s="45"/>
      <c r="M715" s="45"/>
      <c r="N715" s="44"/>
      <c r="O715" s="45"/>
      <c r="P715" s="45"/>
      <c r="Q715" s="45"/>
      <c r="R715" s="45"/>
      <c r="S715" s="45"/>
      <c r="T715" s="45"/>
      <c r="U715" s="45"/>
      <c r="V715" s="45"/>
      <c r="W715" s="45"/>
      <c r="X715" s="45"/>
      <c r="Y715" s="45"/>
      <c r="Z715" s="45"/>
    </row>
    <row r="716" spans="1:26">
      <c r="A716" s="45"/>
      <c r="B716" s="45"/>
      <c r="C716" s="45"/>
      <c r="D716" s="45"/>
      <c r="E716" s="45"/>
      <c r="F716" s="45"/>
      <c r="G716" s="45"/>
      <c r="H716" s="45"/>
      <c r="I716" s="45"/>
      <c r="J716" s="45"/>
      <c r="K716" s="45"/>
      <c r="L716" s="45"/>
      <c r="M716" s="45"/>
      <c r="N716" s="44"/>
      <c r="O716" s="45"/>
      <c r="P716" s="45"/>
      <c r="Q716" s="45"/>
      <c r="R716" s="45"/>
      <c r="S716" s="45"/>
      <c r="T716" s="45"/>
      <c r="U716" s="45"/>
      <c r="V716" s="45"/>
      <c r="W716" s="45"/>
      <c r="X716" s="45"/>
      <c r="Y716" s="45"/>
      <c r="Z716" s="45"/>
    </row>
    <row r="717" spans="1:26">
      <c r="A717" s="45"/>
      <c r="B717" s="45"/>
      <c r="C717" s="45"/>
      <c r="D717" s="45"/>
      <c r="E717" s="45"/>
      <c r="F717" s="45"/>
      <c r="G717" s="45"/>
      <c r="H717" s="45"/>
      <c r="I717" s="45"/>
      <c r="J717" s="45"/>
      <c r="K717" s="45"/>
      <c r="L717" s="45"/>
      <c r="M717" s="45"/>
      <c r="N717" s="44"/>
      <c r="O717" s="45"/>
      <c r="P717" s="45"/>
      <c r="Q717" s="45"/>
      <c r="R717" s="45"/>
      <c r="S717" s="45"/>
      <c r="T717" s="45"/>
      <c r="U717" s="45"/>
      <c r="V717" s="45"/>
      <c r="W717" s="45"/>
      <c r="X717" s="45"/>
      <c r="Y717" s="45"/>
      <c r="Z717" s="45"/>
    </row>
    <row r="718" spans="1:26">
      <c r="A718" s="45"/>
      <c r="B718" s="45"/>
      <c r="C718" s="45"/>
      <c r="D718" s="45"/>
      <c r="E718" s="45"/>
      <c r="F718" s="45"/>
      <c r="G718" s="45"/>
      <c r="H718" s="45"/>
      <c r="I718" s="45"/>
      <c r="J718" s="45"/>
      <c r="K718" s="45"/>
      <c r="L718" s="45"/>
      <c r="M718" s="45"/>
      <c r="N718" s="44"/>
      <c r="O718" s="45"/>
      <c r="P718" s="45"/>
      <c r="Q718" s="45"/>
      <c r="R718" s="45"/>
      <c r="S718" s="45"/>
      <c r="T718" s="45"/>
      <c r="U718" s="45"/>
      <c r="V718" s="45"/>
      <c r="W718" s="45"/>
      <c r="X718" s="45"/>
      <c r="Y718" s="45"/>
      <c r="Z718" s="45"/>
    </row>
    <row r="719" spans="1:26">
      <c r="A719" s="45"/>
      <c r="B719" s="45"/>
      <c r="C719" s="45"/>
      <c r="D719" s="45"/>
      <c r="E719" s="45"/>
      <c r="F719" s="45"/>
      <c r="G719" s="45"/>
      <c r="H719" s="45"/>
      <c r="I719" s="45"/>
      <c r="J719" s="45"/>
      <c r="K719" s="45"/>
      <c r="L719" s="45"/>
      <c r="M719" s="45"/>
      <c r="N719" s="44"/>
      <c r="O719" s="45"/>
      <c r="P719" s="45"/>
      <c r="Q719" s="45"/>
      <c r="R719" s="45"/>
      <c r="S719" s="45"/>
      <c r="T719" s="45"/>
      <c r="U719" s="45"/>
      <c r="V719" s="45"/>
      <c r="W719" s="45"/>
      <c r="X719" s="45"/>
      <c r="Y719" s="45"/>
      <c r="Z719" s="45"/>
    </row>
    <row r="720" spans="1:26">
      <c r="A720" s="45"/>
      <c r="B720" s="45"/>
      <c r="C720" s="45"/>
      <c r="D720" s="45"/>
      <c r="E720" s="45"/>
      <c r="F720" s="45"/>
      <c r="G720" s="45"/>
      <c r="H720" s="45"/>
      <c r="I720" s="45"/>
      <c r="J720" s="45"/>
      <c r="K720" s="45"/>
      <c r="L720" s="45"/>
      <c r="M720" s="45"/>
      <c r="N720" s="44"/>
      <c r="O720" s="45"/>
      <c r="P720" s="45"/>
      <c r="Q720" s="45"/>
      <c r="R720" s="45"/>
      <c r="S720" s="45"/>
      <c r="T720" s="45"/>
      <c r="U720" s="45"/>
      <c r="V720" s="45"/>
      <c r="W720" s="45"/>
      <c r="X720" s="45"/>
      <c r="Y720" s="45"/>
      <c r="Z720" s="45"/>
    </row>
    <row r="721" spans="1:26">
      <c r="A721" s="45"/>
      <c r="B721" s="45"/>
      <c r="C721" s="45"/>
      <c r="D721" s="45"/>
      <c r="E721" s="45"/>
      <c r="F721" s="45"/>
      <c r="G721" s="45"/>
      <c r="H721" s="45"/>
      <c r="I721" s="45"/>
      <c r="J721" s="45"/>
      <c r="K721" s="45"/>
      <c r="L721" s="45"/>
      <c r="M721" s="45"/>
      <c r="N721" s="44"/>
      <c r="O721" s="45"/>
      <c r="P721" s="45"/>
      <c r="Q721" s="45"/>
      <c r="R721" s="45"/>
      <c r="S721" s="45"/>
      <c r="T721" s="45"/>
      <c r="U721" s="45"/>
      <c r="V721" s="45"/>
      <c r="W721" s="45"/>
      <c r="X721" s="45"/>
      <c r="Y721" s="45"/>
      <c r="Z721" s="45"/>
    </row>
    <row r="722" spans="1:26">
      <c r="A722" s="45"/>
      <c r="B722" s="45"/>
      <c r="C722" s="45"/>
      <c r="D722" s="45"/>
      <c r="E722" s="45"/>
      <c r="F722" s="45"/>
      <c r="G722" s="45"/>
      <c r="H722" s="45"/>
      <c r="I722" s="45"/>
      <c r="J722" s="45"/>
      <c r="K722" s="45"/>
      <c r="L722" s="45"/>
      <c r="M722" s="45"/>
      <c r="N722" s="44"/>
      <c r="O722" s="45"/>
      <c r="P722" s="45"/>
      <c r="Q722" s="45"/>
      <c r="R722" s="45"/>
      <c r="S722" s="45"/>
      <c r="T722" s="45"/>
      <c r="U722" s="45"/>
      <c r="V722" s="45"/>
      <c r="W722" s="45"/>
      <c r="X722" s="45"/>
      <c r="Y722" s="45"/>
      <c r="Z722" s="45"/>
    </row>
    <row r="723" spans="1:26">
      <c r="A723" s="45"/>
      <c r="B723" s="45"/>
      <c r="C723" s="45"/>
      <c r="D723" s="45"/>
      <c r="E723" s="45"/>
      <c r="F723" s="45"/>
      <c r="G723" s="45"/>
      <c r="H723" s="45"/>
      <c r="I723" s="45"/>
      <c r="J723" s="45"/>
      <c r="K723" s="45"/>
      <c r="L723" s="45"/>
      <c r="M723" s="45"/>
      <c r="N723" s="44"/>
      <c r="O723" s="45"/>
      <c r="P723" s="45"/>
      <c r="Q723" s="45"/>
      <c r="R723" s="45"/>
      <c r="S723" s="45"/>
      <c r="T723" s="45"/>
      <c r="U723" s="45"/>
      <c r="V723" s="45"/>
      <c r="W723" s="45"/>
      <c r="X723" s="45"/>
      <c r="Y723" s="45"/>
      <c r="Z723" s="45"/>
    </row>
    <row r="724" spans="1:26">
      <c r="A724" s="45"/>
      <c r="B724" s="45"/>
      <c r="C724" s="45"/>
      <c r="D724" s="45"/>
      <c r="E724" s="45"/>
      <c r="F724" s="45"/>
      <c r="G724" s="45"/>
      <c r="H724" s="45"/>
      <c r="I724" s="45"/>
      <c r="J724" s="45"/>
      <c r="K724" s="45"/>
      <c r="L724" s="45"/>
      <c r="M724" s="45"/>
      <c r="N724" s="44"/>
      <c r="O724" s="45"/>
      <c r="P724" s="45"/>
      <c r="Q724" s="45"/>
      <c r="R724" s="45"/>
      <c r="S724" s="45"/>
      <c r="T724" s="45"/>
      <c r="U724" s="45"/>
      <c r="V724" s="45"/>
      <c r="W724" s="45"/>
      <c r="X724" s="45"/>
      <c r="Y724" s="45"/>
      <c r="Z724" s="45"/>
    </row>
    <row r="725" spans="1:26">
      <c r="A725" s="45"/>
      <c r="B725" s="45"/>
      <c r="C725" s="45"/>
      <c r="D725" s="45"/>
      <c r="E725" s="45"/>
      <c r="F725" s="45"/>
      <c r="G725" s="45"/>
      <c r="H725" s="45"/>
      <c r="I725" s="45"/>
      <c r="J725" s="45"/>
      <c r="K725" s="45"/>
      <c r="L725" s="45"/>
      <c r="M725" s="45"/>
      <c r="N725" s="44"/>
      <c r="O725" s="45"/>
      <c r="P725" s="45"/>
      <c r="Q725" s="45"/>
      <c r="R725" s="45"/>
      <c r="S725" s="45"/>
      <c r="T725" s="45"/>
      <c r="U725" s="45"/>
      <c r="V725" s="45"/>
      <c r="W725" s="45"/>
      <c r="X725" s="45"/>
      <c r="Y725" s="45"/>
      <c r="Z725" s="45"/>
    </row>
    <row r="726" spans="1:26">
      <c r="A726" s="45"/>
      <c r="B726" s="45"/>
      <c r="C726" s="45"/>
      <c r="D726" s="45"/>
      <c r="E726" s="45"/>
      <c r="F726" s="45"/>
      <c r="G726" s="45"/>
      <c r="H726" s="45"/>
      <c r="I726" s="45"/>
      <c r="J726" s="45"/>
      <c r="K726" s="45"/>
      <c r="L726" s="45"/>
      <c r="M726" s="45"/>
      <c r="N726" s="44"/>
      <c r="O726" s="45"/>
      <c r="P726" s="45"/>
      <c r="Q726" s="45"/>
      <c r="R726" s="45"/>
      <c r="S726" s="45"/>
      <c r="T726" s="45"/>
      <c r="U726" s="45"/>
      <c r="V726" s="45"/>
      <c r="W726" s="45"/>
      <c r="X726" s="45"/>
      <c r="Y726" s="45"/>
      <c r="Z726" s="45"/>
    </row>
    <row r="727" spans="1:26">
      <c r="A727" s="45"/>
      <c r="B727" s="45"/>
      <c r="C727" s="45"/>
      <c r="D727" s="45"/>
      <c r="E727" s="45"/>
      <c r="F727" s="45"/>
      <c r="G727" s="45"/>
      <c r="H727" s="45"/>
      <c r="I727" s="45"/>
      <c r="J727" s="45"/>
      <c r="K727" s="45"/>
      <c r="L727" s="45"/>
      <c r="M727" s="45"/>
      <c r="N727" s="44"/>
      <c r="O727" s="45"/>
      <c r="P727" s="45"/>
      <c r="Q727" s="45"/>
      <c r="R727" s="45"/>
      <c r="S727" s="45"/>
      <c r="T727" s="45"/>
      <c r="U727" s="45"/>
      <c r="V727" s="45"/>
      <c r="W727" s="45"/>
      <c r="X727" s="45"/>
      <c r="Y727" s="45"/>
      <c r="Z727" s="45"/>
    </row>
    <row r="728" spans="1:26">
      <c r="A728" s="45"/>
      <c r="B728" s="45"/>
      <c r="C728" s="45"/>
      <c r="D728" s="45"/>
      <c r="E728" s="45"/>
      <c r="F728" s="45"/>
      <c r="G728" s="45"/>
      <c r="H728" s="45"/>
      <c r="I728" s="45"/>
      <c r="J728" s="45"/>
      <c r="K728" s="45"/>
      <c r="L728" s="45"/>
      <c r="M728" s="45"/>
      <c r="N728" s="44"/>
      <c r="O728" s="45"/>
      <c r="P728" s="45"/>
      <c r="Q728" s="45"/>
      <c r="R728" s="45"/>
      <c r="S728" s="45"/>
      <c r="T728" s="45"/>
      <c r="U728" s="45"/>
      <c r="V728" s="45"/>
      <c r="W728" s="45"/>
      <c r="X728" s="45"/>
      <c r="Y728" s="45"/>
      <c r="Z728" s="45"/>
    </row>
    <row r="729" spans="1:26">
      <c r="A729" s="45"/>
      <c r="B729" s="45"/>
      <c r="C729" s="45"/>
      <c r="D729" s="45"/>
      <c r="E729" s="45"/>
      <c r="F729" s="45"/>
      <c r="G729" s="45"/>
      <c r="H729" s="45"/>
      <c r="I729" s="45"/>
      <c r="J729" s="45"/>
      <c r="K729" s="45"/>
      <c r="L729" s="45"/>
      <c r="M729" s="45"/>
      <c r="N729" s="44"/>
      <c r="O729" s="45"/>
      <c r="P729" s="45"/>
      <c r="Q729" s="45"/>
      <c r="R729" s="45"/>
      <c r="S729" s="45"/>
      <c r="T729" s="45"/>
      <c r="U729" s="45"/>
      <c r="V729" s="45"/>
      <c r="W729" s="45"/>
      <c r="X729" s="45"/>
      <c r="Y729" s="45"/>
      <c r="Z729" s="45"/>
    </row>
    <row r="730" spans="1:26">
      <c r="A730" s="45"/>
      <c r="B730" s="45"/>
      <c r="C730" s="45"/>
      <c r="D730" s="45"/>
      <c r="E730" s="45"/>
      <c r="F730" s="45"/>
      <c r="G730" s="45"/>
      <c r="H730" s="45"/>
      <c r="I730" s="45"/>
      <c r="J730" s="45"/>
      <c r="K730" s="45"/>
      <c r="L730" s="45"/>
      <c r="M730" s="45"/>
      <c r="N730" s="44"/>
      <c r="O730" s="45"/>
      <c r="P730" s="45"/>
      <c r="Q730" s="45"/>
      <c r="R730" s="45"/>
      <c r="S730" s="45"/>
      <c r="T730" s="45"/>
      <c r="U730" s="45"/>
      <c r="V730" s="45"/>
      <c r="W730" s="45"/>
      <c r="X730" s="45"/>
      <c r="Y730" s="45"/>
      <c r="Z730" s="45"/>
    </row>
    <row r="731" spans="1:26">
      <c r="A731" s="45"/>
      <c r="B731" s="45"/>
      <c r="C731" s="45"/>
      <c r="D731" s="45"/>
      <c r="E731" s="45"/>
      <c r="F731" s="45"/>
      <c r="G731" s="45"/>
      <c r="H731" s="45"/>
      <c r="I731" s="45"/>
      <c r="J731" s="45"/>
      <c r="K731" s="45"/>
      <c r="L731" s="45"/>
      <c r="M731" s="45"/>
      <c r="N731" s="44"/>
      <c r="O731" s="45"/>
      <c r="P731" s="45"/>
      <c r="Q731" s="45"/>
      <c r="R731" s="45"/>
      <c r="S731" s="45"/>
      <c r="T731" s="45"/>
      <c r="U731" s="45"/>
      <c r="V731" s="45"/>
      <c r="W731" s="45"/>
      <c r="X731" s="45"/>
      <c r="Y731" s="45"/>
      <c r="Z731" s="45"/>
    </row>
    <row r="732" spans="1:26">
      <c r="A732" s="45"/>
      <c r="B732" s="45"/>
      <c r="C732" s="45"/>
      <c r="D732" s="45"/>
      <c r="E732" s="45"/>
      <c r="F732" s="45"/>
      <c r="G732" s="45"/>
      <c r="H732" s="45"/>
      <c r="I732" s="45"/>
      <c r="J732" s="45"/>
      <c r="K732" s="45"/>
      <c r="L732" s="45"/>
      <c r="M732" s="45"/>
      <c r="N732" s="44"/>
      <c r="O732" s="45"/>
      <c r="P732" s="45"/>
      <c r="Q732" s="45"/>
      <c r="R732" s="45"/>
      <c r="S732" s="45"/>
      <c r="T732" s="45"/>
      <c r="U732" s="45"/>
      <c r="V732" s="45"/>
      <c r="W732" s="45"/>
      <c r="X732" s="45"/>
      <c r="Y732" s="45"/>
      <c r="Z732" s="45"/>
    </row>
    <row r="733" spans="1:26">
      <c r="A733" s="45"/>
      <c r="B733" s="45"/>
      <c r="C733" s="45"/>
      <c r="D733" s="45"/>
      <c r="E733" s="45"/>
      <c r="F733" s="45"/>
      <c r="G733" s="45"/>
      <c r="H733" s="45"/>
      <c r="I733" s="45"/>
      <c r="J733" s="45"/>
      <c r="K733" s="45"/>
      <c r="L733" s="45"/>
      <c r="M733" s="45"/>
      <c r="N733" s="44"/>
      <c r="O733" s="45"/>
      <c r="P733" s="45"/>
      <c r="Q733" s="45"/>
      <c r="R733" s="45"/>
      <c r="S733" s="45"/>
      <c r="T733" s="45"/>
      <c r="U733" s="45"/>
      <c r="V733" s="45"/>
      <c r="W733" s="45"/>
      <c r="X733" s="45"/>
      <c r="Y733" s="45"/>
      <c r="Z733" s="45"/>
    </row>
    <row r="734" spans="1:26">
      <c r="A734" s="45"/>
      <c r="B734" s="45"/>
      <c r="C734" s="45"/>
      <c r="D734" s="45"/>
      <c r="E734" s="45"/>
      <c r="F734" s="45"/>
      <c r="G734" s="45"/>
      <c r="H734" s="45"/>
      <c r="I734" s="45"/>
      <c r="J734" s="45"/>
      <c r="K734" s="45"/>
      <c r="L734" s="45"/>
      <c r="M734" s="45"/>
      <c r="N734" s="44"/>
      <c r="O734" s="45"/>
      <c r="P734" s="45"/>
      <c r="Q734" s="45"/>
      <c r="R734" s="45"/>
      <c r="S734" s="45"/>
      <c r="T734" s="45"/>
      <c r="U734" s="45"/>
      <c r="V734" s="45"/>
      <c r="W734" s="45"/>
      <c r="X734" s="45"/>
      <c r="Y734" s="45"/>
      <c r="Z734" s="45"/>
    </row>
    <row r="735" spans="1:26">
      <c r="A735" s="45"/>
      <c r="B735" s="45"/>
      <c r="C735" s="45"/>
      <c r="D735" s="45"/>
      <c r="E735" s="45"/>
      <c r="F735" s="45"/>
      <c r="G735" s="45"/>
      <c r="H735" s="45"/>
      <c r="I735" s="45"/>
      <c r="J735" s="45"/>
      <c r="K735" s="45"/>
      <c r="L735" s="45"/>
      <c r="M735" s="45"/>
      <c r="N735" s="44"/>
      <c r="O735" s="45"/>
      <c r="P735" s="45"/>
      <c r="Q735" s="45"/>
      <c r="R735" s="45"/>
      <c r="S735" s="45"/>
      <c r="T735" s="45"/>
      <c r="U735" s="45"/>
      <c r="V735" s="45"/>
      <c r="W735" s="45"/>
      <c r="X735" s="45"/>
      <c r="Y735" s="45"/>
      <c r="Z735" s="45"/>
    </row>
    <row r="736" spans="1:26">
      <c r="A736" s="45"/>
      <c r="B736" s="45"/>
      <c r="C736" s="45"/>
      <c r="D736" s="45"/>
      <c r="E736" s="45"/>
      <c r="F736" s="45"/>
      <c r="G736" s="45"/>
      <c r="H736" s="45"/>
      <c r="I736" s="45"/>
      <c r="J736" s="45"/>
      <c r="K736" s="45"/>
      <c r="L736" s="45"/>
      <c r="M736" s="45"/>
      <c r="N736" s="44"/>
      <c r="O736" s="45"/>
      <c r="P736" s="45"/>
      <c r="Q736" s="45"/>
      <c r="R736" s="45"/>
      <c r="S736" s="45"/>
      <c r="T736" s="45"/>
      <c r="U736" s="45"/>
      <c r="V736" s="45"/>
      <c r="W736" s="45"/>
      <c r="X736" s="45"/>
      <c r="Y736" s="45"/>
      <c r="Z736" s="45"/>
    </row>
    <row r="737" spans="1:26">
      <c r="A737" s="45"/>
      <c r="B737" s="45"/>
      <c r="C737" s="45"/>
      <c r="D737" s="45"/>
      <c r="E737" s="45"/>
      <c r="F737" s="45"/>
      <c r="G737" s="45"/>
      <c r="H737" s="45"/>
      <c r="I737" s="45"/>
      <c r="J737" s="45"/>
      <c r="K737" s="45"/>
      <c r="L737" s="45"/>
      <c r="M737" s="45"/>
      <c r="N737" s="44"/>
      <c r="O737" s="45"/>
      <c r="P737" s="45"/>
      <c r="Q737" s="45"/>
      <c r="R737" s="45"/>
      <c r="S737" s="45"/>
      <c r="T737" s="45"/>
      <c r="U737" s="45"/>
      <c r="V737" s="45"/>
      <c r="W737" s="45"/>
      <c r="X737" s="45"/>
      <c r="Y737" s="45"/>
      <c r="Z737" s="45"/>
    </row>
    <row r="738" spans="1:26">
      <c r="A738" s="45"/>
      <c r="B738" s="45"/>
      <c r="C738" s="45"/>
      <c r="D738" s="45"/>
      <c r="E738" s="45"/>
      <c r="F738" s="45"/>
      <c r="G738" s="45"/>
      <c r="H738" s="45"/>
      <c r="I738" s="45"/>
      <c r="J738" s="45"/>
      <c r="K738" s="45"/>
      <c r="L738" s="45"/>
      <c r="M738" s="45"/>
      <c r="N738" s="44"/>
      <c r="O738" s="45"/>
      <c r="P738" s="45"/>
      <c r="Q738" s="45"/>
      <c r="R738" s="45"/>
      <c r="S738" s="45"/>
      <c r="T738" s="45"/>
      <c r="U738" s="45"/>
      <c r="V738" s="45"/>
      <c r="W738" s="45"/>
      <c r="X738" s="45"/>
      <c r="Y738" s="45"/>
      <c r="Z738" s="45"/>
    </row>
    <row r="739" spans="1:26">
      <c r="A739" s="45"/>
      <c r="B739" s="45"/>
      <c r="C739" s="45"/>
      <c r="D739" s="45"/>
      <c r="E739" s="45"/>
      <c r="F739" s="45"/>
      <c r="G739" s="45"/>
      <c r="H739" s="45"/>
      <c r="I739" s="45"/>
      <c r="J739" s="45"/>
      <c r="K739" s="45"/>
      <c r="L739" s="45"/>
      <c r="M739" s="45"/>
      <c r="N739" s="44"/>
      <c r="O739" s="45"/>
      <c r="P739" s="45"/>
      <c r="Q739" s="45"/>
      <c r="R739" s="45"/>
      <c r="S739" s="45"/>
      <c r="T739" s="45"/>
      <c r="U739" s="45"/>
      <c r="V739" s="45"/>
      <c r="W739" s="45"/>
      <c r="X739" s="45"/>
      <c r="Y739" s="45"/>
      <c r="Z739" s="45"/>
    </row>
    <row r="740" spans="1:26">
      <c r="A740" s="45"/>
      <c r="B740" s="45"/>
      <c r="C740" s="45"/>
      <c r="D740" s="45"/>
      <c r="E740" s="45"/>
      <c r="F740" s="45"/>
      <c r="G740" s="45"/>
      <c r="H740" s="45"/>
      <c r="I740" s="45"/>
      <c r="J740" s="45"/>
      <c r="K740" s="45"/>
      <c r="L740" s="45"/>
      <c r="M740" s="45"/>
      <c r="N740" s="44"/>
      <c r="O740" s="45"/>
      <c r="P740" s="45"/>
      <c r="Q740" s="45"/>
      <c r="R740" s="45"/>
      <c r="S740" s="45"/>
      <c r="T740" s="45"/>
      <c r="U740" s="45"/>
      <c r="V740" s="45"/>
      <c r="W740" s="45"/>
      <c r="X740" s="45"/>
      <c r="Y740" s="45"/>
      <c r="Z740" s="45"/>
    </row>
    <row r="741" spans="1:26">
      <c r="A741" s="45"/>
      <c r="B741" s="45"/>
      <c r="C741" s="45"/>
      <c r="D741" s="45"/>
      <c r="E741" s="45"/>
      <c r="F741" s="45"/>
      <c r="G741" s="45"/>
      <c r="H741" s="45"/>
      <c r="I741" s="45"/>
      <c r="J741" s="45"/>
      <c r="K741" s="45"/>
      <c r="L741" s="45"/>
      <c r="M741" s="45"/>
      <c r="N741" s="44"/>
      <c r="O741" s="45"/>
      <c r="P741" s="45"/>
      <c r="Q741" s="45"/>
      <c r="R741" s="45"/>
      <c r="S741" s="45"/>
      <c r="T741" s="45"/>
      <c r="U741" s="45"/>
      <c r="V741" s="45"/>
      <c r="W741" s="45"/>
      <c r="X741" s="45"/>
      <c r="Y741" s="45"/>
      <c r="Z741" s="45"/>
    </row>
    <row r="742" spans="1:26">
      <c r="A742" s="45"/>
      <c r="B742" s="45"/>
      <c r="C742" s="45"/>
      <c r="D742" s="45"/>
      <c r="E742" s="45"/>
      <c r="F742" s="45"/>
      <c r="G742" s="45"/>
      <c r="H742" s="45"/>
      <c r="I742" s="45"/>
      <c r="J742" s="45"/>
      <c r="K742" s="45"/>
      <c r="L742" s="45"/>
      <c r="M742" s="45"/>
      <c r="N742" s="44"/>
      <c r="O742" s="45"/>
      <c r="P742" s="45"/>
      <c r="Q742" s="45"/>
      <c r="R742" s="45"/>
      <c r="S742" s="45"/>
      <c r="T742" s="45"/>
      <c r="U742" s="45"/>
      <c r="V742" s="45"/>
      <c r="W742" s="45"/>
      <c r="X742" s="45"/>
      <c r="Y742" s="45"/>
      <c r="Z742" s="45"/>
    </row>
    <row r="743" spans="1:26">
      <c r="A743" s="45"/>
      <c r="B743" s="45"/>
      <c r="C743" s="45"/>
      <c r="D743" s="45"/>
      <c r="E743" s="45"/>
      <c r="F743" s="45"/>
      <c r="G743" s="45"/>
      <c r="H743" s="45"/>
      <c r="I743" s="45"/>
      <c r="J743" s="45"/>
      <c r="K743" s="45"/>
      <c r="L743" s="45"/>
      <c r="M743" s="45"/>
      <c r="N743" s="44"/>
      <c r="O743" s="45"/>
      <c r="P743" s="45"/>
      <c r="Q743" s="45"/>
      <c r="R743" s="45"/>
      <c r="S743" s="45"/>
      <c r="T743" s="45"/>
      <c r="U743" s="45"/>
      <c r="V743" s="45"/>
      <c r="W743" s="45"/>
      <c r="X743" s="45"/>
      <c r="Y743" s="45"/>
      <c r="Z743" s="45"/>
    </row>
    <row r="744" spans="1:26">
      <c r="A744" s="45"/>
      <c r="B744" s="45"/>
      <c r="C744" s="45"/>
      <c r="D744" s="45"/>
      <c r="E744" s="45"/>
      <c r="F744" s="45"/>
      <c r="G744" s="45"/>
      <c r="H744" s="45"/>
      <c r="I744" s="45"/>
      <c r="J744" s="45"/>
      <c r="K744" s="45"/>
      <c r="L744" s="45"/>
      <c r="M744" s="45"/>
      <c r="N744" s="44"/>
      <c r="O744" s="45"/>
      <c r="P744" s="45"/>
      <c r="Q744" s="45"/>
      <c r="R744" s="45"/>
      <c r="S744" s="45"/>
      <c r="T744" s="45"/>
      <c r="U744" s="45"/>
      <c r="V744" s="45"/>
      <c r="W744" s="45"/>
      <c r="X744" s="45"/>
      <c r="Y744" s="45"/>
      <c r="Z744" s="45"/>
    </row>
    <row r="745" spans="1:26">
      <c r="A745" s="45"/>
      <c r="B745" s="45"/>
      <c r="C745" s="45"/>
      <c r="D745" s="45"/>
      <c r="E745" s="45"/>
      <c r="F745" s="45"/>
      <c r="G745" s="45"/>
      <c r="H745" s="45"/>
      <c r="I745" s="45"/>
      <c r="J745" s="45"/>
      <c r="K745" s="45"/>
      <c r="L745" s="45"/>
      <c r="M745" s="45"/>
      <c r="N745" s="44"/>
      <c r="O745" s="45"/>
      <c r="P745" s="45"/>
      <c r="Q745" s="45"/>
      <c r="R745" s="45"/>
      <c r="S745" s="45"/>
      <c r="T745" s="45"/>
      <c r="U745" s="45"/>
      <c r="V745" s="45"/>
      <c r="W745" s="45"/>
      <c r="X745" s="45"/>
      <c r="Y745" s="45"/>
      <c r="Z745" s="45"/>
    </row>
    <row r="746" spans="1:26">
      <c r="A746" s="45"/>
      <c r="B746" s="45"/>
      <c r="C746" s="45"/>
      <c r="D746" s="45"/>
      <c r="E746" s="45"/>
      <c r="F746" s="45"/>
      <c r="G746" s="45"/>
      <c r="H746" s="45"/>
      <c r="I746" s="45"/>
      <c r="J746" s="45"/>
      <c r="K746" s="45"/>
      <c r="L746" s="45"/>
      <c r="M746" s="45"/>
      <c r="N746" s="44"/>
      <c r="O746" s="45"/>
      <c r="P746" s="45"/>
      <c r="Q746" s="45"/>
      <c r="R746" s="45"/>
      <c r="S746" s="45"/>
      <c r="T746" s="45"/>
      <c r="U746" s="45"/>
      <c r="V746" s="45"/>
      <c r="W746" s="45"/>
      <c r="X746" s="45"/>
      <c r="Y746" s="45"/>
      <c r="Z746" s="45"/>
    </row>
    <row r="747" spans="1:26">
      <c r="A747" s="45"/>
      <c r="B747" s="45"/>
      <c r="C747" s="45"/>
      <c r="D747" s="45"/>
      <c r="E747" s="45"/>
      <c r="F747" s="45"/>
      <c r="G747" s="45"/>
      <c r="H747" s="45"/>
      <c r="I747" s="45"/>
      <c r="J747" s="45"/>
      <c r="K747" s="45"/>
      <c r="L747" s="45"/>
      <c r="M747" s="45"/>
      <c r="N747" s="44"/>
      <c r="O747" s="45"/>
      <c r="P747" s="45"/>
      <c r="Q747" s="45"/>
      <c r="R747" s="45"/>
      <c r="S747" s="45"/>
      <c r="T747" s="45"/>
      <c r="U747" s="45"/>
      <c r="V747" s="45"/>
      <c r="W747" s="45"/>
      <c r="X747" s="45"/>
      <c r="Y747" s="45"/>
      <c r="Z747" s="45"/>
    </row>
    <row r="748" spans="1:26">
      <c r="A748" s="45"/>
      <c r="B748" s="45"/>
      <c r="C748" s="45"/>
      <c r="D748" s="45"/>
      <c r="E748" s="45"/>
      <c r="F748" s="45"/>
      <c r="G748" s="45"/>
      <c r="H748" s="45"/>
      <c r="I748" s="45"/>
      <c r="J748" s="45"/>
      <c r="K748" s="45"/>
      <c r="L748" s="45"/>
      <c r="M748" s="45"/>
      <c r="N748" s="44"/>
      <c r="O748" s="45"/>
      <c r="P748" s="45"/>
      <c r="Q748" s="45"/>
      <c r="R748" s="45"/>
      <c r="S748" s="45"/>
      <c r="T748" s="45"/>
      <c r="U748" s="45"/>
      <c r="V748" s="45"/>
      <c r="W748" s="45"/>
      <c r="X748" s="45"/>
      <c r="Y748" s="45"/>
      <c r="Z748" s="45"/>
    </row>
    <row r="749" spans="1:26">
      <c r="A749" s="45"/>
      <c r="B749" s="45"/>
      <c r="C749" s="45"/>
      <c r="D749" s="45"/>
      <c r="E749" s="45"/>
      <c r="F749" s="45"/>
      <c r="G749" s="45"/>
      <c r="H749" s="45"/>
      <c r="I749" s="45"/>
      <c r="J749" s="45"/>
      <c r="K749" s="45"/>
      <c r="L749" s="45"/>
      <c r="M749" s="45"/>
      <c r="N749" s="44"/>
      <c r="O749" s="45"/>
      <c r="P749" s="45"/>
      <c r="Q749" s="45"/>
      <c r="R749" s="45"/>
      <c r="S749" s="45"/>
      <c r="T749" s="45"/>
      <c r="U749" s="45"/>
      <c r="V749" s="45"/>
      <c r="W749" s="45"/>
      <c r="X749" s="45"/>
      <c r="Y749" s="45"/>
      <c r="Z749" s="45"/>
    </row>
    <row r="750" spans="1:26">
      <c r="A750" s="45"/>
      <c r="B750" s="45"/>
      <c r="C750" s="45"/>
      <c r="D750" s="45"/>
      <c r="E750" s="45"/>
      <c r="F750" s="45"/>
      <c r="G750" s="45"/>
      <c r="H750" s="45"/>
      <c r="I750" s="45"/>
      <c r="J750" s="45"/>
      <c r="K750" s="45"/>
      <c r="L750" s="45"/>
      <c r="M750" s="45"/>
      <c r="N750" s="44"/>
      <c r="O750" s="45"/>
      <c r="P750" s="45"/>
      <c r="Q750" s="45"/>
      <c r="R750" s="45"/>
      <c r="S750" s="45"/>
      <c r="T750" s="45"/>
      <c r="U750" s="45"/>
      <c r="V750" s="45"/>
      <c r="W750" s="45"/>
      <c r="X750" s="45"/>
      <c r="Y750" s="45"/>
      <c r="Z750" s="45"/>
    </row>
    <row r="751" spans="1:26">
      <c r="A751" s="45"/>
      <c r="B751" s="45"/>
      <c r="C751" s="45"/>
      <c r="D751" s="45"/>
      <c r="E751" s="45"/>
      <c r="F751" s="45"/>
      <c r="G751" s="45"/>
      <c r="H751" s="45"/>
      <c r="I751" s="45"/>
      <c r="J751" s="45"/>
      <c r="K751" s="45"/>
      <c r="L751" s="45"/>
      <c r="M751" s="45"/>
      <c r="N751" s="44"/>
      <c r="O751" s="45"/>
      <c r="P751" s="45"/>
      <c r="Q751" s="45"/>
      <c r="R751" s="45"/>
      <c r="S751" s="45"/>
      <c r="T751" s="45"/>
      <c r="U751" s="45"/>
      <c r="V751" s="45"/>
      <c r="W751" s="45"/>
      <c r="X751" s="45"/>
      <c r="Y751" s="45"/>
      <c r="Z751" s="45"/>
    </row>
    <row r="752" spans="1:26">
      <c r="A752" s="45"/>
      <c r="B752" s="45"/>
      <c r="C752" s="45"/>
      <c r="D752" s="45"/>
      <c r="E752" s="45"/>
      <c r="F752" s="45"/>
      <c r="G752" s="45"/>
      <c r="H752" s="45"/>
      <c r="I752" s="45"/>
      <c r="J752" s="45"/>
      <c r="K752" s="45"/>
      <c r="L752" s="45"/>
      <c r="M752" s="45"/>
      <c r="N752" s="44"/>
      <c r="O752" s="45"/>
      <c r="P752" s="45"/>
      <c r="Q752" s="45"/>
      <c r="R752" s="45"/>
      <c r="S752" s="45"/>
      <c r="T752" s="45"/>
      <c r="U752" s="45"/>
      <c r="V752" s="45"/>
      <c r="W752" s="45"/>
      <c r="X752" s="45"/>
      <c r="Y752" s="45"/>
      <c r="Z752" s="45"/>
    </row>
    <row r="753" spans="1:26">
      <c r="A753" s="45"/>
      <c r="B753" s="45"/>
      <c r="C753" s="45"/>
      <c r="D753" s="45"/>
      <c r="E753" s="45"/>
      <c r="F753" s="45"/>
      <c r="G753" s="45"/>
      <c r="H753" s="45"/>
      <c r="I753" s="45"/>
      <c r="J753" s="45"/>
      <c r="K753" s="45"/>
      <c r="L753" s="45"/>
      <c r="M753" s="45"/>
      <c r="N753" s="44"/>
      <c r="O753" s="45"/>
      <c r="P753" s="45"/>
      <c r="Q753" s="45"/>
      <c r="R753" s="45"/>
      <c r="S753" s="45"/>
      <c r="T753" s="45"/>
      <c r="U753" s="45"/>
      <c r="V753" s="45"/>
      <c r="W753" s="45"/>
      <c r="X753" s="45"/>
      <c r="Y753" s="45"/>
      <c r="Z753" s="45"/>
    </row>
    <row r="754" spans="1:26">
      <c r="A754" s="45"/>
      <c r="B754" s="45"/>
      <c r="C754" s="45"/>
      <c r="D754" s="45"/>
      <c r="E754" s="45"/>
      <c r="F754" s="45"/>
      <c r="G754" s="45"/>
      <c r="H754" s="45"/>
      <c r="I754" s="45"/>
      <c r="J754" s="45"/>
      <c r="K754" s="45"/>
      <c r="L754" s="45"/>
      <c r="M754" s="45"/>
      <c r="N754" s="44"/>
      <c r="O754" s="45"/>
      <c r="P754" s="45"/>
      <c r="Q754" s="45"/>
      <c r="R754" s="45"/>
      <c r="S754" s="45"/>
      <c r="T754" s="45"/>
      <c r="U754" s="45"/>
      <c r="V754" s="45"/>
      <c r="W754" s="45"/>
      <c r="X754" s="45"/>
      <c r="Y754" s="45"/>
      <c r="Z754" s="45"/>
    </row>
    <row r="755" spans="1:26">
      <c r="A755" s="45"/>
      <c r="B755" s="45"/>
      <c r="C755" s="45"/>
      <c r="D755" s="45"/>
      <c r="E755" s="45"/>
      <c r="F755" s="45"/>
      <c r="G755" s="45"/>
      <c r="H755" s="45"/>
      <c r="I755" s="45"/>
      <c r="J755" s="45"/>
      <c r="K755" s="45"/>
      <c r="L755" s="45"/>
      <c r="M755" s="45"/>
      <c r="N755" s="44"/>
      <c r="O755" s="45"/>
      <c r="P755" s="45"/>
      <c r="Q755" s="45"/>
      <c r="R755" s="45"/>
      <c r="S755" s="45"/>
      <c r="T755" s="45"/>
      <c r="U755" s="45"/>
      <c r="V755" s="45"/>
      <c r="W755" s="45"/>
      <c r="X755" s="45"/>
      <c r="Y755" s="45"/>
      <c r="Z755" s="45"/>
    </row>
    <row r="756" spans="1:26">
      <c r="A756" s="45"/>
      <c r="B756" s="45"/>
      <c r="C756" s="45"/>
      <c r="D756" s="45"/>
      <c r="E756" s="45"/>
      <c r="F756" s="45"/>
      <c r="G756" s="45"/>
      <c r="H756" s="45"/>
      <c r="I756" s="45"/>
      <c r="J756" s="45"/>
      <c r="K756" s="45"/>
      <c r="L756" s="45"/>
      <c r="M756" s="45"/>
      <c r="N756" s="44"/>
      <c r="O756" s="45"/>
      <c r="P756" s="45"/>
      <c r="Q756" s="45"/>
      <c r="R756" s="45"/>
      <c r="S756" s="45"/>
      <c r="T756" s="45"/>
      <c r="U756" s="45"/>
      <c r="V756" s="45"/>
      <c r="W756" s="45"/>
      <c r="X756" s="45"/>
      <c r="Y756" s="45"/>
      <c r="Z756" s="45"/>
    </row>
    <row r="757" spans="1:26">
      <c r="A757" s="45"/>
      <c r="B757" s="45"/>
      <c r="C757" s="45"/>
      <c r="D757" s="45"/>
      <c r="E757" s="45"/>
      <c r="F757" s="45"/>
      <c r="G757" s="45"/>
      <c r="H757" s="45"/>
      <c r="I757" s="45"/>
      <c r="J757" s="45"/>
      <c r="K757" s="45"/>
      <c r="L757" s="45"/>
      <c r="M757" s="45"/>
      <c r="N757" s="44"/>
      <c r="O757" s="45"/>
      <c r="P757" s="45"/>
      <c r="Q757" s="45"/>
      <c r="R757" s="45"/>
      <c r="S757" s="45"/>
      <c r="T757" s="45"/>
      <c r="U757" s="45"/>
      <c r="V757" s="45"/>
      <c r="W757" s="45"/>
      <c r="X757" s="45"/>
      <c r="Y757" s="45"/>
      <c r="Z757" s="45"/>
    </row>
    <row r="758" spans="1:26">
      <c r="A758" s="45"/>
      <c r="B758" s="45"/>
      <c r="C758" s="45"/>
      <c r="D758" s="45"/>
      <c r="E758" s="45"/>
      <c r="F758" s="45"/>
      <c r="G758" s="45"/>
      <c r="H758" s="45"/>
      <c r="I758" s="45"/>
      <c r="J758" s="45"/>
      <c r="K758" s="45"/>
      <c r="L758" s="45"/>
      <c r="M758" s="45"/>
      <c r="N758" s="44"/>
      <c r="O758" s="45"/>
      <c r="P758" s="45"/>
      <c r="Q758" s="45"/>
      <c r="R758" s="45"/>
      <c r="S758" s="45"/>
      <c r="T758" s="45"/>
      <c r="U758" s="45"/>
      <c r="V758" s="45"/>
      <c r="W758" s="45"/>
      <c r="X758" s="45"/>
      <c r="Y758" s="45"/>
      <c r="Z758" s="45"/>
    </row>
    <row r="759" spans="1:26">
      <c r="A759" s="45"/>
      <c r="B759" s="45"/>
      <c r="C759" s="45"/>
      <c r="D759" s="45"/>
      <c r="E759" s="45"/>
      <c r="F759" s="45"/>
      <c r="G759" s="45"/>
      <c r="H759" s="45"/>
      <c r="I759" s="45"/>
      <c r="J759" s="45"/>
      <c r="K759" s="45"/>
      <c r="L759" s="45"/>
      <c r="M759" s="45"/>
      <c r="N759" s="44"/>
      <c r="O759" s="45"/>
      <c r="P759" s="45"/>
      <c r="Q759" s="45"/>
      <c r="R759" s="45"/>
      <c r="S759" s="45"/>
      <c r="T759" s="45"/>
      <c r="U759" s="45"/>
      <c r="V759" s="45"/>
      <c r="W759" s="45"/>
      <c r="X759" s="45"/>
      <c r="Y759" s="45"/>
      <c r="Z759" s="45"/>
    </row>
    <row r="760" spans="1:26">
      <c r="A760" s="45"/>
      <c r="B760" s="45"/>
      <c r="C760" s="45"/>
      <c r="D760" s="45"/>
      <c r="E760" s="45"/>
      <c r="F760" s="45"/>
      <c r="G760" s="45"/>
      <c r="H760" s="45"/>
      <c r="I760" s="45"/>
      <c r="J760" s="45"/>
      <c r="K760" s="45"/>
      <c r="L760" s="45"/>
      <c r="M760" s="45"/>
      <c r="N760" s="44"/>
      <c r="O760" s="45"/>
      <c r="P760" s="45"/>
      <c r="Q760" s="45"/>
      <c r="R760" s="45"/>
      <c r="S760" s="45"/>
      <c r="T760" s="45"/>
      <c r="U760" s="45"/>
      <c r="V760" s="45"/>
      <c r="W760" s="45"/>
      <c r="X760" s="45"/>
      <c r="Y760" s="45"/>
      <c r="Z760" s="45"/>
    </row>
    <row r="761" spans="1:26">
      <c r="A761" s="45"/>
      <c r="B761" s="45"/>
      <c r="C761" s="45"/>
      <c r="D761" s="45"/>
      <c r="E761" s="45"/>
      <c r="F761" s="45"/>
      <c r="G761" s="45"/>
      <c r="H761" s="45"/>
      <c r="I761" s="45"/>
      <c r="J761" s="45"/>
      <c r="K761" s="45"/>
      <c r="L761" s="45"/>
      <c r="M761" s="45"/>
      <c r="N761" s="44"/>
      <c r="O761" s="45"/>
      <c r="P761" s="45"/>
      <c r="Q761" s="45"/>
      <c r="R761" s="45"/>
      <c r="S761" s="45"/>
      <c r="T761" s="45"/>
      <c r="U761" s="45"/>
      <c r="V761" s="45"/>
      <c r="W761" s="45"/>
      <c r="X761" s="45"/>
      <c r="Y761" s="45"/>
      <c r="Z761" s="45"/>
    </row>
    <row r="762" spans="1:26">
      <c r="A762" s="45"/>
      <c r="B762" s="45"/>
      <c r="C762" s="45"/>
      <c r="D762" s="45"/>
      <c r="E762" s="45"/>
      <c r="F762" s="45"/>
      <c r="G762" s="45"/>
      <c r="H762" s="45"/>
      <c r="I762" s="45"/>
      <c r="J762" s="45"/>
      <c r="K762" s="45"/>
      <c r="L762" s="45"/>
      <c r="M762" s="45"/>
      <c r="N762" s="44"/>
      <c r="O762" s="45"/>
      <c r="P762" s="45"/>
      <c r="Q762" s="45"/>
      <c r="R762" s="45"/>
      <c r="S762" s="45"/>
      <c r="T762" s="45"/>
      <c r="U762" s="45"/>
      <c r="V762" s="45"/>
      <c r="W762" s="45"/>
      <c r="X762" s="45"/>
      <c r="Y762" s="45"/>
      <c r="Z762" s="45"/>
    </row>
    <row r="763" spans="1:26">
      <c r="A763" s="45"/>
      <c r="B763" s="45"/>
      <c r="C763" s="45"/>
      <c r="D763" s="45"/>
      <c r="E763" s="45"/>
      <c r="F763" s="45"/>
      <c r="G763" s="45"/>
      <c r="H763" s="45"/>
      <c r="I763" s="45"/>
      <c r="J763" s="45"/>
      <c r="K763" s="45"/>
      <c r="L763" s="45"/>
      <c r="M763" s="45"/>
      <c r="N763" s="44"/>
      <c r="O763" s="45"/>
      <c r="P763" s="45"/>
      <c r="Q763" s="45"/>
      <c r="R763" s="45"/>
      <c r="S763" s="45"/>
      <c r="T763" s="45"/>
      <c r="U763" s="45"/>
      <c r="V763" s="45"/>
      <c r="W763" s="45"/>
      <c r="X763" s="45"/>
      <c r="Y763" s="45"/>
      <c r="Z763" s="45"/>
    </row>
    <row r="764" spans="1:26">
      <c r="A764" s="45"/>
      <c r="B764" s="45"/>
      <c r="C764" s="45"/>
      <c r="D764" s="45"/>
      <c r="E764" s="45"/>
      <c r="F764" s="45"/>
      <c r="G764" s="45"/>
      <c r="H764" s="45"/>
      <c r="I764" s="45"/>
      <c r="J764" s="45"/>
      <c r="K764" s="45"/>
      <c r="L764" s="45"/>
      <c r="M764" s="45"/>
      <c r="N764" s="44"/>
      <c r="O764" s="45"/>
      <c r="P764" s="45"/>
      <c r="Q764" s="45"/>
      <c r="R764" s="45"/>
      <c r="S764" s="45"/>
      <c r="T764" s="45"/>
      <c r="U764" s="45"/>
      <c r="V764" s="45"/>
      <c r="W764" s="45"/>
      <c r="X764" s="45"/>
      <c r="Y764" s="45"/>
      <c r="Z764" s="45"/>
    </row>
    <row r="765" spans="1:26">
      <c r="A765" s="45"/>
      <c r="B765" s="45"/>
      <c r="C765" s="45"/>
      <c r="D765" s="45"/>
      <c r="E765" s="45"/>
      <c r="F765" s="45"/>
      <c r="G765" s="45"/>
      <c r="H765" s="45"/>
      <c r="I765" s="45"/>
      <c r="J765" s="45"/>
      <c r="K765" s="45"/>
      <c r="L765" s="45"/>
      <c r="M765" s="45"/>
      <c r="N765" s="44"/>
      <c r="O765" s="45"/>
      <c r="P765" s="45"/>
      <c r="Q765" s="45"/>
      <c r="R765" s="45"/>
      <c r="S765" s="45"/>
      <c r="T765" s="45"/>
      <c r="U765" s="45"/>
      <c r="V765" s="45"/>
      <c r="W765" s="45"/>
      <c r="X765" s="45"/>
      <c r="Y765" s="45"/>
      <c r="Z765" s="45"/>
    </row>
    <row r="766" spans="1:26">
      <c r="A766" s="45"/>
      <c r="B766" s="45"/>
      <c r="C766" s="45"/>
      <c r="D766" s="45"/>
      <c r="E766" s="45"/>
      <c r="F766" s="45"/>
      <c r="G766" s="45"/>
      <c r="H766" s="45"/>
      <c r="I766" s="45"/>
      <c r="J766" s="45"/>
      <c r="K766" s="45"/>
      <c r="L766" s="45"/>
      <c r="M766" s="45"/>
      <c r="N766" s="44"/>
      <c r="O766" s="45"/>
      <c r="P766" s="45"/>
      <c r="Q766" s="45"/>
      <c r="R766" s="45"/>
      <c r="S766" s="45"/>
      <c r="T766" s="45"/>
      <c r="U766" s="45"/>
      <c r="V766" s="45"/>
      <c r="W766" s="45"/>
      <c r="X766" s="45"/>
      <c r="Y766" s="45"/>
      <c r="Z766" s="45"/>
    </row>
    <row r="767" spans="1:26">
      <c r="A767" s="45"/>
      <c r="B767" s="45"/>
      <c r="C767" s="45"/>
      <c r="D767" s="45"/>
      <c r="E767" s="45"/>
      <c r="F767" s="45"/>
      <c r="G767" s="45"/>
      <c r="H767" s="45"/>
      <c r="I767" s="45"/>
      <c r="J767" s="45"/>
      <c r="K767" s="45"/>
      <c r="L767" s="45"/>
      <c r="M767" s="45"/>
      <c r="N767" s="44"/>
      <c r="O767" s="45"/>
      <c r="P767" s="45"/>
      <c r="Q767" s="45"/>
      <c r="R767" s="45"/>
      <c r="S767" s="45"/>
      <c r="T767" s="45"/>
      <c r="U767" s="45"/>
      <c r="V767" s="45"/>
      <c r="W767" s="45"/>
      <c r="X767" s="45"/>
      <c r="Y767" s="45"/>
      <c r="Z767" s="45"/>
    </row>
    <row r="768" spans="1:26">
      <c r="A768" s="45"/>
      <c r="B768" s="45"/>
      <c r="C768" s="45"/>
      <c r="D768" s="45"/>
      <c r="E768" s="45"/>
      <c r="F768" s="45"/>
      <c r="G768" s="45"/>
      <c r="H768" s="45"/>
      <c r="I768" s="45"/>
      <c r="J768" s="45"/>
      <c r="K768" s="45"/>
      <c r="L768" s="45"/>
      <c r="M768" s="45"/>
      <c r="N768" s="44"/>
      <c r="O768" s="45"/>
      <c r="P768" s="45"/>
      <c r="Q768" s="45"/>
      <c r="R768" s="45"/>
      <c r="S768" s="45"/>
      <c r="T768" s="45"/>
      <c r="U768" s="45"/>
      <c r="V768" s="45"/>
      <c r="W768" s="45"/>
      <c r="X768" s="45"/>
      <c r="Y768" s="45"/>
      <c r="Z768" s="45"/>
    </row>
    <row r="769" spans="1:26">
      <c r="A769" s="45"/>
      <c r="B769" s="45"/>
      <c r="C769" s="45"/>
      <c r="D769" s="45"/>
      <c r="E769" s="45"/>
      <c r="F769" s="45"/>
      <c r="G769" s="45"/>
      <c r="H769" s="45"/>
      <c r="I769" s="45"/>
      <c r="J769" s="45"/>
      <c r="K769" s="45"/>
      <c r="L769" s="45"/>
      <c r="M769" s="45"/>
      <c r="N769" s="44"/>
      <c r="O769" s="45"/>
      <c r="P769" s="45"/>
      <c r="Q769" s="45"/>
      <c r="R769" s="45"/>
      <c r="S769" s="45"/>
      <c r="T769" s="45"/>
      <c r="U769" s="45"/>
      <c r="V769" s="45"/>
      <c r="W769" s="45"/>
      <c r="X769" s="45"/>
      <c r="Y769" s="45"/>
      <c r="Z769" s="45"/>
    </row>
    <row r="770" spans="1:26">
      <c r="A770" s="45"/>
      <c r="B770" s="45"/>
      <c r="C770" s="45"/>
      <c r="D770" s="45"/>
      <c r="E770" s="45"/>
      <c r="F770" s="45"/>
      <c r="G770" s="45"/>
      <c r="H770" s="45"/>
      <c r="I770" s="45"/>
      <c r="J770" s="45"/>
      <c r="K770" s="45"/>
      <c r="L770" s="45"/>
      <c r="M770" s="45"/>
      <c r="N770" s="44"/>
      <c r="O770" s="45"/>
      <c r="P770" s="45"/>
      <c r="Q770" s="45"/>
      <c r="R770" s="45"/>
      <c r="S770" s="45"/>
      <c r="T770" s="45"/>
      <c r="U770" s="45"/>
      <c r="V770" s="45"/>
      <c r="W770" s="45"/>
      <c r="X770" s="45"/>
      <c r="Y770" s="45"/>
      <c r="Z770" s="45"/>
    </row>
    <row r="771" spans="1:26">
      <c r="A771" s="45"/>
      <c r="B771" s="45"/>
      <c r="C771" s="45"/>
      <c r="D771" s="45"/>
      <c r="E771" s="45"/>
      <c r="F771" s="45"/>
      <c r="G771" s="45"/>
      <c r="H771" s="45"/>
      <c r="I771" s="45"/>
      <c r="J771" s="45"/>
      <c r="K771" s="45"/>
      <c r="L771" s="45"/>
      <c r="M771" s="45"/>
      <c r="N771" s="44"/>
      <c r="O771" s="45"/>
      <c r="P771" s="45"/>
      <c r="Q771" s="45"/>
      <c r="R771" s="45"/>
      <c r="S771" s="45"/>
      <c r="T771" s="45"/>
      <c r="U771" s="45"/>
      <c r="V771" s="45"/>
      <c r="W771" s="45"/>
      <c r="X771" s="45"/>
      <c r="Y771" s="45"/>
      <c r="Z771" s="45"/>
    </row>
    <row r="772" spans="1:26">
      <c r="A772" s="45"/>
      <c r="B772" s="45"/>
      <c r="C772" s="45"/>
      <c r="D772" s="45"/>
      <c r="E772" s="45"/>
      <c r="F772" s="45"/>
      <c r="G772" s="45"/>
      <c r="H772" s="45"/>
      <c r="I772" s="45"/>
      <c r="J772" s="45"/>
      <c r="K772" s="45"/>
      <c r="L772" s="45"/>
      <c r="M772" s="45"/>
      <c r="N772" s="44"/>
      <c r="O772" s="45"/>
      <c r="P772" s="45"/>
      <c r="Q772" s="45"/>
      <c r="R772" s="45"/>
      <c r="S772" s="45"/>
      <c r="T772" s="45"/>
      <c r="U772" s="45"/>
      <c r="V772" s="45"/>
      <c r="W772" s="45"/>
      <c r="X772" s="45"/>
      <c r="Y772" s="45"/>
      <c r="Z772" s="45"/>
    </row>
    <row r="773" spans="1:26">
      <c r="A773" s="45"/>
      <c r="B773" s="45"/>
      <c r="C773" s="45"/>
      <c r="D773" s="45"/>
      <c r="E773" s="45"/>
      <c r="F773" s="45"/>
      <c r="G773" s="45"/>
      <c r="H773" s="45"/>
      <c r="I773" s="45"/>
      <c r="J773" s="45"/>
      <c r="K773" s="45"/>
      <c r="L773" s="45"/>
      <c r="M773" s="45"/>
      <c r="N773" s="44"/>
      <c r="O773" s="45"/>
      <c r="P773" s="45"/>
      <c r="Q773" s="45"/>
      <c r="R773" s="45"/>
      <c r="S773" s="45"/>
      <c r="T773" s="45"/>
      <c r="U773" s="45"/>
      <c r="V773" s="45"/>
      <c r="W773" s="45"/>
      <c r="X773" s="45"/>
      <c r="Y773" s="45"/>
      <c r="Z773" s="45"/>
    </row>
    <row r="774" spans="1:26">
      <c r="A774" s="45"/>
      <c r="B774" s="45"/>
      <c r="C774" s="45"/>
      <c r="D774" s="45"/>
      <c r="E774" s="45"/>
      <c r="F774" s="45"/>
      <c r="G774" s="45"/>
      <c r="H774" s="45"/>
      <c r="I774" s="45"/>
      <c r="J774" s="45"/>
      <c r="K774" s="45"/>
      <c r="L774" s="45"/>
      <c r="M774" s="45"/>
      <c r="N774" s="44"/>
      <c r="O774" s="45"/>
      <c r="P774" s="45"/>
      <c r="Q774" s="45"/>
      <c r="R774" s="45"/>
      <c r="S774" s="45"/>
      <c r="T774" s="45"/>
      <c r="U774" s="45"/>
      <c r="V774" s="45"/>
      <c r="W774" s="45"/>
      <c r="X774" s="45"/>
      <c r="Y774" s="45"/>
      <c r="Z774" s="45"/>
    </row>
    <row r="775" spans="1:26">
      <c r="A775" s="45"/>
      <c r="B775" s="45"/>
      <c r="C775" s="45"/>
      <c r="D775" s="45"/>
      <c r="E775" s="45"/>
      <c r="F775" s="45"/>
      <c r="G775" s="45"/>
      <c r="H775" s="45"/>
      <c r="I775" s="45"/>
      <c r="J775" s="45"/>
      <c r="K775" s="45"/>
      <c r="L775" s="45"/>
      <c r="M775" s="45"/>
      <c r="N775" s="44"/>
      <c r="O775" s="45"/>
      <c r="P775" s="45"/>
      <c r="Q775" s="45"/>
      <c r="R775" s="45"/>
      <c r="S775" s="45"/>
      <c r="T775" s="45"/>
      <c r="U775" s="45"/>
      <c r="V775" s="45"/>
      <c r="W775" s="45"/>
      <c r="X775" s="45"/>
      <c r="Y775" s="45"/>
      <c r="Z775" s="45"/>
    </row>
    <row r="776" spans="1:26">
      <c r="A776" s="45"/>
      <c r="B776" s="45"/>
      <c r="C776" s="45"/>
      <c r="D776" s="45"/>
      <c r="E776" s="45"/>
      <c r="F776" s="45"/>
      <c r="G776" s="45"/>
      <c r="H776" s="45"/>
      <c r="I776" s="45"/>
      <c r="J776" s="45"/>
      <c r="K776" s="45"/>
      <c r="L776" s="45"/>
      <c r="M776" s="45"/>
      <c r="N776" s="44"/>
      <c r="O776" s="45"/>
      <c r="P776" s="45"/>
      <c r="Q776" s="45"/>
      <c r="R776" s="45"/>
      <c r="S776" s="45"/>
      <c r="T776" s="45"/>
      <c r="U776" s="45"/>
      <c r="V776" s="45"/>
      <c r="W776" s="45"/>
      <c r="X776" s="45"/>
      <c r="Y776" s="45"/>
      <c r="Z776" s="45"/>
    </row>
    <row r="777" spans="1:26">
      <c r="A777" s="45"/>
      <c r="B777" s="45"/>
      <c r="C777" s="45"/>
      <c r="D777" s="45"/>
      <c r="E777" s="45"/>
      <c r="F777" s="45"/>
      <c r="G777" s="45"/>
      <c r="H777" s="45"/>
      <c r="I777" s="45"/>
      <c r="J777" s="45"/>
      <c r="K777" s="45"/>
      <c r="L777" s="45"/>
      <c r="M777" s="45"/>
      <c r="N777" s="44"/>
      <c r="O777" s="45"/>
      <c r="P777" s="45"/>
      <c r="Q777" s="45"/>
      <c r="R777" s="45"/>
      <c r="S777" s="45"/>
      <c r="T777" s="45"/>
      <c r="U777" s="45"/>
      <c r="V777" s="45"/>
      <c r="W777" s="45"/>
      <c r="X777" s="45"/>
      <c r="Y777" s="45"/>
      <c r="Z777" s="45"/>
    </row>
    <row r="778" spans="1:26">
      <c r="A778" s="45"/>
      <c r="B778" s="45"/>
      <c r="C778" s="45"/>
      <c r="D778" s="45"/>
      <c r="E778" s="45"/>
      <c r="F778" s="45"/>
      <c r="G778" s="45"/>
      <c r="H778" s="45"/>
      <c r="I778" s="45"/>
      <c r="J778" s="45"/>
      <c r="K778" s="45"/>
      <c r="L778" s="45"/>
      <c r="M778" s="45"/>
      <c r="N778" s="44"/>
      <c r="O778" s="45"/>
      <c r="P778" s="45"/>
      <c r="Q778" s="45"/>
      <c r="R778" s="45"/>
      <c r="S778" s="45"/>
      <c r="T778" s="45"/>
      <c r="U778" s="45"/>
      <c r="V778" s="45"/>
      <c r="W778" s="45"/>
      <c r="X778" s="45"/>
      <c r="Y778" s="45"/>
      <c r="Z778" s="45"/>
    </row>
    <row r="779" spans="1:26">
      <c r="A779" s="45"/>
      <c r="B779" s="45"/>
      <c r="C779" s="45"/>
      <c r="D779" s="45"/>
      <c r="E779" s="45"/>
      <c r="F779" s="45"/>
      <c r="G779" s="45"/>
      <c r="H779" s="45"/>
      <c r="I779" s="45"/>
      <c r="J779" s="45"/>
      <c r="K779" s="45"/>
      <c r="L779" s="45"/>
      <c r="M779" s="45"/>
      <c r="N779" s="44"/>
      <c r="O779" s="45"/>
      <c r="P779" s="45"/>
      <c r="Q779" s="45"/>
      <c r="R779" s="45"/>
      <c r="S779" s="45"/>
      <c r="T779" s="45"/>
      <c r="U779" s="45"/>
      <c r="V779" s="45"/>
      <c r="W779" s="45"/>
      <c r="X779" s="45"/>
      <c r="Y779" s="45"/>
      <c r="Z779" s="45"/>
    </row>
    <row r="780" spans="1:26">
      <c r="A780" s="45"/>
      <c r="B780" s="45"/>
      <c r="C780" s="45"/>
      <c r="D780" s="45"/>
      <c r="E780" s="45"/>
      <c r="F780" s="45"/>
      <c r="G780" s="45"/>
      <c r="H780" s="45"/>
      <c r="I780" s="45"/>
      <c r="J780" s="45"/>
      <c r="K780" s="45"/>
      <c r="L780" s="45"/>
      <c r="M780" s="45"/>
      <c r="N780" s="44"/>
      <c r="O780" s="45"/>
      <c r="P780" s="45"/>
      <c r="Q780" s="45"/>
      <c r="R780" s="45"/>
      <c r="S780" s="45"/>
      <c r="T780" s="45"/>
      <c r="U780" s="45"/>
      <c r="V780" s="45"/>
      <c r="W780" s="45"/>
      <c r="X780" s="45"/>
      <c r="Y780" s="45"/>
      <c r="Z780" s="45"/>
    </row>
    <row r="781" spans="1:26">
      <c r="A781" s="45"/>
      <c r="B781" s="45"/>
      <c r="C781" s="45"/>
      <c r="D781" s="45"/>
      <c r="E781" s="45"/>
      <c r="F781" s="45"/>
      <c r="G781" s="45"/>
      <c r="H781" s="45"/>
      <c r="I781" s="45"/>
      <c r="J781" s="45"/>
      <c r="K781" s="45"/>
      <c r="L781" s="45"/>
      <c r="M781" s="45"/>
      <c r="N781" s="44"/>
      <c r="O781" s="45"/>
      <c r="P781" s="45"/>
      <c r="Q781" s="45"/>
      <c r="R781" s="45"/>
      <c r="S781" s="45"/>
      <c r="T781" s="45"/>
      <c r="U781" s="45"/>
      <c r="V781" s="45"/>
      <c r="W781" s="45"/>
      <c r="X781" s="45"/>
      <c r="Y781" s="45"/>
      <c r="Z781" s="45"/>
    </row>
    <row r="782" spans="1:26">
      <c r="A782" s="45"/>
      <c r="B782" s="45"/>
      <c r="C782" s="45"/>
      <c r="D782" s="45"/>
      <c r="E782" s="45"/>
      <c r="F782" s="45"/>
      <c r="G782" s="45"/>
      <c r="H782" s="45"/>
      <c r="I782" s="45"/>
      <c r="J782" s="45"/>
      <c r="K782" s="45"/>
      <c r="L782" s="45"/>
      <c r="M782" s="45"/>
      <c r="N782" s="44"/>
      <c r="O782" s="45"/>
      <c r="P782" s="45"/>
      <c r="Q782" s="45"/>
      <c r="R782" s="45"/>
      <c r="S782" s="45"/>
      <c r="T782" s="45"/>
      <c r="U782" s="45"/>
      <c r="V782" s="45"/>
      <c r="W782" s="45"/>
      <c r="X782" s="45"/>
      <c r="Y782" s="45"/>
      <c r="Z782" s="45"/>
    </row>
    <row r="783" spans="1:26">
      <c r="A783" s="45"/>
      <c r="B783" s="45"/>
      <c r="C783" s="45"/>
      <c r="D783" s="45"/>
      <c r="E783" s="45"/>
      <c r="F783" s="45"/>
      <c r="G783" s="45"/>
      <c r="H783" s="45"/>
      <c r="I783" s="45"/>
      <c r="J783" s="45"/>
      <c r="K783" s="45"/>
      <c r="L783" s="45"/>
      <c r="M783" s="45"/>
      <c r="N783" s="44"/>
      <c r="O783" s="45"/>
      <c r="P783" s="45"/>
      <c r="Q783" s="45"/>
      <c r="R783" s="45"/>
      <c r="S783" s="45"/>
      <c r="T783" s="45"/>
      <c r="U783" s="45"/>
      <c r="V783" s="45"/>
      <c r="W783" s="45"/>
      <c r="X783" s="45"/>
      <c r="Y783" s="45"/>
      <c r="Z783" s="45"/>
    </row>
    <row r="784" spans="1:26">
      <c r="A784" s="45"/>
      <c r="B784" s="45"/>
      <c r="C784" s="45"/>
      <c r="D784" s="45"/>
      <c r="E784" s="45"/>
      <c r="F784" s="45"/>
      <c r="G784" s="45"/>
      <c r="H784" s="45"/>
      <c r="I784" s="45"/>
      <c r="J784" s="45"/>
      <c r="K784" s="45"/>
      <c r="L784" s="45"/>
      <c r="M784" s="45"/>
      <c r="N784" s="44"/>
      <c r="O784" s="45"/>
      <c r="P784" s="45"/>
      <c r="Q784" s="45"/>
      <c r="R784" s="45"/>
      <c r="S784" s="45"/>
      <c r="T784" s="45"/>
      <c r="U784" s="45"/>
      <c r="V784" s="45"/>
      <c r="W784" s="45"/>
      <c r="X784" s="45"/>
      <c r="Y784" s="45"/>
      <c r="Z784" s="45"/>
    </row>
    <row r="785" spans="1:26">
      <c r="A785" s="45"/>
      <c r="B785" s="45"/>
      <c r="C785" s="45"/>
      <c r="D785" s="45"/>
      <c r="E785" s="45"/>
      <c r="F785" s="45"/>
      <c r="G785" s="45"/>
      <c r="H785" s="45"/>
      <c r="I785" s="45"/>
      <c r="J785" s="45"/>
      <c r="K785" s="45"/>
      <c r="L785" s="45"/>
      <c r="M785" s="45"/>
      <c r="N785" s="44"/>
      <c r="O785" s="45"/>
      <c r="P785" s="45"/>
      <c r="Q785" s="45"/>
      <c r="R785" s="45"/>
      <c r="S785" s="45"/>
      <c r="T785" s="45"/>
      <c r="U785" s="45"/>
      <c r="V785" s="45"/>
      <c r="W785" s="45"/>
      <c r="X785" s="45"/>
      <c r="Y785" s="45"/>
      <c r="Z785" s="45"/>
    </row>
    <row r="786" spans="1:26">
      <c r="A786" s="45"/>
      <c r="B786" s="45"/>
      <c r="C786" s="45"/>
      <c r="D786" s="45"/>
      <c r="E786" s="45"/>
      <c r="F786" s="45"/>
      <c r="G786" s="45"/>
      <c r="H786" s="45"/>
      <c r="I786" s="45"/>
      <c r="J786" s="45"/>
      <c r="K786" s="45"/>
      <c r="L786" s="45"/>
      <c r="M786" s="45"/>
      <c r="N786" s="44"/>
      <c r="O786" s="45"/>
      <c r="P786" s="45"/>
      <c r="Q786" s="45"/>
      <c r="R786" s="45"/>
      <c r="S786" s="45"/>
      <c r="T786" s="45"/>
      <c r="U786" s="45"/>
      <c r="V786" s="45"/>
      <c r="W786" s="45"/>
      <c r="X786" s="45"/>
      <c r="Y786" s="45"/>
      <c r="Z786" s="45"/>
    </row>
    <row r="787" spans="1:26">
      <c r="A787" s="45"/>
      <c r="B787" s="45"/>
      <c r="C787" s="45"/>
      <c r="D787" s="45"/>
      <c r="E787" s="45"/>
      <c r="F787" s="45"/>
      <c r="G787" s="45"/>
      <c r="H787" s="45"/>
      <c r="I787" s="45"/>
      <c r="J787" s="45"/>
      <c r="K787" s="45"/>
      <c r="L787" s="45"/>
      <c r="M787" s="45"/>
      <c r="N787" s="44"/>
      <c r="O787" s="45"/>
      <c r="P787" s="45"/>
      <c r="Q787" s="45"/>
      <c r="R787" s="45"/>
      <c r="S787" s="45"/>
      <c r="T787" s="45"/>
      <c r="U787" s="45"/>
      <c r="V787" s="45"/>
      <c r="W787" s="45"/>
      <c r="X787" s="45"/>
      <c r="Y787" s="45"/>
      <c r="Z787" s="45"/>
    </row>
    <row r="788" spans="1:26">
      <c r="A788" s="45"/>
      <c r="B788" s="45"/>
      <c r="C788" s="45"/>
      <c r="D788" s="45"/>
      <c r="E788" s="45"/>
      <c r="F788" s="45"/>
      <c r="G788" s="45"/>
      <c r="H788" s="45"/>
      <c r="I788" s="45"/>
      <c r="J788" s="45"/>
      <c r="K788" s="45"/>
      <c r="L788" s="45"/>
      <c r="M788" s="45"/>
      <c r="N788" s="44"/>
      <c r="O788" s="45"/>
      <c r="P788" s="45"/>
      <c r="Q788" s="45"/>
      <c r="R788" s="45"/>
      <c r="S788" s="45"/>
      <c r="T788" s="45"/>
      <c r="U788" s="45"/>
      <c r="V788" s="45"/>
      <c r="W788" s="45"/>
      <c r="X788" s="45"/>
      <c r="Y788" s="45"/>
      <c r="Z788" s="45"/>
    </row>
    <row r="789" spans="1:26">
      <c r="A789" s="45"/>
      <c r="B789" s="45"/>
      <c r="C789" s="45"/>
      <c r="D789" s="45"/>
      <c r="E789" s="45"/>
      <c r="F789" s="45"/>
      <c r="G789" s="45"/>
      <c r="H789" s="45"/>
      <c r="I789" s="45"/>
      <c r="J789" s="45"/>
      <c r="K789" s="45"/>
      <c r="L789" s="45"/>
      <c r="M789" s="45"/>
      <c r="N789" s="44"/>
      <c r="O789" s="45"/>
      <c r="P789" s="45"/>
      <c r="Q789" s="45"/>
      <c r="R789" s="45"/>
      <c r="S789" s="45"/>
      <c r="T789" s="45"/>
      <c r="U789" s="45"/>
      <c r="V789" s="45"/>
      <c r="W789" s="45"/>
      <c r="X789" s="45"/>
      <c r="Y789" s="45"/>
      <c r="Z789" s="45"/>
    </row>
    <row r="790" spans="1:26">
      <c r="A790" s="45"/>
      <c r="B790" s="45"/>
      <c r="C790" s="45"/>
      <c r="D790" s="45"/>
      <c r="E790" s="45"/>
      <c r="F790" s="45"/>
      <c r="G790" s="45"/>
      <c r="H790" s="45"/>
      <c r="I790" s="45"/>
      <c r="J790" s="45"/>
      <c r="K790" s="45"/>
      <c r="L790" s="45"/>
      <c r="M790" s="45"/>
      <c r="N790" s="44"/>
      <c r="O790" s="45"/>
      <c r="P790" s="45"/>
      <c r="Q790" s="45"/>
      <c r="R790" s="45"/>
      <c r="S790" s="45"/>
      <c r="T790" s="45"/>
      <c r="U790" s="45"/>
      <c r="V790" s="45"/>
      <c r="W790" s="45"/>
      <c r="X790" s="45"/>
      <c r="Y790" s="45"/>
      <c r="Z790" s="45"/>
    </row>
    <row r="791" spans="1:26">
      <c r="A791" s="45"/>
      <c r="B791" s="45"/>
      <c r="C791" s="45"/>
      <c r="D791" s="45"/>
      <c r="E791" s="45"/>
      <c r="F791" s="45"/>
      <c r="G791" s="45"/>
      <c r="H791" s="45"/>
      <c r="I791" s="45"/>
      <c r="J791" s="45"/>
      <c r="K791" s="45"/>
      <c r="L791" s="45"/>
      <c r="M791" s="45"/>
      <c r="N791" s="44"/>
      <c r="O791" s="45"/>
      <c r="P791" s="45"/>
      <c r="Q791" s="45"/>
      <c r="R791" s="45"/>
      <c r="S791" s="45"/>
      <c r="T791" s="45"/>
      <c r="U791" s="45"/>
      <c r="V791" s="45"/>
      <c r="W791" s="45"/>
      <c r="X791" s="45"/>
      <c r="Y791" s="45"/>
      <c r="Z791" s="45"/>
    </row>
    <row r="792" spans="1:26">
      <c r="A792" s="45"/>
      <c r="B792" s="45"/>
      <c r="C792" s="45"/>
      <c r="D792" s="45"/>
      <c r="E792" s="45"/>
      <c r="F792" s="45"/>
      <c r="G792" s="45"/>
      <c r="H792" s="45"/>
      <c r="I792" s="45"/>
      <c r="J792" s="45"/>
      <c r="K792" s="45"/>
      <c r="L792" s="45"/>
      <c r="M792" s="45"/>
      <c r="N792" s="44"/>
      <c r="O792" s="45"/>
      <c r="P792" s="45"/>
      <c r="Q792" s="45"/>
      <c r="R792" s="45"/>
      <c r="S792" s="45"/>
      <c r="T792" s="45"/>
      <c r="U792" s="45"/>
      <c r="V792" s="45"/>
      <c r="W792" s="45"/>
      <c r="X792" s="45"/>
      <c r="Y792" s="45"/>
      <c r="Z792" s="45"/>
    </row>
    <row r="793" spans="1:26">
      <c r="A793" s="45"/>
      <c r="B793" s="45"/>
      <c r="C793" s="45"/>
      <c r="D793" s="45"/>
      <c r="E793" s="45"/>
      <c r="F793" s="45"/>
      <c r="G793" s="45"/>
      <c r="H793" s="45"/>
      <c r="I793" s="45"/>
      <c r="J793" s="45"/>
      <c r="K793" s="45"/>
      <c r="L793" s="45"/>
      <c r="M793" s="45"/>
      <c r="N793" s="44"/>
      <c r="O793" s="45"/>
      <c r="P793" s="45"/>
      <c r="Q793" s="45"/>
      <c r="R793" s="45"/>
      <c r="S793" s="45"/>
      <c r="T793" s="45"/>
      <c r="U793" s="45"/>
      <c r="V793" s="45"/>
      <c r="W793" s="45"/>
      <c r="X793" s="45"/>
      <c r="Y793" s="45"/>
      <c r="Z793" s="45"/>
    </row>
    <row r="794" spans="1:26">
      <c r="A794" s="45"/>
      <c r="B794" s="45"/>
      <c r="C794" s="45"/>
      <c r="D794" s="45"/>
      <c r="E794" s="45"/>
      <c r="F794" s="45"/>
      <c r="G794" s="45"/>
      <c r="H794" s="45"/>
      <c r="I794" s="45"/>
      <c r="J794" s="45"/>
      <c r="K794" s="45"/>
      <c r="L794" s="45"/>
      <c r="M794" s="45"/>
      <c r="N794" s="44"/>
      <c r="O794" s="45"/>
      <c r="P794" s="45"/>
      <c r="Q794" s="45"/>
      <c r="R794" s="45"/>
      <c r="S794" s="45"/>
      <c r="T794" s="45"/>
      <c r="U794" s="45"/>
      <c r="V794" s="45"/>
      <c r="W794" s="45"/>
      <c r="X794" s="45"/>
      <c r="Y794" s="45"/>
      <c r="Z794" s="45"/>
    </row>
    <row r="795" spans="1:26">
      <c r="A795" s="45"/>
      <c r="B795" s="45"/>
      <c r="C795" s="45"/>
      <c r="D795" s="45"/>
      <c r="E795" s="45"/>
      <c r="F795" s="45"/>
      <c r="G795" s="45"/>
      <c r="H795" s="45"/>
      <c r="I795" s="45"/>
      <c r="J795" s="45"/>
      <c r="K795" s="45"/>
      <c r="L795" s="45"/>
      <c r="M795" s="45"/>
      <c r="N795" s="44"/>
      <c r="O795" s="45"/>
      <c r="P795" s="45"/>
      <c r="Q795" s="45"/>
      <c r="R795" s="45"/>
      <c r="S795" s="45"/>
      <c r="T795" s="45"/>
      <c r="U795" s="45"/>
      <c r="V795" s="45"/>
      <c r="W795" s="45"/>
      <c r="X795" s="45"/>
      <c r="Y795" s="45"/>
      <c r="Z795" s="45"/>
    </row>
    <row r="796" spans="1:26">
      <c r="A796" s="45"/>
      <c r="B796" s="45"/>
      <c r="C796" s="45"/>
      <c r="D796" s="45"/>
      <c r="E796" s="45"/>
      <c r="F796" s="45"/>
      <c r="G796" s="45"/>
      <c r="H796" s="45"/>
      <c r="I796" s="45"/>
      <c r="J796" s="45"/>
      <c r="K796" s="45"/>
      <c r="L796" s="45"/>
      <c r="M796" s="45"/>
      <c r="N796" s="44"/>
      <c r="O796" s="45"/>
      <c r="P796" s="45"/>
      <c r="Q796" s="45"/>
      <c r="R796" s="45"/>
      <c r="S796" s="45"/>
      <c r="T796" s="45"/>
      <c r="U796" s="45"/>
      <c r="V796" s="45"/>
      <c r="W796" s="45"/>
      <c r="X796" s="45"/>
      <c r="Y796" s="45"/>
      <c r="Z796" s="45"/>
    </row>
    <row r="797" spans="1:26">
      <c r="A797" s="45"/>
      <c r="B797" s="45"/>
      <c r="C797" s="45"/>
      <c r="D797" s="45"/>
      <c r="E797" s="45"/>
      <c r="F797" s="45"/>
      <c r="G797" s="45"/>
      <c r="H797" s="45"/>
      <c r="I797" s="45"/>
      <c r="J797" s="45"/>
      <c r="K797" s="45"/>
      <c r="L797" s="45"/>
      <c r="M797" s="45"/>
      <c r="N797" s="44"/>
      <c r="O797" s="45"/>
      <c r="P797" s="45"/>
      <c r="Q797" s="45"/>
      <c r="R797" s="45"/>
      <c r="S797" s="45"/>
      <c r="T797" s="45"/>
      <c r="U797" s="45"/>
      <c r="V797" s="45"/>
      <c r="W797" s="45"/>
      <c r="X797" s="45"/>
      <c r="Y797" s="45"/>
      <c r="Z797" s="45"/>
    </row>
    <row r="798" spans="1:26">
      <c r="A798" s="45"/>
      <c r="B798" s="45"/>
      <c r="C798" s="45"/>
      <c r="D798" s="45"/>
      <c r="E798" s="45"/>
      <c r="F798" s="45"/>
      <c r="G798" s="45"/>
      <c r="H798" s="45"/>
      <c r="I798" s="45"/>
      <c r="J798" s="45"/>
      <c r="K798" s="45"/>
      <c r="L798" s="45"/>
      <c r="M798" s="45"/>
      <c r="N798" s="44"/>
      <c r="O798" s="45"/>
      <c r="P798" s="45"/>
      <c r="Q798" s="45"/>
      <c r="R798" s="45"/>
      <c r="S798" s="45"/>
      <c r="T798" s="45"/>
      <c r="U798" s="45"/>
      <c r="V798" s="45"/>
      <c r="W798" s="45"/>
      <c r="X798" s="45"/>
      <c r="Y798" s="45"/>
      <c r="Z798" s="45"/>
    </row>
    <row r="799" spans="1:26">
      <c r="A799" s="45"/>
      <c r="B799" s="45"/>
      <c r="C799" s="45"/>
      <c r="D799" s="45"/>
      <c r="E799" s="45"/>
      <c r="F799" s="45"/>
      <c r="G799" s="45"/>
      <c r="H799" s="45"/>
      <c r="I799" s="45"/>
      <c r="J799" s="45"/>
      <c r="K799" s="45"/>
      <c r="L799" s="45"/>
      <c r="M799" s="45"/>
      <c r="N799" s="44"/>
      <c r="O799" s="45"/>
      <c r="P799" s="45"/>
      <c r="Q799" s="45"/>
      <c r="R799" s="45"/>
      <c r="S799" s="45"/>
      <c r="T799" s="45"/>
      <c r="U799" s="45"/>
      <c r="V799" s="45"/>
      <c r="W799" s="45"/>
      <c r="X799" s="45"/>
      <c r="Y799" s="45"/>
      <c r="Z799" s="45"/>
    </row>
    <row r="800" spans="1:26">
      <c r="A800" s="45"/>
      <c r="B800" s="45"/>
      <c r="C800" s="45"/>
      <c r="D800" s="45"/>
      <c r="E800" s="45"/>
      <c r="F800" s="45"/>
      <c r="G800" s="45"/>
      <c r="H800" s="45"/>
      <c r="I800" s="45"/>
      <c r="J800" s="45"/>
      <c r="K800" s="45"/>
      <c r="L800" s="45"/>
      <c r="M800" s="45"/>
      <c r="N800" s="44"/>
      <c r="O800" s="45"/>
      <c r="P800" s="45"/>
      <c r="Q800" s="45"/>
      <c r="R800" s="45"/>
      <c r="S800" s="45"/>
      <c r="T800" s="45"/>
      <c r="U800" s="45"/>
      <c r="V800" s="45"/>
      <c r="W800" s="45"/>
      <c r="X800" s="45"/>
      <c r="Y800" s="45"/>
      <c r="Z800" s="45"/>
    </row>
    <row r="801" spans="1:26">
      <c r="A801" s="45"/>
      <c r="B801" s="45"/>
      <c r="C801" s="45"/>
      <c r="D801" s="45"/>
      <c r="E801" s="45"/>
      <c r="F801" s="45"/>
      <c r="G801" s="45"/>
      <c r="H801" s="45"/>
      <c r="I801" s="45"/>
      <c r="J801" s="45"/>
      <c r="K801" s="45"/>
      <c r="L801" s="45"/>
      <c r="M801" s="45"/>
      <c r="N801" s="44"/>
      <c r="O801" s="45"/>
      <c r="P801" s="45"/>
      <c r="Q801" s="45"/>
      <c r="R801" s="45"/>
      <c r="S801" s="45"/>
      <c r="T801" s="45"/>
      <c r="U801" s="45"/>
      <c r="V801" s="45"/>
      <c r="W801" s="45"/>
      <c r="X801" s="45"/>
      <c r="Y801" s="45"/>
      <c r="Z801" s="45"/>
    </row>
    <row r="802" spans="1:26">
      <c r="A802" s="45"/>
      <c r="B802" s="45"/>
      <c r="C802" s="45"/>
      <c r="D802" s="45"/>
      <c r="E802" s="45"/>
      <c r="F802" s="45"/>
      <c r="G802" s="45"/>
      <c r="H802" s="45"/>
      <c r="I802" s="45"/>
      <c r="J802" s="45"/>
      <c r="K802" s="45"/>
      <c r="L802" s="45"/>
      <c r="M802" s="45"/>
      <c r="N802" s="44"/>
      <c r="O802" s="45"/>
      <c r="P802" s="45"/>
      <c r="Q802" s="45"/>
      <c r="R802" s="45"/>
      <c r="S802" s="45"/>
      <c r="T802" s="45"/>
      <c r="U802" s="45"/>
      <c r="V802" s="45"/>
      <c r="W802" s="45"/>
      <c r="X802" s="45"/>
      <c r="Y802" s="45"/>
      <c r="Z802" s="45"/>
    </row>
    <row r="803" spans="1:26">
      <c r="A803" s="45"/>
      <c r="B803" s="45"/>
      <c r="C803" s="45"/>
      <c r="D803" s="45"/>
      <c r="E803" s="45"/>
      <c r="F803" s="45"/>
      <c r="G803" s="45"/>
      <c r="H803" s="45"/>
      <c r="I803" s="45"/>
      <c r="J803" s="45"/>
      <c r="K803" s="45"/>
      <c r="L803" s="45"/>
      <c r="M803" s="45"/>
      <c r="N803" s="44"/>
      <c r="O803" s="45"/>
      <c r="P803" s="45"/>
      <c r="Q803" s="45"/>
      <c r="R803" s="45"/>
      <c r="S803" s="45"/>
      <c r="T803" s="45"/>
      <c r="U803" s="45"/>
      <c r="V803" s="45"/>
      <c r="W803" s="45"/>
      <c r="X803" s="45"/>
      <c r="Y803" s="45"/>
      <c r="Z803" s="45"/>
    </row>
    <row r="804" spans="1:26">
      <c r="A804" s="45"/>
      <c r="B804" s="45"/>
      <c r="C804" s="45"/>
      <c r="D804" s="45"/>
      <c r="E804" s="45"/>
      <c r="F804" s="45"/>
      <c r="G804" s="45"/>
      <c r="H804" s="45"/>
      <c r="I804" s="45"/>
      <c r="J804" s="45"/>
      <c r="K804" s="45"/>
      <c r="L804" s="45"/>
      <c r="M804" s="45"/>
      <c r="N804" s="44"/>
      <c r="O804" s="45"/>
      <c r="P804" s="45"/>
      <c r="Q804" s="45"/>
      <c r="R804" s="45"/>
      <c r="S804" s="45"/>
      <c r="T804" s="45"/>
      <c r="U804" s="45"/>
      <c r="V804" s="45"/>
      <c r="W804" s="45"/>
      <c r="X804" s="45"/>
      <c r="Y804" s="45"/>
      <c r="Z804" s="45"/>
    </row>
    <row r="805" spans="1:26">
      <c r="A805" s="45"/>
      <c r="B805" s="45"/>
      <c r="C805" s="45"/>
      <c r="D805" s="45"/>
      <c r="E805" s="45"/>
      <c r="F805" s="45"/>
      <c r="G805" s="45"/>
      <c r="H805" s="45"/>
      <c r="I805" s="45"/>
      <c r="J805" s="45"/>
      <c r="K805" s="45"/>
      <c r="L805" s="45"/>
      <c r="M805" s="45"/>
      <c r="N805" s="44"/>
      <c r="O805" s="45"/>
      <c r="P805" s="45"/>
      <c r="Q805" s="45"/>
      <c r="R805" s="45"/>
      <c r="S805" s="45"/>
      <c r="T805" s="45"/>
      <c r="U805" s="45"/>
      <c r="V805" s="45"/>
      <c r="W805" s="45"/>
      <c r="X805" s="45"/>
      <c r="Y805" s="45"/>
      <c r="Z805" s="45"/>
    </row>
    <row r="806" spans="1:26">
      <c r="A806" s="45"/>
      <c r="B806" s="45"/>
      <c r="C806" s="45"/>
      <c r="D806" s="45"/>
      <c r="E806" s="45"/>
      <c r="F806" s="45"/>
      <c r="G806" s="45"/>
      <c r="H806" s="45"/>
      <c r="I806" s="45"/>
      <c r="J806" s="45"/>
      <c r="K806" s="45"/>
      <c r="L806" s="45"/>
      <c r="M806" s="45"/>
      <c r="N806" s="44"/>
      <c r="O806" s="45"/>
      <c r="P806" s="45"/>
      <c r="Q806" s="45"/>
      <c r="R806" s="45"/>
      <c r="S806" s="45"/>
      <c r="T806" s="45"/>
      <c r="U806" s="45"/>
      <c r="V806" s="45"/>
      <c r="W806" s="45"/>
      <c r="X806" s="45"/>
      <c r="Y806" s="45"/>
      <c r="Z806" s="45"/>
    </row>
    <row r="807" spans="1:26">
      <c r="A807" s="45"/>
      <c r="B807" s="45"/>
      <c r="C807" s="45"/>
      <c r="D807" s="45"/>
      <c r="E807" s="45"/>
      <c r="F807" s="45"/>
      <c r="G807" s="45"/>
      <c r="H807" s="45"/>
      <c r="I807" s="45"/>
      <c r="J807" s="45"/>
      <c r="K807" s="45"/>
      <c r="L807" s="45"/>
      <c r="M807" s="45"/>
      <c r="N807" s="44"/>
      <c r="O807" s="45"/>
      <c r="P807" s="45"/>
      <c r="Q807" s="45"/>
      <c r="R807" s="45"/>
      <c r="S807" s="45"/>
      <c r="T807" s="45"/>
      <c r="U807" s="45"/>
      <c r="V807" s="45"/>
      <c r="W807" s="45"/>
      <c r="X807" s="45"/>
      <c r="Y807" s="45"/>
      <c r="Z807" s="45"/>
    </row>
    <row r="808" spans="1:26">
      <c r="A808" s="45"/>
      <c r="B808" s="45"/>
      <c r="C808" s="45"/>
      <c r="D808" s="45"/>
      <c r="E808" s="45"/>
      <c r="F808" s="45"/>
      <c r="G808" s="45"/>
      <c r="H808" s="45"/>
      <c r="I808" s="45"/>
      <c r="J808" s="45"/>
      <c r="K808" s="45"/>
      <c r="L808" s="45"/>
      <c r="M808" s="45"/>
      <c r="N808" s="44"/>
      <c r="O808" s="45"/>
      <c r="P808" s="45"/>
      <c r="Q808" s="45"/>
      <c r="R808" s="45"/>
      <c r="S808" s="45"/>
      <c r="T808" s="45"/>
      <c r="U808" s="45"/>
      <c r="V808" s="45"/>
      <c r="W808" s="45"/>
      <c r="X808" s="45"/>
      <c r="Y808" s="45"/>
      <c r="Z808" s="45"/>
    </row>
    <row r="809" spans="1:26">
      <c r="A809" s="45"/>
      <c r="B809" s="45"/>
      <c r="C809" s="45"/>
      <c r="D809" s="45"/>
      <c r="E809" s="45"/>
      <c r="F809" s="45"/>
      <c r="G809" s="45"/>
      <c r="H809" s="45"/>
      <c r="I809" s="45"/>
      <c r="J809" s="45"/>
      <c r="K809" s="45"/>
      <c r="L809" s="45"/>
      <c r="M809" s="45"/>
      <c r="N809" s="44"/>
      <c r="O809" s="45"/>
      <c r="P809" s="45"/>
      <c r="Q809" s="45"/>
      <c r="R809" s="45"/>
      <c r="S809" s="45"/>
      <c r="T809" s="45"/>
      <c r="U809" s="45"/>
      <c r="V809" s="45"/>
      <c r="W809" s="45"/>
      <c r="X809" s="45"/>
      <c r="Y809" s="45"/>
      <c r="Z809" s="45"/>
    </row>
    <row r="810" spans="1:26">
      <c r="A810" s="45"/>
      <c r="B810" s="45"/>
      <c r="C810" s="45"/>
      <c r="D810" s="45"/>
      <c r="E810" s="45"/>
      <c r="F810" s="45"/>
      <c r="G810" s="45"/>
      <c r="H810" s="45"/>
      <c r="I810" s="45"/>
      <c r="J810" s="45"/>
      <c r="K810" s="45"/>
      <c r="L810" s="45"/>
      <c r="M810" s="45"/>
      <c r="N810" s="44"/>
      <c r="O810" s="45"/>
      <c r="P810" s="45"/>
      <c r="Q810" s="45"/>
      <c r="R810" s="45"/>
      <c r="S810" s="45"/>
      <c r="T810" s="45"/>
      <c r="U810" s="45"/>
      <c r="V810" s="45"/>
      <c r="W810" s="45"/>
      <c r="X810" s="45"/>
      <c r="Y810" s="45"/>
      <c r="Z810" s="45"/>
    </row>
    <row r="811" spans="1:26">
      <c r="A811" s="45"/>
      <c r="B811" s="45"/>
      <c r="C811" s="45"/>
      <c r="D811" s="45"/>
      <c r="E811" s="45"/>
      <c r="F811" s="45"/>
      <c r="G811" s="45"/>
      <c r="H811" s="45"/>
      <c r="I811" s="45"/>
      <c r="J811" s="45"/>
      <c r="K811" s="45"/>
      <c r="L811" s="45"/>
      <c r="M811" s="45"/>
      <c r="N811" s="44"/>
      <c r="O811" s="45"/>
      <c r="P811" s="45"/>
      <c r="Q811" s="45"/>
      <c r="R811" s="45"/>
      <c r="S811" s="45"/>
      <c r="T811" s="45"/>
      <c r="U811" s="45"/>
      <c r="V811" s="45"/>
      <c r="W811" s="45"/>
      <c r="X811" s="45"/>
      <c r="Y811" s="45"/>
      <c r="Z811" s="45"/>
    </row>
    <row r="812" spans="1:26">
      <c r="A812" s="45"/>
      <c r="B812" s="45"/>
      <c r="C812" s="45"/>
      <c r="D812" s="45"/>
      <c r="E812" s="45"/>
      <c r="F812" s="45"/>
      <c r="G812" s="45"/>
      <c r="H812" s="45"/>
      <c r="I812" s="45"/>
      <c r="J812" s="45"/>
      <c r="K812" s="45"/>
      <c r="L812" s="45"/>
      <c r="M812" s="45"/>
      <c r="N812" s="44"/>
      <c r="O812" s="45"/>
      <c r="P812" s="45"/>
      <c r="Q812" s="45"/>
      <c r="R812" s="45"/>
      <c r="S812" s="45"/>
      <c r="T812" s="45"/>
      <c r="U812" s="45"/>
      <c r="V812" s="45"/>
      <c r="W812" s="45"/>
      <c r="X812" s="45"/>
      <c r="Y812" s="45"/>
      <c r="Z812" s="45"/>
    </row>
    <row r="813" spans="1:26">
      <c r="A813" s="45"/>
      <c r="B813" s="45"/>
      <c r="C813" s="45"/>
      <c r="D813" s="45"/>
      <c r="E813" s="45"/>
      <c r="F813" s="45"/>
      <c r="G813" s="45"/>
      <c r="H813" s="45"/>
      <c r="I813" s="45"/>
      <c r="J813" s="45"/>
      <c r="K813" s="45"/>
      <c r="L813" s="45"/>
      <c r="M813" s="45"/>
      <c r="N813" s="44"/>
      <c r="O813" s="45"/>
      <c r="P813" s="45"/>
      <c r="Q813" s="45"/>
      <c r="R813" s="45"/>
      <c r="S813" s="45"/>
      <c r="T813" s="45"/>
      <c r="U813" s="45"/>
      <c r="V813" s="45"/>
      <c r="W813" s="45"/>
      <c r="X813" s="45"/>
      <c r="Y813" s="45"/>
      <c r="Z813" s="45"/>
    </row>
    <row r="814" spans="1:26">
      <c r="A814" s="45"/>
      <c r="B814" s="45"/>
      <c r="C814" s="45"/>
      <c r="D814" s="45"/>
      <c r="E814" s="45"/>
      <c r="F814" s="45"/>
      <c r="G814" s="45"/>
      <c r="H814" s="45"/>
      <c r="I814" s="45"/>
      <c r="J814" s="45"/>
      <c r="K814" s="45"/>
      <c r="L814" s="45"/>
      <c r="M814" s="45"/>
      <c r="N814" s="44"/>
      <c r="O814" s="45"/>
      <c r="P814" s="45"/>
      <c r="Q814" s="45"/>
      <c r="R814" s="45"/>
      <c r="S814" s="45"/>
      <c r="T814" s="45"/>
      <c r="U814" s="45"/>
      <c r="V814" s="45"/>
      <c r="W814" s="45"/>
      <c r="X814" s="45"/>
      <c r="Y814" s="45"/>
      <c r="Z814" s="45"/>
    </row>
    <row r="815" spans="1:26">
      <c r="A815" s="45"/>
      <c r="B815" s="45"/>
      <c r="C815" s="45"/>
      <c r="D815" s="45"/>
      <c r="E815" s="45"/>
      <c r="F815" s="45"/>
      <c r="G815" s="45"/>
      <c r="H815" s="45"/>
      <c r="I815" s="45"/>
      <c r="J815" s="45"/>
      <c r="K815" s="45"/>
      <c r="L815" s="45"/>
      <c r="M815" s="45"/>
      <c r="N815" s="44"/>
      <c r="O815" s="45"/>
      <c r="P815" s="45"/>
      <c r="Q815" s="45"/>
      <c r="R815" s="45"/>
      <c r="S815" s="45"/>
      <c r="T815" s="45"/>
      <c r="U815" s="45"/>
      <c r="V815" s="45"/>
      <c r="W815" s="45"/>
      <c r="X815" s="45"/>
      <c r="Y815" s="45"/>
      <c r="Z815" s="45"/>
    </row>
    <row r="816" spans="1:26">
      <c r="A816" s="45"/>
      <c r="B816" s="45"/>
      <c r="C816" s="45"/>
      <c r="D816" s="45"/>
      <c r="E816" s="45"/>
      <c r="F816" s="45"/>
      <c r="G816" s="45"/>
      <c r="H816" s="45"/>
      <c r="I816" s="45"/>
      <c r="J816" s="45"/>
      <c r="K816" s="45"/>
      <c r="L816" s="45"/>
      <c r="M816" s="45"/>
      <c r="N816" s="44"/>
      <c r="O816" s="45"/>
      <c r="P816" s="45"/>
      <c r="Q816" s="45"/>
      <c r="R816" s="45"/>
      <c r="S816" s="45"/>
      <c r="T816" s="45"/>
      <c r="U816" s="45"/>
      <c r="V816" s="45"/>
      <c r="W816" s="45"/>
      <c r="X816" s="45"/>
      <c r="Y816" s="45"/>
      <c r="Z816" s="45"/>
    </row>
    <row r="817" spans="1:26">
      <c r="A817" s="45"/>
      <c r="B817" s="45"/>
      <c r="C817" s="45"/>
      <c r="D817" s="45"/>
      <c r="E817" s="45"/>
      <c r="F817" s="45"/>
      <c r="G817" s="45"/>
      <c r="H817" s="45"/>
      <c r="I817" s="45"/>
      <c r="J817" s="45"/>
      <c r="K817" s="45"/>
      <c r="L817" s="45"/>
      <c r="M817" s="45"/>
      <c r="N817" s="44"/>
      <c r="O817" s="45"/>
      <c r="P817" s="45"/>
      <c r="Q817" s="45"/>
      <c r="R817" s="45"/>
      <c r="S817" s="45"/>
      <c r="T817" s="45"/>
      <c r="U817" s="45"/>
      <c r="V817" s="45"/>
      <c r="W817" s="45"/>
      <c r="X817" s="45"/>
      <c r="Y817" s="45"/>
      <c r="Z817" s="45"/>
    </row>
    <row r="818" spans="1:26">
      <c r="A818" s="45"/>
      <c r="B818" s="45"/>
      <c r="C818" s="45"/>
      <c r="D818" s="45"/>
      <c r="E818" s="45"/>
      <c r="F818" s="45"/>
      <c r="G818" s="45"/>
      <c r="H818" s="45"/>
      <c r="I818" s="45"/>
      <c r="J818" s="45"/>
      <c r="K818" s="45"/>
      <c r="L818" s="45"/>
      <c r="M818" s="45"/>
      <c r="N818" s="44"/>
      <c r="O818" s="45"/>
      <c r="P818" s="45"/>
      <c r="Q818" s="45"/>
      <c r="R818" s="45"/>
      <c r="S818" s="45"/>
      <c r="T818" s="45"/>
      <c r="U818" s="45"/>
      <c r="V818" s="45"/>
      <c r="W818" s="45"/>
      <c r="X818" s="45"/>
      <c r="Y818" s="45"/>
      <c r="Z818" s="45"/>
    </row>
    <row r="819" spans="1:26">
      <c r="A819" s="45"/>
      <c r="B819" s="45"/>
      <c r="C819" s="45"/>
      <c r="D819" s="45"/>
      <c r="E819" s="45"/>
      <c r="F819" s="45"/>
      <c r="G819" s="45"/>
      <c r="H819" s="45"/>
      <c r="I819" s="45"/>
      <c r="J819" s="45"/>
      <c r="K819" s="45"/>
      <c r="L819" s="45"/>
      <c r="M819" s="45"/>
      <c r="N819" s="44"/>
      <c r="O819" s="45"/>
      <c r="P819" s="45"/>
      <c r="Q819" s="45"/>
      <c r="R819" s="45"/>
      <c r="S819" s="45"/>
      <c r="T819" s="45"/>
      <c r="U819" s="45"/>
      <c r="V819" s="45"/>
      <c r="W819" s="45"/>
      <c r="X819" s="45"/>
      <c r="Y819" s="45"/>
      <c r="Z819" s="45"/>
    </row>
    <row r="820" spans="1:26">
      <c r="A820" s="45"/>
      <c r="B820" s="45"/>
      <c r="C820" s="45"/>
      <c r="D820" s="45"/>
      <c r="E820" s="45"/>
      <c r="F820" s="45"/>
      <c r="G820" s="45"/>
      <c r="H820" s="45"/>
      <c r="I820" s="45"/>
      <c r="J820" s="45"/>
      <c r="K820" s="45"/>
      <c r="L820" s="45"/>
      <c r="M820" s="45"/>
      <c r="N820" s="44"/>
      <c r="O820" s="45"/>
      <c r="P820" s="45"/>
      <c r="Q820" s="45"/>
      <c r="R820" s="45"/>
      <c r="S820" s="45"/>
      <c r="T820" s="45"/>
      <c r="U820" s="45"/>
      <c r="V820" s="45"/>
      <c r="W820" s="45"/>
      <c r="X820" s="45"/>
      <c r="Y820" s="45"/>
      <c r="Z820" s="45"/>
    </row>
    <row r="821" spans="1:26">
      <c r="A821" s="45"/>
      <c r="B821" s="45"/>
      <c r="C821" s="45"/>
      <c r="D821" s="45"/>
      <c r="E821" s="45"/>
      <c r="F821" s="45"/>
      <c r="G821" s="45"/>
      <c r="H821" s="45"/>
      <c r="I821" s="45"/>
      <c r="J821" s="45"/>
      <c r="K821" s="45"/>
      <c r="L821" s="45"/>
      <c r="M821" s="45"/>
      <c r="N821" s="44"/>
      <c r="O821" s="45"/>
      <c r="P821" s="45"/>
      <c r="Q821" s="45"/>
      <c r="R821" s="45"/>
      <c r="S821" s="45"/>
      <c r="T821" s="45"/>
      <c r="U821" s="45"/>
      <c r="V821" s="45"/>
      <c r="W821" s="45"/>
      <c r="X821" s="45"/>
      <c r="Y821" s="45"/>
      <c r="Z821" s="45"/>
    </row>
    <row r="822" spans="1:26">
      <c r="A822" s="45"/>
      <c r="B822" s="45"/>
      <c r="C822" s="45"/>
      <c r="D822" s="45"/>
      <c r="E822" s="45"/>
      <c r="F822" s="45"/>
      <c r="G822" s="45"/>
      <c r="H822" s="45"/>
      <c r="I822" s="45"/>
      <c r="J822" s="45"/>
      <c r="K822" s="45"/>
      <c r="L822" s="45"/>
      <c r="M822" s="45"/>
      <c r="N822" s="44"/>
      <c r="O822" s="45"/>
      <c r="P822" s="45"/>
      <c r="Q822" s="45"/>
      <c r="R822" s="45"/>
      <c r="S822" s="45"/>
      <c r="T822" s="45"/>
      <c r="U822" s="45"/>
      <c r="V822" s="45"/>
      <c r="W822" s="45"/>
      <c r="X822" s="45"/>
      <c r="Y822" s="45"/>
      <c r="Z822" s="45"/>
    </row>
    <row r="823" spans="1:26">
      <c r="A823" s="45"/>
      <c r="B823" s="45"/>
      <c r="C823" s="45"/>
      <c r="D823" s="45"/>
      <c r="E823" s="45"/>
      <c r="F823" s="45"/>
      <c r="G823" s="45"/>
      <c r="H823" s="45"/>
      <c r="I823" s="45"/>
      <c r="J823" s="45"/>
      <c r="K823" s="45"/>
      <c r="L823" s="45"/>
      <c r="M823" s="45"/>
      <c r="N823" s="44"/>
      <c r="O823" s="45"/>
      <c r="P823" s="45"/>
      <c r="Q823" s="45"/>
      <c r="R823" s="45"/>
      <c r="S823" s="45"/>
      <c r="T823" s="45"/>
      <c r="U823" s="45"/>
      <c r="V823" s="45"/>
      <c r="W823" s="45"/>
      <c r="X823" s="45"/>
      <c r="Y823" s="45"/>
      <c r="Z823" s="45"/>
    </row>
    <row r="824" spans="1:26">
      <c r="A824" s="45"/>
      <c r="B824" s="45"/>
      <c r="C824" s="45"/>
      <c r="D824" s="45"/>
      <c r="E824" s="45"/>
      <c r="F824" s="45"/>
      <c r="G824" s="45"/>
      <c r="H824" s="45"/>
      <c r="I824" s="45"/>
      <c r="J824" s="45"/>
      <c r="K824" s="45"/>
      <c r="L824" s="45"/>
      <c r="M824" s="45"/>
      <c r="N824" s="44"/>
      <c r="O824" s="45"/>
      <c r="P824" s="45"/>
      <c r="Q824" s="45"/>
      <c r="R824" s="45"/>
      <c r="S824" s="45"/>
      <c r="T824" s="45"/>
      <c r="U824" s="45"/>
      <c r="V824" s="45"/>
      <c r="W824" s="45"/>
      <c r="X824" s="45"/>
      <c r="Y824" s="45"/>
      <c r="Z824" s="45"/>
    </row>
    <row r="825" spans="1:26">
      <c r="A825" s="45"/>
      <c r="B825" s="45"/>
      <c r="C825" s="45"/>
      <c r="D825" s="45"/>
      <c r="E825" s="45"/>
      <c r="F825" s="45"/>
      <c r="G825" s="45"/>
      <c r="H825" s="45"/>
      <c r="I825" s="45"/>
      <c r="J825" s="45"/>
      <c r="K825" s="45"/>
      <c r="L825" s="45"/>
      <c r="M825" s="45"/>
      <c r="N825" s="44"/>
      <c r="O825" s="45"/>
      <c r="P825" s="45"/>
      <c r="Q825" s="45"/>
      <c r="R825" s="45"/>
      <c r="S825" s="45"/>
      <c r="T825" s="45"/>
      <c r="U825" s="45"/>
      <c r="V825" s="45"/>
      <c r="W825" s="45"/>
      <c r="X825" s="45"/>
      <c r="Y825" s="45"/>
      <c r="Z825" s="45"/>
    </row>
    <row r="826" spans="1:26">
      <c r="A826" s="45"/>
      <c r="B826" s="45"/>
      <c r="C826" s="45"/>
      <c r="D826" s="45"/>
      <c r="E826" s="45"/>
      <c r="F826" s="45"/>
      <c r="G826" s="45"/>
      <c r="H826" s="45"/>
      <c r="I826" s="45"/>
      <c r="J826" s="45"/>
      <c r="K826" s="45"/>
      <c r="L826" s="45"/>
      <c r="M826" s="45"/>
      <c r="N826" s="44"/>
      <c r="O826" s="45"/>
      <c r="P826" s="45"/>
      <c r="Q826" s="45"/>
      <c r="R826" s="45"/>
      <c r="S826" s="45"/>
      <c r="T826" s="45"/>
      <c r="U826" s="45"/>
      <c r="V826" s="45"/>
      <c r="W826" s="45"/>
      <c r="X826" s="45"/>
      <c r="Y826" s="45"/>
      <c r="Z826" s="45"/>
    </row>
    <row r="827" spans="1:26">
      <c r="A827" s="45"/>
      <c r="B827" s="45"/>
      <c r="C827" s="45"/>
      <c r="D827" s="45"/>
      <c r="E827" s="45"/>
      <c r="F827" s="45"/>
      <c r="G827" s="45"/>
      <c r="H827" s="45"/>
      <c r="I827" s="45"/>
      <c r="J827" s="45"/>
      <c r="K827" s="45"/>
      <c r="L827" s="45"/>
      <c r="M827" s="45"/>
      <c r="N827" s="44"/>
      <c r="O827" s="45"/>
      <c r="P827" s="45"/>
      <c r="Q827" s="45"/>
      <c r="R827" s="45"/>
      <c r="S827" s="45"/>
      <c r="T827" s="45"/>
      <c r="U827" s="45"/>
      <c r="V827" s="45"/>
      <c r="W827" s="45"/>
      <c r="X827" s="45"/>
      <c r="Y827" s="45"/>
      <c r="Z827" s="45"/>
    </row>
    <row r="828" spans="1:26">
      <c r="A828" s="45"/>
      <c r="B828" s="45"/>
      <c r="C828" s="45"/>
      <c r="D828" s="45"/>
      <c r="E828" s="45"/>
      <c r="F828" s="45"/>
      <c r="G828" s="45"/>
      <c r="H828" s="45"/>
      <c r="I828" s="45"/>
      <c r="J828" s="45"/>
      <c r="K828" s="45"/>
      <c r="L828" s="45"/>
      <c r="M828" s="45"/>
      <c r="N828" s="44"/>
      <c r="O828" s="45"/>
      <c r="P828" s="45"/>
      <c r="Q828" s="45"/>
      <c r="R828" s="45"/>
      <c r="S828" s="45"/>
      <c r="T828" s="45"/>
      <c r="U828" s="45"/>
      <c r="V828" s="45"/>
      <c r="W828" s="45"/>
      <c r="X828" s="45"/>
      <c r="Y828" s="45"/>
      <c r="Z828" s="45"/>
    </row>
    <row r="829" spans="1:26">
      <c r="A829" s="45"/>
      <c r="B829" s="45"/>
      <c r="C829" s="45"/>
      <c r="D829" s="45"/>
      <c r="E829" s="45"/>
      <c r="F829" s="45"/>
      <c r="G829" s="45"/>
      <c r="H829" s="45"/>
      <c r="I829" s="45"/>
      <c r="J829" s="45"/>
      <c r="K829" s="45"/>
      <c r="L829" s="45"/>
      <c r="M829" s="45"/>
      <c r="N829" s="44"/>
      <c r="O829" s="45"/>
      <c r="P829" s="45"/>
      <c r="Q829" s="45"/>
      <c r="R829" s="45"/>
      <c r="S829" s="45"/>
      <c r="T829" s="45"/>
      <c r="U829" s="45"/>
      <c r="V829" s="45"/>
      <c r="W829" s="45"/>
      <c r="X829" s="45"/>
      <c r="Y829" s="45"/>
      <c r="Z829" s="45"/>
    </row>
    <row r="830" spans="1:26">
      <c r="A830" s="45"/>
      <c r="B830" s="45"/>
      <c r="C830" s="45"/>
      <c r="D830" s="45"/>
      <c r="E830" s="45"/>
      <c r="F830" s="45"/>
      <c r="G830" s="45"/>
      <c r="H830" s="45"/>
      <c r="I830" s="45"/>
      <c r="J830" s="45"/>
      <c r="K830" s="45"/>
      <c r="L830" s="45"/>
      <c r="M830" s="45"/>
      <c r="N830" s="44"/>
      <c r="O830" s="45"/>
      <c r="P830" s="45"/>
      <c r="Q830" s="45"/>
      <c r="R830" s="45"/>
      <c r="S830" s="45"/>
      <c r="T830" s="45"/>
      <c r="U830" s="45"/>
      <c r="V830" s="45"/>
      <c r="W830" s="45"/>
      <c r="X830" s="45"/>
      <c r="Y830" s="45"/>
      <c r="Z830" s="45"/>
    </row>
    <row r="831" spans="1:26">
      <c r="A831" s="45"/>
      <c r="B831" s="45"/>
      <c r="C831" s="45"/>
      <c r="D831" s="45"/>
      <c r="E831" s="45"/>
      <c r="F831" s="45"/>
      <c r="G831" s="45"/>
      <c r="H831" s="45"/>
      <c r="I831" s="45"/>
      <c r="J831" s="45"/>
      <c r="K831" s="45"/>
      <c r="L831" s="45"/>
      <c r="M831" s="45"/>
      <c r="N831" s="44"/>
      <c r="O831" s="45"/>
      <c r="P831" s="45"/>
      <c r="Q831" s="45"/>
      <c r="R831" s="45"/>
      <c r="S831" s="45"/>
      <c r="T831" s="45"/>
      <c r="U831" s="45"/>
      <c r="V831" s="45"/>
      <c r="W831" s="45"/>
      <c r="X831" s="45"/>
      <c r="Y831" s="45"/>
      <c r="Z831" s="45"/>
    </row>
    <row r="832" spans="1:26">
      <c r="A832" s="45"/>
      <c r="B832" s="45"/>
      <c r="C832" s="45"/>
      <c r="D832" s="45"/>
      <c r="E832" s="45"/>
      <c r="F832" s="45"/>
      <c r="G832" s="45"/>
      <c r="H832" s="45"/>
      <c r="I832" s="45"/>
      <c r="J832" s="45"/>
      <c r="K832" s="45"/>
      <c r="L832" s="45"/>
      <c r="M832" s="45"/>
      <c r="N832" s="44"/>
      <c r="O832" s="45"/>
      <c r="P832" s="45"/>
      <c r="Q832" s="45"/>
      <c r="R832" s="45"/>
      <c r="S832" s="45"/>
      <c r="T832" s="45"/>
      <c r="U832" s="45"/>
      <c r="V832" s="45"/>
      <c r="W832" s="45"/>
      <c r="X832" s="45"/>
      <c r="Y832" s="45"/>
      <c r="Z832" s="45"/>
    </row>
    <row r="833" spans="1:26">
      <c r="A833" s="45"/>
      <c r="B833" s="45"/>
      <c r="C833" s="45"/>
      <c r="D833" s="45"/>
      <c r="E833" s="45"/>
      <c r="F833" s="45"/>
      <c r="G833" s="45"/>
      <c r="H833" s="45"/>
      <c r="I833" s="45"/>
      <c r="J833" s="45"/>
      <c r="K833" s="45"/>
      <c r="L833" s="45"/>
      <c r="M833" s="45"/>
      <c r="N833" s="44"/>
      <c r="O833" s="45"/>
      <c r="P833" s="45"/>
      <c r="Q833" s="45"/>
      <c r="R833" s="45"/>
      <c r="S833" s="45"/>
      <c r="T833" s="45"/>
      <c r="U833" s="45"/>
      <c r="V833" s="45"/>
      <c r="W833" s="45"/>
      <c r="X833" s="45"/>
      <c r="Y833" s="45"/>
      <c r="Z833" s="45"/>
    </row>
    <row r="834" spans="1:26">
      <c r="A834" s="45"/>
      <c r="B834" s="45"/>
      <c r="C834" s="45"/>
      <c r="D834" s="45"/>
      <c r="E834" s="45"/>
      <c r="F834" s="45"/>
      <c r="G834" s="45"/>
      <c r="H834" s="45"/>
      <c r="I834" s="45"/>
      <c r="J834" s="45"/>
      <c r="K834" s="45"/>
      <c r="L834" s="45"/>
      <c r="M834" s="45"/>
      <c r="N834" s="44"/>
      <c r="O834" s="45"/>
      <c r="P834" s="45"/>
      <c r="Q834" s="45"/>
      <c r="R834" s="45"/>
      <c r="S834" s="45"/>
      <c r="T834" s="45"/>
      <c r="U834" s="45"/>
      <c r="V834" s="45"/>
      <c r="W834" s="45"/>
      <c r="X834" s="45"/>
      <c r="Y834" s="45"/>
      <c r="Z834" s="45"/>
    </row>
    <row r="835" spans="1:26">
      <c r="A835" s="45"/>
      <c r="B835" s="45"/>
      <c r="C835" s="45"/>
      <c r="D835" s="45"/>
      <c r="E835" s="45"/>
      <c r="F835" s="45"/>
      <c r="G835" s="45"/>
      <c r="H835" s="45"/>
      <c r="I835" s="45"/>
      <c r="J835" s="45"/>
      <c r="K835" s="45"/>
      <c r="L835" s="45"/>
      <c r="M835" s="45"/>
      <c r="N835" s="44"/>
      <c r="O835" s="45"/>
      <c r="P835" s="45"/>
      <c r="Q835" s="45"/>
      <c r="R835" s="45"/>
      <c r="S835" s="45"/>
      <c r="T835" s="45"/>
      <c r="U835" s="45"/>
      <c r="V835" s="45"/>
      <c r="W835" s="45"/>
      <c r="X835" s="45"/>
      <c r="Y835" s="45"/>
      <c r="Z835" s="45"/>
    </row>
    <row r="836" spans="1:26">
      <c r="A836" s="45"/>
      <c r="B836" s="45"/>
      <c r="C836" s="45"/>
      <c r="D836" s="45"/>
      <c r="E836" s="45"/>
      <c r="F836" s="45"/>
      <c r="G836" s="45"/>
      <c r="H836" s="45"/>
      <c r="I836" s="45"/>
      <c r="J836" s="45"/>
      <c r="K836" s="45"/>
      <c r="L836" s="45"/>
      <c r="M836" s="45"/>
      <c r="N836" s="44"/>
      <c r="O836" s="45"/>
      <c r="P836" s="45"/>
      <c r="Q836" s="45"/>
      <c r="R836" s="45"/>
      <c r="S836" s="45"/>
      <c r="T836" s="45"/>
      <c r="U836" s="45"/>
      <c r="V836" s="45"/>
      <c r="W836" s="45"/>
      <c r="X836" s="45"/>
      <c r="Y836" s="45"/>
      <c r="Z836" s="45"/>
    </row>
    <row r="837" spans="1:26">
      <c r="A837" s="45"/>
      <c r="B837" s="45"/>
      <c r="C837" s="45"/>
      <c r="D837" s="45"/>
      <c r="E837" s="45"/>
      <c r="F837" s="45"/>
      <c r="G837" s="45"/>
      <c r="H837" s="45"/>
      <c r="I837" s="45"/>
      <c r="J837" s="45"/>
      <c r="K837" s="45"/>
      <c r="L837" s="45"/>
      <c r="M837" s="45"/>
      <c r="N837" s="44"/>
      <c r="O837" s="45"/>
      <c r="P837" s="45"/>
      <c r="Q837" s="45"/>
      <c r="R837" s="45"/>
      <c r="S837" s="45"/>
      <c r="T837" s="45"/>
      <c r="U837" s="45"/>
      <c r="V837" s="45"/>
      <c r="W837" s="45"/>
      <c r="X837" s="45"/>
      <c r="Y837" s="45"/>
      <c r="Z837" s="45"/>
    </row>
    <row r="838" spans="1:26">
      <c r="A838" s="45"/>
      <c r="B838" s="45"/>
      <c r="C838" s="45"/>
      <c r="D838" s="45"/>
      <c r="E838" s="45"/>
      <c r="F838" s="45"/>
      <c r="G838" s="45"/>
      <c r="H838" s="45"/>
      <c r="I838" s="45"/>
      <c r="J838" s="45"/>
      <c r="K838" s="45"/>
      <c r="L838" s="45"/>
      <c r="M838" s="45"/>
      <c r="N838" s="44"/>
      <c r="O838" s="45"/>
      <c r="P838" s="45"/>
      <c r="Q838" s="45"/>
      <c r="R838" s="45"/>
      <c r="S838" s="45"/>
      <c r="T838" s="45"/>
      <c r="U838" s="45"/>
      <c r="V838" s="45"/>
      <c r="W838" s="45"/>
      <c r="X838" s="45"/>
      <c r="Y838" s="45"/>
      <c r="Z838" s="45"/>
    </row>
    <row r="839" spans="1:26">
      <c r="A839" s="45"/>
      <c r="B839" s="45"/>
      <c r="C839" s="45"/>
      <c r="D839" s="45"/>
      <c r="E839" s="45"/>
      <c r="F839" s="45"/>
      <c r="G839" s="45"/>
      <c r="H839" s="45"/>
      <c r="I839" s="45"/>
      <c r="J839" s="45"/>
      <c r="K839" s="45"/>
      <c r="L839" s="45"/>
      <c r="M839" s="45"/>
      <c r="N839" s="44"/>
      <c r="O839" s="45"/>
      <c r="P839" s="45"/>
      <c r="Q839" s="45"/>
      <c r="R839" s="45"/>
      <c r="S839" s="45"/>
      <c r="T839" s="45"/>
      <c r="U839" s="45"/>
      <c r="V839" s="45"/>
      <c r="W839" s="45"/>
      <c r="X839" s="45"/>
      <c r="Y839" s="45"/>
      <c r="Z839" s="45"/>
    </row>
    <row r="840" spans="1:26">
      <c r="A840" s="45"/>
      <c r="B840" s="45"/>
      <c r="C840" s="45"/>
      <c r="D840" s="45"/>
      <c r="E840" s="45"/>
      <c r="F840" s="45"/>
      <c r="G840" s="45"/>
      <c r="H840" s="45"/>
      <c r="I840" s="45"/>
      <c r="J840" s="45"/>
      <c r="K840" s="45"/>
      <c r="L840" s="45"/>
      <c r="M840" s="45"/>
      <c r="N840" s="44"/>
      <c r="O840" s="45"/>
      <c r="P840" s="45"/>
      <c r="Q840" s="45"/>
      <c r="R840" s="45"/>
      <c r="S840" s="45"/>
      <c r="T840" s="45"/>
      <c r="U840" s="45"/>
      <c r="V840" s="45"/>
      <c r="W840" s="45"/>
      <c r="X840" s="45"/>
      <c r="Y840" s="45"/>
      <c r="Z840" s="45"/>
    </row>
    <row r="841" spans="1:26">
      <c r="A841" s="45"/>
      <c r="B841" s="45"/>
      <c r="C841" s="45"/>
      <c r="D841" s="45"/>
      <c r="E841" s="45"/>
      <c r="F841" s="45"/>
      <c r="G841" s="45"/>
      <c r="H841" s="45"/>
      <c r="I841" s="45"/>
      <c r="J841" s="45"/>
      <c r="K841" s="45"/>
      <c r="L841" s="45"/>
      <c r="M841" s="45"/>
      <c r="N841" s="44"/>
      <c r="O841" s="45"/>
      <c r="P841" s="45"/>
      <c r="Q841" s="45"/>
      <c r="R841" s="45"/>
      <c r="S841" s="45"/>
      <c r="T841" s="45"/>
      <c r="U841" s="45"/>
      <c r="V841" s="45"/>
      <c r="W841" s="45"/>
      <c r="X841" s="45"/>
      <c r="Y841" s="45"/>
      <c r="Z841" s="45"/>
    </row>
    <row r="842" spans="1:26">
      <c r="A842" s="45"/>
      <c r="B842" s="45"/>
      <c r="C842" s="45"/>
      <c r="D842" s="45"/>
      <c r="E842" s="45"/>
      <c r="F842" s="45"/>
      <c r="G842" s="45"/>
      <c r="H842" s="45"/>
      <c r="I842" s="45"/>
      <c r="J842" s="45"/>
      <c r="K842" s="45"/>
      <c r="L842" s="45"/>
      <c r="M842" s="45"/>
      <c r="N842" s="44"/>
      <c r="O842" s="45"/>
      <c r="P842" s="45"/>
      <c r="Q842" s="45"/>
      <c r="R842" s="45"/>
      <c r="S842" s="45"/>
      <c r="T842" s="45"/>
      <c r="U842" s="45"/>
      <c r="V842" s="45"/>
      <c r="W842" s="45"/>
      <c r="X842" s="45"/>
      <c r="Y842" s="45"/>
      <c r="Z842" s="45"/>
    </row>
    <row r="843" spans="1:26">
      <c r="A843" s="45"/>
      <c r="B843" s="45"/>
      <c r="C843" s="45"/>
      <c r="D843" s="45"/>
      <c r="E843" s="45"/>
      <c r="F843" s="45"/>
      <c r="G843" s="45"/>
      <c r="H843" s="45"/>
      <c r="I843" s="45"/>
      <c r="J843" s="45"/>
      <c r="K843" s="45"/>
      <c r="L843" s="45"/>
      <c r="M843" s="45"/>
      <c r="N843" s="44"/>
      <c r="O843" s="45"/>
      <c r="P843" s="45"/>
      <c r="Q843" s="45"/>
      <c r="R843" s="45"/>
      <c r="S843" s="45"/>
      <c r="T843" s="45"/>
      <c r="U843" s="45"/>
      <c r="V843" s="45"/>
      <c r="W843" s="45"/>
      <c r="X843" s="45"/>
      <c r="Y843" s="45"/>
      <c r="Z843" s="45"/>
    </row>
    <row r="844" spans="1:26">
      <c r="A844" s="45"/>
      <c r="B844" s="45"/>
      <c r="C844" s="45"/>
      <c r="D844" s="45"/>
      <c r="E844" s="45"/>
      <c r="F844" s="45"/>
      <c r="G844" s="45"/>
      <c r="H844" s="45"/>
      <c r="I844" s="45"/>
      <c r="J844" s="45"/>
      <c r="K844" s="45"/>
      <c r="L844" s="45"/>
      <c r="M844" s="45"/>
      <c r="N844" s="44"/>
      <c r="O844" s="45"/>
      <c r="P844" s="45"/>
      <c r="Q844" s="45"/>
      <c r="R844" s="45"/>
      <c r="S844" s="45"/>
      <c r="T844" s="45"/>
      <c r="U844" s="45"/>
      <c r="V844" s="45"/>
      <c r="W844" s="45"/>
      <c r="X844" s="45"/>
      <c r="Y844" s="45"/>
      <c r="Z844" s="45"/>
    </row>
    <row r="845" spans="1:26">
      <c r="A845" s="45"/>
      <c r="B845" s="45"/>
      <c r="C845" s="45"/>
      <c r="D845" s="45"/>
      <c r="E845" s="45"/>
      <c r="F845" s="45"/>
      <c r="G845" s="45"/>
      <c r="H845" s="45"/>
      <c r="I845" s="45"/>
      <c r="J845" s="45"/>
      <c r="K845" s="45"/>
      <c r="L845" s="45"/>
      <c r="M845" s="45"/>
      <c r="N845" s="44"/>
      <c r="O845" s="45"/>
      <c r="P845" s="45"/>
      <c r="Q845" s="45"/>
      <c r="R845" s="45"/>
      <c r="S845" s="45"/>
      <c r="T845" s="45"/>
      <c r="U845" s="45"/>
      <c r="V845" s="45"/>
      <c r="W845" s="45"/>
      <c r="X845" s="45"/>
      <c r="Y845" s="45"/>
      <c r="Z845" s="45"/>
    </row>
    <row r="846" spans="1:26">
      <c r="A846" s="45"/>
      <c r="B846" s="45"/>
      <c r="C846" s="45"/>
      <c r="D846" s="45"/>
      <c r="E846" s="45"/>
      <c r="F846" s="45"/>
      <c r="G846" s="45"/>
      <c r="H846" s="45"/>
      <c r="I846" s="45"/>
      <c r="J846" s="45"/>
      <c r="K846" s="45"/>
      <c r="L846" s="45"/>
      <c r="M846" s="45"/>
      <c r="N846" s="44"/>
      <c r="O846" s="45"/>
      <c r="P846" s="45"/>
      <c r="Q846" s="45"/>
      <c r="R846" s="45"/>
      <c r="S846" s="45"/>
      <c r="T846" s="45"/>
      <c r="U846" s="45"/>
      <c r="V846" s="45"/>
      <c r="W846" s="45"/>
      <c r="X846" s="45"/>
      <c r="Y846" s="45"/>
      <c r="Z846" s="45"/>
    </row>
    <row r="847" spans="1:26">
      <c r="A847" s="45"/>
      <c r="B847" s="45"/>
      <c r="C847" s="45"/>
      <c r="D847" s="45"/>
      <c r="E847" s="45"/>
      <c r="F847" s="45"/>
      <c r="G847" s="45"/>
      <c r="H847" s="45"/>
      <c r="I847" s="45"/>
      <c r="J847" s="45"/>
      <c r="K847" s="45"/>
      <c r="L847" s="45"/>
      <c r="M847" s="45"/>
      <c r="N847" s="44"/>
      <c r="O847" s="45"/>
      <c r="P847" s="45"/>
      <c r="Q847" s="45"/>
      <c r="R847" s="45"/>
      <c r="S847" s="45"/>
      <c r="T847" s="45"/>
      <c r="U847" s="45"/>
      <c r="V847" s="45"/>
      <c r="W847" s="45"/>
      <c r="X847" s="45"/>
      <c r="Y847" s="45"/>
      <c r="Z847" s="45"/>
    </row>
    <row r="848" spans="1:26">
      <c r="A848" s="45"/>
      <c r="B848" s="45"/>
      <c r="C848" s="45"/>
      <c r="D848" s="45"/>
      <c r="E848" s="45"/>
      <c r="F848" s="45"/>
      <c r="G848" s="45"/>
      <c r="H848" s="45"/>
      <c r="I848" s="45"/>
      <c r="J848" s="45"/>
      <c r="K848" s="45"/>
      <c r="L848" s="45"/>
      <c r="M848" s="45"/>
      <c r="N848" s="44"/>
      <c r="O848" s="45"/>
      <c r="P848" s="45"/>
      <c r="Q848" s="45"/>
      <c r="R848" s="45"/>
      <c r="S848" s="45"/>
      <c r="T848" s="45"/>
      <c r="U848" s="45"/>
      <c r="V848" s="45"/>
      <c r="W848" s="45"/>
      <c r="X848" s="45"/>
      <c r="Y848" s="45"/>
      <c r="Z848" s="45"/>
    </row>
    <row r="849" spans="1:26">
      <c r="A849" s="45"/>
      <c r="B849" s="45"/>
      <c r="C849" s="45"/>
      <c r="D849" s="45"/>
      <c r="E849" s="45"/>
      <c r="F849" s="45"/>
      <c r="G849" s="45"/>
      <c r="H849" s="45"/>
      <c r="I849" s="45"/>
      <c r="J849" s="45"/>
      <c r="K849" s="45"/>
      <c r="L849" s="45"/>
      <c r="M849" s="45"/>
      <c r="N849" s="44"/>
      <c r="O849" s="45"/>
      <c r="P849" s="45"/>
      <c r="Q849" s="45"/>
      <c r="R849" s="45"/>
      <c r="S849" s="45"/>
      <c r="T849" s="45"/>
      <c r="U849" s="45"/>
      <c r="V849" s="45"/>
      <c r="W849" s="45"/>
      <c r="X849" s="45"/>
      <c r="Y849" s="45"/>
      <c r="Z849" s="45"/>
    </row>
    <row r="850" spans="1:26">
      <c r="A850" s="45"/>
      <c r="B850" s="45"/>
      <c r="C850" s="45"/>
      <c r="D850" s="45"/>
      <c r="E850" s="45"/>
      <c r="F850" s="45"/>
      <c r="G850" s="45"/>
      <c r="H850" s="45"/>
      <c r="I850" s="45"/>
      <c r="J850" s="45"/>
      <c r="K850" s="45"/>
      <c r="L850" s="45"/>
      <c r="M850" s="45"/>
      <c r="N850" s="44"/>
      <c r="O850" s="45"/>
      <c r="P850" s="45"/>
      <c r="Q850" s="45"/>
      <c r="R850" s="45"/>
      <c r="S850" s="45"/>
      <c r="T850" s="45"/>
      <c r="U850" s="45"/>
      <c r="V850" s="45"/>
      <c r="W850" s="45"/>
      <c r="X850" s="45"/>
      <c r="Y850" s="45"/>
      <c r="Z850" s="45"/>
    </row>
    <row r="851" spans="1:26">
      <c r="A851" s="45"/>
      <c r="B851" s="45"/>
      <c r="C851" s="45"/>
      <c r="D851" s="45"/>
      <c r="E851" s="45"/>
      <c r="F851" s="45"/>
      <c r="G851" s="45"/>
      <c r="H851" s="45"/>
      <c r="I851" s="45"/>
      <c r="J851" s="45"/>
      <c r="K851" s="45"/>
      <c r="L851" s="45"/>
      <c r="M851" s="45"/>
      <c r="N851" s="44"/>
      <c r="O851" s="45"/>
      <c r="P851" s="45"/>
      <c r="Q851" s="45"/>
      <c r="R851" s="45"/>
      <c r="S851" s="45"/>
      <c r="T851" s="45"/>
      <c r="U851" s="45"/>
      <c r="V851" s="45"/>
      <c r="W851" s="45"/>
      <c r="X851" s="45"/>
      <c r="Y851" s="45"/>
      <c r="Z851" s="45"/>
    </row>
    <row r="852" spans="1:26">
      <c r="A852" s="45"/>
      <c r="B852" s="45"/>
      <c r="C852" s="45"/>
      <c r="D852" s="45"/>
      <c r="E852" s="45"/>
      <c r="F852" s="45"/>
      <c r="G852" s="45"/>
      <c r="H852" s="45"/>
      <c r="I852" s="45"/>
      <c r="J852" s="45"/>
      <c r="K852" s="45"/>
      <c r="L852" s="45"/>
      <c r="M852" s="45"/>
      <c r="N852" s="44"/>
      <c r="O852" s="45"/>
      <c r="P852" s="45"/>
      <c r="Q852" s="45"/>
      <c r="R852" s="45"/>
      <c r="S852" s="45"/>
      <c r="T852" s="45"/>
      <c r="U852" s="45"/>
      <c r="V852" s="45"/>
      <c r="W852" s="45"/>
      <c r="X852" s="45"/>
      <c r="Y852" s="45"/>
      <c r="Z852" s="45"/>
    </row>
    <row r="853" spans="1:26">
      <c r="A853" s="45"/>
      <c r="B853" s="45"/>
      <c r="C853" s="45"/>
      <c r="D853" s="45"/>
      <c r="E853" s="45"/>
      <c r="F853" s="45"/>
      <c r="G853" s="45"/>
      <c r="H853" s="45"/>
      <c r="I853" s="45"/>
      <c r="J853" s="45"/>
      <c r="K853" s="45"/>
      <c r="L853" s="45"/>
      <c r="M853" s="45"/>
      <c r="N853" s="44"/>
      <c r="O853" s="45"/>
      <c r="P853" s="45"/>
      <c r="Q853" s="45"/>
      <c r="R853" s="45"/>
      <c r="S853" s="45"/>
      <c r="T853" s="45"/>
      <c r="U853" s="45"/>
      <c r="V853" s="45"/>
      <c r="W853" s="45"/>
      <c r="X853" s="45"/>
      <c r="Y853" s="45"/>
      <c r="Z853" s="45"/>
    </row>
    <row r="854" spans="1:26">
      <c r="A854" s="45"/>
      <c r="B854" s="45"/>
      <c r="C854" s="45"/>
      <c r="D854" s="45"/>
      <c r="E854" s="45"/>
      <c r="F854" s="45"/>
      <c r="G854" s="45"/>
      <c r="H854" s="45"/>
      <c r="I854" s="45"/>
      <c r="J854" s="45"/>
      <c r="K854" s="45"/>
      <c r="L854" s="45"/>
      <c r="M854" s="45"/>
      <c r="N854" s="44"/>
      <c r="O854" s="45"/>
      <c r="P854" s="45"/>
      <c r="Q854" s="45"/>
      <c r="R854" s="45"/>
      <c r="S854" s="45"/>
      <c r="T854" s="45"/>
      <c r="U854" s="45"/>
      <c r="V854" s="45"/>
      <c r="W854" s="45"/>
      <c r="X854" s="45"/>
      <c r="Y854" s="45"/>
      <c r="Z854" s="45"/>
    </row>
    <row r="855" spans="1:26">
      <c r="A855" s="45"/>
      <c r="B855" s="45"/>
      <c r="C855" s="45"/>
      <c r="D855" s="45"/>
      <c r="E855" s="45"/>
      <c r="F855" s="45"/>
      <c r="G855" s="45"/>
      <c r="H855" s="45"/>
      <c r="I855" s="45"/>
      <c r="J855" s="45"/>
      <c r="K855" s="45"/>
      <c r="L855" s="45"/>
      <c r="M855" s="45"/>
      <c r="N855" s="44"/>
      <c r="O855" s="45"/>
      <c r="P855" s="45"/>
      <c r="Q855" s="45"/>
      <c r="R855" s="45"/>
      <c r="S855" s="45"/>
      <c r="T855" s="45"/>
      <c r="U855" s="45"/>
      <c r="V855" s="45"/>
      <c r="W855" s="45"/>
      <c r="X855" s="45"/>
      <c r="Y855" s="45"/>
      <c r="Z855" s="45"/>
    </row>
    <row r="856" spans="1:26">
      <c r="A856" s="45"/>
      <c r="B856" s="45"/>
      <c r="C856" s="45"/>
      <c r="D856" s="45"/>
      <c r="E856" s="45"/>
      <c r="F856" s="45"/>
      <c r="G856" s="45"/>
      <c r="H856" s="45"/>
      <c r="I856" s="45"/>
      <c r="J856" s="45"/>
      <c r="K856" s="45"/>
      <c r="L856" s="45"/>
      <c r="M856" s="45"/>
      <c r="N856" s="44"/>
      <c r="O856" s="45"/>
      <c r="P856" s="45"/>
      <c r="Q856" s="45"/>
      <c r="R856" s="45"/>
      <c r="S856" s="45"/>
      <c r="T856" s="45"/>
      <c r="U856" s="45"/>
      <c r="V856" s="45"/>
      <c r="W856" s="45"/>
      <c r="X856" s="45"/>
      <c r="Y856" s="45"/>
      <c r="Z856" s="45"/>
    </row>
    <row r="857" spans="1:26">
      <c r="A857" s="45"/>
      <c r="B857" s="45"/>
      <c r="C857" s="45"/>
      <c r="D857" s="45"/>
      <c r="E857" s="45"/>
      <c r="F857" s="45"/>
      <c r="G857" s="45"/>
      <c r="H857" s="45"/>
      <c r="I857" s="45"/>
      <c r="J857" s="45"/>
      <c r="K857" s="45"/>
      <c r="L857" s="45"/>
      <c r="M857" s="45"/>
      <c r="N857" s="44"/>
      <c r="O857" s="45"/>
      <c r="P857" s="45"/>
      <c r="Q857" s="45"/>
      <c r="R857" s="45"/>
      <c r="S857" s="45"/>
      <c r="T857" s="45"/>
      <c r="U857" s="45"/>
      <c r="V857" s="45"/>
      <c r="W857" s="45"/>
      <c r="X857" s="45"/>
      <c r="Y857" s="45"/>
      <c r="Z857" s="45"/>
    </row>
    <row r="858" spans="1:26">
      <c r="A858" s="45"/>
      <c r="B858" s="45"/>
      <c r="C858" s="45"/>
      <c r="D858" s="45"/>
      <c r="E858" s="45"/>
      <c r="F858" s="45"/>
      <c r="G858" s="45"/>
      <c r="H858" s="45"/>
      <c r="I858" s="45"/>
      <c r="J858" s="45"/>
      <c r="K858" s="45"/>
      <c r="L858" s="45"/>
      <c r="M858" s="45"/>
      <c r="N858" s="44"/>
      <c r="O858" s="45"/>
      <c r="P858" s="45"/>
      <c r="Q858" s="45"/>
      <c r="R858" s="45"/>
      <c r="S858" s="45"/>
      <c r="T858" s="45"/>
      <c r="U858" s="45"/>
      <c r="V858" s="45"/>
      <c r="W858" s="45"/>
      <c r="X858" s="45"/>
      <c r="Y858" s="45"/>
      <c r="Z858" s="45"/>
    </row>
    <row r="859" spans="1:26">
      <c r="A859" s="45"/>
      <c r="B859" s="45"/>
      <c r="C859" s="45"/>
      <c r="D859" s="45"/>
      <c r="E859" s="45"/>
      <c r="F859" s="45"/>
      <c r="G859" s="45"/>
      <c r="H859" s="45"/>
      <c r="I859" s="45"/>
      <c r="J859" s="45"/>
      <c r="K859" s="45"/>
      <c r="L859" s="45"/>
      <c r="M859" s="45"/>
      <c r="N859" s="44"/>
      <c r="O859" s="45"/>
      <c r="P859" s="45"/>
      <c r="Q859" s="45"/>
      <c r="R859" s="45"/>
      <c r="S859" s="45"/>
      <c r="T859" s="45"/>
      <c r="U859" s="45"/>
      <c r="V859" s="45"/>
      <c r="W859" s="45"/>
      <c r="X859" s="45"/>
      <c r="Y859" s="45"/>
      <c r="Z859" s="45"/>
    </row>
    <row r="860" spans="1:26">
      <c r="A860" s="45"/>
      <c r="B860" s="45"/>
      <c r="C860" s="45"/>
      <c r="D860" s="45"/>
      <c r="E860" s="45"/>
      <c r="F860" s="45"/>
      <c r="G860" s="45"/>
      <c r="H860" s="45"/>
      <c r="I860" s="45"/>
      <c r="J860" s="45"/>
      <c r="K860" s="45"/>
      <c r="L860" s="45"/>
      <c r="M860" s="45"/>
      <c r="N860" s="44"/>
      <c r="O860" s="45"/>
      <c r="P860" s="45"/>
      <c r="Q860" s="45"/>
      <c r="R860" s="45"/>
      <c r="S860" s="45"/>
      <c r="T860" s="45"/>
      <c r="U860" s="45"/>
      <c r="V860" s="45"/>
      <c r="W860" s="45"/>
      <c r="X860" s="45"/>
      <c r="Y860" s="45"/>
      <c r="Z860" s="45"/>
    </row>
    <row r="861" spans="1:26">
      <c r="A861" s="45"/>
      <c r="B861" s="45"/>
      <c r="C861" s="45"/>
      <c r="D861" s="45"/>
      <c r="E861" s="45"/>
      <c r="F861" s="45"/>
      <c r="G861" s="45"/>
      <c r="H861" s="45"/>
      <c r="I861" s="45"/>
      <c r="J861" s="45"/>
      <c r="K861" s="45"/>
      <c r="L861" s="45"/>
      <c r="M861" s="45"/>
      <c r="N861" s="44"/>
      <c r="O861" s="45"/>
      <c r="P861" s="45"/>
      <c r="Q861" s="45"/>
      <c r="R861" s="45"/>
      <c r="S861" s="45"/>
      <c r="T861" s="45"/>
      <c r="U861" s="45"/>
      <c r="V861" s="45"/>
      <c r="W861" s="45"/>
      <c r="X861" s="45"/>
      <c r="Y861" s="45"/>
      <c r="Z861" s="45"/>
    </row>
    <row r="862" spans="1:26">
      <c r="A862" s="45"/>
      <c r="B862" s="45"/>
      <c r="C862" s="45"/>
      <c r="D862" s="45"/>
      <c r="E862" s="45"/>
      <c r="F862" s="45"/>
      <c r="G862" s="45"/>
      <c r="H862" s="45"/>
      <c r="I862" s="45"/>
      <c r="J862" s="45"/>
      <c r="K862" s="45"/>
      <c r="L862" s="45"/>
      <c r="M862" s="45"/>
      <c r="N862" s="44"/>
      <c r="O862" s="45"/>
      <c r="P862" s="45"/>
      <c r="Q862" s="45"/>
      <c r="R862" s="45"/>
      <c r="S862" s="45"/>
      <c r="T862" s="45"/>
      <c r="U862" s="45"/>
      <c r="V862" s="45"/>
      <c r="W862" s="45"/>
      <c r="X862" s="45"/>
      <c r="Y862" s="45"/>
      <c r="Z862" s="45"/>
    </row>
    <row r="863" spans="1:26">
      <c r="A863" s="45"/>
      <c r="B863" s="45"/>
      <c r="C863" s="45"/>
      <c r="D863" s="45"/>
      <c r="E863" s="45"/>
      <c r="F863" s="45"/>
      <c r="G863" s="45"/>
      <c r="H863" s="45"/>
      <c r="I863" s="45"/>
      <c r="J863" s="45"/>
      <c r="K863" s="45"/>
      <c r="L863" s="45"/>
      <c r="M863" s="45"/>
      <c r="N863" s="44"/>
      <c r="O863" s="45"/>
      <c r="P863" s="45"/>
      <c r="Q863" s="45"/>
      <c r="R863" s="45"/>
      <c r="S863" s="45"/>
      <c r="T863" s="45"/>
      <c r="U863" s="45"/>
      <c r="V863" s="45"/>
      <c r="W863" s="45"/>
      <c r="X863" s="45"/>
      <c r="Y863" s="45"/>
      <c r="Z863" s="45"/>
    </row>
    <row r="864" spans="1:26">
      <c r="A864" s="45"/>
      <c r="B864" s="45"/>
      <c r="C864" s="45"/>
      <c r="D864" s="45"/>
      <c r="E864" s="45"/>
      <c r="F864" s="45"/>
      <c r="G864" s="45"/>
      <c r="H864" s="45"/>
      <c r="I864" s="45"/>
      <c r="J864" s="45"/>
      <c r="K864" s="45"/>
      <c r="L864" s="45"/>
      <c r="M864" s="45"/>
      <c r="N864" s="44"/>
      <c r="O864" s="45"/>
      <c r="P864" s="45"/>
      <c r="Q864" s="45"/>
      <c r="R864" s="45"/>
      <c r="S864" s="45"/>
      <c r="T864" s="45"/>
      <c r="U864" s="45"/>
      <c r="V864" s="45"/>
      <c r="W864" s="45"/>
      <c r="X864" s="45"/>
      <c r="Y864" s="45"/>
      <c r="Z864" s="45"/>
    </row>
    <row r="865" spans="1:26">
      <c r="A865" s="45"/>
      <c r="B865" s="45"/>
      <c r="C865" s="45"/>
      <c r="D865" s="45"/>
      <c r="E865" s="45"/>
      <c r="F865" s="45"/>
      <c r="G865" s="45"/>
      <c r="H865" s="45"/>
      <c r="I865" s="45"/>
      <c r="J865" s="45"/>
      <c r="K865" s="45"/>
      <c r="L865" s="45"/>
      <c r="M865" s="45"/>
      <c r="N865" s="44"/>
      <c r="O865" s="45"/>
      <c r="P865" s="45"/>
      <c r="Q865" s="45"/>
      <c r="R865" s="45"/>
      <c r="S865" s="45"/>
      <c r="T865" s="45"/>
      <c r="U865" s="45"/>
      <c r="V865" s="45"/>
      <c r="W865" s="45"/>
      <c r="X865" s="45"/>
      <c r="Y865" s="45"/>
      <c r="Z865" s="45"/>
    </row>
    <row r="866" spans="1:26">
      <c r="A866" s="45"/>
      <c r="B866" s="45"/>
      <c r="C866" s="45"/>
      <c r="D866" s="45"/>
      <c r="E866" s="45"/>
      <c r="F866" s="45"/>
      <c r="G866" s="45"/>
      <c r="H866" s="45"/>
      <c r="I866" s="45"/>
      <c r="J866" s="45"/>
      <c r="K866" s="45"/>
      <c r="L866" s="45"/>
      <c r="M866" s="45"/>
      <c r="N866" s="44"/>
      <c r="O866" s="45"/>
      <c r="P866" s="45"/>
      <c r="Q866" s="45"/>
      <c r="R866" s="45"/>
      <c r="S866" s="45"/>
      <c r="T866" s="45"/>
      <c r="U866" s="45"/>
      <c r="V866" s="45"/>
      <c r="W866" s="45"/>
      <c r="X866" s="45"/>
      <c r="Y866" s="45"/>
      <c r="Z866" s="45"/>
    </row>
    <row r="867" spans="1:26">
      <c r="A867" s="45"/>
      <c r="B867" s="45"/>
      <c r="C867" s="45"/>
      <c r="D867" s="45"/>
      <c r="E867" s="45"/>
      <c r="F867" s="45"/>
      <c r="G867" s="45"/>
      <c r="H867" s="45"/>
      <c r="I867" s="45"/>
      <c r="J867" s="45"/>
      <c r="K867" s="45"/>
      <c r="L867" s="45"/>
      <c r="M867" s="45"/>
      <c r="N867" s="44"/>
      <c r="O867" s="45"/>
      <c r="P867" s="45"/>
      <c r="Q867" s="45"/>
      <c r="R867" s="45"/>
      <c r="S867" s="45"/>
      <c r="T867" s="45"/>
      <c r="U867" s="45"/>
      <c r="V867" s="45"/>
      <c r="W867" s="45"/>
      <c r="X867" s="45"/>
      <c r="Y867" s="45"/>
      <c r="Z867" s="45"/>
    </row>
    <row r="868" spans="1:26">
      <c r="A868" s="45"/>
      <c r="B868" s="45"/>
      <c r="C868" s="45"/>
      <c r="D868" s="45"/>
      <c r="E868" s="45"/>
      <c r="F868" s="45"/>
      <c r="G868" s="45"/>
      <c r="H868" s="45"/>
      <c r="I868" s="45"/>
      <c r="J868" s="45"/>
      <c r="K868" s="45"/>
      <c r="L868" s="45"/>
      <c r="M868" s="45"/>
      <c r="N868" s="44"/>
      <c r="O868" s="45"/>
      <c r="P868" s="45"/>
      <c r="Q868" s="45"/>
      <c r="R868" s="45"/>
      <c r="S868" s="45"/>
      <c r="T868" s="45"/>
      <c r="U868" s="45"/>
      <c r="V868" s="45"/>
      <c r="W868" s="45"/>
      <c r="X868" s="45"/>
      <c r="Y868" s="45"/>
      <c r="Z868" s="45"/>
    </row>
    <row r="869" spans="1:26">
      <c r="A869" s="45"/>
      <c r="B869" s="45"/>
      <c r="C869" s="45"/>
      <c r="D869" s="45"/>
      <c r="E869" s="45"/>
      <c r="F869" s="45"/>
      <c r="G869" s="45"/>
      <c r="H869" s="45"/>
      <c r="I869" s="45"/>
      <c r="J869" s="45"/>
      <c r="K869" s="45"/>
      <c r="L869" s="45"/>
      <c r="M869" s="45"/>
      <c r="N869" s="44"/>
      <c r="O869" s="45"/>
      <c r="P869" s="45"/>
      <c r="Q869" s="45"/>
      <c r="R869" s="45"/>
      <c r="S869" s="45"/>
      <c r="T869" s="45"/>
      <c r="U869" s="45"/>
      <c r="V869" s="45"/>
      <c r="W869" s="45"/>
      <c r="X869" s="45"/>
      <c r="Y869" s="45"/>
      <c r="Z869" s="45"/>
    </row>
    <row r="870" spans="1:26">
      <c r="A870" s="45"/>
      <c r="B870" s="45"/>
      <c r="C870" s="45"/>
      <c r="D870" s="45"/>
      <c r="E870" s="45"/>
      <c r="F870" s="45"/>
      <c r="G870" s="45"/>
      <c r="H870" s="45"/>
      <c r="I870" s="45"/>
      <c r="J870" s="45"/>
      <c r="K870" s="45"/>
      <c r="L870" s="45"/>
      <c r="M870" s="45"/>
      <c r="N870" s="44"/>
      <c r="O870" s="45"/>
      <c r="P870" s="45"/>
      <c r="Q870" s="45"/>
      <c r="R870" s="45"/>
      <c r="S870" s="45"/>
      <c r="T870" s="45"/>
      <c r="U870" s="45"/>
      <c r="V870" s="45"/>
      <c r="W870" s="45"/>
      <c r="X870" s="45"/>
      <c r="Y870" s="45"/>
      <c r="Z870" s="45"/>
    </row>
    <row r="871" spans="1:26">
      <c r="A871" s="45"/>
      <c r="B871" s="45"/>
      <c r="C871" s="45"/>
      <c r="D871" s="45"/>
      <c r="E871" s="45"/>
      <c r="F871" s="45"/>
      <c r="G871" s="45"/>
      <c r="H871" s="45"/>
      <c r="I871" s="45"/>
      <c r="J871" s="45"/>
      <c r="K871" s="45"/>
      <c r="L871" s="45"/>
      <c r="M871" s="45"/>
      <c r="N871" s="44"/>
      <c r="O871" s="45"/>
      <c r="P871" s="45"/>
      <c r="Q871" s="45"/>
      <c r="R871" s="45"/>
      <c r="S871" s="45"/>
      <c r="T871" s="45"/>
      <c r="U871" s="45"/>
      <c r="V871" s="45"/>
      <c r="W871" s="45"/>
      <c r="X871" s="45"/>
      <c r="Y871" s="45"/>
      <c r="Z871" s="45"/>
    </row>
    <row r="872" spans="1:26">
      <c r="A872" s="45"/>
      <c r="B872" s="45"/>
      <c r="C872" s="45"/>
      <c r="D872" s="45"/>
      <c r="E872" s="45"/>
      <c r="F872" s="45"/>
      <c r="G872" s="45"/>
      <c r="H872" s="45"/>
      <c r="I872" s="45"/>
      <c r="J872" s="45"/>
      <c r="K872" s="45"/>
      <c r="L872" s="45"/>
      <c r="M872" s="45"/>
      <c r="N872" s="44"/>
      <c r="O872" s="45"/>
      <c r="P872" s="45"/>
      <c r="Q872" s="45"/>
      <c r="R872" s="45"/>
      <c r="S872" s="45"/>
      <c r="T872" s="45"/>
      <c r="U872" s="45"/>
      <c r="V872" s="45"/>
      <c r="W872" s="45"/>
      <c r="X872" s="45"/>
      <c r="Y872" s="45"/>
      <c r="Z872" s="45"/>
    </row>
    <row r="873" spans="1:26">
      <c r="A873" s="45"/>
      <c r="B873" s="45"/>
      <c r="C873" s="45"/>
      <c r="D873" s="45"/>
      <c r="E873" s="45"/>
      <c r="F873" s="45"/>
      <c r="G873" s="45"/>
      <c r="H873" s="45"/>
      <c r="I873" s="45"/>
      <c r="J873" s="45"/>
      <c r="K873" s="45"/>
      <c r="L873" s="45"/>
      <c r="M873" s="45"/>
      <c r="N873" s="44"/>
      <c r="O873" s="45"/>
      <c r="P873" s="45"/>
      <c r="Q873" s="45"/>
      <c r="R873" s="45"/>
      <c r="S873" s="45"/>
      <c r="T873" s="45"/>
      <c r="U873" s="45"/>
      <c r="V873" s="45"/>
      <c r="W873" s="45"/>
      <c r="X873" s="45"/>
      <c r="Y873" s="45"/>
      <c r="Z873" s="45"/>
    </row>
    <row r="874" spans="1:26">
      <c r="A874" s="45"/>
      <c r="B874" s="45"/>
      <c r="C874" s="45"/>
      <c r="D874" s="45"/>
      <c r="E874" s="45"/>
      <c r="F874" s="45"/>
      <c r="G874" s="45"/>
      <c r="H874" s="45"/>
      <c r="I874" s="45"/>
      <c r="J874" s="45"/>
      <c r="K874" s="45"/>
      <c r="L874" s="45"/>
      <c r="M874" s="45"/>
      <c r="N874" s="44"/>
      <c r="O874" s="45"/>
      <c r="P874" s="45"/>
      <c r="Q874" s="45"/>
      <c r="R874" s="45"/>
      <c r="S874" s="45"/>
      <c r="T874" s="45"/>
      <c r="U874" s="45"/>
      <c r="V874" s="45"/>
      <c r="W874" s="45"/>
      <c r="X874" s="45"/>
      <c r="Y874" s="45"/>
      <c r="Z874" s="45"/>
    </row>
    <row r="875" spans="1:26">
      <c r="A875" s="45"/>
      <c r="B875" s="45"/>
      <c r="C875" s="45"/>
      <c r="D875" s="45"/>
      <c r="E875" s="45"/>
      <c r="F875" s="45"/>
      <c r="G875" s="45"/>
      <c r="H875" s="45"/>
      <c r="I875" s="45"/>
      <c r="J875" s="45"/>
      <c r="K875" s="45"/>
      <c r="L875" s="45"/>
      <c r="M875" s="45"/>
      <c r="N875" s="44"/>
      <c r="O875" s="45"/>
      <c r="P875" s="45"/>
      <c r="Q875" s="45"/>
      <c r="R875" s="45"/>
      <c r="S875" s="45"/>
      <c r="T875" s="45"/>
      <c r="U875" s="45"/>
      <c r="V875" s="45"/>
      <c r="W875" s="45"/>
      <c r="X875" s="45"/>
      <c r="Y875" s="45"/>
      <c r="Z875" s="45"/>
    </row>
    <row r="876" spans="1:26">
      <c r="A876" s="45"/>
      <c r="B876" s="45"/>
      <c r="C876" s="45"/>
      <c r="D876" s="45"/>
      <c r="E876" s="45"/>
      <c r="F876" s="45"/>
      <c r="G876" s="45"/>
      <c r="H876" s="45"/>
      <c r="I876" s="45"/>
      <c r="J876" s="45"/>
      <c r="K876" s="45"/>
      <c r="L876" s="45"/>
      <c r="M876" s="45"/>
      <c r="N876" s="44"/>
      <c r="O876" s="45"/>
      <c r="P876" s="45"/>
      <c r="Q876" s="45"/>
      <c r="R876" s="45"/>
      <c r="S876" s="45"/>
      <c r="T876" s="45"/>
      <c r="U876" s="45"/>
      <c r="V876" s="45"/>
      <c r="W876" s="45"/>
      <c r="X876" s="45"/>
      <c r="Y876" s="45"/>
      <c r="Z876" s="45"/>
    </row>
    <row r="877" spans="1:26">
      <c r="A877" s="45"/>
      <c r="B877" s="45"/>
      <c r="C877" s="45"/>
      <c r="D877" s="45"/>
      <c r="E877" s="45"/>
      <c r="F877" s="45"/>
      <c r="G877" s="45"/>
      <c r="H877" s="45"/>
      <c r="I877" s="45"/>
      <c r="J877" s="45"/>
      <c r="K877" s="45"/>
      <c r="L877" s="45"/>
      <c r="M877" s="45"/>
      <c r="N877" s="44"/>
      <c r="O877" s="45"/>
      <c r="P877" s="45"/>
      <c r="Q877" s="45"/>
      <c r="R877" s="45"/>
      <c r="S877" s="45"/>
      <c r="T877" s="45"/>
      <c r="U877" s="45"/>
      <c r="V877" s="45"/>
      <c r="W877" s="45"/>
      <c r="X877" s="45"/>
      <c r="Y877" s="45"/>
      <c r="Z877" s="45"/>
    </row>
    <row r="878" spans="1:26">
      <c r="A878" s="45"/>
      <c r="B878" s="45"/>
      <c r="C878" s="45"/>
      <c r="D878" s="45"/>
      <c r="E878" s="45"/>
      <c r="F878" s="45"/>
      <c r="G878" s="45"/>
      <c r="H878" s="45"/>
      <c r="I878" s="45"/>
      <c r="J878" s="45"/>
      <c r="K878" s="45"/>
      <c r="L878" s="45"/>
      <c r="M878" s="45"/>
      <c r="N878" s="44"/>
      <c r="O878" s="45"/>
      <c r="P878" s="45"/>
      <c r="Q878" s="45"/>
      <c r="R878" s="45"/>
      <c r="S878" s="45"/>
      <c r="T878" s="45"/>
      <c r="U878" s="45"/>
      <c r="V878" s="45"/>
      <c r="W878" s="45"/>
      <c r="X878" s="45"/>
      <c r="Y878" s="45"/>
      <c r="Z878" s="45"/>
    </row>
    <row r="879" spans="1:26">
      <c r="A879" s="45"/>
      <c r="B879" s="45"/>
      <c r="C879" s="45"/>
      <c r="D879" s="45"/>
      <c r="E879" s="45"/>
      <c r="F879" s="45"/>
      <c r="G879" s="45"/>
      <c r="H879" s="45"/>
      <c r="I879" s="45"/>
      <c r="J879" s="45"/>
      <c r="K879" s="45"/>
      <c r="L879" s="45"/>
      <c r="M879" s="45"/>
      <c r="N879" s="44"/>
      <c r="O879" s="45"/>
      <c r="P879" s="45"/>
      <c r="Q879" s="45"/>
      <c r="R879" s="45"/>
      <c r="S879" s="45"/>
      <c r="T879" s="45"/>
      <c r="U879" s="45"/>
      <c r="V879" s="45"/>
      <c r="W879" s="45"/>
      <c r="X879" s="45"/>
      <c r="Y879" s="45"/>
      <c r="Z879" s="45"/>
    </row>
    <row r="880" spans="1:26">
      <c r="A880" s="45"/>
      <c r="B880" s="45"/>
      <c r="C880" s="45"/>
      <c r="D880" s="45"/>
      <c r="E880" s="45"/>
      <c r="F880" s="45"/>
      <c r="G880" s="45"/>
      <c r="H880" s="45"/>
      <c r="I880" s="45"/>
      <c r="J880" s="45"/>
      <c r="K880" s="45"/>
      <c r="L880" s="45"/>
      <c r="M880" s="45"/>
      <c r="N880" s="44"/>
      <c r="O880" s="45"/>
      <c r="P880" s="45"/>
      <c r="Q880" s="45"/>
      <c r="R880" s="45"/>
      <c r="S880" s="45"/>
      <c r="T880" s="45"/>
      <c r="U880" s="45"/>
      <c r="V880" s="45"/>
      <c r="W880" s="45"/>
      <c r="X880" s="45"/>
      <c r="Y880" s="45"/>
      <c r="Z880" s="45"/>
    </row>
    <row r="881" spans="1:26">
      <c r="A881" s="45"/>
      <c r="B881" s="45"/>
      <c r="C881" s="45"/>
      <c r="D881" s="45"/>
      <c r="E881" s="45"/>
      <c r="F881" s="45"/>
      <c r="G881" s="45"/>
      <c r="H881" s="45"/>
      <c r="I881" s="45"/>
      <c r="J881" s="45"/>
      <c r="K881" s="45"/>
      <c r="L881" s="45"/>
      <c r="M881" s="45"/>
      <c r="N881" s="44"/>
      <c r="O881" s="45"/>
      <c r="P881" s="45"/>
      <c r="Q881" s="45"/>
      <c r="R881" s="45"/>
      <c r="S881" s="45"/>
      <c r="T881" s="45"/>
      <c r="U881" s="45"/>
      <c r="V881" s="45"/>
      <c r="W881" s="45"/>
      <c r="X881" s="45"/>
      <c r="Y881" s="45"/>
      <c r="Z881" s="45"/>
    </row>
    <row r="882" spans="1:26">
      <c r="A882" s="45"/>
      <c r="B882" s="45"/>
      <c r="C882" s="45"/>
      <c r="D882" s="45"/>
      <c r="E882" s="45"/>
      <c r="F882" s="45"/>
      <c r="G882" s="45"/>
      <c r="H882" s="45"/>
      <c r="I882" s="45"/>
      <c r="J882" s="45"/>
      <c r="K882" s="45"/>
      <c r="L882" s="45"/>
      <c r="M882" s="45"/>
      <c r="N882" s="44"/>
      <c r="O882" s="45"/>
      <c r="P882" s="45"/>
      <c r="Q882" s="45"/>
      <c r="R882" s="45"/>
      <c r="S882" s="45"/>
      <c r="T882" s="45"/>
      <c r="U882" s="45"/>
      <c r="V882" s="45"/>
      <c r="W882" s="45"/>
      <c r="X882" s="45"/>
      <c r="Y882" s="45"/>
      <c r="Z882" s="45"/>
    </row>
    <row r="883" spans="1:26">
      <c r="A883" s="45"/>
      <c r="B883" s="45"/>
      <c r="C883" s="45"/>
      <c r="D883" s="45"/>
      <c r="E883" s="45"/>
      <c r="F883" s="45"/>
      <c r="G883" s="45"/>
      <c r="H883" s="45"/>
      <c r="I883" s="45"/>
      <c r="J883" s="45"/>
      <c r="K883" s="45"/>
      <c r="L883" s="45"/>
      <c r="M883" s="45"/>
      <c r="N883" s="44"/>
      <c r="O883" s="45"/>
      <c r="P883" s="45"/>
      <c r="Q883" s="45"/>
      <c r="R883" s="45"/>
      <c r="S883" s="45"/>
      <c r="T883" s="45"/>
      <c r="U883" s="45"/>
      <c r="V883" s="45"/>
      <c r="W883" s="45"/>
      <c r="X883" s="45"/>
      <c r="Y883" s="45"/>
      <c r="Z883" s="45"/>
    </row>
    <row r="884" spans="1:26">
      <c r="A884" s="45"/>
      <c r="B884" s="45"/>
      <c r="C884" s="45"/>
      <c r="D884" s="45"/>
      <c r="E884" s="45"/>
      <c r="F884" s="45"/>
      <c r="G884" s="45"/>
      <c r="H884" s="45"/>
      <c r="I884" s="45"/>
      <c r="J884" s="45"/>
      <c r="K884" s="45"/>
      <c r="L884" s="45"/>
      <c r="M884" s="45"/>
      <c r="N884" s="44"/>
      <c r="O884" s="45"/>
      <c r="P884" s="45"/>
      <c r="Q884" s="45"/>
      <c r="R884" s="45"/>
      <c r="S884" s="45"/>
      <c r="T884" s="45"/>
      <c r="U884" s="45"/>
      <c r="V884" s="45"/>
      <c r="W884" s="45"/>
      <c r="X884" s="45"/>
      <c r="Y884" s="45"/>
      <c r="Z884" s="45"/>
    </row>
    <row r="885" spans="1:26">
      <c r="A885" s="45"/>
      <c r="B885" s="45"/>
      <c r="C885" s="45"/>
      <c r="D885" s="45"/>
      <c r="E885" s="45"/>
      <c r="F885" s="45"/>
      <c r="G885" s="45"/>
      <c r="H885" s="45"/>
      <c r="I885" s="45"/>
      <c r="J885" s="45"/>
      <c r="K885" s="45"/>
      <c r="L885" s="45"/>
      <c r="M885" s="45"/>
      <c r="N885" s="44"/>
      <c r="O885" s="45"/>
      <c r="P885" s="45"/>
      <c r="Q885" s="45"/>
      <c r="R885" s="45"/>
      <c r="S885" s="45"/>
      <c r="T885" s="45"/>
      <c r="U885" s="45"/>
      <c r="V885" s="45"/>
      <c r="W885" s="45"/>
      <c r="X885" s="45"/>
      <c r="Y885" s="45"/>
      <c r="Z885" s="45"/>
    </row>
    <row r="886" spans="1:26">
      <c r="A886" s="45"/>
      <c r="B886" s="45"/>
      <c r="C886" s="45"/>
      <c r="D886" s="45"/>
      <c r="E886" s="45"/>
      <c r="F886" s="45"/>
      <c r="G886" s="45"/>
      <c r="H886" s="45"/>
      <c r="I886" s="45"/>
      <c r="J886" s="45"/>
      <c r="K886" s="45"/>
      <c r="L886" s="45"/>
      <c r="M886" s="45"/>
      <c r="N886" s="44"/>
      <c r="O886" s="45"/>
      <c r="P886" s="45"/>
      <c r="Q886" s="45"/>
      <c r="R886" s="45"/>
      <c r="S886" s="45"/>
      <c r="T886" s="45"/>
      <c r="U886" s="45"/>
      <c r="V886" s="45"/>
      <c r="W886" s="45"/>
      <c r="X886" s="45"/>
      <c r="Y886" s="45"/>
      <c r="Z886" s="45"/>
    </row>
    <row r="887" spans="1:26">
      <c r="A887" s="45"/>
      <c r="B887" s="45"/>
      <c r="C887" s="45"/>
      <c r="D887" s="45"/>
      <c r="E887" s="45"/>
      <c r="F887" s="45"/>
      <c r="G887" s="45"/>
      <c r="H887" s="45"/>
      <c r="I887" s="45"/>
      <c r="J887" s="45"/>
      <c r="K887" s="45"/>
      <c r="L887" s="45"/>
      <c r="M887" s="45"/>
      <c r="N887" s="44"/>
      <c r="O887" s="45"/>
      <c r="P887" s="45"/>
      <c r="Q887" s="45"/>
      <c r="R887" s="45"/>
      <c r="S887" s="45"/>
      <c r="T887" s="45"/>
      <c r="U887" s="45"/>
      <c r="V887" s="45"/>
      <c r="W887" s="45"/>
      <c r="X887" s="45"/>
      <c r="Y887" s="45"/>
      <c r="Z887" s="45"/>
    </row>
    <row r="888" spans="1:26">
      <c r="A888" s="45"/>
      <c r="B888" s="45"/>
      <c r="C888" s="45"/>
      <c r="D888" s="45"/>
      <c r="E888" s="45"/>
      <c r="F888" s="45"/>
      <c r="G888" s="45"/>
      <c r="H888" s="45"/>
      <c r="I888" s="45"/>
      <c r="J888" s="45"/>
      <c r="K888" s="45"/>
      <c r="L888" s="45"/>
      <c r="M888" s="45"/>
      <c r="N888" s="44"/>
      <c r="O888" s="45"/>
      <c r="P888" s="45"/>
      <c r="Q888" s="45"/>
      <c r="R888" s="45"/>
      <c r="S888" s="45"/>
      <c r="T888" s="45"/>
      <c r="U888" s="45"/>
      <c r="V888" s="45"/>
      <c r="W888" s="45"/>
      <c r="X888" s="45"/>
      <c r="Y888" s="45"/>
      <c r="Z888" s="45"/>
    </row>
    <row r="889" spans="1:26">
      <c r="A889" s="45"/>
      <c r="B889" s="45"/>
      <c r="C889" s="45"/>
      <c r="D889" s="45"/>
      <c r="E889" s="45"/>
      <c r="F889" s="45"/>
      <c r="G889" s="45"/>
      <c r="H889" s="45"/>
      <c r="I889" s="45"/>
      <c r="J889" s="45"/>
      <c r="K889" s="45"/>
      <c r="L889" s="45"/>
      <c r="M889" s="45"/>
      <c r="N889" s="44"/>
      <c r="O889" s="45"/>
      <c r="P889" s="45"/>
      <c r="Q889" s="45"/>
      <c r="R889" s="45"/>
      <c r="S889" s="45"/>
      <c r="T889" s="45"/>
      <c r="U889" s="45"/>
      <c r="V889" s="45"/>
      <c r="W889" s="45"/>
      <c r="X889" s="45"/>
      <c r="Y889" s="45"/>
      <c r="Z889" s="45"/>
    </row>
    <row r="890" spans="1:26">
      <c r="A890" s="45"/>
      <c r="B890" s="45"/>
      <c r="C890" s="45"/>
      <c r="D890" s="45"/>
      <c r="E890" s="45"/>
      <c r="F890" s="45"/>
      <c r="G890" s="45"/>
      <c r="H890" s="45"/>
      <c r="I890" s="45"/>
      <c r="J890" s="45"/>
      <c r="K890" s="45"/>
      <c r="L890" s="45"/>
      <c r="M890" s="45"/>
      <c r="N890" s="44"/>
      <c r="O890" s="45"/>
      <c r="P890" s="45"/>
      <c r="Q890" s="45"/>
      <c r="R890" s="45"/>
      <c r="S890" s="45"/>
      <c r="T890" s="45"/>
      <c r="U890" s="45"/>
      <c r="V890" s="45"/>
      <c r="W890" s="45"/>
      <c r="X890" s="45"/>
      <c r="Y890" s="45"/>
      <c r="Z890" s="45"/>
    </row>
    <row r="891" spans="1:26">
      <c r="A891" s="45"/>
      <c r="B891" s="45"/>
      <c r="C891" s="45"/>
      <c r="D891" s="45"/>
      <c r="E891" s="45"/>
      <c r="F891" s="45"/>
      <c r="G891" s="45"/>
      <c r="H891" s="45"/>
      <c r="I891" s="45"/>
      <c r="J891" s="45"/>
      <c r="K891" s="45"/>
      <c r="L891" s="45"/>
      <c r="M891" s="45"/>
      <c r="N891" s="44"/>
      <c r="O891" s="45"/>
      <c r="P891" s="45"/>
      <c r="Q891" s="45"/>
      <c r="R891" s="45"/>
      <c r="S891" s="45"/>
      <c r="T891" s="45"/>
      <c r="U891" s="45"/>
      <c r="V891" s="45"/>
      <c r="W891" s="45"/>
      <c r="X891" s="45"/>
      <c r="Y891" s="45"/>
      <c r="Z891" s="45"/>
    </row>
    <row r="892" spans="1:26">
      <c r="A892" s="45"/>
      <c r="B892" s="45"/>
      <c r="C892" s="45"/>
      <c r="D892" s="45"/>
      <c r="E892" s="45"/>
      <c r="F892" s="45"/>
      <c r="G892" s="45"/>
      <c r="H892" s="45"/>
      <c r="I892" s="45"/>
      <c r="J892" s="45"/>
      <c r="K892" s="45"/>
      <c r="L892" s="45"/>
      <c r="M892" s="45"/>
      <c r="N892" s="44"/>
      <c r="O892" s="45"/>
      <c r="P892" s="45"/>
      <c r="Q892" s="45"/>
      <c r="R892" s="45"/>
      <c r="S892" s="45"/>
      <c r="T892" s="45"/>
      <c r="U892" s="45"/>
      <c r="V892" s="45"/>
      <c r="W892" s="45"/>
      <c r="X892" s="45"/>
      <c r="Y892" s="45"/>
      <c r="Z892" s="45"/>
    </row>
    <row r="893" spans="1:26">
      <c r="A893" s="45"/>
      <c r="B893" s="45"/>
      <c r="C893" s="45"/>
      <c r="D893" s="45"/>
      <c r="E893" s="45"/>
      <c r="F893" s="45"/>
      <c r="G893" s="45"/>
      <c r="H893" s="45"/>
      <c r="I893" s="45"/>
      <c r="J893" s="45"/>
      <c r="K893" s="45"/>
      <c r="L893" s="45"/>
      <c r="M893" s="45"/>
      <c r="N893" s="44"/>
      <c r="O893" s="45"/>
      <c r="P893" s="45"/>
      <c r="Q893" s="45"/>
      <c r="R893" s="45"/>
      <c r="S893" s="45"/>
      <c r="T893" s="45"/>
      <c r="U893" s="45"/>
      <c r="V893" s="45"/>
      <c r="W893" s="45"/>
      <c r="X893" s="45"/>
      <c r="Y893" s="45"/>
      <c r="Z893" s="45"/>
    </row>
    <row r="894" spans="1:26">
      <c r="A894" s="45"/>
      <c r="B894" s="45"/>
      <c r="C894" s="45"/>
      <c r="D894" s="45"/>
      <c r="E894" s="45"/>
      <c r="F894" s="45"/>
      <c r="G894" s="45"/>
      <c r="H894" s="45"/>
      <c r="I894" s="45"/>
      <c r="J894" s="45"/>
      <c r="K894" s="45"/>
      <c r="L894" s="45"/>
      <c r="M894" s="45"/>
      <c r="N894" s="44"/>
      <c r="O894" s="45"/>
      <c r="P894" s="45"/>
      <c r="Q894" s="45"/>
      <c r="R894" s="45"/>
      <c r="S894" s="45"/>
      <c r="T894" s="45"/>
      <c r="U894" s="45"/>
      <c r="V894" s="45"/>
      <c r="W894" s="45"/>
      <c r="X894" s="45"/>
      <c r="Y894" s="45"/>
      <c r="Z894" s="45"/>
    </row>
    <row r="895" spans="1:26">
      <c r="A895" s="45"/>
      <c r="B895" s="45"/>
      <c r="C895" s="45"/>
      <c r="D895" s="45"/>
      <c r="E895" s="45"/>
      <c r="F895" s="45"/>
      <c r="G895" s="45"/>
      <c r="H895" s="45"/>
      <c r="I895" s="45"/>
      <c r="J895" s="45"/>
      <c r="K895" s="45"/>
      <c r="L895" s="45"/>
      <c r="M895" s="45"/>
      <c r="N895" s="44"/>
      <c r="O895" s="45"/>
      <c r="P895" s="45"/>
      <c r="Q895" s="45"/>
      <c r="R895" s="45"/>
      <c r="S895" s="45"/>
      <c r="T895" s="45"/>
      <c r="U895" s="45"/>
      <c r="V895" s="45"/>
      <c r="W895" s="45"/>
      <c r="X895" s="45"/>
      <c r="Y895" s="45"/>
      <c r="Z895" s="45"/>
    </row>
    <row r="896" spans="1:26">
      <c r="A896" s="45"/>
      <c r="B896" s="45"/>
      <c r="C896" s="45"/>
      <c r="D896" s="45"/>
      <c r="E896" s="45"/>
      <c r="F896" s="45"/>
      <c r="G896" s="45"/>
      <c r="H896" s="45"/>
      <c r="I896" s="45"/>
      <c r="J896" s="45"/>
      <c r="K896" s="45"/>
      <c r="L896" s="45"/>
      <c r="M896" s="45"/>
      <c r="N896" s="44"/>
      <c r="O896" s="45"/>
      <c r="P896" s="45"/>
      <c r="Q896" s="45"/>
      <c r="R896" s="45"/>
      <c r="S896" s="45"/>
      <c r="T896" s="45"/>
      <c r="U896" s="45"/>
      <c r="V896" s="45"/>
      <c r="W896" s="45"/>
      <c r="X896" s="45"/>
      <c r="Y896" s="45"/>
      <c r="Z896" s="45"/>
    </row>
    <row r="897" spans="1:26">
      <c r="A897" s="45"/>
      <c r="B897" s="45"/>
      <c r="C897" s="45"/>
      <c r="D897" s="45"/>
      <c r="E897" s="45"/>
      <c r="F897" s="45"/>
      <c r="G897" s="45"/>
      <c r="H897" s="45"/>
      <c r="I897" s="45"/>
      <c r="J897" s="45"/>
      <c r="K897" s="45"/>
      <c r="L897" s="45"/>
      <c r="M897" s="45"/>
      <c r="N897" s="44"/>
      <c r="O897" s="45"/>
      <c r="P897" s="45"/>
      <c r="Q897" s="45"/>
      <c r="R897" s="45"/>
      <c r="S897" s="45"/>
      <c r="T897" s="45"/>
      <c r="U897" s="45"/>
      <c r="V897" s="45"/>
      <c r="W897" s="45"/>
      <c r="X897" s="45"/>
      <c r="Y897" s="45"/>
      <c r="Z897" s="45"/>
    </row>
    <row r="898" spans="1:26">
      <c r="A898" s="45"/>
      <c r="B898" s="45"/>
      <c r="C898" s="45"/>
      <c r="D898" s="45"/>
      <c r="E898" s="45"/>
      <c r="F898" s="45"/>
      <c r="G898" s="45"/>
      <c r="H898" s="45"/>
      <c r="I898" s="45"/>
      <c r="J898" s="45"/>
      <c r="K898" s="45"/>
      <c r="L898" s="45"/>
      <c r="M898" s="45"/>
      <c r="N898" s="44"/>
      <c r="O898" s="45"/>
      <c r="P898" s="45"/>
      <c r="Q898" s="45"/>
      <c r="R898" s="45"/>
      <c r="S898" s="45"/>
      <c r="T898" s="45"/>
      <c r="U898" s="45"/>
      <c r="V898" s="45"/>
      <c r="W898" s="45"/>
      <c r="X898" s="45"/>
      <c r="Y898" s="45"/>
      <c r="Z898" s="45"/>
    </row>
    <row r="899" spans="1:26">
      <c r="A899" s="45"/>
      <c r="B899" s="45"/>
      <c r="C899" s="45"/>
      <c r="D899" s="45"/>
      <c r="E899" s="45"/>
      <c r="F899" s="45"/>
      <c r="G899" s="45"/>
      <c r="H899" s="45"/>
      <c r="I899" s="45"/>
      <c r="J899" s="45"/>
      <c r="K899" s="45"/>
      <c r="L899" s="45"/>
      <c r="M899" s="45"/>
      <c r="N899" s="44"/>
      <c r="O899" s="45"/>
      <c r="P899" s="45"/>
      <c r="Q899" s="45"/>
      <c r="R899" s="45"/>
      <c r="S899" s="45"/>
      <c r="T899" s="45"/>
      <c r="U899" s="45"/>
      <c r="V899" s="45"/>
      <c r="W899" s="45"/>
      <c r="X899" s="45"/>
      <c r="Y899" s="45"/>
      <c r="Z899" s="45"/>
    </row>
    <row r="900" spans="1:26">
      <c r="A900" s="45"/>
      <c r="B900" s="45"/>
      <c r="C900" s="45"/>
      <c r="D900" s="45"/>
      <c r="E900" s="45"/>
      <c r="F900" s="45"/>
      <c r="G900" s="45"/>
      <c r="H900" s="45"/>
      <c r="I900" s="45"/>
      <c r="J900" s="45"/>
      <c r="K900" s="45"/>
      <c r="L900" s="45"/>
      <c r="M900" s="45"/>
      <c r="N900" s="44"/>
      <c r="O900" s="45"/>
      <c r="P900" s="45"/>
      <c r="Q900" s="45"/>
      <c r="R900" s="45"/>
      <c r="S900" s="45"/>
      <c r="T900" s="45"/>
      <c r="U900" s="45"/>
      <c r="V900" s="45"/>
      <c r="W900" s="45"/>
      <c r="X900" s="45"/>
      <c r="Y900" s="45"/>
      <c r="Z900" s="45"/>
    </row>
    <row r="901" spans="1:26">
      <c r="A901" s="45"/>
      <c r="B901" s="45"/>
      <c r="C901" s="45"/>
      <c r="D901" s="45"/>
      <c r="E901" s="45"/>
      <c r="F901" s="45"/>
      <c r="G901" s="45"/>
      <c r="H901" s="45"/>
      <c r="I901" s="45"/>
      <c r="J901" s="45"/>
      <c r="K901" s="45"/>
      <c r="L901" s="45"/>
      <c r="M901" s="45"/>
      <c r="N901" s="44"/>
      <c r="O901" s="45"/>
      <c r="P901" s="45"/>
      <c r="Q901" s="45"/>
      <c r="R901" s="45"/>
      <c r="S901" s="45"/>
      <c r="T901" s="45"/>
      <c r="U901" s="45"/>
      <c r="V901" s="45"/>
      <c r="W901" s="45"/>
      <c r="X901" s="45"/>
      <c r="Y901" s="45"/>
      <c r="Z901" s="45"/>
    </row>
    <row r="902" spans="1:26">
      <c r="A902" s="45"/>
      <c r="B902" s="45"/>
      <c r="C902" s="45"/>
      <c r="D902" s="45"/>
      <c r="E902" s="45"/>
      <c r="F902" s="45"/>
      <c r="G902" s="45"/>
      <c r="H902" s="45"/>
      <c r="I902" s="45"/>
      <c r="J902" s="45"/>
      <c r="K902" s="45"/>
      <c r="L902" s="45"/>
      <c r="M902" s="45"/>
      <c r="N902" s="44"/>
      <c r="O902" s="45"/>
      <c r="P902" s="45"/>
      <c r="Q902" s="45"/>
      <c r="R902" s="45"/>
      <c r="S902" s="45"/>
      <c r="T902" s="45"/>
      <c r="U902" s="45"/>
      <c r="V902" s="45"/>
      <c r="W902" s="45"/>
      <c r="X902" s="45"/>
      <c r="Y902" s="45"/>
      <c r="Z902" s="45"/>
    </row>
    <row r="903" spans="1:26">
      <c r="A903" s="45"/>
      <c r="B903" s="45"/>
      <c r="C903" s="45"/>
      <c r="D903" s="45"/>
      <c r="E903" s="45"/>
      <c r="F903" s="45"/>
      <c r="G903" s="45"/>
      <c r="H903" s="45"/>
      <c r="I903" s="45"/>
      <c r="J903" s="45"/>
      <c r="K903" s="45"/>
      <c r="L903" s="45"/>
      <c r="M903" s="45"/>
      <c r="N903" s="44"/>
      <c r="O903" s="45"/>
      <c r="P903" s="45"/>
      <c r="Q903" s="45"/>
      <c r="R903" s="45"/>
      <c r="S903" s="45"/>
      <c r="T903" s="45"/>
      <c r="U903" s="45"/>
      <c r="V903" s="45"/>
      <c r="W903" s="45"/>
      <c r="X903" s="45"/>
      <c r="Y903" s="45"/>
      <c r="Z903" s="45"/>
    </row>
    <row r="904" spans="1:26">
      <c r="A904" s="45"/>
      <c r="B904" s="45"/>
      <c r="C904" s="45"/>
      <c r="D904" s="45"/>
      <c r="E904" s="45"/>
      <c r="F904" s="45"/>
      <c r="G904" s="45"/>
      <c r="H904" s="45"/>
      <c r="I904" s="45"/>
      <c r="J904" s="45"/>
      <c r="K904" s="45"/>
      <c r="L904" s="45"/>
      <c r="M904" s="45"/>
      <c r="N904" s="44"/>
      <c r="O904" s="45"/>
      <c r="P904" s="45"/>
      <c r="Q904" s="45"/>
      <c r="R904" s="45"/>
      <c r="S904" s="45"/>
      <c r="T904" s="45"/>
      <c r="U904" s="45"/>
      <c r="V904" s="45"/>
      <c r="W904" s="45"/>
      <c r="X904" s="45"/>
      <c r="Y904" s="45"/>
      <c r="Z904" s="45"/>
    </row>
    <row r="905" spans="1:26">
      <c r="A905" s="45"/>
      <c r="B905" s="45"/>
      <c r="C905" s="45"/>
      <c r="D905" s="45"/>
      <c r="E905" s="45"/>
      <c r="F905" s="45"/>
      <c r="G905" s="45"/>
      <c r="H905" s="45"/>
      <c r="I905" s="45"/>
      <c r="J905" s="45"/>
      <c r="K905" s="45"/>
      <c r="L905" s="45"/>
      <c r="M905" s="45"/>
      <c r="N905" s="44"/>
      <c r="O905" s="45"/>
      <c r="P905" s="45"/>
      <c r="Q905" s="45"/>
      <c r="R905" s="45"/>
      <c r="S905" s="45"/>
      <c r="T905" s="45"/>
      <c r="U905" s="45"/>
      <c r="V905" s="45"/>
      <c r="W905" s="45"/>
      <c r="X905" s="45"/>
      <c r="Y905" s="45"/>
      <c r="Z905" s="45"/>
    </row>
    <row r="906" spans="1:26">
      <c r="A906" s="45"/>
      <c r="B906" s="45"/>
      <c r="C906" s="45"/>
      <c r="D906" s="45"/>
      <c r="E906" s="45"/>
      <c r="F906" s="45"/>
      <c r="G906" s="45"/>
      <c r="H906" s="45"/>
      <c r="I906" s="45"/>
      <c r="J906" s="45"/>
      <c r="K906" s="45"/>
      <c r="L906" s="45"/>
      <c r="M906" s="45"/>
      <c r="N906" s="44"/>
      <c r="O906" s="45"/>
      <c r="P906" s="45"/>
      <c r="Q906" s="45"/>
      <c r="R906" s="45"/>
      <c r="S906" s="45"/>
      <c r="T906" s="45"/>
      <c r="U906" s="45"/>
      <c r="V906" s="45"/>
      <c r="W906" s="45"/>
      <c r="X906" s="45"/>
      <c r="Y906" s="45"/>
      <c r="Z906" s="45"/>
    </row>
    <row r="907" spans="1:26">
      <c r="A907" s="45"/>
      <c r="B907" s="45"/>
      <c r="C907" s="45"/>
      <c r="D907" s="45"/>
      <c r="E907" s="45"/>
      <c r="F907" s="45"/>
      <c r="G907" s="45"/>
      <c r="H907" s="45"/>
      <c r="I907" s="45"/>
      <c r="J907" s="45"/>
      <c r="K907" s="45"/>
      <c r="L907" s="45"/>
      <c r="M907" s="45"/>
      <c r="N907" s="44"/>
      <c r="O907" s="45"/>
      <c r="P907" s="45"/>
      <c r="Q907" s="45"/>
      <c r="R907" s="45"/>
      <c r="S907" s="45"/>
      <c r="T907" s="45"/>
      <c r="U907" s="45"/>
      <c r="V907" s="45"/>
      <c r="W907" s="45"/>
      <c r="X907" s="45"/>
      <c r="Y907" s="45"/>
      <c r="Z907" s="45"/>
    </row>
    <row r="908" spans="1:26">
      <c r="A908" s="45"/>
      <c r="B908" s="45"/>
      <c r="C908" s="45"/>
      <c r="D908" s="45"/>
      <c r="E908" s="45"/>
      <c r="F908" s="45"/>
      <c r="G908" s="45"/>
      <c r="H908" s="45"/>
      <c r="I908" s="45"/>
      <c r="J908" s="45"/>
      <c r="K908" s="45"/>
      <c r="L908" s="45"/>
      <c r="M908" s="45"/>
      <c r="N908" s="44"/>
      <c r="O908" s="45"/>
      <c r="P908" s="45"/>
      <c r="Q908" s="45"/>
      <c r="R908" s="45"/>
      <c r="S908" s="45"/>
      <c r="T908" s="45"/>
      <c r="U908" s="45"/>
      <c r="V908" s="45"/>
      <c r="W908" s="45"/>
      <c r="X908" s="45"/>
      <c r="Y908" s="45"/>
      <c r="Z908" s="45"/>
    </row>
    <row r="909" spans="1:26">
      <c r="A909" s="45"/>
      <c r="B909" s="45"/>
      <c r="C909" s="45"/>
      <c r="D909" s="45"/>
      <c r="E909" s="45"/>
      <c r="F909" s="45"/>
      <c r="G909" s="45"/>
      <c r="H909" s="45"/>
      <c r="I909" s="45"/>
      <c r="J909" s="45"/>
      <c r="K909" s="45"/>
      <c r="L909" s="45"/>
      <c r="M909" s="45"/>
      <c r="N909" s="44"/>
      <c r="O909" s="45"/>
      <c r="P909" s="45"/>
      <c r="Q909" s="45"/>
      <c r="R909" s="45"/>
      <c r="S909" s="45"/>
      <c r="T909" s="45"/>
      <c r="U909" s="45"/>
      <c r="V909" s="45"/>
      <c r="W909" s="45"/>
      <c r="X909" s="45"/>
      <c r="Y909" s="45"/>
      <c r="Z909" s="45"/>
    </row>
    <row r="910" spans="1:26">
      <c r="A910" s="45"/>
      <c r="B910" s="45"/>
      <c r="C910" s="45"/>
      <c r="D910" s="45"/>
      <c r="E910" s="45"/>
      <c r="F910" s="45"/>
      <c r="G910" s="45"/>
      <c r="H910" s="45"/>
      <c r="I910" s="45"/>
      <c r="J910" s="45"/>
      <c r="K910" s="45"/>
      <c r="L910" s="45"/>
      <c r="M910" s="45"/>
      <c r="N910" s="44"/>
      <c r="O910" s="45"/>
      <c r="P910" s="45"/>
      <c r="Q910" s="45"/>
      <c r="R910" s="45"/>
      <c r="S910" s="45"/>
      <c r="T910" s="45"/>
      <c r="U910" s="45"/>
      <c r="V910" s="45"/>
      <c r="W910" s="45"/>
      <c r="X910" s="45"/>
      <c r="Y910" s="45"/>
      <c r="Z910" s="45"/>
    </row>
    <row r="911" spans="1:26">
      <c r="A911" s="45"/>
      <c r="B911" s="45"/>
      <c r="C911" s="45"/>
      <c r="D911" s="45"/>
      <c r="E911" s="45"/>
      <c r="F911" s="45"/>
      <c r="G911" s="45"/>
      <c r="H911" s="45"/>
      <c r="I911" s="45"/>
      <c r="J911" s="45"/>
      <c r="K911" s="45"/>
      <c r="L911" s="45"/>
      <c r="M911" s="45"/>
      <c r="N911" s="44"/>
      <c r="O911" s="45"/>
      <c r="P911" s="45"/>
      <c r="Q911" s="45"/>
      <c r="R911" s="45"/>
      <c r="S911" s="45"/>
      <c r="T911" s="45"/>
      <c r="U911" s="45"/>
      <c r="V911" s="45"/>
      <c r="W911" s="45"/>
      <c r="X911" s="45"/>
      <c r="Y911" s="45"/>
      <c r="Z911" s="45"/>
    </row>
    <row r="912" spans="1:26">
      <c r="A912" s="45"/>
      <c r="B912" s="45"/>
      <c r="C912" s="45"/>
      <c r="D912" s="45"/>
      <c r="E912" s="45"/>
      <c r="F912" s="45"/>
      <c r="G912" s="45"/>
      <c r="H912" s="45"/>
      <c r="I912" s="45"/>
      <c r="J912" s="45"/>
      <c r="K912" s="45"/>
      <c r="L912" s="45"/>
      <c r="M912" s="45"/>
      <c r="N912" s="44"/>
      <c r="O912" s="45"/>
      <c r="P912" s="45"/>
      <c r="Q912" s="45"/>
      <c r="R912" s="45"/>
      <c r="S912" s="45"/>
      <c r="T912" s="45"/>
      <c r="U912" s="45"/>
      <c r="V912" s="45"/>
      <c r="W912" s="45"/>
      <c r="X912" s="45"/>
      <c r="Y912" s="45"/>
      <c r="Z912" s="45"/>
    </row>
    <row r="913" spans="1:26">
      <c r="A913" s="45"/>
      <c r="B913" s="45"/>
      <c r="C913" s="45"/>
      <c r="D913" s="45"/>
      <c r="E913" s="45"/>
      <c r="F913" s="45"/>
      <c r="G913" s="45"/>
      <c r="H913" s="45"/>
      <c r="I913" s="45"/>
      <c r="J913" s="45"/>
      <c r="K913" s="45"/>
      <c r="L913" s="45"/>
      <c r="M913" s="45"/>
      <c r="N913" s="44"/>
      <c r="O913" s="45"/>
      <c r="P913" s="45"/>
      <c r="Q913" s="45"/>
      <c r="R913" s="45"/>
      <c r="S913" s="45"/>
      <c r="T913" s="45"/>
      <c r="U913" s="45"/>
      <c r="V913" s="45"/>
      <c r="W913" s="45"/>
      <c r="X913" s="45"/>
      <c r="Y913" s="45"/>
      <c r="Z913" s="45"/>
    </row>
    <row r="914" spans="1:26">
      <c r="A914" s="45"/>
      <c r="B914" s="45"/>
      <c r="C914" s="45"/>
      <c r="D914" s="45"/>
      <c r="E914" s="45"/>
      <c r="F914" s="45"/>
      <c r="G914" s="45"/>
      <c r="H914" s="45"/>
      <c r="I914" s="45"/>
      <c r="J914" s="45"/>
      <c r="K914" s="45"/>
      <c r="L914" s="45"/>
      <c r="M914" s="45"/>
      <c r="N914" s="44"/>
      <c r="O914" s="45"/>
      <c r="P914" s="45"/>
      <c r="Q914" s="45"/>
      <c r="R914" s="45"/>
      <c r="S914" s="45"/>
      <c r="T914" s="45"/>
      <c r="U914" s="45"/>
      <c r="V914" s="45"/>
      <c r="W914" s="45"/>
      <c r="X914" s="45"/>
      <c r="Y914" s="45"/>
      <c r="Z914" s="45"/>
    </row>
    <row r="915" spans="1:26">
      <c r="A915" s="45"/>
      <c r="B915" s="45"/>
      <c r="C915" s="45"/>
      <c r="D915" s="45"/>
      <c r="E915" s="45"/>
      <c r="F915" s="45"/>
      <c r="G915" s="45"/>
      <c r="H915" s="45"/>
      <c r="I915" s="45"/>
      <c r="J915" s="45"/>
      <c r="K915" s="45"/>
      <c r="L915" s="45"/>
      <c r="M915" s="45"/>
      <c r="N915" s="44"/>
      <c r="O915" s="45"/>
      <c r="P915" s="45"/>
      <c r="Q915" s="45"/>
      <c r="R915" s="45"/>
      <c r="S915" s="45"/>
      <c r="T915" s="45"/>
      <c r="U915" s="45"/>
      <c r="V915" s="45"/>
      <c r="W915" s="45"/>
      <c r="X915" s="45"/>
      <c r="Y915" s="45"/>
      <c r="Z915" s="45"/>
    </row>
    <row r="916" spans="1:26">
      <c r="A916" s="45"/>
      <c r="B916" s="45"/>
      <c r="C916" s="45"/>
      <c r="D916" s="45"/>
      <c r="E916" s="45"/>
      <c r="F916" s="45"/>
      <c r="G916" s="45"/>
      <c r="H916" s="45"/>
      <c r="I916" s="45"/>
      <c r="J916" s="45"/>
      <c r="K916" s="45"/>
      <c r="L916" s="45"/>
      <c r="M916" s="45"/>
      <c r="N916" s="44"/>
      <c r="O916" s="45"/>
      <c r="P916" s="45"/>
      <c r="Q916" s="45"/>
      <c r="R916" s="45"/>
      <c r="S916" s="45"/>
      <c r="T916" s="45"/>
      <c r="U916" s="45"/>
      <c r="V916" s="45"/>
      <c r="W916" s="45"/>
      <c r="X916" s="45"/>
      <c r="Y916" s="45"/>
      <c r="Z916" s="45"/>
    </row>
    <row r="917" spans="1:26">
      <c r="A917" s="45"/>
      <c r="B917" s="45"/>
      <c r="C917" s="45"/>
      <c r="D917" s="45"/>
      <c r="E917" s="45"/>
      <c r="F917" s="45"/>
      <c r="G917" s="45"/>
      <c r="H917" s="45"/>
      <c r="I917" s="45"/>
      <c r="J917" s="45"/>
      <c r="K917" s="45"/>
      <c r="L917" s="45"/>
      <c r="M917" s="45"/>
      <c r="N917" s="44"/>
      <c r="O917" s="45"/>
      <c r="P917" s="45"/>
      <c r="Q917" s="45"/>
      <c r="R917" s="45"/>
      <c r="S917" s="45"/>
      <c r="T917" s="45"/>
      <c r="U917" s="45"/>
      <c r="V917" s="45"/>
      <c r="W917" s="45"/>
      <c r="X917" s="45"/>
      <c r="Y917" s="45"/>
      <c r="Z917" s="45"/>
    </row>
    <row r="918" spans="1:26">
      <c r="A918" s="45"/>
      <c r="B918" s="45"/>
      <c r="C918" s="45"/>
      <c r="D918" s="45"/>
      <c r="E918" s="45"/>
      <c r="F918" s="45"/>
      <c r="G918" s="45"/>
      <c r="H918" s="45"/>
      <c r="I918" s="45"/>
      <c r="J918" s="45"/>
      <c r="K918" s="45"/>
      <c r="L918" s="45"/>
      <c r="M918" s="45"/>
      <c r="N918" s="44"/>
      <c r="O918" s="45"/>
      <c r="P918" s="45"/>
      <c r="Q918" s="45"/>
      <c r="R918" s="45"/>
      <c r="S918" s="45"/>
      <c r="T918" s="45"/>
      <c r="U918" s="45"/>
      <c r="V918" s="45"/>
      <c r="W918" s="45"/>
      <c r="X918" s="45"/>
      <c r="Y918" s="45"/>
      <c r="Z918" s="45"/>
    </row>
    <row r="919" spans="1:26">
      <c r="A919" s="45"/>
      <c r="B919" s="45"/>
      <c r="C919" s="45"/>
      <c r="D919" s="45"/>
      <c r="E919" s="45"/>
      <c r="F919" s="45"/>
      <c r="G919" s="45"/>
      <c r="H919" s="45"/>
      <c r="I919" s="45"/>
      <c r="J919" s="45"/>
      <c r="K919" s="45"/>
      <c r="L919" s="45"/>
      <c r="M919" s="45"/>
      <c r="N919" s="44"/>
      <c r="O919" s="45"/>
      <c r="P919" s="45"/>
      <c r="Q919" s="45"/>
      <c r="R919" s="45"/>
      <c r="S919" s="45"/>
      <c r="T919" s="45"/>
      <c r="U919" s="45"/>
      <c r="V919" s="45"/>
      <c r="W919" s="45"/>
      <c r="X919" s="45"/>
      <c r="Y919" s="45"/>
      <c r="Z919" s="45"/>
    </row>
    <row r="920" spans="1:26">
      <c r="A920" s="45"/>
      <c r="B920" s="45"/>
      <c r="C920" s="45"/>
      <c r="D920" s="45"/>
      <c r="E920" s="45"/>
      <c r="F920" s="45"/>
      <c r="G920" s="45"/>
      <c r="H920" s="45"/>
      <c r="I920" s="45"/>
      <c r="J920" s="45"/>
      <c r="K920" s="45"/>
      <c r="L920" s="45"/>
      <c r="M920" s="45"/>
      <c r="N920" s="44"/>
      <c r="O920" s="45"/>
      <c r="P920" s="45"/>
      <c r="Q920" s="45"/>
      <c r="R920" s="45"/>
      <c r="S920" s="45"/>
      <c r="T920" s="45"/>
      <c r="U920" s="45"/>
      <c r="V920" s="45"/>
      <c r="W920" s="45"/>
      <c r="X920" s="45"/>
      <c r="Y920" s="45"/>
      <c r="Z920" s="45"/>
    </row>
    <row r="921" spans="1:26">
      <c r="A921" s="45"/>
      <c r="B921" s="45"/>
      <c r="C921" s="45"/>
      <c r="D921" s="45"/>
      <c r="E921" s="45"/>
      <c r="F921" s="45"/>
      <c r="G921" s="45"/>
      <c r="H921" s="45"/>
      <c r="I921" s="45"/>
      <c r="J921" s="45"/>
      <c r="K921" s="45"/>
      <c r="L921" s="45"/>
      <c r="M921" s="45"/>
      <c r="N921" s="44"/>
      <c r="O921" s="45"/>
      <c r="P921" s="45"/>
      <c r="Q921" s="45"/>
      <c r="R921" s="45"/>
      <c r="S921" s="45"/>
      <c r="T921" s="45"/>
      <c r="U921" s="45"/>
      <c r="V921" s="45"/>
      <c r="W921" s="45"/>
      <c r="X921" s="45"/>
      <c r="Y921" s="45"/>
      <c r="Z921" s="45"/>
    </row>
    <row r="922" spans="1:26">
      <c r="A922" s="45"/>
      <c r="B922" s="45"/>
      <c r="C922" s="45"/>
      <c r="D922" s="45"/>
      <c r="E922" s="45"/>
      <c r="F922" s="45"/>
      <c r="G922" s="45"/>
      <c r="H922" s="45"/>
      <c r="I922" s="45"/>
      <c r="J922" s="45"/>
      <c r="K922" s="45"/>
      <c r="L922" s="45"/>
      <c r="M922" s="45"/>
      <c r="N922" s="44"/>
      <c r="O922" s="45"/>
      <c r="P922" s="45"/>
      <c r="Q922" s="45"/>
      <c r="R922" s="45"/>
      <c r="S922" s="45"/>
      <c r="T922" s="45"/>
      <c r="U922" s="45"/>
      <c r="V922" s="45"/>
      <c r="W922" s="45"/>
      <c r="X922" s="45"/>
      <c r="Y922" s="45"/>
      <c r="Z922" s="45"/>
    </row>
    <row r="923" spans="1:26">
      <c r="A923" s="45"/>
      <c r="B923" s="45"/>
      <c r="C923" s="45"/>
      <c r="D923" s="45"/>
      <c r="E923" s="45"/>
      <c r="F923" s="45"/>
      <c r="G923" s="45"/>
      <c r="H923" s="45"/>
      <c r="I923" s="45"/>
      <c r="J923" s="45"/>
      <c r="K923" s="45"/>
      <c r="L923" s="45"/>
      <c r="M923" s="45"/>
      <c r="N923" s="44"/>
      <c r="O923" s="45"/>
      <c r="P923" s="45"/>
      <c r="Q923" s="45"/>
      <c r="R923" s="45"/>
      <c r="S923" s="45"/>
      <c r="T923" s="45"/>
      <c r="U923" s="45"/>
      <c r="V923" s="45"/>
      <c r="W923" s="45"/>
      <c r="X923" s="45"/>
      <c r="Y923" s="45"/>
      <c r="Z923" s="45"/>
    </row>
    <row r="924" spans="1:26">
      <c r="A924" s="45"/>
      <c r="B924" s="45"/>
      <c r="C924" s="45"/>
      <c r="D924" s="45"/>
      <c r="E924" s="45"/>
      <c r="F924" s="45"/>
      <c r="G924" s="45"/>
      <c r="H924" s="45"/>
      <c r="I924" s="45"/>
      <c r="J924" s="45"/>
      <c r="K924" s="45"/>
      <c r="L924" s="45"/>
      <c r="M924" s="45"/>
      <c r="N924" s="44"/>
      <c r="O924" s="45"/>
      <c r="P924" s="45"/>
      <c r="Q924" s="45"/>
      <c r="R924" s="45"/>
      <c r="S924" s="45"/>
      <c r="T924" s="45"/>
      <c r="U924" s="45"/>
      <c r="V924" s="45"/>
      <c r="W924" s="45"/>
      <c r="X924" s="45"/>
      <c r="Y924" s="45"/>
      <c r="Z924" s="45"/>
    </row>
    <row r="925" spans="1:26">
      <c r="A925" s="45"/>
      <c r="B925" s="45"/>
      <c r="C925" s="45"/>
      <c r="D925" s="45"/>
      <c r="E925" s="45"/>
      <c r="F925" s="45"/>
      <c r="G925" s="45"/>
      <c r="H925" s="45"/>
      <c r="I925" s="45"/>
      <c r="J925" s="45"/>
      <c r="K925" s="45"/>
      <c r="L925" s="45"/>
      <c r="M925" s="45"/>
      <c r="N925" s="44"/>
      <c r="O925" s="45"/>
      <c r="P925" s="45"/>
      <c r="Q925" s="45"/>
      <c r="R925" s="45"/>
      <c r="S925" s="45"/>
      <c r="T925" s="45"/>
      <c r="U925" s="45"/>
      <c r="V925" s="45"/>
      <c r="W925" s="45"/>
      <c r="X925" s="45"/>
      <c r="Y925" s="45"/>
      <c r="Z925" s="45"/>
    </row>
    <row r="926" spans="1:26">
      <c r="A926" s="45"/>
      <c r="B926" s="45"/>
      <c r="C926" s="45"/>
      <c r="D926" s="45"/>
      <c r="E926" s="45"/>
      <c r="F926" s="45"/>
      <c r="G926" s="45"/>
      <c r="H926" s="45"/>
      <c r="I926" s="45"/>
      <c r="J926" s="45"/>
      <c r="K926" s="45"/>
      <c r="L926" s="45"/>
      <c r="M926" s="45"/>
      <c r="N926" s="44"/>
      <c r="O926" s="45"/>
      <c r="P926" s="45"/>
      <c r="Q926" s="45"/>
      <c r="R926" s="45"/>
      <c r="S926" s="45"/>
      <c r="T926" s="45"/>
      <c r="U926" s="45"/>
      <c r="V926" s="45"/>
      <c r="W926" s="45"/>
      <c r="X926" s="45"/>
      <c r="Y926" s="45"/>
      <c r="Z926" s="45"/>
    </row>
    <row r="927" spans="1:26">
      <c r="A927" s="45"/>
      <c r="B927" s="45"/>
      <c r="C927" s="45"/>
      <c r="D927" s="45"/>
      <c r="E927" s="45"/>
      <c r="F927" s="45"/>
      <c r="G927" s="45"/>
      <c r="H927" s="45"/>
      <c r="I927" s="45"/>
      <c r="J927" s="45"/>
      <c r="K927" s="45"/>
      <c r="L927" s="45"/>
      <c r="M927" s="45"/>
      <c r="N927" s="44"/>
      <c r="O927" s="45"/>
      <c r="P927" s="45"/>
      <c r="Q927" s="45"/>
      <c r="R927" s="45"/>
      <c r="S927" s="45"/>
      <c r="T927" s="45"/>
      <c r="U927" s="45"/>
      <c r="V927" s="45"/>
      <c r="W927" s="45"/>
      <c r="X927" s="45"/>
      <c r="Y927" s="45"/>
      <c r="Z927" s="45"/>
    </row>
    <row r="928" spans="1:26">
      <c r="A928" s="45"/>
      <c r="B928" s="45"/>
      <c r="C928" s="45"/>
      <c r="D928" s="45"/>
      <c r="E928" s="45"/>
      <c r="F928" s="45"/>
      <c r="G928" s="45"/>
      <c r="H928" s="45"/>
      <c r="I928" s="45"/>
      <c r="J928" s="45"/>
      <c r="K928" s="45"/>
      <c r="L928" s="45"/>
      <c r="M928" s="45"/>
      <c r="N928" s="44"/>
      <c r="O928" s="45"/>
      <c r="P928" s="45"/>
      <c r="Q928" s="45"/>
      <c r="R928" s="45"/>
      <c r="S928" s="45"/>
      <c r="T928" s="45"/>
      <c r="U928" s="45"/>
      <c r="V928" s="45"/>
      <c r="W928" s="45"/>
      <c r="X928" s="45"/>
      <c r="Y928" s="45"/>
      <c r="Z928" s="45"/>
    </row>
    <row r="929" spans="1:26">
      <c r="A929" s="45"/>
      <c r="B929" s="45"/>
      <c r="C929" s="45"/>
      <c r="D929" s="45"/>
      <c r="E929" s="45"/>
      <c r="F929" s="45"/>
      <c r="G929" s="45"/>
      <c r="H929" s="45"/>
      <c r="I929" s="45"/>
      <c r="J929" s="45"/>
      <c r="K929" s="45"/>
      <c r="L929" s="45"/>
      <c r="M929" s="45"/>
      <c r="N929" s="44"/>
      <c r="O929" s="45"/>
      <c r="P929" s="45"/>
      <c r="Q929" s="45"/>
      <c r="R929" s="45"/>
      <c r="S929" s="45"/>
      <c r="T929" s="45"/>
      <c r="U929" s="45"/>
      <c r="V929" s="45"/>
      <c r="W929" s="45"/>
      <c r="X929" s="45"/>
      <c r="Y929" s="45"/>
      <c r="Z929" s="45"/>
    </row>
    <row r="930" spans="1:26">
      <c r="A930" s="45"/>
      <c r="B930" s="45"/>
      <c r="C930" s="45"/>
      <c r="D930" s="45"/>
      <c r="E930" s="45"/>
      <c r="F930" s="45"/>
      <c r="G930" s="45"/>
      <c r="H930" s="45"/>
      <c r="I930" s="45"/>
      <c r="J930" s="45"/>
      <c r="K930" s="45"/>
      <c r="L930" s="45"/>
      <c r="M930" s="45"/>
      <c r="N930" s="44"/>
      <c r="O930" s="45"/>
      <c r="P930" s="45"/>
      <c r="Q930" s="45"/>
      <c r="R930" s="45"/>
      <c r="S930" s="45"/>
      <c r="T930" s="45"/>
      <c r="U930" s="45"/>
      <c r="V930" s="45"/>
      <c r="W930" s="45"/>
      <c r="X930" s="45"/>
      <c r="Y930" s="45"/>
      <c r="Z930" s="45"/>
    </row>
    <row r="931" spans="1:26">
      <c r="A931" s="45"/>
      <c r="B931" s="45"/>
      <c r="C931" s="45"/>
      <c r="D931" s="45"/>
      <c r="E931" s="45"/>
      <c r="F931" s="45"/>
      <c r="G931" s="45"/>
      <c r="H931" s="45"/>
      <c r="I931" s="45"/>
      <c r="J931" s="45"/>
      <c r="K931" s="45"/>
      <c r="L931" s="45"/>
      <c r="M931" s="45"/>
      <c r="N931" s="44"/>
      <c r="O931" s="45"/>
      <c r="P931" s="45"/>
      <c r="Q931" s="45"/>
      <c r="R931" s="45"/>
      <c r="S931" s="45"/>
      <c r="T931" s="45"/>
      <c r="U931" s="45"/>
      <c r="V931" s="45"/>
      <c r="W931" s="45"/>
      <c r="X931" s="45"/>
      <c r="Y931" s="45"/>
      <c r="Z931" s="45"/>
    </row>
    <row r="932" spans="1:26">
      <c r="A932" s="45"/>
      <c r="B932" s="45"/>
      <c r="C932" s="45"/>
      <c r="D932" s="45"/>
      <c r="E932" s="45"/>
      <c r="F932" s="45"/>
      <c r="G932" s="45"/>
      <c r="H932" s="45"/>
      <c r="I932" s="45"/>
      <c r="J932" s="45"/>
      <c r="K932" s="45"/>
      <c r="L932" s="45"/>
      <c r="M932" s="45"/>
      <c r="N932" s="44"/>
      <c r="O932" s="45"/>
      <c r="P932" s="45"/>
      <c r="Q932" s="45"/>
      <c r="R932" s="45"/>
      <c r="S932" s="45"/>
      <c r="T932" s="45"/>
      <c r="U932" s="45"/>
      <c r="V932" s="45"/>
      <c r="W932" s="45"/>
      <c r="X932" s="45"/>
      <c r="Y932" s="45"/>
      <c r="Z932" s="45"/>
    </row>
    <row r="933" spans="1:26">
      <c r="A933" s="45"/>
      <c r="B933" s="45"/>
      <c r="C933" s="45"/>
      <c r="D933" s="45"/>
      <c r="E933" s="45"/>
      <c r="F933" s="45"/>
      <c r="G933" s="45"/>
      <c r="H933" s="45"/>
      <c r="I933" s="45"/>
      <c r="J933" s="45"/>
      <c r="K933" s="45"/>
      <c r="L933" s="45"/>
      <c r="M933" s="45"/>
      <c r="N933" s="44"/>
      <c r="O933" s="45"/>
      <c r="P933" s="45"/>
      <c r="Q933" s="45"/>
      <c r="R933" s="45"/>
      <c r="S933" s="45"/>
      <c r="T933" s="45"/>
      <c r="U933" s="45"/>
      <c r="V933" s="45"/>
      <c r="W933" s="45"/>
      <c r="X933" s="45"/>
      <c r="Y933" s="45"/>
      <c r="Z933" s="45"/>
    </row>
    <row r="934" spans="1:26">
      <c r="A934" s="45"/>
      <c r="B934" s="45"/>
      <c r="C934" s="45"/>
      <c r="D934" s="45"/>
      <c r="E934" s="45"/>
      <c r="F934" s="45"/>
      <c r="G934" s="45"/>
      <c r="H934" s="45"/>
      <c r="I934" s="45"/>
      <c r="J934" s="45"/>
      <c r="K934" s="45"/>
      <c r="L934" s="45"/>
      <c r="M934" s="45"/>
      <c r="N934" s="44"/>
      <c r="O934" s="45"/>
      <c r="P934" s="45"/>
      <c r="Q934" s="45"/>
      <c r="R934" s="45"/>
      <c r="S934" s="45"/>
      <c r="T934" s="45"/>
      <c r="U934" s="45"/>
      <c r="V934" s="45"/>
      <c r="W934" s="45"/>
      <c r="X934" s="45"/>
      <c r="Y934" s="45"/>
      <c r="Z934" s="45"/>
    </row>
    <row r="935" spans="1:26">
      <c r="A935" s="45"/>
      <c r="B935" s="45"/>
      <c r="C935" s="45"/>
      <c r="D935" s="45"/>
      <c r="E935" s="45"/>
      <c r="F935" s="45"/>
      <c r="G935" s="45"/>
      <c r="H935" s="45"/>
      <c r="I935" s="45"/>
      <c r="J935" s="45"/>
      <c r="K935" s="45"/>
      <c r="L935" s="45"/>
      <c r="M935" s="45"/>
      <c r="N935" s="44"/>
      <c r="O935" s="45"/>
      <c r="P935" s="45"/>
      <c r="Q935" s="45"/>
      <c r="R935" s="45"/>
      <c r="S935" s="45"/>
      <c r="T935" s="45"/>
      <c r="U935" s="45"/>
      <c r="V935" s="45"/>
      <c r="W935" s="45"/>
      <c r="X935" s="45"/>
      <c r="Y935" s="45"/>
      <c r="Z935" s="45"/>
    </row>
    <row r="936" spans="1:26">
      <c r="A936" s="45"/>
      <c r="B936" s="45"/>
      <c r="C936" s="45"/>
      <c r="D936" s="45"/>
      <c r="E936" s="45"/>
      <c r="F936" s="45"/>
      <c r="G936" s="45"/>
      <c r="H936" s="45"/>
      <c r="I936" s="45"/>
      <c r="J936" s="45"/>
      <c r="K936" s="45"/>
      <c r="L936" s="45"/>
      <c r="M936" s="45"/>
      <c r="N936" s="44"/>
      <c r="O936" s="45"/>
      <c r="P936" s="45"/>
      <c r="Q936" s="45"/>
      <c r="R936" s="45"/>
      <c r="S936" s="45"/>
      <c r="T936" s="45"/>
      <c r="U936" s="45"/>
      <c r="V936" s="45"/>
      <c r="W936" s="45"/>
      <c r="X936" s="45"/>
      <c r="Y936" s="45"/>
      <c r="Z936" s="45"/>
    </row>
    <row r="937" spans="1:26">
      <c r="A937" s="45"/>
      <c r="B937" s="45"/>
      <c r="C937" s="45"/>
      <c r="D937" s="45"/>
      <c r="E937" s="45"/>
      <c r="F937" s="45"/>
      <c r="G937" s="45"/>
      <c r="H937" s="45"/>
      <c r="I937" s="45"/>
      <c r="J937" s="45"/>
      <c r="K937" s="45"/>
      <c r="L937" s="45"/>
      <c r="M937" s="45"/>
      <c r="N937" s="44"/>
      <c r="O937" s="45"/>
      <c r="P937" s="45"/>
      <c r="Q937" s="45"/>
      <c r="R937" s="45"/>
      <c r="S937" s="45"/>
      <c r="T937" s="45"/>
      <c r="U937" s="45"/>
      <c r="V937" s="45"/>
      <c r="W937" s="45"/>
      <c r="X937" s="45"/>
      <c r="Y937" s="45"/>
      <c r="Z937" s="45"/>
    </row>
    <row r="938" spans="1:26">
      <c r="A938" s="45"/>
      <c r="B938" s="45"/>
      <c r="C938" s="45"/>
      <c r="D938" s="45"/>
      <c r="E938" s="45"/>
      <c r="F938" s="45"/>
      <c r="G938" s="45"/>
      <c r="H938" s="45"/>
      <c r="I938" s="45"/>
      <c r="J938" s="45"/>
      <c r="K938" s="45"/>
      <c r="L938" s="45"/>
      <c r="M938" s="45"/>
      <c r="N938" s="44"/>
      <c r="O938" s="45"/>
      <c r="P938" s="45"/>
      <c r="Q938" s="45"/>
      <c r="R938" s="45"/>
      <c r="S938" s="45"/>
      <c r="T938" s="45"/>
      <c r="U938" s="45"/>
      <c r="V938" s="45"/>
      <c r="W938" s="45"/>
      <c r="X938" s="45"/>
      <c r="Y938" s="45"/>
      <c r="Z938" s="45"/>
    </row>
    <row r="939" spans="1:26">
      <c r="A939" s="45"/>
      <c r="B939" s="45"/>
      <c r="C939" s="45"/>
      <c r="D939" s="45"/>
      <c r="E939" s="45"/>
      <c r="F939" s="45"/>
      <c r="G939" s="45"/>
      <c r="H939" s="45"/>
      <c r="I939" s="45"/>
      <c r="J939" s="45"/>
      <c r="K939" s="45"/>
      <c r="L939" s="45"/>
      <c r="M939" s="45"/>
      <c r="N939" s="44"/>
      <c r="O939" s="45"/>
      <c r="P939" s="45"/>
      <c r="Q939" s="45"/>
      <c r="R939" s="45"/>
      <c r="S939" s="45"/>
      <c r="T939" s="45"/>
      <c r="U939" s="45"/>
      <c r="V939" s="45"/>
      <c r="W939" s="45"/>
      <c r="X939" s="45"/>
      <c r="Y939" s="45"/>
      <c r="Z939" s="45"/>
    </row>
    <row r="940" spans="1:26">
      <c r="A940" s="45"/>
      <c r="B940" s="45"/>
      <c r="C940" s="45"/>
      <c r="D940" s="45"/>
      <c r="E940" s="45"/>
      <c r="F940" s="45"/>
      <c r="G940" s="45"/>
      <c r="H940" s="45"/>
      <c r="I940" s="45"/>
      <c r="J940" s="45"/>
      <c r="K940" s="45"/>
      <c r="L940" s="45"/>
      <c r="M940" s="45"/>
      <c r="N940" s="44"/>
      <c r="O940" s="45"/>
      <c r="P940" s="45"/>
      <c r="Q940" s="45"/>
      <c r="R940" s="45"/>
      <c r="S940" s="45"/>
      <c r="T940" s="45"/>
      <c r="U940" s="45"/>
      <c r="V940" s="45"/>
      <c r="W940" s="45"/>
      <c r="X940" s="45"/>
      <c r="Y940" s="45"/>
      <c r="Z940" s="45"/>
    </row>
    <row r="941" spans="1:26">
      <c r="A941" s="45"/>
      <c r="B941" s="45"/>
      <c r="C941" s="45"/>
      <c r="D941" s="45"/>
      <c r="E941" s="45"/>
      <c r="F941" s="45"/>
      <c r="G941" s="45"/>
      <c r="H941" s="45"/>
      <c r="I941" s="45"/>
      <c r="J941" s="45"/>
      <c r="K941" s="45"/>
      <c r="L941" s="45"/>
      <c r="M941" s="45"/>
      <c r="N941" s="44"/>
      <c r="O941" s="45"/>
      <c r="P941" s="45"/>
      <c r="Q941" s="45"/>
      <c r="R941" s="45"/>
      <c r="S941" s="45"/>
      <c r="T941" s="45"/>
      <c r="U941" s="45"/>
      <c r="V941" s="45"/>
      <c r="W941" s="45"/>
      <c r="X941" s="45"/>
      <c r="Y941" s="45"/>
      <c r="Z941" s="45"/>
    </row>
    <row r="942" spans="1:26">
      <c r="A942" s="45"/>
      <c r="B942" s="45"/>
      <c r="C942" s="45"/>
      <c r="D942" s="45"/>
      <c r="E942" s="45"/>
      <c r="F942" s="45"/>
      <c r="G942" s="45"/>
      <c r="H942" s="45"/>
      <c r="I942" s="45"/>
      <c r="J942" s="45"/>
      <c r="K942" s="45"/>
      <c r="L942" s="45"/>
      <c r="M942" s="45"/>
      <c r="N942" s="44"/>
      <c r="O942" s="45"/>
      <c r="P942" s="45"/>
      <c r="Q942" s="45"/>
      <c r="R942" s="45"/>
      <c r="S942" s="45"/>
      <c r="T942" s="45"/>
      <c r="U942" s="45"/>
      <c r="V942" s="45"/>
      <c r="W942" s="45"/>
      <c r="X942" s="45"/>
      <c r="Y942" s="45"/>
      <c r="Z942" s="45"/>
    </row>
    <row r="943" spans="1:26">
      <c r="A943" s="45"/>
      <c r="B943" s="45"/>
      <c r="C943" s="45"/>
      <c r="D943" s="45"/>
      <c r="E943" s="45"/>
      <c r="F943" s="45"/>
      <c r="G943" s="45"/>
      <c r="H943" s="45"/>
      <c r="I943" s="45"/>
      <c r="J943" s="45"/>
      <c r="K943" s="45"/>
      <c r="L943" s="45"/>
      <c r="M943" s="45"/>
      <c r="N943" s="44"/>
      <c r="O943" s="45"/>
      <c r="P943" s="45"/>
      <c r="Q943" s="45"/>
      <c r="R943" s="45"/>
      <c r="S943" s="45"/>
      <c r="T943" s="45"/>
      <c r="U943" s="45"/>
      <c r="V943" s="45"/>
      <c r="W943" s="45"/>
      <c r="X943" s="45"/>
      <c r="Y943" s="45"/>
      <c r="Z943" s="45"/>
    </row>
    <row r="944" spans="1:26">
      <c r="A944" s="45"/>
      <c r="B944" s="45"/>
      <c r="C944" s="45"/>
      <c r="D944" s="45"/>
      <c r="E944" s="45"/>
      <c r="F944" s="45"/>
      <c r="G944" s="45"/>
      <c r="H944" s="45"/>
      <c r="I944" s="45"/>
      <c r="J944" s="45"/>
      <c r="K944" s="45"/>
      <c r="L944" s="45"/>
      <c r="M944" s="45"/>
      <c r="N944" s="44"/>
      <c r="O944" s="45"/>
      <c r="P944" s="45"/>
      <c r="Q944" s="45"/>
      <c r="R944" s="45"/>
      <c r="S944" s="45"/>
      <c r="T944" s="45"/>
      <c r="U944" s="45"/>
      <c r="V944" s="45"/>
      <c r="W944" s="45"/>
      <c r="X944" s="45"/>
      <c r="Y944" s="45"/>
      <c r="Z944" s="45"/>
    </row>
    <row r="945" spans="1:26">
      <c r="A945" s="45"/>
      <c r="B945" s="45"/>
      <c r="C945" s="45"/>
      <c r="D945" s="45"/>
      <c r="E945" s="45"/>
      <c r="F945" s="45"/>
      <c r="G945" s="45"/>
      <c r="H945" s="45"/>
      <c r="I945" s="45"/>
      <c r="J945" s="45"/>
      <c r="K945" s="45"/>
      <c r="L945" s="45"/>
      <c r="M945" s="45"/>
      <c r="N945" s="44"/>
      <c r="O945" s="45"/>
      <c r="P945" s="45"/>
      <c r="Q945" s="45"/>
      <c r="R945" s="45"/>
      <c r="S945" s="45"/>
      <c r="T945" s="45"/>
      <c r="U945" s="45"/>
      <c r="V945" s="45"/>
      <c r="W945" s="45"/>
      <c r="X945" s="45"/>
      <c r="Y945" s="45"/>
      <c r="Z945" s="45"/>
    </row>
    <row r="946" spans="1:26">
      <c r="A946" s="45"/>
      <c r="B946" s="45"/>
      <c r="C946" s="45"/>
      <c r="D946" s="45"/>
      <c r="E946" s="45"/>
      <c r="F946" s="45"/>
      <c r="G946" s="45"/>
      <c r="H946" s="45"/>
      <c r="I946" s="45"/>
      <c r="J946" s="45"/>
      <c r="K946" s="45"/>
      <c r="L946" s="45"/>
      <c r="M946" s="45"/>
      <c r="N946" s="44"/>
      <c r="O946" s="45"/>
      <c r="P946" s="45"/>
      <c r="Q946" s="45"/>
      <c r="R946" s="45"/>
      <c r="S946" s="45"/>
      <c r="T946" s="45"/>
      <c r="U946" s="45"/>
      <c r="V946" s="45"/>
      <c r="W946" s="45"/>
      <c r="X946" s="45"/>
      <c r="Y946" s="45"/>
      <c r="Z946" s="45"/>
    </row>
    <row r="947" spans="1:26">
      <c r="A947" s="45"/>
      <c r="B947" s="45"/>
      <c r="C947" s="45"/>
      <c r="D947" s="45"/>
      <c r="E947" s="45"/>
      <c r="F947" s="45"/>
      <c r="G947" s="45"/>
      <c r="H947" s="45"/>
      <c r="I947" s="45"/>
      <c r="J947" s="45"/>
      <c r="K947" s="45"/>
      <c r="L947" s="45"/>
      <c r="M947" s="45"/>
      <c r="N947" s="44"/>
      <c r="O947" s="45"/>
      <c r="P947" s="45"/>
      <c r="Q947" s="45"/>
      <c r="R947" s="45"/>
      <c r="S947" s="45"/>
      <c r="T947" s="45"/>
      <c r="U947" s="45"/>
      <c r="V947" s="45"/>
      <c r="W947" s="45"/>
      <c r="X947" s="45"/>
      <c r="Y947" s="45"/>
      <c r="Z947" s="45"/>
    </row>
    <row r="948" spans="1:26">
      <c r="A948" s="45"/>
      <c r="B948" s="45"/>
      <c r="C948" s="45"/>
      <c r="D948" s="45"/>
      <c r="E948" s="45"/>
      <c r="F948" s="45"/>
      <c r="G948" s="45"/>
      <c r="H948" s="45"/>
      <c r="I948" s="45"/>
      <c r="J948" s="45"/>
      <c r="K948" s="45"/>
      <c r="L948" s="45"/>
      <c r="M948" s="45"/>
      <c r="N948" s="44"/>
      <c r="O948" s="45"/>
      <c r="P948" s="45"/>
      <c r="Q948" s="45"/>
      <c r="R948" s="45"/>
      <c r="S948" s="45"/>
      <c r="T948" s="45"/>
      <c r="U948" s="45"/>
      <c r="V948" s="45"/>
      <c r="W948" s="45"/>
      <c r="X948" s="45"/>
      <c r="Y948" s="45"/>
      <c r="Z948" s="45"/>
    </row>
    <row r="949" spans="1:26">
      <c r="A949" s="45"/>
      <c r="B949" s="45"/>
      <c r="C949" s="45"/>
      <c r="D949" s="45"/>
      <c r="E949" s="45"/>
      <c r="F949" s="45"/>
      <c r="G949" s="45"/>
      <c r="H949" s="45"/>
      <c r="I949" s="45"/>
      <c r="J949" s="45"/>
      <c r="K949" s="45"/>
      <c r="L949" s="45"/>
      <c r="M949" s="45"/>
      <c r="N949" s="44"/>
      <c r="O949" s="45"/>
      <c r="P949" s="45"/>
      <c r="Q949" s="45"/>
      <c r="R949" s="45"/>
      <c r="S949" s="45"/>
      <c r="T949" s="45"/>
      <c r="U949" s="45"/>
      <c r="V949" s="45"/>
      <c r="W949" s="45"/>
      <c r="X949" s="45"/>
      <c r="Y949" s="45"/>
      <c r="Z949" s="45"/>
    </row>
    <row r="950" spans="1:26">
      <c r="A950" s="45"/>
      <c r="B950" s="45"/>
      <c r="C950" s="45"/>
      <c r="D950" s="45"/>
      <c r="E950" s="45"/>
      <c r="F950" s="45"/>
      <c r="G950" s="45"/>
      <c r="H950" s="45"/>
      <c r="I950" s="45"/>
      <c r="J950" s="45"/>
      <c r="K950" s="45"/>
      <c r="L950" s="45"/>
      <c r="M950" s="45"/>
      <c r="N950" s="44"/>
      <c r="O950" s="45"/>
      <c r="P950" s="45"/>
      <c r="Q950" s="45"/>
      <c r="R950" s="45"/>
      <c r="S950" s="45"/>
      <c r="T950" s="45"/>
      <c r="U950" s="45"/>
      <c r="V950" s="45"/>
      <c r="W950" s="45"/>
      <c r="X950" s="45"/>
      <c r="Y950" s="45"/>
      <c r="Z950" s="45"/>
    </row>
    <row r="951" spans="1:26">
      <c r="A951" s="45"/>
      <c r="B951" s="45"/>
      <c r="C951" s="45"/>
      <c r="D951" s="45"/>
      <c r="E951" s="45"/>
      <c r="F951" s="45"/>
      <c r="G951" s="45"/>
      <c r="H951" s="45"/>
      <c r="I951" s="45"/>
      <c r="J951" s="45"/>
      <c r="K951" s="45"/>
      <c r="L951" s="45"/>
      <c r="M951" s="45"/>
      <c r="N951" s="44"/>
      <c r="O951" s="45"/>
      <c r="P951" s="45"/>
      <c r="Q951" s="45"/>
      <c r="R951" s="45"/>
      <c r="S951" s="45"/>
      <c r="T951" s="45"/>
      <c r="U951" s="45"/>
      <c r="V951" s="45"/>
      <c r="W951" s="45"/>
      <c r="X951" s="45"/>
      <c r="Y951" s="45"/>
      <c r="Z951" s="45"/>
    </row>
    <row r="952" spans="1:26">
      <c r="A952" s="45"/>
      <c r="B952" s="45"/>
      <c r="C952" s="45"/>
      <c r="D952" s="45"/>
      <c r="E952" s="45"/>
      <c r="F952" s="45"/>
      <c r="G952" s="45"/>
      <c r="H952" s="45"/>
      <c r="I952" s="45"/>
      <c r="J952" s="45"/>
      <c r="K952" s="45"/>
      <c r="L952" s="45"/>
      <c r="M952" s="45"/>
      <c r="N952" s="44"/>
      <c r="O952" s="45"/>
      <c r="P952" s="45"/>
      <c r="Q952" s="45"/>
      <c r="R952" s="45"/>
      <c r="S952" s="45"/>
      <c r="T952" s="45"/>
      <c r="U952" s="45"/>
      <c r="V952" s="45"/>
      <c r="W952" s="45"/>
      <c r="X952" s="45"/>
      <c r="Y952" s="45"/>
      <c r="Z952" s="45"/>
    </row>
    <row r="953" spans="1:26">
      <c r="A953" s="45"/>
      <c r="B953" s="45"/>
      <c r="C953" s="45"/>
      <c r="D953" s="45"/>
      <c r="E953" s="45"/>
      <c r="F953" s="45"/>
      <c r="G953" s="45"/>
      <c r="H953" s="45"/>
      <c r="I953" s="45"/>
      <c r="J953" s="45"/>
      <c r="K953" s="45"/>
      <c r="L953" s="45"/>
      <c r="M953" s="45"/>
      <c r="N953" s="44"/>
      <c r="O953" s="45"/>
      <c r="P953" s="45"/>
      <c r="Q953" s="45"/>
      <c r="R953" s="45"/>
      <c r="S953" s="45"/>
      <c r="T953" s="45"/>
      <c r="U953" s="45"/>
      <c r="V953" s="45"/>
      <c r="W953" s="45"/>
      <c r="X953" s="45"/>
      <c r="Y953" s="45"/>
      <c r="Z953" s="45"/>
    </row>
    <row r="954" spans="1:26">
      <c r="A954" s="45"/>
      <c r="B954" s="45"/>
      <c r="C954" s="45"/>
      <c r="D954" s="45"/>
      <c r="E954" s="45"/>
      <c r="F954" s="45"/>
      <c r="G954" s="45"/>
      <c r="H954" s="45"/>
      <c r="I954" s="45"/>
      <c r="J954" s="45"/>
      <c r="K954" s="45"/>
      <c r="L954" s="45"/>
      <c r="M954" s="45"/>
      <c r="N954" s="44"/>
      <c r="O954" s="45"/>
      <c r="P954" s="45"/>
      <c r="Q954" s="45"/>
      <c r="R954" s="45"/>
      <c r="S954" s="45"/>
      <c r="T954" s="45"/>
      <c r="U954" s="45"/>
      <c r="V954" s="45"/>
      <c r="W954" s="45"/>
      <c r="X954" s="45"/>
      <c r="Y954" s="45"/>
      <c r="Z954" s="45"/>
    </row>
    <row r="955" spans="1:26">
      <c r="A955" s="45"/>
      <c r="B955" s="45"/>
      <c r="C955" s="45"/>
      <c r="D955" s="45"/>
      <c r="E955" s="45"/>
      <c r="F955" s="45"/>
      <c r="G955" s="45"/>
      <c r="H955" s="45"/>
      <c r="I955" s="45"/>
      <c r="J955" s="45"/>
      <c r="K955" s="45"/>
      <c r="L955" s="45"/>
      <c r="M955" s="45"/>
      <c r="N955" s="44"/>
      <c r="O955" s="45"/>
      <c r="P955" s="45"/>
      <c r="Q955" s="45"/>
      <c r="R955" s="45"/>
      <c r="S955" s="45"/>
      <c r="T955" s="45"/>
      <c r="U955" s="45"/>
      <c r="V955" s="45"/>
      <c r="W955" s="45"/>
      <c r="X955" s="45"/>
      <c r="Y955" s="45"/>
      <c r="Z955" s="45"/>
    </row>
    <row r="956" spans="1:26">
      <c r="A956" s="45"/>
      <c r="B956" s="45"/>
      <c r="C956" s="45"/>
      <c r="D956" s="45"/>
      <c r="E956" s="45"/>
      <c r="F956" s="45"/>
      <c r="G956" s="45"/>
      <c r="H956" s="45"/>
      <c r="I956" s="45"/>
      <c r="J956" s="45"/>
      <c r="K956" s="45"/>
      <c r="L956" s="45"/>
      <c r="M956" s="45"/>
      <c r="N956" s="44"/>
      <c r="O956" s="45"/>
      <c r="P956" s="45"/>
      <c r="Q956" s="45"/>
      <c r="R956" s="45"/>
      <c r="S956" s="45"/>
      <c r="T956" s="45"/>
      <c r="U956" s="45"/>
      <c r="V956" s="45"/>
      <c r="W956" s="45"/>
      <c r="X956" s="45"/>
      <c r="Y956" s="45"/>
      <c r="Z956" s="45"/>
    </row>
    <row r="957" spans="1:26">
      <c r="A957" s="45"/>
      <c r="B957" s="45"/>
      <c r="C957" s="45"/>
      <c r="D957" s="45"/>
      <c r="E957" s="45"/>
      <c r="F957" s="45"/>
      <c r="G957" s="45"/>
      <c r="H957" s="45"/>
      <c r="I957" s="45"/>
      <c r="J957" s="45"/>
      <c r="K957" s="45"/>
      <c r="L957" s="45"/>
      <c r="M957" s="45"/>
      <c r="N957" s="44"/>
      <c r="O957" s="45"/>
      <c r="P957" s="45"/>
      <c r="Q957" s="45"/>
      <c r="R957" s="45"/>
      <c r="S957" s="45"/>
      <c r="T957" s="45"/>
      <c r="U957" s="45"/>
      <c r="V957" s="45"/>
      <c r="W957" s="45"/>
      <c r="X957" s="45"/>
      <c r="Y957" s="45"/>
      <c r="Z957" s="45"/>
    </row>
    <row r="958" spans="1:26">
      <c r="A958" s="45"/>
      <c r="B958" s="45"/>
      <c r="C958" s="45"/>
      <c r="D958" s="45"/>
      <c r="E958" s="45"/>
      <c r="F958" s="45"/>
      <c r="G958" s="45"/>
      <c r="H958" s="45"/>
      <c r="I958" s="45"/>
      <c r="J958" s="45"/>
      <c r="K958" s="45"/>
      <c r="L958" s="45"/>
      <c r="M958" s="45"/>
      <c r="N958" s="44"/>
      <c r="O958" s="45"/>
      <c r="P958" s="45"/>
      <c r="Q958" s="45"/>
      <c r="R958" s="45"/>
      <c r="S958" s="45"/>
      <c r="T958" s="45"/>
      <c r="U958" s="45"/>
      <c r="V958" s="45"/>
      <c r="W958" s="45"/>
      <c r="X958" s="45"/>
      <c r="Y958" s="45"/>
      <c r="Z958" s="45"/>
    </row>
    <row r="959" spans="1:26">
      <c r="A959" s="45"/>
      <c r="B959" s="45"/>
      <c r="C959" s="45"/>
      <c r="D959" s="45"/>
      <c r="E959" s="45"/>
      <c r="F959" s="45"/>
      <c r="G959" s="45"/>
      <c r="H959" s="45"/>
      <c r="I959" s="45"/>
      <c r="J959" s="45"/>
      <c r="K959" s="45"/>
      <c r="L959" s="45"/>
      <c r="M959" s="45"/>
      <c r="N959" s="44"/>
      <c r="O959" s="45"/>
      <c r="P959" s="45"/>
      <c r="Q959" s="45"/>
      <c r="R959" s="45"/>
      <c r="S959" s="45"/>
      <c r="T959" s="45"/>
      <c r="U959" s="45"/>
      <c r="V959" s="45"/>
      <c r="W959" s="45"/>
      <c r="X959" s="45"/>
      <c r="Y959" s="45"/>
      <c r="Z959" s="45"/>
    </row>
    <row r="960" spans="1:26">
      <c r="A960" s="45"/>
      <c r="B960" s="45"/>
      <c r="C960" s="45"/>
      <c r="D960" s="45"/>
      <c r="E960" s="45"/>
      <c r="F960" s="45"/>
      <c r="G960" s="45"/>
      <c r="H960" s="45"/>
      <c r="I960" s="45"/>
      <c r="J960" s="45"/>
      <c r="K960" s="45"/>
      <c r="L960" s="45"/>
      <c r="M960" s="45"/>
      <c r="N960" s="44"/>
      <c r="O960" s="45"/>
      <c r="P960" s="45"/>
      <c r="Q960" s="45"/>
      <c r="R960" s="45"/>
      <c r="S960" s="45"/>
      <c r="T960" s="45"/>
      <c r="U960" s="45"/>
      <c r="V960" s="45"/>
      <c r="W960" s="45"/>
      <c r="X960" s="45"/>
      <c r="Y960" s="45"/>
      <c r="Z960" s="45"/>
    </row>
    <row r="961" spans="1:26">
      <c r="A961" s="45"/>
      <c r="B961" s="45"/>
      <c r="C961" s="45"/>
      <c r="D961" s="45"/>
      <c r="E961" s="45"/>
      <c r="F961" s="45"/>
      <c r="G961" s="45"/>
      <c r="H961" s="45"/>
      <c r="I961" s="45"/>
      <c r="J961" s="45"/>
      <c r="K961" s="45"/>
      <c r="L961" s="45"/>
      <c r="M961" s="45"/>
      <c r="N961" s="44"/>
      <c r="O961" s="45"/>
      <c r="P961" s="45"/>
      <c r="Q961" s="45"/>
      <c r="R961" s="45"/>
      <c r="S961" s="45"/>
      <c r="T961" s="45"/>
      <c r="U961" s="45"/>
      <c r="V961" s="45"/>
      <c r="W961" s="45"/>
      <c r="X961" s="45"/>
      <c r="Y961" s="45"/>
      <c r="Z961" s="45"/>
    </row>
    <row r="962" spans="1:26">
      <c r="A962" s="45"/>
      <c r="B962" s="45"/>
      <c r="C962" s="45"/>
      <c r="D962" s="45"/>
      <c r="E962" s="45"/>
      <c r="F962" s="45"/>
      <c r="G962" s="45"/>
      <c r="H962" s="45"/>
      <c r="I962" s="45"/>
      <c r="J962" s="45"/>
      <c r="K962" s="45"/>
      <c r="L962" s="45"/>
      <c r="M962" s="45"/>
      <c r="N962" s="44"/>
      <c r="O962" s="45"/>
      <c r="P962" s="45"/>
      <c r="Q962" s="45"/>
      <c r="R962" s="45"/>
      <c r="S962" s="45"/>
      <c r="T962" s="45"/>
      <c r="U962" s="45"/>
      <c r="V962" s="45"/>
      <c r="W962" s="45"/>
      <c r="X962" s="45"/>
      <c r="Y962" s="45"/>
      <c r="Z962" s="45"/>
    </row>
    <row r="963" spans="1:26">
      <c r="A963" s="45"/>
      <c r="B963" s="45"/>
      <c r="C963" s="45"/>
      <c r="D963" s="45"/>
      <c r="E963" s="45"/>
      <c r="F963" s="45"/>
      <c r="G963" s="45"/>
      <c r="H963" s="45"/>
      <c r="I963" s="45"/>
      <c r="J963" s="45"/>
      <c r="K963" s="45"/>
      <c r="L963" s="45"/>
      <c r="M963" s="45"/>
      <c r="N963" s="44"/>
      <c r="O963" s="45"/>
      <c r="P963" s="45"/>
      <c r="Q963" s="45"/>
      <c r="R963" s="45"/>
      <c r="S963" s="45"/>
      <c r="T963" s="45"/>
      <c r="U963" s="45"/>
      <c r="V963" s="45"/>
      <c r="W963" s="45"/>
      <c r="X963" s="45"/>
      <c r="Y963" s="45"/>
      <c r="Z963" s="45"/>
    </row>
    <row r="964" spans="1:26">
      <c r="A964" s="45"/>
      <c r="B964" s="45"/>
      <c r="C964" s="45"/>
      <c r="D964" s="45"/>
      <c r="E964" s="45"/>
      <c r="F964" s="45"/>
      <c r="G964" s="45"/>
      <c r="H964" s="45"/>
      <c r="I964" s="45"/>
      <c r="J964" s="45"/>
      <c r="K964" s="45"/>
      <c r="L964" s="45"/>
      <c r="M964" s="45"/>
      <c r="N964" s="44"/>
      <c r="O964" s="45"/>
      <c r="P964" s="45"/>
      <c r="Q964" s="45"/>
      <c r="R964" s="45"/>
      <c r="S964" s="45"/>
      <c r="T964" s="45"/>
      <c r="U964" s="45"/>
      <c r="V964" s="45"/>
      <c r="W964" s="45"/>
      <c r="X964" s="45"/>
      <c r="Y964" s="45"/>
      <c r="Z964" s="45"/>
    </row>
    <row r="965" spans="1:26">
      <c r="A965" s="45"/>
      <c r="B965" s="45"/>
      <c r="C965" s="45"/>
      <c r="D965" s="45"/>
      <c r="E965" s="45"/>
      <c r="F965" s="45"/>
      <c r="G965" s="45"/>
      <c r="H965" s="45"/>
      <c r="I965" s="45"/>
      <c r="J965" s="45"/>
      <c r="K965" s="45"/>
      <c r="L965" s="45"/>
      <c r="M965" s="45"/>
      <c r="N965" s="44"/>
      <c r="O965" s="45"/>
      <c r="P965" s="45"/>
      <c r="Q965" s="45"/>
      <c r="R965" s="45"/>
      <c r="S965" s="45"/>
      <c r="T965" s="45"/>
      <c r="U965" s="45"/>
      <c r="V965" s="45"/>
      <c r="W965" s="45"/>
      <c r="X965" s="45"/>
      <c r="Y965" s="45"/>
      <c r="Z965" s="45"/>
    </row>
    <row r="966" spans="1:26">
      <c r="A966" s="45"/>
      <c r="B966" s="45"/>
      <c r="C966" s="45"/>
      <c r="D966" s="45"/>
      <c r="E966" s="45"/>
      <c r="F966" s="45"/>
      <c r="G966" s="45"/>
      <c r="H966" s="45"/>
      <c r="I966" s="45"/>
      <c r="J966" s="45"/>
      <c r="K966" s="45"/>
      <c r="L966" s="45"/>
      <c r="M966" s="45"/>
      <c r="N966" s="44"/>
      <c r="O966" s="45"/>
      <c r="P966" s="45"/>
      <c r="Q966" s="45"/>
      <c r="R966" s="45"/>
      <c r="S966" s="45"/>
      <c r="T966" s="45"/>
      <c r="U966" s="45"/>
      <c r="V966" s="45"/>
      <c r="W966" s="45"/>
      <c r="X966" s="45"/>
      <c r="Y966" s="45"/>
      <c r="Z966" s="45"/>
    </row>
    <row r="967" spans="1:26">
      <c r="A967" s="45"/>
      <c r="B967" s="45"/>
      <c r="C967" s="45"/>
      <c r="D967" s="45"/>
      <c r="E967" s="45"/>
      <c r="F967" s="45"/>
      <c r="G967" s="45"/>
      <c r="H967" s="45"/>
      <c r="I967" s="45"/>
      <c r="J967" s="45"/>
      <c r="K967" s="45"/>
      <c r="L967" s="45"/>
      <c r="M967" s="45"/>
      <c r="N967" s="44"/>
      <c r="O967" s="45"/>
      <c r="P967" s="45"/>
      <c r="Q967" s="45"/>
      <c r="R967" s="45"/>
      <c r="S967" s="45"/>
      <c r="T967" s="45"/>
      <c r="U967" s="45"/>
      <c r="V967" s="45"/>
      <c r="W967" s="45"/>
      <c r="X967" s="45"/>
      <c r="Y967" s="45"/>
      <c r="Z967" s="45"/>
    </row>
    <row r="968" spans="1:26">
      <c r="A968" s="45"/>
      <c r="B968" s="45"/>
      <c r="C968" s="45"/>
      <c r="D968" s="45"/>
      <c r="E968" s="45"/>
      <c r="F968" s="45"/>
      <c r="G968" s="45"/>
      <c r="H968" s="45"/>
      <c r="I968" s="45"/>
      <c r="J968" s="45"/>
      <c r="K968" s="45"/>
      <c r="L968" s="45"/>
      <c r="M968" s="45"/>
      <c r="N968" s="44"/>
      <c r="O968" s="45"/>
      <c r="P968" s="45"/>
      <c r="Q968" s="45"/>
      <c r="R968" s="45"/>
      <c r="S968" s="45"/>
      <c r="T968" s="45"/>
      <c r="U968" s="45"/>
      <c r="V968" s="45"/>
      <c r="W968" s="45"/>
      <c r="X968" s="45"/>
      <c r="Y968" s="45"/>
      <c r="Z968" s="45"/>
    </row>
    <row r="969" spans="1:26">
      <c r="A969" s="45"/>
      <c r="B969" s="45"/>
      <c r="C969" s="45"/>
      <c r="D969" s="45"/>
      <c r="E969" s="45"/>
      <c r="F969" s="45"/>
      <c r="G969" s="45"/>
      <c r="H969" s="45"/>
      <c r="I969" s="45"/>
      <c r="J969" s="45"/>
      <c r="K969" s="45"/>
      <c r="L969" s="45"/>
      <c r="M969" s="45"/>
      <c r="N969" s="44"/>
      <c r="O969" s="45"/>
      <c r="P969" s="45"/>
      <c r="Q969" s="45"/>
      <c r="R969" s="45"/>
      <c r="S969" s="45"/>
      <c r="T969" s="45"/>
      <c r="U969" s="45"/>
      <c r="V969" s="45"/>
      <c r="W969" s="45"/>
      <c r="X969" s="45"/>
      <c r="Y969" s="45"/>
      <c r="Z969" s="45"/>
    </row>
    <row r="970" spans="1:26">
      <c r="A970" s="45"/>
      <c r="B970" s="45"/>
      <c r="C970" s="45"/>
      <c r="D970" s="45"/>
      <c r="E970" s="45"/>
      <c r="F970" s="45"/>
      <c r="G970" s="45"/>
      <c r="H970" s="45"/>
      <c r="I970" s="45"/>
      <c r="J970" s="45"/>
      <c r="K970" s="45"/>
      <c r="L970" s="45"/>
      <c r="M970" s="45"/>
      <c r="N970" s="44"/>
      <c r="O970" s="45"/>
      <c r="P970" s="45"/>
      <c r="Q970" s="45"/>
      <c r="R970" s="45"/>
      <c r="S970" s="45"/>
      <c r="T970" s="45"/>
      <c r="U970" s="45"/>
      <c r="V970" s="45"/>
      <c r="W970" s="45"/>
      <c r="X970" s="45"/>
      <c r="Y970" s="45"/>
      <c r="Z970" s="45"/>
    </row>
    <row r="971" spans="1:26">
      <c r="A971" s="45"/>
      <c r="B971" s="45"/>
      <c r="C971" s="45"/>
      <c r="D971" s="45"/>
      <c r="E971" s="45"/>
      <c r="F971" s="45"/>
      <c r="G971" s="45"/>
      <c r="H971" s="45"/>
      <c r="I971" s="45"/>
      <c r="J971" s="45"/>
      <c r="K971" s="45"/>
      <c r="L971" s="45"/>
      <c r="M971" s="45"/>
      <c r="N971" s="44"/>
      <c r="O971" s="45"/>
      <c r="P971" s="45"/>
      <c r="Q971" s="45"/>
      <c r="R971" s="45"/>
      <c r="S971" s="45"/>
      <c r="T971" s="45"/>
      <c r="U971" s="45"/>
      <c r="V971" s="45"/>
      <c r="W971" s="45"/>
      <c r="X971" s="45"/>
      <c r="Y971" s="45"/>
      <c r="Z971" s="45"/>
    </row>
    <row r="972" spans="1:26">
      <c r="A972" s="45"/>
      <c r="B972" s="45"/>
      <c r="C972" s="45"/>
      <c r="D972" s="45"/>
      <c r="E972" s="45"/>
      <c r="F972" s="45"/>
      <c r="G972" s="45"/>
      <c r="H972" s="45"/>
      <c r="I972" s="45"/>
      <c r="J972" s="45"/>
      <c r="K972" s="45"/>
      <c r="L972" s="45"/>
      <c r="M972" s="45"/>
      <c r="N972" s="44"/>
      <c r="O972" s="45"/>
      <c r="P972" s="45"/>
      <c r="Q972" s="45"/>
      <c r="R972" s="45"/>
      <c r="S972" s="45"/>
      <c r="T972" s="45"/>
      <c r="U972" s="45"/>
      <c r="V972" s="45"/>
      <c r="W972" s="45"/>
      <c r="X972" s="45"/>
      <c r="Y972" s="45"/>
      <c r="Z972" s="45"/>
    </row>
    <row r="973" spans="1:26">
      <c r="A973" s="45"/>
      <c r="B973" s="45"/>
      <c r="C973" s="45"/>
      <c r="D973" s="45"/>
      <c r="E973" s="45"/>
      <c r="F973" s="45"/>
      <c r="G973" s="45"/>
      <c r="H973" s="45"/>
      <c r="I973" s="45"/>
      <c r="J973" s="45"/>
      <c r="K973" s="45"/>
      <c r="L973" s="45"/>
      <c r="M973" s="45"/>
      <c r="N973" s="44"/>
      <c r="O973" s="45"/>
      <c r="P973" s="45"/>
      <c r="Q973" s="45"/>
      <c r="R973" s="45"/>
      <c r="S973" s="45"/>
      <c r="T973" s="45"/>
      <c r="U973" s="45"/>
      <c r="V973" s="45"/>
      <c r="W973" s="45"/>
      <c r="X973" s="45"/>
      <c r="Y973" s="45"/>
      <c r="Z973" s="45"/>
    </row>
    <row r="974" spans="1:26">
      <c r="A974" s="45"/>
      <c r="B974" s="45"/>
      <c r="C974" s="45"/>
      <c r="D974" s="45"/>
      <c r="E974" s="45"/>
      <c r="F974" s="45"/>
      <c r="G974" s="45"/>
      <c r="H974" s="45"/>
      <c r="I974" s="45"/>
      <c r="J974" s="45"/>
      <c r="K974" s="45"/>
      <c r="L974" s="45"/>
      <c r="M974" s="45"/>
      <c r="N974" s="44"/>
      <c r="O974" s="45"/>
      <c r="P974" s="45"/>
      <c r="Q974" s="45"/>
      <c r="R974" s="45"/>
      <c r="S974" s="45"/>
      <c r="T974" s="45"/>
      <c r="U974" s="45"/>
      <c r="V974" s="45"/>
      <c r="W974" s="45"/>
      <c r="X974" s="45"/>
      <c r="Y974" s="45"/>
      <c r="Z974" s="45"/>
    </row>
    <row r="975" spans="1:26">
      <c r="A975" s="45"/>
      <c r="B975" s="45"/>
      <c r="C975" s="45"/>
      <c r="D975" s="45"/>
      <c r="E975" s="45"/>
      <c r="F975" s="45"/>
      <c r="G975" s="45"/>
      <c r="H975" s="45"/>
      <c r="I975" s="45"/>
      <c r="J975" s="45"/>
      <c r="K975" s="45"/>
      <c r="L975" s="45"/>
      <c r="M975" s="45"/>
      <c r="N975" s="44"/>
      <c r="O975" s="45"/>
      <c r="P975" s="45"/>
      <c r="Q975" s="45"/>
      <c r="R975" s="45"/>
      <c r="S975" s="45"/>
      <c r="T975" s="45"/>
      <c r="U975" s="45"/>
      <c r="V975" s="45"/>
      <c r="W975" s="45"/>
      <c r="X975" s="45"/>
      <c r="Y975" s="45"/>
      <c r="Z975" s="45"/>
    </row>
    <row r="976" spans="1:26">
      <c r="A976" s="45"/>
      <c r="B976" s="45"/>
      <c r="C976" s="45"/>
      <c r="D976" s="45"/>
      <c r="E976" s="45"/>
      <c r="F976" s="45"/>
      <c r="G976" s="45"/>
      <c r="H976" s="45"/>
      <c r="I976" s="45"/>
      <c r="J976" s="45"/>
      <c r="K976" s="45"/>
      <c r="L976" s="45"/>
      <c r="M976" s="45"/>
      <c r="N976" s="44"/>
      <c r="O976" s="45"/>
      <c r="P976" s="45"/>
      <c r="Q976" s="45"/>
      <c r="R976" s="45"/>
      <c r="S976" s="45"/>
      <c r="T976" s="45"/>
      <c r="U976" s="45"/>
      <c r="V976" s="45"/>
      <c r="W976" s="45"/>
      <c r="X976" s="45"/>
      <c r="Y976" s="45"/>
      <c r="Z976" s="45"/>
    </row>
    <row r="977" spans="1:26">
      <c r="A977" s="45"/>
      <c r="B977" s="45"/>
      <c r="C977" s="45"/>
      <c r="D977" s="45"/>
      <c r="E977" s="45"/>
      <c r="F977" s="45"/>
      <c r="G977" s="45"/>
      <c r="H977" s="45"/>
      <c r="I977" s="45"/>
      <c r="J977" s="45"/>
      <c r="K977" s="45"/>
      <c r="L977" s="45"/>
      <c r="M977" s="45"/>
      <c r="N977" s="44"/>
      <c r="O977" s="45"/>
      <c r="P977" s="45"/>
      <c r="Q977" s="45"/>
      <c r="R977" s="45"/>
      <c r="S977" s="45"/>
      <c r="T977" s="45"/>
      <c r="U977" s="45"/>
      <c r="V977" s="45"/>
      <c r="W977" s="45"/>
      <c r="X977" s="45"/>
      <c r="Y977" s="45"/>
      <c r="Z977" s="45"/>
    </row>
    <row r="978" spans="1:26">
      <c r="A978" s="45"/>
      <c r="B978" s="45"/>
      <c r="C978" s="45"/>
      <c r="D978" s="45"/>
      <c r="E978" s="45"/>
      <c r="F978" s="45"/>
      <c r="G978" s="45"/>
      <c r="H978" s="45"/>
      <c r="I978" s="45"/>
      <c r="J978" s="45"/>
      <c r="K978" s="45"/>
      <c r="L978" s="45"/>
      <c r="M978" s="45"/>
      <c r="N978" s="44"/>
      <c r="O978" s="45"/>
      <c r="P978" s="45"/>
      <c r="Q978" s="45"/>
      <c r="R978" s="45"/>
      <c r="S978" s="45"/>
      <c r="T978" s="45"/>
      <c r="U978" s="45"/>
      <c r="V978" s="45"/>
      <c r="W978" s="45"/>
      <c r="X978" s="45"/>
      <c r="Y978" s="45"/>
      <c r="Z978" s="45"/>
    </row>
    <row r="979" spans="1:26">
      <c r="A979" s="45"/>
      <c r="B979" s="45"/>
      <c r="C979" s="45"/>
      <c r="D979" s="45"/>
      <c r="E979" s="45"/>
      <c r="F979" s="45"/>
      <c r="G979" s="45"/>
      <c r="H979" s="45"/>
      <c r="I979" s="45"/>
      <c r="J979" s="45"/>
      <c r="K979" s="45"/>
      <c r="L979" s="45"/>
      <c r="M979" s="45"/>
      <c r="N979" s="44"/>
      <c r="O979" s="45"/>
      <c r="P979" s="45"/>
      <c r="Q979" s="45"/>
      <c r="R979" s="45"/>
      <c r="S979" s="45"/>
      <c r="T979" s="45"/>
      <c r="U979" s="45"/>
      <c r="V979" s="45"/>
      <c r="W979" s="45"/>
      <c r="X979" s="45"/>
      <c r="Y979" s="45"/>
      <c r="Z979" s="45"/>
    </row>
    <row r="980" spans="1:26">
      <c r="A980" s="45"/>
      <c r="B980" s="45"/>
      <c r="C980" s="45"/>
      <c r="D980" s="45"/>
      <c r="E980" s="45"/>
      <c r="F980" s="45"/>
      <c r="G980" s="45"/>
      <c r="H980" s="45"/>
      <c r="I980" s="45"/>
      <c r="J980" s="45"/>
      <c r="K980" s="45"/>
      <c r="L980" s="45"/>
      <c r="M980" s="45"/>
      <c r="N980" s="44"/>
      <c r="O980" s="45"/>
      <c r="P980" s="45"/>
      <c r="Q980" s="45"/>
      <c r="R980" s="45"/>
      <c r="S980" s="45"/>
      <c r="T980" s="45"/>
      <c r="U980" s="45"/>
      <c r="V980" s="45"/>
      <c r="W980" s="45"/>
      <c r="X980" s="45"/>
      <c r="Y980" s="45"/>
      <c r="Z980" s="45"/>
    </row>
    <row r="981" spans="1:26">
      <c r="A981" s="45"/>
      <c r="B981" s="45"/>
      <c r="C981" s="45"/>
      <c r="D981" s="45"/>
      <c r="E981" s="45"/>
      <c r="F981" s="45"/>
      <c r="G981" s="45"/>
      <c r="H981" s="45"/>
      <c r="I981" s="45"/>
      <c r="J981" s="45"/>
      <c r="K981" s="45"/>
      <c r="L981" s="45"/>
      <c r="M981" s="45"/>
      <c r="N981" s="44"/>
      <c r="O981" s="45"/>
      <c r="P981" s="45"/>
      <c r="Q981" s="45"/>
      <c r="R981" s="45"/>
      <c r="S981" s="45"/>
      <c r="T981" s="45"/>
      <c r="U981" s="45"/>
      <c r="V981" s="45"/>
      <c r="W981" s="45"/>
      <c r="X981" s="45"/>
      <c r="Y981" s="45"/>
      <c r="Z981" s="45"/>
    </row>
    <row r="982" spans="1:26">
      <c r="A982" s="45"/>
      <c r="B982" s="45"/>
      <c r="C982" s="45"/>
      <c r="D982" s="45"/>
      <c r="E982" s="45"/>
      <c r="F982" s="45"/>
      <c r="G982" s="45"/>
      <c r="H982" s="45"/>
      <c r="I982" s="45"/>
      <c r="J982" s="45"/>
      <c r="K982" s="45"/>
      <c r="L982" s="45"/>
      <c r="M982" s="45"/>
      <c r="N982" s="44"/>
      <c r="O982" s="45"/>
      <c r="P982" s="45"/>
      <c r="Q982" s="45"/>
      <c r="R982" s="45"/>
      <c r="S982" s="45"/>
      <c r="T982" s="45"/>
      <c r="U982" s="45"/>
      <c r="V982" s="45"/>
      <c r="W982" s="45"/>
      <c r="X982" s="45"/>
      <c r="Y982" s="45"/>
      <c r="Z982" s="45"/>
    </row>
    <row r="983" spans="1:26">
      <c r="A983" s="45"/>
      <c r="B983" s="45"/>
      <c r="C983" s="45"/>
      <c r="D983" s="45"/>
      <c r="E983" s="45"/>
      <c r="F983" s="45"/>
      <c r="G983" s="45"/>
      <c r="H983" s="45"/>
      <c r="I983" s="45"/>
      <c r="J983" s="45"/>
      <c r="K983" s="45"/>
      <c r="L983" s="45"/>
      <c r="M983" s="45"/>
      <c r="N983" s="44"/>
      <c r="O983" s="45"/>
      <c r="P983" s="45"/>
      <c r="Q983" s="45"/>
      <c r="R983" s="45"/>
      <c r="S983" s="45"/>
      <c r="T983" s="45"/>
      <c r="U983" s="45"/>
      <c r="V983" s="45"/>
      <c r="W983" s="45"/>
      <c r="X983" s="45"/>
      <c r="Y983" s="45"/>
      <c r="Z983" s="45"/>
    </row>
    <row r="984" spans="1:26">
      <c r="A984" s="45"/>
      <c r="B984" s="45"/>
      <c r="C984" s="45"/>
      <c r="D984" s="45"/>
      <c r="E984" s="45"/>
      <c r="F984" s="45"/>
      <c r="G984" s="45"/>
      <c r="H984" s="45"/>
      <c r="I984" s="45"/>
      <c r="J984" s="45"/>
      <c r="K984" s="45"/>
      <c r="L984" s="45"/>
      <c r="M984" s="45"/>
      <c r="N984" s="44"/>
      <c r="O984" s="45"/>
      <c r="P984" s="45"/>
      <c r="Q984" s="45"/>
      <c r="R984" s="45"/>
      <c r="S984" s="45"/>
      <c r="T984" s="45"/>
      <c r="U984" s="45"/>
      <c r="V984" s="45"/>
      <c r="W984" s="45"/>
      <c r="X984" s="45"/>
      <c r="Y984" s="45"/>
      <c r="Z984" s="45"/>
    </row>
    <row r="985" spans="1:26">
      <c r="A985" s="45"/>
      <c r="B985" s="45"/>
      <c r="C985" s="45"/>
      <c r="D985" s="45"/>
      <c r="E985" s="45"/>
      <c r="F985" s="45"/>
      <c r="G985" s="45"/>
      <c r="H985" s="45"/>
      <c r="I985" s="45"/>
      <c r="J985" s="45"/>
      <c r="K985" s="45"/>
      <c r="L985" s="45"/>
      <c r="M985" s="45"/>
      <c r="N985" s="44"/>
      <c r="O985" s="45"/>
      <c r="P985" s="45"/>
      <c r="Q985" s="45"/>
      <c r="R985" s="45"/>
      <c r="S985" s="45"/>
      <c r="T985" s="45"/>
      <c r="U985" s="45"/>
      <c r="V985" s="45"/>
      <c r="W985" s="45"/>
      <c r="X985" s="45"/>
      <c r="Y985" s="45"/>
      <c r="Z985" s="45"/>
    </row>
    <row r="986" spans="1:26">
      <c r="A986" s="45"/>
      <c r="B986" s="45"/>
      <c r="C986" s="45"/>
      <c r="D986" s="45"/>
      <c r="E986" s="45"/>
      <c r="F986" s="45"/>
      <c r="G986" s="45"/>
      <c r="H986" s="45"/>
      <c r="I986" s="45"/>
      <c r="J986" s="45"/>
      <c r="K986" s="45"/>
      <c r="L986" s="45"/>
      <c r="M986" s="45"/>
      <c r="N986" s="44"/>
      <c r="O986" s="45"/>
      <c r="P986" s="45"/>
      <c r="Q986" s="45"/>
      <c r="R986" s="45"/>
      <c r="S986" s="45"/>
      <c r="T986" s="45"/>
      <c r="U986" s="45"/>
      <c r="V986" s="45"/>
      <c r="W986" s="45"/>
      <c r="X986" s="45"/>
      <c r="Y986" s="45"/>
      <c r="Z986" s="45"/>
    </row>
    <row r="987" spans="1:26">
      <c r="A987" s="45"/>
      <c r="B987" s="45"/>
      <c r="C987" s="45"/>
      <c r="D987" s="45"/>
      <c r="E987" s="45"/>
      <c r="F987" s="45"/>
      <c r="G987" s="45"/>
      <c r="H987" s="45"/>
      <c r="I987" s="45"/>
      <c r="J987" s="45"/>
      <c r="K987" s="45"/>
      <c r="L987" s="45"/>
      <c r="M987" s="45"/>
      <c r="N987" s="44"/>
      <c r="O987" s="45"/>
      <c r="P987" s="45"/>
      <c r="Q987" s="45"/>
      <c r="R987" s="45"/>
      <c r="S987" s="45"/>
      <c r="T987" s="45"/>
      <c r="U987" s="45"/>
      <c r="V987" s="45"/>
      <c r="W987" s="45"/>
      <c r="X987" s="45"/>
      <c r="Y987" s="45"/>
      <c r="Z987" s="45"/>
    </row>
    <row r="988" spans="1:26">
      <c r="A988" s="45"/>
      <c r="B988" s="45"/>
      <c r="C988" s="45"/>
      <c r="D988" s="45"/>
      <c r="E988" s="45"/>
      <c r="F988" s="45"/>
      <c r="G988" s="45"/>
      <c r="H988" s="45"/>
      <c r="I988" s="45"/>
      <c r="J988" s="45"/>
      <c r="K988" s="45"/>
      <c r="L988" s="45"/>
      <c r="M988" s="45"/>
      <c r="N988" s="44"/>
      <c r="O988" s="45"/>
      <c r="P988" s="45"/>
      <c r="Q988" s="45"/>
      <c r="R988" s="45"/>
      <c r="S988" s="45"/>
      <c r="T988" s="45"/>
      <c r="U988" s="45"/>
      <c r="V988" s="45"/>
      <c r="W988" s="45"/>
      <c r="X988" s="45"/>
      <c r="Y988" s="45"/>
      <c r="Z988" s="45"/>
    </row>
    <row r="989" spans="1:26">
      <c r="A989" s="45"/>
      <c r="B989" s="45"/>
      <c r="C989" s="45"/>
      <c r="D989" s="45"/>
      <c r="E989" s="45"/>
      <c r="F989" s="45"/>
      <c r="G989" s="45"/>
      <c r="H989" s="45"/>
      <c r="I989" s="45"/>
      <c r="J989" s="45"/>
      <c r="K989" s="45"/>
      <c r="L989" s="45"/>
      <c r="M989" s="45"/>
      <c r="N989" s="44"/>
      <c r="O989" s="45"/>
      <c r="P989" s="45"/>
      <c r="Q989" s="45"/>
      <c r="R989" s="45"/>
      <c r="S989" s="45"/>
      <c r="T989" s="45"/>
      <c r="U989" s="45"/>
      <c r="V989" s="45"/>
      <c r="W989" s="45"/>
      <c r="X989" s="45"/>
      <c r="Y989" s="45"/>
      <c r="Z989" s="45"/>
    </row>
    <row r="990" spans="1:26">
      <c r="A990" s="45"/>
      <c r="B990" s="45"/>
      <c r="C990" s="45"/>
      <c r="D990" s="45"/>
      <c r="E990" s="45"/>
      <c r="F990" s="45"/>
      <c r="G990" s="45"/>
      <c r="H990" s="45"/>
      <c r="I990" s="45"/>
      <c r="J990" s="45"/>
      <c r="K990" s="45"/>
      <c r="L990" s="45"/>
      <c r="M990" s="45"/>
      <c r="N990" s="44"/>
      <c r="O990" s="45"/>
      <c r="P990" s="45"/>
      <c r="Q990" s="45"/>
      <c r="R990" s="45"/>
      <c r="S990" s="45"/>
      <c r="T990" s="45"/>
      <c r="U990" s="45"/>
      <c r="V990" s="45"/>
      <c r="W990" s="45"/>
      <c r="X990" s="45"/>
      <c r="Y990" s="45"/>
      <c r="Z990" s="45"/>
    </row>
    <row r="991" spans="1:26">
      <c r="A991" s="45"/>
      <c r="B991" s="45"/>
      <c r="C991" s="45"/>
      <c r="D991" s="45"/>
      <c r="E991" s="45"/>
      <c r="F991" s="45"/>
      <c r="G991" s="45"/>
      <c r="H991" s="45"/>
      <c r="I991" s="45"/>
      <c r="J991" s="45"/>
      <c r="K991" s="45"/>
      <c r="L991" s="45"/>
      <c r="M991" s="45"/>
      <c r="N991" s="44"/>
      <c r="O991" s="45"/>
      <c r="P991" s="45"/>
      <c r="Q991" s="45"/>
      <c r="R991" s="45"/>
      <c r="S991" s="45"/>
      <c r="T991" s="45"/>
      <c r="U991" s="45"/>
      <c r="V991" s="45"/>
      <c r="W991" s="45"/>
      <c r="X991" s="45"/>
      <c r="Y991" s="45"/>
      <c r="Z991" s="45"/>
    </row>
    <row r="992" spans="1:26">
      <c r="A992" s="45"/>
      <c r="B992" s="45"/>
      <c r="C992" s="45"/>
      <c r="D992" s="45"/>
      <c r="E992" s="45"/>
      <c r="F992" s="45"/>
      <c r="G992" s="45"/>
      <c r="H992" s="45"/>
      <c r="I992" s="45"/>
      <c r="J992" s="45"/>
      <c r="K992" s="45"/>
      <c r="L992" s="45"/>
      <c r="M992" s="45"/>
      <c r="N992" s="44"/>
      <c r="O992" s="45"/>
      <c r="P992" s="45"/>
      <c r="Q992" s="45"/>
      <c r="R992" s="45"/>
      <c r="S992" s="45"/>
      <c r="T992" s="45"/>
      <c r="U992" s="45"/>
      <c r="V992" s="45"/>
      <c r="W992" s="45"/>
      <c r="X992" s="45"/>
      <c r="Y992" s="45"/>
      <c r="Z992" s="45"/>
    </row>
    <row r="993" spans="1:26">
      <c r="A993" s="45"/>
      <c r="B993" s="45"/>
      <c r="C993" s="45"/>
      <c r="D993" s="45"/>
      <c r="E993" s="45"/>
      <c r="F993" s="45"/>
      <c r="G993" s="45"/>
      <c r="H993" s="45"/>
      <c r="I993" s="45"/>
      <c r="J993" s="45"/>
      <c r="K993" s="45"/>
      <c r="L993" s="45"/>
      <c r="M993" s="45"/>
      <c r="N993" s="44"/>
      <c r="O993" s="45"/>
      <c r="P993" s="45"/>
      <c r="Q993" s="45"/>
      <c r="R993" s="45"/>
      <c r="S993" s="45"/>
      <c r="T993" s="45"/>
      <c r="U993" s="45"/>
      <c r="V993" s="45"/>
      <c r="W993" s="45"/>
      <c r="X993" s="45"/>
      <c r="Y993" s="45"/>
      <c r="Z993" s="45"/>
    </row>
    <row r="994" spans="1:26">
      <c r="A994" s="45"/>
      <c r="B994" s="45"/>
      <c r="C994" s="45"/>
      <c r="D994" s="45"/>
      <c r="E994" s="45"/>
      <c r="F994" s="45"/>
      <c r="G994" s="45"/>
      <c r="H994" s="45"/>
      <c r="I994" s="45"/>
      <c r="J994" s="45"/>
      <c r="K994" s="45"/>
      <c r="L994" s="45"/>
      <c r="M994" s="45"/>
      <c r="N994" s="44"/>
      <c r="O994" s="45"/>
      <c r="P994" s="45"/>
      <c r="Q994" s="45"/>
      <c r="R994" s="45"/>
      <c r="S994" s="45"/>
      <c r="T994" s="45"/>
      <c r="U994" s="45"/>
      <c r="V994" s="45"/>
      <c r="W994" s="45"/>
      <c r="X994" s="45"/>
      <c r="Y994" s="45"/>
      <c r="Z994" s="45"/>
    </row>
    <row r="995" spans="1:26">
      <c r="A995" s="45"/>
      <c r="B995" s="45"/>
      <c r="C995" s="45"/>
      <c r="D995" s="45"/>
      <c r="E995" s="45"/>
      <c r="F995" s="45"/>
      <c r="G995" s="45"/>
      <c r="H995" s="45"/>
      <c r="I995" s="45"/>
      <c r="J995" s="45"/>
      <c r="K995" s="45"/>
      <c r="L995" s="45"/>
      <c r="M995" s="45"/>
      <c r="N995" s="44"/>
      <c r="O995" s="45"/>
      <c r="P995" s="45"/>
      <c r="Q995" s="45"/>
      <c r="R995" s="45"/>
      <c r="S995" s="45"/>
      <c r="T995" s="45"/>
      <c r="U995" s="45"/>
      <c r="V995" s="45"/>
      <c r="W995" s="45"/>
      <c r="X995" s="45"/>
      <c r="Y995" s="45"/>
      <c r="Z995" s="45"/>
    </row>
    <row r="996" spans="1:26">
      <c r="A996" s="45"/>
      <c r="B996" s="45"/>
      <c r="C996" s="45"/>
      <c r="D996" s="45"/>
      <c r="E996" s="45"/>
      <c r="F996" s="45"/>
      <c r="G996" s="45"/>
      <c r="H996" s="45"/>
      <c r="I996" s="45"/>
      <c r="J996" s="45"/>
      <c r="K996" s="45"/>
      <c r="L996" s="45"/>
      <c r="M996" s="45"/>
      <c r="N996" s="44"/>
      <c r="O996" s="45"/>
      <c r="P996" s="45"/>
      <c r="Q996" s="45"/>
      <c r="R996" s="45"/>
      <c r="S996" s="45"/>
      <c r="T996" s="45"/>
      <c r="U996" s="45"/>
      <c r="V996" s="45"/>
      <c r="W996" s="45"/>
      <c r="X996" s="45"/>
      <c r="Y996" s="45"/>
      <c r="Z996" s="45"/>
    </row>
    <row r="997" spans="1:26">
      <c r="A997" s="45"/>
      <c r="B997" s="45"/>
      <c r="C997" s="45"/>
      <c r="D997" s="45"/>
      <c r="E997" s="45"/>
      <c r="F997" s="45"/>
      <c r="G997" s="45"/>
      <c r="H997" s="45"/>
      <c r="I997" s="45"/>
      <c r="J997" s="45"/>
      <c r="K997" s="45"/>
      <c r="L997" s="45"/>
      <c r="M997" s="45"/>
      <c r="N997" s="44"/>
      <c r="O997" s="45"/>
      <c r="P997" s="45"/>
      <c r="Q997" s="45"/>
      <c r="R997" s="45"/>
      <c r="S997" s="45"/>
      <c r="T997" s="45"/>
      <c r="U997" s="45"/>
      <c r="V997" s="45"/>
      <c r="W997" s="45"/>
      <c r="X997" s="45"/>
      <c r="Y997" s="45"/>
      <c r="Z997" s="45"/>
    </row>
    <row r="998" spans="1:26">
      <c r="A998" s="45"/>
      <c r="B998" s="45"/>
      <c r="C998" s="45"/>
      <c r="D998" s="45"/>
      <c r="E998" s="45"/>
      <c r="F998" s="45"/>
      <c r="G998" s="45"/>
      <c r="H998" s="45"/>
      <c r="I998" s="45"/>
      <c r="J998" s="45"/>
      <c r="K998" s="45"/>
      <c r="L998" s="45"/>
      <c r="M998" s="45"/>
      <c r="N998" s="44"/>
      <c r="O998" s="45"/>
      <c r="P998" s="45"/>
      <c r="Q998" s="45"/>
      <c r="R998" s="45"/>
      <c r="S998" s="45"/>
      <c r="T998" s="45"/>
      <c r="U998" s="45"/>
      <c r="V998" s="45"/>
      <c r="W998" s="45"/>
      <c r="X998" s="45"/>
      <c r="Y998" s="45"/>
      <c r="Z998" s="45"/>
    </row>
    <row r="999" spans="1:26">
      <c r="A999" s="45"/>
      <c r="B999" s="45"/>
      <c r="C999" s="45"/>
      <c r="D999" s="45"/>
      <c r="E999" s="45"/>
      <c r="F999" s="45"/>
      <c r="G999" s="45"/>
      <c r="H999" s="45"/>
      <c r="I999" s="45"/>
      <c r="J999" s="45"/>
      <c r="K999" s="45"/>
      <c r="L999" s="45"/>
      <c r="M999" s="45"/>
      <c r="N999" s="44"/>
      <c r="O999" s="45"/>
      <c r="P999" s="45"/>
      <c r="Q999" s="45"/>
      <c r="R999" s="45"/>
      <c r="S999" s="45"/>
      <c r="T999" s="45"/>
      <c r="U999" s="45"/>
      <c r="V999" s="45"/>
      <c r="W999" s="45"/>
      <c r="X999" s="45"/>
      <c r="Y999" s="45"/>
      <c r="Z999" s="45"/>
    </row>
    <row r="1000" spans="1:26">
      <c r="A1000" s="45"/>
      <c r="B1000" s="45"/>
      <c r="C1000" s="45"/>
      <c r="D1000" s="45"/>
      <c r="E1000" s="45"/>
      <c r="F1000" s="45"/>
      <c r="G1000" s="45"/>
      <c r="H1000" s="45"/>
      <c r="I1000" s="45"/>
      <c r="J1000" s="45"/>
      <c r="K1000" s="45"/>
      <c r="L1000" s="45"/>
      <c r="M1000" s="45"/>
      <c r="N1000" s="44"/>
      <c r="O1000" s="45"/>
      <c r="P1000" s="45"/>
      <c r="Q1000" s="45"/>
      <c r="R1000" s="45"/>
      <c r="S1000" s="45"/>
      <c r="T1000" s="45"/>
      <c r="U1000" s="45"/>
      <c r="V1000" s="45"/>
      <c r="W1000" s="45"/>
      <c r="X1000" s="45"/>
      <c r="Y1000" s="45"/>
      <c r="Z1000" s="45"/>
    </row>
  </sheetData>
  <mergeCells count="5">
    <mergeCell ref="A1:B1"/>
    <mergeCell ref="D1:G1"/>
    <mergeCell ref="I1:K1"/>
    <mergeCell ref="F2:G2"/>
    <mergeCell ref="J2:J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W898"/>
  <sheetViews>
    <sheetView workbookViewId="0">
      <pane ySplit="1" topLeftCell="A2" activePane="bottomLeft" state="frozen"/>
      <selection pane="bottomLeft" activeCell="B3" sqref="B3"/>
    </sheetView>
  </sheetViews>
  <sheetFormatPr defaultColWidth="12.59765625" defaultRowHeight="15.75" customHeight="1"/>
  <sheetData>
    <row r="1" spans="1:23">
      <c r="A1" s="63" t="e">
        <f t="array" aca="1" ref="A1:B29" ca="1">_xludf.unique('Village-F20-2024'!D:E)</f>
        <v>#NAME?</v>
      </c>
      <c r="B1" s="45" t="e">
        <f ca="1"/>
        <v>#NAME?</v>
      </c>
      <c r="C1" s="45"/>
      <c r="D1" s="44"/>
      <c r="G1" s="138" t="s">
        <v>8251</v>
      </c>
      <c r="H1" s="138" t="s">
        <v>8252</v>
      </c>
      <c r="I1" s="138" t="s">
        <v>8253</v>
      </c>
      <c r="J1" s="138" t="s">
        <v>8254</v>
      </c>
      <c r="N1" s="138" t="s">
        <v>8252</v>
      </c>
      <c r="O1" s="138" t="s">
        <v>8255</v>
      </c>
      <c r="P1" s="138" t="s">
        <v>8256</v>
      </c>
      <c r="Q1" s="138" t="s">
        <v>0</v>
      </c>
      <c r="R1" s="138" t="s">
        <v>8257</v>
      </c>
    </row>
    <row r="2" spans="1:23">
      <c r="A2" s="45" t="e">
        <f ca="1"/>
        <v>#NAME?</v>
      </c>
      <c r="B2" s="45" t="e">
        <f ca="1"/>
        <v>#NAME?</v>
      </c>
      <c r="C2" s="45" t="e">
        <f t="shared" ref="C2:C4" ca="1" si="0">UPPER(B2)</f>
        <v>#NAME?</v>
      </c>
      <c r="D2" s="45"/>
      <c r="E2" s="138" t="str">
        <f ca="1">IFERROR(__xludf.DUMMYFUNCTION("filter(C:C,C:C&lt;&gt;"""")"),"GOKAVARAM")</f>
        <v>GOKAVARAM</v>
      </c>
      <c r="F2" s="143"/>
      <c r="G2" s="138" t="s">
        <v>8258</v>
      </c>
      <c r="H2" s="138" t="s">
        <v>8258</v>
      </c>
      <c r="I2" s="138" t="s">
        <v>8259</v>
      </c>
      <c r="J2" s="138" t="s">
        <v>8260</v>
      </c>
      <c r="K2" s="138" t="str">
        <f ca="1">IFERROR(__xludf.DUMMYFUNCTION("unique(filter(R:R,R:R=I2))"),"Kuppam")</f>
        <v>Kuppam</v>
      </c>
      <c r="N2" s="138" t="str">
        <f ca="1">IFERROR(__xludf.DUMMYFUNCTION("unique(filter(W:W,U:U=R2))"),"Sri Sathya Sai")</f>
        <v>Sri Sathya Sai</v>
      </c>
      <c r="O2" s="138" t="s">
        <v>8261</v>
      </c>
      <c r="P2" s="138" t="s">
        <v>8262</v>
      </c>
      <c r="Q2" s="138" t="str">
        <f ca="1">IFERROR(__xludf.DUMMYFUNCTION("filter(I:I,J:J=P2,G:G=O2)"),"Madakasira (Sc)")</f>
        <v>Madakasira (Sc)</v>
      </c>
      <c r="R2" s="138" t="s">
        <v>8263</v>
      </c>
      <c r="U2" s="138" t="s">
        <v>8253</v>
      </c>
      <c r="V2" s="138" t="s">
        <v>8254</v>
      </c>
    </row>
    <row r="3" spans="1:23">
      <c r="A3" s="45" t="e">
        <f ca="1"/>
        <v>#NAME?</v>
      </c>
      <c r="B3" s="45" t="e">
        <f ca="1"/>
        <v>#NAME?</v>
      </c>
      <c r="C3" s="45" t="e">
        <f t="shared" ca="1" si="0"/>
        <v>#NAME?</v>
      </c>
      <c r="D3" s="45"/>
      <c r="E3" s="138" t="str">
        <f ca="1">IFERROR(__xludf.DUMMYFUNCTION("""COMPUTED_VALUE"""),"GANDEPALLE")</f>
        <v>GANDEPALLE</v>
      </c>
      <c r="G3" s="138" t="s">
        <v>8258</v>
      </c>
      <c r="H3" s="138" t="s">
        <v>8258</v>
      </c>
      <c r="I3" s="138" t="s">
        <v>8259</v>
      </c>
      <c r="J3" s="138" t="s">
        <v>8264</v>
      </c>
      <c r="K3" s="138" t="str">
        <f ca="1">IFERROR(__xludf.DUMMYFUNCTION("unique(filter(R:R,R:R=I3))"),"Kuppam")</f>
        <v>Kuppam</v>
      </c>
      <c r="N3" s="138" t="str">
        <f ca="1">IFERROR(__xludf.DUMMYFUNCTION("unique(filter(W:W,U:U=R3))"),"Sri Sathya Sai")</f>
        <v>Sri Sathya Sai</v>
      </c>
      <c r="O3" s="138" t="s">
        <v>8261</v>
      </c>
      <c r="P3" s="138" t="s">
        <v>8265</v>
      </c>
      <c r="Q3" s="138" t="str">
        <f ca="1">IFERROR(__xludf.DUMMYFUNCTION("filter(I:I,J:J=P3,G:G=O3)"),"Puttaparthi")</f>
        <v>Puttaparthi</v>
      </c>
      <c r="R3" s="138" t="s">
        <v>8266</v>
      </c>
      <c r="U3" s="138" t="s">
        <v>8259</v>
      </c>
      <c r="V3" s="138" t="s">
        <v>8260</v>
      </c>
      <c r="W3" s="138" t="str">
        <f ca="1">IFERROR(__xludf.DUMMYFUNCTION("filter(H:H,I:I=U3,J:J=V3)"),"Chittoor")</f>
        <v>Chittoor</v>
      </c>
    </row>
    <row r="4" spans="1:23">
      <c r="A4" s="138" t="e">
        <f ca="1"/>
        <v>#NAME?</v>
      </c>
      <c r="B4" s="138" t="e">
        <f ca="1"/>
        <v>#NAME?</v>
      </c>
      <c r="C4" s="138" t="e">
        <f t="shared" ca="1" si="0"/>
        <v>#NAME?</v>
      </c>
      <c r="E4" s="138" t="str">
        <f ca="1">IFERROR(__xludf.DUMMYFUNCTION("""COMPUTED_VALUE"""),"JAGGAMPETA")</f>
        <v>JAGGAMPETA</v>
      </c>
      <c r="G4" s="138" t="s">
        <v>8258</v>
      </c>
      <c r="H4" s="138" t="s">
        <v>8258</v>
      </c>
      <c r="I4" s="138" t="s">
        <v>8259</v>
      </c>
      <c r="J4" s="138" t="s">
        <v>8267</v>
      </c>
      <c r="K4" s="138" t="str">
        <f ca="1">IFERROR(__xludf.DUMMYFUNCTION("unique(filter(R:R,R:R=I4))"),"Kuppam")</f>
        <v>Kuppam</v>
      </c>
      <c r="N4" s="138" t="str">
        <f ca="1">IFERROR(__xludf.DUMMYFUNCTION("unique(filter(W:W,U:U=R4))"),"Sri Sathya Sai")</f>
        <v>Sri Sathya Sai</v>
      </c>
      <c r="O4" s="138" t="s">
        <v>8261</v>
      </c>
      <c r="P4" s="138" t="s">
        <v>8268</v>
      </c>
      <c r="Q4" s="138" t="str">
        <f ca="1">IFERROR(__xludf.DUMMYFUNCTION("filter(I:I,J:J=P4,G:G=O4)"),"Madakasira (Sc)")</f>
        <v>Madakasira (Sc)</v>
      </c>
      <c r="R4" s="138" t="s">
        <v>8263</v>
      </c>
      <c r="U4" s="138" t="s">
        <v>8259</v>
      </c>
      <c r="V4" s="138" t="s">
        <v>8264</v>
      </c>
      <c r="W4" s="138" t="str">
        <f ca="1">IFERROR(__xludf.DUMMYFUNCTION("filter(H:H,I:I=U4,J:J=V4)"),"Chittoor")</f>
        <v>Chittoor</v>
      </c>
    </row>
    <row r="5" spans="1:23">
      <c r="A5" s="138" t="e">
        <f ca="1"/>
        <v>#NAME?</v>
      </c>
      <c r="B5" s="138" t="e">
        <f ca="1"/>
        <v>#NAME?</v>
      </c>
      <c r="C5" s="138" t="s">
        <v>8269</v>
      </c>
      <c r="E5" s="138" t="str">
        <f ca="1">IFERROR(__xludf.DUMMYFUNCTION("""COMPUTED_VALUE"""),"KIRLAMPUDI")</f>
        <v>KIRLAMPUDI</v>
      </c>
      <c r="G5" s="138" t="s">
        <v>8258</v>
      </c>
      <c r="H5" s="138" t="s">
        <v>8258</v>
      </c>
      <c r="I5" s="138" t="s">
        <v>8259</v>
      </c>
      <c r="J5" s="138" t="s">
        <v>8270</v>
      </c>
      <c r="K5" s="138" t="str">
        <f ca="1">IFERROR(__xludf.DUMMYFUNCTION("unique(filter(R:R,R:R=I5))"),"Kuppam")</f>
        <v>Kuppam</v>
      </c>
      <c r="N5" s="138" t="str">
        <f ca="1">IFERROR(__xludf.DUMMYFUNCTION("unique(filter(W:W,U:U=R5))"),"Anantapur")</f>
        <v>Anantapur</v>
      </c>
      <c r="O5" s="138" t="s">
        <v>8261</v>
      </c>
      <c r="P5" s="138" t="s">
        <v>8261</v>
      </c>
      <c r="Q5" s="138" t="str">
        <f ca="1">IFERROR(__xludf.DUMMYFUNCTION("filter(I:I,J:J=P5,G:G=O5)"),"#REF!")</f>
        <v>#REF!</v>
      </c>
      <c r="R5" s="138" t="s">
        <v>8271</v>
      </c>
      <c r="U5" s="138" t="s">
        <v>8259</v>
      </c>
      <c r="V5" s="138" t="s">
        <v>8267</v>
      </c>
      <c r="W5" s="138" t="str">
        <f ca="1">IFERROR(__xludf.DUMMYFUNCTION("filter(H:H,I:I=U5,J:J=V5)"),"Chittoor")</f>
        <v>Chittoor</v>
      </c>
    </row>
    <row r="6" spans="1:23">
      <c r="A6" s="138" t="e">
        <f ca="1"/>
        <v>#NAME?</v>
      </c>
      <c r="B6" s="138" t="e">
        <f ca="1"/>
        <v>#NAME?</v>
      </c>
      <c r="C6" s="138" t="s">
        <v>8272</v>
      </c>
      <c r="E6" s="138" t="str">
        <f ca="1">IFERROR(__xludf.DUMMYFUNCTION("""COMPUTED_VALUE"""),"KAKINADA (FULLY URBAN)")</f>
        <v>KAKINADA (FULLY URBAN)</v>
      </c>
      <c r="G6" s="138" t="s">
        <v>8258</v>
      </c>
      <c r="H6" s="138" t="s">
        <v>8258</v>
      </c>
      <c r="I6" s="138" t="s">
        <v>8259</v>
      </c>
      <c r="J6" s="138" t="s">
        <v>8259</v>
      </c>
      <c r="K6" s="138" t="str">
        <f ca="1">IFERROR(__xludf.DUMMYFUNCTION("unique(filter(R:R,R:R=I6))"),"Kuppam")</f>
        <v>Kuppam</v>
      </c>
      <c r="N6" s="138" t="str">
        <f ca="1">IFERROR(__xludf.DUMMYFUNCTION("unique(filter(W:W,U:U=R6))"),"Anantapur")</f>
        <v>Anantapur</v>
      </c>
      <c r="O6" s="138" t="s">
        <v>8261</v>
      </c>
      <c r="P6" s="138" t="s">
        <v>8273</v>
      </c>
      <c r="Q6" s="138" t="str">
        <f ca="1">IFERROR(__xludf.DUMMYFUNCTION("filter(I:I,J:J=P6,G:G=O6)"),"#N/A")</f>
        <v>#N/A</v>
      </c>
      <c r="R6" s="138" t="s">
        <v>8274</v>
      </c>
      <c r="U6" s="138" t="s">
        <v>8259</v>
      </c>
      <c r="V6" s="138" t="s">
        <v>8270</v>
      </c>
      <c r="W6" s="138" t="str">
        <f ca="1">IFERROR(__xludf.DUMMYFUNCTION("filter(H:H,I:I=U6,J:J=V6)"),"Chittoor")</f>
        <v>Chittoor</v>
      </c>
    </row>
    <row r="7" spans="1:23">
      <c r="A7" s="138" t="e">
        <f ca="1"/>
        <v>#NAME?</v>
      </c>
      <c r="B7" s="138" t="e">
        <f ca="1"/>
        <v>#NAME?</v>
      </c>
      <c r="C7" s="138" t="s">
        <v>7690</v>
      </c>
      <c r="E7" s="138" t="str">
        <f ca="1">IFERROR(__xludf.DUMMYFUNCTION("""COMPUTED_VALUE"""),"PEDDAPURAM")</f>
        <v>PEDDAPURAM</v>
      </c>
      <c r="G7" s="138" t="s">
        <v>8258</v>
      </c>
      <c r="H7" s="138" t="s">
        <v>8258</v>
      </c>
      <c r="I7" s="138" t="s">
        <v>8259</v>
      </c>
      <c r="J7" s="138" t="s">
        <v>8275</v>
      </c>
      <c r="K7" s="138" t="str">
        <f ca="1">IFERROR(__xludf.DUMMYFUNCTION("unique(filter(R:R,R:R=I7))"),"Kuppam")</f>
        <v>Kuppam</v>
      </c>
      <c r="N7" s="138" t="str">
        <f ca="1">IFERROR(__xludf.DUMMYFUNCTION("unique(filter(W:W,U:U=R7))"),"Sri Sathya Sai")</f>
        <v>Sri Sathya Sai</v>
      </c>
      <c r="O7" s="138" t="s">
        <v>8261</v>
      </c>
      <c r="P7" s="138" t="s">
        <v>8276</v>
      </c>
      <c r="Q7" s="138" t="str">
        <f ca="1">IFERROR(__xludf.DUMMYFUNCTION("filter(I:I,J:J=P7,G:G=O7)"),"Dharmavaram")</f>
        <v>Dharmavaram</v>
      </c>
      <c r="R7" s="138" t="s">
        <v>550</v>
      </c>
      <c r="U7" s="138" t="s">
        <v>8259</v>
      </c>
      <c r="V7" s="138" t="s">
        <v>8259</v>
      </c>
      <c r="W7" s="138" t="str">
        <f ca="1">IFERROR(__xludf.DUMMYFUNCTION("filter(H:H,I:I=U7,J:J=V7)"),"Chittoor")</f>
        <v>Chittoor</v>
      </c>
    </row>
    <row r="8" spans="1:23">
      <c r="A8" s="138" t="e">
        <f ca="1"/>
        <v>#NAME?</v>
      </c>
      <c r="B8" s="138" t="e">
        <f ca="1"/>
        <v>#NAME?</v>
      </c>
      <c r="E8" s="138" t="str">
        <f ca="1">IFERROR(__xludf.DUMMYFUNCTION("""COMPUTED_VALUE"""),"SAMALKOTA")</f>
        <v>SAMALKOTA</v>
      </c>
      <c r="G8" s="138" t="s">
        <v>8258</v>
      </c>
      <c r="H8" s="138" t="s">
        <v>8258</v>
      </c>
      <c r="I8" s="138" t="s">
        <v>8277</v>
      </c>
      <c r="J8" s="138" t="s">
        <v>8278</v>
      </c>
      <c r="K8" s="138" t="str">
        <f ca="1">IFERROR(__xludf.DUMMYFUNCTION("unique(filter(R:R,R:R=I8))"),"Palamaner")</f>
        <v>Palamaner</v>
      </c>
      <c r="N8" s="138" t="str">
        <f ca="1">IFERROR(__xludf.DUMMYFUNCTION("unique(filter(W:W,U:U=R8))"),"Anantapur")</f>
        <v>Anantapur</v>
      </c>
      <c r="O8" s="138" t="s">
        <v>8261</v>
      </c>
      <c r="P8" s="138" t="s">
        <v>8279</v>
      </c>
      <c r="Q8" s="138" t="str">
        <f ca="1">IFERROR(__xludf.DUMMYFUNCTION("filter(I:I,J:J=P8,G:G=O8)"),"Uravakonda")</f>
        <v>Uravakonda</v>
      </c>
      <c r="R8" s="138" t="s">
        <v>8280</v>
      </c>
      <c r="U8" s="138" t="s">
        <v>8259</v>
      </c>
      <c r="V8" s="138" t="s">
        <v>8275</v>
      </c>
      <c r="W8" s="138" t="str">
        <f ca="1">IFERROR(__xludf.DUMMYFUNCTION("filter(H:H,I:I=U8,J:J=V8)"),"Chittoor")</f>
        <v>Chittoor</v>
      </c>
    </row>
    <row r="9" spans="1:23">
      <c r="A9" s="138" t="e">
        <f ca="1"/>
        <v>#NAME?</v>
      </c>
      <c r="B9" s="138" t="e">
        <f ca="1"/>
        <v>#NAME?</v>
      </c>
      <c r="C9" s="138" t="s">
        <v>7727</v>
      </c>
      <c r="E9" s="138" t="str">
        <f ca="1">IFERROR(__xludf.DUMMYFUNCTION("""COMPUTED_VALUE"""),"KAKINADA (RURAL)")</f>
        <v>KAKINADA (RURAL)</v>
      </c>
      <c r="G9" s="138" t="s">
        <v>8258</v>
      </c>
      <c r="H9" s="138" t="s">
        <v>8258</v>
      </c>
      <c r="I9" s="138" t="s">
        <v>8277</v>
      </c>
      <c r="J9" s="138" t="s">
        <v>599</v>
      </c>
      <c r="K9" s="138" t="str">
        <f ca="1">IFERROR(__xludf.DUMMYFUNCTION("unique(filter(R:R,R:R=I9))"),"Palamaner")</f>
        <v>Palamaner</v>
      </c>
      <c r="N9" s="138" t="str">
        <f ca="1">IFERROR(__xludf.DUMMYFUNCTION("unique(filter(W:W,U:U=R9))"),"Anantapur")</f>
        <v>Anantapur</v>
      </c>
      <c r="O9" s="138" t="s">
        <v>8261</v>
      </c>
      <c r="P9" s="138" t="s">
        <v>8281</v>
      </c>
      <c r="Q9" s="138" t="str">
        <f ca="1">IFERROR(__xludf.DUMMYFUNCTION("filter(I:I,J:J=P9,G:G=O9)"),"Rayadurg")</f>
        <v>Rayadurg</v>
      </c>
      <c r="R9" s="138" t="s">
        <v>8282</v>
      </c>
      <c r="U9" s="138" t="s">
        <v>8277</v>
      </c>
      <c r="V9" s="138" t="s">
        <v>8278</v>
      </c>
      <c r="W9" s="138" t="str">
        <f ca="1">IFERROR(__xludf.DUMMYFUNCTION("filter(H:H,I:I=U9,J:J=V9)"),"Chittoor")</f>
        <v>Chittoor</v>
      </c>
    </row>
    <row r="10" spans="1:23">
      <c r="A10" s="138" t="e">
        <f ca="1"/>
        <v>#NAME?</v>
      </c>
      <c r="B10" s="138" t="e">
        <f ca="1"/>
        <v>#NAME?</v>
      </c>
      <c r="E10" s="138" t="str">
        <f ca="1">IFERROR(__xludf.DUMMYFUNCTION("""COMPUTED_VALUE"""),"KARAPA")</f>
        <v>KARAPA</v>
      </c>
      <c r="G10" s="138" t="s">
        <v>8258</v>
      </c>
      <c r="H10" s="138" t="s">
        <v>8258</v>
      </c>
      <c r="I10" s="138" t="s">
        <v>8277</v>
      </c>
      <c r="J10" s="138" t="s">
        <v>8283</v>
      </c>
      <c r="K10" s="138" t="str">
        <f ca="1">IFERROR(__xludf.DUMMYFUNCTION("unique(filter(R:R,R:R=I10))"),"Palamaner")</f>
        <v>Palamaner</v>
      </c>
      <c r="N10" s="138" t="str">
        <f ca="1">IFERROR(__xludf.DUMMYFUNCTION("unique(filter(W:W,U:U=R10))"),"Anantapur")</f>
        <v>Anantapur</v>
      </c>
      <c r="O10" s="138" t="s">
        <v>8261</v>
      </c>
      <c r="P10" s="138" t="s">
        <v>8284</v>
      </c>
      <c r="Q10" s="138" t="str">
        <f ca="1">IFERROR(__xludf.DUMMYFUNCTION("filter(I:I,J:J=P10,G:G=O10)"),"Kalyandurg")</f>
        <v>Kalyandurg</v>
      </c>
      <c r="R10" s="138" t="s">
        <v>8285</v>
      </c>
      <c r="U10" s="138" t="s">
        <v>8277</v>
      </c>
      <c r="V10" s="138" t="s">
        <v>599</v>
      </c>
      <c r="W10" s="138" t="str">
        <f ca="1">IFERROR(__xludf.DUMMYFUNCTION("filter(H:H,I:I=U10,J:J=V10)"),"Chittoor")</f>
        <v>Chittoor</v>
      </c>
    </row>
    <row r="11" spans="1:23">
      <c r="A11" s="138" t="e">
        <f ca="1"/>
        <v>#NAME?</v>
      </c>
      <c r="B11" s="138" t="e">
        <f ca="1"/>
        <v>#NAME?</v>
      </c>
      <c r="C11" s="138" t="s">
        <v>8286</v>
      </c>
      <c r="E11" s="138" t="str">
        <f ca="1">IFERROR(__xludf.DUMMYFUNCTION("""COMPUTED_VALUE"""),"GOLLAPROLU")</f>
        <v>GOLLAPROLU</v>
      </c>
      <c r="G11" s="138" t="s">
        <v>8258</v>
      </c>
      <c r="H11" s="138" t="s">
        <v>8258</v>
      </c>
      <c r="I11" s="138" t="s">
        <v>8277</v>
      </c>
      <c r="J11" s="138" t="s">
        <v>8287</v>
      </c>
      <c r="K11" s="138" t="str">
        <f ca="1">IFERROR(__xludf.DUMMYFUNCTION("unique(filter(R:R,R:R=I11))"),"Palamaner")</f>
        <v>Palamaner</v>
      </c>
      <c r="N11" s="138" t="str">
        <f ca="1">IFERROR(__xludf.DUMMYFUNCTION("unique(filter(W:W,U:U=R11))"),"Sri Sathya Sai")</f>
        <v>Sri Sathya Sai</v>
      </c>
      <c r="O11" s="138" t="s">
        <v>8261</v>
      </c>
      <c r="P11" s="138" t="s">
        <v>8288</v>
      </c>
      <c r="Q11" s="138" t="str">
        <f ca="1">IFERROR(__xludf.DUMMYFUNCTION("filter(I:I,J:J=P11,G:G=O11)"),"Puttaparthi")</f>
        <v>Puttaparthi</v>
      </c>
      <c r="R11" s="138" t="s">
        <v>8266</v>
      </c>
      <c r="U11" s="138" t="s">
        <v>8277</v>
      </c>
      <c r="V11" s="138" t="s">
        <v>8283</v>
      </c>
      <c r="W11" s="138" t="str">
        <f ca="1">IFERROR(__xludf.DUMMYFUNCTION("filter(H:H,I:I=U11,J:J=V11)"),"Chittoor")</f>
        <v>Chittoor</v>
      </c>
    </row>
    <row r="12" spans="1:23">
      <c r="A12" s="138" t="e">
        <f ca="1"/>
        <v>#NAME?</v>
      </c>
      <c r="B12" s="138" t="e">
        <f ca="1"/>
        <v>#NAME?</v>
      </c>
      <c r="E12" s="138" t="str">
        <f ca="1">IFERROR(__xludf.DUMMYFUNCTION("""COMPUTED_VALUE"""),"PITHAPURAM")</f>
        <v>PITHAPURAM</v>
      </c>
      <c r="G12" s="138" t="s">
        <v>8258</v>
      </c>
      <c r="H12" s="138" t="s">
        <v>8258</v>
      </c>
      <c r="I12" s="138" t="s">
        <v>8277</v>
      </c>
      <c r="J12" s="138" t="s">
        <v>8277</v>
      </c>
      <c r="K12" s="138" t="str">
        <f ca="1">IFERROR(__xludf.DUMMYFUNCTION("unique(filter(R:R,R:R=I12))"),"Palamaner")</f>
        <v>Palamaner</v>
      </c>
      <c r="N12" s="138" t="str">
        <f ca="1">IFERROR(__xludf.DUMMYFUNCTION("unique(filter(W:W,U:U=R12))"),"Anantapur")</f>
        <v>Anantapur</v>
      </c>
      <c r="O12" s="138" t="s">
        <v>8261</v>
      </c>
      <c r="P12" s="138" t="s">
        <v>8289</v>
      </c>
      <c r="Q12" s="138" t="str">
        <f ca="1">IFERROR(__xludf.DUMMYFUNCTION("filter(I:I,J:J=P12,G:G=O12)"),"#N/A")</f>
        <v>#N/A</v>
      </c>
      <c r="R12" s="138" t="s">
        <v>8290</v>
      </c>
      <c r="U12" s="138" t="s">
        <v>8277</v>
      </c>
      <c r="V12" s="138" t="s">
        <v>8287</v>
      </c>
      <c r="W12" s="138" t="str">
        <f ca="1">IFERROR(__xludf.DUMMYFUNCTION("filter(H:H,I:I=U12,J:J=V12)"),"Chittoor")</f>
        <v>Chittoor</v>
      </c>
    </row>
    <row r="13" spans="1:23">
      <c r="A13" s="138" t="e">
        <f ca="1"/>
        <v>#NAME?</v>
      </c>
      <c r="B13" s="138" t="e">
        <f ca="1"/>
        <v>#NAME?</v>
      </c>
      <c r="C13" s="138" t="s">
        <v>855</v>
      </c>
      <c r="E13" s="138" t="str">
        <f ca="1">IFERROR(__xludf.DUMMYFUNCTION("""COMPUTED_VALUE"""),"KOTHAPALLE1")</f>
        <v>KOTHAPALLE1</v>
      </c>
      <c r="G13" s="138" t="s">
        <v>8258</v>
      </c>
      <c r="H13" s="138" t="s">
        <v>8258</v>
      </c>
      <c r="I13" s="138" t="s">
        <v>8277</v>
      </c>
      <c r="J13" s="138" t="s">
        <v>8291</v>
      </c>
      <c r="K13" s="138" t="str">
        <f ca="1">IFERROR(__xludf.DUMMYFUNCTION("unique(filter(R:R,R:R=I13))"),"Palamaner")</f>
        <v>Palamaner</v>
      </c>
      <c r="N13" s="138" t="str">
        <f ca="1">IFERROR(__xludf.DUMMYFUNCTION("unique(filter(W:W,U:U=R13))"),"Anantapur")</f>
        <v>Anantapur</v>
      </c>
      <c r="O13" s="138" t="s">
        <v>8261</v>
      </c>
      <c r="P13" s="138" t="s">
        <v>8292</v>
      </c>
      <c r="Q13" s="138" t="str">
        <f ca="1">IFERROR(__xludf.DUMMYFUNCTION("filter(I:I,J:J=P13,G:G=O13)"),"Raptadu")</f>
        <v>Raptadu</v>
      </c>
      <c r="R13" s="138" t="s">
        <v>8274</v>
      </c>
      <c r="U13" s="138" t="s">
        <v>8277</v>
      </c>
      <c r="V13" s="138" t="s">
        <v>8277</v>
      </c>
      <c r="W13" s="138" t="str">
        <f ca="1">IFERROR(__xludf.DUMMYFUNCTION("filter(H:H,I:I=U13,J:J=V13)"),"Chittoor")</f>
        <v>Chittoor</v>
      </c>
    </row>
    <row r="14" spans="1:23">
      <c r="A14" s="138" t="e">
        <f ca="1"/>
        <v>#NAME?</v>
      </c>
      <c r="B14" s="138" t="e">
        <f ca="1"/>
        <v>#NAME?</v>
      </c>
      <c r="C14" s="138" t="s">
        <v>7868</v>
      </c>
      <c r="E14" s="138" t="str">
        <f ca="1">IFERROR(__xludf.DUMMYFUNCTION("""COMPUTED_VALUE"""),"YELESWARAM")</f>
        <v>YELESWARAM</v>
      </c>
      <c r="G14" s="138" t="s">
        <v>8258</v>
      </c>
      <c r="H14" s="138" t="s">
        <v>8258</v>
      </c>
      <c r="I14" s="138" t="s">
        <v>8293</v>
      </c>
      <c r="J14" s="138" t="s">
        <v>8294</v>
      </c>
      <c r="K14" s="138" t="str">
        <f ca="1">IFERROR(__xludf.DUMMYFUNCTION("unique(filter(R:R,R:R=I14))"),"Puthalapattu (Sc)")</f>
        <v>Puthalapattu (Sc)</v>
      </c>
      <c r="N14" s="138" t="str">
        <f ca="1">IFERROR(__xludf.DUMMYFUNCTION("unique(filter(W:W,U:U=R14))"),"Sri Sathya Sai")</f>
        <v>Sri Sathya Sai</v>
      </c>
      <c r="O14" s="138" t="s">
        <v>8261</v>
      </c>
      <c r="P14" s="138" t="s">
        <v>8295</v>
      </c>
      <c r="Q14" s="138" t="str">
        <f ca="1">IFERROR(__xludf.DUMMYFUNCTION("filter(I:I,J:J=P14,G:G=O14)"),"Hindupur")</f>
        <v>Hindupur</v>
      </c>
      <c r="R14" s="138" t="s">
        <v>8296</v>
      </c>
      <c r="U14" s="138" t="s">
        <v>8277</v>
      </c>
      <c r="V14" s="138" t="s">
        <v>8291</v>
      </c>
      <c r="W14" s="138" t="str">
        <f ca="1">IFERROR(__xludf.DUMMYFUNCTION("filter(H:H,I:I=U14,J:J=V14)"),"Chittoor")</f>
        <v>Chittoor</v>
      </c>
    </row>
    <row r="15" spans="1:23">
      <c r="A15" s="138" t="e">
        <f ca="1"/>
        <v>#NAME?</v>
      </c>
      <c r="B15" s="138" t="e">
        <f ca="1"/>
        <v>#NAME?</v>
      </c>
      <c r="E15" s="138" t="str">
        <f ca="1">IFERROR(__xludf.DUMMYFUNCTION("""COMPUTED_VALUE"""),"PRATHIPADU1")</f>
        <v>PRATHIPADU1</v>
      </c>
      <c r="G15" s="138" t="s">
        <v>8258</v>
      </c>
      <c r="H15" s="138" t="s">
        <v>8258</v>
      </c>
      <c r="I15" s="138" t="s">
        <v>8293</v>
      </c>
      <c r="J15" s="138" t="s">
        <v>8297</v>
      </c>
      <c r="K15" s="138" t="str">
        <f ca="1">IFERROR(__xludf.DUMMYFUNCTION("unique(filter(R:R,R:R=I15))"),"Puthalapattu (Sc)")</f>
        <v>Puthalapattu (Sc)</v>
      </c>
      <c r="N15" s="138" t="str">
        <f ca="1">IFERROR(__xludf.DUMMYFUNCTION("unique(filter(W:W,U:U=R15))"),"Anantapur")</f>
        <v>Anantapur</v>
      </c>
      <c r="O15" s="138" t="s">
        <v>8261</v>
      </c>
      <c r="P15" s="138" t="s">
        <v>8298</v>
      </c>
      <c r="Q15" s="138" t="str">
        <f ca="1">IFERROR(__xludf.DUMMYFUNCTION("filter(I:I,J:J=P15,G:G=O15)"),"#REF!")</f>
        <v>#REF!</v>
      </c>
      <c r="R15" s="138" t="s">
        <v>8282</v>
      </c>
      <c r="U15" s="138" t="s">
        <v>8293</v>
      </c>
      <c r="V15" s="138" t="s">
        <v>8294</v>
      </c>
      <c r="W15" s="138" t="str">
        <f ca="1">IFERROR(__xludf.DUMMYFUNCTION("filter(H:H,I:I=U15,J:J=V15)"),"Chittoor")</f>
        <v>Chittoor</v>
      </c>
    </row>
    <row r="16" spans="1:23">
      <c r="A16" s="138" t="e">
        <f ca="1"/>
        <v>#NAME?</v>
      </c>
      <c r="B16" s="138" t="e">
        <f ca="1"/>
        <v>#NAME?</v>
      </c>
      <c r="C16" s="138" t="s">
        <v>7833</v>
      </c>
      <c r="E16" s="138" t="str">
        <f ca="1">IFERROR(__xludf.DUMMYFUNCTION("""COMPUTED_VALUE"""),"ROWTHULAPUDI")</f>
        <v>ROWTHULAPUDI</v>
      </c>
      <c r="G16" s="138" t="s">
        <v>8258</v>
      </c>
      <c r="H16" s="138" t="s">
        <v>8258</v>
      </c>
      <c r="I16" s="138" t="s">
        <v>8293</v>
      </c>
      <c r="J16" s="138" t="s">
        <v>8299</v>
      </c>
      <c r="K16" s="138" t="str">
        <f ca="1">IFERROR(__xludf.DUMMYFUNCTION("unique(filter(R:R,R:R=I16))"),"Puthalapattu (Sc)")</f>
        <v>Puthalapattu (Sc)</v>
      </c>
      <c r="N16" s="138" t="str">
        <f ca="1">IFERROR(__xludf.DUMMYFUNCTION("unique(filter(W:W,U:U=R16))"),"Sri Sathya Sai")</f>
        <v>Sri Sathya Sai</v>
      </c>
      <c r="O16" s="138" t="s">
        <v>8261</v>
      </c>
      <c r="P16" s="138" t="s">
        <v>1307</v>
      </c>
      <c r="Q16" s="138" t="str">
        <f ca="1">IFERROR(__xludf.DUMMYFUNCTION("filter(I:I,J:J=P16,G:G=O16)"),"Dharmavaram")</f>
        <v>Dharmavaram</v>
      </c>
      <c r="R16" s="138" t="s">
        <v>550</v>
      </c>
      <c r="U16" s="138" t="s">
        <v>8293</v>
      </c>
      <c r="V16" s="138" t="s">
        <v>8297</v>
      </c>
      <c r="W16" s="138" t="str">
        <f ca="1">IFERROR(__xludf.DUMMYFUNCTION("filter(H:H,I:I=U16,J:J=V16)"),"Chittoor")</f>
        <v>Chittoor</v>
      </c>
    </row>
    <row r="17" spans="1:23">
      <c r="A17" s="138" t="e">
        <f ca="1"/>
        <v>#NAME?</v>
      </c>
      <c r="B17" s="138" t="e">
        <f ca="1"/>
        <v>#NAME?</v>
      </c>
      <c r="E17" s="138" t="str">
        <f ca="1">IFERROR(__xludf.DUMMYFUNCTION("""COMPUTED_VALUE"""),"SANKHAVARAM")</f>
        <v>SANKHAVARAM</v>
      </c>
      <c r="G17" s="138" t="s">
        <v>8258</v>
      </c>
      <c r="H17" s="138" t="s">
        <v>8258</v>
      </c>
      <c r="I17" s="138" t="s">
        <v>8293</v>
      </c>
      <c r="J17" s="138" t="s">
        <v>8300</v>
      </c>
      <c r="K17" s="138" t="str">
        <f ca="1">IFERROR(__xludf.DUMMYFUNCTION("unique(filter(R:R,R:R=I17))"),"Puthalapattu (Sc)")</f>
        <v>Puthalapattu (Sc)</v>
      </c>
      <c r="N17" s="138" t="str">
        <f ca="1">IFERROR(__xludf.DUMMYFUNCTION("unique(filter(W:W,U:U=R17))"),"Sri Sathya Sai")</f>
        <v>Sri Sathya Sai</v>
      </c>
      <c r="O17" s="138" t="s">
        <v>8261</v>
      </c>
      <c r="P17" s="138" t="s">
        <v>8301</v>
      </c>
      <c r="Q17" s="138" t="str">
        <f ca="1">IFERROR(__xludf.DUMMYFUNCTION("filter(I:I,J:J=P17,G:G=O17)"),"Kadiri")</f>
        <v>Kadiri</v>
      </c>
      <c r="R17" s="138" t="s">
        <v>8302</v>
      </c>
      <c r="U17" s="138" t="s">
        <v>8293</v>
      </c>
      <c r="V17" s="138" t="s">
        <v>8299</v>
      </c>
      <c r="W17" s="138" t="str">
        <f ca="1">IFERROR(__xludf.DUMMYFUNCTION("filter(H:H,I:I=U17,J:J=V17)"),"Chittoor")</f>
        <v>Chittoor</v>
      </c>
    </row>
    <row r="18" spans="1:23">
      <c r="A18" s="138" t="e">
        <f ca="1"/>
        <v>#NAME?</v>
      </c>
      <c r="B18" s="138" t="e">
        <f ca="1"/>
        <v>#NAME?</v>
      </c>
      <c r="C18" s="138" t="s">
        <v>8303</v>
      </c>
      <c r="E18" s="138" t="str">
        <f ca="1">IFERROR(__xludf.DUMMYFUNCTION("""COMPUTED_VALUE"""),"KOTANANDURU")</f>
        <v>KOTANANDURU</v>
      </c>
      <c r="G18" s="138" t="s">
        <v>8258</v>
      </c>
      <c r="H18" s="138" t="s">
        <v>8258</v>
      </c>
      <c r="I18" s="138" t="s">
        <v>8293</v>
      </c>
      <c r="J18" s="138" t="s">
        <v>8304</v>
      </c>
      <c r="K18" s="138" t="str">
        <f ca="1">IFERROR(__xludf.DUMMYFUNCTION("unique(filter(R:R,R:R=I18))"),"Puthalapattu (Sc)")</f>
        <v>Puthalapattu (Sc)</v>
      </c>
      <c r="N18" s="138" t="str">
        <f ca="1">IFERROR(__xludf.DUMMYFUNCTION("unique(filter(W:W,U:U=R18))"),"Anantapur")</f>
        <v>Anantapur</v>
      </c>
      <c r="O18" s="138" t="s">
        <v>8261</v>
      </c>
      <c r="P18" s="138" t="s">
        <v>8305</v>
      </c>
      <c r="Q18" s="138" t="str">
        <f ca="1">IFERROR(__xludf.DUMMYFUNCTION("filter(I:I,J:J=P18,G:G=O18)"),"Singanamala (Sc)")</f>
        <v>Singanamala (Sc)</v>
      </c>
      <c r="R18" s="138" t="s">
        <v>8290</v>
      </c>
      <c r="U18" s="138" t="s">
        <v>8293</v>
      </c>
      <c r="V18" s="138" t="s">
        <v>8300</v>
      </c>
      <c r="W18" s="138" t="str">
        <f ca="1">IFERROR(__xludf.DUMMYFUNCTION("filter(H:H,I:I=U18,J:J=V18)"),"Chittoor")</f>
        <v>Chittoor</v>
      </c>
    </row>
    <row r="19" spans="1:23">
      <c r="A19" s="138" t="e">
        <f ca="1"/>
        <v>#NAME?</v>
      </c>
      <c r="B19" s="138" t="e">
        <f ca="1"/>
        <v>#NAME?</v>
      </c>
      <c r="C19" s="138" t="s">
        <v>8306</v>
      </c>
      <c r="E19" s="138" t="str">
        <f ca="1">IFERROR(__xludf.DUMMYFUNCTION("""COMPUTED_VALUE"""),"TUNI")</f>
        <v>TUNI</v>
      </c>
      <c r="G19" s="138" t="s">
        <v>8258</v>
      </c>
      <c r="H19" s="138" t="s">
        <v>8258</v>
      </c>
      <c r="I19" s="138" t="s">
        <v>8293</v>
      </c>
      <c r="J19" s="138" t="s">
        <v>8307</v>
      </c>
      <c r="K19" s="138" t="str">
        <f ca="1">IFERROR(__xludf.DUMMYFUNCTION("unique(filter(R:R,R:R=I19))"),"Puthalapattu (Sc)")</f>
        <v>Puthalapattu (Sc)</v>
      </c>
      <c r="N19" s="138" t="str">
        <f ca="1">IFERROR(__xludf.DUMMYFUNCTION("unique(filter(W:W,U:U=R19))"),"Anantapur")</f>
        <v>Anantapur</v>
      </c>
      <c r="O19" s="138" t="s">
        <v>8261</v>
      </c>
      <c r="P19" s="138" t="s">
        <v>8308</v>
      </c>
      <c r="Q19" s="138" t="str">
        <f ca="1">IFERROR(__xludf.DUMMYFUNCTION("filter(I:I,J:J=P19,G:G=O19)"),"#REF!")</f>
        <v>#REF!</v>
      </c>
      <c r="R19" s="138" t="s">
        <v>8309</v>
      </c>
      <c r="U19" s="138" t="s">
        <v>8293</v>
      </c>
      <c r="V19" s="138" t="s">
        <v>8304</v>
      </c>
      <c r="W19" s="138" t="str">
        <f ca="1">IFERROR(__xludf.DUMMYFUNCTION("filter(H:H,I:I=U19,J:J=V19)"),"Chittoor")</f>
        <v>Chittoor</v>
      </c>
    </row>
    <row r="20" spans="1:23">
      <c r="A20" s="138" t="e">
        <f ca="1"/>
        <v>#NAME?</v>
      </c>
      <c r="B20" s="138" t="e">
        <f ca="1"/>
        <v>#NAME?</v>
      </c>
      <c r="E20" s="138" t="str">
        <f ca="1">IFERROR(__xludf.DUMMYFUNCTION("""COMPUTED_VALUE"""),"THONDANGI")</f>
        <v>THONDANGI</v>
      </c>
      <c r="G20" s="138" t="e">
        <v>#N/A</v>
      </c>
      <c r="H20" s="138" t="e">
        <v>#N/A</v>
      </c>
      <c r="I20" s="138" t="s">
        <v>8293</v>
      </c>
      <c r="J20" s="138" t="e">
        <v>#N/A</v>
      </c>
      <c r="K20" s="138" t="str">
        <f ca="1">IFERROR(__xludf.DUMMYFUNCTION("unique(filter(R:R,R:R=I20))"),"Puthalapattu (Sc)")</f>
        <v>Puthalapattu (Sc)</v>
      </c>
      <c r="N20" s="138" t="str">
        <f ca="1">IFERROR(__xludf.DUMMYFUNCTION("unique(filter(W:W,U:U=R20))"),"Sri Sathya Sai")</f>
        <v>Sri Sathya Sai</v>
      </c>
      <c r="O20" s="138" t="s">
        <v>8261</v>
      </c>
      <c r="P20" s="138" t="s">
        <v>8310</v>
      </c>
      <c r="Q20" s="138" t="str">
        <f ca="1">IFERROR(__xludf.DUMMYFUNCTION("filter(I:I,J:J=P20,G:G=O20)"),"Penukonda")</f>
        <v>Penukonda</v>
      </c>
      <c r="R20" s="138" t="s">
        <v>8311</v>
      </c>
      <c r="U20" s="138" t="s">
        <v>8293</v>
      </c>
      <c r="V20" s="138" t="s">
        <v>8307</v>
      </c>
      <c r="W20" s="138" t="str">
        <f ca="1">IFERROR(__xludf.DUMMYFUNCTION("filter(H:H,I:I=U20,J:J=V20)"),"Chittoor")</f>
        <v>Chittoor</v>
      </c>
    </row>
    <row r="21" spans="1:23">
      <c r="A21" s="138" t="e">
        <f ca="1"/>
        <v>#NAME?</v>
      </c>
      <c r="B21" s="138" t="e">
        <f ca="1"/>
        <v>#NAME?</v>
      </c>
      <c r="C21" s="138" t="s">
        <v>8312</v>
      </c>
      <c r="G21" s="138" t="s">
        <v>8258</v>
      </c>
      <c r="H21" s="138" t="s">
        <v>8258</v>
      </c>
      <c r="I21" s="138" t="s">
        <v>8258</v>
      </c>
      <c r="J21" s="138" t="s">
        <v>8299</v>
      </c>
      <c r="K21" s="138" t="str">
        <f ca="1">IFERROR(__xludf.DUMMYFUNCTION("unique(filter(R:R,R:R=I21))"),"Chittoor")</f>
        <v>Chittoor</v>
      </c>
      <c r="N21" s="138" t="str">
        <f ca="1">IFERROR(__xludf.DUMMYFUNCTION("unique(filter(W:W,U:U=R21))"),"Sri Sathya Sai")</f>
        <v>Sri Sathya Sai</v>
      </c>
      <c r="O21" s="138" t="s">
        <v>8261</v>
      </c>
      <c r="P21" s="138" t="s">
        <v>8313</v>
      </c>
      <c r="Q21" s="138" t="str">
        <f ca="1">IFERROR(__xludf.DUMMYFUNCTION("filter(I:I,J:J=P21,G:G=O21)"),"Madakasira (Sc)")</f>
        <v>Madakasira (Sc)</v>
      </c>
      <c r="R21" s="138" t="s">
        <v>8263</v>
      </c>
    </row>
    <row r="22" spans="1:23">
      <c r="A22" s="138" t="e">
        <f ca="1"/>
        <v>#NAME?</v>
      </c>
      <c r="B22" s="138" t="e">
        <f ca="1"/>
        <v>#NAME?</v>
      </c>
      <c r="C22" s="138" t="s">
        <v>8314</v>
      </c>
      <c r="G22" s="138" t="s">
        <v>8258</v>
      </c>
      <c r="H22" s="138" t="s">
        <v>8258</v>
      </c>
      <c r="I22" s="138" t="s">
        <v>8258</v>
      </c>
      <c r="J22" s="138" t="s">
        <v>8258</v>
      </c>
      <c r="K22" s="138" t="str">
        <f ca="1">IFERROR(__xludf.DUMMYFUNCTION("unique(filter(R:R,R:R=I22))"),"Chittoor")</f>
        <v>Chittoor</v>
      </c>
      <c r="N22" s="138" t="str">
        <f ca="1">IFERROR(__xludf.DUMMYFUNCTION("unique(filter(W:W,U:U=R22))"),"Anantapur")</f>
        <v>Anantapur</v>
      </c>
      <c r="O22" s="138" t="s">
        <v>8261</v>
      </c>
      <c r="P22" s="138" t="s">
        <v>8315</v>
      </c>
      <c r="Q22" s="138" t="str">
        <f ca="1">IFERROR(__xludf.DUMMYFUNCTION("filter(I:I,J:J=P22,G:G=O22)"),"Rayadurg")</f>
        <v>Rayadurg</v>
      </c>
      <c r="R22" s="138" t="s">
        <v>8282</v>
      </c>
      <c r="U22" s="138" t="s">
        <v>8258</v>
      </c>
      <c r="V22" s="138" t="s">
        <v>8299</v>
      </c>
      <c r="W22" s="138" t="str">
        <f ca="1">IFERROR(__xludf.DUMMYFUNCTION("filter(H:H,I:I=U22,J:J=V22)"),"Chittoor")</f>
        <v>Chittoor</v>
      </c>
    </row>
    <row r="23" spans="1:23">
      <c r="A23" s="138" t="e">
        <f ca="1"/>
        <v>#NAME?</v>
      </c>
      <c r="B23" s="138" t="e">
        <f ca="1"/>
        <v>#NAME?</v>
      </c>
      <c r="G23" s="138" t="s">
        <v>8258</v>
      </c>
      <c r="H23" s="138" t="s">
        <v>8258</v>
      </c>
      <c r="I23" s="138" t="s">
        <v>8258</v>
      </c>
      <c r="J23" s="138" t="s">
        <v>8270</v>
      </c>
      <c r="K23" s="138" t="str">
        <f ca="1">IFERROR(__xludf.DUMMYFUNCTION("unique(filter(R:R,R:R=I23))"),"Chittoor")</f>
        <v>Chittoor</v>
      </c>
      <c r="N23" s="138" t="str">
        <f ca="1">IFERROR(__xludf.DUMMYFUNCTION("unique(filter(W:W,U:U=R23))"),"Anantapur")</f>
        <v>Anantapur</v>
      </c>
      <c r="O23" s="138" t="s">
        <v>8261</v>
      </c>
      <c r="P23" s="138" t="s">
        <v>8316</v>
      </c>
      <c r="Q23" s="138" t="str">
        <f ca="1">IFERROR(__xludf.DUMMYFUNCTION("filter(I:I,J:J=P23,G:G=O23)"),"#REF!")</f>
        <v>#REF!</v>
      </c>
      <c r="R23" s="138" t="s">
        <v>8309</v>
      </c>
      <c r="U23" s="138" t="s">
        <v>8258</v>
      </c>
      <c r="V23" s="138" t="s">
        <v>8258</v>
      </c>
      <c r="W23" s="138" t="str">
        <f ca="1">IFERROR(__xludf.DUMMYFUNCTION("filter(H:H,I:I=U23,J:J=V23)"),"Chittoor")</f>
        <v>Chittoor</v>
      </c>
    </row>
    <row r="24" spans="1:23">
      <c r="A24" s="138" t="e">
        <f ca="1"/>
        <v>#NAME?</v>
      </c>
      <c r="B24" s="138" t="e">
        <f ca="1"/>
        <v>#NAME?</v>
      </c>
      <c r="C24" s="138" t="s">
        <v>8317</v>
      </c>
      <c r="G24" s="138" t="e">
        <v>#N/A</v>
      </c>
      <c r="H24" s="138" t="e">
        <v>#N/A</v>
      </c>
      <c r="I24" s="138" t="s">
        <v>8258</v>
      </c>
      <c r="J24" s="138" t="e">
        <v>#N/A</v>
      </c>
      <c r="K24" s="138" t="str">
        <f ca="1">IFERROR(__xludf.DUMMYFUNCTION("unique(filter(R:R,R:R=I24))"),"Chittoor")</f>
        <v>Chittoor</v>
      </c>
      <c r="N24" s="138" t="str">
        <f ca="1">IFERROR(__xludf.DUMMYFUNCTION("unique(filter(W:W,U:U=R24))"),"Sri Sathya Sai")</f>
        <v>Sri Sathya Sai</v>
      </c>
      <c r="O24" s="138" t="s">
        <v>8261</v>
      </c>
      <c r="P24" s="138" t="s">
        <v>8318</v>
      </c>
      <c r="Q24" s="138" t="str">
        <f ca="1">IFERROR(__xludf.DUMMYFUNCTION("filter(I:I,J:J=P24,G:G=O24)"),"Hindupur")</f>
        <v>Hindupur</v>
      </c>
      <c r="R24" s="138" t="s">
        <v>8296</v>
      </c>
      <c r="U24" s="138" t="s">
        <v>8258</v>
      </c>
      <c r="V24" s="138" t="s">
        <v>8270</v>
      </c>
      <c r="W24" s="138" t="str">
        <f ca="1">IFERROR(__xludf.DUMMYFUNCTION("filter(H:H,I:I=U24,J:J=V24)"),"Chittoor")</f>
        <v>Chittoor</v>
      </c>
    </row>
    <row r="25" spans="1:23">
      <c r="A25" s="138" t="e">
        <f ca="1"/>
        <v>#NAME?</v>
      </c>
      <c r="B25" s="138" t="e">
        <f ca="1"/>
        <v>#NAME?</v>
      </c>
      <c r="C25" s="138" t="s">
        <v>1249</v>
      </c>
      <c r="G25" s="138" t="s">
        <v>8258</v>
      </c>
      <c r="H25" s="138" t="s">
        <v>8258</v>
      </c>
      <c r="I25" s="138" t="s">
        <v>8319</v>
      </c>
      <c r="J25" s="138" t="s">
        <v>8320</v>
      </c>
      <c r="K25" s="138" t="str">
        <f ca="1">IFERROR(__xludf.DUMMYFUNCTION("unique(filter(R:R,R:R=I25))"),"Gangadhara Nellore (Sc)")</f>
        <v>Gangadhara Nellore (Sc)</v>
      </c>
      <c r="N25" s="138" t="str">
        <f ca="1">IFERROR(__xludf.DUMMYFUNCTION("unique(filter(W:W,U:U=R25))"),"Sri Sathya Sai")</f>
        <v>Sri Sathya Sai</v>
      </c>
      <c r="O25" s="138" t="s">
        <v>8261</v>
      </c>
      <c r="P25" s="138" t="s">
        <v>8321</v>
      </c>
      <c r="Q25" s="138" t="str">
        <f ca="1">IFERROR(__xludf.DUMMYFUNCTION("filter(I:I,J:J=P25,G:G=O25)"),"Kadiri")</f>
        <v>Kadiri</v>
      </c>
      <c r="R25" s="138" t="s">
        <v>8302</v>
      </c>
    </row>
    <row r="26" spans="1:23">
      <c r="A26" s="138" t="e">
        <f ca="1"/>
        <v>#NAME?</v>
      </c>
      <c r="B26" s="138" t="e">
        <f ca="1"/>
        <v>#NAME?</v>
      </c>
      <c r="C26" s="138" t="s">
        <v>8322</v>
      </c>
      <c r="G26" s="138" t="s">
        <v>8258</v>
      </c>
      <c r="H26" s="138" t="s">
        <v>8258</v>
      </c>
      <c r="I26" s="138" t="s">
        <v>8319</v>
      </c>
      <c r="J26" s="138" t="s">
        <v>8323</v>
      </c>
      <c r="K26" s="138" t="str">
        <f ca="1">IFERROR(__xludf.DUMMYFUNCTION("unique(filter(R:R,R:R=I26))"),"Gangadhara Nellore (Sc)")</f>
        <v>Gangadhara Nellore (Sc)</v>
      </c>
      <c r="N26" s="138" t="str">
        <f ca="1">IFERROR(__xludf.DUMMYFUNCTION("unique(filter(W:W,U:U=R26))"),"Anantapur")</f>
        <v>Anantapur</v>
      </c>
      <c r="O26" s="138" t="s">
        <v>8261</v>
      </c>
      <c r="P26" s="138" t="s">
        <v>8324</v>
      </c>
      <c r="Q26" s="138" t="str">
        <f ca="1">IFERROR(__xludf.DUMMYFUNCTION("filter(I:I,J:J=P26,G:G=O26)"),"Kalyandurg")</f>
        <v>Kalyandurg</v>
      </c>
      <c r="R26" s="138" t="s">
        <v>8285</v>
      </c>
      <c r="U26" s="138" t="s">
        <v>8319</v>
      </c>
      <c r="V26" s="138" t="s">
        <v>8320</v>
      </c>
      <c r="W26" s="138" t="str">
        <f ca="1">IFERROR(__xludf.DUMMYFUNCTION("filter(H:H,I:I=U26,J:J=V26)"),"Chittoor")</f>
        <v>Chittoor</v>
      </c>
    </row>
    <row r="27" spans="1:23">
      <c r="A27" s="138" t="e">
        <f ca="1"/>
        <v>#NAME?</v>
      </c>
      <c r="B27" s="138" t="e">
        <f ca="1"/>
        <v>#NAME?</v>
      </c>
      <c r="G27" s="138" t="s">
        <v>8258</v>
      </c>
      <c r="H27" s="138" t="s">
        <v>8258</v>
      </c>
      <c r="I27" s="138" t="s">
        <v>8319</v>
      </c>
      <c r="J27" s="138" t="s">
        <v>8325</v>
      </c>
      <c r="K27" s="138" t="str">
        <f ca="1">IFERROR(__xludf.DUMMYFUNCTION("unique(filter(R:R,R:R=I27))"),"Gangadhara Nellore (Sc)")</f>
        <v>Gangadhara Nellore (Sc)</v>
      </c>
      <c r="N27" s="138" t="str">
        <f ca="1">IFERROR(__xludf.DUMMYFUNCTION("unique(filter(W:W,U:U=R27))"),"Anantapur")</f>
        <v>Anantapur</v>
      </c>
      <c r="O27" s="138" t="s">
        <v>8261</v>
      </c>
      <c r="P27" s="138" t="s">
        <v>8326</v>
      </c>
      <c r="Q27" s="138" t="str">
        <f ca="1">IFERROR(__xludf.DUMMYFUNCTION("filter(I:I,J:J=P27,G:G=O27)"),"Kalyandurg")</f>
        <v>Kalyandurg</v>
      </c>
      <c r="R27" s="138" t="s">
        <v>8285</v>
      </c>
      <c r="U27" s="138" t="s">
        <v>8319</v>
      </c>
      <c r="V27" s="138" t="s">
        <v>8323</v>
      </c>
      <c r="W27" s="138" t="str">
        <f ca="1">IFERROR(__xludf.DUMMYFUNCTION("filter(H:H,I:I=U27,J:J=V27)"),"Chittoor")</f>
        <v>Chittoor</v>
      </c>
    </row>
    <row r="28" spans="1:23">
      <c r="A28" s="138" t="e">
        <f ca="1"/>
        <v>#NAME?</v>
      </c>
      <c r="B28" s="138" t="e">
        <f ca="1"/>
        <v>#NAME?</v>
      </c>
      <c r="C28" s="138" t="s">
        <v>8204</v>
      </c>
      <c r="G28" s="138" t="s">
        <v>8258</v>
      </c>
      <c r="H28" s="138" t="s">
        <v>8258</v>
      </c>
      <c r="I28" s="138" t="s">
        <v>8319</v>
      </c>
      <c r="J28" s="138" t="s">
        <v>8327</v>
      </c>
      <c r="K28" s="138" t="str">
        <f ca="1">IFERROR(__xludf.DUMMYFUNCTION("unique(filter(R:R,R:R=I28))"),"Gangadhara Nellore (Sc)")</f>
        <v>Gangadhara Nellore (Sc)</v>
      </c>
      <c r="N28" s="138" t="str">
        <f ca="1">IFERROR(__xludf.DUMMYFUNCTION("unique(filter(W:W,U:U=R28))"),"Anantapur")</f>
        <v>Anantapur</v>
      </c>
      <c r="O28" s="138" t="s">
        <v>8261</v>
      </c>
      <c r="P28" s="138" t="s">
        <v>8328</v>
      </c>
      <c r="Q28" s="138" t="str">
        <f ca="1">IFERROR(__xludf.DUMMYFUNCTION("filter(I:I,J:J=P28,G:G=O28)"),"Raptadu")</f>
        <v>Raptadu</v>
      </c>
      <c r="R28" s="138" t="s">
        <v>8274</v>
      </c>
      <c r="U28" s="138" t="s">
        <v>8319</v>
      </c>
      <c r="V28" s="138" t="s">
        <v>8325</v>
      </c>
      <c r="W28" s="138" t="str">
        <f ca="1">IFERROR(__xludf.DUMMYFUNCTION("filter(H:H,I:I=U28,J:J=V28)"),"Chittoor")</f>
        <v>Chittoor</v>
      </c>
    </row>
    <row r="29" spans="1:23">
      <c r="A29" s="138" t="e">
        <f ca="1"/>
        <v>#NAME?</v>
      </c>
      <c r="B29" s="138" t="e">
        <f ca="1"/>
        <v>#NAME?</v>
      </c>
      <c r="G29" s="138" t="s">
        <v>8258</v>
      </c>
      <c r="H29" s="138" t="s">
        <v>8258</v>
      </c>
      <c r="I29" s="138" t="s">
        <v>8319</v>
      </c>
      <c r="J29" s="138" t="s">
        <v>8329</v>
      </c>
      <c r="K29" s="138" t="str">
        <f ca="1">IFERROR(__xludf.DUMMYFUNCTION("unique(filter(R:R,R:R=I29))"),"Gangadhara Nellore (Sc)")</f>
        <v>Gangadhara Nellore (Sc)</v>
      </c>
      <c r="N29" s="138" t="str">
        <f ca="1">IFERROR(__xludf.DUMMYFUNCTION("unique(filter(W:W,U:U=R29))"),"Anantapur")</f>
        <v>Anantapur</v>
      </c>
      <c r="O29" s="138" t="s">
        <v>8261</v>
      </c>
      <c r="P29" s="138" t="s">
        <v>8330</v>
      </c>
      <c r="Q29" s="138" t="str">
        <f ca="1">IFERROR(__xludf.DUMMYFUNCTION("filter(I:I,J:J=P29,G:G=O29)"),"Rayadurg")</f>
        <v>Rayadurg</v>
      </c>
      <c r="R29" s="138" t="s">
        <v>8282</v>
      </c>
      <c r="U29" s="138" t="s">
        <v>8319</v>
      </c>
      <c r="V29" s="138" t="s">
        <v>8327</v>
      </c>
      <c r="W29" s="138" t="str">
        <f ca="1">IFERROR(__xludf.DUMMYFUNCTION("filter(H:H,I:I=U29,J:J=V29)"),"Chittoor")</f>
        <v>Chittoor</v>
      </c>
    </row>
    <row r="30" spans="1:23">
      <c r="G30" s="138" t="s">
        <v>8258</v>
      </c>
      <c r="H30" s="138" t="s">
        <v>8258</v>
      </c>
      <c r="I30" s="138" t="s">
        <v>8319</v>
      </c>
      <c r="J30" s="138" t="s">
        <v>8331</v>
      </c>
      <c r="K30" s="138" t="str">
        <f ca="1">IFERROR(__xludf.DUMMYFUNCTION("unique(filter(R:R,R:R=I30))"),"Gangadhara Nellore (Sc)")</f>
        <v>Gangadhara Nellore (Sc)</v>
      </c>
      <c r="N30" s="138" t="str">
        <f ca="1">IFERROR(__xludf.DUMMYFUNCTION("unique(filter(W:W,U:U=R30))"),"Sri Sathya Sai")</f>
        <v>Sri Sathya Sai</v>
      </c>
      <c r="O30" s="138" t="s">
        <v>8261</v>
      </c>
      <c r="P30" s="138" t="s">
        <v>8332</v>
      </c>
      <c r="Q30" s="138" t="str">
        <f ca="1">IFERROR(__xludf.DUMMYFUNCTION("filter(I:I,J:J=P30,G:G=O30)"),"Puttaparthi")</f>
        <v>Puttaparthi</v>
      </c>
      <c r="R30" s="138" t="s">
        <v>8266</v>
      </c>
      <c r="U30" s="138" t="s">
        <v>8319</v>
      </c>
      <c r="V30" s="138" t="s">
        <v>8329</v>
      </c>
      <c r="W30" s="138" t="str">
        <f ca="1">IFERROR(__xludf.DUMMYFUNCTION("filter(H:H,I:I=U30,J:J=V30)"),"Chittoor")</f>
        <v>Chittoor</v>
      </c>
    </row>
    <row r="31" spans="1:23">
      <c r="G31" s="138" t="s">
        <v>8258</v>
      </c>
      <c r="H31" s="138" t="s">
        <v>8258</v>
      </c>
      <c r="I31" s="138" t="s">
        <v>8333</v>
      </c>
      <c r="J31" s="138" t="s">
        <v>8334</v>
      </c>
      <c r="K31" s="138" t="str">
        <f ca="1">IFERROR(__xludf.DUMMYFUNCTION("unique(filter(R:R,R:R=I31))"),"Nagari")</f>
        <v>Nagari</v>
      </c>
      <c r="N31" s="138" t="str">
        <f ca="1">IFERROR(__xludf.DUMMYFUNCTION("unique(filter(W:W,U:U=R31))"),"Anantapur")</f>
        <v>Anantapur</v>
      </c>
      <c r="O31" s="138" t="s">
        <v>8261</v>
      </c>
      <c r="P31" s="138" t="s">
        <v>8335</v>
      </c>
      <c r="Q31" s="138" t="str">
        <f ca="1">IFERROR(__xludf.DUMMYFUNCTION("filter(I:I,J:J=P31,G:G=O31)"),"Uravakonda")</f>
        <v>Uravakonda</v>
      </c>
      <c r="R31" s="138" t="s">
        <v>8280</v>
      </c>
      <c r="U31" s="138" t="s">
        <v>8319</v>
      </c>
      <c r="V31" s="138" t="s">
        <v>8331</v>
      </c>
      <c r="W31" s="138" t="str">
        <f ca="1">IFERROR(__xludf.DUMMYFUNCTION("filter(H:H,I:I=U31,J:J=V31)"),"Chittoor")</f>
        <v>Chittoor</v>
      </c>
    </row>
    <row r="32" spans="1:23">
      <c r="G32" s="138" t="s">
        <v>8258</v>
      </c>
      <c r="H32" s="138" t="s">
        <v>8258</v>
      </c>
      <c r="I32" s="138" t="s">
        <v>8333</v>
      </c>
      <c r="J32" s="138" t="s">
        <v>8336</v>
      </c>
      <c r="K32" s="138" t="str">
        <f ca="1">IFERROR(__xludf.DUMMYFUNCTION("unique(filter(R:R,R:R=I32))"),"Nagari")</f>
        <v>Nagari</v>
      </c>
      <c r="N32" s="138" t="str">
        <f ca="1">IFERROR(__xludf.DUMMYFUNCTION("unique(filter(W:W,U:U=R32))"),"Anantapur")</f>
        <v>Anantapur</v>
      </c>
      <c r="O32" s="138" t="s">
        <v>8261</v>
      </c>
      <c r="P32" s="138" t="s">
        <v>8337</v>
      </c>
      <c r="Q32" s="138" t="str">
        <f ca="1">IFERROR(__xludf.DUMMYFUNCTION("filter(I:I,J:J=P32,G:G=O32)"),"Kalyandurg")</f>
        <v>Kalyandurg</v>
      </c>
      <c r="R32" s="138" t="s">
        <v>8285</v>
      </c>
      <c r="U32" s="138" t="s">
        <v>8333</v>
      </c>
      <c r="V32" s="138" t="s">
        <v>8334</v>
      </c>
      <c r="W32" s="138" t="str">
        <f ca="1">IFERROR(__xludf.DUMMYFUNCTION("filter(H:H,I:I=U32,J:J=V32)"),"Chittoor")</f>
        <v>Chittoor</v>
      </c>
    </row>
    <row r="33" spans="7:23">
      <c r="G33" s="138" t="s">
        <v>8258</v>
      </c>
      <c r="H33" s="138" t="s">
        <v>8258</v>
      </c>
      <c r="I33" s="138" t="s">
        <v>8333</v>
      </c>
      <c r="J33" s="138" t="s">
        <v>8338</v>
      </c>
      <c r="K33" s="138" t="str">
        <f ca="1">IFERROR(__xludf.DUMMYFUNCTION("unique(filter(R:R,R:R=I33))"),"Nagari")</f>
        <v>Nagari</v>
      </c>
      <c r="N33" s="138" t="str">
        <f ca="1">IFERROR(__xludf.DUMMYFUNCTION("unique(filter(W:W,U:U=R33))"),"Sri Sathya Sai")</f>
        <v>Sri Sathya Sai</v>
      </c>
      <c r="O33" s="138" t="s">
        <v>8261</v>
      </c>
      <c r="P33" s="138" t="s">
        <v>8339</v>
      </c>
      <c r="Q33" s="138" t="str">
        <f ca="1">IFERROR(__xludf.DUMMYFUNCTION("filter(I:I,J:J=P33,G:G=O33)"),"Hindupur")</f>
        <v>Hindupur</v>
      </c>
      <c r="R33" s="138" t="s">
        <v>8296</v>
      </c>
      <c r="U33" s="138" t="s">
        <v>8333</v>
      </c>
      <c r="V33" s="138" t="s">
        <v>8336</v>
      </c>
      <c r="W33" s="138" t="str">
        <f ca="1">IFERROR(__xludf.DUMMYFUNCTION("filter(H:H,I:I=U33,J:J=V33)"),"Chittoor")</f>
        <v>Chittoor</v>
      </c>
    </row>
    <row r="34" spans="7:23">
      <c r="G34" s="138" t="s">
        <v>8258</v>
      </c>
      <c r="H34" s="138" t="s">
        <v>8258</v>
      </c>
      <c r="I34" s="138" t="s">
        <v>8333</v>
      </c>
      <c r="J34" s="138" t="s">
        <v>8333</v>
      </c>
      <c r="K34" s="138" t="str">
        <f ca="1">IFERROR(__xludf.DUMMYFUNCTION("unique(filter(R:R,R:R=I34))"),"Nagari")</f>
        <v>Nagari</v>
      </c>
      <c r="N34" s="138" t="str">
        <f ca="1">IFERROR(__xludf.DUMMYFUNCTION("unique(filter(W:W,U:U=R34))"),"Sri Sathya Sai")</f>
        <v>Sri Sathya Sai</v>
      </c>
      <c r="O34" s="138" t="s">
        <v>8261</v>
      </c>
      <c r="P34" s="138" t="s">
        <v>8340</v>
      </c>
      <c r="Q34" s="138" t="str">
        <f ca="1">IFERROR(__xludf.DUMMYFUNCTION("filter(I:I,J:J=P34,G:G=O34)"),"Madakasira (Sc)")</f>
        <v>Madakasira (Sc)</v>
      </c>
      <c r="R34" s="138" t="s">
        <v>8263</v>
      </c>
      <c r="U34" s="138" t="s">
        <v>8333</v>
      </c>
      <c r="V34" s="138" t="s">
        <v>8338</v>
      </c>
      <c r="W34" s="138" t="str">
        <f ca="1">IFERROR(__xludf.DUMMYFUNCTION("filter(H:H,I:I=U34,J:J=V34)"),"Chittoor")</f>
        <v>Chittoor</v>
      </c>
    </row>
    <row r="35" spans="7:23">
      <c r="G35" s="138" t="s">
        <v>8258</v>
      </c>
      <c r="H35" s="138" t="s">
        <v>8258</v>
      </c>
      <c r="I35" s="138" t="s">
        <v>8333</v>
      </c>
      <c r="J35" s="138" t="s">
        <v>8341</v>
      </c>
      <c r="K35" s="138" t="str">
        <f ca="1">IFERROR(__xludf.DUMMYFUNCTION("unique(filter(R:R,R:R=I35))"),"Nagari")</f>
        <v>Nagari</v>
      </c>
      <c r="N35" s="138" t="str">
        <f ca="1">IFERROR(__xludf.DUMMYFUNCTION("unique(filter(W:W,U:U=R35))"),"Sri Sathya Sai")</f>
        <v>Sri Sathya Sai</v>
      </c>
      <c r="O35" s="138" t="s">
        <v>8261</v>
      </c>
      <c r="P35" s="138" t="s">
        <v>8342</v>
      </c>
      <c r="Q35" s="138" t="str">
        <f ca="1">IFERROR(__xludf.DUMMYFUNCTION("filter(I:I,J:J=P35,G:G=O35)"),"Dharmavaram")</f>
        <v>Dharmavaram</v>
      </c>
      <c r="R35" s="138" t="s">
        <v>550</v>
      </c>
      <c r="U35" s="138" t="s">
        <v>8333</v>
      </c>
      <c r="V35" s="138" t="s">
        <v>8333</v>
      </c>
      <c r="W35" s="138" t="str">
        <f ca="1">IFERROR(__xludf.DUMMYFUNCTION("filter(H:H,I:I=U35,J:J=V35)"),"Chittoor")</f>
        <v>Chittoor</v>
      </c>
    </row>
    <row r="36" spans="7:23">
      <c r="G36" s="138" t="s">
        <v>8258</v>
      </c>
      <c r="H36" s="138" t="s">
        <v>8258</v>
      </c>
      <c r="I36" s="138" t="s">
        <v>8333</v>
      </c>
      <c r="J36" s="138" t="s">
        <v>8343</v>
      </c>
      <c r="K36" s="138" t="str">
        <f ca="1">IFERROR(__xludf.DUMMYFUNCTION("unique(filter(R:R,R:R=I36))"),"Nagari")</f>
        <v>Nagari</v>
      </c>
      <c r="N36" s="138" t="str">
        <f ca="1">IFERROR(__xludf.DUMMYFUNCTION("unique(filter(W:W,U:U=R36))"),"Sri Sathya Sai")</f>
        <v>Sri Sathya Sai</v>
      </c>
      <c r="O36" s="138" t="s">
        <v>8261</v>
      </c>
      <c r="P36" s="138" t="s">
        <v>8344</v>
      </c>
      <c r="Q36" s="138" t="str">
        <f ca="1">IFERROR(__xludf.DUMMYFUNCTION("filter(I:I,J:J=P36,G:G=O36)"),"Kadiri")</f>
        <v>Kadiri</v>
      </c>
      <c r="R36" s="138" t="s">
        <v>8302</v>
      </c>
      <c r="U36" s="138" t="s">
        <v>8333</v>
      </c>
      <c r="V36" s="138" t="s">
        <v>8341</v>
      </c>
      <c r="W36" s="138" t="str">
        <f ca="1">IFERROR(__xludf.DUMMYFUNCTION("filter(H:H,I:I=U36,J:J=V36)"),"Chittoor")</f>
        <v>Chittoor</v>
      </c>
    </row>
    <row r="37" spans="7:23">
      <c r="G37" s="138" t="s">
        <v>8258</v>
      </c>
      <c r="H37" s="138" t="s">
        <v>8258</v>
      </c>
      <c r="I37" s="138" t="s">
        <v>8333</v>
      </c>
      <c r="J37" s="138" t="s">
        <v>8345</v>
      </c>
      <c r="K37" s="138" t="str">
        <f ca="1">IFERROR(__xludf.DUMMYFUNCTION("unique(filter(R:R,R:R=I37))"),"Nagari")</f>
        <v>Nagari</v>
      </c>
      <c r="N37" s="138" t="str">
        <f ca="1">IFERROR(__xludf.DUMMYFUNCTION("unique(filter(W:W,U:U=R37))"),"Sri Sathya Sai")</f>
        <v>Sri Sathya Sai</v>
      </c>
      <c r="O37" s="138" t="s">
        <v>8261</v>
      </c>
      <c r="P37" s="138" t="s">
        <v>8346</v>
      </c>
      <c r="Q37" s="138" t="str">
        <f ca="1">IFERROR(__xludf.DUMMYFUNCTION("filter(I:I,J:J=P37,G:G=O37)"),"Puttaparthi")</f>
        <v>Puttaparthi</v>
      </c>
      <c r="R37" s="138" t="s">
        <v>8266</v>
      </c>
      <c r="U37" s="138" t="s">
        <v>8333</v>
      </c>
      <c r="V37" s="138" t="s">
        <v>8343</v>
      </c>
      <c r="W37" s="138" t="str">
        <f ca="1">IFERROR(__xludf.DUMMYFUNCTION("filter(H:H,I:I=U37,J:J=V37)"),"Chittoor")</f>
        <v>Chittoor</v>
      </c>
    </row>
    <row r="38" spans="7:23">
      <c r="G38" s="138" t="e">
        <v>#N/A</v>
      </c>
      <c r="H38" s="138" t="e">
        <v>#N/A</v>
      </c>
      <c r="I38" s="138" t="s">
        <v>8333</v>
      </c>
      <c r="J38" s="138" t="e">
        <v>#N/A</v>
      </c>
      <c r="K38" s="138" t="str">
        <f ca="1">IFERROR(__xludf.DUMMYFUNCTION("unique(filter(R:R,R:R=I38))"),"Nagari")</f>
        <v>Nagari</v>
      </c>
      <c r="N38" s="138" t="str">
        <f ca="1">IFERROR(__xludf.DUMMYFUNCTION("unique(filter(W:W,U:U=R38))"),"Sri Sathya Sai")</f>
        <v>Sri Sathya Sai</v>
      </c>
      <c r="O38" s="138" t="s">
        <v>8261</v>
      </c>
      <c r="P38" s="138" t="s">
        <v>8347</v>
      </c>
      <c r="Q38" s="138" t="str">
        <f ca="1">IFERROR(__xludf.DUMMYFUNCTION("filter(I:I,J:J=P38,G:G=O38)"),"Kadiri")</f>
        <v>Kadiri</v>
      </c>
      <c r="R38" s="138" t="s">
        <v>8302</v>
      </c>
      <c r="U38" s="138" t="s">
        <v>8333</v>
      </c>
      <c r="V38" s="138" t="s">
        <v>8345</v>
      </c>
      <c r="W38" s="138" t="str">
        <f ca="1">IFERROR(__xludf.DUMMYFUNCTION("filter(H:H,I:I=U38,J:J=V38)"),"Chittoor")</f>
        <v>Chittoor</v>
      </c>
    </row>
    <row r="39" spans="7:23">
      <c r="G39" s="138" t="s">
        <v>8258</v>
      </c>
      <c r="H39" s="138" t="s">
        <v>379</v>
      </c>
      <c r="I39" s="138" t="s">
        <v>8348</v>
      </c>
      <c r="J39" s="138" t="s">
        <v>8349</v>
      </c>
      <c r="K39" s="138" t="str">
        <f ca="1">IFERROR(__xludf.DUMMYFUNCTION("unique(filter(R:R,R:R=I39))"),"Satyavedu (Sc)")</f>
        <v>Satyavedu (Sc)</v>
      </c>
      <c r="N39" s="138" t="str">
        <f ca="1">IFERROR(__xludf.DUMMYFUNCTION("unique(filter(W:W,U:U=R39))"),"Anantapur")</f>
        <v>Anantapur</v>
      </c>
      <c r="O39" s="138" t="s">
        <v>8261</v>
      </c>
      <c r="P39" s="138" t="s">
        <v>8350</v>
      </c>
      <c r="Q39" s="138" t="str">
        <f ca="1">IFERROR(__xludf.DUMMYFUNCTION("filter(I:I,J:J=P39,G:G=O39)"),"Singanamala (Sc)")</f>
        <v>Singanamala (Sc)</v>
      </c>
      <c r="R39" s="138" t="s">
        <v>8290</v>
      </c>
    </row>
    <row r="40" spans="7:23">
      <c r="G40" s="138" t="s">
        <v>8258</v>
      </c>
      <c r="H40" s="138" t="s">
        <v>379</v>
      </c>
      <c r="I40" s="138" t="s">
        <v>8348</v>
      </c>
      <c r="J40" s="138" t="s">
        <v>8351</v>
      </c>
      <c r="K40" s="138" t="str">
        <f ca="1">IFERROR(__xludf.DUMMYFUNCTION("unique(filter(R:R,R:R=I40))"),"Satyavedu (Sc)")</f>
        <v>Satyavedu (Sc)</v>
      </c>
      <c r="N40" s="138" t="str">
        <f ca="1">IFERROR(__xludf.DUMMYFUNCTION("unique(filter(W:W,U:U=R40))"),"Sri Sathya Sai")</f>
        <v>Sri Sathya Sai</v>
      </c>
      <c r="O40" s="138" t="s">
        <v>8261</v>
      </c>
      <c r="P40" s="138" t="s">
        <v>8352</v>
      </c>
      <c r="Q40" s="138" t="str">
        <f ca="1">IFERROR(__xludf.DUMMYFUNCTION("filter(I:I,J:J=P40,G:G=O40)"),"Puttaparthi")</f>
        <v>Puttaparthi</v>
      </c>
      <c r="R40" s="138" t="s">
        <v>8266</v>
      </c>
      <c r="U40" s="138" t="s">
        <v>8348</v>
      </c>
      <c r="V40" s="138" t="s">
        <v>8349</v>
      </c>
      <c r="W40" s="138" t="str">
        <f ca="1">IFERROR(__xludf.DUMMYFUNCTION("filter(H:H,I:I=U40,J:J=V40)"),"Tirupati")</f>
        <v>Tirupati</v>
      </c>
    </row>
    <row r="41" spans="7:23">
      <c r="G41" s="138" t="s">
        <v>8258</v>
      </c>
      <c r="H41" s="138" t="s">
        <v>379</v>
      </c>
      <c r="I41" s="138" t="s">
        <v>8348</v>
      </c>
      <c r="J41" s="138" t="s">
        <v>8353</v>
      </c>
      <c r="K41" s="138" t="str">
        <f ca="1">IFERROR(__xludf.DUMMYFUNCTION("unique(filter(R:R,R:R=I41))"),"Satyavedu (Sc)")</f>
        <v>Satyavedu (Sc)</v>
      </c>
      <c r="N41" s="138" t="str">
        <f ca="1">IFERROR(__xludf.DUMMYFUNCTION("unique(filter(W:W,U:U=R41))"),"Anantapur")</f>
        <v>Anantapur</v>
      </c>
      <c r="O41" s="138" t="s">
        <v>8261</v>
      </c>
      <c r="P41" s="138" t="s">
        <v>8354</v>
      </c>
      <c r="Q41" s="138" t="str">
        <f ca="1">IFERROR(__xludf.DUMMYFUNCTION("filter(I:I,J:J=P41,G:G=O41)"),"Guntakal")</f>
        <v>Guntakal</v>
      </c>
      <c r="R41" s="138" t="s">
        <v>8309</v>
      </c>
      <c r="U41" s="138" t="s">
        <v>8348</v>
      </c>
      <c r="V41" s="138" t="s">
        <v>8351</v>
      </c>
      <c r="W41" s="138" t="str">
        <f ca="1">IFERROR(__xludf.DUMMYFUNCTION("filter(H:H,I:I=U41,J:J=V41)"),"Tirupati")</f>
        <v>Tirupati</v>
      </c>
    </row>
    <row r="42" spans="7:23">
      <c r="G42" s="138" t="s">
        <v>8258</v>
      </c>
      <c r="H42" s="138" t="s">
        <v>379</v>
      </c>
      <c r="I42" s="138" t="s">
        <v>8348</v>
      </c>
      <c r="J42" s="138" t="s">
        <v>8355</v>
      </c>
      <c r="K42" s="138" t="str">
        <f ca="1">IFERROR(__xludf.DUMMYFUNCTION("unique(filter(R:R,R:R=I42))"),"Satyavedu (Sc)")</f>
        <v>Satyavedu (Sc)</v>
      </c>
      <c r="N42" s="138" t="str">
        <f ca="1">IFERROR(__xludf.DUMMYFUNCTION("unique(filter(W:W,U:U=R42))"),"Sri Sathya Sai")</f>
        <v>Sri Sathya Sai</v>
      </c>
      <c r="O42" s="138" t="s">
        <v>8261</v>
      </c>
      <c r="P42" s="138" t="s">
        <v>8356</v>
      </c>
      <c r="Q42" s="138" t="str">
        <f ca="1">IFERROR(__xludf.DUMMYFUNCTION("filter(I:I,J:J=P42,G:G=O42)"),"Penukonda")</f>
        <v>Penukonda</v>
      </c>
      <c r="R42" s="138" t="s">
        <v>8311</v>
      </c>
      <c r="U42" s="138" t="s">
        <v>8348</v>
      </c>
      <c r="V42" s="138" t="s">
        <v>8353</v>
      </c>
      <c r="W42" s="138" t="str">
        <f ca="1">IFERROR(__xludf.DUMMYFUNCTION("filter(H:H,I:I=U42,J:J=V42)"),"Tirupati")</f>
        <v>Tirupati</v>
      </c>
    </row>
    <row r="43" spans="7:23">
      <c r="G43" s="138" t="s">
        <v>8258</v>
      </c>
      <c r="H43" s="138" t="s">
        <v>379</v>
      </c>
      <c r="I43" s="138" t="s">
        <v>8348</v>
      </c>
      <c r="J43" s="138" t="s">
        <v>8357</v>
      </c>
      <c r="K43" s="138" t="str">
        <f ca="1">IFERROR(__xludf.DUMMYFUNCTION("unique(filter(R:R,R:R=I43))"),"Satyavedu (Sc)")</f>
        <v>Satyavedu (Sc)</v>
      </c>
      <c r="N43" s="138" t="str">
        <f ca="1">IFERROR(__xludf.DUMMYFUNCTION("unique(filter(W:W,U:U=R43))"),"Anantapur")</f>
        <v>Anantapur</v>
      </c>
      <c r="O43" s="138" t="s">
        <v>8261</v>
      </c>
      <c r="P43" s="138" t="s">
        <v>8358</v>
      </c>
      <c r="Q43" s="138" t="str">
        <f ca="1">IFERROR(__xludf.DUMMYFUNCTION("filter(I:I,J:J=P43,G:G=O43)"),"Tadipatri")</f>
        <v>Tadipatri</v>
      </c>
      <c r="R43" s="138" t="s">
        <v>8359</v>
      </c>
      <c r="U43" s="138" t="s">
        <v>8348</v>
      </c>
      <c r="V43" s="138" t="s">
        <v>8355</v>
      </c>
      <c r="W43" s="138" t="str">
        <f ca="1">IFERROR(__xludf.DUMMYFUNCTION("filter(H:H,I:I=U43,J:J=V43)"),"Tirupati")</f>
        <v>Tirupati</v>
      </c>
    </row>
    <row r="44" spans="7:23">
      <c r="G44" s="138" t="s">
        <v>8258</v>
      </c>
      <c r="H44" s="138" t="s">
        <v>379</v>
      </c>
      <c r="I44" s="138" t="s">
        <v>8348</v>
      </c>
      <c r="J44" s="138" t="s">
        <v>8360</v>
      </c>
      <c r="K44" s="138" t="str">
        <f ca="1">IFERROR(__xludf.DUMMYFUNCTION("unique(filter(R:R,R:R=I44))"),"Satyavedu (Sc)")</f>
        <v>Satyavedu (Sc)</v>
      </c>
      <c r="N44" s="138" t="str">
        <f ca="1">IFERROR(__xludf.DUMMYFUNCTION("unique(filter(W:W,U:U=R44))"),"Anantapur")</f>
        <v>Anantapur</v>
      </c>
      <c r="O44" s="138" t="s">
        <v>8261</v>
      </c>
      <c r="P44" s="138" t="s">
        <v>8361</v>
      </c>
      <c r="Q44" s="138" t="str">
        <f ca="1">IFERROR(__xludf.DUMMYFUNCTION("filter(I:I,J:J=P44,G:G=O44)"),"Tadipatri")</f>
        <v>Tadipatri</v>
      </c>
      <c r="R44" s="138" t="s">
        <v>8359</v>
      </c>
      <c r="U44" s="138" t="s">
        <v>8348</v>
      </c>
      <c r="V44" s="138" t="s">
        <v>8357</v>
      </c>
      <c r="W44" s="138" t="str">
        <f ca="1">IFERROR(__xludf.DUMMYFUNCTION("filter(H:H,I:I=U44,J:J=V44)"),"Tirupati")</f>
        <v>Tirupati</v>
      </c>
    </row>
    <row r="45" spans="7:23">
      <c r="G45" s="138" t="s">
        <v>8258</v>
      </c>
      <c r="H45" s="138" t="s">
        <v>379</v>
      </c>
      <c r="I45" s="138" t="s">
        <v>8348</v>
      </c>
      <c r="J45" s="138" t="s">
        <v>8362</v>
      </c>
      <c r="K45" s="138" t="str">
        <f ca="1">IFERROR(__xludf.DUMMYFUNCTION("unique(filter(R:R,R:R=I45))"),"Satyavedu (Sc)")</f>
        <v>Satyavedu (Sc)</v>
      </c>
      <c r="N45" s="138" t="str">
        <f ca="1">IFERROR(__xludf.DUMMYFUNCTION("unique(filter(W:W,U:U=R45))"),"Sri Sathya Sai")</f>
        <v>Sri Sathya Sai</v>
      </c>
      <c r="O45" s="138" t="s">
        <v>8261</v>
      </c>
      <c r="P45" s="138" t="s">
        <v>8363</v>
      </c>
      <c r="Q45" s="138" t="str">
        <f ca="1">IFERROR(__xludf.DUMMYFUNCTION("filter(I:I,J:J=P45,G:G=O45)"),"Penukonda")</f>
        <v>Penukonda</v>
      </c>
      <c r="R45" s="138" t="s">
        <v>8311</v>
      </c>
      <c r="U45" s="138" t="s">
        <v>8348</v>
      </c>
      <c r="V45" s="138" t="s">
        <v>8360</v>
      </c>
      <c r="W45" s="138" t="str">
        <f ca="1">IFERROR(__xludf.DUMMYFUNCTION("filter(H:H,I:I=U45,J:J=V45)"),"Tirupati")</f>
        <v>Tirupati</v>
      </c>
    </row>
    <row r="46" spans="7:23">
      <c r="G46" s="138" t="s">
        <v>8258</v>
      </c>
      <c r="H46" s="138" t="s">
        <v>379</v>
      </c>
      <c r="I46" s="138" t="s">
        <v>8364</v>
      </c>
      <c r="J46" s="138" t="s">
        <v>8364</v>
      </c>
      <c r="K46" s="138" t="str">
        <f ca="1">IFERROR(__xludf.DUMMYFUNCTION("unique(filter(R:R,R:R=I46))"),"Srikalahasti")</f>
        <v>Srikalahasti</v>
      </c>
      <c r="N46" s="138" t="str">
        <f ca="1">IFERROR(__xludf.DUMMYFUNCTION("unique(filter(W:W,U:U=R46))"),"Anantapur")</f>
        <v>Anantapur</v>
      </c>
      <c r="O46" s="138" t="s">
        <v>8261</v>
      </c>
      <c r="P46" s="138" t="s">
        <v>8365</v>
      </c>
      <c r="Q46" s="138" t="str">
        <f ca="1">IFERROR(__xludf.DUMMYFUNCTION("filter(I:I,J:J=P46,G:G=O46)"),"Singanamala (Sc)")</f>
        <v>Singanamala (Sc)</v>
      </c>
      <c r="R46" s="138" t="s">
        <v>8290</v>
      </c>
      <c r="U46" s="138" t="s">
        <v>8348</v>
      </c>
      <c r="V46" s="138" t="s">
        <v>8362</v>
      </c>
      <c r="W46" s="138" t="str">
        <f ca="1">IFERROR(__xludf.DUMMYFUNCTION("filter(H:H,I:I=U46,J:J=V46)"),"Tirupati")</f>
        <v>Tirupati</v>
      </c>
    </row>
    <row r="47" spans="7:23">
      <c r="G47" s="138" t="s">
        <v>8258</v>
      </c>
      <c r="H47" s="138" t="s">
        <v>379</v>
      </c>
      <c r="I47" s="138" t="s">
        <v>8364</v>
      </c>
      <c r="J47" s="138" t="s">
        <v>8366</v>
      </c>
      <c r="K47" s="138" t="str">
        <f ca="1">IFERROR(__xludf.DUMMYFUNCTION("unique(filter(R:R,R:R=I47))"),"Srikalahasti")</f>
        <v>Srikalahasti</v>
      </c>
      <c r="N47" s="138" t="str">
        <f ca="1">IFERROR(__xludf.DUMMYFUNCTION("unique(filter(W:W,U:U=R47))"),"Sri Sathya Sai")</f>
        <v>Sri Sathya Sai</v>
      </c>
      <c r="O47" s="138" t="s">
        <v>8261</v>
      </c>
      <c r="P47" s="138" t="s">
        <v>8367</v>
      </c>
      <c r="Q47" s="138" t="str">
        <f ca="1">IFERROR(__xludf.DUMMYFUNCTION("filter(I:I,J:J=P47,G:G=O47)"),"Puttaparthi")</f>
        <v>Puttaparthi</v>
      </c>
      <c r="R47" s="138" t="s">
        <v>8266</v>
      </c>
      <c r="U47" s="138" t="s">
        <v>8364</v>
      </c>
      <c r="V47" s="138" t="s">
        <v>8364</v>
      </c>
      <c r="W47" s="138" t="str">
        <f ca="1">IFERROR(__xludf.DUMMYFUNCTION("filter(H:H,I:I=U47,J:J=V47)"),"Tirupati")</f>
        <v>Tirupati</v>
      </c>
    </row>
    <row r="48" spans="7:23">
      <c r="G48" s="138" t="s">
        <v>8258</v>
      </c>
      <c r="H48" s="138" t="s">
        <v>379</v>
      </c>
      <c r="I48" s="138" t="s">
        <v>8364</v>
      </c>
      <c r="J48" s="138" t="s">
        <v>8368</v>
      </c>
      <c r="K48" s="138" t="str">
        <f ca="1">IFERROR(__xludf.DUMMYFUNCTION("unique(filter(R:R,R:R=I48))"),"Srikalahasti")</f>
        <v>Srikalahasti</v>
      </c>
      <c r="N48" s="138" t="str">
        <f ca="1">IFERROR(__xludf.DUMMYFUNCTION("unique(filter(W:W,U:U=R48))"),"Anantapur")</f>
        <v>Anantapur</v>
      </c>
      <c r="O48" s="138" t="s">
        <v>8261</v>
      </c>
      <c r="P48" s="138" t="s">
        <v>8369</v>
      </c>
      <c r="Q48" s="138" t="str">
        <f ca="1">IFERROR(__xludf.DUMMYFUNCTION("filter(I:I,J:J=P48,G:G=O48)"),"Raptadu")</f>
        <v>Raptadu</v>
      </c>
      <c r="R48" s="138" t="s">
        <v>8274</v>
      </c>
      <c r="U48" s="138" t="s">
        <v>8364</v>
      </c>
      <c r="V48" s="138" t="s">
        <v>8366</v>
      </c>
      <c r="W48" s="138" t="str">
        <f ca="1">IFERROR(__xludf.DUMMYFUNCTION("filter(H:H,I:I=U48,J:J=V48)"),"Tirupati")</f>
        <v>Tirupati</v>
      </c>
    </row>
    <row r="49" spans="7:23">
      <c r="G49" s="138" t="s">
        <v>8258</v>
      </c>
      <c r="H49" s="138" t="s">
        <v>379</v>
      </c>
      <c r="I49" s="138" t="s">
        <v>8364</v>
      </c>
      <c r="J49" s="138" t="s">
        <v>8370</v>
      </c>
      <c r="K49" s="138" t="str">
        <f ca="1">IFERROR(__xludf.DUMMYFUNCTION("unique(filter(R:R,R:R=I49))"),"Srikalahasti")</f>
        <v>Srikalahasti</v>
      </c>
      <c r="N49" s="138" t="str">
        <f ca="1">IFERROR(__xludf.DUMMYFUNCTION("unique(filter(W:W,U:U=R49))"),"Anantapur")</f>
        <v>Anantapur</v>
      </c>
      <c r="O49" s="138" t="s">
        <v>8261</v>
      </c>
      <c r="P49" s="138" t="s">
        <v>8371</v>
      </c>
      <c r="Q49" s="138" t="str">
        <f ca="1">IFERROR(__xludf.DUMMYFUNCTION("filter(I:I,J:J=P49,G:G=O49)"),"Raptadu")</f>
        <v>Raptadu</v>
      </c>
      <c r="R49" s="138" t="s">
        <v>8274</v>
      </c>
      <c r="U49" s="138" t="s">
        <v>8364</v>
      </c>
      <c r="V49" s="138" t="s">
        <v>8368</v>
      </c>
      <c r="W49" s="138" t="str">
        <f ca="1">IFERROR(__xludf.DUMMYFUNCTION("filter(H:H,I:I=U49,J:J=V49)"),"Tirupati")</f>
        <v>Tirupati</v>
      </c>
    </row>
    <row r="50" spans="7:23">
      <c r="G50" s="138" t="s">
        <v>8258</v>
      </c>
      <c r="H50" s="138" t="s">
        <v>379</v>
      </c>
      <c r="I50" s="138" t="s">
        <v>8364</v>
      </c>
      <c r="J50" s="138" t="s">
        <v>8372</v>
      </c>
      <c r="K50" s="138" t="str">
        <f ca="1">IFERROR(__xludf.DUMMYFUNCTION("unique(filter(R:R,R:R=I50))"),"Srikalahasti")</f>
        <v>Srikalahasti</v>
      </c>
      <c r="N50" s="138" t="str">
        <f ca="1">IFERROR(__xludf.DUMMYFUNCTION("unique(filter(W:W,U:U=R50))"),"Anantapur")</f>
        <v>Anantapur</v>
      </c>
      <c r="O50" s="138" t="s">
        <v>8261</v>
      </c>
      <c r="P50" s="138" t="s">
        <v>8373</v>
      </c>
      <c r="Q50" s="138" t="str">
        <f ca="1">IFERROR(__xludf.DUMMYFUNCTION("filter(I:I,J:J=P50,G:G=O50)"),"Rayadurg")</f>
        <v>Rayadurg</v>
      </c>
      <c r="R50" s="138" t="s">
        <v>8282</v>
      </c>
      <c r="U50" s="138" t="s">
        <v>8364</v>
      </c>
      <c r="V50" s="138" t="s">
        <v>8370</v>
      </c>
      <c r="W50" s="138" t="str">
        <f ca="1">IFERROR(__xludf.DUMMYFUNCTION("filter(H:H,I:I=U50,J:J=V50)"),"Tirupati")</f>
        <v>Tirupati</v>
      </c>
    </row>
    <row r="51" spans="7:23">
      <c r="G51" s="138" t="e">
        <v>#N/A</v>
      </c>
      <c r="H51" s="138" t="e">
        <v>#N/A</v>
      </c>
      <c r="I51" s="138" t="s">
        <v>8364</v>
      </c>
      <c r="J51" s="138" t="e">
        <v>#N/A</v>
      </c>
      <c r="K51" s="138" t="str">
        <f ca="1">IFERROR(__xludf.DUMMYFUNCTION("unique(filter(R:R,R:R=I51))"),"Srikalahasti")</f>
        <v>Srikalahasti</v>
      </c>
      <c r="N51" s="138" t="str">
        <f ca="1">IFERROR(__xludf.DUMMYFUNCTION("unique(filter(W:W,U:U=R51))"),"Sri Sathya Sai")</f>
        <v>Sri Sathya Sai</v>
      </c>
      <c r="O51" s="138" t="s">
        <v>8261</v>
      </c>
      <c r="P51" s="138" t="s">
        <v>8374</v>
      </c>
      <c r="Q51" s="138" t="str">
        <f ca="1">IFERROR(__xludf.DUMMYFUNCTION("filter(I:I,J:J=P51,G:G=O51)"),"Penukonda")</f>
        <v>Penukonda</v>
      </c>
      <c r="R51" s="138" t="s">
        <v>8311</v>
      </c>
      <c r="U51" s="138" t="s">
        <v>8364</v>
      </c>
      <c r="V51" s="138" t="s">
        <v>8372</v>
      </c>
      <c r="W51" s="138" t="str">
        <f ca="1">IFERROR(__xludf.DUMMYFUNCTION("filter(H:H,I:I=U51,J:J=V51)"),"Tirupati")</f>
        <v>Tirupati</v>
      </c>
    </row>
    <row r="52" spans="7:23">
      <c r="G52" s="138" t="s">
        <v>8258</v>
      </c>
      <c r="H52" s="138" t="s">
        <v>379</v>
      </c>
      <c r="I52" s="138" t="s">
        <v>379</v>
      </c>
      <c r="J52" s="138" t="s">
        <v>8375</v>
      </c>
      <c r="K52" s="138" t="str">
        <f ca="1">IFERROR(__xludf.DUMMYFUNCTION("unique(filter(R:R,R:R=I52))"),"#N/A")</f>
        <v>#N/A</v>
      </c>
      <c r="N52" s="138" t="str">
        <f ca="1">IFERROR(__xludf.DUMMYFUNCTION("unique(filter(W:W,U:U=R52))"),"Sri Sathya Sai")</f>
        <v>Sri Sathya Sai</v>
      </c>
      <c r="O52" s="138" t="s">
        <v>8261</v>
      </c>
      <c r="P52" s="138" t="s">
        <v>8376</v>
      </c>
      <c r="Q52" s="138" t="str">
        <f ca="1">IFERROR(__xludf.DUMMYFUNCTION("filter(I:I,J:J=P52,G:G=O52)"),"Madakasira (Sc)")</f>
        <v>Madakasira (Sc)</v>
      </c>
      <c r="R52" s="138" t="s">
        <v>8263</v>
      </c>
    </row>
    <row r="53" spans="7:23">
      <c r="G53" s="138" t="e">
        <v>#N/A</v>
      </c>
      <c r="H53" s="138" t="e">
        <v>#N/A</v>
      </c>
      <c r="I53" s="138" t="s">
        <v>379</v>
      </c>
      <c r="J53" s="138" t="e">
        <v>#N/A</v>
      </c>
      <c r="K53" s="138" t="str">
        <f ca="1">IFERROR(__xludf.DUMMYFUNCTION("unique(filter(R:R,R:R=I53))"),"#N/A")</f>
        <v>#N/A</v>
      </c>
      <c r="N53" s="138" t="str">
        <f ca="1">IFERROR(__xludf.DUMMYFUNCTION("unique(filter(W:W,U:U=R53))"),"Anantapur")</f>
        <v>Anantapur</v>
      </c>
      <c r="O53" s="138" t="s">
        <v>8261</v>
      </c>
      <c r="P53" s="138" t="s">
        <v>8377</v>
      </c>
      <c r="Q53" s="138" t="str">
        <f ca="1">IFERROR(__xludf.DUMMYFUNCTION("filter(I:I,J:J=P53,G:G=O53)"),"Kalyandurg")</f>
        <v>Kalyandurg</v>
      </c>
      <c r="R53" s="138" t="s">
        <v>8285</v>
      </c>
      <c r="U53" s="138" t="s">
        <v>379</v>
      </c>
      <c r="V53" s="138" t="s">
        <v>8375</v>
      </c>
      <c r="W53" s="138" t="str">
        <f ca="1">IFERROR(__xludf.DUMMYFUNCTION("filter(H:H,I:I=U53,J:J=V53)"),"Tirupati")</f>
        <v>Tirupati</v>
      </c>
    </row>
    <row r="54" spans="7:23">
      <c r="G54" s="138" t="s">
        <v>8258</v>
      </c>
      <c r="H54" s="138" t="s">
        <v>379</v>
      </c>
      <c r="I54" s="138" t="s">
        <v>8378</v>
      </c>
      <c r="J54" s="138" t="s">
        <v>8379</v>
      </c>
      <c r="K54" s="138" t="str">
        <f ca="1">IFERROR(__xludf.DUMMYFUNCTION("unique(filter(R:R,R:R=I54))"),"Chandragiri")</f>
        <v>Chandragiri</v>
      </c>
      <c r="N54" s="138" t="str">
        <f ca="1">IFERROR(__xludf.DUMMYFUNCTION("unique(filter(W:W,U:U=R54))"),"Anantapur")</f>
        <v>Anantapur</v>
      </c>
      <c r="O54" s="138" t="s">
        <v>8261</v>
      </c>
      <c r="P54" s="138" t="s">
        <v>8380</v>
      </c>
      <c r="Q54" s="138" t="str">
        <f ca="1">IFERROR(__xludf.DUMMYFUNCTION("filter(I:I,J:J=P54,G:G=O54)"),"Singanamala (Sc)")</f>
        <v>Singanamala (Sc)</v>
      </c>
      <c r="R54" s="138" t="s">
        <v>8290</v>
      </c>
    </row>
    <row r="55" spans="7:23">
      <c r="G55" s="138" t="s">
        <v>8258</v>
      </c>
      <c r="H55" s="138" t="s">
        <v>379</v>
      </c>
      <c r="I55" s="138" t="s">
        <v>8378</v>
      </c>
      <c r="J55" s="138" t="s">
        <v>8381</v>
      </c>
      <c r="K55" s="138" t="str">
        <f ca="1">IFERROR(__xludf.DUMMYFUNCTION("unique(filter(R:R,R:R=I55))"),"Chandragiri")</f>
        <v>Chandragiri</v>
      </c>
      <c r="N55" s="138" t="str">
        <f ca="1">IFERROR(__xludf.DUMMYFUNCTION("unique(filter(W:W,U:U=R55))"),"Sri Sathya Sai")</f>
        <v>Sri Sathya Sai</v>
      </c>
      <c r="O55" s="138" t="s">
        <v>8261</v>
      </c>
      <c r="P55" s="138" t="s">
        <v>8382</v>
      </c>
      <c r="Q55" s="138" t="str">
        <f ca="1">IFERROR(__xludf.DUMMYFUNCTION("filter(I:I,J:J=P55,G:G=O55)"),"Penukonda")</f>
        <v>Penukonda</v>
      </c>
      <c r="R55" s="138" t="s">
        <v>8311</v>
      </c>
      <c r="U55" s="138" t="s">
        <v>8378</v>
      </c>
      <c r="V55" s="138" t="s">
        <v>8379</v>
      </c>
      <c r="W55" s="138" t="str">
        <f ca="1">IFERROR(__xludf.DUMMYFUNCTION("filter(H:H,I:I=U55,J:J=V55)"),"Tirupati")</f>
        <v>Tirupati</v>
      </c>
    </row>
    <row r="56" spans="7:23">
      <c r="G56" s="138" t="s">
        <v>8258</v>
      </c>
      <c r="H56" s="138" t="s">
        <v>379</v>
      </c>
      <c r="I56" s="138" t="s">
        <v>8378</v>
      </c>
      <c r="J56" s="138" t="s">
        <v>8383</v>
      </c>
      <c r="K56" s="138" t="str">
        <f ca="1">IFERROR(__xludf.DUMMYFUNCTION("unique(filter(R:R,R:R=I56))"),"Chandragiri")</f>
        <v>Chandragiri</v>
      </c>
      <c r="N56" s="138" t="str">
        <f ca="1">IFERROR(__xludf.DUMMYFUNCTION("unique(filter(W:W,U:U=R56))"),"Sri Sathya Sai")</f>
        <v>Sri Sathya Sai</v>
      </c>
      <c r="O56" s="138" t="s">
        <v>8261</v>
      </c>
      <c r="P56" s="138" t="s">
        <v>8384</v>
      </c>
      <c r="Q56" s="138" t="str">
        <f ca="1">IFERROR(__xludf.DUMMYFUNCTION("filter(I:I,J:J=P56,G:G=O56)"),"Dharmavaram")</f>
        <v>Dharmavaram</v>
      </c>
      <c r="R56" s="138" t="s">
        <v>550</v>
      </c>
      <c r="U56" s="138" t="s">
        <v>8378</v>
      </c>
      <c r="V56" s="138" t="s">
        <v>8381</v>
      </c>
      <c r="W56" s="138" t="str">
        <f ca="1">IFERROR(__xludf.DUMMYFUNCTION("filter(H:H,I:I=U56,J:J=V56)"),"Tirupati")</f>
        <v>Tirupati</v>
      </c>
    </row>
    <row r="57" spans="7:23">
      <c r="G57" s="138" t="s">
        <v>8258</v>
      </c>
      <c r="H57" s="138" t="s">
        <v>379</v>
      </c>
      <c r="I57" s="138" t="s">
        <v>8378</v>
      </c>
      <c r="J57" s="138" t="s">
        <v>8378</v>
      </c>
      <c r="K57" s="138" t="str">
        <f ca="1">IFERROR(__xludf.DUMMYFUNCTION("unique(filter(R:R,R:R=I57))"),"Chandragiri")</f>
        <v>Chandragiri</v>
      </c>
      <c r="N57" s="138" t="str">
        <f ca="1">IFERROR(__xludf.DUMMYFUNCTION("unique(filter(W:W,U:U=R57))"),"Anantapur")</f>
        <v>Anantapur</v>
      </c>
      <c r="O57" s="138" t="s">
        <v>8261</v>
      </c>
      <c r="P57" s="138" t="s">
        <v>8385</v>
      </c>
      <c r="Q57" s="138" t="str">
        <f ca="1">IFERROR(__xludf.DUMMYFUNCTION("filter(I:I,J:J=P57,G:G=O57)"),"Tadipatri")</f>
        <v>Tadipatri</v>
      </c>
      <c r="R57" s="138" t="s">
        <v>8359</v>
      </c>
      <c r="U57" s="138" t="s">
        <v>8378</v>
      </c>
      <c r="V57" s="138" t="s">
        <v>8383</v>
      </c>
      <c r="W57" s="138" t="str">
        <f ca="1">IFERROR(__xludf.DUMMYFUNCTION("filter(H:H,I:I=U57,J:J=V57)"),"Tirupati")</f>
        <v>Tirupati</v>
      </c>
    </row>
    <row r="58" spans="7:23">
      <c r="G58" s="138" t="s">
        <v>8258</v>
      </c>
      <c r="H58" s="138" t="s">
        <v>379</v>
      </c>
      <c r="I58" s="138" t="s">
        <v>8378</v>
      </c>
      <c r="J58" s="138" t="s">
        <v>8386</v>
      </c>
      <c r="K58" s="138" t="str">
        <f ca="1">IFERROR(__xludf.DUMMYFUNCTION("unique(filter(R:R,R:R=I58))"),"Chandragiri")</f>
        <v>Chandragiri</v>
      </c>
      <c r="N58" s="138" t="str">
        <f ca="1">IFERROR(__xludf.DUMMYFUNCTION("unique(filter(W:W,U:U=R58))"),"Sri Sathya Sai")</f>
        <v>Sri Sathya Sai</v>
      </c>
      <c r="O58" s="138" t="s">
        <v>8261</v>
      </c>
      <c r="P58" s="138" t="s">
        <v>8387</v>
      </c>
      <c r="Q58" s="138" t="str">
        <f ca="1">IFERROR(__xludf.DUMMYFUNCTION("filter(I:I,J:J=P58,G:G=O58)"),"Kadiri")</f>
        <v>Kadiri</v>
      </c>
      <c r="R58" s="138" t="s">
        <v>8302</v>
      </c>
      <c r="U58" s="138" t="s">
        <v>8378</v>
      </c>
      <c r="V58" s="138" t="s">
        <v>8378</v>
      </c>
      <c r="W58" s="138" t="str">
        <f ca="1">IFERROR(__xludf.DUMMYFUNCTION("filter(H:H,I:I=U58,J:J=V58)"),"Tirupati")</f>
        <v>Tirupati</v>
      </c>
    </row>
    <row r="59" spans="7:23">
      <c r="G59" s="138" t="s">
        <v>8258</v>
      </c>
      <c r="H59" s="138" t="s">
        <v>379</v>
      </c>
      <c r="I59" s="138" t="s">
        <v>8378</v>
      </c>
      <c r="J59" s="138" t="s">
        <v>8388</v>
      </c>
      <c r="K59" s="138" t="str">
        <f ca="1">IFERROR(__xludf.DUMMYFUNCTION("unique(filter(R:R,R:R=I59))"),"Chandragiri")</f>
        <v>Chandragiri</v>
      </c>
      <c r="N59" s="138" t="str">
        <f ca="1">IFERROR(__xludf.DUMMYFUNCTION("unique(filter(W:W,U:U=R59))"),"Sri Sathya Sai")</f>
        <v>Sri Sathya Sai</v>
      </c>
      <c r="O59" s="138" t="s">
        <v>8261</v>
      </c>
      <c r="P59" s="138" t="s">
        <v>8389</v>
      </c>
      <c r="Q59" s="138" t="str">
        <f ca="1">IFERROR(__xludf.DUMMYFUNCTION("filter(I:I,J:J=P59,G:G=O59)"),"Kadiri")</f>
        <v>Kadiri</v>
      </c>
      <c r="R59" s="138" t="s">
        <v>8302</v>
      </c>
      <c r="U59" s="138" t="s">
        <v>8378</v>
      </c>
      <c r="V59" s="138" t="s">
        <v>8386</v>
      </c>
      <c r="W59" s="138" t="str">
        <f ca="1">IFERROR(__xludf.DUMMYFUNCTION("filter(H:H,I:I=U59,J:J=V59)"),"Tirupati")</f>
        <v>Tirupati</v>
      </c>
    </row>
    <row r="60" spans="7:23">
      <c r="G60" s="138" t="s">
        <v>8258</v>
      </c>
      <c r="H60" s="138" t="s">
        <v>379</v>
      </c>
      <c r="I60" s="138" t="s">
        <v>8378</v>
      </c>
      <c r="J60" s="138" t="s">
        <v>1193</v>
      </c>
      <c r="K60" s="138" t="str">
        <f ca="1">IFERROR(__xludf.DUMMYFUNCTION("unique(filter(R:R,R:R=I60))"),"Chandragiri")</f>
        <v>Chandragiri</v>
      </c>
      <c r="N60" s="138" t="str">
        <f ca="1">IFERROR(__xludf.DUMMYFUNCTION("unique(filter(W:W,U:U=R60))"),"Anantapur")</f>
        <v>Anantapur</v>
      </c>
      <c r="O60" s="138" t="s">
        <v>8261</v>
      </c>
      <c r="P60" s="138" t="s">
        <v>8390</v>
      </c>
      <c r="Q60" s="138" t="str">
        <f ca="1">IFERROR(__xludf.DUMMYFUNCTION("filter(I:I,J:J=P60,G:G=O60)"),"Uravakonda")</f>
        <v>Uravakonda</v>
      </c>
      <c r="R60" s="138" t="s">
        <v>8280</v>
      </c>
      <c r="U60" s="138" t="s">
        <v>8378</v>
      </c>
      <c r="V60" s="138" t="s">
        <v>8388</v>
      </c>
      <c r="W60" s="138" t="str">
        <f ca="1">IFERROR(__xludf.DUMMYFUNCTION("filter(H:H,I:I=U60,J:J=V60)"),"Tirupati")</f>
        <v>Tirupati</v>
      </c>
    </row>
    <row r="61" spans="7:23">
      <c r="G61" s="138" t="e">
        <v>#N/A</v>
      </c>
      <c r="H61" s="138" t="e">
        <v>#N/A</v>
      </c>
      <c r="I61" s="138" t="s">
        <v>8378</v>
      </c>
      <c r="J61" s="138" t="e">
        <v>#N/A</v>
      </c>
      <c r="K61" s="138" t="str">
        <f ca="1">IFERROR(__xludf.DUMMYFUNCTION("unique(filter(R:R,R:R=I61))"),"Chandragiri")</f>
        <v>Chandragiri</v>
      </c>
      <c r="N61" s="138" t="str">
        <f ca="1">IFERROR(__xludf.DUMMYFUNCTION("unique(filter(W:W,U:U=R61))"),"Anantapur")</f>
        <v>Anantapur</v>
      </c>
      <c r="O61" s="138" t="s">
        <v>8261</v>
      </c>
      <c r="P61" s="138" t="s">
        <v>8391</v>
      </c>
      <c r="Q61" s="138" t="str">
        <f ca="1">IFERROR(__xludf.DUMMYFUNCTION("filter(I:I,J:J=P61,G:G=O61)"),"Uravakonda")</f>
        <v>Uravakonda</v>
      </c>
      <c r="R61" s="138" t="s">
        <v>8280</v>
      </c>
      <c r="U61" s="138" t="s">
        <v>8378</v>
      </c>
      <c r="V61" s="138" t="s">
        <v>1193</v>
      </c>
      <c r="W61" s="138" t="str">
        <f ca="1">IFERROR(__xludf.DUMMYFUNCTION("filter(H:H,I:I=U61,J:J=V61)"),"Tirupati")</f>
        <v>Tirupati</v>
      </c>
    </row>
    <row r="62" spans="7:23">
      <c r="G62" s="138" t="s">
        <v>8258</v>
      </c>
      <c r="H62" s="138" t="s">
        <v>8258</v>
      </c>
      <c r="I62" s="138" t="s">
        <v>8392</v>
      </c>
      <c r="J62" s="138" t="s">
        <v>8392</v>
      </c>
      <c r="K62" s="138" t="str">
        <f ca="1">IFERROR(__xludf.DUMMYFUNCTION("unique(filter(R:R,R:R=I62))"),"Punganur")</f>
        <v>Punganur</v>
      </c>
      <c r="N62" s="138" t="str">
        <f ca="1">IFERROR(__xludf.DUMMYFUNCTION("unique(filter(W:W,U:U=R62))"),"Anantapur")</f>
        <v>Anantapur</v>
      </c>
      <c r="O62" s="138" t="s">
        <v>8261</v>
      </c>
      <c r="P62" s="138" t="s">
        <v>8393</v>
      </c>
      <c r="Q62" s="138" t="str">
        <f ca="1">IFERROR(__xludf.DUMMYFUNCTION("filter(I:I,J:J=P62,G:G=O62)"),"Uravakonda")</f>
        <v>Uravakonda</v>
      </c>
      <c r="R62" s="138" t="s">
        <v>8280</v>
      </c>
    </row>
    <row r="63" spans="7:23">
      <c r="G63" s="138" t="s">
        <v>8258</v>
      </c>
      <c r="H63" s="138" t="s">
        <v>8258</v>
      </c>
      <c r="I63" s="138" t="s">
        <v>8392</v>
      </c>
      <c r="J63" s="138" t="s">
        <v>8394</v>
      </c>
      <c r="K63" s="138" t="str">
        <f ca="1">IFERROR(__xludf.DUMMYFUNCTION("unique(filter(R:R,R:R=I63))"),"Punganur")</f>
        <v>Punganur</v>
      </c>
      <c r="N63" s="138" t="str">
        <f ca="1">IFERROR(__xludf.DUMMYFUNCTION("unique(filter(W:W,U:U=R63))"),"Anantapur")</f>
        <v>Anantapur</v>
      </c>
      <c r="O63" s="138" t="s">
        <v>8261</v>
      </c>
      <c r="P63" s="138" t="s">
        <v>8395</v>
      </c>
      <c r="Q63" s="138" t="str">
        <f ca="1">IFERROR(__xludf.DUMMYFUNCTION("filter(I:I,J:J=P63,G:G=O63)"),"Tadipatri")</f>
        <v>Tadipatri</v>
      </c>
      <c r="R63" s="138" t="s">
        <v>8359</v>
      </c>
      <c r="U63" s="138" t="s">
        <v>8392</v>
      </c>
      <c r="V63" s="138" t="s">
        <v>8392</v>
      </c>
      <c r="W63" s="138" t="str">
        <f ca="1">IFERROR(__xludf.DUMMYFUNCTION("filter(H:H,I:I=U63,J:J=V63)"),"Chittoor")</f>
        <v>Chittoor</v>
      </c>
    </row>
    <row r="64" spans="7:23">
      <c r="G64" s="138" t="s">
        <v>8258</v>
      </c>
      <c r="H64" s="138" t="s">
        <v>8258</v>
      </c>
      <c r="I64" s="138" t="s">
        <v>8392</v>
      </c>
      <c r="J64" s="138" t="s">
        <v>8396</v>
      </c>
      <c r="K64" s="138" t="str">
        <f ca="1">IFERROR(__xludf.DUMMYFUNCTION("unique(filter(R:R,R:R=I64))"),"Punganur")</f>
        <v>Punganur</v>
      </c>
      <c r="N64" s="138" t="str">
        <f ca="1">IFERROR(__xludf.DUMMYFUNCTION("unique(filter(W:W,U:U=R64))"),"Anantapur")</f>
        <v>Anantapur</v>
      </c>
      <c r="O64" s="138" t="s">
        <v>8261</v>
      </c>
      <c r="P64" s="138" t="s">
        <v>8397</v>
      </c>
      <c r="Q64" s="138" t="str">
        <f ca="1">IFERROR(__xludf.DUMMYFUNCTION("filter(I:I,J:J=P64,G:G=O64)"),"Singanamala (Sc)")</f>
        <v>Singanamala (Sc)</v>
      </c>
      <c r="R64" s="138" t="s">
        <v>8290</v>
      </c>
      <c r="U64" s="138" t="s">
        <v>8392</v>
      </c>
      <c r="V64" s="138" t="s">
        <v>8394</v>
      </c>
      <c r="W64" s="138" t="str">
        <f ca="1">IFERROR(__xludf.DUMMYFUNCTION("filter(H:H,I:I=U64,J:J=V64)"),"Chittoor")</f>
        <v>Chittoor</v>
      </c>
    </row>
    <row r="65" spans="7:23">
      <c r="G65" s="138" t="s">
        <v>8258</v>
      </c>
      <c r="H65" s="138" t="s">
        <v>8258</v>
      </c>
      <c r="I65" s="138" t="s">
        <v>8392</v>
      </c>
      <c r="J65" s="138" t="s">
        <v>8398</v>
      </c>
      <c r="K65" s="138" t="str">
        <f ca="1">IFERROR(__xludf.DUMMYFUNCTION("unique(filter(R:R,R:R=I65))"),"Punganur")</f>
        <v>Punganur</v>
      </c>
      <c r="N65" s="138" t="str">
        <f ca="1">IFERROR(__xludf.DUMMYFUNCTION("unique(filter(W:W,U:U=R65))"),"Annamayya")</f>
        <v>Annamayya</v>
      </c>
      <c r="O65" s="138" t="s">
        <v>8399</v>
      </c>
      <c r="P65" s="138" t="s">
        <v>8400</v>
      </c>
      <c r="Q65" s="138" t="str">
        <f ca="1">IFERROR(__xludf.DUMMYFUNCTION("filter(I:I,J:J=P65,G:G=O65)"),"Thamballapalle")</f>
        <v>Thamballapalle</v>
      </c>
      <c r="R65" s="138" t="s">
        <v>8401</v>
      </c>
      <c r="U65" s="138" t="s">
        <v>8392</v>
      </c>
      <c r="V65" s="138" t="s">
        <v>8396</v>
      </c>
      <c r="W65" s="138" t="str">
        <f ca="1">IFERROR(__xludf.DUMMYFUNCTION("filter(H:H,I:I=U65,J:J=V65)"),"Chittoor")</f>
        <v>Chittoor</v>
      </c>
    </row>
    <row r="66" spans="7:23">
      <c r="G66" s="138" t="s">
        <v>8258</v>
      </c>
      <c r="H66" s="138" t="s">
        <v>8258</v>
      </c>
      <c r="I66" s="138" t="s">
        <v>8392</v>
      </c>
      <c r="J66" s="138" t="s">
        <v>8402</v>
      </c>
      <c r="K66" s="138" t="str">
        <f ca="1">IFERROR(__xludf.DUMMYFUNCTION("unique(filter(R:R,R:R=I66))"),"Punganur")</f>
        <v>Punganur</v>
      </c>
      <c r="N66" s="138" t="str">
        <f ca="1">IFERROR(__xludf.DUMMYFUNCTION("unique(filter(W:W,U:U=R66))"),"Chittoor")</f>
        <v>Chittoor</v>
      </c>
      <c r="O66" s="138" t="s">
        <v>8399</v>
      </c>
      <c r="P66" s="138" t="s">
        <v>8403</v>
      </c>
      <c r="Q66" s="138" t="str">
        <f ca="1">IFERROR(__xludf.DUMMYFUNCTION("filter(I:I,J:J=P66,G:G=O66)"),"Palamaner")</f>
        <v>Palamaner</v>
      </c>
      <c r="R66" s="138" t="s">
        <v>8277</v>
      </c>
      <c r="U66" s="138" t="s">
        <v>8392</v>
      </c>
      <c r="V66" s="138" t="s">
        <v>8398</v>
      </c>
      <c r="W66" s="138" t="str">
        <f ca="1">IFERROR(__xludf.DUMMYFUNCTION("filter(H:H,I:I=U66,J:J=V66)"),"Chittoor")</f>
        <v>Chittoor</v>
      </c>
    </row>
    <row r="67" spans="7:23">
      <c r="G67" s="138" t="s">
        <v>8258</v>
      </c>
      <c r="H67" s="138" t="s">
        <v>8258</v>
      </c>
      <c r="I67" s="138" t="s">
        <v>8392</v>
      </c>
      <c r="J67" s="138" t="s">
        <v>8404</v>
      </c>
      <c r="K67" s="138" t="str">
        <f ca="1">IFERROR(__xludf.DUMMYFUNCTION("unique(filter(R:R,R:R=I67))"),"Punganur")</f>
        <v>Punganur</v>
      </c>
      <c r="N67" s="138" t="str">
        <f ca="1">IFERROR(__xludf.DUMMYFUNCTION("unique(filter(W:W,U:U=R67))"),"Chittoor")</f>
        <v>Chittoor</v>
      </c>
      <c r="O67" s="138" t="s">
        <v>8399</v>
      </c>
      <c r="P67" s="138" t="s">
        <v>8405</v>
      </c>
      <c r="Q67" s="138" t="str">
        <f ca="1">IFERROR(__xludf.DUMMYFUNCTION("filter(I:I,J:J=P67,G:G=O67)"),"Puthalapattu (Sc)")</f>
        <v>Puthalapattu (Sc)</v>
      </c>
      <c r="R67" s="138" t="s">
        <v>8293</v>
      </c>
      <c r="U67" s="138" t="s">
        <v>8392</v>
      </c>
      <c r="V67" s="138" t="s">
        <v>8402</v>
      </c>
      <c r="W67" s="138" t="str">
        <f ca="1">IFERROR(__xludf.DUMMYFUNCTION("filter(H:H,I:I=U67,J:J=V67)"),"Chittoor")</f>
        <v>Chittoor</v>
      </c>
    </row>
    <row r="68" spans="7:23">
      <c r="G68" s="138" t="s">
        <v>8258</v>
      </c>
      <c r="H68" s="138" t="s">
        <v>8258</v>
      </c>
      <c r="I68" s="138" t="s">
        <v>8392</v>
      </c>
      <c r="J68" s="138" t="s">
        <v>8406</v>
      </c>
      <c r="K68" s="138" t="str">
        <f ca="1">IFERROR(__xludf.DUMMYFUNCTION("unique(filter(R:R,R:R=I68))"),"Punganur")</f>
        <v>Punganur</v>
      </c>
      <c r="N68" s="138" t="str">
        <f ca="1">IFERROR(__xludf.DUMMYFUNCTION("unique(filter(W:W,U:U=R68))"),"Tirupati")</f>
        <v>Tirupati</v>
      </c>
      <c r="O68" s="138" t="s">
        <v>8399</v>
      </c>
      <c r="P68" s="138" t="s">
        <v>8407</v>
      </c>
      <c r="Q68" s="138" t="str">
        <f ca="1">IFERROR(__xludf.DUMMYFUNCTION("filter(I:I,J:J=P68,G:G=O68)"),"#N/A")</f>
        <v>#N/A</v>
      </c>
      <c r="R68" s="138" t="s">
        <v>8348</v>
      </c>
      <c r="U68" s="138" t="s">
        <v>8392</v>
      </c>
      <c r="V68" s="138" t="s">
        <v>8404</v>
      </c>
      <c r="W68" s="138" t="str">
        <f ca="1">IFERROR(__xludf.DUMMYFUNCTION("filter(H:H,I:I=U68,J:J=V68)"),"Chittoor")</f>
        <v>Chittoor</v>
      </c>
    </row>
    <row r="69" spans="7:23">
      <c r="G69" s="138" t="e">
        <v>#N/A</v>
      </c>
      <c r="H69" s="138" t="e">
        <v>#N/A</v>
      </c>
      <c r="I69" s="138" t="s">
        <v>8392</v>
      </c>
      <c r="J69" s="138" t="e">
        <v>#N/A</v>
      </c>
      <c r="K69" s="138" t="str">
        <f ca="1">IFERROR(__xludf.DUMMYFUNCTION("unique(filter(R:R,R:R=I69))"),"Punganur")</f>
        <v>Punganur</v>
      </c>
      <c r="N69" s="138" t="str">
        <f ca="1">IFERROR(__xludf.DUMMYFUNCTION("unique(filter(W:W,U:U=R69))"),"Tirupati")</f>
        <v>Tirupati</v>
      </c>
      <c r="O69" s="138" t="s">
        <v>8399</v>
      </c>
      <c r="P69" s="138" t="s">
        <v>8408</v>
      </c>
      <c r="Q69" s="138" t="str">
        <f ca="1">IFERROR(__xludf.DUMMYFUNCTION("filter(I:I,J:J=P69,G:G=O69)"),"Chandragiri")</f>
        <v>Chandragiri</v>
      </c>
      <c r="R69" s="138" t="s">
        <v>8378</v>
      </c>
      <c r="U69" s="138" t="s">
        <v>8392</v>
      </c>
      <c r="V69" s="138" t="s">
        <v>8406</v>
      </c>
      <c r="W69" s="138" t="str">
        <f ca="1">IFERROR(__xludf.DUMMYFUNCTION("filter(H:H,I:I=U69,J:J=V69)"),"Chittoor")</f>
        <v>Chittoor</v>
      </c>
    </row>
    <row r="70" spans="7:23">
      <c r="G70" s="138" t="s">
        <v>8258</v>
      </c>
      <c r="H70" s="138" t="s">
        <v>8409</v>
      </c>
      <c r="I70" s="138" t="s">
        <v>8410</v>
      </c>
      <c r="J70" s="138" t="s">
        <v>8410</v>
      </c>
      <c r="K70" s="138" t="str">
        <f ca="1">IFERROR(__xludf.DUMMYFUNCTION("unique(filter(R:R,R:R=I70))"),"Madanapalle")</f>
        <v>Madanapalle</v>
      </c>
      <c r="N70" s="138" t="str">
        <f ca="1">IFERROR(__xludf.DUMMYFUNCTION("unique(filter(W:W,U:U=R70))"),"Tirupati")</f>
        <v>Tirupati</v>
      </c>
      <c r="O70" s="138" t="s">
        <v>8399</v>
      </c>
      <c r="P70" s="138" t="s">
        <v>8411</v>
      </c>
      <c r="Q70" s="138" t="str">
        <f ca="1">IFERROR(__xludf.DUMMYFUNCTION("filter(I:I,J:J=P70,G:G=O70)"),"Chandragiri")</f>
        <v>Chandragiri</v>
      </c>
      <c r="R70" s="138" t="s">
        <v>8378</v>
      </c>
    </row>
    <row r="71" spans="7:23">
      <c r="G71" s="138" t="s">
        <v>8258</v>
      </c>
      <c r="H71" s="138" t="s">
        <v>8409</v>
      </c>
      <c r="I71" s="138" t="s">
        <v>8410</v>
      </c>
      <c r="J71" s="138" t="s">
        <v>8412</v>
      </c>
      <c r="K71" s="138" t="str">
        <f ca="1">IFERROR(__xludf.DUMMYFUNCTION("unique(filter(R:R,R:R=I71))"),"Madanapalle")</f>
        <v>Madanapalle</v>
      </c>
      <c r="N71" s="138" t="str">
        <f ca="1">IFERROR(__xludf.DUMMYFUNCTION("unique(filter(W:W,U:U=R71))"),"Chittoor")</f>
        <v>Chittoor</v>
      </c>
      <c r="O71" s="138" t="s">
        <v>8399</v>
      </c>
      <c r="P71" s="138" t="s">
        <v>8399</v>
      </c>
      <c r="Q71" s="138" t="str">
        <f ca="1">IFERROR(__xludf.DUMMYFUNCTION("filter(I:I,J:J=P71,G:G=O71)"),"Chittoor")</f>
        <v>Chittoor</v>
      </c>
      <c r="R71" s="138" t="s">
        <v>8258</v>
      </c>
      <c r="U71" s="138" t="s">
        <v>8410</v>
      </c>
      <c r="V71" s="138" t="s">
        <v>8410</v>
      </c>
      <c r="W71" s="138" t="str">
        <f ca="1">IFERROR(__xludf.DUMMYFUNCTION("filter(H:H,I:I=U71,J:J=V71)"),"Annamayya")</f>
        <v>Annamayya</v>
      </c>
    </row>
    <row r="72" spans="7:23">
      <c r="G72" s="138" t="s">
        <v>8258</v>
      </c>
      <c r="H72" s="138" t="s">
        <v>8409</v>
      </c>
      <c r="I72" s="138" t="s">
        <v>8410</v>
      </c>
      <c r="J72" s="138" t="s">
        <v>8413</v>
      </c>
      <c r="K72" s="138" t="str">
        <f ca="1">IFERROR(__xludf.DUMMYFUNCTION("unique(filter(R:R,R:R=I72))"),"Madanapalle")</f>
        <v>Madanapalle</v>
      </c>
      <c r="N72" s="138" t="str">
        <f ca="1">IFERROR(__xludf.DUMMYFUNCTION("unique(filter(W:W,U:U=R72))"),"Chittoor")</f>
        <v>Chittoor</v>
      </c>
      <c r="O72" s="138" t="s">
        <v>8399</v>
      </c>
      <c r="P72" s="138" t="s">
        <v>8414</v>
      </c>
      <c r="Q72" s="138" t="str">
        <f ca="1">IFERROR(__xludf.DUMMYFUNCTION("filter(I:I,J:J=P72,G:G=O72)"),"Punganur")</f>
        <v>Punganur</v>
      </c>
      <c r="R72" s="138" t="s">
        <v>8392</v>
      </c>
      <c r="U72" s="138" t="s">
        <v>8410</v>
      </c>
      <c r="V72" s="138" t="s">
        <v>8412</v>
      </c>
      <c r="W72" s="138" t="str">
        <f ca="1">IFERROR(__xludf.DUMMYFUNCTION("filter(H:H,I:I=U72,J:J=V72)"),"Annamayya")</f>
        <v>Annamayya</v>
      </c>
    </row>
    <row r="73" spans="7:23">
      <c r="G73" s="138" t="s">
        <v>8258</v>
      </c>
      <c r="H73" s="138" t="s">
        <v>8409</v>
      </c>
      <c r="I73" s="138" t="s">
        <v>8410</v>
      </c>
      <c r="J73" s="138" t="s">
        <v>8415</v>
      </c>
      <c r="K73" s="138" t="str">
        <f ca="1">IFERROR(__xludf.DUMMYFUNCTION("unique(filter(R:R,R:R=I73))"),"Madanapalle")</f>
        <v>Madanapalle</v>
      </c>
      <c r="N73" s="138" t="str">
        <f ca="1">IFERROR(__xludf.DUMMYFUNCTION("unique(filter(W:W,U:U=R73))"),"Chittoor")</f>
        <v>Chittoor</v>
      </c>
      <c r="O73" s="138" t="s">
        <v>8399</v>
      </c>
      <c r="P73" s="138" t="s">
        <v>8416</v>
      </c>
      <c r="Q73" s="138" t="str">
        <f ca="1">IFERROR(__xludf.DUMMYFUNCTION("filter(I:I,J:J=P73,G:G=O73)"),"#N/A")</f>
        <v>#N/A</v>
      </c>
      <c r="R73" s="138" t="s">
        <v>8319</v>
      </c>
      <c r="U73" s="138" t="s">
        <v>8410</v>
      </c>
      <c r="V73" s="138" t="s">
        <v>8413</v>
      </c>
      <c r="W73" s="138" t="str">
        <f ca="1">IFERROR(__xludf.DUMMYFUNCTION("filter(H:H,I:I=U73,J:J=V73)"),"Annamayya")</f>
        <v>Annamayya</v>
      </c>
    </row>
    <row r="74" spans="7:23">
      <c r="G74" s="138" t="e">
        <v>#N/A</v>
      </c>
      <c r="H74" s="138" t="e">
        <v>#N/A</v>
      </c>
      <c r="I74" s="138" t="s">
        <v>8410</v>
      </c>
      <c r="J74" s="138" t="e">
        <v>#N/A</v>
      </c>
      <c r="K74" s="138" t="str">
        <f ca="1">IFERROR(__xludf.DUMMYFUNCTION("unique(filter(R:R,R:R=I74))"),"Madanapalle")</f>
        <v>Madanapalle</v>
      </c>
      <c r="N74" s="138" t="str">
        <f ca="1">IFERROR(__xludf.DUMMYFUNCTION("unique(filter(W:W,U:U=R74))"),"Chittoor")</f>
        <v>Chittoor</v>
      </c>
      <c r="O74" s="138" t="s">
        <v>8399</v>
      </c>
      <c r="P74" s="138" t="s">
        <v>8417</v>
      </c>
      <c r="Q74" s="138" t="str">
        <f ca="1">IFERROR(__xludf.DUMMYFUNCTION("filter(I:I,J:J=P74,G:G=O74)"),"#N/A")</f>
        <v>#N/A</v>
      </c>
      <c r="R74" s="138" t="s">
        <v>8277</v>
      </c>
      <c r="U74" s="138" t="s">
        <v>8410</v>
      </c>
      <c r="V74" s="138" t="s">
        <v>8415</v>
      </c>
      <c r="W74" s="138" t="str">
        <f ca="1">IFERROR(__xludf.DUMMYFUNCTION("filter(H:H,I:I=U74,J:J=V74)"),"Annamayya")</f>
        <v>Annamayya</v>
      </c>
    </row>
    <row r="75" spans="7:23">
      <c r="G75" s="138" t="s">
        <v>8258</v>
      </c>
      <c r="H75" s="138" t="s">
        <v>8409</v>
      </c>
      <c r="I75" s="138" t="s">
        <v>8418</v>
      </c>
      <c r="J75" s="138" t="s">
        <v>8419</v>
      </c>
      <c r="K75" s="138" t="str">
        <f ca="1">IFERROR(__xludf.DUMMYFUNCTION("unique(filter(R:R,R:R=I75))"),"Pileru")</f>
        <v>Pileru</v>
      </c>
      <c r="N75" s="138" t="str">
        <f ca="1">IFERROR(__xludf.DUMMYFUNCTION("unique(filter(W:W,U:U=R75))"),"Chittoor")</f>
        <v>Chittoor</v>
      </c>
      <c r="O75" s="138" t="s">
        <v>8399</v>
      </c>
      <c r="P75" s="138" t="s">
        <v>8420</v>
      </c>
      <c r="Q75" s="138" t="str">
        <f ca="1">IFERROR(__xludf.DUMMYFUNCTION("filter(I:I,J:J=P75,G:G=O75)"),"#REF!")</f>
        <v>#REF!</v>
      </c>
      <c r="R75" s="138" t="s">
        <v>8258</v>
      </c>
    </row>
    <row r="76" spans="7:23">
      <c r="G76" s="138" t="s">
        <v>8258</v>
      </c>
      <c r="H76" s="138" t="s">
        <v>8409</v>
      </c>
      <c r="I76" s="138" t="s">
        <v>8418</v>
      </c>
      <c r="J76" s="138" t="s">
        <v>8421</v>
      </c>
      <c r="K76" s="138" t="str">
        <f ca="1">IFERROR(__xludf.DUMMYFUNCTION("unique(filter(R:R,R:R=I76))"),"Pileru")</f>
        <v>Pileru</v>
      </c>
      <c r="N76" s="138" t="str">
        <f ca="1">IFERROR(__xludf.DUMMYFUNCTION("unique(filter(W:W,U:U=R76))"),"Chittoor")</f>
        <v>Chittoor</v>
      </c>
      <c r="O76" s="138" t="s">
        <v>8399</v>
      </c>
      <c r="P76" s="138" t="s">
        <v>8422</v>
      </c>
      <c r="Q76" s="138" t="str">
        <f ca="1">IFERROR(__xludf.DUMMYFUNCTION("filter(I:I,J:J=P76,G:G=O76)"),"Kuppam")</f>
        <v>Kuppam</v>
      </c>
      <c r="R76" s="138" t="s">
        <v>8259</v>
      </c>
      <c r="U76" s="138" t="s">
        <v>8418</v>
      </c>
      <c r="V76" s="138" t="s">
        <v>8419</v>
      </c>
      <c r="W76" s="138" t="str">
        <f ca="1">IFERROR(__xludf.DUMMYFUNCTION("filter(H:H,I:I=U76,J:J=V76)"),"Annamayya")</f>
        <v>Annamayya</v>
      </c>
    </row>
    <row r="77" spans="7:23">
      <c r="G77" s="138" t="s">
        <v>8258</v>
      </c>
      <c r="H77" s="138" t="s">
        <v>8409</v>
      </c>
      <c r="I77" s="138" t="s">
        <v>8418</v>
      </c>
      <c r="J77" s="138" t="s">
        <v>8423</v>
      </c>
      <c r="K77" s="138" t="str">
        <f ca="1">IFERROR(__xludf.DUMMYFUNCTION("unique(filter(R:R,R:R=I77))"),"Pileru")</f>
        <v>Pileru</v>
      </c>
      <c r="N77" s="138" t="str">
        <f ca="1">IFERROR(__xludf.DUMMYFUNCTION("unique(filter(W:W,U:U=R77))"),"Annamayya")</f>
        <v>Annamayya</v>
      </c>
      <c r="O77" s="138" t="s">
        <v>8399</v>
      </c>
      <c r="P77" s="138" t="s">
        <v>8424</v>
      </c>
      <c r="Q77" s="138" t="str">
        <f ca="1">IFERROR(__xludf.DUMMYFUNCTION("filter(I:I,J:J=P77,G:G=O77)"),"Pileru")</f>
        <v>Pileru</v>
      </c>
      <c r="R77" s="138" t="s">
        <v>8418</v>
      </c>
      <c r="U77" s="138" t="s">
        <v>8418</v>
      </c>
      <c r="V77" s="138" t="s">
        <v>8421</v>
      </c>
      <c r="W77" s="138" t="str">
        <f ca="1">IFERROR(__xludf.DUMMYFUNCTION("filter(H:H,I:I=U77,J:J=V77)"),"Annamayya")</f>
        <v>Annamayya</v>
      </c>
    </row>
    <row r="78" spans="7:23">
      <c r="G78" s="138" t="s">
        <v>8258</v>
      </c>
      <c r="H78" s="138" t="s">
        <v>8409</v>
      </c>
      <c r="I78" s="138" t="s">
        <v>8418</v>
      </c>
      <c r="J78" s="138" t="s">
        <v>8425</v>
      </c>
      <c r="K78" s="138" t="str">
        <f ca="1">IFERROR(__xludf.DUMMYFUNCTION("unique(filter(R:R,R:R=I78))"),"Pileru")</f>
        <v>Pileru</v>
      </c>
      <c r="N78" s="138" t="str">
        <f ca="1">IFERROR(__xludf.DUMMYFUNCTION("unique(filter(W:W,U:U=R78))"),"Chittoor")</f>
        <v>Chittoor</v>
      </c>
      <c r="O78" s="138" t="s">
        <v>8399</v>
      </c>
      <c r="P78" s="138" t="s">
        <v>8426</v>
      </c>
      <c r="Q78" s="138" t="str">
        <f ca="1">IFERROR(__xludf.DUMMYFUNCTION("filter(I:I,J:J=P78,G:G=O78)"),"Puthalapattu (Sc)")</f>
        <v>Puthalapattu (Sc)</v>
      </c>
      <c r="R78" s="138" t="s">
        <v>8293</v>
      </c>
      <c r="U78" s="138" t="s">
        <v>8418</v>
      </c>
      <c r="V78" s="138" t="s">
        <v>8423</v>
      </c>
      <c r="W78" s="138" t="str">
        <f ca="1">IFERROR(__xludf.DUMMYFUNCTION("filter(H:H,I:I=U78,J:J=V78)"),"Annamayya")</f>
        <v>Annamayya</v>
      </c>
    </row>
    <row r="79" spans="7:23">
      <c r="G79" s="138" t="s">
        <v>8258</v>
      </c>
      <c r="H79" s="138" t="s">
        <v>8409</v>
      </c>
      <c r="I79" s="138" t="s">
        <v>8418</v>
      </c>
      <c r="J79" s="138" t="s">
        <v>8427</v>
      </c>
      <c r="K79" s="138" t="str">
        <f ca="1">IFERROR(__xludf.DUMMYFUNCTION("unique(filter(R:R,R:R=I79))"),"Pileru")</f>
        <v>Pileru</v>
      </c>
      <c r="N79" s="138" t="str">
        <f ca="1">IFERROR(__xludf.DUMMYFUNCTION("unique(filter(W:W,U:U=R79))"),"Tirupati")</f>
        <v>Tirupati</v>
      </c>
      <c r="O79" s="138" t="s">
        <v>8399</v>
      </c>
      <c r="P79" s="138" t="s">
        <v>8428</v>
      </c>
      <c r="Q79" s="138" t="str">
        <f ca="1">IFERROR(__xludf.DUMMYFUNCTION("filter(I:I,J:J=P79,G:G=O79)"),"Satyavedu (Sc)")</f>
        <v>Satyavedu (Sc)</v>
      </c>
      <c r="R79" s="138" t="s">
        <v>8348</v>
      </c>
      <c r="U79" s="138" t="s">
        <v>8418</v>
      </c>
      <c r="V79" s="138" t="s">
        <v>8425</v>
      </c>
      <c r="W79" s="138" t="str">
        <f ca="1">IFERROR(__xludf.DUMMYFUNCTION("filter(H:H,I:I=U79,J:J=V79)"),"Annamayya")</f>
        <v>Annamayya</v>
      </c>
    </row>
    <row r="80" spans="7:23">
      <c r="G80" s="138" t="s">
        <v>8258</v>
      </c>
      <c r="H80" s="138" t="s">
        <v>8409</v>
      </c>
      <c r="I80" s="138" t="s">
        <v>8418</v>
      </c>
      <c r="J80" s="138" t="s">
        <v>8418</v>
      </c>
      <c r="K80" s="138" t="str">
        <f ca="1">IFERROR(__xludf.DUMMYFUNCTION("unique(filter(R:R,R:R=I80))"),"Pileru")</f>
        <v>Pileru</v>
      </c>
      <c r="N80" s="138" t="str">
        <f ca="1">IFERROR(__xludf.DUMMYFUNCTION("unique(filter(W:W,U:U=R80))"),"Annamayya")</f>
        <v>Annamayya</v>
      </c>
      <c r="O80" s="138" t="s">
        <v>8399</v>
      </c>
      <c r="P80" s="138" t="s">
        <v>8429</v>
      </c>
      <c r="Q80" s="138" t="str">
        <f ca="1">IFERROR(__xludf.DUMMYFUNCTION("filter(I:I,J:J=P80,G:G=O80)"),"Pileru")</f>
        <v>Pileru</v>
      </c>
      <c r="R80" s="138" t="s">
        <v>8418</v>
      </c>
      <c r="U80" s="138" t="s">
        <v>8418</v>
      </c>
      <c r="V80" s="138" t="s">
        <v>8427</v>
      </c>
      <c r="W80" s="138" t="str">
        <f ca="1">IFERROR(__xludf.DUMMYFUNCTION("filter(H:H,I:I=U80,J:J=V80)"),"Annamayya")</f>
        <v>Annamayya</v>
      </c>
    </row>
    <row r="81" spans="7:23">
      <c r="G81" s="138" t="e">
        <v>#N/A</v>
      </c>
      <c r="H81" s="138" t="e">
        <v>#N/A</v>
      </c>
      <c r="I81" s="138" t="s">
        <v>8418</v>
      </c>
      <c r="J81" s="138" t="e">
        <v>#N/A</v>
      </c>
      <c r="K81" s="138" t="str">
        <f ca="1">IFERROR(__xludf.DUMMYFUNCTION("unique(filter(R:R,R:R=I81))"),"Pileru")</f>
        <v>Pileru</v>
      </c>
      <c r="N81" s="138" t="str">
        <f ca="1">IFERROR(__xludf.DUMMYFUNCTION("unique(filter(W:W,U:U=R81))"),"Annamayya")</f>
        <v>Annamayya</v>
      </c>
      <c r="O81" s="138" t="s">
        <v>8399</v>
      </c>
      <c r="P81" s="138" t="s">
        <v>8430</v>
      </c>
      <c r="Q81" s="138" t="str">
        <f ca="1">IFERROR(__xludf.DUMMYFUNCTION("filter(I:I,J:J=P81,G:G=O81)"),"Pileru")</f>
        <v>Pileru</v>
      </c>
      <c r="R81" s="138" t="s">
        <v>8418</v>
      </c>
      <c r="U81" s="138" t="s">
        <v>8418</v>
      </c>
      <c r="V81" s="138" t="s">
        <v>8418</v>
      </c>
      <c r="W81" s="138" t="str">
        <f ca="1">IFERROR(__xludf.DUMMYFUNCTION("filter(H:H,I:I=U81,J:J=V81)"),"Annamayya")</f>
        <v>Annamayya</v>
      </c>
    </row>
    <row r="82" spans="7:23">
      <c r="G82" s="138" t="s">
        <v>8258</v>
      </c>
      <c r="H82" s="138" t="s">
        <v>8409</v>
      </c>
      <c r="I82" s="138" t="s">
        <v>8401</v>
      </c>
      <c r="J82" s="138" t="s">
        <v>8431</v>
      </c>
      <c r="K82" s="138" t="str">
        <f ca="1">IFERROR(__xludf.DUMMYFUNCTION("unique(filter(R:R,R:R=I82))"),"Thamballapalle")</f>
        <v>Thamballapalle</v>
      </c>
      <c r="N82" s="138" t="str">
        <f ca="1">IFERROR(__xludf.DUMMYFUNCTION("unique(filter(W:W,U:U=R82))"),"Annamayya")</f>
        <v>Annamayya</v>
      </c>
      <c r="O82" s="138" t="s">
        <v>8399</v>
      </c>
      <c r="P82" s="138" t="s">
        <v>8432</v>
      </c>
      <c r="Q82" s="138" t="str">
        <f ca="1">IFERROR(__xludf.DUMMYFUNCTION("filter(I:I,J:J=P82,G:G=O82)"),"Pileru")</f>
        <v>Pileru</v>
      </c>
      <c r="R82" s="138" t="s">
        <v>8418</v>
      </c>
    </row>
    <row r="83" spans="7:23">
      <c r="G83" s="138" t="s">
        <v>8258</v>
      </c>
      <c r="H83" s="138" t="s">
        <v>8409</v>
      </c>
      <c r="I83" s="138" t="s">
        <v>8401</v>
      </c>
      <c r="J83" s="138" t="s">
        <v>8401</v>
      </c>
      <c r="K83" s="138" t="str">
        <f ca="1">IFERROR(__xludf.DUMMYFUNCTION("unique(filter(R:R,R:R=I83))"),"Thamballapalle")</f>
        <v>Thamballapalle</v>
      </c>
      <c r="N83" s="138" t="str">
        <f ca="1">IFERROR(__xludf.DUMMYFUNCTION("unique(filter(W:W,U:U=R83))"),"Chittoor")</f>
        <v>Chittoor</v>
      </c>
      <c r="O83" s="138" t="s">
        <v>8399</v>
      </c>
      <c r="P83" s="138" t="s">
        <v>8433</v>
      </c>
      <c r="Q83" s="138" t="str">
        <f ca="1">IFERROR(__xludf.DUMMYFUNCTION("filter(I:I,J:J=P83,G:G=O83)"),"Kuppam")</f>
        <v>Kuppam</v>
      </c>
      <c r="R83" s="138" t="s">
        <v>8259</v>
      </c>
      <c r="U83" s="138" t="s">
        <v>8401</v>
      </c>
      <c r="V83" s="138" t="s">
        <v>8431</v>
      </c>
      <c r="W83" s="138" t="str">
        <f ca="1">IFERROR(__xludf.DUMMYFUNCTION("filter(H:H,I:I=U83,J:J=V83)"),"Annamayya")</f>
        <v>Annamayya</v>
      </c>
    </row>
    <row r="84" spans="7:23">
      <c r="G84" s="138" t="s">
        <v>8258</v>
      </c>
      <c r="H84" s="138" t="s">
        <v>8409</v>
      </c>
      <c r="I84" s="138" t="s">
        <v>8401</v>
      </c>
      <c r="J84" s="138" t="s">
        <v>8434</v>
      </c>
      <c r="K84" s="138" t="str">
        <f ca="1">IFERROR(__xludf.DUMMYFUNCTION("unique(filter(R:R,R:R=I84))"),"Thamballapalle")</f>
        <v>Thamballapalle</v>
      </c>
      <c r="N84" s="138" t="str">
        <f ca="1">IFERROR(__xludf.DUMMYFUNCTION("unique(filter(W:W,U:U=R84))"),"Annamayya")</f>
        <v>Annamayya</v>
      </c>
      <c r="O84" s="138" t="s">
        <v>8399</v>
      </c>
      <c r="P84" s="138" t="s">
        <v>8435</v>
      </c>
      <c r="Q84" s="138" t="str">
        <f ca="1">IFERROR(__xludf.DUMMYFUNCTION("filter(I:I,J:J=P84,G:G=O84)"),"Thamballapalle")</f>
        <v>Thamballapalle</v>
      </c>
      <c r="R84" s="138" t="s">
        <v>8401</v>
      </c>
      <c r="U84" s="138" t="s">
        <v>8401</v>
      </c>
      <c r="V84" s="138" t="s">
        <v>8401</v>
      </c>
      <c r="W84" s="138" t="str">
        <f ca="1">IFERROR(__xludf.DUMMYFUNCTION("filter(H:H,I:I=U84,J:J=V84)"),"Annamayya")</f>
        <v>Annamayya</v>
      </c>
    </row>
    <row r="85" spans="7:23">
      <c r="G85" s="138" t="s">
        <v>8258</v>
      </c>
      <c r="H85" s="138" t="s">
        <v>8409</v>
      </c>
      <c r="I85" s="138" t="s">
        <v>8401</v>
      </c>
      <c r="J85" s="138" t="s">
        <v>8436</v>
      </c>
      <c r="K85" s="138" t="str">
        <f ca="1">IFERROR(__xludf.DUMMYFUNCTION("unique(filter(R:R,R:R=I85))"),"Thamballapalle")</f>
        <v>Thamballapalle</v>
      </c>
      <c r="N85" s="138" t="str">
        <f ca="1">IFERROR(__xludf.DUMMYFUNCTION("unique(filter(W:W,U:U=R85))"),"Annamayya")</f>
        <v>Annamayya</v>
      </c>
      <c r="O85" s="138" t="s">
        <v>8399</v>
      </c>
      <c r="P85" s="138" t="s">
        <v>8437</v>
      </c>
      <c r="Q85" s="138" t="str">
        <f ca="1">IFERROR(__xludf.DUMMYFUNCTION("filter(I:I,J:J=P85,G:G=O85)"),"Madanapalle")</f>
        <v>Madanapalle</v>
      </c>
      <c r="R85" s="138" t="s">
        <v>8410</v>
      </c>
      <c r="U85" s="138" t="s">
        <v>8401</v>
      </c>
      <c r="V85" s="138" t="s">
        <v>8434</v>
      </c>
      <c r="W85" s="138" t="str">
        <f ca="1">IFERROR(__xludf.DUMMYFUNCTION("filter(H:H,I:I=U85,J:J=V85)"),"Annamayya")</f>
        <v>Annamayya</v>
      </c>
    </row>
    <row r="86" spans="7:23">
      <c r="G86" s="138" t="s">
        <v>8258</v>
      </c>
      <c r="H86" s="138" t="s">
        <v>8409</v>
      </c>
      <c r="I86" s="138" t="s">
        <v>8401</v>
      </c>
      <c r="J86" s="138" t="s">
        <v>8438</v>
      </c>
      <c r="K86" s="138" t="str">
        <f ca="1">IFERROR(__xludf.DUMMYFUNCTION("unique(filter(R:R,R:R=I86))"),"Thamballapalle")</f>
        <v>Thamballapalle</v>
      </c>
      <c r="N86" s="138" t="str">
        <f ca="1">IFERROR(__xludf.DUMMYFUNCTION("unique(filter(W:W,U:U=R86))"),"Annamayya")</f>
        <v>Annamayya</v>
      </c>
      <c r="O86" s="138" t="s">
        <v>8399</v>
      </c>
      <c r="P86" s="138" t="s">
        <v>8439</v>
      </c>
      <c r="Q86" s="138" t="str">
        <f ca="1">IFERROR(__xludf.DUMMYFUNCTION("filter(I:I,J:J=P86,G:G=O86)"),"Thamballapalle")</f>
        <v>Thamballapalle</v>
      </c>
      <c r="R86" s="138" t="s">
        <v>8401</v>
      </c>
      <c r="U86" s="138" t="s">
        <v>8401</v>
      </c>
      <c r="V86" s="138" t="s">
        <v>8436</v>
      </c>
      <c r="W86" s="138" t="str">
        <f ca="1">IFERROR(__xludf.DUMMYFUNCTION("filter(H:H,I:I=U86,J:J=V86)"),"Annamayya")</f>
        <v>Annamayya</v>
      </c>
    </row>
    <row r="87" spans="7:23">
      <c r="G87" s="138" t="s">
        <v>8258</v>
      </c>
      <c r="H87" s="138" t="s">
        <v>8409</v>
      </c>
      <c r="I87" s="138" t="s">
        <v>8401</v>
      </c>
      <c r="J87" s="138" t="s">
        <v>8440</v>
      </c>
      <c r="K87" s="138" t="str">
        <f ca="1">IFERROR(__xludf.DUMMYFUNCTION("unique(filter(R:R,R:R=I87))"),"Thamballapalle")</f>
        <v>Thamballapalle</v>
      </c>
      <c r="N87" s="138" t="str">
        <f ca="1">IFERROR(__xludf.DUMMYFUNCTION("unique(filter(W:W,U:U=R87))"),"Tirupati")</f>
        <v>Tirupati</v>
      </c>
      <c r="O87" s="138" t="s">
        <v>8399</v>
      </c>
      <c r="P87" s="138" t="s">
        <v>8441</v>
      </c>
      <c r="Q87" s="138" t="str">
        <f ca="1">IFERROR(__xludf.DUMMYFUNCTION("filter(I:I,J:J=P87,G:G=O87)"),"Satyavedu (Sc)")</f>
        <v>Satyavedu (Sc)</v>
      </c>
      <c r="R87" s="138" t="s">
        <v>8348</v>
      </c>
      <c r="U87" s="138" t="s">
        <v>8401</v>
      </c>
      <c r="V87" s="138" t="s">
        <v>8438</v>
      </c>
      <c r="W87" s="138" t="str">
        <f ca="1">IFERROR(__xludf.DUMMYFUNCTION("filter(H:H,I:I=U87,J:J=V87)"),"Annamayya")</f>
        <v>Annamayya</v>
      </c>
    </row>
    <row r="88" spans="7:23">
      <c r="G88" s="138" t="e">
        <v>#N/A</v>
      </c>
      <c r="H88" s="138" t="e">
        <v>#N/A</v>
      </c>
      <c r="I88" s="138" t="s">
        <v>8401</v>
      </c>
      <c r="J88" s="138" t="e">
        <v>#N/A</v>
      </c>
      <c r="K88" s="138" t="str">
        <f ca="1">IFERROR(__xludf.DUMMYFUNCTION("unique(filter(R:R,R:R=I88))"),"Thamballapalle")</f>
        <v>Thamballapalle</v>
      </c>
      <c r="N88" s="138" t="str">
        <f ca="1">IFERROR(__xludf.DUMMYFUNCTION("unique(filter(W:W,U:U=R88))"),"Chittoor")</f>
        <v>Chittoor</v>
      </c>
      <c r="O88" s="138" t="s">
        <v>8399</v>
      </c>
      <c r="P88" s="138" t="s">
        <v>8442</v>
      </c>
      <c r="Q88" s="138" t="str">
        <f ca="1">IFERROR(__xludf.DUMMYFUNCTION("filter(I:I,J:J=P88,G:G=O88)"),"Nagari")</f>
        <v>Nagari</v>
      </c>
      <c r="R88" s="138" t="s">
        <v>8333</v>
      </c>
      <c r="U88" s="138" t="s">
        <v>8401</v>
      </c>
      <c r="V88" s="138" t="s">
        <v>8440</v>
      </c>
      <c r="W88" s="138" t="str">
        <f ca="1">IFERROR(__xludf.DUMMYFUNCTION("filter(H:H,I:I=U88,J:J=V88)"),"Annamayya")</f>
        <v>Annamayya</v>
      </c>
    </row>
    <row r="89" spans="7:23">
      <c r="G89" s="138" t="s">
        <v>8443</v>
      </c>
      <c r="H89" s="138" t="s">
        <v>8444</v>
      </c>
      <c r="I89" s="138" t="s">
        <v>8302</v>
      </c>
      <c r="J89" s="138" t="s">
        <v>8445</v>
      </c>
      <c r="K89" s="138" t="str">
        <f ca="1">IFERROR(__xludf.DUMMYFUNCTION("unique(filter(R:R,R:R=I89))"),"Kadiri")</f>
        <v>Kadiri</v>
      </c>
      <c r="N89" s="138" t="str">
        <f ca="1">IFERROR(__xludf.DUMMYFUNCTION("unique(filter(W:W,U:U=R89))"),"Tirupati")</f>
        <v>Tirupati</v>
      </c>
      <c r="O89" s="138" t="s">
        <v>8399</v>
      </c>
      <c r="P89" s="138" t="s">
        <v>8446</v>
      </c>
      <c r="Q89" s="138" t="str">
        <f ca="1">IFERROR(__xludf.DUMMYFUNCTION("filter(I:I,J:J=P89,G:G=O89)"),"Satyavedu (Sc)")</f>
        <v>Satyavedu (Sc)</v>
      </c>
      <c r="R89" s="138" t="s">
        <v>8348</v>
      </c>
    </row>
    <row r="90" spans="7:23">
      <c r="G90" s="138" t="s">
        <v>8443</v>
      </c>
      <c r="H90" s="138" t="s">
        <v>8444</v>
      </c>
      <c r="I90" s="138" t="s">
        <v>8302</v>
      </c>
      <c r="J90" s="138" t="s">
        <v>8302</v>
      </c>
      <c r="K90" s="138" t="str">
        <f ca="1">IFERROR(__xludf.DUMMYFUNCTION("unique(filter(R:R,R:R=I90))"),"Kadiri")</f>
        <v>Kadiri</v>
      </c>
      <c r="N90" s="138" t="str">
        <f ca="1">IFERROR(__xludf.DUMMYFUNCTION("unique(filter(W:W,U:U=R90))"),"Annamayya")</f>
        <v>Annamayya</v>
      </c>
      <c r="O90" s="138" t="s">
        <v>8399</v>
      </c>
      <c r="P90" s="138" t="s">
        <v>8447</v>
      </c>
      <c r="Q90" s="138" t="str">
        <f ca="1">IFERROR(__xludf.DUMMYFUNCTION("filter(I:I,J:J=P90,G:G=O90)"),"Madanapalle")</f>
        <v>Madanapalle</v>
      </c>
      <c r="R90" s="138" t="s">
        <v>8410</v>
      </c>
      <c r="U90" s="138" t="s">
        <v>8302</v>
      </c>
      <c r="V90" s="138" t="s">
        <v>8445</v>
      </c>
      <c r="W90" s="138" t="str">
        <f ca="1">IFERROR(__xludf.DUMMYFUNCTION("filter(H:H,I:I=U90,J:J=V90)"),"Sri Sathya Sai")</f>
        <v>Sri Sathya Sai</v>
      </c>
    </row>
    <row r="91" spans="7:23">
      <c r="G91" s="138" t="s">
        <v>8443</v>
      </c>
      <c r="H91" s="138" t="s">
        <v>8444</v>
      </c>
      <c r="I91" s="138" t="s">
        <v>8302</v>
      </c>
      <c r="J91" s="138" t="s">
        <v>8448</v>
      </c>
      <c r="K91" s="138" t="str">
        <f ca="1">IFERROR(__xludf.DUMMYFUNCTION("unique(filter(R:R,R:R=I91))"),"Kadiri")</f>
        <v>Kadiri</v>
      </c>
      <c r="N91" s="138" t="str">
        <f ca="1">IFERROR(__xludf.DUMMYFUNCTION("unique(filter(W:W,U:U=R91))"),"Chittoor")</f>
        <v>Chittoor</v>
      </c>
      <c r="O91" s="138" t="s">
        <v>8399</v>
      </c>
      <c r="P91" s="138" t="s">
        <v>8449</v>
      </c>
      <c r="Q91" s="138" t="str">
        <f ca="1">IFERROR(__xludf.DUMMYFUNCTION("filter(I:I,J:J=P91,G:G=O91)"),"Nagari")</f>
        <v>Nagari</v>
      </c>
      <c r="R91" s="138" t="s">
        <v>8333</v>
      </c>
      <c r="U91" s="138" t="s">
        <v>8302</v>
      </c>
      <c r="V91" s="138" t="s">
        <v>8302</v>
      </c>
      <c r="W91" s="138" t="str">
        <f ca="1">IFERROR(__xludf.DUMMYFUNCTION("filter(H:H,I:I=U91,J:J=V91)"),"Sri Sathya Sai")</f>
        <v>Sri Sathya Sai</v>
      </c>
    </row>
    <row r="92" spans="7:23">
      <c r="G92" s="138" t="s">
        <v>8443</v>
      </c>
      <c r="H92" s="138" t="s">
        <v>8444</v>
      </c>
      <c r="I92" s="138" t="s">
        <v>8302</v>
      </c>
      <c r="J92" s="138" t="s">
        <v>8450</v>
      </c>
      <c r="K92" s="138" t="str">
        <f ca="1">IFERROR(__xludf.DUMMYFUNCTION("unique(filter(R:R,R:R=I92))"),"Kadiri")</f>
        <v>Kadiri</v>
      </c>
      <c r="N92" s="138" t="str">
        <f ca="1">IFERROR(__xludf.DUMMYFUNCTION("unique(filter(W:W,U:U=R92))"),"Tirupati")</f>
        <v>Tirupati</v>
      </c>
      <c r="O92" s="138" t="s">
        <v>8399</v>
      </c>
      <c r="P92" s="138" t="s">
        <v>8451</v>
      </c>
      <c r="Q92" s="138" t="str">
        <f ca="1">IFERROR(__xludf.DUMMYFUNCTION("filter(I:I,J:J=P92,G:G=O92)"),"Chandragiri")</f>
        <v>Chandragiri</v>
      </c>
      <c r="R92" s="138" t="s">
        <v>8378</v>
      </c>
      <c r="U92" s="138" t="s">
        <v>8302</v>
      </c>
      <c r="V92" s="138" t="s">
        <v>8448</v>
      </c>
      <c r="W92" s="138" t="str">
        <f ca="1">IFERROR(__xludf.DUMMYFUNCTION("filter(H:H,I:I=U92,J:J=V92)"),"Sri Sathya Sai")</f>
        <v>Sri Sathya Sai</v>
      </c>
    </row>
    <row r="93" spans="7:23">
      <c r="G93" s="138" t="s">
        <v>8443</v>
      </c>
      <c r="H93" s="138" t="s">
        <v>8444</v>
      </c>
      <c r="I93" s="138" t="s">
        <v>8302</v>
      </c>
      <c r="J93" s="138" t="s">
        <v>8452</v>
      </c>
      <c r="K93" s="138" t="str">
        <f ca="1">IFERROR(__xludf.DUMMYFUNCTION("unique(filter(R:R,R:R=I93))"),"Kadiri")</f>
        <v>Kadiri</v>
      </c>
      <c r="N93" s="138" t="str">
        <f ca="1">IFERROR(__xludf.DUMMYFUNCTION("unique(filter(W:W,U:U=R93))"),"Chittoor")</f>
        <v>Chittoor</v>
      </c>
      <c r="O93" s="138" t="s">
        <v>8399</v>
      </c>
      <c r="P93" s="138" t="s">
        <v>8453</v>
      </c>
      <c r="Q93" s="138" t="str">
        <f ca="1">IFERROR(__xludf.DUMMYFUNCTION("filter(I:I,J:J=P93,G:G=O93)"),"Palamaner")</f>
        <v>Palamaner</v>
      </c>
      <c r="R93" s="138" t="s">
        <v>8277</v>
      </c>
      <c r="U93" s="138" t="s">
        <v>8302</v>
      </c>
      <c r="V93" s="138" t="s">
        <v>8450</v>
      </c>
      <c r="W93" s="138" t="str">
        <f ca="1">IFERROR(__xludf.DUMMYFUNCTION("filter(H:H,I:I=U93,J:J=V93)"),"Sri Sathya Sai")</f>
        <v>Sri Sathya Sai</v>
      </c>
    </row>
    <row r="94" spans="7:23">
      <c r="G94" s="138" t="s">
        <v>8443</v>
      </c>
      <c r="H94" s="138" t="s">
        <v>8444</v>
      </c>
      <c r="I94" s="138" t="s">
        <v>8302</v>
      </c>
      <c r="J94" s="138" t="s">
        <v>8454</v>
      </c>
      <c r="K94" s="138" t="str">
        <f ca="1">IFERROR(__xludf.DUMMYFUNCTION("unique(filter(R:R,R:R=I94))"),"Kadiri")</f>
        <v>Kadiri</v>
      </c>
      <c r="N94" s="138" t="str">
        <f ca="1">IFERROR(__xludf.DUMMYFUNCTION("unique(filter(W:W,U:U=R94))"),"Chittoor")</f>
        <v>Chittoor</v>
      </c>
      <c r="O94" s="138" t="s">
        <v>8399</v>
      </c>
      <c r="P94" s="138" t="s">
        <v>8455</v>
      </c>
      <c r="Q94" s="138" t="str">
        <f ca="1">IFERROR(__xludf.DUMMYFUNCTION("filter(I:I,J:J=P94,G:G=O94)"),"Gangadhara Nellore (Sc)")</f>
        <v>Gangadhara Nellore (Sc)</v>
      </c>
      <c r="R94" s="138" t="s">
        <v>8319</v>
      </c>
      <c r="U94" s="138" t="s">
        <v>8302</v>
      </c>
      <c r="V94" s="138" t="s">
        <v>8452</v>
      </c>
      <c r="W94" s="138" t="str">
        <f ca="1">IFERROR(__xludf.DUMMYFUNCTION("filter(H:H,I:I=U94,J:J=V94)"),"Sri Sathya Sai")</f>
        <v>Sri Sathya Sai</v>
      </c>
    </row>
    <row r="95" spans="7:23">
      <c r="G95" s="138" t="s">
        <v>8443</v>
      </c>
      <c r="H95" s="138" t="s">
        <v>8444</v>
      </c>
      <c r="I95" s="138" t="s">
        <v>8302</v>
      </c>
      <c r="J95" s="138" t="s">
        <v>8456</v>
      </c>
      <c r="K95" s="138" t="str">
        <f ca="1">IFERROR(__xludf.DUMMYFUNCTION("unique(filter(R:R,R:R=I95))"),"Kadiri")</f>
        <v>Kadiri</v>
      </c>
      <c r="N95" s="138" t="str">
        <f ca="1">IFERROR(__xludf.DUMMYFUNCTION("unique(filter(W:W,U:U=R95))"),"Annamayya")</f>
        <v>Annamayya</v>
      </c>
      <c r="O95" s="138" t="s">
        <v>8399</v>
      </c>
      <c r="P95" s="138" t="s">
        <v>8457</v>
      </c>
      <c r="Q95" s="138" t="str">
        <f ca="1">IFERROR(__xludf.DUMMYFUNCTION("filter(I:I,J:J=P95,G:G=O95)"),"Thamballapalle")</f>
        <v>Thamballapalle</v>
      </c>
      <c r="R95" s="138" t="s">
        <v>8401</v>
      </c>
      <c r="U95" s="138" t="s">
        <v>8302</v>
      </c>
      <c r="V95" s="138" t="s">
        <v>8454</v>
      </c>
      <c r="W95" s="138" t="str">
        <f ca="1">IFERROR(__xludf.DUMMYFUNCTION("filter(H:H,I:I=U95,J:J=V95)"),"Sri Sathya Sai")</f>
        <v>Sri Sathya Sai</v>
      </c>
    </row>
    <row r="96" spans="7:23">
      <c r="G96" s="138" t="s">
        <v>8443</v>
      </c>
      <c r="H96" s="138" t="s">
        <v>8444</v>
      </c>
      <c r="I96" s="138" t="s">
        <v>550</v>
      </c>
      <c r="J96" s="138" t="s">
        <v>8458</v>
      </c>
      <c r="K96" s="138" t="str">
        <f ca="1">IFERROR(__xludf.DUMMYFUNCTION("unique(filter(R:R,R:R=I96))"),"Dharmavaram")</f>
        <v>Dharmavaram</v>
      </c>
      <c r="N96" s="138" t="str">
        <f ca="1">IFERROR(__xludf.DUMMYFUNCTION("unique(filter(W:W,U:U=R96))"),"Annamayya")</f>
        <v>Annamayya</v>
      </c>
      <c r="O96" s="138" t="s">
        <v>8399</v>
      </c>
      <c r="P96" s="138" t="s">
        <v>8459</v>
      </c>
      <c r="Q96" s="138" t="str">
        <f ca="1">IFERROR(__xludf.DUMMYFUNCTION("filter(I:I,J:J=P96,G:G=O96)"),"Thamballapalle")</f>
        <v>Thamballapalle</v>
      </c>
      <c r="R96" s="138" t="s">
        <v>8401</v>
      </c>
      <c r="U96" s="138" t="s">
        <v>8302</v>
      </c>
      <c r="V96" s="138" t="s">
        <v>8456</v>
      </c>
      <c r="W96" s="138" t="str">
        <f ca="1">IFERROR(__xludf.DUMMYFUNCTION("filter(H:H,I:I=U96,J:J=V96)"),"Sri Sathya Sai")</f>
        <v>Sri Sathya Sai</v>
      </c>
    </row>
    <row r="97" spans="7:23">
      <c r="G97" s="138" t="s">
        <v>8443</v>
      </c>
      <c r="H97" s="138" t="s">
        <v>8444</v>
      </c>
      <c r="I97" s="138" t="s">
        <v>550</v>
      </c>
      <c r="J97" s="138" t="s">
        <v>8460</v>
      </c>
      <c r="K97" s="138" t="str">
        <f ca="1">IFERROR(__xludf.DUMMYFUNCTION("unique(filter(R:R,R:R=I97))"),"Dharmavaram")</f>
        <v>Dharmavaram</v>
      </c>
      <c r="N97" s="138" t="str">
        <f ca="1">IFERROR(__xludf.DUMMYFUNCTION("unique(filter(W:W,U:U=R97))"),"Chittoor")</f>
        <v>Chittoor</v>
      </c>
      <c r="O97" s="138" t="s">
        <v>8399</v>
      </c>
      <c r="P97" s="138" t="s">
        <v>8461</v>
      </c>
      <c r="Q97" s="138" t="str">
        <f ca="1">IFERROR(__xludf.DUMMYFUNCTION("filter(I:I,J:J=P97,G:G=O97)"),"Palamaner")</f>
        <v>Palamaner</v>
      </c>
      <c r="R97" s="138" t="s">
        <v>8277</v>
      </c>
      <c r="U97" s="138" t="s">
        <v>550</v>
      </c>
      <c r="V97" s="138" t="s">
        <v>8458</v>
      </c>
      <c r="W97" s="138" t="str">
        <f ca="1">IFERROR(__xludf.DUMMYFUNCTION("filter(H:H,I:I=U97,J:J=V97)"),"Sri Sathya Sai")</f>
        <v>Sri Sathya Sai</v>
      </c>
    </row>
    <row r="98" spans="7:23">
      <c r="G98" s="138" t="s">
        <v>8443</v>
      </c>
      <c r="H98" s="138" t="s">
        <v>8444</v>
      </c>
      <c r="I98" s="138" t="s">
        <v>550</v>
      </c>
      <c r="J98" s="138" t="s">
        <v>8462</v>
      </c>
      <c r="K98" s="138" t="str">
        <f ca="1">IFERROR(__xludf.DUMMYFUNCTION("unique(filter(R:R,R:R=I98))"),"Dharmavaram")</f>
        <v>Dharmavaram</v>
      </c>
      <c r="N98" s="138" t="str">
        <f ca="1">IFERROR(__xludf.DUMMYFUNCTION("unique(filter(W:W,U:U=R98))"),"Chittoor")</f>
        <v>Chittoor</v>
      </c>
      <c r="O98" s="138" t="s">
        <v>8399</v>
      </c>
      <c r="P98" s="138" t="s">
        <v>8463</v>
      </c>
      <c r="Q98" s="138" t="str">
        <f ca="1">IFERROR(__xludf.DUMMYFUNCTION("filter(I:I,J:J=P98,G:G=O98)"),"Gangadhara Nellore (Sc)")</f>
        <v>Gangadhara Nellore (Sc)</v>
      </c>
      <c r="R98" s="138" t="s">
        <v>8319</v>
      </c>
      <c r="U98" s="138" t="s">
        <v>550</v>
      </c>
      <c r="V98" s="138" t="s">
        <v>8460</v>
      </c>
      <c r="W98" s="138" t="str">
        <f ca="1">IFERROR(__xludf.DUMMYFUNCTION("filter(H:H,I:I=U98,J:J=V98)"),"Sri Sathya Sai")</f>
        <v>Sri Sathya Sai</v>
      </c>
    </row>
    <row r="99" spans="7:23">
      <c r="G99" s="138" t="s">
        <v>8443</v>
      </c>
      <c r="H99" s="138" t="s">
        <v>8444</v>
      </c>
      <c r="I99" s="138" t="s">
        <v>550</v>
      </c>
      <c r="J99" s="138" t="s">
        <v>550</v>
      </c>
      <c r="K99" s="138" t="str">
        <f ca="1">IFERROR(__xludf.DUMMYFUNCTION("unique(filter(R:R,R:R=I99))"),"Dharmavaram")</f>
        <v>Dharmavaram</v>
      </c>
      <c r="N99" s="138" t="str">
        <f ca="1">IFERROR(__xludf.DUMMYFUNCTION("unique(filter(W:W,U:U=R99))"),"Tirupati")</f>
        <v>Tirupati</v>
      </c>
      <c r="O99" s="138" t="s">
        <v>8399</v>
      </c>
      <c r="P99" s="138" t="s">
        <v>8464</v>
      </c>
      <c r="Q99" s="138" t="str">
        <f ca="1">IFERROR(__xludf.DUMMYFUNCTION("filter(I:I,J:J=P99,G:G=O99)"),"Satyavedu (Sc)")</f>
        <v>Satyavedu (Sc)</v>
      </c>
      <c r="R99" s="138" t="s">
        <v>8348</v>
      </c>
      <c r="U99" s="138" t="s">
        <v>550</v>
      </c>
      <c r="V99" s="138" t="s">
        <v>8462</v>
      </c>
      <c r="W99" s="138" t="str">
        <f ca="1">IFERROR(__xludf.DUMMYFUNCTION("filter(H:H,I:I=U99,J:J=V99)"),"Sri Sathya Sai")</f>
        <v>Sri Sathya Sai</v>
      </c>
    </row>
    <row r="100" spans="7:23">
      <c r="G100" s="138" t="s">
        <v>8443</v>
      </c>
      <c r="H100" s="138" t="s">
        <v>8444</v>
      </c>
      <c r="I100" s="138" t="s">
        <v>550</v>
      </c>
      <c r="J100" s="138" t="s">
        <v>8465</v>
      </c>
      <c r="K100" s="138" t="str">
        <f ca="1">IFERROR(__xludf.DUMMYFUNCTION("unique(filter(R:R,R:R=I100))"),"Dharmavaram")</f>
        <v>Dharmavaram</v>
      </c>
      <c r="N100" s="138" t="str">
        <f ca="1">IFERROR(__xludf.DUMMYFUNCTION("unique(filter(W:W,U:U=R100))"),"Annamayya")</f>
        <v>Annamayya</v>
      </c>
      <c r="O100" s="138" t="s">
        <v>8399</v>
      </c>
      <c r="P100" s="138" t="s">
        <v>8466</v>
      </c>
      <c r="Q100" s="138" t="str">
        <f ca="1">IFERROR(__xludf.DUMMYFUNCTION("filter(I:I,J:J=P100,G:G=O100)"),"Pileru")</f>
        <v>Pileru</v>
      </c>
      <c r="R100" s="138" t="s">
        <v>8418</v>
      </c>
      <c r="U100" s="138" t="s">
        <v>550</v>
      </c>
      <c r="V100" s="138" t="s">
        <v>550</v>
      </c>
      <c r="W100" s="138" t="str">
        <f ca="1">IFERROR(__xludf.DUMMYFUNCTION("filter(H:H,I:I=U100,J:J=V100)"),"Sri Sathya Sai")</f>
        <v>Sri Sathya Sai</v>
      </c>
    </row>
    <row r="101" spans="7:23">
      <c r="G101" s="138" t="s">
        <v>8443</v>
      </c>
      <c r="H101" s="138" t="s">
        <v>8444</v>
      </c>
      <c r="I101" s="138" t="s">
        <v>8266</v>
      </c>
      <c r="J101" s="138" t="s">
        <v>8467</v>
      </c>
      <c r="K101" s="138" t="str">
        <f ca="1">IFERROR(__xludf.DUMMYFUNCTION("unique(filter(R:R,R:R=I101))"),"Puttaparthi")</f>
        <v>Puttaparthi</v>
      </c>
      <c r="N101" s="138" t="str">
        <f ca="1">IFERROR(__xludf.DUMMYFUNCTION("unique(filter(W:W,U:U=R101))"),"Chittoor")</f>
        <v>Chittoor</v>
      </c>
      <c r="O101" s="138" t="s">
        <v>8399</v>
      </c>
      <c r="P101" s="138" t="s">
        <v>8468</v>
      </c>
      <c r="Q101" s="138" t="str">
        <f ca="1">IFERROR(__xludf.DUMMYFUNCTION("filter(I:I,J:J=P101,G:G=O101)"),"Punganur")</f>
        <v>Punganur</v>
      </c>
      <c r="R101" s="138" t="s">
        <v>8392</v>
      </c>
      <c r="U101" s="138" t="s">
        <v>550</v>
      </c>
      <c r="V101" s="138" t="s">
        <v>8465</v>
      </c>
      <c r="W101" s="138" t="str">
        <f ca="1">IFERROR(__xludf.DUMMYFUNCTION("filter(H:H,I:I=U101,J:J=V101)"),"Sri Sathya Sai")</f>
        <v>Sri Sathya Sai</v>
      </c>
    </row>
    <row r="102" spans="7:23">
      <c r="G102" s="138" t="s">
        <v>8443</v>
      </c>
      <c r="H102" s="138" t="s">
        <v>8444</v>
      </c>
      <c r="I102" s="138" t="s">
        <v>8266</v>
      </c>
      <c r="J102" s="138" t="s">
        <v>8469</v>
      </c>
      <c r="K102" s="138" t="str">
        <f ca="1">IFERROR(__xludf.DUMMYFUNCTION("unique(filter(R:R,R:R=I102))"),"Puttaparthi")</f>
        <v>Puttaparthi</v>
      </c>
      <c r="N102" s="138" t="str">
        <f ca="1">IFERROR(__xludf.DUMMYFUNCTION("unique(filter(W:W,U:U=R102))"),"Chittoor")</f>
        <v>Chittoor</v>
      </c>
      <c r="O102" s="138" t="s">
        <v>8399</v>
      </c>
      <c r="P102" s="138" t="s">
        <v>8470</v>
      </c>
      <c r="Q102" s="138" t="str">
        <f ca="1">IFERROR(__xludf.DUMMYFUNCTION("filter(I:I,J:J=P102,G:G=O102)"),"Punganur")</f>
        <v>Punganur</v>
      </c>
      <c r="R102" s="138" t="s">
        <v>8392</v>
      </c>
      <c r="U102" s="138" t="s">
        <v>8266</v>
      </c>
      <c r="V102" s="138" t="s">
        <v>8467</v>
      </c>
      <c r="W102" s="138" t="str">
        <f ca="1">IFERROR(__xludf.DUMMYFUNCTION("filter(H:H,I:I=U102,J:J=V102)"),"Sri Sathya Sai")</f>
        <v>Sri Sathya Sai</v>
      </c>
    </row>
    <row r="103" spans="7:23">
      <c r="G103" s="138" t="s">
        <v>8443</v>
      </c>
      <c r="H103" s="138" t="s">
        <v>8444</v>
      </c>
      <c r="I103" s="138" t="s">
        <v>8266</v>
      </c>
      <c r="J103" s="138" t="s">
        <v>8266</v>
      </c>
      <c r="K103" s="138" t="str">
        <f ca="1">IFERROR(__xludf.DUMMYFUNCTION("unique(filter(R:R,R:R=I103))"),"Puttaparthi")</f>
        <v>Puttaparthi</v>
      </c>
      <c r="N103" s="138" t="str">
        <f ca="1">IFERROR(__xludf.DUMMYFUNCTION("unique(filter(W:W,U:U=R103))"),"Chittoor")</f>
        <v>Chittoor</v>
      </c>
      <c r="O103" s="138" t="s">
        <v>8399</v>
      </c>
      <c r="P103" s="138" t="s">
        <v>8471</v>
      </c>
      <c r="Q103" s="138" t="str">
        <f ca="1">IFERROR(__xludf.DUMMYFUNCTION("filter(I:I,J:J=P103,G:G=O103)"),"Puthalapattu (Sc)")</f>
        <v>Puthalapattu (Sc)</v>
      </c>
      <c r="R103" s="138" t="s">
        <v>8293</v>
      </c>
      <c r="U103" s="138" t="s">
        <v>8266</v>
      </c>
      <c r="V103" s="138" t="s">
        <v>8469</v>
      </c>
      <c r="W103" s="138" t="str">
        <f ca="1">IFERROR(__xludf.DUMMYFUNCTION("filter(H:H,I:I=U103,J:J=V103)"),"Sri Sathya Sai")</f>
        <v>Sri Sathya Sai</v>
      </c>
    </row>
    <row r="104" spans="7:23">
      <c r="G104" s="138" t="s">
        <v>8443</v>
      </c>
      <c r="H104" s="138" t="s">
        <v>8444</v>
      </c>
      <c r="I104" s="138" t="s">
        <v>8266</v>
      </c>
      <c r="J104" s="138" t="s">
        <v>8472</v>
      </c>
      <c r="K104" s="138" t="str">
        <f ca="1">IFERROR(__xludf.DUMMYFUNCTION("unique(filter(R:R,R:R=I104))"),"Puttaparthi")</f>
        <v>Puttaparthi</v>
      </c>
      <c r="N104" s="138" t="str">
        <f ca="1">IFERROR(__xludf.DUMMYFUNCTION("unique(filter(W:W,U:U=R104))"),"Chittoor")</f>
        <v>Chittoor</v>
      </c>
      <c r="O104" s="138" t="s">
        <v>8399</v>
      </c>
      <c r="P104" s="138" t="s">
        <v>8473</v>
      </c>
      <c r="Q104" s="138" t="str">
        <f ca="1">IFERROR(__xludf.DUMMYFUNCTION("filter(I:I,J:J=P104,G:G=O104)"),"Nagari")</f>
        <v>Nagari</v>
      </c>
      <c r="R104" s="138" t="s">
        <v>8333</v>
      </c>
      <c r="U104" s="138" t="s">
        <v>8266</v>
      </c>
      <c r="V104" s="138" t="s">
        <v>8266</v>
      </c>
      <c r="W104" s="138" t="str">
        <f ca="1">IFERROR(__xludf.DUMMYFUNCTION("filter(H:H,I:I=U104,J:J=V104)"),"Sri Sathya Sai")</f>
        <v>Sri Sathya Sai</v>
      </c>
    </row>
    <row r="105" spans="7:23">
      <c r="G105" s="138" t="s">
        <v>8443</v>
      </c>
      <c r="H105" s="138" t="s">
        <v>8444</v>
      </c>
      <c r="I105" s="138" t="s">
        <v>8266</v>
      </c>
      <c r="J105" s="138" t="s">
        <v>8474</v>
      </c>
      <c r="K105" s="138" t="str">
        <f ca="1">IFERROR(__xludf.DUMMYFUNCTION("unique(filter(R:R,R:R=I105))"),"Puttaparthi")</f>
        <v>Puttaparthi</v>
      </c>
      <c r="N105" s="138" t="str">
        <f ca="1">IFERROR(__xludf.DUMMYFUNCTION("unique(filter(W:W,U:U=R105))"),"Tirupati")</f>
        <v>Tirupati</v>
      </c>
      <c r="O105" s="138" t="s">
        <v>8399</v>
      </c>
      <c r="P105" s="138" t="s">
        <v>8475</v>
      </c>
      <c r="Q105" s="138" t="str">
        <f ca="1">IFERROR(__xludf.DUMMYFUNCTION("filter(I:I,J:J=P105,G:G=O105)"),"#N/A")</f>
        <v>#N/A</v>
      </c>
      <c r="R105" s="138" t="s">
        <v>8378</v>
      </c>
      <c r="U105" s="138" t="s">
        <v>8266</v>
      </c>
      <c r="V105" s="138" t="s">
        <v>8472</v>
      </c>
      <c r="W105" s="138" t="str">
        <f ca="1">IFERROR(__xludf.DUMMYFUNCTION("filter(H:H,I:I=U105,J:J=V105)"),"Sri Sathya Sai")</f>
        <v>Sri Sathya Sai</v>
      </c>
    </row>
    <row r="106" spans="7:23">
      <c r="G106" s="138" t="s">
        <v>8443</v>
      </c>
      <c r="H106" s="138" t="s">
        <v>8444</v>
      </c>
      <c r="I106" s="138" t="s">
        <v>8266</v>
      </c>
      <c r="J106" s="138" t="s">
        <v>8476</v>
      </c>
      <c r="K106" s="138" t="str">
        <f ca="1">IFERROR(__xludf.DUMMYFUNCTION("unique(filter(R:R,R:R=I106))"),"Puttaparthi")</f>
        <v>Puttaparthi</v>
      </c>
      <c r="N106" s="138" t="str">
        <f ca="1">IFERROR(__xludf.DUMMYFUNCTION("unique(filter(W:W,U:U=R106))"),"Chittoor")</f>
        <v>Chittoor</v>
      </c>
      <c r="O106" s="138" t="s">
        <v>8399</v>
      </c>
      <c r="P106" s="138" t="s">
        <v>8477</v>
      </c>
      <c r="Q106" s="138" t="str">
        <f ca="1">IFERROR(__xludf.DUMMYFUNCTION("filter(I:I,J:J=P106,G:G=O106)"),"Kuppam")</f>
        <v>Kuppam</v>
      </c>
      <c r="R106" s="138" t="s">
        <v>8259</v>
      </c>
      <c r="U106" s="138" t="s">
        <v>8266</v>
      </c>
      <c r="V106" s="138" t="s">
        <v>8474</v>
      </c>
      <c r="W106" s="138" t="str">
        <f ca="1">IFERROR(__xludf.DUMMYFUNCTION("filter(H:H,I:I=U106,J:J=V106)"),"Sri Sathya Sai")</f>
        <v>Sri Sathya Sai</v>
      </c>
    </row>
    <row r="107" spans="7:23">
      <c r="G107" s="138" t="s">
        <v>8443</v>
      </c>
      <c r="H107" s="138" t="s">
        <v>8444</v>
      </c>
      <c r="I107" s="138" t="s">
        <v>8266</v>
      </c>
      <c r="J107" s="138" t="s">
        <v>8478</v>
      </c>
      <c r="K107" s="138" t="str">
        <f ca="1">IFERROR(__xludf.DUMMYFUNCTION("unique(filter(R:R,R:R=I107))"),"Puttaparthi")</f>
        <v>Puttaparthi</v>
      </c>
      <c r="N107" s="138" t="str">
        <f ca="1">IFERROR(__xludf.DUMMYFUNCTION("unique(filter(W:W,U:U=R107))"),"Annamayya")</f>
        <v>Annamayya</v>
      </c>
      <c r="O107" s="138" t="s">
        <v>8399</v>
      </c>
      <c r="P107" s="138" t="s">
        <v>8479</v>
      </c>
      <c r="Q107" s="138" t="str">
        <f ca="1">IFERROR(__xludf.DUMMYFUNCTION("filter(I:I,J:J=P107,G:G=O107)"),"Madanapalle")</f>
        <v>Madanapalle</v>
      </c>
      <c r="R107" s="138" t="s">
        <v>8410</v>
      </c>
      <c r="U107" s="138" t="s">
        <v>8266</v>
      </c>
      <c r="V107" s="138" t="s">
        <v>8476</v>
      </c>
      <c r="W107" s="138" t="str">
        <f ca="1">IFERROR(__xludf.DUMMYFUNCTION("filter(H:H,I:I=U107,J:J=V107)"),"Sri Sathya Sai")</f>
        <v>Sri Sathya Sai</v>
      </c>
    </row>
    <row r="108" spans="7:23">
      <c r="G108" s="138" t="e">
        <v>#N/A</v>
      </c>
      <c r="H108" s="138" t="e">
        <v>#N/A</v>
      </c>
      <c r="I108" s="138" t="s">
        <v>8266</v>
      </c>
      <c r="J108" s="138" t="e">
        <v>#N/A</v>
      </c>
      <c r="K108" s="138" t="str">
        <f ca="1">IFERROR(__xludf.DUMMYFUNCTION("unique(filter(R:R,R:R=I108))"),"Puttaparthi")</f>
        <v>Puttaparthi</v>
      </c>
      <c r="N108" s="138" t="str">
        <f ca="1">IFERROR(__xludf.DUMMYFUNCTION("unique(filter(W:W,U:U=R108))"),"Tirupati")</f>
        <v>Tirupati</v>
      </c>
      <c r="O108" s="138" t="s">
        <v>8399</v>
      </c>
      <c r="P108" s="138" t="s">
        <v>8480</v>
      </c>
      <c r="Q108" s="138" t="str">
        <f ca="1">IFERROR(__xludf.DUMMYFUNCTION("filter(I:I,J:J=P108,G:G=O108)"),"Srikalahasti")</f>
        <v>Srikalahasti</v>
      </c>
      <c r="R108" s="138" t="s">
        <v>8364</v>
      </c>
      <c r="U108" s="138" t="s">
        <v>8266</v>
      </c>
      <c r="V108" s="138" t="s">
        <v>8478</v>
      </c>
      <c r="W108" s="138" t="str">
        <f ca="1">IFERROR(__xludf.DUMMYFUNCTION("filter(H:H,I:I=U108,J:J=V108)"),"Sri Sathya Sai")</f>
        <v>Sri Sathya Sai</v>
      </c>
    </row>
    <row r="109" spans="7:23">
      <c r="G109" s="138" t="s">
        <v>8443</v>
      </c>
      <c r="H109" s="138" t="s">
        <v>8444</v>
      </c>
      <c r="I109" s="138" t="s">
        <v>8311</v>
      </c>
      <c r="J109" s="138" t="s">
        <v>8481</v>
      </c>
      <c r="K109" s="138" t="str">
        <f ca="1">IFERROR(__xludf.DUMMYFUNCTION("unique(filter(R:R,R:R=I109))"),"Penukonda")</f>
        <v>Penukonda</v>
      </c>
      <c r="N109" s="138" t="str">
        <f ca="1">IFERROR(__xludf.DUMMYFUNCTION("unique(filter(W:W,U:U=R109))"),"Chittoor")</f>
        <v>Chittoor</v>
      </c>
      <c r="O109" s="138" t="s">
        <v>8399</v>
      </c>
      <c r="P109" s="138" t="s">
        <v>8482</v>
      </c>
      <c r="Q109" s="138" t="str">
        <f ca="1">IFERROR(__xludf.DUMMYFUNCTION("filter(I:I,J:J=P109,G:G=O109)"),"#N/A")</f>
        <v>#N/A</v>
      </c>
      <c r="R109" s="138" t="s">
        <v>8392</v>
      </c>
    </row>
    <row r="110" spans="7:23">
      <c r="G110" s="138" t="s">
        <v>8443</v>
      </c>
      <c r="H110" s="138" t="s">
        <v>8444</v>
      </c>
      <c r="I110" s="138" t="s">
        <v>8311</v>
      </c>
      <c r="J110" s="138" t="s">
        <v>8483</v>
      </c>
      <c r="K110" s="138" t="str">
        <f ca="1">IFERROR(__xludf.DUMMYFUNCTION("unique(filter(R:R,R:R=I110))"),"Penukonda")</f>
        <v>Penukonda</v>
      </c>
      <c r="N110" s="138" t="str">
        <f ca="1">IFERROR(__xludf.DUMMYFUNCTION("unique(filter(W:W,U:U=R110))"),"Chittoor")</f>
        <v>Chittoor</v>
      </c>
      <c r="O110" s="138" t="s">
        <v>8399</v>
      </c>
      <c r="P110" s="138" t="s">
        <v>8484</v>
      </c>
      <c r="Q110" s="138" t="str">
        <f ca="1">IFERROR(__xludf.DUMMYFUNCTION("filter(I:I,J:J=P110,G:G=O110)"),"Kuppam")</f>
        <v>Kuppam</v>
      </c>
      <c r="R110" s="138" t="s">
        <v>8259</v>
      </c>
      <c r="U110" s="138" t="s">
        <v>8311</v>
      </c>
      <c r="V110" s="138" t="s">
        <v>8481</v>
      </c>
      <c r="W110" s="138" t="str">
        <f ca="1">IFERROR(__xludf.DUMMYFUNCTION("filter(H:H,I:I=U110,J:J=V110)"),"Sri Sathya Sai")</f>
        <v>Sri Sathya Sai</v>
      </c>
    </row>
    <row r="111" spans="7:23">
      <c r="G111" s="138" t="s">
        <v>8443</v>
      </c>
      <c r="H111" s="138" t="s">
        <v>8444</v>
      </c>
      <c r="I111" s="138" t="s">
        <v>8311</v>
      </c>
      <c r="J111" s="138" t="s">
        <v>8485</v>
      </c>
      <c r="K111" s="138" t="str">
        <f ca="1">IFERROR(__xludf.DUMMYFUNCTION("unique(filter(R:R,R:R=I111))"),"Penukonda")</f>
        <v>Penukonda</v>
      </c>
      <c r="N111" s="138" t="str">
        <f ca="1">IFERROR(__xludf.DUMMYFUNCTION("unique(filter(W:W,U:U=R111))"),"Tirupati")</f>
        <v>Tirupati</v>
      </c>
      <c r="O111" s="138" t="s">
        <v>8399</v>
      </c>
      <c r="P111" s="138" t="s">
        <v>8486</v>
      </c>
      <c r="Q111" s="138" t="str">
        <f ca="1">IFERROR(__xludf.DUMMYFUNCTION("filter(I:I,J:J=P111,G:G=O111)"),"Satyavedu (Sc)")</f>
        <v>Satyavedu (Sc)</v>
      </c>
      <c r="R111" s="138" t="s">
        <v>8348</v>
      </c>
      <c r="U111" s="138" t="s">
        <v>8311</v>
      </c>
      <c r="V111" s="138" t="s">
        <v>8483</v>
      </c>
      <c r="W111" s="138" t="str">
        <f ca="1">IFERROR(__xludf.DUMMYFUNCTION("filter(H:H,I:I=U111,J:J=V111)"),"Sri Sathya Sai")</f>
        <v>Sri Sathya Sai</v>
      </c>
    </row>
    <row r="112" spans="7:23">
      <c r="G112" s="138" t="s">
        <v>8443</v>
      </c>
      <c r="H112" s="138" t="s">
        <v>8444</v>
      </c>
      <c r="I112" s="138" t="s">
        <v>8311</v>
      </c>
      <c r="J112" s="138" t="s">
        <v>8311</v>
      </c>
      <c r="K112" s="138" t="str">
        <f ca="1">IFERROR(__xludf.DUMMYFUNCTION("unique(filter(R:R,R:R=I112))"),"Penukonda")</f>
        <v>Penukonda</v>
      </c>
      <c r="N112" s="138" t="str">
        <f ca="1">IFERROR(__xludf.DUMMYFUNCTION("unique(filter(W:W,U:U=R112))"),"Chittoor")</f>
        <v>Chittoor</v>
      </c>
      <c r="O112" s="138" t="s">
        <v>8399</v>
      </c>
      <c r="P112" s="138" t="s">
        <v>8487</v>
      </c>
      <c r="Q112" s="138" t="str">
        <f ca="1">IFERROR(__xludf.DUMMYFUNCTION("filter(I:I,J:J=P112,G:G=O112)"),"Punganur")</f>
        <v>Punganur</v>
      </c>
      <c r="R112" s="138" t="s">
        <v>8392</v>
      </c>
      <c r="U112" s="138" t="s">
        <v>8311</v>
      </c>
      <c r="V112" s="138" t="s">
        <v>8485</v>
      </c>
      <c r="W112" s="138" t="str">
        <f ca="1">IFERROR(__xludf.DUMMYFUNCTION("filter(H:H,I:I=U112,J:J=V112)"),"Sri Sathya Sai")</f>
        <v>Sri Sathya Sai</v>
      </c>
    </row>
    <row r="113" spans="7:23">
      <c r="G113" s="138" t="s">
        <v>8443</v>
      </c>
      <c r="H113" s="138" t="s">
        <v>8444</v>
      </c>
      <c r="I113" s="138" t="s">
        <v>8311</v>
      </c>
      <c r="J113" s="138" t="s">
        <v>8488</v>
      </c>
      <c r="K113" s="138" t="str">
        <f ca="1">IFERROR(__xludf.DUMMYFUNCTION("unique(filter(R:R,R:R=I113))"),"Penukonda")</f>
        <v>Penukonda</v>
      </c>
      <c r="N113" s="138" t="str">
        <f ca="1">IFERROR(__xludf.DUMMYFUNCTION("unique(filter(W:W,U:U=R113))"),"Chittoor")</f>
        <v>Chittoor</v>
      </c>
      <c r="O113" s="138" t="s">
        <v>8399</v>
      </c>
      <c r="P113" s="138" t="s">
        <v>8489</v>
      </c>
      <c r="Q113" s="138" t="str">
        <f ca="1">IFERROR(__xludf.DUMMYFUNCTION("filter(I:I,J:J=P113,G:G=O113)"),"Punganur")</f>
        <v>Punganur</v>
      </c>
      <c r="R113" s="138" t="s">
        <v>8392</v>
      </c>
      <c r="U113" s="138" t="s">
        <v>8311</v>
      </c>
      <c r="V113" s="138" t="s">
        <v>8311</v>
      </c>
      <c r="W113" s="138" t="str">
        <f ca="1">IFERROR(__xludf.DUMMYFUNCTION("filter(H:H,I:I=U113,J:J=V113)"),"Sri Sathya Sai")</f>
        <v>Sri Sathya Sai</v>
      </c>
    </row>
    <row r="114" spans="7:23">
      <c r="G114" s="138" t="s">
        <v>8443</v>
      </c>
      <c r="H114" s="138" t="s">
        <v>8444</v>
      </c>
      <c r="I114" s="138" t="s">
        <v>8311</v>
      </c>
      <c r="J114" s="138" t="s">
        <v>8490</v>
      </c>
      <c r="K114" s="138" t="str">
        <f ca="1">IFERROR(__xludf.DUMMYFUNCTION("unique(filter(R:R,R:R=I114))"),"Penukonda")</f>
        <v>Penukonda</v>
      </c>
      <c r="N114" s="138" t="str">
        <f ca="1">IFERROR(__xludf.DUMMYFUNCTION("unique(filter(W:W,U:U=R114))"),"Tirupati")</f>
        <v>Tirupati</v>
      </c>
      <c r="O114" s="138" t="s">
        <v>8399</v>
      </c>
      <c r="P114" s="138" t="s">
        <v>8491</v>
      </c>
      <c r="Q114" s="138" t="str">
        <f ca="1">IFERROR(__xludf.DUMMYFUNCTION("filter(I:I,J:J=P114,G:G=O114)"),"Srikalahasti")</f>
        <v>Srikalahasti</v>
      </c>
      <c r="R114" s="138" t="s">
        <v>8364</v>
      </c>
      <c r="U114" s="138" t="s">
        <v>8311</v>
      </c>
      <c r="V114" s="138" t="s">
        <v>8488</v>
      </c>
      <c r="W114" s="138" t="str">
        <f ca="1">IFERROR(__xludf.DUMMYFUNCTION("filter(H:H,I:I=U114,J:J=V114)"),"Sri Sathya Sai")</f>
        <v>Sri Sathya Sai</v>
      </c>
    </row>
    <row r="115" spans="7:23">
      <c r="G115" s="138" t="e">
        <v>#N/A</v>
      </c>
      <c r="H115" s="138" t="e">
        <v>#N/A</v>
      </c>
      <c r="I115" s="138" t="s">
        <v>8311</v>
      </c>
      <c r="J115" s="138" t="e">
        <v>#N/A</v>
      </c>
      <c r="K115" s="138" t="str">
        <f ca="1">IFERROR(__xludf.DUMMYFUNCTION("unique(filter(R:R,R:R=I115))"),"Penukonda")</f>
        <v>Penukonda</v>
      </c>
      <c r="N115" s="138" t="str">
        <f ca="1">IFERROR(__xludf.DUMMYFUNCTION("unique(filter(W:W,U:U=R115))"),"Chittoor")</f>
        <v>Chittoor</v>
      </c>
      <c r="O115" s="138" t="s">
        <v>8399</v>
      </c>
      <c r="P115" s="138" t="s">
        <v>8492</v>
      </c>
      <c r="Q115" s="138" t="str">
        <f ca="1">IFERROR(__xludf.DUMMYFUNCTION("filter(I:I,J:J=P115,G:G=O115)"),"Gangadhara Nellore (Sc)")</f>
        <v>Gangadhara Nellore (Sc)</v>
      </c>
      <c r="R115" s="138" t="s">
        <v>8319</v>
      </c>
      <c r="U115" s="138" t="s">
        <v>8311</v>
      </c>
      <c r="V115" s="138" t="s">
        <v>8490</v>
      </c>
      <c r="W115" s="138" t="str">
        <f ca="1">IFERROR(__xludf.DUMMYFUNCTION("filter(H:H,I:I=U115,J:J=V115)"),"Sri Sathya Sai")</f>
        <v>Sri Sathya Sai</v>
      </c>
    </row>
    <row r="116" spans="7:23">
      <c r="G116" s="138" t="s">
        <v>8443</v>
      </c>
      <c r="H116" s="138" t="s">
        <v>8444</v>
      </c>
      <c r="I116" s="138" t="s">
        <v>8296</v>
      </c>
      <c r="J116" s="138" t="s">
        <v>8296</v>
      </c>
      <c r="K116" s="138" t="str">
        <f ca="1">IFERROR(__xludf.DUMMYFUNCTION("unique(filter(R:R,R:R=I116))"),"Hindupur")</f>
        <v>Hindupur</v>
      </c>
      <c r="N116" s="138" t="str">
        <f ca="1">IFERROR(__xludf.DUMMYFUNCTION("unique(filter(W:W,U:U=R116))"),"Annamayya")</f>
        <v>Annamayya</v>
      </c>
      <c r="O116" s="138" t="s">
        <v>8399</v>
      </c>
      <c r="P116" s="138" t="s">
        <v>8493</v>
      </c>
      <c r="Q116" s="138" t="str">
        <f ca="1">IFERROR(__xludf.DUMMYFUNCTION("filter(I:I,J:J=P116,G:G=O116)"),"Thamballapalle")</f>
        <v>Thamballapalle</v>
      </c>
      <c r="R116" s="138" t="s">
        <v>8401</v>
      </c>
    </row>
    <row r="117" spans="7:23">
      <c r="G117" s="138" t="s">
        <v>8443</v>
      </c>
      <c r="H117" s="138" t="s">
        <v>8444</v>
      </c>
      <c r="I117" s="138" t="s">
        <v>8296</v>
      </c>
      <c r="J117" s="138" t="s">
        <v>8494</v>
      </c>
      <c r="K117" s="138" t="str">
        <f ca="1">IFERROR(__xludf.DUMMYFUNCTION("unique(filter(R:R,R:R=I117))"),"Hindupur")</f>
        <v>Hindupur</v>
      </c>
      <c r="N117" s="138" t="str">
        <f ca="1">IFERROR(__xludf.DUMMYFUNCTION("unique(filter(W:W,U:U=R117))"),"Chittoor")</f>
        <v>Chittoor</v>
      </c>
      <c r="O117" s="138" t="s">
        <v>8399</v>
      </c>
      <c r="P117" s="138" t="s">
        <v>8495</v>
      </c>
      <c r="Q117" s="138" t="str">
        <f ca="1">IFERROR(__xludf.DUMMYFUNCTION("filter(I:I,J:J=P117,G:G=O117)"),"Puthalapattu (Sc)")</f>
        <v>Puthalapattu (Sc)</v>
      </c>
      <c r="R117" s="138" t="s">
        <v>8293</v>
      </c>
      <c r="U117" s="138" t="s">
        <v>8296</v>
      </c>
      <c r="V117" s="138" t="s">
        <v>8296</v>
      </c>
      <c r="W117" s="138" t="str">
        <f ca="1">IFERROR(__xludf.DUMMYFUNCTION("filter(H:H,I:I=U117,J:J=V117)"),"Sri Sathya Sai")</f>
        <v>Sri Sathya Sai</v>
      </c>
    </row>
    <row r="118" spans="7:23">
      <c r="G118" s="138" t="s">
        <v>8443</v>
      </c>
      <c r="H118" s="138" t="s">
        <v>8444</v>
      </c>
      <c r="I118" s="138" t="s">
        <v>8296</v>
      </c>
      <c r="J118" s="138" t="s">
        <v>8496</v>
      </c>
      <c r="K118" s="138" t="str">
        <f ca="1">IFERROR(__xludf.DUMMYFUNCTION("unique(filter(R:R,R:R=I118))"),"Hindupur")</f>
        <v>Hindupur</v>
      </c>
      <c r="N118" s="138" t="str">
        <f ca="1">IFERROR(__xludf.DUMMYFUNCTION("unique(filter(W:W,U:U=R118))"),"Tirupati")</f>
        <v>Tirupati</v>
      </c>
      <c r="O118" s="138" t="s">
        <v>8399</v>
      </c>
      <c r="P118" s="138" t="s">
        <v>8497</v>
      </c>
      <c r="Q118" s="138" t="str">
        <f ca="1">IFERROR(__xludf.DUMMYFUNCTION("filter(I:I,J:J=P118,G:G=O118)"),"Srikalahasti")</f>
        <v>Srikalahasti</v>
      </c>
      <c r="R118" s="138" t="s">
        <v>8364</v>
      </c>
      <c r="U118" s="138" t="s">
        <v>8296</v>
      </c>
      <c r="V118" s="138" t="s">
        <v>8494</v>
      </c>
      <c r="W118" s="138" t="str">
        <f ca="1">IFERROR(__xludf.DUMMYFUNCTION("filter(H:H,I:I=U118,J:J=V118)"),"Sri Sathya Sai")</f>
        <v>Sri Sathya Sai</v>
      </c>
    </row>
    <row r="119" spans="7:23">
      <c r="G119" s="138" t="s">
        <v>8443</v>
      </c>
      <c r="H119" s="138" t="s">
        <v>8444</v>
      </c>
      <c r="I119" s="138" t="s">
        <v>8296</v>
      </c>
      <c r="J119" s="138" t="s">
        <v>8498</v>
      </c>
      <c r="K119" s="138" t="str">
        <f ca="1">IFERROR(__xludf.DUMMYFUNCTION("unique(filter(R:R,R:R=I119))"),"Hindupur")</f>
        <v>Hindupur</v>
      </c>
      <c r="N119" s="138" t="str">
        <f ca="1">IFERROR(__xludf.DUMMYFUNCTION("unique(filter(W:W,U:U=R119))"),"Tirupati")</f>
        <v>Tirupati</v>
      </c>
      <c r="O119" s="138" t="s">
        <v>8399</v>
      </c>
      <c r="P119" s="138" t="s">
        <v>8499</v>
      </c>
      <c r="Q119" s="138" t="str">
        <f ca="1">IFERROR(__xludf.DUMMYFUNCTION("filter(I:I,J:J=P119,G:G=O119)"),"Chandragiri")</f>
        <v>Chandragiri</v>
      </c>
      <c r="R119" s="138" t="s">
        <v>8378</v>
      </c>
      <c r="U119" s="138" t="s">
        <v>8296</v>
      </c>
      <c r="V119" s="138" t="s">
        <v>8496</v>
      </c>
      <c r="W119" s="138" t="str">
        <f ca="1">IFERROR(__xludf.DUMMYFUNCTION("filter(H:H,I:I=U119,J:J=V119)"),"Sri Sathya Sai")</f>
        <v>Sri Sathya Sai</v>
      </c>
    </row>
    <row r="120" spans="7:23">
      <c r="G120" s="138" t="s">
        <v>8443</v>
      </c>
      <c r="H120" s="138" t="s">
        <v>8444</v>
      </c>
      <c r="I120" s="138" t="s">
        <v>8263</v>
      </c>
      <c r="J120" s="138" t="s">
        <v>8500</v>
      </c>
      <c r="K120" s="138" t="str">
        <f ca="1">IFERROR(__xludf.DUMMYFUNCTION("unique(filter(R:R,R:R=I120))"),"Madakasira (Sc)")</f>
        <v>Madakasira (Sc)</v>
      </c>
      <c r="N120" s="138" t="str">
        <f ca="1">IFERROR(__xludf.DUMMYFUNCTION("unique(filter(W:W,U:U=R120))"),"Tirupati")</f>
        <v>Tirupati</v>
      </c>
      <c r="O120" s="138" t="s">
        <v>8399</v>
      </c>
      <c r="P120" s="138" t="s">
        <v>8501</v>
      </c>
      <c r="Q120" s="138" t="str">
        <f ca="1">IFERROR(__xludf.DUMMYFUNCTION("filter(I:I,J:J=P120,G:G=O120)"),"Chandragiri")</f>
        <v>Chandragiri</v>
      </c>
      <c r="R120" s="138" t="s">
        <v>8378</v>
      </c>
      <c r="U120" s="138" t="s">
        <v>8296</v>
      </c>
      <c r="V120" s="138" t="s">
        <v>8498</v>
      </c>
      <c r="W120" s="138" t="str">
        <f ca="1">IFERROR(__xludf.DUMMYFUNCTION("filter(H:H,I:I=U120,J:J=V120)"),"Sri Sathya Sai")</f>
        <v>Sri Sathya Sai</v>
      </c>
    </row>
    <row r="121" spans="7:23">
      <c r="G121" s="138" t="s">
        <v>8443</v>
      </c>
      <c r="H121" s="138" t="s">
        <v>8444</v>
      </c>
      <c r="I121" s="138" t="s">
        <v>8263</v>
      </c>
      <c r="J121" s="138" t="s">
        <v>8502</v>
      </c>
      <c r="K121" s="138" t="str">
        <f ca="1">IFERROR(__xludf.DUMMYFUNCTION("unique(filter(R:R,R:R=I121))"),"Madakasira (Sc)")</f>
        <v>Madakasira (Sc)</v>
      </c>
      <c r="N121" s="138" t="str">
        <f ca="1">IFERROR(__xludf.DUMMYFUNCTION("unique(filter(W:W,U:U=R121))"),"Chittoor")</f>
        <v>Chittoor</v>
      </c>
      <c r="O121" s="138" t="s">
        <v>8399</v>
      </c>
      <c r="P121" s="138" t="s">
        <v>8503</v>
      </c>
      <c r="Q121" s="138" t="str">
        <f ca="1">IFERROR(__xludf.DUMMYFUNCTION("filter(I:I,J:J=P121,G:G=O121)"),"Nagari")</f>
        <v>Nagari</v>
      </c>
      <c r="R121" s="138" t="s">
        <v>8333</v>
      </c>
      <c r="U121" s="138" t="s">
        <v>8263</v>
      </c>
      <c r="V121" s="138" t="s">
        <v>8500</v>
      </c>
      <c r="W121" s="138" t="str">
        <f ca="1">IFERROR(__xludf.DUMMYFUNCTION("filter(H:H,I:I=U121,J:J=V121)"),"Sri Sathya Sai")</f>
        <v>Sri Sathya Sai</v>
      </c>
    </row>
    <row r="122" spans="7:23">
      <c r="G122" s="138" t="s">
        <v>8443</v>
      </c>
      <c r="H122" s="138" t="s">
        <v>8444</v>
      </c>
      <c r="I122" s="138" t="s">
        <v>8263</v>
      </c>
      <c r="J122" s="138" t="s">
        <v>8504</v>
      </c>
      <c r="K122" s="138" t="str">
        <f ca="1">IFERROR(__xludf.DUMMYFUNCTION("unique(filter(R:R,R:R=I122))"),"Madakasira (Sc)")</f>
        <v>Madakasira (Sc)</v>
      </c>
      <c r="N122" s="138" t="str">
        <f ca="1">IFERROR(__xludf.DUMMYFUNCTION("unique(filter(W:W,U:U=R122))"),"Tirupati")</f>
        <v>Tirupati</v>
      </c>
      <c r="O122" s="138" t="s">
        <v>8399</v>
      </c>
      <c r="P122" s="138" t="s">
        <v>8505</v>
      </c>
      <c r="Q122" s="138" t="str">
        <f ca="1">IFERROR(__xludf.DUMMYFUNCTION("filter(I:I,J:J=P122,G:G=O122)"),"Satyavedu (Sc)")</f>
        <v>Satyavedu (Sc)</v>
      </c>
      <c r="R122" s="138" t="s">
        <v>8348</v>
      </c>
      <c r="U122" s="138" t="s">
        <v>8263</v>
      </c>
      <c r="V122" s="138" t="s">
        <v>8502</v>
      </c>
      <c r="W122" s="138" t="str">
        <f ca="1">IFERROR(__xludf.DUMMYFUNCTION("filter(H:H,I:I=U122,J:J=V122)"),"Sri Sathya Sai")</f>
        <v>Sri Sathya Sai</v>
      </c>
    </row>
    <row r="123" spans="7:23">
      <c r="G123" s="138" t="s">
        <v>8443</v>
      </c>
      <c r="H123" s="138" t="s">
        <v>8444</v>
      </c>
      <c r="I123" s="138" t="s">
        <v>8263</v>
      </c>
      <c r="J123" s="138" t="s">
        <v>8506</v>
      </c>
      <c r="K123" s="138" t="str">
        <f ca="1">IFERROR(__xludf.DUMMYFUNCTION("unique(filter(R:R,R:R=I123))"),"Madakasira (Sc)")</f>
        <v>Madakasira (Sc)</v>
      </c>
      <c r="N123" s="138" t="str">
        <f ca="1">IFERROR(__xludf.DUMMYFUNCTION("unique(filter(W:W,U:U=R123))"),"Annamayya")</f>
        <v>Annamayya</v>
      </c>
      <c r="O123" s="138" t="s">
        <v>8399</v>
      </c>
      <c r="P123" s="138" t="s">
        <v>8507</v>
      </c>
      <c r="Q123" s="138" t="str">
        <f ca="1">IFERROR(__xludf.DUMMYFUNCTION("filter(I:I,J:J=P123,G:G=O123)"),"#N/A")</f>
        <v>#N/A</v>
      </c>
      <c r="R123" s="138" t="s">
        <v>8418</v>
      </c>
      <c r="U123" s="138" t="s">
        <v>8263</v>
      </c>
      <c r="V123" s="138" t="s">
        <v>8504</v>
      </c>
      <c r="W123" s="138" t="str">
        <f ca="1">IFERROR(__xludf.DUMMYFUNCTION("filter(H:H,I:I=U123,J:J=V123)"),"Sri Sathya Sai")</f>
        <v>Sri Sathya Sai</v>
      </c>
    </row>
    <row r="124" spans="7:23">
      <c r="G124" s="138" t="s">
        <v>8443</v>
      </c>
      <c r="H124" s="138" t="s">
        <v>8444</v>
      </c>
      <c r="I124" s="138" t="s">
        <v>8263</v>
      </c>
      <c r="J124" s="138" t="s">
        <v>8508</v>
      </c>
      <c r="K124" s="138" t="str">
        <f ca="1">IFERROR(__xludf.DUMMYFUNCTION("unique(filter(R:R,R:R=I124))"),"Madakasira (Sc)")</f>
        <v>Madakasira (Sc)</v>
      </c>
      <c r="N124" s="138" t="str">
        <f ca="1">IFERROR(__xludf.DUMMYFUNCTION("unique(filter(W:W,U:U=R124))"),"Chittoor")</f>
        <v>Chittoor</v>
      </c>
      <c r="O124" s="138" t="s">
        <v>8399</v>
      </c>
      <c r="P124" s="138" t="s">
        <v>8509</v>
      </c>
      <c r="Q124" s="138" t="str">
        <f ca="1">IFERROR(__xludf.DUMMYFUNCTION("filter(I:I,J:J=P124,G:G=O124)"),"Gangadhara Nellore (Sc)")</f>
        <v>Gangadhara Nellore (Sc)</v>
      </c>
      <c r="R124" s="138" t="s">
        <v>8319</v>
      </c>
      <c r="U124" s="138" t="s">
        <v>8263</v>
      </c>
      <c r="V124" s="138" t="s">
        <v>8506</v>
      </c>
      <c r="W124" s="138" t="str">
        <f ca="1">IFERROR(__xludf.DUMMYFUNCTION("filter(H:H,I:I=U124,J:J=V124)"),"Sri Sathya Sai")</f>
        <v>Sri Sathya Sai</v>
      </c>
    </row>
    <row r="125" spans="7:23">
      <c r="G125" s="138" t="s">
        <v>8443</v>
      </c>
      <c r="H125" s="138" t="s">
        <v>8444</v>
      </c>
      <c r="I125" s="138" t="s">
        <v>8263</v>
      </c>
      <c r="J125" s="138" t="s">
        <v>8510</v>
      </c>
      <c r="K125" s="138" t="str">
        <f ca="1">IFERROR(__xludf.DUMMYFUNCTION("unique(filter(R:R,R:R=I125))"),"Madakasira (Sc)")</f>
        <v>Madakasira (Sc)</v>
      </c>
      <c r="N125" s="138" t="str">
        <f ca="1">IFERROR(__xludf.DUMMYFUNCTION("unique(filter(W:W,U:U=R125))"),"Chittoor")</f>
        <v>Chittoor</v>
      </c>
      <c r="O125" s="138" t="s">
        <v>8399</v>
      </c>
      <c r="P125" s="138" t="s">
        <v>8511</v>
      </c>
      <c r="Q125" s="138" t="str">
        <f ca="1">IFERROR(__xludf.DUMMYFUNCTION("filter(I:I,J:J=P125,G:G=O125)"),"Palamaner")</f>
        <v>Palamaner</v>
      </c>
      <c r="R125" s="138" t="s">
        <v>8277</v>
      </c>
      <c r="U125" s="138" t="s">
        <v>8263</v>
      </c>
      <c r="V125" s="138" t="s">
        <v>8508</v>
      </c>
      <c r="W125" s="138" t="str">
        <f ca="1">IFERROR(__xludf.DUMMYFUNCTION("filter(H:H,I:I=U125,J:J=V125)"),"Sri Sathya Sai")</f>
        <v>Sri Sathya Sai</v>
      </c>
    </row>
    <row r="126" spans="7:23">
      <c r="G126" s="138" t="e">
        <v>#N/A</v>
      </c>
      <c r="H126" s="138" t="e">
        <v>#N/A</v>
      </c>
      <c r="I126" s="138" t="s">
        <v>8263</v>
      </c>
      <c r="J126" s="138" t="e">
        <v>#N/A</v>
      </c>
      <c r="K126" s="138" t="str">
        <f ca="1">IFERROR(__xludf.DUMMYFUNCTION("unique(filter(R:R,R:R=I126))"),"Madakasira (Sc)")</f>
        <v>Madakasira (Sc)</v>
      </c>
      <c r="N126" s="138" t="str">
        <f ca="1">IFERROR(__xludf.DUMMYFUNCTION("unique(filter(W:W,U:U=R126))"),"Chittoor")</f>
        <v>Chittoor</v>
      </c>
      <c r="O126" s="138" t="s">
        <v>8399</v>
      </c>
      <c r="P126" s="138" t="s">
        <v>8512</v>
      </c>
      <c r="Q126" s="138" t="str">
        <f ca="1">IFERROR(__xludf.DUMMYFUNCTION("filter(I:I,J:J=P126,G:G=O126)"),"Nagari")</f>
        <v>Nagari</v>
      </c>
      <c r="R126" s="138" t="s">
        <v>8333</v>
      </c>
      <c r="U126" s="138" t="s">
        <v>8263</v>
      </c>
      <c r="V126" s="138" t="s">
        <v>8510</v>
      </c>
      <c r="W126" s="138" t="str">
        <f ca="1">IFERROR(__xludf.DUMMYFUNCTION("filter(H:H,I:I=U126,J:J=V126)"),"Sri Sathya Sai")</f>
        <v>Sri Sathya Sai</v>
      </c>
    </row>
    <row r="127" spans="7:23">
      <c r="G127" s="138" t="s">
        <v>8443</v>
      </c>
      <c r="H127" s="138" t="s">
        <v>8443</v>
      </c>
      <c r="I127" s="138" t="s">
        <v>8274</v>
      </c>
      <c r="J127" s="138" t="s">
        <v>8513</v>
      </c>
      <c r="K127" s="138" t="str">
        <f ca="1">IFERROR(__xludf.DUMMYFUNCTION("unique(filter(R:R,R:R=I127))"),"Raptadu")</f>
        <v>Raptadu</v>
      </c>
      <c r="N127" s="138" t="str">
        <f ca="1">IFERROR(__xludf.DUMMYFUNCTION("unique(filter(W:W,U:U=R127))"),"Chittoor")</f>
        <v>Chittoor</v>
      </c>
      <c r="O127" s="138" t="s">
        <v>8399</v>
      </c>
      <c r="P127" s="138" t="s">
        <v>8514</v>
      </c>
      <c r="Q127" s="138" t="str">
        <f ca="1">IFERROR(__xludf.DUMMYFUNCTION("filter(I:I,J:J=P127,G:G=O127)"),"Puthalapattu (Sc)")</f>
        <v>Puthalapattu (Sc)</v>
      </c>
      <c r="R127" s="138" t="s">
        <v>8293</v>
      </c>
    </row>
    <row r="128" spans="7:23">
      <c r="G128" s="138" t="s">
        <v>8443</v>
      </c>
      <c r="H128" s="138" t="s">
        <v>8443</v>
      </c>
      <c r="I128" s="138" t="s">
        <v>8274</v>
      </c>
      <c r="J128" s="138" t="s">
        <v>8443</v>
      </c>
      <c r="K128" s="138" t="str">
        <f ca="1">IFERROR(__xludf.DUMMYFUNCTION("unique(filter(R:R,R:R=I128))"),"Raptadu")</f>
        <v>Raptadu</v>
      </c>
      <c r="N128" s="138" t="str">
        <f ca="1">IFERROR(__xludf.DUMMYFUNCTION("unique(filter(W:W,U:U=R128))"),"Tirupati")</f>
        <v>Tirupati</v>
      </c>
      <c r="O128" s="138" t="s">
        <v>8399</v>
      </c>
      <c r="P128" s="138" t="s">
        <v>8515</v>
      </c>
      <c r="Q128" s="138" t="str">
        <f ca="1">IFERROR(__xludf.DUMMYFUNCTION("filter(I:I,J:J=P128,G:G=O128)"),"Srikalahasti")</f>
        <v>Srikalahasti</v>
      </c>
      <c r="R128" s="138" t="s">
        <v>8364</v>
      </c>
      <c r="U128" s="138" t="s">
        <v>8274</v>
      </c>
      <c r="V128" s="138" t="s">
        <v>8513</v>
      </c>
      <c r="W128" s="138" t="str">
        <f ca="1">IFERROR(__xludf.DUMMYFUNCTION("filter(H:H,I:I=U128,J:J=V128)"),"Anantapur")</f>
        <v>Anantapur</v>
      </c>
    </row>
    <row r="129" spans="7:23">
      <c r="G129" s="138" t="s">
        <v>8443</v>
      </c>
      <c r="H129" s="138" t="s">
        <v>8443</v>
      </c>
      <c r="I129" s="138" t="s">
        <v>8274</v>
      </c>
      <c r="J129" s="138" t="s">
        <v>8274</v>
      </c>
      <c r="K129" s="138" t="str">
        <f ca="1">IFERROR(__xludf.DUMMYFUNCTION("unique(filter(R:R,R:R=I129))"),"Raptadu")</f>
        <v>Raptadu</v>
      </c>
      <c r="N129" s="138" t="str">
        <f ca="1">IFERROR(__xludf.DUMMYFUNCTION("unique(filter(W:W,U:U=R129))"),"Tirupati")</f>
        <v>Tirupati</v>
      </c>
      <c r="O129" s="138" t="s">
        <v>8399</v>
      </c>
      <c r="P129" s="138" t="s">
        <v>8516</v>
      </c>
      <c r="Q129" s="138" t="str">
        <f ca="1">IFERROR(__xludf.DUMMYFUNCTION("filter(I:I,J:J=P129,G:G=O129)"),"Chandragiri")</f>
        <v>Chandragiri</v>
      </c>
      <c r="R129" s="138" t="s">
        <v>8378</v>
      </c>
      <c r="U129" s="138" t="s">
        <v>8274</v>
      </c>
      <c r="V129" s="138" t="s">
        <v>8443</v>
      </c>
      <c r="W129" s="138" t="str">
        <f ca="1">IFERROR(__xludf.DUMMYFUNCTION("filter(H:H,I:I=U129,J:J=V129)"),"Anantapur")</f>
        <v>Anantapur</v>
      </c>
    </row>
    <row r="130" spans="7:23">
      <c r="G130" s="138" t="s">
        <v>8443</v>
      </c>
      <c r="H130" s="138" t="s">
        <v>8443</v>
      </c>
      <c r="I130" s="138" t="s">
        <v>8274</v>
      </c>
      <c r="J130" s="138" t="s">
        <v>8517</v>
      </c>
      <c r="K130" s="138" t="str">
        <f ca="1">IFERROR(__xludf.DUMMYFUNCTION("unique(filter(R:R,R:R=I130))"),"Raptadu")</f>
        <v>Raptadu</v>
      </c>
      <c r="N130" s="138" t="str">
        <f ca="1">IFERROR(__xludf.DUMMYFUNCTION("unique(filter(W:W,U:U=R130))"),"Alluri Sitharama Raju")</f>
        <v>Alluri Sitharama Raju</v>
      </c>
      <c r="O130" s="138" t="s">
        <v>8518</v>
      </c>
      <c r="P130" s="138" t="s">
        <v>8519</v>
      </c>
      <c r="Q130" s="138" t="str">
        <f ca="1">IFERROR(__xludf.DUMMYFUNCTION("filter(I:I,J:J=P130,G:G=O130)"),"Rampachodavaram (St)")</f>
        <v>Rampachodavaram (St)</v>
      </c>
      <c r="R130" s="138" t="s">
        <v>8520</v>
      </c>
      <c r="U130" s="138" t="s">
        <v>8274</v>
      </c>
      <c r="V130" s="138" t="s">
        <v>8274</v>
      </c>
      <c r="W130" s="138" t="str">
        <f ca="1">IFERROR(__xludf.DUMMYFUNCTION("filter(H:H,I:I=U130,J:J=V130)"),"Anantapur")</f>
        <v>Anantapur</v>
      </c>
    </row>
    <row r="131" spans="7:23">
      <c r="G131" s="138" t="s">
        <v>8443</v>
      </c>
      <c r="H131" s="138" t="s">
        <v>8443</v>
      </c>
      <c r="I131" s="138" t="s">
        <v>8274</v>
      </c>
      <c r="J131" s="138" t="s">
        <v>8521</v>
      </c>
      <c r="K131" s="138" t="str">
        <f ca="1">IFERROR(__xludf.DUMMYFUNCTION("unique(filter(R:R,R:R=I131))"),"Raptadu")</f>
        <v>Raptadu</v>
      </c>
      <c r="N131" s="138" t="str">
        <f ca="1">IFERROR(__xludf.DUMMYFUNCTION("unique(filter(W:W,U:U=R131))"),"Konaseema")</f>
        <v>Konaseema</v>
      </c>
      <c r="O131" s="138" t="s">
        <v>8518</v>
      </c>
      <c r="P131" s="138" t="s">
        <v>8522</v>
      </c>
      <c r="Q131" s="138" t="str">
        <f ca="1">IFERROR(__xludf.DUMMYFUNCTION("filter(I:I,J:J=P131,G:G=O131)"),"Gannavaram (Sc)")</f>
        <v>Gannavaram (Sc)</v>
      </c>
      <c r="R131" s="138" t="s">
        <v>8523</v>
      </c>
      <c r="U131" s="138" t="s">
        <v>8274</v>
      </c>
      <c r="V131" s="138" t="s">
        <v>8517</v>
      </c>
      <c r="W131" s="138" t="str">
        <f ca="1">IFERROR(__xludf.DUMMYFUNCTION("filter(H:H,I:I=U131,J:J=V131)"),"Anantapur")</f>
        <v>Anantapur</v>
      </c>
    </row>
    <row r="132" spans="7:23">
      <c r="G132" s="138" t="s">
        <v>8443</v>
      </c>
      <c r="H132" s="138" t="s">
        <v>8443</v>
      </c>
      <c r="I132" s="138" t="s">
        <v>8274</v>
      </c>
      <c r="J132" s="138" t="s">
        <v>8524</v>
      </c>
      <c r="K132" s="138" t="str">
        <f ca="1">IFERROR(__xludf.DUMMYFUNCTION("unique(filter(R:R,R:R=I132))"),"Raptadu")</f>
        <v>Raptadu</v>
      </c>
      <c r="N132" s="138" t="str">
        <f ca="1">IFERROR(__xludf.DUMMYFUNCTION("unique(filter(W:W,U:U=R132))"),"Konaseema")</f>
        <v>Konaseema</v>
      </c>
      <c r="O132" s="138" t="s">
        <v>8518</v>
      </c>
      <c r="P132" s="138" t="s">
        <v>8525</v>
      </c>
      <c r="Q132" s="138" t="str">
        <f ca="1">IFERROR(__xludf.DUMMYFUNCTION("filter(I:I,J:J=P132,G:G=O132)"),"Kothapeta")</f>
        <v>Kothapeta</v>
      </c>
      <c r="R132" s="138" t="s">
        <v>8526</v>
      </c>
      <c r="U132" s="138" t="s">
        <v>8274</v>
      </c>
      <c r="V132" s="138" t="s">
        <v>8521</v>
      </c>
      <c r="W132" s="138" t="str">
        <f ca="1">IFERROR(__xludf.DUMMYFUNCTION("filter(H:H,I:I=U132,J:J=V132)"),"Anantapur")</f>
        <v>Anantapur</v>
      </c>
    </row>
    <row r="133" spans="7:23">
      <c r="G133" s="138" t="s">
        <v>8443</v>
      </c>
      <c r="H133" s="138" t="s">
        <v>8443</v>
      </c>
      <c r="I133" s="138" t="s">
        <v>8285</v>
      </c>
      <c r="J133" s="138" t="s">
        <v>8527</v>
      </c>
      <c r="K133" s="138" t="str">
        <f ca="1">IFERROR(__xludf.DUMMYFUNCTION("unique(filter(R:R,R:R=I133))"),"Kalyandurg")</f>
        <v>Kalyandurg</v>
      </c>
      <c r="N133" s="138" t="str">
        <f ca="1">IFERROR(__xludf.DUMMYFUNCTION("unique(filter(W:W,U:U=R133))"),"Konaseema")</f>
        <v>Konaseema</v>
      </c>
      <c r="O133" s="138" t="s">
        <v>8518</v>
      </c>
      <c r="P133" s="138" t="s">
        <v>8528</v>
      </c>
      <c r="Q133" s="138" t="str">
        <f ca="1">IFERROR(__xludf.DUMMYFUNCTION("filter(I:I,J:J=P133,G:G=O133)"),"Amalapuram (Sc)")</f>
        <v>Amalapuram (Sc)</v>
      </c>
      <c r="R133" s="138" t="s">
        <v>8529</v>
      </c>
      <c r="U133" s="138" t="s">
        <v>8274</v>
      </c>
      <c r="V133" s="138" t="s">
        <v>8524</v>
      </c>
      <c r="W133" s="138" t="str">
        <f ca="1">IFERROR(__xludf.DUMMYFUNCTION("filter(H:H,I:I=U133,J:J=V133)"),"Anantapur")</f>
        <v>Anantapur</v>
      </c>
    </row>
    <row r="134" spans="7:23">
      <c r="G134" s="138" t="s">
        <v>8443</v>
      </c>
      <c r="H134" s="138" t="s">
        <v>8443</v>
      </c>
      <c r="I134" s="138" t="s">
        <v>8285</v>
      </c>
      <c r="J134" s="138" t="s">
        <v>8285</v>
      </c>
      <c r="K134" s="138" t="str">
        <f ca="1">IFERROR(__xludf.DUMMYFUNCTION("unique(filter(R:R,R:R=I134))"),"Kalyandurg")</f>
        <v>Kalyandurg</v>
      </c>
      <c r="N134" s="138" t="str">
        <f ca="1">IFERROR(__xludf.DUMMYFUNCTION("unique(filter(W:W,U:U=R134))"),"Konaseema")</f>
        <v>Konaseema</v>
      </c>
      <c r="O134" s="138" t="s">
        <v>8518</v>
      </c>
      <c r="P134" s="138" t="s">
        <v>8530</v>
      </c>
      <c r="Q134" s="138" t="str">
        <f ca="1">IFERROR(__xludf.DUMMYFUNCTION("filter(I:I,J:J=P134,G:G=O134)"),"Amalapuram (Sc)")</f>
        <v>Amalapuram (Sc)</v>
      </c>
      <c r="R134" s="138" t="s">
        <v>8529</v>
      </c>
      <c r="U134" s="138" t="s">
        <v>8285</v>
      </c>
      <c r="V134" s="138" t="s">
        <v>8527</v>
      </c>
      <c r="W134" s="138" t="str">
        <f ca="1">IFERROR(__xludf.DUMMYFUNCTION("filter(H:H,I:I=U134,J:J=V134)"),"Anantapur")</f>
        <v>Anantapur</v>
      </c>
    </row>
    <row r="135" spans="7:23">
      <c r="G135" s="138" t="s">
        <v>8443</v>
      </c>
      <c r="H135" s="138" t="s">
        <v>8443</v>
      </c>
      <c r="I135" s="138" t="s">
        <v>8285</v>
      </c>
      <c r="J135" s="138" t="s">
        <v>8531</v>
      </c>
      <c r="K135" s="138" t="str">
        <f ca="1">IFERROR(__xludf.DUMMYFUNCTION("unique(filter(R:R,R:R=I135))"),"Kalyandurg")</f>
        <v>Kalyandurg</v>
      </c>
      <c r="N135" s="138" t="str">
        <f ca="1">IFERROR(__xludf.DUMMYFUNCTION("unique(filter(W:W,U:U=R135))"),"Konaseema")</f>
        <v>Konaseema</v>
      </c>
      <c r="O135" s="138" t="s">
        <v>8518</v>
      </c>
      <c r="P135" s="138" t="s">
        <v>8532</v>
      </c>
      <c r="Q135" s="138" t="str">
        <f ca="1">IFERROR(__xludf.DUMMYFUNCTION("filter(I:I,J:J=P135,G:G=O135)"),"Gannavaram (Sc)")</f>
        <v>Gannavaram (Sc)</v>
      </c>
      <c r="R135" s="138" t="s">
        <v>8523</v>
      </c>
      <c r="U135" s="138" t="s">
        <v>8285</v>
      </c>
      <c r="V135" s="138" t="s">
        <v>8285</v>
      </c>
      <c r="W135" s="138" t="str">
        <f ca="1">IFERROR(__xludf.DUMMYFUNCTION("filter(H:H,I:I=U135,J:J=V135)"),"Anantapur")</f>
        <v>Anantapur</v>
      </c>
    </row>
    <row r="136" spans="7:23">
      <c r="G136" s="138" t="s">
        <v>8443</v>
      </c>
      <c r="H136" s="138" t="s">
        <v>8443</v>
      </c>
      <c r="I136" s="138" t="s">
        <v>8285</v>
      </c>
      <c r="J136" s="138" t="s">
        <v>8533</v>
      </c>
      <c r="K136" s="138" t="str">
        <f ca="1">IFERROR(__xludf.DUMMYFUNCTION("unique(filter(R:R,R:R=I136))"),"Kalyandurg")</f>
        <v>Kalyandurg</v>
      </c>
      <c r="N136" s="138" t="str">
        <f ca="1">IFERROR(__xludf.DUMMYFUNCTION("unique(filter(W:W,U:U=R136))"),"East Godavari")</f>
        <v>East Godavari</v>
      </c>
      <c r="O136" s="138" t="s">
        <v>8518</v>
      </c>
      <c r="P136" s="138" t="s">
        <v>8534</v>
      </c>
      <c r="Q136" s="138" t="str">
        <f ca="1">IFERROR(__xludf.DUMMYFUNCTION("filter(I:I,J:J=P136,G:G=O136)"),"Anaparthy")</f>
        <v>Anaparthy</v>
      </c>
      <c r="R136" s="138" t="s">
        <v>8535</v>
      </c>
      <c r="U136" s="138" t="s">
        <v>8285</v>
      </c>
      <c r="V136" s="138" t="s">
        <v>8531</v>
      </c>
      <c r="W136" s="138" t="str">
        <f ca="1">IFERROR(__xludf.DUMMYFUNCTION("filter(H:H,I:I=U136,J:J=V136)"),"Anantapur")</f>
        <v>Anantapur</v>
      </c>
    </row>
    <row r="137" spans="7:23">
      <c r="G137" s="138" t="s">
        <v>8443</v>
      </c>
      <c r="H137" s="138" t="s">
        <v>8443</v>
      </c>
      <c r="I137" s="138" t="s">
        <v>8285</v>
      </c>
      <c r="J137" s="138" t="s">
        <v>8309</v>
      </c>
      <c r="K137" s="138" t="str">
        <f ca="1">IFERROR(__xludf.DUMMYFUNCTION("unique(filter(R:R,R:R=I137))"),"Kalyandurg")</f>
        <v>Kalyandurg</v>
      </c>
      <c r="N137" s="138" t="str">
        <f ca="1">IFERROR(__xludf.DUMMYFUNCTION("unique(filter(W:W,U:U=R137))"),"Konaseema")</f>
        <v>Konaseema</v>
      </c>
      <c r="O137" s="138" t="s">
        <v>8518</v>
      </c>
      <c r="P137" s="138" t="s">
        <v>8536</v>
      </c>
      <c r="Q137" s="138" t="str">
        <f ca="1">IFERROR(__xludf.DUMMYFUNCTION("filter(I:I,J:J=P137,G:G=O137)"),"Kothapeta")</f>
        <v>Kothapeta</v>
      </c>
      <c r="R137" s="138" t="s">
        <v>8526</v>
      </c>
      <c r="U137" s="138" t="s">
        <v>8285</v>
      </c>
      <c r="V137" s="138" t="s">
        <v>8533</v>
      </c>
      <c r="W137" s="138" t="str">
        <f ca="1">IFERROR(__xludf.DUMMYFUNCTION("filter(H:H,I:I=U137,J:J=V137)"),"Anantapur")</f>
        <v>Anantapur</v>
      </c>
    </row>
    <row r="138" spans="7:23">
      <c r="G138" s="138" t="s">
        <v>8443</v>
      </c>
      <c r="H138" s="138" t="s">
        <v>8443</v>
      </c>
      <c r="I138" s="138" t="s">
        <v>8285</v>
      </c>
      <c r="J138" s="138" t="s">
        <v>8537</v>
      </c>
      <c r="K138" s="138" t="str">
        <f ca="1">IFERROR(__xludf.DUMMYFUNCTION("unique(filter(R:R,R:R=I138))"),"Kalyandurg")</f>
        <v>Kalyandurg</v>
      </c>
      <c r="N138" s="138" t="str">
        <f ca="1">IFERROR(__xludf.DUMMYFUNCTION("unique(filter(W:W,U:U=R138))"),"#N/A")</f>
        <v>#N/A</v>
      </c>
      <c r="O138" s="138" t="s">
        <v>8518</v>
      </c>
      <c r="P138" s="138" t="s">
        <v>8538</v>
      </c>
      <c r="Q138" s="138" t="str">
        <f ca="1">IFERROR(__xludf.DUMMYFUNCTION("filter(I:I,J:J=P138,G:G=O138)"),"#N/A")</f>
        <v>#N/A</v>
      </c>
      <c r="R138" s="138" t="s">
        <v>8538</v>
      </c>
      <c r="U138" s="138" t="s">
        <v>8285</v>
      </c>
      <c r="V138" s="138" t="s">
        <v>8309</v>
      </c>
      <c r="W138" s="138" t="str">
        <f ca="1">IFERROR(__xludf.DUMMYFUNCTION("filter(H:H,I:I=U138,J:J=V138)"),"Anantapur")</f>
        <v>Anantapur</v>
      </c>
    </row>
    <row r="139" spans="7:23">
      <c r="G139" s="138" t="s">
        <v>8443</v>
      </c>
      <c r="H139" s="138" t="s">
        <v>8443</v>
      </c>
      <c r="I139" s="138" t="s">
        <v>8285</v>
      </c>
      <c r="J139" s="138" t="s">
        <v>8539</v>
      </c>
      <c r="K139" s="138" t="str">
        <f ca="1">IFERROR(__xludf.DUMMYFUNCTION("unique(filter(R:R,R:R=I139))"),"Kalyandurg")</f>
        <v>Kalyandurg</v>
      </c>
      <c r="N139" s="138" t="str">
        <f ca="1">IFERROR(__xludf.DUMMYFUNCTION("unique(filter(W:W,U:U=R139))"),"East Godavari")</f>
        <v>East Godavari</v>
      </c>
      <c r="O139" s="138" t="s">
        <v>8518</v>
      </c>
      <c r="P139" s="138" t="s">
        <v>8540</v>
      </c>
      <c r="Q139" s="138" t="str">
        <f ca="1">IFERROR(__xludf.DUMMYFUNCTION("filter(I:I,J:J=P139,G:G=O139)"),"Anaparthy")</f>
        <v>Anaparthy</v>
      </c>
      <c r="R139" s="138" t="s">
        <v>8535</v>
      </c>
      <c r="U139" s="138" t="s">
        <v>8285</v>
      </c>
      <c r="V139" s="138" t="s">
        <v>8537</v>
      </c>
      <c r="W139" s="138" t="str">
        <f ca="1">IFERROR(__xludf.DUMMYFUNCTION("filter(H:H,I:I=U139,J:J=V139)"),"Anantapur")</f>
        <v>Anantapur</v>
      </c>
    </row>
    <row r="140" spans="7:23">
      <c r="G140" s="138" t="s">
        <v>8443</v>
      </c>
      <c r="H140" s="138" t="s">
        <v>8443</v>
      </c>
      <c r="I140" s="138" t="s">
        <v>8285</v>
      </c>
      <c r="J140" s="138" t="s">
        <v>8541</v>
      </c>
      <c r="K140" s="138" t="str">
        <f ca="1">IFERROR(__xludf.DUMMYFUNCTION("unique(filter(R:R,R:R=I140))"),"Kalyandurg")</f>
        <v>Kalyandurg</v>
      </c>
      <c r="N140" s="138" t="str">
        <f ca="1">IFERROR(__xludf.DUMMYFUNCTION("unique(filter(W:W,U:U=R140))"),"Alluri Sitharama Raju")</f>
        <v>Alluri Sitharama Raju</v>
      </c>
      <c r="O140" s="138" t="s">
        <v>8518</v>
      </c>
      <c r="P140" s="138" t="s">
        <v>8542</v>
      </c>
      <c r="Q140" s="138" t="str">
        <f ca="1">IFERROR(__xludf.DUMMYFUNCTION("filter(I:I,J:J=P140,G:G=O140)"),"Rampachodavaram (St)")</f>
        <v>Rampachodavaram (St)</v>
      </c>
      <c r="R140" s="138" t="s">
        <v>8520</v>
      </c>
      <c r="U140" s="138" t="s">
        <v>8285</v>
      </c>
      <c r="V140" s="138" t="s">
        <v>8539</v>
      </c>
      <c r="W140" s="138" t="str">
        <f ca="1">IFERROR(__xludf.DUMMYFUNCTION("filter(H:H,I:I=U140,J:J=V140)"),"Anantapur")</f>
        <v>Anantapur</v>
      </c>
    </row>
    <row r="141" spans="7:23">
      <c r="G141" s="138" t="s">
        <v>8443</v>
      </c>
      <c r="H141" s="138" t="s">
        <v>8443</v>
      </c>
      <c r="I141" s="138" t="s">
        <v>8285</v>
      </c>
      <c r="J141" s="138" t="s">
        <v>8543</v>
      </c>
      <c r="K141" s="138" t="str">
        <f ca="1">IFERROR(__xludf.DUMMYFUNCTION("unique(filter(R:R,R:R=I141))"),"Kalyandurg")</f>
        <v>Kalyandurg</v>
      </c>
      <c r="N141" s="138" t="str">
        <f ca="1">IFERROR(__xludf.DUMMYFUNCTION("unique(filter(W:W,U:U=R141))"),"Alluri Sitharama Raju")</f>
        <v>Alluri Sitharama Raju</v>
      </c>
      <c r="O141" s="138" t="s">
        <v>8518</v>
      </c>
      <c r="P141" s="138" t="s">
        <v>8544</v>
      </c>
      <c r="Q141" s="138" t="str">
        <f ca="1">IFERROR(__xludf.DUMMYFUNCTION("filter(I:I,J:J=P141,G:G=O141)"),"Rampachodavaram (St)")</f>
        <v>Rampachodavaram (St)</v>
      </c>
      <c r="R141" s="138" t="s">
        <v>8520</v>
      </c>
      <c r="U141" s="138" t="s">
        <v>8285</v>
      </c>
      <c r="V141" s="138" t="s">
        <v>8541</v>
      </c>
      <c r="W141" s="138" t="str">
        <f ca="1">IFERROR(__xludf.DUMMYFUNCTION("filter(H:H,I:I=U141,J:J=V141)"),"Anantapur")</f>
        <v>Anantapur</v>
      </c>
    </row>
    <row r="142" spans="7:23">
      <c r="G142" s="138" t="s">
        <v>8443</v>
      </c>
      <c r="H142" s="138" t="s">
        <v>8443</v>
      </c>
      <c r="I142" s="138" t="s">
        <v>8271</v>
      </c>
      <c r="J142" s="138" t="s">
        <v>8443</v>
      </c>
      <c r="K142" s="138" t="str">
        <f ca="1">IFERROR(__xludf.DUMMYFUNCTION("unique(filter(R:R,R:R=I142))"),"Anantapur Urban")</f>
        <v>Anantapur Urban</v>
      </c>
      <c r="N142" s="138" t="str">
        <f ca="1">IFERROR(__xludf.DUMMYFUNCTION("unique(filter(W:W,U:U=R142))"),"Kakinada")</f>
        <v>Kakinada</v>
      </c>
      <c r="O142" s="138" t="s">
        <v>8518</v>
      </c>
      <c r="P142" s="138" t="s">
        <v>8093</v>
      </c>
      <c r="Q142" s="138" t="str">
        <f ca="1">IFERROR(__xludf.DUMMYFUNCTION("filter(I:I,J:J=P142,G:G=O142)"),"Jaggampeta")</f>
        <v>Jaggampeta</v>
      </c>
      <c r="R142" s="138" t="s">
        <v>19</v>
      </c>
      <c r="U142" s="138" t="s">
        <v>8285</v>
      </c>
      <c r="V142" s="138" t="s">
        <v>8543</v>
      </c>
      <c r="W142" s="138" t="str">
        <f ca="1">IFERROR(__xludf.DUMMYFUNCTION("filter(H:H,I:I=U142,J:J=V142)"),"Anantapur")</f>
        <v>Anantapur</v>
      </c>
    </row>
    <row r="143" spans="7:23">
      <c r="G143" s="138" t="s">
        <v>8443</v>
      </c>
      <c r="H143" s="138" t="s">
        <v>8443</v>
      </c>
      <c r="I143" s="138" t="s">
        <v>8271</v>
      </c>
      <c r="J143" s="138" t="s">
        <v>8545</v>
      </c>
      <c r="K143" s="138" t="str">
        <f ca="1">IFERROR(__xludf.DUMMYFUNCTION("unique(filter(R:R,R:R=I143))"),"Anantapur Urban")</f>
        <v>Anantapur Urban</v>
      </c>
      <c r="N143" s="138" t="str">
        <f ca="1">IFERROR(__xludf.DUMMYFUNCTION("unique(filter(W:W,U:U=R143))"),"Alluri Sitharama Raju")</f>
        <v>Alluri Sitharama Raju</v>
      </c>
      <c r="O143" s="138" t="s">
        <v>8518</v>
      </c>
      <c r="P143" s="138" t="s">
        <v>8546</v>
      </c>
      <c r="Q143" s="138" t="str">
        <f ca="1">IFERROR(__xludf.DUMMYFUNCTION("filter(I:I,J:J=P143,G:G=O143)"),"#N/A")</f>
        <v>#N/A</v>
      </c>
      <c r="R143" s="138" t="s">
        <v>8520</v>
      </c>
      <c r="U143" s="138" t="s">
        <v>8271</v>
      </c>
      <c r="V143" s="138" t="s">
        <v>8443</v>
      </c>
      <c r="W143" s="138" t="str">
        <f ca="1">IFERROR(__xludf.DUMMYFUNCTION("filter(H:H,I:I=U143,J:J=V143)"),"Anantapur")</f>
        <v>Anantapur</v>
      </c>
    </row>
    <row r="144" spans="7:23">
      <c r="G144" s="138" t="e">
        <v>#N/A</v>
      </c>
      <c r="H144" s="138" t="e">
        <v>#N/A</v>
      </c>
      <c r="I144" s="138" t="s">
        <v>8271</v>
      </c>
      <c r="J144" s="138" t="e">
        <v>#N/A</v>
      </c>
      <c r="K144" s="138" t="str">
        <f ca="1">IFERROR(__xludf.DUMMYFUNCTION("unique(filter(R:R,R:R=I144))"),"Anantapur Urban")</f>
        <v>Anantapur Urban</v>
      </c>
      <c r="N144" s="138" t="str">
        <f ca="1">IFERROR(__xludf.DUMMYFUNCTION("unique(filter(W:W,U:U=R144))"),"Kakinada")</f>
        <v>Kakinada</v>
      </c>
      <c r="O144" s="138" t="s">
        <v>8518</v>
      </c>
      <c r="P144" s="138" t="s">
        <v>1313</v>
      </c>
      <c r="Q144" s="138" t="str">
        <f ca="1">IFERROR(__xludf.DUMMYFUNCTION("filter(I:I,J:J=P144,G:G=O144)"),"Jaggampeta")</f>
        <v>Jaggampeta</v>
      </c>
      <c r="R144" s="138" t="s">
        <v>19</v>
      </c>
      <c r="U144" s="138" t="s">
        <v>8271</v>
      </c>
      <c r="V144" s="138" t="s">
        <v>8545</v>
      </c>
      <c r="W144" s="138" t="str">
        <f ca="1">IFERROR(__xludf.DUMMYFUNCTION("filter(H:H,I:I=U144,J:J=V144)"),"Anantapur")</f>
        <v>Anantapur</v>
      </c>
    </row>
    <row r="145" spans="7:23">
      <c r="G145" s="138" t="s">
        <v>8443</v>
      </c>
      <c r="H145" s="138" t="s">
        <v>8443</v>
      </c>
      <c r="I145" s="138" t="s">
        <v>8290</v>
      </c>
      <c r="J145" s="138" t="s">
        <v>8547</v>
      </c>
      <c r="K145" s="138" t="str">
        <f ca="1">IFERROR(__xludf.DUMMYFUNCTION("unique(filter(R:R,R:R=I145))"),"Singanamala (Sc)")</f>
        <v>Singanamala (Sc)</v>
      </c>
      <c r="N145" s="138" t="str">
        <f ca="1">IFERROR(__xludf.DUMMYFUNCTION("unique(filter(W:W,U:U=R145))"),"Kakinada")</f>
        <v>Kakinada</v>
      </c>
      <c r="O145" s="138" t="s">
        <v>8518</v>
      </c>
      <c r="P145" s="138" t="s">
        <v>7868</v>
      </c>
      <c r="Q145" s="138" t="str">
        <f ca="1">IFERROR(__xludf.DUMMYFUNCTION("filter(I:I,J:J=P145,G:G=O145)"),"Pithapuram")</f>
        <v>Pithapuram</v>
      </c>
      <c r="R145" s="138" t="s">
        <v>10</v>
      </c>
    </row>
    <row r="146" spans="7:23">
      <c r="G146" s="138" t="s">
        <v>8443</v>
      </c>
      <c r="H146" s="138" t="s">
        <v>8443</v>
      </c>
      <c r="I146" s="138" t="s">
        <v>8290</v>
      </c>
      <c r="J146" s="138" t="s">
        <v>8548</v>
      </c>
      <c r="K146" s="138" t="str">
        <f ca="1">IFERROR(__xludf.DUMMYFUNCTION("unique(filter(R:R,R:R=I146))"),"Singanamala (Sc)")</f>
        <v>Singanamala (Sc)</v>
      </c>
      <c r="N146" s="138" t="str">
        <f ca="1">IFERROR(__xludf.DUMMYFUNCTION("unique(filter(W:W,U:U=R146))"),"Konaseema")</f>
        <v>Konaseema</v>
      </c>
      <c r="O146" s="138" t="s">
        <v>8518</v>
      </c>
      <c r="P146" s="138" t="s">
        <v>8549</v>
      </c>
      <c r="Q146" s="138" t="str">
        <f ca="1">IFERROR(__xludf.DUMMYFUNCTION("filter(I:I,J:J=P146,G:G=O146)"),"Mummidivaram")</f>
        <v>Mummidivaram</v>
      </c>
      <c r="R146" s="138" t="s">
        <v>8550</v>
      </c>
      <c r="U146" s="138" t="s">
        <v>8290</v>
      </c>
      <c r="V146" s="138" t="s">
        <v>8547</v>
      </c>
      <c r="W146" s="138" t="str">
        <f ca="1">IFERROR(__xludf.DUMMYFUNCTION("filter(H:H,I:I=U146,J:J=V146)"),"Anantapur")</f>
        <v>Anantapur</v>
      </c>
    </row>
    <row r="147" spans="7:23">
      <c r="G147" s="138" t="s">
        <v>8443</v>
      </c>
      <c r="H147" s="138" t="s">
        <v>8443</v>
      </c>
      <c r="I147" s="138" t="s">
        <v>8290</v>
      </c>
      <c r="J147" s="138" t="s">
        <v>8551</v>
      </c>
      <c r="K147" s="138" t="str">
        <f ca="1">IFERROR(__xludf.DUMMYFUNCTION("unique(filter(R:R,R:R=I147))"),"Singanamala (Sc)")</f>
        <v>Singanamala (Sc)</v>
      </c>
      <c r="N147" s="138" t="str">
        <f ca="1">IFERROR(__xludf.DUMMYFUNCTION("unique(filter(W:W,U:U=R147))"),"Kakinada")</f>
        <v>Kakinada</v>
      </c>
      <c r="O147" s="138" t="s">
        <v>8518</v>
      </c>
      <c r="P147" s="138" t="s">
        <v>1085</v>
      </c>
      <c r="Q147" s="138" t="str">
        <f ca="1">IFERROR(__xludf.DUMMYFUNCTION("filter(I:I,J:J=P147,G:G=O147)"),"Jaggampeta")</f>
        <v>Jaggampeta</v>
      </c>
      <c r="R147" s="138" t="s">
        <v>19</v>
      </c>
      <c r="U147" s="138" t="s">
        <v>8290</v>
      </c>
      <c r="V147" s="138" t="s">
        <v>8548</v>
      </c>
      <c r="W147" s="138" t="str">
        <f ca="1">IFERROR(__xludf.DUMMYFUNCTION("filter(H:H,I:I=U147,J:J=V147)"),"Anantapur")</f>
        <v>Anantapur</v>
      </c>
    </row>
    <row r="148" spans="7:23">
      <c r="G148" s="138" t="s">
        <v>8443</v>
      </c>
      <c r="H148" s="138" t="s">
        <v>8443</v>
      </c>
      <c r="I148" s="138" t="s">
        <v>8290</v>
      </c>
      <c r="J148" s="138" t="s">
        <v>8552</v>
      </c>
      <c r="K148" s="138" t="str">
        <f ca="1">IFERROR(__xludf.DUMMYFUNCTION("unique(filter(R:R,R:R=I148))"),"Singanamala (Sc)")</f>
        <v>Singanamala (Sc)</v>
      </c>
      <c r="N148" s="138" t="str">
        <f ca="1">IFERROR(__xludf.DUMMYFUNCTION("unique(filter(W:W,U:U=R148))"),"East Godavari")</f>
        <v>East Godavari</v>
      </c>
      <c r="O148" s="138" t="s">
        <v>8518</v>
      </c>
      <c r="P148" s="138" t="s">
        <v>8553</v>
      </c>
      <c r="Q148" s="138" t="str">
        <f ca="1">IFERROR(__xludf.DUMMYFUNCTION("filter(I:I,J:J=P148,G:G=O148)"),"Rajahmundry Rural")</f>
        <v>Rajahmundry Rural</v>
      </c>
      <c r="R148" s="138" t="s">
        <v>8554</v>
      </c>
      <c r="U148" s="138" t="s">
        <v>8290</v>
      </c>
      <c r="V148" s="138" t="s">
        <v>8551</v>
      </c>
      <c r="W148" s="138" t="str">
        <f ca="1">IFERROR(__xludf.DUMMYFUNCTION("filter(H:H,I:I=U148,J:J=V148)"),"Anantapur")</f>
        <v>Anantapur</v>
      </c>
    </row>
    <row r="149" spans="7:23">
      <c r="G149" s="138" t="s">
        <v>8443</v>
      </c>
      <c r="H149" s="138" t="s">
        <v>8443</v>
      </c>
      <c r="I149" s="138" t="s">
        <v>8290</v>
      </c>
      <c r="J149" s="138" t="s">
        <v>8309</v>
      </c>
      <c r="K149" s="138" t="str">
        <f ca="1">IFERROR(__xludf.DUMMYFUNCTION("unique(filter(R:R,R:R=I149))"),"Singanamala (Sc)")</f>
        <v>Singanamala (Sc)</v>
      </c>
      <c r="N149" s="138" t="str">
        <f ca="1">IFERROR(__xludf.DUMMYFUNCTION("unique(filter(W:W,U:U=R149))"),"Konaseema")</f>
        <v>Konaseema</v>
      </c>
      <c r="O149" s="138" t="s">
        <v>8518</v>
      </c>
      <c r="P149" s="138" t="s">
        <v>8555</v>
      </c>
      <c r="Q149" s="138" t="str">
        <f ca="1">IFERROR(__xludf.DUMMYFUNCTION("filter(I:I,J:J=P149,G:G=O149)"),"Ramachandrapuram")</f>
        <v>Ramachandrapuram</v>
      </c>
      <c r="R149" s="138" t="s">
        <v>1193</v>
      </c>
      <c r="U149" s="138" t="s">
        <v>8290</v>
      </c>
      <c r="V149" s="138" t="s">
        <v>8552</v>
      </c>
      <c r="W149" s="138" t="str">
        <f ca="1">IFERROR(__xludf.DUMMYFUNCTION("filter(H:H,I:I=U149,J:J=V149)"),"Anantapur")</f>
        <v>Anantapur</v>
      </c>
    </row>
    <row r="150" spans="7:23">
      <c r="G150" s="138" t="s">
        <v>8443</v>
      </c>
      <c r="H150" s="138" t="s">
        <v>8443</v>
      </c>
      <c r="I150" s="138" t="s">
        <v>8290</v>
      </c>
      <c r="J150" s="138" t="s">
        <v>8556</v>
      </c>
      <c r="K150" s="138" t="str">
        <f ca="1">IFERROR(__xludf.DUMMYFUNCTION("unique(filter(R:R,R:R=I150))"),"Singanamala (Sc)")</f>
        <v>Singanamala (Sc)</v>
      </c>
      <c r="N150" s="138" t="str">
        <f ca="1">IFERROR(__xludf.DUMMYFUNCTION("unique(filter(W:W,U:U=R150))"),"Kakinada")</f>
        <v>Kakinada</v>
      </c>
      <c r="O150" s="138" t="s">
        <v>8518</v>
      </c>
      <c r="P150" s="138" t="s">
        <v>8272</v>
      </c>
      <c r="Q150" s="138" t="str">
        <f ca="1">IFERROR(__xludf.DUMMYFUNCTION("filter(I:I,J:J=P150,G:G=O150)"),"#N/A")</f>
        <v>#N/A</v>
      </c>
      <c r="R150" s="138" t="s">
        <v>792</v>
      </c>
      <c r="U150" s="138" t="s">
        <v>8290</v>
      </c>
      <c r="V150" s="138" t="s">
        <v>8309</v>
      </c>
      <c r="W150" s="138" t="str">
        <f ca="1">IFERROR(__xludf.DUMMYFUNCTION("filter(H:H,I:I=U150,J:J=V150)"),"Anantapur")</f>
        <v>Anantapur</v>
      </c>
    </row>
    <row r="151" spans="7:23">
      <c r="G151" s="138" t="s">
        <v>8443</v>
      </c>
      <c r="H151" s="138" t="s">
        <v>8443</v>
      </c>
      <c r="I151" s="138" t="s">
        <v>8290</v>
      </c>
      <c r="J151" s="138" t="s">
        <v>8557</v>
      </c>
      <c r="K151" s="138" t="str">
        <f ca="1">IFERROR(__xludf.DUMMYFUNCTION("unique(filter(R:R,R:R=I151))"),"Singanamala (Sc)")</f>
        <v>Singanamala (Sc)</v>
      </c>
      <c r="N151" s="138" t="str">
        <f ca="1">IFERROR(__xludf.DUMMYFUNCTION("unique(filter(W:W,U:U=R151))"),"Kakinada")</f>
        <v>Kakinada</v>
      </c>
      <c r="O151" s="138" t="s">
        <v>8518</v>
      </c>
      <c r="P151" s="138" t="s">
        <v>8286</v>
      </c>
      <c r="Q151" s="138" t="str">
        <f ca="1">IFERROR(__xludf.DUMMYFUNCTION("filter(I:I,J:J=P151,G:G=O151)"),"Kakinada Rural")</f>
        <v>Kakinada Rural</v>
      </c>
      <c r="R151" s="138" t="s">
        <v>11</v>
      </c>
      <c r="U151" s="138" t="s">
        <v>8290</v>
      </c>
      <c r="V151" s="138" t="s">
        <v>8556</v>
      </c>
      <c r="W151" s="138" t="str">
        <f ca="1">IFERROR(__xludf.DUMMYFUNCTION("filter(H:H,I:I=U151,J:J=V151)"),"Anantapur")</f>
        <v>Anantapur</v>
      </c>
    </row>
    <row r="152" spans="7:23">
      <c r="G152" s="138" t="e">
        <v>#N/A</v>
      </c>
      <c r="H152" s="138" t="e">
        <v>#N/A</v>
      </c>
      <c r="I152" s="138" t="s">
        <v>8290</v>
      </c>
      <c r="J152" s="138" t="e">
        <v>#N/A</v>
      </c>
      <c r="K152" s="138" t="str">
        <f ca="1">IFERROR(__xludf.DUMMYFUNCTION("unique(filter(R:R,R:R=I152))"),"Singanamala (Sc)")</f>
        <v>Singanamala (Sc)</v>
      </c>
      <c r="N152" s="138" t="str">
        <f ca="1">IFERROR(__xludf.DUMMYFUNCTION("unique(filter(W:W,U:U=R152))"),"Konaseema")</f>
        <v>Konaseema</v>
      </c>
      <c r="O152" s="138" t="s">
        <v>8518</v>
      </c>
      <c r="P152" s="138" t="s">
        <v>8558</v>
      </c>
      <c r="Q152" s="138" t="str">
        <f ca="1">IFERROR(__xludf.DUMMYFUNCTION("filter(I:I,J:J=P152,G:G=O152)"),"Mandapeta")</f>
        <v>Mandapeta</v>
      </c>
      <c r="R152" s="138" t="s">
        <v>8559</v>
      </c>
      <c r="U152" s="138" t="s">
        <v>8290</v>
      </c>
      <c r="V152" s="138" t="s">
        <v>8557</v>
      </c>
      <c r="W152" s="138" t="str">
        <f ca="1">IFERROR(__xludf.DUMMYFUNCTION("filter(H:H,I:I=U152,J:J=V152)"),"Anantapur")</f>
        <v>Anantapur</v>
      </c>
    </row>
    <row r="153" spans="7:23">
      <c r="G153" s="138" t="s">
        <v>8443</v>
      </c>
      <c r="H153" s="138" t="s">
        <v>8443</v>
      </c>
      <c r="I153" s="138" t="s">
        <v>8359</v>
      </c>
      <c r="J153" s="138" t="s">
        <v>8560</v>
      </c>
      <c r="K153" s="138" t="str">
        <f ca="1">IFERROR(__xludf.DUMMYFUNCTION("unique(filter(R:R,R:R=I153))"),"Tadipatri")</f>
        <v>Tadipatri</v>
      </c>
      <c r="N153" s="138" t="str">
        <f ca="1">IFERROR(__xludf.DUMMYFUNCTION("unique(filter(W:W,U:U=R153))"),"Kakinada")</f>
        <v>Kakinada</v>
      </c>
      <c r="O153" s="138" t="s">
        <v>8518</v>
      </c>
      <c r="P153" s="138" t="s">
        <v>855</v>
      </c>
      <c r="Q153" s="138" t="str">
        <f ca="1">IFERROR(__xludf.DUMMYFUNCTION("filter(I:I,J:J=P153,G:G=O153)"),"Kakinada Rural")</f>
        <v>Kakinada Rural</v>
      </c>
      <c r="R153" s="138" t="s">
        <v>11</v>
      </c>
    </row>
    <row r="154" spans="7:23">
      <c r="G154" s="138" t="s">
        <v>8443</v>
      </c>
      <c r="H154" s="138" t="s">
        <v>8443</v>
      </c>
      <c r="I154" s="138" t="s">
        <v>8359</v>
      </c>
      <c r="J154" s="138" t="s">
        <v>8561</v>
      </c>
      <c r="K154" s="138" t="str">
        <f ca="1">IFERROR(__xludf.DUMMYFUNCTION("unique(filter(R:R,R:R=I154))"),"Tadipatri")</f>
        <v>Tadipatri</v>
      </c>
      <c r="N154" s="138" t="str">
        <f ca="1">IFERROR(__xludf.DUMMYFUNCTION("unique(filter(W:W,U:U=R154))"),"Konaseema")</f>
        <v>Konaseema</v>
      </c>
      <c r="O154" s="138" t="s">
        <v>8518</v>
      </c>
      <c r="P154" s="138" t="s">
        <v>8562</v>
      </c>
      <c r="Q154" s="138" t="str">
        <f ca="1">IFERROR(__xludf.DUMMYFUNCTION("filter(I:I,J:J=P154,G:G=O154)"),"Mummidivaram")</f>
        <v>Mummidivaram</v>
      </c>
      <c r="R154" s="138" t="s">
        <v>8550</v>
      </c>
      <c r="U154" s="138" t="s">
        <v>8359</v>
      </c>
      <c r="V154" s="138" t="s">
        <v>8560</v>
      </c>
      <c r="W154" s="138" t="str">
        <f ca="1">IFERROR(__xludf.DUMMYFUNCTION("filter(H:H,I:I=U154,J:J=V154)"),"Anantapur")</f>
        <v>Anantapur</v>
      </c>
    </row>
    <row r="155" spans="7:23">
      <c r="G155" s="138" t="s">
        <v>8443</v>
      </c>
      <c r="H155" s="138" t="s">
        <v>8443</v>
      </c>
      <c r="I155" s="138" t="s">
        <v>8359</v>
      </c>
      <c r="J155" s="138" t="s">
        <v>8563</v>
      </c>
      <c r="K155" s="138" t="str">
        <f ca="1">IFERROR(__xludf.DUMMYFUNCTION("unique(filter(R:R,R:R=I155))"),"Tadipatri")</f>
        <v>Tadipatri</v>
      </c>
      <c r="N155" s="138" t="str">
        <f ca="1">IFERROR(__xludf.DUMMYFUNCTION("unique(filter(W:W,U:U=R155))"),"Kakinada")</f>
        <v>Kakinada</v>
      </c>
      <c r="O155" s="138" t="s">
        <v>8518</v>
      </c>
      <c r="P155" s="138" t="s">
        <v>8269</v>
      </c>
      <c r="Q155" s="138" t="str">
        <f ca="1">IFERROR(__xludf.DUMMYFUNCTION("filter(I:I,J:J=P155,G:G=O155)"),"Jaggampeta")</f>
        <v>Jaggampeta</v>
      </c>
      <c r="R155" s="138" t="s">
        <v>19</v>
      </c>
      <c r="U155" s="138" t="s">
        <v>8359</v>
      </c>
      <c r="V155" s="138" t="s">
        <v>8561</v>
      </c>
      <c r="W155" s="138" t="str">
        <f ca="1">IFERROR(__xludf.DUMMYFUNCTION("filter(H:H,I:I=U155,J:J=V155)"),"Anantapur")</f>
        <v>Anantapur</v>
      </c>
    </row>
    <row r="156" spans="7:23">
      <c r="G156" s="138" t="s">
        <v>8443</v>
      </c>
      <c r="H156" s="138" t="s">
        <v>8443</v>
      </c>
      <c r="I156" s="138" t="s">
        <v>8359</v>
      </c>
      <c r="J156" s="138" t="s">
        <v>8564</v>
      </c>
      <c r="K156" s="138" t="str">
        <f ca="1">IFERROR(__xludf.DUMMYFUNCTION("unique(filter(R:R,R:R=I156))"),"Tadipatri")</f>
        <v>Tadipatri</v>
      </c>
      <c r="N156" s="138" t="str">
        <f ca="1">IFERROR(__xludf.DUMMYFUNCTION("unique(filter(W:W,U:U=R156))"),"East Godavari")</f>
        <v>East Godavari</v>
      </c>
      <c r="O156" s="138" t="s">
        <v>8518</v>
      </c>
      <c r="P156" s="138" t="s">
        <v>8565</v>
      </c>
      <c r="Q156" s="138" t="str">
        <f ca="1">IFERROR(__xludf.DUMMYFUNCTION("filter(I:I,J:J=P156,G:G=O156)"),"Rajanagaram")</f>
        <v>Rajanagaram</v>
      </c>
      <c r="R156" s="138" t="s">
        <v>8566</v>
      </c>
      <c r="U156" s="138" t="s">
        <v>8359</v>
      </c>
      <c r="V156" s="138" t="s">
        <v>8563</v>
      </c>
      <c r="W156" s="138" t="str">
        <f ca="1">IFERROR(__xludf.DUMMYFUNCTION("filter(H:H,I:I=U156,J:J=V156)"),"Anantapur")</f>
        <v>Anantapur</v>
      </c>
    </row>
    <row r="157" spans="7:23">
      <c r="G157" s="138" t="s">
        <v>8443</v>
      </c>
      <c r="H157" s="138" t="s">
        <v>8443</v>
      </c>
      <c r="I157" s="138" t="s">
        <v>8359</v>
      </c>
      <c r="J157" s="138" t="s">
        <v>8567</v>
      </c>
      <c r="K157" s="138" t="str">
        <f ca="1">IFERROR(__xludf.DUMMYFUNCTION("unique(filter(R:R,R:R=I157))"),"Tadipatri")</f>
        <v>Tadipatri</v>
      </c>
      <c r="N157" s="138" t="str">
        <f ca="1">IFERROR(__xludf.DUMMYFUNCTION("unique(filter(W:W,U:U=R157))"),"Kakinada")</f>
        <v>Kakinada</v>
      </c>
      <c r="O157" s="138" t="s">
        <v>8518</v>
      </c>
      <c r="P157" s="138" t="s">
        <v>1249</v>
      </c>
      <c r="Q157" s="138" t="str">
        <f ca="1">IFERROR(__xludf.DUMMYFUNCTION("filter(I:I,J:J=P157,G:G=O157)"),"Tuni")</f>
        <v>Tuni</v>
      </c>
      <c r="R157" s="138" t="s">
        <v>7</v>
      </c>
      <c r="U157" s="138" t="s">
        <v>8359</v>
      </c>
      <c r="V157" s="138" t="s">
        <v>8564</v>
      </c>
      <c r="W157" s="138" t="str">
        <f ca="1">IFERROR(__xludf.DUMMYFUNCTION("filter(H:H,I:I=U157,J:J=V157)"),"Anantapur")</f>
        <v>Anantapur</v>
      </c>
    </row>
    <row r="158" spans="7:23">
      <c r="G158" s="138" t="s">
        <v>8443</v>
      </c>
      <c r="H158" s="138" t="s">
        <v>8443</v>
      </c>
      <c r="I158" s="138" t="s">
        <v>8309</v>
      </c>
      <c r="J158" s="138" t="s">
        <v>8309</v>
      </c>
      <c r="K158" s="138" t="str">
        <f ca="1">IFERROR(__xludf.DUMMYFUNCTION("unique(filter(R:R,R:R=I158))"),"Guntakal")</f>
        <v>Guntakal</v>
      </c>
      <c r="N158" s="138" t="str">
        <f ca="1">IFERROR(__xludf.DUMMYFUNCTION("unique(filter(W:W,U:U=R158))"),"Kakinada")</f>
        <v>Kakinada</v>
      </c>
      <c r="O158" s="138" t="s">
        <v>8518</v>
      </c>
      <c r="P158" s="138" t="s">
        <v>8303</v>
      </c>
      <c r="Q158" s="138" t="str">
        <f ca="1">IFERROR(__xludf.DUMMYFUNCTION("filter(I:I,J:J=P158,G:G=O158)"),"#N/A")</f>
        <v>#N/A</v>
      </c>
      <c r="R158" s="138" t="s">
        <v>10</v>
      </c>
      <c r="U158" s="138" t="s">
        <v>8359</v>
      </c>
      <c r="V158" s="138" t="s">
        <v>8567</v>
      </c>
      <c r="W158" s="138" t="str">
        <f ca="1">IFERROR(__xludf.DUMMYFUNCTION("filter(H:H,I:I=U158,J:J=V158)"),"Anantapur")</f>
        <v>Anantapur</v>
      </c>
    </row>
    <row r="159" spans="7:23">
      <c r="G159" s="138" t="s">
        <v>8443</v>
      </c>
      <c r="H159" s="138" t="s">
        <v>8443</v>
      </c>
      <c r="I159" s="138" t="s">
        <v>8309</v>
      </c>
      <c r="J159" s="138" t="s">
        <v>8568</v>
      </c>
      <c r="K159" s="138" t="str">
        <f ca="1">IFERROR(__xludf.DUMMYFUNCTION("unique(filter(R:R,R:R=I159))"),"Guntakal")</f>
        <v>Guntakal</v>
      </c>
      <c r="N159" s="138" t="str">
        <f ca="1">IFERROR(__xludf.DUMMYFUNCTION("unique(filter(W:W,U:U=R159))"),"Konaseema")</f>
        <v>Konaseema</v>
      </c>
      <c r="O159" s="138" t="s">
        <v>8518</v>
      </c>
      <c r="P159" s="138" t="s">
        <v>8569</v>
      </c>
      <c r="Q159" s="138" t="str">
        <f ca="1">IFERROR(__xludf.DUMMYFUNCTION("filter(I:I,J:J=P159,G:G=O159)"),"Kothapeta")</f>
        <v>Kothapeta</v>
      </c>
      <c r="R159" s="138" t="s">
        <v>8526</v>
      </c>
      <c r="U159" s="138" t="s">
        <v>8309</v>
      </c>
      <c r="V159" s="138" t="s">
        <v>8309</v>
      </c>
      <c r="W159" s="138" t="str">
        <f ca="1">IFERROR(__xludf.DUMMYFUNCTION("filter(H:H,I:I=U159,J:J=V159)"),"Anantapur")</f>
        <v>Anantapur</v>
      </c>
    </row>
    <row r="160" spans="7:23">
      <c r="G160" s="138" t="s">
        <v>8443</v>
      </c>
      <c r="H160" s="138" t="s">
        <v>8443</v>
      </c>
      <c r="I160" s="138" t="s">
        <v>8309</v>
      </c>
      <c r="J160" s="138" t="s">
        <v>8539</v>
      </c>
      <c r="K160" s="138" t="str">
        <f ca="1">IFERROR(__xludf.DUMMYFUNCTION("unique(filter(R:R,R:R=I160))"),"Guntakal")</f>
        <v>Guntakal</v>
      </c>
      <c r="N160" s="138" t="str">
        <f ca="1">IFERROR(__xludf.DUMMYFUNCTION("unique(filter(W:W,U:U=R160))"),"Alluri Sitharama Raju")</f>
        <v>Alluri Sitharama Raju</v>
      </c>
      <c r="O160" s="138" t="s">
        <v>8518</v>
      </c>
      <c r="P160" s="138" t="s">
        <v>8570</v>
      </c>
      <c r="Q160" s="138" t="str">
        <f ca="1">IFERROR(__xludf.DUMMYFUNCTION("filter(I:I,J:J=P160,G:G=O160)"),"Rampachodavaram (St)")</f>
        <v>Rampachodavaram (St)</v>
      </c>
      <c r="R160" s="138" t="s">
        <v>8520</v>
      </c>
      <c r="U160" s="138" t="s">
        <v>8309</v>
      </c>
      <c r="V160" s="138" t="s">
        <v>8568</v>
      </c>
      <c r="W160" s="138" t="str">
        <f ca="1">IFERROR(__xludf.DUMMYFUNCTION("filter(H:H,I:I=U160,J:J=V160)"),"Anantapur")</f>
        <v>Anantapur</v>
      </c>
    </row>
    <row r="161" spans="7:23">
      <c r="G161" s="138" t="s">
        <v>8443</v>
      </c>
      <c r="H161" s="138" t="s">
        <v>8443</v>
      </c>
      <c r="I161" s="138" t="s">
        <v>8309</v>
      </c>
      <c r="J161" s="138" t="s">
        <v>8571</v>
      </c>
      <c r="K161" s="138" t="str">
        <f ca="1">IFERROR(__xludf.DUMMYFUNCTION("unique(filter(R:R,R:R=I161))"),"Guntakal")</f>
        <v>Guntakal</v>
      </c>
      <c r="N161" s="138" t="str">
        <f ca="1">IFERROR(__xludf.DUMMYFUNCTION("unique(filter(W:W,U:U=R161))"),"Konaseema")</f>
        <v>Konaseema</v>
      </c>
      <c r="O161" s="138" t="s">
        <v>8518</v>
      </c>
      <c r="P161" s="138" t="s">
        <v>8572</v>
      </c>
      <c r="Q161" s="138" t="str">
        <f ca="1">IFERROR(__xludf.DUMMYFUNCTION("filter(I:I,J:J=P161,G:G=O161)"),"Razole (Sc)")</f>
        <v>Razole (Sc)</v>
      </c>
      <c r="R161" s="138" t="s">
        <v>8573</v>
      </c>
      <c r="U161" s="138" t="s">
        <v>8309</v>
      </c>
      <c r="V161" s="138" t="s">
        <v>8539</v>
      </c>
      <c r="W161" s="138" t="str">
        <f ca="1">IFERROR(__xludf.DUMMYFUNCTION("filter(H:H,I:I=U161,J:J=V161)"),"Anantapur")</f>
        <v>Anantapur</v>
      </c>
    </row>
    <row r="162" spans="7:23">
      <c r="G162" s="138" t="s">
        <v>8443</v>
      </c>
      <c r="H162" s="138" t="s">
        <v>8443</v>
      </c>
      <c r="I162" s="138" t="s">
        <v>8309</v>
      </c>
      <c r="J162" s="138" t="s">
        <v>8574</v>
      </c>
      <c r="K162" s="138" t="str">
        <f ca="1">IFERROR(__xludf.DUMMYFUNCTION("unique(filter(R:R,R:R=I162))"),"Guntakal")</f>
        <v>Guntakal</v>
      </c>
      <c r="N162" s="138" t="str">
        <f ca="1">IFERROR(__xludf.DUMMYFUNCTION("unique(filter(W:W,U:U=R162))"),"Konaseema")</f>
        <v>Konaseema</v>
      </c>
      <c r="O162" s="138" t="s">
        <v>8518</v>
      </c>
      <c r="P162" s="138" t="s">
        <v>8575</v>
      </c>
      <c r="Q162" s="138" t="str">
        <f ca="1">IFERROR(__xludf.DUMMYFUNCTION("filter(I:I,J:J=P162,G:G=O162)"),"#REF!")</f>
        <v>#REF!</v>
      </c>
      <c r="R162" s="138" t="s">
        <v>8523</v>
      </c>
      <c r="U162" s="138" t="s">
        <v>8309</v>
      </c>
      <c r="V162" s="138" t="s">
        <v>8571</v>
      </c>
      <c r="W162" s="138" t="str">
        <f ca="1">IFERROR(__xludf.DUMMYFUNCTION("filter(H:H,I:I=U162,J:J=V162)"),"Anantapur")</f>
        <v>Anantapur</v>
      </c>
    </row>
    <row r="163" spans="7:23">
      <c r="G163" s="138" t="s">
        <v>8443</v>
      </c>
      <c r="H163" s="138" t="s">
        <v>8443</v>
      </c>
      <c r="I163" s="138" t="s">
        <v>8309</v>
      </c>
      <c r="J163" s="138" t="s">
        <v>8576</v>
      </c>
      <c r="K163" s="138" t="str">
        <f ca="1">IFERROR(__xludf.DUMMYFUNCTION("unique(filter(R:R,R:R=I163))"),"Guntakal")</f>
        <v>Guntakal</v>
      </c>
      <c r="N163" s="138" t="str">
        <f ca="1">IFERROR(__xludf.DUMMYFUNCTION("unique(filter(W:W,U:U=R163))"),"Konaseema")</f>
        <v>Konaseema</v>
      </c>
      <c r="O163" s="138" t="s">
        <v>8518</v>
      </c>
      <c r="P163" s="138" t="s">
        <v>8577</v>
      </c>
      <c r="Q163" s="138" t="str">
        <f ca="1">IFERROR(__xludf.DUMMYFUNCTION("filter(I:I,J:J=P163,G:G=O163)"),"Mandapeta")</f>
        <v>Mandapeta</v>
      </c>
      <c r="R163" s="138" t="s">
        <v>8559</v>
      </c>
      <c r="U163" s="138" t="s">
        <v>8309</v>
      </c>
      <c r="V163" s="138" t="s">
        <v>8574</v>
      </c>
      <c r="W163" s="138" t="str">
        <f ca="1">IFERROR(__xludf.DUMMYFUNCTION("filter(H:H,I:I=U163,J:J=V163)"),"Anantapur")</f>
        <v>Anantapur</v>
      </c>
    </row>
    <row r="164" spans="7:23">
      <c r="G164" s="138" t="s">
        <v>8443</v>
      </c>
      <c r="H164" s="138" t="s">
        <v>8443</v>
      </c>
      <c r="I164" s="138" t="s">
        <v>8280</v>
      </c>
      <c r="J164" s="138" t="s">
        <v>8578</v>
      </c>
      <c r="K164" s="138" t="str">
        <f ca="1">IFERROR(__xludf.DUMMYFUNCTION("unique(filter(R:R,R:R=I164))"),"Uravakonda")</f>
        <v>Uravakonda</v>
      </c>
      <c r="N164" s="138" t="str">
        <f ca="1">IFERROR(__xludf.DUMMYFUNCTION("unique(filter(W:W,U:U=R164))"),"Alluri Sitharama Raju")</f>
        <v>Alluri Sitharama Raju</v>
      </c>
      <c r="O164" s="138" t="s">
        <v>8518</v>
      </c>
      <c r="P164" s="138" t="s">
        <v>8579</v>
      </c>
      <c r="Q164" s="138" t="str">
        <f ca="1">IFERROR(__xludf.DUMMYFUNCTION("filter(I:I,J:J=P164,G:G=O164)"),"Rampachodavaram (St)")</f>
        <v>Rampachodavaram (St)</v>
      </c>
      <c r="R164" s="138" t="s">
        <v>8520</v>
      </c>
      <c r="U164" s="138" t="s">
        <v>8309</v>
      </c>
      <c r="V164" s="138" t="s">
        <v>8576</v>
      </c>
      <c r="W164" s="138" t="str">
        <f ca="1">IFERROR(__xludf.DUMMYFUNCTION("filter(H:H,I:I=U164,J:J=V164)"),"Anantapur")</f>
        <v>Anantapur</v>
      </c>
    </row>
    <row r="165" spans="7:23">
      <c r="G165" s="138" t="s">
        <v>8443</v>
      </c>
      <c r="H165" s="138" t="s">
        <v>8443</v>
      </c>
      <c r="I165" s="138" t="s">
        <v>8280</v>
      </c>
      <c r="J165" s="138" t="s">
        <v>8580</v>
      </c>
      <c r="K165" s="138" t="str">
        <f ca="1">IFERROR(__xludf.DUMMYFUNCTION("unique(filter(R:R,R:R=I165))"),"Uravakonda")</f>
        <v>Uravakonda</v>
      </c>
      <c r="N165" s="138" t="str">
        <f ca="1">IFERROR(__xludf.DUMMYFUNCTION("unique(filter(W:W,U:U=R165))"),"Konaseema")</f>
        <v>Konaseema</v>
      </c>
      <c r="O165" s="138" t="s">
        <v>8518</v>
      </c>
      <c r="P165" s="138" t="s">
        <v>8581</v>
      </c>
      <c r="Q165" s="138" t="str">
        <f ca="1">IFERROR(__xludf.DUMMYFUNCTION("filter(I:I,J:J=P165,G:G=O165)"),"Mummidivaram")</f>
        <v>Mummidivaram</v>
      </c>
      <c r="R165" s="138" t="s">
        <v>8550</v>
      </c>
      <c r="U165" s="138" t="s">
        <v>8280</v>
      </c>
      <c r="V165" s="138" t="s">
        <v>8578</v>
      </c>
      <c r="W165" s="138" t="str">
        <f ca="1">IFERROR(__xludf.DUMMYFUNCTION("filter(H:H,I:I=U165,J:J=V165)"),"Anantapur")</f>
        <v>Anantapur</v>
      </c>
    </row>
    <row r="166" spans="7:23">
      <c r="G166" s="138" t="s">
        <v>8443</v>
      </c>
      <c r="H166" s="138" t="s">
        <v>8443</v>
      </c>
      <c r="I166" s="138" t="s">
        <v>8280</v>
      </c>
      <c r="J166" s="138" t="s">
        <v>8280</v>
      </c>
      <c r="K166" s="138" t="str">
        <f ca="1">IFERROR(__xludf.DUMMYFUNCTION("unique(filter(R:R,R:R=I166))"),"Uravakonda")</f>
        <v>Uravakonda</v>
      </c>
      <c r="N166" s="138" t="str">
        <f ca="1">IFERROR(__xludf.DUMMYFUNCTION("unique(filter(W:W,U:U=R166))"),"Konaseema")</f>
        <v>Konaseema</v>
      </c>
      <c r="O166" s="138" t="s">
        <v>8518</v>
      </c>
      <c r="P166" s="138" t="s">
        <v>8582</v>
      </c>
      <c r="Q166" s="138" t="str">
        <f ca="1">IFERROR(__xludf.DUMMYFUNCTION("filter(I:I,J:J=P166,G:G=O166)"),"Gannavaram (Sc)")</f>
        <v>Gannavaram (Sc)</v>
      </c>
      <c r="R166" s="138" t="s">
        <v>8523</v>
      </c>
      <c r="U166" s="138" t="s">
        <v>8280</v>
      </c>
      <c r="V166" s="138" t="s">
        <v>8580</v>
      </c>
      <c r="W166" s="138" t="str">
        <f ca="1">IFERROR(__xludf.DUMMYFUNCTION("filter(H:H,I:I=U166,J:J=V166)"),"Anantapur")</f>
        <v>Anantapur</v>
      </c>
    </row>
    <row r="167" spans="7:23">
      <c r="G167" s="138" t="s">
        <v>8443</v>
      </c>
      <c r="H167" s="138" t="s">
        <v>8443</v>
      </c>
      <c r="I167" s="138" t="s">
        <v>8280</v>
      </c>
      <c r="J167" s="138" t="s">
        <v>8583</v>
      </c>
      <c r="K167" s="138" t="str">
        <f ca="1">IFERROR(__xludf.DUMMYFUNCTION("unique(filter(R:R,R:R=I167))"),"Uravakonda")</f>
        <v>Uravakonda</v>
      </c>
      <c r="N167" s="138" t="str">
        <f ca="1">IFERROR(__xludf.DUMMYFUNCTION("unique(filter(W:W,U:U=R167))"),"Krishna")</f>
        <v>Krishna</v>
      </c>
      <c r="O167" s="138" t="s">
        <v>8518</v>
      </c>
      <c r="P167" s="138" t="s">
        <v>8584</v>
      </c>
      <c r="Q167" s="138" t="str">
        <f ca="1">IFERROR(__xludf.DUMMYFUNCTION("filter(I:I,J:J=P167,G:G=O167)"),"#N/A")</f>
        <v>#N/A</v>
      </c>
      <c r="R167" s="138" t="s">
        <v>8585</v>
      </c>
      <c r="U167" s="138" t="s">
        <v>8280</v>
      </c>
      <c r="V167" s="138" t="s">
        <v>8280</v>
      </c>
      <c r="W167" s="138" t="str">
        <f ca="1">IFERROR(__xludf.DUMMYFUNCTION("filter(H:H,I:I=U167,J:J=V167)"),"Anantapur")</f>
        <v>Anantapur</v>
      </c>
    </row>
    <row r="168" spans="7:23">
      <c r="G168" s="138" t="s">
        <v>8443</v>
      </c>
      <c r="H168" s="138" t="s">
        <v>8443</v>
      </c>
      <c r="I168" s="138" t="s">
        <v>8280</v>
      </c>
      <c r="J168" s="138" t="s">
        <v>8586</v>
      </c>
      <c r="K168" s="138" t="str">
        <f ca="1">IFERROR(__xludf.DUMMYFUNCTION("unique(filter(R:R,R:R=I168))"),"Uravakonda")</f>
        <v>Uravakonda</v>
      </c>
      <c r="N168" s="138" t="str">
        <f ca="1">IFERROR(__xludf.DUMMYFUNCTION("unique(filter(W:W,U:U=R168))"),"East Godavari")</f>
        <v>East Godavari</v>
      </c>
      <c r="O168" s="138" t="s">
        <v>8518</v>
      </c>
      <c r="P168" s="138" t="s">
        <v>8587</v>
      </c>
      <c r="Q168" s="138" t="str">
        <f ca="1">IFERROR(__xludf.DUMMYFUNCTION("filter(I:I,J:J=P168,G:G=O168)"),"Anaparthy")</f>
        <v>Anaparthy</v>
      </c>
      <c r="R168" s="138" t="s">
        <v>8535</v>
      </c>
      <c r="U168" s="138" t="s">
        <v>8280</v>
      </c>
      <c r="V168" s="138" t="s">
        <v>8583</v>
      </c>
      <c r="W168" s="138" t="str">
        <f ca="1">IFERROR(__xludf.DUMMYFUNCTION("filter(H:H,I:I=U168,J:J=V168)"),"Anantapur")</f>
        <v>Anantapur</v>
      </c>
    </row>
    <row r="169" spans="7:23">
      <c r="G169" s="138" t="s">
        <v>8443</v>
      </c>
      <c r="H169" s="138" t="s">
        <v>8443</v>
      </c>
      <c r="I169" s="138" t="s">
        <v>8282</v>
      </c>
      <c r="J169" s="138" t="s">
        <v>8531</v>
      </c>
      <c r="K169" s="138" t="str">
        <f ca="1">IFERROR(__xludf.DUMMYFUNCTION("unique(filter(R:R,R:R=I169))"),"Rayadurg")</f>
        <v>Rayadurg</v>
      </c>
      <c r="N169" s="138" t="str">
        <f ca="1">IFERROR(__xludf.DUMMYFUNCTION("unique(filter(W:W,U:U=R169))"),"Kakinada")</f>
        <v>Kakinada</v>
      </c>
      <c r="O169" s="138" t="s">
        <v>8518</v>
      </c>
      <c r="P169" s="138" t="s">
        <v>7690</v>
      </c>
      <c r="Q169" s="138" t="str">
        <f ca="1">IFERROR(__xludf.DUMMYFUNCTION("filter(I:I,J:J=P169,G:G=O169)"),"#REF!")</f>
        <v>#REF!</v>
      </c>
      <c r="R169" s="138" t="s">
        <v>7690</v>
      </c>
      <c r="U169" s="138" t="s">
        <v>8280</v>
      </c>
      <c r="V169" s="138" t="s">
        <v>8586</v>
      </c>
      <c r="W169" s="138" t="str">
        <f ca="1">IFERROR(__xludf.DUMMYFUNCTION("filter(H:H,I:I=U169,J:J=V169)"),"Anantapur")</f>
        <v>Anantapur</v>
      </c>
    </row>
    <row r="170" spans="7:23">
      <c r="G170" s="138" t="s">
        <v>8443</v>
      </c>
      <c r="H170" s="138" t="s">
        <v>8443</v>
      </c>
      <c r="I170" s="138" t="s">
        <v>8282</v>
      </c>
      <c r="J170" s="138" t="s">
        <v>8588</v>
      </c>
      <c r="K170" s="138" t="str">
        <f ca="1">IFERROR(__xludf.DUMMYFUNCTION("unique(filter(R:R,R:R=I170))"),"Rayadurg")</f>
        <v>Rayadurg</v>
      </c>
      <c r="N170" s="138" t="str">
        <f ca="1">IFERROR(__xludf.DUMMYFUNCTION("unique(filter(W:W,U:U=R170))"),"Kakinada")</f>
        <v>Kakinada</v>
      </c>
      <c r="O170" s="138" t="s">
        <v>8518</v>
      </c>
      <c r="P170" s="138" t="s">
        <v>7833</v>
      </c>
      <c r="Q170" s="138" t="str">
        <f ca="1">IFERROR(__xludf.DUMMYFUNCTION("filter(I:I,J:J=P170,G:G=O170)"),"Pithapuram")</f>
        <v>Pithapuram</v>
      </c>
      <c r="R170" s="138" t="s">
        <v>10</v>
      </c>
      <c r="U170" s="138" t="s">
        <v>8282</v>
      </c>
      <c r="V170" s="138" t="s">
        <v>8531</v>
      </c>
      <c r="W170" s="138" t="str">
        <f ca="1">IFERROR(__xludf.DUMMYFUNCTION("filter(H:H,I:I=U170,J:J=V170)"),"Anantapur")</f>
        <v>Anantapur</v>
      </c>
    </row>
    <row r="171" spans="7:23">
      <c r="G171" s="138" t="s">
        <v>8443</v>
      </c>
      <c r="H171" s="138" t="s">
        <v>8443</v>
      </c>
      <c r="I171" s="138" t="s">
        <v>8282</v>
      </c>
      <c r="J171" s="138" t="s">
        <v>8589</v>
      </c>
      <c r="K171" s="138" t="str">
        <f ca="1">IFERROR(__xludf.DUMMYFUNCTION("unique(filter(R:R,R:R=I171))"),"Rayadurg")</f>
        <v>Rayadurg</v>
      </c>
      <c r="N171" s="138" t="str">
        <f ca="1">IFERROR(__xludf.DUMMYFUNCTION("unique(filter(W:W,U:U=R171))"),"Kakinada")</f>
        <v>Kakinada</v>
      </c>
      <c r="O171" s="138" t="s">
        <v>8518</v>
      </c>
      <c r="P171" s="138" t="s">
        <v>8312</v>
      </c>
      <c r="Q171" s="138" t="str">
        <f ca="1">IFERROR(__xludf.DUMMYFUNCTION("filter(I:I,J:J=P171,G:G=O171)"),"#N/A")</f>
        <v>#N/A</v>
      </c>
      <c r="R171" s="138" t="s">
        <v>8</v>
      </c>
      <c r="U171" s="138" t="s">
        <v>8282</v>
      </c>
      <c r="V171" s="138" t="s">
        <v>8588</v>
      </c>
      <c r="W171" s="138" t="str">
        <f ca="1">IFERROR(__xludf.DUMMYFUNCTION("filter(H:H,I:I=U171,J:J=V171)"),"Anantapur")</f>
        <v>Anantapur</v>
      </c>
    </row>
    <row r="172" spans="7:23">
      <c r="G172" s="138" t="s">
        <v>8443</v>
      </c>
      <c r="H172" s="138" t="s">
        <v>8443</v>
      </c>
      <c r="I172" s="138" t="s">
        <v>8282</v>
      </c>
      <c r="J172" s="138" t="s">
        <v>8282</v>
      </c>
      <c r="K172" s="138" t="str">
        <f ca="1">IFERROR(__xludf.DUMMYFUNCTION("unique(filter(R:R,R:R=I172))"),"Rayadurg")</f>
        <v>Rayadurg</v>
      </c>
      <c r="N172" s="138" t="str">
        <f ca="1">IFERROR(__xludf.DUMMYFUNCTION("unique(filter(W:W,U:U=R172))"),"East Godavari")</f>
        <v>East Godavari</v>
      </c>
      <c r="O172" s="138" t="s">
        <v>8518</v>
      </c>
      <c r="P172" s="138" t="s">
        <v>8590</v>
      </c>
      <c r="Q172" s="138" t="str">
        <f ca="1">IFERROR(__xludf.DUMMYFUNCTION("filter(I:I,J:J=P172,G:G=O172)"),"#N/A")</f>
        <v>#N/A</v>
      </c>
      <c r="R172" s="138" t="s">
        <v>8591</v>
      </c>
      <c r="U172" s="138" t="s">
        <v>8282</v>
      </c>
      <c r="V172" s="138" t="s">
        <v>8589</v>
      </c>
      <c r="W172" s="138" t="str">
        <f ca="1">IFERROR(__xludf.DUMMYFUNCTION("filter(H:H,I:I=U172,J:J=V172)"),"Anantapur")</f>
        <v>Anantapur</v>
      </c>
    </row>
    <row r="173" spans="7:23">
      <c r="G173" s="138" t="s">
        <v>8443</v>
      </c>
      <c r="H173" s="138" t="s">
        <v>8443</v>
      </c>
      <c r="I173" s="138" t="s">
        <v>8282</v>
      </c>
      <c r="J173" s="138" t="s">
        <v>8592</v>
      </c>
      <c r="K173" s="138" t="str">
        <f ca="1">IFERROR(__xludf.DUMMYFUNCTION("unique(filter(R:R,R:R=I173))"),"Rayadurg")</f>
        <v>Rayadurg</v>
      </c>
      <c r="N173" s="138" t="str">
        <f ca="1">IFERROR(__xludf.DUMMYFUNCTION("unique(filter(W:W,U:U=R173))"),"East Godavari")</f>
        <v>East Godavari</v>
      </c>
      <c r="O173" s="138" t="s">
        <v>8518</v>
      </c>
      <c r="P173" s="138" t="s">
        <v>8593</v>
      </c>
      <c r="Q173" s="138" t="str">
        <f ca="1">IFERROR(__xludf.DUMMYFUNCTION("filter(I:I,J:J=P173,G:G=O173)"),"#N/A")</f>
        <v>#N/A</v>
      </c>
      <c r="R173" s="138" t="s">
        <v>8554</v>
      </c>
      <c r="U173" s="138" t="s">
        <v>8282</v>
      </c>
      <c r="V173" s="138" t="s">
        <v>8282</v>
      </c>
      <c r="W173" s="138" t="str">
        <f ca="1">IFERROR(__xludf.DUMMYFUNCTION("filter(H:H,I:I=U173,J:J=V173)"),"Anantapur")</f>
        <v>Anantapur</v>
      </c>
    </row>
    <row r="174" spans="7:23">
      <c r="G174" s="138" t="s">
        <v>8443</v>
      </c>
      <c r="H174" s="138" t="s">
        <v>8443</v>
      </c>
      <c r="I174" s="138" t="s">
        <v>8282</v>
      </c>
      <c r="J174" s="138" t="s">
        <v>8594</v>
      </c>
      <c r="K174" s="138" t="str">
        <f ca="1">IFERROR(__xludf.DUMMYFUNCTION("unique(filter(R:R,R:R=I174))"),"Rayadurg")</f>
        <v>Rayadurg</v>
      </c>
      <c r="N174" s="138" t="str">
        <f ca="1">IFERROR(__xludf.DUMMYFUNCTION("unique(filter(W:W,U:U=R174))"),"East Godavari")</f>
        <v>East Godavari</v>
      </c>
      <c r="O174" s="138" t="s">
        <v>8518</v>
      </c>
      <c r="P174" s="138" t="s">
        <v>8595</v>
      </c>
      <c r="Q174" s="138" t="str">
        <f ca="1">IFERROR(__xludf.DUMMYFUNCTION("filter(I:I,J:J=P174,G:G=O174)"),"Rajanagaram")</f>
        <v>Rajanagaram</v>
      </c>
      <c r="R174" s="138" t="s">
        <v>8566</v>
      </c>
      <c r="U174" s="138" t="s">
        <v>8282</v>
      </c>
      <c r="V174" s="138" t="s">
        <v>8592</v>
      </c>
      <c r="W174" s="138" t="str">
        <f ca="1">IFERROR(__xludf.DUMMYFUNCTION("filter(H:H,I:I=U174,J:J=V174)"),"Anantapur")</f>
        <v>Anantapur</v>
      </c>
    </row>
    <row r="175" spans="7:23">
      <c r="G175" s="138" t="e">
        <v>#N/A</v>
      </c>
      <c r="H175" s="138" t="e">
        <v>#N/A</v>
      </c>
      <c r="I175" s="138" t="s">
        <v>8282</v>
      </c>
      <c r="J175" s="138" t="e">
        <v>#N/A</v>
      </c>
      <c r="K175" s="138" t="str">
        <f ca="1">IFERROR(__xludf.DUMMYFUNCTION("unique(filter(R:R,R:R=I175))"),"Rayadurg")</f>
        <v>Rayadurg</v>
      </c>
      <c r="N175" s="138" t="str">
        <f ca="1">IFERROR(__xludf.DUMMYFUNCTION("unique(filter(W:W,U:U=R175))"),"Alluri Sitharama Raju")</f>
        <v>Alluri Sitharama Raju</v>
      </c>
      <c r="O175" s="138" t="s">
        <v>8518</v>
      </c>
      <c r="P175" s="138" t="s">
        <v>8596</v>
      </c>
      <c r="Q175" s="138" t="str">
        <f ca="1">IFERROR(__xludf.DUMMYFUNCTION("filter(I:I,J:J=P175,G:G=O175)"),"Rampachodavaram (St)")</f>
        <v>Rampachodavaram (St)</v>
      </c>
      <c r="R175" s="138" t="s">
        <v>8520</v>
      </c>
      <c r="U175" s="138" t="s">
        <v>8282</v>
      </c>
      <c r="V175" s="138" t="s">
        <v>8594</v>
      </c>
      <c r="W175" s="138" t="str">
        <f ca="1">IFERROR(__xludf.DUMMYFUNCTION("filter(H:H,I:I=U175,J:J=V175)"),"Anantapur")</f>
        <v>Anantapur</v>
      </c>
    </row>
    <row r="176" spans="7:23">
      <c r="G176" s="138" t="s">
        <v>8597</v>
      </c>
      <c r="H176" s="138" t="s">
        <v>8597</v>
      </c>
      <c r="I176" s="138" t="s">
        <v>8598</v>
      </c>
      <c r="J176" s="138" t="s">
        <v>8599</v>
      </c>
      <c r="K176" s="138" t="str">
        <f ca="1">IFERROR(__xludf.DUMMYFUNCTION("unique(filter(R:R,R:R=I176))"),"Alur")</f>
        <v>Alur</v>
      </c>
      <c r="N176" s="138" t="str">
        <f ca="1">IFERROR(__xludf.DUMMYFUNCTION("unique(filter(W:W,U:U=R176))"),"Konaseema")</f>
        <v>Konaseema</v>
      </c>
      <c r="O176" s="138" t="s">
        <v>8518</v>
      </c>
      <c r="P176" s="138" t="s">
        <v>8600</v>
      </c>
      <c r="Q176" s="138" t="str">
        <f ca="1">IFERROR(__xludf.DUMMYFUNCTION("filter(I:I,J:J=P176,G:G=O176)"),"#N/A")</f>
        <v>#N/A</v>
      </c>
      <c r="R176" s="138" t="s">
        <v>1193</v>
      </c>
    </row>
    <row r="177" spans="7:23">
      <c r="G177" s="138" t="s">
        <v>8597</v>
      </c>
      <c r="H177" s="138" t="s">
        <v>8597</v>
      </c>
      <c r="I177" s="138" t="s">
        <v>8598</v>
      </c>
      <c r="J177" s="138" t="s">
        <v>8601</v>
      </c>
      <c r="K177" s="138" t="str">
        <f ca="1">IFERROR(__xludf.DUMMYFUNCTION("unique(filter(R:R,R:R=I177))"),"Alur")</f>
        <v>Alur</v>
      </c>
      <c r="N177" s="138" t="str">
        <f ca="1">IFERROR(__xludf.DUMMYFUNCTION("unique(filter(W:W,U:U=R177))"),"Alluri Sitharama Raju")</f>
        <v>Alluri Sitharama Raju</v>
      </c>
      <c r="O177" s="138" t="s">
        <v>8518</v>
      </c>
      <c r="P177" s="138" t="s">
        <v>8602</v>
      </c>
      <c r="Q177" s="138" t="str">
        <f ca="1">IFERROR(__xludf.DUMMYFUNCTION("filter(I:I,J:J=P177,G:G=O177)"),"Rampachodavaram (St)")</f>
        <v>Rampachodavaram (St)</v>
      </c>
      <c r="R177" s="138" t="s">
        <v>8520</v>
      </c>
      <c r="U177" s="138" t="s">
        <v>8598</v>
      </c>
      <c r="V177" s="138" t="s">
        <v>8599</v>
      </c>
      <c r="W177" s="138" t="str">
        <f ca="1">IFERROR(__xludf.DUMMYFUNCTION("filter(H:H,I:I=U177,J:J=V177)"),"Kurnool")</f>
        <v>Kurnool</v>
      </c>
    </row>
    <row r="178" spans="7:23">
      <c r="G178" s="138" t="s">
        <v>8597</v>
      </c>
      <c r="H178" s="138" t="s">
        <v>8597</v>
      </c>
      <c r="I178" s="138" t="s">
        <v>8598</v>
      </c>
      <c r="J178" s="138" t="s">
        <v>8603</v>
      </c>
      <c r="K178" s="138" t="str">
        <f ca="1">IFERROR(__xludf.DUMMYFUNCTION("unique(filter(R:R,R:R=I178))"),"Alur")</f>
        <v>Alur</v>
      </c>
      <c r="N178" s="138" t="str">
        <f ca="1">IFERROR(__xludf.DUMMYFUNCTION("unique(filter(W:W,U:U=R178))"),"East Godavari")</f>
        <v>East Godavari</v>
      </c>
      <c r="O178" s="138" t="s">
        <v>8518</v>
      </c>
      <c r="P178" s="138" t="s">
        <v>8604</v>
      </c>
      <c r="Q178" s="138" t="str">
        <f ca="1">IFERROR(__xludf.DUMMYFUNCTION("filter(I:I,J:J=P178,G:G=O178)"),"Anaparthy")</f>
        <v>Anaparthy</v>
      </c>
      <c r="R178" s="138" t="s">
        <v>8535</v>
      </c>
      <c r="U178" s="138" t="s">
        <v>8598</v>
      </c>
      <c r="V178" s="138" t="s">
        <v>8601</v>
      </c>
      <c r="W178" s="138" t="str">
        <f ca="1">IFERROR(__xludf.DUMMYFUNCTION("filter(H:H,I:I=U178,J:J=V178)"),"Kurnool")</f>
        <v>Kurnool</v>
      </c>
    </row>
    <row r="179" spans="7:23">
      <c r="G179" s="138" t="s">
        <v>8597</v>
      </c>
      <c r="H179" s="138" t="s">
        <v>8597</v>
      </c>
      <c r="I179" s="138" t="s">
        <v>8598</v>
      </c>
      <c r="J179" s="138" t="s">
        <v>8598</v>
      </c>
      <c r="K179" s="138" t="str">
        <f ca="1">IFERROR(__xludf.DUMMYFUNCTION("unique(filter(R:R,R:R=I179))"),"Alur")</f>
        <v>Alur</v>
      </c>
      <c r="N179" s="138" t="str">
        <f ca="1">IFERROR(__xludf.DUMMYFUNCTION("unique(filter(W:W,U:U=R179))"),"Konaseema")</f>
        <v>Konaseema</v>
      </c>
      <c r="O179" s="138" t="s">
        <v>8518</v>
      </c>
      <c r="P179" s="138" t="s">
        <v>8605</v>
      </c>
      <c r="Q179" s="138" t="str">
        <f ca="1">IFERROR(__xludf.DUMMYFUNCTION("filter(I:I,J:J=P179,G:G=O179)"),"Kothapeta")</f>
        <v>Kothapeta</v>
      </c>
      <c r="R179" s="138" t="s">
        <v>8526</v>
      </c>
      <c r="U179" s="138" t="s">
        <v>8598</v>
      </c>
      <c r="V179" s="138" t="s">
        <v>8603</v>
      </c>
      <c r="W179" s="138" t="str">
        <f ca="1">IFERROR(__xludf.DUMMYFUNCTION("filter(H:H,I:I=U179,J:J=V179)"),"Kurnool")</f>
        <v>Kurnool</v>
      </c>
    </row>
    <row r="180" spans="7:23">
      <c r="G180" s="138" t="s">
        <v>8597</v>
      </c>
      <c r="H180" s="138" t="s">
        <v>8597</v>
      </c>
      <c r="I180" s="138" t="s">
        <v>8598</v>
      </c>
      <c r="J180" s="138" t="s">
        <v>8606</v>
      </c>
      <c r="K180" s="138" t="str">
        <f ca="1">IFERROR(__xludf.DUMMYFUNCTION("unique(filter(R:R,R:R=I180))"),"Alur")</f>
        <v>Alur</v>
      </c>
      <c r="N180" s="138" t="str">
        <f ca="1">IFERROR(__xludf.DUMMYFUNCTION("unique(filter(W:W,U:U=R180))"),"Konaseema")</f>
        <v>Konaseema</v>
      </c>
      <c r="O180" s="138" t="s">
        <v>8518</v>
      </c>
      <c r="P180" s="138" t="s">
        <v>8607</v>
      </c>
      <c r="Q180" s="138" t="str">
        <f ca="1">IFERROR(__xludf.DUMMYFUNCTION("filter(I:I,J:J=P180,G:G=O180)"),"Mandapeta")</f>
        <v>Mandapeta</v>
      </c>
      <c r="R180" s="138" t="s">
        <v>8559</v>
      </c>
      <c r="U180" s="138" t="s">
        <v>8598</v>
      </c>
      <c r="V180" s="138" t="s">
        <v>8598</v>
      </c>
      <c r="W180" s="138" t="str">
        <f ca="1">IFERROR(__xludf.DUMMYFUNCTION("filter(H:H,I:I=U180,J:J=V180)"),"Kurnool")</f>
        <v>Kurnool</v>
      </c>
    </row>
    <row r="181" spans="7:23">
      <c r="G181" s="138" t="s">
        <v>8597</v>
      </c>
      <c r="H181" s="138" t="s">
        <v>8597</v>
      </c>
      <c r="I181" s="138" t="s">
        <v>8598</v>
      </c>
      <c r="J181" s="138" t="s">
        <v>8608</v>
      </c>
      <c r="K181" s="138" t="str">
        <f ca="1">IFERROR(__xludf.DUMMYFUNCTION("unique(filter(R:R,R:R=I181))"),"Alur")</f>
        <v>Alur</v>
      </c>
      <c r="N181" s="138" t="str">
        <f ca="1">IFERROR(__xludf.DUMMYFUNCTION("unique(filter(W:W,U:U=R181))"),"Konaseema")</f>
        <v>Konaseema</v>
      </c>
      <c r="O181" s="138" t="s">
        <v>8518</v>
      </c>
      <c r="P181" s="138" t="s">
        <v>8609</v>
      </c>
      <c r="Q181" s="138" t="str">
        <f ca="1">IFERROR(__xludf.DUMMYFUNCTION("filter(I:I,J:J=P181,G:G=O181)"),"Razole (Sc)")</f>
        <v>Razole (Sc)</v>
      </c>
      <c r="R181" s="138" t="s">
        <v>8573</v>
      </c>
      <c r="U181" s="138" t="s">
        <v>8598</v>
      </c>
      <c r="V181" s="138" t="s">
        <v>8606</v>
      </c>
      <c r="W181" s="138" t="str">
        <f ca="1">IFERROR(__xludf.DUMMYFUNCTION("filter(H:H,I:I=U181,J:J=V181)"),"Kurnool")</f>
        <v>Kurnool</v>
      </c>
    </row>
    <row r="182" spans="7:23">
      <c r="G182" s="138" t="s">
        <v>8597</v>
      </c>
      <c r="H182" s="138" t="s">
        <v>8597</v>
      </c>
      <c r="I182" s="138" t="s">
        <v>8610</v>
      </c>
      <c r="J182" s="138" t="s">
        <v>8610</v>
      </c>
      <c r="K182" s="138" t="str">
        <f ca="1">IFERROR(__xludf.DUMMYFUNCTION("unique(filter(R:R,R:R=I182))"),"Adoni")</f>
        <v>Adoni</v>
      </c>
      <c r="N182" s="138" t="str">
        <f ca="1">IFERROR(__xludf.DUMMYFUNCTION("unique(filter(W:W,U:U=R182))"),"Kakinada")</f>
        <v>Kakinada</v>
      </c>
      <c r="O182" s="138" t="s">
        <v>8518</v>
      </c>
      <c r="P182" s="138" t="s">
        <v>8314</v>
      </c>
      <c r="Q182" s="138" t="str">
        <f ca="1">IFERROR(__xludf.DUMMYFUNCTION("filter(I:I,J:J=P182,G:G=O182)"),"Prathipadu")</f>
        <v>Prathipadu</v>
      </c>
      <c r="R182" s="138" t="s">
        <v>8</v>
      </c>
      <c r="U182" s="138" t="s">
        <v>8598</v>
      </c>
      <c r="V182" s="138" t="s">
        <v>8608</v>
      </c>
      <c r="W182" s="138" t="str">
        <f ca="1">IFERROR(__xludf.DUMMYFUNCTION("filter(H:H,I:I=U182,J:J=V182)"),"Kurnool")</f>
        <v>Kurnool</v>
      </c>
    </row>
    <row r="183" spans="7:23">
      <c r="G183" s="138" t="s">
        <v>8597</v>
      </c>
      <c r="H183" s="138" t="s">
        <v>8597</v>
      </c>
      <c r="I183" s="138" t="s">
        <v>8610</v>
      </c>
      <c r="J183" s="138" t="s">
        <v>8611</v>
      </c>
      <c r="K183" s="138" t="str">
        <f ca="1">IFERROR(__xludf.DUMMYFUNCTION("unique(filter(R:R,R:R=I183))"),"Adoni")</f>
        <v>Adoni</v>
      </c>
      <c r="N183" s="138" t="str">
        <f ca="1">IFERROR(__xludf.DUMMYFUNCTION("unique(filter(W:W,U:U=R183))"),"Konaseema")</f>
        <v>Konaseema</v>
      </c>
      <c r="O183" s="138" t="s">
        <v>8518</v>
      </c>
      <c r="P183" s="138" t="s">
        <v>8612</v>
      </c>
      <c r="Q183" s="138" t="str">
        <f ca="1">IFERROR(__xludf.DUMMYFUNCTION("filter(I:I,J:J=P183,G:G=O183)"),"Razole (Sc)")</f>
        <v>Razole (Sc)</v>
      </c>
      <c r="R183" s="138" t="s">
        <v>8573</v>
      </c>
      <c r="U183" s="138" t="s">
        <v>8610</v>
      </c>
      <c r="V183" s="138" t="s">
        <v>8610</v>
      </c>
      <c r="W183" s="138" t="str">
        <f ca="1">IFERROR(__xludf.DUMMYFUNCTION("filter(H:H,I:I=U183,J:J=V183)"),"Kurnool")</f>
        <v>Kurnool</v>
      </c>
    </row>
    <row r="184" spans="7:23">
      <c r="G184" s="138" t="s">
        <v>8597</v>
      </c>
      <c r="H184" s="138" t="s">
        <v>8597</v>
      </c>
      <c r="I184" s="138" t="s">
        <v>8613</v>
      </c>
      <c r="J184" s="138" t="s">
        <v>8614</v>
      </c>
      <c r="K184" s="138" t="str">
        <f ca="1">IFERROR(__xludf.DUMMYFUNCTION("unique(filter(R:R,R:R=I184))"),"Mantralayam")</f>
        <v>Mantralayam</v>
      </c>
      <c r="N184" s="138" t="str">
        <f ca="1">IFERROR(__xludf.DUMMYFUNCTION("unique(filter(W:W,U:U=R184))"),"Kakinada")</f>
        <v>Kakinada</v>
      </c>
      <c r="O184" s="138" t="s">
        <v>8518</v>
      </c>
      <c r="P184" s="138" t="s">
        <v>7727</v>
      </c>
      <c r="Q184" s="138" t="str">
        <f ca="1">IFERROR(__xludf.DUMMYFUNCTION("filter(I:I,J:J=P184,G:G=O184)"),"Peddapuram")</f>
        <v>Peddapuram</v>
      </c>
      <c r="R184" s="138" t="s">
        <v>15</v>
      </c>
      <c r="U184" s="138" t="s">
        <v>8610</v>
      </c>
      <c r="V184" s="138" t="s">
        <v>8611</v>
      </c>
      <c r="W184" s="138" t="str">
        <f ca="1">IFERROR(__xludf.DUMMYFUNCTION("filter(H:H,I:I=U184,J:J=V184)"),"Kurnool")</f>
        <v>Kurnool</v>
      </c>
    </row>
    <row r="185" spans="7:23">
      <c r="G185" s="138" t="s">
        <v>8597</v>
      </c>
      <c r="H185" s="138" t="s">
        <v>8597</v>
      </c>
      <c r="I185" s="138" t="s">
        <v>8613</v>
      </c>
      <c r="J185" s="138" t="s">
        <v>8615</v>
      </c>
      <c r="K185" s="138" t="str">
        <f ca="1">IFERROR(__xludf.DUMMYFUNCTION("unique(filter(R:R,R:R=I185))"),"Mantralayam")</f>
        <v>Mantralayam</v>
      </c>
      <c r="N185" s="138" t="str">
        <f ca="1">IFERROR(__xludf.DUMMYFUNCTION("unique(filter(W:W,U:U=R185))"),"Kakinada")</f>
        <v>Kakinada</v>
      </c>
      <c r="O185" s="138" t="s">
        <v>8518</v>
      </c>
      <c r="P185" s="138" t="s">
        <v>8317</v>
      </c>
      <c r="Q185" s="138" t="str">
        <f ca="1">IFERROR(__xludf.DUMMYFUNCTION("filter(I:I,J:J=P185,G:G=O185)"),"Prathipadu")</f>
        <v>Prathipadu</v>
      </c>
      <c r="R185" s="138" t="s">
        <v>8</v>
      </c>
      <c r="U185" s="138" t="s">
        <v>8613</v>
      </c>
      <c r="V185" s="138" t="s">
        <v>8614</v>
      </c>
      <c r="W185" s="138" t="str">
        <f ca="1">IFERROR(__xludf.DUMMYFUNCTION("filter(H:H,I:I=U185,J:J=V185)"),"Kurnool")</f>
        <v>Kurnool</v>
      </c>
    </row>
    <row r="186" spans="7:23">
      <c r="G186" s="138" t="s">
        <v>8597</v>
      </c>
      <c r="H186" s="138" t="s">
        <v>8597</v>
      </c>
      <c r="I186" s="138" t="s">
        <v>8613</v>
      </c>
      <c r="J186" s="138" t="s">
        <v>8613</v>
      </c>
      <c r="K186" s="138" t="str">
        <f ca="1">IFERROR(__xludf.DUMMYFUNCTION("unique(filter(R:R,R:R=I186))"),"Mantralayam")</f>
        <v>Mantralayam</v>
      </c>
      <c r="N186" s="138" t="str">
        <f ca="1">IFERROR(__xludf.DUMMYFUNCTION("unique(filter(W:W,U:U=R186))"),"East Godavari")</f>
        <v>East Godavari</v>
      </c>
      <c r="O186" s="138" t="s">
        <v>8518</v>
      </c>
      <c r="P186" s="138" t="s">
        <v>8616</v>
      </c>
      <c r="Q186" s="138" t="str">
        <f ca="1">IFERROR(__xludf.DUMMYFUNCTION("filter(I:I,J:J=P186,G:G=O186)"),"#N/A")</f>
        <v>#N/A</v>
      </c>
      <c r="R186" s="138" t="s">
        <v>8566</v>
      </c>
      <c r="U186" s="138" t="s">
        <v>8613</v>
      </c>
      <c r="V186" s="138" t="s">
        <v>8615</v>
      </c>
      <c r="W186" s="138" t="str">
        <f ca="1">IFERROR(__xludf.DUMMYFUNCTION("filter(H:H,I:I=U186,J:J=V186)"),"Kurnool")</f>
        <v>Kurnool</v>
      </c>
    </row>
    <row r="187" spans="7:23">
      <c r="G187" s="138" t="s">
        <v>8597</v>
      </c>
      <c r="H187" s="138" t="s">
        <v>8597</v>
      </c>
      <c r="I187" s="138" t="s">
        <v>8613</v>
      </c>
      <c r="J187" s="138" t="s">
        <v>8617</v>
      </c>
      <c r="K187" s="138" t="str">
        <f ca="1">IFERROR(__xludf.DUMMYFUNCTION("unique(filter(R:R,R:R=I187))"),"Mantralayam")</f>
        <v>Mantralayam</v>
      </c>
      <c r="N187" s="138" t="str">
        <f ca="1">IFERROR(__xludf.DUMMYFUNCTION("unique(filter(W:W,U:U=R187))"),"Konaseema")</f>
        <v>Konaseema</v>
      </c>
      <c r="O187" s="138" t="s">
        <v>8518</v>
      </c>
      <c r="P187" s="138" t="s">
        <v>8618</v>
      </c>
      <c r="Q187" s="138" t="str">
        <f ca="1">IFERROR(__xludf.DUMMYFUNCTION("filter(I:I,J:J=P187,G:G=O187)"),"Mummidivaram")</f>
        <v>Mummidivaram</v>
      </c>
      <c r="R187" s="138" t="s">
        <v>8550</v>
      </c>
      <c r="U187" s="138" t="s">
        <v>8613</v>
      </c>
      <c r="V187" s="138" t="s">
        <v>8613</v>
      </c>
      <c r="W187" s="138" t="str">
        <f ca="1">IFERROR(__xludf.DUMMYFUNCTION("filter(H:H,I:I=U187,J:J=V187)"),"Kurnool")</f>
        <v>Kurnool</v>
      </c>
    </row>
    <row r="188" spans="7:23">
      <c r="G188" s="138" t="e">
        <v>#N/A</v>
      </c>
      <c r="H188" s="138" t="e">
        <v>#N/A</v>
      </c>
      <c r="I188" s="138" t="s">
        <v>8613</v>
      </c>
      <c r="J188" s="138" t="e">
        <v>#N/A</v>
      </c>
      <c r="K188" s="138" t="str">
        <f ca="1">IFERROR(__xludf.DUMMYFUNCTION("unique(filter(R:R,R:R=I188))"),"Mantralayam")</f>
        <v>Mantralayam</v>
      </c>
      <c r="N188" s="138" t="str">
        <f ca="1">IFERROR(__xludf.DUMMYFUNCTION("unique(filter(W:W,U:U=R188))"),"Kakinada")</f>
        <v>Kakinada</v>
      </c>
      <c r="O188" s="138" t="s">
        <v>8518</v>
      </c>
      <c r="P188" s="138" t="s">
        <v>8204</v>
      </c>
      <c r="Q188" s="138" t="str">
        <f ca="1">IFERROR(__xludf.DUMMYFUNCTION("filter(I:I,J:J=P188,G:G=O188)"),"Tuni")</f>
        <v>Tuni</v>
      </c>
      <c r="R188" s="138" t="s">
        <v>7</v>
      </c>
      <c r="U188" s="138" t="s">
        <v>8613</v>
      </c>
      <c r="V188" s="138" t="s">
        <v>8617</v>
      </c>
      <c r="W188" s="138" t="str">
        <f ca="1">IFERROR(__xludf.DUMMYFUNCTION("filter(H:H,I:I=U188,J:J=V188)"),"Kurnool")</f>
        <v>Kurnool</v>
      </c>
    </row>
    <row r="189" spans="7:23">
      <c r="G189" s="138" t="s">
        <v>8597</v>
      </c>
      <c r="H189" s="138" t="s">
        <v>8597</v>
      </c>
      <c r="I189" s="138" t="s">
        <v>8619</v>
      </c>
      <c r="J189" s="138" t="s">
        <v>8620</v>
      </c>
      <c r="K189" s="138" t="str">
        <f ca="1">IFERROR(__xludf.DUMMYFUNCTION("unique(filter(R:R,R:R=I189))"),"Yemmiganur")</f>
        <v>Yemmiganur</v>
      </c>
      <c r="N189" s="138" t="str">
        <f ca="1">IFERROR(__xludf.DUMMYFUNCTION("unique(filter(W:W,U:U=R189))"),"Kakinada")</f>
        <v>Kakinada</v>
      </c>
      <c r="O189" s="138" t="s">
        <v>8518</v>
      </c>
      <c r="P189" s="138" t="s">
        <v>8322</v>
      </c>
      <c r="Q189" s="138" t="str">
        <f ca="1">IFERROR(__xludf.DUMMYFUNCTION("filter(I:I,J:J=P189,G:G=O189)"),"Tuni")</f>
        <v>Tuni</v>
      </c>
      <c r="R189" s="138" t="s">
        <v>7</v>
      </c>
    </row>
    <row r="190" spans="7:23">
      <c r="G190" s="138" t="s">
        <v>8597</v>
      </c>
      <c r="H190" s="138" t="s">
        <v>8597</v>
      </c>
      <c r="I190" s="138" t="s">
        <v>8619</v>
      </c>
      <c r="J190" s="138" t="s">
        <v>8619</v>
      </c>
      <c r="K190" s="138" t="str">
        <f ca="1">IFERROR(__xludf.DUMMYFUNCTION("unique(filter(R:R,R:R=I190))"),"Yemmiganur")</f>
        <v>Yemmiganur</v>
      </c>
      <c r="N190" s="138" t="str">
        <f ca="1">IFERROR(__xludf.DUMMYFUNCTION("unique(filter(W:W,U:U=R190))"),"Konaseema")</f>
        <v>Konaseema</v>
      </c>
      <c r="O190" s="138" t="s">
        <v>8518</v>
      </c>
      <c r="P190" s="138" t="s">
        <v>8621</v>
      </c>
      <c r="Q190" s="138" t="str">
        <f ca="1">IFERROR(__xludf.DUMMYFUNCTION("filter(I:I,J:J=P190,G:G=O190)"),"Amalapuram (Sc)")</f>
        <v>Amalapuram (Sc)</v>
      </c>
      <c r="R190" s="138" t="s">
        <v>8529</v>
      </c>
      <c r="U190" s="138" t="s">
        <v>8619</v>
      </c>
      <c r="V190" s="138" t="s">
        <v>8620</v>
      </c>
      <c r="W190" s="138" t="str">
        <f ca="1">IFERROR(__xludf.DUMMYFUNCTION("filter(H:H,I:I=U190,J:J=V190)"),"Kurnool")</f>
        <v>Kurnool</v>
      </c>
    </row>
    <row r="191" spans="7:23">
      <c r="G191" s="138" t="s">
        <v>8597</v>
      </c>
      <c r="H191" s="138" t="s">
        <v>8597</v>
      </c>
      <c r="I191" s="138" t="s">
        <v>8619</v>
      </c>
      <c r="J191" s="138" t="s">
        <v>8622</v>
      </c>
      <c r="K191" s="138" t="str">
        <f ca="1">IFERROR(__xludf.DUMMYFUNCTION("unique(filter(R:R,R:R=I191))"),"Yemmiganur")</f>
        <v>Yemmiganur</v>
      </c>
      <c r="N191" s="138" t="str">
        <f ca="1">IFERROR(__xludf.DUMMYFUNCTION("unique(filter(W:W,U:U=R191))"),"Alluri Sitharama Raju")</f>
        <v>Alluri Sitharama Raju</v>
      </c>
      <c r="O191" s="138" t="s">
        <v>8518</v>
      </c>
      <c r="P191" s="138" t="s">
        <v>8623</v>
      </c>
      <c r="Q191" s="138" t="str">
        <f ca="1">IFERROR(__xludf.DUMMYFUNCTION("filter(I:I,J:J=P191,G:G=O191)"),"Rampachodavaram (St)")</f>
        <v>Rampachodavaram (St)</v>
      </c>
      <c r="R191" s="138" t="s">
        <v>8520</v>
      </c>
      <c r="U191" s="138" t="s">
        <v>8619</v>
      </c>
      <c r="V191" s="138" t="s">
        <v>8619</v>
      </c>
      <c r="W191" s="138" t="str">
        <f ca="1">IFERROR(__xludf.DUMMYFUNCTION("filter(H:H,I:I=U191,J:J=V191)"),"Kurnool")</f>
        <v>Kurnool</v>
      </c>
    </row>
    <row r="192" spans="7:23">
      <c r="G192" s="138" t="s">
        <v>8597</v>
      </c>
      <c r="H192" s="138" t="s">
        <v>8597</v>
      </c>
      <c r="I192" s="138" t="s">
        <v>8619</v>
      </c>
      <c r="J192" s="138" t="s">
        <v>8624</v>
      </c>
      <c r="K192" s="138" t="str">
        <f ca="1">IFERROR(__xludf.DUMMYFUNCTION("unique(filter(R:R,R:R=I192))"),"Yemmiganur")</f>
        <v>Yemmiganur</v>
      </c>
      <c r="N192" s="138" t="str">
        <f ca="1">IFERROR(__xludf.DUMMYFUNCTION("unique(filter(W:W,U:U=R192))"),"Alluri Sitharama Raju")</f>
        <v>Alluri Sitharama Raju</v>
      </c>
      <c r="O192" s="138" t="s">
        <v>8518</v>
      </c>
      <c r="P192" s="138" t="s">
        <v>8625</v>
      </c>
      <c r="Q192" s="138" t="str">
        <f ca="1">IFERROR(__xludf.DUMMYFUNCTION("filter(I:I,J:J=P192,G:G=O192)"),"#N/A")</f>
        <v>#N/A</v>
      </c>
      <c r="R192" s="138" t="s">
        <v>8520</v>
      </c>
      <c r="U192" s="138" t="s">
        <v>8619</v>
      </c>
      <c r="V192" s="138" t="s">
        <v>8622</v>
      </c>
      <c r="W192" s="138" t="str">
        <f ca="1">IFERROR(__xludf.DUMMYFUNCTION("filter(H:H,I:I=U192,J:J=V192)"),"Kurnool")</f>
        <v>Kurnool</v>
      </c>
    </row>
    <row r="193" spans="7:23">
      <c r="G193" s="138" t="s">
        <v>8597</v>
      </c>
      <c r="H193" s="138" t="s">
        <v>8597</v>
      </c>
      <c r="I193" s="138" t="s">
        <v>8626</v>
      </c>
      <c r="J193" s="138" t="s">
        <v>8627</v>
      </c>
      <c r="K193" s="138" t="str">
        <f ca="1">IFERROR(__xludf.DUMMYFUNCTION("unique(filter(R:R,R:R=I193))"),"Kodumur (Sc)")</f>
        <v>Kodumur (Sc)</v>
      </c>
      <c r="N193" s="138" t="str">
        <f ca="1">IFERROR(__xludf.DUMMYFUNCTION("unique(filter(W:W,U:U=R193))"),"Kakinada")</f>
        <v>Kakinada</v>
      </c>
      <c r="O193" s="138" t="s">
        <v>8518</v>
      </c>
      <c r="P193" s="138" t="s">
        <v>8306</v>
      </c>
      <c r="Q193" s="138" t="str">
        <f ca="1">IFERROR(__xludf.DUMMYFUNCTION("filter(I:I,J:J=P193,G:G=O193)"),"Prathipadu")</f>
        <v>Prathipadu</v>
      </c>
      <c r="R193" s="138" t="s">
        <v>8</v>
      </c>
      <c r="U193" s="138" t="s">
        <v>8619</v>
      </c>
      <c r="V193" s="138" t="s">
        <v>8624</v>
      </c>
      <c r="W193" s="138" t="str">
        <f ca="1">IFERROR(__xludf.DUMMYFUNCTION("filter(H:H,I:I=U193,J:J=V193)"),"Kurnool")</f>
        <v>Kurnool</v>
      </c>
    </row>
    <row r="194" spans="7:23">
      <c r="G194" s="138" t="s">
        <v>8597</v>
      </c>
      <c r="H194" s="138" t="s">
        <v>8597</v>
      </c>
      <c r="I194" s="138" t="s">
        <v>8626</v>
      </c>
      <c r="J194" s="138" t="s">
        <v>8597</v>
      </c>
      <c r="K194" s="138" t="str">
        <f ca="1">IFERROR(__xludf.DUMMYFUNCTION("unique(filter(R:R,R:R=I194))"),"Kodumur (Sc)")</f>
        <v>Kodumur (Sc)</v>
      </c>
      <c r="N194" s="138" t="str">
        <f ca="1">IFERROR(__xludf.DUMMYFUNCTION("unique(filter(W:W,U:U=R194))"),"Palnadu")</f>
        <v>Palnadu</v>
      </c>
      <c r="O194" s="138" t="s">
        <v>8628</v>
      </c>
      <c r="P194" s="138" t="s">
        <v>8629</v>
      </c>
      <c r="Q194" s="138" t="str">
        <f ca="1">IFERROR(__xludf.DUMMYFUNCTION("filter(I:I,J:J=P194,G:G=O194)"),"Pedakurapadu")</f>
        <v>Pedakurapadu</v>
      </c>
      <c r="R194" s="138" t="s">
        <v>8630</v>
      </c>
      <c r="U194" s="138" t="s">
        <v>8626</v>
      </c>
      <c r="V194" s="138" t="s">
        <v>8627</v>
      </c>
      <c r="W194" s="138" t="str">
        <f ca="1">IFERROR(__xludf.DUMMYFUNCTION("filter(H:H,I:I=U194,J:J=V194)"),"Kurnool")</f>
        <v>Kurnool</v>
      </c>
    </row>
    <row r="195" spans="7:23">
      <c r="G195" s="138" t="s">
        <v>8597</v>
      </c>
      <c r="H195" s="138" t="s">
        <v>8597</v>
      </c>
      <c r="I195" s="138" t="s">
        <v>8626</v>
      </c>
      <c r="J195" s="138" t="s">
        <v>8631</v>
      </c>
      <c r="K195" s="138" t="str">
        <f ca="1">IFERROR(__xludf.DUMMYFUNCTION("unique(filter(R:R,R:R=I195))"),"Kodumur (Sc)")</f>
        <v>Kodumur (Sc)</v>
      </c>
      <c r="N195" s="138" t="str">
        <f ca="1">IFERROR(__xludf.DUMMYFUNCTION("unique(filter(W:W,U:U=R195))"),"Bapatla")</f>
        <v>Bapatla</v>
      </c>
      <c r="O195" s="138" t="s">
        <v>8628</v>
      </c>
      <c r="P195" s="138" t="s">
        <v>8632</v>
      </c>
      <c r="Q195" s="138" t="str">
        <f ca="1">IFERROR(__xludf.DUMMYFUNCTION("filter(I:I,J:J=P195,G:G=O195)"),"Vemuru (Sc)")</f>
        <v>Vemuru (Sc)</v>
      </c>
      <c r="R195" s="138" t="s">
        <v>8633</v>
      </c>
      <c r="U195" s="138" t="s">
        <v>8626</v>
      </c>
      <c r="V195" s="138" t="s">
        <v>8597</v>
      </c>
      <c r="W195" s="138" t="str">
        <f ca="1">IFERROR(__xludf.DUMMYFUNCTION("filter(H:H,I:I=U195,J:J=V195)"),"Kurnool")</f>
        <v>Kurnool</v>
      </c>
    </row>
    <row r="196" spans="7:23">
      <c r="G196" s="138" t="s">
        <v>8597</v>
      </c>
      <c r="H196" s="138" t="s">
        <v>8597</v>
      </c>
      <c r="I196" s="138" t="s">
        <v>8626</v>
      </c>
      <c r="J196" s="138" t="s">
        <v>8634</v>
      </c>
      <c r="K196" s="138" t="str">
        <f ca="1">IFERROR(__xludf.DUMMYFUNCTION("unique(filter(R:R,R:R=I196))"),"Kodumur (Sc)")</f>
        <v>Kodumur (Sc)</v>
      </c>
      <c r="N196" s="138" t="str">
        <f ca="1">IFERROR(__xludf.DUMMYFUNCTION("unique(filter(W:W,U:U=R196))"),"Palnadu")</f>
        <v>Palnadu</v>
      </c>
      <c r="O196" s="138" t="s">
        <v>8628</v>
      </c>
      <c r="P196" s="138" t="s">
        <v>8635</v>
      </c>
      <c r="Q196" s="138" t="str">
        <f ca="1">IFERROR(__xludf.DUMMYFUNCTION("filter(I:I,J:J=P196,G:G=O196)"),"Pedakurapadu")</f>
        <v>Pedakurapadu</v>
      </c>
      <c r="R196" s="138" t="s">
        <v>8630</v>
      </c>
      <c r="U196" s="138" t="s">
        <v>8626</v>
      </c>
      <c r="V196" s="138" t="s">
        <v>8631</v>
      </c>
      <c r="W196" s="138" t="str">
        <f ca="1">IFERROR(__xludf.DUMMYFUNCTION("filter(H:H,I:I=U196,J:J=V196)"),"Kurnool")</f>
        <v>Kurnool</v>
      </c>
    </row>
    <row r="197" spans="7:23">
      <c r="G197" s="138" t="s">
        <v>8597</v>
      </c>
      <c r="H197" s="138" t="s">
        <v>8597</v>
      </c>
      <c r="I197" s="138" t="s">
        <v>8626</v>
      </c>
      <c r="J197" s="138" t="s">
        <v>8636</v>
      </c>
      <c r="K197" s="138" t="str">
        <f ca="1">IFERROR(__xludf.DUMMYFUNCTION("unique(filter(R:R,R:R=I197))"),"Kodumur (Sc)")</f>
        <v>Kodumur (Sc)</v>
      </c>
      <c r="N197" s="138" t="str">
        <f ca="1">IFERROR(__xludf.DUMMYFUNCTION("unique(filter(W:W,U:U=R197))"),"Bapatla")</f>
        <v>Bapatla</v>
      </c>
      <c r="O197" s="138" t="s">
        <v>8628</v>
      </c>
      <c r="P197" s="138" t="s">
        <v>8637</v>
      </c>
      <c r="Q197" s="138" t="str">
        <f ca="1">IFERROR(__xludf.DUMMYFUNCTION("filter(I:I,J:J=P197,G:G=O197)"),"Bapatla")</f>
        <v>Bapatla</v>
      </c>
      <c r="R197" s="138" t="s">
        <v>8638</v>
      </c>
      <c r="U197" s="138" t="s">
        <v>8626</v>
      </c>
      <c r="V197" s="138" t="s">
        <v>8634</v>
      </c>
      <c r="W197" s="138" t="str">
        <f ca="1">IFERROR(__xludf.DUMMYFUNCTION("filter(H:H,I:I=U197,J:J=V197)"),"Kurnool")</f>
        <v>Kurnool</v>
      </c>
    </row>
    <row r="198" spans="7:23">
      <c r="G198" s="138" t="s">
        <v>8597</v>
      </c>
      <c r="H198" s="138" t="s">
        <v>8597</v>
      </c>
      <c r="I198" s="138" t="s">
        <v>8626</v>
      </c>
      <c r="J198" s="138" t="s">
        <v>8639</v>
      </c>
      <c r="K198" s="138" t="str">
        <f ca="1">IFERROR(__xludf.DUMMYFUNCTION("unique(filter(R:R,R:R=I198))"),"Kodumur (Sc)")</f>
        <v>Kodumur (Sc)</v>
      </c>
      <c r="N198" s="138" t="str">
        <f ca="1">IFERROR(__xludf.DUMMYFUNCTION("unique(filter(W:W,U:U=R198))"),"Palnadu")</f>
        <v>Palnadu</v>
      </c>
      <c r="O198" s="138" t="s">
        <v>8628</v>
      </c>
      <c r="P198" s="138" t="s">
        <v>8640</v>
      </c>
      <c r="Q198" s="138" t="str">
        <f ca="1">IFERROR(__xludf.DUMMYFUNCTION("filter(I:I,J:J=P198,G:G=O198)"),"Pedakurapadu")</f>
        <v>Pedakurapadu</v>
      </c>
      <c r="R198" s="138" t="s">
        <v>8630</v>
      </c>
      <c r="U198" s="138" t="s">
        <v>8626</v>
      </c>
      <c r="V198" s="138" t="s">
        <v>8636</v>
      </c>
      <c r="W198" s="138" t="str">
        <f ca="1">IFERROR(__xludf.DUMMYFUNCTION("filter(H:H,I:I=U198,J:J=V198)"),"Kurnool")</f>
        <v>Kurnool</v>
      </c>
    </row>
    <row r="199" spans="7:23">
      <c r="G199" s="138" t="s">
        <v>8597</v>
      </c>
      <c r="H199" s="138" t="s">
        <v>8597</v>
      </c>
      <c r="I199" s="138" t="s">
        <v>8641</v>
      </c>
      <c r="J199" s="138" t="s">
        <v>8641</v>
      </c>
      <c r="K199" s="138" t="str">
        <f ca="1">IFERROR(__xludf.DUMMYFUNCTION("unique(filter(R:R,R:R=I199))"),"Pattikonda")</f>
        <v>Pattikonda</v>
      </c>
      <c r="N199" s="138" t="str">
        <f ca="1">IFERROR(__xludf.DUMMYFUNCTION("unique(filter(W:W,U:U=R199))"),"Bapatla")</f>
        <v>Bapatla</v>
      </c>
      <c r="O199" s="138" t="s">
        <v>8628</v>
      </c>
      <c r="P199" s="138" t="s">
        <v>8642</v>
      </c>
      <c r="Q199" s="138" t="str">
        <f ca="1">IFERROR(__xludf.DUMMYFUNCTION("filter(I:I,J:J=P199,G:G=O199)"),"Vemuru (Sc)")</f>
        <v>Vemuru (Sc)</v>
      </c>
      <c r="R199" s="138" t="s">
        <v>8633</v>
      </c>
      <c r="U199" s="138" t="s">
        <v>8626</v>
      </c>
      <c r="V199" s="138" t="s">
        <v>8639</v>
      </c>
      <c r="W199" s="138" t="str">
        <f ca="1">IFERROR(__xludf.DUMMYFUNCTION("filter(H:H,I:I=U199,J:J=V199)"),"Kurnool")</f>
        <v>Kurnool</v>
      </c>
    </row>
    <row r="200" spans="7:23">
      <c r="G200" s="138" t="s">
        <v>8597</v>
      </c>
      <c r="H200" s="138" t="s">
        <v>8597</v>
      </c>
      <c r="I200" s="138" t="s">
        <v>8641</v>
      </c>
      <c r="J200" s="138" t="s">
        <v>8643</v>
      </c>
      <c r="K200" s="138" t="str">
        <f ca="1">IFERROR(__xludf.DUMMYFUNCTION("unique(filter(R:R,R:R=I200))"),"Pattikonda")</f>
        <v>Pattikonda</v>
      </c>
      <c r="N200" s="138" t="str">
        <f ca="1">IFERROR(__xludf.DUMMYFUNCTION("unique(filter(W:W,U:U=R200))"),"Palnadu")</f>
        <v>Palnadu</v>
      </c>
      <c r="O200" s="138" t="s">
        <v>8628</v>
      </c>
      <c r="P200" s="138" t="s">
        <v>8644</v>
      </c>
      <c r="Q200" s="138" t="str">
        <f ca="1">IFERROR(__xludf.DUMMYFUNCTION("filter(I:I,J:J=P200,G:G=O200)"),"Vinukonda")</f>
        <v>Vinukonda</v>
      </c>
      <c r="R200" s="138" t="s">
        <v>8645</v>
      </c>
      <c r="U200" s="138" t="s">
        <v>8641</v>
      </c>
      <c r="V200" s="138" t="s">
        <v>8641</v>
      </c>
      <c r="W200" s="138" t="str">
        <f ca="1">IFERROR(__xludf.DUMMYFUNCTION("filter(H:H,I:I=U200,J:J=V200)"),"Kurnool")</f>
        <v>Kurnool</v>
      </c>
    </row>
    <row r="201" spans="7:23">
      <c r="G201" s="138" t="s">
        <v>8597</v>
      </c>
      <c r="H201" s="138" t="s">
        <v>8597</v>
      </c>
      <c r="I201" s="138" t="s">
        <v>8641</v>
      </c>
      <c r="J201" s="138" t="s">
        <v>8646</v>
      </c>
      <c r="K201" s="138" t="str">
        <f ca="1">IFERROR(__xludf.DUMMYFUNCTION("unique(filter(R:R,R:R=I201))"),"Pattikonda")</f>
        <v>Pattikonda</v>
      </c>
      <c r="N201" s="138" t="str">
        <f ca="1">IFERROR(__xludf.DUMMYFUNCTION("unique(filter(W:W,U:U=R201))"),"Guntur")</f>
        <v>Guntur</v>
      </c>
      <c r="O201" s="138" t="s">
        <v>8628</v>
      </c>
      <c r="P201" s="138" t="s">
        <v>810</v>
      </c>
      <c r="Q201" s="138" t="str">
        <f ca="1">IFERROR(__xludf.DUMMYFUNCTION("filter(I:I,J:J=P201,G:G=O201)"),"Ponnur")</f>
        <v>Ponnur</v>
      </c>
      <c r="R201" s="138" t="s">
        <v>8647</v>
      </c>
      <c r="U201" s="138" t="s">
        <v>8641</v>
      </c>
      <c r="V201" s="138" t="s">
        <v>8643</v>
      </c>
      <c r="W201" s="138" t="str">
        <f ca="1">IFERROR(__xludf.DUMMYFUNCTION("filter(H:H,I:I=U201,J:J=V201)"),"Kurnool")</f>
        <v>Kurnool</v>
      </c>
    </row>
    <row r="202" spans="7:23">
      <c r="G202" s="138" t="s">
        <v>8597</v>
      </c>
      <c r="H202" s="138" t="s">
        <v>8597</v>
      </c>
      <c r="I202" s="138" t="s">
        <v>8641</v>
      </c>
      <c r="J202" s="138" t="s">
        <v>8648</v>
      </c>
      <c r="K202" s="138" t="str">
        <f ca="1">IFERROR(__xludf.DUMMYFUNCTION("unique(filter(R:R,R:R=I202))"),"Pattikonda")</f>
        <v>Pattikonda</v>
      </c>
      <c r="N202" s="138" t="str">
        <f ca="1">IFERROR(__xludf.DUMMYFUNCTION("unique(filter(W:W,U:U=R202))"),"Bapatla")</f>
        <v>Bapatla</v>
      </c>
      <c r="O202" s="138" t="s">
        <v>8628</v>
      </c>
      <c r="P202" s="138" t="s">
        <v>8649</v>
      </c>
      <c r="Q202" s="138" t="str">
        <f ca="1">IFERROR(__xludf.DUMMYFUNCTION("filter(I:I,J:J=P202,G:G=O202)"),"#N/A")</f>
        <v>#N/A</v>
      </c>
      <c r="R202" s="138" t="s">
        <v>8650</v>
      </c>
      <c r="U202" s="138" t="s">
        <v>8641</v>
      </c>
      <c r="V202" s="138" t="s">
        <v>8646</v>
      </c>
      <c r="W202" s="138" t="str">
        <f ca="1">IFERROR(__xludf.DUMMYFUNCTION("filter(H:H,I:I=U202,J:J=V202)"),"Kurnool")</f>
        <v>Kurnool</v>
      </c>
    </row>
    <row r="203" spans="7:23">
      <c r="G203" s="138" t="s">
        <v>8597</v>
      </c>
      <c r="H203" s="138" t="s">
        <v>8597</v>
      </c>
      <c r="I203" s="138" t="s">
        <v>8641</v>
      </c>
      <c r="J203" s="138" t="s">
        <v>536</v>
      </c>
      <c r="K203" s="138" t="str">
        <f ca="1">IFERROR(__xludf.DUMMYFUNCTION("unique(filter(R:R,R:R=I203))"),"Pattikonda")</f>
        <v>Pattikonda</v>
      </c>
      <c r="N203" s="138" t="str">
        <f ca="1">IFERROR(__xludf.DUMMYFUNCTION("unique(filter(W:W,U:U=R203))"),"Palnadu")</f>
        <v>Palnadu</v>
      </c>
      <c r="O203" s="138" t="s">
        <v>8628</v>
      </c>
      <c r="P203" s="138" t="s">
        <v>8651</v>
      </c>
      <c r="Q203" s="138" t="str">
        <f ca="1">IFERROR(__xludf.DUMMYFUNCTION("filter(I:I,J:J=P203,G:G=O203)"),"#N/A")</f>
        <v>#N/A</v>
      </c>
      <c r="R203" s="138" t="s">
        <v>8652</v>
      </c>
      <c r="U203" s="138" t="s">
        <v>8641</v>
      </c>
      <c r="V203" s="138" t="s">
        <v>8648</v>
      </c>
      <c r="W203" s="138" t="str">
        <f ca="1">IFERROR(__xludf.DUMMYFUNCTION("filter(H:H,I:I=U203,J:J=V203)"),"Kurnool")</f>
        <v>Kurnool</v>
      </c>
    </row>
    <row r="204" spans="7:23">
      <c r="G204" s="138" t="s">
        <v>8597</v>
      </c>
      <c r="H204" s="138" t="s">
        <v>8653</v>
      </c>
      <c r="I204" s="138" t="s">
        <v>8654</v>
      </c>
      <c r="J204" s="138" t="s">
        <v>8654</v>
      </c>
      <c r="K204" s="138" t="str">
        <f ca="1">IFERROR(__xludf.DUMMYFUNCTION("unique(filter(R:R,R:R=I204))"),"Dhone")</f>
        <v>Dhone</v>
      </c>
      <c r="N204" s="138" t="str">
        <f ca="1">IFERROR(__xludf.DUMMYFUNCTION("unique(filter(W:W,U:U=R204))"),"Palnadu")</f>
        <v>Palnadu</v>
      </c>
      <c r="O204" s="138" t="s">
        <v>8628</v>
      </c>
      <c r="P204" s="138" t="s">
        <v>8655</v>
      </c>
      <c r="Q204" s="138" t="str">
        <f ca="1">IFERROR(__xludf.DUMMYFUNCTION("filter(I:I,J:J=P204,G:G=O204)"),"Gurajala")</f>
        <v>Gurajala</v>
      </c>
      <c r="R204" s="138" t="s">
        <v>8656</v>
      </c>
      <c r="U204" s="138" t="s">
        <v>8641</v>
      </c>
      <c r="V204" s="138" t="s">
        <v>536</v>
      </c>
      <c r="W204" s="138" t="str">
        <f ca="1">IFERROR(__xludf.DUMMYFUNCTION("filter(H:H,I:I=U204,J:J=V204)"),"Kurnool")</f>
        <v>Kurnool</v>
      </c>
    </row>
    <row r="205" spans="7:23">
      <c r="G205" s="138" t="s">
        <v>8597</v>
      </c>
      <c r="H205" s="138" t="s">
        <v>8653</v>
      </c>
      <c r="I205" s="138" t="s">
        <v>8654</v>
      </c>
      <c r="J205" s="138" t="s">
        <v>8657</v>
      </c>
      <c r="K205" s="138" t="str">
        <f ca="1">IFERROR(__xludf.DUMMYFUNCTION("unique(filter(R:R,R:R=I205))"),"Dhone")</f>
        <v>Dhone</v>
      </c>
      <c r="N205" s="138" t="str">
        <f ca="1">IFERROR(__xludf.DUMMYFUNCTION("unique(filter(W:W,U:U=R205))"),"Guntur")</f>
        <v>Guntur</v>
      </c>
      <c r="O205" s="138" t="s">
        <v>8628</v>
      </c>
      <c r="P205" s="138" t="s">
        <v>8658</v>
      </c>
      <c r="Q205" s="138" t="str">
        <f ca="1">IFERROR(__xludf.DUMMYFUNCTION("filter(I:I,J:J=P205,G:G=O205)"),"Mangalagiri")</f>
        <v>Mangalagiri</v>
      </c>
      <c r="R205" s="138" t="s">
        <v>8659</v>
      </c>
      <c r="U205" s="138" t="s">
        <v>8654</v>
      </c>
      <c r="V205" s="138" t="s">
        <v>8654</v>
      </c>
      <c r="W205" s="138" t="str">
        <f ca="1">IFERROR(__xludf.DUMMYFUNCTION("filter(H:H,I:I=U205,J:J=V205)"),"Nandyal")</f>
        <v>Nandyal</v>
      </c>
    </row>
    <row r="206" spans="7:23">
      <c r="G206" s="138" t="s">
        <v>8597</v>
      </c>
      <c r="H206" s="138" t="s">
        <v>8653</v>
      </c>
      <c r="I206" s="138" t="s">
        <v>8654</v>
      </c>
      <c r="J206" s="138" t="s">
        <v>8660</v>
      </c>
      <c r="K206" s="138" t="str">
        <f ca="1">IFERROR(__xludf.DUMMYFUNCTION("unique(filter(R:R,R:R=I206))"),"Dhone")</f>
        <v>Dhone</v>
      </c>
      <c r="N206" s="138" t="str">
        <f ca="1">IFERROR(__xludf.DUMMYFUNCTION("unique(filter(W:W,U:U=R206))"),"Palnadu")</f>
        <v>Palnadu</v>
      </c>
      <c r="O206" s="138" t="s">
        <v>8628</v>
      </c>
      <c r="P206" s="138" t="s">
        <v>8661</v>
      </c>
      <c r="Q206" s="138" t="str">
        <f ca="1">IFERROR(__xludf.DUMMYFUNCTION("filter(I:I,J:J=P206,G:G=O206)"),"Macherla")</f>
        <v>Macherla</v>
      </c>
      <c r="R206" s="138" t="s">
        <v>8662</v>
      </c>
      <c r="U206" s="138" t="s">
        <v>8654</v>
      </c>
      <c r="V206" s="138" t="s">
        <v>8657</v>
      </c>
      <c r="W206" s="138" t="str">
        <f ca="1">IFERROR(__xludf.DUMMYFUNCTION("filter(H:H,I:I=U206,J:J=V206)"),"Nandyal")</f>
        <v>Nandyal</v>
      </c>
    </row>
    <row r="207" spans="7:23">
      <c r="G207" s="138" t="s">
        <v>8597</v>
      </c>
      <c r="H207" s="138" t="s">
        <v>8653</v>
      </c>
      <c r="I207" s="138" t="s">
        <v>8654</v>
      </c>
      <c r="J207" s="138" t="s">
        <v>8663</v>
      </c>
      <c r="K207" s="138" t="str">
        <f ca="1">IFERROR(__xludf.DUMMYFUNCTION("unique(filter(R:R,R:R=I207))"),"Dhone")</f>
        <v>Dhone</v>
      </c>
      <c r="N207" s="138" t="str">
        <f ca="1">IFERROR(__xludf.DUMMYFUNCTION("unique(filter(W:W,U:U=R207))"),"Palnadu")</f>
        <v>Palnadu</v>
      </c>
      <c r="O207" s="138" t="s">
        <v>8628</v>
      </c>
      <c r="P207" s="138" t="s">
        <v>8664</v>
      </c>
      <c r="Q207" s="138" t="str">
        <f ca="1">IFERROR(__xludf.DUMMYFUNCTION("filter(I:I,J:J=P207,G:G=O207)"),"Chilakaluripet")</f>
        <v>Chilakaluripet</v>
      </c>
      <c r="R207" s="138" t="s">
        <v>8652</v>
      </c>
      <c r="U207" s="138" t="s">
        <v>8654</v>
      </c>
      <c r="V207" s="138" t="s">
        <v>8660</v>
      </c>
      <c r="W207" s="138" t="str">
        <f ca="1">IFERROR(__xludf.DUMMYFUNCTION("filter(H:H,I:I=U207,J:J=V207)"),"Nandyal")</f>
        <v>Nandyal</v>
      </c>
    </row>
    <row r="208" spans="7:23">
      <c r="G208" s="138" t="s">
        <v>8597</v>
      </c>
      <c r="H208" s="138" t="s">
        <v>8653</v>
      </c>
      <c r="I208" s="138" t="s">
        <v>8654</v>
      </c>
      <c r="J208" s="138" t="s">
        <v>8665</v>
      </c>
      <c r="K208" s="138" t="str">
        <f ca="1">IFERROR(__xludf.DUMMYFUNCTION("unique(filter(R:R,R:R=I208))"),"Dhone")</f>
        <v>Dhone</v>
      </c>
      <c r="N208" s="138" t="str">
        <f ca="1">IFERROR(__xludf.DUMMYFUNCTION("unique(filter(W:W,U:U=R208))"),"Guntur")</f>
        <v>Guntur</v>
      </c>
      <c r="O208" s="138" t="s">
        <v>8628</v>
      </c>
      <c r="P208" s="138" t="s">
        <v>8628</v>
      </c>
      <c r="Q208" s="138" t="str">
        <f ca="1">IFERROR(__xludf.DUMMYFUNCTION("filter(I:I,J:J=P208,G:G=O208)"),"Prathipadu (Sc)")</f>
        <v>Prathipadu (Sc)</v>
      </c>
      <c r="R208" s="138" t="s">
        <v>8666</v>
      </c>
      <c r="U208" s="138" t="s">
        <v>8654</v>
      </c>
      <c r="V208" s="138" t="s">
        <v>8663</v>
      </c>
      <c r="W208" s="138" t="str">
        <f ca="1">IFERROR(__xludf.DUMMYFUNCTION("filter(H:H,I:I=U208,J:J=V208)"),"Nandyal")</f>
        <v>Nandyal</v>
      </c>
    </row>
    <row r="209" spans="7:23">
      <c r="G209" s="138" t="s">
        <v>8597</v>
      </c>
      <c r="H209" s="138" t="s">
        <v>8653</v>
      </c>
      <c r="I209" s="138" t="s">
        <v>8667</v>
      </c>
      <c r="J209" s="138" t="s">
        <v>8667</v>
      </c>
      <c r="K209" s="138" t="str">
        <f ca="1">IFERROR(__xludf.DUMMYFUNCTION("unique(filter(R:R,R:R=I209))"),"Banaganapalle")</f>
        <v>Banaganapalle</v>
      </c>
      <c r="N209" s="138" t="str">
        <f ca="1">IFERROR(__xludf.DUMMYFUNCTION("unique(filter(W:W,U:U=R209))"),"Palnadu")</f>
        <v>Palnadu</v>
      </c>
      <c r="O209" s="138" t="s">
        <v>8628</v>
      </c>
      <c r="P209" s="138" t="s">
        <v>8668</v>
      </c>
      <c r="Q209" s="138" t="str">
        <f ca="1">IFERROR(__xludf.DUMMYFUNCTION("filter(I:I,J:J=P209,G:G=O209)"),"Gurajala")</f>
        <v>Gurajala</v>
      </c>
      <c r="R209" s="138" t="s">
        <v>8656</v>
      </c>
      <c r="U209" s="138" t="s">
        <v>8654</v>
      </c>
      <c r="V209" s="138" t="s">
        <v>8665</v>
      </c>
      <c r="W209" s="138" t="str">
        <f ca="1">IFERROR(__xludf.DUMMYFUNCTION("filter(H:H,I:I=U209,J:J=V209)"),"Nandyal")</f>
        <v>Nandyal</v>
      </c>
    </row>
    <row r="210" spans="7:23">
      <c r="G210" s="138" t="s">
        <v>8597</v>
      </c>
      <c r="H210" s="138" t="s">
        <v>8653</v>
      </c>
      <c r="I210" s="138" t="s">
        <v>8667</v>
      </c>
      <c r="J210" s="138" t="s">
        <v>8669</v>
      </c>
      <c r="K210" s="138" t="str">
        <f ca="1">IFERROR(__xludf.DUMMYFUNCTION("unique(filter(R:R,R:R=I210))"),"Banaganapalle")</f>
        <v>Banaganapalle</v>
      </c>
      <c r="N210" s="138" t="str">
        <f ca="1">IFERROR(__xludf.DUMMYFUNCTION("unique(filter(W:W,U:U=R210))"),"Palnadu")</f>
        <v>Palnadu</v>
      </c>
      <c r="O210" s="138" t="s">
        <v>8628</v>
      </c>
      <c r="P210" s="138" t="s">
        <v>8670</v>
      </c>
      <c r="Q210" s="138" t="str">
        <f ca="1">IFERROR(__xludf.DUMMYFUNCTION("filter(I:I,J:J=P210,G:G=O210)"),"Vinukonda")</f>
        <v>Vinukonda</v>
      </c>
      <c r="R210" s="138" t="s">
        <v>8645</v>
      </c>
      <c r="U210" s="138" t="s">
        <v>8667</v>
      </c>
      <c r="V210" s="138" t="s">
        <v>8667</v>
      </c>
      <c r="W210" s="138" t="str">
        <f ca="1">IFERROR(__xludf.DUMMYFUNCTION("filter(H:H,I:I=U210,J:J=V210)"),"Nandyal")</f>
        <v>Nandyal</v>
      </c>
    </row>
    <row r="211" spans="7:23">
      <c r="G211" s="138" t="s">
        <v>8597</v>
      </c>
      <c r="H211" s="138" t="s">
        <v>8653</v>
      </c>
      <c r="I211" s="138" t="s">
        <v>8667</v>
      </c>
      <c r="J211" s="138" t="s">
        <v>8671</v>
      </c>
      <c r="K211" s="138" t="str">
        <f ca="1">IFERROR(__xludf.DUMMYFUNCTION("unique(filter(R:R,R:R=I211))"),"Banaganapalle")</f>
        <v>Banaganapalle</v>
      </c>
      <c r="N211" s="138" t="str">
        <f ca="1">IFERROR(__xludf.DUMMYFUNCTION("unique(filter(W:W,U:U=R211))"),"Guntur")</f>
        <v>Guntur</v>
      </c>
      <c r="O211" s="138" t="s">
        <v>8628</v>
      </c>
      <c r="P211" s="138" t="s">
        <v>8672</v>
      </c>
      <c r="Q211" s="138" t="str">
        <f ca="1">IFERROR(__xludf.DUMMYFUNCTION("filter(I:I,J:J=P211,G:G=O211)"),"Prathipadu (Sc)")</f>
        <v>Prathipadu (Sc)</v>
      </c>
      <c r="R211" s="138" t="s">
        <v>8666</v>
      </c>
      <c r="U211" s="138" t="s">
        <v>8667</v>
      </c>
      <c r="V211" s="138" t="s">
        <v>8669</v>
      </c>
      <c r="W211" s="138" t="str">
        <f ca="1">IFERROR(__xludf.DUMMYFUNCTION("filter(H:H,I:I=U211,J:J=V211)"),"Nandyal")</f>
        <v>Nandyal</v>
      </c>
    </row>
    <row r="212" spans="7:23">
      <c r="G212" s="138" t="s">
        <v>8597</v>
      </c>
      <c r="H212" s="138" t="s">
        <v>8653</v>
      </c>
      <c r="I212" s="138" t="s">
        <v>8667</v>
      </c>
      <c r="J212" s="138" t="s">
        <v>8673</v>
      </c>
      <c r="K212" s="138" t="str">
        <f ca="1">IFERROR(__xludf.DUMMYFUNCTION("unique(filter(R:R,R:R=I212))"),"Banaganapalle")</f>
        <v>Banaganapalle</v>
      </c>
      <c r="N212" s="138" t="str">
        <f ca="1">IFERROR(__xludf.DUMMYFUNCTION("unique(filter(W:W,U:U=R212))"),"Palnadu")</f>
        <v>Palnadu</v>
      </c>
      <c r="O212" s="138" t="s">
        <v>8628</v>
      </c>
      <c r="P212" s="138" t="s">
        <v>8674</v>
      </c>
      <c r="Q212" s="138" t="str">
        <f ca="1">IFERROR(__xludf.DUMMYFUNCTION("filter(I:I,J:J=P212,G:G=O212)"),"Macherla")</f>
        <v>Macherla</v>
      </c>
      <c r="R212" s="138" t="s">
        <v>8662</v>
      </c>
      <c r="U212" s="138" t="s">
        <v>8667</v>
      </c>
      <c r="V212" s="138" t="s">
        <v>8671</v>
      </c>
      <c r="W212" s="138" t="str">
        <f ca="1">IFERROR(__xludf.DUMMYFUNCTION("filter(H:H,I:I=U212,J:J=V212)"),"Nandyal")</f>
        <v>Nandyal</v>
      </c>
    </row>
    <row r="213" spans="7:23">
      <c r="G213" s="138" t="s">
        <v>8597</v>
      </c>
      <c r="H213" s="138" t="s">
        <v>8653</v>
      </c>
      <c r="I213" s="138" t="s">
        <v>8667</v>
      </c>
      <c r="J213" s="138" t="s">
        <v>8675</v>
      </c>
      <c r="K213" s="138" t="str">
        <f ca="1">IFERROR(__xludf.DUMMYFUNCTION("unique(filter(R:R,R:R=I213))"),"Banaganapalle")</f>
        <v>Banaganapalle</v>
      </c>
      <c r="N213" s="138" t="str">
        <f ca="1">IFERROR(__xludf.DUMMYFUNCTION("unique(filter(W:W,U:U=R213))"),"Bapatla")</f>
        <v>Bapatla</v>
      </c>
      <c r="O213" s="138" t="s">
        <v>8628</v>
      </c>
      <c r="P213" s="138" t="s">
        <v>8676</v>
      </c>
      <c r="Q213" s="138" t="str">
        <f ca="1">IFERROR(__xludf.DUMMYFUNCTION("filter(I:I,J:J=P213,G:G=O213)"),"Bapatla")</f>
        <v>Bapatla</v>
      </c>
      <c r="R213" s="138" t="s">
        <v>8638</v>
      </c>
      <c r="U213" s="138" t="s">
        <v>8667</v>
      </c>
      <c r="V213" s="138" t="s">
        <v>8673</v>
      </c>
      <c r="W213" s="138" t="str">
        <f ca="1">IFERROR(__xludf.DUMMYFUNCTION("filter(H:H,I:I=U213,J:J=V213)"),"Nandyal")</f>
        <v>Nandyal</v>
      </c>
    </row>
    <row r="214" spans="7:23">
      <c r="G214" s="138" t="s">
        <v>8597</v>
      </c>
      <c r="H214" s="138" t="s">
        <v>8653</v>
      </c>
      <c r="I214" s="138" t="s">
        <v>8653</v>
      </c>
      <c r="J214" s="138" t="s">
        <v>8653</v>
      </c>
      <c r="K214" s="138" t="str">
        <f ca="1">IFERROR(__xludf.DUMMYFUNCTION("unique(filter(R:R,R:R=I214))"),"Nandyal")</f>
        <v>Nandyal</v>
      </c>
      <c r="N214" s="138" t="str">
        <f ca="1">IFERROR(__xludf.DUMMYFUNCTION("unique(filter(W:W,U:U=R214))"),"Guntur")</f>
        <v>Guntur</v>
      </c>
      <c r="O214" s="138" t="s">
        <v>8628</v>
      </c>
      <c r="P214" s="138" t="s">
        <v>8677</v>
      </c>
      <c r="Q214" s="138" t="str">
        <f ca="1">IFERROR(__xludf.DUMMYFUNCTION("filter(I:I,J:J=P214,G:G=O214)"),"Tenali")</f>
        <v>Tenali</v>
      </c>
      <c r="R214" s="138" t="s">
        <v>8678</v>
      </c>
      <c r="U214" s="138" t="s">
        <v>8667</v>
      </c>
      <c r="V214" s="138" t="s">
        <v>8675</v>
      </c>
      <c r="W214" s="138" t="str">
        <f ca="1">IFERROR(__xludf.DUMMYFUNCTION("filter(H:H,I:I=U214,J:J=V214)"),"Nandyal")</f>
        <v>Nandyal</v>
      </c>
    </row>
    <row r="215" spans="7:23">
      <c r="G215" s="138" t="s">
        <v>8597</v>
      </c>
      <c r="H215" s="138" t="s">
        <v>8653</v>
      </c>
      <c r="I215" s="138" t="s">
        <v>8653</v>
      </c>
      <c r="J215" s="138" t="s">
        <v>8679</v>
      </c>
      <c r="K215" s="138" t="str">
        <f ca="1">IFERROR(__xludf.DUMMYFUNCTION("unique(filter(R:R,R:R=I215))"),"Nandyal")</f>
        <v>Nandyal</v>
      </c>
      <c r="N215" s="138" t="str">
        <f ca="1">IFERROR(__xludf.DUMMYFUNCTION("unique(filter(W:W,U:U=R215))"),"Bapatla")</f>
        <v>Bapatla</v>
      </c>
      <c r="O215" s="138" t="s">
        <v>8628</v>
      </c>
      <c r="P215" s="138" t="s">
        <v>8680</v>
      </c>
      <c r="Q215" s="138" t="str">
        <f ca="1">IFERROR(__xludf.DUMMYFUNCTION("filter(I:I,J:J=P215,G:G=O215)"),"Vemuru (Sc)")</f>
        <v>Vemuru (Sc)</v>
      </c>
      <c r="R215" s="138" t="s">
        <v>8633</v>
      </c>
      <c r="U215" s="138" t="s">
        <v>8653</v>
      </c>
      <c r="V215" s="138" t="s">
        <v>8653</v>
      </c>
      <c r="W215" s="138" t="str">
        <f ca="1">IFERROR(__xludf.DUMMYFUNCTION("filter(H:H,I:I=U215,J:J=V215)"),"Nandyal")</f>
        <v>Nandyal</v>
      </c>
    </row>
    <row r="216" spans="7:23">
      <c r="G216" s="138" t="s">
        <v>8597</v>
      </c>
      <c r="H216" s="138" t="s">
        <v>8653</v>
      </c>
      <c r="I216" s="138" t="s">
        <v>8653</v>
      </c>
      <c r="J216" s="138" t="s">
        <v>8681</v>
      </c>
      <c r="K216" s="138" t="str">
        <f ca="1">IFERROR(__xludf.DUMMYFUNCTION("unique(filter(R:R,R:R=I216))"),"Nandyal")</f>
        <v>Nandyal</v>
      </c>
      <c r="N216" s="138" t="str">
        <f ca="1">IFERROR(__xludf.DUMMYFUNCTION("unique(filter(W:W,U:U=R216))"),"Palnadu")</f>
        <v>Palnadu</v>
      </c>
      <c r="O216" s="138" t="s">
        <v>8628</v>
      </c>
      <c r="P216" s="138" t="s">
        <v>8682</v>
      </c>
      <c r="Q216" s="138" t="str">
        <f ca="1">IFERROR(__xludf.DUMMYFUNCTION("filter(I:I,J:J=P216,G:G=O216)"),"Pedakurapadu")</f>
        <v>Pedakurapadu</v>
      </c>
      <c r="R216" s="138" t="s">
        <v>8630</v>
      </c>
      <c r="U216" s="138" t="s">
        <v>8653</v>
      </c>
      <c r="V216" s="138" t="s">
        <v>8679</v>
      </c>
      <c r="W216" s="138" t="str">
        <f ca="1">IFERROR(__xludf.DUMMYFUNCTION("filter(H:H,I:I=U216,J:J=V216)"),"Nandyal")</f>
        <v>Nandyal</v>
      </c>
    </row>
    <row r="217" spans="7:23">
      <c r="G217" s="138" t="e">
        <v>#N/A</v>
      </c>
      <c r="H217" s="138" t="e">
        <v>#N/A</v>
      </c>
      <c r="I217" s="138" t="s">
        <v>8653</v>
      </c>
      <c r="J217" s="138" t="e">
        <v>#N/A</v>
      </c>
      <c r="K217" s="138" t="str">
        <f ca="1">IFERROR(__xludf.DUMMYFUNCTION("unique(filter(R:R,R:R=I217))"),"Nandyal")</f>
        <v>Nandyal</v>
      </c>
      <c r="N217" s="138" t="str">
        <f ca="1">IFERROR(__xludf.DUMMYFUNCTION("unique(filter(W:W,U:U=R217))"),"Palnadu")</f>
        <v>Palnadu</v>
      </c>
      <c r="O217" s="138" t="s">
        <v>8628</v>
      </c>
      <c r="P217" s="138" t="s">
        <v>8683</v>
      </c>
      <c r="Q217" s="138" t="str">
        <f ca="1">IFERROR(__xludf.DUMMYFUNCTION("filter(I:I,J:J=P217,G:G=O217)"),"Gurajala")</f>
        <v>Gurajala</v>
      </c>
      <c r="R217" s="138" t="s">
        <v>8656</v>
      </c>
      <c r="U217" s="138" t="s">
        <v>8653</v>
      </c>
      <c r="V217" s="138" t="s">
        <v>8681</v>
      </c>
      <c r="W217" s="138" t="str">
        <f ca="1">IFERROR(__xludf.DUMMYFUNCTION("filter(H:H,I:I=U217,J:J=V217)"),"Nandyal")</f>
        <v>Nandyal</v>
      </c>
    </row>
    <row r="218" spans="7:23">
      <c r="G218" s="138" t="s">
        <v>8597</v>
      </c>
      <c r="H218" s="138" t="s">
        <v>8653</v>
      </c>
      <c r="I218" s="138" t="s">
        <v>8684</v>
      </c>
      <c r="J218" s="138" t="s">
        <v>8685</v>
      </c>
      <c r="K218" s="138" t="str">
        <f ca="1">IFERROR(__xludf.DUMMYFUNCTION("unique(filter(R:R,R:R=I218))"),"Panyam")</f>
        <v>Panyam</v>
      </c>
      <c r="N218" s="138" t="str">
        <f ca="1">IFERROR(__xludf.DUMMYFUNCTION("unique(filter(W:W,U:U=R218))"),"Palnadu")</f>
        <v>Palnadu</v>
      </c>
      <c r="O218" s="138" t="s">
        <v>8628</v>
      </c>
      <c r="P218" s="138" t="s">
        <v>8686</v>
      </c>
      <c r="Q218" s="138" t="str">
        <f ca="1">IFERROR(__xludf.DUMMYFUNCTION("filter(I:I,J:J=P218,G:G=O218)"),"Macherla")</f>
        <v>Macherla</v>
      </c>
      <c r="R218" s="138" t="s">
        <v>8662</v>
      </c>
    </row>
    <row r="219" spans="7:23">
      <c r="G219" s="138" t="s">
        <v>8597</v>
      </c>
      <c r="H219" s="138" t="s">
        <v>8653</v>
      </c>
      <c r="I219" s="138" t="s">
        <v>8684</v>
      </c>
      <c r="J219" s="138" t="s">
        <v>8631</v>
      </c>
      <c r="K219" s="138" t="str">
        <f ca="1">IFERROR(__xludf.DUMMYFUNCTION("unique(filter(R:R,R:R=I219))"),"Panyam")</f>
        <v>Panyam</v>
      </c>
      <c r="N219" s="138" t="str">
        <f ca="1">IFERROR(__xludf.DUMMYFUNCTION("unique(filter(W:W,U:U=R219))"),"Guntur")</f>
        <v>Guntur</v>
      </c>
      <c r="O219" s="138" t="s">
        <v>8628</v>
      </c>
      <c r="P219" s="138" t="s">
        <v>8687</v>
      </c>
      <c r="Q219" s="138" t="str">
        <f ca="1">IFERROR(__xludf.DUMMYFUNCTION("filter(I:I,J:J=P219,G:G=O219)"),"Mangalagiri")</f>
        <v>Mangalagiri</v>
      </c>
      <c r="R219" s="138" t="s">
        <v>8659</v>
      </c>
      <c r="U219" s="138" t="s">
        <v>8684</v>
      </c>
      <c r="V219" s="138" t="s">
        <v>8685</v>
      </c>
      <c r="W219" s="138" t="str">
        <f ca="1">IFERROR(__xludf.DUMMYFUNCTION("filter(H:H,I:I=U219,J:J=V219)"),"Nandyal")</f>
        <v>Nandyal</v>
      </c>
    </row>
    <row r="220" spans="7:23">
      <c r="G220" s="138" t="s">
        <v>8597</v>
      </c>
      <c r="H220" s="138" t="s">
        <v>8653</v>
      </c>
      <c r="I220" s="138" t="s">
        <v>8684</v>
      </c>
      <c r="J220" s="138" t="s">
        <v>8688</v>
      </c>
      <c r="K220" s="138" t="str">
        <f ca="1">IFERROR(__xludf.DUMMYFUNCTION("unique(filter(R:R,R:R=I220))"),"Panyam")</f>
        <v>Panyam</v>
      </c>
      <c r="N220" s="138" t="str">
        <f ca="1">IFERROR(__xludf.DUMMYFUNCTION("unique(filter(W:W,U:U=R220))"),"Guntur")</f>
        <v>Guntur</v>
      </c>
      <c r="O220" s="138" t="s">
        <v>8628</v>
      </c>
      <c r="P220" s="138" t="s">
        <v>8689</v>
      </c>
      <c r="Q220" s="138" t="str">
        <f ca="1">IFERROR(__xludf.DUMMYFUNCTION("filter(I:I,J:J=P220,G:G=O220)"),"Tadikonda (Sc)")</f>
        <v>Tadikonda (Sc)</v>
      </c>
      <c r="R220" s="138" t="s">
        <v>8690</v>
      </c>
      <c r="U220" s="138" t="s">
        <v>8684</v>
      </c>
      <c r="V220" s="138" t="s">
        <v>8631</v>
      </c>
      <c r="W220" s="138" t="str">
        <f ca="1">IFERROR(__xludf.DUMMYFUNCTION("filter(H:H,I:I=U220,J:J=V220)"),"Nandyal")</f>
        <v>Nandyal</v>
      </c>
    </row>
    <row r="221" spans="7:23">
      <c r="G221" s="138" t="s">
        <v>8597</v>
      </c>
      <c r="H221" s="138" t="s">
        <v>8653</v>
      </c>
      <c r="I221" s="138" t="s">
        <v>8684</v>
      </c>
      <c r="J221" s="138" t="s">
        <v>8684</v>
      </c>
      <c r="K221" s="138" t="str">
        <f ca="1">IFERROR(__xludf.DUMMYFUNCTION("unique(filter(R:R,R:R=I221))"),"Panyam")</f>
        <v>Panyam</v>
      </c>
      <c r="N221" s="138" t="str">
        <f ca="1">IFERROR(__xludf.DUMMYFUNCTION("unique(filter(W:W,U:U=R221))"),"Palnadu")</f>
        <v>Palnadu</v>
      </c>
      <c r="O221" s="138" t="s">
        <v>8628</v>
      </c>
      <c r="P221" s="138" t="s">
        <v>8691</v>
      </c>
      <c r="Q221" s="138" t="str">
        <f ca="1">IFERROR(__xludf.DUMMYFUNCTION("filter(I:I,J:J=P221,G:G=O221)"),"Sattenapalle")</f>
        <v>Sattenapalle</v>
      </c>
      <c r="R221" s="138" t="s">
        <v>8692</v>
      </c>
      <c r="U221" s="138" t="s">
        <v>8684</v>
      </c>
      <c r="V221" s="138" t="s">
        <v>8688</v>
      </c>
      <c r="W221" s="138" t="str">
        <f ca="1">IFERROR(__xludf.DUMMYFUNCTION("filter(H:H,I:I=U221,J:J=V221)"),"Nandyal")</f>
        <v>Nandyal</v>
      </c>
    </row>
    <row r="222" spans="7:23">
      <c r="G222" s="138" t="s">
        <v>8597</v>
      </c>
      <c r="H222" s="138" t="s">
        <v>8653</v>
      </c>
      <c r="I222" s="138" t="s">
        <v>8684</v>
      </c>
      <c r="J222" s="138" t="s">
        <v>8693</v>
      </c>
      <c r="K222" s="138" t="str">
        <f ca="1">IFERROR(__xludf.DUMMYFUNCTION("unique(filter(R:R,R:R=I222))"),"Panyam")</f>
        <v>Panyam</v>
      </c>
      <c r="N222" s="138" t="str">
        <f ca="1">IFERROR(__xludf.DUMMYFUNCTION("unique(filter(W:W,U:U=R222))"),"Palnadu")</f>
        <v>Palnadu</v>
      </c>
      <c r="O222" s="138" t="s">
        <v>8628</v>
      </c>
      <c r="P222" s="138" t="s">
        <v>8694</v>
      </c>
      <c r="Q222" s="138" t="str">
        <f ca="1">IFERROR(__xludf.DUMMYFUNCTION("filter(I:I,J:J=P222,G:G=O222)"),"Chilakaluripet")</f>
        <v>Chilakaluripet</v>
      </c>
      <c r="R222" s="138" t="s">
        <v>8652</v>
      </c>
      <c r="U222" s="138" t="s">
        <v>8684</v>
      </c>
      <c r="V222" s="138" t="s">
        <v>8684</v>
      </c>
      <c r="W222" s="138" t="str">
        <f ca="1">IFERROR(__xludf.DUMMYFUNCTION("filter(H:H,I:I=U222,J:J=V222)"),"Nandyal")</f>
        <v>Nandyal</v>
      </c>
    </row>
    <row r="223" spans="7:23">
      <c r="G223" s="138" t="e">
        <v>#N/A</v>
      </c>
      <c r="H223" s="138" t="e">
        <v>#N/A</v>
      </c>
      <c r="I223" s="138" t="s">
        <v>8684</v>
      </c>
      <c r="J223" s="138" t="e">
        <v>#N/A</v>
      </c>
      <c r="K223" s="138" t="str">
        <f ca="1">IFERROR(__xludf.DUMMYFUNCTION("unique(filter(R:R,R:R=I223))"),"Panyam")</f>
        <v>Panyam</v>
      </c>
      <c r="N223" s="138" t="str">
        <f ca="1">IFERROR(__xludf.DUMMYFUNCTION("unique(filter(W:W,U:U=R223))"),"Bapatla")</f>
        <v>Bapatla</v>
      </c>
      <c r="O223" s="138" t="s">
        <v>8628</v>
      </c>
      <c r="P223" s="138" t="s">
        <v>8695</v>
      </c>
      <c r="Q223" s="138" t="str">
        <f ca="1">IFERROR(__xludf.DUMMYFUNCTION("filter(I:I,J:J=P223,G:G=O223)"),"Repalle")</f>
        <v>Repalle</v>
      </c>
      <c r="R223" s="138" t="s">
        <v>8650</v>
      </c>
      <c r="U223" s="138" t="s">
        <v>8684</v>
      </c>
      <c r="V223" s="138" t="s">
        <v>8693</v>
      </c>
      <c r="W223" s="138" t="str">
        <f ca="1">IFERROR(__xludf.DUMMYFUNCTION("filter(H:H,I:I=U223,J:J=V223)"),"Nandyal")</f>
        <v>Nandyal</v>
      </c>
    </row>
    <row r="224" spans="7:23">
      <c r="G224" s="138" t="s">
        <v>8597</v>
      </c>
      <c r="H224" s="138" t="s">
        <v>8597</v>
      </c>
      <c r="I224" s="138" t="s">
        <v>8597</v>
      </c>
      <c r="J224" s="138" t="s">
        <v>8631</v>
      </c>
      <c r="K224" s="138" t="str">
        <f ca="1">IFERROR(__xludf.DUMMYFUNCTION("unique(filter(R:R,R:R=I224))"),"#N/A")</f>
        <v>#N/A</v>
      </c>
      <c r="N224" s="138" t="str">
        <f ca="1">IFERROR(__xludf.DUMMYFUNCTION("unique(filter(W:W,U:U=R224))"),"Palnadu")</f>
        <v>Palnadu</v>
      </c>
      <c r="O224" s="138" t="s">
        <v>8628</v>
      </c>
      <c r="P224" s="138" t="s">
        <v>8696</v>
      </c>
      <c r="Q224" s="138" t="str">
        <f ca="1">IFERROR(__xludf.DUMMYFUNCTION("filter(I:I,J:J=P224,G:G=O224)"),"Narasaraopet")</f>
        <v>Narasaraopet</v>
      </c>
      <c r="R224" s="138" t="s">
        <v>8697</v>
      </c>
    </row>
    <row r="225" spans="7:23">
      <c r="G225" s="138" t="s">
        <v>8597</v>
      </c>
      <c r="H225" s="138" t="s">
        <v>8653</v>
      </c>
      <c r="I225" s="138" t="s">
        <v>8698</v>
      </c>
      <c r="J225" s="138" t="s">
        <v>8699</v>
      </c>
      <c r="K225" s="138" t="str">
        <f ca="1">IFERROR(__xludf.DUMMYFUNCTION("unique(filter(R:R,R:R=I225))"),"Nandikotkur (Sc)")</f>
        <v>Nandikotkur (Sc)</v>
      </c>
      <c r="N225" s="138" t="str">
        <f ca="1">IFERROR(__xludf.DUMMYFUNCTION("unique(filter(W:W,U:U=R225))"),"Palnadu")</f>
        <v>Palnadu</v>
      </c>
      <c r="O225" s="138" t="s">
        <v>8628</v>
      </c>
      <c r="P225" s="138" t="s">
        <v>8700</v>
      </c>
      <c r="Q225" s="138" t="str">
        <f ca="1">IFERROR(__xludf.DUMMYFUNCTION("filter(I:I,J:J=P225,G:G=O225)"),"Sattenapalle")</f>
        <v>Sattenapalle</v>
      </c>
      <c r="R225" s="138" t="s">
        <v>8692</v>
      </c>
      <c r="U225" s="138" t="s">
        <v>8597</v>
      </c>
      <c r="V225" s="138" t="s">
        <v>8631</v>
      </c>
      <c r="W225" s="138" t="str">
        <f ca="1">IFERROR(__xludf.DUMMYFUNCTION("filter(H:H,I:I=U225,J:J=V225)"),"Kurnool")</f>
        <v>Kurnool</v>
      </c>
    </row>
    <row r="226" spans="7:23">
      <c r="G226" s="138" t="s">
        <v>8597</v>
      </c>
      <c r="H226" s="138" t="s">
        <v>8653</v>
      </c>
      <c r="I226" s="138" t="s">
        <v>8698</v>
      </c>
      <c r="J226" s="138" t="s">
        <v>8701</v>
      </c>
      <c r="K226" s="138" t="str">
        <f ca="1">IFERROR(__xludf.DUMMYFUNCTION("unique(filter(R:R,R:R=I226))"),"Nandikotkur (Sc)")</f>
        <v>Nandikotkur (Sc)</v>
      </c>
      <c r="N226" s="138" t="str">
        <f ca="1">IFERROR(__xludf.DUMMYFUNCTION("unique(filter(W:W,U:U=R226))"),"Bapatla")</f>
        <v>Bapatla</v>
      </c>
      <c r="O226" s="138" t="s">
        <v>8628</v>
      </c>
      <c r="P226" s="138" t="s">
        <v>8702</v>
      </c>
      <c r="Q226" s="138" t="str">
        <f ca="1">IFERROR(__xludf.DUMMYFUNCTION("filter(I:I,J:J=P226,G:G=O226)"),"Repalle")</f>
        <v>Repalle</v>
      </c>
      <c r="R226" s="138" t="s">
        <v>8650</v>
      </c>
      <c r="U226" s="138" t="s">
        <v>8698</v>
      </c>
      <c r="V226" s="138" t="s">
        <v>8699</v>
      </c>
      <c r="W226" s="138" t="str">
        <f ca="1">IFERROR(__xludf.DUMMYFUNCTION("filter(H:H,I:I=U226,J:J=V226)"),"Nandyal")</f>
        <v>Nandyal</v>
      </c>
    </row>
    <row r="227" spans="7:23">
      <c r="G227" s="138" t="s">
        <v>8597</v>
      </c>
      <c r="H227" s="138" t="s">
        <v>8653</v>
      </c>
      <c r="I227" s="138" t="s">
        <v>8698</v>
      </c>
      <c r="J227" s="138" t="s">
        <v>8703</v>
      </c>
      <c r="K227" s="138" t="str">
        <f ca="1">IFERROR(__xludf.DUMMYFUNCTION("unique(filter(R:R,R:R=I227))"),"Nandikotkur (Sc)")</f>
        <v>Nandikotkur (Sc)</v>
      </c>
      <c r="N227" s="138" t="str">
        <f ca="1">IFERROR(__xludf.DUMMYFUNCTION("unique(filter(W:W,U:U=R227))"),"Palnadu")</f>
        <v>Palnadu</v>
      </c>
      <c r="O227" s="138" t="s">
        <v>8628</v>
      </c>
      <c r="P227" s="138" t="s">
        <v>8704</v>
      </c>
      <c r="Q227" s="138" t="str">
        <f ca="1">IFERROR(__xludf.DUMMYFUNCTION("filter(I:I,J:J=P227,G:G=O227)"),"Vinukonda")</f>
        <v>Vinukonda</v>
      </c>
      <c r="R227" s="138" t="s">
        <v>8645</v>
      </c>
      <c r="U227" s="138" t="s">
        <v>8698</v>
      </c>
      <c r="V227" s="138" t="s">
        <v>8701</v>
      </c>
      <c r="W227" s="138" t="str">
        <f ca="1">IFERROR(__xludf.DUMMYFUNCTION("filter(H:H,I:I=U227,J:J=V227)"),"Nandyal")</f>
        <v>Nandyal</v>
      </c>
    </row>
    <row r="228" spans="7:23">
      <c r="G228" s="138" t="s">
        <v>8597</v>
      </c>
      <c r="H228" s="138" t="s">
        <v>8653</v>
      </c>
      <c r="I228" s="138" t="s">
        <v>8698</v>
      </c>
      <c r="J228" s="138" t="s">
        <v>8705</v>
      </c>
      <c r="K228" s="138" t="str">
        <f ca="1">IFERROR(__xludf.DUMMYFUNCTION("unique(filter(R:R,R:R=I228))"),"Nandikotkur (Sc)")</f>
        <v>Nandikotkur (Sc)</v>
      </c>
      <c r="N228" s="138" t="str">
        <f ca="1">IFERROR(__xludf.DUMMYFUNCTION("unique(filter(W:W,U:U=R228))"),"Guntur")</f>
        <v>Guntur</v>
      </c>
      <c r="O228" s="138" t="s">
        <v>8628</v>
      </c>
      <c r="P228" s="138" t="s">
        <v>8706</v>
      </c>
      <c r="Q228" s="138" t="str">
        <f ca="1">IFERROR(__xludf.DUMMYFUNCTION("filter(I:I,J:J=P228,G:G=O228)"),"Ponnur")</f>
        <v>Ponnur</v>
      </c>
      <c r="R228" s="138" t="s">
        <v>8647</v>
      </c>
      <c r="U228" s="138" t="s">
        <v>8698</v>
      </c>
      <c r="V228" s="138" t="s">
        <v>8703</v>
      </c>
      <c r="W228" s="138" t="str">
        <f ca="1">IFERROR(__xludf.DUMMYFUNCTION("filter(H:H,I:I=U228,J:J=V228)"),"Nandyal")</f>
        <v>Nandyal</v>
      </c>
    </row>
    <row r="229" spans="7:23">
      <c r="G229" s="138" t="s">
        <v>8597</v>
      </c>
      <c r="H229" s="138" t="s">
        <v>8653</v>
      </c>
      <c r="I229" s="138" t="s">
        <v>8698</v>
      </c>
      <c r="J229" s="138" t="s">
        <v>8707</v>
      </c>
      <c r="K229" s="138" t="str">
        <f ca="1">IFERROR(__xludf.DUMMYFUNCTION("unique(filter(R:R,R:R=I229))"),"Nandikotkur (Sc)")</f>
        <v>Nandikotkur (Sc)</v>
      </c>
      <c r="N229" s="138" t="str">
        <f ca="1">IFERROR(__xludf.DUMMYFUNCTION("unique(filter(W:W,U:U=R229))"),"Palnadu")</f>
        <v>Palnadu</v>
      </c>
      <c r="O229" s="138" t="s">
        <v>8628</v>
      </c>
      <c r="P229" s="138" t="s">
        <v>8708</v>
      </c>
      <c r="Q229" s="138" t="str">
        <f ca="1">IFERROR(__xludf.DUMMYFUNCTION("filter(I:I,J:J=P229,G:G=O229)"),"Pedakurapadu")</f>
        <v>Pedakurapadu</v>
      </c>
      <c r="R229" s="138" t="s">
        <v>8630</v>
      </c>
      <c r="U229" s="138" t="s">
        <v>8698</v>
      </c>
      <c r="V229" s="138" t="s">
        <v>8705</v>
      </c>
      <c r="W229" s="138" t="str">
        <f ca="1">IFERROR(__xludf.DUMMYFUNCTION("filter(H:H,I:I=U229,J:J=V229)"),"Nandyal")</f>
        <v>Nandyal</v>
      </c>
    </row>
    <row r="230" spans="7:23">
      <c r="G230" s="138" t="s">
        <v>8597</v>
      </c>
      <c r="H230" s="138" t="s">
        <v>8653</v>
      </c>
      <c r="I230" s="138" t="s">
        <v>8698</v>
      </c>
      <c r="J230" s="138" t="s">
        <v>166</v>
      </c>
      <c r="K230" s="138" t="str">
        <f ca="1">IFERROR(__xludf.DUMMYFUNCTION("unique(filter(R:R,R:R=I230))"),"Nandikotkur (Sc)")</f>
        <v>Nandikotkur (Sc)</v>
      </c>
      <c r="N230" s="138" t="str">
        <f ca="1">IFERROR(__xludf.DUMMYFUNCTION("unique(filter(W:W,U:U=R230))"),"Guntur")</f>
        <v>Guntur</v>
      </c>
      <c r="O230" s="138" t="s">
        <v>8628</v>
      </c>
      <c r="P230" s="138" t="s">
        <v>8709</v>
      </c>
      <c r="Q230" s="138" t="str">
        <f ca="1">IFERROR(__xludf.DUMMYFUNCTION("filter(I:I,J:J=P230,G:G=O230)"),"Prathipadu (Sc)")</f>
        <v>Prathipadu (Sc)</v>
      </c>
      <c r="R230" s="138" t="s">
        <v>8666</v>
      </c>
      <c r="U230" s="138" t="s">
        <v>8698</v>
      </c>
      <c r="V230" s="138" t="s">
        <v>8707</v>
      </c>
      <c r="W230" s="138" t="str">
        <f ca="1">IFERROR(__xludf.DUMMYFUNCTION("filter(H:H,I:I=U230,J:J=V230)"),"Nandyal")</f>
        <v>Nandyal</v>
      </c>
    </row>
    <row r="231" spans="7:23">
      <c r="G231" s="138" t="s">
        <v>8597</v>
      </c>
      <c r="H231" s="138" t="s">
        <v>8653</v>
      </c>
      <c r="I231" s="138" t="s">
        <v>8698</v>
      </c>
      <c r="J231" s="138" t="s">
        <v>8710</v>
      </c>
      <c r="K231" s="138" t="str">
        <f ca="1">IFERROR(__xludf.DUMMYFUNCTION("unique(filter(R:R,R:R=I231))"),"Nandikotkur (Sc)")</f>
        <v>Nandikotkur (Sc)</v>
      </c>
      <c r="N231" s="138" t="str">
        <f ca="1">IFERROR(__xludf.DUMMYFUNCTION("unique(filter(W:W,U:U=R231))"),"Guntur")</f>
        <v>Guntur</v>
      </c>
      <c r="O231" s="138" t="s">
        <v>8628</v>
      </c>
      <c r="P231" s="138" t="s">
        <v>8711</v>
      </c>
      <c r="Q231" s="138" t="str">
        <f ca="1">IFERROR(__xludf.DUMMYFUNCTION("filter(I:I,J:J=P231,G:G=O231)"),"Tadikonda (Sc)")</f>
        <v>Tadikonda (Sc)</v>
      </c>
      <c r="R231" s="138" t="s">
        <v>8690</v>
      </c>
      <c r="U231" s="138" t="s">
        <v>8698</v>
      </c>
      <c r="V231" s="138" t="s">
        <v>166</v>
      </c>
      <c r="W231" s="138" t="str">
        <f ca="1">IFERROR(__xludf.DUMMYFUNCTION("filter(H:H,I:I=U231,J:J=V231)"),"Nandyal")</f>
        <v>Nandyal</v>
      </c>
    </row>
    <row r="232" spans="7:23">
      <c r="G232" s="138" t="e">
        <v>#N/A</v>
      </c>
      <c r="H232" s="138" t="e">
        <v>#N/A</v>
      </c>
      <c r="I232" s="138" t="s">
        <v>8698</v>
      </c>
      <c r="J232" s="138" t="e">
        <v>#N/A</v>
      </c>
      <c r="K232" s="138" t="str">
        <f ca="1">IFERROR(__xludf.DUMMYFUNCTION("unique(filter(R:R,R:R=I232))"),"Nandikotkur (Sc)")</f>
        <v>Nandikotkur (Sc)</v>
      </c>
      <c r="N232" s="138" t="str">
        <f ca="1">IFERROR(__xludf.DUMMYFUNCTION("unique(filter(W:W,U:U=R232))"),"Palnadu")</f>
        <v>Palnadu</v>
      </c>
      <c r="O232" s="138" t="s">
        <v>8628</v>
      </c>
      <c r="P232" s="138" t="s">
        <v>8712</v>
      </c>
      <c r="Q232" s="138" t="str">
        <f ca="1">IFERROR(__xludf.DUMMYFUNCTION("filter(I:I,J:J=P232,G:G=O232)"),"Gurajala")</f>
        <v>Gurajala</v>
      </c>
      <c r="R232" s="138" t="s">
        <v>8656</v>
      </c>
      <c r="U232" s="138" t="s">
        <v>8698</v>
      </c>
      <c r="V232" s="138" t="s">
        <v>8710</v>
      </c>
      <c r="W232" s="138" t="str">
        <f ca="1">IFERROR(__xludf.DUMMYFUNCTION("filter(H:H,I:I=U232,J:J=V232)"),"Nandyal")</f>
        <v>Nandyal</v>
      </c>
    </row>
    <row r="233" spans="7:23">
      <c r="G233" s="138" t="s">
        <v>8597</v>
      </c>
      <c r="H233" s="138" t="s">
        <v>8653</v>
      </c>
      <c r="I233" s="138" t="s">
        <v>8713</v>
      </c>
      <c r="J233" s="138" t="s">
        <v>8713</v>
      </c>
      <c r="K233" s="138" t="str">
        <f ca="1">IFERROR(__xludf.DUMMYFUNCTION("unique(filter(R:R,R:R=I233))"),"Srisailam")</f>
        <v>Srisailam</v>
      </c>
      <c r="N233" s="138" t="str">
        <f ca="1">IFERROR(__xludf.DUMMYFUNCTION("unique(filter(W:W,U:U=R233))"),"Bapatla")</f>
        <v>Bapatla</v>
      </c>
      <c r="O233" s="138" t="s">
        <v>8628</v>
      </c>
      <c r="P233" s="138" t="s">
        <v>8714</v>
      </c>
      <c r="Q233" s="138" t="str">
        <f ca="1">IFERROR(__xludf.DUMMYFUNCTION("filter(I:I,J:J=P233,G:G=O233)"),"Bapatla")</f>
        <v>Bapatla</v>
      </c>
      <c r="R233" s="138" t="s">
        <v>8638</v>
      </c>
    </row>
    <row r="234" spans="7:23">
      <c r="G234" s="138" t="s">
        <v>8597</v>
      </c>
      <c r="H234" s="138" t="s">
        <v>8653</v>
      </c>
      <c r="I234" s="138" t="s">
        <v>8713</v>
      </c>
      <c r="J234" s="138" t="s">
        <v>8513</v>
      </c>
      <c r="K234" s="138" t="str">
        <f ca="1">IFERROR(__xludf.DUMMYFUNCTION("unique(filter(R:R,R:R=I234))"),"Srisailam")</f>
        <v>Srisailam</v>
      </c>
      <c r="N234" s="138" t="str">
        <f ca="1">IFERROR(__xludf.DUMMYFUNCTION("unique(filter(W:W,U:U=R234))"),"Guntur")</f>
        <v>Guntur</v>
      </c>
      <c r="O234" s="138" t="s">
        <v>8628</v>
      </c>
      <c r="P234" s="138" t="s">
        <v>8715</v>
      </c>
      <c r="Q234" s="138" t="str">
        <f ca="1">IFERROR(__xludf.DUMMYFUNCTION("filter(I:I,J:J=P234,G:G=O234)"),"Ponnur")</f>
        <v>Ponnur</v>
      </c>
      <c r="R234" s="138" t="s">
        <v>8647</v>
      </c>
      <c r="U234" s="138" t="s">
        <v>8713</v>
      </c>
      <c r="V234" s="138" t="s">
        <v>8713</v>
      </c>
      <c r="W234" s="138" t="str">
        <f ca="1">IFERROR(__xludf.DUMMYFUNCTION("filter(H:H,I:I=U234,J:J=V234)"),"Nandyal")</f>
        <v>Nandyal</v>
      </c>
    </row>
    <row r="235" spans="7:23">
      <c r="G235" s="138" t="s">
        <v>8597</v>
      </c>
      <c r="H235" s="138" t="s">
        <v>8653</v>
      </c>
      <c r="I235" s="138" t="s">
        <v>8713</v>
      </c>
      <c r="J235" s="138" t="s">
        <v>8716</v>
      </c>
      <c r="K235" s="138" t="str">
        <f ca="1">IFERROR(__xludf.DUMMYFUNCTION("unique(filter(R:R,R:R=I235))"),"Srisailam")</f>
        <v>Srisailam</v>
      </c>
      <c r="N235" s="138" t="str">
        <f ca="1">IFERROR(__xludf.DUMMYFUNCTION("unique(filter(W:W,U:U=R235))"),"Kakinada")</f>
        <v>Kakinada</v>
      </c>
      <c r="O235" s="138" t="s">
        <v>8628</v>
      </c>
      <c r="P235" s="138" t="s">
        <v>8717</v>
      </c>
      <c r="Q235" s="138" t="str">
        <f ca="1">IFERROR(__xludf.DUMMYFUNCTION("filter(I:I,J:J=P235,G:G=O235)"),"#N/A")</f>
        <v>#N/A</v>
      </c>
      <c r="R235" s="138" t="s">
        <v>8</v>
      </c>
      <c r="U235" s="138" t="s">
        <v>8713</v>
      </c>
      <c r="V235" s="138" t="s">
        <v>8513</v>
      </c>
      <c r="W235" s="138" t="str">
        <f ca="1">IFERROR(__xludf.DUMMYFUNCTION("filter(H:H,I:I=U235,J:J=V235)"),"Nandyal")</f>
        <v>Nandyal</v>
      </c>
    </row>
    <row r="236" spans="7:23">
      <c r="G236" s="138" t="s">
        <v>8597</v>
      </c>
      <c r="H236" s="138" t="s">
        <v>8653</v>
      </c>
      <c r="I236" s="138" t="s">
        <v>8713</v>
      </c>
      <c r="J236" s="138" t="s">
        <v>8718</v>
      </c>
      <c r="K236" s="138" t="str">
        <f ca="1">IFERROR(__xludf.DUMMYFUNCTION("unique(filter(R:R,R:R=I236))"),"Srisailam")</f>
        <v>Srisailam</v>
      </c>
      <c r="N236" s="138" t="str">
        <f ca="1">IFERROR(__xludf.DUMMYFUNCTION("unique(filter(W:W,U:U=R236))"),"Palnadu")</f>
        <v>Palnadu</v>
      </c>
      <c r="O236" s="138" t="s">
        <v>8628</v>
      </c>
      <c r="P236" s="138" t="s">
        <v>8719</v>
      </c>
      <c r="Q236" s="138" t="str">
        <f ca="1">IFERROR(__xludf.DUMMYFUNCTION("filter(I:I,J:J=P236,G:G=O236)"),"#N/A")</f>
        <v>#N/A</v>
      </c>
      <c r="R236" s="138" t="s">
        <v>8692</v>
      </c>
      <c r="U236" s="138" t="s">
        <v>8713</v>
      </c>
      <c r="V236" s="138" t="s">
        <v>8716</v>
      </c>
      <c r="W236" s="138" t="str">
        <f ca="1">IFERROR(__xludf.DUMMYFUNCTION("filter(H:H,I:I=U236,J:J=V236)"),"Nandyal")</f>
        <v>Nandyal</v>
      </c>
    </row>
    <row r="237" spans="7:23">
      <c r="G237" s="138" t="s">
        <v>8597</v>
      </c>
      <c r="H237" s="138" t="s">
        <v>8653</v>
      </c>
      <c r="I237" s="138" t="s">
        <v>8713</v>
      </c>
      <c r="J237" s="138" t="s">
        <v>8720</v>
      </c>
      <c r="K237" s="138" t="str">
        <f ca="1">IFERROR(__xludf.DUMMYFUNCTION("unique(filter(R:R,R:R=I237))"),"Srisailam")</f>
        <v>Srisailam</v>
      </c>
      <c r="N237" s="138" t="str">
        <f ca="1">IFERROR(__xludf.DUMMYFUNCTION("unique(filter(W:W,U:U=R237))"),"Palnadu")</f>
        <v>Palnadu</v>
      </c>
      <c r="O237" s="138" t="s">
        <v>8628</v>
      </c>
      <c r="P237" s="138" t="s">
        <v>8721</v>
      </c>
      <c r="Q237" s="138" t="str">
        <f ca="1">IFERROR(__xludf.DUMMYFUNCTION("filter(I:I,J:J=P237,G:G=O237)"),"Macherla")</f>
        <v>Macherla</v>
      </c>
      <c r="R237" s="138" t="s">
        <v>8662</v>
      </c>
      <c r="U237" s="138" t="s">
        <v>8713</v>
      </c>
      <c r="V237" s="138" t="s">
        <v>8718</v>
      </c>
      <c r="W237" s="138" t="str">
        <f ca="1">IFERROR(__xludf.DUMMYFUNCTION("filter(H:H,I:I=U237,J:J=V237)"),"Nandyal")</f>
        <v>Nandyal</v>
      </c>
    </row>
    <row r="238" spans="7:23">
      <c r="G238" s="138" t="s">
        <v>8597</v>
      </c>
      <c r="H238" s="138" t="s">
        <v>8653</v>
      </c>
      <c r="I238" s="138" t="s">
        <v>8713</v>
      </c>
      <c r="J238" s="138" t="s">
        <v>8722</v>
      </c>
      <c r="K238" s="138" t="str">
        <f ca="1">IFERROR(__xludf.DUMMYFUNCTION("unique(filter(R:R,R:R=I238))"),"Srisailam")</f>
        <v>Srisailam</v>
      </c>
      <c r="N238" s="138" t="str">
        <f ca="1">IFERROR(__xludf.DUMMYFUNCTION("unique(filter(W:W,U:U=R238))"),"Bapatla")</f>
        <v>Bapatla</v>
      </c>
      <c r="O238" s="138" t="s">
        <v>8628</v>
      </c>
      <c r="P238" s="138" t="s">
        <v>8723</v>
      </c>
      <c r="Q238" s="138" t="str">
        <f ca="1">IFERROR(__xludf.DUMMYFUNCTION("filter(I:I,J:J=P238,G:G=O238)"),"Repalle")</f>
        <v>Repalle</v>
      </c>
      <c r="R238" s="138" t="s">
        <v>8650</v>
      </c>
      <c r="U238" s="138" t="s">
        <v>8713</v>
      </c>
      <c r="V238" s="138" t="s">
        <v>8720</v>
      </c>
      <c r="W238" s="138" t="str">
        <f ca="1">IFERROR(__xludf.DUMMYFUNCTION("filter(H:H,I:I=U238,J:J=V238)"),"Nandyal")</f>
        <v>Nandyal</v>
      </c>
    </row>
    <row r="239" spans="7:23">
      <c r="G239" s="138" t="e">
        <v>#N/A</v>
      </c>
      <c r="H239" s="138" t="e">
        <v>#N/A</v>
      </c>
      <c r="I239" s="138" t="s">
        <v>8713</v>
      </c>
      <c r="J239" s="138" t="e">
        <v>#N/A</v>
      </c>
      <c r="K239" s="138" t="str">
        <f ca="1">IFERROR(__xludf.DUMMYFUNCTION("unique(filter(R:R,R:R=I239))"),"Srisailam")</f>
        <v>Srisailam</v>
      </c>
      <c r="N239" s="138" t="str">
        <f ca="1">IFERROR(__xludf.DUMMYFUNCTION("unique(filter(W:W,U:U=R239))"),"Palnadu")</f>
        <v>Palnadu</v>
      </c>
      <c r="O239" s="138" t="s">
        <v>8628</v>
      </c>
      <c r="P239" s="138" t="s">
        <v>8724</v>
      </c>
      <c r="Q239" s="138" t="str">
        <f ca="1">IFERROR(__xludf.DUMMYFUNCTION("filter(I:I,J:J=P239,G:G=O239)"),"#N/A")</f>
        <v>#N/A</v>
      </c>
      <c r="R239" s="138" t="s">
        <v>8697</v>
      </c>
      <c r="U239" s="138" t="s">
        <v>8713</v>
      </c>
      <c r="V239" s="138" t="s">
        <v>8722</v>
      </c>
      <c r="W239" s="138" t="str">
        <f ca="1">IFERROR(__xludf.DUMMYFUNCTION("filter(H:H,I:I=U239,J:J=V239)"),"Nandyal")</f>
        <v>Nandyal</v>
      </c>
    </row>
    <row r="240" spans="7:23">
      <c r="G240" s="138" t="s">
        <v>8597</v>
      </c>
      <c r="H240" s="138" t="s">
        <v>8653</v>
      </c>
      <c r="I240" s="138" t="s">
        <v>8725</v>
      </c>
      <c r="J240" s="138" t="s">
        <v>8726</v>
      </c>
      <c r="K240" s="138" t="str">
        <f ca="1">IFERROR(__xludf.DUMMYFUNCTION("unique(filter(R:R,R:R=I240))"),"Allagadda")</f>
        <v>Allagadda</v>
      </c>
      <c r="N240" s="138" t="str">
        <f ca="1">IFERROR(__xludf.DUMMYFUNCTION("unique(filter(W:W,U:U=R240))"),"Palnadu")</f>
        <v>Palnadu</v>
      </c>
      <c r="O240" s="138" t="s">
        <v>8628</v>
      </c>
      <c r="P240" s="138" t="s">
        <v>8727</v>
      </c>
      <c r="Q240" s="138" t="str">
        <f ca="1">IFERROR(__xludf.DUMMYFUNCTION("filter(I:I,J:J=P240,G:G=O240)"),"Sattenapalle")</f>
        <v>Sattenapalle</v>
      </c>
      <c r="R240" s="138" t="s">
        <v>8692</v>
      </c>
    </row>
    <row r="241" spans="7:23">
      <c r="G241" s="138" t="s">
        <v>8597</v>
      </c>
      <c r="H241" s="138" t="s">
        <v>8653</v>
      </c>
      <c r="I241" s="138" t="s">
        <v>8725</v>
      </c>
      <c r="J241" s="138" t="s">
        <v>8728</v>
      </c>
      <c r="K241" s="138" t="str">
        <f ca="1">IFERROR(__xludf.DUMMYFUNCTION("unique(filter(R:R,R:R=I241))"),"Allagadda")</f>
        <v>Allagadda</v>
      </c>
      <c r="N241" s="138" t="str">
        <f ca="1">IFERROR(__xludf.DUMMYFUNCTION("unique(filter(W:W,U:U=R241))"),"Palnadu")</f>
        <v>Palnadu</v>
      </c>
      <c r="O241" s="138" t="s">
        <v>8628</v>
      </c>
      <c r="P241" s="138" t="s">
        <v>8729</v>
      </c>
      <c r="Q241" s="138" t="str">
        <f ca="1">IFERROR(__xludf.DUMMYFUNCTION("filter(I:I,J:J=P241,G:G=O241)"),"#N/A")</f>
        <v>#N/A</v>
      </c>
      <c r="R241" s="138" t="s">
        <v>8645</v>
      </c>
      <c r="U241" s="138" t="s">
        <v>8725</v>
      </c>
      <c r="V241" s="138" t="s">
        <v>8726</v>
      </c>
      <c r="W241" s="138" t="str">
        <f ca="1">IFERROR(__xludf.DUMMYFUNCTION("filter(H:H,I:I=U241,J:J=V241)"),"Nandyal")</f>
        <v>Nandyal</v>
      </c>
    </row>
    <row r="242" spans="7:23">
      <c r="G242" s="138" t="s">
        <v>8597</v>
      </c>
      <c r="H242" s="138" t="s">
        <v>8653</v>
      </c>
      <c r="I242" s="138" t="s">
        <v>8725</v>
      </c>
      <c r="J242" s="138" t="s">
        <v>8730</v>
      </c>
      <c r="K242" s="138" t="str">
        <f ca="1">IFERROR(__xludf.DUMMYFUNCTION("unique(filter(R:R,R:R=I242))"),"Allagadda")</f>
        <v>Allagadda</v>
      </c>
      <c r="N242" s="138" t="str">
        <f ca="1">IFERROR(__xludf.DUMMYFUNCTION("unique(filter(W:W,U:U=R242))"),"Guntur")</f>
        <v>Guntur</v>
      </c>
      <c r="O242" s="138" t="s">
        <v>8628</v>
      </c>
      <c r="P242" s="138" t="s">
        <v>8731</v>
      </c>
      <c r="Q242" s="138" t="str">
        <f ca="1">IFERROR(__xludf.DUMMYFUNCTION("filter(I:I,J:J=P242,G:G=O242)"),"Mangalagiri")</f>
        <v>Mangalagiri</v>
      </c>
      <c r="R242" s="138" t="s">
        <v>8659</v>
      </c>
      <c r="U242" s="138" t="s">
        <v>8725</v>
      </c>
      <c r="V242" s="138" t="s">
        <v>8728</v>
      </c>
      <c r="W242" s="138" t="str">
        <f ca="1">IFERROR(__xludf.DUMMYFUNCTION("filter(H:H,I:I=U242,J:J=V242)"),"Nandyal")</f>
        <v>Nandyal</v>
      </c>
    </row>
    <row r="243" spans="7:23">
      <c r="G243" s="138" t="s">
        <v>8597</v>
      </c>
      <c r="H243" s="138" t="s">
        <v>8653</v>
      </c>
      <c r="I243" s="138" t="s">
        <v>8725</v>
      </c>
      <c r="J243" s="138" t="s">
        <v>8725</v>
      </c>
      <c r="K243" s="138" t="str">
        <f ca="1">IFERROR(__xludf.DUMMYFUNCTION("unique(filter(R:R,R:R=I243))"),"Allagadda")</f>
        <v>Allagadda</v>
      </c>
      <c r="N243" s="138" t="str">
        <f ca="1">IFERROR(__xludf.DUMMYFUNCTION("unique(filter(W:W,U:U=R243))"),"Guntur")</f>
        <v>Guntur</v>
      </c>
      <c r="O243" s="138" t="s">
        <v>8628</v>
      </c>
      <c r="P243" s="138" t="s">
        <v>8732</v>
      </c>
      <c r="Q243" s="138" t="str">
        <f ca="1">IFERROR(__xludf.DUMMYFUNCTION("filter(I:I,J:J=P243,G:G=O243)"),"Tadikonda (Sc)")</f>
        <v>Tadikonda (Sc)</v>
      </c>
      <c r="R243" s="138" t="s">
        <v>8690</v>
      </c>
      <c r="U243" s="138" t="s">
        <v>8725</v>
      </c>
      <c r="V243" s="138" t="s">
        <v>8730</v>
      </c>
      <c r="W243" s="138" t="str">
        <f ca="1">IFERROR(__xludf.DUMMYFUNCTION("filter(H:H,I:I=U243,J:J=V243)"),"Nandyal")</f>
        <v>Nandyal</v>
      </c>
    </row>
    <row r="244" spans="7:23">
      <c r="G244" s="138" t="s">
        <v>8597</v>
      </c>
      <c r="H244" s="138" t="s">
        <v>8653</v>
      </c>
      <c r="I244" s="138" t="s">
        <v>8725</v>
      </c>
      <c r="J244" s="138" t="s">
        <v>8733</v>
      </c>
      <c r="K244" s="138" t="str">
        <f ca="1">IFERROR(__xludf.DUMMYFUNCTION("unique(filter(R:R,R:R=I244))"),"Allagadda")</f>
        <v>Allagadda</v>
      </c>
      <c r="N244" s="138" t="str">
        <f ca="1">IFERROR(__xludf.DUMMYFUNCTION("unique(filter(W:W,U:U=R244))"),"Guntur")</f>
        <v>Guntur</v>
      </c>
      <c r="O244" s="138" t="s">
        <v>8628</v>
      </c>
      <c r="P244" s="138" t="s">
        <v>8734</v>
      </c>
      <c r="Q244" s="138" t="str">
        <f ca="1">IFERROR(__xludf.DUMMYFUNCTION("filter(I:I,J:J=P244,G:G=O244)"),"Tenali")</f>
        <v>Tenali</v>
      </c>
      <c r="R244" s="138" t="s">
        <v>8678</v>
      </c>
      <c r="U244" s="138" t="s">
        <v>8725</v>
      </c>
      <c r="V244" s="138" t="s">
        <v>8725</v>
      </c>
      <c r="W244" s="138" t="str">
        <f ca="1">IFERROR(__xludf.DUMMYFUNCTION("filter(H:H,I:I=U244,J:J=V244)"),"Nandyal")</f>
        <v>Nandyal</v>
      </c>
    </row>
    <row r="245" spans="7:23">
      <c r="G245" s="138" t="s">
        <v>8597</v>
      </c>
      <c r="H245" s="138" t="s">
        <v>8653</v>
      </c>
      <c r="I245" s="138" t="s">
        <v>8725</v>
      </c>
      <c r="J245" s="138" t="s">
        <v>8735</v>
      </c>
      <c r="K245" s="138" t="str">
        <f ca="1">IFERROR(__xludf.DUMMYFUNCTION("unique(filter(R:R,R:R=I245))"),"Allagadda")</f>
        <v>Allagadda</v>
      </c>
      <c r="N245" s="138" t="str">
        <f ca="1">IFERROR(__xludf.DUMMYFUNCTION("unique(filter(W:W,U:U=R245))"),"Guntur")</f>
        <v>Guntur</v>
      </c>
      <c r="O245" s="138" t="s">
        <v>8628</v>
      </c>
      <c r="P245" s="138" t="s">
        <v>8736</v>
      </c>
      <c r="Q245" s="138" t="str">
        <f ca="1">IFERROR(__xludf.DUMMYFUNCTION("filter(I:I,J:J=P245,G:G=O245)"),"Tadikonda (Sc)")</f>
        <v>Tadikonda (Sc)</v>
      </c>
      <c r="R245" s="138" t="s">
        <v>8690</v>
      </c>
      <c r="U245" s="138" t="s">
        <v>8725</v>
      </c>
      <c r="V245" s="138" t="s">
        <v>8733</v>
      </c>
      <c r="W245" s="138" t="str">
        <f ca="1">IFERROR(__xludf.DUMMYFUNCTION("filter(H:H,I:I=U245,J:J=V245)"),"Nandyal")</f>
        <v>Nandyal</v>
      </c>
    </row>
    <row r="246" spans="7:23">
      <c r="G246" s="138" t="s">
        <v>8597</v>
      </c>
      <c r="H246" s="138" t="s">
        <v>8653</v>
      </c>
      <c r="I246" s="138" t="s">
        <v>8725</v>
      </c>
      <c r="J246" s="138" t="s">
        <v>8737</v>
      </c>
      <c r="K246" s="138" t="str">
        <f ca="1">IFERROR(__xludf.DUMMYFUNCTION("unique(filter(R:R,R:R=I246))"),"Allagadda")</f>
        <v>Allagadda</v>
      </c>
      <c r="N246" s="138" t="str">
        <f ca="1">IFERROR(__xludf.DUMMYFUNCTION("unique(filter(W:W,U:U=R246))"),"Bapatla")</f>
        <v>Bapatla</v>
      </c>
      <c r="O246" s="138" t="s">
        <v>8628</v>
      </c>
      <c r="P246" s="138" t="s">
        <v>8738</v>
      </c>
      <c r="Q246" s="138" t="str">
        <f ca="1">IFERROR(__xludf.DUMMYFUNCTION("filter(I:I,J:J=P246,G:G=O246)"),"Vemuru (Sc)")</f>
        <v>Vemuru (Sc)</v>
      </c>
      <c r="R246" s="138" t="s">
        <v>8633</v>
      </c>
      <c r="U246" s="138" t="s">
        <v>8725</v>
      </c>
      <c r="V246" s="138" t="s">
        <v>8735</v>
      </c>
      <c r="W246" s="138" t="str">
        <f ca="1">IFERROR(__xludf.DUMMYFUNCTION("filter(H:H,I:I=U246,J:J=V246)"),"Nandyal")</f>
        <v>Nandyal</v>
      </c>
    </row>
    <row r="247" spans="7:23">
      <c r="G247" s="138" t="s">
        <v>8739</v>
      </c>
      <c r="H247" s="138" t="s">
        <v>8739</v>
      </c>
      <c r="I247" s="138" t="s">
        <v>8740</v>
      </c>
      <c r="J247" s="138" t="s">
        <v>8741</v>
      </c>
      <c r="K247" s="138" t="str">
        <f ca="1">IFERROR(__xludf.DUMMYFUNCTION("unique(filter(R:R,R:R=I247))"),"Mydukur")</f>
        <v>Mydukur</v>
      </c>
      <c r="N247" s="138" t="str">
        <f ca="1">IFERROR(__xludf.DUMMYFUNCTION("unique(filter(W:W,U:U=R247))"),"Guntur")</f>
        <v>Guntur</v>
      </c>
      <c r="O247" s="138" t="s">
        <v>8628</v>
      </c>
      <c r="P247" s="138" t="s">
        <v>8742</v>
      </c>
      <c r="Q247" s="138" t="str">
        <f ca="1">IFERROR(__xludf.DUMMYFUNCTION("filter(I:I,J:J=P247,G:G=O247)"),"Prathipadu (Sc)")</f>
        <v>Prathipadu (Sc)</v>
      </c>
      <c r="R247" s="138" t="s">
        <v>8666</v>
      </c>
      <c r="U247" s="138" t="s">
        <v>8725</v>
      </c>
      <c r="V247" s="138" t="s">
        <v>8737</v>
      </c>
      <c r="W247" s="138" t="str">
        <f ca="1">IFERROR(__xludf.DUMMYFUNCTION("filter(H:H,I:I=U247,J:J=V247)"),"Nandyal")</f>
        <v>Nandyal</v>
      </c>
    </row>
    <row r="248" spans="7:23">
      <c r="G248" s="138" t="s">
        <v>8739</v>
      </c>
      <c r="H248" s="138" t="s">
        <v>8739</v>
      </c>
      <c r="I248" s="138" t="s">
        <v>8740</v>
      </c>
      <c r="J248" s="138" t="s">
        <v>8743</v>
      </c>
      <c r="K248" s="138" t="str">
        <f ca="1">IFERROR(__xludf.DUMMYFUNCTION("unique(filter(R:R,R:R=I248))"),"Mydukur")</f>
        <v>Mydukur</v>
      </c>
      <c r="N248" s="138" t="str">
        <f ca="1">IFERROR(__xludf.DUMMYFUNCTION("unique(filter(W:W,U:U=R248))"),"Palnadu")</f>
        <v>Palnadu</v>
      </c>
      <c r="O248" s="138" t="s">
        <v>8628</v>
      </c>
      <c r="P248" s="138" t="s">
        <v>8744</v>
      </c>
      <c r="Q248" s="138" t="str">
        <f ca="1">IFERROR(__xludf.DUMMYFUNCTION("filter(I:I,J:J=P248,G:G=O248)"),"#N/A")</f>
        <v>#N/A</v>
      </c>
      <c r="R248" s="138" t="s">
        <v>8662</v>
      </c>
      <c r="U248" s="138" t="s">
        <v>8740</v>
      </c>
      <c r="V248" s="138" t="s">
        <v>8741</v>
      </c>
      <c r="W248" s="138" t="str">
        <f ca="1">IFERROR(__xludf.DUMMYFUNCTION("filter(H:H,I:I=U248,J:J=V248)"),"Kadapa")</f>
        <v>Kadapa</v>
      </c>
    </row>
    <row r="249" spans="7:23">
      <c r="G249" s="138" t="s">
        <v>8739</v>
      </c>
      <c r="H249" s="138" t="s">
        <v>8739</v>
      </c>
      <c r="I249" s="138" t="s">
        <v>8740</v>
      </c>
      <c r="J249" s="138" t="s">
        <v>8745</v>
      </c>
      <c r="K249" s="138" t="str">
        <f ca="1">IFERROR(__xludf.DUMMYFUNCTION("unique(filter(R:R,R:R=I249))"),"Mydukur")</f>
        <v>Mydukur</v>
      </c>
      <c r="N249" s="138" t="str">
        <f ca="1">IFERROR(__xludf.DUMMYFUNCTION("unique(filter(W:W,U:U=R249))"),"Bapatla")</f>
        <v>Bapatla</v>
      </c>
      <c r="O249" s="138" t="s">
        <v>8628</v>
      </c>
      <c r="P249" s="138" t="s">
        <v>8746</v>
      </c>
      <c r="Q249" s="138" t="str">
        <f ca="1">IFERROR(__xludf.DUMMYFUNCTION("filter(I:I,J:J=P249,G:G=O249)"),"Vemuru (Sc)")</f>
        <v>Vemuru (Sc)</v>
      </c>
      <c r="R249" s="138" t="s">
        <v>8633</v>
      </c>
      <c r="U249" s="138" t="s">
        <v>8740</v>
      </c>
      <c r="V249" s="138" t="s">
        <v>8743</v>
      </c>
      <c r="W249" s="138" t="str">
        <f ca="1">IFERROR(__xludf.DUMMYFUNCTION("filter(H:H,I:I=U249,J:J=V249)"),"Kadapa")</f>
        <v>Kadapa</v>
      </c>
    </row>
    <row r="250" spans="7:23">
      <c r="G250" s="138" t="s">
        <v>8739</v>
      </c>
      <c r="H250" s="138" t="s">
        <v>8739</v>
      </c>
      <c r="I250" s="138" t="s">
        <v>8740</v>
      </c>
      <c r="J250" s="138" t="s">
        <v>8747</v>
      </c>
      <c r="K250" s="138" t="str">
        <f ca="1">IFERROR(__xludf.DUMMYFUNCTION("unique(filter(R:R,R:R=I250))"),"Mydukur")</f>
        <v>Mydukur</v>
      </c>
      <c r="N250" s="138" t="str">
        <f ca="1">IFERROR(__xludf.DUMMYFUNCTION("unique(filter(W:W,U:U=R250))"),"Palnadu")</f>
        <v>Palnadu</v>
      </c>
      <c r="O250" s="138" t="s">
        <v>8628</v>
      </c>
      <c r="P250" s="138" t="s">
        <v>8748</v>
      </c>
      <c r="Q250" s="138" t="str">
        <f ca="1">IFERROR(__xludf.DUMMYFUNCTION("filter(I:I,J:J=P250,G:G=O250)"),"Vinukonda")</f>
        <v>Vinukonda</v>
      </c>
      <c r="R250" s="138" t="s">
        <v>8645</v>
      </c>
      <c r="U250" s="138" t="s">
        <v>8740</v>
      </c>
      <c r="V250" s="138" t="s">
        <v>8745</v>
      </c>
      <c r="W250" s="138" t="str">
        <f ca="1">IFERROR(__xludf.DUMMYFUNCTION("filter(H:H,I:I=U250,J:J=V250)"),"Kadapa")</f>
        <v>Kadapa</v>
      </c>
    </row>
    <row r="251" spans="7:23">
      <c r="G251" s="138" t="s">
        <v>8739</v>
      </c>
      <c r="H251" s="138" t="s">
        <v>8739</v>
      </c>
      <c r="I251" s="138" t="s">
        <v>8740</v>
      </c>
      <c r="J251" s="138" t="s">
        <v>8749</v>
      </c>
      <c r="K251" s="138" t="str">
        <f ca="1">IFERROR(__xludf.DUMMYFUNCTION("unique(filter(R:R,R:R=I251))"),"Mydukur")</f>
        <v>Mydukur</v>
      </c>
      <c r="N251" s="138" t="str">
        <f ca="1">IFERROR(__xludf.DUMMYFUNCTION("unique(filter(W:W,U:U=R251))"),"Kadapa")</f>
        <v>Kadapa</v>
      </c>
      <c r="O251" s="138" t="s">
        <v>8750</v>
      </c>
      <c r="P251" s="138" t="s">
        <v>8751</v>
      </c>
      <c r="Q251" s="138" t="str">
        <f ca="1">IFERROR(__xludf.DUMMYFUNCTION("filter(I:I,J:J=P251,G:G=O251)"),"Badvel")</f>
        <v>Badvel</v>
      </c>
      <c r="R251" s="138" t="s">
        <v>8752</v>
      </c>
      <c r="U251" s="138" t="s">
        <v>8740</v>
      </c>
      <c r="V251" s="138" t="s">
        <v>8747</v>
      </c>
      <c r="W251" s="138" t="str">
        <f ca="1">IFERROR(__xludf.DUMMYFUNCTION("filter(H:H,I:I=U251,J:J=V251)"),"Kadapa")</f>
        <v>Kadapa</v>
      </c>
    </row>
    <row r="252" spans="7:23">
      <c r="G252" s="138" t="s">
        <v>8739</v>
      </c>
      <c r="H252" s="138" t="s">
        <v>8739</v>
      </c>
      <c r="I252" s="138" t="s">
        <v>8740</v>
      </c>
      <c r="J252" s="138" t="s">
        <v>8753</v>
      </c>
      <c r="K252" s="138" t="str">
        <f ca="1">IFERROR(__xludf.DUMMYFUNCTION("unique(filter(R:R,R:R=I252))"),"Mydukur")</f>
        <v>Mydukur</v>
      </c>
      <c r="N252" s="138" t="str">
        <f ca="1">IFERROR(__xludf.DUMMYFUNCTION("unique(filter(W:W,U:U=R252))"),"Kadapa")</f>
        <v>Kadapa</v>
      </c>
      <c r="O252" s="138" t="s">
        <v>8750</v>
      </c>
      <c r="P252" s="138" t="s">
        <v>8754</v>
      </c>
      <c r="Q252" s="138" t="str">
        <f ca="1">IFERROR(__xludf.DUMMYFUNCTION("filter(I:I,J:J=P252,G:G=O252)"),"Badvel")</f>
        <v>Badvel</v>
      </c>
      <c r="R252" s="138" t="s">
        <v>8752</v>
      </c>
      <c r="U252" s="138" t="s">
        <v>8740</v>
      </c>
      <c r="V252" s="138" t="s">
        <v>8749</v>
      </c>
      <c r="W252" s="138" t="str">
        <f ca="1">IFERROR(__xludf.DUMMYFUNCTION("filter(H:H,I:I=U252,J:J=V252)"),"Kadapa")</f>
        <v>Kadapa</v>
      </c>
    </row>
    <row r="253" spans="7:23">
      <c r="G253" s="138" t="s">
        <v>8739</v>
      </c>
      <c r="H253" s="138" t="s">
        <v>8739</v>
      </c>
      <c r="I253" s="138" t="s">
        <v>8740</v>
      </c>
      <c r="J253" s="138" t="s">
        <v>8755</v>
      </c>
      <c r="K253" s="138" t="str">
        <f ca="1">IFERROR(__xludf.DUMMYFUNCTION("unique(filter(R:R,R:R=I253))"),"Mydukur")</f>
        <v>Mydukur</v>
      </c>
      <c r="N253" s="138" t="str">
        <f ca="1">IFERROR(__xludf.DUMMYFUNCTION("unique(filter(W:W,U:U=R253))"),"Kadapa")</f>
        <v>Kadapa</v>
      </c>
      <c r="O253" s="138" t="s">
        <v>8750</v>
      </c>
      <c r="P253" s="138" t="s">
        <v>8756</v>
      </c>
      <c r="Q253" s="138" t="str">
        <f ca="1">IFERROR(__xludf.DUMMYFUNCTION("filter(I:I,J:J=P253,G:G=O253)"),"Badvel")</f>
        <v>Badvel</v>
      </c>
      <c r="R253" s="138" t="s">
        <v>8752</v>
      </c>
      <c r="U253" s="138" t="s">
        <v>8740</v>
      </c>
      <c r="V253" s="138" t="s">
        <v>8753</v>
      </c>
      <c r="W253" s="138" t="str">
        <f ca="1">IFERROR(__xludf.DUMMYFUNCTION("filter(H:H,I:I=U253,J:J=V253)"),"Kadapa")</f>
        <v>Kadapa</v>
      </c>
    </row>
    <row r="254" spans="7:23">
      <c r="G254" s="138" t="s">
        <v>8739</v>
      </c>
      <c r="H254" s="138" t="s">
        <v>8739</v>
      </c>
      <c r="I254" s="138" t="s">
        <v>8757</v>
      </c>
      <c r="J254" s="138" t="s">
        <v>239</v>
      </c>
      <c r="K254" s="138" t="str">
        <f ca="1">IFERROR(__xludf.DUMMYFUNCTION("unique(filter(R:R,R:R=I254))"),"Proddatur")</f>
        <v>Proddatur</v>
      </c>
      <c r="N254" s="138" t="str">
        <f ca="1">IFERROR(__xludf.DUMMYFUNCTION("unique(filter(W:W,U:U=R254))"),"Kadapa")</f>
        <v>Kadapa</v>
      </c>
      <c r="O254" s="138" t="s">
        <v>8750</v>
      </c>
      <c r="P254" s="138" t="s">
        <v>8758</v>
      </c>
      <c r="Q254" s="138" t="str">
        <f ca="1">IFERROR(__xludf.DUMMYFUNCTION("filter(I:I,J:J=P254,G:G=O254)"),"Mydukur")</f>
        <v>Mydukur</v>
      </c>
      <c r="R254" s="138" t="s">
        <v>8740</v>
      </c>
      <c r="U254" s="138" t="s">
        <v>8740</v>
      </c>
      <c r="V254" s="138" t="s">
        <v>8755</v>
      </c>
      <c r="W254" s="138" t="str">
        <f ca="1">IFERROR(__xludf.DUMMYFUNCTION("filter(H:H,I:I=U254,J:J=V254)"),"Kadapa")</f>
        <v>Kadapa</v>
      </c>
    </row>
    <row r="255" spans="7:23">
      <c r="G255" s="138" t="s">
        <v>8739</v>
      </c>
      <c r="H255" s="138" t="s">
        <v>8739</v>
      </c>
      <c r="I255" s="138" t="s">
        <v>8757</v>
      </c>
      <c r="J255" s="138" t="s">
        <v>8757</v>
      </c>
      <c r="K255" s="138" t="str">
        <f ca="1">IFERROR(__xludf.DUMMYFUNCTION("unique(filter(R:R,R:R=I255))"),"Proddatur")</f>
        <v>Proddatur</v>
      </c>
      <c r="N255" s="138" t="str">
        <f ca="1">IFERROR(__xludf.DUMMYFUNCTION("unique(filter(W:W,U:U=R255))"),"Kadapa")</f>
        <v>Kadapa</v>
      </c>
      <c r="O255" s="138" t="s">
        <v>8750</v>
      </c>
      <c r="P255" s="138" t="s">
        <v>8759</v>
      </c>
      <c r="Q255" s="138" t="str">
        <f ca="1">IFERROR(__xludf.DUMMYFUNCTION("filter(I:I,J:J=P255,G:G=O255)"),"Pulivendla")</f>
        <v>Pulivendla</v>
      </c>
      <c r="R255" s="138" t="s">
        <v>8760</v>
      </c>
      <c r="U255" s="138" t="s">
        <v>8757</v>
      </c>
      <c r="V255" s="138" t="s">
        <v>239</v>
      </c>
      <c r="W255" s="138" t="str">
        <f ca="1">IFERROR(__xludf.DUMMYFUNCTION("filter(H:H,I:I=U255,J:J=V255)"),"Kadapa")</f>
        <v>Kadapa</v>
      </c>
    </row>
    <row r="256" spans="7:23">
      <c r="G256" s="138" t="s">
        <v>8739</v>
      </c>
      <c r="H256" s="138" t="s">
        <v>8739</v>
      </c>
      <c r="I256" s="138" t="s">
        <v>8757</v>
      </c>
      <c r="J256" s="138" t="s">
        <v>8761</v>
      </c>
      <c r="K256" s="138" t="str">
        <f ca="1">IFERROR(__xludf.DUMMYFUNCTION("unique(filter(R:R,R:R=I256))"),"Proddatur")</f>
        <v>Proddatur</v>
      </c>
      <c r="N256" s="138" t="str">
        <f ca="1">IFERROR(__xludf.DUMMYFUNCTION("unique(filter(W:W,U:U=R256))"),"Kadapa")</f>
        <v>Kadapa</v>
      </c>
      <c r="O256" s="138" t="s">
        <v>8750</v>
      </c>
      <c r="P256" s="138" t="s">
        <v>8762</v>
      </c>
      <c r="Q256" s="138" t="str">
        <f ca="1">IFERROR(__xludf.DUMMYFUNCTION("filter(I:I,J:J=P256,G:G=O256)"),"Mydukur")</f>
        <v>Mydukur</v>
      </c>
      <c r="R256" s="138" t="s">
        <v>8740</v>
      </c>
      <c r="U256" s="138" t="s">
        <v>8757</v>
      </c>
      <c r="V256" s="138" t="s">
        <v>8757</v>
      </c>
      <c r="W256" s="138" t="str">
        <f ca="1">IFERROR(__xludf.DUMMYFUNCTION("filter(H:H,I:I=U256,J:J=V256)"),"Kadapa")</f>
        <v>Kadapa</v>
      </c>
    </row>
    <row r="257" spans="7:23">
      <c r="G257" s="138" t="s">
        <v>8739</v>
      </c>
      <c r="H257" s="138" t="s">
        <v>8739</v>
      </c>
      <c r="I257" s="138" t="s">
        <v>8763</v>
      </c>
      <c r="J257" s="138" t="s">
        <v>8764</v>
      </c>
      <c r="K257" s="138" t="str">
        <f ca="1">IFERROR(__xludf.DUMMYFUNCTION("unique(filter(R:R,R:R=I257))"),"Jammalamadugu")</f>
        <v>Jammalamadugu</v>
      </c>
      <c r="N257" s="138" t="str">
        <f ca="1">IFERROR(__xludf.DUMMYFUNCTION("unique(filter(W:W,U:U=R257))"),"Kadapa")</f>
        <v>Kadapa</v>
      </c>
      <c r="O257" s="138" t="s">
        <v>8750</v>
      </c>
      <c r="P257" s="138" t="s">
        <v>8765</v>
      </c>
      <c r="Q257" s="138" t="str">
        <f ca="1">IFERROR(__xludf.DUMMYFUNCTION("filter(I:I,J:J=P257,G:G=O257)"),"#N/A")</f>
        <v>#N/A</v>
      </c>
      <c r="R257" s="138" t="s">
        <v>8766</v>
      </c>
      <c r="U257" s="138" t="s">
        <v>8757</v>
      </c>
      <c r="V257" s="138" t="s">
        <v>8761</v>
      </c>
      <c r="W257" s="138" t="str">
        <f ca="1">IFERROR(__xludf.DUMMYFUNCTION("filter(H:H,I:I=U257,J:J=V257)"),"Kadapa")</f>
        <v>Kadapa</v>
      </c>
    </row>
    <row r="258" spans="7:23">
      <c r="G258" s="138" t="s">
        <v>8739</v>
      </c>
      <c r="H258" s="138" t="s">
        <v>8739</v>
      </c>
      <c r="I258" s="138" t="s">
        <v>8763</v>
      </c>
      <c r="J258" s="138" t="s">
        <v>8767</v>
      </c>
      <c r="K258" s="138" t="str">
        <f ca="1">IFERROR(__xludf.DUMMYFUNCTION("unique(filter(R:R,R:R=I258))"),"Jammalamadugu")</f>
        <v>Jammalamadugu</v>
      </c>
      <c r="N258" s="138" t="str">
        <f ca="1">IFERROR(__xludf.DUMMYFUNCTION("unique(filter(W:W,U:U=R258))"),"Annamayya")</f>
        <v>Annamayya</v>
      </c>
      <c r="O258" s="138" t="s">
        <v>8750</v>
      </c>
      <c r="P258" s="138" t="s">
        <v>8768</v>
      </c>
      <c r="Q258" s="138" t="str">
        <f ca="1">IFERROR(__xludf.DUMMYFUNCTION("filter(I:I,J:J=P258,G:G=O258)"),"Rayachoti")</f>
        <v>Rayachoti</v>
      </c>
      <c r="R258" s="138" t="s">
        <v>8769</v>
      </c>
      <c r="U258" s="138" t="s">
        <v>8763</v>
      </c>
      <c r="V258" s="138" t="s">
        <v>8764</v>
      </c>
      <c r="W258" s="138" t="str">
        <f ca="1">IFERROR(__xludf.DUMMYFUNCTION("filter(H:H,I:I=U258,J:J=V258)"),"Kadapa")</f>
        <v>Kadapa</v>
      </c>
    </row>
    <row r="259" spans="7:23">
      <c r="G259" s="138" t="s">
        <v>8739</v>
      </c>
      <c r="H259" s="138" t="s">
        <v>8739</v>
      </c>
      <c r="I259" s="138" t="s">
        <v>8763</v>
      </c>
      <c r="J259" s="138" t="s">
        <v>8763</v>
      </c>
      <c r="K259" s="138" t="str">
        <f ca="1">IFERROR(__xludf.DUMMYFUNCTION("unique(filter(R:R,R:R=I259))"),"Jammalamadugu")</f>
        <v>Jammalamadugu</v>
      </c>
      <c r="N259" s="138" t="str">
        <f ca="1">IFERROR(__xludf.DUMMYFUNCTION("unique(filter(W:W,U:U=R259))"),"Kadapa")</f>
        <v>Kadapa</v>
      </c>
      <c r="O259" s="138" t="s">
        <v>8750</v>
      </c>
      <c r="P259" s="138" t="s">
        <v>8770</v>
      </c>
      <c r="Q259" s="138" t="str">
        <f ca="1">IFERROR(__xludf.DUMMYFUNCTION("filter(I:I,J:J=P259,G:G=O259)"),"Kamalapuram")</f>
        <v>Kamalapuram</v>
      </c>
      <c r="R259" s="138" t="s">
        <v>8766</v>
      </c>
      <c r="U259" s="138" t="s">
        <v>8763</v>
      </c>
      <c r="V259" s="138" t="s">
        <v>8767</v>
      </c>
      <c r="W259" s="138" t="str">
        <f ca="1">IFERROR(__xludf.DUMMYFUNCTION("filter(H:H,I:I=U259,J:J=V259)"),"Kadapa")</f>
        <v>Kadapa</v>
      </c>
    </row>
    <row r="260" spans="7:23">
      <c r="G260" s="138" t="s">
        <v>8739</v>
      </c>
      <c r="H260" s="138" t="s">
        <v>8739</v>
      </c>
      <c r="I260" s="138" t="s">
        <v>8763</v>
      </c>
      <c r="J260" s="138" t="s">
        <v>8771</v>
      </c>
      <c r="K260" s="138" t="str">
        <f ca="1">IFERROR(__xludf.DUMMYFUNCTION("unique(filter(R:R,R:R=I260))"),"Jammalamadugu")</f>
        <v>Jammalamadugu</v>
      </c>
      <c r="N260" s="138" t="str">
        <f ca="1">IFERROR(__xludf.DUMMYFUNCTION("unique(filter(W:W,U:U=R260))"),"Annamayya")</f>
        <v>Annamayya</v>
      </c>
      <c r="O260" s="138" t="s">
        <v>8750</v>
      </c>
      <c r="P260" s="138" t="s">
        <v>8772</v>
      </c>
      <c r="Q260" s="138" t="str">
        <f ca="1">IFERROR(__xludf.DUMMYFUNCTION("filter(I:I,J:J=P260,G:G=O260)"),"#REF!")</f>
        <v>#REF!</v>
      </c>
      <c r="R260" s="138" t="s">
        <v>8773</v>
      </c>
      <c r="U260" s="138" t="s">
        <v>8763</v>
      </c>
      <c r="V260" s="138" t="s">
        <v>8763</v>
      </c>
      <c r="W260" s="138" t="str">
        <f ca="1">IFERROR(__xludf.DUMMYFUNCTION("filter(H:H,I:I=U260,J:J=V260)"),"Kadapa")</f>
        <v>Kadapa</v>
      </c>
    </row>
    <row r="261" spans="7:23">
      <c r="G261" s="138" t="s">
        <v>8739</v>
      </c>
      <c r="H261" s="138" t="s">
        <v>8739</v>
      </c>
      <c r="I261" s="138" t="s">
        <v>8763</v>
      </c>
      <c r="J261" s="138" t="s">
        <v>8774</v>
      </c>
      <c r="K261" s="138" t="str">
        <f ca="1">IFERROR(__xludf.DUMMYFUNCTION("unique(filter(R:R,R:R=I261))"),"Jammalamadugu")</f>
        <v>Jammalamadugu</v>
      </c>
      <c r="N261" s="138" t="str">
        <f ca="1">IFERROR(__xludf.DUMMYFUNCTION("unique(filter(W:W,U:U=R261))"),"Kadapa")</f>
        <v>Kadapa</v>
      </c>
      <c r="O261" s="138" t="s">
        <v>8750</v>
      </c>
      <c r="P261" s="138" t="s">
        <v>8775</v>
      </c>
      <c r="Q261" s="138" t="str">
        <f ca="1">IFERROR(__xludf.DUMMYFUNCTION("filter(I:I,J:J=P261,G:G=O261)"),"Mydukur")</f>
        <v>Mydukur</v>
      </c>
      <c r="R261" s="138" t="s">
        <v>8740</v>
      </c>
      <c r="U261" s="138" t="s">
        <v>8763</v>
      </c>
      <c r="V261" s="138" t="s">
        <v>8771</v>
      </c>
      <c r="W261" s="138" t="str">
        <f ca="1">IFERROR(__xludf.DUMMYFUNCTION("filter(H:H,I:I=U261,J:J=V261)"),"Kadapa")</f>
        <v>Kadapa</v>
      </c>
    </row>
    <row r="262" spans="7:23">
      <c r="G262" s="138" t="s">
        <v>8739</v>
      </c>
      <c r="H262" s="138" t="s">
        <v>8739</v>
      </c>
      <c r="I262" s="138" t="s">
        <v>8763</v>
      </c>
      <c r="J262" s="138" t="s">
        <v>8743</v>
      </c>
      <c r="K262" s="138" t="str">
        <f ca="1">IFERROR(__xludf.DUMMYFUNCTION("unique(filter(R:R,R:R=I262))"),"Jammalamadugu")</f>
        <v>Jammalamadugu</v>
      </c>
      <c r="N262" s="138" t="str">
        <f ca="1">IFERROR(__xludf.DUMMYFUNCTION("unique(filter(W:W,U:U=R262))"),"Annamayya")</f>
        <v>Annamayya</v>
      </c>
      <c r="O262" s="138" t="s">
        <v>8750</v>
      </c>
      <c r="P262" s="138" t="s">
        <v>8776</v>
      </c>
      <c r="Q262" s="138" t="str">
        <f ca="1">IFERROR(__xludf.DUMMYFUNCTION("filter(I:I,J:J=P262,G:G=O262)"),"Rayachoti")</f>
        <v>Rayachoti</v>
      </c>
      <c r="R262" s="138" t="s">
        <v>8769</v>
      </c>
      <c r="U262" s="138" t="s">
        <v>8763</v>
      </c>
      <c r="V262" s="138" t="s">
        <v>8774</v>
      </c>
      <c r="W262" s="138" t="str">
        <f ca="1">IFERROR(__xludf.DUMMYFUNCTION("filter(H:H,I:I=U262,J:J=V262)"),"Kadapa")</f>
        <v>Kadapa</v>
      </c>
    </row>
    <row r="263" spans="7:23">
      <c r="G263" s="138" t="s">
        <v>8739</v>
      </c>
      <c r="H263" s="138" t="s">
        <v>8739</v>
      </c>
      <c r="I263" s="138" t="s">
        <v>8763</v>
      </c>
      <c r="J263" s="138" t="s">
        <v>8777</v>
      </c>
      <c r="K263" s="138" t="str">
        <f ca="1">IFERROR(__xludf.DUMMYFUNCTION("unique(filter(R:R,R:R=I263))"),"Jammalamadugu")</f>
        <v>Jammalamadugu</v>
      </c>
      <c r="N263" s="138" t="str">
        <f ca="1">IFERROR(__xludf.DUMMYFUNCTION("unique(filter(W:W,U:U=R263))"),"Kadapa")</f>
        <v>Kadapa</v>
      </c>
      <c r="O263" s="138" t="s">
        <v>8750</v>
      </c>
      <c r="P263" s="138" t="s">
        <v>8778</v>
      </c>
      <c r="Q263" s="138" t="str">
        <f ca="1">IFERROR(__xludf.DUMMYFUNCTION("filter(I:I,J:J=P263,G:G=O263)"),"Badvel")</f>
        <v>Badvel</v>
      </c>
      <c r="R263" s="138" t="s">
        <v>8752</v>
      </c>
      <c r="U263" s="138" t="s">
        <v>8763</v>
      </c>
      <c r="V263" s="138" t="s">
        <v>8743</v>
      </c>
      <c r="W263" s="138" t="str">
        <f ca="1">IFERROR(__xludf.DUMMYFUNCTION("filter(H:H,I:I=U263,J:J=V263)"),"Kadapa")</f>
        <v>Kadapa</v>
      </c>
    </row>
    <row r="264" spans="7:23">
      <c r="G264" s="138" t="s">
        <v>8739</v>
      </c>
      <c r="H264" s="138" t="s">
        <v>8739</v>
      </c>
      <c r="I264" s="138" t="s">
        <v>8763</v>
      </c>
      <c r="J264" s="138" t="s">
        <v>8779</v>
      </c>
      <c r="K264" s="138" t="str">
        <f ca="1">IFERROR(__xludf.DUMMYFUNCTION("unique(filter(R:R,R:R=I264))"),"Jammalamadugu")</f>
        <v>Jammalamadugu</v>
      </c>
      <c r="N264" s="138" t="str">
        <f ca="1">IFERROR(__xludf.DUMMYFUNCTION("unique(filter(W:W,U:U=R264))"),"Kadapa")</f>
        <v>Kadapa</v>
      </c>
      <c r="O264" s="138" t="s">
        <v>8750</v>
      </c>
      <c r="P264" s="138" t="s">
        <v>8780</v>
      </c>
      <c r="Q264" s="138" t="str">
        <f ca="1">IFERROR(__xludf.DUMMYFUNCTION("filter(I:I,J:J=P264,G:G=O264)"),"Jammalamadugu")</f>
        <v>Jammalamadugu</v>
      </c>
      <c r="R264" s="138" t="s">
        <v>8763</v>
      </c>
      <c r="U264" s="138" t="s">
        <v>8763</v>
      </c>
      <c r="V264" s="138" t="s">
        <v>8777</v>
      </c>
      <c r="W264" s="138" t="str">
        <f ca="1">IFERROR(__xludf.DUMMYFUNCTION("filter(H:H,I:I=U264,J:J=V264)"),"Kadapa")</f>
        <v>Kadapa</v>
      </c>
    </row>
    <row r="265" spans="7:23">
      <c r="G265" s="138" t="e">
        <v>#N/A</v>
      </c>
      <c r="H265" s="138" t="e">
        <v>#N/A</v>
      </c>
      <c r="I265" s="138" t="s">
        <v>8763</v>
      </c>
      <c r="J265" s="138" t="e">
        <v>#N/A</v>
      </c>
      <c r="K265" s="138" t="str">
        <f ca="1">IFERROR(__xludf.DUMMYFUNCTION("unique(filter(R:R,R:R=I265))"),"Jammalamadugu")</f>
        <v>Jammalamadugu</v>
      </c>
      <c r="N265" s="138" t="str">
        <f ca="1">IFERROR(__xludf.DUMMYFUNCTION("unique(filter(W:W,U:U=R265))"),"Kadapa")</f>
        <v>Kadapa</v>
      </c>
      <c r="O265" s="138" t="s">
        <v>8750</v>
      </c>
      <c r="P265" s="138" t="s">
        <v>8750</v>
      </c>
      <c r="Q265" s="138" t="str">
        <f ca="1">IFERROR(__xludf.DUMMYFUNCTION("filter(I:I,J:J=P265,G:G=O265)"),"#N/A")</f>
        <v>#N/A</v>
      </c>
      <c r="R265" s="138" t="s">
        <v>8739</v>
      </c>
      <c r="U265" s="138" t="s">
        <v>8763</v>
      </c>
      <c r="V265" s="138" t="s">
        <v>8779</v>
      </c>
      <c r="W265" s="138" t="str">
        <f ca="1">IFERROR(__xludf.DUMMYFUNCTION("filter(H:H,I:I=U265,J:J=V265)"),"Kadapa")</f>
        <v>Kadapa</v>
      </c>
    </row>
    <row r="266" spans="7:23">
      <c r="G266" s="138" t="s">
        <v>8739</v>
      </c>
      <c r="H266" s="138" t="s">
        <v>8739</v>
      </c>
      <c r="I266" s="138" t="s">
        <v>8766</v>
      </c>
      <c r="J266" s="138" t="s">
        <v>8766</v>
      </c>
      <c r="K266" s="138" t="str">
        <f ca="1">IFERROR(__xludf.DUMMYFUNCTION("unique(filter(R:R,R:R=I266))"),"Kamalapuram")</f>
        <v>Kamalapuram</v>
      </c>
      <c r="N266" s="138" t="str">
        <f ca="1">IFERROR(__xludf.DUMMYFUNCTION("unique(filter(W:W,U:U=R266))"),"Kadapa")</f>
        <v>Kadapa</v>
      </c>
      <c r="O266" s="138" t="s">
        <v>8750</v>
      </c>
      <c r="P266" s="138" t="s">
        <v>8781</v>
      </c>
      <c r="Q266" s="138" t="str">
        <f ca="1">IFERROR(__xludf.DUMMYFUNCTION("filter(I:I,J:J=P266,G:G=O266)"),"Badvel")</f>
        <v>Badvel</v>
      </c>
      <c r="R266" s="138" t="s">
        <v>8752</v>
      </c>
    </row>
    <row r="267" spans="7:23">
      <c r="G267" s="138" t="s">
        <v>8739</v>
      </c>
      <c r="H267" s="138" t="s">
        <v>8739</v>
      </c>
      <c r="I267" s="138" t="s">
        <v>8766</v>
      </c>
      <c r="J267" s="138" t="s">
        <v>8782</v>
      </c>
      <c r="K267" s="138" t="str">
        <f ca="1">IFERROR(__xludf.DUMMYFUNCTION("unique(filter(R:R,R:R=I267))"),"Kamalapuram")</f>
        <v>Kamalapuram</v>
      </c>
      <c r="N267" s="138" t="str">
        <f ca="1">IFERROR(__xludf.DUMMYFUNCTION("unique(filter(W:W,U:U=R267))"),"Kadapa")</f>
        <v>Kadapa</v>
      </c>
      <c r="O267" s="138" t="s">
        <v>8750</v>
      </c>
      <c r="P267" s="138" t="s">
        <v>8783</v>
      </c>
      <c r="Q267" s="138" t="str">
        <f ca="1">IFERROR(__xludf.DUMMYFUNCTION("filter(I:I,J:J=P267,G:G=O267)"),"Kamalapuram")</f>
        <v>Kamalapuram</v>
      </c>
      <c r="R267" s="138" t="s">
        <v>8766</v>
      </c>
      <c r="U267" s="138" t="s">
        <v>8766</v>
      </c>
      <c r="V267" s="138" t="s">
        <v>8766</v>
      </c>
      <c r="W267" s="138" t="str">
        <f ca="1">IFERROR(__xludf.DUMMYFUNCTION("filter(H:H,I:I=U267,J:J=V267)"),"Kadapa")</f>
        <v>Kadapa</v>
      </c>
    </row>
    <row r="268" spans="7:23">
      <c r="G268" s="138" t="s">
        <v>8739</v>
      </c>
      <c r="H268" s="138" t="s">
        <v>8739</v>
      </c>
      <c r="I268" s="138" t="s">
        <v>8766</v>
      </c>
      <c r="J268" s="138" t="s">
        <v>8784</v>
      </c>
      <c r="K268" s="138" t="str">
        <f ca="1">IFERROR(__xludf.DUMMYFUNCTION("unique(filter(R:R,R:R=I268))"),"Kamalapuram")</f>
        <v>Kamalapuram</v>
      </c>
      <c r="N268" s="138" t="str">
        <f ca="1">IFERROR(__xludf.DUMMYFUNCTION("unique(filter(W:W,U:U=R268))"),"Kadapa")</f>
        <v>Kadapa</v>
      </c>
      <c r="O268" s="138" t="s">
        <v>8750</v>
      </c>
      <c r="P268" s="138" t="s">
        <v>8785</v>
      </c>
      <c r="Q268" s="138" t="str">
        <f ca="1">IFERROR(__xludf.DUMMYFUNCTION("filter(I:I,J:J=P268,G:G=O268)"),"Mydukur")</f>
        <v>Mydukur</v>
      </c>
      <c r="R268" s="138" t="s">
        <v>8740</v>
      </c>
      <c r="U268" s="138" t="s">
        <v>8766</v>
      </c>
      <c r="V268" s="138" t="s">
        <v>8782</v>
      </c>
      <c r="W268" s="138" t="str">
        <f ca="1">IFERROR(__xludf.DUMMYFUNCTION("filter(H:H,I:I=U268,J:J=V268)"),"Kadapa")</f>
        <v>Kadapa</v>
      </c>
    </row>
    <row r="269" spans="7:23">
      <c r="G269" s="138" t="s">
        <v>8739</v>
      </c>
      <c r="H269" s="138" t="s">
        <v>8739</v>
      </c>
      <c r="I269" s="138" t="s">
        <v>8766</v>
      </c>
      <c r="J269" s="138" t="s">
        <v>8786</v>
      </c>
      <c r="K269" s="138" t="str">
        <f ca="1">IFERROR(__xludf.DUMMYFUNCTION("unique(filter(R:R,R:R=I269))"),"Kamalapuram")</f>
        <v>Kamalapuram</v>
      </c>
      <c r="N269" s="138" t="str">
        <f ca="1">IFERROR(__xludf.DUMMYFUNCTION("unique(filter(W:W,U:U=R269))"),"Annamayya")</f>
        <v>Annamayya</v>
      </c>
      <c r="O269" s="138" t="s">
        <v>8750</v>
      </c>
      <c r="P269" s="138" t="s">
        <v>8787</v>
      </c>
      <c r="Q269" s="138" t="str">
        <f ca="1">IFERROR(__xludf.DUMMYFUNCTION("filter(I:I,J:J=P269,G:G=O269)"),"#REF!")</f>
        <v>#REF!</v>
      </c>
      <c r="R269" s="138" t="s">
        <v>8788</v>
      </c>
      <c r="U269" s="138" t="s">
        <v>8766</v>
      </c>
      <c r="V269" s="138" t="s">
        <v>8784</v>
      </c>
      <c r="W269" s="138" t="str">
        <f ca="1">IFERROR(__xludf.DUMMYFUNCTION("filter(H:H,I:I=U269,J:J=V269)"),"Kadapa")</f>
        <v>Kadapa</v>
      </c>
    </row>
    <row r="270" spans="7:23">
      <c r="G270" s="138" t="s">
        <v>8739</v>
      </c>
      <c r="H270" s="138" t="s">
        <v>8739</v>
      </c>
      <c r="I270" s="138" t="s">
        <v>8766</v>
      </c>
      <c r="J270" s="138" t="s">
        <v>8789</v>
      </c>
      <c r="K270" s="138" t="str">
        <f ca="1">IFERROR(__xludf.DUMMYFUNCTION("unique(filter(R:R,R:R=I270))"),"Kamalapuram")</f>
        <v>Kamalapuram</v>
      </c>
      <c r="N270" s="138" t="str">
        <f ca="1">IFERROR(__xludf.DUMMYFUNCTION("unique(filter(W:W,U:U=R270))"),"Kadapa")</f>
        <v>Kadapa</v>
      </c>
      <c r="O270" s="138" t="s">
        <v>8750</v>
      </c>
      <c r="P270" s="138" t="s">
        <v>8790</v>
      </c>
      <c r="Q270" s="138" t="str">
        <f ca="1">IFERROR(__xludf.DUMMYFUNCTION("filter(I:I,J:J=P270,G:G=O270)"),"#N/A")</f>
        <v>#N/A</v>
      </c>
      <c r="R270" s="138" t="s">
        <v>8763</v>
      </c>
      <c r="U270" s="138" t="s">
        <v>8766</v>
      </c>
      <c r="V270" s="138" t="s">
        <v>8786</v>
      </c>
      <c r="W270" s="138" t="str">
        <f ca="1">IFERROR(__xludf.DUMMYFUNCTION("filter(H:H,I:I=U270,J:J=V270)"),"Kadapa")</f>
        <v>Kadapa</v>
      </c>
    </row>
    <row r="271" spans="7:23">
      <c r="G271" s="138" t="s">
        <v>8739</v>
      </c>
      <c r="H271" s="138" t="s">
        <v>8739</v>
      </c>
      <c r="I271" s="138" t="s">
        <v>8766</v>
      </c>
      <c r="J271" s="138" t="s">
        <v>8791</v>
      </c>
      <c r="K271" s="138" t="str">
        <f ca="1">IFERROR(__xludf.DUMMYFUNCTION("unique(filter(R:R,R:R=I271))"),"Kamalapuram")</f>
        <v>Kamalapuram</v>
      </c>
      <c r="N271" s="138" t="str">
        <f ca="1">IFERROR(__xludf.DUMMYFUNCTION("unique(filter(W:W,U:U=R271))"),"Annamayya")</f>
        <v>Annamayya</v>
      </c>
      <c r="O271" s="138" t="s">
        <v>8750</v>
      </c>
      <c r="P271" s="138" t="s">
        <v>8792</v>
      </c>
      <c r="Q271" s="138" t="str">
        <f ca="1">IFERROR(__xludf.DUMMYFUNCTION("filter(I:I,J:J=P271,G:G=O271)"),"Rayachoti")</f>
        <v>Rayachoti</v>
      </c>
      <c r="R271" s="138" t="s">
        <v>8769</v>
      </c>
      <c r="U271" s="138" t="s">
        <v>8766</v>
      </c>
      <c r="V271" s="138" t="s">
        <v>8789</v>
      </c>
      <c r="W271" s="138" t="str">
        <f ca="1">IFERROR(__xludf.DUMMYFUNCTION("filter(H:H,I:I=U271,J:J=V271)"),"Kadapa")</f>
        <v>Kadapa</v>
      </c>
    </row>
    <row r="272" spans="7:23">
      <c r="G272" s="138" t="s">
        <v>8739</v>
      </c>
      <c r="H272" s="138" t="s">
        <v>8739</v>
      </c>
      <c r="I272" s="138" t="s">
        <v>8766</v>
      </c>
      <c r="J272" s="138" t="s">
        <v>8793</v>
      </c>
      <c r="K272" s="138" t="str">
        <f ca="1">IFERROR(__xludf.DUMMYFUNCTION("unique(filter(R:R,R:R=I272))"),"Kamalapuram")</f>
        <v>Kamalapuram</v>
      </c>
      <c r="N272" s="138" t="str">
        <f ca="1">IFERROR(__xludf.DUMMYFUNCTION("unique(filter(W:W,U:U=R272))"),"Kadapa")</f>
        <v>Kadapa</v>
      </c>
      <c r="O272" s="138" t="s">
        <v>8750</v>
      </c>
      <c r="P272" s="138" t="s">
        <v>8794</v>
      </c>
      <c r="Q272" s="138" t="str">
        <f ca="1">IFERROR(__xludf.DUMMYFUNCTION("filter(I:I,J:J=P272,G:G=O272)"),"Pulivendla")</f>
        <v>Pulivendla</v>
      </c>
      <c r="R272" s="138" t="s">
        <v>8760</v>
      </c>
      <c r="U272" s="138" t="s">
        <v>8766</v>
      </c>
      <c r="V272" s="138" t="s">
        <v>8791</v>
      </c>
      <c r="W272" s="138" t="str">
        <f ca="1">IFERROR(__xludf.DUMMYFUNCTION("filter(H:H,I:I=U272,J:J=V272)"),"Kadapa")</f>
        <v>Kadapa</v>
      </c>
    </row>
    <row r="273" spans="7:23">
      <c r="G273" s="138" t="s">
        <v>8739</v>
      </c>
      <c r="H273" s="138" t="s">
        <v>8739</v>
      </c>
      <c r="I273" s="138" t="s">
        <v>8766</v>
      </c>
      <c r="J273" s="138" t="s">
        <v>8795</v>
      </c>
      <c r="K273" s="138" t="str">
        <f ca="1">IFERROR(__xludf.DUMMYFUNCTION("unique(filter(R:R,R:R=I273))"),"Kamalapuram")</f>
        <v>Kamalapuram</v>
      </c>
      <c r="N273" s="138" t="str">
        <f ca="1">IFERROR(__xludf.DUMMYFUNCTION("unique(filter(W:W,U:U=R273))"),"Kadapa")</f>
        <v>Kadapa</v>
      </c>
      <c r="O273" s="138" t="s">
        <v>8750</v>
      </c>
      <c r="P273" s="138" t="s">
        <v>8796</v>
      </c>
      <c r="Q273" s="138" t="str">
        <f ca="1">IFERROR(__xludf.DUMMYFUNCTION("filter(I:I,J:J=P273,G:G=O273)"),"#REF!")</f>
        <v>#REF!</v>
      </c>
      <c r="R273" s="138" t="s">
        <v>8763</v>
      </c>
      <c r="U273" s="138" t="s">
        <v>8766</v>
      </c>
      <c r="V273" s="138" t="s">
        <v>8793</v>
      </c>
      <c r="W273" s="138" t="str">
        <f ca="1">IFERROR(__xludf.DUMMYFUNCTION("filter(H:H,I:I=U273,J:J=V273)"),"Kadapa")</f>
        <v>Kadapa</v>
      </c>
    </row>
    <row r="274" spans="7:23">
      <c r="G274" s="138" t="s">
        <v>8739</v>
      </c>
      <c r="H274" s="138" t="s">
        <v>8739</v>
      </c>
      <c r="I274" s="138" t="s">
        <v>8760</v>
      </c>
      <c r="J274" s="138" t="s">
        <v>1203</v>
      </c>
      <c r="K274" s="138" t="str">
        <f ca="1">IFERROR(__xludf.DUMMYFUNCTION("unique(filter(R:R,R:R=I274))"),"Pulivendla")</f>
        <v>Pulivendla</v>
      </c>
      <c r="N274" s="138" t="str">
        <f ca="1">IFERROR(__xludf.DUMMYFUNCTION("unique(filter(W:W,U:U=R274))"),"Kadapa")</f>
        <v>Kadapa</v>
      </c>
      <c r="O274" s="138" t="s">
        <v>8750</v>
      </c>
      <c r="P274" s="138" t="s">
        <v>8797</v>
      </c>
      <c r="Q274" s="138" t="str">
        <f ca="1">IFERROR(__xludf.DUMMYFUNCTION("filter(I:I,J:J=P274,G:G=O274)"),"#N/A")</f>
        <v>#N/A</v>
      </c>
      <c r="R274" s="138" t="s">
        <v>8763</v>
      </c>
      <c r="U274" s="138" t="s">
        <v>8766</v>
      </c>
      <c r="V274" s="138" t="s">
        <v>8795</v>
      </c>
      <c r="W274" s="138" t="str">
        <f ca="1">IFERROR(__xludf.DUMMYFUNCTION("filter(H:H,I:I=U274,J:J=V274)"),"Kadapa")</f>
        <v>Kadapa</v>
      </c>
    </row>
    <row r="275" spans="7:23">
      <c r="G275" s="138" t="s">
        <v>8739</v>
      </c>
      <c r="H275" s="138" t="s">
        <v>8739</v>
      </c>
      <c r="I275" s="138" t="s">
        <v>8760</v>
      </c>
      <c r="J275" s="138" t="s">
        <v>8798</v>
      </c>
      <c r="K275" s="138" t="str">
        <f ca="1">IFERROR(__xludf.DUMMYFUNCTION("unique(filter(R:R,R:R=I275))"),"Pulivendla")</f>
        <v>Pulivendla</v>
      </c>
      <c r="N275" s="138" t="str">
        <f ca="1">IFERROR(__xludf.DUMMYFUNCTION("unique(filter(W:W,U:U=R275))"),"Annamayya")</f>
        <v>Annamayya</v>
      </c>
      <c r="O275" s="138" t="s">
        <v>8750</v>
      </c>
      <c r="P275" s="138" t="s">
        <v>8799</v>
      </c>
      <c r="Q275" s="138" t="str">
        <f ca="1">IFERROR(__xludf.DUMMYFUNCTION("filter(I:I,J:J=P275,G:G=O275)"),"Rajampet")</f>
        <v>Rajampet</v>
      </c>
      <c r="R275" s="138" t="s">
        <v>8773</v>
      </c>
      <c r="U275" s="138" t="s">
        <v>8760</v>
      </c>
      <c r="V275" s="138" t="s">
        <v>1203</v>
      </c>
      <c r="W275" s="138" t="str">
        <f ca="1">IFERROR(__xludf.DUMMYFUNCTION("filter(H:H,I:I=U275,J:J=V275)"),"Kadapa")</f>
        <v>Kadapa</v>
      </c>
    </row>
    <row r="276" spans="7:23">
      <c r="G276" s="138" t="s">
        <v>8739</v>
      </c>
      <c r="H276" s="138" t="s">
        <v>8739</v>
      </c>
      <c r="I276" s="138" t="s">
        <v>8760</v>
      </c>
      <c r="J276" s="138" t="s">
        <v>8760</v>
      </c>
      <c r="K276" s="138" t="str">
        <f ca="1">IFERROR(__xludf.DUMMYFUNCTION("unique(filter(R:R,R:R=I276))"),"Pulivendla")</f>
        <v>Pulivendla</v>
      </c>
      <c r="N276" s="138" t="str">
        <f ca="1">IFERROR(__xludf.DUMMYFUNCTION("unique(filter(W:W,U:U=R276))"),"Annamayya")</f>
        <v>Annamayya</v>
      </c>
      <c r="O276" s="138" t="s">
        <v>8750</v>
      </c>
      <c r="P276" s="138" t="s">
        <v>8800</v>
      </c>
      <c r="Q276" s="138" t="str">
        <f ca="1">IFERROR(__xludf.DUMMYFUNCTION("filter(I:I,J:J=P276,G:G=O276)"),"Kodur (Sc)")</f>
        <v>Kodur (Sc)</v>
      </c>
      <c r="R276" s="138" t="s">
        <v>8788</v>
      </c>
      <c r="U276" s="138" t="s">
        <v>8760</v>
      </c>
      <c r="V276" s="138" t="s">
        <v>8798</v>
      </c>
      <c r="W276" s="138" t="str">
        <f ca="1">IFERROR(__xludf.DUMMYFUNCTION("filter(H:H,I:I=U276,J:J=V276)"),"Kadapa")</f>
        <v>Kadapa</v>
      </c>
    </row>
    <row r="277" spans="7:23">
      <c r="G277" s="138" t="s">
        <v>8739</v>
      </c>
      <c r="H277" s="138" t="s">
        <v>8739</v>
      </c>
      <c r="I277" s="138" t="s">
        <v>8760</v>
      </c>
      <c r="J277" s="138" t="s">
        <v>8801</v>
      </c>
      <c r="K277" s="138" t="str">
        <f ca="1">IFERROR(__xludf.DUMMYFUNCTION("unique(filter(R:R,R:R=I277))"),"Pulivendla")</f>
        <v>Pulivendla</v>
      </c>
      <c r="N277" s="138" t="str">
        <f ca="1">IFERROR(__xludf.DUMMYFUNCTION("unique(filter(W:W,U:U=R277))"),"Kadapa")</f>
        <v>Kadapa</v>
      </c>
      <c r="O277" s="138" t="s">
        <v>8750</v>
      </c>
      <c r="P277" s="138" t="s">
        <v>8802</v>
      </c>
      <c r="Q277" s="138" t="str">
        <f ca="1">IFERROR(__xludf.DUMMYFUNCTION("filter(I:I,J:J=P277,G:G=O277)"),"Jammalamadugu")</f>
        <v>Jammalamadugu</v>
      </c>
      <c r="R277" s="138" t="s">
        <v>8763</v>
      </c>
      <c r="U277" s="138" t="s">
        <v>8760</v>
      </c>
      <c r="V277" s="138" t="s">
        <v>8760</v>
      </c>
      <c r="W277" s="138" t="str">
        <f ca="1">IFERROR(__xludf.DUMMYFUNCTION("filter(H:H,I:I=U277,J:J=V277)"),"Kadapa")</f>
        <v>Kadapa</v>
      </c>
    </row>
    <row r="278" spans="7:23">
      <c r="G278" s="138" t="s">
        <v>8739</v>
      </c>
      <c r="H278" s="138" t="s">
        <v>8739</v>
      </c>
      <c r="I278" s="138" t="s">
        <v>8760</v>
      </c>
      <c r="J278" s="138" t="s">
        <v>8803</v>
      </c>
      <c r="K278" s="138" t="str">
        <f ca="1">IFERROR(__xludf.DUMMYFUNCTION("unique(filter(R:R,R:R=I278))"),"Pulivendla")</f>
        <v>Pulivendla</v>
      </c>
      <c r="N278" s="138" t="str">
        <f ca="1">IFERROR(__xludf.DUMMYFUNCTION("unique(filter(W:W,U:U=R278))"),"Annamayya")</f>
        <v>Annamayya</v>
      </c>
      <c r="O278" s="138" t="s">
        <v>8750</v>
      </c>
      <c r="P278" s="138" t="s">
        <v>8804</v>
      </c>
      <c r="Q278" s="138" t="str">
        <f ca="1">IFERROR(__xludf.DUMMYFUNCTION("filter(I:I,J:J=P278,G:G=O278)"),"#REF!")</f>
        <v>#REF!</v>
      </c>
      <c r="R278" s="138" t="s">
        <v>8773</v>
      </c>
      <c r="U278" s="138" t="s">
        <v>8760</v>
      </c>
      <c r="V278" s="138" t="s">
        <v>8801</v>
      </c>
      <c r="W278" s="138" t="str">
        <f ca="1">IFERROR(__xludf.DUMMYFUNCTION("filter(H:H,I:I=U278,J:J=V278)"),"Kadapa")</f>
        <v>Kadapa</v>
      </c>
    </row>
    <row r="279" spans="7:23">
      <c r="G279" s="138" t="s">
        <v>8739</v>
      </c>
      <c r="H279" s="138" t="s">
        <v>8739</v>
      </c>
      <c r="I279" s="138" t="s">
        <v>8760</v>
      </c>
      <c r="J279" s="138" t="s">
        <v>8805</v>
      </c>
      <c r="K279" s="138" t="str">
        <f ca="1">IFERROR(__xludf.DUMMYFUNCTION("unique(filter(R:R,R:R=I279))"),"Pulivendla")</f>
        <v>Pulivendla</v>
      </c>
      <c r="N279" s="138" t="str">
        <f ca="1">IFERROR(__xludf.DUMMYFUNCTION("unique(filter(W:W,U:U=R279))"),"Kadapa")</f>
        <v>Kadapa</v>
      </c>
      <c r="O279" s="138" t="s">
        <v>8750</v>
      </c>
      <c r="P279" s="138" t="s">
        <v>8806</v>
      </c>
      <c r="Q279" s="138" t="str">
        <f ca="1">IFERROR(__xludf.DUMMYFUNCTION("filter(I:I,J:J=P279,G:G=O279)"),"Kamalapuram")</f>
        <v>Kamalapuram</v>
      </c>
      <c r="R279" s="138" t="s">
        <v>8766</v>
      </c>
      <c r="U279" s="138" t="s">
        <v>8760</v>
      </c>
      <c r="V279" s="138" t="s">
        <v>8803</v>
      </c>
      <c r="W279" s="138" t="str">
        <f ca="1">IFERROR(__xludf.DUMMYFUNCTION("filter(H:H,I:I=U279,J:J=V279)"),"Kadapa")</f>
        <v>Kadapa</v>
      </c>
    </row>
    <row r="280" spans="7:23">
      <c r="G280" s="138" t="s">
        <v>8739</v>
      </c>
      <c r="H280" s="138" t="s">
        <v>8739</v>
      </c>
      <c r="I280" s="138" t="s">
        <v>8760</v>
      </c>
      <c r="J280" s="138" t="s">
        <v>8807</v>
      </c>
      <c r="K280" s="138" t="str">
        <f ca="1">IFERROR(__xludf.DUMMYFUNCTION("unique(filter(R:R,R:R=I280))"),"Pulivendla")</f>
        <v>Pulivendla</v>
      </c>
      <c r="N280" s="138" t="str">
        <f ca="1">IFERROR(__xludf.DUMMYFUNCTION("unique(filter(W:W,U:U=R280))"),"Kadapa")</f>
        <v>Kadapa</v>
      </c>
      <c r="O280" s="138" t="s">
        <v>8750</v>
      </c>
      <c r="P280" s="138" t="s">
        <v>8808</v>
      </c>
      <c r="Q280" s="138" t="str">
        <f ca="1">IFERROR(__xludf.DUMMYFUNCTION("filter(I:I,J:J=P280,G:G=O280)"),"Badvel")</f>
        <v>Badvel</v>
      </c>
      <c r="R280" s="138" t="s">
        <v>8752</v>
      </c>
      <c r="U280" s="138" t="s">
        <v>8760</v>
      </c>
      <c r="V280" s="138" t="s">
        <v>8805</v>
      </c>
      <c r="W280" s="138" t="str">
        <f ca="1">IFERROR(__xludf.DUMMYFUNCTION("filter(H:H,I:I=U280,J:J=V280)"),"Kadapa")</f>
        <v>Kadapa</v>
      </c>
    </row>
    <row r="281" spans="7:23">
      <c r="G281" s="138" t="s">
        <v>8739</v>
      </c>
      <c r="H281" s="138" t="s">
        <v>8739</v>
      </c>
      <c r="I281" s="138" t="s">
        <v>8760</v>
      </c>
      <c r="J281" s="138" t="s">
        <v>8809</v>
      </c>
      <c r="K281" s="138" t="str">
        <f ca="1">IFERROR(__xludf.DUMMYFUNCTION("unique(filter(R:R,R:R=I281))"),"Pulivendla")</f>
        <v>Pulivendla</v>
      </c>
      <c r="N281" s="138" t="str">
        <f ca="1">IFERROR(__xludf.DUMMYFUNCTION("unique(filter(W:W,U:U=R281))"),"Kadapa")</f>
        <v>Kadapa</v>
      </c>
      <c r="O281" s="138" t="s">
        <v>8750</v>
      </c>
      <c r="P281" s="138" t="s">
        <v>8810</v>
      </c>
      <c r="Q281" s="138" t="str">
        <f ca="1">IFERROR(__xludf.DUMMYFUNCTION("filter(I:I,J:J=P281,G:G=O281)"),"Proddatur")</f>
        <v>Proddatur</v>
      </c>
      <c r="R281" s="138" t="s">
        <v>8757</v>
      </c>
      <c r="U281" s="138" t="s">
        <v>8760</v>
      </c>
      <c r="V281" s="138" t="s">
        <v>8807</v>
      </c>
      <c r="W281" s="138" t="str">
        <f ca="1">IFERROR(__xludf.DUMMYFUNCTION("filter(H:H,I:I=U281,J:J=V281)"),"Kadapa")</f>
        <v>Kadapa</v>
      </c>
    </row>
    <row r="282" spans="7:23">
      <c r="G282" s="138" t="s">
        <v>8739</v>
      </c>
      <c r="H282" s="138" t="s">
        <v>8409</v>
      </c>
      <c r="I282" s="138" t="s">
        <v>8769</v>
      </c>
      <c r="J282" s="138" t="s">
        <v>8811</v>
      </c>
      <c r="K282" s="138" t="str">
        <f ca="1">IFERROR(__xludf.DUMMYFUNCTION("unique(filter(R:R,R:R=I282))"),"Rayachoti")</f>
        <v>Rayachoti</v>
      </c>
      <c r="N282" s="138" t="str">
        <f ca="1">IFERROR(__xludf.DUMMYFUNCTION("unique(filter(W:W,U:U=R282))"),"Kadapa")</f>
        <v>Kadapa</v>
      </c>
      <c r="O282" s="138" t="s">
        <v>8750</v>
      </c>
      <c r="P282" s="138" t="s">
        <v>8812</v>
      </c>
      <c r="Q282" s="138" t="str">
        <f ca="1">IFERROR(__xludf.DUMMYFUNCTION("filter(I:I,J:J=P282,G:G=O282)"),"Pulivendla")</f>
        <v>Pulivendla</v>
      </c>
      <c r="R282" s="138" t="s">
        <v>8760</v>
      </c>
      <c r="U282" s="138" t="s">
        <v>8760</v>
      </c>
      <c r="V282" s="138" t="s">
        <v>8809</v>
      </c>
      <c r="W282" s="138" t="str">
        <f ca="1">IFERROR(__xludf.DUMMYFUNCTION("filter(H:H,I:I=U282,J:J=V282)"),"Kadapa")</f>
        <v>Kadapa</v>
      </c>
    </row>
    <row r="283" spans="7:23">
      <c r="G283" s="138" t="s">
        <v>8739</v>
      </c>
      <c r="H283" s="138" t="s">
        <v>8409</v>
      </c>
      <c r="I283" s="138" t="s">
        <v>8769</v>
      </c>
      <c r="J283" s="138" t="s">
        <v>8813</v>
      </c>
      <c r="K283" s="138" t="str">
        <f ca="1">IFERROR(__xludf.DUMMYFUNCTION("unique(filter(R:R,R:R=I283))"),"Rayachoti")</f>
        <v>Rayachoti</v>
      </c>
      <c r="N283" s="138" t="str">
        <f ca="1">IFERROR(__xludf.DUMMYFUNCTION("unique(filter(W:W,U:U=R283))"),"Annamayya")</f>
        <v>Annamayya</v>
      </c>
      <c r="O283" s="138" t="s">
        <v>8750</v>
      </c>
      <c r="P283" s="138" t="s">
        <v>8814</v>
      </c>
      <c r="Q283" s="138" t="str">
        <f ca="1">IFERROR(__xludf.DUMMYFUNCTION("filter(I:I,J:J=P283,G:G=O283)"),"#REF!")</f>
        <v>#REF!</v>
      </c>
      <c r="R283" s="138" t="s">
        <v>8773</v>
      </c>
      <c r="U283" s="138" t="s">
        <v>8769</v>
      </c>
      <c r="V283" s="138" t="s">
        <v>8811</v>
      </c>
      <c r="W283" s="138" t="str">
        <f ca="1">IFERROR(__xludf.DUMMYFUNCTION("filter(H:H,I:I=U283,J:J=V283)"),"Annamayya")</f>
        <v>Annamayya</v>
      </c>
    </row>
    <row r="284" spans="7:23">
      <c r="G284" s="138" t="s">
        <v>8739</v>
      </c>
      <c r="H284" s="138" t="s">
        <v>8409</v>
      </c>
      <c r="I284" s="138" t="s">
        <v>8769</v>
      </c>
      <c r="J284" s="138" t="s">
        <v>8815</v>
      </c>
      <c r="K284" s="138" t="str">
        <f ca="1">IFERROR(__xludf.DUMMYFUNCTION("unique(filter(R:R,R:R=I284))"),"Rayachoti")</f>
        <v>Rayachoti</v>
      </c>
      <c r="N284" s="138" t="str">
        <f ca="1">IFERROR(__xludf.DUMMYFUNCTION("unique(filter(W:W,U:U=R284))"),"Annamayya")</f>
        <v>Annamayya</v>
      </c>
      <c r="O284" s="138" t="s">
        <v>8750</v>
      </c>
      <c r="P284" s="138" t="s">
        <v>8816</v>
      </c>
      <c r="Q284" s="138" t="str">
        <f ca="1">IFERROR(__xludf.DUMMYFUNCTION("filter(I:I,J:J=P284,G:G=O284)"),"Rajampet")</f>
        <v>Rajampet</v>
      </c>
      <c r="R284" s="138" t="s">
        <v>8773</v>
      </c>
      <c r="U284" s="138" t="s">
        <v>8769</v>
      </c>
      <c r="V284" s="138" t="s">
        <v>8813</v>
      </c>
      <c r="W284" s="138" t="str">
        <f ca="1">IFERROR(__xludf.DUMMYFUNCTION("filter(H:H,I:I=U284,J:J=V284)"),"Annamayya")</f>
        <v>Annamayya</v>
      </c>
    </row>
    <row r="285" spans="7:23">
      <c r="G285" s="138" t="s">
        <v>8739</v>
      </c>
      <c r="H285" s="138" t="s">
        <v>8409</v>
      </c>
      <c r="I285" s="138" t="s">
        <v>8769</v>
      </c>
      <c r="J285" s="138" t="s">
        <v>8769</v>
      </c>
      <c r="K285" s="138" t="str">
        <f ca="1">IFERROR(__xludf.DUMMYFUNCTION("unique(filter(R:R,R:R=I285))"),"Rayachoti")</f>
        <v>Rayachoti</v>
      </c>
      <c r="N285" s="138" t="str">
        <f ca="1">IFERROR(__xludf.DUMMYFUNCTION("unique(filter(W:W,U:U=R285))"),"Kadapa")</f>
        <v>Kadapa</v>
      </c>
      <c r="O285" s="138" t="s">
        <v>8750</v>
      </c>
      <c r="P285" s="138" t="s">
        <v>8817</v>
      </c>
      <c r="Q285" s="138" t="str">
        <f ca="1">IFERROR(__xludf.DUMMYFUNCTION("filter(I:I,J:J=P285,G:G=O285)"),"#N/A")</f>
        <v>#N/A</v>
      </c>
      <c r="R285" s="138" t="s">
        <v>8757</v>
      </c>
      <c r="U285" s="138" t="s">
        <v>8769</v>
      </c>
      <c r="V285" s="138" t="s">
        <v>8815</v>
      </c>
      <c r="W285" s="138" t="str">
        <f ca="1">IFERROR(__xludf.DUMMYFUNCTION("filter(H:H,I:I=U285,J:J=V285)"),"Annamayya")</f>
        <v>Annamayya</v>
      </c>
    </row>
    <row r="286" spans="7:23">
      <c r="G286" s="138" t="s">
        <v>8739</v>
      </c>
      <c r="H286" s="138" t="s">
        <v>8409</v>
      </c>
      <c r="I286" s="138" t="s">
        <v>8769</v>
      </c>
      <c r="J286" s="138" t="s">
        <v>8818</v>
      </c>
      <c r="K286" s="138" t="str">
        <f ca="1">IFERROR(__xludf.DUMMYFUNCTION("unique(filter(R:R,R:R=I286))"),"Rayachoti")</f>
        <v>Rayachoti</v>
      </c>
      <c r="N286" s="138" t="str">
        <f ca="1">IFERROR(__xludf.DUMMYFUNCTION("unique(filter(W:W,U:U=R286))"),"Annamayya")</f>
        <v>Annamayya</v>
      </c>
      <c r="O286" s="138" t="s">
        <v>8750</v>
      </c>
      <c r="P286" s="138" t="s">
        <v>8819</v>
      </c>
      <c r="Q286" s="138" t="str">
        <f ca="1">IFERROR(__xludf.DUMMYFUNCTION("filter(I:I,J:J=P286,G:G=O286)"),"Rayachoti")</f>
        <v>Rayachoti</v>
      </c>
      <c r="R286" s="138" t="s">
        <v>8769</v>
      </c>
      <c r="U286" s="138" t="s">
        <v>8769</v>
      </c>
      <c r="V286" s="138" t="s">
        <v>8769</v>
      </c>
      <c r="W286" s="138" t="str">
        <f ca="1">IFERROR(__xludf.DUMMYFUNCTION("filter(H:H,I:I=U286,J:J=V286)"),"Annamayya")</f>
        <v>Annamayya</v>
      </c>
    </row>
    <row r="287" spans="7:23">
      <c r="G287" s="138" t="s">
        <v>8739</v>
      </c>
      <c r="H287" s="138" t="s">
        <v>8409</v>
      </c>
      <c r="I287" s="138" t="s">
        <v>8769</v>
      </c>
      <c r="J287" s="138" t="s">
        <v>8820</v>
      </c>
      <c r="K287" s="138" t="str">
        <f ca="1">IFERROR(__xludf.DUMMYFUNCTION("unique(filter(R:R,R:R=I287))"),"Rayachoti")</f>
        <v>Rayachoti</v>
      </c>
      <c r="N287" s="138" t="str">
        <f ca="1">IFERROR(__xludf.DUMMYFUNCTION("unique(filter(W:W,U:U=R287))"),"Annamayya")</f>
        <v>Annamayya</v>
      </c>
      <c r="O287" s="138" t="s">
        <v>8750</v>
      </c>
      <c r="P287" s="138" t="s">
        <v>8821</v>
      </c>
      <c r="Q287" s="138" t="str">
        <f ca="1">IFERROR(__xludf.DUMMYFUNCTION("filter(I:I,J:J=P287,G:G=O287)"),"Rayachoti")</f>
        <v>Rayachoti</v>
      </c>
      <c r="R287" s="138" t="s">
        <v>8769</v>
      </c>
      <c r="U287" s="138" t="s">
        <v>8769</v>
      </c>
      <c r="V287" s="138" t="s">
        <v>8818</v>
      </c>
      <c r="W287" s="138" t="str">
        <f ca="1">IFERROR(__xludf.DUMMYFUNCTION("filter(H:H,I:I=U287,J:J=V287)"),"Annamayya")</f>
        <v>Annamayya</v>
      </c>
    </row>
    <row r="288" spans="7:23">
      <c r="G288" s="138" t="s">
        <v>8739</v>
      </c>
      <c r="H288" s="138" t="s">
        <v>8409</v>
      </c>
      <c r="I288" s="138" t="s">
        <v>8769</v>
      </c>
      <c r="J288" s="138" t="s">
        <v>8822</v>
      </c>
      <c r="K288" s="138" t="str">
        <f ca="1">IFERROR(__xludf.DUMMYFUNCTION("unique(filter(R:R,R:R=I288))"),"Rayachoti")</f>
        <v>Rayachoti</v>
      </c>
      <c r="N288" s="138" t="str">
        <f ca="1">IFERROR(__xludf.DUMMYFUNCTION("unique(filter(W:W,U:U=R288))"),"Kadapa")</f>
        <v>Kadapa</v>
      </c>
      <c r="O288" s="138" t="s">
        <v>8750</v>
      </c>
      <c r="P288" s="138" t="s">
        <v>8823</v>
      </c>
      <c r="Q288" s="138" t="str">
        <f ca="1">IFERROR(__xludf.DUMMYFUNCTION("filter(I:I,J:J=P288,G:G=O288)"),"Mydukur")</f>
        <v>Mydukur</v>
      </c>
      <c r="R288" s="138" t="s">
        <v>8740</v>
      </c>
      <c r="U288" s="138" t="s">
        <v>8769</v>
      </c>
      <c r="V288" s="138" t="s">
        <v>8820</v>
      </c>
      <c r="W288" s="138" t="str">
        <f ca="1">IFERROR(__xludf.DUMMYFUNCTION("filter(H:H,I:I=U288,J:J=V288)"),"Annamayya")</f>
        <v>Annamayya</v>
      </c>
    </row>
    <row r="289" spans="7:23">
      <c r="G289" s="138" t="s">
        <v>8739</v>
      </c>
      <c r="H289" s="138" t="s">
        <v>8409</v>
      </c>
      <c r="I289" s="138" t="s">
        <v>8769</v>
      </c>
      <c r="J289" s="138" t="s">
        <v>8824</v>
      </c>
      <c r="K289" s="138" t="str">
        <f ca="1">IFERROR(__xludf.DUMMYFUNCTION("unique(filter(R:R,R:R=I289))"),"Rayachoti")</f>
        <v>Rayachoti</v>
      </c>
      <c r="N289" s="138" t="str">
        <f ca="1">IFERROR(__xludf.DUMMYFUNCTION("unique(filter(W:W,U:U=R289))"),"Annamayya")</f>
        <v>Annamayya</v>
      </c>
      <c r="O289" s="138" t="s">
        <v>8750</v>
      </c>
      <c r="P289" s="138" t="s">
        <v>8825</v>
      </c>
      <c r="Q289" s="138" t="str">
        <f ca="1">IFERROR(__xludf.DUMMYFUNCTION("filter(I:I,J:J=P289,G:G=O289)"),"Rayachoti")</f>
        <v>Rayachoti</v>
      </c>
      <c r="R289" s="138" t="s">
        <v>8769</v>
      </c>
      <c r="U289" s="138" t="s">
        <v>8769</v>
      </c>
      <c r="V289" s="138" t="s">
        <v>8822</v>
      </c>
      <c r="W289" s="138" t="str">
        <f ca="1">IFERROR(__xludf.DUMMYFUNCTION("filter(H:H,I:I=U289,J:J=V289)"),"Annamayya")</f>
        <v>Annamayya</v>
      </c>
    </row>
    <row r="290" spans="7:23">
      <c r="G290" s="138" t="s">
        <v>8739</v>
      </c>
      <c r="H290" s="138" t="s">
        <v>8409</v>
      </c>
      <c r="I290" s="138" t="s">
        <v>8769</v>
      </c>
      <c r="J290" s="138" t="s">
        <v>8826</v>
      </c>
      <c r="K290" s="138" t="str">
        <f ca="1">IFERROR(__xludf.DUMMYFUNCTION("unique(filter(R:R,R:R=I290))"),"Rayachoti")</f>
        <v>Rayachoti</v>
      </c>
      <c r="N290" s="138" t="str">
        <f ca="1">IFERROR(__xludf.DUMMYFUNCTION("unique(filter(W:W,U:U=R290))"),"Annamayya")</f>
        <v>Annamayya</v>
      </c>
      <c r="O290" s="138" t="s">
        <v>8750</v>
      </c>
      <c r="P290" s="138" t="s">
        <v>8827</v>
      </c>
      <c r="Q290" s="138" t="str">
        <f ca="1">IFERROR(__xludf.DUMMYFUNCTION("filter(I:I,J:J=P290,G:G=O290)"),"Rajampet")</f>
        <v>Rajampet</v>
      </c>
      <c r="R290" s="138" t="s">
        <v>8773</v>
      </c>
      <c r="U290" s="138" t="s">
        <v>8769</v>
      </c>
      <c r="V290" s="138" t="s">
        <v>8824</v>
      </c>
      <c r="W290" s="138" t="str">
        <f ca="1">IFERROR(__xludf.DUMMYFUNCTION("filter(H:H,I:I=U290,J:J=V290)"),"Annamayya")</f>
        <v>Annamayya</v>
      </c>
    </row>
    <row r="291" spans="7:23">
      <c r="G291" s="138" t="s">
        <v>8739</v>
      </c>
      <c r="H291" s="138" t="s">
        <v>8409</v>
      </c>
      <c r="I291" s="138" t="s">
        <v>8769</v>
      </c>
      <c r="J291" s="138" t="s">
        <v>8828</v>
      </c>
      <c r="K291" s="138" t="str">
        <f ca="1">IFERROR(__xludf.DUMMYFUNCTION("unique(filter(R:R,R:R=I291))"),"Rayachoti")</f>
        <v>Rayachoti</v>
      </c>
      <c r="N291" s="138" t="str">
        <f ca="1">IFERROR(__xludf.DUMMYFUNCTION("unique(filter(W:W,U:U=R291))"),"Kadapa")</f>
        <v>Kadapa</v>
      </c>
      <c r="O291" s="138" t="s">
        <v>8750</v>
      </c>
      <c r="P291" s="138" t="s">
        <v>8829</v>
      </c>
      <c r="Q291" s="138" t="str">
        <f ca="1">IFERROR(__xludf.DUMMYFUNCTION("filter(I:I,J:J=P291,G:G=O291)"),"Pulivendla")</f>
        <v>Pulivendla</v>
      </c>
      <c r="R291" s="138" t="s">
        <v>8760</v>
      </c>
      <c r="U291" s="138" t="s">
        <v>8769</v>
      </c>
      <c r="V291" s="138" t="s">
        <v>8826</v>
      </c>
      <c r="W291" s="138" t="str">
        <f ca="1">IFERROR(__xludf.DUMMYFUNCTION("filter(H:H,I:I=U291,J:J=V291)"),"Annamayya")</f>
        <v>Annamayya</v>
      </c>
    </row>
    <row r="292" spans="7:23">
      <c r="G292" s="138" t="e">
        <v>#N/A</v>
      </c>
      <c r="H292" s="138" t="e">
        <v>#N/A</v>
      </c>
      <c r="I292" s="138" t="s">
        <v>8769</v>
      </c>
      <c r="J292" s="138" t="e">
        <v>#N/A</v>
      </c>
      <c r="K292" s="138" t="str">
        <f ca="1">IFERROR(__xludf.DUMMYFUNCTION("unique(filter(R:R,R:R=I292))"),"Rayachoti")</f>
        <v>Rayachoti</v>
      </c>
      <c r="N292" s="138" t="str">
        <f ca="1">IFERROR(__xludf.DUMMYFUNCTION("unique(filter(W:W,U:U=R292))"),"Kadapa")</f>
        <v>Kadapa</v>
      </c>
      <c r="O292" s="138" t="s">
        <v>8750</v>
      </c>
      <c r="P292" s="138" t="s">
        <v>8830</v>
      </c>
      <c r="Q292" s="138" t="str">
        <f ca="1">IFERROR(__xludf.DUMMYFUNCTION("filter(I:I,J:J=P292,G:G=O292)"),"Badvel")</f>
        <v>Badvel</v>
      </c>
      <c r="R292" s="138" t="s">
        <v>8752</v>
      </c>
      <c r="U292" s="138" t="s">
        <v>8769</v>
      </c>
      <c r="V292" s="138" t="s">
        <v>8828</v>
      </c>
      <c r="W292" s="138" t="str">
        <f ca="1">IFERROR(__xludf.DUMMYFUNCTION("filter(H:H,I:I=U292,J:J=V292)"),"Annamayya")</f>
        <v>Annamayya</v>
      </c>
    </row>
    <row r="293" spans="7:23">
      <c r="G293" s="138" t="s">
        <v>8739</v>
      </c>
      <c r="H293" s="138" t="s">
        <v>8409</v>
      </c>
      <c r="I293" s="138" t="s">
        <v>8788</v>
      </c>
      <c r="J293" s="138" t="s">
        <v>8818</v>
      </c>
      <c r="K293" s="138" t="str">
        <f ca="1">IFERROR(__xludf.DUMMYFUNCTION("unique(filter(R:R,R:R=I293))"),"Kodur (Sc)")</f>
        <v>Kodur (Sc)</v>
      </c>
      <c r="N293" s="138" t="str">
        <f ca="1">IFERROR(__xludf.DUMMYFUNCTION("unique(filter(W:W,U:U=R293))"),"Annamayya")</f>
        <v>Annamayya</v>
      </c>
      <c r="O293" s="138" t="s">
        <v>8750</v>
      </c>
      <c r="P293" s="138" t="s">
        <v>8831</v>
      </c>
      <c r="Q293" s="138" t="str">
        <f ca="1">IFERROR(__xludf.DUMMYFUNCTION("filter(I:I,J:J=P293,G:G=O293)"),"#REF!")</f>
        <v>#REF!</v>
      </c>
      <c r="R293" s="138" t="s">
        <v>8769</v>
      </c>
    </row>
    <row r="294" spans="7:23">
      <c r="G294" s="138" t="s">
        <v>8739</v>
      </c>
      <c r="H294" s="138" t="s">
        <v>8409</v>
      </c>
      <c r="I294" s="138" t="s">
        <v>8788</v>
      </c>
      <c r="J294" s="138" t="s">
        <v>8822</v>
      </c>
      <c r="K294" s="138" t="str">
        <f ca="1">IFERROR(__xludf.DUMMYFUNCTION("unique(filter(R:R,R:R=I294))"),"Kodur (Sc)")</f>
        <v>Kodur (Sc)</v>
      </c>
      <c r="N294" s="138" t="str">
        <f ca="1">IFERROR(__xludf.DUMMYFUNCTION("unique(filter(W:W,U:U=R294))"),"Kadapa")</f>
        <v>Kadapa</v>
      </c>
      <c r="O294" s="138" t="s">
        <v>8750</v>
      </c>
      <c r="P294" s="138" t="s">
        <v>8832</v>
      </c>
      <c r="Q294" s="138" t="str">
        <f ca="1">IFERROR(__xludf.DUMMYFUNCTION("filter(I:I,J:J=P294,G:G=O294)"),"Pulivendla")</f>
        <v>Pulivendla</v>
      </c>
      <c r="R294" s="138" t="s">
        <v>8760</v>
      </c>
      <c r="U294" s="138" t="s">
        <v>8788</v>
      </c>
      <c r="V294" s="138" t="s">
        <v>8818</v>
      </c>
      <c r="W294" s="138" t="str">
        <f ca="1">IFERROR(__xludf.DUMMYFUNCTION("filter(H:H,I:I=U294,J:J=V294)"),"Annamayya")</f>
        <v>Annamayya</v>
      </c>
    </row>
    <row r="295" spans="7:23">
      <c r="G295" s="138" t="s">
        <v>8739</v>
      </c>
      <c r="H295" s="138" t="s">
        <v>8409</v>
      </c>
      <c r="I295" s="138" t="s">
        <v>8788</v>
      </c>
      <c r="J295" s="138" t="s">
        <v>8833</v>
      </c>
      <c r="K295" s="138" t="str">
        <f ca="1">IFERROR(__xludf.DUMMYFUNCTION("unique(filter(R:R,R:R=I295))"),"Kodur (Sc)")</f>
        <v>Kodur (Sc)</v>
      </c>
      <c r="N295" s="138" t="str">
        <f ca="1">IFERROR(__xludf.DUMMYFUNCTION("unique(filter(W:W,U:U=R295))"),"Kadapa")</f>
        <v>Kadapa</v>
      </c>
      <c r="O295" s="138" t="s">
        <v>8750</v>
      </c>
      <c r="P295" s="138" t="s">
        <v>8834</v>
      </c>
      <c r="Q295" s="138" t="str">
        <f ca="1">IFERROR(__xludf.DUMMYFUNCTION("filter(I:I,J:J=P295,G:G=O295)"),"Kamalapuram")</f>
        <v>Kamalapuram</v>
      </c>
      <c r="R295" s="138" t="s">
        <v>8766</v>
      </c>
      <c r="U295" s="138" t="s">
        <v>8788</v>
      </c>
      <c r="V295" s="138" t="s">
        <v>8822</v>
      </c>
      <c r="W295" s="138" t="str">
        <f ca="1">IFERROR(__xludf.DUMMYFUNCTION("filter(H:H,I:I=U295,J:J=V295)"),"Annamayya")</f>
        <v>Annamayya</v>
      </c>
    </row>
    <row r="296" spans="7:23">
      <c r="G296" s="138" t="s">
        <v>8739</v>
      </c>
      <c r="H296" s="138" t="s">
        <v>8409</v>
      </c>
      <c r="I296" s="138" t="s">
        <v>8788</v>
      </c>
      <c r="J296" s="138" t="s">
        <v>8835</v>
      </c>
      <c r="K296" s="138" t="str">
        <f ca="1">IFERROR(__xludf.DUMMYFUNCTION("unique(filter(R:R,R:R=I296))"),"Kodur (Sc)")</f>
        <v>Kodur (Sc)</v>
      </c>
      <c r="N296" s="138" t="str">
        <f ca="1">IFERROR(__xludf.DUMMYFUNCTION("unique(filter(W:W,U:U=R296))"),"Annamayya")</f>
        <v>Annamayya</v>
      </c>
      <c r="O296" s="138" t="s">
        <v>8750</v>
      </c>
      <c r="P296" s="138" t="s">
        <v>8836</v>
      </c>
      <c r="Q296" s="138" t="str">
        <f ca="1">IFERROR(__xludf.DUMMYFUNCTION("filter(I:I,J:J=P296,G:G=O296)"),"Rajampet")</f>
        <v>Rajampet</v>
      </c>
      <c r="R296" s="138" t="s">
        <v>8773</v>
      </c>
      <c r="U296" s="138" t="s">
        <v>8788</v>
      </c>
      <c r="V296" s="138" t="s">
        <v>8833</v>
      </c>
      <c r="W296" s="138" t="str">
        <f ca="1">IFERROR(__xludf.DUMMYFUNCTION("filter(H:H,I:I=U296,J:J=V296)"),"Annamayya")</f>
        <v>Annamayya</v>
      </c>
    </row>
    <row r="297" spans="7:23">
      <c r="G297" s="138" t="s">
        <v>8739</v>
      </c>
      <c r="H297" s="138" t="s">
        <v>8409</v>
      </c>
      <c r="I297" s="138" t="s">
        <v>8788</v>
      </c>
      <c r="J297" s="138" t="s">
        <v>8837</v>
      </c>
      <c r="K297" s="138" t="str">
        <f ca="1">IFERROR(__xludf.DUMMYFUNCTION("unique(filter(R:R,R:R=I297))"),"Kodur (Sc)")</f>
        <v>Kodur (Sc)</v>
      </c>
      <c r="N297" s="138" t="str">
        <f ca="1">IFERROR(__xludf.DUMMYFUNCTION("unique(filter(W:W,U:U=R297))"),"Kadapa")</f>
        <v>Kadapa</v>
      </c>
      <c r="O297" s="138" t="s">
        <v>8750</v>
      </c>
      <c r="P297" s="138" t="s">
        <v>8838</v>
      </c>
      <c r="Q297" s="138" t="str">
        <f ca="1">IFERROR(__xludf.DUMMYFUNCTION("filter(I:I,J:J=P297,G:G=O297)"),"Kamalapuram")</f>
        <v>Kamalapuram</v>
      </c>
      <c r="R297" s="138" t="s">
        <v>8766</v>
      </c>
      <c r="U297" s="138" t="s">
        <v>8788</v>
      </c>
      <c r="V297" s="138" t="s">
        <v>8835</v>
      </c>
      <c r="W297" s="138" t="str">
        <f ca="1">IFERROR(__xludf.DUMMYFUNCTION("filter(H:H,I:I=U297,J:J=V297)"),"Annamayya")</f>
        <v>Annamayya</v>
      </c>
    </row>
    <row r="298" spans="7:23">
      <c r="G298" s="138" t="e">
        <v>#N/A</v>
      </c>
      <c r="H298" s="138" t="e">
        <v>#N/A</v>
      </c>
      <c r="I298" s="138" t="s">
        <v>8788</v>
      </c>
      <c r="J298" s="138" t="e">
        <v>#N/A</v>
      </c>
      <c r="K298" s="138" t="str">
        <f ca="1">IFERROR(__xludf.DUMMYFUNCTION("unique(filter(R:R,R:R=I298))"),"Kodur (Sc)")</f>
        <v>Kodur (Sc)</v>
      </c>
      <c r="N298" s="138" t="str">
        <f ca="1">IFERROR(__xludf.DUMMYFUNCTION("unique(filter(W:W,U:U=R298))"),"Kadapa")</f>
        <v>Kadapa</v>
      </c>
      <c r="O298" s="138" t="s">
        <v>8750</v>
      </c>
      <c r="P298" s="138" t="s">
        <v>8839</v>
      </c>
      <c r="Q298" s="138" t="str">
        <f ca="1">IFERROR(__xludf.DUMMYFUNCTION("filter(I:I,J:J=P298,G:G=O298)"),"Pulivendla")</f>
        <v>Pulivendla</v>
      </c>
      <c r="R298" s="138" t="s">
        <v>8760</v>
      </c>
      <c r="U298" s="138" t="s">
        <v>8788</v>
      </c>
      <c r="V298" s="138" t="s">
        <v>8837</v>
      </c>
      <c r="W298" s="138" t="str">
        <f ca="1">IFERROR(__xludf.DUMMYFUNCTION("filter(H:H,I:I=U298,J:J=V298)"),"Annamayya")</f>
        <v>Annamayya</v>
      </c>
    </row>
    <row r="299" spans="7:23">
      <c r="G299" s="138" t="s">
        <v>8739</v>
      </c>
      <c r="H299" s="138" t="s">
        <v>8739</v>
      </c>
      <c r="I299" s="138" t="s">
        <v>8739</v>
      </c>
      <c r="J299" s="138" t="s">
        <v>8795</v>
      </c>
      <c r="K299" s="138" t="str">
        <f ca="1">IFERROR(__xludf.DUMMYFUNCTION("unique(filter(R:R,R:R=I299))"),"Kadapa")</f>
        <v>Kadapa</v>
      </c>
      <c r="N299" s="138" t="str">
        <f ca="1">IFERROR(__xludf.DUMMYFUNCTION("unique(filter(W:W,U:U=R299))"),"Kadapa")</f>
        <v>Kadapa</v>
      </c>
      <c r="O299" s="138" t="s">
        <v>8750</v>
      </c>
      <c r="P299" s="138" t="s">
        <v>8840</v>
      </c>
      <c r="Q299" s="138" t="str">
        <f ca="1">IFERROR(__xludf.DUMMYFUNCTION("filter(I:I,J:J=P299,G:G=O299)"),"Pulivendla")</f>
        <v>Pulivendla</v>
      </c>
      <c r="R299" s="138" t="s">
        <v>8760</v>
      </c>
    </row>
    <row r="300" spans="7:23">
      <c r="G300" s="138" t="s">
        <v>8739</v>
      </c>
      <c r="H300" s="138" t="s">
        <v>8409</v>
      </c>
      <c r="I300" s="138" t="s">
        <v>8773</v>
      </c>
      <c r="J300" s="138" t="s">
        <v>8841</v>
      </c>
      <c r="K300" s="138" t="str">
        <f ca="1">IFERROR(__xludf.DUMMYFUNCTION("unique(filter(R:R,R:R=I300))"),"Rajampet")</f>
        <v>Rajampet</v>
      </c>
      <c r="N300" s="138" t="str">
        <f ca="1">IFERROR(__xludf.DUMMYFUNCTION("unique(filter(W:W,U:U=R300))"),"Annamayya")</f>
        <v>Annamayya</v>
      </c>
      <c r="O300" s="138" t="s">
        <v>8750</v>
      </c>
      <c r="P300" s="138" t="s">
        <v>8842</v>
      </c>
      <c r="Q300" s="138" t="str">
        <f ca="1">IFERROR(__xludf.DUMMYFUNCTION("filter(I:I,J:J=P300,G:G=O300)"),"Rajampet")</f>
        <v>Rajampet</v>
      </c>
      <c r="R300" s="138" t="s">
        <v>8773</v>
      </c>
      <c r="U300" s="138" t="s">
        <v>8739</v>
      </c>
      <c r="V300" s="138" t="s">
        <v>8795</v>
      </c>
      <c r="W300" s="138" t="str">
        <f ca="1">IFERROR(__xludf.DUMMYFUNCTION("filter(H:H,I:I=U300,J:J=V300)"),"Kadapa")</f>
        <v>Kadapa</v>
      </c>
    </row>
    <row r="301" spans="7:23">
      <c r="G301" s="138" t="s">
        <v>8739</v>
      </c>
      <c r="H301" s="138" t="s">
        <v>8409</v>
      </c>
      <c r="I301" s="138" t="s">
        <v>8773</v>
      </c>
      <c r="J301" s="138" t="s">
        <v>8427</v>
      </c>
      <c r="K301" s="138" t="str">
        <f ca="1">IFERROR(__xludf.DUMMYFUNCTION("unique(filter(R:R,R:R=I301))"),"Rajampet")</f>
        <v>Rajampet</v>
      </c>
      <c r="N301" s="138" t="str">
        <f ca="1">IFERROR(__xludf.DUMMYFUNCTION("unique(filter(W:W,U:U=R301))"),"Kadapa")</f>
        <v>Kadapa</v>
      </c>
      <c r="O301" s="138" t="s">
        <v>8750</v>
      </c>
      <c r="P301" s="138" t="s">
        <v>8843</v>
      </c>
      <c r="Q301" s="138" t="str">
        <f ca="1">IFERROR(__xludf.DUMMYFUNCTION("filter(I:I,J:J=P301,G:G=O301)"),"Jammalamadugu")</f>
        <v>Jammalamadugu</v>
      </c>
      <c r="R301" s="138" t="s">
        <v>8763</v>
      </c>
      <c r="U301" s="138" t="s">
        <v>8773</v>
      </c>
      <c r="V301" s="138" t="s">
        <v>8841</v>
      </c>
      <c r="W301" s="138" t="str">
        <f ca="1">IFERROR(__xludf.DUMMYFUNCTION("filter(H:H,I:I=U301,J:J=V301)"),"Annamayya")</f>
        <v>Annamayya</v>
      </c>
    </row>
    <row r="302" spans="7:23">
      <c r="G302" s="138" t="s">
        <v>8739</v>
      </c>
      <c r="H302" s="138" t="s">
        <v>8409</v>
      </c>
      <c r="I302" s="138" t="s">
        <v>8773</v>
      </c>
      <c r="J302" s="138" t="s">
        <v>8844</v>
      </c>
      <c r="K302" s="138" t="str">
        <f ca="1">IFERROR(__xludf.DUMMYFUNCTION("unique(filter(R:R,R:R=I302))"),"Rajampet")</f>
        <v>Rajampet</v>
      </c>
      <c r="N302" s="138" t="str">
        <f ca="1">IFERROR(__xludf.DUMMYFUNCTION("unique(filter(W:W,U:U=R302))"),"NTR")</f>
        <v>NTR</v>
      </c>
      <c r="O302" s="138" t="s">
        <v>8845</v>
      </c>
      <c r="P302" s="138" t="s">
        <v>8846</v>
      </c>
      <c r="Q302" s="138" t="str">
        <f ca="1">IFERROR(__xludf.DUMMYFUNCTION("filter(I:I,J:J=P302,G:G=O302)"),"Tiruvuru (Sc)")</f>
        <v>Tiruvuru (Sc)</v>
      </c>
      <c r="R302" s="138" t="s">
        <v>8847</v>
      </c>
      <c r="U302" s="138" t="s">
        <v>8773</v>
      </c>
      <c r="V302" s="138" t="s">
        <v>8427</v>
      </c>
      <c r="W302" s="138" t="str">
        <f ca="1">IFERROR(__xludf.DUMMYFUNCTION("filter(H:H,I:I=U302,J:J=V302)"),"Annamayya")</f>
        <v>Annamayya</v>
      </c>
    </row>
    <row r="303" spans="7:23">
      <c r="G303" s="138" t="s">
        <v>8739</v>
      </c>
      <c r="H303" s="138" t="s">
        <v>8409</v>
      </c>
      <c r="I303" s="138" t="s">
        <v>8773</v>
      </c>
      <c r="J303" s="138" t="s">
        <v>8848</v>
      </c>
      <c r="K303" s="138" t="str">
        <f ca="1">IFERROR(__xludf.DUMMYFUNCTION("unique(filter(R:R,R:R=I303))"),"Rajampet")</f>
        <v>Rajampet</v>
      </c>
      <c r="N303" s="138" t="str">
        <f ca="1">IFERROR(__xludf.DUMMYFUNCTION("unique(filter(W:W,U:U=R303))"),"Eluru")</f>
        <v>Eluru</v>
      </c>
      <c r="O303" s="138" t="s">
        <v>8845</v>
      </c>
      <c r="P303" s="138" t="s">
        <v>8849</v>
      </c>
      <c r="Q303" s="138" t="str">
        <f ca="1">IFERROR(__xludf.DUMMYFUNCTION("filter(I:I,J:J=P303,G:G=O303)"),"Nuzvid")</f>
        <v>Nuzvid</v>
      </c>
      <c r="R303" s="138" t="s">
        <v>8850</v>
      </c>
      <c r="U303" s="138" t="s">
        <v>8773</v>
      </c>
      <c r="V303" s="138" t="s">
        <v>8844</v>
      </c>
      <c r="W303" s="138" t="str">
        <f ca="1">IFERROR(__xludf.DUMMYFUNCTION("filter(H:H,I:I=U303,J:J=V303)"),"Annamayya")</f>
        <v>Annamayya</v>
      </c>
    </row>
    <row r="304" spans="7:23">
      <c r="G304" s="138" t="s">
        <v>8739</v>
      </c>
      <c r="H304" s="138" t="s">
        <v>8409</v>
      </c>
      <c r="I304" s="138" t="s">
        <v>8773</v>
      </c>
      <c r="J304" s="138" t="s">
        <v>8835</v>
      </c>
      <c r="K304" s="138" t="str">
        <f ca="1">IFERROR(__xludf.DUMMYFUNCTION("unique(filter(R:R,R:R=I304))"),"Rajampet")</f>
        <v>Rajampet</v>
      </c>
      <c r="N304" s="138" t="str">
        <f ca="1">IFERROR(__xludf.DUMMYFUNCTION("unique(filter(W:W,U:U=R304))"),"Krishna")</f>
        <v>Krishna</v>
      </c>
      <c r="O304" s="138" t="s">
        <v>8845</v>
      </c>
      <c r="P304" s="138" t="s">
        <v>8851</v>
      </c>
      <c r="Q304" s="138" t="str">
        <f ca="1">IFERROR(__xludf.DUMMYFUNCTION("filter(I:I,J:J=P304,G:G=O304)"),"Avanigadda")</f>
        <v>Avanigadda</v>
      </c>
      <c r="R304" s="138" t="s">
        <v>8852</v>
      </c>
      <c r="U304" s="138" t="s">
        <v>8773</v>
      </c>
      <c r="V304" s="138" t="s">
        <v>8848</v>
      </c>
      <c r="W304" s="138" t="str">
        <f ca="1">IFERROR(__xludf.DUMMYFUNCTION("filter(H:H,I:I=U304,J:J=V304)"),"Annamayya")</f>
        <v>Annamayya</v>
      </c>
    </row>
    <row r="305" spans="7:23">
      <c r="G305" s="138" t="s">
        <v>8739</v>
      </c>
      <c r="H305" s="138" t="s">
        <v>8409</v>
      </c>
      <c r="I305" s="138" t="s">
        <v>8773</v>
      </c>
      <c r="J305" s="138" t="s">
        <v>8837</v>
      </c>
      <c r="K305" s="138" t="str">
        <f ca="1">IFERROR(__xludf.DUMMYFUNCTION("unique(filter(R:R,R:R=I305))"),"Rajampet")</f>
        <v>Rajampet</v>
      </c>
      <c r="N305" s="138" t="str">
        <f ca="1">IFERROR(__xludf.DUMMYFUNCTION("unique(filter(W:W,U:U=R305))"),"Krishna")</f>
        <v>Krishna</v>
      </c>
      <c r="O305" s="138" t="s">
        <v>8845</v>
      </c>
      <c r="P305" s="138" t="s">
        <v>8853</v>
      </c>
      <c r="Q305" s="138" t="str">
        <f ca="1">IFERROR(__xludf.DUMMYFUNCTION("filter(I:I,J:J=P305,G:G=O305)"),"Pedana")</f>
        <v>Pedana</v>
      </c>
      <c r="R305" s="138" t="s">
        <v>8854</v>
      </c>
      <c r="U305" s="138" t="s">
        <v>8773</v>
      </c>
      <c r="V305" s="138" t="s">
        <v>8835</v>
      </c>
      <c r="W305" s="138" t="str">
        <f ca="1">IFERROR(__xludf.DUMMYFUNCTION("filter(H:H,I:I=U305,J:J=V305)"),"Annamayya")</f>
        <v>Annamayya</v>
      </c>
    </row>
    <row r="306" spans="7:23">
      <c r="G306" s="138" t="s">
        <v>8739</v>
      </c>
      <c r="H306" s="138" t="s">
        <v>8409</v>
      </c>
      <c r="I306" s="138" t="s">
        <v>8773</v>
      </c>
      <c r="J306" s="138" t="s">
        <v>8773</v>
      </c>
      <c r="K306" s="138" t="str">
        <f ca="1">IFERROR(__xludf.DUMMYFUNCTION("unique(filter(R:R,R:R=I306))"),"Rajampet")</f>
        <v>Rajampet</v>
      </c>
      <c r="N306" s="138" t="str">
        <f ca="1">IFERROR(__xludf.DUMMYFUNCTION("unique(filter(W:W,U:U=R306))"),"Krishna")</f>
        <v>Krishna</v>
      </c>
      <c r="O306" s="138" t="s">
        <v>8845</v>
      </c>
      <c r="P306" s="138" t="s">
        <v>8855</v>
      </c>
      <c r="Q306" s="138" t="str">
        <f ca="1">IFERROR(__xludf.DUMMYFUNCTION("filter(I:I,J:J=P306,G:G=O306)"),"Gannavaram")</f>
        <v>Gannavaram</v>
      </c>
      <c r="R306" s="138" t="s">
        <v>8856</v>
      </c>
      <c r="U306" s="138" t="s">
        <v>8773</v>
      </c>
      <c r="V306" s="138" t="s">
        <v>8837</v>
      </c>
      <c r="W306" s="138" t="str">
        <f ca="1">IFERROR(__xludf.DUMMYFUNCTION("filter(H:H,I:I=U306,J:J=V306)"),"Annamayya")</f>
        <v>Annamayya</v>
      </c>
    </row>
    <row r="307" spans="7:23">
      <c r="G307" s="138" t="s">
        <v>8739</v>
      </c>
      <c r="H307" s="138" t="s">
        <v>8409</v>
      </c>
      <c r="I307" s="138" t="s">
        <v>8773</v>
      </c>
      <c r="J307" s="138" t="s">
        <v>8857</v>
      </c>
      <c r="K307" s="138" t="str">
        <f ca="1">IFERROR(__xludf.DUMMYFUNCTION("unique(filter(R:R,R:R=I307))"),"Rajampet")</f>
        <v>Rajampet</v>
      </c>
      <c r="N307" s="138" t="str">
        <f ca="1">IFERROR(__xludf.DUMMYFUNCTION("unique(filter(W:W,U:U=R307))"),"Krishna")</f>
        <v>Krishna</v>
      </c>
      <c r="O307" s="138" t="s">
        <v>8845</v>
      </c>
      <c r="P307" s="138" t="s">
        <v>8858</v>
      </c>
      <c r="Q307" s="138" t="str">
        <f ca="1">IFERROR(__xludf.DUMMYFUNCTION("filter(I:I,J:J=P307,G:G=O307)"),"Avanigadda")</f>
        <v>Avanigadda</v>
      </c>
      <c r="R307" s="138" t="s">
        <v>8852</v>
      </c>
      <c r="U307" s="138" t="s">
        <v>8773</v>
      </c>
      <c r="V307" s="138" t="s">
        <v>8773</v>
      </c>
      <c r="W307" s="138" t="str">
        <f ca="1">IFERROR(__xludf.DUMMYFUNCTION("filter(H:H,I:I=U307,J:J=V307)"),"Annamayya")</f>
        <v>Annamayya</v>
      </c>
    </row>
    <row r="308" spans="7:23">
      <c r="G308" s="138" t="s">
        <v>8739</v>
      </c>
      <c r="H308" s="138" t="s">
        <v>8409</v>
      </c>
      <c r="I308" s="138" t="s">
        <v>8773</v>
      </c>
      <c r="J308" s="138" t="s">
        <v>8859</v>
      </c>
      <c r="K308" s="138" t="str">
        <f ca="1">IFERROR(__xludf.DUMMYFUNCTION("unique(filter(R:R,R:R=I308))"),"Rajampet")</f>
        <v>Rajampet</v>
      </c>
      <c r="N308" s="138" t="str">
        <f ca="1">IFERROR(__xludf.DUMMYFUNCTION("unique(filter(W:W,U:U=R308))"),"NTR")</f>
        <v>NTR</v>
      </c>
      <c r="O308" s="138" t="s">
        <v>8845</v>
      </c>
      <c r="P308" s="138" t="s">
        <v>8860</v>
      </c>
      <c r="Q308" s="138" t="str">
        <f ca="1">IFERROR(__xludf.DUMMYFUNCTION("filter(I:I,J:J=P308,G:G=O308)"),"Nandigama (Sc)")</f>
        <v>Nandigama (Sc)</v>
      </c>
      <c r="R308" s="138" t="s">
        <v>8861</v>
      </c>
      <c r="U308" s="138" t="s">
        <v>8773</v>
      </c>
      <c r="V308" s="138" t="s">
        <v>8857</v>
      </c>
      <c r="W308" s="138" t="str">
        <f ca="1">IFERROR(__xludf.DUMMYFUNCTION("filter(H:H,I:I=U308,J:J=V308)"),"Annamayya")</f>
        <v>Annamayya</v>
      </c>
    </row>
    <row r="309" spans="7:23">
      <c r="G309" s="138" t="s">
        <v>8739</v>
      </c>
      <c r="H309" s="138" t="s">
        <v>8409</v>
      </c>
      <c r="I309" s="138" t="s">
        <v>8773</v>
      </c>
      <c r="J309" s="138" t="s">
        <v>8822</v>
      </c>
      <c r="K309" s="138" t="str">
        <f ca="1">IFERROR(__xludf.DUMMYFUNCTION("unique(filter(R:R,R:R=I309))"),"Rajampet")</f>
        <v>Rajampet</v>
      </c>
      <c r="N309" s="138" t="str">
        <f ca="1">IFERROR(__xludf.DUMMYFUNCTION("unique(filter(W:W,U:U=R309))"),"Eluru")</f>
        <v>Eluru</v>
      </c>
      <c r="O309" s="138" t="s">
        <v>8845</v>
      </c>
      <c r="P309" s="138" t="s">
        <v>8862</v>
      </c>
      <c r="Q309" s="138" t="str">
        <f ca="1">IFERROR(__xludf.DUMMYFUNCTION("filter(I:I,J:J=P309,G:G=O309)"),"Nuzvid")</f>
        <v>Nuzvid</v>
      </c>
      <c r="R309" s="138" t="s">
        <v>8850</v>
      </c>
      <c r="U309" s="138" t="s">
        <v>8773</v>
      </c>
      <c r="V309" s="138" t="s">
        <v>8859</v>
      </c>
      <c r="W309" s="138" t="str">
        <f ca="1">IFERROR(__xludf.DUMMYFUNCTION("filter(H:H,I:I=U309,J:J=V309)"),"Annamayya")</f>
        <v>Annamayya</v>
      </c>
    </row>
    <row r="310" spans="7:23">
      <c r="G310" s="138" t="s">
        <v>8739</v>
      </c>
      <c r="H310" s="138" t="s">
        <v>8409</v>
      </c>
      <c r="I310" s="138" t="s">
        <v>8773</v>
      </c>
      <c r="J310" s="138" t="s">
        <v>8813</v>
      </c>
      <c r="K310" s="138" t="str">
        <f ca="1">IFERROR(__xludf.DUMMYFUNCTION("unique(filter(R:R,R:R=I310))"),"Rajampet")</f>
        <v>Rajampet</v>
      </c>
      <c r="N310" s="138" t="str">
        <f ca="1">IFERROR(__xludf.DUMMYFUNCTION("unique(filter(W:W,U:U=R310))"),"NTR")</f>
        <v>NTR</v>
      </c>
      <c r="O310" s="138" t="s">
        <v>8845</v>
      </c>
      <c r="P310" s="138" t="s">
        <v>8863</v>
      </c>
      <c r="Q310" s="138" t="str">
        <f ca="1">IFERROR(__xludf.DUMMYFUNCTION("filter(I:I,J:J=P310,G:G=O310)"),"Mylavaram")</f>
        <v>Mylavaram</v>
      </c>
      <c r="R310" s="138" t="s">
        <v>8767</v>
      </c>
      <c r="U310" s="138" t="s">
        <v>8773</v>
      </c>
      <c r="V310" s="138" t="s">
        <v>8822</v>
      </c>
      <c r="W310" s="138" t="str">
        <f ca="1">IFERROR(__xludf.DUMMYFUNCTION("filter(H:H,I:I=U310,J:J=V310)"),"Annamayya")</f>
        <v>Annamayya</v>
      </c>
    </row>
    <row r="311" spans="7:23">
      <c r="G311" s="138" t="e">
        <v>#N/A</v>
      </c>
      <c r="H311" s="138" t="e">
        <v>#N/A</v>
      </c>
      <c r="I311" s="138" t="s">
        <v>8773</v>
      </c>
      <c r="J311" s="138" t="e">
        <v>#N/A</v>
      </c>
      <c r="K311" s="138" t="str">
        <f ca="1">IFERROR(__xludf.DUMMYFUNCTION("unique(filter(R:R,R:R=I311))"),"Rajampet")</f>
        <v>Rajampet</v>
      </c>
      <c r="N311" s="138" t="str">
        <f ca="1">IFERROR(__xludf.DUMMYFUNCTION("unique(filter(W:W,U:U=R311))"),"NTR")</f>
        <v>NTR</v>
      </c>
      <c r="O311" s="138" t="s">
        <v>8845</v>
      </c>
      <c r="P311" s="138" t="s">
        <v>8864</v>
      </c>
      <c r="Q311" s="138" t="str">
        <f ca="1">IFERROR(__xludf.DUMMYFUNCTION("filter(I:I,J:J=P311,G:G=O311)"),"Tiruvuru (Sc)")</f>
        <v>Tiruvuru (Sc)</v>
      </c>
      <c r="R311" s="138" t="s">
        <v>8847</v>
      </c>
      <c r="U311" s="138" t="s">
        <v>8773</v>
      </c>
      <c r="V311" s="138" t="s">
        <v>8813</v>
      </c>
      <c r="W311" s="138" t="str">
        <f ca="1">IFERROR(__xludf.DUMMYFUNCTION("filter(H:H,I:I=U311,J:J=V311)"),"Annamayya")</f>
        <v>Annamayya</v>
      </c>
    </row>
    <row r="312" spans="7:23">
      <c r="G312" s="138" t="s">
        <v>8739</v>
      </c>
      <c r="H312" s="138" t="s">
        <v>8739</v>
      </c>
      <c r="I312" s="138" t="s">
        <v>8752</v>
      </c>
      <c r="J312" s="138" t="s">
        <v>8865</v>
      </c>
      <c r="K312" s="138" t="str">
        <f ca="1">IFERROR(__xludf.DUMMYFUNCTION("unique(filter(R:R,R:R=I312))"),"Badvel")</f>
        <v>Badvel</v>
      </c>
      <c r="N312" s="138" t="str">
        <f ca="1">IFERROR(__xludf.DUMMYFUNCTION("unique(filter(W:W,U:U=R312))"),"Krishna")</f>
        <v>Krishna</v>
      </c>
      <c r="O312" s="138" t="s">
        <v>8845</v>
      </c>
      <c r="P312" s="138" t="s">
        <v>8866</v>
      </c>
      <c r="Q312" s="138" t="str">
        <f ca="1">IFERROR(__xludf.DUMMYFUNCTION("filter(I:I,J:J=P312,G:G=O312)"),"Gannavaram")</f>
        <v>Gannavaram</v>
      </c>
      <c r="R312" s="138" t="s">
        <v>8856</v>
      </c>
    </row>
    <row r="313" spans="7:23">
      <c r="G313" s="138" t="s">
        <v>8739</v>
      </c>
      <c r="H313" s="138" t="s">
        <v>8739</v>
      </c>
      <c r="I313" s="138" t="s">
        <v>8752</v>
      </c>
      <c r="J313" s="138" t="s">
        <v>8867</v>
      </c>
      <c r="K313" s="138" t="str">
        <f ca="1">IFERROR(__xludf.DUMMYFUNCTION("unique(filter(R:R,R:R=I313))"),"Badvel")</f>
        <v>Badvel</v>
      </c>
      <c r="N313" s="138" t="str">
        <f ca="1">IFERROR(__xludf.DUMMYFUNCTION("unique(filter(W:W,U:U=R313))"),"Krishna")</f>
        <v>Krishna</v>
      </c>
      <c r="O313" s="138" t="s">
        <v>8845</v>
      </c>
      <c r="P313" s="138" t="s">
        <v>8868</v>
      </c>
      <c r="Q313" s="138" t="str">
        <f ca="1">IFERROR(__xludf.DUMMYFUNCTION("filter(I:I,J:J=P313,G:G=O313)"),"Avanigadda")</f>
        <v>Avanigadda</v>
      </c>
      <c r="R313" s="138" t="s">
        <v>8852</v>
      </c>
      <c r="U313" s="138" t="s">
        <v>8752</v>
      </c>
      <c r="V313" s="138" t="s">
        <v>8865</v>
      </c>
      <c r="W313" s="138" t="str">
        <f ca="1">IFERROR(__xludf.DUMMYFUNCTION("filter(H:H,I:I=U313,J:J=V313)"),"Kadapa")</f>
        <v>Kadapa</v>
      </c>
    </row>
    <row r="314" spans="7:23">
      <c r="G314" s="138" t="s">
        <v>8739</v>
      </c>
      <c r="H314" s="138" t="s">
        <v>8739</v>
      </c>
      <c r="I314" s="138" t="s">
        <v>8752</v>
      </c>
      <c r="J314" s="138" t="s">
        <v>8869</v>
      </c>
      <c r="K314" s="138" t="str">
        <f ca="1">IFERROR(__xludf.DUMMYFUNCTION("unique(filter(R:R,R:R=I314))"),"Badvel")</f>
        <v>Badvel</v>
      </c>
      <c r="N314" s="138" t="str">
        <f ca="1">IFERROR(__xludf.DUMMYFUNCTION("unique(filter(W:W,U:U=R314))"),"Krishna")</f>
        <v>Krishna</v>
      </c>
      <c r="O314" s="138" t="s">
        <v>8845</v>
      </c>
      <c r="P314" s="138" t="s">
        <v>8124</v>
      </c>
      <c r="Q314" s="138" t="str">
        <f ca="1">IFERROR(__xludf.DUMMYFUNCTION("filter(I:I,J:J=P314,G:G=O314)"),"Gudivada")</f>
        <v>Gudivada</v>
      </c>
      <c r="R314" s="138" t="s">
        <v>358</v>
      </c>
      <c r="U314" s="138" t="s">
        <v>8752</v>
      </c>
      <c r="V314" s="138" t="s">
        <v>8867</v>
      </c>
      <c r="W314" s="138" t="str">
        <f ca="1">IFERROR(__xludf.DUMMYFUNCTION("filter(H:H,I:I=U314,J:J=V314)"),"Kadapa")</f>
        <v>Kadapa</v>
      </c>
    </row>
    <row r="315" spans="7:23">
      <c r="G315" s="138" t="s">
        <v>8739</v>
      </c>
      <c r="H315" s="138" t="s">
        <v>8739</v>
      </c>
      <c r="I315" s="138" t="s">
        <v>8752</v>
      </c>
      <c r="J315" s="138" t="s">
        <v>8870</v>
      </c>
      <c r="K315" s="138" t="str">
        <f ca="1">IFERROR(__xludf.DUMMYFUNCTION("unique(filter(R:R,R:R=I315))"),"Badvel")</f>
        <v>Badvel</v>
      </c>
      <c r="N315" s="138" t="str">
        <f ca="1">IFERROR(__xludf.DUMMYFUNCTION("unique(filter(W:W,U:U=R315))"),"Krishna")</f>
        <v>Krishna</v>
      </c>
      <c r="O315" s="138" t="s">
        <v>8845</v>
      </c>
      <c r="P315" s="138" t="s">
        <v>8871</v>
      </c>
      <c r="Q315" s="138" t="str">
        <f ca="1">IFERROR(__xludf.DUMMYFUNCTION("filter(I:I,J:J=P315,G:G=O315)"),"Gudivada")</f>
        <v>Gudivada</v>
      </c>
      <c r="R315" s="138" t="s">
        <v>358</v>
      </c>
      <c r="U315" s="138" t="s">
        <v>8752</v>
      </c>
      <c r="V315" s="138" t="s">
        <v>8869</v>
      </c>
      <c r="W315" s="138" t="str">
        <f ca="1">IFERROR(__xludf.DUMMYFUNCTION("filter(H:H,I:I=U315,J:J=V315)"),"Kadapa")</f>
        <v>Kadapa</v>
      </c>
    </row>
    <row r="316" spans="7:23">
      <c r="G316" s="138" t="s">
        <v>8739</v>
      </c>
      <c r="H316" s="138" t="s">
        <v>8739</v>
      </c>
      <c r="I316" s="138" t="s">
        <v>8752</v>
      </c>
      <c r="J316" s="138" t="s">
        <v>8752</v>
      </c>
      <c r="K316" s="138" t="str">
        <f ca="1">IFERROR(__xludf.DUMMYFUNCTION("unique(filter(R:R,R:R=I316))"),"Badvel")</f>
        <v>Badvel</v>
      </c>
      <c r="N316" s="138" t="str">
        <f ca="1">IFERROR(__xludf.DUMMYFUNCTION("unique(filter(W:W,U:U=R316))"),"Krishna")</f>
        <v>Krishna</v>
      </c>
      <c r="O316" s="138" t="s">
        <v>8845</v>
      </c>
      <c r="P316" s="138" t="s">
        <v>8872</v>
      </c>
      <c r="Q316" s="138" t="str">
        <f ca="1">IFERROR(__xludf.DUMMYFUNCTION("filter(I:I,J:J=P316,G:G=O316)"),"Pedana")</f>
        <v>Pedana</v>
      </c>
      <c r="R316" s="138" t="s">
        <v>8854</v>
      </c>
      <c r="U316" s="138" t="s">
        <v>8752</v>
      </c>
      <c r="V316" s="138" t="s">
        <v>8870</v>
      </c>
      <c r="W316" s="138" t="str">
        <f ca="1">IFERROR(__xludf.DUMMYFUNCTION("filter(H:H,I:I=U316,J:J=V316)"),"Kadapa")</f>
        <v>Kadapa</v>
      </c>
    </row>
    <row r="317" spans="7:23">
      <c r="G317" s="138" t="s">
        <v>8739</v>
      </c>
      <c r="H317" s="138" t="s">
        <v>8739</v>
      </c>
      <c r="I317" s="138" t="s">
        <v>8752</v>
      </c>
      <c r="J317" s="138" t="s">
        <v>8873</v>
      </c>
      <c r="K317" s="138" t="str">
        <f ca="1">IFERROR(__xludf.DUMMYFUNCTION("unique(filter(R:R,R:R=I317))"),"Badvel")</f>
        <v>Badvel</v>
      </c>
      <c r="N317" s="138" t="str">
        <f ca="1">IFERROR(__xludf.DUMMYFUNCTION("unique(filter(W:W,U:U=R317))"),"NTR")</f>
        <v>NTR</v>
      </c>
      <c r="O317" s="138" t="s">
        <v>8845</v>
      </c>
      <c r="P317" s="138" t="s">
        <v>8874</v>
      </c>
      <c r="Q317" s="138" t="str">
        <f ca="1">IFERROR(__xludf.DUMMYFUNCTION("filter(I:I,J:J=P317,G:G=O317)"),"#N/A")</f>
        <v>#N/A</v>
      </c>
      <c r="R317" s="138" t="s">
        <v>8767</v>
      </c>
      <c r="U317" s="138" t="s">
        <v>8752</v>
      </c>
      <c r="V317" s="138" t="s">
        <v>8752</v>
      </c>
      <c r="W317" s="138" t="str">
        <f ca="1">IFERROR(__xludf.DUMMYFUNCTION("filter(H:H,I:I=U317,J:J=V317)"),"Kadapa")</f>
        <v>Kadapa</v>
      </c>
    </row>
    <row r="318" spans="7:23">
      <c r="G318" s="138" t="s">
        <v>8739</v>
      </c>
      <c r="H318" s="138" t="s">
        <v>8739</v>
      </c>
      <c r="I318" s="138" t="s">
        <v>8752</v>
      </c>
      <c r="J318" s="138" t="s">
        <v>8875</v>
      </c>
      <c r="K318" s="138" t="str">
        <f ca="1">IFERROR(__xludf.DUMMYFUNCTION("unique(filter(R:R,R:R=I318))"),"Badvel")</f>
        <v>Badvel</v>
      </c>
      <c r="N318" s="138" t="str">
        <f ca="1">IFERROR(__xludf.DUMMYFUNCTION("unique(filter(W:W,U:U=R318))"),"NTR")</f>
        <v>NTR</v>
      </c>
      <c r="O318" s="138" t="s">
        <v>8845</v>
      </c>
      <c r="P318" s="138" t="s">
        <v>8876</v>
      </c>
      <c r="Q318" s="138" t="str">
        <f ca="1">IFERROR(__xludf.DUMMYFUNCTION("filter(I:I,J:J=P318,G:G=O318)"),"Jaggayyapeta")</f>
        <v>Jaggayyapeta</v>
      </c>
      <c r="R318" s="138" t="s">
        <v>8877</v>
      </c>
      <c r="U318" s="138" t="s">
        <v>8752</v>
      </c>
      <c r="V318" s="138" t="s">
        <v>8873</v>
      </c>
      <c r="W318" s="138" t="str">
        <f ca="1">IFERROR(__xludf.DUMMYFUNCTION("filter(H:H,I:I=U318,J:J=V318)"),"Kadapa")</f>
        <v>Kadapa</v>
      </c>
    </row>
    <row r="319" spans="7:23">
      <c r="G319" s="138" t="s">
        <v>8739</v>
      </c>
      <c r="H319" s="138" t="s">
        <v>8739</v>
      </c>
      <c r="I319" s="138" t="s">
        <v>8752</v>
      </c>
      <c r="J319" s="138" t="s">
        <v>8878</v>
      </c>
      <c r="K319" s="138" t="str">
        <f ca="1">IFERROR(__xludf.DUMMYFUNCTION("unique(filter(R:R,R:R=I319))"),"Badvel")</f>
        <v>Badvel</v>
      </c>
      <c r="N319" s="138" t="str">
        <f ca="1">IFERROR(__xludf.DUMMYFUNCTION("unique(filter(W:W,U:U=R319))"),"Eluru")</f>
        <v>Eluru</v>
      </c>
      <c r="O319" s="138" t="s">
        <v>8845</v>
      </c>
      <c r="P319" s="138" t="s">
        <v>8879</v>
      </c>
      <c r="Q319" s="138" t="str">
        <f ca="1">IFERROR(__xludf.DUMMYFUNCTION("filter(I:I,J:J=P319,G:G=O319)"),"Kaikalur")</f>
        <v>Kaikalur</v>
      </c>
      <c r="R319" s="138" t="s">
        <v>8880</v>
      </c>
      <c r="U319" s="138" t="s">
        <v>8752</v>
      </c>
      <c r="V319" s="138" t="s">
        <v>8875</v>
      </c>
      <c r="W319" s="138" t="str">
        <f ca="1">IFERROR(__xludf.DUMMYFUNCTION("filter(H:H,I:I=U319,J:J=V319)"),"Kadapa")</f>
        <v>Kadapa</v>
      </c>
    </row>
    <row r="320" spans="7:23">
      <c r="G320" s="138" t="s">
        <v>8881</v>
      </c>
      <c r="H320" s="138" t="s">
        <v>8881</v>
      </c>
      <c r="I320" s="138" t="s">
        <v>8882</v>
      </c>
      <c r="J320" s="138" t="s">
        <v>8883</v>
      </c>
      <c r="K320" s="138" t="str">
        <f ca="1">IFERROR(__xludf.DUMMYFUNCTION("unique(filter(R:R,R:R=I320))"),"Udayagiri")</f>
        <v>Udayagiri</v>
      </c>
      <c r="N320" s="138" t="str">
        <f ca="1">IFERROR(__xludf.DUMMYFUNCTION("unique(filter(W:W,U:U=R320))"),"Eluru")</f>
        <v>Eluru</v>
      </c>
      <c r="O320" s="138" t="s">
        <v>8845</v>
      </c>
      <c r="P320" s="138" t="s">
        <v>8884</v>
      </c>
      <c r="Q320" s="138" t="str">
        <f ca="1">IFERROR(__xludf.DUMMYFUNCTION("filter(I:I,J:J=P320,G:G=O320)"),"Kaikalur")</f>
        <v>Kaikalur</v>
      </c>
      <c r="R320" s="138" t="s">
        <v>8880</v>
      </c>
      <c r="U320" s="138" t="s">
        <v>8752</v>
      </c>
      <c r="V320" s="138" t="s">
        <v>8878</v>
      </c>
      <c r="W320" s="138" t="str">
        <f ca="1">IFERROR(__xludf.DUMMYFUNCTION("filter(H:H,I:I=U320,J:J=V320)"),"Kadapa")</f>
        <v>Kadapa</v>
      </c>
    </row>
    <row r="321" spans="7:23">
      <c r="G321" s="138" t="s">
        <v>8881</v>
      </c>
      <c r="H321" s="138" t="s">
        <v>8881</v>
      </c>
      <c r="I321" s="138" t="s">
        <v>8882</v>
      </c>
      <c r="J321" s="138" t="s">
        <v>8882</v>
      </c>
      <c r="K321" s="138" t="str">
        <f ca="1">IFERROR(__xludf.DUMMYFUNCTION("unique(filter(R:R,R:R=I321))"),"Udayagiri")</f>
        <v>Udayagiri</v>
      </c>
      <c r="N321" s="138" t="str">
        <f ca="1">IFERROR(__xludf.DUMMYFUNCTION("unique(filter(W:W,U:U=R321))"),"NTR")</f>
        <v>NTR</v>
      </c>
      <c r="O321" s="138" t="s">
        <v>8845</v>
      </c>
      <c r="P321" s="138" t="s">
        <v>8885</v>
      </c>
      <c r="Q321" s="138" t="str">
        <f ca="1">IFERROR(__xludf.DUMMYFUNCTION("filter(I:I,J:J=P321,G:G=O321)"),"Nandigama (Sc)")</f>
        <v>Nandigama (Sc)</v>
      </c>
      <c r="R321" s="138" t="s">
        <v>8861</v>
      </c>
      <c r="U321" s="138" t="s">
        <v>8882</v>
      </c>
      <c r="V321" s="138" t="s">
        <v>8883</v>
      </c>
      <c r="W321" s="138" t="str">
        <f ca="1">IFERROR(__xludf.DUMMYFUNCTION("filter(H:H,I:I=U321,J:J=V321)"),"Nellore")</f>
        <v>Nellore</v>
      </c>
    </row>
    <row r="322" spans="7:23">
      <c r="G322" s="138" t="s">
        <v>8881</v>
      </c>
      <c r="H322" s="138" t="s">
        <v>8881</v>
      </c>
      <c r="I322" s="138" t="s">
        <v>8882</v>
      </c>
      <c r="J322" s="138" t="s">
        <v>8886</v>
      </c>
      <c r="K322" s="138" t="str">
        <f ca="1">IFERROR(__xludf.DUMMYFUNCTION("unique(filter(R:R,R:R=I322))"),"Udayagiri")</f>
        <v>Udayagiri</v>
      </c>
      <c r="N322" s="138" t="str">
        <f ca="1">IFERROR(__xludf.DUMMYFUNCTION("unique(filter(W:W,U:U=R322))"),"Krishna")</f>
        <v>Krishna</v>
      </c>
      <c r="O322" s="138" t="s">
        <v>8845</v>
      </c>
      <c r="P322" s="138" t="s">
        <v>8887</v>
      </c>
      <c r="Q322" s="138" t="str">
        <f ca="1">IFERROR(__xludf.DUMMYFUNCTION("filter(I:I,J:J=P322,G:G=O322)"),"Penamaluru")</f>
        <v>Penamaluru</v>
      </c>
      <c r="R322" s="138" t="s">
        <v>8888</v>
      </c>
      <c r="U322" s="138" t="s">
        <v>8882</v>
      </c>
      <c r="V322" s="138" t="s">
        <v>8882</v>
      </c>
      <c r="W322" s="138" t="str">
        <f ca="1">IFERROR(__xludf.DUMMYFUNCTION("filter(H:H,I:I=U322,J:J=V322)"),"Nellore")</f>
        <v>Nellore</v>
      </c>
    </row>
    <row r="323" spans="7:23">
      <c r="G323" s="138" t="s">
        <v>8881</v>
      </c>
      <c r="H323" s="138" t="s">
        <v>8881</v>
      </c>
      <c r="I323" s="138" t="s">
        <v>8882</v>
      </c>
      <c r="J323" s="138" t="s">
        <v>8889</v>
      </c>
      <c r="K323" s="138" t="str">
        <f ca="1">IFERROR(__xludf.DUMMYFUNCTION("unique(filter(R:R,R:R=I323))"),"Udayagiri")</f>
        <v>Udayagiri</v>
      </c>
      <c r="N323" s="138" t="str">
        <f ca="1">IFERROR(__xludf.DUMMYFUNCTION("unique(filter(W:W,U:U=R323))"),"Krishna")</f>
        <v>Krishna</v>
      </c>
      <c r="O323" s="138" t="s">
        <v>8845</v>
      </c>
      <c r="P323" s="138" t="s">
        <v>8890</v>
      </c>
      <c r="Q323" s="138" t="str">
        <f ca="1">IFERROR(__xludf.DUMMYFUNCTION("filter(I:I,J:J=P323,G:G=O323)"),"Avanigadda")</f>
        <v>Avanigadda</v>
      </c>
      <c r="R323" s="138" t="s">
        <v>8852</v>
      </c>
      <c r="U323" s="138" t="s">
        <v>8882</v>
      </c>
      <c r="V323" s="138" t="s">
        <v>8886</v>
      </c>
      <c r="W323" s="138" t="str">
        <f ca="1">IFERROR(__xludf.DUMMYFUNCTION("filter(H:H,I:I=U323,J:J=V323)"),"Nellore")</f>
        <v>Nellore</v>
      </c>
    </row>
    <row r="324" spans="7:23">
      <c r="G324" s="138" t="s">
        <v>8881</v>
      </c>
      <c r="H324" s="138" t="s">
        <v>8881</v>
      </c>
      <c r="I324" s="138" t="s">
        <v>8882</v>
      </c>
      <c r="J324" s="138" t="s">
        <v>8891</v>
      </c>
      <c r="K324" s="138" t="str">
        <f ca="1">IFERROR(__xludf.DUMMYFUNCTION("unique(filter(R:R,R:R=I324))"),"Udayagiri")</f>
        <v>Udayagiri</v>
      </c>
      <c r="N324" s="138" t="str">
        <f ca="1">IFERROR(__xludf.DUMMYFUNCTION("unique(filter(W:W,U:U=R324))"),"Krishna")</f>
        <v>Krishna</v>
      </c>
      <c r="O324" s="138" t="s">
        <v>8845</v>
      </c>
      <c r="P324" s="138" t="s">
        <v>8892</v>
      </c>
      <c r="Q324" s="138" t="str">
        <f ca="1">IFERROR(__xludf.DUMMYFUNCTION("filter(I:I,J:J=P324,G:G=O324)"),"Pedana")</f>
        <v>Pedana</v>
      </c>
      <c r="R324" s="138" t="s">
        <v>8854</v>
      </c>
      <c r="U324" s="138" t="s">
        <v>8882</v>
      </c>
      <c r="V324" s="138" t="s">
        <v>8889</v>
      </c>
      <c r="W324" s="138" t="str">
        <f ca="1">IFERROR(__xludf.DUMMYFUNCTION("filter(H:H,I:I=U324,J:J=V324)"),"Nellore")</f>
        <v>Nellore</v>
      </c>
    </row>
    <row r="325" spans="7:23">
      <c r="G325" s="138" t="s">
        <v>8881</v>
      </c>
      <c r="H325" s="138" t="s">
        <v>8881</v>
      </c>
      <c r="I325" s="138" t="s">
        <v>8882</v>
      </c>
      <c r="J325" s="138" t="s">
        <v>8774</v>
      </c>
      <c r="K325" s="138" t="str">
        <f ca="1">IFERROR(__xludf.DUMMYFUNCTION("unique(filter(R:R,R:R=I325))"),"Udayagiri")</f>
        <v>Udayagiri</v>
      </c>
      <c r="N325" s="138" t="str">
        <f ca="1">IFERROR(__xludf.DUMMYFUNCTION("unique(filter(W:W,U:U=R325))"),"Krishna")</f>
        <v>Krishna</v>
      </c>
      <c r="O325" s="138" t="s">
        <v>8845</v>
      </c>
      <c r="P325" s="138" t="s">
        <v>8893</v>
      </c>
      <c r="Q325" s="138" t="str">
        <f ca="1">IFERROR(__xludf.DUMMYFUNCTION("filter(I:I,J:J=P325,G:G=O325)"),"Machilipatnam")</f>
        <v>Machilipatnam</v>
      </c>
      <c r="R325" s="138" t="s">
        <v>8894</v>
      </c>
      <c r="U325" s="138" t="s">
        <v>8882</v>
      </c>
      <c r="V325" s="138" t="s">
        <v>8891</v>
      </c>
      <c r="W325" s="138" t="str">
        <f ca="1">IFERROR(__xludf.DUMMYFUNCTION("filter(H:H,I:I=U325,J:J=V325)"),"Nellore")</f>
        <v>Nellore</v>
      </c>
    </row>
    <row r="326" spans="7:23">
      <c r="G326" s="138" t="s">
        <v>8881</v>
      </c>
      <c r="H326" s="138" t="s">
        <v>8881</v>
      </c>
      <c r="I326" s="138" t="s">
        <v>8882</v>
      </c>
      <c r="J326" s="138" t="s">
        <v>8895</v>
      </c>
      <c r="K326" s="138" t="str">
        <f ca="1">IFERROR(__xludf.DUMMYFUNCTION("unique(filter(R:R,R:R=I326))"),"Udayagiri")</f>
        <v>Udayagiri</v>
      </c>
      <c r="N326" s="138" t="str">
        <f ca="1">IFERROR(__xludf.DUMMYFUNCTION("unique(filter(W:W,U:U=R326))"),"Eluru")</f>
        <v>Eluru</v>
      </c>
      <c r="O326" s="138" t="s">
        <v>8845</v>
      </c>
      <c r="P326" s="138" t="s">
        <v>8896</v>
      </c>
      <c r="Q326" s="138" t="str">
        <f ca="1">IFERROR(__xludf.DUMMYFUNCTION("filter(I:I,J:J=P326,G:G=O326)"),"Kaikalur")</f>
        <v>Kaikalur</v>
      </c>
      <c r="R326" s="138" t="s">
        <v>8880</v>
      </c>
      <c r="U326" s="138" t="s">
        <v>8882</v>
      </c>
      <c r="V326" s="138" t="s">
        <v>8774</v>
      </c>
      <c r="W326" s="138" t="str">
        <f ca="1">IFERROR(__xludf.DUMMYFUNCTION("filter(H:H,I:I=U326,J:J=V326)"),"Nellore")</f>
        <v>Nellore</v>
      </c>
    </row>
    <row r="327" spans="7:23">
      <c r="G327" s="138" t="s">
        <v>8881</v>
      </c>
      <c r="H327" s="138" t="s">
        <v>8881</v>
      </c>
      <c r="I327" s="138" t="s">
        <v>8882</v>
      </c>
      <c r="J327" s="138" t="s">
        <v>8897</v>
      </c>
      <c r="K327" s="138" t="str">
        <f ca="1">IFERROR(__xludf.DUMMYFUNCTION("unique(filter(R:R,R:R=I327))"),"Udayagiri")</f>
        <v>Udayagiri</v>
      </c>
      <c r="N327" s="138" t="str">
        <f ca="1">IFERROR(__xludf.DUMMYFUNCTION("unique(filter(W:W,U:U=R327))"),"Krishna")</f>
        <v>Krishna</v>
      </c>
      <c r="O327" s="138" t="s">
        <v>8845</v>
      </c>
      <c r="P327" s="138" t="s">
        <v>8898</v>
      </c>
      <c r="Q327" s="138" t="str">
        <f ca="1">IFERROR(__xludf.DUMMYFUNCTION("filter(I:I,J:J=P327,G:G=O327)"),"Avanigadda")</f>
        <v>Avanigadda</v>
      </c>
      <c r="R327" s="138" t="s">
        <v>8852</v>
      </c>
      <c r="U327" s="138" t="s">
        <v>8882</v>
      </c>
      <c r="V327" s="138" t="s">
        <v>8895</v>
      </c>
      <c r="W327" s="138" t="str">
        <f ca="1">IFERROR(__xludf.DUMMYFUNCTION("filter(H:H,I:I=U327,J:J=V327)"),"Nellore")</f>
        <v>Nellore</v>
      </c>
    </row>
    <row r="328" spans="7:23">
      <c r="G328" s="138" t="s">
        <v>8881</v>
      </c>
      <c r="H328" s="138" t="s">
        <v>379</v>
      </c>
      <c r="I328" s="138" t="s">
        <v>8899</v>
      </c>
      <c r="J328" s="138" t="s">
        <v>8900</v>
      </c>
      <c r="K328" s="138" t="str">
        <f ca="1">IFERROR(__xludf.DUMMYFUNCTION("unique(filter(R:R,R:R=I328))"),"Venkatagiri")</f>
        <v>Venkatagiri</v>
      </c>
      <c r="N328" s="138" t="str">
        <f ca="1">IFERROR(__xludf.DUMMYFUNCTION("unique(filter(W:W,U:U=R328))"),"Krishna")</f>
        <v>Krishna</v>
      </c>
      <c r="O328" s="138" t="s">
        <v>8845</v>
      </c>
      <c r="P328" s="138" t="s">
        <v>8901</v>
      </c>
      <c r="Q328" s="138" t="str">
        <f ca="1">IFERROR(__xludf.DUMMYFUNCTION("filter(I:I,J:J=P328,G:G=O328)"),"Pamarru (Sc)")</f>
        <v>Pamarru (Sc)</v>
      </c>
      <c r="R328" s="138" t="s">
        <v>8585</v>
      </c>
      <c r="U328" s="138" t="s">
        <v>8882</v>
      </c>
      <c r="V328" s="138" t="s">
        <v>8897</v>
      </c>
      <c r="W328" s="138" t="str">
        <f ca="1">IFERROR(__xludf.DUMMYFUNCTION("filter(H:H,I:I=U328,J:J=V328)"),"Nellore")</f>
        <v>Nellore</v>
      </c>
    </row>
    <row r="329" spans="7:23">
      <c r="G329" s="138" t="s">
        <v>8881</v>
      </c>
      <c r="H329" s="138" t="s">
        <v>379</v>
      </c>
      <c r="I329" s="138" t="s">
        <v>8899</v>
      </c>
      <c r="J329" s="138" t="s">
        <v>8902</v>
      </c>
      <c r="K329" s="138" t="str">
        <f ca="1">IFERROR(__xludf.DUMMYFUNCTION("unique(filter(R:R,R:R=I329))"),"Venkatagiri")</f>
        <v>Venkatagiri</v>
      </c>
      <c r="N329" s="138" t="str">
        <f ca="1">IFERROR(__xludf.DUMMYFUNCTION("unique(filter(W:W,U:U=R329))"),"Eluru")</f>
        <v>Eluru</v>
      </c>
      <c r="O329" s="138" t="s">
        <v>8845</v>
      </c>
      <c r="P329" s="138" t="s">
        <v>8903</v>
      </c>
      <c r="Q329" s="138" t="str">
        <f ca="1">IFERROR(__xludf.DUMMYFUNCTION("filter(I:I,J:J=P329,G:G=O329)"),"Kaikalur")</f>
        <v>Kaikalur</v>
      </c>
      <c r="R329" s="138" t="s">
        <v>8880</v>
      </c>
      <c r="U329" s="138" t="s">
        <v>8899</v>
      </c>
      <c r="V329" s="138" t="s">
        <v>8900</v>
      </c>
      <c r="W329" s="138" t="str">
        <f ca="1">IFERROR(__xludf.DUMMYFUNCTION("filter(H:H,I:I=U329,J:J=V329)"),"Tirupati")</f>
        <v>Tirupati</v>
      </c>
    </row>
    <row r="330" spans="7:23">
      <c r="G330" s="138" t="s">
        <v>8881</v>
      </c>
      <c r="H330" s="138" t="s">
        <v>379</v>
      </c>
      <c r="I330" s="138" t="s">
        <v>8899</v>
      </c>
      <c r="J330" s="138" t="s">
        <v>8904</v>
      </c>
      <c r="K330" s="138" t="str">
        <f ca="1">IFERROR(__xludf.DUMMYFUNCTION("unique(filter(R:R,R:R=I330))"),"Venkatagiri")</f>
        <v>Venkatagiri</v>
      </c>
      <c r="N330" s="138" t="str">
        <f ca="1">IFERROR(__xludf.DUMMYFUNCTION("unique(filter(W:W,U:U=R330))"),"Eluru")</f>
        <v>Eluru</v>
      </c>
      <c r="O330" s="138" t="s">
        <v>8845</v>
      </c>
      <c r="P330" s="138" t="s">
        <v>8905</v>
      </c>
      <c r="Q330" s="138" t="str">
        <f ca="1">IFERROR(__xludf.DUMMYFUNCTION("filter(I:I,J:J=P330,G:G=O330)"),"Nuzvid")</f>
        <v>Nuzvid</v>
      </c>
      <c r="R330" s="138" t="s">
        <v>8850</v>
      </c>
      <c r="U330" s="138" t="s">
        <v>8899</v>
      </c>
      <c r="V330" s="138" t="s">
        <v>8902</v>
      </c>
      <c r="W330" s="138" t="str">
        <f ca="1">IFERROR(__xludf.DUMMYFUNCTION("filter(H:H,I:I=U330,J:J=V330)"),"Tirupati")</f>
        <v>Tirupati</v>
      </c>
    </row>
    <row r="331" spans="7:23">
      <c r="G331" s="138" t="s">
        <v>8881</v>
      </c>
      <c r="H331" s="138" t="s">
        <v>379</v>
      </c>
      <c r="I331" s="138" t="s">
        <v>8899</v>
      </c>
      <c r="J331" s="138" t="s">
        <v>8906</v>
      </c>
      <c r="K331" s="138" t="str">
        <f ca="1">IFERROR(__xludf.DUMMYFUNCTION("unique(filter(R:R,R:R=I331))"),"Venkatagiri")</f>
        <v>Venkatagiri</v>
      </c>
      <c r="N331" s="138" t="str">
        <f ca="1">IFERROR(__xludf.DUMMYFUNCTION("unique(filter(W:W,U:U=R331))"),"NTR")</f>
        <v>NTR</v>
      </c>
      <c r="O331" s="138" t="s">
        <v>8845</v>
      </c>
      <c r="P331" s="138" t="s">
        <v>8907</v>
      </c>
      <c r="Q331" s="138" t="str">
        <f ca="1">IFERROR(__xludf.DUMMYFUNCTION("filter(I:I,J:J=P331,G:G=O331)"),"#N/A")</f>
        <v>#N/A</v>
      </c>
      <c r="R331" s="138" t="s">
        <v>8767</v>
      </c>
      <c r="U331" s="138" t="s">
        <v>8899</v>
      </c>
      <c r="V331" s="138" t="s">
        <v>8904</v>
      </c>
      <c r="W331" s="138" t="str">
        <f ca="1">IFERROR(__xludf.DUMMYFUNCTION("filter(H:H,I:I=U331,J:J=V331)"),"Tirupati")</f>
        <v>Tirupati</v>
      </c>
    </row>
    <row r="332" spans="7:23">
      <c r="G332" s="138" t="s">
        <v>8881</v>
      </c>
      <c r="H332" s="138" t="s">
        <v>379</v>
      </c>
      <c r="I332" s="138" t="s">
        <v>8899</v>
      </c>
      <c r="J332" s="138" t="s">
        <v>8908</v>
      </c>
      <c r="K332" s="138" t="str">
        <f ca="1">IFERROR(__xludf.DUMMYFUNCTION("unique(filter(R:R,R:R=I332))"),"Venkatagiri")</f>
        <v>Venkatagiri</v>
      </c>
      <c r="N332" s="138" t="str">
        <f ca="1">IFERROR(__xludf.DUMMYFUNCTION("unique(filter(W:W,U:U=R332))"),"Krishna")</f>
        <v>Krishna</v>
      </c>
      <c r="O332" s="138" t="s">
        <v>8845</v>
      </c>
      <c r="P332" s="138" t="s">
        <v>8909</v>
      </c>
      <c r="Q332" s="138" t="str">
        <f ca="1">IFERROR(__xludf.DUMMYFUNCTION("filter(I:I,J:J=P332,G:G=O332)"),"Avanigadda")</f>
        <v>Avanigadda</v>
      </c>
      <c r="R332" s="138" t="s">
        <v>8852</v>
      </c>
      <c r="U332" s="138" t="s">
        <v>8899</v>
      </c>
      <c r="V332" s="138" t="s">
        <v>8906</v>
      </c>
      <c r="W332" s="138" t="str">
        <f ca="1">IFERROR(__xludf.DUMMYFUNCTION("filter(H:H,I:I=U332,J:J=V332)"),"Tirupati")</f>
        <v>Tirupati</v>
      </c>
    </row>
    <row r="333" spans="7:23">
      <c r="G333" s="138" t="s">
        <v>8881</v>
      </c>
      <c r="H333" s="138" t="s">
        <v>379</v>
      </c>
      <c r="I333" s="138" t="s">
        <v>8899</v>
      </c>
      <c r="J333" s="138" t="s">
        <v>8899</v>
      </c>
      <c r="K333" s="138" t="str">
        <f ca="1">IFERROR(__xludf.DUMMYFUNCTION("unique(filter(R:R,R:R=I333))"),"Venkatagiri")</f>
        <v>Venkatagiri</v>
      </c>
      <c r="N333" s="138" t="str">
        <f ca="1">IFERROR(__xludf.DUMMYFUNCTION("unique(filter(W:W,U:U=R333))"),"NTR")</f>
        <v>NTR</v>
      </c>
      <c r="O333" s="138" t="s">
        <v>8845</v>
      </c>
      <c r="P333" s="138" t="s">
        <v>8910</v>
      </c>
      <c r="Q333" s="138" t="str">
        <f ca="1">IFERROR(__xludf.DUMMYFUNCTION("filter(I:I,J:J=P333,G:G=O333)"),"#REF!")</f>
        <v>#REF!</v>
      </c>
      <c r="R333" s="138" t="s">
        <v>8861</v>
      </c>
      <c r="U333" s="138" t="s">
        <v>8899</v>
      </c>
      <c r="V333" s="138" t="s">
        <v>8908</v>
      </c>
      <c r="W333" s="138" t="str">
        <f ca="1">IFERROR(__xludf.DUMMYFUNCTION("filter(H:H,I:I=U333,J:J=V333)"),"Tirupati")</f>
        <v>Tirupati</v>
      </c>
    </row>
    <row r="334" spans="7:23">
      <c r="G334" s="138" t="s">
        <v>8881</v>
      </c>
      <c r="H334" s="138" t="s">
        <v>379</v>
      </c>
      <c r="I334" s="138" t="s">
        <v>8899</v>
      </c>
      <c r="J334" s="138" t="s">
        <v>8911</v>
      </c>
      <c r="K334" s="138" t="str">
        <f ca="1">IFERROR(__xludf.DUMMYFUNCTION("unique(filter(R:R,R:R=I334))"),"Venkatagiri")</f>
        <v>Venkatagiri</v>
      </c>
      <c r="N334" s="138" t="str">
        <f ca="1">IFERROR(__xludf.DUMMYFUNCTION("unique(filter(W:W,U:U=R334))"),"Krishna")</f>
        <v>Krishna</v>
      </c>
      <c r="O334" s="138" t="s">
        <v>8845</v>
      </c>
      <c r="P334" s="138" t="s">
        <v>8912</v>
      </c>
      <c r="Q334" s="138" t="str">
        <f ca="1">IFERROR(__xludf.DUMMYFUNCTION("filter(I:I,J:J=P334,G:G=O334)"),"Gudivada")</f>
        <v>Gudivada</v>
      </c>
      <c r="R334" s="138" t="s">
        <v>358</v>
      </c>
      <c r="U334" s="138" t="s">
        <v>8899</v>
      </c>
      <c r="V334" s="138" t="s">
        <v>8899</v>
      </c>
      <c r="W334" s="138" t="str">
        <f ca="1">IFERROR(__xludf.DUMMYFUNCTION("filter(H:H,I:I=U334,J:J=V334)"),"Tirupati")</f>
        <v>Tirupati</v>
      </c>
    </row>
    <row r="335" spans="7:23">
      <c r="G335" s="138" t="e">
        <v>#N/A</v>
      </c>
      <c r="H335" s="138" t="e">
        <v>#N/A</v>
      </c>
      <c r="I335" s="138" t="s">
        <v>8899</v>
      </c>
      <c r="J335" s="138" t="e">
        <v>#N/A</v>
      </c>
      <c r="K335" s="138" t="str">
        <f ca="1">IFERROR(__xludf.DUMMYFUNCTION("unique(filter(R:R,R:R=I335))"),"Venkatagiri")</f>
        <v>Venkatagiri</v>
      </c>
      <c r="N335" s="138" t="str">
        <f ca="1">IFERROR(__xludf.DUMMYFUNCTION("unique(filter(W:W,U:U=R335))"),"Eluru")</f>
        <v>Eluru</v>
      </c>
      <c r="O335" s="138" t="s">
        <v>8845</v>
      </c>
      <c r="P335" s="138" t="s">
        <v>8913</v>
      </c>
      <c r="Q335" s="138" t="str">
        <f ca="1">IFERROR(__xludf.DUMMYFUNCTION("filter(I:I,J:J=P335,G:G=O335)"),"Nuzvid")</f>
        <v>Nuzvid</v>
      </c>
      <c r="R335" s="138" t="s">
        <v>8850</v>
      </c>
      <c r="U335" s="138" t="s">
        <v>8899</v>
      </c>
      <c r="V335" s="138" t="s">
        <v>8911</v>
      </c>
      <c r="W335" s="138" t="str">
        <f ca="1">IFERROR(__xludf.DUMMYFUNCTION("filter(H:H,I:I=U335,J:J=V335)"),"Tirupati")</f>
        <v>Tirupati</v>
      </c>
    </row>
    <row r="336" spans="7:23">
      <c r="G336" s="138" t="s">
        <v>8881</v>
      </c>
      <c r="H336" s="138" t="s">
        <v>379</v>
      </c>
      <c r="I336" s="138" t="s">
        <v>8914</v>
      </c>
      <c r="J336" s="138" t="s">
        <v>8915</v>
      </c>
      <c r="K336" s="138" t="str">
        <f ca="1">IFERROR(__xludf.DUMMYFUNCTION("unique(filter(R:R,R:R=I336))"),"Sullurpeta (Sc)")</f>
        <v>Sullurpeta (Sc)</v>
      </c>
      <c r="N336" s="138" t="str">
        <f ca="1">IFERROR(__xludf.DUMMYFUNCTION("unique(filter(W:W,U:U=R336))"),"Krishna")</f>
        <v>Krishna</v>
      </c>
      <c r="O336" s="138" t="s">
        <v>8845</v>
      </c>
      <c r="P336" s="138" t="s">
        <v>8916</v>
      </c>
      <c r="Q336" s="138" t="str">
        <f ca="1">IFERROR(__xludf.DUMMYFUNCTION("filter(I:I,J:J=P336,G:G=O336)"),"#N/A")</f>
        <v>#N/A</v>
      </c>
      <c r="R336" s="138" t="s">
        <v>8585</v>
      </c>
    </row>
    <row r="337" spans="7:23">
      <c r="G337" s="138" t="s">
        <v>8881</v>
      </c>
      <c r="H337" s="138" t="s">
        <v>379</v>
      </c>
      <c r="I337" s="138" t="s">
        <v>8914</v>
      </c>
      <c r="J337" s="138" t="s">
        <v>8917</v>
      </c>
      <c r="K337" s="138" t="str">
        <f ca="1">IFERROR(__xludf.DUMMYFUNCTION("unique(filter(R:R,R:R=I337))"),"Sullurpeta (Sc)")</f>
        <v>Sullurpeta (Sc)</v>
      </c>
      <c r="N337" s="138" t="str">
        <f ca="1">IFERROR(__xludf.DUMMYFUNCTION("unique(filter(W:W,U:U=R337))"),"Krishna")</f>
        <v>Krishna</v>
      </c>
      <c r="O337" s="138" t="s">
        <v>8845</v>
      </c>
      <c r="P337" s="138" t="s">
        <v>8918</v>
      </c>
      <c r="Q337" s="138" t="str">
        <f ca="1">IFERROR(__xludf.DUMMYFUNCTION("filter(I:I,J:J=P337,G:G=O337)"),"Pamarru (Sc)")</f>
        <v>Pamarru (Sc)</v>
      </c>
      <c r="R337" s="138" t="s">
        <v>8585</v>
      </c>
      <c r="U337" s="138" t="s">
        <v>8914</v>
      </c>
      <c r="V337" s="138" t="s">
        <v>8915</v>
      </c>
      <c r="W337" s="138" t="str">
        <f ca="1">IFERROR(__xludf.DUMMYFUNCTION("filter(H:H,I:I=U337,J:J=V337)"),"Tirupati")</f>
        <v>Tirupati</v>
      </c>
    </row>
    <row r="338" spans="7:23">
      <c r="G338" s="138" t="s">
        <v>8881</v>
      </c>
      <c r="H338" s="138" t="s">
        <v>379</v>
      </c>
      <c r="I338" s="138" t="s">
        <v>8914</v>
      </c>
      <c r="J338" s="138" t="s">
        <v>8919</v>
      </c>
      <c r="K338" s="138" t="str">
        <f ca="1">IFERROR(__xludf.DUMMYFUNCTION("unique(filter(R:R,R:R=I338))"),"Sullurpeta (Sc)")</f>
        <v>Sullurpeta (Sc)</v>
      </c>
      <c r="N338" s="138" t="str">
        <f ca="1">IFERROR(__xludf.DUMMYFUNCTION("unique(filter(W:W,U:U=R338))"),"Krishna")</f>
        <v>Krishna</v>
      </c>
      <c r="O338" s="138" t="s">
        <v>8845</v>
      </c>
      <c r="P338" s="138" t="s">
        <v>8920</v>
      </c>
      <c r="Q338" s="138" t="str">
        <f ca="1">IFERROR(__xludf.DUMMYFUNCTION("filter(I:I,J:J=P338,G:G=O338)"),"#REF!")</f>
        <v>#REF!</v>
      </c>
      <c r="R338" s="138" t="s">
        <v>8854</v>
      </c>
      <c r="U338" s="138" t="s">
        <v>8914</v>
      </c>
      <c r="V338" s="138" t="s">
        <v>8917</v>
      </c>
      <c r="W338" s="138" t="str">
        <f ca="1">IFERROR(__xludf.DUMMYFUNCTION("filter(H:H,I:I=U338,J:J=V338)"),"Tirupati")</f>
        <v>Tirupati</v>
      </c>
    </row>
    <row r="339" spans="7:23">
      <c r="G339" s="138" t="s">
        <v>8881</v>
      </c>
      <c r="H339" s="138" t="s">
        <v>379</v>
      </c>
      <c r="I339" s="138" t="s">
        <v>8914</v>
      </c>
      <c r="J339" s="138" t="s">
        <v>8921</v>
      </c>
      <c r="K339" s="138" t="str">
        <f ca="1">IFERROR(__xludf.DUMMYFUNCTION("unique(filter(R:R,R:R=I339))"),"Sullurpeta (Sc)")</f>
        <v>Sullurpeta (Sc)</v>
      </c>
      <c r="N339" s="138" t="str">
        <f ca="1">IFERROR(__xludf.DUMMYFUNCTION("unique(filter(W:W,U:U=R339))"),"Krishna")</f>
        <v>Krishna</v>
      </c>
      <c r="O339" s="138" t="s">
        <v>8845</v>
      </c>
      <c r="P339" s="138" t="s">
        <v>8922</v>
      </c>
      <c r="Q339" s="138" t="str">
        <f ca="1">IFERROR(__xludf.DUMMYFUNCTION("filter(I:I,J:J=P339,G:G=O339)"),"Pamarru (Sc)")</f>
        <v>Pamarru (Sc)</v>
      </c>
      <c r="R339" s="138" t="s">
        <v>8585</v>
      </c>
      <c r="U339" s="138" t="s">
        <v>8914</v>
      </c>
      <c r="V339" s="138" t="s">
        <v>8919</v>
      </c>
      <c r="W339" s="138" t="str">
        <f ca="1">IFERROR(__xludf.DUMMYFUNCTION("filter(H:H,I:I=U339,J:J=V339)"),"Tirupati")</f>
        <v>Tirupati</v>
      </c>
    </row>
    <row r="340" spans="7:23">
      <c r="G340" s="138" t="s">
        <v>8881</v>
      </c>
      <c r="H340" s="138" t="s">
        <v>379</v>
      </c>
      <c r="I340" s="138" t="s">
        <v>8914</v>
      </c>
      <c r="J340" s="138" t="s">
        <v>8923</v>
      </c>
      <c r="K340" s="138" t="str">
        <f ca="1">IFERROR(__xludf.DUMMYFUNCTION("unique(filter(R:R,R:R=I340))"),"Sullurpeta (Sc)")</f>
        <v>Sullurpeta (Sc)</v>
      </c>
      <c r="N340" s="138" t="str">
        <f ca="1">IFERROR(__xludf.DUMMYFUNCTION("unique(filter(W:W,U:U=R340))"),"Krishna")</f>
        <v>Krishna</v>
      </c>
      <c r="O340" s="138" t="s">
        <v>8845</v>
      </c>
      <c r="P340" s="138" t="s">
        <v>8924</v>
      </c>
      <c r="Q340" s="138" t="str">
        <f ca="1">IFERROR(__xludf.DUMMYFUNCTION("filter(I:I,J:J=P340,G:G=O340)"),"Penamaluru")</f>
        <v>Penamaluru</v>
      </c>
      <c r="R340" s="138" t="s">
        <v>8888</v>
      </c>
      <c r="U340" s="138" t="s">
        <v>8914</v>
      </c>
      <c r="V340" s="138" t="s">
        <v>8921</v>
      </c>
      <c r="W340" s="138" t="str">
        <f ca="1">IFERROR(__xludf.DUMMYFUNCTION("filter(H:H,I:I=U340,J:J=V340)"),"Tirupati")</f>
        <v>Tirupati</v>
      </c>
    </row>
    <row r="341" spans="7:23">
      <c r="G341" s="138" t="s">
        <v>8881</v>
      </c>
      <c r="H341" s="138" t="s">
        <v>379</v>
      </c>
      <c r="I341" s="138" t="s">
        <v>8914</v>
      </c>
      <c r="J341" s="138" t="s">
        <v>8925</v>
      </c>
      <c r="K341" s="138" t="str">
        <f ca="1">IFERROR(__xludf.DUMMYFUNCTION("unique(filter(R:R,R:R=I341))"),"Sullurpeta (Sc)")</f>
        <v>Sullurpeta (Sc)</v>
      </c>
      <c r="N341" s="138" t="str">
        <f ca="1">IFERROR(__xludf.DUMMYFUNCTION("unique(filter(W:W,U:U=R341))"),"NTR")</f>
        <v>NTR</v>
      </c>
      <c r="O341" s="138" t="s">
        <v>8845</v>
      </c>
      <c r="P341" s="138" t="s">
        <v>8926</v>
      </c>
      <c r="Q341" s="138" t="str">
        <f ca="1">IFERROR(__xludf.DUMMYFUNCTION("filter(I:I,J:J=P341,G:G=O341)"),"Jaggayyapeta")</f>
        <v>Jaggayyapeta</v>
      </c>
      <c r="R341" s="138" t="s">
        <v>8877</v>
      </c>
      <c r="U341" s="138" t="s">
        <v>8914</v>
      </c>
      <c r="V341" s="138" t="s">
        <v>8923</v>
      </c>
      <c r="W341" s="138" t="str">
        <f ca="1">IFERROR(__xludf.DUMMYFUNCTION("filter(H:H,I:I=U341,J:J=V341)"),"Tirupati")</f>
        <v>Tirupati</v>
      </c>
    </row>
    <row r="342" spans="7:23">
      <c r="G342" s="138" t="s">
        <v>8881</v>
      </c>
      <c r="H342" s="138" t="s">
        <v>379</v>
      </c>
      <c r="I342" s="138" t="s">
        <v>8914</v>
      </c>
      <c r="J342" s="138" t="s">
        <v>8927</v>
      </c>
      <c r="K342" s="138" t="str">
        <f ca="1">IFERROR(__xludf.DUMMYFUNCTION("unique(filter(R:R,R:R=I342))"),"Sullurpeta (Sc)")</f>
        <v>Sullurpeta (Sc)</v>
      </c>
      <c r="N342" s="138" t="str">
        <f ca="1">IFERROR(__xludf.DUMMYFUNCTION("unique(filter(W:W,U:U=R342))"),"NTR")</f>
        <v>NTR</v>
      </c>
      <c r="O342" s="138" t="s">
        <v>8845</v>
      </c>
      <c r="P342" s="138" t="s">
        <v>8928</v>
      </c>
      <c r="Q342" s="138" t="str">
        <f ca="1">IFERROR(__xludf.DUMMYFUNCTION("filter(I:I,J:J=P342,G:G=O342)"),"Mylavaram")</f>
        <v>Mylavaram</v>
      </c>
      <c r="R342" s="138" t="s">
        <v>8767</v>
      </c>
      <c r="U342" s="138" t="s">
        <v>8914</v>
      </c>
      <c r="V342" s="138" t="s">
        <v>8925</v>
      </c>
      <c r="W342" s="138" t="str">
        <f ca="1">IFERROR(__xludf.DUMMYFUNCTION("filter(H:H,I:I=U342,J:J=V342)"),"Tirupati")</f>
        <v>Tirupati</v>
      </c>
    </row>
    <row r="343" spans="7:23">
      <c r="G343" s="138" t="s">
        <v>8881</v>
      </c>
      <c r="H343" s="138" t="s">
        <v>379</v>
      </c>
      <c r="I343" s="138" t="s">
        <v>8914</v>
      </c>
      <c r="J343" s="138" t="s">
        <v>8929</v>
      </c>
      <c r="K343" s="138" t="str">
        <f ca="1">IFERROR(__xludf.DUMMYFUNCTION("unique(filter(R:R,R:R=I343))"),"Sullurpeta (Sc)")</f>
        <v>Sullurpeta (Sc)</v>
      </c>
      <c r="N343" s="138" t="str">
        <f ca="1">IFERROR(__xludf.DUMMYFUNCTION("unique(filter(W:W,U:U=R343))"),"Krishna")</f>
        <v>Krishna</v>
      </c>
      <c r="O343" s="138" t="s">
        <v>8845</v>
      </c>
      <c r="P343" s="138" t="s">
        <v>8930</v>
      </c>
      <c r="Q343" s="138" t="str">
        <f ca="1">IFERROR(__xludf.DUMMYFUNCTION("filter(I:I,J:J=P343,G:G=O343)"),"Pamarru (Sc)")</f>
        <v>Pamarru (Sc)</v>
      </c>
      <c r="R343" s="138" t="s">
        <v>8585</v>
      </c>
      <c r="U343" s="138" t="s">
        <v>8914</v>
      </c>
      <c r="V343" s="138" t="s">
        <v>8927</v>
      </c>
      <c r="W343" s="138" t="str">
        <f ca="1">IFERROR(__xludf.DUMMYFUNCTION("filter(H:H,I:I=U343,J:J=V343)"),"Tirupati")</f>
        <v>Tirupati</v>
      </c>
    </row>
    <row r="344" spans="7:23">
      <c r="G344" s="138" t="e">
        <v>#N/A</v>
      </c>
      <c r="H344" s="138" t="e">
        <v>#N/A</v>
      </c>
      <c r="I344" s="138" t="s">
        <v>8914</v>
      </c>
      <c r="J344" s="138" t="e">
        <v>#N/A</v>
      </c>
      <c r="K344" s="138" t="str">
        <f ca="1">IFERROR(__xludf.DUMMYFUNCTION("unique(filter(R:R,R:R=I344))"),"Sullurpeta (Sc)")</f>
        <v>Sullurpeta (Sc)</v>
      </c>
      <c r="N344" s="138" t="str">
        <f ca="1">IFERROR(__xludf.DUMMYFUNCTION("unique(filter(W:W,U:U=R344))"),"NTR")</f>
        <v>NTR</v>
      </c>
      <c r="O344" s="138" t="s">
        <v>8845</v>
      </c>
      <c r="P344" s="138" t="s">
        <v>8931</v>
      </c>
      <c r="Q344" s="138" t="str">
        <f ca="1">IFERROR(__xludf.DUMMYFUNCTION("filter(I:I,J:J=P344,G:G=O344)"),"Tiruvuru (Sc)")</f>
        <v>Tiruvuru (Sc)</v>
      </c>
      <c r="R344" s="138" t="s">
        <v>8847</v>
      </c>
      <c r="U344" s="138" t="s">
        <v>8914</v>
      </c>
      <c r="V344" s="138" t="s">
        <v>8929</v>
      </c>
      <c r="W344" s="138" t="str">
        <f ca="1">IFERROR(__xludf.DUMMYFUNCTION("filter(H:H,I:I=U344,J:J=V344)"),"Tirupati")</f>
        <v>Tirupati</v>
      </c>
    </row>
    <row r="345" spans="7:23">
      <c r="G345" s="138" t="s">
        <v>8881</v>
      </c>
      <c r="H345" s="138" t="s">
        <v>379</v>
      </c>
      <c r="I345" s="138" t="s">
        <v>8932</v>
      </c>
      <c r="J345" s="138" t="s">
        <v>8634</v>
      </c>
      <c r="K345" s="138" t="str">
        <f ca="1">IFERROR(__xludf.DUMMYFUNCTION("unique(filter(R:R,R:R=I345))"),"Gudur (Sc)")</f>
        <v>Gudur (Sc)</v>
      </c>
      <c r="N345" s="138" t="str">
        <f ca="1">IFERROR(__xludf.DUMMYFUNCTION("unique(filter(W:W,U:U=R345))"),"Krishna")</f>
        <v>Krishna</v>
      </c>
      <c r="O345" s="138" t="s">
        <v>8845</v>
      </c>
      <c r="P345" s="138" t="s">
        <v>8933</v>
      </c>
      <c r="Q345" s="138" t="str">
        <f ca="1">IFERROR(__xludf.DUMMYFUNCTION("filter(I:I,J:J=P345,G:G=O345)"),"Gannavaram")</f>
        <v>Gannavaram</v>
      </c>
      <c r="R345" s="138" t="s">
        <v>8856</v>
      </c>
    </row>
    <row r="346" spans="7:23">
      <c r="G346" s="138" t="s">
        <v>8881</v>
      </c>
      <c r="H346" s="138" t="s">
        <v>379</v>
      </c>
      <c r="I346" s="138" t="s">
        <v>8932</v>
      </c>
      <c r="J346" s="138" t="s">
        <v>8636</v>
      </c>
      <c r="K346" s="138" t="str">
        <f ca="1">IFERROR(__xludf.DUMMYFUNCTION("unique(filter(R:R,R:R=I346))"),"Gudur (Sc)")</f>
        <v>Gudur (Sc)</v>
      </c>
      <c r="N346" s="138" t="str">
        <f ca="1">IFERROR(__xludf.DUMMYFUNCTION("unique(filter(W:W,U:U=R346))"),"NTR")</f>
        <v>NTR</v>
      </c>
      <c r="O346" s="138" t="s">
        <v>8845</v>
      </c>
      <c r="P346" s="138" t="s">
        <v>8934</v>
      </c>
      <c r="Q346" s="138" t="str">
        <f ca="1">IFERROR(__xludf.DUMMYFUNCTION("filter(I:I,J:J=P346,G:G=O346)"),"Jaggayyapeta")</f>
        <v>Jaggayyapeta</v>
      </c>
      <c r="R346" s="138" t="s">
        <v>8877</v>
      </c>
      <c r="U346" s="138" t="s">
        <v>8932</v>
      </c>
      <c r="V346" s="138" t="s">
        <v>8634</v>
      </c>
      <c r="W346" s="138" t="str">
        <f ca="1">IFERROR(__xludf.DUMMYFUNCTION("filter(H:H,I:I=U346,J:J=V346)"),"Tirupati")</f>
        <v>Tirupati</v>
      </c>
    </row>
    <row r="347" spans="7:23">
      <c r="G347" s="138" t="s">
        <v>8881</v>
      </c>
      <c r="H347" s="138" t="s">
        <v>379</v>
      </c>
      <c r="I347" s="138" t="s">
        <v>8932</v>
      </c>
      <c r="J347" s="138" t="s">
        <v>8935</v>
      </c>
      <c r="K347" s="138" t="str">
        <f ca="1">IFERROR(__xludf.DUMMYFUNCTION("unique(filter(R:R,R:R=I347))"),"Gudur (Sc)")</f>
        <v>Gudur (Sc)</v>
      </c>
      <c r="N347" s="138" t="str">
        <f ca="1">IFERROR(__xludf.DUMMYFUNCTION("unique(filter(W:W,U:U=R347))"),"NTR")</f>
        <v>NTR</v>
      </c>
      <c r="O347" s="138" t="s">
        <v>8845</v>
      </c>
      <c r="P347" s="138" t="s">
        <v>8936</v>
      </c>
      <c r="Q347" s="138" t="str">
        <f ca="1">IFERROR(__xludf.DUMMYFUNCTION("filter(I:I,J:J=P347,G:G=O347)"),"Nandigama (Sc)")</f>
        <v>Nandigama (Sc)</v>
      </c>
      <c r="R347" s="138" t="s">
        <v>8861</v>
      </c>
      <c r="U347" s="138" t="s">
        <v>8932</v>
      </c>
      <c r="V347" s="138" t="s">
        <v>8636</v>
      </c>
      <c r="W347" s="138" t="str">
        <f ca="1">IFERROR(__xludf.DUMMYFUNCTION("filter(H:H,I:I=U347,J:J=V347)"),"Tirupati")</f>
        <v>Tirupati</v>
      </c>
    </row>
    <row r="348" spans="7:23">
      <c r="G348" s="138" t="s">
        <v>8881</v>
      </c>
      <c r="H348" s="138" t="s">
        <v>379</v>
      </c>
      <c r="I348" s="138" t="s">
        <v>8932</v>
      </c>
      <c r="J348" s="138" t="s">
        <v>8937</v>
      </c>
      <c r="K348" s="138" t="str">
        <f ca="1">IFERROR(__xludf.DUMMYFUNCTION("unique(filter(R:R,R:R=I348))"),"Gudur (Sc)")</f>
        <v>Gudur (Sc)</v>
      </c>
      <c r="N348" s="138" t="str">
        <f ca="1">IFERROR(__xludf.DUMMYFUNCTION("unique(filter(W:W,U:U=R348))"),"NTR")</f>
        <v>NTR</v>
      </c>
      <c r="O348" s="138" t="s">
        <v>8845</v>
      </c>
      <c r="P348" s="138" t="s">
        <v>8938</v>
      </c>
      <c r="Q348" s="138" t="str">
        <f ca="1">IFERROR(__xludf.DUMMYFUNCTION("filter(I:I,J:J=P348,G:G=O348)"),"#REF!")</f>
        <v>#REF!</v>
      </c>
      <c r="R348" s="138" t="s">
        <v>8939</v>
      </c>
      <c r="U348" s="138" t="s">
        <v>8932</v>
      </c>
      <c r="V348" s="138" t="s">
        <v>8935</v>
      </c>
      <c r="W348" s="138" t="str">
        <f ca="1">IFERROR(__xludf.DUMMYFUNCTION("filter(H:H,I:I=U348,J:J=V348)"),"Tirupati")</f>
        <v>Tirupati</v>
      </c>
    </row>
    <row r="349" spans="7:23">
      <c r="G349" s="138" t="s">
        <v>8881</v>
      </c>
      <c r="H349" s="138" t="s">
        <v>379</v>
      </c>
      <c r="I349" s="138" t="s">
        <v>8932</v>
      </c>
      <c r="J349" s="138" t="s">
        <v>8940</v>
      </c>
      <c r="K349" s="138" t="str">
        <f ca="1">IFERROR(__xludf.DUMMYFUNCTION("unique(filter(R:R,R:R=I349))"),"Gudur (Sc)")</f>
        <v>Gudur (Sc)</v>
      </c>
      <c r="N349" s="138" t="str">
        <f ca="1">IFERROR(__xludf.DUMMYFUNCTION("unique(filter(W:W,U:U=R349))"),"NTR")</f>
        <v>NTR</v>
      </c>
      <c r="O349" s="138" t="s">
        <v>8845</v>
      </c>
      <c r="P349" s="138" t="s">
        <v>8941</v>
      </c>
      <c r="Q349" s="138" t="str">
        <f ca="1">IFERROR(__xludf.DUMMYFUNCTION("filter(I:I,J:J=P349,G:G=O349)"),"#N/A")</f>
        <v>#N/A</v>
      </c>
      <c r="R349" s="138" t="s">
        <v>8942</v>
      </c>
      <c r="U349" s="138" t="s">
        <v>8932</v>
      </c>
      <c r="V349" s="138" t="s">
        <v>8937</v>
      </c>
      <c r="W349" s="138" t="str">
        <f ca="1">IFERROR(__xludf.DUMMYFUNCTION("filter(H:H,I:I=U349,J:J=V349)"),"Tirupati")</f>
        <v>Tirupati</v>
      </c>
    </row>
    <row r="350" spans="7:23">
      <c r="G350" s="138" t="s">
        <v>8881</v>
      </c>
      <c r="H350" s="138" t="s">
        <v>379</v>
      </c>
      <c r="I350" s="138" t="s">
        <v>8932</v>
      </c>
      <c r="J350" s="138" t="s">
        <v>8943</v>
      </c>
      <c r="K350" s="138" t="str">
        <f ca="1">IFERROR(__xludf.DUMMYFUNCTION("unique(filter(R:R,R:R=I350))"),"Gudur (Sc)")</f>
        <v>Gudur (Sc)</v>
      </c>
      <c r="N350" s="138" t="str">
        <f ca="1">IFERROR(__xludf.DUMMYFUNCTION("unique(filter(W:W,U:U=R350))"),"NTR")</f>
        <v>NTR</v>
      </c>
      <c r="O350" s="138" t="s">
        <v>8845</v>
      </c>
      <c r="P350" s="138" t="s">
        <v>8944</v>
      </c>
      <c r="Q350" s="138" t="str">
        <f ca="1">IFERROR(__xludf.DUMMYFUNCTION("filter(I:I,J:J=P350,G:G=O350)"),"Tiruvuru (Sc)")</f>
        <v>Tiruvuru (Sc)</v>
      </c>
      <c r="R350" s="138" t="s">
        <v>8847</v>
      </c>
      <c r="U350" s="138" t="s">
        <v>8932</v>
      </c>
      <c r="V350" s="138" t="s">
        <v>8940</v>
      </c>
      <c r="W350" s="138" t="str">
        <f ca="1">IFERROR(__xludf.DUMMYFUNCTION("filter(H:H,I:I=U350,J:J=V350)"),"Tirupati")</f>
        <v>Tirupati</v>
      </c>
    </row>
    <row r="351" spans="7:23">
      <c r="G351" s="138" t="e">
        <v>#N/A</v>
      </c>
      <c r="H351" s="138" t="e">
        <v>#N/A</v>
      </c>
      <c r="I351" s="138" t="s">
        <v>8932</v>
      </c>
      <c r="J351" s="138" t="e">
        <v>#N/A</v>
      </c>
      <c r="K351" s="138" t="str">
        <f ca="1">IFERROR(__xludf.DUMMYFUNCTION("unique(filter(R:R,R:R=I351))"),"Gudur (Sc)")</f>
        <v>Gudur (Sc)</v>
      </c>
      <c r="N351" s="138" t="str">
        <f ca="1">IFERROR(__xludf.DUMMYFUNCTION("unique(filter(W:W,U:U=R351))"),"Krishna")</f>
        <v>Krishna</v>
      </c>
      <c r="O351" s="138" t="s">
        <v>8845</v>
      </c>
      <c r="P351" s="138" t="s">
        <v>8945</v>
      </c>
      <c r="Q351" s="138" t="str">
        <f ca="1">IFERROR(__xludf.DUMMYFUNCTION("filter(I:I,J:J=P351,G:G=O351)"),"Penamaluru")</f>
        <v>Penamaluru</v>
      </c>
      <c r="R351" s="138" t="s">
        <v>8888</v>
      </c>
      <c r="U351" s="138" t="s">
        <v>8932</v>
      </c>
      <c r="V351" s="138" t="s">
        <v>8943</v>
      </c>
      <c r="W351" s="138" t="str">
        <f ca="1">IFERROR(__xludf.DUMMYFUNCTION("filter(H:H,I:I=U351,J:J=V351)"),"Tirupati")</f>
        <v>Tirupati</v>
      </c>
    </row>
    <row r="352" spans="7:23">
      <c r="G352" s="138" t="s">
        <v>8881</v>
      </c>
      <c r="H352" s="138" t="s">
        <v>8881</v>
      </c>
      <c r="I352" s="138" t="s">
        <v>8946</v>
      </c>
      <c r="J352" s="138" t="s">
        <v>8947</v>
      </c>
      <c r="K352" s="138" t="str">
        <f ca="1">IFERROR(__xludf.DUMMYFUNCTION("unique(filter(R:R,R:R=I352))"),"Sarvepalli")</f>
        <v>Sarvepalli</v>
      </c>
      <c r="N352" s="138" t="str">
        <f ca="1">IFERROR(__xludf.DUMMYFUNCTION("unique(filter(W:W,U:U=R352))"),"Kurnool")</f>
        <v>Kurnool</v>
      </c>
      <c r="O352" s="138" t="s">
        <v>8948</v>
      </c>
      <c r="P352" s="138" t="s">
        <v>8949</v>
      </c>
      <c r="Q352" s="138" t="str">
        <f ca="1">IFERROR(__xludf.DUMMYFUNCTION("filter(I:I,J:J=P352,G:G=O352)"),"Adoni")</f>
        <v>Adoni</v>
      </c>
      <c r="R352" s="138" t="s">
        <v>8610</v>
      </c>
    </row>
    <row r="353" spans="7:23">
      <c r="G353" s="138" t="s">
        <v>8881</v>
      </c>
      <c r="H353" s="138" t="s">
        <v>8881</v>
      </c>
      <c r="I353" s="138" t="s">
        <v>8946</v>
      </c>
      <c r="J353" s="138" t="s">
        <v>8950</v>
      </c>
      <c r="K353" s="138" t="str">
        <f ca="1">IFERROR(__xludf.DUMMYFUNCTION("unique(filter(R:R,R:R=I353))"),"Sarvepalli")</f>
        <v>Sarvepalli</v>
      </c>
      <c r="N353" s="138" t="str">
        <f ca="1">IFERROR(__xludf.DUMMYFUNCTION("unique(filter(W:W,U:U=R353))"),"Nandyal")</f>
        <v>Nandyal</v>
      </c>
      <c r="O353" s="138" t="s">
        <v>8948</v>
      </c>
      <c r="P353" s="138" t="s">
        <v>8951</v>
      </c>
      <c r="Q353" s="138" t="str">
        <f ca="1">IFERROR(__xludf.DUMMYFUNCTION("filter(I:I,J:J=P353,G:G=O353)"),"Allagadda")</f>
        <v>Allagadda</v>
      </c>
      <c r="R353" s="138" t="s">
        <v>8725</v>
      </c>
      <c r="U353" s="138" t="s">
        <v>8946</v>
      </c>
      <c r="V353" s="138" t="s">
        <v>8947</v>
      </c>
      <c r="W353" s="138" t="str">
        <f ca="1">IFERROR(__xludf.DUMMYFUNCTION("filter(H:H,I:I=U353,J:J=V353)"),"Nellore")</f>
        <v>Nellore</v>
      </c>
    </row>
    <row r="354" spans="7:23">
      <c r="G354" s="138" t="s">
        <v>8881</v>
      </c>
      <c r="H354" s="138" t="s">
        <v>8881</v>
      </c>
      <c r="I354" s="138" t="s">
        <v>8946</v>
      </c>
      <c r="J354" s="138" t="s">
        <v>8952</v>
      </c>
      <c r="K354" s="138" t="str">
        <f ca="1">IFERROR(__xludf.DUMMYFUNCTION("unique(filter(R:R,R:R=I354))"),"Sarvepalli")</f>
        <v>Sarvepalli</v>
      </c>
      <c r="N354" s="138" t="str">
        <f ca="1">IFERROR(__xludf.DUMMYFUNCTION("unique(filter(W:W,U:U=R354))"),"Kurnool")</f>
        <v>Kurnool</v>
      </c>
      <c r="O354" s="138" t="s">
        <v>8948</v>
      </c>
      <c r="P354" s="138" t="s">
        <v>8953</v>
      </c>
      <c r="Q354" s="138" t="str">
        <f ca="1">IFERROR(__xludf.DUMMYFUNCTION("filter(I:I,J:J=P354,G:G=O354)"),"Alur")</f>
        <v>Alur</v>
      </c>
      <c r="R354" s="138" t="s">
        <v>8598</v>
      </c>
      <c r="U354" s="138" t="s">
        <v>8946</v>
      </c>
      <c r="V354" s="138" t="s">
        <v>8950</v>
      </c>
      <c r="W354" s="138" t="str">
        <f ca="1">IFERROR(__xludf.DUMMYFUNCTION("filter(H:H,I:I=U354,J:J=V354)"),"Nellore")</f>
        <v>Nellore</v>
      </c>
    </row>
    <row r="355" spans="7:23">
      <c r="G355" s="138" t="s">
        <v>8881</v>
      </c>
      <c r="H355" s="138" t="s">
        <v>8881</v>
      </c>
      <c r="I355" s="138" t="s">
        <v>8946</v>
      </c>
      <c r="J355" s="138" t="s">
        <v>8954</v>
      </c>
      <c r="K355" s="138" t="str">
        <f ca="1">IFERROR(__xludf.DUMMYFUNCTION("unique(filter(R:R,R:R=I355))"),"Sarvepalli")</f>
        <v>Sarvepalli</v>
      </c>
      <c r="N355" s="138" t="str">
        <f ca="1">IFERROR(__xludf.DUMMYFUNCTION("unique(filter(W:W,U:U=R355))"),"Kurnool")</f>
        <v>Kurnool</v>
      </c>
      <c r="O355" s="138" t="s">
        <v>8948</v>
      </c>
      <c r="P355" s="138" t="s">
        <v>8955</v>
      </c>
      <c r="Q355" s="138" t="str">
        <f ca="1">IFERROR(__xludf.DUMMYFUNCTION("filter(I:I,J:J=P355,G:G=O355)"),"Alur")</f>
        <v>Alur</v>
      </c>
      <c r="R355" s="138" t="s">
        <v>8598</v>
      </c>
      <c r="U355" s="138" t="s">
        <v>8946</v>
      </c>
      <c r="V355" s="138" t="s">
        <v>8952</v>
      </c>
      <c r="W355" s="138" t="str">
        <f ca="1">IFERROR(__xludf.DUMMYFUNCTION("filter(H:H,I:I=U355,J:J=V355)"),"Nellore")</f>
        <v>Nellore</v>
      </c>
    </row>
    <row r="356" spans="7:23">
      <c r="G356" s="138" t="s">
        <v>8881</v>
      </c>
      <c r="H356" s="138" t="s">
        <v>8881</v>
      </c>
      <c r="I356" s="138" t="s">
        <v>8946</v>
      </c>
      <c r="J356" s="138" t="s">
        <v>8956</v>
      </c>
      <c r="K356" s="138" t="str">
        <f ca="1">IFERROR(__xludf.DUMMYFUNCTION("unique(filter(R:R,R:R=I356))"),"Sarvepalli")</f>
        <v>Sarvepalli</v>
      </c>
      <c r="N356" s="138" t="str">
        <f ca="1">IFERROR(__xludf.DUMMYFUNCTION("unique(filter(W:W,U:U=R356))"),"Nandyal")</f>
        <v>Nandyal</v>
      </c>
      <c r="O356" s="138" t="s">
        <v>8948</v>
      </c>
      <c r="P356" s="138" t="s">
        <v>8957</v>
      </c>
      <c r="Q356" s="138" t="str">
        <f ca="1">IFERROR(__xludf.DUMMYFUNCTION("filter(I:I,J:J=P356,G:G=O356)"),"#N/A")</f>
        <v>#N/A</v>
      </c>
      <c r="R356" s="138" t="s">
        <v>8713</v>
      </c>
      <c r="U356" s="138" t="s">
        <v>8946</v>
      </c>
      <c r="V356" s="138" t="s">
        <v>8954</v>
      </c>
      <c r="W356" s="138" t="str">
        <f ca="1">IFERROR(__xludf.DUMMYFUNCTION("filter(H:H,I:I=U356,J:J=V356)"),"Nellore")</f>
        <v>Nellore</v>
      </c>
    </row>
    <row r="357" spans="7:23">
      <c r="G357" s="138" t="e">
        <v>#N/A</v>
      </c>
      <c r="H357" s="138" t="e">
        <v>#N/A</v>
      </c>
      <c r="I357" s="138" t="s">
        <v>8946</v>
      </c>
      <c r="J357" s="138" t="e">
        <v>#N/A</v>
      </c>
      <c r="K357" s="138" t="str">
        <f ca="1">IFERROR(__xludf.DUMMYFUNCTION("unique(filter(R:R,R:R=I357))"),"Sarvepalli")</f>
        <v>Sarvepalli</v>
      </c>
      <c r="N357" s="138" t="str">
        <f ca="1">IFERROR(__xludf.DUMMYFUNCTION("unique(filter(W:W,U:U=R357))"),"Nandyal")</f>
        <v>Nandyal</v>
      </c>
      <c r="O357" s="138" t="s">
        <v>8948</v>
      </c>
      <c r="P357" s="138" t="s">
        <v>8958</v>
      </c>
      <c r="Q357" s="138" t="str">
        <f ca="1">IFERROR(__xludf.DUMMYFUNCTION("filter(I:I,J:J=P357,G:G=O357)"),"Banaganapalle")</f>
        <v>Banaganapalle</v>
      </c>
      <c r="R357" s="138" t="s">
        <v>8667</v>
      </c>
      <c r="U357" s="138" t="s">
        <v>8946</v>
      </c>
      <c r="V357" s="138" t="s">
        <v>8956</v>
      </c>
      <c r="W357" s="138" t="str">
        <f ca="1">IFERROR(__xludf.DUMMYFUNCTION("filter(H:H,I:I=U357,J:J=V357)"),"Nellore")</f>
        <v>Nellore</v>
      </c>
    </row>
    <row r="358" spans="7:23">
      <c r="G358" s="138" t="s">
        <v>8881</v>
      </c>
      <c r="H358" s="138" t="s">
        <v>8881</v>
      </c>
      <c r="I358" s="138" t="s">
        <v>8959</v>
      </c>
      <c r="J358" s="138" t="s">
        <v>8881</v>
      </c>
      <c r="K358" s="138" t="str">
        <f ca="1">IFERROR(__xludf.DUMMYFUNCTION("unique(filter(R:R,R:R=I358))"),"Nellore Rural")</f>
        <v>Nellore Rural</v>
      </c>
      <c r="N358" s="138" t="str">
        <f ca="1">IFERROR(__xludf.DUMMYFUNCTION("unique(filter(W:W,U:U=R358))"),"Nandyal")</f>
        <v>Nandyal</v>
      </c>
      <c r="O358" s="138" t="s">
        <v>8948</v>
      </c>
      <c r="P358" s="138" t="s">
        <v>8960</v>
      </c>
      <c r="Q358" s="138" t="str">
        <f ca="1">IFERROR(__xludf.DUMMYFUNCTION("filter(I:I,J:J=P358,G:G=O358)"),"Srisailam")</f>
        <v>Srisailam</v>
      </c>
      <c r="R358" s="138" t="s">
        <v>8713</v>
      </c>
    </row>
    <row r="359" spans="7:23">
      <c r="G359" s="138" t="s">
        <v>8881</v>
      </c>
      <c r="H359" s="138" t="s">
        <v>8881</v>
      </c>
      <c r="I359" s="138" t="s">
        <v>8959</v>
      </c>
      <c r="J359" s="138" t="s">
        <v>8961</v>
      </c>
      <c r="K359" s="138" t="str">
        <f ca="1">IFERROR(__xludf.DUMMYFUNCTION("unique(filter(R:R,R:R=I359))"),"Nellore Rural")</f>
        <v>Nellore Rural</v>
      </c>
      <c r="N359" s="138" t="str">
        <f ca="1">IFERROR(__xludf.DUMMYFUNCTION("unique(filter(W:W,U:U=R359))"),"Nandyal")</f>
        <v>Nandyal</v>
      </c>
      <c r="O359" s="138" t="s">
        <v>8948</v>
      </c>
      <c r="P359" s="138" t="s">
        <v>8962</v>
      </c>
      <c r="Q359" s="138" t="str">
        <f ca="1">IFERROR(__xludf.DUMMYFUNCTION("filter(I:I,J:J=P359,G:G=O359)"),"Dhone")</f>
        <v>Dhone</v>
      </c>
      <c r="R359" s="138" t="s">
        <v>8654</v>
      </c>
      <c r="U359" s="138" t="s">
        <v>8959</v>
      </c>
      <c r="V359" s="138" t="s">
        <v>8881</v>
      </c>
      <c r="W359" s="138" t="str">
        <f ca="1">IFERROR(__xludf.DUMMYFUNCTION("filter(H:H,I:I=U359,J:J=V359)"),"Nellore")</f>
        <v>Nellore</v>
      </c>
    </row>
    <row r="360" spans="7:23">
      <c r="G360" s="138" t="e">
        <v>#N/A</v>
      </c>
      <c r="H360" s="138" t="e">
        <v>#N/A</v>
      </c>
      <c r="I360" s="138" t="s">
        <v>8959</v>
      </c>
      <c r="J360" s="138" t="e">
        <v>#N/A</v>
      </c>
      <c r="K360" s="138" t="str">
        <f ca="1">IFERROR(__xludf.DUMMYFUNCTION("unique(filter(R:R,R:R=I360))"),"Nellore Rural")</f>
        <v>Nellore Rural</v>
      </c>
      <c r="N360" s="138" t="str">
        <f ca="1">IFERROR(__xludf.DUMMYFUNCTION("unique(filter(W:W,U:U=R360))"),"Kurnool")</f>
        <v>Kurnool</v>
      </c>
      <c r="O360" s="138" t="s">
        <v>8948</v>
      </c>
      <c r="P360" s="138" t="s">
        <v>8963</v>
      </c>
      <c r="Q360" s="138" t="str">
        <f ca="1">IFERROR(__xludf.DUMMYFUNCTION("filter(I:I,J:J=P360,G:G=O360)"),"Kodumur (Sc)")</f>
        <v>Kodumur (Sc)</v>
      </c>
      <c r="R360" s="138" t="s">
        <v>8626</v>
      </c>
      <c r="U360" s="138" t="s">
        <v>8959</v>
      </c>
      <c r="V360" s="138" t="s">
        <v>8961</v>
      </c>
      <c r="W360" s="138" t="str">
        <f ca="1">IFERROR(__xludf.DUMMYFUNCTION("filter(H:H,I:I=U360,J:J=V360)"),"Nellore")</f>
        <v>Nellore</v>
      </c>
    </row>
    <row r="361" spans="7:23">
      <c r="G361" s="138" t="s">
        <v>8881</v>
      </c>
      <c r="H361" s="138" t="s">
        <v>8881</v>
      </c>
      <c r="I361" s="138" t="s">
        <v>8964</v>
      </c>
      <c r="J361" s="138" t="s">
        <v>8961</v>
      </c>
      <c r="K361" s="138" t="str">
        <f ca="1">IFERROR(__xludf.DUMMYFUNCTION("unique(filter(R:R,R:R=I361))"),"#N/A")</f>
        <v>#N/A</v>
      </c>
      <c r="N361" s="138" t="str">
        <f ca="1">IFERROR(__xludf.DUMMYFUNCTION("unique(filter(W:W,U:U=R361))"),"Nandyal")</f>
        <v>Nandyal</v>
      </c>
      <c r="O361" s="138" t="s">
        <v>8948</v>
      </c>
      <c r="P361" s="138" t="s">
        <v>8965</v>
      </c>
      <c r="Q361" s="138" t="str">
        <f ca="1">IFERROR(__xludf.DUMMYFUNCTION("filter(I:I,J:J=P361,G:G=O361)"),"Allagadda")</f>
        <v>Allagadda</v>
      </c>
      <c r="R361" s="138" t="s">
        <v>8725</v>
      </c>
    </row>
    <row r="362" spans="7:23">
      <c r="G362" s="138" t="s">
        <v>8881</v>
      </c>
      <c r="H362" s="138" t="s">
        <v>8881</v>
      </c>
      <c r="I362" s="138" t="s">
        <v>8966</v>
      </c>
      <c r="J362" s="138" t="s">
        <v>8967</v>
      </c>
      <c r="K362" s="138" t="str">
        <f ca="1">IFERROR(__xludf.DUMMYFUNCTION("unique(filter(R:R,R:R=I362))"),"Kovur")</f>
        <v>Kovur</v>
      </c>
      <c r="N362" s="138" t="str">
        <f ca="1">IFERROR(__xludf.DUMMYFUNCTION("unique(filter(W:W,U:U=R362))"),"Kurnool")</f>
        <v>Kurnool</v>
      </c>
      <c r="O362" s="138" t="s">
        <v>8948</v>
      </c>
      <c r="P362" s="138" t="s">
        <v>8968</v>
      </c>
      <c r="Q362" s="138" t="str">
        <f ca="1">IFERROR(__xludf.DUMMYFUNCTION("filter(I:I,J:J=P362,G:G=O362)"),"Alur")</f>
        <v>Alur</v>
      </c>
      <c r="R362" s="138" t="s">
        <v>8598</v>
      </c>
      <c r="U362" s="138" t="s">
        <v>8964</v>
      </c>
      <c r="V362" s="138" t="s">
        <v>8961</v>
      </c>
      <c r="W362" s="138" t="str">
        <f ca="1">IFERROR(__xludf.DUMMYFUNCTION("filter(H:H,I:I=U362,J:J=V362)"),"Nellore")</f>
        <v>Nellore</v>
      </c>
    </row>
    <row r="363" spans="7:23">
      <c r="G363" s="138" t="s">
        <v>8881</v>
      </c>
      <c r="H363" s="138" t="s">
        <v>8881</v>
      </c>
      <c r="I363" s="138" t="s">
        <v>8966</v>
      </c>
      <c r="J363" s="138" t="s">
        <v>8969</v>
      </c>
      <c r="K363" s="138" t="str">
        <f ca="1">IFERROR(__xludf.DUMMYFUNCTION("unique(filter(R:R,R:R=I363))"),"Kovur")</f>
        <v>Kovur</v>
      </c>
      <c r="N363" s="138" t="str">
        <f ca="1">IFERROR(__xludf.DUMMYFUNCTION("unique(filter(W:W,U:U=R363))"),"Kurnool")</f>
        <v>Kurnool</v>
      </c>
      <c r="O363" s="138" t="s">
        <v>8948</v>
      </c>
      <c r="P363" s="138" t="s">
        <v>8970</v>
      </c>
      <c r="Q363" s="138" t="str">
        <f ca="1">IFERROR(__xludf.DUMMYFUNCTION("filter(I:I,J:J=P363,G:G=O363)"),"Alur")</f>
        <v>Alur</v>
      </c>
      <c r="R363" s="138" t="s">
        <v>8598</v>
      </c>
      <c r="U363" s="138" t="s">
        <v>8966</v>
      </c>
      <c r="V363" s="138" t="s">
        <v>8967</v>
      </c>
      <c r="W363" s="138" t="str">
        <f ca="1">IFERROR(__xludf.DUMMYFUNCTION("filter(H:H,I:I=U363,J:J=V363)"),"Nellore")</f>
        <v>Nellore</v>
      </c>
    </row>
    <row r="364" spans="7:23">
      <c r="G364" s="138" t="s">
        <v>8881</v>
      </c>
      <c r="H364" s="138" t="s">
        <v>8881</v>
      </c>
      <c r="I364" s="138" t="s">
        <v>8966</v>
      </c>
      <c r="J364" s="138" t="s">
        <v>8966</v>
      </c>
      <c r="K364" s="138" t="str">
        <f ca="1">IFERROR(__xludf.DUMMYFUNCTION("unique(filter(R:R,R:R=I364))"),"Kovur")</f>
        <v>Kovur</v>
      </c>
      <c r="N364" s="138" t="str">
        <f ca="1">IFERROR(__xludf.DUMMYFUNCTION("unique(filter(W:W,U:U=R364))"),"Nandyal")</f>
        <v>Nandyal</v>
      </c>
      <c r="O364" s="138" t="s">
        <v>8948</v>
      </c>
      <c r="P364" s="138" t="s">
        <v>8971</v>
      </c>
      <c r="Q364" s="138" t="str">
        <f ca="1">IFERROR(__xludf.DUMMYFUNCTION("filter(I:I,J:J=P364,G:G=O364)"),"Dhone")</f>
        <v>Dhone</v>
      </c>
      <c r="R364" s="138" t="s">
        <v>8654</v>
      </c>
      <c r="U364" s="138" t="s">
        <v>8966</v>
      </c>
      <c r="V364" s="138" t="s">
        <v>8969</v>
      </c>
      <c r="W364" s="138" t="str">
        <f ca="1">IFERROR(__xludf.DUMMYFUNCTION("filter(H:H,I:I=U364,J:J=V364)"),"Nellore")</f>
        <v>Nellore</v>
      </c>
    </row>
    <row r="365" spans="7:23">
      <c r="G365" s="138" t="s">
        <v>8881</v>
      </c>
      <c r="H365" s="138" t="s">
        <v>8881</v>
      </c>
      <c r="I365" s="138" t="s">
        <v>8966</v>
      </c>
      <c r="J365" s="138" t="s">
        <v>8972</v>
      </c>
      <c r="K365" s="138" t="str">
        <f ca="1">IFERROR(__xludf.DUMMYFUNCTION("unique(filter(R:R,R:R=I365))"),"Kovur")</f>
        <v>Kovur</v>
      </c>
      <c r="N365" s="138" t="str">
        <f ca="1">IFERROR(__xludf.DUMMYFUNCTION("unique(filter(W:W,U:U=R365))"),"Nandyal")</f>
        <v>Nandyal</v>
      </c>
      <c r="O365" s="138" t="s">
        <v>8948</v>
      </c>
      <c r="P365" s="138" t="s">
        <v>8973</v>
      </c>
      <c r="Q365" s="138" t="str">
        <f ca="1">IFERROR(__xludf.DUMMYFUNCTION("filter(I:I,J:J=P365,G:G=O365)"),"Allagadda")</f>
        <v>Allagadda</v>
      </c>
      <c r="R365" s="138" t="s">
        <v>8725</v>
      </c>
      <c r="U365" s="138" t="s">
        <v>8966</v>
      </c>
      <c r="V365" s="138" t="s">
        <v>8966</v>
      </c>
      <c r="W365" s="138" t="str">
        <f ca="1">IFERROR(__xludf.DUMMYFUNCTION("filter(H:H,I:I=U365,J:J=V365)"),"Nellore")</f>
        <v>Nellore</v>
      </c>
    </row>
    <row r="366" spans="7:23">
      <c r="G366" s="138" t="s">
        <v>8881</v>
      </c>
      <c r="H366" s="138" t="s">
        <v>8881</v>
      </c>
      <c r="I366" s="138" t="s">
        <v>8966</v>
      </c>
      <c r="J366" s="138" t="s">
        <v>8974</v>
      </c>
      <c r="K366" s="138" t="str">
        <f ca="1">IFERROR(__xludf.DUMMYFUNCTION("unique(filter(R:R,R:R=I366))"),"Kovur")</f>
        <v>Kovur</v>
      </c>
      <c r="N366" s="138" t="str">
        <f ca="1">IFERROR(__xludf.DUMMYFUNCTION("unique(filter(W:W,U:U=R366))"),"Nandyal")</f>
        <v>Nandyal</v>
      </c>
      <c r="O366" s="138" t="s">
        <v>8948</v>
      </c>
      <c r="P366" s="138" t="s">
        <v>8975</v>
      </c>
      <c r="Q366" s="138" t="str">
        <f ca="1">IFERROR(__xludf.DUMMYFUNCTION("filter(I:I,J:J=P366,G:G=O366)"),"Panyam")</f>
        <v>Panyam</v>
      </c>
      <c r="R366" s="138" t="s">
        <v>8684</v>
      </c>
      <c r="U366" s="138" t="s">
        <v>8966</v>
      </c>
      <c r="V366" s="138" t="s">
        <v>8972</v>
      </c>
      <c r="W366" s="138" t="str">
        <f ca="1">IFERROR(__xludf.DUMMYFUNCTION("filter(H:H,I:I=U366,J:J=V366)"),"Nellore")</f>
        <v>Nellore</v>
      </c>
    </row>
    <row r="367" spans="7:23">
      <c r="G367" s="138" t="s">
        <v>8881</v>
      </c>
      <c r="H367" s="138" t="s">
        <v>8881</v>
      </c>
      <c r="I367" s="138" t="s">
        <v>8966</v>
      </c>
      <c r="J367" s="138" t="s">
        <v>8976</v>
      </c>
      <c r="K367" s="138" t="str">
        <f ca="1">IFERROR(__xludf.DUMMYFUNCTION("unique(filter(R:R,R:R=I367))"),"Kovur")</f>
        <v>Kovur</v>
      </c>
      <c r="N367" s="138" t="str">
        <f ca="1">IFERROR(__xludf.DUMMYFUNCTION("unique(filter(W:W,U:U=R367))"),"Kurnool")</f>
        <v>Kurnool</v>
      </c>
      <c r="O367" s="138" t="s">
        <v>8948</v>
      </c>
      <c r="P367" s="138" t="s">
        <v>8977</v>
      </c>
      <c r="Q367" s="138" t="str">
        <f ca="1">IFERROR(__xludf.DUMMYFUNCTION("filter(I:I,J:J=P367,G:G=O367)"),"Yemmiganur")</f>
        <v>Yemmiganur</v>
      </c>
      <c r="R367" s="138" t="s">
        <v>8619</v>
      </c>
      <c r="U367" s="138" t="s">
        <v>8966</v>
      </c>
      <c r="V367" s="138" t="s">
        <v>8974</v>
      </c>
      <c r="W367" s="138" t="str">
        <f ca="1">IFERROR(__xludf.DUMMYFUNCTION("filter(H:H,I:I=U367,J:J=V367)"),"Nellore")</f>
        <v>Nellore</v>
      </c>
    </row>
    <row r="368" spans="7:23">
      <c r="G368" s="138" t="e">
        <v>#N/A</v>
      </c>
      <c r="H368" s="138" t="e">
        <v>#N/A</v>
      </c>
      <c r="I368" s="138" t="s">
        <v>8966</v>
      </c>
      <c r="J368" s="138" t="e">
        <v>#N/A</v>
      </c>
      <c r="K368" s="138" t="str">
        <f ca="1">IFERROR(__xludf.DUMMYFUNCTION("unique(filter(R:R,R:R=I368))"),"Kovur")</f>
        <v>Kovur</v>
      </c>
      <c r="N368" s="138" t="str">
        <f ca="1">IFERROR(__xludf.DUMMYFUNCTION("unique(filter(W:W,U:U=R368))"),"Nandyal")</f>
        <v>Nandyal</v>
      </c>
      <c r="O368" s="138" t="s">
        <v>8948</v>
      </c>
      <c r="P368" s="138" t="s">
        <v>8978</v>
      </c>
      <c r="Q368" s="138" t="str">
        <f ca="1">IFERROR(__xludf.DUMMYFUNCTION("filter(I:I,J:J=P368,G:G=O368)"),"Nandyal")</f>
        <v>Nandyal</v>
      </c>
      <c r="R368" s="138" t="s">
        <v>8653</v>
      </c>
      <c r="U368" s="138" t="s">
        <v>8966</v>
      </c>
      <c r="V368" s="138" t="s">
        <v>8976</v>
      </c>
      <c r="W368" s="138" t="str">
        <f ca="1">IFERROR(__xludf.DUMMYFUNCTION("filter(H:H,I:I=U368,J:J=V368)"),"Nellore")</f>
        <v>Nellore</v>
      </c>
    </row>
    <row r="369" spans="7:23">
      <c r="G369" s="138" t="s">
        <v>8881</v>
      </c>
      <c r="H369" s="138" t="s">
        <v>8881</v>
      </c>
      <c r="I369" s="138" t="s">
        <v>8513</v>
      </c>
      <c r="J369" s="138" t="s">
        <v>8979</v>
      </c>
      <c r="K369" s="138" t="str">
        <f ca="1">IFERROR(__xludf.DUMMYFUNCTION("unique(filter(R:R,R:R=I369))"),"Atmakur")</f>
        <v>Atmakur</v>
      </c>
      <c r="N369" s="138" t="str">
        <f ca="1">IFERROR(__xludf.DUMMYFUNCTION("unique(filter(W:W,U:U=R369))"),"Kurnool")</f>
        <v>Kurnool</v>
      </c>
      <c r="O369" s="138" t="s">
        <v>8948</v>
      </c>
      <c r="P369" s="138" t="s">
        <v>8980</v>
      </c>
      <c r="Q369" s="138" t="str">
        <f ca="1">IFERROR(__xludf.DUMMYFUNCTION("filter(I:I,J:J=P369,G:G=O369)"),"#N/A")</f>
        <v>#N/A</v>
      </c>
      <c r="R369" s="138" t="s">
        <v>8626</v>
      </c>
    </row>
    <row r="370" spans="7:23">
      <c r="G370" s="138" t="s">
        <v>8881</v>
      </c>
      <c r="H370" s="138" t="s">
        <v>8881</v>
      </c>
      <c r="I370" s="138" t="s">
        <v>8513</v>
      </c>
      <c r="J370" s="138" t="s">
        <v>8981</v>
      </c>
      <c r="K370" s="138" t="str">
        <f ca="1">IFERROR(__xludf.DUMMYFUNCTION("unique(filter(R:R,R:R=I370))"),"Atmakur")</f>
        <v>Atmakur</v>
      </c>
      <c r="N370" s="138" t="str">
        <f ca="1">IFERROR(__xludf.DUMMYFUNCTION("unique(filter(W:W,U:U=R370))"),"Kurnool")</f>
        <v>Kurnool</v>
      </c>
      <c r="O370" s="138" t="s">
        <v>8948</v>
      </c>
      <c r="P370" s="138" t="s">
        <v>8982</v>
      </c>
      <c r="Q370" s="138" t="str">
        <f ca="1">IFERROR(__xludf.DUMMYFUNCTION("filter(I:I,J:J=P370,G:G=O370)"),"Alur")</f>
        <v>Alur</v>
      </c>
      <c r="R370" s="138" t="s">
        <v>8598</v>
      </c>
      <c r="U370" s="138" t="s">
        <v>8513</v>
      </c>
      <c r="V370" s="138" t="s">
        <v>8979</v>
      </c>
      <c r="W370" s="138" t="str">
        <f ca="1">IFERROR(__xludf.DUMMYFUNCTION("filter(H:H,I:I=U370,J:J=V370)"),"Nellore")</f>
        <v>Nellore</v>
      </c>
    </row>
    <row r="371" spans="7:23">
      <c r="G371" s="138" t="s">
        <v>8881</v>
      </c>
      <c r="H371" s="138" t="s">
        <v>8881</v>
      </c>
      <c r="I371" s="138" t="s">
        <v>8513</v>
      </c>
      <c r="J371" s="138" t="s">
        <v>8513</v>
      </c>
      <c r="K371" s="138" t="str">
        <f ca="1">IFERROR(__xludf.DUMMYFUNCTION("unique(filter(R:R,R:R=I371))"),"Atmakur")</f>
        <v>Atmakur</v>
      </c>
      <c r="N371" s="138" t="str">
        <f ca="1">IFERROR(__xludf.DUMMYFUNCTION("unique(filter(W:W,U:U=R371))"),"Kurnool")</f>
        <v>Kurnool</v>
      </c>
      <c r="O371" s="138" t="s">
        <v>8948</v>
      </c>
      <c r="P371" s="138" t="s">
        <v>8983</v>
      </c>
      <c r="Q371" s="138" t="str">
        <f ca="1">IFERROR(__xludf.DUMMYFUNCTION("filter(I:I,J:J=P371,G:G=O371)"),"Alur")</f>
        <v>Alur</v>
      </c>
      <c r="R371" s="138" t="s">
        <v>8598</v>
      </c>
      <c r="U371" s="138" t="s">
        <v>8513</v>
      </c>
      <c r="V371" s="138" t="s">
        <v>8981</v>
      </c>
      <c r="W371" s="138" t="str">
        <f ca="1">IFERROR(__xludf.DUMMYFUNCTION("filter(H:H,I:I=U371,J:J=V371)"),"Nellore")</f>
        <v>Nellore</v>
      </c>
    </row>
    <row r="372" spans="7:23">
      <c r="G372" s="138" t="s">
        <v>8881</v>
      </c>
      <c r="H372" s="138" t="s">
        <v>8881</v>
      </c>
      <c r="I372" s="138" t="s">
        <v>8513</v>
      </c>
      <c r="J372" s="138" t="s">
        <v>8984</v>
      </c>
      <c r="K372" s="138" t="str">
        <f ca="1">IFERROR(__xludf.DUMMYFUNCTION("unique(filter(R:R,R:R=I372))"),"Atmakur")</f>
        <v>Atmakur</v>
      </c>
      <c r="N372" s="138" t="str">
        <f ca="1">IFERROR(__xludf.DUMMYFUNCTION("unique(filter(W:W,U:U=R372))"),"Nandyal")</f>
        <v>Nandyal</v>
      </c>
      <c r="O372" s="138" t="s">
        <v>8948</v>
      </c>
      <c r="P372" s="138" t="s">
        <v>8985</v>
      </c>
      <c r="Q372" s="138" t="str">
        <f ca="1">IFERROR(__xludf.DUMMYFUNCTION("filter(I:I,J:J=P372,G:G=O372)"),"Nandikotkur (Sc)")</f>
        <v>Nandikotkur (Sc)</v>
      </c>
      <c r="R372" s="138" t="s">
        <v>8698</v>
      </c>
      <c r="U372" s="138" t="s">
        <v>8513</v>
      </c>
      <c r="V372" s="138" t="s">
        <v>8513</v>
      </c>
      <c r="W372" s="138" t="str">
        <f ca="1">IFERROR(__xludf.DUMMYFUNCTION("filter(H:H,I:I=U372,J:J=V372)"),"Nellore")</f>
        <v>Nellore</v>
      </c>
    </row>
    <row r="373" spans="7:23">
      <c r="G373" s="138" t="s">
        <v>8881</v>
      </c>
      <c r="H373" s="138" t="s">
        <v>8881</v>
      </c>
      <c r="I373" s="138" t="s">
        <v>8513</v>
      </c>
      <c r="J373" s="138" t="s">
        <v>8986</v>
      </c>
      <c r="K373" s="138" t="str">
        <f ca="1">IFERROR(__xludf.DUMMYFUNCTION("unique(filter(R:R,R:R=I373))"),"Atmakur")</f>
        <v>Atmakur</v>
      </c>
      <c r="N373" s="138" t="str">
        <f ca="1">IFERROR(__xludf.DUMMYFUNCTION("unique(filter(W:W,U:U=R373))"),"Nandyal")</f>
        <v>Nandyal</v>
      </c>
      <c r="O373" s="138" t="s">
        <v>8948</v>
      </c>
      <c r="P373" s="138" t="s">
        <v>8987</v>
      </c>
      <c r="Q373" s="138" t="str">
        <f ca="1">IFERROR(__xludf.DUMMYFUNCTION("filter(I:I,J:J=P373,G:G=O373)"),"#N/A")</f>
        <v>#N/A</v>
      </c>
      <c r="R373" s="138" t="s">
        <v>8684</v>
      </c>
      <c r="U373" s="138" t="s">
        <v>8513</v>
      </c>
      <c r="V373" s="138" t="s">
        <v>8984</v>
      </c>
      <c r="W373" s="138" t="str">
        <f ca="1">IFERROR(__xludf.DUMMYFUNCTION("filter(H:H,I:I=U373,J:J=V373)"),"Nellore")</f>
        <v>Nellore</v>
      </c>
    </row>
    <row r="374" spans="7:23">
      <c r="G374" s="138" t="s">
        <v>8881</v>
      </c>
      <c r="H374" s="138" t="s">
        <v>8881</v>
      </c>
      <c r="I374" s="138" t="s">
        <v>8513</v>
      </c>
      <c r="J374" s="138" t="s">
        <v>8988</v>
      </c>
      <c r="K374" s="138" t="str">
        <f ca="1">IFERROR(__xludf.DUMMYFUNCTION("unique(filter(R:R,R:R=I374))"),"Atmakur")</f>
        <v>Atmakur</v>
      </c>
      <c r="N374" s="138" t="str">
        <f ca="1">IFERROR(__xludf.DUMMYFUNCTION("unique(filter(W:W,U:U=R374))"),"Kurnool")</f>
        <v>Kurnool</v>
      </c>
      <c r="O374" s="138" t="s">
        <v>8948</v>
      </c>
      <c r="P374" s="138" t="s">
        <v>8989</v>
      </c>
      <c r="Q374" s="138" t="str">
        <f ca="1">IFERROR(__xludf.DUMMYFUNCTION("filter(I:I,J:J=P374,G:G=O374)"),"Kodumur (Sc)")</f>
        <v>Kodumur (Sc)</v>
      </c>
      <c r="R374" s="138" t="s">
        <v>8626</v>
      </c>
      <c r="U374" s="138" t="s">
        <v>8513</v>
      </c>
      <c r="V374" s="138" t="s">
        <v>8986</v>
      </c>
      <c r="W374" s="138" t="str">
        <f ca="1">IFERROR(__xludf.DUMMYFUNCTION("filter(H:H,I:I=U374,J:J=V374)"),"Nellore")</f>
        <v>Nellore</v>
      </c>
    </row>
    <row r="375" spans="7:23">
      <c r="G375" s="138" t="s">
        <v>8881</v>
      </c>
      <c r="H375" s="138" t="s">
        <v>8881</v>
      </c>
      <c r="I375" s="138" t="s">
        <v>8513</v>
      </c>
      <c r="J375" s="138" t="s">
        <v>8990</v>
      </c>
      <c r="K375" s="138" t="str">
        <f ca="1">IFERROR(__xludf.DUMMYFUNCTION("unique(filter(R:R,R:R=I375))"),"Atmakur")</f>
        <v>Atmakur</v>
      </c>
      <c r="N375" s="138" t="str">
        <f ca="1">IFERROR(__xludf.DUMMYFUNCTION("unique(filter(W:W,U:U=R375))"),"Nandyal")</f>
        <v>Nandyal</v>
      </c>
      <c r="O375" s="138" t="s">
        <v>8948</v>
      </c>
      <c r="P375" s="138" t="s">
        <v>8991</v>
      </c>
      <c r="Q375" s="138" t="str">
        <f ca="1">IFERROR(__xludf.DUMMYFUNCTION("filter(I:I,J:J=P375,G:G=O375)"),"Banaganapalle")</f>
        <v>Banaganapalle</v>
      </c>
      <c r="R375" s="138" t="s">
        <v>8667</v>
      </c>
      <c r="U375" s="138" t="s">
        <v>8513</v>
      </c>
      <c r="V375" s="138" t="s">
        <v>8988</v>
      </c>
      <c r="W375" s="138" t="str">
        <f ca="1">IFERROR(__xludf.DUMMYFUNCTION("filter(H:H,I:I=U375,J:J=V375)"),"Nellore")</f>
        <v>Nellore</v>
      </c>
    </row>
    <row r="376" spans="7:23">
      <c r="G376" s="138" t="s">
        <v>8881</v>
      </c>
      <c r="H376" s="138" t="s">
        <v>8881</v>
      </c>
      <c r="I376" s="138" t="s">
        <v>8992</v>
      </c>
      <c r="J376" s="138" t="s">
        <v>8993</v>
      </c>
      <c r="K376" s="138" t="str">
        <f ca="1">IFERROR(__xludf.DUMMYFUNCTION("unique(filter(R:R,R:R=I376))"),"Kavali")</f>
        <v>Kavali</v>
      </c>
      <c r="N376" s="138" t="str">
        <f ca="1">IFERROR(__xludf.DUMMYFUNCTION("unique(filter(W:W,U:U=R376))"),"Nandyal")</f>
        <v>Nandyal</v>
      </c>
      <c r="O376" s="138" t="s">
        <v>8948</v>
      </c>
      <c r="P376" s="138" t="s">
        <v>8994</v>
      </c>
      <c r="Q376" s="138" t="str">
        <f ca="1">IFERROR(__xludf.DUMMYFUNCTION("filter(I:I,J:J=P376,G:G=O376)"),"Banaganapalle")</f>
        <v>Banaganapalle</v>
      </c>
      <c r="R376" s="138" t="s">
        <v>8667</v>
      </c>
      <c r="U376" s="138" t="s">
        <v>8513</v>
      </c>
      <c r="V376" s="138" t="s">
        <v>8990</v>
      </c>
      <c r="W376" s="138" t="str">
        <f ca="1">IFERROR(__xludf.DUMMYFUNCTION("filter(H:H,I:I=U376,J:J=V376)"),"Nellore")</f>
        <v>Nellore</v>
      </c>
    </row>
    <row r="377" spans="7:23">
      <c r="G377" s="138" t="s">
        <v>8881</v>
      </c>
      <c r="H377" s="138" t="s">
        <v>8881</v>
      </c>
      <c r="I377" s="138" t="s">
        <v>8992</v>
      </c>
      <c r="J377" s="138" t="s">
        <v>8992</v>
      </c>
      <c r="K377" s="138" t="str">
        <f ca="1">IFERROR(__xludf.DUMMYFUNCTION("unique(filter(R:R,R:R=I377))"),"Kavali")</f>
        <v>Kavali</v>
      </c>
      <c r="N377" s="138" t="str">
        <f ca="1">IFERROR(__xludf.DUMMYFUNCTION("unique(filter(W:W,U:U=R377))"),"Kurnool")</f>
        <v>Kurnool</v>
      </c>
      <c r="O377" s="138" t="s">
        <v>8948</v>
      </c>
      <c r="P377" s="138" t="s">
        <v>8995</v>
      </c>
      <c r="Q377" s="138" t="str">
        <f ca="1">IFERROR(__xludf.DUMMYFUNCTION("filter(I:I,J:J=P377,G:G=O377)"),"Mantralayam")</f>
        <v>Mantralayam</v>
      </c>
      <c r="R377" s="138" t="s">
        <v>8613</v>
      </c>
      <c r="U377" s="138" t="s">
        <v>8992</v>
      </c>
      <c r="V377" s="138" t="s">
        <v>8993</v>
      </c>
      <c r="W377" s="138" t="str">
        <f ca="1">IFERROR(__xludf.DUMMYFUNCTION("filter(H:H,I:I=U377,J:J=V377)"),"Nellore")</f>
        <v>Nellore</v>
      </c>
    </row>
    <row r="378" spans="7:23">
      <c r="G378" s="138" t="s">
        <v>8881</v>
      </c>
      <c r="H378" s="138" t="s">
        <v>8881</v>
      </c>
      <c r="I378" s="138" t="s">
        <v>8992</v>
      </c>
      <c r="J378" s="138" t="s">
        <v>8996</v>
      </c>
      <c r="K378" s="138" t="str">
        <f ca="1">IFERROR(__xludf.DUMMYFUNCTION("unique(filter(R:R,R:R=I378))"),"Kavali")</f>
        <v>Kavali</v>
      </c>
      <c r="N378" s="138" t="str">
        <f ca="1">IFERROR(__xludf.DUMMYFUNCTION("unique(filter(W:W,U:U=R378))"),"Nandyal")</f>
        <v>Nandyal</v>
      </c>
      <c r="O378" s="138" t="s">
        <v>8948</v>
      </c>
      <c r="P378" s="138" t="s">
        <v>8997</v>
      </c>
      <c r="Q378" s="138" t="str">
        <f ca="1">IFERROR(__xludf.DUMMYFUNCTION("filter(I:I,J:J=P378,G:G=O378)"),"#N/A")</f>
        <v>#N/A</v>
      </c>
      <c r="R378" s="138" t="s">
        <v>8698</v>
      </c>
      <c r="U378" s="138" t="s">
        <v>8992</v>
      </c>
      <c r="V378" s="138" t="s">
        <v>8992</v>
      </c>
      <c r="W378" s="138" t="str">
        <f ca="1">IFERROR(__xludf.DUMMYFUNCTION("filter(H:H,I:I=U378,J:J=V378)"),"Nellore")</f>
        <v>Nellore</v>
      </c>
    </row>
    <row r="379" spans="7:23">
      <c r="G379" s="138" t="s">
        <v>8881</v>
      </c>
      <c r="H379" s="138" t="s">
        <v>8881</v>
      </c>
      <c r="I379" s="138" t="s">
        <v>8992</v>
      </c>
      <c r="J379" s="138" t="s">
        <v>8998</v>
      </c>
      <c r="K379" s="138" t="str">
        <f ca="1">IFERROR(__xludf.DUMMYFUNCTION("unique(filter(R:R,R:R=I379))"),"Kavali")</f>
        <v>Kavali</v>
      </c>
      <c r="N379" s="138" t="str">
        <f ca="1">IFERROR(__xludf.DUMMYFUNCTION("unique(filter(W:W,U:U=R379))"),"Kurnool")</f>
        <v>Kurnool</v>
      </c>
      <c r="O379" s="138" t="s">
        <v>8948</v>
      </c>
      <c r="P379" s="138" t="s">
        <v>8999</v>
      </c>
      <c r="Q379" s="138" t="str">
        <f ca="1">IFERROR(__xludf.DUMMYFUNCTION("filter(I:I,J:J=P379,G:G=O379)"),"Mantralayam")</f>
        <v>Mantralayam</v>
      </c>
      <c r="R379" s="138" t="s">
        <v>8613</v>
      </c>
      <c r="U379" s="138" t="s">
        <v>8992</v>
      </c>
      <c r="V379" s="138" t="s">
        <v>8996</v>
      </c>
      <c r="W379" s="138" t="str">
        <f ca="1">IFERROR(__xludf.DUMMYFUNCTION("filter(H:H,I:I=U379,J:J=V379)"),"Nellore")</f>
        <v>Nellore</v>
      </c>
    </row>
    <row r="380" spans="7:23">
      <c r="G380" s="138" t="s">
        <v>8881</v>
      </c>
      <c r="H380" s="138" t="s">
        <v>8881</v>
      </c>
      <c r="I380" s="138" t="s">
        <v>8992</v>
      </c>
      <c r="J380" s="138" t="s">
        <v>9000</v>
      </c>
      <c r="K380" s="138" t="str">
        <f ca="1">IFERROR(__xludf.DUMMYFUNCTION("unique(filter(R:R,R:R=I380))"),"Kavali")</f>
        <v>Kavali</v>
      </c>
      <c r="N380" s="138" t="str">
        <f ca="1">IFERROR(__xludf.DUMMYFUNCTION("unique(filter(W:W,U:U=R380))"),"Kurnool")</f>
        <v>Kurnool</v>
      </c>
      <c r="O380" s="138" t="s">
        <v>8948</v>
      </c>
      <c r="P380" s="138" t="s">
        <v>9001</v>
      </c>
      <c r="Q380" s="138" t="str">
        <f ca="1">IFERROR(__xludf.DUMMYFUNCTION("filter(I:I,J:J=P380,G:G=O380)"),"Pattikonda")</f>
        <v>Pattikonda</v>
      </c>
      <c r="R380" s="138" t="s">
        <v>8641</v>
      </c>
      <c r="U380" s="138" t="s">
        <v>8992</v>
      </c>
      <c r="V380" s="138" t="s">
        <v>8998</v>
      </c>
      <c r="W380" s="138" t="str">
        <f ca="1">IFERROR(__xludf.DUMMYFUNCTION("filter(H:H,I:I=U380,J:J=V380)"),"Nellore")</f>
        <v>Nellore</v>
      </c>
    </row>
    <row r="381" spans="7:23">
      <c r="G381" s="138" t="s">
        <v>8881</v>
      </c>
      <c r="H381" s="138" t="s">
        <v>8881</v>
      </c>
      <c r="I381" s="138" t="s">
        <v>8992</v>
      </c>
      <c r="J381" s="138" t="s">
        <v>9002</v>
      </c>
      <c r="K381" s="138" t="str">
        <f ca="1">IFERROR(__xludf.DUMMYFUNCTION("unique(filter(R:R,R:R=I381))"),"Kavali")</f>
        <v>Kavali</v>
      </c>
      <c r="N381" s="138" t="str">
        <f ca="1">IFERROR(__xludf.DUMMYFUNCTION("unique(filter(W:W,U:U=R381))"),"Kurnool")</f>
        <v>Kurnool</v>
      </c>
      <c r="O381" s="138" t="s">
        <v>8948</v>
      </c>
      <c r="P381" s="138" t="s">
        <v>8948</v>
      </c>
      <c r="Q381" s="138" t="str">
        <f ca="1">IFERROR(__xludf.DUMMYFUNCTION("filter(I:I,J:J=P381,G:G=O381)"),"Kodumur (Sc)")</f>
        <v>Kodumur (Sc)</v>
      </c>
      <c r="R381" s="138" t="s">
        <v>8626</v>
      </c>
      <c r="U381" s="138" t="s">
        <v>8992</v>
      </c>
      <c r="V381" s="138" t="s">
        <v>9000</v>
      </c>
      <c r="W381" s="138" t="str">
        <f ca="1">IFERROR(__xludf.DUMMYFUNCTION("filter(H:H,I:I=U381,J:J=V381)"),"Nellore")</f>
        <v>Nellore</v>
      </c>
    </row>
    <row r="382" spans="7:23">
      <c r="G382" s="138" t="s">
        <v>9003</v>
      </c>
      <c r="H382" s="138" t="s">
        <v>9003</v>
      </c>
      <c r="I382" s="138" t="s">
        <v>9004</v>
      </c>
      <c r="J382" s="138" t="s">
        <v>9005</v>
      </c>
      <c r="K382" s="138" t="str">
        <f ca="1">IFERROR(__xludf.DUMMYFUNCTION("unique(filter(R:R,R:R=I382))"),"Kanigiri")</f>
        <v>Kanigiri</v>
      </c>
      <c r="N382" s="138" t="str">
        <f ca="1">IFERROR(__xludf.DUMMYFUNCTION("unique(filter(W:W,U:U=R382))"),"Kurnool")</f>
        <v>Kurnool</v>
      </c>
      <c r="O382" s="138" t="s">
        <v>8948</v>
      </c>
      <c r="P382" s="138" t="s">
        <v>9006</v>
      </c>
      <c r="Q382" s="138" t="str">
        <f ca="1">IFERROR(__xludf.DUMMYFUNCTION("filter(I:I,J:J=P382,G:G=O382)"),"Pattikonda")</f>
        <v>Pattikonda</v>
      </c>
      <c r="R382" s="138" t="s">
        <v>8641</v>
      </c>
      <c r="U382" s="138" t="s">
        <v>8992</v>
      </c>
      <c r="V382" s="138" t="s">
        <v>9002</v>
      </c>
      <c r="W382" s="138" t="str">
        <f ca="1">IFERROR(__xludf.DUMMYFUNCTION("filter(H:H,I:I=U382,J:J=V382)"),"Nellore")</f>
        <v>Nellore</v>
      </c>
    </row>
    <row r="383" spans="7:23">
      <c r="G383" s="138" t="s">
        <v>9003</v>
      </c>
      <c r="H383" s="138" t="s">
        <v>9003</v>
      </c>
      <c r="I383" s="138" t="s">
        <v>9004</v>
      </c>
      <c r="J383" s="138" t="s">
        <v>9007</v>
      </c>
      <c r="K383" s="138" t="str">
        <f ca="1">IFERROR(__xludf.DUMMYFUNCTION("unique(filter(R:R,R:R=I383))"),"Kanigiri")</f>
        <v>Kanigiri</v>
      </c>
      <c r="N383" s="138" t="str">
        <f ca="1">IFERROR(__xludf.DUMMYFUNCTION("unique(filter(W:W,U:U=R383))"),"Nandyal")</f>
        <v>Nandyal</v>
      </c>
      <c r="O383" s="138" t="s">
        <v>8948</v>
      </c>
      <c r="P383" s="138" t="s">
        <v>9008</v>
      </c>
      <c r="Q383" s="138" t="str">
        <f ca="1">IFERROR(__xludf.DUMMYFUNCTION("filter(I:I,J:J=P383,G:G=O383)"),"Srisailam")</f>
        <v>Srisailam</v>
      </c>
      <c r="R383" s="138" t="s">
        <v>8713</v>
      </c>
      <c r="U383" s="138" t="s">
        <v>9004</v>
      </c>
      <c r="V383" s="138" t="s">
        <v>9005</v>
      </c>
      <c r="W383" s="138" t="str">
        <f ca="1">IFERROR(__xludf.DUMMYFUNCTION("filter(H:H,I:I=U383,J:J=V383)"),"Prakasam")</f>
        <v>Prakasam</v>
      </c>
    </row>
    <row r="384" spans="7:23">
      <c r="G384" s="138" t="s">
        <v>9003</v>
      </c>
      <c r="H384" s="138" t="s">
        <v>9003</v>
      </c>
      <c r="I384" s="138" t="s">
        <v>9004</v>
      </c>
      <c r="J384" s="138" t="s">
        <v>9009</v>
      </c>
      <c r="K384" s="138" t="str">
        <f ca="1">IFERROR(__xludf.DUMMYFUNCTION("unique(filter(R:R,R:R=I384))"),"Kanigiri")</f>
        <v>Kanigiri</v>
      </c>
      <c r="N384" s="138" t="str">
        <f ca="1">IFERROR(__xludf.DUMMYFUNCTION("unique(filter(W:W,U:U=R384))"),"Kurnool")</f>
        <v>Kurnool</v>
      </c>
      <c r="O384" s="138" t="s">
        <v>8948</v>
      </c>
      <c r="P384" s="138" t="s">
        <v>9010</v>
      </c>
      <c r="Q384" s="138" t="str">
        <f ca="1">IFERROR(__xludf.DUMMYFUNCTION("filter(I:I,J:J=P384,G:G=O384)"),"Mantralayam")</f>
        <v>Mantralayam</v>
      </c>
      <c r="R384" s="138" t="s">
        <v>8613</v>
      </c>
      <c r="U384" s="138" t="s">
        <v>9004</v>
      </c>
      <c r="V384" s="138" t="s">
        <v>9007</v>
      </c>
      <c r="W384" s="138" t="str">
        <f ca="1">IFERROR(__xludf.DUMMYFUNCTION("filter(H:H,I:I=U384,J:J=V384)"),"Prakasam")</f>
        <v>Prakasam</v>
      </c>
    </row>
    <row r="385" spans="7:23">
      <c r="G385" s="138" t="s">
        <v>9003</v>
      </c>
      <c r="H385" s="138" t="s">
        <v>9003</v>
      </c>
      <c r="I385" s="138" t="s">
        <v>9004</v>
      </c>
      <c r="J385" s="138" t="s">
        <v>9004</v>
      </c>
      <c r="K385" s="138" t="str">
        <f ca="1">IFERROR(__xludf.DUMMYFUNCTION("unique(filter(R:R,R:R=I385))"),"Kanigiri")</f>
        <v>Kanigiri</v>
      </c>
      <c r="N385" s="138" t="str">
        <f ca="1">IFERROR(__xludf.DUMMYFUNCTION("unique(filter(W:W,U:U=R385))"),"Nandyal")</f>
        <v>Nandyal</v>
      </c>
      <c r="O385" s="138" t="s">
        <v>8948</v>
      </c>
      <c r="P385" s="138" t="s">
        <v>9011</v>
      </c>
      <c r="Q385" s="138" t="str">
        <f ca="1">IFERROR(__xludf.DUMMYFUNCTION("filter(I:I,J:J=P385,G:G=O385)"),"Nandikotkur (Sc)")</f>
        <v>Nandikotkur (Sc)</v>
      </c>
      <c r="R385" s="138" t="s">
        <v>8698</v>
      </c>
      <c r="U385" s="138" t="s">
        <v>9004</v>
      </c>
      <c r="V385" s="138" t="s">
        <v>9009</v>
      </c>
      <c r="W385" s="138" t="str">
        <f ca="1">IFERROR(__xludf.DUMMYFUNCTION("filter(H:H,I:I=U385,J:J=V385)"),"Prakasam")</f>
        <v>Prakasam</v>
      </c>
    </row>
    <row r="386" spans="7:23">
      <c r="G386" s="138" t="s">
        <v>9003</v>
      </c>
      <c r="H386" s="138" t="s">
        <v>9003</v>
      </c>
      <c r="I386" s="138" t="s">
        <v>9004</v>
      </c>
      <c r="J386" s="138" t="s">
        <v>9012</v>
      </c>
      <c r="K386" s="138" t="str">
        <f ca="1">IFERROR(__xludf.DUMMYFUNCTION("unique(filter(R:R,R:R=I386))"),"Kanigiri")</f>
        <v>Kanigiri</v>
      </c>
      <c r="N386" s="138" t="str">
        <f ca="1">IFERROR(__xludf.DUMMYFUNCTION("unique(filter(W:W,U:U=R386))"),"Kurnool")</f>
        <v>Kurnool</v>
      </c>
      <c r="O386" s="138" t="s">
        <v>8948</v>
      </c>
      <c r="P386" s="138" t="s">
        <v>9013</v>
      </c>
      <c r="Q386" s="138" t="str">
        <f ca="1">IFERROR(__xludf.DUMMYFUNCTION("filter(I:I,J:J=P386,G:G=O386)"),"Yemmiganur")</f>
        <v>Yemmiganur</v>
      </c>
      <c r="R386" s="138" t="s">
        <v>8619</v>
      </c>
      <c r="U386" s="138" t="s">
        <v>9004</v>
      </c>
      <c r="V386" s="138" t="s">
        <v>9004</v>
      </c>
      <c r="W386" s="138" t="str">
        <f ca="1">IFERROR(__xludf.DUMMYFUNCTION("filter(H:H,I:I=U386,J:J=V386)"),"Prakasam")</f>
        <v>Prakasam</v>
      </c>
    </row>
    <row r="387" spans="7:23">
      <c r="G387" s="138" t="s">
        <v>9003</v>
      </c>
      <c r="H387" s="138" t="s">
        <v>9003</v>
      </c>
      <c r="I387" s="138" t="s">
        <v>9004</v>
      </c>
      <c r="J387" s="138" t="s">
        <v>9014</v>
      </c>
      <c r="K387" s="138" t="str">
        <f ca="1">IFERROR(__xludf.DUMMYFUNCTION("unique(filter(R:R,R:R=I387))"),"Kanigiri")</f>
        <v>Kanigiri</v>
      </c>
      <c r="N387" s="138" t="str">
        <f ca="1">IFERROR(__xludf.DUMMYFUNCTION("unique(filter(W:W,U:U=R387))"),"Nandyal")</f>
        <v>Nandyal</v>
      </c>
      <c r="O387" s="138" t="s">
        <v>8948</v>
      </c>
      <c r="P387" s="138" t="s">
        <v>9015</v>
      </c>
      <c r="Q387" s="138" t="str">
        <f ca="1">IFERROR(__xludf.DUMMYFUNCTION("filter(I:I,J:J=P387,G:G=O387)"),"Nandikotkur (Sc)")</f>
        <v>Nandikotkur (Sc)</v>
      </c>
      <c r="R387" s="138" t="s">
        <v>8698</v>
      </c>
      <c r="U387" s="138" t="s">
        <v>9004</v>
      </c>
      <c r="V387" s="138" t="s">
        <v>9012</v>
      </c>
      <c r="W387" s="138" t="str">
        <f ca="1">IFERROR(__xludf.DUMMYFUNCTION("filter(H:H,I:I=U387,J:J=V387)"),"Prakasam")</f>
        <v>Prakasam</v>
      </c>
    </row>
    <row r="388" spans="7:23">
      <c r="G388" s="138" t="s">
        <v>9003</v>
      </c>
      <c r="H388" s="138" t="s">
        <v>9003</v>
      </c>
      <c r="I388" s="138" t="s">
        <v>9004</v>
      </c>
      <c r="J388" s="138" t="s">
        <v>9016</v>
      </c>
      <c r="K388" s="138" t="str">
        <f ca="1">IFERROR(__xludf.DUMMYFUNCTION("unique(filter(R:R,R:R=I388))"),"Kanigiri")</f>
        <v>Kanigiri</v>
      </c>
      <c r="N388" s="138" t="str">
        <f ca="1">IFERROR(__xludf.DUMMYFUNCTION("unique(filter(W:W,U:U=R388))"),"Nandyal")</f>
        <v>Nandyal</v>
      </c>
      <c r="O388" s="138" t="s">
        <v>8948</v>
      </c>
      <c r="P388" s="138" t="s">
        <v>9017</v>
      </c>
      <c r="Q388" s="138" t="str">
        <f ca="1">IFERROR(__xludf.DUMMYFUNCTION("filter(I:I,J:J=P388,G:G=O388)"),"Nandyal")</f>
        <v>Nandyal</v>
      </c>
      <c r="R388" s="138" t="s">
        <v>8653</v>
      </c>
      <c r="U388" s="138" t="s">
        <v>9004</v>
      </c>
      <c r="V388" s="138" t="s">
        <v>9014</v>
      </c>
      <c r="W388" s="138" t="str">
        <f ca="1">IFERROR(__xludf.DUMMYFUNCTION("filter(H:H,I:I=U388,J:J=V388)"),"Prakasam")</f>
        <v>Prakasam</v>
      </c>
    </row>
    <row r="389" spans="7:23">
      <c r="G389" s="138" t="e">
        <v>#N/A</v>
      </c>
      <c r="H389" s="138" t="e">
        <v>#N/A</v>
      </c>
      <c r="I389" s="138" t="s">
        <v>9004</v>
      </c>
      <c r="J389" s="138" t="e">
        <v>#N/A</v>
      </c>
      <c r="K389" s="138" t="str">
        <f ca="1">IFERROR(__xludf.DUMMYFUNCTION("unique(filter(R:R,R:R=I389))"),"Kanigiri")</f>
        <v>Kanigiri</v>
      </c>
      <c r="N389" s="138" t="str">
        <f ca="1">IFERROR(__xludf.DUMMYFUNCTION("unique(filter(W:W,U:U=R389))"),"Nandyal")</f>
        <v>Nandyal</v>
      </c>
      <c r="O389" s="138" t="s">
        <v>8948</v>
      </c>
      <c r="P389" s="138" t="s">
        <v>9018</v>
      </c>
      <c r="Q389" s="138" t="str">
        <f ca="1">IFERROR(__xludf.DUMMYFUNCTION("filter(I:I,J:J=P389,G:G=O389)"),"Panyam")</f>
        <v>Panyam</v>
      </c>
      <c r="R389" s="138" t="s">
        <v>8684</v>
      </c>
      <c r="U389" s="138" t="s">
        <v>9004</v>
      </c>
      <c r="V389" s="138" t="s">
        <v>9016</v>
      </c>
      <c r="W389" s="138" t="str">
        <f ca="1">IFERROR(__xludf.DUMMYFUNCTION("filter(H:H,I:I=U389,J:J=V389)"),"Prakasam")</f>
        <v>Prakasam</v>
      </c>
    </row>
    <row r="390" spans="7:23">
      <c r="G390" s="138" t="s">
        <v>9003</v>
      </c>
      <c r="H390" s="138" t="s">
        <v>9003</v>
      </c>
      <c r="I390" s="138" t="s">
        <v>9019</v>
      </c>
      <c r="J390" s="138" t="s">
        <v>9020</v>
      </c>
      <c r="K390" s="138" t="str">
        <f ca="1">IFERROR(__xludf.DUMMYFUNCTION("unique(filter(R:R,R:R=I390))"),"Giddalur")</f>
        <v>Giddalur</v>
      </c>
      <c r="N390" s="138" t="str">
        <f ca="1">IFERROR(__xludf.DUMMYFUNCTION("unique(filter(W:W,U:U=R390))"),"Nandyal")</f>
        <v>Nandyal</v>
      </c>
      <c r="O390" s="138" t="s">
        <v>8948</v>
      </c>
      <c r="P390" s="138" t="s">
        <v>9021</v>
      </c>
      <c r="Q390" s="138" t="str">
        <f ca="1">IFERROR(__xludf.DUMMYFUNCTION("filter(I:I,J:J=P390,G:G=O390)"),"Banaganapalle")</f>
        <v>Banaganapalle</v>
      </c>
      <c r="R390" s="138" t="s">
        <v>8667</v>
      </c>
    </row>
    <row r="391" spans="7:23">
      <c r="G391" s="138" t="s">
        <v>9003</v>
      </c>
      <c r="H391" s="138" t="s">
        <v>9003</v>
      </c>
      <c r="I391" s="138" t="s">
        <v>9019</v>
      </c>
      <c r="J391" s="138" t="s">
        <v>9022</v>
      </c>
      <c r="K391" s="138" t="str">
        <f ca="1">IFERROR(__xludf.DUMMYFUNCTION("unique(filter(R:R,R:R=I391))"),"Giddalur")</f>
        <v>Giddalur</v>
      </c>
      <c r="N391" s="138" t="str">
        <f ca="1">IFERROR(__xludf.DUMMYFUNCTION("unique(filter(W:W,U:U=R391))"),"Nandyal")</f>
        <v>Nandyal</v>
      </c>
      <c r="O391" s="138" t="s">
        <v>8948</v>
      </c>
      <c r="P391" s="138" t="s">
        <v>9023</v>
      </c>
      <c r="Q391" s="138" t="str">
        <f ca="1">IFERROR(__xludf.DUMMYFUNCTION("filter(I:I,J:J=P391,G:G=O391)"),"Nandikotkur (Sc)")</f>
        <v>Nandikotkur (Sc)</v>
      </c>
      <c r="R391" s="138" t="s">
        <v>8698</v>
      </c>
      <c r="U391" s="138" t="s">
        <v>9019</v>
      </c>
      <c r="V391" s="138" t="s">
        <v>9020</v>
      </c>
      <c r="W391" s="138" t="str">
        <f ca="1">IFERROR(__xludf.DUMMYFUNCTION("filter(H:H,I:I=U391,J:J=V391)"),"Prakasam")</f>
        <v>Prakasam</v>
      </c>
    </row>
    <row r="392" spans="7:23">
      <c r="G392" s="138" t="s">
        <v>9003</v>
      </c>
      <c r="H392" s="138" t="s">
        <v>9003</v>
      </c>
      <c r="I392" s="138" t="s">
        <v>9019</v>
      </c>
      <c r="J392" s="138" t="s">
        <v>9024</v>
      </c>
      <c r="K392" s="138" t="str">
        <f ca="1">IFERROR(__xludf.DUMMYFUNCTION("unique(filter(R:R,R:R=I392))"),"Giddalur")</f>
        <v>Giddalur</v>
      </c>
      <c r="N392" s="138" t="str">
        <f ca="1">IFERROR(__xludf.DUMMYFUNCTION("unique(filter(W:W,U:U=R392))"),"Nandyal")</f>
        <v>Nandyal</v>
      </c>
      <c r="O392" s="138" t="s">
        <v>8948</v>
      </c>
      <c r="P392" s="138" t="s">
        <v>9025</v>
      </c>
      <c r="Q392" s="138" t="str">
        <f ca="1">IFERROR(__xludf.DUMMYFUNCTION("filter(I:I,J:J=P392,G:G=O392)"),"Nandikotkur (Sc)")</f>
        <v>Nandikotkur (Sc)</v>
      </c>
      <c r="R392" s="138" t="s">
        <v>8698</v>
      </c>
      <c r="U392" s="138" t="s">
        <v>9019</v>
      </c>
      <c r="V392" s="138" t="s">
        <v>9022</v>
      </c>
      <c r="W392" s="138" t="str">
        <f ca="1">IFERROR(__xludf.DUMMYFUNCTION("filter(H:H,I:I=U392,J:J=V392)"),"Prakasam")</f>
        <v>Prakasam</v>
      </c>
    </row>
    <row r="393" spans="7:23">
      <c r="G393" s="138" t="s">
        <v>9003</v>
      </c>
      <c r="H393" s="138" t="s">
        <v>9003</v>
      </c>
      <c r="I393" s="138" t="s">
        <v>9019</v>
      </c>
      <c r="J393" s="138" t="s">
        <v>9026</v>
      </c>
      <c r="K393" s="138" t="str">
        <f ca="1">IFERROR(__xludf.DUMMYFUNCTION("unique(filter(R:R,R:R=I393))"),"Giddalur")</f>
        <v>Giddalur</v>
      </c>
      <c r="N393" s="138" t="str">
        <f ca="1">IFERROR(__xludf.DUMMYFUNCTION("unique(filter(W:W,U:U=R393))"),"Nandyal")</f>
        <v>Nandyal</v>
      </c>
      <c r="O393" s="138" t="s">
        <v>8948</v>
      </c>
      <c r="P393" s="138" t="s">
        <v>9027</v>
      </c>
      <c r="Q393" s="138" t="str">
        <f ca="1">IFERROR(__xludf.DUMMYFUNCTION("filter(I:I,J:J=P393,G:G=O393)"),"Panyam")</f>
        <v>Panyam</v>
      </c>
      <c r="R393" s="138" t="s">
        <v>8684</v>
      </c>
      <c r="U393" s="138" t="s">
        <v>9019</v>
      </c>
      <c r="V393" s="138" t="s">
        <v>9024</v>
      </c>
      <c r="W393" s="138" t="str">
        <f ca="1">IFERROR(__xludf.DUMMYFUNCTION("filter(H:H,I:I=U393,J:J=V393)"),"Prakasam")</f>
        <v>Prakasam</v>
      </c>
    </row>
    <row r="394" spans="7:23">
      <c r="G394" s="138" t="s">
        <v>9003</v>
      </c>
      <c r="H394" s="138" t="s">
        <v>9003</v>
      </c>
      <c r="I394" s="138" t="s">
        <v>9019</v>
      </c>
      <c r="J394" s="138" t="s">
        <v>9019</v>
      </c>
      <c r="K394" s="138" t="str">
        <f ca="1">IFERROR(__xludf.DUMMYFUNCTION("unique(filter(R:R,R:R=I394))"),"Giddalur")</f>
        <v>Giddalur</v>
      </c>
      <c r="N394" s="138" t="str">
        <f ca="1">IFERROR(__xludf.DUMMYFUNCTION("unique(filter(W:W,U:U=R394))"),"Kurnool")</f>
        <v>Kurnool</v>
      </c>
      <c r="O394" s="138" t="s">
        <v>8948</v>
      </c>
      <c r="P394" s="138" t="s">
        <v>9028</v>
      </c>
      <c r="Q394" s="138" t="str">
        <f ca="1">IFERROR(__xludf.DUMMYFUNCTION("filter(I:I,J:J=P394,G:G=O394)"),"Pattikonda")</f>
        <v>Pattikonda</v>
      </c>
      <c r="R394" s="138" t="s">
        <v>8641</v>
      </c>
      <c r="U394" s="138" t="s">
        <v>9019</v>
      </c>
      <c r="V394" s="138" t="s">
        <v>9026</v>
      </c>
      <c r="W394" s="138" t="str">
        <f ca="1">IFERROR(__xludf.DUMMYFUNCTION("filter(H:H,I:I=U394,J:J=V394)"),"Prakasam")</f>
        <v>Prakasam</v>
      </c>
    </row>
    <row r="395" spans="7:23">
      <c r="G395" s="138" t="s">
        <v>9003</v>
      </c>
      <c r="H395" s="138" t="s">
        <v>9003</v>
      </c>
      <c r="I395" s="138" t="s">
        <v>9019</v>
      </c>
      <c r="J395" s="138" t="s">
        <v>9029</v>
      </c>
      <c r="K395" s="138" t="str">
        <f ca="1">IFERROR(__xludf.DUMMYFUNCTION("unique(filter(R:R,R:R=I395))"),"Giddalur")</f>
        <v>Giddalur</v>
      </c>
      <c r="N395" s="138" t="str">
        <f ca="1">IFERROR(__xludf.DUMMYFUNCTION("unique(filter(W:W,U:U=R395))"),"Nandyal")</f>
        <v>Nandyal</v>
      </c>
      <c r="O395" s="138" t="s">
        <v>8948</v>
      </c>
      <c r="P395" s="138" t="s">
        <v>9030</v>
      </c>
      <c r="Q395" s="138" t="str">
        <f ca="1">IFERROR(__xludf.DUMMYFUNCTION("filter(I:I,J:J=P395,G:G=O395)"),"Dhone")</f>
        <v>Dhone</v>
      </c>
      <c r="R395" s="138" t="s">
        <v>8654</v>
      </c>
      <c r="U395" s="138" t="s">
        <v>9019</v>
      </c>
      <c r="V395" s="138" t="s">
        <v>9019</v>
      </c>
      <c r="W395" s="138" t="str">
        <f ca="1">IFERROR(__xludf.DUMMYFUNCTION("filter(H:H,I:I=U395,J:J=V395)"),"Prakasam")</f>
        <v>Prakasam</v>
      </c>
    </row>
    <row r="396" spans="7:23">
      <c r="G396" s="138" t="s">
        <v>9003</v>
      </c>
      <c r="H396" s="138" t="s">
        <v>9003</v>
      </c>
      <c r="I396" s="138" t="s">
        <v>9019</v>
      </c>
      <c r="J396" s="138" t="s">
        <v>9031</v>
      </c>
      <c r="K396" s="138" t="str">
        <f ca="1">IFERROR(__xludf.DUMMYFUNCTION("unique(filter(R:R,R:R=I396))"),"Giddalur")</f>
        <v>Giddalur</v>
      </c>
      <c r="N396" s="138" t="str">
        <f ca="1">IFERROR(__xludf.DUMMYFUNCTION("unique(filter(W:W,U:U=R396))"),"Kurnool")</f>
        <v>Kurnool</v>
      </c>
      <c r="O396" s="138" t="s">
        <v>8948</v>
      </c>
      <c r="P396" s="138" t="s">
        <v>9032</v>
      </c>
      <c r="Q396" s="138" t="str">
        <f ca="1">IFERROR(__xludf.DUMMYFUNCTION("filter(I:I,J:J=P396,G:G=O396)"),"Mantralayam")</f>
        <v>Mantralayam</v>
      </c>
      <c r="R396" s="138" t="s">
        <v>8613</v>
      </c>
      <c r="U396" s="138" t="s">
        <v>9019</v>
      </c>
      <c r="V396" s="138" t="s">
        <v>9029</v>
      </c>
      <c r="W396" s="138" t="str">
        <f ca="1">IFERROR(__xludf.DUMMYFUNCTION("filter(H:H,I:I=U396,J:J=V396)"),"Prakasam")</f>
        <v>Prakasam</v>
      </c>
    </row>
    <row r="397" spans="7:23">
      <c r="G397" s="138" t="s">
        <v>9003</v>
      </c>
      <c r="H397" s="138" t="s">
        <v>9003</v>
      </c>
      <c r="I397" s="138" t="s">
        <v>9033</v>
      </c>
      <c r="J397" s="138" t="s">
        <v>9034</v>
      </c>
      <c r="K397" s="138" t="str">
        <f ca="1">IFERROR(__xludf.DUMMYFUNCTION("unique(filter(R:R,R:R=I397))"),"Markapuram")</f>
        <v>Markapuram</v>
      </c>
      <c r="N397" s="138" t="str">
        <f ca="1">IFERROR(__xludf.DUMMYFUNCTION("unique(filter(W:W,U:U=R397))"),"Nandyal")</f>
        <v>Nandyal</v>
      </c>
      <c r="O397" s="138" t="s">
        <v>8948</v>
      </c>
      <c r="P397" s="138" t="s">
        <v>9035</v>
      </c>
      <c r="Q397" s="138" t="str">
        <f ca="1">IFERROR(__xludf.DUMMYFUNCTION("filter(I:I,J:J=P397,G:G=O397)"),"Allagadda")</f>
        <v>Allagadda</v>
      </c>
      <c r="R397" s="138" t="s">
        <v>8725</v>
      </c>
      <c r="U397" s="138" t="s">
        <v>9019</v>
      </c>
      <c r="V397" s="138" t="s">
        <v>9031</v>
      </c>
      <c r="W397" s="138" t="str">
        <f ca="1">IFERROR(__xludf.DUMMYFUNCTION("filter(H:H,I:I=U397,J:J=V397)"),"Prakasam")</f>
        <v>Prakasam</v>
      </c>
    </row>
    <row r="398" spans="7:23">
      <c r="G398" s="138" t="s">
        <v>9003</v>
      </c>
      <c r="H398" s="138" t="s">
        <v>9003</v>
      </c>
      <c r="I398" s="138" t="s">
        <v>9033</v>
      </c>
      <c r="J398" s="138" t="s">
        <v>9036</v>
      </c>
      <c r="K398" s="138" t="str">
        <f ca="1">IFERROR(__xludf.DUMMYFUNCTION("unique(filter(R:R,R:R=I398))"),"Markapuram")</f>
        <v>Markapuram</v>
      </c>
      <c r="N398" s="138" t="str">
        <f ca="1">IFERROR(__xludf.DUMMYFUNCTION("unique(filter(W:W,U:U=R398))"),"Nandyal")</f>
        <v>Nandyal</v>
      </c>
      <c r="O398" s="138" t="s">
        <v>8948</v>
      </c>
      <c r="P398" s="138" t="s">
        <v>9037</v>
      </c>
      <c r="Q398" s="138" t="str">
        <f ca="1">IFERROR(__xludf.DUMMYFUNCTION("filter(I:I,J:J=P398,G:G=O398)"),"Banaganapalle")</f>
        <v>Banaganapalle</v>
      </c>
      <c r="R398" s="138" t="s">
        <v>8667</v>
      </c>
      <c r="U398" s="138" t="s">
        <v>9033</v>
      </c>
      <c r="V398" s="138" t="s">
        <v>9034</v>
      </c>
      <c r="W398" s="138" t="str">
        <f ca="1">IFERROR(__xludf.DUMMYFUNCTION("filter(H:H,I:I=U398,J:J=V398)"),"Prakasam")</f>
        <v>Prakasam</v>
      </c>
    </row>
    <row r="399" spans="7:23">
      <c r="G399" s="138" t="s">
        <v>9003</v>
      </c>
      <c r="H399" s="138" t="s">
        <v>9003</v>
      </c>
      <c r="I399" s="138" t="s">
        <v>9033</v>
      </c>
      <c r="J399" s="138" t="s">
        <v>9038</v>
      </c>
      <c r="K399" s="138" t="str">
        <f ca="1">IFERROR(__xludf.DUMMYFUNCTION("unique(filter(R:R,R:R=I399))"),"Markapuram")</f>
        <v>Markapuram</v>
      </c>
      <c r="N399" s="138" t="str">
        <f ca="1">IFERROR(__xludf.DUMMYFUNCTION("unique(filter(W:W,U:U=R399))"),"Nandyal")</f>
        <v>Nandyal</v>
      </c>
      <c r="O399" s="138" t="s">
        <v>8948</v>
      </c>
      <c r="P399" s="138" t="s">
        <v>9039</v>
      </c>
      <c r="Q399" s="138" t="str">
        <f ca="1">IFERROR(__xludf.DUMMYFUNCTION("filter(I:I,J:J=P399,G:G=O399)"),"Allagadda")</f>
        <v>Allagadda</v>
      </c>
      <c r="R399" s="138" t="s">
        <v>8725</v>
      </c>
      <c r="U399" s="138" t="s">
        <v>9033</v>
      </c>
      <c r="V399" s="138" t="s">
        <v>9036</v>
      </c>
      <c r="W399" s="138" t="str">
        <f ca="1">IFERROR(__xludf.DUMMYFUNCTION("filter(H:H,I:I=U399,J:J=V399)"),"Prakasam")</f>
        <v>Prakasam</v>
      </c>
    </row>
    <row r="400" spans="7:23">
      <c r="G400" s="138" t="s">
        <v>9003</v>
      </c>
      <c r="H400" s="138" t="s">
        <v>9003</v>
      </c>
      <c r="I400" s="138" t="s">
        <v>9033</v>
      </c>
      <c r="J400" s="138" t="s">
        <v>9040</v>
      </c>
      <c r="K400" s="138" t="str">
        <f ca="1">IFERROR(__xludf.DUMMYFUNCTION("unique(filter(R:R,R:R=I400))"),"Markapuram")</f>
        <v>Markapuram</v>
      </c>
      <c r="N400" s="138" t="str">
        <f ca="1">IFERROR(__xludf.DUMMYFUNCTION("unique(filter(W:W,U:U=R400))"),"Nandyal")</f>
        <v>Nandyal</v>
      </c>
      <c r="O400" s="138" t="s">
        <v>8948</v>
      </c>
      <c r="P400" s="138" t="s">
        <v>9041</v>
      </c>
      <c r="Q400" s="138" t="str">
        <f ca="1">IFERROR(__xludf.DUMMYFUNCTION("filter(I:I,J:J=P400,G:G=O400)"),"Srisailam")</f>
        <v>Srisailam</v>
      </c>
      <c r="R400" s="138" t="s">
        <v>8713</v>
      </c>
      <c r="U400" s="138" t="s">
        <v>9033</v>
      </c>
      <c r="V400" s="138" t="s">
        <v>9038</v>
      </c>
      <c r="W400" s="138" t="str">
        <f ca="1">IFERROR(__xludf.DUMMYFUNCTION("filter(H:H,I:I=U400,J:J=V400)"),"Prakasam")</f>
        <v>Prakasam</v>
      </c>
    </row>
    <row r="401" spans="7:23">
      <c r="G401" s="138" t="s">
        <v>9003</v>
      </c>
      <c r="H401" s="138" t="s">
        <v>9003</v>
      </c>
      <c r="I401" s="138" t="s">
        <v>9033</v>
      </c>
      <c r="J401" s="138" t="s">
        <v>9042</v>
      </c>
      <c r="K401" s="138" t="str">
        <f ca="1">IFERROR(__xludf.DUMMYFUNCTION("unique(filter(R:R,R:R=I401))"),"Markapuram")</f>
        <v>Markapuram</v>
      </c>
      <c r="N401" s="138" t="str">
        <f ca="1">IFERROR(__xludf.DUMMYFUNCTION("unique(filter(W:W,U:U=R401))"),"Kurnool")</f>
        <v>Kurnool</v>
      </c>
      <c r="O401" s="138" t="s">
        <v>8948</v>
      </c>
      <c r="P401" s="138" t="s">
        <v>9043</v>
      </c>
      <c r="Q401" s="138" t="str">
        <f ca="1">IFERROR(__xludf.DUMMYFUNCTION("filter(I:I,J:J=P401,G:G=O401)"),"Pattikonda")</f>
        <v>Pattikonda</v>
      </c>
      <c r="R401" s="138" t="s">
        <v>8641</v>
      </c>
      <c r="U401" s="138" t="s">
        <v>9033</v>
      </c>
      <c r="V401" s="138" t="s">
        <v>9040</v>
      </c>
      <c r="W401" s="138" t="str">
        <f ca="1">IFERROR(__xludf.DUMMYFUNCTION("filter(H:H,I:I=U401,J:J=V401)"),"Prakasam")</f>
        <v>Prakasam</v>
      </c>
    </row>
    <row r="402" spans="7:23">
      <c r="G402" s="138" t="s">
        <v>9003</v>
      </c>
      <c r="H402" s="138" t="s">
        <v>9003</v>
      </c>
      <c r="I402" s="138" t="s">
        <v>9033</v>
      </c>
      <c r="J402" s="138" t="s">
        <v>9044</v>
      </c>
      <c r="K402" s="138" t="str">
        <f ca="1">IFERROR(__xludf.DUMMYFUNCTION("unique(filter(R:R,R:R=I402))"),"Markapuram")</f>
        <v>Markapuram</v>
      </c>
      <c r="N402" s="138" t="str">
        <f ca="1">IFERROR(__xludf.DUMMYFUNCTION("unique(filter(W:W,U:U=R402))"),"Nandyal")</f>
        <v>Nandyal</v>
      </c>
      <c r="O402" s="138" t="s">
        <v>8948</v>
      </c>
      <c r="P402" s="138" t="s">
        <v>9045</v>
      </c>
      <c r="Q402" s="138" t="str">
        <f ca="1">IFERROR(__xludf.DUMMYFUNCTION("filter(I:I,J:J=P402,G:G=O402)"),"Allagadda")</f>
        <v>Allagadda</v>
      </c>
      <c r="R402" s="138" t="s">
        <v>8725</v>
      </c>
      <c r="U402" s="138" t="s">
        <v>9033</v>
      </c>
      <c r="V402" s="138" t="s">
        <v>9042</v>
      </c>
      <c r="W402" s="138" t="str">
        <f ca="1">IFERROR(__xludf.DUMMYFUNCTION("filter(H:H,I:I=U402,J:J=V402)"),"Prakasam")</f>
        <v>Prakasam</v>
      </c>
    </row>
    <row r="403" spans="7:23">
      <c r="G403" s="138" t="s">
        <v>9003</v>
      </c>
      <c r="H403" s="138" t="s">
        <v>9003</v>
      </c>
      <c r="I403" s="138" t="s">
        <v>9046</v>
      </c>
      <c r="J403" s="138" t="s">
        <v>9047</v>
      </c>
      <c r="K403" s="138" t="str">
        <f ca="1">IFERROR(__xludf.DUMMYFUNCTION("unique(filter(R:R,R:R=I403))"),"Kondapi (Sc)")</f>
        <v>Kondapi (Sc)</v>
      </c>
      <c r="N403" s="138" t="str">
        <f ca="1">IFERROR(__xludf.DUMMYFUNCTION("unique(filter(W:W,U:U=R403))"),"Kurnool")</f>
        <v>Kurnool</v>
      </c>
      <c r="O403" s="138" t="s">
        <v>8948</v>
      </c>
      <c r="P403" s="138" t="s">
        <v>9048</v>
      </c>
      <c r="Q403" s="138" t="str">
        <f ca="1">IFERROR(__xludf.DUMMYFUNCTION("filter(I:I,J:J=P403,G:G=O403)"),"#N/A")</f>
        <v>#N/A</v>
      </c>
      <c r="R403" s="138" t="s">
        <v>8641</v>
      </c>
      <c r="U403" s="138" t="s">
        <v>9033</v>
      </c>
      <c r="V403" s="138" t="s">
        <v>9044</v>
      </c>
      <c r="W403" s="138" t="str">
        <f ca="1">IFERROR(__xludf.DUMMYFUNCTION("filter(H:H,I:I=U403,J:J=V403)"),"Prakasam")</f>
        <v>Prakasam</v>
      </c>
    </row>
    <row r="404" spans="7:23">
      <c r="G404" s="138" t="s">
        <v>9003</v>
      </c>
      <c r="H404" s="138" t="s">
        <v>9003</v>
      </c>
      <c r="I404" s="138" t="s">
        <v>9046</v>
      </c>
      <c r="J404" s="138" t="s">
        <v>9049</v>
      </c>
      <c r="K404" s="138" t="str">
        <f ca="1">IFERROR(__xludf.DUMMYFUNCTION("unique(filter(R:R,R:R=I404))"),"Kondapi (Sc)")</f>
        <v>Kondapi (Sc)</v>
      </c>
      <c r="N404" s="138" t="str">
        <f ca="1">IFERROR(__xludf.DUMMYFUNCTION("unique(filter(W:W,U:U=R404))"),"Nandyal")</f>
        <v>Nandyal</v>
      </c>
      <c r="O404" s="138" t="s">
        <v>8948</v>
      </c>
      <c r="P404" s="138" t="s">
        <v>9050</v>
      </c>
      <c r="Q404" s="138" t="str">
        <f ca="1">IFERROR(__xludf.DUMMYFUNCTION("filter(I:I,J:J=P404,G:G=O404)"),"Srisailam")</f>
        <v>Srisailam</v>
      </c>
      <c r="R404" s="138" t="s">
        <v>8713</v>
      </c>
      <c r="U404" s="138" t="s">
        <v>9046</v>
      </c>
      <c r="V404" s="138" t="s">
        <v>9047</v>
      </c>
      <c r="W404" s="138" t="str">
        <f ca="1">IFERROR(__xludf.DUMMYFUNCTION("filter(H:H,I:I=U404,J:J=V404)"),"Prakasam")</f>
        <v>Prakasam</v>
      </c>
    </row>
    <row r="405" spans="7:23">
      <c r="G405" s="138" t="s">
        <v>9003</v>
      </c>
      <c r="H405" s="138" t="s">
        <v>9003</v>
      </c>
      <c r="I405" s="138" t="s">
        <v>9046</v>
      </c>
      <c r="J405" s="138" t="s">
        <v>9051</v>
      </c>
      <c r="K405" s="138" t="str">
        <f ca="1">IFERROR(__xludf.DUMMYFUNCTION("unique(filter(R:R,R:R=I405))"),"Kondapi (Sc)")</f>
        <v>Kondapi (Sc)</v>
      </c>
      <c r="N405" s="138" t="str">
        <f ca="1">IFERROR(__xludf.DUMMYFUNCTION("unique(filter(W:W,U:U=R405))"),"Kurnool")</f>
        <v>Kurnool</v>
      </c>
      <c r="O405" s="138" t="s">
        <v>8948</v>
      </c>
      <c r="P405" s="138" t="s">
        <v>9052</v>
      </c>
      <c r="Q405" s="138" t="str">
        <f ca="1">IFERROR(__xludf.DUMMYFUNCTION("filter(I:I,J:J=P405,G:G=O405)"),"Yemmiganur")</f>
        <v>Yemmiganur</v>
      </c>
      <c r="R405" s="138" t="s">
        <v>8619</v>
      </c>
      <c r="U405" s="138" t="s">
        <v>9046</v>
      </c>
      <c r="V405" s="138" t="s">
        <v>9049</v>
      </c>
      <c r="W405" s="138" t="str">
        <f ca="1">IFERROR(__xludf.DUMMYFUNCTION("filter(H:H,I:I=U405,J:J=V405)"),"Prakasam")</f>
        <v>Prakasam</v>
      </c>
    </row>
    <row r="406" spans="7:23">
      <c r="G406" s="138" t="s">
        <v>9003</v>
      </c>
      <c r="H406" s="138" t="s">
        <v>9003</v>
      </c>
      <c r="I406" s="138" t="s">
        <v>9046</v>
      </c>
      <c r="J406" s="138" t="s">
        <v>9053</v>
      </c>
      <c r="K406" s="138" t="str">
        <f ca="1">IFERROR(__xludf.DUMMYFUNCTION("unique(filter(R:R,R:R=I406))"),"Kondapi (Sc)")</f>
        <v>Kondapi (Sc)</v>
      </c>
      <c r="N406" s="138" t="str">
        <f ca="1">IFERROR(__xludf.DUMMYFUNCTION("unique(filter(W:W,U:U=R406))"),"Nellore")</f>
        <v>Nellore</v>
      </c>
      <c r="O406" s="138" t="s">
        <v>9054</v>
      </c>
      <c r="P406" s="138" t="s">
        <v>9055</v>
      </c>
      <c r="Q406" s="138" t="str">
        <f ca="1">IFERROR(__xludf.DUMMYFUNCTION("filter(I:I,J:J=P406,G:G=O406)"),"Kavali")</f>
        <v>Kavali</v>
      </c>
      <c r="R406" s="138" t="s">
        <v>8992</v>
      </c>
      <c r="U406" s="138" t="s">
        <v>9046</v>
      </c>
      <c r="V406" s="138" t="s">
        <v>9051</v>
      </c>
      <c r="W406" s="138" t="str">
        <f ca="1">IFERROR(__xludf.DUMMYFUNCTION("filter(H:H,I:I=U406,J:J=V406)"),"Prakasam")</f>
        <v>Prakasam</v>
      </c>
    </row>
    <row r="407" spans="7:23">
      <c r="G407" s="138" t="s">
        <v>9003</v>
      </c>
      <c r="H407" s="138" t="s">
        <v>9003</v>
      </c>
      <c r="I407" s="138" t="s">
        <v>9046</v>
      </c>
      <c r="J407" s="138" t="s">
        <v>9056</v>
      </c>
      <c r="K407" s="138" t="str">
        <f ca="1">IFERROR(__xludf.DUMMYFUNCTION("unique(filter(R:R,R:R=I407))"),"Kondapi (Sc)")</f>
        <v>Kondapi (Sc)</v>
      </c>
      <c r="N407" s="138" t="str">
        <f ca="1">IFERROR(__xludf.DUMMYFUNCTION("unique(filter(W:W,U:U=R407))"),"Nellore")</f>
        <v>Nellore</v>
      </c>
      <c r="O407" s="138" t="s">
        <v>9054</v>
      </c>
      <c r="P407" s="138" t="s">
        <v>9057</v>
      </c>
      <c r="Q407" s="138" t="str">
        <f ca="1">IFERROR(__xludf.DUMMYFUNCTION("filter(I:I,J:J=P407,G:G=O407)"),"Atmakur")</f>
        <v>Atmakur</v>
      </c>
      <c r="R407" s="138" t="s">
        <v>8513</v>
      </c>
      <c r="U407" s="138" t="s">
        <v>9046</v>
      </c>
      <c r="V407" s="138" t="s">
        <v>9053</v>
      </c>
      <c r="W407" s="138" t="str">
        <f ca="1">IFERROR(__xludf.DUMMYFUNCTION("filter(H:H,I:I=U407,J:J=V407)"),"Prakasam")</f>
        <v>Prakasam</v>
      </c>
    </row>
    <row r="408" spans="7:23">
      <c r="G408" s="138" t="s">
        <v>9003</v>
      </c>
      <c r="H408" s="138" t="s">
        <v>9003</v>
      </c>
      <c r="I408" s="138" t="s">
        <v>9046</v>
      </c>
      <c r="J408" s="138" t="s">
        <v>9058</v>
      </c>
      <c r="K408" s="138" t="str">
        <f ca="1">IFERROR(__xludf.DUMMYFUNCTION("unique(filter(R:R,R:R=I408))"),"Kondapi (Sc)")</f>
        <v>Kondapi (Sc)</v>
      </c>
      <c r="N408" s="138" t="str">
        <f ca="1">IFERROR(__xludf.DUMMYFUNCTION("unique(filter(W:W,U:U=R408))"),"Nellore")</f>
        <v>Nellore</v>
      </c>
      <c r="O408" s="138" t="s">
        <v>9054</v>
      </c>
      <c r="P408" s="138" t="s">
        <v>9059</v>
      </c>
      <c r="Q408" s="138" t="str">
        <f ca="1">IFERROR(__xludf.DUMMYFUNCTION("filter(I:I,J:J=P408,G:G=O408)"),"Atmakur")</f>
        <v>Atmakur</v>
      </c>
      <c r="R408" s="138" t="s">
        <v>8513</v>
      </c>
      <c r="U408" s="138" t="s">
        <v>9046</v>
      </c>
      <c r="V408" s="138" t="s">
        <v>9056</v>
      </c>
      <c r="W408" s="138" t="str">
        <f ca="1">IFERROR(__xludf.DUMMYFUNCTION("filter(H:H,I:I=U408,J:J=V408)"),"Prakasam")</f>
        <v>Prakasam</v>
      </c>
    </row>
    <row r="409" spans="7:23">
      <c r="G409" s="138" t="s">
        <v>9003</v>
      </c>
      <c r="H409" s="138" t="s">
        <v>8881</v>
      </c>
      <c r="I409" s="138" t="s">
        <v>9060</v>
      </c>
      <c r="J409" s="138" t="s">
        <v>9061</v>
      </c>
      <c r="K409" s="138" t="str">
        <f ca="1">IFERROR(__xludf.DUMMYFUNCTION("unique(filter(R:R,R:R=I409))"),"Kandukur")</f>
        <v>Kandukur</v>
      </c>
      <c r="N409" s="138" t="str">
        <f ca="1">IFERROR(__xludf.DUMMYFUNCTION("unique(filter(W:W,U:U=R409))"),"Nellore")</f>
        <v>Nellore</v>
      </c>
      <c r="O409" s="138" t="s">
        <v>9054</v>
      </c>
      <c r="P409" s="138" t="s">
        <v>9062</v>
      </c>
      <c r="Q409" s="138" t="str">
        <f ca="1">IFERROR(__xludf.DUMMYFUNCTION("filter(I:I,J:J=P409,G:G=O409)"),"#N/A")</f>
        <v>#N/A</v>
      </c>
      <c r="R409" s="138" t="s">
        <v>8513</v>
      </c>
      <c r="U409" s="138" t="s">
        <v>9046</v>
      </c>
      <c r="V409" s="138" t="s">
        <v>9058</v>
      </c>
      <c r="W409" s="138" t="str">
        <f ca="1">IFERROR(__xludf.DUMMYFUNCTION("filter(H:H,I:I=U409,J:J=V409)"),"Prakasam")</f>
        <v>Prakasam</v>
      </c>
    </row>
    <row r="410" spans="7:23">
      <c r="G410" s="138" t="s">
        <v>9003</v>
      </c>
      <c r="H410" s="138" t="s">
        <v>8881</v>
      </c>
      <c r="I410" s="138" t="s">
        <v>9060</v>
      </c>
      <c r="J410" s="138" t="s">
        <v>9063</v>
      </c>
      <c r="K410" s="138" t="str">
        <f ca="1">IFERROR(__xludf.DUMMYFUNCTION("unique(filter(R:R,R:R=I410))"),"Kandukur")</f>
        <v>Kandukur</v>
      </c>
      <c r="N410" s="138" t="str">
        <f ca="1">IFERROR(__xludf.DUMMYFUNCTION("unique(filter(W:W,U:U=R410))"),"Tirupati")</f>
        <v>Tirupati</v>
      </c>
      <c r="O410" s="138" t="s">
        <v>9054</v>
      </c>
      <c r="P410" s="138" t="s">
        <v>9064</v>
      </c>
      <c r="Q410" s="138" t="str">
        <f ca="1">IFERROR(__xludf.DUMMYFUNCTION("filter(I:I,J:J=P410,G:G=O410)"),"Venkatagiri")</f>
        <v>Venkatagiri</v>
      </c>
      <c r="R410" s="138" t="s">
        <v>8899</v>
      </c>
      <c r="U410" s="138" t="s">
        <v>9060</v>
      </c>
      <c r="V410" s="138" t="s">
        <v>9061</v>
      </c>
      <c r="W410" s="138" t="str">
        <f ca="1">IFERROR(__xludf.DUMMYFUNCTION("filter(H:H,I:I=U410,J:J=V410)"),"Nellore")</f>
        <v>Nellore</v>
      </c>
    </row>
    <row r="411" spans="7:23">
      <c r="G411" s="138" t="s">
        <v>9003</v>
      </c>
      <c r="H411" s="138" t="s">
        <v>8881</v>
      </c>
      <c r="I411" s="138" t="s">
        <v>9060</v>
      </c>
      <c r="J411" s="138" t="s">
        <v>9060</v>
      </c>
      <c r="K411" s="138" t="str">
        <f ca="1">IFERROR(__xludf.DUMMYFUNCTION("unique(filter(R:R,R:R=I411))"),"Kandukur")</f>
        <v>Kandukur</v>
      </c>
      <c r="N411" s="138" t="str">
        <f ca="1">IFERROR(__xludf.DUMMYFUNCTION("unique(filter(W:W,U:U=R411))"),"Nellore")</f>
        <v>Nellore</v>
      </c>
      <c r="O411" s="138" t="s">
        <v>9054</v>
      </c>
      <c r="P411" s="138" t="s">
        <v>9065</v>
      </c>
      <c r="Q411" s="138" t="str">
        <f ca="1">IFERROR(__xludf.DUMMYFUNCTION("filter(I:I,J:J=P411,G:G=O411)"),"Kavali")</f>
        <v>Kavali</v>
      </c>
      <c r="R411" s="138" t="s">
        <v>8992</v>
      </c>
      <c r="U411" s="138" t="s">
        <v>9060</v>
      </c>
      <c r="V411" s="138" t="s">
        <v>9063</v>
      </c>
      <c r="W411" s="138" t="str">
        <f ca="1">IFERROR(__xludf.DUMMYFUNCTION("filter(H:H,I:I=U411,J:J=V411)"),"Nellore")</f>
        <v>Nellore</v>
      </c>
    </row>
    <row r="412" spans="7:23">
      <c r="G412" s="138" t="s">
        <v>9003</v>
      </c>
      <c r="H412" s="138" t="s">
        <v>8881</v>
      </c>
      <c r="I412" s="138" t="s">
        <v>9060</v>
      </c>
      <c r="J412" s="138" t="s">
        <v>9066</v>
      </c>
      <c r="K412" s="138" t="str">
        <f ca="1">IFERROR(__xludf.DUMMYFUNCTION("unique(filter(R:R,R:R=I412))"),"Kandukur")</f>
        <v>Kandukur</v>
      </c>
      <c r="N412" s="138" t="str">
        <f ca="1">IFERROR(__xludf.DUMMYFUNCTION("unique(filter(W:W,U:U=R412))"),"Nellore")</f>
        <v>Nellore</v>
      </c>
      <c r="O412" s="138" t="s">
        <v>9054</v>
      </c>
      <c r="P412" s="138" t="s">
        <v>9067</v>
      </c>
      <c r="Q412" s="138" t="str">
        <f ca="1">IFERROR(__xludf.DUMMYFUNCTION("filter(I:I,J:J=P412,G:G=O412)"),"Kovur")</f>
        <v>Kovur</v>
      </c>
      <c r="R412" s="138" t="s">
        <v>8966</v>
      </c>
      <c r="U412" s="138" t="s">
        <v>9060</v>
      </c>
      <c r="V412" s="138" t="s">
        <v>9060</v>
      </c>
      <c r="W412" s="138" t="str">
        <f ca="1">IFERROR(__xludf.DUMMYFUNCTION("filter(H:H,I:I=U412,J:J=V412)"),"Nellore")</f>
        <v>Nellore</v>
      </c>
    </row>
    <row r="413" spans="7:23">
      <c r="G413" s="138" t="s">
        <v>9003</v>
      </c>
      <c r="H413" s="138" t="s">
        <v>8881</v>
      </c>
      <c r="I413" s="138" t="s">
        <v>9060</v>
      </c>
      <c r="J413" s="138" t="s">
        <v>9068</v>
      </c>
      <c r="K413" s="138" t="str">
        <f ca="1">IFERROR(__xludf.DUMMYFUNCTION("unique(filter(R:R,R:R=I413))"),"Kandukur")</f>
        <v>Kandukur</v>
      </c>
      <c r="N413" s="138" t="str">
        <f ca="1">IFERROR(__xludf.DUMMYFUNCTION("unique(filter(W:W,U:U=R413))"),"Nellore")</f>
        <v>Nellore</v>
      </c>
      <c r="O413" s="138" t="s">
        <v>9054</v>
      </c>
      <c r="P413" s="138" t="s">
        <v>9069</v>
      </c>
      <c r="Q413" s="138" t="str">
        <f ca="1">IFERROR(__xludf.DUMMYFUNCTION("filter(I:I,J:J=P413,G:G=O413)"),"Atmakur")</f>
        <v>Atmakur</v>
      </c>
      <c r="R413" s="138" t="s">
        <v>8513</v>
      </c>
      <c r="U413" s="138" t="s">
        <v>9060</v>
      </c>
      <c r="V413" s="138" t="s">
        <v>9066</v>
      </c>
      <c r="W413" s="138" t="str">
        <f ca="1">IFERROR(__xludf.DUMMYFUNCTION("filter(H:H,I:I=U413,J:J=V413)"),"Nellore")</f>
        <v>Nellore</v>
      </c>
    </row>
    <row r="414" spans="7:23">
      <c r="G414" s="138" t="s">
        <v>9003</v>
      </c>
      <c r="H414" s="138" t="s">
        <v>8881</v>
      </c>
      <c r="I414" s="138" t="s">
        <v>9060</v>
      </c>
      <c r="J414" s="138" t="s">
        <v>9070</v>
      </c>
      <c r="K414" s="138" t="str">
        <f ca="1">IFERROR(__xludf.DUMMYFUNCTION("unique(filter(R:R,R:R=I414))"),"Kandukur")</f>
        <v>Kandukur</v>
      </c>
      <c r="N414" s="138" t="str">
        <f ca="1">IFERROR(__xludf.DUMMYFUNCTION("unique(filter(W:W,U:U=R414))"),"Tirupati")</f>
        <v>Tirupati</v>
      </c>
      <c r="O414" s="138" t="s">
        <v>9054</v>
      </c>
      <c r="P414" s="138" t="s">
        <v>9071</v>
      </c>
      <c r="Q414" s="138" t="str">
        <f ca="1">IFERROR(__xludf.DUMMYFUNCTION("filter(I:I,J:J=P414,G:G=O414)"),"Gudur (Sc)")</f>
        <v>Gudur (Sc)</v>
      </c>
      <c r="R414" s="138" t="s">
        <v>8932</v>
      </c>
      <c r="U414" s="138" t="s">
        <v>9060</v>
      </c>
      <c r="V414" s="138" t="s">
        <v>9068</v>
      </c>
      <c r="W414" s="138" t="str">
        <f ca="1">IFERROR(__xludf.DUMMYFUNCTION("filter(H:H,I:I=U414,J:J=V414)"),"Nellore")</f>
        <v>Nellore</v>
      </c>
    </row>
    <row r="415" spans="7:23">
      <c r="G415" s="138" t="e">
        <v>#N/A</v>
      </c>
      <c r="H415" s="138" t="e">
        <v>#N/A</v>
      </c>
      <c r="I415" s="138" t="s">
        <v>9060</v>
      </c>
      <c r="J415" s="138" t="e">
        <v>#N/A</v>
      </c>
      <c r="K415" s="138" t="str">
        <f ca="1">IFERROR(__xludf.DUMMYFUNCTION("unique(filter(R:R,R:R=I415))"),"Kandukur")</f>
        <v>Kandukur</v>
      </c>
      <c r="N415" s="138" t="str">
        <f ca="1">IFERROR(__xludf.DUMMYFUNCTION("unique(filter(W:W,U:U=R415))"),"Tirupati")</f>
        <v>Tirupati</v>
      </c>
      <c r="O415" s="138" t="s">
        <v>9054</v>
      </c>
      <c r="P415" s="138" t="s">
        <v>9072</v>
      </c>
      <c r="Q415" s="138" t="str">
        <f ca="1">IFERROR(__xludf.DUMMYFUNCTION("filter(I:I,J:J=P415,G:G=O415)"),"Gudur (Sc)")</f>
        <v>Gudur (Sc)</v>
      </c>
      <c r="R415" s="138" t="s">
        <v>8932</v>
      </c>
      <c r="U415" s="138" t="s">
        <v>9060</v>
      </c>
      <c r="V415" s="138" t="s">
        <v>9070</v>
      </c>
      <c r="W415" s="138" t="str">
        <f ca="1">IFERROR(__xludf.DUMMYFUNCTION("filter(H:H,I:I=U415,J:J=V415)"),"Nellore")</f>
        <v>Nellore</v>
      </c>
    </row>
    <row r="416" spans="7:23">
      <c r="G416" s="138" t="s">
        <v>9003</v>
      </c>
      <c r="H416" s="138" t="s">
        <v>9003</v>
      </c>
      <c r="I416" s="138" t="s">
        <v>9073</v>
      </c>
      <c r="J416" s="138" t="s">
        <v>9073</v>
      </c>
      <c r="K416" s="138" t="str">
        <f ca="1">IFERROR(__xludf.DUMMYFUNCTION("unique(filter(R:R,R:R=I416))"),"Ongole")</f>
        <v>Ongole</v>
      </c>
      <c r="N416" s="138" t="str">
        <f ca="1">IFERROR(__xludf.DUMMYFUNCTION("unique(filter(W:W,U:U=R416))"),"Nellore")</f>
        <v>Nellore</v>
      </c>
      <c r="O416" s="138" t="s">
        <v>9054</v>
      </c>
      <c r="P416" s="138" t="s">
        <v>9074</v>
      </c>
      <c r="Q416" s="138" t="str">
        <f ca="1">IFERROR(__xludf.DUMMYFUNCTION("filter(I:I,J:J=P416,G:G=O416)"),"Kavali")</f>
        <v>Kavali</v>
      </c>
      <c r="R416" s="138" t="s">
        <v>8992</v>
      </c>
    </row>
    <row r="417" spans="7:23">
      <c r="G417" s="138" t="s">
        <v>9003</v>
      </c>
      <c r="H417" s="138" t="s">
        <v>9003</v>
      </c>
      <c r="I417" s="138" t="s">
        <v>9073</v>
      </c>
      <c r="J417" s="138" t="s">
        <v>9075</v>
      </c>
      <c r="K417" s="138" t="str">
        <f ca="1">IFERROR(__xludf.DUMMYFUNCTION("unique(filter(R:R,R:R=I417))"),"Ongole")</f>
        <v>Ongole</v>
      </c>
      <c r="N417" s="138" t="str">
        <f ca="1">IFERROR(__xludf.DUMMYFUNCTION("unique(filter(W:W,U:U=R417))"),"Tirupati")</f>
        <v>Tirupati</v>
      </c>
      <c r="O417" s="138" t="s">
        <v>9054</v>
      </c>
      <c r="P417" s="138" t="s">
        <v>9076</v>
      </c>
      <c r="Q417" s="138" t="str">
        <f ca="1">IFERROR(__xludf.DUMMYFUNCTION("filter(I:I,J:J=P417,G:G=O417)"),"Venkatagiri")</f>
        <v>Venkatagiri</v>
      </c>
      <c r="R417" s="138" t="s">
        <v>8899</v>
      </c>
      <c r="U417" s="138" t="s">
        <v>9073</v>
      </c>
      <c r="V417" s="138" t="s">
        <v>9073</v>
      </c>
      <c r="W417" s="138" t="str">
        <f ca="1">IFERROR(__xludf.DUMMYFUNCTION("filter(H:H,I:I=U417,J:J=V417)"),"Prakasam")</f>
        <v>Prakasam</v>
      </c>
    </row>
    <row r="418" spans="7:23">
      <c r="G418" s="138" t="s">
        <v>9003</v>
      </c>
      <c r="H418" s="138" t="s">
        <v>9003</v>
      </c>
      <c r="I418" s="138" t="s">
        <v>9073</v>
      </c>
      <c r="J418" s="138" t="s">
        <v>9077</v>
      </c>
      <c r="K418" s="138" t="str">
        <f ca="1">IFERROR(__xludf.DUMMYFUNCTION("unique(filter(R:R,R:R=I418))"),"Ongole")</f>
        <v>Ongole</v>
      </c>
      <c r="N418" s="138" t="str">
        <f ca="1">IFERROR(__xludf.DUMMYFUNCTION("unique(filter(W:W,U:U=R418))"),"Tirupati")</f>
        <v>Tirupati</v>
      </c>
      <c r="O418" s="138" t="s">
        <v>9054</v>
      </c>
      <c r="P418" s="138" t="s">
        <v>9078</v>
      </c>
      <c r="Q418" s="138" t="str">
        <f ca="1">IFERROR(__xludf.DUMMYFUNCTION("filter(I:I,J:J=P418,G:G=O418)"),"Sullurpeta (Sc)")</f>
        <v>Sullurpeta (Sc)</v>
      </c>
      <c r="R418" s="138" t="s">
        <v>8914</v>
      </c>
      <c r="U418" s="138" t="s">
        <v>9073</v>
      </c>
      <c r="V418" s="138" t="s">
        <v>9075</v>
      </c>
      <c r="W418" s="138" t="str">
        <f ca="1">IFERROR(__xludf.DUMMYFUNCTION("filter(H:H,I:I=U418,J:J=V418)"),"Prakasam")</f>
        <v>Prakasam</v>
      </c>
    </row>
    <row r="419" spans="7:23">
      <c r="G419" s="138" t="e">
        <v>#N/A</v>
      </c>
      <c r="H419" s="138" t="e">
        <v>#N/A</v>
      </c>
      <c r="I419" s="138" t="s">
        <v>9073</v>
      </c>
      <c r="J419" s="138" t="e">
        <v>#N/A</v>
      </c>
      <c r="K419" s="138" t="str">
        <f ca="1">IFERROR(__xludf.DUMMYFUNCTION("unique(filter(R:R,R:R=I419))"),"Ongole")</f>
        <v>Ongole</v>
      </c>
      <c r="N419" s="138" t="str">
        <f ca="1">IFERROR(__xludf.DUMMYFUNCTION("unique(filter(W:W,U:U=R419))"),"Nellore")</f>
        <v>Nellore</v>
      </c>
      <c r="O419" s="138" t="s">
        <v>9054</v>
      </c>
      <c r="P419" s="138" t="s">
        <v>9079</v>
      </c>
      <c r="Q419" s="138" t="str">
        <f ca="1">IFERROR(__xludf.DUMMYFUNCTION("filter(I:I,J:J=P419,G:G=O419)"),"Udayagiri")</f>
        <v>Udayagiri</v>
      </c>
      <c r="R419" s="138" t="s">
        <v>8882</v>
      </c>
      <c r="U419" s="138" t="s">
        <v>9073</v>
      </c>
      <c r="V419" s="138" t="s">
        <v>9077</v>
      </c>
      <c r="W419" s="138" t="str">
        <f ca="1">IFERROR(__xludf.DUMMYFUNCTION("filter(H:H,I:I=U419,J:J=V419)"),"Prakasam")</f>
        <v>Prakasam</v>
      </c>
    </row>
    <row r="420" spans="7:23">
      <c r="G420" s="138" t="s">
        <v>9003</v>
      </c>
      <c r="H420" s="138" t="s">
        <v>9003</v>
      </c>
      <c r="I420" s="138" t="s">
        <v>9080</v>
      </c>
      <c r="J420" s="138" t="s">
        <v>9081</v>
      </c>
      <c r="K420" s="138" t="str">
        <f ca="1">IFERROR(__xludf.DUMMYFUNCTION("unique(filter(R:R,R:R=I420))"),"Santhanuthalapadu (Sc)")</f>
        <v>Santhanuthalapadu (Sc)</v>
      </c>
      <c r="N420" s="138" t="str">
        <f ca="1">IFERROR(__xludf.DUMMYFUNCTION("unique(filter(W:W,U:U=R420))"),"Tirupati")</f>
        <v>Tirupati</v>
      </c>
      <c r="O420" s="138" t="s">
        <v>9054</v>
      </c>
      <c r="P420" s="138" t="s">
        <v>9082</v>
      </c>
      <c r="Q420" s="138" t="str">
        <f ca="1">IFERROR(__xludf.DUMMYFUNCTION("filter(I:I,J:J=P420,G:G=O420)"),"#N/A")</f>
        <v>#N/A</v>
      </c>
      <c r="R420" s="138" t="s">
        <v>8932</v>
      </c>
    </row>
    <row r="421" spans="7:23">
      <c r="G421" s="138" t="s">
        <v>9003</v>
      </c>
      <c r="H421" s="138" t="s">
        <v>9003</v>
      </c>
      <c r="I421" s="138" t="s">
        <v>9080</v>
      </c>
      <c r="J421" s="138" t="s">
        <v>9083</v>
      </c>
      <c r="K421" s="138" t="str">
        <f ca="1">IFERROR(__xludf.DUMMYFUNCTION("unique(filter(R:R,R:R=I421))"),"Santhanuthalapadu (Sc)")</f>
        <v>Santhanuthalapadu (Sc)</v>
      </c>
      <c r="N421" s="138" t="str">
        <f ca="1">IFERROR(__xludf.DUMMYFUNCTION("unique(filter(W:W,U:U=R421))"),"Nellore")</f>
        <v>Nellore</v>
      </c>
      <c r="O421" s="138" t="s">
        <v>9054</v>
      </c>
      <c r="P421" s="138" t="s">
        <v>9084</v>
      </c>
      <c r="Q421" s="138" t="str">
        <f ca="1">IFERROR(__xludf.DUMMYFUNCTION("filter(I:I,J:J=P421,G:G=O421)"),"Kovur")</f>
        <v>Kovur</v>
      </c>
      <c r="R421" s="138" t="s">
        <v>8966</v>
      </c>
      <c r="U421" s="138" t="s">
        <v>9080</v>
      </c>
      <c r="V421" s="138" t="s">
        <v>9081</v>
      </c>
      <c r="W421" s="138" t="str">
        <f ca="1">IFERROR(__xludf.DUMMYFUNCTION("filter(H:H,I:I=U421,J:J=V421)"),"Prakasam")</f>
        <v>Prakasam</v>
      </c>
    </row>
    <row r="422" spans="7:23">
      <c r="G422" s="138" t="s">
        <v>9003</v>
      </c>
      <c r="H422" s="138" t="s">
        <v>9003</v>
      </c>
      <c r="I422" s="138" t="s">
        <v>9080</v>
      </c>
      <c r="J422" s="138" t="s">
        <v>9085</v>
      </c>
      <c r="K422" s="138" t="str">
        <f ca="1">IFERROR(__xludf.DUMMYFUNCTION("unique(filter(R:R,R:R=I422))"),"Santhanuthalapadu (Sc)")</f>
        <v>Santhanuthalapadu (Sc)</v>
      </c>
      <c r="N422" s="138" t="str">
        <f ca="1">IFERROR(__xludf.DUMMYFUNCTION("unique(filter(W:W,U:U=R422))"),"Nellore")</f>
        <v>Nellore</v>
      </c>
      <c r="O422" s="138" t="s">
        <v>9054</v>
      </c>
      <c r="P422" s="138" t="s">
        <v>9086</v>
      </c>
      <c r="Q422" s="138" t="str">
        <f ca="1">IFERROR(__xludf.DUMMYFUNCTION("filter(I:I,J:J=P422,G:G=O422)"),"Udayagiri")</f>
        <v>Udayagiri</v>
      </c>
      <c r="R422" s="138" t="s">
        <v>8882</v>
      </c>
      <c r="U422" s="138" t="s">
        <v>9080</v>
      </c>
      <c r="V422" s="138" t="s">
        <v>9083</v>
      </c>
      <c r="W422" s="138" t="str">
        <f ca="1">IFERROR(__xludf.DUMMYFUNCTION("filter(H:H,I:I=U422,J:J=V422)"),"Prakasam")</f>
        <v>Prakasam</v>
      </c>
    </row>
    <row r="423" spans="7:23">
      <c r="G423" s="138" t="s">
        <v>9003</v>
      </c>
      <c r="H423" s="138" t="s">
        <v>9003</v>
      </c>
      <c r="I423" s="138" t="s">
        <v>9080</v>
      </c>
      <c r="J423" s="138" t="s">
        <v>9087</v>
      </c>
      <c r="K423" s="138" t="str">
        <f ca="1">IFERROR(__xludf.DUMMYFUNCTION("unique(filter(R:R,R:R=I423))"),"Santhanuthalapadu (Sc)")</f>
        <v>Santhanuthalapadu (Sc)</v>
      </c>
      <c r="N423" s="138" t="str">
        <f ca="1">IFERROR(__xludf.DUMMYFUNCTION("unique(filter(W:W,U:U=R423))"),"Nellore")</f>
        <v>Nellore</v>
      </c>
      <c r="O423" s="138" t="s">
        <v>9054</v>
      </c>
      <c r="P423" s="138" t="s">
        <v>9088</v>
      </c>
      <c r="Q423" s="138" t="str">
        <f ca="1">IFERROR(__xludf.DUMMYFUNCTION("filter(I:I,J:J=P423,G:G=O423)"),"Udayagiri")</f>
        <v>Udayagiri</v>
      </c>
      <c r="R423" s="138" t="s">
        <v>8882</v>
      </c>
      <c r="U423" s="138" t="s">
        <v>9080</v>
      </c>
      <c r="V423" s="138" t="s">
        <v>9085</v>
      </c>
      <c r="W423" s="138" t="str">
        <f ca="1">IFERROR(__xludf.DUMMYFUNCTION("filter(H:H,I:I=U423,J:J=V423)"),"Prakasam")</f>
        <v>Prakasam</v>
      </c>
    </row>
    <row r="424" spans="7:23">
      <c r="G424" s="138" t="s">
        <v>9003</v>
      </c>
      <c r="H424" s="138" t="s">
        <v>9003</v>
      </c>
      <c r="I424" s="138" t="s">
        <v>9080</v>
      </c>
      <c r="J424" s="138" t="s">
        <v>9089</v>
      </c>
      <c r="K424" s="138" t="str">
        <f ca="1">IFERROR(__xludf.DUMMYFUNCTION("unique(filter(R:R,R:R=I424))"),"Santhanuthalapadu (Sc)")</f>
        <v>Santhanuthalapadu (Sc)</v>
      </c>
      <c r="N424" s="138" t="str">
        <f ca="1">IFERROR(__xludf.DUMMYFUNCTION("unique(filter(W:W,U:U=R424))"),"Tirupati")</f>
        <v>Tirupati</v>
      </c>
      <c r="O424" s="138" t="s">
        <v>9054</v>
      </c>
      <c r="P424" s="138" t="s">
        <v>9090</v>
      </c>
      <c r="Q424" s="138" t="str">
        <f ca="1">IFERROR(__xludf.DUMMYFUNCTION("filter(I:I,J:J=P424,G:G=O424)"),"Venkatagiri")</f>
        <v>Venkatagiri</v>
      </c>
      <c r="R424" s="138" t="s">
        <v>8899</v>
      </c>
      <c r="U424" s="138" t="s">
        <v>9080</v>
      </c>
      <c r="V424" s="138" t="s">
        <v>9087</v>
      </c>
      <c r="W424" s="138" t="str">
        <f ca="1">IFERROR(__xludf.DUMMYFUNCTION("filter(H:H,I:I=U424,J:J=V424)"),"Prakasam")</f>
        <v>Prakasam</v>
      </c>
    </row>
    <row r="425" spans="7:23">
      <c r="G425" s="138" t="s">
        <v>9003</v>
      </c>
      <c r="H425" s="138" t="s">
        <v>8638</v>
      </c>
      <c r="I425" s="138" t="s">
        <v>9091</v>
      </c>
      <c r="J425" s="138" t="s">
        <v>9091</v>
      </c>
      <c r="K425" s="138" t="str">
        <f ca="1">IFERROR(__xludf.DUMMYFUNCTION("unique(filter(R:R,R:R=I425))"),"Chirala")</f>
        <v>Chirala</v>
      </c>
      <c r="N425" s="138" t="str">
        <f ca="1">IFERROR(__xludf.DUMMYFUNCTION("unique(filter(W:W,U:U=R425))"),"Nellore")</f>
        <v>Nellore</v>
      </c>
      <c r="O425" s="138" t="s">
        <v>9054</v>
      </c>
      <c r="P425" s="138" t="s">
        <v>9092</v>
      </c>
      <c r="Q425" s="138" t="str">
        <f ca="1">IFERROR(__xludf.DUMMYFUNCTION("filter(I:I,J:J=P425,G:G=O425)"),"Kavali")</f>
        <v>Kavali</v>
      </c>
      <c r="R425" s="138" t="s">
        <v>8992</v>
      </c>
      <c r="U425" s="138" t="s">
        <v>9080</v>
      </c>
      <c r="V425" s="138" t="s">
        <v>9089</v>
      </c>
      <c r="W425" s="138" t="str">
        <f ca="1">IFERROR(__xludf.DUMMYFUNCTION("filter(H:H,I:I=U425,J:J=V425)"),"Prakasam")</f>
        <v>Prakasam</v>
      </c>
    </row>
    <row r="426" spans="7:23">
      <c r="G426" s="138" t="s">
        <v>9003</v>
      </c>
      <c r="H426" s="138" t="s">
        <v>8638</v>
      </c>
      <c r="I426" s="138" t="s">
        <v>9091</v>
      </c>
      <c r="J426" s="138" t="s">
        <v>9093</v>
      </c>
      <c r="K426" s="138" t="str">
        <f ca="1">IFERROR(__xludf.DUMMYFUNCTION("unique(filter(R:R,R:R=I426))"),"Chirala")</f>
        <v>Chirala</v>
      </c>
      <c r="N426" s="138" t="str">
        <f ca="1">IFERROR(__xludf.DUMMYFUNCTION("unique(filter(W:W,U:U=R426))"),"Nellore")</f>
        <v>Nellore</v>
      </c>
      <c r="O426" s="138" t="s">
        <v>9054</v>
      </c>
      <c r="P426" s="138" t="s">
        <v>9094</v>
      </c>
      <c r="Q426" s="138" t="str">
        <f ca="1">IFERROR(__xludf.DUMMYFUNCTION("filter(I:I,J:J=P426,G:G=O426)"),"Kovur")</f>
        <v>Kovur</v>
      </c>
      <c r="R426" s="138" t="s">
        <v>8966</v>
      </c>
      <c r="U426" s="138" t="s">
        <v>9091</v>
      </c>
      <c r="V426" s="138" t="s">
        <v>9091</v>
      </c>
      <c r="W426" s="138" t="str">
        <f ca="1">IFERROR(__xludf.DUMMYFUNCTION("filter(H:H,I:I=U426,J:J=V426)"),"Bapatla")</f>
        <v>Bapatla</v>
      </c>
    </row>
    <row r="427" spans="7:23">
      <c r="G427" s="138" t="s">
        <v>9003</v>
      </c>
      <c r="H427" s="138" t="s">
        <v>8638</v>
      </c>
      <c r="I427" s="138" t="s">
        <v>9091</v>
      </c>
      <c r="J427" s="138" t="s">
        <v>9095</v>
      </c>
      <c r="K427" s="138" t="str">
        <f ca="1">IFERROR(__xludf.DUMMYFUNCTION("unique(filter(R:R,R:R=I427))"),"Chirala")</f>
        <v>Chirala</v>
      </c>
      <c r="N427" s="138" t="str">
        <f ca="1">IFERROR(__xludf.DUMMYFUNCTION("unique(filter(W:W,U:U=R427))"),"Nellore")</f>
        <v>Nellore</v>
      </c>
      <c r="O427" s="138" t="s">
        <v>9054</v>
      </c>
      <c r="P427" s="138" t="s">
        <v>9096</v>
      </c>
      <c r="Q427" s="138" t="str">
        <f ca="1">IFERROR(__xludf.DUMMYFUNCTION("filter(I:I,J:J=P427,G:G=O427)"),"#N/A")</f>
        <v>#N/A</v>
      </c>
      <c r="R427" s="138" t="s">
        <v>8882</v>
      </c>
      <c r="U427" s="138" t="s">
        <v>9091</v>
      </c>
      <c r="V427" s="138" t="s">
        <v>9093</v>
      </c>
      <c r="W427" s="138" t="str">
        <f ca="1">IFERROR(__xludf.DUMMYFUNCTION("filter(H:H,I:I=U427,J:J=V427)"),"Bapatla")</f>
        <v>Bapatla</v>
      </c>
    </row>
    <row r="428" spans="7:23">
      <c r="G428" s="138" t="s">
        <v>9003</v>
      </c>
      <c r="H428" s="138" t="s">
        <v>8638</v>
      </c>
      <c r="I428" s="138" t="s">
        <v>9097</v>
      </c>
      <c r="J428" s="138" t="s">
        <v>9098</v>
      </c>
      <c r="K428" s="138" t="str">
        <f ca="1">IFERROR(__xludf.DUMMYFUNCTION("unique(filter(R:R,R:R=I428))"),"Addanki")</f>
        <v>Addanki</v>
      </c>
      <c r="N428" s="138" t="str">
        <f ca="1">IFERROR(__xludf.DUMMYFUNCTION("unique(filter(W:W,U:U=R428))"),"Tirupati")</f>
        <v>Tirupati</v>
      </c>
      <c r="O428" s="138" t="s">
        <v>9054</v>
      </c>
      <c r="P428" s="138" t="s">
        <v>9099</v>
      </c>
      <c r="Q428" s="138" t="str">
        <f ca="1">IFERROR(__xludf.DUMMYFUNCTION("filter(I:I,J:J=P428,G:G=O428)"),"Gudur (Sc)")</f>
        <v>Gudur (Sc)</v>
      </c>
      <c r="R428" s="138" t="s">
        <v>8932</v>
      </c>
      <c r="U428" s="138" t="s">
        <v>9091</v>
      </c>
      <c r="V428" s="138" t="s">
        <v>9095</v>
      </c>
      <c r="W428" s="138" t="str">
        <f ca="1">IFERROR(__xludf.DUMMYFUNCTION("filter(H:H,I:I=U428,J:J=V428)"),"Bapatla")</f>
        <v>Bapatla</v>
      </c>
    </row>
    <row r="429" spans="7:23">
      <c r="G429" s="138" t="s">
        <v>9003</v>
      </c>
      <c r="H429" s="138" t="s">
        <v>8638</v>
      </c>
      <c r="I429" s="138" t="s">
        <v>9097</v>
      </c>
      <c r="J429" s="138" t="s">
        <v>9100</v>
      </c>
      <c r="K429" s="138" t="str">
        <f ca="1">IFERROR(__xludf.DUMMYFUNCTION("unique(filter(R:R,R:R=I429))"),"Addanki")</f>
        <v>Addanki</v>
      </c>
      <c r="N429" s="138" t="str">
        <f ca="1">IFERROR(__xludf.DUMMYFUNCTION("unique(filter(W:W,U:U=R429))"),"Nellore")</f>
        <v>Nellore</v>
      </c>
      <c r="O429" s="138" t="s">
        <v>9054</v>
      </c>
      <c r="P429" s="138" t="s">
        <v>9101</v>
      </c>
      <c r="Q429" s="138" t="str">
        <f ca="1">IFERROR(__xludf.DUMMYFUNCTION("filter(I:I,J:J=P429,G:G=O429)"),"Kovur")</f>
        <v>Kovur</v>
      </c>
      <c r="R429" s="138" t="s">
        <v>8966</v>
      </c>
      <c r="U429" s="138" t="s">
        <v>9097</v>
      </c>
      <c r="V429" s="138" t="s">
        <v>9098</v>
      </c>
      <c r="W429" s="138" t="str">
        <f ca="1">IFERROR(__xludf.DUMMYFUNCTION("filter(H:H,I:I=U429,J:J=V429)"),"Bapatla")</f>
        <v>Bapatla</v>
      </c>
    </row>
    <row r="430" spans="7:23">
      <c r="G430" s="138" t="s">
        <v>9003</v>
      </c>
      <c r="H430" s="138" t="s">
        <v>8638</v>
      </c>
      <c r="I430" s="138" t="s">
        <v>9097</v>
      </c>
      <c r="J430" s="138" t="s">
        <v>9097</v>
      </c>
      <c r="K430" s="138" t="str">
        <f ca="1">IFERROR(__xludf.DUMMYFUNCTION("unique(filter(R:R,R:R=I430))"),"Addanki")</f>
        <v>Addanki</v>
      </c>
      <c r="N430" s="138" t="str">
        <f ca="1">IFERROR(__xludf.DUMMYFUNCTION("unique(filter(W:W,U:U=R430))"),"Nellore")</f>
        <v>Nellore</v>
      </c>
      <c r="O430" s="138" t="s">
        <v>9054</v>
      </c>
      <c r="P430" s="138" t="s">
        <v>9102</v>
      </c>
      <c r="Q430" s="138" t="str">
        <f ca="1">IFERROR(__xludf.DUMMYFUNCTION("filter(I:I,J:J=P430,G:G=O430)"),"Sarvepalli")</f>
        <v>Sarvepalli</v>
      </c>
      <c r="R430" s="138" t="s">
        <v>8946</v>
      </c>
      <c r="U430" s="138" t="s">
        <v>9097</v>
      </c>
      <c r="V430" s="138" t="s">
        <v>9100</v>
      </c>
      <c r="W430" s="138" t="str">
        <f ca="1">IFERROR(__xludf.DUMMYFUNCTION("filter(H:H,I:I=U430,J:J=V430)"),"Bapatla")</f>
        <v>Bapatla</v>
      </c>
    </row>
    <row r="431" spans="7:23">
      <c r="G431" s="138" t="s">
        <v>9003</v>
      </c>
      <c r="H431" s="138" t="s">
        <v>8638</v>
      </c>
      <c r="I431" s="138" t="s">
        <v>9097</v>
      </c>
      <c r="J431" s="138" t="s">
        <v>9103</v>
      </c>
      <c r="K431" s="138" t="str">
        <f ca="1">IFERROR(__xludf.DUMMYFUNCTION("unique(filter(R:R,R:R=I431))"),"Addanki")</f>
        <v>Addanki</v>
      </c>
      <c r="N431" s="138" t="str">
        <f ca="1">IFERROR(__xludf.DUMMYFUNCTION("unique(filter(W:W,U:U=R431))"),"Nellore")</f>
        <v>Nellore</v>
      </c>
      <c r="O431" s="138" t="s">
        <v>9054</v>
      </c>
      <c r="P431" s="138" t="s">
        <v>9104</v>
      </c>
      <c r="Q431" s="138" t="str">
        <f ca="1">IFERROR(__xludf.DUMMYFUNCTION("filter(I:I,J:J=P431,G:G=O431)"),"Atmakur")</f>
        <v>Atmakur</v>
      </c>
      <c r="R431" s="138" t="s">
        <v>8513</v>
      </c>
      <c r="U431" s="138" t="s">
        <v>9097</v>
      </c>
      <c r="V431" s="138" t="s">
        <v>9097</v>
      </c>
      <c r="W431" s="138" t="str">
        <f ca="1">IFERROR(__xludf.DUMMYFUNCTION("filter(H:H,I:I=U431,J:J=V431)"),"Bapatla")</f>
        <v>Bapatla</v>
      </c>
    </row>
    <row r="432" spans="7:23">
      <c r="G432" s="138" t="s">
        <v>9003</v>
      </c>
      <c r="H432" s="138" t="s">
        <v>8638</v>
      </c>
      <c r="I432" s="138" t="s">
        <v>9097</v>
      </c>
      <c r="J432" s="138" t="s">
        <v>9105</v>
      </c>
      <c r="K432" s="138" t="str">
        <f ca="1">IFERROR(__xludf.DUMMYFUNCTION("unique(filter(R:R,R:R=I432))"),"Addanki")</f>
        <v>Addanki</v>
      </c>
      <c r="N432" s="138" t="str">
        <f ca="1">IFERROR(__xludf.DUMMYFUNCTION("unique(filter(W:W,U:U=R432))"),"Nellore")</f>
        <v>Nellore</v>
      </c>
      <c r="O432" s="138" t="s">
        <v>9054</v>
      </c>
      <c r="P432" s="138" t="s">
        <v>9106</v>
      </c>
      <c r="Q432" s="138" t="str">
        <f ca="1">IFERROR(__xludf.DUMMYFUNCTION("filter(I:I,J:J=P432,G:G=O432)"),"Sarvepalli")</f>
        <v>Sarvepalli</v>
      </c>
      <c r="R432" s="138" t="s">
        <v>8946</v>
      </c>
      <c r="U432" s="138" t="s">
        <v>9097</v>
      </c>
      <c r="V432" s="138" t="s">
        <v>9103</v>
      </c>
      <c r="W432" s="138" t="str">
        <f ca="1">IFERROR(__xludf.DUMMYFUNCTION("filter(H:H,I:I=U432,J:J=V432)"),"Bapatla")</f>
        <v>Bapatla</v>
      </c>
    </row>
    <row r="433" spans="7:23">
      <c r="G433" s="138" t="s">
        <v>9003</v>
      </c>
      <c r="H433" s="138" t="s">
        <v>8638</v>
      </c>
      <c r="I433" s="138" t="s">
        <v>9097</v>
      </c>
      <c r="J433" s="138" t="s">
        <v>9107</v>
      </c>
      <c r="K433" s="138" t="str">
        <f ca="1">IFERROR(__xludf.DUMMYFUNCTION("unique(filter(R:R,R:R=I433))"),"Addanki")</f>
        <v>Addanki</v>
      </c>
      <c r="N433" s="138" t="str">
        <f ca="1">IFERROR(__xludf.DUMMYFUNCTION("unique(filter(W:W,U:U=R433))"),"Tirupati")</f>
        <v>Tirupati</v>
      </c>
      <c r="O433" s="138" t="s">
        <v>9054</v>
      </c>
      <c r="P433" s="138" t="s">
        <v>9108</v>
      </c>
      <c r="Q433" s="138" t="str">
        <f ca="1">IFERROR(__xludf.DUMMYFUNCTION("filter(I:I,J:J=P433,G:G=O433)"),"Sullurpeta (Sc)")</f>
        <v>Sullurpeta (Sc)</v>
      </c>
      <c r="R433" s="138" t="s">
        <v>8914</v>
      </c>
      <c r="U433" s="138" t="s">
        <v>9097</v>
      </c>
      <c r="V433" s="138" t="s">
        <v>9105</v>
      </c>
      <c r="W433" s="138" t="str">
        <f ca="1">IFERROR(__xludf.DUMMYFUNCTION("filter(H:H,I:I=U433,J:J=V433)"),"Bapatla")</f>
        <v>Bapatla</v>
      </c>
    </row>
    <row r="434" spans="7:23">
      <c r="G434" s="138" t="e">
        <v>#N/A</v>
      </c>
      <c r="H434" s="138" t="e">
        <v>#N/A</v>
      </c>
      <c r="I434" s="138" t="s">
        <v>9097</v>
      </c>
      <c r="J434" s="138" t="e">
        <v>#N/A</v>
      </c>
      <c r="K434" s="138" t="str">
        <f ca="1">IFERROR(__xludf.DUMMYFUNCTION("unique(filter(R:R,R:R=I434))"),"Addanki")</f>
        <v>Addanki</v>
      </c>
      <c r="N434" s="138" t="str">
        <f ca="1">IFERROR(__xludf.DUMMYFUNCTION("unique(filter(W:W,U:U=R434))"),"Nellore")</f>
        <v>Nellore</v>
      </c>
      <c r="O434" s="138" t="s">
        <v>9054</v>
      </c>
      <c r="P434" s="138" t="s">
        <v>9054</v>
      </c>
      <c r="Q434" s="138" t="str">
        <f ca="1">IFERROR(__xludf.DUMMYFUNCTION("filter(I:I,J:J=P434,G:G=O434)"),"Nellore Rural")</f>
        <v>Nellore Rural</v>
      </c>
      <c r="R434" s="138" t="s">
        <v>8959</v>
      </c>
      <c r="U434" s="138" t="s">
        <v>9097</v>
      </c>
      <c r="V434" s="138" t="s">
        <v>9107</v>
      </c>
      <c r="W434" s="138" t="str">
        <f ca="1">IFERROR(__xludf.DUMMYFUNCTION("filter(H:H,I:I=U434,J:J=V434)"),"Bapatla")</f>
        <v>Bapatla</v>
      </c>
    </row>
    <row r="435" spans="7:23">
      <c r="G435" s="138" t="s">
        <v>9003</v>
      </c>
      <c r="H435" s="138" t="s">
        <v>8638</v>
      </c>
      <c r="I435" s="138" t="s">
        <v>9109</v>
      </c>
      <c r="J435" s="138" t="s">
        <v>9110</v>
      </c>
      <c r="K435" s="138" t="str">
        <f ca="1">IFERROR(__xludf.DUMMYFUNCTION("unique(filter(R:R,R:R=I435))"),"Parchur")</f>
        <v>Parchur</v>
      </c>
      <c r="N435" s="138" t="str">
        <f ca="1">IFERROR(__xludf.DUMMYFUNCTION("unique(filter(W:W,U:U=R435))"),"Tirupati")</f>
        <v>Tirupati</v>
      </c>
      <c r="O435" s="138" t="s">
        <v>9054</v>
      </c>
      <c r="P435" s="138" t="s">
        <v>9111</v>
      </c>
      <c r="Q435" s="138" t="str">
        <f ca="1">IFERROR(__xludf.DUMMYFUNCTION("filter(I:I,J:J=P435,G:G=O435)"),"Sullurpeta (Sc)")</f>
        <v>Sullurpeta (Sc)</v>
      </c>
      <c r="R435" s="138" t="s">
        <v>8914</v>
      </c>
    </row>
    <row r="436" spans="7:23">
      <c r="G436" s="138" t="s">
        <v>9003</v>
      </c>
      <c r="H436" s="138" t="s">
        <v>8638</v>
      </c>
      <c r="I436" s="138" t="s">
        <v>9109</v>
      </c>
      <c r="J436" s="138" t="s">
        <v>9112</v>
      </c>
      <c r="K436" s="138" t="str">
        <f ca="1">IFERROR(__xludf.DUMMYFUNCTION("unique(filter(R:R,R:R=I436))"),"Parchur")</f>
        <v>Parchur</v>
      </c>
      <c r="N436" s="138" t="str">
        <f ca="1">IFERROR(__xludf.DUMMYFUNCTION("unique(filter(W:W,U:U=R436))"),"Tirupati")</f>
        <v>Tirupati</v>
      </c>
      <c r="O436" s="138" t="s">
        <v>9054</v>
      </c>
      <c r="P436" s="138" t="s">
        <v>9113</v>
      </c>
      <c r="Q436" s="138" t="str">
        <f ca="1">IFERROR(__xludf.DUMMYFUNCTION("filter(I:I,J:J=P436,G:G=O436)"),"Sullurpeta (Sc)")</f>
        <v>Sullurpeta (Sc)</v>
      </c>
      <c r="R436" s="138" t="s">
        <v>8914</v>
      </c>
      <c r="U436" s="138" t="s">
        <v>9109</v>
      </c>
      <c r="V436" s="138" t="s">
        <v>9110</v>
      </c>
      <c r="W436" s="138" t="str">
        <f ca="1">IFERROR(__xludf.DUMMYFUNCTION("filter(H:H,I:I=U436,J:J=V436)"),"Bapatla")</f>
        <v>Bapatla</v>
      </c>
    </row>
    <row r="437" spans="7:23">
      <c r="G437" s="138" t="s">
        <v>9003</v>
      </c>
      <c r="H437" s="138" t="s">
        <v>8638</v>
      </c>
      <c r="I437" s="138" t="s">
        <v>9109</v>
      </c>
      <c r="J437" s="138" t="s">
        <v>9109</v>
      </c>
      <c r="K437" s="138" t="str">
        <f ca="1">IFERROR(__xludf.DUMMYFUNCTION("unique(filter(R:R,R:R=I437))"),"Parchur")</f>
        <v>Parchur</v>
      </c>
      <c r="N437" s="138" t="str">
        <f ca="1">IFERROR(__xludf.DUMMYFUNCTION("unique(filter(W:W,U:U=R437))"),"Nellore")</f>
        <v>Nellore</v>
      </c>
      <c r="O437" s="138" t="s">
        <v>9054</v>
      </c>
      <c r="P437" s="138" t="s">
        <v>9114</v>
      </c>
      <c r="Q437" s="138" t="str">
        <f ca="1">IFERROR(__xludf.DUMMYFUNCTION("filter(I:I,J:J=P437,G:G=O437)"),"Sarvepalli")</f>
        <v>Sarvepalli</v>
      </c>
      <c r="R437" s="138" t="s">
        <v>8946</v>
      </c>
      <c r="U437" s="138" t="s">
        <v>9109</v>
      </c>
      <c r="V437" s="138" t="s">
        <v>9112</v>
      </c>
      <c r="W437" s="138" t="str">
        <f ca="1">IFERROR(__xludf.DUMMYFUNCTION("filter(H:H,I:I=U437,J:J=V437)"),"Bapatla")</f>
        <v>Bapatla</v>
      </c>
    </row>
    <row r="438" spans="7:23">
      <c r="G438" s="138" t="s">
        <v>9003</v>
      </c>
      <c r="H438" s="138" t="s">
        <v>8638</v>
      </c>
      <c r="I438" s="138" t="s">
        <v>9109</v>
      </c>
      <c r="J438" s="138" t="s">
        <v>9115</v>
      </c>
      <c r="K438" s="138" t="str">
        <f ca="1">IFERROR(__xludf.DUMMYFUNCTION("unique(filter(R:R,R:R=I438))"),"Parchur")</f>
        <v>Parchur</v>
      </c>
      <c r="N438" s="138" t="str">
        <f ca="1">IFERROR(__xludf.DUMMYFUNCTION("unique(filter(W:W,U:U=R438))"),"Tirupati")</f>
        <v>Tirupati</v>
      </c>
      <c r="O438" s="138" t="s">
        <v>9054</v>
      </c>
      <c r="P438" s="138" t="s">
        <v>9116</v>
      </c>
      <c r="Q438" s="138" t="str">
        <f ca="1">IFERROR(__xludf.DUMMYFUNCTION("filter(I:I,J:J=P438,G:G=O438)"),"Venkatagiri")</f>
        <v>Venkatagiri</v>
      </c>
      <c r="R438" s="138" t="s">
        <v>8899</v>
      </c>
      <c r="U438" s="138" t="s">
        <v>9109</v>
      </c>
      <c r="V438" s="138" t="s">
        <v>9109</v>
      </c>
      <c r="W438" s="138" t="str">
        <f ca="1">IFERROR(__xludf.DUMMYFUNCTION("filter(H:H,I:I=U438,J:J=V438)"),"Bapatla")</f>
        <v>Bapatla</v>
      </c>
    </row>
    <row r="439" spans="7:23">
      <c r="G439" s="138" t="s">
        <v>9003</v>
      </c>
      <c r="H439" s="138" t="s">
        <v>8638</v>
      </c>
      <c r="I439" s="138" t="s">
        <v>9109</v>
      </c>
      <c r="J439" s="138" t="s">
        <v>9117</v>
      </c>
      <c r="K439" s="138" t="str">
        <f ca="1">IFERROR(__xludf.DUMMYFUNCTION("unique(filter(R:R,R:R=I439))"),"Parchur")</f>
        <v>Parchur</v>
      </c>
      <c r="N439" s="138" t="str">
        <f ca="1">IFERROR(__xludf.DUMMYFUNCTION("unique(filter(W:W,U:U=R439))"),"Nellore")</f>
        <v>Nellore</v>
      </c>
      <c r="O439" s="138" t="s">
        <v>9054</v>
      </c>
      <c r="P439" s="138" t="s">
        <v>9118</v>
      </c>
      <c r="Q439" s="138" t="str">
        <f ca="1">IFERROR(__xludf.DUMMYFUNCTION("filter(I:I,J:J=P439,G:G=O439)"),"#N/A")</f>
        <v>#N/A</v>
      </c>
      <c r="R439" s="138" t="s">
        <v>8513</v>
      </c>
      <c r="U439" s="138" t="s">
        <v>9109</v>
      </c>
      <c r="V439" s="138" t="s">
        <v>9115</v>
      </c>
      <c r="W439" s="138" t="str">
        <f ca="1">IFERROR(__xludf.DUMMYFUNCTION("filter(H:H,I:I=U439,J:J=V439)"),"Bapatla")</f>
        <v>Bapatla</v>
      </c>
    </row>
    <row r="440" spans="7:23">
      <c r="G440" s="138" t="s">
        <v>9003</v>
      </c>
      <c r="H440" s="138" t="s">
        <v>8638</v>
      </c>
      <c r="I440" s="138" t="s">
        <v>9109</v>
      </c>
      <c r="J440" s="138" t="s">
        <v>9119</v>
      </c>
      <c r="K440" s="138" t="str">
        <f ca="1">IFERROR(__xludf.DUMMYFUNCTION("unique(filter(R:R,R:R=I440))"),"Parchur")</f>
        <v>Parchur</v>
      </c>
      <c r="N440" s="138" t="str">
        <f ca="1">IFERROR(__xludf.DUMMYFUNCTION("unique(filter(W:W,U:U=R440))"),"Nellore")</f>
        <v>Nellore</v>
      </c>
      <c r="O440" s="138" t="s">
        <v>9054</v>
      </c>
      <c r="P440" s="138" t="s">
        <v>9120</v>
      </c>
      <c r="Q440" s="138" t="str">
        <f ca="1">IFERROR(__xludf.DUMMYFUNCTION("filter(I:I,J:J=P440,G:G=O440)"),"Udayagiri")</f>
        <v>Udayagiri</v>
      </c>
      <c r="R440" s="138" t="s">
        <v>8882</v>
      </c>
      <c r="U440" s="138" t="s">
        <v>9109</v>
      </c>
      <c r="V440" s="138" t="s">
        <v>9117</v>
      </c>
      <c r="W440" s="138" t="str">
        <f ca="1">IFERROR(__xludf.DUMMYFUNCTION("filter(H:H,I:I=U440,J:J=V440)"),"Bapatla")</f>
        <v>Bapatla</v>
      </c>
    </row>
    <row r="441" spans="7:23">
      <c r="G441" s="138" t="s">
        <v>9003</v>
      </c>
      <c r="H441" s="138" t="s">
        <v>9003</v>
      </c>
      <c r="I441" s="138" t="s">
        <v>9121</v>
      </c>
      <c r="J441" s="138" t="s">
        <v>9122</v>
      </c>
      <c r="K441" s="138" t="str">
        <f ca="1">IFERROR(__xludf.DUMMYFUNCTION("unique(filter(R:R,R:R=I441))"),"Darsi")</f>
        <v>Darsi</v>
      </c>
      <c r="N441" s="138" t="str">
        <f ca="1">IFERROR(__xludf.DUMMYFUNCTION("unique(filter(W:W,U:U=R441))"),"Tirupati")</f>
        <v>Tirupati</v>
      </c>
      <c r="O441" s="138" t="s">
        <v>9054</v>
      </c>
      <c r="P441" s="138" t="s">
        <v>9123</v>
      </c>
      <c r="Q441" s="138" t="str">
        <f ca="1">IFERROR(__xludf.DUMMYFUNCTION("filter(I:I,J:J=P441,G:G=O441)"),"Sullurpeta (Sc)")</f>
        <v>Sullurpeta (Sc)</v>
      </c>
      <c r="R441" s="138" t="s">
        <v>8914</v>
      </c>
      <c r="U441" s="138" t="s">
        <v>9109</v>
      </c>
      <c r="V441" s="138" t="s">
        <v>9119</v>
      </c>
      <c r="W441" s="138" t="str">
        <f ca="1">IFERROR(__xludf.DUMMYFUNCTION("filter(H:H,I:I=U441,J:J=V441)"),"Bapatla")</f>
        <v>Bapatla</v>
      </c>
    </row>
    <row r="442" spans="7:23">
      <c r="G442" s="138" t="s">
        <v>9003</v>
      </c>
      <c r="H442" s="138" t="s">
        <v>9003</v>
      </c>
      <c r="I442" s="138" t="s">
        <v>9121</v>
      </c>
      <c r="J442" s="138" t="s">
        <v>9121</v>
      </c>
      <c r="K442" s="138" t="str">
        <f ca="1">IFERROR(__xludf.DUMMYFUNCTION("unique(filter(R:R,R:R=I442))"),"Darsi")</f>
        <v>Darsi</v>
      </c>
      <c r="N442" s="138" t="str">
        <f ca="1">IFERROR(__xludf.DUMMYFUNCTION("unique(filter(W:W,U:U=R442))"),"Tirupati")</f>
        <v>Tirupati</v>
      </c>
      <c r="O442" s="138" t="s">
        <v>9054</v>
      </c>
      <c r="P442" s="138" t="s">
        <v>9124</v>
      </c>
      <c r="Q442" s="138" t="str">
        <f ca="1">IFERROR(__xludf.DUMMYFUNCTION("filter(I:I,J:J=P442,G:G=O442)"),"Venkatagiri")</f>
        <v>Venkatagiri</v>
      </c>
      <c r="R442" s="138" t="s">
        <v>8899</v>
      </c>
      <c r="U442" s="138" t="s">
        <v>9121</v>
      </c>
      <c r="V442" s="138" t="s">
        <v>9122</v>
      </c>
      <c r="W442" s="138" t="str">
        <f ca="1">IFERROR(__xludf.DUMMYFUNCTION("filter(H:H,I:I=U442,J:J=V442)"),"Prakasam")</f>
        <v>Prakasam</v>
      </c>
    </row>
    <row r="443" spans="7:23">
      <c r="G443" s="138" t="s">
        <v>9003</v>
      </c>
      <c r="H443" s="138" t="s">
        <v>9003</v>
      </c>
      <c r="I443" s="138" t="s">
        <v>9121</v>
      </c>
      <c r="J443" s="138" t="s">
        <v>9125</v>
      </c>
      <c r="K443" s="138" t="str">
        <f ca="1">IFERROR(__xludf.DUMMYFUNCTION("unique(filter(R:R,R:R=I443))"),"Darsi")</f>
        <v>Darsi</v>
      </c>
      <c r="N443" s="138" t="str">
        <f ca="1">IFERROR(__xludf.DUMMYFUNCTION("unique(filter(W:W,U:U=R443))"),"Tirupati")</f>
        <v>Tirupati</v>
      </c>
      <c r="O443" s="138" t="s">
        <v>9054</v>
      </c>
      <c r="P443" s="138" t="s">
        <v>9126</v>
      </c>
      <c r="Q443" s="138" t="str">
        <f ca="1">IFERROR(__xludf.DUMMYFUNCTION("filter(I:I,J:J=P443,G:G=O443)"),"Sullurpeta (Sc)")</f>
        <v>Sullurpeta (Sc)</v>
      </c>
      <c r="R443" s="138" t="s">
        <v>8914</v>
      </c>
      <c r="U443" s="138" t="s">
        <v>9121</v>
      </c>
      <c r="V443" s="138" t="s">
        <v>9121</v>
      </c>
      <c r="W443" s="138" t="str">
        <f ca="1">IFERROR(__xludf.DUMMYFUNCTION("filter(H:H,I:I=U443,J:J=V443)"),"Prakasam")</f>
        <v>Prakasam</v>
      </c>
    </row>
    <row r="444" spans="7:23">
      <c r="G444" s="138" t="s">
        <v>9003</v>
      </c>
      <c r="H444" s="138" t="s">
        <v>9003</v>
      </c>
      <c r="I444" s="138" t="s">
        <v>9121</v>
      </c>
      <c r="J444" s="138" t="s">
        <v>9127</v>
      </c>
      <c r="K444" s="138" t="str">
        <f ca="1">IFERROR(__xludf.DUMMYFUNCTION("unique(filter(R:R,R:R=I444))"),"Darsi")</f>
        <v>Darsi</v>
      </c>
      <c r="N444" s="138" t="str">
        <f ca="1">IFERROR(__xludf.DUMMYFUNCTION("unique(filter(W:W,U:U=R444))"),"Nellore")</f>
        <v>Nellore</v>
      </c>
      <c r="O444" s="138" t="s">
        <v>9054</v>
      </c>
      <c r="P444" s="138" t="s">
        <v>9128</v>
      </c>
      <c r="Q444" s="138" t="str">
        <f ca="1">IFERROR(__xludf.DUMMYFUNCTION("filter(I:I,J:J=P444,G:G=O444)"),"Sarvepalli")</f>
        <v>Sarvepalli</v>
      </c>
      <c r="R444" s="138" t="s">
        <v>8946</v>
      </c>
      <c r="U444" s="138" t="s">
        <v>9121</v>
      </c>
      <c r="V444" s="138" t="s">
        <v>9125</v>
      </c>
      <c r="W444" s="138" t="str">
        <f ca="1">IFERROR(__xludf.DUMMYFUNCTION("filter(H:H,I:I=U444,J:J=V444)"),"Prakasam")</f>
        <v>Prakasam</v>
      </c>
    </row>
    <row r="445" spans="7:23">
      <c r="G445" s="138" t="s">
        <v>9003</v>
      </c>
      <c r="H445" s="138" t="s">
        <v>9003</v>
      </c>
      <c r="I445" s="138" t="s">
        <v>9121</v>
      </c>
      <c r="J445" s="138" t="s">
        <v>9038</v>
      </c>
      <c r="K445" s="138" t="str">
        <f ca="1">IFERROR(__xludf.DUMMYFUNCTION("unique(filter(R:R,R:R=I445))"),"Darsi")</f>
        <v>Darsi</v>
      </c>
      <c r="N445" s="138" t="str">
        <f ca="1">IFERROR(__xludf.DUMMYFUNCTION("unique(filter(W:W,U:U=R445))"),"Nellore")</f>
        <v>Nellore</v>
      </c>
      <c r="O445" s="138" t="s">
        <v>9054</v>
      </c>
      <c r="P445" s="138" t="s">
        <v>9129</v>
      </c>
      <c r="Q445" s="138" t="str">
        <f ca="1">IFERROR(__xludf.DUMMYFUNCTION("filter(I:I,J:J=P445,G:G=O445)"),"Udayagiri")</f>
        <v>Udayagiri</v>
      </c>
      <c r="R445" s="138" t="s">
        <v>8882</v>
      </c>
      <c r="U445" s="138" t="s">
        <v>9121</v>
      </c>
      <c r="V445" s="138" t="s">
        <v>9127</v>
      </c>
      <c r="W445" s="138" t="str">
        <f ca="1">IFERROR(__xludf.DUMMYFUNCTION("filter(H:H,I:I=U445,J:J=V445)"),"Prakasam")</f>
        <v>Prakasam</v>
      </c>
    </row>
    <row r="446" spans="7:23">
      <c r="G446" s="138" t="s">
        <v>9003</v>
      </c>
      <c r="H446" s="138" t="s">
        <v>9003</v>
      </c>
      <c r="I446" s="138" t="s">
        <v>9130</v>
      </c>
      <c r="J446" s="138" t="s">
        <v>9131</v>
      </c>
      <c r="K446" s="138" t="str">
        <f ca="1">IFERROR(__xludf.DUMMYFUNCTION("unique(filter(R:R,R:R=I446))"),"Yerragondapalem (Sc)")</f>
        <v>Yerragondapalem (Sc)</v>
      </c>
      <c r="N446" s="138" t="str">
        <f ca="1">IFERROR(__xludf.DUMMYFUNCTION("unique(filter(W:W,U:U=R446))"),"Tirupati")</f>
        <v>Tirupati</v>
      </c>
      <c r="O446" s="138" t="s">
        <v>9054</v>
      </c>
      <c r="P446" s="138" t="s">
        <v>9132</v>
      </c>
      <c r="Q446" s="138" t="str">
        <f ca="1">IFERROR(__xludf.DUMMYFUNCTION("filter(I:I,J:J=P446,G:G=O446)"),"Gudur (Sc)")</f>
        <v>Gudur (Sc)</v>
      </c>
      <c r="R446" s="138" t="s">
        <v>8932</v>
      </c>
      <c r="U446" s="138" t="s">
        <v>9121</v>
      </c>
      <c r="V446" s="138" t="s">
        <v>9038</v>
      </c>
      <c r="W446" s="138" t="str">
        <f ca="1">IFERROR(__xludf.DUMMYFUNCTION("filter(H:H,I:I=U446,J:J=V446)"),"Prakasam")</f>
        <v>Prakasam</v>
      </c>
    </row>
    <row r="447" spans="7:23">
      <c r="G447" s="138" t="s">
        <v>9003</v>
      </c>
      <c r="H447" s="138" t="s">
        <v>9003</v>
      </c>
      <c r="I447" s="138" t="s">
        <v>9130</v>
      </c>
      <c r="J447" s="138" t="s">
        <v>9133</v>
      </c>
      <c r="K447" s="138" t="str">
        <f ca="1">IFERROR(__xludf.DUMMYFUNCTION("unique(filter(R:R,R:R=I447))"),"Yerragondapalem (Sc)")</f>
        <v>Yerragondapalem (Sc)</v>
      </c>
      <c r="N447" s="138" t="str">
        <f ca="1">IFERROR(__xludf.DUMMYFUNCTION("unique(filter(W:W,U:U=R447))"),"Nellore")</f>
        <v>Nellore</v>
      </c>
      <c r="O447" s="138" t="s">
        <v>9054</v>
      </c>
      <c r="P447" s="138" t="s">
        <v>9134</v>
      </c>
      <c r="Q447" s="138" t="str">
        <f ca="1">IFERROR(__xludf.DUMMYFUNCTION("filter(I:I,J:J=P447,G:G=O447)"),"Udayagiri")</f>
        <v>Udayagiri</v>
      </c>
      <c r="R447" s="138" t="s">
        <v>8882</v>
      </c>
      <c r="U447" s="138" t="s">
        <v>9130</v>
      </c>
      <c r="V447" s="138" t="s">
        <v>9131</v>
      </c>
      <c r="W447" s="138" t="str">
        <f ca="1">IFERROR(__xludf.DUMMYFUNCTION("filter(H:H,I:I=U447,J:J=V447)"),"Prakasam")</f>
        <v>Prakasam</v>
      </c>
    </row>
    <row r="448" spans="7:23">
      <c r="G448" s="138" t="s">
        <v>9003</v>
      </c>
      <c r="H448" s="138" t="s">
        <v>9003</v>
      </c>
      <c r="I448" s="138" t="s">
        <v>9130</v>
      </c>
      <c r="J448" s="138" t="s">
        <v>9135</v>
      </c>
      <c r="K448" s="138" t="str">
        <f ca="1">IFERROR(__xludf.DUMMYFUNCTION("unique(filter(R:R,R:R=I448))"),"Yerragondapalem (Sc)")</f>
        <v>Yerragondapalem (Sc)</v>
      </c>
      <c r="N448" s="138" t="str">
        <f ca="1">IFERROR(__xludf.DUMMYFUNCTION("unique(filter(W:W,U:U=R448))"),"Nellore")</f>
        <v>Nellore</v>
      </c>
      <c r="O448" s="138" t="s">
        <v>9054</v>
      </c>
      <c r="P448" s="138" t="s">
        <v>9136</v>
      </c>
      <c r="Q448" s="138" t="str">
        <f ca="1">IFERROR(__xludf.DUMMYFUNCTION("filter(I:I,J:J=P448,G:G=O448)"),"Sarvepalli")</f>
        <v>Sarvepalli</v>
      </c>
      <c r="R448" s="138" t="s">
        <v>8946</v>
      </c>
      <c r="U448" s="138" t="s">
        <v>9130</v>
      </c>
      <c r="V448" s="138" t="s">
        <v>9133</v>
      </c>
      <c r="W448" s="138" t="str">
        <f ca="1">IFERROR(__xludf.DUMMYFUNCTION("filter(H:H,I:I=U448,J:J=V448)"),"Prakasam")</f>
        <v>Prakasam</v>
      </c>
    </row>
    <row r="449" spans="7:23">
      <c r="G449" s="138" t="s">
        <v>9003</v>
      </c>
      <c r="H449" s="138" t="s">
        <v>9003</v>
      </c>
      <c r="I449" s="138" t="s">
        <v>9130</v>
      </c>
      <c r="J449" s="138" t="s">
        <v>9137</v>
      </c>
      <c r="K449" s="138" t="str">
        <f ca="1">IFERROR(__xludf.DUMMYFUNCTION("unique(filter(R:R,R:R=I449))"),"Yerragondapalem (Sc)")</f>
        <v>Yerragondapalem (Sc)</v>
      </c>
      <c r="N449" s="138" t="str">
        <f ca="1">IFERROR(__xludf.DUMMYFUNCTION("unique(filter(W:W,U:U=R449))"),"Tirupati")</f>
        <v>Tirupati</v>
      </c>
      <c r="O449" s="138" t="s">
        <v>9054</v>
      </c>
      <c r="P449" s="138" t="s">
        <v>9138</v>
      </c>
      <c r="Q449" s="138" t="str">
        <f ca="1">IFERROR(__xludf.DUMMYFUNCTION("filter(I:I,J:J=P449,G:G=O449)"),"Venkatagiri")</f>
        <v>Venkatagiri</v>
      </c>
      <c r="R449" s="138" t="s">
        <v>8899</v>
      </c>
      <c r="U449" s="138" t="s">
        <v>9130</v>
      </c>
      <c r="V449" s="138" t="s">
        <v>9135</v>
      </c>
      <c r="W449" s="138" t="str">
        <f ca="1">IFERROR(__xludf.DUMMYFUNCTION("filter(H:H,I:I=U449,J:J=V449)"),"Prakasam")</f>
        <v>Prakasam</v>
      </c>
    </row>
    <row r="450" spans="7:23">
      <c r="G450" s="138" t="s">
        <v>9003</v>
      </c>
      <c r="H450" s="138" t="s">
        <v>9003</v>
      </c>
      <c r="I450" s="138" t="s">
        <v>9130</v>
      </c>
      <c r="J450" s="138" t="s">
        <v>9139</v>
      </c>
      <c r="K450" s="138" t="str">
        <f ca="1">IFERROR(__xludf.DUMMYFUNCTION("unique(filter(R:R,R:R=I450))"),"Yerragondapalem (Sc)")</f>
        <v>Yerragondapalem (Sc)</v>
      </c>
      <c r="N450" s="138" t="str">
        <f ca="1">IFERROR(__xludf.DUMMYFUNCTION("unique(filter(W:W,U:U=R450))"),"Nellore")</f>
        <v>Nellore</v>
      </c>
      <c r="O450" s="138" t="s">
        <v>9054</v>
      </c>
      <c r="P450" s="138" t="s">
        <v>9140</v>
      </c>
      <c r="Q450" s="138" t="str">
        <f ca="1">IFERROR(__xludf.DUMMYFUNCTION("filter(I:I,J:J=P450,G:G=O450)"),"Kovur")</f>
        <v>Kovur</v>
      </c>
      <c r="R450" s="138" t="s">
        <v>8966</v>
      </c>
      <c r="U450" s="138" t="s">
        <v>9130</v>
      </c>
      <c r="V450" s="138" t="s">
        <v>9137</v>
      </c>
      <c r="W450" s="138" t="str">
        <f ca="1">IFERROR(__xludf.DUMMYFUNCTION("filter(H:H,I:I=U450,J:J=V450)"),"Prakasam")</f>
        <v>Prakasam</v>
      </c>
    </row>
    <row r="451" spans="7:23">
      <c r="G451" s="138" t="s">
        <v>9141</v>
      </c>
      <c r="H451" s="138" t="s">
        <v>9142</v>
      </c>
      <c r="I451" s="138" t="s">
        <v>8662</v>
      </c>
      <c r="J451" s="138" t="s">
        <v>8662</v>
      </c>
      <c r="K451" s="138" t="str">
        <f ca="1">IFERROR(__xludf.DUMMYFUNCTION("unique(filter(R:R,R:R=I451))"),"Macherla")</f>
        <v>Macherla</v>
      </c>
      <c r="N451" s="138" t="str">
        <f ca="1">IFERROR(__xludf.DUMMYFUNCTION("unique(filter(W:W,U:U=R451))"),"Nellore")</f>
        <v>Nellore</v>
      </c>
      <c r="O451" s="138" t="s">
        <v>9054</v>
      </c>
      <c r="P451" s="138" t="s">
        <v>9143</v>
      </c>
      <c r="Q451" s="138" t="str">
        <f ca="1">IFERROR(__xludf.DUMMYFUNCTION("filter(I:I,J:J=P451,G:G=O451)"),"Udayagiri")</f>
        <v>Udayagiri</v>
      </c>
      <c r="R451" s="138" t="s">
        <v>8882</v>
      </c>
      <c r="U451" s="138" t="s">
        <v>9130</v>
      </c>
      <c r="V451" s="138" t="s">
        <v>9139</v>
      </c>
      <c r="W451" s="138" t="str">
        <f ca="1">IFERROR(__xludf.DUMMYFUNCTION("filter(H:H,I:I=U451,J:J=V451)"),"Prakasam")</f>
        <v>Prakasam</v>
      </c>
    </row>
    <row r="452" spans="7:23">
      <c r="G452" s="138" t="s">
        <v>9141</v>
      </c>
      <c r="H452" s="138" t="s">
        <v>9142</v>
      </c>
      <c r="I452" s="138" t="s">
        <v>8662</v>
      </c>
      <c r="J452" s="138" t="s">
        <v>9144</v>
      </c>
      <c r="K452" s="138" t="str">
        <f ca="1">IFERROR(__xludf.DUMMYFUNCTION("unique(filter(R:R,R:R=I452))"),"Macherla")</f>
        <v>Macherla</v>
      </c>
      <c r="N452" s="138" t="str">
        <f ca="1">IFERROR(__xludf.DUMMYFUNCTION("unique(filter(W:W,U:U=R452))"),"Bapatla")</f>
        <v>Bapatla</v>
      </c>
      <c r="O452" s="138" t="s">
        <v>9145</v>
      </c>
      <c r="P452" s="138" t="s">
        <v>9146</v>
      </c>
      <c r="Q452" s="138" t="str">
        <f ca="1">IFERROR(__xludf.DUMMYFUNCTION("filter(I:I,J:J=P452,G:G=O452)"),"Addanki")</f>
        <v>Addanki</v>
      </c>
      <c r="R452" s="138" t="s">
        <v>9097</v>
      </c>
      <c r="U452" s="138" t="s">
        <v>8662</v>
      </c>
      <c r="V452" s="138" t="s">
        <v>8662</v>
      </c>
      <c r="W452" s="138" t="str">
        <f ca="1">IFERROR(__xludf.DUMMYFUNCTION("filter(H:H,I:I=U452,J:J=V452)"),"Palnadu")</f>
        <v>Palnadu</v>
      </c>
    </row>
    <row r="453" spans="7:23">
      <c r="G453" s="138" t="s">
        <v>9141</v>
      </c>
      <c r="H453" s="138" t="s">
        <v>9142</v>
      </c>
      <c r="I453" s="138" t="s">
        <v>8662</v>
      </c>
      <c r="J453" s="138" t="s">
        <v>536</v>
      </c>
      <c r="K453" s="138" t="str">
        <f ca="1">IFERROR(__xludf.DUMMYFUNCTION("unique(filter(R:R,R:R=I453))"),"Macherla")</f>
        <v>Macherla</v>
      </c>
      <c r="N453" s="138" t="str">
        <f ca="1">IFERROR(__xludf.DUMMYFUNCTION("unique(filter(W:W,U:U=R453))"),"Prakasam")</f>
        <v>Prakasam</v>
      </c>
      <c r="O453" s="138" t="s">
        <v>9145</v>
      </c>
      <c r="P453" s="138" t="s">
        <v>9147</v>
      </c>
      <c r="Q453" s="138" t="str">
        <f ca="1">IFERROR(__xludf.DUMMYFUNCTION("filter(I:I,J:J=P453,G:G=O453)"),"Giddalur")</f>
        <v>Giddalur</v>
      </c>
      <c r="R453" s="138" t="s">
        <v>9019</v>
      </c>
      <c r="U453" s="138" t="s">
        <v>8662</v>
      </c>
      <c r="V453" s="138" t="s">
        <v>9144</v>
      </c>
      <c r="W453" s="138" t="str">
        <f ca="1">IFERROR(__xludf.DUMMYFUNCTION("filter(H:H,I:I=U453,J:J=V453)"),"Palnadu")</f>
        <v>Palnadu</v>
      </c>
    </row>
    <row r="454" spans="7:23">
      <c r="G454" s="138" t="s">
        <v>9141</v>
      </c>
      <c r="H454" s="138" t="s">
        <v>9142</v>
      </c>
      <c r="I454" s="138" t="s">
        <v>8662</v>
      </c>
      <c r="J454" s="138" t="s">
        <v>9148</v>
      </c>
      <c r="K454" s="138" t="str">
        <f ca="1">IFERROR(__xludf.DUMMYFUNCTION("unique(filter(R:R,R:R=I454))"),"Macherla")</f>
        <v>Macherla</v>
      </c>
      <c r="N454" s="138" t="str">
        <f ca="1">IFERROR(__xludf.DUMMYFUNCTION("unique(filter(W:W,U:U=R454))"),"Bapatla")</f>
        <v>Bapatla</v>
      </c>
      <c r="O454" s="138" t="s">
        <v>9145</v>
      </c>
      <c r="P454" s="138" t="s">
        <v>9149</v>
      </c>
      <c r="Q454" s="138" t="str">
        <f ca="1">IFERROR(__xludf.DUMMYFUNCTION("filter(I:I,J:J=P454,G:G=O454)"),"Addanki")</f>
        <v>Addanki</v>
      </c>
      <c r="R454" s="138" t="s">
        <v>9097</v>
      </c>
      <c r="U454" s="138" t="s">
        <v>8662</v>
      </c>
      <c r="V454" s="138" t="s">
        <v>536</v>
      </c>
      <c r="W454" s="138" t="str">
        <f ca="1">IFERROR(__xludf.DUMMYFUNCTION("filter(H:H,I:I=U454,J:J=V454)"),"Palnadu")</f>
        <v>Palnadu</v>
      </c>
    </row>
    <row r="455" spans="7:23">
      <c r="G455" s="138" t="s">
        <v>9141</v>
      </c>
      <c r="H455" s="138" t="s">
        <v>9142</v>
      </c>
      <c r="I455" s="138" t="s">
        <v>8662</v>
      </c>
      <c r="J455" s="138" t="s">
        <v>9150</v>
      </c>
      <c r="K455" s="138" t="str">
        <f ca="1">IFERROR(__xludf.DUMMYFUNCTION("unique(filter(R:R,R:R=I455))"),"Macherla")</f>
        <v>Macherla</v>
      </c>
      <c r="N455" s="138" t="str">
        <f ca="1">IFERROR(__xludf.DUMMYFUNCTION("unique(filter(W:W,U:U=R455))"),"Prakasam")</f>
        <v>Prakasam</v>
      </c>
      <c r="O455" s="138" t="s">
        <v>9145</v>
      </c>
      <c r="P455" s="138" t="s">
        <v>9151</v>
      </c>
      <c r="Q455" s="138" t="str">
        <f ca="1">IFERROR(__xludf.DUMMYFUNCTION("filter(I:I,J:J=P455,G:G=O455)"),"Giddalur")</f>
        <v>Giddalur</v>
      </c>
      <c r="R455" s="138" t="s">
        <v>9019</v>
      </c>
      <c r="U455" s="138" t="s">
        <v>8662</v>
      </c>
      <c r="V455" s="138" t="s">
        <v>9148</v>
      </c>
      <c r="W455" s="138" t="str">
        <f ca="1">IFERROR(__xludf.DUMMYFUNCTION("filter(H:H,I:I=U455,J:J=V455)"),"Palnadu")</f>
        <v>Palnadu</v>
      </c>
    </row>
    <row r="456" spans="7:23">
      <c r="G456" s="138" t="s">
        <v>9141</v>
      </c>
      <c r="H456" s="138" t="s">
        <v>9142</v>
      </c>
      <c r="I456" s="138" t="s">
        <v>8662</v>
      </c>
      <c r="J456" s="138" t="s">
        <v>9152</v>
      </c>
      <c r="K456" s="138" t="str">
        <f ca="1">IFERROR(__xludf.DUMMYFUNCTION("unique(filter(R:R,R:R=I456))"),"Macherla")</f>
        <v>Macherla</v>
      </c>
      <c r="N456" s="138" t="str">
        <f ca="1">IFERROR(__xludf.DUMMYFUNCTION("unique(filter(W:W,U:U=R456))"),"Prakasam")</f>
        <v>Prakasam</v>
      </c>
      <c r="O456" s="138" t="s">
        <v>9145</v>
      </c>
      <c r="P456" s="138" t="s">
        <v>9153</v>
      </c>
      <c r="Q456" s="138" t="str">
        <f ca="1">IFERROR(__xludf.DUMMYFUNCTION("filter(I:I,J:J=P456,G:G=O456)"),"#N/A")</f>
        <v>#N/A</v>
      </c>
      <c r="R456" s="138" t="s">
        <v>9004</v>
      </c>
      <c r="U456" s="138" t="s">
        <v>8662</v>
      </c>
      <c r="V456" s="138" t="s">
        <v>9150</v>
      </c>
      <c r="W456" s="138" t="str">
        <f ca="1">IFERROR(__xludf.DUMMYFUNCTION("filter(H:H,I:I=U456,J:J=V456)"),"Palnadu")</f>
        <v>Palnadu</v>
      </c>
    </row>
    <row r="457" spans="7:23">
      <c r="G457" s="138" t="s">
        <v>9141</v>
      </c>
      <c r="H457" s="138" t="s">
        <v>9142</v>
      </c>
      <c r="I457" s="138" t="s">
        <v>8656</v>
      </c>
      <c r="J457" s="138" t="s">
        <v>9154</v>
      </c>
      <c r="K457" s="138" t="str">
        <f ca="1">IFERROR(__xludf.DUMMYFUNCTION("unique(filter(R:R,R:R=I457))"),"Gurajala")</f>
        <v>Gurajala</v>
      </c>
      <c r="N457" s="138" t="str">
        <f ca="1">IFERROR(__xludf.DUMMYFUNCTION("unique(filter(W:W,U:U=R457))"),"Prakasam")</f>
        <v>Prakasam</v>
      </c>
      <c r="O457" s="138" t="s">
        <v>9145</v>
      </c>
      <c r="P457" s="138" t="s">
        <v>9155</v>
      </c>
      <c r="Q457" s="138" t="str">
        <f ca="1">IFERROR(__xludf.DUMMYFUNCTION("filter(I:I,J:J=P457,G:G=O457)"),"Santhanuthalapadu (Sc)")</f>
        <v>Santhanuthalapadu (Sc)</v>
      </c>
      <c r="R457" s="138" t="s">
        <v>9080</v>
      </c>
      <c r="U457" s="138" t="s">
        <v>8662</v>
      </c>
      <c r="V457" s="138" t="s">
        <v>9152</v>
      </c>
      <c r="W457" s="138" t="str">
        <f ca="1">IFERROR(__xludf.DUMMYFUNCTION("filter(H:H,I:I=U457,J:J=V457)"),"Palnadu")</f>
        <v>Palnadu</v>
      </c>
    </row>
    <row r="458" spans="7:23">
      <c r="G458" s="138" t="s">
        <v>9141</v>
      </c>
      <c r="H458" s="138" t="s">
        <v>9142</v>
      </c>
      <c r="I458" s="138" t="s">
        <v>8656</v>
      </c>
      <c r="J458" s="138" t="s">
        <v>9156</v>
      </c>
      <c r="K458" s="138" t="str">
        <f ca="1">IFERROR(__xludf.DUMMYFUNCTION("unique(filter(R:R,R:R=I458))"),"Gurajala")</f>
        <v>Gurajala</v>
      </c>
      <c r="N458" s="138" t="str">
        <f ca="1">IFERROR(__xludf.DUMMYFUNCTION("unique(filter(W:W,U:U=R458))"),"Bapatla")</f>
        <v>Bapatla</v>
      </c>
      <c r="O458" s="138" t="s">
        <v>9145</v>
      </c>
      <c r="P458" s="138" t="s">
        <v>9157</v>
      </c>
      <c r="Q458" s="138" t="str">
        <f ca="1">IFERROR(__xludf.DUMMYFUNCTION("filter(I:I,J:J=P458,G:G=O458)"),"Parchur")</f>
        <v>Parchur</v>
      </c>
      <c r="R458" s="138" t="s">
        <v>9109</v>
      </c>
      <c r="U458" s="138" t="s">
        <v>8656</v>
      </c>
      <c r="V458" s="138" t="s">
        <v>9154</v>
      </c>
      <c r="W458" s="138" t="str">
        <f ca="1">IFERROR(__xludf.DUMMYFUNCTION("filter(H:H,I:I=U458,J:J=V458)"),"Palnadu")</f>
        <v>Palnadu</v>
      </c>
    </row>
    <row r="459" spans="7:23">
      <c r="G459" s="138" t="s">
        <v>9141</v>
      </c>
      <c r="H459" s="138" t="s">
        <v>9142</v>
      </c>
      <c r="I459" s="138" t="s">
        <v>8656</v>
      </c>
      <c r="J459" s="138" t="s">
        <v>9158</v>
      </c>
      <c r="K459" s="138" t="str">
        <f ca="1">IFERROR(__xludf.DUMMYFUNCTION("unique(filter(R:R,R:R=I459))"),"Gurajala")</f>
        <v>Gurajala</v>
      </c>
      <c r="N459" s="138" t="str">
        <f ca="1">IFERROR(__xludf.DUMMYFUNCTION("unique(filter(W:W,U:U=R459))"),"Bapatla")</f>
        <v>Bapatla</v>
      </c>
      <c r="O459" s="138" t="s">
        <v>9145</v>
      </c>
      <c r="P459" s="138" t="s">
        <v>9159</v>
      </c>
      <c r="Q459" s="138" t="str">
        <f ca="1">IFERROR(__xludf.DUMMYFUNCTION("filter(I:I,J:J=P459,G:G=O459)"),"Chirala")</f>
        <v>Chirala</v>
      </c>
      <c r="R459" s="138" t="s">
        <v>9091</v>
      </c>
      <c r="U459" s="138" t="s">
        <v>8656</v>
      </c>
      <c r="V459" s="138" t="s">
        <v>9156</v>
      </c>
      <c r="W459" s="138" t="str">
        <f ca="1">IFERROR(__xludf.DUMMYFUNCTION("filter(H:H,I:I=U459,J:J=V459)"),"Palnadu")</f>
        <v>Palnadu</v>
      </c>
    </row>
    <row r="460" spans="7:23">
      <c r="G460" s="138" t="s">
        <v>9141</v>
      </c>
      <c r="H460" s="138" t="s">
        <v>9142</v>
      </c>
      <c r="I460" s="138" t="s">
        <v>8656</v>
      </c>
      <c r="J460" s="138" t="s">
        <v>9160</v>
      </c>
      <c r="K460" s="138" t="str">
        <f ca="1">IFERROR(__xludf.DUMMYFUNCTION("unique(filter(R:R,R:R=I460))"),"Gurajala")</f>
        <v>Gurajala</v>
      </c>
      <c r="N460" s="138" t="str">
        <f ca="1">IFERROR(__xludf.DUMMYFUNCTION("unique(filter(W:W,U:U=R460))"),"Prakasam")</f>
        <v>Prakasam</v>
      </c>
      <c r="O460" s="138" t="s">
        <v>9145</v>
      </c>
      <c r="P460" s="138" t="s">
        <v>9161</v>
      </c>
      <c r="Q460" s="138" t="str">
        <f ca="1">IFERROR(__xludf.DUMMYFUNCTION("filter(I:I,J:J=P460,G:G=O460)"),"Giddalur")</f>
        <v>Giddalur</v>
      </c>
      <c r="R460" s="138" t="s">
        <v>9019</v>
      </c>
      <c r="U460" s="138" t="s">
        <v>8656</v>
      </c>
      <c r="V460" s="138" t="s">
        <v>9158</v>
      </c>
      <c r="W460" s="138" t="str">
        <f ca="1">IFERROR(__xludf.DUMMYFUNCTION("filter(H:H,I:I=U460,J:J=V460)"),"Palnadu")</f>
        <v>Palnadu</v>
      </c>
    </row>
    <row r="461" spans="7:23">
      <c r="G461" s="138" t="s">
        <v>9141</v>
      </c>
      <c r="H461" s="138" t="s">
        <v>9142</v>
      </c>
      <c r="I461" s="138" t="s">
        <v>8656</v>
      </c>
      <c r="J461" s="138" t="s">
        <v>9162</v>
      </c>
      <c r="K461" s="138" t="str">
        <f ca="1">IFERROR(__xludf.DUMMYFUNCTION("unique(filter(R:R,R:R=I461))"),"Gurajala")</f>
        <v>Gurajala</v>
      </c>
      <c r="N461" s="138" t="str">
        <f ca="1">IFERROR(__xludf.DUMMYFUNCTION("unique(filter(W:W,U:U=R461))"),"Prakasam")</f>
        <v>Prakasam</v>
      </c>
      <c r="O461" s="138" t="s">
        <v>9145</v>
      </c>
      <c r="P461" s="138" t="s">
        <v>9163</v>
      </c>
      <c r="Q461" s="138" t="str">
        <f ca="1">IFERROR(__xludf.DUMMYFUNCTION("filter(I:I,J:J=P461,G:G=O461)"),"Darsi")</f>
        <v>Darsi</v>
      </c>
      <c r="R461" s="138" t="s">
        <v>9121</v>
      </c>
      <c r="U461" s="138" t="s">
        <v>8656</v>
      </c>
      <c r="V461" s="138" t="s">
        <v>9160</v>
      </c>
      <c r="W461" s="138" t="str">
        <f ca="1">IFERROR(__xludf.DUMMYFUNCTION("filter(H:H,I:I=U461,J:J=V461)"),"Palnadu")</f>
        <v>Palnadu</v>
      </c>
    </row>
    <row r="462" spans="7:23">
      <c r="G462" s="138" t="s">
        <v>9141</v>
      </c>
      <c r="H462" s="138" t="s">
        <v>9142</v>
      </c>
      <c r="I462" s="138" t="s">
        <v>8656</v>
      </c>
      <c r="J462" s="138" t="s">
        <v>9164</v>
      </c>
      <c r="K462" s="138" t="str">
        <f ca="1">IFERROR(__xludf.DUMMYFUNCTION("unique(filter(R:R,R:R=I462))"),"Gurajala")</f>
        <v>Gurajala</v>
      </c>
      <c r="N462" s="138" t="str">
        <f ca="1">IFERROR(__xludf.DUMMYFUNCTION("unique(filter(W:W,U:U=R462))"),"Prakasam")</f>
        <v>Prakasam</v>
      </c>
      <c r="O462" s="138" t="s">
        <v>9145</v>
      </c>
      <c r="P462" s="138" t="s">
        <v>9165</v>
      </c>
      <c r="Q462" s="138" t="str">
        <f ca="1">IFERROR(__xludf.DUMMYFUNCTION("filter(I:I,J:J=P462,G:G=O462)"),"Darsi")</f>
        <v>Darsi</v>
      </c>
      <c r="R462" s="138" t="s">
        <v>9121</v>
      </c>
      <c r="U462" s="138" t="s">
        <v>8656</v>
      </c>
      <c r="V462" s="138" t="s">
        <v>9162</v>
      </c>
      <c r="W462" s="138" t="str">
        <f ca="1">IFERROR(__xludf.DUMMYFUNCTION("filter(H:H,I:I=U462,J:J=V462)"),"Palnadu")</f>
        <v>Palnadu</v>
      </c>
    </row>
    <row r="463" spans="7:23">
      <c r="G463" s="138" t="s">
        <v>9141</v>
      </c>
      <c r="H463" s="138" t="s">
        <v>9142</v>
      </c>
      <c r="I463" s="138" t="s">
        <v>8656</v>
      </c>
      <c r="J463" s="138" t="s">
        <v>9166</v>
      </c>
      <c r="K463" s="138" t="str">
        <f ca="1">IFERROR(__xludf.DUMMYFUNCTION("unique(filter(R:R,R:R=I463))"),"Gurajala")</f>
        <v>Gurajala</v>
      </c>
      <c r="N463" s="138" t="str">
        <f ca="1">IFERROR(__xludf.DUMMYFUNCTION("unique(filter(W:W,U:U=R463))"),"Prakasam")</f>
        <v>Prakasam</v>
      </c>
      <c r="O463" s="138" t="s">
        <v>9145</v>
      </c>
      <c r="P463" s="138" t="s">
        <v>9167</v>
      </c>
      <c r="Q463" s="138" t="str">
        <f ca="1">IFERROR(__xludf.DUMMYFUNCTION("filter(I:I,J:J=P463,G:G=O463)"),"Yerragondapalem (Sc)")</f>
        <v>Yerragondapalem (Sc)</v>
      </c>
      <c r="R463" s="138" t="s">
        <v>9130</v>
      </c>
      <c r="U463" s="138" t="s">
        <v>8656</v>
      </c>
      <c r="V463" s="138" t="s">
        <v>9164</v>
      </c>
      <c r="W463" s="138" t="str">
        <f ca="1">IFERROR(__xludf.DUMMYFUNCTION("filter(H:H,I:I=U463,J:J=V463)"),"Palnadu")</f>
        <v>Palnadu</v>
      </c>
    </row>
    <row r="464" spans="7:23">
      <c r="G464" s="138" t="s">
        <v>9141</v>
      </c>
      <c r="H464" s="138" t="s">
        <v>9142</v>
      </c>
      <c r="I464" s="138" t="s">
        <v>8645</v>
      </c>
      <c r="J464" s="138" t="s">
        <v>9168</v>
      </c>
      <c r="K464" s="138" t="str">
        <f ca="1">IFERROR(__xludf.DUMMYFUNCTION("unique(filter(R:R,R:R=I464))"),"Vinukonda")</f>
        <v>Vinukonda</v>
      </c>
      <c r="N464" s="138" t="str">
        <f ca="1">IFERROR(__xludf.DUMMYFUNCTION("unique(filter(W:W,U:U=R464))"),"Prakasam")</f>
        <v>Prakasam</v>
      </c>
      <c r="O464" s="138" t="s">
        <v>9145</v>
      </c>
      <c r="P464" s="138" t="s">
        <v>9169</v>
      </c>
      <c r="Q464" s="138" t="str">
        <f ca="1">IFERROR(__xludf.DUMMYFUNCTION("filter(I:I,J:J=P464,G:G=O464)"),"Giddalur")</f>
        <v>Giddalur</v>
      </c>
      <c r="R464" s="138" t="s">
        <v>9019</v>
      </c>
      <c r="U464" s="138" t="s">
        <v>8656</v>
      </c>
      <c r="V464" s="138" t="s">
        <v>9166</v>
      </c>
      <c r="W464" s="138" t="str">
        <f ca="1">IFERROR(__xludf.DUMMYFUNCTION("filter(H:H,I:I=U464,J:J=V464)"),"Palnadu")</f>
        <v>Palnadu</v>
      </c>
    </row>
    <row r="465" spans="7:23">
      <c r="G465" s="138" t="s">
        <v>9141</v>
      </c>
      <c r="H465" s="138" t="s">
        <v>9142</v>
      </c>
      <c r="I465" s="138" t="s">
        <v>8645</v>
      </c>
      <c r="J465" s="138" t="s">
        <v>9170</v>
      </c>
      <c r="K465" s="138" t="str">
        <f ca="1">IFERROR(__xludf.DUMMYFUNCTION("unique(filter(R:R,R:R=I465))"),"Vinukonda")</f>
        <v>Vinukonda</v>
      </c>
      <c r="N465" s="138" t="str">
        <f ca="1">IFERROR(__xludf.DUMMYFUNCTION("unique(filter(W:W,U:U=R465))"),"Nellore")</f>
        <v>Nellore</v>
      </c>
      <c r="O465" s="138" t="s">
        <v>9145</v>
      </c>
      <c r="P465" s="138" t="s">
        <v>9171</v>
      </c>
      <c r="Q465" s="138" t="str">
        <f ca="1">IFERROR(__xludf.DUMMYFUNCTION("filter(I:I,J:J=P465,G:G=O465)"),"Kandukur")</f>
        <v>Kandukur</v>
      </c>
      <c r="R465" s="138" t="s">
        <v>9060</v>
      </c>
      <c r="U465" s="138" t="s">
        <v>8645</v>
      </c>
      <c r="V465" s="138" t="s">
        <v>9168</v>
      </c>
      <c r="W465" s="138" t="str">
        <f ca="1">IFERROR(__xludf.DUMMYFUNCTION("filter(H:H,I:I=U465,J:J=V465)"),"Palnadu")</f>
        <v>Palnadu</v>
      </c>
    </row>
    <row r="466" spans="7:23">
      <c r="G466" s="138" t="s">
        <v>9141</v>
      </c>
      <c r="H466" s="138" t="s">
        <v>9142</v>
      </c>
      <c r="I466" s="138" t="s">
        <v>8645</v>
      </c>
      <c r="J466" s="138" t="s">
        <v>9172</v>
      </c>
      <c r="K466" s="138" t="str">
        <f ca="1">IFERROR(__xludf.DUMMYFUNCTION("unique(filter(R:R,R:R=I466))"),"Vinukonda")</f>
        <v>Vinukonda</v>
      </c>
      <c r="N466" s="138" t="str">
        <f ca="1">IFERROR(__xludf.DUMMYFUNCTION("unique(filter(W:W,U:U=R466))"),"Prakasam")</f>
        <v>Prakasam</v>
      </c>
      <c r="O466" s="138" t="s">
        <v>9145</v>
      </c>
      <c r="P466" s="138" t="s">
        <v>9173</v>
      </c>
      <c r="Q466" s="138" t="str">
        <f ca="1">IFERROR(__xludf.DUMMYFUNCTION("filter(I:I,J:J=P466,G:G=O466)"),"#N/A")</f>
        <v>#N/A</v>
      </c>
      <c r="R466" s="138" t="s">
        <v>9004</v>
      </c>
      <c r="U466" s="138" t="s">
        <v>8645</v>
      </c>
      <c r="V466" s="138" t="s">
        <v>9170</v>
      </c>
      <c r="W466" s="138" t="str">
        <f ca="1">IFERROR(__xludf.DUMMYFUNCTION("filter(H:H,I:I=U466,J:J=V466)"),"Palnadu")</f>
        <v>Palnadu</v>
      </c>
    </row>
    <row r="467" spans="7:23">
      <c r="G467" s="138" t="s">
        <v>9141</v>
      </c>
      <c r="H467" s="138" t="s">
        <v>9142</v>
      </c>
      <c r="I467" s="138" t="s">
        <v>8645</v>
      </c>
      <c r="J467" s="138" t="s">
        <v>8645</v>
      </c>
      <c r="K467" s="138" t="str">
        <f ca="1">IFERROR(__xludf.DUMMYFUNCTION("unique(filter(R:R,R:R=I467))"),"Vinukonda")</f>
        <v>Vinukonda</v>
      </c>
      <c r="N467" s="138" t="str">
        <f ca="1">IFERROR(__xludf.DUMMYFUNCTION("unique(filter(W:W,U:U=R467))"),"Bapatla")</f>
        <v>Bapatla</v>
      </c>
      <c r="O467" s="138" t="s">
        <v>9145</v>
      </c>
      <c r="P467" s="138" t="s">
        <v>9174</v>
      </c>
      <c r="Q467" s="138" t="str">
        <f ca="1">IFERROR(__xludf.DUMMYFUNCTION("filter(I:I,J:J=P467,G:G=O467)"),"Parchur")</f>
        <v>Parchur</v>
      </c>
      <c r="R467" s="138" t="s">
        <v>9109</v>
      </c>
      <c r="U467" s="138" t="s">
        <v>8645</v>
      </c>
      <c r="V467" s="138" t="s">
        <v>9172</v>
      </c>
      <c r="W467" s="138" t="str">
        <f ca="1">IFERROR(__xludf.DUMMYFUNCTION("filter(H:H,I:I=U467,J:J=V467)"),"Palnadu")</f>
        <v>Palnadu</v>
      </c>
    </row>
    <row r="468" spans="7:23">
      <c r="G468" s="138" t="s">
        <v>9141</v>
      </c>
      <c r="H468" s="138" t="s">
        <v>9142</v>
      </c>
      <c r="I468" s="138" t="s">
        <v>8645</v>
      </c>
      <c r="J468" s="138" t="s">
        <v>9175</v>
      </c>
      <c r="K468" s="138" t="str">
        <f ca="1">IFERROR(__xludf.DUMMYFUNCTION("unique(filter(R:R,R:R=I468))"),"Vinukonda")</f>
        <v>Vinukonda</v>
      </c>
      <c r="N468" s="138" t="str">
        <f ca="1">IFERROR(__xludf.DUMMYFUNCTION("unique(filter(W:W,U:U=R468))"),"Bapatla")</f>
        <v>Bapatla</v>
      </c>
      <c r="O468" s="138" t="s">
        <v>9145</v>
      </c>
      <c r="P468" s="138" t="s">
        <v>9176</v>
      </c>
      <c r="Q468" s="138" t="str">
        <f ca="1">IFERROR(__xludf.DUMMYFUNCTION("filter(I:I,J:J=P468,G:G=O468)"),"Addanki")</f>
        <v>Addanki</v>
      </c>
      <c r="R468" s="138" t="s">
        <v>9097</v>
      </c>
      <c r="U468" s="138" t="s">
        <v>8645</v>
      </c>
      <c r="V468" s="138" t="s">
        <v>8645</v>
      </c>
      <c r="W468" s="138" t="str">
        <f ca="1">IFERROR(__xludf.DUMMYFUNCTION("filter(H:H,I:I=U468,J:J=V468)"),"Palnadu")</f>
        <v>Palnadu</v>
      </c>
    </row>
    <row r="469" spans="7:23">
      <c r="G469" s="138" t="s">
        <v>9141</v>
      </c>
      <c r="H469" s="138" t="s">
        <v>9142</v>
      </c>
      <c r="I469" s="138" t="s">
        <v>8645</v>
      </c>
      <c r="J469" s="138" t="s">
        <v>9177</v>
      </c>
      <c r="K469" s="138" t="str">
        <f ca="1">IFERROR(__xludf.DUMMYFUNCTION("unique(filter(R:R,R:R=I469))"),"Vinukonda")</f>
        <v>Vinukonda</v>
      </c>
      <c r="N469" s="138" t="str">
        <f ca="1">IFERROR(__xludf.DUMMYFUNCTION("unique(filter(W:W,U:U=R469))"),"Nellore")</f>
        <v>Nellore</v>
      </c>
      <c r="O469" s="138" t="s">
        <v>9145</v>
      </c>
      <c r="P469" s="138" t="s">
        <v>9178</v>
      </c>
      <c r="Q469" s="138" t="str">
        <f ca="1">IFERROR(__xludf.DUMMYFUNCTION("filter(I:I,J:J=P469,G:G=O469)"),"#N/A")</f>
        <v>#N/A</v>
      </c>
      <c r="R469" s="138" t="s">
        <v>9060</v>
      </c>
      <c r="U469" s="138" t="s">
        <v>8645</v>
      </c>
      <c r="V469" s="138" t="s">
        <v>9175</v>
      </c>
      <c r="W469" s="138" t="str">
        <f ca="1">IFERROR(__xludf.DUMMYFUNCTION("filter(H:H,I:I=U469,J:J=V469)"),"Palnadu")</f>
        <v>Palnadu</v>
      </c>
    </row>
    <row r="470" spans="7:23">
      <c r="G470" s="138" t="s">
        <v>9141</v>
      </c>
      <c r="H470" s="138" t="s">
        <v>9142</v>
      </c>
      <c r="I470" s="138" t="s">
        <v>8692</v>
      </c>
      <c r="J470" s="138" t="s">
        <v>8692</v>
      </c>
      <c r="K470" s="138" t="str">
        <f ca="1">IFERROR(__xludf.DUMMYFUNCTION("unique(filter(R:R,R:R=I470))"),"Sattenapalle")</f>
        <v>Sattenapalle</v>
      </c>
      <c r="N470" s="138" t="str">
        <f ca="1">IFERROR(__xludf.DUMMYFUNCTION("unique(filter(W:W,U:U=R470))"),"Prakasam")</f>
        <v>Prakasam</v>
      </c>
      <c r="O470" s="138" t="s">
        <v>9145</v>
      </c>
      <c r="P470" s="138" t="s">
        <v>9179</v>
      </c>
      <c r="Q470" s="138" t="str">
        <f ca="1">IFERROR(__xludf.DUMMYFUNCTION("filter(I:I,J:J=P470,G:G=O470)"),"Kanigiri")</f>
        <v>Kanigiri</v>
      </c>
      <c r="R470" s="138" t="s">
        <v>9004</v>
      </c>
      <c r="U470" s="138" t="s">
        <v>8645</v>
      </c>
      <c r="V470" s="138" t="s">
        <v>9177</v>
      </c>
      <c r="W470" s="138" t="str">
        <f ca="1">IFERROR(__xludf.DUMMYFUNCTION("filter(H:H,I:I=U470,J:J=V470)"),"Palnadu")</f>
        <v>Palnadu</v>
      </c>
    </row>
    <row r="471" spans="7:23">
      <c r="G471" s="138" t="s">
        <v>9141</v>
      </c>
      <c r="H471" s="138" t="s">
        <v>9142</v>
      </c>
      <c r="I471" s="138" t="s">
        <v>8692</v>
      </c>
      <c r="J471" s="138" t="s">
        <v>9180</v>
      </c>
      <c r="K471" s="138" t="str">
        <f ca="1">IFERROR(__xludf.DUMMYFUNCTION("unique(filter(R:R,R:R=I471))"),"Sattenapalle")</f>
        <v>Sattenapalle</v>
      </c>
      <c r="N471" s="138" t="str">
        <f ca="1">IFERROR(__xludf.DUMMYFUNCTION("unique(filter(W:W,U:U=R471))"),"Bapatla")</f>
        <v>Bapatla</v>
      </c>
      <c r="O471" s="138" t="s">
        <v>9145</v>
      </c>
      <c r="P471" s="138" t="s">
        <v>9181</v>
      </c>
      <c r="Q471" s="138" t="str">
        <f ca="1">IFERROR(__xludf.DUMMYFUNCTION("filter(I:I,J:J=P471,G:G=O471)"),"Parchur")</f>
        <v>Parchur</v>
      </c>
      <c r="R471" s="138" t="s">
        <v>9109</v>
      </c>
      <c r="U471" s="138" t="s">
        <v>8692</v>
      </c>
      <c r="V471" s="138" t="s">
        <v>8692</v>
      </c>
      <c r="W471" s="138" t="str">
        <f ca="1">IFERROR(__xludf.DUMMYFUNCTION("filter(H:H,I:I=U471,J:J=V471)"),"Palnadu")</f>
        <v>Palnadu</v>
      </c>
    </row>
    <row r="472" spans="7:23">
      <c r="G472" s="138" t="s">
        <v>9141</v>
      </c>
      <c r="H472" s="138" t="s">
        <v>9142</v>
      </c>
      <c r="I472" s="138" t="s">
        <v>8692</v>
      </c>
      <c r="J472" s="138" t="s">
        <v>239</v>
      </c>
      <c r="K472" s="138" t="str">
        <f ca="1">IFERROR(__xludf.DUMMYFUNCTION("unique(filter(R:R,R:R=I472))"),"Sattenapalle")</f>
        <v>Sattenapalle</v>
      </c>
      <c r="N472" s="138" t="str">
        <f ca="1">IFERROR(__xludf.DUMMYFUNCTION("unique(filter(W:W,U:U=R472))"),"Prakasam")</f>
        <v>Prakasam</v>
      </c>
      <c r="O472" s="138" t="s">
        <v>9145</v>
      </c>
      <c r="P472" s="138" t="s">
        <v>9182</v>
      </c>
      <c r="Q472" s="138" t="str">
        <f ca="1">IFERROR(__xludf.DUMMYFUNCTION("filter(I:I,J:J=P472,G:G=O472)"),"Giddalur")</f>
        <v>Giddalur</v>
      </c>
      <c r="R472" s="138" t="s">
        <v>9019</v>
      </c>
      <c r="U472" s="138" t="s">
        <v>8692</v>
      </c>
      <c r="V472" s="138" t="s">
        <v>9180</v>
      </c>
      <c r="W472" s="138" t="str">
        <f ca="1">IFERROR(__xludf.DUMMYFUNCTION("filter(H:H,I:I=U472,J:J=V472)"),"Palnadu")</f>
        <v>Palnadu</v>
      </c>
    </row>
    <row r="473" spans="7:23">
      <c r="G473" s="138" t="s">
        <v>9141</v>
      </c>
      <c r="H473" s="138" t="s">
        <v>9142</v>
      </c>
      <c r="I473" s="138" t="s">
        <v>8692</v>
      </c>
      <c r="J473" s="138" t="s">
        <v>9183</v>
      </c>
      <c r="K473" s="138" t="str">
        <f ca="1">IFERROR(__xludf.DUMMYFUNCTION("unique(filter(R:R,R:R=I473))"),"Sattenapalle")</f>
        <v>Sattenapalle</v>
      </c>
      <c r="N473" s="138" t="str">
        <f ca="1">IFERROR(__xludf.DUMMYFUNCTION("unique(filter(W:W,U:U=R473))"),"Prakasam")</f>
        <v>Prakasam</v>
      </c>
      <c r="O473" s="138" t="s">
        <v>9145</v>
      </c>
      <c r="P473" s="138" t="s">
        <v>9184</v>
      </c>
      <c r="Q473" s="138" t="str">
        <f ca="1">IFERROR(__xludf.DUMMYFUNCTION("filter(I:I,J:J=P473,G:G=O473)"),"Markapuram")</f>
        <v>Markapuram</v>
      </c>
      <c r="R473" s="138" t="s">
        <v>9033</v>
      </c>
      <c r="U473" s="138" t="s">
        <v>8692</v>
      </c>
      <c r="V473" s="138" t="s">
        <v>239</v>
      </c>
      <c r="W473" s="138" t="str">
        <f ca="1">IFERROR(__xludf.DUMMYFUNCTION("filter(H:H,I:I=U473,J:J=V473)"),"Palnadu")</f>
        <v>Palnadu</v>
      </c>
    </row>
    <row r="474" spans="7:23">
      <c r="G474" s="138" t="s">
        <v>9141</v>
      </c>
      <c r="H474" s="138" t="s">
        <v>9142</v>
      </c>
      <c r="I474" s="138" t="s">
        <v>8692</v>
      </c>
      <c r="J474" s="138" t="s">
        <v>9185</v>
      </c>
      <c r="K474" s="138" t="str">
        <f ca="1">IFERROR(__xludf.DUMMYFUNCTION("unique(filter(R:R,R:R=I474))"),"Sattenapalle")</f>
        <v>Sattenapalle</v>
      </c>
      <c r="N474" s="138" t="str">
        <f ca="1">IFERROR(__xludf.DUMMYFUNCTION("unique(filter(W:W,U:U=R474))"),"Prakasam")</f>
        <v>Prakasam</v>
      </c>
      <c r="O474" s="138" t="s">
        <v>9145</v>
      </c>
      <c r="P474" s="138" t="s">
        <v>9186</v>
      </c>
      <c r="Q474" s="138" t="str">
        <f ca="1">IFERROR(__xludf.DUMMYFUNCTION("filter(I:I,J:J=P474,G:G=O474)"),"Kondapi (Sc)")</f>
        <v>Kondapi (Sc)</v>
      </c>
      <c r="R474" s="138" t="s">
        <v>9046</v>
      </c>
      <c r="U474" s="138" t="s">
        <v>8692</v>
      </c>
      <c r="V474" s="138" t="s">
        <v>9183</v>
      </c>
      <c r="W474" s="138" t="str">
        <f ca="1">IFERROR(__xludf.DUMMYFUNCTION("filter(H:H,I:I=U474,J:J=V474)"),"Palnadu")</f>
        <v>Palnadu</v>
      </c>
    </row>
    <row r="475" spans="7:23">
      <c r="G475" s="138" t="s">
        <v>9141</v>
      </c>
      <c r="H475" s="138" t="s">
        <v>9142</v>
      </c>
      <c r="I475" s="138" t="s">
        <v>8697</v>
      </c>
      <c r="J475" s="138" t="s">
        <v>8404</v>
      </c>
      <c r="K475" s="138" t="str">
        <f ca="1">IFERROR(__xludf.DUMMYFUNCTION("unique(filter(R:R,R:R=I475))"),"Narasaraopet")</f>
        <v>Narasaraopet</v>
      </c>
      <c r="N475" s="138" t="str">
        <f ca="1">IFERROR(__xludf.DUMMYFUNCTION("unique(filter(W:W,U:U=R475))"),"Bapatla")</f>
        <v>Bapatla</v>
      </c>
      <c r="O475" s="138" t="s">
        <v>9145</v>
      </c>
      <c r="P475" s="138" t="s">
        <v>9187</v>
      </c>
      <c r="Q475" s="138" t="str">
        <f ca="1">IFERROR(__xludf.DUMMYFUNCTION("filter(I:I,J:J=P475,G:G=O475)"),"Addanki")</f>
        <v>Addanki</v>
      </c>
      <c r="R475" s="138" t="s">
        <v>9097</v>
      </c>
      <c r="U475" s="138" t="s">
        <v>8692</v>
      </c>
      <c r="V475" s="138" t="s">
        <v>9185</v>
      </c>
      <c r="W475" s="138" t="str">
        <f ca="1">IFERROR(__xludf.DUMMYFUNCTION("filter(H:H,I:I=U475,J:J=V475)"),"Palnadu")</f>
        <v>Palnadu</v>
      </c>
    </row>
    <row r="476" spans="7:23">
      <c r="G476" s="138" t="s">
        <v>9141</v>
      </c>
      <c r="H476" s="138" t="s">
        <v>9142</v>
      </c>
      <c r="I476" s="138" t="s">
        <v>8697</v>
      </c>
      <c r="J476" s="138" t="s">
        <v>8697</v>
      </c>
      <c r="K476" s="138" t="str">
        <f ca="1">IFERROR(__xludf.DUMMYFUNCTION("unique(filter(R:R,R:R=I476))"),"Narasaraopet")</f>
        <v>Narasaraopet</v>
      </c>
      <c r="N476" s="138" t="str">
        <f ca="1">IFERROR(__xludf.DUMMYFUNCTION("unique(filter(W:W,U:U=R476))"),"Prakasam")</f>
        <v>Prakasam</v>
      </c>
      <c r="O476" s="138" t="s">
        <v>9145</v>
      </c>
      <c r="P476" s="138" t="s">
        <v>9188</v>
      </c>
      <c r="Q476" s="138" t="str">
        <f ca="1">IFERROR(__xludf.DUMMYFUNCTION("filter(I:I,J:J=P476,G:G=O476)"),"Ongole")</f>
        <v>Ongole</v>
      </c>
      <c r="R476" s="138" t="s">
        <v>9073</v>
      </c>
      <c r="U476" s="138" t="s">
        <v>8697</v>
      </c>
      <c r="V476" s="138" t="s">
        <v>8404</v>
      </c>
      <c r="W476" s="138" t="str">
        <f ca="1">IFERROR(__xludf.DUMMYFUNCTION("filter(H:H,I:I=U476,J:J=V476)"),"Palnadu")</f>
        <v>Palnadu</v>
      </c>
    </row>
    <row r="477" spans="7:23">
      <c r="G477" s="138" t="s">
        <v>9141</v>
      </c>
      <c r="H477" s="138" t="s">
        <v>9142</v>
      </c>
      <c r="I477" s="138" t="s">
        <v>8697</v>
      </c>
      <c r="J477" s="138" t="s">
        <v>9189</v>
      </c>
      <c r="K477" s="138" t="str">
        <f ca="1">IFERROR(__xludf.DUMMYFUNCTION("unique(filter(R:R,R:R=I477))"),"Narasaraopet")</f>
        <v>Narasaraopet</v>
      </c>
      <c r="N477" s="138" t="str">
        <f ca="1">IFERROR(__xludf.DUMMYFUNCTION("unique(filter(W:W,U:U=R477))"),"Prakasam")</f>
        <v>Prakasam</v>
      </c>
      <c r="O477" s="138" t="s">
        <v>9145</v>
      </c>
      <c r="P477" s="138" t="s">
        <v>9190</v>
      </c>
      <c r="Q477" s="138" t="str">
        <f ca="1">IFERROR(__xludf.DUMMYFUNCTION("filter(I:I,J:J=P477,G:G=O477)"),"#N/A")</f>
        <v>#N/A</v>
      </c>
      <c r="R477" s="138" t="s">
        <v>9121</v>
      </c>
      <c r="U477" s="138" t="s">
        <v>8697</v>
      </c>
      <c r="V477" s="138" t="s">
        <v>8697</v>
      </c>
      <c r="W477" s="138" t="str">
        <f ca="1">IFERROR(__xludf.DUMMYFUNCTION("filter(H:H,I:I=U477,J:J=V477)"),"Palnadu")</f>
        <v>Palnadu</v>
      </c>
    </row>
    <row r="478" spans="7:23">
      <c r="G478" s="138" t="s">
        <v>9141</v>
      </c>
      <c r="H478" s="138" t="s">
        <v>9142</v>
      </c>
      <c r="I478" s="138" t="s">
        <v>8652</v>
      </c>
      <c r="J478" s="138" t="s">
        <v>9191</v>
      </c>
      <c r="K478" s="138" t="str">
        <f ca="1">IFERROR(__xludf.DUMMYFUNCTION("unique(filter(R:R,R:R=I478))"),"Chilakaluripet")</f>
        <v>Chilakaluripet</v>
      </c>
      <c r="N478" s="138" t="str">
        <f ca="1">IFERROR(__xludf.DUMMYFUNCTION("unique(filter(W:W,U:U=R478))"),"Nellore")</f>
        <v>Nellore</v>
      </c>
      <c r="O478" s="138" t="s">
        <v>9145</v>
      </c>
      <c r="P478" s="138" t="s">
        <v>9192</v>
      </c>
      <c r="Q478" s="138" t="str">
        <f ca="1">IFERROR(__xludf.DUMMYFUNCTION("filter(I:I,J:J=P478,G:G=O478)"),"Kandukur")</f>
        <v>Kandukur</v>
      </c>
      <c r="R478" s="138" t="s">
        <v>9060</v>
      </c>
      <c r="U478" s="138" t="s">
        <v>8697</v>
      </c>
      <c r="V478" s="138" t="s">
        <v>9189</v>
      </c>
      <c r="W478" s="138" t="str">
        <f ca="1">IFERROR(__xludf.DUMMYFUNCTION("filter(H:H,I:I=U478,J:J=V478)"),"Palnadu")</f>
        <v>Palnadu</v>
      </c>
    </row>
    <row r="479" spans="7:23">
      <c r="G479" s="138" t="s">
        <v>9141</v>
      </c>
      <c r="H479" s="138" t="s">
        <v>9142</v>
      </c>
      <c r="I479" s="138" t="s">
        <v>8652</v>
      </c>
      <c r="J479" s="138" t="s">
        <v>9193</v>
      </c>
      <c r="K479" s="138" t="str">
        <f ca="1">IFERROR(__xludf.DUMMYFUNCTION("unique(filter(R:R,R:R=I479))"),"Chilakaluripet")</f>
        <v>Chilakaluripet</v>
      </c>
      <c r="N479" s="138" t="str">
        <f ca="1">IFERROR(__xludf.DUMMYFUNCTION("unique(filter(W:W,U:U=R479))"),"Prakasam")</f>
        <v>Prakasam</v>
      </c>
      <c r="O479" s="138" t="s">
        <v>9145</v>
      </c>
      <c r="P479" s="138" t="s">
        <v>9194</v>
      </c>
      <c r="Q479" s="138" t="str">
        <f ca="1">IFERROR(__xludf.DUMMYFUNCTION("filter(I:I,J:J=P479,G:G=O479)"),"Santhanuthalapadu (Sc)")</f>
        <v>Santhanuthalapadu (Sc)</v>
      </c>
      <c r="R479" s="138" t="s">
        <v>9080</v>
      </c>
      <c r="U479" s="138" t="s">
        <v>8652</v>
      </c>
      <c r="V479" s="138" t="s">
        <v>9191</v>
      </c>
      <c r="W479" s="138" t="str">
        <f ca="1">IFERROR(__xludf.DUMMYFUNCTION("filter(H:H,I:I=U479,J:J=V479)"),"Palnadu")</f>
        <v>Palnadu</v>
      </c>
    </row>
    <row r="480" spans="7:23">
      <c r="G480" s="138" t="s">
        <v>9141</v>
      </c>
      <c r="H480" s="138" t="s">
        <v>9142</v>
      </c>
      <c r="I480" s="138" t="s">
        <v>8652</v>
      </c>
      <c r="J480" s="138" t="s">
        <v>9195</v>
      </c>
      <c r="K480" s="138" t="str">
        <f ca="1">IFERROR(__xludf.DUMMYFUNCTION("unique(filter(R:R,R:R=I480))"),"Chilakaluripet")</f>
        <v>Chilakaluripet</v>
      </c>
      <c r="N480" s="138" t="str">
        <f ca="1">IFERROR(__xludf.DUMMYFUNCTION("unique(filter(W:W,U:U=R480))"),"Prakasam")</f>
        <v>Prakasam</v>
      </c>
      <c r="O480" s="138" t="s">
        <v>9145</v>
      </c>
      <c r="P480" s="138" t="s">
        <v>9196</v>
      </c>
      <c r="Q480" s="138" t="str">
        <f ca="1">IFERROR(__xludf.DUMMYFUNCTION("filter(I:I,J:J=P480,G:G=O480)"),"Markapuram")</f>
        <v>Markapuram</v>
      </c>
      <c r="R480" s="138" t="s">
        <v>9033</v>
      </c>
      <c r="U480" s="138" t="s">
        <v>8652</v>
      </c>
      <c r="V480" s="138" t="s">
        <v>9193</v>
      </c>
      <c r="W480" s="138" t="str">
        <f ca="1">IFERROR(__xludf.DUMMYFUNCTION("filter(H:H,I:I=U480,J:J=V480)"),"Palnadu")</f>
        <v>Palnadu</v>
      </c>
    </row>
    <row r="481" spans="7:23">
      <c r="G481" s="138" t="s">
        <v>9141</v>
      </c>
      <c r="H481" s="138" t="s">
        <v>9142</v>
      </c>
      <c r="I481" s="138" t="s">
        <v>8652</v>
      </c>
      <c r="J481" s="138" t="s">
        <v>9197</v>
      </c>
      <c r="K481" s="138" t="str">
        <f ca="1">IFERROR(__xludf.DUMMYFUNCTION("unique(filter(R:R,R:R=I481))"),"Chilakaluripet")</f>
        <v>Chilakaluripet</v>
      </c>
      <c r="N481" s="138" t="str">
        <f ca="1">IFERROR(__xludf.DUMMYFUNCTION("unique(filter(W:W,U:U=R481))"),"Prakasam")</f>
        <v>Prakasam</v>
      </c>
      <c r="O481" s="138" t="s">
        <v>9145</v>
      </c>
      <c r="P481" s="138" t="s">
        <v>9198</v>
      </c>
      <c r="Q481" s="138" t="str">
        <f ca="1">IFERROR(__xludf.DUMMYFUNCTION("filter(I:I,J:J=P481,G:G=O481)"),"Kondapi (Sc)")</f>
        <v>Kondapi (Sc)</v>
      </c>
      <c r="R481" s="138" t="s">
        <v>9046</v>
      </c>
      <c r="U481" s="138" t="s">
        <v>8652</v>
      </c>
      <c r="V481" s="138" t="s">
        <v>9195</v>
      </c>
      <c r="W481" s="138" t="str">
        <f ca="1">IFERROR(__xludf.DUMMYFUNCTION("filter(H:H,I:I=U481,J:J=V481)"),"Palnadu")</f>
        <v>Palnadu</v>
      </c>
    </row>
    <row r="482" spans="7:23">
      <c r="G482" s="138" t="s">
        <v>9141</v>
      </c>
      <c r="H482" s="138" t="s">
        <v>9141</v>
      </c>
      <c r="I482" s="138" t="s">
        <v>9199</v>
      </c>
      <c r="J482" s="138" t="s">
        <v>9200</v>
      </c>
      <c r="K482" s="138" t="str">
        <f ca="1">IFERROR(__xludf.DUMMYFUNCTION("unique(filter(R:R,R:R=I482))"),"#N/A")</f>
        <v>#N/A</v>
      </c>
      <c r="N482" s="138" t="str">
        <f ca="1">IFERROR(__xludf.DUMMYFUNCTION("unique(filter(W:W,U:U=R482))"),"Bapatla")</f>
        <v>Bapatla</v>
      </c>
      <c r="O482" s="138" t="s">
        <v>9145</v>
      </c>
      <c r="P482" s="138" t="s">
        <v>9201</v>
      </c>
      <c r="Q482" s="138" t="str">
        <f ca="1">IFERROR(__xludf.DUMMYFUNCTION("filter(I:I,J:J=P482,G:G=O482)"),"Parchur")</f>
        <v>Parchur</v>
      </c>
      <c r="R482" s="138" t="s">
        <v>9109</v>
      </c>
      <c r="U482" s="138" t="s">
        <v>8652</v>
      </c>
      <c r="V482" s="138" t="s">
        <v>9197</v>
      </c>
      <c r="W482" s="138" t="str">
        <f ca="1">IFERROR(__xludf.DUMMYFUNCTION("filter(H:H,I:I=U482,J:J=V482)"),"Palnadu")</f>
        <v>Palnadu</v>
      </c>
    </row>
    <row r="483" spans="7:23">
      <c r="G483" s="138" t="s">
        <v>9141</v>
      </c>
      <c r="H483" s="138" t="s">
        <v>9141</v>
      </c>
      <c r="I483" s="138" t="s">
        <v>9202</v>
      </c>
      <c r="J483" s="138" t="s">
        <v>9200</v>
      </c>
      <c r="K483" s="138" t="str">
        <f ca="1">IFERROR(__xludf.DUMMYFUNCTION("unique(filter(R:R,R:R=I483))"),"#N/A")</f>
        <v>#N/A</v>
      </c>
      <c r="N483" s="138" t="str">
        <f ca="1">IFERROR(__xludf.DUMMYFUNCTION("unique(filter(W:W,U:U=R483))"),"Prakasam")</f>
        <v>Prakasam</v>
      </c>
      <c r="O483" s="138" t="s">
        <v>9145</v>
      </c>
      <c r="P483" s="138" t="s">
        <v>9203</v>
      </c>
      <c r="Q483" s="138" t="str">
        <f ca="1">IFERROR(__xludf.DUMMYFUNCTION("filter(I:I,J:J=P483,G:G=O483)"),"Darsi")</f>
        <v>Darsi</v>
      </c>
      <c r="R483" s="138" t="s">
        <v>9121</v>
      </c>
      <c r="U483" s="138" t="s">
        <v>9199</v>
      </c>
      <c r="V483" s="138" t="s">
        <v>9200</v>
      </c>
      <c r="W483" s="138" t="str">
        <f ca="1">IFERROR(__xludf.DUMMYFUNCTION("filter(H:H,I:I=U483,J:J=V483)"),"Guntur")</f>
        <v>Guntur</v>
      </c>
    </row>
    <row r="484" spans="7:23">
      <c r="G484" s="138" t="s">
        <v>9141</v>
      </c>
      <c r="H484" s="138" t="s">
        <v>9141</v>
      </c>
      <c r="I484" s="138" t="s">
        <v>8666</v>
      </c>
      <c r="J484" s="138" t="s">
        <v>9141</v>
      </c>
      <c r="K484" s="138" t="str">
        <f ca="1">IFERROR(__xludf.DUMMYFUNCTION("unique(filter(R:R,R:R=I484))"),"Prathipadu (Sc)")</f>
        <v>Prathipadu (Sc)</v>
      </c>
      <c r="N484" s="138" t="str">
        <f ca="1">IFERROR(__xludf.DUMMYFUNCTION("unique(filter(W:W,U:U=R484))"),"Prakasam")</f>
        <v>Prakasam</v>
      </c>
      <c r="O484" s="138" t="s">
        <v>9145</v>
      </c>
      <c r="P484" s="138" t="s">
        <v>9204</v>
      </c>
      <c r="Q484" s="138" t="str">
        <f ca="1">IFERROR(__xludf.DUMMYFUNCTION("filter(I:I,J:J=P484,G:G=O484)"),"#N/A")</f>
        <v>#N/A</v>
      </c>
      <c r="R484" s="138" t="s">
        <v>9080</v>
      </c>
      <c r="U484" s="138" t="s">
        <v>9202</v>
      </c>
      <c r="V484" s="138" t="s">
        <v>9200</v>
      </c>
      <c r="W484" s="138" t="str">
        <f ca="1">IFERROR(__xludf.DUMMYFUNCTION("filter(H:H,I:I=U484,J:J=V484)"),"Guntur")</f>
        <v>Guntur</v>
      </c>
    </row>
    <row r="485" spans="7:23">
      <c r="G485" s="138" t="s">
        <v>9141</v>
      </c>
      <c r="H485" s="138" t="s">
        <v>9141</v>
      </c>
      <c r="I485" s="138" t="s">
        <v>8666</v>
      </c>
      <c r="J485" s="138" t="s">
        <v>9200</v>
      </c>
      <c r="K485" s="138" t="str">
        <f ca="1">IFERROR(__xludf.DUMMYFUNCTION("unique(filter(R:R,R:R=I485))"),"Prathipadu (Sc)")</f>
        <v>Prathipadu (Sc)</v>
      </c>
      <c r="N485" s="138" t="str">
        <f ca="1">IFERROR(__xludf.DUMMYFUNCTION("unique(filter(W:W,U:U=R485))"),"Prakasam")</f>
        <v>Prakasam</v>
      </c>
      <c r="O485" s="138" t="s">
        <v>9145</v>
      </c>
      <c r="P485" s="138" t="s">
        <v>9205</v>
      </c>
      <c r="Q485" s="138" t="str">
        <f ca="1">IFERROR(__xludf.DUMMYFUNCTION("filter(I:I,J:J=P485,G:G=O485)"),"Ongole")</f>
        <v>Ongole</v>
      </c>
      <c r="R485" s="138" t="s">
        <v>9073</v>
      </c>
      <c r="U485" s="138" t="s">
        <v>8666</v>
      </c>
      <c r="V485" s="138" t="s">
        <v>9141</v>
      </c>
      <c r="W485" s="138" t="str">
        <f ca="1">IFERROR(__xludf.DUMMYFUNCTION("filter(H:H,I:I=U485,J:J=V485)"),"Guntur")</f>
        <v>Guntur</v>
      </c>
    </row>
    <row r="486" spans="7:23">
      <c r="G486" s="138" t="s">
        <v>9141</v>
      </c>
      <c r="H486" s="138" t="s">
        <v>9141</v>
      </c>
      <c r="I486" s="138" t="s">
        <v>8666</v>
      </c>
      <c r="J486" s="138" t="s">
        <v>9206</v>
      </c>
      <c r="K486" s="138" t="str">
        <f ca="1">IFERROR(__xludf.DUMMYFUNCTION("unique(filter(R:R,R:R=I486))"),"Prathipadu (Sc)")</f>
        <v>Prathipadu (Sc)</v>
      </c>
      <c r="N486" s="138" t="str">
        <f ca="1">IFERROR(__xludf.DUMMYFUNCTION("unique(filter(W:W,U:U=R486))"),"Prakasam")</f>
        <v>Prakasam</v>
      </c>
      <c r="O486" s="138" t="s">
        <v>9145</v>
      </c>
      <c r="P486" s="138" t="s">
        <v>9207</v>
      </c>
      <c r="Q486" s="138" t="str">
        <f ca="1">IFERROR(__xludf.DUMMYFUNCTION("filter(I:I,J:J=P486,G:G=O486)"),"Kanigiri")</f>
        <v>Kanigiri</v>
      </c>
      <c r="R486" s="138" t="s">
        <v>9004</v>
      </c>
      <c r="U486" s="138" t="s">
        <v>8666</v>
      </c>
      <c r="V486" s="138" t="s">
        <v>9200</v>
      </c>
      <c r="W486" s="138" t="str">
        <f ca="1">IFERROR(__xludf.DUMMYFUNCTION("filter(H:H,I:I=U486,J:J=V486)"),"Guntur")</f>
        <v>Guntur</v>
      </c>
    </row>
    <row r="487" spans="7:23">
      <c r="G487" s="138" t="s">
        <v>9141</v>
      </c>
      <c r="H487" s="138" t="s">
        <v>9141</v>
      </c>
      <c r="I487" s="138" t="s">
        <v>8666</v>
      </c>
      <c r="J487" s="138" t="s">
        <v>8</v>
      </c>
      <c r="K487" s="138" t="str">
        <f ca="1">IFERROR(__xludf.DUMMYFUNCTION("unique(filter(R:R,R:R=I487))"),"Prathipadu (Sc)")</f>
        <v>Prathipadu (Sc)</v>
      </c>
      <c r="N487" s="138" t="str">
        <f ca="1">IFERROR(__xludf.DUMMYFUNCTION("unique(filter(W:W,U:U=R487))"),"Bapatla")</f>
        <v>Bapatla</v>
      </c>
      <c r="O487" s="138" t="s">
        <v>9145</v>
      </c>
      <c r="P487" s="138" t="s">
        <v>9208</v>
      </c>
      <c r="Q487" s="138" t="str">
        <f ca="1">IFERROR(__xludf.DUMMYFUNCTION("filter(I:I,J:J=P487,G:G=O487)"),"Parchur")</f>
        <v>Parchur</v>
      </c>
      <c r="R487" s="138" t="s">
        <v>9109</v>
      </c>
      <c r="U487" s="138" t="s">
        <v>8666</v>
      </c>
      <c r="V487" s="138" t="s">
        <v>9206</v>
      </c>
      <c r="W487" s="138" t="str">
        <f ca="1">IFERROR(__xludf.DUMMYFUNCTION("filter(H:H,I:I=U487,J:J=V487)"),"Guntur")</f>
        <v>Guntur</v>
      </c>
    </row>
    <row r="488" spans="7:23">
      <c r="G488" s="138" t="s">
        <v>9141</v>
      </c>
      <c r="H488" s="138" t="s">
        <v>9141</v>
      </c>
      <c r="I488" s="138" t="s">
        <v>8666</v>
      </c>
      <c r="J488" s="138" t="s">
        <v>9209</v>
      </c>
      <c r="K488" s="138" t="str">
        <f ca="1">IFERROR(__xludf.DUMMYFUNCTION("unique(filter(R:R,R:R=I488))"),"Prathipadu (Sc)")</f>
        <v>Prathipadu (Sc)</v>
      </c>
      <c r="N488" s="138" t="str">
        <f ca="1">IFERROR(__xludf.DUMMYFUNCTION("unique(filter(W:W,U:U=R488))"),"Prakasam")</f>
        <v>Prakasam</v>
      </c>
      <c r="O488" s="138" t="s">
        <v>9145</v>
      </c>
      <c r="P488" s="138" t="s">
        <v>9210</v>
      </c>
      <c r="Q488" s="138" t="str">
        <f ca="1">IFERROR(__xludf.DUMMYFUNCTION("filter(I:I,J:J=P488,G:G=O488)"),"#N/A")</f>
        <v>#N/A</v>
      </c>
      <c r="R488" s="138" t="s">
        <v>9130</v>
      </c>
      <c r="U488" s="138" t="s">
        <v>8666</v>
      </c>
      <c r="V488" s="138" t="s">
        <v>8</v>
      </c>
      <c r="W488" s="138" t="str">
        <f ca="1">IFERROR(__xludf.DUMMYFUNCTION("filter(H:H,I:I=U488,J:J=V488)"),"Guntur")</f>
        <v>Guntur</v>
      </c>
    </row>
    <row r="489" spans="7:23">
      <c r="G489" s="138" t="s">
        <v>9141</v>
      </c>
      <c r="H489" s="138" t="s">
        <v>9141</v>
      </c>
      <c r="I489" s="138" t="s">
        <v>8666</v>
      </c>
      <c r="J489" s="138" t="s">
        <v>9211</v>
      </c>
      <c r="K489" s="138" t="str">
        <f ca="1">IFERROR(__xludf.DUMMYFUNCTION("unique(filter(R:R,R:R=I489))"),"Prathipadu (Sc)")</f>
        <v>Prathipadu (Sc)</v>
      </c>
      <c r="N489" s="138" t="str">
        <f ca="1">IFERROR(__xludf.DUMMYFUNCTION("unique(filter(W:W,U:U=R489))"),"Prakasam")</f>
        <v>Prakasam</v>
      </c>
      <c r="O489" s="138" t="s">
        <v>9145</v>
      </c>
      <c r="P489" s="138" t="s">
        <v>9212</v>
      </c>
      <c r="Q489" s="138" t="str">
        <f ca="1">IFERROR(__xludf.DUMMYFUNCTION("filter(I:I,J:J=P489,G:G=O489)"),"Kanigiri")</f>
        <v>Kanigiri</v>
      </c>
      <c r="R489" s="138" t="s">
        <v>9004</v>
      </c>
      <c r="U489" s="138" t="s">
        <v>8666</v>
      </c>
      <c r="V489" s="138" t="s">
        <v>9209</v>
      </c>
      <c r="W489" s="138" t="str">
        <f ca="1">IFERROR(__xludf.DUMMYFUNCTION("filter(H:H,I:I=U489,J:J=V489)"),"Guntur")</f>
        <v>Guntur</v>
      </c>
    </row>
    <row r="490" spans="7:23">
      <c r="G490" s="138" t="e">
        <v>#N/A</v>
      </c>
      <c r="H490" s="138" t="e">
        <v>#N/A</v>
      </c>
      <c r="I490" s="138" t="s">
        <v>8666</v>
      </c>
      <c r="J490" s="138" t="e">
        <v>#N/A</v>
      </c>
      <c r="K490" s="138" t="str">
        <f ca="1">IFERROR(__xludf.DUMMYFUNCTION("unique(filter(R:R,R:R=I490))"),"Prathipadu (Sc)")</f>
        <v>Prathipadu (Sc)</v>
      </c>
      <c r="N490" s="138" t="str">
        <f ca="1">IFERROR(__xludf.DUMMYFUNCTION("unique(filter(W:W,U:U=R490))"),"Prakasam")</f>
        <v>Prakasam</v>
      </c>
      <c r="O490" s="138" t="s">
        <v>9145</v>
      </c>
      <c r="P490" s="138" t="s">
        <v>9213</v>
      </c>
      <c r="Q490" s="138" t="str">
        <f ca="1">IFERROR(__xludf.DUMMYFUNCTION("filter(I:I,J:J=P490,G:G=O490)"),"Markapuram")</f>
        <v>Markapuram</v>
      </c>
      <c r="R490" s="138" t="s">
        <v>9033</v>
      </c>
      <c r="U490" s="138" t="s">
        <v>8666</v>
      </c>
      <c r="V490" s="138" t="s">
        <v>9211</v>
      </c>
      <c r="W490" s="138" t="str">
        <f ca="1">IFERROR(__xludf.DUMMYFUNCTION("filter(H:H,I:I=U490,J:J=V490)"),"Guntur")</f>
        <v>Guntur</v>
      </c>
    </row>
    <row r="491" spans="7:23">
      <c r="G491" s="138" t="s">
        <v>9141</v>
      </c>
      <c r="H491" s="138" t="s">
        <v>8638</v>
      </c>
      <c r="I491" s="138" t="s">
        <v>8638</v>
      </c>
      <c r="J491" s="138" t="s">
        <v>8638</v>
      </c>
      <c r="K491" s="138" t="str">
        <f ca="1">IFERROR(__xludf.DUMMYFUNCTION("unique(filter(R:R,R:R=I491))"),"Bapatla")</f>
        <v>Bapatla</v>
      </c>
      <c r="N491" s="138" t="str">
        <f ca="1">IFERROR(__xludf.DUMMYFUNCTION("unique(filter(W:W,U:U=R491))"),"Prakasam")</f>
        <v>Prakasam</v>
      </c>
      <c r="O491" s="138" t="s">
        <v>9145</v>
      </c>
      <c r="P491" s="138" t="s">
        <v>9214</v>
      </c>
      <c r="Q491" s="138" t="str">
        <f ca="1">IFERROR(__xludf.DUMMYFUNCTION("filter(I:I,J:J=P491,G:G=O491)"),"Kondapi (Sc)")</f>
        <v>Kondapi (Sc)</v>
      </c>
      <c r="R491" s="138" t="s">
        <v>9046</v>
      </c>
    </row>
    <row r="492" spans="7:23">
      <c r="G492" s="138" t="s">
        <v>9141</v>
      </c>
      <c r="H492" s="138" t="s">
        <v>8638</v>
      </c>
      <c r="I492" s="138" t="s">
        <v>8638</v>
      </c>
      <c r="J492" s="138" t="s">
        <v>9215</v>
      </c>
      <c r="K492" s="138" t="str">
        <f ca="1">IFERROR(__xludf.DUMMYFUNCTION("unique(filter(R:R,R:R=I492))"),"Bapatla")</f>
        <v>Bapatla</v>
      </c>
      <c r="N492" s="138" t="str">
        <f ca="1">IFERROR(__xludf.DUMMYFUNCTION("unique(filter(W:W,U:U=R492))"),"Prakasam")</f>
        <v>Prakasam</v>
      </c>
      <c r="O492" s="138" t="s">
        <v>9145</v>
      </c>
      <c r="P492" s="138" t="s">
        <v>9216</v>
      </c>
      <c r="Q492" s="138" t="str">
        <f ca="1">IFERROR(__xludf.DUMMYFUNCTION("filter(I:I,J:J=P492,G:G=O492)"),"Yerragondapalem (Sc)")</f>
        <v>Yerragondapalem (Sc)</v>
      </c>
      <c r="R492" s="138" t="s">
        <v>9130</v>
      </c>
      <c r="U492" s="138" t="s">
        <v>8638</v>
      </c>
      <c r="V492" s="138" t="s">
        <v>8638</v>
      </c>
      <c r="W492" s="138" t="str">
        <f ca="1">IFERROR(__xludf.DUMMYFUNCTION("filter(H:H,I:I=U492,J:J=V492)"),"Bapatla")</f>
        <v>Bapatla</v>
      </c>
    </row>
    <row r="493" spans="7:23">
      <c r="G493" s="138" t="s">
        <v>9141</v>
      </c>
      <c r="H493" s="138" t="s">
        <v>8638</v>
      </c>
      <c r="I493" s="138" t="s">
        <v>8638</v>
      </c>
      <c r="J493" s="138" t="s">
        <v>9217</v>
      </c>
      <c r="K493" s="138" t="str">
        <f ca="1">IFERROR(__xludf.DUMMYFUNCTION("unique(filter(R:R,R:R=I493))"),"Bapatla")</f>
        <v>Bapatla</v>
      </c>
      <c r="N493" s="138" t="str">
        <f ca="1">IFERROR(__xludf.DUMMYFUNCTION("unique(filter(W:W,U:U=R493))"),"Prakasam")</f>
        <v>Prakasam</v>
      </c>
      <c r="O493" s="138" t="s">
        <v>9145</v>
      </c>
      <c r="P493" s="138" t="s">
        <v>9218</v>
      </c>
      <c r="Q493" s="138" t="str">
        <f ca="1">IFERROR(__xludf.DUMMYFUNCTION("filter(I:I,J:J=P493,G:G=O493)"),"Giddalur")</f>
        <v>Giddalur</v>
      </c>
      <c r="R493" s="138" t="s">
        <v>9019</v>
      </c>
      <c r="U493" s="138" t="s">
        <v>8638</v>
      </c>
      <c r="V493" s="138" t="s">
        <v>9215</v>
      </c>
      <c r="W493" s="138" t="str">
        <f ca="1">IFERROR(__xludf.DUMMYFUNCTION("filter(H:H,I:I=U493,J:J=V493)"),"Bapatla")</f>
        <v>Bapatla</v>
      </c>
    </row>
    <row r="494" spans="7:23">
      <c r="G494" s="138" t="s">
        <v>9141</v>
      </c>
      <c r="H494" s="138" t="s">
        <v>8638</v>
      </c>
      <c r="I494" s="138" t="s">
        <v>8638</v>
      </c>
      <c r="J494" s="138" t="s">
        <v>9219</v>
      </c>
      <c r="K494" s="138" t="str">
        <f ca="1">IFERROR(__xludf.DUMMYFUNCTION("unique(filter(R:R,R:R=I494))"),"Bapatla")</f>
        <v>Bapatla</v>
      </c>
      <c r="N494" s="138" t="str">
        <f ca="1">IFERROR(__xludf.DUMMYFUNCTION("unique(filter(W:W,U:U=R494))"),"Bapatla")</f>
        <v>Bapatla</v>
      </c>
      <c r="O494" s="138" t="s">
        <v>9145</v>
      </c>
      <c r="P494" s="138" t="s">
        <v>9220</v>
      </c>
      <c r="Q494" s="138" t="str">
        <f ca="1">IFERROR(__xludf.DUMMYFUNCTION("filter(I:I,J:J=P494,G:G=O494)"),"Addanki")</f>
        <v>Addanki</v>
      </c>
      <c r="R494" s="138" t="s">
        <v>9097</v>
      </c>
      <c r="U494" s="138" t="s">
        <v>8638</v>
      </c>
      <c r="V494" s="138" t="s">
        <v>9217</v>
      </c>
      <c r="W494" s="138" t="str">
        <f ca="1">IFERROR(__xludf.DUMMYFUNCTION("filter(H:H,I:I=U494,J:J=V494)"),"Bapatla")</f>
        <v>Bapatla</v>
      </c>
    </row>
    <row r="495" spans="7:23">
      <c r="G495" s="138" t="s">
        <v>9141</v>
      </c>
      <c r="H495" s="138" t="s">
        <v>9141</v>
      </c>
      <c r="I495" s="138" t="s">
        <v>8678</v>
      </c>
      <c r="J495" s="138" t="s">
        <v>8678</v>
      </c>
      <c r="K495" s="138" t="str">
        <f ca="1">IFERROR(__xludf.DUMMYFUNCTION("unique(filter(R:R,R:R=I495))"),"Tenali")</f>
        <v>Tenali</v>
      </c>
      <c r="N495" s="138" t="str">
        <f ca="1">IFERROR(__xludf.DUMMYFUNCTION("unique(filter(W:W,U:U=R495))"),"Prakasam")</f>
        <v>Prakasam</v>
      </c>
      <c r="O495" s="138" t="s">
        <v>9145</v>
      </c>
      <c r="P495" s="138" t="s">
        <v>9221</v>
      </c>
      <c r="Q495" s="138" t="str">
        <f ca="1">IFERROR(__xludf.DUMMYFUNCTION("filter(I:I,J:J=P495,G:G=O495)"),"Santhanuthalapadu (Sc)")</f>
        <v>Santhanuthalapadu (Sc)</v>
      </c>
      <c r="R495" s="138" t="s">
        <v>9080</v>
      </c>
      <c r="U495" s="138" t="s">
        <v>8638</v>
      </c>
      <c r="V495" s="138" t="s">
        <v>9219</v>
      </c>
      <c r="W495" s="138" t="str">
        <f ca="1">IFERROR(__xludf.DUMMYFUNCTION("filter(H:H,I:I=U495,J:J=V495)"),"Bapatla")</f>
        <v>Bapatla</v>
      </c>
    </row>
    <row r="496" spans="7:23">
      <c r="G496" s="138" t="s">
        <v>9141</v>
      </c>
      <c r="H496" s="138" t="s">
        <v>9141</v>
      </c>
      <c r="I496" s="138" t="s">
        <v>8678</v>
      </c>
      <c r="J496" s="138" t="s">
        <v>9222</v>
      </c>
      <c r="K496" s="138" t="str">
        <f ca="1">IFERROR(__xludf.DUMMYFUNCTION("unique(filter(R:R,R:R=I496))"),"Tenali")</f>
        <v>Tenali</v>
      </c>
      <c r="N496" s="138" t="str">
        <f ca="1">IFERROR(__xludf.DUMMYFUNCTION("unique(filter(W:W,U:U=R496))"),"Prakasam")</f>
        <v>Prakasam</v>
      </c>
      <c r="O496" s="138" t="s">
        <v>9145</v>
      </c>
      <c r="P496" s="138" t="s">
        <v>9223</v>
      </c>
      <c r="Q496" s="138" t="str">
        <f ca="1">IFERROR(__xludf.DUMMYFUNCTION("filter(I:I,J:J=P496,G:G=O496)"),"Kondapi (Sc)")</f>
        <v>Kondapi (Sc)</v>
      </c>
      <c r="R496" s="138" t="s">
        <v>9046</v>
      </c>
      <c r="U496" s="138" t="s">
        <v>8678</v>
      </c>
      <c r="V496" s="138" t="s">
        <v>8678</v>
      </c>
      <c r="W496" s="138" t="str">
        <f ca="1">IFERROR(__xludf.DUMMYFUNCTION("filter(H:H,I:I=U496,J:J=V496)"),"Guntur")</f>
        <v>Guntur</v>
      </c>
    </row>
    <row r="497" spans="7:23">
      <c r="G497" s="138" t="s">
        <v>9141</v>
      </c>
      <c r="H497" s="138" t="s">
        <v>9141</v>
      </c>
      <c r="I497" s="138" t="s">
        <v>8678</v>
      </c>
      <c r="J497" s="138" t="s">
        <v>9224</v>
      </c>
      <c r="K497" s="138" t="str">
        <f ca="1">IFERROR(__xludf.DUMMYFUNCTION("unique(filter(R:R,R:R=I497))"),"Tenali")</f>
        <v>Tenali</v>
      </c>
      <c r="N497" s="138" t="str">
        <f ca="1">IFERROR(__xludf.DUMMYFUNCTION("unique(filter(W:W,U:U=R497))"),"Prakasam")</f>
        <v>Prakasam</v>
      </c>
      <c r="O497" s="138" t="s">
        <v>9145</v>
      </c>
      <c r="P497" s="138" t="s">
        <v>9225</v>
      </c>
      <c r="Q497" s="138" t="str">
        <f ca="1">IFERROR(__xludf.DUMMYFUNCTION("filter(I:I,J:J=P497,G:G=O497)"),"Kondapi (Sc)")</f>
        <v>Kondapi (Sc)</v>
      </c>
      <c r="R497" s="138" t="s">
        <v>9046</v>
      </c>
      <c r="U497" s="138" t="s">
        <v>8678</v>
      </c>
      <c r="V497" s="138" t="s">
        <v>9222</v>
      </c>
      <c r="W497" s="138" t="str">
        <f ca="1">IFERROR(__xludf.DUMMYFUNCTION("filter(H:H,I:I=U497,J:J=V497)"),"Guntur")</f>
        <v>Guntur</v>
      </c>
    </row>
    <row r="498" spans="7:23">
      <c r="G498" s="138" t="s">
        <v>9141</v>
      </c>
      <c r="H498" s="138" t="s">
        <v>8638</v>
      </c>
      <c r="I498" s="138" t="s">
        <v>8633</v>
      </c>
      <c r="J498" s="138" t="s">
        <v>9226</v>
      </c>
      <c r="K498" s="138" t="str">
        <f ca="1">IFERROR(__xludf.DUMMYFUNCTION("unique(filter(R:R,R:R=I498))"),"Vemuru (Sc)")</f>
        <v>Vemuru (Sc)</v>
      </c>
      <c r="N498" s="138" t="str">
        <f ca="1">IFERROR(__xludf.DUMMYFUNCTION("unique(filter(W:W,U:U=R498))"),"Prakasam")</f>
        <v>Prakasam</v>
      </c>
      <c r="O498" s="138" t="s">
        <v>9145</v>
      </c>
      <c r="P498" s="138" t="s">
        <v>9227</v>
      </c>
      <c r="Q498" s="138" t="str">
        <f ca="1">IFERROR(__xludf.DUMMYFUNCTION("filter(I:I,J:J=P498,G:G=O498)"),"#N/A")</f>
        <v>#N/A</v>
      </c>
      <c r="R498" s="138" t="s">
        <v>9033</v>
      </c>
      <c r="U498" s="138" t="s">
        <v>8678</v>
      </c>
      <c r="V498" s="138" t="s">
        <v>9224</v>
      </c>
      <c r="W498" s="138" t="str">
        <f ca="1">IFERROR(__xludf.DUMMYFUNCTION("filter(H:H,I:I=U498,J:J=V498)"),"Guntur")</f>
        <v>Guntur</v>
      </c>
    </row>
    <row r="499" spans="7:23">
      <c r="G499" s="138" t="s">
        <v>9141</v>
      </c>
      <c r="H499" s="138" t="s">
        <v>8638</v>
      </c>
      <c r="I499" s="138" t="s">
        <v>8633</v>
      </c>
      <c r="J499" s="138" t="s">
        <v>9228</v>
      </c>
      <c r="K499" s="138" t="str">
        <f ca="1">IFERROR(__xludf.DUMMYFUNCTION("unique(filter(R:R,R:R=I499))"),"Vemuru (Sc)")</f>
        <v>Vemuru (Sc)</v>
      </c>
      <c r="N499" s="138" t="str">
        <f ca="1">IFERROR(__xludf.DUMMYFUNCTION("unique(filter(W:W,U:U=R499))"),"Prakasam")</f>
        <v>Prakasam</v>
      </c>
      <c r="O499" s="138" t="s">
        <v>9145</v>
      </c>
      <c r="P499" s="138" t="s">
        <v>9229</v>
      </c>
      <c r="Q499" s="138" t="str">
        <f ca="1">IFERROR(__xludf.DUMMYFUNCTION("filter(I:I,J:J=P499,G:G=O499)"),"#REF!")</f>
        <v>#REF!</v>
      </c>
      <c r="R499" s="138" t="s">
        <v>9033</v>
      </c>
      <c r="U499" s="138" t="s">
        <v>8633</v>
      </c>
      <c r="V499" s="138" t="s">
        <v>9226</v>
      </c>
      <c r="W499" s="138" t="str">
        <f ca="1">IFERROR(__xludf.DUMMYFUNCTION("filter(H:H,I:I=U499,J:J=V499)"),"Bapatla")</f>
        <v>Bapatla</v>
      </c>
    </row>
    <row r="500" spans="7:23">
      <c r="G500" s="138" t="s">
        <v>9141</v>
      </c>
      <c r="H500" s="138" t="s">
        <v>8638</v>
      </c>
      <c r="I500" s="138" t="s">
        <v>8633</v>
      </c>
      <c r="J500" s="138" t="s">
        <v>9230</v>
      </c>
      <c r="K500" s="138" t="str">
        <f ca="1">IFERROR(__xludf.DUMMYFUNCTION("unique(filter(R:R,R:R=I500))"),"Vemuru (Sc)")</f>
        <v>Vemuru (Sc)</v>
      </c>
      <c r="N500" s="138" t="str">
        <f ca="1">IFERROR(__xludf.DUMMYFUNCTION("unique(filter(W:W,U:U=R500))"),"Prakasam")</f>
        <v>Prakasam</v>
      </c>
      <c r="O500" s="138" t="s">
        <v>9145</v>
      </c>
      <c r="P500" s="138" t="s">
        <v>9231</v>
      </c>
      <c r="Q500" s="138" t="str">
        <f ca="1">IFERROR(__xludf.DUMMYFUNCTION("filter(I:I,J:J=P500,G:G=O500)"),"Yerragondapalem (Sc)")</f>
        <v>Yerragondapalem (Sc)</v>
      </c>
      <c r="R500" s="138" t="s">
        <v>9130</v>
      </c>
      <c r="U500" s="138" t="s">
        <v>8633</v>
      </c>
      <c r="V500" s="138" t="s">
        <v>9228</v>
      </c>
      <c r="W500" s="138" t="str">
        <f ca="1">IFERROR(__xludf.DUMMYFUNCTION("filter(H:H,I:I=U500,J:J=V500)"),"Bapatla")</f>
        <v>Bapatla</v>
      </c>
    </row>
    <row r="501" spans="7:23">
      <c r="G501" s="138" t="s">
        <v>9141</v>
      </c>
      <c r="H501" s="138" t="s">
        <v>8638</v>
      </c>
      <c r="I501" s="138" t="s">
        <v>8633</v>
      </c>
      <c r="J501" s="138" t="s">
        <v>9232</v>
      </c>
      <c r="K501" s="138" t="str">
        <f ca="1">IFERROR(__xludf.DUMMYFUNCTION("unique(filter(R:R,R:R=I501))"),"Vemuru (Sc)")</f>
        <v>Vemuru (Sc)</v>
      </c>
      <c r="N501" s="138" t="str">
        <f ca="1">IFERROR(__xludf.DUMMYFUNCTION("unique(filter(W:W,U:U=R501))"),"Nellore")</f>
        <v>Nellore</v>
      </c>
      <c r="O501" s="138" t="s">
        <v>9145</v>
      </c>
      <c r="P501" s="138" t="s">
        <v>9233</v>
      </c>
      <c r="Q501" s="138" t="str">
        <f ca="1">IFERROR(__xludf.DUMMYFUNCTION("filter(I:I,J:J=P501,G:G=O501)"),"Kandukur")</f>
        <v>Kandukur</v>
      </c>
      <c r="R501" s="138" t="s">
        <v>9060</v>
      </c>
      <c r="U501" s="138" t="s">
        <v>8633</v>
      </c>
      <c r="V501" s="138" t="s">
        <v>9230</v>
      </c>
      <c r="W501" s="138" t="str">
        <f ca="1">IFERROR(__xludf.DUMMYFUNCTION("filter(H:H,I:I=U501,J:J=V501)"),"Bapatla")</f>
        <v>Bapatla</v>
      </c>
    </row>
    <row r="502" spans="7:23">
      <c r="G502" s="138" t="s">
        <v>9141</v>
      </c>
      <c r="H502" s="138" t="s">
        <v>8638</v>
      </c>
      <c r="I502" s="138" t="s">
        <v>8633</v>
      </c>
      <c r="J502" s="138" t="s">
        <v>9234</v>
      </c>
      <c r="K502" s="138" t="str">
        <f ca="1">IFERROR(__xludf.DUMMYFUNCTION("unique(filter(R:R,R:R=I502))"),"Vemuru (Sc)")</f>
        <v>Vemuru (Sc)</v>
      </c>
      <c r="N502" s="138" t="str">
        <f ca="1">IFERROR(__xludf.DUMMYFUNCTION("unique(filter(W:W,U:U=R502))"),"Prakasam")</f>
        <v>Prakasam</v>
      </c>
      <c r="O502" s="138" t="s">
        <v>9145</v>
      </c>
      <c r="P502" s="138" t="s">
        <v>9235</v>
      </c>
      <c r="Q502" s="138" t="str">
        <f ca="1">IFERROR(__xludf.DUMMYFUNCTION("filter(I:I,J:J=P502,G:G=O502)"),"Kanigiri")</f>
        <v>Kanigiri</v>
      </c>
      <c r="R502" s="138" t="s">
        <v>9004</v>
      </c>
      <c r="U502" s="138" t="s">
        <v>8633</v>
      </c>
      <c r="V502" s="138" t="s">
        <v>9232</v>
      </c>
      <c r="W502" s="138" t="str">
        <f ca="1">IFERROR(__xludf.DUMMYFUNCTION("filter(H:H,I:I=U502,J:J=V502)"),"Bapatla")</f>
        <v>Bapatla</v>
      </c>
    </row>
    <row r="503" spans="7:23">
      <c r="G503" s="138" t="s">
        <v>9141</v>
      </c>
      <c r="H503" s="138" t="s">
        <v>8638</v>
      </c>
      <c r="I503" s="138" t="s">
        <v>8650</v>
      </c>
      <c r="J503" s="138" t="s">
        <v>8650</v>
      </c>
      <c r="K503" s="138" t="str">
        <f ca="1">IFERROR(__xludf.DUMMYFUNCTION("unique(filter(R:R,R:R=I503))"),"Repalle")</f>
        <v>Repalle</v>
      </c>
      <c r="N503" s="138" t="str">
        <f ca="1">IFERROR(__xludf.DUMMYFUNCTION("unique(filter(W:W,U:U=R503))"),"Bapatla")</f>
        <v>Bapatla</v>
      </c>
      <c r="O503" s="138" t="s">
        <v>9145</v>
      </c>
      <c r="P503" s="138" t="s">
        <v>9236</v>
      </c>
      <c r="Q503" s="138" t="str">
        <f ca="1">IFERROR(__xludf.DUMMYFUNCTION("filter(I:I,J:J=P503,G:G=O503)"),"Chirala")</f>
        <v>Chirala</v>
      </c>
      <c r="R503" s="138" t="s">
        <v>9091</v>
      </c>
      <c r="U503" s="138" t="s">
        <v>8633</v>
      </c>
      <c r="V503" s="138" t="s">
        <v>9234</v>
      </c>
      <c r="W503" s="138" t="str">
        <f ca="1">IFERROR(__xludf.DUMMYFUNCTION("filter(H:H,I:I=U503,J:J=V503)"),"Bapatla")</f>
        <v>Bapatla</v>
      </c>
    </row>
    <row r="504" spans="7:23">
      <c r="G504" s="138" t="s">
        <v>9141</v>
      </c>
      <c r="H504" s="138" t="s">
        <v>8638</v>
      </c>
      <c r="I504" s="138" t="s">
        <v>8650</v>
      </c>
      <c r="J504" s="138" t="s">
        <v>9237</v>
      </c>
      <c r="K504" s="138" t="str">
        <f ca="1">IFERROR(__xludf.DUMMYFUNCTION("unique(filter(R:R,R:R=I504))"),"Repalle")</f>
        <v>Repalle</v>
      </c>
      <c r="N504" s="138" t="str">
        <f ca="1">IFERROR(__xludf.DUMMYFUNCTION("unique(filter(W:W,U:U=R504))"),"Nellore")</f>
        <v>Nellore</v>
      </c>
      <c r="O504" s="138" t="s">
        <v>9145</v>
      </c>
      <c r="P504" s="138" t="s">
        <v>9238</v>
      </c>
      <c r="Q504" s="138" t="str">
        <f ca="1">IFERROR(__xludf.DUMMYFUNCTION("filter(I:I,J:J=P504,G:G=O504)"),"Kandukur")</f>
        <v>Kandukur</v>
      </c>
      <c r="R504" s="138" t="s">
        <v>9060</v>
      </c>
      <c r="U504" s="138" t="s">
        <v>8650</v>
      </c>
      <c r="V504" s="138" t="s">
        <v>8650</v>
      </c>
      <c r="W504" s="138" t="str">
        <f ca="1">IFERROR(__xludf.DUMMYFUNCTION("filter(H:H,I:I=U504,J:J=V504)"),"Bapatla")</f>
        <v>Bapatla</v>
      </c>
    </row>
    <row r="505" spans="7:23">
      <c r="G505" s="138" t="s">
        <v>9141</v>
      </c>
      <c r="H505" s="138" t="s">
        <v>8638</v>
      </c>
      <c r="I505" s="138" t="s">
        <v>8650</v>
      </c>
      <c r="J505" s="138" t="s">
        <v>9239</v>
      </c>
      <c r="K505" s="138" t="str">
        <f ca="1">IFERROR(__xludf.DUMMYFUNCTION("unique(filter(R:R,R:R=I505))"),"Repalle")</f>
        <v>Repalle</v>
      </c>
      <c r="N505" s="138" t="str">
        <f ca="1">IFERROR(__xludf.DUMMYFUNCTION("unique(filter(W:W,U:U=R505))"),"Bapatla")</f>
        <v>Bapatla</v>
      </c>
      <c r="O505" s="138" t="s">
        <v>9145</v>
      </c>
      <c r="P505" s="138" t="s">
        <v>9240</v>
      </c>
      <c r="Q505" s="138" t="str">
        <f ca="1">IFERROR(__xludf.DUMMYFUNCTION("filter(I:I,J:J=P505,G:G=O505)"),"#N/A")</f>
        <v>#N/A</v>
      </c>
      <c r="R505" s="138" t="s">
        <v>9109</v>
      </c>
      <c r="U505" s="138" t="s">
        <v>8650</v>
      </c>
      <c r="V505" s="138" t="s">
        <v>9237</v>
      </c>
      <c r="W505" s="138" t="str">
        <f ca="1">IFERROR(__xludf.DUMMYFUNCTION("filter(H:H,I:I=U505,J:J=V505)"),"Bapatla")</f>
        <v>Bapatla</v>
      </c>
    </row>
    <row r="506" spans="7:23">
      <c r="G506" s="138" t="s">
        <v>9141</v>
      </c>
      <c r="H506" s="138" t="s">
        <v>8638</v>
      </c>
      <c r="I506" s="138" t="s">
        <v>8650</v>
      </c>
      <c r="J506" s="138" t="s">
        <v>9241</v>
      </c>
      <c r="K506" s="138" t="str">
        <f ca="1">IFERROR(__xludf.DUMMYFUNCTION("unique(filter(R:R,R:R=I506))"),"Repalle")</f>
        <v>Repalle</v>
      </c>
      <c r="N506" s="138" t="str">
        <f ca="1">IFERROR(__xludf.DUMMYFUNCTION("unique(filter(W:W,U:U=R506))"),"Prakasam")</f>
        <v>Prakasam</v>
      </c>
      <c r="O506" s="138" t="s">
        <v>9145</v>
      </c>
      <c r="P506" s="138" t="s">
        <v>9242</v>
      </c>
      <c r="Q506" s="138" t="str">
        <f ca="1">IFERROR(__xludf.DUMMYFUNCTION("filter(I:I,J:J=P506,G:G=O506)"),"Yerragondapalem (Sc)")</f>
        <v>Yerragondapalem (Sc)</v>
      </c>
      <c r="R506" s="138" t="s">
        <v>9130</v>
      </c>
      <c r="U506" s="138" t="s">
        <v>8650</v>
      </c>
      <c r="V506" s="138" t="s">
        <v>9239</v>
      </c>
      <c r="W506" s="138" t="str">
        <f ca="1">IFERROR(__xludf.DUMMYFUNCTION("filter(H:H,I:I=U506,J:J=V506)"),"Bapatla")</f>
        <v>Bapatla</v>
      </c>
    </row>
    <row r="507" spans="7:23">
      <c r="G507" s="138" t="s">
        <v>9141</v>
      </c>
      <c r="H507" s="138" t="s">
        <v>8638</v>
      </c>
      <c r="I507" s="138" t="s">
        <v>8650</v>
      </c>
      <c r="J507" s="138" t="s">
        <v>9243</v>
      </c>
      <c r="K507" s="138" t="str">
        <f ca="1">IFERROR(__xludf.DUMMYFUNCTION("unique(filter(R:R,R:R=I507))"),"Repalle")</f>
        <v>Repalle</v>
      </c>
      <c r="N507" s="138" t="str">
        <f ca="1">IFERROR(__xludf.DUMMYFUNCTION("unique(filter(W:W,U:U=R507))"),"Prakasam")</f>
        <v>Prakasam</v>
      </c>
      <c r="O507" s="138" t="s">
        <v>9145</v>
      </c>
      <c r="P507" s="138" t="s">
        <v>9244</v>
      </c>
      <c r="Q507" s="138" t="str">
        <f ca="1">IFERROR(__xludf.DUMMYFUNCTION("filter(I:I,J:J=P507,G:G=O507)"),"Kondapi (Sc)")</f>
        <v>Kondapi (Sc)</v>
      </c>
      <c r="R507" s="138" t="s">
        <v>9046</v>
      </c>
      <c r="U507" s="138" t="s">
        <v>8650</v>
      </c>
      <c r="V507" s="138" t="s">
        <v>9241</v>
      </c>
      <c r="W507" s="138" t="str">
        <f ca="1">IFERROR(__xludf.DUMMYFUNCTION("filter(H:H,I:I=U507,J:J=V507)"),"Bapatla")</f>
        <v>Bapatla</v>
      </c>
    </row>
    <row r="508" spans="7:23">
      <c r="G508" s="138" t="e">
        <v>#N/A</v>
      </c>
      <c r="H508" s="138" t="e">
        <v>#N/A</v>
      </c>
      <c r="I508" s="138" t="s">
        <v>8650</v>
      </c>
      <c r="J508" s="138" t="e">
        <v>#N/A</v>
      </c>
      <c r="K508" s="138" t="str">
        <f ca="1">IFERROR(__xludf.DUMMYFUNCTION("unique(filter(R:R,R:R=I508))"),"Repalle")</f>
        <v>Repalle</v>
      </c>
      <c r="N508" s="138" t="str">
        <f ca="1">IFERROR(__xludf.DUMMYFUNCTION("unique(filter(W:W,U:U=R508))"),"Srikakulam")</f>
        <v>Srikakulam</v>
      </c>
      <c r="O508" s="138" t="s">
        <v>9245</v>
      </c>
      <c r="P508" s="138" t="s">
        <v>9246</v>
      </c>
      <c r="Q508" s="138" t="str">
        <f ca="1">IFERROR(__xludf.DUMMYFUNCTION("filter(I:I,J:J=P508,G:G=O508)"),"Amadalavalasa")</f>
        <v>Amadalavalasa</v>
      </c>
      <c r="R508" s="138" t="s">
        <v>9247</v>
      </c>
      <c r="U508" s="138" t="s">
        <v>8650</v>
      </c>
      <c r="V508" s="138" t="s">
        <v>9243</v>
      </c>
      <c r="W508" s="138" t="str">
        <f ca="1">IFERROR(__xludf.DUMMYFUNCTION("filter(H:H,I:I=U508,J:J=V508)"),"Bapatla")</f>
        <v>Bapatla</v>
      </c>
    </row>
    <row r="509" spans="7:23">
      <c r="G509" s="138" t="s">
        <v>9141</v>
      </c>
      <c r="H509" s="138" t="s">
        <v>9141</v>
      </c>
      <c r="I509" s="138" t="s">
        <v>8647</v>
      </c>
      <c r="J509" s="138" t="s">
        <v>9248</v>
      </c>
      <c r="K509" s="138" t="str">
        <f ca="1">IFERROR(__xludf.DUMMYFUNCTION("unique(filter(R:R,R:R=I509))"),"Ponnur")</f>
        <v>Ponnur</v>
      </c>
      <c r="N509" s="138" t="str">
        <f ca="1">IFERROR(__xludf.DUMMYFUNCTION("unique(filter(W:W,U:U=R509))"),"Parvathipuram Manyam")</f>
        <v>Parvathipuram Manyam</v>
      </c>
      <c r="O509" s="138" t="s">
        <v>9245</v>
      </c>
      <c r="P509" s="138" t="s">
        <v>9249</v>
      </c>
      <c r="Q509" s="138" t="str">
        <f ca="1">IFERROR(__xludf.DUMMYFUNCTION("filter(I:I,J:J=P509,G:G=O509)"),"Palakonda (St)")</f>
        <v>Palakonda (St)</v>
      </c>
      <c r="R509" s="138" t="s">
        <v>9250</v>
      </c>
    </row>
    <row r="510" spans="7:23">
      <c r="G510" s="138" t="s">
        <v>9141</v>
      </c>
      <c r="H510" s="138" t="s">
        <v>9141</v>
      </c>
      <c r="I510" s="138" t="s">
        <v>8647</v>
      </c>
      <c r="J510" s="138" t="s">
        <v>441</v>
      </c>
      <c r="K510" s="138" t="str">
        <f ca="1">IFERROR(__xludf.DUMMYFUNCTION("unique(filter(R:R,R:R=I510))"),"Ponnur")</f>
        <v>Ponnur</v>
      </c>
      <c r="N510" s="138" t="str">
        <f ca="1">IFERROR(__xludf.DUMMYFUNCTION("unique(filter(W:W,U:U=R510))"),"Srikakulam")</f>
        <v>Srikakulam</v>
      </c>
      <c r="O510" s="138" t="s">
        <v>9245</v>
      </c>
      <c r="P510" s="138" t="s">
        <v>9251</v>
      </c>
      <c r="Q510" s="138" t="str">
        <f ca="1">IFERROR(__xludf.DUMMYFUNCTION("filter(I:I,J:J=P510,G:G=O510)"),"Amadalavalasa")</f>
        <v>Amadalavalasa</v>
      </c>
      <c r="R510" s="138" t="s">
        <v>9247</v>
      </c>
      <c r="U510" s="138" t="s">
        <v>8647</v>
      </c>
      <c r="V510" s="138" t="s">
        <v>9248</v>
      </c>
      <c r="W510" s="138" t="str">
        <f ca="1">IFERROR(__xludf.DUMMYFUNCTION("filter(H:H,I:I=U510,J:J=V510)"),"Guntur")</f>
        <v>Guntur</v>
      </c>
    </row>
    <row r="511" spans="7:23">
      <c r="G511" s="138" t="s">
        <v>9141</v>
      </c>
      <c r="H511" s="138" t="s">
        <v>9141</v>
      </c>
      <c r="I511" s="138" t="s">
        <v>8647</v>
      </c>
      <c r="J511" s="138" t="s">
        <v>8647</v>
      </c>
      <c r="K511" s="138" t="str">
        <f ca="1">IFERROR(__xludf.DUMMYFUNCTION("unique(filter(R:R,R:R=I511))"),"Ponnur")</f>
        <v>Ponnur</v>
      </c>
      <c r="N511" s="138" t="str">
        <f ca="1">IFERROR(__xludf.DUMMYFUNCTION("unique(filter(W:W,U:U=R511))"),"Srikakulam")</f>
        <v>Srikakulam</v>
      </c>
      <c r="O511" s="138" t="s">
        <v>9245</v>
      </c>
      <c r="P511" s="138" t="s">
        <v>9252</v>
      </c>
      <c r="Q511" s="138" t="str">
        <f ca="1">IFERROR(__xludf.DUMMYFUNCTION("filter(I:I,J:J=P511,G:G=O511)"),"Etcherla")</f>
        <v>Etcherla</v>
      </c>
      <c r="R511" s="138" t="s">
        <v>9253</v>
      </c>
      <c r="U511" s="138" t="s">
        <v>8647</v>
      </c>
      <c r="V511" s="138" t="s">
        <v>441</v>
      </c>
      <c r="W511" s="138" t="str">
        <f ca="1">IFERROR(__xludf.DUMMYFUNCTION("filter(H:H,I:I=U511,J:J=V511)"),"Guntur")</f>
        <v>Guntur</v>
      </c>
    </row>
    <row r="512" spans="7:23">
      <c r="G512" s="138" t="s">
        <v>9141</v>
      </c>
      <c r="H512" s="138" t="s">
        <v>9141</v>
      </c>
      <c r="I512" s="138" t="s">
        <v>8647</v>
      </c>
      <c r="J512" s="138" t="s">
        <v>9254</v>
      </c>
      <c r="K512" s="138" t="str">
        <f ca="1">IFERROR(__xludf.DUMMYFUNCTION("unique(filter(R:R,R:R=I512))"),"Ponnur")</f>
        <v>Ponnur</v>
      </c>
      <c r="N512" s="138" t="str">
        <f ca="1">IFERROR(__xludf.DUMMYFUNCTION("unique(filter(W:W,U:U=R512))"),"Srikakulam")</f>
        <v>Srikakulam</v>
      </c>
      <c r="O512" s="138" t="s">
        <v>9245</v>
      </c>
      <c r="P512" s="138" t="s">
        <v>9255</v>
      </c>
      <c r="Q512" s="138" t="str">
        <f ca="1">IFERROR(__xludf.DUMMYFUNCTION("filter(I:I,J:J=P512,G:G=O512)"),"Etcherla")</f>
        <v>Etcherla</v>
      </c>
      <c r="R512" s="138" t="s">
        <v>9253</v>
      </c>
      <c r="U512" s="138" t="s">
        <v>8647</v>
      </c>
      <c r="V512" s="138" t="s">
        <v>8647</v>
      </c>
      <c r="W512" s="138" t="str">
        <f ca="1">IFERROR(__xludf.DUMMYFUNCTION("filter(H:H,I:I=U512,J:J=V512)"),"Guntur")</f>
        <v>Guntur</v>
      </c>
    </row>
    <row r="513" spans="7:23">
      <c r="G513" s="138" t="s">
        <v>9141</v>
      </c>
      <c r="H513" s="138" t="s">
        <v>9141</v>
      </c>
      <c r="I513" s="138" t="s">
        <v>8659</v>
      </c>
      <c r="J513" s="138" t="s">
        <v>9256</v>
      </c>
      <c r="K513" s="138" t="str">
        <f ca="1">IFERROR(__xludf.DUMMYFUNCTION("unique(filter(R:R,R:R=I513))"),"Mangalagiri")</f>
        <v>Mangalagiri</v>
      </c>
      <c r="N513" s="138" t="str">
        <f ca="1">IFERROR(__xludf.DUMMYFUNCTION("unique(filter(W:W,U:U=R513))"),"Srikakulam")</f>
        <v>Srikakulam</v>
      </c>
      <c r="O513" s="138" t="s">
        <v>9245</v>
      </c>
      <c r="P513" s="138" t="s">
        <v>9257</v>
      </c>
      <c r="Q513" s="138" t="str">
        <f ca="1">IFERROR(__xludf.DUMMYFUNCTION("filter(I:I,J:J=P513,G:G=O513)"),"Srikakulam")</f>
        <v>Srikakulam</v>
      </c>
      <c r="R513" s="138" t="s">
        <v>9258</v>
      </c>
      <c r="U513" s="138" t="s">
        <v>8647</v>
      </c>
      <c r="V513" s="138" t="s">
        <v>9254</v>
      </c>
      <c r="W513" s="138" t="str">
        <f ca="1">IFERROR(__xludf.DUMMYFUNCTION("filter(H:H,I:I=U513,J:J=V513)"),"Guntur")</f>
        <v>Guntur</v>
      </c>
    </row>
    <row r="514" spans="7:23">
      <c r="G514" s="138" t="s">
        <v>9141</v>
      </c>
      <c r="H514" s="138" t="s">
        <v>9141</v>
      </c>
      <c r="I514" s="138" t="s">
        <v>8659</v>
      </c>
      <c r="J514" s="138" t="s">
        <v>9259</v>
      </c>
      <c r="K514" s="138" t="str">
        <f ca="1">IFERROR(__xludf.DUMMYFUNCTION("unique(filter(R:R,R:R=I514))"),"Mangalagiri")</f>
        <v>Mangalagiri</v>
      </c>
      <c r="N514" s="138" t="str">
        <f ca="1">IFERROR(__xludf.DUMMYFUNCTION("unique(filter(W:W,U:U=R514))"),"Srikakulam")</f>
        <v>Srikakulam</v>
      </c>
      <c r="O514" s="138" t="s">
        <v>9245</v>
      </c>
      <c r="P514" s="138" t="s">
        <v>9260</v>
      </c>
      <c r="Q514" s="138" t="str">
        <f ca="1">IFERROR(__xludf.DUMMYFUNCTION("filter(I:I,J:J=P514,G:G=O514)"),"Pathapatnam")</f>
        <v>Pathapatnam</v>
      </c>
      <c r="R514" s="138" t="s">
        <v>9261</v>
      </c>
      <c r="U514" s="138" t="s">
        <v>8659</v>
      </c>
      <c r="V514" s="138" t="s">
        <v>9256</v>
      </c>
      <c r="W514" s="138" t="str">
        <f ca="1">IFERROR(__xludf.DUMMYFUNCTION("filter(H:H,I:I=U514,J:J=V514)"),"Guntur")</f>
        <v>Guntur</v>
      </c>
    </row>
    <row r="515" spans="7:23">
      <c r="G515" s="138" t="s">
        <v>9141</v>
      </c>
      <c r="H515" s="138" t="s">
        <v>9141</v>
      </c>
      <c r="I515" s="138" t="s">
        <v>8659</v>
      </c>
      <c r="J515" s="138" t="s">
        <v>8659</v>
      </c>
      <c r="K515" s="138" t="str">
        <f ca="1">IFERROR(__xludf.DUMMYFUNCTION("unique(filter(R:R,R:R=I515))"),"Mangalagiri")</f>
        <v>Mangalagiri</v>
      </c>
      <c r="N515" s="138" t="str">
        <f ca="1">IFERROR(__xludf.DUMMYFUNCTION("unique(filter(W:W,U:U=R515))"),"Srikakulam")</f>
        <v>Srikakulam</v>
      </c>
      <c r="O515" s="138" t="s">
        <v>9245</v>
      </c>
      <c r="P515" s="138" t="s">
        <v>9262</v>
      </c>
      <c r="Q515" s="138" t="str">
        <f ca="1">IFERROR(__xludf.DUMMYFUNCTION("filter(I:I,J:J=P515,G:G=O515)"),"Ichchapuram")</f>
        <v>Ichchapuram</v>
      </c>
      <c r="R515" s="138" t="s">
        <v>9263</v>
      </c>
      <c r="U515" s="138" t="s">
        <v>8659</v>
      </c>
      <c r="V515" s="138" t="s">
        <v>9259</v>
      </c>
      <c r="W515" s="138" t="str">
        <f ca="1">IFERROR(__xludf.DUMMYFUNCTION("filter(H:H,I:I=U515,J:J=V515)"),"Guntur")</f>
        <v>Guntur</v>
      </c>
    </row>
    <row r="516" spans="7:23">
      <c r="G516" s="138" t="s">
        <v>9141</v>
      </c>
      <c r="H516" s="138" t="s">
        <v>9141</v>
      </c>
      <c r="I516" s="138" t="s">
        <v>8659</v>
      </c>
      <c r="J516" s="138" t="s">
        <v>9264</v>
      </c>
      <c r="K516" s="138" t="str">
        <f ca="1">IFERROR(__xludf.DUMMYFUNCTION("unique(filter(R:R,R:R=I516))"),"Mangalagiri")</f>
        <v>Mangalagiri</v>
      </c>
      <c r="N516" s="138" t="str">
        <f ca="1">IFERROR(__xludf.DUMMYFUNCTION("unique(filter(W:W,U:U=R516))"),"Srikakulam")</f>
        <v>Srikakulam</v>
      </c>
      <c r="O516" s="138" t="s">
        <v>9245</v>
      </c>
      <c r="P516" s="138" t="s">
        <v>9265</v>
      </c>
      <c r="Q516" s="138" t="str">
        <f ca="1">IFERROR(__xludf.DUMMYFUNCTION("filter(I:I,J:J=P516,G:G=O516)"),"Narasannapeta")</f>
        <v>Narasannapeta</v>
      </c>
      <c r="R516" s="138" t="s">
        <v>9266</v>
      </c>
      <c r="U516" s="138" t="s">
        <v>8659</v>
      </c>
      <c r="V516" s="138" t="s">
        <v>8659</v>
      </c>
      <c r="W516" s="138" t="str">
        <f ca="1">IFERROR(__xludf.DUMMYFUNCTION("filter(H:H,I:I=U516,J:J=V516)"),"Guntur")</f>
        <v>Guntur</v>
      </c>
    </row>
    <row r="517" spans="7:23">
      <c r="G517" s="138" t="s">
        <v>9141</v>
      </c>
      <c r="H517" s="138" t="s">
        <v>9141</v>
      </c>
      <c r="I517" s="138" t="s">
        <v>8659</v>
      </c>
      <c r="J517" s="138" t="s">
        <v>9267</v>
      </c>
      <c r="K517" s="138" t="str">
        <f ca="1">IFERROR(__xludf.DUMMYFUNCTION("unique(filter(R:R,R:R=I517))"),"Mangalagiri")</f>
        <v>Mangalagiri</v>
      </c>
      <c r="N517" s="138" t="str">
        <f ca="1">IFERROR(__xludf.DUMMYFUNCTION("unique(filter(W:W,U:U=R517))"),"Srikakulam")</f>
        <v>Srikakulam</v>
      </c>
      <c r="O517" s="138" t="s">
        <v>9245</v>
      </c>
      <c r="P517" s="138" t="s">
        <v>9268</v>
      </c>
      <c r="Q517" s="138" t="str">
        <f ca="1">IFERROR(__xludf.DUMMYFUNCTION("filter(I:I,J:J=P517,G:G=O517)"),"Ichchapuram")</f>
        <v>Ichchapuram</v>
      </c>
      <c r="R517" s="138" t="s">
        <v>9263</v>
      </c>
      <c r="U517" s="138" t="s">
        <v>8659</v>
      </c>
      <c r="V517" s="138" t="s">
        <v>9264</v>
      </c>
      <c r="W517" s="138" t="str">
        <f ca="1">IFERROR(__xludf.DUMMYFUNCTION("filter(H:H,I:I=U517,J:J=V517)"),"Guntur")</f>
        <v>Guntur</v>
      </c>
    </row>
    <row r="518" spans="7:23">
      <c r="G518" s="138" t="e">
        <v>#N/A</v>
      </c>
      <c r="H518" s="138" t="e">
        <v>#N/A</v>
      </c>
      <c r="I518" s="138" t="s">
        <v>8659</v>
      </c>
      <c r="J518" s="138" t="e">
        <v>#N/A</v>
      </c>
      <c r="K518" s="138" t="str">
        <f ca="1">IFERROR(__xludf.DUMMYFUNCTION("unique(filter(R:R,R:R=I518))"),"Mangalagiri")</f>
        <v>Mangalagiri</v>
      </c>
      <c r="N518" s="138" t="str">
        <f ca="1">IFERROR(__xludf.DUMMYFUNCTION("unique(filter(W:W,U:U=R518))"),"Srikakulam")</f>
        <v>Srikakulam</v>
      </c>
      <c r="O518" s="138" t="s">
        <v>9245</v>
      </c>
      <c r="P518" s="138" t="s">
        <v>9269</v>
      </c>
      <c r="Q518" s="138" t="str">
        <f ca="1">IFERROR(__xludf.DUMMYFUNCTION("filter(I:I,J:J=P518,G:G=O518)"),"Ichchapuram")</f>
        <v>Ichchapuram</v>
      </c>
      <c r="R518" s="138" t="s">
        <v>9263</v>
      </c>
      <c r="U518" s="138" t="s">
        <v>8659</v>
      </c>
      <c r="V518" s="138" t="s">
        <v>9267</v>
      </c>
      <c r="W518" s="138" t="str">
        <f ca="1">IFERROR(__xludf.DUMMYFUNCTION("filter(H:H,I:I=U518,J:J=V518)"),"Guntur")</f>
        <v>Guntur</v>
      </c>
    </row>
    <row r="519" spans="7:23">
      <c r="G519" s="138" t="s">
        <v>9141</v>
      </c>
      <c r="H519" s="138" t="s">
        <v>9141</v>
      </c>
      <c r="I519" s="138" t="s">
        <v>8690</v>
      </c>
      <c r="J519" s="138" t="s">
        <v>9270</v>
      </c>
      <c r="K519" s="138" t="str">
        <f ca="1">IFERROR(__xludf.DUMMYFUNCTION("unique(filter(R:R,R:R=I519))"),"Tadikonda (Sc)")</f>
        <v>Tadikonda (Sc)</v>
      </c>
      <c r="N519" s="138" t="str">
        <f ca="1">IFERROR(__xludf.DUMMYFUNCTION("unique(filter(W:W,U:U=R519))"),"Srikakulam")</f>
        <v>Srikakulam</v>
      </c>
      <c r="O519" s="138" t="s">
        <v>9245</v>
      </c>
      <c r="P519" s="138" t="s">
        <v>9271</v>
      </c>
      <c r="Q519" s="138" t="str">
        <f ca="1">IFERROR(__xludf.DUMMYFUNCTION("filter(I:I,J:J=P519,G:G=O519)"),"Tekkali")</f>
        <v>Tekkali</v>
      </c>
      <c r="R519" s="138" t="s">
        <v>9272</v>
      </c>
    </row>
    <row r="520" spans="7:23">
      <c r="G520" s="138" t="s">
        <v>9141</v>
      </c>
      <c r="H520" s="138" t="s">
        <v>9141</v>
      </c>
      <c r="I520" s="138" t="s">
        <v>8690</v>
      </c>
      <c r="J520" s="138" t="s">
        <v>9273</v>
      </c>
      <c r="K520" s="138" t="str">
        <f ca="1">IFERROR(__xludf.DUMMYFUNCTION("unique(filter(R:R,R:R=I520))"),"Tadikonda (Sc)")</f>
        <v>Tadikonda (Sc)</v>
      </c>
      <c r="N520" s="138" t="str">
        <f ca="1">IFERROR(__xludf.DUMMYFUNCTION("unique(filter(W:W,U:U=R520))"),"Srikakulam")</f>
        <v>Srikakulam</v>
      </c>
      <c r="O520" s="138" t="s">
        <v>9245</v>
      </c>
      <c r="P520" s="138" t="s">
        <v>1371</v>
      </c>
      <c r="Q520" s="138" t="str">
        <f ca="1">IFERROR(__xludf.DUMMYFUNCTION("filter(I:I,J:J=P520,G:G=O520)"),"Pathapatnam")</f>
        <v>Pathapatnam</v>
      </c>
      <c r="R520" s="138" t="s">
        <v>9261</v>
      </c>
      <c r="U520" s="138" t="s">
        <v>8690</v>
      </c>
      <c r="V520" s="138" t="s">
        <v>9270</v>
      </c>
      <c r="W520" s="138" t="str">
        <f ca="1">IFERROR(__xludf.DUMMYFUNCTION("filter(H:H,I:I=U520,J:J=V520)"),"Guntur")</f>
        <v>Guntur</v>
      </c>
    </row>
    <row r="521" spans="7:23">
      <c r="G521" s="138" t="s">
        <v>9141</v>
      </c>
      <c r="H521" s="138" t="s">
        <v>9141</v>
      </c>
      <c r="I521" s="138" t="s">
        <v>8690</v>
      </c>
      <c r="J521" s="138" t="s">
        <v>9274</v>
      </c>
      <c r="K521" s="138" t="str">
        <f ca="1">IFERROR(__xludf.DUMMYFUNCTION("unique(filter(R:R,R:R=I521))"),"Tadikonda (Sc)")</f>
        <v>Tadikonda (Sc)</v>
      </c>
      <c r="N521" s="138" t="str">
        <f ca="1">IFERROR(__xludf.DUMMYFUNCTION("unique(filter(W:W,U:U=R521))"),"Srikakulam")</f>
        <v>Srikakulam</v>
      </c>
      <c r="O521" s="138" t="s">
        <v>9245</v>
      </c>
      <c r="P521" s="138" t="s">
        <v>9275</v>
      </c>
      <c r="Q521" s="138" t="str">
        <f ca="1">IFERROR(__xludf.DUMMYFUNCTION("filter(I:I,J:J=P521,G:G=O521)"),"Pathapatnam")</f>
        <v>Pathapatnam</v>
      </c>
      <c r="R521" s="138" t="s">
        <v>9261</v>
      </c>
      <c r="U521" s="138" t="s">
        <v>8690</v>
      </c>
      <c r="V521" s="138" t="s">
        <v>9273</v>
      </c>
      <c r="W521" s="138" t="str">
        <f ca="1">IFERROR(__xludf.DUMMYFUNCTION("filter(H:H,I:I=U521,J:J=V521)"),"Guntur")</f>
        <v>Guntur</v>
      </c>
    </row>
    <row r="522" spans="7:23">
      <c r="G522" s="138" t="s">
        <v>9141</v>
      </c>
      <c r="H522" s="138" t="s">
        <v>9141</v>
      </c>
      <c r="I522" s="138" t="s">
        <v>8690</v>
      </c>
      <c r="J522" s="138" t="s">
        <v>9276</v>
      </c>
      <c r="K522" s="138" t="str">
        <f ca="1">IFERROR(__xludf.DUMMYFUNCTION("unique(filter(R:R,R:R=I522))"),"Tadikonda (Sc)")</f>
        <v>Tadikonda (Sc)</v>
      </c>
      <c r="N522" s="138" t="str">
        <f ca="1">IFERROR(__xludf.DUMMYFUNCTION("unique(filter(W:W,U:U=R522))"),"Srikakulam")</f>
        <v>Srikakulam</v>
      </c>
      <c r="O522" s="138" t="s">
        <v>9245</v>
      </c>
      <c r="P522" s="138" t="s">
        <v>9277</v>
      </c>
      <c r="Q522" s="138" t="str">
        <f ca="1">IFERROR(__xludf.DUMMYFUNCTION("filter(I:I,J:J=P522,G:G=O522)"),"Etcherla")</f>
        <v>Etcherla</v>
      </c>
      <c r="R522" s="138" t="s">
        <v>9253</v>
      </c>
      <c r="U522" s="138" t="s">
        <v>8690</v>
      </c>
      <c r="V522" s="138" t="s">
        <v>9274</v>
      </c>
      <c r="W522" s="138" t="str">
        <f ca="1">IFERROR(__xludf.DUMMYFUNCTION("filter(H:H,I:I=U522,J:J=V522)"),"Guntur")</f>
        <v>Guntur</v>
      </c>
    </row>
    <row r="523" spans="7:23">
      <c r="G523" s="138" t="s">
        <v>9141</v>
      </c>
      <c r="H523" s="138" t="s">
        <v>9142</v>
      </c>
      <c r="I523" s="138" t="s">
        <v>8630</v>
      </c>
      <c r="J523" s="138" t="s">
        <v>9278</v>
      </c>
      <c r="K523" s="138" t="str">
        <f ca="1">IFERROR(__xludf.DUMMYFUNCTION("unique(filter(R:R,R:R=I523))"),"Pedakurapadu")</f>
        <v>Pedakurapadu</v>
      </c>
      <c r="N523" s="138" t="str">
        <f ca="1">IFERROR(__xludf.DUMMYFUNCTION("unique(filter(W:W,U:U=R523))"),"Srikakulam")</f>
        <v>Srikakulam</v>
      </c>
      <c r="O523" s="138" t="s">
        <v>9245</v>
      </c>
      <c r="P523" s="138" t="s">
        <v>9279</v>
      </c>
      <c r="Q523" s="138" t="str">
        <f ca="1">IFERROR(__xludf.DUMMYFUNCTION("filter(I:I,J:J=P523,G:G=O523)"),"Palasa")</f>
        <v>Palasa</v>
      </c>
      <c r="R523" s="138" t="s">
        <v>9280</v>
      </c>
      <c r="U523" s="138" t="s">
        <v>8690</v>
      </c>
      <c r="V523" s="138" t="s">
        <v>9276</v>
      </c>
      <c r="W523" s="138" t="str">
        <f ca="1">IFERROR(__xludf.DUMMYFUNCTION("filter(H:H,I:I=U523,J:J=V523)"),"Guntur")</f>
        <v>Guntur</v>
      </c>
    </row>
    <row r="524" spans="7:23">
      <c r="G524" s="138" t="s">
        <v>9141</v>
      </c>
      <c r="H524" s="138" t="s">
        <v>9142</v>
      </c>
      <c r="I524" s="138" t="s">
        <v>8630</v>
      </c>
      <c r="J524" s="138" t="s">
        <v>9281</v>
      </c>
      <c r="K524" s="138" t="str">
        <f ca="1">IFERROR(__xludf.DUMMYFUNCTION("unique(filter(R:R,R:R=I524))"),"Pedakurapadu")</f>
        <v>Pedakurapadu</v>
      </c>
      <c r="N524" s="138" t="str">
        <f ca="1">IFERROR(__xludf.DUMMYFUNCTION("unique(filter(W:W,U:U=R524))"),"Srikakulam")</f>
        <v>Srikakulam</v>
      </c>
      <c r="O524" s="138" t="s">
        <v>9245</v>
      </c>
      <c r="P524" s="138" t="s">
        <v>9282</v>
      </c>
      <c r="Q524" s="138" t="str">
        <f ca="1">IFERROR(__xludf.DUMMYFUNCTION("filter(I:I,J:J=P524,G:G=O524)"),"Pathapatnam")</f>
        <v>Pathapatnam</v>
      </c>
      <c r="R524" s="138" t="s">
        <v>9261</v>
      </c>
      <c r="U524" s="138" t="s">
        <v>8630</v>
      </c>
      <c r="V524" s="138" t="s">
        <v>9278</v>
      </c>
      <c r="W524" s="138" t="str">
        <f ca="1">IFERROR(__xludf.DUMMYFUNCTION("filter(H:H,I:I=U524,J:J=V524)"),"Palnadu")</f>
        <v>Palnadu</v>
      </c>
    </row>
    <row r="525" spans="7:23">
      <c r="G525" s="138" t="s">
        <v>9141</v>
      </c>
      <c r="H525" s="138" t="s">
        <v>9142</v>
      </c>
      <c r="I525" s="138" t="s">
        <v>8630</v>
      </c>
      <c r="J525" s="138" t="s">
        <v>9283</v>
      </c>
      <c r="K525" s="138" t="str">
        <f ca="1">IFERROR(__xludf.DUMMYFUNCTION("unique(filter(R:R,R:R=I525))"),"Pedakurapadu")</f>
        <v>Pedakurapadu</v>
      </c>
      <c r="N525" s="138" t="str">
        <f ca="1">IFERROR(__xludf.DUMMYFUNCTION("unique(filter(W:W,U:U=R525))"),"Srikakulam")</f>
        <v>Srikakulam</v>
      </c>
      <c r="O525" s="138" t="s">
        <v>9245</v>
      </c>
      <c r="P525" s="138" t="s">
        <v>9284</v>
      </c>
      <c r="Q525" s="138" t="str">
        <f ca="1">IFERROR(__xludf.DUMMYFUNCTION("filter(I:I,J:J=P525,G:G=O525)"),"Tekkali")</f>
        <v>Tekkali</v>
      </c>
      <c r="R525" s="138" t="s">
        <v>9272</v>
      </c>
      <c r="U525" s="138" t="s">
        <v>8630</v>
      </c>
      <c r="V525" s="138" t="s">
        <v>9281</v>
      </c>
      <c r="W525" s="138" t="str">
        <f ca="1">IFERROR(__xludf.DUMMYFUNCTION("filter(H:H,I:I=U525,J:J=V525)"),"Palnadu")</f>
        <v>Palnadu</v>
      </c>
    </row>
    <row r="526" spans="7:23">
      <c r="G526" s="138" t="s">
        <v>9141</v>
      </c>
      <c r="H526" s="138" t="s">
        <v>9142</v>
      </c>
      <c r="I526" s="138" t="s">
        <v>8630</v>
      </c>
      <c r="J526" s="138" t="s">
        <v>8630</v>
      </c>
      <c r="K526" s="138" t="str">
        <f ca="1">IFERROR(__xludf.DUMMYFUNCTION("unique(filter(R:R,R:R=I526))"),"Pedakurapadu")</f>
        <v>Pedakurapadu</v>
      </c>
      <c r="N526" s="138" t="str">
        <f ca="1">IFERROR(__xludf.DUMMYFUNCTION("unique(filter(W:W,U:U=R526))"),"Srikakulam")</f>
        <v>Srikakulam</v>
      </c>
      <c r="O526" s="138" t="s">
        <v>9245</v>
      </c>
      <c r="P526" s="138" t="s">
        <v>9285</v>
      </c>
      <c r="Q526" s="138" t="str">
        <f ca="1">IFERROR(__xludf.DUMMYFUNCTION("filter(I:I,J:J=P526,G:G=O526)"),"Narasannapeta")</f>
        <v>Narasannapeta</v>
      </c>
      <c r="R526" s="138" t="s">
        <v>9266</v>
      </c>
      <c r="U526" s="138" t="s">
        <v>8630</v>
      </c>
      <c r="V526" s="138" t="s">
        <v>9283</v>
      </c>
      <c r="W526" s="138" t="str">
        <f ca="1">IFERROR(__xludf.DUMMYFUNCTION("filter(H:H,I:I=U526,J:J=V526)"),"Palnadu")</f>
        <v>Palnadu</v>
      </c>
    </row>
    <row r="527" spans="7:23">
      <c r="G527" s="138" t="s">
        <v>9141</v>
      </c>
      <c r="H527" s="138" t="s">
        <v>9142</v>
      </c>
      <c r="I527" s="138" t="s">
        <v>8630</v>
      </c>
      <c r="J527" s="138" t="s">
        <v>9286</v>
      </c>
      <c r="K527" s="138" t="str">
        <f ca="1">IFERROR(__xludf.DUMMYFUNCTION("unique(filter(R:R,R:R=I527))"),"Pedakurapadu")</f>
        <v>Pedakurapadu</v>
      </c>
      <c r="N527" s="138" t="str">
        <f ca="1">IFERROR(__xludf.DUMMYFUNCTION("unique(filter(W:W,U:U=R527))"),"Parvathipuram Manyam")</f>
        <v>Parvathipuram Manyam</v>
      </c>
      <c r="O527" s="138" t="s">
        <v>9245</v>
      </c>
      <c r="P527" s="138" t="s">
        <v>9287</v>
      </c>
      <c r="Q527" s="138" t="str">
        <f ca="1">IFERROR(__xludf.DUMMYFUNCTION("filter(I:I,J:J=P527,G:G=O527)"),"Palakonda (St)")</f>
        <v>Palakonda (St)</v>
      </c>
      <c r="R527" s="138" t="s">
        <v>9250</v>
      </c>
      <c r="U527" s="138" t="s">
        <v>8630</v>
      </c>
      <c r="V527" s="138" t="s">
        <v>8630</v>
      </c>
      <c r="W527" s="138" t="str">
        <f ca="1">IFERROR(__xludf.DUMMYFUNCTION("filter(H:H,I:I=U527,J:J=V527)"),"Palnadu")</f>
        <v>Palnadu</v>
      </c>
    </row>
    <row r="528" spans="7:23">
      <c r="G528" s="138" t="e">
        <v>#N/A</v>
      </c>
      <c r="H528" s="138" t="e">
        <v>#N/A</v>
      </c>
      <c r="I528" s="138" t="s">
        <v>8630</v>
      </c>
      <c r="J528" s="138" t="e">
        <v>#N/A</v>
      </c>
      <c r="K528" s="138" t="str">
        <f ca="1">IFERROR(__xludf.DUMMYFUNCTION("unique(filter(R:R,R:R=I528))"),"Pedakurapadu")</f>
        <v>Pedakurapadu</v>
      </c>
      <c r="N528" s="138" t="str">
        <f ca="1">IFERROR(__xludf.DUMMYFUNCTION("unique(filter(W:W,U:U=R528))"),"Srikakulam")</f>
        <v>Srikakulam</v>
      </c>
      <c r="O528" s="138" t="s">
        <v>9245</v>
      </c>
      <c r="P528" s="138" t="s">
        <v>9288</v>
      </c>
      <c r="Q528" s="138" t="str">
        <f ca="1">IFERROR(__xludf.DUMMYFUNCTION("filter(I:I,J:J=P528,G:G=O528)"),"Palasa")</f>
        <v>Palasa</v>
      </c>
      <c r="R528" s="138" t="s">
        <v>9280</v>
      </c>
      <c r="U528" s="138" t="s">
        <v>8630</v>
      </c>
      <c r="V528" s="138" t="s">
        <v>9286</v>
      </c>
      <c r="W528" s="138" t="str">
        <f ca="1">IFERROR(__xludf.DUMMYFUNCTION("filter(H:H,I:I=U528,J:J=V528)"),"Palnadu")</f>
        <v>Palnadu</v>
      </c>
    </row>
    <row r="529" spans="7:23">
      <c r="G529" s="138" t="s">
        <v>3442</v>
      </c>
      <c r="H529" s="138" t="s">
        <v>9289</v>
      </c>
      <c r="I529" s="138" t="s">
        <v>8877</v>
      </c>
      <c r="J529" s="138" t="s">
        <v>8877</v>
      </c>
      <c r="K529" s="138" t="str">
        <f ca="1">IFERROR(__xludf.DUMMYFUNCTION("unique(filter(R:R,R:R=I529))"),"Jaggayyapeta")</f>
        <v>Jaggayyapeta</v>
      </c>
      <c r="N529" s="138" t="str">
        <f ca="1">IFERROR(__xludf.DUMMYFUNCTION("unique(filter(W:W,U:U=R529))"),"Srikakulam")</f>
        <v>Srikakulam</v>
      </c>
      <c r="O529" s="138" t="s">
        <v>9245</v>
      </c>
      <c r="P529" s="138" t="s">
        <v>9290</v>
      </c>
      <c r="Q529" s="138" t="str">
        <f ca="1">IFERROR(__xludf.DUMMYFUNCTION("filter(I:I,J:J=P529,G:G=O529)"),"Pathapatnam")</f>
        <v>Pathapatnam</v>
      </c>
      <c r="R529" s="138" t="s">
        <v>9261</v>
      </c>
    </row>
    <row r="530" spans="7:23">
      <c r="G530" s="138" t="s">
        <v>3442</v>
      </c>
      <c r="H530" s="138" t="s">
        <v>9289</v>
      </c>
      <c r="I530" s="138" t="s">
        <v>8877</v>
      </c>
      <c r="J530" s="138" t="s">
        <v>9291</v>
      </c>
      <c r="K530" s="138" t="str">
        <f ca="1">IFERROR(__xludf.DUMMYFUNCTION("unique(filter(R:R,R:R=I530))"),"Jaggayyapeta")</f>
        <v>Jaggayyapeta</v>
      </c>
      <c r="N530" s="138" t="str">
        <f ca="1">IFERROR(__xludf.DUMMYFUNCTION("unique(filter(W:W,U:U=R530))"),"Srikakulam")</f>
        <v>Srikakulam</v>
      </c>
      <c r="O530" s="138" t="s">
        <v>9245</v>
      </c>
      <c r="P530" s="138" t="s">
        <v>9292</v>
      </c>
      <c r="Q530" s="138" t="str">
        <f ca="1">IFERROR(__xludf.DUMMYFUNCTION("filter(I:I,J:J=P530,G:G=O530)"),"Narasannapeta")</f>
        <v>Narasannapeta</v>
      </c>
      <c r="R530" s="138" t="s">
        <v>9266</v>
      </c>
      <c r="U530" s="138" t="s">
        <v>8877</v>
      </c>
      <c r="V530" s="138" t="s">
        <v>8877</v>
      </c>
      <c r="W530" s="138" t="str">
        <f ca="1">IFERROR(__xludf.DUMMYFUNCTION("filter(H:H,I:I=U530,J:J=V530)"),"NTR")</f>
        <v>NTR</v>
      </c>
    </row>
    <row r="531" spans="7:23">
      <c r="G531" s="138" t="s">
        <v>3442</v>
      </c>
      <c r="H531" s="138" t="s">
        <v>9289</v>
      </c>
      <c r="I531" s="138" t="s">
        <v>8877</v>
      </c>
      <c r="J531" s="138" t="s">
        <v>9293</v>
      </c>
      <c r="K531" s="138" t="str">
        <f ca="1">IFERROR(__xludf.DUMMYFUNCTION("unique(filter(R:R,R:R=I531))"),"Jaggayyapeta")</f>
        <v>Jaggayyapeta</v>
      </c>
      <c r="N531" s="138" t="str">
        <f ca="1">IFERROR(__xludf.DUMMYFUNCTION("unique(filter(W:W,U:U=R531))"),"Srikakulam")</f>
        <v>Srikakulam</v>
      </c>
      <c r="O531" s="138" t="s">
        <v>9245</v>
      </c>
      <c r="P531" s="138" t="s">
        <v>9294</v>
      </c>
      <c r="Q531" s="138" t="str">
        <f ca="1">IFERROR(__xludf.DUMMYFUNCTION("filter(I:I,J:J=P531,G:G=O531)"),"Amadalavalasa")</f>
        <v>Amadalavalasa</v>
      </c>
      <c r="R531" s="138" t="s">
        <v>9247</v>
      </c>
      <c r="U531" s="138" t="s">
        <v>8877</v>
      </c>
      <c r="V531" s="138" t="s">
        <v>9291</v>
      </c>
      <c r="W531" s="138" t="str">
        <f ca="1">IFERROR(__xludf.DUMMYFUNCTION("filter(H:H,I:I=U531,J:J=V531)"),"NTR")</f>
        <v>NTR</v>
      </c>
    </row>
    <row r="532" spans="7:23">
      <c r="G532" s="138" t="s">
        <v>3442</v>
      </c>
      <c r="H532" s="138" t="s">
        <v>9289</v>
      </c>
      <c r="I532" s="138" t="s">
        <v>8877</v>
      </c>
      <c r="J532" s="138" t="s">
        <v>9295</v>
      </c>
      <c r="K532" s="138" t="str">
        <f ca="1">IFERROR(__xludf.DUMMYFUNCTION("unique(filter(R:R,R:R=I532))"),"Jaggayyapeta")</f>
        <v>Jaggayyapeta</v>
      </c>
      <c r="N532" s="138" t="str">
        <f ca="1">IFERROR(__xludf.DUMMYFUNCTION("unique(filter(W:W,U:U=R532))"),"Vizianagaram")</f>
        <v>Vizianagaram</v>
      </c>
      <c r="O532" s="138" t="s">
        <v>9245</v>
      </c>
      <c r="P532" s="138" t="s">
        <v>9296</v>
      </c>
      <c r="Q532" s="138" t="str">
        <f ca="1">IFERROR(__xludf.DUMMYFUNCTION("filter(I:I,J:J=P532,G:G=O532)"),"Rajam (Sc)")</f>
        <v>Rajam (Sc)</v>
      </c>
      <c r="R532" s="138" t="s">
        <v>9297</v>
      </c>
      <c r="U532" s="138" t="s">
        <v>8877</v>
      </c>
      <c r="V532" s="138" t="s">
        <v>9293</v>
      </c>
      <c r="W532" s="138" t="str">
        <f ca="1">IFERROR(__xludf.DUMMYFUNCTION("filter(H:H,I:I=U532,J:J=V532)"),"NTR")</f>
        <v>NTR</v>
      </c>
    </row>
    <row r="533" spans="7:23">
      <c r="G533" s="138" t="s">
        <v>3442</v>
      </c>
      <c r="H533" s="138" t="s">
        <v>9289</v>
      </c>
      <c r="I533" s="138" t="s">
        <v>8877</v>
      </c>
      <c r="J533" s="138" t="s">
        <v>9298</v>
      </c>
      <c r="K533" s="138" t="str">
        <f ca="1">IFERROR(__xludf.DUMMYFUNCTION("unique(filter(R:R,R:R=I533))"),"Jaggayyapeta")</f>
        <v>Jaggayyapeta</v>
      </c>
      <c r="N533" s="138" t="str">
        <f ca="1">IFERROR(__xludf.DUMMYFUNCTION("unique(filter(W:W,U:U=R533))"),"Srikakulam")</f>
        <v>Srikakulam</v>
      </c>
      <c r="O533" s="138" t="s">
        <v>9245</v>
      </c>
      <c r="P533" s="138" t="s">
        <v>9299</v>
      </c>
      <c r="Q533" s="138" t="str">
        <f ca="1">IFERROR(__xludf.DUMMYFUNCTION("filter(I:I,J:J=P533,G:G=O533)"),"Etcherla")</f>
        <v>Etcherla</v>
      </c>
      <c r="R533" s="138" t="s">
        <v>9253</v>
      </c>
      <c r="U533" s="138" t="s">
        <v>8877</v>
      </c>
      <c r="V533" s="138" t="s">
        <v>9295</v>
      </c>
      <c r="W533" s="138" t="str">
        <f ca="1">IFERROR(__xludf.DUMMYFUNCTION("filter(H:H,I:I=U533,J:J=V533)"),"NTR")</f>
        <v>NTR</v>
      </c>
    </row>
    <row r="534" spans="7:23">
      <c r="G534" s="138" t="s">
        <v>3442</v>
      </c>
      <c r="H534" s="138" t="s">
        <v>9289</v>
      </c>
      <c r="I534" s="138" t="s">
        <v>8861</v>
      </c>
      <c r="J534" s="138" t="s">
        <v>9300</v>
      </c>
      <c r="K534" s="138" t="str">
        <f ca="1">IFERROR(__xludf.DUMMYFUNCTION("unique(filter(R:R,R:R=I534))"),"Nandigama (Sc)")</f>
        <v>Nandigama (Sc)</v>
      </c>
      <c r="N534" s="138" t="str">
        <f ca="1">IFERROR(__xludf.DUMMYFUNCTION("unique(filter(W:W,U:U=R534))"),"Vizianagaram")</f>
        <v>Vizianagaram</v>
      </c>
      <c r="O534" s="138" t="s">
        <v>9245</v>
      </c>
      <c r="P534" s="138" t="s">
        <v>9301</v>
      </c>
      <c r="Q534" s="138" t="str">
        <f ca="1">IFERROR(__xludf.DUMMYFUNCTION("filter(I:I,J:J=P534,G:G=O534)"),"#N/A")</f>
        <v>#N/A</v>
      </c>
      <c r="R534" s="138" t="s">
        <v>9297</v>
      </c>
      <c r="U534" s="138" t="s">
        <v>8877</v>
      </c>
      <c r="V534" s="138" t="s">
        <v>9298</v>
      </c>
      <c r="W534" s="138" t="str">
        <f ca="1">IFERROR(__xludf.DUMMYFUNCTION("filter(H:H,I:I=U534,J:J=V534)"),"NTR")</f>
        <v>NTR</v>
      </c>
    </row>
    <row r="535" spans="7:23">
      <c r="G535" s="138" t="s">
        <v>3442</v>
      </c>
      <c r="H535" s="138" t="s">
        <v>9289</v>
      </c>
      <c r="I535" s="138" t="s">
        <v>8861</v>
      </c>
      <c r="J535" s="138" t="s">
        <v>9298</v>
      </c>
      <c r="K535" s="138" t="str">
        <f ca="1">IFERROR(__xludf.DUMMYFUNCTION("unique(filter(R:R,R:R=I535))"),"Nandigama (Sc)")</f>
        <v>Nandigama (Sc)</v>
      </c>
      <c r="N535" s="138" t="str">
        <f ca="1">IFERROR(__xludf.DUMMYFUNCTION("unique(filter(W:W,U:U=R535))"),"Srikakulam")</f>
        <v>Srikakulam</v>
      </c>
      <c r="O535" s="138" t="s">
        <v>9245</v>
      </c>
      <c r="P535" s="138" t="s">
        <v>9302</v>
      </c>
      <c r="Q535" s="138" t="str">
        <f ca="1">IFERROR(__xludf.DUMMYFUNCTION("filter(I:I,J:J=P535,G:G=O535)"),"Tekkali")</f>
        <v>Tekkali</v>
      </c>
      <c r="R535" s="138" t="s">
        <v>9272</v>
      </c>
      <c r="U535" s="138" t="s">
        <v>8861</v>
      </c>
      <c r="V535" s="138" t="s">
        <v>9300</v>
      </c>
      <c r="W535" s="138" t="str">
        <f ca="1">IFERROR(__xludf.DUMMYFUNCTION("filter(H:H,I:I=U535,J:J=V535)"),"NTR")</f>
        <v>NTR</v>
      </c>
    </row>
    <row r="536" spans="7:23">
      <c r="G536" s="138" t="s">
        <v>3442</v>
      </c>
      <c r="H536" s="138" t="s">
        <v>9289</v>
      </c>
      <c r="I536" s="138" t="s">
        <v>8861</v>
      </c>
      <c r="J536" s="138" t="s">
        <v>9303</v>
      </c>
      <c r="K536" s="138" t="str">
        <f ca="1">IFERROR(__xludf.DUMMYFUNCTION("unique(filter(R:R,R:R=I536))"),"Nandigama (Sc)")</f>
        <v>Nandigama (Sc)</v>
      </c>
      <c r="N536" s="138" t="str">
        <f ca="1">IFERROR(__xludf.DUMMYFUNCTION("unique(filter(W:W,U:U=R536))"),"Vizianagaram")</f>
        <v>Vizianagaram</v>
      </c>
      <c r="O536" s="138" t="s">
        <v>9245</v>
      </c>
      <c r="P536" s="138" t="s">
        <v>9304</v>
      </c>
      <c r="Q536" s="138" t="str">
        <f ca="1">IFERROR(__xludf.DUMMYFUNCTION("filter(I:I,J:J=P536,G:G=O536)"),"Rajam (Sc)")</f>
        <v>Rajam (Sc)</v>
      </c>
      <c r="R536" s="138" t="s">
        <v>9297</v>
      </c>
      <c r="U536" s="138" t="s">
        <v>8861</v>
      </c>
      <c r="V536" s="138" t="s">
        <v>9298</v>
      </c>
      <c r="W536" s="138" t="str">
        <f ca="1">IFERROR(__xludf.DUMMYFUNCTION("filter(H:H,I:I=U536,J:J=V536)"),"NTR")</f>
        <v>NTR</v>
      </c>
    </row>
    <row r="537" spans="7:23">
      <c r="G537" s="138" t="s">
        <v>3442</v>
      </c>
      <c r="H537" s="138" t="s">
        <v>9289</v>
      </c>
      <c r="I537" s="138" t="s">
        <v>8861</v>
      </c>
      <c r="J537" s="138" t="s">
        <v>9305</v>
      </c>
      <c r="K537" s="138" t="str">
        <f ca="1">IFERROR(__xludf.DUMMYFUNCTION("unique(filter(R:R,R:R=I537))"),"Nandigama (Sc)")</f>
        <v>Nandigama (Sc)</v>
      </c>
      <c r="N537" s="138" t="str">
        <f ca="1">IFERROR(__xludf.DUMMYFUNCTION("unique(filter(W:W,U:U=R537))"),"Srikakulam")</f>
        <v>Srikakulam</v>
      </c>
      <c r="O537" s="138" t="s">
        <v>9245</v>
      </c>
      <c r="P537" s="138" t="s">
        <v>9306</v>
      </c>
      <c r="Q537" s="138" t="str">
        <f ca="1">IFERROR(__xludf.DUMMYFUNCTION("filter(I:I,J:J=P537,G:G=O537)"),"Narasannapeta")</f>
        <v>Narasannapeta</v>
      </c>
      <c r="R537" s="138" t="s">
        <v>9266</v>
      </c>
      <c r="U537" s="138" t="s">
        <v>8861</v>
      </c>
      <c r="V537" s="138" t="s">
        <v>9303</v>
      </c>
      <c r="W537" s="138" t="str">
        <f ca="1">IFERROR(__xludf.DUMMYFUNCTION("filter(H:H,I:I=U537,J:J=V537)"),"NTR")</f>
        <v>NTR</v>
      </c>
    </row>
    <row r="538" spans="7:23">
      <c r="G538" s="138" t="s">
        <v>3442</v>
      </c>
      <c r="H538" s="138" t="s">
        <v>9289</v>
      </c>
      <c r="I538" s="138" t="s">
        <v>8861</v>
      </c>
      <c r="J538" s="138" t="s">
        <v>9307</v>
      </c>
      <c r="K538" s="138" t="str">
        <f ca="1">IFERROR(__xludf.DUMMYFUNCTION("unique(filter(R:R,R:R=I538))"),"Nandigama (Sc)")</f>
        <v>Nandigama (Sc)</v>
      </c>
      <c r="N538" s="138" t="str">
        <f ca="1">IFERROR(__xludf.DUMMYFUNCTION("unique(filter(W:W,U:U=R538))"),"Srikakulam")</f>
        <v>Srikakulam</v>
      </c>
      <c r="O538" s="138" t="s">
        <v>9245</v>
      </c>
      <c r="P538" s="138" t="s">
        <v>9308</v>
      </c>
      <c r="Q538" s="138" t="str">
        <f ca="1">IFERROR(__xludf.DUMMYFUNCTION("filter(I:I,J:J=P538,G:G=O538)"),"Amadalavalasa")</f>
        <v>Amadalavalasa</v>
      </c>
      <c r="R538" s="138" t="s">
        <v>9247</v>
      </c>
      <c r="U538" s="138" t="s">
        <v>8861</v>
      </c>
      <c r="V538" s="138" t="s">
        <v>9305</v>
      </c>
      <c r="W538" s="138" t="str">
        <f ca="1">IFERROR(__xludf.DUMMYFUNCTION("filter(H:H,I:I=U538,J:J=V538)"),"NTR")</f>
        <v>NTR</v>
      </c>
    </row>
    <row r="539" spans="7:23">
      <c r="G539" s="138" t="s">
        <v>3442</v>
      </c>
      <c r="H539" s="138" t="s">
        <v>9289</v>
      </c>
      <c r="I539" s="138" t="s">
        <v>8767</v>
      </c>
      <c r="J539" s="138" t="s">
        <v>9309</v>
      </c>
      <c r="K539" s="138" t="str">
        <f ca="1">IFERROR(__xludf.DUMMYFUNCTION("unique(filter(R:R,R:R=I539))"),"Mylavaram")</f>
        <v>Mylavaram</v>
      </c>
      <c r="N539" s="138" t="str">
        <f ca="1">IFERROR(__xludf.DUMMYFUNCTION("unique(filter(W:W,U:U=R539))"),"Parvathipuram Manyam")</f>
        <v>Parvathipuram Manyam</v>
      </c>
      <c r="O539" s="138" t="s">
        <v>9245</v>
      </c>
      <c r="P539" s="138" t="s">
        <v>9310</v>
      </c>
      <c r="Q539" s="138" t="str">
        <f ca="1">IFERROR(__xludf.DUMMYFUNCTION("filter(I:I,J:J=P539,G:G=O539)"),"Palakonda (St)")</f>
        <v>Palakonda (St)</v>
      </c>
      <c r="R539" s="138" t="s">
        <v>9250</v>
      </c>
      <c r="U539" s="138" t="s">
        <v>8861</v>
      </c>
      <c r="V539" s="138" t="s">
        <v>9307</v>
      </c>
      <c r="W539" s="138" t="str">
        <f ca="1">IFERROR(__xludf.DUMMYFUNCTION("filter(H:H,I:I=U539,J:J=V539)"),"NTR")</f>
        <v>NTR</v>
      </c>
    </row>
    <row r="540" spans="7:23">
      <c r="G540" s="138" t="s">
        <v>3442</v>
      </c>
      <c r="H540" s="138" t="s">
        <v>9289</v>
      </c>
      <c r="I540" s="138" t="s">
        <v>8767</v>
      </c>
      <c r="J540" s="138" t="s">
        <v>8767</v>
      </c>
      <c r="K540" s="138" t="str">
        <f ca="1">IFERROR(__xludf.DUMMYFUNCTION("unique(filter(R:R,R:R=I540))"),"Mylavaram")</f>
        <v>Mylavaram</v>
      </c>
      <c r="N540" s="138" t="str">
        <f ca="1">IFERROR(__xludf.DUMMYFUNCTION("unique(filter(W:W,U:U=R540))"),"Srikakulam")</f>
        <v>Srikakulam</v>
      </c>
      <c r="O540" s="138" t="s">
        <v>9245</v>
      </c>
      <c r="P540" s="138" t="s">
        <v>9311</v>
      </c>
      <c r="Q540" s="138" t="str">
        <f ca="1">IFERROR(__xludf.DUMMYFUNCTION("filter(I:I,J:J=P540,G:G=O540)"),"Ichchapuram")</f>
        <v>Ichchapuram</v>
      </c>
      <c r="R540" s="138" t="s">
        <v>9263</v>
      </c>
      <c r="U540" s="138" t="s">
        <v>8767</v>
      </c>
      <c r="V540" s="138" t="s">
        <v>9309</v>
      </c>
      <c r="W540" s="138" t="str">
        <f ca="1">IFERROR(__xludf.DUMMYFUNCTION("filter(H:H,I:I=U540,J:J=V540)"),"NTR")</f>
        <v>NTR</v>
      </c>
    </row>
    <row r="541" spans="7:23">
      <c r="G541" s="138" t="s">
        <v>3442</v>
      </c>
      <c r="H541" s="138" t="s">
        <v>9289</v>
      </c>
      <c r="I541" s="138" t="s">
        <v>8767</v>
      </c>
      <c r="J541" s="138" t="s">
        <v>9312</v>
      </c>
      <c r="K541" s="138" t="str">
        <f ca="1">IFERROR(__xludf.DUMMYFUNCTION("unique(filter(R:R,R:R=I541))"),"Mylavaram")</f>
        <v>Mylavaram</v>
      </c>
      <c r="N541" s="138" t="str">
        <f ca="1">IFERROR(__xludf.DUMMYFUNCTION("unique(filter(W:W,U:U=R541))"),"Srikakulam")</f>
        <v>Srikakulam</v>
      </c>
      <c r="O541" s="138" t="s">
        <v>9245</v>
      </c>
      <c r="P541" s="138" t="s">
        <v>9245</v>
      </c>
      <c r="Q541" s="138" t="str">
        <f ca="1">IFERROR(__xludf.DUMMYFUNCTION("filter(I:I,J:J=P541,G:G=O541)"),"Srikakulam")</f>
        <v>Srikakulam</v>
      </c>
      <c r="R541" s="138" t="s">
        <v>9258</v>
      </c>
      <c r="U541" s="138" t="s">
        <v>8767</v>
      </c>
      <c r="V541" s="138" t="s">
        <v>8767</v>
      </c>
      <c r="W541" s="138" t="str">
        <f ca="1">IFERROR(__xludf.DUMMYFUNCTION("filter(H:H,I:I=U541,J:J=V541)"),"NTR")</f>
        <v>NTR</v>
      </c>
    </row>
    <row r="542" spans="7:23">
      <c r="G542" s="138" t="s">
        <v>3442</v>
      </c>
      <c r="H542" s="138" t="s">
        <v>9289</v>
      </c>
      <c r="I542" s="138" t="s">
        <v>8767</v>
      </c>
      <c r="J542" s="138" t="s">
        <v>9313</v>
      </c>
      <c r="K542" s="138" t="str">
        <f ca="1">IFERROR(__xludf.DUMMYFUNCTION("unique(filter(R:R,R:R=I542))"),"Mylavaram")</f>
        <v>Mylavaram</v>
      </c>
      <c r="N542" s="138" t="str">
        <f ca="1">IFERROR(__xludf.DUMMYFUNCTION("unique(filter(W:W,U:U=R542))"),"Srikakulam")</f>
        <v>Srikakulam</v>
      </c>
      <c r="O542" s="138" t="s">
        <v>9245</v>
      </c>
      <c r="P542" s="138" t="s">
        <v>9314</v>
      </c>
      <c r="Q542" s="138" t="str">
        <f ca="1">IFERROR(__xludf.DUMMYFUNCTION("filter(I:I,J:J=P542,G:G=O542)"),"Tekkali")</f>
        <v>Tekkali</v>
      </c>
      <c r="R542" s="138" t="s">
        <v>9272</v>
      </c>
      <c r="U542" s="138" t="s">
        <v>8767</v>
      </c>
      <c r="V542" s="138" t="s">
        <v>9312</v>
      </c>
      <c r="W542" s="138" t="str">
        <f ca="1">IFERROR(__xludf.DUMMYFUNCTION("filter(H:H,I:I=U542,J:J=V542)"),"NTR")</f>
        <v>NTR</v>
      </c>
    </row>
    <row r="543" spans="7:23">
      <c r="G543" s="138" t="s">
        <v>3442</v>
      </c>
      <c r="H543" s="138" t="s">
        <v>9289</v>
      </c>
      <c r="I543" s="138" t="s">
        <v>8767</v>
      </c>
      <c r="J543" s="138" t="s">
        <v>9315</v>
      </c>
      <c r="K543" s="138" t="str">
        <f ca="1">IFERROR(__xludf.DUMMYFUNCTION("unique(filter(R:R,R:R=I543))"),"Mylavaram")</f>
        <v>Mylavaram</v>
      </c>
      <c r="N543" s="138" t="str">
        <f ca="1">IFERROR(__xludf.DUMMYFUNCTION("unique(filter(W:W,U:U=R543))"),"Srikakulam")</f>
        <v>Srikakulam</v>
      </c>
      <c r="O543" s="138" t="s">
        <v>9245</v>
      </c>
      <c r="P543" s="138" t="s">
        <v>9316</v>
      </c>
      <c r="Q543" s="138" t="str">
        <f ca="1">IFERROR(__xludf.DUMMYFUNCTION("filter(I:I,J:J=P543,G:G=O543)"),"Palasa")</f>
        <v>Palasa</v>
      </c>
      <c r="R543" s="138" t="s">
        <v>9280</v>
      </c>
      <c r="U543" s="138" t="s">
        <v>8767</v>
      </c>
      <c r="V543" s="138" t="s">
        <v>9313</v>
      </c>
      <c r="W543" s="138" t="str">
        <f ca="1">IFERROR(__xludf.DUMMYFUNCTION("filter(H:H,I:I=U543,J:J=V543)"),"NTR")</f>
        <v>NTR</v>
      </c>
    </row>
    <row r="544" spans="7:23">
      <c r="G544" s="138" t="s">
        <v>3442</v>
      </c>
      <c r="H544" s="138" t="s">
        <v>9289</v>
      </c>
      <c r="I544" s="138" t="s">
        <v>8767</v>
      </c>
      <c r="J544" s="138" t="s">
        <v>9317</v>
      </c>
      <c r="K544" s="138" t="str">
        <f ca="1">IFERROR(__xludf.DUMMYFUNCTION("unique(filter(R:R,R:R=I544))"),"Mylavaram")</f>
        <v>Mylavaram</v>
      </c>
      <c r="N544" s="138" t="str">
        <f ca="1">IFERROR(__xludf.DUMMYFUNCTION("unique(filter(W:W,U:U=R544))"),"Vizianagaram")</f>
        <v>Vizianagaram</v>
      </c>
      <c r="O544" s="138" t="s">
        <v>9245</v>
      </c>
      <c r="P544" s="138" t="s">
        <v>9318</v>
      </c>
      <c r="Q544" s="138" t="str">
        <f ca="1">IFERROR(__xludf.DUMMYFUNCTION("filter(I:I,J:J=P544,G:G=O544)"),"Rajam (Sc)")</f>
        <v>Rajam (Sc)</v>
      </c>
      <c r="R544" s="138" t="s">
        <v>9297</v>
      </c>
      <c r="U544" s="138" t="s">
        <v>8767</v>
      </c>
      <c r="V544" s="138" t="s">
        <v>9315</v>
      </c>
      <c r="W544" s="138" t="str">
        <f ca="1">IFERROR(__xludf.DUMMYFUNCTION("filter(H:H,I:I=U544,J:J=V544)"),"NTR")</f>
        <v>NTR</v>
      </c>
    </row>
    <row r="545" spans="7:23">
      <c r="G545" s="138" t="e">
        <v>#N/A</v>
      </c>
      <c r="H545" s="138" t="e">
        <v>#N/A</v>
      </c>
      <c r="I545" s="138" t="s">
        <v>8767</v>
      </c>
      <c r="J545" s="138" t="e">
        <v>#N/A</v>
      </c>
      <c r="K545" s="138" t="str">
        <f ca="1">IFERROR(__xludf.DUMMYFUNCTION("unique(filter(R:R,R:R=I545))"),"Mylavaram")</f>
        <v>Mylavaram</v>
      </c>
      <c r="N545" s="138" t="str">
        <f ca="1">IFERROR(__xludf.DUMMYFUNCTION("unique(filter(W:W,U:U=R545))"),"Parvathipuram Manyam")</f>
        <v>Parvathipuram Manyam</v>
      </c>
      <c r="O545" s="138" t="s">
        <v>9245</v>
      </c>
      <c r="P545" s="138" t="s">
        <v>9319</v>
      </c>
      <c r="Q545" s="138" t="str">
        <f ca="1">IFERROR(__xludf.DUMMYFUNCTION("filter(I:I,J:J=P545,G:G=O545)"),"Palakonda (St)")</f>
        <v>Palakonda (St)</v>
      </c>
      <c r="R545" s="138" t="s">
        <v>9250</v>
      </c>
      <c r="U545" s="138" t="s">
        <v>8767</v>
      </c>
      <c r="V545" s="138" t="s">
        <v>9317</v>
      </c>
      <c r="W545" s="138" t="str">
        <f ca="1">IFERROR(__xludf.DUMMYFUNCTION("filter(H:H,I:I=U545,J:J=V545)"),"NTR")</f>
        <v>NTR</v>
      </c>
    </row>
    <row r="546" spans="7:23">
      <c r="G546" s="138" t="s">
        <v>3442</v>
      </c>
      <c r="H546" s="138" t="s">
        <v>9289</v>
      </c>
      <c r="I546" s="138" t="s">
        <v>8939</v>
      </c>
      <c r="J546" s="138" t="s">
        <v>9320</v>
      </c>
      <c r="K546" s="138" t="str">
        <f ca="1">IFERROR(__xludf.DUMMYFUNCTION("unique(filter(R:R,R:R=I546))"),"Vijayawada East")</f>
        <v>Vijayawada East</v>
      </c>
      <c r="N546" s="138" t="str">
        <f ca="1">IFERROR(__xludf.DUMMYFUNCTION("unique(filter(W:W,U:U=R546))"),"Anakapalli")</f>
        <v>Anakapalli</v>
      </c>
      <c r="O546" s="138" t="s">
        <v>9321</v>
      </c>
      <c r="P546" s="138" t="s">
        <v>9322</v>
      </c>
      <c r="Q546" s="138" t="str">
        <f ca="1">IFERROR(__xludf.DUMMYFUNCTION("filter(I:I,J:J=P546,G:G=O546)"),"#N/A")</f>
        <v>#N/A</v>
      </c>
      <c r="R546" s="138" t="s">
        <v>9323</v>
      </c>
    </row>
    <row r="547" spans="7:23">
      <c r="G547" s="138" t="s">
        <v>3442</v>
      </c>
      <c r="H547" s="138" t="s">
        <v>9289</v>
      </c>
      <c r="I547" s="138" t="s">
        <v>8942</v>
      </c>
      <c r="J547" s="138" t="s">
        <v>9320</v>
      </c>
      <c r="K547" s="138" t="str">
        <f ca="1">IFERROR(__xludf.DUMMYFUNCTION("unique(filter(R:R,R:R=I547))"),"Vijayawada Central")</f>
        <v>Vijayawada Central</v>
      </c>
      <c r="N547" s="138" t="str">
        <f ca="1">IFERROR(__xludf.DUMMYFUNCTION("unique(filter(W:W,U:U=R547))"),"Visakhapatnam")</f>
        <v>Visakhapatnam</v>
      </c>
      <c r="O547" s="138" t="s">
        <v>9321</v>
      </c>
      <c r="P547" s="138" t="s">
        <v>9324</v>
      </c>
      <c r="Q547" s="138" t="str">
        <f ca="1">IFERROR(__xludf.DUMMYFUNCTION("filter(I:I,J:J=P547,G:G=O547)"),"#N/A")</f>
        <v>#N/A</v>
      </c>
      <c r="R547" s="138" t="s">
        <v>9325</v>
      </c>
      <c r="U547" s="138" t="s">
        <v>8939</v>
      </c>
      <c r="V547" s="138" t="s">
        <v>9320</v>
      </c>
      <c r="W547" s="138" t="str">
        <f ca="1">IFERROR(__xludf.DUMMYFUNCTION("filter(H:H,I:I=U547,J:J=V547)"),"NTR")</f>
        <v>NTR</v>
      </c>
    </row>
    <row r="548" spans="7:23">
      <c r="G548" s="138" t="s">
        <v>3442</v>
      </c>
      <c r="H548" s="138" t="s">
        <v>9289</v>
      </c>
      <c r="I548" s="138" t="s">
        <v>9326</v>
      </c>
      <c r="J548" s="138" t="s">
        <v>9320</v>
      </c>
      <c r="K548" s="138" t="str">
        <f ca="1">IFERROR(__xludf.DUMMYFUNCTION("unique(filter(R:R,R:R=I548))"),"#N/A")</f>
        <v>#N/A</v>
      </c>
      <c r="N548" s="138" t="str">
        <f ca="1">IFERROR(__xludf.DUMMYFUNCTION("unique(filter(W:W,U:U=R548))"),"Alluri Sitharama Raju")</f>
        <v>Alluri Sitharama Raju</v>
      </c>
      <c r="O548" s="138" t="s">
        <v>9321</v>
      </c>
      <c r="P548" s="138" t="s">
        <v>9327</v>
      </c>
      <c r="Q548" s="138" t="str">
        <f ca="1">IFERROR(__xludf.DUMMYFUNCTION("filter(I:I,J:J=P548,G:G=O548)"),"#N/A")</f>
        <v>#N/A</v>
      </c>
      <c r="R548" s="138" t="s">
        <v>9328</v>
      </c>
      <c r="U548" s="138" t="s">
        <v>8942</v>
      </c>
      <c r="V548" s="138" t="s">
        <v>9320</v>
      </c>
      <c r="W548" s="138" t="str">
        <f ca="1">IFERROR(__xludf.DUMMYFUNCTION("filter(H:H,I:I=U548,J:J=V548)"),"NTR")</f>
        <v>NTR</v>
      </c>
    </row>
    <row r="549" spans="7:23">
      <c r="G549" s="138" t="s">
        <v>3442</v>
      </c>
      <c r="H549" s="138" t="s">
        <v>3442</v>
      </c>
      <c r="I549" s="138" t="s">
        <v>8888</v>
      </c>
      <c r="J549" s="138" t="s">
        <v>9329</v>
      </c>
      <c r="K549" s="138" t="str">
        <f ca="1">IFERROR(__xludf.DUMMYFUNCTION("unique(filter(R:R,R:R=I549))"),"Penamaluru")</f>
        <v>Penamaluru</v>
      </c>
      <c r="N549" s="138" t="str">
        <f ca="1">IFERROR(__xludf.DUMMYFUNCTION("unique(filter(W:W,U:U=R549))"),"Alluri Sitharama Raju")</f>
        <v>Alluri Sitharama Raju</v>
      </c>
      <c r="O549" s="138" t="s">
        <v>9321</v>
      </c>
      <c r="P549" s="138" t="s">
        <v>9330</v>
      </c>
      <c r="Q549" s="138" t="str">
        <f ca="1">IFERROR(__xludf.DUMMYFUNCTION("filter(I:I,J:J=P549,G:G=O549)"),"#N/A")</f>
        <v>#N/A</v>
      </c>
      <c r="R549" s="138" t="s">
        <v>9328</v>
      </c>
      <c r="U549" s="138" t="s">
        <v>9326</v>
      </c>
      <c r="V549" s="138" t="s">
        <v>9320</v>
      </c>
      <c r="W549" s="138" t="str">
        <f ca="1">IFERROR(__xludf.DUMMYFUNCTION("filter(H:H,I:I=U549,J:J=V549)"),"NTR")</f>
        <v>NTR</v>
      </c>
    </row>
    <row r="550" spans="7:23">
      <c r="G550" s="138" t="s">
        <v>3442</v>
      </c>
      <c r="H550" s="138" t="s">
        <v>3442</v>
      </c>
      <c r="I550" s="138" t="s">
        <v>8888</v>
      </c>
      <c r="J550" s="138" t="s">
        <v>8888</v>
      </c>
      <c r="K550" s="138" t="str">
        <f ca="1">IFERROR(__xludf.DUMMYFUNCTION("unique(filter(R:R,R:R=I550))"),"Penamaluru")</f>
        <v>Penamaluru</v>
      </c>
      <c r="N550" s="138" t="str">
        <f ca="1">IFERROR(__xludf.DUMMYFUNCTION("unique(filter(W:W,U:U=R550))"),"Anakapalli")</f>
        <v>Anakapalli</v>
      </c>
      <c r="O550" s="138" t="s">
        <v>9321</v>
      </c>
      <c r="P550" s="138" t="s">
        <v>8081</v>
      </c>
      <c r="Q550" s="138" t="str">
        <f ca="1">IFERROR(__xludf.DUMMYFUNCTION("filter(I:I,J:J=P550,G:G=O550)"),"#N/A")</f>
        <v>#N/A</v>
      </c>
      <c r="R550" s="138" t="s">
        <v>9331</v>
      </c>
      <c r="U550" s="138" t="s">
        <v>8888</v>
      </c>
      <c r="V550" s="138" t="s">
        <v>9329</v>
      </c>
      <c r="W550" s="138" t="str">
        <f ca="1">IFERROR(__xludf.DUMMYFUNCTION("filter(H:H,I:I=U550,J:J=V550)"),"Krishna")</f>
        <v>Krishna</v>
      </c>
    </row>
    <row r="551" spans="7:23">
      <c r="G551" s="138" t="s">
        <v>3442</v>
      </c>
      <c r="H551" s="138" t="s">
        <v>3442</v>
      </c>
      <c r="I551" s="138" t="s">
        <v>8888</v>
      </c>
      <c r="J551" s="138" t="s">
        <v>9332</v>
      </c>
      <c r="K551" s="138" t="str">
        <f ca="1">IFERROR(__xludf.DUMMYFUNCTION("unique(filter(R:R,R:R=I551))"),"Penamaluru")</f>
        <v>Penamaluru</v>
      </c>
      <c r="N551" s="138" t="str">
        <f ca="1">IFERROR(__xludf.DUMMYFUNCTION("unique(filter(W:W,U:U=R551))"),"Visakhapatnam")</f>
        <v>Visakhapatnam</v>
      </c>
      <c r="O551" s="138" t="s">
        <v>9321</v>
      </c>
      <c r="P551" s="138" t="s">
        <v>9333</v>
      </c>
      <c r="Q551" s="138" t="str">
        <f ca="1">IFERROR(__xludf.DUMMYFUNCTION("filter(I:I,J:J=P551,G:G=O551)"),"#N/A")</f>
        <v>#N/A</v>
      </c>
      <c r="R551" s="138" t="s">
        <v>9325</v>
      </c>
      <c r="U551" s="138" t="s">
        <v>8888</v>
      </c>
      <c r="V551" s="138" t="s">
        <v>8888</v>
      </c>
      <c r="W551" s="138" t="str">
        <f ca="1">IFERROR(__xludf.DUMMYFUNCTION("filter(H:H,I:I=U551,J:J=V551)"),"Krishna")</f>
        <v>Krishna</v>
      </c>
    </row>
    <row r="552" spans="7:23">
      <c r="G552" s="138" t="s">
        <v>3442</v>
      </c>
      <c r="H552" s="138" t="s">
        <v>3442</v>
      </c>
      <c r="I552" s="138" t="s">
        <v>8888</v>
      </c>
      <c r="J552" s="138" t="s">
        <v>9334</v>
      </c>
      <c r="K552" s="138" t="str">
        <f ca="1">IFERROR(__xludf.DUMMYFUNCTION("unique(filter(R:R,R:R=I552))"),"Penamaluru")</f>
        <v>Penamaluru</v>
      </c>
      <c r="N552" s="138" t="str">
        <f ca="1">IFERROR(__xludf.DUMMYFUNCTION("unique(filter(W:W,U:U=R552))"),"Anakapalli")</f>
        <v>Anakapalli</v>
      </c>
      <c r="O552" s="138" t="s">
        <v>9321</v>
      </c>
      <c r="P552" s="138" t="s">
        <v>9335</v>
      </c>
      <c r="Q552" s="138" t="str">
        <f ca="1">IFERROR(__xludf.DUMMYFUNCTION("filter(I:I,J:J=P552,G:G=O552)"),"#N/A")</f>
        <v>#N/A</v>
      </c>
      <c r="R552" s="138" t="s">
        <v>9336</v>
      </c>
      <c r="U552" s="138" t="s">
        <v>8888</v>
      </c>
      <c r="V552" s="138" t="s">
        <v>9332</v>
      </c>
      <c r="W552" s="138" t="str">
        <f ca="1">IFERROR(__xludf.DUMMYFUNCTION("filter(H:H,I:I=U552,J:J=V552)"),"Krishna")</f>
        <v>Krishna</v>
      </c>
    </row>
    <row r="553" spans="7:23">
      <c r="G553" s="138" t="s">
        <v>3442</v>
      </c>
      <c r="H553" s="138" t="s">
        <v>3442</v>
      </c>
      <c r="I553" s="138" t="s">
        <v>8888</v>
      </c>
      <c r="J553" s="138" t="s">
        <v>9337</v>
      </c>
      <c r="K553" s="138" t="str">
        <f ca="1">IFERROR(__xludf.DUMMYFUNCTION("unique(filter(R:R,R:R=I553))"),"Penamaluru")</f>
        <v>Penamaluru</v>
      </c>
      <c r="N553" s="138" t="str">
        <f ca="1">IFERROR(__xludf.DUMMYFUNCTION("unique(filter(W:W,U:U=R553))"),"Anakapalli")</f>
        <v>Anakapalli</v>
      </c>
      <c r="O553" s="138" t="s">
        <v>9321</v>
      </c>
      <c r="P553" s="138" t="s">
        <v>9338</v>
      </c>
      <c r="Q553" s="138" t="str">
        <f ca="1">IFERROR(__xludf.DUMMYFUNCTION("filter(I:I,J:J=P553,G:G=O553)"),"#N/A")</f>
        <v>#N/A</v>
      </c>
      <c r="R553" s="138" t="s">
        <v>9339</v>
      </c>
      <c r="U553" s="138" t="s">
        <v>8888</v>
      </c>
      <c r="V553" s="138" t="s">
        <v>9334</v>
      </c>
      <c r="W553" s="138" t="str">
        <f ca="1">IFERROR(__xludf.DUMMYFUNCTION("filter(H:H,I:I=U553,J:J=V553)"),"Krishna")</f>
        <v>Krishna</v>
      </c>
    </row>
    <row r="554" spans="7:23">
      <c r="G554" s="138" t="e">
        <v>#N/A</v>
      </c>
      <c r="H554" s="138" t="e">
        <v>#N/A</v>
      </c>
      <c r="I554" s="138" t="s">
        <v>8888</v>
      </c>
      <c r="J554" s="138" t="e">
        <v>#N/A</v>
      </c>
      <c r="K554" s="138" t="str">
        <f ca="1">IFERROR(__xludf.DUMMYFUNCTION("unique(filter(R:R,R:R=I554))"),"Penamaluru")</f>
        <v>Penamaluru</v>
      </c>
      <c r="N554" s="138" t="str">
        <f ca="1">IFERROR(__xludf.DUMMYFUNCTION("unique(filter(W:W,U:U=R554))"),"Alluri Sitharama Raju")</f>
        <v>Alluri Sitharama Raju</v>
      </c>
      <c r="O554" s="138" t="s">
        <v>9321</v>
      </c>
      <c r="P554" s="138" t="s">
        <v>9340</v>
      </c>
      <c r="Q554" s="138" t="str">
        <f ca="1">IFERROR(__xludf.DUMMYFUNCTION("filter(I:I,J:J=P554,G:G=O554)"),"#N/A")</f>
        <v>#N/A</v>
      </c>
      <c r="R554" s="138" t="s">
        <v>9341</v>
      </c>
      <c r="U554" s="138" t="s">
        <v>8888</v>
      </c>
      <c r="V554" s="138" t="s">
        <v>9337</v>
      </c>
      <c r="W554" s="138" t="str">
        <f ca="1">IFERROR(__xludf.DUMMYFUNCTION("filter(H:H,I:I=U554,J:J=V554)"),"Krishna")</f>
        <v>Krishna</v>
      </c>
    </row>
    <row r="555" spans="7:23">
      <c r="G555" s="138" t="s">
        <v>3442</v>
      </c>
      <c r="H555" s="138" t="s">
        <v>3442</v>
      </c>
      <c r="I555" s="138" t="s">
        <v>8585</v>
      </c>
      <c r="J555" s="138" t="s">
        <v>9342</v>
      </c>
      <c r="K555" s="138" t="str">
        <f ca="1">IFERROR(__xludf.DUMMYFUNCTION("unique(filter(R:R,R:R=I555))"),"Pamarru (Sc)")</f>
        <v>Pamarru (Sc)</v>
      </c>
      <c r="N555" s="138" t="str">
        <f ca="1">IFERROR(__xludf.DUMMYFUNCTION("unique(filter(W:W,U:U=R555))"),"Anakapalli")</f>
        <v>Anakapalli</v>
      </c>
      <c r="O555" s="138" t="s">
        <v>9321</v>
      </c>
      <c r="P555" s="138" t="s">
        <v>9343</v>
      </c>
      <c r="Q555" s="138" t="str">
        <f ca="1">IFERROR(__xludf.DUMMYFUNCTION("filter(I:I,J:J=P555,G:G=O555)"),"#N/A")</f>
        <v>#N/A</v>
      </c>
      <c r="R555" s="138" t="s">
        <v>9336</v>
      </c>
    </row>
    <row r="556" spans="7:23">
      <c r="G556" s="138" t="s">
        <v>3442</v>
      </c>
      <c r="H556" s="138" t="s">
        <v>3442</v>
      </c>
      <c r="I556" s="138" t="s">
        <v>8585</v>
      </c>
      <c r="J556" s="138" t="s">
        <v>9344</v>
      </c>
      <c r="K556" s="138" t="str">
        <f ca="1">IFERROR(__xludf.DUMMYFUNCTION("unique(filter(R:R,R:R=I556))"),"Pamarru (Sc)")</f>
        <v>Pamarru (Sc)</v>
      </c>
      <c r="N556" s="138" t="str">
        <f ca="1">IFERROR(__xludf.DUMMYFUNCTION("unique(filter(W:W,U:U=R556))"),"Anakapalli")</f>
        <v>Anakapalli</v>
      </c>
      <c r="O556" s="138" t="s">
        <v>9321</v>
      </c>
      <c r="P556" s="138" t="s">
        <v>9345</v>
      </c>
      <c r="Q556" s="138" t="str">
        <f ca="1">IFERROR(__xludf.DUMMYFUNCTION("filter(I:I,J:J=P556,G:G=O556)"),"#N/A")</f>
        <v>#N/A</v>
      </c>
      <c r="R556" s="138" t="s">
        <v>9339</v>
      </c>
      <c r="U556" s="138" t="s">
        <v>8585</v>
      </c>
      <c r="V556" s="138" t="s">
        <v>9342</v>
      </c>
      <c r="W556" s="138" t="str">
        <f ca="1">IFERROR(__xludf.DUMMYFUNCTION("filter(H:H,I:I=U556,J:J=V556)"),"Krishna")</f>
        <v>Krishna</v>
      </c>
    </row>
    <row r="557" spans="7:23">
      <c r="G557" s="138" t="s">
        <v>3442</v>
      </c>
      <c r="H557" s="138" t="s">
        <v>3442</v>
      </c>
      <c r="I557" s="138" t="s">
        <v>8585</v>
      </c>
      <c r="J557" s="138" t="s">
        <v>9346</v>
      </c>
      <c r="K557" s="138" t="str">
        <f ca="1">IFERROR(__xludf.DUMMYFUNCTION("unique(filter(R:R,R:R=I557))"),"Pamarru (Sc)")</f>
        <v>Pamarru (Sc)</v>
      </c>
      <c r="N557" s="138" t="str">
        <f ca="1">IFERROR(__xludf.DUMMYFUNCTION("unique(filter(W:W,U:U=R557))"),"Alluri Sitharama Raju")</f>
        <v>Alluri Sitharama Raju</v>
      </c>
      <c r="O557" s="138" t="s">
        <v>9321</v>
      </c>
      <c r="P557" s="138" t="s">
        <v>9347</v>
      </c>
      <c r="Q557" s="138" t="str">
        <f ca="1">IFERROR(__xludf.DUMMYFUNCTION("filter(I:I,J:J=P557,G:G=O557)"),"#N/A")</f>
        <v>#N/A</v>
      </c>
      <c r="R557" s="138" t="s">
        <v>9328</v>
      </c>
      <c r="U557" s="138" t="s">
        <v>8585</v>
      </c>
      <c r="V557" s="138" t="s">
        <v>9344</v>
      </c>
      <c r="W557" s="138" t="str">
        <f ca="1">IFERROR(__xludf.DUMMYFUNCTION("filter(H:H,I:I=U557,J:J=V557)"),"Krishna")</f>
        <v>Krishna</v>
      </c>
    </row>
    <row r="558" spans="7:23">
      <c r="G558" s="138" t="s">
        <v>3442</v>
      </c>
      <c r="H558" s="138" t="s">
        <v>3442</v>
      </c>
      <c r="I558" s="138" t="s">
        <v>8585</v>
      </c>
      <c r="J558" s="138" t="s">
        <v>9348</v>
      </c>
      <c r="K558" s="138" t="str">
        <f ca="1">IFERROR(__xludf.DUMMYFUNCTION("unique(filter(R:R,R:R=I558))"),"Pamarru (Sc)")</f>
        <v>Pamarru (Sc)</v>
      </c>
      <c r="N558" s="138" t="str">
        <f ca="1">IFERROR(__xludf.DUMMYFUNCTION("unique(filter(W:W,U:U=R558))"),"Alluri Sitharama Raju")</f>
        <v>Alluri Sitharama Raju</v>
      </c>
      <c r="O558" s="138" t="s">
        <v>9321</v>
      </c>
      <c r="P558" s="138" t="s">
        <v>9349</v>
      </c>
      <c r="Q558" s="138" t="str">
        <f ca="1">IFERROR(__xludf.DUMMYFUNCTION("filter(I:I,J:J=P558,G:G=O558)"),"#N/A")</f>
        <v>#N/A</v>
      </c>
      <c r="R558" s="138" t="s">
        <v>9341</v>
      </c>
      <c r="U558" s="138" t="s">
        <v>8585</v>
      </c>
      <c r="V558" s="138" t="s">
        <v>9346</v>
      </c>
      <c r="W558" s="138" t="str">
        <f ca="1">IFERROR(__xludf.DUMMYFUNCTION("filter(H:H,I:I=U558,J:J=V558)"),"Krishna")</f>
        <v>Krishna</v>
      </c>
    </row>
    <row r="559" spans="7:23">
      <c r="G559" s="138" t="s">
        <v>3442</v>
      </c>
      <c r="H559" s="138" t="s">
        <v>3442</v>
      </c>
      <c r="I559" s="138" t="s">
        <v>8585</v>
      </c>
      <c r="J559" s="138" t="s">
        <v>9350</v>
      </c>
      <c r="K559" s="138" t="str">
        <f ca="1">IFERROR(__xludf.DUMMYFUNCTION("unique(filter(R:R,R:R=I559))"),"Pamarru (Sc)")</f>
        <v>Pamarru (Sc)</v>
      </c>
      <c r="N559" s="138" t="str">
        <f ca="1">IFERROR(__xludf.DUMMYFUNCTION("unique(filter(W:W,U:U=R559))"),"Alluri Sitharama Raju")</f>
        <v>Alluri Sitharama Raju</v>
      </c>
      <c r="O559" s="138" t="s">
        <v>9321</v>
      </c>
      <c r="P559" s="138" t="s">
        <v>9351</v>
      </c>
      <c r="Q559" s="138" t="str">
        <f ca="1">IFERROR(__xludf.DUMMYFUNCTION("filter(I:I,J:J=P559,G:G=O559)"),"#N/A")</f>
        <v>#N/A</v>
      </c>
      <c r="R559" s="138" t="s">
        <v>9341</v>
      </c>
      <c r="U559" s="138" t="s">
        <v>8585</v>
      </c>
      <c r="V559" s="138" t="s">
        <v>9348</v>
      </c>
      <c r="W559" s="138" t="str">
        <f ca="1">IFERROR(__xludf.DUMMYFUNCTION("filter(H:H,I:I=U559,J:J=V559)"),"Krishna")</f>
        <v>Krishna</v>
      </c>
    </row>
    <row r="560" spans="7:23">
      <c r="G560" s="138" t="s">
        <v>3442</v>
      </c>
      <c r="H560" s="138" t="s">
        <v>3442</v>
      </c>
      <c r="I560" s="138" t="s">
        <v>8852</v>
      </c>
      <c r="J560" s="138" t="s">
        <v>9352</v>
      </c>
      <c r="K560" s="138" t="str">
        <f ca="1">IFERROR(__xludf.DUMMYFUNCTION("unique(filter(R:R,R:R=I560))"),"Avanigadda")</f>
        <v>Avanigadda</v>
      </c>
      <c r="N560" s="138" t="str">
        <f ca="1">IFERROR(__xludf.DUMMYFUNCTION("unique(filter(W:W,U:U=R560))"),"Visakhapatnam")</f>
        <v>Visakhapatnam</v>
      </c>
      <c r="O560" s="138" t="s">
        <v>9321</v>
      </c>
      <c r="P560" s="138" t="s">
        <v>9353</v>
      </c>
      <c r="Q560" s="138" t="str">
        <f ca="1">IFERROR(__xludf.DUMMYFUNCTION("filter(I:I,J:J=P560,G:G=O560)"),"#N/A")</f>
        <v>#N/A</v>
      </c>
      <c r="R560" s="138" t="s">
        <v>9354</v>
      </c>
      <c r="U560" s="138" t="s">
        <v>8585</v>
      </c>
      <c r="V560" s="138" t="s">
        <v>9350</v>
      </c>
      <c r="W560" s="138" t="str">
        <f ca="1">IFERROR(__xludf.DUMMYFUNCTION("filter(H:H,I:I=U560,J:J=V560)"),"Krishna")</f>
        <v>Krishna</v>
      </c>
    </row>
    <row r="561" spans="7:23">
      <c r="G561" s="138" t="s">
        <v>3442</v>
      </c>
      <c r="H561" s="138" t="s">
        <v>3442</v>
      </c>
      <c r="I561" s="138" t="s">
        <v>8852</v>
      </c>
      <c r="J561" s="138" t="s">
        <v>9355</v>
      </c>
      <c r="K561" s="138" t="str">
        <f ca="1">IFERROR(__xludf.DUMMYFUNCTION("unique(filter(R:R,R:R=I561))"),"Avanigadda")</f>
        <v>Avanigadda</v>
      </c>
      <c r="N561" s="138" t="str">
        <f ca="1">IFERROR(__xludf.DUMMYFUNCTION("unique(filter(W:W,U:U=R561))"),"Anakapalli")</f>
        <v>Anakapalli</v>
      </c>
      <c r="O561" s="138" t="s">
        <v>9321</v>
      </c>
      <c r="P561" s="138" t="s">
        <v>9356</v>
      </c>
      <c r="Q561" s="138" t="str">
        <f ca="1">IFERROR(__xludf.DUMMYFUNCTION("filter(I:I,J:J=P561,G:G=O561)"),"#N/A")</f>
        <v>#N/A</v>
      </c>
      <c r="R561" s="138" t="s">
        <v>9357</v>
      </c>
      <c r="U561" s="138" t="s">
        <v>8852</v>
      </c>
      <c r="V561" s="138" t="s">
        <v>9352</v>
      </c>
      <c r="W561" s="138" t="str">
        <f ca="1">IFERROR(__xludf.DUMMYFUNCTION("filter(H:H,I:I=U561,J:J=V561)"),"Krishna")</f>
        <v>Krishna</v>
      </c>
    </row>
    <row r="562" spans="7:23">
      <c r="G562" s="138" t="s">
        <v>3442</v>
      </c>
      <c r="H562" s="138" t="s">
        <v>3442</v>
      </c>
      <c r="I562" s="138" t="s">
        <v>8852</v>
      </c>
      <c r="J562" s="138" t="s">
        <v>9358</v>
      </c>
      <c r="K562" s="138" t="str">
        <f ca="1">IFERROR(__xludf.DUMMYFUNCTION("unique(filter(R:R,R:R=I562))"),"Avanigadda")</f>
        <v>Avanigadda</v>
      </c>
      <c r="N562" s="138" t="str">
        <f ca="1">IFERROR(__xludf.DUMMYFUNCTION("unique(filter(W:W,U:U=R562))"),"Alluri Sitharama Raju")</f>
        <v>Alluri Sitharama Raju</v>
      </c>
      <c r="O562" s="138" t="s">
        <v>9321</v>
      </c>
      <c r="P562" s="138" t="s">
        <v>9359</v>
      </c>
      <c r="Q562" s="138" t="str">
        <f ca="1">IFERROR(__xludf.DUMMYFUNCTION("filter(I:I,J:J=P562,G:G=O562)"),"#N/A")</f>
        <v>#N/A</v>
      </c>
      <c r="R562" s="138" t="s">
        <v>9328</v>
      </c>
      <c r="U562" s="138" t="s">
        <v>8852</v>
      </c>
      <c r="V562" s="138" t="s">
        <v>9355</v>
      </c>
      <c r="W562" s="138" t="str">
        <f ca="1">IFERROR(__xludf.DUMMYFUNCTION("filter(H:H,I:I=U562,J:J=V562)"),"Krishna")</f>
        <v>Krishna</v>
      </c>
    </row>
    <row r="563" spans="7:23">
      <c r="G563" s="138" t="s">
        <v>3442</v>
      </c>
      <c r="H563" s="138" t="s">
        <v>3442</v>
      </c>
      <c r="I563" s="138" t="s">
        <v>8852</v>
      </c>
      <c r="J563" s="138" t="s">
        <v>8852</v>
      </c>
      <c r="K563" s="138" t="str">
        <f ca="1">IFERROR(__xludf.DUMMYFUNCTION("unique(filter(R:R,R:R=I563))"),"Avanigadda")</f>
        <v>Avanigadda</v>
      </c>
      <c r="N563" s="138" t="str">
        <f ca="1">IFERROR(__xludf.DUMMYFUNCTION("unique(filter(W:W,U:U=R563))"),"Anakapalli")</f>
        <v>Anakapalli</v>
      </c>
      <c r="O563" s="138" t="s">
        <v>9321</v>
      </c>
      <c r="P563" s="138" t="s">
        <v>9360</v>
      </c>
      <c r="Q563" s="138" t="str">
        <f ca="1">IFERROR(__xludf.DUMMYFUNCTION("filter(I:I,J:J=P563,G:G=O563)"),"#N/A")</f>
        <v>#N/A</v>
      </c>
      <c r="R563" s="138" t="s">
        <v>9339</v>
      </c>
      <c r="U563" s="138" t="s">
        <v>8852</v>
      </c>
      <c r="V563" s="138" t="s">
        <v>9358</v>
      </c>
      <c r="W563" s="138" t="str">
        <f ca="1">IFERROR(__xludf.DUMMYFUNCTION("filter(H:H,I:I=U563,J:J=V563)"),"Krishna")</f>
        <v>Krishna</v>
      </c>
    </row>
    <row r="564" spans="7:23">
      <c r="G564" s="138" t="s">
        <v>3442</v>
      </c>
      <c r="H564" s="138" t="s">
        <v>3442</v>
      </c>
      <c r="I564" s="138" t="s">
        <v>8852</v>
      </c>
      <c r="J564" s="138" t="s">
        <v>606</v>
      </c>
      <c r="K564" s="138" t="str">
        <f ca="1">IFERROR(__xludf.DUMMYFUNCTION("unique(filter(R:R,R:R=I564))"),"Avanigadda")</f>
        <v>Avanigadda</v>
      </c>
      <c r="N564" s="138" t="str">
        <f ca="1">IFERROR(__xludf.DUMMYFUNCTION("unique(filter(W:W,U:U=R564))"),"Anakapalli")</f>
        <v>Anakapalli</v>
      </c>
      <c r="O564" s="138" t="s">
        <v>9321</v>
      </c>
      <c r="P564" s="138" t="s">
        <v>9361</v>
      </c>
      <c r="Q564" s="138" t="str">
        <f ca="1">IFERROR(__xludf.DUMMYFUNCTION("filter(I:I,J:J=P564,G:G=O564)"),"#N/A")</f>
        <v>#N/A</v>
      </c>
      <c r="R564" s="138" t="s">
        <v>9323</v>
      </c>
      <c r="U564" s="138" t="s">
        <v>8852</v>
      </c>
      <c r="V564" s="138" t="s">
        <v>8852</v>
      </c>
      <c r="W564" s="138" t="str">
        <f ca="1">IFERROR(__xludf.DUMMYFUNCTION("filter(H:H,I:I=U564,J:J=V564)"),"Krishna")</f>
        <v>Krishna</v>
      </c>
    </row>
    <row r="565" spans="7:23">
      <c r="G565" s="138" t="s">
        <v>3442</v>
      </c>
      <c r="H565" s="138" t="s">
        <v>3442</v>
      </c>
      <c r="I565" s="138" t="s">
        <v>8852</v>
      </c>
      <c r="J565" s="138" t="s">
        <v>9362</v>
      </c>
      <c r="K565" s="138" t="str">
        <f ca="1">IFERROR(__xludf.DUMMYFUNCTION("unique(filter(R:R,R:R=I565))"),"Avanigadda")</f>
        <v>Avanigadda</v>
      </c>
      <c r="N565" s="138" t="str">
        <f ca="1">IFERROR(__xludf.DUMMYFUNCTION("unique(filter(W:W,U:U=R565))"),"Anakapalli")</f>
        <v>Anakapalli</v>
      </c>
      <c r="O565" s="138" t="s">
        <v>9321</v>
      </c>
      <c r="P565" s="138" t="s">
        <v>9363</v>
      </c>
      <c r="Q565" s="138" t="str">
        <f ca="1">IFERROR(__xludf.DUMMYFUNCTION("filter(I:I,J:J=P565,G:G=O565)"),"#N/A")</f>
        <v>#N/A</v>
      </c>
      <c r="R565" s="138" t="s">
        <v>9364</v>
      </c>
      <c r="U565" s="138" t="s">
        <v>8852</v>
      </c>
      <c r="V565" s="138" t="s">
        <v>606</v>
      </c>
      <c r="W565" s="138" t="str">
        <f ca="1">IFERROR(__xludf.DUMMYFUNCTION("filter(H:H,I:I=U565,J:J=V565)"),"Krishna")</f>
        <v>Krishna</v>
      </c>
    </row>
    <row r="566" spans="7:23">
      <c r="G566" s="138" t="e">
        <v>#N/A</v>
      </c>
      <c r="H566" s="138" t="e">
        <v>#N/A</v>
      </c>
      <c r="I566" s="138" t="s">
        <v>8852</v>
      </c>
      <c r="J566" s="138" t="e">
        <v>#N/A</v>
      </c>
      <c r="K566" s="138" t="str">
        <f ca="1">IFERROR(__xludf.DUMMYFUNCTION("unique(filter(R:R,R:R=I566))"),"Avanigadda")</f>
        <v>Avanigadda</v>
      </c>
      <c r="N566" s="138" t="str">
        <f ca="1">IFERROR(__xludf.DUMMYFUNCTION("unique(filter(W:W,U:U=R566))"),"Alluri Sitharama Raju")</f>
        <v>Alluri Sitharama Raju</v>
      </c>
      <c r="O566" s="138" t="s">
        <v>9321</v>
      </c>
      <c r="P566" s="138" t="s">
        <v>9365</v>
      </c>
      <c r="Q566" s="138" t="str">
        <f ca="1">IFERROR(__xludf.DUMMYFUNCTION("filter(I:I,J:J=P566,G:G=O566)"),"#N/A")</f>
        <v>#N/A</v>
      </c>
      <c r="R566" s="138" t="s">
        <v>9341</v>
      </c>
      <c r="U566" s="138" t="s">
        <v>8852</v>
      </c>
      <c r="V566" s="138" t="s">
        <v>9362</v>
      </c>
      <c r="W566" s="138" t="str">
        <f ca="1">IFERROR(__xludf.DUMMYFUNCTION("filter(H:H,I:I=U566,J:J=V566)"),"Krishna")</f>
        <v>Krishna</v>
      </c>
    </row>
    <row r="567" spans="7:23">
      <c r="G567" s="138" t="s">
        <v>3442</v>
      </c>
      <c r="H567" s="138" t="s">
        <v>3442</v>
      </c>
      <c r="I567" s="138" t="s">
        <v>8894</v>
      </c>
      <c r="J567" s="138" t="s">
        <v>8894</v>
      </c>
      <c r="K567" s="138" t="str">
        <f ca="1">IFERROR(__xludf.DUMMYFUNCTION("unique(filter(R:R,R:R=I567))"),"Machilipatnam")</f>
        <v>Machilipatnam</v>
      </c>
      <c r="N567" s="138" t="str">
        <f ca="1">IFERROR(__xludf.DUMMYFUNCTION("unique(filter(W:W,U:U=R567))"),"Anakapalli")</f>
        <v>Anakapalli</v>
      </c>
      <c r="O567" s="138" t="s">
        <v>9321</v>
      </c>
      <c r="P567" s="138" t="s">
        <v>9366</v>
      </c>
      <c r="Q567" s="138" t="str">
        <f ca="1">IFERROR(__xludf.DUMMYFUNCTION("filter(I:I,J:J=P567,G:G=O567)"),"#N/A")</f>
        <v>#N/A</v>
      </c>
      <c r="R567" s="138" t="s">
        <v>9339</v>
      </c>
    </row>
    <row r="568" spans="7:23">
      <c r="G568" s="138" t="s">
        <v>3442</v>
      </c>
      <c r="H568" s="138" t="s">
        <v>3442</v>
      </c>
      <c r="I568" s="138" t="s">
        <v>8894</v>
      </c>
      <c r="J568" s="138" t="s">
        <v>9367</v>
      </c>
      <c r="K568" s="138" t="str">
        <f ca="1">IFERROR(__xludf.DUMMYFUNCTION("unique(filter(R:R,R:R=I568))"),"Machilipatnam")</f>
        <v>Machilipatnam</v>
      </c>
      <c r="N568" s="138" t="str">
        <f ca="1">IFERROR(__xludf.DUMMYFUNCTION("unique(filter(W:W,U:U=R568))"),"Anakapalli")</f>
        <v>Anakapalli</v>
      </c>
      <c r="O568" s="138" t="s">
        <v>9321</v>
      </c>
      <c r="P568" s="138" t="s">
        <v>9368</v>
      </c>
      <c r="Q568" s="138" t="str">
        <f ca="1">IFERROR(__xludf.DUMMYFUNCTION("filter(I:I,J:J=P568,G:G=O568)"),"#N/A")</f>
        <v>#N/A</v>
      </c>
      <c r="R568" s="138" t="s">
        <v>9357</v>
      </c>
      <c r="U568" s="138" t="s">
        <v>8894</v>
      </c>
      <c r="V568" s="138" t="s">
        <v>8894</v>
      </c>
      <c r="W568" s="138" t="str">
        <f ca="1">IFERROR(__xludf.DUMMYFUNCTION("filter(H:H,I:I=U568,J:J=V568)"),"Krishna")</f>
        <v>Krishna</v>
      </c>
    </row>
    <row r="569" spans="7:23">
      <c r="G569" s="138" t="e">
        <v>#N/A</v>
      </c>
      <c r="H569" s="138" t="e">
        <v>#N/A</v>
      </c>
      <c r="I569" s="138" t="s">
        <v>8894</v>
      </c>
      <c r="J569" s="138" t="e">
        <v>#N/A</v>
      </c>
      <c r="K569" s="138" t="str">
        <f ca="1">IFERROR(__xludf.DUMMYFUNCTION("unique(filter(R:R,R:R=I569))"),"Machilipatnam")</f>
        <v>Machilipatnam</v>
      </c>
      <c r="N569" s="138" t="str">
        <f ca="1">IFERROR(__xludf.DUMMYFUNCTION("unique(filter(W:W,U:U=R569))"),"Anakapalli")</f>
        <v>Anakapalli</v>
      </c>
      <c r="O569" s="138" t="s">
        <v>9321</v>
      </c>
      <c r="P569" s="138" t="s">
        <v>9369</v>
      </c>
      <c r="Q569" s="138" t="str">
        <f ca="1">IFERROR(__xludf.DUMMYFUNCTION("filter(I:I,J:J=P569,G:G=O569)"),"#N/A")</f>
        <v>#N/A</v>
      </c>
      <c r="R569" s="138" t="s">
        <v>9331</v>
      </c>
      <c r="U569" s="138" t="s">
        <v>8894</v>
      </c>
      <c r="V569" s="138" t="s">
        <v>9367</v>
      </c>
      <c r="W569" s="138" t="str">
        <f ca="1">IFERROR(__xludf.DUMMYFUNCTION("filter(H:H,I:I=U569,J:J=V569)"),"Krishna")</f>
        <v>Krishna</v>
      </c>
    </row>
    <row r="570" spans="7:23">
      <c r="G570" s="138" t="s">
        <v>3442</v>
      </c>
      <c r="H570" s="138" t="s">
        <v>3442</v>
      </c>
      <c r="I570" s="138" t="s">
        <v>8854</v>
      </c>
      <c r="J570" s="138" t="s">
        <v>9370</v>
      </c>
      <c r="K570" s="138" t="str">
        <f ca="1">IFERROR(__xludf.DUMMYFUNCTION("unique(filter(R:R,R:R=I570))"),"Pedana")</f>
        <v>Pedana</v>
      </c>
      <c r="N570" s="138" t="str">
        <f ca="1">IFERROR(__xludf.DUMMYFUNCTION("unique(filter(W:W,U:U=R570))"),"Alluri Sitharama Raju")</f>
        <v>Alluri Sitharama Raju</v>
      </c>
      <c r="O570" s="138" t="s">
        <v>9321</v>
      </c>
      <c r="P570" s="138" t="s">
        <v>9371</v>
      </c>
      <c r="Q570" s="138" t="str">
        <f ca="1">IFERROR(__xludf.DUMMYFUNCTION("filter(I:I,J:J=P570,G:G=O570)"),"#N/A")</f>
        <v>#N/A</v>
      </c>
      <c r="R570" s="138" t="s">
        <v>9328</v>
      </c>
    </row>
    <row r="571" spans="7:23">
      <c r="G571" s="138" t="s">
        <v>3442</v>
      </c>
      <c r="H571" s="138" t="s">
        <v>3442</v>
      </c>
      <c r="I571" s="138" t="s">
        <v>8854</v>
      </c>
      <c r="J571" s="138" t="s">
        <v>8854</v>
      </c>
      <c r="K571" s="138" t="str">
        <f ca="1">IFERROR(__xludf.DUMMYFUNCTION("unique(filter(R:R,R:R=I571))"),"Pedana")</f>
        <v>Pedana</v>
      </c>
      <c r="N571" s="138" t="str">
        <f ca="1">IFERROR(__xludf.DUMMYFUNCTION("unique(filter(W:W,U:U=R571))"),"Anakapalli")</f>
        <v>Anakapalli</v>
      </c>
      <c r="O571" s="138" t="s">
        <v>9321</v>
      </c>
      <c r="P571" s="138" t="s">
        <v>9372</v>
      </c>
      <c r="Q571" s="138" t="str">
        <f ca="1">IFERROR(__xludf.DUMMYFUNCTION("filter(I:I,J:J=P571,G:G=O571)"),"#N/A")</f>
        <v>#N/A</v>
      </c>
      <c r="R571" s="138" t="s">
        <v>9364</v>
      </c>
      <c r="U571" s="138" t="s">
        <v>8854</v>
      </c>
      <c r="V571" s="138" t="s">
        <v>9370</v>
      </c>
      <c r="W571" s="138" t="str">
        <f ca="1">IFERROR(__xludf.DUMMYFUNCTION("filter(H:H,I:I=U571,J:J=V571)"),"Krishna")</f>
        <v>Krishna</v>
      </c>
    </row>
    <row r="572" spans="7:23">
      <c r="G572" s="138" t="s">
        <v>3442</v>
      </c>
      <c r="H572" s="138" t="s">
        <v>3442</v>
      </c>
      <c r="I572" s="138" t="s">
        <v>8854</v>
      </c>
      <c r="J572" s="138" t="s">
        <v>9291</v>
      </c>
      <c r="K572" s="138" t="str">
        <f ca="1">IFERROR(__xludf.DUMMYFUNCTION("unique(filter(R:R,R:R=I572))"),"Pedana")</f>
        <v>Pedana</v>
      </c>
      <c r="N572" s="138" t="str">
        <f ca="1">IFERROR(__xludf.DUMMYFUNCTION("unique(filter(W:W,U:U=R572))"),"Anakapalli")</f>
        <v>Anakapalli</v>
      </c>
      <c r="O572" s="138" t="s">
        <v>9321</v>
      </c>
      <c r="P572" s="138" t="s">
        <v>9373</v>
      </c>
      <c r="Q572" s="138" t="str">
        <f ca="1">IFERROR(__xludf.DUMMYFUNCTION("filter(I:I,J:J=P572,G:G=O572)"),"#N/A")</f>
        <v>#N/A</v>
      </c>
      <c r="R572" s="138" t="s">
        <v>9357</v>
      </c>
      <c r="U572" s="138" t="s">
        <v>8854</v>
      </c>
      <c r="V572" s="138" t="s">
        <v>8854</v>
      </c>
      <c r="W572" s="138" t="str">
        <f ca="1">IFERROR(__xludf.DUMMYFUNCTION("filter(H:H,I:I=U572,J:J=V572)"),"Krishna")</f>
        <v>Krishna</v>
      </c>
    </row>
    <row r="573" spans="7:23">
      <c r="G573" s="138" t="s">
        <v>3442</v>
      </c>
      <c r="H573" s="138" t="s">
        <v>3442</v>
      </c>
      <c r="I573" s="138" t="s">
        <v>8854</v>
      </c>
      <c r="J573" s="138" t="s">
        <v>9374</v>
      </c>
      <c r="K573" s="138" t="str">
        <f ca="1">IFERROR(__xludf.DUMMYFUNCTION("unique(filter(R:R,R:R=I573))"),"Pedana")</f>
        <v>Pedana</v>
      </c>
      <c r="N573" s="138" t="str">
        <f ca="1">IFERROR(__xludf.DUMMYFUNCTION("unique(filter(W:W,U:U=R573))"),"Anakapalli")</f>
        <v>Anakapalli</v>
      </c>
      <c r="O573" s="138" t="s">
        <v>9321</v>
      </c>
      <c r="P573" s="138" t="s">
        <v>9375</v>
      </c>
      <c r="Q573" s="138" t="str">
        <f ca="1">IFERROR(__xludf.DUMMYFUNCTION("filter(I:I,J:J=P573,G:G=O573)"),"#N/A")</f>
        <v>#N/A</v>
      </c>
      <c r="R573" s="138" t="s">
        <v>9357</v>
      </c>
      <c r="U573" s="138" t="s">
        <v>8854</v>
      </c>
      <c r="V573" s="138" t="s">
        <v>9291</v>
      </c>
      <c r="W573" s="138" t="str">
        <f ca="1">IFERROR(__xludf.DUMMYFUNCTION("filter(H:H,I:I=U573,J:J=V573)"),"Krishna")</f>
        <v>Krishna</v>
      </c>
    </row>
    <row r="574" spans="7:23">
      <c r="G574" s="138" t="s">
        <v>3442</v>
      </c>
      <c r="H574" s="138" t="s">
        <v>3442</v>
      </c>
      <c r="I574" s="138" t="s">
        <v>8854</v>
      </c>
      <c r="J574" s="138" t="s">
        <v>9376</v>
      </c>
      <c r="K574" s="138" t="str">
        <f ca="1">IFERROR(__xludf.DUMMYFUNCTION("unique(filter(R:R,R:R=I574))"),"Pedana")</f>
        <v>Pedana</v>
      </c>
      <c r="N574" s="138" t="str">
        <f ca="1">IFERROR(__xludf.DUMMYFUNCTION("unique(filter(W:W,U:U=R574))"),"Alluri Sitharama Raju")</f>
        <v>Alluri Sitharama Raju</v>
      </c>
      <c r="O574" s="138" t="s">
        <v>9321</v>
      </c>
      <c r="P574" s="138" t="s">
        <v>9377</v>
      </c>
      <c r="Q574" s="138" t="str">
        <f ca="1">IFERROR(__xludf.DUMMYFUNCTION("filter(I:I,J:J=P574,G:G=O574)"),"#N/A")</f>
        <v>#N/A</v>
      </c>
      <c r="R574" s="138" t="s">
        <v>9341</v>
      </c>
      <c r="U574" s="138" t="s">
        <v>8854</v>
      </c>
      <c r="V574" s="138" t="s">
        <v>9374</v>
      </c>
      <c r="W574" s="138" t="str">
        <f ca="1">IFERROR(__xludf.DUMMYFUNCTION("filter(H:H,I:I=U574,J:J=V574)"),"Krishna")</f>
        <v>Krishna</v>
      </c>
    </row>
    <row r="575" spans="7:23">
      <c r="G575" s="138" t="s">
        <v>3442</v>
      </c>
      <c r="H575" s="138" t="s">
        <v>9378</v>
      </c>
      <c r="I575" s="138" t="s">
        <v>8880</v>
      </c>
      <c r="J575" s="138" t="s">
        <v>9379</v>
      </c>
      <c r="K575" s="138" t="str">
        <f ca="1">IFERROR(__xludf.DUMMYFUNCTION("unique(filter(R:R,R:R=I575))"),"Kaikalur")</f>
        <v>Kaikalur</v>
      </c>
      <c r="N575" s="138" t="str">
        <f ca="1">IFERROR(__xludf.DUMMYFUNCTION("unique(filter(W:W,U:U=R575))"),"Visakhapatnam")</f>
        <v>Visakhapatnam</v>
      </c>
      <c r="O575" s="138" t="s">
        <v>9321</v>
      </c>
      <c r="P575" s="138" t="s">
        <v>9380</v>
      </c>
      <c r="Q575" s="138" t="str">
        <f ca="1">IFERROR(__xludf.DUMMYFUNCTION("filter(I:I,J:J=P575,G:G=O575)"),"#N/A")</f>
        <v>#N/A</v>
      </c>
      <c r="R575" s="138" t="s">
        <v>9325</v>
      </c>
      <c r="U575" s="138" t="s">
        <v>8854</v>
      </c>
      <c r="V575" s="138" t="s">
        <v>9376</v>
      </c>
      <c r="W575" s="138" t="str">
        <f ca="1">IFERROR(__xludf.DUMMYFUNCTION("filter(H:H,I:I=U575,J:J=V575)"),"Krishna")</f>
        <v>Krishna</v>
      </c>
    </row>
    <row r="576" spans="7:23">
      <c r="G576" s="138" t="s">
        <v>3442</v>
      </c>
      <c r="H576" s="138" t="s">
        <v>9378</v>
      </c>
      <c r="I576" s="138" t="s">
        <v>8880</v>
      </c>
      <c r="J576" s="138" t="s">
        <v>9381</v>
      </c>
      <c r="K576" s="138" t="str">
        <f ca="1">IFERROR(__xludf.DUMMYFUNCTION("unique(filter(R:R,R:R=I576))"),"Kaikalur")</f>
        <v>Kaikalur</v>
      </c>
      <c r="N576" s="138" t="str">
        <f ca="1">IFERROR(__xludf.DUMMYFUNCTION("unique(filter(W:W,U:U=R576))"),"Anakapalli")</f>
        <v>Anakapalli</v>
      </c>
      <c r="O576" s="138" t="s">
        <v>9321</v>
      </c>
      <c r="P576" s="138" t="s">
        <v>9382</v>
      </c>
      <c r="Q576" s="138" t="str">
        <f ca="1">IFERROR(__xludf.DUMMYFUNCTION("filter(I:I,J:J=P576,G:G=O576)"),"#N/A")</f>
        <v>#N/A</v>
      </c>
      <c r="R576" s="138" t="s">
        <v>9383</v>
      </c>
      <c r="U576" s="138" t="s">
        <v>8880</v>
      </c>
      <c r="V576" s="138" t="s">
        <v>9379</v>
      </c>
      <c r="W576" s="138" t="str">
        <f ca="1">IFERROR(__xludf.DUMMYFUNCTION("filter(H:H,I:I=U576,J:J=V576)"),"Eluru")</f>
        <v>Eluru</v>
      </c>
    </row>
    <row r="577" spans="7:23">
      <c r="G577" s="138" t="s">
        <v>3442</v>
      </c>
      <c r="H577" s="138" t="s">
        <v>9378</v>
      </c>
      <c r="I577" s="138" t="s">
        <v>8880</v>
      </c>
      <c r="J577" s="138" t="s">
        <v>8880</v>
      </c>
      <c r="K577" s="138" t="str">
        <f ca="1">IFERROR(__xludf.DUMMYFUNCTION("unique(filter(R:R,R:R=I577))"),"Kaikalur")</f>
        <v>Kaikalur</v>
      </c>
      <c r="N577" s="138" t="str">
        <f ca="1">IFERROR(__xludf.DUMMYFUNCTION("unique(filter(W:W,U:U=R577))"),"Anakapalli")</f>
        <v>Anakapalli</v>
      </c>
      <c r="O577" s="138" t="s">
        <v>9321</v>
      </c>
      <c r="P577" s="138" t="s">
        <v>9384</v>
      </c>
      <c r="Q577" s="138" t="str">
        <f ca="1">IFERROR(__xludf.DUMMYFUNCTION("filter(I:I,J:J=P577,G:G=O577)"),"#N/A")</f>
        <v>#N/A</v>
      </c>
      <c r="R577" s="138" t="s">
        <v>9364</v>
      </c>
      <c r="U577" s="138" t="s">
        <v>8880</v>
      </c>
      <c r="V577" s="138" t="s">
        <v>9381</v>
      </c>
      <c r="W577" s="138" t="str">
        <f ca="1">IFERROR(__xludf.DUMMYFUNCTION("filter(H:H,I:I=U577,J:J=V577)"),"Eluru")</f>
        <v>Eluru</v>
      </c>
    </row>
    <row r="578" spans="7:23">
      <c r="G578" s="138" t="s">
        <v>3442</v>
      </c>
      <c r="H578" s="138" t="s">
        <v>9378</v>
      </c>
      <c r="I578" s="138" t="s">
        <v>8880</v>
      </c>
      <c r="J578" s="138" t="s">
        <v>9385</v>
      </c>
      <c r="K578" s="138" t="str">
        <f ca="1">IFERROR(__xludf.DUMMYFUNCTION("unique(filter(R:R,R:R=I578))"),"Kaikalur")</f>
        <v>Kaikalur</v>
      </c>
      <c r="N578" s="138" t="str">
        <f ca="1">IFERROR(__xludf.DUMMYFUNCTION("unique(filter(W:W,U:U=R578))"),"Alluri Sitharama Raju")</f>
        <v>Alluri Sitharama Raju</v>
      </c>
      <c r="O578" s="138" t="s">
        <v>9321</v>
      </c>
      <c r="P578" s="138" t="s">
        <v>9386</v>
      </c>
      <c r="Q578" s="138" t="str">
        <f ca="1">IFERROR(__xludf.DUMMYFUNCTION("filter(I:I,J:J=P578,G:G=O578)"),"#N/A")</f>
        <v>#N/A</v>
      </c>
      <c r="R578" s="138" t="s">
        <v>9328</v>
      </c>
      <c r="U578" s="138" t="s">
        <v>8880</v>
      </c>
      <c r="V578" s="138" t="s">
        <v>8880</v>
      </c>
      <c r="W578" s="138" t="str">
        <f ca="1">IFERROR(__xludf.DUMMYFUNCTION("filter(H:H,I:I=U578,J:J=V578)"),"Eluru")</f>
        <v>Eluru</v>
      </c>
    </row>
    <row r="579" spans="7:23">
      <c r="G579" s="138" t="e">
        <v>#N/A</v>
      </c>
      <c r="H579" s="138" t="e">
        <v>#N/A</v>
      </c>
      <c r="I579" s="138" t="s">
        <v>8880</v>
      </c>
      <c r="J579" s="138" t="e">
        <v>#N/A</v>
      </c>
      <c r="K579" s="138" t="str">
        <f ca="1">IFERROR(__xludf.DUMMYFUNCTION("unique(filter(R:R,R:R=I579))"),"Kaikalur")</f>
        <v>Kaikalur</v>
      </c>
      <c r="N579" s="138" t="str">
        <f ca="1">IFERROR(__xludf.DUMMYFUNCTION("unique(filter(W:W,U:U=R579))"),"Visakhapatnam")</f>
        <v>Visakhapatnam</v>
      </c>
      <c r="O579" s="138" t="s">
        <v>9321</v>
      </c>
      <c r="P579" s="138" t="s">
        <v>9387</v>
      </c>
      <c r="Q579" s="138" t="str">
        <f ca="1">IFERROR(__xludf.DUMMYFUNCTION("filter(I:I,J:J=P579,G:G=O579)"),"#N/A")</f>
        <v>#N/A</v>
      </c>
      <c r="R579" s="138" t="s">
        <v>9354</v>
      </c>
      <c r="U579" s="138" t="s">
        <v>8880</v>
      </c>
      <c r="V579" s="138" t="s">
        <v>9385</v>
      </c>
      <c r="W579" s="138" t="str">
        <f ca="1">IFERROR(__xludf.DUMMYFUNCTION("filter(H:H,I:I=U579,J:J=V579)"),"Eluru")</f>
        <v>Eluru</v>
      </c>
    </row>
    <row r="580" spans="7:23">
      <c r="G580" s="138" t="s">
        <v>3442</v>
      </c>
      <c r="H580" s="138" t="s">
        <v>3442</v>
      </c>
      <c r="I580" s="138" t="s">
        <v>8856</v>
      </c>
      <c r="J580" s="138" t="s">
        <v>9317</v>
      </c>
      <c r="K580" s="138" t="str">
        <f ca="1">IFERROR(__xludf.DUMMYFUNCTION("unique(filter(R:R,R:R=I580))"),"Gannavaram")</f>
        <v>Gannavaram</v>
      </c>
      <c r="N580" s="138" t="str">
        <f ca="1">IFERROR(__xludf.DUMMYFUNCTION("unique(filter(W:W,U:U=R580))"),"Anakapalli")</f>
        <v>Anakapalli</v>
      </c>
      <c r="O580" s="138" t="s">
        <v>9321</v>
      </c>
      <c r="P580" s="138" t="s">
        <v>9388</v>
      </c>
      <c r="Q580" s="138" t="str">
        <f ca="1">IFERROR(__xludf.DUMMYFUNCTION("filter(I:I,J:J=P580,G:G=O580)"),"#N/A")</f>
        <v>#N/A</v>
      </c>
      <c r="R580" s="138" t="s">
        <v>9383</v>
      </c>
    </row>
    <row r="581" spans="7:23">
      <c r="G581" s="138" t="s">
        <v>3442</v>
      </c>
      <c r="H581" s="138" t="s">
        <v>3442</v>
      </c>
      <c r="I581" s="138" t="s">
        <v>8856</v>
      </c>
      <c r="J581" s="138" t="s">
        <v>8856</v>
      </c>
      <c r="K581" s="138" t="str">
        <f ca="1">IFERROR(__xludf.DUMMYFUNCTION("unique(filter(R:R,R:R=I581))"),"Gannavaram")</f>
        <v>Gannavaram</v>
      </c>
      <c r="N581" s="138" t="str">
        <f ca="1">IFERROR(__xludf.DUMMYFUNCTION("unique(filter(W:W,U:U=R581))"),"Anakapalli")</f>
        <v>Anakapalli</v>
      </c>
      <c r="O581" s="138" t="s">
        <v>9321</v>
      </c>
      <c r="P581" s="138" t="s">
        <v>9389</v>
      </c>
      <c r="Q581" s="138" t="str">
        <f ca="1">IFERROR(__xludf.DUMMYFUNCTION("filter(I:I,J:J=P581,G:G=O581)"),"#N/A")</f>
        <v>#N/A</v>
      </c>
      <c r="R581" s="138" t="s">
        <v>9331</v>
      </c>
      <c r="U581" s="138" t="s">
        <v>8856</v>
      </c>
      <c r="V581" s="138" t="s">
        <v>9317</v>
      </c>
      <c r="W581" s="138" t="str">
        <f ca="1">IFERROR(__xludf.DUMMYFUNCTION("filter(H:H,I:I=U581,J:J=V581)"),"Krishna")</f>
        <v>Krishna</v>
      </c>
    </row>
    <row r="582" spans="7:23">
      <c r="G582" s="138" t="s">
        <v>3442</v>
      </c>
      <c r="H582" s="138" t="s">
        <v>3442</v>
      </c>
      <c r="I582" s="138" t="s">
        <v>8856</v>
      </c>
      <c r="J582" s="138" t="s">
        <v>9390</v>
      </c>
      <c r="K582" s="138" t="str">
        <f ca="1">IFERROR(__xludf.DUMMYFUNCTION("unique(filter(R:R,R:R=I582))"),"Gannavaram")</f>
        <v>Gannavaram</v>
      </c>
      <c r="N582" s="138" t="str">
        <f ca="1">IFERROR(__xludf.DUMMYFUNCTION("unique(filter(W:W,U:U=R582))"),"Anakapalli")</f>
        <v>Anakapalli</v>
      </c>
      <c r="O582" s="138" t="s">
        <v>9321</v>
      </c>
      <c r="P582" s="138" t="s">
        <v>9391</v>
      </c>
      <c r="Q582" s="138" t="str">
        <f ca="1">IFERROR(__xludf.DUMMYFUNCTION("filter(I:I,J:J=P582,G:G=O582)"),"#N/A")</f>
        <v>#N/A</v>
      </c>
      <c r="R582" s="138" t="s">
        <v>9336</v>
      </c>
      <c r="U582" s="138" t="s">
        <v>8856</v>
      </c>
      <c r="V582" s="138" t="s">
        <v>8856</v>
      </c>
      <c r="W582" s="138" t="str">
        <f ca="1">IFERROR(__xludf.DUMMYFUNCTION("filter(H:H,I:I=U582,J:J=V582)"),"Krishna")</f>
        <v>Krishna</v>
      </c>
    </row>
    <row r="583" spans="7:23">
      <c r="G583" s="138" t="s">
        <v>3442</v>
      </c>
      <c r="H583" s="138" t="s">
        <v>3442</v>
      </c>
      <c r="I583" s="138" t="s">
        <v>8856</v>
      </c>
      <c r="J583" s="138" t="s">
        <v>9392</v>
      </c>
      <c r="K583" s="138" t="str">
        <f ca="1">IFERROR(__xludf.DUMMYFUNCTION("unique(filter(R:R,R:R=I583))"),"Gannavaram")</f>
        <v>Gannavaram</v>
      </c>
      <c r="N583" s="138" t="str">
        <f ca="1">IFERROR(__xludf.DUMMYFUNCTION("unique(filter(W:W,U:U=R583))"),"Anakapalli")</f>
        <v>Anakapalli</v>
      </c>
      <c r="O583" s="138" t="s">
        <v>9321</v>
      </c>
      <c r="P583" s="138" t="s">
        <v>9393</v>
      </c>
      <c r="Q583" s="138" t="str">
        <f ca="1">IFERROR(__xludf.DUMMYFUNCTION("filter(I:I,J:J=P583,G:G=O583)"),"#N/A")</f>
        <v>#N/A</v>
      </c>
      <c r="R583" s="138" t="s">
        <v>9336</v>
      </c>
      <c r="U583" s="138" t="s">
        <v>8856</v>
      </c>
      <c r="V583" s="138" t="s">
        <v>9390</v>
      </c>
      <c r="W583" s="138" t="str">
        <f ca="1">IFERROR(__xludf.DUMMYFUNCTION("filter(H:H,I:I=U583,J:J=V583)"),"Krishna")</f>
        <v>Krishna</v>
      </c>
    </row>
    <row r="584" spans="7:23">
      <c r="G584" s="138" t="e">
        <v>#N/A</v>
      </c>
      <c r="H584" s="138" t="e">
        <v>#N/A</v>
      </c>
      <c r="I584" s="138" t="s">
        <v>8856</v>
      </c>
      <c r="J584" s="138" t="e">
        <v>#N/A</v>
      </c>
      <c r="K584" s="138" t="str">
        <f ca="1">IFERROR(__xludf.DUMMYFUNCTION("unique(filter(R:R,R:R=I584))"),"Gannavaram")</f>
        <v>Gannavaram</v>
      </c>
      <c r="N584" s="138" t="str">
        <f ca="1">IFERROR(__xludf.DUMMYFUNCTION("unique(filter(W:W,U:U=R584))"),"Anakapalli")</f>
        <v>Anakapalli</v>
      </c>
      <c r="O584" s="138" t="s">
        <v>9321</v>
      </c>
      <c r="P584" s="138" t="s">
        <v>9394</v>
      </c>
      <c r="Q584" s="138" t="str">
        <f ca="1">IFERROR(__xludf.DUMMYFUNCTION("filter(I:I,J:J=P584,G:G=O584)"),"#N/A")</f>
        <v>#N/A</v>
      </c>
      <c r="R584" s="138" t="s">
        <v>9364</v>
      </c>
      <c r="U584" s="138" t="s">
        <v>8856</v>
      </c>
      <c r="V584" s="138" t="s">
        <v>9392</v>
      </c>
      <c r="W584" s="138" t="str">
        <f ca="1">IFERROR(__xludf.DUMMYFUNCTION("filter(H:H,I:I=U584,J:J=V584)"),"Krishna")</f>
        <v>Krishna</v>
      </c>
    </row>
    <row r="585" spans="7:23">
      <c r="G585" s="138" t="s">
        <v>3442</v>
      </c>
      <c r="H585" s="138" t="s">
        <v>9378</v>
      </c>
      <c r="I585" s="138" t="s">
        <v>8850</v>
      </c>
      <c r="J585" s="138" t="s">
        <v>9395</v>
      </c>
      <c r="K585" s="138" t="str">
        <f ca="1">IFERROR(__xludf.DUMMYFUNCTION("unique(filter(R:R,R:R=I585))"),"Nuzvid")</f>
        <v>Nuzvid</v>
      </c>
      <c r="N585" s="138" t="str">
        <f ca="1">IFERROR(__xludf.DUMMYFUNCTION("unique(filter(W:W,U:U=R585))"),"Anakapalli")</f>
        <v>Anakapalli</v>
      </c>
      <c r="O585" s="138" t="s">
        <v>9321</v>
      </c>
      <c r="P585" s="138" t="s">
        <v>9396</v>
      </c>
      <c r="Q585" s="138" t="str">
        <f ca="1">IFERROR(__xludf.DUMMYFUNCTION("filter(I:I,J:J=P585,G:G=O585)"),"#N/A")</f>
        <v>#N/A</v>
      </c>
      <c r="R585" s="138" t="s">
        <v>9383</v>
      </c>
    </row>
    <row r="586" spans="7:23">
      <c r="G586" s="138" t="s">
        <v>3442</v>
      </c>
      <c r="H586" s="138" t="s">
        <v>9378</v>
      </c>
      <c r="I586" s="138" t="s">
        <v>8850</v>
      </c>
      <c r="J586" s="138" t="s">
        <v>9397</v>
      </c>
      <c r="K586" s="138" t="str">
        <f ca="1">IFERROR(__xludf.DUMMYFUNCTION("unique(filter(R:R,R:R=I586))"),"Nuzvid")</f>
        <v>Nuzvid</v>
      </c>
      <c r="N586" s="138" t="str">
        <f ca="1">IFERROR(__xludf.DUMMYFUNCTION("unique(filter(W:W,U:U=R586))"),"Visakhapatnam")</f>
        <v>Visakhapatnam</v>
      </c>
      <c r="O586" s="138" t="s">
        <v>9321</v>
      </c>
      <c r="P586" s="138" t="s">
        <v>9398</v>
      </c>
      <c r="Q586" s="138" t="str">
        <f ca="1">IFERROR(__xludf.DUMMYFUNCTION("filter(I:I,J:J=P586,G:G=O586)"),"#N/A")</f>
        <v>#N/A</v>
      </c>
      <c r="R586" s="138" t="s">
        <v>9399</v>
      </c>
      <c r="U586" s="138" t="s">
        <v>8850</v>
      </c>
      <c r="V586" s="138" t="s">
        <v>9395</v>
      </c>
      <c r="W586" s="138" t="str">
        <f ca="1">IFERROR(__xludf.DUMMYFUNCTION("filter(H:H,I:I=U586,J:J=V586)"),"Eluru")</f>
        <v>Eluru</v>
      </c>
    </row>
    <row r="587" spans="7:23">
      <c r="G587" s="138" t="s">
        <v>3442</v>
      </c>
      <c r="H587" s="138" t="s">
        <v>9378</v>
      </c>
      <c r="I587" s="138" t="s">
        <v>8850</v>
      </c>
      <c r="J587" s="138" t="s">
        <v>8850</v>
      </c>
      <c r="K587" s="138" t="str">
        <f ca="1">IFERROR(__xludf.DUMMYFUNCTION("unique(filter(R:R,R:R=I587))"),"Nuzvid")</f>
        <v>Nuzvid</v>
      </c>
      <c r="N587" s="138" t="str">
        <f ca="1">IFERROR(__xludf.DUMMYFUNCTION("unique(filter(W:W,U:U=R587))"),"Visakhapatnam")</f>
        <v>Visakhapatnam</v>
      </c>
      <c r="O587" s="138" t="s">
        <v>9321</v>
      </c>
      <c r="P587" s="138" t="s">
        <v>9400</v>
      </c>
      <c r="Q587" s="138" t="str">
        <f ca="1">IFERROR(__xludf.DUMMYFUNCTION("filter(I:I,J:J=P587,G:G=O587)"),"#N/A")</f>
        <v>#N/A</v>
      </c>
      <c r="R587" s="138" t="s">
        <v>9401</v>
      </c>
      <c r="U587" s="138" t="s">
        <v>8850</v>
      </c>
      <c r="V587" s="138" t="s">
        <v>9397</v>
      </c>
      <c r="W587" s="138" t="str">
        <f ca="1">IFERROR(__xludf.DUMMYFUNCTION("filter(H:H,I:I=U587,J:J=V587)"),"Eluru")</f>
        <v>Eluru</v>
      </c>
    </row>
    <row r="588" spans="7:23">
      <c r="G588" s="138" t="s">
        <v>3442</v>
      </c>
      <c r="H588" s="138" t="s">
        <v>9378</v>
      </c>
      <c r="I588" s="138" t="s">
        <v>8850</v>
      </c>
      <c r="J588" s="138" t="s">
        <v>9402</v>
      </c>
      <c r="K588" s="138" t="str">
        <f ca="1">IFERROR(__xludf.DUMMYFUNCTION("unique(filter(R:R,R:R=I588))"),"Nuzvid")</f>
        <v>Nuzvid</v>
      </c>
      <c r="N588" s="138" t="str">
        <f ca="1">IFERROR(__xludf.DUMMYFUNCTION("unique(filter(W:W,U:U=R588))"),"Anakapalli")</f>
        <v>Anakapalli</v>
      </c>
      <c r="O588" s="138" t="s">
        <v>9321</v>
      </c>
      <c r="P588" s="138" t="s">
        <v>9403</v>
      </c>
      <c r="Q588" s="138" t="str">
        <f ca="1">IFERROR(__xludf.DUMMYFUNCTION("filter(I:I,J:J=P588,G:G=O588)"),"#N/A")</f>
        <v>#N/A</v>
      </c>
      <c r="R588" s="138" t="s">
        <v>9331</v>
      </c>
      <c r="U588" s="138" t="s">
        <v>8850</v>
      </c>
      <c r="V588" s="138" t="s">
        <v>8850</v>
      </c>
      <c r="W588" s="138" t="str">
        <f ca="1">IFERROR(__xludf.DUMMYFUNCTION("filter(H:H,I:I=U588,J:J=V588)"),"Eluru")</f>
        <v>Eluru</v>
      </c>
    </row>
    <row r="589" spans="7:23">
      <c r="G589" s="138" t="s">
        <v>3442</v>
      </c>
      <c r="H589" s="138" t="s">
        <v>9378</v>
      </c>
      <c r="I589" s="138" t="s">
        <v>8850</v>
      </c>
      <c r="J589" s="138" t="s">
        <v>9404</v>
      </c>
      <c r="K589" s="138" t="str">
        <f ca="1">IFERROR(__xludf.DUMMYFUNCTION("unique(filter(R:R,R:R=I589))"),"Nuzvid")</f>
        <v>Nuzvid</v>
      </c>
      <c r="N589" s="138" t="str">
        <f ca="1">IFERROR(__xludf.DUMMYFUNCTION("unique(filter(W:W,U:U=R589))"),"Vizianagaram")</f>
        <v>Vizianagaram</v>
      </c>
      <c r="O589" s="138" t="s">
        <v>9405</v>
      </c>
      <c r="P589" s="138" t="s">
        <v>9406</v>
      </c>
      <c r="Q589" s="138" t="str">
        <f ca="1">IFERROR(__xludf.DUMMYFUNCTION("filter(I:I,J:J=P589,G:G=O589)"),"Bobbili")</f>
        <v>Bobbili</v>
      </c>
      <c r="R589" s="138" t="s">
        <v>9407</v>
      </c>
      <c r="U589" s="138" t="s">
        <v>8850</v>
      </c>
      <c r="V589" s="138" t="s">
        <v>9402</v>
      </c>
      <c r="W589" s="138" t="str">
        <f ca="1">IFERROR(__xludf.DUMMYFUNCTION("filter(H:H,I:I=U589,J:J=V589)"),"Eluru")</f>
        <v>Eluru</v>
      </c>
    </row>
    <row r="590" spans="7:23">
      <c r="G590" s="138" t="s">
        <v>3442</v>
      </c>
      <c r="H590" s="138" t="s">
        <v>9289</v>
      </c>
      <c r="I590" s="138" t="s">
        <v>8847</v>
      </c>
      <c r="J590" s="138" t="s">
        <v>9408</v>
      </c>
      <c r="K590" s="138" t="str">
        <f ca="1">IFERROR(__xludf.DUMMYFUNCTION("unique(filter(R:R,R:R=I590))"),"Tiruvuru (Sc)")</f>
        <v>Tiruvuru (Sc)</v>
      </c>
      <c r="N590" s="138" t="str">
        <f ca="1">IFERROR(__xludf.DUMMYFUNCTION("unique(filter(W:W,U:U=R590))"),"Parvathipuram Manyam")</f>
        <v>Parvathipuram Manyam</v>
      </c>
      <c r="O590" s="138" t="s">
        <v>9405</v>
      </c>
      <c r="P590" s="138" t="s">
        <v>9409</v>
      </c>
      <c r="Q590" s="138" t="str">
        <f ca="1">IFERROR(__xludf.DUMMYFUNCTION("filter(I:I,J:J=P590,G:G=O590)"),"Parvathipuram (Sc)")</f>
        <v>Parvathipuram (Sc)</v>
      </c>
      <c r="R590" s="138" t="s">
        <v>9410</v>
      </c>
      <c r="U590" s="138" t="s">
        <v>8850</v>
      </c>
      <c r="V590" s="138" t="s">
        <v>9404</v>
      </c>
      <c r="W590" s="138" t="str">
        <f ca="1">IFERROR(__xludf.DUMMYFUNCTION("filter(H:H,I:I=U590,J:J=V590)"),"Eluru")</f>
        <v>Eluru</v>
      </c>
    </row>
    <row r="591" spans="7:23">
      <c r="G591" s="138" t="s">
        <v>3442</v>
      </c>
      <c r="H591" s="138" t="s">
        <v>9289</v>
      </c>
      <c r="I591" s="138" t="s">
        <v>8847</v>
      </c>
      <c r="J591" s="138" t="s">
        <v>9411</v>
      </c>
      <c r="K591" s="138" t="str">
        <f ca="1">IFERROR(__xludf.DUMMYFUNCTION("unique(filter(R:R,R:R=I591))"),"Tiruvuru (Sc)")</f>
        <v>Tiruvuru (Sc)</v>
      </c>
      <c r="N591" s="138" t="str">
        <f ca="1">IFERROR(__xludf.DUMMYFUNCTION("unique(filter(W:W,U:U=R591))"),"Vizianagaram")</f>
        <v>Vizianagaram</v>
      </c>
      <c r="O591" s="138" t="s">
        <v>9405</v>
      </c>
      <c r="P591" s="138" t="s">
        <v>8170</v>
      </c>
      <c r="Q591" s="138" t="str">
        <f ca="1">IFERROR(__xludf.DUMMYFUNCTION("filter(I:I,J:J=P591,G:G=O591)"),"Nellimarla")</f>
        <v>Nellimarla</v>
      </c>
      <c r="R591" s="138" t="s">
        <v>9412</v>
      </c>
      <c r="U591" s="138" t="s">
        <v>8847</v>
      </c>
      <c r="V591" s="138" t="s">
        <v>9408</v>
      </c>
      <c r="W591" s="138" t="str">
        <f ca="1">IFERROR(__xludf.DUMMYFUNCTION("filter(H:H,I:I=U591,J:J=V591)"),"NTR")</f>
        <v>NTR</v>
      </c>
    </row>
    <row r="592" spans="7:23">
      <c r="G592" s="138" t="s">
        <v>3442</v>
      </c>
      <c r="H592" s="138" t="s">
        <v>9289</v>
      </c>
      <c r="I592" s="138" t="s">
        <v>8847</v>
      </c>
      <c r="J592" s="138" t="s">
        <v>9413</v>
      </c>
      <c r="K592" s="138" t="str">
        <f ca="1">IFERROR(__xludf.DUMMYFUNCTION("unique(filter(R:R,R:R=I592))"),"Tiruvuru (Sc)")</f>
        <v>Tiruvuru (Sc)</v>
      </c>
      <c r="N592" s="138" t="str">
        <f ca="1">IFERROR(__xludf.DUMMYFUNCTION("unique(filter(W:W,U:U=R592))"),"Vizianagaram")</f>
        <v>Vizianagaram</v>
      </c>
      <c r="O592" s="138" t="s">
        <v>9405</v>
      </c>
      <c r="P592" s="138" t="s">
        <v>9414</v>
      </c>
      <c r="Q592" s="138" t="str">
        <f ca="1">IFERROR(__xludf.DUMMYFUNCTION("filter(I:I,J:J=P592,G:G=O592)"),"Bobbili")</f>
        <v>Bobbili</v>
      </c>
      <c r="R592" s="138" t="s">
        <v>9407</v>
      </c>
      <c r="U592" s="138" t="s">
        <v>8847</v>
      </c>
      <c r="V592" s="138" t="s">
        <v>9411</v>
      </c>
      <c r="W592" s="138" t="str">
        <f ca="1">IFERROR(__xludf.DUMMYFUNCTION("filter(H:H,I:I=U592,J:J=V592)"),"NTR")</f>
        <v>NTR</v>
      </c>
    </row>
    <row r="593" spans="7:23">
      <c r="G593" s="138" t="s">
        <v>3442</v>
      </c>
      <c r="H593" s="138" t="s">
        <v>9289</v>
      </c>
      <c r="I593" s="138" t="s">
        <v>8847</v>
      </c>
      <c r="J593" s="138" t="s">
        <v>9415</v>
      </c>
      <c r="K593" s="138" t="str">
        <f ca="1">IFERROR(__xludf.DUMMYFUNCTION("unique(filter(R:R,R:R=I593))"),"Tiruvuru (Sc)")</f>
        <v>Tiruvuru (Sc)</v>
      </c>
      <c r="N593" s="138" t="str">
        <f ca="1">IFERROR(__xludf.DUMMYFUNCTION("unique(filter(W:W,U:U=R593))"),"Vizianagaram")</f>
        <v>Vizianagaram</v>
      </c>
      <c r="O593" s="138" t="s">
        <v>9405</v>
      </c>
      <c r="P593" s="138" t="s">
        <v>9416</v>
      </c>
      <c r="Q593" s="138" t="str">
        <f ca="1">IFERROR(__xludf.DUMMYFUNCTION("filter(I:I,J:J=P593,G:G=O593)"),"Gajapathinagaram")</f>
        <v>Gajapathinagaram</v>
      </c>
      <c r="R593" s="138" t="s">
        <v>9417</v>
      </c>
      <c r="U593" s="138" t="s">
        <v>8847</v>
      </c>
      <c r="V593" s="138" t="s">
        <v>9413</v>
      </c>
      <c r="W593" s="138" t="str">
        <f ca="1">IFERROR(__xludf.DUMMYFUNCTION("filter(H:H,I:I=U593,J:J=V593)"),"NTR")</f>
        <v>NTR</v>
      </c>
    </row>
    <row r="594" spans="7:23">
      <c r="G594" s="138" t="s">
        <v>3442</v>
      </c>
      <c r="H594" s="138" t="s">
        <v>9289</v>
      </c>
      <c r="I594" s="138" t="s">
        <v>8847</v>
      </c>
      <c r="J594" s="138" t="s">
        <v>9418</v>
      </c>
      <c r="K594" s="138" t="str">
        <f ca="1">IFERROR(__xludf.DUMMYFUNCTION("unique(filter(R:R,R:R=I594))"),"Tiruvuru (Sc)")</f>
        <v>Tiruvuru (Sc)</v>
      </c>
      <c r="N594" s="138" t="str">
        <f ca="1">IFERROR(__xludf.DUMMYFUNCTION("unique(filter(W:W,U:U=R594))"),"Vizianagaram")</f>
        <v>Vizianagaram</v>
      </c>
      <c r="O594" s="138" t="s">
        <v>9405</v>
      </c>
      <c r="P594" s="138" t="s">
        <v>9419</v>
      </c>
      <c r="Q594" s="138" t="str">
        <f ca="1">IFERROR(__xludf.DUMMYFUNCTION("filter(I:I,J:J=P594,G:G=O594)"),"Cheepurupalle")</f>
        <v>Cheepurupalle</v>
      </c>
      <c r="R594" s="138" t="s">
        <v>9420</v>
      </c>
      <c r="U594" s="138" t="s">
        <v>8847</v>
      </c>
      <c r="V594" s="138" t="s">
        <v>9415</v>
      </c>
      <c r="W594" s="138" t="str">
        <f ca="1">IFERROR(__xludf.DUMMYFUNCTION("filter(H:H,I:I=U594,J:J=V594)"),"NTR")</f>
        <v>NTR</v>
      </c>
    </row>
    <row r="595" spans="7:23">
      <c r="G595" s="138" t="s">
        <v>9421</v>
      </c>
      <c r="H595" s="138" t="s">
        <v>9378</v>
      </c>
      <c r="I595" s="138" t="s">
        <v>9422</v>
      </c>
      <c r="J595" s="138" t="s">
        <v>9423</v>
      </c>
      <c r="K595" s="138" t="str">
        <f ca="1">IFERROR(__xludf.DUMMYFUNCTION("unique(filter(R:R,R:R=I595))"),"Chintalapudi (Sc)")</f>
        <v>Chintalapudi (Sc)</v>
      </c>
      <c r="N595" s="138" t="str">
        <f ca="1">IFERROR(__xludf.DUMMYFUNCTION("unique(filter(W:W,U:U=R595))"),"Vizianagaram")</f>
        <v>Vizianagaram</v>
      </c>
      <c r="O595" s="138" t="s">
        <v>9405</v>
      </c>
      <c r="P595" s="138" t="s">
        <v>9424</v>
      </c>
      <c r="Q595" s="138" t="str">
        <f ca="1">IFERROR(__xludf.DUMMYFUNCTION("filter(I:I,J:J=P595,G:G=O595)"),"Gajapathinagaram")</f>
        <v>Gajapathinagaram</v>
      </c>
      <c r="R595" s="138" t="s">
        <v>9417</v>
      </c>
      <c r="U595" s="138" t="s">
        <v>8847</v>
      </c>
      <c r="V595" s="138" t="s">
        <v>9418</v>
      </c>
      <c r="W595" s="138" t="str">
        <f ca="1">IFERROR(__xludf.DUMMYFUNCTION("filter(H:H,I:I=U595,J:J=V595)"),"NTR")</f>
        <v>NTR</v>
      </c>
    </row>
    <row r="596" spans="7:23">
      <c r="G596" s="138" t="s">
        <v>9421</v>
      </c>
      <c r="H596" s="138" t="s">
        <v>9378</v>
      </c>
      <c r="I596" s="138" t="s">
        <v>9422</v>
      </c>
      <c r="J596" s="138" t="s">
        <v>9425</v>
      </c>
      <c r="K596" s="138" t="str">
        <f ca="1">IFERROR(__xludf.DUMMYFUNCTION("unique(filter(R:R,R:R=I596))"),"Chintalapudi (Sc)")</f>
        <v>Chintalapudi (Sc)</v>
      </c>
      <c r="N596" s="138" t="str">
        <f ca="1">IFERROR(__xludf.DUMMYFUNCTION("unique(filter(W:W,U:U=R596))"),"Vizianagaram")</f>
        <v>Vizianagaram</v>
      </c>
      <c r="O596" s="138" t="s">
        <v>9405</v>
      </c>
      <c r="P596" s="138" t="s">
        <v>9426</v>
      </c>
      <c r="Q596" s="138" t="str">
        <f ca="1">IFERROR(__xludf.DUMMYFUNCTION("filter(I:I,J:J=P596,G:G=O596)"),"Nellimarla")</f>
        <v>Nellimarla</v>
      </c>
      <c r="R596" s="138" t="s">
        <v>9412</v>
      </c>
      <c r="U596" s="138" t="s">
        <v>9422</v>
      </c>
      <c r="V596" s="138" t="s">
        <v>9423</v>
      </c>
      <c r="W596" s="138" t="str">
        <f ca="1">IFERROR(__xludf.DUMMYFUNCTION("filter(H:H,I:I=U596,J:J=V596)"),"Eluru")</f>
        <v>Eluru</v>
      </c>
    </row>
    <row r="597" spans="7:23">
      <c r="G597" s="138" t="s">
        <v>9421</v>
      </c>
      <c r="H597" s="138" t="s">
        <v>9378</v>
      </c>
      <c r="I597" s="138" t="s">
        <v>9422</v>
      </c>
      <c r="J597" s="138" t="s">
        <v>9427</v>
      </c>
      <c r="K597" s="138" t="str">
        <f ca="1">IFERROR(__xludf.DUMMYFUNCTION("unique(filter(R:R,R:R=I597))"),"Chintalapudi (Sc)")</f>
        <v>Chintalapudi (Sc)</v>
      </c>
      <c r="N597" s="138" t="str">
        <f ca="1">IFERROR(__xludf.DUMMYFUNCTION("unique(filter(W:W,U:U=R597))"),"Vizianagaram")</f>
        <v>Vizianagaram</v>
      </c>
      <c r="O597" s="138" t="s">
        <v>9405</v>
      </c>
      <c r="P597" s="138" t="s">
        <v>9428</v>
      </c>
      <c r="Q597" s="138" t="str">
        <f ca="1">IFERROR(__xludf.DUMMYFUNCTION("filter(I:I,J:J=P597,G:G=O597)"),"Gajapathinagaram")</f>
        <v>Gajapathinagaram</v>
      </c>
      <c r="R597" s="138" t="s">
        <v>9417</v>
      </c>
      <c r="U597" s="138" t="s">
        <v>9422</v>
      </c>
      <c r="V597" s="138" t="s">
        <v>9425</v>
      </c>
      <c r="W597" s="138" t="str">
        <f ca="1">IFERROR(__xludf.DUMMYFUNCTION("filter(H:H,I:I=U597,J:J=V597)"),"Eluru")</f>
        <v>Eluru</v>
      </c>
    </row>
    <row r="598" spans="7:23">
      <c r="G598" s="138" t="s">
        <v>9421</v>
      </c>
      <c r="H598" s="138" t="s">
        <v>9378</v>
      </c>
      <c r="I598" s="138" t="s">
        <v>9422</v>
      </c>
      <c r="J598" s="138" t="s">
        <v>9429</v>
      </c>
      <c r="K598" s="138" t="str">
        <f ca="1">IFERROR(__xludf.DUMMYFUNCTION("unique(filter(R:R,R:R=I598))"),"Chintalapudi (Sc)")</f>
        <v>Chintalapudi (Sc)</v>
      </c>
      <c r="N598" s="138" t="str">
        <f ca="1">IFERROR(__xludf.DUMMYFUNCTION("unique(filter(W:W,U:U=R598))"),"Vizianagaram")</f>
        <v>Vizianagaram</v>
      </c>
      <c r="O598" s="138" t="s">
        <v>9405</v>
      </c>
      <c r="P598" s="138" t="s">
        <v>9430</v>
      </c>
      <c r="Q598" s="138" t="str">
        <f ca="1">IFERROR(__xludf.DUMMYFUNCTION("filter(I:I,J:J=P598,G:G=O598)"),"Gajapathinagaram")</f>
        <v>Gajapathinagaram</v>
      </c>
      <c r="R598" s="138" t="s">
        <v>9417</v>
      </c>
      <c r="U598" s="138" t="s">
        <v>9422</v>
      </c>
      <c r="V598" s="138" t="s">
        <v>9427</v>
      </c>
      <c r="W598" s="138" t="str">
        <f ca="1">IFERROR(__xludf.DUMMYFUNCTION("filter(H:H,I:I=U598,J:J=V598)"),"Eluru")</f>
        <v>Eluru</v>
      </c>
    </row>
    <row r="599" spans="7:23">
      <c r="G599" s="138" t="s">
        <v>9421</v>
      </c>
      <c r="H599" s="138" t="s">
        <v>9378</v>
      </c>
      <c r="I599" s="138" t="s">
        <v>9422</v>
      </c>
      <c r="J599" s="138" t="s">
        <v>9431</v>
      </c>
      <c r="K599" s="138" t="str">
        <f ca="1">IFERROR(__xludf.DUMMYFUNCTION("unique(filter(R:R,R:R=I599))"),"Chintalapudi (Sc)")</f>
        <v>Chintalapudi (Sc)</v>
      </c>
      <c r="N599" s="138" t="str">
        <f ca="1">IFERROR(__xludf.DUMMYFUNCTION("unique(filter(W:W,U:U=R599))"),"Vizianagaram")</f>
        <v>Vizianagaram</v>
      </c>
      <c r="O599" s="138" t="s">
        <v>9405</v>
      </c>
      <c r="P599" s="138" t="s">
        <v>9432</v>
      </c>
      <c r="Q599" s="138" t="str">
        <f ca="1">IFERROR(__xludf.DUMMYFUNCTION("filter(I:I,J:J=P599,G:G=O599)"),"Cheepurupalle")</f>
        <v>Cheepurupalle</v>
      </c>
      <c r="R599" s="138" t="s">
        <v>9420</v>
      </c>
      <c r="U599" s="138" t="s">
        <v>9422</v>
      </c>
      <c r="V599" s="138" t="s">
        <v>9429</v>
      </c>
      <c r="W599" s="138" t="str">
        <f ca="1">IFERROR(__xludf.DUMMYFUNCTION("filter(H:H,I:I=U599,J:J=V599)"),"Eluru")</f>
        <v>Eluru</v>
      </c>
    </row>
    <row r="600" spans="7:23">
      <c r="G600" s="138" t="e">
        <v>#N/A</v>
      </c>
      <c r="H600" s="138" t="e">
        <v>#N/A</v>
      </c>
      <c r="I600" s="138" t="s">
        <v>9422</v>
      </c>
      <c r="J600" s="138" t="e">
        <v>#N/A</v>
      </c>
      <c r="K600" s="138" t="str">
        <f ca="1">IFERROR(__xludf.DUMMYFUNCTION("unique(filter(R:R,R:R=I600))"),"Chintalapudi (Sc)")</f>
        <v>Chintalapudi (Sc)</v>
      </c>
      <c r="N600" s="138" t="str">
        <f ca="1">IFERROR(__xludf.DUMMYFUNCTION("unique(filter(W:W,U:U=R600))"),"Parvathipuram Manyam")</f>
        <v>Parvathipuram Manyam</v>
      </c>
      <c r="O600" s="138" t="s">
        <v>9405</v>
      </c>
      <c r="P600" s="138" t="s">
        <v>9433</v>
      </c>
      <c r="Q600" s="138" t="str">
        <f ca="1">IFERROR(__xludf.DUMMYFUNCTION("filter(I:I,J:J=P600,G:G=O600)"),"Kurupam (St)")</f>
        <v>Kurupam (St)</v>
      </c>
      <c r="R600" s="138" t="s">
        <v>9434</v>
      </c>
      <c r="U600" s="138" t="s">
        <v>9422</v>
      </c>
      <c r="V600" s="138" t="s">
        <v>9431</v>
      </c>
      <c r="W600" s="138" t="str">
        <f ca="1">IFERROR(__xludf.DUMMYFUNCTION("filter(H:H,I:I=U600,J:J=V600)"),"Eluru")</f>
        <v>Eluru</v>
      </c>
    </row>
    <row r="601" spans="7:23">
      <c r="G601" s="138" t="s">
        <v>9421</v>
      </c>
      <c r="H601" s="138" t="s">
        <v>9378</v>
      </c>
      <c r="I601" s="138" t="s">
        <v>9435</v>
      </c>
      <c r="J601" s="138" t="s">
        <v>9436</v>
      </c>
      <c r="K601" s="138" t="str">
        <f ca="1">IFERROR(__xludf.DUMMYFUNCTION("unique(filter(R:R,R:R=I601))"),"Polavaram (St)")</f>
        <v>Polavaram (St)</v>
      </c>
      <c r="N601" s="138" t="str">
        <f ca="1">IFERROR(__xludf.DUMMYFUNCTION("unique(filter(W:W,U:U=R601))"),"Parvathipuram Manyam")</f>
        <v>Parvathipuram Manyam</v>
      </c>
      <c r="O601" s="138" t="s">
        <v>9405</v>
      </c>
      <c r="P601" s="138" t="s">
        <v>9437</v>
      </c>
      <c r="Q601" s="138" t="str">
        <f ca="1">IFERROR(__xludf.DUMMYFUNCTION("filter(I:I,J:J=P601,G:G=O601)"),"Kurupam (St)")</f>
        <v>Kurupam (St)</v>
      </c>
      <c r="R601" s="138" t="s">
        <v>9434</v>
      </c>
    </row>
    <row r="602" spans="7:23">
      <c r="G602" s="138" t="s">
        <v>9421</v>
      </c>
      <c r="H602" s="138" t="s">
        <v>9378</v>
      </c>
      <c r="I602" s="138" t="s">
        <v>9435</v>
      </c>
      <c r="J602" s="138" t="s">
        <v>9438</v>
      </c>
      <c r="K602" s="138" t="str">
        <f ca="1">IFERROR(__xludf.DUMMYFUNCTION("unique(filter(R:R,R:R=I602))"),"Polavaram (St)")</f>
        <v>Polavaram (St)</v>
      </c>
      <c r="N602" s="138" t="str">
        <f ca="1">IFERROR(__xludf.DUMMYFUNCTION("unique(filter(W:W,U:U=R602))"),"Vizianagaram")</f>
        <v>Vizianagaram</v>
      </c>
      <c r="O602" s="138" t="s">
        <v>9405</v>
      </c>
      <c r="P602" s="138" t="s">
        <v>9439</v>
      </c>
      <c r="Q602" s="138" t="str">
        <f ca="1">IFERROR(__xludf.DUMMYFUNCTION("filter(I:I,J:J=P602,G:G=O602)"),"Cheepurupalle")</f>
        <v>Cheepurupalle</v>
      </c>
      <c r="R602" s="138" t="s">
        <v>9420</v>
      </c>
      <c r="U602" s="138" t="s">
        <v>9435</v>
      </c>
      <c r="V602" s="138" t="s">
        <v>9436</v>
      </c>
      <c r="W602" s="138" t="str">
        <f ca="1">IFERROR(__xludf.DUMMYFUNCTION("filter(H:H,I:I=U602,J:J=V602)"),"Eluru")</f>
        <v>Eluru</v>
      </c>
    </row>
    <row r="603" spans="7:23">
      <c r="G603" s="138" t="s">
        <v>9421</v>
      </c>
      <c r="H603" s="138" t="s">
        <v>9378</v>
      </c>
      <c r="I603" s="138" t="s">
        <v>9435</v>
      </c>
      <c r="J603" s="138" t="s">
        <v>9440</v>
      </c>
      <c r="K603" s="138" t="str">
        <f ca="1">IFERROR(__xludf.DUMMYFUNCTION("unique(filter(R:R,R:R=I603))"),"Polavaram (St)")</f>
        <v>Polavaram (St)</v>
      </c>
      <c r="N603" s="138" t="str">
        <f ca="1">IFERROR(__xludf.DUMMYFUNCTION("unique(filter(W:W,U:U=R603))"),"Vizianagaram")</f>
        <v>Vizianagaram</v>
      </c>
      <c r="O603" s="138" t="s">
        <v>9405</v>
      </c>
      <c r="P603" s="138" t="s">
        <v>9441</v>
      </c>
      <c r="Q603" s="138" t="str">
        <f ca="1">IFERROR(__xludf.DUMMYFUNCTION("filter(I:I,J:J=P603,G:G=O603)"),"#REF!")</f>
        <v>#REF!</v>
      </c>
      <c r="R603" s="138" t="s">
        <v>9442</v>
      </c>
      <c r="U603" s="138" t="s">
        <v>9435</v>
      </c>
      <c r="V603" s="138" t="s">
        <v>9438</v>
      </c>
      <c r="W603" s="138" t="str">
        <f ca="1">IFERROR(__xludf.DUMMYFUNCTION("filter(H:H,I:I=U603,J:J=V603)"),"Eluru")</f>
        <v>Eluru</v>
      </c>
    </row>
    <row r="604" spans="7:23">
      <c r="G604" s="138" t="s">
        <v>9421</v>
      </c>
      <c r="H604" s="138" t="s">
        <v>9378</v>
      </c>
      <c r="I604" s="138" t="s">
        <v>9435</v>
      </c>
      <c r="J604" s="138" t="s">
        <v>9443</v>
      </c>
      <c r="K604" s="138" t="str">
        <f ca="1">IFERROR(__xludf.DUMMYFUNCTION("unique(filter(R:R,R:R=I604))"),"Polavaram (St)")</f>
        <v>Polavaram (St)</v>
      </c>
      <c r="N604" s="138" t="str">
        <f ca="1">IFERROR(__xludf.DUMMYFUNCTION("unique(filter(W:W,U:U=R604))"),"Parvathipuram Manyam")</f>
        <v>Parvathipuram Manyam</v>
      </c>
      <c r="O604" s="138" t="s">
        <v>9405</v>
      </c>
      <c r="P604" s="138" t="s">
        <v>9444</v>
      </c>
      <c r="Q604" s="138" t="str">
        <f ca="1">IFERROR(__xludf.DUMMYFUNCTION("filter(I:I,J:J=P604,G:G=O604)"),"Kurupam (St)")</f>
        <v>Kurupam (St)</v>
      </c>
      <c r="R604" s="138" t="s">
        <v>9434</v>
      </c>
      <c r="U604" s="138" t="s">
        <v>9435</v>
      </c>
      <c r="V604" s="138" t="s">
        <v>9440</v>
      </c>
      <c r="W604" s="138" t="str">
        <f ca="1">IFERROR(__xludf.DUMMYFUNCTION("filter(H:H,I:I=U604,J:J=V604)"),"Eluru")</f>
        <v>Eluru</v>
      </c>
    </row>
    <row r="605" spans="7:23">
      <c r="G605" s="138" t="s">
        <v>9421</v>
      </c>
      <c r="H605" s="138" t="s">
        <v>9378</v>
      </c>
      <c r="I605" s="138" t="s">
        <v>9435</v>
      </c>
      <c r="J605" s="138" t="s">
        <v>9445</v>
      </c>
      <c r="K605" s="138" t="str">
        <f ca="1">IFERROR(__xludf.DUMMYFUNCTION("unique(filter(R:R,R:R=I605))"),"Polavaram (St)")</f>
        <v>Polavaram (St)</v>
      </c>
      <c r="N605" s="138" t="str">
        <f ca="1">IFERROR(__xludf.DUMMYFUNCTION("unique(filter(W:W,U:U=R605))"),"Parvathipuram Manyam")</f>
        <v>Parvathipuram Manyam</v>
      </c>
      <c r="O605" s="138" t="s">
        <v>9405</v>
      </c>
      <c r="P605" s="138" t="s">
        <v>9446</v>
      </c>
      <c r="Q605" s="138" t="str">
        <f ca="1">IFERROR(__xludf.DUMMYFUNCTION("filter(I:I,J:J=P605,G:G=O605)"),"Kurupam (St)")</f>
        <v>Kurupam (St)</v>
      </c>
      <c r="R605" s="138" t="s">
        <v>9434</v>
      </c>
      <c r="U605" s="138" t="s">
        <v>9435</v>
      </c>
      <c r="V605" s="138" t="s">
        <v>9443</v>
      </c>
      <c r="W605" s="138" t="str">
        <f ca="1">IFERROR(__xludf.DUMMYFUNCTION("filter(H:H,I:I=U605,J:J=V605)"),"Eluru")</f>
        <v>Eluru</v>
      </c>
    </row>
    <row r="606" spans="7:23">
      <c r="G606" s="138" t="s">
        <v>9421</v>
      </c>
      <c r="H606" s="138" t="s">
        <v>9378</v>
      </c>
      <c r="I606" s="138" t="s">
        <v>9435</v>
      </c>
      <c r="J606" s="138" t="s">
        <v>9447</v>
      </c>
      <c r="K606" s="138" t="str">
        <f ca="1">IFERROR(__xludf.DUMMYFUNCTION("unique(filter(R:R,R:R=I606))"),"Polavaram (St)")</f>
        <v>Polavaram (St)</v>
      </c>
      <c r="N606" s="138" t="str">
        <f ca="1">IFERROR(__xludf.DUMMYFUNCTION("unique(filter(W:W,U:U=R606))"),"Vizianagaram")</f>
        <v>Vizianagaram</v>
      </c>
      <c r="O606" s="138" t="s">
        <v>9405</v>
      </c>
      <c r="P606" s="138" t="s">
        <v>9448</v>
      </c>
      <c r="Q606" s="138" t="str">
        <f ca="1">IFERROR(__xludf.DUMMYFUNCTION("filter(I:I,J:J=P606,G:G=O606)"),"Srungavarapukota")</f>
        <v>Srungavarapukota</v>
      </c>
      <c r="R606" s="138" t="s">
        <v>9442</v>
      </c>
      <c r="U606" s="138" t="s">
        <v>9435</v>
      </c>
      <c r="V606" s="138" t="s">
        <v>9445</v>
      </c>
      <c r="W606" s="138" t="str">
        <f ca="1">IFERROR(__xludf.DUMMYFUNCTION("filter(H:H,I:I=U606,J:J=V606)"),"Eluru")</f>
        <v>Eluru</v>
      </c>
    </row>
    <row r="607" spans="7:23">
      <c r="G607" s="138" t="s">
        <v>9421</v>
      </c>
      <c r="H607" s="138" t="s">
        <v>9378</v>
      </c>
      <c r="I607" s="138" t="s">
        <v>9435</v>
      </c>
      <c r="J607" s="138" t="s">
        <v>9449</v>
      </c>
      <c r="K607" s="138" t="str">
        <f ca="1">IFERROR(__xludf.DUMMYFUNCTION("unique(filter(R:R,R:R=I607))"),"Polavaram (St)")</f>
        <v>Polavaram (St)</v>
      </c>
      <c r="N607" s="138" t="str">
        <f ca="1">IFERROR(__xludf.DUMMYFUNCTION("unique(filter(W:W,U:U=R607))"),"Parvathipuram Manyam")</f>
        <v>Parvathipuram Manyam</v>
      </c>
      <c r="O607" s="138" t="s">
        <v>9405</v>
      </c>
      <c r="P607" s="138" t="s">
        <v>9450</v>
      </c>
      <c r="Q607" s="138" t="str">
        <f ca="1">IFERROR(__xludf.DUMMYFUNCTION("filter(I:I,J:J=P607,G:G=O607)"),"Kurupam (St)")</f>
        <v>Kurupam (St)</v>
      </c>
      <c r="R607" s="138" t="s">
        <v>9434</v>
      </c>
      <c r="U607" s="138" t="s">
        <v>9435</v>
      </c>
      <c r="V607" s="138" t="s">
        <v>9447</v>
      </c>
      <c r="W607" s="138" t="str">
        <f ca="1">IFERROR(__xludf.DUMMYFUNCTION("filter(H:H,I:I=U607,J:J=V607)"),"Eluru")</f>
        <v>Eluru</v>
      </c>
    </row>
    <row r="608" spans="7:23">
      <c r="G608" s="138" t="e">
        <v>#N/A</v>
      </c>
      <c r="H608" s="138" t="e">
        <v>#N/A</v>
      </c>
      <c r="I608" s="138" t="s">
        <v>9435</v>
      </c>
      <c r="J608" s="138" t="e">
        <v>#N/A</v>
      </c>
      <c r="K608" s="138" t="str">
        <f ca="1">IFERROR(__xludf.DUMMYFUNCTION("unique(filter(R:R,R:R=I608))"),"Polavaram (St)")</f>
        <v>Polavaram (St)</v>
      </c>
      <c r="N608" s="138" t="str">
        <f ca="1">IFERROR(__xludf.DUMMYFUNCTION("unique(filter(W:W,U:U=R608))"),"Vizianagaram")</f>
        <v>Vizianagaram</v>
      </c>
      <c r="O608" s="138" t="s">
        <v>9405</v>
      </c>
      <c r="P608" s="138" t="s">
        <v>9451</v>
      </c>
      <c r="Q608" s="138" t="str">
        <f ca="1">IFERROR(__xludf.DUMMYFUNCTION("filter(I:I,J:J=P608,G:G=O608)"),"Srungavarapukota")</f>
        <v>Srungavarapukota</v>
      </c>
      <c r="R608" s="138" t="s">
        <v>9442</v>
      </c>
      <c r="U608" s="138" t="s">
        <v>9435</v>
      </c>
      <c r="V608" s="138" t="s">
        <v>9449</v>
      </c>
      <c r="W608" s="138" t="str">
        <f ca="1">IFERROR(__xludf.DUMMYFUNCTION("filter(H:H,I:I=U608,J:J=V608)"),"Eluru")</f>
        <v>Eluru</v>
      </c>
    </row>
    <row r="609" spans="7:23">
      <c r="G609" s="138" t="s">
        <v>9421</v>
      </c>
      <c r="H609" s="138" t="s">
        <v>8077</v>
      </c>
      <c r="I609" s="138" t="s">
        <v>9452</v>
      </c>
      <c r="J609" s="138" t="s">
        <v>9453</v>
      </c>
      <c r="K609" s="138" t="str">
        <f ca="1">IFERROR(__xludf.DUMMYFUNCTION("unique(filter(R:R,R:R=I609))"),"Gopalapuram (Sc)")</f>
        <v>Gopalapuram (Sc)</v>
      </c>
      <c r="N609" s="138" t="str">
        <f ca="1">IFERROR(__xludf.DUMMYFUNCTION("unique(filter(W:W,U:U=R609))"),"Parvathipuram Manyam")</f>
        <v>Parvathipuram Manyam</v>
      </c>
      <c r="O609" s="138" t="s">
        <v>9405</v>
      </c>
      <c r="P609" s="138" t="s">
        <v>9454</v>
      </c>
      <c r="Q609" s="138" t="str">
        <f ca="1">IFERROR(__xludf.DUMMYFUNCTION("filter(I:I,J:J=P609,G:G=O609)"),"Salur (St)")</f>
        <v>Salur (St)</v>
      </c>
      <c r="R609" s="138" t="s">
        <v>9455</v>
      </c>
    </row>
    <row r="610" spans="7:23">
      <c r="G610" s="138" t="s">
        <v>9421</v>
      </c>
      <c r="H610" s="138" t="s">
        <v>8077</v>
      </c>
      <c r="I610" s="138" t="s">
        <v>9452</v>
      </c>
      <c r="J610" s="138" t="s">
        <v>9456</v>
      </c>
      <c r="K610" s="138" t="str">
        <f ca="1">IFERROR(__xludf.DUMMYFUNCTION("unique(filter(R:R,R:R=I610))"),"Gopalapuram (Sc)")</f>
        <v>Gopalapuram (Sc)</v>
      </c>
      <c r="N610" s="138" t="str">
        <f ca="1">IFERROR(__xludf.DUMMYFUNCTION("unique(filter(W:W,U:U=R610))"),"Parvathipuram Manyam")</f>
        <v>Parvathipuram Manyam</v>
      </c>
      <c r="O610" s="138" t="s">
        <v>9405</v>
      </c>
      <c r="P610" s="138" t="s">
        <v>9457</v>
      </c>
      <c r="Q610" s="138" t="str">
        <f ca="1">IFERROR(__xludf.DUMMYFUNCTION("filter(I:I,J:J=P610,G:G=O610)"),"Salur (St)")</f>
        <v>Salur (St)</v>
      </c>
      <c r="R610" s="138" t="s">
        <v>9455</v>
      </c>
      <c r="U610" s="138" t="s">
        <v>9452</v>
      </c>
      <c r="V610" s="138" t="s">
        <v>9453</v>
      </c>
      <c r="W610" s="138" t="str">
        <f ca="1">IFERROR(__xludf.DUMMYFUNCTION("filter(H:H,I:I=U610,J:J=V610)"),"East Godavari")</f>
        <v>East Godavari</v>
      </c>
    </row>
    <row r="611" spans="7:23">
      <c r="G611" s="138" t="s">
        <v>9421</v>
      </c>
      <c r="H611" s="138" t="s">
        <v>8077</v>
      </c>
      <c r="I611" s="138" t="s">
        <v>9452</v>
      </c>
      <c r="J611" s="138" t="s">
        <v>9458</v>
      </c>
      <c r="K611" s="138" t="str">
        <f ca="1">IFERROR(__xludf.DUMMYFUNCTION("unique(filter(R:R,R:R=I611))"),"Gopalapuram (Sc)")</f>
        <v>Gopalapuram (Sc)</v>
      </c>
      <c r="N611" s="138" t="str">
        <f ca="1">IFERROR(__xludf.DUMMYFUNCTION("unique(filter(W:W,U:U=R611))"),"Vizianagaram")</f>
        <v>Vizianagaram</v>
      </c>
      <c r="O611" s="138" t="s">
        <v>9405</v>
      </c>
      <c r="P611" s="138" t="s">
        <v>9459</v>
      </c>
      <c r="Q611" s="138" t="str">
        <f ca="1">IFERROR(__xludf.DUMMYFUNCTION("filter(I:I,J:J=P611,G:G=O611)"),"Cheepurupalle")</f>
        <v>Cheepurupalle</v>
      </c>
      <c r="R611" s="138" t="s">
        <v>9420</v>
      </c>
      <c r="U611" s="138" t="s">
        <v>9452</v>
      </c>
      <c r="V611" s="138" t="s">
        <v>9456</v>
      </c>
      <c r="W611" s="138" t="str">
        <f ca="1">IFERROR(__xludf.DUMMYFUNCTION("filter(H:H,I:I=U611,J:J=V611)"),"East Godavari")</f>
        <v>East Godavari</v>
      </c>
    </row>
    <row r="612" spans="7:23">
      <c r="G612" s="138" t="s">
        <v>9421</v>
      </c>
      <c r="H612" s="138" t="s">
        <v>8077</v>
      </c>
      <c r="I612" s="138" t="s">
        <v>9452</v>
      </c>
      <c r="J612" s="138" t="s">
        <v>9460</v>
      </c>
      <c r="K612" s="138" t="str">
        <f ca="1">IFERROR(__xludf.DUMMYFUNCTION("unique(filter(R:R,R:R=I612))"),"Gopalapuram (Sc)")</f>
        <v>Gopalapuram (Sc)</v>
      </c>
      <c r="N612" s="138" t="str">
        <f ca="1">IFERROR(__xludf.DUMMYFUNCTION("unique(filter(W:W,U:U=R612))"),"Vizianagaram")</f>
        <v>Vizianagaram</v>
      </c>
      <c r="O612" s="138" t="s">
        <v>9405</v>
      </c>
      <c r="P612" s="138" t="s">
        <v>9461</v>
      </c>
      <c r="Q612" s="138" t="str">
        <f ca="1">IFERROR(__xludf.DUMMYFUNCTION("filter(I:I,J:J=P612,G:G=O612)"),"Nellimarla")</f>
        <v>Nellimarla</v>
      </c>
      <c r="R612" s="138" t="s">
        <v>9412</v>
      </c>
      <c r="U612" s="138" t="s">
        <v>9452</v>
      </c>
      <c r="V612" s="138" t="s">
        <v>9458</v>
      </c>
      <c r="W612" s="138" t="str">
        <f ca="1">IFERROR(__xludf.DUMMYFUNCTION("filter(H:H,I:I=U612,J:J=V612)"),"East Godavari")</f>
        <v>East Godavari</v>
      </c>
    </row>
    <row r="613" spans="7:23">
      <c r="G613" s="138" t="s">
        <v>9421</v>
      </c>
      <c r="H613" s="138" t="s">
        <v>9378</v>
      </c>
      <c r="I613" s="138" t="s">
        <v>9378</v>
      </c>
      <c r="J613" s="138" t="s">
        <v>9462</v>
      </c>
      <c r="K613" s="138" t="str">
        <f ca="1">IFERROR(__xludf.DUMMYFUNCTION("unique(filter(R:R,R:R=I613))"),"#N/A")</f>
        <v>#N/A</v>
      </c>
      <c r="N613" s="138" t="str">
        <f ca="1">IFERROR(__xludf.DUMMYFUNCTION("unique(filter(W:W,U:U=R613))"),"Parvathipuram Manyam")</f>
        <v>Parvathipuram Manyam</v>
      </c>
      <c r="O613" s="138" t="s">
        <v>9405</v>
      </c>
      <c r="P613" s="138" t="s">
        <v>9463</v>
      </c>
      <c r="Q613" s="138" t="str">
        <f ca="1">IFERROR(__xludf.DUMMYFUNCTION("filter(I:I,J:J=P613,G:G=O613)"),"Salur (St)")</f>
        <v>Salur (St)</v>
      </c>
      <c r="R613" s="138" t="s">
        <v>9455</v>
      </c>
      <c r="U613" s="138" t="s">
        <v>9452</v>
      </c>
      <c r="V613" s="138" t="s">
        <v>9460</v>
      </c>
      <c r="W613" s="138" t="str">
        <f ca="1">IFERROR(__xludf.DUMMYFUNCTION("filter(H:H,I:I=U613,J:J=V613)"),"East Godavari")</f>
        <v>East Godavari</v>
      </c>
    </row>
    <row r="614" spans="7:23">
      <c r="G614" s="138" t="s">
        <v>9421</v>
      </c>
      <c r="H614" s="138" t="s">
        <v>9378</v>
      </c>
      <c r="I614" s="138" t="s">
        <v>9464</v>
      </c>
      <c r="J614" s="138" t="s">
        <v>9465</v>
      </c>
      <c r="K614" s="138" t="str">
        <f ca="1">IFERROR(__xludf.DUMMYFUNCTION("unique(filter(R:R,R:R=I614))"),"Denduluru")</f>
        <v>Denduluru</v>
      </c>
      <c r="N614" s="138" t="str">
        <f ca="1">IFERROR(__xludf.DUMMYFUNCTION("unique(filter(W:W,U:U=R614))"),"Parvathipuram Manyam")</f>
        <v>Parvathipuram Manyam</v>
      </c>
      <c r="O614" s="138" t="s">
        <v>9405</v>
      </c>
      <c r="P614" s="138" t="s">
        <v>9466</v>
      </c>
      <c r="Q614" s="138" t="str">
        <f ca="1">IFERROR(__xludf.DUMMYFUNCTION("filter(I:I,J:J=P614,G:G=O614)"),"Parvathipuram (Sc)")</f>
        <v>Parvathipuram (Sc)</v>
      </c>
      <c r="R614" s="138" t="s">
        <v>9410</v>
      </c>
      <c r="U614" s="138" t="s">
        <v>9378</v>
      </c>
      <c r="V614" s="138" t="s">
        <v>9462</v>
      </c>
      <c r="W614" s="138" t="str">
        <f ca="1">IFERROR(__xludf.DUMMYFUNCTION("filter(H:H,I:I=U614,J:J=V614)"),"Eluru")</f>
        <v>Eluru</v>
      </c>
    </row>
    <row r="615" spans="7:23">
      <c r="G615" s="138" t="s">
        <v>9421</v>
      </c>
      <c r="H615" s="138" t="s">
        <v>9378</v>
      </c>
      <c r="I615" s="138" t="s">
        <v>9464</v>
      </c>
      <c r="J615" s="138" t="s">
        <v>9464</v>
      </c>
      <c r="K615" s="138" t="str">
        <f ca="1">IFERROR(__xludf.DUMMYFUNCTION("unique(filter(R:R,R:R=I615))"),"Denduluru")</f>
        <v>Denduluru</v>
      </c>
      <c r="N615" s="138" t="str">
        <f ca="1">IFERROR(__xludf.DUMMYFUNCTION("unique(filter(W:W,U:U=R615))"),"Vizianagaram")</f>
        <v>Vizianagaram</v>
      </c>
      <c r="O615" s="138" t="s">
        <v>9405</v>
      </c>
      <c r="P615" s="138" t="s">
        <v>9467</v>
      </c>
      <c r="Q615" s="138" t="str">
        <f ca="1">IFERROR(__xludf.DUMMYFUNCTION("filter(I:I,J:J=P615,G:G=O615)"),"Nellimarla")</f>
        <v>Nellimarla</v>
      </c>
      <c r="R615" s="138" t="s">
        <v>9412</v>
      </c>
      <c r="U615" s="138" t="s">
        <v>9464</v>
      </c>
      <c r="V615" s="138" t="s">
        <v>9465</v>
      </c>
      <c r="W615" s="138" t="str">
        <f ca="1">IFERROR(__xludf.DUMMYFUNCTION("filter(H:H,I:I=U615,J:J=V615)"),"Eluru")</f>
        <v>Eluru</v>
      </c>
    </row>
    <row r="616" spans="7:23">
      <c r="G616" s="138" t="s">
        <v>9421</v>
      </c>
      <c r="H616" s="138" t="s">
        <v>9378</v>
      </c>
      <c r="I616" s="138" t="s">
        <v>9464</v>
      </c>
      <c r="J616" s="138" t="s">
        <v>9468</v>
      </c>
      <c r="K616" s="138" t="str">
        <f ca="1">IFERROR(__xludf.DUMMYFUNCTION("unique(filter(R:R,R:R=I616))"),"Denduluru")</f>
        <v>Denduluru</v>
      </c>
      <c r="N616" s="138" t="str">
        <f ca="1">IFERROR(__xludf.DUMMYFUNCTION("unique(filter(W:W,U:U=R616))"),"Vizianagaram")</f>
        <v>Vizianagaram</v>
      </c>
      <c r="O616" s="138" t="s">
        <v>9405</v>
      </c>
      <c r="P616" s="138" t="s">
        <v>9469</v>
      </c>
      <c r="Q616" s="138" t="str">
        <f ca="1">IFERROR(__xludf.DUMMYFUNCTION("filter(I:I,J:J=P616,G:G=O616)"),"Bobbili")</f>
        <v>Bobbili</v>
      </c>
      <c r="R616" s="138" t="s">
        <v>9407</v>
      </c>
      <c r="U616" s="138" t="s">
        <v>9464</v>
      </c>
      <c r="V616" s="138" t="s">
        <v>9464</v>
      </c>
      <c r="W616" s="138" t="str">
        <f ca="1">IFERROR(__xludf.DUMMYFUNCTION("filter(H:H,I:I=U616,J:J=V616)"),"Eluru")</f>
        <v>Eluru</v>
      </c>
    </row>
    <row r="617" spans="7:23">
      <c r="G617" s="138" t="s">
        <v>9421</v>
      </c>
      <c r="H617" s="138" t="s">
        <v>9378</v>
      </c>
      <c r="I617" s="138" t="s">
        <v>9464</v>
      </c>
      <c r="J617" s="138" t="s">
        <v>9378</v>
      </c>
      <c r="K617" s="138" t="str">
        <f ca="1">IFERROR(__xludf.DUMMYFUNCTION("unique(filter(R:R,R:R=I617))"),"Denduluru")</f>
        <v>Denduluru</v>
      </c>
      <c r="N617" s="138" t="str">
        <f ca="1">IFERROR(__xludf.DUMMYFUNCTION("unique(filter(W:W,U:U=R617))"),"Parvathipuram Manyam")</f>
        <v>Parvathipuram Manyam</v>
      </c>
      <c r="O617" s="138" t="s">
        <v>9405</v>
      </c>
      <c r="P617" s="138" t="s">
        <v>9470</v>
      </c>
      <c r="Q617" s="138" t="str">
        <f ca="1">IFERROR(__xludf.DUMMYFUNCTION("filter(I:I,J:J=P617,G:G=O617)"),"Salur (St)")</f>
        <v>Salur (St)</v>
      </c>
      <c r="R617" s="138" t="s">
        <v>9455</v>
      </c>
      <c r="U617" s="138" t="s">
        <v>9464</v>
      </c>
      <c r="V617" s="138" t="s">
        <v>9468</v>
      </c>
      <c r="W617" s="138" t="str">
        <f ca="1">IFERROR(__xludf.DUMMYFUNCTION("filter(H:H,I:I=U617,J:J=V617)"),"Eluru")</f>
        <v>Eluru</v>
      </c>
    </row>
    <row r="618" spans="7:23">
      <c r="G618" s="138" t="s">
        <v>9421</v>
      </c>
      <c r="H618" s="138" t="s">
        <v>9378</v>
      </c>
      <c r="I618" s="138" t="s">
        <v>9464</v>
      </c>
      <c r="J618" s="138" t="s">
        <v>9423</v>
      </c>
      <c r="K618" s="138" t="str">
        <f ca="1">IFERROR(__xludf.DUMMYFUNCTION("unique(filter(R:R,R:R=I618))"),"Denduluru")</f>
        <v>Denduluru</v>
      </c>
      <c r="N618" s="138" t="str">
        <f ca="1">IFERROR(__xludf.DUMMYFUNCTION("unique(filter(W:W,U:U=R618))"),"Parvathipuram Manyam")</f>
        <v>Parvathipuram Manyam</v>
      </c>
      <c r="O618" s="138" t="s">
        <v>9405</v>
      </c>
      <c r="P618" s="138" t="s">
        <v>9471</v>
      </c>
      <c r="Q618" s="138" t="str">
        <f ca="1">IFERROR(__xludf.DUMMYFUNCTION("filter(I:I,J:J=P618,G:G=O618)"),"#N/A")</f>
        <v>#N/A</v>
      </c>
      <c r="R618" s="138" t="s">
        <v>9410</v>
      </c>
      <c r="U618" s="138" t="s">
        <v>9464</v>
      </c>
      <c r="V618" s="138" t="s">
        <v>9378</v>
      </c>
      <c r="W618" s="138" t="str">
        <f ca="1">IFERROR(__xludf.DUMMYFUNCTION("filter(H:H,I:I=U618,J:J=V618)"),"Eluru")</f>
        <v>Eluru</v>
      </c>
    </row>
    <row r="619" spans="7:23">
      <c r="G619" s="138" t="s">
        <v>9421</v>
      </c>
      <c r="H619" s="138" t="s">
        <v>9378</v>
      </c>
      <c r="I619" s="138" t="s">
        <v>9472</v>
      </c>
      <c r="J619" s="138" t="s">
        <v>9392</v>
      </c>
      <c r="K619" s="138" t="str">
        <f ca="1">IFERROR(__xludf.DUMMYFUNCTION("unique(filter(R:R,R:R=I619))"),"Ungutur")</f>
        <v>Ungutur</v>
      </c>
      <c r="N619" s="138" t="str">
        <f ca="1">IFERROR(__xludf.DUMMYFUNCTION("unique(filter(W:W,U:U=R619))"),"Vizianagaram")</f>
        <v>Vizianagaram</v>
      </c>
      <c r="O619" s="138" t="s">
        <v>9405</v>
      </c>
      <c r="P619" s="138" t="s">
        <v>9473</v>
      </c>
      <c r="Q619" s="138" t="str">
        <f ca="1">IFERROR(__xludf.DUMMYFUNCTION("filter(I:I,J:J=P619,G:G=O619)"),"Srungavarapukota")</f>
        <v>Srungavarapukota</v>
      </c>
      <c r="R619" s="138" t="s">
        <v>9442</v>
      </c>
      <c r="U619" s="138" t="s">
        <v>9464</v>
      </c>
      <c r="V619" s="138" t="s">
        <v>9423</v>
      </c>
      <c r="W619" s="138" t="str">
        <f ca="1">IFERROR(__xludf.DUMMYFUNCTION("filter(H:H,I:I=U619,J:J=V619)"),"Eluru")</f>
        <v>Eluru</v>
      </c>
    </row>
    <row r="620" spans="7:23">
      <c r="G620" s="138" t="s">
        <v>9421</v>
      </c>
      <c r="H620" s="138" t="s">
        <v>9378</v>
      </c>
      <c r="I620" s="138" t="s">
        <v>9472</v>
      </c>
      <c r="J620" s="138" t="s">
        <v>9474</v>
      </c>
      <c r="K620" s="138" t="str">
        <f ca="1">IFERROR(__xludf.DUMMYFUNCTION("unique(filter(R:R,R:R=I620))"),"Ungutur")</f>
        <v>Ungutur</v>
      </c>
      <c r="N620" s="138" t="str">
        <f ca="1">IFERROR(__xludf.DUMMYFUNCTION("unique(filter(W:W,U:U=R620))"),"Vizianagaram")</f>
        <v>Vizianagaram</v>
      </c>
      <c r="O620" s="138" t="s">
        <v>9405</v>
      </c>
      <c r="P620" s="138" t="s">
        <v>9475</v>
      </c>
      <c r="Q620" s="138" t="str">
        <f ca="1">IFERROR(__xludf.DUMMYFUNCTION("filter(I:I,J:J=P620,G:G=O620)"),"Bobbili")</f>
        <v>Bobbili</v>
      </c>
      <c r="R620" s="138" t="s">
        <v>9407</v>
      </c>
      <c r="U620" s="138" t="s">
        <v>9472</v>
      </c>
      <c r="V620" s="138" t="s">
        <v>9392</v>
      </c>
      <c r="W620" s="138" t="str">
        <f ca="1">IFERROR(__xludf.DUMMYFUNCTION("filter(H:H,I:I=U620,J:J=V620)"),"Eluru")</f>
        <v>Eluru</v>
      </c>
    </row>
    <row r="621" spans="7:23">
      <c r="G621" s="138" t="s">
        <v>9421</v>
      </c>
      <c r="H621" s="138" t="s">
        <v>9378</v>
      </c>
      <c r="I621" s="138" t="s">
        <v>9472</v>
      </c>
      <c r="J621" s="138" t="s">
        <v>9476</v>
      </c>
      <c r="K621" s="138" t="str">
        <f ca="1">IFERROR(__xludf.DUMMYFUNCTION("unique(filter(R:R,R:R=I621))"),"Ungutur")</f>
        <v>Ungutur</v>
      </c>
      <c r="N621" s="138" t="str">
        <f ca="1">IFERROR(__xludf.DUMMYFUNCTION("unique(filter(W:W,U:U=R621))"),"Vizianagaram")</f>
        <v>Vizianagaram</v>
      </c>
      <c r="O621" s="138" t="s">
        <v>9405</v>
      </c>
      <c r="P621" s="138" t="s">
        <v>9477</v>
      </c>
      <c r="Q621" s="138" t="str">
        <f ca="1">IFERROR(__xludf.DUMMYFUNCTION("filter(I:I,J:J=P621,G:G=O621)"),"Srungavarapukota")</f>
        <v>Srungavarapukota</v>
      </c>
      <c r="R621" s="138" t="s">
        <v>9442</v>
      </c>
      <c r="U621" s="138" t="s">
        <v>9472</v>
      </c>
      <c r="V621" s="138" t="s">
        <v>9474</v>
      </c>
      <c r="W621" s="138" t="str">
        <f ca="1">IFERROR(__xludf.DUMMYFUNCTION("filter(H:H,I:I=U621,J:J=V621)"),"Eluru")</f>
        <v>Eluru</v>
      </c>
    </row>
    <row r="622" spans="7:23">
      <c r="G622" s="138" t="s">
        <v>9421</v>
      </c>
      <c r="H622" s="138" t="s">
        <v>9378</v>
      </c>
      <c r="I622" s="138" t="s">
        <v>9472</v>
      </c>
      <c r="J622" s="138" t="s">
        <v>9478</v>
      </c>
      <c r="K622" s="138" t="str">
        <f ca="1">IFERROR(__xludf.DUMMYFUNCTION("unique(filter(R:R,R:R=I622))"),"Ungutur")</f>
        <v>Ungutur</v>
      </c>
      <c r="N622" s="138" t="str">
        <f ca="1">IFERROR(__xludf.DUMMYFUNCTION("unique(filter(W:W,U:U=R622))"),"Vizianagaram")</f>
        <v>Vizianagaram</v>
      </c>
      <c r="O622" s="138" t="s">
        <v>9405</v>
      </c>
      <c r="P622" s="138" t="s">
        <v>9405</v>
      </c>
      <c r="Q622" s="138" t="str">
        <f ca="1">IFERROR(__xludf.DUMMYFUNCTION("filter(I:I,J:J=P622,G:G=O622)"),"Vizianagaram")</f>
        <v>Vizianagaram</v>
      </c>
      <c r="R622" s="138" t="s">
        <v>9479</v>
      </c>
      <c r="U622" s="138" t="s">
        <v>9472</v>
      </c>
      <c r="V622" s="138" t="s">
        <v>9476</v>
      </c>
      <c r="W622" s="138" t="str">
        <f ca="1">IFERROR(__xludf.DUMMYFUNCTION("filter(H:H,I:I=U622,J:J=V622)"),"Eluru")</f>
        <v>Eluru</v>
      </c>
    </row>
    <row r="623" spans="7:23">
      <c r="G623" s="138" t="e">
        <v>#N/A</v>
      </c>
      <c r="H623" s="138" t="e">
        <v>#N/A</v>
      </c>
      <c r="I623" s="138" t="s">
        <v>9472</v>
      </c>
      <c r="J623" s="138" t="e">
        <v>#N/A</v>
      </c>
      <c r="K623" s="138" t="str">
        <f ca="1">IFERROR(__xludf.DUMMYFUNCTION("unique(filter(R:R,R:R=I623))"),"Ungutur")</f>
        <v>Ungutur</v>
      </c>
      <c r="N623" s="138" t="str">
        <f ca="1">IFERROR(__xludf.DUMMYFUNCTION("unique(filter(W:W,U:U=R623))"),"West Godavari")</f>
        <v>West Godavari</v>
      </c>
      <c r="O623" s="138" t="s">
        <v>9480</v>
      </c>
      <c r="P623" s="138" t="s">
        <v>9481</v>
      </c>
      <c r="Q623" s="138" t="str">
        <f ca="1">IFERROR(__xludf.DUMMYFUNCTION("filter(I:I,J:J=P623,G:G=O623)"),"Achanta")</f>
        <v>Achanta</v>
      </c>
      <c r="R623" s="138" t="s">
        <v>9482</v>
      </c>
      <c r="U623" s="138" t="s">
        <v>9472</v>
      </c>
      <c r="V623" s="138" t="s">
        <v>9478</v>
      </c>
      <c r="W623" s="138" t="str">
        <f ca="1">IFERROR(__xludf.DUMMYFUNCTION("filter(H:H,I:I=U623,J:J=V623)"),"Eluru")</f>
        <v>Eluru</v>
      </c>
    </row>
    <row r="624" spans="7:23">
      <c r="G624" s="138" t="s">
        <v>9421</v>
      </c>
      <c r="H624" s="138" t="s">
        <v>9421</v>
      </c>
      <c r="I624" s="138" t="s">
        <v>9483</v>
      </c>
      <c r="J624" s="138" t="s">
        <v>9483</v>
      </c>
      <c r="K624" s="138" t="str">
        <f ca="1">IFERROR(__xludf.DUMMYFUNCTION("unique(filter(R:R,R:R=I624))"),"Tadepalligudem")</f>
        <v>Tadepalligudem</v>
      </c>
      <c r="N624" s="138" t="str">
        <f ca="1">IFERROR(__xludf.DUMMYFUNCTION("unique(filter(W:W,U:U=R624))"),"West Godavari")</f>
        <v>West Godavari</v>
      </c>
      <c r="O624" s="138" t="s">
        <v>9480</v>
      </c>
      <c r="P624" s="138" t="s">
        <v>9484</v>
      </c>
      <c r="Q624" s="138" t="str">
        <f ca="1">IFERROR(__xludf.DUMMYFUNCTION("filter(I:I,J:J=P624,G:G=O624)"),"Undi")</f>
        <v>Undi</v>
      </c>
      <c r="R624" s="138" t="s">
        <v>9485</v>
      </c>
    </row>
    <row r="625" spans="7:23">
      <c r="G625" s="138" t="s">
        <v>9421</v>
      </c>
      <c r="H625" s="138" t="s">
        <v>9421</v>
      </c>
      <c r="I625" s="138" t="s">
        <v>9483</v>
      </c>
      <c r="J625" s="138" t="s">
        <v>9486</v>
      </c>
      <c r="K625" s="138" t="str">
        <f ca="1">IFERROR(__xludf.DUMMYFUNCTION("unique(filter(R:R,R:R=I625))"),"Tadepalligudem")</f>
        <v>Tadepalligudem</v>
      </c>
      <c r="N625" s="138" t="str">
        <f ca="1">IFERROR(__xludf.DUMMYFUNCTION("unique(filter(W:W,U:U=R625))"),"West Godavari")</f>
        <v>West Godavari</v>
      </c>
      <c r="O625" s="138" t="s">
        <v>9480</v>
      </c>
      <c r="P625" s="138" t="s">
        <v>9487</v>
      </c>
      <c r="Q625" s="138" t="str">
        <f ca="1">IFERROR(__xludf.DUMMYFUNCTION("filter(I:I,J:J=P625,G:G=O625)"),"Tanuku")</f>
        <v>Tanuku</v>
      </c>
      <c r="R625" s="138" t="s">
        <v>9488</v>
      </c>
      <c r="U625" s="138" t="s">
        <v>9483</v>
      </c>
      <c r="V625" s="138" t="s">
        <v>9483</v>
      </c>
      <c r="W625" s="138" t="str">
        <f ca="1">IFERROR(__xludf.DUMMYFUNCTION("filter(H:H,I:I=U625,J:J=V625)"),"West Godavari")</f>
        <v>West Godavari</v>
      </c>
    </row>
    <row r="626" spans="7:23">
      <c r="G626" s="138" t="s">
        <v>9421</v>
      </c>
      <c r="H626" s="138" t="s">
        <v>9421</v>
      </c>
      <c r="I626" s="138" t="s">
        <v>9483</v>
      </c>
      <c r="J626" s="138" t="s">
        <v>9489</v>
      </c>
      <c r="K626" s="138" t="str">
        <f ca="1">IFERROR(__xludf.DUMMYFUNCTION("unique(filter(R:R,R:R=I626))"),"Tadepalligudem")</f>
        <v>Tadepalligudem</v>
      </c>
      <c r="N626" s="138" t="str">
        <f ca="1">IFERROR(__xludf.DUMMYFUNCTION("unique(filter(W:W,U:U=R626))"),"Eluru")</f>
        <v>Eluru</v>
      </c>
      <c r="O626" s="138" t="s">
        <v>9480</v>
      </c>
      <c r="P626" s="138" t="s">
        <v>9490</v>
      </c>
      <c r="Q626" s="138" t="str">
        <f ca="1">IFERROR(__xludf.DUMMYFUNCTION("filter(I:I,J:J=P626,G:G=O626)"),"Ungutur")</f>
        <v>Ungutur</v>
      </c>
      <c r="R626" s="138" t="s">
        <v>9472</v>
      </c>
      <c r="U626" s="138" t="s">
        <v>9483</v>
      </c>
      <c r="V626" s="138" t="s">
        <v>9486</v>
      </c>
      <c r="W626" s="138" t="str">
        <f ca="1">IFERROR(__xludf.DUMMYFUNCTION("filter(H:H,I:I=U626,J:J=V626)"),"West Godavari")</f>
        <v>West Godavari</v>
      </c>
    </row>
    <row r="627" spans="7:23">
      <c r="G627" s="138" t="e">
        <v>#N/A</v>
      </c>
      <c r="H627" s="138" t="e">
        <v>#N/A</v>
      </c>
      <c r="I627" s="138" t="s">
        <v>9483</v>
      </c>
      <c r="J627" s="138" t="e">
        <v>#N/A</v>
      </c>
      <c r="K627" s="138" t="str">
        <f ca="1">IFERROR(__xludf.DUMMYFUNCTION("unique(filter(R:R,R:R=I627))"),"Tadepalligudem")</f>
        <v>Tadepalligudem</v>
      </c>
      <c r="N627" s="138" t="str">
        <f ca="1">IFERROR(__xludf.DUMMYFUNCTION("unique(filter(W:W,U:U=R627))"),"West Godavari")</f>
        <v>West Godavari</v>
      </c>
      <c r="O627" s="138" t="s">
        <v>9480</v>
      </c>
      <c r="P627" s="138" t="s">
        <v>9491</v>
      </c>
      <c r="Q627" s="138" t="str">
        <f ca="1">IFERROR(__xludf.DUMMYFUNCTION("filter(I:I,J:J=P627,G:G=O627)"),"Bhimavaram")</f>
        <v>Bhimavaram</v>
      </c>
      <c r="R627" s="138" t="s">
        <v>9492</v>
      </c>
      <c r="U627" s="138" t="s">
        <v>9483</v>
      </c>
      <c r="V627" s="138" t="s">
        <v>9489</v>
      </c>
      <c r="W627" s="138" t="str">
        <f ca="1">IFERROR(__xludf.DUMMYFUNCTION("filter(H:H,I:I=U627,J:J=V627)"),"West Godavari")</f>
        <v>West Godavari</v>
      </c>
    </row>
    <row r="628" spans="7:23">
      <c r="G628" s="138" t="s">
        <v>9421</v>
      </c>
      <c r="H628" s="138" t="s">
        <v>9421</v>
      </c>
      <c r="I628" s="138" t="s">
        <v>9488</v>
      </c>
      <c r="J628" s="138" t="s">
        <v>9493</v>
      </c>
      <c r="K628" s="138" t="str">
        <f ca="1">IFERROR(__xludf.DUMMYFUNCTION("unique(filter(R:R,R:R=I628))"),"Tanuku")</f>
        <v>Tanuku</v>
      </c>
      <c r="N628" s="138" t="str">
        <f ca="1">IFERROR(__xludf.DUMMYFUNCTION("unique(filter(W:W,U:U=R628))"),"Eluru")</f>
        <v>Eluru</v>
      </c>
      <c r="O628" s="138" t="s">
        <v>9480</v>
      </c>
      <c r="P628" s="138" t="s">
        <v>9494</v>
      </c>
      <c r="Q628" s="138" t="str">
        <f ca="1">IFERROR(__xludf.DUMMYFUNCTION("filter(I:I,J:J=P628,G:G=O628)"),"Polavaram (St)")</f>
        <v>Polavaram (St)</v>
      </c>
      <c r="R628" s="138" t="s">
        <v>9435</v>
      </c>
    </row>
    <row r="629" spans="7:23">
      <c r="G629" s="138" t="s">
        <v>9421</v>
      </c>
      <c r="H629" s="138" t="s">
        <v>9421</v>
      </c>
      <c r="I629" s="138" t="s">
        <v>9488</v>
      </c>
      <c r="J629" s="138" t="s">
        <v>9488</v>
      </c>
      <c r="K629" s="138" t="str">
        <f ca="1">IFERROR(__xludf.DUMMYFUNCTION("unique(filter(R:R,R:R=I629))"),"Tanuku")</f>
        <v>Tanuku</v>
      </c>
      <c r="N629" s="138" t="str">
        <f ca="1">IFERROR(__xludf.DUMMYFUNCTION("unique(filter(W:W,U:U=R629))"),"East Godavari")</f>
        <v>East Godavari</v>
      </c>
      <c r="O629" s="138" t="s">
        <v>9480</v>
      </c>
      <c r="P629" s="138" t="s">
        <v>9495</v>
      </c>
      <c r="Q629" s="138" t="str">
        <f ca="1">IFERROR(__xludf.DUMMYFUNCTION("filter(I:I,J:J=P629,G:G=O629)"),"Kovvur (Sc)")</f>
        <v>Kovvur (Sc)</v>
      </c>
      <c r="R629" s="138" t="s">
        <v>9496</v>
      </c>
      <c r="U629" s="138" t="s">
        <v>9488</v>
      </c>
      <c r="V629" s="138" t="s">
        <v>9493</v>
      </c>
      <c r="W629" s="138" t="str">
        <f ca="1">IFERROR(__xludf.DUMMYFUNCTION("filter(H:H,I:I=U629,J:J=V629)"),"West Godavari")</f>
        <v>West Godavari</v>
      </c>
    </row>
    <row r="630" spans="7:23">
      <c r="G630" s="138" t="s">
        <v>9421</v>
      </c>
      <c r="H630" s="138" t="s">
        <v>9421</v>
      </c>
      <c r="I630" s="138" t="s">
        <v>9488</v>
      </c>
      <c r="J630" s="138" t="s">
        <v>9497</v>
      </c>
      <c r="K630" s="138" t="str">
        <f ca="1">IFERROR(__xludf.DUMMYFUNCTION("unique(filter(R:R,R:R=I630))"),"Tanuku")</f>
        <v>Tanuku</v>
      </c>
      <c r="N630" s="138" t="str">
        <f ca="1">IFERROR(__xludf.DUMMYFUNCTION("unique(filter(W:W,U:U=R630))"),"Eluru")</f>
        <v>Eluru</v>
      </c>
      <c r="O630" s="138" t="s">
        <v>9480</v>
      </c>
      <c r="P630" s="138" t="s">
        <v>9498</v>
      </c>
      <c r="Q630" s="138" t="str">
        <f ca="1">IFERROR(__xludf.DUMMYFUNCTION("filter(I:I,J:J=P630,G:G=O630)"),"#REF!")</f>
        <v>#REF!</v>
      </c>
      <c r="R630" s="138" t="s">
        <v>9422</v>
      </c>
      <c r="U630" s="138" t="s">
        <v>9488</v>
      </c>
      <c r="V630" s="138" t="s">
        <v>9488</v>
      </c>
      <c r="W630" s="138" t="str">
        <f ca="1">IFERROR(__xludf.DUMMYFUNCTION("filter(H:H,I:I=U630,J:J=V630)"),"West Godavari")</f>
        <v>West Godavari</v>
      </c>
    </row>
    <row r="631" spans="7:23">
      <c r="G631" s="138" t="s">
        <v>9421</v>
      </c>
      <c r="H631" s="138" t="s">
        <v>9421</v>
      </c>
      <c r="I631" s="138" t="s">
        <v>9488</v>
      </c>
      <c r="J631" s="138" t="s">
        <v>9499</v>
      </c>
      <c r="K631" s="138" t="str">
        <f ca="1">IFERROR(__xludf.DUMMYFUNCTION("unique(filter(R:R,R:R=I631))"),"Tanuku")</f>
        <v>Tanuku</v>
      </c>
      <c r="N631" s="138" t="str">
        <f ca="1">IFERROR(__xludf.DUMMYFUNCTION("unique(filter(W:W,U:U=R631))"),"Eluru")</f>
        <v>Eluru</v>
      </c>
      <c r="O631" s="138" t="s">
        <v>9480</v>
      </c>
      <c r="P631" s="138" t="s">
        <v>9500</v>
      </c>
      <c r="Q631" s="138" t="str">
        <f ca="1">IFERROR(__xludf.DUMMYFUNCTION("filter(I:I,J:J=P631,G:G=O631)"),"Denduluru")</f>
        <v>Denduluru</v>
      </c>
      <c r="R631" s="138" t="s">
        <v>9464</v>
      </c>
      <c r="U631" s="138" t="s">
        <v>9488</v>
      </c>
      <c r="V631" s="138" t="s">
        <v>9497</v>
      </c>
      <c r="W631" s="138" t="str">
        <f ca="1">IFERROR(__xludf.DUMMYFUNCTION("filter(H:H,I:I=U631,J:J=V631)"),"West Godavari")</f>
        <v>West Godavari</v>
      </c>
    </row>
    <row r="632" spans="7:23">
      <c r="G632" s="138" t="e">
        <v>#N/A</v>
      </c>
      <c r="H632" s="138" t="e">
        <v>#N/A</v>
      </c>
      <c r="I632" s="138" t="s">
        <v>9488</v>
      </c>
      <c r="J632" s="138" t="e">
        <v>#N/A</v>
      </c>
      <c r="K632" s="138" t="str">
        <f ca="1">IFERROR(__xludf.DUMMYFUNCTION("unique(filter(R:R,R:R=I632))"),"Tanuku")</f>
        <v>Tanuku</v>
      </c>
      <c r="N632" s="138" t="str">
        <f ca="1">IFERROR(__xludf.DUMMYFUNCTION("unique(filter(W:W,U:U=R632))"),"East Godavari")</f>
        <v>East Godavari</v>
      </c>
      <c r="O632" s="138" t="s">
        <v>9480</v>
      </c>
      <c r="P632" s="138" t="s">
        <v>9501</v>
      </c>
      <c r="Q632" s="138" t="str">
        <f ca="1">IFERROR(__xludf.DUMMYFUNCTION("filter(I:I,J:J=P632,G:G=O632)"),"#N/A")</f>
        <v>#N/A</v>
      </c>
      <c r="R632" s="138" t="s">
        <v>9452</v>
      </c>
      <c r="U632" s="138" t="s">
        <v>9488</v>
      </c>
      <c r="V632" s="138" t="s">
        <v>9499</v>
      </c>
      <c r="W632" s="138" t="str">
        <f ca="1">IFERROR(__xludf.DUMMYFUNCTION("filter(H:H,I:I=U632,J:J=V632)"),"West Godavari")</f>
        <v>West Godavari</v>
      </c>
    </row>
    <row r="633" spans="7:23">
      <c r="G633" s="138" t="s">
        <v>9421</v>
      </c>
      <c r="H633" s="138" t="s">
        <v>9421</v>
      </c>
      <c r="I633" s="138" t="s">
        <v>9485</v>
      </c>
      <c r="J633" s="138" t="s">
        <v>9502</v>
      </c>
      <c r="K633" s="138" t="str">
        <f ca="1">IFERROR(__xludf.DUMMYFUNCTION("unique(filter(R:R,R:R=I633))"),"Undi")</f>
        <v>Undi</v>
      </c>
      <c r="N633" s="138" t="str">
        <f ca="1">IFERROR(__xludf.DUMMYFUNCTION("unique(filter(W:W,U:U=R633))"),"East Godavari")</f>
        <v>East Godavari</v>
      </c>
      <c r="O633" s="138" t="s">
        <v>9480</v>
      </c>
      <c r="P633" s="138" t="s">
        <v>9503</v>
      </c>
      <c r="Q633" s="138" t="str">
        <f ca="1">IFERROR(__xludf.DUMMYFUNCTION("filter(I:I,J:J=P633,G:G=O633)"),"#N/A")</f>
        <v>#N/A</v>
      </c>
      <c r="R633" s="138" t="s">
        <v>9452</v>
      </c>
    </row>
    <row r="634" spans="7:23">
      <c r="G634" s="138" t="s">
        <v>9421</v>
      </c>
      <c r="H634" s="138" t="s">
        <v>9421</v>
      </c>
      <c r="I634" s="138" t="s">
        <v>9485</v>
      </c>
      <c r="J634" s="138" t="s">
        <v>9485</v>
      </c>
      <c r="K634" s="138" t="str">
        <f ca="1">IFERROR(__xludf.DUMMYFUNCTION("unique(filter(R:R,R:R=I634))"),"Undi")</f>
        <v>Undi</v>
      </c>
      <c r="N634" s="138" t="str">
        <f ca="1">IFERROR(__xludf.DUMMYFUNCTION("unique(filter(W:W,U:U=R634))"),"Eluru")</f>
        <v>Eluru</v>
      </c>
      <c r="O634" s="138" t="s">
        <v>9480</v>
      </c>
      <c r="P634" s="138" t="s">
        <v>1309</v>
      </c>
      <c r="Q634" s="138" t="str">
        <f ca="1">IFERROR(__xludf.DUMMYFUNCTION("filter(I:I,J:J=P634,G:G=O634)"),"Denduluru")</f>
        <v>Denduluru</v>
      </c>
      <c r="R634" s="138" t="s">
        <v>9464</v>
      </c>
      <c r="U634" s="138" t="s">
        <v>9485</v>
      </c>
      <c r="V634" s="138" t="s">
        <v>9502</v>
      </c>
      <c r="W634" s="138" t="str">
        <f ca="1">IFERROR(__xludf.DUMMYFUNCTION("filter(H:H,I:I=U634,J:J=V634)"),"West Godavari")</f>
        <v>West Godavari</v>
      </c>
    </row>
    <row r="635" spans="7:23">
      <c r="G635" s="138" t="s">
        <v>9421</v>
      </c>
      <c r="H635" s="138" t="s">
        <v>9421</v>
      </c>
      <c r="I635" s="138" t="s">
        <v>9485</v>
      </c>
      <c r="J635" s="138" t="s">
        <v>9504</v>
      </c>
      <c r="K635" s="138" t="str">
        <f ca="1">IFERROR(__xludf.DUMMYFUNCTION("unique(filter(R:R,R:R=I635))"),"Undi")</f>
        <v>Undi</v>
      </c>
      <c r="N635" s="138" t="str">
        <f ca="1">IFERROR(__xludf.DUMMYFUNCTION("unique(filter(W:W,U:U=R635))"),"Eluru")</f>
        <v>Eluru</v>
      </c>
      <c r="O635" s="138" t="s">
        <v>9480</v>
      </c>
      <c r="P635" s="138" t="s">
        <v>9505</v>
      </c>
      <c r="Q635" s="138" t="str">
        <f ca="1">IFERROR(__xludf.DUMMYFUNCTION("filter(I:I,J:J=P635,G:G=O635)"),"Ungutur")</f>
        <v>Ungutur</v>
      </c>
      <c r="R635" s="138" t="s">
        <v>9472</v>
      </c>
      <c r="U635" s="138" t="s">
        <v>9485</v>
      </c>
      <c r="V635" s="138" t="s">
        <v>9485</v>
      </c>
      <c r="W635" s="138" t="str">
        <f ca="1">IFERROR(__xludf.DUMMYFUNCTION("filter(H:H,I:I=U635,J:J=V635)"),"West Godavari")</f>
        <v>West Godavari</v>
      </c>
    </row>
    <row r="636" spans="7:23">
      <c r="G636" s="138" t="s">
        <v>9421</v>
      </c>
      <c r="H636" s="138" t="s">
        <v>9421</v>
      </c>
      <c r="I636" s="138" t="s">
        <v>9485</v>
      </c>
      <c r="J636" s="138" t="s">
        <v>9506</v>
      </c>
      <c r="K636" s="138" t="str">
        <f ca="1">IFERROR(__xludf.DUMMYFUNCTION("unique(filter(R:R,R:R=I636))"),"Undi")</f>
        <v>Undi</v>
      </c>
      <c r="N636" s="138" t="str">
        <f ca="1">IFERROR(__xludf.DUMMYFUNCTION("unique(filter(W:W,U:U=R636))"),"East Godavari")</f>
        <v>East Godavari</v>
      </c>
      <c r="O636" s="138" t="s">
        <v>9480</v>
      </c>
      <c r="P636" s="138" t="s">
        <v>9507</v>
      </c>
      <c r="Q636" s="138" t="str">
        <f ca="1">IFERROR(__xludf.DUMMYFUNCTION("filter(I:I,J:J=P636,G:G=O636)"),"Gopalapuram (Sc)")</f>
        <v>Gopalapuram (Sc)</v>
      </c>
      <c r="R636" s="138" t="s">
        <v>9452</v>
      </c>
      <c r="U636" s="138" t="s">
        <v>9485</v>
      </c>
      <c r="V636" s="138" t="s">
        <v>9504</v>
      </c>
      <c r="W636" s="138" t="str">
        <f ca="1">IFERROR(__xludf.DUMMYFUNCTION("filter(H:H,I:I=U636,J:J=V636)"),"West Godavari")</f>
        <v>West Godavari</v>
      </c>
    </row>
    <row r="637" spans="7:23">
      <c r="G637" s="138" t="s">
        <v>9421</v>
      </c>
      <c r="H637" s="138" t="s">
        <v>9421</v>
      </c>
      <c r="I637" s="138" t="s">
        <v>9485</v>
      </c>
      <c r="J637" s="138" t="s">
        <v>9508</v>
      </c>
      <c r="K637" s="138" t="str">
        <f ca="1">IFERROR(__xludf.DUMMYFUNCTION("unique(filter(R:R,R:R=I637))"),"Undi")</f>
        <v>Undi</v>
      </c>
      <c r="N637" s="138" t="str">
        <f ca="1">IFERROR(__xludf.DUMMYFUNCTION("unique(filter(W:W,U:U=R637))"),"West Godavari")</f>
        <v>West Godavari</v>
      </c>
      <c r="O637" s="138" t="s">
        <v>9480</v>
      </c>
      <c r="P637" s="138" t="s">
        <v>9509</v>
      </c>
      <c r="Q637" s="138" t="str">
        <f ca="1">IFERROR(__xludf.DUMMYFUNCTION("filter(I:I,J:J=P637,G:G=O637)"),"Tanuku")</f>
        <v>Tanuku</v>
      </c>
      <c r="R637" s="138" t="s">
        <v>9488</v>
      </c>
      <c r="U637" s="138" t="s">
        <v>9485</v>
      </c>
      <c r="V637" s="138" t="s">
        <v>9506</v>
      </c>
      <c r="W637" s="138" t="str">
        <f ca="1">IFERROR(__xludf.DUMMYFUNCTION("filter(H:H,I:I=U637,J:J=V637)"),"West Godavari")</f>
        <v>West Godavari</v>
      </c>
    </row>
    <row r="638" spans="7:23">
      <c r="G638" s="138" t="e">
        <v>#N/A</v>
      </c>
      <c r="H638" s="138" t="e">
        <v>#N/A</v>
      </c>
      <c r="I638" s="138" t="s">
        <v>9485</v>
      </c>
      <c r="J638" s="138" t="e">
        <v>#N/A</v>
      </c>
      <c r="K638" s="138" t="str">
        <f ca="1">IFERROR(__xludf.DUMMYFUNCTION("unique(filter(R:R,R:R=I638))"),"Undi")</f>
        <v>Undi</v>
      </c>
      <c r="N638" s="138" t="str">
        <f ca="1">IFERROR(__xludf.DUMMYFUNCTION("unique(filter(W:W,U:U=R638))"),"Eluru")</f>
        <v>Eluru</v>
      </c>
      <c r="O638" s="138" t="s">
        <v>9480</v>
      </c>
      <c r="P638" s="138" t="s">
        <v>9510</v>
      </c>
      <c r="Q638" s="138" t="str">
        <f ca="1">IFERROR(__xludf.DUMMYFUNCTION("filter(I:I,J:J=P638,G:G=O638)"),"Chintalapudi (Sc)")</f>
        <v>Chintalapudi (Sc)</v>
      </c>
      <c r="R638" s="138" t="s">
        <v>9422</v>
      </c>
      <c r="U638" s="138" t="s">
        <v>9485</v>
      </c>
      <c r="V638" s="138" t="s">
        <v>9508</v>
      </c>
      <c r="W638" s="138" t="str">
        <f ca="1">IFERROR(__xludf.DUMMYFUNCTION("filter(H:H,I:I=U638,J:J=V638)"),"West Godavari")</f>
        <v>West Godavari</v>
      </c>
    </row>
    <row r="639" spans="7:23">
      <c r="G639" s="138" t="s">
        <v>9421</v>
      </c>
      <c r="H639" s="138" t="s">
        <v>9421</v>
      </c>
      <c r="I639" s="138" t="s">
        <v>9492</v>
      </c>
      <c r="J639" s="138" t="s">
        <v>9511</v>
      </c>
      <c r="K639" s="138" t="str">
        <f ca="1">IFERROR(__xludf.DUMMYFUNCTION("unique(filter(R:R,R:R=I639))"),"Bhimavaram")</f>
        <v>Bhimavaram</v>
      </c>
      <c r="N639" s="138" t="str">
        <f ca="1">IFERROR(__xludf.DUMMYFUNCTION("unique(filter(W:W,U:U=R639))"),"Eluru")</f>
        <v>Eluru</v>
      </c>
      <c r="O639" s="138" t="s">
        <v>9480</v>
      </c>
      <c r="P639" s="138" t="s">
        <v>9512</v>
      </c>
      <c r="Q639" s="138" t="str">
        <f ca="1">IFERROR(__xludf.DUMMYFUNCTION("filter(I:I,J:J=P639,G:G=O639)"),"Polavaram (St)")</f>
        <v>Polavaram (St)</v>
      </c>
      <c r="R639" s="138" t="s">
        <v>9435</v>
      </c>
    </row>
    <row r="640" spans="7:23">
      <c r="G640" s="138" t="s">
        <v>9421</v>
      </c>
      <c r="H640" s="138" t="s">
        <v>9421</v>
      </c>
      <c r="I640" s="138" t="s">
        <v>9492</v>
      </c>
      <c r="J640" s="138" t="s">
        <v>9492</v>
      </c>
      <c r="K640" s="138" t="str">
        <f ca="1">IFERROR(__xludf.DUMMYFUNCTION("unique(filter(R:R,R:R=I640))"),"Bhimavaram")</f>
        <v>Bhimavaram</v>
      </c>
      <c r="N640" s="138" t="str">
        <f ca="1">IFERROR(__xludf.DUMMYFUNCTION("unique(filter(W:W,U:U=R640))"),"West Godavari")</f>
        <v>West Godavari</v>
      </c>
      <c r="O640" s="138" t="s">
        <v>9480</v>
      </c>
      <c r="P640" s="138" t="s">
        <v>9513</v>
      </c>
      <c r="Q640" s="138" t="str">
        <f ca="1">IFERROR(__xludf.DUMMYFUNCTION("filter(I:I,J:J=P640,G:G=O640)"),"Undi")</f>
        <v>Undi</v>
      </c>
      <c r="R640" s="138" t="s">
        <v>9485</v>
      </c>
      <c r="U640" s="138" t="s">
        <v>9492</v>
      </c>
      <c r="V640" s="138" t="s">
        <v>9511</v>
      </c>
      <c r="W640" s="138" t="str">
        <f ca="1">IFERROR(__xludf.DUMMYFUNCTION("filter(H:H,I:I=U640,J:J=V640)"),"West Godavari")</f>
        <v>West Godavari</v>
      </c>
    </row>
    <row r="641" spans="7:23">
      <c r="G641" s="138" t="s">
        <v>9421</v>
      </c>
      <c r="H641" s="138" t="s">
        <v>9421</v>
      </c>
      <c r="I641" s="138" t="s">
        <v>9492</v>
      </c>
      <c r="J641" s="138" t="s">
        <v>9514</v>
      </c>
      <c r="K641" s="138" t="str">
        <f ca="1">IFERROR(__xludf.DUMMYFUNCTION("unique(filter(R:R,R:R=I641))"),"Bhimavaram")</f>
        <v>Bhimavaram</v>
      </c>
      <c r="N641" s="138" t="str">
        <f ca="1">IFERROR(__xludf.DUMMYFUNCTION("unique(filter(W:W,U:U=R641))"),"Eluru")</f>
        <v>Eluru</v>
      </c>
      <c r="O641" s="138" t="s">
        <v>9480</v>
      </c>
      <c r="P641" s="138" t="s">
        <v>9515</v>
      </c>
      <c r="Q641" s="138" t="str">
        <f ca="1">IFERROR(__xludf.DUMMYFUNCTION("filter(I:I,J:J=P641,G:G=O641)"),"Chintalapudi (Sc)")</f>
        <v>Chintalapudi (Sc)</v>
      </c>
      <c r="R641" s="138" t="s">
        <v>9422</v>
      </c>
      <c r="U641" s="138" t="s">
        <v>9492</v>
      </c>
      <c r="V641" s="138" t="s">
        <v>9492</v>
      </c>
      <c r="W641" s="138" t="str">
        <f ca="1">IFERROR(__xludf.DUMMYFUNCTION("filter(H:H,I:I=U641,J:J=V641)"),"West Godavari")</f>
        <v>West Godavari</v>
      </c>
    </row>
    <row r="642" spans="7:23">
      <c r="G642" s="138" t="e">
        <v>#N/A</v>
      </c>
      <c r="H642" s="138" t="e">
        <v>#N/A</v>
      </c>
      <c r="I642" s="138" t="s">
        <v>9492</v>
      </c>
      <c r="J642" s="138" t="e">
        <v>#N/A</v>
      </c>
      <c r="K642" s="138" t="str">
        <f ca="1">IFERROR(__xludf.DUMMYFUNCTION("unique(filter(R:R,R:R=I642))"),"Bhimavaram")</f>
        <v>Bhimavaram</v>
      </c>
      <c r="N642" s="138" t="str">
        <f ca="1">IFERROR(__xludf.DUMMYFUNCTION("unique(filter(W:W,U:U=R642))"),"East Godavari")</f>
        <v>East Godavari</v>
      </c>
      <c r="O642" s="138" t="s">
        <v>9480</v>
      </c>
      <c r="P642" s="138" t="s">
        <v>9516</v>
      </c>
      <c r="Q642" s="138" t="str">
        <f ca="1">IFERROR(__xludf.DUMMYFUNCTION("filter(I:I,J:J=P642,G:G=O642)"),"Kovvur (Sc)")</f>
        <v>Kovvur (Sc)</v>
      </c>
      <c r="R642" s="138" t="s">
        <v>9496</v>
      </c>
      <c r="U642" s="138" t="s">
        <v>9492</v>
      </c>
      <c r="V642" s="138" t="s">
        <v>9514</v>
      </c>
      <c r="W642" s="138" t="str">
        <f ca="1">IFERROR(__xludf.DUMMYFUNCTION("filter(H:H,I:I=U642,J:J=V642)"),"West Godavari")</f>
        <v>West Godavari</v>
      </c>
    </row>
    <row r="643" spans="7:23">
      <c r="G643" s="138" t="s">
        <v>9421</v>
      </c>
      <c r="H643" s="138" t="s">
        <v>9421</v>
      </c>
      <c r="I643" s="138" t="s">
        <v>9517</v>
      </c>
      <c r="J643" s="138" t="s">
        <v>9517</v>
      </c>
      <c r="K643" s="138" t="str">
        <f ca="1">IFERROR(__xludf.DUMMYFUNCTION("unique(filter(R:R,R:R=I643))"),"Narasapuram")</f>
        <v>Narasapuram</v>
      </c>
      <c r="N643" s="138" t="str">
        <f ca="1">IFERROR(__xludf.DUMMYFUNCTION("unique(filter(W:W,U:U=R643))"),"Eluru")</f>
        <v>Eluru</v>
      </c>
      <c r="O643" s="138" t="s">
        <v>9480</v>
      </c>
      <c r="P643" s="138" t="s">
        <v>9518</v>
      </c>
      <c r="Q643" s="138" t="str">
        <f ca="1">IFERROR(__xludf.DUMMYFUNCTION("filter(I:I,J:J=P643,G:G=O643)"),"Polavaram (St)")</f>
        <v>Polavaram (St)</v>
      </c>
      <c r="R643" s="138" t="s">
        <v>9435</v>
      </c>
    </row>
    <row r="644" spans="7:23">
      <c r="G644" s="138" t="s">
        <v>9421</v>
      </c>
      <c r="H644" s="138" t="s">
        <v>9421</v>
      </c>
      <c r="I644" s="138" t="s">
        <v>9517</v>
      </c>
      <c r="J644" s="138" t="s">
        <v>9519</v>
      </c>
      <c r="K644" s="138" t="str">
        <f ca="1">IFERROR(__xludf.DUMMYFUNCTION("unique(filter(R:R,R:R=I644))"),"Narasapuram")</f>
        <v>Narasapuram</v>
      </c>
      <c r="N644" s="138" t="str">
        <f ca="1">IFERROR(__xludf.DUMMYFUNCTION("unique(filter(W:W,U:U=R644))"),"Eluru")</f>
        <v>Eluru</v>
      </c>
      <c r="O644" s="138" t="s">
        <v>9480</v>
      </c>
      <c r="P644" s="138" t="s">
        <v>9520</v>
      </c>
      <c r="Q644" s="138" t="str">
        <f ca="1">IFERROR(__xludf.DUMMYFUNCTION("filter(I:I,J:J=P644,G:G=O644)"),"Polavaram (St)")</f>
        <v>Polavaram (St)</v>
      </c>
      <c r="R644" s="138" t="s">
        <v>9435</v>
      </c>
      <c r="U644" s="138" t="s">
        <v>9517</v>
      </c>
      <c r="V644" s="138" t="s">
        <v>9517</v>
      </c>
      <c r="W644" s="138" t="str">
        <f ca="1">IFERROR(__xludf.DUMMYFUNCTION("filter(H:H,I:I=U644,J:J=V644)"),"West Godavari")</f>
        <v>West Godavari</v>
      </c>
    </row>
    <row r="645" spans="7:23">
      <c r="G645" s="138" t="s">
        <v>9421</v>
      </c>
      <c r="H645" s="138" t="s">
        <v>9421</v>
      </c>
      <c r="I645" s="138" t="s">
        <v>9517</v>
      </c>
      <c r="J645" s="138" t="s">
        <v>9521</v>
      </c>
      <c r="K645" s="138" t="str">
        <f ca="1">IFERROR(__xludf.DUMMYFUNCTION("unique(filter(R:R,R:R=I645))"),"Narasapuram")</f>
        <v>Narasapuram</v>
      </c>
      <c r="N645" s="138" t="str">
        <f ca="1">IFERROR(__xludf.DUMMYFUNCTION("unique(filter(W:W,U:U=R645))"),"Eluru")</f>
        <v>Eluru</v>
      </c>
      <c r="O645" s="138" t="s">
        <v>9480</v>
      </c>
      <c r="P645" s="138" t="s">
        <v>9522</v>
      </c>
      <c r="Q645" s="138" t="str">
        <f ca="1">IFERROR(__xludf.DUMMYFUNCTION("filter(I:I,J:J=P645,G:G=O645)"),"Chintalapudi (Sc)")</f>
        <v>Chintalapudi (Sc)</v>
      </c>
      <c r="R645" s="138" t="s">
        <v>9422</v>
      </c>
      <c r="U645" s="138" t="s">
        <v>9517</v>
      </c>
      <c r="V645" s="138" t="s">
        <v>9519</v>
      </c>
      <c r="W645" s="138" t="str">
        <f ca="1">IFERROR(__xludf.DUMMYFUNCTION("filter(H:H,I:I=U645,J:J=V645)"),"West Godavari")</f>
        <v>West Godavari</v>
      </c>
    </row>
    <row r="646" spans="7:23">
      <c r="G646" s="138" t="s">
        <v>9421</v>
      </c>
      <c r="H646" s="138" t="s">
        <v>9421</v>
      </c>
      <c r="I646" s="138" t="s">
        <v>9523</v>
      </c>
      <c r="J646" s="138" t="s">
        <v>9523</v>
      </c>
      <c r="K646" s="138" t="str">
        <f ca="1">IFERROR(__xludf.DUMMYFUNCTION("unique(filter(R:R,R:R=I646))"),"Palacole")</f>
        <v>Palacole</v>
      </c>
      <c r="N646" s="138" t="str">
        <f ca="1">IFERROR(__xludf.DUMMYFUNCTION("unique(filter(W:W,U:U=R646))"),"West Godavari")</f>
        <v>West Godavari</v>
      </c>
      <c r="O646" s="138" t="s">
        <v>9480</v>
      </c>
      <c r="P646" s="138" t="s">
        <v>9524</v>
      </c>
      <c r="Q646" s="138" t="str">
        <f ca="1">IFERROR(__xludf.DUMMYFUNCTION("filter(I:I,J:J=P646,G:G=O646)"),"Narasapuram")</f>
        <v>Narasapuram</v>
      </c>
      <c r="R646" s="138" t="s">
        <v>9517</v>
      </c>
      <c r="U646" s="138" t="s">
        <v>9517</v>
      </c>
      <c r="V646" s="138" t="s">
        <v>9521</v>
      </c>
      <c r="W646" s="138" t="str">
        <f ca="1">IFERROR(__xludf.DUMMYFUNCTION("filter(H:H,I:I=U646,J:J=V646)"),"West Godavari")</f>
        <v>West Godavari</v>
      </c>
    </row>
    <row r="647" spans="7:23">
      <c r="G647" s="138" t="s">
        <v>9421</v>
      </c>
      <c r="H647" s="138" t="s">
        <v>9421</v>
      </c>
      <c r="I647" s="138" t="s">
        <v>9523</v>
      </c>
      <c r="J647" s="138" t="s">
        <v>9525</v>
      </c>
      <c r="K647" s="138" t="str">
        <f ca="1">IFERROR(__xludf.DUMMYFUNCTION("unique(filter(R:R,R:R=I647))"),"Palacole")</f>
        <v>Palacole</v>
      </c>
      <c r="N647" s="138" t="str">
        <f ca="1">IFERROR(__xludf.DUMMYFUNCTION("unique(filter(W:W,U:U=R647))"),"East Godavari")</f>
        <v>East Godavari</v>
      </c>
      <c r="O647" s="138" t="s">
        <v>9480</v>
      </c>
      <c r="P647" s="138" t="s">
        <v>9526</v>
      </c>
      <c r="Q647" s="138" t="str">
        <f ca="1">IFERROR(__xludf.DUMMYFUNCTION("filter(I:I,J:J=P647,G:G=O647)"),"Gopalapuram (Sc)")</f>
        <v>Gopalapuram (Sc)</v>
      </c>
      <c r="R647" s="138" t="s">
        <v>9452</v>
      </c>
      <c r="U647" s="138" t="s">
        <v>9523</v>
      </c>
      <c r="V647" s="138" t="s">
        <v>9523</v>
      </c>
      <c r="W647" s="138" t="str">
        <f ca="1">IFERROR(__xludf.DUMMYFUNCTION("filter(H:H,I:I=U647,J:J=V647)"),"West Godavari")</f>
        <v>West Godavari</v>
      </c>
    </row>
    <row r="648" spans="7:23">
      <c r="G648" s="138" t="s">
        <v>9421</v>
      </c>
      <c r="H648" s="138" t="s">
        <v>9421</v>
      </c>
      <c r="I648" s="138" t="s">
        <v>9523</v>
      </c>
      <c r="J648" s="138" t="s">
        <v>9331</v>
      </c>
      <c r="K648" s="138" t="str">
        <f ca="1">IFERROR(__xludf.DUMMYFUNCTION("unique(filter(R:R,R:R=I648))"),"Palacole")</f>
        <v>Palacole</v>
      </c>
      <c r="N648" s="138" t="str">
        <f ca="1">IFERROR(__xludf.DUMMYFUNCTION("unique(filter(W:W,U:U=R648))"),"West Godavari")</f>
        <v>West Godavari</v>
      </c>
      <c r="O648" s="138" t="s">
        <v>9480</v>
      </c>
      <c r="P648" s="138" t="s">
        <v>9527</v>
      </c>
      <c r="Q648" s="138" t="str">
        <f ca="1">IFERROR(__xludf.DUMMYFUNCTION("filter(I:I,J:J=P648,G:G=O648)"),"Narasapuram")</f>
        <v>Narasapuram</v>
      </c>
      <c r="R648" s="138" t="s">
        <v>9517</v>
      </c>
      <c r="U648" s="138" t="s">
        <v>9523</v>
      </c>
      <c r="V648" s="138" t="s">
        <v>9525</v>
      </c>
      <c r="W648" s="138" t="str">
        <f ca="1">IFERROR(__xludf.DUMMYFUNCTION("filter(H:H,I:I=U648,J:J=V648)"),"West Godavari")</f>
        <v>West Godavari</v>
      </c>
    </row>
    <row r="649" spans="7:23">
      <c r="G649" s="138" t="s">
        <v>9421</v>
      </c>
      <c r="H649" s="138" t="s">
        <v>9421</v>
      </c>
      <c r="I649" s="138" t="s">
        <v>9523</v>
      </c>
      <c r="J649" s="138" t="s">
        <v>9528</v>
      </c>
      <c r="K649" s="138" t="str">
        <f ca="1">IFERROR(__xludf.DUMMYFUNCTION("unique(filter(R:R,R:R=I649))"),"Palacole")</f>
        <v>Palacole</v>
      </c>
      <c r="N649" s="138" t="str">
        <f ca="1">IFERROR(__xludf.DUMMYFUNCTION("unique(filter(W:W,U:U=R649))"),"East Godavari")</f>
        <v>East Godavari</v>
      </c>
      <c r="O649" s="138" t="s">
        <v>9480</v>
      </c>
      <c r="P649" s="138" t="s">
        <v>9529</v>
      </c>
      <c r="Q649" s="138" t="str">
        <f ca="1">IFERROR(__xludf.DUMMYFUNCTION("filter(I:I,J:J=P649,G:G=O649)"),"Nidadavole")</f>
        <v>Nidadavole</v>
      </c>
      <c r="R649" s="138" t="s">
        <v>9530</v>
      </c>
      <c r="U649" s="138" t="s">
        <v>9523</v>
      </c>
      <c r="V649" s="138" t="s">
        <v>9331</v>
      </c>
      <c r="W649" s="138" t="str">
        <f ca="1">IFERROR(__xludf.DUMMYFUNCTION("filter(H:H,I:I=U649,J:J=V649)"),"West Godavari")</f>
        <v>West Godavari</v>
      </c>
    </row>
    <row r="650" spans="7:23">
      <c r="G650" s="138" t="e">
        <v>#N/A</v>
      </c>
      <c r="H650" s="138" t="e">
        <v>#N/A</v>
      </c>
      <c r="I650" s="138" t="s">
        <v>9523</v>
      </c>
      <c r="J650" s="138" t="e">
        <v>#N/A</v>
      </c>
      <c r="K650" s="138" t="str">
        <f ca="1">IFERROR(__xludf.DUMMYFUNCTION("unique(filter(R:R,R:R=I650))"),"Palacole")</f>
        <v>Palacole</v>
      </c>
      <c r="N650" s="138" t="str">
        <f ca="1">IFERROR(__xludf.DUMMYFUNCTION("unique(filter(W:W,U:U=R650))"),"Eluru")</f>
        <v>Eluru</v>
      </c>
      <c r="O650" s="138" t="s">
        <v>9480</v>
      </c>
      <c r="P650" s="138" t="s">
        <v>9531</v>
      </c>
      <c r="Q650" s="138" t="str">
        <f ca="1">IFERROR(__xludf.DUMMYFUNCTION("filter(I:I,J:J=P650,G:G=O650)"),"Ungutur")</f>
        <v>Ungutur</v>
      </c>
      <c r="R650" s="138" t="s">
        <v>9472</v>
      </c>
      <c r="U650" s="138" t="s">
        <v>9523</v>
      </c>
      <c r="V650" s="138" t="s">
        <v>9528</v>
      </c>
      <c r="W650" s="138" t="str">
        <f ca="1">IFERROR(__xludf.DUMMYFUNCTION("filter(H:H,I:I=U650,J:J=V650)"),"West Godavari")</f>
        <v>West Godavari</v>
      </c>
    </row>
    <row r="651" spans="7:23">
      <c r="G651" s="138" t="s">
        <v>9421</v>
      </c>
      <c r="H651" s="138" t="s">
        <v>9421</v>
      </c>
      <c r="I651" s="138" t="s">
        <v>9482</v>
      </c>
      <c r="J651" s="138" t="s">
        <v>9532</v>
      </c>
      <c r="K651" s="138" t="str">
        <f ca="1">IFERROR(__xludf.DUMMYFUNCTION("unique(filter(R:R,R:R=I651))"),"Achanta")</f>
        <v>Achanta</v>
      </c>
      <c r="N651" s="138" t="str">
        <f ca="1">IFERROR(__xludf.DUMMYFUNCTION("unique(filter(W:W,U:U=R651))"),"West Godavari")</f>
        <v>West Godavari</v>
      </c>
      <c r="O651" s="138" t="s">
        <v>9480</v>
      </c>
      <c r="P651" s="138" t="s">
        <v>9533</v>
      </c>
      <c r="Q651" s="138" t="str">
        <f ca="1">IFERROR(__xludf.DUMMYFUNCTION("filter(I:I,J:J=P651,G:G=O651)"),"Undi")</f>
        <v>Undi</v>
      </c>
      <c r="R651" s="138" t="s">
        <v>9485</v>
      </c>
    </row>
    <row r="652" spans="7:23">
      <c r="G652" s="138" t="s">
        <v>9421</v>
      </c>
      <c r="H652" s="138" t="s">
        <v>9421</v>
      </c>
      <c r="I652" s="138" t="s">
        <v>9482</v>
      </c>
      <c r="J652" s="138" t="s">
        <v>9534</v>
      </c>
      <c r="K652" s="138" t="str">
        <f ca="1">IFERROR(__xludf.DUMMYFUNCTION("unique(filter(R:R,R:R=I652))"),"Achanta")</f>
        <v>Achanta</v>
      </c>
      <c r="N652" s="138" t="str">
        <f ca="1">IFERROR(__xludf.DUMMYFUNCTION("unique(filter(W:W,U:U=R652))"),"West Godavari")</f>
        <v>West Godavari</v>
      </c>
      <c r="O652" s="138" t="s">
        <v>9480</v>
      </c>
      <c r="P652" s="138" t="s">
        <v>9535</v>
      </c>
      <c r="Q652" s="138" t="str">
        <f ca="1">IFERROR(__xludf.DUMMYFUNCTION("filter(I:I,J:J=P652,G:G=O652)"),"Palacole")</f>
        <v>Palacole</v>
      </c>
      <c r="R652" s="138" t="s">
        <v>9523</v>
      </c>
      <c r="U652" s="138" t="s">
        <v>9482</v>
      </c>
      <c r="V652" s="138" t="s">
        <v>9532</v>
      </c>
      <c r="W652" s="138" t="str">
        <f ca="1">IFERROR(__xludf.DUMMYFUNCTION("filter(H:H,I:I=U652,J:J=V652)"),"West Godavari")</f>
        <v>West Godavari</v>
      </c>
    </row>
    <row r="653" spans="7:23">
      <c r="G653" s="138" t="s">
        <v>9421</v>
      </c>
      <c r="H653" s="138" t="s">
        <v>9421</v>
      </c>
      <c r="I653" s="138" t="s">
        <v>9482</v>
      </c>
      <c r="J653" s="138" t="s">
        <v>9482</v>
      </c>
      <c r="K653" s="138" t="str">
        <f ca="1">IFERROR(__xludf.DUMMYFUNCTION("unique(filter(R:R,R:R=I653))"),"Achanta")</f>
        <v>Achanta</v>
      </c>
      <c r="N653" s="138" t="str">
        <f ca="1">IFERROR(__xludf.DUMMYFUNCTION("unique(filter(W:W,U:U=R653))"),"Eluru")</f>
        <v>Eluru</v>
      </c>
      <c r="O653" s="138" t="s">
        <v>9480</v>
      </c>
      <c r="P653" s="138" t="s">
        <v>9536</v>
      </c>
      <c r="Q653" s="138" t="str">
        <f ca="1">IFERROR(__xludf.DUMMYFUNCTION("filter(I:I,J:J=P653,G:G=O653)"),"Denduluru")</f>
        <v>Denduluru</v>
      </c>
      <c r="R653" s="138" t="s">
        <v>9464</v>
      </c>
      <c r="U653" s="138" t="s">
        <v>9482</v>
      </c>
      <c r="V653" s="138" t="s">
        <v>9534</v>
      </c>
      <c r="W653" s="138" t="str">
        <f ca="1">IFERROR(__xludf.DUMMYFUNCTION("filter(H:H,I:I=U653,J:J=V653)"),"West Godavari")</f>
        <v>West Godavari</v>
      </c>
    </row>
    <row r="654" spans="7:23">
      <c r="G654" s="138" t="s">
        <v>9421</v>
      </c>
      <c r="H654" s="138" t="s">
        <v>9421</v>
      </c>
      <c r="I654" s="138" t="s">
        <v>9482</v>
      </c>
      <c r="J654" s="138" t="s">
        <v>9525</v>
      </c>
      <c r="K654" s="138" t="str">
        <f ca="1">IFERROR(__xludf.DUMMYFUNCTION("unique(filter(R:R,R:R=I654))"),"Achanta")</f>
        <v>Achanta</v>
      </c>
      <c r="N654" s="138" t="str">
        <f ca="1">IFERROR(__xludf.DUMMYFUNCTION("unique(filter(W:W,U:U=R654))"),"Eluru")</f>
        <v>Eluru</v>
      </c>
      <c r="O654" s="138" t="s">
        <v>9480</v>
      </c>
      <c r="P654" s="138" t="s">
        <v>9537</v>
      </c>
      <c r="Q654" s="138" t="str">
        <f ca="1">IFERROR(__xludf.DUMMYFUNCTION("filter(I:I,J:J=P654,G:G=O654)"),"Denduluru")</f>
        <v>Denduluru</v>
      </c>
      <c r="R654" s="138" t="s">
        <v>9464</v>
      </c>
      <c r="U654" s="138" t="s">
        <v>9482</v>
      </c>
      <c r="V654" s="138" t="s">
        <v>9482</v>
      </c>
      <c r="W654" s="138" t="str">
        <f ca="1">IFERROR(__xludf.DUMMYFUNCTION("filter(H:H,I:I=U654,J:J=V654)"),"West Godavari")</f>
        <v>West Godavari</v>
      </c>
    </row>
    <row r="655" spans="7:23">
      <c r="G655" s="138" t="e">
        <v>#N/A</v>
      </c>
      <c r="H655" s="138" t="e">
        <v>#N/A</v>
      </c>
      <c r="I655" s="138" t="s">
        <v>9482</v>
      </c>
      <c r="J655" s="138" t="e">
        <v>#N/A</v>
      </c>
      <c r="K655" s="138" t="str">
        <f ca="1">IFERROR(__xludf.DUMMYFUNCTION("unique(filter(R:R,R:R=I655))"),"Achanta")</f>
        <v>Achanta</v>
      </c>
      <c r="N655" s="138" t="str">
        <f ca="1">IFERROR(__xludf.DUMMYFUNCTION("unique(filter(W:W,U:U=R655))"),"West Godavari")</f>
        <v>West Godavari</v>
      </c>
      <c r="O655" s="138" t="s">
        <v>9480</v>
      </c>
      <c r="P655" s="138" t="s">
        <v>9538</v>
      </c>
      <c r="Q655" s="138" t="str">
        <f ca="1">IFERROR(__xludf.DUMMYFUNCTION("filter(I:I,J:J=P655,G:G=O655)"),"Tadepalligudem")</f>
        <v>Tadepalligudem</v>
      </c>
      <c r="R655" s="138" t="s">
        <v>9483</v>
      </c>
      <c r="U655" s="138" t="s">
        <v>9482</v>
      </c>
      <c r="V655" s="138" t="s">
        <v>9525</v>
      </c>
      <c r="W655" s="138" t="str">
        <f ca="1">IFERROR(__xludf.DUMMYFUNCTION("filter(H:H,I:I=U655,J:J=V655)"),"West Godavari")</f>
        <v>West Godavari</v>
      </c>
    </row>
    <row r="656" spans="7:23">
      <c r="G656" s="138" t="s">
        <v>9421</v>
      </c>
      <c r="H656" s="138" t="s">
        <v>8077</v>
      </c>
      <c r="I656" s="138" t="s">
        <v>9530</v>
      </c>
      <c r="J656" s="138" t="s">
        <v>9530</v>
      </c>
      <c r="K656" s="138" t="str">
        <f ca="1">IFERROR(__xludf.DUMMYFUNCTION("unique(filter(R:R,R:R=I656))"),"Nidadavole")</f>
        <v>Nidadavole</v>
      </c>
      <c r="N656" s="138" t="str">
        <f ca="1">IFERROR(__xludf.DUMMYFUNCTION("unique(filter(W:W,U:U=R656))"),"West Godavari")</f>
        <v>West Godavari</v>
      </c>
      <c r="O656" s="138" t="s">
        <v>9480</v>
      </c>
      <c r="P656" s="138" t="s">
        <v>9539</v>
      </c>
      <c r="Q656" s="138" t="str">
        <f ca="1">IFERROR(__xludf.DUMMYFUNCTION("filter(I:I,J:J=P656,G:G=O656)"),"Achanta")</f>
        <v>Achanta</v>
      </c>
      <c r="R656" s="138" t="s">
        <v>9482</v>
      </c>
    </row>
    <row r="657" spans="7:23">
      <c r="G657" s="138" t="s">
        <v>9421</v>
      </c>
      <c r="H657" s="138" t="s">
        <v>8077</v>
      </c>
      <c r="I657" s="138" t="s">
        <v>9530</v>
      </c>
      <c r="J657" s="138" t="s">
        <v>9540</v>
      </c>
      <c r="K657" s="138" t="str">
        <f ca="1">IFERROR(__xludf.DUMMYFUNCTION("unique(filter(R:R,R:R=I657))"),"Nidadavole")</f>
        <v>Nidadavole</v>
      </c>
      <c r="N657" s="138" t="str">
        <f ca="1">IFERROR(__xludf.DUMMYFUNCTION("unique(filter(W:W,U:U=R657))"),"West Godavari")</f>
        <v>West Godavari</v>
      </c>
      <c r="O657" s="138" t="s">
        <v>9480</v>
      </c>
      <c r="P657" s="138" t="s">
        <v>9541</v>
      </c>
      <c r="Q657" s="138" t="str">
        <f ca="1">IFERROR(__xludf.DUMMYFUNCTION("filter(I:I,J:J=P657,G:G=O657)"),"Achanta")</f>
        <v>Achanta</v>
      </c>
      <c r="R657" s="138" t="s">
        <v>9482</v>
      </c>
      <c r="U657" s="138" t="s">
        <v>9530</v>
      </c>
      <c r="V657" s="138" t="s">
        <v>9530</v>
      </c>
      <c r="W657" s="138" t="str">
        <f ca="1">IFERROR(__xludf.DUMMYFUNCTION("filter(H:H,I:I=U657,J:J=V657)"),"East Godavari")</f>
        <v>East Godavari</v>
      </c>
    </row>
    <row r="658" spans="7:23">
      <c r="G658" s="138" t="s">
        <v>9421</v>
      </c>
      <c r="H658" s="138" t="s">
        <v>8077</v>
      </c>
      <c r="I658" s="138" t="s">
        <v>9530</v>
      </c>
      <c r="J658" s="138" t="s">
        <v>9542</v>
      </c>
      <c r="K658" s="138" t="str">
        <f ca="1">IFERROR(__xludf.DUMMYFUNCTION("unique(filter(R:R,R:R=I658))"),"Nidadavole")</f>
        <v>Nidadavole</v>
      </c>
      <c r="N658" s="138" t="str">
        <f ca="1">IFERROR(__xludf.DUMMYFUNCTION("unique(filter(W:W,U:U=R658))"),"East Godavari")</f>
        <v>East Godavari</v>
      </c>
      <c r="O658" s="138" t="s">
        <v>9480</v>
      </c>
      <c r="P658" s="138" t="s">
        <v>9543</v>
      </c>
      <c r="Q658" s="138" t="str">
        <f ca="1">IFERROR(__xludf.DUMMYFUNCTION("filter(I:I,J:J=P658,G:G=O658)"),"Nidadavole")</f>
        <v>Nidadavole</v>
      </c>
      <c r="R658" s="138" t="s">
        <v>9530</v>
      </c>
      <c r="U658" s="138" t="s">
        <v>9530</v>
      </c>
      <c r="V658" s="138" t="s">
        <v>9540</v>
      </c>
      <c r="W658" s="138" t="str">
        <f ca="1">IFERROR(__xludf.DUMMYFUNCTION("filter(H:H,I:I=U658,J:J=V658)"),"East Godavari")</f>
        <v>East Godavari</v>
      </c>
    </row>
    <row r="659" spans="7:23">
      <c r="G659" s="138" t="s">
        <v>9421</v>
      </c>
      <c r="H659" s="138" t="s">
        <v>8077</v>
      </c>
      <c r="I659" s="138" t="s">
        <v>9530</v>
      </c>
      <c r="J659" s="138" t="s">
        <v>9544</v>
      </c>
      <c r="K659" s="138" t="str">
        <f ca="1">IFERROR(__xludf.DUMMYFUNCTION("unique(filter(R:R,R:R=I659))"),"Nidadavole")</f>
        <v>Nidadavole</v>
      </c>
      <c r="N659" s="138" t="str">
        <f ca="1">IFERROR(__xludf.DUMMYFUNCTION("unique(filter(W:W,U:U=R659))"),"West Godavari")</f>
        <v>West Godavari</v>
      </c>
      <c r="O659" s="138" t="s">
        <v>9480</v>
      </c>
      <c r="P659" s="138" t="s">
        <v>9545</v>
      </c>
      <c r="Q659" s="138" t="str">
        <f ca="1">IFERROR(__xludf.DUMMYFUNCTION("filter(I:I,J:J=P659,G:G=O659)"),"#REF!")</f>
        <v>#REF!</v>
      </c>
      <c r="R659" s="138" t="s">
        <v>9482</v>
      </c>
      <c r="U659" s="138" t="s">
        <v>9530</v>
      </c>
      <c r="V659" s="138" t="s">
        <v>9542</v>
      </c>
      <c r="W659" s="138" t="str">
        <f ca="1">IFERROR(__xludf.DUMMYFUNCTION("filter(H:H,I:I=U659,J:J=V659)"),"East Godavari")</f>
        <v>East Godavari</v>
      </c>
    </row>
    <row r="660" spans="7:23">
      <c r="G660" s="138" t="s">
        <v>9421</v>
      </c>
      <c r="H660" s="138" t="s">
        <v>8077</v>
      </c>
      <c r="I660" s="138" t="s">
        <v>9496</v>
      </c>
      <c r="J660" s="138" t="s">
        <v>9546</v>
      </c>
      <c r="K660" s="138" t="str">
        <f ca="1">IFERROR(__xludf.DUMMYFUNCTION("unique(filter(R:R,R:R=I660))"),"Kovvur (Sc)")</f>
        <v>Kovvur (Sc)</v>
      </c>
      <c r="N660" s="138" t="str">
        <f ca="1">IFERROR(__xludf.DUMMYFUNCTION("unique(filter(W:W,U:U=R660))"),"Eluru")</f>
        <v>Eluru</v>
      </c>
      <c r="O660" s="138" t="s">
        <v>9480</v>
      </c>
      <c r="P660" s="138" t="s">
        <v>9547</v>
      </c>
      <c r="Q660" s="138" t="str">
        <f ca="1">IFERROR(__xludf.DUMMYFUNCTION("filter(I:I,J:J=P660,G:G=O660)"),"Polavaram (St)")</f>
        <v>Polavaram (St)</v>
      </c>
      <c r="R660" s="138" t="s">
        <v>9435</v>
      </c>
      <c r="U660" s="138" t="s">
        <v>9530</v>
      </c>
      <c r="V660" s="138" t="s">
        <v>9544</v>
      </c>
      <c r="W660" s="138" t="str">
        <f ca="1">IFERROR(__xludf.DUMMYFUNCTION("filter(H:H,I:I=U660,J:J=V660)"),"East Godavari")</f>
        <v>East Godavari</v>
      </c>
    </row>
    <row r="661" spans="7:23">
      <c r="G661" s="138" t="s">
        <v>9421</v>
      </c>
      <c r="H661" s="138" t="s">
        <v>8077</v>
      </c>
      <c r="I661" s="138" t="s">
        <v>9496</v>
      </c>
      <c r="J661" s="138" t="s">
        <v>9548</v>
      </c>
      <c r="K661" s="138" t="str">
        <f ca="1">IFERROR(__xludf.DUMMYFUNCTION("unique(filter(R:R,R:R=I661))"),"Kovvur (Sc)")</f>
        <v>Kovvur (Sc)</v>
      </c>
      <c r="N661" s="138" t="str">
        <f ca="1">IFERROR(__xludf.DUMMYFUNCTION("unique(filter(W:W,U:U=R661))"),"Eluru")</f>
        <v>Eluru</v>
      </c>
      <c r="O661" s="138" t="s">
        <v>9480</v>
      </c>
      <c r="P661" s="138" t="s">
        <v>9549</v>
      </c>
      <c r="Q661" s="138" t="str">
        <f ca="1">IFERROR(__xludf.DUMMYFUNCTION("filter(I:I,J:J=P661,G:G=O661)"),"Polavaram (St)")</f>
        <v>Polavaram (St)</v>
      </c>
      <c r="R661" s="138" t="s">
        <v>9435</v>
      </c>
      <c r="U661" s="138" t="s">
        <v>9496</v>
      </c>
      <c r="V661" s="138" t="s">
        <v>9546</v>
      </c>
      <c r="W661" s="138" t="str">
        <f ca="1">IFERROR(__xludf.DUMMYFUNCTION("filter(H:H,I:I=U661,J:J=V661)"),"East Godavari")</f>
        <v>East Godavari</v>
      </c>
    </row>
    <row r="662" spans="7:23">
      <c r="G662" s="138" t="s">
        <v>9421</v>
      </c>
      <c r="H662" s="138" t="s">
        <v>8077</v>
      </c>
      <c r="I662" s="138" t="s">
        <v>9496</v>
      </c>
      <c r="J662" s="138" t="s">
        <v>9550</v>
      </c>
      <c r="K662" s="138" t="str">
        <f ca="1">IFERROR(__xludf.DUMMYFUNCTION("unique(filter(R:R,R:R=I662))"),"Kovvur (Sc)")</f>
        <v>Kovvur (Sc)</v>
      </c>
      <c r="N662" s="138" t="str">
        <f ca="1">IFERROR(__xludf.DUMMYFUNCTION("unique(filter(W:W,U:U=R662))"),"West Godavari")</f>
        <v>West Godavari</v>
      </c>
      <c r="O662" s="138" t="s">
        <v>9480</v>
      </c>
      <c r="P662" s="138" t="s">
        <v>9551</v>
      </c>
      <c r="Q662" s="138" t="str">
        <f ca="1">IFERROR(__xludf.DUMMYFUNCTION("filter(I:I,J:J=P662,G:G=O662)"),"Tadepalligudem")</f>
        <v>Tadepalligudem</v>
      </c>
      <c r="R662" s="138" t="s">
        <v>9483</v>
      </c>
      <c r="U662" s="138" t="s">
        <v>9496</v>
      </c>
      <c r="V662" s="138" t="s">
        <v>9548</v>
      </c>
      <c r="W662" s="138" t="str">
        <f ca="1">IFERROR(__xludf.DUMMYFUNCTION("filter(H:H,I:I=U662,J:J=V662)"),"East Godavari")</f>
        <v>East Godavari</v>
      </c>
    </row>
    <row r="663" spans="7:23">
      <c r="G663" s="138" t="s">
        <v>9421</v>
      </c>
      <c r="H663" s="138" t="s">
        <v>8077</v>
      </c>
      <c r="I663" s="138" t="s">
        <v>9496</v>
      </c>
      <c r="J663" s="138" t="s">
        <v>9552</v>
      </c>
      <c r="K663" s="138" t="str">
        <f ca="1">IFERROR(__xludf.DUMMYFUNCTION("unique(filter(R:R,R:R=I663))"),"Kovvur (Sc)")</f>
        <v>Kovvur (Sc)</v>
      </c>
      <c r="N663" s="138" t="str">
        <f ca="1">IFERROR(__xludf.DUMMYFUNCTION("unique(filter(W:W,U:U=R663))"),"East Godavari")</f>
        <v>East Godavari</v>
      </c>
      <c r="O663" s="138" t="s">
        <v>9480</v>
      </c>
      <c r="P663" s="138" t="s">
        <v>9553</v>
      </c>
      <c r="Q663" s="138" t="str">
        <f ca="1">IFERROR(__xludf.DUMMYFUNCTION("filter(I:I,J:J=P663,G:G=O663)"),"Kovvur (Sc)")</f>
        <v>Kovvur (Sc)</v>
      </c>
      <c r="R663" s="138" t="s">
        <v>9496</v>
      </c>
      <c r="U663" s="138" t="s">
        <v>9496</v>
      </c>
      <c r="V663" s="138" t="s">
        <v>9550</v>
      </c>
      <c r="W663" s="138" t="str">
        <f ca="1">IFERROR(__xludf.DUMMYFUNCTION("filter(H:H,I:I=U663,J:J=V663)"),"East Godavari")</f>
        <v>East Godavari</v>
      </c>
    </row>
    <row r="664" spans="7:23">
      <c r="G664" s="138" t="s">
        <v>8077</v>
      </c>
      <c r="H664" s="138" t="s">
        <v>9554</v>
      </c>
      <c r="I664" s="138" t="s">
        <v>8520</v>
      </c>
      <c r="J664" s="138" t="s">
        <v>9555</v>
      </c>
      <c r="K664" s="138" t="str">
        <f ca="1">IFERROR(__xludf.DUMMYFUNCTION("unique(filter(R:R,R:R=I664))"),"Rampachodavaram (St)")</f>
        <v>Rampachodavaram (St)</v>
      </c>
      <c r="N664" s="138" t="str">
        <f ca="1">IFERROR(__xludf.DUMMYFUNCTION("unique(filter(W:W,U:U=R664))"),"West Godavari")</f>
        <v>West Godavari</v>
      </c>
      <c r="O664" s="138" t="s">
        <v>9480</v>
      </c>
      <c r="P664" s="138" t="s">
        <v>9556</v>
      </c>
      <c r="Q664" s="138" t="str">
        <f ca="1">IFERROR(__xludf.DUMMYFUNCTION("filter(I:I,J:J=P664,G:G=O664)"),"Tanuku")</f>
        <v>Tanuku</v>
      </c>
      <c r="R664" s="138" t="s">
        <v>9488</v>
      </c>
      <c r="U664" s="138" t="s">
        <v>9496</v>
      </c>
      <c r="V664" s="138" t="s">
        <v>9552</v>
      </c>
      <c r="W664" s="138" t="str">
        <f ca="1">IFERROR(__xludf.DUMMYFUNCTION("filter(H:H,I:I=U664,J:J=V664)"),"East Godavari")</f>
        <v>East Godavari</v>
      </c>
    </row>
    <row r="665" spans="7:23">
      <c r="G665" s="138" t="s">
        <v>8077</v>
      </c>
      <c r="H665" s="138" t="s">
        <v>9554</v>
      </c>
      <c r="I665" s="138" t="s">
        <v>8520</v>
      </c>
      <c r="J665" s="138" t="s">
        <v>599</v>
      </c>
      <c r="K665" s="138" t="str">
        <f ca="1">IFERROR(__xludf.DUMMYFUNCTION("unique(filter(R:R,R:R=I665))"),"Rampachodavaram (St)")</f>
        <v>Rampachodavaram (St)</v>
      </c>
      <c r="N665" s="138" t="str">
        <f ca="1">IFERROR(__xludf.DUMMYFUNCTION("unique(filter(W:W,U:U=R665))"),"West Godavari")</f>
        <v>West Godavari</v>
      </c>
      <c r="O665" s="138" t="s">
        <v>9480</v>
      </c>
      <c r="P665" s="138" t="s">
        <v>9557</v>
      </c>
      <c r="Q665" s="138" t="str">
        <f ca="1">IFERROR(__xludf.DUMMYFUNCTION("filter(I:I,J:J=P665,G:G=O665)"),"Undi")</f>
        <v>Undi</v>
      </c>
      <c r="R665" s="138" t="s">
        <v>9485</v>
      </c>
      <c r="U665" s="138" t="s">
        <v>8520</v>
      </c>
      <c r="V665" s="138" t="s">
        <v>9555</v>
      </c>
      <c r="W665" s="138" t="str">
        <f ca="1">IFERROR(__xludf.DUMMYFUNCTION("filter(H:H,I:I=U665,J:J=V665)"),"Alluri Sitharama Raju")</f>
        <v>Alluri Sitharama Raju</v>
      </c>
    </row>
    <row r="666" spans="7:23">
      <c r="G666" s="138" t="s">
        <v>8077</v>
      </c>
      <c r="H666" s="138" t="s">
        <v>9554</v>
      </c>
      <c r="I666" s="138" t="s">
        <v>8520</v>
      </c>
      <c r="J666" s="138" t="s">
        <v>9558</v>
      </c>
      <c r="K666" s="138" t="str">
        <f ca="1">IFERROR(__xludf.DUMMYFUNCTION("unique(filter(R:R,R:R=I666))"),"Rampachodavaram (St)")</f>
        <v>Rampachodavaram (St)</v>
      </c>
      <c r="N666" s="138" t="str">
        <f ca="1">IFERROR(__xludf.DUMMYFUNCTION("unique(filter(W:W,U:U=R666))"),"East Godavari")</f>
        <v>East Godavari</v>
      </c>
      <c r="O666" s="138" t="s">
        <v>9480</v>
      </c>
      <c r="P666" s="138" t="s">
        <v>9559</v>
      </c>
      <c r="Q666" s="138" t="str">
        <f ca="1">IFERROR(__xludf.DUMMYFUNCTION("filter(I:I,J:J=P666,G:G=O666)"),"Nidadavole")</f>
        <v>Nidadavole</v>
      </c>
      <c r="R666" s="138" t="s">
        <v>9530</v>
      </c>
      <c r="U666" s="138" t="s">
        <v>8520</v>
      </c>
      <c r="V666" s="138" t="s">
        <v>599</v>
      </c>
      <c r="W666" s="138" t="str">
        <f ca="1">IFERROR(__xludf.DUMMYFUNCTION("filter(H:H,I:I=U666,J:J=V666)"),"Alluri Sitharama Raju")</f>
        <v>Alluri Sitharama Raju</v>
      </c>
    </row>
    <row r="667" spans="7:23">
      <c r="G667" s="138" t="s">
        <v>8077</v>
      </c>
      <c r="H667" s="138" t="s">
        <v>9554</v>
      </c>
      <c r="I667" s="138" t="s">
        <v>8520</v>
      </c>
      <c r="J667" s="138" t="s">
        <v>9560</v>
      </c>
      <c r="K667" s="138" t="str">
        <f ca="1">IFERROR(__xludf.DUMMYFUNCTION("unique(filter(R:R,R:R=I667))"),"Rampachodavaram (St)")</f>
        <v>Rampachodavaram (St)</v>
      </c>
      <c r="N667" s="138" t="str">
        <f ca="1">IFERROR(__xludf.DUMMYFUNCTION("unique(filter(W:W,U:U=R667))"),"Eluru")</f>
        <v>Eluru</v>
      </c>
      <c r="O667" s="138" t="s">
        <v>9480</v>
      </c>
      <c r="P667" s="138" t="s">
        <v>9561</v>
      </c>
      <c r="Q667" s="138" t="str">
        <f ca="1">IFERROR(__xludf.DUMMYFUNCTION("filter(I:I,J:J=P667,G:G=O667)"),"#N/A")</f>
        <v>#N/A</v>
      </c>
      <c r="R667" s="138" t="s">
        <v>9472</v>
      </c>
      <c r="U667" s="138" t="s">
        <v>8520</v>
      </c>
      <c r="V667" s="138" t="s">
        <v>9558</v>
      </c>
      <c r="W667" s="138" t="str">
        <f ca="1">IFERROR(__xludf.DUMMYFUNCTION("filter(H:H,I:I=U667,J:J=V667)"),"Alluri Sitharama Raju")</f>
        <v>Alluri Sitharama Raju</v>
      </c>
    </row>
    <row r="668" spans="7:23">
      <c r="G668" s="138" t="s">
        <v>8077</v>
      </c>
      <c r="H668" s="138" t="s">
        <v>9554</v>
      </c>
      <c r="I668" s="138" t="s">
        <v>8520</v>
      </c>
      <c r="J668" s="138" t="s">
        <v>9562</v>
      </c>
      <c r="K668" s="138" t="str">
        <f ca="1">IFERROR(__xludf.DUMMYFUNCTION("unique(filter(R:R,R:R=I668))"),"Rampachodavaram (St)")</f>
        <v>Rampachodavaram (St)</v>
      </c>
      <c r="N668" s="138" t="str">
        <f ca="1">IFERROR(__xludf.DUMMYFUNCTION("unique(filter(W:W,U:U=R668))"),"West Godavari")</f>
        <v>West Godavari</v>
      </c>
      <c r="O668" s="138" t="s">
        <v>9480</v>
      </c>
      <c r="P668" s="138" t="s">
        <v>9563</v>
      </c>
      <c r="Q668" s="138" t="str">
        <f ca="1">IFERROR(__xludf.DUMMYFUNCTION("filter(I:I,J:J=P668,G:G=O668)"),"Bhimavaram")</f>
        <v>Bhimavaram</v>
      </c>
      <c r="R668" s="138" t="s">
        <v>9492</v>
      </c>
      <c r="U668" s="138" t="s">
        <v>8520</v>
      </c>
      <c r="V668" s="138" t="s">
        <v>9560</v>
      </c>
      <c r="W668" s="138" t="str">
        <f ca="1">IFERROR(__xludf.DUMMYFUNCTION("filter(H:H,I:I=U668,J:J=V668)"),"Alluri Sitharama Raju")</f>
        <v>Alluri Sitharama Raju</v>
      </c>
    </row>
    <row r="669" spans="7:23">
      <c r="G669" s="138" t="s">
        <v>8077</v>
      </c>
      <c r="H669" s="138" t="s">
        <v>9554</v>
      </c>
      <c r="I669" s="138" t="s">
        <v>8520</v>
      </c>
      <c r="J669" s="138" t="s">
        <v>9564</v>
      </c>
      <c r="K669" s="138" t="str">
        <f ca="1">IFERROR(__xludf.DUMMYFUNCTION("unique(filter(R:R,R:R=I669))"),"Rampachodavaram (St)")</f>
        <v>Rampachodavaram (St)</v>
      </c>
      <c r="N669" s="138" t="str">
        <f ca="1">IFERROR(__xludf.DUMMYFUNCTION("unique(filter(W:W,U:U=R669))"),"Eluru")</f>
        <v>Eluru</v>
      </c>
      <c r="O669" s="138" t="s">
        <v>9480</v>
      </c>
      <c r="P669" s="138" t="s">
        <v>9565</v>
      </c>
      <c r="Q669" s="138" t="str">
        <f ca="1">IFERROR(__xludf.DUMMYFUNCTION("filter(I:I,J:J=P669,G:G=O669)"),"Polavaram (St)")</f>
        <v>Polavaram (St)</v>
      </c>
      <c r="R669" s="138" t="s">
        <v>9435</v>
      </c>
      <c r="U669" s="138" t="s">
        <v>8520</v>
      </c>
      <c r="V669" s="138" t="s">
        <v>9562</v>
      </c>
      <c r="W669" s="138" t="str">
        <f ca="1">IFERROR(__xludf.DUMMYFUNCTION("filter(H:H,I:I=U669,J:J=V669)"),"Alluri Sitharama Raju")</f>
        <v>Alluri Sitharama Raju</v>
      </c>
    </row>
    <row r="670" spans="7:23">
      <c r="G670" s="138" t="s">
        <v>8077</v>
      </c>
      <c r="H670" s="138" t="s">
        <v>9554</v>
      </c>
      <c r="I670" s="138" t="s">
        <v>8520</v>
      </c>
      <c r="J670" s="138" t="s">
        <v>9566</v>
      </c>
      <c r="K670" s="138" t="str">
        <f ca="1">IFERROR(__xludf.DUMMYFUNCTION("unique(filter(R:R,R:R=I670))"),"Rampachodavaram (St)")</f>
        <v>Rampachodavaram (St)</v>
      </c>
      <c r="N670" s="138" t="str">
        <f ca="1">IFERROR(__xludf.DUMMYFUNCTION("unique(filter(W:W,U:U=R670))"),"West Godavari")</f>
        <v>West Godavari</v>
      </c>
      <c r="O670" s="138" t="s">
        <v>9480</v>
      </c>
      <c r="P670" s="138" t="s">
        <v>9567</v>
      </c>
      <c r="Q670" s="138" t="str">
        <f ca="1">IFERROR(__xludf.DUMMYFUNCTION("filter(I:I,J:J=P670,G:G=O670)"),"#N/A")</f>
        <v>#N/A</v>
      </c>
      <c r="R670" s="138" t="s">
        <v>9523</v>
      </c>
      <c r="U670" s="138" t="s">
        <v>8520</v>
      </c>
      <c r="V670" s="138" t="s">
        <v>9564</v>
      </c>
      <c r="W670" s="138" t="str">
        <f ca="1">IFERROR(__xludf.DUMMYFUNCTION("filter(H:H,I:I=U670,J:J=V670)"),"Alluri Sitharama Raju")</f>
        <v>Alluri Sitharama Raju</v>
      </c>
    </row>
    <row r="671" spans="7:23">
      <c r="G671" s="138" t="s">
        <v>8077</v>
      </c>
      <c r="H671" s="138" t="s">
        <v>9554</v>
      </c>
      <c r="I671" s="138" t="s">
        <v>8520</v>
      </c>
      <c r="J671" s="138" t="s">
        <v>9568</v>
      </c>
      <c r="K671" s="138" t="str">
        <f ca="1">IFERROR(__xludf.DUMMYFUNCTION("unique(filter(R:R,R:R=I671))"),"Rampachodavaram (St)")</f>
        <v>Rampachodavaram (St)</v>
      </c>
      <c r="U671" s="138" t="s">
        <v>8520</v>
      </c>
      <c r="V671" s="138" t="s">
        <v>9566</v>
      </c>
      <c r="W671" s="138" t="str">
        <f ca="1">IFERROR(__xludf.DUMMYFUNCTION("filter(H:H,I:I=U671,J:J=V671)"),"Alluri Sitharama Raju")</f>
        <v>Alluri Sitharama Raju</v>
      </c>
    </row>
    <row r="672" spans="7:23">
      <c r="G672" s="138" t="s">
        <v>8077</v>
      </c>
      <c r="H672" s="138" t="s">
        <v>9554</v>
      </c>
      <c r="I672" s="138" t="s">
        <v>8520</v>
      </c>
      <c r="J672" s="138" t="s">
        <v>9569</v>
      </c>
      <c r="K672" s="138" t="str">
        <f ca="1">IFERROR(__xludf.DUMMYFUNCTION("unique(filter(R:R,R:R=I672))"),"Rampachodavaram (St)")</f>
        <v>Rampachodavaram (St)</v>
      </c>
      <c r="U672" s="138" t="s">
        <v>8520</v>
      </c>
      <c r="V672" s="138" t="s">
        <v>9568</v>
      </c>
      <c r="W672" s="138" t="str">
        <f ca="1">IFERROR(__xludf.DUMMYFUNCTION("filter(H:H,I:I=U672,J:J=V672)"),"Alluri Sitharama Raju")</f>
        <v>Alluri Sitharama Raju</v>
      </c>
    </row>
    <row r="673" spans="7:23">
      <c r="G673" s="138" t="s">
        <v>8077</v>
      </c>
      <c r="H673" s="138" t="s">
        <v>9554</v>
      </c>
      <c r="I673" s="138" t="s">
        <v>8520</v>
      </c>
      <c r="J673" s="138" t="s">
        <v>9570</v>
      </c>
      <c r="K673" s="138" t="str">
        <f ca="1">IFERROR(__xludf.DUMMYFUNCTION("unique(filter(R:R,R:R=I673))"),"Rampachodavaram (St)")</f>
        <v>Rampachodavaram (St)</v>
      </c>
      <c r="U673" s="138" t="s">
        <v>8520</v>
      </c>
      <c r="V673" s="138" t="s">
        <v>9569</v>
      </c>
      <c r="W673" s="138" t="str">
        <f ca="1">IFERROR(__xludf.DUMMYFUNCTION("filter(H:H,I:I=U673,J:J=V673)"),"Alluri Sitharama Raju")</f>
        <v>Alluri Sitharama Raju</v>
      </c>
    </row>
    <row r="674" spans="7:23">
      <c r="G674" s="138" t="s">
        <v>8077</v>
      </c>
      <c r="H674" s="138" t="s">
        <v>9554</v>
      </c>
      <c r="I674" s="138" t="s">
        <v>8520</v>
      </c>
      <c r="J674" s="138" t="s">
        <v>9571</v>
      </c>
      <c r="K674" s="138" t="str">
        <f ca="1">IFERROR(__xludf.DUMMYFUNCTION("unique(filter(R:R,R:R=I674))"),"Rampachodavaram (St)")</f>
        <v>Rampachodavaram (St)</v>
      </c>
      <c r="U674" s="138" t="s">
        <v>8520</v>
      </c>
      <c r="V674" s="138" t="s">
        <v>9570</v>
      </c>
      <c r="W674" s="138" t="str">
        <f ca="1">IFERROR(__xludf.DUMMYFUNCTION("filter(H:H,I:I=U674,J:J=V674)"),"Alluri Sitharama Raju")</f>
        <v>Alluri Sitharama Raju</v>
      </c>
    </row>
    <row r="675" spans="7:23">
      <c r="G675" s="138" t="e">
        <v>#N/A</v>
      </c>
      <c r="H675" s="138" t="e">
        <v>#N/A</v>
      </c>
      <c r="I675" s="138" t="s">
        <v>8520</v>
      </c>
      <c r="J675" s="138" t="e">
        <v>#N/A</v>
      </c>
      <c r="K675" s="138" t="str">
        <f ca="1">IFERROR(__xludf.DUMMYFUNCTION("unique(filter(R:R,R:R=I675))"),"Rampachodavaram (St)")</f>
        <v>Rampachodavaram (St)</v>
      </c>
      <c r="U675" s="138" t="s">
        <v>8520</v>
      </c>
      <c r="V675" s="138" t="s">
        <v>9571</v>
      </c>
      <c r="W675" s="138" t="str">
        <f ca="1">IFERROR(__xludf.DUMMYFUNCTION("filter(H:H,I:I=U675,J:J=V675)"),"Alluri Sitharama Raju")</f>
        <v>Alluri Sitharama Raju</v>
      </c>
    </row>
    <row r="676" spans="7:23">
      <c r="G676" s="138" t="s">
        <v>8077</v>
      </c>
      <c r="H676" s="138" t="s">
        <v>4367</v>
      </c>
      <c r="I676" s="138" t="s">
        <v>19</v>
      </c>
      <c r="J676" s="138" t="s">
        <v>147</v>
      </c>
      <c r="K676" s="138" t="str">
        <f ca="1">IFERROR(__xludf.DUMMYFUNCTION("unique(filter(R:R,R:R=I676))"),"Jaggampeta")</f>
        <v>Jaggampeta</v>
      </c>
    </row>
    <row r="677" spans="7:23">
      <c r="G677" s="138" t="s">
        <v>8077</v>
      </c>
      <c r="H677" s="138" t="s">
        <v>4367</v>
      </c>
      <c r="I677" s="138" t="s">
        <v>19</v>
      </c>
      <c r="J677" s="138" t="s">
        <v>88</v>
      </c>
      <c r="K677" s="138" t="str">
        <f ca="1">IFERROR(__xludf.DUMMYFUNCTION("unique(filter(R:R,R:R=I677))"),"Jaggampeta")</f>
        <v>Jaggampeta</v>
      </c>
      <c r="U677" s="138" t="s">
        <v>19</v>
      </c>
      <c r="V677" s="138" t="s">
        <v>147</v>
      </c>
      <c r="W677" s="138" t="str">
        <f ca="1">IFERROR(__xludf.DUMMYFUNCTION("filter(H:H,I:I=U677,J:J=V677)"),"Kakinada")</f>
        <v>Kakinada</v>
      </c>
    </row>
    <row r="678" spans="7:23">
      <c r="G678" s="138" t="s">
        <v>8077</v>
      </c>
      <c r="H678" s="138" t="s">
        <v>4367</v>
      </c>
      <c r="I678" s="138" t="s">
        <v>19</v>
      </c>
      <c r="J678" s="138" t="s">
        <v>19</v>
      </c>
      <c r="K678" s="138" t="str">
        <f ca="1">IFERROR(__xludf.DUMMYFUNCTION("unique(filter(R:R,R:R=I678))"),"Jaggampeta")</f>
        <v>Jaggampeta</v>
      </c>
      <c r="U678" s="138" t="s">
        <v>19</v>
      </c>
      <c r="V678" s="138" t="s">
        <v>88</v>
      </c>
      <c r="W678" s="138" t="str">
        <f ca="1">IFERROR(__xludf.DUMMYFUNCTION("filter(H:H,I:I=U678,J:J=V678)"),"Kakinada")</f>
        <v>Kakinada</v>
      </c>
    </row>
    <row r="679" spans="7:23">
      <c r="G679" s="138" t="s">
        <v>8077</v>
      </c>
      <c r="H679" s="138" t="s">
        <v>4367</v>
      </c>
      <c r="I679" s="138" t="s">
        <v>19</v>
      </c>
      <c r="J679" s="138" t="s">
        <v>220</v>
      </c>
      <c r="K679" s="138" t="str">
        <f ca="1">IFERROR(__xludf.DUMMYFUNCTION("unique(filter(R:R,R:R=I679))"),"Jaggampeta")</f>
        <v>Jaggampeta</v>
      </c>
      <c r="U679" s="138" t="s">
        <v>19</v>
      </c>
      <c r="V679" s="138" t="s">
        <v>19</v>
      </c>
      <c r="W679" s="138" t="str">
        <f ca="1">IFERROR(__xludf.DUMMYFUNCTION("filter(H:H,I:I=U679,J:J=V679)"),"Kakinada")</f>
        <v>Kakinada</v>
      </c>
    </row>
    <row r="680" spans="7:23">
      <c r="G680" s="138" t="e">
        <v>#N/A</v>
      </c>
      <c r="H680" s="138" t="e">
        <v>#N/A</v>
      </c>
      <c r="I680" s="138" t="s">
        <v>19</v>
      </c>
      <c r="J680" s="138" t="e">
        <v>#N/A</v>
      </c>
      <c r="K680" s="138" t="str">
        <f ca="1">IFERROR(__xludf.DUMMYFUNCTION("unique(filter(R:R,R:R=I680))"),"Jaggampeta")</f>
        <v>Jaggampeta</v>
      </c>
      <c r="U680" s="138" t="s">
        <v>19</v>
      </c>
      <c r="V680" s="138" t="s">
        <v>220</v>
      </c>
      <c r="W680" s="138" t="str">
        <f ca="1">IFERROR(__xludf.DUMMYFUNCTION("filter(H:H,I:I=U680,J:J=V680)"),"Kakinada")</f>
        <v>Kakinada</v>
      </c>
    </row>
    <row r="681" spans="7:23">
      <c r="G681" s="138" t="s">
        <v>8077</v>
      </c>
      <c r="H681" s="138" t="s">
        <v>8077</v>
      </c>
      <c r="I681" s="138" t="s">
        <v>8554</v>
      </c>
      <c r="J681" s="138" t="s">
        <v>8554</v>
      </c>
      <c r="K681" s="138" t="str">
        <f ca="1">IFERROR(__xludf.DUMMYFUNCTION("unique(filter(R:R,R:R=I681))"),"Rajahmundry Rural")</f>
        <v>Rajahmundry Rural</v>
      </c>
    </row>
    <row r="682" spans="7:23">
      <c r="G682" s="138" t="s">
        <v>8077</v>
      </c>
      <c r="H682" s="138" t="s">
        <v>8077</v>
      </c>
      <c r="I682" s="138" t="s">
        <v>8554</v>
      </c>
      <c r="J682" s="138" t="s">
        <v>9572</v>
      </c>
      <c r="K682" s="138" t="str">
        <f ca="1">IFERROR(__xludf.DUMMYFUNCTION("unique(filter(R:R,R:R=I682))"),"Rajahmundry Rural")</f>
        <v>Rajahmundry Rural</v>
      </c>
      <c r="U682" s="138" t="s">
        <v>8554</v>
      </c>
      <c r="V682" s="138" t="s">
        <v>8554</v>
      </c>
      <c r="W682" s="138" t="str">
        <f ca="1">IFERROR(__xludf.DUMMYFUNCTION("filter(H:H,I:I=U682,J:J=V682)"),"East Godavari")</f>
        <v>East Godavari</v>
      </c>
    </row>
    <row r="683" spans="7:23">
      <c r="G683" s="138" t="s">
        <v>8077</v>
      </c>
      <c r="H683" s="138" t="s">
        <v>8077</v>
      </c>
      <c r="I683" s="138" t="s">
        <v>8554</v>
      </c>
      <c r="J683" s="138" t="s">
        <v>9573</v>
      </c>
      <c r="K683" s="138" t="str">
        <f ca="1">IFERROR(__xludf.DUMMYFUNCTION("unique(filter(R:R,R:R=I683))"),"Rajahmundry Rural")</f>
        <v>Rajahmundry Rural</v>
      </c>
      <c r="U683" s="138" t="s">
        <v>8554</v>
      </c>
      <c r="V683" s="138" t="s">
        <v>9572</v>
      </c>
      <c r="W683" s="138" t="str">
        <f ca="1">IFERROR(__xludf.DUMMYFUNCTION("filter(H:H,I:I=U683,J:J=V683)"),"East Godavari")</f>
        <v>East Godavari</v>
      </c>
    </row>
    <row r="684" spans="7:23">
      <c r="G684" s="138" t="e">
        <v>#N/A</v>
      </c>
      <c r="H684" s="138" t="e">
        <v>#N/A</v>
      </c>
      <c r="I684" s="138" t="s">
        <v>8554</v>
      </c>
      <c r="J684" s="138" t="e">
        <v>#N/A</v>
      </c>
      <c r="K684" s="138" t="str">
        <f ca="1">IFERROR(__xludf.DUMMYFUNCTION("unique(filter(R:R,R:R=I684))"),"Rajahmundry Rural")</f>
        <v>Rajahmundry Rural</v>
      </c>
      <c r="U684" s="138" t="s">
        <v>8554</v>
      </c>
      <c r="V684" s="138" t="s">
        <v>9573</v>
      </c>
      <c r="W684" s="138" t="str">
        <f ca="1">IFERROR(__xludf.DUMMYFUNCTION("filter(H:H,I:I=U684,J:J=V684)"),"East Godavari")</f>
        <v>East Godavari</v>
      </c>
    </row>
    <row r="685" spans="7:23">
      <c r="G685" s="138" t="s">
        <v>8077</v>
      </c>
      <c r="H685" s="138" t="s">
        <v>8077</v>
      </c>
      <c r="I685" s="138" t="s">
        <v>8591</v>
      </c>
      <c r="J685" s="138" t="s">
        <v>9572</v>
      </c>
      <c r="K685" s="138" t="str">
        <f ca="1">IFERROR(__xludf.DUMMYFUNCTION("unique(filter(R:R,R:R=I685))"),"Rajahmundry City")</f>
        <v>Rajahmundry City</v>
      </c>
    </row>
    <row r="686" spans="7:23">
      <c r="G686" s="138" t="s">
        <v>8077</v>
      </c>
      <c r="H686" s="138" t="s">
        <v>8077</v>
      </c>
      <c r="I686" s="138" t="s">
        <v>8591</v>
      </c>
      <c r="J686" s="138" t="s">
        <v>8591</v>
      </c>
      <c r="K686" s="138" t="str">
        <f ca="1">IFERROR(__xludf.DUMMYFUNCTION("unique(filter(R:R,R:R=I686))"),"Rajahmundry City")</f>
        <v>Rajahmundry City</v>
      </c>
      <c r="U686" s="138" t="s">
        <v>8591</v>
      </c>
      <c r="V686" s="138" t="s">
        <v>9572</v>
      </c>
      <c r="W686" s="138" t="str">
        <f ca="1">IFERROR(__xludf.DUMMYFUNCTION("filter(H:H,I:I=U686,J:J=V686)"),"East Godavari")</f>
        <v>East Godavari</v>
      </c>
    </row>
    <row r="687" spans="7:23">
      <c r="G687" s="138" t="s">
        <v>8077</v>
      </c>
      <c r="H687" s="138" t="s">
        <v>8077</v>
      </c>
      <c r="I687" s="138" t="s">
        <v>8566</v>
      </c>
      <c r="J687" s="138" t="s">
        <v>194</v>
      </c>
      <c r="K687" s="138" t="str">
        <f ca="1">IFERROR(__xludf.DUMMYFUNCTION("unique(filter(R:R,R:R=I687))"),"Rajanagaram")</f>
        <v>Rajanagaram</v>
      </c>
      <c r="U687" s="138" t="s">
        <v>8591</v>
      </c>
      <c r="V687" s="138" t="s">
        <v>8591</v>
      </c>
      <c r="W687" s="138" t="str">
        <f ca="1">IFERROR(__xludf.DUMMYFUNCTION("filter(H:H,I:I=U687,J:J=V687)"),"East Godavari")</f>
        <v>East Godavari</v>
      </c>
    </row>
    <row r="688" spans="7:23">
      <c r="G688" s="138" t="s">
        <v>8077</v>
      </c>
      <c r="H688" s="138" t="s">
        <v>8077</v>
      </c>
      <c r="I688" s="138" t="s">
        <v>8566</v>
      </c>
      <c r="J688" s="138" t="s">
        <v>9574</v>
      </c>
      <c r="K688" s="138" t="str">
        <f ca="1">IFERROR(__xludf.DUMMYFUNCTION("unique(filter(R:R,R:R=I688))"),"Rajanagaram")</f>
        <v>Rajanagaram</v>
      </c>
      <c r="U688" s="138" t="s">
        <v>8566</v>
      </c>
      <c r="V688" s="138" t="s">
        <v>194</v>
      </c>
      <c r="W688" s="138" t="str">
        <f ca="1">IFERROR(__xludf.DUMMYFUNCTION("filter(H:H,I:I=U688,J:J=V688)"),"East Godavari")</f>
        <v>East Godavari</v>
      </c>
    </row>
    <row r="689" spans="7:23">
      <c r="G689" s="138" t="s">
        <v>8077</v>
      </c>
      <c r="H689" s="138" t="s">
        <v>8077</v>
      </c>
      <c r="I689" s="138" t="s">
        <v>8566</v>
      </c>
      <c r="J689" s="138" t="s">
        <v>8566</v>
      </c>
      <c r="K689" s="138" t="str">
        <f ca="1">IFERROR(__xludf.DUMMYFUNCTION("unique(filter(R:R,R:R=I689))"),"Rajanagaram")</f>
        <v>Rajanagaram</v>
      </c>
      <c r="U689" s="138" t="s">
        <v>8566</v>
      </c>
      <c r="V689" s="138" t="s">
        <v>9574</v>
      </c>
      <c r="W689" s="138" t="str">
        <f ca="1">IFERROR(__xludf.DUMMYFUNCTION("filter(H:H,I:I=U689,J:J=V689)"),"East Godavari")</f>
        <v>East Godavari</v>
      </c>
    </row>
    <row r="690" spans="7:23">
      <c r="G690" s="138" t="s">
        <v>8077</v>
      </c>
      <c r="H690" s="138" t="s">
        <v>9575</v>
      </c>
      <c r="I690" s="138" t="s">
        <v>8559</v>
      </c>
      <c r="J690" s="138" t="s">
        <v>8559</v>
      </c>
      <c r="K690" s="138" t="str">
        <f ca="1">IFERROR(__xludf.DUMMYFUNCTION("unique(filter(R:R,R:R=I690))"),"Mandapeta")</f>
        <v>Mandapeta</v>
      </c>
      <c r="U690" s="138" t="s">
        <v>8566</v>
      </c>
      <c r="V690" s="138" t="s">
        <v>8566</v>
      </c>
      <c r="W690" s="138" t="str">
        <f ca="1">IFERROR(__xludf.DUMMYFUNCTION("filter(H:H,I:I=U690,J:J=V690)"),"East Godavari")</f>
        <v>East Godavari</v>
      </c>
    </row>
    <row r="691" spans="7:23">
      <c r="G691" s="138" t="s">
        <v>8077</v>
      </c>
      <c r="H691" s="138" t="s">
        <v>9575</v>
      </c>
      <c r="I691" s="138" t="s">
        <v>8559</v>
      </c>
      <c r="J691" s="138" t="s">
        <v>9576</v>
      </c>
      <c r="K691" s="138" t="str">
        <f ca="1">IFERROR(__xludf.DUMMYFUNCTION("unique(filter(R:R,R:R=I691))"),"Mandapeta")</f>
        <v>Mandapeta</v>
      </c>
      <c r="U691" s="138" t="s">
        <v>8559</v>
      </c>
      <c r="V691" s="138" t="s">
        <v>8559</v>
      </c>
      <c r="W691" s="138" t="str">
        <f ca="1">IFERROR(__xludf.DUMMYFUNCTION("filter(H:H,I:I=U691,J:J=V691)"),"Konaseema")</f>
        <v>Konaseema</v>
      </c>
    </row>
    <row r="692" spans="7:23">
      <c r="G692" s="138" t="s">
        <v>8077</v>
      </c>
      <c r="H692" s="138" t="s">
        <v>9575</v>
      </c>
      <c r="I692" s="138" t="s">
        <v>8559</v>
      </c>
      <c r="J692" s="138" t="s">
        <v>9577</v>
      </c>
      <c r="K692" s="138" t="str">
        <f ca="1">IFERROR(__xludf.DUMMYFUNCTION("unique(filter(R:R,R:R=I692))"),"Mandapeta")</f>
        <v>Mandapeta</v>
      </c>
      <c r="U692" s="138" t="s">
        <v>8559</v>
      </c>
      <c r="V692" s="138" t="s">
        <v>9576</v>
      </c>
      <c r="W692" s="138" t="str">
        <f ca="1">IFERROR(__xludf.DUMMYFUNCTION("filter(H:H,I:I=U692,J:J=V692)"),"Konaseema")</f>
        <v>Konaseema</v>
      </c>
    </row>
    <row r="693" spans="7:23">
      <c r="G693" s="138" t="s">
        <v>8077</v>
      </c>
      <c r="H693" s="138" t="s">
        <v>9575</v>
      </c>
      <c r="I693" s="138" t="s">
        <v>8559</v>
      </c>
      <c r="J693" s="138" t="s">
        <v>9578</v>
      </c>
      <c r="K693" s="138" t="str">
        <f ca="1">IFERROR(__xludf.DUMMYFUNCTION("unique(filter(R:R,R:R=I693))"),"Mandapeta")</f>
        <v>Mandapeta</v>
      </c>
      <c r="U693" s="138" t="s">
        <v>8559</v>
      </c>
      <c r="V693" s="138" t="s">
        <v>9577</v>
      </c>
      <c r="W693" s="138" t="str">
        <f ca="1">IFERROR(__xludf.DUMMYFUNCTION("filter(H:H,I:I=U693,J:J=V693)"),"Konaseema")</f>
        <v>Konaseema</v>
      </c>
    </row>
    <row r="694" spans="7:23">
      <c r="G694" s="138" t="e">
        <v>#N/A</v>
      </c>
      <c r="H694" s="138" t="e">
        <v>#N/A</v>
      </c>
      <c r="I694" s="138" t="s">
        <v>8559</v>
      </c>
      <c r="J694" s="138" t="e">
        <v>#N/A</v>
      </c>
      <c r="K694" s="138" t="str">
        <f ca="1">IFERROR(__xludf.DUMMYFUNCTION("unique(filter(R:R,R:R=I694))"),"Mandapeta")</f>
        <v>Mandapeta</v>
      </c>
      <c r="U694" s="138" t="s">
        <v>8559</v>
      </c>
      <c r="V694" s="138" t="s">
        <v>9578</v>
      </c>
      <c r="W694" s="138" t="str">
        <f ca="1">IFERROR(__xludf.DUMMYFUNCTION("filter(H:H,I:I=U694,J:J=V694)"),"Konaseema")</f>
        <v>Konaseema</v>
      </c>
    </row>
    <row r="695" spans="7:23">
      <c r="G695" s="138" t="s">
        <v>8077</v>
      </c>
      <c r="H695" s="138" t="s">
        <v>9575</v>
      </c>
      <c r="I695" s="138" t="s">
        <v>8526</v>
      </c>
      <c r="J695" s="138" t="s">
        <v>9579</v>
      </c>
      <c r="K695" s="138" t="str">
        <f ca="1">IFERROR(__xludf.DUMMYFUNCTION("unique(filter(R:R,R:R=I695))"),"Kothapeta")</f>
        <v>Kothapeta</v>
      </c>
    </row>
    <row r="696" spans="7:23">
      <c r="G696" s="138" t="s">
        <v>8077</v>
      </c>
      <c r="H696" s="138" t="s">
        <v>9575</v>
      </c>
      <c r="I696" s="138" t="s">
        <v>8526</v>
      </c>
      <c r="J696" s="138" t="s">
        <v>9580</v>
      </c>
      <c r="K696" s="138" t="str">
        <f ca="1">IFERROR(__xludf.DUMMYFUNCTION("unique(filter(R:R,R:R=I696))"),"Kothapeta")</f>
        <v>Kothapeta</v>
      </c>
      <c r="U696" s="138" t="s">
        <v>8526</v>
      </c>
      <c r="V696" s="138" t="s">
        <v>9579</v>
      </c>
      <c r="W696" s="138" t="str">
        <f ca="1">IFERROR(__xludf.DUMMYFUNCTION("filter(H:H,I:I=U696,J:J=V696)"),"Konaseema")</f>
        <v>Konaseema</v>
      </c>
    </row>
    <row r="697" spans="7:23">
      <c r="G697" s="138" t="s">
        <v>8077</v>
      </c>
      <c r="H697" s="138" t="s">
        <v>9575</v>
      </c>
      <c r="I697" s="138" t="s">
        <v>8526</v>
      </c>
      <c r="J697" s="138" t="s">
        <v>8526</v>
      </c>
      <c r="K697" s="138" t="str">
        <f ca="1">IFERROR(__xludf.DUMMYFUNCTION("unique(filter(R:R,R:R=I697))"),"Kothapeta")</f>
        <v>Kothapeta</v>
      </c>
      <c r="U697" s="138" t="s">
        <v>8526</v>
      </c>
      <c r="V697" s="138" t="s">
        <v>9580</v>
      </c>
      <c r="W697" s="138" t="str">
        <f ca="1">IFERROR(__xludf.DUMMYFUNCTION("filter(H:H,I:I=U697,J:J=V697)"),"Konaseema")</f>
        <v>Konaseema</v>
      </c>
    </row>
    <row r="698" spans="7:23">
      <c r="G698" s="138" t="s">
        <v>8077</v>
      </c>
      <c r="H698" s="138" t="s">
        <v>9575</v>
      </c>
      <c r="I698" s="138" t="s">
        <v>8526</v>
      </c>
      <c r="J698" s="138" t="s">
        <v>9581</v>
      </c>
      <c r="K698" s="138" t="str">
        <f ca="1">IFERROR(__xludf.DUMMYFUNCTION("unique(filter(R:R,R:R=I698))"),"Kothapeta")</f>
        <v>Kothapeta</v>
      </c>
      <c r="U698" s="138" t="s">
        <v>8526</v>
      </c>
      <c r="V698" s="138" t="s">
        <v>8526</v>
      </c>
      <c r="W698" s="138" t="str">
        <f ca="1">IFERROR(__xludf.DUMMYFUNCTION("filter(H:H,I:I=U698,J:J=V698)"),"Konaseema")</f>
        <v>Konaseema</v>
      </c>
    </row>
    <row r="699" spans="7:23">
      <c r="G699" s="138" t="s">
        <v>8077</v>
      </c>
      <c r="H699" s="138" t="s">
        <v>9575</v>
      </c>
      <c r="I699" s="138" t="s">
        <v>8523</v>
      </c>
      <c r="J699" s="138" t="s">
        <v>9582</v>
      </c>
      <c r="K699" s="138" t="str">
        <f ca="1">IFERROR(__xludf.DUMMYFUNCTION("unique(filter(R:R,R:R=I699))"),"Gannavaram (Sc)")</f>
        <v>Gannavaram (Sc)</v>
      </c>
      <c r="U699" s="138" t="s">
        <v>8526</v>
      </c>
      <c r="V699" s="138" t="s">
        <v>9581</v>
      </c>
      <c r="W699" s="138" t="str">
        <f ca="1">IFERROR(__xludf.DUMMYFUNCTION("filter(H:H,I:I=U699,J:J=V699)"),"Konaseema")</f>
        <v>Konaseema</v>
      </c>
    </row>
    <row r="700" spans="7:23">
      <c r="G700" s="138" t="s">
        <v>8077</v>
      </c>
      <c r="H700" s="138" t="s">
        <v>9575</v>
      </c>
      <c r="I700" s="138" t="s">
        <v>8523</v>
      </c>
      <c r="J700" s="138" t="s">
        <v>9583</v>
      </c>
      <c r="K700" s="138" t="str">
        <f ca="1">IFERROR(__xludf.DUMMYFUNCTION("unique(filter(R:R,R:R=I700))"),"Gannavaram (Sc)")</f>
        <v>Gannavaram (Sc)</v>
      </c>
      <c r="U700" s="138" t="s">
        <v>8523</v>
      </c>
      <c r="V700" s="138" t="s">
        <v>9582</v>
      </c>
      <c r="W700" s="138" t="str">
        <f ca="1">IFERROR(__xludf.DUMMYFUNCTION("filter(H:H,I:I=U700,J:J=V700)"),"Konaseema")</f>
        <v>Konaseema</v>
      </c>
    </row>
    <row r="701" spans="7:23">
      <c r="G701" s="138" t="s">
        <v>8077</v>
      </c>
      <c r="H701" s="138" t="s">
        <v>9575</v>
      </c>
      <c r="I701" s="138" t="s">
        <v>8523</v>
      </c>
      <c r="J701" s="138" t="s">
        <v>9584</v>
      </c>
      <c r="K701" s="138" t="str">
        <f ca="1">IFERROR(__xludf.DUMMYFUNCTION("unique(filter(R:R,R:R=I701))"),"Gannavaram (Sc)")</f>
        <v>Gannavaram (Sc)</v>
      </c>
      <c r="U701" s="138" t="s">
        <v>8523</v>
      </c>
      <c r="V701" s="138" t="s">
        <v>9583</v>
      </c>
      <c r="W701" s="138" t="str">
        <f ca="1">IFERROR(__xludf.DUMMYFUNCTION("filter(H:H,I:I=U701,J:J=V701)"),"Konaseema")</f>
        <v>Konaseema</v>
      </c>
    </row>
    <row r="702" spans="7:23">
      <c r="G702" s="138" t="s">
        <v>8077</v>
      </c>
      <c r="H702" s="138" t="s">
        <v>9575</v>
      </c>
      <c r="I702" s="138" t="s">
        <v>8523</v>
      </c>
      <c r="J702" s="138" t="s">
        <v>9585</v>
      </c>
      <c r="K702" s="138" t="str">
        <f ca="1">IFERROR(__xludf.DUMMYFUNCTION("unique(filter(R:R,R:R=I702))"),"Gannavaram (Sc)")</f>
        <v>Gannavaram (Sc)</v>
      </c>
      <c r="U702" s="138" t="s">
        <v>8523</v>
      </c>
      <c r="V702" s="138" t="s">
        <v>9584</v>
      </c>
      <c r="W702" s="138" t="str">
        <f ca="1">IFERROR(__xludf.DUMMYFUNCTION("filter(H:H,I:I=U702,J:J=V702)"),"Konaseema")</f>
        <v>Konaseema</v>
      </c>
    </row>
    <row r="703" spans="7:23">
      <c r="G703" s="138" t="s">
        <v>8077</v>
      </c>
      <c r="H703" s="138" t="s">
        <v>9575</v>
      </c>
      <c r="I703" s="138" t="s">
        <v>8573</v>
      </c>
      <c r="J703" s="138" t="s">
        <v>9586</v>
      </c>
      <c r="K703" s="138" t="str">
        <f ca="1">IFERROR(__xludf.DUMMYFUNCTION("unique(filter(R:R,R:R=I703))"),"Razole (Sc)")</f>
        <v>Razole (Sc)</v>
      </c>
      <c r="U703" s="138" t="s">
        <v>8523</v>
      </c>
      <c r="V703" s="138" t="s">
        <v>9585</v>
      </c>
      <c r="W703" s="138" t="str">
        <f ca="1">IFERROR(__xludf.DUMMYFUNCTION("filter(H:H,I:I=U703,J:J=V703)"),"Konaseema")</f>
        <v>Konaseema</v>
      </c>
    </row>
    <row r="704" spans="7:23">
      <c r="G704" s="138" t="s">
        <v>8077</v>
      </c>
      <c r="H704" s="138" t="s">
        <v>9575</v>
      </c>
      <c r="I704" s="138" t="s">
        <v>8573</v>
      </c>
      <c r="J704" s="138" t="s">
        <v>9587</v>
      </c>
      <c r="K704" s="138" t="str">
        <f ca="1">IFERROR(__xludf.DUMMYFUNCTION("unique(filter(R:R,R:R=I704))"),"Razole (Sc)")</f>
        <v>Razole (Sc)</v>
      </c>
      <c r="U704" s="138" t="s">
        <v>8573</v>
      </c>
      <c r="V704" s="138" t="s">
        <v>9586</v>
      </c>
      <c r="W704" s="138" t="str">
        <f ca="1">IFERROR(__xludf.DUMMYFUNCTION("filter(H:H,I:I=U704,J:J=V704)"),"Konaseema")</f>
        <v>Konaseema</v>
      </c>
    </row>
    <row r="705" spans="7:23">
      <c r="G705" s="138" t="s">
        <v>8077</v>
      </c>
      <c r="H705" s="138" t="s">
        <v>9575</v>
      </c>
      <c r="I705" s="138" t="s">
        <v>8573</v>
      </c>
      <c r="J705" s="138" t="s">
        <v>9588</v>
      </c>
      <c r="K705" s="138" t="str">
        <f ca="1">IFERROR(__xludf.DUMMYFUNCTION("unique(filter(R:R,R:R=I705))"),"Razole (Sc)")</f>
        <v>Razole (Sc)</v>
      </c>
      <c r="U705" s="138" t="s">
        <v>8573</v>
      </c>
      <c r="V705" s="138" t="s">
        <v>9587</v>
      </c>
      <c r="W705" s="138" t="str">
        <f ca="1">IFERROR(__xludf.DUMMYFUNCTION("filter(H:H,I:I=U705,J:J=V705)"),"Konaseema")</f>
        <v>Konaseema</v>
      </c>
    </row>
    <row r="706" spans="7:23">
      <c r="G706" s="138" t="s">
        <v>8077</v>
      </c>
      <c r="H706" s="138" t="s">
        <v>9575</v>
      </c>
      <c r="I706" s="138" t="s">
        <v>8573</v>
      </c>
      <c r="J706" s="138" t="s">
        <v>9582</v>
      </c>
      <c r="K706" s="138" t="str">
        <f ca="1">IFERROR(__xludf.DUMMYFUNCTION("unique(filter(R:R,R:R=I706))"),"Razole (Sc)")</f>
        <v>Razole (Sc)</v>
      </c>
      <c r="U706" s="138" t="s">
        <v>8573</v>
      </c>
      <c r="V706" s="138" t="s">
        <v>9588</v>
      </c>
      <c r="W706" s="138" t="str">
        <f ca="1">IFERROR(__xludf.DUMMYFUNCTION("filter(H:H,I:I=U706,J:J=V706)"),"Konaseema")</f>
        <v>Konaseema</v>
      </c>
    </row>
    <row r="707" spans="7:23">
      <c r="G707" s="138" t="s">
        <v>8077</v>
      </c>
      <c r="H707" s="138" t="s">
        <v>9575</v>
      </c>
      <c r="I707" s="138" t="s">
        <v>8529</v>
      </c>
      <c r="J707" s="138" t="s">
        <v>9589</v>
      </c>
      <c r="K707" s="138" t="str">
        <f ca="1">IFERROR(__xludf.DUMMYFUNCTION("unique(filter(R:R,R:R=I707))"),"Amalapuram (Sc)")</f>
        <v>Amalapuram (Sc)</v>
      </c>
      <c r="U707" s="138" t="s">
        <v>8573</v>
      </c>
      <c r="V707" s="138" t="s">
        <v>9582</v>
      </c>
      <c r="W707" s="138" t="str">
        <f ca="1">IFERROR(__xludf.DUMMYFUNCTION("filter(H:H,I:I=U707,J:J=V707)"),"Konaseema")</f>
        <v>Konaseema</v>
      </c>
    </row>
    <row r="708" spans="7:23">
      <c r="G708" s="138" t="s">
        <v>8077</v>
      </c>
      <c r="H708" s="138" t="s">
        <v>9575</v>
      </c>
      <c r="I708" s="138" t="s">
        <v>8529</v>
      </c>
      <c r="J708" s="138" t="s">
        <v>9590</v>
      </c>
      <c r="K708" s="138" t="str">
        <f ca="1">IFERROR(__xludf.DUMMYFUNCTION("unique(filter(R:R,R:R=I708))"),"Amalapuram (Sc)")</f>
        <v>Amalapuram (Sc)</v>
      </c>
      <c r="U708" s="138" t="s">
        <v>8529</v>
      </c>
      <c r="V708" s="138" t="s">
        <v>9589</v>
      </c>
      <c r="W708" s="138" t="str">
        <f ca="1">IFERROR(__xludf.DUMMYFUNCTION("filter(H:H,I:I=U708,J:J=V708)"),"Konaseema")</f>
        <v>Konaseema</v>
      </c>
    </row>
    <row r="709" spans="7:23">
      <c r="G709" s="138" t="s">
        <v>8077</v>
      </c>
      <c r="H709" s="138" t="s">
        <v>9575</v>
      </c>
      <c r="I709" s="138" t="s">
        <v>8529</v>
      </c>
      <c r="J709" s="138" t="s">
        <v>9591</v>
      </c>
      <c r="K709" s="138" t="str">
        <f ca="1">IFERROR(__xludf.DUMMYFUNCTION("unique(filter(R:R,R:R=I709))"),"Amalapuram (Sc)")</f>
        <v>Amalapuram (Sc)</v>
      </c>
      <c r="U709" s="138" t="s">
        <v>8529</v>
      </c>
      <c r="V709" s="138" t="s">
        <v>9590</v>
      </c>
      <c r="W709" s="138" t="str">
        <f ca="1">IFERROR(__xludf.DUMMYFUNCTION("filter(H:H,I:I=U709,J:J=V709)"),"Konaseema")</f>
        <v>Konaseema</v>
      </c>
    </row>
    <row r="710" spans="7:23">
      <c r="G710" s="138" t="s">
        <v>8077</v>
      </c>
      <c r="H710" s="138" t="s">
        <v>9575</v>
      </c>
      <c r="I710" s="138" t="s">
        <v>8529</v>
      </c>
      <c r="J710" s="138" t="s">
        <v>9592</v>
      </c>
      <c r="K710" s="138" t="str">
        <f ca="1">IFERROR(__xludf.DUMMYFUNCTION("unique(filter(R:R,R:R=I710))"),"Amalapuram (Sc)")</f>
        <v>Amalapuram (Sc)</v>
      </c>
      <c r="U710" s="138" t="s">
        <v>8529</v>
      </c>
      <c r="V710" s="138" t="s">
        <v>9591</v>
      </c>
      <c r="W710" s="138" t="str">
        <f ca="1">IFERROR(__xludf.DUMMYFUNCTION("filter(H:H,I:I=U710,J:J=V710)"),"Konaseema")</f>
        <v>Konaseema</v>
      </c>
    </row>
    <row r="711" spans="7:23">
      <c r="G711" s="138" t="e">
        <v>#N/A</v>
      </c>
      <c r="H711" s="138" t="e">
        <v>#N/A</v>
      </c>
      <c r="I711" s="138" t="s">
        <v>8529</v>
      </c>
      <c r="J711" s="138" t="e">
        <v>#N/A</v>
      </c>
      <c r="K711" s="138" t="str">
        <f ca="1">IFERROR(__xludf.DUMMYFUNCTION("unique(filter(R:R,R:R=I711))"),"Amalapuram (Sc)")</f>
        <v>Amalapuram (Sc)</v>
      </c>
      <c r="U711" s="138" t="s">
        <v>8529</v>
      </c>
      <c r="V711" s="138" t="s">
        <v>9592</v>
      </c>
      <c r="W711" s="138" t="str">
        <f ca="1">IFERROR(__xludf.DUMMYFUNCTION("filter(H:H,I:I=U711,J:J=V711)"),"Konaseema")</f>
        <v>Konaseema</v>
      </c>
    </row>
    <row r="712" spans="7:23">
      <c r="G712" s="138" t="s">
        <v>8077</v>
      </c>
      <c r="H712" s="138" t="s">
        <v>9575</v>
      </c>
      <c r="I712" s="138" t="s">
        <v>8550</v>
      </c>
      <c r="J712" s="138" t="s">
        <v>8550</v>
      </c>
      <c r="K712" s="138" t="str">
        <f ca="1">IFERROR(__xludf.DUMMYFUNCTION("unique(filter(R:R,R:R=I712))"),"Mummidivaram")</f>
        <v>Mummidivaram</v>
      </c>
    </row>
    <row r="713" spans="7:23">
      <c r="G713" s="138" t="s">
        <v>8077</v>
      </c>
      <c r="H713" s="138" t="s">
        <v>9575</v>
      </c>
      <c r="I713" s="138" t="s">
        <v>8550</v>
      </c>
      <c r="J713" s="138" t="s">
        <v>9593</v>
      </c>
      <c r="K713" s="138" t="str">
        <f ca="1">IFERROR(__xludf.DUMMYFUNCTION("unique(filter(R:R,R:R=I713))"),"Mummidivaram")</f>
        <v>Mummidivaram</v>
      </c>
      <c r="U713" s="138" t="s">
        <v>8550</v>
      </c>
      <c r="V713" s="138" t="s">
        <v>8550</v>
      </c>
      <c r="W713" s="138" t="str">
        <f ca="1">IFERROR(__xludf.DUMMYFUNCTION("filter(H:H,I:I=U713,J:J=V713)"),"Konaseema")</f>
        <v>Konaseema</v>
      </c>
    </row>
    <row r="714" spans="7:23">
      <c r="G714" s="138" t="s">
        <v>8077</v>
      </c>
      <c r="H714" s="138" t="s">
        <v>9575</v>
      </c>
      <c r="I714" s="138" t="s">
        <v>8550</v>
      </c>
      <c r="J714" s="138" t="s">
        <v>9594</v>
      </c>
      <c r="K714" s="138" t="str">
        <f ca="1">IFERROR(__xludf.DUMMYFUNCTION("unique(filter(R:R,R:R=I714))"),"Mummidivaram")</f>
        <v>Mummidivaram</v>
      </c>
      <c r="U714" s="138" t="s">
        <v>8550</v>
      </c>
      <c r="V714" s="138" t="s">
        <v>9593</v>
      </c>
      <c r="W714" s="138" t="str">
        <f ca="1">IFERROR(__xludf.DUMMYFUNCTION("filter(H:H,I:I=U714,J:J=V714)"),"Konaseema")</f>
        <v>Konaseema</v>
      </c>
    </row>
    <row r="715" spans="7:23">
      <c r="G715" s="138" t="s">
        <v>8077</v>
      </c>
      <c r="H715" s="138" t="s">
        <v>9575</v>
      </c>
      <c r="I715" s="138" t="s">
        <v>8550</v>
      </c>
      <c r="J715" s="138" t="s">
        <v>9595</v>
      </c>
      <c r="K715" s="138" t="str">
        <f ca="1">IFERROR(__xludf.DUMMYFUNCTION("unique(filter(R:R,R:R=I715))"),"Mummidivaram")</f>
        <v>Mummidivaram</v>
      </c>
      <c r="U715" s="138" t="s">
        <v>8550</v>
      </c>
      <c r="V715" s="138" t="s">
        <v>9594</v>
      </c>
      <c r="W715" s="138" t="str">
        <f ca="1">IFERROR(__xludf.DUMMYFUNCTION("filter(H:H,I:I=U715,J:J=V715)"),"Konaseema")</f>
        <v>Konaseema</v>
      </c>
    </row>
    <row r="716" spans="7:23">
      <c r="G716" s="138" t="s">
        <v>8077</v>
      </c>
      <c r="H716" s="138" t="s">
        <v>9575</v>
      </c>
      <c r="I716" s="138" t="s">
        <v>8550</v>
      </c>
      <c r="J716" s="138" t="s">
        <v>9596</v>
      </c>
      <c r="K716" s="138" t="str">
        <f ca="1">IFERROR(__xludf.DUMMYFUNCTION("unique(filter(R:R,R:R=I716))"),"Mummidivaram")</f>
        <v>Mummidivaram</v>
      </c>
      <c r="U716" s="138" t="s">
        <v>8550</v>
      </c>
      <c r="V716" s="138" t="s">
        <v>9595</v>
      </c>
      <c r="W716" s="138" t="str">
        <f ca="1">IFERROR(__xludf.DUMMYFUNCTION("filter(H:H,I:I=U716,J:J=V716)"),"Konaseema")</f>
        <v>Konaseema</v>
      </c>
    </row>
    <row r="717" spans="7:23">
      <c r="G717" s="138" t="s">
        <v>8077</v>
      </c>
      <c r="H717" s="138" t="s">
        <v>9575</v>
      </c>
      <c r="I717" s="138" t="s">
        <v>1193</v>
      </c>
      <c r="J717" s="138" t="s">
        <v>9597</v>
      </c>
      <c r="K717" s="138" t="str">
        <f ca="1">IFERROR(__xludf.DUMMYFUNCTION("unique(filter(R:R,R:R=I717))"),"Ramachandrapuram")</f>
        <v>Ramachandrapuram</v>
      </c>
      <c r="U717" s="138" t="s">
        <v>8550</v>
      </c>
      <c r="V717" s="138" t="s">
        <v>9596</v>
      </c>
      <c r="W717" s="138" t="str">
        <f ca="1">IFERROR(__xludf.DUMMYFUNCTION("filter(H:H,I:I=U717,J:J=V717)"),"Konaseema")</f>
        <v>Konaseema</v>
      </c>
    </row>
    <row r="718" spans="7:23">
      <c r="G718" s="138" t="s">
        <v>8077</v>
      </c>
      <c r="H718" s="138" t="s">
        <v>9575</v>
      </c>
      <c r="I718" s="138" t="s">
        <v>1193</v>
      </c>
      <c r="J718" s="138" t="s">
        <v>1193</v>
      </c>
      <c r="K718" s="138" t="str">
        <f ca="1">IFERROR(__xludf.DUMMYFUNCTION("unique(filter(R:R,R:R=I718))"),"Ramachandrapuram")</f>
        <v>Ramachandrapuram</v>
      </c>
      <c r="U718" s="138" t="s">
        <v>1193</v>
      </c>
      <c r="V718" s="138" t="s">
        <v>9597</v>
      </c>
      <c r="W718" s="138" t="str">
        <f ca="1">IFERROR(__xludf.DUMMYFUNCTION("filter(H:H,I:I=U718,J:J=V718)"),"Konaseema")</f>
        <v>Konaseema</v>
      </c>
    </row>
    <row r="719" spans="7:23">
      <c r="G719" s="138" t="s">
        <v>8077</v>
      </c>
      <c r="H719" s="138" t="s">
        <v>9575</v>
      </c>
      <c r="I719" s="138" t="s">
        <v>1193</v>
      </c>
      <c r="J719" s="138" t="s">
        <v>9598</v>
      </c>
      <c r="K719" s="138" t="str">
        <f ca="1">IFERROR(__xludf.DUMMYFUNCTION("unique(filter(R:R,R:R=I719))"),"Ramachandrapuram")</f>
        <v>Ramachandrapuram</v>
      </c>
      <c r="U719" s="138" t="s">
        <v>1193</v>
      </c>
      <c r="V719" s="138" t="s">
        <v>1193</v>
      </c>
      <c r="W719" s="138" t="str">
        <f ca="1">IFERROR(__xludf.DUMMYFUNCTION("filter(H:H,I:I=U719,J:J=V719)"),"Konaseema")</f>
        <v>Konaseema</v>
      </c>
    </row>
    <row r="720" spans="7:23">
      <c r="G720" s="138" t="s">
        <v>8077</v>
      </c>
      <c r="H720" s="138" t="s">
        <v>9575</v>
      </c>
      <c r="I720" s="138" t="s">
        <v>1193</v>
      </c>
      <c r="J720" s="138" t="s">
        <v>9599</v>
      </c>
      <c r="K720" s="138" t="str">
        <f ca="1">IFERROR(__xludf.DUMMYFUNCTION("unique(filter(R:R,R:R=I720))"),"Ramachandrapuram")</f>
        <v>Ramachandrapuram</v>
      </c>
      <c r="U720" s="138" t="s">
        <v>1193</v>
      </c>
      <c r="V720" s="138" t="s">
        <v>9598</v>
      </c>
      <c r="W720" s="138" t="str">
        <f ca="1">IFERROR(__xludf.DUMMYFUNCTION("filter(H:H,I:I=U720,J:J=V720)"),"Konaseema")</f>
        <v>Konaseema</v>
      </c>
    </row>
    <row r="721" spans="7:23">
      <c r="G721" s="138" t="s">
        <v>8077</v>
      </c>
      <c r="H721" s="138" t="s">
        <v>4367</v>
      </c>
      <c r="I721" s="138" t="s">
        <v>792</v>
      </c>
      <c r="J721" s="138" t="s">
        <v>8119</v>
      </c>
      <c r="K721" s="138" t="str">
        <f ca="1">IFERROR(__xludf.DUMMYFUNCTION("unique(filter(R:R,R:R=I721))"),"Kakinada City")</f>
        <v>Kakinada City</v>
      </c>
      <c r="U721" s="138" t="s">
        <v>1193</v>
      </c>
      <c r="V721" s="138" t="s">
        <v>9599</v>
      </c>
      <c r="W721" s="138" t="str">
        <f ca="1">IFERROR(__xludf.DUMMYFUNCTION("filter(H:H,I:I=U721,J:J=V721)"),"Konaseema")</f>
        <v>Konaseema</v>
      </c>
    </row>
    <row r="722" spans="7:23">
      <c r="G722" s="138" t="s">
        <v>8077</v>
      </c>
      <c r="H722" s="138" t="s">
        <v>8077</v>
      </c>
      <c r="I722" s="138" t="s">
        <v>8535</v>
      </c>
      <c r="J722" s="138" t="s">
        <v>8535</v>
      </c>
      <c r="K722" s="138" t="str">
        <f ca="1">IFERROR(__xludf.DUMMYFUNCTION("unique(filter(R:R,R:R=I722))"),"Anaparthy")</f>
        <v>Anaparthy</v>
      </c>
      <c r="U722" s="138" t="s">
        <v>792</v>
      </c>
      <c r="V722" s="138" t="s">
        <v>8119</v>
      </c>
      <c r="W722" s="138" t="str">
        <f ca="1">IFERROR(__xludf.DUMMYFUNCTION("filter(H:H,I:I=U722,J:J=V722)"),"Kakinada")</f>
        <v>Kakinada</v>
      </c>
    </row>
    <row r="723" spans="7:23">
      <c r="G723" s="138" t="s">
        <v>8077</v>
      </c>
      <c r="H723" s="138" t="s">
        <v>8077</v>
      </c>
      <c r="I723" s="138" t="s">
        <v>8535</v>
      </c>
      <c r="J723" s="138" t="s">
        <v>9600</v>
      </c>
      <c r="K723" s="138" t="str">
        <f ca="1">IFERROR(__xludf.DUMMYFUNCTION("unique(filter(R:R,R:R=I723))"),"Anaparthy")</f>
        <v>Anaparthy</v>
      </c>
      <c r="U723" s="138" t="s">
        <v>8535</v>
      </c>
      <c r="V723" s="138" t="s">
        <v>8535</v>
      </c>
      <c r="W723" s="138" t="str">
        <f ca="1">IFERROR(__xludf.DUMMYFUNCTION("filter(H:H,I:I=U723,J:J=V723)"),"East Godavari")</f>
        <v>East Godavari</v>
      </c>
    </row>
    <row r="724" spans="7:23">
      <c r="G724" s="138" t="s">
        <v>8077</v>
      </c>
      <c r="H724" s="138" t="s">
        <v>8077</v>
      </c>
      <c r="I724" s="138" t="s">
        <v>8535</v>
      </c>
      <c r="J724" s="138" t="s">
        <v>9601</v>
      </c>
      <c r="K724" s="138" t="str">
        <f ca="1">IFERROR(__xludf.DUMMYFUNCTION("unique(filter(R:R,R:R=I724))"),"Anaparthy")</f>
        <v>Anaparthy</v>
      </c>
      <c r="U724" s="138" t="s">
        <v>8535</v>
      </c>
      <c r="V724" s="138" t="s">
        <v>9600</v>
      </c>
      <c r="W724" s="138" t="str">
        <f ca="1">IFERROR(__xludf.DUMMYFUNCTION("filter(H:H,I:I=U724,J:J=V724)"),"East Godavari")</f>
        <v>East Godavari</v>
      </c>
    </row>
    <row r="725" spans="7:23">
      <c r="G725" s="138" t="s">
        <v>8077</v>
      </c>
      <c r="H725" s="138" t="s">
        <v>8077</v>
      </c>
      <c r="I725" s="138" t="s">
        <v>8535</v>
      </c>
      <c r="J725" s="138" t="s">
        <v>9602</v>
      </c>
      <c r="K725" s="138" t="str">
        <f ca="1">IFERROR(__xludf.DUMMYFUNCTION("unique(filter(R:R,R:R=I725))"),"Anaparthy")</f>
        <v>Anaparthy</v>
      </c>
      <c r="U725" s="138" t="s">
        <v>8535</v>
      </c>
      <c r="V725" s="138" t="s">
        <v>9601</v>
      </c>
      <c r="W725" s="138" t="str">
        <f ca="1">IFERROR(__xludf.DUMMYFUNCTION("filter(H:H,I:I=U725,J:J=V725)"),"East Godavari")</f>
        <v>East Godavari</v>
      </c>
    </row>
    <row r="726" spans="7:23">
      <c r="G726" s="138" t="s">
        <v>8077</v>
      </c>
      <c r="H726" s="138" t="s">
        <v>4367</v>
      </c>
      <c r="I726" s="138" t="s">
        <v>15</v>
      </c>
      <c r="J726" s="138" t="s">
        <v>15</v>
      </c>
      <c r="K726" s="138" t="str">
        <f ca="1">IFERROR(__xludf.DUMMYFUNCTION("unique(filter(R:R,R:R=I726))"),"#REF!")</f>
        <v>#REF!</v>
      </c>
      <c r="U726" s="138" t="s">
        <v>8535</v>
      </c>
      <c r="V726" s="138" t="s">
        <v>9602</v>
      </c>
      <c r="W726" s="138" t="str">
        <f ca="1">IFERROR(__xludf.DUMMYFUNCTION("filter(H:H,I:I=U726,J:J=V726)"),"East Godavari")</f>
        <v>East Godavari</v>
      </c>
    </row>
    <row r="727" spans="7:23">
      <c r="G727" s="138" t="s">
        <v>8077</v>
      </c>
      <c r="H727" s="138" t="s">
        <v>4367</v>
      </c>
      <c r="I727" s="138" t="s">
        <v>15</v>
      </c>
      <c r="J727" s="138" t="s">
        <v>789</v>
      </c>
      <c r="K727" s="138" t="str">
        <f ca="1">IFERROR(__xludf.DUMMYFUNCTION("unique(filter(R:R,R:R=I727))"),"#REF!")</f>
        <v>#REF!</v>
      </c>
      <c r="U727" s="138" t="s">
        <v>15</v>
      </c>
      <c r="V727" s="138" t="s">
        <v>15</v>
      </c>
      <c r="W727" s="138" t="str">
        <f ca="1">IFERROR(__xludf.DUMMYFUNCTION("filter(H:H,I:I=U727,J:J=V727)"),"Kakinada")</f>
        <v>Kakinada</v>
      </c>
    </row>
    <row r="728" spans="7:23">
      <c r="G728" s="138" t="s">
        <v>8077</v>
      </c>
      <c r="H728" s="138" t="s">
        <v>4367</v>
      </c>
      <c r="I728" s="138" t="s">
        <v>15</v>
      </c>
      <c r="J728" s="138" t="s">
        <v>389</v>
      </c>
      <c r="K728" s="138" t="str">
        <f ca="1">IFERROR(__xludf.DUMMYFUNCTION("unique(filter(R:R,R:R=I728))"),"#REF!")</f>
        <v>#REF!</v>
      </c>
      <c r="U728" s="138" t="s">
        <v>15</v>
      </c>
      <c r="V728" s="138" t="s">
        <v>789</v>
      </c>
      <c r="W728" s="138" t="str">
        <f ca="1">IFERROR(__xludf.DUMMYFUNCTION("filter(H:H,I:I=U728,J:J=V728)"),"Kakinada")</f>
        <v>Kakinada</v>
      </c>
    </row>
    <row r="729" spans="7:23">
      <c r="G729" s="138" t="s">
        <v>8077</v>
      </c>
      <c r="H729" s="138" t="s">
        <v>4367</v>
      </c>
      <c r="I729" s="138" t="s">
        <v>15</v>
      </c>
      <c r="J729" s="138" t="s">
        <v>790</v>
      </c>
      <c r="K729" s="138" t="str">
        <f ca="1">IFERROR(__xludf.DUMMYFUNCTION("unique(filter(R:R,R:R=I729))"),"#REF!")</f>
        <v>#REF!</v>
      </c>
      <c r="U729" s="138" t="s">
        <v>15</v>
      </c>
      <c r="V729" s="138" t="s">
        <v>389</v>
      </c>
      <c r="W729" s="138" t="str">
        <f ca="1">IFERROR(__xludf.DUMMYFUNCTION("filter(H:H,I:I=U729,J:J=V729)"),"Kakinada")</f>
        <v>Kakinada</v>
      </c>
    </row>
    <row r="730" spans="7:23">
      <c r="G730" s="138" t="s">
        <v>8077</v>
      </c>
      <c r="H730" s="138" t="s">
        <v>4367</v>
      </c>
      <c r="I730" s="138" t="s">
        <v>11</v>
      </c>
      <c r="J730" s="138" t="s">
        <v>261</v>
      </c>
      <c r="K730" s="138" t="str">
        <f ca="1">IFERROR(__xludf.DUMMYFUNCTION("unique(filter(R:R,R:R=I730))"),"Kakinada Rural")</f>
        <v>Kakinada Rural</v>
      </c>
      <c r="U730" s="138" t="s">
        <v>15</v>
      </c>
      <c r="V730" s="138" t="s">
        <v>790</v>
      </c>
      <c r="W730" s="138" t="str">
        <f ca="1">IFERROR(__xludf.DUMMYFUNCTION("filter(H:H,I:I=U730,J:J=V730)"),"Kakinada")</f>
        <v>Kakinada</v>
      </c>
    </row>
    <row r="731" spans="7:23">
      <c r="G731" s="138" t="s">
        <v>8077</v>
      </c>
      <c r="H731" s="138" t="s">
        <v>4367</v>
      </c>
      <c r="I731" s="138" t="s">
        <v>11</v>
      </c>
      <c r="J731" s="138" t="s">
        <v>8119</v>
      </c>
      <c r="K731" s="138" t="str">
        <f ca="1">IFERROR(__xludf.DUMMYFUNCTION("unique(filter(R:R,R:R=I731))"),"Kakinada Rural")</f>
        <v>Kakinada Rural</v>
      </c>
      <c r="U731" s="138" t="s">
        <v>11</v>
      </c>
      <c r="V731" s="138" t="s">
        <v>261</v>
      </c>
      <c r="W731" s="138" t="str">
        <f ca="1">IFERROR(__xludf.DUMMYFUNCTION("filter(H:H,I:I=U731,J:J=V731)"),"Kakinada")</f>
        <v>Kakinada</v>
      </c>
    </row>
    <row r="732" spans="7:23">
      <c r="G732" s="138" t="s">
        <v>8077</v>
      </c>
      <c r="H732" s="138" t="s">
        <v>4367</v>
      </c>
      <c r="I732" s="138" t="s">
        <v>11</v>
      </c>
      <c r="J732" s="138" t="s">
        <v>9603</v>
      </c>
      <c r="K732" s="138" t="str">
        <f ca="1">IFERROR(__xludf.DUMMYFUNCTION("unique(filter(R:R,R:R=I732))"),"Kakinada Rural")</f>
        <v>Kakinada Rural</v>
      </c>
      <c r="U732" s="138" t="s">
        <v>11</v>
      </c>
      <c r="V732" s="138" t="s">
        <v>8119</v>
      </c>
      <c r="W732" s="138" t="str">
        <f ca="1">IFERROR(__xludf.DUMMYFUNCTION("filter(H:H,I:I=U732,J:J=V732)"),"Kakinada")</f>
        <v>Kakinada</v>
      </c>
    </row>
    <row r="733" spans="7:23">
      <c r="G733" s="138" t="s">
        <v>8077</v>
      </c>
      <c r="H733" s="138" t="s">
        <v>4367</v>
      </c>
      <c r="I733" s="138" t="s">
        <v>11</v>
      </c>
      <c r="J733" s="138" t="s">
        <v>297</v>
      </c>
      <c r="K733" s="138" t="str">
        <f ca="1">IFERROR(__xludf.DUMMYFUNCTION("unique(filter(R:R,R:R=I733))"),"Kakinada Rural")</f>
        <v>Kakinada Rural</v>
      </c>
      <c r="U733" s="138" t="s">
        <v>11</v>
      </c>
      <c r="V733" s="138" t="s">
        <v>9603</v>
      </c>
      <c r="W733" s="138" t="str">
        <f ca="1">IFERROR(__xludf.DUMMYFUNCTION("filter(H:H,I:I=U733,J:J=V733)"),"Kakinada")</f>
        <v>Kakinada</v>
      </c>
    </row>
    <row r="734" spans="7:23">
      <c r="G734" s="138" t="s">
        <v>8077</v>
      </c>
      <c r="H734" s="138" t="s">
        <v>4367</v>
      </c>
      <c r="I734" s="138" t="s">
        <v>10</v>
      </c>
      <c r="J734" s="138" t="s">
        <v>430</v>
      </c>
      <c r="K734" s="138" t="str">
        <f ca="1">IFERROR(__xludf.DUMMYFUNCTION("unique(filter(R:R,R:R=I734))"),"Pithapuram")</f>
        <v>Pithapuram</v>
      </c>
      <c r="U734" s="138" t="s">
        <v>11</v>
      </c>
      <c r="V734" s="138" t="s">
        <v>297</v>
      </c>
      <c r="W734" s="138" t="str">
        <f ca="1">IFERROR(__xludf.DUMMYFUNCTION("filter(H:H,I:I=U734,J:J=V734)"),"Kakinada")</f>
        <v>Kakinada</v>
      </c>
    </row>
    <row r="735" spans="7:23">
      <c r="G735" s="138" t="s">
        <v>8077</v>
      </c>
      <c r="H735" s="138" t="s">
        <v>4367</v>
      </c>
      <c r="I735" s="138" t="s">
        <v>10</v>
      </c>
      <c r="J735" s="138" t="s">
        <v>8161</v>
      </c>
      <c r="K735" s="138" t="str">
        <f ca="1">IFERROR(__xludf.DUMMYFUNCTION("unique(filter(R:R,R:R=I735))"),"Pithapuram")</f>
        <v>Pithapuram</v>
      </c>
      <c r="U735" s="138" t="s">
        <v>10</v>
      </c>
      <c r="V735" s="138" t="s">
        <v>430</v>
      </c>
      <c r="W735" s="138" t="str">
        <f ca="1">IFERROR(__xludf.DUMMYFUNCTION("filter(H:H,I:I=U735,J:J=V735)"),"Kakinada")</f>
        <v>Kakinada</v>
      </c>
    </row>
    <row r="736" spans="7:23">
      <c r="G736" s="138" t="s">
        <v>8077</v>
      </c>
      <c r="H736" s="138" t="s">
        <v>4367</v>
      </c>
      <c r="I736" s="138" t="s">
        <v>10</v>
      </c>
      <c r="J736" s="138" t="s">
        <v>10</v>
      </c>
      <c r="K736" s="138" t="str">
        <f ca="1">IFERROR(__xludf.DUMMYFUNCTION("unique(filter(R:R,R:R=I736))"),"Pithapuram")</f>
        <v>Pithapuram</v>
      </c>
      <c r="U736" s="138" t="s">
        <v>10</v>
      </c>
      <c r="V736" s="138" t="s">
        <v>8161</v>
      </c>
      <c r="W736" s="138" t="str">
        <f ca="1">IFERROR(__xludf.DUMMYFUNCTION("filter(H:H,I:I=U736,J:J=V736)"),"Kakinada")</f>
        <v>Kakinada</v>
      </c>
    </row>
    <row r="737" spans="7:23">
      <c r="G737" s="138" t="s">
        <v>8077</v>
      </c>
      <c r="H737" s="138" t="s">
        <v>4367</v>
      </c>
      <c r="I737" s="138" t="s">
        <v>10</v>
      </c>
      <c r="J737" s="138" t="s">
        <v>166</v>
      </c>
      <c r="K737" s="138" t="str">
        <f ca="1">IFERROR(__xludf.DUMMYFUNCTION("unique(filter(R:R,R:R=I737))"),"Pithapuram")</f>
        <v>Pithapuram</v>
      </c>
      <c r="U737" s="138" t="s">
        <v>10</v>
      </c>
      <c r="V737" s="138" t="s">
        <v>10</v>
      </c>
      <c r="W737" s="138" t="str">
        <f ca="1">IFERROR(__xludf.DUMMYFUNCTION("filter(H:H,I:I=U737,J:J=V737)"),"Kakinada")</f>
        <v>Kakinada</v>
      </c>
    </row>
    <row r="738" spans="7:23">
      <c r="G738" s="138" t="s">
        <v>8077</v>
      </c>
      <c r="H738" s="138" t="s">
        <v>4367</v>
      </c>
      <c r="I738" s="138" t="s">
        <v>10</v>
      </c>
      <c r="J738" s="138" t="s">
        <v>786</v>
      </c>
      <c r="K738" s="138" t="str">
        <f ca="1">IFERROR(__xludf.DUMMYFUNCTION("unique(filter(R:R,R:R=I738))"),"Pithapuram")</f>
        <v>Pithapuram</v>
      </c>
      <c r="U738" s="138" t="s">
        <v>10</v>
      </c>
      <c r="V738" s="138" t="s">
        <v>166</v>
      </c>
      <c r="W738" s="138" t="str">
        <f ca="1">IFERROR(__xludf.DUMMYFUNCTION("filter(H:H,I:I=U738,J:J=V738)"),"Kakinada")</f>
        <v>Kakinada</v>
      </c>
    </row>
    <row r="739" spans="7:23">
      <c r="G739" s="138" t="s">
        <v>8077</v>
      </c>
      <c r="H739" s="138" t="s">
        <v>4367</v>
      </c>
      <c r="I739" s="138" t="s">
        <v>8</v>
      </c>
      <c r="J739" s="138" t="s">
        <v>658</v>
      </c>
      <c r="K739" s="138" t="str">
        <f ca="1">IFERROR(__xludf.DUMMYFUNCTION("unique(filter(R:R,R:R=I739))"),"Prathipadu")</f>
        <v>Prathipadu</v>
      </c>
      <c r="U739" s="138" t="s">
        <v>10</v>
      </c>
      <c r="V739" s="138" t="s">
        <v>786</v>
      </c>
      <c r="W739" s="138" t="str">
        <f ca="1">IFERROR(__xludf.DUMMYFUNCTION("filter(H:H,I:I=U739,J:J=V739)"),"Kakinada")</f>
        <v>Kakinada</v>
      </c>
    </row>
    <row r="740" spans="7:23">
      <c r="G740" s="138" t="s">
        <v>8077</v>
      </c>
      <c r="H740" s="138" t="s">
        <v>4367</v>
      </c>
      <c r="I740" s="138" t="s">
        <v>8</v>
      </c>
      <c r="J740" s="138" t="s">
        <v>8186</v>
      </c>
      <c r="K740" s="138" t="str">
        <f ca="1">IFERROR(__xludf.DUMMYFUNCTION("unique(filter(R:R,R:R=I740))"),"Prathipadu")</f>
        <v>Prathipadu</v>
      </c>
      <c r="U740" s="138" t="s">
        <v>8</v>
      </c>
      <c r="V740" s="138" t="s">
        <v>658</v>
      </c>
      <c r="W740" s="138" t="str">
        <f ca="1">IFERROR(__xludf.DUMMYFUNCTION("filter(H:H,I:I=U740,J:J=V740)"),"Kakinada")</f>
        <v>Kakinada</v>
      </c>
    </row>
    <row r="741" spans="7:23">
      <c r="G741" s="138" t="s">
        <v>8077</v>
      </c>
      <c r="H741" s="138" t="s">
        <v>4367</v>
      </c>
      <c r="I741" s="138" t="s">
        <v>8</v>
      </c>
      <c r="J741" s="138" t="s">
        <v>8</v>
      </c>
      <c r="K741" s="138" t="str">
        <f ca="1">IFERROR(__xludf.DUMMYFUNCTION("unique(filter(R:R,R:R=I741))"),"Prathipadu")</f>
        <v>Prathipadu</v>
      </c>
      <c r="U741" s="138" t="s">
        <v>8</v>
      </c>
      <c r="V741" s="138" t="s">
        <v>8186</v>
      </c>
      <c r="W741" s="138" t="str">
        <f ca="1">IFERROR(__xludf.DUMMYFUNCTION("filter(H:H,I:I=U741,J:J=V741)"),"Kakinada")</f>
        <v>Kakinada</v>
      </c>
    </row>
    <row r="742" spans="7:23">
      <c r="G742" s="138" t="s">
        <v>8077</v>
      </c>
      <c r="H742" s="138" t="s">
        <v>4367</v>
      </c>
      <c r="I742" s="138" t="s">
        <v>8</v>
      </c>
      <c r="J742" s="138" t="s">
        <v>587</v>
      </c>
      <c r="K742" s="138" t="str">
        <f ca="1">IFERROR(__xludf.DUMMYFUNCTION("unique(filter(R:R,R:R=I742))"),"Prathipadu")</f>
        <v>Prathipadu</v>
      </c>
      <c r="U742" s="138" t="s">
        <v>8</v>
      </c>
      <c r="V742" s="138" t="s">
        <v>8</v>
      </c>
      <c r="W742" s="138" t="str">
        <f ca="1">IFERROR(__xludf.DUMMYFUNCTION("filter(H:H,I:I=U742,J:J=V742)"),"Kakinada")</f>
        <v>Kakinada</v>
      </c>
    </row>
    <row r="743" spans="7:23">
      <c r="G743" s="138" t="s">
        <v>8077</v>
      </c>
      <c r="H743" s="138" t="s">
        <v>4367</v>
      </c>
      <c r="I743" s="138" t="s">
        <v>8</v>
      </c>
      <c r="J743" s="138" t="s">
        <v>15</v>
      </c>
      <c r="K743" s="138" t="str">
        <f ca="1">IFERROR(__xludf.DUMMYFUNCTION("unique(filter(R:R,R:R=I743))"),"Prathipadu")</f>
        <v>Prathipadu</v>
      </c>
      <c r="U743" s="138" t="s">
        <v>8</v>
      </c>
      <c r="V743" s="138" t="s">
        <v>587</v>
      </c>
      <c r="W743" s="138" t="str">
        <f ca="1">IFERROR(__xludf.DUMMYFUNCTION("filter(H:H,I:I=U743,J:J=V743)"),"Kakinada")</f>
        <v>Kakinada</v>
      </c>
    </row>
    <row r="744" spans="7:23">
      <c r="G744" s="138" t="s">
        <v>8077</v>
      </c>
      <c r="H744" s="138" t="s">
        <v>4367</v>
      </c>
      <c r="I744" s="138" t="s">
        <v>8</v>
      </c>
      <c r="J744" s="138" t="s">
        <v>633</v>
      </c>
      <c r="K744" s="138" t="str">
        <f ca="1">IFERROR(__xludf.DUMMYFUNCTION("unique(filter(R:R,R:R=I744))"),"Prathipadu")</f>
        <v>Prathipadu</v>
      </c>
      <c r="U744" s="138" t="s">
        <v>8</v>
      </c>
      <c r="V744" s="138" t="s">
        <v>15</v>
      </c>
      <c r="W744" s="138" t="str">
        <f ca="1">IFERROR(__xludf.DUMMYFUNCTION("filter(H:H,I:I=U744,J:J=V744)"),"Kakinada")</f>
        <v>Kakinada</v>
      </c>
    </row>
    <row r="745" spans="7:23">
      <c r="G745" s="138" t="s">
        <v>8077</v>
      </c>
      <c r="H745" s="138" t="s">
        <v>4367</v>
      </c>
      <c r="I745" s="138" t="s">
        <v>7</v>
      </c>
      <c r="J745" s="138" t="s">
        <v>671</v>
      </c>
      <c r="K745" s="138" t="str">
        <f ca="1">IFERROR(__xludf.DUMMYFUNCTION("unique(filter(R:R,R:R=I745))"),"Tuni")</f>
        <v>Tuni</v>
      </c>
      <c r="U745" s="138" t="s">
        <v>8</v>
      </c>
      <c r="V745" s="138" t="s">
        <v>633</v>
      </c>
      <c r="W745" s="138" t="str">
        <f ca="1">IFERROR(__xludf.DUMMYFUNCTION("filter(H:H,I:I=U745,J:J=V745)"),"Kakinada")</f>
        <v>Kakinada</v>
      </c>
    </row>
    <row r="746" spans="7:23">
      <c r="G746" s="138" t="s">
        <v>8077</v>
      </c>
      <c r="H746" s="138" t="s">
        <v>4367</v>
      </c>
      <c r="I746" s="138" t="s">
        <v>7</v>
      </c>
      <c r="J746" s="138" t="s">
        <v>7</v>
      </c>
      <c r="K746" s="138" t="str">
        <f ca="1">IFERROR(__xludf.DUMMYFUNCTION("unique(filter(R:R,R:R=I746))"),"Tuni")</f>
        <v>Tuni</v>
      </c>
      <c r="U746" s="138" t="s">
        <v>7</v>
      </c>
      <c r="V746" s="138" t="s">
        <v>671</v>
      </c>
      <c r="W746" s="138" t="str">
        <f ca="1">IFERROR(__xludf.DUMMYFUNCTION("filter(H:H,I:I=U746,J:J=V746)"),"Kakinada")</f>
        <v>Kakinada</v>
      </c>
    </row>
    <row r="747" spans="7:23">
      <c r="G747" s="138" t="s">
        <v>8077</v>
      </c>
      <c r="H747" s="138" t="s">
        <v>4367</v>
      </c>
      <c r="I747" s="138" t="s">
        <v>7</v>
      </c>
      <c r="J747" s="138" t="s">
        <v>785</v>
      </c>
      <c r="K747" s="138" t="str">
        <f ca="1">IFERROR(__xludf.DUMMYFUNCTION("unique(filter(R:R,R:R=I747))"),"Tuni")</f>
        <v>Tuni</v>
      </c>
      <c r="U747" s="138" t="s">
        <v>7</v>
      </c>
      <c r="V747" s="138" t="s">
        <v>7</v>
      </c>
      <c r="W747" s="138" t="str">
        <f ca="1">IFERROR(__xludf.DUMMYFUNCTION("filter(H:H,I:I=U747,J:J=V747)"),"Kakinada")</f>
        <v>Kakinada</v>
      </c>
    </row>
    <row r="748" spans="7:23">
      <c r="G748" s="138" t="s">
        <v>8077</v>
      </c>
      <c r="H748" s="138" t="s">
        <v>4367</v>
      </c>
      <c r="I748" s="138" t="s">
        <v>7</v>
      </c>
      <c r="J748" s="138" t="s">
        <v>706</v>
      </c>
      <c r="K748" s="138" t="str">
        <f ca="1">IFERROR(__xludf.DUMMYFUNCTION("unique(filter(R:R,R:R=I748))"),"Tuni")</f>
        <v>Tuni</v>
      </c>
      <c r="U748" s="138" t="s">
        <v>7</v>
      </c>
      <c r="V748" s="138" t="s">
        <v>785</v>
      </c>
      <c r="W748" s="138" t="str">
        <f ca="1">IFERROR(__xludf.DUMMYFUNCTION("filter(H:H,I:I=U748,J:J=V748)"),"Kakinada")</f>
        <v>Kakinada</v>
      </c>
    </row>
    <row r="749" spans="7:23">
      <c r="G749" s="138" t="e">
        <v>#N/A</v>
      </c>
      <c r="H749" s="138" t="e">
        <v>#N/A</v>
      </c>
      <c r="I749" s="138" t="s">
        <v>7</v>
      </c>
      <c r="J749" s="138" t="e">
        <v>#N/A</v>
      </c>
      <c r="K749" s="138" t="str">
        <f ca="1">IFERROR(__xludf.DUMMYFUNCTION("unique(filter(R:R,R:R=I749))"),"Tuni")</f>
        <v>Tuni</v>
      </c>
      <c r="U749" s="138" t="s">
        <v>7</v>
      </c>
      <c r="V749" s="138" t="s">
        <v>706</v>
      </c>
      <c r="W749" s="138" t="str">
        <f ca="1">IFERROR(__xludf.DUMMYFUNCTION("filter(H:H,I:I=U749,J:J=V749)"),"Kakinada")</f>
        <v>Kakinada</v>
      </c>
    </row>
    <row r="750" spans="7:23">
      <c r="G750" s="138" t="s">
        <v>9604</v>
      </c>
      <c r="H750" s="138" t="s">
        <v>9605</v>
      </c>
      <c r="I750" s="138" t="s">
        <v>9357</v>
      </c>
      <c r="J750" s="138" t="s">
        <v>9606</v>
      </c>
      <c r="K750" s="138" t="str">
        <f ca="1">IFERROR(__xludf.DUMMYFUNCTION("unique(filter(R:R,R:R=I750))"),"Narsipatnam")</f>
        <v>Narsipatnam</v>
      </c>
    </row>
    <row r="751" spans="7:23">
      <c r="G751" s="138" t="s">
        <v>9604</v>
      </c>
      <c r="H751" s="138" t="s">
        <v>9605</v>
      </c>
      <c r="I751" s="138" t="s">
        <v>9357</v>
      </c>
      <c r="J751" s="138" t="s">
        <v>9607</v>
      </c>
      <c r="K751" s="138" t="str">
        <f ca="1">IFERROR(__xludf.DUMMYFUNCTION("unique(filter(R:R,R:R=I751))"),"Narsipatnam")</f>
        <v>Narsipatnam</v>
      </c>
      <c r="U751" s="138" t="s">
        <v>9357</v>
      </c>
      <c r="V751" s="138" t="s">
        <v>9606</v>
      </c>
      <c r="W751" s="138" t="str">
        <f ca="1">IFERROR(__xludf.DUMMYFUNCTION("filter(H:H,I:I=U751,J:J=V751)"),"Anakapalli")</f>
        <v>Anakapalli</v>
      </c>
    </row>
    <row r="752" spans="7:23">
      <c r="G752" s="138" t="s">
        <v>9604</v>
      </c>
      <c r="H752" s="138" t="s">
        <v>9605</v>
      </c>
      <c r="I752" s="138" t="s">
        <v>9357</v>
      </c>
      <c r="J752" s="138" t="s">
        <v>9357</v>
      </c>
      <c r="K752" s="138" t="str">
        <f ca="1">IFERROR(__xludf.DUMMYFUNCTION("unique(filter(R:R,R:R=I752))"),"Narsipatnam")</f>
        <v>Narsipatnam</v>
      </c>
      <c r="U752" s="138" t="s">
        <v>9357</v>
      </c>
      <c r="V752" s="138" t="s">
        <v>9607</v>
      </c>
      <c r="W752" s="138" t="str">
        <f ca="1">IFERROR(__xludf.DUMMYFUNCTION("filter(H:H,I:I=U752,J:J=V752)"),"Anakapalli")</f>
        <v>Anakapalli</v>
      </c>
    </row>
    <row r="753" spans="7:23">
      <c r="G753" s="138" t="s">
        <v>9604</v>
      </c>
      <c r="H753" s="138" t="s">
        <v>9605</v>
      </c>
      <c r="I753" s="138" t="s">
        <v>9357</v>
      </c>
      <c r="J753" s="138" t="s">
        <v>9608</v>
      </c>
      <c r="K753" s="138" t="str">
        <f ca="1">IFERROR(__xludf.DUMMYFUNCTION("unique(filter(R:R,R:R=I753))"),"Narsipatnam")</f>
        <v>Narsipatnam</v>
      </c>
      <c r="U753" s="138" t="s">
        <v>9357</v>
      </c>
      <c r="V753" s="138" t="s">
        <v>9357</v>
      </c>
      <c r="W753" s="138" t="str">
        <f ca="1">IFERROR(__xludf.DUMMYFUNCTION("filter(H:H,I:I=U753,J:J=V753)"),"Anakapalli")</f>
        <v>Anakapalli</v>
      </c>
    </row>
    <row r="754" spans="7:23">
      <c r="G754" s="138" t="e">
        <v>#N/A</v>
      </c>
      <c r="H754" s="138" t="e">
        <v>#N/A</v>
      </c>
      <c r="I754" s="138" t="s">
        <v>9357</v>
      </c>
      <c r="J754" s="138" t="e">
        <v>#N/A</v>
      </c>
      <c r="K754" s="138" t="str">
        <f ca="1">IFERROR(__xludf.DUMMYFUNCTION("unique(filter(R:R,R:R=I754))"),"Narsipatnam")</f>
        <v>Narsipatnam</v>
      </c>
      <c r="U754" s="138" t="s">
        <v>9357</v>
      </c>
      <c r="V754" s="138" t="s">
        <v>9608</v>
      </c>
      <c r="W754" s="138" t="str">
        <f ca="1">IFERROR(__xludf.DUMMYFUNCTION("filter(H:H,I:I=U754,J:J=V754)"),"Anakapalli")</f>
        <v>Anakapalli</v>
      </c>
    </row>
    <row r="755" spans="7:23">
      <c r="G755" s="138" t="s">
        <v>9604</v>
      </c>
      <c r="H755" s="138" t="s">
        <v>9605</v>
      </c>
      <c r="I755" s="138" t="s">
        <v>9357</v>
      </c>
      <c r="J755" s="138" t="s">
        <v>9609</v>
      </c>
      <c r="K755" s="138" t="str">
        <f ca="1">IFERROR(__xludf.DUMMYFUNCTION("unique(filter(R:R,R:R=I755))"),"Narsipatnam")</f>
        <v>Narsipatnam</v>
      </c>
    </row>
    <row r="756" spans="7:23">
      <c r="G756" s="138" t="s">
        <v>9604</v>
      </c>
      <c r="H756" s="138" t="s">
        <v>9605</v>
      </c>
      <c r="I756" s="138" t="s">
        <v>9364</v>
      </c>
      <c r="J756" s="138" t="s">
        <v>9610</v>
      </c>
      <c r="K756" s="138" t="str">
        <f ca="1">IFERROR(__xludf.DUMMYFUNCTION("unique(filter(R:R,R:R=I756))"),"Payakaraopet (Sc)")</f>
        <v>Payakaraopet (Sc)</v>
      </c>
      <c r="U756" s="138" t="s">
        <v>9357</v>
      </c>
      <c r="V756" s="138" t="s">
        <v>9609</v>
      </c>
      <c r="W756" s="138" t="str">
        <f ca="1">IFERROR(__xludf.DUMMYFUNCTION("filter(H:H,I:I=U756,J:J=V756)"),"Anakapalli")</f>
        <v>Anakapalli</v>
      </c>
    </row>
    <row r="757" spans="7:23">
      <c r="G757" s="138" t="s">
        <v>9604</v>
      </c>
      <c r="H757" s="138" t="s">
        <v>9605</v>
      </c>
      <c r="I757" s="138" t="s">
        <v>9364</v>
      </c>
      <c r="J757" s="138" t="s">
        <v>9611</v>
      </c>
      <c r="K757" s="138" t="str">
        <f ca="1">IFERROR(__xludf.DUMMYFUNCTION("unique(filter(R:R,R:R=I757))"),"Payakaraopet (Sc)")</f>
        <v>Payakaraopet (Sc)</v>
      </c>
      <c r="U757" s="138" t="s">
        <v>9364</v>
      </c>
      <c r="V757" s="138" t="s">
        <v>9610</v>
      </c>
      <c r="W757" s="138" t="str">
        <f ca="1">IFERROR(__xludf.DUMMYFUNCTION("filter(H:H,I:I=U757,J:J=V757)"),"Anakapalli")</f>
        <v>Anakapalli</v>
      </c>
    </row>
    <row r="758" spans="7:23">
      <c r="G758" s="138" t="s">
        <v>9604</v>
      </c>
      <c r="H758" s="138" t="s">
        <v>9605</v>
      </c>
      <c r="I758" s="138" t="s">
        <v>9364</v>
      </c>
      <c r="J758" s="138" t="s">
        <v>9612</v>
      </c>
      <c r="K758" s="138" t="str">
        <f ca="1">IFERROR(__xludf.DUMMYFUNCTION("unique(filter(R:R,R:R=I758))"),"Payakaraopet (Sc)")</f>
        <v>Payakaraopet (Sc)</v>
      </c>
      <c r="U758" s="138" t="s">
        <v>9364</v>
      </c>
      <c r="V758" s="138" t="s">
        <v>9611</v>
      </c>
      <c r="W758" s="138" t="str">
        <f ca="1">IFERROR(__xludf.DUMMYFUNCTION("filter(H:H,I:I=U758,J:J=V758)"),"Anakapalli")</f>
        <v>Anakapalli</v>
      </c>
    </row>
    <row r="759" spans="7:23">
      <c r="G759" s="138" t="s">
        <v>9604</v>
      </c>
      <c r="H759" s="138" t="s">
        <v>9605</v>
      </c>
      <c r="I759" s="138" t="s">
        <v>9364</v>
      </c>
      <c r="J759" s="138" t="s">
        <v>9613</v>
      </c>
      <c r="K759" s="138" t="str">
        <f ca="1">IFERROR(__xludf.DUMMYFUNCTION("unique(filter(R:R,R:R=I759))"),"Payakaraopet (Sc)")</f>
        <v>Payakaraopet (Sc)</v>
      </c>
      <c r="U759" s="138" t="s">
        <v>9364</v>
      </c>
      <c r="V759" s="138" t="s">
        <v>9612</v>
      </c>
      <c r="W759" s="138" t="str">
        <f ca="1">IFERROR(__xludf.DUMMYFUNCTION("filter(H:H,I:I=U759,J:J=V759)"),"Anakapalli")</f>
        <v>Anakapalli</v>
      </c>
    </row>
    <row r="760" spans="7:23">
      <c r="G760" s="138" t="s">
        <v>9604</v>
      </c>
      <c r="H760" s="138" t="s">
        <v>9605</v>
      </c>
      <c r="I760" s="138" t="s">
        <v>9331</v>
      </c>
      <c r="J760" s="138" t="s">
        <v>9331</v>
      </c>
      <c r="K760" s="138" t="str">
        <f ca="1">IFERROR(__xludf.DUMMYFUNCTION("unique(filter(R:R,R:R=I760))"),"Yelamanchili")</f>
        <v>Yelamanchili</v>
      </c>
      <c r="U760" s="138" t="s">
        <v>9364</v>
      </c>
      <c r="V760" s="138" t="s">
        <v>9613</v>
      </c>
      <c r="W760" s="138" t="str">
        <f ca="1">IFERROR(__xludf.DUMMYFUNCTION("filter(H:H,I:I=U760,J:J=V760)"),"Anakapalli")</f>
        <v>Anakapalli</v>
      </c>
    </row>
    <row r="761" spans="7:23">
      <c r="G761" s="138" t="s">
        <v>9604</v>
      </c>
      <c r="H761" s="138" t="s">
        <v>9605</v>
      </c>
      <c r="I761" s="138" t="s">
        <v>9331</v>
      </c>
      <c r="J761" s="138" t="s">
        <v>9614</v>
      </c>
      <c r="K761" s="138" t="str">
        <f ca="1">IFERROR(__xludf.DUMMYFUNCTION("unique(filter(R:R,R:R=I761))"),"Yelamanchili")</f>
        <v>Yelamanchili</v>
      </c>
      <c r="U761" s="138" t="s">
        <v>9331</v>
      </c>
      <c r="V761" s="138" t="s">
        <v>9331</v>
      </c>
      <c r="W761" s="138" t="str">
        <f ca="1">IFERROR(__xludf.DUMMYFUNCTION("filter(H:H,I:I=U761,J:J=V761)"),"Anakapalli")</f>
        <v>Anakapalli</v>
      </c>
    </row>
    <row r="762" spans="7:23">
      <c r="G762" s="138" t="s">
        <v>9604</v>
      </c>
      <c r="H762" s="138" t="s">
        <v>9605</v>
      </c>
      <c r="I762" s="138" t="s">
        <v>9331</v>
      </c>
      <c r="J762" s="138" t="s">
        <v>9615</v>
      </c>
      <c r="K762" s="138" t="str">
        <f ca="1">IFERROR(__xludf.DUMMYFUNCTION("unique(filter(R:R,R:R=I762))"),"Yelamanchili")</f>
        <v>Yelamanchili</v>
      </c>
      <c r="U762" s="138" t="s">
        <v>9331</v>
      </c>
      <c r="V762" s="138" t="s">
        <v>9614</v>
      </c>
      <c r="W762" s="138" t="str">
        <f ca="1">IFERROR(__xludf.DUMMYFUNCTION("filter(H:H,I:I=U762,J:J=V762)"),"Anakapalli")</f>
        <v>Anakapalli</v>
      </c>
    </row>
    <row r="763" spans="7:23">
      <c r="G763" s="138" t="s">
        <v>9604</v>
      </c>
      <c r="H763" s="138" t="s">
        <v>9605</v>
      </c>
      <c r="I763" s="138" t="s">
        <v>9331</v>
      </c>
      <c r="J763" s="138" t="s">
        <v>9616</v>
      </c>
      <c r="K763" s="138" t="str">
        <f ca="1">IFERROR(__xludf.DUMMYFUNCTION("unique(filter(R:R,R:R=I763))"),"Yelamanchili")</f>
        <v>Yelamanchili</v>
      </c>
      <c r="U763" s="138" t="s">
        <v>9331</v>
      </c>
      <c r="V763" s="138" t="s">
        <v>9615</v>
      </c>
      <c r="W763" s="138" t="str">
        <f ca="1">IFERROR(__xludf.DUMMYFUNCTION("filter(H:H,I:I=U763,J:J=V763)"),"Anakapalli")</f>
        <v>Anakapalli</v>
      </c>
    </row>
    <row r="764" spans="7:23">
      <c r="G764" s="138" t="s">
        <v>9604</v>
      </c>
      <c r="H764" s="138" t="s">
        <v>9605</v>
      </c>
      <c r="I764" s="138" t="s">
        <v>9331</v>
      </c>
      <c r="J764" s="138" t="s">
        <v>148</v>
      </c>
      <c r="K764" s="138" t="str">
        <f ca="1">IFERROR(__xludf.DUMMYFUNCTION("unique(filter(R:R,R:R=I764))"),"Yelamanchili")</f>
        <v>Yelamanchili</v>
      </c>
      <c r="U764" s="138" t="s">
        <v>9331</v>
      </c>
      <c r="V764" s="138" t="s">
        <v>9616</v>
      </c>
      <c r="W764" s="138" t="str">
        <f ca="1">IFERROR(__xludf.DUMMYFUNCTION("filter(H:H,I:I=U764,J:J=V764)"),"Anakapalli")</f>
        <v>Anakapalli</v>
      </c>
    </row>
    <row r="765" spans="7:23">
      <c r="G765" s="138" t="e">
        <v>#N/A</v>
      </c>
      <c r="H765" s="138" t="e">
        <v>#N/A</v>
      </c>
      <c r="I765" s="138" t="s">
        <v>9331</v>
      </c>
      <c r="J765" s="138" t="e">
        <v>#N/A</v>
      </c>
      <c r="K765" s="138" t="str">
        <f ca="1">IFERROR(__xludf.DUMMYFUNCTION("unique(filter(R:R,R:R=I765))"),"Yelamanchili")</f>
        <v>Yelamanchili</v>
      </c>
      <c r="U765" s="138" t="s">
        <v>9331</v>
      </c>
      <c r="V765" s="138" t="s">
        <v>148</v>
      </c>
      <c r="W765" s="138" t="str">
        <f ca="1">IFERROR(__xludf.DUMMYFUNCTION("filter(H:H,I:I=U765,J:J=V765)"),"Anakapalli")</f>
        <v>Anakapalli</v>
      </c>
    </row>
    <row r="766" spans="7:23">
      <c r="G766" s="138" t="s">
        <v>9604</v>
      </c>
      <c r="H766" s="138" t="s">
        <v>9605</v>
      </c>
      <c r="I766" s="138" t="s">
        <v>9383</v>
      </c>
      <c r="J766" s="138" t="s">
        <v>9617</v>
      </c>
      <c r="K766" s="138" t="str">
        <f ca="1">IFERROR(__xludf.DUMMYFUNCTION("unique(filter(R:R,R:R=I766))"),"Pendurthi")</f>
        <v>Pendurthi</v>
      </c>
    </row>
    <row r="767" spans="7:23">
      <c r="G767" s="138" t="s">
        <v>9604</v>
      </c>
      <c r="H767" s="138" t="s">
        <v>9605</v>
      </c>
      <c r="I767" s="138" t="s">
        <v>9383</v>
      </c>
      <c r="J767" s="138" t="s">
        <v>9618</v>
      </c>
      <c r="K767" s="138" t="str">
        <f ca="1">IFERROR(__xludf.DUMMYFUNCTION("unique(filter(R:R,R:R=I767))"),"Pendurthi")</f>
        <v>Pendurthi</v>
      </c>
      <c r="U767" s="138" t="s">
        <v>9383</v>
      </c>
      <c r="V767" s="138" t="s">
        <v>9617</v>
      </c>
      <c r="W767" s="138" t="str">
        <f ca="1">IFERROR(__xludf.DUMMYFUNCTION("filter(H:H,I:I=U767,J:J=V767)"),"Anakapalli")</f>
        <v>Anakapalli</v>
      </c>
    </row>
    <row r="768" spans="7:23">
      <c r="G768" s="138" t="s">
        <v>9604</v>
      </c>
      <c r="H768" s="138" t="s">
        <v>9605</v>
      </c>
      <c r="I768" s="138" t="s">
        <v>9383</v>
      </c>
      <c r="J768" s="138" t="s">
        <v>9383</v>
      </c>
      <c r="K768" s="138" t="str">
        <f ca="1">IFERROR(__xludf.DUMMYFUNCTION("unique(filter(R:R,R:R=I768))"),"Pendurthi")</f>
        <v>Pendurthi</v>
      </c>
      <c r="U768" s="138" t="s">
        <v>9383</v>
      </c>
      <c r="V768" s="138" t="s">
        <v>9618</v>
      </c>
      <c r="W768" s="138" t="str">
        <f ca="1">IFERROR(__xludf.DUMMYFUNCTION("filter(H:H,I:I=U768,J:J=V768)"),"Anakapalli")</f>
        <v>Anakapalli</v>
      </c>
    </row>
    <row r="769" spans="7:23">
      <c r="G769" s="138" t="s">
        <v>9604</v>
      </c>
      <c r="H769" s="138" t="s">
        <v>9605</v>
      </c>
      <c r="I769" s="138" t="s">
        <v>9383</v>
      </c>
      <c r="J769" s="138" t="s">
        <v>9619</v>
      </c>
      <c r="K769" s="138" t="str">
        <f ca="1">IFERROR(__xludf.DUMMYFUNCTION("unique(filter(R:R,R:R=I769))"),"Pendurthi")</f>
        <v>Pendurthi</v>
      </c>
      <c r="U769" s="138" t="s">
        <v>9383</v>
      </c>
      <c r="V769" s="138" t="s">
        <v>9383</v>
      </c>
      <c r="W769" s="138" t="str">
        <f ca="1">IFERROR(__xludf.DUMMYFUNCTION("filter(H:H,I:I=U769,J:J=V769)"),"Anakapalli")</f>
        <v>Anakapalli</v>
      </c>
    </row>
    <row r="770" spans="7:23">
      <c r="G770" s="138" t="e">
        <v>#N/A</v>
      </c>
      <c r="H770" s="138" t="e">
        <v>#N/A</v>
      </c>
      <c r="I770" s="138" t="s">
        <v>9383</v>
      </c>
      <c r="J770" s="138" t="e">
        <v>#N/A</v>
      </c>
      <c r="K770" s="138" t="str">
        <f ca="1">IFERROR(__xludf.DUMMYFUNCTION("unique(filter(R:R,R:R=I770))"),"Pendurthi")</f>
        <v>Pendurthi</v>
      </c>
      <c r="U770" s="138" t="s">
        <v>9383</v>
      </c>
      <c r="V770" s="138" t="s">
        <v>9619</v>
      </c>
      <c r="W770" s="138" t="str">
        <f ca="1">IFERROR(__xludf.DUMMYFUNCTION("filter(H:H,I:I=U770,J:J=V770)"),"Anakapalli")</f>
        <v>Anakapalli</v>
      </c>
    </row>
    <row r="771" spans="7:23">
      <c r="G771" s="138" t="s">
        <v>9604</v>
      </c>
      <c r="H771" s="138" t="s">
        <v>9605</v>
      </c>
      <c r="I771" s="138" t="s">
        <v>9323</v>
      </c>
      <c r="J771" s="138" t="s">
        <v>9620</v>
      </c>
      <c r="K771" s="138" t="str">
        <f ca="1">IFERROR(__xludf.DUMMYFUNCTION("unique(filter(R:R,R:R=I771))"),"Anakapalle")</f>
        <v>Anakapalle</v>
      </c>
    </row>
    <row r="772" spans="7:23">
      <c r="G772" s="138" t="s">
        <v>9604</v>
      </c>
      <c r="H772" s="138" t="s">
        <v>9605</v>
      </c>
      <c r="I772" s="138" t="s">
        <v>9323</v>
      </c>
      <c r="J772" s="138" t="s">
        <v>9323</v>
      </c>
      <c r="K772" s="138" t="str">
        <f ca="1">IFERROR(__xludf.DUMMYFUNCTION("unique(filter(R:R,R:R=I772))"),"Anakapalle")</f>
        <v>Anakapalle</v>
      </c>
      <c r="U772" s="138" t="s">
        <v>9323</v>
      </c>
      <c r="V772" s="138" t="s">
        <v>9620</v>
      </c>
      <c r="W772" s="138" t="str">
        <f ca="1">IFERROR(__xludf.DUMMYFUNCTION("filter(H:H,I:I=U772,J:J=V772)"),"Anakapalli")</f>
        <v>Anakapalli</v>
      </c>
    </row>
    <row r="773" spans="7:23">
      <c r="G773" s="138" t="s">
        <v>9604</v>
      </c>
      <c r="H773" s="138" t="s">
        <v>9605</v>
      </c>
      <c r="I773" s="138" t="s">
        <v>9323</v>
      </c>
      <c r="J773" s="138" t="s">
        <v>9618</v>
      </c>
      <c r="K773" s="138" t="str">
        <f ca="1">IFERROR(__xludf.DUMMYFUNCTION("unique(filter(R:R,R:R=I773))"),"Anakapalle")</f>
        <v>Anakapalle</v>
      </c>
      <c r="U773" s="138" t="s">
        <v>9323</v>
      </c>
      <c r="V773" s="138" t="s">
        <v>9323</v>
      </c>
      <c r="W773" s="138" t="str">
        <f ca="1">IFERROR(__xludf.DUMMYFUNCTION("filter(H:H,I:I=U773,J:J=V773)"),"Anakapalli")</f>
        <v>Anakapalli</v>
      </c>
    </row>
    <row r="774" spans="7:23">
      <c r="G774" s="138" t="s">
        <v>9604</v>
      </c>
      <c r="H774" s="138" t="s">
        <v>9554</v>
      </c>
      <c r="I774" s="138" t="s">
        <v>9341</v>
      </c>
      <c r="J774" s="138" t="s">
        <v>9621</v>
      </c>
      <c r="K774" s="138" t="str">
        <f ca="1">IFERROR(__xludf.DUMMYFUNCTION("unique(filter(R:R,R:R=I774))"),"Paderu (St)")</f>
        <v>Paderu (St)</v>
      </c>
      <c r="U774" s="138" t="s">
        <v>9323</v>
      </c>
      <c r="V774" s="138" t="s">
        <v>9618</v>
      </c>
      <c r="W774" s="138" t="str">
        <f ca="1">IFERROR(__xludf.DUMMYFUNCTION("filter(H:H,I:I=U774,J:J=V774)"),"Anakapalli")</f>
        <v>Anakapalli</v>
      </c>
    </row>
    <row r="775" spans="7:23">
      <c r="G775" s="138" t="s">
        <v>9604</v>
      </c>
      <c r="H775" s="138" t="s">
        <v>9554</v>
      </c>
      <c r="I775" s="138" t="s">
        <v>9341</v>
      </c>
      <c r="J775" s="138" t="s">
        <v>9622</v>
      </c>
      <c r="K775" s="138" t="str">
        <f ca="1">IFERROR(__xludf.DUMMYFUNCTION("unique(filter(R:R,R:R=I775))"),"Paderu (St)")</f>
        <v>Paderu (St)</v>
      </c>
      <c r="U775" s="138" t="s">
        <v>9341</v>
      </c>
      <c r="V775" s="138" t="s">
        <v>9621</v>
      </c>
      <c r="W775" s="138" t="str">
        <f ca="1">IFERROR(__xludf.DUMMYFUNCTION("filter(H:H,I:I=U775,J:J=V775)"),"Alluri Sitharama Raju")</f>
        <v>Alluri Sitharama Raju</v>
      </c>
    </row>
    <row r="776" spans="7:23">
      <c r="G776" s="138" t="s">
        <v>9604</v>
      </c>
      <c r="H776" s="138" t="s">
        <v>9554</v>
      </c>
      <c r="I776" s="138" t="s">
        <v>9341</v>
      </c>
      <c r="J776" s="138" t="s">
        <v>9623</v>
      </c>
      <c r="K776" s="138" t="str">
        <f ca="1">IFERROR(__xludf.DUMMYFUNCTION("unique(filter(R:R,R:R=I776))"),"Paderu (St)")</f>
        <v>Paderu (St)</v>
      </c>
      <c r="U776" s="138" t="s">
        <v>9341</v>
      </c>
      <c r="V776" s="138" t="s">
        <v>9622</v>
      </c>
      <c r="W776" s="138" t="str">
        <f ca="1">IFERROR(__xludf.DUMMYFUNCTION("filter(H:H,I:I=U776,J:J=V776)"),"Alluri Sitharama Raju")</f>
        <v>Alluri Sitharama Raju</v>
      </c>
    </row>
    <row r="777" spans="7:23">
      <c r="G777" s="138" t="s">
        <v>9604</v>
      </c>
      <c r="H777" s="138" t="s">
        <v>9554</v>
      </c>
      <c r="I777" s="138" t="s">
        <v>9341</v>
      </c>
      <c r="J777" s="138" t="s">
        <v>9624</v>
      </c>
      <c r="K777" s="138" t="str">
        <f ca="1">IFERROR(__xludf.DUMMYFUNCTION("unique(filter(R:R,R:R=I777))"),"Paderu (St)")</f>
        <v>Paderu (St)</v>
      </c>
      <c r="U777" s="138" t="s">
        <v>9341</v>
      </c>
      <c r="V777" s="138" t="s">
        <v>9623</v>
      </c>
      <c r="W777" s="138" t="str">
        <f ca="1">IFERROR(__xludf.DUMMYFUNCTION("filter(H:H,I:I=U777,J:J=V777)"),"Alluri Sitharama Raju")</f>
        <v>Alluri Sitharama Raju</v>
      </c>
    </row>
    <row r="778" spans="7:23">
      <c r="G778" s="138" t="s">
        <v>9604</v>
      </c>
      <c r="H778" s="138" t="s">
        <v>9554</v>
      </c>
      <c r="I778" s="138" t="s">
        <v>9341</v>
      </c>
      <c r="J778" s="138" t="s">
        <v>9625</v>
      </c>
      <c r="K778" s="138" t="str">
        <f ca="1">IFERROR(__xludf.DUMMYFUNCTION("unique(filter(R:R,R:R=I778))"),"Paderu (St)")</f>
        <v>Paderu (St)</v>
      </c>
      <c r="U778" s="138" t="s">
        <v>9341</v>
      </c>
      <c r="V778" s="138" t="s">
        <v>9624</v>
      </c>
      <c r="W778" s="138" t="str">
        <f ca="1">IFERROR(__xludf.DUMMYFUNCTION("filter(H:H,I:I=U778,J:J=V778)"),"Alluri Sitharama Raju")</f>
        <v>Alluri Sitharama Raju</v>
      </c>
    </row>
    <row r="779" spans="7:23">
      <c r="G779" s="138" t="e">
        <v>#N/A</v>
      </c>
      <c r="H779" s="138" t="e">
        <v>#N/A</v>
      </c>
      <c r="I779" s="138" t="s">
        <v>9341</v>
      </c>
      <c r="J779" s="138" t="e">
        <v>#N/A</v>
      </c>
      <c r="K779" s="138" t="str">
        <f ca="1">IFERROR(__xludf.DUMMYFUNCTION("unique(filter(R:R,R:R=I779))"),"Paderu (St)")</f>
        <v>Paderu (St)</v>
      </c>
      <c r="U779" s="138" t="s">
        <v>9341</v>
      </c>
      <c r="V779" s="138" t="s">
        <v>9625</v>
      </c>
      <c r="W779" s="138" t="str">
        <f ca="1">IFERROR(__xludf.DUMMYFUNCTION("filter(H:H,I:I=U779,J:J=V779)"),"Alluri Sitharama Raju")</f>
        <v>Alluri Sitharama Raju</v>
      </c>
    </row>
    <row r="780" spans="7:23">
      <c r="G780" s="138" t="s">
        <v>9604</v>
      </c>
      <c r="H780" s="138" t="s">
        <v>9554</v>
      </c>
      <c r="I780" s="138" t="s">
        <v>9328</v>
      </c>
      <c r="J780" s="138" t="s">
        <v>9626</v>
      </c>
      <c r="K780" s="138" t="str">
        <f ca="1">IFERROR(__xludf.DUMMYFUNCTION("unique(filter(R:R,R:R=I780))"),"Araku Valley (St)")</f>
        <v>Araku Valley (St)</v>
      </c>
    </row>
    <row r="781" spans="7:23">
      <c r="G781" s="138" t="s">
        <v>9604</v>
      </c>
      <c r="H781" s="138" t="s">
        <v>9554</v>
      </c>
      <c r="I781" s="138" t="s">
        <v>9328</v>
      </c>
      <c r="J781" s="138" t="s">
        <v>9627</v>
      </c>
      <c r="K781" s="138" t="str">
        <f ca="1">IFERROR(__xludf.DUMMYFUNCTION("unique(filter(R:R,R:R=I781))"),"Araku Valley (St)")</f>
        <v>Araku Valley (St)</v>
      </c>
      <c r="U781" s="138" t="s">
        <v>9328</v>
      </c>
      <c r="V781" s="138" t="s">
        <v>9626</v>
      </c>
      <c r="W781" s="138" t="str">
        <f ca="1">IFERROR(__xludf.DUMMYFUNCTION("filter(H:H,I:I=U781,J:J=V781)"),"Alluri Sitharama Raju")</f>
        <v>Alluri Sitharama Raju</v>
      </c>
    </row>
    <row r="782" spans="7:23">
      <c r="G782" s="138" t="s">
        <v>9604</v>
      </c>
      <c r="H782" s="138" t="s">
        <v>9554</v>
      </c>
      <c r="I782" s="138" t="s">
        <v>9328</v>
      </c>
      <c r="J782" s="138" t="s">
        <v>9628</v>
      </c>
      <c r="K782" s="138" t="str">
        <f ca="1">IFERROR(__xludf.DUMMYFUNCTION("unique(filter(R:R,R:R=I782))"),"Araku Valley (St)")</f>
        <v>Araku Valley (St)</v>
      </c>
      <c r="U782" s="138" t="s">
        <v>9328</v>
      </c>
      <c r="V782" s="138" t="s">
        <v>9627</v>
      </c>
      <c r="W782" s="138" t="str">
        <f ca="1">IFERROR(__xludf.DUMMYFUNCTION("filter(H:H,I:I=U782,J:J=V782)"),"Alluri Sitharama Raju")</f>
        <v>Alluri Sitharama Raju</v>
      </c>
    </row>
    <row r="783" spans="7:23">
      <c r="G783" s="138" t="s">
        <v>9604</v>
      </c>
      <c r="H783" s="138" t="s">
        <v>9554</v>
      </c>
      <c r="I783" s="138" t="s">
        <v>9328</v>
      </c>
      <c r="J783" s="138" t="s">
        <v>9629</v>
      </c>
      <c r="K783" s="138" t="str">
        <f ca="1">IFERROR(__xludf.DUMMYFUNCTION("unique(filter(R:R,R:R=I783))"),"Araku Valley (St)")</f>
        <v>Araku Valley (St)</v>
      </c>
      <c r="U783" s="138" t="s">
        <v>9328</v>
      </c>
      <c r="V783" s="138" t="s">
        <v>9628</v>
      </c>
      <c r="W783" s="138" t="str">
        <f ca="1">IFERROR(__xludf.DUMMYFUNCTION("filter(H:H,I:I=U783,J:J=V783)"),"Alluri Sitharama Raju")</f>
        <v>Alluri Sitharama Raju</v>
      </c>
    </row>
    <row r="784" spans="7:23">
      <c r="G784" s="138" t="s">
        <v>9604</v>
      </c>
      <c r="H784" s="138" t="s">
        <v>9554</v>
      </c>
      <c r="I784" s="138" t="s">
        <v>9328</v>
      </c>
      <c r="J784" s="138" t="s">
        <v>9630</v>
      </c>
      <c r="K784" s="138" t="str">
        <f ca="1">IFERROR(__xludf.DUMMYFUNCTION("unique(filter(R:R,R:R=I784))"),"Araku Valley (St)")</f>
        <v>Araku Valley (St)</v>
      </c>
      <c r="U784" s="138" t="s">
        <v>9328</v>
      </c>
      <c r="V784" s="138" t="s">
        <v>9629</v>
      </c>
      <c r="W784" s="138" t="str">
        <f ca="1">IFERROR(__xludf.DUMMYFUNCTION("filter(H:H,I:I=U784,J:J=V784)"),"Alluri Sitharama Raju")</f>
        <v>Alluri Sitharama Raju</v>
      </c>
    </row>
    <row r="785" spans="7:23">
      <c r="G785" s="138" t="s">
        <v>9604</v>
      </c>
      <c r="H785" s="138" t="s">
        <v>9554</v>
      </c>
      <c r="I785" s="138" t="s">
        <v>9328</v>
      </c>
      <c r="J785" s="138" t="s">
        <v>9631</v>
      </c>
      <c r="K785" s="138" t="str">
        <f ca="1">IFERROR(__xludf.DUMMYFUNCTION("unique(filter(R:R,R:R=I785))"),"Araku Valley (St)")</f>
        <v>Araku Valley (St)</v>
      </c>
      <c r="U785" s="138" t="s">
        <v>9328</v>
      </c>
      <c r="V785" s="138" t="s">
        <v>9630</v>
      </c>
      <c r="W785" s="138" t="str">
        <f ca="1">IFERROR(__xludf.DUMMYFUNCTION("filter(H:H,I:I=U785,J:J=V785)"),"Alluri Sitharama Raju")</f>
        <v>Alluri Sitharama Raju</v>
      </c>
    </row>
    <row r="786" spans="7:23">
      <c r="G786" s="138" t="e">
        <v>#N/A</v>
      </c>
      <c r="H786" s="138" t="e">
        <v>#N/A</v>
      </c>
      <c r="I786" s="138" t="s">
        <v>9328</v>
      </c>
      <c r="J786" s="138" t="e">
        <v>#N/A</v>
      </c>
      <c r="K786" s="138" t="str">
        <f ca="1">IFERROR(__xludf.DUMMYFUNCTION("unique(filter(R:R,R:R=I786))"),"Araku Valley (St)")</f>
        <v>Araku Valley (St)</v>
      </c>
      <c r="U786" s="138" t="s">
        <v>9328</v>
      </c>
      <c r="V786" s="138" t="s">
        <v>9631</v>
      </c>
      <c r="W786" s="138" t="str">
        <f ca="1">IFERROR(__xludf.DUMMYFUNCTION("filter(H:H,I:I=U786,J:J=V786)"),"Alluri Sitharama Raju")</f>
        <v>Alluri Sitharama Raju</v>
      </c>
    </row>
    <row r="787" spans="7:23">
      <c r="G787" s="138" t="s">
        <v>9604</v>
      </c>
      <c r="H787" s="138" t="s">
        <v>9605</v>
      </c>
      <c r="I787" s="138" t="s">
        <v>9339</v>
      </c>
      <c r="J787" s="138" t="s">
        <v>9339</v>
      </c>
      <c r="K787" s="138" t="str">
        <f ca="1">IFERROR(__xludf.DUMMYFUNCTION("unique(filter(R:R,R:R=I787))"),"Madugula")</f>
        <v>Madugula</v>
      </c>
    </row>
    <row r="788" spans="7:23">
      <c r="G788" s="138" t="s">
        <v>9604</v>
      </c>
      <c r="H788" s="138" t="s">
        <v>9605</v>
      </c>
      <c r="I788" s="138" t="s">
        <v>9339</v>
      </c>
      <c r="J788" s="138" t="s">
        <v>9632</v>
      </c>
      <c r="K788" s="138" t="str">
        <f ca="1">IFERROR(__xludf.DUMMYFUNCTION("unique(filter(R:R,R:R=I788))"),"Madugula")</f>
        <v>Madugula</v>
      </c>
      <c r="U788" s="138" t="s">
        <v>9339</v>
      </c>
      <c r="V788" s="138" t="s">
        <v>9339</v>
      </c>
      <c r="W788" s="138" t="str">
        <f ca="1">IFERROR(__xludf.DUMMYFUNCTION("filter(H:H,I:I=U788,J:J=V788)"),"Anakapalli")</f>
        <v>Anakapalli</v>
      </c>
    </row>
    <row r="789" spans="7:23">
      <c r="G789" s="138" t="s">
        <v>9604</v>
      </c>
      <c r="H789" s="138" t="s">
        <v>9605</v>
      </c>
      <c r="I789" s="138" t="s">
        <v>9339</v>
      </c>
      <c r="J789" s="138" t="s">
        <v>9456</v>
      </c>
      <c r="K789" s="138" t="str">
        <f ca="1">IFERROR(__xludf.DUMMYFUNCTION("unique(filter(R:R,R:R=I789))"),"Madugula")</f>
        <v>Madugula</v>
      </c>
      <c r="U789" s="138" t="s">
        <v>9339</v>
      </c>
      <c r="V789" s="138" t="s">
        <v>9632</v>
      </c>
      <c r="W789" s="138" t="str">
        <f ca="1">IFERROR(__xludf.DUMMYFUNCTION("filter(H:H,I:I=U789,J:J=V789)"),"Anakapalli")</f>
        <v>Anakapalli</v>
      </c>
    </row>
    <row r="790" spans="7:23">
      <c r="G790" s="138" t="s">
        <v>9604</v>
      </c>
      <c r="H790" s="138" t="s">
        <v>9605</v>
      </c>
      <c r="I790" s="138" t="s">
        <v>9339</v>
      </c>
      <c r="J790" s="138" t="s">
        <v>9633</v>
      </c>
      <c r="K790" s="138" t="str">
        <f ca="1">IFERROR(__xludf.DUMMYFUNCTION("unique(filter(R:R,R:R=I790))"),"Madugula")</f>
        <v>Madugula</v>
      </c>
      <c r="U790" s="138" t="s">
        <v>9339</v>
      </c>
      <c r="V790" s="138" t="s">
        <v>9456</v>
      </c>
      <c r="W790" s="138" t="str">
        <f ca="1">IFERROR(__xludf.DUMMYFUNCTION("filter(H:H,I:I=U790,J:J=V790)"),"Anakapalli")</f>
        <v>Anakapalli</v>
      </c>
    </row>
    <row r="791" spans="7:23">
      <c r="G791" s="138" t="s">
        <v>9604</v>
      </c>
      <c r="H791" s="138" t="s">
        <v>9605</v>
      </c>
      <c r="I791" s="138" t="s">
        <v>9336</v>
      </c>
      <c r="J791" s="138" t="s">
        <v>9634</v>
      </c>
      <c r="K791" s="138" t="str">
        <f ca="1">IFERROR(__xludf.DUMMYFUNCTION("unique(filter(R:R,R:R=I791))"),"Chodavaram")</f>
        <v>Chodavaram</v>
      </c>
      <c r="U791" s="138" t="s">
        <v>9339</v>
      </c>
      <c r="V791" s="138" t="s">
        <v>9633</v>
      </c>
      <c r="W791" s="138" t="str">
        <f ca="1">IFERROR(__xludf.DUMMYFUNCTION("filter(H:H,I:I=U791,J:J=V791)"),"Anakapalli")</f>
        <v>Anakapalli</v>
      </c>
    </row>
    <row r="792" spans="7:23">
      <c r="G792" s="138" t="s">
        <v>9604</v>
      </c>
      <c r="H792" s="138" t="s">
        <v>9605</v>
      </c>
      <c r="I792" s="138" t="s">
        <v>9336</v>
      </c>
      <c r="J792" s="138" t="s">
        <v>9635</v>
      </c>
      <c r="K792" s="138" t="str">
        <f ca="1">IFERROR(__xludf.DUMMYFUNCTION("unique(filter(R:R,R:R=I792))"),"Chodavaram")</f>
        <v>Chodavaram</v>
      </c>
      <c r="U792" s="138" t="s">
        <v>9336</v>
      </c>
      <c r="V792" s="138" t="s">
        <v>9634</v>
      </c>
      <c r="W792" s="138" t="str">
        <f ca="1">IFERROR(__xludf.DUMMYFUNCTION("filter(H:H,I:I=U792,J:J=V792)"),"Anakapalli")</f>
        <v>Anakapalli</v>
      </c>
    </row>
    <row r="793" spans="7:23">
      <c r="G793" s="138" t="s">
        <v>9604</v>
      </c>
      <c r="H793" s="138" t="s">
        <v>9605</v>
      </c>
      <c r="I793" s="138" t="s">
        <v>9336</v>
      </c>
      <c r="J793" s="138" t="s">
        <v>9636</v>
      </c>
      <c r="K793" s="138" t="str">
        <f ca="1">IFERROR(__xludf.DUMMYFUNCTION("unique(filter(R:R,R:R=I793))"),"Chodavaram")</f>
        <v>Chodavaram</v>
      </c>
      <c r="U793" s="138" t="s">
        <v>9336</v>
      </c>
      <c r="V793" s="138" t="s">
        <v>9635</v>
      </c>
      <c r="W793" s="138" t="str">
        <f ca="1">IFERROR(__xludf.DUMMYFUNCTION("filter(H:H,I:I=U793,J:J=V793)"),"Anakapalli")</f>
        <v>Anakapalli</v>
      </c>
    </row>
    <row r="794" spans="7:23">
      <c r="G794" s="138" t="s">
        <v>9604</v>
      </c>
      <c r="H794" s="138" t="s">
        <v>9605</v>
      </c>
      <c r="I794" s="138" t="s">
        <v>9336</v>
      </c>
      <c r="J794" s="138" t="s">
        <v>9336</v>
      </c>
      <c r="K794" s="138" t="str">
        <f ca="1">IFERROR(__xludf.DUMMYFUNCTION("unique(filter(R:R,R:R=I794))"),"Chodavaram")</f>
        <v>Chodavaram</v>
      </c>
      <c r="U794" s="138" t="s">
        <v>9336</v>
      </c>
      <c r="V794" s="138" t="s">
        <v>9636</v>
      </c>
      <c r="W794" s="138" t="str">
        <f ca="1">IFERROR(__xludf.DUMMYFUNCTION("filter(H:H,I:I=U794,J:J=V794)"),"Anakapalli")</f>
        <v>Anakapalli</v>
      </c>
    </row>
    <row r="795" spans="7:23">
      <c r="G795" s="138" t="s">
        <v>9604</v>
      </c>
      <c r="H795" s="138" t="s">
        <v>9604</v>
      </c>
      <c r="I795" s="138" t="s">
        <v>9354</v>
      </c>
      <c r="J795" s="138" t="s">
        <v>9618</v>
      </c>
      <c r="K795" s="138" t="str">
        <f ca="1">IFERROR(__xludf.DUMMYFUNCTION("unique(filter(R:R,R:R=I795))"),"Gajuwaka")</f>
        <v>Gajuwaka</v>
      </c>
      <c r="U795" s="138" t="s">
        <v>9336</v>
      </c>
      <c r="V795" s="138" t="s">
        <v>9336</v>
      </c>
      <c r="W795" s="138" t="str">
        <f ca="1">IFERROR(__xludf.DUMMYFUNCTION("filter(H:H,I:I=U795,J:J=V795)"),"Anakapalli")</f>
        <v>Anakapalli</v>
      </c>
    </row>
    <row r="796" spans="7:23">
      <c r="G796" s="138" t="s">
        <v>9604</v>
      </c>
      <c r="H796" s="138" t="s">
        <v>9604</v>
      </c>
      <c r="I796" s="138" t="s">
        <v>9637</v>
      </c>
      <c r="J796" s="138" t="s">
        <v>9618</v>
      </c>
      <c r="K796" s="138" t="str">
        <f ca="1">IFERROR(__xludf.DUMMYFUNCTION("unique(filter(R:R,R:R=I796))"),"#N/A")</f>
        <v>#N/A</v>
      </c>
      <c r="U796" s="138" t="s">
        <v>9354</v>
      </c>
      <c r="V796" s="138" t="s">
        <v>9618</v>
      </c>
      <c r="W796" s="138" t="str">
        <f ca="1">IFERROR(__xludf.DUMMYFUNCTION("filter(H:H,I:I=U796,J:J=V796)"),"Visakhapatnam")</f>
        <v>Visakhapatnam</v>
      </c>
    </row>
    <row r="797" spans="7:23">
      <c r="G797" s="138" t="s">
        <v>9604</v>
      </c>
      <c r="H797" s="138" t="s">
        <v>9604</v>
      </c>
      <c r="I797" s="138" t="s">
        <v>9638</v>
      </c>
      <c r="J797" s="138" t="s">
        <v>9618</v>
      </c>
      <c r="K797" s="138" t="str">
        <f ca="1">IFERROR(__xludf.DUMMYFUNCTION("unique(filter(R:R,R:R=I797))"),"#N/A")</f>
        <v>#N/A</v>
      </c>
      <c r="U797" s="138" t="s">
        <v>9637</v>
      </c>
      <c r="V797" s="138" t="s">
        <v>9618</v>
      </c>
      <c r="W797" s="138" t="str">
        <f ca="1">IFERROR(__xludf.DUMMYFUNCTION("filter(H:H,I:I=U797,J:J=V797)"),"Visakhapatnam")</f>
        <v>Visakhapatnam</v>
      </c>
    </row>
    <row r="798" spans="7:23">
      <c r="G798" s="138" t="s">
        <v>9604</v>
      </c>
      <c r="H798" s="138" t="s">
        <v>9604</v>
      </c>
      <c r="I798" s="138" t="s">
        <v>9401</v>
      </c>
      <c r="J798" s="138" t="s">
        <v>9618</v>
      </c>
      <c r="K798" s="138" t="str">
        <f ca="1">IFERROR(__xludf.DUMMYFUNCTION("unique(filter(R:R,R:R=I798))"),"Visakhapatnam South")</f>
        <v>Visakhapatnam South</v>
      </c>
      <c r="U798" s="138" t="s">
        <v>9638</v>
      </c>
      <c r="V798" s="138" t="s">
        <v>9618</v>
      </c>
      <c r="W798" s="138" t="str">
        <f ca="1">IFERROR(__xludf.DUMMYFUNCTION("filter(H:H,I:I=U798,J:J=V798)"),"Visakhapatnam")</f>
        <v>Visakhapatnam</v>
      </c>
    </row>
    <row r="799" spans="7:23">
      <c r="G799" s="138" t="s">
        <v>9604</v>
      </c>
      <c r="H799" s="138" t="s">
        <v>9604</v>
      </c>
      <c r="I799" s="138" t="s">
        <v>9399</v>
      </c>
      <c r="J799" s="138" t="s">
        <v>9618</v>
      </c>
      <c r="K799" s="138" t="str">
        <f ca="1">IFERROR(__xludf.DUMMYFUNCTION("unique(filter(R:R,R:R=I799))"),"Visakhapatnam East")</f>
        <v>Visakhapatnam East</v>
      </c>
      <c r="U799" s="138" t="s">
        <v>9401</v>
      </c>
      <c r="V799" s="138" t="s">
        <v>9618</v>
      </c>
      <c r="W799" s="138" t="str">
        <f ca="1">IFERROR(__xludf.DUMMYFUNCTION("filter(H:H,I:I=U799,J:J=V799)"),"Visakhapatnam")</f>
        <v>Visakhapatnam</v>
      </c>
    </row>
    <row r="800" spans="7:23">
      <c r="G800" s="138" t="s">
        <v>9604</v>
      </c>
      <c r="H800" s="138" t="s">
        <v>9604</v>
      </c>
      <c r="I800" s="138" t="s">
        <v>9325</v>
      </c>
      <c r="J800" s="138" t="s">
        <v>9639</v>
      </c>
      <c r="K800" s="138" t="str">
        <f ca="1">IFERROR(__xludf.DUMMYFUNCTION("unique(filter(R:R,R:R=I800))"),"Bhimili")</f>
        <v>Bhimili</v>
      </c>
      <c r="U800" s="138" t="s">
        <v>9399</v>
      </c>
      <c r="V800" s="138" t="s">
        <v>9618</v>
      </c>
      <c r="W800" s="138" t="str">
        <f ca="1">IFERROR(__xludf.DUMMYFUNCTION("filter(H:H,I:I=U800,J:J=V800)"),"Visakhapatnam")</f>
        <v>Visakhapatnam</v>
      </c>
    </row>
    <row r="801" spans="7:23">
      <c r="G801" s="138" t="s">
        <v>9604</v>
      </c>
      <c r="H801" s="138" t="s">
        <v>9604</v>
      </c>
      <c r="I801" s="138" t="s">
        <v>9325</v>
      </c>
      <c r="J801" s="138" t="s">
        <v>9640</v>
      </c>
      <c r="K801" s="138" t="str">
        <f ca="1">IFERROR(__xludf.DUMMYFUNCTION("unique(filter(R:R,R:R=I801))"),"Bhimili")</f>
        <v>Bhimili</v>
      </c>
      <c r="U801" s="138" t="s">
        <v>9325</v>
      </c>
      <c r="V801" s="138" t="s">
        <v>9639</v>
      </c>
      <c r="W801" s="138" t="str">
        <f ca="1">IFERROR(__xludf.DUMMYFUNCTION("filter(H:H,I:I=U801,J:J=V801)"),"Visakhapatnam")</f>
        <v>Visakhapatnam</v>
      </c>
    </row>
    <row r="802" spans="7:23">
      <c r="G802" s="138" t="s">
        <v>9604</v>
      </c>
      <c r="H802" s="138" t="s">
        <v>9604</v>
      </c>
      <c r="I802" s="138" t="s">
        <v>9325</v>
      </c>
      <c r="J802" s="138" t="s">
        <v>9641</v>
      </c>
      <c r="K802" s="138" t="str">
        <f ca="1">IFERROR(__xludf.DUMMYFUNCTION("unique(filter(R:R,R:R=I802))"),"Bhimili")</f>
        <v>Bhimili</v>
      </c>
      <c r="U802" s="138" t="s">
        <v>9325</v>
      </c>
      <c r="V802" s="138" t="s">
        <v>9640</v>
      </c>
      <c r="W802" s="138" t="str">
        <f ca="1">IFERROR(__xludf.DUMMYFUNCTION("filter(H:H,I:I=U802,J:J=V802)"),"Visakhapatnam")</f>
        <v>Visakhapatnam</v>
      </c>
    </row>
    <row r="803" spans="7:23">
      <c r="G803" s="138" t="s">
        <v>9604</v>
      </c>
      <c r="H803" s="138" t="s">
        <v>9604</v>
      </c>
      <c r="I803" s="138" t="s">
        <v>9325</v>
      </c>
      <c r="J803" s="138" t="s">
        <v>9618</v>
      </c>
      <c r="K803" s="138" t="str">
        <f ca="1">IFERROR(__xludf.DUMMYFUNCTION("unique(filter(R:R,R:R=I803))"),"Bhimili")</f>
        <v>Bhimili</v>
      </c>
      <c r="U803" s="138" t="s">
        <v>9325</v>
      </c>
      <c r="V803" s="138" t="s">
        <v>9641</v>
      </c>
      <c r="W803" s="138" t="str">
        <f ca="1">IFERROR(__xludf.DUMMYFUNCTION("filter(H:H,I:I=U803,J:J=V803)"),"Visakhapatnam")</f>
        <v>Visakhapatnam</v>
      </c>
    </row>
    <row r="804" spans="7:23">
      <c r="G804" s="138" t="s">
        <v>9479</v>
      </c>
      <c r="H804" s="138" t="s">
        <v>9479</v>
      </c>
      <c r="I804" s="138" t="s">
        <v>9442</v>
      </c>
      <c r="J804" s="138" t="s">
        <v>9442</v>
      </c>
      <c r="K804" s="138" t="str">
        <f ca="1">IFERROR(__xludf.DUMMYFUNCTION("unique(filter(R:R,R:R=I804))"),"Srungavarapukota")</f>
        <v>Srungavarapukota</v>
      </c>
      <c r="U804" s="138" t="s">
        <v>9325</v>
      </c>
      <c r="V804" s="138" t="s">
        <v>9618</v>
      </c>
      <c r="W804" s="138" t="str">
        <f ca="1">IFERROR(__xludf.DUMMYFUNCTION("filter(H:H,I:I=U804,J:J=V804)"),"Visakhapatnam")</f>
        <v>Visakhapatnam</v>
      </c>
    </row>
    <row r="805" spans="7:23">
      <c r="G805" s="138" t="s">
        <v>9479</v>
      </c>
      <c r="H805" s="138" t="s">
        <v>9479</v>
      </c>
      <c r="I805" s="138" t="s">
        <v>9442</v>
      </c>
      <c r="J805" s="138" t="s">
        <v>9642</v>
      </c>
      <c r="K805" s="138" t="str">
        <f ca="1">IFERROR(__xludf.DUMMYFUNCTION("unique(filter(R:R,R:R=I805))"),"Srungavarapukota")</f>
        <v>Srungavarapukota</v>
      </c>
      <c r="U805" s="138" t="s">
        <v>9442</v>
      </c>
      <c r="V805" s="138" t="s">
        <v>9442</v>
      </c>
      <c r="W805" s="138" t="str">
        <f ca="1">IFERROR(__xludf.DUMMYFUNCTION("filter(H:H,I:I=U805,J:J=V805)"),"Vizianagaram")</f>
        <v>Vizianagaram</v>
      </c>
    </row>
    <row r="806" spans="7:23">
      <c r="G806" s="138" t="s">
        <v>9479</v>
      </c>
      <c r="H806" s="138" t="s">
        <v>9479</v>
      </c>
      <c r="I806" s="138" t="s">
        <v>9442</v>
      </c>
      <c r="J806" s="138" t="s">
        <v>9643</v>
      </c>
      <c r="K806" s="138" t="str">
        <f ca="1">IFERROR(__xludf.DUMMYFUNCTION("unique(filter(R:R,R:R=I806))"),"Srungavarapukota")</f>
        <v>Srungavarapukota</v>
      </c>
      <c r="U806" s="138" t="s">
        <v>9442</v>
      </c>
      <c r="V806" s="138" t="s">
        <v>9642</v>
      </c>
      <c r="W806" s="138" t="str">
        <f ca="1">IFERROR(__xludf.DUMMYFUNCTION("filter(H:H,I:I=U806,J:J=V806)"),"Vizianagaram")</f>
        <v>Vizianagaram</v>
      </c>
    </row>
    <row r="807" spans="7:23">
      <c r="G807" s="138" t="s">
        <v>9479</v>
      </c>
      <c r="H807" s="138" t="s">
        <v>9479</v>
      </c>
      <c r="I807" s="138" t="s">
        <v>9442</v>
      </c>
      <c r="J807" s="138" t="s">
        <v>9644</v>
      </c>
      <c r="K807" s="138" t="str">
        <f ca="1">IFERROR(__xludf.DUMMYFUNCTION("unique(filter(R:R,R:R=I807))"),"Srungavarapukota")</f>
        <v>Srungavarapukota</v>
      </c>
      <c r="U807" s="138" t="s">
        <v>9442</v>
      </c>
      <c r="V807" s="138" t="s">
        <v>9643</v>
      </c>
      <c r="W807" s="138" t="str">
        <f ca="1">IFERROR(__xludf.DUMMYFUNCTION("filter(H:H,I:I=U807,J:J=V807)"),"Vizianagaram")</f>
        <v>Vizianagaram</v>
      </c>
    </row>
    <row r="808" spans="7:23">
      <c r="G808" s="138" t="s">
        <v>9479</v>
      </c>
      <c r="H808" s="138" t="s">
        <v>9479</v>
      </c>
      <c r="I808" s="138" t="s">
        <v>9442</v>
      </c>
      <c r="J808" s="138" t="s">
        <v>9645</v>
      </c>
      <c r="K808" s="138" t="str">
        <f ca="1">IFERROR(__xludf.DUMMYFUNCTION("unique(filter(R:R,R:R=I808))"),"Srungavarapukota")</f>
        <v>Srungavarapukota</v>
      </c>
      <c r="U808" s="138" t="s">
        <v>9442</v>
      </c>
      <c r="V808" s="138" t="s">
        <v>9644</v>
      </c>
      <c r="W808" s="138" t="str">
        <f ca="1">IFERROR(__xludf.DUMMYFUNCTION("filter(H:H,I:I=U808,J:J=V808)"),"Vizianagaram")</f>
        <v>Vizianagaram</v>
      </c>
    </row>
    <row r="809" spans="7:23">
      <c r="G809" s="138" t="s">
        <v>9479</v>
      </c>
      <c r="H809" s="138" t="s">
        <v>9479</v>
      </c>
      <c r="I809" s="138" t="s">
        <v>9479</v>
      </c>
      <c r="J809" s="138" t="s">
        <v>9479</v>
      </c>
      <c r="K809" s="138" t="str">
        <f ca="1">IFERROR(__xludf.DUMMYFUNCTION("unique(filter(R:R,R:R=I809))"),"Vizianagaram")</f>
        <v>Vizianagaram</v>
      </c>
      <c r="U809" s="138" t="s">
        <v>9442</v>
      </c>
      <c r="V809" s="138" t="s">
        <v>9645</v>
      </c>
      <c r="W809" s="138" t="str">
        <f ca="1">IFERROR(__xludf.DUMMYFUNCTION("filter(H:H,I:I=U809,J:J=V809)"),"Vizianagaram")</f>
        <v>Vizianagaram</v>
      </c>
    </row>
    <row r="810" spans="7:23">
      <c r="G810" s="138" t="s">
        <v>9479</v>
      </c>
      <c r="H810" s="138" t="s">
        <v>9479</v>
      </c>
      <c r="I810" s="138" t="s">
        <v>9479</v>
      </c>
      <c r="J810" s="138" t="s">
        <v>9646</v>
      </c>
      <c r="K810" s="138" t="str">
        <f ca="1">IFERROR(__xludf.DUMMYFUNCTION("unique(filter(R:R,R:R=I810))"),"Vizianagaram")</f>
        <v>Vizianagaram</v>
      </c>
      <c r="U810" s="138" t="s">
        <v>9479</v>
      </c>
      <c r="V810" s="138" t="s">
        <v>9479</v>
      </c>
      <c r="W810" s="138" t="str">
        <f ca="1">IFERROR(__xludf.DUMMYFUNCTION("filter(H:H,I:I=U810,J:J=V810)"),"Vizianagaram")</f>
        <v>Vizianagaram</v>
      </c>
    </row>
    <row r="811" spans="7:23">
      <c r="G811" s="138" t="s">
        <v>9479</v>
      </c>
      <c r="H811" s="138" t="s">
        <v>9479</v>
      </c>
      <c r="I811" s="138" t="s">
        <v>9412</v>
      </c>
      <c r="J811" s="138" t="s">
        <v>9412</v>
      </c>
      <c r="K811" s="138" t="str">
        <f ca="1">IFERROR(__xludf.DUMMYFUNCTION("unique(filter(R:R,R:R=I811))"),"Nellimarla")</f>
        <v>Nellimarla</v>
      </c>
      <c r="U811" s="138" t="s">
        <v>9479</v>
      </c>
      <c r="V811" s="138" t="s">
        <v>9646</v>
      </c>
      <c r="W811" s="138" t="str">
        <f ca="1">IFERROR(__xludf.DUMMYFUNCTION("filter(H:H,I:I=U811,J:J=V811)"),"Vizianagaram")</f>
        <v>Vizianagaram</v>
      </c>
    </row>
    <row r="812" spans="7:23">
      <c r="G812" s="138" t="s">
        <v>9479</v>
      </c>
      <c r="H812" s="138" t="s">
        <v>9479</v>
      </c>
      <c r="I812" s="138" t="s">
        <v>9412</v>
      </c>
      <c r="J812" s="138" t="s">
        <v>9647</v>
      </c>
      <c r="K812" s="138" t="str">
        <f ca="1">IFERROR(__xludf.DUMMYFUNCTION("unique(filter(R:R,R:R=I812))"),"Nellimarla")</f>
        <v>Nellimarla</v>
      </c>
      <c r="U812" s="138" t="s">
        <v>9412</v>
      </c>
      <c r="V812" s="138" t="s">
        <v>9412</v>
      </c>
      <c r="W812" s="138" t="str">
        <f ca="1">IFERROR(__xludf.DUMMYFUNCTION("filter(H:H,I:I=U812,J:J=V812)"),"Vizianagaram")</f>
        <v>Vizianagaram</v>
      </c>
    </row>
    <row r="813" spans="7:23">
      <c r="G813" s="138" t="s">
        <v>9479</v>
      </c>
      <c r="H813" s="138" t="s">
        <v>9479</v>
      </c>
      <c r="I813" s="138" t="s">
        <v>9412</v>
      </c>
      <c r="J813" s="138" t="s">
        <v>9648</v>
      </c>
      <c r="K813" s="138" t="str">
        <f ca="1">IFERROR(__xludf.DUMMYFUNCTION("unique(filter(R:R,R:R=I813))"),"Nellimarla")</f>
        <v>Nellimarla</v>
      </c>
      <c r="U813" s="138" t="s">
        <v>9412</v>
      </c>
      <c r="V813" s="138" t="s">
        <v>9647</v>
      </c>
      <c r="W813" s="138" t="str">
        <f ca="1">IFERROR(__xludf.DUMMYFUNCTION("filter(H:H,I:I=U813,J:J=V813)"),"Vizianagaram")</f>
        <v>Vizianagaram</v>
      </c>
    </row>
    <row r="814" spans="7:23">
      <c r="G814" s="138" t="s">
        <v>9479</v>
      </c>
      <c r="H814" s="138" t="s">
        <v>9479</v>
      </c>
      <c r="I814" s="138" t="s">
        <v>9412</v>
      </c>
      <c r="J814" s="138" t="s">
        <v>9649</v>
      </c>
      <c r="K814" s="138" t="str">
        <f ca="1">IFERROR(__xludf.DUMMYFUNCTION("unique(filter(R:R,R:R=I814))"),"Nellimarla")</f>
        <v>Nellimarla</v>
      </c>
      <c r="U814" s="138" t="s">
        <v>9412</v>
      </c>
      <c r="V814" s="138" t="s">
        <v>9648</v>
      </c>
      <c r="W814" s="138" t="str">
        <f ca="1">IFERROR(__xludf.DUMMYFUNCTION("filter(H:H,I:I=U814,J:J=V814)"),"Vizianagaram")</f>
        <v>Vizianagaram</v>
      </c>
    </row>
    <row r="815" spans="7:23">
      <c r="G815" s="138" t="s">
        <v>9479</v>
      </c>
      <c r="H815" s="138" t="s">
        <v>9479</v>
      </c>
      <c r="I815" s="138" t="s">
        <v>9412</v>
      </c>
      <c r="J815" s="138" t="s">
        <v>493</v>
      </c>
      <c r="K815" s="138" t="str">
        <f ca="1">IFERROR(__xludf.DUMMYFUNCTION("unique(filter(R:R,R:R=I815))"),"Nellimarla")</f>
        <v>Nellimarla</v>
      </c>
      <c r="U815" s="138" t="s">
        <v>9412</v>
      </c>
      <c r="V815" s="138" t="s">
        <v>9649</v>
      </c>
      <c r="W815" s="138" t="str">
        <f ca="1">IFERROR(__xludf.DUMMYFUNCTION("filter(H:H,I:I=U815,J:J=V815)"),"Vizianagaram")</f>
        <v>Vizianagaram</v>
      </c>
    </row>
    <row r="816" spans="7:23">
      <c r="G816" s="138" t="s">
        <v>9479</v>
      </c>
      <c r="H816" s="138" t="s">
        <v>9479</v>
      </c>
      <c r="I816" s="138" t="s">
        <v>9417</v>
      </c>
      <c r="J816" s="138" t="s">
        <v>9650</v>
      </c>
      <c r="K816" s="138" t="str">
        <f ca="1">IFERROR(__xludf.DUMMYFUNCTION("unique(filter(R:R,R:R=I816))"),"Gajapathinagaram")</f>
        <v>Gajapathinagaram</v>
      </c>
      <c r="U816" s="138" t="s">
        <v>9412</v>
      </c>
      <c r="V816" s="138" t="s">
        <v>493</v>
      </c>
      <c r="W816" s="138" t="str">
        <f ca="1">IFERROR(__xludf.DUMMYFUNCTION("filter(H:H,I:I=U816,J:J=V816)"),"Vizianagaram")</f>
        <v>Vizianagaram</v>
      </c>
    </row>
    <row r="817" spans="7:23">
      <c r="G817" s="138" t="s">
        <v>9479</v>
      </c>
      <c r="H817" s="138" t="s">
        <v>9479</v>
      </c>
      <c r="I817" s="138" t="s">
        <v>9417</v>
      </c>
      <c r="J817" s="138" t="s">
        <v>9417</v>
      </c>
      <c r="K817" s="138" t="str">
        <f ca="1">IFERROR(__xludf.DUMMYFUNCTION("unique(filter(R:R,R:R=I817))"),"Gajapathinagaram")</f>
        <v>Gajapathinagaram</v>
      </c>
      <c r="U817" s="138" t="s">
        <v>9417</v>
      </c>
      <c r="V817" s="138" t="s">
        <v>9650</v>
      </c>
      <c r="W817" s="138" t="str">
        <f ca="1">IFERROR(__xludf.DUMMYFUNCTION("filter(H:H,I:I=U817,J:J=V817)"),"Vizianagaram")</f>
        <v>Vizianagaram</v>
      </c>
    </row>
    <row r="818" spans="7:23">
      <c r="G818" s="138" t="s">
        <v>9479</v>
      </c>
      <c r="H818" s="138" t="s">
        <v>9479</v>
      </c>
      <c r="I818" s="138" t="s">
        <v>9417</v>
      </c>
      <c r="J818" s="138" t="s">
        <v>9651</v>
      </c>
      <c r="K818" s="138" t="str">
        <f ca="1">IFERROR(__xludf.DUMMYFUNCTION("unique(filter(R:R,R:R=I818))"),"Gajapathinagaram")</f>
        <v>Gajapathinagaram</v>
      </c>
      <c r="U818" s="138" t="s">
        <v>9417</v>
      </c>
      <c r="V818" s="138" t="s">
        <v>9417</v>
      </c>
      <c r="W818" s="138" t="str">
        <f ca="1">IFERROR(__xludf.DUMMYFUNCTION("filter(H:H,I:I=U818,J:J=V818)"),"Vizianagaram")</f>
        <v>Vizianagaram</v>
      </c>
    </row>
    <row r="819" spans="7:23">
      <c r="G819" s="138" t="s">
        <v>9479</v>
      </c>
      <c r="H819" s="138" t="s">
        <v>9479</v>
      </c>
      <c r="I819" s="138" t="s">
        <v>9417</v>
      </c>
      <c r="J819" s="138" t="s">
        <v>9652</v>
      </c>
      <c r="K819" s="138" t="str">
        <f ca="1">IFERROR(__xludf.DUMMYFUNCTION("unique(filter(R:R,R:R=I819))"),"Gajapathinagaram")</f>
        <v>Gajapathinagaram</v>
      </c>
      <c r="U819" s="138" t="s">
        <v>9417</v>
      </c>
      <c r="V819" s="138" t="s">
        <v>9651</v>
      </c>
      <c r="W819" s="138" t="str">
        <f ca="1">IFERROR(__xludf.DUMMYFUNCTION("filter(H:H,I:I=U819,J:J=V819)"),"Vizianagaram")</f>
        <v>Vizianagaram</v>
      </c>
    </row>
    <row r="820" spans="7:23">
      <c r="G820" s="138" t="s">
        <v>9479</v>
      </c>
      <c r="H820" s="138" t="s">
        <v>9479</v>
      </c>
      <c r="I820" s="138" t="s">
        <v>9417</v>
      </c>
      <c r="J820" s="138" t="s">
        <v>9645</v>
      </c>
      <c r="K820" s="138" t="str">
        <f ca="1">IFERROR(__xludf.DUMMYFUNCTION("unique(filter(R:R,R:R=I820))"),"Gajapathinagaram")</f>
        <v>Gajapathinagaram</v>
      </c>
      <c r="U820" s="138" t="s">
        <v>9417</v>
      </c>
      <c r="V820" s="138" t="s">
        <v>9652</v>
      </c>
      <c r="W820" s="138" t="str">
        <f ca="1">IFERROR(__xludf.DUMMYFUNCTION("filter(H:H,I:I=U820,J:J=V820)"),"Vizianagaram")</f>
        <v>Vizianagaram</v>
      </c>
    </row>
    <row r="821" spans="7:23">
      <c r="G821" s="138" t="s">
        <v>9479</v>
      </c>
      <c r="H821" s="138" t="s">
        <v>9479</v>
      </c>
      <c r="I821" s="138" t="s">
        <v>9420</v>
      </c>
      <c r="J821" s="138" t="s">
        <v>9653</v>
      </c>
      <c r="K821" s="138" t="str">
        <f ca="1">IFERROR(__xludf.DUMMYFUNCTION("unique(filter(R:R,R:R=I821))"),"Cheepurupalle")</f>
        <v>Cheepurupalle</v>
      </c>
      <c r="U821" s="138" t="s">
        <v>9417</v>
      </c>
      <c r="V821" s="138" t="s">
        <v>9645</v>
      </c>
      <c r="W821" s="138" t="str">
        <f ca="1">IFERROR(__xludf.DUMMYFUNCTION("filter(H:H,I:I=U821,J:J=V821)"),"Vizianagaram")</f>
        <v>Vizianagaram</v>
      </c>
    </row>
    <row r="822" spans="7:23">
      <c r="G822" s="138" t="s">
        <v>9479</v>
      </c>
      <c r="H822" s="138" t="s">
        <v>9479</v>
      </c>
      <c r="I822" s="138" t="s">
        <v>9420</v>
      </c>
      <c r="J822" s="138" t="s">
        <v>9654</v>
      </c>
      <c r="K822" s="138" t="str">
        <f ca="1">IFERROR(__xludf.DUMMYFUNCTION("unique(filter(R:R,R:R=I822))"),"Cheepurupalle")</f>
        <v>Cheepurupalle</v>
      </c>
      <c r="U822" s="138" t="s">
        <v>9420</v>
      </c>
      <c r="V822" s="138" t="s">
        <v>9653</v>
      </c>
      <c r="W822" s="138" t="str">
        <f ca="1">IFERROR(__xludf.DUMMYFUNCTION("filter(H:H,I:I=U822,J:J=V822)"),"Vizianagaram")</f>
        <v>Vizianagaram</v>
      </c>
    </row>
    <row r="823" spans="7:23">
      <c r="G823" s="138" t="s">
        <v>9479</v>
      </c>
      <c r="H823" s="138" t="s">
        <v>9479</v>
      </c>
      <c r="I823" s="138" t="s">
        <v>9420</v>
      </c>
      <c r="J823" s="138" t="s">
        <v>9420</v>
      </c>
      <c r="K823" s="138" t="str">
        <f ca="1">IFERROR(__xludf.DUMMYFUNCTION("unique(filter(R:R,R:R=I823))"),"Cheepurupalle")</f>
        <v>Cheepurupalle</v>
      </c>
      <c r="U823" s="138" t="s">
        <v>9420</v>
      </c>
      <c r="V823" s="138" t="s">
        <v>9654</v>
      </c>
      <c r="W823" s="138" t="str">
        <f ca="1">IFERROR(__xludf.DUMMYFUNCTION("filter(H:H,I:I=U823,J:J=V823)"),"Vizianagaram")</f>
        <v>Vizianagaram</v>
      </c>
    </row>
    <row r="824" spans="7:23">
      <c r="G824" s="138" t="s">
        <v>9479</v>
      </c>
      <c r="H824" s="138" t="s">
        <v>9479</v>
      </c>
      <c r="I824" s="138" t="s">
        <v>9420</v>
      </c>
      <c r="J824" s="138" t="s">
        <v>9655</v>
      </c>
      <c r="K824" s="138" t="str">
        <f ca="1">IFERROR(__xludf.DUMMYFUNCTION("unique(filter(R:R,R:R=I824))"),"Cheepurupalle")</f>
        <v>Cheepurupalle</v>
      </c>
      <c r="U824" s="138" t="s">
        <v>9420</v>
      </c>
      <c r="V824" s="138" t="s">
        <v>9420</v>
      </c>
      <c r="W824" s="138" t="str">
        <f ca="1">IFERROR(__xludf.DUMMYFUNCTION("filter(H:H,I:I=U824,J:J=V824)"),"Vizianagaram")</f>
        <v>Vizianagaram</v>
      </c>
    </row>
    <row r="825" spans="7:23">
      <c r="G825" s="138" t="s">
        <v>9258</v>
      </c>
      <c r="H825" s="138" t="s">
        <v>9258</v>
      </c>
      <c r="I825" s="138" t="s">
        <v>9261</v>
      </c>
      <c r="J825" s="138" t="s">
        <v>9261</v>
      </c>
      <c r="K825" s="138" t="str">
        <f ca="1">IFERROR(__xludf.DUMMYFUNCTION("unique(filter(R:R,R:R=I825))"),"Pathapatnam")</f>
        <v>Pathapatnam</v>
      </c>
      <c r="U825" s="138" t="s">
        <v>9420</v>
      </c>
      <c r="V825" s="138" t="s">
        <v>9655</v>
      </c>
      <c r="W825" s="138" t="str">
        <f ca="1">IFERROR(__xludf.DUMMYFUNCTION("filter(H:H,I:I=U825,J:J=V825)"),"Vizianagaram")</f>
        <v>Vizianagaram</v>
      </c>
    </row>
    <row r="826" spans="7:23">
      <c r="G826" s="138" t="s">
        <v>9258</v>
      </c>
      <c r="H826" s="138" t="s">
        <v>9258</v>
      </c>
      <c r="I826" s="138" t="s">
        <v>9261</v>
      </c>
      <c r="J826" s="138" t="s">
        <v>554</v>
      </c>
      <c r="K826" s="138" t="str">
        <f ca="1">IFERROR(__xludf.DUMMYFUNCTION("unique(filter(R:R,R:R=I826))"),"Pathapatnam")</f>
        <v>Pathapatnam</v>
      </c>
      <c r="U826" s="138" t="s">
        <v>9261</v>
      </c>
      <c r="V826" s="138" t="s">
        <v>9261</v>
      </c>
      <c r="W826" s="138" t="str">
        <f ca="1">IFERROR(__xludf.DUMMYFUNCTION("filter(H:H,I:I=U826,J:J=V826)"),"Srikakulam")</f>
        <v>Srikakulam</v>
      </c>
    </row>
    <row r="827" spans="7:23">
      <c r="G827" s="138" t="s">
        <v>9258</v>
      </c>
      <c r="H827" s="138" t="s">
        <v>9258</v>
      </c>
      <c r="I827" s="138" t="s">
        <v>9261</v>
      </c>
      <c r="J827" s="138" t="s">
        <v>9656</v>
      </c>
      <c r="K827" s="138" t="str">
        <f ca="1">IFERROR(__xludf.DUMMYFUNCTION("unique(filter(R:R,R:R=I827))"),"Pathapatnam")</f>
        <v>Pathapatnam</v>
      </c>
      <c r="U827" s="138" t="s">
        <v>9261</v>
      </c>
      <c r="V827" s="138" t="s">
        <v>554</v>
      </c>
      <c r="W827" s="138" t="str">
        <f ca="1">IFERROR(__xludf.DUMMYFUNCTION("filter(H:H,I:I=U827,J:J=V827)"),"Srikakulam")</f>
        <v>Srikakulam</v>
      </c>
    </row>
    <row r="828" spans="7:23">
      <c r="G828" s="138" t="s">
        <v>9258</v>
      </c>
      <c r="H828" s="138" t="s">
        <v>9258</v>
      </c>
      <c r="I828" s="138" t="s">
        <v>9261</v>
      </c>
      <c r="J828" s="138" t="s">
        <v>9657</v>
      </c>
      <c r="K828" s="138" t="str">
        <f ca="1">IFERROR(__xludf.DUMMYFUNCTION("unique(filter(R:R,R:R=I828))"),"Pathapatnam")</f>
        <v>Pathapatnam</v>
      </c>
      <c r="U828" s="138" t="s">
        <v>9261</v>
      </c>
      <c r="V828" s="138" t="s">
        <v>9656</v>
      </c>
      <c r="W828" s="138" t="str">
        <f ca="1">IFERROR(__xludf.DUMMYFUNCTION("filter(H:H,I:I=U828,J:J=V828)"),"Srikakulam")</f>
        <v>Srikakulam</v>
      </c>
    </row>
    <row r="829" spans="7:23">
      <c r="G829" s="138" t="s">
        <v>9258</v>
      </c>
      <c r="H829" s="138" t="s">
        <v>9258</v>
      </c>
      <c r="I829" s="138" t="s">
        <v>9261</v>
      </c>
      <c r="J829" s="138" t="s">
        <v>9658</v>
      </c>
      <c r="K829" s="138" t="str">
        <f ca="1">IFERROR(__xludf.DUMMYFUNCTION("unique(filter(R:R,R:R=I829))"),"Pathapatnam")</f>
        <v>Pathapatnam</v>
      </c>
      <c r="U829" s="138" t="s">
        <v>9261</v>
      </c>
      <c r="V829" s="138" t="s">
        <v>9657</v>
      </c>
      <c r="W829" s="138" t="str">
        <f ca="1">IFERROR(__xludf.DUMMYFUNCTION("filter(H:H,I:I=U829,J:J=V829)"),"Srikakulam")</f>
        <v>Srikakulam</v>
      </c>
    </row>
    <row r="830" spans="7:23">
      <c r="G830" s="138" t="e">
        <v>#N/A</v>
      </c>
      <c r="H830" s="138" t="e">
        <v>#N/A</v>
      </c>
      <c r="I830" s="138" t="s">
        <v>9261</v>
      </c>
      <c r="J830" s="138" t="e">
        <v>#N/A</v>
      </c>
      <c r="K830" s="138" t="str">
        <f ca="1">IFERROR(__xludf.DUMMYFUNCTION("unique(filter(R:R,R:R=I830))"),"Pathapatnam")</f>
        <v>Pathapatnam</v>
      </c>
      <c r="U830" s="138" t="s">
        <v>9261</v>
      </c>
      <c r="V830" s="138" t="s">
        <v>9658</v>
      </c>
      <c r="W830" s="138" t="str">
        <f ca="1">IFERROR(__xludf.DUMMYFUNCTION("filter(H:H,I:I=U830,J:J=V830)"),"Srikakulam")</f>
        <v>Srikakulam</v>
      </c>
    </row>
    <row r="831" spans="7:23">
      <c r="G831" s="138" t="s">
        <v>9479</v>
      </c>
      <c r="H831" s="138" t="s">
        <v>9479</v>
      </c>
      <c r="I831" s="138" t="s">
        <v>9407</v>
      </c>
      <c r="J831" s="138" t="s">
        <v>9407</v>
      </c>
      <c r="K831" s="138" t="str">
        <f ca="1">IFERROR(__xludf.DUMMYFUNCTION("unique(filter(R:R,R:R=I831))"),"Bobbili")</f>
        <v>Bobbili</v>
      </c>
    </row>
    <row r="832" spans="7:23">
      <c r="G832" s="138" t="s">
        <v>9479</v>
      </c>
      <c r="H832" s="138" t="s">
        <v>9479</v>
      </c>
      <c r="I832" s="138" t="s">
        <v>9407</v>
      </c>
      <c r="J832" s="138" t="s">
        <v>9659</v>
      </c>
      <c r="K832" s="138" t="str">
        <f ca="1">IFERROR(__xludf.DUMMYFUNCTION("unique(filter(R:R,R:R=I832))"),"Bobbili")</f>
        <v>Bobbili</v>
      </c>
      <c r="U832" s="138" t="s">
        <v>9407</v>
      </c>
      <c r="V832" s="138" t="s">
        <v>9407</v>
      </c>
      <c r="W832" s="138" t="str">
        <f ca="1">IFERROR(__xludf.DUMMYFUNCTION("filter(H:H,I:I=U832,J:J=V832)"),"Vizianagaram")</f>
        <v>Vizianagaram</v>
      </c>
    </row>
    <row r="833" spans="7:23">
      <c r="G833" s="138" t="s">
        <v>9479</v>
      </c>
      <c r="H833" s="138" t="s">
        <v>9479</v>
      </c>
      <c r="I833" s="138" t="s">
        <v>9407</v>
      </c>
      <c r="J833" s="138" t="s">
        <v>9660</v>
      </c>
      <c r="K833" s="138" t="str">
        <f ca="1">IFERROR(__xludf.DUMMYFUNCTION("unique(filter(R:R,R:R=I833))"),"Bobbili")</f>
        <v>Bobbili</v>
      </c>
      <c r="U833" s="138" t="s">
        <v>9407</v>
      </c>
      <c r="V833" s="138" t="s">
        <v>9659</v>
      </c>
      <c r="W833" s="138" t="str">
        <f ca="1">IFERROR(__xludf.DUMMYFUNCTION("filter(H:H,I:I=U833,J:J=V833)"),"Vizianagaram")</f>
        <v>Vizianagaram</v>
      </c>
    </row>
    <row r="834" spans="7:23">
      <c r="G834" s="138" t="s">
        <v>9479</v>
      </c>
      <c r="H834" s="138" t="s">
        <v>9479</v>
      </c>
      <c r="I834" s="138" t="s">
        <v>9407</v>
      </c>
      <c r="J834" s="138" t="s">
        <v>9661</v>
      </c>
      <c r="K834" s="138" t="str">
        <f ca="1">IFERROR(__xludf.DUMMYFUNCTION("unique(filter(R:R,R:R=I834))"),"Bobbili")</f>
        <v>Bobbili</v>
      </c>
      <c r="U834" s="138" t="s">
        <v>9407</v>
      </c>
      <c r="V834" s="138" t="s">
        <v>9660</v>
      </c>
      <c r="W834" s="138" t="str">
        <f ca="1">IFERROR(__xludf.DUMMYFUNCTION("filter(H:H,I:I=U834,J:J=V834)"),"Vizianagaram")</f>
        <v>Vizianagaram</v>
      </c>
    </row>
    <row r="835" spans="7:23">
      <c r="G835" s="138" t="s">
        <v>9479</v>
      </c>
      <c r="H835" s="138" t="s">
        <v>9479</v>
      </c>
      <c r="I835" s="138" t="s">
        <v>9407</v>
      </c>
      <c r="J835" s="138" t="s">
        <v>9662</v>
      </c>
      <c r="K835" s="138" t="str">
        <f ca="1">IFERROR(__xludf.DUMMYFUNCTION("unique(filter(R:R,R:R=I835))"),"Bobbili")</f>
        <v>Bobbili</v>
      </c>
      <c r="U835" s="138" t="s">
        <v>9407</v>
      </c>
      <c r="V835" s="138" t="s">
        <v>9661</v>
      </c>
      <c r="W835" s="138" t="str">
        <f ca="1">IFERROR(__xludf.DUMMYFUNCTION("filter(H:H,I:I=U835,J:J=V835)"),"Vizianagaram")</f>
        <v>Vizianagaram</v>
      </c>
    </row>
    <row r="836" spans="7:23">
      <c r="G836" s="138" t="s">
        <v>9479</v>
      </c>
      <c r="H836" s="138" t="s">
        <v>9663</v>
      </c>
      <c r="I836" s="138" t="s">
        <v>9455</v>
      </c>
      <c r="J836" s="138" t="s">
        <v>9664</v>
      </c>
      <c r="K836" s="138" t="str">
        <f ca="1">IFERROR(__xludf.DUMMYFUNCTION("unique(filter(R:R,R:R=I836))"),"Salur (St)")</f>
        <v>Salur (St)</v>
      </c>
      <c r="U836" s="138" t="s">
        <v>9407</v>
      </c>
      <c r="V836" s="138" t="s">
        <v>9662</v>
      </c>
      <c r="W836" s="138" t="str">
        <f ca="1">IFERROR(__xludf.DUMMYFUNCTION("filter(H:H,I:I=U836,J:J=V836)"),"Vizianagaram")</f>
        <v>Vizianagaram</v>
      </c>
    </row>
    <row r="837" spans="7:23">
      <c r="G837" s="138" t="s">
        <v>9479</v>
      </c>
      <c r="H837" s="138" t="s">
        <v>9663</v>
      </c>
      <c r="I837" s="138" t="s">
        <v>9455</v>
      </c>
      <c r="J837" s="138" t="s">
        <v>9665</v>
      </c>
      <c r="K837" s="138" t="str">
        <f ca="1">IFERROR(__xludf.DUMMYFUNCTION("unique(filter(R:R,R:R=I837))"),"Salur (St)")</f>
        <v>Salur (St)</v>
      </c>
      <c r="U837" s="138" t="s">
        <v>9455</v>
      </c>
      <c r="V837" s="138" t="s">
        <v>9664</v>
      </c>
      <c r="W837" s="138" t="str">
        <f ca="1">IFERROR(__xludf.DUMMYFUNCTION("filter(H:H,I:I=U837,J:J=V837)"),"Parvathipuram Manyam")</f>
        <v>Parvathipuram Manyam</v>
      </c>
    </row>
    <row r="838" spans="7:23">
      <c r="G838" s="138" t="s">
        <v>9479</v>
      </c>
      <c r="H838" s="138" t="s">
        <v>9663</v>
      </c>
      <c r="I838" s="138" t="s">
        <v>9455</v>
      </c>
      <c r="J838" s="138" t="s">
        <v>9666</v>
      </c>
      <c r="K838" s="138" t="str">
        <f ca="1">IFERROR(__xludf.DUMMYFUNCTION("unique(filter(R:R,R:R=I838))"),"Salur (St)")</f>
        <v>Salur (St)</v>
      </c>
      <c r="U838" s="138" t="s">
        <v>9455</v>
      </c>
      <c r="V838" s="138" t="s">
        <v>9665</v>
      </c>
      <c r="W838" s="138" t="str">
        <f ca="1">IFERROR(__xludf.DUMMYFUNCTION("filter(H:H,I:I=U838,J:J=V838)"),"Parvathipuram Manyam")</f>
        <v>Parvathipuram Manyam</v>
      </c>
    </row>
    <row r="839" spans="7:23">
      <c r="G839" s="138" t="s">
        <v>9479</v>
      </c>
      <c r="H839" s="138" t="s">
        <v>9663</v>
      </c>
      <c r="I839" s="138" t="s">
        <v>9455</v>
      </c>
      <c r="J839" s="138" t="s">
        <v>9667</v>
      </c>
      <c r="K839" s="138" t="str">
        <f ca="1">IFERROR(__xludf.DUMMYFUNCTION("unique(filter(R:R,R:R=I839))"),"Salur (St)")</f>
        <v>Salur (St)</v>
      </c>
      <c r="U839" s="138" t="s">
        <v>9455</v>
      </c>
      <c r="V839" s="138" t="s">
        <v>9666</v>
      </c>
      <c r="W839" s="138" t="str">
        <f ca="1">IFERROR(__xludf.DUMMYFUNCTION("filter(H:H,I:I=U839,J:J=V839)"),"Parvathipuram Manyam")</f>
        <v>Parvathipuram Manyam</v>
      </c>
    </row>
    <row r="840" spans="7:23">
      <c r="G840" s="138" t="s">
        <v>9479</v>
      </c>
      <c r="H840" s="138" t="s">
        <v>9663</v>
      </c>
      <c r="I840" s="138" t="s">
        <v>9455</v>
      </c>
      <c r="J840" s="138" t="s">
        <v>9668</v>
      </c>
      <c r="K840" s="138" t="str">
        <f ca="1">IFERROR(__xludf.DUMMYFUNCTION("unique(filter(R:R,R:R=I840))"),"Salur (St)")</f>
        <v>Salur (St)</v>
      </c>
      <c r="U840" s="138" t="s">
        <v>9455</v>
      </c>
      <c r="V840" s="138" t="s">
        <v>9667</v>
      </c>
      <c r="W840" s="138" t="str">
        <f ca="1">IFERROR(__xludf.DUMMYFUNCTION("filter(H:H,I:I=U840,J:J=V840)"),"Parvathipuram Manyam")</f>
        <v>Parvathipuram Manyam</v>
      </c>
    </row>
    <row r="841" spans="7:23">
      <c r="G841" s="138" t="e">
        <v>#N/A</v>
      </c>
      <c r="H841" s="138" t="e">
        <v>#N/A</v>
      </c>
      <c r="I841" s="138" t="s">
        <v>9455</v>
      </c>
      <c r="J841" s="138" t="e">
        <v>#N/A</v>
      </c>
      <c r="K841" s="138" t="str">
        <f ca="1">IFERROR(__xludf.DUMMYFUNCTION("unique(filter(R:R,R:R=I841))"),"Salur (St)")</f>
        <v>Salur (St)</v>
      </c>
      <c r="U841" s="138" t="s">
        <v>9455</v>
      </c>
      <c r="V841" s="138" t="s">
        <v>9668</v>
      </c>
      <c r="W841" s="138" t="str">
        <f ca="1">IFERROR(__xludf.DUMMYFUNCTION("filter(H:H,I:I=U841,J:J=V841)"),"Parvathipuram Manyam")</f>
        <v>Parvathipuram Manyam</v>
      </c>
    </row>
    <row r="842" spans="7:23">
      <c r="G842" s="138" t="s">
        <v>9479</v>
      </c>
      <c r="H842" s="138" t="s">
        <v>9663</v>
      </c>
      <c r="I842" s="138" t="s">
        <v>9410</v>
      </c>
      <c r="J842" s="138" t="s">
        <v>9669</v>
      </c>
      <c r="K842" s="138" t="str">
        <f ca="1">IFERROR(__xludf.DUMMYFUNCTION("unique(filter(R:R,R:R=I842))"),"Parvathipuram (Sc)")</f>
        <v>Parvathipuram (Sc)</v>
      </c>
    </row>
    <row r="843" spans="7:23">
      <c r="G843" s="138" t="s">
        <v>9479</v>
      </c>
      <c r="H843" s="138" t="s">
        <v>9663</v>
      </c>
      <c r="I843" s="138" t="s">
        <v>9410</v>
      </c>
      <c r="J843" s="138" t="s">
        <v>9670</v>
      </c>
      <c r="K843" s="138" t="str">
        <f ca="1">IFERROR(__xludf.DUMMYFUNCTION("unique(filter(R:R,R:R=I843))"),"Parvathipuram (Sc)")</f>
        <v>Parvathipuram (Sc)</v>
      </c>
      <c r="U843" s="138" t="s">
        <v>9410</v>
      </c>
      <c r="V843" s="138" t="s">
        <v>9669</v>
      </c>
      <c r="W843" s="138" t="str">
        <f ca="1">IFERROR(__xludf.DUMMYFUNCTION("filter(H:H,I:I=U843,J:J=V843)"),"Parvathipuram Manyam")</f>
        <v>Parvathipuram Manyam</v>
      </c>
    </row>
    <row r="844" spans="7:23">
      <c r="G844" s="138" t="s">
        <v>9479</v>
      </c>
      <c r="H844" s="138" t="s">
        <v>9663</v>
      </c>
      <c r="I844" s="138" t="s">
        <v>9410</v>
      </c>
      <c r="J844" s="138" t="s">
        <v>194</v>
      </c>
      <c r="K844" s="138" t="str">
        <f ca="1">IFERROR(__xludf.DUMMYFUNCTION("unique(filter(R:R,R:R=I844))"),"Parvathipuram (Sc)")</f>
        <v>Parvathipuram (Sc)</v>
      </c>
      <c r="U844" s="138" t="s">
        <v>9410</v>
      </c>
      <c r="V844" s="138" t="s">
        <v>9670</v>
      </c>
      <c r="W844" s="138" t="str">
        <f ca="1">IFERROR(__xludf.DUMMYFUNCTION("filter(H:H,I:I=U844,J:J=V844)"),"Parvathipuram Manyam")</f>
        <v>Parvathipuram Manyam</v>
      </c>
    </row>
    <row r="845" spans="7:23">
      <c r="G845" s="138" t="s">
        <v>9479</v>
      </c>
      <c r="H845" s="138" t="s">
        <v>9663</v>
      </c>
      <c r="I845" s="138" t="s">
        <v>9410</v>
      </c>
      <c r="J845" s="138" t="s">
        <v>9671</v>
      </c>
      <c r="K845" s="138" t="str">
        <f ca="1">IFERROR(__xludf.DUMMYFUNCTION("unique(filter(R:R,R:R=I845))"),"Parvathipuram (Sc)")</f>
        <v>Parvathipuram (Sc)</v>
      </c>
      <c r="U845" s="138" t="s">
        <v>9410</v>
      </c>
      <c r="V845" s="138" t="s">
        <v>194</v>
      </c>
      <c r="W845" s="138" t="str">
        <f ca="1">IFERROR(__xludf.DUMMYFUNCTION("filter(H:H,I:I=U845,J:J=V845)"),"Parvathipuram Manyam")</f>
        <v>Parvathipuram Manyam</v>
      </c>
    </row>
    <row r="846" spans="7:23">
      <c r="G846" s="138" t="s">
        <v>9479</v>
      </c>
      <c r="H846" s="138" t="s">
        <v>9663</v>
      </c>
      <c r="I846" s="138" t="s">
        <v>9434</v>
      </c>
      <c r="J846" s="138" t="s">
        <v>9672</v>
      </c>
      <c r="K846" s="138" t="str">
        <f ca="1">IFERROR(__xludf.DUMMYFUNCTION("unique(filter(R:R,R:R=I846))"),"Kurupam (St)")</f>
        <v>Kurupam (St)</v>
      </c>
      <c r="U846" s="138" t="s">
        <v>9410</v>
      </c>
      <c r="V846" s="138" t="s">
        <v>9671</v>
      </c>
      <c r="W846" s="138" t="str">
        <f ca="1">IFERROR(__xludf.DUMMYFUNCTION("filter(H:H,I:I=U846,J:J=V846)"),"Parvathipuram Manyam")</f>
        <v>Parvathipuram Manyam</v>
      </c>
    </row>
    <row r="847" spans="7:23">
      <c r="G847" s="138" t="s">
        <v>9479</v>
      </c>
      <c r="H847" s="138" t="s">
        <v>9663</v>
      </c>
      <c r="I847" s="138" t="s">
        <v>9434</v>
      </c>
      <c r="J847" s="138" t="s">
        <v>9673</v>
      </c>
      <c r="K847" s="138" t="str">
        <f ca="1">IFERROR(__xludf.DUMMYFUNCTION("unique(filter(R:R,R:R=I847))"),"Kurupam (St)")</f>
        <v>Kurupam (St)</v>
      </c>
      <c r="U847" s="138" t="s">
        <v>9434</v>
      </c>
      <c r="V847" s="138" t="s">
        <v>9672</v>
      </c>
      <c r="W847" s="138" t="str">
        <f ca="1">IFERROR(__xludf.DUMMYFUNCTION("filter(H:H,I:I=U847,J:J=V847)"),"Parvathipuram Manyam")</f>
        <v>Parvathipuram Manyam</v>
      </c>
    </row>
    <row r="848" spans="7:23">
      <c r="G848" s="138" t="s">
        <v>9479</v>
      </c>
      <c r="H848" s="138" t="s">
        <v>9663</v>
      </c>
      <c r="I848" s="138" t="s">
        <v>9434</v>
      </c>
      <c r="J848" s="138" t="s">
        <v>9674</v>
      </c>
      <c r="K848" s="138" t="str">
        <f ca="1">IFERROR(__xludf.DUMMYFUNCTION("unique(filter(R:R,R:R=I848))"),"Kurupam (St)")</f>
        <v>Kurupam (St)</v>
      </c>
      <c r="U848" s="138" t="s">
        <v>9434</v>
      </c>
      <c r="V848" s="138" t="s">
        <v>9673</v>
      </c>
      <c r="W848" s="138" t="str">
        <f ca="1">IFERROR(__xludf.DUMMYFUNCTION("filter(H:H,I:I=U848,J:J=V848)"),"Parvathipuram Manyam")</f>
        <v>Parvathipuram Manyam</v>
      </c>
    </row>
    <row r="849" spans="7:23">
      <c r="G849" s="138" t="s">
        <v>9479</v>
      </c>
      <c r="H849" s="138" t="s">
        <v>9663</v>
      </c>
      <c r="I849" s="138" t="s">
        <v>9434</v>
      </c>
      <c r="J849" s="138" t="s">
        <v>9675</v>
      </c>
      <c r="K849" s="138" t="str">
        <f ca="1">IFERROR(__xludf.DUMMYFUNCTION("unique(filter(R:R,R:R=I849))"),"Kurupam (St)")</f>
        <v>Kurupam (St)</v>
      </c>
      <c r="U849" s="138" t="s">
        <v>9434</v>
      </c>
      <c r="V849" s="138" t="s">
        <v>9674</v>
      </c>
      <c r="W849" s="138" t="str">
        <f ca="1">IFERROR(__xludf.DUMMYFUNCTION("filter(H:H,I:I=U849,J:J=V849)"),"Parvathipuram Manyam")</f>
        <v>Parvathipuram Manyam</v>
      </c>
    </row>
    <row r="850" spans="7:23">
      <c r="G850" s="138" t="s">
        <v>9479</v>
      </c>
      <c r="H850" s="138" t="s">
        <v>9663</v>
      </c>
      <c r="I850" s="138" t="s">
        <v>9434</v>
      </c>
      <c r="J850" s="138" t="s">
        <v>9676</v>
      </c>
      <c r="K850" s="138" t="str">
        <f ca="1">IFERROR(__xludf.DUMMYFUNCTION("unique(filter(R:R,R:R=I850))"),"Kurupam (St)")</f>
        <v>Kurupam (St)</v>
      </c>
      <c r="U850" s="138" t="s">
        <v>9434</v>
      </c>
      <c r="V850" s="138" t="s">
        <v>9675</v>
      </c>
      <c r="W850" s="138" t="str">
        <f ca="1">IFERROR(__xludf.DUMMYFUNCTION("filter(H:H,I:I=U850,J:J=V850)"),"Parvathipuram Manyam")</f>
        <v>Parvathipuram Manyam</v>
      </c>
    </row>
    <row r="851" spans="7:23">
      <c r="G851" s="138" t="s">
        <v>9258</v>
      </c>
      <c r="H851" s="138" t="s">
        <v>9663</v>
      </c>
      <c r="I851" s="138" t="s">
        <v>9250</v>
      </c>
      <c r="J851" s="138" t="s">
        <v>9677</v>
      </c>
      <c r="K851" s="138" t="str">
        <f ca="1">IFERROR(__xludf.DUMMYFUNCTION("unique(filter(R:R,R:R=I851))"),"Palakonda (St)")</f>
        <v>Palakonda (St)</v>
      </c>
      <c r="U851" s="138" t="s">
        <v>9434</v>
      </c>
      <c r="V851" s="138" t="s">
        <v>9676</v>
      </c>
      <c r="W851" s="138" t="str">
        <f ca="1">IFERROR(__xludf.DUMMYFUNCTION("filter(H:H,I:I=U851,J:J=V851)"),"Parvathipuram Manyam")</f>
        <v>Parvathipuram Manyam</v>
      </c>
    </row>
    <row r="852" spans="7:23">
      <c r="G852" s="138" t="s">
        <v>9258</v>
      </c>
      <c r="H852" s="138" t="s">
        <v>9663</v>
      </c>
      <c r="I852" s="138" t="s">
        <v>9250</v>
      </c>
      <c r="J852" s="138" t="s">
        <v>9678</v>
      </c>
      <c r="K852" s="138" t="str">
        <f ca="1">IFERROR(__xludf.DUMMYFUNCTION("unique(filter(R:R,R:R=I852))"),"Palakonda (St)")</f>
        <v>Palakonda (St)</v>
      </c>
      <c r="U852" s="138" t="s">
        <v>9250</v>
      </c>
      <c r="V852" s="138" t="s">
        <v>9677</v>
      </c>
      <c r="W852" s="138" t="str">
        <f ca="1">IFERROR(__xludf.DUMMYFUNCTION("filter(H:H,I:I=U852,J:J=V852)"),"Parvathipuram Manyam")</f>
        <v>Parvathipuram Manyam</v>
      </c>
    </row>
    <row r="853" spans="7:23">
      <c r="G853" s="138" t="s">
        <v>9258</v>
      </c>
      <c r="H853" s="138" t="s">
        <v>9663</v>
      </c>
      <c r="I853" s="138" t="s">
        <v>9250</v>
      </c>
      <c r="J853" s="138" t="s">
        <v>9679</v>
      </c>
      <c r="K853" s="138" t="str">
        <f ca="1">IFERROR(__xludf.DUMMYFUNCTION("unique(filter(R:R,R:R=I853))"),"Palakonda (St)")</f>
        <v>Palakonda (St)</v>
      </c>
      <c r="U853" s="138" t="s">
        <v>9250</v>
      </c>
      <c r="V853" s="138" t="s">
        <v>9678</v>
      </c>
      <c r="W853" s="138" t="str">
        <f ca="1">IFERROR(__xludf.DUMMYFUNCTION("filter(H:H,I:I=U853,J:J=V853)"),"Parvathipuram Manyam")</f>
        <v>Parvathipuram Manyam</v>
      </c>
    </row>
    <row r="854" spans="7:23">
      <c r="G854" s="138" t="s">
        <v>9258</v>
      </c>
      <c r="H854" s="138" t="s">
        <v>9663</v>
      </c>
      <c r="I854" s="138" t="s">
        <v>9250</v>
      </c>
      <c r="J854" s="138" t="s">
        <v>9680</v>
      </c>
      <c r="K854" s="138" t="str">
        <f ca="1">IFERROR(__xludf.DUMMYFUNCTION("unique(filter(R:R,R:R=I854))"),"Palakonda (St)")</f>
        <v>Palakonda (St)</v>
      </c>
      <c r="U854" s="138" t="s">
        <v>9250</v>
      </c>
      <c r="V854" s="138" t="s">
        <v>9679</v>
      </c>
      <c r="W854" s="138" t="str">
        <f ca="1">IFERROR(__xludf.DUMMYFUNCTION("filter(H:H,I:I=U854,J:J=V854)"),"Parvathipuram Manyam")</f>
        <v>Parvathipuram Manyam</v>
      </c>
    </row>
    <row r="855" spans="7:23">
      <c r="G855" s="138" t="s">
        <v>9258</v>
      </c>
      <c r="H855" s="138" t="s">
        <v>9663</v>
      </c>
      <c r="I855" s="138" t="s">
        <v>9250</v>
      </c>
      <c r="J855" s="138" t="s">
        <v>9681</v>
      </c>
      <c r="K855" s="138" t="str">
        <f ca="1">IFERROR(__xludf.DUMMYFUNCTION("unique(filter(R:R,R:R=I855))"),"Palakonda (St)")</f>
        <v>Palakonda (St)</v>
      </c>
      <c r="U855" s="138" t="s">
        <v>9250</v>
      </c>
      <c r="V855" s="138" t="s">
        <v>9680</v>
      </c>
      <c r="W855" s="138" t="str">
        <f ca="1">IFERROR(__xludf.DUMMYFUNCTION("filter(H:H,I:I=U855,J:J=V855)"),"Parvathipuram Manyam")</f>
        <v>Parvathipuram Manyam</v>
      </c>
    </row>
    <row r="856" spans="7:23">
      <c r="G856" s="138" t="e">
        <v>#N/A</v>
      </c>
      <c r="H856" s="138" t="e">
        <v>#N/A</v>
      </c>
      <c r="I856" s="138" t="s">
        <v>9250</v>
      </c>
      <c r="J856" s="138" t="e">
        <v>#N/A</v>
      </c>
      <c r="K856" s="138" t="str">
        <f ca="1">IFERROR(__xludf.DUMMYFUNCTION("unique(filter(R:R,R:R=I856))"),"Palakonda (St)")</f>
        <v>Palakonda (St)</v>
      </c>
      <c r="U856" s="138" t="s">
        <v>9250</v>
      </c>
      <c r="V856" s="138" t="s">
        <v>9681</v>
      </c>
      <c r="W856" s="138" t="str">
        <f ca="1">IFERROR(__xludf.DUMMYFUNCTION("filter(H:H,I:I=U856,J:J=V856)"),"Parvathipuram Manyam")</f>
        <v>Parvathipuram Manyam</v>
      </c>
    </row>
    <row r="857" spans="7:23">
      <c r="G857" s="138" t="s">
        <v>9258</v>
      </c>
      <c r="H857" s="138" t="s">
        <v>9479</v>
      </c>
      <c r="I857" s="138" t="s">
        <v>9297</v>
      </c>
      <c r="J857" s="138" t="s">
        <v>9682</v>
      </c>
      <c r="K857" s="138" t="str">
        <f ca="1">IFERROR(__xludf.DUMMYFUNCTION("unique(filter(R:R,R:R=I857))"),"Rajam (Sc)")</f>
        <v>Rajam (Sc)</v>
      </c>
    </row>
    <row r="858" spans="7:23">
      <c r="G858" s="138" t="s">
        <v>9258</v>
      </c>
      <c r="H858" s="138" t="s">
        <v>9479</v>
      </c>
      <c r="I858" s="138" t="s">
        <v>9297</v>
      </c>
      <c r="J858" s="138" t="s">
        <v>9683</v>
      </c>
      <c r="K858" s="138" t="str">
        <f ca="1">IFERROR(__xludf.DUMMYFUNCTION("unique(filter(R:R,R:R=I858))"),"Rajam (Sc)")</f>
        <v>Rajam (Sc)</v>
      </c>
      <c r="U858" s="138" t="s">
        <v>9297</v>
      </c>
      <c r="V858" s="138" t="s">
        <v>9682</v>
      </c>
      <c r="W858" s="138" t="str">
        <f ca="1">IFERROR(__xludf.DUMMYFUNCTION("filter(H:H,I:I=U858,J:J=V858)"),"Vizianagaram")</f>
        <v>Vizianagaram</v>
      </c>
    </row>
    <row r="859" spans="7:23">
      <c r="G859" s="138" t="s">
        <v>9258</v>
      </c>
      <c r="H859" s="138" t="s">
        <v>9479</v>
      </c>
      <c r="I859" s="138" t="s">
        <v>9297</v>
      </c>
      <c r="J859" s="138" t="s">
        <v>9684</v>
      </c>
      <c r="K859" s="138" t="str">
        <f ca="1">IFERROR(__xludf.DUMMYFUNCTION("unique(filter(R:R,R:R=I859))"),"Rajam (Sc)")</f>
        <v>Rajam (Sc)</v>
      </c>
      <c r="U859" s="138" t="s">
        <v>9297</v>
      </c>
      <c r="V859" s="138" t="s">
        <v>9683</v>
      </c>
      <c r="W859" s="138" t="str">
        <f ca="1">IFERROR(__xludf.DUMMYFUNCTION("filter(H:H,I:I=U859,J:J=V859)"),"Vizianagaram")</f>
        <v>Vizianagaram</v>
      </c>
    </row>
    <row r="860" spans="7:23">
      <c r="G860" s="138" t="s">
        <v>9258</v>
      </c>
      <c r="H860" s="138" t="s">
        <v>9479</v>
      </c>
      <c r="I860" s="138" t="s">
        <v>9297</v>
      </c>
      <c r="J860" s="138" t="s">
        <v>9685</v>
      </c>
      <c r="K860" s="138" t="str">
        <f ca="1">IFERROR(__xludf.DUMMYFUNCTION("unique(filter(R:R,R:R=I860))"),"Rajam (Sc)")</f>
        <v>Rajam (Sc)</v>
      </c>
      <c r="U860" s="138" t="s">
        <v>9297</v>
      </c>
      <c r="V860" s="138" t="s">
        <v>9684</v>
      </c>
      <c r="W860" s="138" t="str">
        <f ca="1">IFERROR(__xludf.DUMMYFUNCTION("filter(H:H,I:I=U860,J:J=V860)"),"Vizianagaram")</f>
        <v>Vizianagaram</v>
      </c>
    </row>
    <row r="861" spans="7:23">
      <c r="G861" s="138" t="s">
        <v>9258</v>
      </c>
      <c r="H861" s="138" t="s">
        <v>9479</v>
      </c>
      <c r="I861" s="138" t="s">
        <v>9297</v>
      </c>
      <c r="J861" s="138" t="s">
        <v>9686</v>
      </c>
      <c r="K861" s="138" t="str">
        <f ca="1">IFERROR(__xludf.DUMMYFUNCTION("unique(filter(R:R,R:R=I861))"),"Rajam (Sc)")</f>
        <v>Rajam (Sc)</v>
      </c>
      <c r="U861" s="138" t="s">
        <v>9297</v>
      </c>
      <c r="V861" s="138" t="s">
        <v>9685</v>
      </c>
      <c r="W861" s="138" t="str">
        <f ca="1">IFERROR(__xludf.DUMMYFUNCTION("filter(H:H,I:I=U861,J:J=V861)"),"Vizianagaram")</f>
        <v>Vizianagaram</v>
      </c>
    </row>
    <row r="862" spans="7:23">
      <c r="G862" s="138" t="s">
        <v>9258</v>
      </c>
      <c r="H862" s="138" t="s">
        <v>9258</v>
      </c>
      <c r="I862" s="138" t="s">
        <v>9266</v>
      </c>
      <c r="J862" s="138" t="s">
        <v>9687</v>
      </c>
      <c r="K862" s="138" t="str">
        <f ca="1">IFERROR(__xludf.DUMMYFUNCTION("unique(filter(R:R,R:R=I862))"),"Narasannapeta")</f>
        <v>Narasannapeta</v>
      </c>
      <c r="U862" s="138" t="s">
        <v>9297</v>
      </c>
      <c r="V862" s="138" t="s">
        <v>9686</v>
      </c>
      <c r="W862" s="138" t="str">
        <f ca="1">IFERROR(__xludf.DUMMYFUNCTION("filter(H:H,I:I=U862,J:J=V862)"),"Vizianagaram")</f>
        <v>Vizianagaram</v>
      </c>
    </row>
    <row r="863" spans="7:23">
      <c r="G863" s="138" t="s">
        <v>9258</v>
      </c>
      <c r="H863" s="138" t="s">
        <v>9258</v>
      </c>
      <c r="I863" s="138" t="s">
        <v>9266</v>
      </c>
      <c r="J863" s="138" t="s">
        <v>9688</v>
      </c>
      <c r="K863" s="138" t="str">
        <f ca="1">IFERROR(__xludf.DUMMYFUNCTION("unique(filter(R:R,R:R=I863))"),"Narasannapeta")</f>
        <v>Narasannapeta</v>
      </c>
      <c r="U863" s="138" t="s">
        <v>9266</v>
      </c>
      <c r="V863" s="138" t="s">
        <v>9687</v>
      </c>
      <c r="W863" s="138" t="str">
        <f ca="1">IFERROR(__xludf.DUMMYFUNCTION("filter(H:H,I:I=U863,J:J=V863)"),"Srikakulam")</f>
        <v>Srikakulam</v>
      </c>
    </row>
    <row r="864" spans="7:23">
      <c r="G864" s="138" t="s">
        <v>9258</v>
      </c>
      <c r="H864" s="138" t="s">
        <v>9258</v>
      </c>
      <c r="I864" s="138" t="s">
        <v>9266</v>
      </c>
      <c r="J864" s="138" t="s">
        <v>9266</v>
      </c>
      <c r="K864" s="138" t="str">
        <f ca="1">IFERROR(__xludf.DUMMYFUNCTION("unique(filter(R:R,R:R=I864))"),"Narasannapeta")</f>
        <v>Narasannapeta</v>
      </c>
      <c r="U864" s="138" t="s">
        <v>9266</v>
      </c>
      <c r="V864" s="138" t="s">
        <v>9688</v>
      </c>
      <c r="W864" s="138" t="str">
        <f ca="1">IFERROR(__xludf.DUMMYFUNCTION("filter(H:H,I:I=U864,J:J=V864)"),"Srikakulam")</f>
        <v>Srikakulam</v>
      </c>
    </row>
    <row r="865" spans="7:23">
      <c r="G865" s="138" t="s">
        <v>9258</v>
      </c>
      <c r="H865" s="138" t="s">
        <v>9258</v>
      </c>
      <c r="I865" s="138" t="s">
        <v>9266</v>
      </c>
      <c r="J865" s="138" t="s">
        <v>9689</v>
      </c>
      <c r="K865" s="138" t="str">
        <f ca="1">IFERROR(__xludf.DUMMYFUNCTION("unique(filter(R:R,R:R=I865))"),"Narasannapeta")</f>
        <v>Narasannapeta</v>
      </c>
      <c r="U865" s="138" t="s">
        <v>9266</v>
      </c>
      <c r="V865" s="138" t="s">
        <v>9266</v>
      </c>
      <c r="W865" s="138" t="str">
        <f ca="1">IFERROR(__xludf.DUMMYFUNCTION("filter(H:H,I:I=U865,J:J=V865)"),"Srikakulam")</f>
        <v>Srikakulam</v>
      </c>
    </row>
    <row r="866" spans="7:23">
      <c r="G866" s="138" t="s">
        <v>9258</v>
      </c>
      <c r="H866" s="138" t="s">
        <v>9258</v>
      </c>
      <c r="I866" s="138" t="s">
        <v>9253</v>
      </c>
      <c r="J866" s="138" t="s">
        <v>9690</v>
      </c>
      <c r="K866" s="138" t="str">
        <f ca="1">IFERROR(__xludf.DUMMYFUNCTION("unique(filter(R:R,R:R=I866))"),"Etcherla")</f>
        <v>Etcherla</v>
      </c>
      <c r="U866" s="138" t="s">
        <v>9266</v>
      </c>
      <c r="V866" s="138" t="s">
        <v>9689</v>
      </c>
      <c r="W866" s="138" t="str">
        <f ca="1">IFERROR(__xludf.DUMMYFUNCTION("filter(H:H,I:I=U866,J:J=V866)"),"Srikakulam")</f>
        <v>Srikakulam</v>
      </c>
    </row>
    <row r="867" spans="7:23">
      <c r="G867" s="138" t="s">
        <v>9258</v>
      </c>
      <c r="H867" s="138" t="s">
        <v>9258</v>
      </c>
      <c r="I867" s="138" t="s">
        <v>9253</v>
      </c>
      <c r="J867" s="138" t="s">
        <v>9691</v>
      </c>
      <c r="K867" s="138" t="str">
        <f ca="1">IFERROR(__xludf.DUMMYFUNCTION("unique(filter(R:R,R:R=I867))"),"Etcherla")</f>
        <v>Etcherla</v>
      </c>
      <c r="U867" s="138" t="s">
        <v>9253</v>
      </c>
      <c r="V867" s="138" t="s">
        <v>9690</v>
      </c>
      <c r="W867" s="138" t="str">
        <f ca="1">IFERROR(__xludf.DUMMYFUNCTION("filter(H:H,I:I=U867,J:J=V867)"),"Srikakulam")</f>
        <v>Srikakulam</v>
      </c>
    </row>
    <row r="868" spans="7:23">
      <c r="G868" s="138" t="s">
        <v>9258</v>
      </c>
      <c r="H868" s="138" t="s">
        <v>9258</v>
      </c>
      <c r="I868" s="138" t="s">
        <v>9253</v>
      </c>
      <c r="J868" s="138" t="s">
        <v>9692</v>
      </c>
      <c r="K868" s="138" t="str">
        <f ca="1">IFERROR(__xludf.DUMMYFUNCTION("unique(filter(R:R,R:R=I868))"),"Etcherla")</f>
        <v>Etcherla</v>
      </c>
      <c r="U868" s="138" t="s">
        <v>9253</v>
      </c>
      <c r="V868" s="138" t="s">
        <v>9691</v>
      </c>
      <c r="W868" s="138" t="str">
        <f ca="1">IFERROR(__xludf.DUMMYFUNCTION("filter(H:H,I:I=U868,J:J=V868)"),"Srikakulam")</f>
        <v>Srikakulam</v>
      </c>
    </row>
    <row r="869" spans="7:23">
      <c r="G869" s="138" t="s">
        <v>9258</v>
      </c>
      <c r="H869" s="138" t="s">
        <v>9258</v>
      </c>
      <c r="I869" s="138" t="s">
        <v>9253</v>
      </c>
      <c r="J869" s="138" t="s">
        <v>9253</v>
      </c>
      <c r="K869" s="138" t="str">
        <f ca="1">IFERROR(__xludf.DUMMYFUNCTION("unique(filter(R:R,R:R=I869))"),"Etcherla")</f>
        <v>Etcherla</v>
      </c>
      <c r="U869" s="138" t="s">
        <v>9253</v>
      </c>
      <c r="V869" s="138" t="s">
        <v>9692</v>
      </c>
      <c r="W869" s="138" t="str">
        <f ca="1">IFERROR(__xludf.DUMMYFUNCTION("filter(H:H,I:I=U869,J:J=V869)"),"Srikakulam")</f>
        <v>Srikakulam</v>
      </c>
    </row>
    <row r="870" spans="7:23">
      <c r="G870" s="138" t="s">
        <v>9258</v>
      </c>
      <c r="H870" s="138" t="s">
        <v>9258</v>
      </c>
      <c r="I870" s="138" t="s">
        <v>9247</v>
      </c>
      <c r="J870" s="138" t="s">
        <v>9247</v>
      </c>
      <c r="K870" s="138" t="str">
        <f ca="1">IFERROR(__xludf.DUMMYFUNCTION("unique(filter(R:R,R:R=I870))"),"Amadalavalasa")</f>
        <v>Amadalavalasa</v>
      </c>
      <c r="U870" s="138" t="s">
        <v>9253</v>
      </c>
      <c r="V870" s="138" t="s">
        <v>9253</v>
      </c>
      <c r="W870" s="138" t="str">
        <f ca="1">IFERROR(__xludf.DUMMYFUNCTION("filter(H:H,I:I=U870,J:J=V870)"),"Srikakulam")</f>
        <v>Srikakulam</v>
      </c>
    </row>
    <row r="871" spans="7:23">
      <c r="G871" s="138" t="s">
        <v>9258</v>
      </c>
      <c r="H871" s="138" t="s">
        <v>9258</v>
      </c>
      <c r="I871" s="138" t="s">
        <v>9247</v>
      </c>
      <c r="J871" s="138" t="s">
        <v>9693</v>
      </c>
      <c r="K871" s="138" t="str">
        <f ca="1">IFERROR(__xludf.DUMMYFUNCTION("unique(filter(R:R,R:R=I871))"),"Amadalavalasa")</f>
        <v>Amadalavalasa</v>
      </c>
      <c r="U871" s="138" t="s">
        <v>9247</v>
      </c>
      <c r="V871" s="138" t="s">
        <v>9247</v>
      </c>
      <c r="W871" s="138" t="str">
        <f ca="1">IFERROR(__xludf.DUMMYFUNCTION("filter(H:H,I:I=U871,J:J=V871)"),"Srikakulam")</f>
        <v>Srikakulam</v>
      </c>
    </row>
    <row r="872" spans="7:23">
      <c r="G872" s="138" t="s">
        <v>9258</v>
      </c>
      <c r="H872" s="138" t="s">
        <v>9258</v>
      </c>
      <c r="I872" s="138" t="s">
        <v>9247</v>
      </c>
      <c r="J872" s="138" t="s">
        <v>9694</v>
      </c>
      <c r="K872" s="138" t="str">
        <f ca="1">IFERROR(__xludf.DUMMYFUNCTION("unique(filter(R:R,R:R=I872))"),"Amadalavalasa")</f>
        <v>Amadalavalasa</v>
      </c>
      <c r="U872" s="138" t="s">
        <v>9247</v>
      </c>
      <c r="V872" s="138" t="s">
        <v>9693</v>
      </c>
      <c r="W872" s="138" t="str">
        <f ca="1">IFERROR(__xludf.DUMMYFUNCTION("filter(H:H,I:I=U872,J:J=V872)"),"Srikakulam")</f>
        <v>Srikakulam</v>
      </c>
    </row>
    <row r="873" spans="7:23">
      <c r="G873" s="138" t="s">
        <v>9258</v>
      </c>
      <c r="H873" s="138" t="s">
        <v>9258</v>
      </c>
      <c r="I873" s="138" t="s">
        <v>9247</v>
      </c>
      <c r="J873" s="138" t="s">
        <v>9695</v>
      </c>
      <c r="K873" s="138" t="str">
        <f ca="1">IFERROR(__xludf.DUMMYFUNCTION("unique(filter(R:R,R:R=I873))"),"Amadalavalasa")</f>
        <v>Amadalavalasa</v>
      </c>
      <c r="U873" s="138" t="s">
        <v>9247</v>
      </c>
      <c r="V873" s="138" t="s">
        <v>9694</v>
      </c>
      <c r="W873" s="138" t="str">
        <f ca="1">IFERROR(__xludf.DUMMYFUNCTION("filter(H:H,I:I=U873,J:J=V873)"),"Srikakulam")</f>
        <v>Srikakulam</v>
      </c>
    </row>
    <row r="874" spans="7:23">
      <c r="G874" s="138" t="s">
        <v>9258</v>
      </c>
      <c r="H874" s="138" t="s">
        <v>9258</v>
      </c>
      <c r="I874" s="138" t="s">
        <v>9247</v>
      </c>
      <c r="J874" s="138" t="s">
        <v>9696</v>
      </c>
      <c r="K874" s="138" t="str">
        <f ca="1">IFERROR(__xludf.DUMMYFUNCTION("unique(filter(R:R,R:R=I874))"),"Amadalavalasa")</f>
        <v>Amadalavalasa</v>
      </c>
      <c r="U874" s="138" t="s">
        <v>9247</v>
      </c>
      <c r="V874" s="138" t="s">
        <v>9695</v>
      </c>
      <c r="W874" s="138" t="str">
        <f ca="1">IFERROR(__xludf.DUMMYFUNCTION("filter(H:H,I:I=U874,J:J=V874)"),"Srikakulam")</f>
        <v>Srikakulam</v>
      </c>
    </row>
    <row r="875" spans="7:23">
      <c r="G875" s="138" t="s">
        <v>9258</v>
      </c>
      <c r="H875" s="138" t="s">
        <v>9258</v>
      </c>
      <c r="I875" s="138" t="s">
        <v>9258</v>
      </c>
      <c r="J875" s="138" t="s">
        <v>9697</v>
      </c>
      <c r="K875" s="138" t="str">
        <f ca="1">IFERROR(__xludf.DUMMYFUNCTION("unique(filter(R:R,R:R=I875))"),"Srikakulam")</f>
        <v>Srikakulam</v>
      </c>
      <c r="U875" s="138" t="s">
        <v>9247</v>
      </c>
      <c r="V875" s="138" t="s">
        <v>9696</v>
      </c>
      <c r="W875" s="138" t="str">
        <f ca="1">IFERROR(__xludf.DUMMYFUNCTION("filter(H:H,I:I=U875,J:J=V875)"),"Srikakulam")</f>
        <v>Srikakulam</v>
      </c>
    </row>
    <row r="876" spans="7:23">
      <c r="G876" s="138" t="s">
        <v>9258</v>
      </c>
      <c r="H876" s="138" t="s">
        <v>9258</v>
      </c>
      <c r="I876" s="138" t="s">
        <v>9258</v>
      </c>
      <c r="J876" s="138" t="s">
        <v>9698</v>
      </c>
      <c r="K876" s="138" t="str">
        <f ca="1">IFERROR(__xludf.DUMMYFUNCTION("unique(filter(R:R,R:R=I876))"),"Srikakulam")</f>
        <v>Srikakulam</v>
      </c>
      <c r="U876" s="138" t="s">
        <v>9258</v>
      </c>
      <c r="V876" s="138" t="s">
        <v>9697</v>
      </c>
      <c r="W876" s="138" t="str">
        <f ca="1">IFERROR(__xludf.DUMMYFUNCTION("filter(H:H,I:I=U876,J:J=V876)"),"Srikakulam")</f>
        <v>Srikakulam</v>
      </c>
    </row>
    <row r="877" spans="7:23">
      <c r="G877" s="138" t="s">
        <v>9258</v>
      </c>
      <c r="H877" s="138" t="s">
        <v>9258</v>
      </c>
      <c r="I877" s="138" t="s">
        <v>9258</v>
      </c>
      <c r="J877" s="138" t="s">
        <v>9258</v>
      </c>
      <c r="K877" s="138" t="str">
        <f ca="1">IFERROR(__xludf.DUMMYFUNCTION("unique(filter(R:R,R:R=I877))"),"Srikakulam")</f>
        <v>Srikakulam</v>
      </c>
      <c r="U877" s="138" t="s">
        <v>9258</v>
      </c>
      <c r="V877" s="138" t="s">
        <v>9698</v>
      </c>
      <c r="W877" s="138" t="str">
        <f ca="1">IFERROR(__xludf.DUMMYFUNCTION("filter(H:H,I:I=U877,J:J=V877)"),"Srikakulam")</f>
        <v>Srikakulam</v>
      </c>
    </row>
    <row r="878" spans="7:23">
      <c r="G878" s="138" t="s">
        <v>9258</v>
      </c>
      <c r="H878" s="138" t="s">
        <v>9258</v>
      </c>
      <c r="I878" s="138" t="s">
        <v>9272</v>
      </c>
      <c r="J878" s="138" t="s">
        <v>9699</v>
      </c>
      <c r="K878" s="138" t="str">
        <f ca="1">IFERROR(__xludf.DUMMYFUNCTION("unique(filter(R:R,R:R=I878))"),"Tekkali")</f>
        <v>Tekkali</v>
      </c>
      <c r="U878" s="138" t="s">
        <v>9258</v>
      </c>
      <c r="V878" s="138" t="s">
        <v>9258</v>
      </c>
      <c r="W878" s="138" t="str">
        <f ca="1">IFERROR(__xludf.DUMMYFUNCTION("filter(H:H,I:I=U878,J:J=V878)"),"Srikakulam")</f>
        <v>Srikakulam</v>
      </c>
    </row>
    <row r="879" spans="7:23">
      <c r="G879" s="138" t="s">
        <v>9258</v>
      </c>
      <c r="H879" s="138" t="s">
        <v>9258</v>
      </c>
      <c r="I879" s="138" t="s">
        <v>9272</v>
      </c>
      <c r="J879" s="138" t="s">
        <v>9272</v>
      </c>
      <c r="K879" s="138" t="str">
        <f ca="1">IFERROR(__xludf.DUMMYFUNCTION("unique(filter(R:R,R:R=I879))"),"Tekkali")</f>
        <v>Tekkali</v>
      </c>
      <c r="U879" s="138" t="s">
        <v>9272</v>
      </c>
      <c r="V879" s="138" t="s">
        <v>9699</v>
      </c>
      <c r="W879" s="138" t="str">
        <f ca="1">IFERROR(__xludf.DUMMYFUNCTION("filter(H:H,I:I=U879,J:J=V879)"),"Srikakulam")</f>
        <v>Srikakulam</v>
      </c>
    </row>
    <row r="880" spans="7:23">
      <c r="G880" s="138" t="s">
        <v>9258</v>
      </c>
      <c r="H880" s="138" t="s">
        <v>9258</v>
      </c>
      <c r="I880" s="138" t="s">
        <v>9272</v>
      </c>
      <c r="J880" s="138" t="s">
        <v>9700</v>
      </c>
      <c r="K880" s="138" t="str">
        <f ca="1">IFERROR(__xludf.DUMMYFUNCTION("unique(filter(R:R,R:R=I880))"),"Tekkali")</f>
        <v>Tekkali</v>
      </c>
      <c r="U880" s="138" t="s">
        <v>9272</v>
      </c>
      <c r="V880" s="138" t="s">
        <v>9272</v>
      </c>
      <c r="W880" s="138" t="str">
        <f ca="1">IFERROR(__xludf.DUMMYFUNCTION("filter(H:H,I:I=U880,J:J=V880)"),"Srikakulam")</f>
        <v>Srikakulam</v>
      </c>
    </row>
    <row r="881" spans="7:23">
      <c r="G881" s="138" t="s">
        <v>9258</v>
      </c>
      <c r="H881" s="138" t="s">
        <v>9258</v>
      </c>
      <c r="I881" s="138" t="s">
        <v>9272</v>
      </c>
      <c r="J881" s="138" t="s">
        <v>9701</v>
      </c>
      <c r="K881" s="138" t="str">
        <f ca="1">IFERROR(__xludf.DUMMYFUNCTION("unique(filter(R:R,R:R=I881))"),"Tekkali")</f>
        <v>Tekkali</v>
      </c>
      <c r="U881" s="138" t="s">
        <v>9272</v>
      </c>
      <c r="V881" s="138" t="s">
        <v>9700</v>
      </c>
      <c r="W881" s="138" t="str">
        <f ca="1">IFERROR(__xludf.DUMMYFUNCTION("filter(H:H,I:I=U881,J:J=V881)"),"Srikakulam")</f>
        <v>Srikakulam</v>
      </c>
    </row>
    <row r="882" spans="7:23">
      <c r="G882" s="138" t="s">
        <v>9258</v>
      </c>
      <c r="H882" s="138" t="s">
        <v>9258</v>
      </c>
      <c r="I882" s="138" t="s">
        <v>9280</v>
      </c>
      <c r="J882" s="138" t="s">
        <v>9702</v>
      </c>
      <c r="K882" s="138" t="str">
        <f ca="1">IFERROR(__xludf.DUMMYFUNCTION("unique(filter(R:R,R:R=I882))"),"Palasa")</f>
        <v>Palasa</v>
      </c>
      <c r="U882" s="138" t="s">
        <v>9272</v>
      </c>
      <c r="V882" s="138" t="s">
        <v>9701</v>
      </c>
      <c r="W882" s="138" t="str">
        <f ca="1">IFERROR(__xludf.DUMMYFUNCTION("filter(H:H,I:I=U882,J:J=V882)"),"Srikakulam")</f>
        <v>Srikakulam</v>
      </c>
    </row>
    <row r="883" spans="7:23">
      <c r="G883" s="138" t="s">
        <v>9258</v>
      </c>
      <c r="H883" s="138" t="s">
        <v>9258</v>
      </c>
      <c r="I883" s="138" t="s">
        <v>9280</v>
      </c>
      <c r="J883" s="138" t="s">
        <v>9703</v>
      </c>
      <c r="K883" s="138" t="str">
        <f ca="1">IFERROR(__xludf.DUMMYFUNCTION("unique(filter(R:R,R:R=I883))"),"Palasa")</f>
        <v>Palasa</v>
      </c>
      <c r="U883" s="138" t="s">
        <v>9280</v>
      </c>
      <c r="V883" s="138" t="s">
        <v>9702</v>
      </c>
      <c r="W883" s="138" t="str">
        <f ca="1">IFERROR(__xludf.DUMMYFUNCTION("filter(H:H,I:I=U883,J:J=V883)"),"Srikakulam")</f>
        <v>Srikakulam</v>
      </c>
    </row>
    <row r="884" spans="7:23">
      <c r="G884" s="138" t="s">
        <v>9258</v>
      </c>
      <c r="H884" s="138" t="s">
        <v>9258</v>
      </c>
      <c r="I884" s="138" t="s">
        <v>9280</v>
      </c>
      <c r="J884" s="138" t="s">
        <v>9280</v>
      </c>
      <c r="K884" s="138" t="str">
        <f ca="1">IFERROR(__xludf.DUMMYFUNCTION("unique(filter(R:R,R:R=I884))"),"Palasa")</f>
        <v>Palasa</v>
      </c>
      <c r="U884" s="138" t="s">
        <v>9280</v>
      </c>
      <c r="V884" s="138" t="s">
        <v>9703</v>
      </c>
      <c r="W884" s="138" t="str">
        <f ca="1">IFERROR(__xludf.DUMMYFUNCTION("filter(H:H,I:I=U884,J:J=V884)"),"Srikakulam")</f>
        <v>Srikakulam</v>
      </c>
    </row>
    <row r="885" spans="7:23">
      <c r="G885" s="138" t="s">
        <v>9258</v>
      </c>
      <c r="H885" s="138" t="s">
        <v>9258</v>
      </c>
      <c r="I885" s="138" t="s">
        <v>9280</v>
      </c>
      <c r="J885" s="138" t="s">
        <v>9704</v>
      </c>
      <c r="K885" s="138" t="str">
        <f ca="1">IFERROR(__xludf.DUMMYFUNCTION("unique(filter(R:R,R:R=I885))"),"Palasa")</f>
        <v>Palasa</v>
      </c>
      <c r="U885" s="138" t="s">
        <v>9280</v>
      </c>
      <c r="V885" s="138" t="s">
        <v>9280</v>
      </c>
      <c r="W885" s="138" t="str">
        <f ca="1">IFERROR(__xludf.DUMMYFUNCTION("filter(H:H,I:I=U885,J:J=V885)"),"Srikakulam")</f>
        <v>Srikakulam</v>
      </c>
    </row>
    <row r="886" spans="7:23">
      <c r="G886" s="138" t="e">
        <v>#N/A</v>
      </c>
      <c r="H886" s="138" t="e">
        <v>#N/A</v>
      </c>
      <c r="I886" s="138" t="s">
        <v>9280</v>
      </c>
      <c r="J886" s="138" t="e">
        <v>#N/A</v>
      </c>
      <c r="K886" s="138" t="str">
        <f ca="1">IFERROR(__xludf.DUMMYFUNCTION("unique(filter(R:R,R:R=I886))"),"Palasa")</f>
        <v>Palasa</v>
      </c>
      <c r="U886" s="138" t="s">
        <v>9280</v>
      </c>
      <c r="V886" s="138" t="s">
        <v>9704</v>
      </c>
      <c r="W886" s="138" t="str">
        <f ca="1">IFERROR(__xludf.DUMMYFUNCTION("filter(H:H,I:I=U886,J:J=V886)"),"Srikakulam")</f>
        <v>Srikakulam</v>
      </c>
    </row>
    <row r="887" spans="7:23">
      <c r="G887" s="138" t="s">
        <v>9258</v>
      </c>
      <c r="H887" s="138" t="s">
        <v>9258</v>
      </c>
      <c r="I887" s="138" t="s">
        <v>9263</v>
      </c>
      <c r="J887" s="138" t="s">
        <v>9263</v>
      </c>
      <c r="K887" s="138" t="str">
        <f ca="1">IFERROR(__xludf.DUMMYFUNCTION("unique(filter(R:R,R:R=I887))"),"Ichchapuram")</f>
        <v>Ichchapuram</v>
      </c>
    </row>
    <row r="888" spans="7:23">
      <c r="G888" s="138" t="s">
        <v>9258</v>
      </c>
      <c r="H888" s="138" t="s">
        <v>9258</v>
      </c>
      <c r="I888" s="138" t="s">
        <v>9263</v>
      </c>
      <c r="J888" s="138" t="s">
        <v>9705</v>
      </c>
      <c r="K888" s="138" t="str">
        <f ca="1">IFERROR(__xludf.DUMMYFUNCTION("unique(filter(R:R,R:R=I888))"),"Ichchapuram")</f>
        <v>Ichchapuram</v>
      </c>
      <c r="U888" s="138" t="s">
        <v>9263</v>
      </c>
      <c r="V888" s="138" t="s">
        <v>9263</v>
      </c>
      <c r="W888" s="138" t="str">
        <f ca="1">IFERROR(__xludf.DUMMYFUNCTION("filter(H:H,I:I=U888,J:J=V888)"),"Srikakulam")</f>
        <v>Srikakulam</v>
      </c>
    </row>
    <row r="889" spans="7:23">
      <c r="G889" s="138" t="s">
        <v>9258</v>
      </c>
      <c r="H889" s="138" t="s">
        <v>9258</v>
      </c>
      <c r="I889" s="138" t="s">
        <v>9263</v>
      </c>
      <c r="J889" s="138" t="s">
        <v>9706</v>
      </c>
      <c r="K889" s="138" t="str">
        <f ca="1">IFERROR(__xludf.DUMMYFUNCTION("unique(filter(R:R,R:R=I889))"),"Ichchapuram")</f>
        <v>Ichchapuram</v>
      </c>
      <c r="U889" s="138" t="s">
        <v>9263</v>
      </c>
      <c r="V889" s="138" t="s">
        <v>9705</v>
      </c>
      <c r="W889" s="138" t="str">
        <f ca="1">IFERROR(__xludf.DUMMYFUNCTION("filter(H:H,I:I=U889,J:J=V889)"),"Srikakulam")</f>
        <v>Srikakulam</v>
      </c>
    </row>
    <row r="890" spans="7:23">
      <c r="G890" s="138" t="s">
        <v>9258</v>
      </c>
      <c r="H890" s="138" t="s">
        <v>9258</v>
      </c>
      <c r="I890" s="138" t="s">
        <v>9263</v>
      </c>
      <c r="J890" s="138" t="s">
        <v>9707</v>
      </c>
      <c r="K890" s="138" t="str">
        <f ca="1">IFERROR(__xludf.DUMMYFUNCTION("unique(filter(R:R,R:R=I890))"),"Ichchapuram")</f>
        <v>Ichchapuram</v>
      </c>
      <c r="U890" s="138" t="s">
        <v>9263</v>
      </c>
      <c r="V890" s="138" t="s">
        <v>9706</v>
      </c>
      <c r="W890" s="138" t="str">
        <f ca="1">IFERROR(__xludf.DUMMYFUNCTION("filter(H:H,I:I=U890,J:J=V890)"),"Srikakulam")</f>
        <v>Srikakulam</v>
      </c>
    </row>
    <row r="891" spans="7:23">
      <c r="G891" s="138" t="s">
        <v>9258</v>
      </c>
      <c r="H891" s="138" t="s">
        <v>9258</v>
      </c>
      <c r="I891" s="138" t="s">
        <v>9263</v>
      </c>
      <c r="J891" s="138" t="s">
        <v>9708</v>
      </c>
      <c r="K891" s="138" t="str">
        <f ca="1">IFERROR(__xludf.DUMMYFUNCTION("unique(filter(R:R,R:R=I891))"),"Ichchapuram")</f>
        <v>Ichchapuram</v>
      </c>
      <c r="U891" s="138" t="s">
        <v>9263</v>
      </c>
      <c r="V891" s="138" t="s">
        <v>9707</v>
      </c>
      <c r="W891" s="138" t="str">
        <f ca="1">IFERROR(__xludf.DUMMYFUNCTION("filter(H:H,I:I=U891,J:J=V891)"),"Srikakulam")</f>
        <v>Srikakulam</v>
      </c>
    </row>
    <row r="892" spans="7:23">
      <c r="G892" s="138" t="e">
        <v>#N/A</v>
      </c>
      <c r="H892" s="138" t="e">
        <v>#N/A</v>
      </c>
      <c r="I892" s="138" t="s">
        <v>9263</v>
      </c>
      <c r="J892" s="138" t="e">
        <v>#N/A</v>
      </c>
      <c r="K892" s="138" t="str">
        <f ca="1">IFERROR(__xludf.DUMMYFUNCTION("unique(filter(R:R,R:R=I892))"),"Ichchapuram")</f>
        <v>Ichchapuram</v>
      </c>
      <c r="U892" s="138" t="s">
        <v>9263</v>
      </c>
      <c r="V892" s="138" t="s">
        <v>9708</v>
      </c>
      <c r="W892" s="138" t="str">
        <f ca="1">IFERROR(__xludf.DUMMYFUNCTION("filter(H:H,I:I=U892,J:J=V892)"),"Srikakulam")</f>
        <v>Srikakulam</v>
      </c>
    </row>
    <row r="893" spans="7:23">
      <c r="G893" s="138" t="s">
        <v>3442</v>
      </c>
      <c r="H893" s="138" t="s">
        <v>3442</v>
      </c>
      <c r="I893" s="138" t="s">
        <v>358</v>
      </c>
      <c r="J893" s="138" t="s">
        <v>9709</v>
      </c>
      <c r="K893" s="138" t="str">
        <f ca="1">IFERROR(__xludf.DUMMYFUNCTION("unique(filter(R:R,R:R=I893))"),"Gudivada")</f>
        <v>Gudivada</v>
      </c>
    </row>
    <row r="894" spans="7:23">
      <c r="G894" s="138" t="s">
        <v>3442</v>
      </c>
      <c r="H894" s="138" t="s">
        <v>3442</v>
      </c>
      <c r="I894" s="138" t="s">
        <v>358</v>
      </c>
      <c r="J894" s="138" t="s">
        <v>9710</v>
      </c>
      <c r="K894" s="138" t="str">
        <f ca="1">IFERROR(__xludf.DUMMYFUNCTION("unique(filter(R:R,R:R=I894))"),"Gudivada")</f>
        <v>Gudivada</v>
      </c>
      <c r="U894" s="138" t="s">
        <v>358</v>
      </c>
      <c r="V894" s="138" t="s">
        <v>9709</v>
      </c>
      <c r="W894" s="138" t="str">
        <f ca="1">IFERROR(__xludf.DUMMYFUNCTION("filter(H:H,I:I=U894,J:J=V894)"),"Krishna")</f>
        <v>Krishna</v>
      </c>
    </row>
    <row r="895" spans="7:23">
      <c r="G895" s="138" t="s">
        <v>3442</v>
      </c>
      <c r="H895" s="138" t="s">
        <v>3442</v>
      </c>
      <c r="I895" s="138" t="s">
        <v>358</v>
      </c>
      <c r="J895" s="138" t="s">
        <v>358</v>
      </c>
      <c r="K895" s="138" t="str">
        <f ca="1">IFERROR(__xludf.DUMMYFUNCTION("unique(filter(R:R,R:R=I895))"),"Gudivada")</f>
        <v>Gudivada</v>
      </c>
      <c r="U895" s="138" t="s">
        <v>358</v>
      </c>
      <c r="V895" s="138" t="s">
        <v>9710</v>
      </c>
      <c r="W895" s="138" t="str">
        <f ca="1">IFERROR(__xludf.DUMMYFUNCTION("filter(H:H,I:I=U895,J:J=V895)"),"Krishna")</f>
        <v>Krishna</v>
      </c>
    </row>
    <row r="896" spans="7:23">
      <c r="G896" s="138" t="s">
        <v>3442</v>
      </c>
      <c r="H896" s="138" t="s">
        <v>3442</v>
      </c>
      <c r="I896" s="138" t="s">
        <v>358</v>
      </c>
      <c r="J896" s="138" t="s">
        <v>9711</v>
      </c>
      <c r="K896" s="138" t="str">
        <f ca="1">IFERROR(__xludf.DUMMYFUNCTION("unique(filter(R:R,R:R=I896))"),"Gudivada")</f>
        <v>Gudivada</v>
      </c>
      <c r="U896" s="138" t="s">
        <v>358</v>
      </c>
      <c r="V896" s="138" t="s">
        <v>358</v>
      </c>
      <c r="W896" s="138" t="str">
        <f ca="1">IFERROR(__xludf.DUMMYFUNCTION("filter(H:H,I:I=U896,J:J=V896)"),"Krishna")</f>
        <v>Krishna</v>
      </c>
    </row>
    <row r="897" spans="7:23">
      <c r="G897" s="138" t="s">
        <v>3442</v>
      </c>
      <c r="H897" s="138" t="s">
        <v>3442</v>
      </c>
      <c r="I897" s="138" t="s">
        <v>358</v>
      </c>
      <c r="J897" s="138" t="s">
        <v>8854</v>
      </c>
      <c r="K897" s="138" t="str">
        <f ca="1">IFERROR(__xludf.DUMMYFUNCTION("unique(filter(R:R,R:R=I897))"),"Gudivada")</f>
        <v>Gudivada</v>
      </c>
      <c r="U897" s="138" t="s">
        <v>358</v>
      </c>
      <c r="V897" s="138" t="s">
        <v>9711</v>
      </c>
      <c r="W897" s="138" t="str">
        <f ca="1">IFERROR(__xludf.DUMMYFUNCTION("filter(H:H,I:I=U897,J:J=V897)"),"Krishna")</f>
        <v>Krishna</v>
      </c>
    </row>
    <row r="898" spans="7:23">
      <c r="U898" s="138" t="s">
        <v>358</v>
      </c>
      <c r="V898" s="138" t="s">
        <v>8854</v>
      </c>
      <c r="W898" s="138" t="str">
        <f ca="1">IFERROR(__xludf.DUMMYFUNCTION("filter(H:H,I:I=U898,J:J=V898)"),"Krishna")</f>
        <v>Krishna</v>
      </c>
    </row>
  </sheetData>
  <autoFilter ref="A1:Z898"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897"/>
  <sheetViews>
    <sheetView workbookViewId="0"/>
  </sheetViews>
  <sheetFormatPr defaultColWidth="12.59765625" defaultRowHeight="15.75" customHeight="1"/>
  <sheetData>
    <row r="1" spans="1:13">
      <c r="A1" s="138" t="s">
        <v>8251</v>
      </c>
      <c r="B1" s="138" t="s">
        <v>8252</v>
      </c>
      <c r="C1" s="138" t="s">
        <v>8253</v>
      </c>
      <c r="D1" s="138" t="s">
        <v>8254</v>
      </c>
      <c r="G1" s="138" t="s">
        <v>8255</v>
      </c>
      <c r="H1" s="138" t="s">
        <v>8256</v>
      </c>
      <c r="I1" s="138" t="s">
        <v>8252</v>
      </c>
      <c r="J1" s="138" t="s">
        <v>0</v>
      </c>
    </row>
    <row r="2" spans="1:13">
      <c r="A2" s="138" t="s">
        <v>8258</v>
      </c>
      <c r="B2" s="138" t="s">
        <v>8258</v>
      </c>
      <c r="C2" s="138" t="s">
        <v>8259</v>
      </c>
      <c r="D2" s="138" t="s">
        <v>8260</v>
      </c>
      <c r="G2" s="138" t="s">
        <v>8261</v>
      </c>
      <c r="H2" s="138" t="s">
        <v>8262</v>
      </c>
      <c r="I2" s="138" t="s">
        <v>8444</v>
      </c>
      <c r="J2" s="138" t="s">
        <v>8263</v>
      </c>
      <c r="L2" s="138" t="e">
        <f t="array" aca="1" ref="L2:M39" ca="1">_xludf.unique(A:B)</f>
        <v>#NAME?</v>
      </c>
      <c r="M2" s="138" t="e">
        <f ca="1"/>
        <v>#NAME?</v>
      </c>
    </row>
    <row r="3" spans="1:13">
      <c r="A3" s="138" t="s">
        <v>8258</v>
      </c>
      <c r="B3" s="138" t="s">
        <v>8258</v>
      </c>
      <c r="C3" s="138" t="s">
        <v>8259</v>
      </c>
      <c r="D3" s="138" t="s">
        <v>8264</v>
      </c>
      <c r="G3" s="138" t="s">
        <v>8261</v>
      </c>
      <c r="H3" s="138" t="s">
        <v>8265</v>
      </c>
      <c r="I3" s="138" t="s">
        <v>8444</v>
      </c>
      <c r="J3" s="138" t="s">
        <v>8266</v>
      </c>
      <c r="L3" s="138" t="e">
        <f ca="1"/>
        <v>#NAME?</v>
      </c>
      <c r="M3" s="138" t="e">
        <f ca="1"/>
        <v>#NAME?</v>
      </c>
    </row>
    <row r="4" spans="1:13">
      <c r="A4" s="138" t="s">
        <v>8258</v>
      </c>
      <c r="B4" s="138" t="s">
        <v>8258</v>
      </c>
      <c r="C4" s="138" t="s">
        <v>8259</v>
      </c>
      <c r="D4" s="138" t="s">
        <v>8267</v>
      </c>
      <c r="G4" s="138" t="s">
        <v>8261</v>
      </c>
      <c r="H4" s="138" t="s">
        <v>8268</v>
      </c>
      <c r="I4" s="138" t="s">
        <v>8444</v>
      </c>
      <c r="J4" s="138" t="s">
        <v>8263</v>
      </c>
      <c r="L4" s="138" t="e">
        <f ca="1"/>
        <v>#NAME?</v>
      </c>
      <c r="M4" s="138" t="e">
        <f ca="1"/>
        <v>#NAME?</v>
      </c>
    </row>
    <row r="5" spans="1:13">
      <c r="A5" s="138" t="s">
        <v>8258</v>
      </c>
      <c r="B5" s="138" t="s">
        <v>8258</v>
      </c>
      <c r="C5" s="138" t="s">
        <v>8259</v>
      </c>
      <c r="D5" s="138" t="s">
        <v>8270</v>
      </c>
      <c r="G5" s="138" t="s">
        <v>8261</v>
      </c>
      <c r="H5" s="138" t="s">
        <v>8261</v>
      </c>
      <c r="I5" s="138" t="s">
        <v>8443</v>
      </c>
      <c r="J5" s="138" t="s">
        <v>8271</v>
      </c>
      <c r="L5" s="138" t="e">
        <f ca="1"/>
        <v>#NAME?</v>
      </c>
      <c r="M5" s="138" t="e">
        <f ca="1"/>
        <v>#NAME?</v>
      </c>
    </row>
    <row r="6" spans="1:13">
      <c r="A6" s="138" t="s">
        <v>8258</v>
      </c>
      <c r="B6" s="138" t="s">
        <v>8258</v>
      </c>
      <c r="C6" s="138" t="s">
        <v>8259</v>
      </c>
      <c r="D6" s="138" t="s">
        <v>8259</v>
      </c>
      <c r="G6" s="138" t="s">
        <v>8261</v>
      </c>
      <c r="H6" s="138" t="s">
        <v>8273</v>
      </c>
      <c r="I6" s="138" t="s">
        <v>8443</v>
      </c>
      <c r="J6" s="138" t="s">
        <v>8274</v>
      </c>
      <c r="L6" s="138" t="e">
        <f ca="1"/>
        <v>#NAME?</v>
      </c>
      <c r="M6" s="138" t="e">
        <f ca="1"/>
        <v>#NAME?</v>
      </c>
    </row>
    <row r="7" spans="1:13">
      <c r="A7" s="138" t="s">
        <v>8258</v>
      </c>
      <c r="B7" s="138" t="s">
        <v>8258</v>
      </c>
      <c r="C7" s="138" t="s">
        <v>8259</v>
      </c>
      <c r="D7" s="138" t="s">
        <v>8275</v>
      </c>
      <c r="G7" s="138" t="s">
        <v>8261</v>
      </c>
      <c r="H7" s="138" t="s">
        <v>8276</v>
      </c>
      <c r="I7" s="138" t="s">
        <v>8444</v>
      </c>
      <c r="J7" s="138" t="s">
        <v>550</v>
      </c>
      <c r="L7" s="138" t="e">
        <f ca="1"/>
        <v>#NAME?</v>
      </c>
      <c r="M7" s="138" t="e">
        <f ca="1"/>
        <v>#NAME?</v>
      </c>
    </row>
    <row r="8" spans="1:13">
      <c r="A8" s="138" t="s">
        <v>8258</v>
      </c>
      <c r="B8" s="138" t="s">
        <v>8258</v>
      </c>
      <c r="C8" s="138" t="s">
        <v>8277</v>
      </c>
      <c r="D8" s="138" t="s">
        <v>8278</v>
      </c>
      <c r="G8" s="138" t="s">
        <v>8261</v>
      </c>
      <c r="H8" s="138" t="s">
        <v>8279</v>
      </c>
      <c r="I8" s="138" t="s">
        <v>8443</v>
      </c>
      <c r="J8" s="138" t="s">
        <v>8280</v>
      </c>
      <c r="L8" s="138" t="e">
        <f ca="1"/>
        <v>#NAME?</v>
      </c>
      <c r="M8" s="138" t="e">
        <f ca="1"/>
        <v>#NAME?</v>
      </c>
    </row>
    <row r="9" spans="1:13">
      <c r="A9" s="138" t="s">
        <v>8258</v>
      </c>
      <c r="B9" s="138" t="s">
        <v>8258</v>
      </c>
      <c r="C9" s="138" t="s">
        <v>8277</v>
      </c>
      <c r="D9" s="138" t="s">
        <v>599</v>
      </c>
      <c r="G9" s="138" t="s">
        <v>8261</v>
      </c>
      <c r="H9" s="138" t="s">
        <v>8281</v>
      </c>
      <c r="I9" s="138" t="s">
        <v>8443</v>
      </c>
      <c r="J9" s="138" t="s">
        <v>8282</v>
      </c>
      <c r="L9" s="138" t="e">
        <f ca="1"/>
        <v>#NAME?</v>
      </c>
      <c r="M9" s="138" t="e">
        <f ca="1"/>
        <v>#NAME?</v>
      </c>
    </row>
    <row r="10" spans="1:13">
      <c r="A10" s="138" t="s">
        <v>8258</v>
      </c>
      <c r="B10" s="138" t="s">
        <v>8258</v>
      </c>
      <c r="C10" s="138" t="s">
        <v>8277</v>
      </c>
      <c r="D10" s="138" t="s">
        <v>8283</v>
      </c>
      <c r="G10" s="138" t="s">
        <v>8261</v>
      </c>
      <c r="H10" s="138" t="s">
        <v>8284</v>
      </c>
      <c r="I10" s="138" t="s">
        <v>8443</v>
      </c>
      <c r="J10" s="138" t="s">
        <v>8285</v>
      </c>
      <c r="L10" s="138" t="e">
        <f ca="1"/>
        <v>#NAME?</v>
      </c>
      <c r="M10" s="138" t="e">
        <f ca="1"/>
        <v>#NAME?</v>
      </c>
    </row>
    <row r="11" spans="1:13">
      <c r="A11" s="138" t="s">
        <v>8258</v>
      </c>
      <c r="B11" s="138" t="s">
        <v>8258</v>
      </c>
      <c r="C11" s="138" t="s">
        <v>8277</v>
      </c>
      <c r="D11" s="138" t="s">
        <v>8287</v>
      </c>
      <c r="G11" s="138" t="s">
        <v>8261</v>
      </c>
      <c r="H11" s="138" t="s">
        <v>8288</v>
      </c>
      <c r="I11" s="138" t="s">
        <v>8444</v>
      </c>
      <c r="J11" s="138" t="s">
        <v>8266</v>
      </c>
      <c r="L11" s="138" t="e">
        <f ca="1"/>
        <v>#NAME?</v>
      </c>
      <c r="M11" s="138" t="e">
        <f ca="1"/>
        <v>#NAME?</v>
      </c>
    </row>
    <row r="12" spans="1:13">
      <c r="A12" s="138" t="s">
        <v>8258</v>
      </c>
      <c r="B12" s="138" t="s">
        <v>8258</v>
      </c>
      <c r="C12" s="138" t="s">
        <v>8277</v>
      </c>
      <c r="D12" s="138" t="s">
        <v>8277</v>
      </c>
      <c r="G12" s="138" t="s">
        <v>8261</v>
      </c>
      <c r="H12" s="138" t="s">
        <v>8289</v>
      </c>
      <c r="I12" s="138" t="s">
        <v>8443</v>
      </c>
      <c r="J12" s="138" t="s">
        <v>8290</v>
      </c>
      <c r="L12" s="138" t="e">
        <f ca="1"/>
        <v>#NAME?</v>
      </c>
      <c r="M12" s="138" t="e">
        <f ca="1"/>
        <v>#NAME?</v>
      </c>
    </row>
    <row r="13" spans="1:13">
      <c r="A13" s="138" t="s">
        <v>8258</v>
      </c>
      <c r="B13" s="138" t="s">
        <v>8258</v>
      </c>
      <c r="C13" s="138" t="s">
        <v>8277</v>
      </c>
      <c r="D13" s="138" t="s">
        <v>8291</v>
      </c>
      <c r="G13" s="138" t="s">
        <v>8261</v>
      </c>
      <c r="H13" s="138" t="s">
        <v>8292</v>
      </c>
      <c r="I13" s="138" t="s">
        <v>8443</v>
      </c>
      <c r="J13" s="138" t="s">
        <v>8274</v>
      </c>
      <c r="L13" s="138" t="e">
        <f ca="1"/>
        <v>#NAME?</v>
      </c>
      <c r="M13" s="138" t="e">
        <f ca="1"/>
        <v>#NAME?</v>
      </c>
    </row>
    <row r="14" spans="1:13">
      <c r="A14" s="138" t="s">
        <v>8258</v>
      </c>
      <c r="B14" s="138" t="s">
        <v>8258</v>
      </c>
      <c r="C14" s="138" t="s">
        <v>8293</v>
      </c>
      <c r="D14" s="138" t="s">
        <v>8294</v>
      </c>
      <c r="G14" s="138" t="s">
        <v>8261</v>
      </c>
      <c r="H14" s="138" t="s">
        <v>8295</v>
      </c>
      <c r="I14" s="138" t="s">
        <v>8444</v>
      </c>
      <c r="J14" s="138" t="s">
        <v>8296</v>
      </c>
      <c r="L14" s="138" t="e">
        <f ca="1"/>
        <v>#NAME?</v>
      </c>
      <c r="M14" s="138" t="e">
        <f ca="1"/>
        <v>#NAME?</v>
      </c>
    </row>
    <row r="15" spans="1:13">
      <c r="A15" s="138" t="s">
        <v>8258</v>
      </c>
      <c r="B15" s="138" t="s">
        <v>8258</v>
      </c>
      <c r="C15" s="138" t="s">
        <v>8293</v>
      </c>
      <c r="D15" s="138" t="s">
        <v>8297</v>
      </c>
      <c r="G15" s="138" t="s">
        <v>8261</v>
      </c>
      <c r="H15" s="138" t="s">
        <v>8298</v>
      </c>
      <c r="I15" s="138" t="s">
        <v>8443</v>
      </c>
      <c r="J15" s="138" t="s">
        <v>8282</v>
      </c>
      <c r="L15" s="138" t="e">
        <f ca="1"/>
        <v>#NAME?</v>
      </c>
      <c r="M15" s="138" t="e">
        <f ca="1"/>
        <v>#NAME?</v>
      </c>
    </row>
    <row r="16" spans="1:13">
      <c r="A16" s="138" t="s">
        <v>8258</v>
      </c>
      <c r="B16" s="138" t="s">
        <v>8258</v>
      </c>
      <c r="C16" s="138" t="s">
        <v>8293</v>
      </c>
      <c r="D16" s="138" t="s">
        <v>8299</v>
      </c>
      <c r="G16" s="138" t="s">
        <v>8261</v>
      </c>
      <c r="H16" s="138" t="s">
        <v>1307</v>
      </c>
      <c r="I16" s="138" t="s">
        <v>8444</v>
      </c>
      <c r="J16" s="138" t="s">
        <v>550</v>
      </c>
      <c r="L16" s="138" t="e">
        <f ca="1"/>
        <v>#NAME?</v>
      </c>
      <c r="M16" s="138" t="e">
        <f ca="1"/>
        <v>#NAME?</v>
      </c>
    </row>
    <row r="17" spans="1:13">
      <c r="A17" s="138" t="s">
        <v>8258</v>
      </c>
      <c r="B17" s="138" t="s">
        <v>8258</v>
      </c>
      <c r="C17" s="138" t="s">
        <v>8293</v>
      </c>
      <c r="D17" s="138" t="s">
        <v>8300</v>
      </c>
      <c r="G17" s="138" t="s">
        <v>8261</v>
      </c>
      <c r="H17" s="138" t="s">
        <v>8301</v>
      </c>
      <c r="I17" s="138" t="s">
        <v>8444</v>
      </c>
      <c r="J17" s="138" t="s">
        <v>8302</v>
      </c>
      <c r="L17" s="138" t="e">
        <f ca="1"/>
        <v>#NAME?</v>
      </c>
      <c r="M17" s="138" t="e">
        <f ca="1"/>
        <v>#NAME?</v>
      </c>
    </row>
    <row r="18" spans="1:13">
      <c r="A18" s="138" t="s">
        <v>8258</v>
      </c>
      <c r="B18" s="138" t="s">
        <v>8258</v>
      </c>
      <c r="C18" s="138" t="s">
        <v>8293</v>
      </c>
      <c r="D18" s="138" t="s">
        <v>8304</v>
      </c>
      <c r="G18" s="138" t="s">
        <v>8261</v>
      </c>
      <c r="H18" s="138" t="s">
        <v>8305</v>
      </c>
      <c r="I18" s="138" t="s">
        <v>8443</v>
      </c>
      <c r="J18" s="138" t="s">
        <v>8290</v>
      </c>
      <c r="L18" s="138" t="e">
        <f ca="1"/>
        <v>#NAME?</v>
      </c>
      <c r="M18" s="138" t="e">
        <f ca="1"/>
        <v>#NAME?</v>
      </c>
    </row>
    <row r="19" spans="1:13">
      <c r="A19" s="138" t="s">
        <v>8258</v>
      </c>
      <c r="B19" s="138" t="s">
        <v>8258</v>
      </c>
      <c r="C19" s="138" t="s">
        <v>8293</v>
      </c>
      <c r="D19" s="138" t="s">
        <v>8307</v>
      </c>
      <c r="G19" s="138" t="s">
        <v>8261</v>
      </c>
      <c r="H19" s="138" t="s">
        <v>8308</v>
      </c>
      <c r="I19" s="138" t="s">
        <v>8443</v>
      </c>
      <c r="J19" s="138" t="s">
        <v>8309</v>
      </c>
      <c r="L19" s="138" t="e">
        <f ca="1"/>
        <v>#NAME?</v>
      </c>
      <c r="M19" s="138" t="e">
        <f ca="1"/>
        <v>#NAME?</v>
      </c>
    </row>
    <row r="20" spans="1:13">
      <c r="A20" s="138" t="e">
        <v>#N/A</v>
      </c>
      <c r="B20" s="138" t="e">
        <v>#N/A</v>
      </c>
      <c r="C20" s="138" t="s">
        <v>8293</v>
      </c>
      <c r="D20" s="138" t="e">
        <v>#N/A</v>
      </c>
      <c r="G20" s="138" t="s">
        <v>8261</v>
      </c>
      <c r="H20" s="138" t="s">
        <v>8310</v>
      </c>
      <c r="I20" s="138" t="s">
        <v>8444</v>
      </c>
      <c r="J20" s="138" t="s">
        <v>8311</v>
      </c>
      <c r="L20" s="138" t="e">
        <f ca="1"/>
        <v>#NAME?</v>
      </c>
      <c r="M20" s="138" t="e">
        <f ca="1"/>
        <v>#NAME?</v>
      </c>
    </row>
    <row r="21" spans="1:13">
      <c r="A21" s="138" t="s">
        <v>8258</v>
      </c>
      <c r="B21" s="138" t="s">
        <v>8258</v>
      </c>
      <c r="C21" s="138" t="s">
        <v>8258</v>
      </c>
      <c r="D21" s="138" t="s">
        <v>8299</v>
      </c>
      <c r="G21" s="138" t="s">
        <v>8261</v>
      </c>
      <c r="H21" s="138" t="s">
        <v>8313</v>
      </c>
      <c r="I21" s="138" t="s">
        <v>8444</v>
      </c>
      <c r="J21" s="138" t="s">
        <v>8263</v>
      </c>
      <c r="L21" s="138" t="e">
        <f ca="1"/>
        <v>#NAME?</v>
      </c>
      <c r="M21" s="138" t="e">
        <f ca="1"/>
        <v>#NAME?</v>
      </c>
    </row>
    <row r="22" spans="1:13">
      <c r="A22" s="138" t="s">
        <v>8258</v>
      </c>
      <c r="B22" s="138" t="s">
        <v>8258</v>
      </c>
      <c r="C22" s="138" t="s">
        <v>8258</v>
      </c>
      <c r="D22" s="138" t="s">
        <v>8258</v>
      </c>
      <c r="G22" s="138" t="s">
        <v>8261</v>
      </c>
      <c r="H22" s="138" t="s">
        <v>8315</v>
      </c>
      <c r="I22" s="138" t="s">
        <v>8443</v>
      </c>
      <c r="J22" s="138" t="s">
        <v>8282</v>
      </c>
      <c r="L22" s="138" t="e">
        <f ca="1"/>
        <v>#NAME?</v>
      </c>
      <c r="M22" s="138" t="e">
        <f ca="1"/>
        <v>#NAME?</v>
      </c>
    </row>
    <row r="23" spans="1:13">
      <c r="A23" s="138" t="s">
        <v>8258</v>
      </c>
      <c r="B23" s="138" t="s">
        <v>8258</v>
      </c>
      <c r="C23" s="138" t="s">
        <v>8258</v>
      </c>
      <c r="D23" s="138" t="s">
        <v>8270</v>
      </c>
      <c r="G23" s="138" t="s">
        <v>8261</v>
      </c>
      <c r="H23" s="138" t="s">
        <v>8316</v>
      </c>
      <c r="I23" s="138" t="s">
        <v>8443</v>
      </c>
      <c r="J23" s="138" t="s">
        <v>8309</v>
      </c>
      <c r="L23" s="138" t="e">
        <f ca="1"/>
        <v>#NAME?</v>
      </c>
      <c r="M23" s="138" t="e">
        <f ca="1"/>
        <v>#NAME?</v>
      </c>
    </row>
    <row r="24" spans="1:13">
      <c r="A24" s="138" t="e">
        <v>#N/A</v>
      </c>
      <c r="B24" s="138" t="e">
        <v>#N/A</v>
      </c>
      <c r="C24" s="138" t="s">
        <v>8258</v>
      </c>
      <c r="D24" s="138" t="e">
        <v>#N/A</v>
      </c>
      <c r="G24" s="138" t="s">
        <v>8261</v>
      </c>
      <c r="H24" s="138" t="s">
        <v>8318</v>
      </c>
      <c r="I24" s="138" t="s">
        <v>8444</v>
      </c>
      <c r="J24" s="138" t="s">
        <v>8296</v>
      </c>
      <c r="L24" s="138" t="e">
        <f ca="1"/>
        <v>#NAME?</v>
      </c>
      <c r="M24" s="138" t="e">
        <f ca="1"/>
        <v>#NAME?</v>
      </c>
    </row>
    <row r="25" spans="1:13">
      <c r="A25" s="138" t="s">
        <v>8258</v>
      </c>
      <c r="B25" s="138" t="s">
        <v>8258</v>
      </c>
      <c r="C25" s="138" t="s">
        <v>8319</v>
      </c>
      <c r="D25" s="138" t="s">
        <v>8320</v>
      </c>
      <c r="G25" s="138" t="s">
        <v>8261</v>
      </c>
      <c r="H25" s="138" t="s">
        <v>8321</v>
      </c>
      <c r="I25" s="138" t="s">
        <v>8444</v>
      </c>
      <c r="J25" s="138" t="s">
        <v>8302</v>
      </c>
      <c r="L25" s="138" t="e">
        <f ca="1"/>
        <v>#NAME?</v>
      </c>
      <c r="M25" s="138" t="e">
        <f ca="1"/>
        <v>#NAME?</v>
      </c>
    </row>
    <row r="26" spans="1:13">
      <c r="A26" s="138" t="s">
        <v>8258</v>
      </c>
      <c r="B26" s="138" t="s">
        <v>8258</v>
      </c>
      <c r="C26" s="138" t="s">
        <v>8319</v>
      </c>
      <c r="D26" s="138" t="s">
        <v>8323</v>
      </c>
      <c r="G26" s="138" t="s">
        <v>8261</v>
      </c>
      <c r="H26" s="138" t="s">
        <v>8324</v>
      </c>
      <c r="I26" s="138" t="s">
        <v>8443</v>
      </c>
      <c r="J26" s="138" t="s">
        <v>8285</v>
      </c>
      <c r="L26" s="138" t="e">
        <f ca="1"/>
        <v>#NAME?</v>
      </c>
      <c r="M26" s="138" t="e">
        <f ca="1"/>
        <v>#NAME?</v>
      </c>
    </row>
    <row r="27" spans="1:13">
      <c r="A27" s="138" t="s">
        <v>8258</v>
      </c>
      <c r="B27" s="138" t="s">
        <v>8258</v>
      </c>
      <c r="C27" s="138" t="s">
        <v>8319</v>
      </c>
      <c r="D27" s="138" t="s">
        <v>8325</v>
      </c>
      <c r="G27" s="138" t="s">
        <v>8261</v>
      </c>
      <c r="H27" s="138" t="s">
        <v>8326</v>
      </c>
      <c r="I27" s="138" t="s">
        <v>8443</v>
      </c>
      <c r="J27" s="138" t="s">
        <v>8285</v>
      </c>
      <c r="L27" s="138" t="e">
        <f ca="1"/>
        <v>#NAME?</v>
      </c>
      <c r="M27" s="138" t="e">
        <f ca="1"/>
        <v>#NAME?</v>
      </c>
    </row>
    <row r="28" spans="1:13">
      <c r="A28" s="138" t="s">
        <v>8258</v>
      </c>
      <c r="B28" s="138" t="s">
        <v>8258</v>
      </c>
      <c r="C28" s="138" t="s">
        <v>8319</v>
      </c>
      <c r="D28" s="138" t="s">
        <v>8327</v>
      </c>
      <c r="G28" s="138" t="s">
        <v>8261</v>
      </c>
      <c r="H28" s="138" t="s">
        <v>8328</v>
      </c>
      <c r="I28" s="138" t="s">
        <v>8443</v>
      </c>
      <c r="J28" s="138" t="s">
        <v>8274</v>
      </c>
      <c r="L28" s="138" t="e">
        <f ca="1"/>
        <v>#NAME?</v>
      </c>
      <c r="M28" s="138" t="e">
        <f ca="1"/>
        <v>#NAME?</v>
      </c>
    </row>
    <row r="29" spans="1:13">
      <c r="A29" s="138" t="s">
        <v>8258</v>
      </c>
      <c r="B29" s="138" t="s">
        <v>8258</v>
      </c>
      <c r="C29" s="138" t="s">
        <v>8319</v>
      </c>
      <c r="D29" s="138" t="s">
        <v>8329</v>
      </c>
      <c r="G29" s="138" t="s">
        <v>8261</v>
      </c>
      <c r="H29" s="138" t="s">
        <v>8330</v>
      </c>
      <c r="I29" s="138" t="s">
        <v>8443</v>
      </c>
      <c r="J29" s="138" t="s">
        <v>8282</v>
      </c>
      <c r="L29" s="138" t="e">
        <f ca="1"/>
        <v>#NAME?</v>
      </c>
      <c r="M29" s="138" t="e">
        <f ca="1"/>
        <v>#NAME?</v>
      </c>
    </row>
    <row r="30" spans="1:13">
      <c r="A30" s="138" t="s">
        <v>8258</v>
      </c>
      <c r="B30" s="138" t="s">
        <v>8258</v>
      </c>
      <c r="C30" s="138" t="s">
        <v>8319</v>
      </c>
      <c r="D30" s="138" t="s">
        <v>8331</v>
      </c>
      <c r="G30" s="138" t="s">
        <v>8261</v>
      </c>
      <c r="H30" s="138" t="s">
        <v>8332</v>
      </c>
      <c r="I30" s="138" t="s">
        <v>8444</v>
      </c>
      <c r="J30" s="138" t="s">
        <v>8266</v>
      </c>
      <c r="L30" s="138" t="e">
        <f ca="1"/>
        <v>#NAME?</v>
      </c>
      <c r="M30" s="138" t="e">
        <f ca="1"/>
        <v>#NAME?</v>
      </c>
    </row>
    <row r="31" spans="1:13">
      <c r="A31" s="138" t="s">
        <v>8258</v>
      </c>
      <c r="B31" s="138" t="s">
        <v>8258</v>
      </c>
      <c r="C31" s="138" t="s">
        <v>8333</v>
      </c>
      <c r="D31" s="138" t="s">
        <v>8334</v>
      </c>
      <c r="G31" s="138" t="s">
        <v>8261</v>
      </c>
      <c r="H31" s="138" t="s">
        <v>8335</v>
      </c>
      <c r="I31" s="138" t="s">
        <v>8443</v>
      </c>
      <c r="J31" s="138" t="s">
        <v>8280</v>
      </c>
      <c r="L31" s="138" t="e">
        <f ca="1"/>
        <v>#NAME?</v>
      </c>
      <c r="M31" s="138" t="e">
        <f ca="1"/>
        <v>#NAME?</v>
      </c>
    </row>
    <row r="32" spans="1:13">
      <c r="A32" s="138" t="s">
        <v>8258</v>
      </c>
      <c r="B32" s="138" t="s">
        <v>8258</v>
      </c>
      <c r="C32" s="138" t="s">
        <v>8333</v>
      </c>
      <c r="D32" s="138" t="s">
        <v>8336</v>
      </c>
      <c r="G32" s="138" t="s">
        <v>8261</v>
      </c>
      <c r="H32" s="138" t="s">
        <v>8337</v>
      </c>
      <c r="I32" s="138" t="s">
        <v>8443</v>
      </c>
      <c r="J32" s="138" t="s">
        <v>8285</v>
      </c>
      <c r="L32" s="138" t="e">
        <f ca="1"/>
        <v>#NAME?</v>
      </c>
      <c r="M32" s="138" t="e">
        <f ca="1"/>
        <v>#NAME?</v>
      </c>
    </row>
    <row r="33" spans="1:13">
      <c r="A33" s="138" t="s">
        <v>8258</v>
      </c>
      <c r="B33" s="138" t="s">
        <v>8258</v>
      </c>
      <c r="C33" s="138" t="s">
        <v>8333</v>
      </c>
      <c r="D33" s="138" t="s">
        <v>8338</v>
      </c>
      <c r="G33" s="138" t="s">
        <v>8261</v>
      </c>
      <c r="H33" s="138" t="s">
        <v>8339</v>
      </c>
      <c r="I33" s="138" t="s">
        <v>8444</v>
      </c>
      <c r="J33" s="138" t="s">
        <v>8296</v>
      </c>
      <c r="L33" s="138" t="e">
        <f ca="1"/>
        <v>#NAME?</v>
      </c>
      <c r="M33" s="138" t="e">
        <f ca="1"/>
        <v>#NAME?</v>
      </c>
    </row>
    <row r="34" spans="1:13">
      <c r="A34" s="138" t="s">
        <v>8258</v>
      </c>
      <c r="B34" s="138" t="s">
        <v>8258</v>
      </c>
      <c r="C34" s="138" t="s">
        <v>8333</v>
      </c>
      <c r="D34" s="138" t="s">
        <v>8333</v>
      </c>
      <c r="G34" s="138" t="s">
        <v>8261</v>
      </c>
      <c r="H34" s="138" t="s">
        <v>8340</v>
      </c>
      <c r="I34" s="138" t="s">
        <v>8444</v>
      </c>
      <c r="J34" s="138" t="s">
        <v>8263</v>
      </c>
      <c r="L34" s="138" t="e">
        <f ca="1"/>
        <v>#NAME?</v>
      </c>
      <c r="M34" s="138" t="e">
        <f ca="1"/>
        <v>#NAME?</v>
      </c>
    </row>
    <row r="35" spans="1:13">
      <c r="A35" s="138" t="s">
        <v>8258</v>
      </c>
      <c r="B35" s="138" t="s">
        <v>8258</v>
      </c>
      <c r="C35" s="138" t="s">
        <v>8333</v>
      </c>
      <c r="D35" s="138" t="s">
        <v>8341</v>
      </c>
      <c r="G35" s="138" t="s">
        <v>8261</v>
      </c>
      <c r="H35" s="138" t="s">
        <v>8342</v>
      </c>
      <c r="I35" s="138" t="s">
        <v>8444</v>
      </c>
      <c r="J35" s="138" t="s">
        <v>550</v>
      </c>
      <c r="L35" s="138" t="e">
        <f ca="1"/>
        <v>#NAME?</v>
      </c>
      <c r="M35" s="138" t="e">
        <f ca="1"/>
        <v>#NAME?</v>
      </c>
    </row>
    <row r="36" spans="1:13">
      <c r="A36" s="138" t="s">
        <v>8258</v>
      </c>
      <c r="B36" s="138" t="s">
        <v>8258</v>
      </c>
      <c r="C36" s="138" t="s">
        <v>8333</v>
      </c>
      <c r="D36" s="138" t="s">
        <v>8343</v>
      </c>
      <c r="G36" s="138" t="s">
        <v>8261</v>
      </c>
      <c r="H36" s="138" t="s">
        <v>8344</v>
      </c>
      <c r="I36" s="138" t="s">
        <v>8444</v>
      </c>
      <c r="J36" s="138" t="s">
        <v>8302</v>
      </c>
      <c r="L36" s="138" t="e">
        <f ca="1"/>
        <v>#NAME?</v>
      </c>
      <c r="M36" s="138" t="e">
        <f ca="1"/>
        <v>#NAME?</v>
      </c>
    </row>
    <row r="37" spans="1:13">
      <c r="A37" s="138" t="s">
        <v>8258</v>
      </c>
      <c r="B37" s="138" t="s">
        <v>8258</v>
      </c>
      <c r="C37" s="138" t="s">
        <v>8333</v>
      </c>
      <c r="D37" s="138" t="s">
        <v>8345</v>
      </c>
      <c r="G37" s="138" t="s">
        <v>8261</v>
      </c>
      <c r="H37" s="138" t="s">
        <v>8346</v>
      </c>
      <c r="I37" s="138" t="s">
        <v>8444</v>
      </c>
      <c r="J37" s="138" t="s">
        <v>8266</v>
      </c>
      <c r="L37" s="138" t="e">
        <f ca="1"/>
        <v>#NAME?</v>
      </c>
      <c r="M37" s="138" t="e">
        <f ca="1"/>
        <v>#NAME?</v>
      </c>
    </row>
    <row r="38" spans="1:13">
      <c r="A38" s="138" t="e">
        <v>#N/A</v>
      </c>
      <c r="B38" s="138" t="e">
        <v>#N/A</v>
      </c>
      <c r="C38" s="138" t="s">
        <v>8333</v>
      </c>
      <c r="D38" s="138" t="e">
        <v>#N/A</v>
      </c>
      <c r="G38" s="138" t="s">
        <v>8261</v>
      </c>
      <c r="H38" s="138" t="s">
        <v>8347</v>
      </c>
      <c r="I38" s="138" t="s">
        <v>8444</v>
      </c>
      <c r="J38" s="138" t="s">
        <v>8302</v>
      </c>
      <c r="L38" s="138" t="e">
        <f ca="1"/>
        <v>#NAME?</v>
      </c>
      <c r="M38" s="138" t="e">
        <f ca="1"/>
        <v>#NAME?</v>
      </c>
    </row>
    <row r="39" spans="1:13">
      <c r="A39" s="138" t="s">
        <v>8258</v>
      </c>
      <c r="B39" s="138" t="s">
        <v>379</v>
      </c>
      <c r="C39" s="138" t="s">
        <v>8348</v>
      </c>
      <c r="D39" s="138" t="s">
        <v>8349</v>
      </c>
      <c r="G39" s="138" t="s">
        <v>8261</v>
      </c>
      <c r="H39" s="138" t="s">
        <v>8350</v>
      </c>
      <c r="I39" s="138" t="s">
        <v>8443</v>
      </c>
      <c r="J39" s="138" t="s">
        <v>8290</v>
      </c>
      <c r="L39" s="138" t="e">
        <f ca="1"/>
        <v>#NAME?</v>
      </c>
      <c r="M39" s="138" t="e">
        <f ca="1"/>
        <v>#NAME?</v>
      </c>
    </row>
    <row r="40" spans="1:13">
      <c r="A40" s="138" t="s">
        <v>8258</v>
      </c>
      <c r="B40" s="138" t="s">
        <v>379</v>
      </c>
      <c r="C40" s="138" t="s">
        <v>8348</v>
      </c>
      <c r="D40" s="138" t="s">
        <v>8351</v>
      </c>
      <c r="G40" s="138" t="s">
        <v>8261</v>
      </c>
      <c r="H40" s="138" t="s">
        <v>8352</v>
      </c>
      <c r="I40" s="138" t="s">
        <v>8444</v>
      </c>
      <c r="J40" s="138" t="s">
        <v>8266</v>
      </c>
    </row>
    <row r="41" spans="1:13">
      <c r="A41" s="138" t="s">
        <v>8258</v>
      </c>
      <c r="B41" s="138" t="s">
        <v>379</v>
      </c>
      <c r="C41" s="138" t="s">
        <v>8348</v>
      </c>
      <c r="D41" s="138" t="s">
        <v>8353</v>
      </c>
      <c r="G41" s="138" t="s">
        <v>8261</v>
      </c>
      <c r="H41" s="138" t="s">
        <v>8354</v>
      </c>
      <c r="I41" s="138" t="s">
        <v>8443</v>
      </c>
      <c r="J41" s="138" t="s">
        <v>8309</v>
      </c>
    </row>
    <row r="42" spans="1:13">
      <c r="A42" s="138" t="s">
        <v>8258</v>
      </c>
      <c r="B42" s="138" t="s">
        <v>379</v>
      </c>
      <c r="C42" s="138" t="s">
        <v>8348</v>
      </c>
      <c r="D42" s="138" t="s">
        <v>8355</v>
      </c>
      <c r="G42" s="138" t="s">
        <v>8261</v>
      </c>
      <c r="H42" s="138" t="s">
        <v>8356</v>
      </c>
      <c r="I42" s="138" t="s">
        <v>8444</v>
      </c>
      <c r="J42" s="138" t="s">
        <v>8311</v>
      </c>
    </row>
    <row r="43" spans="1:13">
      <c r="A43" s="138" t="s">
        <v>8258</v>
      </c>
      <c r="B43" s="138" t="s">
        <v>379</v>
      </c>
      <c r="C43" s="138" t="s">
        <v>8348</v>
      </c>
      <c r="D43" s="138" t="s">
        <v>8357</v>
      </c>
      <c r="G43" s="138" t="s">
        <v>8261</v>
      </c>
      <c r="H43" s="138" t="s">
        <v>8358</v>
      </c>
      <c r="I43" s="138" t="s">
        <v>8443</v>
      </c>
      <c r="J43" s="138" t="s">
        <v>8359</v>
      </c>
    </row>
    <row r="44" spans="1:13">
      <c r="A44" s="138" t="s">
        <v>8258</v>
      </c>
      <c r="B44" s="138" t="s">
        <v>379</v>
      </c>
      <c r="C44" s="138" t="s">
        <v>8348</v>
      </c>
      <c r="D44" s="138" t="s">
        <v>8360</v>
      </c>
      <c r="G44" s="138" t="s">
        <v>8261</v>
      </c>
      <c r="H44" s="138" t="s">
        <v>8361</v>
      </c>
      <c r="I44" s="138" t="s">
        <v>8443</v>
      </c>
      <c r="J44" s="138" t="s">
        <v>8359</v>
      </c>
    </row>
    <row r="45" spans="1:13">
      <c r="A45" s="138" t="s">
        <v>8258</v>
      </c>
      <c r="B45" s="138" t="s">
        <v>379</v>
      </c>
      <c r="C45" s="138" t="s">
        <v>8348</v>
      </c>
      <c r="D45" s="138" t="s">
        <v>8362</v>
      </c>
      <c r="G45" s="138" t="s">
        <v>8261</v>
      </c>
      <c r="H45" s="138" t="s">
        <v>8363</v>
      </c>
      <c r="I45" s="138" t="s">
        <v>8444</v>
      </c>
      <c r="J45" s="138" t="s">
        <v>8311</v>
      </c>
    </row>
    <row r="46" spans="1:13">
      <c r="A46" s="138" t="s">
        <v>8258</v>
      </c>
      <c r="B46" s="138" t="s">
        <v>379</v>
      </c>
      <c r="C46" s="138" t="s">
        <v>8364</v>
      </c>
      <c r="D46" s="138" t="s">
        <v>8364</v>
      </c>
      <c r="G46" s="138" t="s">
        <v>8261</v>
      </c>
      <c r="H46" s="138" t="s">
        <v>8365</v>
      </c>
      <c r="I46" s="138" t="s">
        <v>8443</v>
      </c>
      <c r="J46" s="138" t="s">
        <v>8290</v>
      </c>
    </row>
    <row r="47" spans="1:13">
      <c r="A47" s="138" t="s">
        <v>8258</v>
      </c>
      <c r="B47" s="138" t="s">
        <v>379</v>
      </c>
      <c r="C47" s="138" t="s">
        <v>8364</v>
      </c>
      <c r="D47" s="138" t="s">
        <v>8366</v>
      </c>
      <c r="G47" s="138" t="s">
        <v>8261</v>
      </c>
      <c r="H47" s="138" t="s">
        <v>8367</v>
      </c>
      <c r="I47" s="138" t="s">
        <v>8444</v>
      </c>
      <c r="J47" s="138" t="s">
        <v>8266</v>
      </c>
    </row>
    <row r="48" spans="1:13">
      <c r="A48" s="138" t="s">
        <v>8258</v>
      </c>
      <c r="B48" s="138" t="s">
        <v>379</v>
      </c>
      <c r="C48" s="138" t="s">
        <v>8364</v>
      </c>
      <c r="D48" s="138" t="s">
        <v>8368</v>
      </c>
      <c r="G48" s="138" t="s">
        <v>8261</v>
      </c>
      <c r="H48" s="138" t="s">
        <v>8369</v>
      </c>
      <c r="I48" s="138" t="s">
        <v>8443</v>
      </c>
      <c r="J48" s="138" t="s">
        <v>8274</v>
      </c>
    </row>
    <row r="49" spans="1:10">
      <c r="A49" s="138" t="s">
        <v>8258</v>
      </c>
      <c r="B49" s="138" t="s">
        <v>379</v>
      </c>
      <c r="C49" s="138" t="s">
        <v>8364</v>
      </c>
      <c r="D49" s="138" t="s">
        <v>8370</v>
      </c>
      <c r="G49" s="138" t="s">
        <v>8261</v>
      </c>
      <c r="H49" s="138" t="s">
        <v>8371</v>
      </c>
      <c r="I49" s="138" t="s">
        <v>8443</v>
      </c>
      <c r="J49" s="138" t="s">
        <v>8274</v>
      </c>
    </row>
    <row r="50" spans="1:10">
      <c r="A50" s="138" t="s">
        <v>8258</v>
      </c>
      <c r="B50" s="138" t="s">
        <v>379</v>
      </c>
      <c r="C50" s="138" t="s">
        <v>8364</v>
      </c>
      <c r="D50" s="138" t="s">
        <v>8372</v>
      </c>
      <c r="G50" s="138" t="s">
        <v>8261</v>
      </c>
      <c r="H50" s="138" t="s">
        <v>8373</v>
      </c>
      <c r="I50" s="138" t="s">
        <v>8443</v>
      </c>
      <c r="J50" s="138" t="s">
        <v>8282</v>
      </c>
    </row>
    <row r="51" spans="1:10">
      <c r="A51" s="138" t="e">
        <v>#N/A</v>
      </c>
      <c r="B51" s="138" t="e">
        <v>#N/A</v>
      </c>
      <c r="C51" s="138" t="s">
        <v>8364</v>
      </c>
      <c r="D51" s="138" t="e">
        <v>#N/A</v>
      </c>
      <c r="G51" s="138" t="s">
        <v>8261</v>
      </c>
      <c r="H51" s="138" t="s">
        <v>8374</v>
      </c>
      <c r="I51" s="138" t="s">
        <v>8444</v>
      </c>
      <c r="J51" s="138" t="s">
        <v>8311</v>
      </c>
    </row>
    <row r="52" spans="1:10">
      <c r="A52" s="138" t="s">
        <v>8258</v>
      </c>
      <c r="B52" s="138" t="s">
        <v>379</v>
      </c>
      <c r="C52" s="138" t="s">
        <v>379</v>
      </c>
      <c r="D52" s="138" t="s">
        <v>8375</v>
      </c>
      <c r="G52" s="138" t="s">
        <v>8261</v>
      </c>
      <c r="H52" s="138" t="s">
        <v>8376</v>
      </c>
      <c r="I52" s="138" t="s">
        <v>8444</v>
      </c>
      <c r="J52" s="138" t="s">
        <v>8263</v>
      </c>
    </row>
    <row r="53" spans="1:10">
      <c r="A53" s="138" t="e">
        <v>#N/A</v>
      </c>
      <c r="B53" s="138" t="e">
        <v>#N/A</v>
      </c>
      <c r="C53" s="138" t="s">
        <v>379</v>
      </c>
      <c r="D53" s="138" t="e">
        <v>#N/A</v>
      </c>
      <c r="G53" s="138" t="s">
        <v>8261</v>
      </c>
      <c r="H53" s="138" t="s">
        <v>8377</v>
      </c>
      <c r="I53" s="138" t="s">
        <v>8443</v>
      </c>
      <c r="J53" s="138" t="s">
        <v>8285</v>
      </c>
    </row>
    <row r="54" spans="1:10">
      <c r="A54" s="138" t="s">
        <v>8258</v>
      </c>
      <c r="B54" s="138" t="s">
        <v>379</v>
      </c>
      <c r="C54" s="138" t="s">
        <v>8378</v>
      </c>
      <c r="D54" s="138" t="s">
        <v>8379</v>
      </c>
      <c r="G54" s="138" t="s">
        <v>8261</v>
      </c>
      <c r="H54" s="138" t="s">
        <v>8380</v>
      </c>
      <c r="I54" s="138" t="s">
        <v>8443</v>
      </c>
      <c r="J54" s="138" t="s">
        <v>8290</v>
      </c>
    </row>
    <row r="55" spans="1:10">
      <c r="A55" s="138" t="s">
        <v>8258</v>
      </c>
      <c r="B55" s="138" t="s">
        <v>379</v>
      </c>
      <c r="C55" s="138" t="s">
        <v>8378</v>
      </c>
      <c r="D55" s="138" t="s">
        <v>8381</v>
      </c>
      <c r="G55" s="138" t="s">
        <v>8261</v>
      </c>
      <c r="H55" s="138" t="s">
        <v>8382</v>
      </c>
      <c r="I55" s="138" t="s">
        <v>8444</v>
      </c>
      <c r="J55" s="138" t="s">
        <v>8311</v>
      </c>
    </row>
    <row r="56" spans="1:10">
      <c r="A56" s="138" t="s">
        <v>8258</v>
      </c>
      <c r="B56" s="138" t="s">
        <v>379</v>
      </c>
      <c r="C56" s="138" t="s">
        <v>8378</v>
      </c>
      <c r="D56" s="138" t="s">
        <v>8383</v>
      </c>
      <c r="G56" s="138" t="s">
        <v>8261</v>
      </c>
      <c r="H56" s="138" t="s">
        <v>8384</v>
      </c>
      <c r="I56" s="138" t="s">
        <v>8444</v>
      </c>
      <c r="J56" s="138" t="s">
        <v>550</v>
      </c>
    </row>
    <row r="57" spans="1:10">
      <c r="A57" s="138" t="s">
        <v>8258</v>
      </c>
      <c r="B57" s="138" t="s">
        <v>379</v>
      </c>
      <c r="C57" s="138" t="s">
        <v>8378</v>
      </c>
      <c r="D57" s="138" t="s">
        <v>8378</v>
      </c>
      <c r="G57" s="138" t="s">
        <v>8261</v>
      </c>
      <c r="H57" s="138" t="s">
        <v>8385</v>
      </c>
      <c r="I57" s="138" t="s">
        <v>8443</v>
      </c>
      <c r="J57" s="138" t="s">
        <v>8359</v>
      </c>
    </row>
    <row r="58" spans="1:10">
      <c r="A58" s="138" t="s">
        <v>8258</v>
      </c>
      <c r="B58" s="138" t="s">
        <v>379</v>
      </c>
      <c r="C58" s="138" t="s">
        <v>8378</v>
      </c>
      <c r="D58" s="138" t="s">
        <v>8386</v>
      </c>
      <c r="G58" s="138" t="s">
        <v>8261</v>
      </c>
      <c r="H58" s="138" t="s">
        <v>8387</v>
      </c>
      <c r="I58" s="138" t="s">
        <v>8444</v>
      </c>
      <c r="J58" s="138" t="s">
        <v>8302</v>
      </c>
    </row>
    <row r="59" spans="1:10">
      <c r="A59" s="138" t="s">
        <v>8258</v>
      </c>
      <c r="B59" s="138" t="s">
        <v>379</v>
      </c>
      <c r="C59" s="138" t="s">
        <v>8378</v>
      </c>
      <c r="D59" s="138" t="s">
        <v>8388</v>
      </c>
      <c r="G59" s="138" t="s">
        <v>8261</v>
      </c>
      <c r="H59" s="138" t="s">
        <v>8389</v>
      </c>
      <c r="I59" s="138" t="s">
        <v>8444</v>
      </c>
      <c r="J59" s="138" t="s">
        <v>8302</v>
      </c>
    </row>
    <row r="60" spans="1:10">
      <c r="A60" s="138" t="s">
        <v>8258</v>
      </c>
      <c r="B60" s="138" t="s">
        <v>379</v>
      </c>
      <c r="C60" s="138" t="s">
        <v>8378</v>
      </c>
      <c r="D60" s="138" t="s">
        <v>1193</v>
      </c>
      <c r="G60" s="138" t="s">
        <v>8261</v>
      </c>
      <c r="H60" s="138" t="s">
        <v>8390</v>
      </c>
      <c r="I60" s="138" t="s">
        <v>8443</v>
      </c>
      <c r="J60" s="138" t="s">
        <v>8280</v>
      </c>
    </row>
    <row r="61" spans="1:10">
      <c r="A61" s="138" t="e">
        <v>#N/A</v>
      </c>
      <c r="B61" s="138" t="e">
        <v>#N/A</v>
      </c>
      <c r="C61" s="138" t="s">
        <v>8378</v>
      </c>
      <c r="D61" s="138" t="e">
        <v>#N/A</v>
      </c>
      <c r="G61" s="138" t="s">
        <v>8261</v>
      </c>
      <c r="H61" s="138" t="s">
        <v>8391</v>
      </c>
      <c r="I61" s="138" t="s">
        <v>8443</v>
      </c>
      <c r="J61" s="138" t="s">
        <v>8280</v>
      </c>
    </row>
    <row r="62" spans="1:10">
      <c r="A62" s="138" t="s">
        <v>8258</v>
      </c>
      <c r="B62" s="138" t="s">
        <v>8258</v>
      </c>
      <c r="C62" s="138" t="s">
        <v>8392</v>
      </c>
      <c r="D62" s="138" t="s">
        <v>8392</v>
      </c>
      <c r="G62" s="138" t="s">
        <v>8261</v>
      </c>
      <c r="H62" s="138" t="s">
        <v>8393</v>
      </c>
      <c r="I62" s="138" t="s">
        <v>8443</v>
      </c>
      <c r="J62" s="138" t="s">
        <v>8280</v>
      </c>
    </row>
    <row r="63" spans="1:10">
      <c r="A63" s="138" t="s">
        <v>8258</v>
      </c>
      <c r="B63" s="138" t="s">
        <v>8258</v>
      </c>
      <c r="C63" s="138" t="s">
        <v>8392</v>
      </c>
      <c r="D63" s="138" t="s">
        <v>8394</v>
      </c>
      <c r="G63" s="138" t="s">
        <v>8261</v>
      </c>
      <c r="H63" s="138" t="s">
        <v>8395</v>
      </c>
      <c r="I63" s="138" t="s">
        <v>8443</v>
      </c>
      <c r="J63" s="138" t="s">
        <v>8359</v>
      </c>
    </row>
    <row r="64" spans="1:10">
      <c r="A64" s="138" t="s">
        <v>8258</v>
      </c>
      <c r="B64" s="138" t="s">
        <v>8258</v>
      </c>
      <c r="C64" s="138" t="s">
        <v>8392</v>
      </c>
      <c r="D64" s="138" t="s">
        <v>8396</v>
      </c>
      <c r="G64" s="138" t="s">
        <v>8261</v>
      </c>
      <c r="H64" s="138" t="s">
        <v>8397</v>
      </c>
      <c r="I64" s="138" t="s">
        <v>8443</v>
      </c>
      <c r="J64" s="138" t="s">
        <v>8290</v>
      </c>
    </row>
    <row r="65" spans="1:10">
      <c r="A65" s="138" t="s">
        <v>8258</v>
      </c>
      <c r="B65" s="138" t="s">
        <v>8258</v>
      </c>
      <c r="C65" s="138" t="s">
        <v>8392</v>
      </c>
      <c r="D65" s="138" t="s">
        <v>8398</v>
      </c>
      <c r="G65" s="138" t="s">
        <v>8399</v>
      </c>
      <c r="H65" s="138" t="s">
        <v>8400</v>
      </c>
      <c r="I65" s="138" t="s">
        <v>8409</v>
      </c>
      <c r="J65" s="138" t="s">
        <v>8401</v>
      </c>
    </row>
    <row r="66" spans="1:10">
      <c r="A66" s="138" t="s">
        <v>8258</v>
      </c>
      <c r="B66" s="138" t="s">
        <v>8258</v>
      </c>
      <c r="C66" s="138" t="s">
        <v>8392</v>
      </c>
      <c r="D66" s="138" t="s">
        <v>8402</v>
      </c>
      <c r="G66" s="138" t="s">
        <v>8399</v>
      </c>
      <c r="H66" s="138" t="s">
        <v>8403</v>
      </c>
      <c r="I66" s="138" t="s">
        <v>8258</v>
      </c>
      <c r="J66" s="138" t="s">
        <v>8277</v>
      </c>
    </row>
    <row r="67" spans="1:10">
      <c r="A67" s="138" t="s">
        <v>8258</v>
      </c>
      <c r="B67" s="138" t="s">
        <v>8258</v>
      </c>
      <c r="C67" s="138" t="s">
        <v>8392</v>
      </c>
      <c r="D67" s="138" t="s">
        <v>8404</v>
      </c>
      <c r="G67" s="138" t="s">
        <v>8399</v>
      </c>
      <c r="H67" s="138" t="s">
        <v>8405</v>
      </c>
      <c r="I67" s="138" t="s">
        <v>8258</v>
      </c>
      <c r="J67" s="138" t="s">
        <v>8293</v>
      </c>
    </row>
    <row r="68" spans="1:10">
      <c r="A68" s="138" t="s">
        <v>8258</v>
      </c>
      <c r="B68" s="138" t="s">
        <v>8258</v>
      </c>
      <c r="C68" s="138" t="s">
        <v>8392</v>
      </c>
      <c r="D68" s="138" t="s">
        <v>8406</v>
      </c>
      <c r="G68" s="138" t="s">
        <v>8399</v>
      </c>
      <c r="H68" s="138" t="s">
        <v>8407</v>
      </c>
      <c r="I68" s="138" t="s">
        <v>379</v>
      </c>
      <c r="J68" s="138" t="s">
        <v>8348</v>
      </c>
    </row>
    <row r="69" spans="1:10">
      <c r="A69" s="138" t="e">
        <v>#N/A</v>
      </c>
      <c r="B69" s="138" t="e">
        <v>#N/A</v>
      </c>
      <c r="C69" s="138" t="s">
        <v>8392</v>
      </c>
      <c r="D69" s="138" t="e">
        <v>#N/A</v>
      </c>
      <c r="G69" s="138" t="s">
        <v>8399</v>
      </c>
      <c r="H69" s="138" t="s">
        <v>8408</v>
      </c>
      <c r="I69" s="138" t="s">
        <v>379</v>
      </c>
      <c r="J69" s="138" t="s">
        <v>8378</v>
      </c>
    </row>
    <row r="70" spans="1:10">
      <c r="A70" s="138" t="s">
        <v>8258</v>
      </c>
      <c r="B70" s="138" t="s">
        <v>8409</v>
      </c>
      <c r="C70" s="138" t="s">
        <v>8410</v>
      </c>
      <c r="D70" s="138" t="s">
        <v>8410</v>
      </c>
      <c r="G70" s="138" t="s">
        <v>8399</v>
      </c>
      <c r="H70" s="138" t="s">
        <v>8411</v>
      </c>
      <c r="I70" s="138" t="s">
        <v>379</v>
      </c>
      <c r="J70" s="138" t="s">
        <v>8378</v>
      </c>
    </row>
    <row r="71" spans="1:10">
      <c r="A71" s="138" t="s">
        <v>8258</v>
      </c>
      <c r="B71" s="138" t="s">
        <v>8409</v>
      </c>
      <c r="C71" s="138" t="s">
        <v>8410</v>
      </c>
      <c r="D71" s="138" t="s">
        <v>8412</v>
      </c>
      <c r="G71" s="138" t="s">
        <v>8399</v>
      </c>
      <c r="H71" s="138" t="s">
        <v>8399</v>
      </c>
      <c r="I71" s="138" t="s">
        <v>8258</v>
      </c>
      <c r="J71" s="138" t="s">
        <v>8258</v>
      </c>
    </row>
    <row r="72" spans="1:10">
      <c r="A72" s="138" t="s">
        <v>8258</v>
      </c>
      <c r="B72" s="138" t="s">
        <v>8409</v>
      </c>
      <c r="C72" s="138" t="s">
        <v>8410</v>
      </c>
      <c r="D72" s="138" t="s">
        <v>8413</v>
      </c>
      <c r="G72" s="138" t="s">
        <v>8399</v>
      </c>
      <c r="H72" s="138" t="s">
        <v>8414</v>
      </c>
      <c r="I72" s="138" t="s">
        <v>8258</v>
      </c>
      <c r="J72" s="138" t="s">
        <v>8392</v>
      </c>
    </row>
    <row r="73" spans="1:10">
      <c r="A73" s="138" t="s">
        <v>8258</v>
      </c>
      <c r="B73" s="138" t="s">
        <v>8409</v>
      </c>
      <c r="C73" s="138" t="s">
        <v>8410</v>
      </c>
      <c r="D73" s="138" t="s">
        <v>8415</v>
      </c>
      <c r="G73" s="138" t="s">
        <v>8399</v>
      </c>
      <c r="H73" s="138" t="s">
        <v>8416</v>
      </c>
      <c r="I73" s="138" t="s">
        <v>8258</v>
      </c>
      <c r="J73" s="138" t="s">
        <v>8319</v>
      </c>
    </row>
    <row r="74" spans="1:10">
      <c r="A74" s="138" t="e">
        <v>#N/A</v>
      </c>
      <c r="B74" s="138" t="e">
        <v>#N/A</v>
      </c>
      <c r="C74" s="138" t="s">
        <v>8410</v>
      </c>
      <c r="D74" s="138" t="e">
        <v>#N/A</v>
      </c>
      <c r="G74" s="138" t="s">
        <v>8399</v>
      </c>
      <c r="H74" s="138" t="s">
        <v>8417</v>
      </c>
      <c r="I74" s="138" t="s">
        <v>8258</v>
      </c>
      <c r="J74" s="138" t="s">
        <v>8277</v>
      </c>
    </row>
    <row r="75" spans="1:10">
      <c r="A75" s="138" t="s">
        <v>8258</v>
      </c>
      <c r="B75" s="138" t="s">
        <v>8409</v>
      </c>
      <c r="C75" s="138" t="s">
        <v>8418</v>
      </c>
      <c r="D75" s="138" t="s">
        <v>8419</v>
      </c>
      <c r="G75" s="138" t="s">
        <v>8399</v>
      </c>
      <c r="H75" s="138" t="s">
        <v>8420</v>
      </c>
      <c r="I75" s="138" t="s">
        <v>8258</v>
      </c>
      <c r="J75" s="138" t="s">
        <v>8258</v>
      </c>
    </row>
    <row r="76" spans="1:10">
      <c r="A76" s="138" t="s">
        <v>8258</v>
      </c>
      <c r="B76" s="138" t="s">
        <v>8409</v>
      </c>
      <c r="C76" s="138" t="s">
        <v>8418</v>
      </c>
      <c r="D76" s="138" t="s">
        <v>8421</v>
      </c>
      <c r="G76" s="138" t="s">
        <v>8399</v>
      </c>
      <c r="H76" s="138" t="s">
        <v>8422</v>
      </c>
      <c r="I76" s="138" t="s">
        <v>8258</v>
      </c>
      <c r="J76" s="138" t="s">
        <v>8259</v>
      </c>
    </row>
    <row r="77" spans="1:10">
      <c r="A77" s="138" t="s">
        <v>8258</v>
      </c>
      <c r="B77" s="138" t="s">
        <v>8409</v>
      </c>
      <c r="C77" s="138" t="s">
        <v>8418</v>
      </c>
      <c r="D77" s="138" t="s">
        <v>8423</v>
      </c>
      <c r="G77" s="138" t="s">
        <v>8399</v>
      </c>
      <c r="H77" s="138" t="s">
        <v>8424</v>
      </c>
      <c r="I77" s="138" t="s">
        <v>8409</v>
      </c>
      <c r="J77" s="138" t="s">
        <v>8418</v>
      </c>
    </row>
    <row r="78" spans="1:10">
      <c r="A78" s="138" t="s">
        <v>8258</v>
      </c>
      <c r="B78" s="138" t="s">
        <v>8409</v>
      </c>
      <c r="C78" s="138" t="s">
        <v>8418</v>
      </c>
      <c r="D78" s="138" t="s">
        <v>8425</v>
      </c>
      <c r="G78" s="138" t="s">
        <v>8399</v>
      </c>
      <c r="H78" s="138" t="s">
        <v>8426</v>
      </c>
      <c r="I78" s="138" t="s">
        <v>8258</v>
      </c>
      <c r="J78" s="138" t="s">
        <v>8293</v>
      </c>
    </row>
    <row r="79" spans="1:10">
      <c r="A79" s="138" t="s">
        <v>8258</v>
      </c>
      <c r="B79" s="138" t="s">
        <v>8409</v>
      </c>
      <c r="C79" s="138" t="s">
        <v>8418</v>
      </c>
      <c r="D79" s="138" t="s">
        <v>8427</v>
      </c>
      <c r="G79" s="138" t="s">
        <v>8399</v>
      </c>
      <c r="H79" s="138" t="s">
        <v>8428</v>
      </c>
      <c r="I79" s="138" t="s">
        <v>379</v>
      </c>
      <c r="J79" s="138" t="s">
        <v>8348</v>
      </c>
    </row>
    <row r="80" spans="1:10">
      <c r="A80" s="138" t="s">
        <v>8258</v>
      </c>
      <c r="B80" s="138" t="s">
        <v>8409</v>
      </c>
      <c r="C80" s="138" t="s">
        <v>8418</v>
      </c>
      <c r="D80" s="138" t="s">
        <v>8418</v>
      </c>
      <c r="G80" s="138" t="s">
        <v>8399</v>
      </c>
      <c r="H80" s="138" t="s">
        <v>8429</v>
      </c>
      <c r="I80" s="138" t="s">
        <v>8409</v>
      </c>
      <c r="J80" s="138" t="s">
        <v>8418</v>
      </c>
    </row>
    <row r="81" spans="1:10">
      <c r="A81" s="138" t="e">
        <v>#N/A</v>
      </c>
      <c r="B81" s="138" t="e">
        <v>#N/A</v>
      </c>
      <c r="C81" s="138" t="s">
        <v>8418</v>
      </c>
      <c r="D81" s="138" t="e">
        <v>#N/A</v>
      </c>
      <c r="G81" s="138" t="s">
        <v>8399</v>
      </c>
      <c r="H81" s="138" t="s">
        <v>8430</v>
      </c>
      <c r="I81" s="138" t="s">
        <v>8409</v>
      </c>
      <c r="J81" s="138" t="s">
        <v>8418</v>
      </c>
    </row>
    <row r="82" spans="1:10">
      <c r="A82" s="138" t="s">
        <v>8258</v>
      </c>
      <c r="B82" s="138" t="s">
        <v>8409</v>
      </c>
      <c r="C82" s="138" t="s">
        <v>8401</v>
      </c>
      <c r="D82" s="138" t="s">
        <v>8431</v>
      </c>
      <c r="G82" s="138" t="s">
        <v>8399</v>
      </c>
      <c r="H82" s="138" t="s">
        <v>8432</v>
      </c>
      <c r="I82" s="138" t="s">
        <v>8409</v>
      </c>
      <c r="J82" s="138" t="s">
        <v>8418</v>
      </c>
    </row>
    <row r="83" spans="1:10">
      <c r="A83" s="138" t="s">
        <v>8258</v>
      </c>
      <c r="B83" s="138" t="s">
        <v>8409</v>
      </c>
      <c r="C83" s="138" t="s">
        <v>8401</v>
      </c>
      <c r="D83" s="138" t="s">
        <v>8401</v>
      </c>
      <c r="G83" s="138" t="s">
        <v>8399</v>
      </c>
      <c r="H83" s="138" t="s">
        <v>8433</v>
      </c>
      <c r="I83" s="138" t="s">
        <v>8258</v>
      </c>
      <c r="J83" s="138" t="s">
        <v>8259</v>
      </c>
    </row>
    <row r="84" spans="1:10">
      <c r="A84" s="138" t="s">
        <v>8258</v>
      </c>
      <c r="B84" s="138" t="s">
        <v>8409</v>
      </c>
      <c r="C84" s="138" t="s">
        <v>8401</v>
      </c>
      <c r="D84" s="138" t="s">
        <v>8434</v>
      </c>
      <c r="G84" s="138" t="s">
        <v>8399</v>
      </c>
      <c r="H84" s="138" t="s">
        <v>8435</v>
      </c>
      <c r="I84" s="138" t="s">
        <v>8409</v>
      </c>
      <c r="J84" s="138" t="s">
        <v>8401</v>
      </c>
    </row>
    <row r="85" spans="1:10">
      <c r="A85" s="138" t="s">
        <v>8258</v>
      </c>
      <c r="B85" s="138" t="s">
        <v>8409</v>
      </c>
      <c r="C85" s="138" t="s">
        <v>8401</v>
      </c>
      <c r="D85" s="138" t="s">
        <v>8436</v>
      </c>
      <c r="G85" s="138" t="s">
        <v>8399</v>
      </c>
      <c r="H85" s="138" t="s">
        <v>8437</v>
      </c>
      <c r="I85" s="138" t="s">
        <v>8409</v>
      </c>
      <c r="J85" s="138" t="s">
        <v>8410</v>
      </c>
    </row>
    <row r="86" spans="1:10">
      <c r="A86" s="138" t="s">
        <v>8258</v>
      </c>
      <c r="B86" s="138" t="s">
        <v>8409</v>
      </c>
      <c r="C86" s="138" t="s">
        <v>8401</v>
      </c>
      <c r="D86" s="138" t="s">
        <v>8438</v>
      </c>
      <c r="G86" s="138" t="s">
        <v>8399</v>
      </c>
      <c r="H86" s="138" t="s">
        <v>8439</v>
      </c>
      <c r="I86" s="138" t="s">
        <v>8409</v>
      </c>
      <c r="J86" s="138" t="s">
        <v>8401</v>
      </c>
    </row>
    <row r="87" spans="1:10">
      <c r="A87" s="138" t="s">
        <v>8258</v>
      </c>
      <c r="B87" s="138" t="s">
        <v>8409</v>
      </c>
      <c r="C87" s="138" t="s">
        <v>8401</v>
      </c>
      <c r="D87" s="138" t="s">
        <v>8440</v>
      </c>
      <c r="G87" s="138" t="s">
        <v>8399</v>
      </c>
      <c r="H87" s="138" t="s">
        <v>8441</v>
      </c>
      <c r="I87" s="138" t="s">
        <v>379</v>
      </c>
      <c r="J87" s="138" t="s">
        <v>8348</v>
      </c>
    </row>
    <row r="88" spans="1:10">
      <c r="A88" s="138" t="e">
        <v>#N/A</v>
      </c>
      <c r="B88" s="138" t="e">
        <v>#N/A</v>
      </c>
      <c r="C88" s="138" t="s">
        <v>8401</v>
      </c>
      <c r="D88" s="138" t="e">
        <v>#N/A</v>
      </c>
      <c r="G88" s="138" t="s">
        <v>8399</v>
      </c>
      <c r="H88" s="138" t="s">
        <v>8442</v>
      </c>
      <c r="I88" s="138" t="s">
        <v>8258</v>
      </c>
      <c r="J88" s="138" t="s">
        <v>8333</v>
      </c>
    </row>
    <row r="89" spans="1:10">
      <c r="A89" s="138" t="s">
        <v>8443</v>
      </c>
      <c r="B89" s="138" t="s">
        <v>8444</v>
      </c>
      <c r="C89" s="138" t="s">
        <v>8302</v>
      </c>
      <c r="D89" s="138" t="s">
        <v>8445</v>
      </c>
      <c r="G89" s="138" t="s">
        <v>8399</v>
      </c>
      <c r="H89" s="138" t="s">
        <v>8446</v>
      </c>
      <c r="I89" s="138" t="s">
        <v>379</v>
      </c>
      <c r="J89" s="138" t="s">
        <v>8348</v>
      </c>
    </row>
    <row r="90" spans="1:10">
      <c r="A90" s="138" t="s">
        <v>8443</v>
      </c>
      <c r="B90" s="138" t="s">
        <v>8444</v>
      </c>
      <c r="C90" s="138" t="s">
        <v>8302</v>
      </c>
      <c r="D90" s="138" t="s">
        <v>8302</v>
      </c>
      <c r="G90" s="138" t="s">
        <v>8399</v>
      </c>
      <c r="H90" s="138" t="s">
        <v>8447</v>
      </c>
      <c r="I90" s="138" t="s">
        <v>8409</v>
      </c>
      <c r="J90" s="138" t="s">
        <v>8410</v>
      </c>
    </row>
    <row r="91" spans="1:10">
      <c r="A91" s="138" t="s">
        <v>8443</v>
      </c>
      <c r="B91" s="138" t="s">
        <v>8444</v>
      </c>
      <c r="C91" s="138" t="s">
        <v>8302</v>
      </c>
      <c r="D91" s="138" t="s">
        <v>8448</v>
      </c>
      <c r="G91" s="138" t="s">
        <v>8399</v>
      </c>
      <c r="H91" s="138" t="s">
        <v>8449</v>
      </c>
      <c r="I91" s="138" t="s">
        <v>8258</v>
      </c>
      <c r="J91" s="138" t="s">
        <v>8333</v>
      </c>
    </row>
    <row r="92" spans="1:10">
      <c r="A92" s="138" t="s">
        <v>8443</v>
      </c>
      <c r="B92" s="138" t="s">
        <v>8444</v>
      </c>
      <c r="C92" s="138" t="s">
        <v>8302</v>
      </c>
      <c r="D92" s="138" t="s">
        <v>8450</v>
      </c>
      <c r="G92" s="138" t="s">
        <v>8399</v>
      </c>
      <c r="H92" s="138" t="s">
        <v>8451</v>
      </c>
      <c r="I92" s="138" t="s">
        <v>379</v>
      </c>
      <c r="J92" s="138" t="s">
        <v>8378</v>
      </c>
    </row>
    <row r="93" spans="1:10">
      <c r="A93" s="138" t="s">
        <v>8443</v>
      </c>
      <c r="B93" s="138" t="s">
        <v>8444</v>
      </c>
      <c r="C93" s="138" t="s">
        <v>8302</v>
      </c>
      <c r="D93" s="138" t="s">
        <v>8452</v>
      </c>
      <c r="G93" s="138" t="s">
        <v>8399</v>
      </c>
      <c r="H93" s="138" t="s">
        <v>8453</v>
      </c>
      <c r="I93" s="138" t="s">
        <v>8258</v>
      </c>
      <c r="J93" s="138" t="s">
        <v>8277</v>
      </c>
    </row>
    <row r="94" spans="1:10">
      <c r="A94" s="138" t="s">
        <v>8443</v>
      </c>
      <c r="B94" s="138" t="s">
        <v>8444</v>
      </c>
      <c r="C94" s="138" t="s">
        <v>8302</v>
      </c>
      <c r="D94" s="138" t="s">
        <v>8454</v>
      </c>
      <c r="G94" s="138" t="s">
        <v>8399</v>
      </c>
      <c r="H94" s="138" t="s">
        <v>8455</v>
      </c>
      <c r="I94" s="138" t="s">
        <v>8258</v>
      </c>
      <c r="J94" s="138" t="s">
        <v>8319</v>
      </c>
    </row>
    <row r="95" spans="1:10">
      <c r="A95" s="138" t="s">
        <v>8443</v>
      </c>
      <c r="B95" s="138" t="s">
        <v>8444</v>
      </c>
      <c r="C95" s="138" t="s">
        <v>8302</v>
      </c>
      <c r="D95" s="138" t="s">
        <v>8456</v>
      </c>
      <c r="G95" s="138" t="s">
        <v>8399</v>
      </c>
      <c r="H95" s="138" t="s">
        <v>8457</v>
      </c>
      <c r="I95" s="138" t="s">
        <v>8409</v>
      </c>
      <c r="J95" s="138" t="s">
        <v>8401</v>
      </c>
    </row>
    <row r="96" spans="1:10">
      <c r="A96" s="138" t="s">
        <v>8443</v>
      </c>
      <c r="B96" s="138" t="s">
        <v>8444</v>
      </c>
      <c r="C96" s="138" t="s">
        <v>550</v>
      </c>
      <c r="D96" s="138" t="s">
        <v>8458</v>
      </c>
      <c r="G96" s="138" t="s">
        <v>8399</v>
      </c>
      <c r="H96" s="138" t="s">
        <v>8459</v>
      </c>
      <c r="I96" s="138" t="s">
        <v>8409</v>
      </c>
      <c r="J96" s="138" t="s">
        <v>8401</v>
      </c>
    </row>
    <row r="97" spans="1:10">
      <c r="A97" s="138" t="s">
        <v>8443</v>
      </c>
      <c r="B97" s="138" t="s">
        <v>8444</v>
      </c>
      <c r="C97" s="138" t="s">
        <v>550</v>
      </c>
      <c r="D97" s="138" t="s">
        <v>8460</v>
      </c>
      <c r="G97" s="138" t="s">
        <v>8399</v>
      </c>
      <c r="H97" s="138" t="s">
        <v>8461</v>
      </c>
      <c r="I97" s="138" t="s">
        <v>8258</v>
      </c>
      <c r="J97" s="138" t="s">
        <v>8277</v>
      </c>
    </row>
    <row r="98" spans="1:10">
      <c r="A98" s="138" t="s">
        <v>8443</v>
      </c>
      <c r="B98" s="138" t="s">
        <v>8444</v>
      </c>
      <c r="C98" s="138" t="s">
        <v>550</v>
      </c>
      <c r="D98" s="138" t="s">
        <v>8462</v>
      </c>
      <c r="G98" s="138" t="s">
        <v>8399</v>
      </c>
      <c r="H98" s="138" t="s">
        <v>8463</v>
      </c>
      <c r="I98" s="138" t="s">
        <v>8258</v>
      </c>
      <c r="J98" s="138" t="s">
        <v>8319</v>
      </c>
    </row>
    <row r="99" spans="1:10">
      <c r="A99" s="138" t="s">
        <v>8443</v>
      </c>
      <c r="B99" s="138" t="s">
        <v>8444</v>
      </c>
      <c r="C99" s="138" t="s">
        <v>550</v>
      </c>
      <c r="D99" s="138" t="s">
        <v>550</v>
      </c>
      <c r="G99" s="138" t="s">
        <v>8399</v>
      </c>
      <c r="H99" s="138" t="s">
        <v>8464</v>
      </c>
      <c r="I99" s="138" t="s">
        <v>379</v>
      </c>
      <c r="J99" s="138" t="s">
        <v>8348</v>
      </c>
    </row>
    <row r="100" spans="1:10">
      <c r="A100" s="138" t="s">
        <v>8443</v>
      </c>
      <c r="B100" s="138" t="s">
        <v>8444</v>
      </c>
      <c r="C100" s="138" t="s">
        <v>550</v>
      </c>
      <c r="D100" s="138" t="s">
        <v>8465</v>
      </c>
      <c r="G100" s="138" t="s">
        <v>8399</v>
      </c>
      <c r="H100" s="138" t="s">
        <v>8466</v>
      </c>
      <c r="I100" s="138" t="s">
        <v>8409</v>
      </c>
      <c r="J100" s="138" t="s">
        <v>8418</v>
      </c>
    </row>
    <row r="101" spans="1:10">
      <c r="A101" s="138" t="s">
        <v>8443</v>
      </c>
      <c r="B101" s="138" t="s">
        <v>8444</v>
      </c>
      <c r="C101" s="138" t="s">
        <v>8266</v>
      </c>
      <c r="D101" s="138" t="s">
        <v>8467</v>
      </c>
      <c r="G101" s="138" t="s">
        <v>8399</v>
      </c>
      <c r="H101" s="138" t="s">
        <v>8468</v>
      </c>
      <c r="I101" s="138" t="s">
        <v>8258</v>
      </c>
      <c r="J101" s="138" t="s">
        <v>8392</v>
      </c>
    </row>
    <row r="102" spans="1:10">
      <c r="A102" s="138" t="s">
        <v>8443</v>
      </c>
      <c r="B102" s="138" t="s">
        <v>8444</v>
      </c>
      <c r="C102" s="138" t="s">
        <v>8266</v>
      </c>
      <c r="D102" s="138" t="s">
        <v>8469</v>
      </c>
      <c r="G102" s="138" t="s">
        <v>8399</v>
      </c>
      <c r="H102" s="138" t="s">
        <v>8470</v>
      </c>
      <c r="I102" s="138" t="s">
        <v>8258</v>
      </c>
      <c r="J102" s="138" t="s">
        <v>8392</v>
      </c>
    </row>
    <row r="103" spans="1:10">
      <c r="A103" s="138" t="s">
        <v>8443</v>
      </c>
      <c r="B103" s="138" t="s">
        <v>8444</v>
      </c>
      <c r="C103" s="138" t="s">
        <v>8266</v>
      </c>
      <c r="D103" s="138" t="s">
        <v>8266</v>
      </c>
      <c r="G103" s="138" t="s">
        <v>8399</v>
      </c>
      <c r="H103" s="138" t="s">
        <v>8471</v>
      </c>
      <c r="I103" s="138" t="s">
        <v>8258</v>
      </c>
      <c r="J103" s="138" t="s">
        <v>8293</v>
      </c>
    </row>
    <row r="104" spans="1:10">
      <c r="A104" s="138" t="s">
        <v>8443</v>
      </c>
      <c r="B104" s="138" t="s">
        <v>8444</v>
      </c>
      <c r="C104" s="138" t="s">
        <v>8266</v>
      </c>
      <c r="D104" s="138" t="s">
        <v>8472</v>
      </c>
      <c r="G104" s="138" t="s">
        <v>8399</v>
      </c>
      <c r="H104" s="138" t="s">
        <v>8473</v>
      </c>
      <c r="I104" s="138" t="s">
        <v>8258</v>
      </c>
      <c r="J104" s="138" t="s">
        <v>8333</v>
      </c>
    </row>
    <row r="105" spans="1:10">
      <c r="A105" s="138" t="s">
        <v>8443</v>
      </c>
      <c r="B105" s="138" t="s">
        <v>8444</v>
      </c>
      <c r="C105" s="138" t="s">
        <v>8266</v>
      </c>
      <c r="D105" s="138" t="s">
        <v>8474</v>
      </c>
      <c r="G105" s="138" t="s">
        <v>8399</v>
      </c>
      <c r="H105" s="138" t="s">
        <v>8475</v>
      </c>
      <c r="I105" s="138" t="s">
        <v>379</v>
      </c>
      <c r="J105" s="138" t="s">
        <v>8378</v>
      </c>
    </row>
    <row r="106" spans="1:10">
      <c r="A106" s="138" t="s">
        <v>8443</v>
      </c>
      <c r="B106" s="138" t="s">
        <v>8444</v>
      </c>
      <c r="C106" s="138" t="s">
        <v>8266</v>
      </c>
      <c r="D106" s="138" t="s">
        <v>8476</v>
      </c>
      <c r="G106" s="138" t="s">
        <v>8399</v>
      </c>
      <c r="H106" s="138" t="s">
        <v>8477</v>
      </c>
      <c r="I106" s="138" t="s">
        <v>8258</v>
      </c>
      <c r="J106" s="138" t="s">
        <v>8259</v>
      </c>
    </row>
    <row r="107" spans="1:10">
      <c r="A107" s="138" t="s">
        <v>8443</v>
      </c>
      <c r="B107" s="138" t="s">
        <v>8444</v>
      </c>
      <c r="C107" s="138" t="s">
        <v>8266</v>
      </c>
      <c r="D107" s="138" t="s">
        <v>8478</v>
      </c>
      <c r="G107" s="138" t="s">
        <v>8399</v>
      </c>
      <c r="H107" s="138" t="s">
        <v>8479</v>
      </c>
      <c r="I107" s="138" t="s">
        <v>8409</v>
      </c>
      <c r="J107" s="138" t="s">
        <v>8410</v>
      </c>
    </row>
    <row r="108" spans="1:10">
      <c r="A108" s="138" t="e">
        <v>#N/A</v>
      </c>
      <c r="B108" s="138" t="e">
        <v>#N/A</v>
      </c>
      <c r="C108" s="138" t="s">
        <v>8266</v>
      </c>
      <c r="D108" s="138" t="e">
        <v>#N/A</v>
      </c>
      <c r="G108" s="138" t="s">
        <v>8399</v>
      </c>
      <c r="H108" s="138" t="s">
        <v>8480</v>
      </c>
      <c r="I108" s="138" t="s">
        <v>379</v>
      </c>
      <c r="J108" s="138" t="s">
        <v>8364</v>
      </c>
    </row>
    <row r="109" spans="1:10">
      <c r="A109" s="138" t="s">
        <v>8443</v>
      </c>
      <c r="B109" s="138" t="s">
        <v>8444</v>
      </c>
      <c r="C109" s="138" t="s">
        <v>8311</v>
      </c>
      <c r="D109" s="138" t="s">
        <v>8481</v>
      </c>
      <c r="G109" s="138" t="s">
        <v>8399</v>
      </c>
      <c r="H109" s="138" t="s">
        <v>8482</v>
      </c>
      <c r="I109" s="138" t="s">
        <v>8258</v>
      </c>
      <c r="J109" s="138" t="s">
        <v>8392</v>
      </c>
    </row>
    <row r="110" spans="1:10">
      <c r="A110" s="138" t="s">
        <v>8443</v>
      </c>
      <c r="B110" s="138" t="s">
        <v>8444</v>
      </c>
      <c r="C110" s="138" t="s">
        <v>8311</v>
      </c>
      <c r="D110" s="138" t="s">
        <v>8483</v>
      </c>
      <c r="G110" s="138" t="s">
        <v>8399</v>
      </c>
      <c r="H110" s="138" t="s">
        <v>8484</v>
      </c>
      <c r="I110" s="138" t="s">
        <v>8258</v>
      </c>
      <c r="J110" s="138" t="s">
        <v>8259</v>
      </c>
    </row>
    <row r="111" spans="1:10">
      <c r="A111" s="138" t="s">
        <v>8443</v>
      </c>
      <c r="B111" s="138" t="s">
        <v>8444</v>
      </c>
      <c r="C111" s="138" t="s">
        <v>8311</v>
      </c>
      <c r="D111" s="138" t="s">
        <v>8485</v>
      </c>
      <c r="G111" s="138" t="s">
        <v>8399</v>
      </c>
      <c r="H111" s="138" t="s">
        <v>8486</v>
      </c>
      <c r="I111" s="138" t="s">
        <v>379</v>
      </c>
      <c r="J111" s="138" t="s">
        <v>8348</v>
      </c>
    </row>
    <row r="112" spans="1:10">
      <c r="A112" s="138" t="s">
        <v>8443</v>
      </c>
      <c r="B112" s="138" t="s">
        <v>8444</v>
      </c>
      <c r="C112" s="138" t="s">
        <v>8311</v>
      </c>
      <c r="D112" s="138" t="s">
        <v>8311</v>
      </c>
      <c r="G112" s="138" t="s">
        <v>8399</v>
      </c>
      <c r="H112" s="138" t="s">
        <v>8487</v>
      </c>
      <c r="I112" s="138" t="s">
        <v>8258</v>
      </c>
      <c r="J112" s="138" t="s">
        <v>8392</v>
      </c>
    </row>
    <row r="113" spans="1:10">
      <c r="A113" s="138" t="s">
        <v>8443</v>
      </c>
      <c r="B113" s="138" t="s">
        <v>8444</v>
      </c>
      <c r="C113" s="138" t="s">
        <v>8311</v>
      </c>
      <c r="D113" s="138" t="s">
        <v>8488</v>
      </c>
      <c r="G113" s="138" t="s">
        <v>8399</v>
      </c>
      <c r="H113" s="138" t="s">
        <v>8489</v>
      </c>
      <c r="I113" s="138" t="s">
        <v>8258</v>
      </c>
      <c r="J113" s="138" t="s">
        <v>8392</v>
      </c>
    </row>
    <row r="114" spans="1:10">
      <c r="A114" s="138" t="s">
        <v>8443</v>
      </c>
      <c r="B114" s="138" t="s">
        <v>8444</v>
      </c>
      <c r="C114" s="138" t="s">
        <v>8311</v>
      </c>
      <c r="D114" s="138" t="s">
        <v>8490</v>
      </c>
      <c r="G114" s="138" t="s">
        <v>8399</v>
      </c>
      <c r="H114" s="138" t="s">
        <v>8491</v>
      </c>
      <c r="I114" s="138" t="s">
        <v>379</v>
      </c>
      <c r="J114" s="138" t="s">
        <v>8364</v>
      </c>
    </row>
    <row r="115" spans="1:10">
      <c r="A115" s="138" t="e">
        <v>#N/A</v>
      </c>
      <c r="B115" s="138" t="e">
        <v>#N/A</v>
      </c>
      <c r="C115" s="138" t="s">
        <v>8311</v>
      </c>
      <c r="D115" s="138" t="e">
        <v>#N/A</v>
      </c>
      <c r="G115" s="138" t="s">
        <v>8399</v>
      </c>
      <c r="H115" s="138" t="s">
        <v>8492</v>
      </c>
      <c r="I115" s="138" t="s">
        <v>8258</v>
      </c>
      <c r="J115" s="138" t="s">
        <v>8319</v>
      </c>
    </row>
    <row r="116" spans="1:10">
      <c r="A116" s="138" t="s">
        <v>8443</v>
      </c>
      <c r="B116" s="138" t="s">
        <v>8444</v>
      </c>
      <c r="C116" s="138" t="s">
        <v>8296</v>
      </c>
      <c r="D116" s="138" t="s">
        <v>8296</v>
      </c>
      <c r="G116" s="138" t="s">
        <v>8399</v>
      </c>
      <c r="H116" s="138" t="s">
        <v>8493</v>
      </c>
      <c r="I116" s="138" t="s">
        <v>8409</v>
      </c>
      <c r="J116" s="138" t="s">
        <v>8401</v>
      </c>
    </row>
    <row r="117" spans="1:10">
      <c r="A117" s="138" t="s">
        <v>8443</v>
      </c>
      <c r="B117" s="138" t="s">
        <v>8444</v>
      </c>
      <c r="C117" s="138" t="s">
        <v>8296</v>
      </c>
      <c r="D117" s="138" t="s">
        <v>8494</v>
      </c>
      <c r="G117" s="138" t="s">
        <v>8399</v>
      </c>
      <c r="H117" s="138" t="s">
        <v>8495</v>
      </c>
      <c r="I117" s="138" t="s">
        <v>8258</v>
      </c>
      <c r="J117" s="138" t="s">
        <v>8293</v>
      </c>
    </row>
    <row r="118" spans="1:10">
      <c r="A118" s="138" t="s">
        <v>8443</v>
      </c>
      <c r="B118" s="138" t="s">
        <v>8444</v>
      </c>
      <c r="C118" s="138" t="s">
        <v>8296</v>
      </c>
      <c r="D118" s="138" t="s">
        <v>8496</v>
      </c>
      <c r="G118" s="138" t="s">
        <v>8399</v>
      </c>
      <c r="H118" s="138" t="s">
        <v>8497</v>
      </c>
      <c r="I118" s="138" t="s">
        <v>379</v>
      </c>
      <c r="J118" s="138" t="s">
        <v>8364</v>
      </c>
    </row>
    <row r="119" spans="1:10">
      <c r="A119" s="138" t="s">
        <v>8443</v>
      </c>
      <c r="B119" s="138" t="s">
        <v>8444</v>
      </c>
      <c r="C119" s="138" t="s">
        <v>8296</v>
      </c>
      <c r="D119" s="138" t="s">
        <v>8498</v>
      </c>
      <c r="G119" s="138" t="s">
        <v>8399</v>
      </c>
      <c r="H119" s="138" t="s">
        <v>8499</v>
      </c>
      <c r="I119" s="138" t="s">
        <v>379</v>
      </c>
      <c r="J119" s="138" t="s">
        <v>8378</v>
      </c>
    </row>
    <row r="120" spans="1:10">
      <c r="A120" s="138" t="s">
        <v>8443</v>
      </c>
      <c r="B120" s="138" t="s">
        <v>8444</v>
      </c>
      <c r="C120" s="138" t="s">
        <v>8263</v>
      </c>
      <c r="D120" s="138" t="s">
        <v>8500</v>
      </c>
      <c r="G120" s="138" t="s">
        <v>8399</v>
      </c>
      <c r="H120" s="138" t="s">
        <v>8501</v>
      </c>
      <c r="I120" s="138" t="s">
        <v>379</v>
      </c>
      <c r="J120" s="138" t="s">
        <v>8378</v>
      </c>
    </row>
    <row r="121" spans="1:10">
      <c r="A121" s="138" t="s">
        <v>8443</v>
      </c>
      <c r="B121" s="138" t="s">
        <v>8444</v>
      </c>
      <c r="C121" s="138" t="s">
        <v>8263</v>
      </c>
      <c r="D121" s="138" t="s">
        <v>8502</v>
      </c>
      <c r="G121" s="138" t="s">
        <v>8399</v>
      </c>
      <c r="H121" s="138" t="s">
        <v>8503</v>
      </c>
      <c r="I121" s="138" t="s">
        <v>8258</v>
      </c>
      <c r="J121" s="138" t="s">
        <v>8333</v>
      </c>
    </row>
    <row r="122" spans="1:10">
      <c r="A122" s="138" t="s">
        <v>8443</v>
      </c>
      <c r="B122" s="138" t="s">
        <v>8444</v>
      </c>
      <c r="C122" s="138" t="s">
        <v>8263</v>
      </c>
      <c r="D122" s="138" t="s">
        <v>8504</v>
      </c>
      <c r="G122" s="138" t="s">
        <v>8399</v>
      </c>
      <c r="H122" s="138" t="s">
        <v>8505</v>
      </c>
      <c r="I122" s="138" t="s">
        <v>379</v>
      </c>
      <c r="J122" s="138" t="s">
        <v>8348</v>
      </c>
    </row>
    <row r="123" spans="1:10">
      <c r="A123" s="138" t="s">
        <v>8443</v>
      </c>
      <c r="B123" s="138" t="s">
        <v>8444</v>
      </c>
      <c r="C123" s="138" t="s">
        <v>8263</v>
      </c>
      <c r="D123" s="138" t="s">
        <v>8506</v>
      </c>
      <c r="G123" s="138" t="s">
        <v>8399</v>
      </c>
      <c r="H123" s="138" t="s">
        <v>8507</v>
      </c>
      <c r="I123" s="138" t="s">
        <v>8409</v>
      </c>
      <c r="J123" s="138" t="s">
        <v>8418</v>
      </c>
    </row>
    <row r="124" spans="1:10">
      <c r="A124" s="138" t="s">
        <v>8443</v>
      </c>
      <c r="B124" s="138" t="s">
        <v>8444</v>
      </c>
      <c r="C124" s="138" t="s">
        <v>8263</v>
      </c>
      <c r="D124" s="138" t="s">
        <v>8508</v>
      </c>
      <c r="G124" s="138" t="s">
        <v>8399</v>
      </c>
      <c r="H124" s="138" t="s">
        <v>8509</v>
      </c>
      <c r="I124" s="138" t="s">
        <v>8258</v>
      </c>
      <c r="J124" s="138" t="s">
        <v>8319</v>
      </c>
    </row>
    <row r="125" spans="1:10">
      <c r="A125" s="138" t="s">
        <v>8443</v>
      </c>
      <c r="B125" s="138" t="s">
        <v>8444</v>
      </c>
      <c r="C125" s="138" t="s">
        <v>8263</v>
      </c>
      <c r="D125" s="138" t="s">
        <v>8510</v>
      </c>
      <c r="G125" s="138" t="s">
        <v>8399</v>
      </c>
      <c r="H125" s="138" t="s">
        <v>8511</v>
      </c>
      <c r="I125" s="138" t="s">
        <v>8258</v>
      </c>
      <c r="J125" s="138" t="s">
        <v>8277</v>
      </c>
    </row>
    <row r="126" spans="1:10">
      <c r="A126" s="138" t="e">
        <v>#N/A</v>
      </c>
      <c r="B126" s="138" t="e">
        <v>#N/A</v>
      </c>
      <c r="C126" s="138" t="s">
        <v>8263</v>
      </c>
      <c r="D126" s="138" t="e">
        <v>#N/A</v>
      </c>
      <c r="G126" s="138" t="s">
        <v>8399</v>
      </c>
      <c r="H126" s="138" t="s">
        <v>8512</v>
      </c>
      <c r="I126" s="138" t="s">
        <v>8258</v>
      </c>
      <c r="J126" s="138" t="s">
        <v>8333</v>
      </c>
    </row>
    <row r="127" spans="1:10">
      <c r="A127" s="138" t="s">
        <v>8443</v>
      </c>
      <c r="B127" s="138" t="s">
        <v>8443</v>
      </c>
      <c r="C127" s="138" t="s">
        <v>8274</v>
      </c>
      <c r="D127" s="138" t="s">
        <v>8513</v>
      </c>
      <c r="G127" s="138" t="s">
        <v>8399</v>
      </c>
      <c r="H127" s="138" t="s">
        <v>8514</v>
      </c>
      <c r="I127" s="138" t="s">
        <v>8258</v>
      </c>
      <c r="J127" s="138" t="s">
        <v>8293</v>
      </c>
    </row>
    <row r="128" spans="1:10">
      <c r="A128" s="138" t="s">
        <v>8443</v>
      </c>
      <c r="B128" s="138" t="s">
        <v>8443</v>
      </c>
      <c r="C128" s="138" t="s">
        <v>8274</v>
      </c>
      <c r="D128" s="138" t="s">
        <v>8443</v>
      </c>
      <c r="G128" s="138" t="s">
        <v>8399</v>
      </c>
      <c r="H128" s="138" t="s">
        <v>8515</v>
      </c>
      <c r="I128" s="138" t="s">
        <v>379</v>
      </c>
      <c r="J128" s="138" t="s">
        <v>8364</v>
      </c>
    </row>
    <row r="129" spans="1:10">
      <c r="A129" s="138" t="s">
        <v>8443</v>
      </c>
      <c r="B129" s="138" t="s">
        <v>8443</v>
      </c>
      <c r="C129" s="138" t="s">
        <v>8274</v>
      </c>
      <c r="D129" s="138" t="s">
        <v>8274</v>
      </c>
      <c r="G129" s="138" t="s">
        <v>8399</v>
      </c>
      <c r="H129" s="138" t="s">
        <v>8516</v>
      </c>
      <c r="I129" s="138" t="s">
        <v>379</v>
      </c>
      <c r="J129" s="138" t="s">
        <v>8378</v>
      </c>
    </row>
    <row r="130" spans="1:10">
      <c r="A130" s="138" t="s">
        <v>8443</v>
      </c>
      <c r="B130" s="138" t="s">
        <v>8443</v>
      </c>
      <c r="C130" s="138" t="s">
        <v>8274</v>
      </c>
      <c r="D130" s="138" t="s">
        <v>8517</v>
      </c>
      <c r="G130" s="138" t="s">
        <v>8518</v>
      </c>
      <c r="H130" s="138" t="s">
        <v>8519</v>
      </c>
      <c r="I130" s="138" t="s">
        <v>9554</v>
      </c>
      <c r="J130" s="138" t="s">
        <v>8520</v>
      </c>
    </row>
    <row r="131" spans="1:10">
      <c r="A131" s="138" t="s">
        <v>8443</v>
      </c>
      <c r="B131" s="138" t="s">
        <v>8443</v>
      </c>
      <c r="C131" s="138" t="s">
        <v>8274</v>
      </c>
      <c r="D131" s="138" t="s">
        <v>8521</v>
      </c>
      <c r="G131" s="138" t="s">
        <v>8518</v>
      </c>
      <c r="H131" s="138" t="s">
        <v>8522</v>
      </c>
      <c r="I131" s="138" t="s">
        <v>9575</v>
      </c>
      <c r="J131" s="138" t="s">
        <v>8523</v>
      </c>
    </row>
    <row r="132" spans="1:10">
      <c r="A132" s="138" t="s">
        <v>8443</v>
      </c>
      <c r="B132" s="138" t="s">
        <v>8443</v>
      </c>
      <c r="C132" s="138" t="s">
        <v>8274</v>
      </c>
      <c r="D132" s="138" t="s">
        <v>8524</v>
      </c>
      <c r="G132" s="138" t="s">
        <v>8518</v>
      </c>
      <c r="H132" s="138" t="s">
        <v>8525</v>
      </c>
      <c r="I132" s="138" t="s">
        <v>9575</v>
      </c>
      <c r="J132" s="138" t="s">
        <v>8526</v>
      </c>
    </row>
    <row r="133" spans="1:10">
      <c r="A133" s="138" t="s">
        <v>8443</v>
      </c>
      <c r="B133" s="138" t="s">
        <v>8443</v>
      </c>
      <c r="C133" s="138" t="s">
        <v>8285</v>
      </c>
      <c r="D133" s="138" t="s">
        <v>8527</v>
      </c>
      <c r="G133" s="138" t="s">
        <v>8518</v>
      </c>
      <c r="H133" s="138" t="s">
        <v>8528</v>
      </c>
      <c r="I133" s="138" t="s">
        <v>9575</v>
      </c>
      <c r="J133" s="138" t="s">
        <v>8529</v>
      </c>
    </row>
    <row r="134" spans="1:10">
      <c r="A134" s="138" t="s">
        <v>8443</v>
      </c>
      <c r="B134" s="138" t="s">
        <v>8443</v>
      </c>
      <c r="C134" s="138" t="s">
        <v>8285</v>
      </c>
      <c r="D134" s="138" t="s">
        <v>8285</v>
      </c>
      <c r="G134" s="138" t="s">
        <v>8518</v>
      </c>
      <c r="H134" s="138" t="s">
        <v>8530</v>
      </c>
      <c r="I134" s="138" t="s">
        <v>9575</v>
      </c>
      <c r="J134" s="138" t="s">
        <v>8529</v>
      </c>
    </row>
    <row r="135" spans="1:10">
      <c r="A135" s="138" t="s">
        <v>8443</v>
      </c>
      <c r="B135" s="138" t="s">
        <v>8443</v>
      </c>
      <c r="C135" s="138" t="s">
        <v>8285</v>
      </c>
      <c r="D135" s="138" t="s">
        <v>8531</v>
      </c>
      <c r="G135" s="138" t="s">
        <v>8518</v>
      </c>
      <c r="H135" s="138" t="s">
        <v>8532</v>
      </c>
      <c r="I135" s="138" t="s">
        <v>9575</v>
      </c>
      <c r="J135" s="138" t="s">
        <v>8523</v>
      </c>
    </row>
    <row r="136" spans="1:10">
      <c r="A136" s="138" t="s">
        <v>8443</v>
      </c>
      <c r="B136" s="138" t="s">
        <v>8443</v>
      </c>
      <c r="C136" s="138" t="s">
        <v>8285</v>
      </c>
      <c r="D136" s="138" t="s">
        <v>8533</v>
      </c>
      <c r="G136" s="138" t="s">
        <v>8518</v>
      </c>
      <c r="H136" s="138" t="s">
        <v>8534</v>
      </c>
      <c r="I136" s="138" t="s">
        <v>8077</v>
      </c>
      <c r="J136" s="138" t="s">
        <v>8535</v>
      </c>
    </row>
    <row r="137" spans="1:10">
      <c r="A137" s="138" t="s">
        <v>8443</v>
      </c>
      <c r="B137" s="138" t="s">
        <v>8443</v>
      </c>
      <c r="C137" s="138" t="s">
        <v>8285</v>
      </c>
      <c r="D137" s="138" t="s">
        <v>8309</v>
      </c>
      <c r="G137" s="138" t="s">
        <v>8518</v>
      </c>
      <c r="H137" s="138" t="s">
        <v>8536</v>
      </c>
      <c r="I137" s="138" t="s">
        <v>9575</v>
      </c>
      <c r="J137" s="138" t="s">
        <v>8526</v>
      </c>
    </row>
    <row r="138" spans="1:10">
      <c r="A138" s="138" t="s">
        <v>8443</v>
      </c>
      <c r="B138" s="138" t="s">
        <v>8443</v>
      </c>
      <c r="C138" s="138" t="s">
        <v>8285</v>
      </c>
      <c r="D138" s="138" t="s">
        <v>8537</v>
      </c>
      <c r="G138" s="138" t="s">
        <v>8518</v>
      </c>
      <c r="H138" s="138" t="s">
        <v>8538</v>
      </c>
      <c r="I138" s="138" t="e">
        <v>#N/A</v>
      </c>
      <c r="J138" s="138" t="s">
        <v>8538</v>
      </c>
    </row>
    <row r="139" spans="1:10">
      <c r="A139" s="138" t="s">
        <v>8443</v>
      </c>
      <c r="B139" s="138" t="s">
        <v>8443</v>
      </c>
      <c r="C139" s="138" t="s">
        <v>8285</v>
      </c>
      <c r="D139" s="138" t="s">
        <v>8539</v>
      </c>
      <c r="G139" s="138" t="s">
        <v>8518</v>
      </c>
      <c r="H139" s="138" t="s">
        <v>8540</v>
      </c>
      <c r="I139" s="138" t="s">
        <v>8077</v>
      </c>
      <c r="J139" s="138" t="s">
        <v>8535</v>
      </c>
    </row>
    <row r="140" spans="1:10">
      <c r="A140" s="138" t="s">
        <v>8443</v>
      </c>
      <c r="B140" s="138" t="s">
        <v>8443</v>
      </c>
      <c r="C140" s="138" t="s">
        <v>8285</v>
      </c>
      <c r="D140" s="138" t="s">
        <v>8541</v>
      </c>
      <c r="G140" s="138" t="s">
        <v>8518</v>
      </c>
      <c r="H140" s="138" t="s">
        <v>8542</v>
      </c>
      <c r="I140" s="138" t="s">
        <v>9554</v>
      </c>
      <c r="J140" s="138" t="s">
        <v>8520</v>
      </c>
    </row>
    <row r="141" spans="1:10">
      <c r="A141" s="138" t="s">
        <v>8443</v>
      </c>
      <c r="B141" s="138" t="s">
        <v>8443</v>
      </c>
      <c r="C141" s="138" t="s">
        <v>8285</v>
      </c>
      <c r="D141" s="138" t="s">
        <v>8543</v>
      </c>
      <c r="G141" s="138" t="s">
        <v>8518</v>
      </c>
      <c r="H141" s="138" t="s">
        <v>8544</v>
      </c>
      <c r="I141" s="138" t="s">
        <v>9554</v>
      </c>
      <c r="J141" s="138" t="s">
        <v>8520</v>
      </c>
    </row>
    <row r="142" spans="1:10">
      <c r="A142" s="138" t="s">
        <v>8443</v>
      </c>
      <c r="B142" s="138" t="s">
        <v>8443</v>
      </c>
      <c r="C142" s="138" t="s">
        <v>8271</v>
      </c>
      <c r="D142" s="138" t="s">
        <v>8443</v>
      </c>
      <c r="G142" s="138" t="s">
        <v>8518</v>
      </c>
      <c r="H142" s="138" t="s">
        <v>8093</v>
      </c>
      <c r="I142" s="138" t="s">
        <v>4367</v>
      </c>
      <c r="J142" s="138" t="s">
        <v>19</v>
      </c>
    </row>
    <row r="143" spans="1:10">
      <c r="A143" s="138" t="s">
        <v>8443</v>
      </c>
      <c r="B143" s="138" t="s">
        <v>8443</v>
      </c>
      <c r="C143" s="138" t="s">
        <v>8271</v>
      </c>
      <c r="D143" s="138" t="s">
        <v>8545</v>
      </c>
      <c r="G143" s="138" t="s">
        <v>8518</v>
      </c>
      <c r="H143" s="138" t="s">
        <v>8546</v>
      </c>
      <c r="I143" s="138" t="s">
        <v>9554</v>
      </c>
      <c r="J143" s="138" t="s">
        <v>8520</v>
      </c>
    </row>
    <row r="144" spans="1:10">
      <c r="A144" s="138" t="e">
        <v>#N/A</v>
      </c>
      <c r="B144" s="138" t="e">
        <v>#N/A</v>
      </c>
      <c r="C144" s="138" t="s">
        <v>8271</v>
      </c>
      <c r="D144" s="138" t="e">
        <v>#N/A</v>
      </c>
      <c r="G144" s="138" t="s">
        <v>8518</v>
      </c>
      <c r="H144" s="138" t="s">
        <v>1313</v>
      </c>
      <c r="I144" s="138" t="s">
        <v>4367</v>
      </c>
      <c r="J144" s="138" t="s">
        <v>19</v>
      </c>
    </row>
    <row r="145" spans="1:10">
      <c r="A145" s="138" t="s">
        <v>8443</v>
      </c>
      <c r="B145" s="138" t="s">
        <v>8443</v>
      </c>
      <c r="C145" s="138" t="s">
        <v>8290</v>
      </c>
      <c r="D145" s="138" t="s">
        <v>8547</v>
      </c>
      <c r="G145" s="138" t="s">
        <v>8518</v>
      </c>
      <c r="H145" s="138" t="s">
        <v>7868</v>
      </c>
      <c r="I145" s="138" t="s">
        <v>4367</v>
      </c>
      <c r="J145" s="138" t="s">
        <v>10</v>
      </c>
    </row>
    <row r="146" spans="1:10">
      <c r="A146" s="138" t="s">
        <v>8443</v>
      </c>
      <c r="B146" s="138" t="s">
        <v>8443</v>
      </c>
      <c r="C146" s="138" t="s">
        <v>8290</v>
      </c>
      <c r="D146" s="138" t="s">
        <v>8548</v>
      </c>
      <c r="G146" s="138" t="s">
        <v>8518</v>
      </c>
      <c r="H146" s="138" t="s">
        <v>8549</v>
      </c>
      <c r="I146" s="138" t="s">
        <v>9575</v>
      </c>
      <c r="J146" s="138" t="s">
        <v>8550</v>
      </c>
    </row>
    <row r="147" spans="1:10">
      <c r="A147" s="138" t="s">
        <v>8443</v>
      </c>
      <c r="B147" s="138" t="s">
        <v>8443</v>
      </c>
      <c r="C147" s="138" t="s">
        <v>8290</v>
      </c>
      <c r="D147" s="138" t="s">
        <v>8551</v>
      </c>
      <c r="G147" s="138" t="s">
        <v>8518</v>
      </c>
      <c r="H147" s="138" t="s">
        <v>1085</v>
      </c>
      <c r="I147" s="138" t="s">
        <v>4367</v>
      </c>
      <c r="J147" s="138" t="s">
        <v>19</v>
      </c>
    </row>
    <row r="148" spans="1:10">
      <c r="A148" s="138" t="s">
        <v>8443</v>
      </c>
      <c r="B148" s="138" t="s">
        <v>8443</v>
      </c>
      <c r="C148" s="138" t="s">
        <v>8290</v>
      </c>
      <c r="D148" s="138" t="s">
        <v>8552</v>
      </c>
      <c r="G148" s="138" t="s">
        <v>8518</v>
      </c>
      <c r="H148" s="138" t="s">
        <v>8553</v>
      </c>
      <c r="I148" s="138" t="s">
        <v>8077</v>
      </c>
      <c r="J148" s="138" t="s">
        <v>8554</v>
      </c>
    </row>
    <row r="149" spans="1:10">
      <c r="A149" s="138" t="s">
        <v>8443</v>
      </c>
      <c r="B149" s="138" t="s">
        <v>8443</v>
      </c>
      <c r="C149" s="138" t="s">
        <v>8290</v>
      </c>
      <c r="D149" s="138" t="s">
        <v>8309</v>
      </c>
      <c r="G149" s="138" t="s">
        <v>8518</v>
      </c>
      <c r="H149" s="138" t="s">
        <v>8555</v>
      </c>
      <c r="I149" s="138" t="s">
        <v>9575</v>
      </c>
      <c r="J149" s="138" t="s">
        <v>1193</v>
      </c>
    </row>
    <row r="150" spans="1:10">
      <c r="A150" s="138" t="s">
        <v>8443</v>
      </c>
      <c r="B150" s="138" t="s">
        <v>8443</v>
      </c>
      <c r="C150" s="138" t="s">
        <v>8290</v>
      </c>
      <c r="D150" s="138" t="s">
        <v>8556</v>
      </c>
      <c r="G150" s="138" t="s">
        <v>8518</v>
      </c>
      <c r="H150" s="138" t="s">
        <v>8272</v>
      </c>
      <c r="I150" s="138" t="s">
        <v>4367</v>
      </c>
      <c r="J150" s="138" t="s">
        <v>792</v>
      </c>
    </row>
    <row r="151" spans="1:10">
      <c r="A151" s="138" t="s">
        <v>8443</v>
      </c>
      <c r="B151" s="138" t="s">
        <v>8443</v>
      </c>
      <c r="C151" s="138" t="s">
        <v>8290</v>
      </c>
      <c r="D151" s="138" t="s">
        <v>8557</v>
      </c>
      <c r="G151" s="138" t="s">
        <v>8518</v>
      </c>
      <c r="H151" s="138" t="s">
        <v>8286</v>
      </c>
      <c r="I151" s="138" t="s">
        <v>4367</v>
      </c>
      <c r="J151" s="138" t="s">
        <v>11</v>
      </c>
    </row>
    <row r="152" spans="1:10">
      <c r="A152" s="138" t="e">
        <v>#N/A</v>
      </c>
      <c r="B152" s="138" t="e">
        <v>#N/A</v>
      </c>
      <c r="C152" s="138" t="s">
        <v>8290</v>
      </c>
      <c r="D152" s="138" t="e">
        <v>#N/A</v>
      </c>
      <c r="G152" s="138" t="s">
        <v>8518</v>
      </c>
      <c r="H152" s="138" t="s">
        <v>8558</v>
      </c>
      <c r="I152" s="138" t="s">
        <v>9575</v>
      </c>
      <c r="J152" s="138" t="s">
        <v>8559</v>
      </c>
    </row>
    <row r="153" spans="1:10">
      <c r="A153" s="138" t="s">
        <v>8443</v>
      </c>
      <c r="B153" s="138" t="s">
        <v>8443</v>
      </c>
      <c r="C153" s="138" t="s">
        <v>8359</v>
      </c>
      <c r="D153" s="138" t="s">
        <v>8560</v>
      </c>
      <c r="G153" s="138" t="s">
        <v>8518</v>
      </c>
      <c r="H153" s="138" t="s">
        <v>855</v>
      </c>
      <c r="I153" s="138" t="s">
        <v>4367</v>
      </c>
      <c r="J153" s="138" t="s">
        <v>11</v>
      </c>
    </row>
    <row r="154" spans="1:10">
      <c r="A154" s="138" t="s">
        <v>8443</v>
      </c>
      <c r="B154" s="138" t="s">
        <v>8443</v>
      </c>
      <c r="C154" s="138" t="s">
        <v>8359</v>
      </c>
      <c r="D154" s="138" t="s">
        <v>8561</v>
      </c>
      <c r="G154" s="138" t="s">
        <v>8518</v>
      </c>
      <c r="H154" s="138" t="s">
        <v>8562</v>
      </c>
      <c r="I154" s="138" t="s">
        <v>9575</v>
      </c>
      <c r="J154" s="138" t="s">
        <v>8550</v>
      </c>
    </row>
    <row r="155" spans="1:10">
      <c r="A155" s="138" t="s">
        <v>8443</v>
      </c>
      <c r="B155" s="138" t="s">
        <v>8443</v>
      </c>
      <c r="C155" s="138" t="s">
        <v>8359</v>
      </c>
      <c r="D155" s="138" t="s">
        <v>8563</v>
      </c>
      <c r="G155" s="138" t="s">
        <v>8518</v>
      </c>
      <c r="H155" s="138" t="s">
        <v>8269</v>
      </c>
      <c r="I155" s="138" t="s">
        <v>4367</v>
      </c>
      <c r="J155" s="138" t="s">
        <v>19</v>
      </c>
    </row>
    <row r="156" spans="1:10">
      <c r="A156" s="138" t="s">
        <v>8443</v>
      </c>
      <c r="B156" s="138" t="s">
        <v>8443</v>
      </c>
      <c r="C156" s="138" t="s">
        <v>8359</v>
      </c>
      <c r="D156" s="138" t="s">
        <v>8564</v>
      </c>
      <c r="G156" s="138" t="s">
        <v>8518</v>
      </c>
      <c r="H156" s="138" t="s">
        <v>8565</v>
      </c>
      <c r="I156" s="138" t="s">
        <v>8077</v>
      </c>
      <c r="J156" s="138" t="s">
        <v>8566</v>
      </c>
    </row>
    <row r="157" spans="1:10">
      <c r="A157" s="138" t="s">
        <v>8443</v>
      </c>
      <c r="B157" s="138" t="s">
        <v>8443</v>
      </c>
      <c r="C157" s="138" t="s">
        <v>8359</v>
      </c>
      <c r="D157" s="138" t="s">
        <v>8567</v>
      </c>
      <c r="G157" s="138" t="s">
        <v>8518</v>
      </c>
      <c r="H157" s="138" t="s">
        <v>1249</v>
      </c>
      <c r="I157" s="138" t="s">
        <v>4367</v>
      </c>
      <c r="J157" s="138" t="s">
        <v>7</v>
      </c>
    </row>
    <row r="158" spans="1:10">
      <c r="A158" s="138" t="s">
        <v>8443</v>
      </c>
      <c r="B158" s="138" t="s">
        <v>8443</v>
      </c>
      <c r="C158" s="138" t="s">
        <v>8309</v>
      </c>
      <c r="D158" s="138" t="s">
        <v>8309</v>
      </c>
      <c r="G158" s="138" t="s">
        <v>8518</v>
      </c>
      <c r="H158" s="138" t="s">
        <v>8303</v>
      </c>
      <c r="I158" s="138" t="s">
        <v>4367</v>
      </c>
      <c r="J158" s="138" t="s">
        <v>10</v>
      </c>
    </row>
    <row r="159" spans="1:10">
      <c r="A159" s="138" t="s">
        <v>8443</v>
      </c>
      <c r="B159" s="138" t="s">
        <v>8443</v>
      </c>
      <c r="C159" s="138" t="s">
        <v>8309</v>
      </c>
      <c r="D159" s="138" t="s">
        <v>8568</v>
      </c>
      <c r="G159" s="138" t="s">
        <v>8518</v>
      </c>
      <c r="H159" s="138" t="s">
        <v>8569</v>
      </c>
      <c r="I159" s="138" t="s">
        <v>9575</v>
      </c>
      <c r="J159" s="138" t="s">
        <v>8526</v>
      </c>
    </row>
    <row r="160" spans="1:10">
      <c r="A160" s="138" t="s">
        <v>8443</v>
      </c>
      <c r="B160" s="138" t="s">
        <v>8443</v>
      </c>
      <c r="C160" s="138" t="s">
        <v>8309</v>
      </c>
      <c r="D160" s="138" t="s">
        <v>8539</v>
      </c>
      <c r="G160" s="138" t="s">
        <v>8518</v>
      </c>
      <c r="H160" s="138" t="s">
        <v>8570</v>
      </c>
      <c r="I160" s="138" t="s">
        <v>9554</v>
      </c>
      <c r="J160" s="138" t="s">
        <v>8520</v>
      </c>
    </row>
    <row r="161" spans="1:10">
      <c r="A161" s="138" t="s">
        <v>8443</v>
      </c>
      <c r="B161" s="138" t="s">
        <v>8443</v>
      </c>
      <c r="C161" s="138" t="s">
        <v>8309</v>
      </c>
      <c r="D161" s="138" t="s">
        <v>8571</v>
      </c>
      <c r="G161" s="138" t="s">
        <v>8518</v>
      </c>
      <c r="H161" s="138" t="s">
        <v>8572</v>
      </c>
      <c r="I161" s="138" t="s">
        <v>9575</v>
      </c>
      <c r="J161" s="138" t="s">
        <v>8573</v>
      </c>
    </row>
    <row r="162" spans="1:10">
      <c r="A162" s="138" t="s">
        <v>8443</v>
      </c>
      <c r="B162" s="138" t="s">
        <v>8443</v>
      </c>
      <c r="C162" s="138" t="s">
        <v>8309</v>
      </c>
      <c r="D162" s="138" t="s">
        <v>8574</v>
      </c>
      <c r="G162" s="138" t="s">
        <v>8518</v>
      </c>
      <c r="H162" s="138" t="s">
        <v>8575</v>
      </c>
      <c r="I162" s="138" t="s">
        <v>9575</v>
      </c>
      <c r="J162" s="138" t="s">
        <v>8523</v>
      </c>
    </row>
    <row r="163" spans="1:10">
      <c r="A163" s="138" t="s">
        <v>8443</v>
      </c>
      <c r="B163" s="138" t="s">
        <v>8443</v>
      </c>
      <c r="C163" s="138" t="s">
        <v>8309</v>
      </c>
      <c r="D163" s="138" t="s">
        <v>8576</v>
      </c>
      <c r="G163" s="138" t="s">
        <v>8518</v>
      </c>
      <c r="H163" s="138" t="s">
        <v>8577</v>
      </c>
      <c r="I163" s="138" t="s">
        <v>9575</v>
      </c>
      <c r="J163" s="138" t="s">
        <v>8559</v>
      </c>
    </row>
    <row r="164" spans="1:10">
      <c r="A164" s="138" t="s">
        <v>8443</v>
      </c>
      <c r="B164" s="138" t="s">
        <v>8443</v>
      </c>
      <c r="C164" s="138" t="s">
        <v>8280</v>
      </c>
      <c r="D164" s="138" t="s">
        <v>8578</v>
      </c>
      <c r="G164" s="138" t="s">
        <v>8518</v>
      </c>
      <c r="H164" s="138" t="s">
        <v>8579</v>
      </c>
      <c r="I164" s="138" t="s">
        <v>9554</v>
      </c>
      <c r="J164" s="138" t="s">
        <v>8520</v>
      </c>
    </row>
    <row r="165" spans="1:10">
      <c r="A165" s="138" t="s">
        <v>8443</v>
      </c>
      <c r="B165" s="138" t="s">
        <v>8443</v>
      </c>
      <c r="C165" s="138" t="s">
        <v>8280</v>
      </c>
      <c r="D165" s="138" t="s">
        <v>8580</v>
      </c>
      <c r="G165" s="138" t="s">
        <v>8518</v>
      </c>
      <c r="H165" s="138" t="s">
        <v>8581</v>
      </c>
      <c r="I165" s="138" t="s">
        <v>9575</v>
      </c>
      <c r="J165" s="138" t="s">
        <v>8550</v>
      </c>
    </row>
    <row r="166" spans="1:10">
      <c r="A166" s="138" t="s">
        <v>8443</v>
      </c>
      <c r="B166" s="138" t="s">
        <v>8443</v>
      </c>
      <c r="C166" s="138" t="s">
        <v>8280</v>
      </c>
      <c r="D166" s="138" t="s">
        <v>8280</v>
      </c>
      <c r="G166" s="138" t="s">
        <v>8518</v>
      </c>
      <c r="H166" s="138" t="s">
        <v>8582</v>
      </c>
      <c r="I166" s="138" t="s">
        <v>9575</v>
      </c>
      <c r="J166" s="138" t="s">
        <v>8523</v>
      </c>
    </row>
    <row r="167" spans="1:10">
      <c r="A167" s="138" t="s">
        <v>8443</v>
      </c>
      <c r="B167" s="138" t="s">
        <v>8443</v>
      </c>
      <c r="C167" s="138" t="s">
        <v>8280</v>
      </c>
      <c r="D167" s="138" t="s">
        <v>8583</v>
      </c>
      <c r="G167" s="138" t="s">
        <v>8518</v>
      </c>
      <c r="H167" s="138" t="s">
        <v>8584</v>
      </c>
      <c r="I167" s="138" t="s">
        <v>3442</v>
      </c>
      <c r="J167" s="138" t="s">
        <v>8585</v>
      </c>
    </row>
    <row r="168" spans="1:10">
      <c r="A168" s="138" t="s">
        <v>8443</v>
      </c>
      <c r="B168" s="138" t="s">
        <v>8443</v>
      </c>
      <c r="C168" s="138" t="s">
        <v>8280</v>
      </c>
      <c r="D168" s="138" t="s">
        <v>8586</v>
      </c>
      <c r="G168" s="138" t="s">
        <v>8518</v>
      </c>
      <c r="H168" s="138" t="s">
        <v>8587</v>
      </c>
      <c r="I168" s="138" t="s">
        <v>8077</v>
      </c>
      <c r="J168" s="138" t="s">
        <v>8535</v>
      </c>
    </row>
    <row r="169" spans="1:10">
      <c r="A169" s="138" t="s">
        <v>8443</v>
      </c>
      <c r="B169" s="138" t="s">
        <v>8443</v>
      </c>
      <c r="C169" s="138" t="s">
        <v>8282</v>
      </c>
      <c r="D169" s="138" t="s">
        <v>8531</v>
      </c>
      <c r="G169" s="138" t="s">
        <v>8518</v>
      </c>
      <c r="H169" s="138" t="s">
        <v>7690</v>
      </c>
      <c r="I169" s="138" t="s">
        <v>4367</v>
      </c>
      <c r="J169" s="138" t="s">
        <v>7690</v>
      </c>
    </row>
    <row r="170" spans="1:10">
      <c r="A170" s="138" t="s">
        <v>8443</v>
      </c>
      <c r="B170" s="138" t="s">
        <v>8443</v>
      </c>
      <c r="C170" s="138" t="s">
        <v>8282</v>
      </c>
      <c r="D170" s="138" t="s">
        <v>8588</v>
      </c>
      <c r="G170" s="138" t="s">
        <v>8518</v>
      </c>
      <c r="H170" s="138" t="s">
        <v>7833</v>
      </c>
      <c r="I170" s="138" t="s">
        <v>4367</v>
      </c>
      <c r="J170" s="138" t="s">
        <v>10</v>
      </c>
    </row>
    <row r="171" spans="1:10">
      <c r="A171" s="138" t="s">
        <v>8443</v>
      </c>
      <c r="B171" s="138" t="s">
        <v>8443</v>
      </c>
      <c r="C171" s="138" t="s">
        <v>8282</v>
      </c>
      <c r="D171" s="138" t="s">
        <v>8589</v>
      </c>
      <c r="G171" s="138" t="s">
        <v>8518</v>
      </c>
      <c r="H171" s="138" t="s">
        <v>8312</v>
      </c>
      <c r="I171" s="138" t="s">
        <v>4367</v>
      </c>
      <c r="J171" s="138" t="s">
        <v>8</v>
      </c>
    </row>
    <row r="172" spans="1:10">
      <c r="A172" s="138" t="s">
        <v>8443</v>
      </c>
      <c r="B172" s="138" t="s">
        <v>8443</v>
      </c>
      <c r="C172" s="138" t="s">
        <v>8282</v>
      </c>
      <c r="D172" s="138" t="s">
        <v>8282</v>
      </c>
      <c r="G172" s="138" t="s">
        <v>8518</v>
      </c>
      <c r="H172" s="138" t="s">
        <v>8590</v>
      </c>
      <c r="I172" s="138" t="s">
        <v>8077</v>
      </c>
      <c r="J172" s="138" t="s">
        <v>8591</v>
      </c>
    </row>
    <row r="173" spans="1:10">
      <c r="A173" s="138" t="s">
        <v>8443</v>
      </c>
      <c r="B173" s="138" t="s">
        <v>8443</v>
      </c>
      <c r="C173" s="138" t="s">
        <v>8282</v>
      </c>
      <c r="D173" s="138" t="s">
        <v>8592</v>
      </c>
      <c r="G173" s="138" t="s">
        <v>8518</v>
      </c>
      <c r="H173" s="138" t="s">
        <v>8593</v>
      </c>
      <c r="I173" s="138" t="s">
        <v>8077</v>
      </c>
      <c r="J173" s="138" t="s">
        <v>8554</v>
      </c>
    </row>
    <row r="174" spans="1:10">
      <c r="A174" s="138" t="s">
        <v>8443</v>
      </c>
      <c r="B174" s="138" t="s">
        <v>8443</v>
      </c>
      <c r="C174" s="138" t="s">
        <v>8282</v>
      </c>
      <c r="D174" s="138" t="s">
        <v>8594</v>
      </c>
      <c r="G174" s="138" t="s">
        <v>8518</v>
      </c>
      <c r="H174" s="138" t="s">
        <v>8595</v>
      </c>
      <c r="I174" s="138" t="s">
        <v>8077</v>
      </c>
      <c r="J174" s="138" t="s">
        <v>8566</v>
      </c>
    </row>
    <row r="175" spans="1:10">
      <c r="A175" s="138" t="e">
        <v>#N/A</v>
      </c>
      <c r="B175" s="138" t="e">
        <v>#N/A</v>
      </c>
      <c r="C175" s="138" t="s">
        <v>8282</v>
      </c>
      <c r="D175" s="138" t="e">
        <v>#N/A</v>
      </c>
      <c r="G175" s="138" t="s">
        <v>8518</v>
      </c>
      <c r="H175" s="138" t="s">
        <v>8596</v>
      </c>
      <c r="I175" s="138" t="s">
        <v>9554</v>
      </c>
      <c r="J175" s="138" t="s">
        <v>8520</v>
      </c>
    </row>
    <row r="176" spans="1:10">
      <c r="A176" s="138" t="s">
        <v>8597</v>
      </c>
      <c r="B176" s="138" t="s">
        <v>8597</v>
      </c>
      <c r="C176" s="138" t="s">
        <v>8598</v>
      </c>
      <c r="D176" s="138" t="s">
        <v>8599</v>
      </c>
      <c r="G176" s="138" t="s">
        <v>8518</v>
      </c>
      <c r="H176" s="138" t="s">
        <v>8600</v>
      </c>
      <c r="I176" s="138" t="s">
        <v>9575</v>
      </c>
      <c r="J176" s="138" t="s">
        <v>1193</v>
      </c>
    </row>
    <row r="177" spans="1:10">
      <c r="A177" s="138" t="s">
        <v>8597</v>
      </c>
      <c r="B177" s="138" t="s">
        <v>8597</v>
      </c>
      <c r="C177" s="138" t="s">
        <v>8598</v>
      </c>
      <c r="D177" s="138" t="s">
        <v>8601</v>
      </c>
      <c r="G177" s="138" t="s">
        <v>8518</v>
      </c>
      <c r="H177" s="138" t="s">
        <v>8602</v>
      </c>
      <c r="I177" s="138" t="s">
        <v>9554</v>
      </c>
      <c r="J177" s="138" t="s">
        <v>8520</v>
      </c>
    </row>
    <row r="178" spans="1:10">
      <c r="A178" s="138" t="s">
        <v>8597</v>
      </c>
      <c r="B178" s="138" t="s">
        <v>8597</v>
      </c>
      <c r="C178" s="138" t="s">
        <v>8598</v>
      </c>
      <c r="D178" s="138" t="s">
        <v>8603</v>
      </c>
      <c r="G178" s="138" t="s">
        <v>8518</v>
      </c>
      <c r="H178" s="138" t="s">
        <v>8604</v>
      </c>
      <c r="I178" s="138" t="s">
        <v>8077</v>
      </c>
      <c r="J178" s="138" t="s">
        <v>8535</v>
      </c>
    </row>
    <row r="179" spans="1:10">
      <c r="A179" s="138" t="s">
        <v>8597</v>
      </c>
      <c r="B179" s="138" t="s">
        <v>8597</v>
      </c>
      <c r="C179" s="138" t="s">
        <v>8598</v>
      </c>
      <c r="D179" s="138" t="s">
        <v>8598</v>
      </c>
      <c r="G179" s="138" t="s">
        <v>8518</v>
      </c>
      <c r="H179" s="138" t="s">
        <v>8605</v>
      </c>
      <c r="I179" s="138" t="s">
        <v>9575</v>
      </c>
      <c r="J179" s="138" t="s">
        <v>8526</v>
      </c>
    </row>
    <row r="180" spans="1:10">
      <c r="A180" s="138" t="s">
        <v>8597</v>
      </c>
      <c r="B180" s="138" t="s">
        <v>8597</v>
      </c>
      <c r="C180" s="138" t="s">
        <v>8598</v>
      </c>
      <c r="D180" s="138" t="s">
        <v>8606</v>
      </c>
      <c r="G180" s="138" t="s">
        <v>8518</v>
      </c>
      <c r="H180" s="138" t="s">
        <v>8607</v>
      </c>
      <c r="I180" s="138" t="s">
        <v>9575</v>
      </c>
      <c r="J180" s="138" t="s">
        <v>8559</v>
      </c>
    </row>
    <row r="181" spans="1:10">
      <c r="A181" s="138" t="s">
        <v>8597</v>
      </c>
      <c r="B181" s="138" t="s">
        <v>8597</v>
      </c>
      <c r="C181" s="138" t="s">
        <v>8598</v>
      </c>
      <c r="D181" s="138" t="s">
        <v>8608</v>
      </c>
      <c r="G181" s="138" t="s">
        <v>8518</v>
      </c>
      <c r="H181" s="138" t="s">
        <v>8609</v>
      </c>
      <c r="I181" s="138" t="s">
        <v>9575</v>
      </c>
      <c r="J181" s="138" t="s">
        <v>8573</v>
      </c>
    </row>
    <row r="182" spans="1:10">
      <c r="A182" s="138" t="s">
        <v>8597</v>
      </c>
      <c r="B182" s="138" t="s">
        <v>8597</v>
      </c>
      <c r="C182" s="138" t="s">
        <v>8610</v>
      </c>
      <c r="D182" s="138" t="s">
        <v>8610</v>
      </c>
      <c r="G182" s="138" t="s">
        <v>8518</v>
      </c>
      <c r="H182" s="138" t="s">
        <v>8314</v>
      </c>
      <c r="I182" s="138" t="s">
        <v>4367</v>
      </c>
      <c r="J182" s="138" t="s">
        <v>8</v>
      </c>
    </row>
    <row r="183" spans="1:10">
      <c r="A183" s="138" t="s">
        <v>8597</v>
      </c>
      <c r="B183" s="138" t="s">
        <v>8597</v>
      </c>
      <c r="C183" s="138" t="s">
        <v>8610</v>
      </c>
      <c r="D183" s="138" t="s">
        <v>8611</v>
      </c>
      <c r="G183" s="138" t="s">
        <v>8518</v>
      </c>
      <c r="H183" s="138" t="s">
        <v>8612</v>
      </c>
      <c r="I183" s="138" t="s">
        <v>9575</v>
      </c>
      <c r="J183" s="138" t="s">
        <v>8573</v>
      </c>
    </row>
    <row r="184" spans="1:10">
      <c r="A184" s="138" t="s">
        <v>8597</v>
      </c>
      <c r="B184" s="138" t="s">
        <v>8597</v>
      </c>
      <c r="C184" s="138" t="s">
        <v>8613</v>
      </c>
      <c r="D184" s="138" t="s">
        <v>8614</v>
      </c>
      <c r="G184" s="138" t="s">
        <v>8518</v>
      </c>
      <c r="H184" s="138" t="s">
        <v>7727</v>
      </c>
      <c r="I184" s="138" t="s">
        <v>4367</v>
      </c>
      <c r="J184" s="138" t="s">
        <v>15</v>
      </c>
    </row>
    <row r="185" spans="1:10">
      <c r="A185" s="138" t="s">
        <v>8597</v>
      </c>
      <c r="B185" s="138" t="s">
        <v>8597</v>
      </c>
      <c r="C185" s="138" t="s">
        <v>8613</v>
      </c>
      <c r="D185" s="138" t="s">
        <v>8615</v>
      </c>
      <c r="G185" s="138" t="s">
        <v>8518</v>
      </c>
      <c r="H185" s="138" t="s">
        <v>8317</v>
      </c>
      <c r="I185" s="138" t="s">
        <v>4367</v>
      </c>
      <c r="J185" s="138" t="s">
        <v>8</v>
      </c>
    </row>
    <row r="186" spans="1:10">
      <c r="A186" s="138" t="s">
        <v>8597</v>
      </c>
      <c r="B186" s="138" t="s">
        <v>8597</v>
      </c>
      <c r="C186" s="138" t="s">
        <v>8613</v>
      </c>
      <c r="D186" s="138" t="s">
        <v>8613</v>
      </c>
      <c r="G186" s="138" t="s">
        <v>8518</v>
      </c>
      <c r="H186" s="138" t="s">
        <v>8616</v>
      </c>
      <c r="I186" s="138" t="s">
        <v>8077</v>
      </c>
      <c r="J186" s="138" t="s">
        <v>8566</v>
      </c>
    </row>
    <row r="187" spans="1:10">
      <c r="A187" s="138" t="s">
        <v>8597</v>
      </c>
      <c r="B187" s="138" t="s">
        <v>8597</v>
      </c>
      <c r="C187" s="138" t="s">
        <v>8613</v>
      </c>
      <c r="D187" s="138" t="s">
        <v>8617</v>
      </c>
      <c r="G187" s="138" t="s">
        <v>8518</v>
      </c>
      <c r="H187" s="138" t="s">
        <v>8618</v>
      </c>
      <c r="I187" s="138" t="s">
        <v>9575</v>
      </c>
      <c r="J187" s="138" t="s">
        <v>8550</v>
      </c>
    </row>
    <row r="188" spans="1:10">
      <c r="A188" s="138" t="e">
        <v>#N/A</v>
      </c>
      <c r="B188" s="138" t="e">
        <v>#N/A</v>
      </c>
      <c r="C188" s="138" t="s">
        <v>8613</v>
      </c>
      <c r="D188" s="138" t="e">
        <v>#N/A</v>
      </c>
      <c r="G188" s="138" t="s">
        <v>8518</v>
      </c>
      <c r="H188" s="138" t="s">
        <v>8204</v>
      </c>
      <c r="I188" s="138" t="s">
        <v>4367</v>
      </c>
      <c r="J188" s="138" t="s">
        <v>7</v>
      </c>
    </row>
    <row r="189" spans="1:10">
      <c r="A189" s="138" t="s">
        <v>8597</v>
      </c>
      <c r="B189" s="138" t="s">
        <v>8597</v>
      </c>
      <c r="C189" s="138" t="s">
        <v>8619</v>
      </c>
      <c r="D189" s="138" t="s">
        <v>8620</v>
      </c>
      <c r="G189" s="138" t="s">
        <v>8518</v>
      </c>
      <c r="H189" s="138" t="s">
        <v>8322</v>
      </c>
      <c r="I189" s="138" t="s">
        <v>4367</v>
      </c>
      <c r="J189" s="138" t="s">
        <v>7</v>
      </c>
    </row>
    <row r="190" spans="1:10">
      <c r="A190" s="138" t="s">
        <v>8597</v>
      </c>
      <c r="B190" s="138" t="s">
        <v>8597</v>
      </c>
      <c r="C190" s="138" t="s">
        <v>8619</v>
      </c>
      <c r="D190" s="138" t="s">
        <v>8619</v>
      </c>
      <c r="G190" s="138" t="s">
        <v>8518</v>
      </c>
      <c r="H190" s="138" t="s">
        <v>8621</v>
      </c>
      <c r="I190" s="138" t="s">
        <v>9575</v>
      </c>
      <c r="J190" s="138" t="s">
        <v>8529</v>
      </c>
    </row>
    <row r="191" spans="1:10">
      <c r="A191" s="138" t="s">
        <v>8597</v>
      </c>
      <c r="B191" s="138" t="s">
        <v>8597</v>
      </c>
      <c r="C191" s="138" t="s">
        <v>8619</v>
      </c>
      <c r="D191" s="138" t="s">
        <v>8622</v>
      </c>
      <c r="G191" s="138" t="s">
        <v>8518</v>
      </c>
      <c r="H191" s="138" t="s">
        <v>8623</v>
      </c>
      <c r="I191" s="138" t="s">
        <v>9554</v>
      </c>
      <c r="J191" s="138" t="s">
        <v>8520</v>
      </c>
    </row>
    <row r="192" spans="1:10">
      <c r="A192" s="138" t="s">
        <v>8597</v>
      </c>
      <c r="B192" s="138" t="s">
        <v>8597</v>
      </c>
      <c r="C192" s="138" t="s">
        <v>8619</v>
      </c>
      <c r="D192" s="138" t="s">
        <v>8624</v>
      </c>
      <c r="G192" s="138" t="s">
        <v>8518</v>
      </c>
      <c r="H192" s="138" t="s">
        <v>8625</v>
      </c>
      <c r="I192" s="138" t="s">
        <v>9554</v>
      </c>
      <c r="J192" s="138" t="s">
        <v>8520</v>
      </c>
    </row>
    <row r="193" spans="1:10">
      <c r="A193" s="138" t="s">
        <v>8597</v>
      </c>
      <c r="B193" s="138" t="s">
        <v>8597</v>
      </c>
      <c r="C193" s="138" t="s">
        <v>8626</v>
      </c>
      <c r="D193" s="138" t="s">
        <v>8627</v>
      </c>
      <c r="G193" s="138" t="s">
        <v>8518</v>
      </c>
      <c r="H193" s="138" t="s">
        <v>8306</v>
      </c>
      <c r="I193" s="138" t="s">
        <v>4367</v>
      </c>
      <c r="J193" s="138" t="s">
        <v>8</v>
      </c>
    </row>
    <row r="194" spans="1:10">
      <c r="A194" s="138" t="s">
        <v>8597</v>
      </c>
      <c r="B194" s="138" t="s">
        <v>8597</v>
      </c>
      <c r="C194" s="138" t="s">
        <v>8626</v>
      </c>
      <c r="D194" s="138" t="s">
        <v>8597</v>
      </c>
      <c r="G194" s="138" t="s">
        <v>8628</v>
      </c>
      <c r="H194" s="138" t="s">
        <v>8629</v>
      </c>
      <c r="I194" s="138" t="s">
        <v>9142</v>
      </c>
      <c r="J194" s="138" t="s">
        <v>8630</v>
      </c>
    </row>
    <row r="195" spans="1:10">
      <c r="A195" s="138" t="s">
        <v>8597</v>
      </c>
      <c r="B195" s="138" t="s">
        <v>8597</v>
      </c>
      <c r="C195" s="138" t="s">
        <v>8626</v>
      </c>
      <c r="D195" s="138" t="s">
        <v>8631</v>
      </c>
      <c r="G195" s="138" t="s">
        <v>8628</v>
      </c>
      <c r="H195" s="138" t="s">
        <v>8632</v>
      </c>
      <c r="I195" s="138" t="s">
        <v>8638</v>
      </c>
      <c r="J195" s="138" t="s">
        <v>8633</v>
      </c>
    </row>
    <row r="196" spans="1:10">
      <c r="A196" s="138" t="s">
        <v>8597</v>
      </c>
      <c r="B196" s="138" t="s">
        <v>8597</v>
      </c>
      <c r="C196" s="138" t="s">
        <v>8626</v>
      </c>
      <c r="D196" s="138" t="s">
        <v>8634</v>
      </c>
      <c r="G196" s="138" t="s">
        <v>8628</v>
      </c>
      <c r="H196" s="138" t="s">
        <v>8635</v>
      </c>
      <c r="I196" s="138" t="s">
        <v>9142</v>
      </c>
      <c r="J196" s="138" t="s">
        <v>8630</v>
      </c>
    </row>
    <row r="197" spans="1:10">
      <c r="A197" s="138" t="s">
        <v>8597</v>
      </c>
      <c r="B197" s="138" t="s">
        <v>8597</v>
      </c>
      <c r="C197" s="138" t="s">
        <v>8626</v>
      </c>
      <c r="D197" s="138" t="s">
        <v>8636</v>
      </c>
      <c r="G197" s="138" t="s">
        <v>8628</v>
      </c>
      <c r="H197" s="138" t="s">
        <v>8637</v>
      </c>
      <c r="I197" s="138" t="s">
        <v>8638</v>
      </c>
      <c r="J197" s="138" t="s">
        <v>8638</v>
      </c>
    </row>
    <row r="198" spans="1:10">
      <c r="A198" s="138" t="s">
        <v>8597</v>
      </c>
      <c r="B198" s="138" t="s">
        <v>8597</v>
      </c>
      <c r="C198" s="138" t="s">
        <v>8626</v>
      </c>
      <c r="D198" s="138" t="s">
        <v>8639</v>
      </c>
      <c r="G198" s="138" t="s">
        <v>8628</v>
      </c>
      <c r="H198" s="138" t="s">
        <v>8640</v>
      </c>
      <c r="I198" s="138" t="s">
        <v>9142</v>
      </c>
      <c r="J198" s="138" t="s">
        <v>8630</v>
      </c>
    </row>
    <row r="199" spans="1:10">
      <c r="A199" s="138" t="s">
        <v>8597</v>
      </c>
      <c r="B199" s="138" t="s">
        <v>8597</v>
      </c>
      <c r="C199" s="138" t="s">
        <v>8641</v>
      </c>
      <c r="D199" s="138" t="s">
        <v>8641</v>
      </c>
      <c r="G199" s="138" t="s">
        <v>8628</v>
      </c>
      <c r="H199" s="138" t="s">
        <v>8642</v>
      </c>
      <c r="I199" s="138" t="s">
        <v>8638</v>
      </c>
      <c r="J199" s="138" t="s">
        <v>8633</v>
      </c>
    </row>
    <row r="200" spans="1:10">
      <c r="A200" s="138" t="s">
        <v>8597</v>
      </c>
      <c r="B200" s="138" t="s">
        <v>8597</v>
      </c>
      <c r="C200" s="138" t="s">
        <v>8641</v>
      </c>
      <c r="D200" s="138" t="s">
        <v>8643</v>
      </c>
      <c r="G200" s="138" t="s">
        <v>8628</v>
      </c>
      <c r="H200" s="138" t="s">
        <v>8644</v>
      </c>
      <c r="I200" s="138" t="s">
        <v>9142</v>
      </c>
      <c r="J200" s="138" t="s">
        <v>8645</v>
      </c>
    </row>
    <row r="201" spans="1:10">
      <c r="A201" s="138" t="s">
        <v>8597</v>
      </c>
      <c r="B201" s="138" t="s">
        <v>8597</v>
      </c>
      <c r="C201" s="138" t="s">
        <v>8641</v>
      </c>
      <c r="D201" s="138" t="s">
        <v>8646</v>
      </c>
      <c r="G201" s="138" t="s">
        <v>8628</v>
      </c>
      <c r="H201" s="138" t="s">
        <v>810</v>
      </c>
      <c r="I201" s="138" t="s">
        <v>9141</v>
      </c>
      <c r="J201" s="138" t="s">
        <v>8647</v>
      </c>
    </row>
    <row r="202" spans="1:10">
      <c r="A202" s="138" t="s">
        <v>8597</v>
      </c>
      <c r="B202" s="138" t="s">
        <v>8597</v>
      </c>
      <c r="C202" s="138" t="s">
        <v>8641</v>
      </c>
      <c r="D202" s="138" t="s">
        <v>8648</v>
      </c>
      <c r="G202" s="138" t="s">
        <v>8628</v>
      </c>
      <c r="H202" s="138" t="s">
        <v>8649</v>
      </c>
      <c r="I202" s="138" t="s">
        <v>8638</v>
      </c>
      <c r="J202" s="138" t="s">
        <v>8650</v>
      </c>
    </row>
    <row r="203" spans="1:10">
      <c r="A203" s="138" t="s">
        <v>8597</v>
      </c>
      <c r="B203" s="138" t="s">
        <v>8597</v>
      </c>
      <c r="C203" s="138" t="s">
        <v>8641</v>
      </c>
      <c r="D203" s="138" t="s">
        <v>536</v>
      </c>
      <c r="G203" s="138" t="s">
        <v>8628</v>
      </c>
      <c r="H203" s="138" t="s">
        <v>8651</v>
      </c>
      <c r="I203" s="138" t="s">
        <v>9142</v>
      </c>
      <c r="J203" s="138" t="s">
        <v>8652</v>
      </c>
    </row>
    <row r="204" spans="1:10">
      <c r="A204" s="138" t="s">
        <v>8597</v>
      </c>
      <c r="B204" s="138" t="s">
        <v>8653</v>
      </c>
      <c r="C204" s="138" t="s">
        <v>8654</v>
      </c>
      <c r="D204" s="138" t="s">
        <v>8654</v>
      </c>
      <c r="G204" s="138" t="s">
        <v>8628</v>
      </c>
      <c r="H204" s="138" t="s">
        <v>8655</v>
      </c>
      <c r="I204" s="138" t="s">
        <v>9142</v>
      </c>
      <c r="J204" s="138" t="s">
        <v>8656</v>
      </c>
    </row>
    <row r="205" spans="1:10">
      <c r="A205" s="138" t="s">
        <v>8597</v>
      </c>
      <c r="B205" s="138" t="s">
        <v>8653</v>
      </c>
      <c r="C205" s="138" t="s">
        <v>8654</v>
      </c>
      <c r="D205" s="138" t="s">
        <v>8657</v>
      </c>
      <c r="G205" s="138" t="s">
        <v>8628</v>
      </c>
      <c r="H205" s="138" t="s">
        <v>8658</v>
      </c>
      <c r="I205" s="138" t="s">
        <v>9141</v>
      </c>
      <c r="J205" s="138" t="s">
        <v>8659</v>
      </c>
    </row>
    <row r="206" spans="1:10">
      <c r="A206" s="138" t="s">
        <v>8597</v>
      </c>
      <c r="B206" s="138" t="s">
        <v>8653</v>
      </c>
      <c r="C206" s="138" t="s">
        <v>8654</v>
      </c>
      <c r="D206" s="138" t="s">
        <v>8660</v>
      </c>
      <c r="G206" s="138" t="s">
        <v>8628</v>
      </c>
      <c r="H206" s="138" t="s">
        <v>8661</v>
      </c>
      <c r="I206" s="138" t="s">
        <v>9142</v>
      </c>
      <c r="J206" s="138" t="s">
        <v>8662</v>
      </c>
    </row>
    <row r="207" spans="1:10">
      <c r="A207" s="138" t="s">
        <v>8597</v>
      </c>
      <c r="B207" s="138" t="s">
        <v>8653</v>
      </c>
      <c r="C207" s="138" t="s">
        <v>8654</v>
      </c>
      <c r="D207" s="138" t="s">
        <v>8663</v>
      </c>
      <c r="G207" s="138" t="s">
        <v>8628</v>
      </c>
      <c r="H207" s="138" t="s">
        <v>8664</v>
      </c>
      <c r="I207" s="138" t="s">
        <v>9142</v>
      </c>
      <c r="J207" s="138" t="s">
        <v>8652</v>
      </c>
    </row>
    <row r="208" spans="1:10">
      <c r="A208" s="138" t="s">
        <v>8597</v>
      </c>
      <c r="B208" s="138" t="s">
        <v>8653</v>
      </c>
      <c r="C208" s="138" t="s">
        <v>8654</v>
      </c>
      <c r="D208" s="138" t="s">
        <v>8665</v>
      </c>
      <c r="G208" s="138" t="s">
        <v>8628</v>
      </c>
      <c r="H208" s="138" t="s">
        <v>8628</v>
      </c>
      <c r="I208" s="138" t="s">
        <v>9141</v>
      </c>
      <c r="J208" s="138" t="s">
        <v>8666</v>
      </c>
    </row>
    <row r="209" spans="1:10">
      <c r="A209" s="138" t="s">
        <v>8597</v>
      </c>
      <c r="B209" s="138" t="s">
        <v>8653</v>
      </c>
      <c r="C209" s="138" t="s">
        <v>8667</v>
      </c>
      <c r="D209" s="138" t="s">
        <v>8667</v>
      </c>
      <c r="G209" s="138" t="s">
        <v>8628</v>
      </c>
      <c r="H209" s="138" t="s">
        <v>8668</v>
      </c>
      <c r="I209" s="138" t="s">
        <v>9142</v>
      </c>
      <c r="J209" s="138" t="s">
        <v>8656</v>
      </c>
    </row>
    <row r="210" spans="1:10">
      <c r="A210" s="138" t="s">
        <v>8597</v>
      </c>
      <c r="B210" s="138" t="s">
        <v>8653</v>
      </c>
      <c r="C210" s="138" t="s">
        <v>8667</v>
      </c>
      <c r="D210" s="138" t="s">
        <v>8669</v>
      </c>
      <c r="G210" s="138" t="s">
        <v>8628</v>
      </c>
      <c r="H210" s="138" t="s">
        <v>8670</v>
      </c>
      <c r="I210" s="138" t="s">
        <v>9142</v>
      </c>
      <c r="J210" s="138" t="s">
        <v>8645</v>
      </c>
    </row>
    <row r="211" spans="1:10">
      <c r="A211" s="138" t="s">
        <v>8597</v>
      </c>
      <c r="B211" s="138" t="s">
        <v>8653</v>
      </c>
      <c r="C211" s="138" t="s">
        <v>8667</v>
      </c>
      <c r="D211" s="138" t="s">
        <v>8671</v>
      </c>
      <c r="G211" s="138" t="s">
        <v>8628</v>
      </c>
      <c r="H211" s="138" t="s">
        <v>8672</v>
      </c>
      <c r="I211" s="138" t="s">
        <v>9141</v>
      </c>
      <c r="J211" s="138" t="s">
        <v>8666</v>
      </c>
    </row>
    <row r="212" spans="1:10">
      <c r="A212" s="138" t="s">
        <v>8597</v>
      </c>
      <c r="B212" s="138" t="s">
        <v>8653</v>
      </c>
      <c r="C212" s="138" t="s">
        <v>8667</v>
      </c>
      <c r="D212" s="138" t="s">
        <v>8673</v>
      </c>
      <c r="G212" s="138" t="s">
        <v>8628</v>
      </c>
      <c r="H212" s="138" t="s">
        <v>8674</v>
      </c>
      <c r="I212" s="138" t="s">
        <v>9142</v>
      </c>
      <c r="J212" s="138" t="s">
        <v>8662</v>
      </c>
    </row>
    <row r="213" spans="1:10">
      <c r="A213" s="138" t="s">
        <v>8597</v>
      </c>
      <c r="B213" s="138" t="s">
        <v>8653</v>
      </c>
      <c r="C213" s="138" t="s">
        <v>8667</v>
      </c>
      <c r="D213" s="138" t="s">
        <v>8675</v>
      </c>
      <c r="G213" s="138" t="s">
        <v>8628</v>
      </c>
      <c r="H213" s="138" t="s">
        <v>8676</v>
      </c>
      <c r="I213" s="138" t="s">
        <v>8638</v>
      </c>
      <c r="J213" s="138" t="s">
        <v>8638</v>
      </c>
    </row>
    <row r="214" spans="1:10">
      <c r="A214" s="138" t="s">
        <v>8597</v>
      </c>
      <c r="B214" s="138" t="s">
        <v>8653</v>
      </c>
      <c r="C214" s="138" t="s">
        <v>8653</v>
      </c>
      <c r="D214" s="138" t="s">
        <v>8653</v>
      </c>
      <c r="G214" s="138" t="s">
        <v>8628</v>
      </c>
      <c r="H214" s="138" t="s">
        <v>8677</v>
      </c>
      <c r="I214" s="138" t="s">
        <v>9141</v>
      </c>
      <c r="J214" s="138" t="s">
        <v>8678</v>
      </c>
    </row>
    <row r="215" spans="1:10">
      <c r="A215" s="138" t="s">
        <v>8597</v>
      </c>
      <c r="B215" s="138" t="s">
        <v>8653</v>
      </c>
      <c r="C215" s="138" t="s">
        <v>8653</v>
      </c>
      <c r="D215" s="138" t="s">
        <v>8679</v>
      </c>
      <c r="G215" s="138" t="s">
        <v>8628</v>
      </c>
      <c r="H215" s="138" t="s">
        <v>8680</v>
      </c>
      <c r="I215" s="138" t="s">
        <v>8638</v>
      </c>
      <c r="J215" s="138" t="s">
        <v>8633</v>
      </c>
    </row>
    <row r="216" spans="1:10">
      <c r="A216" s="138" t="s">
        <v>8597</v>
      </c>
      <c r="B216" s="138" t="s">
        <v>8653</v>
      </c>
      <c r="C216" s="138" t="s">
        <v>8653</v>
      </c>
      <c r="D216" s="138" t="s">
        <v>8681</v>
      </c>
      <c r="G216" s="138" t="s">
        <v>8628</v>
      </c>
      <c r="H216" s="138" t="s">
        <v>8682</v>
      </c>
      <c r="I216" s="138" t="s">
        <v>9142</v>
      </c>
      <c r="J216" s="138" t="s">
        <v>8630</v>
      </c>
    </row>
    <row r="217" spans="1:10">
      <c r="A217" s="138" t="e">
        <v>#N/A</v>
      </c>
      <c r="B217" s="138" t="e">
        <v>#N/A</v>
      </c>
      <c r="C217" s="138" t="s">
        <v>8653</v>
      </c>
      <c r="D217" s="138" t="e">
        <v>#N/A</v>
      </c>
      <c r="G217" s="138" t="s">
        <v>8628</v>
      </c>
      <c r="H217" s="138" t="s">
        <v>8683</v>
      </c>
      <c r="I217" s="138" t="s">
        <v>9142</v>
      </c>
      <c r="J217" s="138" t="s">
        <v>8656</v>
      </c>
    </row>
    <row r="218" spans="1:10">
      <c r="A218" s="138" t="s">
        <v>8597</v>
      </c>
      <c r="B218" s="138" t="s">
        <v>8653</v>
      </c>
      <c r="C218" s="138" t="s">
        <v>8684</v>
      </c>
      <c r="D218" s="138" t="s">
        <v>8685</v>
      </c>
      <c r="G218" s="138" t="s">
        <v>8628</v>
      </c>
      <c r="H218" s="138" t="s">
        <v>8686</v>
      </c>
      <c r="I218" s="138" t="s">
        <v>9142</v>
      </c>
      <c r="J218" s="138" t="s">
        <v>8662</v>
      </c>
    </row>
    <row r="219" spans="1:10">
      <c r="A219" s="138" t="s">
        <v>8597</v>
      </c>
      <c r="B219" s="138" t="s">
        <v>8653</v>
      </c>
      <c r="C219" s="138" t="s">
        <v>8684</v>
      </c>
      <c r="D219" s="138" t="s">
        <v>8631</v>
      </c>
      <c r="G219" s="138" t="s">
        <v>8628</v>
      </c>
      <c r="H219" s="138" t="s">
        <v>8687</v>
      </c>
      <c r="I219" s="138" t="s">
        <v>9141</v>
      </c>
      <c r="J219" s="138" t="s">
        <v>8659</v>
      </c>
    </row>
    <row r="220" spans="1:10">
      <c r="A220" s="138" t="s">
        <v>8597</v>
      </c>
      <c r="B220" s="138" t="s">
        <v>8653</v>
      </c>
      <c r="C220" s="138" t="s">
        <v>8684</v>
      </c>
      <c r="D220" s="138" t="s">
        <v>8688</v>
      </c>
      <c r="G220" s="138" t="s">
        <v>8628</v>
      </c>
      <c r="H220" s="138" t="s">
        <v>8689</v>
      </c>
      <c r="I220" s="138" t="s">
        <v>9141</v>
      </c>
      <c r="J220" s="138" t="s">
        <v>8690</v>
      </c>
    </row>
    <row r="221" spans="1:10">
      <c r="A221" s="138" t="s">
        <v>8597</v>
      </c>
      <c r="B221" s="138" t="s">
        <v>8653</v>
      </c>
      <c r="C221" s="138" t="s">
        <v>8684</v>
      </c>
      <c r="D221" s="138" t="s">
        <v>8684</v>
      </c>
      <c r="G221" s="138" t="s">
        <v>8628</v>
      </c>
      <c r="H221" s="138" t="s">
        <v>8691</v>
      </c>
      <c r="I221" s="138" t="s">
        <v>9142</v>
      </c>
      <c r="J221" s="138" t="s">
        <v>8692</v>
      </c>
    </row>
    <row r="222" spans="1:10">
      <c r="A222" s="138" t="s">
        <v>8597</v>
      </c>
      <c r="B222" s="138" t="s">
        <v>8653</v>
      </c>
      <c r="C222" s="138" t="s">
        <v>8684</v>
      </c>
      <c r="D222" s="138" t="s">
        <v>8693</v>
      </c>
      <c r="G222" s="138" t="s">
        <v>8628</v>
      </c>
      <c r="H222" s="138" t="s">
        <v>8694</v>
      </c>
      <c r="I222" s="138" t="s">
        <v>9142</v>
      </c>
      <c r="J222" s="138" t="s">
        <v>8652</v>
      </c>
    </row>
    <row r="223" spans="1:10">
      <c r="A223" s="138" t="e">
        <v>#N/A</v>
      </c>
      <c r="B223" s="138" t="e">
        <v>#N/A</v>
      </c>
      <c r="C223" s="138" t="s">
        <v>8684</v>
      </c>
      <c r="D223" s="138" t="e">
        <v>#N/A</v>
      </c>
      <c r="G223" s="138" t="s">
        <v>8628</v>
      </c>
      <c r="H223" s="138" t="s">
        <v>8695</v>
      </c>
      <c r="I223" s="138" t="s">
        <v>8638</v>
      </c>
      <c r="J223" s="138" t="s">
        <v>8650</v>
      </c>
    </row>
    <row r="224" spans="1:10">
      <c r="A224" s="138" t="s">
        <v>8597</v>
      </c>
      <c r="B224" s="138" t="s">
        <v>8597</v>
      </c>
      <c r="C224" s="138" t="s">
        <v>8597</v>
      </c>
      <c r="D224" s="138" t="s">
        <v>8631</v>
      </c>
      <c r="G224" s="138" t="s">
        <v>8628</v>
      </c>
      <c r="H224" s="138" t="s">
        <v>8696</v>
      </c>
      <c r="I224" s="138" t="s">
        <v>9142</v>
      </c>
      <c r="J224" s="138" t="s">
        <v>8697</v>
      </c>
    </row>
    <row r="225" spans="1:10">
      <c r="A225" s="138" t="s">
        <v>8597</v>
      </c>
      <c r="B225" s="138" t="s">
        <v>8653</v>
      </c>
      <c r="C225" s="138" t="s">
        <v>8698</v>
      </c>
      <c r="D225" s="138" t="s">
        <v>8699</v>
      </c>
      <c r="G225" s="138" t="s">
        <v>8628</v>
      </c>
      <c r="H225" s="138" t="s">
        <v>8700</v>
      </c>
      <c r="I225" s="138" t="s">
        <v>9142</v>
      </c>
      <c r="J225" s="138" t="s">
        <v>8692</v>
      </c>
    </row>
    <row r="226" spans="1:10">
      <c r="A226" s="138" t="s">
        <v>8597</v>
      </c>
      <c r="B226" s="138" t="s">
        <v>8653</v>
      </c>
      <c r="C226" s="138" t="s">
        <v>8698</v>
      </c>
      <c r="D226" s="138" t="s">
        <v>8701</v>
      </c>
      <c r="G226" s="138" t="s">
        <v>8628</v>
      </c>
      <c r="H226" s="138" t="s">
        <v>8702</v>
      </c>
      <c r="I226" s="138" t="s">
        <v>8638</v>
      </c>
      <c r="J226" s="138" t="s">
        <v>8650</v>
      </c>
    </row>
    <row r="227" spans="1:10">
      <c r="A227" s="138" t="s">
        <v>8597</v>
      </c>
      <c r="B227" s="138" t="s">
        <v>8653</v>
      </c>
      <c r="C227" s="138" t="s">
        <v>8698</v>
      </c>
      <c r="D227" s="138" t="s">
        <v>8703</v>
      </c>
      <c r="G227" s="138" t="s">
        <v>8628</v>
      </c>
      <c r="H227" s="138" t="s">
        <v>8704</v>
      </c>
      <c r="I227" s="138" t="s">
        <v>9142</v>
      </c>
      <c r="J227" s="138" t="s">
        <v>8645</v>
      </c>
    </row>
    <row r="228" spans="1:10">
      <c r="A228" s="138" t="s">
        <v>8597</v>
      </c>
      <c r="B228" s="138" t="s">
        <v>8653</v>
      </c>
      <c r="C228" s="138" t="s">
        <v>8698</v>
      </c>
      <c r="D228" s="138" t="s">
        <v>8705</v>
      </c>
      <c r="G228" s="138" t="s">
        <v>8628</v>
      </c>
      <c r="H228" s="138" t="s">
        <v>8706</v>
      </c>
      <c r="I228" s="138" t="s">
        <v>9141</v>
      </c>
      <c r="J228" s="138" t="s">
        <v>8647</v>
      </c>
    </row>
    <row r="229" spans="1:10">
      <c r="A229" s="138" t="s">
        <v>8597</v>
      </c>
      <c r="B229" s="138" t="s">
        <v>8653</v>
      </c>
      <c r="C229" s="138" t="s">
        <v>8698</v>
      </c>
      <c r="D229" s="138" t="s">
        <v>8707</v>
      </c>
      <c r="G229" s="138" t="s">
        <v>8628</v>
      </c>
      <c r="H229" s="138" t="s">
        <v>8708</v>
      </c>
      <c r="I229" s="138" t="s">
        <v>9142</v>
      </c>
      <c r="J229" s="138" t="s">
        <v>8630</v>
      </c>
    </row>
    <row r="230" spans="1:10">
      <c r="A230" s="138" t="s">
        <v>8597</v>
      </c>
      <c r="B230" s="138" t="s">
        <v>8653</v>
      </c>
      <c r="C230" s="138" t="s">
        <v>8698</v>
      </c>
      <c r="D230" s="138" t="s">
        <v>166</v>
      </c>
      <c r="G230" s="138" t="s">
        <v>8628</v>
      </c>
      <c r="H230" s="138" t="s">
        <v>8709</v>
      </c>
      <c r="I230" s="138" t="s">
        <v>9141</v>
      </c>
      <c r="J230" s="138" t="s">
        <v>8666</v>
      </c>
    </row>
    <row r="231" spans="1:10">
      <c r="A231" s="138" t="s">
        <v>8597</v>
      </c>
      <c r="B231" s="138" t="s">
        <v>8653</v>
      </c>
      <c r="C231" s="138" t="s">
        <v>8698</v>
      </c>
      <c r="D231" s="138" t="s">
        <v>8710</v>
      </c>
      <c r="G231" s="138" t="s">
        <v>8628</v>
      </c>
      <c r="H231" s="138" t="s">
        <v>8711</v>
      </c>
      <c r="I231" s="138" t="s">
        <v>9141</v>
      </c>
      <c r="J231" s="138" t="s">
        <v>8690</v>
      </c>
    </row>
    <row r="232" spans="1:10">
      <c r="A232" s="138" t="e">
        <v>#N/A</v>
      </c>
      <c r="B232" s="138" t="e">
        <v>#N/A</v>
      </c>
      <c r="C232" s="138" t="s">
        <v>8698</v>
      </c>
      <c r="D232" s="138" t="e">
        <v>#N/A</v>
      </c>
      <c r="G232" s="138" t="s">
        <v>8628</v>
      </c>
      <c r="H232" s="138" t="s">
        <v>8712</v>
      </c>
      <c r="I232" s="138" t="s">
        <v>9142</v>
      </c>
      <c r="J232" s="138" t="s">
        <v>8656</v>
      </c>
    </row>
    <row r="233" spans="1:10">
      <c r="A233" s="138" t="s">
        <v>8597</v>
      </c>
      <c r="B233" s="138" t="s">
        <v>8653</v>
      </c>
      <c r="C233" s="138" t="s">
        <v>8713</v>
      </c>
      <c r="D233" s="138" t="s">
        <v>8713</v>
      </c>
      <c r="G233" s="138" t="s">
        <v>8628</v>
      </c>
      <c r="H233" s="138" t="s">
        <v>8714</v>
      </c>
      <c r="I233" s="138" t="s">
        <v>8638</v>
      </c>
      <c r="J233" s="138" t="s">
        <v>8638</v>
      </c>
    </row>
    <row r="234" spans="1:10">
      <c r="A234" s="138" t="s">
        <v>8597</v>
      </c>
      <c r="B234" s="138" t="s">
        <v>8653</v>
      </c>
      <c r="C234" s="138" t="s">
        <v>8713</v>
      </c>
      <c r="D234" s="138" t="s">
        <v>8513</v>
      </c>
      <c r="G234" s="138" t="s">
        <v>8628</v>
      </c>
      <c r="H234" s="138" t="s">
        <v>8715</v>
      </c>
      <c r="I234" s="138" t="s">
        <v>9141</v>
      </c>
      <c r="J234" s="138" t="s">
        <v>8647</v>
      </c>
    </row>
    <row r="235" spans="1:10">
      <c r="A235" s="138" t="s">
        <v>8597</v>
      </c>
      <c r="B235" s="138" t="s">
        <v>8653</v>
      </c>
      <c r="C235" s="138" t="s">
        <v>8713</v>
      </c>
      <c r="D235" s="138" t="s">
        <v>8716</v>
      </c>
      <c r="G235" s="138" t="s">
        <v>8628</v>
      </c>
      <c r="H235" s="138" t="s">
        <v>8717</v>
      </c>
      <c r="I235" s="138" t="s">
        <v>4367</v>
      </c>
      <c r="J235" s="138" t="s">
        <v>8</v>
      </c>
    </row>
    <row r="236" spans="1:10">
      <c r="A236" s="138" t="s">
        <v>8597</v>
      </c>
      <c r="B236" s="138" t="s">
        <v>8653</v>
      </c>
      <c r="C236" s="138" t="s">
        <v>8713</v>
      </c>
      <c r="D236" s="138" t="s">
        <v>8718</v>
      </c>
      <c r="G236" s="138" t="s">
        <v>8628</v>
      </c>
      <c r="H236" s="138" t="s">
        <v>8719</v>
      </c>
      <c r="I236" s="138" t="s">
        <v>9142</v>
      </c>
      <c r="J236" s="138" t="s">
        <v>8692</v>
      </c>
    </row>
    <row r="237" spans="1:10">
      <c r="A237" s="138" t="s">
        <v>8597</v>
      </c>
      <c r="B237" s="138" t="s">
        <v>8653</v>
      </c>
      <c r="C237" s="138" t="s">
        <v>8713</v>
      </c>
      <c r="D237" s="138" t="s">
        <v>8720</v>
      </c>
      <c r="G237" s="138" t="s">
        <v>8628</v>
      </c>
      <c r="H237" s="138" t="s">
        <v>8721</v>
      </c>
      <c r="I237" s="138" t="s">
        <v>9142</v>
      </c>
      <c r="J237" s="138" t="s">
        <v>8662</v>
      </c>
    </row>
    <row r="238" spans="1:10">
      <c r="A238" s="138" t="s">
        <v>8597</v>
      </c>
      <c r="B238" s="138" t="s">
        <v>8653</v>
      </c>
      <c r="C238" s="138" t="s">
        <v>8713</v>
      </c>
      <c r="D238" s="138" t="s">
        <v>8722</v>
      </c>
      <c r="G238" s="138" t="s">
        <v>8628</v>
      </c>
      <c r="H238" s="138" t="s">
        <v>8723</v>
      </c>
      <c r="I238" s="138" t="s">
        <v>8638</v>
      </c>
      <c r="J238" s="138" t="s">
        <v>8650</v>
      </c>
    </row>
    <row r="239" spans="1:10">
      <c r="A239" s="138" t="e">
        <v>#N/A</v>
      </c>
      <c r="B239" s="138" t="e">
        <v>#N/A</v>
      </c>
      <c r="C239" s="138" t="s">
        <v>8713</v>
      </c>
      <c r="D239" s="138" t="e">
        <v>#N/A</v>
      </c>
      <c r="G239" s="138" t="s">
        <v>8628</v>
      </c>
      <c r="H239" s="138" t="s">
        <v>8724</v>
      </c>
      <c r="I239" s="138" t="s">
        <v>9142</v>
      </c>
      <c r="J239" s="138" t="s">
        <v>8697</v>
      </c>
    </row>
    <row r="240" spans="1:10">
      <c r="A240" s="138" t="s">
        <v>8597</v>
      </c>
      <c r="B240" s="138" t="s">
        <v>8653</v>
      </c>
      <c r="C240" s="138" t="s">
        <v>8725</v>
      </c>
      <c r="D240" s="138" t="s">
        <v>8726</v>
      </c>
      <c r="G240" s="138" t="s">
        <v>8628</v>
      </c>
      <c r="H240" s="138" t="s">
        <v>8727</v>
      </c>
      <c r="I240" s="138" t="s">
        <v>9142</v>
      </c>
      <c r="J240" s="138" t="s">
        <v>8692</v>
      </c>
    </row>
    <row r="241" spans="1:10">
      <c r="A241" s="138" t="s">
        <v>8597</v>
      </c>
      <c r="B241" s="138" t="s">
        <v>8653</v>
      </c>
      <c r="C241" s="138" t="s">
        <v>8725</v>
      </c>
      <c r="D241" s="138" t="s">
        <v>8728</v>
      </c>
      <c r="G241" s="138" t="s">
        <v>8628</v>
      </c>
      <c r="H241" s="138" t="s">
        <v>8729</v>
      </c>
      <c r="I241" s="138" t="s">
        <v>9142</v>
      </c>
      <c r="J241" s="138" t="s">
        <v>8645</v>
      </c>
    </row>
    <row r="242" spans="1:10">
      <c r="A242" s="138" t="s">
        <v>8597</v>
      </c>
      <c r="B242" s="138" t="s">
        <v>8653</v>
      </c>
      <c r="C242" s="138" t="s">
        <v>8725</v>
      </c>
      <c r="D242" s="138" t="s">
        <v>8730</v>
      </c>
      <c r="G242" s="138" t="s">
        <v>8628</v>
      </c>
      <c r="H242" s="138" t="s">
        <v>8731</v>
      </c>
      <c r="I242" s="138" t="s">
        <v>9141</v>
      </c>
      <c r="J242" s="138" t="s">
        <v>8659</v>
      </c>
    </row>
    <row r="243" spans="1:10">
      <c r="A243" s="138" t="s">
        <v>8597</v>
      </c>
      <c r="B243" s="138" t="s">
        <v>8653</v>
      </c>
      <c r="C243" s="138" t="s">
        <v>8725</v>
      </c>
      <c r="D243" s="138" t="s">
        <v>8725</v>
      </c>
      <c r="G243" s="138" t="s">
        <v>8628</v>
      </c>
      <c r="H243" s="138" t="s">
        <v>8732</v>
      </c>
      <c r="I243" s="138" t="s">
        <v>9141</v>
      </c>
      <c r="J243" s="138" t="s">
        <v>8690</v>
      </c>
    </row>
    <row r="244" spans="1:10">
      <c r="A244" s="138" t="s">
        <v>8597</v>
      </c>
      <c r="B244" s="138" t="s">
        <v>8653</v>
      </c>
      <c r="C244" s="138" t="s">
        <v>8725</v>
      </c>
      <c r="D244" s="138" t="s">
        <v>8733</v>
      </c>
      <c r="G244" s="138" t="s">
        <v>8628</v>
      </c>
      <c r="H244" s="138" t="s">
        <v>8734</v>
      </c>
      <c r="I244" s="138" t="s">
        <v>9141</v>
      </c>
      <c r="J244" s="138" t="s">
        <v>8678</v>
      </c>
    </row>
    <row r="245" spans="1:10">
      <c r="A245" s="138" t="s">
        <v>8597</v>
      </c>
      <c r="B245" s="138" t="s">
        <v>8653</v>
      </c>
      <c r="C245" s="138" t="s">
        <v>8725</v>
      </c>
      <c r="D245" s="138" t="s">
        <v>8735</v>
      </c>
      <c r="G245" s="138" t="s">
        <v>8628</v>
      </c>
      <c r="H245" s="138" t="s">
        <v>8736</v>
      </c>
      <c r="I245" s="138" t="s">
        <v>9141</v>
      </c>
      <c r="J245" s="138" t="s">
        <v>8690</v>
      </c>
    </row>
    <row r="246" spans="1:10">
      <c r="A246" s="138" t="s">
        <v>8597</v>
      </c>
      <c r="B246" s="138" t="s">
        <v>8653</v>
      </c>
      <c r="C246" s="138" t="s">
        <v>8725</v>
      </c>
      <c r="D246" s="138" t="s">
        <v>8737</v>
      </c>
      <c r="G246" s="138" t="s">
        <v>8628</v>
      </c>
      <c r="H246" s="138" t="s">
        <v>8738</v>
      </c>
      <c r="I246" s="138" t="s">
        <v>8638</v>
      </c>
      <c r="J246" s="138" t="s">
        <v>8633</v>
      </c>
    </row>
    <row r="247" spans="1:10">
      <c r="A247" s="138" t="s">
        <v>8739</v>
      </c>
      <c r="B247" s="138" t="s">
        <v>8739</v>
      </c>
      <c r="C247" s="138" t="s">
        <v>8740</v>
      </c>
      <c r="D247" s="138" t="s">
        <v>8741</v>
      </c>
      <c r="G247" s="138" t="s">
        <v>8628</v>
      </c>
      <c r="H247" s="138" t="s">
        <v>8742</v>
      </c>
      <c r="I247" s="138" t="s">
        <v>9141</v>
      </c>
      <c r="J247" s="138" t="s">
        <v>8666</v>
      </c>
    </row>
    <row r="248" spans="1:10">
      <c r="A248" s="138" t="s">
        <v>8739</v>
      </c>
      <c r="B248" s="138" t="s">
        <v>8739</v>
      </c>
      <c r="C248" s="138" t="s">
        <v>8740</v>
      </c>
      <c r="D248" s="138" t="s">
        <v>8743</v>
      </c>
      <c r="G248" s="138" t="s">
        <v>8628</v>
      </c>
      <c r="H248" s="138" t="s">
        <v>8744</v>
      </c>
      <c r="I248" s="138" t="s">
        <v>9142</v>
      </c>
      <c r="J248" s="138" t="s">
        <v>8662</v>
      </c>
    </row>
    <row r="249" spans="1:10">
      <c r="A249" s="138" t="s">
        <v>8739</v>
      </c>
      <c r="B249" s="138" t="s">
        <v>8739</v>
      </c>
      <c r="C249" s="138" t="s">
        <v>8740</v>
      </c>
      <c r="D249" s="138" t="s">
        <v>8745</v>
      </c>
      <c r="G249" s="138" t="s">
        <v>8628</v>
      </c>
      <c r="H249" s="138" t="s">
        <v>8746</v>
      </c>
      <c r="I249" s="138" t="s">
        <v>8638</v>
      </c>
      <c r="J249" s="138" t="s">
        <v>8633</v>
      </c>
    </row>
    <row r="250" spans="1:10">
      <c r="A250" s="138" t="s">
        <v>8739</v>
      </c>
      <c r="B250" s="138" t="s">
        <v>8739</v>
      </c>
      <c r="C250" s="138" t="s">
        <v>8740</v>
      </c>
      <c r="D250" s="138" t="s">
        <v>8747</v>
      </c>
      <c r="G250" s="138" t="s">
        <v>8628</v>
      </c>
      <c r="H250" s="138" t="s">
        <v>8748</v>
      </c>
      <c r="I250" s="138" t="s">
        <v>9142</v>
      </c>
      <c r="J250" s="138" t="s">
        <v>8645</v>
      </c>
    </row>
    <row r="251" spans="1:10">
      <c r="A251" s="138" t="s">
        <v>8739</v>
      </c>
      <c r="B251" s="138" t="s">
        <v>8739</v>
      </c>
      <c r="C251" s="138" t="s">
        <v>8740</v>
      </c>
      <c r="D251" s="138" t="s">
        <v>8749</v>
      </c>
      <c r="G251" s="138" t="s">
        <v>8750</v>
      </c>
      <c r="H251" s="138" t="s">
        <v>8751</v>
      </c>
      <c r="I251" s="138" t="s">
        <v>8739</v>
      </c>
      <c r="J251" s="138" t="s">
        <v>8752</v>
      </c>
    </row>
    <row r="252" spans="1:10">
      <c r="A252" s="138" t="s">
        <v>8739</v>
      </c>
      <c r="B252" s="138" t="s">
        <v>8739</v>
      </c>
      <c r="C252" s="138" t="s">
        <v>8740</v>
      </c>
      <c r="D252" s="138" t="s">
        <v>8753</v>
      </c>
      <c r="G252" s="138" t="s">
        <v>8750</v>
      </c>
      <c r="H252" s="138" t="s">
        <v>8754</v>
      </c>
      <c r="I252" s="138" t="s">
        <v>8739</v>
      </c>
      <c r="J252" s="138" t="s">
        <v>8752</v>
      </c>
    </row>
    <row r="253" spans="1:10">
      <c r="A253" s="138" t="s">
        <v>8739</v>
      </c>
      <c r="B253" s="138" t="s">
        <v>8739</v>
      </c>
      <c r="C253" s="138" t="s">
        <v>8740</v>
      </c>
      <c r="D253" s="138" t="s">
        <v>8755</v>
      </c>
      <c r="G253" s="138" t="s">
        <v>8750</v>
      </c>
      <c r="H253" s="138" t="s">
        <v>8756</v>
      </c>
      <c r="I253" s="138" t="s">
        <v>8739</v>
      </c>
      <c r="J253" s="138" t="s">
        <v>8752</v>
      </c>
    </row>
    <row r="254" spans="1:10">
      <c r="A254" s="138" t="s">
        <v>8739</v>
      </c>
      <c r="B254" s="138" t="s">
        <v>8739</v>
      </c>
      <c r="C254" s="138" t="s">
        <v>8757</v>
      </c>
      <c r="D254" s="138" t="s">
        <v>239</v>
      </c>
      <c r="G254" s="138" t="s">
        <v>8750</v>
      </c>
      <c r="H254" s="138" t="s">
        <v>8758</v>
      </c>
      <c r="I254" s="138" t="s">
        <v>8739</v>
      </c>
      <c r="J254" s="138" t="s">
        <v>8740</v>
      </c>
    </row>
    <row r="255" spans="1:10">
      <c r="A255" s="138" t="s">
        <v>8739</v>
      </c>
      <c r="B255" s="138" t="s">
        <v>8739</v>
      </c>
      <c r="C255" s="138" t="s">
        <v>8757</v>
      </c>
      <c r="D255" s="138" t="s">
        <v>8757</v>
      </c>
      <c r="G255" s="138" t="s">
        <v>8750</v>
      </c>
      <c r="H255" s="138" t="s">
        <v>8759</v>
      </c>
      <c r="I255" s="138" t="s">
        <v>8739</v>
      </c>
      <c r="J255" s="138" t="s">
        <v>8760</v>
      </c>
    </row>
    <row r="256" spans="1:10">
      <c r="A256" s="138" t="s">
        <v>8739</v>
      </c>
      <c r="B256" s="138" t="s">
        <v>8739</v>
      </c>
      <c r="C256" s="138" t="s">
        <v>8757</v>
      </c>
      <c r="D256" s="138" t="s">
        <v>8761</v>
      </c>
      <c r="G256" s="138" t="s">
        <v>8750</v>
      </c>
      <c r="H256" s="138" t="s">
        <v>8762</v>
      </c>
      <c r="I256" s="138" t="s">
        <v>8739</v>
      </c>
      <c r="J256" s="138" t="s">
        <v>8740</v>
      </c>
    </row>
    <row r="257" spans="1:10">
      <c r="A257" s="138" t="s">
        <v>8739</v>
      </c>
      <c r="B257" s="138" t="s">
        <v>8739</v>
      </c>
      <c r="C257" s="138" t="s">
        <v>8763</v>
      </c>
      <c r="D257" s="138" t="s">
        <v>8764</v>
      </c>
      <c r="G257" s="138" t="s">
        <v>8750</v>
      </c>
      <c r="H257" s="138" t="s">
        <v>8765</v>
      </c>
      <c r="I257" s="138" t="s">
        <v>8739</v>
      </c>
      <c r="J257" s="138" t="s">
        <v>8766</v>
      </c>
    </row>
    <row r="258" spans="1:10">
      <c r="A258" s="138" t="s">
        <v>8739</v>
      </c>
      <c r="B258" s="138" t="s">
        <v>8739</v>
      </c>
      <c r="C258" s="138" t="s">
        <v>8763</v>
      </c>
      <c r="D258" s="138" t="s">
        <v>8767</v>
      </c>
      <c r="G258" s="138" t="s">
        <v>8750</v>
      </c>
      <c r="H258" s="138" t="s">
        <v>8768</v>
      </c>
      <c r="I258" s="138" t="s">
        <v>8409</v>
      </c>
      <c r="J258" s="138" t="s">
        <v>8769</v>
      </c>
    </row>
    <row r="259" spans="1:10">
      <c r="A259" s="138" t="s">
        <v>8739</v>
      </c>
      <c r="B259" s="138" t="s">
        <v>8739</v>
      </c>
      <c r="C259" s="138" t="s">
        <v>8763</v>
      </c>
      <c r="D259" s="138" t="s">
        <v>8763</v>
      </c>
      <c r="G259" s="138" t="s">
        <v>8750</v>
      </c>
      <c r="H259" s="138" t="s">
        <v>8770</v>
      </c>
      <c r="I259" s="138" t="s">
        <v>8739</v>
      </c>
      <c r="J259" s="138" t="s">
        <v>8766</v>
      </c>
    </row>
    <row r="260" spans="1:10">
      <c r="A260" s="138" t="s">
        <v>8739</v>
      </c>
      <c r="B260" s="138" t="s">
        <v>8739</v>
      </c>
      <c r="C260" s="138" t="s">
        <v>8763</v>
      </c>
      <c r="D260" s="138" t="s">
        <v>8771</v>
      </c>
      <c r="G260" s="138" t="s">
        <v>8750</v>
      </c>
      <c r="H260" s="138" t="s">
        <v>8772</v>
      </c>
      <c r="I260" s="138" t="s">
        <v>8409</v>
      </c>
      <c r="J260" s="138" t="s">
        <v>8773</v>
      </c>
    </row>
    <row r="261" spans="1:10">
      <c r="A261" s="138" t="s">
        <v>8739</v>
      </c>
      <c r="B261" s="138" t="s">
        <v>8739</v>
      </c>
      <c r="C261" s="138" t="s">
        <v>8763</v>
      </c>
      <c r="D261" s="138" t="s">
        <v>8774</v>
      </c>
      <c r="G261" s="138" t="s">
        <v>8750</v>
      </c>
      <c r="H261" s="138" t="s">
        <v>8775</v>
      </c>
      <c r="I261" s="138" t="s">
        <v>8739</v>
      </c>
      <c r="J261" s="138" t="s">
        <v>8740</v>
      </c>
    </row>
    <row r="262" spans="1:10">
      <c r="A262" s="138" t="s">
        <v>8739</v>
      </c>
      <c r="B262" s="138" t="s">
        <v>8739</v>
      </c>
      <c r="C262" s="138" t="s">
        <v>8763</v>
      </c>
      <c r="D262" s="138" t="s">
        <v>8743</v>
      </c>
      <c r="G262" s="138" t="s">
        <v>8750</v>
      </c>
      <c r="H262" s="138" t="s">
        <v>8776</v>
      </c>
      <c r="I262" s="138" t="s">
        <v>8409</v>
      </c>
      <c r="J262" s="138" t="s">
        <v>8769</v>
      </c>
    </row>
    <row r="263" spans="1:10">
      <c r="A263" s="138" t="s">
        <v>8739</v>
      </c>
      <c r="B263" s="138" t="s">
        <v>8739</v>
      </c>
      <c r="C263" s="138" t="s">
        <v>8763</v>
      </c>
      <c r="D263" s="138" t="s">
        <v>8777</v>
      </c>
      <c r="G263" s="138" t="s">
        <v>8750</v>
      </c>
      <c r="H263" s="138" t="s">
        <v>8778</v>
      </c>
      <c r="I263" s="138" t="s">
        <v>8739</v>
      </c>
      <c r="J263" s="138" t="s">
        <v>8752</v>
      </c>
    </row>
    <row r="264" spans="1:10">
      <c r="A264" s="138" t="s">
        <v>8739</v>
      </c>
      <c r="B264" s="138" t="s">
        <v>8739</v>
      </c>
      <c r="C264" s="138" t="s">
        <v>8763</v>
      </c>
      <c r="D264" s="138" t="s">
        <v>8779</v>
      </c>
      <c r="G264" s="138" t="s">
        <v>8750</v>
      </c>
      <c r="H264" s="138" t="s">
        <v>8780</v>
      </c>
      <c r="I264" s="138" t="s">
        <v>8739</v>
      </c>
      <c r="J264" s="138" t="s">
        <v>8763</v>
      </c>
    </row>
    <row r="265" spans="1:10">
      <c r="A265" s="138" t="e">
        <v>#N/A</v>
      </c>
      <c r="B265" s="138" t="e">
        <v>#N/A</v>
      </c>
      <c r="C265" s="138" t="s">
        <v>8763</v>
      </c>
      <c r="D265" s="138" t="e">
        <v>#N/A</v>
      </c>
      <c r="G265" s="138" t="s">
        <v>8750</v>
      </c>
      <c r="H265" s="138" t="s">
        <v>8750</v>
      </c>
      <c r="I265" s="138" t="s">
        <v>8739</v>
      </c>
      <c r="J265" s="138" t="s">
        <v>8739</v>
      </c>
    </row>
    <row r="266" spans="1:10">
      <c r="A266" s="138" t="s">
        <v>8739</v>
      </c>
      <c r="B266" s="138" t="s">
        <v>8739</v>
      </c>
      <c r="C266" s="138" t="s">
        <v>8766</v>
      </c>
      <c r="D266" s="138" t="s">
        <v>8766</v>
      </c>
      <c r="G266" s="138" t="s">
        <v>8750</v>
      </c>
      <c r="H266" s="138" t="s">
        <v>8781</v>
      </c>
      <c r="I266" s="138" t="s">
        <v>8739</v>
      </c>
      <c r="J266" s="138" t="s">
        <v>8752</v>
      </c>
    </row>
    <row r="267" spans="1:10">
      <c r="A267" s="138" t="s">
        <v>8739</v>
      </c>
      <c r="B267" s="138" t="s">
        <v>8739</v>
      </c>
      <c r="C267" s="138" t="s">
        <v>8766</v>
      </c>
      <c r="D267" s="138" t="s">
        <v>8782</v>
      </c>
      <c r="G267" s="138" t="s">
        <v>8750</v>
      </c>
      <c r="H267" s="138" t="s">
        <v>8783</v>
      </c>
      <c r="I267" s="138" t="s">
        <v>8739</v>
      </c>
      <c r="J267" s="138" t="s">
        <v>8766</v>
      </c>
    </row>
    <row r="268" spans="1:10">
      <c r="A268" s="138" t="s">
        <v>8739</v>
      </c>
      <c r="B268" s="138" t="s">
        <v>8739</v>
      </c>
      <c r="C268" s="138" t="s">
        <v>8766</v>
      </c>
      <c r="D268" s="138" t="s">
        <v>8784</v>
      </c>
      <c r="G268" s="138" t="s">
        <v>8750</v>
      </c>
      <c r="H268" s="138" t="s">
        <v>8785</v>
      </c>
      <c r="I268" s="138" t="s">
        <v>8739</v>
      </c>
      <c r="J268" s="138" t="s">
        <v>8740</v>
      </c>
    </row>
    <row r="269" spans="1:10">
      <c r="A269" s="138" t="s">
        <v>8739</v>
      </c>
      <c r="B269" s="138" t="s">
        <v>8739</v>
      </c>
      <c r="C269" s="138" t="s">
        <v>8766</v>
      </c>
      <c r="D269" s="138" t="s">
        <v>8786</v>
      </c>
      <c r="G269" s="138" t="s">
        <v>8750</v>
      </c>
      <c r="H269" s="138" t="s">
        <v>8787</v>
      </c>
      <c r="I269" s="138" t="s">
        <v>8409</v>
      </c>
      <c r="J269" s="138" t="s">
        <v>8788</v>
      </c>
    </row>
    <row r="270" spans="1:10">
      <c r="A270" s="138" t="s">
        <v>8739</v>
      </c>
      <c r="B270" s="138" t="s">
        <v>8739</v>
      </c>
      <c r="C270" s="138" t="s">
        <v>8766</v>
      </c>
      <c r="D270" s="138" t="s">
        <v>8789</v>
      </c>
      <c r="G270" s="138" t="s">
        <v>8750</v>
      </c>
      <c r="H270" s="138" t="s">
        <v>8790</v>
      </c>
      <c r="I270" s="138" t="s">
        <v>8739</v>
      </c>
      <c r="J270" s="138" t="s">
        <v>8763</v>
      </c>
    </row>
    <row r="271" spans="1:10">
      <c r="A271" s="138" t="s">
        <v>8739</v>
      </c>
      <c r="B271" s="138" t="s">
        <v>8739</v>
      </c>
      <c r="C271" s="138" t="s">
        <v>8766</v>
      </c>
      <c r="D271" s="138" t="s">
        <v>8791</v>
      </c>
      <c r="G271" s="138" t="s">
        <v>8750</v>
      </c>
      <c r="H271" s="138" t="s">
        <v>8792</v>
      </c>
      <c r="I271" s="138" t="s">
        <v>8409</v>
      </c>
      <c r="J271" s="138" t="s">
        <v>8769</v>
      </c>
    </row>
    <row r="272" spans="1:10">
      <c r="A272" s="138" t="s">
        <v>8739</v>
      </c>
      <c r="B272" s="138" t="s">
        <v>8739</v>
      </c>
      <c r="C272" s="138" t="s">
        <v>8766</v>
      </c>
      <c r="D272" s="138" t="s">
        <v>8793</v>
      </c>
      <c r="G272" s="138" t="s">
        <v>8750</v>
      </c>
      <c r="H272" s="138" t="s">
        <v>8794</v>
      </c>
      <c r="I272" s="138" t="s">
        <v>8739</v>
      </c>
      <c r="J272" s="138" t="s">
        <v>8760</v>
      </c>
    </row>
    <row r="273" spans="1:10">
      <c r="A273" s="138" t="s">
        <v>8739</v>
      </c>
      <c r="B273" s="138" t="s">
        <v>8739</v>
      </c>
      <c r="C273" s="138" t="s">
        <v>8766</v>
      </c>
      <c r="D273" s="138" t="s">
        <v>8795</v>
      </c>
      <c r="G273" s="138" t="s">
        <v>8750</v>
      </c>
      <c r="H273" s="138" t="s">
        <v>8796</v>
      </c>
      <c r="I273" s="138" t="s">
        <v>8739</v>
      </c>
      <c r="J273" s="138" t="s">
        <v>8763</v>
      </c>
    </row>
    <row r="274" spans="1:10">
      <c r="A274" s="138" t="s">
        <v>8739</v>
      </c>
      <c r="B274" s="138" t="s">
        <v>8739</v>
      </c>
      <c r="C274" s="138" t="s">
        <v>8760</v>
      </c>
      <c r="D274" s="138" t="s">
        <v>1203</v>
      </c>
      <c r="G274" s="138" t="s">
        <v>8750</v>
      </c>
      <c r="H274" s="138" t="s">
        <v>8797</v>
      </c>
      <c r="I274" s="138" t="s">
        <v>8739</v>
      </c>
      <c r="J274" s="138" t="s">
        <v>8763</v>
      </c>
    </row>
    <row r="275" spans="1:10">
      <c r="A275" s="138" t="s">
        <v>8739</v>
      </c>
      <c r="B275" s="138" t="s">
        <v>8739</v>
      </c>
      <c r="C275" s="138" t="s">
        <v>8760</v>
      </c>
      <c r="D275" s="138" t="s">
        <v>8798</v>
      </c>
      <c r="G275" s="138" t="s">
        <v>8750</v>
      </c>
      <c r="H275" s="138" t="s">
        <v>8799</v>
      </c>
      <c r="I275" s="138" t="s">
        <v>8409</v>
      </c>
      <c r="J275" s="138" t="s">
        <v>8773</v>
      </c>
    </row>
    <row r="276" spans="1:10">
      <c r="A276" s="138" t="s">
        <v>8739</v>
      </c>
      <c r="B276" s="138" t="s">
        <v>8739</v>
      </c>
      <c r="C276" s="138" t="s">
        <v>8760</v>
      </c>
      <c r="D276" s="138" t="s">
        <v>8760</v>
      </c>
      <c r="G276" s="138" t="s">
        <v>8750</v>
      </c>
      <c r="H276" s="138" t="s">
        <v>8800</v>
      </c>
      <c r="I276" s="138" t="s">
        <v>8409</v>
      </c>
      <c r="J276" s="138" t="s">
        <v>8788</v>
      </c>
    </row>
    <row r="277" spans="1:10">
      <c r="A277" s="138" t="s">
        <v>8739</v>
      </c>
      <c r="B277" s="138" t="s">
        <v>8739</v>
      </c>
      <c r="C277" s="138" t="s">
        <v>8760</v>
      </c>
      <c r="D277" s="138" t="s">
        <v>8801</v>
      </c>
      <c r="G277" s="138" t="s">
        <v>8750</v>
      </c>
      <c r="H277" s="138" t="s">
        <v>8802</v>
      </c>
      <c r="I277" s="138" t="s">
        <v>8739</v>
      </c>
      <c r="J277" s="138" t="s">
        <v>8763</v>
      </c>
    </row>
    <row r="278" spans="1:10">
      <c r="A278" s="138" t="s">
        <v>8739</v>
      </c>
      <c r="B278" s="138" t="s">
        <v>8739</v>
      </c>
      <c r="C278" s="138" t="s">
        <v>8760</v>
      </c>
      <c r="D278" s="138" t="s">
        <v>8803</v>
      </c>
      <c r="G278" s="138" t="s">
        <v>8750</v>
      </c>
      <c r="H278" s="138" t="s">
        <v>8804</v>
      </c>
      <c r="I278" s="138" t="s">
        <v>8409</v>
      </c>
      <c r="J278" s="138" t="s">
        <v>8773</v>
      </c>
    </row>
    <row r="279" spans="1:10">
      <c r="A279" s="138" t="s">
        <v>8739</v>
      </c>
      <c r="B279" s="138" t="s">
        <v>8739</v>
      </c>
      <c r="C279" s="138" t="s">
        <v>8760</v>
      </c>
      <c r="D279" s="138" t="s">
        <v>8805</v>
      </c>
      <c r="G279" s="138" t="s">
        <v>8750</v>
      </c>
      <c r="H279" s="138" t="s">
        <v>8806</v>
      </c>
      <c r="I279" s="138" t="s">
        <v>8739</v>
      </c>
      <c r="J279" s="138" t="s">
        <v>8766</v>
      </c>
    </row>
    <row r="280" spans="1:10">
      <c r="A280" s="138" t="s">
        <v>8739</v>
      </c>
      <c r="B280" s="138" t="s">
        <v>8739</v>
      </c>
      <c r="C280" s="138" t="s">
        <v>8760</v>
      </c>
      <c r="D280" s="138" t="s">
        <v>8807</v>
      </c>
      <c r="G280" s="138" t="s">
        <v>8750</v>
      </c>
      <c r="H280" s="138" t="s">
        <v>8808</v>
      </c>
      <c r="I280" s="138" t="s">
        <v>8739</v>
      </c>
      <c r="J280" s="138" t="s">
        <v>8752</v>
      </c>
    </row>
    <row r="281" spans="1:10">
      <c r="A281" s="138" t="s">
        <v>8739</v>
      </c>
      <c r="B281" s="138" t="s">
        <v>8739</v>
      </c>
      <c r="C281" s="138" t="s">
        <v>8760</v>
      </c>
      <c r="D281" s="138" t="s">
        <v>8809</v>
      </c>
      <c r="G281" s="138" t="s">
        <v>8750</v>
      </c>
      <c r="H281" s="138" t="s">
        <v>8810</v>
      </c>
      <c r="I281" s="138" t="s">
        <v>8739</v>
      </c>
      <c r="J281" s="138" t="s">
        <v>8757</v>
      </c>
    </row>
    <row r="282" spans="1:10">
      <c r="A282" s="138" t="s">
        <v>8739</v>
      </c>
      <c r="B282" s="138" t="s">
        <v>8409</v>
      </c>
      <c r="C282" s="138" t="s">
        <v>8769</v>
      </c>
      <c r="D282" s="138" t="s">
        <v>8811</v>
      </c>
      <c r="G282" s="138" t="s">
        <v>8750</v>
      </c>
      <c r="H282" s="138" t="s">
        <v>8812</v>
      </c>
      <c r="I282" s="138" t="s">
        <v>8739</v>
      </c>
      <c r="J282" s="138" t="s">
        <v>8760</v>
      </c>
    </row>
    <row r="283" spans="1:10">
      <c r="A283" s="138" t="s">
        <v>8739</v>
      </c>
      <c r="B283" s="138" t="s">
        <v>8409</v>
      </c>
      <c r="C283" s="138" t="s">
        <v>8769</v>
      </c>
      <c r="D283" s="138" t="s">
        <v>8813</v>
      </c>
      <c r="G283" s="138" t="s">
        <v>8750</v>
      </c>
      <c r="H283" s="138" t="s">
        <v>8814</v>
      </c>
      <c r="I283" s="138" t="s">
        <v>8409</v>
      </c>
      <c r="J283" s="138" t="s">
        <v>8773</v>
      </c>
    </row>
    <row r="284" spans="1:10">
      <c r="A284" s="138" t="s">
        <v>8739</v>
      </c>
      <c r="B284" s="138" t="s">
        <v>8409</v>
      </c>
      <c r="C284" s="138" t="s">
        <v>8769</v>
      </c>
      <c r="D284" s="138" t="s">
        <v>8815</v>
      </c>
      <c r="G284" s="138" t="s">
        <v>8750</v>
      </c>
      <c r="H284" s="138" t="s">
        <v>8816</v>
      </c>
      <c r="I284" s="138" t="s">
        <v>8409</v>
      </c>
      <c r="J284" s="138" t="s">
        <v>8773</v>
      </c>
    </row>
    <row r="285" spans="1:10">
      <c r="A285" s="138" t="s">
        <v>8739</v>
      </c>
      <c r="B285" s="138" t="s">
        <v>8409</v>
      </c>
      <c r="C285" s="138" t="s">
        <v>8769</v>
      </c>
      <c r="D285" s="138" t="s">
        <v>8769</v>
      </c>
      <c r="G285" s="138" t="s">
        <v>8750</v>
      </c>
      <c r="H285" s="138" t="s">
        <v>8817</v>
      </c>
      <c r="I285" s="138" t="s">
        <v>8739</v>
      </c>
      <c r="J285" s="138" t="s">
        <v>8757</v>
      </c>
    </row>
    <row r="286" spans="1:10">
      <c r="A286" s="138" t="s">
        <v>8739</v>
      </c>
      <c r="B286" s="138" t="s">
        <v>8409</v>
      </c>
      <c r="C286" s="138" t="s">
        <v>8769</v>
      </c>
      <c r="D286" s="138" t="s">
        <v>8818</v>
      </c>
      <c r="G286" s="138" t="s">
        <v>8750</v>
      </c>
      <c r="H286" s="138" t="s">
        <v>8819</v>
      </c>
      <c r="I286" s="138" t="s">
        <v>8409</v>
      </c>
      <c r="J286" s="138" t="s">
        <v>8769</v>
      </c>
    </row>
    <row r="287" spans="1:10">
      <c r="A287" s="138" t="s">
        <v>8739</v>
      </c>
      <c r="B287" s="138" t="s">
        <v>8409</v>
      </c>
      <c r="C287" s="138" t="s">
        <v>8769</v>
      </c>
      <c r="D287" s="138" t="s">
        <v>8820</v>
      </c>
      <c r="G287" s="138" t="s">
        <v>8750</v>
      </c>
      <c r="H287" s="138" t="s">
        <v>8821</v>
      </c>
      <c r="I287" s="138" t="s">
        <v>8409</v>
      </c>
      <c r="J287" s="138" t="s">
        <v>8769</v>
      </c>
    </row>
    <row r="288" spans="1:10">
      <c r="A288" s="138" t="s">
        <v>8739</v>
      </c>
      <c r="B288" s="138" t="s">
        <v>8409</v>
      </c>
      <c r="C288" s="138" t="s">
        <v>8769</v>
      </c>
      <c r="D288" s="138" t="s">
        <v>8822</v>
      </c>
      <c r="G288" s="138" t="s">
        <v>8750</v>
      </c>
      <c r="H288" s="138" t="s">
        <v>8823</v>
      </c>
      <c r="I288" s="138" t="s">
        <v>8739</v>
      </c>
      <c r="J288" s="138" t="s">
        <v>8740</v>
      </c>
    </row>
    <row r="289" spans="1:10">
      <c r="A289" s="138" t="s">
        <v>8739</v>
      </c>
      <c r="B289" s="138" t="s">
        <v>8409</v>
      </c>
      <c r="C289" s="138" t="s">
        <v>8769</v>
      </c>
      <c r="D289" s="138" t="s">
        <v>8824</v>
      </c>
      <c r="G289" s="138" t="s">
        <v>8750</v>
      </c>
      <c r="H289" s="138" t="s">
        <v>8825</v>
      </c>
      <c r="I289" s="138" t="s">
        <v>8409</v>
      </c>
      <c r="J289" s="138" t="s">
        <v>8769</v>
      </c>
    </row>
    <row r="290" spans="1:10">
      <c r="A290" s="138" t="s">
        <v>8739</v>
      </c>
      <c r="B290" s="138" t="s">
        <v>8409</v>
      </c>
      <c r="C290" s="138" t="s">
        <v>8769</v>
      </c>
      <c r="D290" s="138" t="s">
        <v>8826</v>
      </c>
      <c r="G290" s="138" t="s">
        <v>8750</v>
      </c>
      <c r="H290" s="138" t="s">
        <v>8827</v>
      </c>
      <c r="I290" s="138" t="s">
        <v>8409</v>
      </c>
      <c r="J290" s="138" t="s">
        <v>8773</v>
      </c>
    </row>
    <row r="291" spans="1:10">
      <c r="A291" s="138" t="s">
        <v>8739</v>
      </c>
      <c r="B291" s="138" t="s">
        <v>8409</v>
      </c>
      <c r="C291" s="138" t="s">
        <v>8769</v>
      </c>
      <c r="D291" s="138" t="s">
        <v>8828</v>
      </c>
      <c r="G291" s="138" t="s">
        <v>8750</v>
      </c>
      <c r="H291" s="138" t="s">
        <v>8829</v>
      </c>
      <c r="I291" s="138" t="s">
        <v>8739</v>
      </c>
      <c r="J291" s="138" t="s">
        <v>8760</v>
      </c>
    </row>
    <row r="292" spans="1:10">
      <c r="A292" s="138" t="e">
        <v>#N/A</v>
      </c>
      <c r="B292" s="138" t="e">
        <v>#N/A</v>
      </c>
      <c r="C292" s="138" t="s">
        <v>8769</v>
      </c>
      <c r="D292" s="138" t="e">
        <v>#N/A</v>
      </c>
      <c r="G292" s="138" t="s">
        <v>8750</v>
      </c>
      <c r="H292" s="138" t="s">
        <v>8830</v>
      </c>
      <c r="I292" s="138" t="s">
        <v>8739</v>
      </c>
      <c r="J292" s="138" t="s">
        <v>8752</v>
      </c>
    </row>
    <row r="293" spans="1:10">
      <c r="A293" s="138" t="s">
        <v>8739</v>
      </c>
      <c r="B293" s="138" t="s">
        <v>8409</v>
      </c>
      <c r="C293" s="138" t="s">
        <v>8788</v>
      </c>
      <c r="D293" s="138" t="s">
        <v>8818</v>
      </c>
      <c r="G293" s="138" t="s">
        <v>8750</v>
      </c>
      <c r="H293" s="138" t="s">
        <v>8831</v>
      </c>
      <c r="I293" s="138" t="s">
        <v>8409</v>
      </c>
      <c r="J293" s="138" t="s">
        <v>8769</v>
      </c>
    </row>
    <row r="294" spans="1:10">
      <c r="A294" s="138" t="s">
        <v>8739</v>
      </c>
      <c r="B294" s="138" t="s">
        <v>8409</v>
      </c>
      <c r="C294" s="138" t="s">
        <v>8788</v>
      </c>
      <c r="D294" s="138" t="s">
        <v>8822</v>
      </c>
      <c r="G294" s="138" t="s">
        <v>8750</v>
      </c>
      <c r="H294" s="138" t="s">
        <v>8832</v>
      </c>
      <c r="I294" s="138" t="s">
        <v>8739</v>
      </c>
      <c r="J294" s="138" t="s">
        <v>8760</v>
      </c>
    </row>
    <row r="295" spans="1:10">
      <c r="A295" s="138" t="s">
        <v>8739</v>
      </c>
      <c r="B295" s="138" t="s">
        <v>8409</v>
      </c>
      <c r="C295" s="138" t="s">
        <v>8788</v>
      </c>
      <c r="D295" s="138" t="s">
        <v>8833</v>
      </c>
      <c r="G295" s="138" t="s">
        <v>8750</v>
      </c>
      <c r="H295" s="138" t="s">
        <v>8834</v>
      </c>
      <c r="I295" s="138" t="s">
        <v>8739</v>
      </c>
      <c r="J295" s="138" t="s">
        <v>8766</v>
      </c>
    </row>
    <row r="296" spans="1:10">
      <c r="A296" s="138" t="s">
        <v>8739</v>
      </c>
      <c r="B296" s="138" t="s">
        <v>8409</v>
      </c>
      <c r="C296" s="138" t="s">
        <v>8788</v>
      </c>
      <c r="D296" s="138" t="s">
        <v>8835</v>
      </c>
      <c r="G296" s="138" t="s">
        <v>8750</v>
      </c>
      <c r="H296" s="138" t="s">
        <v>8836</v>
      </c>
      <c r="I296" s="138" t="s">
        <v>8409</v>
      </c>
      <c r="J296" s="138" t="s">
        <v>8773</v>
      </c>
    </row>
    <row r="297" spans="1:10">
      <c r="A297" s="138" t="s">
        <v>8739</v>
      </c>
      <c r="B297" s="138" t="s">
        <v>8409</v>
      </c>
      <c r="C297" s="138" t="s">
        <v>8788</v>
      </c>
      <c r="D297" s="138" t="s">
        <v>8837</v>
      </c>
      <c r="G297" s="138" t="s">
        <v>8750</v>
      </c>
      <c r="H297" s="138" t="s">
        <v>8838</v>
      </c>
      <c r="I297" s="138" t="s">
        <v>8739</v>
      </c>
      <c r="J297" s="138" t="s">
        <v>8766</v>
      </c>
    </row>
    <row r="298" spans="1:10">
      <c r="A298" s="138" t="e">
        <v>#N/A</v>
      </c>
      <c r="B298" s="138" t="e">
        <v>#N/A</v>
      </c>
      <c r="C298" s="138" t="s">
        <v>8788</v>
      </c>
      <c r="D298" s="138" t="e">
        <v>#N/A</v>
      </c>
      <c r="G298" s="138" t="s">
        <v>8750</v>
      </c>
      <c r="H298" s="138" t="s">
        <v>8839</v>
      </c>
      <c r="I298" s="138" t="s">
        <v>8739</v>
      </c>
      <c r="J298" s="138" t="s">
        <v>8760</v>
      </c>
    </row>
    <row r="299" spans="1:10">
      <c r="A299" s="138" t="s">
        <v>8739</v>
      </c>
      <c r="B299" s="138" t="s">
        <v>8739</v>
      </c>
      <c r="C299" s="138" t="s">
        <v>8739</v>
      </c>
      <c r="D299" s="138" t="s">
        <v>8795</v>
      </c>
      <c r="G299" s="138" t="s">
        <v>8750</v>
      </c>
      <c r="H299" s="138" t="s">
        <v>8840</v>
      </c>
      <c r="I299" s="138" t="s">
        <v>8739</v>
      </c>
      <c r="J299" s="138" t="s">
        <v>8760</v>
      </c>
    </row>
    <row r="300" spans="1:10">
      <c r="A300" s="138" t="s">
        <v>8739</v>
      </c>
      <c r="B300" s="138" t="s">
        <v>8409</v>
      </c>
      <c r="C300" s="138" t="s">
        <v>8773</v>
      </c>
      <c r="D300" s="138" t="s">
        <v>8841</v>
      </c>
      <c r="G300" s="138" t="s">
        <v>8750</v>
      </c>
      <c r="H300" s="138" t="s">
        <v>8842</v>
      </c>
      <c r="I300" s="138" t="s">
        <v>8409</v>
      </c>
      <c r="J300" s="138" t="s">
        <v>8773</v>
      </c>
    </row>
    <row r="301" spans="1:10">
      <c r="A301" s="138" t="s">
        <v>8739</v>
      </c>
      <c r="B301" s="138" t="s">
        <v>8409</v>
      </c>
      <c r="C301" s="138" t="s">
        <v>8773</v>
      </c>
      <c r="D301" s="138" t="s">
        <v>8427</v>
      </c>
      <c r="G301" s="138" t="s">
        <v>8750</v>
      </c>
      <c r="H301" s="138" t="s">
        <v>8843</v>
      </c>
      <c r="I301" s="138" t="s">
        <v>8739</v>
      </c>
      <c r="J301" s="138" t="s">
        <v>8763</v>
      </c>
    </row>
    <row r="302" spans="1:10">
      <c r="A302" s="138" t="s">
        <v>8739</v>
      </c>
      <c r="B302" s="138" t="s">
        <v>8409</v>
      </c>
      <c r="C302" s="138" t="s">
        <v>8773</v>
      </c>
      <c r="D302" s="138" t="s">
        <v>8844</v>
      </c>
      <c r="G302" s="138" t="s">
        <v>8845</v>
      </c>
      <c r="H302" s="138" t="s">
        <v>8846</v>
      </c>
      <c r="I302" s="138" t="s">
        <v>9289</v>
      </c>
      <c r="J302" s="138" t="s">
        <v>8847</v>
      </c>
    </row>
    <row r="303" spans="1:10">
      <c r="A303" s="138" t="s">
        <v>8739</v>
      </c>
      <c r="B303" s="138" t="s">
        <v>8409</v>
      </c>
      <c r="C303" s="138" t="s">
        <v>8773</v>
      </c>
      <c r="D303" s="138" t="s">
        <v>8848</v>
      </c>
      <c r="G303" s="138" t="s">
        <v>8845</v>
      </c>
      <c r="H303" s="138" t="s">
        <v>8849</v>
      </c>
      <c r="I303" s="138" t="s">
        <v>9378</v>
      </c>
      <c r="J303" s="138" t="s">
        <v>8850</v>
      </c>
    </row>
    <row r="304" spans="1:10">
      <c r="A304" s="138" t="s">
        <v>8739</v>
      </c>
      <c r="B304" s="138" t="s">
        <v>8409</v>
      </c>
      <c r="C304" s="138" t="s">
        <v>8773</v>
      </c>
      <c r="D304" s="138" t="s">
        <v>8835</v>
      </c>
      <c r="G304" s="138" t="s">
        <v>8845</v>
      </c>
      <c r="H304" s="138" t="s">
        <v>8851</v>
      </c>
      <c r="I304" s="138" t="s">
        <v>3442</v>
      </c>
      <c r="J304" s="138" t="s">
        <v>8852</v>
      </c>
    </row>
    <row r="305" spans="1:10">
      <c r="A305" s="138" t="s">
        <v>8739</v>
      </c>
      <c r="B305" s="138" t="s">
        <v>8409</v>
      </c>
      <c r="C305" s="138" t="s">
        <v>8773</v>
      </c>
      <c r="D305" s="138" t="s">
        <v>8837</v>
      </c>
      <c r="G305" s="138" t="s">
        <v>8845</v>
      </c>
      <c r="H305" s="138" t="s">
        <v>8853</v>
      </c>
      <c r="I305" s="138" t="s">
        <v>3442</v>
      </c>
      <c r="J305" s="138" t="s">
        <v>8854</v>
      </c>
    </row>
    <row r="306" spans="1:10">
      <c r="A306" s="138" t="s">
        <v>8739</v>
      </c>
      <c r="B306" s="138" t="s">
        <v>8409</v>
      </c>
      <c r="C306" s="138" t="s">
        <v>8773</v>
      </c>
      <c r="D306" s="138" t="s">
        <v>8773</v>
      </c>
      <c r="G306" s="138" t="s">
        <v>8845</v>
      </c>
      <c r="H306" s="138" t="s">
        <v>8855</v>
      </c>
      <c r="I306" s="138" t="s">
        <v>3442</v>
      </c>
      <c r="J306" s="138" t="s">
        <v>8856</v>
      </c>
    </row>
    <row r="307" spans="1:10">
      <c r="A307" s="138" t="s">
        <v>8739</v>
      </c>
      <c r="B307" s="138" t="s">
        <v>8409</v>
      </c>
      <c r="C307" s="138" t="s">
        <v>8773</v>
      </c>
      <c r="D307" s="138" t="s">
        <v>8857</v>
      </c>
      <c r="G307" s="138" t="s">
        <v>8845</v>
      </c>
      <c r="H307" s="138" t="s">
        <v>8858</v>
      </c>
      <c r="I307" s="138" t="s">
        <v>3442</v>
      </c>
      <c r="J307" s="138" t="s">
        <v>8852</v>
      </c>
    </row>
    <row r="308" spans="1:10">
      <c r="A308" s="138" t="s">
        <v>8739</v>
      </c>
      <c r="B308" s="138" t="s">
        <v>8409</v>
      </c>
      <c r="C308" s="138" t="s">
        <v>8773</v>
      </c>
      <c r="D308" s="138" t="s">
        <v>8859</v>
      </c>
      <c r="G308" s="138" t="s">
        <v>8845</v>
      </c>
      <c r="H308" s="138" t="s">
        <v>8860</v>
      </c>
      <c r="I308" s="138" t="s">
        <v>9289</v>
      </c>
      <c r="J308" s="138" t="s">
        <v>8861</v>
      </c>
    </row>
    <row r="309" spans="1:10">
      <c r="A309" s="138" t="s">
        <v>8739</v>
      </c>
      <c r="B309" s="138" t="s">
        <v>8409</v>
      </c>
      <c r="C309" s="138" t="s">
        <v>8773</v>
      </c>
      <c r="D309" s="138" t="s">
        <v>8822</v>
      </c>
      <c r="G309" s="138" t="s">
        <v>8845</v>
      </c>
      <c r="H309" s="138" t="s">
        <v>8862</v>
      </c>
      <c r="I309" s="138" t="s">
        <v>9378</v>
      </c>
      <c r="J309" s="138" t="s">
        <v>8850</v>
      </c>
    </row>
    <row r="310" spans="1:10">
      <c r="A310" s="138" t="s">
        <v>8739</v>
      </c>
      <c r="B310" s="138" t="s">
        <v>8409</v>
      </c>
      <c r="C310" s="138" t="s">
        <v>8773</v>
      </c>
      <c r="D310" s="138" t="s">
        <v>8813</v>
      </c>
      <c r="G310" s="138" t="s">
        <v>8845</v>
      </c>
      <c r="H310" s="138" t="s">
        <v>8863</v>
      </c>
      <c r="I310" s="138" t="s">
        <v>9289</v>
      </c>
      <c r="J310" s="138" t="s">
        <v>8767</v>
      </c>
    </row>
    <row r="311" spans="1:10">
      <c r="A311" s="138" t="e">
        <v>#N/A</v>
      </c>
      <c r="B311" s="138" t="e">
        <v>#N/A</v>
      </c>
      <c r="C311" s="138" t="s">
        <v>8773</v>
      </c>
      <c r="D311" s="138" t="e">
        <v>#N/A</v>
      </c>
      <c r="G311" s="138" t="s">
        <v>8845</v>
      </c>
      <c r="H311" s="138" t="s">
        <v>8864</v>
      </c>
      <c r="I311" s="138" t="s">
        <v>9289</v>
      </c>
      <c r="J311" s="138" t="s">
        <v>8847</v>
      </c>
    </row>
    <row r="312" spans="1:10">
      <c r="A312" s="138" t="s">
        <v>8739</v>
      </c>
      <c r="B312" s="138" t="s">
        <v>8739</v>
      </c>
      <c r="C312" s="138" t="s">
        <v>8752</v>
      </c>
      <c r="D312" s="138" t="s">
        <v>8865</v>
      </c>
      <c r="G312" s="138" t="s">
        <v>8845</v>
      </c>
      <c r="H312" s="138" t="s">
        <v>8866</v>
      </c>
      <c r="I312" s="138" t="s">
        <v>3442</v>
      </c>
      <c r="J312" s="138" t="s">
        <v>8856</v>
      </c>
    </row>
    <row r="313" spans="1:10">
      <c r="A313" s="138" t="s">
        <v>8739</v>
      </c>
      <c r="B313" s="138" t="s">
        <v>8739</v>
      </c>
      <c r="C313" s="138" t="s">
        <v>8752</v>
      </c>
      <c r="D313" s="138" t="s">
        <v>8867</v>
      </c>
      <c r="G313" s="138" t="s">
        <v>8845</v>
      </c>
      <c r="H313" s="138" t="s">
        <v>8868</v>
      </c>
      <c r="I313" s="138" t="s">
        <v>3442</v>
      </c>
      <c r="J313" s="138" t="s">
        <v>8852</v>
      </c>
    </row>
    <row r="314" spans="1:10">
      <c r="A314" s="138" t="s">
        <v>8739</v>
      </c>
      <c r="B314" s="138" t="s">
        <v>8739</v>
      </c>
      <c r="C314" s="138" t="s">
        <v>8752</v>
      </c>
      <c r="D314" s="138" t="s">
        <v>8869</v>
      </c>
      <c r="G314" s="138" t="s">
        <v>8845</v>
      </c>
      <c r="H314" s="138" t="s">
        <v>8124</v>
      </c>
      <c r="I314" s="138" t="s">
        <v>3442</v>
      </c>
      <c r="J314" s="138" t="s">
        <v>358</v>
      </c>
    </row>
    <row r="315" spans="1:10">
      <c r="A315" s="138" t="s">
        <v>8739</v>
      </c>
      <c r="B315" s="138" t="s">
        <v>8739</v>
      </c>
      <c r="C315" s="138" t="s">
        <v>8752</v>
      </c>
      <c r="D315" s="138" t="s">
        <v>8870</v>
      </c>
      <c r="G315" s="138" t="s">
        <v>8845</v>
      </c>
      <c r="H315" s="138" t="s">
        <v>8871</v>
      </c>
      <c r="I315" s="138" t="s">
        <v>3442</v>
      </c>
      <c r="J315" s="138" t="s">
        <v>358</v>
      </c>
    </row>
    <row r="316" spans="1:10">
      <c r="A316" s="138" t="s">
        <v>8739</v>
      </c>
      <c r="B316" s="138" t="s">
        <v>8739</v>
      </c>
      <c r="C316" s="138" t="s">
        <v>8752</v>
      </c>
      <c r="D316" s="138" t="s">
        <v>8752</v>
      </c>
      <c r="G316" s="138" t="s">
        <v>8845</v>
      </c>
      <c r="H316" s="138" t="s">
        <v>8872</v>
      </c>
      <c r="I316" s="138" t="s">
        <v>3442</v>
      </c>
      <c r="J316" s="138" t="s">
        <v>8854</v>
      </c>
    </row>
    <row r="317" spans="1:10">
      <c r="A317" s="138" t="s">
        <v>8739</v>
      </c>
      <c r="B317" s="138" t="s">
        <v>8739</v>
      </c>
      <c r="C317" s="138" t="s">
        <v>8752</v>
      </c>
      <c r="D317" s="138" t="s">
        <v>8873</v>
      </c>
      <c r="G317" s="138" t="s">
        <v>8845</v>
      </c>
      <c r="H317" s="138" t="s">
        <v>8874</v>
      </c>
      <c r="I317" s="138" t="s">
        <v>9289</v>
      </c>
      <c r="J317" s="138" t="s">
        <v>8767</v>
      </c>
    </row>
    <row r="318" spans="1:10">
      <c r="A318" s="138" t="s">
        <v>8739</v>
      </c>
      <c r="B318" s="138" t="s">
        <v>8739</v>
      </c>
      <c r="C318" s="138" t="s">
        <v>8752</v>
      </c>
      <c r="D318" s="138" t="s">
        <v>8875</v>
      </c>
      <c r="G318" s="138" t="s">
        <v>8845</v>
      </c>
      <c r="H318" s="138" t="s">
        <v>8876</v>
      </c>
      <c r="I318" s="138" t="s">
        <v>9289</v>
      </c>
      <c r="J318" s="138" t="s">
        <v>8877</v>
      </c>
    </row>
    <row r="319" spans="1:10">
      <c r="A319" s="138" t="s">
        <v>8739</v>
      </c>
      <c r="B319" s="138" t="s">
        <v>8739</v>
      </c>
      <c r="C319" s="138" t="s">
        <v>8752</v>
      </c>
      <c r="D319" s="138" t="s">
        <v>8878</v>
      </c>
      <c r="G319" s="138" t="s">
        <v>8845</v>
      </c>
      <c r="H319" s="138" t="s">
        <v>8879</v>
      </c>
      <c r="I319" s="138" t="s">
        <v>9378</v>
      </c>
      <c r="J319" s="138" t="s">
        <v>8880</v>
      </c>
    </row>
    <row r="320" spans="1:10">
      <c r="A320" s="138" t="s">
        <v>8881</v>
      </c>
      <c r="B320" s="138" t="s">
        <v>8881</v>
      </c>
      <c r="C320" s="138" t="s">
        <v>8882</v>
      </c>
      <c r="D320" s="138" t="s">
        <v>8883</v>
      </c>
      <c r="G320" s="138" t="s">
        <v>8845</v>
      </c>
      <c r="H320" s="138" t="s">
        <v>8884</v>
      </c>
      <c r="I320" s="138" t="s">
        <v>9378</v>
      </c>
      <c r="J320" s="138" t="s">
        <v>8880</v>
      </c>
    </row>
    <row r="321" spans="1:10">
      <c r="A321" s="138" t="s">
        <v>8881</v>
      </c>
      <c r="B321" s="138" t="s">
        <v>8881</v>
      </c>
      <c r="C321" s="138" t="s">
        <v>8882</v>
      </c>
      <c r="D321" s="138" t="s">
        <v>8882</v>
      </c>
      <c r="G321" s="138" t="s">
        <v>8845</v>
      </c>
      <c r="H321" s="138" t="s">
        <v>8885</v>
      </c>
      <c r="I321" s="138" t="s">
        <v>9289</v>
      </c>
      <c r="J321" s="138" t="s">
        <v>8861</v>
      </c>
    </row>
    <row r="322" spans="1:10">
      <c r="A322" s="138" t="s">
        <v>8881</v>
      </c>
      <c r="B322" s="138" t="s">
        <v>8881</v>
      </c>
      <c r="C322" s="138" t="s">
        <v>8882</v>
      </c>
      <c r="D322" s="138" t="s">
        <v>8886</v>
      </c>
      <c r="G322" s="138" t="s">
        <v>8845</v>
      </c>
      <c r="H322" s="138" t="s">
        <v>8887</v>
      </c>
      <c r="I322" s="138" t="s">
        <v>3442</v>
      </c>
      <c r="J322" s="138" t="s">
        <v>8888</v>
      </c>
    </row>
    <row r="323" spans="1:10">
      <c r="A323" s="138" t="s">
        <v>8881</v>
      </c>
      <c r="B323" s="138" t="s">
        <v>8881</v>
      </c>
      <c r="C323" s="138" t="s">
        <v>8882</v>
      </c>
      <c r="D323" s="138" t="s">
        <v>8889</v>
      </c>
      <c r="G323" s="138" t="s">
        <v>8845</v>
      </c>
      <c r="H323" s="138" t="s">
        <v>8890</v>
      </c>
      <c r="I323" s="138" t="s">
        <v>3442</v>
      </c>
      <c r="J323" s="138" t="s">
        <v>8852</v>
      </c>
    </row>
    <row r="324" spans="1:10">
      <c r="A324" s="138" t="s">
        <v>8881</v>
      </c>
      <c r="B324" s="138" t="s">
        <v>8881</v>
      </c>
      <c r="C324" s="138" t="s">
        <v>8882</v>
      </c>
      <c r="D324" s="138" t="s">
        <v>8891</v>
      </c>
      <c r="G324" s="138" t="s">
        <v>8845</v>
      </c>
      <c r="H324" s="138" t="s">
        <v>8892</v>
      </c>
      <c r="I324" s="138" t="s">
        <v>3442</v>
      </c>
      <c r="J324" s="138" t="s">
        <v>8854</v>
      </c>
    </row>
    <row r="325" spans="1:10">
      <c r="A325" s="138" t="s">
        <v>8881</v>
      </c>
      <c r="B325" s="138" t="s">
        <v>8881</v>
      </c>
      <c r="C325" s="138" t="s">
        <v>8882</v>
      </c>
      <c r="D325" s="138" t="s">
        <v>8774</v>
      </c>
      <c r="G325" s="138" t="s">
        <v>8845</v>
      </c>
      <c r="H325" s="138" t="s">
        <v>8893</v>
      </c>
      <c r="I325" s="138" t="s">
        <v>3442</v>
      </c>
      <c r="J325" s="138" t="s">
        <v>8894</v>
      </c>
    </row>
    <row r="326" spans="1:10">
      <c r="A326" s="138" t="s">
        <v>8881</v>
      </c>
      <c r="B326" s="138" t="s">
        <v>8881</v>
      </c>
      <c r="C326" s="138" t="s">
        <v>8882</v>
      </c>
      <c r="D326" s="138" t="s">
        <v>8895</v>
      </c>
      <c r="G326" s="138" t="s">
        <v>8845</v>
      </c>
      <c r="H326" s="138" t="s">
        <v>8896</v>
      </c>
      <c r="I326" s="138" t="s">
        <v>9378</v>
      </c>
      <c r="J326" s="138" t="s">
        <v>8880</v>
      </c>
    </row>
    <row r="327" spans="1:10">
      <c r="A327" s="138" t="s">
        <v>8881</v>
      </c>
      <c r="B327" s="138" t="s">
        <v>8881</v>
      </c>
      <c r="C327" s="138" t="s">
        <v>8882</v>
      </c>
      <c r="D327" s="138" t="s">
        <v>8897</v>
      </c>
      <c r="G327" s="138" t="s">
        <v>8845</v>
      </c>
      <c r="H327" s="138" t="s">
        <v>8898</v>
      </c>
      <c r="I327" s="138" t="s">
        <v>3442</v>
      </c>
      <c r="J327" s="138" t="s">
        <v>8852</v>
      </c>
    </row>
    <row r="328" spans="1:10">
      <c r="A328" s="138" t="s">
        <v>8881</v>
      </c>
      <c r="B328" s="138" t="s">
        <v>379</v>
      </c>
      <c r="C328" s="138" t="s">
        <v>8899</v>
      </c>
      <c r="D328" s="138" t="s">
        <v>8900</v>
      </c>
      <c r="G328" s="138" t="s">
        <v>8845</v>
      </c>
      <c r="H328" s="138" t="s">
        <v>8901</v>
      </c>
      <c r="I328" s="138" t="s">
        <v>3442</v>
      </c>
      <c r="J328" s="138" t="s">
        <v>8585</v>
      </c>
    </row>
    <row r="329" spans="1:10">
      <c r="A329" s="138" t="s">
        <v>8881</v>
      </c>
      <c r="B329" s="138" t="s">
        <v>379</v>
      </c>
      <c r="C329" s="138" t="s">
        <v>8899</v>
      </c>
      <c r="D329" s="138" t="s">
        <v>8902</v>
      </c>
      <c r="G329" s="138" t="s">
        <v>8845</v>
      </c>
      <c r="H329" s="138" t="s">
        <v>8903</v>
      </c>
      <c r="I329" s="138" t="s">
        <v>9378</v>
      </c>
      <c r="J329" s="138" t="s">
        <v>8880</v>
      </c>
    </row>
    <row r="330" spans="1:10">
      <c r="A330" s="138" t="s">
        <v>8881</v>
      </c>
      <c r="B330" s="138" t="s">
        <v>379</v>
      </c>
      <c r="C330" s="138" t="s">
        <v>8899</v>
      </c>
      <c r="D330" s="138" t="s">
        <v>8904</v>
      </c>
      <c r="G330" s="138" t="s">
        <v>8845</v>
      </c>
      <c r="H330" s="138" t="s">
        <v>8905</v>
      </c>
      <c r="I330" s="138" t="s">
        <v>9378</v>
      </c>
      <c r="J330" s="138" t="s">
        <v>8850</v>
      </c>
    </row>
    <row r="331" spans="1:10">
      <c r="A331" s="138" t="s">
        <v>8881</v>
      </c>
      <c r="B331" s="138" t="s">
        <v>379</v>
      </c>
      <c r="C331" s="138" t="s">
        <v>8899</v>
      </c>
      <c r="D331" s="138" t="s">
        <v>8906</v>
      </c>
      <c r="G331" s="138" t="s">
        <v>8845</v>
      </c>
      <c r="H331" s="138" t="s">
        <v>8907</v>
      </c>
      <c r="I331" s="138" t="s">
        <v>9289</v>
      </c>
      <c r="J331" s="138" t="s">
        <v>8767</v>
      </c>
    </row>
    <row r="332" spans="1:10">
      <c r="A332" s="138" t="s">
        <v>8881</v>
      </c>
      <c r="B332" s="138" t="s">
        <v>379</v>
      </c>
      <c r="C332" s="138" t="s">
        <v>8899</v>
      </c>
      <c r="D332" s="138" t="s">
        <v>8908</v>
      </c>
      <c r="G332" s="138" t="s">
        <v>8845</v>
      </c>
      <c r="H332" s="138" t="s">
        <v>8909</v>
      </c>
      <c r="I332" s="138" t="s">
        <v>3442</v>
      </c>
      <c r="J332" s="138" t="s">
        <v>8852</v>
      </c>
    </row>
    <row r="333" spans="1:10">
      <c r="A333" s="138" t="s">
        <v>8881</v>
      </c>
      <c r="B333" s="138" t="s">
        <v>379</v>
      </c>
      <c r="C333" s="138" t="s">
        <v>8899</v>
      </c>
      <c r="D333" s="138" t="s">
        <v>8899</v>
      </c>
      <c r="G333" s="138" t="s">
        <v>8845</v>
      </c>
      <c r="H333" s="138" t="s">
        <v>8910</v>
      </c>
      <c r="I333" s="138" t="s">
        <v>9289</v>
      </c>
      <c r="J333" s="138" t="s">
        <v>8861</v>
      </c>
    </row>
    <row r="334" spans="1:10">
      <c r="A334" s="138" t="s">
        <v>8881</v>
      </c>
      <c r="B334" s="138" t="s">
        <v>379</v>
      </c>
      <c r="C334" s="138" t="s">
        <v>8899</v>
      </c>
      <c r="D334" s="138" t="s">
        <v>8911</v>
      </c>
      <c r="G334" s="138" t="s">
        <v>8845</v>
      </c>
      <c r="H334" s="138" t="s">
        <v>8912</v>
      </c>
      <c r="I334" s="138" t="s">
        <v>3442</v>
      </c>
      <c r="J334" s="138" t="s">
        <v>358</v>
      </c>
    </row>
    <row r="335" spans="1:10">
      <c r="A335" s="138" t="e">
        <v>#N/A</v>
      </c>
      <c r="B335" s="138" t="e">
        <v>#N/A</v>
      </c>
      <c r="C335" s="138" t="s">
        <v>8899</v>
      </c>
      <c r="D335" s="138" t="e">
        <v>#N/A</v>
      </c>
      <c r="G335" s="138" t="s">
        <v>8845</v>
      </c>
      <c r="H335" s="138" t="s">
        <v>8913</v>
      </c>
      <c r="I335" s="138" t="s">
        <v>9378</v>
      </c>
      <c r="J335" s="138" t="s">
        <v>8850</v>
      </c>
    </row>
    <row r="336" spans="1:10">
      <c r="A336" s="138" t="s">
        <v>8881</v>
      </c>
      <c r="B336" s="138" t="s">
        <v>379</v>
      </c>
      <c r="C336" s="138" t="s">
        <v>8914</v>
      </c>
      <c r="D336" s="138" t="s">
        <v>8915</v>
      </c>
      <c r="G336" s="138" t="s">
        <v>8845</v>
      </c>
      <c r="H336" s="138" t="s">
        <v>8916</v>
      </c>
      <c r="I336" s="138" t="s">
        <v>3442</v>
      </c>
      <c r="J336" s="138" t="s">
        <v>8585</v>
      </c>
    </row>
    <row r="337" spans="1:10">
      <c r="A337" s="138" t="s">
        <v>8881</v>
      </c>
      <c r="B337" s="138" t="s">
        <v>379</v>
      </c>
      <c r="C337" s="138" t="s">
        <v>8914</v>
      </c>
      <c r="D337" s="138" t="s">
        <v>8917</v>
      </c>
      <c r="G337" s="138" t="s">
        <v>8845</v>
      </c>
      <c r="H337" s="138" t="s">
        <v>8918</v>
      </c>
      <c r="I337" s="138" t="s">
        <v>3442</v>
      </c>
      <c r="J337" s="138" t="s">
        <v>8585</v>
      </c>
    </row>
    <row r="338" spans="1:10">
      <c r="A338" s="138" t="s">
        <v>8881</v>
      </c>
      <c r="B338" s="138" t="s">
        <v>379</v>
      </c>
      <c r="C338" s="138" t="s">
        <v>8914</v>
      </c>
      <c r="D338" s="138" t="s">
        <v>8919</v>
      </c>
      <c r="G338" s="138" t="s">
        <v>8845</v>
      </c>
      <c r="H338" s="138" t="s">
        <v>8920</v>
      </c>
      <c r="I338" s="138" t="s">
        <v>3442</v>
      </c>
      <c r="J338" s="138" t="s">
        <v>8854</v>
      </c>
    </row>
    <row r="339" spans="1:10">
      <c r="A339" s="138" t="s">
        <v>8881</v>
      </c>
      <c r="B339" s="138" t="s">
        <v>379</v>
      </c>
      <c r="C339" s="138" t="s">
        <v>8914</v>
      </c>
      <c r="D339" s="138" t="s">
        <v>8921</v>
      </c>
      <c r="G339" s="138" t="s">
        <v>8845</v>
      </c>
      <c r="H339" s="138" t="s">
        <v>8922</v>
      </c>
      <c r="I339" s="138" t="s">
        <v>3442</v>
      </c>
      <c r="J339" s="138" t="s">
        <v>8585</v>
      </c>
    </row>
    <row r="340" spans="1:10">
      <c r="A340" s="138" t="s">
        <v>8881</v>
      </c>
      <c r="B340" s="138" t="s">
        <v>379</v>
      </c>
      <c r="C340" s="138" t="s">
        <v>8914</v>
      </c>
      <c r="D340" s="138" t="s">
        <v>8923</v>
      </c>
      <c r="G340" s="138" t="s">
        <v>8845</v>
      </c>
      <c r="H340" s="138" t="s">
        <v>8924</v>
      </c>
      <c r="I340" s="138" t="s">
        <v>3442</v>
      </c>
      <c r="J340" s="138" t="s">
        <v>8888</v>
      </c>
    </row>
    <row r="341" spans="1:10">
      <c r="A341" s="138" t="s">
        <v>8881</v>
      </c>
      <c r="B341" s="138" t="s">
        <v>379</v>
      </c>
      <c r="C341" s="138" t="s">
        <v>8914</v>
      </c>
      <c r="D341" s="138" t="s">
        <v>8925</v>
      </c>
      <c r="G341" s="138" t="s">
        <v>8845</v>
      </c>
      <c r="H341" s="138" t="s">
        <v>8926</v>
      </c>
      <c r="I341" s="138" t="s">
        <v>9289</v>
      </c>
      <c r="J341" s="138" t="s">
        <v>8877</v>
      </c>
    </row>
    <row r="342" spans="1:10">
      <c r="A342" s="138" t="s">
        <v>8881</v>
      </c>
      <c r="B342" s="138" t="s">
        <v>379</v>
      </c>
      <c r="C342" s="138" t="s">
        <v>8914</v>
      </c>
      <c r="D342" s="138" t="s">
        <v>8927</v>
      </c>
      <c r="G342" s="138" t="s">
        <v>8845</v>
      </c>
      <c r="H342" s="138" t="s">
        <v>8928</v>
      </c>
      <c r="I342" s="138" t="s">
        <v>9289</v>
      </c>
      <c r="J342" s="138" t="s">
        <v>8767</v>
      </c>
    </row>
    <row r="343" spans="1:10">
      <c r="A343" s="138" t="s">
        <v>8881</v>
      </c>
      <c r="B343" s="138" t="s">
        <v>379</v>
      </c>
      <c r="C343" s="138" t="s">
        <v>8914</v>
      </c>
      <c r="D343" s="138" t="s">
        <v>8929</v>
      </c>
      <c r="G343" s="138" t="s">
        <v>8845</v>
      </c>
      <c r="H343" s="138" t="s">
        <v>8930</v>
      </c>
      <c r="I343" s="138" t="s">
        <v>3442</v>
      </c>
      <c r="J343" s="138" t="s">
        <v>8585</v>
      </c>
    </row>
    <row r="344" spans="1:10">
      <c r="A344" s="138" t="e">
        <v>#N/A</v>
      </c>
      <c r="B344" s="138" t="e">
        <v>#N/A</v>
      </c>
      <c r="C344" s="138" t="s">
        <v>8914</v>
      </c>
      <c r="D344" s="138" t="e">
        <v>#N/A</v>
      </c>
      <c r="G344" s="138" t="s">
        <v>8845</v>
      </c>
      <c r="H344" s="138" t="s">
        <v>8931</v>
      </c>
      <c r="I344" s="138" t="s">
        <v>9289</v>
      </c>
      <c r="J344" s="138" t="s">
        <v>8847</v>
      </c>
    </row>
    <row r="345" spans="1:10">
      <c r="A345" s="138" t="s">
        <v>8881</v>
      </c>
      <c r="B345" s="138" t="s">
        <v>379</v>
      </c>
      <c r="C345" s="138" t="s">
        <v>8932</v>
      </c>
      <c r="D345" s="138" t="s">
        <v>8634</v>
      </c>
      <c r="G345" s="138" t="s">
        <v>8845</v>
      </c>
      <c r="H345" s="138" t="s">
        <v>8933</v>
      </c>
      <c r="I345" s="138" t="s">
        <v>3442</v>
      </c>
      <c r="J345" s="138" t="s">
        <v>8856</v>
      </c>
    </row>
    <row r="346" spans="1:10">
      <c r="A346" s="138" t="s">
        <v>8881</v>
      </c>
      <c r="B346" s="138" t="s">
        <v>379</v>
      </c>
      <c r="C346" s="138" t="s">
        <v>8932</v>
      </c>
      <c r="D346" s="138" t="s">
        <v>8636</v>
      </c>
      <c r="G346" s="138" t="s">
        <v>8845</v>
      </c>
      <c r="H346" s="138" t="s">
        <v>8934</v>
      </c>
      <c r="I346" s="138" t="s">
        <v>9289</v>
      </c>
      <c r="J346" s="138" t="s">
        <v>8877</v>
      </c>
    </row>
    <row r="347" spans="1:10">
      <c r="A347" s="138" t="s">
        <v>8881</v>
      </c>
      <c r="B347" s="138" t="s">
        <v>379</v>
      </c>
      <c r="C347" s="138" t="s">
        <v>8932</v>
      </c>
      <c r="D347" s="138" t="s">
        <v>8935</v>
      </c>
      <c r="G347" s="138" t="s">
        <v>8845</v>
      </c>
      <c r="H347" s="138" t="s">
        <v>8936</v>
      </c>
      <c r="I347" s="138" t="s">
        <v>9289</v>
      </c>
      <c r="J347" s="138" t="s">
        <v>8861</v>
      </c>
    </row>
    <row r="348" spans="1:10">
      <c r="A348" s="138" t="s">
        <v>8881</v>
      </c>
      <c r="B348" s="138" t="s">
        <v>379</v>
      </c>
      <c r="C348" s="138" t="s">
        <v>8932</v>
      </c>
      <c r="D348" s="138" t="s">
        <v>8937</v>
      </c>
      <c r="G348" s="138" t="s">
        <v>8845</v>
      </c>
      <c r="H348" s="138" t="s">
        <v>8938</v>
      </c>
      <c r="I348" s="138" t="s">
        <v>9289</v>
      </c>
      <c r="J348" s="138" t="s">
        <v>8939</v>
      </c>
    </row>
    <row r="349" spans="1:10">
      <c r="A349" s="138" t="s">
        <v>8881</v>
      </c>
      <c r="B349" s="138" t="s">
        <v>379</v>
      </c>
      <c r="C349" s="138" t="s">
        <v>8932</v>
      </c>
      <c r="D349" s="138" t="s">
        <v>8940</v>
      </c>
      <c r="G349" s="138" t="s">
        <v>8845</v>
      </c>
      <c r="H349" s="138" t="s">
        <v>8941</v>
      </c>
      <c r="I349" s="138" t="s">
        <v>9289</v>
      </c>
      <c r="J349" s="138" t="s">
        <v>8942</v>
      </c>
    </row>
    <row r="350" spans="1:10">
      <c r="A350" s="138" t="s">
        <v>8881</v>
      </c>
      <c r="B350" s="138" t="s">
        <v>379</v>
      </c>
      <c r="C350" s="138" t="s">
        <v>8932</v>
      </c>
      <c r="D350" s="138" t="s">
        <v>8943</v>
      </c>
      <c r="G350" s="138" t="s">
        <v>8845</v>
      </c>
      <c r="H350" s="138" t="s">
        <v>8944</v>
      </c>
      <c r="I350" s="138" t="s">
        <v>9289</v>
      </c>
      <c r="J350" s="138" t="s">
        <v>8847</v>
      </c>
    </row>
    <row r="351" spans="1:10">
      <c r="A351" s="138" t="e">
        <v>#N/A</v>
      </c>
      <c r="B351" s="138" t="e">
        <v>#N/A</v>
      </c>
      <c r="C351" s="138" t="s">
        <v>8932</v>
      </c>
      <c r="D351" s="138" t="e">
        <v>#N/A</v>
      </c>
      <c r="G351" s="138" t="s">
        <v>8845</v>
      </c>
      <c r="H351" s="138" t="s">
        <v>8945</v>
      </c>
      <c r="I351" s="138" t="s">
        <v>3442</v>
      </c>
      <c r="J351" s="138" t="s">
        <v>8888</v>
      </c>
    </row>
    <row r="352" spans="1:10">
      <c r="A352" s="138" t="s">
        <v>8881</v>
      </c>
      <c r="B352" s="138" t="s">
        <v>8881</v>
      </c>
      <c r="C352" s="138" t="s">
        <v>8946</v>
      </c>
      <c r="D352" s="138" t="s">
        <v>8947</v>
      </c>
      <c r="G352" s="138" t="s">
        <v>8948</v>
      </c>
      <c r="H352" s="138" t="s">
        <v>8949</v>
      </c>
      <c r="I352" s="138" t="s">
        <v>8597</v>
      </c>
      <c r="J352" s="138" t="s">
        <v>8610</v>
      </c>
    </row>
    <row r="353" spans="1:10">
      <c r="A353" s="138" t="s">
        <v>8881</v>
      </c>
      <c r="B353" s="138" t="s">
        <v>8881</v>
      </c>
      <c r="C353" s="138" t="s">
        <v>8946</v>
      </c>
      <c r="D353" s="138" t="s">
        <v>8950</v>
      </c>
      <c r="G353" s="138" t="s">
        <v>8948</v>
      </c>
      <c r="H353" s="138" t="s">
        <v>8951</v>
      </c>
      <c r="I353" s="138" t="s">
        <v>8653</v>
      </c>
      <c r="J353" s="138" t="s">
        <v>8725</v>
      </c>
    </row>
    <row r="354" spans="1:10">
      <c r="A354" s="138" t="s">
        <v>8881</v>
      </c>
      <c r="B354" s="138" t="s">
        <v>8881</v>
      </c>
      <c r="C354" s="138" t="s">
        <v>8946</v>
      </c>
      <c r="D354" s="138" t="s">
        <v>8952</v>
      </c>
      <c r="G354" s="138" t="s">
        <v>8948</v>
      </c>
      <c r="H354" s="138" t="s">
        <v>8953</v>
      </c>
      <c r="I354" s="138" t="s">
        <v>8597</v>
      </c>
      <c r="J354" s="138" t="s">
        <v>8598</v>
      </c>
    </row>
    <row r="355" spans="1:10">
      <c r="A355" s="138" t="s">
        <v>8881</v>
      </c>
      <c r="B355" s="138" t="s">
        <v>8881</v>
      </c>
      <c r="C355" s="138" t="s">
        <v>8946</v>
      </c>
      <c r="D355" s="138" t="s">
        <v>8954</v>
      </c>
      <c r="G355" s="138" t="s">
        <v>8948</v>
      </c>
      <c r="H355" s="138" t="s">
        <v>8955</v>
      </c>
      <c r="I355" s="138" t="s">
        <v>8597</v>
      </c>
      <c r="J355" s="138" t="s">
        <v>8598</v>
      </c>
    </row>
    <row r="356" spans="1:10">
      <c r="A356" s="138" t="s">
        <v>8881</v>
      </c>
      <c r="B356" s="138" t="s">
        <v>8881</v>
      </c>
      <c r="C356" s="138" t="s">
        <v>8946</v>
      </c>
      <c r="D356" s="138" t="s">
        <v>8956</v>
      </c>
      <c r="G356" s="138" t="s">
        <v>8948</v>
      </c>
      <c r="H356" s="138" t="s">
        <v>8957</v>
      </c>
      <c r="I356" s="138" t="s">
        <v>8653</v>
      </c>
      <c r="J356" s="138" t="s">
        <v>8713</v>
      </c>
    </row>
    <row r="357" spans="1:10">
      <c r="A357" s="138" t="e">
        <v>#N/A</v>
      </c>
      <c r="B357" s="138" t="e">
        <v>#N/A</v>
      </c>
      <c r="C357" s="138" t="s">
        <v>8946</v>
      </c>
      <c r="D357" s="138" t="e">
        <v>#N/A</v>
      </c>
      <c r="G357" s="138" t="s">
        <v>8948</v>
      </c>
      <c r="H357" s="138" t="s">
        <v>8958</v>
      </c>
      <c r="I357" s="138" t="s">
        <v>8653</v>
      </c>
      <c r="J357" s="138" t="s">
        <v>8667</v>
      </c>
    </row>
    <row r="358" spans="1:10">
      <c r="A358" s="138" t="s">
        <v>8881</v>
      </c>
      <c r="B358" s="138" t="s">
        <v>8881</v>
      </c>
      <c r="C358" s="138" t="s">
        <v>8959</v>
      </c>
      <c r="D358" s="138" t="s">
        <v>8881</v>
      </c>
      <c r="G358" s="138" t="s">
        <v>8948</v>
      </c>
      <c r="H358" s="138" t="s">
        <v>8960</v>
      </c>
      <c r="I358" s="138" t="s">
        <v>8653</v>
      </c>
      <c r="J358" s="138" t="s">
        <v>8713</v>
      </c>
    </row>
    <row r="359" spans="1:10">
      <c r="A359" s="138" t="s">
        <v>8881</v>
      </c>
      <c r="B359" s="138" t="s">
        <v>8881</v>
      </c>
      <c r="C359" s="138" t="s">
        <v>8959</v>
      </c>
      <c r="D359" s="138" t="s">
        <v>8961</v>
      </c>
      <c r="G359" s="138" t="s">
        <v>8948</v>
      </c>
      <c r="H359" s="138" t="s">
        <v>8962</v>
      </c>
      <c r="I359" s="138" t="s">
        <v>8653</v>
      </c>
      <c r="J359" s="138" t="s">
        <v>8654</v>
      </c>
    </row>
    <row r="360" spans="1:10">
      <c r="A360" s="138" t="e">
        <v>#N/A</v>
      </c>
      <c r="B360" s="138" t="e">
        <v>#N/A</v>
      </c>
      <c r="C360" s="138" t="s">
        <v>8959</v>
      </c>
      <c r="D360" s="138" t="e">
        <v>#N/A</v>
      </c>
      <c r="G360" s="138" t="s">
        <v>8948</v>
      </c>
      <c r="H360" s="138" t="s">
        <v>8963</v>
      </c>
      <c r="I360" s="138" t="s">
        <v>8597</v>
      </c>
      <c r="J360" s="138" t="s">
        <v>8626</v>
      </c>
    </row>
    <row r="361" spans="1:10">
      <c r="A361" s="138" t="s">
        <v>8881</v>
      </c>
      <c r="B361" s="138" t="s">
        <v>8881</v>
      </c>
      <c r="C361" s="138" t="s">
        <v>8964</v>
      </c>
      <c r="D361" s="138" t="s">
        <v>8961</v>
      </c>
      <c r="G361" s="138" t="s">
        <v>8948</v>
      </c>
      <c r="H361" s="138" t="s">
        <v>8965</v>
      </c>
      <c r="I361" s="138" t="s">
        <v>8653</v>
      </c>
      <c r="J361" s="138" t="s">
        <v>8725</v>
      </c>
    </row>
    <row r="362" spans="1:10">
      <c r="A362" s="138" t="s">
        <v>8881</v>
      </c>
      <c r="B362" s="138" t="s">
        <v>8881</v>
      </c>
      <c r="C362" s="138" t="s">
        <v>8966</v>
      </c>
      <c r="D362" s="138" t="s">
        <v>8967</v>
      </c>
      <c r="G362" s="138" t="s">
        <v>8948</v>
      </c>
      <c r="H362" s="138" t="s">
        <v>8968</v>
      </c>
      <c r="I362" s="138" t="s">
        <v>8597</v>
      </c>
      <c r="J362" s="138" t="s">
        <v>8598</v>
      </c>
    </row>
    <row r="363" spans="1:10">
      <c r="A363" s="138" t="s">
        <v>8881</v>
      </c>
      <c r="B363" s="138" t="s">
        <v>8881</v>
      </c>
      <c r="C363" s="138" t="s">
        <v>8966</v>
      </c>
      <c r="D363" s="138" t="s">
        <v>8969</v>
      </c>
      <c r="G363" s="138" t="s">
        <v>8948</v>
      </c>
      <c r="H363" s="138" t="s">
        <v>8970</v>
      </c>
      <c r="I363" s="138" t="s">
        <v>8597</v>
      </c>
      <c r="J363" s="138" t="s">
        <v>8598</v>
      </c>
    </row>
    <row r="364" spans="1:10">
      <c r="A364" s="138" t="s">
        <v>8881</v>
      </c>
      <c r="B364" s="138" t="s">
        <v>8881</v>
      </c>
      <c r="C364" s="138" t="s">
        <v>8966</v>
      </c>
      <c r="D364" s="138" t="s">
        <v>8966</v>
      </c>
      <c r="G364" s="138" t="s">
        <v>8948</v>
      </c>
      <c r="H364" s="138" t="s">
        <v>8971</v>
      </c>
      <c r="I364" s="138" t="s">
        <v>8653</v>
      </c>
      <c r="J364" s="138" t="s">
        <v>8654</v>
      </c>
    </row>
    <row r="365" spans="1:10">
      <c r="A365" s="138" t="s">
        <v>8881</v>
      </c>
      <c r="B365" s="138" t="s">
        <v>8881</v>
      </c>
      <c r="C365" s="138" t="s">
        <v>8966</v>
      </c>
      <c r="D365" s="138" t="s">
        <v>8972</v>
      </c>
      <c r="G365" s="138" t="s">
        <v>8948</v>
      </c>
      <c r="H365" s="138" t="s">
        <v>8973</v>
      </c>
      <c r="I365" s="138" t="s">
        <v>8653</v>
      </c>
      <c r="J365" s="138" t="s">
        <v>8725</v>
      </c>
    </row>
    <row r="366" spans="1:10">
      <c r="A366" s="138" t="s">
        <v>8881</v>
      </c>
      <c r="B366" s="138" t="s">
        <v>8881</v>
      </c>
      <c r="C366" s="138" t="s">
        <v>8966</v>
      </c>
      <c r="D366" s="138" t="s">
        <v>8974</v>
      </c>
      <c r="G366" s="138" t="s">
        <v>8948</v>
      </c>
      <c r="H366" s="138" t="s">
        <v>8975</v>
      </c>
      <c r="I366" s="138" t="s">
        <v>8653</v>
      </c>
      <c r="J366" s="138" t="s">
        <v>8684</v>
      </c>
    </row>
    <row r="367" spans="1:10">
      <c r="A367" s="138" t="s">
        <v>8881</v>
      </c>
      <c r="B367" s="138" t="s">
        <v>8881</v>
      </c>
      <c r="C367" s="138" t="s">
        <v>8966</v>
      </c>
      <c r="D367" s="138" t="s">
        <v>8976</v>
      </c>
      <c r="G367" s="138" t="s">
        <v>8948</v>
      </c>
      <c r="H367" s="138" t="s">
        <v>8977</v>
      </c>
      <c r="I367" s="138" t="s">
        <v>8597</v>
      </c>
      <c r="J367" s="138" t="s">
        <v>8619</v>
      </c>
    </row>
    <row r="368" spans="1:10">
      <c r="A368" s="138" t="e">
        <v>#N/A</v>
      </c>
      <c r="B368" s="138" t="e">
        <v>#N/A</v>
      </c>
      <c r="C368" s="138" t="s">
        <v>8966</v>
      </c>
      <c r="D368" s="138" t="e">
        <v>#N/A</v>
      </c>
      <c r="G368" s="138" t="s">
        <v>8948</v>
      </c>
      <c r="H368" s="138" t="s">
        <v>8978</v>
      </c>
      <c r="I368" s="138" t="s">
        <v>8653</v>
      </c>
      <c r="J368" s="138" t="s">
        <v>8653</v>
      </c>
    </row>
    <row r="369" spans="1:10">
      <c r="A369" s="138" t="s">
        <v>8881</v>
      </c>
      <c r="B369" s="138" t="s">
        <v>8881</v>
      </c>
      <c r="C369" s="138" t="s">
        <v>8513</v>
      </c>
      <c r="D369" s="138" t="s">
        <v>8979</v>
      </c>
      <c r="G369" s="138" t="s">
        <v>8948</v>
      </c>
      <c r="H369" s="138" t="s">
        <v>8980</v>
      </c>
      <c r="I369" s="138" t="s">
        <v>8597</v>
      </c>
      <c r="J369" s="138" t="s">
        <v>8626</v>
      </c>
    </row>
    <row r="370" spans="1:10">
      <c r="A370" s="138" t="s">
        <v>8881</v>
      </c>
      <c r="B370" s="138" t="s">
        <v>8881</v>
      </c>
      <c r="C370" s="138" t="s">
        <v>8513</v>
      </c>
      <c r="D370" s="138" t="s">
        <v>8981</v>
      </c>
      <c r="G370" s="138" t="s">
        <v>8948</v>
      </c>
      <c r="H370" s="138" t="s">
        <v>8982</v>
      </c>
      <c r="I370" s="138" t="s">
        <v>8597</v>
      </c>
      <c r="J370" s="138" t="s">
        <v>8598</v>
      </c>
    </row>
    <row r="371" spans="1:10">
      <c r="A371" s="138" t="s">
        <v>8881</v>
      </c>
      <c r="B371" s="138" t="s">
        <v>8881</v>
      </c>
      <c r="C371" s="138" t="s">
        <v>8513</v>
      </c>
      <c r="D371" s="138" t="s">
        <v>8513</v>
      </c>
      <c r="G371" s="138" t="s">
        <v>8948</v>
      </c>
      <c r="H371" s="138" t="s">
        <v>8983</v>
      </c>
      <c r="I371" s="138" t="s">
        <v>8597</v>
      </c>
      <c r="J371" s="138" t="s">
        <v>8598</v>
      </c>
    </row>
    <row r="372" spans="1:10">
      <c r="A372" s="138" t="s">
        <v>8881</v>
      </c>
      <c r="B372" s="138" t="s">
        <v>8881</v>
      </c>
      <c r="C372" s="138" t="s">
        <v>8513</v>
      </c>
      <c r="D372" s="138" t="s">
        <v>8984</v>
      </c>
      <c r="G372" s="138" t="s">
        <v>8948</v>
      </c>
      <c r="H372" s="138" t="s">
        <v>8985</v>
      </c>
      <c r="I372" s="138" t="s">
        <v>8653</v>
      </c>
      <c r="J372" s="138" t="s">
        <v>8698</v>
      </c>
    </row>
    <row r="373" spans="1:10">
      <c r="A373" s="138" t="s">
        <v>8881</v>
      </c>
      <c r="B373" s="138" t="s">
        <v>8881</v>
      </c>
      <c r="C373" s="138" t="s">
        <v>8513</v>
      </c>
      <c r="D373" s="138" t="s">
        <v>8986</v>
      </c>
      <c r="G373" s="138" t="s">
        <v>8948</v>
      </c>
      <c r="H373" s="138" t="s">
        <v>8987</v>
      </c>
      <c r="I373" s="138" t="s">
        <v>8653</v>
      </c>
      <c r="J373" s="138" t="s">
        <v>8684</v>
      </c>
    </row>
    <row r="374" spans="1:10">
      <c r="A374" s="138" t="s">
        <v>8881</v>
      </c>
      <c r="B374" s="138" t="s">
        <v>8881</v>
      </c>
      <c r="C374" s="138" t="s">
        <v>8513</v>
      </c>
      <c r="D374" s="138" t="s">
        <v>8988</v>
      </c>
      <c r="G374" s="138" t="s">
        <v>8948</v>
      </c>
      <c r="H374" s="138" t="s">
        <v>8989</v>
      </c>
      <c r="I374" s="138" t="s">
        <v>8597</v>
      </c>
      <c r="J374" s="138" t="s">
        <v>8626</v>
      </c>
    </row>
    <row r="375" spans="1:10">
      <c r="A375" s="138" t="s">
        <v>8881</v>
      </c>
      <c r="B375" s="138" t="s">
        <v>8881</v>
      </c>
      <c r="C375" s="138" t="s">
        <v>8513</v>
      </c>
      <c r="D375" s="138" t="s">
        <v>8990</v>
      </c>
      <c r="G375" s="138" t="s">
        <v>8948</v>
      </c>
      <c r="H375" s="138" t="s">
        <v>8991</v>
      </c>
      <c r="I375" s="138" t="s">
        <v>8653</v>
      </c>
      <c r="J375" s="138" t="s">
        <v>8667</v>
      </c>
    </row>
    <row r="376" spans="1:10">
      <c r="A376" s="138" t="s">
        <v>8881</v>
      </c>
      <c r="B376" s="138" t="s">
        <v>8881</v>
      </c>
      <c r="C376" s="138" t="s">
        <v>8992</v>
      </c>
      <c r="D376" s="138" t="s">
        <v>8993</v>
      </c>
      <c r="G376" s="138" t="s">
        <v>8948</v>
      </c>
      <c r="H376" s="138" t="s">
        <v>8994</v>
      </c>
      <c r="I376" s="138" t="s">
        <v>8653</v>
      </c>
      <c r="J376" s="138" t="s">
        <v>8667</v>
      </c>
    </row>
    <row r="377" spans="1:10">
      <c r="A377" s="138" t="s">
        <v>8881</v>
      </c>
      <c r="B377" s="138" t="s">
        <v>8881</v>
      </c>
      <c r="C377" s="138" t="s">
        <v>8992</v>
      </c>
      <c r="D377" s="138" t="s">
        <v>8992</v>
      </c>
      <c r="G377" s="138" t="s">
        <v>8948</v>
      </c>
      <c r="H377" s="138" t="s">
        <v>8995</v>
      </c>
      <c r="I377" s="138" t="s">
        <v>8597</v>
      </c>
      <c r="J377" s="138" t="s">
        <v>8613</v>
      </c>
    </row>
    <row r="378" spans="1:10">
      <c r="A378" s="138" t="s">
        <v>8881</v>
      </c>
      <c r="B378" s="138" t="s">
        <v>8881</v>
      </c>
      <c r="C378" s="138" t="s">
        <v>8992</v>
      </c>
      <c r="D378" s="138" t="s">
        <v>8996</v>
      </c>
      <c r="G378" s="138" t="s">
        <v>8948</v>
      </c>
      <c r="H378" s="138" t="s">
        <v>8997</v>
      </c>
      <c r="I378" s="138" t="s">
        <v>8653</v>
      </c>
      <c r="J378" s="138" t="s">
        <v>8698</v>
      </c>
    </row>
    <row r="379" spans="1:10">
      <c r="A379" s="138" t="s">
        <v>8881</v>
      </c>
      <c r="B379" s="138" t="s">
        <v>8881</v>
      </c>
      <c r="C379" s="138" t="s">
        <v>8992</v>
      </c>
      <c r="D379" s="138" t="s">
        <v>8998</v>
      </c>
      <c r="G379" s="138" t="s">
        <v>8948</v>
      </c>
      <c r="H379" s="138" t="s">
        <v>8999</v>
      </c>
      <c r="I379" s="138" t="s">
        <v>8597</v>
      </c>
      <c r="J379" s="138" t="s">
        <v>8613</v>
      </c>
    </row>
    <row r="380" spans="1:10">
      <c r="A380" s="138" t="s">
        <v>8881</v>
      </c>
      <c r="B380" s="138" t="s">
        <v>8881</v>
      </c>
      <c r="C380" s="138" t="s">
        <v>8992</v>
      </c>
      <c r="D380" s="138" t="s">
        <v>9000</v>
      </c>
      <c r="G380" s="138" t="s">
        <v>8948</v>
      </c>
      <c r="H380" s="138" t="s">
        <v>9001</v>
      </c>
      <c r="I380" s="138" t="s">
        <v>8597</v>
      </c>
      <c r="J380" s="138" t="s">
        <v>8641</v>
      </c>
    </row>
    <row r="381" spans="1:10">
      <c r="A381" s="138" t="s">
        <v>8881</v>
      </c>
      <c r="B381" s="138" t="s">
        <v>8881</v>
      </c>
      <c r="C381" s="138" t="s">
        <v>8992</v>
      </c>
      <c r="D381" s="138" t="s">
        <v>9002</v>
      </c>
      <c r="G381" s="138" t="s">
        <v>8948</v>
      </c>
      <c r="H381" s="138" t="s">
        <v>8948</v>
      </c>
      <c r="I381" s="138" t="s">
        <v>8597</v>
      </c>
      <c r="J381" s="138" t="s">
        <v>8626</v>
      </c>
    </row>
    <row r="382" spans="1:10">
      <c r="A382" s="138" t="s">
        <v>9003</v>
      </c>
      <c r="B382" s="138" t="s">
        <v>9003</v>
      </c>
      <c r="C382" s="138" t="s">
        <v>9004</v>
      </c>
      <c r="D382" s="138" t="s">
        <v>9005</v>
      </c>
      <c r="G382" s="138" t="s">
        <v>8948</v>
      </c>
      <c r="H382" s="138" t="s">
        <v>9006</v>
      </c>
      <c r="I382" s="138" t="s">
        <v>8597</v>
      </c>
      <c r="J382" s="138" t="s">
        <v>8641</v>
      </c>
    </row>
    <row r="383" spans="1:10">
      <c r="A383" s="138" t="s">
        <v>9003</v>
      </c>
      <c r="B383" s="138" t="s">
        <v>9003</v>
      </c>
      <c r="C383" s="138" t="s">
        <v>9004</v>
      </c>
      <c r="D383" s="138" t="s">
        <v>9007</v>
      </c>
      <c r="G383" s="138" t="s">
        <v>8948</v>
      </c>
      <c r="H383" s="138" t="s">
        <v>9008</v>
      </c>
      <c r="I383" s="138" t="s">
        <v>8653</v>
      </c>
      <c r="J383" s="138" t="s">
        <v>8713</v>
      </c>
    </row>
    <row r="384" spans="1:10">
      <c r="A384" s="138" t="s">
        <v>9003</v>
      </c>
      <c r="B384" s="138" t="s">
        <v>9003</v>
      </c>
      <c r="C384" s="138" t="s">
        <v>9004</v>
      </c>
      <c r="D384" s="138" t="s">
        <v>9009</v>
      </c>
      <c r="G384" s="138" t="s">
        <v>8948</v>
      </c>
      <c r="H384" s="138" t="s">
        <v>9010</v>
      </c>
      <c r="I384" s="138" t="s">
        <v>8597</v>
      </c>
      <c r="J384" s="138" t="s">
        <v>8613</v>
      </c>
    </row>
    <row r="385" spans="1:10">
      <c r="A385" s="138" t="s">
        <v>9003</v>
      </c>
      <c r="B385" s="138" t="s">
        <v>9003</v>
      </c>
      <c r="C385" s="138" t="s">
        <v>9004</v>
      </c>
      <c r="D385" s="138" t="s">
        <v>9004</v>
      </c>
      <c r="G385" s="138" t="s">
        <v>8948</v>
      </c>
      <c r="H385" s="138" t="s">
        <v>9011</v>
      </c>
      <c r="I385" s="138" t="s">
        <v>8653</v>
      </c>
      <c r="J385" s="138" t="s">
        <v>8698</v>
      </c>
    </row>
    <row r="386" spans="1:10">
      <c r="A386" s="138" t="s">
        <v>9003</v>
      </c>
      <c r="B386" s="138" t="s">
        <v>9003</v>
      </c>
      <c r="C386" s="138" t="s">
        <v>9004</v>
      </c>
      <c r="D386" s="138" t="s">
        <v>9012</v>
      </c>
      <c r="G386" s="138" t="s">
        <v>8948</v>
      </c>
      <c r="H386" s="138" t="s">
        <v>9013</v>
      </c>
      <c r="I386" s="138" t="s">
        <v>8597</v>
      </c>
      <c r="J386" s="138" t="s">
        <v>8619</v>
      </c>
    </row>
    <row r="387" spans="1:10">
      <c r="A387" s="138" t="s">
        <v>9003</v>
      </c>
      <c r="B387" s="138" t="s">
        <v>9003</v>
      </c>
      <c r="C387" s="138" t="s">
        <v>9004</v>
      </c>
      <c r="D387" s="138" t="s">
        <v>9014</v>
      </c>
      <c r="G387" s="138" t="s">
        <v>8948</v>
      </c>
      <c r="H387" s="138" t="s">
        <v>9015</v>
      </c>
      <c r="I387" s="138" t="s">
        <v>8653</v>
      </c>
      <c r="J387" s="138" t="s">
        <v>8698</v>
      </c>
    </row>
    <row r="388" spans="1:10">
      <c r="A388" s="138" t="s">
        <v>9003</v>
      </c>
      <c r="B388" s="138" t="s">
        <v>9003</v>
      </c>
      <c r="C388" s="138" t="s">
        <v>9004</v>
      </c>
      <c r="D388" s="138" t="s">
        <v>9016</v>
      </c>
      <c r="G388" s="138" t="s">
        <v>8948</v>
      </c>
      <c r="H388" s="138" t="s">
        <v>9017</v>
      </c>
      <c r="I388" s="138" t="s">
        <v>8653</v>
      </c>
      <c r="J388" s="138" t="s">
        <v>8653</v>
      </c>
    </row>
    <row r="389" spans="1:10">
      <c r="A389" s="138" t="e">
        <v>#N/A</v>
      </c>
      <c r="B389" s="138" t="e">
        <v>#N/A</v>
      </c>
      <c r="C389" s="138" t="s">
        <v>9004</v>
      </c>
      <c r="D389" s="138" t="e">
        <v>#N/A</v>
      </c>
      <c r="G389" s="138" t="s">
        <v>8948</v>
      </c>
      <c r="H389" s="138" t="s">
        <v>9018</v>
      </c>
      <c r="I389" s="138" t="s">
        <v>8653</v>
      </c>
      <c r="J389" s="138" t="s">
        <v>8684</v>
      </c>
    </row>
    <row r="390" spans="1:10">
      <c r="A390" s="138" t="s">
        <v>9003</v>
      </c>
      <c r="B390" s="138" t="s">
        <v>9003</v>
      </c>
      <c r="C390" s="138" t="s">
        <v>9019</v>
      </c>
      <c r="D390" s="138" t="s">
        <v>9020</v>
      </c>
      <c r="G390" s="138" t="s">
        <v>8948</v>
      </c>
      <c r="H390" s="138" t="s">
        <v>9021</v>
      </c>
      <c r="I390" s="138" t="s">
        <v>8653</v>
      </c>
      <c r="J390" s="138" t="s">
        <v>8667</v>
      </c>
    </row>
    <row r="391" spans="1:10">
      <c r="A391" s="138" t="s">
        <v>9003</v>
      </c>
      <c r="B391" s="138" t="s">
        <v>9003</v>
      </c>
      <c r="C391" s="138" t="s">
        <v>9019</v>
      </c>
      <c r="D391" s="138" t="s">
        <v>9022</v>
      </c>
      <c r="G391" s="138" t="s">
        <v>8948</v>
      </c>
      <c r="H391" s="138" t="s">
        <v>9023</v>
      </c>
      <c r="I391" s="138" t="s">
        <v>8653</v>
      </c>
      <c r="J391" s="138" t="s">
        <v>8698</v>
      </c>
    </row>
    <row r="392" spans="1:10">
      <c r="A392" s="138" t="s">
        <v>9003</v>
      </c>
      <c r="B392" s="138" t="s">
        <v>9003</v>
      </c>
      <c r="C392" s="138" t="s">
        <v>9019</v>
      </c>
      <c r="D392" s="138" t="s">
        <v>9024</v>
      </c>
      <c r="G392" s="138" t="s">
        <v>8948</v>
      </c>
      <c r="H392" s="138" t="s">
        <v>9025</v>
      </c>
      <c r="I392" s="138" t="s">
        <v>8653</v>
      </c>
      <c r="J392" s="138" t="s">
        <v>8698</v>
      </c>
    </row>
    <row r="393" spans="1:10">
      <c r="A393" s="138" t="s">
        <v>9003</v>
      </c>
      <c r="B393" s="138" t="s">
        <v>9003</v>
      </c>
      <c r="C393" s="138" t="s">
        <v>9019</v>
      </c>
      <c r="D393" s="138" t="s">
        <v>9026</v>
      </c>
      <c r="G393" s="138" t="s">
        <v>8948</v>
      </c>
      <c r="H393" s="138" t="s">
        <v>9027</v>
      </c>
      <c r="I393" s="138" t="s">
        <v>8653</v>
      </c>
      <c r="J393" s="138" t="s">
        <v>8684</v>
      </c>
    </row>
    <row r="394" spans="1:10">
      <c r="A394" s="138" t="s">
        <v>9003</v>
      </c>
      <c r="B394" s="138" t="s">
        <v>9003</v>
      </c>
      <c r="C394" s="138" t="s">
        <v>9019</v>
      </c>
      <c r="D394" s="138" t="s">
        <v>9019</v>
      </c>
      <c r="G394" s="138" t="s">
        <v>8948</v>
      </c>
      <c r="H394" s="138" t="s">
        <v>9028</v>
      </c>
      <c r="I394" s="138" t="s">
        <v>8597</v>
      </c>
      <c r="J394" s="138" t="s">
        <v>8641</v>
      </c>
    </row>
    <row r="395" spans="1:10">
      <c r="A395" s="138" t="s">
        <v>9003</v>
      </c>
      <c r="B395" s="138" t="s">
        <v>9003</v>
      </c>
      <c r="C395" s="138" t="s">
        <v>9019</v>
      </c>
      <c r="D395" s="138" t="s">
        <v>9029</v>
      </c>
      <c r="G395" s="138" t="s">
        <v>8948</v>
      </c>
      <c r="H395" s="138" t="s">
        <v>9030</v>
      </c>
      <c r="I395" s="138" t="s">
        <v>8653</v>
      </c>
      <c r="J395" s="138" t="s">
        <v>8654</v>
      </c>
    </row>
    <row r="396" spans="1:10">
      <c r="A396" s="138" t="s">
        <v>9003</v>
      </c>
      <c r="B396" s="138" t="s">
        <v>9003</v>
      </c>
      <c r="C396" s="138" t="s">
        <v>9019</v>
      </c>
      <c r="D396" s="138" t="s">
        <v>9031</v>
      </c>
      <c r="G396" s="138" t="s">
        <v>8948</v>
      </c>
      <c r="H396" s="138" t="s">
        <v>9032</v>
      </c>
      <c r="I396" s="138" t="s">
        <v>8597</v>
      </c>
      <c r="J396" s="138" t="s">
        <v>8613</v>
      </c>
    </row>
    <row r="397" spans="1:10">
      <c r="A397" s="138" t="s">
        <v>9003</v>
      </c>
      <c r="B397" s="138" t="s">
        <v>9003</v>
      </c>
      <c r="C397" s="138" t="s">
        <v>9033</v>
      </c>
      <c r="D397" s="138" t="s">
        <v>9034</v>
      </c>
      <c r="G397" s="138" t="s">
        <v>8948</v>
      </c>
      <c r="H397" s="138" t="s">
        <v>9035</v>
      </c>
      <c r="I397" s="138" t="s">
        <v>8653</v>
      </c>
      <c r="J397" s="138" t="s">
        <v>8725</v>
      </c>
    </row>
    <row r="398" spans="1:10">
      <c r="A398" s="138" t="s">
        <v>9003</v>
      </c>
      <c r="B398" s="138" t="s">
        <v>9003</v>
      </c>
      <c r="C398" s="138" t="s">
        <v>9033</v>
      </c>
      <c r="D398" s="138" t="s">
        <v>9036</v>
      </c>
      <c r="G398" s="138" t="s">
        <v>8948</v>
      </c>
      <c r="H398" s="138" t="s">
        <v>9037</v>
      </c>
      <c r="I398" s="138" t="s">
        <v>8653</v>
      </c>
      <c r="J398" s="138" t="s">
        <v>8667</v>
      </c>
    </row>
    <row r="399" spans="1:10">
      <c r="A399" s="138" t="s">
        <v>9003</v>
      </c>
      <c r="B399" s="138" t="s">
        <v>9003</v>
      </c>
      <c r="C399" s="138" t="s">
        <v>9033</v>
      </c>
      <c r="D399" s="138" t="s">
        <v>9038</v>
      </c>
      <c r="G399" s="138" t="s">
        <v>8948</v>
      </c>
      <c r="H399" s="138" t="s">
        <v>9039</v>
      </c>
      <c r="I399" s="138" t="s">
        <v>8653</v>
      </c>
      <c r="J399" s="138" t="s">
        <v>8725</v>
      </c>
    </row>
    <row r="400" spans="1:10">
      <c r="A400" s="138" t="s">
        <v>9003</v>
      </c>
      <c r="B400" s="138" t="s">
        <v>9003</v>
      </c>
      <c r="C400" s="138" t="s">
        <v>9033</v>
      </c>
      <c r="D400" s="138" t="s">
        <v>9040</v>
      </c>
      <c r="G400" s="138" t="s">
        <v>8948</v>
      </c>
      <c r="H400" s="138" t="s">
        <v>9041</v>
      </c>
      <c r="I400" s="138" t="s">
        <v>8653</v>
      </c>
      <c r="J400" s="138" t="s">
        <v>8713</v>
      </c>
    </row>
    <row r="401" spans="1:10">
      <c r="A401" s="138" t="s">
        <v>9003</v>
      </c>
      <c r="B401" s="138" t="s">
        <v>9003</v>
      </c>
      <c r="C401" s="138" t="s">
        <v>9033</v>
      </c>
      <c r="D401" s="138" t="s">
        <v>9042</v>
      </c>
      <c r="G401" s="138" t="s">
        <v>8948</v>
      </c>
      <c r="H401" s="138" t="s">
        <v>9043</v>
      </c>
      <c r="I401" s="138" t="s">
        <v>8597</v>
      </c>
      <c r="J401" s="138" t="s">
        <v>8641</v>
      </c>
    </row>
    <row r="402" spans="1:10">
      <c r="A402" s="138" t="s">
        <v>9003</v>
      </c>
      <c r="B402" s="138" t="s">
        <v>9003</v>
      </c>
      <c r="C402" s="138" t="s">
        <v>9033</v>
      </c>
      <c r="D402" s="138" t="s">
        <v>9044</v>
      </c>
      <c r="G402" s="138" t="s">
        <v>8948</v>
      </c>
      <c r="H402" s="138" t="s">
        <v>9045</v>
      </c>
      <c r="I402" s="138" t="s">
        <v>8653</v>
      </c>
      <c r="J402" s="138" t="s">
        <v>8725</v>
      </c>
    </row>
    <row r="403" spans="1:10">
      <c r="A403" s="138" t="s">
        <v>9003</v>
      </c>
      <c r="B403" s="138" t="s">
        <v>9003</v>
      </c>
      <c r="C403" s="138" t="s">
        <v>9046</v>
      </c>
      <c r="D403" s="138" t="s">
        <v>9047</v>
      </c>
      <c r="G403" s="138" t="s">
        <v>8948</v>
      </c>
      <c r="H403" s="138" t="s">
        <v>9048</v>
      </c>
      <c r="I403" s="138" t="s">
        <v>8597</v>
      </c>
      <c r="J403" s="138" t="s">
        <v>8641</v>
      </c>
    </row>
    <row r="404" spans="1:10">
      <c r="A404" s="138" t="s">
        <v>9003</v>
      </c>
      <c r="B404" s="138" t="s">
        <v>9003</v>
      </c>
      <c r="C404" s="138" t="s">
        <v>9046</v>
      </c>
      <c r="D404" s="138" t="s">
        <v>9049</v>
      </c>
      <c r="G404" s="138" t="s">
        <v>8948</v>
      </c>
      <c r="H404" s="138" t="s">
        <v>9050</v>
      </c>
      <c r="I404" s="138" t="s">
        <v>8653</v>
      </c>
      <c r="J404" s="138" t="s">
        <v>8713</v>
      </c>
    </row>
    <row r="405" spans="1:10">
      <c r="A405" s="138" t="s">
        <v>9003</v>
      </c>
      <c r="B405" s="138" t="s">
        <v>9003</v>
      </c>
      <c r="C405" s="138" t="s">
        <v>9046</v>
      </c>
      <c r="D405" s="138" t="s">
        <v>9051</v>
      </c>
      <c r="G405" s="138" t="s">
        <v>8948</v>
      </c>
      <c r="H405" s="138" t="s">
        <v>9052</v>
      </c>
      <c r="I405" s="138" t="s">
        <v>8597</v>
      </c>
      <c r="J405" s="138" t="s">
        <v>8619</v>
      </c>
    </row>
    <row r="406" spans="1:10">
      <c r="A406" s="138" t="s">
        <v>9003</v>
      </c>
      <c r="B406" s="138" t="s">
        <v>9003</v>
      </c>
      <c r="C406" s="138" t="s">
        <v>9046</v>
      </c>
      <c r="D406" s="138" t="s">
        <v>9053</v>
      </c>
      <c r="G406" s="138" t="s">
        <v>9054</v>
      </c>
      <c r="H406" s="138" t="s">
        <v>9055</v>
      </c>
      <c r="I406" s="138" t="s">
        <v>8881</v>
      </c>
      <c r="J406" s="138" t="s">
        <v>8992</v>
      </c>
    </row>
    <row r="407" spans="1:10">
      <c r="A407" s="138" t="s">
        <v>9003</v>
      </c>
      <c r="B407" s="138" t="s">
        <v>9003</v>
      </c>
      <c r="C407" s="138" t="s">
        <v>9046</v>
      </c>
      <c r="D407" s="138" t="s">
        <v>9056</v>
      </c>
      <c r="G407" s="138" t="s">
        <v>9054</v>
      </c>
      <c r="H407" s="138" t="s">
        <v>9057</v>
      </c>
      <c r="I407" s="138" t="s">
        <v>8881</v>
      </c>
      <c r="J407" s="138" t="s">
        <v>8513</v>
      </c>
    </row>
    <row r="408" spans="1:10">
      <c r="A408" s="138" t="s">
        <v>9003</v>
      </c>
      <c r="B408" s="138" t="s">
        <v>9003</v>
      </c>
      <c r="C408" s="138" t="s">
        <v>9046</v>
      </c>
      <c r="D408" s="138" t="s">
        <v>9058</v>
      </c>
      <c r="G408" s="138" t="s">
        <v>9054</v>
      </c>
      <c r="H408" s="138" t="s">
        <v>9059</v>
      </c>
      <c r="I408" s="138" t="s">
        <v>8881</v>
      </c>
      <c r="J408" s="138" t="s">
        <v>8513</v>
      </c>
    </row>
    <row r="409" spans="1:10">
      <c r="A409" s="138" t="s">
        <v>9003</v>
      </c>
      <c r="B409" s="138" t="s">
        <v>8881</v>
      </c>
      <c r="C409" s="138" t="s">
        <v>9060</v>
      </c>
      <c r="D409" s="138" t="s">
        <v>9061</v>
      </c>
      <c r="G409" s="138" t="s">
        <v>9054</v>
      </c>
      <c r="H409" s="138" t="s">
        <v>9062</v>
      </c>
      <c r="I409" s="138" t="s">
        <v>8881</v>
      </c>
      <c r="J409" s="138" t="s">
        <v>8513</v>
      </c>
    </row>
    <row r="410" spans="1:10">
      <c r="A410" s="138" t="s">
        <v>9003</v>
      </c>
      <c r="B410" s="138" t="s">
        <v>8881</v>
      </c>
      <c r="C410" s="138" t="s">
        <v>9060</v>
      </c>
      <c r="D410" s="138" t="s">
        <v>9063</v>
      </c>
      <c r="G410" s="138" t="s">
        <v>9054</v>
      </c>
      <c r="H410" s="138" t="s">
        <v>9064</v>
      </c>
      <c r="I410" s="138" t="s">
        <v>379</v>
      </c>
      <c r="J410" s="138" t="s">
        <v>8899</v>
      </c>
    </row>
    <row r="411" spans="1:10">
      <c r="A411" s="138" t="s">
        <v>9003</v>
      </c>
      <c r="B411" s="138" t="s">
        <v>8881</v>
      </c>
      <c r="C411" s="138" t="s">
        <v>9060</v>
      </c>
      <c r="D411" s="138" t="s">
        <v>9060</v>
      </c>
      <c r="G411" s="138" t="s">
        <v>9054</v>
      </c>
      <c r="H411" s="138" t="s">
        <v>9065</v>
      </c>
      <c r="I411" s="138" t="s">
        <v>8881</v>
      </c>
      <c r="J411" s="138" t="s">
        <v>8992</v>
      </c>
    </row>
    <row r="412" spans="1:10">
      <c r="A412" s="138" t="s">
        <v>9003</v>
      </c>
      <c r="B412" s="138" t="s">
        <v>8881</v>
      </c>
      <c r="C412" s="138" t="s">
        <v>9060</v>
      </c>
      <c r="D412" s="138" t="s">
        <v>9066</v>
      </c>
      <c r="G412" s="138" t="s">
        <v>9054</v>
      </c>
      <c r="H412" s="138" t="s">
        <v>9067</v>
      </c>
      <c r="I412" s="138" t="s">
        <v>8881</v>
      </c>
      <c r="J412" s="138" t="s">
        <v>8966</v>
      </c>
    </row>
    <row r="413" spans="1:10">
      <c r="A413" s="138" t="s">
        <v>9003</v>
      </c>
      <c r="B413" s="138" t="s">
        <v>8881</v>
      </c>
      <c r="C413" s="138" t="s">
        <v>9060</v>
      </c>
      <c r="D413" s="138" t="s">
        <v>9068</v>
      </c>
      <c r="G413" s="138" t="s">
        <v>9054</v>
      </c>
      <c r="H413" s="138" t="s">
        <v>9069</v>
      </c>
      <c r="I413" s="138" t="s">
        <v>8881</v>
      </c>
      <c r="J413" s="138" t="s">
        <v>8513</v>
      </c>
    </row>
    <row r="414" spans="1:10">
      <c r="A414" s="138" t="s">
        <v>9003</v>
      </c>
      <c r="B414" s="138" t="s">
        <v>8881</v>
      </c>
      <c r="C414" s="138" t="s">
        <v>9060</v>
      </c>
      <c r="D414" s="138" t="s">
        <v>9070</v>
      </c>
      <c r="G414" s="138" t="s">
        <v>9054</v>
      </c>
      <c r="H414" s="138" t="s">
        <v>9071</v>
      </c>
      <c r="I414" s="138" t="s">
        <v>379</v>
      </c>
      <c r="J414" s="138" t="s">
        <v>8932</v>
      </c>
    </row>
    <row r="415" spans="1:10">
      <c r="A415" s="138" t="e">
        <v>#N/A</v>
      </c>
      <c r="B415" s="138" t="e">
        <v>#N/A</v>
      </c>
      <c r="C415" s="138" t="s">
        <v>9060</v>
      </c>
      <c r="D415" s="138" t="e">
        <v>#N/A</v>
      </c>
      <c r="G415" s="138" t="s">
        <v>9054</v>
      </c>
      <c r="H415" s="138" t="s">
        <v>9072</v>
      </c>
      <c r="I415" s="138" t="s">
        <v>379</v>
      </c>
      <c r="J415" s="138" t="s">
        <v>8932</v>
      </c>
    </row>
    <row r="416" spans="1:10">
      <c r="A416" s="138" t="s">
        <v>9003</v>
      </c>
      <c r="B416" s="138" t="s">
        <v>9003</v>
      </c>
      <c r="C416" s="138" t="s">
        <v>9073</v>
      </c>
      <c r="D416" s="138" t="s">
        <v>9073</v>
      </c>
      <c r="G416" s="138" t="s">
        <v>9054</v>
      </c>
      <c r="H416" s="138" t="s">
        <v>9074</v>
      </c>
      <c r="I416" s="138" t="s">
        <v>8881</v>
      </c>
      <c r="J416" s="138" t="s">
        <v>8992</v>
      </c>
    </row>
    <row r="417" spans="1:10">
      <c r="A417" s="138" t="s">
        <v>9003</v>
      </c>
      <c r="B417" s="138" t="s">
        <v>9003</v>
      </c>
      <c r="C417" s="138" t="s">
        <v>9073</v>
      </c>
      <c r="D417" s="138" t="s">
        <v>9075</v>
      </c>
      <c r="G417" s="138" t="s">
        <v>9054</v>
      </c>
      <c r="H417" s="138" t="s">
        <v>9076</v>
      </c>
      <c r="I417" s="138" t="s">
        <v>379</v>
      </c>
      <c r="J417" s="138" t="s">
        <v>8899</v>
      </c>
    </row>
    <row r="418" spans="1:10">
      <c r="A418" s="138" t="s">
        <v>9003</v>
      </c>
      <c r="B418" s="138" t="s">
        <v>9003</v>
      </c>
      <c r="C418" s="138" t="s">
        <v>9073</v>
      </c>
      <c r="D418" s="138" t="s">
        <v>9077</v>
      </c>
      <c r="G418" s="138" t="s">
        <v>9054</v>
      </c>
      <c r="H418" s="138" t="s">
        <v>9078</v>
      </c>
      <c r="I418" s="138" t="s">
        <v>379</v>
      </c>
      <c r="J418" s="138" t="s">
        <v>8914</v>
      </c>
    </row>
    <row r="419" spans="1:10">
      <c r="A419" s="138" t="e">
        <v>#N/A</v>
      </c>
      <c r="B419" s="138" t="e">
        <v>#N/A</v>
      </c>
      <c r="C419" s="138" t="s">
        <v>9073</v>
      </c>
      <c r="D419" s="138" t="e">
        <v>#N/A</v>
      </c>
      <c r="G419" s="138" t="s">
        <v>9054</v>
      </c>
      <c r="H419" s="138" t="s">
        <v>9079</v>
      </c>
      <c r="I419" s="138" t="s">
        <v>8881</v>
      </c>
      <c r="J419" s="138" t="s">
        <v>8882</v>
      </c>
    </row>
    <row r="420" spans="1:10">
      <c r="A420" s="138" t="s">
        <v>9003</v>
      </c>
      <c r="B420" s="138" t="s">
        <v>9003</v>
      </c>
      <c r="C420" s="138" t="s">
        <v>9080</v>
      </c>
      <c r="D420" s="138" t="s">
        <v>9081</v>
      </c>
      <c r="G420" s="138" t="s">
        <v>9054</v>
      </c>
      <c r="H420" s="138" t="s">
        <v>9082</v>
      </c>
      <c r="I420" s="138" t="s">
        <v>379</v>
      </c>
      <c r="J420" s="138" t="s">
        <v>8932</v>
      </c>
    </row>
    <row r="421" spans="1:10">
      <c r="A421" s="138" t="s">
        <v>9003</v>
      </c>
      <c r="B421" s="138" t="s">
        <v>9003</v>
      </c>
      <c r="C421" s="138" t="s">
        <v>9080</v>
      </c>
      <c r="D421" s="138" t="s">
        <v>9083</v>
      </c>
      <c r="G421" s="138" t="s">
        <v>9054</v>
      </c>
      <c r="H421" s="138" t="s">
        <v>9084</v>
      </c>
      <c r="I421" s="138" t="s">
        <v>8881</v>
      </c>
      <c r="J421" s="138" t="s">
        <v>8966</v>
      </c>
    </row>
    <row r="422" spans="1:10">
      <c r="A422" s="138" t="s">
        <v>9003</v>
      </c>
      <c r="B422" s="138" t="s">
        <v>9003</v>
      </c>
      <c r="C422" s="138" t="s">
        <v>9080</v>
      </c>
      <c r="D422" s="138" t="s">
        <v>9085</v>
      </c>
      <c r="G422" s="138" t="s">
        <v>9054</v>
      </c>
      <c r="H422" s="138" t="s">
        <v>9086</v>
      </c>
      <c r="I422" s="138" t="s">
        <v>8881</v>
      </c>
      <c r="J422" s="138" t="s">
        <v>8882</v>
      </c>
    </row>
    <row r="423" spans="1:10">
      <c r="A423" s="138" t="s">
        <v>9003</v>
      </c>
      <c r="B423" s="138" t="s">
        <v>9003</v>
      </c>
      <c r="C423" s="138" t="s">
        <v>9080</v>
      </c>
      <c r="D423" s="138" t="s">
        <v>9087</v>
      </c>
      <c r="G423" s="138" t="s">
        <v>9054</v>
      </c>
      <c r="H423" s="138" t="s">
        <v>9088</v>
      </c>
      <c r="I423" s="138" t="s">
        <v>8881</v>
      </c>
      <c r="J423" s="138" t="s">
        <v>8882</v>
      </c>
    </row>
    <row r="424" spans="1:10">
      <c r="A424" s="138" t="s">
        <v>9003</v>
      </c>
      <c r="B424" s="138" t="s">
        <v>9003</v>
      </c>
      <c r="C424" s="138" t="s">
        <v>9080</v>
      </c>
      <c r="D424" s="138" t="s">
        <v>9089</v>
      </c>
      <c r="G424" s="138" t="s">
        <v>9054</v>
      </c>
      <c r="H424" s="138" t="s">
        <v>9090</v>
      </c>
      <c r="I424" s="138" t="s">
        <v>379</v>
      </c>
      <c r="J424" s="138" t="s">
        <v>8899</v>
      </c>
    </row>
    <row r="425" spans="1:10">
      <c r="A425" s="138" t="s">
        <v>9003</v>
      </c>
      <c r="B425" s="138" t="s">
        <v>8638</v>
      </c>
      <c r="C425" s="138" t="s">
        <v>9091</v>
      </c>
      <c r="D425" s="138" t="s">
        <v>9091</v>
      </c>
      <c r="G425" s="138" t="s">
        <v>9054</v>
      </c>
      <c r="H425" s="138" t="s">
        <v>9092</v>
      </c>
      <c r="I425" s="138" t="s">
        <v>8881</v>
      </c>
      <c r="J425" s="138" t="s">
        <v>8992</v>
      </c>
    </row>
    <row r="426" spans="1:10">
      <c r="A426" s="138" t="s">
        <v>9003</v>
      </c>
      <c r="B426" s="138" t="s">
        <v>8638</v>
      </c>
      <c r="C426" s="138" t="s">
        <v>9091</v>
      </c>
      <c r="D426" s="138" t="s">
        <v>9093</v>
      </c>
      <c r="G426" s="138" t="s">
        <v>9054</v>
      </c>
      <c r="H426" s="138" t="s">
        <v>9094</v>
      </c>
      <c r="I426" s="138" t="s">
        <v>8881</v>
      </c>
      <c r="J426" s="138" t="s">
        <v>8966</v>
      </c>
    </row>
    <row r="427" spans="1:10">
      <c r="A427" s="138" t="s">
        <v>9003</v>
      </c>
      <c r="B427" s="138" t="s">
        <v>8638</v>
      </c>
      <c r="C427" s="138" t="s">
        <v>9091</v>
      </c>
      <c r="D427" s="138" t="s">
        <v>9095</v>
      </c>
      <c r="G427" s="138" t="s">
        <v>9054</v>
      </c>
      <c r="H427" s="138" t="s">
        <v>9096</v>
      </c>
      <c r="I427" s="138" t="s">
        <v>8881</v>
      </c>
      <c r="J427" s="138" t="s">
        <v>8882</v>
      </c>
    </row>
    <row r="428" spans="1:10">
      <c r="A428" s="138" t="s">
        <v>9003</v>
      </c>
      <c r="B428" s="138" t="s">
        <v>8638</v>
      </c>
      <c r="C428" s="138" t="s">
        <v>9097</v>
      </c>
      <c r="D428" s="138" t="s">
        <v>9098</v>
      </c>
      <c r="G428" s="138" t="s">
        <v>9054</v>
      </c>
      <c r="H428" s="138" t="s">
        <v>9099</v>
      </c>
      <c r="I428" s="138" t="s">
        <v>379</v>
      </c>
      <c r="J428" s="138" t="s">
        <v>8932</v>
      </c>
    </row>
    <row r="429" spans="1:10">
      <c r="A429" s="138" t="s">
        <v>9003</v>
      </c>
      <c r="B429" s="138" t="s">
        <v>8638</v>
      </c>
      <c r="C429" s="138" t="s">
        <v>9097</v>
      </c>
      <c r="D429" s="138" t="s">
        <v>9100</v>
      </c>
      <c r="G429" s="138" t="s">
        <v>9054</v>
      </c>
      <c r="H429" s="138" t="s">
        <v>9101</v>
      </c>
      <c r="I429" s="138" t="s">
        <v>8881</v>
      </c>
      <c r="J429" s="138" t="s">
        <v>8966</v>
      </c>
    </row>
    <row r="430" spans="1:10">
      <c r="A430" s="138" t="s">
        <v>9003</v>
      </c>
      <c r="B430" s="138" t="s">
        <v>8638</v>
      </c>
      <c r="C430" s="138" t="s">
        <v>9097</v>
      </c>
      <c r="D430" s="138" t="s">
        <v>9097</v>
      </c>
      <c r="G430" s="138" t="s">
        <v>9054</v>
      </c>
      <c r="H430" s="138" t="s">
        <v>9102</v>
      </c>
      <c r="I430" s="138" t="s">
        <v>8881</v>
      </c>
      <c r="J430" s="138" t="s">
        <v>8946</v>
      </c>
    </row>
    <row r="431" spans="1:10">
      <c r="A431" s="138" t="s">
        <v>9003</v>
      </c>
      <c r="B431" s="138" t="s">
        <v>8638</v>
      </c>
      <c r="C431" s="138" t="s">
        <v>9097</v>
      </c>
      <c r="D431" s="138" t="s">
        <v>9103</v>
      </c>
      <c r="G431" s="138" t="s">
        <v>9054</v>
      </c>
      <c r="H431" s="138" t="s">
        <v>9104</v>
      </c>
      <c r="I431" s="138" t="s">
        <v>8881</v>
      </c>
      <c r="J431" s="138" t="s">
        <v>8513</v>
      </c>
    </row>
    <row r="432" spans="1:10">
      <c r="A432" s="138" t="s">
        <v>9003</v>
      </c>
      <c r="B432" s="138" t="s">
        <v>8638</v>
      </c>
      <c r="C432" s="138" t="s">
        <v>9097</v>
      </c>
      <c r="D432" s="138" t="s">
        <v>9105</v>
      </c>
      <c r="G432" s="138" t="s">
        <v>9054</v>
      </c>
      <c r="H432" s="138" t="s">
        <v>9106</v>
      </c>
      <c r="I432" s="138" t="s">
        <v>8881</v>
      </c>
      <c r="J432" s="138" t="s">
        <v>8946</v>
      </c>
    </row>
    <row r="433" spans="1:10">
      <c r="A433" s="138" t="s">
        <v>9003</v>
      </c>
      <c r="B433" s="138" t="s">
        <v>8638</v>
      </c>
      <c r="C433" s="138" t="s">
        <v>9097</v>
      </c>
      <c r="D433" s="138" t="s">
        <v>9107</v>
      </c>
      <c r="G433" s="138" t="s">
        <v>9054</v>
      </c>
      <c r="H433" s="138" t="s">
        <v>9108</v>
      </c>
      <c r="I433" s="138" t="s">
        <v>379</v>
      </c>
      <c r="J433" s="138" t="s">
        <v>8914</v>
      </c>
    </row>
    <row r="434" spans="1:10">
      <c r="A434" s="138" t="e">
        <v>#N/A</v>
      </c>
      <c r="B434" s="138" t="e">
        <v>#N/A</v>
      </c>
      <c r="C434" s="138" t="s">
        <v>9097</v>
      </c>
      <c r="D434" s="138" t="e">
        <v>#N/A</v>
      </c>
      <c r="G434" s="138" t="s">
        <v>9054</v>
      </c>
      <c r="H434" s="138" t="s">
        <v>9054</v>
      </c>
      <c r="I434" s="138" t="s">
        <v>8881</v>
      </c>
      <c r="J434" s="138" t="s">
        <v>8959</v>
      </c>
    </row>
    <row r="435" spans="1:10">
      <c r="A435" s="138" t="s">
        <v>9003</v>
      </c>
      <c r="B435" s="138" t="s">
        <v>8638</v>
      </c>
      <c r="C435" s="138" t="s">
        <v>9109</v>
      </c>
      <c r="D435" s="138" t="s">
        <v>9110</v>
      </c>
      <c r="G435" s="138" t="s">
        <v>9054</v>
      </c>
      <c r="H435" s="138" t="s">
        <v>9111</v>
      </c>
      <c r="I435" s="138" t="s">
        <v>379</v>
      </c>
      <c r="J435" s="138" t="s">
        <v>8914</v>
      </c>
    </row>
    <row r="436" spans="1:10">
      <c r="A436" s="138" t="s">
        <v>9003</v>
      </c>
      <c r="B436" s="138" t="s">
        <v>8638</v>
      </c>
      <c r="C436" s="138" t="s">
        <v>9109</v>
      </c>
      <c r="D436" s="138" t="s">
        <v>9112</v>
      </c>
      <c r="G436" s="138" t="s">
        <v>9054</v>
      </c>
      <c r="H436" s="138" t="s">
        <v>9113</v>
      </c>
      <c r="I436" s="138" t="s">
        <v>379</v>
      </c>
      <c r="J436" s="138" t="s">
        <v>8914</v>
      </c>
    </row>
    <row r="437" spans="1:10">
      <c r="A437" s="138" t="s">
        <v>9003</v>
      </c>
      <c r="B437" s="138" t="s">
        <v>8638</v>
      </c>
      <c r="C437" s="138" t="s">
        <v>9109</v>
      </c>
      <c r="D437" s="138" t="s">
        <v>9109</v>
      </c>
      <c r="G437" s="138" t="s">
        <v>9054</v>
      </c>
      <c r="H437" s="138" t="s">
        <v>9114</v>
      </c>
      <c r="I437" s="138" t="s">
        <v>8881</v>
      </c>
      <c r="J437" s="138" t="s">
        <v>8946</v>
      </c>
    </row>
    <row r="438" spans="1:10">
      <c r="A438" s="138" t="s">
        <v>9003</v>
      </c>
      <c r="B438" s="138" t="s">
        <v>8638</v>
      </c>
      <c r="C438" s="138" t="s">
        <v>9109</v>
      </c>
      <c r="D438" s="138" t="s">
        <v>9115</v>
      </c>
      <c r="G438" s="138" t="s">
        <v>9054</v>
      </c>
      <c r="H438" s="138" t="s">
        <v>9116</v>
      </c>
      <c r="I438" s="138" t="s">
        <v>379</v>
      </c>
      <c r="J438" s="138" t="s">
        <v>8899</v>
      </c>
    </row>
    <row r="439" spans="1:10">
      <c r="A439" s="138" t="s">
        <v>9003</v>
      </c>
      <c r="B439" s="138" t="s">
        <v>8638</v>
      </c>
      <c r="C439" s="138" t="s">
        <v>9109</v>
      </c>
      <c r="D439" s="138" t="s">
        <v>9117</v>
      </c>
      <c r="G439" s="138" t="s">
        <v>9054</v>
      </c>
      <c r="H439" s="138" t="s">
        <v>9118</v>
      </c>
      <c r="I439" s="138" t="s">
        <v>8881</v>
      </c>
      <c r="J439" s="138" t="s">
        <v>8513</v>
      </c>
    </row>
    <row r="440" spans="1:10">
      <c r="A440" s="138" t="s">
        <v>9003</v>
      </c>
      <c r="B440" s="138" t="s">
        <v>8638</v>
      </c>
      <c r="C440" s="138" t="s">
        <v>9109</v>
      </c>
      <c r="D440" s="138" t="s">
        <v>9119</v>
      </c>
      <c r="G440" s="138" t="s">
        <v>9054</v>
      </c>
      <c r="H440" s="138" t="s">
        <v>9120</v>
      </c>
      <c r="I440" s="138" t="s">
        <v>8881</v>
      </c>
      <c r="J440" s="138" t="s">
        <v>8882</v>
      </c>
    </row>
    <row r="441" spans="1:10">
      <c r="A441" s="138" t="s">
        <v>9003</v>
      </c>
      <c r="B441" s="138" t="s">
        <v>9003</v>
      </c>
      <c r="C441" s="138" t="s">
        <v>9121</v>
      </c>
      <c r="D441" s="138" t="s">
        <v>9122</v>
      </c>
      <c r="G441" s="138" t="s">
        <v>9054</v>
      </c>
      <c r="H441" s="138" t="s">
        <v>9123</v>
      </c>
      <c r="I441" s="138" t="s">
        <v>379</v>
      </c>
      <c r="J441" s="138" t="s">
        <v>8914</v>
      </c>
    </row>
    <row r="442" spans="1:10">
      <c r="A442" s="138" t="s">
        <v>9003</v>
      </c>
      <c r="B442" s="138" t="s">
        <v>9003</v>
      </c>
      <c r="C442" s="138" t="s">
        <v>9121</v>
      </c>
      <c r="D442" s="138" t="s">
        <v>9121</v>
      </c>
      <c r="G442" s="138" t="s">
        <v>9054</v>
      </c>
      <c r="H442" s="138" t="s">
        <v>9124</v>
      </c>
      <c r="I442" s="138" t="s">
        <v>379</v>
      </c>
      <c r="J442" s="138" t="s">
        <v>8899</v>
      </c>
    </row>
    <row r="443" spans="1:10">
      <c r="A443" s="138" t="s">
        <v>9003</v>
      </c>
      <c r="B443" s="138" t="s">
        <v>9003</v>
      </c>
      <c r="C443" s="138" t="s">
        <v>9121</v>
      </c>
      <c r="D443" s="138" t="s">
        <v>9125</v>
      </c>
      <c r="G443" s="138" t="s">
        <v>9054</v>
      </c>
      <c r="H443" s="138" t="s">
        <v>9126</v>
      </c>
      <c r="I443" s="138" t="s">
        <v>379</v>
      </c>
      <c r="J443" s="138" t="s">
        <v>8914</v>
      </c>
    </row>
    <row r="444" spans="1:10">
      <c r="A444" s="138" t="s">
        <v>9003</v>
      </c>
      <c r="B444" s="138" t="s">
        <v>9003</v>
      </c>
      <c r="C444" s="138" t="s">
        <v>9121</v>
      </c>
      <c r="D444" s="138" t="s">
        <v>9127</v>
      </c>
      <c r="G444" s="138" t="s">
        <v>9054</v>
      </c>
      <c r="H444" s="138" t="s">
        <v>9128</v>
      </c>
      <c r="I444" s="138" t="s">
        <v>8881</v>
      </c>
      <c r="J444" s="138" t="s">
        <v>8946</v>
      </c>
    </row>
    <row r="445" spans="1:10">
      <c r="A445" s="138" t="s">
        <v>9003</v>
      </c>
      <c r="B445" s="138" t="s">
        <v>9003</v>
      </c>
      <c r="C445" s="138" t="s">
        <v>9121</v>
      </c>
      <c r="D445" s="138" t="s">
        <v>9038</v>
      </c>
      <c r="G445" s="138" t="s">
        <v>9054</v>
      </c>
      <c r="H445" s="138" t="s">
        <v>9129</v>
      </c>
      <c r="I445" s="138" t="s">
        <v>8881</v>
      </c>
      <c r="J445" s="138" t="s">
        <v>8882</v>
      </c>
    </row>
    <row r="446" spans="1:10">
      <c r="A446" s="138" t="s">
        <v>9003</v>
      </c>
      <c r="B446" s="138" t="s">
        <v>9003</v>
      </c>
      <c r="C446" s="138" t="s">
        <v>9130</v>
      </c>
      <c r="D446" s="138" t="s">
        <v>9131</v>
      </c>
      <c r="G446" s="138" t="s">
        <v>9054</v>
      </c>
      <c r="H446" s="138" t="s">
        <v>9132</v>
      </c>
      <c r="I446" s="138" t="s">
        <v>379</v>
      </c>
      <c r="J446" s="138" t="s">
        <v>8932</v>
      </c>
    </row>
    <row r="447" spans="1:10">
      <c r="A447" s="138" t="s">
        <v>9003</v>
      </c>
      <c r="B447" s="138" t="s">
        <v>9003</v>
      </c>
      <c r="C447" s="138" t="s">
        <v>9130</v>
      </c>
      <c r="D447" s="138" t="s">
        <v>9133</v>
      </c>
      <c r="G447" s="138" t="s">
        <v>9054</v>
      </c>
      <c r="H447" s="138" t="s">
        <v>9134</v>
      </c>
      <c r="I447" s="138" t="s">
        <v>8881</v>
      </c>
      <c r="J447" s="138" t="s">
        <v>8882</v>
      </c>
    </row>
    <row r="448" spans="1:10">
      <c r="A448" s="138" t="s">
        <v>9003</v>
      </c>
      <c r="B448" s="138" t="s">
        <v>9003</v>
      </c>
      <c r="C448" s="138" t="s">
        <v>9130</v>
      </c>
      <c r="D448" s="138" t="s">
        <v>9135</v>
      </c>
      <c r="G448" s="138" t="s">
        <v>9054</v>
      </c>
      <c r="H448" s="138" t="s">
        <v>9136</v>
      </c>
      <c r="I448" s="138" t="s">
        <v>8881</v>
      </c>
      <c r="J448" s="138" t="s">
        <v>8946</v>
      </c>
    </row>
    <row r="449" spans="1:10">
      <c r="A449" s="138" t="s">
        <v>9003</v>
      </c>
      <c r="B449" s="138" t="s">
        <v>9003</v>
      </c>
      <c r="C449" s="138" t="s">
        <v>9130</v>
      </c>
      <c r="D449" s="138" t="s">
        <v>9137</v>
      </c>
      <c r="G449" s="138" t="s">
        <v>9054</v>
      </c>
      <c r="H449" s="138" t="s">
        <v>9138</v>
      </c>
      <c r="I449" s="138" t="s">
        <v>379</v>
      </c>
      <c r="J449" s="138" t="s">
        <v>8899</v>
      </c>
    </row>
    <row r="450" spans="1:10">
      <c r="A450" s="138" t="s">
        <v>9003</v>
      </c>
      <c r="B450" s="138" t="s">
        <v>9003</v>
      </c>
      <c r="C450" s="138" t="s">
        <v>9130</v>
      </c>
      <c r="D450" s="138" t="s">
        <v>9139</v>
      </c>
      <c r="G450" s="138" t="s">
        <v>9054</v>
      </c>
      <c r="H450" s="138" t="s">
        <v>9140</v>
      </c>
      <c r="I450" s="138" t="s">
        <v>8881</v>
      </c>
      <c r="J450" s="138" t="s">
        <v>8966</v>
      </c>
    </row>
    <row r="451" spans="1:10">
      <c r="A451" s="138" t="s">
        <v>9141</v>
      </c>
      <c r="B451" s="138" t="s">
        <v>9142</v>
      </c>
      <c r="C451" s="138" t="s">
        <v>8662</v>
      </c>
      <c r="D451" s="138" t="s">
        <v>8662</v>
      </c>
      <c r="G451" s="138" t="s">
        <v>9054</v>
      </c>
      <c r="H451" s="138" t="s">
        <v>9143</v>
      </c>
      <c r="I451" s="138" t="s">
        <v>8881</v>
      </c>
      <c r="J451" s="138" t="s">
        <v>8882</v>
      </c>
    </row>
    <row r="452" spans="1:10">
      <c r="A452" s="138" t="s">
        <v>9141</v>
      </c>
      <c r="B452" s="138" t="s">
        <v>9142</v>
      </c>
      <c r="C452" s="138" t="s">
        <v>8662</v>
      </c>
      <c r="D452" s="138" t="s">
        <v>9144</v>
      </c>
      <c r="G452" s="138" t="s">
        <v>9145</v>
      </c>
      <c r="H452" s="138" t="s">
        <v>9146</v>
      </c>
      <c r="I452" s="138" t="s">
        <v>8638</v>
      </c>
      <c r="J452" s="138" t="s">
        <v>9097</v>
      </c>
    </row>
    <row r="453" spans="1:10">
      <c r="A453" s="138" t="s">
        <v>9141</v>
      </c>
      <c r="B453" s="138" t="s">
        <v>9142</v>
      </c>
      <c r="C453" s="138" t="s">
        <v>8662</v>
      </c>
      <c r="D453" s="138" t="s">
        <v>536</v>
      </c>
      <c r="G453" s="138" t="s">
        <v>9145</v>
      </c>
      <c r="H453" s="138" t="s">
        <v>9147</v>
      </c>
      <c r="I453" s="138" t="s">
        <v>9003</v>
      </c>
      <c r="J453" s="138" t="s">
        <v>9019</v>
      </c>
    </row>
    <row r="454" spans="1:10">
      <c r="A454" s="138" t="s">
        <v>9141</v>
      </c>
      <c r="B454" s="138" t="s">
        <v>9142</v>
      </c>
      <c r="C454" s="138" t="s">
        <v>8662</v>
      </c>
      <c r="D454" s="138" t="s">
        <v>9148</v>
      </c>
      <c r="G454" s="138" t="s">
        <v>9145</v>
      </c>
      <c r="H454" s="138" t="s">
        <v>9149</v>
      </c>
      <c r="I454" s="138" t="s">
        <v>8638</v>
      </c>
      <c r="J454" s="138" t="s">
        <v>9097</v>
      </c>
    </row>
    <row r="455" spans="1:10">
      <c r="A455" s="138" t="s">
        <v>9141</v>
      </c>
      <c r="B455" s="138" t="s">
        <v>9142</v>
      </c>
      <c r="C455" s="138" t="s">
        <v>8662</v>
      </c>
      <c r="D455" s="138" t="s">
        <v>9150</v>
      </c>
      <c r="G455" s="138" t="s">
        <v>9145</v>
      </c>
      <c r="H455" s="138" t="s">
        <v>9151</v>
      </c>
      <c r="I455" s="138" t="s">
        <v>9003</v>
      </c>
      <c r="J455" s="138" t="s">
        <v>9019</v>
      </c>
    </row>
    <row r="456" spans="1:10">
      <c r="A456" s="138" t="s">
        <v>9141</v>
      </c>
      <c r="B456" s="138" t="s">
        <v>9142</v>
      </c>
      <c r="C456" s="138" t="s">
        <v>8662</v>
      </c>
      <c r="D456" s="138" t="s">
        <v>9152</v>
      </c>
      <c r="G456" s="138" t="s">
        <v>9145</v>
      </c>
      <c r="H456" s="138" t="s">
        <v>9153</v>
      </c>
      <c r="I456" s="138" t="s">
        <v>9003</v>
      </c>
      <c r="J456" s="138" t="s">
        <v>9004</v>
      </c>
    </row>
    <row r="457" spans="1:10">
      <c r="A457" s="138" t="s">
        <v>9141</v>
      </c>
      <c r="B457" s="138" t="s">
        <v>9142</v>
      </c>
      <c r="C457" s="138" t="s">
        <v>8656</v>
      </c>
      <c r="D457" s="138" t="s">
        <v>9154</v>
      </c>
      <c r="G457" s="138" t="s">
        <v>9145</v>
      </c>
      <c r="H457" s="138" t="s">
        <v>9155</v>
      </c>
      <c r="I457" s="138" t="s">
        <v>9003</v>
      </c>
      <c r="J457" s="138" t="s">
        <v>9080</v>
      </c>
    </row>
    <row r="458" spans="1:10">
      <c r="A458" s="138" t="s">
        <v>9141</v>
      </c>
      <c r="B458" s="138" t="s">
        <v>9142</v>
      </c>
      <c r="C458" s="138" t="s">
        <v>8656</v>
      </c>
      <c r="D458" s="138" t="s">
        <v>9156</v>
      </c>
      <c r="G458" s="138" t="s">
        <v>9145</v>
      </c>
      <c r="H458" s="138" t="s">
        <v>9157</v>
      </c>
      <c r="I458" s="138" t="s">
        <v>8638</v>
      </c>
      <c r="J458" s="138" t="s">
        <v>9109</v>
      </c>
    </row>
    <row r="459" spans="1:10">
      <c r="A459" s="138" t="s">
        <v>9141</v>
      </c>
      <c r="B459" s="138" t="s">
        <v>9142</v>
      </c>
      <c r="C459" s="138" t="s">
        <v>8656</v>
      </c>
      <c r="D459" s="138" t="s">
        <v>9158</v>
      </c>
      <c r="G459" s="138" t="s">
        <v>9145</v>
      </c>
      <c r="H459" s="138" t="s">
        <v>9159</v>
      </c>
      <c r="I459" s="138" t="s">
        <v>8638</v>
      </c>
      <c r="J459" s="138" t="s">
        <v>9091</v>
      </c>
    </row>
    <row r="460" spans="1:10">
      <c r="A460" s="138" t="s">
        <v>9141</v>
      </c>
      <c r="B460" s="138" t="s">
        <v>9142</v>
      </c>
      <c r="C460" s="138" t="s">
        <v>8656</v>
      </c>
      <c r="D460" s="138" t="s">
        <v>9160</v>
      </c>
      <c r="G460" s="138" t="s">
        <v>9145</v>
      </c>
      <c r="H460" s="138" t="s">
        <v>9161</v>
      </c>
      <c r="I460" s="138" t="s">
        <v>9003</v>
      </c>
      <c r="J460" s="138" t="s">
        <v>9019</v>
      </c>
    </row>
    <row r="461" spans="1:10">
      <c r="A461" s="138" t="s">
        <v>9141</v>
      </c>
      <c r="B461" s="138" t="s">
        <v>9142</v>
      </c>
      <c r="C461" s="138" t="s">
        <v>8656</v>
      </c>
      <c r="D461" s="138" t="s">
        <v>9162</v>
      </c>
      <c r="G461" s="138" t="s">
        <v>9145</v>
      </c>
      <c r="H461" s="138" t="s">
        <v>9163</v>
      </c>
      <c r="I461" s="138" t="s">
        <v>9003</v>
      </c>
      <c r="J461" s="138" t="s">
        <v>9121</v>
      </c>
    </row>
    <row r="462" spans="1:10">
      <c r="A462" s="138" t="s">
        <v>9141</v>
      </c>
      <c r="B462" s="138" t="s">
        <v>9142</v>
      </c>
      <c r="C462" s="138" t="s">
        <v>8656</v>
      </c>
      <c r="D462" s="138" t="s">
        <v>9164</v>
      </c>
      <c r="G462" s="138" t="s">
        <v>9145</v>
      </c>
      <c r="H462" s="138" t="s">
        <v>9165</v>
      </c>
      <c r="I462" s="138" t="s">
        <v>9003</v>
      </c>
      <c r="J462" s="138" t="s">
        <v>9121</v>
      </c>
    </row>
    <row r="463" spans="1:10">
      <c r="A463" s="138" t="s">
        <v>9141</v>
      </c>
      <c r="B463" s="138" t="s">
        <v>9142</v>
      </c>
      <c r="C463" s="138" t="s">
        <v>8656</v>
      </c>
      <c r="D463" s="138" t="s">
        <v>9166</v>
      </c>
      <c r="G463" s="138" t="s">
        <v>9145</v>
      </c>
      <c r="H463" s="138" t="s">
        <v>9167</v>
      </c>
      <c r="I463" s="138" t="s">
        <v>9003</v>
      </c>
      <c r="J463" s="138" t="s">
        <v>9130</v>
      </c>
    </row>
    <row r="464" spans="1:10">
      <c r="A464" s="138" t="s">
        <v>9141</v>
      </c>
      <c r="B464" s="138" t="s">
        <v>9142</v>
      </c>
      <c r="C464" s="138" t="s">
        <v>8645</v>
      </c>
      <c r="D464" s="138" t="s">
        <v>9168</v>
      </c>
      <c r="G464" s="138" t="s">
        <v>9145</v>
      </c>
      <c r="H464" s="138" t="s">
        <v>9169</v>
      </c>
      <c r="I464" s="138" t="s">
        <v>9003</v>
      </c>
      <c r="J464" s="138" t="s">
        <v>9019</v>
      </c>
    </row>
    <row r="465" spans="1:10">
      <c r="A465" s="138" t="s">
        <v>9141</v>
      </c>
      <c r="B465" s="138" t="s">
        <v>9142</v>
      </c>
      <c r="C465" s="138" t="s">
        <v>8645</v>
      </c>
      <c r="D465" s="138" t="s">
        <v>9170</v>
      </c>
      <c r="G465" s="138" t="s">
        <v>9145</v>
      </c>
      <c r="H465" s="138" t="s">
        <v>9171</v>
      </c>
      <c r="I465" s="138" t="s">
        <v>8881</v>
      </c>
      <c r="J465" s="138" t="s">
        <v>9060</v>
      </c>
    </row>
    <row r="466" spans="1:10">
      <c r="A466" s="138" t="s">
        <v>9141</v>
      </c>
      <c r="B466" s="138" t="s">
        <v>9142</v>
      </c>
      <c r="C466" s="138" t="s">
        <v>8645</v>
      </c>
      <c r="D466" s="138" t="s">
        <v>9172</v>
      </c>
      <c r="G466" s="138" t="s">
        <v>9145</v>
      </c>
      <c r="H466" s="138" t="s">
        <v>9173</v>
      </c>
      <c r="I466" s="138" t="s">
        <v>9003</v>
      </c>
      <c r="J466" s="138" t="s">
        <v>9004</v>
      </c>
    </row>
    <row r="467" spans="1:10">
      <c r="A467" s="138" t="s">
        <v>9141</v>
      </c>
      <c r="B467" s="138" t="s">
        <v>9142</v>
      </c>
      <c r="C467" s="138" t="s">
        <v>8645</v>
      </c>
      <c r="D467" s="138" t="s">
        <v>8645</v>
      </c>
      <c r="G467" s="138" t="s">
        <v>9145</v>
      </c>
      <c r="H467" s="138" t="s">
        <v>9174</v>
      </c>
      <c r="I467" s="138" t="s">
        <v>8638</v>
      </c>
      <c r="J467" s="138" t="s">
        <v>9109</v>
      </c>
    </row>
    <row r="468" spans="1:10">
      <c r="A468" s="138" t="s">
        <v>9141</v>
      </c>
      <c r="B468" s="138" t="s">
        <v>9142</v>
      </c>
      <c r="C468" s="138" t="s">
        <v>8645</v>
      </c>
      <c r="D468" s="138" t="s">
        <v>9175</v>
      </c>
      <c r="G468" s="138" t="s">
        <v>9145</v>
      </c>
      <c r="H468" s="138" t="s">
        <v>9176</v>
      </c>
      <c r="I468" s="138" t="s">
        <v>8638</v>
      </c>
      <c r="J468" s="138" t="s">
        <v>9097</v>
      </c>
    </row>
    <row r="469" spans="1:10">
      <c r="A469" s="138" t="s">
        <v>9141</v>
      </c>
      <c r="B469" s="138" t="s">
        <v>9142</v>
      </c>
      <c r="C469" s="138" t="s">
        <v>8645</v>
      </c>
      <c r="D469" s="138" t="s">
        <v>9177</v>
      </c>
      <c r="G469" s="138" t="s">
        <v>9145</v>
      </c>
      <c r="H469" s="138" t="s">
        <v>9178</v>
      </c>
      <c r="I469" s="138" t="s">
        <v>8881</v>
      </c>
      <c r="J469" s="138" t="s">
        <v>9060</v>
      </c>
    </row>
    <row r="470" spans="1:10">
      <c r="A470" s="138" t="s">
        <v>9141</v>
      </c>
      <c r="B470" s="138" t="s">
        <v>9142</v>
      </c>
      <c r="C470" s="138" t="s">
        <v>8692</v>
      </c>
      <c r="D470" s="138" t="s">
        <v>8692</v>
      </c>
      <c r="G470" s="138" t="s">
        <v>9145</v>
      </c>
      <c r="H470" s="138" t="s">
        <v>9179</v>
      </c>
      <c r="I470" s="138" t="s">
        <v>9003</v>
      </c>
      <c r="J470" s="138" t="s">
        <v>9004</v>
      </c>
    </row>
    <row r="471" spans="1:10">
      <c r="A471" s="138" t="s">
        <v>9141</v>
      </c>
      <c r="B471" s="138" t="s">
        <v>9142</v>
      </c>
      <c r="C471" s="138" t="s">
        <v>8692</v>
      </c>
      <c r="D471" s="138" t="s">
        <v>9180</v>
      </c>
      <c r="G471" s="138" t="s">
        <v>9145</v>
      </c>
      <c r="H471" s="138" t="s">
        <v>9181</v>
      </c>
      <c r="I471" s="138" t="s">
        <v>8638</v>
      </c>
      <c r="J471" s="138" t="s">
        <v>9109</v>
      </c>
    </row>
    <row r="472" spans="1:10">
      <c r="A472" s="138" t="s">
        <v>9141</v>
      </c>
      <c r="B472" s="138" t="s">
        <v>9142</v>
      </c>
      <c r="C472" s="138" t="s">
        <v>8692</v>
      </c>
      <c r="D472" s="138" t="s">
        <v>239</v>
      </c>
      <c r="G472" s="138" t="s">
        <v>9145</v>
      </c>
      <c r="H472" s="138" t="s">
        <v>9182</v>
      </c>
      <c r="I472" s="138" t="s">
        <v>9003</v>
      </c>
      <c r="J472" s="138" t="s">
        <v>9019</v>
      </c>
    </row>
    <row r="473" spans="1:10">
      <c r="A473" s="138" t="s">
        <v>9141</v>
      </c>
      <c r="B473" s="138" t="s">
        <v>9142</v>
      </c>
      <c r="C473" s="138" t="s">
        <v>8692</v>
      </c>
      <c r="D473" s="138" t="s">
        <v>9183</v>
      </c>
      <c r="G473" s="138" t="s">
        <v>9145</v>
      </c>
      <c r="H473" s="138" t="s">
        <v>9184</v>
      </c>
      <c r="I473" s="138" t="s">
        <v>9003</v>
      </c>
      <c r="J473" s="138" t="s">
        <v>9033</v>
      </c>
    </row>
    <row r="474" spans="1:10">
      <c r="A474" s="138" t="s">
        <v>9141</v>
      </c>
      <c r="B474" s="138" t="s">
        <v>9142</v>
      </c>
      <c r="C474" s="138" t="s">
        <v>8692</v>
      </c>
      <c r="D474" s="138" t="s">
        <v>9185</v>
      </c>
      <c r="G474" s="138" t="s">
        <v>9145</v>
      </c>
      <c r="H474" s="138" t="s">
        <v>9186</v>
      </c>
      <c r="I474" s="138" t="s">
        <v>9003</v>
      </c>
      <c r="J474" s="138" t="s">
        <v>9046</v>
      </c>
    </row>
    <row r="475" spans="1:10">
      <c r="A475" s="138" t="s">
        <v>9141</v>
      </c>
      <c r="B475" s="138" t="s">
        <v>9142</v>
      </c>
      <c r="C475" s="138" t="s">
        <v>8697</v>
      </c>
      <c r="D475" s="138" t="s">
        <v>8404</v>
      </c>
      <c r="G475" s="138" t="s">
        <v>9145</v>
      </c>
      <c r="H475" s="138" t="s">
        <v>9187</v>
      </c>
      <c r="I475" s="138" t="s">
        <v>8638</v>
      </c>
      <c r="J475" s="138" t="s">
        <v>9097</v>
      </c>
    </row>
    <row r="476" spans="1:10">
      <c r="A476" s="138" t="s">
        <v>9141</v>
      </c>
      <c r="B476" s="138" t="s">
        <v>9142</v>
      </c>
      <c r="C476" s="138" t="s">
        <v>8697</v>
      </c>
      <c r="D476" s="138" t="s">
        <v>8697</v>
      </c>
      <c r="G476" s="138" t="s">
        <v>9145</v>
      </c>
      <c r="H476" s="138" t="s">
        <v>9188</v>
      </c>
      <c r="I476" s="138" t="s">
        <v>9003</v>
      </c>
      <c r="J476" s="138" t="s">
        <v>9073</v>
      </c>
    </row>
    <row r="477" spans="1:10">
      <c r="A477" s="138" t="s">
        <v>9141</v>
      </c>
      <c r="B477" s="138" t="s">
        <v>9142</v>
      </c>
      <c r="C477" s="138" t="s">
        <v>8697</v>
      </c>
      <c r="D477" s="138" t="s">
        <v>9189</v>
      </c>
      <c r="G477" s="138" t="s">
        <v>9145</v>
      </c>
      <c r="H477" s="138" t="s">
        <v>9190</v>
      </c>
      <c r="I477" s="138" t="s">
        <v>9003</v>
      </c>
      <c r="J477" s="138" t="s">
        <v>9121</v>
      </c>
    </row>
    <row r="478" spans="1:10">
      <c r="A478" s="138" t="s">
        <v>9141</v>
      </c>
      <c r="B478" s="138" t="s">
        <v>9142</v>
      </c>
      <c r="C478" s="138" t="s">
        <v>8652</v>
      </c>
      <c r="D478" s="138" t="s">
        <v>9191</v>
      </c>
      <c r="G478" s="138" t="s">
        <v>9145</v>
      </c>
      <c r="H478" s="138" t="s">
        <v>9192</v>
      </c>
      <c r="I478" s="138" t="s">
        <v>8881</v>
      </c>
      <c r="J478" s="138" t="s">
        <v>9060</v>
      </c>
    </row>
    <row r="479" spans="1:10">
      <c r="A479" s="138" t="s">
        <v>9141</v>
      </c>
      <c r="B479" s="138" t="s">
        <v>9142</v>
      </c>
      <c r="C479" s="138" t="s">
        <v>8652</v>
      </c>
      <c r="D479" s="138" t="s">
        <v>9193</v>
      </c>
      <c r="G479" s="138" t="s">
        <v>9145</v>
      </c>
      <c r="H479" s="138" t="s">
        <v>9194</v>
      </c>
      <c r="I479" s="138" t="s">
        <v>9003</v>
      </c>
      <c r="J479" s="138" t="s">
        <v>9080</v>
      </c>
    </row>
    <row r="480" spans="1:10">
      <c r="A480" s="138" t="s">
        <v>9141</v>
      </c>
      <c r="B480" s="138" t="s">
        <v>9142</v>
      </c>
      <c r="C480" s="138" t="s">
        <v>8652</v>
      </c>
      <c r="D480" s="138" t="s">
        <v>9195</v>
      </c>
      <c r="G480" s="138" t="s">
        <v>9145</v>
      </c>
      <c r="H480" s="138" t="s">
        <v>9196</v>
      </c>
      <c r="I480" s="138" t="s">
        <v>9003</v>
      </c>
      <c r="J480" s="138" t="s">
        <v>9033</v>
      </c>
    </row>
    <row r="481" spans="1:10">
      <c r="A481" s="138" t="s">
        <v>9141</v>
      </c>
      <c r="B481" s="138" t="s">
        <v>9142</v>
      </c>
      <c r="C481" s="138" t="s">
        <v>8652</v>
      </c>
      <c r="D481" s="138" t="s">
        <v>9197</v>
      </c>
      <c r="G481" s="138" t="s">
        <v>9145</v>
      </c>
      <c r="H481" s="138" t="s">
        <v>9198</v>
      </c>
      <c r="I481" s="138" t="s">
        <v>9003</v>
      </c>
      <c r="J481" s="138" t="s">
        <v>9046</v>
      </c>
    </row>
    <row r="482" spans="1:10">
      <c r="A482" s="138" t="s">
        <v>9141</v>
      </c>
      <c r="B482" s="138" t="s">
        <v>9141</v>
      </c>
      <c r="C482" s="138" t="s">
        <v>9199</v>
      </c>
      <c r="D482" s="138" t="s">
        <v>9200</v>
      </c>
      <c r="G482" s="138" t="s">
        <v>9145</v>
      </c>
      <c r="H482" s="138" t="s">
        <v>9201</v>
      </c>
      <c r="I482" s="138" t="s">
        <v>8638</v>
      </c>
      <c r="J482" s="138" t="s">
        <v>9109</v>
      </c>
    </row>
    <row r="483" spans="1:10">
      <c r="A483" s="138" t="s">
        <v>9141</v>
      </c>
      <c r="B483" s="138" t="s">
        <v>9141</v>
      </c>
      <c r="C483" s="138" t="s">
        <v>9202</v>
      </c>
      <c r="D483" s="138" t="s">
        <v>9200</v>
      </c>
      <c r="G483" s="138" t="s">
        <v>9145</v>
      </c>
      <c r="H483" s="138" t="s">
        <v>9203</v>
      </c>
      <c r="I483" s="138" t="s">
        <v>9003</v>
      </c>
      <c r="J483" s="138" t="s">
        <v>9121</v>
      </c>
    </row>
    <row r="484" spans="1:10">
      <c r="A484" s="138" t="s">
        <v>9141</v>
      </c>
      <c r="B484" s="138" t="s">
        <v>9141</v>
      </c>
      <c r="C484" s="138" t="s">
        <v>8666</v>
      </c>
      <c r="D484" s="138" t="s">
        <v>9141</v>
      </c>
      <c r="G484" s="138" t="s">
        <v>9145</v>
      </c>
      <c r="H484" s="138" t="s">
        <v>9204</v>
      </c>
      <c r="I484" s="138" t="s">
        <v>9003</v>
      </c>
      <c r="J484" s="138" t="s">
        <v>9080</v>
      </c>
    </row>
    <row r="485" spans="1:10">
      <c r="A485" s="138" t="s">
        <v>9141</v>
      </c>
      <c r="B485" s="138" t="s">
        <v>9141</v>
      </c>
      <c r="C485" s="138" t="s">
        <v>8666</v>
      </c>
      <c r="D485" s="138" t="s">
        <v>9200</v>
      </c>
      <c r="G485" s="138" t="s">
        <v>9145</v>
      </c>
      <c r="H485" s="138" t="s">
        <v>9205</v>
      </c>
      <c r="I485" s="138" t="s">
        <v>9003</v>
      </c>
      <c r="J485" s="138" t="s">
        <v>9073</v>
      </c>
    </row>
    <row r="486" spans="1:10">
      <c r="A486" s="138" t="s">
        <v>9141</v>
      </c>
      <c r="B486" s="138" t="s">
        <v>9141</v>
      </c>
      <c r="C486" s="138" t="s">
        <v>8666</v>
      </c>
      <c r="D486" s="138" t="s">
        <v>9206</v>
      </c>
      <c r="G486" s="138" t="s">
        <v>9145</v>
      </c>
      <c r="H486" s="138" t="s">
        <v>9207</v>
      </c>
      <c r="I486" s="138" t="s">
        <v>9003</v>
      </c>
      <c r="J486" s="138" t="s">
        <v>9004</v>
      </c>
    </row>
    <row r="487" spans="1:10">
      <c r="A487" s="138" t="s">
        <v>9141</v>
      </c>
      <c r="B487" s="138" t="s">
        <v>9141</v>
      </c>
      <c r="C487" s="138" t="s">
        <v>8666</v>
      </c>
      <c r="D487" s="138" t="s">
        <v>8</v>
      </c>
      <c r="G487" s="138" t="s">
        <v>9145</v>
      </c>
      <c r="H487" s="138" t="s">
        <v>9208</v>
      </c>
      <c r="I487" s="138" t="s">
        <v>8638</v>
      </c>
      <c r="J487" s="138" t="s">
        <v>9109</v>
      </c>
    </row>
    <row r="488" spans="1:10">
      <c r="A488" s="138" t="s">
        <v>9141</v>
      </c>
      <c r="B488" s="138" t="s">
        <v>9141</v>
      </c>
      <c r="C488" s="138" t="s">
        <v>8666</v>
      </c>
      <c r="D488" s="138" t="s">
        <v>9209</v>
      </c>
      <c r="G488" s="138" t="s">
        <v>9145</v>
      </c>
      <c r="H488" s="138" t="s">
        <v>9210</v>
      </c>
      <c r="I488" s="138" t="s">
        <v>9003</v>
      </c>
      <c r="J488" s="138" t="s">
        <v>9130</v>
      </c>
    </row>
    <row r="489" spans="1:10">
      <c r="A489" s="138" t="s">
        <v>9141</v>
      </c>
      <c r="B489" s="138" t="s">
        <v>9141</v>
      </c>
      <c r="C489" s="138" t="s">
        <v>8666</v>
      </c>
      <c r="D489" s="138" t="s">
        <v>9211</v>
      </c>
      <c r="G489" s="138" t="s">
        <v>9145</v>
      </c>
      <c r="H489" s="138" t="s">
        <v>9212</v>
      </c>
      <c r="I489" s="138" t="s">
        <v>9003</v>
      </c>
      <c r="J489" s="138" t="s">
        <v>9004</v>
      </c>
    </row>
    <row r="490" spans="1:10">
      <c r="A490" s="138" t="e">
        <v>#N/A</v>
      </c>
      <c r="B490" s="138" t="e">
        <v>#N/A</v>
      </c>
      <c r="C490" s="138" t="s">
        <v>8666</v>
      </c>
      <c r="D490" s="138" t="e">
        <v>#N/A</v>
      </c>
      <c r="G490" s="138" t="s">
        <v>9145</v>
      </c>
      <c r="H490" s="138" t="s">
        <v>9213</v>
      </c>
      <c r="I490" s="138" t="s">
        <v>9003</v>
      </c>
      <c r="J490" s="138" t="s">
        <v>9033</v>
      </c>
    </row>
    <row r="491" spans="1:10">
      <c r="A491" s="138" t="s">
        <v>9141</v>
      </c>
      <c r="B491" s="138" t="s">
        <v>8638</v>
      </c>
      <c r="C491" s="138" t="s">
        <v>8638</v>
      </c>
      <c r="D491" s="138" t="s">
        <v>8638</v>
      </c>
      <c r="G491" s="138" t="s">
        <v>9145</v>
      </c>
      <c r="H491" s="138" t="s">
        <v>9214</v>
      </c>
      <c r="I491" s="138" t="s">
        <v>9003</v>
      </c>
      <c r="J491" s="138" t="s">
        <v>9046</v>
      </c>
    </row>
    <row r="492" spans="1:10">
      <c r="A492" s="138" t="s">
        <v>9141</v>
      </c>
      <c r="B492" s="138" t="s">
        <v>8638</v>
      </c>
      <c r="C492" s="138" t="s">
        <v>8638</v>
      </c>
      <c r="D492" s="138" t="s">
        <v>9215</v>
      </c>
      <c r="G492" s="138" t="s">
        <v>9145</v>
      </c>
      <c r="H492" s="138" t="s">
        <v>9216</v>
      </c>
      <c r="I492" s="138" t="s">
        <v>9003</v>
      </c>
      <c r="J492" s="138" t="s">
        <v>9130</v>
      </c>
    </row>
    <row r="493" spans="1:10">
      <c r="A493" s="138" t="s">
        <v>9141</v>
      </c>
      <c r="B493" s="138" t="s">
        <v>8638</v>
      </c>
      <c r="C493" s="138" t="s">
        <v>8638</v>
      </c>
      <c r="D493" s="138" t="s">
        <v>9217</v>
      </c>
      <c r="G493" s="138" t="s">
        <v>9145</v>
      </c>
      <c r="H493" s="138" t="s">
        <v>9218</v>
      </c>
      <c r="I493" s="138" t="s">
        <v>9003</v>
      </c>
      <c r="J493" s="138" t="s">
        <v>9019</v>
      </c>
    </row>
    <row r="494" spans="1:10">
      <c r="A494" s="138" t="s">
        <v>9141</v>
      </c>
      <c r="B494" s="138" t="s">
        <v>8638</v>
      </c>
      <c r="C494" s="138" t="s">
        <v>8638</v>
      </c>
      <c r="D494" s="138" t="s">
        <v>9219</v>
      </c>
      <c r="G494" s="138" t="s">
        <v>9145</v>
      </c>
      <c r="H494" s="138" t="s">
        <v>9220</v>
      </c>
      <c r="I494" s="138" t="s">
        <v>8638</v>
      </c>
      <c r="J494" s="138" t="s">
        <v>9097</v>
      </c>
    </row>
    <row r="495" spans="1:10">
      <c r="A495" s="138" t="s">
        <v>9141</v>
      </c>
      <c r="B495" s="138" t="s">
        <v>9141</v>
      </c>
      <c r="C495" s="138" t="s">
        <v>8678</v>
      </c>
      <c r="D495" s="138" t="s">
        <v>8678</v>
      </c>
      <c r="G495" s="138" t="s">
        <v>9145</v>
      </c>
      <c r="H495" s="138" t="s">
        <v>9221</v>
      </c>
      <c r="I495" s="138" t="s">
        <v>9003</v>
      </c>
      <c r="J495" s="138" t="s">
        <v>9080</v>
      </c>
    </row>
    <row r="496" spans="1:10">
      <c r="A496" s="138" t="s">
        <v>9141</v>
      </c>
      <c r="B496" s="138" t="s">
        <v>9141</v>
      </c>
      <c r="C496" s="138" t="s">
        <v>8678</v>
      </c>
      <c r="D496" s="138" t="s">
        <v>9222</v>
      </c>
      <c r="G496" s="138" t="s">
        <v>9145</v>
      </c>
      <c r="H496" s="138" t="s">
        <v>9223</v>
      </c>
      <c r="I496" s="138" t="s">
        <v>9003</v>
      </c>
      <c r="J496" s="138" t="s">
        <v>9046</v>
      </c>
    </row>
    <row r="497" spans="1:10">
      <c r="A497" s="138" t="s">
        <v>9141</v>
      </c>
      <c r="B497" s="138" t="s">
        <v>9141</v>
      </c>
      <c r="C497" s="138" t="s">
        <v>8678</v>
      </c>
      <c r="D497" s="138" t="s">
        <v>9224</v>
      </c>
      <c r="G497" s="138" t="s">
        <v>9145</v>
      </c>
      <c r="H497" s="138" t="s">
        <v>9225</v>
      </c>
      <c r="I497" s="138" t="s">
        <v>9003</v>
      </c>
      <c r="J497" s="138" t="s">
        <v>9046</v>
      </c>
    </row>
    <row r="498" spans="1:10">
      <c r="A498" s="138" t="s">
        <v>9141</v>
      </c>
      <c r="B498" s="138" t="s">
        <v>8638</v>
      </c>
      <c r="C498" s="138" t="s">
        <v>8633</v>
      </c>
      <c r="D498" s="138" t="s">
        <v>9226</v>
      </c>
      <c r="G498" s="138" t="s">
        <v>9145</v>
      </c>
      <c r="H498" s="138" t="s">
        <v>9227</v>
      </c>
      <c r="I498" s="138" t="s">
        <v>9003</v>
      </c>
      <c r="J498" s="138" t="s">
        <v>9033</v>
      </c>
    </row>
    <row r="499" spans="1:10">
      <c r="A499" s="138" t="s">
        <v>9141</v>
      </c>
      <c r="B499" s="138" t="s">
        <v>8638</v>
      </c>
      <c r="C499" s="138" t="s">
        <v>8633</v>
      </c>
      <c r="D499" s="138" t="s">
        <v>9228</v>
      </c>
      <c r="G499" s="138" t="s">
        <v>9145</v>
      </c>
      <c r="H499" s="138" t="s">
        <v>9229</v>
      </c>
      <c r="I499" s="138" t="s">
        <v>9003</v>
      </c>
      <c r="J499" s="138" t="s">
        <v>9033</v>
      </c>
    </row>
    <row r="500" spans="1:10">
      <c r="A500" s="138" t="s">
        <v>9141</v>
      </c>
      <c r="B500" s="138" t="s">
        <v>8638</v>
      </c>
      <c r="C500" s="138" t="s">
        <v>8633</v>
      </c>
      <c r="D500" s="138" t="s">
        <v>9230</v>
      </c>
      <c r="G500" s="138" t="s">
        <v>9145</v>
      </c>
      <c r="H500" s="138" t="s">
        <v>9231</v>
      </c>
      <c r="I500" s="138" t="s">
        <v>9003</v>
      </c>
      <c r="J500" s="138" t="s">
        <v>9130</v>
      </c>
    </row>
    <row r="501" spans="1:10">
      <c r="A501" s="138" t="s">
        <v>9141</v>
      </c>
      <c r="B501" s="138" t="s">
        <v>8638</v>
      </c>
      <c r="C501" s="138" t="s">
        <v>8633</v>
      </c>
      <c r="D501" s="138" t="s">
        <v>9232</v>
      </c>
      <c r="G501" s="138" t="s">
        <v>9145</v>
      </c>
      <c r="H501" s="138" t="s">
        <v>9233</v>
      </c>
      <c r="I501" s="138" t="s">
        <v>8881</v>
      </c>
      <c r="J501" s="138" t="s">
        <v>9060</v>
      </c>
    </row>
    <row r="502" spans="1:10">
      <c r="A502" s="138" t="s">
        <v>9141</v>
      </c>
      <c r="B502" s="138" t="s">
        <v>8638</v>
      </c>
      <c r="C502" s="138" t="s">
        <v>8633</v>
      </c>
      <c r="D502" s="138" t="s">
        <v>9234</v>
      </c>
      <c r="G502" s="138" t="s">
        <v>9145</v>
      </c>
      <c r="H502" s="138" t="s">
        <v>9235</v>
      </c>
      <c r="I502" s="138" t="s">
        <v>9003</v>
      </c>
      <c r="J502" s="138" t="s">
        <v>9004</v>
      </c>
    </row>
    <row r="503" spans="1:10">
      <c r="A503" s="138" t="s">
        <v>9141</v>
      </c>
      <c r="B503" s="138" t="s">
        <v>8638</v>
      </c>
      <c r="C503" s="138" t="s">
        <v>8650</v>
      </c>
      <c r="D503" s="138" t="s">
        <v>8650</v>
      </c>
      <c r="G503" s="138" t="s">
        <v>9145</v>
      </c>
      <c r="H503" s="138" t="s">
        <v>9236</v>
      </c>
      <c r="I503" s="138" t="s">
        <v>8638</v>
      </c>
      <c r="J503" s="138" t="s">
        <v>9091</v>
      </c>
    </row>
    <row r="504" spans="1:10">
      <c r="A504" s="138" t="s">
        <v>9141</v>
      </c>
      <c r="B504" s="138" t="s">
        <v>8638</v>
      </c>
      <c r="C504" s="138" t="s">
        <v>8650</v>
      </c>
      <c r="D504" s="138" t="s">
        <v>9237</v>
      </c>
      <c r="G504" s="138" t="s">
        <v>9145</v>
      </c>
      <c r="H504" s="138" t="s">
        <v>9238</v>
      </c>
      <c r="I504" s="138" t="s">
        <v>8881</v>
      </c>
      <c r="J504" s="138" t="s">
        <v>9060</v>
      </c>
    </row>
    <row r="505" spans="1:10">
      <c r="A505" s="138" t="s">
        <v>9141</v>
      </c>
      <c r="B505" s="138" t="s">
        <v>8638</v>
      </c>
      <c r="C505" s="138" t="s">
        <v>8650</v>
      </c>
      <c r="D505" s="138" t="s">
        <v>9239</v>
      </c>
      <c r="G505" s="138" t="s">
        <v>9145</v>
      </c>
      <c r="H505" s="138" t="s">
        <v>9240</v>
      </c>
      <c r="I505" s="138" t="s">
        <v>8638</v>
      </c>
      <c r="J505" s="138" t="s">
        <v>9109</v>
      </c>
    </row>
    <row r="506" spans="1:10">
      <c r="A506" s="138" t="s">
        <v>9141</v>
      </c>
      <c r="B506" s="138" t="s">
        <v>8638</v>
      </c>
      <c r="C506" s="138" t="s">
        <v>8650</v>
      </c>
      <c r="D506" s="138" t="s">
        <v>9241</v>
      </c>
      <c r="G506" s="138" t="s">
        <v>9145</v>
      </c>
      <c r="H506" s="138" t="s">
        <v>9242</v>
      </c>
      <c r="I506" s="138" t="s">
        <v>9003</v>
      </c>
      <c r="J506" s="138" t="s">
        <v>9130</v>
      </c>
    </row>
    <row r="507" spans="1:10">
      <c r="A507" s="138" t="s">
        <v>9141</v>
      </c>
      <c r="B507" s="138" t="s">
        <v>8638</v>
      </c>
      <c r="C507" s="138" t="s">
        <v>8650</v>
      </c>
      <c r="D507" s="138" t="s">
        <v>9243</v>
      </c>
      <c r="G507" s="138" t="s">
        <v>9145</v>
      </c>
      <c r="H507" s="138" t="s">
        <v>9244</v>
      </c>
      <c r="I507" s="138" t="s">
        <v>9003</v>
      </c>
      <c r="J507" s="138" t="s">
        <v>9046</v>
      </c>
    </row>
    <row r="508" spans="1:10">
      <c r="A508" s="138" t="e">
        <v>#N/A</v>
      </c>
      <c r="B508" s="138" t="e">
        <v>#N/A</v>
      </c>
      <c r="C508" s="138" t="s">
        <v>8650</v>
      </c>
      <c r="D508" s="138" t="e">
        <v>#N/A</v>
      </c>
      <c r="G508" s="138" t="s">
        <v>9245</v>
      </c>
      <c r="H508" s="138" t="s">
        <v>9246</v>
      </c>
      <c r="I508" s="138" t="s">
        <v>9258</v>
      </c>
      <c r="J508" s="138" t="s">
        <v>9247</v>
      </c>
    </row>
    <row r="509" spans="1:10">
      <c r="A509" s="138" t="s">
        <v>9141</v>
      </c>
      <c r="B509" s="138" t="s">
        <v>9141</v>
      </c>
      <c r="C509" s="138" t="s">
        <v>8647</v>
      </c>
      <c r="D509" s="138" t="s">
        <v>9248</v>
      </c>
      <c r="G509" s="138" t="s">
        <v>9245</v>
      </c>
      <c r="H509" s="138" t="s">
        <v>9249</v>
      </c>
      <c r="I509" s="138" t="s">
        <v>9663</v>
      </c>
      <c r="J509" s="138" t="s">
        <v>9250</v>
      </c>
    </row>
    <row r="510" spans="1:10">
      <c r="A510" s="138" t="s">
        <v>9141</v>
      </c>
      <c r="B510" s="138" t="s">
        <v>9141</v>
      </c>
      <c r="C510" s="138" t="s">
        <v>8647</v>
      </c>
      <c r="D510" s="138" t="s">
        <v>441</v>
      </c>
      <c r="G510" s="138" t="s">
        <v>9245</v>
      </c>
      <c r="H510" s="138" t="s">
        <v>9251</v>
      </c>
      <c r="I510" s="138" t="s">
        <v>9258</v>
      </c>
      <c r="J510" s="138" t="s">
        <v>9247</v>
      </c>
    </row>
    <row r="511" spans="1:10">
      <c r="A511" s="138" t="s">
        <v>9141</v>
      </c>
      <c r="B511" s="138" t="s">
        <v>9141</v>
      </c>
      <c r="C511" s="138" t="s">
        <v>8647</v>
      </c>
      <c r="D511" s="138" t="s">
        <v>8647</v>
      </c>
      <c r="G511" s="138" t="s">
        <v>9245</v>
      </c>
      <c r="H511" s="138" t="s">
        <v>9252</v>
      </c>
      <c r="I511" s="138" t="s">
        <v>9258</v>
      </c>
      <c r="J511" s="138" t="s">
        <v>9253</v>
      </c>
    </row>
    <row r="512" spans="1:10">
      <c r="A512" s="138" t="s">
        <v>9141</v>
      </c>
      <c r="B512" s="138" t="s">
        <v>9141</v>
      </c>
      <c r="C512" s="138" t="s">
        <v>8647</v>
      </c>
      <c r="D512" s="138" t="s">
        <v>9254</v>
      </c>
      <c r="G512" s="138" t="s">
        <v>9245</v>
      </c>
      <c r="H512" s="138" t="s">
        <v>9255</v>
      </c>
      <c r="I512" s="138" t="s">
        <v>9258</v>
      </c>
      <c r="J512" s="138" t="s">
        <v>9253</v>
      </c>
    </row>
    <row r="513" spans="1:10">
      <c r="A513" s="138" t="s">
        <v>9141</v>
      </c>
      <c r="B513" s="138" t="s">
        <v>9141</v>
      </c>
      <c r="C513" s="138" t="s">
        <v>8659</v>
      </c>
      <c r="D513" s="138" t="s">
        <v>9256</v>
      </c>
      <c r="G513" s="138" t="s">
        <v>9245</v>
      </c>
      <c r="H513" s="138" t="s">
        <v>9257</v>
      </c>
      <c r="I513" s="138" t="s">
        <v>9258</v>
      </c>
      <c r="J513" s="138" t="s">
        <v>9258</v>
      </c>
    </row>
    <row r="514" spans="1:10">
      <c r="A514" s="138" t="s">
        <v>9141</v>
      </c>
      <c r="B514" s="138" t="s">
        <v>9141</v>
      </c>
      <c r="C514" s="138" t="s">
        <v>8659</v>
      </c>
      <c r="D514" s="138" t="s">
        <v>9259</v>
      </c>
      <c r="G514" s="138" t="s">
        <v>9245</v>
      </c>
      <c r="H514" s="138" t="s">
        <v>9260</v>
      </c>
      <c r="I514" s="138" t="s">
        <v>9258</v>
      </c>
      <c r="J514" s="138" t="s">
        <v>9261</v>
      </c>
    </row>
    <row r="515" spans="1:10">
      <c r="A515" s="138" t="s">
        <v>9141</v>
      </c>
      <c r="B515" s="138" t="s">
        <v>9141</v>
      </c>
      <c r="C515" s="138" t="s">
        <v>8659</v>
      </c>
      <c r="D515" s="138" t="s">
        <v>8659</v>
      </c>
      <c r="G515" s="138" t="s">
        <v>9245</v>
      </c>
      <c r="H515" s="138" t="s">
        <v>9262</v>
      </c>
      <c r="I515" s="138" t="s">
        <v>9258</v>
      </c>
      <c r="J515" s="138" t="s">
        <v>9263</v>
      </c>
    </row>
    <row r="516" spans="1:10">
      <c r="A516" s="138" t="s">
        <v>9141</v>
      </c>
      <c r="B516" s="138" t="s">
        <v>9141</v>
      </c>
      <c r="C516" s="138" t="s">
        <v>8659</v>
      </c>
      <c r="D516" s="138" t="s">
        <v>9264</v>
      </c>
      <c r="G516" s="138" t="s">
        <v>9245</v>
      </c>
      <c r="H516" s="138" t="s">
        <v>9265</v>
      </c>
      <c r="I516" s="138" t="s">
        <v>9258</v>
      </c>
      <c r="J516" s="138" t="s">
        <v>9266</v>
      </c>
    </row>
    <row r="517" spans="1:10">
      <c r="A517" s="138" t="s">
        <v>9141</v>
      </c>
      <c r="B517" s="138" t="s">
        <v>9141</v>
      </c>
      <c r="C517" s="138" t="s">
        <v>8659</v>
      </c>
      <c r="D517" s="138" t="s">
        <v>9267</v>
      </c>
      <c r="G517" s="138" t="s">
        <v>9245</v>
      </c>
      <c r="H517" s="138" t="s">
        <v>9268</v>
      </c>
      <c r="I517" s="138" t="s">
        <v>9258</v>
      </c>
      <c r="J517" s="138" t="s">
        <v>9263</v>
      </c>
    </row>
    <row r="518" spans="1:10">
      <c r="A518" s="138" t="e">
        <v>#N/A</v>
      </c>
      <c r="B518" s="138" t="e">
        <v>#N/A</v>
      </c>
      <c r="C518" s="138" t="s">
        <v>8659</v>
      </c>
      <c r="D518" s="138" t="e">
        <v>#N/A</v>
      </c>
      <c r="G518" s="138" t="s">
        <v>9245</v>
      </c>
      <c r="H518" s="138" t="s">
        <v>9269</v>
      </c>
      <c r="I518" s="138" t="s">
        <v>9258</v>
      </c>
      <c r="J518" s="138" t="s">
        <v>9263</v>
      </c>
    </row>
    <row r="519" spans="1:10">
      <c r="A519" s="138" t="s">
        <v>9141</v>
      </c>
      <c r="B519" s="138" t="s">
        <v>9141</v>
      </c>
      <c r="C519" s="138" t="s">
        <v>8690</v>
      </c>
      <c r="D519" s="138" t="s">
        <v>9270</v>
      </c>
      <c r="G519" s="138" t="s">
        <v>9245</v>
      </c>
      <c r="H519" s="138" t="s">
        <v>9271</v>
      </c>
      <c r="I519" s="138" t="s">
        <v>9258</v>
      </c>
      <c r="J519" s="138" t="s">
        <v>9272</v>
      </c>
    </row>
    <row r="520" spans="1:10">
      <c r="A520" s="138" t="s">
        <v>9141</v>
      </c>
      <c r="B520" s="138" t="s">
        <v>9141</v>
      </c>
      <c r="C520" s="138" t="s">
        <v>8690</v>
      </c>
      <c r="D520" s="138" t="s">
        <v>9273</v>
      </c>
      <c r="G520" s="138" t="s">
        <v>9245</v>
      </c>
      <c r="H520" s="138" t="s">
        <v>1371</v>
      </c>
      <c r="I520" s="138" t="s">
        <v>9258</v>
      </c>
      <c r="J520" s="138" t="s">
        <v>9261</v>
      </c>
    </row>
    <row r="521" spans="1:10">
      <c r="A521" s="138" t="s">
        <v>9141</v>
      </c>
      <c r="B521" s="138" t="s">
        <v>9141</v>
      </c>
      <c r="C521" s="138" t="s">
        <v>8690</v>
      </c>
      <c r="D521" s="138" t="s">
        <v>9274</v>
      </c>
      <c r="G521" s="138" t="s">
        <v>9245</v>
      </c>
      <c r="H521" s="138" t="s">
        <v>9275</v>
      </c>
      <c r="I521" s="138" t="s">
        <v>9258</v>
      </c>
      <c r="J521" s="138" t="s">
        <v>9261</v>
      </c>
    </row>
    <row r="522" spans="1:10">
      <c r="A522" s="138" t="s">
        <v>9141</v>
      </c>
      <c r="B522" s="138" t="s">
        <v>9141</v>
      </c>
      <c r="C522" s="138" t="s">
        <v>8690</v>
      </c>
      <c r="D522" s="138" t="s">
        <v>9276</v>
      </c>
      <c r="G522" s="138" t="s">
        <v>9245</v>
      </c>
      <c r="H522" s="138" t="s">
        <v>9277</v>
      </c>
      <c r="I522" s="138" t="s">
        <v>9258</v>
      </c>
      <c r="J522" s="138" t="s">
        <v>9253</v>
      </c>
    </row>
    <row r="523" spans="1:10">
      <c r="A523" s="138" t="s">
        <v>9141</v>
      </c>
      <c r="B523" s="138" t="s">
        <v>9142</v>
      </c>
      <c r="C523" s="138" t="s">
        <v>8630</v>
      </c>
      <c r="D523" s="138" t="s">
        <v>9278</v>
      </c>
      <c r="G523" s="138" t="s">
        <v>9245</v>
      </c>
      <c r="H523" s="138" t="s">
        <v>9279</v>
      </c>
      <c r="I523" s="138" t="s">
        <v>9258</v>
      </c>
      <c r="J523" s="138" t="s">
        <v>9280</v>
      </c>
    </row>
    <row r="524" spans="1:10">
      <c r="A524" s="138" t="s">
        <v>9141</v>
      </c>
      <c r="B524" s="138" t="s">
        <v>9142</v>
      </c>
      <c r="C524" s="138" t="s">
        <v>8630</v>
      </c>
      <c r="D524" s="138" t="s">
        <v>9281</v>
      </c>
      <c r="G524" s="138" t="s">
        <v>9245</v>
      </c>
      <c r="H524" s="138" t="s">
        <v>9282</v>
      </c>
      <c r="I524" s="138" t="s">
        <v>9258</v>
      </c>
      <c r="J524" s="138" t="s">
        <v>9261</v>
      </c>
    </row>
    <row r="525" spans="1:10">
      <c r="A525" s="138" t="s">
        <v>9141</v>
      </c>
      <c r="B525" s="138" t="s">
        <v>9142</v>
      </c>
      <c r="C525" s="138" t="s">
        <v>8630</v>
      </c>
      <c r="D525" s="138" t="s">
        <v>9283</v>
      </c>
      <c r="G525" s="138" t="s">
        <v>9245</v>
      </c>
      <c r="H525" s="138" t="s">
        <v>9284</v>
      </c>
      <c r="I525" s="138" t="s">
        <v>9258</v>
      </c>
      <c r="J525" s="138" t="s">
        <v>9272</v>
      </c>
    </row>
    <row r="526" spans="1:10">
      <c r="A526" s="138" t="s">
        <v>9141</v>
      </c>
      <c r="B526" s="138" t="s">
        <v>9142</v>
      </c>
      <c r="C526" s="138" t="s">
        <v>8630</v>
      </c>
      <c r="D526" s="138" t="s">
        <v>8630</v>
      </c>
      <c r="G526" s="138" t="s">
        <v>9245</v>
      </c>
      <c r="H526" s="138" t="s">
        <v>9285</v>
      </c>
      <c r="I526" s="138" t="s">
        <v>9258</v>
      </c>
      <c r="J526" s="138" t="s">
        <v>9266</v>
      </c>
    </row>
    <row r="527" spans="1:10">
      <c r="A527" s="138" t="s">
        <v>9141</v>
      </c>
      <c r="B527" s="138" t="s">
        <v>9142</v>
      </c>
      <c r="C527" s="138" t="s">
        <v>8630</v>
      </c>
      <c r="D527" s="138" t="s">
        <v>9286</v>
      </c>
      <c r="G527" s="138" t="s">
        <v>9245</v>
      </c>
      <c r="H527" s="138" t="s">
        <v>9287</v>
      </c>
      <c r="I527" s="138" t="s">
        <v>9663</v>
      </c>
      <c r="J527" s="138" t="s">
        <v>9250</v>
      </c>
    </row>
    <row r="528" spans="1:10">
      <c r="A528" s="138" t="e">
        <v>#N/A</v>
      </c>
      <c r="B528" s="138" t="e">
        <v>#N/A</v>
      </c>
      <c r="C528" s="138" t="s">
        <v>8630</v>
      </c>
      <c r="D528" s="138" t="e">
        <v>#N/A</v>
      </c>
      <c r="G528" s="138" t="s">
        <v>9245</v>
      </c>
      <c r="H528" s="138" t="s">
        <v>9288</v>
      </c>
      <c r="I528" s="138" t="s">
        <v>9258</v>
      </c>
      <c r="J528" s="138" t="s">
        <v>9280</v>
      </c>
    </row>
    <row r="529" spans="1:10">
      <c r="A529" s="138" t="s">
        <v>3442</v>
      </c>
      <c r="B529" s="138" t="s">
        <v>9289</v>
      </c>
      <c r="C529" s="138" t="s">
        <v>8877</v>
      </c>
      <c r="D529" s="138" t="s">
        <v>8877</v>
      </c>
      <c r="G529" s="138" t="s">
        <v>9245</v>
      </c>
      <c r="H529" s="138" t="s">
        <v>9290</v>
      </c>
      <c r="I529" s="138" t="s">
        <v>9258</v>
      </c>
      <c r="J529" s="138" t="s">
        <v>9261</v>
      </c>
    </row>
    <row r="530" spans="1:10">
      <c r="A530" s="138" t="s">
        <v>3442</v>
      </c>
      <c r="B530" s="138" t="s">
        <v>9289</v>
      </c>
      <c r="C530" s="138" t="s">
        <v>8877</v>
      </c>
      <c r="D530" s="138" t="s">
        <v>9291</v>
      </c>
      <c r="G530" s="138" t="s">
        <v>9245</v>
      </c>
      <c r="H530" s="138" t="s">
        <v>9292</v>
      </c>
      <c r="I530" s="138" t="s">
        <v>9258</v>
      </c>
      <c r="J530" s="138" t="s">
        <v>9266</v>
      </c>
    </row>
    <row r="531" spans="1:10">
      <c r="A531" s="138" t="s">
        <v>3442</v>
      </c>
      <c r="B531" s="138" t="s">
        <v>9289</v>
      </c>
      <c r="C531" s="138" t="s">
        <v>8877</v>
      </c>
      <c r="D531" s="138" t="s">
        <v>9293</v>
      </c>
      <c r="G531" s="138" t="s">
        <v>9245</v>
      </c>
      <c r="H531" s="138" t="s">
        <v>9294</v>
      </c>
      <c r="I531" s="138" t="s">
        <v>9258</v>
      </c>
      <c r="J531" s="138" t="s">
        <v>9247</v>
      </c>
    </row>
    <row r="532" spans="1:10">
      <c r="A532" s="138" t="s">
        <v>3442</v>
      </c>
      <c r="B532" s="138" t="s">
        <v>9289</v>
      </c>
      <c r="C532" s="138" t="s">
        <v>8877</v>
      </c>
      <c r="D532" s="138" t="s">
        <v>9295</v>
      </c>
      <c r="G532" s="138" t="s">
        <v>9245</v>
      </c>
      <c r="H532" s="138" t="s">
        <v>9296</v>
      </c>
      <c r="I532" s="138" t="s">
        <v>9479</v>
      </c>
      <c r="J532" s="138" t="s">
        <v>9297</v>
      </c>
    </row>
    <row r="533" spans="1:10">
      <c r="A533" s="138" t="s">
        <v>3442</v>
      </c>
      <c r="B533" s="138" t="s">
        <v>9289</v>
      </c>
      <c r="C533" s="138" t="s">
        <v>8877</v>
      </c>
      <c r="D533" s="138" t="s">
        <v>9298</v>
      </c>
      <c r="G533" s="138" t="s">
        <v>9245</v>
      </c>
      <c r="H533" s="138" t="s">
        <v>9299</v>
      </c>
      <c r="I533" s="138" t="s">
        <v>9258</v>
      </c>
      <c r="J533" s="138" t="s">
        <v>9253</v>
      </c>
    </row>
    <row r="534" spans="1:10">
      <c r="A534" s="138" t="s">
        <v>3442</v>
      </c>
      <c r="B534" s="138" t="s">
        <v>9289</v>
      </c>
      <c r="C534" s="138" t="s">
        <v>8861</v>
      </c>
      <c r="D534" s="138" t="s">
        <v>9300</v>
      </c>
      <c r="G534" s="138" t="s">
        <v>9245</v>
      </c>
      <c r="H534" s="138" t="s">
        <v>9301</v>
      </c>
      <c r="I534" s="138" t="s">
        <v>9479</v>
      </c>
      <c r="J534" s="138" t="s">
        <v>9297</v>
      </c>
    </row>
    <row r="535" spans="1:10">
      <c r="A535" s="138" t="s">
        <v>3442</v>
      </c>
      <c r="B535" s="138" t="s">
        <v>9289</v>
      </c>
      <c r="C535" s="138" t="s">
        <v>8861</v>
      </c>
      <c r="D535" s="138" t="s">
        <v>9298</v>
      </c>
      <c r="G535" s="138" t="s">
        <v>9245</v>
      </c>
      <c r="H535" s="138" t="s">
        <v>9302</v>
      </c>
      <c r="I535" s="138" t="s">
        <v>9258</v>
      </c>
      <c r="J535" s="138" t="s">
        <v>9272</v>
      </c>
    </row>
    <row r="536" spans="1:10">
      <c r="A536" s="138" t="s">
        <v>3442</v>
      </c>
      <c r="B536" s="138" t="s">
        <v>9289</v>
      </c>
      <c r="C536" s="138" t="s">
        <v>8861</v>
      </c>
      <c r="D536" s="138" t="s">
        <v>9303</v>
      </c>
      <c r="G536" s="138" t="s">
        <v>9245</v>
      </c>
      <c r="H536" s="138" t="s">
        <v>9304</v>
      </c>
      <c r="I536" s="138" t="s">
        <v>9479</v>
      </c>
      <c r="J536" s="138" t="s">
        <v>9297</v>
      </c>
    </row>
    <row r="537" spans="1:10">
      <c r="A537" s="138" t="s">
        <v>3442</v>
      </c>
      <c r="B537" s="138" t="s">
        <v>9289</v>
      </c>
      <c r="C537" s="138" t="s">
        <v>8861</v>
      </c>
      <c r="D537" s="138" t="s">
        <v>9305</v>
      </c>
      <c r="G537" s="138" t="s">
        <v>9245</v>
      </c>
      <c r="H537" s="138" t="s">
        <v>9306</v>
      </c>
      <c r="I537" s="138" t="s">
        <v>9258</v>
      </c>
      <c r="J537" s="138" t="s">
        <v>9266</v>
      </c>
    </row>
    <row r="538" spans="1:10">
      <c r="A538" s="138" t="s">
        <v>3442</v>
      </c>
      <c r="B538" s="138" t="s">
        <v>9289</v>
      </c>
      <c r="C538" s="138" t="s">
        <v>8861</v>
      </c>
      <c r="D538" s="138" t="s">
        <v>9307</v>
      </c>
      <c r="G538" s="138" t="s">
        <v>9245</v>
      </c>
      <c r="H538" s="138" t="s">
        <v>9308</v>
      </c>
      <c r="I538" s="138" t="s">
        <v>9258</v>
      </c>
      <c r="J538" s="138" t="s">
        <v>9247</v>
      </c>
    </row>
    <row r="539" spans="1:10">
      <c r="A539" s="138" t="s">
        <v>3442</v>
      </c>
      <c r="B539" s="138" t="s">
        <v>9289</v>
      </c>
      <c r="C539" s="138" t="s">
        <v>8767</v>
      </c>
      <c r="D539" s="138" t="s">
        <v>9309</v>
      </c>
      <c r="G539" s="138" t="s">
        <v>9245</v>
      </c>
      <c r="H539" s="138" t="s">
        <v>9310</v>
      </c>
      <c r="I539" s="138" t="s">
        <v>9663</v>
      </c>
      <c r="J539" s="138" t="s">
        <v>9250</v>
      </c>
    </row>
    <row r="540" spans="1:10">
      <c r="A540" s="138" t="s">
        <v>3442</v>
      </c>
      <c r="B540" s="138" t="s">
        <v>9289</v>
      </c>
      <c r="C540" s="138" t="s">
        <v>8767</v>
      </c>
      <c r="D540" s="138" t="s">
        <v>8767</v>
      </c>
      <c r="G540" s="138" t="s">
        <v>9245</v>
      </c>
      <c r="H540" s="138" t="s">
        <v>9311</v>
      </c>
      <c r="I540" s="138" t="s">
        <v>9258</v>
      </c>
      <c r="J540" s="138" t="s">
        <v>9263</v>
      </c>
    </row>
    <row r="541" spans="1:10">
      <c r="A541" s="138" t="s">
        <v>3442</v>
      </c>
      <c r="B541" s="138" t="s">
        <v>9289</v>
      </c>
      <c r="C541" s="138" t="s">
        <v>8767</v>
      </c>
      <c r="D541" s="138" t="s">
        <v>9312</v>
      </c>
      <c r="G541" s="138" t="s">
        <v>9245</v>
      </c>
      <c r="H541" s="138" t="s">
        <v>9245</v>
      </c>
      <c r="I541" s="138" t="s">
        <v>9258</v>
      </c>
      <c r="J541" s="138" t="s">
        <v>9258</v>
      </c>
    </row>
    <row r="542" spans="1:10">
      <c r="A542" s="138" t="s">
        <v>3442</v>
      </c>
      <c r="B542" s="138" t="s">
        <v>9289</v>
      </c>
      <c r="C542" s="138" t="s">
        <v>8767</v>
      </c>
      <c r="D542" s="138" t="s">
        <v>9313</v>
      </c>
      <c r="G542" s="138" t="s">
        <v>9245</v>
      </c>
      <c r="H542" s="138" t="s">
        <v>9314</v>
      </c>
      <c r="I542" s="138" t="s">
        <v>9258</v>
      </c>
      <c r="J542" s="138" t="s">
        <v>9272</v>
      </c>
    </row>
    <row r="543" spans="1:10">
      <c r="A543" s="138" t="s">
        <v>3442</v>
      </c>
      <c r="B543" s="138" t="s">
        <v>9289</v>
      </c>
      <c r="C543" s="138" t="s">
        <v>8767</v>
      </c>
      <c r="D543" s="138" t="s">
        <v>9315</v>
      </c>
      <c r="G543" s="138" t="s">
        <v>9245</v>
      </c>
      <c r="H543" s="138" t="s">
        <v>9316</v>
      </c>
      <c r="I543" s="138" t="s">
        <v>9258</v>
      </c>
      <c r="J543" s="138" t="s">
        <v>9280</v>
      </c>
    </row>
    <row r="544" spans="1:10">
      <c r="A544" s="138" t="s">
        <v>3442</v>
      </c>
      <c r="B544" s="138" t="s">
        <v>9289</v>
      </c>
      <c r="C544" s="138" t="s">
        <v>8767</v>
      </c>
      <c r="D544" s="138" t="s">
        <v>9317</v>
      </c>
      <c r="G544" s="138" t="s">
        <v>9245</v>
      </c>
      <c r="H544" s="138" t="s">
        <v>9318</v>
      </c>
      <c r="I544" s="138" t="s">
        <v>9479</v>
      </c>
      <c r="J544" s="138" t="s">
        <v>9297</v>
      </c>
    </row>
    <row r="545" spans="1:10">
      <c r="A545" s="138" t="e">
        <v>#N/A</v>
      </c>
      <c r="B545" s="138" t="e">
        <v>#N/A</v>
      </c>
      <c r="C545" s="138" t="s">
        <v>8767</v>
      </c>
      <c r="D545" s="138" t="e">
        <v>#N/A</v>
      </c>
      <c r="G545" s="138" t="s">
        <v>9245</v>
      </c>
      <c r="H545" s="138" t="s">
        <v>9319</v>
      </c>
      <c r="I545" s="138" t="s">
        <v>9663</v>
      </c>
      <c r="J545" s="138" t="s">
        <v>9250</v>
      </c>
    </row>
    <row r="546" spans="1:10">
      <c r="A546" s="138" t="s">
        <v>3442</v>
      </c>
      <c r="B546" s="138" t="s">
        <v>9289</v>
      </c>
      <c r="C546" s="138" t="s">
        <v>8939</v>
      </c>
      <c r="D546" s="138" t="s">
        <v>9320</v>
      </c>
      <c r="G546" s="138" t="s">
        <v>9321</v>
      </c>
      <c r="H546" s="138" t="s">
        <v>9322</v>
      </c>
      <c r="I546" s="138" t="s">
        <v>9605</v>
      </c>
      <c r="J546" s="138" t="s">
        <v>9323</v>
      </c>
    </row>
    <row r="547" spans="1:10">
      <c r="A547" s="138" t="s">
        <v>3442</v>
      </c>
      <c r="B547" s="138" t="s">
        <v>9289</v>
      </c>
      <c r="C547" s="138" t="s">
        <v>8942</v>
      </c>
      <c r="D547" s="138" t="s">
        <v>9320</v>
      </c>
      <c r="G547" s="138" t="s">
        <v>9321</v>
      </c>
      <c r="H547" s="138" t="s">
        <v>9324</v>
      </c>
      <c r="I547" s="138" t="s">
        <v>9604</v>
      </c>
      <c r="J547" s="138" t="s">
        <v>9325</v>
      </c>
    </row>
    <row r="548" spans="1:10">
      <c r="A548" s="138" t="s">
        <v>3442</v>
      </c>
      <c r="B548" s="138" t="s">
        <v>9289</v>
      </c>
      <c r="C548" s="138" t="s">
        <v>9326</v>
      </c>
      <c r="D548" s="138" t="s">
        <v>9320</v>
      </c>
      <c r="G548" s="138" t="s">
        <v>9321</v>
      </c>
      <c r="H548" s="138" t="s">
        <v>9327</v>
      </c>
      <c r="I548" s="138" t="s">
        <v>9554</v>
      </c>
      <c r="J548" s="138" t="s">
        <v>9328</v>
      </c>
    </row>
    <row r="549" spans="1:10">
      <c r="A549" s="138" t="s">
        <v>3442</v>
      </c>
      <c r="B549" s="138" t="s">
        <v>3442</v>
      </c>
      <c r="C549" s="138" t="s">
        <v>8888</v>
      </c>
      <c r="D549" s="138" t="s">
        <v>9329</v>
      </c>
      <c r="G549" s="138" t="s">
        <v>9321</v>
      </c>
      <c r="H549" s="138" t="s">
        <v>9330</v>
      </c>
      <c r="I549" s="138" t="s">
        <v>9554</v>
      </c>
      <c r="J549" s="138" t="s">
        <v>9328</v>
      </c>
    </row>
    <row r="550" spans="1:10">
      <c r="A550" s="138" t="s">
        <v>3442</v>
      </c>
      <c r="B550" s="138" t="s">
        <v>3442</v>
      </c>
      <c r="C550" s="138" t="s">
        <v>8888</v>
      </c>
      <c r="D550" s="138" t="s">
        <v>8888</v>
      </c>
      <c r="G550" s="138" t="s">
        <v>9321</v>
      </c>
      <c r="H550" s="138" t="s">
        <v>8081</v>
      </c>
      <c r="I550" s="138" t="s">
        <v>9605</v>
      </c>
      <c r="J550" s="138" t="s">
        <v>9331</v>
      </c>
    </row>
    <row r="551" spans="1:10">
      <c r="A551" s="138" t="s">
        <v>3442</v>
      </c>
      <c r="B551" s="138" t="s">
        <v>3442</v>
      </c>
      <c r="C551" s="138" t="s">
        <v>8888</v>
      </c>
      <c r="D551" s="138" t="s">
        <v>9332</v>
      </c>
      <c r="G551" s="138" t="s">
        <v>9321</v>
      </c>
      <c r="H551" s="138" t="s">
        <v>9333</v>
      </c>
      <c r="I551" s="138" t="s">
        <v>9604</v>
      </c>
      <c r="J551" s="138" t="s">
        <v>9325</v>
      </c>
    </row>
    <row r="552" spans="1:10">
      <c r="A552" s="138" t="s">
        <v>3442</v>
      </c>
      <c r="B552" s="138" t="s">
        <v>3442</v>
      </c>
      <c r="C552" s="138" t="s">
        <v>8888</v>
      </c>
      <c r="D552" s="138" t="s">
        <v>9334</v>
      </c>
      <c r="G552" s="138" t="s">
        <v>9321</v>
      </c>
      <c r="H552" s="138" t="s">
        <v>9335</v>
      </c>
      <c r="I552" s="138" t="s">
        <v>9605</v>
      </c>
      <c r="J552" s="138" t="s">
        <v>9336</v>
      </c>
    </row>
    <row r="553" spans="1:10">
      <c r="A553" s="138" t="s">
        <v>3442</v>
      </c>
      <c r="B553" s="138" t="s">
        <v>3442</v>
      </c>
      <c r="C553" s="138" t="s">
        <v>8888</v>
      </c>
      <c r="D553" s="138" t="s">
        <v>9337</v>
      </c>
      <c r="G553" s="138" t="s">
        <v>9321</v>
      </c>
      <c r="H553" s="138" t="s">
        <v>9338</v>
      </c>
      <c r="I553" s="138" t="s">
        <v>9605</v>
      </c>
      <c r="J553" s="138" t="s">
        <v>9339</v>
      </c>
    </row>
    <row r="554" spans="1:10">
      <c r="A554" s="138" t="e">
        <v>#N/A</v>
      </c>
      <c r="B554" s="138" t="e">
        <v>#N/A</v>
      </c>
      <c r="C554" s="138" t="s">
        <v>8888</v>
      </c>
      <c r="D554" s="138" t="e">
        <v>#N/A</v>
      </c>
      <c r="G554" s="138" t="s">
        <v>9321</v>
      </c>
      <c r="H554" s="138" t="s">
        <v>9340</v>
      </c>
      <c r="I554" s="138" t="s">
        <v>9554</v>
      </c>
      <c r="J554" s="138" t="s">
        <v>9341</v>
      </c>
    </row>
    <row r="555" spans="1:10">
      <c r="A555" s="138" t="s">
        <v>3442</v>
      </c>
      <c r="B555" s="138" t="s">
        <v>3442</v>
      </c>
      <c r="C555" s="138" t="s">
        <v>8585</v>
      </c>
      <c r="D555" s="138" t="s">
        <v>9342</v>
      </c>
      <c r="G555" s="138" t="s">
        <v>9321</v>
      </c>
      <c r="H555" s="138" t="s">
        <v>9343</v>
      </c>
      <c r="I555" s="138" t="s">
        <v>9605</v>
      </c>
      <c r="J555" s="138" t="s">
        <v>9336</v>
      </c>
    </row>
    <row r="556" spans="1:10">
      <c r="A556" s="138" t="s">
        <v>3442</v>
      </c>
      <c r="B556" s="138" t="s">
        <v>3442</v>
      </c>
      <c r="C556" s="138" t="s">
        <v>8585</v>
      </c>
      <c r="D556" s="138" t="s">
        <v>9344</v>
      </c>
      <c r="G556" s="138" t="s">
        <v>9321</v>
      </c>
      <c r="H556" s="138" t="s">
        <v>9345</v>
      </c>
      <c r="I556" s="138" t="s">
        <v>9605</v>
      </c>
      <c r="J556" s="138" t="s">
        <v>9339</v>
      </c>
    </row>
    <row r="557" spans="1:10">
      <c r="A557" s="138" t="s">
        <v>3442</v>
      </c>
      <c r="B557" s="138" t="s">
        <v>3442</v>
      </c>
      <c r="C557" s="138" t="s">
        <v>8585</v>
      </c>
      <c r="D557" s="138" t="s">
        <v>9346</v>
      </c>
      <c r="G557" s="138" t="s">
        <v>9321</v>
      </c>
      <c r="H557" s="138" t="s">
        <v>9347</v>
      </c>
      <c r="I557" s="138" t="s">
        <v>9554</v>
      </c>
      <c r="J557" s="138" t="s">
        <v>9328</v>
      </c>
    </row>
    <row r="558" spans="1:10">
      <c r="A558" s="138" t="s">
        <v>3442</v>
      </c>
      <c r="B558" s="138" t="s">
        <v>3442</v>
      </c>
      <c r="C558" s="138" t="s">
        <v>8585</v>
      </c>
      <c r="D558" s="138" t="s">
        <v>9348</v>
      </c>
      <c r="G558" s="138" t="s">
        <v>9321</v>
      </c>
      <c r="H558" s="138" t="s">
        <v>9349</v>
      </c>
      <c r="I558" s="138" t="s">
        <v>9554</v>
      </c>
      <c r="J558" s="138" t="s">
        <v>9341</v>
      </c>
    </row>
    <row r="559" spans="1:10">
      <c r="A559" s="138" t="s">
        <v>3442</v>
      </c>
      <c r="B559" s="138" t="s">
        <v>3442</v>
      </c>
      <c r="C559" s="138" t="s">
        <v>8585</v>
      </c>
      <c r="D559" s="138" t="s">
        <v>9350</v>
      </c>
      <c r="G559" s="138" t="s">
        <v>9321</v>
      </c>
      <c r="H559" s="138" t="s">
        <v>9351</v>
      </c>
      <c r="I559" s="138" t="s">
        <v>9554</v>
      </c>
      <c r="J559" s="138" t="s">
        <v>9341</v>
      </c>
    </row>
    <row r="560" spans="1:10">
      <c r="A560" s="138" t="s">
        <v>3442</v>
      </c>
      <c r="B560" s="138" t="s">
        <v>3442</v>
      </c>
      <c r="C560" s="138" t="s">
        <v>8852</v>
      </c>
      <c r="D560" s="138" t="s">
        <v>9352</v>
      </c>
      <c r="G560" s="138" t="s">
        <v>9321</v>
      </c>
      <c r="H560" s="138" t="s">
        <v>9353</v>
      </c>
      <c r="I560" s="138" t="s">
        <v>9604</v>
      </c>
      <c r="J560" s="138" t="s">
        <v>9354</v>
      </c>
    </row>
    <row r="561" spans="1:10">
      <c r="A561" s="138" t="s">
        <v>3442</v>
      </c>
      <c r="B561" s="138" t="s">
        <v>3442</v>
      </c>
      <c r="C561" s="138" t="s">
        <v>8852</v>
      </c>
      <c r="D561" s="138" t="s">
        <v>9355</v>
      </c>
      <c r="G561" s="138" t="s">
        <v>9321</v>
      </c>
      <c r="H561" s="138" t="s">
        <v>9356</v>
      </c>
      <c r="I561" s="138" t="s">
        <v>9605</v>
      </c>
      <c r="J561" s="138" t="s">
        <v>9357</v>
      </c>
    </row>
    <row r="562" spans="1:10">
      <c r="A562" s="138" t="s">
        <v>3442</v>
      </c>
      <c r="B562" s="138" t="s">
        <v>3442</v>
      </c>
      <c r="C562" s="138" t="s">
        <v>8852</v>
      </c>
      <c r="D562" s="138" t="s">
        <v>9358</v>
      </c>
      <c r="G562" s="138" t="s">
        <v>9321</v>
      </c>
      <c r="H562" s="138" t="s">
        <v>9359</v>
      </c>
      <c r="I562" s="138" t="s">
        <v>9554</v>
      </c>
      <c r="J562" s="138" t="s">
        <v>9328</v>
      </c>
    </row>
    <row r="563" spans="1:10">
      <c r="A563" s="138" t="s">
        <v>3442</v>
      </c>
      <c r="B563" s="138" t="s">
        <v>3442</v>
      </c>
      <c r="C563" s="138" t="s">
        <v>8852</v>
      </c>
      <c r="D563" s="138" t="s">
        <v>8852</v>
      </c>
      <c r="G563" s="138" t="s">
        <v>9321</v>
      </c>
      <c r="H563" s="138" t="s">
        <v>9360</v>
      </c>
      <c r="I563" s="138" t="s">
        <v>9605</v>
      </c>
      <c r="J563" s="138" t="s">
        <v>9339</v>
      </c>
    </row>
    <row r="564" spans="1:10">
      <c r="A564" s="138" t="s">
        <v>3442</v>
      </c>
      <c r="B564" s="138" t="s">
        <v>3442</v>
      </c>
      <c r="C564" s="138" t="s">
        <v>8852</v>
      </c>
      <c r="D564" s="138" t="s">
        <v>606</v>
      </c>
      <c r="G564" s="138" t="s">
        <v>9321</v>
      </c>
      <c r="H564" s="138" t="s">
        <v>9361</v>
      </c>
      <c r="I564" s="138" t="s">
        <v>9605</v>
      </c>
      <c r="J564" s="138" t="s">
        <v>9323</v>
      </c>
    </row>
    <row r="565" spans="1:10">
      <c r="A565" s="138" t="s">
        <v>3442</v>
      </c>
      <c r="B565" s="138" t="s">
        <v>3442</v>
      </c>
      <c r="C565" s="138" t="s">
        <v>8852</v>
      </c>
      <c r="D565" s="138" t="s">
        <v>9362</v>
      </c>
      <c r="G565" s="138" t="s">
        <v>9321</v>
      </c>
      <c r="H565" s="138" t="s">
        <v>9363</v>
      </c>
      <c r="I565" s="138" t="s">
        <v>9605</v>
      </c>
      <c r="J565" s="138" t="s">
        <v>9364</v>
      </c>
    </row>
    <row r="566" spans="1:10">
      <c r="A566" s="138" t="e">
        <v>#N/A</v>
      </c>
      <c r="B566" s="138" t="e">
        <v>#N/A</v>
      </c>
      <c r="C566" s="138" t="s">
        <v>8852</v>
      </c>
      <c r="D566" s="138" t="e">
        <v>#N/A</v>
      </c>
      <c r="G566" s="138" t="s">
        <v>9321</v>
      </c>
      <c r="H566" s="138" t="s">
        <v>9365</v>
      </c>
      <c r="I566" s="138" t="s">
        <v>9554</v>
      </c>
      <c r="J566" s="138" t="s">
        <v>9341</v>
      </c>
    </row>
    <row r="567" spans="1:10">
      <c r="A567" s="138" t="s">
        <v>3442</v>
      </c>
      <c r="B567" s="138" t="s">
        <v>3442</v>
      </c>
      <c r="C567" s="138" t="s">
        <v>8894</v>
      </c>
      <c r="D567" s="138" t="s">
        <v>8894</v>
      </c>
      <c r="G567" s="138" t="s">
        <v>9321</v>
      </c>
      <c r="H567" s="138" t="s">
        <v>9366</v>
      </c>
      <c r="I567" s="138" t="s">
        <v>9605</v>
      </c>
      <c r="J567" s="138" t="s">
        <v>9339</v>
      </c>
    </row>
    <row r="568" spans="1:10">
      <c r="A568" s="138" t="s">
        <v>3442</v>
      </c>
      <c r="B568" s="138" t="s">
        <v>3442</v>
      </c>
      <c r="C568" s="138" t="s">
        <v>8894</v>
      </c>
      <c r="D568" s="138" t="s">
        <v>9367</v>
      </c>
      <c r="G568" s="138" t="s">
        <v>9321</v>
      </c>
      <c r="H568" s="138" t="s">
        <v>9368</v>
      </c>
      <c r="I568" s="138" t="s">
        <v>9605</v>
      </c>
      <c r="J568" s="138" t="s">
        <v>9357</v>
      </c>
    </row>
    <row r="569" spans="1:10">
      <c r="A569" s="138" t="e">
        <v>#N/A</v>
      </c>
      <c r="B569" s="138" t="e">
        <v>#N/A</v>
      </c>
      <c r="C569" s="138" t="s">
        <v>8894</v>
      </c>
      <c r="D569" s="138" t="e">
        <v>#N/A</v>
      </c>
      <c r="G569" s="138" t="s">
        <v>9321</v>
      </c>
      <c r="H569" s="138" t="s">
        <v>9369</v>
      </c>
      <c r="I569" s="138" t="s">
        <v>9605</v>
      </c>
      <c r="J569" s="138" t="s">
        <v>9331</v>
      </c>
    </row>
    <row r="570" spans="1:10">
      <c r="A570" s="138" t="s">
        <v>3442</v>
      </c>
      <c r="B570" s="138" t="s">
        <v>3442</v>
      </c>
      <c r="C570" s="138" t="s">
        <v>8854</v>
      </c>
      <c r="D570" s="138" t="s">
        <v>9370</v>
      </c>
      <c r="G570" s="138" t="s">
        <v>9321</v>
      </c>
      <c r="H570" s="138" t="s">
        <v>9371</v>
      </c>
      <c r="I570" s="138" t="s">
        <v>9554</v>
      </c>
      <c r="J570" s="138" t="s">
        <v>9328</v>
      </c>
    </row>
    <row r="571" spans="1:10">
      <c r="A571" s="138" t="s">
        <v>3442</v>
      </c>
      <c r="B571" s="138" t="s">
        <v>3442</v>
      </c>
      <c r="C571" s="138" t="s">
        <v>8854</v>
      </c>
      <c r="D571" s="138" t="s">
        <v>8854</v>
      </c>
      <c r="G571" s="138" t="s">
        <v>9321</v>
      </c>
      <c r="H571" s="138" t="s">
        <v>9372</v>
      </c>
      <c r="I571" s="138" t="s">
        <v>9605</v>
      </c>
      <c r="J571" s="138" t="s">
        <v>9364</v>
      </c>
    </row>
    <row r="572" spans="1:10">
      <c r="A572" s="138" t="s">
        <v>3442</v>
      </c>
      <c r="B572" s="138" t="s">
        <v>3442</v>
      </c>
      <c r="C572" s="138" t="s">
        <v>8854</v>
      </c>
      <c r="D572" s="138" t="s">
        <v>9291</v>
      </c>
      <c r="G572" s="138" t="s">
        <v>9321</v>
      </c>
      <c r="H572" s="138" t="s">
        <v>9373</v>
      </c>
      <c r="I572" s="138" t="s">
        <v>9605</v>
      </c>
      <c r="J572" s="138" t="s">
        <v>9357</v>
      </c>
    </row>
    <row r="573" spans="1:10">
      <c r="A573" s="138" t="s">
        <v>3442</v>
      </c>
      <c r="B573" s="138" t="s">
        <v>3442</v>
      </c>
      <c r="C573" s="138" t="s">
        <v>8854</v>
      </c>
      <c r="D573" s="138" t="s">
        <v>9374</v>
      </c>
      <c r="G573" s="138" t="s">
        <v>9321</v>
      </c>
      <c r="H573" s="138" t="s">
        <v>9375</v>
      </c>
      <c r="I573" s="138" t="s">
        <v>9605</v>
      </c>
      <c r="J573" s="138" t="s">
        <v>9357</v>
      </c>
    </row>
    <row r="574" spans="1:10">
      <c r="A574" s="138" t="s">
        <v>3442</v>
      </c>
      <c r="B574" s="138" t="s">
        <v>3442</v>
      </c>
      <c r="C574" s="138" t="s">
        <v>8854</v>
      </c>
      <c r="D574" s="138" t="s">
        <v>9376</v>
      </c>
      <c r="G574" s="138" t="s">
        <v>9321</v>
      </c>
      <c r="H574" s="138" t="s">
        <v>9377</v>
      </c>
      <c r="I574" s="138" t="s">
        <v>9554</v>
      </c>
      <c r="J574" s="138" t="s">
        <v>9341</v>
      </c>
    </row>
    <row r="575" spans="1:10">
      <c r="A575" s="138" t="s">
        <v>3442</v>
      </c>
      <c r="B575" s="138" t="s">
        <v>9378</v>
      </c>
      <c r="C575" s="138" t="s">
        <v>8880</v>
      </c>
      <c r="D575" s="138" t="s">
        <v>9379</v>
      </c>
      <c r="G575" s="138" t="s">
        <v>9321</v>
      </c>
      <c r="H575" s="138" t="s">
        <v>9380</v>
      </c>
      <c r="I575" s="138" t="s">
        <v>9604</v>
      </c>
      <c r="J575" s="138" t="s">
        <v>9325</v>
      </c>
    </row>
    <row r="576" spans="1:10">
      <c r="A576" s="138" t="s">
        <v>3442</v>
      </c>
      <c r="B576" s="138" t="s">
        <v>9378</v>
      </c>
      <c r="C576" s="138" t="s">
        <v>8880</v>
      </c>
      <c r="D576" s="138" t="s">
        <v>9381</v>
      </c>
      <c r="G576" s="138" t="s">
        <v>9321</v>
      </c>
      <c r="H576" s="138" t="s">
        <v>9382</v>
      </c>
      <c r="I576" s="138" t="s">
        <v>9605</v>
      </c>
      <c r="J576" s="138" t="s">
        <v>9383</v>
      </c>
    </row>
    <row r="577" spans="1:10">
      <c r="A577" s="138" t="s">
        <v>3442</v>
      </c>
      <c r="B577" s="138" t="s">
        <v>9378</v>
      </c>
      <c r="C577" s="138" t="s">
        <v>8880</v>
      </c>
      <c r="D577" s="138" t="s">
        <v>8880</v>
      </c>
      <c r="G577" s="138" t="s">
        <v>9321</v>
      </c>
      <c r="H577" s="138" t="s">
        <v>9384</v>
      </c>
      <c r="I577" s="138" t="s">
        <v>9605</v>
      </c>
      <c r="J577" s="138" t="s">
        <v>9364</v>
      </c>
    </row>
    <row r="578" spans="1:10">
      <c r="A578" s="138" t="s">
        <v>3442</v>
      </c>
      <c r="B578" s="138" t="s">
        <v>9378</v>
      </c>
      <c r="C578" s="138" t="s">
        <v>8880</v>
      </c>
      <c r="D578" s="138" t="s">
        <v>9385</v>
      </c>
      <c r="G578" s="138" t="s">
        <v>9321</v>
      </c>
      <c r="H578" s="138" t="s">
        <v>9386</v>
      </c>
      <c r="I578" s="138" t="s">
        <v>9554</v>
      </c>
      <c r="J578" s="138" t="s">
        <v>9328</v>
      </c>
    </row>
    <row r="579" spans="1:10">
      <c r="A579" s="138" t="e">
        <v>#N/A</v>
      </c>
      <c r="B579" s="138" t="e">
        <v>#N/A</v>
      </c>
      <c r="C579" s="138" t="s">
        <v>8880</v>
      </c>
      <c r="D579" s="138" t="e">
        <v>#N/A</v>
      </c>
      <c r="G579" s="138" t="s">
        <v>9321</v>
      </c>
      <c r="H579" s="138" t="s">
        <v>9387</v>
      </c>
      <c r="I579" s="138" t="s">
        <v>9604</v>
      </c>
      <c r="J579" s="138" t="s">
        <v>9354</v>
      </c>
    </row>
    <row r="580" spans="1:10">
      <c r="A580" s="138" t="s">
        <v>3442</v>
      </c>
      <c r="B580" s="138" t="s">
        <v>3442</v>
      </c>
      <c r="C580" s="138" t="s">
        <v>8856</v>
      </c>
      <c r="D580" s="138" t="s">
        <v>9317</v>
      </c>
      <c r="G580" s="138" t="s">
        <v>9321</v>
      </c>
      <c r="H580" s="138" t="s">
        <v>9388</v>
      </c>
      <c r="I580" s="138" t="s">
        <v>9605</v>
      </c>
      <c r="J580" s="138" t="s">
        <v>9383</v>
      </c>
    </row>
    <row r="581" spans="1:10">
      <c r="A581" s="138" t="s">
        <v>3442</v>
      </c>
      <c r="B581" s="138" t="s">
        <v>3442</v>
      </c>
      <c r="C581" s="138" t="s">
        <v>8856</v>
      </c>
      <c r="D581" s="138" t="s">
        <v>8856</v>
      </c>
      <c r="G581" s="138" t="s">
        <v>9321</v>
      </c>
      <c r="H581" s="138" t="s">
        <v>9389</v>
      </c>
      <c r="I581" s="138" t="s">
        <v>9605</v>
      </c>
      <c r="J581" s="138" t="s">
        <v>9331</v>
      </c>
    </row>
    <row r="582" spans="1:10">
      <c r="A582" s="138" t="s">
        <v>3442</v>
      </c>
      <c r="B582" s="138" t="s">
        <v>3442</v>
      </c>
      <c r="C582" s="138" t="s">
        <v>8856</v>
      </c>
      <c r="D582" s="138" t="s">
        <v>9390</v>
      </c>
      <c r="G582" s="138" t="s">
        <v>9321</v>
      </c>
      <c r="H582" s="138" t="s">
        <v>9391</v>
      </c>
      <c r="I582" s="138" t="s">
        <v>9605</v>
      </c>
      <c r="J582" s="138" t="s">
        <v>9336</v>
      </c>
    </row>
    <row r="583" spans="1:10">
      <c r="A583" s="138" t="s">
        <v>3442</v>
      </c>
      <c r="B583" s="138" t="s">
        <v>3442</v>
      </c>
      <c r="C583" s="138" t="s">
        <v>8856</v>
      </c>
      <c r="D583" s="138" t="s">
        <v>9392</v>
      </c>
      <c r="G583" s="138" t="s">
        <v>9321</v>
      </c>
      <c r="H583" s="138" t="s">
        <v>9393</v>
      </c>
      <c r="I583" s="138" t="s">
        <v>9605</v>
      </c>
      <c r="J583" s="138" t="s">
        <v>9336</v>
      </c>
    </row>
    <row r="584" spans="1:10">
      <c r="A584" s="138" t="e">
        <v>#N/A</v>
      </c>
      <c r="B584" s="138" t="e">
        <v>#N/A</v>
      </c>
      <c r="C584" s="138" t="s">
        <v>8856</v>
      </c>
      <c r="D584" s="138" t="e">
        <v>#N/A</v>
      </c>
      <c r="G584" s="138" t="s">
        <v>9321</v>
      </c>
      <c r="H584" s="138" t="s">
        <v>9394</v>
      </c>
      <c r="I584" s="138" t="s">
        <v>9605</v>
      </c>
      <c r="J584" s="138" t="s">
        <v>9364</v>
      </c>
    </row>
    <row r="585" spans="1:10">
      <c r="A585" s="138" t="s">
        <v>3442</v>
      </c>
      <c r="B585" s="138" t="s">
        <v>9378</v>
      </c>
      <c r="C585" s="138" t="s">
        <v>8850</v>
      </c>
      <c r="D585" s="138" t="s">
        <v>9395</v>
      </c>
      <c r="G585" s="138" t="s">
        <v>9321</v>
      </c>
      <c r="H585" s="138" t="s">
        <v>9396</v>
      </c>
      <c r="I585" s="138" t="s">
        <v>9605</v>
      </c>
      <c r="J585" s="138" t="s">
        <v>9383</v>
      </c>
    </row>
    <row r="586" spans="1:10">
      <c r="A586" s="138" t="s">
        <v>3442</v>
      </c>
      <c r="B586" s="138" t="s">
        <v>9378</v>
      </c>
      <c r="C586" s="138" t="s">
        <v>8850</v>
      </c>
      <c r="D586" s="138" t="s">
        <v>9397</v>
      </c>
      <c r="G586" s="138" t="s">
        <v>9321</v>
      </c>
      <c r="H586" s="138" t="s">
        <v>9398</v>
      </c>
      <c r="I586" s="138" t="s">
        <v>9604</v>
      </c>
      <c r="J586" s="138" t="s">
        <v>9399</v>
      </c>
    </row>
    <row r="587" spans="1:10">
      <c r="A587" s="138" t="s">
        <v>3442</v>
      </c>
      <c r="B587" s="138" t="s">
        <v>9378</v>
      </c>
      <c r="C587" s="138" t="s">
        <v>8850</v>
      </c>
      <c r="D587" s="138" t="s">
        <v>8850</v>
      </c>
      <c r="G587" s="138" t="s">
        <v>9321</v>
      </c>
      <c r="H587" s="138" t="s">
        <v>9400</v>
      </c>
      <c r="I587" s="138" t="s">
        <v>9604</v>
      </c>
      <c r="J587" s="138" t="s">
        <v>9401</v>
      </c>
    </row>
    <row r="588" spans="1:10">
      <c r="A588" s="138" t="s">
        <v>3442</v>
      </c>
      <c r="B588" s="138" t="s">
        <v>9378</v>
      </c>
      <c r="C588" s="138" t="s">
        <v>8850</v>
      </c>
      <c r="D588" s="138" t="s">
        <v>9402</v>
      </c>
      <c r="G588" s="138" t="s">
        <v>9321</v>
      </c>
      <c r="H588" s="138" t="s">
        <v>9403</v>
      </c>
      <c r="I588" s="138" t="s">
        <v>9605</v>
      </c>
      <c r="J588" s="138" t="s">
        <v>9331</v>
      </c>
    </row>
    <row r="589" spans="1:10">
      <c r="A589" s="138" t="s">
        <v>3442</v>
      </c>
      <c r="B589" s="138" t="s">
        <v>9378</v>
      </c>
      <c r="C589" s="138" t="s">
        <v>8850</v>
      </c>
      <c r="D589" s="138" t="s">
        <v>9404</v>
      </c>
      <c r="G589" s="138" t="s">
        <v>9405</v>
      </c>
      <c r="H589" s="138" t="s">
        <v>9406</v>
      </c>
      <c r="I589" s="138" t="s">
        <v>9479</v>
      </c>
      <c r="J589" s="138" t="s">
        <v>9407</v>
      </c>
    </row>
    <row r="590" spans="1:10">
      <c r="A590" s="138" t="s">
        <v>3442</v>
      </c>
      <c r="B590" s="138" t="s">
        <v>9289</v>
      </c>
      <c r="C590" s="138" t="s">
        <v>8847</v>
      </c>
      <c r="D590" s="138" t="s">
        <v>9408</v>
      </c>
      <c r="G590" s="138" t="s">
        <v>9405</v>
      </c>
      <c r="H590" s="138" t="s">
        <v>9409</v>
      </c>
      <c r="I590" s="138" t="s">
        <v>9663</v>
      </c>
      <c r="J590" s="138" t="s">
        <v>9410</v>
      </c>
    </row>
    <row r="591" spans="1:10">
      <c r="A591" s="138" t="s">
        <v>3442</v>
      </c>
      <c r="B591" s="138" t="s">
        <v>9289</v>
      </c>
      <c r="C591" s="138" t="s">
        <v>8847</v>
      </c>
      <c r="D591" s="138" t="s">
        <v>9411</v>
      </c>
      <c r="G591" s="138" t="s">
        <v>9405</v>
      </c>
      <c r="H591" s="138" t="s">
        <v>8170</v>
      </c>
      <c r="I591" s="138" t="s">
        <v>9479</v>
      </c>
      <c r="J591" s="138" t="s">
        <v>9412</v>
      </c>
    </row>
    <row r="592" spans="1:10">
      <c r="A592" s="138" t="s">
        <v>3442</v>
      </c>
      <c r="B592" s="138" t="s">
        <v>9289</v>
      </c>
      <c r="C592" s="138" t="s">
        <v>8847</v>
      </c>
      <c r="D592" s="138" t="s">
        <v>9413</v>
      </c>
      <c r="G592" s="138" t="s">
        <v>9405</v>
      </c>
      <c r="H592" s="138" t="s">
        <v>9414</v>
      </c>
      <c r="I592" s="138" t="s">
        <v>9479</v>
      </c>
      <c r="J592" s="138" t="s">
        <v>9407</v>
      </c>
    </row>
    <row r="593" spans="1:10">
      <c r="A593" s="138" t="s">
        <v>3442</v>
      </c>
      <c r="B593" s="138" t="s">
        <v>9289</v>
      </c>
      <c r="C593" s="138" t="s">
        <v>8847</v>
      </c>
      <c r="D593" s="138" t="s">
        <v>9415</v>
      </c>
      <c r="G593" s="138" t="s">
        <v>9405</v>
      </c>
      <c r="H593" s="138" t="s">
        <v>9416</v>
      </c>
      <c r="I593" s="138" t="s">
        <v>9479</v>
      </c>
      <c r="J593" s="138" t="s">
        <v>9417</v>
      </c>
    </row>
    <row r="594" spans="1:10">
      <c r="A594" s="138" t="s">
        <v>3442</v>
      </c>
      <c r="B594" s="138" t="s">
        <v>9289</v>
      </c>
      <c r="C594" s="138" t="s">
        <v>8847</v>
      </c>
      <c r="D594" s="138" t="s">
        <v>9418</v>
      </c>
      <c r="G594" s="138" t="s">
        <v>9405</v>
      </c>
      <c r="H594" s="138" t="s">
        <v>9419</v>
      </c>
      <c r="I594" s="138" t="s">
        <v>9479</v>
      </c>
      <c r="J594" s="138" t="s">
        <v>9420</v>
      </c>
    </row>
    <row r="595" spans="1:10">
      <c r="A595" s="138" t="s">
        <v>9421</v>
      </c>
      <c r="B595" s="138" t="s">
        <v>9378</v>
      </c>
      <c r="C595" s="138" t="s">
        <v>9422</v>
      </c>
      <c r="D595" s="138" t="s">
        <v>9423</v>
      </c>
      <c r="G595" s="138" t="s">
        <v>9405</v>
      </c>
      <c r="H595" s="138" t="s">
        <v>9424</v>
      </c>
      <c r="I595" s="138" t="s">
        <v>9479</v>
      </c>
      <c r="J595" s="138" t="s">
        <v>9417</v>
      </c>
    </row>
    <row r="596" spans="1:10">
      <c r="A596" s="138" t="s">
        <v>9421</v>
      </c>
      <c r="B596" s="138" t="s">
        <v>9378</v>
      </c>
      <c r="C596" s="138" t="s">
        <v>9422</v>
      </c>
      <c r="D596" s="138" t="s">
        <v>9425</v>
      </c>
      <c r="G596" s="138" t="s">
        <v>9405</v>
      </c>
      <c r="H596" s="138" t="s">
        <v>9426</v>
      </c>
      <c r="I596" s="138" t="s">
        <v>9479</v>
      </c>
      <c r="J596" s="138" t="s">
        <v>9412</v>
      </c>
    </row>
    <row r="597" spans="1:10">
      <c r="A597" s="138" t="s">
        <v>9421</v>
      </c>
      <c r="B597" s="138" t="s">
        <v>9378</v>
      </c>
      <c r="C597" s="138" t="s">
        <v>9422</v>
      </c>
      <c r="D597" s="138" t="s">
        <v>9427</v>
      </c>
      <c r="G597" s="138" t="s">
        <v>9405</v>
      </c>
      <c r="H597" s="138" t="s">
        <v>9428</v>
      </c>
      <c r="I597" s="138" t="s">
        <v>9479</v>
      </c>
      <c r="J597" s="138" t="s">
        <v>9417</v>
      </c>
    </row>
    <row r="598" spans="1:10">
      <c r="A598" s="138" t="s">
        <v>9421</v>
      </c>
      <c r="B598" s="138" t="s">
        <v>9378</v>
      </c>
      <c r="C598" s="138" t="s">
        <v>9422</v>
      </c>
      <c r="D598" s="138" t="s">
        <v>9429</v>
      </c>
      <c r="G598" s="138" t="s">
        <v>9405</v>
      </c>
      <c r="H598" s="138" t="s">
        <v>9430</v>
      </c>
      <c r="I598" s="138" t="s">
        <v>9479</v>
      </c>
      <c r="J598" s="138" t="s">
        <v>9417</v>
      </c>
    </row>
    <row r="599" spans="1:10">
      <c r="A599" s="138" t="s">
        <v>9421</v>
      </c>
      <c r="B599" s="138" t="s">
        <v>9378</v>
      </c>
      <c r="C599" s="138" t="s">
        <v>9422</v>
      </c>
      <c r="D599" s="138" t="s">
        <v>9431</v>
      </c>
      <c r="G599" s="138" t="s">
        <v>9405</v>
      </c>
      <c r="H599" s="138" t="s">
        <v>9432</v>
      </c>
      <c r="I599" s="138" t="s">
        <v>9479</v>
      </c>
      <c r="J599" s="138" t="s">
        <v>9420</v>
      </c>
    </row>
    <row r="600" spans="1:10">
      <c r="A600" s="138" t="e">
        <v>#N/A</v>
      </c>
      <c r="B600" s="138" t="e">
        <v>#N/A</v>
      </c>
      <c r="C600" s="138" t="s">
        <v>9422</v>
      </c>
      <c r="D600" s="138" t="e">
        <v>#N/A</v>
      </c>
      <c r="G600" s="138" t="s">
        <v>9405</v>
      </c>
      <c r="H600" s="138" t="s">
        <v>9433</v>
      </c>
      <c r="I600" s="138" t="s">
        <v>9663</v>
      </c>
      <c r="J600" s="138" t="s">
        <v>9434</v>
      </c>
    </row>
    <row r="601" spans="1:10">
      <c r="A601" s="138" t="s">
        <v>9421</v>
      </c>
      <c r="B601" s="138" t="s">
        <v>9378</v>
      </c>
      <c r="C601" s="138" t="s">
        <v>9435</v>
      </c>
      <c r="D601" s="138" t="s">
        <v>9436</v>
      </c>
      <c r="G601" s="138" t="s">
        <v>9405</v>
      </c>
      <c r="H601" s="138" t="s">
        <v>9437</v>
      </c>
      <c r="I601" s="138" t="s">
        <v>9663</v>
      </c>
      <c r="J601" s="138" t="s">
        <v>9434</v>
      </c>
    </row>
    <row r="602" spans="1:10">
      <c r="A602" s="138" t="s">
        <v>9421</v>
      </c>
      <c r="B602" s="138" t="s">
        <v>9378</v>
      </c>
      <c r="C602" s="138" t="s">
        <v>9435</v>
      </c>
      <c r="D602" s="138" t="s">
        <v>9438</v>
      </c>
      <c r="G602" s="138" t="s">
        <v>9405</v>
      </c>
      <c r="H602" s="138" t="s">
        <v>9439</v>
      </c>
      <c r="I602" s="138" t="s">
        <v>9479</v>
      </c>
      <c r="J602" s="138" t="s">
        <v>9420</v>
      </c>
    </row>
    <row r="603" spans="1:10">
      <c r="A603" s="138" t="s">
        <v>9421</v>
      </c>
      <c r="B603" s="138" t="s">
        <v>9378</v>
      </c>
      <c r="C603" s="138" t="s">
        <v>9435</v>
      </c>
      <c r="D603" s="138" t="s">
        <v>9440</v>
      </c>
      <c r="G603" s="138" t="s">
        <v>9405</v>
      </c>
      <c r="H603" s="138" t="s">
        <v>9441</v>
      </c>
      <c r="I603" s="138" t="s">
        <v>9479</v>
      </c>
      <c r="J603" s="138" t="s">
        <v>9442</v>
      </c>
    </row>
    <row r="604" spans="1:10">
      <c r="A604" s="138" t="s">
        <v>9421</v>
      </c>
      <c r="B604" s="138" t="s">
        <v>9378</v>
      </c>
      <c r="C604" s="138" t="s">
        <v>9435</v>
      </c>
      <c r="D604" s="138" t="s">
        <v>9443</v>
      </c>
      <c r="G604" s="138" t="s">
        <v>9405</v>
      </c>
      <c r="H604" s="138" t="s">
        <v>9444</v>
      </c>
      <c r="I604" s="138" t="s">
        <v>9663</v>
      </c>
      <c r="J604" s="138" t="s">
        <v>9434</v>
      </c>
    </row>
    <row r="605" spans="1:10">
      <c r="A605" s="138" t="s">
        <v>9421</v>
      </c>
      <c r="B605" s="138" t="s">
        <v>9378</v>
      </c>
      <c r="C605" s="138" t="s">
        <v>9435</v>
      </c>
      <c r="D605" s="138" t="s">
        <v>9445</v>
      </c>
      <c r="G605" s="138" t="s">
        <v>9405</v>
      </c>
      <c r="H605" s="138" t="s">
        <v>9446</v>
      </c>
      <c r="I605" s="138" t="s">
        <v>9663</v>
      </c>
      <c r="J605" s="138" t="s">
        <v>9434</v>
      </c>
    </row>
    <row r="606" spans="1:10">
      <c r="A606" s="138" t="s">
        <v>9421</v>
      </c>
      <c r="B606" s="138" t="s">
        <v>9378</v>
      </c>
      <c r="C606" s="138" t="s">
        <v>9435</v>
      </c>
      <c r="D606" s="138" t="s">
        <v>9447</v>
      </c>
      <c r="G606" s="138" t="s">
        <v>9405</v>
      </c>
      <c r="H606" s="138" t="s">
        <v>9448</v>
      </c>
      <c r="I606" s="138" t="s">
        <v>9479</v>
      </c>
      <c r="J606" s="138" t="s">
        <v>9442</v>
      </c>
    </row>
    <row r="607" spans="1:10">
      <c r="A607" s="138" t="s">
        <v>9421</v>
      </c>
      <c r="B607" s="138" t="s">
        <v>9378</v>
      </c>
      <c r="C607" s="138" t="s">
        <v>9435</v>
      </c>
      <c r="D607" s="138" t="s">
        <v>9449</v>
      </c>
      <c r="G607" s="138" t="s">
        <v>9405</v>
      </c>
      <c r="H607" s="138" t="s">
        <v>9450</v>
      </c>
      <c r="I607" s="138" t="s">
        <v>9663</v>
      </c>
      <c r="J607" s="138" t="s">
        <v>9434</v>
      </c>
    </row>
    <row r="608" spans="1:10">
      <c r="A608" s="138" t="e">
        <v>#N/A</v>
      </c>
      <c r="B608" s="138" t="e">
        <v>#N/A</v>
      </c>
      <c r="C608" s="138" t="s">
        <v>9435</v>
      </c>
      <c r="D608" s="138" t="e">
        <v>#N/A</v>
      </c>
      <c r="G608" s="138" t="s">
        <v>9405</v>
      </c>
      <c r="H608" s="138" t="s">
        <v>9451</v>
      </c>
      <c r="I608" s="138" t="s">
        <v>9479</v>
      </c>
      <c r="J608" s="138" t="s">
        <v>9442</v>
      </c>
    </row>
    <row r="609" spans="1:10">
      <c r="A609" s="138" t="s">
        <v>9421</v>
      </c>
      <c r="B609" s="138" t="s">
        <v>8077</v>
      </c>
      <c r="C609" s="138" t="s">
        <v>9452</v>
      </c>
      <c r="D609" s="138" t="s">
        <v>9453</v>
      </c>
      <c r="G609" s="138" t="s">
        <v>9405</v>
      </c>
      <c r="H609" s="138" t="s">
        <v>9454</v>
      </c>
      <c r="I609" s="138" t="s">
        <v>9663</v>
      </c>
      <c r="J609" s="138" t="s">
        <v>9455</v>
      </c>
    </row>
    <row r="610" spans="1:10">
      <c r="A610" s="138" t="s">
        <v>9421</v>
      </c>
      <c r="B610" s="138" t="s">
        <v>8077</v>
      </c>
      <c r="C610" s="138" t="s">
        <v>9452</v>
      </c>
      <c r="D610" s="138" t="s">
        <v>9456</v>
      </c>
      <c r="G610" s="138" t="s">
        <v>9405</v>
      </c>
      <c r="H610" s="138" t="s">
        <v>9457</v>
      </c>
      <c r="I610" s="138" t="s">
        <v>9663</v>
      </c>
      <c r="J610" s="138" t="s">
        <v>9455</v>
      </c>
    </row>
    <row r="611" spans="1:10">
      <c r="A611" s="138" t="s">
        <v>9421</v>
      </c>
      <c r="B611" s="138" t="s">
        <v>8077</v>
      </c>
      <c r="C611" s="138" t="s">
        <v>9452</v>
      </c>
      <c r="D611" s="138" t="s">
        <v>9458</v>
      </c>
      <c r="G611" s="138" t="s">
        <v>9405</v>
      </c>
      <c r="H611" s="138" t="s">
        <v>9459</v>
      </c>
      <c r="I611" s="138" t="s">
        <v>9479</v>
      </c>
      <c r="J611" s="138" t="s">
        <v>9420</v>
      </c>
    </row>
    <row r="612" spans="1:10">
      <c r="A612" s="138" t="s">
        <v>9421</v>
      </c>
      <c r="B612" s="138" t="s">
        <v>8077</v>
      </c>
      <c r="C612" s="138" t="s">
        <v>9452</v>
      </c>
      <c r="D612" s="138" t="s">
        <v>9460</v>
      </c>
      <c r="G612" s="138" t="s">
        <v>9405</v>
      </c>
      <c r="H612" s="138" t="s">
        <v>9461</v>
      </c>
      <c r="I612" s="138" t="s">
        <v>9479</v>
      </c>
      <c r="J612" s="138" t="s">
        <v>9412</v>
      </c>
    </row>
    <row r="613" spans="1:10">
      <c r="A613" s="138" t="s">
        <v>9421</v>
      </c>
      <c r="B613" s="138" t="s">
        <v>9378</v>
      </c>
      <c r="C613" s="138" t="s">
        <v>9378</v>
      </c>
      <c r="D613" s="138" t="s">
        <v>9462</v>
      </c>
      <c r="G613" s="138" t="s">
        <v>9405</v>
      </c>
      <c r="H613" s="138" t="s">
        <v>9463</v>
      </c>
      <c r="I613" s="138" t="s">
        <v>9663</v>
      </c>
      <c r="J613" s="138" t="s">
        <v>9455</v>
      </c>
    </row>
    <row r="614" spans="1:10">
      <c r="A614" s="138" t="s">
        <v>9421</v>
      </c>
      <c r="B614" s="138" t="s">
        <v>9378</v>
      </c>
      <c r="C614" s="138" t="s">
        <v>9464</v>
      </c>
      <c r="D614" s="138" t="s">
        <v>9465</v>
      </c>
      <c r="G614" s="138" t="s">
        <v>9405</v>
      </c>
      <c r="H614" s="138" t="s">
        <v>9466</v>
      </c>
      <c r="I614" s="138" t="s">
        <v>9663</v>
      </c>
      <c r="J614" s="138" t="s">
        <v>9410</v>
      </c>
    </row>
    <row r="615" spans="1:10">
      <c r="A615" s="138" t="s">
        <v>9421</v>
      </c>
      <c r="B615" s="138" t="s">
        <v>9378</v>
      </c>
      <c r="C615" s="138" t="s">
        <v>9464</v>
      </c>
      <c r="D615" s="138" t="s">
        <v>9464</v>
      </c>
      <c r="G615" s="138" t="s">
        <v>9405</v>
      </c>
      <c r="H615" s="138" t="s">
        <v>9467</v>
      </c>
      <c r="I615" s="138" t="s">
        <v>9479</v>
      </c>
      <c r="J615" s="138" t="s">
        <v>9412</v>
      </c>
    </row>
    <row r="616" spans="1:10">
      <c r="A616" s="138" t="s">
        <v>9421</v>
      </c>
      <c r="B616" s="138" t="s">
        <v>9378</v>
      </c>
      <c r="C616" s="138" t="s">
        <v>9464</v>
      </c>
      <c r="D616" s="138" t="s">
        <v>9468</v>
      </c>
      <c r="G616" s="138" t="s">
        <v>9405</v>
      </c>
      <c r="H616" s="138" t="s">
        <v>9469</v>
      </c>
      <c r="I616" s="138" t="s">
        <v>9479</v>
      </c>
      <c r="J616" s="138" t="s">
        <v>9407</v>
      </c>
    </row>
    <row r="617" spans="1:10">
      <c r="A617" s="138" t="s">
        <v>9421</v>
      </c>
      <c r="B617" s="138" t="s">
        <v>9378</v>
      </c>
      <c r="C617" s="138" t="s">
        <v>9464</v>
      </c>
      <c r="D617" s="138" t="s">
        <v>9378</v>
      </c>
      <c r="G617" s="138" t="s">
        <v>9405</v>
      </c>
      <c r="H617" s="138" t="s">
        <v>9470</v>
      </c>
      <c r="I617" s="138" t="s">
        <v>9663</v>
      </c>
      <c r="J617" s="138" t="s">
        <v>9455</v>
      </c>
    </row>
    <row r="618" spans="1:10">
      <c r="A618" s="138" t="s">
        <v>9421</v>
      </c>
      <c r="B618" s="138" t="s">
        <v>9378</v>
      </c>
      <c r="C618" s="138" t="s">
        <v>9464</v>
      </c>
      <c r="D618" s="138" t="s">
        <v>9423</v>
      </c>
      <c r="G618" s="138" t="s">
        <v>9405</v>
      </c>
      <c r="H618" s="138" t="s">
        <v>9471</v>
      </c>
      <c r="I618" s="138" t="s">
        <v>9663</v>
      </c>
      <c r="J618" s="138" t="s">
        <v>9410</v>
      </c>
    </row>
    <row r="619" spans="1:10">
      <c r="A619" s="138" t="s">
        <v>9421</v>
      </c>
      <c r="B619" s="138" t="s">
        <v>9378</v>
      </c>
      <c r="C619" s="138" t="s">
        <v>9472</v>
      </c>
      <c r="D619" s="138" t="s">
        <v>9392</v>
      </c>
      <c r="G619" s="138" t="s">
        <v>9405</v>
      </c>
      <c r="H619" s="138" t="s">
        <v>9473</v>
      </c>
      <c r="I619" s="138" t="s">
        <v>9479</v>
      </c>
      <c r="J619" s="138" t="s">
        <v>9442</v>
      </c>
    </row>
    <row r="620" spans="1:10">
      <c r="A620" s="138" t="s">
        <v>9421</v>
      </c>
      <c r="B620" s="138" t="s">
        <v>9378</v>
      </c>
      <c r="C620" s="138" t="s">
        <v>9472</v>
      </c>
      <c r="D620" s="138" t="s">
        <v>9474</v>
      </c>
      <c r="G620" s="138" t="s">
        <v>9405</v>
      </c>
      <c r="H620" s="138" t="s">
        <v>9475</v>
      </c>
      <c r="I620" s="138" t="s">
        <v>9479</v>
      </c>
      <c r="J620" s="138" t="s">
        <v>9407</v>
      </c>
    </row>
    <row r="621" spans="1:10">
      <c r="A621" s="138" t="s">
        <v>9421</v>
      </c>
      <c r="B621" s="138" t="s">
        <v>9378</v>
      </c>
      <c r="C621" s="138" t="s">
        <v>9472</v>
      </c>
      <c r="D621" s="138" t="s">
        <v>9476</v>
      </c>
      <c r="G621" s="138" t="s">
        <v>9405</v>
      </c>
      <c r="H621" s="138" t="s">
        <v>9477</v>
      </c>
      <c r="I621" s="138" t="s">
        <v>9479</v>
      </c>
      <c r="J621" s="138" t="s">
        <v>9442</v>
      </c>
    </row>
    <row r="622" spans="1:10">
      <c r="A622" s="138" t="s">
        <v>9421</v>
      </c>
      <c r="B622" s="138" t="s">
        <v>9378</v>
      </c>
      <c r="C622" s="138" t="s">
        <v>9472</v>
      </c>
      <c r="D622" s="138" t="s">
        <v>9478</v>
      </c>
      <c r="G622" s="138" t="s">
        <v>9405</v>
      </c>
      <c r="H622" s="138" t="s">
        <v>9405</v>
      </c>
      <c r="I622" s="138" t="s">
        <v>9479</v>
      </c>
      <c r="J622" s="138" t="s">
        <v>9479</v>
      </c>
    </row>
    <row r="623" spans="1:10">
      <c r="A623" s="138" t="e">
        <v>#N/A</v>
      </c>
      <c r="B623" s="138" t="e">
        <v>#N/A</v>
      </c>
      <c r="C623" s="138" t="s">
        <v>9472</v>
      </c>
      <c r="D623" s="138" t="e">
        <v>#N/A</v>
      </c>
      <c r="G623" s="138" t="s">
        <v>9480</v>
      </c>
      <c r="H623" s="138" t="s">
        <v>9481</v>
      </c>
      <c r="I623" s="138" t="s">
        <v>9421</v>
      </c>
      <c r="J623" s="138" t="s">
        <v>9482</v>
      </c>
    </row>
    <row r="624" spans="1:10">
      <c r="A624" s="138" t="s">
        <v>9421</v>
      </c>
      <c r="B624" s="138" t="s">
        <v>9421</v>
      </c>
      <c r="C624" s="138" t="s">
        <v>9483</v>
      </c>
      <c r="D624" s="138" t="s">
        <v>9483</v>
      </c>
      <c r="G624" s="138" t="s">
        <v>9480</v>
      </c>
      <c r="H624" s="138" t="s">
        <v>9484</v>
      </c>
      <c r="I624" s="138" t="s">
        <v>9421</v>
      </c>
      <c r="J624" s="138" t="s">
        <v>9485</v>
      </c>
    </row>
    <row r="625" spans="1:10">
      <c r="A625" s="138" t="s">
        <v>9421</v>
      </c>
      <c r="B625" s="138" t="s">
        <v>9421</v>
      </c>
      <c r="C625" s="138" t="s">
        <v>9483</v>
      </c>
      <c r="D625" s="138" t="s">
        <v>9486</v>
      </c>
      <c r="G625" s="138" t="s">
        <v>9480</v>
      </c>
      <c r="H625" s="138" t="s">
        <v>9487</v>
      </c>
      <c r="I625" s="138" t="s">
        <v>9421</v>
      </c>
      <c r="J625" s="138" t="s">
        <v>9488</v>
      </c>
    </row>
    <row r="626" spans="1:10">
      <c r="A626" s="138" t="s">
        <v>9421</v>
      </c>
      <c r="B626" s="138" t="s">
        <v>9421</v>
      </c>
      <c r="C626" s="138" t="s">
        <v>9483</v>
      </c>
      <c r="D626" s="138" t="s">
        <v>9489</v>
      </c>
      <c r="G626" s="138" t="s">
        <v>9480</v>
      </c>
      <c r="H626" s="138" t="s">
        <v>9490</v>
      </c>
      <c r="I626" s="138" t="s">
        <v>9378</v>
      </c>
      <c r="J626" s="138" t="s">
        <v>9472</v>
      </c>
    </row>
    <row r="627" spans="1:10">
      <c r="A627" s="138" t="e">
        <v>#N/A</v>
      </c>
      <c r="B627" s="138" t="e">
        <v>#N/A</v>
      </c>
      <c r="C627" s="138" t="s">
        <v>9483</v>
      </c>
      <c r="D627" s="138" t="e">
        <v>#N/A</v>
      </c>
      <c r="G627" s="138" t="s">
        <v>9480</v>
      </c>
      <c r="H627" s="138" t="s">
        <v>9491</v>
      </c>
      <c r="I627" s="138" t="s">
        <v>9421</v>
      </c>
      <c r="J627" s="138" t="s">
        <v>9492</v>
      </c>
    </row>
    <row r="628" spans="1:10">
      <c r="A628" s="138" t="s">
        <v>9421</v>
      </c>
      <c r="B628" s="138" t="s">
        <v>9421</v>
      </c>
      <c r="C628" s="138" t="s">
        <v>9488</v>
      </c>
      <c r="D628" s="138" t="s">
        <v>9493</v>
      </c>
      <c r="G628" s="138" t="s">
        <v>9480</v>
      </c>
      <c r="H628" s="138" t="s">
        <v>9494</v>
      </c>
      <c r="I628" s="138" t="s">
        <v>9378</v>
      </c>
      <c r="J628" s="138" t="s">
        <v>9435</v>
      </c>
    </row>
    <row r="629" spans="1:10">
      <c r="A629" s="138" t="s">
        <v>9421</v>
      </c>
      <c r="B629" s="138" t="s">
        <v>9421</v>
      </c>
      <c r="C629" s="138" t="s">
        <v>9488</v>
      </c>
      <c r="D629" s="138" t="s">
        <v>9488</v>
      </c>
      <c r="G629" s="138" t="s">
        <v>9480</v>
      </c>
      <c r="H629" s="138" t="s">
        <v>9495</v>
      </c>
      <c r="I629" s="138" t="s">
        <v>8077</v>
      </c>
      <c r="J629" s="138" t="s">
        <v>9496</v>
      </c>
    </row>
    <row r="630" spans="1:10">
      <c r="A630" s="138" t="s">
        <v>9421</v>
      </c>
      <c r="B630" s="138" t="s">
        <v>9421</v>
      </c>
      <c r="C630" s="138" t="s">
        <v>9488</v>
      </c>
      <c r="D630" s="138" t="s">
        <v>9497</v>
      </c>
      <c r="G630" s="138" t="s">
        <v>9480</v>
      </c>
      <c r="H630" s="138" t="s">
        <v>9498</v>
      </c>
      <c r="I630" s="138" t="s">
        <v>9378</v>
      </c>
      <c r="J630" s="138" t="s">
        <v>9422</v>
      </c>
    </row>
    <row r="631" spans="1:10">
      <c r="A631" s="138" t="s">
        <v>9421</v>
      </c>
      <c r="B631" s="138" t="s">
        <v>9421</v>
      </c>
      <c r="C631" s="138" t="s">
        <v>9488</v>
      </c>
      <c r="D631" s="138" t="s">
        <v>9499</v>
      </c>
      <c r="G631" s="138" t="s">
        <v>9480</v>
      </c>
      <c r="H631" s="138" t="s">
        <v>9500</v>
      </c>
      <c r="I631" s="138" t="s">
        <v>9378</v>
      </c>
      <c r="J631" s="138" t="s">
        <v>9464</v>
      </c>
    </row>
    <row r="632" spans="1:10">
      <c r="A632" s="138" t="e">
        <v>#N/A</v>
      </c>
      <c r="B632" s="138" t="e">
        <v>#N/A</v>
      </c>
      <c r="C632" s="138" t="s">
        <v>9488</v>
      </c>
      <c r="D632" s="138" t="e">
        <v>#N/A</v>
      </c>
      <c r="G632" s="138" t="s">
        <v>9480</v>
      </c>
      <c r="H632" s="138" t="s">
        <v>9501</v>
      </c>
      <c r="I632" s="138" t="s">
        <v>8077</v>
      </c>
      <c r="J632" s="138" t="s">
        <v>9452</v>
      </c>
    </row>
    <row r="633" spans="1:10">
      <c r="A633" s="138" t="s">
        <v>9421</v>
      </c>
      <c r="B633" s="138" t="s">
        <v>9421</v>
      </c>
      <c r="C633" s="138" t="s">
        <v>9485</v>
      </c>
      <c r="D633" s="138" t="s">
        <v>9502</v>
      </c>
      <c r="G633" s="138" t="s">
        <v>9480</v>
      </c>
      <c r="H633" s="138" t="s">
        <v>9503</v>
      </c>
      <c r="I633" s="138" t="s">
        <v>8077</v>
      </c>
      <c r="J633" s="138" t="s">
        <v>9452</v>
      </c>
    </row>
    <row r="634" spans="1:10">
      <c r="A634" s="138" t="s">
        <v>9421</v>
      </c>
      <c r="B634" s="138" t="s">
        <v>9421</v>
      </c>
      <c r="C634" s="138" t="s">
        <v>9485</v>
      </c>
      <c r="D634" s="138" t="s">
        <v>9485</v>
      </c>
      <c r="G634" s="138" t="s">
        <v>9480</v>
      </c>
      <c r="H634" s="138" t="s">
        <v>1309</v>
      </c>
      <c r="I634" s="138" t="s">
        <v>9378</v>
      </c>
      <c r="J634" s="138" t="s">
        <v>9464</v>
      </c>
    </row>
    <row r="635" spans="1:10">
      <c r="A635" s="138" t="s">
        <v>9421</v>
      </c>
      <c r="B635" s="138" t="s">
        <v>9421</v>
      </c>
      <c r="C635" s="138" t="s">
        <v>9485</v>
      </c>
      <c r="D635" s="138" t="s">
        <v>9504</v>
      </c>
      <c r="G635" s="138" t="s">
        <v>9480</v>
      </c>
      <c r="H635" s="138" t="s">
        <v>9505</v>
      </c>
      <c r="I635" s="138" t="s">
        <v>9378</v>
      </c>
      <c r="J635" s="138" t="s">
        <v>9472</v>
      </c>
    </row>
    <row r="636" spans="1:10">
      <c r="A636" s="138" t="s">
        <v>9421</v>
      </c>
      <c r="B636" s="138" t="s">
        <v>9421</v>
      </c>
      <c r="C636" s="138" t="s">
        <v>9485</v>
      </c>
      <c r="D636" s="138" t="s">
        <v>9506</v>
      </c>
      <c r="G636" s="138" t="s">
        <v>9480</v>
      </c>
      <c r="H636" s="138" t="s">
        <v>9507</v>
      </c>
      <c r="I636" s="138" t="s">
        <v>8077</v>
      </c>
      <c r="J636" s="138" t="s">
        <v>9452</v>
      </c>
    </row>
    <row r="637" spans="1:10">
      <c r="A637" s="138" t="s">
        <v>9421</v>
      </c>
      <c r="B637" s="138" t="s">
        <v>9421</v>
      </c>
      <c r="C637" s="138" t="s">
        <v>9485</v>
      </c>
      <c r="D637" s="138" t="s">
        <v>9508</v>
      </c>
      <c r="G637" s="138" t="s">
        <v>9480</v>
      </c>
      <c r="H637" s="138" t="s">
        <v>9509</v>
      </c>
      <c r="I637" s="138" t="s">
        <v>9421</v>
      </c>
      <c r="J637" s="138" t="s">
        <v>9488</v>
      </c>
    </row>
    <row r="638" spans="1:10">
      <c r="A638" s="138" t="e">
        <v>#N/A</v>
      </c>
      <c r="B638" s="138" t="e">
        <v>#N/A</v>
      </c>
      <c r="C638" s="138" t="s">
        <v>9485</v>
      </c>
      <c r="D638" s="138" t="e">
        <v>#N/A</v>
      </c>
      <c r="G638" s="138" t="s">
        <v>9480</v>
      </c>
      <c r="H638" s="138" t="s">
        <v>9510</v>
      </c>
      <c r="I638" s="138" t="s">
        <v>9378</v>
      </c>
      <c r="J638" s="138" t="s">
        <v>9422</v>
      </c>
    </row>
    <row r="639" spans="1:10">
      <c r="A639" s="138" t="s">
        <v>9421</v>
      </c>
      <c r="B639" s="138" t="s">
        <v>9421</v>
      </c>
      <c r="C639" s="138" t="s">
        <v>9492</v>
      </c>
      <c r="D639" s="138" t="s">
        <v>9511</v>
      </c>
      <c r="G639" s="138" t="s">
        <v>9480</v>
      </c>
      <c r="H639" s="138" t="s">
        <v>9512</v>
      </c>
      <c r="I639" s="138" t="s">
        <v>9378</v>
      </c>
      <c r="J639" s="138" t="s">
        <v>9435</v>
      </c>
    </row>
    <row r="640" spans="1:10">
      <c r="A640" s="138" t="s">
        <v>9421</v>
      </c>
      <c r="B640" s="138" t="s">
        <v>9421</v>
      </c>
      <c r="C640" s="138" t="s">
        <v>9492</v>
      </c>
      <c r="D640" s="138" t="s">
        <v>9492</v>
      </c>
      <c r="G640" s="138" t="s">
        <v>9480</v>
      </c>
      <c r="H640" s="138" t="s">
        <v>9513</v>
      </c>
      <c r="I640" s="138" t="s">
        <v>9421</v>
      </c>
      <c r="J640" s="138" t="s">
        <v>9485</v>
      </c>
    </row>
    <row r="641" spans="1:10">
      <c r="A641" s="138" t="s">
        <v>9421</v>
      </c>
      <c r="B641" s="138" t="s">
        <v>9421</v>
      </c>
      <c r="C641" s="138" t="s">
        <v>9492</v>
      </c>
      <c r="D641" s="138" t="s">
        <v>9514</v>
      </c>
      <c r="G641" s="138" t="s">
        <v>9480</v>
      </c>
      <c r="H641" s="138" t="s">
        <v>9515</v>
      </c>
      <c r="I641" s="138" t="s">
        <v>9378</v>
      </c>
      <c r="J641" s="138" t="s">
        <v>9422</v>
      </c>
    </row>
    <row r="642" spans="1:10">
      <c r="A642" s="138" t="e">
        <v>#N/A</v>
      </c>
      <c r="B642" s="138" t="e">
        <v>#N/A</v>
      </c>
      <c r="C642" s="138" t="s">
        <v>9492</v>
      </c>
      <c r="D642" s="138" t="e">
        <v>#N/A</v>
      </c>
      <c r="G642" s="138" t="s">
        <v>9480</v>
      </c>
      <c r="H642" s="138" t="s">
        <v>9516</v>
      </c>
      <c r="I642" s="138" t="s">
        <v>8077</v>
      </c>
      <c r="J642" s="138" t="s">
        <v>9496</v>
      </c>
    </row>
    <row r="643" spans="1:10">
      <c r="A643" s="138" t="s">
        <v>9421</v>
      </c>
      <c r="B643" s="138" t="s">
        <v>9421</v>
      </c>
      <c r="C643" s="138" t="s">
        <v>9517</v>
      </c>
      <c r="D643" s="138" t="s">
        <v>9517</v>
      </c>
      <c r="G643" s="138" t="s">
        <v>9480</v>
      </c>
      <c r="H643" s="138" t="s">
        <v>9518</v>
      </c>
      <c r="I643" s="138" t="s">
        <v>9378</v>
      </c>
      <c r="J643" s="138" t="s">
        <v>9435</v>
      </c>
    </row>
    <row r="644" spans="1:10">
      <c r="A644" s="138" t="s">
        <v>9421</v>
      </c>
      <c r="B644" s="138" t="s">
        <v>9421</v>
      </c>
      <c r="C644" s="138" t="s">
        <v>9517</v>
      </c>
      <c r="D644" s="138" t="s">
        <v>9519</v>
      </c>
      <c r="G644" s="138" t="s">
        <v>9480</v>
      </c>
      <c r="H644" s="138" t="s">
        <v>9520</v>
      </c>
      <c r="I644" s="138" t="s">
        <v>9378</v>
      </c>
      <c r="J644" s="138" t="s">
        <v>9435</v>
      </c>
    </row>
    <row r="645" spans="1:10">
      <c r="A645" s="138" t="s">
        <v>9421</v>
      </c>
      <c r="B645" s="138" t="s">
        <v>9421</v>
      </c>
      <c r="C645" s="138" t="s">
        <v>9517</v>
      </c>
      <c r="D645" s="138" t="s">
        <v>9521</v>
      </c>
      <c r="G645" s="138" t="s">
        <v>9480</v>
      </c>
      <c r="H645" s="138" t="s">
        <v>9522</v>
      </c>
      <c r="I645" s="138" t="s">
        <v>9378</v>
      </c>
      <c r="J645" s="138" t="s">
        <v>9422</v>
      </c>
    </row>
    <row r="646" spans="1:10">
      <c r="A646" s="138" t="s">
        <v>9421</v>
      </c>
      <c r="B646" s="138" t="s">
        <v>9421</v>
      </c>
      <c r="C646" s="138" t="s">
        <v>9523</v>
      </c>
      <c r="D646" s="138" t="s">
        <v>9523</v>
      </c>
      <c r="G646" s="138" t="s">
        <v>9480</v>
      </c>
      <c r="H646" s="138" t="s">
        <v>9524</v>
      </c>
      <c r="I646" s="138" t="s">
        <v>9421</v>
      </c>
      <c r="J646" s="138" t="s">
        <v>9517</v>
      </c>
    </row>
    <row r="647" spans="1:10">
      <c r="A647" s="138" t="s">
        <v>9421</v>
      </c>
      <c r="B647" s="138" t="s">
        <v>9421</v>
      </c>
      <c r="C647" s="138" t="s">
        <v>9523</v>
      </c>
      <c r="D647" s="138" t="s">
        <v>9525</v>
      </c>
      <c r="G647" s="138" t="s">
        <v>9480</v>
      </c>
      <c r="H647" s="138" t="s">
        <v>9526</v>
      </c>
      <c r="I647" s="138" t="s">
        <v>8077</v>
      </c>
      <c r="J647" s="138" t="s">
        <v>9452</v>
      </c>
    </row>
    <row r="648" spans="1:10">
      <c r="A648" s="138" t="s">
        <v>9421</v>
      </c>
      <c r="B648" s="138" t="s">
        <v>9421</v>
      </c>
      <c r="C648" s="138" t="s">
        <v>9523</v>
      </c>
      <c r="D648" s="138" t="s">
        <v>9331</v>
      </c>
      <c r="G648" s="138" t="s">
        <v>9480</v>
      </c>
      <c r="H648" s="138" t="s">
        <v>9527</v>
      </c>
      <c r="I648" s="138" t="s">
        <v>9421</v>
      </c>
      <c r="J648" s="138" t="s">
        <v>9517</v>
      </c>
    </row>
    <row r="649" spans="1:10">
      <c r="A649" s="138" t="s">
        <v>9421</v>
      </c>
      <c r="B649" s="138" t="s">
        <v>9421</v>
      </c>
      <c r="C649" s="138" t="s">
        <v>9523</v>
      </c>
      <c r="D649" s="138" t="s">
        <v>9528</v>
      </c>
      <c r="G649" s="138" t="s">
        <v>9480</v>
      </c>
      <c r="H649" s="138" t="s">
        <v>9529</v>
      </c>
      <c r="I649" s="138" t="s">
        <v>8077</v>
      </c>
      <c r="J649" s="138" t="s">
        <v>9530</v>
      </c>
    </row>
    <row r="650" spans="1:10">
      <c r="A650" s="138" t="e">
        <v>#N/A</v>
      </c>
      <c r="B650" s="138" t="e">
        <v>#N/A</v>
      </c>
      <c r="C650" s="138" t="s">
        <v>9523</v>
      </c>
      <c r="D650" s="138" t="e">
        <v>#N/A</v>
      </c>
      <c r="G650" s="138" t="s">
        <v>9480</v>
      </c>
      <c r="H650" s="138" t="s">
        <v>9531</v>
      </c>
      <c r="I650" s="138" t="s">
        <v>9378</v>
      </c>
      <c r="J650" s="138" t="s">
        <v>9472</v>
      </c>
    </row>
    <row r="651" spans="1:10">
      <c r="A651" s="138" t="s">
        <v>9421</v>
      </c>
      <c r="B651" s="138" t="s">
        <v>9421</v>
      </c>
      <c r="C651" s="138" t="s">
        <v>9482</v>
      </c>
      <c r="D651" s="138" t="s">
        <v>9532</v>
      </c>
      <c r="G651" s="138" t="s">
        <v>9480</v>
      </c>
      <c r="H651" s="138" t="s">
        <v>9533</v>
      </c>
      <c r="I651" s="138" t="s">
        <v>9421</v>
      </c>
      <c r="J651" s="138" t="s">
        <v>9485</v>
      </c>
    </row>
    <row r="652" spans="1:10">
      <c r="A652" s="138" t="s">
        <v>9421</v>
      </c>
      <c r="B652" s="138" t="s">
        <v>9421</v>
      </c>
      <c r="C652" s="138" t="s">
        <v>9482</v>
      </c>
      <c r="D652" s="138" t="s">
        <v>9534</v>
      </c>
      <c r="G652" s="138" t="s">
        <v>9480</v>
      </c>
      <c r="H652" s="138" t="s">
        <v>9535</v>
      </c>
      <c r="I652" s="138" t="s">
        <v>9421</v>
      </c>
      <c r="J652" s="138" t="s">
        <v>9523</v>
      </c>
    </row>
    <row r="653" spans="1:10">
      <c r="A653" s="138" t="s">
        <v>9421</v>
      </c>
      <c r="B653" s="138" t="s">
        <v>9421</v>
      </c>
      <c r="C653" s="138" t="s">
        <v>9482</v>
      </c>
      <c r="D653" s="138" t="s">
        <v>9482</v>
      </c>
      <c r="G653" s="138" t="s">
        <v>9480</v>
      </c>
      <c r="H653" s="138" t="s">
        <v>9536</v>
      </c>
      <c r="I653" s="138" t="s">
        <v>9378</v>
      </c>
      <c r="J653" s="138" t="s">
        <v>9464</v>
      </c>
    </row>
    <row r="654" spans="1:10">
      <c r="A654" s="138" t="s">
        <v>9421</v>
      </c>
      <c r="B654" s="138" t="s">
        <v>9421</v>
      </c>
      <c r="C654" s="138" t="s">
        <v>9482</v>
      </c>
      <c r="D654" s="138" t="s">
        <v>9525</v>
      </c>
      <c r="G654" s="138" t="s">
        <v>9480</v>
      </c>
      <c r="H654" s="138" t="s">
        <v>9537</v>
      </c>
      <c r="I654" s="138" t="s">
        <v>9378</v>
      </c>
      <c r="J654" s="138" t="s">
        <v>9464</v>
      </c>
    </row>
    <row r="655" spans="1:10">
      <c r="A655" s="138" t="e">
        <v>#N/A</v>
      </c>
      <c r="B655" s="138" t="e">
        <v>#N/A</v>
      </c>
      <c r="C655" s="138" t="s">
        <v>9482</v>
      </c>
      <c r="D655" s="138" t="e">
        <v>#N/A</v>
      </c>
      <c r="G655" s="138" t="s">
        <v>9480</v>
      </c>
      <c r="H655" s="138" t="s">
        <v>9538</v>
      </c>
      <c r="I655" s="138" t="s">
        <v>9421</v>
      </c>
      <c r="J655" s="138" t="s">
        <v>9483</v>
      </c>
    </row>
    <row r="656" spans="1:10">
      <c r="A656" s="138" t="s">
        <v>9421</v>
      </c>
      <c r="B656" s="138" t="s">
        <v>8077</v>
      </c>
      <c r="C656" s="138" t="s">
        <v>9530</v>
      </c>
      <c r="D656" s="138" t="s">
        <v>9530</v>
      </c>
      <c r="G656" s="138" t="s">
        <v>9480</v>
      </c>
      <c r="H656" s="138" t="s">
        <v>9539</v>
      </c>
      <c r="I656" s="138" t="s">
        <v>9421</v>
      </c>
      <c r="J656" s="138" t="s">
        <v>9482</v>
      </c>
    </row>
    <row r="657" spans="1:10">
      <c r="A657" s="138" t="s">
        <v>9421</v>
      </c>
      <c r="B657" s="138" t="s">
        <v>8077</v>
      </c>
      <c r="C657" s="138" t="s">
        <v>9530</v>
      </c>
      <c r="D657" s="138" t="s">
        <v>9540</v>
      </c>
      <c r="G657" s="138" t="s">
        <v>9480</v>
      </c>
      <c r="H657" s="138" t="s">
        <v>9541</v>
      </c>
      <c r="I657" s="138" t="s">
        <v>9421</v>
      </c>
      <c r="J657" s="138" t="s">
        <v>9482</v>
      </c>
    </row>
    <row r="658" spans="1:10">
      <c r="A658" s="138" t="s">
        <v>9421</v>
      </c>
      <c r="B658" s="138" t="s">
        <v>8077</v>
      </c>
      <c r="C658" s="138" t="s">
        <v>9530</v>
      </c>
      <c r="D658" s="138" t="s">
        <v>9542</v>
      </c>
      <c r="G658" s="138" t="s">
        <v>9480</v>
      </c>
      <c r="H658" s="138" t="s">
        <v>9543</v>
      </c>
      <c r="I658" s="138" t="s">
        <v>8077</v>
      </c>
      <c r="J658" s="138" t="s">
        <v>9530</v>
      </c>
    </row>
    <row r="659" spans="1:10">
      <c r="A659" s="138" t="s">
        <v>9421</v>
      </c>
      <c r="B659" s="138" t="s">
        <v>8077</v>
      </c>
      <c r="C659" s="138" t="s">
        <v>9530</v>
      </c>
      <c r="D659" s="138" t="s">
        <v>9544</v>
      </c>
      <c r="G659" s="138" t="s">
        <v>9480</v>
      </c>
      <c r="H659" s="138" t="s">
        <v>9545</v>
      </c>
      <c r="I659" s="138" t="s">
        <v>9421</v>
      </c>
      <c r="J659" s="138" t="s">
        <v>9482</v>
      </c>
    </row>
    <row r="660" spans="1:10">
      <c r="A660" s="138" t="s">
        <v>9421</v>
      </c>
      <c r="B660" s="138" t="s">
        <v>8077</v>
      </c>
      <c r="C660" s="138" t="s">
        <v>9496</v>
      </c>
      <c r="D660" s="138" t="s">
        <v>9546</v>
      </c>
      <c r="G660" s="138" t="s">
        <v>9480</v>
      </c>
      <c r="H660" s="138" t="s">
        <v>9547</v>
      </c>
      <c r="I660" s="138" t="s">
        <v>9378</v>
      </c>
      <c r="J660" s="138" t="s">
        <v>9435</v>
      </c>
    </row>
    <row r="661" spans="1:10">
      <c r="A661" s="138" t="s">
        <v>9421</v>
      </c>
      <c r="B661" s="138" t="s">
        <v>8077</v>
      </c>
      <c r="C661" s="138" t="s">
        <v>9496</v>
      </c>
      <c r="D661" s="138" t="s">
        <v>9548</v>
      </c>
      <c r="G661" s="138" t="s">
        <v>9480</v>
      </c>
      <c r="H661" s="138" t="s">
        <v>9549</v>
      </c>
      <c r="I661" s="138" t="s">
        <v>9378</v>
      </c>
      <c r="J661" s="138" t="s">
        <v>9435</v>
      </c>
    </row>
    <row r="662" spans="1:10">
      <c r="A662" s="138" t="s">
        <v>9421</v>
      </c>
      <c r="B662" s="138" t="s">
        <v>8077</v>
      </c>
      <c r="C662" s="138" t="s">
        <v>9496</v>
      </c>
      <c r="D662" s="138" t="s">
        <v>9550</v>
      </c>
      <c r="G662" s="138" t="s">
        <v>9480</v>
      </c>
      <c r="H662" s="138" t="s">
        <v>9551</v>
      </c>
      <c r="I662" s="138" t="s">
        <v>9421</v>
      </c>
      <c r="J662" s="138" t="s">
        <v>9483</v>
      </c>
    </row>
    <row r="663" spans="1:10">
      <c r="A663" s="138" t="s">
        <v>9421</v>
      </c>
      <c r="B663" s="138" t="s">
        <v>8077</v>
      </c>
      <c r="C663" s="138" t="s">
        <v>9496</v>
      </c>
      <c r="D663" s="138" t="s">
        <v>9552</v>
      </c>
      <c r="G663" s="138" t="s">
        <v>9480</v>
      </c>
      <c r="H663" s="138" t="s">
        <v>9553</v>
      </c>
      <c r="I663" s="138" t="s">
        <v>8077</v>
      </c>
      <c r="J663" s="138" t="s">
        <v>9496</v>
      </c>
    </row>
    <row r="664" spans="1:10">
      <c r="A664" s="138" t="s">
        <v>8077</v>
      </c>
      <c r="B664" s="138" t="s">
        <v>9554</v>
      </c>
      <c r="C664" s="138" t="s">
        <v>8520</v>
      </c>
      <c r="D664" s="138" t="s">
        <v>9555</v>
      </c>
      <c r="G664" s="138" t="s">
        <v>9480</v>
      </c>
      <c r="H664" s="138" t="s">
        <v>9556</v>
      </c>
      <c r="I664" s="138" t="s">
        <v>9421</v>
      </c>
      <c r="J664" s="138" t="s">
        <v>9488</v>
      </c>
    </row>
    <row r="665" spans="1:10">
      <c r="A665" s="138" t="s">
        <v>8077</v>
      </c>
      <c r="B665" s="138" t="s">
        <v>9554</v>
      </c>
      <c r="C665" s="138" t="s">
        <v>8520</v>
      </c>
      <c r="D665" s="138" t="s">
        <v>599</v>
      </c>
      <c r="G665" s="138" t="s">
        <v>9480</v>
      </c>
      <c r="H665" s="138" t="s">
        <v>9557</v>
      </c>
      <c r="I665" s="138" t="s">
        <v>9421</v>
      </c>
      <c r="J665" s="138" t="s">
        <v>9485</v>
      </c>
    </row>
    <row r="666" spans="1:10">
      <c r="A666" s="138" t="s">
        <v>8077</v>
      </c>
      <c r="B666" s="138" t="s">
        <v>9554</v>
      </c>
      <c r="C666" s="138" t="s">
        <v>8520</v>
      </c>
      <c r="D666" s="138" t="s">
        <v>9558</v>
      </c>
      <c r="G666" s="138" t="s">
        <v>9480</v>
      </c>
      <c r="H666" s="138" t="s">
        <v>9559</v>
      </c>
      <c r="I666" s="138" t="s">
        <v>8077</v>
      </c>
      <c r="J666" s="138" t="s">
        <v>9530</v>
      </c>
    </row>
    <row r="667" spans="1:10">
      <c r="A667" s="138" t="s">
        <v>8077</v>
      </c>
      <c r="B667" s="138" t="s">
        <v>9554</v>
      </c>
      <c r="C667" s="138" t="s">
        <v>8520</v>
      </c>
      <c r="D667" s="138" t="s">
        <v>9560</v>
      </c>
      <c r="G667" s="138" t="s">
        <v>9480</v>
      </c>
      <c r="H667" s="138" t="s">
        <v>9561</v>
      </c>
      <c r="I667" s="138" t="s">
        <v>9378</v>
      </c>
      <c r="J667" s="138" t="s">
        <v>9472</v>
      </c>
    </row>
    <row r="668" spans="1:10">
      <c r="A668" s="138" t="s">
        <v>8077</v>
      </c>
      <c r="B668" s="138" t="s">
        <v>9554</v>
      </c>
      <c r="C668" s="138" t="s">
        <v>8520</v>
      </c>
      <c r="D668" s="138" t="s">
        <v>9562</v>
      </c>
      <c r="G668" s="138" t="s">
        <v>9480</v>
      </c>
      <c r="H668" s="138" t="s">
        <v>9563</v>
      </c>
      <c r="I668" s="138" t="s">
        <v>9421</v>
      </c>
      <c r="J668" s="138" t="s">
        <v>9492</v>
      </c>
    </row>
    <row r="669" spans="1:10">
      <c r="A669" s="138" t="s">
        <v>8077</v>
      </c>
      <c r="B669" s="138" t="s">
        <v>9554</v>
      </c>
      <c r="C669" s="138" t="s">
        <v>8520</v>
      </c>
      <c r="D669" s="138" t="s">
        <v>9564</v>
      </c>
      <c r="G669" s="138" t="s">
        <v>9480</v>
      </c>
      <c r="H669" s="138" t="s">
        <v>9565</v>
      </c>
      <c r="I669" s="138" t="s">
        <v>9378</v>
      </c>
      <c r="J669" s="138" t="s">
        <v>9435</v>
      </c>
    </row>
    <row r="670" spans="1:10">
      <c r="A670" s="138" t="s">
        <v>8077</v>
      </c>
      <c r="B670" s="138" t="s">
        <v>9554</v>
      </c>
      <c r="C670" s="138" t="s">
        <v>8520</v>
      </c>
      <c r="D670" s="138" t="s">
        <v>9566</v>
      </c>
      <c r="G670" s="138" t="s">
        <v>9480</v>
      </c>
      <c r="H670" s="138" t="s">
        <v>9567</v>
      </c>
      <c r="I670" s="138" t="s">
        <v>9421</v>
      </c>
      <c r="J670" s="138" t="s">
        <v>9523</v>
      </c>
    </row>
    <row r="671" spans="1:10">
      <c r="A671" s="138" t="s">
        <v>8077</v>
      </c>
      <c r="B671" s="138" t="s">
        <v>9554</v>
      </c>
      <c r="C671" s="138" t="s">
        <v>8520</v>
      </c>
      <c r="D671" s="138" t="s">
        <v>9568</v>
      </c>
    </row>
    <row r="672" spans="1:10">
      <c r="A672" s="138" t="s">
        <v>8077</v>
      </c>
      <c r="B672" s="138" t="s">
        <v>9554</v>
      </c>
      <c r="C672" s="138" t="s">
        <v>8520</v>
      </c>
      <c r="D672" s="138" t="s">
        <v>9569</v>
      </c>
    </row>
    <row r="673" spans="1:4">
      <c r="A673" s="138" t="s">
        <v>8077</v>
      </c>
      <c r="B673" s="138" t="s">
        <v>9554</v>
      </c>
      <c r="C673" s="138" t="s">
        <v>8520</v>
      </c>
      <c r="D673" s="138" t="s">
        <v>9570</v>
      </c>
    </row>
    <row r="674" spans="1:4">
      <c r="A674" s="138" t="s">
        <v>8077</v>
      </c>
      <c r="B674" s="138" t="s">
        <v>9554</v>
      </c>
      <c r="C674" s="138" t="s">
        <v>8520</v>
      </c>
      <c r="D674" s="138" t="s">
        <v>9571</v>
      </c>
    </row>
    <row r="675" spans="1:4">
      <c r="A675" s="138" t="e">
        <v>#N/A</v>
      </c>
      <c r="B675" s="138" t="e">
        <v>#N/A</v>
      </c>
      <c r="C675" s="138" t="s">
        <v>8520</v>
      </c>
      <c r="D675" s="138" t="e">
        <v>#N/A</v>
      </c>
    </row>
    <row r="676" spans="1:4">
      <c r="A676" s="138" t="s">
        <v>8077</v>
      </c>
      <c r="B676" s="138" t="s">
        <v>4367</v>
      </c>
      <c r="C676" s="138" t="s">
        <v>19</v>
      </c>
      <c r="D676" s="138" t="s">
        <v>147</v>
      </c>
    </row>
    <row r="677" spans="1:4">
      <c r="A677" s="138" t="s">
        <v>8077</v>
      </c>
      <c r="B677" s="138" t="s">
        <v>4367</v>
      </c>
      <c r="C677" s="138" t="s">
        <v>19</v>
      </c>
      <c r="D677" s="138" t="s">
        <v>88</v>
      </c>
    </row>
    <row r="678" spans="1:4">
      <c r="A678" s="138" t="s">
        <v>8077</v>
      </c>
      <c r="B678" s="138" t="s">
        <v>4367</v>
      </c>
      <c r="C678" s="138" t="s">
        <v>19</v>
      </c>
      <c r="D678" s="138" t="s">
        <v>19</v>
      </c>
    </row>
    <row r="679" spans="1:4">
      <c r="A679" s="138" t="s">
        <v>8077</v>
      </c>
      <c r="B679" s="138" t="s">
        <v>4367</v>
      </c>
      <c r="C679" s="138" t="s">
        <v>19</v>
      </c>
      <c r="D679" s="138" t="s">
        <v>220</v>
      </c>
    </row>
    <row r="680" spans="1:4">
      <c r="A680" s="138" t="e">
        <v>#N/A</v>
      </c>
      <c r="B680" s="138" t="e">
        <v>#N/A</v>
      </c>
      <c r="C680" s="138" t="s">
        <v>19</v>
      </c>
      <c r="D680" s="138" t="e">
        <v>#N/A</v>
      </c>
    </row>
    <row r="681" spans="1:4">
      <c r="A681" s="138" t="s">
        <v>8077</v>
      </c>
      <c r="B681" s="138" t="s">
        <v>8077</v>
      </c>
      <c r="C681" s="138" t="s">
        <v>8554</v>
      </c>
      <c r="D681" s="138" t="s">
        <v>8554</v>
      </c>
    </row>
    <row r="682" spans="1:4">
      <c r="A682" s="138" t="s">
        <v>8077</v>
      </c>
      <c r="B682" s="138" t="s">
        <v>8077</v>
      </c>
      <c r="C682" s="138" t="s">
        <v>8554</v>
      </c>
      <c r="D682" s="138" t="s">
        <v>9572</v>
      </c>
    </row>
    <row r="683" spans="1:4">
      <c r="A683" s="138" t="s">
        <v>8077</v>
      </c>
      <c r="B683" s="138" t="s">
        <v>8077</v>
      </c>
      <c r="C683" s="138" t="s">
        <v>8554</v>
      </c>
      <c r="D683" s="138" t="s">
        <v>9573</v>
      </c>
    </row>
    <row r="684" spans="1:4">
      <c r="A684" s="138" t="e">
        <v>#N/A</v>
      </c>
      <c r="B684" s="138" t="e">
        <v>#N/A</v>
      </c>
      <c r="C684" s="138" t="s">
        <v>8554</v>
      </c>
      <c r="D684" s="138" t="e">
        <v>#N/A</v>
      </c>
    </row>
    <row r="685" spans="1:4">
      <c r="A685" s="138" t="s">
        <v>8077</v>
      </c>
      <c r="B685" s="138" t="s">
        <v>8077</v>
      </c>
      <c r="C685" s="138" t="s">
        <v>8591</v>
      </c>
      <c r="D685" s="138" t="s">
        <v>9572</v>
      </c>
    </row>
    <row r="686" spans="1:4">
      <c r="A686" s="138" t="s">
        <v>8077</v>
      </c>
      <c r="B686" s="138" t="s">
        <v>8077</v>
      </c>
      <c r="C686" s="138" t="s">
        <v>8591</v>
      </c>
      <c r="D686" s="138" t="s">
        <v>8591</v>
      </c>
    </row>
    <row r="687" spans="1:4">
      <c r="A687" s="138" t="s">
        <v>8077</v>
      </c>
      <c r="B687" s="138" t="s">
        <v>8077</v>
      </c>
      <c r="C687" s="138" t="s">
        <v>8566</v>
      </c>
      <c r="D687" s="138" t="s">
        <v>194</v>
      </c>
    </row>
    <row r="688" spans="1:4">
      <c r="A688" s="138" t="s">
        <v>8077</v>
      </c>
      <c r="B688" s="138" t="s">
        <v>8077</v>
      </c>
      <c r="C688" s="138" t="s">
        <v>8566</v>
      </c>
      <c r="D688" s="138" t="s">
        <v>9574</v>
      </c>
    </row>
    <row r="689" spans="1:4">
      <c r="A689" s="138" t="s">
        <v>8077</v>
      </c>
      <c r="B689" s="138" t="s">
        <v>8077</v>
      </c>
      <c r="C689" s="138" t="s">
        <v>8566</v>
      </c>
      <c r="D689" s="138" t="s">
        <v>8566</v>
      </c>
    </row>
    <row r="690" spans="1:4">
      <c r="A690" s="138" t="s">
        <v>8077</v>
      </c>
      <c r="B690" s="138" t="s">
        <v>9575</v>
      </c>
      <c r="C690" s="138" t="s">
        <v>8559</v>
      </c>
      <c r="D690" s="138" t="s">
        <v>8559</v>
      </c>
    </row>
    <row r="691" spans="1:4">
      <c r="A691" s="138" t="s">
        <v>8077</v>
      </c>
      <c r="B691" s="138" t="s">
        <v>9575</v>
      </c>
      <c r="C691" s="138" t="s">
        <v>8559</v>
      </c>
      <c r="D691" s="138" t="s">
        <v>9576</v>
      </c>
    </row>
    <row r="692" spans="1:4">
      <c r="A692" s="138" t="s">
        <v>8077</v>
      </c>
      <c r="B692" s="138" t="s">
        <v>9575</v>
      </c>
      <c r="C692" s="138" t="s">
        <v>8559</v>
      </c>
      <c r="D692" s="138" t="s">
        <v>9577</v>
      </c>
    </row>
    <row r="693" spans="1:4">
      <c r="A693" s="138" t="s">
        <v>8077</v>
      </c>
      <c r="B693" s="138" t="s">
        <v>9575</v>
      </c>
      <c r="C693" s="138" t="s">
        <v>8559</v>
      </c>
      <c r="D693" s="138" t="s">
        <v>9578</v>
      </c>
    </row>
    <row r="694" spans="1:4">
      <c r="A694" s="138" t="e">
        <v>#N/A</v>
      </c>
      <c r="B694" s="138" t="e">
        <v>#N/A</v>
      </c>
      <c r="C694" s="138" t="s">
        <v>8559</v>
      </c>
      <c r="D694" s="138" t="e">
        <v>#N/A</v>
      </c>
    </row>
    <row r="695" spans="1:4">
      <c r="A695" s="138" t="s">
        <v>8077</v>
      </c>
      <c r="B695" s="138" t="s">
        <v>9575</v>
      </c>
      <c r="C695" s="138" t="s">
        <v>8526</v>
      </c>
      <c r="D695" s="138" t="s">
        <v>9579</v>
      </c>
    </row>
    <row r="696" spans="1:4">
      <c r="A696" s="138" t="s">
        <v>8077</v>
      </c>
      <c r="B696" s="138" t="s">
        <v>9575</v>
      </c>
      <c r="C696" s="138" t="s">
        <v>8526</v>
      </c>
      <c r="D696" s="138" t="s">
        <v>9580</v>
      </c>
    </row>
    <row r="697" spans="1:4">
      <c r="A697" s="138" t="s">
        <v>8077</v>
      </c>
      <c r="B697" s="138" t="s">
        <v>9575</v>
      </c>
      <c r="C697" s="138" t="s">
        <v>8526</v>
      </c>
      <c r="D697" s="138" t="s">
        <v>8526</v>
      </c>
    </row>
    <row r="698" spans="1:4">
      <c r="A698" s="138" t="s">
        <v>8077</v>
      </c>
      <c r="B698" s="138" t="s">
        <v>9575</v>
      </c>
      <c r="C698" s="138" t="s">
        <v>8526</v>
      </c>
      <c r="D698" s="138" t="s">
        <v>9581</v>
      </c>
    </row>
    <row r="699" spans="1:4">
      <c r="A699" s="138" t="s">
        <v>8077</v>
      </c>
      <c r="B699" s="138" t="s">
        <v>9575</v>
      </c>
      <c r="C699" s="138" t="s">
        <v>8523</v>
      </c>
      <c r="D699" s="138" t="s">
        <v>9582</v>
      </c>
    </row>
    <row r="700" spans="1:4">
      <c r="A700" s="138" t="s">
        <v>8077</v>
      </c>
      <c r="B700" s="138" t="s">
        <v>9575</v>
      </c>
      <c r="C700" s="138" t="s">
        <v>8523</v>
      </c>
      <c r="D700" s="138" t="s">
        <v>9583</v>
      </c>
    </row>
    <row r="701" spans="1:4">
      <c r="A701" s="138" t="s">
        <v>8077</v>
      </c>
      <c r="B701" s="138" t="s">
        <v>9575</v>
      </c>
      <c r="C701" s="138" t="s">
        <v>8523</v>
      </c>
      <c r="D701" s="138" t="s">
        <v>9584</v>
      </c>
    </row>
    <row r="702" spans="1:4">
      <c r="A702" s="138" t="s">
        <v>8077</v>
      </c>
      <c r="B702" s="138" t="s">
        <v>9575</v>
      </c>
      <c r="C702" s="138" t="s">
        <v>8523</v>
      </c>
      <c r="D702" s="138" t="s">
        <v>9585</v>
      </c>
    </row>
    <row r="703" spans="1:4">
      <c r="A703" s="138" t="s">
        <v>8077</v>
      </c>
      <c r="B703" s="138" t="s">
        <v>9575</v>
      </c>
      <c r="C703" s="138" t="s">
        <v>8573</v>
      </c>
      <c r="D703" s="138" t="s">
        <v>9586</v>
      </c>
    </row>
    <row r="704" spans="1:4">
      <c r="A704" s="138" t="s">
        <v>8077</v>
      </c>
      <c r="B704" s="138" t="s">
        <v>9575</v>
      </c>
      <c r="C704" s="138" t="s">
        <v>8573</v>
      </c>
      <c r="D704" s="138" t="s">
        <v>9587</v>
      </c>
    </row>
    <row r="705" spans="1:4">
      <c r="A705" s="138" t="s">
        <v>8077</v>
      </c>
      <c r="B705" s="138" t="s">
        <v>9575</v>
      </c>
      <c r="C705" s="138" t="s">
        <v>8573</v>
      </c>
      <c r="D705" s="138" t="s">
        <v>9588</v>
      </c>
    </row>
    <row r="706" spans="1:4">
      <c r="A706" s="138" t="s">
        <v>8077</v>
      </c>
      <c r="B706" s="138" t="s">
        <v>9575</v>
      </c>
      <c r="C706" s="138" t="s">
        <v>8573</v>
      </c>
      <c r="D706" s="138" t="s">
        <v>9582</v>
      </c>
    </row>
    <row r="707" spans="1:4">
      <c r="A707" s="138" t="s">
        <v>8077</v>
      </c>
      <c r="B707" s="138" t="s">
        <v>9575</v>
      </c>
      <c r="C707" s="138" t="s">
        <v>8529</v>
      </c>
      <c r="D707" s="138" t="s">
        <v>9589</v>
      </c>
    </row>
    <row r="708" spans="1:4">
      <c r="A708" s="138" t="s">
        <v>8077</v>
      </c>
      <c r="B708" s="138" t="s">
        <v>9575</v>
      </c>
      <c r="C708" s="138" t="s">
        <v>8529</v>
      </c>
      <c r="D708" s="138" t="s">
        <v>9590</v>
      </c>
    </row>
    <row r="709" spans="1:4">
      <c r="A709" s="138" t="s">
        <v>8077</v>
      </c>
      <c r="B709" s="138" t="s">
        <v>9575</v>
      </c>
      <c r="C709" s="138" t="s">
        <v>8529</v>
      </c>
      <c r="D709" s="138" t="s">
        <v>9591</v>
      </c>
    </row>
    <row r="710" spans="1:4">
      <c r="A710" s="138" t="s">
        <v>8077</v>
      </c>
      <c r="B710" s="138" t="s">
        <v>9575</v>
      </c>
      <c r="C710" s="138" t="s">
        <v>8529</v>
      </c>
      <c r="D710" s="138" t="s">
        <v>9592</v>
      </c>
    </row>
    <row r="711" spans="1:4">
      <c r="A711" s="138" t="e">
        <v>#N/A</v>
      </c>
      <c r="B711" s="138" t="e">
        <v>#N/A</v>
      </c>
      <c r="C711" s="138" t="s">
        <v>8529</v>
      </c>
      <c r="D711" s="138" t="e">
        <v>#N/A</v>
      </c>
    </row>
    <row r="712" spans="1:4">
      <c r="A712" s="138" t="s">
        <v>8077</v>
      </c>
      <c r="B712" s="138" t="s">
        <v>9575</v>
      </c>
      <c r="C712" s="138" t="s">
        <v>8550</v>
      </c>
      <c r="D712" s="138" t="s">
        <v>8550</v>
      </c>
    </row>
    <row r="713" spans="1:4">
      <c r="A713" s="138" t="s">
        <v>8077</v>
      </c>
      <c r="B713" s="138" t="s">
        <v>9575</v>
      </c>
      <c r="C713" s="138" t="s">
        <v>8550</v>
      </c>
      <c r="D713" s="138" t="s">
        <v>9593</v>
      </c>
    </row>
    <row r="714" spans="1:4">
      <c r="A714" s="138" t="s">
        <v>8077</v>
      </c>
      <c r="B714" s="138" t="s">
        <v>9575</v>
      </c>
      <c r="C714" s="138" t="s">
        <v>8550</v>
      </c>
      <c r="D714" s="138" t="s">
        <v>9594</v>
      </c>
    </row>
    <row r="715" spans="1:4">
      <c r="A715" s="138" t="s">
        <v>8077</v>
      </c>
      <c r="B715" s="138" t="s">
        <v>9575</v>
      </c>
      <c r="C715" s="138" t="s">
        <v>8550</v>
      </c>
      <c r="D715" s="138" t="s">
        <v>9595</v>
      </c>
    </row>
    <row r="716" spans="1:4">
      <c r="A716" s="138" t="s">
        <v>8077</v>
      </c>
      <c r="B716" s="138" t="s">
        <v>9575</v>
      </c>
      <c r="C716" s="138" t="s">
        <v>8550</v>
      </c>
      <c r="D716" s="138" t="s">
        <v>9596</v>
      </c>
    </row>
    <row r="717" spans="1:4">
      <c r="A717" s="138" t="s">
        <v>8077</v>
      </c>
      <c r="B717" s="138" t="s">
        <v>9575</v>
      </c>
      <c r="C717" s="138" t="s">
        <v>1193</v>
      </c>
      <c r="D717" s="138" t="s">
        <v>9597</v>
      </c>
    </row>
    <row r="718" spans="1:4">
      <c r="A718" s="138" t="s">
        <v>8077</v>
      </c>
      <c r="B718" s="138" t="s">
        <v>9575</v>
      </c>
      <c r="C718" s="138" t="s">
        <v>1193</v>
      </c>
      <c r="D718" s="138" t="s">
        <v>1193</v>
      </c>
    </row>
    <row r="719" spans="1:4">
      <c r="A719" s="138" t="s">
        <v>8077</v>
      </c>
      <c r="B719" s="138" t="s">
        <v>9575</v>
      </c>
      <c r="C719" s="138" t="s">
        <v>1193</v>
      </c>
      <c r="D719" s="138" t="s">
        <v>9598</v>
      </c>
    </row>
    <row r="720" spans="1:4">
      <c r="A720" s="138" t="s">
        <v>8077</v>
      </c>
      <c r="B720" s="138" t="s">
        <v>9575</v>
      </c>
      <c r="C720" s="138" t="s">
        <v>1193</v>
      </c>
      <c r="D720" s="138" t="s">
        <v>9599</v>
      </c>
    </row>
    <row r="721" spans="1:4">
      <c r="A721" s="138" t="s">
        <v>8077</v>
      </c>
      <c r="B721" s="138" t="s">
        <v>4367</v>
      </c>
      <c r="C721" s="138" t="s">
        <v>792</v>
      </c>
      <c r="D721" s="138" t="s">
        <v>8119</v>
      </c>
    </row>
    <row r="722" spans="1:4">
      <c r="A722" s="138" t="s">
        <v>8077</v>
      </c>
      <c r="B722" s="138" t="s">
        <v>8077</v>
      </c>
      <c r="C722" s="138" t="s">
        <v>8535</v>
      </c>
      <c r="D722" s="138" t="s">
        <v>8535</v>
      </c>
    </row>
    <row r="723" spans="1:4">
      <c r="A723" s="138" t="s">
        <v>8077</v>
      </c>
      <c r="B723" s="138" t="s">
        <v>8077</v>
      </c>
      <c r="C723" s="138" t="s">
        <v>8535</v>
      </c>
      <c r="D723" s="138" t="s">
        <v>9600</v>
      </c>
    </row>
    <row r="724" spans="1:4">
      <c r="A724" s="138" t="s">
        <v>8077</v>
      </c>
      <c r="B724" s="138" t="s">
        <v>8077</v>
      </c>
      <c r="C724" s="138" t="s">
        <v>8535</v>
      </c>
      <c r="D724" s="138" t="s">
        <v>9601</v>
      </c>
    </row>
    <row r="725" spans="1:4">
      <c r="A725" s="138" t="s">
        <v>8077</v>
      </c>
      <c r="B725" s="138" t="s">
        <v>8077</v>
      </c>
      <c r="C725" s="138" t="s">
        <v>8535</v>
      </c>
      <c r="D725" s="138" t="s">
        <v>9602</v>
      </c>
    </row>
    <row r="726" spans="1:4">
      <c r="A726" s="138" t="s">
        <v>8077</v>
      </c>
      <c r="B726" s="138" t="s">
        <v>4367</v>
      </c>
      <c r="C726" s="138" t="s">
        <v>15</v>
      </c>
      <c r="D726" s="138" t="s">
        <v>15</v>
      </c>
    </row>
    <row r="727" spans="1:4">
      <c r="A727" s="138" t="s">
        <v>8077</v>
      </c>
      <c r="B727" s="138" t="s">
        <v>4367</v>
      </c>
      <c r="C727" s="138" t="s">
        <v>15</v>
      </c>
      <c r="D727" s="138" t="s">
        <v>789</v>
      </c>
    </row>
    <row r="728" spans="1:4">
      <c r="A728" s="138" t="s">
        <v>8077</v>
      </c>
      <c r="B728" s="138" t="s">
        <v>4367</v>
      </c>
      <c r="C728" s="138" t="s">
        <v>15</v>
      </c>
      <c r="D728" s="138" t="s">
        <v>389</v>
      </c>
    </row>
    <row r="729" spans="1:4">
      <c r="A729" s="138" t="s">
        <v>8077</v>
      </c>
      <c r="B729" s="138" t="s">
        <v>4367</v>
      </c>
      <c r="C729" s="138" t="s">
        <v>15</v>
      </c>
      <c r="D729" s="138" t="s">
        <v>790</v>
      </c>
    </row>
    <row r="730" spans="1:4">
      <c r="A730" s="138" t="s">
        <v>8077</v>
      </c>
      <c r="B730" s="138" t="s">
        <v>4367</v>
      </c>
      <c r="C730" s="138" t="s">
        <v>11</v>
      </c>
      <c r="D730" s="138" t="s">
        <v>261</v>
      </c>
    </row>
    <row r="731" spans="1:4">
      <c r="A731" s="138" t="s">
        <v>8077</v>
      </c>
      <c r="B731" s="138" t="s">
        <v>4367</v>
      </c>
      <c r="C731" s="138" t="s">
        <v>11</v>
      </c>
      <c r="D731" s="138" t="s">
        <v>8119</v>
      </c>
    </row>
    <row r="732" spans="1:4">
      <c r="A732" s="138" t="s">
        <v>8077</v>
      </c>
      <c r="B732" s="138" t="s">
        <v>4367</v>
      </c>
      <c r="C732" s="138" t="s">
        <v>11</v>
      </c>
      <c r="D732" s="138" t="s">
        <v>9603</v>
      </c>
    </row>
    <row r="733" spans="1:4">
      <c r="A733" s="138" t="s">
        <v>8077</v>
      </c>
      <c r="B733" s="138" t="s">
        <v>4367</v>
      </c>
      <c r="C733" s="138" t="s">
        <v>11</v>
      </c>
      <c r="D733" s="138" t="s">
        <v>297</v>
      </c>
    </row>
    <row r="734" spans="1:4">
      <c r="A734" s="138" t="s">
        <v>8077</v>
      </c>
      <c r="B734" s="138" t="s">
        <v>4367</v>
      </c>
      <c r="C734" s="138" t="s">
        <v>10</v>
      </c>
      <c r="D734" s="138" t="s">
        <v>430</v>
      </c>
    </row>
    <row r="735" spans="1:4">
      <c r="A735" s="138" t="s">
        <v>8077</v>
      </c>
      <c r="B735" s="138" t="s">
        <v>4367</v>
      </c>
      <c r="C735" s="138" t="s">
        <v>10</v>
      </c>
      <c r="D735" s="138" t="s">
        <v>8161</v>
      </c>
    </row>
    <row r="736" spans="1:4">
      <c r="A736" s="138" t="s">
        <v>8077</v>
      </c>
      <c r="B736" s="138" t="s">
        <v>4367</v>
      </c>
      <c r="C736" s="138" t="s">
        <v>10</v>
      </c>
      <c r="D736" s="138" t="s">
        <v>10</v>
      </c>
    </row>
    <row r="737" spans="1:4">
      <c r="A737" s="138" t="s">
        <v>8077</v>
      </c>
      <c r="B737" s="138" t="s">
        <v>4367</v>
      </c>
      <c r="C737" s="138" t="s">
        <v>10</v>
      </c>
      <c r="D737" s="138" t="s">
        <v>166</v>
      </c>
    </row>
    <row r="738" spans="1:4">
      <c r="A738" s="138" t="s">
        <v>8077</v>
      </c>
      <c r="B738" s="138" t="s">
        <v>4367</v>
      </c>
      <c r="C738" s="138" t="s">
        <v>10</v>
      </c>
      <c r="D738" s="138" t="s">
        <v>786</v>
      </c>
    </row>
    <row r="739" spans="1:4">
      <c r="A739" s="138" t="s">
        <v>8077</v>
      </c>
      <c r="B739" s="138" t="s">
        <v>4367</v>
      </c>
      <c r="C739" s="138" t="s">
        <v>8</v>
      </c>
      <c r="D739" s="138" t="s">
        <v>658</v>
      </c>
    </row>
    <row r="740" spans="1:4">
      <c r="A740" s="138" t="s">
        <v>8077</v>
      </c>
      <c r="B740" s="138" t="s">
        <v>4367</v>
      </c>
      <c r="C740" s="138" t="s">
        <v>8</v>
      </c>
      <c r="D740" s="138" t="s">
        <v>8186</v>
      </c>
    </row>
    <row r="741" spans="1:4">
      <c r="A741" s="138" t="s">
        <v>8077</v>
      </c>
      <c r="B741" s="138" t="s">
        <v>4367</v>
      </c>
      <c r="C741" s="138" t="s">
        <v>8</v>
      </c>
      <c r="D741" s="138" t="s">
        <v>8</v>
      </c>
    </row>
    <row r="742" spans="1:4">
      <c r="A742" s="138" t="s">
        <v>8077</v>
      </c>
      <c r="B742" s="138" t="s">
        <v>4367</v>
      </c>
      <c r="C742" s="138" t="s">
        <v>8</v>
      </c>
      <c r="D742" s="138" t="s">
        <v>587</v>
      </c>
    </row>
    <row r="743" spans="1:4">
      <c r="A743" s="138" t="s">
        <v>8077</v>
      </c>
      <c r="B743" s="138" t="s">
        <v>4367</v>
      </c>
      <c r="C743" s="138" t="s">
        <v>8</v>
      </c>
      <c r="D743" s="138" t="s">
        <v>15</v>
      </c>
    </row>
    <row r="744" spans="1:4">
      <c r="A744" s="138" t="s">
        <v>8077</v>
      </c>
      <c r="B744" s="138" t="s">
        <v>4367</v>
      </c>
      <c r="C744" s="138" t="s">
        <v>8</v>
      </c>
      <c r="D744" s="138" t="s">
        <v>633</v>
      </c>
    </row>
    <row r="745" spans="1:4">
      <c r="A745" s="138" t="s">
        <v>8077</v>
      </c>
      <c r="B745" s="138" t="s">
        <v>4367</v>
      </c>
      <c r="C745" s="138" t="s">
        <v>7</v>
      </c>
      <c r="D745" s="138" t="s">
        <v>671</v>
      </c>
    </row>
    <row r="746" spans="1:4">
      <c r="A746" s="138" t="s">
        <v>8077</v>
      </c>
      <c r="B746" s="138" t="s">
        <v>4367</v>
      </c>
      <c r="C746" s="138" t="s">
        <v>7</v>
      </c>
      <c r="D746" s="138" t="s">
        <v>7</v>
      </c>
    </row>
    <row r="747" spans="1:4">
      <c r="A747" s="138" t="s">
        <v>8077</v>
      </c>
      <c r="B747" s="138" t="s">
        <v>4367</v>
      </c>
      <c r="C747" s="138" t="s">
        <v>7</v>
      </c>
      <c r="D747" s="138" t="s">
        <v>785</v>
      </c>
    </row>
    <row r="748" spans="1:4">
      <c r="A748" s="138" t="s">
        <v>8077</v>
      </c>
      <c r="B748" s="138" t="s">
        <v>4367</v>
      </c>
      <c r="C748" s="138" t="s">
        <v>7</v>
      </c>
      <c r="D748" s="138" t="s">
        <v>706</v>
      </c>
    </row>
    <row r="749" spans="1:4">
      <c r="A749" s="138" t="e">
        <v>#N/A</v>
      </c>
      <c r="B749" s="138" t="e">
        <v>#N/A</v>
      </c>
      <c r="C749" s="138" t="s">
        <v>7</v>
      </c>
      <c r="D749" s="138" t="e">
        <v>#N/A</v>
      </c>
    </row>
    <row r="750" spans="1:4">
      <c r="A750" s="138" t="s">
        <v>9604</v>
      </c>
      <c r="B750" s="138" t="s">
        <v>9605</v>
      </c>
      <c r="C750" s="138" t="s">
        <v>9357</v>
      </c>
      <c r="D750" s="138" t="s">
        <v>9606</v>
      </c>
    </row>
    <row r="751" spans="1:4">
      <c r="A751" s="138" t="s">
        <v>9604</v>
      </c>
      <c r="B751" s="138" t="s">
        <v>9605</v>
      </c>
      <c r="C751" s="138" t="s">
        <v>9357</v>
      </c>
      <c r="D751" s="138" t="s">
        <v>9607</v>
      </c>
    </row>
    <row r="752" spans="1:4">
      <c r="A752" s="138" t="s">
        <v>9604</v>
      </c>
      <c r="B752" s="138" t="s">
        <v>9605</v>
      </c>
      <c r="C752" s="138" t="s">
        <v>9357</v>
      </c>
      <c r="D752" s="138" t="s">
        <v>9357</v>
      </c>
    </row>
    <row r="753" spans="1:4">
      <c r="A753" s="138" t="s">
        <v>9604</v>
      </c>
      <c r="B753" s="138" t="s">
        <v>9605</v>
      </c>
      <c r="C753" s="138" t="s">
        <v>9357</v>
      </c>
      <c r="D753" s="138" t="s">
        <v>9608</v>
      </c>
    </row>
    <row r="754" spans="1:4">
      <c r="A754" s="138" t="e">
        <v>#N/A</v>
      </c>
      <c r="B754" s="138" t="e">
        <v>#N/A</v>
      </c>
      <c r="C754" s="138" t="s">
        <v>9357</v>
      </c>
      <c r="D754" s="138" t="e">
        <v>#N/A</v>
      </c>
    </row>
    <row r="755" spans="1:4">
      <c r="A755" s="138" t="s">
        <v>9604</v>
      </c>
      <c r="B755" s="138" t="s">
        <v>9605</v>
      </c>
      <c r="C755" s="138" t="s">
        <v>9357</v>
      </c>
      <c r="D755" s="138" t="s">
        <v>9609</v>
      </c>
    </row>
    <row r="756" spans="1:4">
      <c r="A756" s="138" t="s">
        <v>9604</v>
      </c>
      <c r="B756" s="138" t="s">
        <v>9605</v>
      </c>
      <c r="C756" s="138" t="s">
        <v>9364</v>
      </c>
      <c r="D756" s="138" t="s">
        <v>9610</v>
      </c>
    </row>
    <row r="757" spans="1:4">
      <c r="A757" s="138" t="s">
        <v>9604</v>
      </c>
      <c r="B757" s="138" t="s">
        <v>9605</v>
      </c>
      <c r="C757" s="138" t="s">
        <v>9364</v>
      </c>
      <c r="D757" s="138" t="s">
        <v>9611</v>
      </c>
    </row>
    <row r="758" spans="1:4">
      <c r="A758" s="138" t="s">
        <v>9604</v>
      </c>
      <c r="B758" s="138" t="s">
        <v>9605</v>
      </c>
      <c r="C758" s="138" t="s">
        <v>9364</v>
      </c>
      <c r="D758" s="138" t="s">
        <v>9612</v>
      </c>
    </row>
    <row r="759" spans="1:4">
      <c r="A759" s="138" t="s">
        <v>9604</v>
      </c>
      <c r="B759" s="138" t="s">
        <v>9605</v>
      </c>
      <c r="C759" s="138" t="s">
        <v>9364</v>
      </c>
      <c r="D759" s="138" t="s">
        <v>9613</v>
      </c>
    </row>
    <row r="760" spans="1:4">
      <c r="A760" s="138" t="s">
        <v>9604</v>
      </c>
      <c r="B760" s="138" t="s">
        <v>9605</v>
      </c>
      <c r="C760" s="138" t="s">
        <v>9331</v>
      </c>
      <c r="D760" s="138" t="s">
        <v>9331</v>
      </c>
    </row>
    <row r="761" spans="1:4">
      <c r="A761" s="138" t="s">
        <v>9604</v>
      </c>
      <c r="B761" s="138" t="s">
        <v>9605</v>
      </c>
      <c r="C761" s="138" t="s">
        <v>9331</v>
      </c>
      <c r="D761" s="138" t="s">
        <v>9614</v>
      </c>
    </row>
    <row r="762" spans="1:4">
      <c r="A762" s="138" t="s">
        <v>9604</v>
      </c>
      <c r="B762" s="138" t="s">
        <v>9605</v>
      </c>
      <c r="C762" s="138" t="s">
        <v>9331</v>
      </c>
      <c r="D762" s="138" t="s">
        <v>9615</v>
      </c>
    </row>
    <row r="763" spans="1:4">
      <c r="A763" s="138" t="s">
        <v>9604</v>
      </c>
      <c r="B763" s="138" t="s">
        <v>9605</v>
      </c>
      <c r="C763" s="138" t="s">
        <v>9331</v>
      </c>
      <c r="D763" s="138" t="s">
        <v>9616</v>
      </c>
    </row>
    <row r="764" spans="1:4">
      <c r="A764" s="138" t="s">
        <v>9604</v>
      </c>
      <c r="B764" s="138" t="s">
        <v>9605</v>
      </c>
      <c r="C764" s="138" t="s">
        <v>9331</v>
      </c>
      <c r="D764" s="138" t="s">
        <v>148</v>
      </c>
    </row>
    <row r="765" spans="1:4">
      <c r="A765" s="138" t="e">
        <v>#N/A</v>
      </c>
      <c r="B765" s="138" t="e">
        <v>#N/A</v>
      </c>
      <c r="C765" s="138" t="s">
        <v>9331</v>
      </c>
      <c r="D765" s="138" t="e">
        <v>#N/A</v>
      </c>
    </row>
    <row r="766" spans="1:4">
      <c r="A766" s="138" t="s">
        <v>9604</v>
      </c>
      <c r="B766" s="138" t="s">
        <v>9605</v>
      </c>
      <c r="C766" s="138" t="s">
        <v>9383</v>
      </c>
      <c r="D766" s="138" t="s">
        <v>9617</v>
      </c>
    </row>
    <row r="767" spans="1:4">
      <c r="A767" s="138" t="s">
        <v>9604</v>
      </c>
      <c r="B767" s="138" t="s">
        <v>9605</v>
      </c>
      <c r="C767" s="138" t="s">
        <v>9383</v>
      </c>
      <c r="D767" s="138" t="s">
        <v>9618</v>
      </c>
    </row>
    <row r="768" spans="1:4">
      <c r="A768" s="138" t="s">
        <v>9604</v>
      </c>
      <c r="B768" s="138" t="s">
        <v>9605</v>
      </c>
      <c r="C768" s="138" t="s">
        <v>9383</v>
      </c>
      <c r="D768" s="138" t="s">
        <v>9383</v>
      </c>
    </row>
    <row r="769" spans="1:4">
      <c r="A769" s="138" t="s">
        <v>9604</v>
      </c>
      <c r="B769" s="138" t="s">
        <v>9605</v>
      </c>
      <c r="C769" s="138" t="s">
        <v>9383</v>
      </c>
      <c r="D769" s="138" t="s">
        <v>9619</v>
      </c>
    </row>
    <row r="770" spans="1:4">
      <c r="A770" s="138" t="e">
        <v>#N/A</v>
      </c>
      <c r="B770" s="138" t="e">
        <v>#N/A</v>
      </c>
      <c r="C770" s="138" t="s">
        <v>9383</v>
      </c>
      <c r="D770" s="138" t="e">
        <v>#N/A</v>
      </c>
    </row>
    <row r="771" spans="1:4">
      <c r="A771" s="138" t="s">
        <v>9604</v>
      </c>
      <c r="B771" s="138" t="s">
        <v>9605</v>
      </c>
      <c r="C771" s="138" t="s">
        <v>9323</v>
      </c>
      <c r="D771" s="138" t="s">
        <v>9620</v>
      </c>
    </row>
    <row r="772" spans="1:4">
      <c r="A772" s="138" t="s">
        <v>9604</v>
      </c>
      <c r="B772" s="138" t="s">
        <v>9605</v>
      </c>
      <c r="C772" s="138" t="s">
        <v>9323</v>
      </c>
      <c r="D772" s="138" t="s">
        <v>9323</v>
      </c>
    </row>
    <row r="773" spans="1:4">
      <c r="A773" s="138" t="s">
        <v>9604</v>
      </c>
      <c r="B773" s="138" t="s">
        <v>9605</v>
      </c>
      <c r="C773" s="138" t="s">
        <v>9323</v>
      </c>
      <c r="D773" s="138" t="s">
        <v>9618</v>
      </c>
    </row>
    <row r="774" spans="1:4">
      <c r="A774" s="138" t="s">
        <v>9604</v>
      </c>
      <c r="B774" s="138" t="s">
        <v>9554</v>
      </c>
      <c r="C774" s="138" t="s">
        <v>9341</v>
      </c>
      <c r="D774" s="138" t="s">
        <v>9621</v>
      </c>
    </row>
    <row r="775" spans="1:4">
      <c r="A775" s="138" t="s">
        <v>9604</v>
      </c>
      <c r="B775" s="138" t="s">
        <v>9554</v>
      </c>
      <c r="C775" s="138" t="s">
        <v>9341</v>
      </c>
      <c r="D775" s="138" t="s">
        <v>9622</v>
      </c>
    </row>
    <row r="776" spans="1:4">
      <c r="A776" s="138" t="s">
        <v>9604</v>
      </c>
      <c r="B776" s="138" t="s">
        <v>9554</v>
      </c>
      <c r="C776" s="138" t="s">
        <v>9341</v>
      </c>
      <c r="D776" s="138" t="s">
        <v>9623</v>
      </c>
    </row>
    <row r="777" spans="1:4">
      <c r="A777" s="138" t="s">
        <v>9604</v>
      </c>
      <c r="B777" s="138" t="s">
        <v>9554</v>
      </c>
      <c r="C777" s="138" t="s">
        <v>9341</v>
      </c>
      <c r="D777" s="138" t="s">
        <v>9624</v>
      </c>
    </row>
    <row r="778" spans="1:4">
      <c r="A778" s="138" t="s">
        <v>9604</v>
      </c>
      <c r="B778" s="138" t="s">
        <v>9554</v>
      </c>
      <c r="C778" s="138" t="s">
        <v>9341</v>
      </c>
      <c r="D778" s="138" t="s">
        <v>9625</v>
      </c>
    </row>
    <row r="779" spans="1:4">
      <c r="A779" s="138" t="e">
        <v>#N/A</v>
      </c>
      <c r="B779" s="138" t="e">
        <v>#N/A</v>
      </c>
      <c r="C779" s="138" t="s">
        <v>9341</v>
      </c>
      <c r="D779" s="138" t="e">
        <v>#N/A</v>
      </c>
    </row>
    <row r="780" spans="1:4">
      <c r="A780" s="138" t="s">
        <v>9604</v>
      </c>
      <c r="B780" s="138" t="s">
        <v>9554</v>
      </c>
      <c r="C780" s="138" t="s">
        <v>9328</v>
      </c>
      <c r="D780" s="138" t="s">
        <v>9626</v>
      </c>
    </row>
    <row r="781" spans="1:4">
      <c r="A781" s="138" t="s">
        <v>9604</v>
      </c>
      <c r="B781" s="138" t="s">
        <v>9554</v>
      </c>
      <c r="C781" s="138" t="s">
        <v>9328</v>
      </c>
      <c r="D781" s="138" t="s">
        <v>9627</v>
      </c>
    </row>
    <row r="782" spans="1:4">
      <c r="A782" s="138" t="s">
        <v>9604</v>
      </c>
      <c r="B782" s="138" t="s">
        <v>9554</v>
      </c>
      <c r="C782" s="138" t="s">
        <v>9328</v>
      </c>
      <c r="D782" s="138" t="s">
        <v>9628</v>
      </c>
    </row>
    <row r="783" spans="1:4">
      <c r="A783" s="138" t="s">
        <v>9604</v>
      </c>
      <c r="B783" s="138" t="s">
        <v>9554</v>
      </c>
      <c r="C783" s="138" t="s">
        <v>9328</v>
      </c>
      <c r="D783" s="138" t="s">
        <v>9629</v>
      </c>
    </row>
    <row r="784" spans="1:4">
      <c r="A784" s="138" t="s">
        <v>9604</v>
      </c>
      <c r="B784" s="138" t="s">
        <v>9554</v>
      </c>
      <c r="C784" s="138" t="s">
        <v>9328</v>
      </c>
      <c r="D784" s="138" t="s">
        <v>9630</v>
      </c>
    </row>
    <row r="785" spans="1:4">
      <c r="A785" s="138" t="s">
        <v>9604</v>
      </c>
      <c r="B785" s="138" t="s">
        <v>9554</v>
      </c>
      <c r="C785" s="138" t="s">
        <v>9328</v>
      </c>
      <c r="D785" s="138" t="s">
        <v>9631</v>
      </c>
    </row>
    <row r="786" spans="1:4">
      <c r="A786" s="138" t="e">
        <v>#N/A</v>
      </c>
      <c r="B786" s="138" t="e">
        <v>#N/A</v>
      </c>
      <c r="C786" s="138" t="s">
        <v>9328</v>
      </c>
      <c r="D786" s="138" t="e">
        <v>#N/A</v>
      </c>
    </row>
    <row r="787" spans="1:4">
      <c r="A787" s="138" t="s">
        <v>9604</v>
      </c>
      <c r="B787" s="138" t="s">
        <v>9605</v>
      </c>
      <c r="C787" s="138" t="s">
        <v>9339</v>
      </c>
      <c r="D787" s="138" t="s">
        <v>9339</v>
      </c>
    </row>
    <row r="788" spans="1:4">
      <c r="A788" s="138" t="s">
        <v>9604</v>
      </c>
      <c r="B788" s="138" t="s">
        <v>9605</v>
      </c>
      <c r="C788" s="138" t="s">
        <v>9339</v>
      </c>
      <c r="D788" s="138" t="s">
        <v>9632</v>
      </c>
    </row>
    <row r="789" spans="1:4">
      <c r="A789" s="138" t="s">
        <v>9604</v>
      </c>
      <c r="B789" s="138" t="s">
        <v>9605</v>
      </c>
      <c r="C789" s="138" t="s">
        <v>9339</v>
      </c>
      <c r="D789" s="138" t="s">
        <v>9456</v>
      </c>
    </row>
    <row r="790" spans="1:4">
      <c r="A790" s="138" t="s">
        <v>9604</v>
      </c>
      <c r="B790" s="138" t="s">
        <v>9605</v>
      </c>
      <c r="C790" s="138" t="s">
        <v>9339</v>
      </c>
      <c r="D790" s="138" t="s">
        <v>9633</v>
      </c>
    </row>
    <row r="791" spans="1:4">
      <c r="A791" s="138" t="s">
        <v>9604</v>
      </c>
      <c r="B791" s="138" t="s">
        <v>9605</v>
      </c>
      <c r="C791" s="138" t="s">
        <v>9336</v>
      </c>
      <c r="D791" s="138" t="s">
        <v>9634</v>
      </c>
    </row>
    <row r="792" spans="1:4">
      <c r="A792" s="138" t="s">
        <v>9604</v>
      </c>
      <c r="B792" s="138" t="s">
        <v>9605</v>
      </c>
      <c r="C792" s="138" t="s">
        <v>9336</v>
      </c>
      <c r="D792" s="138" t="s">
        <v>9635</v>
      </c>
    </row>
    <row r="793" spans="1:4">
      <c r="A793" s="138" t="s">
        <v>9604</v>
      </c>
      <c r="B793" s="138" t="s">
        <v>9605</v>
      </c>
      <c r="C793" s="138" t="s">
        <v>9336</v>
      </c>
      <c r="D793" s="138" t="s">
        <v>9636</v>
      </c>
    </row>
    <row r="794" spans="1:4">
      <c r="A794" s="138" t="s">
        <v>9604</v>
      </c>
      <c r="B794" s="138" t="s">
        <v>9605</v>
      </c>
      <c r="C794" s="138" t="s">
        <v>9336</v>
      </c>
      <c r="D794" s="138" t="s">
        <v>9336</v>
      </c>
    </row>
    <row r="795" spans="1:4">
      <c r="A795" s="138" t="s">
        <v>9604</v>
      </c>
      <c r="B795" s="138" t="s">
        <v>9604</v>
      </c>
      <c r="C795" s="138" t="s">
        <v>9354</v>
      </c>
      <c r="D795" s="138" t="s">
        <v>9618</v>
      </c>
    </row>
    <row r="796" spans="1:4">
      <c r="A796" s="138" t="s">
        <v>9604</v>
      </c>
      <c r="B796" s="138" t="s">
        <v>9604</v>
      </c>
      <c r="C796" s="138" t="s">
        <v>9637</v>
      </c>
      <c r="D796" s="138" t="s">
        <v>9618</v>
      </c>
    </row>
    <row r="797" spans="1:4">
      <c r="A797" s="138" t="s">
        <v>9604</v>
      </c>
      <c r="B797" s="138" t="s">
        <v>9604</v>
      </c>
      <c r="C797" s="138" t="s">
        <v>9638</v>
      </c>
      <c r="D797" s="138" t="s">
        <v>9618</v>
      </c>
    </row>
    <row r="798" spans="1:4">
      <c r="A798" s="138" t="s">
        <v>9604</v>
      </c>
      <c r="B798" s="138" t="s">
        <v>9604</v>
      </c>
      <c r="C798" s="138" t="s">
        <v>9401</v>
      </c>
      <c r="D798" s="138" t="s">
        <v>9618</v>
      </c>
    </row>
    <row r="799" spans="1:4">
      <c r="A799" s="138" t="s">
        <v>9604</v>
      </c>
      <c r="B799" s="138" t="s">
        <v>9604</v>
      </c>
      <c r="C799" s="138" t="s">
        <v>9399</v>
      </c>
      <c r="D799" s="138" t="s">
        <v>9618</v>
      </c>
    </row>
    <row r="800" spans="1:4">
      <c r="A800" s="138" t="s">
        <v>9604</v>
      </c>
      <c r="B800" s="138" t="s">
        <v>9604</v>
      </c>
      <c r="C800" s="138" t="s">
        <v>9325</v>
      </c>
      <c r="D800" s="138" t="s">
        <v>9639</v>
      </c>
    </row>
    <row r="801" spans="1:4">
      <c r="A801" s="138" t="s">
        <v>9604</v>
      </c>
      <c r="B801" s="138" t="s">
        <v>9604</v>
      </c>
      <c r="C801" s="138" t="s">
        <v>9325</v>
      </c>
      <c r="D801" s="138" t="s">
        <v>9640</v>
      </c>
    </row>
    <row r="802" spans="1:4">
      <c r="A802" s="138" t="s">
        <v>9604</v>
      </c>
      <c r="B802" s="138" t="s">
        <v>9604</v>
      </c>
      <c r="C802" s="138" t="s">
        <v>9325</v>
      </c>
      <c r="D802" s="138" t="s">
        <v>9641</v>
      </c>
    </row>
    <row r="803" spans="1:4">
      <c r="A803" s="138" t="s">
        <v>9604</v>
      </c>
      <c r="B803" s="138" t="s">
        <v>9604</v>
      </c>
      <c r="C803" s="138" t="s">
        <v>9325</v>
      </c>
      <c r="D803" s="138" t="s">
        <v>9618</v>
      </c>
    </row>
    <row r="804" spans="1:4">
      <c r="A804" s="138" t="s">
        <v>9479</v>
      </c>
      <c r="B804" s="138" t="s">
        <v>9479</v>
      </c>
      <c r="C804" s="138" t="s">
        <v>9442</v>
      </c>
      <c r="D804" s="138" t="s">
        <v>9442</v>
      </c>
    </row>
    <row r="805" spans="1:4">
      <c r="A805" s="138" t="s">
        <v>9479</v>
      </c>
      <c r="B805" s="138" t="s">
        <v>9479</v>
      </c>
      <c r="C805" s="138" t="s">
        <v>9442</v>
      </c>
      <c r="D805" s="138" t="s">
        <v>9642</v>
      </c>
    </row>
    <row r="806" spans="1:4">
      <c r="A806" s="138" t="s">
        <v>9479</v>
      </c>
      <c r="B806" s="138" t="s">
        <v>9479</v>
      </c>
      <c r="C806" s="138" t="s">
        <v>9442</v>
      </c>
      <c r="D806" s="138" t="s">
        <v>9643</v>
      </c>
    </row>
    <row r="807" spans="1:4">
      <c r="A807" s="138" t="s">
        <v>9479</v>
      </c>
      <c r="B807" s="138" t="s">
        <v>9479</v>
      </c>
      <c r="C807" s="138" t="s">
        <v>9442</v>
      </c>
      <c r="D807" s="138" t="s">
        <v>9644</v>
      </c>
    </row>
    <row r="808" spans="1:4">
      <c r="A808" s="138" t="s">
        <v>9479</v>
      </c>
      <c r="B808" s="138" t="s">
        <v>9479</v>
      </c>
      <c r="C808" s="138" t="s">
        <v>9442</v>
      </c>
      <c r="D808" s="138" t="s">
        <v>9645</v>
      </c>
    </row>
    <row r="809" spans="1:4">
      <c r="A809" s="138" t="s">
        <v>9479</v>
      </c>
      <c r="B809" s="138" t="s">
        <v>9479</v>
      </c>
      <c r="C809" s="138" t="s">
        <v>9479</v>
      </c>
      <c r="D809" s="138" t="s">
        <v>9479</v>
      </c>
    </row>
    <row r="810" spans="1:4">
      <c r="A810" s="138" t="s">
        <v>9479</v>
      </c>
      <c r="B810" s="138" t="s">
        <v>9479</v>
      </c>
      <c r="C810" s="138" t="s">
        <v>9479</v>
      </c>
      <c r="D810" s="138" t="s">
        <v>9646</v>
      </c>
    </row>
    <row r="811" spans="1:4">
      <c r="A811" s="138" t="s">
        <v>9479</v>
      </c>
      <c r="B811" s="138" t="s">
        <v>9479</v>
      </c>
      <c r="C811" s="138" t="s">
        <v>9412</v>
      </c>
      <c r="D811" s="138" t="s">
        <v>9412</v>
      </c>
    </row>
    <row r="812" spans="1:4">
      <c r="A812" s="138" t="s">
        <v>9479</v>
      </c>
      <c r="B812" s="138" t="s">
        <v>9479</v>
      </c>
      <c r="C812" s="138" t="s">
        <v>9412</v>
      </c>
      <c r="D812" s="138" t="s">
        <v>9647</v>
      </c>
    </row>
    <row r="813" spans="1:4">
      <c r="A813" s="138" t="s">
        <v>9479</v>
      </c>
      <c r="B813" s="138" t="s">
        <v>9479</v>
      </c>
      <c r="C813" s="138" t="s">
        <v>9412</v>
      </c>
      <c r="D813" s="138" t="s">
        <v>9648</v>
      </c>
    </row>
    <row r="814" spans="1:4">
      <c r="A814" s="138" t="s">
        <v>9479</v>
      </c>
      <c r="B814" s="138" t="s">
        <v>9479</v>
      </c>
      <c r="C814" s="138" t="s">
        <v>9412</v>
      </c>
      <c r="D814" s="138" t="s">
        <v>9649</v>
      </c>
    </row>
    <row r="815" spans="1:4">
      <c r="A815" s="138" t="s">
        <v>9479</v>
      </c>
      <c r="B815" s="138" t="s">
        <v>9479</v>
      </c>
      <c r="C815" s="138" t="s">
        <v>9412</v>
      </c>
      <c r="D815" s="138" t="s">
        <v>493</v>
      </c>
    </row>
    <row r="816" spans="1:4">
      <c r="A816" s="138" t="s">
        <v>9479</v>
      </c>
      <c r="B816" s="138" t="s">
        <v>9479</v>
      </c>
      <c r="C816" s="138" t="s">
        <v>9417</v>
      </c>
      <c r="D816" s="138" t="s">
        <v>9650</v>
      </c>
    </row>
    <row r="817" spans="1:4">
      <c r="A817" s="138" t="s">
        <v>9479</v>
      </c>
      <c r="B817" s="138" t="s">
        <v>9479</v>
      </c>
      <c r="C817" s="138" t="s">
        <v>9417</v>
      </c>
      <c r="D817" s="138" t="s">
        <v>9417</v>
      </c>
    </row>
    <row r="818" spans="1:4">
      <c r="A818" s="138" t="s">
        <v>9479</v>
      </c>
      <c r="B818" s="138" t="s">
        <v>9479</v>
      </c>
      <c r="C818" s="138" t="s">
        <v>9417</v>
      </c>
      <c r="D818" s="138" t="s">
        <v>9651</v>
      </c>
    </row>
    <row r="819" spans="1:4">
      <c r="A819" s="138" t="s">
        <v>9479</v>
      </c>
      <c r="B819" s="138" t="s">
        <v>9479</v>
      </c>
      <c r="C819" s="138" t="s">
        <v>9417</v>
      </c>
      <c r="D819" s="138" t="s">
        <v>9652</v>
      </c>
    </row>
    <row r="820" spans="1:4">
      <c r="A820" s="138" t="s">
        <v>9479</v>
      </c>
      <c r="B820" s="138" t="s">
        <v>9479</v>
      </c>
      <c r="C820" s="138" t="s">
        <v>9417</v>
      </c>
      <c r="D820" s="138" t="s">
        <v>9645</v>
      </c>
    </row>
    <row r="821" spans="1:4">
      <c r="A821" s="138" t="s">
        <v>9479</v>
      </c>
      <c r="B821" s="138" t="s">
        <v>9479</v>
      </c>
      <c r="C821" s="138" t="s">
        <v>9420</v>
      </c>
      <c r="D821" s="138" t="s">
        <v>9653</v>
      </c>
    </row>
    <row r="822" spans="1:4">
      <c r="A822" s="138" t="s">
        <v>9479</v>
      </c>
      <c r="B822" s="138" t="s">
        <v>9479</v>
      </c>
      <c r="C822" s="138" t="s">
        <v>9420</v>
      </c>
      <c r="D822" s="138" t="s">
        <v>9654</v>
      </c>
    </row>
    <row r="823" spans="1:4">
      <c r="A823" s="138" t="s">
        <v>9479</v>
      </c>
      <c r="B823" s="138" t="s">
        <v>9479</v>
      </c>
      <c r="C823" s="138" t="s">
        <v>9420</v>
      </c>
      <c r="D823" s="138" t="s">
        <v>9420</v>
      </c>
    </row>
    <row r="824" spans="1:4">
      <c r="A824" s="138" t="s">
        <v>9479</v>
      </c>
      <c r="B824" s="138" t="s">
        <v>9479</v>
      </c>
      <c r="C824" s="138" t="s">
        <v>9420</v>
      </c>
      <c r="D824" s="138" t="s">
        <v>9655</v>
      </c>
    </row>
    <row r="825" spans="1:4">
      <c r="A825" s="138" t="s">
        <v>9258</v>
      </c>
      <c r="B825" s="138" t="s">
        <v>9258</v>
      </c>
      <c r="C825" s="138" t="s">
        <v>9261</v>
      </c>
      <c r="D825" s="138" t="s">
        <v>9261</v>
      </c>
    </row>
    <row r="826" spans="1:4">
      <c r="A826" s="138" t="s">
        <v>9258</v>
      </c>
      <c r="B826" s="138" t="s">
        <v>9258</v>
      </c>
      <c r="C826" s="138" t="s">
        <v>9261</v>
      </c>
      <c r="D826" s="138" t="s">
        <v>554</v>
      </c>
    </row>
    <row r="827" spans="1:4">
      <c r="A827" s="138" t="s">
        <v>9258</v>
      </c>
      <c r="B827" s="138" t="s">
        <v>9258</v>
      </c>
      <c r="C827" s="138" t="s">
        <v>9261</v>
      </c>
      <c r="D827" s="138" t="s">
        <v>9656</v>
      </c>
    </row>
    <row r="828" spans="1:4">
      <c r="A828" s="138" t="s">
        <v>9258</v>
      </c>
      <c r="B828" s="138" t="s">
        <v>9258</v>
      </c>
      <c r="C828" s="138" t="s">
        <v>9261</v>
      </c>
      <c r="D828" s="138" t="s">
        <v>9657</v>
      </c>
    </row>
    <row r="829" spans="1:4">
      <c r="A829" s="138" t="s">
        <v>9258</v>
      </c>
      <c r="B829" s="138" t="s">
        <v>9258</v>
      </c>
      <c r="C829" s="138" t="s">
        <v>9261</v>
      </c>
      <c r="D829" s="138" t="s">
        <v>9658</v>
      </c>
    </row>
    <row r="830" spans="1:4">
      <c r="A830" s="138" t="e">
        <v>#N/A</v>
      </c>
      <c r="B830" s="138" t="e">
        <v>#N/A</v>
      </c>
      <c r="C830" s="138" t="s">
        <v>9261</v>
      </c>
      <c r="D830" s="138" t="e">
        <v>#N/A</v>
      </c>
    </row>
    <row r="831" spans="1:4">
      <c r="A831" s="138" t="s">
        <v>9479</v>
      </c>
      <c r="B831" s="138" t="s">
        <v>9479</v>
      </c>
      <c r="C831" s="138" t="s">
        <v>9407</v>
      </c>
      <c r="D831" s="138" t="s">
        <v>9407</v>
      </c>
    </row>
    <row r="832" spans="1:4">
      <c r="A832" s="138" t="s">
        <v>9479</v>
      </c>
      <c r="B832" s="138" t="s">
        <v>9479</v>
      </c>
      <c r="C832" s="138" t="s">
        <v>9407</v>
      </c>
      <c r="D832" s="138" t="s">
        <v>9659</v>
      </c>
    </row>
    <row r="833" spans="1:4">
      <c r="A833" s="138" t="s">
        <v>9479</v>
      </c>
      <c r="B833" s="138" t="s">
        <v>9479</v>
      </c>
      <c r="C833" s="138" t="s">
        <v>9407</v>
      </c>
      <c r="D833" s="138" t="s">
        <v>9660</v>
      </c>
    </row>
    <row r="834" spans="1:4">
      <c r="A834" s="138" t="s">
        <v>9479</v>
      </c>
      <c r="B834" s="138" t="s">
        <v>9479</v>
      </c>
      <c r="C834" s="138" t="s">
        <v>9407</v>
      </c>
      <c r="D834" s="138" t="s">
        <v>9661</v>
      </c>
    </row>
    <row r="835" spans="1:4">
      <c r="A835" s="138" t="s">
        <v>9479</v>
      </c>
      <c r="B835" s="138" t="s">
        <v>9479</v>
      </c>
      <c r="C835" s="138" t="s">
        <v>9407</v>
      </c>
      <c r="D835" s="138" t="s">
        <v>9662</v>
      </c>
    </row>
    <row r="836" spans="1:4">
      <c r="A836" s="138" t="s">
        <v>9479</v>
      </c>
      <c r="B836" s="138" t="s">
        <v>9663</v>
      </c>
      <c r="C836" s="138" t="s">
        <v>9455</v>
      </c>
      <c r="D836" s="138" t="s">
        <v>9664</v>
      </c>
    </row>
    <row r="837" spans="1:4">
      <c r="A837" s="138" t="s">
        <v>9479</v>
      </c>
      <c r="B837" s="138" t="s">
        <v>9663</v>
      </c>
      <c r="C837" s="138" t="s">
        <v>9455</v>
      </c>
      <c r="D837" s="138" t="s">
        <v>9665</v>
      </c>
    </row>
    <row r="838" spans="1:4">
      <c r="A838" s="138" t="s">
        <v>9479</v>
      </c>
      <c r="B838" s="138" t="s">
        <v>9663</v>
      </c>
      <c r="C838" s="138" t="s">
        <v>9455</v>
      </c>
      <c r="D838" s="138" t="s">
        <v>9666</v>
      </c>
    </row>
    <row r="839" spans="1:4">
      <c r="A839" s="138" t="s">
        <v>9479</v>
      </c>
      <c r="B839" s="138" t="s">
        <v>9663</v>
      </c>
      <c r="C839" s="138" t="s">
        <v>9455</v>
      </c>
      <c r="D839" s="138" t="s">
        <v>9667</v>
      </c>
    </row>
    <row r="840" spans="1:4">
      <c r="A840" s="138" t="s">
        <v>9479</v>
      </c>
      <c r="B840" s="138" t="s">
        <v>9663</v>
      </c>
      <c r="C840" s="138" t="s">
        <v>9455</v>
      </c>
      <c r="D840" s="138" t="s">
        <v>9668</v>
      </c>
    </row>
    <row r="841" spans="1:4">
      <c r="A841" s="138" t="e">
        <v>#N/A</v>
      </c>
      <c r="B841" s="138" t="e">
        <v>#N/A</v>
      </c>
      <c r="C841" s="138" t="s">
        <v>9455</v>
      </c>
      <c r="D841" s="138" t="e">
        <v>#N/A</v>
      </c>
    </row>
    <row r="842" spans="1:4">
      <c r="A842" s="138" t="s">
        <v>9479</v>
      </c>
      <c r="B842" s="138" t="s">
        <v>9663</v>
      </c>
      <c r="C842" s="138" t="s">
        <v>9410</v>
      </c>
      <c r="D842" s="138" t="s">
        <v>9669</v>
      </c>
    </row>
    <row r="843" spans="1:4">
      <c r="A843" s="138" t="s">
        <v>9479</v>
      </c>
      <c r="B843" s="138" t="s">
        <v>9663</v>
      </c>
      <c r="C843" s="138" t="s">
        <v>9410</v>
      </c>
      <c r="D843" s="138" t="s">
        <v>9670</v>
      </c>
    </row>
    <row r="844" spans="1:4">
      <c r="A844" s="138" t="s">
        <v>9479</v>
      </c>
      <c r="B844" s="138" t="s">
        <v>9663</v>
      </c>
      <c r="C844" s="138" t="s">
        <v>9410</v>
      </c>
      <c r="D844" s="138" t="s">
        <v>194</v>
      </c>
    </row>
    <row r="845" spans="1:4">
      <c r="A845" s="138" t="s">
        <v>9479</v>
      </c>
      <c r="B845" s="138" t="s">
        <v>9663</v>
      </c>
      <c r="C845" s="138" t="s">
        <v>9410</v>
      </c>
      <c r="D845" s="138" t="s">
        <v>9671</v>
      </c>
    </row>
    <row r="846" spans="1:4">
      <c r="A846" s="138" t="s">
        <v>9479</v>
      </c>
      <c r="B846" s="138" t="s">
        <v>9663</v>
      </c>
      <c r="C846" s="138" t="s">
        <v>9434</v>
      </c>
      <c r="D846" s="138" t="s">
        <v>9672</v>
      </c>
    </row>
    <row r="847" spans="1:4">
      <c r="A847" s="138" t="s">
        <v>9479</v>
      </c>
      <c r="B847" s="138" t="s">
        <v>9663</v>
      </c>
      <c r="C847" s="138" t="s">
        <v>9434</v>
      </c>
      <c r="D847" s="138" t="s">
        <v>9673</v>
      </c>
    </row>
    <row r="848" spans="1:4">
      <c r="A848" s="138" t="s">
        <v>9479</v>
      </c>
      <c r="B848" s="138" t="s">
        <v>9663</v>
      </c>
      <c r="C848" s="138" t="s">
        <v>9434</v>
      </c>
      <c r="D848" s="138" t="s">
        <v>9674</v>
      </c>
    </row>
    <row r="849" spans="1:4">
      <c r="A849" s="138" t="s">
        <v>9479</v>
      </c>
      <c r="B849" s="138" t="s">
        <v>9663</v>
      </c>
      <c r="C849" s="138" t="s">
        <v>9434</v>
      </c>
      <c r="D849" s="138" t="s">
        <v>9675</v>
      </c>
    </row>
    <row r="850" spans="1:4">
      <c r="A850" s="138" t="s">
        <v>9479</v>
      </c>
      <c r="B850" s="138" t="s">
        <v>9663</v>
      </c>
      <c r="C850" s="138" t="s">
        <v>9434</v>
      </c>
      <c r="D850" s="138" t="s">
        <v>9676</v>
      </c>
    </row>
    <row r="851" spans="1:4">
      <c r="A851" s="138" t="s">
        <v>9258</v>
      </c>
      <c r="B851" s="138" t="s">
        <v>9663</v>
      </c>
      <c r="C851" s="138" t="s">
        <v>9250</v>
      </c>
      <c r="D851" s="138" t="s">
        <v>9677</v>
      </c>
    </row>
    <row r="852" spans="1:4">
      <c r="A852" s="138" t="s">
        <v>9258</v>
      </c>
      <c r="B852" s="138" t="s">
        <v>9663</v>
      </c>
      <c r="C852" s="138" t="s">
        <v>9250</v>
      </c>
      <c r="D852" s="138" t="s">
        <v>9678</v>
      </c>
    </row>
    <row r="853" spans="1:4">
      <c r="A853" s="138" t="s">
        <v>9258</v>
      </c>
      <c r="B853" s="138" t="s">
        <v>9663</v>
      </c>
      <c r="C853" s="138" t="s">
        <v>9250</v>
      </c>
      <c r="D853" s="138" t="s">
        <v>9679</v>
      </c>
    </row>
    <row r="854" spans="1:4">
      <c r="A854" s="138" t="s">
        <v>9258</v>
      </c>
      <c r="B854" s="138" t="s">
        <v>9663</v>
      </c>
      <c r="C854" s="138" t="s">
        <v>9250</v>
      </c>
      <c r="D854" s="138" t="s">
        <v>9680</v>
      </c>
    </row>
    <row r="855" spans="1:4">
      <c r="A855" s="138" t="s">
        <v>9258</v>
      </c>
      <c r="B855" s="138" t="s">
        <v>9663</v>
      </c>
      <c r="C855" s="138" t="s">
        <v>9250</v>
      </c>
      <c r="D855" s="138" t="s">
        <v>9681</v>
      </c>
    </row>
    <row r="856" spans="1:4">
      <c r="A856" s="138" t="e">
        <v>#N/A</v>
      </c>
      <c r="B856" s="138" t="e">
        <v>#N/A</v>
      </c>
      <c r="C856" s="138" t="s">
        <v>9250</v>
      </c>
      <c r="D856" s="138" t="e">
        <v>#N/A</v>
      </c>
    </row>
    <row r="857" spans="1:4">
      <c r="A857" s="138" t="s">
        <v>9258</v>
      </c>
      <c r="B857" s="138" t="s">
        <v>9479</v>
      </c>
      <c r="C857" s="138" t="s">
        <v>9297</v>
      </c>
      <c r="D857" s="138" t="s">
        <v>9682</v>
      </c>
    </row>
    <row r="858" spans="1:4">
      <c r="A858" s="138" t="s">
        <v>9258</v>
      </c>
      <c r="B858" s="138" t="s">
        <v>9479</v>
      </c>
      <c r="C858" s="138" t="s">
        <v>9297</v>
      </c>
      <c r="D858" s="138" t="s">
        <v>9683</v>
      </c>
    </row>
    <row r="859" spans="1:4">
      <c r="A859" s="138" t="s">
        <v>9258</v>
      </c>
      <c r="B859" s="138" t="s">
        <v>9479</v>
      </c>
      <c r="C859" s="138" t="s">
        <v>9297</v>
      </c>
      <c r="D859" s="138" t="s">
        <v>9684</v>
      </c>
    </row>
    <row r="860" spans="1:4">
      <c r="A860" s="138" t="s">
        <v>9258</v>
      </c>
      <c r="B860" s="138" t="s">
        <v>9479</v>
      </c>
      <c r="C860" s="138" t="s">
        <v>9297</v>
      </c>
      <c r="D860" s="138" t="s">
        <v>9685</v>
      </c>
    </row>
    <row r="861" spans="1:4">
      <c r="A861" s="138" t="s">
        <v>9258</v>
      </c>
      <c r="B861" s="138" t="s">
        <v>9479</v>
      </c>
      <c r="C861" s="138" t="s">
        <v>9297</v>
      </c>
      <c r="D861" s="138" t="s">
        <v>9686</v>
      </c>
    </row>
    <row r="862" spans="1:4">
      <c r="A862" s="138" t="s">
        <v>9258</v>
      </c>
      <c r="B862" s="138" t="s">
        <v>9258</v>
      </c>
      <c r="C862" s="138" t="s">
        <v>9266</v>
      </c>
      <c r="D862" s="138" t="s">
        <v>9687</v>
      </c>
    </row>
    <row r="863" spans="1:4">
      <c r="A863" s="138" t="s">
        <v>9258</v>
      </c>
      <c r="B863" s="138" t="s">
        <v>9258</v>
      </c>
      <c r="C863" s="138" t="s">
        <v>9266</v>
      </c>
      <c r="D863" s="138" t="s">
        <v>9688</v>
      </c>
    </row>
    <row r="864" spans="1:4">
      <c r="A864" s="138" t="s">
        <v>9258</v>
      </c>
      <c r="B864" s="138" t="s">
        <v>9258</v>
      </c>
      <c r="C864" s="138" t="s">
        <v>9266</v>
      </c>
      <c r="D864" s="138" t="s">
        <v>9266</v>
      </c>
    </row>
    <row r="865" spans="1:4">
      <c r="A865" s="138" t="s">
        <v>9258</v>
      </c>
      <c r="B865" s="138" t="s">
        <v>9258</v>
      </c>
      <c r="C865" s="138" t="s">
        <v>9266</v>
      </c>
      <c r="D865" s="138" t="s">
        <v>9689</v>
      </c>
    </row>
    <row r="866" spans="1:4">
      <c r="A866" s="138" t="s">
        <v>9258</v>
      </c>
      <c r="B866" s="138" t="s">
        <v>9258</v>
      </c>
      <c r="C866" s="138" t="s">
        <v>9253</v>
      </c>
      <c r="D866" s="138" t="s">
        <v>9690</v>
      </c>
    </row>
    <row r="867" spans="1:4">
      <c r="A867" s="138" t="s">
        <v>9258</v>
      </c>
      <c r="B867" s="138" t="s">
        <v>9258</v>
      </c>
      <c r="C867" s="138" t="s">
        <v>9253</v>
      </c>
      <c r="D867" s="138" t="s">
        <v>9691</v>
      </c>
    </row>
    <row r="868" spans="1:4">
      <c r="A868" s="138" t="s">
        <v>9258</v>
      </c>
      <c r="B868" s="138" t="s">
        <v>9258</v>
      </c>
      <c r="C868" s="138" t="s">
        <v>9253</v>
      </c>
      <c r="D868" s="138" t="s">
        <v>9692</v>
      </c>
    </row>
    <row r="869" spans="1:4">
      <c r="A869" s="138" t="s">
        <v>9258</v>
      </c>
      <c r="B869" s="138" t="s">
        <v>9258</v>
      </c>
      <c r="C869" s="138" t="s">
        <v>9253</v>
      </c>
      <c r="D869" s="138" t="s">
        <v>9253</v>
      </c>
    </row>
    <row r="870" spans="1:4">
      <c r="A870" s="138" t="s">
        <v>9258</v>
      </c>
      <c r="B870" s="138" t="s">
        <v>9258</v>
      </c>
      <c r="C870" s="138" t="s">
        <v>9247</v>
      </c>
      <c r="D870" s="138" t="s">
        <v>9247</v>
      </c>
    </row>
    <row r="871" spans="1:4">
      <c r="A871" s="138" t="s">
        <v>9258</v>
      </c>
      <c r="B871" s="138" t="s">
        <v>9258</v>
      </c>
      <c r="C871" s="138" t="s">
        <v>9247</v>
      </c>
      <c r="D871" s="138" t="s">
        <v>9693</v>
      </c>
    </row>
    <row r="872" spans="1:4">
      <c r="A872" s="138" t="s">
        <v>9258</v>
      </c>
      <c r="B872" s="138" t="s">
        <v>9258</v>
      </c>
      <c r="C872" s="138" t="s">
        <v>9247</v>
      </c>
      <c r="D872" s="138" t="s">
        <v>9694</v>
      </c>
    </row>
    <row r="873" spans="1:4">
      <c r="A873" s="138" t="s">
        <v>9258</v>
      </c>
      <c r="B873" s="138" t="s">
        <v>9258</v>
      </c>
      <c r="C873" s="138" t="s">
        <v>9247</v>
      </c>
      <c r="D873" s="138" t="s">
        <v>9695</v>
      </c>
    </row>
    <row r="874" spans="1:4">
      <c r="A874" s="138" t="s">
        <v>9258</v>
      </c>
      <c r="B874" s="138" t="s">
        <v>9258</v>
      </c>
      <c r="C874" s="138" t="s">
        <v>9247</v>
      </c>
      <c r="D874" s="138" t="s">
        <v>9696</v>
      </c>
    </row>
    <row r="875" spans="1:4">
      <c r="A875" s="138" t="s">
        <v>9258</v>
      </c>
      <c r="B875" s="138" t="s">
        <v>9258</v>
      </c>
      <c r="C875" s="138" t="s">
        <v>9258</v>
      </c>
      <c r="D875" s="138" t="s">
        <v>9697</v>
      </c>
    </row>
    <row r="876" spans="1:4">
      <c r="A876" s="138" t="s">
        <v>9258</v>
      </c>
      <c r="B876" s="138" t="s">
        <v>9258</v>
      </c>
      <c r="C876" s="138" t="s">
        <v>9258</v>
      </c>
      <c r="D876" s="138" t="s">
        <v>9698</v>
      </c>
    </row>
    <row r="877" spans="1:4">
      <c r="A877" s="138" t="s">
        <v>9258</v>
      </c>
      <c r="B877" s="138" t="s">
        <v>9258</v>
      </c>
      <c r="C877" s="138" t="s">
        <v>9258</v>
      </c>
      <c r="D877" s="138" t="s">
        <v>9258</v>
      </c>
    </row>
    <row r="878" spans="1:4">
      <c r="A878" s="138" t="s">
        <v>9258</v>
      </c>
      <c r="B878" s="138" t="s">
        <v>9258</v>
      </c>
      <c r="C878" s="138" t="s">
        <v>9272</v>
      </c>
      <c r="D878" s="138" t="s">
        <v>9699</v>
      </c>
    </row>
    <row r="879" spans="1:4">
      <c r="A879" s="138" t="s">
        <v>9258</v>
      </c>
      <c r="B879" s="138" t="s">
        <v>9258</v>
      </c>
      <c r="C879" s="138" t="s">
        <v>9272</v>
      </c>
      <c r="D879" s="138" t="s">
        <v>9272</v>
      </c>
    </row>
    <row r="880" spans="1:4">
      <c r="A880" s="138" t="s">
        <v>9258</v>
      </c>
      <c r="B880" s="138" t="s">
        <v>9258</v>
      </c>
      <c r="C880" s="138" t="s">
        <v>9272</v>
      </c>
      <c r="D880" s="138" t="s">
        <v>9700</v>
      </c>
    </row>
    <row r="881" spans="1:4">
      <c r="A881" s="138" t="s">
        <v>9258</v>
      </c>
      <c r="B881" s="138" t="s">
        <v>9258</v>
      </c>
      <c r="C881" s="138" t="s">
        <v>9272</v>
      </c>
      <c r="D881" s="138" t="s">
        <v>9701</v>
      </c>
    </row>
    <row r="882" spans="1:4">
      <c r="A882" s="138" t="s">
        <v>9258</v>
      </c>
      <c r="B882" s="138" t="s">
        <v>9258</v>
      </c>
      <c r="C882" s="138" t="s">
        <v>9280</v>
      </c>
      <c r="D882" s="138" t="s">
        <v>9702</v>
      </c>
    </row>
    <row r="883" spans="1:4">
      <c r="A883" s="138" t="s">
        <v>9258</v>
      </c>
      <c r="B883" s="138" t="s">
        <v>9258</v>
      </c>
      <c r="C883" s="138" t="s">
        <v>9280</v>
      </c>
      <c r="D883" s="138" t="s">
        <v>9703</v>
      </c>
    </row>
    <row r="884" spans="1:4">
      <c r="A884" s="138" t="s">
        <v>9258</v>
      </c>
      <c r="B884" s="138" t="s">
        <v>9258</v>
      </c>
      <c r="C884" s="138" t="s">
        <v>9280</v>
      </c>
      <c r="D884" s="138" t="s">
        <v>9280</v>
      </c>
    </row>
    <row r="885" spans="1:4">
      <c r="A885" s="138" t="s">
        <v>9258</v>
      </c>
      <c r="B885" s="138" t="s">
        <v>9258</v>
      </c>
      <c r="C885" s="138" t="s">
        <v>9280</v>
      </c>
      <c r="D885" s="138" t="s">
        <v>9704</v>
      </c>
    </row>
    <row r="886" spans="1:4">
      <c r="A886" s="138" t="e">
        <v>#N/A</v>
      </c>
      <c r="B886" s="138" t="e">
        <v>#N/A</v>
      </c>
      <c r="C886" s="138" t="s">
        <v>9280</v>
      </c>
      <c r="D886" s="138" t="e">
        <v>#N/A</v>
      </c>
    </row>
    <row r="887" spans="1:4">
      <c r="A887" s="138" t="s">
        <v>9258</v>
      </c>
      <c r="B887" s="138" t="s">
        <v>9258</v>
      </c>
      <c r="C887" s="138" t="s">
        <v>9263</v>
      </c>
      <c r="D887" s="138" t="s">
        <v>9263</v>
      </c>
    </row>
    <row r="888" spans="1:4">
      <c r="A888" s="138" t="s">
        <v>9258</v>
      </c>
      <c r="B888" s="138" t="s">
        <v>9258</v>
      </c>
      <c r="C888" s="138" t="s">
        <v>9263</v>
      </c>
      <c r="D888" s="138" t="s">
        <v>9705</v>
      </c>
    </row>
    <row r="889" spans="1:4">
      <c r="A889" s="138" t="s">
        <v>9258</v>
      </c>
      <c r="B889" s="138" t="s">
        <v>9258</v>
      </c>
      <c r="C889" s="138" t="s">
        <v>9263</v>
      </c>
      <c r="D889" s="138" t="s">
        <v>9706</v>
      </c>
    </row>
    <row r="890" spans="1:4">
      <c r="A890" s="138" t="s">
        <v>9258</v>
      </c>
      <c r="B890" s="138" t="s">
        <v>9258</v>
      </c>
      <c r="C890" s="138" t="s">
        <v>9263</v>
      </c>
      <c r="D890" s="138" t="s">
        <v>9707</v>
      </c>
    </row>
    <row r="891" spans="1:4">
      <c r="A891" s="138" t="s">
        <v>9258</v>
      </c>
      <c r="B891" s="138" t="s">
        <v>9258</v>
      </c>
      <c r="C891" s="138" t="s">
        <v>9263</v>
      </c>
      <c r="D891" s="138" t="s">
        <v>9708</v>
      </c>
    </row>
    <row r="892" spans="1:4">
      <c r="A892" s="138" t="e">
        <v>#N/A</v>
      </c>
      <c r="B892" s="138" t="e">
        <v>#N/A</v>
      </c>
      <c r="C892" s="138" t="s">
        <v>9263</v>
      </c>
      <c r="D892" s="138" t="e">
        <v>#N/A</v>
      </c>
    </row>
    <row r="893" spans="1:4">
      <c r="A893" s="138" t="s">
        <v>3442</v>
      </c>
      <c r="B893" s="138" t="s">
        <v>3442</v>
      </c>
      <c r="C893" s="138" t="s">
        <v>358</v>
      </c>
      <c r="D893" s="138" t="s">
        <v>9709</v>
      </c>
    </row>
    <row r="894" spans="1:4">
      <c r="A894" s="138" t="s">
        <v>3442</v>
      </c>
      <c r="B894" s="138" t="s">
        <v>3442</v>
      </c>
      <c r="C894" s="138" t="s">
        <v>358</v>
      </c>
      <c r="D894" s="138" t="s">
        <v>9710</v>
      </c>
    </row>
    <row r="895" spans="1:4">
      <c r="A895" s="138" t="s">
        <v>3442</v>
      </c>
      <c r="B895" s="138" t="s">
        <v>3442</v>
      </c>
      <c r="C895" s="138" t="s">
        <v>358</v>
      </c>
      <c r="D895" s="138" t="s">
        <v>358</v>
      </c>
    </row>
    <row r="896" spans="1:4">
      <c r="A896" s="138" t="s">
        <v>3442</v>
      </c>
      <c r="B896" s="138" t="s">
        <v>3442</v>
      </c>
      <c r="C896" s="138" t="s">
        <v>358</v>
      </c>
      <c r="D896" s="138" t="s">
        <v>9711</v>
      </c>
    </row>
    <row r="897" spans="1:4">
      <c r="A897" s="138" t="s">
        <v>3442</v>
      </c>
      <c r="B897" s="138" t="s">
        <v>3442</v>
      </c>
      <c r="C897" s="138" t="s">
        <v>358</v>
      </c>
      <c r="D897" s="138" t="s">
        <v>8854</v>
      </c>
    </row>
  </sheetData>
  <autoFilter ref="A1:D89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T385"/>
  <sheetViews>
    <sheetView workbookViewId="0">
      <pane ySplit="2" topLeftCell="A3" activePane="bottomLeft" state="frozen"/>
      <selection pane="bottomLeft" activeCell="B4" sqref="B4"/>
    </sheetView>
  </sheetViews>
  <sheetFormatPr defaultColWidth="12.59765625" defaultRowHeight="15.75" customHeight="1"/>
  <sheetData>
    <row r="1" spans="1:46" ht="15.75" customHeight="1">
      <c r="A1" s="65"/>
      <c r="B1" s="65"/>
      <c r="C1" s="65"/>
      <c r="D1" s="65"/>
      <c r="E1" s="255" t="s">
        <v>43</v>
      </c>
      <c r="F1" s="256"/>
      <c r="G1" s="256"/>
      <c r="H1" s="256"/>
      <c r="I1" s="256"/>
      <c r="J1" s="256"/>
      <c r="K1" s="257"/>
      <c r="L1" s="258" t="s">
        <v>42</v>
      </c>
      <c r="M1" s="256"/>
      <c r="N1" s="256"/>
      <c r="O1" s="256"/>
      <c r="P1" s="256"/>
      <c r="Q1" s="256"/>
      <c r="R1" s="259"/>
      <c r="S1" s="255" t="s">
        <v>45</v>
      </c>
      <c r="T1" s="256"/>
      <c r="U1" s="256"/>
      <c r="V1" s="256"/>
      <c r="W1" s="256"/>
      <c r="X1" s="256"/>
      <c r="Y1" s="257"/>
      <c r="Z1" s="258" t="s">
        <v>44</v>
      </c>
      <c r="AA1" s="256"/>
      <c r="AB1" s="256"/>
      <c r="AC1" s="256"/>
      <c r="AD1" s="256"/>
      <c r="AE1" s="256"/>
      <c r="AF1" s="259"/>
      <c r="AG1" s="255" t="s">
        <v>47</v>
      </c>
      <c r="AH1" s="256"/>
      <c r="AI1" s="256"/>
      <c r="AJ1" s="256"/>
      <c r="AK1" s="256"/>
      <c r="AL1" s="256"/>
      <c r="AM1" s="257"/>
      <c r="AN1" s="260" t="s">
        <v>46</v>
      </c>
      <c r="AO1" s="261"/>
      <c r="AP1" s="261"/>
      <c r="AQ1" s="261"/>
      <c r="AR1" s="261"/>
      <c r="AS1" s="261"/>
      <c r="AT1" s="262"/>
    </row>
    <row r="2" spans="1:46" ht="15.75" customHeight="1">
      <c r="A2" s="144" t="s">
        <v>0</v>
      </c>
      <c r="B2" s="144" t="s">
        <v>1</v>
      </c>
      <c r="C2" s="144" t="s">
        <v>2</v>
      </c>
      <c r="D2" s="144" t="s">
        <v>66</v>
      </c>
      <c r="E2" s="145" t="s">
        <v>9712</v>
      </c>
      <c r="F2" s="144" t="s">
        <v>9713</v>
      </c>
      <c r="G2" s="144" t="s">
        <v>9714</v>
      </c>
      <c r="H2" s="144" t="s">
        <v>9715</v>
      </c>
      <c r="I2" s="146" t="s">
        <v>36</v>
      </c>
      <c r="J2" s="147" t="s">
        <v>37</v>
      </c>
      <c r="K2" s="148" t="s">
        <v>38</v>
      </c>
      <c r="L2" s="149" t="s">
        <v>4</v>
      </c>
      <c r="M2" s="150" t="s">
        <v>5</v>
      </c>
      <c r="N2" s="151" t="s">
        <v>6</v>
      </c>
      <c r="O2" s="152" t="s">
        <v>35</v>
      </c>
      <c r="P2" s="146" t="s">
        <v>36</v>
      </c>
      <c r="Q2" s="147" t="s">
        <v>37</v>
      </c>
      <c r="R2" s="153" t="s">
        <v>38</v>
      </c>
      <c r="S2" s="154" t="s">
        <v>4</v>
      </c>
      <c r="T2" s="150" t="s">
        <v>5</v>
      </c>
      <c r="U2" s="151" t="s">
        <v>6</v>
      </c>
      <c r="V2" s="152" t="s">
        <v>35</v>
      </c>
      <c r="W2" s="146" t="s">
        <v>36</v>
      </c>
      <c r="X2" s="147" t="s">
        <v>37</v>
      </c>
      <c r="Y2" s="148" t="s">
        <v>38</v>
      </c>
      <c r="Z2" s="149" t="s">
        <v>4</v>
      </c>
      <c r="AA2" s="150" t="s">
        <v>5</v>
      </c>
      <c r="AB2" s="151" t="s">
        <v>6</v>
      </c>
      <c r="AC2" s="152" t="s">
        <v>35</v>
      </c>
      <c r="AD2" s="146" t="s">
        <v>36</v>
      </c>
      <c r="AE2" s="147" t="s">
        <v>37</v>
      </c>
      <c r="AF2" s="153" t="s">
        <v>38</v>
      </c>
      <c r="AG2" s="154" t="s">
        <v>4</v>
      </c>
      <c r="AH2" s="150" t="s">
        <v>5</v>
      </c>
      <c r="AI2" s="151" t="s">
        <v>6</v>
      </c>
      <c r="AJ2" s="152" t="s">
        <v>35</v>
      </c>
      <c r="AK2" s="146" t="s">
        <v>36</v>
      </c>
      <c r="AL2" s="147" t="s">
        <v>37</v>
      </c>
      <c r="AM2" s="148" t="s">
        <v>38</v>
      </c>
      <c r="AN2" s="149" t="s">
        <v>4</v>
      </c>
      <c r="AO2" s="150" t="s">
        <v>5</v>
      </c>
      <c r="AP2" s="151" t="s">
        <v>6</v>
      </c>
      <c r="AQ2" s="152" t="s">
        <v>35</v>
      </c>
      <c r="AR2" s="146" t="s">
        <v>36</v>
      </c>
      <c r="AS2" s="147" t="s">
        <v>37</v>
      </c>
      <c r="AT2" s="153" t="s">
        <v>38</v>
      </c>
    </row>
    <row r="3" spans="1:46">
      <c r="A3" s="67" t="s">
        <v>19</v>
      </c>
      <c r="B3" s="67" t="s">
        <v>88</v>
      </c>
      <c r="C3" s="67" t="s">
        <v>89</v>
      </c>
      <c r="D3" s="67" t="s">
        <v>89</v>
      </c>
      <c r="E3" s="155">
        <v>0.3955555556</v>
      </c>
      <c r="F3" s="156">
        <v>0.55777777780000004</v>
      </c>
      <c r="G3" s="156">
        <v>1.3333333330000001E-2</v>
      </c>
      <c r="H3" s="156">
        <v>3.3333333329999999E-3</v>
      </c>
      <c r="I3" s="156">
        <v>0</v>
      </c>
      <c r="J3" s="156">
        <v>0</v>
      </c>
      <c r="K3" s="157">
        <v>0.03</v>
      </c>
      <c r="L3" s="158">
        <v>0.35888888889999998</v>
      </c>
      <c r="M3" s="156">
        <v>0.59222222219999998</v>
      </c>
      <c r="N3" s="156">
        <v>1.4444444440000001E-2</v>
      </c>
      <c r="O3" s="156">
        <v>0</v>
      </c>
      <c r="P3" s="156">
        <v>0</v>
      </c>
      <c r="Q3" s="156">
        <v>0</v>
      </c>
      <c r="R3" s="159">
        <v>3.4444444439999999E-2</v>
      </c>
      <c r="S3" s="155">
        <v>0.44785276070000002</v>
      </c>
      <c r="T3" s="156">
        <v>0.4895705521</v>
      </c>
      <c r="U3" s="156">
        <v>0</v>
      </c>
      <c r="V3" s="156">
        <v>0</v>
      </c>
      <c r="W3" s="156">
        <v>3.190184049E-2</v>
      </c>
      <c r="X3" s="156">
        <v>0</v>
      </c>
      <c r="Y3" s="157">
        <v>3.0674846629999999E-2</v>
      </c>
      <c r="Z3" s="158">
        <v>0.45276073620000001</v>
      </c>
      <c r="AA3" s="156">
        <v>0.49815950920000002</v>
      </c>
      <c r="AB3" s="156">
        <v>0</v>
      </c>
      <c r="AC3" s="156">
        <v>0</v>
      </c>
      <c r="AD3" s="156">
        <v>2.6993865030000001E-2</v>
      </c>
      <c r="AE3" s="156">
        <v>0</v>
      </c>
      <c r="AF3" s="159">
        <v>2.2085889569999999E-2</v>
      </c>
      <c r="AG3" s="155">
        <v>0.3598971722</v>
      </c>
      <c r="AH3" s="156">
        <v>0</v>
      </c>
      <c r="AI3" s="156">
        <v>0</v>
      </c>
      <c r="AJ3" s="156">
        <v>1.7994858610000001E-2</v>
      </c>
      <c r="AK3" s="156">
        <v>0.40359897169999998</v>
      </c>
      <c r="AL3" s="156">
        <v>0.15167095119999999</v>
      </c>
      <c r="AM3" s="157">
        <v>6.6838046270000007E-2</v>
      </c>
      <c r="AN3" s="158">
        <v>0.36503856039999999</v>
      </c>
      <c r="AO3" s="156">
        <v>0</v>
      </c>
      <c r="AP3" s="156">
        <v>0</v>
      </c>
      <c r="AQ3" s="156">
        <v>0</v>
      </c>
      <c r="AR3" s="156">
        <v>0.40102827759999998</v>
      </c>
      <c r="AS3" s="156">
        <v>0.16195372750000001</v>
      </c>
      <c r="AT3" s="159">
        <v>7.1979434450000004E-2</v>
      </c>
    </row>
    <row r="4" spans="1:46">
      <c r="A4" s="67" t="s">
        <v>19</v>
      </c>
      <c r="B4" s="67" t="s">
        <v>88</v>
      </c>
      <c r="C4" s="67" t="s">
        <v>88</v>
      </c>
      <c r="D4" s="67" t="s">
        <v>88</v>
      </c>
      <c r="E4" s="155">
        <v>0.56909282699999997</v>
      </c>
      <c r="F4" s="156">
        <v>0.3422995781</v>
      </c>
      <c r="G4" s="156">
        <v>5.5379746840000001E-2</v>
      </c>
      <c r="H4" s="156">
        <v>6.856540084E-3</v>
      </c>
      <c r="I4" s="156">
        <v>0</v>
      </c>
      <c r="J4" s="156">
        <v>0</v>
      </c>
      <c r="K4" s="157">
        <v>2.6371308020000001E-2</v>
      </c>
      <c r="L4" s="158">
        <v>0.50421940929999998</v>
      </c>
      <c r="M4" s="156">
        <v>0.4103375527</v>
      </c>
      <c r="N4" s="156">
        <v>5.7489451480000002E-2</v>
      </c>
      <c r="O4" s="156">
        <v>0</v>
      </c>
      <c r="P4" s="156">
        <v>0</v>
      </c>
      <c r="Q4" s="156">
        <v>0</v>
      </c>
      <c r="R4" s="159">
        <v>2.7953586499999999E-2</v>
      </c>
      <c r="S4" s="155">
        <v>0.62065217390000005</v>
      </c>
      <c r="T4" s="156">
        <v>0.33641304350000001</v>
      </c>
      <c r="U4" s="156">
        <v>0</v>
      </c>
      <c r="V4" s="156">
        <v>0</v>
      </c>
      <c r="W4" s="156">
        <v>7.0652173910000001E-3</v>
      </c>
      <c r="X4" s="156">
        <v>0</v>
      </c>
      <c r="Y4" s="157">
        <v>3.5869565220000003E-2</v>
      </c>
      <c r="Z4" s="158">
        <v>0.61358695649999995</v>
      </c>
      <c r="AA4" s="156">
        <v>0.35760869569999998</v>
      </c>
      <c r="AB4" s="156">
        <v>0</v>
      </c>
      <c r="AC4" s="156">
        <v>0</v>
      </c>
      <c r="AD4" s="156">
        <v>9.7826086960000006E-3</v>
      </c>
      <c r="AE4" s="156">
        <v>0</v>
      </c>
      <c r="AF4" s="159">
        <v>1.902173913E-2</v>
      </c>
      <c r="AG4" s="155">
        <v>0.3540332907</v>
      </c>
      <c r="AH4" s="156">
        <v>0</v>
      </c>
      <c r="AI4" s="156">
        <v>0</v>
      </c>
      <c r="AJ4" s="156">
        <v>1.7285531369999999E-2</v>
      </c>
      <c r="AK4" s="156">
        <v>0.41229193339999998</v>
      </c>
      <c r="AL4" s="156">
        <v>0.14020486560000001</v>
      </c>
      <c r="AM4" s="157">
        <v>7.6184378999999997E-2</v>
      </c>
      <c r="AN4" s="158">
        <v>0.35339308580000001</v>
      </c>
      <c r="AO4" s="156">
        <v>0</v>
      </c>
      <c r="AP4" s="156">
        <v>0</v>
      </c>
      <c r="AQ4" s="156">
        <v>0</v>
      </c>
      <c r="AR4" s="156">
        <v>0.41677336749999999</v>
      </c>
      <c r="AS4" s="156">
        <v>0.1434058899</v>
      </c>
      <c r="AT4" s="159">
        <v>8.6427656850000006E-2</v>
      </c>
    </row>
    <row r="5" spans="1:46">
      <c r="A5" s="67" t="s">
        <v>19</v>
      </c>
      <c r="B5" s="67" t="s">
        <v>88</v>
      </c>
      <c r="C5" s="67" t="s">
        <v>99</v>
      </c>
      <c r="D5" s="67" t="s">
        <v>99</v>
      </c>
      <c r="E5" s="155">
        <v>0.56456043960000002</v>
      </c>
      <c r="F5" s="156">
        <v>0.3832417582</v>
      </c>
      <c r="G5" s="156">
        <v>4.120879121E-3</v>
      </c>
      <c r="H5" s="156">
        <v>4.120879121E-3</v>
      </c>
      <c r="I5" s="156">
        <v>0</v>
      </c>
      <c r="J5" s="156">
        <v>0</v>
      </c>
      <c r="K5" s="157">
        <v>4.3956043960000003E-2</v>
      </c>
      <c r="L5" s="158">
        <v>0.5192307692</v>
      </c>
      <c r="M5" s="156">
        <v>0.43681318679999998</v>
      </c>
      <c r="N5" s="156">
        <v>4.120879121E-3</v>
      </c>
      <c r="O5" s="156">
        <v>0</v>
      </c>
      <c r="P5" s="156">
        <v>0</v>
      </c>
      <c r="Q5" s="156">
        <v>0</v>
      </c>
      <c r="R5" s="159">
        <v>3.9835164839999999E-2</v>
      </c>
      <c r="S5" s="155">
        <v>0.64956195240000003</v>
      </c>
      <c r="T5" s="156">
        <v>0.29787234039999999</v>
      </c>
      <c r="U5" s="156">
        <v>0</v>
      </c>
      <c r="V5" s="156">
        <v>0</v>
      </c>
      <c r="W5" s="156">
        <v>1.376720901E-2</v>
      </c>
      <c r="X5" s="156">
        <v>0</v>
      </c>
      <c r="Y5" s="157">
        <v>3.8798498119999997E-2</v>
      </c>
      <c r="Z5" s="158">
        <v>0.64705882349999999</v>
      </c>
      <c r="AA5" s="156">
        <v>0.31789737169999999</v>
      </c>
      <c r="AB5" s="156">
        <v>0</v>
      </c>
      <c r="AC5" s="156">
        <v>0</v>
      </c>
      <c r="AD5" s="156">
        <v>1.501877347E-2</v>
      </c>
      <c r="AE5" s="156">
        <v>0</v>
      </c>
      <c r="AF5" s="159">
        <v>2.0025031289999998E-2</v>
      </c>
      <c r="AG5" s="155">
        <v>0.37791601870000002</v>
      </c>
      <c r="AH5" s="156">
        <v>0</v>
      </c>
      <c r="AI5" s="156">
        <v>0</v>
      </c>
      <c r="AJ5" s="156">
        <v>2.6438569209999999E-2</v>
      </c>
      <c r="AK5" s="156">
        <v>0.28304821149999998</v>
      </c>
      <c r="AL5" s="156">
        <v>0.2192846034</v>
      </c>
      <c r="AM5" s="157">
        <v>9.33125972E-2</v>
      </c>
      <c r="AN5" s="158">
        <v>0.3903576983</v>
      </c>
      <c r="AO5" s="156">
        <v>0</v>
      </c>
      <c r="AP5" s="156">
        <v>0</v>
      </c>
      <c r="AQ5" s="156">
        <v>0</v>
      </c>
      <c r="AR5" s="156">
        <v>0.29704510109999999</v>
      </c>
      <c r="AS5" s="156">
        <v>0.22239502329999999</v>
      </c>
      <c r="AT5" s="159">
        <v>9.0202177290000005E-2</v>
      </c>
    </row>
    <row r="6" spans="1:46">
      <c r="A6" s="67" t="s">
        <v>19</v>
      </c>
      <c r="B6" s="67" t="s">
        <v>88</v>
      </c>
      <c r="C6" s="67" t="s">
        <v>104</v>
      </c>
      <c r="D6" s="67" t="s">
        <v>104</v>
      </c>
      <c r="E6" s="155">
        <v>0.40163599179999998</v>
      </c>
      <c r="F6" s="156">
        <v>0.51983640080000004</v>
      </c>
      <c r="G6" s="156">
        <v>2.2699386500000002E-2</v>
      </c>
      <c r="H6" s="156">
        <v>3.2719836400000001E-3</v>
      </c>
      <c r="I6" s="156">
        <v>0</v>
      </c>
      <c r="J6" s="156">
        <v>0</v>
      </c>
      <c r="K6" s="157">
        <v>5.2556237220000003E-2</v>
      </c>
      <c r="L6" s="158">
        <v>0.36677564359999998</v>
      </c>
      <c r="M6" s="156">
        <v>0.56456885980000004</v>
      </c>
      <c r="N6" s="156">
        <v>2.492848386E-2</v>
      </c>
      <c r="O6" s="156">
        <v>0</v>
      </c>
      <c r="P6" s="156">
        <v>0</v>
      </c>
      <c r="Q6" s="156">
        <v>0</v>
      </c>
      <c r="R6" s="159">
        <v>4.3727012670000003E-2</v>
      </c>
      <c r="S6" s="155">
        <v>0.43454585060000001</v>
      </c>
      <c r="T6" s="156">
        <v>0.52254410799999995</v>
      </c>
      <c r="U6" s="156">
        <v>0</v>
      </c>
      <c r="V6" s="156">
        <v>0</v>
      </c>
      <c r="W6" s="156">
        <v>8.0592463519999994E-3</v>
      </c>
      <c r="X6" s="156">
        <v>0</v>
      </c>
      <c r="Y6" s="157">
        <v>3.4850795029999999E-2</v>
      </c>
      <c r="Z6" s="158">
        <v>0.43715966020000002</v>
      </c>
      <c r="AA6" s="156">
        <v>0.53147462430000003</v>
      </c>
      <c r="AB6" s="156">
        <v>0</v>
      </c>
      <c r="AC6" s="156">
        <v>0</v>
      </c>
      <c r="AD6" s="156">
        <v>8.9305162269999998E-3</v>
      </c>
      <c r="AE6" s="156">
        <v>0</v>
      </c>
      <c r="AF6" s="159">
        <v>2.24351993E-2</v>
      </c>
      <c r="AG6" s="155">
        <v>0.27462904399999999</v>
      </c>
      <c r="AH6" s="156">
        <v>0</v>
      </c>
      <c r="AI6" s="156">
        <v>0</v>
      </c>
      <c r="AJ6" s="156">
        <v>1.508148869E-2</v>
      </c>
      <c r="AK6" s="156">
        <v>0.31330576500000001</v>
      </c>
      <c r="AL6" s="156">
        <v>0.31890051079999998</v>
      </c>
      <c r="AM6" s="157">
        <v>7.8083191440000005E-2</v>
      </c>
      <c r="AN6" s="158">
        <v>0.2819265386</v>
      </c>
      <c r="AO6" s="156">
        <v>0</v>
      </c>
      <c r="AP6" s="156">
        <v>0</v>
      </c>
      <c r="AQ6" s="156">
        <v>0</v>
      </c>
      <c r="AR6" s="156">
        <v>0.32011675989999999</v>
      </c>
      <c r="AS6" s="156">
        <v>0.32911700319999998</v>
      </c>
      <c r="AT6" s="159">
        <v>6.8839698369999994E-2</v>
      </c>
    </row>
    <row r="7" spans="1:46">
      <c r="A7" s="67" t="s">
        <v>19</v>
      </c>
      <c r="B7" s="67" t="s">
        <v>88</v>
      </c>
      <c r="C7" s="67" t="s">
        <v>108</v>
      </c>
      <c r="D7" s="67" t="s">
        <v>108</v>
      </c>
      <c r="E7" s="155">
        <v>0.3449985418</v>
      </c>
      <c r="F7" s="156">
        <v>0.47419072620000002</v>
      </c>
      <c r="G7" s="156">
        <v>0.12860892390000001</v>
      </c>
      <c r="H7" s="156">
        <v>4.0828229800000003E-3</v>
      </c>
      <c r="I7" s="156">
        <v>0</v>
      </c>
      <c r="J7" s="156">
        <v>0</v>
      </c>
      <c r="K7" s="157">
        <v>4.811898513E-2</v>
      </c>
      <c r="L7" s="158">
        <v>0.30562846310000003</v>
      </c>
      <c r="M7" s="156">
        <v>0.51414406530000001</v>
      </c>
      <c r="N7" s="156">
        <v>0.13269174689999999</v>
      </c>
      <c r="O7" s="156">
        <v>0</v>
      </c>
      <c r="P7" s="156">
        <v>0</v>
      </c>
      <c r="Q7" s="156">
        <v>0</v>
      </c>
      <c r="R7" s="159">
        <v>4.7535724699999997E-2</v>
      </c>
      <c r="S7" s="155">
        <v>0.4083997104</v>
      </c>
      <c r="T7" s="156">
        <v>0.53765387399999998</v>
      </c>
      <c r="U7" s="156">
        <v>0</v>
      </c>
      <c r="V7" s="156">
        <v>0</v>
      </c>
      <c r="W7" s="156">
        <v>1.086169442E-2</v>
      </c>
      <c r="X7" s="156">
        <v>0</v>
      </c>
      <c r="Y7" s="157">
        <v>4.3084721219999997E-2</v>
      </c>
      <c r="Z7" s="158">
        <v>0.41080493109999999</v>
      </c>
      <c r="AA7" s="156">
        <v>0.55583756350000002</v>
      </c>
      <c r="AB7" s="156">
        <v>0</v>
      </c>
      <c r="AC7" s="156">
        <v>0</v>
      </c>
      <c r="AD7" s="156">
        <v>9.064539521E-3</v>
      </c>
      <c r="AE7" s="156">
        <v>0</v>
      </c>
      <c r="AF7" s="159">
        <v>2.4292965919999999E-2</v>
      </c>
      <c r="AG7" s="155">
        <v>0.2314923619</v>
      </c>
      <c r="AH7" s="156">
        <v>0</v>
      </c>
      <c r="AI7" s="156">
        <v>0</v>
      </c>
      <c r="AJ7" s="156">
        <v>7.442224834E-3</v>
      </c>
      <c r="AK7" s="156">
        <v>0.39992166080000002</v>
      </c>
      <c r="AL7" s="156">
        <v>0.30082256169999999</v>
      </c>
      <c r="AM7" s="157">
        <v>6.0321190759999997E-2</v>
      </c>
      <c r="AN7" s="158">
        <v>0.23736780260000001</v>
      </c>
      <c r="AO7" s="156">
        <v>0</v>
      </c>
      <c r="AP7" s="156">
        <v>0</v>
      </c>
      <c r="AQ7" s="156">
        <v>0</v>
      </c>
      <c r="AR7" s="156">
        <v>0.40227183709999997</v>
      </c>
      <c r="AS7" s="156">
        <v>0.30278104189999999</v>
      </c>
      <c r="AT7" s="159">
        <v>5.757931845E-2</v>
      </c>
    </row>
    <row r="8" spans="1:46">
      <c r="A8" s="67" t="s">
        <v>19</v>
      </c>
      <c r="B8" s="67" t="s">
        <v>88</v>
      </c>
      <c r="C8" s="67" t="s">
        <v>108</v>
      </c>
      <c r="D8" s="67" t="s">
        <v>110</v>
      </c>
      <c r="E8" s="155">
        <v>0.23910482920000001</v>
      </c>
      <c r="F8" s="156">
        <v>0.61248527679999998</v>
      </c>
      <c r="G8" s="156">
        <v>8.4805653709999998E-2</v>
      </c>
      <c r="H8" s="156">
        <v>7.067137809E-3</v>
      </c>
      <c r="I8" s="156">
        <v>0</v>
      </c>
      <c r="J8" s="156">
        <v>0</v>
      </c>
      <c r="K8" s="157">
        <v>5.6537102470000003E-2</v>
      </c>
      <c r="L8" s="158">
        <v>0.22261484100000001</v>
      </c>
      <c r="M8" s="156">
        <v>0.61130742049999998</v>
      </c>
      <c r="N8" s="156">
        <v>9.3050647819999999E-2</v>
      </c>
      <c r="O8" s="156">
        <v>0</v>
      </c>
      <c r="P8" s="156">
        <v>0</v>
      </c>
      <c r="Q8" s="156">
        <v>0</v>
      </c>
      <c r="R8" s="159">
        <v>7.3027090690000004E-2</v>
      </c>
      <c r="S8" s="155">
        <v>0.35319894829999998</v>
      </c>
      <c r="T8" s="156">
        <v>0.58895705519999997</v>
      </c>
      <c r="U8" s="156">
        <v>0</v>
      </c>
      <c r="V8" s="156">
        <v>0</v>
      </c>
      <c r="W8" s="156">
        <v>8.7642418929999993E-3</v>
      </c>
      <c r="X8" s="156">
        <v>0</v>
      </c>
      <c r="Y8" s="157">
        <v>4.9079754599999997E-2</v>
      </c>
      <c r="Z8" s="158">
        <v>0.35407537249999999</v>
      </c>
      <c r="AA8" s="156">
        <v>0.60999123580000003</v>
      </c>
      <c r="AB8" s="156">
        <v>0</v>
      </c>
      <c r="AC8" s="156">
        <v>0</v>
      </c>
      <c r="AD8" s="156">
        <v>9.6406660819999997E-3</v>
      </c>
      <c r="AE8" s="156">
        <v>0</v>
      </c>
      <c r="AF8" s="159">
        <v>2.629272568E-2</v>
      </c>
      <c r="AG8" s="155">
        <v>0.36363636360000001</v>
      </c>
      <c r="AH8" s="156">
        <v>0</v>
      </c>
      <c r="AI8" s="156">
        <v>0</v>
      </c>
      <c r="AJ8" s="156">
        <v>1.239669421E-2</v>
      </c>
      <c r="AK8" s="156">
        <v>0.27272727270000002</v>
      </c>
      <c r="AL8" s="156">
        <v>0.27961432510000001</v>
      </c>
      <c r="AM8" s="157">
        <v>7.1625344349999995E-2</v>
      </c>
      <c r="AN8" s="158">
        <v>0.3719008264</v>
      </c>
      <c r="AO8" s="156">
        <v>0</v>
      </c>
      <c r="AP8" s="156">
        <v>0</v>
      </c>
      <c r="AQ8" s="156">
        <v>0</v>
      </c>
      <c r="AR8" s="156">
        <v>0.28374655650000002</v>
      </c>
      <c r="AS8" s="156">
        <v>0.29338842980000002</v>
      </c>
      <c r="AT8" s="159">
        <v>5.0964187330000001E-2</v>
      </c>
    </row>
    <row r="9" spans="1:46">
      <c r="A9" s="67" t="s">
        <v>19</v>
      </c>
      <c r="B9" s="67" t="s">
        <v>88</v>
      </c>
      <c r="C9" s="67" t="s">
        <v>111</v>
      </c>
      <c r="D9" s="67" t="s">
        <v>111</v>
      </c>
      <c r="E9" s="155">
        <v>0.47504362999999999</v>
      </c>
      <c r="F9" s="156">
        <v>0.46073298429999998</v>
      </c>
      <c r="G9" s="156">
        <v>3.3856893540000002E-2</v>
      </c>
      <c r="H9" s="156">
        <v>3.1413612569999999E-3</v>
      </c>
      <c r="I9" s="156">
        <v>0</v>
      </c>
      <c r="J9" s="156">
        <v>0</v>
      </c>
      <c r="K9" s="157">
        <v>2.7225130890000001E-2</v>
      </c>
      <c r="L9" s="158">
        <v>0.4331588133</v>
      </c>
      <c r="M9" s="156">
        <v>0.51204188480000001</v>
      </c>
      <c r="N9" s="156">
        <v>3.4554973820000001E-2</v>
      </c>
      <c r="O9" s="156">
        <v>0</v>
      </c>
      <c r="P9" s="156">
        <v>0</v>
      </c>
      <c r="Q9" s="156">
        <v>0</v>
      </c>
      <c r="R9" s="159">
        <v>2.02443281E-2</v>
      </c>
      <c r="S9" s="155">
        <v>0.54045534149999996</v>
      </c>
      <c r="T9" s="156">
        <v>0.42381786339999999</v>
      </c>
      <c r="U9" s="156">
        <v>0</v>
      </c>
      <c r="V9" s="156">
        <v>0</v>
      </c>
      <c r="W9" s="156">
        <v>1.1208406299999999E-2</v>
      </c>
      <c r="X9" s="156">
        <v>0</v>
      </c>
      <c r="Y9" s="157">
        <v>2.4518388790000002E-2</v>
      </c>
      <c r="Z9" s="158">
        <v>0.53625218910000005</v>
      </c>
      <c r="AA9" s="156">
        <v>0.4336252189</v>
      </c>
      <c r="AB9" s="156">
        <v>0</v>
      </c>
      <c r="AC9" s="156">
        <v>0</v>
      </c>
      <c r="AD9" s="156">
        <v>1.1558669000000001E-2</v>
      </c>
      <c r="AE9" s="156">
        <v>0</v>
      </c>
      <c r="AF9" s="159">
        <v>1.8563922940000002E-2</v>
      </c>
      <c r="AG9" s="155">
        <v>0.40296662550000001</v>
      </c>
      <c r="AH9" s="156">
        <v>0</v>
      </c>
      <c r="AI9" s="156">
        <v>0</v>
      </c>
      <c r="AJ9" s="156">
        <v>9.8887515449999994E-3</v>
      </c>
      <c r="AK9" s="156">
        <v>0.41985990940000001</v>
      </c>
      <c r="AL9" s="156">
        <v>0.1190770499</v>
      </c>
      <c r="AM9" s="157">
        <v>4.820766378E-2</v>
      </c>
      <c r="AN9" s="158">
        <v>0.40585084469999999</v>
      </c>
      <c r="AO9" s="156">
        <v>0</v>
      </c>
      <c r="AP9" s="156">
        <v>0</v>
      </c>
      <c r="AQ9" s="156">
        <v>0</v>
      </c>
      <c r="AR9" s="156">
        <v>0.42604037909999998</v>
      </c>
      <c r="AS9" s="156">
        <v>0.12566955090000001</v>
      </c>
      <c r="AT9" s="159">
        <v>4.2439225380000001E-2</v>
      </c>
    </row>
    <row r="10" spans="1:46">
      <c r="A10" s="67" t="s">
        <v>19</v>
      </c>
      <c r="B10" s="67" t="s">
        <v>88</v>
      </c>
      <c r="C10" s="67" t="s">
        <v>115</v>
      </c>
      <c r="D10" s="67" t="s">
        <v>115</v>
      </c>
      <c r="E10" s="155">
        <v>0.47667185070000001</v>
      </c>
      <c r="F10" s="156">
        <v>0.44401244169999998</v>
      </c>
      <c r="G10" s="156">
        <v>1.555209953E-2</v>
      </c>
      <c r="H10" s="156">
        <v>2.3328149300000001E-3</v>
      </c>
      <c r="I10" s="156">
        <v>0</v>
      </c>
      <c r="J10" s="156">
        <v>0</v>
      </c>
      <c r="K10" s="157">
        <v>6.1430793159999997E-2</v>
      </c>
      <c r="L10" s="158">
        <v>0.43001555209999998</v>
      </c>
      <c r="M10" s="156">
        <v>0.50155521000000003</v>
      </c>
      <c r="N10" s="156">
        <v>1.555209953E-2</v>
      </c>
      <c r="O10" s="156">
        <v>0</v>
      </c>
      <c r="P10" s="156">
        <v>0</v>
      </c>
      <c r="Q10" s="156">
        <v>0</v>
      </c>
      <c r="R10" s="159">
        <v>5.2877138410000003E-2</v>
      </c>
      <c r="S10" s="155">
        <v>0.45008183309999999</v>
      </c>
      <c r="T10" s="156">
        <v>0.50736497550000004</v>
      </c>
      <c r="U10" s="156">
        <v>0</v>
      </c>
      <c r="V10" s="156">
        <v>0</v>
      </c>
      <c r="W10" s="156">
        <v>6.5466448450000004E-3</v>
      </c>
      <c r="X10" s="156">
        <v>0</v>
      </c>
      <c r="Y10" s="157">
        <v>3.6006546639999998E-2</v>
      </c>
      <c r="Z10" s="158">
        <v>0.45008183309999999</v>
      </c>
      <c r="AA10" s="156">
        <v>0.51554828149999998</v>
      </c>
      <c r="AB10" s="156">
        <v>0</v>
      </c>
      <c r="AC10" s="156">
        <v>0</v>
      </c>
      <c r="AD10" s="156">
        <v>7.3649754500000001E-3</v>
      </c>
      <c r="AE10" s="156">
        <v>0</v>
      </c>
      <c r="AF10" s="159">
        <v>2.7004909979999998E-2</v>
      </c>
      <c r="AG10" s="155">
        <v>0.29143214509999998</v>
      </c>
      <c r="AH10" s="156">
        <v>0</v>
      </c>
      <c r="AI10" s="156">
        <v>0</v>
      </c>
      <c r="AJ10" s="156">
        <v>2.939337086E-2</v>
      </c>
      <c r="AK10" s="156">
        <v>0.39837398369999999</v>
      </c>
      <c r="AL10" s="156">
        <v>0.21575984989999999</v>
      </c>
      <c r="AM10" s="157">
        <v>6.5040650409999998E-2</v>
      </c>
      <c r="AN10" s="158">
        <v>0.32207629770000001</v>
      </c>
      <c r="AO10" s="156">
        <v>0</v>
      </c>
      <c r="AP10" s="156">
        <v>0</v>
      </c>
      <c r="AQ10" s="156">
        <v>0</v>
      </c>
      <c r="AR10" s="156">
        <v>0.40525328329999999</v>
      </c>
      <c r="AS10" s="156">
        <v>0.2213883677</v>
      </c>
      <c r="AT10" s="159">
        <v>5.1282051279999998E-2</v>
      </c>
    </row>
    <row r="11" spans="1:46">
      <c r="A11" s="67" t="s">
        <v>19</v>
      </c>
      <c r="B11" s="67" t="s">
        <v>88</v>
      </c>
      <c r="C11" s="67" t="s">
        <v>117</v>
      </c>
      <c r="D11" s="67" t="s">
        <v>117</v>
      </c>
      <c r="E11" s="155">
        <v>0.35312338669999999</v>
      </c>
      <c r="F11" s="156">
        <v>0.50671140940000003</v>
      </c>
      <c r="G11" s="156">
        <v>9.2152813629999997E-2</v>
      </c>
      <c r="H11" s="156">
        <v>6.453278265E-3</v>
      </c>
      <c r="I11" s="156">
        <v>0</v>
      </c>
      <c r="J11" s="156">
        <v>0</v>
      </c>
      <c r="K11" s="157">
        <v>4.1559112029999998E-2</v>
      </c>
      <c r="L11" s="158">
        <v>0.29925122640000001</v>
      </c>
      <c r="M11" s="156">
        <v>0.56519493929999998</v>
      </c>
      <c r="N11" s="156">
        <v>8.9336431709999997E-2</v>
      </c>
      <c r="O11" s="156">
        <v>0</v>
      </c>
      <c r="P11" s="156">
        <v>0</v>
      </c>
      <c r="Q11" s="156">
        <v>0</v>
      </c>
      <c r="R11" s="159">
        <v>4.621740253E-2</v>
      </c>
      <c r="S11" s="155">
        <v>0.43580786030000002</v>
      </c>
      <c r="T11" s="156">
        <v>0.52532751089999996</v>
      </c>
      <c r="U11" s="156">
        <v>0</v>
      </c>
      <c r="V11" s="156">
        <v>0</v>
      </c>
      <c r="W11" s="156">
        <v>1.004366812E-2</v>
      </c>
      <c r="X11" s="156">
        <v>0</v>
      </c>
      <c r="Y11" s="157">
        <v>2.8820960699999999E-2</v>
      </c>
      <c r="Z11" s="158">
        <v>0.43580786030000002</v>
      </c>
      <c r="AA11" s="156">
        <v>0.53930131000000003</v>
      </c>
      <c r="AB11" s="156">
        <v>0</v>
      </c>
      <c r="AC11" s="156">
        <v>0</v>
      </c>
      <c r="AD11" s="156">
        <v>8.2969432309999997E-3</v>
      </c>
      <c r="AE11" s="156">
        <v>0</v>
      </c>
      <c r="AF11" s="159">
        <v>1.6593886459999999E-2</v>
      </c>
      <c r="AG11" s="155">
        <v>0.31738683130000001</v>
      </c>
      <c r="AH11" s="156">
        <v>0</v>
      </c>
      <c r="AI11" s="156">
        <v>0</v>
      </c>
      <c r="AJ11" s="156">
        <v>1.33744856E-2</v>
      </c>
      <c r="AK11" s="156">
        <v>0.31841563789999999</v>
      </c>
      <c r="AL11" s="156">
        <v>0.29320987650000002</v>
      </c>
      <c r="AM11" s="157">
        <v>5.7613168720000003E-2</v>
      </c>
      <c r="AN11" s="158">
        <v>0.32510288069999999</v>
      </c>
      <c r="AO11" s="156">
        <v>0</v>
      </c>
      <c r="AP11" s="156">
        <v>0</v>
      </c>
      <c r="AQ11" s="156">
        <v>0</v>
      </c>
      <c r="AR11" s="156">
        <v>0.31738683130000001</v>
      </c>
      <c r="AS11" s="156">
        <v>0.30195473249999999</v>
      </c>
      <c r="AT11" s="159">
        <v>5.5555555559999997E-2</v>
      </c>
    </row>
    <row r="12" spans="1:46">
      <c r="A12" s="67" t="s">
        <v>19</v>
      </c>
      <c r="B12" s="67" t="s">
        <v>88</v>
      </c>
      <c r="C12" s="67" t="s">
        <v>121</v>
      </c>
      <c r="D12" s="67" t="s">
        <v>121</v>
      </c>
      <c r="E12" s="155">
        <v>0.39758227000000002</v>
      </c>
      <c r="F12" s="156">
        <v>0.52921423769999998</v>
      </c>
      <c r="G12" s="156">
        <v>2.0819341839999998E-2</v>
      </c>
      <c r="H12" s="156">
        <v>5.3727333780000004E-3</v>
      </c>
      <c r="I12" s="156">
        <v>0</v>
      </c>
      <c r="J12" s="156">
        <v>0</v>
      </c>
      <c r="K12" s="157">
        <v>4.7011417059999998E-2</v>
      </c>
      <c r="L12" s="158">
        <v>0.36002691790000002</v>
      </c>
      <c r="M12" s="156">
        <v>0.57604306859999999</v>
      </c>
      <c r="N12" s="156">
        <v>1.7496635260000001E-2</v>
      </c>
      <c r="O12" s="156">
        <v>0</v>
      </c>
      <c r="P12" s="156">
        <v>0</v>
      </c>
      <c r="Q12" s="156">
        <v>0</v>
      </c>
      <c r="R12" s="159">
        <v>4.64333782E-2</v>
      </c>
      <c r="S12" s="155">
        <v>0.5366395263</v>
      </c>
      <c r="T12" s="156">
        <v>0.41302738709999998</v>
      </c>
      <c r="U12" s="156">
        <v>0</v>
      </c>
      <c r="V12" s="156">
        <v>0</v>
      </c>
      <c r="W12" s="156">
        <v>1.5544041450000001E-2</v>
      </c>
      <c r="X12" s="156">
        <v>0</v>
      </c>
      <c r="Y12" s="157">
        <v>3.4789045150000003E-2</v>
      </c>
      <c r="Z12" s="158">
        <v>0.53886010360000003</v>
      </c>
      <c r="AA12" s="156">
        <v>0.42635085119999999</v>
      </c>
      <c r="AB12" s="156">
        <v>0</v>
      </c>
      <c r="AC12" s="156">
        <v>0</v>
      </c>
      <c r="AD12" s="156">
        <v>1.258327165E-2</v>
      </c>
      <c r="AE12" s="156">
        <v>0</v>
      </c>
      <c r="AF12" s="159">
        <v>2.2205773500000001E-2</v>
      </c>
      <c r="AG12" s="155">
        <v>0.3824850299</v>
      </c>
      <c r="AH12" s="156">
        <v>0</v>
      </c>
      <c r="AI12" s="156">
        <v>0</v>
      </c>
      <c r="AJ12" s="156">
        <v>1.5718562870000001E-2</v>
      </c>
      <c r="AK12" s="156">
        <v>0.26197604790000001</v>
      </c>
      <c r="AL12" s="156">
        <v>0.27694610780000001</v>
      </c>
      <c r="AM12" s="157">
        <v>6.2874251500000006E-2</v>
      </c>
      <c r="AN12" s="158">
        <v>0.39146706590000002</v>
      </c>
      <c r="AO12" s="156">
        <v>0</v>
      </c>
      <c r="AP12" s="156">
        <v>0</v>
      </c>
      <c r="AQ12" s="156">
        <v>0</v>
      </c>
      <c r="AR12" s="156">
        <v>0.27245508979999999</v>
      </c>
      <c r="AS12" s="156">
        <v>0.27245508979999999</v>
      </c>
      <c r="AT12" s="159">
        <v>6.3622754490000002E-2</v>
      </c>
    </row>
    <row r="13" spans="1:46">
      <c r="A13" s="67" t="s">
        <v>19</v>
      </c>
      <c r="B13" s="67" t="s">
        <v>88</v>
      </c>
      <c r="C13" s="67" t="s">
        <v>123</v>
      </c>
      <c r="D13" s="67" t="s">
        <v>126</v>
      </c>
      <c r="E13" s="155">
        <v>0.3255982596</v>
      </c>
      <c r="F13" s="156">
        <v>0.40826686000000001</v>
      </c>
      <c r="G13" s="156">
        <v>0.22117476429999999</v>
      </c>
      <c r="H13" s="156">
        <v>5.8013052940000002E-3</v>
      </c>
      <c r="I13" s="156">
        <v>0</v>
      </c>
      <c r="J13" s="156">
        <v>0</v>
      </c>
      <c r="K13" s="157">
        <v>3.915881073E-2</v>
      </c>
      <c r="L13" s="158">
        <v>0.30239303839999998</v>
      </c>
      <c r="M13" s="156">
        <v>0.45467730239999998</v>
      </c>
      <c r="N13" s="156">
        <v>0.2073966642</v>
      </c>
      <c r="O13" s="156">
        <v>0</v>
      </c>
      <c r="P13" s="156">
        <v>0</v>
      </c>
      <c r="Q13" s="156">
        <v>0</v>
      </c>
      <c r="R13" s="159">
        <v>3.5532994919999998E-2</v>
      </c>
      <c r="S13" s="155">
        <v>0.57089272319999995</v>
      </c>
      <c r="T13" s="156">
        <v>0.40060014999999999</v>
      </c>
      <c r="U13" s="156">
        <v>0</v>
      </c>
      <c r="V13" s="156">
        <v>0</v>
      </c>
      <c r="W13" s="156">
        <v>6.7516879219999999E-3</v>
      </c>
      <c r="X13" s="156">
        <v>0</v>
      </c>
      <c r="Y13" s="157">
        <v>2.175543886E-2</v>
      </c>
      <c r="Z13" s="158">
        <v>0.57464366089999996</v>
      </c>
      <c r="AA13" s="156">
        <v>0.40510127530000001</v>
      </c>
      <c r="AB13" s="156">
        <v>0</v>
      </c>
      <c r="AC13" s="156">
        <v>0</v>
      </c>
      <c r="AD13" s="156">
        <v>4.5011252810000001E-3</v>
      </c>
      <c r="AE13" s="156">
        <v>0</v>
      </c>
      <c r="AF13" s="159">
        <v>1.575393848E-2</v>
      </c>
      <c r="AG13" s="155">
        <v>0.13144329900000001</v>
      </c>
      <c r="AH13" s="156">
        <v>0</v>
      </c>
      <c r="AI13" s="156">
        <v>0</v>
      </c>
      <c r="AJ13" s="156">
        <v>4.2955326460000004E-3</v>
      </c>
      <c r="AK13" s="156">
        <v>0.27233676979999999</v>
      </c>
      <c r="AL13" s="156">
        <v>0.52835051550000001</v>
      </c>
      <c r="AM13" s="157">
        <v>6.3573883159999997E-2</v>
      </c>
      <c r="AN13" s="158">
        <v>0.12285223369999999</v>
      </c>
      <c r="AO13" s="156">
        <v>0</v>
      </c>
      <c r="AP13" s="156">
        <v>0</v>
      </c>
      <c r="AQ13" s="156">
        <v>0</v>
      </c>
      <c r="AR13" s="156">
        <v>0.26718213060000001</v>
      </c>
      <c r="AS13" s="156">
        <v>0.54381443299999999</v>
      </c>
      <c r="AT13" s="159">
        <v>6.6151202749999999E-2</v>
      </c>
    </row>
    <row r="14" spans="1:46">
      <c r="A14" s="67" t="s">
        <v>19</v>
      </c>
      <c r="B14" s="67" t="s">
        <v>88</v>
      </c>
      <c r="C14" s="67" t="s">
        <v>123</v>
      </c>
      <c r="D14" s="67" t="s">
        <v>123</v>
      </c>
      <c r="E14" s="155">
        <v>0.38881309689999999</v>
      </c>
      <c r="F14" s="156">
        <v>0.4938608458</v>
      </c>
      <c r="G14" s="156">
        <v>7.1623465210000001E-2</v>
      </c>
      <c r="H14" s="156">
        <v>5.4570259210000001E-3</v>
      </c>
      <c r="I14" s="156">
        <v>0</v>
      </c>
      <c r="J14" s="156">
        <v>0</v>
      </c>
      <c r="K14" s="157">
        <v>4.0245566169999997E-2</v>
      </c>
      <c r="L14" s="158">
        <v>0.3512960437</v>
      </c>
      <c r="M14" s="156">
        <v>0.54774897680000001</v>
      </c>
      <c r="N14" s="156">
        <v>6.2073669849999999E-2</v>
      </c>
      <c r="O14" s="156">
        <v>0</v>
      </c>
      <c r="P14" s="156">
        <v>0</v>
      </c>
      <c r="Q14" s="156">
        <v>0</v>
      </c>
      <c r="R14" s="159">
        <v>3.8881309689999997E-2</v>
      </c>
      <c r="S14" s="155">
        <v>0.45102339180000001</v>
      </c>
      <c r="T14" s="156">
        <v>0.51461988299999994</v>
      </c>
      <c r="U14" s="156">
        <v>0</v>
      </c>
      <c r="V14" s="156">
        <v>0</v>
      </c>
      <c r="W14" s="156">
        <v>1.023391813E-2</v>
      </c>
      <c r="X14" s="156">
        <v>0</v>
      </c>
      <c r="Y14" s="157">
        <v>2.4122807020000001E-2</v>
      </c>
      <c r="Z14" s="158">
        <v>0.44842721289999998</v>
      </c>
      <c r="AA14" s="156">
        <v>0.52596927579999997</v>
      </c>
      <c r="AB14" s="156">
        <v>0</v>
      </c>
      <c r="AC14" s="156">
        <v>0</v>
      </c>
      <c r="AD14" s="156">
        <v>1.024140454E-2</v>
      </c>
      <c r="AE14" s="156">
        <v>0</v>
      </c>
      <c r="AF14" s="159">
        <v>1.5362106800000001E-2</v>
      </c>
      <c r="AG14" s="155">
        <v>0.41130906270000001</v>
      </c>
      <c r="AH14" s="156">
        <v>0</v>
      </c>
      <c r="AI14" s="156">
        <v>0</v>
      </c>
      <c r="AJ14" s="156">
        <v>2.091402014E-2</v>
      </c>
      <c r="AK14" s="156">
        <v>0.26181254840000001</v>
      </c>
      <c r="AL14" s="156">
        <v>0.25096824169999998</v>
      </c>
      <c r="AM14" s="157">
        <v>5.4996127030000001E-2</v>
      </c>
      <c r="AN14" s="158">
        <v>0.41905499610000002</v>
      </c>
      <c r="AO14" s="156">
        <v>0</v>
      </c>
      <c r="AP14" s="156">
        <v>0</v>
      </c>
      <c r="AQ14" s="156">
        <v>0</v>
      </c>
      <c r="AR14" s="156">
        <v>0.27885360190000003</v>
      </c>
      <c r="AS14" s="156">
        <v>0.25639039499999999</v>
      </c>
      <c r="AT14" s="159">
        <v>4.5701006969999999E-2</v>
      </c>
    </row>
    <row r="15" spans="1:46">
      <c r="A15" s="67" t="s">
        <v>19</v>
      </c>
      <c r="B15" s="67" t="s">
        <v>88</v>
      </c>
      <c r="C15" s="67" t="s">
        <v>127</v>
      </c>
      <c r="D15" s="67" t="s">
        <v>127</v>
      </c>
      <c r="E15" s="155">
        <v>0.36273428889999998</v>
      </c>
      <c r="F15" s="156">
        <v>0.52590959209999999</v>
      </c>
      <c r="G15" s="156">
        <v>6.5049614110000001E-2</v>
      </c>
      <c r="H15" s="156">
        <v>4.4101433299999996E-3</v>
      </c>
      <c r="I15" s="156">
        <v>0</v>
      </c>
      <c r="J15" s="156">
        <v>0</v>
      </c>
      <c r="K15" s="157">
        <v>4.1896361629999997E-2</v>
      </c>
      <c r="L15" s="158">
        <v>0.3318632856</v>
      </c>
      <c r="M15" s="156">
        <v>0.58875413450000003</v>
      </c>
      <c r="N15" s="156">
        <v>5.2921719960000002E-2</v>
      </c>
      <c r="O15" s="156">
        <v>0</v>
      </c>
      <c r="P15" s="156">
        <v>0</v>
      </c>
      <c r="Q15" s="156">
        <v>0</v>
      </c>
      <c r="R15" s="159">
        <v>2.6460859980000001E-2</v>
      </c>
      <c r="S15" s="155">
        <v>0.50285062709999995</v>
      </c>
      <c r="T15" s="156">
        <v>0.472063854</v>
      </c>
      <c r="U15" s="156">
        <v>0</v>
      </c>
      <c r="V15" s="156">
        <v>0</v>
      </c>
      <c r="W15" s="156">
        <v>3.4207525659999999E-3</v>
      </c>
      <c r="X15" s="156">
        <v>0</v>
      </c>
      <c r="Y15" s="157">
        <v>2.1664766249999998E-2</v>
      </c>
      <c r="Z15" s="158">
        <v>0.50171037630000004</v>
      </c>
      <c r="AA15" s="156">
        <v>0.48118586089999998</v>
      </c>
      <c r="AB15" s="156">
        <v>0</v>
      </c>
      <c r="AC15" s="156">
        <v>0</v>
      </c>
      <c r="AD15" s="156">
        <v>3.4207525659999999E-3</v>
      </c>
      <c r="AE15" s="156">
        <v>0</v>
      </c>
      <c r="AF15" s="159">
        <v>1.368301026E-2</v>
      </c>
      <c r="AG15" s="155">
        <v>0.4863013699</v>
      </c>
      <c r="AH15" s="156">
        <v>0</v>
      </c>
      <c r="AI15" s="156">
        <v>0</v>
      </c>
      <c r="AJ15" s="156">
        <v>1.5410958900000001E-2</v>
      </c>
      <c r="AK15" s="156">
        <v>0.40068493150000001</v>
      </c>
      <c r="AL15" s="156">
        <v>6.5068493150000004E-2</v>
      </c>
      <c r="AM15" s="157">
        <v>3.2534246580000002E-2</v>
      </c>
      <c r="AN15" s="158">
        <v>0.51541095889999999</v>
      </c>
      <c r="AO15" s="156">
        <v>0</v>
      </c>
      <c r="AP15" s="156">
        <v>0</v>
      </c>
      <c r="AQ15" s="156">
        <v>0</v>
      </c>
      <c r="AR15" s="156">
        <v>0.38356164380000002</v>
      </c>
      <c r="AS15" s="156">
        <v>6.3356164379999996E-2</v>
      </c>
      <c r="AT15" s="159">
        <v>3.7671232880000002E-2</v>
      </c>
    </row>
    <row r="16" spans="1:46">
      <c r="A16" s="67" t="s">
        <v>19</v>
      </c>
      <c r="B16" s="67" t="s">
        <v>88</v>
      </c>
      <c r="C16" s="67" t="s">
        <v>129</v>
      </c>
      <c r="D16" s="67" t="s">
        <v>129</v>
      </c>
      <c r="E16" s="155">
        <v>0.50655021830000002</v>
      </c>
      <c r="F16" s="156">
        <v>0.4264919942</v>
      </c>
      <c r="G16" s="156">
        <v>1.746724891E-2</v>
      </c>
      <c r="H16" s="156">
        <v>4.3668122269999998E-3</v>
      </c>
      <c r="I16" s="156">
        <v>0</v>
      </c>
      <c r="J16" s="156">
        <v>0</v>
      </c>
      <c r="K16" s="157">
        <v>4.5123726349999997E-2</v>
      </c>
      <c r="L16" s="158">
        <v>0.4716157205</v>
      </c>
      <c r="M16" s="156">
        <v>0.46433770009999997</v>
      </c>
      <c r="N16" s="156">
        <v>2.0378457060000001E-2</v>
      </c>
      <c r="O16" s="156">
        <v>0</v>
      </c>
      <c r="P16" s="156">
        <v>0</v>
      </c>
      <c r="Q16" s="156">
        <v>0</v>
      </c>
      <c r="R16" s="159">
        <v>4.3668122269999998E-2</v>
      </c>
      <c r="S16" s="155">
        <v>0.79362670710000005</v>
      </c>
      <c r="T16" s="156">
        <v>0.16388467370000001</v>
      </c>
      <c r="U16" s="156">
        <v>0</v>
      </c>
      <c r="V16" s="156">
        <v>0</v>
      </c>
      <c r="W16" s="156">
        <v>1.062215478E-2</v>
      </c>
      <c r="X16" s="156">
        <v>0</v>
      </c>
      <c r="Y16" s="157">
        <v>3.1866464339999998E-2</v>
      </c>
      <c r="Z16" s="158">
        <v>0.8</v>
      </c>
      <c r="AA16" s="156">
        <v>0.1742424242</v>
      </c>
      <c r="AB16" s="156">
        <v>0</v>
      </c>
      <c r="AC16" s="156">
        <v>0</v>
      </c>
      <c r="AD16" s="156">
        <v>6.0606060609999998E-3</v>
      </c>
      <c r="AE16" s="156">
        <v>0</v>
      </c>
      <c r="AF16" s="159">
        <v>1.9696969700000001E-2</v>
      </c>
      <c r="AG16" s="155">
        <v>0.23489932890000001</v>
      </c>
      <c r="AH16" s="156">
        <v>0</v>
      </c>
      <c r="AI16" s="156">
        <v>0</v>
      </c>
      <c r="AJ16" s="156">
        <v>2.3489932889999999E-2</v>
      </c>
      <c r="AK16" s="156">
        <v>0.3909395973</v>
      </c>
      <c r="AL16" s="156">
        <v>0.26342281880000001</v>
      </c>
      <c r="AM16" s="157">
        <v>8.7248322150000002E-2</v>
      </c>
      <c r="AN16" s="158">
        <v>0.24161073829999999</v>
      </c>
      <c r="AO16" s="156">
        <v>0</v>
      </c>
      <c r="AP16" s="156">
        <v>0</v>
      </c>
      <c r="AQ16" s="156">
        <v>0</v>
      </c>
      <c r="AR16" s="156">
        <v>0.41442953020000001</v>
      </c>
      <c r="AS16" s="156">
        <v>0.2718120805</v>
      </c>
      <c r="AT16" s="159">
        <v>7.2147651009999994E-2</v>
      </c>
    </row>
    <row r="17" spans="1:46">
      <c r="A17" s="67" t="s">
        <v>19</v>
      </c>
      <c r="B17" s="67" t="s">
        <v>88</v>
      </c>
      <c r="C17" s="67" t="s">
        <v>132</v>
      </c>
      <c r="D17" s="67" t="s">
        <v>132</v>
      </c>
      <c r="E17" s="155">
        <v>0.32937685459999999</v>
      </c>
      <c r="F17" s="156">
        <v>0.45994065280000002</v>
      </c>
      <c r="G17" s="156">
        <v>0.1557863501</v>
      </c>
      <c r="H17" s="156">
        <v>1.483679525E-3</v>
      </c>
      <c r="I17" s="156">
        <v>0</v>
      </c>
      <c r="J17" s="156">
        <v>0</v>
      </c>
      <c r="K17" s="157">
        <v>5.341246291E-2</v>
      </c>
      <c r="L17" s="158">
        <v>0.29228486650000002</v>
      </c>
      <c r="M17" s="156">
        <v>0.51928783379999999</v>
      </c>
      <c r="N17" s="156">
        <v>0.1246290801</v>
      </c>
      <c r="O17" s="156">
        <v>0</v>
      </c>
      <c r="P17" s="156">
        <v>0</v>
      </c>
      <c r="Q17" s="156">
        <v>0</v>
      </c>
      <c r="R17" s="159">
        <v>6.3798219579999996E-2</v>
      </c>
      <c r="S17" s="155">
        <v>0.26119402990000001</v>
      </c>
      <c r="T17" s="156">
        <v>0.61407249470000003</v>
      </c>
      <c r="U17" s="156">
        <v>0</v>
      </c>
      <c r="V17" s="156">
        <v>0</v>
      </c>
      <c r="W17" s="156">
        <v>2.5586353940000001E-2</v>
      </c>
      <c r="X17" s="156">
        <v>0</v>
      </c>
      <c r="Y17" s="157">
        <v>9.9147121539999994E-2</v>
      </c>
      <c r="Z17" s="158">
        <v>0.28358208959999998</v>
      </c>
      <c r="AA17" s="156">
        <v>0.59381663110000005</v>
      </c>
      <c r="AB17" s="156">
        <v>0</v>
      </c>
      <c r="AC17" s="156">
        <v>0</v>
      </c>
      <c r="AD17" s="156">
        <v>1.279317697E-2</v>
      </c>
      <c r="AE17" s="156">
        <v>0</v>
      </c>
      <c r="AF17" s="159">
        <v>0.1098081023</v>
      </c>
      <c r="AG17" s="155">
        <v>0.12989921609999999</v>
      </c>
      <c r="AH17" s="156">
        <v>0</v>
      </c>
      <c r="AI17" s="156">
        <v>0</v>
      </c>
      <c r="AJ17" s="156">
        <v>1.6797312429999999E-2</v>
      </c>
      <c r="AK17" s="156">
        <v>0.31914893620000001</v>
      </c>
      <c r="AL17" s="156">
        <v>0.46808510640000001</v>
      </c>
      <c r="AM17" s="157">
        <v>6.6069428890000004E-2</v>
      </c>
      <c r="AN17" s="158">
        <v>0.14333706609999999</v>
      </c>
      <c r="AO17" s="156">
        <v>0</v>
      </c>
      <c r="AP17" s="156">
        <v>0</v>
      </c>
      <c r="AQ17" s="156">
        <v>0</v>
      </c>
      <c r="AR17" s="156">
        <v>0.29787234039999999</v>
      </c>
      <c r="AS17" s="156">
        <v>0.45352743559999997</v>
      </c>
      <c r="AT17" s="159">
        <v>0.1052631579</v>
      </c>
    </row>
    <row r="18" spans="1:46">
      <c r="A18" s="67" t="s">
        <v>19</v>
      </c>
      <c r="B18" s="67" t="s">
        <v>88</v>
      </c>
      <c r="C18" s="67" t="s">
        <v>134</v>
      </c>
      <c r="D18" s="67" t="s">
        <v>134</v>
      </c>
      <c r="E18" s="155">
        <v>0.51118963490000002</v>
      </c>
      <c r="F18" s="156">
        <v>0.42638398119999998</v>
      </c>
      <c r="G18" s="156">
        <v>2.866117E-2</v>
      </c>
      <c r="H18" s="156">
        <v>2.355712603E-3</v>
      </c>
      <c r="I18" s="156">
        <v>0</v>
      </c>
      <c r="J18" s="156">
        <v>0</v>
      </c>
      <c r="K18" s="157">
        <v>3.1409501370000002E-2</v>
      </c>
      <c r="L18" s="158">
        <v>0.47389085199999997</v>
      </c>
      <c r="M18" s="156">
        <v>0.47467608950000001</v>
      </c>
      <c r="N18" s="156">
        <v>2.6698076170000001E-2</v>
      </c>
      <c r="O18" s="156">
        <v>0</v>
      </c>
      <c r="P18" s="156">
        <v>0</v>
      </c>
      <c r="Q18" s="156">
        <v>0</v>
      </c>
      <c r="R18" s="159">
        <v>2.4734982329999999E-2</v>
      </c>
      <c r="S18" s="155">
        <v>0.43360655739999998</v>
      </c>
      <c r="T18" s="156">
        <v>0.53483606559999997</v>
      </c>
      <c r="U18" s="156">
        <v>0</v>
      </c>
      <c r="V18" s="156">
        <v>0</v>
      </c>
      <c r="W18" s="156">
        <v>4.918032787E-3</v>
      </c>
      <c r="X18" s="156">
        <v>0</v>
      </c>
      <c r="Y18" s="157">
        <v>2.663934426E-2</v>
      </c>
      <c r="Z18" s="158">
        <v>0.43196721310000002</v>
      </c>
      <c r="AA18" s="156">
        <v>0.53770491799999998</v>
      </c>
      <c r="AB18" s="156">
        <v>0</v>
      </c>
      <c r="AC18" s="156">
        <v>0</v>
      </c>
      <c r="AD18" s="156">
        <v>6.9672131149999999E-3</v>
      </c>
      <c r="AE18" s="156">
        <v>0</v>
      </c>
      <c r="AF18" s="159">
        <v>2.336065574E-2</v>
      </c>
      <c r="AG18" s="155">
        <v>0.3452248235</v>
      </c>
      <c r="AH18" s="156">
        <v>0</v>
      </c>
      <c r="AI18" s="156">
        <v>0</v>
      </c>
      <c r="AJ18" s="156">
        <v>1.3749535489999999E-2</v>
      </c>
      <c r="AK18" s="156">
        <v>0.35674470460000002</v>
      </c>
      <c r="AL18" s="156">
        <v>0.2133036046</v>
      </c>
      <c r="AM18" s="157">
        <v>7.0977331850000006E-2</v>
      </c>
      <c r="AN18" s="158">
        <v>0.3467112598</v>
      </c>
      <c r="AO18" s="156">
        <v>0</v>
      </c>
      <c r="AP18" s="156">
        <v>0</v>
      </c>
      <c r="AQ18" s="156">
        <v>0</v>
      </c>
      <c r="AR18" s="156">
        <v>0.35971757710000002</v>
      </c>
      <c r="AS18" s="156">
        <v>0.22593831289999999</v>
      </c>
      <c r="AT18" s="159">
        <v>6.763285024E-2</v>
      </c>
    </row>
    <row r="19" spans="1:46">
      <c r="A19" s="67" t="s">
        <v>19</v>
      </c>
      <c r="B19" s="67" t="s">
        <v>88</v>
      </c>
      <c r="C19" s="67" t="s">
        <v>137</v>
      </c>
      <c r="D19" s="67" t="s">
        <v>137</v>
      </c>
      <c r="E19" s="155">
        <v>0.30373626370000001</v>
      </c>
      <c r="F19" s="156">
        <v>0.54417582419999999</v>
      </c>
      <c r="G19" s="156">
        <v>9.3186813189999995E-2</v>
      </c>
      <c r="H19" s="156">
        <v>3.9560439559999999E-3</v>
      </c>
      <c r="I19" s="156">
        <v>0</v>
      </c>
      <c r="J19" s="156">
        <v>0</v>
      </c>
      <c r="K19" s="157">
        <v>5.4945054950000002E-2</v>
      </c>
      <c r="L19" s="158">
        <v>0.28923076920000002</v>
      </c>
      <c r="M19" s="156">
        <v>0.58021978019999998</v>
      </c>
      <c r="N19" s="156">
        <v>8.9670329670000007E-2</v>
      </c>
      <c r="O19" s="156">
        <v>0</v>
      </c>
      <c r="P19" s="156">
        <v>0</v>
      </c>
      <c r="Q19" s="156">
        <v>0</v>
      </c>
      <c r="R19" s="159">
        <v>4.0879120880000001E-2</v>
      </c>
      <c r="S19" s="155">
        <v>0.35049921179999999</v>
      </c>
      <c r="T19" s="156">
        <v>0.60535995799999998</v>
      </c>
      <c r="U19" s="156">
        <v>0</v>
      </c>
      <c r="V19" s="156">
        <v>0</v>
      </c>
      <c r="W19" s="156">
        <v>9.9842354180000002E-3</v>
      </c>
      <c r="X19" s="156">
        <v>0</v>
      </c>
      <c r="Y19" s="157">
        <v>3.4156594849999999E-2</v>
      </c>
      <c r="Z19" s="158">
        <v>0.35522858639999999</v>
      </c>
      <c r="AA19" s="156">
        <v>0.60535995799999998</v>
      </c>
      <c r="AB19" s="156">
        <v>0</v>
      </c>
      <c r="AC19" s="156">
        <v>0</v>
      </c>
      <c r="AD19" s="156">
        <v>1.050972149E-2</v>
      </c>
      <c r="AE19" s="156">
        <v>0</v>
      </c>
      <c r="AF19" s="159">
        <v>2.89017341E-2</v>
      </c>
      <c r="AG19" s="155">
        <v>0.1327879169</v>
      </c>
      <c r="AH19" s="156">
        <v>0</v>
      </c>
      <c r="AI19" s="156">
        <v>0</v>
      </c>
      <c r="AJ19" s="156">
        <v>2.0767778479999999E-2</v>
      </c>
      <c r="AK19" s="156">
        <v>0.41661422279999999</v>
      </c>
      <c r="AL19" s="156">
        <v>0.33668974200000001</v>
      </c>
      <c r="AM19" s="157">
        <v>9.3140339840000003E-2</v>
      </c>
      <c r="AN19" s="158">
        <v>0.14285714290000001</v>
      </c>
      <c r="AO19" s="156">
        <v>0</v>
      </c>
      <c r="AP19" s="156">
        <v>0</v>
      </c>
      <c r="AQ19" s="156">
        <v>0</v>
      </c>
      <c r="AR19" s="156">
        <v>0.41976085590000001</v>
      </c>
      <c r="AS19" s="156">
        <v>0.34046570170000001</v>
      </c>
      <c r="AT19" s="159">
        <v>9.6916299560000002E-2</v>
      </c>
    </row>
    <row r="20" spans="1:46" ht="12.75">
      <c r="A20" s="67" t="s">
        <v>19</v>
      </c>
      <c r="B20" s="67" t="s">
        <v>88</v>
      </c>
      <c r="C20" s="67" t="s">
        <v>140</v>
      </c>
      <c r="D20" s="67" t="s">
        <v>140</v>
      </c>
      <c r="E20" s="155">
        <v>0.47754557580000001</v>
      </c>
      <c r="F20" s="156">
        <v>0.43352601159999998</v>
      </c>
      <c r="G20" s="156">
        <v>4.2685638060000003E-2</v>
      </c>
      <c r="H20" s="156">
        <v>6.2249888839999998E-3</v>
      </c>
      <c r="I20" s="156">
        <v>0</v>
      </c>
      <c r="J20" s="156">
        <v>0</v>
      </c>
      <c r="K20" s="157">
        <v>4.0017785680000001E-2</v>
      </c>
      <c r="L20" s="158">
        <v>0.45511111110000002</v>
      </c>
      <c r="M20" s="156">
        <v>0.46577777780000001</v>
      </c>
      <c r="N20" s="156">
        <v>3.6444444440000001E-2</v>
      </c>
      <c r="O20" s="156">
        <v>0</v>
      </c>
      <c r="P20" s="156">
        <v>0</v>
      </c>
      <c r="Q20" s="156">
        <v>0</v>
      </c>
      <c r="R20" s="159">
        <v>4.2666666669999999E-2</v>
      </c>
      <c r="S20" s="155">
        <v>0.49552520020000002</v>
      </c>
      <c r="T20" s="156">
        <v>0.47856806410000002</v>
      </c>
      <c r="U20" s="156">
        <v>0</v>
      </c>
      <c r="V20" s="156">
        <v>0</v>
      </c>
      <c r="W20" s="156">
        <v>6.5944418279999997E-3</v>
      </c>
      <c r="X20" s="156">
        <v>0</v>
      </c>
      <c r="Y20" s="157">
        <v>1.9312293920000001E-2</v>
      </c>
      <c r="Z20" s="158">
        <v>0.50164861049999998</v>
      </c>
      <c r="AA20" s="156">
        <v>0.48092322189999998</v>
      </c>
      <c r="AB20" s="156">
        <v>0</v>
      </c>
      <c r="AC20" s="156">
        <v>0</v>
      </c>
      <c r="AD20" s="156">
        <v>7.0654733869999998E-3</v>
      </c>
      <c r="AE20" s="156">
        <v>0</v>
      </c>
      <c r="AF20" s="159">
        <v>1.0362694299999999E-2</v>
      </c>
      <c r="AG20" s="155">
        <v>0.45287578540000001</v>
      </c>
      <c r="AH20" s="156">
        <v>0</v>
      </c>
      <c r="AI20" s="156">
        <v>0</v>
      </c>
      <c r="AJ20" s="156">
        <v>1.111648139E-2</v>
      </c>
      <c r="AK20" s="156">
        <v>0.37312711450000002</v>
      </c>
      <c r="AL20" s="156">
        <v>0.11406476560000001</v>
      </c>
      <c r="AM20" s="157">
        <v>4.8815853069999998E-2</v>
      </c>
      <c r="AN20" s="158">
        <v>0.45335911070000001</v>
      </c>
      <c r="AO20" s="156">
        <v>0</v>
      </c>
      <c r="AP20" s="156">
        <v>0</v>
      </c>
      <c r="AQ20" s="156">
        <v>0</v>
      </c>
      <c r="AR20" s="156">
        <v>0.3789270179</v>
      </c>
      <c r="AS20" s="156">
        <v>0.12083131950000001</v>
      </c>
      <c r="AT20" s="159">
        <v>4.6882551959999998E-2</v>
      </c>
    </row>
    <row r="21" spans="1:46" ht="12.75">
      <c r="A21" s="67" t="s">
        <v>19</v>
      </c>
      <c r="B21" s="67" t="s">
        <v>88</v>
      </c>
      <c r="C21" s="67" t="s">
        <v>143</v>
      </c>
      <c r="D21" s="67" t="s">
        <v>143</v>
      </c>
      <c r="E21" s="155">
        <v>0.52093397750000003</v>
      </c>
      <c r="F21" s="156">
        <v>0.4259259259</v>
      </c>
      <c r="G21" s="156">
        <v>1.8518518519999999E-2</v>
      </c>
      <c r="H21" s="156">
        <v>4.0257648949999997E-3</v>
      </c>
      <c r="I21" s="156">
        <v>0</v>
      </c>
      <c r="J21" s="156">
        <v>0</v>
      </c>
      <c r="K21" s="157">
        <v>3.0595813199999999E-2</v>
      </c>
      <c r="L21" s="158">
        <v>0.48550724639999998</v>
      </c>
      <c r="M21" s="156">
        <v>0.47584541060000002</v>
      </c>
      <c r="N21" s="156">
        <v>1.5297906599999999E-2</v>
      </c>
      <c r="O21" s="156">
        <v>0</v>
      </c>
      <c r="P21" s="156">
        <v>0</v>
      </c>
      <c r="Q21" s="156">
        <v>0</v>
      </c>
      <c r="R21" s="159">
        <v>2.3349436389999999E-2</v>
      </c>
      <c r="S21" s="155">
        <v>0.58129370629999999</v>
      </c>
      <c r="T21" s="156">
        <v>0.3872377622</v>
      </c>
      <c r="U21" s="156">
        <v>0</v>
      </c>
      <c r="V21" s="156">
        <v>0</v>
      </c>
      <c r="W21" s="156">
        <v>1.0489510489999999E-2</v>
      </c>
      <c r="X21" s="156">
        <v>0</v>
      </c>
      <c r="Y21" s="157">
        <v>2.0979020979999999E-2</v>
      </c>
      <c r="Z21" s="158">
        <v>0.61013986009999999</v>
      </c>
      <c r="AA21" s="156">
        <v>0.36975524479999999</v>
      </c>
      <c r="AB21" s="156">
        <v>0</v>
      </c>
      <c r="AC21" s="156">
        <v>0</v>
      </c>
      <c r="AD21" s="156">
        <v>8.7412587409999992E-3</v>
      </c>
      <c r="AE21" s="156">
        <v>0</v>
      </c>
      <c r="AF21" s="159">
        <v>1.136363636E-2</v>
      </c>
      <c r="AG21" s="155">
        <v>6.6666666669999999E-2</v>
      </c>
      <c r="AH21" s="156">
        <v>0</v>
      </c>
      <c r="AI21" s="156">
        <v>0</v>
      </c>
      <c r="AJ21" s="156">
        <v>7.4074074070000001E-3</v>
      </c>
      <c r="AK21" s="156">
        <v>0.2314814815</v>
      </c>
      <c r="AL21" s="156">
        <v>0.50370370369999995</v>
      </c>
      <c r="AM21" s="157">
        <v>0.19074074069999999</v>
      </c>
      <c r="AN21" s="158">
        <v>8.3333333329999995E-2</v>
      </c>
      <c r="AO21" s="156">
        <v>0</v>
      </c>
      <c r="AP21" s="156">
        <v>0</v>
      </c>
      <c r="AQ21" s="156">
        <v>0</v>
      </c>
      <c r="AR21" s="156">
        <v>0.26111111110000002</v>
      </c>
      <c r="AS21" s="156">
        <v>0.53703703700000005</v>
      </c>
      <c r="AT21" s="159">
        <v>0.1185185185</v>
      </c>
    </row>
    <row r="22" spans="1:46" ht="12.75">
      <c r="A22" s="67" t="s">
        <v>19</v>
      </c>
      <c r="B22" s="67" t="s">
        <v>88</v>
      </c>
      <c r="C22" s="67" t="s">
        <v>145</v>
      </c>
      <c r="D22" s="67" t="s">
        <v>145</v>
      </c>
      <c r="E22" s="155">
        <v>0.64055944060000003</v>
      </c>
      <c r="F22" s="156">
        <v>0.3125874126</v>
      </c>
      <c r="G22" s="156">
        <v>1.9580419580000001E-2</v>
      </c>
      <c r="H22" s="156">
        <v>2.0979020980000001E-3</v>
      </c>
      <c r="I22" s="156">
        <v>0</v>
      </c>
      <c r="J22" s="156">
        <v>0</v>
      </c>
      <c r="K22" s="157">
        <v>2.5174825170000002E-2</v>
      </c>
      <c r="L22" s="158">
        <v>0.58251748250000002</v>
      </c>
      <c r="M22" s="156">
        <v>0.3846153846</v>
      </c>
      <c r="N22" s="156">
        <v>1.7482517480000001E-2</v>
      </c>
      <c r="O22" s="156">
        <v>0</v>
      </c>
      <c r="P22" s="156">
        <v>0</v>
      </c>
      <c r="Q22" s="156">
        <v>0</v>
      </c>
      <c r="R22" s="159">
        <v>1.5384615379999999E-2</v>
      </c>
      <c r="S22" s="155">
        <v>0.55873806559999994</v>
      </c>
      <c r="T22" s="156">
        <v>0.4072229141</v>
      </c>
      <c r="U22" s="156">
        <v>0</v>
      </c>
      <c r="V22" s="156">
        <v>0</v>
      </c>
      <c r="W22" s="156">
        <v>8.7173100869999999E-3</v>
      </c>
      <c r="X22" s="156">
        <v>0</v>
      </c>
      <c r="Y22" s="157">
        <v>2.5321710250000001E-2</v>
      </c>
      <c r="Z22" s="158">
        <v>0.56371938560000001</v>
      </c>
      <c r="AA22" s="156">
        <v>0.41511000419999999</v>
      </c>
      <c r="AB22" s="156">
        <v>0</v>
      </c>
      <c r="AC22" s="156">
        <v>0</v>
      </c>
      <c r="AD22" s="156">
        <v>6.226650062E-3</v>
      </c>
      <c r="AE22" s="156">
        <v>0</v>
      </c>
      <c r="AF22" s="159">
        <v>1.4943960149999999E-2</v>
      </c>
      <c r="AG22" s="155">
        <v>0.63420829810000001</v>
      </c>
      <c r="AH22" s="156">
        <v>0</v>
      </c>
      <c r="AI22" s="156">
        <v>0</v>
      </c>
      <c r="AJ22" s="156">
        <v>1.100762066E-2</v>
      </c>
      <c r="AK22" s="156">
        <v>0.14817950890000001</v>
      </c>
      <c r="AL22" s="156">
        <v>0.1422523285</v>
      </c>
      <c r="AM22" s="157">
        <v>6.4352243860000005E-2</v>
      </c>
      <c r="AN22" s="158">
        <v>0.63082133780000005</v>
      </c>
      <c r="AO22" s="156">
        <v>0</v>
      </c>
      <c r="AP22" s="156">
        <v>0</v>
      </c>
      <c r="AQ22" s="156">
        <v>0</v>
      </c>
      <c r="AR22" s="156">
        <v>0.1549534293</v>
      </c>
      <c r="AS22" s="156">
        <v>0.15664690940000001</v>
      </c>
      <c r="AT22" s="159">
        <v>5.7578323450000003E-2</v>
      </c>
    </row>
    <row r="23" spans="1:46" ht="12.75">
      <c r="A23" s="67" t="s">
        <v>19</v>
      </c>
      <c r="B23" s="67" t="s">
        <v>147</v>
      </c>
      <c r="C23" s="67" t="s">
        <v>148</v>
      </c>
      <c r="D23" s="67" t="s">
        <v>148</v>
      </c>
      <c r="E23" s="155">
        <v>0.39696048630000003</v>
      </c>
      <c r="F23" s="156">
        <v>0.48996960490000002</v>
      </c>
      <c r="G23" s="156">
        <v>8.085106383E-2</v>
      </c>
      <c r="H23" s="156">
        <v>1.215805471E-3</v>
      </c>
      <c r="I23" s="156">
        <v>0</v>
      </c>
      <c r="J23" s="156">
        <v>0</v>
      </c>
      <c r="K23" s="157">
        <v>3.100303951E-2</v>
      </c>
      <c r="L23" s="158">
        <v>0.36231003039999998</v>
      </c>
      <c r="M23" s="156">
        <v>0.5282674772</v>
      </c>
      <c r="N23" s="156">
        <v>8.085106383E-2</v>
      </c>
      <c r="O23" s="156">
        <v>0</v>
      </c>
      <c r="P23" s="156">
        <v>0</v>
      </c>
      <c r="Q23" s="156">
        <v>0</v>
      </c>
      <c r="R23" s="159">
        <v>2.8571428570000001E-2</v>
      </c>
      <c r="S23" s="155">
        <v>0.39486467730000002</v>
      </c>
      <c r="T23" s="156">
        <v>0.54129077029999995</v>
      </c>
      <c r="U23" s="156">
        <v>0</v>
      </c>
      <c r="V23" s="156">
        <v>0</v>
      </c>
      <c r="W23" s="156">
        <v>1.734906315E-2</v>
      </c>
      <c r="X23" s="156">
        <v>0</v>
      </c>
      <c r="Y23" s="157">
        <v>4.649548924E-2</v>
      </c>
      <c r="Z23" s="158">
        <v>0.38514920190000002</v>
      </c>
      <c r="AA23" s="156">
        <v>0.57043719640000001</v>
      </c>
      <c r="AB23" s="156">
        <v>0</v>
      </c>
      <c r="AC23" s="156">
        <v>0</v>
      </c>
      <c r="AD23" s="156">
        <v>1.3185287990000001E-2</v>
      </c>
      <c r="AE23" s="156">
        <v>0</v>
      </c>
      <c r="AF23" s="159">
        <v>3.1228313670000001E-2</v>
      </c>
      <c r="AG23" s="155">
        <v>0.25601131539999999</v>
      </c>
      <c r="AH23" s="156">
        <v>0</v>
      </c>
      <c r="AI23" s="156">
        <v>0</v>
      </c>
      <c r="AJ23" s="156">
        <v>1.9094766619999998E-2</v>
      </c>
      <c r="AK23" s="156">
        <v>0.37835926450000001</v>
      </c>
      <c r="AL23" s="156">
        <v>0.27227722770000001</v>
      </c>
      <c r="AM23" s="157">
        <v>7.4257425739999994E-2</v>
      </c>
      <c r="AN23" s="158">
        <v>0.27864214990000002</v>
      </c>
      <c r="AO23" s="156">
        <v>0</v>
      </c>
      <c r="AP23" s="156">
        <v>0</v>
      </c>
      <c r="AQ23" s="156">
        <v>0</v>
      </c>
      <c r="AR23" s="156">
        <v>0.38613861389999998</v>
      </c>
      <c r="AS23" s="156">
        <v>0.27581329560000001</v>
      </c>
      <c r="AT23" s="159">
        <v>5.9405940589999998E-2</v>
      </c>
    </row>
    <row r="24" spans="1:46" ht="12.75">
      <c r="A24" s="67" t="s">
        <v>19</v>
      </c>
      <c r="B24" s="67" t="s">
        <v>147</v>
      </c>
      <c r="C24" s="67" t="s">
        <v>150</v>
      </c>
      <c r="D24" s="67" t="s">
        <v>150</v>
      </c>
      <c r="E24" s="155">
        <v>0.34208606860000002</v>
      </c>
      <c r="F24" s="156">
        <v>0.55361050329999995</v>
      </c>
      <c r="G24" s="156">
        <v>5.76221736E-2</v>
      </c>
      <c r="H24" s="156">
        <v>6.5645514220000001E-3</v>
      </c>
      <c r="I24" s="156">
        <v>0</v>
      </c>
      <c r="J24" s="156">
        <v>0</v>
      </c>
      <c r="K24" s="157">
        <v>4.0116703140000001E-2</v>
      </c>
      <c r="L24" s="158">
        <v>0.2997811816</v>
      </c>
      <c r="M24" s="156">
        <v>0.61269146610000003</v>
      </c>
      <c r="N24" s="156">
        <v>5.2516411380000003E-2</v>
      </c>
      <c r="O24" s="156">
        <v>0</v>
      </c>
      <c r="P24" s="156">
        <v>0</v>
      </c>
      <c r="Q24" s="156">
        <v>0</v>
      </c>
      <c r="R24" s="159">
        <v>3.5010940919999997E-2</v>
      </c>
      <c r="S24" s="155">
        <v>0.4202772964</v>
      </c>
      <c r="T24" s="156">
        <v>0.54506065859999997</v>
      </c>
      <c r="U24" s="156">
        <v>0</v>
      </c>
      <c r="V24" s="156">
        <v>0</v>
      </c>
      <c r="W24" s="156">
        <v>6.0658578859999999E-3</v>
      </c>
      <c r="X24" s="156">
        <v>0</v>
      </c>
      <c r="Y24" s="157">
        <v>2.859618718E-2</v>
      </c>
      <c r="Z24" s="158">
        <v>0.42807625649999997</v>
      </c>
      <c r="AA24" s="156">
        <v>0.54766031199999998</v>
      </c>
      <c r="AB24" s="156">
        <v>0</v>
      </c>
      <c r="AC24" s="156">
        <v>0</v>
      </c>
      <c r="AD24" s="156">
        <v>6.9324090119999996E-3</v>
      </c>
      <c r="AE24" s="156">
        <v>0</v>
      </c>
      <c r="AF24" s="159">
        <v>1.733102253E-2</v>
      </c>
      <c r="AG24" s="155">
        <v>0.22488479259999999</v>
      </c>
      <c r="AH24" s="156">
        <v>0</v>
      </c>
      <c r="AI24" s="156">
        <v>0</v>
      </c>
      <c r="AJ24" s="156">
        <v>8.2949308760000007E-3</v>
      </c>
      <c r="AK24" s="156">
        <v>0.4156682028</v>
      </c>
      <c r="AL24" s="156">
        <v>0.30322580649999997</v>
      </c>
      <c r="AM24" s="157">
        <v>4.7926267279999997E-2</v>
      </c>
      <c r="AN24" s="158">
        <v>0.22580645160000001</v>
      </c>
      <c r="AO24" s="156">
        <v>0</v>
      </c>
      <c r="AP24" s="156">
        <v>0</v>
      </c>
      <c r="AQ24" s="156">
        <v>0</v>
      </c>
      <c r="AR24" s="156">
        <v>0.41198156679999998</v>
      </c>
      <c r="AS24" s="156">
        <v>0.31705069120000001</v>
      </c>
      <c r="AT24" s="159">
        <v>4.5161290319999998E-2</v>
      </c>
    </row>
    <row r="25" spans="1:46" ht="12.75">
      <c r="A25" s="67" t="s">
        <v>19</v>
      </c>
      <c r="B25" s="67" t="s">
        <v>147</v>
      </c>
      <c r="C25" s="67" t="s">
        <v>152</v>
      </c>
      <c r="D25" s="67" t="s">
        <v>152</v>
      </c>
      <c r="E25" s="155">
        <v>0.43526170800000002</v>
      </c>
      <c r="F25" s="156">
        <v>0.46372819100000001</v>
      </c>
      <c r="G25" s="156">
        <v>6.3360881539999997E-2</v>
      </c>
      <c r="H25" s="156">
        <v>1.8365472909999999E-3</v>
      </c>
      <c r="I25" s="156">
        <v>0</v>
      </c>
      <c r="J25" s="156">
        <v>0</v>
      </c>
      <c r="K25" s="157">
        <v>3.5812672179999998E-2</v>
      </c>
      <c r="L25" s="158">
        <v>0.39761248850000003</v>
      </c>
      <c r="M25" s="156">
        <v>0.49954086320000002</v>
      </c>
      <c r="N25" s="156">
        <v>5.6014692380000002E-2</v>
      </c>
      <c r="O25" s="156">
        <v>0</v>
      </c>
      <c r="P25" s="156">
        <v>0</v>
      </c>
      <c r="Q25" s="156">
        <v>0</v>
      </c>
      <c r="R25" s="159">
        <v>4.6831955920000001E-2</v>
      </c>
      <c r="S25" s="155">
        <v>0.48726467330000001</v>
      </c>
      <c r="T25" s="156">
        <v>0.47729789589999999</v>
      </c>
      <c r="U25" s="156">
        <v>0</v>
      </c>
      <c r="V25" s="156">
        <v>0</v>
      </c>
      <c r="W25" s="156">
        <v>6.6445182720000001E-3</v>
      </c>
      <c r="X25" s="156">
        <v>0</v>
      </c>
      <c r="Y25" s="157">
        <v>2.8792912510000001E-2</v>
      </c>
      <c r="Z25" s="158">
        <v>0.49280177190000002</v>
      </c>
      <c r="AA25" s="156">
        <v>0.50055370990000003</v>
      </c>
      <c r="AB25" s="156">
        <v>0</v>
      </c>
      <c r="AC25" s="156">
        <v>0</v>
      </c>
      <c r="AD25" s="156">
        <v>5.5370985600000002E-3</v>
      </c>
      <c r="AE25" s="156">
        <v>0</v>
      </c>
      <c r="AF25" s="159">
        <v>1.1074197120000001E-3</v>
      </c>
      <c r="AG25" s="155">
        <v>0.21775147929999999</v>
      </c>
      <c r="AH25" s="156">
        <v>0</v>
      </c>
      <c r="AI25" s="156">
        <v>0</v>
      </c>
      <c r="AJ25" s="156">
        <v>1.775147929E-2</v>
      </c>
      <c r="AK25" s="156">
        <v>0.35857988169999999</v>
      </c>
      <c r="AL25" s="156">
        <v>0.33491124259999999</v>
      </c>
      <c r="AM25" s="157">
        <v>7.1005917160000001E-2</v>
      </c>
      <c r="AN25" s="158">
        <v>0.226035503</v>
      </c>
      <c r="AO25" s="156">
        <v>0</v>
      </c>
      <c r="AP25" s="156">
        <v>0</v>
      </c>
      <c r="AQ25" s="156">
        <v>0</v>
      </c>
      <c r="AR25" s="156">
        <v>0.36568047339999998</v>
      </c>
      <c r="AS25" s="156">
        <v>0.34201183429999998</v>
      </c>
      <c r="AT25" s="159">
        <v>6.6272189349999996E-2</v>
      </c>
    </row>
    <row r="26" spans="1:46" ht="12.75">
      <c r="A26" s="67" t="s">
        <v>19</v>
      </c>
      <c r="B26" s="67" t="s">
        <v>147</v>
      </c>
      <c r="C26" s="67" t="s">
        <v>152</v>
      </c>
      <c r="D26" s="67" t="s">
        <v>155</v>
      </c>
      <c r="E26" s="155">
        <v>0.39008620690000001</v>
      </c>
      <c r="F26" s="156">
        <v>0.50215517239999996</v>
      </c>
      <c r="G26" s="156">
        <v>6.4655172410000003E-2</v>
      </c>
      <c r="H26" s="156">
        <v>6.465517241E-3</v>
      </c>
      <c r="I26" s="156">
        <v>0</v>
      </c>
      <c r="J26" s="156">
        <v>0</v>
      </c>
      <c r="K26" s="157">
        <v>3.6637931030000001E-2</v>
      </c>
      <c r="L26" s="158">
        <v>0.35281385279999999</v>
      </c>
      <c r="M26" s="156">
        <v>0.55194805189999996</v>
      </c>
      <c r="N26" s="156">
        <v>6.7099567099999993E-2</v>
      </c>
      <c r="O26" s="156">
        <v>0</v>
      </c>
      <c r="P26" s="156">
        <v>0</v>
      </c>
      <c r="Q26" s="156">
        <v>0</v>
      </c>
      <c r="R26" s="159">
        <v>2.8138528140000001E-2</v>
      </c>
      <c r="S26" s="155">
        <v>0.54975124379999996</v>
      </c>
      <c r="T26" s="156">
        <v>0.41791044779999997</v>
      </c>
      <c r="U26" s="156">
        <v>0</v>
      </c>
      <c r="V26" s="156">
        <v>0</v>
      </c>
      <c r="W26" s="156">
        <v>4.9751243780000003E-3</v>
      </c>
      <c r="X26" s="156">
        <v>0</v>
      </c>
      <c r="Y26" s="157">
        <v>2.7363184079999998E-2</v>
      </c>
      <c r="Z26" s="158">
        <v>0.53233830849999997</v>
      </c>
      <c r="AA26" s="156">
        <v>0.44029850749999999</v>
      </c>
      <c r="AB26" s="156">
        <v>0</v>
      </c>
      <c r="AC26" s="156">
        <v>0</v>
      </c>
      <c r="AD26" s="156">
        <v>9.9502487560000005E-3</v>
      </c>
      <c r="AE26" s="156">
        <v>0</v>
      </c>
      <c r="AF26" s="159">
        <v>1.741293532E-2</v>
      </c>
      <c r="AG26" s="155">
        <v>0.33426183840000001</v>
      </c>
      <c r="AH26" s="156">
        <v>0</v>
      </c>
      <c r="AI26" s="156">
        <v>0</v>
      </c>
      <c r="AJ26" s="156">
        <v>8.356545961E-3</v>
      </c>
      <c r="AK26" s="156">
        <v>0.19498607239999999</v>
      </c>
      <c r="AL26" s="156">
        <v>0.39554317550000001</v>
      </c>
      <c r="AM26" s="157">
        <v>6.6852367689999997E-2</v>
      </c>
      <c r="AN26" s="158">
        <v>0.35376044569999998</v>
      </c>
      <c r="AO26" s="156">
        <v>0</v>
      </c>
      <c r="AP26" s="156">
        <v>0</v>
      </c>
      <c r="AQ26" s="156">
        <v>0</v>
      </c>
      <c r="AR26" s="156">
        <v>0.1977715877</v>
      </c>
      <c r="AS26" s="156">
        <v>0.42061281340000001</v>
      </c>
      <c r="AT26" s="159">
        <v>2.78551532E-2</v>
      </c>
    </row>
    <row r="27" spans="1:46" ht="12.75">
      <c r="A27" s="67" t="s">
        <v>19</v>
      </c>
      <c r="B27" s="67" t="s">
        <v>147</v>
      </c>
      <c r="C27" s="67" t="s">
        <v>147</v>
      </c>
      <c r="D27" s="67" t="s">
        <v>147</v>
      </c>
      <c r="E27" s="155">
        <v>0.46628721540000001</v>
      </c>
      <c r="F27" s="156">
        <v>0.4199868651</v>
      </c>
      <c r="G27" s="156">
        <v>7.9575306479999997E-2</v>
      </c>
      <c r="H27" s="156">
        <v>5.9106830119999999E-3</v>
      </c>
      <c r="I27" s="156">
        <v>0</v>
      </c>
      <c r="J27" s="156">
        <v>0</v>
      </c>
      <c r="K27" s="157">
        <v>2.8239929949999999E-2</v>
      </c>
      <c r="L27" s="158">
        <v>0.40911081910000002</v>
      </c>
      <c r="M27" s="156">
        <v>0.4719667105</v>
      </c>
      <c r="N27" s="156">
        <v>9.286027157E-2</v>
      </c>
      <c r="O27" s="156">
        <v>0</v>
      </c>
      <c r="P27" s="156">
        <v>0</v>
      </c>
      <c r="Q27" s="156">
        <v>0</v>
      </c>
      <c r="R27" s="159">
        <v>2.606219886E-2</v>
      </c>
      <c r="S27" s="155">
        <v>0.4094779711</v>
      </c>
      <c r="T27" s="156">
        <v>0.54658768359999998</v>
      </c>
      <c r="U27" s="156">
        <v>0</v>
      </c>
      <c r="V27" s="156">
        <v>0</v>
      </c>
      <c r="W27" s="156">
        <v>7.7748981859999998E-3</v>
      </c>
      <c r="X27" s="156">
        <v>0</v>
      </c>
      <c r="Y27" s="157">
        <v>3.615944712E-2</v>
      </c>
      <c r="Z27" s="158">
        <v>0.40096260639999998</v>
      </c>
      <c r="AA27" s="156">
        <v>0.56053313589999998</v>
      </c>
      <c r="AB27" s="156">
        <v>0</v>
      </c>
      <c r="AC27" s="156">
        <v>0</v>
      </c>
      <c r="AD27" s="156">
        <v>7.5280760210000002E-3</v>
      </c>
      <c r="AE27" s="156">
        <v>0</v>
      </c>
      <c r="AF27" s="159">
        <v>3.0976181660000001E-2</v>
      </c>
      <c r="AG27" s="155">
        <v>0.14607993320000001</v>
      </c>
      <c r="AH27" s="156">
        <v>0</v>
      </c>
      <c r="AI27" s="156">
        <v>0</v>
      </c>
      <c r="AJ27" s="156">
        <v>1.29508425E-2</v>
      </c>
      <c r="AK27" s="156">
        <v>0.39827322100000001</v>
      </c>
      <c r="AL27" s="156">
        <v>0.36833310120000001</v>
      </c>
      <c r="AM27" s="157">
        <v>7.4362902100000003E-2</v>
      </c>
      <c r="AN27" s="158">
        <v>0.15043877980000001</v>
      </c>
      <c r="AO27" s="156">
        <v>0</v>
      </c>
      <c r="AP27" s="156">
        <v>0</v>
      </c>
      <c r="AQ27" s="156">
        <v>0</v>
      </c>
      <c r="AR27" s="156">
        <v>0.39935924220000002</v>
      </c>
      <c r="AS27" s="156">
        <v>0.38111157540000001</v>
      </c>
      <c r="AT27" s="159">
        <v>6.909040256E-2</v>
      </c>
    </row>
    <row r="28" spans="1:46" ht="12.75">
      <c r="A28" s="67" t="s">
        <v>19</v>
      </c>
      <c r="B28" s="67" t="s">
        <v>147</v>
      </c>
      <c r="C28" s="67" t="s">
        <v>159</v>
      </c>
      <c r="D28" s="67" t="s">
        <v>159</v>
      </c>
      <c r="E28" s="155">
        <v>0.49352841870000003</v>
      </c>
      <c r="F28" s="156">
        <v>0.42374788969999999</v>
      </c>
      <c r="G28" s="156">
        <v>3.3764772089999999E-2</v>
      </c>
      <c r="H28" s="156">
        <v>6.7529544180000003E-3</v>
      </c>
      <c r="I28" s="156">
        <v>0</v>
      </c>
      <c r="J28" s="156">
        <v>0</v>
      </c>
      <c r="K28" s="157">
        <v>4.220596511E-2</v>
      </c>
      <c r="L28" s="158">
        <v>0.4479459764</v>
      </c>
      <c r="M28" s="156">
        <v>0.47664603259999999</v>
      </c>
      <c r="N28" s="156">
        <v>3.1513787279999997E-2</v>
      </c>
      <c r="O28" s="156">
        <v>0</v>
      </c>
      <c r="P28" s="156">
        <v>0</v>
      </c>
      <c r="Q28" s="156">
        <v>0</v>
      </c>
      <c r="R28" s="159">
        <v>4.3894203710000003E-2</v>
      </c>
      <c r="S28" s="155">
        <v>0.55493827159999998</v>
      </c>
      <c r="T28" s="156">
        <v>0.40308641979999998</v>
      </c>
      <c r="U28" s="156">
        <v>0</v>
      </c>
      <c r="V28" s="156">
        <v>0</v>
      </c>
      <c r="W28" s="156">
        <v>8.0246913579999999E-3</v>
      </c>
      <c r="X28" s="156">
        <v>0</v>
      </c>
      <c r="Y28" s="157">
        <v>3.3950617279999998E-2</v>
      </c>
      <c r="Z28" s="158">
        <v>0.54012345679999996</v>
      </c>
      <c r="AA28" s="156">
        <v>0.4302469136</v>
      </c>
      <c r="AB28" s="156">
        <v>0</v>
      </c>
      <c r="AC28" s="156">
        <v>0</v>
      </c>
      <c r="AD28" s="156">
        <v>9.8765432099999998E-3</v>
      </c>
      <c r="AE28" s="156">
        <v>0</v>
      </c>
      <c r="AF28" s="159">
        <v>1.975308642E-2</v>
      </c>
      <c r="AG28" s="155">
        <v>0.34899328860000001</v>
      </c>
      <c r="AH28" s="156">
        <v>0</v>
      </c>
      <c r="AI28" s="156">
        <v>0</v>
      </c>
      <c r="AJ28" s="156">
        <v>2.0134228189999999E-2</v>
      </c>
      <c r="AK28" s="156">
        <v>0.39328859059999999</v>
      </c>
      <c r="AL28" s="156">
        <v>0.1825503356</v>
      </c>
      <c r="AM28" s="157">
        <v>5.5033557050000001E-2</v>
      </c>
      <c r="AN28" s="158">
        <v>0.37046979870000002</v>
      </c>
      <c r="AO28" s="156">
        <v>0</v>
      </c>
      <c r="AP28" s="156">
        <v>0</v>
      </c>
      <c r="AQ28" s="156">
        <v>0</v>
      </c>
      <c r="AR28" s="156">
        <v>0.4006711409</v>
      </c>
      <c r="AS28" s="156">
        <v>0.1758389262</v>
      </c>
      <c r="AT28" s="159">
        <v>5.3020134230000002E-2</v>
      </c>
    </row>
    <row r="29" spans="1:46" ht="12.75">
      <c r="A29" s="67" t="s">
        <v>19</v>
      </c>
      <c r="B29" s="67" t="s">
        <v>147</v>
      </c>
      <c r="C29" s="67" t="s">
        <v>161</v>
      </c>
      <c r="D29" s="67" t="s">
        <v>161</v>
      </c>
      <c r="E29" s="155">
        <v>0.55228426399999997</v>
      </c>
      <c r="F29" s="156">
        <v>0.37461928929999999</v>
      </c>
      <c r="G29" s="156">
        <v>3.5532994919999998E-2</v>
      </c>
      <c r="H29" s="156">
        <v>3.045685279E-3</v>
      </c>
      <c r="I29" s="156">
        <v>0</v>
      </c>
      <c r="J29" s="156">
        <v>0</v>
      </c>
      <c r="K29" s="157">
        <v>3.4517766499999998E-2</v>
      </c>
      <c r="L29" s="158">
        <v>0.47005076140000002</v>
      </c>
      <c r="M29" s="156">
        <v>0.469035533</v>
      </c>
      <c r="N29" s="156">
        <v>2.9441624369999999E-2</v>
      </c>
      <c r="O29" s="156">
        <v>0</v>
      </c>
      <c r="P29" s="156">
        <v>0</v>
      </c>
      <c r="Q29" s="156">
        <v>0</v>
      </c>
      <c r="R29" s="159">
        <v>3.1472081220000003E-2</v>
      </c>
      <c r="S29" s="155">
        <v>0.53745928340000004</v>
      </c>
      <c r="T29" s="156">
        <v>0.39413680779999999</v>
      </c>
      <c r="U29" s="156">
        <v>0</v>
      </c>
      <c r="V29" s="156">
        <v>0</v>
      </c>
      <c r="W29" s="156">
        <v>3.365906623E-2</v>
      </c>
      <c r="X29" s="156">
        <v>0</v>
      </c>
      <c r="Y29" s="157">
        <v>3.4744842560000003E-2</v>
      </c>
      <c r="Z29" s="158">
        <v>0.52768729640000001</v>
      </c>
      <c r="AA29" s="156">
        <v>0.4191096634</v>
      </c>
      <c r="AB29" s="156">
        <v>0</v>
      </c>
      <c r="AC29" s="156">
        <v>0</v>
      </c>
      <c r="AD29" s="156">
        <v>3.148751357E-2</v>
      </c>
      <c r="AE29" s="156">
        <v>0</v>
      </c>
      <c r="AF29" s="159">
        <v>2.17155266E-2</v>
      </c>
      <c r="AG29" s="155">
        <v>0.41736028539999998</v>
      </c>
      <c r="AH29" s="156">
        <v>0</v>
      </c>
      <c r="AI29" s="156">
        <v>0</v>
      </c>
      <c r="AJ29" s="156">
        <v>1.189060642E-2</v>
      </c>
      <c r="AK29" s="156">
        <v>0.25326991679999999</v>
      </c>
      <c r="AL29" s="156">
        <v>0.2615933413</v>
      </c>
      <c r="AM29" s="157">
        <v>5.5885850180000002E-2</v>
      </c>
      <c r="AN29" s="158">
        <v>0.45465393790000003</v>
      </c>
      <c r="AO29" s="156">
        <v>0</v>
      </c>
      <c r="AP29" s="156">
        <v>0</v>
      </c>
      <c r="AQ29" s="156">
        <v>0</v>
      </c>
      <c r="AR29" s="156">
        <v>0.24821002389999999</v>
      </c>
      <c r="AS29" s="156">
        <v>0.26014319809999997</v>
      </c>
      <c r="AT29" s="159">
        <v>3.69928401E-2</v>
      </c>
    </row>
    <row r="30" spans="1:46" ht="12.75">
      <c r="A30" s="67" t="s">
        <v>19</v>
      </c>
      <c r="B30" s="67" t="s">
        <v>147</v>
      </c>
      <c r="C30" s="67" t="s">
        <v>163</v>
      </c>
      <c r="D30" s="67" t="s">
        <v>163</v>
      </c>
      <c r="E30" s="155">
        <v>0.492277519</v>
      </c>
      <c r="F30" s="156">
        <v>0.45256190239999999</v>
      </c>
      <c r="G30" s="156">
        <v>1.7896543269999999E-2</v>
      </c>
      <c r="H30" s="156">
        <v>3.1870556509999998E-3</v>
      </c>
      <c r="I30" s="156">
        <v>0</v>
      </c>
      <c r="J30" s="156">
        <v>0</v>
      </c>
      <c r="K30" s="157">
        <v>3.4076979649999999E-2</v>
      </c>
      <c r="L30" s="158">
        <v>0.45539215690000001</v>
      </c>
      <c r="M30" s="156">
        <v>0.49068627450000002</v>
      </c>
      <c r="N30" s="156">
        <v>2.058823529E-2</v>
      </c>
      <c r="O30" s="156">
        <v>0</v>
      </c>
      <c r="P30" s="156">
        <v>0</v>
      </c>
      <c r="Q30" s="156">
        <v>0</v>
      </c>
      <c r="R30" s="159">
        <v>3.3333333329999999E-2</v>
      </c>
      <c r="S30" s="155">
        <v>0.5077548945</v>
      </c>
      <c r="T30" s="156">
        <v>0.46046275110000001</v>
      </c>
      <c r="U30" s="156">
        <v>0</v>
      </c>
      <c r="V30" s="156">
        <v>0</v>
      </c>
      <c r="W30" s="156">
        <v>8.1362827360000004E-3</v>
      </c>
      <c r="X30" s="156">
        <v>0</v>
      </c>
      <c r="Y30" s="157">
        <v>2.36460717E-2</v>
      </c>
      <c r="Z30" s="158">
        <v>0.50699211799999999</v>
      </c>
      <c r="AA30" s="156">
        <v>0.46300533939999999</v>
      </c>
      <c r="AB30" s="156">
        <v>0</v>
      </c>
      <c r="AC30" s="156">
        <v>0</v>
      </c>
      <c r="AD30" s="156">
        <v>8.1362827360000004E-3</v>
      </c>
      <c r="AE30" s="156">
        <v>0</v>
      </c>
      <c r="AF30" s="159">
        <v>2.186625985E-2</v>
      </c>
      <c r="AG30" s="155">
        <v>0.38181818179999999</v>
      </c>
      <c r="AH30" s="156">
        <v>0</v>
      </c>
      <c r="AI30" s="156">
        <v>0</v>
      </c>
      <c r="AJ30" s="156">
        <v>1.3782991200000001E-2</v>
      </c>
      <c r="AK30" s="156">
        <v>0.3114369501</v>
      </c>
      <c r="AL30" s="156">
        <v>0.2167155425</v>
      </c>
      <c r="AM30" s="157">
        <v>7.6246334309999997E-2</v>
      </c>
      <c r="AN30" s="158">
        <v>0.382111437</v>
      </c>
      <c r="AO30" s="156">
        <v>0</v>
      </c>
      <c r="AP30" s="156">
        <v>0</v>
      </c>
      <c r="AQ30" s="156">
        <v>0</v>
      </c>
      <c r="AR30" s="156">
        <v>0.3161290323</v>
      </c>
      <c r="AS30" s="156">
        <v>0.23372434019999999</v>
      </c>
      <c r="AT30" s="159">
        <v>6.8035190620000005E-2</v>
      </c>
    </row>
    <row r="31" spans="1:46" ht="12.75">
      <c r="A31" s="67" t="s">
        <v>19</v>
      </c>
      <c r="B31" s="67" t="s">
        <v>147</v>
      </c>
      <c r="C31" s="67" t="s">
        <v>166</v>
      </c>
      <c r="D31" s="67" t="s">
        <v>166</v>
      </c>
      <c r="E31" s="155">
        <v>0.38497748669999998</v>
      </c>
      <c r="F31" s="156">
        <v>0.50839132210000004</v>
      </c>
      <c r="G31" s="156">
        <v>5.1985264019999998E-2</v>
      </c>
      <c r="H31" s="156">
        <v>4.5026606629999999E-3</v>
      </c>
      <c r="I31" s="156">
        <v>0</v>
      </c>
      <c r="J31" s="156">
        <v>0</v>
      </c>
      <c r="K31" s="157">
        <v>5.0143266479999997E-2</v>
      </c>
      <c r="L31" s="158">
        <v>0.3411788784</v>
      </c>
      <c r="M31" s="156">
        <v>0.56303724929999999</v>
      </c>
      <c r="N31" s="156">
        <v>5.1166598440000002E-2</v>
      </c>
      <c r="O31" s="156">
        <v>0</v>
      </c>
      <c r="P31" s="156">
        <v>0</v>
      </c>
      <c r="Q31" s="156">
        <v>0</v>
      </c>
      <c r="R31" s="159">
        <v>4.4617273839999999E-2</v>
      </c>
      <c r="S31" s="155">
        <v>0.42231348390000001</v>
      </c>
      <c r="T31" s="156">
        <v>0.53228382389999995</v>
      </c>
      <c r="U31" s="156">
        <v>0</v>
      </c>
      <c r="V31" s="156">
        <v>0</v>
      </c>
      <c r="W31" s="156">
        <v>8.6698608260000008E-3</v>
      </c>
      <c r="X31" s="156">
        <v>0</v>
      </c>
      <c r="Y31" s="157">
        <v>3.6732831389999998E-2</v>
      </c>
      <c r="Z31" s="158">
        <v>0.42413871780000001</v>
      </c>
      <c r="AA31" s="156">
        <v>0.54004106780000005</v>
      </c>
      <c r="AB31" s="156">
        <v>0</v>
      </c>
      <c r="AC31" s="156">
        <v>0</v>
      </c>
      <c r="AD31" s="156">
        <v>1.0723248919999999E-2</v>
      </c>
      <c r="AE31" s="156">
        <v>0</v>
      </c>
      <c r="AF31" s="159">
        <v>2.5096965549999999E-2</v>
      </c>
      <c r="AG31" s="155">
        <v>0.124419205</v>
      </c>
      <c r="AH31" s="156">
        <v>0</v>
      </c>
      <c r="AI31" s="156">
        <v>0</v>
      </c>
      <c r="AJ31" s="156">
        <v>1.781104801E-2</v>
      </c>
      <c r="AK31" s="156">
        <v>0.4408879711</v>
      </c>
      <c r="AL31" s="156">
        <v>0.3590604027</v>
      </c>
      <c r="AM31" s="157">
        <v>5.7821373260000003E-2</v>
      </c>
      <c r="AN31" s="158">
        <v>0.13267940110000001</v>
      </c>
      <c r="AO31" s="156">
        <v>0</v>
      </c>
      <c r="AP31" s="156">
        <v>0</v>
      </c>
      <c r="AQ31" s="156">
        <v>0</v>
      </c>
      <c r="AR31" s="156">
        <v>0.45560144549999998</v>
      </c>
      <c r="AS31" s="156">
        <v>0.34976768200000002</v>
      </c>
      <c r="AT31" s="159">
        <v>6.1951471350000002E-2</v>
      </c>
    </row>
    <row r="32" spans="1:46" ht="12.75">
      <c r="A32" s="67" t="s">
        <v>19</v>
      </c>
      <c r="B32" s="67" t="s">
        <v>147</v>
      </c>
      <c r="C32" s="67" t="s">
        <v>168</v>
      </c>
      <c r="D32" s="67" t="s">
        <v>168</v>
      </c>
      <c r="E32" s="155">
        <v>0.42946557530000001</v>
      </c>
      <c r="F32" s="156">
        <v>0.48868560420000001</v>
      </c>
      <c r="G32" s="156">
        <v>3.8998555609999999E-2</v>
      </c>
      <c r="H32" s="156">
        <v>4.8146364950000001E-4</v>
      </c>
      <c r="I32" s="156">
        <v>0</v>
      </c>
      <c r="J32" s="156">
        <v>0</v>
      </c>
      <c r="K32" s="157">
        <v>4.2368801159999997E-2</v>
      </c>
      <c r="L32" s="158">
        <v>0.3926852743</v>
      </c>
      <c r="M32" s="156">
        <v>0.52358036569999999</v>
      </c>
      <c r="N32" s="156">
        <v>4.4273339750000001E-2</v>
      </c>
      <c r="O32" s="156">
        <v>0</v>
      </c>
      <c r="P32" s="156">
        <v>0</v>
      </c>
      <c r="Q32" s="156">
        <v>0</v>
      </c>
      <c r="R32" s="159">
        <v>3.9461020210000003E-2</v>
      </c>
      <c r="S32" s="155">
        <v>0.42525634109999999</v>
      </c>
      <c r="T32" s="156">
        <v>0.53264975719999996</v>
      </c>
      <c r="U32" s="156">
        <v>0</v>
      </c>
      <c r="V32" s="156">
        <v>0</v>
      </c>
      <c r="W32" s="156">
        <v>7.0156502970000001E-3</v>
      </c>
      <c r="X32" s="156">
        <v>0</v>
      </c>
      <c r="Y32" s="157">
        <v>3.5078251480000003E-2</v>
      </c>
      <c r="Z32" s="158">
        <v>0.43065299509999999</v>
      </c>
      <c r="AA32" s="156">
        <v>0.524554776</v>
      </c>
      <c r="AB32" s="156">
        <v>0</v>
      </c>
      <c r="AC32" s="156">
        <v>0</v>
      </c>
      <c r="AD32" s="156">
        <v>5.9363194819999996E-3</v>
      </c>
      <c r="AE32" s="156">
        <v>0</v>
      </c>
      <c r="AF32" s="159">
        <v>3.8855909340000001E-2</v>
      </c>
      <c r="AG32" s="155">
        <v>0.20828025480000001</v>
      </c>
      <c r="AH32" s="156">
        <v>0</v>
      </c>
      <c r="AI32" s="156">
        <v>0</v>
      </c>
      <c r="AJ32" s="156">
        <v>1.52866242E-2</v>
      </c>
      <c r="AK32" s="156">
        <v>0.49108280250000003</v>
      </c>
      <c r="AL32" s="156">
        <v>0.2152866242</v>
      </c>
      <c r="AM32" s="157">
        <v>7.0063694270000004E-2</v>
      </c>
      <c r="AN32" s="158">
        <v>0.2133757962</v>
      </c>
      <c r="AO32" s="156">
        <v>0</v>
      </c>
      <c r="AP32" s="156">
        <v>0</v>
      </c>
      <c r="AQ32" s="156">
        <v>0</v>
      </c>
      <c r="AR32" s="156">
        <v>0.50127388539999995</v>
      </c>
      <c r="AS32" s="156">
        <v>0.2337579618</v>
      </c>
      <c r="AT32" s="159">
        <v>5.1592356690000001E-2</v>
      </c>
    </row>
    <row r="33" spans="1:46" ht="12.75">
      <c r="A33" s="67" t="s">
        <v>19</v>
      </c>
      <c r="B33" s="67" t="s">
        <v>147</v>
      </c>
      <c r="C33" s="67" t="s">
        <v>170</v>
      </c>
      <c r="D33" s="67" t="s">
        <v>170</v>
      </c>
      <c r="E33" s="155">
        <v>0.42583732060000001</v>
      </c>
      <c r="F33" s="156">
        <v>0.50088139009999999</v>
      </c>
      <c r="G33" s="156">
        <v>1.964240745E-2</v>
      </c>
      <c r="H33" s="156">
        <v>3.777386049E-3</v>
      </c>
      <c r="I33" s="156">
        <v>0</v>
      </c>
      <c r="J33" s="156">
        <v>0</v>
      </c>
      <c r="K33" s="157">
        <v>4.9861495839999999E-2</v>
      </c>
      <c r="L33" s="158">
        <v>0.29665071770000001</v>
      </c>
      <c r="M33" s="156">
        <v>0.55955678669999998</v>
      </c>
      <c r="N33" s="156">
        <v>1.561319567E-2</v>
      </c>
      <c r="O33" s="156">
        <v>0</v>
      </c>
      <c r="P33" s="156">
        <v>0</v>
      </c>
      <c r="Q33" s="156">
        <v>0</v>
      </c>
      <c r="R33" s="159">
        <v>0.12817929989999999</v>
      </c>
      <c r="S33" s="155">
        <v>0.41275263309999999</v>
      </c>
      <c r="T33" s="156">
        <v>0.537717051</v>
      </c>
      <c r="U33" s="156">
        <v>0</v>
      </c>
      <c r="V33" s="156">
        <v>0</v>
      </c>
      <c r="W33" s="156">
        <v>7.6857386850000004E-3</v>
      </c>
      <c r="X33" s="156">
        <v>0</v>
      </c>
      <c r="Y33" s="157">
        <v>4.1844577280000003E-2</v>
      </c>
      <c r="Z33" s="158">
        <v>0.41474523200000002</v>
      </c>
      <c r="AA33" s="156">
        <v>0.54568744660000001</v>
      </c>
      <c r="AB33" s="156">
        <v>0</v>
      </c>
      <c r="AC33" s="156">
        <v>0</v>
      </c>
      <c r="AD33" s="156">
        <v>6.8317677199999996E-3</v>
      </c>
      <c r="AE33" s="156">
        <v>0</v>
      </c>
      <c r="AF33" s="159">
        <v>3.273555366E-2</v>
      </c>
      <c r="AG33" s="155">
        <v>0.2134442134</v>
      </c>
      <c r="AH33" s="156">
        <v>0</v>
      </c>
      <c r="AI33" s="156">
        <v>0</v>
      </c>
      <c r="AJ33" s="156">
        <v>2.2176022180000001E-2</v>
      </c>
      <c r="AK33" s="156">
        <v>0.3475398475</v>
      </c>
      <c r="AL33" s="156">
        <v>0.31670131670000001</v>
      </c>
      <c r="AM33" s="157">
        <v>0.1001386001</v>
      </c>
      <c r="AN33" s="158">
        <v>0.20720720719999999</v>
      </c>
      <c r="AO33" s="156">
        <v>0</v>
      </c>
      <c r="AP33" s="156">
        <v>0</v>
      </c>
      <c r="AQ33" s="156">
        <v>0</v>
      </c>
      <c r="AR33" s="156">
        <v>0.35654885650000001</v>
      </c>
      <c r="AS33" s="156">
        <v>0.33471933469999998</v>
      </c>
      <c r="AT33" s="159">
        <v>0.10152460150000001</v>
      </c>
    </row>
    <row r="34" spans="1:46" ht="12.75">
      <c r="A34" s="67" t="s">
        <v>19</v>
      </c>
      <c r="B34" s="67" t="s">
        <v>147</v>
      </c>
      <c r="C34" s="67" t="s">
        <v>170</v>
      </c>
      <c r="D34" s="67" t="s">
        <v>172</v>
      </c>
      <c r="E34" s="155">
        <v>0.44557477109999999</v>
      </c>
      <c r="F34" s="156">
        <v>0.44354018309999999</v>
      </c>
      <c r="G34" s="156">
        <v>3.9674465919999999E-2</v>
      </c>
      <c r="H34" s="156">
        <v>4.0691759919999999E-3</v>
      </c>
      <c r="I34" s="156">
        <v>0</v>
      </c>
      <c r="J34" s="156">
        <v>0</v>
      </c>
      <c r="K34" s="157">
        <v>6.7141403870000005E-2</v>
      </c>
      <c r="L34" s="158">
        <v>0.41869918699999997</v>
      </c>
      <c r="M34" s="156">
        <v>0.48577235769999999</v>
      </c>
      <c r="N34" s="156">
        <v>4.4715447149999997E-2</v>
      </c>
      <c r="O34" s="156">
        <v>0</v>
      </c>
      <c r="P34" s="156">
        <v>0</v>
      </c>
      <c r="Q34" s="156">
        <v>0</v>
      </c>
      <c r="R34" s="159">
        <v>5.0813008129999997E-2</v>
      </c>
      <c r="S34" s="155">
        <v>0.56019070319999997</v>
      </c>
      <c r="T34" s="156">
        <v>0.42193087010000002</v>
      </c>
      <c r="U34" s="156">
        <v>0</v>
      </c>
      <c r="V34" s="156">
        <v>0</v>
      </c>
      <c r="W34" s="156">
        <v>4.7675804529999999E-3</v>
      </c>
      <c r="X34" s="156">
        <v>0</v>
      </c>
      <c r="Y34" s="157">
        <v>1.3110846250000001E-2</v>
      </c>
      <c r="Z34" s="158">
        <v>0.5542312277</v>
      </c>
      <c r="AA34" s="156">
        <v>0.43027413590000002</v>
      </c>
      <c r="AB34" s="156">
        <v>0</v>
      </c>
      <c r="AC34" s="156">
        <v>0</v>
      </c>
      <c r="AD34" s="156">
        <v>9.5351609059999998E-3</v>
      </c>
      <c r="AE34" s="156">
        <v>0</v>
      </c>
      <c r="AF34" s="159">
        <v>5.959475566E-3</v>
      </c>
      <c r="AG34" s="155">
        <v>0.43184885290000002</v>
      </c>
      <c r="AH34" s="156">
        <v>0</v>
      </c>
      <c r="AI34" s="156">
        <v>0</v>
      </c>
      <c r="AJ34" s="156">
        <v>2.429149798E-2</v>
      </c>
      <c r="AK34" s="156">
        <v>0.2375168691</v>
      </c>
      <c r="AL34" s="156">
        <v>0.20917678810000001</v>
      </c>
      <c r="AM34" s="157">
        <v>9.7165991899999998E-2</v>
      </c>
      <c r="AN34" s="158">
        <v>0.43319838059999999</v>
      </c>
      <c r="AO34" s="156">
        <v>0</v>
      </c>
      <c r="AP34" s="156">
        <v>0</v>
      </c>
      <c r="AQ34" s="156">
        <v>0</v>
      </c>
      <c r="AR34" s="156">
        <v>0.25371120110000001</v>
      </c>
      <c r="AS34" s="156">
        <v>0.20512820509999999</v>
      </c>
      <c r="AT34" s="159">
        <v>0.1079622132</v>
      </c>
    </row>
    <row r="35" spans="1:46" ht="12.75">
      <c r="A35" s="67" t="s">
        <v>19</v>
      </c>
      <c r="B35" s="67" t="s">
        <v>147</v>
      </c>
      <c r="C35" s="67" t="s">
        <v>173</v>
      </c>
      <c r="D35" s="67" t="s">
        <v>173</v>
      </c>
      <c r="E35" s="155">
        <v>0.50666940279999995</v>
      </c>
      <c r="F35" s="156">
        <v>0.40755181610000002</v>
      </c>
      <c r="G35" s="156">
        <v>3.6938231070000001E-2</v>
      </c>
      <c r="H35" s="156">
        <v>3.4886107119999998E-3</v>
      </c>
      <c r="I35" s="156">
        <v>0</v>
      </c>
      <c r="J35" s="156">
        <v>0</v>
      </c>
      <c r="K35" s="157">
        <v>4.5351939260000002E-2</v>
      </c>
      <c r="L35" s="158">
        <v>0.46265900700000001</v>
      </c>
      <c r="M35" s="156">
        <v>0.45650389819999998</v>
      </c>
      <c r="N35" s="156">
        <v>3.8572014770000003E-2</v>
      </c>
      <c r="O35" s="156">
        <v>0</v>
      </c>
      <c r="P35" s="156">
        <v>0</v>
      </c>
      <c r="Q35" s="156">
        <v>0</v>
      </c>
      <c r="R35" s="159">
        <v>4.2265080019999998E-2</v>
      </c>
      <c r="S35" s="155">
        <v>0.54211261050000004</v>
      </c>
      <c r="T35" s="156">
        <v>0.4153094463</v>
      </c>
      <c r="U35" s="156">
        <v>0</v>
      </c>
      <c r="V35" s="156">
        <v>0</v>
      </c>
      <c r="W35" s="156">
        <v>7.2126570499999997E-3</v>
      </c>
      <c r="X35" s="156">
        <v>0</v>
      </c>
      <c r="Y35" s="157">
        <v>3.5365286179999997E-2</v>
      </c>
      <c r="Z35" s="158">
        <v>0.54909260120000003</v>
      </c>
      <c r="AA35" s="156">
        <v>0.4183341089</v>
      </c>
      <c r="AB35" s="156">
        <v>0</v>
      </c>
      <c r="AC35" s="156">
        <v>0</v>
      </c>
      <c r="AD35" s="156">
        <v>8.8413215449999992E-3</v>
      </c>
      <c r="AE35" s="156">
        <v>0</v>
      </c>
      <c r="AF35" s="159">
        <v>2.3731968360000001E-2</v>
      </c>
      <c r="AG35" s="155">
        <v>0.27594158340000002</v>
      </c>
      <c r="AH35" s="156">
        <v>0</v>
      </c>
      <c r="AI35" s="156">
        <v>0</v>
      </c>
      <c r="AJ35" s="156">
        <v>1.434793748E-2</v>
      </c>
      <c r="AK35" s="156">
        <v>0.35972328980000001</v>
      </c>
      <c r="AL35" s="156">
        <v>0.26876761469999999</v>
      </c>
      <c r="AM35" s="157">
        <v>8.1219574690000004E-2</v>
      </c>
      <c r="AN35" s="158">
        <v>0.27824750190000003</v>
      </c>
      <c r="AO35" s="156">
        <v>0</v>
      </c>
      <c r="AP35" s="156">
        <v>0</v>
      </c>
      <c r="AQ35" s="156">
        <v>0</v>
      </c>
      <c r="AR35" s="156">
        <v>0.36792211120000001</v>
      </c>
      <c r="AS35" s="156">
        <v>0.29131437360000001</v>
      </c>
      <c r="AT35" s="159">
        <v>6.2516013319999994E-2</v>
      </c>
    </row>
    <row r="36" spans="1:46" ht="12.75">
      <c r="A36" s="67" t="s">
        <v>19</v>
      </c>
      <c r="B36" s="67" t="s">
        <v>147</v>
      </c>
      <c r="C36" s="67" t="s">
        <v>175</v>
      </c>
      <c r="D36" s="67" t="s">
        <v>175</v>
      </c>
      <c r="E36" s="155">
        <v>0.4262348708</v>
      </c>
      <c r="F36" s="156">
        <v>0.45273143599999999</v>
      </c>
      <c r="G36" s="156">
        <v>8.2433758590000003E-2</v>
      </c>
      <c r="H36" s="156">
        <v>2.6169447170000001E-3</v>
      </c>
      <c r="I36" s="156">
        <v>0</v>
      </c>
      <c r="J36" s="156">
        <v>0</v>
      </c>
      <c r="K36" s="157">
        <v>3.5982989860000002E-2</v>
      </c>
      <c r="L36" s="158">
        <v>0.38914323090000003</v>
      </c>
      <c r="M36" s="156">
        <v>0.4914977109</v>
      </c>
      <c r="N36" s="156">
        <v>8.4695879660000001E-2</v>
      </c>
      <c r="O36" s="156">
        <v>0</v>
      </c>
      <c r="P36" s="156">
        <v>0</v>
      </c>
      <c r="Q36" s="156">
        <v>0</v>
      </c>
      <c r="R36" s="159">
        <v>3.466317855E-2</v>
      </c>
      <c r="S36" s="155">
        <v>0.39128843340000002</v>
      </c>
      <c r="T36" s="156">
        <v>0.5574670571</v>
      </c>
      <c r="U36" s="156">
        <v>0</v>
      </c>
      <c r="V36" s="156">
        <v>0</v>
      </c>
      <c r="W36" s="156">
        <v>6.5885797949999996E-3</v>
      </c>
      <c r="X36" s="156">
        <v>0</v>
      </c>
      <c r="Y36" s="157">
        <v>4.4655929720000001E-2</v>
      </c>
      <c r="Z36" s="158">
        <v>0.40226939969999997</v>
      </c>
      <c r="AA36" s="156">
        <v>0.5647877013</v>
      </c>
      <c r="AB36" s="156">
        <v>0</v>
      </c>
      <c r="AC36" s="156">
        <v>0</v>
      </c>
      <c r="AD36" s="156">
        <v>8.4187408489999997E-3</v>
      </c>
      <c r="AE36" s="156">
        <v>0</v>
      </c>
      <c r="AF36" s="159">
        <v>2.4524158130000001E-2</v>
      </c>
      <c r="AG36" s="155">
        <v>0.1743351625</v>
      </c>
      <c r="AH36" s="156">
        <v>0</v>
      </c>
      <c r="AI36" s="156">
        <v>0</v>
      </c>
      <c r="AJ36" s="156">
        <v>1.35078092E-2</v>
      </c>
      <c r="AK36" s="156">
        <v>0.4596876319</v>
      </c>
      <c r="AL36" s="156">
        <v>0.29295061210000001</v>
      </c>
      <c r="AM36" s="157">
        <v>5.9518784300000002E-2</v>
      </c>
      <c r="AN36" s="158">
        <v>0.17855635289999999</v>
      </c>
      <c r="AO36" s="156">
        <v>0</v>
      </c>
      <c r="AP36" s="156">
        <v>0</v>
      </c>
      <c r="AQ36" s="156">
        <v>0</v>
      </c>
      <c r="AR36" s="156">
        <v>0.4596876319</v>
      </c>
      <c r="AS36" s="156">
        <v>0.3068805403</v>
      </c>
      <c r="AT36" s="159">
        <v>5.4875474879999997E-2</v>
      </c>
    </row>
    <row r="37" spans="1:46" ht="12.75">
      <c r="A37" s="67" t="s">
        <v>19</v>
      </c>
      <c r="B37" s="67" t="s">
        <v>147</v>
      </c>
      <c r="C37" s="67" t="s">
        <v>177</v>
      </c>
      <c r="D37" s="67" t="s">
        <v>177</v>
      </c>
      <c r="E37" s="155">
        <v>0.42408163269999999</v>
      </c>
      <c r="F37" s="156">
        <v>0.49632653059999998</v>
      </c>
      <c r="G37" s="156">
        <v>3.387755102E-2</v>
      </c>
      <c r="H37" s="156">
        <v>6.5306122450000002E-3</v>
      </c>
      <c r="I37" s="156">
        <v>0</v>
      </c>
      <c r="J37" s="156">
        <v>0</v>
      </c>
      <c r="K37" s="157">
        <v>3.9183673469999999E-2</v>
      </c>
      <c r="L37" s="158">
        <v>0.40122448979999997</v>
      </c>
      <c r="M37" s="156">
        <v>0.53183673470000004</v>
      </c>
      <c r="N37" s="156">
        <v>2.979591837E-2</v>
      </c>
      <c r="O37" s="156">
        <v>0</v>
      </c>
      <c r="P37" s="156">
        <v>0</v>
      </c>
      <c r="Q37" s="156">
        <v>0</v>
      </c>
      <c r="R37" s="159">
        <v>3.7142857139999999E-2</v>
      </c>
      <c r="S37" s="155">
        <v>0.3990909091</v>
      </c>
      <c r="T37" s="156">
        <v>0.55181818179999997</v>
      </c>
      <c r="U37" s="156">
        <v>0</v>
      </c>
      <c r="V37" s="156">
        <v>0</v>
      </c>
      <c r="W37" s="156">
        <v>8.1818181820000006E-3</v>
      </c>
      <c r="X37" s="156">
        <v>0</v>
      </c>
      <c r="Y37" s="157">
        <v>4.0909090910000001E-2</v>
      </c>
      <c r="Z37" s="158">
        <v>0.39818181819999998</v>
      </c>
      <c r="AA37" s="156">
        <v>0.57227272730000001</v>
      </c>
      <c r="AB37" s="156">
        <v>0</v>
      </c>
      <c r="AC37" s="156">
        <v>0</v>
      </c>
      <c r="AD37" s="156">
        <v>9.0909090910000004E-3</v>
      </c>
      <c r="AE37" s="156">
        <v>0</v>
      </c>
      <c r="AF37" s="159">
        <v>2.045454545E-2</v>
      </c>
      <c r="AG37" s="155">
        <v>0.1620227038</v>
      </c>
      <c r="AH37" s="156">
        <v>0</v>
      </c>
      <c r="AI37" s="156">
        <v>0</v>
      </c>
      <c r="AJ37" s="156">
        <v>2.7347781219999999E-2</v>
      </c>
      <c r="AK37" s="156">
        <v>0.366873065</v>
      </c>
      <c r="AL37" s="156">
        <v>0.34210526320000001</v>
      </c>
      <c r="AM37" s="157">
        <v>0.1016511868</v>
      </c>
      <c r="AN37" s="158">
        <v>0.1723426213</v>
      </c>
      <c r="AO37" s="156">
        <v>0</v>
      </c>
      <c r="AP37" s="156">
        <v>0</v>
      </c>
      <c r="AQ37" s="156">
        <v>0</v>
      </c>
      <c r="AR37" s="156">
        <v>0.38596491230000002</v>
      </c>
      <c r="AS37" s="156">
        <v>0.36584107329999999</v>
      </c>
      <c r="AT37" s="159">
        <v>7.5851393190000005E-2</v>
      </c>
    </row>
    <row r="38" spans="1:46" ht="12.75">
      <c r="A38" s="67" t="s">
        <v>19</v>
      </c>
      <c r="B38" s="67" t="s">
        <v>147</v>
      </c>
      <c r="C38" s="67" t="s">
        <v>179</v>
      </c>
      <c r="D38" s="67" t="s">
        <v>181</v>
      </c>
      <c r="E38" s="155">
        <v>0.60122699390000001</v>
      </c>
      <c r="F38" s="156">
        <v>0.32055214720000003</v>
      </c>
      <c r="G38" s="156">
        <v>2.9141104290000001E-2</v>
      </c>
      <c r="H38" s="156">
        <v>4.6012269940000003E-3</v>
      </c>
      <c r="I38" s="156">
        <v>0</v>
      </c>
      <c r="J38" s="156">
        <v>0</v>
      </c>
      <c r="K38" s="157">
        <v>4.4478527609999999E-2</v>
      </c>
      <c r="L38" s="158">
        <v>0.5582822086</v>
      </c>
      <c r="M38" s="156">
        <v>0.37576687120000002</v>
      </c>
      <c r="N38" s="156">
        <v>3.2208588959999999E-2</v>
      </c>
      <c r="O38" s="156">
        <v>0</v>
      </c>
      <c r="P38" s="156">
        <v>0</v>
      </c>
      <c r="Q38" s="156">
        <v>0</v>
      </c>
      <c r="R38" s="159">
        <v>3.3742331289999997E-2</v>
      </c>
      <c r="S38" s="155">
        <v>0.63025210080000005</v>
      </c>
      <c r="T38" s="156">
        <v>0.3294117647</v>
      </c>
      <c r="U38" s="156">
        <v>0</v>
      </c>
      <c r="V38" s="156">
        <v>0</v>
      </c>
      <c r="W38" s="156">
        <v>5.0420168069999997E-3</v>
      </c>
      <c r="X38" s="156">
        <v>0</v>
      </c>
      <c r="Y38" s="157">
        <v>3.5294117649999998E-2</v>
      </c>
      <c r="Z38" s="158">
        <v>0.63361344539999997</v>
      </c>
      <c r="AA38" s="156">
        <v>0.31764705879999999</v>
      </c>
      <c r="AB38" s="156">
        <v>0</v>
      </c>
      <c r="AC38" s="156">
        <v>0</v>
      </c>
      <c r="AD38" s="156">
        <v>8.4033613450000006E-3</v>
      </c>
      <c r="AE38" s="156">
        <v>0</v>
      </c>
      <c r="AF38" s="159">
        <v>4.0336134449999998E-2</v>
      </c>
      <c r="AG38" s="155">
        <v>0.48695652169999998</v>
      </c>
      <c r="AH38" s="156">
        <v>0</v>
      </c>
      <c r="AI38" s="156">
        <v>0</v>
      </c>
      <c r="AJ38" s="156">
        <v>1.086956522E-2</v>
      </c>
      <c r="AK38" s="156">
        <v>0.19782608700000001</v>
      </c>
      <c r="AL38" s="156">
        <v>0.22608695649999999</v>
      </c>
      <c r="AM38" s="157">
        <v>7.8260869570000002E-2</v>
      </c>
      <c r="AN38" s="158">
        <v>0.5</v>
      </c>
      <c r="AO38" s="156">
        <v>0</v>
      </c>
      <c r="AP38" s="156">
        <v>0</v>
      </c>
      <c r="AQ38" s="156">
        <v>0</v>
      </c>
      <c r="AR38" s="156">
        <v>0.2108695652</v>
      </c>
      <c r="AS38" s="156">
        <v>0.23695652170000001</v>
      </c>
      <c r="AT38" s="159">
        <v>5.2173913039999999E-2</v>
      </c>
    </row>
    <row r="39" spans="1:46" ht="12.75">
      <c r="A39" s="67" t="s">
        <v>19</v>
      </c>
      <c r="B39" s="67" t="s">
        <v>147</v>
      </c>
      <c r="C39" s="67" t="s">
        <v>179</v>
      </c>
      <c r="D39" s="67" t="s">
        <v>179</v>
      </c>
      <c r="E39" s="155">
        <v>0.55458860759999995</v>
      </c>
      <c r="F39" s="156">
        <v>0.37183544299999999</v>
      </c>
      <c r="G39" s="156">
        <v>4.7468354429999998E-2</v>
      </c>
      <c r="H39" s="156">
        <v>1.5822784809999999E-3</v>
      </c>
      <c r="I39" s="156">
        <v>0</v>
      </c>
      <c r="J39" s="156">
        <v>0</v>
      </c>
      <c r="K39" s="157">
        <v>2.4525316459999998E-2</v>
      </c>
      <c r="L39" s="158">
        <v>0.49762658230000001</v>
      </c>
      <c r="M39" s="156">
        <v>0.43829113920000001</v>
      </c>
      <c r="N39" s="156">
        <v>4.2721518989999999E-2</v>
      </c>
      <c r="O39" s="156">
        <v>0</v>
      </c>
      <c r="P39" s="156">
        <v>0</v>
      </c>
      <c r="Q39" s="156">
        <v>0</v>
      </c>
      <c r="R39" s="159">
        <v>2.1360759489999999E-2</v>
      </c>
      <c r="S39" s="155">
        <v>0.52066842570000005</v>
      </c>
      <c r="T39" s="156">
        <v>0.42744063319999998</v>
      </c>
      <c r="U39" s="156">
        <v>0</v>
      </c>
      <c r="V39" s="156">
        <v>0</v>
      </c>
      <c r="W39" s="156">
        <v>6.156552331E-3</v>
      </c>
      <c r="X39" s="156">
        <v>0</v>
      </c>
      <c r="Y39" s="157">
        <v>4.573438874E-2</v>
      </c>
      <c r="Z39" s="158">
        <v>0.53386103780000005</v>
      </c>
      <c r="AA39" s="156">
        <v>0.436235708</v>
      </c>
      <c r="AB39" s="156">
        <v>0</v>
      </c>
      <c r="AC39" s="156">
        <v>0</v>
      </c>
      <c r="AD39" s="156">
        <v>7.0360598069999997E-3</v>
      </c>
      <c r="AE39" s="156">
        <v>0</v>
      </c>
      <c r="AF39" s="159">
        <v>2.286719437E-2</v>
      </c>
      <c r="AG39" s="155">
        <v>0.32679097150000003</v>
      </c>
      <c r="AH39" s="156">
        <v>0</v>
      </c>
      <c r="AI39" s="156">
        <v>0</v>
      </c>
      <c r="AJ39" s="156">
        <v>1.6683022570000001E-2</v>
      </c>
      <c r="AK39" s="156">
        <v>0.28263002939999998</v>
      </c>
      <c r="AL39" s="156">
        <v>0.29636898919999999</v>
      </c>
      <c r="AM39" s="157">
        <v>7.7526987239999998E-2</v>
      </c>
      <c r="AN39" s="158">
        <v>0.32973503430000001</v>
      </c>
      <c r="AO39" s="156">
        <v>0</v>
      </c>
      <c r="AP39" s="156">
        <v>0</v>
      </c>
      <c r="AQ39" s="156">
        <v>0</v>
      </c>
      <c r="AR39" s="156">
        <v>0.29931305200000002</v>
      </c>
      <c r="AS39" s="156">
        <v>0.30912659469999998</v>
      </c>
      <c r="AT39" s="159">
        <v>6.1825318939999999E-2</v>
      </c>
    </row>
    <row r="40" spans="1:46" ht="12.75">
      <c r="A40" s="67" t="s">
        <v>19</v>
      </c>
      <c r="B40" s="67" t="s">
        <v>19</v>
      </c>
      <c r="C40" s="67" t="s">
        <v>182</v>
      </c>
      <c r="D40" s="67" t="s">
        <v>182</v>
      </c>
      <c r="E40" s="155">
        <v>0.33152664859999997</v>
      </c>
      <c r="F40" s="156">
        <v>0.59710930439999998</v>
      </c>
      <c r="G40" s="156">
        <v>1.3550135499999999E-2</v>
      </c>
      <c r="H40" s="156">
        <v>5.4200542010000002E-3</v>
      </c>
      <c r="I40" s="156">
        <v>0</v>
      </c>
      <c r="J40" s="156">
        <v>0</v>
      </c>
      <c r="K40" s="157">
        <v>5.2393857269999997E-2</v>
      </c>
      <c r="L40" s="158">
        <v>0.30623306230000003</v>
      </c>
      <c r="M40" s="156">
        <v>0.63504968380000004</v>
      </c>
      <c r="N40" s="156">
        <v>1.716350497E-2</v>
      </c>
      <c r="O40" s="156">
        <v>0</v>
      </c>
      <c r="P40" s="156">
        <v>0</v>
      </c>
      <c r="Q40" s="156">
        <v>0</v>
      </c>
      <c r="R40" s="159">
        <v>4.1553748869999997E-2</v>
      </c>
      <c r="S40" s="155">
        <v>0.39483394830000001</v>
      </c>
      <c r="T40" s="156">
        <v>0.56642066420000003</v>
      </c>
      <c r="U40" s="156">
        <v>0</v>
      </c>
      <c r="V40" s="156">
        <v>0</v>
      </c>
      <c r="W40" s="156">
        <v>7.3800738009999999E-3</v>
      </c>
      <c r="X40" s="156">
        <v>0</v>
      </c>
      <c r="Y40" s="157">
        <v>3.1365313649999997E-2</v>
      </c>
      <c r="Z40" s="158">
        <v>0.4003690037</v>
      </c>
      <c r="AA40" s="156">
        <v>0.5682656827</v>
      </c>
      <c r="AB40" s="156">
        <v>0</v>
      </c>
      <c r="AC40" s="156">
        <v>0</v>
      </c>
      <c r="AD40" s="156">
        <v>8.3025830259999996E-3</v>
      </c>
      <c r="AE40" s="156">
        <v>0</v>
      </c>
      <c r="AF40" s="159">
        <v>2.306273063E-2</v>
      </c>
      <c r="AG40" s="155">
        <v>0.4</v>
      </c>
      <c r="AH40" s="156">
        <v>0</v>
      </c>
      <c r="AI40" s="156">
        <v>0</v>
      </c>
      <c r="AJ40" s="156">
        <v>1.818181818E-2</v>
      </c>
      <c r="AK40" s="156">
        <v>0.39090909089999998</v>
      </c>
      <c r="AL40" s="156">
        <v>0.1181818182</v>
      </c>
      <c r="AM40" s="157">
        <v>7.272727273E-2</v>
      </c>
      <c r="AN40" s="158">
        <v>0.42272727269999999</v>
      </c>
      <c r="AO40" s="156">
        <v>0</v>
      </c>
      <c r="AP40" s="156">
        <v>0</v>
      </c>
      <c r="AQ40" s="156">
        <v>0</v>
      </c>
      <c r="AR40" s="156">
        <v>0.38863636359999998</v>
      </c>
      <c r="AS40" s="156">
        <v>0.1181818182</v>
      </c>
      <c r="AT40" s="159">
        <v>7.0454545450000003E-2</v>
      </c>
    </row>
    <row r="41" spans="1:46" ht="12.75">
      <c r="A41" s="67" t="s">
        <v>19</v>
      </c>
      <c r="B41" s="67" t="s">
        <v>19</v>
      </c>
      <c r="C41" s="67" t="s">
        <v>184</v>
      </c>
      <c r="D41" s="67" t="s">
        <v>184</v>
      </c>
      <c r="E41" s="155">
        <v>0.38629518070000002</v>
      </c>
      <c r="F41" s="156">
        <v>0.4984939759</v>
      </c>
      <c r="G41" s="156">
        <v>3.915662651E-2</v>
      </c>
      <c r="H41" s="156">
        <v>3.7650602410000001E-3</v>
      </c>
      <c r="I41" s="156">
        <v>0</v>
      </c>
      <c r="J41" s="156">
        <v>0</v>
      </c>
      <c r="K41" s="157">
        <v>7.2289156630000004E-2</v>
      </c>
      <c r="L41" s="158">
        <v>0.36699321779999999</v>
      </c>
      <c r="M41" s="156">
        <v>0.55689525240000004</v>
      </c>
      <c r="N41" s="156">
        <v>1.507159005E-2</v>
      </c>
      <c r="O41" s="156">
        <v>0</v>
      </c>
      <c r="P41" s="156">
        <v>0</v>
      </c>
      <c r="Q41" s="156">
        <v>0</v>
      </c>
      <c r="R41" s="159">
        <v>6.1039939709999998E-2</v>
      </c>
      <c r="S41" s="155">
        <v>0.50446791229999999</v>
      </c>
      <c r="T41" s="156">
        <v>0.46060113730000002</v>
      </c>
      <c r="U41" s="156">
        <v>0</v>
      </c>
      <c r="V41" s="156">
        <v>0</v>
      </c>
      <c r="W41" s="156">
        <v>7.3111291630000002E-3</v>
      </c>
      <c r="X41" s="156">
        <v>0</v>
      </c>
      <c r="Y41" s="157">
        <v>2.7619821280000002E-2</v>
      </c>
      <c r="Z41" s="158">
        <v>0.50609260759999997</v>
      </c>
      <c r="AA41" s="156">
        <v>0.46709991880000001</v>
      </c>
      <c r="AB41" s="156">
        <v>0</v>
      </c>
      <c r="AC41" s="156">
        <v>0</v>
      </c>
      <c r="AD41" s="156">
        <v>7.3111291630000002E-3</v>
      </c>
      <c r="AE41" s="156">
        <v>0</v>
      </c>
      <c r="AF41" s="159">
        <v>1.949634444E-2</v>
      </c>
      <c r="AG41" s="155">
        <v>0.1691607027</v>
      </c>
      <c r="AH41" s="156">
        <v>0</v>
      </c>
      <c r="AI41" s="156">
        <v>0</v>
      </c>
      <c r="AJ41" s="156">
        <v>1.496421601E-2</v>
      </c>
      <c r="AK41" s="156">
        <v>0.42160052050000002</v>
      </c>
      <c r="AL41" s="156">
        <v>0.29668184780000001</v>
      </c>
      <c r="AM41" s="157">
        <v>9.7592713080000004E-2</v>
      </c>
      <c r="AN41" s="158">
        <v>0.17826935590000001</v>
      </c>
      <c r="AO41" s="156">
        <v>0</v>
      </c>
      <c r="AP41" s="156">
        <v>0</v>
      </c>
      <c r="AQ41" s="156">
        <v>0</v>
      </c>
      <c r="AR41" s="156">
        <v>0.4307091737</v>
      </c>
      <c r="AS41" s="156">
        <v>0.31229668179999998</v>
      </c>
      <c r="AT41" s="159">
        <v>7.8724788549999994E-2</v>
      </c>
    </row>
    <row r="42" spans="1:46" ht="12.75">
      <c r="A42" s="67" t="s">
        <v>19</v>
      </c>
      <c r="B42" s="67" t="s">
        <v>19</v>
      </c>
      <c r="C42" s="67" t="s">
        <v>186</v>
      </c>
      <c r="D42" s="67" t="s">
        <v>187</v>
      </c>
      <c r="E42" s="155">
        <v>0.20991253639999999</v>
      </c>
      <c r="F42" s="156">
        <v>0.55102040819999998</v>
      </c>
      <c r="G42" s="156">
        <v>4.9562682220000001E-2</v>
      </c>
      <c r="H42" s="156">
        <v>8.7463556850000002E-3</v>
      </c>
      <c r="I42" s="156">
        <v>0</v>
      </c>
      <c r="J42" s="156">
        <v>0</v>
      </c>
      <c r="K42" s="157">
        <v>0.18075801750000001</v>
      </c>
      <c r="L42" s="158">
        <v>0.195335277</v>
      </c>
      <c r="M42" s="156">
        <v>0.58017492709999996</v>
      </c>
      <c r="N42" s="156">
        <v>4.6647230319999997E-2</v>
      </c>
      <c r="O42" s="156">
        <v>0</v>
      </c>
      <c r="P42" s="156">
        <v>0</v>
      </c>
      <c r="Q42" s="156">
        <v>0</v>
      </c>
      <c r="R42" s="159">
        <v>0.1778425656</v>
      </c>
      <c r="S42" s="155">
        <v>0.4082840237</v>
      </c>
      <c r="T42" s="156">
        <v>0.51479289939999995</v>
      </c>
      <c r="U42" s="156">
        <v>0</v>
      </c>
      <c r="V42" s="156">
        <v>0</v>
      </c>
      <c r="W42" s="156">
        <v>5.3254437869999997E-2</v>
      </c>
      <c r="X42" s="156">
        <v>0</v>
      </c>
      <c r="Y42" s="157">
        <v>2.3668639049999999E-2</v>
      </c>
      <c r="Z42" s="158">
        <v>0.39053254440000001</v>
      </c>
      <c r="AA42" s="156">
        <v>0.55621301779999999</v>
      </c>
      <c r="AB42" s="156">
        <v>0</v>
      </c>
      <c r="AC42" s="156">
        <v>0</v>
      </c>
      <c r="AD42" s="156">
        <v>3.846153846E-2</v>
      </c>
      <c r="AE42" s="156">
        <v>0</v>
      </c>
      <c r="AF42" s="159">
        <v>1.4792899409999999E-2</v>
      </c>
      <c r="AG42" s="155">
        <v>8.6673889490000003E-2</v>
      </c>
      <c r="AH42" s="156">
        <v>0</v>
      </c>
      <c r="AI42" s="156">
        <v>0</v>
      </c>
      <c r="AJ42" s="156">
        <v>1.9501625139999999E-2</v>
      </c>
      <c r="AK42" s="156">
        <v>0.34452871070000002</v>
      </c>
      <c r="AL42" s="156">
        <v>0.39111592630000003</v>
      </c>
      <c r="AM42" s="157">
        <v>0.15817984830000001</v>
      </c>
      <c r="AN42" s="158">
        <v>0.1083423619</v>
      </c>
      <c r="AO42" s="156">
        <v>0</v>
      </c>
      <c r="AP42" s="156">
        <v>0</v>
      </c>
      <c r="AQ42" s="156">
        <v>0</v>
      </c>
      <c r="AR42" s="156">
        <v>0.35319609969999999</v>
      </c>
      <c r="AS42" s="156">
        <v>0.40086673890000002</v>
      </c>
      <c r="AT42" s="159">
        <v>0.13759479960000001</v>
      </c>
    </row>
    <row r="43" spans="1:46" ht="12.75">
      <c r="A43" s="67" t="s">
        <v>19</v>
      </c>
      <c r="B43" s="67" t="s">
        <v>19</v>
      </c>
      <c r="C43" s="67" t="s">
        <v>186</v>
      </c>
      <c r="D43" s="67" t="s">
        <v>186</v>
      </c>
      <c r="E43" s="155">
        <v>0.3487419544</v>
      </c>
      <c r="F43" s="156">
        <v>0.56056173200000003</v>
      </c>
      <c r="G43" s="156">
        <v>5.0906963139999997E-2</v>
      </c>
      <c r="H43" s="156">
        <v>2.3405500290000002E-3</v>
      </c>
      <c r="I43" s="156">
        <v>0</v>
      </c>
      <c r="J43" s="156">
        <v>0</v>
      </c>
      <c r="K43" s="157">
        <v>3.7448800470000002E-2</v>
      </c>
      <c r="L43" s="158">
        <v>0.32533645410000001</v>
      </c>
      <c r="M43" s="156">
        <v>0.59332943240000002</v>
      </c>
      <c r="N43" s="156">
        <v>4.8566413109999998E-2</v>
      </c>
      <c r="O43" s="156">
        <v>0</v>
      </c>
      <c r="P43" s="156">
        <v>0</v>
      </c>
      <c r="Q43" s="156">
        <v>0</v>
      </c>
      <c r="R43" s="159">
        <v>3.2767700410000003E-2</v>
      </c>
      <c r="S43" s="155">
        <v>0.49882766709999998</v>
      </c>
      <c r="T43" s="156">
        <v>0.4478311841</v>
      </c>
      <c r="U43" s="156">
        <v>0</v>
      </c>
      <c r="V43" s="156">
        <v>0</v>
      </c>
      <c r="W43" s="156">
        <v>1.055099648E-2</v>
      </c>
      <c r="X43" s="156">
        <v>0</v>
      </c>
      <c r="Y43" s="157">
        <v>4.2790152400000003E-2</v>
      </c>
      <c r="Z43" s="158">
        <v>0.51524032829999999</v>
      </c>
      <c r="AA43" s="156">
        <v>0.45369284879999999</v>
      </c>
      <c r="AB43" s="156">
        <v>0</v>
      </c>
      <c r="AC43" s="156">
        <v>0</v>
      </c>
      <c r="AD43" s="156">
        <v>9.3786635400000002E-3</v>
      </c>
      <c r="AE43" s="156">
        <v>0</v>
      </c>
      <c r="AF43" s="159">
        <v>2.168815944E-2</v>
      </c>
      <c r="AG43" s="155">
        <v>0.1739579745</v>
      </c>
      <c r="AH43" s="156">
        <v>0</v>
      </c>
      <c r="AI43" s="156">
        <v>0</v>
      </c>
      <c r="AJ43" s="156">
        <v>1.03341371E-2</v>
      </c>
      <c r="AK43" s="156">
        <v>0.32070272129999999</v>
      </c>
      <c r="AL43" s="156">
        <v>0.42059938000000002</v>
      </c>
      <c r="AM43" s="157">
        <v>7.4405787119999997E-2</v>
      </c>
      <c r="AN43" s="158">
        <v>0.18050292800000001</v>
      </c>
      <c r="AO43" s="156">
        <v>0</v>
      </c>
      <c r="AP43" s="156">
        <v>0</v>
      </c>
      <c r="AQ43" s="156">
        <v>0</v>
      </c>
      <c r="AR43" s="156">
        <v>0.31760248019999998</v>
      </c>
      <c r="AS43" s="156">
        <v>0.43575611440000001</v>
      </c>
      <c r="AT43" s="159">
        <v>6.6138477439999996E-2</v>
      </c>
    </row>
    <row r="44" spans="1:46" ht="12.75">
      <c r="A44" s="67" t="s">
        <v>19</v>
      </c>
      <c r="B44" s="67" t="s">
        <v>19</v>
      </c>
      <c r="C44" s="67" t="s">
        <v>189</v>
      </c>
      <c r="D44" s="67" t="s">
        <v>189</v>
      </c>
      <c r="E44" s="155">
        <v>0.45234113710000001</v>
      </c>
      <c r="F44" s="156">
        <v>0.47198996659999998</v>
      </c>
      <c r="G44" s="156">
        <v>2.2575250840000002E-2</v>
      </c>
      <c r="H44" s="156">
        <v>3.344481605E-3</v>
      </c>
      <c r="I44" s="156">
        <v>0</v>
      </c>
      <c r="J44" s="156">
        <v>0</v>
      </c>
      <c r="K44" s="157">
        <v>4.9749163880000002E-2</v>
      </c>
      <c r="L44" s="158">
        <v>0.42391304349999998</v>
      </c>
      <c r="M44" s="156">
        <v>0.52968227420000003</v>
      </c>
      <c r="N44" s="156">
        <v>1.212374582E-2</v>
      </c>
      <c r="O44" s="156">
        <v>0</v>
      </c>
      <c r="P44" s="156">
        <v>0</v>
      </c>
      <c r="Q44" s="156">
        <v>0</v>
      </c>
      <c r="R44" s="159">
        <v>3.4280936450000001E-2</v>
      </c>
      <c r="S44" s="155">
        <v>0.44736842110000002</v>
      </c>
      <c r="T44" s="156">
        <v>0.50401427300000001</v>
      </c>
      <c r="U44" s="156">
        <v>0</v>
      </c>
      <c r="V44" s="156">
        <v>0</v>
      </c>
      <c r="W44" s="156">
        <v>8.4745762709999995E-3</v>
      </c>
      <c r="X44" s="156">
        <v>0</v>
      </c>
      <c r="Y44" s="157">
        <v>4.0142729709999998E-2</v>
      </c>
      <c r="Z44" s="158">
        <v>0.45807314900000001</v>
      </c>
      <c r="AA44" s="156">
        <v>0.51873327390000001</v>
      </c>
      <c r="AB44" s="156">
        <v>0</v>
      </c>
      <c r="AC44" s="156">
        <v>0</v>
      </c>
      <c r="AD44" s="156">
        <v>4.0142729710000002E-3</v>
      </c>
      <c r="AE44" s="156">
        <v>0</v>
      </c>
      <c r="AF44" s="159">
        <v>1.917930419E-2</v>
      </c>
      <c r="AG44" s="155">
        <v>0.31590781340000001</v>
      </c>
      <c r="AH44" s="156">
        <v>0</v>
      </c>
      <c r="AI44" s="156">
        <v>0</v>
      </c>
      <c r="AJ44" s="156">
        <v>1.011804384E-2</v>
      </c>
      <c r="AK44" s="156">
        <v>0.24732996069999999</v>
      </c>
      <c r="AL44" s="156">
        <v>0.36087689709999998</v>
      </c>
      <c r="AM44" s="157">
        <v>6.5767284989999994E-2</v>
      </c>
      <c r="AN44" s="158">
        <v>0.33333333329999998</v>
      </c>
      <c r="AO44" s="156">
        <v>0</v>
      </c>
      <c r="AP44" s="156">
        <v>0</v>
      </c>
      <c r="AQ44" s="156">
        <v>0</v>
      </c>
      <c r="AR44" s="156">
        <v>0.25688589090000002</v>
      </c>
      <c r="AS44" s="156">
        <v>0.36537380549999998</v>
      </c>
      <c r="AT44" s="159">
        <v>4.440697021E-2</v>
      </c>
    </row>
    <row r="45" spans="1:46" ht="12.75">
      <c r="A45" s="67" t="s">
        <v>19</v>
      </c>
      <c r="B45" s="67" t="s">
        <v>19</v>
      </c>
      <c r="C45" s="67" t="s">
        <v>191</v>
      </c>
      <c r="D45" s="67" t="s">
        <v>191</v>
      </c>
      <c r="E45" s="155">
        <v>0.43031066330000001</v>
      </c>
      <c r="F45" s="156">
        <v>0.47816960539999998</v>
      </c>
      <c r="G45" s="156">
        <v>4.3660789249999998E-2</v>
      </c>
      <c r="H45" s="156">
        <v>2.518891688E-3</v>
      </c>
      <c r="I45" s="156">
        <v>0</v>
      </c>
      <c r="J45" s="156">
        <v>0</v>
      </c>
      <c r="K45" s="157">
        <v>4.5340050379999997E-2</v>
      </c>
      <c r="L45" s="158">
        <v>0.39546599500000001</v>
      </c>
      <c r="M45" s="156">
        <v>0.53064651549999997</v>
      </c>
      <c r="N45" s="156">
        <v>4.0302267000000003E-2</v>
      </c>
      <c r="O45" s="156">
        <v>0</v>
      </c>
      <c r="P45" s="156">
        <v>0</v>
      </c>
      <c r="Q45" s="156">
        <v>0</v>
      </c>
      <c r="R45" s="159">
        <v>3.3585222499999998E-2</v>
      </c>
      <c r="S45" s="155">
        <v>0.3378127896</v>
      </c>
      <c r="T45" s="156">
        <v>0.62233549580000003</v>
      </c>
      <c r="U45" s="156">
        <v>0</v>
      </c>
      <c r="V45" s="156">
        <v>0</v>
      </c>
      <c r="W45" s="156">
        <v>9.2678405929999992E-3</v>
      </c>
      <c r="X45" s="156">
        <v>0</v>
      </c>
      <c r="Y45" s="157">
        <v>3.0583873960000001E-2</v>
      </c>
      <c r="Z45" s="158">
        <v>0.34645669289999997</v>
      </c>
      <c r="AA45" s="156">
        <v>0.62482630849999998</v>
      </c>
      <c r="AB45" s="156">
        <v>0</v>
      </c>
      <c r="AC45" s="156">
        <v>0</v>
      </c>
      <c r="AD45" s="156">
        <v>1.0653080129999999E-2</v>
      </c>
      <c r="AE45" s="156">
        <v>0</v>
      </c>
      <c r="AF45" s="159">
        <v>1.806391848E-2</v>
      </c>
      <c r="AG45" s="155">
        <v>0.26361529550000001</v>
      </c>
      <c r="AH45" s="156">
        <v>0</v>
      </c>
      <c r="AI45" s="156">
        <v>0</v>
      </c>
      <c r="AJ45" s="156">
        <v>8.6906141369999992E-3</v>
      </c>
      <c r="AK45" s="156">
        <v>0.3325608343</v>
      </c>
      <c r="AL45" s="156">
        <v>0.30822711470000003</v>
      </c>
      <c r="AM45" s="157">
        <v>8.6906141369999995E-2</v>
      </c>
      <c r="AN45" s="158">
        <v>0.26477404399999999</v>
      </c>
      <c r="AO45" s="156">
        <v>0</v>
      </c>
      <c r="AP45" s="156">
        <v>0</v>
      </c>
      <c r="AQ45" s="156">
        <v>0</v>
      </c>
      <c r="AR45" s="156">
        <v>0.32792584009999998</v>
      </c>
      <c r="AS45" s="156">
        <v>0.32271147160000002</v>
      </c>
      <c r="AT45" s="159">
        <v>8.4588644259999998E-2</v>
      </c>
    </row>
    <row r="46" spans="1:46" ht="12.75">
      <c r="A46" s="67" t="s">
        <v>19</v>
      </c>
      <c r="B46" s="67" t="s">
        <v>19</v>
      </c>
      <c r="C46" s="67" t="s">
        <v>19</v>
      </c>
      <c r="D46" s="67" t="s">
        <v>19</v>
      </c>
      <c r="E46" s="155">
        <v>0.47149344100000001</v>
      </c>
      <c r="F46" s="156">
        <v>0.43298015470000001</v>
      </c>
      <c r="G46" s="156">
        <v>5.5667675749999999E-2</v>
      </c>
      <c r="H46" s="156">
        <v>5.5499495459999998E-3</v>
      </c>
      <c r="I46" s="156">
        <v>0</v>
      </c>
      <c r="J46" s="156">
        <v>0</v>
      </c>
      <c r="K46" s="157">
        <v>3.4308779009999998E-2</v>
      </c>
      <c r="L46" s="158">
        <v>0.43024135899999999</v>
      </c>
      <c r="M46" s="156">
        <v>0.49289378519999999</v>
      </c>
      <c r="N46" s="156">
        <v>4.6926246739999997E-2</v>
      </c>
      <c r="O46" s="156">
        <v>0</v>
      </c>
      <c r="P46" s="156">
        <v>0</v>
      </c>
      <c r="Q46" s="156">
        <v>0</v>
      </c>
      <c r="R46" s="159">
        <v>2.993860903E-2</v>
      </c>
      <c r="S46" s="155">
        <v>0.38604695550000001</v>
      </c>
      <c r="T46" s="156">
        <v>0.57014697459999997</v>
      </c>
      <c r="U46" s="156">
        <v>0</v>
      </c>
      <c r="V46" s="156">
        <v>0</v>
      </c>
      <c r="W46" s="156">
        <v>8.3031112809999995E-3</v>
      </c>
      <c r="X46" s="156">
        <v>0</v>
      </c>
      <c r="Y46" s="157">
        <v>3.5502958580000001E-2</v>
      </c>
      <c r="Z46" s="158">
        <v>0.39213440240000003</v>
      </c>
      <c r="AA46" s="156">
        <v>0.58438335239999994</v>
      </c>
      <c r="AB46" s="156">
        <v>0</v>
      </c>
      <c r="AC46" s="156">
        <v>0</v>
      </c>
      <c r="AD46" s="156">
        <v>6.8728522340000004E-3</v>
      </c>
      <c r="AE46" s="156">
        <v>0</v>
      </c>
      <c r="AF46" s="159">
        <v>1.6609392899999999E-2</v>
      </c>
      <c r="AG46" s="155">
        <v>0.21474664130000001</v>
      </c>
      <c r="AH46" s="156">
        <v>0</v>
      </c>
      <c r="AI46" s="156">
        <v>0</v>
      </c>
      <c r="AJ46" s="156">
        <v>1.3540674920000001E-2</v>
      </c>
      <c r="AK46" s="156">
        <v>0.30868507350000002</v>
      </c>
      <c r="AL46" s="156">
        <v>0.37913889769999998</v>
      </c>
      <c r="AM46" s="157">
        <v>8.3888712579999997E-2</v>
      </c>
      <c r="AN46" s="158">
        <v>0.2208588957</v>
      </c>
      <c r="AO46" s="156">
        <v>0</v>
      </c>
      <c r="AP46" s="156">
        <v>0</v>
      </c>
      <c r="AQ46" s="156">
        <v>0</v>
      </c>
      <c r="AR46" s="156">
        <v>0.2979691136</v>
      </c>
      <c r="AS46" s="156">
        <v>0.40882166279999999</v>
      </c>
      <c r="AT46" s="159">
        <v>7.2350327899999997E-2</v>
      </c>
    </row>
    <row r="47" spans="1:46" ht="12.75">
      <c r="A47" s="67" t="s">
        <v>19</v>
      </c>
      <c r="B47" s="67" t="s">
        <v>19</v>
      </c>
      <c r="C47" s="67" t="s">
        <v>19</v>
      </c>
      <c r="D47" s="67" t="s">
        <v>194</v>
      </c>
      <c r="E47" s="155">
        <v>0.69352869350000002</v>
      </c>
      <c r="F47" s="156">
        <v>0.21245421249999999</v>
      </c>
      <c r="G47" s="156">
        <v>7.4481074480000006E-2</v>
      </c>
      <c r="H47" s="156">
        <v>1.221001221E-3</v>
      </c>
      <c r="I47" s="156">
        <v>0</v>
      </c>
      <c r="J47" s="156">
        <v>0</v>
      </c>
      <c r="K47" s="157">
        <v>1.8315018320000001E-2</v>
      </c>
      <c r="L47" s="158">
        <v>0.61294261289999996</v>
      </c>
      <c r="M47" s="156">
        <v>0.28937728940000002</v>
      </c>
      <c r="N47" s="156">
        <v>7.8144078140000003E-2</v>
      </c>
      <c r="O47" s="156">
        <v>0</v>
      </c>
      <c r="P47" s="156">
        <v>0</v>
      </c>
      <c r="Q47" s="156">
        <v>0</v>
      </c>
      <c r="R47" s="159">
        <v>1.9536019540000001E-2</v>
      </c>
      <c r="S47" s="155">
        <v>0.56779661020000005</v>
      </c>
      <c r="T47" s="156">
        <v>0.40920096849999998</v>
      </c>
      <c r="U47" s="156">
        <v>0</v>
      </c>
      <c r="V47" s="156">
        <v>0</v>
      </c>
      <c r="W47" s="156">
        <v>3.6319612589999998E-3</v>
      </c>
      <c r="X47" s="156">
        <v>0</v>
      </c>
      <c r="Y47" s="157">
        <v>1.937046005E-2</v>
      </c>
      <c r="Z47" s="158">
        <v>0.55932203390000002</v>
      </c>
      <c r="AA47" s="156">
        <v>0.42736077480000001</v>
      </c>
      <c r="AB47" s="156">
        <v>0</v>
      </c>
      <c r="AC47" s="156">
        <v>0</v>
      </c>
      <c r="AD47" s="156">
        <v>3.6319612589999998E-3</v>
      </c>
      <c r="AE47" s="156">
        <v>0</v>
      </c>
      <c r="AF47" s="159">
        <v>9.6852300239999994E-3</v>
      </c>
      <c r="AG47" s="155">
        <v>4.6692606999999997E-2</v>
      </c>
      <c r="AH47" s="156">
        <v>0</v>
      </c>
      <c r="AI47" s="156">
        <v>0</v>
      </c>
      <c r="AJ47" s="156">
        <v>1.556420233E-2</v>
      </c>
      <c r="AK47" s="156">
        <v>0.51945525290000005</v>
      </c>
      <c r="AL47" s="156">
        <v>0.32684824899999998</v>
      </c>
      <c r="AM47" s="157">
        <v>9.1439688719999995E-2</v>
      </c>
      <c r="AN47" s="158">
        <v>5.2529182879999997E-2</v>
      </c>
      <c r="AO47" s="156">
        <v>0</v>
      </c>
      <c r="AP47" s="156">
        <v>0</v>
      </c>
      <c r="AQ47" s="156">
        <v>0</v>
      </c>
      <c r="AR47" s="156">
        <v>0.50583657589999997</v>
      </c>
      <c r="AS47" s="156">
        <v>0.37743190659999998</v>
      </c>
      <c r="AT47" s="159">
        <v>6.4202334629999996E-2</v>
      </c>
    </row>
    <row r="48" spans="1:46" ht="12.75">
      <c r="A48" s="67" t="s">
        <v>19</v>
      </c>
      <c r="B48" s="67" t="s">
        <v>19</v>
      </c>
      <c r="C48" s="67" t="s">
        <v>195</v>
      </c>
      <c r="D48" s="67" t="s">
        <v>195</v>
      </c>
      <c r="E48" s="155">
        <v>0.35094110499999998</v>
      </c>
      <c r="F48" s="156">
        <v>0.55130540380000004</v>
      </c>
      <c r="G48" s="156">
        <v>2.8536733450000001E-2</v>
      </c>
      <c r="H48" s="156">
        <v>2.064359441E-2</v>
      </c>
      <c r="I48" s="156">
        <v>0</v>
      </c>
      <c r="J48" s="156">
        <v>0</v>
      </c>
      <c r="K48" s="157">
        <v>4.8573163330000002E-2</v>
      </c>
      <c r="L48" s="158">
        <v>0.31725417439999998</v>
      </c>
      <c r="M48" s="156">
        <v>0.61162646880000004</v>
      </c>
      <c r="N48" s="156">
        <v>2.0408163270000002E-2</v>
      </c>
      <c r="O48" s="156">
        <v>0</v>
      </c>
      <c r="P48" s="156">
        <v>0</v>
      </c>
      <c r="Q48" s="156">
        <v>0</v>
      </c>
      <c r="R48" s="159">
        <v>5.071119357E-2</v>
      </c>
      <c r="S48" s="155">
        <v>0.48145604400000003</v>
      </c>
      <c r="T48" s="156">
        <v>0.48832417579999998</v>
      </c>
      <c r="U48" s="156">
        <v>0</v>
      </c>
      <c r="V48" s="156">
        <v>0</v>
      </c>
      <c r="W48" s="156">
        <v>3.4340659340000002E-3</v>
      </c>
      <c r="X48" s="156">
        <v>0</v>
      </c>
      <c r="Y48" s="157">
        <v>2.6785714289999998E-2</v>
      </c>
      <c r="Z48" s="158">
        <v>0.47802197800000001</v>
      </c>
      <c r="AA48" s="156">
        <v>0.5048076923</v>
      </c>
      <c r="AB48" s="156">
        <v>0</v>
      </c>
      <c r="AC48" s="156">
        <v>0</v>
      </c>
      <c r="AD48" s="156">
        <v>3.4340659340000002E-3</v>
      </c>
      <c r="AE48" s="156">
        <v>0</v>
      </c>
      <c r="AF48" s="159">
        <v>1.3736263740000001E-2</v>
      </c>
      <c r="AG48" s="155">
        <v>0.24242424239999999</v>
      </c>
      <c r="AH48" s="156">
        <v>0</v>
      </c>
      <c r="AI48" s="156">
        <v>0</v>
      </c>
      <c r="AJ48" s="156">
        <v>1.1164274320000001E-2</v>
      </c>
      <c r="AK48" s="156">
        <v>0.37240829349999999</v>
      </c>
      <c r="AL48" s="156">
        <v>0.30223285490000001</v>
      </c>
      <c r="AM48" s="157">
        <v>7.1770334929999999E-2</v>
      </c>
      <c r="AN48" s="158">
        <v>0.24481658689999999</v>
      </c>
      <c r="AO48" s="156">
        <v>0</v>
      </c>
      <c r="AP48" s="156">
        <v>0</v>
      </c>
      <c r="AQ48" s="156">
        <v>0</v>
      </c>
      <c r="AR48" s="156">
        <v>0.36363636360000001</v>
      </c>
      <c r="AS48" s="156">
        <v>0.31180223289999998</v>
      </c>
      <c r="AT48" s="159">
        <v>7.9744816590000003E-2</v>
      </c>
    </row>
    <row r="49" spans="1:46" ht="12.75">
      <c r="A49" s="67" t="s">
        <v>19</v>
      </c>
      <c r="B49" s="67" t="s">
        <v>19</v>
      </c>
      <c r="C49" s="67" t="s">
        <v>197</v>
      </c>
      <c r="D49" s="67" t="s">
        <v>197</v>
      </c>
      <c r="E49" s="155">
        <v>0.45572444569999998</v>
      </c>
      <c r="F49" s="156">
        <v>0.40078092320000003</v>
      </c>
      <c r="G49" s="156">
        <v>9.0921768230000005E-2</v>
      </c>
      <c r="H49" s="156">
        <v>6.5541765439999997E-3</v>
      </c>
      <c r="I49" s="156">
        <v>0</v>
      </c>
      <c r="J49" s="156">
        <v>0</v>
      </c>
      <c r="K49" s="157">
        <v>4.601868638E-2</v>
      </c>
      <c r="L49" s="158">
        <v>0.40228748939999998</v>
      </c>
      <c r="M49" s="156">
        <v>0.46794690770000003</v>
      </c>
      <c r="N49" s="156">
        <v>8.9663936740000005E-2</v>
      </c>
      <c r="O49" s="156">
        <v>0</v>
      </c>
      <c r="P49" s="156">
        <v>0</v>
      </c>
      <c r="Q49" s="156">
        <v>0</v>
      </c>
      <c r="R49" s="159">
        <v>4.0101666199999997E-2</v>
      </c>
      <c r="S49" s="155">
        <v>0.50362318839999998</v>
      </c>
      <c r="T49" s="156">
        <v>0.45683679900000002</v>
      </c>
      <c r="U49" s="156">
        <v>0</v>
      </c>
      <c r="V49" s="156">
        <v>0</v>
      </c>
      <c r="W49" s="156">
        <v>9.4517958409999995E-3</v>
      </c>
      <c r="X49" s="156">
        <v>0</v>
      </c>
      <c r="Y49" s="157">
        <v>3.0088216760000001E-2</v>
      </c>
      <c r="Z49" s="158">
        <v>0.50346565850000002</v>
      </c>
      <c r="AA49" s="156">
        <v>0.46739130429999998</v>
      </c>
      <c r="AB49" s="156">
        <v>0</v>
      </c>
      <c r="AC49" s="156">
        <v>0</v>
      </c>
      <c r="AD49" s="156">
        <v>7.8764965340000007E-3</v>
      </c>
      <c r="AE49" s="156">
        <v>0</v>
      </c>
      <c r="AF49" s="159">
        <v>2.1266540640000001E-2</v>
      </c>
      <c r="AG49" s="155">
        <v>0.21077823079999999</v>
      </c>
      <c r="AH49" s="156">
        <v>0</v>
      </c>
      <c r="AI49" s="156">
        <v>0</v>
      </c>
      <c r="AJ49" s="156">
        <v>1.2763694379999999E-2</v>
      </c>
      <c r="AK49" s="156">
        <v>0.23736926080000001</v>
      </c>
      <c r="AL49" s="156">
        <v>0.45701116819999998</v>
      </c>
      <c r="AM49" s="157">
        <v>8.2077645810000002E-2</v>
      </c>
      <c r="AN49" s="158">
        <v>0.2155646162</v>
      </c>
      <c r="AO49" s="156">
        <v>0</v>
      </c>
      <c r="AP49" s="156">
        <v>0</v>
      </c>
      <c r="AQ49" s="156">
        <v>0</v>
      </c>
      <c r="AR49" s="156">
        <v>0.23559652540000001</v>
      </c>
      <c r="AS49" s="156">
        <v>0.47349760680000003</v>
      </c>
      <c r="AT49" s="159">
        <v>7.5341251550000002E-2</v>
      </c>
    </row>
    <row r="50" spans="1:46" ht="12.75">
      <c r="A50" s="67" t="s">
        <v>19</v>
      </c>
      <c r="B50" s="67" t="s">
        <v>19</v>
      </c>
      <c r="C50" s="67" t="s">
        <v>199</v>
      </c>
      <c r="D50" s="67" t="s">
        <v>199</v>
      </c>
      <c r="E50" s="155">
        <v>0.35256816740000002</v>
      </c>
      <c r="F50" s="156">
        <v>0.51204819280000002</v>
      </c>
      <c r="G50" s="156">
        <v>7.4191502849999993E-2</v>
      </c>
      <c r="H50" s="156">
        <v>5.3899809769999999E-3</v>
      </c>
      <c r="I50" s="156">
        <v>0</v>
      </c>
      <c r="J50" s="156">
        <v>0</v>
      </c>
      <c r="K50" s="157">
        <v>5.5802155989999998E-2</v>
      </c>
      <c r="L50" s="158">
        <v>0.31790808240000001</v>
      </c>
      <c r="M50" s="156">
        <v>0.55625990489999999</v>
      </c>
      <c r="N50" s="156">
        <v>7.6703645010000002E-2</v>
      </c>
      <c r="O50" s="156">
        <v>0</v>
      </c>
      <c r="P50" s="156">
        <v>0</v>
      </c>
      <c r="Q50" s="156">
        <v>0</v>
      </c>
      <c r="R50" s="159">
        <v>4.9128367669999999E-2</v>
      </c>
      <c r="S50" s="155">
        <v>0.4633165829</v>
      </c>
      <c r="T50" s="156">
        <v>0.48810720270000002</v>
      </c>
      <c r="U50" s="156">
        <v>0</v>
      </c>
      <c r="V50" s="156">
        <v>0</v>
      </c>
      <c r="W50" s="156">
        <v>9.0452261310000007E-3</v>
      </c>
      <c r="X50" s="156">
        <v>0</v>
      </c>
      <c r="Y50" s="157">
        <v>3.9530988269999998E-2</v>
      </c>
      <c r="Z50" s="158">
        <v>0.45996649919999999</v>
      </c>
      <c r="AA50" s="156">
        <v>0.50519262980000001</v>
      </c>
      <c r="AB50" s="156">
        <v>0</v>
      </c>
      <c r="AC50" s="156">
        <v>0</v>
      </c>
      <c r="AD50" s="156">
        <v>1.1390284759999999E-2</v>
      </c>
      <c r="AE50" s="156">
        <v>0</v>
      </c>
      <c r="AF50" s="159">
        <v>2.345058626E-2</v>
      </c>
      <c r="AG50" s="155">
        <v>0.3991053678</v>
      </c>
      <c r="AH50" s="156">
        <v>0</v>
      </c>
      <c r="AI50" s="156">
        <v>0</v>
      </c>
      <c r="AJ50" s="156">
        <v>1.4413518889999999E-2</v>
      </c>
      <c r="AK50" s="156">
        <v>0.23856858850000001</v>
      </c>
      <c r="AL50" s="156">
        <v>0.25646123259999998</v>
      </c>
      <c r="AM50" s="157">
        <v>9.1451292249999996E-2</v>
      </c>
      <c r="AN50" s="158">
        <v>0.41848906559999999</v>
      </c>
      <c r="AO50" s="156">
        <v>0</v>
      </c>
      <c r="AP50" s="156">
        <v>0</v>
      </c>
      <c r="AQ50" s="156">
        <v>0</v>
      </c>
      <c r="AR50" s="156">
        <v>0.24055666000000001</v>
      </c>
      <c r="AS50" s="156">
        <v>0.26689860830000001</v>
      </c>
      <c r="AT50" s="159">
        <v>7.4055666000000006E-2</v>
      </c>
    </row>
    <row r="51" spans="1:46" ht="12.75">
      <c r="A51" s="67" t="s">
        <v>19</v>
      </c>
      <c r="B51" s="67" t="s">
        <v>19</v>
      </c>
      <c r="C51" s="67" t="s">
        <v>201</v>
      </c>
      <c r="D51" s="67" t="s">
        <v>201</v>
      </c>
      <c r="E51" s="155">
        <v>0.35543637249999999</v>
      </c>
      <c r="F51" s="156">
        <v>0.56167723059999997</v>
      </c>
      <c r="G51" s="156">
        <v>2.827888835E-2</v>
      </c>
      <c r="H51" s="156">
        <v>2.4378352019999998E-3</v>
      </c>
      <c r="I51" s="156">
        <v>0</v>
      </c>
      <c r="J51" s="156">
        <v>0</v>
      </c>
      <c r="K51" s="157">
        <v>5.2169673329999999E-2</v>
      </c>
      <c r="L51" s="158">
        <v>0.32228181369999997</v>
      </c>
      <c r="M51" s="156">
        <v>0.60458313019999999</v>
      </c>
      <c r="N51" s="156">
        <v>2.4378352020000001E-2</v>
      </c>
      <c r="O51" s="156">
        <v>0</v>
      </c>
      <c r="P51" s="156">
        <v>0</v>
      </c>
      <c r="Q51" s="156">
        <v>0</v>
      </c>
      <c r="R51" s="159">
        <v>4.8756704050000002E-2</v>
      </c>
      <c r="S51" s="155">
        <v>0.44199178639999998</v>
      </c>
      <c r="T51" s="156">
        <v>0.51078028750000004</v>
      </c>
      <c r="U51" s="156">
        <v>0</v>
      </c>
      <c r="V51" s="156">
        <v>0</v>
      </c>
      <c r="W51" s="156">
        <v>8.726899384E-3</v>
      </c>
      <c r="X51" s="156">
        <v>0</v>
      </c>
      <c r="Y51" s="157">
        <v>3.8501026690000002E-2</v>
      </c>
      <c r="Z51" s="158">
        <v>0.44045174539999998</v>
      </c>
      <c r="AA51" s="156">
        <v>0.52977412729999995</v>
      </c>
      <c r="AB51" s="156">
        <v>0</v>
      </c>
      <c r="AC51" s="156">
        <v>0</v>
      </c>
      <c r="AD51" s="156">
        <v>9.7535934290000001E-3</v>
      </c>
      <c r="AE51" s="156">
        <v>0</v>
      </c>
      <c r="AF51" s="159">
        <v>2.002053388E-2</v>
      </c>
      <c r="AG51" s="155">
        <v>0.19773635149999999</v>
      </c>
      <c r="AH51" s="156">
        <v>0</v>
      </c>
      <c r="AI51" s="156">
        <v>0</v>
      </c>
      <c r="AJ51" s="156">
        <v>1.7310253000000001E-2</v>
      </c>
      <c r="AK51" s="156">
        <v>0.40013315579999997</v>
      </c>
      <c r="AL51" s="156">
        <v>0.30426098540000002</v>
      </c>
      <c r="AM51" s="157">
        <v>8.0559254329999996E-2</v>
      </c>
      <c r="AN51" s="158">
        <v>0.1917443409</v>
      </c>
      <c r="AO51" s="156">
        <v>0</v>
      </c>
      <c r="AP51" s="156">
        <v>0</v>
      </c>
      <c r="AQ51" s="156">
        <v>0</v>
      </c>
      <c r="AR51" s="156">
        <v>0.40679094539999999</v>
      </c>
      <c r="AS51" s="156">
        <v>0.31424766980000002</v>
      </c>
      <c r="AT51" s="159">
        <v>8.7217043940000002E-2</v>
      </c>
    </row>
    <row r="52" spans="1:46" ht="12.75">
      <c r="A52" s="67" t="s">
        <v>19</v>
      </c>
      <c r="B52" s="67" t="s">
        <v>19</v>
      </c>
      <c r="C52" s="67" t="s">
        <v>203</v>
      </c>
      <c r="D52" s="67" t="s">
        <v>203</v>
      </c>
      <c r="E52" s="155">
        <v>0.3461538462</v>
      </c>
      <c r="F52" s="156">
        <v>0.59176788120000001</v>
      </c>
      <c r="G52" s="156">
        <v>2.1592442650000002E-2</v>
      </c>
      <c r="H52" s="156">
        <v>2.6990553310000001E-3</v>
      </c>
      <c r="I52" s="156">
        <v>0</v>
      </c>
      <c r="J52" s="156">
        <v>0</v>
      </c>
      <c r="K52" s="157">
        <v>3.7786774629999999E-2</v>
      </c>
      <c r="L52" s="158">
        <v>0.33267813270000002</v>
      </c>
      <c r="M52" s="156">
        <v>0.61572481570000004</v>
      </c>
      <c r="N52" s="156">
        <v>1.71990172E-2</v>
      </c>
      <c r="O52" s="156">
        <v>0</v>
      </c>
      <c r="P52" s="156">
        <v>0</v>
      </c>
      <c r="Q52" s="156">
        <v>0</v>
      </c>
      <c r="R52" s="159">
        <v>3.4398034399999999E-2</v>
      </c>
      <c r="S52" s="155">
        <v>0.38204017330000001</v>
      </c>
      <c r="T52" s="156">
        <v>0.57896809770000002</v>
      </c>
      <c r="U52" s="156">
        <v>0</v>
      </c>
      <c r="V52" s="156">
        <v>0</v>
      </c>
      <c r="W52" s="156">
        <v>9.45254037E-3</v>
      </c>
      <c r="X52" s="156">
        <v>0</v>
      </c>
      <c r="Y52" s="157">
        <v>2.953918866E-2</v>
      </c>
      <c r="Z52" s="158">
        <v>0.38952343439999998</v>
      </c>
      <c r="AA52" s="156">
        <v>0.58526979130000001</v>
      </c>
      <c r="AB52" s="156">
        <v>0</v>
      </c>
      <c r="AC52" s="156">
        <v>0</v>
      </c>
      <c r="AD52" s="156">
        <v>1.102796377E-2</v>
      </c>
      <c r="AE52" s="156">
        <v>0</v>
      </c>
      <c r="AF52" s="159">
        <v>1.417881056E-2</v>
      </c>
      <c r="AG52" s="155">
        <v>0.18596237339999999</v>
      </c>
      <c r="AH52" s="156">
        <v>0</v>
      </c>
      <c r="AI52" s="156">
        <v>0</v>
      </c>
      <c r="AJ52" s="156">
        <v>1.8089725040000001E-2</v>
      </c>
      <c r="AK52" s="156">
        <v>0.40448625179999997</v>
      </c>
      <c r="AL52" s="156">
        <v>0.32272069460000002</v>
      </c>
      <c r="AM52" s="157">
        <v>6.8740955140000004E-2</v>
      </c>
      <c r="AN52" s="158">
        <v>0.19319826339999999</v>
      </c>
      <c r="AO52" s="156">
        <v>0</v>
      </c>
      <c r="AP52" s="156">
        <v>0</v>
      </c>
      <c r="AQ52" s="156">
        <v>0</v>
      </c>
      <c r="AR52" s="156">
        <v>0.40303907379999998</v>
      </c>
      <c r="AS52" s="156">
        <v>0.32633863969999999</v>
      </c>
      <c r="AT52" s="159">
        <v>7.7424023149999993E-2</v>
      </c>
    </row>
    <row r="53" spans="1:46" ht="12.75">
      <c r="A53" s="67" t="s">
        <v>19</v>
      </c>
      <c r="B53" s="67" t="s">
        <v>19</v>
      </c>
      <c r="C53" s="67" t="s">
        <v>206</v>
      </c>
      <c r="D53" s="67" t="s">
        <v>206</v>
      </c>
      <c r="E53" s="155">
        <v>0.34878240379999997</v>
      </c>
      <c r="F53" s="156">
        <v>0.59230164959999998</v>
      </c>
      <c r="G53" s="156">
        <v>2.0424194820000002E-2</v>
      </c>
      <c r="H53" s="156">
        <v>2.356637863E-3</v>
      </c>
      <c r="I53" s="156">
        <v>0</v>
      </c>
      <c r="J53" s="156">
        <v>0</v>
      </c>
      <c r="K53" s="157">
        <v>3.6135113900000002E-2</v>
      </c>
      <c r="L53" s="158">
        <v>0.32182103610000001</v>
      </c>
      <c r="M53" s="156">
        <v>0.62480376770000001</v>
      </c>
      <c r="N53" s="156">
        <v>1.726844584E-2</v>
      </c>
      <c r="O53" s="156">
        <v>0</v>
      </c>
      <c r="P53" s="156">
        <v>0</v>
      </c>
      <c r="Q53" s="156">
        <v>0</v>
      </c>
      <c r="R53" s="159">
        <v>3.6106750389999998E-2</v>
      </c>
      <c r="S53" s="155">
        <v>0.29440389290000002</v>
      </c>
      <c r="T53" s="156">
        <v>0.68045417679999998</v>
      </c>
      <c r="U53" s="156">
        <v>0</v>
      </c>
      <c r="V53" s="156">
        <v>0</v>
      </c>
      <c r="W53" s="156">
        <v>2.4330900240000001E-3</v>
      </c>
      <c r="X53" s="156">
        <v>0</v>
      </c>
      <c r="Y53" s="157">
        <v>2.2708840229999999E-2</v>
      </c>
      <c r="Z53" s="158">
        <v>0.29359286289999997</v>
      </c>
      <c r="AA53" s="156">
        <v>0.698296837</v>
      </c>
      <c r="AB53" s="156">
        <v>0</v>
      </c>
      <c r="AC53" s="156">
        <v>0</v>
      </c>
      <c r="AD53" s="156">
        <v>2.4330900240000001E-3</v>
      </c>
      <c r="AE53" s="156">
        <v>0</v>
      </c>
      <c r="AF53" s="159">
        <v>5.6772100569999996E-3</v>
      </c>
      <c r="AG53" s="155">
        <v>0.2496732026</v>
      </c>
      <c r="AH53" s="156">
        <v>0</v>
      </c>
      <c r="AI53" s="156">
        <v>0</v>
      </c>
      <c r="AJ53" s="156">
        <v>9.8039215690000001E-3</v>
      </c>
      <c r="AK53" s="156">
        <v>0.25620915030000002</v>
      </c>
      <c r="AL53" s="156">
        <v>0.37385620920000001</v>
      </c>
      <c r="AM53" s="157">
        <v>0.1104575163</v>
      </c>
      <c r="AN53" s="158">
        <v>0.26618705040000001</v>
      </c>
      <c r="AO53" s="156">
        <v>0</v>
      </c>
      <c r="AP53" s="156">
        <v>0</v>
      </c>
      <c r="AQ53" s="156">
        <v>0</v>
      </c>
      <c r="AR53" s="156">
        <v>0.26095487249999999</v>
      </c>
      <c r="AS53" s="156">
        <v>0.39045127530000001</v>
      </c>
      <c r="AT53" s="159">
        <v>8.2406801830000001E-2</v>
      </c>
    </row>
    <row r="54" spans="1:46" ht="12.75">
      <c r="A54" s="67" t="s">
        <v>19</v>
      </c>
      <c r="B54" s="67" t="s">
        <v>19</v>
      </c>
      <c r="C54" s="67" t="s">
        <v>208</v>
      </c>
      <c r="D54" s="67" t="s">
        <v>210</v>
      </c>
      <c r="E54" s="155">
        <v>0.44</v>
      </c>
      <c r="F54" s="156">
        <v>0.50117647060000003</v>
      </c>
      <c r="G54" s="156">
        <v>5.8823529409999997E-3</v>
      </c>
      <c r="H54" s="156">
        <v>5.8823529409999997E-3</v>
      </c>
      <c r="I54" s="156">
        <v>0</v>
      </c>
      <c r="J54" s="156">
        <v>0</v>
      </c>
      <c r="K54" s="157">
        <v>4.7058823530000002E-2</v>
      </c>
      <c r="L54" s="158">
        <v>0.43529411759999997</v>
      </c>
      <c r="M54" s="156">
        <v>0.52470588240000005</v>
      </c>
      <c r="N54" s="156">
        <v>2.3529411760000001E-3</v>
      </c>
      <c r="O54" s="156">
        <v>0</v>
      </c>
      <c r="P54" s="156">
        <v>0</v>
      </c>
      <c r="Q54" s="156">
        <v>0</v>
      </c>
      <c r="R54" s="159">
        <v>3.7647058820000003E-2</v>
      </c>
      <c r="S54" s="155">
        <v>0.46956521740000001</v>
      </c>
      <c r="T54" s="156">
        <v>0.5031055901</v>
      </c>
      <c r="U54" s="156">
        <v>0</v>
      </c>
      <c r="V54" s="156">
        <v>0</v>
      </c>
      <c r="W54" s="156">
        <v>6.2111801239999997E-3</v>
      </c>
      <c r="X54" s="156">
        <v>0</v>
      </c>
      <c r="Y54" s="157">
        <v>2.1118012419999999E-2</v>
      </c>
      <c r="Z54" s="158">
        <v>0.47080745340000002</v>
      </c>
      <c r="AA54" s="156">
        <v>0.51304347829999997</v>
      </c>
      <c r="AB54" s="156">
        <v>0</v>
      </c>
      <c r="AC54" s="156">
        <v>0</v>
      </c>
      <c r="AD54" s="156">
        <v>2.48447205E-3</v>
      </c>
      <c r="AE54" s="156">
        <v>0</v>
      </c>
      <c r="AF54" s="159">
        <v>1.3664596270000001E-2</v>
      </c>
      <c r="AG54" s="155">
        <v>0.1210013908</v>
      </c>
      <c r="AH54" s="156">
        <v>0</v>
      </c>
      <c r="AI54" s="156">
        <v>0</v>
      </c>
      <c r="AJ54" s="156">
        <v>1.947148818E-2</v>
      </c>
      <c r="AK54" s="156">
        <v>0.44923504869999997</v>
      </c>
      <c r="AL54" s="156">
        <v>0.30737134910000002</v>
      </c>
      <c r="AM54" s="157">
        <v>0.10292072319999999</v>
      </c>
      <c r="AN54" s="158">
        <v>0.1418636996</v>
      </c>
      <c r="AO54" s="156">
        <v>0</v>
      </c>
      <c r="AP54" s="156">
        <v>0</v>
      </c>
      <c r="AQ54" s="156">
        <v>0</v>
      </c>
      <c r="AR54" s="156">
        <v>0.43810848400000002</v>
      </c>
      <c r="AS54" s="156">
        <v>0.3031988873</v>
      </c>
      <c r="AT54" s="159">
        <v>0.11682892910000001</v>
      </c>
    </row>
    <row r="55" spans="1:46" ht="12.75">
      <c r="A55" s="67" t="s">
        <v>19</v>
      </c>
      <c r="B55" s="67" t="s">
        <v>19</v>
      </c>
      <c r="C55" s="67" t="s">
        <v>208</v>
      </c>
      <c r="D55" s="67" t="s">
        <v>208</v>
      </c>
      <c r="E55" s="155">
        <v>0.43916913950000003</v>
      </c>
      <c r="F55" s="156">
        <v>0.48902077150000001</v>
      </c>
      <c r="G55" s="156">
        <v>3.3234421360000002E-2</v>
      </c>
      <c r="H55" s="156">
        <v>4.1543026709999998E-3</v>
      </c>
      <c r="I55" s="156">
        <v>0</v>
      </c>
      <c r="J55" s="156">
        <v>0</v>
      </c>
      <c r="K55" s="157">
        <v>3.4421364990000002E-2</v>
      </c>
      <c r="L55" s="158">
        <v>0.4237588652</v>
      </c>
      <c r="M55" s="156">
        <v>0.51359338060000004</v>
      </c>
      <c r="N55" s="156">
        <v>2.6595744679999998E-2</v>
      </c>
      <c r="O55" s="156">
        <v>0</v>
      </c>
      <c r="P55" s="156">
        <v>0</v>
      </c>
      <c r="Q55" s="156">
        <v>0</v>
      </c>
      <c r="R55" s="159">
        <v>3.6052009459999999E-2</v>
      </c>
      <c r="S55" s="155">
        <v>0.43436754179999998</v>
      </c>
      <c r="T55" s="156">
        <v>0.53162291169999998</v>
      </c>
      <c r="U55" s="156">
        <v>0</v>
      </c>
      <c r="V55" s="156">
        <v>0</v>
      </c>
      <c r="W55" s="156">
        <v>8.9498806679999994E-3</v>
      </c>
      <c r="X55" s="156">
        <v>0</v>
      </c>
      <c r="Y55" s="157">
        <v>2.5059665870000001E-2</v>
      </c>
      <c r="Z55" s="158">
        <v>0.44093078759999998</v>
      </c>
      <c r="AA55" s="156">
        <v>0.53579952269999997</v>
      </c>
      <c r="AB55" s="156">
        <v>0</v>
      </c>
      <c r="AC55" s="156">
        <v>0</v>
      </c>
      <c r="AD55" s="156">
        <v>9.5465393789999995E-3</v>
      </c>
      <c r="AE55" s="156">
        <v>0</v>
      </c>
      <c r="AF55" s="159">
        <v>1.372315036E-2</v>
      </c>
      <c r="AG55" s="155">
        <v>0.15462962960000001</v>
      </c>
      <c r="AH55" s="156">
        <v>0</v>
      </c>
      <c r="AI55" s="156">
        <v>0</v>
      </c>
      <c r="AJ55" s="156">
        <v>1.7592592590000001E-2</v>
      </c>
      <c r="AK55" s="156">
        <v>0.44074074070000002</v>
      </c>
      <c r="AL55" s="156">
        <v>0.31944444440000003</v>
      </c>
      <c r="AM55" s="157">
        <v>6.759259259E-2</v>
      </c>
      <c r="AN55" s="158">
        <v>0.13425925929999999</v>
      </c>
      <c r="AO55" s="156">
        <v>0</v>
      </c>
      <c r="AP55" s="156">
        <v>0</v>
      </c>
      <c r="AQ55" s="156">
        <v>0</v>
      </c>
      <c r="AR55" s="156">
        <v>0.41203703699999999</v>
      </c>
      <c r="AS55" s="156">
        <v>0.31574074070000002</v>
      </c>
      <c r="AT55" s="159">
        <v>0.13796296299999999</v>
      </c>
    </row>
    <row r="56" spans="1:46" ht="12.75">
      <c r="A56" s="67" t="s">
        <v>19</v>
      </c>
      <c r="B56" s="67" t="s">
        <v>19</v>
      </c>
      <c r="C56" s="67" t="s">
        <v>211</v>
      </c>
      <c r="D56" s="67" t="s">
        <v>214</v>
      </c>
      <c r="E56" s="155">
        <v>0.5136612022</v>
      </c>
      <c r="F56" s="156">
        <v>0.41530054640000003</v>
      </c>
      <c r="G56" s="156">
        <v>2.9143898000000001E-2</v>
      </c>
      <c r="H56" s="156">
        <v>5.4644808739999998E-3</v>
      </c>
      <c r="I56" s="156">
        <v>0</v>
      </c>
      <c r="J56" s="156">
        <v>0</v>
      </c>
      <c r="K56" s="157">
        <v>3.6429872500000002E-2</v>
      </c>
      <c r="L56" s="158">
        <v>0.50091074680000003</v>
      </c>
      <c r="M56" s="156">
        <v>0.4535519126</v>
      </c>
      <c r="N56" s="156">
        <v>9.107468124E-3</v>
      </c>
      <c r="O56" s="156">
        <v>0</v>
      </c>
      <c r="P56" s="156">
        <v>0</v>
      </c>
      <c r="Q56" s="156">
        <v>0</v>
      </c>
      <c r="R56" s="159">
        <v>3.6429872500000002E-2</v>
      </c>
      <c r="S56" s="155">
        <v>0.3824130879</v>
      </c>
      <c r="T56" s="156">
        <v>0.5582822086</v>
      </c>
      <c r="U56" s="156">
        <v>0</v>
      </c>
      <c r="V56" s="156">
        <v>0</v>
      </c>
      <c r="W56" s="156">
        <v>8.1799591000000001E-3</v>
      </c>
      <c r="X56" s="156">
        <v>0</v>
      </c>
      <c r="Y56" s="157">
        <v>5.1124744380000003E-2</v>
      </c>
      <c r="Z56" s="158">
        <v>0.40899795500000002</v>
      </c>
      <c r="AA56" s="156">
        <v>0.55623721879999999</v>
      </c>
      <c r="AB56" s="156">
        <v>0</v>
      </c>
      <c r="AC56" s="156">
        <v>0</v>
      </c>
      <c r="AD56" s="156">
        <v>1.0224948879999999E-2</v>
      </c>
      <c r="AE56" s="156">
        <v>0</v>
      </c>
      <c r="AF56" s="159">
        <v>2.4539877299999999E-2</v>
      </c>
      <c r="AG56" s="155">
        <v>0.17819706499999999</v>
      </c>
      <c r="AH56" s="156">
        <v>0</v>
      </c>
      <c r="AI56" s="156">
        <v>0</v>
      </c>
      <c r="AJ56" s="156">
        <v>7.3375262050000001E-3</v>
      </c>
      <c r="AK56" s="156">
        <v>0.30712788260000001</v>
      </c>
      <c r="AL56" s="156">
        <v>0.40880503140000002</v>
      </c>
      <c r="AM56" s="157">
        <v>9.8532494760000006E-2</v>
      </c>
      <c r="AN56" s="158">
        <v>0.18238993710000001</v>
      </c>
      <c r="AO56" s="156">
        <v>0</v>
      </c>
      <c r="AP56" s="156">
        <v>0</v>
      </c>
      <c r="AQ56" s="156">
        <v>0</v>
      </c>
      <c r="AR56" s="156">
        <v>0.3018867925</v>
      </c>
      <c r="AS56" s="156">
        <v>0.4339622642</v>
      </c>
      <c r="AT56" s="159">
        <v>8.1761006289999993E-2</v>
      </c>
    </row>
    <row r="57" spans="1:46" ht="12.75">
      <c r="A57" s="67" t="s">
        <v>19</v>
      </c>
      <c r="B57" s="67" t="s">
        <v>19</v>
      </c>
      <c r="C57" s="67" t="s">
        <v>211</v>
      </c>
      <c r="D57" s="67" t="s">
        <v>211</v>
      </c>
      <c r="E57" s="155">
        <v>0.35562067130000002</v>
      </c>
      <c r="F57" s="156">
        <v>0.56952583909999999</v>
      </c>
      <c r="G57" s="156">
        <v>2.9302077780000001E-2</v>
      </c>
      <c r="H57" s="156">
        <v>4.262120405E-3</v>
      </c>
      <c r="I57" s="156">
        <v>0</v>
      </c>
      <c r="J57" s="156">
        <v>0</v>
      </c>
      <c r="K57" s="157">
        <v>4.1289291419999999E-2</v>
      </c>
      <c r="L57" s="158">
        <v>0.32117177099999999</v>
      </c>
      <c r="M57" s="156">
        <v>0.61651131820000005</v>
      </c>
      <c r="N57" s="156">
        <v>2.6098535289999999E-2</v>
      </c>
      <c r="O57" s="156">
        <v>0</v>
      </c>
      <c r="P57" s="156">
        <v>0</v>
      </c>
      <c r="Q57" s="156">
        <v>0</v>
      </c>
      <c r="R57" s="159">
        <v>3.6218375499999997E-2</v>
      </c>
      <c r="S57" s="155">
        <v>0.43482224250000001</v>
      </c>
      <c r="T57" s="156">
        <v>0.53023397139999995</v>
      </c>
      <c r="U57" s="156">
        <v>0</v>
      </c>
      <c r="V57" s="156">
        <v>0</v>
      </c>
      <c r="W57" s="156">
        <v>7.9003342449999996E-3</v>
      </c>
      <c r="X57" s="156">
        <v>0</v>
      </c>
      <c r="Y57" s="157">
        <v>2.704345184E-2</v>
      </c>
      <c r="Z57" s="158">
        <v>0.43573381950000001</v>
      </c>
      <c r="AA57" s="156">
        <v>0.53357642049999998</v>
      </c>
      <c r="AB57" s="156">
        <v>0</v>
      </c>
      <c r="AC57" s="156">
        <v>0</v>
      </c>
      <c r="AD57" s="156">
        <v>1.063506533E-2</v>
      </c>
      <c r="AE57" s="156">
        <v>0</v>
      </c>
      <c r="AF57" s="159">
        <v>2.0054694620000001E-2</v>
      </c>
      <c r="AG57" s="155">
        <v>0.1982157792</v>
      </c>
      <c r="AH57" s="156">
        <v>0</v>
      </c>
      <c r="AI57" s="156">
        <v>0</v>
      </c>
      <c r="AJ57" s="156">
        <v>1.282408698E-2</v>
      </c>
      <c r="AK57" s="156">
        <v>0.28798438809999999</v>
      </c>
      <c r="AL57" s="156">
        <v>0.41176470590000003</v>
      </c>
      <c r="AM57" s="157">
        <v>8.9211039869999995E-2</v>
      </c>
      <c r="AN57" s="158">
        <v>0.1990521327</v>
      </c>
      <c r="AO57" s="156">
        <v>0</v>
      </c>
      <c r="AP57" s="156">
        <v>0</v>
      </c>
      <c r="AQ57" s="156">
        <v>0</v>
      </c>
      <c r="AR57" s="156">
        <v>0.29662670759999998</v>
      </c>
      <c r="AS57" s="156">
        <v>0.4287705604</v>
      </c>
      <c r="AT57" s="159">
        <v>7.5550599390000001E-2</v>
      </c>
    </row>
    <row r="58" spans="1:46" ht="12.75">
      <c r="A58" s="67" t="s">
        <v>19</v>
      </c>
      <c r="B58" s="67" t="s">
        <v>19</v>
      </c>
      <c r="C58" s="67" t="s">
        <v>211</v>
      </c>
      <c r="D58" s="67" t="s">
        <v>215</v>
      </c>
      <c r="E58" s="155">
        <v>0.38404255320000003</v>
      </c>
      <c r="F58" s="156">
        <v>0.55000000000000004</v>
      </c>
      <c r="G58" s="156">
        <v>2.8723404260000002E-2</v>
      </c>
      <c r="H58" s="156">
        <v>0</v>
      </c>
      <c r="I58" s="156">
        <v>0</v>
      </c>
      <c r="J58" s="156">
        <v>0</v>
      </c>
      <c r="K58" s="157">
        <v>3.7234042549999999E-2</v>
      </c>
      <c r="L58" s="158">
        <v>0.34782608700000001</v>
      </c>
      <c r="M58" s="156">
        <v>0.59597030750000002</v>
      </c>
      <c r="N58" s="156">
        <v>3.0752916219999999E-2</v>
      </c>
      <c r="O58" s="156">
        <v>0</v>
      </c>
      <c r="P58" s="156">
        <v>0</v>
      </c>
      <c r="Q58" s="156">
        <v>0</v>
      </c>
      <c r="R58" s="159">
        <v>2.5450689289999998E-2</v>
      </c>
      <c r="S58" s="155">
        <v>0.4303435115</v>
      </c>
      <c r="T58" s="156">
        <v>0.52194656490000002</v>
      </c>
      <c r="U58" s="156">
        <v>0</v>
      </c>
      <c r="V58" s="156">
        <v>0</v>
      </c>
      <c r="W58" s="156">
        <v>1.8129770989999999E-2</v>
      </c>
      <c r="X58" s="156">
        <v>0</v>
      </c>
      <c r="Y58" s="157">
        <v>2.9580152669999998E-2</v>
      </c>
      <c r="Z58" s="158">
        <v>0.41507633589999998</v>
      </c>
      <c r="AA58" s="156">
        <v>0.54293893130000004</v>
      </c>
      <c r="AB58" s="156">
        <v>0</v>
      </c>
      <c r="AC58" s="156">
        <v>0</v>
      </c>
      <c r="AD58" s="156">
        <v>1.6221374050000001E-2</v>
      </c>
      <c r="AE58" s="156">
        <v>0</v>
      </c>
      <c r="AF58" s="159">
        <v>2.5763358779999999E-2</v>
      </c>
      <c r="AG58" s="155">
        <v>0.24299065419999999</v>
      </c>
      <c r="AH58" s="156">
        <v>0</v>
      </c>
      <c r="AI58" s="156">
        <v>0</v>
      </c>
      <c r="AJ58" s="156">
        <v>1.8691588790000001E-2</v>
      </c>
      <c r="AK58" s="156">
        <v>0.25467289720000003</v>
      </c>
      <c r="AL58" s="156">
        <v>0.38200934580000001</v>
      </c>
      <c r="AM58" s="157">
        <v>0.101635514</v>
      </c>
      <c r="AN58" s="158">
        <v>0.24766355139999999</v>
      </c>
      <c r="AO58" s="156">
        <v>0</v>
      </c>
      <c r="AP58" s="156">
        <v>0</v>
      </c>
      <c r="AQ58" s="156">
        <v>0</v>
      </c>
      <c r="AR58" s="156">
        <v>0.2593457944</v>
      </c>
      <c r="AS58" s="156">
        <v>0.41238317759999998</v>
      </c>
      <c r="AT58" s="159">
        <v>8.0607476639999995E-2</v>
      </c>
    </row>
    <row r="59" spans="1:46" ht="12.75">
      <c r="A59" s="67" t="s">
        <v>19</v>
      </c>
      <c r="B59" s="67" t="s">
        <v>19</v>
      </c>
      <c r="C59" s="67" t="s">
        <v>216</v>
      </c>
      <c r="D59" s="67" t="s">
        <v>216</v>
      </c>
      <c r="E59" s="155">
        <v>0.19326500730000001</v>
      </c>
      <c r="F59" s="156">
        <v>0.65212298680000003</v>
      </c>
      <c r="G59" s="156">
        <v>0.10717423130000001</v>
      </c>
      <c r="H59" s="156">
        <v>3.8067349929999999E-3</v>
      </c>
      <c r="I59" s="156">
        <v>0</v>
      </c>
      <c r="J59" s="156">
        <v>0</v>
      </c>
      <c r="K59" s="157">
        <v>4.3631039529999999E-2</v>
      </c>
      <c r="L59" s="158">
        <v>0.16568742659999999</v>
      </c>
      <c r="M59" s="156">
        <v>0.67743830790000004</v>
      </c>
      <c r="N59" s="156">
        <v>0.1045828437</v>
      </c>
      <c r="O59" s="156">
        <v>0</v>
      </c>
      <c r="P59" s="156">
        <v>0</v>
      </c>
      <c r="Q59" s="156">
        <v>0</v>
      </c>
      <c r="R59" s="159">
        <v>5.2291421859999999E-2</v>
      </c>
      <c r="S59" s="155">
        <v>0.34496250410000001</v>
      </c>
      <c r="T59" s="156">
        <v>0.61265079879999995</v>
      </c>
      <c r="U59" s="156">
        <v>0</v>
      </c>
      <c r="V59" s="156">
        <v>0</v>
      </c>
      <c r="W59" s="156">
        <v>7.8252363870000008E-3</v>
      </c>
      <c r="X59" s="156">
        <v>0</v>
      </c>
      <c r="Y59" s="157">
        <v>3.4561460709999998E-2</v>
      </c>
      <c r="Z59" s="158">
        <v>0.34952722530000002</v>
      </c>
      <c r="AA59" s="156">
        <v>0.62308444730000001</v>
      </c>
      <c r="AB59" s="156">
        <v>0</v>
      </c>
      <c r="AC59" s="156">
        <v>0</v>
      </c>
      <c r="AD59" s="156">
        <v>5.5428757739999996E-3</v>
      </c>
      <c r="AE59" s="156">
        <v>0</v>
      </c>
      <c r="AF59" s="159">
        <v>2.1845451580000001E-2</v>
      </c>
      <c r="AG59" s="155">
        <v>0.13132530119999999</v>
      </c>
      <c r="AH59" s="156">
        <v>0</v>
      </c>
      <c r="AI59" s="156">
        <v>0</v>
      </c>
      <c r="AJ59" s="156">
        <v>7.6305220880000003E-3</v>
      </c>
      <c r="AK59" s="156">
        <v>0.26224899600000001</v>
      </c>
      <c r="AL59" s="156">
        <v>0.5020080321</v>
      </c>
      <c r="AM59" s="157">
        <v>9.6787148589999997E-2</v>
      </c>
      <c r="AN59" s="158">
        <v>0.1401606426</v>
      </c>
      <c r="AO59" s="156">
        <v>0</v>
      </c>
      <c r="AP59" s="156">
        <v>0</v>
      </c>
      <c r="AQ59" s="156">
        <v>0</v>
      </c>
      <c r="AR59" s="156">
        <v>0.2510040161</v>
      </c>
      <c r="AS59" s="156">
        <v>0.53373493979999997</v>
      </c>
      <c r="AT59" s="159">
        <v>7.5100401610000006E-2</v>
      </c>
    </row>
    <row r="60" spans="1:46" ht="12.75">
      <c r="A60" s="67" t="s">
        <v>19</v>
      </c>
      <c r="B60" s="67" t="s">
        <v>19</v>
      </c>
      <c r="C60" s="67" t="s">
        <v>218</v>
      </c>
      <c r="D60" s="67" t="s">
        <v>218</v>
      </c>
      <c r="E60" s="155">
        <v>0.43036837379999998</v>
      </c>
      <c r="F60" s="156">
        <v>0.51572327039999999</v>
      </c>
      <c r="G60" s="156">
        <v>2.3360287510000001E-2</v>
      </c>
      <c r="H60" s="156">
        <v>3.593890386E-3</v>
      </c>
      <c r="I60" s="156">
        <v>0</v>
      </c>
      <c r="J60" s="156">
        <v>0</v>
      </c>
      <c r="K60" s="157">
        <v>2.6954177900000001E-2</v>
      </c>
      <c r="L60" s="158">
        <v>0.41060197659999997</v>
      </c>
      <c r="M60" s="156">
        <v>0.54447439350000004</v>
      </c>
      <c r="N60" s="156">
        <v>2.1563342320000001E-2</v>
      </c>
      <c r="O60" s="156">
        <v>0</v>
      </c>
      <c r="P60" s="156">
        <v>0</v>
      </c>
      <c r="Q60" s="156">
        <v>0</v>
      </c>
      <c r="R60" s="159">
        <v>2.3360287510000001E-2</v>
      </c>
      <c r="S60" s="155">
        <v>0.42571428569999997</v>
      </c>
      <c r="T60" s="156">
        <v>0.52380952380000001</v>
      </c>
      <c r="U60" s="156">
        <v>0</v>
      </c>
      <c r="V60" s="156">
        <v>0</v>
      </c>
      <c r="W60" s="156">
        <v>2.571428571E-2</v>
      </c>
      <c r="X60" s="156">
        <v>0</v>
      </c>
      <c r="Y60" s="157">
        <v>2.4761904760000002E-2</v>
      </c>
      <c r="Z60" s="158">
        <v>0.440952381</v>
      </c>
      <c r="AA60" s="156">
        <v>0.52</v>
      </c>
      <c r="AB60" s="156">
        <v>0</v>
      </c>
      <c r="AC60" s="156">
        <v>0</v>
      </c>
      <c r="AD60" s="156">
        <v>2.571428571E-2</v>
      </c>
      <c r="AE60" s="156">
        <v>0</v>
      </c>
      <c r="AF60" s="159">
        <v>1.3333333330000001E-2</v>
      </c>
      <c r="AG60" s="155">
        <v>0.27231121279999998</v>
      </c>
      <c r="AH60" s="156">
        <v>0</v>
      </c>
      <c r="AI60" s="156">
        <v>0</v>
      </c>
      <c r="AJ60" s="156">
        <v>2.2883295190000001E-3</v>
      </c>
      <c r="AK60" s="156">
        <v>0.14187643019999999</v>
      </c>
      <c r="AL60" s="156">
        <v>0.54233409610000005</v>
      </c>
      <c r="AM60" s="157">
        <v>4.118993135E-2</v>
      </c>
      <c r="AN60" s="158">
        <v>0.26086956519999999</v>
      </c>
      <c r="AO60" s="156">
        <v>0</v>
      </c>
      <c r="AP60" s="156">
        <v>0</v>
      </c>
      <c r="AQ60" s="156">
        <v>0</v>
      </c>
      <c r="AR60" s="156">
        <v>0.14416475970000001</v>
      </c>
      <c r="AS60" s="156">
        <v>0.53775743710000001</v>
      </c>
      <c r="AT60" s="159">
        <v>5.7208237990000001E-2</v>
      </c>
    </row>
    <row r="61" spans="1:46" ht="12.75">
      <c r="A61" s="67" t="s">
        <v>19</v>
      </c>
      <c r="B61" s="67" t="s">
        <v>220</v>
      </c>
      <c r="C61" s="67" t="s">
        <v>221</v>
      </c>
      <c r="D61" s="67" t="s">
        <v>221</v>
      </c>
      <c r="E61" s="155">
        <v>0.4995663487</v>
      </c>
      <c r="F61" s="156">
        <v>0.44666088459999997</v>
      </c>
      <c r="G61" s="156">
        <v>1.6478751079999999E-2</v>
      </c>
      <c r="H61" s="156">
        <v>1.734605377E-3</v>
      </c>
      <c r="I61" s="156">
        <v>0</v>
      </c>
      <c r="J61" s="156">
        <v>0</v>
      </c>
      <c r="K61" s="157">
        <v>3.5559410229999998E-2</v>
      </c>
      <c r="L61" s="158">
        <v>0.46660884650000001</v>
      </c>
      <c r="M61" s="156">
        <v>0.49349522979999999</v>
      </c>
      <c r="N61" s="156">
        <v>1.6478751079999999E-2</v>
      </c>
      <c r="O61" s="156">
        <v>0</v>
      </c>
      <c r="P61" s="156">
        <v>0</v>
      </c>
      <c r="Q61" s="156">
        <v>0</v>
      </c>
      <c r="R61" s="159">
        <v>2.341717259E-2</v>
      </c>
      <c r="S61" s="155">
        <v>0.34161490680000001</v>
      </c>
      <c r="T61" s="156">
        <v>0.61076604550000002</v>
      </c>
      <c r="U61" s="156">
        <v>0</v>
      </c>
      <c r="V61" s="156">
        <v>0</v>
      </c>
      <c r="W61" s="156">
        <v>1.501035197E-2</v>
      </c>
      <c r="X61" s="156">
        <v>0</v>
      </c>
      <c r="Y61" s="157">
        <v>3.2608695649999998E-2</v>
      </c>
      <c r="Z61" s="158">
        <v>0.33126294000000001</v>
      </c>
      <c r="AA61" s="156">
        <v>0.63871635609999999</v>
      </c>
      <c r="AB61" s="156">
        <v>0</v>
      </c>
      <c r="AC61" s="156">
        <v>0</v>
      </c>
      <c r="AD61" s="156">
        <v>1.138716356E-2</v>
      </c>
      <c r="AE61" s="156">
        <v>0</v>
      </c>
      <c r="AF61" s="159">
        <v>1.863354037E-2</v>
      </c>
      <c r="AG61" s="155">
        <v>4.5454545450000002E-2</v>
      </c>
      <c r="AH61" s="156">
        <v>0</v>
      </c>
      <c r="AI61" s="156">
        <v>0</v>
      </c>
      <c r="AJ61" s="156">
        <v>7.3710073710000004E-3</v>
      </c>
      <c r="AK61" s="156">
        <v>0.42567567569999998</v>
      </c>
      <c r="AL61" s="156">
        <v>0.43181818179999998</v>
      </c>
      <c r="AM61" s="157">
        <v>8.9680589680000006E-2</v>
      </c>
      <c r="AN61" s="158">
        <v>5.6511056509999998E-2</v>
      </c>
      <c r="AO61" s="156">
        <v>0</v>
      </c>
      <c r="AP61" s="156">
        <v>0</v>
      </c>
      <c r="AQ61" s="156">
        <v>0</v>
      </c>
      <c r="AR61" s="156">
        <v>0.40049140049999998</v>
      </c>
      <c r="AS61" s="156">
        <v>0.45024570019999999</v>
      </c>
      <c r="AT61" s="159">
        <v>9.2751842749999994E-2</v>
      </c>
    </row>
    <row r="62" spans="1:46" ht="12.75">
      <c r="A62" s="67" t="s">
        <v>19</v>
      </c>
      <c r="B62" s="67" t="s">
        <v>220</v>
      </c>
      <c r="C62" s="67" t="s">
        <v>223</v>
      </c>
      <c r="D62" s="67" t="s">
        <v>223</v>
      </c>
      <c r="E62" s="155">
        <v>0.2458801988</v>
      </c>
      <c r="F62" s="156">
        <v>0.53544336910000001</v>
      </c>
      <c r="G62" s="156">
        <v>0.15956055450000001</v>
      </c>
      <c r="H62" s="156">
        <v>4.4467695529999997E-3</v>
      </c>
      <c r="I62" s="156">
        <v>0</v>
      </c>
      <c r="J62" s="156">
        <v>0</v>
      </c>
      <c r="K62" s="157">
        <v>5.4669108030000003E-2</v>
      </c>
      <c r="L62" s="158">
        <v>0.18597959720000001</v>
      </c>
      <c r="M62" s="156">
        <v>0.54669108030000002</v>
      </c>
      <c r="N62" s="156">
        <v>0.1953962856</v>
      </c>
      <c r="O62" s="156">
        <v>0</v>
      </c>
      <c r="P62" s="156">
        <v>0</v>
      </c>
      <c r="Q62" s="156">
        <v>0</v>
      </c>
      <c r="R62" s="159">
        <v>7.1933036879999995E-2</v>
      </c>
      <c r="S62" s="155">
        <v>0.4057061341</v>
      </c>
      <c r="T62" s="156">
        <v>0.54978601999999999</v>
      </c>
      <c r="U62" s="156">
        <v>0</v>
      </c>
      <c r="V62" s="156">
        <v>0</v>
      </c>
      <c r="W62" s="156">
        <v>7.1326676179999998E-3</v>
      </c>
      <c r="X62" s="156">
        <v>0</v>
      </c>
      <c r="Y62" s="157">
        <v>3.7375178320000001E-2</v>
      </c>
      <c r="Z62" s="158">
        <v>0.41027104139999998</v>
      </c>
      <c r="AA62" s="156">
        <v>0.56291012839999999</v>
      </c>
      <c r="AB62" s="156">
        <v>0</v>
      </c>
      <c r="AC62" s="156">
        <v>0</v>
      </c>
      <c r="AD62" s="156">
        <v>5.7061340940000004E-3</v>
      </c>
      <c r="AE62" s="156">
        <v>0</v>
      </c>
      <c r="AF62" s="159">
        <v>2.1112696149999999E-2</v>
      </c>
      <c r="AG62" s="155">
        <v>0.10584307179999999</v>
      </c>
      <c r="AH62" s="156">
        <v>0</v>
      </c>
      <c r="AI62" s="156">
        <v>0</v>
      </c>
      <c r="AJ62" s="156">
        <v>1.2353923209999999E-2</v>
      </c>
      <c r="AK62" s="156">
        <v>0.3943238731</v>
      </c>
      <c r="AL62" s="156">
        <v>0.42470784639999998</v>
      </c>
      <c r="AM62" s="157">
        <v>6.2771285479999994E-2</v>
      </c>
      <c r="AN62" s="158">
        <v>0.111481976</v>
      </c>
      <c r="AO62" s="156">
        <v>0</v>
      </c>
      <c r="AP62" s="156">
        <v>0</v>
      </c>
      <c r="AQ62" s="156">
        <v>0</v>
      </c>
      <c r="AR62" s="156">
        <v>0.39786381840000001</v>
      </c>
      <c r="AS62" s="156">
        <v>0.43658210949999998</v>
      </c>
      <c r="AT62" s="159">
        <v>5.4072096129999997E-2</v>
      </c>
    </row>
    <row r="63" spans="1:46" ht="12.75">
      <c r="A63" s="67" t="s">
        <v>19</v>
      </c>
      <c r="B63" s="67" t="s">
        <v>220</v>
      </c>
      <c r="C63" s="67" t="s">
        <v>226</v>
      </c>
      <c r="D63" s="67" t="s">
        <v>226</v>
      </c>
      <c r="E63" s="155">
        <v>0.3660245184</v>
      </c>
      <c r="F63" s="156">
        <v>0.47250437830000003</v>
      </c>
      <c r="G63" s="156">
        <v>8.8616462349999994E-2</v>
      </c>
      <c r="H63" s="156">
        <v>3.8528896669999999E-3</v>
      </c>
      <c r="I63" s="156">
        <v>0</v>
      </c>
      <c r="J63" s="156">
        <v>0</v>
      </c>
      <c r="K63" s="157">
        <v>6.9001751309999998E-2</v>
      </c>
      <c r="L63" s="158">
        <v>0.31803852890000001</v>
      </c>
      <c r="M63" s="156">
        <v>0.4991243433</v>
      </c>
      <c r="N63" s="156">
        <v>8.9316987740000006E-2</v>
      </c>
      <c r="O63" s="156">
        <v>0</v>
      </c>
      <c r="P63" s="156">
        <v>0</v>
      </c>
      <c r="Q63" s="156">
        <v>0</v>
      </c>
      <c r="R63" s="159">
        <v>9.3520140109999997E-2</v>
      </c>
      <c r="S63" s="155">
        <v>0.34938366720000003</v>
      </c>
      <c r="T63" s="156">
        <v>0.58050847459999999</v>
      </c>
      <c r="U63" s="156">
        <v>0</v>
      </c>
      <c r="V63" s="156">
        <v>0</v>
      </c>
      <c r="W63" s="156">
        <v>2.4268104780000001E-2</v>
      </c>
      <c r="X63" s="156">
        <v>0</v>
      </c>
      <c r="Y63" s="157">
        <v>4.5839753470000001E-2</v>
      </c>
      <c r="Z63" s="158">
        <v>0.3667180277</v>
      </c>
      <c r="AA63" s="156">
        <v>0.5878274268</v>
      </c>
      <c r="AB63" s="156">
        <v>0</v>
      </c>
      <c r="AC63" s="156">
        <v>0</v>
      </c>
      <c r="AD63" s="156">
        <v>1.2326656389999999E-2</v>
      </c>
      <c r="AE63" s="156">
        <v>0</v>
      </c>
      <c r="AF63" s="159">
        <v>3.3127889059999999E-2</v>
      </c>
      <c r="AG63" s="155">
        <v>0.16136261769999999</v>
      </c>
      <c r="AH63" s="156">
        <v>0</v>
      </c>
      <c r="AI63" s="156">
        <v>0</v>
      </c>
      <c r="AJ63" s="156">
        <v>8.5163603769999995E-3</v>
      </c>
      <c r="AK63" s="156">
        <v>0.38189152850000002</v>
      </c>
      <c r="AL63" s="156">
        <v>0.35230838190000002</v>
      </c>
      <c r="AM63" s="157">
        <v>9.5921111609999998E-2</v>
      </c>
      <c r="AN63" s="158">
        <v>0.16943074850000001</v>
      </c>
      <c r="AO63" s="156">
        <v>0</v>
      </c>
      <c r="AP63" s="156">
        <v>0</v>
      </c>
      <c r="AQ63" s="156">
        <v>0</v>
      </c>
      <c r="AR63" s="156">
        <v>0.3774092335</v>
      </c>
      <c r="AS63" s="156">
        <v>0.37471985660000001</v>
      </c>
      <c r="AT63" s="159">
        <v>7.8440161359999996E-2</v>
      </c>
    </row>
    <row r="64" spans="1:46" ht="12.75">
      <c r="A64" s="67" t="s">
        <v>19</v>
      </c>
      <c r="B64" s="67" t="s">
        <v>220</v>
      </c>
      <c r="C64" s="67" t="s">
        <v>228</v>
      </c>
      <c r="D64" s="67" t="s">
        <v>228</v>
      </c>
      <c r="E64" s="155">
        <v>0.38535371489999998</v>
      </c>
      <c r="F64" s="156">
        <v>0.44436544610000001</v>
      </c>
      <c r="G64" s="156">
        <v>0.1265552791</v>
      </c>
      <c r="H64" s="156">
        <v>2.1329541410000001E-3</v>
      </c>
      <c r="I64" s="156">
        <v>0</v>
      </c>
      <c r="J64" s="156">
        <v>0</v>
      </c>
      <c r="K64" s="157">
        <v>4.1592605759999998E-2</v>
      </c>
      <c r="L64" s="158">
        <v>0.34157226229999998</v>
      </c>
      <c r="M64" s="156">
        <v>0.4977686234</v>
      </c>
      <c r="N64" s="156">
        <v>0.12598695500000001</v>
      </c>
      <c r="O64" s="156">
        <v>0</v>
      </c>
      <c r="P64" s="156">
        <v>0</v>
      </c>
      <c r="Q64" s="156">
        <v>0</v>
      </c>
      <c r="R64" s="159">
        <v>3.4672159289999997E-2</v>
      </c>
      <c r="S64" s="155">
        <v>0.47636496890000002</v>
      </c>
      <c r="T64" s="156">
        <v>0.46170758519999999</v>
      </c>
      <c r="U64" s="156">
        <v>0</v>
      </c>
      <c r="V64" s="156">
        <v>0</v>
      </c>
      <c r="W64" s="156">
        <v>1.245877611E-2</v>
      </c>
      <c r="X64" s="156">
        <v>0</v>
      </c>
      <c r="Y64" s="157">
        <v>4.946866984E-2</v>
      </c>
      <c r="Z64" s="158">
        <v>0.4862587028</v>
      </c>
      <c r="AA64" s="156">
        <v>0.47489923049999999</v>
      </c>
      <c r="AB64" s="156">
        <v>0</v>
      </c>
      <c r="AC64" s="156">
        <v>0</v>
      </c>
      <c r="AD64" s="156">
        <v>9.8937339679999996E-3</v>
      </c>
      <c r="AE64" s="156">
        <v>0</v>
      </c>
      <c r="AF64" s="159">
        <v>2.8948332720000001E-2</v>
      </c>
      <c r="AG64" s="155">
        <v>7.0728589689999996E-2</v>
      </c>
      <c r="AH64" s="156">
        <v>0</v>
      </c>
      <c r="AI64" s="156">
        <v>0</v>
      </c>
      <c r="AJ64" s="156">
        <v>1.193012356E-2</v>
      </c>
      <c r="AK64" s="156">
        <v>0.35364294839999999</v>
      </c>
      <c r="AL64" s="156">
        <v>0.45973583299999998</v>
      </c>
      <c r="AM64" s="157">
        <v>0.10396250529999999</v>
      </c>
      <c r="AN64" s="158">
        <v>7.0302513849999998E-2</v>
      </c>
      <c r="AO64" s="156">
        <v>0</v>
      </c>
      <c r="AP64" s="156">
        <v>0</v>
      </c>
      <c r="AQ64" s="156">
        <v>0</v>
      </c>
      <c r="AR64" s="156">
        <v>0.31146144009999999</v>
      </c>
      <c r="AS64" s="156">
        <v>0.43843204089999999</v>
      </c>
      <c r="AT64" s="159">
        <v>0.1798040051</v>
      </c>
    </row>
    <row r="65" spans="1:46" ht="12.75">
      <c r="A65" s="67" t="s">
        <v>19</v>
      </c>
      <c r="B65" s="67" t="s">
        <v>220</v>
      </c>
      <c r="C65" s="67" t="s">
        <v>230</v>
      </c>
      <c r="D65" s="67" t="s">
        <v>231</v>
      </c>
      <c r="E65" s="155">
        <v>0.60025220680000002</v>
      </c>
      <c r="F65" s="156">
        <v>0.332492644</v>
      </c>
      <c r="G65" s="156">
        <v>2.101723413E-2</v>
      </c>
      <c r="H65" s="156">
        <v>2.9424127780000001E-3</v>
      </c>
      <c r="I65" s="156">
        <v>0</v>
      </c>
      <c r="J65" s="156">
        <v>0</v>
      </c>
      <c r="K65" s="157">
        <v>4.3295502309999997E-2</v>
      </c>
      <c r="L65" s="158">
        <v>0.51828499370000003</v>
      </c>
      <c r="M65" s="156">
        <v>0.41992433800000001</v>
      </c>
      <c r="N65" s="156">
        <v>2.437999159E-2</v>
      </c>
      <c r="O65" s="156">
        <v>0</v>
      </c>
      <c r="P65" s="156">
        <v>0</v>
      </c>
      <c r="Q65" s="156">
        <v>0</v>
      </c>
      <c r="R65" s="159">
        <v>3.7410676750000003E-2</v>
      </c>
      <c r="S65" s="155">
        <v>0.42404473440000001</v>
      </c>
      <c r="T65" s="156">
        <v>0.53168685930000004</v>
      </c>
      <c r="U65" s="156">
        <v>0</v>
      </c>
      <c r="V65" s="156">
        <v>0</v>
      </c>
      <c r="W65" s="156">
        <v>1.1649580620000001E-2</v>
      </c>
      <c r="X65" s="156">
        <v>0</v>
      </c>
      <c r="Y65" s="157">
        <v>3.2618825720000001E-2</v>
      </c>
      <c r="Z65" s="158">
        <v>0.41724941719999997</v>
      </c>
      <c r="AA65" s="156">
        <v>0.55151515149999997</v>
      </c>
      <c r="AB65" s="156">
        <v>0</v>
      </c>
      <c r="AC65" s="156">
        <v>0</v>
      </c>
      <c r="AD65" s="156">
        <v>7.9254079250000008E-3</v>
      </c>
      <c r="AE65" s="156">
        <v>0</v>
      </c>
      <c r="AF65" s="159">
        <v>2.3310023310000001E-2</v>
      </c>
      <c r="AG65" s="155">
        <v>0.34754262790000001</v>
      </c>
      <c r="AH65" s="156">
        <v>0</v>
      </c>
      <c r="AI65" s="156">
        <v>0</v>
      </c>
      <c r="AJ65" s="156">
        <v>1.755265797E-2</v>
      </c>
      <c r="AK65" s="156">
        <v>0.40772316949999998</v>
      </c>
      <c r="AL65" s="156">
        <v>0.16148445340000001</v>
      </c>
      <c r="AM65" s="157">
        <v>6.5697091269999994E-2</v>
      </c>
      <c r="AN65" s="158">
        <v>0.3610832497</v>
      </c>
      <c r="AO65" s="156">
        <v>0</v>
      </c>
      <c r="AP65" s="156">
        <v>0</v>
      </c>
      <c r="AQ65" s="156">
        <v>0</v>
      </c>
      <c r="AR65" s="156">
        <v>0.4052156469</v>
      </c>
      <c r="AS65" s="156">
        <v>0.1634904714</v>
      </c>
      <c r="AT65" s="159">
        <v>7.0210631900000001E-2</v>
      </c>
    </row>
    <row r="66" spans="1:46" ht="12.75">
      <c r="A66" s="67" t="s">
        <v>19</v>
      </c>
      <c r="B66" s="67" t="s">
        <v>220</v>
      </c>
      <c r="C66" s="67" t="s">
        <v>230</v>
      </c>
      <c r="D66" s="67" t="s">
        <v>230</v>
      </c>
      <c r="E66" s="155">
        <v>0.62117317130000005</v>
      </c>
      <c r="F66" s="156">
        <v>0.27459686840000003</v>
      </c>
      <c r="G66" s="156">
        <v>4.744099089E-2</v>
      </c>
      <c r="H66" s="156">
        <v>5.1413881749999999E-3</v>
      </c>
      <c r="I66" s="156">
        <v>0</v>
      </c>
      <c r="J66" s="156">
        <v>0</v>
      </c>
      <c r="K66" s="157">
        <v>5.1647581210000001E-2</v>
      </c>
      <c r="L66" s="158">
        <v>0.54241645240000003</v>
      </c>
      <c r="M66" s="156">
        <v>0.35218508999999998</v>
      </c>
      <c r="N66" s="156">
        <v>6.052816079E-2</v>
      </c>
      <c r="O66" s="156">
        <v>0</v>
      </c>
      <c r="P66" s="156">
        <v>0</v>
      </c>
      <c r="Q66" s="156">
        <v>0</v>
      </c>
      <c r="R66" s="159">
        <v>4.4870296800000001E-2</v>
      </c>
      <c r="S66" s="155">
        <v>0.44475446429999999</v>
      </c>
      <c r="T66" s="156">
        <v>0.48521205360000003</v>
      </c>
      <c r="U66" s="156">
        <v>0</v>
      </c>
      <c r="V66" s="156">
        <v>0</v>
      </c>
      <c r="W66" s="156">
        <v>7.2544642860000001E-3</v>
      </c>
      <c r="X66" s="156">
        <v>0</v>
      </c>
      <c r="Y66" s="157">
        <v>6.2779017859999994E-2</v>
      </c>
      <c r="Z66" s="158">
        <v>0.47154017860000003</v>
      </c>
      <c r="AA66" s="156">
        <v>0.474609375</v>
      </c>
      <c r="AB66" s="156">
        <v>0</v>
      </c>
      <c r="AC66" s="156">
        <v>0</v>
      </c>
      <c r="AD66" s="156">
        <v>8.0915178569999999E-3</v>
      </c>
      <c r="AE66" s="156">
        <v>0</v>
      </c>
      <c r="AF66" s="159">
        <v>4.5758928570000003E-2</v>
      </c>
      <c r="AG66" s="155">
        <v>0.34162520730000001</v>
      </c>
      <c r="AH66" s="156">
        <v>0</v>
      </c>
      <c r="AI66" s="156">
        <v>0</v>
      </c>
      <c r="AJ66" s="156">
        <v>1.75787728E-2</v>
      </c>
      <c r="AK66" s="156">
        <v>0.30945273629999998</v>
      </c>
      <c r="AL66" s="156">
        <v>0.24742951909999999</v>
      </c>
      <c r="AM66" s="157">
        <v>8.3913764510000002E-2</v>
      </c>
      <c r="AN66" s="158">
        <v>0.34958540630000001</v>
      </c>
      <c r="AO66" s="156">
        <v>0</v>
      </c>
      <c r="AP66" s="156">
        <v>0</v>
      </c>
      <c r="AQ66" s="156">
        <v>0</v>
      </c>
      <c r="AR66" s="156">
        <v>0.3124378109</v>
      </c>
      <c r="AS66" s="156">
        <v>0.26235489220000002</v>
      </c>
      <c r="AT66" s="159">
        <v>7.5621890550000001E-2</v>
      </c>
    </row>
    <row r="67" spans="1:46" ht="12.75">
      <c r="A67" s="67" t="s">
        <v>19</v>
      </c>
      <c r="B67" s="67" t="s">
        <v>220</v>
      </c>
      <c r="C67" s="67" t="s">
        <v>230</v>
      </c>
      <c r="D67" s="67" t="s">
        <v>220</v>
      </c>
      <c r="E67" s="155">
        <v>0.54493801649999996</v>
      </c>
      <c r="F67" s="156">
        <v>0.35123966940000001</v>
      </c>
      <c r="G67" s="156">
        <v>6.3016528929999996E-2</v>
      </c>
      <c r="H67" s="156">
        <v>4.9070247930000001E-3</v>
      </c>
      <c r="I67" s="156">
        <v>0</v>
      </c>
      <c r="J67" s="156">
        <v>0</v>
      </c>
      <c r="K67" s="157">
        <v>3.5898760330000001E-2</v>
      </c>
      <c r="L67" s="158">
        <v>0.46346501420000003</v>
      </c>
      <c r="M67" s="156">
        <v>0.43661244510000002</v>
      </c>
      <c r="N67" s="156">
        <v>6.8164213789999997E-2</v>
      </c>
      <c r="O67" s="156">
        <v>0</v>
      </c>
      <c r="P67" s="156">
        <v>0</v>
      </c>
      <c r="Q67" s="156">
        <v>0</v>
      </c>
      <c r="R67" s="159">
        <v>3.175832688E-2</v>
      </c>
      <c r="S67" s="155">
        <v>0.34051105370000001</v>
      </c>
      <c r="T67" s="156">
        <v>0.60723514209999996</v>
      </c>
      <c r="U67" s="156">
        <v>0</v>
      </c>
      <c r="V67" s="156">
        <v>0</v>
      </c>
      <c r="W67" s="156">
        <v>1.20585702E-2</v>
      </c>
      <c r="X67" s="156">
        <v>0</v>
      </c>
      <c r="Y67" s="157">
        <v>4.0195233990000002E-2</v>
      </c>
      <c r="Z67" s="158">
        <v>0.33333333329999998</v>
      </c>
      <c r="AA67" s="156">
        <v>0.63049095610000006</v>
      </c>
      <c r="AB67" s="156">
        <v>0</v>
      </c>
      <c r="AC67" s="156">
        <v>0</v>
      </c>
      <c r="AD67" s="156">
        <v>9.4745908700000006E-3</v>
      </c>
      <c r="AE67" s="156">
        <v>0</v>
      </c>
      <c r="AF67" s="159">
        <v>2.6701119719999999E-2</v>
      </c>
      <c r="AG67" s="155">
        <v>0.13708149080000001</v>
      </c>
      <c r="AH67" s="156">
        <v>0</v>
      </c>
      <c r="AI67" s="156">
        <v>0</v>
      </c>
      <c r="AJ67" s="156">
        <v>1.263423879E-2</v>
      </c>
      <c r="AK67" s="156">
        <v>0.4557801642</v>
      </c>
      <c r="AL67" s="156">
        <v>0.3082754264</v>
      </c>
      <c r="AM67" s="157">
        <v>8.6228679720000007E-2</v>
      </c>
      <c r="AN67" s="158">
        <v>0.14497789010000001</v>
      </c>
      <c r="AO67" s="156">
        <v>0</v>
      </c>
      <c r="AP67" s="156">
        <v>0</v>
      </c>
      <c r="AQ67" s="156">
        <v>0</v>
      </c>
      <c r="AR67" s="156">
        <v>0.45767530010000002</v>
      </c>
      <c r="AS67" s="156">
        <v>0.32596336069999998</v>
      </c>
      <c r="AT67" s="159">
        <v>7.138344915E-2</v>
      </c>
    </row>
    <row r="68" spans="1:46" ht="12.75">
      <c r="A68" s="67" t="s">
        <v>19</v>
      </c>
      <c r="B68" s="67" t="s">
        <v>220</v>
      </c>
      <c r="C68" s="67" t="s">
        <v>233</v>
      </c>
      <c r="D68" s="67" t="s">
        <v>233</v>
      </c>
      <c r="E68" s="155">
        <v>0.42745098040000001</v>
      </c>
      <c r="F68" s="156">
        <v>0.5120448179</v>
      </c>
      <c r="G68" s="156">
        <v>2.0728291320000002E-2</v>
      </c>
      <c r="H68" s="156">
        <v>2.2408963589999999E-3</v>
      </c>
      <c r="I68" s="156">
        <v>0</v>
      </c>
      <c r="J68" s="156">
        <v>0</v>
      </c>
      <c r="K68" s="157">
        <v>3.7535014009999999E-2</v>
      </c>
      <c r="L68" s="158">
        <v>0.40504201680000002</v>
      </c>
      <c r="M68" s="156">
        <v>0.53613445380000002</v>
      </c>
      <c r="N68" s="156">
        <v>2.1848739499999999E-2</v>
      </c>
      <c r="O68" s="156">
        <v>0</v>
      </c>
      <c r="P68" s="156">
        <v>0</v>
      </c>
      <c r="Q68" s="156">
        <v>0</v>
      </c>
      <c r="R68" s="159">
        <v>3.6974789920000001E-2</v>
      </c>
      <c r="S68" s="155">
        <v>0.37507866579999999</v>
      </c>
      <c r="T68" s="156">
        <v>0.58401510379999999</v>
      </c>
      <c r="U68" s="156">
        <v>0</v>
      </c>
      <c r="V68" s="156">
        <v>0</v>
      </c>
      <c r="W68" s="156">
        <v>9.4398993080000004E-3</v>
      </c>
      <c r="X68" s="156">
        <v>0</v>
      </c>
      <c r="Y68" s="157">
        <v>3.1466331030000003E-2</v>
      </c>
      <c r="Z68" s="158">
        <v>0.37507866579999999</v>
      </c>
      <c r="AA68" s="156">
        <v>0.60415355569999996</v>
      </c>
      <c r="AB68" s="156">
        <v>0</v>
      </c>
      <c r="AC68" s="156">
        <v>0</v>
      </c>
      <c r="AD68" s="156">
        <v>1.1327879169999999E-2</v>
      </c>
      <c r="AE68" s="156">
        <v>0</v>
      </c>
      <c r="AF68" s="159">
        <v>9.4398993080000004E-3</v>
      </c>
      <c r="AG68" s="155">
        <v>0.1842586943</v>
      </c>
      <c r="AH68" s="156">
        <v>0</v>
      </c>
      <c r="AI68" s="156">
        <v>0</v>
      </c>
      <c r="AJ68" s="156">
        <v>1.647345943E-2</v>
      </c>
      <c r="AK68" s="156">
        <v>0.40451494809999999</v>
      </c>
      <c r="AL68" s="156">
        <v>0.29957291029999999</v>
      </c>
      <c r="AM68" s="157">
        <v>9.5179987800000004E-2</v>
      </c>
      <c r="AN68" s="158">
        <v>0.15924344109999999</v>
      </c>
      <c r="AO68" s="156">
        <v>0</v>
      </c>
      <c r="AP68" s="156">
        <v>0</v>
      </c>
      <c r="AQ68" s="156">
        <v>0</v>
      </c>
      <c r="AR68" s="156">
        <v>0.38255033560000001</v>
      </c>
      <c r="AS68" s="156">
        <v>0.28981086029999997</v>
      </c>
      <c r="AT68" s="159">
        <v>0.16839536299999999</v>
      </c>
    </row>
    <row r="69" spans="1:46" ht="12.75">
      <c r="A69" s="67" t="s">
        <v>19</v>
      </c>
      <c r="B69" s="67" t="s">
        <v>220</v>
      </c>
      <c r="C69" s="67" t="s">
        <v>235</v>
      </c>
      <c r="D69" s="67" t="s">
        <v>235</v>
      </c>
      <c r="E69" s="155">
        <v>0.48098303100000001</v>
      </c>
      <c r="F69" s="156">
        <v>0.42305441780000003</v>
      </c>
      <c r="G69" s="156">
        <v>4.8566413109999998E-2</v>
      </c>
      <c r="H69" s="156">
        <v>2.3405500290000002E-3</v>
      </c>
      <c r="I69" s="156">
        <v>0</v>
      </c>
      <c r="J69" s="156">
        <v>0</v>
      </c>
      <c r="K69" s="157">
        <v>4.5055588059999999E-2</v>
      </c>
      <c r="L69" s="158">
        <v>0.43358689290000002</v>
      </c>
      <c r="M69" s="156">
        <v>0.47396138090000001</v>
      </c>
      <c r="N69" s="156">
        <v>5.3247513170000003E-2</v>
      </c>
      <c r="O69" s="156">
        <v>0</v>
      </c>
      <c r="P69" s="156">
        <v>0</v>
      </c>
      <c r="Q69" s="156">
        <v>0</v>
      </c>
      <c r="R69" s="159">
        <v>3.9204212990000001E-2</v>
      </c>
      <c r="S69" s="155">
        <v>0.40807799439999998</v>
      </c>
      <c r="T69" s="156">
        <v>0.55153203340000001</v>
      </c>
      <c r="U69" s="156">
        <v>0</v>
      </c>
      <c r="V69" s="156">
        <v>0</v>
      </c>
      <c r="W69" s="156">
        <v>9.7493036210000005E-3</v>
      </c>
      <c r="X69" s="156">
        <v>0</v>
      </c>
      <c r="Y69" s="157">
        <v>3.0640668520000001E-2</v>
      </c>
      <c r="Z69" s="158">
        <v>0.39275766020000002</v>
      </c>
      <c r="AA69" s="156">
        <v>0.57103064069999998</v>
      </c>
      <c r="AB69" s="156">
        <v>0</v>
      </c>
      <c r="AC69" s="156">
        <v>0</v>
      </c>
      <c r="AD69" s="156">
        <v>1.1142061280000001E-2</v>
      </c>
      <c r="AE69" s="156">
        <v>0</v>
      </c>
      <c r="AF69" s="159">
        <v>2.5069637879999999E-2</v>
      </c>
      <c r="AG69" s="155">
        <v>9.5305832150000006E-2</v>
      </c>
      <c r="AH69" s="156">
        <v>0</v>
      </c>
      <c r="AI69" s="156">
        <v>0</v>
      </c>
      <c r="AJ69" s="156">
        <v>1.422475107E-2</v>
      </c>
      <c r="AK69" s="156">
        <v>0.27596017070000001</v>
      </c>
      <c r="AL69" s="156">
        <v>0.50640113799999997</v>
      </c>
      <c r="AM69" s="157">
        <v>0.1081081081</v>
      </c>
      <c r="AN69" s="158">
        <v>0.1024182077</v>
      </c>
      <c r="AO69" s="156">
        <v>0</v>
      </c>
      <c r="AP69" s="156">
        <v>0</v>
      </c>
      <c r="AQ69" s="156">
        <v>0</v>
      </c>
      <c r="AR69" s="156">
        <v>0.27596017070000001</v>
      </c>
      <c r="AS69" s="156">
        <v>0.52062588899999995</v>
      </c>
      <c r="AT69" s="159">
        <v>0.1009957326</v>
      </c>
    </row>
    <row r="70" spans="1:46" ht="12.75">
      <c r="A70" s="67" t="s">
        <v>19</v>
      </c>
      <c r="B70" s="67" t="s">
        <v>220</v>
      </c>
      <c r="C70" s="67" t="s">
        <v>237</v>
      </c>
      <c r="D70" s="67" t="s">
        <v>237</v>
      </c>
      <c r="E70" s="155">
        <v>0.4602620087</v>
      </c>
      <c r="F70" s="156">
        <v>0.43406113540000002</v>
      </c>
      <c r="G70" s="156">
        <v>5.8515283840000001E-2</v>
      </c>
      <c r="H70" s="156">
        <v>1.746724891E-3</v>
      </c>
      <c r="I70" s="156">
        <v>0</v>
      </c>
      <c r="J70" s="156">
        <v>0</v>
      </c>
      <c r="K70" s="157">
        <v>4.5414847160000001E-2</v>
      </c>
      <c r="L70" s="158">
        <v>0.40160642569999999</v>
      </c>
      <c r="M70" s="156">
        <v>0.51807228920000004</v>
      </c>
      <c r="N70" s="156">
        <v>4.2570281119999998E-2</v>
      </c>
      <c r="O70" s="156">
        <v>0</v>
      </c>
      <c r="P70" s="156">
        <v>0</v>
      </c>
      <c r="Q70" s="156">
        <v>0</v>
      </c>
      <c r="R70" s="159">
        <v>3.7751004019999999E-2</v>
      </c>
      <c r="S70" s="155">
        <v>0.41758241759999998</v>
      </c>
      <c r="T70" s="156">
        <v>0.55198647509999998</v>
      </c>
      <c r="U70" s="156">
        <v>0</v>
      </c>
      <c r="V70" s="156">
        <v>0</v>
      </c>
      <c r="W70" s="156">
        <v>5.0718512259999996E-3</v>
      </c>
      <c r="X70" s="156">
        <v>0</v>
      </c>
      <c r="Y70" s="157">
        <v>2.5359256130000001E-2</v>
      </c>
      <c r="Z70" s="158">
        <v>0.4209636517</v>
      </c>
      <c r="AA70" s="156">
        <v>0.55790363480000005</v>
      </c>
      <c r="AB70" s="156">
        <v>0</v>
      </c>
      <c r="AC70" s="156">
        <v>0</v>
      </c>
      <c r="AD70" s="156">
        <v>2.5359256129999998E-3</v>
      </c>
      <c r="AE70" s="156">
        <v>0</v>
      </c>
      <c r="AF70" s="159">
        <v>1.8596787829999999E-2</v>
      </c>
      <c r="AG70" s="155">
        <v>7.9652996850000005E-2</v>
      </c>
      <c r="AH70" s="156">
        <v>0</v>
      </c>
      <c r="AI70" s="156">
        <v>0</v>
      </c>
      <c r="AJ70" s="156">
        <v>5.5205047320000004E-3</v>
      </c>
      <c r="AK70" s="156">
        <v>0.41561514199999999</v>
      </c>
      <c r="AL70" s="156">
        <v>0.41561514199999999</v>
      </c>
      <c r="AM70" s="157">
        <v>8.3596214510000003E-2</v>
      </c>
      <c r="AN70" s="158">
        <v>6.9400630909999997E-2</v>
      </c>
      <c r="AO70" s="156">
        <v>0</v>
      </c>
      <c r="AP70" s="156">
        <v>0</v>
      </c>
      <c r="AQ70" s="156">
        <v>0</v>
      </c>
      <c r="AR70" s="156">
        <v>0.36435331230000001</v>
      </c>
      <c r="AS70" s="156">
        <v>0.41324921139999998</v>
      </c>
      <c r="AT70" s="159">
        <v>0.1529968454</v>
      </c>
    </row>
    <row r="71" spans="1:46" ht="12.75">
      <c r="A71" s="67" t="s">
        <v>19</v>
      </c>
      <c r="B71" s="67" t="s">
        <v>220</v>
      </c>
      <c r="C71" s="67" t="s">
        <v>239</v>
      </c>
      <c r="D71" s="67" t="s">
        <v>239</v>
      </c>
      <c r="E71" s="155">
        <v>0.51586765700000003</v>
      </c>
      <c r="F71" s="156">
        <v>0.42336259279999999</v>
      </c>
      <c r="G71" s="156">
        <v>3.1060094529999999E-2</v>
      </c>
      <c r="H71" s="156">
        <v>6.7521944629999999E-3</v>
      </c>
      <c r="I71" s="156">
        <v>0</v>
      </c>
      <c r="J71" s="156">
        <v>0</v>
      </c>
      <c r="K71" s="157">
        <v>2.2957461169999999E-2</v>
      </c>
      <c r="L71" s="158">
        <v>0.43484132339999998</v>
      </c>
      <c r="M71" s="156">
        <v>0.50911546249999995</v>
      </c>
      <c r="N71" s="156">
        <v>4.3214044559999998E-2</v>
      </c>
      <c r="O71" s="156">
        <v>0</v>
      </c>
      <c r="P71" s="156">
        <v>0</v>
      </c>
      <c r="Q71" s="156">
        <v>0</v>
      </c>
      <c r="R71" s="159">
        <v>1.2829169479999999E-2</v>
      </c>
      <c r="S71" s="155">
        <v>0.37656595430000001</v>
      </c>
      <c r="T71" s="156">
        <v>0.58806190130000002</v>
      </c>
      <c r="U71" s="156">
        <v>0</v>
      </c>
      <c r="V71" s="156">
        <v>0</v>
      </c>
      <c r="W71" s="156">
        <v>1.031687546E-2</v>
      </c>
      <c r="X71" s="156">
        <v>0</v>
      </c>
      <c r="Y71" s="157">
        <v>2.505526898E-2</v>
      </c>
      <c r="Z71" s="158">
        <v>0.37361827559999999</v>
      </c>
      <c r="AA71" s="156">
        <v>0.59837877669999995</v>
      </c>
      <c r="AB71" s="156">
        <v>0</v>
      </c>
      <c r="AC71" s="156">
        <v>0</v>
      </c>
      <c r="AD71" s="156">
        <v>1.6949152540000002E-2</v>
      </c>
      <c r="AE71" s="156">
        <v>0</v>
      </c>
      <c r="AF71" s="159">
        <v>1.1053795139999999E-2</v>
      </c>
      <c r="AG71" s="155">
        <v>7.8386605779999993E-2</v>
      </c>
      <c r="AH71" s="156">
        <v>0</v>
      </c>
      <c r="AI71" s="156">
        <v>0</v>
      </c>
      <c r="AJ71" s="156">
        <v>1.141552511E-2</v>
      </c>
      <c r="AK71" s="156">
        <v>0.296803653</v>
      </c>
      <c r="AL71" s="156">
        <v>0.48325722980000002</v>
      </c>
      <c r="AM71" s="157">
        <v>0.13013698630000001</v>
      </c>
      <c r="AN71" s="158">
        <v>7.8386605779999993E-2</v>
      </c>
      <c r="AO71" s="156">
        <v>0</v>
      </c>
      <c r="AP71" s="156">
        <v>0</v>
      </c>
      <c r="AQ71" s="156">
        <v>0</v>
      </c>
      <c r="AR71" s="156">
        <v>0.30821917809999999</v>
      </c>
      <c r="AS71" s="156">
        <v>0.49391171989999999</v>
      </c>
      <c r="AT71" s="159">
        <v>0.1194824962</v>
      </c>
    </row>
    <row r="72" spans="1:46" ht="12.75">
      <c r="A72" s="67" t="s">
        <v>19</v>
      </c>
      <c r="B72" s="67" t="s">
        <v>220</v>
      </c>
      <c r="C72" s="67" t="s">
        <v>241</v>
      </c>
      <c r="D72" s="67" t="s">
        <v>241</v>
      </c>
      <c r="E72" s="155">
        <v>0.49964260189999998</v>
      </c>
      <c r="F72" s="156">
        <v>0.38598999290000002</v>
      </c>
      <c r="G72" s="156">
        <v>7.8627591139999994E-2</v>
      </c>
      <c r="H72" s="156">
        <v>1.4295925660000001E-3</v>
      </c>
      <c r="I72" s="156">
        <v>0</v>
      </c>
      <c r="J72" s="156">
        <v>0</v>
      </c>
      <c r="K72" s="157">
        <v>3.4310221590000002E-2</v>
      </c>
      <c r="L72" s="158">
        <v>0.44388849180000001</v>
      </c>
      <c r="M72" s="156">
        <v>0.4331665475</v>
      </c>
      <c r="N72" s="156">
        <v>8.5775553970000001E-2</v>
      </c>
      <c r="O72" s="156">
        <v>0</v>
      </c>
      <c r="P72" s="156">
        <v>0</v>
      </c>
      <c r="Q72" s="156">
        <v>0</v>
      </c>
      <c r="R72" s="159">
        <v>3.7169406719999999E-2</v>
      </c>
      <c r="S72" s="155">
        <v>0.1068249258</v>
      </c>
      <c r="T72" s="156">
        <v>0.47106824930000002</v>
      </c>
      <c r="U72" s="156">
        <v>0</v>
      </c>
      <c r="V72" s="156">
        <v>0</v>
      </c>
      <c r="W72" s="156">
        <v>2.9673590499999999E-3</v>
      </c>
      <c r="X72" s="156">
        <v>0</v>
      </c>
      <c r="Y72" s="157">
        <v>0.41913946590000001</v>
      </c>
      <c r="Z72" s="158">
        <v>0.26928783379999999</v>
      </c>
      <c r="AA72" s="156">
        <v>0.5222551929</v>
      </c>
      <c r="AB72" s="156">
        <v>0</v>
      </c>
      <c r="AC72" s="156">
        <v>0</v>
      </c>
      <c r="AD72" s="156">
        <v>8.1602373889999996E-3</v>
      </c>
      <c r="AE72" s="156">
        <v>0</v>
      </c>
      <c r="AF72" s="159">
        <v>0.20029673589999999</v>
      </c>
      <c r="AG72" s="155">
        <v>0.1048182587</v>
      </c>
      <c r="AH72" s="156">
        <v>0</v>
      </c>
      <c r="AI72" s="156">
        <v>0</v>
      </c>
      <c r="AJ72" s="156">
        <v>1.9442096369999998E-2</v>
      </c>
      <c r="AK72" s="156">
        <v>0.34234995769999998</v>
      </c>
      <c r="AL72" s="156">
        <v>0.30008453089999998</v>
      </c>
      <c r="AM72" s="157">
        <v>0.23330515639999999</v>
      </c>
      <c r="AN72" s="158">
        <v>3.5502958580000001E-2</v>
      </c>
      <c r="AO72" s="156">
        <v>0</v>
      </c>
      <c r="AP72" s="156">
        <v>0</v>
      </c>
      <c r="AQ72" s="156">
        <v>0</v>
      </c>
      <c r="AR72" s="156">
        <v>0.1699070161</v>
      </c>
      <c r="AS72" s="156">
        <v>0.28317836010000003</v>
      </c>
      <c r="AT72" s="159">
        <v>0.51141166530000004</v>
      </c>
    </row>
    <row r="73" spans="1:46" ht="12.75">
      <c r="A73" s="67" t="s">
        <v>19</v>
      </c>
      <c r="B73" s="67" t="s">
        <v>220</v>
      </c>
      <c r="C73" s="67" t="s">
        <v>243</v>
      </c>
      <c r="D73" s="67" t="s">
        <v>243</v>
      </c>
      <c r="E73" s="155">
        <v>0.54735682819999998</v>
      </c>
      <c r="F73" s="156">
        <v>0.34911894269999999</v>
      </c>
      <c r="G73" s="156">
        <v>4.6255506609999997E-2</v>
      </c>
      <c r="H73" s="156">
        <v>5.5066079299999999E-3</v>
      </c>
      <c r="I73" s="156">
        <v>0</v>
      </c>
      <c r="J73" s="156">
        <v>0</v>
      </c>
      <c r="K73" s="157">
        <v>5.1762114540000001E-2</v>
      </c>
      <c r="L73" s="158">
        <v>0.48458149779999998</v>
      </c>
      <c r="M73" s="156">
        <v>0.42621145370000002</v>
      </c>
      <c r="N73" s="156">
        <v>4.5154185020000001E-2</v>
      </c>
      <c r="O73" s="156">
        <v>0</v>
      </c>
      <c r="P73" s="156">
        <v>0</v>
      </c>
      <c r="Q73" s="156">
        <v>0</v>
      </c>
      <c r="R73" s="159">
        <v>4.4052863439999999E-2</v>
      </c>
      <c r="S73" s="155">
        <v>0.2780748663</v>
      </c>
      <c r="T73" s="156">
        <v>0.68315508020000004</v>
      </c>
      <c r="U73" s="156">
        <v>0</v>
      </c>
      <c r="V73" s="156">
        <v>0</v>
      </c>
      <c r="W73" s="156">
        <v>2.6737967909999999E-3</v>
      </c>
      <c r="X73" s="156">
        <v>0</v>
      </c>
      <c r="Y73" s="157">
        <v>3.6096256680000001E-2</v>
      </c>
      <c r="Z73" s="158">
        <v>0.28877005350000001</v>
      </c>
      <c r="AA73" s="156">
        <v>0.68048128340000003</v>
      </c>
      <c r="AB73" s="156">
        <v>0</v>
      </c>
      <c r="AC73" s="156">
        <v>0</v>
      </c>
      <c r="AD73" s="156">
        <v>4.0106951869999996E-3</v>
      </c>
      <c r="AE73" s="156">
        <v>0</v>
      </c>
      <c r="AF73" s="159">
        <v>2.673796791E-2</v>
      </c>
      <c r="AG73" s="155">
        <v>7.68115942E-2</v>
      </c>
      <c r="AH73" s="156">
        <v>0</v>
      </c>
      <c r="AI73" s="156">
        <v>0</v>
      </c>
      <c r="AJ73" s="156">
        <v>7.2463768119999999E-3</v>
      </c>
      <c r="AK73" s="156">
        <v>0.45362318839999999</v>
      </c>
      <c r="AL73" s="156">
        <v>0.36376811590000002</v>
      </c>
      <c r="AM73" s="157">
        <v>9.8550724640000004E-2</v>
      </c>
      <c r="AN73" s="158">
        <v>8.4057971009999996E-2</v>
      </c>
      <c r="AO73" s="156">
        <v>0</v>
      </c>
      <c r="AP73" s="156">
        <v>0</v>
      </c>
      <c r="AQ73" s="156">
        <v>0</v>
      </c>
      <c r="AR73" s="156">
        <v>0.44927536229999998</v>
      </c>
      <c r="AS73" s="156">
        <v>0.40724637679999998</v>
      </c>
      <c r="AT73" s="159">
        <v>5.9420289860000003E-2</v>
      </c>
    </row>
    <row r="74" spans="1:46" ht="12.75">
      <c r="A74" s="67" t="s">
        <v>19</v>
      </c>
      <c r="B74" s="67" t="s">
        <v>220</v>
      </c>
      <c r="C74" s="67" t="s">
        <v>245</v>
      </c>
      <c r="D74" s="67" t="s">
        <v>245</v>
      </c>
      <c r="E74" s="155">
        <v>0.41864139020000002</v>
      </c>
      <c r="F74" s="156">
        <v>0.50789889420000001</v>
      </c>
      <c r="G74" s="156">
        <v>3.9494470769999998E-2</v>
      </c>
      <c r="H74" s="156">
        <v>7.1090047389999996E-3</v>
      </c>
      <c r="I74" s="156">
        <v>0</v>
      </c>
      <c r="J74" s="156">
        <v>0</v>
      </c>
      <c r="K74" s="157">
        <v>2.685624013E-2</v>
      </c>
      <c r="L74" s="158">
        <v>0.3702229299</v>
      </c>
      <c r="M74" s="156">
        <v>0.56369426749999996</v>
      </c>
      <c r="N74" s="156">
        <v>3.8216560509999997E-2</v>
      </c>
      <c r="O74" s="156">
        <v>0</v>
      </c>
      <c r="P74" s="156">
        <v>0</v>
      </c>
      <c r="Q74" s="156">
        <v>0</v>
      </c>
      <c r="R74" s="159">
        <v>2.7866242039999999E-2</v>
      </c>
      <c r="S74" s="155">
        <v>0.3936731107</v>
      </c>
      <c r="T74" s="156">
        <v>0.57644991209999996</v>
      </c>
      <c r="U74" s="156">
        <v>0</v>
      </c>
      <c r="V74" s="156">
        <v>0</v>
      </c>
      <c r="W74" s="156">
        <v>9.6660808440000006E-3</v>
      </c>
      <c r="X74" s="156">
        <v>0</v>
      </c>
      <c r="Y74" s="157">
        <v>2.021089631E-2</v>
      </c>
      <c r="Z74" s="158">
        <v>0.40421792620000002</v>
      </c>
      <c r="AA74" s="156">
        <v>0.57820738140000005</v>
      </c>
      <c r="AB74" s="156">
        <v>0</v>
      </c>
      <c r="AC74" s="156">
        <v>0</v>
      </c>
      <c r="AD74" s="156">
        <v>7.9086115990000001E-3</v>
      </c>
      <c r="AE74" s="156">
        <v>0</v>
      </c>
      <c r="AF74" s="159">
        <v>9.6660808440000006E-3</v>
      </c>
      <c r="AG74" s="155">
        <v>0.20612061209999999</v>
      </c>
      <c r="AH74" s="156">
        <v>0</v>
      </c>
      <c r="AI74" s="156">
        <v>0</v>
      </c>
      <c r="AJ74" s="156">
        <v>8.1008100810000001E-3</v>
      </c>
      <c r="AK74" s="156">
        <v>0.32583258329999998</v>
      </c>
      <c r="AL74" s="156">
        <v>0.36003600359999999</v>
      </c>
      <c r="AM74" s="157">
        <v>9.9909991000000004E-2</v>
      </c>
      <c r="AN74" s="158">
        <v>0.2160216022</v>
      </c>
      <c r="AO74" s="156">
        <v>0</v>
      </c>
      <c r="AP74" s="156">
        <v>0</v>
      </c>
      <c r="AQ74" s="156">
        <v>0</v>
      </c>
      <c r="AR74" s="156">
        <v>0.33213321330000001</v>
      </c>
      <c r="AS74" s="156">
        <v>0.37623762379999998</v>
      </c>
      <c r="AT74" s="159">
        <v>7.5607560759999998E-2</v>
      </c>
    </row>
    <row r="75" spans="1:46" ht="12.75">
      <c r="A75" s="67" t="s">
        <v>19</v>
      </c>
      <c r="B75" s="67" t="s">
        <v>220</v>
      </c>
      <c r="C75" s="67" t="s">
        <v>247</v>
      </c>
      <c r="D75" s="67" t="s">
        <v>247</v>
      </c>
      <c r="E75" s="155">
        <v>0.38182746299999998</v>
      </c>
      <c r="F75" s="156">
        <v>0.55793772330000002</v>
      </c>
      <c r="G75" s="156">
        <v>2.0418580910000001E-2</v>
      </c>
      <c r="H75" s="156">
        <v>2.5523226139999998E-3</v>
      </c>
      <c r="I75" s="156">
        <v>0</v>
      </c>
      <c r="J75" s="156">
        <v>0</v>
      </c>
      <c r="K75" s="157">
        <v>3.7263910159999997E-2</v>
      </c>
      <c r="L75" s="158">
        <v>0.3506891271</v>
      </c>
      <c r="M75" s="156">
        <v>0.60541092389999995</v>
      </c>
      <c r="N75" s="156">
        <v>1.5824400200000002E-2</v>
      </c>
      <c r="O75" s="156">
        <v>0</v>
      </c>
      <c r="P75" s="156">
        <v>0</v>
      </c>
      <c r="Q75" s="156">
        <v>0</v>
      </c>
      <c r="R75" s="159">
        <v>2.8075548749999998E-2</v>
      </c>
      <c r="S75" s="155">
        <v>0.42745969979999998</v>
      </c>
      <c r="T75" s="156">
        <v>0.5425236242</v>
      </c>
      <c r="U75" s="156">
        <v>0</v>
      </c>
      <c r="V75" s="156">
        <v>0</v>
      </c>
      <c r="W75" s="156">
        <v>7.2262367979999999E-3</v>
      </c>
      <c r="X75" s="156">
        <v>0</v>
      </c>
      <c r="Y75" s="157">
        <v>2.2790439129999999E-2</v>
      </c>
      <c r="Z75" s="158">
        <v>0.4341300723</v>
      </c>
      <c r="AA75" s="156">
        <v>0.54974986100000001</v>
      </c>
      <c r="AB75" s="156">
        <v>0</v>
      </c>
      <c r="AC75" s="156">
        <v>0</v>
      </c>
      <c r="AD75" s="156">
        <v>5.5586436909999997E-3</v>
      </c>
      <c r="AE75" s="156">
        <v>0</v>
      </c>
      <c r="AF75" s="159">
        <v>1.0561423009999999E-2</v>
      </c>
      <c r="AG75" s="155">
        <v>9.9087353320000002E-2</v>
      </c>
      <c r="AH75" s="156">
        <v>0</v>
      </c>
      <c r="AI75" s="156">
        <v>0</v>
      </c>
      <c r="AJ75" s="156">
        <v>1.4993481100000001E-2</v>
      </c>
      <c r="AK75" s="156">
        <v>0.37874837030000003</v>
      </c>
      <c r="AL75" s="156">
        <v>0.43415906129999998</v>
      </c>
      <c r="AM75" s="157">
        <v>7.3011734029999997E-2</v>
      </c>
      <c r="AN75" s="158">
        <v>0.1088657106</v>
      </c>
      <c r="AO75" s="156">
        <v>0</v>
      </c>
      <c r="AP75" s="156">
        <v>0</v>
      </c>
      <c r="AQ75" s="156">
        <v>0</v>
      </c>
      <c r="AR75" s="156">
        <v>0.39960886569999998</v>
      </c>
      <c r="AS75" s="156">
        <v>0.44524119950000002</v>
      </c>
      <c r="AT75" s="159">
        <v>4.6284224249999999E-2</v>
      </c>
    </row>
    <row r="76" spans="1:46" ht="12.75">
      <c r="A76" s="67" t="s">
        <v>19</v>
      </c>
      <c r="B76" s="67" t="s">
        <v>220</v>
      </c>
      <c r="C76" s="67" t="s">
        <v>249</v>
      </c>
      <c r="D76" s="67" t="s">
        <v>249</v>
      </c>
      <c r="E76" s="155">
        <v>0.49620493360000001</v>
      </c>
      <c r="F76" s="156">
        <v>0.43263757120000002</v>
      </c>
      <c r="G76" s="156">
        <v>2.75142315E-2</v>
      </c>
      <c r="H76" s="156">
        <v>9.4876660339999997E-4</v>
      </c>
      <c r="I76" s="156">
        <v>0</v>
      </c>
      <c r="J76" s="156">
        <v>0</v>
      </c>
      <c r="K76" s="157">
        <v>4.2694497150000003E-2</v>
      </c>
      <c r="L76" s="158">
        <v>0.43833017079999997</v>
      </c>
      <c r="M76" s="156">
        <v>0.48481973430000003</v>
      </c>
      <c r="N76" s="156">
        <v>4.0796963950000001E-2</v>
      </c>
      <c r="O76" s="156">
        <v>0</v>
      </c>
      <c r="P76" s="156">
        <v>0</v>
      </c>
      <c r="Q76" s="156">
        <v>0</v>
      </c>
      <c r="R76" s="159">
        <v>3.6053130930000003E-2</v>
      </c>
      <c r="S76" s="155">
        <v>0.41285403050000002</v>
      </c>
      <c r="T76" s="156">
        <v>0.5697167756</v>
      </c>
      <c r="U76" s="156">
        <v>0</v>
      </c>
      <c r="V76" s="156">
        <v>0</v>
      </c>
      <c r="W76" s="156">
        <v>3.267973856E-3</v>
      </c>
      <c r="X76" s="156">
        <v>0</v>
      </c>
      <c r="Y76" s="157">
        <v>1.416122004E-2</v>
      </c>
      <c r="Z76" s="158">
        <v>0.40196078429999998</v>
      </c>
      <c r="AA76" s="156">
        <v>0.58278867099999998</v>
      </c>
      <c r="AB76" s="156">
        <v>0</v>
      </c>
      <c r="AC76" s="156">
        <v>0</v>
      </c>
      <c r="AD76" s="156">
        <v>4.3572984750000002E-3</v>
      </c>
      <c r="AE76" s="156">
        <v>0</v>
      </c>
      <c r="AF76" s="159">
        <v>1.0893246190000001E-2</v>
      </c>
      <c r="AG76" s="155">
        <v>7.1942446039999997E-2</v>
      </c>
      <c r="AH76" s="156">
        <v>0</v>
      </c>
      <c r="AI76" s="156">
        <v>0</v>
      </c>
      <c r="AJ76" s="156">
        <v>3.597122302E-3</v>
      </c>
      <c r="AK76" s="156">
        <v>0.44784172659999999</v>
      </c>
      <c r="AL76" s="156">
        <v>0.3741007194</v>
      </c>
      <c r="AM76" s="157">
        <v>0.1025179856</v>
      </c>
      <c r="AN76" s="158">
        <v>7.7338129500000005E-2</v>
      </c>
      <c r="AO76" s="156">
        <v>0</v>
      </c>
      <c r="AP76" s="156">
        <v>0</v>
      </c>
      <c r="AQ76" s="156">
        <v>0</v>
      </c>
      <c r="AR76" s="156">
        <v>0.44964028779999998</v>
      </c>
      <c r="AS76" s="156">
        <v>0.3758992806</v>
      </c>
      <c r="AT76" s="159">
        <v>9.7122302160000007E-2</v>
      </c>
    </row>
    <row r="77" spans="1:46" ht="12.75">
      <c r="A77" s="67" t="s">
        <v>19</v>
      </c>
      <c r="B77" s="67" t="s">
        <v>220</v>
      </c>
      <c r="C77" s="67" t="s">
        <v>251</v>
      </c>
      <c r="D77" s="67" t="s">
        <v>251</v>
      </c>
      <c r="E77" s="155">
        <v>0.32468955440000002</v>
      </c>
      <c r="F77" s="156">
        <v>0.56208911610000001</v>
      </c>
      <c r="G77" s="156">
        <v>6.0993425859999999E-2</v>
      </c>
      <c r="H77" s="156">
        <v>3.6523009499999999E-3</v>
      </c>
      <c r="I77" s="156">
        <v>0</v>
      </c>
      <c r="J77" s="156">
        <v>0</v>
      </c>
      <c r="K77" s="157">
        <v>4.8575602629999999E-2</v>
      </c>
      <c r="L77" s="158">
        <v>0.29839298759999999</v>
      </c>
      <c r="M77" s="156">
        <v>0.61796932069999999</v>
      </c>
      <c r="N77" s="156">
        <v>4.0175310450000001E-2</v>
      </c>
      <c r="O77" s="156">
        <v>0</v>
      </c>
      <c r="P77" s="156">
        <v>0</v>
      </c>
      <c r="Q77" s="156">
        <v>0</v>
      </c>
      <c r="R77" s="159">
        <v>4.3462381299999998E-2</v>
      </c>
      <c r="S77" s="155">
        <v>0.39309533149999998</v>
      </c>
      <c r="T77" s="156">
        <v>0.57198901530000001</v>
      </c>
      <c r="U77" s="156">
        <v>0</v>
      </c>
      <c r="V77" s="156">
        <v>0</v>
      </c>
      <c r="W77" s="156">
        <v>4.7077285209999997E-3</v>
      </c>
      <c r="X77" s="156">
        <v>0</v>
      </c>
      <c r="Y77" s="157">
        <v>3.0207924680000001E-2</v>
      </c>
      <c r="Z77" s="158">
        <v>0.38681836009999998</v>
      </c>
      <c r="AA77" s="156">
        <v>0.59238917219999998</v>
      </c>
      <c r="AB77" s="156">
        <v>0</v>
      </c>
      <c r="AC77" s="156">
        <v>0</v>
      </c>
      <c r="AD77" s="156">
        <v>4.315417811E-3</v>
      </c>
      <c r="AE77" s="156">
        <v>0</v>
      </c>
      <c r="AF77" s="159">
        <v>1.6477049819999999E-2</v>
      </c>
      <c r="AG77" s="155">
        <v>0.26130653269999998</v>
      </c>
      <c r="AH77" s="156">
        <v>0</v>
      </c>
      <c r="AI77" s="156">
        <v>0</v>
      </c>
      <c r="AJ77" s="156">
        <v>1.046901173E-2</v>
      </c>
      <c r="AK77" s="156">
        <v>0.22989949749999999</v>
      </c>
      <c r="AL77" s="156">
        <v>0.42085427139999998</v>
      </c>
      <c r="AM77" s="157">
        <v>7.7470686770000005E-2</v>
      </c>
      <c r="AN77" s="158">
        <v>0.26381909549999999</v>
      </c>
      <c r="AO77" s="156">
        <v>0</v>
      </c>
      <c r="AP77" s="156">
        <v>0</v>
      </c>
      <c r="AQ77" s="156">
        <v>0</v>
      </c>
      <c r="AR77" s="156">
        <v>0.23618090450000001</v>
      </c>
      <c r="AS77" s="156">
        <v>0.44179229479999998</v>
      </c>
      <c r="AT77" s="159">
        <v>5.820770519E-2</v>
      </c>
    </row>
    <row r="78" spans="1:46" ht="12.75">
      <c r="A78" s="67" t="s">
        <v>19</v>
      </c>
      <c r="B78" s="67" t="s">
        <v>220</v>
      </c>
      <c r="C78" s="67" t="s">
        <v>253</v>
      </c>
      <c r="D78" s="67" t="s">
        <v>253</v>
      </c>
      <c r="E78" s="155">
        <v>0.40711669280000001</v>
      </c>
      <c r="F78" s="156">
        <v>0.4458398744</v>
      </c>
      <c r="G78" s="156">
        <v>0.10465724749999999</v>
      </c>
      <c r="H78" s="156">
        <v>3.6630036630000001E-3</v>
      </c>
      <c r="I78" s="156">
        <v>0</v>
      </c>
      <c r="J78" s="156">
        <v>0</v>
      </c>
      <c r="K78" s="157">
        <v>3.8723181580000002E-2</v>
      </c>
      <c r="L78" s="158">
        <v>0.35266457680000002</v>
      </c>
      <c r="M78" s="156">
        <v>0.48902821320000001</v>
      </c>
      <c r="N78" s="156">
        <v>0.1149425287</v>
      </c>
      <c r="O78" s="156">
        <v>0</v>
      </c>
      <c r="P78" s="156">
        <v>0</v>
      </c>
      <c r="Q78" s="156">
        <v>0</v>
      </c>
      <c r="R78" s="159">
        <v>4.3364681299999999E-2</v>
      </c>
      <c r="S78" s="155">
        <v>0.39715471250000001</v>
      </c>
      <c r="T78" s="156">
        <v>0.55720213399999996</v>
      </c>
      <c r="U78" s="156">
        <v>0</v>
      </c>
      <c r="V78" s="156">
        <v>0</v>
      </c>
      <c r="W78" s="156">
        <v>7.7059869589999998E-3</v>
      </c>
      <c r="X78" s="156">
        <v>0</v>
      </c>
      <c r="Y78" s="157">
        <v>3.793716657E-2</v>
      </c>
      <c r="Z78" s="158">
        <v>0.38707765259999999</v>
      </c>
      <c r="AA78" s="156">
        <v>0.57379964429999997</v>
      </c>
      <c r="AB78" s="156">
        <v>0</v>
      </c>
      <c r="AC78" s="156">
        <v>0</v>
      </c>
      <c r="AD78" s="156">
        <v>9.4842916420000006E-3</v>
      </c>
      <c r="AE78" s="156">
        <v>0</v>
      </c>
      <c r="AF78" s="159">
        <v>2.963841138E-2</v>
      </c>
      <c r="AG78" s="155">
        <v>0.12389380530000001</v>
      </c>
      <c r="AH78" s="156">
        <v>0</v>
      </c>
      <c r="AI78" s="156">
        <v>0</v>
      </c>
      <c r="AJ78" s="156">
        <v>8.0450522929999997E-3</v>
      </c>
      <c r="AK78" s="156">
        <v>0.40788415119999999</v>
      </c>
      <c r="AL78" s="156">
        <v>0.38213998389999998</v>
      </c>
      <c r="AM78" s="157">
        <v>7.8037007239999998E-2</v>
      </c>
      <c r="AN78" s="158">
        <v>0.11182622690000001</v>
      </c>
      <c r="AO78" s="156">
        <v>0</v>
      </c>
      <c r="AP78" s="156">
        <v>0</v>
      </c>
      <c r="AQ78" s="156">
        <v>0</v>
      </c>
      <c r="AR78" s="156">
        <v>0.38535800479999999</v>
      </c>
      <c r="AS78" s="156">
        <v>0.37087691070000001</v>
      </c>
      <c r="AT78" s="159">
        <v>0.13193885759999999</v>
      </c>
    </row>
    <row r="79" spans="1:46" ht="12.75">
      <c r="A79" s="67" t="s">
        <v>19</v>
      </c>
      <c r="B79" s="67" t="s">
        <v>220</v>
      </c>
      <c r="C79" s="67" t="s">
        <v>255</v>
      </c>
      <c r="D79" s="67" t="s">
        <v>255</v>
      </c>
      <c r="E79" s="155">
        <v>0.37595334229999999</v>
      </c>
      <c r="F79" s="156">
        <v>0.51413189770000001</v>
      </c>
      <c r="G79" s="156">
        <v>7.8510542840000003E-2</v>
      </c>
      <c r="H79" s="156">
        <v>2.2431583670000001E-3</v>
      </c>
      <c r="I79" s="156">
        <v>0</v>
      </c>
      <c r="J79" s="156">
        <v>0</v>
      </c>
      <c r="K79" s="157">
        <v>2.9161058770000001E-2</v>
      </c>
      <c r="L79" s="158">
        <v>0.3474157303</v>
      </c>
      <c r="M79" s="156">
        <v>0.5478651685</v>
      </c>
      <c r="N79" s="156">
        <v>7.5056179779999996E-2</v>
      </c>
      <c r="O79" s="156">
        <v>0</v>
      </c>
      <c r="P79" s="156">
        <v>0</v>
      </c>
      <c r="Q79" s="156">
        <v>0</v>
      </c>
      <c r="R79" s="159">
        <v>2.966292135E-2</v>
      </c>
      <c r="S79" s="155">
        <v>0.39382050019999998</v>
      </c>
      <c r="T79" s="156">
        <v>0.57479156450000002</v>
      </c>
      <c r="U79" s="156">
        <v>0</v>
      </c>
      <c r="V79" s="156">
        <v>0</v>
      </c>
      <c r="W79" s="156">
        <v>9.3182932809999994E-3</v>
      </c>
      <c r="X79" s="156">
        <v>0</v>
      </c>
      <c r="Y79" s="157">
        <v>2.2069641979999999E-2</v>
      </c>
      <c r="Z79" s="158">
        <v>0.38646395290000002</v>
      </c>
      <c r="AA79" s="156">
        <v>0.58803334969999999</v>
      </c>
      <c r="AB79" s="156">
        <v>0</v>
      </c>
      <c r="AC79" s="156">
        <v>0</v>
      </c>
      <c r="AD79" s="156">
        <v>8.3374203040000004E-3</v>
      </c>
      <c r="AE79" s="156">
        <v>0</v>
      </c>
      <c r="AF79" s="159">
        <v>1.7165277100000001E-2</v>
      </c>
      <c r="AG79" s="155">
        <v>3.1575037149999999E-2</v>
      </c>
      <c r="AH79" s="156">
        <v>0</v>
      </c>
      <c r="AI79" s="156">
        <v>0</v>
      </c>
      <c r="AJ79" s="156">
        <v>1.5230312039999999E-2</v>
      </c>
      <c r="AK79" s="156">
        <v>0.45245170880000002</v>
      </c>
      <c r="AL79" s="156">
        <v>0.37147102529999998</v>
      </c>
      <c r="AM79" s="157">
        <v>0.1292719168</v>
      </c>
      <c r="AN79" s="158">
        <v>3.1982149500000001E-2</v>
      </c>
      <c r="AO79" s="156">
        <v>0</v>
      </c>
      <c r="AP79" s="156">
        <v>0</v>
      </c>
      <c r="AQ79" s="156">
        <v>0</v>
      </c>
      <c r="AR79" s="156">
        <v>0.39233915949999998</v>
      </c>
      <c r="AS79" s="156">
        <v>0.31870583860000001</v>
      </c>
      <c r="AT79" s="159">
        <v>0.25697285240000001</v>
      </c>
    </row>
    <row r="80" spans="1:46" ht="12.75">
      <c r="A80" s="67" t="s">
        <v>19</v>
      </c>
      <c r="B80" s="67" t="s">
        <v>220</v>
      </c>
      <c r="C80" s="67" t="s">
        <v>257</v>
      </c>
      <c r="D80" s="67" t="s">
        <v>257</v>
      </c>
      <c r="E80" s="155">
        <v>0.43916570100000002</v>
      </c>
      <c r="F80" s="156">
        <v>0.45278099649999998</v>
      </c>
      <c r="G80" s="156">
        <v>5.7068366160000002E-2</v>
      </c>
      <c r="H80" s="156">
        <v>5.2143684820000003E-3</v>
      </c>
      <c r="I80" s="156">
        <v>0</v>
      </c>
      <c r="J80" s="156">
        <v>0</v>
      </c>
      <c r="K80" s="157">
        <v>4.5770567790000001E-2</v>
      </c>
      <c r="L80" s="158">
        <v>0.27391304350000001</v>
      </c>
      <c r="M80" s="156">
        <v>0.60347826090000001</v>
      </c>
      <c r="N80" s="156">
        <v>8.2028985509999999E-2</v>
      </c>
      <c r="O80" s="156">
        <v>0</v>
      </c>
      <c r="P80" s="156">
        <v>0</v>
      </c>
      <c r="Q80" s="156">
        <v>0</v>
      </c>
      <c r="R80" s="159">
        <v>4.0579710140000003E-2</v>
      </c>
      <c r="S80" s="155">
        <v>0.32089552240000002</v>
      </c>
      <c r="T80" s="156">
        <v>0.60878300799999996</v>
      </c>
      <c r="U80" s="156">
        <v>0</v>
      </c>
      <c r="V80" s="156">
        <v>0</v>
      </c>
      <c r="W80" s="156">
        <v>4.1905855339999999E-2</v>
      </c>
      <c r="X80" s="156">
        <v>0</v>
      </c>
      <c r="Y80" s="157">
        <v>2.8415614240000001E-2</v>
      </c>
      <c r="Z80" s="158">
        <v>0.2511481056</v>
      </c>
      <c r="AA80" s="156">
        <v>0.59557979329999999</v>
      </c>
      <c r="AB80" s="156">
        <v>0</v>
      </c>
      <c r="AC80" s="156">
        <v>0</v>
      </c>
      <c r="AD80" s="156">
        <v>0.1357634902</v>
      </c>
      <c r="AE80" s="156">
        <v>0</v>
      </c>
      <c r="AF80" s="159">
        <v>1.750861079E-2</v>
      </c>
      <c r="AG80" s="155">
        <v>4.484765491E-2</v>
      </c>
      <c r="AH80" s="156">
        <v>0</v>
      </c>
      <c r="AI80" s="156">
        <v>0</v>
      </c>
      <c r="AJ80" s="156">
        <v>1.3693940430000001E-2</v>
      </c>
      <c r="AK80" s="156">
        <v>0.4406025334</v>
      </c>
      <c r="AL80" s="156">
        <v>0.40465593970000002</v>
      </c>
      <c r="AM80" s="157">
        <v>9.6199931530000005E-2</v>
      </c>
      <c r="AN80" s="158">
        <v>5.8541595340000002E-2</v>
      </c>
      <c r="AO80" s="156">
        <v>0</v>
      </c>
      <c r="AP80" s="156">
        <v>0</v>
      </c>
      <c r="AQ80" s="156">
        <v>0</v>
      </c>
      <c r="AR80" s="156">
        <v>0.45635056489999998</v>
      </c>
      <c r="AS80" s="156">
        <v>0.39301609040000002</v>
      </c>
      <c r="AT80" s="159">
        <v>9.2091749400000006E-2</v>
      </c>
    </row>
    <row r="81" spans="1:46" ht="12.75">
      <c r="A81" s="67" t="s">
        <v>19</v>
      </c>
      <c r="B81" s="67" t="s">
        <v>220</v>
      </c>
      <c r="C81" s="67" t="s">
        <v>259</v>
      </c>
      <c r="D81" s="67" t="s">
        <v>259</v>
      </c>
      <c r="E81" s="155">
        <v>0.38821693330000001</v>
      </c>
      <c r="F81" s="156">
        <v>0.4463519313</v>
      </c>
      <c r="G81" s="156">
        <v>0.1205618416</v>
      </c>
      <c r="H81" s="156">
        <v>4.6820132660000003E-3</v>
      </c>
      <c r="I81" s="156">
        <v>0</v>
      </c>
      <c r="J81" s="156">
        <v>0</v>
      </c>
      <c r="K81" s="157">
        <v>4.0187280530000001E-2</v>
      </c>
      <c r="L81" s="158">
        <v>0.34841982049999998</v>
      </c>
      <c r="M81" s="156">
        <v>0.48497854080000002</v>
      </c>
      <c r="N81" s="156">
        <v>0.12758486150000001</v>
      </c>
      <c r="O81" s="156">
        <v>0</v>
      </c>
      <c r="P81" s="156">
        <v>0</v>
      </c>
      <c r="Q81" s="156">
        <v>0</v>
      </c>
      <c r="R81" s="159">
        <v>3.9016777209999999E-2</v>
      </c>
      <c r="S81" s="155">
        <v>0.40539419090000001</v>
      </c>
      <c r="T81" s="156">
        <v>0.56307053939999996</v>
      </c>
      <c r="U81" s="156">
        <v>0</v>
      </c>
      <c r="V81" s="156">
        <v>0</v>
      </c>
      <c r="W81" s="156">
        <v>5.8091286309999999E-3</v>
      </c>
      <c r="X81" s="156">
        <v>0</v>
      </c>
      <c r="Y81" s="157">
        <v>2.5726141080000001E-2</v>
      </c>
      <c r="Z81" s="158">
        <v>0.39211618259999997</v>
      </c>
      <c r="AA81" s="156">
        <v>0.56763485479999998</v>
      </c>
      <c r="AB81" s="156">
        <v>0</v>
      </c>
      <c r="AC81" s="156">
        <v>0</v>
      </c>
      <c r="AD81" s="156">
        <v>7.4688796680000002E-3</v>
      </c>
      <c r="AE81" s="156">
        <v>0</v>
      </c>
      <c r="AF81" s="159">
        <v>3.2780082990000001E-2</v>
      </c>
      <c r="AG81" s="155">
        <v>0.15207373269999999</v>
      </c>
      <c r="AH81" s="156">
        <v>0</v>
      </c>
      <c r="AI81" s="156">
        <v>0</v>
      </c>
      <c r="AJ81" s="156">
        <v>1.1981566819999999E-2</v>
      </c>
      <c r="AK81" s="156">
        <v>0.3</v>
      </c>
      <c r="AL81" s="156">
        <v>0.45345622120000001</v>
      </c>
      <c r="AM81" s="157">
        <v>8.2488479259999997E-2</v>
      </c>
      <c r="AN81" s="158">
        <v>0.16313364059999999</v>
      </c>
      <c r="AO81" s="156">
        <v>0</v>
      </c>
      <c r="AP81" s="156">
        <v>0</v>
      </c>
      <c r="AQ81" s="156">
        <v>0</v>
      </c>
      <c r="AR81" s="156">
        <v>0.3133640553</v>
      </c>
      <c r="AS81" s="156">
        <v>0.46313364060000001</v>
      </c>
      <c r="AT81" s="159">
        <v>6.0368663590000003E-2</v>
      </c>
    </row>
    <row r="82" spans="1:46" ht="12.75">
      <c r="A82" s="67" t="s">
        <v>793</v>
      </c>
      <c r="B82" s="67" t="s">
        <v>792</v>
      </c>
      <c r="C82" s="67" t="s">
        <v>792</v>
      </c>
      <c r="D82" s="67" t="s">
        <v>792</v>
      </c>
      <c r="E82" s="155">
        <v>0.52383539990000005</v>
      </c>
      <c r="F82" s="156">
        <v>0.42068863309999999</v>
      </c>
      <c r="G82" s="156">
        <v>0.17102208169999999</v>
      </c>
      <c r="H82" s="156">
        <v>1.8722521369999998E-2</v>
      </c>
      <c r="I82" s="156">
        <v>0</v>
      </c>
      <c r="J82" s="156">
        <v>0</v>
      </c>
      <c r="K82" s="157">
        <v>0.13426863610000001</v>
      </c>
      <c r="L82" s="158">
        <v>0.37817822760000003</v>
      </c>
      <c r="M82" s="156">
        <v>0.35729449520000001</v>
      </c>
      <c r="N82" s="156">
        <v>0.2039990126</v>
      </c>
      <c r="O82" s="156">
        <v>0</v>
      </c>
      <c r="P82" s="156">
        <v>0</v>
      </c>
      <c r="Q82" s="156">
        <v>0</v>
      </c>
      <c r="R82" s="159">
        <v>6.0528264630000002E-2</v>
      </c>
      <c r="S82" s="155">
        <v>0.57328397539999998</v>
      </c>
      <c r="T82" s="156">
        <v>0.36303174799999999</v>
      </c>
      <c r="U82" s="156">
        <v>0</v>
      </c>
      <c r="V82" s="156">
        <v>0</v>
      </c>
      <c r="W82" s="156">
        <v>2.1960095369999998E-2</v>
      </c>
      <c r="X82" s="156">
        <v>0</v>
      </c>
      <c r="Y82" s="157">
        <v>4.1724181200000002E-2</v>
      </c>
      <c r="Z82" s="158">
        <v>0.48218095119999999</v>
      </c>
      <c r="AA82" s="156">
        <v>0.3098255741</v>
      </c>
      <c r="AB82" s="156">
        <v>0</v>
      </c>
      <c r="AC82" s="156">
        <v>0</v>
      </c>
      <c r="AD82" s="156">
        <v>1.5748525539999999E-2</v>
      </c>
      <c r="AE82" s="156">
        <v>0</v>
      </c>
      <c r="AF82" s="159">
        <v>0.19224494919999999</v>
      </c>
      <c r="AG82" s="155">
        <v>0.17749244710000001</v>
      </c>
      <c r="AH82" s="156">
        <v>0</v>
      </c>
      <c r="AI82" s="156">
        <v>0</v>
      </c>
      <c r="AJ82" s="156">
        <v>1.574482919E-2</v>
      </c>
      <c r="AK82" s="156">
        <v>0.33790378809999999</v>
      </c>
      <c r="AL82" s="156">
        <v>0.36143388329999998</v>
      </c>
      <c r="AM82" s="157">
        <v>0.1074250523</v>
      </c>
      <c r="AN82" s="158">
        <v>0.17680553130000001</v>
      </c>
      <c r="AO82" s="156">
        <v>0</v>
      </c>
      <c r="AP82" s="156">
        <v>0</v>
      </c>
      <c r="AQ82" s="156">
        <v>0</v>
      </c>
      <c r="AR82" s="156">
        <v>0.33315902619999999</v>
      </c>
      <c r="AS82" s="156">
        <v>0.36691650689999999</v>
      </c>
      <c r="AT82" s="159">
        <v>0.12311893560000001</v>
      </c>
    </row>
    <row r="83" spans="1:46" ht="12.75">
      <c r="A83" s="67" t="s">
        <v>791</v>
      </c>
      <c r="B83" s="67" t="s">
        <v>792</v>
      </c>
      <c r="C83" s="67" t="s">
        <v>792</v>
      </c>
      <c r="D83" s="67" t="s">
        <v>792</v>
      </c>
      <c r="E83" s="155">
        <v>0.41287863260000002</v>
      </c>
      <c r="F83" s="156">
        <v>0.39309868310000001</v>
      </c>
      <c r="G83" s="156">
        <v>0.15117783800000001</v>
      </c>
      <c r="H83" s="156">
        <v>1.339157625E-2</v>
      </c>
      <c r="I83" s="156">
        <v>0</v>
      </c>
      <c r="J83" s="156">
        <v>0</v>
      </c>
      <c r="K83" s="157">
        <v>2.9453270019999998E-2</v>
      </c>
      <c r="L83" s="158">
        <v>0.50847081709999997</v>
      </c>
      <c r="M83" s="156">
        <v>0.62547557710000001</v>
      </c>
      <c r="N83" s="156">
        <v>0.25672632350000002</v>
      </c>
      <c r="O83" s="156">
        <v>0</v>
      </c>
      <c r="P83" s="156">
        <v>0</v>
      </c>
      <c r="Q83" s="156">
        <v>0</v>
      </c>
      <c r="R83" s="159">
        <v>0.39067271770000001</v>
      </c>
      <c r="S83" s="155">
        <v>0.56118517239999999</v>
      </c>
      <c r="T83" s="156">
        <v>0.3769346556</v>
      </c>
      <c r="U83" s="156">
        <v>0</v>
      </c>
      <c r="V83" s="156">
        <v>0</v>
      </c>
      <c r="W83" s="156">
        <v>2.2715323839999999E-2</v>
      </c>
      <c r="X83" s="156">
        <v>0</v>
      </c>
      <c r="Y83" s="157">
        <v>3.916484814E-2</v>
      </c>
      <c r="Z83" s="158">
        <v>0.54652067429999995</v>
      </c>
      <c r="AA83" s="156">
        <v>0.37176919749999998</v>
      </c>
      <c r="AB83" s="156">
        <v>0</v>
      </c>
      <c r="AC83" s="156">
        <v>0</v>
      </c>
      <c r="AD83" s="156">
        <v>2.2295058350000001E-2</v>
      </c>
      <c r="AE83" s="156">
        <v>0</v>
      </c>
      <c r="AF83" s="159">
        <v>5.9415069869999997E-2</v>
      </c>
      <c r="AG83" s="155">
        <v>0.2020349692</v>
      </c>
      <c r="AH83" s="156">
        <v>0</v>
      </c>
      <c r="AI83" s="156">
        <v>0</v>
      </c>
      <c r="AJ83" s="156">
        <v>1.3132357020000001E-2</v>
      </c>
      <c r="AK83" s="156">
        <v>0.37885547689999999</v>
      </c>
      <c r="AL83" s="156">
        <v>0.31586553410000001</v>
      </c>
      <c r="AM83" s="157">
        <v>9.0111662839999995E-2</v>
      </c>
      <c r="AN83" s="158">
        <v>0.21484506279999999</v>
      </c>
      <c r="AO83" s="156">
        <v>0</v>
      </c>
      <c r="AP83" s="156">
        <v>0</v>
      </c>
      <c r="AQ83" s="156">
        <v>0</v>
      </c>
      <c r="AR83" s="156">
        <v>0.37147106270000002</v>
      </c>
      <c r="AS83" s="156">
        <v>0.29599381600000002</v>
      </c>
      <c r="AT83" s="159">
        <v>0.1176900585</v>
      </c>
    </row>
    <row r="84" spans="1:46" ht="12.75">
      <c r="A84" s="67" t="s">
        <v>11</v>
      </c>
      <c r="B84" s="67" t="s">
        <v>261</v>
      </c>
      <c r="C84" s="67" t="s">
        <v>262</v>
      </c>
      <c r="D84" s="67" t="s">
        <v>262</v>
      </c>
      <c r="E84" s="155">
        <v>0.45135075769999999</v>
      </c>
      <c r="F84" s="156">
        <v>0.39666154180000002</v>
      </c>
      <c r="G84" s="156">
        <v>9.3784318029999994E-2</v>
      </c>
      <c r="H84" s="156">
        <v>1.010322864E-2</v>
      </c>
      <c r="I84" s="156">
        <v>0</v>
      </c>
      <c r="J84" s="156">
        <v>0</v>
      </c>
      <c r="K84" s="157">
        <v>4.8100153739999998E-2</v>
      </c>
      <c r="L84" s="158">
        <v>0.41796617609999998</v>
      </c>
      <c r="M84" s="156">
        <v>0.45662200749999998</v>
      </c>
      <c r="N84" s="156">
        <v>0.1023500988</v>
      </c>
      <c r="O84" s="156">
        <v>0</v>
      </c>
      <c r="P84" s="156">
        <v>0</v>
      </c>
      <c r="Q84" s="156">
        <v>0</v>
      </c>
      <c r="R84" s="159">
        <v>2.3061717549999999E-2</v>
      </c>
      <c r="S84" s="155">
        <v>0.48704268290000002</v>
      </c>
      <c r="T84" s="156">
        <v>0.45807926830000001</v>
      </c>
      <c r="U84" s="156">
        <v>0</v>
      </c>
      <c r="V84" s="156">
        <v>0</v>
      </c>
      <c r="W84" s="156">
        <v>1.3719512200000001E-2</v>
      </c>
      <c r="X84" s="156">
        <v>0</v>
      </c>
      <c r="Y84" s="157">
        <v>4.1158536590000003E-2</v>
      </c>
      <c r="Z84" s="158">
        <v>0.37779471539999998</v>
      </c>
      <c r="AA84" s="156">
        <v>0.38592479670000002</v>
      </c>
      <c r="AB84" s="156">
        <v>0</v>
      </c>
      <c r="AC84" s="156">
        <v>0</v>
      </c>
      <c r="AD84" s="156">
        <v>9.4004065039999998E-3</v>
      </c>
      <c r="AE84" s="156">
        <v>0</v>
      </c>
      <c r="AF84" s="159">
        <v>0.22688008130000001</v>
      </c>
      <c r="AG84" s="155">
        <v>0.13602508820000001</v>
      </c>
      <c r="AH84" s="156">
        <v>0</v>
      </c>
      <c r="AI84" s="156">
        <v>0</v>
      </c>
      <c r="AJ84" s="156">
        <v>1.254410035E-2</v>
      </c>
      <c r="AK84" s="156">
        <v>0.42061936500000002</v>
      </c>
      <c r="AL84" s="156">
        <v>0.34692277539999999</v>
      </c>
      <c r="AM84" s="157">
        <v>8.3888671109999993E-2</v>
      </c>
      <c r="AN84" s="158">
        <v>0.13602508820000001</v>
      </c>
      <c r="AO84" s="156">
        <v>0</v>
      </c>
      <c r="AP84" s="156">
        <v>0</v>
      </c>
      <c r="AQ84" s="156">
        <v>0</v>
      </c>
      <c r="AR84" s="156">
        <v>0.43355546839999998</v>
      </c>
      <c r="AS84" s="156">
        <v>0.35515484120000002</v>
      </c>
      <c r="AT84" s="159">
        <v>7.5264602119999996E-2</v>
      </c>
    </row>
    <row r="85" spans="1:46" ht="12.75">
      <c r="A85" s="67" t="s">
        <v>11</v>
      </c>
      <c r="B85" s="67" t="s">
        <v>261</v>
      </c>
      <c r="C85" s="67" t="s">
        <v>264</v>
      </c>
      <c r="D85" s="67" t="s">
        <v>264</v>
      </c>
      <c r="E85" s="155">
        <v>0.63295500609999999</v>
      </c>
      <c r="F85" s="156">
        <v>0.43554925010000001</v>
      </c>
      <c r="G85" s="156">
        <v>0.14167004459999999</v>
      </c>
      <c r="H85" s="156">
        <v>1.418727199E-2</v>
      </c>
      <c r="I85" s="156">
        <v>0</v>
      </c>
      <c r="J85" s="156">
        <v>0</v>
      </c>
      <c r="K85" s="157">
        <v>0.22436157279999999</v>
      </c>
      <c r="L85" s="158">
        <v>0.37940818809999999</v>
      </c>
      <c r="M85" s="156">
        <v>0.42197000410000002</v>
      </c>
      <c r="N85" s="156">
        <v>0.15889744629999999</v>
      </c>
      <c r="O85" s="156">
        <v>0</v>
      </c>
      <c r="P85" s="156">
        <v>0</v>
      </c>
      <c r="Q85" s="156">
        <v>0</v>
      </c>
      <c r="R85" s="159">
        <v>3.9724361569999998E-2</v>
      </c>
      <c r="S85" s="155">
        <v>0.42930277909999998</v>
      </c>
      <c r="T85" s="156">
        <v>0.50487567040000003</v>
      </c>
      <c r="U85" s="156">
        <v>0</v>
      </c>
      <c r="V85" s="156">
        <v>0</v>
      </c>
      <c r="W85" s="156">
        <v>1.0726474890000001E-2</v>
      </c>
      <c r="X85" s="156">
        <v>0</v>
      </c>
      <c r="Y85" s="157">
        <v>5.5095075569999999E-2</v>
      </c>
      <c r="Z85" s="158">
        <v>0.34032179420000003</v>
      </c>
      <c r="AA85" s="156">
        <v>0.44856167720000001</v>
      </c>
      <c r="AB85" s="156">
        <v>0</v>
      </c>
      <c r="AC85" s="156">
        <v>0</v>
      </c>
      <c r="AD85" s="156">
        <v>7.0697220869999997E-3</v>
      </c>
      <c r="AE85" s="156">
        <v>0</v>
      </c>
      <c r="AF85" s="159">
        <v>0.2040468064</v>
      </c>
      <c r="AG85" s="155">
        <v>0.22713717689999999</v>
      </c>
      <c r="AH85" s="156">
        <v>0</v>
      </c>
      <c r="AI85" s="156">
        <v>0</v>
      </c>
      <c r="AJ85" s="156">
        <v>1.590457256E-2</v>
      </c>
      <c r="AK85" s="156">
        <v>0.25173956260000002</v>
      </c>
      <c r="AL85" s="156">
        <v>0.43041749499999998</v>
      </c>
      <c r="AM85" s="157">
        <v>7.4801192840000003E-2</v>
      </c>
      <c r="AN85" s="158">
        <v>0.23086481110000001</v>
      </c>
      <c r="AO85" s="156">
        <v>0</v>
      </c>
      <c r="AP85" s="156">
        <v>0</v>
      </c>
      <c r="AQ85" s="156">
        <v>0</v>
      </c>
      <c r="AR85" s="156">
        <v>0.26640159050000001</v>
      </c>
      <c r="AS85" s="156">
        <v>0.43638170970000001</v>
      </c>
      <c r="AT85" s="159">
        <v>6.6351888669999998E-2</v>
      </c>
    </row>
    <row r="86" spans="1:46" ht="12.75">
      <c r="A86" s="67" t="s">
        <v>11</v>
      </c>
      <c r="B86" s="67" t="s">
        <v>261</v>
      </c>
      <c r="C86" s="67" t="s">
        <v>266</v>
      </c>
      <c r="D86" s="67" t="s">
        <v>266</v>
      </c>
      <c r="E86" s="155">
        <v>0.5428971091</v>
      </c>
      <c r="F86" s="156">
        <v>0.44093876279999999</v>
      </c>
      <c r="G86" s="156">
        <v>0.12029841469999999</v>
      </c>
      <c r="H86" s="156">
        <v>1.11905502E-2</v>
      </c>
      <c r="I86" s="156">
        <v>0</v>
      </c>
      <c r="J86" s="156">
        <v>0</v>
      </c>
      <c r="K86" s="157">
        <v>0.1153248368</v>
      </c>
      <c r="L86" s="158">
        <v>0.36590296500000002</v>
      </c>
      <c r="M86" s="156">
        <v>0.47001347710000002</v>
      </c>
      <c r="N86" s="156">
        <v>0.130222372</v>
      </c>
      <c r="O86" s="156">
        <v>0</v>
      </c>
      <c r="P86" s="156">
        <v>0</v>
      </c>
      <c r="Q86" s="156">
        <v>0</v>
      </c>
      <c r="R86" s="159">
        <v>3.386118598E-2</v>
      </c>
      <c r="S86" s="155">
        <v>0.4875814691</v>
      </c>
      <c r="T86" s="156">
        <v>0.45376078910000001</v>
      </c>
      <c r="U86" s="156">
        <v>0</v>
      </c>
      <c r="V86" s="156">
        <v>0</v>
      </c>
      <c r="W86" s="156">
        <v>1.10974106E-2</v>
      </c>
      <c r="X86" s="156">
        <v>0</v>
      </c>
      <c r="Y86" s="157">
        <v>4.7560331159999997E-2</v>
      </c>
      <c r="Z86" s="158">
        <v>0.42645763609999998</v>
      </c>
      <c r="AA86" s="156">
        <v>0.41342258230000001</v>
      </c>
      <c r="AB86" s="156">
        <v>0</v>
      </c>
      <c r="AC86" s="156">
        <v>0</v>
      </c>
      <c r="AD86" s="156">
        <v>8.2790206089999995E-3</v>
      </c>
      <c r="AE86" s="156">
        <v>0</v>
      </c>
      <c r="AF86" s="159">
        <v>0.15184076099999999</v>
      </c>
      <c r="AG86" s="155">
        <v>0.1719570107</v>
      </c>
      <c r="AH86" s="156">
        <v>0</v>
      </c>
      <c r="AI86" s="156">
        <v>0</v>
      </c>
      <c r="AJ86" s="156">
        <v>1.1497125719999999E-2</v>
      </c>
      <c r="AK86" s="156">
        <v>0.47088227939999999</v>
      </c>
      <c r="AL86" s="156">
        <v>0.24168957760000001</v>
      </c>
      <c r="AM86" s="157">
        <v>0.10397400649999999</v>
      </c>
      <c r="AN86" s="158">
        <v>0.17145713570000001</v>
      </c>
      <c r="AO86" s="156">
        <v>0</v>
      </c>
      <c r="AP86" s="156">
        <v>0</v>
      </c>
      <c r="AQ86" s="156">
        <v>0</v>
      </c>
      <c r="AR86" s="156">
        <v>0.4791302174</v>
      </c>
      <c r="AS86" s="156">
        <v>0.24093976510000001</v>
      </c>
      <c r="AT86" s="159">
        <v>0.1084728818</v>
      </c>
    </row>
    <row r="87" spans="1:46" ht="12.75">
      <c r="A87" s="67" t="s">
        <v>11</v>
      </c>
      <c r="B87" s="67" t="s">
        <v>261</v>
      </c>
      <c r="C87" s="67" t="s">
        <v>267</v>
      </c>
      <c r="D87" s="67" t="s">
        <v>267</v>
      </c>
      <c r="E87" s="155">
        <v>0.50053821310000002</v>
      </c>
      <c r="F87" s="156">
        <v>0.37432723359999998</v>
      </c>
      <c r="G87" s="156">
        <v>0.2491926803</v>
      </c>
      <c r="H87" s="156">
        <v>8.8805166849999992E-3</v>
      </c>
      <c r="I87" s="156">
        <v>0</v>
      </c>
      <c r="J87" s="156">
        <v>0</v>
      </c>
      <c r="K87" s="157">
        <v>0.1329386437</v>
      </c>
      <c r="L87" s="158">
        <v>0.22661290319999999</v>
      </c>
      <c r="M87" s="156">
        <v>0.30913978489999999</v>
      </c>
      <c r="N87" s="156">
        <v>0.28467741940000002</v>
      </c>
      <c r="O87" s="156">
        <v>0</v>
      </c>
      <c r="P87" s="156">
        <v>0</v>
      </c>
      <c r="Q87" s="156">
        <v>0</v>
      </c>
      <c r="R87" s="159">
        <v>0.17956989249999999</v>
      </c>
      <c r="S87" s="155">
        <v>0.57965883490000003</v>
      </c>
      <c r="T87" s="156">
        <v>0.34728033470000003</v>
      </c>
      <c r="U87" s="156">
        <v>0</v>
      </c>
      <c r="V87" s="156">
        <v>0</v>
      </c>
      <c r="W87" s="156">
        <v>1.3196009010000001E-2</v>
      </c>
      <c r="X87" s="156">
        <v>0</v>
      </c>
      <c r="Y87" s="157">
        <v>5.9864821370000001E-2</v>
      </c>
      <c r="Z87" s="158">
        <v>0.32764724810000001</v>
      </c>
      <c r="AA87" s="156">
        <v>0.28258770519999998</v>
      </c>
      <c r="AB87" s="156">
        <v>0</v>
      </c>
      <c r="AC87" s="156">
        <v>0</v>
      </c>
      <c r="AD87" s="156">
        <v>7.7244930800000004E-3</v>
      </c>
      <c r="AE87" s="156">
        <v>0</v>
      </c>
      <c r="AF87" s="159">
        <v>0.3820405536</v>
      </c>
      <c r="AG87" s="155">
        <v>4.5512547850000001E-2</v>
      </c>
      <c r="AH87" s="156">
        <v>0</v>
      </c>
      <c r="AI87" s="156">
        <v>0</v>
      </c>
      <c r="AJ87" s="156">
        <v>6.8056146319999998E-3</v>
      </c>
      <c r="AK87" s="156">
        <v>0.24542747770000001</v>
      </c>
      <c r="AL87" s="156">
        <v>0.60059549130000001</v>
      </c>
      <c r="AM87" s="157">
        <v>0.10165886859999999</v>
      </c>
      <c r="AN87" s="158">
        <v>4.7639302420000001E-2</v>
      </c>
      <c r="AO87" s="156">
        <v>0</v>
      </c>
      <c r="AP87" s="156">
        <v>0</v>
      </c>
      <c r="AQ87" s="156">
        <v>0</v>
      </c>
      <c r="AR87" s="156">
        <v>0.2624415142</v>
      </c>
      <c r="AS87" s="156">
        <v>0.60017014040000005</v>
      </c>
      <c r="AT87" s="159">
        <v>8.9749042959999997E-2</v>
      </c>
    </row>
    <row r="88" spans="1:46" ht="12.75">
      <c r="A88" s="67" t="s">
        <v>11</v>
      </c>
      <c r="B88" s="67" t="s">
        <v>261</v>
      </c>
      <c r="C88" s="67" t="s">
        <v>269</v>
      </c>
      <c r="D88" s="67" t="s">
        <v>269</v>
      </c>
      <c r="E88" s="155">
        <v>0.42872759069999999</v>
      </c>
      <c r="F88" s="156">
        <v>0.55159597729999998</v>
      </c>
      <c r="G88" s="156">
        <v>0.29405334500000002</v>
      </c>
      <c r="H88" s="156">
        <v>4.1539134239999996E-3</v>
      </c>
      <c r="I88" s="156">
        <v>0</v>
      </c>
      <c r="J88" s="156">
        <v>0</v>
      </c>
      <c r="K88" s="157">
        <v>0.27853082639999999</v>
      </c>
      <c r="L88" s="158">
        <v>0.30564057719999999</v>
      </c>
      <c r="M88" s="156">
        <v>0.35351989509999998</v>
      </c>
      <c r="N88" s="156">
        <v>0.31853957150000001</v>
      </c>
      <c r="O88" s="156">
        <v>0</v>
      </c>
      <c r="P88" s="156">
        <v>0</v>
      </c>
      <c r="Q88" s="156">
        <v>0</v>
      </c>
      <c r="R88" s="159">
        <v>2.2299956270000001E-2</v>
      </c>
      <c r="S88" s="155">
        <v>0.62140859390000003</v>
      </c>
      <c r="T88" s="156">
        <v>0.2941774727</v>
      </c>
      <c r="U88" s="156">
        <v>0</v>
      </c>
      <c r="V88" s="156">
        <v>0</v>
      </c>
      <c r="W88" s="156">
        <v>1.906941266E-2</v>
      </c>
      <c r="X88" s="156">
        <v>0</v>
      </c>
      <c r="Y88" s="157">
        <v>6.5344520719999993E-2</v>
      </c>
      <c r="Z88" s="158">
        <v>0.3808434959</v>
      </c>
      <c r="AA88" s="156">
        <v>0.168445122</v>
      </c>
      <c r="AB88" s="156">
        <v>0</v>
      </c>
      <c r="AC88" s="156">
        <v>0</v>
      </c>
      <c r="AD88" s="156">
        <v>6.3516260159999999E-3</v>
      </c>
      <c r="AE88" s="156">
        <v>0</v>
      </c>
      <c r="AF88" s="159">
        <v>0.4443597561</v>
      </c>
      <c r="AG88" s="155">
        <v>0.16858237549999999</v>
      </c>
      <c r="AH88" s="156">
        <v>0</v>
      </c>
      <c r="AI88" s="156">
        <v>0</v>
      </c>
      <c r="AJ88" s="156">
        <v>1.178897731E-2</v>
      </c>
      <c r="AK88" s="156">
        <v>0.37164750959999998</v>
      </c>
      <c r="AL88" s="156">
        <v>0.36133215439999999</v>
      </c>
      <c r="AM88" s="157">
        <v>8.6648983200000002E-2</v>
      </c>
      <c r="AN88" s="158">
        <v>0.17094017089999999</v>
      </c>
      <c r="AO88" s="156">
        <v>0</v>
      </c>
      <c r="AP88" s="156">
        <v>0</v>
      </c>
      <c r="AQ88" s="156">
        <v>0</v>
      </c>
      <c r="AR88" s="156">
        <v>0.37046861180000001</v>
      </c>
      <c r="AS88" s="156">
        <v>0.3769525494</v>
      </c>
      <c r="AT88" s="159">
        <v>8.1638667849999999E-2</v>
      </c>
    </row>
    <row r="89" spans="1:46" ht="12.75">
      <c r="A89" s="67" t="s">
        <v>11</v>
      </c>
      <c r="B89" s="67" t="s">
        <v>261</v>
      </c>
      <c r="C89" s="67" t="s">
        <v>271</v>
      </c>
      <c r="D89" s="67" t="s">
        <v>271</v>
      </c>
      <c r="E89" s="155">
        <v>0.51395348839999999</v>
      </c>
      <c r="F89" s="156">
        <v>0.4073089701</v>
      </c>
      <c r="G89" s="156">
        <v>5.548172757E-2</v>
      </c>
      <c r="H89" s="156">
        <v>3.9867109630000001E-3</v>
      </c>
      <c r="I89" s="156">
        <v>0</v>
      </c>
      <c r="J89" s="156">
        <v>0</v>
      </c>
      <c r="K89" s="157">
        <v>1.9269102989999998E-2</v>
      </c>
      <c r="L89" s="158">
        <v>0.47774086380000003</v>
      </c>
      <c r="M89" s="156">
        <v>0.42059800660000002</v>
      </c>
      <c r="N89" s="156">
        <v>8.0398671099999999E-2</v>
      </c>
      <c r="O89" s="156">
        <v>0</v>
      </c>
      <c r="P89" s="156">
        <v>0</v>
      </c>
      <c r="Q89" s="156">
        <v>0</v>
      </c>
      <c r="R89" s="159">
        <v>2.1262458469999999E-2</v>
      </c>
      <c r="S89" s="155">
        <v>0.42418569820000002</v>
      </c>
      <c r="T89" s="156">
        <v>0.51740920999999995</v>
      </c>
      <c r="U89" s="156">
        <v>0</v>
      </c>
      <c r="V89" s="156">
        <v>0</v>
      </c>
      <c r="W89" s="156">
        <v>2.2837888430000002E-2</v>
      </c>
      <c r="X89" s="156">
        <v>0</v>
      </c>
      <c r="Y89" s="157">
        <v>3.5567203290000002E-2</v>
      </c>
      <c r="Z89" s="158">
        <v>0.3440658929</v>
      </c>
      <c r="AA89" s="156">
        <v>0.47210782480000002</v>
      </c>
      <c r="AB89" s="156">
        <v>0</v>
      </c>
      <c r="AC89" s="156">
        <v>0</v>
      </c>
      <c r="AD89" s="156">
        <v>1.0857356800000001E-2</v>
      </c>
      <c r="AE89" s="156">
        <v>0</v>
      </c>
      <c r="AF89" s="159">
        <v>0.17296892550000001</v>
      </c>
      <c r="AG89" s="155">
        <v>0.36097152430000001</v>
      </c>
      <c r="AH89" s="156">
        <v>0</v>
      </c>
      <c r="AI89" s="156">
        <v>0</v>
      </c>
      <c r="AJ89" s="156">
        <v>9.2127303180000002E-3</v>
      </c>
      <c r="AK89" s="156">
        <v>0.34924623119999998</v>
      </c>
      <c r="AL89" s="156">
        <v>0.24329983250000001</v>
      </c>
      <c r="AM89" s="157">
        <v>3.7269681739999998E-2</v>
      </c>
      <c r="AN89" s="158">
        <v>0.36348408710000002</v>
      </c>
      <c r="AO89" s="156">
        <v>0</v>
      </c>
      <c r="AP89" s="156">
        <v>0</v>
      </c>
      <c r="AQ89" s="156">
        <v>0</v>
      </c>
      <c r="AR89" s="156">
        <v>0.35427135679999999</v>
      </c>
      <c r="AS89" s="156">
        <v>0.2495812395</v>
      </c>
      <c r="AT89" s="159">
        <v>3.2663316579999997E-2</v>
      </c>
    </row>
    <row r="90" spans="1:46" ht="12.75">
      <c r="A90" s="67" t="s">
        <v>11</v>
      </c>
      <c r="B90" s="67" t="s">
        <v>261</v>
      </c>
      <c r="C90" s="67" t="s">
        <v>273</v>
      </c>
      <c r="D90" s="67" t="s">
        <v>273</v>
      </c>
      <c r="E90" s="155">
        <v>0.69754552650000001</v>
      </c>
      <c r="F90" s="156">
        <v>0.42755344420000002</v>
      </c>
      <c r="G90" s="156">
        <v>0.12114014250000001</v>
      </c>
      <c r="H90" s="156">
        <v>5.5423594620000001E-3</v>
      </c>
      <c r="I90" s="156">
        <v>0</v>
      </c>
      <c r="J90" s="156">
        <v>0</v>
      </c>
      <c r="K90" s="157">
        <v>0.25178147270000001</v>
      </c>
      <c r="L90" s="158">
        <v>0.48535233570000003</v>
      </c>
      <c r="M90" s="156">
        <v>0.35471100550000001</v>
      </c>
      <c r="N90" s="156">
        <v>0.13143309580000001</v>
      </c>
      <c r="O90" s="156">
        <v>0</v>
      </c>
      <c r="P90" s="156">
        <v>0</v>
      </c>
      <c r="Q90" s="156">
        <v>0</v>
      </c>
      <c r="R90" s="159">
        <v>2.8503562949999998E-2</v>
      </c>
      <c r="S90" s="155">
        <v>0.66107382550000005</v>
      </c>
      <c r="T90" s="156">
        <v>0.30201342279999999</v>
      </c>
      <c r="U90" s="156">
        <v>0</v>
      </c>
      <c r="V90" s="156">
        <v>0</v>
      </c>
      <c r="W90" s="156">
        <v>6.7114093959999999E-3</v>
      </c>
      <c r="X90" s="156">
        <v>0</v>
      </c>
      <c r="Y90" s="157">
        <v>3.0201342280000001E-2</v>
      </c>
      <c r="Z90" s="158">
        <v>0.59228187919999997</v>
      </c>
      <c r="AA90" s="156">
        <v>9.8993288590000006E-2</v>
      </c>
      <c r="AB90" s="156">
        <v>0</v>
      </c>
      <c r="AC90" s="156">
        <v>0</v>
      </c>
      <c r="AD90" s="156">
        <v>1.677852349E-3</v>
      </c>
      <c r="AE90" s="156">
        <v>0</v>
      </c>
      <c r="AF90" s="159">
        <v>0.30704697990000002</v>
      </c>
      <c r="AG90" s="155">
        <v>0.39622641510000001</v>
      </c>
      <c r="AH90" s="156">
        <v>0</v>
      </c>
      <c r="AI90" s="156">
        <v>0</v>
      </c>
      <c r="AJ90" s="156">
        <v>6.2893081759999997E-3</v>
      </c>
      <c r="AK90" s="156">
        <v>0.2641509434</v>
      </c>
      <c r="AL90" s="156">
        <v>0.2431865828</v>
      </c>
      <c r="AM90" s="157">
        <v>9.0146750519999999E-2</v>
      </c>
      <c r="AN90" s="158">
        <v>0.41299790359999999</v>
      </c>
      <c r="AO90" s="156">
        <v>0</v>
      </c>
      <c r="AP90" s="156">
        <v>0</v>
      </c>
      <c r="AQ90" s="156">
        <v>0</v>
      </c>
      <c r="AR90" s="156">
        <v>0.27044025160000001</v>
      </c>
      <c r="AS90" s="156">
        <v>0.2431865828</v>
      </c>
      <c r="AT90" s="159">
        <v>7.3375262050000001E-2</v>
      </c>
    </row>
    <row r="91" spans="1:46" ht="12.75">
      <c r="A91" s="67" t="s">
        <v>11</v>
      </c>
      <c r="B91" s="67" t="s">
        <v>261</v>
      </c>
      <c r="C91" s="67" t="s">
        <v>275</v>
      </c>
      <c r="D91" s="67" t="s">
        <v>275</v>
      </c>
      <c r="E91" s="155">
        <v>0.36514148099999999</v>
      </c>
      <c r="F91" s="156">
        <v>0.3720650211</v>
      </c>
      <c r="G91" s="156">
        <v>0.23540036119999999</v>
      </c>
      <c r="H91" s="156">
        <v>6.9235400359999996E-3</v>
      </c>
      <c r="I91" s="156">
        <v>0</v>
      </c>
      <c r="J91" s="156">
        <v>0</v>
      </c>
      <c r="K91" s="157">
        <v>2.046959663E-2</v>
      </c>
      <c r="L91" s="158">
        <v>0.29048765799999998</v>
      </c>
      <c r="M91" s="156">
        <v>0.38801926549999999</v>
      </c>
      <c r="N91" s="156">
        <v>0.30252859720000003</v>
      </c>
      <c r="O91" s="156">
        <v>0</v>
      </c>
      <c r="P91" s="156">
        <v>0</v>
      </c>
      <c r="Q91" s="156">
        <v>0</v>
      </c>
      <c r="R91" s="159">
        <v>1.8964479230000001E-2</v>
      </c>
      <c r="S91" s="155">
        <v>0.44549918170000002</v>
      </c>
      <c r="T91" s="156">
        <v>0.4870703764</v>
      </c>
      <c r="U91" s="156">
        <v>0</v>
      </c>
      <c r="V91" s="156">
        <v>0</v>
      </c>
      <c r="W91" s="156">
        <v>1.276595745E-2</v>
      </c>
      <c r="X91" s="156">
        <v>0</v>
      </c>
      <c r="Y91" s="157">
        <v>5.4664484450000002E-2</v>
      </c>
      <c r="Z91" s="158">
        <v>0.23666121109999999</v>
      </c>
      <c r="AA91" s="156">
        <v>0.2353518822</v>
      </c>
      <c r="AB91" s="156">
        <v>0</v>
      </c>
      <c r="AC91" s="156">
        <v>0</v>
      </c>
      <c r="AD91" s="156">
        <v>3.273322422E-3</v>
      </c>
      <c r="AE91" s="156">
        <v>0</v>
      </c>
      <c r="AF91" s="159">
        <v>0.52471358430000004</v>
      </c>
      <c r="AG91" s="155">
        <v>9.8348348350000003E-2</v>
      </c>
      <c r="AH91" s="156">
        <v>0</v>
      </c>
      <c r="AI91" s="156">
        <v>0</v>
      </c>
      <c r="AJ91" s="156">
        <v>5.6306306309999998E-3</v>
      </c>
      <c r="AK91" s="156">
        <v>0.24662162160000001</v>
      </c>
      <c r="AL91" s="156">
        <v>0.59309309310000002</v>
      </c>
      <c r="AM91" s="157">
        <v>5.6306306309999998E-2</v>
      </c>
      <c r="AN91" s="158">
        <v>9.8723723720000003E-2</v>
      </c>
      <c r="AO91" s="156">
        <v>0</v>
      </c>
      <c r="AP91" s="156">
        <v>0</v>
      </c>
      <c r="AQ91" s="156">
        <v>0</v>
      </c>
      <c r="AR91" s="156">
        <v>0.246996997</v>
      </c>
      <c r="AS91" s="156">
        <v>0.59046546550000001</v>
      </c>
      <c r="AT91" s="159">
        <v>6.3813813809999995E-2</v>
      </c>
    </row>
    <row r="92" spans="1:46" ht="12.75">
      <c r="A92" s="67" t="s">
        <v>11</v>
      </c>
      <c r="B92" s="67" t="s">
        <v>261</v>
      </c>
      <c r="C92" s="67" t="s">
        <v>277</v>
      </c>
      <c r="D92" s="67" t="s">
        <v>277</v>
      </c>
      <c r="E92" s="155">
        <v>0.3821209465</v>
      </c>
      <c r="F92" s="156">
        <v>0.56704645050000002</v>
      </c>
      <c r="G92" s="156">
        <v>3.0674846629999999E-2</v>
      </c>
      <c r="H92" s="156">
        <v>1.139351446E-2</v>
      </c>
      <c r="I92" s="156">
        <v>0</v>
      </c>
      <c r="J92" s="156">
        <v>0</v>
      </c>
      <c r="K92" s="157">
        <v>8.7642418929999993E-3</v>
      </c>
      <c r="L92" s="158">
        <v>0.37248028049999998</v>
      </c>
      <c r="M92" s="156">
        <v>0.56967572300000002</v>
      </c>
      <c r="N92" s="156">
        <v>3.5933391760000002E-2</v>
      </c>
      <c r="O92" s="156">
        <v>0</v>
      </c>
      <c r="P92" s="156">
        <v>0</v>
      </c>
      <c r="Q92" s="156">
        <v>0</v>
      </c>
      <c r="R92" s="159">
        <v>2.1910604730000002E-2</v>
      </c>
      <c r="S92" s="155">
        <v>0.35165876779999999</v>
      </c>
      <c r="T92" s="156">
        <v>0.62843601900000001</v>
      </c>
      <c r="U92" s="156">
        <v>0</v>
      </c>
      <c r="V92" s="156">
        <v>0</v>
      </c>
      <c r="W92" s="156">
        <v>5.6872037909999999E-3</v>
      </c>
      <c r="X92" s="156">
        <v>0</v>
      </c>
      <c r="Y92" s="157">
        <v>1.421800948E-2</v>
      </c>
      <c r="Z92" s="158">
        <v>0.2123222749</v>
      </c>
      <c r="AA92" s="156">
        <v>0.52985781990000003</v>
      </c>
      <c r="AB92" s="156">
        <v>0</v>
      </c>
      <c r="AC92" s="156">
        <v>0</v>
      </c>
      <c r="AD92" s="156">
        <v>3.7914691940000001E-3</v>
      </c>
      <c r="AE92" s="156">
        <v>0</v>
      </c>
      <c r="AF92" s="159">
        <v>0.25402843600000002</v>
      </c>
      <c r="AG92" s="155">
        <v>0.29977876110000001</v>
      </c>
      <c r="AH92" s="156">
        <v>0</v>
      </c>
      <c r="AI92" s="156">
        <v>0</v>
      </c>
      <c r="AJ92" s="156">
        <v>1.4380530969999999E-2</v>
      </c>
      <c r="AK92" s="156">
        <v>0.53097345129999995</v>
      </c>
      <c r="AL92" s="156">
        <v>0.10619469030000001</v>
      </c>
      <c r="AM92" s="157">
        <v>4.8672566370000003E-2</v>
      </c>
      <c r="AN92" s="158">
        <v>0.27544247789999998</v>
      </c>
      <c r="AO92" s="156">
        <v>0</v>
      </c>
      <c r="AP92" s="156">
        <v>0</v>
      </c>
      <c r="AQ92" s="156">
        <v>0</v>
      </c>
      <c r="AR92" s="156">
        <v>0.54646017700000005</v>
      </c>
      <c r="AS92" s="156">
        <v>0.1084070796</v>
      </c>
      <c r="AT92" s="159">
        <v>6.969026549E-2</v>
      </c>
    </row>
    <row r="93" spans="1:46" ht="12.75">
      <c r="A93" s="67" t="s">
        <v>11</v>
      </c>
      <c r="B93" s="67" t="s">
        <v>261</v>
      </c>
      <c r="C93" s="67" t="s">
        <v>280</v>
      </c>
      <c r="D93" s="67" t="s">
        <v>280</v>
      </c>
      <c r="E93" s="155">
        <v>0.55943856989999996</v>
      </c>
      <c r="F93" s="156">
        <v>0.50386457389999995</v>
      </c>
      <c r="G93" s="156">
        <v>0.18388733460000001</v>
      </c>
      <c r="H93" s="156">
        <v>1.3940917069999999E-2</v>
      </c>
      <c r="I93" s="156">
        <v>0</v>
      </c>
      <c r="J93" s="156">
        <v>0</v>
      </c>
      <c r="K93" s="157">
        <v>0.26113139549999997</v>
      </c>
      <c r="L93" s="158">
        <v>0.33709516810000001</v>
      </c>
      <c r="M93" s="156">
        <v>0.42292190239999999</v>
      </c>
      <c r="N93" s="156">
        <v>0.2105837166</v>
      </c>
      <c r="O93" s="156">
        <v>0</v>
      </c>
      <c r="P93" s="156">
        <v>0</v>
      </c>
      <c r="Q93" s="156">
        <v>0</v>
      </c>
      <c r="R93" s="159">
        <v>2.9399212859999999E-2</v>
      </c>
      <c r="S93" s="155">
        <v>0.52534435260000001</v>
      </c>
      <c r="T93" s="156">
        <v>0.40264462810000001</v>
      </c>
      <c r="U93" s="156">
        <v>0</v>
      </c>
      <c r="V93" s="156">
        <v>0</v>
      </c>
      <c r="W93" s="156">
        <v>2.0606060610000001E-2</v>
      </c>
      <c r="X93" s="156">
        <v>0</v>
      </c>
      <c r="Y93" s="157">
        <v>5.1404958680000001E-2</v>
      </c>
      <c r="Z93" s="158">
        <v>0.38856135320000001</v>
      </c>
      <c r="AA93" s="156">
        <v>0.31968703510000002</v>
      </c>
      <c r="AB93" s="156">
        <v>0</v>
      </c>
      <c r="AC93" s="156">
        <v>0</v>
      </c>
      <c r="AD93" s="156">
        <v>1.2011681079999999E-2</v>
      </c>
      <c r="AE93" s="156">
        <v>0</v>
      </c>
      <c r="AF93" s="159">
        <v>0.27973993060000002</v>
      </c>
      <c r="AG93" s="155">
        <v>0.2060196145</v>
      </c>
      <c r="AH93" s="156">
        <v>0</v>
      </c>
      <c r="AI93" s="156">
        <v>0</v>
      </c>
      <c r="AJ93" s="156">
        <v>1.447412918E-2</v>
      </c>
      <c r="AK93" s="156">
        <v>0.38911058510000002</v>
      </c>
      <c r="AL93" s="156">
        <v>0.2923909368</v>
      </c>
      <c r="AM93" s="157">
        <v>9.8004734529999998E-2</v>
      </c>
      <c r="AN93" s="158">
        <v>0.20588434219999999</v>
      </c>
      <c r="AO93" s="156">
        <v>0</v>
      </c>
      <c r="AP93" s="156">
        <v>0</v>
      </c>
      <c r="AQ93" s="156">
        <v>0</v>
      </c>
      <c r="AR93" s="156">
        <v>0.38403787620000002</v>
      </c>
      <c r="AS93" s="156">
        <v>0.2996956375</v>
      </c>
      <c r="AT93" s="159">
        <v>0.1103821441</v>
      </c>
    </row>
    <row r="94" spans="1:46" ht="12.75">
      <c r="A94" s="67" t="s">
        <v>11</v>
      </c>
      <c r="B94" s="67" t="s">
        <v>261</v>
      </c>
      <c r="C94" s="67" t="s">
        <v>281</v>
      </c>
      <c r="D94" s="67" t="s">
        <v>281</v>
      </c>
      <c r="E94" s="155">
        <v>0.3676012461</v>
      </c>
      <c r="F94" s="156">
        <v>0.27985462100000003</v>
      </c>
      <c r="G94" s="156">
        <v>0.38577362409999999</v>
      </c>
      <c r="H94" s="156">
        <v>4.1536863969999999E-3</v>
      </c>
      <c r="I94" s="156">
        <v>0</v>
      </c>
      <c r="J94" s="156">
        <v>0</v>
      </c>
      <c r="K94" s="157">
        <v>3.7383177570000002E-2</v>
      </c>
      <c r="L94" s="158">
        <v>0.30996884740000002</v>
      </c>
      <c r="M94" s="156">
        <v>0.2248182762</v>
      </c>
      <c r="N94" s="156">
        <v>0.44444444440000003</v>
      </c>
      <c r="O94" s="156">
        <v>0</v>
      </c>
      <c r="P94" s="156">
        <v>0</v>
      </c>
      <c r="Q94" s="156">
        <v>0</v>
      </c>
      <c r="R94" s="159">
        <v>2.0768431980000002E-2</v>
      </c>
      <c r="S94" s="155">
        <v>0.51534090909999997</v>
      </c>
      <c r="T94" s="156">
        <v>0.44034090910000001</v>
      </c>
      <c r="U94" s="156">
        <v>0</v>
      </c>
      <c r="V94" s="156">
        <v>0</v>
      </c>
      <c r="W94" s="156">
        <v>7.386363636E-3</v>
      </c>
      <c r="X94" s="156">
        <v>0</v>
      </c>
      <c r="Y94" s="157">
        <v>3.6931818179999999E-2</v>
      </c>
      <c r="Z94" s="158">
        <v>0.36047835989999999</v>
      </c>
      <c r="AA94" s="156">
        <v>0.36275626420000001</v>
      </c>
      <c r="AB94" s="156">
        <v>0</v>
      </c>
      <c r="AC94" s="156">
        <v>0</v>
      </c>
      <c r="AD94" s="156">
        <v>2.8473804100000001E-3</v>
      </c>
      <c r="AE94" s="156">
        <v>0</v>
      </c>
      <c r="AF94" s="159">
        <v>0.2739179954</v>
      </c>
      <c r="AG94" s="155">
        <v>0.2322001283</v>
      </c>
      <c r="AH94" s="156">
        <v>0</v>
      </c>
      <c r="AI94" s="156">
        <v>0</v>
      </c>
      <c r="AJ94" s="156">
        <v>1.154586273E-2</v>
      </c>
      <c r="AK94" s="156">
        <v>0.21231558689999999</v>
      </c>
      <c r="AL94" s="156">
        <v>0.44130853110000001</v>
      </c>
      <c r="AM94" s="157">
        <v>0.102629891</v>
      </c>
      <c r="AN94" s="158">
        <v>0.23540731240000001</v>
      </c>
      <c r="AO94" s="156">
        <v>0</v>
      </c>
      <c r="AP94" s="156">
        <v>0</v>
      </c>
      <c r="AQ94" s="156">
        <v>0</v>
      </c>
      <c r="AR94" s="156">
        <v>0.22642719689999999</v>
      </c>
      <c r="AS94" s="156">
        <v>0.44644002570000002</v>
      </c>
      <c r="AT94" s="159">
        <v>9.1725465039999995E-2</v>
      </c>
    </row>
    <row r="95" spans="1:46" ht="12.75">
      <c r="A95" s="67" t="s">
        <v>11</v>
      </c>
      <c r="B95" s="67" t="s">
        <v>261</v>
      </c>
      <c r="C95" s="67" t="s">
        <v>283</v>
      </c>
      <c r="D95" s="67" t="s">
        <v>283</v>
      </c>
      <c r="E95" s="155">
        <v>0.55830950109999999</v>
      </c>
      <c r="F95" s="156">
        <v>0.37877343499999999</v>
      </c>
      <c r="G95" s="156">
        <v>0.20320940579999999</v>
      </c>
      <c r="H95" s="156">
        <v>1.557038449E-2</v>
      </c>
      <c r="I95" s="156">
        <v>0</v>
      </c>
      <c r="J95" s="156">
        <v>0</v>
      </c>
      <c r="K95" s="157">
        <v>0.15586272640000001</v>
      </c>
      <c r="L95" s="158">
        <v>0.3431839847</v>
      </c>
      <c r="M95" s="156">
        <v>0.39704480460000002</v>
      </c>
      <c r="N95" s="156">
        <v>0.23006037500000001</v>
      </c>
      <c r="O95" s="156">
        <v>0</v>
      </c>
      <c r="P95" s="156">
        <v>0</v>
      </c>
      <c r="Q95" s="156">
        <v>0</v>
      </c>
      <c r="R95" s="159">
        <v>2.9710835719999999E-2</v>
      </c>
      <c r="S95" s="155">
        <v>0.54235500879999998</v>
      </c>
      <c r="T95" s="156">
        <v>0.39173989460000003</v>
      </c>
      <c r="U95" s="156">
        <v>0</v>
      </c>
      <c r="V95" s="156">
        <v>0</v>
      </c>
      <c r="W95" s="156">
        <v>1.7574692440000001E-2</v>
      </c>
      <c r="X95" s="156">
        <v>0</v>
      </c>
      <c r="Y95" s="157">
        <v>4.8330404219999998E-2</v>
      </c>
      <c r="Z95" s="158">
        <v>0.42485498329999999</v>
      </c>
      <c r="AA95" s="156">
        <v>0.33995429780000003</v>
      </c>
      <c r="AB95" s="156">
        <v>0</v>
      </c>
      <c r="AC95" s="156">
        <v>0</v>
      </c>
      <c r="AD95" s="156">
        <v>1.177711373E-2</v>
      </c>
      <c r="AE95" s="156">
        <v>0</v>
      </c>
      <c r="AF95" s="159">
        <v>0.2234136052</v>
      </c>
      <c r="AG95" s="155">
        <v>0.22864786989999999</v>
      </c>
      <c r="AH95" s="156">
        <v>0</v>
      </c>
      <c r="AI95" s="156">
        <v>0</v>
      </c>
      <c r="AJ95" s="156">
        <v>1.317143445E-2</v>
      </c>
      <c r="AK95" s="156">
        <v>0.4332167113</v>
      </c>
      <c r="AL95" s="156">
        <v>0.24737600330000001</v>
      </c>
      <c r="AM95" s="157">
        <v>7.7587981070000006E-2</v>
      </c>
      <c r="AN95" s="158">
        <v>0.22288536740000001</v>
      </c>
      <c r="AO95" s="156">
        <v>0</v>
      </c>
      <c r="AP95" s="156">
        <v>0</v>
      </c>
      <c r="AQ95" s="156">
        <v>0</v>
      </c>
      <c r="AR95" s="156">
        <v>0.43815599919999998</v>
      </c>
      <c r="AS95" s="156">
        <v>0.25231529120000001</v>
      </c>
      <c r="AT95" s="159">
        <v>8.6643342250000005E-2</v>
      </c>
    </row>
    <row r="96" spans="1:46" ht="12.75">
      <c r="A96" s="67" t="s">
        <v>11</v>
      </c>
      <c r="B96" s="67" t="s">
        <v>261</v>
      </c>
      <c r="C96" s="67" t="s">
        <v>284</v>
      </c>
      <c r="D96" s="67" t="s">
        <v>284</v>
      </c>
      <c r="E96" s="155">
        <v>0.4549119874</v>
      </c>
      <c r="F96" s="156">
        <v>0.38174845120000001</v>
      </c>
      <c r="G96" s="156">
        <v>0.25459730549999998</v>
      </c>
      <c r="H96" s="156">
        <v>8.5554135119999992E-3</v>
      </c>
      <c r="I96" s="156">
        <v>0</v>
      </c>
      <c r="J96" s="156">
        <v>0</v>
      </c>
      <c r="K96" s="157">
        <v>9.9813157639999997E-2</v>
      </c>
      <c r="L96" s="158">
        <v>0.34634674009999999</v>
      </c>
      <c r="M96" s="156">
        <v>0.33661126949999998</v>
      </c>
      <c r="N96" s="156">
        <v>0.28370537909999999</v>
      </c>
      <c r="O96" s="156">
        <v>0</v>
      </c>
      <c r="P96" s="156">
        <v>0</v>
      </c>
      <c r="Q96" s="156">
        <v>0</v>
      </c>
      <c r="R96" s="159">
        <v>3.3336611269999997E-2</v>
      </c>
      <c r="S96" s="155">
        <v>0.485056926</v>
      </c>
      <c r="T96" s="156">
        <v>0.45552656549999998</v>
      </c>
      <c r="U96" s="156">
        <v>0</v>
      </c>
      <c r="V96" s="156">
        <v>0</v>
      </c>
      <c r="W96" s="156">
        <v>1.0555028459999999E-2</v>
      </c>
      <c r="X96" s="156">
        <v>0</v>
      </c>
      <c r="Y96" s="157">
        <v>4.8861480079999998E-2</v>
      </c>
      <c r="Z96" s="158">
        <v>0.3833017078</v>
      </c>
      <c r="AA96" s="156">
        <v>0.34487666030000003</v>
      </c>
      <c r="AB96" s="156">
        <v>0</v>
      </c>
      <c r="AC96" s="156">
        <v>0</v>
      </c>
      <c r="AD96" s="156">
        <v>8.0645161290000007E-3</v>
      </c>
      <c r="AE96" s="156">
        <v>0</v>
      </c>
      <c r="AF96" s="159">
        <v>0.26375711569999999</v>
      </c>
      <c r="AG96" s="155">
        <v>0.18645815430000001</v>
      </c>
      <c r="AH96" s="156">
        <v>0</v>
      </c>
      <c r="AI96" s="156">
        <v>0</v>
      </c>
      <c r="AJ96" s="156">
        <v>1.0139199180000001E-2</v>
      </c>
      <c r="AK96" s="156">
        <v>0.28785014609999998</v>
      </c>
      <c r="AL96" s="156">
        <v>0.4277367245</v>
      </c>
      <c r="AM96" s="157">
        <v>8.7815775910000005E-2</v>
      </c>
      <c r="AN96" s="158">
        <v>0.19006702180000001</v>
      </c>
      <c r="AO96" s="156">
        <v>0</v>
      </c>
      <c r="AP96" s="156">
        <v>0</v>
      </c>
      <c r="AQ96" s="156">
        <v>0</v>
      </c>
      <c r="AR96" s="156">
        <v>0.28870940020000002</v>
      </c>
      <c r="AS96" s="156">
        <v>0.438563327</v>
      </c>
      <c r="AT96" s="159">
        <v>8.2660250899999996E-2</v>
      </c>
    </row>
    <row r="97" spans="1:46" ht="12.75">
      <c r="A97" s="67" t="s">
        <v>11</v>
      </c>
      <c r="B97" s="67" t="s">
        <v>261</v>
      </c>
      <c r="C97" s="67" t="s">
        <v>286</v>
      </c>
      <c r="D97" s="67" t="s">
        <v>286</v>
      </c>
      <c r="E97" s="155">
        <v>0.59284294230000001</v>
      </c>
      <c r="F97" s="156">
        <v>0.49025844930000001</v>
      </c>
      <c r="G97" s="156">
        <v>0.16222664019999999</v>
      </c>
      <c r="H97" s="156">
        <v>2.147117296E-2</v>
      </c>
      <c r="I97" s="156">
        <v>0</v>
      </c>
      <c r="J97" s="156">
        <v>0</v>
      </c>
      <c r="K97" s="157">
        <v>0.26679920480000002</v>
      </c>
      <c r="L97" s="158">
        <v>0.38687872760000003</v>
      </c>
      <c r="M97" s="156">
        <v>0.4</v>
      </c>
      <c r="N97" s="156">
        <v>0.1717693837</v>
      </c>
      <c r="O97" s="156">
        <v>0</v>
      </c>
      <c r="P97" s="156">
        <v>0</v>
      </c>
      <c r="Q97" s="156">
        <v>0</v>
      </c>
      <c r="R97" s="159">
        <v>4.1351888670000003E-2</v>
      </c>
      <c r="S97" s="155">
        <v>0.47915309449999999</v>
      </c>
      <c r="T97" s="156">
        <v>0.43648208469999999</v>
      </c>
      <c r="U97" s="156">
        <v>0</v>
      </c>
      <c r="V97" s="156">
        <v>0</v>
      </c>
      <c r="W97" s="156">
        <v>1.791530945E-2</v>
      </c>
      <c r="X97" s="156">
        <v>0</v>
      </c>
      <c r="Y97" s="157">
        <v>6.6449511399999994E-2</v>
      </c>
      <c r="Z97" s="158">
        <v>0.41889250810000001</v>
      </c>
      <c r="AA97" s="156">
        <v>0.39153094459999999</v>
      </c>
      <c r="AB97" s="156">
        <v>0</v>
      </c>
      <c r="AC97" s="156">
        <v>0</v>
      </c>
      <c r="AD97" s="156">
        <v>1.074918567E-2</v>
      </c>
      <c r="AE97" s="156">
        <v>0</v>
      </c>
      <c r="AF97" s="159">
        <v>0.17882736160000001</v>
      </c>
      <c r="AG97" s="155">
        <v>0.27530120479999998</v>
      </c>
      <c r="AH97" s="156">
        <v>0</v>
      </c>
      <c r="AI97" s="156">
        <v>0</v>
      </c>
      <c r="AJ97" s="156">
        <v>1.114457831E-2</v>
      </c>
      <c r="AK97" s="156">
        <v>0.43584337350000002</v>
      </c>
      <c r="AL97" s="156">
        <v>0.20421686750000001</v>
      </c>
      <c r="AM97" s="157">
        <v>7.3493975899999994E-2</v>
      </c>
      <c r="AN97" s="158">
        <v>0.2585115999</v>
      </c>
      <c r="AO97" s="156">
        <v>0</v>
      </c>
      <c r="AP97" s="156">
        <v>0</v>
      </c>
      <c r="AQ97" s="156">
        <v>0</v>
      </c>
      <c r="AR97" s="156">
        <v>0.45736667669999997</v>
      </c>
      <c r="AS97" s="156">
        <v>0.2066887617</v>
      </c>
      <c r="AT97" s="159">
        <v>7.743296174E-2</v>
      </c>
    </row>
    <row r="98" spans="1:46" ht="12.75">
      <c r="A98" s="67" t="s">
        <v>11</v>
      </c>
      <c r="B98" s="67" t="s">
        <v>261</v>
      </c>
      <c r="C98" s="67" t="s">
        <v>289</v>
      </c>
      <c r="D98" s="67" t="s">
        <v>289</v>
      </c>
      <c r="E98" s="155">
        <v>0.74500768049999999</v>
      </c>
      <c r="F98" s="156">
        <v>0.3732718894</v>
      </c>
      <c r="G98" s="156">
        <v>9.3701996930000003E-2</v>
      </c>
      <c r="H98" s="156">
        <v>7.6804915510000002E-3</v>
      </c>
      <c r="I98" s="156">
        <v>0</v>
      </c>
      <c r="J98" s="156">
        <v>0</v>
      </c>
      <c r="K98" s="157">
        <v>0.2196620584</v>
      </c>
      <c r="L98" s="158">
        <v>0.32104454690000001</v>
      </c>
      <c r="M98" s="156">
        <v>0.51459293390000005</v>
      </c>
      <c r="N98" s="156">
        <v>9.9846390169999993E-2</v>
      </c>
      <c r="O98" s="156">
        <v>0</v>
      </c>
      <c r="P98" s="156">
        <v>0</v>
      </c>
      <c r="Q98" s="156">
        <v>0</v>
      </c>
      <c r="R98" s="159">
        <v>6.4516129029999994E-2</v>
      </c>
      <c r="S98" s="155">
        <v>0.66380236309999996</v>
      </c>
      <c r="T98" s="156">
        <v>0.26315789470000001</v>
      </c>
      <c r="U98" s="156">
        <v>0</v>
      </c>
      <c r="V98" s="156">
        <v>0</v>
      </c>
      <c r="W98" s="156">
        <v>1.2889366270000001E-2</v>
      </c>
      <c r="X98" s="156">
        <v>0</v>
      </c>
      <c r="Y98" s="157">
        <v>6.015037594E-2</v>
      </c>
      <c r="Z98" s="158">
        <v>0.53383458650000004</v>
      </c>
      <c r="AA98" s="156">
        <v>0.19763694949999999</v>
      </c>
      <c r="AB98" s="156">
        <v>0</v>
      </c>
      <c r="AC98" s="156">
        <v>0</v>
      </c>
      <c r="AD98" s="156">
        <v>9.6670247050000008E-3</v>
      </c>
      <c r="AE98" s="156">
        <v>0</v>
      </c>
      <c r="AF98" s="159">
        <v>0.2588614393</v>
      </c>
      <c r="AG98" s="155">
        <v>0.16369359920000001</v>
      </c>
      <c r="AH98" s="156">
        <v>0</v>
      </c>
      <c r="AI98" s="156">
        <v>0</v>
      </c>
      <c r="AJ98" s="156">
        <v>2.2035676810000002E-2</v>
      </c>
      <c r="AK98" s="156">
        <v>0.42182581320000001</v>
      </c>
      <c r="AL98" s="156">
        <v>0.26128016790000003</v>
      </c>
      <c r="AM98" s="157">
        <v>0.13116474289999999</v>
      </c>
      <c r="AN98" s="158">
        <v>0.1899265477</v>
      </c>
      <c r="AO98" s="156">
        <v>0</v>
      </c>
      <c r="AP98" s="156">
        <v>0</v>
      </c>
      <c r="AQ98" s="156">
        <v>0</v>
      </c>
      <c r="AR98" s="156">
        <v>0.43651626440000002</v>
      </c>
      <c r="AS98" s="156">
        <v>0.27282266529999999</v>
      </c>
      <c r="AT98" s="159">
        <v>0.1007345226</v>
      </c>
    </row>
    <row r="99" spans="1:46" ht="12.75">
      <c r="A99" s="67" t="s">
        <v>11</v>
      </c>
      <c r="B99" s="67" t="s">
        <v>261</v>
      </c>
      <c r="C99" s="67" t="s">
        <v>290</v>
      </c>
      <c r="D99" s="67" t="s">
        <v>290</v>
      </c>
      <c r="E99" s="155">
        <v>0.37684245</v>
      </c>
      <c r="F99" s="156">
        <v>0.35882738289999999</v>
      </c>
      <c r="G99" s="156">
        <v>0.15181788399999999</v>
      </c>
      <c r="H99" s="156">
        <v>7.0258761870000006E-2</v>
      </c>
      <c r="I99" s="156">
        <v>0</v>
      </c>
      <c r="J99" s="156">
        <v>0</v>
      </c>
      <c r="K99" s="157">
        <v>4.2253521129999999E-2</v>
      </c>
      <c r="L99" s="158">
        <v>0.37250081940000002</v>
      </c>
      <c r="M99" s="156">
        <v>0.37954768929999999</v>
      </c>
      <c r="N99" s="156">
        <v>0.1540478532</v>
      </c>
      <c r="O99" s="156">
        <v>0</v>
      </c>
      <c r="P99" s="156">
        <v>0</v>
      </c>
      <c r="Q99" s="156">
        <v>0</v>
      </c>
      <c r="R99" s="159">
        <v>9.3903638149999996E-2</v>
      </c>
      <c r="S99" s="155">
        <v>0.53024118740000004</v>
      </c>
      <c r="T99" s="156">
        <v>0.40834879410000002</v>
      </c>
      <c r="U99" s="156">
        <v>0</v>
      </c>
      <c r="V99" s="156">
        <v>0</v>
      </c>
      <c r="W99" s="156">
        <v>6.6790352499999997E-3</v>
      </c>
      <c r="X99" s="156">
        <v>0</v>
      </c>
      <c r="Y99" s="157">
        <v>5.4730983300000001E-2</v>
      </c>
      <c r="Z99" s="158">
        <v>0.39035250459999998</v>
      </c>
      <c r="AA99" s="156">
        <v>0.28033395179999998</v>
      </c>
      <c r="AB99" s="156">
        <v>0</v>
      </c>
      <c r="AC99" s="156">
        <v>0</v>
      </c>
      <c r="AD99" s="156">
        <v>5.009276438E-3</v>
      </c>
      <c r="AE99" s="156">
        <v>0</v>
      </c>
      <c r="AF99" s="159">
        <v>0.3243042672</v>
      </c>
      <c r="AG99" s="155">
        <v>0.34172661869999998</v>
      </c>
      <c r="AH99" s="156">
        <v>0</v>
      </c>
      <c r="AI99" s="156">
        <v>0</v>
      </c>
      <c r="AJ99" s="156">
        <v>8.09352518E-3</v>
      </c>
      <c r="AK99" s="156">
        <v>0.18457733809999999</v>
      </c>
      <c r="AL99" s="156">
        <v>0.4058003597</v>
      </c>
      <c r="AM99" s="157">
        <v>5.9802158270000003E-2</v>
      </c>
      <c r="AN99" s="158">
        <v>0.34659474039999999</v>
      </c>
      <c r="AO99" s="156">
        <v>0</v>
      </c>
      <c r="AP99" s="156">
        <v>0</v>
      </c>
      <c r="AQ99" s="156">
        <v>0</v>
      </c>
      <c r="AR99" s="156">
        <v>0.18498539</v>
      </c>
      <c r="AS99" s="156">
        <v>0.40391099120000001</v>
      </c>
      <c r="AT99" s="159">
        <v>6.4508878399999997E-2</v>
      </c>
    </row>
    <row r="100" spans="1:46" ht="12.75">
      <c r="A100" s="67" t="s">
        <v>11</v>
      </c>
      <c r="B100" s="67" t="s">
        <v>261</v>
      </c>
      <c r="C100" s="67" t="s">
        <v>292</v>
      </c>
      <c r="D100" s="67" t="s">
        <v>292</v>
      </c>
      <c r="E100" s="155">
        <v>0.33992467040000002</v>
      </c>
      <c r="F100" s="156">
        <v>0.44538606400000003</v>
      </c>
      <c r="G100" s="156">
        <v>0.1836158192</v>
      </c>
      <c r="H100" s="156">
        <v>7.3446327679999998E-3</v>
      </c>
      <c r="I100" s="156">
        <v>0</v>
      </c>
      <c r="J100" s="156">
        <v>0</v>
      </c>
      <c r="K100" s="157">
        <v>2.3728813559999999E-2</v>
      </c>
      <c r="L100" s="158">
        <v>0.31908080620000001</v>
      </c>
      <c r="M100" s="156">
        <v>0.45846675460000003</v>
      </c>
      <c r="N100" s="156">
        <v>0.1951403277</v>
      </c>
      <c r="O100" s="156">
        <v>0</v>
      </c>
      <c r="P100" s="156">
        <v>0</v>
      </c>
      <c r="Q100" s="156">
        <v>0</v>
      </c>
      <c r="R100" s="159">
        <v>2.7312111510000001E-2</v>
      </c>
      <c r="S100" s="155">
        <v>0.41439153439999998</v>
      </c>
      <c r="T100" s="156">
        <v>0.50222222220000001</v>
      </c>
      <c r="U100" s="156">
        <v>0</v>
      </c>
      <c r="V100" s="156">
        <v>0</v>
      </c>
      <c r="W100" s="156">
        <v>1.227513228E-2</v>
      </c>
      <c r="X100" s="156">
        <v>0</v>
      </c>
      <c r="Y100" s="157">
        <v>7.111111111E-2</v>
      </c>
      <c r="Z100" s="158">
        <v>0.16977138019999999</v>
      </c>
      <c r="AA100" s="156">
        <v>0.4206181202</v>
      </c>
      <c r="AB100" s="156">
        <v>0</v>
      </c>
      <c r="AC100" s="156">
        <v>0</v>
      </c>
      <c r="AD100" s="156">
        <v>5.2921253180000004E-3</v>
      </c>
      <c r="AE100" s="156">
        <v>0</v>
      </c>
      <c r="AF100" s="159">
        <v>0.40431837430000001</v>
      </c>
      <c r="AG100" s="155">
        <v>8.6729362589999998E-2</v>
      </c>
      <c r="AH100" s="156">
        <v>0</v>
      </c>
      <c r="AI100" s="156">
        <v>0</v>
      </c>
      <c r="AJ100" s="156">
        <v>8.8819226750000008E-3</v>
      </c>
      <c r="AK100" s="156">
        <v>0.30903866250000001</v>
      </c>
      <c r="AL100" s="156">
        <v>0.50208986420000001</v>
      </c>
      <c r="AM100" s="157">
        <v>9.3260188090000001E-2</v>
      </c>
      <c r="AN100" s="158">
        <v>9.2476489029999998E-2</v>
      </c>
      <c r="AO100" s="156">
        <v>0</v>
      </c>
      <c r="AP100" s="156">
        <v>0</v>
      </c>
      <c r="AQ100" s="156">
        <v>0</v>
      </c>
      <c r="AR100" s="156">
        <v>0.3140020899</v>
      </c>
      <c r="AS100" s="156">
        <v>0.51071055379999997</v>
      </c>
      <c r="AT100" s="159">
        <v>8.2810867290000006E-2</v>
      </c>
    </row>
    <row r="101" spans="1:46" ht="12.75">
      <c r="A101" s="67" t="s">
        <v>11</v>
      </c>
      <c r="B101" s="67" t="s">
        <v>261</v>
      </c>
      <c r="C101" s="67" t="s">
        <v>294</v>
      </c>
      <c r="D101" s="67" t="s">
        <v>294</v>
      </c>
      <c r="E101" s="155">
        <v>0.48481464940000002</v>
      </c>
      <c r="F101" s="156">
        <v>0.38268572280000002</v>
      </c>
      <c r="G101" s="156">
        <v>0.16837874050000001</v>
      </c>
      <c r="H101" s="156">
        <v>8.7092451989999996E-3</v>
      </c>
      <c r="I101" s="156">
        <v>0</v>
      </c>
      <c r="J101" s="156">
        <v>0</v>
      </c>
      <c r="K101" s="157">
        <v>4.45883579E-2</v>
      </c>
      <c r="L101" s="158">
        <v>0.42035134730000001</v>
      </c>
      <c r="M101" s="156">
        <v>0.37062676789999999</v>
      </c>
      <c r="N101" s="156">
        <v>0.1814053893</v>
      </c>
      <c r="O101" s="156">
        <v>0</v>
      </c>
      <c r="P101" s="156">
        <v>0</v>
      </c>
      <c r="Q101" s="156">
        <v>0</v>
      </c>
      <c r="R101" s="159">
        <v>2.7616495460000001E-2</v>
      </c>
      <c r="S101" s="155">
        <v>0.5728118109</v>
      </c>
      <c r="T101" s="156">
        <v>0.37206403989999998</v>
      </c>
      <c r="U101" s="156">
        <v>0</v>
      </c>
      <c r="V101" s="156">
        <v>0</v>
      </c>
      <c r="W101" s="156">
        <v>1.3038059629999999E-2</v>
      </c>
      <c r="X101" s="156">
        <v>0</v>
      </c>
      <c r="Y101" s="157">
        <v>4.2086089540000003E-2</v>
      </c>
      <c r="Z101" s="158">
        <v>0.3814818365</v>
      </c>
      <c r="AA101" s="156">
        <v>0.31362024350000001</v>
      </c>
      <c r="AB101" s="156">
        <v>0</v>
      </c>
      <c r="AC101" s="156">
        <v>0</v>
      </c>
      <c r="AD101" s="156">
        <v>8.6264736890000002E-3</v>
      </c>
      <c r="AE101" s="156">
        <v>0</v>
      </c>
      <c r="AF101" s="159">
        <v>0.29627144640000003</v>
      </c>
      <c r="AG101" s="155">
        <v>0.2435148717</v>
      </c>
      <c r="AH101" s="156">
        <v>0</v>
      </c>
      <c r="AI101" s="156">
        <v>0</v>
      </c>
      <c r="AJ101" s="156">
        <v>9.7786228440000008E-3</v>
      </c>
      <c r="AK101" s="156">
        <v>0.28398750509999998</v>
      </c>
      <c r="AL101" s="156">
        <v>0.3862556023</v>
      </c>
      <c r="AM101" s="157">
        <v>7.6463398069999994E-2</v>
      </c>
      <c r="AN101" s="158">
        <v>0.2474534836</v>
      </c>
      <c r="AO101" s="156">
        <v>0</v>
      </c>
      <c r="AP101" s="156">
        <v>0</v>
      </c>
      <c r="AQ101" s="156">
        <v>0</v>
      </c>
      <c r="AR101" s="156">
        <v>0.28398750509999998</v>
      </c>
      <c r="AS101" s="156">
        <v>0.38829281539999999</v>
      </c>
      <c r="AT101" s="159">
        <v>8.0266195839999999E-2</v>
      </c>
    </row>
    <row r="102" spans="1:46" ht="12.75">
      <c r="A102" s="67" t="s">
        <v>11</v>
      </c>
      <c r="B102" s="67" t="s">
        <v>261</v>
      </c>
      <c r="C102" s="67" t="s">
        <v>295</v>
      </c>
      <c r="D102" s="67" t="s">
        <v>295</v>
      </c>
      <c r="E102" s="155">
        <v>0.3746602235</v>
      </c>
      <c r="F102" s="156">
        <v>0.46511627909999997</v>
      </c>
      <c r="G102" s="156">
        <v>0.1191482936</v>
      </c>
      <c r="H102" s="156">
        <v>1.102385986E-2</v>
      </c>
      <c r="I102" s="156">
        <v>0</v>
      </c>
      <c r="J102" s="156">
        <v>0</v>
      </c>
      <c r="K102" s="157">
        <v>3.0051344000000001E-2</v>
      </c>
      <c r="L102" s="158">
        <v>0.35818867920000003</v>
      </c>
      <c r="M102" s="156">
        <v>0.47788679249999999</v>
      </c>
      <c r="N102" s="156">
        <v>0.12633962260000001</v>
      </c>
      <c r="O102" s="156">
        <v>0</v>
      </c>
      <c r="P102" s="156">
        <v>0</v>
      </c>
      <c r="Q102" s="156">
        <v>0</v>
      </c>
      <c r="R102" s="159">
        <v>3.7584905660000001E-2</v>
      </c>
      <c r="S102" s="155">
        <v>0.54910950449999996</v>
      </c>
      <c r="T102" s="156">
        <v>0.3949920649</v>
      </c>
      <c r="U102" s="156">
        <v>0</v>
      </c>
      <c r="V102" s="156">
        <v>0</v>
      </c>
      <c r="W102" s="156">
        <v>1.0932816079999999E-2</v>
      </c>
      <c r="X102" s="156">
        <v>0</v>
      </c>
      <c r="Y102" s="157">
        <v>4.4965614530000003E-2</v>
      </c>
      <c r="Z102" s="158">
        <v>0.42708517019999997</v>
      </c>
      <c r="AA102" s="156">
        <v>0.33662493389999998</v>
      </c>
      <c r="AB102" s="156">
        <v>0</v>
      </c>
      <c r="AC102" s="156">
        <v>0</v>
      </c>
      <c r="AD102" s="156">
        <v>8.4641156760000003E-3</v>
      </c>
      <c r="AE102" s="156">
        <v>0</v>
      </c>
      <c r="AF102" s="159">
        <v>0.2278257803</v>
      </c>
      <c r="AG102" s="155">
        <v>0.31581818179999999</v>
      </c>
      <c r="AH102" s="156">
        <v>0</v>
      </c>
      <c r="AI102" s="156">
        <v>0</v>
      </c>
      <c r="AJ102" s="156">
        <v>1.3454545450000001E-2</v>
      </c>
      <c r="AK102" s="156">
        <v>0.26818181819999998</v>
      </c>
      <c r="AL102" s="156">
        <v>0.30981818179999998</v>
      </c>
      <c r="AM102" s="157">
        <v>9.2727272730000004E-2</v>
      </c>
      <c r="AN102" s="158">
        <v>0.31295487630000002</v>
      </c>
      <c r="AO102" s="156">
        <v>0</v>
      </c>
      <c r="AP102" s="156">
        <v>0</v>
      </c>
      <c r="AQ102" s="156">
        <v>0</v>
      </c>
      <c r="AR102" s="156">
        <v>0.28038573509999998</v>
      </c>
      <c r="AS102" s="156">
        <v>0.317503639</v>
      </c>
      <c r="AT102" s="159">
        <v>8.9155749640000004E-2</v>
      </c>
    </row>
    <row r="103" spans="1:46" ht="12.75">
      <c r="A103" s="67" t="s">
        <v>11</v>
      </c>
      <c r="B103" s="67" t="s">
        <v>261</v>
      </c>
      <c r="C103" s="67" t="s">
        <v>296</v>
      </c>
      <c r="D103" s="67" t="s">
        <v>296</v>
      </c>
      <c r="E103" s="155">
        <v>0.53825811000000001</v>
      </c>
      <c r="F103" s="156">
        <v>0.47443582509999999</v>
      </c>
      <c r="G103" s="156">
        <v>0.1674894217</v>
      </c>
      <c r="H103" s="156">
        <v>1.7101551480000001E-2</v>
      </c>
      <c r="I103" s="156">
        <v>0</v>
      </c>
      <c r="J103" s="156">
        <v>0</v>
      </c>
      <c r="K103" s="157">
        <v>0.19728490830000001</v>
      </c>
      <c r="L103" s="158">
        <v>0.41149506349999998</v>
      </c>
      <c r="M103" s="156">
        <v>0.38081805359999998</v>
      </c>
      <c r="N103" s="156">
        <v>0.19393511990000001</v>
      </c>
      <c r="O103" s="156">
        <v>0</v>
      </c>
      <c r="P103" s="156">
        <v>0</v>
      </c>
      <c r="Q103" s="156">
        <v>0</v>
      </c>
      <c r="R103" s="159">
        <v>1.3751763050000001E-2</v>
      </c>
      <c r="S103" s="155">
        <v>0.59548090379999996</v>
      </c>
      <c r="T103" s="156">
        <v>0.33453309339999998</v>
      </c>
      <c r="U103" s="156">
        <v>0</v>
      </c>
      <c r="V103" s="156">
        <v>0</v>
      </c>
      <c r="W103" s="156">
        <v>1.839632074E-2</v>
      </c>
      <c r="X103" s="156">
        <v>0</v>
      </c>
      <c r="Y103" s="157">
        <v>5.1589682060000003E-2</v>
      </c>
      <c r="Z103" s="158">
        <v>0.47410517899999999</v>
      </c>
      <c r="AA103" s="156">
        <v>0.27254549090000002</v>
      </c>
      <c r="AB103" s="156">
        <v>0</v>
      </c>
      <c r="AC103" s="156">
        <v>0</v>
      </c>
      <c r="AD103" s="156">
        <v>9.9980004000000001E-3</v>
      </c>
      <c r="AE103" s="156">
        <v>0</v>
      </c>
      <c r="AF103" s="159">
        <v>0.24335132970000001</v>
      </c>
      <c r="AG103" s="155">
        <v>0.2390662731</v>
      </c>
      <c r="AH103" s="156">
        <v>0</v>
      </c>
      <c r="AI103" s="156">
        <v>0</v>
      </c>
      <c r="AJ103" s="156">
        <v>1.422055272E-2</v>
      </c>
      <c r="AK103" s="156">
        <v>0.3029246042</v>
      </c>
      <c r="AL103" s="156">
        <v>0.31446203379999998</v>
      </c>
      <c r="AM103" s="157">
        <v>0.1293265361</v>
      </c>
      <c r="AN103" s="158">
        <v>0.23450496379999999</v>
      </c>
      <c r="AO103" s="156">
        <v>0</v>
      </c>
      <c r="AP103" s="156">
        <v>0</v>
      </c>
      <c r="AQ103" s="156">
        <v>0</v>
      </c>
      <c r="AR103" s="156">
        <v>0.3013147303</v>
      </c>
      <c r="AS103" s="156">
        <v>0.3249262141</v>
      </c>
      <c r="AT103" s="159">
        <v>0.13925409180000001</v>
      </c>
    </row>
    <row r="104" spans="1:46" ht="12.75">
      <c r="A104" s="67" t="s">
        <v>11</v>
      </c>
      <c r="B104" s="67" t="s">
        <v>297</v>
      </c>
      <c r="C104" s="67" t="s">
        <v>298</v>
      </c>
      <c r="D104" s="67" t="s">
        <v>298</v>
      </c>
      <c r="E104" s="155">
        <v>0.56181533650000004</v>
      </c>
      <c r="F104" s="156">
        <v>0.26071987479999997</v>
      </c>
      <c r="G104" s="156">
        <v>0.14021909229999999</v>
      </c>
      <c r="H104" s="156">
        <v>5.0078247259999998E-3</v>
      </c>
      <c r="I104" s="156">
        <v>0</v>
      </c>
      <c r="J104" s="156">
        <v>0</v>
      </c>
      <c r="K104" s="157">
        <v>3.2237871670000001E-2</v>
      </c>
      <c r="L104" s="158">
        <v>0.407198748</v>
      </c>
      <c r="M104" s="156">
        <v>0.41658841940000002</v>
      </c>
      <c r="N104" s="156">
        <v>0.14804381850000001</v>
      </c>
      <c r="O104" s="156">
        <v>0</v>
      </c>
      <c r="P104" s="156">
        <v>0</v>
      </c>
      <c r="Q104" s="156">
        <v>0</v>
      </c>
      <c r="R104" s="159">
        <v>2.8169014079999999E-2</v>
      </c>
      <c r="S104" s="155">
        <v>0.61405030360000001</v>
      </c>
      <c r="T104" s="156">
        <v>0.3188782885</v>
      </c>
      <c r="U104" s="156">
        <v>0</v>
      </c>
      <c r="V104" s="156">
        <v>0</v>
      </c>
      <c r="W104" s="156">
        <v>1.2720439429999999E-2</v>
      </c>
      <c r="X104" s="156">
        <v>0</v>
      </c>
      <c r="Y104" s="157">
        <v>5.4350968489999998E-2</v>
      </c>
      <c r="Z104" s="158">
        <v>0.30500144550000002</v>
      </c>
      <c r="AA104" s="156">
        <v>0.20468343450000001</v>
      </c>
      <c r="AB104" s="156">
        <v>0</v>
      </c>
      <c r="AC104" s="156">
        <v>0</v>
      </c>
      <c r="AD104" s="156">
        <v>8.0948250940000004E-3</v>
      </c>
      <c r="AE104" s="156">
        <v>0</v>
      </c>
      <c r="AF104" s="159">
        <v>0.48222029490000001</v>
      </c>
      <c r="AG104" s="155">
        <v>0.27806925500000002</v>
      </c>
      <c r="AH104" s="156">
        <v>0</v>
      </c>
      <c r="AI104" s="156">
        <v>0</v>
      </c>
      <c r="AJ104" s="156">
        <v>1.189227002E-2</v>
      </c>
      <c r="AK104" s="156">
        <v>0.29310947879999999</v>
      </c>
      <c r="AL104" s="156">
        <v>0.33857992310000001</v>
      </c>
      <c r="AM104" s="157">
        <v>7.83490731E-2</v>
      </c>
      <c r="AN104" s="158">
        <v>0.27981811820000002</v>
      </c>
      <c r="AO104" s="156">
        <v>0</v>
      </c>
      <c r="AP104" s="156">
        <v>0</v>
      </c>
      <c r="AQ104" s="156">
        <v>0</v>
      </c>
      <c r="AR104" s="156">
        <v>0.30779993</v>
      </c>
      <c r="AS104" s="156">
        <v>0.34347674010000001</v>
      </c>
      <c r="AT104" s="159">
        <v>6.8905211610000003E-2</v>
      </c>
    </row>
    <row r="105" spans="1:46" ht="12.75">
      <c r="A105" s="67" t="s">
        <v>11</v>
      </c>
      <c r="B105" s="67" t="s">
        <v>297</v>
      </c>
      <c r="C105" s="67" t="s">
        <v>300</v>
      </c>
      <c r="D105" s="67" t="s">
        <v>300</v>
      </c>
      <c r="E105" s="155">
        <v>0.46711635750000002</v>
      </c>
      <c r="F105" s="156">
        <v>0.82799325459999995</v>
      </c>
      <c r="G105" s="156">
        <v>0.15345699830000001</v>
      </c>
      <c r="H105" s="156">
        <v>5.0590219220000001E-3</v>
      </c>
      <c r="I105" s="156">
        <v>0</v>
      </c>
      <c r="J105" s="156">
        <v>0</v>
      </c>
      <c r="K105" s="157">
        <v>0.45362563239999998</v>
      </c>
      <c r="L105" s="158">
        <v>0.32209106240000002</v>
      </c>
      <c r="M105" s="156">
        <v>0.51939291740000004</v>
      </c>
      <c r="N105" s="156">
        <v>0.13827993250000001</v>
      </c>
      <c r="O105" s="156">
        <v>0</v>
      </c>
      <c r="P105" s="156">
        <v>0</v>
      </c>
      <c r="Q105" s="156">
        <v>0</v>
      </c>
      <c r="R105" s="159">
        <v>2.0236087690000001E-2</v>
      </c>
      <c r="S105" s="155">
        <v>0.35108695649999999</v>
      </c>
      <c r="T105" s="156">
        <v>0.54782608700000002</v>
      </c>
      <c r="U105" s="156">
        <v>0</v>
      </c>
      <c r="V105" s="156">
        <v>0</v>
      </c>
      <c r="W105" s="156">
        <v>1.5217391300000001E-2</v>
      </c>
      <c r="X105" s="156">
        <v>0</v>
      </c>
      <c r="Y105" s="157">
        <v>8.5869565219999999E-2</v>
      </c>
      <c r="Z105" s="158">
        <v>0.24347826089999999</v>
      </c>
      <c r="AA105" s="156">
        <v>0.37173913040000001</v>
      </c>
      <c r="AB105" s="156">
        <v>0</v>
      </c>
      <c r="AC105" s="156">
        <v>0</v>
      </c>
      <c r="AD105" s="156">
        <v>5.4347826089999997E-3</v>
      </c>
      <c r="AE105" s="156">
        <v>0</v>
      </c>
      <c r="AF105" s="159">
        <v>0.37934782610000001</v>
      </c>
      <c r="AG105" s="155">
        <v>0.1059245961</v>
      </c>
      <c r="AH105" s="156">
        <v>0</v>
      </c>
      <c r="AI105" s="156">
        <v>0</v>
      </c>
      <c r="AJ105" s="156">
        <v>5.3859964090000002E-3</v>
      </c>
      <c r="AK105" s="156">
        <v>0.35188509870000001</v>
      </c>
      <c r="AL105" s="156">
        <v>0.41651705570000003</v>
      </c>
      <c r="AM105" s="157">
        <v>0.12028725310000001</v>
      </c>
      <c r="AN105" s="158">
        <v>0.13105924599999999</v>
      </c>
      <c r="AO105" s="156">
        <v>0</v>
      </c>
      <c r="AP105" s="156">
        <v>0</v>
      </c>
      <c r="AQ105" s="156">
        <v>0</v>
      </c>
      <c r="AR105" s="156">
        <v>0.3572710952</v>
      </c>
      <c r="AS105" s="156">
        <v>0.41113105919999998</v>
      </c>
      <c r="AT105" s="159">
        <v>0.1005385996</v>
      </c>
    </row>
    <row r="106" spans="1:46" ht="12.75">
      <c r="A106" s="67" t="s">
        <v>11</v>
      </c>
      <c r="B106" s="67" t="s">
        <v>297</v>
      </c>
      <c r="C106" s="67" t="s">
        <v>302</v>
      </c>
      <c r="D106" s="67" t="s">
        <v>302</v>
      </c>
      <c r="E106" s="155">
        <v>0.65620328849999998</v>
      </c>
      <c r="F106" s="156">
        <v>0.17488789239999999</v>
      </c>
      <c r="G106" s="156">
        <v>0.31539611360000003</v>
      </c>
      <c r="H106" s="156">
        <v>5.9790732439999996E-3</v>
      </c>
      <c r="I106" s="156">
        <v>0</v>
      </c>
      <c r="J106" s="156">
        <v>0</v>
      </c>
      <c r="K106" s="157">
        <v>0.15246636769999999</v>
      </c>
      <c r="L106" s="158">
        <v>0.29895366220000003</v>
      </c>
      <c r="M106" s="156">
        <v>0.36023916290000002</v>
      </c>
      <c r="N106" s="156">
        <v>0.31838565019999998</v>
      </c>
      <c r="O106" s="156">
        <v>0</v>
      </c>
      <c r="P106" s="156">
        <v>0</v>
      </c>
      <c r="Q106" s="156">
        <v>0</v>
      </c>
      <c r="R106" s="159">
        <v>2.2421524660000001E-2</v>
      </c>
      <c r="S106" s="155">
        <v>0.75834445930000005</v>
      </c>
      <c r="T106" s="156">
        <v>0.18958611480000001</v>
      </c>
      <c r="U106" s="156">
        <v>0</v>
      </c>
      <c r="V106" s="156">
        <v>0</v>
      </c>
      <c r="W106" s="156">
        <v>6.6755674229999999E-3</v>
      </c>
      <c r="X106" s="156">
        <v>0</v>
      </c>
      <c r="Y106" s="157">
        <v>4.539385848E-2</v>
      </c>
      <c r="Z106" s="158">
        <v>0.65954606140000005</v>
      </c>
      <c r="AA106" s="156">
        <v>0.1068090788</v>
      </c>
      <c r="AB106" s="156">
        <v>0</v>
      </c>
      <c r="AC106" s="156">
        <v>0</v>
      </c>
      <c r="AD106" s="156">
        <v>4.0053404540000004E-3</v>
      </c>
      <c r="AE106" s="156">
        <v>0</v>
      </c>
      <c r="AF106" s="159">
        <v>0.22963951939999999</v>
      </c>
      <c r="AG106" s="155">
        <v>0.16221033870000001</v>
      </c>
      <c r="AH106" s="156">
        <v>0</v>
      </c>
      <c r="AI106" s="156">
        <v>0</v>
      </c>
      <c r="AJ106" s="156">
        <v>1.6042780749999999E-2</v>
      </c>
      <c r="AK106" s="156">
        <v>0.36185383240000002</v>
      </c>
      <c r="AL106" s="156">
        <v>0.32798573980000001</v>
      </c>
      <c r="AM106" s="157">
        <v>0.13190730840000001</v>
      </c>
      <c r="AN106" s="158">
        <v>0.1657754011</v>
      </c>
      <c r="AO106" s="156">
        <v>0</v>
      </c>
      <c r="AP106" s="156">
        <v>0</v>
      </c>
      <c r="AQ106" s="156">
        <v>0</v>
      </c>
      <c r="AR106" s="156">
        <v>0.38146167559999999</v>
      </c>
      <c r="AS106" s="156">
        <v>0.35650623889999999</v>
      </c>
      <c r="AT106" s="159">
        <v>9.6256684489999994E-2</v>
      </c>
    </row>
    <row r="107" spans="1:46" ht="12.75">
      <c r="A107" s="67" t="s">
        <v>11</v>
      </c>
      <c r="B107" s="67" t="s">
        <v>297</v>
      </c>
      <c r="C107" s="67" t="s">
        <v>303</v>
      </c>
      <c r="D107" s="67" t="s">
        <v>303</v>
      </c>
      <c r="E107" s="155">
        <v>0.27902621719999998</v>
      </c>
      <c r="F107" s="156">
        <v>0.41549625470000001</v>
      </c>
      <c r="G107" s="156">
        <v>0.24087078649999999</v>
      </c>
      <c r="H107" s="156">
        <v>3.277153558E-3</v>
      </c>
      <c r="I107" s="156">
        <v>0</v>
      </c>
      <c r="J107" s="156">
        <v>0</v>
      </c>
      <c r="K107" s="157">
        <v>6.1329588009999998E-2</v>
      </c>
      <c r="L107" s="158">
        <v>0.43188202250000002</v>
      </c>
      <c r="M107" s="156">
        <v>0.28675093629999998</v>
      </c>
      <c r="N107" s="156">
        <v>0.2450842697</v>
      </c>
      <c r="O107" s="156">
        <v>0</v>
      </c>
      <c r="P107" s="156">
        <v>0</v>
      </c>
      <c r="Q107" s="156">
        <v>0</v>
      </c>
      <c r="R107" s="159">
        <v>3.6282771540000001E-2</v>
      </c>
      <c r="S107" s="155">
        <v>0.55219994790000004</v>
      </c>
      <c r="T107" s="156">
        <v>0.37672481120000001</v>
      </c>
      <c r="U107" s="156">
        <v>0</v>
      </c>
      <c r="V107" s="156">
        <v>0</v>
      </c>
      <c r="W107" s="156">
        <v>1.19760479E-2</v>
      </c>
      <c r="X107" s="156">
        <v>0</v>
      </c>
      <c r="Y107" s="157">
        <v>5.9099192920000002E-2</v>
      </c>
      <c r="Z107" s="158">
        <v>0.27438231470000002</v>
      </c>
      <c r="AA107" s="156">
        <v>0.27542262680000001</v>
      </c>
      <c r="AB107" s="156">
        <v>0</v>
      </c>
      <c r="AC107" s="156">
        <v>0</v>
      </c>
      <c r="AD107" s="156">
        <v>8.5825747719999994E-3</v>
      </c>
      <c r="AE107" s="156">
        <v>0</v>
      </c>
      <c r="AF107" s="159">
        <v>0.4416124837</v>
      </c>
      <c r="AG107" s="155">
        <v>0.26831530139999998</v>
      </c>
      <c r="AH107" s="156">
        <v>0</v>
      </c>
      <c r="AI107" s="156">
        <v>0</v>
      </c>
      <c r="AJ107" s="156">
        <v>9.2735703249999992E-3</v>
      </c>
      <c r="AK107" s="156">
        <v>0.1666151468</v>
      </c>
      <c r="AL107" s="156">
        <v>0.43925811440000001</v>
      </c>
      <c r="AM107" s="157">
        <v>0.1165378671</v>
      </c>
      <c r="AN107" s="158">
        <v>0.28191653789999999</v>
      </c>
      <c r="AO107" s="156">
        <v>0</v>
      </c>
      <c r="AP107" s="156">
        <v>0</v>
      </c>
      <c r="AQ107" s="156">
        <v>0</v>
      </c>
      <c r="AR107" s="156">
        <v>0.17681607420000001</v>
      </c>
      <c r="AS107" s="156">
        <v>0.42782071100000002</v>
      </c>
      <c r="AT107" s="159">
        <v>0.113446677</v>
      </c>
    </row>
    <row r="108" spans="1:46" ht="12.75">
      <c r="A108" s="67" t="s">
        <v>11</v>
      </c>
      <c r="B108" s="67" t="s">
        <v>297</v>
      </c>
      <c r="C108" s="67" t="s">
        <v>305</v>
      </c>
      <c r="D108" s="67" t="s">
        <v>305</v>
      </c>
      <c r="E108" s="155">
        <v>0.31900826450000003</v>
      </c>
      <c r="F108" s="156">
        <v>0.4601652893</v>
      </c>
      <c r="G108" s="156">
        <v>0.30280991740000002</v>
      </c>
      <c r="H108" s="156">
        <v>5.619834711E-3</v>
      </c>
      <c r="I108" s="156">
        <v>0</v>
      </c>
      <c r="J108" s="156">
        <v>0</v>
      </c>
      <c r="K108" s="157">
        <v>8.7603305790000002E-2</v>
      </c>
      <c r="L108" s="158">
        <v>0.2519008264</v>
      </c>
      <c r="M108" s="156">
        <v>0.39371900830000001</v>
      </c>
      <c r="N108" s="156">
        <v>0.32396694209999999</v>
      </c>
      <c r="O108" s="156">
        <v>0</v>
      </c>
      <c r="P108" s="156">
        <v>0</v>
      </c>
      <c r="Q108" s="156">
        <v>0</v>
      </c>
      <c r="R108" s="159">
        <v>3.0413223140000001E-2</v>
      </c>
      <c r="S108" s="155">
        <v>0.64555193290000001</v>
      </c>
      <c r="T108" s="156">
        <v>0.31113181179999999</v>
      </c>
      <c r="U108" s="156">
        <v>0</v>
      </c>
      <c r="V108" s="156">
        <v>0</v>
      </c>
      <c r="W108" s="156">
        <v>6.9864927810000003E-3</v>
      </c>
      <c r="X108" s="156">
        <v>0</v>
      </c>
      <c r="Y108" s="157">
        <v>3.6329762459999998E-2</v>
      </c>
      <c r="Z108" s="158">
        <v>0.48020493710000001</v>
      </c>
      <c r="AA108" s="156">
        <v>0.3148579413</v>
      </c>
      <c r="AB108" s="156">
        <v>0</v>
      </c>
      <c r="AC108" s="156">
        <v>0</v>
      </c>
      <c r="AD108" s="156">
        <v>6.9864927810000003E-3</v>
      </c>
      <c r="AE108" s="156">
        <v>0</v>
      </c>
      <c r="AF108" s="159">
        <v>0.1979506288</v>
      </c>
      <c r="AG108" s="155">
        <v>8.5943775099999994E-2</v>
      </c>
      <c r="AH108" s="156">
        <v>0</v>
      </c>
      <c r="AI108" s="156">
        <v>0</v>
      </c>
      <c r="AJ108" s="156">
        <v>1.5662650600000001E-2</v>
      </c>
      <c r="AK108" s="156">
        <v>0.32690763049999999</v>
      </c>
      <c r="AL108" s="156">
        <v>0.4751004016</v>
      </c>
      <c r="AM108" s="157">
        <v>9.6385542170000005E-2</v>
      </c>
      <c r="AN108" s="158">
        <v>9.7472924190000004E-2</v>
      </c>
      <c r="AO108" s="156">
        <v>0</v>
      </c>
      <c r="AP108" s="156">
        <v>0</v>
      </c>
      <c r="AQ108" s="156">
        <v>0</v>
      </c>
      <c r="AR108" s="156">
        <v>0.34777376650000003</v>
      </c>
      <c r="AS108" s="156">
        <v>0.47131969509999999</v>
      </c>
      <c r="AT108" s="159">
        <v>8.3433614119999999E-2</v>
      </c>
    </row>
    <row r="109" spans="1:46" ht="12.75">
      <c r="A109" s="67" t="s">
        <v>11</v>
      </c>
      <c r="B109" s="67" t="s">
        <v>297</v>
      </c>
      <c r="C109" s="67" t="s">
        <v>297</v>
      </c>
      <c r="D109" s="67" t="s">
        <v>297</v>
      </c>
      <c r="E109" s="155">
        <v>0.43568691840000001</v>
      </c>
      <c r="F109" s="156">
        <v>0.4655172414</v>
      </c>
      <c r="G109" s="156">
        <v>0.34688013140000001</v>
      </c>
      <c r="H109" s="156">
        <v>4.241926656E-3</v>
      </c>
      <c r="I109" s="156">
        <v>0</v>
      </c>
      <c r="J109" s="156">
        <v>0</v>
      </c>
      <c r="K109" s="157">
        <v>0.25232621779999997</v>
      </c>
      <c r="L109" s="158">
        <v>0.2290640394</v>
      </c>
      <c r="M109" s="156">
        <v>0.38300492609999998</v>
      </c>
      <c r="N109" s="156">
        <v>0.35837438420000001</v>
      </c>
      <c r="O109" s="156">
        <v>0</v>
      </c>
      <c r="P109" s="156">
        <v>0</v>
      </c>
      <c r="Q109" s="156">
        <v>0</v>
      </c>
      <c r="R109" s="159">
        <v>2.955665025E-2</v>
      </c>
      <c r="S109" s="155">
        <v>0.56033909569999996</v>
      </c>
      <c r="T109" s="156">
        <v>0.37416888300000001</v>
      </c>
      <c r="U109" s="156">
        <v>0</v>
      </c>
      <c r="V109" s="156">
        <v>0</v>
      </c>
      <c r="W109" s="156">
        <v>9.9734042550000002E-3</v>
      </c>
      <c r="X109" s="156">
        <v>0</v>
      </c>
      <c r="Y109" s="157">
        <v>5.5518617020000001E-2</v>
      </c>
      <c r="Z109" s="158">
        <v>0.26845079789999998</v>
      </c>
      <c r="AA109" s="156">
        <v>0.29886968089999999</v>
      </c>
      <c r="AB109" s="156">
        <v>0</v>
      </c>
      <c r="AC109" s="156">
        <v>0</v>
      </c>
      <c r="AD109" s="156">
        <v>5.9840425530000001E-3</v>
      </c>
      <c r="AE109" s="156">
        <v>0</v>
      </c>
      <c r="AF109" s="159">
        <v>0.42669547870000002</v>
      </c>
      <c r="AG109" s="155">
        <v>0.13337032930000001</v>
      </c>
      <c r="AH109" s="156">
        <v>0</v>
      </c>
      <c r="AI109" s="156">
        <v>0</v>
      </c>
      <c r="AJ109" s="156">
        <v>6.6592674810000002E-3</v>
      </c>
      <c r="AK109" s="156">
        <v>0.2206807251</v>
      </c>
      <c r="AL109" s="156">
        <v>0.58305586389999997</v>
      </c>
      <c r="AM109" s="157">
        <v>5.6233814280000002E-2</v>
      </c>
      <c r="AN109" s="158">
        <v>0.1357750647</v>
      </c>
      <c r="AO109" s="156">
        <v>0</v>
      </c>
      <c r="AP109" s="156">
        <v>0</v>
      </c>
      <c r="AQ109" s="156">
        <v>0</v>
      </c>
      <c r="AR109" s="156">
        <v>0.22271550130000001</v>
      </c>
      <c r="AS109" s="156">
        <v>0.5858305586</v>
      </c>
      <c r="AT109" s="159">
        <v>5.5678875320000001E-2</v>
      </c>
    </row>
    <row r="110" spans="1:46" ht="12.75">
      <c r="A110" s="67" t="s">
        <v>11</v>
      </c>
      <c r="B110" s="67" t="s">
        <v>297</v>
      </c>
      <c r="C110" s="67" t="s">
        <v>308</v>
      </c>
      <c r="D110" s="67" t="s">
        <v>308</v>
      </c>
      <c r="E110" s="155">
        <v>0.38208762889999998</v>
      </c>
      <c r="F110" s="156">
        <v>0.52384020620000005</v>
      </c>
      <c r="G110" s="156">
        <v>0.23646907219999999</v>
      </c>
      <c r="H110" s="156">
        <v>3.8659793810000001E-3</v>
      </c>
      <c r="I110" s="156">
        <v>0</v>
      </c>
      <c r="J110" s="156">
        <v>0</v>
      </c>
      <c r="K110" s="157">
        <v>0.1462628866</v>
      </c>
      <c r="L110" s="158">
        <v>0.4072164948</v>
      </c>
      <c r="M110" s="156">
        <v>0.30734536080000002</v>
      </c>
      <c r="N110" s="156">
        <v>0.25128865979999998</v>
      </c>
      <c r="O110" s="156">
        <v>0</v>
      </c>
      <c r="P110" s="156">
        <v>0</v>
      </c>
      <c r="Q110" s="156">
        <v>0</v>
      </c>
      <c r="R110" s="159">
        <v>3.4149484539999997E-2</v>
      </c>
      <c r="S110" s="155">
        <v>0.64776274710000004</v>
      </c>
      <c r="T110" s="156">
        <v>0.28668054110000002</v>
      </c>
      <c r="U110" s="156">
        <v>0</v>
      </c>
      <c r="V110" s="156">
        <v>0</v>
      </c>
      <c r="W110" s="156">
        <v>1.3007284080000001E-2</v>
      </c>
      <c r="X110" s="156">
        <v>0</v>
      </c>
      <c r="Y110" s="157">
        <v>5.2549427679999997E-2</v>
      </c>
      <c r="Z110" s="158">
        <v>0.57075962540000003</v>
      </c>
      <c r="AA110" s="156">
        <v>0.25130072840000001</v>
      </c>
      <c r="AB110" s="156">
        <v>0</v>
      </c>
      <c r="AC110" s="156">
        <v>0</v>
      </c>
      <c r="AD110" s="156">
        <v>2.0811654530000002E-3</v>
      </c>
      <c r="AE110" s="156">
        <v>0</v>
      </c>
      <c r="AF110" s="159">
        <v>0.17585848070000001</v>
      </c>
      <c r="AG110" s="155">
        <v>0.12967581049999999</v>
      </c>
      <c r="AH110" s="156">
        <v>0</v>
      </c>
      <c r="AI110" s="156">
        <v>0</v>
      </c>
      <c r="AJ110" s="156">
        <v>7.4812967579999997E-3</v>
      </c>
      <c r="AK110" s="156">
        <v>0.30257689110000002</v>
      </c>
      <c r="AL110" s="156">
        <v>0.50623441400000002</v>
      </c>
      <c r="AM110" s="157">
        <v>5.4031587700000001E-2</v>
      </c>
      <c r="AN110" s="158">
        <v>0.1280133001</v>
      </c>
      <c r="AO110" s="156">
        <v>0</v>
      </c>
      <c r="AP110" s="156">
        <v>0</v>
      </c>
      <c r="AQ110" s="156">
        <v>0</v>
      </c>
      <c r="AR110" s="156">
        <v>0.315045719</v>
      </c>
      <c r="AS110" s="156">
        <v>0.50207813800000001</v>
      </c>
      <c r="AT110" s="159">
        <v>5.4862842889999999E-2</v>
      </c>
    </row>
    <row r="111" spans="1:46" ht="12.75">
      <c r="A111" s="67" t="s">
        <v>11</v>
      </c>
      <c r="B111" s="67" t="s">
        <v>297</v>
      </c>
      <c r="C111" s="67" t="s">
        <v>310</v>
      </c>
      <c r="D111" s="67" t="s">
        <v>310</v>
      </c>
      <c r="E111" s="155">
        <v>0.51109285130000004</v>
      </c>
      <c r="F111" s="156">
        <v>0.23253903040000001</v>
      </c>
      <c r="G111" s="156">
        <v>0.1700903862</v>
      </c>
      <c r="H111" s="156">
        <v>4.9301561220000002E-3</v>
      </c>
      <c r="I111" s="156">
        <v>0</v>
      </c>
      <c r="J111" s="156">
        <v>0</v>
      </c>
      <c r="K111" s="157">
        <v>8.1347576010000006E-2</v>
      </c>
      <c r="L111" s="158">
        <v>0.31059983569999999</v>
      </c>
      <c r="M111" s="156">
        <v>0.48151191450000003</v>
      </c>
      <c r="N111" s="156">
        <v>0.1799506984</v>
      </c>
      <c r="O111" s="156">
        <v>0</v>
      </c>
      <c r="P111" s="156">
        <v>0</v>
      </c>
      <c r="Q111" s="156">
        <v>0</v>
      </c>
      <c r="R111" s="159">
        <v>2.793755136E-2</v>
      </c>
      <c r="S111" s="155">
        <v>0.25276752769999999</v>
      </c>
      <c r="T111" s="156">
        <v>0.69926199259999999</v>
      </c>
      <c r="U111" s="156">
        <v>0</v>
      </c>
      <c r="V111" s="156">
        <v>0</v>
      </c>
      <c r="W111" s="156">
        <v>5.5350553510000004E-3</v>
      </c>
      <c r="X111" s="156">
        <v>0</v>
      </c>
      <c r="Y111" s="157">
        <v>4.2435424350000001E-2</v>
      </c>
      <c r="Z111" s="158">
        <v>0.2232472325</v>
      </c>
      <c r="AA111" s="156">
        <v>0.69188191880000005</v>
      </c>
      <c r="AB111" s="156">
        <v>0</v>
      </c>
      <c r="AC111" s="156">
        <v>0</v>
      </c>
      <c r="AD111" s="156">
        <v>5.5350553510000004E-3</v>
      </c>
      <c r="AE111" s="156">
        <v>0</v>
      </c>
      <c r="AF111" s="159">
        <v>7.9335793360000004E-2</v>
      </c>
      <c r="AG111" s="155">
        <v>0.19707317069999999</v>
      </c>
      <c r="AH111" s="156">
        <v>0</v>
      </c>
      <c r="AI111" s="156">
        <v>0</v>
      </c>
      <c r="AJ111" s="156">
        <v>5.8536585370000003E-3</v>
      </c>
      <c r="AK111" s="156">
        <v>0.32487804879999999</v>
      </c>
      <c r="AL111" s="156">
        <v>0.42731707320000001</v>
      </c>
      <c r="AM111" s="157">
        <v>4.4878048779999999E-2</v>
      </c>
      <c r="AN111" s="158">
        <v>0.18634146339999999</v>
      </c>
      <c r="AO111" s="156">
        <v>0</v>
      </c>
      <c r="AP111" s="156">
        <v>0</v>
      </c>
      <c r="AQ111" s="156">
        <v>0</v>
      </c>
      <c r="AR111" s="156">
        <v>0.33853658539999998</v>
      </c>
      <c r="AS111" s="156">
        <v>0.42146341459999997</v>
      </c>
      <c r="AT111" s="159">
        <v>5.365853659E-2</v>
      </c>
    </row>
    <row r="112" spans="1:46" ht="12.75">
      <c r="A112" s="67" t="s">
        <v>11</v>
      </c>
      <c r="B112" s="67" t="s">
        <v>297</v>
      </c>
      <c r="C112" s="67" t="s">
        <v>312</v>
      </c>
      <c r="D112" s="67" t="s">
        <v>313</v>
      </c>
      <c r="E112" s="155">
        <v>0.55430711610000005</v>
      </c>
      <c r="F112" s="156">
        <v>0.65543071159999999</v>
      </c>
      <c r="G112" s="156">
        <v>0.1029962547</v>
      </c>
      <c r="H112" s="156">
        <v>3.745318352E-3</v>
      </c>
      <c r="I112" s="156">
        <v>0</v>
      </c>
      <c r="J112" s="156">
        <v>0</v>
      </c>
      <c r="K112" s="157">
        <v>0.31647940070000002</v>
      </c>
      <c r="L112" s="158">
        <v>0.35393258430000002</v>
      </c>
      <c r="M112" s="156">
        <v>0.48501872660000001</v>
      </c>
      <c r="N112" s="156">
        <v>0.1235955056</v>
      </c>
      <c r="O112" s="156">
        <v>0</v>
      </c>
      <c r="P112" s="156">
        <v>0</v>
      </c>
      <c r="Q112" s="156">
        <v>0</v>
      </c>
      <c r="R112" s="159">
        <v>3.7453183520000002E-2</v>
      </c>
      <c r="S112" s="155">
        <v>0.39090909089999998</v>
      </c>
      <c r="T112" s="156">
        <v>0.47386363640000001</v>
      </c>
      <c r="U112" s="156">
        <v>0</v>
      </c>
      <c r="V112" s="156">
        <v>0</v>
      </c>
      <c r="W112" s="156">
        <v>3.636363636E-2</v>
      </c>
      <c r="X112" s="156">
        <v>0</v>
      </c>
      <c r="Y112" s="157">
        <v>9.8863636360000007E-2</v>
      </c>
      <c r="Z112" s="158">
        <v>0.16022727270000001</v>
      </c>
      <c r="AA112" s="156">
        <v>0.18068181820000001</v>
      </c>
      <c r="AB112" s="156">
        <v>0</v>
      </c>
      <c r="AC112" s="156">
        <v>0</v>
      </c>
      <c r="AD112" s="156">
        <v>2.045454545E-2</v>
      </c>
      <c r="AE112" s="156">
        <v>0</v>
      </c>
      <c r="AF112" s="159">
        <v>0.63863636359999998</v>
      </c>
      <c r="AG112" s="155">
        <v>0.31728665210000001</v>
      </c>
      <c r="AH112" s="156">
        <v>0</v>
      </c>
      <c r="AI112" s="156">
        <v>0</v>
      </c>
      <c r="AJ112" s="156">
        <v>2.8446389499999999E-2</v>
      </c>
      <c r="AK112" s="156">
        <v>0.24507658639999999</v>
      </c>
      <c r="AL112" s="156">
        <v>0.29540481400000002</v>
      </c>
      <c r="AM112" s="157">
        <v>0.11378555799999999</v>
      </c>
      <c r="AN112" s="158">
        <v>0.3216630197</v>
      </c>
      <c r="AO112" s="156">
        <v>0</v>
      </c>
      <c r="AP112" s="156">
        <v>0</v>
      </c>
      <c r="AQ112" s="156">
        <v>0</v>
      </c>
      <c r="AR112" s="156">
        <v>0.26695842450000001</v>
      </c>
      <c r="AS112" s="156">
        <v>0.31291028450000002</v>
      </c>
      <c r="AT112" s="159">
        <v>9.8468271329999996E-2</v>
      </c>
    </row>
    <row r="113" spans="1:46" ht="12.75">
      <c r="A113" s="67" t="s">
        <v>11</v>
      </c>
      <c r="B113" s="67" t="s">
        <v>297</v>
      </c>
      <c r="C113" s="67" t="s">
        <v>312</v>
      </c>
      <c r="D113" s="67" t="s">
        <v>312</v>
      </c>
      <c r="E113" s="155">
        <v>0.26391494679999999</v>
      </c>
      <c r="F113" s="156">
        <v>0.35084427769999998</v>
      </c>
      <c r="G113" s="156">
        <v>0.23827392119999999</v>
      </c>
      <c r="H113" s="156">
        <v>5.6285178239999997E-3</v>
      </c>
      <c r="I113" s="156">
        <v>0</v>
      </c>
      <c r="J113" s="156">
        <v>0</v>
      </c>
      <c r="K113" s="157">
        <v>0.14133833649999999</v>
      </c>
      <c r="L113" s="158">
        <v>0.23014383990000001</v>
      </c>
      <c r="M113" s="156">
        <v>0.45465916200000001</v>
      </c>
      <c r="N113" s="156">
        <v>0.26516572859999998</v>
      </c>
      <c r="O113" s="156">
        <v>0</v>
      </c>
      <c r="P113" s="156">
        <v>0</v>
      </c>
      <c r="Q113" s="156">
        <v>0</v>
      </c>
      <c r="R113" s="159">
        <v>5.0031269539999999E-2</v>
      </c>
      <c r="S113" s="155">
        <v>0.49799357950000001</v>
      </c>
      <c r="T113" s="156">
        <v>0.43298555379999998</v>
      </c>
      <c r="U113" s="156">
        <v>0</v>
      </c>
      <c r="V113" s="156">
        <v>0</v>
      </c>
      <c r="W113" s="156">
        <v>1.0032102730000001E-2</v>
      </c>
      <c r="X113" s="156">
        <v>0</v>
      </c>
      <c r="Y113" s="157">
        <v>5.8988764040000002E-2</v>
      </c>
      <c r="Z113" s="158">
        <v>0.34028892459999999</v>
      </c>
      <c r="AA113" s="156">
        <v>0.3077849117</v>
      </c>
      <c r="AB113" s="156">
        <v>0</v>
      </c>
      <c r="AC113" s="156">
        <v>0</v>
      </c>
      <c r="AD113" s="156">
        <v>4.0128410909999997E-3</v>
      </c>
      <c r="AE113" s="156">
        <v>0</v>
      </c>
      <c r="AF113" s="159">
        <v>0.34791332260000002</v>
      </c>
      <c r="AG113" s="155">
        <v>0.12906097020000001</v>
      </c>
      <c r="AH113" s="156">
        <v>0</v>
      </c>
      <c r="AI113" s="156">
        <v>0</v>
      </c>
      <c r="AJ113" s="156">
        <v>9.3457943929999999E-3</v>
      </c>
      <c r="AK113" s="156">
        <v>0.35336003560000001</v>
      </c>
      <c r="AL113" s="156">
        <v>0.43702714729999997</v>
      </c>
      <c r="AM113" s="157">
        <v>7.1206052510000006E-2</v>
      </c>
      <c r="AN113" s="158">
        <v>0.12906097020000001</v>
      </c>
      <c r="AO113" s="156">
        <v>0</v>
      </c>
      <c r="AP113" s="156">
        <v>0</v>
      </c>
      <c r="AQ113" s="156">
        <v>0</v>
      </c>
      <c r="AR113" s="156">
        <v>0.3635959057</v>
      </c>
      <c r="AS113" s="156">
        <v>0.4348019582</v>
      </c>
      <c r="AT113" s="159">
        <v>7.2541166000000004E-2</v>
      </c>
    </row>
    <row r="114" spans="1:46" ht="12.75">
      <c r="A114" s="67" t="s">
        <v>11</v>
      </c>
      <c r="B114" s="67" t="s">
        <v>297</v>
      </c>
      <c r="C114" s="67" t="s">
        <v>315</v>
      </c>
      <c r="D114" s="67" t="s">
        <v>315</v>
      </c>
      <c r="E114" s="155">
        <v>0.43017725899999998</v>
      </c>
      <c r="F114" s="156">
        <v>0.28642455690000002</v>
      </c>
      <c r="G114" s="156">
        <v>0.18568958059999999</v>
      </c>
      <c r="H114" s="156">
        <v>1.12408128E-2</v>
      </c>
      <c r="I114" s="156">
        <v>0</v>
      </c>
      <c r="J114" s="156">
        <v>0</v>
      </c>
      <c r="K114" s="157">
        <v>8.6467790749999995E-2</v>
      </c>
      <c r="L114" s="158">
        <v>0.32288739999999999</v>
      </c>
      <c r="M114" s="156">
        <v>0.45256105470000002</v>
      </c>
      <c r="N114" s="156">
        <v>0.19278149989999999</v>
      </c>
      <c r="O114" s="156">
        <v>0</v>
      </c>
      <c r="P114" s="156">
        <v>0</v>
      </c>
      <c r="Q114" s="156">
        <v>0</v>
      </c>
      <c r="R114" s="159">
        <v>3.1770045390000001E-2</v>
      </c>
      <c r="S114" s="155">
        <v>0.52815662119999995</v>
      </c>
      <c r="T114" s="156">
        <v>0.39001319839999998</v>
      </c>
      <c r="U114" s="156">
        <v>0</v>
      </c>
      <c r="V114" s="156">
        <v>0</v>
      </c>
      <c r="W114" s="156">
        <v>1.495820502E-2</v>
      </c>
      <c r="X114" s="156">
        <v>0</v>
      </c>
      <c r="Y114" s="157">
        <v>6.6871975360000002E-2</v>
      </c>
      <c r="Z114" s="158">
        <v>0.16710468680000001</v>
      </c>
      <c r="AA114" s="156">
        <v>0.24682435389999999</v>
      </c>
      <c r="AB114" s="156">
        <v>0</v>
      </c>
      <c r="AC114" s="156">
        <v>0</v>
      </c>
      <c r="AD114" s="156">
        <v>3.285151117E-3</v>
      </c>
      <c r="AE114" s="156">
        <v>0</v>
      </c>
      <c r="AF114" s="159">
        <v>0.58278580810000002</v>
      </c>
      <c r="AG114" s="155">
        <v>0.24611186900000001</v>
      </c>
      <c r="AH114" s="156">
        <v>0</v>
      </c>
      <c r="AI114" s="156">
        <v>0</v>
      </c>
      <c r="AJ114" s="156">
        <v>1.145975443E-2</v>
      </c>
      <c r="AK114" s="156">
        <v>0.29549795359999997</v>
      </c>
      <c r="AL114" s="156">
        <v>0.35934515690000002</v>
      </c>
      <c r="AM114" s="157">
        <v>8.7585266029999997E-2</v>
      </c>
      <c r="AN114" s="158">
        <v>0.25266030010000001</v>
      </c>
      <c r="AO114" s="156">
        <v>0</v>
      </c>
      <c r="AP114" s="156">
        <v>0</v>
      </c>
      <c r="AQ114" s="156">
        <v>0</v>
      </c>
      <c r="AR114" s="156">
        <v>0.29304229199999998</v>
      </c>
      <c r="AS114" s="156">
        <v>0.36234652109999999</v>
      </c>
      <c r="AT114" s="159">
        <v>9.1950886770000004E-2</v>
      </c>
    </row>
    <row r="115" spans="1:46" ht="12.75">
      <c r="A115" s="67" t="s">
        <v>11</v>
      </c>
      <c r="B115" s="67" t="s">
        <v>297</v>
      </c>
      <c r="C115" s="67" t="s">
        <v>317</v>
      </c>
      <c r="D115" s="67" t="s">
        <v>317</v>
      </c>
      <c r="E115" s="155">
        <v>0.53156565659999999</v>
      </c>
      <c r="F115" s="156">
        <v>0.46338383840000003</v>
      </c>
      <c r="G115" s="156">
        <v>0.20202020200000001</v>
      </c>
      <c r="H115" s="156">
        <v>6.3131313129999997E-3</v>
      </c>
      <c r="I115" s="156">
        <v>0</v>
      </c>
      <c r="J115" s="156">
        <v>0</v>
      </c>
      <c r="K115" s="157">
        <v>0.2032828283</v>
      </c>
      <c r="L115" s="158">
        <v>0.33207070709999997</v>
      </c>
      <c r="M115" s="156">
        <v>0.31439393939999999</v>
      </c>
      <c r="N115" s="156">
        <v>0.2032828283</v>
      </c>
      <c r="O115" s="156">
        <v>0</v>
      </c>
      <c r="P115" s="156">
        <v>0</v>
      </c>
      <c r="Q115" s="156">
        <v>0</v>
      </c>
      <c r="R115" s="159">
        <v>0.15025252529999999</v>
      </c>
      <c r="S115" s="155">
        <v>0.68861607140000003</v>
      </c>
      <c r="T115" s="156">
        <v>0.20089285709999999</v>
      </c>
      <c r="U115" s="156">
        <v>0</v>
      </c>
      <c r="V115" s="156">
        <v>0</v>
      </c>
      <c r="W115" s="156">
        <v>8.9285714290000002E-3</v>
      </c>
      <c r="X115" s="156">
        <v>0</v>
      </c>
      <c r="Y115" s="157">
        <v>0.1015625</v>
      </c>
      <c r="Z115" s="158">
        <v>0.52455357140000003</v>
      </c>
      <c r="AA115" s="156">
        <v>0.15290178569999999</v>
      </c>
      <c r="AB115" s="156">
        <v>0</v>
      </c>
      <c r="AC115" s="156">
        <v>0</v>
      </c>
      <c r="AD115" s="156">
        <v>6.6964285709999998E-3</v>
      </c>
      <c r="AE115" s="156">
        <v>0</v>
      </c>
      <c r="AF115" s="159">
        <v>0.31584821429999999</v>
      </c>
      <c r="AG115" s="155">
        <v>0.26836581710000001</v>
      </c>
      <c r="AH115" s="156">
        <v>0</v>
      </c>
      <c r="AI115" s="156">
        <v>0</v>
      </c>
      <c r="AJ115" s="156">
        <v>1.499250375E-2</v>
      </c>
      <c r="AK115" s="156">
        <v>0.24437781110000001</v>
      </c>
      <c r="AL115" s="156">
        <v>0.4122938531</v>
      </c>
      <c r="AM115" s="157">
        <v>5.9970014990000001E-2</v>
      </c>
      <c r="AN115" s="158">
        <v>0.30134932530000003</v>
      </c>
      <c r="AO115" s="156">
        <v>0</v>
      </c>
      <c r="AP115" s="156">
        <v>0</v>
      </c>
      <c r="AQ115" s="156">
        <v>0</v>
      </c>
      <c r="AR115" s="156">
        <v>0.23388305849999999</v>
      </c>
      <c r="AS115" s="156">
        <v>0.4122938531</v>
      </c>
      <c r="AT115" s="159">
        <v>5.2473763120000003E-2</v>
      </c>
    </row>
    <row r="116" spans="1:46" ht="12.75">
      <c r="A116" s="67" t="s">
        <v>11</v>
      </c>
      <c r="B116" s="67" t="s">
        <v>297</v>
      </c>
      <c r="C116" s="67" t="s">
        <v>319</v>
      </c>
      <c r="D116" s="67" t="s">
        <v>319</v>
      </c>
      <c r="E116" s="155">
        <v>0.45519203409999998</v>
      </c>
      <c r="F116" s="156">
        <v>0.50213371269999996</v>
      </c>
      <c r="G116" s="156">
        <v>0.35135135140000001</v>
      </c>
      <c r="H116" s="156">
        <v>9.9573257469999996E-3</v>
      </c>
      <c r="I116" s="156">
        <v>0</v>
      </c>
      <c r="J116" s="156">
        <v>0</v>
      </c>
      <c r="K116" s="157">
        <v>0.31863442390000002</v>
      </c>
      <c r="L116" s="158">
        <v>0.1180654339</v>
      </c>
      <c r="M116" s="156">
        <v>0.4907539118</v>
      </c>
      <c r="N116" s="156">
        <v>0.34850640109999997</v>
      </c>
      <c r="O116" s="156">
        <v>0</v>
      </c>
      <c r="P116" s="156">
        <v>0</v>
      </c>
      <c r="Q116" s="156">
        <v>0</v>
      </c>
      <c r="R116" s="159">
        <v>4.2674253199999998E-2</v>
      </c>
      <c r="S116" s="155">
        <v>0.42704626330000001</v>
      </c>
      <c r="T116" s="156">
        <v>0.4199288256</v>
      </c>
      <c r="U116" s="156">
        <v>0</v>
      </c>
      <c r="V116" s="156">
        <v>0</v>
      </c>
      <c r="W116" s="156">
        <v>2.6690391460000001E-2</v>
      </c>
      <c r="X116" s="156">
        <v>0</v>
      </c>
      <c r="Y116" s="157">
        <v>0.1263345196</v>
      </c>
      <c r="Z116" s="158">
        <v>0.35409252670000002</v>
      </c>
      <c r="AA116" s="156">
        <v>0.29359430600000003</v>
      </c>
      <c r="AB116" s="156">
        <v>0</v>
      </c>
      <c r="AC116" s="156">
        <v>0</v>
      </c>
      <c r="AD116" s="156">
        <v>1.7793594309999999E-3</v>
      </c>
      <c r="AE116" s="156">
        <v>0</v>
      </c>
      <c r="AF116" s="159">
        <v>0.35053380779999999</v>
      </c>
      <c r="AG116" s="155">
        <v>6.1158798280000003E-2</v>
      </c>
      <c r="AH116" s="156">
        <v>0</v>
      </c>
      <c r="AI116" s="156">
        <v>0</v>
      </c>
      <c r="AJ116" s="156">
        <v>9.6566523610000007E-3</v>
      </c>
      <c r="AK116" s="156">
        <v>0.18884120169999999</v>
      </c>
      <c r="AL116" s="156">
        <v>0.66416309009999996</v>
      </c>
      <c r="AM116" s="157">
        <v>7.6180257510000002E-2</v>
      </c>
      <c r="AN116" s="158">
        <v>6.6523605149999998E-2</v>
      </c>
      <c r="AO116" s="156">
        <v>0</v>
      </c>
      <c r="AP116" s="156">
        <v>0</v>
      </c>
      <c r="AQ116" s="156">
        <v>0</v>
      </c>
      <c r="AR116" s="156">
        <v>0.1963519313</v>
      </c>
      <c r="AS116" s="156">
        <v>0.6748927039</v>
      </c>
      <c r="AT116" s="159">
        <v>6.2231759659999997E-2</v>
      </c>
    </row>
    <row r="117" spans="1:46" ht="12.75">
      <c r="A117" s="67" t="s">
        <v>11</v>
      </c>
      <c r="B117" s="67" t="s">
        <v>297</v>
      </c>
      <c r="C117" s="67" t="s">
        <v>321</v>
      </c>
      <c r="D117" s="67" t="s">
        <v>321</v>
      </c>
      <c r="E117" s="155">
        <v>0.2019989479</v>
      </c>
      <c r="F117" s="156">
        <v>0.34876380849999999</v>
      </c>
      <c r="G117" s="156">
        <v>0.37243556020000002</v>
      </c>
      <c r="H117" s="156">
        <v>7.8905839030000008E-3</v>
      </c>
      <c r="I117" s="156">
        <v>0</v>
      </c>
      <c r="J117" s="156">
        <v>0</v>
      </c>
      <c r="K117" s="157">
        <v>6.8911099419999997E-2</v>
      </c>
      <c r="L117" s="158">
        <v>0.2056812204</v>
      </c>
      <c r="M117" s="156">
        <v>0.37401367699999999</v>
      </c>
      <c r="N117" s="156">
        <v>0.39978958440000001</v>
      </c>
      <c r="O117" s="156">
        <v>0</v>
      </c>
      <c r="P117" s="156">
        <v>0</v>
      </c>
      <c r="Q117" s="156">
        <v>0</v>
      </c>
      <c r="R117" s="159">
        <v>2.0515518149999998E-2</v>
      </c>
      <c r="S117" s="155">
        <v>0.46518105850000002</v>
      </c>
      <c r="T117" s="156">
        <v>0.47701949859999998</v>
      </c>
      <c r="U117" s="156">
        <v>0</v>
      </c>
      <c r="V117" s="156">
        <v>0</v>
      </c>
      <c r="W117" s="156">
        <v>8.820798514E-3</v>
      </c>
      <c r="X117" s="156">
        <v>0</v>
      </c>
      <c r="Y117" s="157">
        <v>4.8978644379999998E-2</v>
      </c>
      <c r="Z117" s="158">
        <v>0.2326445322</v>
      </c>
      <c r="AA117" s="156">
        <v>0.34316229390000003</v>
      </c>
      <c r="AB117" s="156">
        <v>0</v>
      </c>
      <c r="AC117" s="156">
        <v>0</v>
      </c>
      <c r="AD117" s="156">
        <v>2.7861620620000002E-3</v>
      </c>
      <c r="AE117" s="156">
        <v>0</v>
      </c>
      <c r="AF117" s="159">
        <v>0.42140701180000001</v>
      </c>
      <c r="AG117" s="155">
        <v>8.0943275970000006E-2</v>
      </c>
      <c r="AH117" s="156">
        <v>0</v>
      </c>
      <c r="AI117" s="156">
        <v>0</v>
      </c>
      <c r="AJ117" s="156">
        <v>5.736137667E-3</v>
      </c>
      <c r="AK117" s="156">
        <v>0.2848948375</v>
      </c>
      <c r="AL117" s="156">
        <v>0.58062460169999996</v>
      </c>
      <c r="AM117" s="157">
        <v>4.780114723E-2</v>
      </c>
      <c r="AN117" s="158">
        <v>8.1580624599999998E-2</v>
      </c>
      <c r="AO117" s="156">
        <v>0</v>
      </c>
      <c r="AP117" s="156">
        <v>0</v>
      </c>
      <c r="AQ117" s="156">
        <v>0</v>
      </c>
      <c r="AR117" s="156">
        <v>0.28871892929999998</v>
      </c>
      <c r="AS117" s="156">
        <v>0.5761631612</v>
      </c>
      <c r="AT117" s="159">
        <v>5.3537284890000002E-2</v>
      </c>
    </row>
    <row r="118" spans="1:46" ht="12.75">
      <c r="A118" s="67" t="s">
        <v>11</v>
      </c>
      <c r="B118" s="67" t="s">
        <v>297</v>
      </c>
      <c r="C118" s="67" t="s">
        <v>323</v>
      </c>
      <c r="D118" s="67" t="s">
        <v>323</v>
      </c>
      <c r="E118" s="155">
        <v>0.51045296169999999</v>
      </c>
      <c r="F118" s="156">
        <v>0.34181184669999998</v>
      </c>
      <c r="G118" s="156">
        <v>0.30766550520000002</v>
      </c>
      <c r="H118" s="156">
        <v>8.0139372820000002E-3</v>
      </c>
      <c r="I118" s="156">
        <v>0</v>
      </c>
      <c r="J118" s="156">
        <v>0</v>
      </c>
      <c r="K118" s="157">
        <v>0.16794425090000001</v>
      </c>
      <c r="L118" s="158">
        <v>0.27351916380000002</v>
      </c>
      <c r="M118" s="156">
        <v>0.38501742160000002</v>
      </c>
      <c r="N118" s="156">
        <v>0.31324041809999997</v>
      </c>
      <c r="O118" s="156">
        <v>0</v>
      </c>
      <c r="P118" s="156">
        <v>0</v>
      </c>
      <c r="Q118" s="156">
        <v>0</v>
      </c>
      <c r="R118" s="159">
        <v>2.8222996520000002E-2</v>
      </c>
      <c r="S118" s="155">
        <v>0.46196868009999997</v>
      </c>
      <c r="T118" s="156">
        <v>0.49179716629999998</v>
      </c>
      <c r="U118" s="156">
        <v>0</v>
      </c>
      <c r="V118" s="156">
        <v>0</v>
      </c>
      <c r="W118" s="156">
        <v>6.3385533179999998E-3</v>
      </c>
      <c r="X118" s="156">
        <v>0</v>
      </c>
      <c r="Y118" s="157">
        <v>3.98956003E-2</v>
      </c>
      <c r="Z118" s="158">
        <v>0.3042505593</v>
      </c>
      <c r="AA118" s="156">
        <v>0.37546607009999999</v>
      </c>
      <c r="AB118" s="156">
        <v>0</v>
      </c>
      <c r="AC118" s="156">
        <v>0</v>
      </c>
      <c r="AD118" s="156">
        <v>4.8471290080000003E-3</v>
      </c>
      <c r="AE118" s="156">
        <v>0</v>
      </c>
      <c r="AF118" s="159">
        <v>0.3154362416</v>
      </c>
      <c r="AG118" s="155">
        <v>0.1158836689</v>
      </c>
      <c r="AH118" s="156">
        <v>0</v>
      </c>
      <c r="AI118" s="156">
        <v>0</v>
      </c>
      <c r="AJ118" s="156">
        <v>7.1588366890000003E-3</v>
      </c>
      <c r="AK118" s="156">
        <v>0.27069351229999999</v>
      </c>
      <c r="AL118" s="156">
        <v>0.52975391500000002</v>
      </c>
      <c r="AM118" s="157">
        <v>7.6510067109999996E-2</v>
      </c>
      <c r="AN118" s="158">
        <v>0.1194630872</v>
      </c>
      <c r="AO118" s="156">
        <v>0</v>
      </c>
      <c r="AP118" s="156">
        <v>0</v>
      </c>
      <c r="AQ118" s="156">
        <v>0</v>
      </c>
      <c r="AR118" s="156">
        <v>0.2769574944</v>
      </c>
      <c r="AS118" s="156">
        <v>0.52617449660000004</v>
      </c>
      <c r="AT118" s="159">
        <v>7.7404921700000004E-2</v>
      </c>
    </row>
    <row r="119" spans="1:46" ht="12.75">
      <c r="A119" s="67" t="s">
        <v>11</v>
      </c>
      <c r="B119" s="67" t="s">
        <v>297</v>
      </c>
      <c r="C119" s="67" t="s">
        <v>325</v>
      </c>
      <c r="D119" s="67" t="s">
        <v>325</v>
      </c>
      <c r="E119" s="155">
        <v>0.37650933040000001</v>
      </c>
      <c r="F119" s="156">
        <v>0.40724478590000002</v>
      </c>
      <c r="G119" s="156">
        <v>0.26893523600000002</v>
      </c>
      <c r="H119" s="156">
        <v>5.4884742040000002E-3</v>
      </c>
      <c r="I119" s="156">
        <v>0</v>
      </c>
      <c r="J119" s="156">
        <v>0</v>
      </c>
      <c r="K119" s="157">
        <v>5.817782656E-2</v>
      </c>
      <c r="L119" s="158">
        <v>0.33040614709999999</v>
      </c>
      <c r="M119" s="156">
        <v>0.36772777169999998</v>
      </c>
      <c r="N119" s="156">
        <v>0.27771679469999999</v>
      </c>
      <c r="O119" s="156">
        <v>0</v>
      </c>
      <c r="P119" s="156">
        <v>0</v>
      </c>
      <c r="Q119" s="156">
        <v>0</v>
      </c>
      <c r="R119" s="159">
        <v>2.4149286499999999E-2</v>
      </c>
      <c r="S119" s="155">
        <v>0.73865414709999999</v>
      </c>
      <c r="T119" s="156">
        <v>0.14710485130000001</v>
      </c>
      <c r="U119" s="156">
        <v>0</v>
      </c>
      <c r="V119" s="156">
        <v>0</v>
      </c>
      <c r="W119" s="156">
        <v>1.5649452269999999E-2</v>
      </c>
      <c r="X119" s="156">
        <v>0</v>
      </c>
      <c r="Y119" s="157">
        <v>9.8591549299999998E-2</v>
      </c>
      <c r="Z119" s="158">
        <v>0.33020344289999998</v>
      </c>
      <c r="AA119" s="156">
        <v>7.6682316119999996E-2</v>
      </c>
      <c r="AB119" s="156">
        <v>0</v>
      </c>
      <c r="AC119" s="156">
        <v>0</v>
      </c>
      <c r="AD119" s="156">
        <v>7.8247261349999996E-3</v>
      </c>
      <c r="AE119" s="156">
        <v>0</v>
      </c>
      <c r="AF119" s="159">
        <v>0.58528951490000003</v>
      </c>
      <c r="AG119" s="155">
        <v>0.1224018476</v>
      </c>
      <c r="AH119" s="156">
        <v>0</v>
      </c>
      <c r="AI119" s="156">
        <v>0</v>
      </c>
      <c r="AJ119" s="156">
        <v>9.2378752890000006E-3</v>
      </c>
      <c r="AK119" s="156">
        <v>0.14549653579999999</v>
      </c>
      <c r="AL119" s="156">
        <v>0.5935334873</v>
      </c>
      <c r="AM119" s="157">
        <v>0.12933025400000001</v>
      </c>
      <c r="AN119" s="158">
        <v>0.13625866049999999</v>
      </c>
      <c r="AO119" s="156">
        <v>0</v>
      </c>
      <c r="AP119" s="156">
        <v>0</v>
      </c>
      <c r="AQ119" s="156">
        <v>0</v>
      </c>
      <c r="AR119" s="156">
        <v>0.15127020790000001</v>
      </c>
      <c r="AS119" s="156">
        <v>0.59930715940000001</v>
      </c>
      <c r="AT119" s="159">
        <v>0.1131639723</v>
      </c>
    </row>
    <row r="120" spans="1:46" ht="12.75">
      <c r="A120" s="67" t="s">
        <v>11</v>
      </c>
      <c r="B120" s="67" t="s">
        <v>297</v>
      </c>
      <c r="C120" s="67" t="s">
        <v>327</v>
      </c>
      <c r="D120" s="67" t="s">
        <v>327</v>
      </c>
      <c r="E120" s="155">
        <v>0.42943143810000001</v>
      </c>
      <c r="F120" s="156">
        <v>0.45284280939999999</v>
      </c>
      <c r="G120" s="156">
        <v>0.14448160539999999</v>
      </c>
      <c r="H120" s="156">
        <v>6.6889632109999996E-3</v>
      </c>
      <c r="I120" s="156">
        <v>0</v>
      </c>
      <c r="J120" s="156">
        <v>0</v>
      </c>
      <c r="K120" s="157">
        <v>3.3444816049999999E-2</v>
      </c>
      <c r="L120" s="158">
        <v>0.4642140468</v>
      </c>
      <c r="M120" s="156">
        <v>0.3471571906</v>
      </c>
      <c r="N120" s="156">
        <v>0.1538461538</v>
      </c>
      <c r="O120" s="156">
        <v>0</v>
      </c>
      <c r="P120" s="156">
        <v>0</v>
      </c>
      <c r="Q120" s="156">
        <v>0</v>
      </c>
      <c r="R120" s="159">
        <v>3.4782608700000002E-2</v>
      </c>
      <c r="S120" s="155">
        <v>0.56013289040000003</v>
      </c>
      <c r="T120" s="156">
        <v>0.4073089701</v>
      </c>
      <c r="U120" s="156">
        <v>0</v>
      </c>
      <c r="V120" s="156">
        <v>0</v>
      </c>
      <c r="W120" s="156">
        <v>6.6445182720000001E-3</v>
      </c>
      <c r="X120" s="156">
        <v>0</v>
      </c>
      <c r="Y120" s="157">
        <v>2.5913621259999998E-2</v>
      </c>
      <c r="Z120" s="158">
        <v>0.49102990029999999</v>
      </c>
      <c r="AA120" s="156">
        <v>0.35415282390000002</v>
      </c>
      <c r="AB120" s="156">
        <v>0</v>
      </c>
      <c r="AC120" s="156">
        <v>0</v>
      </c>
      <c r="AD120" s="156">
        <v>9.9667774090000001E-3</v>
      </c>
      <c r="AE120" s="156">
        <v>0</v>
      </c>
      <c r="AF120" s="159">
        <v>0.14485049829999999</v>
      </c>
      <c r="AG120" s="155">
        <v>0.2246503497</v>
      </c>
      <c r="AH120" s="156">
        <v>0</v>
      </c>
      <c r="AI120" s="156">
        <v>0</v>
      </c>
      <c r="AJ120" s="156">
        <v>1.0489510489999999E-2</v>
      </c>
      <c r="AK120" s="156">
        <v>0.201048951</v>
      </c>
      <c r="AL120" s="156">
        <v>0.51486013990000001</v>
      </c>
      <c r="AM120" s="157">
        <v>4.8951048949999999E-2</v>
      </c>
      <c r="AN120" s="158">
        <v>0.22202797199999999</v>
      </c>
      <c r="AO120" s="156">
        <v>0</v>
      </c>
      <c r="AP120" s="156">
        <v>0</v>
      </c>
      <c r="AQ120" s="156">
        <v>0</v>
      </c>
      <c r="AR120" s="156">
        <v>0.19755244759999999</v>
      </c>
      <c r="AS120" s="156">
        <v>0.53321678319999999</v>
      </c>
      <c r="AT120" s="159">
        <v>4.72027972E-2</v>
      </c>
    </row>
    <row r="121" spans="1:46" ht="12.75">
      <c r="A121" s="67" t="s">
        <v>11</v>
      </c>
      <c r="B121" s="67" t="s">
        <v>297</v>
      </c>
      <c r="C121" s="67" t="s">
        <v>329</v>
      </c>
      <c r="D121" s="67" t="s">
        <v>329</v>
      </c>
      <c r="E121" s="155">
        <v>0.36036036040000002</v>
      </c>
      <c r="F121" s="156">
        <v>0.35435435440000002</v>
      </c>
      <c r="G121" s="156">
        <v>0.33453453449999998</v>
      </c>
      <c r="H121" s="156">
        <v>7.2072072069999998E-3</v>
      </c>
      <c r="I121" s="156">
        <v>0</v>
      </c>
      <c r="J121" s="156">
        <v>0</v>
      </c>
      <c r="K121" s="157">
        <v>5.6456456459999999E-2</v>
      </c>
      <c r="L121" s="158">
        <v>0.18018018020000001</v>
      </c>
      <c r="M121" s="156">
        <v>0.4588588589</v>
      </c>
      <c r="N121" s="156">
        <v>0.33093093089999998</v>
      </c>
      <c r="O121" s="156">
        <v>0</v>
      </c>
      <c r="P121" s="156">
        <v>0</v>
      </c>
      <c r="Q121" s="156">
        <v>0</v>
      </c>
      <c r="R121" s="159">
        <v>3.0030030030000002E-2</v>
      </c>
      <c r="S121" s="155">
        <v>0.54285714289999998</v>
      </c>
      <c r="T121" s="156">
        <v>0.40214285709999997</v>
      </c>
      <c r="U121" s="156">
        <v>0</v>
      </c>
      <c r="V121" s="156">
        <v>0</v>
      </c>
      <c r="W121" s="156">
        <v>8.5714285709999997E-3</v>
      </c>
      <c r="X121" s="156">
        <v>0</v>
      </c>
      <c r="Y121" s="157">
        <v>4.6428571430000003E-2</v>
      </c>
      <c r="Z121" s="158">
        <v>0.435</v>
      </c>
      <c r="AA121" s="156">
        <v>0.34857142860000001</v>
      </c>
      <c r="AB121" s="156">
        <v>0</v>
      </c>
      <c r="AC121" s="156">
        <v>0</v>
      </c>
      <c r="AD121" s="156">
        <v>7.8571428569999997E-3</v>
      </c>
      <c r="AE121" s="156">
        <v>0</v>
      </c>
      <c r="AF121" s="159">
        <v>0.2085714286</v>
      </c>
      <c r="AG121" s="155">
        <v>6.3238359970000005E-2</v>
      </c>
      <c r="AH121" s="156">
        <v>0</v>
      </c>
      <c r="AI121" s="156">
        <v>0</v>
      </c>
      <c r="AJ121" s="156">
        <v>9.7289784569999996E-3</v>
      </c>
      <c r="AK121" s="156">
        <v>0.31063238360000001</v>
      </c>
      <c r="AL121" s="156">
        <v>0.53648366920000001</v>
      </c>
      <c r="AM121" s="157">
        <v>7.9916608759999994E-2</v>
      </c>
      <c r="AN121" s="158">
        <v>6.4404432129999994E-2</v>
      </c>
      <c r="AO121" s="156">
        <v>0</v>
      </c>
      <c r="AP121" s="156">
        <v>0</v>
      </c>
      <c r="AQ121" s="156">
        <v>0</v>
      </c>
      <c r="AR121" s="156">
        <v>0.3130193906</v>
      </c>
      <c r="AS121" s="156">
        <v>0.54916897509999996</v>
      </c>
      <c r="AT121" s="159">
        <v>7.3407202219999995E-2</v>
      </c>
    </row>
    <row r="122" spans="1:46" ht="12.75">
      <c r="A122" s="67" t="s">
        <v>11</v>
      </c>
      <c r="B122" s="67" t="s">
        <v>297</v>
      </c>
      <c r="C122" s="67" t="s">
        <v>331</v>
      </c>
      <c r="D122" s="67" t="s">
        <v>331</v>
      </c>
      <c r="E122" s="155">
        <v>0.17904761899999999</v>
      </c>
      <c r="F122" s="156">
        <v>0.12666666670000001</v>
      </c>
      <c r="G122" s="156">
        <v>3.6190476190000001E-2</v>
      </c>
      <c r="H122" s="156">
        <v>5.7142857140000001E-3</v>
      </c>
      <c r="I122" s="156">
        <v>0</v>
      </c>
      <c r="J122" s="156">
        <v>0</v>
      </c>
      <c r="K122" s="157">
        <v>0.65238095240000005</v>
      </c>
      <c r="L122" s="158">
        <v>0.41523809519999999</v>
      </c>
      <c r="M122" s="156">
        <v>0.52095238099999996</v>
      </c>
      <c r="N122" s="156">
        <v>3.6190476190000001E-2</v>
      </c>
      <c r="O122" s="156">
        <v>0</v>
      </c>
      <c r="P122" s="156">
        <v>0</v>
      </c>
      <c r="Q122" s="156">
        <v>0</v>
      </c>
      <c r="R122" s="159">
        <v>2.761904762E-2</v>
      </c>
      <c r="S122" s="155">
        <v>0.71041214750000004</v>
      </c>
      <c r="T122" s="156">
        <v>0.2277657267</v>
      </c>
      <c r="U122" s="156">
        <v>0</v>
      </c>
      <c r="V122" s="156">
        <v>0</v>
      </c>
      <c r="W122" s="156">
        <v>8.6767895880000001E-3</v>
      </c>
      <c r="X122" s="156">
        <v>0</v>
      </c>
      <c r="Y122" s="157">
        <v>5.314533623E-2</v>
      </c>
      <c r="Z122" s="158">
        <v>0.4240780911</v>
      </c>
      <c r="AA122" s="156">
        <v>0.1529284165</v>
      </c>
      <c r="AB122" s="156">
        <v>0</v>
      </c>
      <c r="AC122" s="156">
        <v>0</v>
      </c>
      <c r="AD122" s="156">
        <v>4.3383947940000001E-3</v>
      </c>
      <c r="AE122" s="156">
        <v>0</v>
      </c>
      <c r="AF122" s="159">
        <v>0.41865509760000003</v>
      </c>
      <c r="AG122" s="155">
        <v>0.42894056850000001</v>
      </c>
      <c r="AH122" s="156">
        <v>0</v>
      </c>
      <c r="AI122" s="156">
        <v>0</v>
      </c>
      <c r="AJ122" s="156">
        <v>1.5503875970000001E-2</v>
      </c>
      <c r="AK122" s="156">
        <v>0.39405684749999997</v>
      </c>
      <c r="AL122" s="156">
        <v>0.10206718350000001</v>
      </c>
      <c r="AM122" s="157">
        <v>5.9431524550000003E-2</v>
      </c>
      <c r="AN122" s="158">
        <v>0.43540051680000003</v>
      </c>
      <c r="AO122" s="156">
        <v>0</v>
      </c>
      <c r="AP122" s="156">
        <v>0</v>
      </c>
      <c r="AQ122" s="156">
        <v>0</v>
      </c>
      <c r="AR122" s="156">
        <v>0.4095607235</v>
      </c>
      <c r="AS122" s="156">
        <v>0.1085271318</v>
      </c>
      <c r="AT122" s="159">
        <v>4.6511627909999999E-2</v>
      </c>
    </row>
    <row r="123" spans="1:46" ht="12.75">
      <c r="A123" s="67" t="s">
        <v>11</v>
      </c>
      <c r="B123" s="67" t="s">
        <v>297</v>
      </c>
      <c r="C123" s="67" t="s">
        <v>333</v>
      </c>
      <c r="D123" s="67" t="s">
        <v>333</v>
      </c>
      <c r="E123" s="155">
        <v>0.41635991820000001</v>
      </c>
      <c r="F123" s="156">
        <v>0.38098159510000001</v>
      </c>
      <c r="G123" s="156">
        <v>0.13640081800000001</v>
      </c>
      <c r="H123" s="156">
        <v>5.3169734149999997E-3</v>
      </c>
      <c r="I123" s="156">
        <v>0</v>
      </c>
      <c r="J123" s="156">
        <v>0</v>
      </c>
      <c r="K123" s="157">
        <v>6.09406953E-2</v>
      </c>
      <c r="L123" s="158">
        <v>0.37607361960000002</v>
      </c>
      <c r="M123" s="156">
        <v>0.45276073620000001</v>
      </c>
      <c r="N123" s="156">
        <v>0.1413087935</v>
      </c>
      <c r="O123" s="156">
        <v>0</v>
      </c>
      <c r="P123" s="156">
        <v>0</v>
      </c>
      <c r="Q123" s="156">
        <v>0</v>
      </c>
      <c r="R123" s="159">
        <v>2.9856850720000001E-2</v>
      </c>
      <c r="S123" s="155">
        <v>0.56313069159999996</v>
      </c>
      <c r="T123" s="156">
        <v>0.36573960129999999</v>
      </c>
      <c r="U123" s="156">
        <v>0</v>
      </c>
      <c r="V123" s="156">
        <v>0</v>
      </c>
      <c r="W123" s="156">
        <v>1.4767413240000001E-2</v>
      </c>
      <c r="X123" s="156">
        <v>0</v>
      </c>
      <c r="Y123" s="157">
        <v>5.6362293870000003E-2</v>
      </c>
      <c r="Z123" s="158">
        <v>0.40758060550000003</v>
      </c>
      <c r="AA123" s="156">
        <v>0.19197637209999999</v>
      </c>
      <c r="AB123" s="156">
        <v>0</v>
      </c>
      <c r="AC123" s="156">
        <v>0</v>
      </c>
      <c r="AD123" s="156">
        <v>1.2060054149999999E-2</v>
      </c>
      <c r="AE123" s="156">
        <v>0</v>
      </c>
      <c r="AF123" s="159">
        <v>0.38838296830000002</v>
      </c>
      <c r="AG123" s="155">
        <v>0.25495557070000002</v>
      </c>
      <c r="AH123" s="156">
        <v>0</v>
      </c>
      <c r="AI123" s="156">
        <v>0</v>
      </c>
      <c r="AJ123" s="156">
        <v>1.161995899E-2</v>
      </c>
      <c r="AK123" s="156">
        <v>0.3210298473</v>
      </c>
      <c r="AL123" s="156">
        <v>0.33789017999999998</v>
      </c>
      <c r="AM123" s="157">
        <v>7.4504442929999998E-2</v>
      </c>
      <c r="AN123" s="158">
        <v>0.26999316470000001</v>
      </c>
      <c r="AO123" s="156">
        <v>0</v>
      </c>
      <c r="AP123" s="156">
        <v>0</v>
      </c>
      <c r="AQ123" s="156">
        <v>0</v>
      </c>
      <c r="AR123" s="156">
        <v>0.31829573929999999</v>
      </c>
      <c r="AS123" s="156">
        <v>0.35019366600000001</v>
      </c>
      <c r="AT123" s="159">
        <v>6.151742994E-2</v>
      </c>
    </row>
    <row r="124" spans="1:46" ht="12.75">
      <c r="A124" s="67" t="s">
        <v>11</v>
      </c>
      <c r="B124" s="67" t="s">
        <v>297</v>
      </c>
      <c r="C124" s="67" t="s">
        <v>335</v>
      </c>
      <c r="D124" s="67" t="s">
        <v>335</v>
      </c>
      <c r="E124" s="155">
        <v>0.4265458842</v>
      </c>
      <c r="F124" s="156">
        <v>0.33083891300000001</v>
      </c>
      <c r="G124" s="156">
        <v>0.2024419063</v>
      </c>
      <c r="H124" s="156">
        <v>3.5447026389999999E-3</v>
      </c>
      <c r="I124" s="156">
        <v>0</v>
      </c>
      <c r="J124" s="156">
        <v>0</v>
      </c>
      <c r="K124" s="157">
        <v>3.6628593930000002E-2</v>
      </c>
      <c r="L124" s="158">
        <v>0.35840882239999999</v>
      </c>
      <c r="M124" s="156">
        <v>0.41236707369999998</v>
      </c>
      <c r="N124" s="156">
        <v>0.2091374557</v>
      </c>
      <c r="O124" s="156">
        <v>0</v>
      </c>
      <c r="P124" s="156">
        <v>0</v>
      </c>
      <c r="Q124" s="156">
        <v>0</v>
      </c>
      <c r="R124" s="159">
        <v>2.0086648289999998E-2</v>
      </c>
      <c r="S124" s="155">
        <v>0.55871388629999996</v>
      </c>
      <c r="T124" s="156">
        <v>0.37837837839999999</v>
      </c>
      <c r="U124" s="156">
        <v>0</v>
      </c>
      <c r="V124" s="156">
        <v>0</v>
      </c>
      <c r="W124" s="156">
        <v>9.7856477170000008E-3</v>
      </c>
      <c r="X124" s="156">
        <v>0</v>
      </c>
      <c r="Y124" s="157">
        <v>5.3122087599999999E-2</v>
      </c>
      <c r="Z124" s="158">
        <v>0.26374650509999997</v>
      </c>
      <c r="AA124" s="156">
        <v>0.2786579683</v>
      </c>
      <c r="AB124" s="156">
        <v>0</v>
      </c>
      <c r="AC124" s="156">
        <v>0</v>
      </c>
      <c r="AD124" s="156">
        <v>8.3876980430000001E-3</v>
      </c>
      <c r="AE124" s="156">
        <v>0</v>
      </c>
      <c r="AF124" s="159">
        <v>0.44920782850000002</v>
      </c>
      <c r="AG124" s="155">
        <v>0.19429347829999999</v>
      </c>
      <c r="AH124" s="156">
        <v>0</v>
      </c>
      <c r="AI124" s="156">
        <v>0</v>
      </c>
      <c r="AJ124" s="156">
        <v>1.5398550719999999E-2</v>
      </c>
      <c r="AK124" s="156">
        <v>0.25860507249999998</v>
      </c>
      <c r="AL124" s="156">
        <v>0.44067028990000001</v>
      </c>
      <c r="AM124" s="157">
        <v>9.1032608700000003E-2</v>
      </c>
      <c r="AN124" s="158">
        <v>0.19746376809999999</v>
      </c>
      <c r="AO124" s="156">
        <v>0</v>
      </c>
      <c r="AP124" s="156">
        <v>0</v>
      </c>
      <c r="AQ124" s="156">
        <v>0</v>
      </c>
      <c r="AR124" s="156">
        <v>0.28442028990000001</v>
      </c>
      <c r="AS124" s="156">
        <v>0.44384057970000002</v>
      </c>
      <c r="AT124" s="159">
        <v>7.4275362319999996E-2</v>
      </c>
    </row>
    <row r="125" spans="1:46" ht="12.75">
      <c r="A125" s="67" t="s">
        <v>11</v>
      </c>
      <c r="B125" s="67" t="s">
        <v>297</v>
      </c>
      <c r="C125" s="67" t="s">
        <v>337</v>
      </c>
      <c r="D125" s="67" t="s">
        <v>337</v>
      </c>
      <c r="E125" s="155">
        <v>0.45595854920000001</v>
      </c>
      <c r="F125" s="156">
        <v>0.5</v>
      </c>
      <c r="G125" s="156">
        <v>0.14766839379999999</v>
      </c>
      <c r="H125" s="156">
        <v>6.4766839380000002E-3</v>
      </c>
      <c r="I125" s="156">
        <v>0</v>
      </c>
      <c r="J125" s="156">
        <v>0</v>
      </c>
      <c r="K125" s="157">
        <v>0.1101036269</v>
      </c>
      <c r="L125" s="158">
        <v>0.38730569949999999</v>
      </c>
      <c r="M125" s="156">
        <v>0.44818652850000001</v>
      </c>
      <c r="N125" s="156">
        <v>0.1360103627</v>
      </c>
      <c r="O125" s="156">
        <v>0</v>
      </c>
      <c r="P125" s="156">
        <v>0</v>
      </c>
      <c r="Q125" s="156">
        <v>0</v>
      </c>
      <c r="R125" s="159">
        <v>2.8497409330000001E-2</v>
      </c>
      <c r="S125" s="155">
        <v>0.63742690059999996</v>
      </c>
      <c r="T125" s="156">
        <v>0.2709551657</v>
      </c>
      <c r="U125" s="156">
        <v>0</v>
      </c>
      <c r="V125" s="156">
        <v>0</v>
      </c>
      <c r="W125" s="156">
        <v>2.046783626E-2</v>
      </c>
      <c r="X125" s="156">
        <v>0</v>
      </c>
      <c r="Y125" s="157">
        <v>7.1150097470000007E-2</v>
      </c>
      <c r="Z125" s="158">
        <v>0.17056530210000001</v>
      </c>
      <c r="AA125" s="156">
        <v>0.134502924</v>
      </c>
      <c r="AB125" s="156">
        <v>0</v>
      </c>
      <c r="AC125" s="156">
        <v>0</v>
      </c>
      <c r="AD125" s="156">
        <v>1.26705653E-2</v>
      </c>
      <c r="AE125" s="156">
        <v>0</v>
      </c>
      <c r="AF125" s="159">
        <v>0.68226120859999995</v>
      </c>
      <c r="AG125" s="155">
        <v>0.2103004292</v>
      </c>
      <c r="AH125" s="156">
        <v>0</v>
      </c>
      <c r="AI125" s="156">
        <v>0</v>
      </c>
      <c r="AJ125" s="156">
        <v>1.430615165E-2</v>
      </c>
      <c r="AK125" s="156">
        <v>0.30472103</v>
      </c>
      <c r="AL125" s="156">
        <v>0.4206008584</v>
      </c>
      <c r="AM125" s="157">
        <v>5.0071530760000003E-2</v>
      </c>
      <c r="AN125" s="158">
        <v>0.20886981399999999</v>
      </c>
      <c r="AO125" s="156">
        <v>0</v>
      </c>
      <c r="AP125" s="156">
        <v>0</v>
      </c>
      <c r="AQ125" s="156">
        <v>0</v>
      </c>
      <c r="AR125" s="156">
        <v>0.32045779689999998</v>
      </c>
      <c r="AS125" s="156">
        <v>0.43490700999999998</v>
      </c>
      <c r="AT125" s="159">
        <v>3.5765379110000002E-2</v>
      </c>
    </row>
    <row r="126" spans="1:46" ht="12.75">
      <c r="A126" s="67" t="s">
        <v>11</v>
      </c>
      <c r="B126" s="67" t="s">
        <v>297</v>
      </c>
      <c r="C126" s="67" t="s">
        <v>339</v>
      </c>
      <c r="D126" s="67" t="s">
        <v>339</v>
      </c>
      <c r="E126" s="155">
        <v>0.27276595739999998</v>
      </c>
      <c r="F126" s="156">
        <v>0.50680851059999998</v>
      </c>
      <c r="G126" s="156">
        <v>9.1489361699999994E-2</v>
      </c>
      <c r="H126" s="156">
        <v>6.8085106380000003E-3</v>
      </c>
      <c r="I126" s="156">
        <v>0</v>
      </c>
      <c r="J126" s="156">
        <v>0</v>
      </c>
      <c r="K126" s="157">
        <v>0.12212765959999999</v>
      </c>
      <c r="L126" s="158">
        <v>0.36</v>
      </c>
      <c r="M126" s="156">
        <v>0.51659574470000003</v>
      </c>
      <c r="N126" s="156">
        <v>0.1029787234</v>
      </c>
      <c r="O126" s="156">
        <v>0</v>
      </c>
      <c r="P126" s="156">
        <v>0</v>
      </c>
      <c r="Q126" s="156">
        <v>0</v>
      </c>
      <c r="R126" s="159">
        <v>2.0425531909999999E-2</v>
      </c>
      <c r="S126" s="155">
        <v>0.41226912929999998</v>
      </c>
      <c r="T126" s="156">
        <v>0.5</v>
      </c>
      <c r="U126" s="156">
        <v>0</v>
      </c>
      <c r="V126" s="156">
        <v>0</v>
      </c>
      <c r="W126" s="156">
        <v>6.5963060689999999E-3</v>
      </c>
      <c r="X126" s="156">
        <v>0</v>
      </c>
      <c r="Y126" s="157">
        <v>8.1134564640000004E-2</v>
      </c>
      <c r="Z126" s="158">
        <v>0.2269129288</v>
      </c>
      <c r="AA126" s="156">
        <v>0.29881266490000002</v>
      </c>
      <c r="AB126" s="156">
        <v>0</v>
      </c>
      <c r="AC126" s="156">
        <v>0</v>
      </c>
      <c r="AD126" s="156">
        <v>3.9577836409999999E-3</v>
      </c>
      <c r="AE126" s="156">
        <v>0</v>
      </c>
      <c r="AF126" s="159">
        <v>0.47031662270000002</v>
      </c>
      <c r="AG126" s="155">
        <v>0.25423728810000001</v>
      </c>
      <c r="AH126" s="156">
        <v>0</v>
      </c>
      <c r="AI126" s="156">
        <v>0</v>
      </c>
      <c r="AJ126" s="156">
        <v>1.5819209040000001E-2</v>
      </c>
      <c r="AK126" s="156">
        <v>0.5610169492</v>
      </c>
      <c r="AL126" s="156">
        <v>0.1203389831</v>
      </c>
      <c r="AM126" s="157">
        <v>4.8587570619999999E-2</v>
      </c>
      <c r="AN126" s="158">
        <v>0.23546019200000001</v>
      </c>
      <c r="AO126" s="156">
        <v>0</v>
      </c>
      <c r="AP126" s="156">
        <v>0</v>
      </c>
      <c r="AQ126" s="156">
        <v>0</v>
      </c>
      <c r="AR126" s="156">
        <v>0.61321287410000003</v>
      </c>
      <c r="AS126" s="156">
        <v>0.12196499149999999</v>
      </c>
      <c r="AT126" s="159">
        <v>2.9361942410000001E-2</v>
      </c>
    </row>
    <row r="127" spans="1:46" ht="12.75">
      <c r="A127" s="67" t="s">
        <v>11</v>
      </c>
      <c r="B127" s="67" t="s">
        <v>297</v>
      </c>
      <c r="C127" s="67" t="s">
        <v>341</v>
      </c>
      <c r="D127" s="67" t="s">
        <v>341</v>
      </c>
      <c r="E127" s="155">
        <v>0.45628997869999999</v>
      </c>
      <c r="F127" s="156">
        <v>0.14498933899999999</v>
      </c>
      <c r="G127" s="156">
        <v>0.14072494669999999</v>
      </c>
      <c r="H127" s="156">
        <v>4.2643923240000001E-3</v>
      </c>
      <c r="I127" s="156">
        <v>0</v>
      </c>
      <c r="J127" s="156">
        <v>0</v>
      </c>
      <c r="K127" s="157">
        <v>0.25373134330000002</v>
      </c>
      <c r="L127" s="158">
        <v>0.30597014929999999</v>
      </c>
      <c r="M127" s="156">
        <v>0.50959488269999997</v>
      </c>
      <c r="N127" s="156">
        <v>0.16631130059999999</v>
      </c>
      <c r="O127" s="156">
        <v>0</v>
      </c>
      <c r="P127" s="156">
        <v>0</v>
      </c>
      <c r="Q127" s="156">
        <v>0</v>
      </c>
      <c r="R127" s="159">
        <v>1.812366738E-2</v>
      </c>
      <c r="S127" s="155">
        <v>0.45269461080000001</v>
      </c>
      <c r="T127" s="156">
        <v>0.51736526949999995</v>
      </c>
      <c r="U127" s="156">
        <v>0</v>
      </c>
      <c r="V127" s="156">
        <v>0</v>
      </c>
      <c r="W127" s="156">
        <v>1.19760479E-3</v>
      </c>
      <c r="X127" s="156">
        <v>0</v>
      </c>
      <c r="Y127" s="157">
        <v>2.8742514970000001E-2</v>
      </c>
      <c r="Z127" s="158">
        <v>0.42874251499999999</v>
      </c>
      <c r="AA127" s="156">
        <v>0.39520958080000002</v>
      </c>
      <c r="AB127" s="156">
        <v>0</v>
      </c>
      <c r="AC127" s="156">
        <v>0</v>
      </c>
      <c r="AD127" s="156">
        <v>4.790419162E-3</v>
      </c>
      <c r="AE127" s="156">
        <v>0</v>
      </c>
      <c r="AF127" s="159">
        <v>0.17125748499999999</v>
      </c>
      <c r="AG127" s="155">
        <v>0.20379146919999999</v>
      </c>
      <c r="AH127" s="156">
        <v>0</v>
      </c>
      <c r="AI127" s="156">
        <v>0</v>
      </c>
      <c r="AJ127" s="156">
        <v>8.2938388629999991E-3</v>
      </c>
      <c r="AK127" s="156">
        <v>0.35426540280000002</v>
      </c>
      <c r="AL127" s="156">
        <v>0.36492891</v>
      </c>
      <c r="AM127" s="157">
        <v>6.8720379149999997E-2</v>
      </c>
      <c r="AN127" s="158">
        <v>0.2014218009</v>
      </c>
      <c r="AO127" s="156">
        <v>0</v>
      </c>
      <c r="AP127" s="156">
        <v>0</v>
      </c>
      <c r="AQ127" s="156">
        <v>0</v>
      </c>
      <c r="AR127" s="156">
        <v>0.34360189569999999</v>
      </c>
      <c r="AS127" s="156">
        <v>0.37559241710000002</v>
      </c>
      <c r="AT127" s="159">
        <v>7.9383886259999994E-2</v>
      </c>
    </row>
    <row r="128" spans="1:46" ht="12.75">
      <c r="A128" s="67" t="s">
        <v>15</v>
      </c>
      <c r="B128" s="67" t="s">
        <v>789</v>
      </c>
      <c r="C128" s="67" t="s">
        <v>789</v>
      </c>
      <c r="D128" s="67" t="s">
        <v>789</v>
      </c>
      <c r="E128" s="155">
        <v>0.3422285457</v>
      </c>
      <c r="F128" s="156">
        <v>0.44640316479999997</v>
      </c>
      <c r="G128" s="156">
        <v>0.1050074609</v>
      </c>
      <c r="H128" s="156">
        <v>1.054932852E-2</v>
      </c>
      <c r="I128" s="156">
        <v>0</v>
      </c>
      <c r="J128" s="156">
        <v>0</v>
      </c>
      <c r="K128" s="157">
        <v>9.5811500159999993E-2</v>
      </c>
      <c r="L128" s="158">
        <v>0.47074744950000003</v>
      </c>
      <c r="M128" s="156">
        <v>0.37861753069999998</v>
      </c>
      <c r="N128" s="156">
        <v>0.1129502394</v>
      </c>
      <c r="O128" s="156">
        <v>0</v>
      </c>
      <c r="P128" s="156">
        <v>0</v>
      </c>
      <c r="Q128" s="156">
        <v>0</v>
      </c>
      <c r="R128" s="159">
        <v>3.7684780350000002E-2</v>
      </c>
      <c r="S128" s="155">
        <v>0.54080534849999995</v>
      </c>
      <c r="T128" s="156">
        <v>0.40597863670000001</v>
      </c>
      <c r="U128" s="156">
        <v>0</v>
      </c>
      <c r="V128" s="156">
        <v>0</v>
      </c>
      <c r="W128" s="156">
        <v>1.6483516480000002E-2</v>
      </c>
      <c r="X128" s="156">
        <v>0</v>
      </c>
      <c r="Y128" s="157">
        <v>3.6732498269999997E-2</v>
      </c>
      <c r="Z128" s="158">
        <v>0.52606707900000005</v>
      </c>
      <c r="AA128" s="156">
        <v>0.41388451339999999</v>
      </c>
      <c r="AB128" s="156">
        <v>0</v>
      </c>
      <c r="AC128" s="156">
        <v>0</v>
      </c>
      <c r="AD128" s="156">
        <v>2.7008336859999999E-2</v>
      </c>
      <c r="AE128" s="156">
        <v>0</v>
      </c>
      <c r="AF128" s="159">
        <v>3.3040070689999999E-2</v>
      </c>
      <c r="AG128" s="155">
        <v>0.29464480869999998</v>
      </c>
      <c r="AH128" s="156">
        <v>0</v>
      </c>
      <c r="AI128" s="156">
        <v>0</v>
      </c>
      <c r="AJ128" s="156">
        <v>1.45136612E-2</v>
      </c>
      <c r="AK128" s="156">
        <v>0.32319125679999999</v>
      </c>
      <c r="AL128" s="156">
        <v>0.27846994539999997</v>
      </c>
      <c r="AM128" s="157">
        <v>8.9180327870000006E-2</v>
      </c>
      <c r="AN128" s="158">
        <v>0.31978142079999999</v>
      </c>
      <c r="AO128" s="156">
        <v>0</v>
      </c>
      <c r="AP128" s="156">
        <v>0</v>
      </c>
      <c r="AQ128" s="156">
        <v>0</v>
      </c>
      <c r="AR128" s="156">
        <v>0.30924590159999998</v>
      </c>
      <c r="AS128" s="156">
        <v>0.29342076499999997</v>
      </c>
      <c r="AT128" s="159">
        <v>7.7551912570000006E-2</v>
      </c>
    </row>
    <row r="129" spans="1:46" ht="12.75">
      <c r="A129" s="67" t="s">
        <v>15</v>
      </c>
      <c r="B129" s="67" t="s">
        <v>15</v>
      </c>
      <c r="C129" s="67" t="s">
        <v>343</v>
      </c>
      <c r="D129" s="67" t="s">
        <v>343</v>
      </c>
      <c r="E129" s="155">
        <v>0.48110661269999999</v>
      </c>
      <c r="F129" s="156">
        <v>0.53508771929999999</v>
      </c>
      <c r="G129" s="156">
        <v>0.1646423752</v>
      </c>
      <c r="H129" s="156">
        <v>5.3981106609999998E-3</v>
      </c>
      <c r="I129" s="156">
        <v>0</v>
      </c>
      <c r="J129" s="156">
        <v>0</v>
      </c>
      <c r="K129" s="157">
        <v>0.18623481780000001</v>
      </c>
      <c r="L129" s="158">
        <v>0.43522267209999999</v>
      </c>
      <c r="M129" s="156">
        <v>0.330634278</v>
      </c>
      <c r="N129" s="156">
        <v>0.17813765179999999</v>
      </c>
      <c r="O129" s="156">
        <v>0</v>
      </c>
      <c r="P129" s="156">
        <v>0</v>
      </c>
      <c r="Q129" s="156">
        <v>0</v>
      </c>
      <c r="R129" s="159">
        <v>5.600539811E-2</v>
      </c>
      <c r="S129" s="155">
        <v>0.51374207189999999</v>
      </c>
      <c r="T129" s="156">
        <v>0.44608879489999997</v>
      </c>
      <c r="U129" s="156">
        <v>0</v>
      </c>
      <c r="V129" s="156">
        <v>0</v>
      </c>
      <c r="W129" s="156">
        <v>1.268498943E-2</v>
      </c>
      <c r="X129" s="156">
        <v>0</v>
      </c>
      <c r="Y129" s="157">
        <v>2.748414376E-2</v>
      </c>
      <c r="Z129" s="158">
        <v>0.49471458769999999</v>
      </c>
      <c r="AA129" s="156">
        <v>0.45137420719999999</v>
      </c>
      <c r="AB129" s="156">
        <v>0</v>
      </c>
      <c r="AC129" s="156">
        <v>0</v>
      </c>
      <c r="AD129" s="156">
        <v>2.536997886E-2</v>
      </c>
      <c r="AE129" s="156">
        <v>0</v>
      </c>
      <c r="AF129" s="159">
        <v>2.854122622E-2</v>
      </c>
      <c r="AG129" s="155">
        <v>0.1563451777</v>
      </c>
      <c r="AH129" s="156">
        <v>0</v>
      </c>
      <c r="AI129" s="156">
        <v>0</v>
      </c>
      <c r="AJ129" s="156">
        <v>1.015228426E-2</v>
      </c>
      <c r="AK129" s="156">
        <v>0.33401015229999997</v>
      </c>
      <c r="AL129" s="156">
        <v>0.41624365479999997</v>
      </c>
      <c r="AM129" s="157">
        <v>8.3248730960000003E-2</v>
      </c>
      <c r="AN129" s="158">
        <v>0.16954314719999999</v>
      </c>
      <c r="AO129" s="156">
        <v>0</v>
      </c>
      <c r="AP129" s="156">
        <v>0</v>
      </c>
      <c r="AQ129" s="156">
        <v>0</v>
      </c>
      <c r="AR129" s="156">
        <v>0.3401015228</v>
      </c>
      <c r="AS129" s="156">
        <v>0.41319796949999998</v>
      </c>
      <c r="AT129" s="159">
        <v>7.715736041E-2</v>
      </c>
    </row>
    <row r="130" spans="1:46" ht="12.75">
      <c r="A130" s="67" t="s">
        <v>15</v>
      </c>
      <c r="B130" s="67" t="s">
        <v>15</v>
      </c>
      <c r="C130" s="67" t="s">
        <v>343</v>
      </c>
      <c r="D130" s="67" t="s">
        <v>345</v>
      </c>
      <c r="E130" s="155">
        <v>0.4912516824</v>
      </c>
      <c r="F130" s="156">
        <v>0.48855989230000002</v>
      </c>
      <c r="G130" s="156">
        <v>0.23418573349999999</v>
      </c>
      <c r="H130" s="156">
        <v>8.0753701210000001E-3</v>
      </c>
      <c r="I130" s="156">
        <v>0</v>
      </c>
      <c r="J130" s="156">
        <v>0</v>
      </c>
      <c r="K130" s="157">
        <v>0.22207267829999999</v>
      </c>
      <c r="L130" s="158">
        <v>0.32032301480000003</v>
      </c>
      <c r="M130" s="156">
        <v>0.35800807540000001</v>
      </c>
      <c r="N130" s="156">
        <v>0.24629878869999999</v>
      </c>
      <c r="O130" s="156">
        <v>0</v>
      </c>
      <c r="P130" s="156">
        <v>0</v>
      </c>
      <c r="Q130" s="156">
        <v>0</v>
      </c>
      <c r="R130" s="159">
        <v>7.5370121129999995E-2</v>
      </c>
      <c r="S130" s="155">
        <v>0.48048568949999998</v>
      </c>
      <c r="T130" s="156">
        <v>0.42237640939999999</v>
      </c>
      <c r="U130" s="156">
        <v>0</v>
      </c>
      <c r="V130" s="156">
        <v>0</v>
      </c>
      <c r="W130" s="156">
        <v>1.7346053770000001E-2</v>
      </c>
      <c r="X130" s="156">
        <v>0</v>
      </c>
      <c r="Y130" s="157">
        <v>7.979184735E-2</v>
      </c>
      <c r="Z130" s="158">
        <v>0.49869904599999998</v>
      </c>
      <c r="AA130" s="156">
        <v>0.41283607979999998</v>
      </c>
      <c r="AB130" s="156">
        <v>0</v>
      </c>
      <c r="AC130" s="156">
        <v>0</v>
      </c>
      <c r="AD130" s="156">
        <v>2.5151777970000001E-2</v>
      </c>
      <c r="AE130" s="156">
        <v>0</v>
      </c>
      <c r="AF130" s="159">
        <v>6.3313096269999994E-2</v>
      </c>
      <c r="AG130" s="155">
        <v>0.16852678569999999</v>
      </c>
      <c r="AH130" s="156">
        <v>0</v>
      </c>
      <c r="AI130" s="156">
        <v>0</v>
      </c>
      <c r="AJ130" s="156">
        <v>7.8125E-3</v>
      </c>
      <c r="AK130" s="156">
        <v>0.37834821429999999</v>
      </c>
      <c r="AL130" s="156">
        <v>0.37276785709999999</v>
      </c>
      <c r="AM130" s="157">
        <v>7.2544642859999994E-2</v>
      </c>
      <c r="AN130" s="158">
        <v>0.1729910714</v>
      </c>
      <c r="AO130" s="156">
        <v>0</v>
      </c>
      <c r="AP130" s="156">
        <v>0</v>
      </c>
      <c r="AQ130" s="156">
        <v>0</v>
      </c>
      <c r="AR130" s="156">
        <v>0.359375</v>
      </c>
      <c r="AS130" s="156">
        <v>0.36049107139999997</v>
      </c>
      <c r="AT130" s="159">
        <v>0.1071428571</v>
      </c>
    </row>
    <row r="131" spans="1:46" ht="12.75">
      <c r="A131" s="67" t="s">
        <v>15</v>
      </c>
      <c r="B131" s="67" t="s">
        <v>15</v>
      </c>
      <c r="C131" s="67" t="s">
        <v>346</v>
      </c>
      <c r="D131" s="67" t="s">
        <v>346</v>
      </c>
      <c r="E131" s="155">
        <v>0.2660609994</v>
      </c>
      <c r="F131" s="156">
        <v>0.51849448409999999</v>
      </c>
      <c r="G131" s="156">
        <v>0.22842310190000001</v>
      </c>
      <c r="H131" s="156">
        <v>5.8403633999999996E-3</v>
      </c>
      <c r="I131" s="156">
        <v>0</v>
      </c>
      <c r="J131" s="156">
        <v>0</v>
      </c>
      <c r="K131" s="157">
        <v>1.881894873E-2</v>
      </c>
      <c r="L131" s="158">
        <v>0.34782608700000001</v>
      </c>
      <c r="M131" s="156">
        <v>0.37053861129999999</v>
      </c>
      <c r="N131" s="156">
        <v>0.2478909799</v>
      </c>
      <c r="O131" s="156">
        <v>0</v>
      </c>
      <c r="P131" s="156">
        <v>0</v>
      </c>
      <c r="Q131" s="156">
        <v>0</v>
      </c>
      <c r="R131" s="159">
        <v>3.3744321870000003E-2</v>
      </c>
      <c r="S131" s="155">
        <v>0.52731092440000005</v>
      </c>
      <c r="T131" s="156">
        <v>0.43627450979999999</v>
      </c>
      <c r="U131" s="156">
        <v>0</v>
      </c>
      <c r="V131" s="156">
        <v>0</v>
      </c>
      <c r="W131" s="156">
        <v>1.19047619E-2</v>
      </c>
      <c r="X131" s="156">
        <v>0</v>
      </c>
      <c r="Y131" s="157">
        <v>2.450980392E-2</v>
      </c>
      <c r="Z131" s="158">
        <v>0.51750700279999995</v>
      </c>
      <c r="AA131" s="156">
        <v>0.43347338940000002</v>
      </c>
      <c r="AB131" s="156">
        <v>0</v>
      </c>
      <c r="AC131" s="156">
        <v>0</v>
      </c>
      <c r="AD131" s="156">
        <v>2.941176471E-2</v>
      </c>
      <c r="AE131" s="156">
        <v>0</v>
      </c>
      <c r="AF131" s="159">
        <v>1.9607843140000001E-2</v>
      </c>
      <c r="AG131" s="155">
        <v>0.24669260700000001</v>
      </c>
      <c r="AH131" s="156">
        <v>0</v>
      </c>
      <c r="AI131" s="156">
        <v>0</v>
      </c>
      <c r="AJ131" s="156">
        <v>7.7821011670000002E-3</v>
      </c>
      <c r="AK131" s="156">
        <v>0.26381322959999998</v>
      </c>
      <c r="AL131" s="156">
        <v>0.42256809340000001</v>
      </c>
      <c r="AM131" s="157">
        <v>5.9143968870000001E-2</v>
      </c>
      <c r="AN131" s="158">
        <v>0.27470817120000002</v>
      </c>
      <c r="AO131" s="156">
        <v>0</v>
      </c>
      <c r="AP131" s="156">
        <v>0</v>
      </c>
      <c r="AQ131" s="156">
        <v>0</v>
      </c>
      <c r="AR131" s="156">
        <v>0.24435797670000001</v>
      </c>
      <c r="AS131" s="156">
        <v>0.42256809340000001</v>
      </c>
      <c r="AT131" s="159">
        <v>5.8365758750000003E-2</v>
      </c>
    </row>
    <row r="132" spans="1:46" ht="12.75">
      <c r="A132" s="67" t="s">
        <v>15</v>
      </c>
      <c r="B132" s="67" t="s">
        <v>15</v>
      </c>
      <c r="C132" s="67" t="s">
        <v>348</v>
      </c>
      <c r="D132" s="67" t="s">
        <v>348</v>
      </c>
      <c r="E132" s="155">
        <v>0.41533546329999999</v>
      </c>
      <c r="F132" s="156">
        <v>0.56150159740000005</v>
      </c>
      <c r="G132" s="156">
        <v>0.1924920128</v>
      </c>
      <c r="H132" s="156">
        <v>7.1884984030000003E-3</v>
      </c>
      <c r="I132" s="156">
        <v>0</v>
      </c>
      <c r="J132" s="156">
        <v>0</v>
      </c>
      <c r="K132" s="157">
        <v>0.1765175719</v>
      </c>
      <c r="L132" s="158">
        <v>0.3115015974</v>
      </c>
      <c r="M132" s="156">
        <v>0.41773162940000003</v>
      </c>
      <c r="N132" s="156">
        <v>0.2372204473</v>
      </c>
      <c r="O132" s="156">
        <v>0</v>
      </c>
      <c r="P132" s="156">
        <v>0</v>
      </c>
      <c r="Q132" s="156">
        <v>0</v>
      </c>
      <c r="R132" s="159">
        <v>3.3546325879999998E-2</v>
      </c>
      <c r="S132" s="155">
        <v>0.50551314670000003</v>
      </c>
      <c r="T132" s="156">
        <v>0.46564885499999997</v>
      </c>
      <c r="U132" s="156">
        <v>0</v>
      </c>
      <c r="V132" s="156">
        <v>0</v>
      </c>
      <c r="W132" s="156">
        <v>5.9372349449999997E-3</v>
      </c>
      <c r="X132" s="156">
        <v>0</v>
      </c>
      <c r="Y132" s="157">
        <v>2.290076336E-2</v>
      </c>
      <c r="Z132" s="158">
        <v>0.50720949959999995</v>
      </c>
      <c r="AA132" s="156">
        <v>0.45631891429999999</v>
      </c>
      <c r="AB132" s="156">
        <v>0</v>
      </c>
      <c r="AC132" s="156">
        <v>0</v>
      </c>
      <c r="AD132" s="156">
        <v>1.6963528410000001E-2</v>
      </c>
      <c r="AE132" s="156">
        <v>0</v>
      </c>
      <c r="AF132" s="159">
        <v>1.950805768E-2</v>
      </c>
      <c r="AG132" s="155">
        <v>0.26845018450000002</v>
      </c>
      <c r="AH132" s="156">
        <v>0</v>
      </c>
      <c r="AI132" s="156">
        <v>0</v>
      </c>
      <c r="AJ132" s="156">
        <v>9.2250922510000001E-4</v>
      </c>
      <c r="AK132" s="156">
        <v>0.18357933579999999</v>
      </c>
      <c r="AL132" s="156">
        <v>0.47601476009999999</v>
      </c>
      <c r="AM132" s="157">
        <v>7.1033210329999999E-2</v>
      </c>
      <c r="AN132" s="158">
        <v>0.30166051659999998</v>
      </c>
      <c r="AO132" s="156">
        <v>0</v>
      </c>
      <c r="AP132" s="156">
        <v>0</v>
      </c>
      <c r="AQ132" s="156">
        <v>0</v>
      </c>
      <c r="AR132" s="156">
        <v>0.17435424350000001</v>
      </c>
      <c r="AS132" s="156">
        <v>0.46771217710000001</v>
      </c>
      <c r="AT132" s="159">
        <v>5.6273062729999997E-2</v>
      </c>
    </row>
    <row r="133" spans="1:46" ht="12.75">
      <c r="A133" s="67" t="s">
        <v>15</v>
      </c>
      <c r="B133" s="67" t="s">
        <v>15</v>
      </c>
      <c r="C133" s="67" t="s">
        <v>350</v>
      </c>
      <c r="D133" s="67" t="s">
        <v>350</v>
      </c>
      <c r="E133" s="155">
        <v>0.31214848140000001</v>
      </c>
      <c r="F133" s="156">
        <v>0.55961754779999995</v>
      </c>
      <c r="G133" s="156">
        <v>0.29640044989999997</v>
      </c>
      <c r="H133" s="156">
        <v>7.3115860519999999E-3</v>
      </c>
      <c r="I133" s="156">
        <v>0</v>
      </c>
      <c r="J133" s="156">
        <v>0</v>
      </c>
      <c r="K133" s="157">
        <v>0.17547806520000001</v>
      </c>
      <c r="L133" s="158">
        <v>0.2958380202</v>
      </c>
      <c r="M133" s="156">
        <v>0.33070866139999999</v>
      </c>
      <c r="N133" s="156">
        <v>0.31552305959999999</v>
      </c>
      <c r="O133" s="156">
        <v>0</v>
      </c>
      <c r="P133" s="156">
        <v>0</v>
      </c>
      <c r="Q133" s="156">
        <v>0</v>
      </c>
      <c r="R133" s="159">
        <v>5.7930258720000002E-2</v>
      </c>
      <c r="S133" s="155">
        <v>0.53027405989999998</v>
      </c>
      <c r="T133" s="156">
        <v>0.41618865519999998</v>
      </c>
      <c r="U133" s="156">
        <v>0</v>
      </c>
      <c r="V133" s="156">
        <v>0</v>
      </c>
      <c r="W133" s="156">
        <v>1.4659018479999999E-2</v>
      </c>
      <c r="X133" s="156">
        <v>0</v>
      </c>
      <c r="Y133" s="157">
        <v>3.8878266410000001E-2</v>
      </c>
      <c r="Z133" s="158">
        <v>0.51625239010000001</v>
      </c>
      <c r="AA133" s="156">
        <v>0.42001274700000002</v>
      </c>
      <c r="AB133" s="156">
        <v>0</v>
      </c>
      <c r="AC133" s="156">
        <v>0</v>
      </c>
      <c r="AD133" s="156">
        <v>3.4416825999999998E-2</v>
      </c>
      <c r="AE133" s="156">
        <v>0</v>
      </c>
      <c r="AF133" s="159">
        <v>2.9318036969999999E-2</v>
      </c>
      <c r="AG133" s="155">
        <v>0.15880721219999999</v>
      </c>
      <c r="AH133" s="156">
        <v>0</v>
      </c>
      <c r="AI133" s="156">
        <v>0</v>
      </c>
      <c r="AJ133" s="156">
        <v>8.3217753120000005E-3</v>
      </c>
      <c r="AK133" s="156">
        <v>0.221220527</v>
      </c>
      <c r="AL133" s="156">
        <v>0.53675450759999999</v>
      </c>
      <c r="AM133" s="157">
        <v>7.489597781E-2</v>
      </c>
      <c r="AN133" s="158">
        <v>0.16366158110000001</v>
      </c>
      <c r="AO133" s="156">
        <v>0</v>
      </c>
      <c r="AP133" s="156">
        <v>0</v>
      </c>
      <c r="AQ133" s="156">
        <v>0</v>
      </c>
      <c r="AR133" s="156">
        <v>0.22330097090000001</v>
      </c>
      <c r="AS133" s="156">
        <v>0.54854368929999997</v>
      </c>
      <c r="AT133" s="159">
        <v>6.4493758669999998E-2</v>
      </c>
    </row>
    <row r="134" spans="1:46" ht="12.75">
      <c r="A134" s="67" t="s">
        <v>15</v>
      </c>
      <c r="B134" s="67" t="s">
        <v>15</v>
      </c>
      <c r="C134" s="67" t="s">
        <v>352</v>
      </c>
      <c r="D134" s="67" t="s">
        <v>352</v>
      </c>
      <c r="E134" s="155">
        <v>0.2639972854</v>
      </c>
      <c r="F134" s="156">
        <v>0.4720054293</v>
      </c>
      <c r="G134" s="156">
        <v>0.1017984391</v>
      </c>
      <c r="H134" s="156">
        <v>5.4292500850000001E-3</v>
      </c>
      <c r="I134" s="156">
        <v>0</v>
      </c>
      <c r="J134" s="156">
        <v>0</v>
      </c>
      <c r="K134" s="157">
        <v>0.1567695962</v>
      </c>
      <c r="L134" s="158">
        <v>0.42076688159999998</v>
      </c>
      <c r="M134" s="156">
        <v>0.42314217850000002</v>
      </c>
      <c r="N134" s="156">
        <v>0.12249745500000001</v>
      </c>
      <c r="O134" s="156">
        <v>0</v>
      </c>
      <c r="P134" s="156">
        <v>0</v>
      </c>
      <c r="Q134" s="156">
        <v>0</v>
      </c>
      <c r="R134" s="159">
        <v>3.3593484899999998E-2</v>
      </c>
      <c r="S134" s="155">
        <v>0.50909090909999999</v>
      </c>
      <c r="T134" s="156">
        <v>0.4545454545</v>
      </c>
      <c r="U134" s="156">
        <v>0</v>
      </c>
      <c r="V134" s="156">
        <v>0</v>
      </c>
      <c r="W134" s="156">
        <v>1.090909091E-2</v>
      </c>
      <c r="X134" s="156">
        <v>0</v>
      </c>
      <c r="Y134" s="157">
        <v>2.5454545450000001E-2</v>
      </c>
      <c r="Z134" s="158">
        <v>0.49381818179999998</v>
      </c>
      <c r="AA134" s="156">
        <v>0.46254545450000001</v>
      </c>
      <c r="AB134" s="156">
        <v>0</v>
      </c>
      <c r="AC134" s="156">
        <v>0</v>
      </c>
      <c r="AD134" s="156">
        <v>2.618181818E-2</v>
      </c>
      <c r="AE134" s="156">
        <v>0</v>
      </c>
      <c r="AF134" s="159">
        <v>1.7454545450000001E-2</v>
      </c>
      <c r="AG134" s="155">
        <v>0.1672519754</v>
      </c>
      <c r="AH134" s="156">
        <v>0</v>
      </c>
      <c r="AI134" s="156">
        <v>0</v>
      </c>
      <c r="AJ134" s="156">
        <v>8.7796312549999998E-3</v>
      </c>
      <c r="AK134" s="156">
        <v>0.2317822651</v>
      </c>
      <c r="AL134" s="156">
        <v>0.50351185249999997</v>
      </c>
      <c r="AM134" s="157">
        <v>8.8674275679999998E-2</v>
      </c>
      <c r="AN134" s="158">
        <v>0.17877586970000001</v>
      </c>
      <c r="AO134" s="156">
        <v>0</v>
      </c>
      <c r="AP134" s="156">
        <v>0</v>
      </c>
      <c r="AQ134" s="156">
        <v>0</v>
      </c>
      <c r="AR134" s="156">
        <v>0.2355790401</v>
      </c>
      <c r="AS134" s="156">
        <v>0.51210920299999996</v>
      </c>
      <c r="AT134" s="159">
        <v>7.3535887270000003E-2</v>
      </c>
    </row>
    <row r="135" spans="1:46" ht="12.75">
      <c r="A135" s="67" t="s">
        <v>15</v>
      </c>
      <c r="B135" s="67" t="s">
        <v>15</v>
      </c>
      <c r="C135" s="67" t="s">
        <v>354</v>
      </c>
      <c r="D135" s="67" t="s">
        <v>354</v>
      </c>
      <c r="E135" s="155">
        <v>0.40272052759999999</v>
      </c>
      <c r="F135" s="156">
        <v>0.42704039570000002</v>
      </c>
      <c r="G135" s="156">
        <v>0.15416323169999999</v>
      </c>
      <c r="H135" s="156">
        <v>7.0074196209999997E-3</v>
      </c>
      <c r="I135" s="156">
        <v>0</v>
      </c>
      <c r="J135" s="156">
        <v>0</v>
      </c>
      <c r="K135" s="157">
        <v>9.0684253919999999E-3</v>
      </c>
      <c r="L135" s="158">
        <v>0.42739273929999999</v>
      </c>
      <c r="M135" s="156">
        <v>0.35396039600000001</v>
      </c>
      <c r="N135" s="156">
        <v>0.16377887790000001</v>
      </c>
      <c r="O135" s="156">
        <v>0</v>
      </c>
      <c r="P135" s="156">
        <v>0</v>
      </c>
      <c r="Q135" s="156">
        <v>0</v>
      </c>
      <c r="R135" s="159">
        <v>5.4867986799999997E-2</v>
      </c>
      <c r="S135" s="155">
        <v>0.51930940479999999</v>
      </c>
      <c r="T135" s="156">
        <v>0.42844161739999997</v>
      </c>
      <c r="U135" s="156">
        <v>0</v>
      </c>
      <c r="V135" s="156">
        <v>0</v>
      </c>
      <c r="W135" s="156">
        <v>1.363016811E-2</v>
      </c>
      <c r="X135" s="156">
        <v>0</v>
      </c>
      <c r="Y135" s="157">
        <v>3.8618809630000001E-2</v>
      </c>
      <c r="Z135" s="158">
        <v>0.51794638800000004</v>
      </c>
      <c r="AA135" s="156">
        <v>0.4202635166</v>
      </c>
      <c r="AB135" s="156">
        <v>0</v>
      </c>
      <c r="AC135" s="156">
        <v>0</v>
      </c>
      <c r="AD135" s="156">
        <v>1.953657428E-2</v>
      </c>
      <c r="AE135" s="156">
        <v>0</v>
      </c>
      <c r="AF135" s="159">
        <v>4.2253521129999999E-2</v>
      </c>
      <c r="AG135" s="155">
        <v>0.33302411869999998</v>
      </c>
      <c r="AH135" s="156">
        <v>0</v>
      </c>
      <c r="AI135" s="156">
        <v>0</v>
      </c>
      <c r="AJ135" s="156">
        <v>9.2764378480000003E-3</v>
      </c>
      <c r="AK135" s="156">
        <v>0.3028756957</v>
      </c>
      <c r="AL135" s="156">
        <v>0.28756957329999999</v>
      </c>
      <c r="AM135" s="157">
        <v>6.7254174400000005E-2</v>
      </c>
      <c r="AN135" s="158">
        <v>0.34693877550000002</v>
      </c>
      <c r="AO135" s="156">
        <v>0</v>
      </c>
      <c r="AP135" s="156">
        <v>0</v>
      </c>
      <c r="AQ135" s="156">
        <v>0</v>
      </c>
      <c r="AR135" s="156">
        <v>0.30055658629999998</v>
      </c>
      <c r="AS135" s="156">
        <v>0.28153988870000002</v>
      </c>
      <c r="AT135" s="159">
        <v>7.0964749539999997E-2</v>
      </c>
    </row>
    <row r="136" spans="1:46" ht="12.75">
      <c r="A136" s="67" t="s">
        <v>15</v>
      </c>
      <c r="B136" s="67" t="s">
        <v>15</v>
      </c>
      <c r="C136" s="67" t="s">
        <v>356</v>
      </c>
      <c r="D136" s="67" t="s">
        <v>356</v>
      </c>
      <c r="E136" s="155">
        <v>0.45404721749999999</v>
      </c>
      <c r="F136" s="156">
        <v>0.55817875210000001</v>
      </c>
      <c r="G136" s="156">
        <v>0.1070826307</v>
      </c>
      <c r="H136" s="156">
        <v>4.2158516019999998E-3</v>
      </c>
      <c r="I136" s="156">
        <v>0</v>
      </c>
      <c r="J136" s="156">
        <v>0</v>
      </c>
      <c r="K136" s="157">
        <v>0.1235244519</v>
      </c>
      <c r="L136" s="158">
        <v>0.49176867880000003</v>
      </c>
      <c r="M136" s="156">
        <v>0.35457999159999998</v>
      </c>
      <c r="N136" s="156">
        <v>0.1211481638</v>
      </c>
      <c r="O136" s="156">
        <v>0</v>
      </c>
      <c r="P136" s="156">
        <v>0</v>
      </c>
      <c r="Q136" s="156">
        <v>0</v>
      </c>
      <c r="R136" s="159">
        <v>3.2503165889999998E-2</v>
      </c>
      <c r="S136" s="155">
        <v>0.4078685259</v>
      </c>
      <c r="T136" s="156">
        <v>0.54183266929999996</v>
      </c>
      <c r="U136" s="156">
        <v>0</v>
      </c>
      <c r="V136" s="156">
        <v>0</v>
      </c>
      <c r="W136" s="156">
        <v>1.294820717E-2</v>
      </c>
      <c r="X136" s="156">
        <v>0</v>
      </c>
      <c r="Y136" s="157">
        <v>3.7350597610000001E-2</v>
      </c>
      <c r="Z136" s="158">
        <v>0.41533864539999998</v>
      </c>
      <c r="AA136" s="156">
        <v>0.53486055779999997</v>
      </c>
      <c r="AB136" s="156">
        <v>0</v>
      </c>
      <c r="AC136" s="156">
        <v>0</v>
      </c>
      <c r="AD136" s="156">
        <v>1.9422310759999999E-2</v>
      </c>
      <c r="AE136" s="156">
        <v>0</v>
      </c>
      <c r="AF136" s="159">
        <v>3.0378486060000001E-2</v>
      </c>
      <c r="AG136" s="155">
        <v>0.1016374929</v>
      </c>
      <c r="AH136" s="156">
        <v>0</v>
      </c>
      <c r="AI136" s="156">
        <v>0</v>
      </c>
      <c r="AJ136" s="156">
        <v>7.3404856009999997E-3</v>
      </c>
      <c r="AK136" s="156">
        <v>0.23320158099999999</v>
      </c>
      <c r="AL136" s="156">
        <v>0.57933370979999999</v>
      </c>
      <c r="AM136" s="157">
        <v>7.8486730660000004E-2</v>
      </c>
      <c r="AN136" s="158">
        <v>0.10502540940000001</v>
      </c>
      <c r="AO136" s="156">
        <v>0</v>
      </c>
      <c r="AP136" s="156">
        <v>0</v>
      </c>
      <c r="AQ136" s="156">
        <v>0</v>
      </c>
      <c r="AR136" s="156">
        <v>0.24788255219999999</v>
      </c>
      <c r="AS136" s="156">
        <v>0.57368718240000005</v>
      </c>
      <c r="AT136" s="159">
        <v>7.3404856010000005E-2</v>
      </c>
    </row>
    <row r="137" spans="1:46" ht="12.75">
      <c r="A137" s="67" t="s">
        <v>15</v>
      </c>
      <c r="B137" s="67" t="s">
        <v>15</v>
      </c>
      <c r="C137" s="67" t="s">
        <v>358</v>
      </c>
      <c r="D137" s="67" t="s">
        <v>358</v>
      </c>
      <c r="E137" s="155">
        <v>0.42182302059999999</v>
      </c>
      <c r="F137" s="156">
        <v>0.32601463739999997</v>
      </c>
      <c r="G137" s="156">
        <v>0.19560878239999999</v>
      </c>
      <c r="H137" s="156">
        <v>1.9960079840000001E-3</v>
      </c>
      <c r="I137" s="156">
        <v>0</v>
      </c>
      <c r="J137" s="156">
        <v>0</v>
      </c>
      <c r="K137" s="157">
        <v>5.4557551560000001E-2</v>
      </c>
      <c r="L137" s="158">
        <v>0.38</v>
      </c>
      <c r="M137" s="156">
        <v>0.37466666669999998</v>
      </c>
      <c r="N137" s="156">
        <v>0.21466666670000001</v>
      </c>
      <c r="O137" s="156">
        <v>0</v>
      </c>
      <c r="P137" s="156">
        <v>0</v>
      </c>
      <c r="Q137" s="156">
        <v>0</v>
      </c>
      <c r="R137" s="159">
        <v>3.0666666669999999E-2</v>
      </c>
      <c r="S137" s="155">
        <v>0.51875000000000004</v>
      </c>
      <c r="T137" s="156">
        <v>0.44027777779999999</v>
      </c>
      <c r="U137" s="156">
        <v>0</v>
      </c>
      <c r="V137" s="156">
        <v>0</v>
      </c>
      <c r="W137" s="156">
        <v>1.3888888889999999E-2</v>
      </c>
      <c r="X137" s="156">
        <v>0</v>
      </c>
      <c r="Y137" s="157">
        <v>2.7083333330000001E-2</v>
      </c>
      <c r="Z137" s="158">
        <v>0.51875000000000004</v>
      </c>
      <c r="AA137" s="156">
        <v>0.44166666669999999</v>
      </c>
      <c r="AB137" s="156">
        <v>0</v>
      </c>
      <c r="AC137" s="156">
        <v>0</v>
      </c>
      <c r="AD137" s="156">
        <v>2.152777778E-2</v>
      </c>
      <c r="AE137" s="156">
        <v>0</v>
      </c>
      <c r="AF137" s="159">
        <v>1.8055555559999999E-2</v>
      </c>
      <c r="AG137" s="155">
        <v>0.2477409639</v>
      </c>
      <c r="AH137" s="156">
        <v>0</v>
      </c>
      <c r="AI137" s="156">
        <v>0</v>
      </c>
      <c r="AJ137" s="156">
        <v>7.5301204820000002E-3</v>
      </c>
      <c r="AK137" s="156">
        <v>0.16039156630000001</v>
      </c>
      <c r="AL137" s="156">
        <v>0.52936746990000005</v>
      </c>
      <c r="AM137" s="157">
        <v>5.4969879520000001E-2</v>
      </c>
      <c r="AN137" s="158">
        <v>0.26957831329999998</v>
      </c>
      <c r="AO137" s="156">
        <v>0</v>
      </c>
      <c r="AP137" s="156">
        <v>0</v>
      </c>
      <c r="AQ137" s="156">
        <v>0</v>
      </c>
      <c r="AR137" s="156">
        <v>0.16490963859999999</v>
      </c>
      <c r="AS137" s="156">
        <v>0.51506024100000003</v>
      </c>
      <c r="AT137" s="159">
        <v>5.045180723E-2</v>
      </c>
    </row>
    <row r="138" spans="1:46" ht="12.75">
      <c r="A138" s="67" t="s">
        <v>15</v>
      </c>
      <c r="B138" s="67" t="s">
        <v>15</v>
      </c>
      <c r="C138" s="67" t="s">
        <v>360</v>
      </c>
      <c r="D138" s="67" t="s">
        <v>360</v>
      </c>
      <c r="E138" s="155">
        <v>0.32573940849999999</v>
      </c>
      <c r="F138" s="156">
        <v>0.49600319739999998</v>
      </c>
      <c r="G138" s="156">
        <v>3.9568345319999997E-2</v>
      </c>
      <c r="H138" s="156">
        <v>7.9936051160000004E-3</v>
      </c>
      <c r="I138" s="156">
        <v>0</v>
      </c>
      <c r="J138" s="156">
        <v>0</v>
      </c>
      <c r="K138" s="157">
        <v>0.13069544359999999</v>
      </c>
      <c r="L138" s="158">
        <v>0.4123052337</v>
      </c>
      <c r="M138" s="156">
        <v>0.48022373149999997</v>
      </c>
      <c r="N138" s="156">
        <v>4.2349180979999998E-2</v>
      </c>
      <c r="O138" s="156">
        <v>0</v>
      </c>
      <c r="P138" s="156">
        <v>0</v>
      </c>
      <c r="Q138" s="156">
        <v>0</v>
      </c>
      <c r="R138" s="159">
        <v>6.5121853780000002E-2</v>
      </c>
      <c r="S138" s="155">
        <v>0.66446826049999996</v>
      </c>
      <c r="T138" s="156">
        <v>0.29307502060000001</v>
      </c>
      <c r="U138" s="156">
        <v>0</v>
      </c>
      <c r="V138" s="156">
        <v>0</v>
      </c>
      <c r="W138" s="156">
        <v>4.9464138500000003E-3</v>
      </c>
      <c r="X138" s="156">
        <v>0</v>
      </c>
      <c r="Y138" s="157">
        <v>3.7510305030000003E-2</v>
      </c>
      <c r="Z138" s="158">
        <v>0.64179719700000004</v>
      </c>
      <c r="AA138" s="156">
        <v>0.29802143450000002</v>
      </c>
      <c r="AB138" s="156">
        <v>0</v>
      </c>
      <c r="AC138" s="156">
        <v>0</v>
      </c>
      <c r="AD138" s="156">
        <v>3.6273701569999997E-2</v>
      </c>
      <c r="AE138" s="156">
        <v>0</v>
      </c>
      <c r="AF138" s="159">
        <v>2.3907666939999999E-2</v>
      </c>
      <c r="AG138" s="155">
        <v>0.49024390239999999</v>
      </c>
      <c r="AH138" s="156">
        <v>0</v>
      </c>
      <c r="AI138" s="156">
        <v>0</v>
      </c>
      <c r="AJ138" s="156">
        <v>2.6341463410000002E-2</v>
      </c>
      <c r="AK138" s="156">
        <v>0.21219512200000001</v>
      </c>
      <c r="AL138" s="156">
        <v>0.1956097561</v>
      </c>
      <c r="AM138" s="157">
        <v>7.5609756099999995E-2</v>
      </c>
      <c r="AN138" s="158">
        <v>0.49365853659999998</v>
      </c>
      <c r="AO138" s="156">
        <v>0</v>
      </c>
      <c r="AP138" s="156">
        <v>0</v>
      </c>
      <c r="AQ138" s="156">
        <v>0</v>
      </c>
      <c r="AR138" s="156">
        <v>0.2141463415</v>
      </c>
      <c r="AS138" s="156">
        <v>0.20048780490000001</v>
      </c>
      <c r="AT138" s="159">
        <v>9.1707317070000002E-2</v>
      </c>
    </row>
    <row r="139" spans="1:46" ht="12.75">
      <c r="A139" s="67" t="s">
        <v>15</v>
      </c>
      <c r="B139" s="67" t="s">
        <v>15</v>
      </c>
      <c r="C139" s="67" t="s">
        <v>362</v>
      </c>
      <c r="D139" s="67" t="s">
        <v>362</v>
      </c>
      <c r="E139" s="155">
        <v>0.56876528120000003</v>
      </c>
      <c r="F139" s="156">
        <v>0.49144254279999999</v>
      </c>
      <c r="G139" s="156">
        <v>9.1992665040000005E-2</v>
      </c>
      <c r="H139" s="156">
        <v>3.9731051339999997E-3</v>
      </c>
      <c r="I139" s="156">
        <v>0</v>
      </c>
      <c r="J139" s="156">
        <v>0</v>
      </c>
      <c r="K139" s="157">
        <v>0.15617359410000001</v>
      </c>
      <c r="L139" s="158">
        <v>0.46896973400000003</v>
      </c>
      <c r="M139" s="156">
        <v>0.39620911040000001</v>
      </c>
      <c r="N139" s="156">
        <v>9.2632222560000005E-2</v>
      </c>
      <c r="O139" s="156">
        <v>0</v>
      </c>
      <c r="P139" s="156">
        <v>0</v>
      </c>
      <c r="Q139" s="156">
        <v>0</v>
      </c>
      <c r="R139" s="159">
        <v>4.2188933050000002E-2</v>
      </c>
      <c r="S139" s="155">
        <v>0.47566019729999998</v>
      </c>
      <c r="T139" s="156">
        <v>0.47597836459999998</v>
      </c>
      <c r="U139" s="156">
        <v>0</v>
      </c>
      <c r="V139" s="156">
        <v>0</v>
      </c>
      <c r="W139" s="156">
        <v>1.3044861600000001E-2</v>
      </c>
      <c r="X139" s="156">
        <v>0</v>
      </c>
      <c r="Y139" s="157">
        <v>3.5316576519999997E-2</v>
      </c>
      <c r="Z139" s="158">
        <v>0.46770601340000001</v>
      </c>
      <c r="AA139" s="156">
        <v>0.4836143812</v>
      </c>
      <c r="AB139" s="156">
        <v>0</v>
      </c>
      <c r="AC139" s="156">
        <v>0</v>
      </c>
      <c r="AD139" s="156">
        <v>2.0680878140000001E-2</v>
      </c>
      <c r="AE139" s="156">
        <v>0</v>
      </c>
      <c r="AF139" s="159">
        <v>2.7998727330000001E-2</v>
      </c>
      <c r="AG139" s="155">
        <v>0.39018447620000002</v>
      </c>
      <c r="AH139" s="156">
        <v>0</v>
      </c>
      <c r="AI139" s="156">
        <v>0</v>
      </c>
      <c r="AJ139" s="156">
        <v>1.2878524190000001E-2</v>
      </c>
      <c r="AK139" s="156">
        <v>0.2384267316</v>
      </c>
      <c r="AL139" s="156">
        <v>0.28715628259999998</v>
      </c>
      <c r="AM139" s="157">
        <v>7.1353985379999998E-2</v>
      </c>
      <c r="AN139" s="158">
        <v>0.42812391230000002</v>
      </c>
      <c r="AO139" s="156">
        <v>0</v>
      </c>
      <c r="AP139" s="156">
        <v>0</v>
      </c>
      <c r="AQ139" s="156">
        <v>0</v>
      </c>
      <c r="AR139" s="156">
        <v>0.22032718409999999</v>
      </c>
      <c r="AS139" s="156">
        <v>0.29133310130000001</v>
      </c>
      <c r="AT139" s="159">
        <v>6.0215802300000003E-2</v>
      </c>
    </row>
    <row r="140" spans="1:46" ht="12.75">
      <c r="A140" s="67" t="s">
        <v>15</v>
      </c>
      <c r="B140" s="67" t="s">
        <v>15</v>
      </c>
      <c r="C140" s="67" t="s">
        <v>364</v>
      </c>
      <c r="D140" s="67" t="s">
        <v>364</v>
      </c>
      <c r="E140" s="155">
        <v>0.43277386750000002</v>
      </c>
      <c r="F140" s="156">
        <v>0.47121458220000001</v>
      </c>
      <c r="G140" s="156">
        <v>0.1216386934</v>
      </c>
      <c r="H140" s="156">
        <v>4.1508752930000002E-3</v>
      </c>
      <c r="I140" s="156">
        <v>0</v>
      </c>
      <c r="J140" s="156">
        <v>0</v>
      </c>
      <c r="K140" s="157">
        <v>2.9778018409999999E-2</v>
      </c>
      <c r="L140" s="158">
        <v>0.41231713920000002</v>
      </c>
      <c r="M140" s="156">
        <v>0.41069171030000001</v>
      </c>
      <c r="N140" s="156">
        <v>0.13093733069999999</v>
      </c>
      <c r="O140" s="156">
        <v>0</v>
      </c>
      <c r="P140" s="156">
        <v>0</v>
      </c>
      <c r="Q140" s="156">
        <v>0</v>
      </c>
      <c r="R140" s="159">
        <v>4.6053819760000003E-2</v>
      </c>
      <c r="S140" s="155">
        <v>0.55983522139999997</v>
      </c>
      <c r="T140" s="156">
        <v>0.38558187440000002</v>
      </c>
      <c r="U140" s="156">
        <v>0</v>
      </c>
      <c r="V140" s="156">
        <v>0</v>
      </c>
      <c r="W140" s="156">
        <v>1.174047374E-2</v>
      </c>
      <c r="X140" s="156">
        <v>0</v>
      </c>
      <c r="Y140" s="157">
        <v>4.2842430479999999E-2</v>
      </c>
      <c r="Z140" s="158">
        <v>0.49989701339999998</v>
      </c>
      <c r="AA140" s="156">
        <v>0.3476828012</v>
      </c>
      <c r="AB140" s="156">
        <v>0</v>
      </c>
      <c r="AC140" s="156">
        <v>0</v>
      </c>
      <c r="AD140" s="156">
        <v>2.574665294E-2</v>
      </c>
      <c r="AE140" s="156">
        <v>0</v>
      </c>
      <c r="AF140" s="159">
        <v>0.12667353240000001</v>
      </c>
      <c r="AG140" s="155">
        <v>0.25458515279999999</v>
      </c>
      <c r="AH140" s="156">
        <v>0</v>
      </c>
      <c r="AI140" s="156">
        <v>0</v>
      </c>
      <c r="AJ140" s="156">
        <v>8.1222707419999998E-2</v>
      </c>
      <c r="AK140" s="156">
        <v>0.2318777293</v>
      </c>
      <c r="AL140" s="156">
        <v>0.33799126639999999</v>
      </c>
      <c r="AM140" s="157">
        <v>9.4323144100000006E-2</v>
      </c>
      <c r="AN140" s="158">
        <v>0.3043668122</v>
      </c>
      <c r="AO140" s="156">
        <v>0</v>
      </c>
      <c r="AP140" s="156">
        <v>0</v>
      </c>
      <c r="AQ140" s="156">
        <v>0</v>
      </c>
      <c r="AR140" s="156">
        <v>0.2128820961</v>
      </c>
      <c r="AS140" s="156">
        <v>0.35502183409999999</v>
      </c>
      <c r="AT140" s="159">
        <v>0.12772925760000001</v>
      </c>
    </row>
    <row r="141" spans="1:46" ht="12.75">
      <c r="A141" s="67" t="s">
        <v>15</v>
      </c>
      <c r="B141" s="67" t="s">
        <v>15</v>
      </c>
      <c r="C141" s="67" t="s">
        <v>366</v>
      </c>
      <c r="D141" s="67" t="s">
        <v>366</v>
      </c>
      <c r="E141" s="155">
        <v>0.3174006445</v>
      </c>
      <c r="F141" s="156">
        <v>0.47475832439999999</v>
      </c>
      <c r="G141" s="156">
        <v>0.25563909769999998</v>
      </c>
      <c r="H141" s="156">
        <v>3.7593984959999999E-3</v>
      </c>
      <c r="I141" s="156">
        <v>0</v>
      </c>
      <c r="J141" s="156">
        <v>0</v>
      </c>
      <c r="K141" s="157">
        <v>5.1557465089999997E-2</v>
      </c>
      <c r="L141" s="158">
        <v>0.3415682062</v>
      </c>
      <c r="M141" s="156">
        <v>0.32438238450000001</v>
      </c>
      <c r="N141" s="156">
        <v>0.26799140710000002</v>
      </c>
      <c r="O141" s="156">
        <v>0</v>
      </c>
      <c r="P141" s="156">
        <v>0</v>
      </c>
      <c r="Q141" s="156">
        <v>0</v>
      </c>
      <c r="R141" s="159">
        <v>6.6058002150000003E-2</v>
      </c>
      <c r="S141" s="155">
        <v>0.59254878769999997</v>
      </c>
      <c r="T141" s="156">
        <v>0.34772324069999999</v>
      </c>
      <c r="U141" s="156">
        <v>0</v>
      </c>
      <c r="V141" s="156">
        <v>0</v>
      </c>
      <c r="W141" s="156">
        <v>1.892371378E-2</v>
      </c>
      <c r="X141" s="156">
        <v>0</v>
      </c>
      <c r="Y141" s="157">
        <v>4.0804257839999997E-2</v>
      </c>
      <c r="Z141" s="158">
        <v>0.56889414549999995</v>
      </c>
      <c r="AA141" s="156">
        <v>0.34535777649999999</v>
      </c>
      <c r="AB141" s="156">
        <v>0</v>
      </c>
      <c r="AC141" s="156">
        <v>0</v>
      </c>
      <c r="AD141" s="156">
        <v>5.0857480779999999E-2</v>
      </c>
      <c r="AE141" s="156">
        <v>0</v>
      </c>
      <c r="AF141" s="159">
        <v>3.4890597279999998E-2</v>
      </c>
      <c r="AG141" s="155">
        <v>0.26224010730000002</v>
      </c>
      <c r="AH141" s="156">
        <v>0</v>
      </c>
      <c r="AI141" s="156">
        <v>0</v>
      </c>
      <c r="AJ141" s="156">
        <v>1.1401743799999999E-2</v>
      </c>
      <c r="AK141" s="156">
        <v>0.2468142186</v>
      </c>
      <c r="AL141" s="156">
        <v>0.39771965120000002</v>
      </c>
      <c r="AM141" s="157">
        <v>8.1824279010000001E-2</v>
      </c>
      <c r="AN141" s="158">
        <v>0.27028839700000001</v>
      </c>
      <c r="AO141" s="156">
        <v>0</v>
      </c>
      <c r="AP141" s="156">
        <v>0</v>
      </c>
      <c r="AQ141" s="156">
        <v>0</v>
      </c>
      <c r="AR141" s="156">
        <v>0.25620388999999999</v>
      </c>
      <c r="AS141" s="156">
        <v>0.38967136149999998</v>
      </c>
      <c r="AT141" s="159">
        <v>8.3836351439999998E-2</v>
      </c>
    </row>
    <row r="142" spans="1:46" ht="12.75">
      <c r="A142" s="67" t="s">
        <v>15</v>
      </c>
      <c r="B142" s="67" t="s">
        <v>15</v>
      </c>
      <c r="C142" s="67" t="s">
        <v>369</v>
      </c>
      <c r="D142" s="67" t="s">
        <v>369</v>
      </c>
      <c r="E142" s="155">
        <v>0.40690005070000002</v>
      </c>
      <c r="F142" s="156">
        <v>0.28310502279999999</v>
      </c>
      <c r="G142" s="156">
        <v>0.1151699645</v>
      </c>
      <c r="H142" s="156">
        <v>6.0882800609999999E-3</v>
      </c>
      <c r="I142" s="156">
        <v>0</v>
      </c>
      <c r="J142" s="156">
        <v>0</v>
      </c>
      <c r="K142" s="157">
        <v>0.18873668190000001</v>
      </c>
      <c r="L142" s="158">
        <v>0.34145104009999999</v>
      </c>
      <c r="M142" s="156">
        <v>0.48959918819999998</v>
      </c>
      <c r="N142" s="156">
        <v>0.1248097412</v>
      </c>
      <c r="O142" s="156">
        <v>0</v>
      </c>
      <c r="P142" s="156">
        <v>0</v>
      </c>
      <c r="Q142" s="156">
        <v>0</v>
      </c>
      <c r="R142" s="159">
        <v>4.4140030439999998E-2</v>
      </c>
      <c r="S142" s="155">
        <v>0.52209051719999999</v>
      </c>
      <c r="T142" s="156">
        <v>0.44665948280000001</v>
      </c>
      <c r="U142" s="156">
        <v>0</v>
      </c>
      <c r="V142" s="156">
        <v>0</v>
      </c>
      <c r="W142" s="156">
        <v>8.0818965519999994E-3</v>
      </c>
      <c r="X142" s="156">
        <v>0</v>
      </c>
      <c r="Y142" s="157">
        <v>2.3168103450000001E-2</v>
      </c>
      <c r="Z142" s="158">
        <v>0.50484913789999997</v>
      </c>
      <c r="AA142" s="156">
        <v>0.4498922414</v>
      </c>
      <c r="AB142" s="156">
        <v>0</v>
      </c>
      <c r="AC142" s="156">
        <v>0</v>
      </c>
      <c r="AD142" s="156">
        <v>2.478448276E-2</v>
      </c>
      <c r="AE142" s="156">
        <v>0</v>
      </c>
      <c r="AF142" s="159">
        <v>2.0474137930000001E-2</v>
      </c>
      <c r="AG142" s="155">
        <v>0.2074159907</v>
      </c>
      <c r="AH142" s="156">
        <v>0</v>
      </c>
      <c r="AI142" s="156">
        <v>0</v>
      </c>
      <c r="AJ142" s="156">
        <v>7.5318655850000003E-3</v>
      </c>
      <c r="AK142" s="156">
        <v>0.34762456549999998</v>
      </c>
      <c r="AL142" s="156">
        <v>0.37891077639999998</v>
      </c>
      <c r="AM142" s="157">
        <v>5.8516801850000001E-2</v>
      </c>
      <c r="AN142" s="158">
        <v>0.2271147161</v>
      </c>
      <c r="AO142" s="156">
        <v>0</v>
      </c>
      <c r="AP142" s="156">
        <v>0</v>
      </c>
      <c r="AQ142" s="156">
        <v>0</v>
      </c>
      <c r="AR142" s="156">
        <v>0.35399768250000002</v>
      </c>
      <c r="AS142" s="156">
        <v>0.38296639630000001</v>
      </c>
      <c r="AT142" s="159">
        <v>3.5921205099999999E-2</v>
      </c>
    </row>
    <row r="143" spans="1:46" ht="12.75">
      <c r="A143" s="67" t="s">
        <v>15</v>
      </c>
      <c r="B143" s="67" t="s">
        <v>15</v>
      </c>
      <c r="C143" s="67" t="s">
        <v>371</v>
      </c>
      <c r="D143" s="67" t="s">
        <v>371</v>
      </c>
      <c r="E143" s="155">
        <v>0.53806089739999996</v>
      </c>
      <c r="F143" s="156">
        <v>0.4423076923</v>
      </c>
      <c r="G143" s="156">
        <v>0.2608173077</v>
      </c>
      <c r="H143" s="156">
        <v>5.2083333329999999E-3</v>
      </c>
      <c r="I143" s="156">
        <v>0</v>
      </c>
      <c r="J143" s="156">
        <v>0</v>
      </c>
      <c r="K143" s="157">
        <v>0.2463942308</v>
      </c>
      <c r="L143" s="158">
        <v>0.2052821128</v>
      </c>
      <c r="M143" s="156">
        <v>0.33773509400000001</v>
      </c>
      <c r="N143" s="156">
        <v>0.39375750300000001</v>
      </c>
      <c r="O143" s="156">
        <v>0</v>
      </c>
      <c r="P143" s="156">
        <v>0</v>
      </c>
      <c r="Q143" s="156">
        <v>0</v>
      </c>
      <c r="R143" s="159">
        <v>6.3225290119999999E-2</v>
      </c>
      <c r="S143" s="155">
        <v>0.33636757690000002</v>
      </c>
      <c r="T143" s="156">
        <v>0.50325097529999996</v>
      </c>
      <c r="U143" s="156">
        <v>0</v>
      </c>
      <c r="V143" s="156">
        <v>0</v>
      </c>
      <c r="W143" s="156">
        <v>0.11356740360000001</v>
      </c>
      <c r="X143" s="156">
        <v>0</v>
      </c>
      <c r="Y143" s="157">
        <v>4.6814044210000003E-2</v>
      </c>
      <c r="Z143" s="158">
        <v>0.28868660600000001</v>
      </c>
      <c r="AA143" s="156">
        <v>0.47030775899999999</v>
      </c>
      <c r="AB143" s="156">
        <v>0</v>
      </c>
      <c r="AC143" s="156">
        <v>0</v>
      </c>
      <c r="AD143" s="156">
        <v>0.20372778499999999</v>
      </c>
      <c r="AE143" s="156">
        <v>0</v>
      </c>
      <c r="AF143" s="159">
        <v>3.7277850020000003E-2</v>
      </c>
      <c r="AG143" s="155">
        <v>0.1939198526</v>
      </c>
      <c r="AH143" s="156">
        <v>0</v>
      </c>
      <c r="AI143" s="156">
        <v>0</v>
      </c>
      <c r="AJ143" s="156">
        <v>9.2123445419999995E-3</v>
      </c>
      <c r="AK143" s="156">
        <v>0.2491939199</v>
      </c>
      <c r="AL143" s="156">
        <v>0.46015660990000001</v>
      </c>
      <c r="AM143" s="157">
        <v>8.7517273150000005E-2</v>
      </c>
      <c r="AN143" s="158">
        <v>0.19990787660000001</v>
      </c>
      <c r="AO143" s="156">
        <v>0</v>
      </c>
      <c r="AP143" s="156">
        <v>0</v>
      </c>
      <c r="AQ143" s="156">
        <v>0</v>
      </c>
      <c r="AR143" s="156">
        <v>0.2450483648</v>
      </c>
      <c r="AS143" s="156">
        <v>0.47581759559999998</v>
      </c>
      <c r="AT143" s="159">
        <v>7.9226163059999993E-2</v>
      </c>
    </row>
    <row r="144" spans="1:46" ht="12.75">
      <c r="A144" s="67" t="s">
        <v>15</v>
      </c>
      <c r="B144" s="67" t="s">
        <v>15</v>
      </c>
      <c r="C144" s="67" t="s">
        <v>373</v>
      </c>
      <c r="D144" s="67" t="s">
        <v>373</v>
      </c>
      <c r="E144" s="155">
        <v>0.3811158798</v>
      </c>
      <c r="F144" s="156">
        <v>0.55622317600000004</v>
      </c>
      <c r="G144" s="156">
        <v>3.6480686700000001E-2</v>
      </c>
      <c r="H144" s="156">
        <v>2.1459227469999998E-3</v>
      </c>
      <c r="I144" s="156">
        <v>0</v>
      </c>
      <c r="J144" s="156">
        <v>0</v>
      </c>
      <c r="K144" s="157">
        <v>2.4034334760000001E-2</v>
      </c>
      <c r="L144" s="158">
        <v>0.491416309</v>
      </c>
      <c r="M144" s="156">
        <v>0.43562231759999998</v>
      </c>
      <c r="N144" s="156">
        <v>3.5193133049999999E-2</v>
      </c>
      <c r="O144" s="156">
        <v>0</v>
      </c>
      <c r="P144" s="156">
        <v>0</v>
      </c>
      <c r="Q144" s="156">
        <v>0</v>
      </c>
      <c r="R144" s="159">
        <v>3.7768240340000002E-2</v>
      </c>
      <c r="S144" s="155">
        <v>0.45977011490000003</v>
      </c>
      <c r="T144" s="156">
        <v>0.49553001279999997</v>
      </c>
      <c r="U144" s="156">
        <v>0</v>
      </c>
      <c r="V144" s="156">
        <v>0</v>
      </c>
      <c r="W144" s="156">
        <v>6.8114091099999996E-3</v>
      </c>
      <c r="X144" s="156">
        <v>0</v>
      </c>
      <c r="Y144" s="157">
        <v>3.7888463179999998E-2</v>
      </c>
      <c r="Z144" s="158">
        <v>0.42978723400000002</v>
      </c>
      <c r="AA144" s="156">
        <v>0.51361702129999998</v>
      </c>
      <c r="AB144" s="156">
        <v>0</v>
      </c>
      <c r="AC144" s="156">
        <v>0</v>
      </c>
      <c r="AD144" s="156">
        <v>2.8510638299999998E-2</v>
      </c>
      <c r="AE144" s="156">
        <v>0</v>
      </c>
      <c r="AF144" s="159">
        <v>2.8085106379999999E-2</v>
      </c>
      <c r="AG144" s="155">
        <v>0.51697381180000002</v>
      </c>
      <c r="AH144" s="156">
        <v>0</v>
      </c>
      <c r="AI144" s="156">
        <v>0</v>
      </c>
      <c r="AJ144" s="156">
        <v>8.2444228900000003E-3</v>
      </c>
      <c r="AK144" s="156">
        <v>0.25897187199999999</v>
      </c>
      <c r="AL144" s="156">
        <v>0.14306498549999999</v>
      </c>
      <c r="AM144" s="157">
        <v>7.2744907859999999E-2</v>
      </c>
      <c r="AN144" s="158">
        <v>0.52201257860000005</v>
      </c>
      <c r="AO144" s="156">
        <v>0</v>
      </c>
      <c r="AP144" s="156">
        <v>0</v>
      </c>
      <c r="AQ144" s="156">
        <v>0</v>
      </c>
      <c r="AR144" s="156">
        <v>0.24770198360000001</v>
      </c>
      <c r="AS144" s="156">
        <v>0.15287856799999999</v>
      </c>
      <c r="AT144" s="159">
        <v>7.7406869860000005E-2</v>
      </c>
    </row>
    <row r="145" spans="1:46" ht="12.75">
      <c r="A145" s="67" t="s">
        <v>15</v>
      </c>
      <c r="B145" s="67" t="s">
        <v>15</v>
      </c>
      <c r="C145" s="67" t="s">
        <v>375</v>
      </c>
      <c r="D145" s="67" t="s">
        <v>375</v>
      </c>
      <c r="E145" s="155">
        <v>0.37151702790000002</v>
      </c>
      <c r="F145" s="156">
        <v>0.25193498450000001</v>
      </c>
      <c r="G145" s="156">
        <v>5.4953560370000001E-2</v>
      </c>
      <c r="H145" s="156">
        <v>5.4179566559999998E-3</v>
      </c>
      <c r="I145" s="156">
        <v>0</v>
      </c>
      <c r="J145" s="156">
        <v>0</v>
      </c>
      <c r="K145" s="157">
        <v>0.31617647059999998</v>
      </c>
      <c r="L145" s="158">
        <v>0.58900928789999996</v>
      </c>
      <c r="M145" s="156">
        <v>0.31385448919999998</v>
      </c>
      <c r="N145" s="156">
        <v>5.6888544889999997E-2</v>
      </c>
      <c r="O145" s="156">
        <v>0</v>
      </c>
      <c r="P145" s="156">
        <v>0</v>
      </c>
      <c r="Q145" s="156">
        <v>0</v>
      </c>
      <c r="R145" s="159">
        <v>4.0247678019999997E-2</v>
      </c>
      <c r="S145" s="155">
        <v>0.53663003659999997</v>
      </c>
      <c r="T145" s="156">
        <v>0.42612942609999999</v>
      </c>
      <c r="U145" s="156">
        <v>0</v>
      </c>
      <c r="V145" s="156">
        <v>0</v>
      </c>
      <c r="W145" s="156">
        <v>1.2210012209999999E-2</v>
      </c>
      <c r="X145" s="156">
        <v>0</v>
      </c>
      <c r="Y145" s="157">
        <v>2.503052503E-2</v>
      </c>
      <c r="Z145" s="158">
        <v>0.52747252749999995</v>
      </c>
      <c r="AA145" s="156">
        <v>0.43284493280000003</v>
      </c>
      <c r="AB145" s="156">
        <v>0</v>
      </c>
      <c r="AC145" s="156">
        <v>0</v>
      </c>
      <c r="AD145" s="156">
        <v>2.3199023199999998E-2</v>
      </c>
      <c r="AE145" s="156">
        <v>0</v>
      </c>
      <c r="AF145" s="159">
        <v>1.6483516480000002E-2</v>
      </c>
      <c r="AG145" s="155">
        <v>0.42657342660000003</v>
      </c>
      <c r="AH145" s="156">
        <v>0</v>
      </c>
      <c r="AI145" s="156">
        <v>0</v>
      </c>
      <c r="AJ145" s="156">
        <v>1.080737444E-2</v>
      </c>
      <c r="AK145" s="156">
        <v>0.28671328670000001</v>
      </c>
      <c r="AL145" s="156">
        <v>0.21869040049999999</v>
      </c>
      <c r="AM145" s="157">
        <v>5.7215511759999997E-2</v>
      </c>
      <c r="AN145" s="158">
        <v>0.4291163382</v>
      </c>
      <c r="AO145" s="156">
        <v>0</v>
      </c>
      <c r="AP145" s="156">
        <v>0</v>
      </c>
      <c r="AQ145" s="156">
        <v>0</v>
      </c>
      <c r="AR145" s="156">
        <v>0.28035600760000001</v>
      </c>
      <c r="AS145" s="156">
        <v>0.23521932609999999</v>
      </c>
      <c r="AT145" s="159">
        <v>5.530832804E-2</v>
      </c>
    </row>
    <row r="146" spans="1:46" ht="12.75">
      <c r="A146" s="67" t="s">
        <v>15</v>
      </c>
      <c r="B146" s="67" t="s">
        <v>15</v>
      </c>
      <c r="C146" s="67" t="s">
        <v>376</v>
      </c>
      <c r="D146" s="67" t="s">
        <v>376</v>
      </c>
      <c r="E146" s="155">
        <v>0.3397027601</v>
      </c>
      <c r="F146" s="156">
        <v>0.35244161359999998</v>
      </c>
      <c r="G146" s="156">
        <v>4.246284501E-2</v>
      </c>
      <c r="H146" s="156">
        <v>5.3078556260000003E-3</v>
      </c>
      <c r="I146" s="156">
        <v>0</v>
      </c>
      <c r="J146" s="156">
        <v>0</v>
      </c>
      <c r="K146" s="157">
        <v>0.26008492570000002</v>
      </c>
      <c r="L146" s="158">
        <v>0.38535031850000001</v>
      </c>
      <c r="M146" s="156">
        <v>0.54670912949999995</v>
      </c>
      <c r="N146" s="156">
        <v>4.140127389E-2</v>
      </c>
      <c r="O146" s="156">
        <v>0</v>
      </c>
      <c r="P146" s="156">
        <v>0</v>
      </c>
      <c r="Q146" s="156">
        <v>0</v>
      </c>
      <c r="R146" s="159">
        <v>2.653927813E-2</v>
      </c>
      <c r="S146" s="155">
        <v>0.45546786919999999</v>
      </c>
      <c r="T146" s="156">
        <v>0.53776775649999997</v>
      </c>
      <c r="U146" s="156">
        <v>0</v>
      </c>
      <c r="V146" s="156">
        <v>0</v>
      </c>
      <c r="W146" s="156">
        <v>2.2547914319999999E-3</v>
      </c>
      <c r="X146" s="156">
        <v>0</v>
      </c>
      <c r="Y146" s="157">
        <v>4.5095828639999998E-3</v>
      </c>
      <c r="Z146" s="158">
        <v>0.43742953779999999</v>
      </c>
      <c r="AA146" s="156">
        <v>0.52762119500000004</v>
      </c>
      <c r="AB146" s="156">
        <v>0</v>
      </c>
      <c r="AC146" s="156">
        <v>0</v>
      </c>
      <c r="AD146" s="156">
        <v>2.3675310030000001E-2</v>
      </c>
      <c r="AE146" s="156">
        <v>0</v>
      </c>
      <c r="AF146" s="159">
        <v>1.127395716E-2</v>
      </c>
      <c r="AG146" s="155">
        <v>0.43071161050000001</v>
      </c>
      <c r="AH146" s="156">
        <v>0</v>
      </c>
      <c r="AI146" s="156">
        <v>0</v>
      </c>
      <c r="AJ146" s="156">
        <v>7.490636704E-3</v>
      </c>
      <c r="AK146" s="156">
        <v>0.30212234710000002</v>
      </c>
      <c r="AL146" s="156">
        <v>0.20973782769999999</v>
      </c>
      <c r="AM146" s="157">
        <v>4.9937578029999999E-2</v>
      </c>
      <c r="AN146" s="158">
        <v>0.43196004989999998</v>
      </c>
      <c r="AO146" s="156">
        <v>0</v>
      </c>
      <c r="AP146" s="156">
        <v>0</v>
      </c>
      <c r="AQ146" s="156">
        <v>0</v>
      </c>
      <c r="AR146" s="156">
        <v>0.29088639199999999</v>
      </c>
      <c r="AS146" s="156">
        <v>0.23220973780000001</v>
      </c>
      <c r="AT146" s="159">
        <v>4.494382022E-2</v>
      </c>
    </row>
    <row r="147" spans="1:46" ht="12.75">
      <c r="A147" s="67" t="s">
        <v>15</v>
      </c>
      <c r="B147" s="67" t="s">
        <v>15</v>
      </c>
      <c r="C147" s="67" t="s">
        <v>378</v>
      </c>
      <c r="D147" s="67" t="s">
        <v>378</v>
      </c>
      <c r="E147" s="155">
        <v>0.24326434990000001</v>
      </c>
      <c r="F147" s="156">
        <v>0.31901600940000002</v>
      </c>
      <c r="G147" s="156">
        <v>0.1491604842</v>
      </c>
      <c r="H147" s="156">
        <v>4.6856696599999999E-3</v>
      </c>
      <c r="I147" s="156">
        <v>0</v>
      </c>
      <c r="J147" s="156">
        <v>0</v>
      </c>
      <c r="K147" s="157">
        <v>0.28387348690000003</v>
      </c>
      <c r="L147" s="158">
        <v>0.33111806100000002</v>
      </c>
      <c r="M147" s="156">
        <v>0.45777951519999999</v>
      </c>
      <c r="N147" s="156">
        <v>0.17083659109999999</v>
      </c>
      <c r="O147" s="156">
        <v>0</v>
      </c>
      <c r="P147" s="156">
        <v>0</v>
      </c>
      <c r="Q147" s="156">
        <v>0</v>
      </c>
      <c r="R147" s="159">
        <v>4.0265832680000002E-2</v>
      </c>
      <c r="S147" s="155">
        <v>0.5</v>
      </c>
      <c r="T147" s="156">
        <v>0.45145631069999997</v>
      </c>
      <c r="U147" s="156">
        <v>0</v>
      </c>
      <c r="V147" s="156">
        <v>0</v>
      </c>
      <c r="W147" s="156">
        <v>2.6699029129999999E-2</v>
      </c>
      <c r="X147" s="156">
        <v>0</v>
      </c>
      <c r="Y147" s="157">
        <v>2.184466019E-2</v>
      </c>
      <c r="Z147" s="158">
        <v>0.52305825240000003</v>
      </c>
      <c r="AA147" s="156">
        <v>0.4296116505</v>
      </c>
      <c r="AB147" s="156">
        <v>0</v>
      </c>
      <c r="AC147" s="156">
        <v>0</v>
      </c>
      <c r="AD147" s="156">
        <v>2.6699029129999999E-2</v>
      </c>
      <c r="AE147" s="156">
        <v>0</v>
      </c>
      <c r="AF147" s="159">
        <v>2.0631067959999999E-2</v>
      </c>
      <c r="AG147" s="155">
        <v>0.2228373702</v>
      </c>
      <c r="AH147" s="156">
        <v>0</v>
      </c>
      <c r="AI147" s="156">
        <v>0</v>
      </c>
      <c r="AJ147" s="156">
        <v>3.460207612E-3</v>
      </c>
      <c r="AK147" s="156">
        <v>0.1017301038</v>
      </c>
      <c r="AL147" s="156">
        <v>0.60207612460000004</v>
      </c>
      <c r="AM147" s="157">
        <v>6.9896193770000004E-2</v>
      </c>
      <c r="AN147" s="158">
        <v>0.23875432529999999</v>
      </c>
      <c r="AO147" s="156">
        <v>0</v>
      </c>
      <c r="AP147" s="156">
        <v>0</v>
      </c>
      <c r="AQ147" s="156">
        <v>0</v>
      </c>
      <c r="AR147" s="156">
        <v>9.4117647060000004E-2</v>
      </c>
      <c r="AS147" s="156">
        <v>0.61453287199999995</v>
      </c>
      <c r="AT147" s="159">
        <v>5.2595155710000001E-2</v>
      </c>
    </row>
    <row r="148" spans="1:46" ht="12.75">
      <c r="A148" s="67" t="s">
        <v>15</v>
      </c>
      <c r="B148" s="67" t="s">
        <v>15</v>
      </c>
      <c r="C148" s="67" t="s">
        <v>379</v>
      </c>
      <c r="D148" s="67" t="s">
        <v>379</v>
      </c>
      <c r="E148" s="155">
        <v>0.44540455620000002</v>
      </c>
      <c r="F148" s="156">
        <v>0.60644147680000005</v>
      </c>
      <c r="G148" s="156">
        <v>0.13904163389999999</v>
      </c>
      <c r="H148" s="156">
        <v>4.7132757270000004E-3</v>
      </c>
      <c r="I148" s="156">
        <v>0</v>
      </c>
      <c r="J148" s="156">
        <v>0</v>
      </c>
      <c r="K148" s="157">
        <v>0.1956009427</v>
      </c>
      <c r="L148" s="158">
        <v>0.37844217149999998</v>
      </c>
      <c r="M148" s="156">
        <v>0.40912667190000002</v>
      </c>
      <c r="N148" s="156">
        <v>0.1573564123</v>
      </c>
      <c r="O148" s="156">
        <v>0</v>
      </c>
      <c r="P148" s="156">
        <v>0</v>
      </c>
      <c r="Q148" s="156">
        <v>0</v>
      </c>
      <c r="R148" s="159">
        <v>5.5074744299999999E-2</v>
      </c>
      <c r="S148" s="155">
        <v>0.46763672849999999</v>
      </c>
      <c r="T148" s="156">
        <v>0.46061214249999999</v>
      </c>
      <c r="U148" s="156">
        <v>0</v>
      </c>
      <c r="V148" s="156">
        <v>0</v>
      </c>
      <c r="W148" s="156">
        <v>1.354741596E-2</v>
      </c>
      <c r="X148" s="156">
        <v>0</v>
      </c>
      <c r="Y148" s="157">
        <v>5.8203712999999997E-2</v>
      </c>
      <c r="Z148" s="158">
        <v>0.48319116909999998</v>
      </c>
      <c r="AA148" s="156">
        <v>0.45910687410000001</v>
      </c>
      <c r="AB148" s="156">
        <v>0</v>
      </c>
      <c r="AC148" s="156">
        <v>0</v>
      </c>
      <c r="AD148" s="156">
        <v>2.3582538890000001E-2</v>
      </c>
      <c r="AE148" s="156">
        <v>0</v>
      </c>
      <c r="AF148" s="159">
        <v>3.4119417960000002E-2</v>
      </c>
      <c r="AG148" s="155">
        <v>0.33694412769999998</v>
      </c>
      <c r="AH148" s="156">
        <v>0</v>
      </c>
      <c r="AI148" s="156">
        <v>0</v>
      </c>
      <c r="AJ148" s="156">
        <v>1.3112884829999999E-2</v>
      </c>
      <c r="AK148" s="156">
        <v>0.2200684151</v>
      </c>
      <c r="AL148" s="156">
        <v>0.34720638539999998</v>
      </c>
      <c r="AM148" s="157">
        <v>8.2668187000000004E-2</v>
      </c>
      <c r="AN148" s="158">
        <v>0.35119726340000001</v>
      </c>
      <c r="AO148" s="156">
        <v>0</v>
      </c>
      <c r="AP148" s="156">
        <v>0</v>
      </c>
      <c r="AQ148" s="156">
        <v>0</v>
      </c>
      <c r="AR148" s="156">
        <v>0.21094640819999999</v>
      </c>
      <c r="AS148" s="156">
        <v>0.36545039909999999</v>
      </c>
      <c r="AT148" s="159">
        <v>7.2405929300000005E-2</v>
      </c>
    </row>
    <row r="149" spans="1:46" ht="12.75">
      <c r="A149" s="67" t="s">
        <v>15</v>
      </c>
      <c r="B149" s="67" t="s">
        <v>15</v>
      </c>
      <c r="C149" s="67" t="s">
        <v>381</v>
      </c>
      <c r="D149" s="67" t="s">
        <v>381</v>
      </c>
      <c r="E149" s="155">
        <v>0.57378984649999998</v>
      </c>
      <c r="F149" s="156">
        <v>0.52066115700000004</v>
      </c>
      <c r="G149" s="156">
        <v>0.2184179457</v>
      </c>
      <c r="H149" s="156">
        <v>1.4167650530000001E-2</v>
      </c>
      <c r="I149" s="156">
        <v>0</v>
      </c>
      <c r="J149" s="156">
        <v>0</v>
      </c>
      <c r="K149" s="157">
        <v>0.32703659979999999</v>
      </c>
      <c r="L149" s="158">
        <v>0.28217237309999998</v>
      </c>
      <c r="M149" s="156">
        <v>0.45100354190000003</v>
      </c>
      <c r="N149" s="156">
        <v>0.24321133410000001</v>
      </c>
      <c r="O149" s="156">
        <v>0</v>
      </c>
      <c r="P149" s="156">
        <v>0</v>
      </c>
      <c r="Q149" s="156">
        <v>0</v>
      </c>
      <c r="R149" s="159">
        <v>2.3612750889999999E-2</v>
      </c>
      <c r="S149" s="155">
        <v>0.51241830070000005</v>
      </c>
      <c r="T149" s="156">
        <v>0.45098039220000002</v>
      </c>
      <c r="U149" s="156">
        <v>0</v>
      </c>
      <c r="V149" s="156">
        <v>0</v>
      </c>
      <c r="W149" s="156">
        <v>9.1503267969999993E-3</v>
      </c>
      <c r="X149" s="156">
        <v>0</v>
      </c>
      <c r="Y149" s="157">
        <v>2.7450980390000001E-2</v>
      </c>
      <c r="Z149" s="158">
        <v>0.48888888889999998</v>
      </c>
      <c r="AA149" s="156">
        <v>0.46928104580000002</v>
      </c>
      <c r="AB149" s="156">
        <v>0</v>
      </c>
      <c r="AC149" s="156">
        <v>0</v>
      </c>
      <c r="AD149" s="156">
        <v>1.830065359E-2</v>
      </c>
      <c r="AE149" s="156">
        <v>0</v>
      </c>
      <c r="AF149" s="159">
        <v>2.3529411760000001E-2</v>
      </c>
      <c r="AG149" s="155">
        <v>0.19246298789999999</v>
      </c>
      <c r="AH149" s="156">
        <v>0</v>
      </c>
      <c r="AI149" s="156">
        <v>0</v>
      </c>
      <c r="AJ149" s="156">
        <v>1.480484522E-2</v>
      </c>
      <c r="AK149" s="156">
        <v>0.25706594890000001</v>
      </c>
      <c r="AL149" s="156">
        <v>0.4549125168</v>
      </c>
      <c r="AM149" s="157">
        <v>8.0753701210000001E-2</v>
      </c>
      <c r="AN149" s="158">
        <v>0.27052489909999999</v>
      </c>
      <c r="AO149" s="156">
        <v>0</v>
      </c>
      <c r="AP149" s="156">
        <v>0</v>
      </c>
      <c r="AQ149" s="156">
        <v>0</v>
      </c>
      <c r="AR149" s="156">
        <v>0.25572005380000001</v>
      </c>
      <c r="AS149" s="156">
        <v>0.39838492599999997</v>
      </c>
      <c r="AT149" s="159">
        <v>7.5370121129999995E-2</v>
      </c>
    </row>
    <row r="150" spans="1:46" ht="12.75">
      <c r="A150" s="67" t="s">
        <v>15</v>
      </c>
      <c r="B150" s="67" t="s">
        <v>15</v>
      </c>
      <c r="C150" s="67" t="s">
        <v>383</v>
      </c>
      <c r="D150" s="67" t="s">
        <v>383</v>
      </c>
      <c r="E150" s="155">
        <v>0.36463331049999997</v>
      </c>
      <c r="F150" s="156">
        <v>0.4270047978</v>
      </c>
      <c r="G150" s="156">
        <v>0.1034955449</v>
      </c>
      <c r="H150" s="156">
        <v>4.1124057570000004E-3</v>
      </c>
      <c r="I150" s="156">
        <v>0</v>
      </c>
      <c r="J150" s="156">
        <v>0</v>
      </c>
      <c r="K150" s="157">
        <v>0.10075394109999999</v>
      </c>
      <c r="L150" s="158">
        <v>0.38039753259999998</v>
      </c>
      <c r="M150" s="156">
        <v>0.48663468129999998</v>
      </c>
      <c r="N150" s="156">
        <v>0.1137765593</v>
      </c>
      <c r="O150" s="156">
        <v>0</v>
      </c>
      <c r="P150" s="156">
        <v>0</v>
      </c>
      <c r="Q150" s="156">
        <v>0</v>
      </c>
      <c r="R150" s="159">
        <v>1.9191226870000001E-2</v>
      </c>
      <c r="S150" s="155">
        <v>0.4853846154</v>
      </c>
      <c r="T150" s="156">
        <v>0.49230769229999999</v>
      </c>
      <c r="U150" s="156">
        <v>0</v>
      </c>
      <c r="V150" s="156">
        <v>0</v>
      </c>
      <c r="W150" s="156">
        <v>8.4615384620000001E-3</v>
      </c>
      <c r="X150" s="156">
        <v>0</v>
      </c>
      <c r="Y150" s="157">
        <v>1.3846153849999999E-2</v>
      </c>
      <c r="Z150" s="158">
        <v>0.4830769231</v>
      </c>
      <c r="AA150" s="156">
        <v>0.48923076920000003</v>
      </c>
      <c r="AB150" s="156">
        <v>0</v>
      </c>
      <c r="AC150" s="156">
        <v>0</v>
      </c>
      <c r="AD150" s="156">
        <v>2.1538461540000001E-2</v>
      </c>
      <c r="AE150" s="156">
        <v>0</v>
      </c>
      <c r="AF150" s="159">
        <v>6.1538461540000004E-3</v>
      </c>
      <c r="AG150" s="155">
        <v>0.13174182139999999</v>
      </c>
      <c r="AH150" s="156">
        <v>0</v>
      </c>
      <c r="AI150" s="156">
        <v>0</v>
      </c>
      <c r="AJ150" s="156">
        <v>1.3262599470000001E-2</v>
      </c>
      <c r="AK150" s="156">
        <v>0.32183908049999999</v>
      </c>
      <c r="AL150" s="156">
        <v>0.44031830239999997</v>
      </c>
      <c r="AM150" s="157">
        <v>9.2838196289999994E-2</v>
      </c>
      <c r="AN150" s="158">
        <v>0.1326259947</v>
      </c>
      <c r="AO150" s="156">
        <v>0</v>
      </c>
      <c r="AP150" s="156">
        <v>0</v>
      </c>
      <c r="AQ150" s="156">
        <v>0</v>
      </c>
      <c r="AR150" s="156">
        <v>0.33244916000000002</v>
      </c>
      <c r="AS150" s="156">
        <v>0.45888594160000001</v>
      </c>
      <c r="AT150" s="159">
        <v>7.6038903630000002E-2</v>
      </c>
    </row>
    <row r="151" spans="1:46" ht="12.75">
      <c r="A151" s="67" t="s">
        <v>15</v>
      </c>
      <c r="B151" s="67" t="s">
        <v>15</v>
      </c>
      <c r="C151" s="67" t="s">
        <v>385</v>
      </c>
      <c r="D151" s="67" t="s">
        <v>385</v>
      </c>
      <c r="E151" s="155">
        <v>0.38627380519999999</v>
      </c>
      <c r="F151" s="156">
        <v>0.3665109594</v>
      </c>
      <c r="G151" s="156">
        <v>8.4441250450000005E-2</v>
      </c>
      <c r="H151" s="156">
        <v>4.3118936399999998E-3</v>
      </c>
      <c r="I151" s="156">
        <v>0</v>
      </c>
      <c r="J151" s="156">
        <v>0</v>
      </c>
      <c r="K151" s="157">
        <v>0.1584620913</v>
      </c>
      <c r="L151" s="158">
        <v>0.52733812950000003</v>
      </c>
      <c r="M151" s="156">
        <v>0.33237410070000001</v>
      </c>
      <c r="N151" s="156">
        <v>9.5683453239999994E-2</v>
      </c>
      <c r="O151" s="156">
        <v>0</v>
      </c>
      <c r="P151" s="156">
        <v>0</v>
      </c>
      <c r="Q151" s="156">
        <v>0</v>
      </c>
      <c r="R151" s="159">
        <v>4.4604316550000002E-2</v>
      </c>
      <c r="S151" s="155">
        <v>0.576731726</v>
      </c>
      <c r="T151" s="156">
        <v>0.38538078840000001</v>
      </c>
      <c r="U151" s="156">
        <v>0</v>
      </c>
      <c r="V151" s="156">
        <v>0</v>
      </c>
      <c r="W151" s="156">
        <v>1.1481056260000001E-2</v>
      </c>
      <c r="X151" s="156">
        <v>0</v>
      </c>
      <c r="Y151" s="157">
        <v>2.640642939E-2</v>
      </c>
      <c r="Z151" s="158">
        <v>0.56257175660000003</v>
      </c>
      <c r="AA151" s="156">
        <v>0.3938002296</v>
      </c>
      <c r="AB151" s="156">
        <v>0</v>
      </c>
      <c r="AC151" s="156">
        <v>0</v>
      </c>
      <c r="AD151" s="156">
        <v>2.2579410639999999E-2</v>
      </c>
      <c r="AE151" s="156">
        <v>0</v>
      </c>
      <c r="AF151" s="159">
        <v>2.104860314E-2</v>
      </c>
      <c r="AG151" s="155">
        <v>0.50436953809999996</v>
      </c>
      <c r="AH151" s="156">
        <v>0</v>
      </c>
      <c r="AI151" s="156">
        <v>0</v>
      </c>
      <c r="AJ151" s="156">
        <v>1.040366209E-2</v>
      </c>
      <c r="AK151" s="156">
        <v>0.17186849770000001</v>
      </c>
      <c r="AL151" s="156">
        <v>0.25343320850000001</v>
      </c>
      <c r="AM151" s="157">
        <v>5.9925093630000002E-2</v>
      </c>
      <c r="AN151" s="158">
        <v>0.52476071580000005</v>
      </c>
      <c r="AO151" s="156">
        <v>0</v>
      </c>
      <c r="AP151" s="156">
        <v>0</v>
      </c>
      <c r="AQ151" s="156">
        <v>0</v>
      </c>
      <c r="AR151" s="156">
        <v>0.16645859339999999</v>
      </c>
      <c r="AS151" s="156">
        <v>0.25717852679999997</v>
      </c>
      <c r="AT151" s="159">
        <v>5.1602163960000003E-2</v>
      </c>
    </row>
    <row r="152" spans="1:46" ht="12.75">
      <c r="A152" s="67" t="s">
        <v>15</v>
      </c>
      <c r="B152" s="67" t="s">
        <v>15</v>
      </c>
      <c r="C152" s="67" t="s">
        <v>387</v>
      </c>
      <c r="D152" s="67" t="s">
        <v>387</v>
      </c>
      <c r="E152" s="155">
        <v>0.23307543519999999</v>
      </c>
      <c r="F152" s="156">
        <v>0.4052224371</v>
      </c>
      <c r="G152" s="156">
        <v>2.3210831719999998E-2</v>
      </c>
      <c r="H152" s="156">
        <v>7.7369439069999999E-3</v>
      </c>
      <c r="I152" s="156">
        <v>0</v>
      </c>
      <c r="J152" s="156">
        <v>0</v>
      </c>
      <c r="K152" s="157">
        <v>0.33075435199999997</v>
      </c>
      <c r="L152" s="158">
        <v>0.36615678779999999</v>
      </c>
      <c r="M152" s="156">
        <v>0.569789675</v>
      </c>
      <c r="N152" s="156">
        <v>2.772466539E-2</v>
      </c>
      <c r="O152" s="156">
        <v>0</v>
      </c>
      <c r="P152" s="156">
        <v>0</v>
      </c>
      <c r="Q152" s="156">
        <v>0</v>
      </c>
      <c r="R152" s="159">
        <v>3.6328871890000003E-2</v>
      </c>
      <c r="S152" s="155">
        <v>0.45408678099999999</v>
      </c>
      <c r="T152" s="156">
        <v>0.51866801210000002</v>
      </c>
      <c r="U152" s="156">
        <v>0</v>
      </c>
      <c r="V152" s="156">
        <v>0</v>
      </c>
      <c r="W152" s="156">
        <v>5.0454086780000003E-3</v>
      </c>
      <c r="X152" s="156">
        <v>0</v>
      </c>
      <c r="Y152" s="157">
        <v>2.2199798180000001E-2</v>
      </c>
      <c r="Z152" s="158">
        <v>0.4561049445</v>
      </c>
      <c r="AA152" s="156">
        <v>0.51866801210000002</v>
      </c>
      <c r="AB152" s="156">
        <v>0</v>
      </c>
      <c r="AC152" s="156">
        <v>0</v>
      </c>
      <c r="AD152" s="156">
        <v>1.109989909E-2</v>
      </c>
      <c r="AE152" s="156">
        <v>0</v>
      </c>
      <c r="AF152" s="159">
        <v>1.41271443E-2</v>
      </c>
      <c r="AG152" s="155">
        <v>0.23514538560000001</v>
      </c>
      <c r="AH152" s="156">
        <v>0</v>
      </c>
      <c r="AI152" s="156">
        <v>0</v>
      </c>
      <c r="AJ152" s="156">
        <v>7.5853350189999998E-3</v>
      </c>
      <c r="AK152" s="156">
        <v>0.51327433629999997</v>
      </c>
      <c r="AL152" s="156">
        <v>0.15676359040000001</v>
      </c>
      <c r="AM152" s="157">
        <v>8.7231352720000002E-2</v>
      </c>
      <c r="AN152" s="158">
        <v>0.26801517070000003</v>
      </c>
      <c r="AO152" s="156">
        <v>0</v>
      </c>
      <c r="AP152" s="156">
        <v>0</v>
      </c>
      <c r="AQ152" s="156">
        <v>0</v>
      </c>
      <c r="AR152" s="156">
        <v>0.53855878629999998</v>
      </c>
      <c r="AS152" s="156">
        <v>0.13906447529999999</v>
      </c>
      <c r="AT152" s="159">
        <v>5.4361567639999997E-2</v>
      </c>
    </row>
    <row r="153" spans="1:46" ht="12.75">
      <c r="A153" s="67" t="s">
        <v>15</v>
      </c>
      <c r="B153" s="67" t="s">
        <v>790</v>
      </c>
      <c r="C153" s="67" t="s">
        <v>790</v>
      </c>
      <c r="D153" s="67" t="s">
        <v>790</v>
      </c>
      <c r="E153" s="155">
        <v>0.4623535795</v>
      </c>
      <c r="F153" s="156">
        <v>0.48817465129999998</v>
      </c>
      <c r="G153" s="156">
        <v>0.1630015001</v>
      </c>
      <c r="H153" s="156">
        <v>6.2877022759999998E-3</v>
      </c>
      <c r="I153" s="156">
        <v>0</v>
      </c>
      <c r="J153" s="156">
        <v>0</v>
      </c>
      <c r="K153" s="157">
        <v>0.1198174332</v>
      </c>
      <c r="L153" s="158">
        <v>0.41846662769999998</v>
      </c>
      <c r="M153" s="156">
        <v>0.36446779530000001</v>
      </c>
      <c r="N153" s="156">
        <v>0.18113121879999999</v>
      </c>
      <c r="O153" s="156">
        <v>0</v>
      </c>
      <c r="P153" s="156">
        <v>0</v>
      </c>
      <c r="Q153" s="156">
        <v>0</v>
      </c>
      <c r="R153" s="159">
        <v>3.5934358180000001E-2</v>
      </c>
      <c r="S153" s="155">
        <v>0.5020154818</v>
      </c>
      <c r="T153" s="156">
        <v>0.44572468160000001</v>
      </c>
      <c r="U153" s="156">
        <v>0</v>
      </c>
      <c r="V153" s="156">
        <v>0</v>
      </c>
      <c r="W153" s="156">
        <v>1.4482930830000001E-2</v>
      </c>
      <c r="X153" s="156">
        <v>0</v>
      </c>
      <c r="Y153" s="157">
        <v>3.7776905790000002E-2</v>
      </c>
      <c r="Z153" s="158">
        <v>0.48692519000000001</v>
      </c>
      <c r="AA153" s="156">
        <v>0.45264171809999998</v>
      </c>
      <c r="AB153" s="156">
        <v>0</v>
      </c>
      <c r="AC153" s="156">
        <v>0</v>
      </c>
      <c r="AD153" s="156">
        <v>2.7576611609999999E-2</v>
      </c>
      <c r="AE153" s="156">
        <v>0</v>
      </c>
      <c r="AF153" s="159">
        <v>3.285648033E-2</v>
      </c>
      <c r="AG153" s="155">
        <v>0.26229845340000002</v>
      </c>
      <c r="AH153" s="156">
        <v>0</v>
      </c>
      <c r="AI153" s="156">
        <v>0</v>
      </c>
      <c r="AJ153" s="156">
        <v>1.1846001970000001E-2</v>
      </c>
      <c r="AK153" s="156">
        <v>0.34624876599999999</v>
      </c>
      <c r="AL153" s="156">
        <v>0.30684435669999999</v>
      </c>
      <c r="AM153" s="157">
        <v>7.2762421849999995E-2</v>
      </c>
      <c r="AN153" s="158">
        <v>0.27702369199999999</v>
      </c>
      <c r="AO153" s="156">
        <v>0</v>
      </c>
      <c r="AP153" s="156">
        <v>0</v>
      </c>
      <c r="AQ153" s="156">
        <v>0</v>
      </c>
      <c r="AR153" s="156">
        <v>0.3351020072</v>
      </c>
      <c r="AS153" s="156">
        <v>0.32461335969999999</v>
      </c>
      <c r="AT153" s="159">
        <v>6.3260941099999995E-2</v>
      </c>
    </row>
    <row r="154" spans="1:46" ht="12.75">
      <c r="A154" s="67" t="s">
        <v>15</v>
      </c>
      <c r="B154" s="67" t="s">
        <v>389</v>
      </c>
      <c r="C154" s="67" t="s">
        <v>390</v>
      </c>
      <c r="D154" s="67" t="s">
        <v>390</v>
      </c>
      <c r="E154" s="155">
        <v>0.2310286678</v>
      </c>
      <c r="F154" s="156">
        <v>0.14446318159999999</v>
      </c>
      <c r="G154" s="156">
        <v>0.3383923553</v>
      </c>
      <c r="H154" s="156">
        <v>3.9347948289999999E-3</v>
      </c>
      <c r="I154" s="156">
        <v>0</v>
      </c>
      <c r="J154" s="156">
        <v>0</v>
      </c>
      <c r="K154" s="157">
        <v>0.28218100060000001</v>
      </c>
      <c r="L154" s="158">
        <v>0.24564362000000001</v>
      </c>
      <c r="M154" s="156">
        <v>0.35244519390000001</v>
      </c>
      <c r="N154" s="156">
        <v>0.36649803260000002</v>
      </c>
      <c r="O154" s="156">
        <v>0</v>
      </c>
      <c r="P154" s="156">
        <v>0</v>
      </c>
      <c r="Q154" s="156">
        <v>0</v>
      </c>
      <c r="R154" s="159">
        <v>3.5413153459999999E-2</v>
      </c>
      <c r="S154" s="155">
        <v>0.46001279589999999</v>
      </c>
      <c r="T154" s="156">
        <v>0.49776071659999999</v>
      </c>
      <c r="U154" s="156">
        <v>0</v>
      </c>
      <c r="V154" s="156">
        <v>0</v>
      </c>
      <c r="W154" s="156">
        <v>8.3173384520000004E-3</v>
      </c>
      <c r="X154" s="156">
        <v>0</v>
      </c>
      <c r="Y154" s="157">
        <v>3.3909149069999998E-2</v>
      </c>
      <c r="Z154" s="158">
        <v>0.46065259120000002</v>
      </c>
      <c r="AA154" s="156">
        <v>0.50735764559999996</v>
      </c>
      <c r="AB154" s="156">
        <v>0</v>
      </c>
      <c r="AC154" s="156">
        <v>0</v>
      </c>
      <c r="AD154" s="156">
        <v>9.5969289830000002E-3</v>
      </c>
      <c r="AE154" s="156">
        <v>0</v>
      </c>
      <c r="AF154" s="159">
        <v>2.239283429E-2</v>
      </c>
      <c r="AG154" s="155">
        <v>0.21150855369999999</v>
      </c>
      <c r="AH154" s="156">
        <v>0</v>
      </c>
      <c r="AI154" s="156">
        <v>0</v>
      </c>
      <c r="AJ154" s="156">
        <v>6.9984447899999998E-3</v>
      </c>
      <c r="AK154" s="156">
        <v>0.21539657849999999</v>
      </c>
      <c r="AL154" s="156">
        <v>0.50777604980000002</v>
      </c>
      <c r="AM154" s="157">
        <v>5.8320373250000002E-2</v>
      </c>
      <c r="AN154" s="158">
        <v>0.22550544319999999</v>
      </c>
      <c r="AO154" s="156">
        <v>0</v>
      </c>
      <c r="AP154" s="156">
        <v>0</v>
      </c>
      <c r="AQ154" s="156">
        <v>0</v>
      </c>
      <c r="AR154" s="156">
        <v>0.22317262830000001</v>
      </c>
      <c r="AS154" s="156">
        <v>0.51244167959999998</v>
      </c>
      <c r="AT154" s="159">
        <v>3.8880248829999998E-2</v>
      </c>
    </row>
    <row r="155" spans="1:46" ht="12.75">
      <c r="A155" s="67" t="s">
        <v>15</v>
      </c>
      <c r="B155" s="67" t="s">
        <v>389</v>
      </c>
      <c r="C155" s="67" t="s">
        <v>390</v>
      </c>
      <c r="D155" s="67" t="s">
        <v>392</v>
      </c>
      <c r="E155" s="155">
        <v>0.25115740739999998</v>
      </c>
      <c r="F155" s="156">
        <v>0.27546296300000001</v>
      </c>
      <c r="G155" s="156">
        <v>0.13310185190000001</v>
      </c>
      <c r="H155" s="156">
        <v>2.3148148149999999E-3</v>
      </c>
      <c r="I155" s="156">
        <v>0</v>
      </c>
      <c r="J155" s="156">
        <v>0</v>
      </c>
      <c r="K155" s="157">
        <v>0.33796296300000001</v>
      </c>
      <c r="L155" s="158">
        <v>0.27083333329999998</v>
      </c>
      <c r="M155" s="156">
        <v>0.55671296299999995</v>
      </c>
      <c r="N155" s="156">
        <v>0.14236111109999999</v>
      </c>
      <c r="O155" s="156">
        <v>0</v>
      </c>
      <c r="P155" s="156">
        <v>0</v>
      </c>
      <c r="Q155" s="156">
        <v>0</v>
      </c>
      <c r="R155" s="159">
        <v>3.0092592590000002E-2</v>
      </c>
      <c r="S155" s="155">
        <v>0.36445444319999998</v>
      </c>
      <c r="T155" s="156">
        <v>0.5973003375</v>
      </c>
      <c r="U155" s="156">
        <v>0</v>
      </c>
      <c r="V155" s="156">
        <v>0</v>
      </c>
      <c r="W155" s="156">
        <v>6.749156355E-3</v>
      </c>
      <c r="X155" s="156">
        <v>0</v>
      </c>
      <c r="Y155" s="157">
        <v>3.1496062989999997E-2</v>
      </c>
      <c r="Z155" s="158">
        <v>0.36659192829999998</v>
      </c>
      <c r="AA155" s="156">
        <v>0.59641255609999999</v>
      </c>
      <c r="AB155" s="156">
        <v>0</v>
      </c>
      <c r="AC155" s="156">
        <v>0</v>
      </c>
      <c r="AD155" s="156">
        <v>4.4843049329999999E-3</v>
      </c>
      <c r="AE155" s="156">
        <v>0</v>
      </c>
      <c r="AF155" s="159">
        <v>3.2511210759999999E-2</v>
      </c>
      <c r="AG155" s="155">
        <v>9.5926412609999998E-2</v>
      </c>
      <c r="AH155" s="156">
        <v>0</v>
      </c>
      <c r="AI155" s="156">
        <v>0</v>
      </c>
      <c r="AJ155" s="156">
        <v>2.6281208940000002E-3</v>
      </c>
      <c r="AK155" s="156">
        <v>0.17477003939999999</v>
      </c>
      <c r="AL155" s="156">
        <v>0.65834428379999999</v>
      </c>
      <c r="AM155" s="157">
        <v>6.8331143230000002E-2</v>
      </c>
      <c r="AN155" s="158">
        <v>0.11038107749999999</v>
      </c>
      <c r="AO155" s="156">
        <v>0</v>
      </c>
      <c r="AP155" s="156">
        <v>0</v>
      </c>
      <c r="AQ155" s="156">
        <v>0</v>
      </c>
      <c r="AR155" s="156">
        <v>0.17345597900000001</v>
      </c>
      <c r="AS155" s="156">
        <v>0.66622864650000002</v>
      </c>
      <c r="AT155" s="159">
        <v>4.9934296980000001E-2</v>
      </c>
    </row>
    <row r="156" spans="1:46" ht="12.75">
      <c r="A156" s="67" t="s">
        <v>15</v>
      </c>
      <c r="B156" s="67" t="s">
        <v>389</v>
      </c>
      <c r="C156" s="67" t="s">
        <v>393</v>
      </c>
      <c r="D156" s="67" t="s">
        <v>393</v>
      </c>
      <c r="E156" s="155">
        <v>0.65</v>
      </c>
      <c r="F156" s="156">
        <v>0.28555555560000001</v>
      </c>
      <c r="G156" s="156">
        <v>5.8888888889999998E-2</v>
      </c>
      <c r="H156" s="156">
        <v>7.777777778E-3</v>
      </c>
      <c r="I156" s="156">
        <v>0</v>
      </c>
      <c r="J156" s="156">
        <v>0</v>
      </c>
      <c r="K156" s="157">
        <v>2.2222222219999998E-3</v>
      </c>
      <c r="L156" s="158">
        <v>0.33444444439999998</v>
      </c>
      <c r="M156" s="156">
        <v>0.56666666669999999</v>
      </c>
      <c r="N156" s="156">
        <v>7.2222222220000007E-2</v>
      </c>
      <c r="O156" s="156">
        <v>0</v>
      </c>
      <c r="P156" s="156">
        <v>0</v>
      </c>
      <c r="Q156" s="156">
        <v>0</v>
      </c>
      <c r="R156" s="159">
        <v>2.6666666669999999E-2</v>
      </c>
      <c r="S156" s="155">
        <v>0.5458879619</v>
      </c>
      <c r="T156" s="156">
        <v>0.4278903456</v>
      </c>
      <c r="U156" s="156">
        <v>0</v>
      </c>
      <c r="V156" s="156">
        <v>0</v>
      </c>
      <c r="W156" s="156">
        <v>2.3837902260000002E-3</v>
      </c>
      <c r="X156" s="156">
        <v>0</v>
      </c>
      <c r="Y156" s="157">
        <v>2.3837902259999998E-2</v>
      </c>
      <c r="Z156" s="158">
        <v>0.51609058399999996</v>
      </c>
      <c r="AA156" s="156">
        <v>0.43504171629999999</v>
      </c>
      <c r="AB156" s="156">
        <v>0</v>
      </c>
      <c r="AC156" s="156">
        <v>0</v>
      </c>
      <c r="AD156" s="156">
        <v>2.7413587600000001E-2</v>
      </c>
      <c r="AE156" s="156">
        <v>0</v>
      </c>
      <c r="AF156" s="159">
        <v>2.1454112040000001E-2</v>
      </c>
      <c r="AG156" s="155">
        <v>0.59683794469999996</v>
      </c>
      <c r="AH156" s="156">
        <v>0</v>
      </c>
      <c r="AI156" s="156">
        <v>0</v>
      </c>
      <c r="AJ156" s="156">
        <v>1.054018445E-2</v>
      </c>
      <c r="AK156" s="156">
        <v>7.2463768119999994E-2</v>
      </c>
      <c r="AL156" s="156">
        <v>0.2687747036</v>
      </c>
      <c r="AM156" s="157">
        <v>5.138339921E-2</v>
      </c>
      <c r="AN156" s="158">
        <v>0.60210803690000003</v>
      </c>
      <c r="AO156" s="156">
        <v>0</v>
      </c>
      <c r="AP156" s="156">
        <v>0</v>
      </c>
      <c r="AQ156" s="156">
        <v>0</v>
      </c>
      <c r="AR156" s="156">
        <v>8.1686429510000005E-2</v>
      </c>
      <c r="AS156" s="156">
        <v>0.2582345191</v>
      </c>
      <c r="AT156" s="159">
        <v>5.797101449E-2</v>
      </c>
    </row>
    <row r="157" spans="1:46" ht="12.75">
      <c r="A157" s="67" t="s">
        <v>15</v>
      </c>
      <c r="B157" s="67" t="s">
        <v>389</v>
      </c>
      <c r="C157" s="67" t="s">
        <v>395</v>
      </c>
      <c r="D157" s="67" t="s">
        <v>395</v>
      </c>
      <c r="E157" s="155">
        <v>0.40602582500000001</v>
      </c>
      <c r="F157" s="156">
        <v>0.4182209469</v>
      </c>
      <c r="G157" s="156">
        <v>8.2496413199999993E-2</v>
      </c>
      <c r="H157" s="156">
        <v>2.8694404589999999E-3</v>
      </c>
      <c r="I157" s="156">
        <v>0</v>
      </c>
      <c r="J157" s="156">
        <v>0</v>
      </c>
      <c r="K157" s="157">
        <v>9.0387374460000003E-2</v>
      </c>
      <c r="L157" s="158">
        <v>0.4017216643</v>
      </c>
      <c r="M157" s="156">
        <v>0.4713055954</v>
      </c>
      <c r="N157" s="156">
        <v>9.8278335719999999E-2</v>
      </c>
      <c r="O157" s="156">
        <v>0</v>
      </c>
      <c r="P157" s="156">
        <v>0</v>
      </c>
      <c r="Q157" s="156">
        <v>0</v>
      </c>
      <c r="R157" s="159">
        <v>2.869440459E-2</v>
      </c>
      <c r="S157" s="155">
        <v>0.47787610619999998</v>
      </c>
      <c r="T157" s="156">
        <v>0.48820058999999999</v>
      </c>
      <c r="U157" s="156">
        <v>0</v>
      </c>
      <c r="V157" s="156">
        <v>0</v>
      </c>
      <c r="W157" s="156">
        <v>1.1061946899999999E-2</v>
      </c>
      <c r="X157" s="156">
        <v>0</v>
      </c>
      <c r="Y157" s="157">
        <v>2.286135693E-2</v>
      </c>
      <c r="Z157" s="158">
        <v>0.46460176990000002</v>
      </c>
      <c r="AA157" s="156">
        <v>0.48820058999999999</v>
      </c>
      <c r="AB157" s="156">
        <v>0</v>
      </c>
      <c r="AC157" s="156">
        <v>0</v>
      </c>
      <c r="AD157" s="156">
        <v>2.286135693E-2</v>
      </c>
      <c r="AE157" s="156">
        <v>0</v>
      </c>
      <c r="AF157" s="159">
        <v>2.4336283189999999E-2</v>
      </c>
      <c r="AG157" s="155">
        <v>0.3919117647</v>
      </c>
      <c r="AH157" s="156">
        <v>0</v>
      </c>
      <c r="AI157" s="156">
        <v>0</v>
      </c>
      <c r="AJ157" s="156">
        <v>8.0882352940000006E-3</v>
      </c>
      <c r="AK157" s="156">
        <v>0.30441176469999998</v>
      </c>
      <c r="AL157" s="156">
        <v>0.2301470588</v>
      </c>
      <c r="AM157" s="157">
        <v>6.5441176470000001E-2</v>
      </c>
      <c r="AN157" s="158">
        <v>0.41838235289999998</v>
      </c>
      <c r="AO157" s="156">
        <v>0</v>
      </c>
      <c r="AP157" s="156">
        <v>0</v>
      </c>
      <c r="AQ157" s="156">
        <v>0</v>
      </c>
      <c r="AR157" s="156">
        <v>0.28161764709999998</v>
      </c>
      <c r="AS157" s="156">
        <v>0.23602941180000001</v>
      </c>
      <c r="AT157" s="159">
        <v>6.3970588240000001E-2</v>
      </c>
    </row>
    <row r="158" spans="1:46" ht="12.75">
      <c r="A158" s="67" t="s">
        <v>15</v>
      </c>
      <c r="B158" s="67" t="s">
        <v>389</v>
      </c>
      <c r="C158" s="67" t="s">
        <v>397</v>
      </c>
      <c r="D158" s="67" t="s">
        <v>397</v>
      </c>
      <c r="E158" s="155">
        <v>0.29931034480000002</v>
      </c>
      <c r="F158" s="156">
        <v>0.3062068966</v>
      </c>
      <c r="G158" s="156">
        <v>0.2303448276</v>
      </c>
      <c r="H158" s="156">
        <v>5.5172413789999998E-3</v>
      </c>
      <c r="I158" s="156">
        <v>0</v>
      </c>
      <c r="J158" s="156">
        <v>0</v>
      </c>
      <c r="K158" s="157">
        <v>0.15862068970000001</v>
      </c>
      <c r="L158" s="158">
        <v>0.43586206900000002</v>
      </c>
      <c r="M158" s="156">
        <v>0.25793103449999999</v>
      </c>
      <c r="N158" s="156">
        <v>0.25241379310000001</v>
      </c>
      <c r="O158" s="156">
        <v>0</v>
      </c>
      <c r="P158" s="156">
        <v>0</v>
      </c>
      <c r="Q158" s="156">
        <v>0</v>
      </c>
      <c r="R158" s="159">
        <v>5.3793103449999997E-2</v>
      </c>
      <c r="S158" s="155">
        <v>0.39597315440000003</v>
      </c>
      <c r="T158" s="156">
        <v>0.53859060400000003</v>
      </c>
      <c r="U158" s="156">
        <v>0</v>
      </c>
      <c r="V158" s="156">
        <v>0</v>
      </c>
      <c r="W158" s="156">
        <v>1.3422818790000001E-2</v>
      </c>
      <c r="X158" s="156">
        <v>0</v>
      </c>
      <c r="Y158" s="157">
        <v>5.2013422820000002E-2</v>
      </c>
      <c r="Z158" s="158">
        <v>0.3791946309</v>
      </c>
      <c r="AA158" s="156">
        <v>0.56208053690000004</v>
      </c>
      <c r="AB158" s="156">
        <v>0</v>
      </c>
      <c r="AC158" s="156">
        <v>0</v>
      </c>
      <c r="AD158" s="156">
        <v>2.516778523E-2</v>
      </c>
      <c r="AE158" s="156">
        <v>0</v>
      </c>
      <c r="AF158" s="159">
        <v>3.3557046979999998E-2</v>
      </c>
      <c r="AG158" s="155">
        <v>0.2892156863</v>
      </c>
      <c r="AH158" s="156">
        <v>0</v>
      </c>
      <c r="AI158" s="156">
        <v>0</v>
      </c>
      <c r="AJ158" s="156">
        <v>1.14379085E-2</v>
      </c>
      <c r="AK158" s="156">
        <v>0.160130719</v>
      </c>
      <c r="AL158" s="156">
        <v>0.45261437910000002</v>
      </c>
      <c r="AM158" s="157">
        <v>8.6601307190000004E-2</v>
      </c>
      <c r="AN158" s="158">
        <v>0.29738562089999998</v>
      </c>
      <c r="AO158" s="156">
        <v>0</v>
      </c>
      <c r="AP158" s="156">
        <v>0</v>
      </c>
      <c r="AQ158" s="156">
        <v>0</v>
      </c>
      <c r="AR158" s="156">
        <v>0.15359477120000001</v>
      </c>
      <c r="AS158" s="156">
        <v>0.47712418299999998</v>
      </c>
      <c r="AT158" s="159">
        <v>7.189542484E-2</v>
      </c>
    </row>
    <row r="159" spans="1:46" ht="12.75">
      <c r="A159" s="67" t="s">
        <v>15</v>
      </c>
      <c r="B159" s="67" t="s">
        <v>389</v>
      </c>
      <c r="C159" s="67" t="s">
        <v>399</v>
      </c>
      <c r="D159" s="67" t="s">
        <v>399</v>
      </c>
      <c r="E159" s="155">
        <v>0.4187145558</v>
      </c>
      <c r="F159" s="156">
        <v>0.47674858219999999</v>
      </c>
      <c r="G159" s="156">
        <v>0.1011342155</v>
      </c>
      <c r="H159" s="156">
        <v>4.725897921E-3</v>
      </c>
      <c r="I159" s="156">
        <v>0</v>
      </c>
      <c r="J159" s="156">
        <v>0</v>
      </c>
      <c r="K159" s="157">
        <v>1.323251418E-3</v>
      </c>
      <c r="L159" s="158">
        <v>0.45619335350000001</v>
      </c>
      <c r="M159" s="156">
        <v>0.39350453169999999</v>
      </c>
      <c r="N159" s="156">
        <v>0.1030966767</v>
      </c>
      <c r="O159" s="156">
        <v>0</v>
      </c>
      <c r="P159" s="156">
        <v>0</v>
      </c>
      <c r="Q159" s="156">
        <v>0</v>
      </c>
      <c r="R159" s="159">
        <v>4.7205438070000001E-2</v>
      </c>
      <c r="S159" s="155">
        <v>0.61968680089999995</v>
      </c>
      <c r="T159" s="156">
        <v>0.3437055115</v>
      </c>
      <c r="U159" s="156">
        <v>0</v>
      </c>
      <c r="V159" s="156">
        <v>0</v>
      </c>
      <c r="W159" s="156">
        <v>1.0168802120000001E-2</v>
      </c>
      <c r="X159" s="156">
        <v>0</v>
      </c>
      <c r="Y159" s="157">
        <v>2.6438885499999999E-2</v>
      </c>
      <c r="Z159" s="158">
        <v>0.59914582059999999</v>
      </c>
      <c r="AA159" s="156">
        <v>0.35285743339999998</v>
      </c>
      <c r="AB159" s="156">
        <v>0</v>
      </c>
      <c r="AC159" s="156">
        <v>0</v>
      </c>
      <c r="AD159" s="156">
        <v>2.745576571E-2</v>
      </c>
      <c r="AE159" s="156">
        <v>0</v>
      </c>
      <c r="AF159" s="159">
        <v>2.0540980269999998E-2</v>
      </c>
      <c r="AG159" s="155">
        <v>0.42674491720000002</v>
      </c>
      <c r="AH159" s="156">
        <v>0</v>
      </c>
      <c r="AI159" s="156">
        <v>0</v>
      </c>
      <c r="AJ159" s="156">
        <v>1.00607839E-2</v>
      </c>
      <c r="AK159" s="156">
        <v>0.17501572000000001</v>
      </c>
      <c r="AL159" s="156">
        <v>0.32089708659999999</v>
      </c>
      <c r="AM159" s="157">
        <v>6.728149235E-2</v>
      </c>
      <c r="AN159" s="158">
        <v>0.44162649339999999</v>
      </c>
      <c r="AO159" s="156">
        <v>0</v>
      </c>
      <c r="AP159" s="156">
        <v>0</v>
      </c>
      <c r="AQ159" s="156">
        <v>0</v>
      </c>
      <c r="AR159" s="156">
        <v>0.16726053239999999</v>
      </c>
      <c r="AS159" s="156">
        <v>0.33452106479999999</v>
      </c>
      <c r="AT159" s="159">
        <v>5.6591909449999998E-2</v>
      </c>
    </row>
    <row r="160" spans="1:46" ht="12.75">
      <c r="A160" s="67" t="s">
        <v>15</v>
      </c>
      <c r="B160" s="67" t="s">
        <v>389</v>
      </c>
      <c r="C160" s="67" t="s">
        <v>401</v>
      </c>
      <c r="D160" s="67" t="s">
        <v>401</v>
      </c>
      <c r="E160" s="155">
        <v>0.38106796120000003</v>
      </c>
      <c r="F160" s="156">
        <v>0.48300970869999998</v>
      </c>
      <c r="G160" s="156">
        <v>9.3446601939999999E-2</v>
      </c>
      <c r="H160" s="156">
        <v>4.8543689320000001E-3</v>
      </c>
      <c r="I160" s="156">
        <v>0</v>
      </c>
      <c r="J160" s="156">
        <v>0</v>
      </c>
      <c r="K160" s="157">
        <v>3.7621359219999997E-2</v>
      </c>
      <c r="L160" s="158">
        <v>0.40169902909999999</v>
      </c>
      <c r="M160" s="156">
        <v>0.44296116499999999</v>
      </c>
      <c r="N160" s="156">
        <v>0.1128640777</v>
      </c>
      <c r="O160" s="156">
        <v>0</v>
      </c>
      <c r="P160" s="156">
        <v>0</v>
      </c>
      <c r="Q160" s="156">
        <v>0</v>
      </c>
      <c r="R160" s="159">
        <v>4.2475728159999997E-2</v>
      </c>
      <c r="S160" s="155">
        <v>0.60453400499999999</v>
      </c>
      <c r="T160" s="156">
        <v>0.35894206550000002</v>
      </c>
      <c r="U160" s="156">
        <v>0</v>
      </c>
      <c r="V160" s="156">
        <v>0</v>
      </c>
      <c r="W160" s="156">
        <v>1.0075566750000001E-2</v>
      </c>
      <c r="X160" s="156">
        <v>0</v>
      </c>
      <c r="Y160" s="157">
        <v>2.644836272E-2</v>
      </c>
      <c r="Z160" s="158">
        <v>0.58060453400000001</v>
      </c>
      <c r="AA160" s="156">
        <v>0.36775818640000002</v>
      </c>
      <c r="AB160" s="156">
        <v>0</v>
      </c>
      <c r="AC160" s="156">
        <v>0</v>
      </c>
      <c r="AD160" s="156">
        <v>3.0226700249999999E-2</v>
      </c>
      <c r="AE160" s="156">
        <v>0</v>
      </c>
      <c r="AF160" s="159">
        <v>2.141057935E-2</v>
      </c>
      <c r="AG160" s="155">
        <v>0.54479768790000005</v>
      </c>
      <c r="AH160" s="156">
        <v>0</v>
      </c>
      <c r="AI160" s="156">
        <v>0</v>
      </c>
      <c r="AJ160" s="156">
        <v>1.156069364E-2</v>
      </c>
      <c r="AK160" s="156">
        <v>0.10260115609999999</v>
      </c>
      <c r="AL160" s="156">
        <v>0.25722543349999999</v>
      </c>
      <c r="AM160" s="157">
        <v>8.3815028900000005E-2</v>
      </c>
      <c r="AN160" s="158">
        <v>0.55780346820000004</v>
      </c>
      <c r="AO160" s="156">
        <v>0</v>
      </c>
      <c r="AP160" s="156">
        <v>0</v>
      </c>
      <c r="AQ160" s="156">
        <v>0</v>
      </c>
      <c r="AR160" s="156">
        <v>9.3930635839999999E-2</v>
      </c>
      <c r="AS160" s="156">
        <v>0.26734104050000002</v>
      </c>
      <c r="AT160" s="159">
        <v>8.0924855490000003E-2</v>
      </c>
    </row>
    <row r="161" spans="1:46" ht="12.75">
      <c r="A161" s="67" t="s">
        <v>15</v>
      </c>
      <c r="B161" s="67" t="s">
        <v>389</v>
      </c>
      <c r="C161" s="67" t="s">
        <v>402</v>
      </c>
      <c r="D161" s="67" t="s">
        <v>402</v>
      </c>
      <c r="E161" s="155">
        <v>0.15334008099999999</v>
      </c>
      <c r="F161" s="156">
        <v>0.53744939270000003</v>
      </c>
      <c r="G161" s="156">
        <v>0.29453441299999999</v>
      </c>
      <c r="H161" s="156">
        <v>6.5789473680000002E-3</v>
      </c>
      <c r="I161" s="156">
        <v>0</v>
      </c>
      <c r="J161" s="156">
        <v>0</v>
      </c>
      <c r="K161" s="157">
        <v>8.0971659919999994E-3</v>
      </c>
      <c r="L161" s="158">
        <v>0.27969543149999998</v>
      </c>
      <c r="M161" s="156">
        <v>0.37157360410000001</v>
      </c>
      <c r="N161" s="156">
        <v>0.31573604059999999</v>
      </c>
      <c r="O161" s="156">
        <v>0</v>
      </c>
      <c r="P161" s="156">
        <v>0</v>
      </c>
      <c r="Q161" s="156">
        <v>0</v>
      </c>
      <c r="R161" s="159">
        <v>3.2994923859999997E-2</v>
      </c>
      <c r="S161" s="155">
        <v>0.4690217391</v>
      </c>
      <c r="T161" s="156">
        <v>0.51141304350000005</v>
      </c>
      <c r="U161" s="156">
        <v>0</v>
      </c>
      <c r="V161" s="156">
        <v>0</v>
      </c>
      <c r="W161" s="156">
        <v>4.8913043480000003E-3</v>
      </c>
      <c r="X161" s="156">
        <v>0</v>
      </c>
      <c r="Y161" s="157">
        <v>1.467391304E-2</v>
      </c>
      <c r="Z161" s="158">
        <v>0.4880434783</v>
      </c>
      <c r="AA161" s="156">
        <v>0.49021739130000003</v>
      </c>
      <c r="AB161" s="156">
        <v>0</v>
      </c>
      <c r="AC161" s="156">
        <v>0</v>
      </c>
      <c r="AD161" s="156">
        <v>1.032608696E-2</v>
      </c>
      <c r="AE161" s="156">
        <v>0</v>
      </c>
      <c r="AF161" s="159">
        <v>1.1413043479999999E-2</v>
      </c>
      <c r="AG161" s="155">
        <v>0.166868932</v>
      </c>
      <c r="AH161" s="156">
        <v>0</v>
      </c>
      <c r="AI161" s="156">
        <v>0</v>
      </c>
      <c r="AJ161" s="156">
        <v>9.1019417479999993E-3</v>
      </c>
      <c r="AK161" s="156">
        <v>0.28762135919999998</v>
      </c>
      <c r="AL161" s="156">
        <v>0.44963592229999999</v>
      </c>
      <c r="AM161" s="157">
        <v>8.677184466E-2</v>
      </c>
      <c r="AN161" s="158">
        <v>0.1783980583</v>
      </c>
      <c r="AO161" s="156">
        <v>0</v>
      </c>
      <c r="AP161" s="156">
        <v>0</v>
      </c>
      <c r="AQ161" s="156">
        <v>0</v>
      </c>
      <c r="AR161" s="156">
        <v>0.26274271840000002</v>
      </c>
      <c r="AS161" s="156">
        <v>0.45388349509999998</v>
      </c>
      <c r="AT161" s="159">
        <v>0.10497572820000001</v>
      </c>
    </row>
    <row r="162" spans="1:46" ht="12.75">
      <c r="A162" s="67" t="s">
        <v>15</v>
      </c>
      <c r="B162" s="67" t="s">
        <v>389</v>
      </c>
      <c r="C162" s="67" t="s">
        <v>404</v>
      </c>
      <c r="D162" s="67" t="s">
        <v>404</v>
      </c>
      <c r="E162" s="155">
        <v>0.1995685005</v>
      </c>
      <c r="F162" s="156">
        <v>0.56310679610000003</v>
      </c>
      <c r="G162" s="156">
        <v>8.9536138079999994E-2</v>
      </c>
      <c r="H162" s="156">
        <v>1.078748652E-3</v>
      </c>
      <c r="I162" s="156">
        <v>0</v>
      </c>
      <c r="J162" s="156">
        <v>0</v>
      </c>
      <c r="K162" s="157">
        <v>0.14670981659999999</v>
      </c>
      <c r="L162" s="160" t="e">
        <v>#DIV/0!</v>
      </c>
      <c r="M162" s="161" t="e">
        <v>#DIV/0!</v>
      </c>
      <c r="N162" s="161" t="e">
        <v>#DIV/0!</v>
      </c>
      <c r="O162" s="161" t="e">
        <v>#DIV/0!</v>
      </c>
      <c r="P162" s="161" t="e">
        <v>#DIV/0!</v>
      </c>
      <c r="Q162" s="161" t="e">
        <v>#DIV/0!</v>
      </c>
      <c r="R162" s="162" t="e">
        <v>#DIV/0!</v>
      </c>
      <c r="S162" s="155">
        <v>0.63766519820000001</v>
      </c>
      <c r="T162" s="156">
        <v>0.32488986780000001</v>
      </c>
      <c r="U162" s="156">
        <v>0</v>
      </c>
      <c r="V162" s="156">
        <v>0</v>
      </c>
      <c r="W162" s="156">
        <v>8.8105726869999994E-3</v>
      </c>
      <c r="X162" s="156">
        <v>0</v>
      </c>
      <c r="Y162" s="157">
        <v>2.8634361229999999E-2</v>
      </c>
      <c r="Z162" s="158">
        <v>0.61123348020000001</v>
      </c>
      <c r="AA162" s="156">
        <v>0.33590308369999999</v>
      </c>
      <c r="AB162" s="156">
        <v>0</v>
      </c>
      <c r="AC162" s="156">
        <v>0</v>
      </c>
      <c r="AD162" s="156">
        <v>3.1938325990000002E-2</v>
      </c>
      <c r="AE162" s="156">
        <v>0</v>
      </c>
      <c r="AF162" s="159">
        <v>2.0925110130000001E-2</v>
      </c>
      <c r="AG162" s="155">
        <v>0.36178343950000003</v>
      </c>
      <c r="AH162" s="156">
        <v>0</v>
      </c>
      <c r="AI162" s="156">
        <v>0</v>
      </c>
      <c r="AJ162" s="156">
        <v>1.6560509550000001E-2</v>
      </c>
      <c r="AK162" s="156">
        <v>0.16560509549999999</v>
      </c>
      <c r="AL162" s="156">
        <v>0.37834394900000001</v>
      </c>
      <c r="AM162" s="157">
        <v>7.7707006369999998E-2</v>
      </c>
      <c r="AN162" s="158">
        <v>0.38343949040000003</v>
      </c>
      <c r="AO162" s="156">
        <v>0</v>
      </c>
      <c r="AP162" s="156">
        <v>0</v>
      </c>
      <c r="AQ162" s="156">
        <v>0</v>
      </c>
      <c r="AR162" s="156">
        <v>0.1681528662</v>
      </c>
      <c r="AS162" s="156">
        <v>0.37707006370000001</v>
      </c>
      <c r="AT162" s="159">
        <v>7.1337579619999994E-2</v>
      </c>
    </row>
    <row r="163" spans="1:46" ht="12.75">
      <c r="A163" s="67" t="s">
        <v>15</v>
      </c>
      <c r="B163" s="67" t="s">
        <v>389</v>
      </c>
      <c r="C163" s="67" t="s">
        <v>404</v>
      </c>
      <c r="D163" s="67" t="s">
        <v>406</v>
      </c>
      <c r="E163" s="155">
        <v>0.2258823529</v>
      </c>
      <c r="F163" s="156">
        <v>0.48941176469999997</v>
      </c>
      <c r="G163" s="156">
        <v>0.04</v>
      </c>
      <c r="H163" s="156">
        <v>2.3529411760000001E-3</v>
      </c>
      <c r="I163" s="156">
        <v>0</v>
      </c>
      <c r="J163" s="156">
        <v>0</v>
      </c>
      <c r="K163" s="157">
        <v>0.2423529412</v>
      </c>
      <c r="L163" s="158">
        <v>0.32588235290000001</v>
      </c>
      <c r="M163" s="156">
        <v>0.58588235290000001</v>
      </c>
      <c r="N163" s="156">
        <v>4.5882352940000003E-2</v>
      </c>
      <c r="O163" s="156">
        <v>0</v>
      </c>
      <c r="P163" s="156">
        <v>0</v>
      </c>
      <c r="Q163" s="156">
        <v>0</v>
      </c>
      <c r="R163" s="159">
        <v>4.2352941179999999E-2</v>
      </c>
      <c r="S163" s="155">
        <v>0.32506527419999998</v>
      </c>
      <c r="T163" s="156">
        <v>0.63315926889999996</v>
      </c>
      <c r="U163" s="156">
        <v>0</v>
      </c>
      <c r="V163" s="156">
        <v>0</v>
      </c>
      <c r="W163" s="156">
        <v>2.6109660569999999E-3</v>
      </c>
      <c r="X163" s="156">
        <v>0</v>
      </c>
      <c r="Y163" s="157">
        <v>3.9164490859999998E-2</v>
      </c>
      <c r="Z163" s="158">
        <v>0.32506527419999998</v>
      </c>
      <c r="AA163" s="156">
        <v>0.62924281979999996</v>
      </c>
      <c r="AB163" s="156">
        <v>0</v>
      </c>
      <c r="AC163" s="156">
        <v>0</v>
      </c>
      <c r="AD163" s="156">
        <v>1.6971279370000002E-2</v>
      </c>
      <c r="AE163" s="156">
        <v>0</v>
      </c>
      <c r="AF163" s="159">
        <v>2.8720626629999999E-2</v>
      </c>
      <c r="AG163" s="155">
        <v>0.21857923500000001</v>
      </c>
      <c r="AH163" s="156">
        <v>0</v>
      </c>
      <c r="AI163" s="156">
        <v>0</v>
      </c>
      <c r="AJ163" s="156">
        <v>4.0983606559999997E-3</v>
      </c>
      <c r="AK163" s="156">
        <v>0.5204918033</v>
      </c>
      <c r="AL163" s="156">
        <v>0.22131147540000001</v>
      </c>
      <c r="AM163" s="157">
        <v>3.5519125679999999E-2</v>
      </c>
      <c r="AN163" s="158">
        <v>0.27459016390000002</v>
      </c>
      <c r="AO163" s="156">
        <v>0</v>
      </c>
      <c r="AP163" s="156">
        <v>0</v>
      </c>
      <c r="AQ163" s="156">
        <v>0</v>
      </c>
      <c r="AR163" s="156">
        <v>0.46857923499999998</v>
      </c>
      <c r="AS163" s="156">
        <v>0.2131147541</v>
      </c>
      <c r="AT163" s="159">
        <v>4.3715846990000001E-2</v>
      </c>
    </row>
    <row r="164" spans="1:46" ht="12.75">
      <c r="A164" s="67" t="s">
        <v>15</v>
      </c>
      <c r="B164" s="67" t="s">
        <v>389</v>
      </c>
      <c r="C164" s="67" t="s">
        <v>407</v>
      </c>
      <c r="D164" s="67" t="s">
        <v>407</v>
      </c>
      <c r="E164" s="155">
        <v>0.18599311139999999</v>
      </c>
      <c r="F164" s="156">
        <v>0.23765786450000001</v>
      </c>
      <c r="G164" s="156">
        <v>0.2411021814</v>
      </c>
      <c r="H164" s="156">
        <v>1.1481056260000001E-3</v>
      </c>
      <c r="I164" s="156">
        <v>0</v>
      </c>
      <c r="J164" s="156">
        <v>0</v>
      </c>
      <c r="K164" s="157">
        <v>0.33409873709999999</v>
      </c>
      <c r="L164" s="158">
        <v>0.32988505750000002</v>
      </c>
      <c r="M164" s="156">
        <v>0.3954022989</v>
      </c>
      <c r="N164" s="156">
        <v>0.24712643679999999</v>
      </c>
      <c r="O164" s="156">
        <v>0</v>
      </c>
      <c r="P164" s="156">
        <v>0</v>
      </c>
      <c r="Q164" s="156">
        <v>0</v>
      </c>
      <c r="R164" s="159">
        <v>2.75862069E-2</v>
      </c>
      <c r="S164" s="155">
        <v>0.47680690399999998</v>
      </c>
      <c r="T164" s="156">
        <v>0.49838187699999997</v>
      </c>
      <c r="U164" s="156">
        <v>0</v>
      </c>
      <c r="V164" s="156">
        <v>0</v>
      </c>
      <c r="W164" s="156">
        <v>9.7087378640000003E-3</v>
      </c>
      <c r="X164" s="156">
        <v>0</v>
      </c>
      <c r="Y164" s="157">
        <v>1.510248112E-2</v>
      </c>
      <c r="Z164" s="158">
        <v>0.43473570659999999</v>
      </c>
      <c r="AA164" s="156">
        <v>0.52211434739999996</v>
      </c>
      <c r="AB164" s="156">
        <v>0</v>
      </c>
      <c r="AC164" s="156">
        <v>0</v>
      </c>
      <c r="AD164" s="156">
        <v>2.9126213589999998E-2</v>
      </c>
      <c r="AE164" s="156">
        <v>0</v>
      </c>
      <c r="AF164" s="159">
        <v>1.402373247E-2</v>
      </c>
      <c r="AG164" s="155">
        <v>0.25792349730000003</v>
      </c>
      <c r="AH164" s="156">
        <v>0</v>
      </c>
      <c r="AI164" s="156">
        <v>0</v>
      </c>
      <c r="AJ164" s="156">
        <v>8.743169399E-3</v>
      </c>
      <c r="AK164" s="156">
        <v>0.28743169400000002</v>
      </c>
      <c r="AL164" s="156">
        <v>0.38579234969999998</v>
      </c>
      <c r="AM164" s="157">
        <v>6.0109289619999999E-2</v>
      </c>
      <c r="AN164" s="158">
        <v>0.25877192980000002</v>
      </c>
      <c r="AO164" s="156">
        <v>0</v>
      </c>
      <c r="AP164" s="156">
        <v>0</v>
      </c>
      <c r="AQ164" s="156">
        <v>0</v>
      </c>
      <c r="AR164" s="156">
        <v>0.27960526320000001</v>
      </c>
      <c r="AS164" s="156">
        <v>0.39473684209999998</v>
      </c>
      <c r="AT164" s="159">
        <v>6.6885964909999998E-2</v>
      </c>
    </row>
    <row r="165" spans="1:46" ht="12.75">
      <c r="A165" s="67" t="s">
        <v>15</v>
      </c>
      <c r="B165" s="67" t="s">
        <v>389</v>
      </c>
      <c r="C165" s="67" t="s">
        <v>409</v>
      </c>
      <c r="D165" s="67" t="s">
        <v>409</v>
      </c>
      <c r="E165" s="155">
        <v>0.44820295980000002</v>
      </c>
      <c r="F165" s="156">
        <v>0.49365750530000002</v>
      </c>
      <c r="G165" s="156">
        <v>8.4355179700000005E-2</v>
      </c>
      <c r="H165" s="156">
        <v>1.0570824519999999E-2</v>
      </c>
      <c r="I165" s="156">
        <v>0</v>
      </c>
      <c r="J165" s="156">
        <v>0</v>
      </c>
      <c r="K165" s="157">
        <v>3.6786469340000003E-2</v>
      </c>
      <c r="L165" s="158">
        <v>0.39556025369999998</v>
      </c>
      <c r="M165" s="156">
        <v>0.48097251590000001</v>
      </c>
      <c r="N165" s="156">
        <v>9.2177589850000005E-2</v>
      </c>
      <c r="O165" s="156">
        <v>0</v>
      </c>
      <c r="P165" s="156">
        <v>0</v>
      </c>
      <c r="Q165" s="156">
        <v>0</v>
      </c>
      <c r="R165" s="159">
        <v>3.1289640590000001E-2</v>
      </c>
      <c r="S165" s="155">
        <v>0.50721937589999999</v>
      </c>
      <c r="T165" s="156">
        <v>0.44969725199999999</v>
      </c>
      <c r="U165" s="156">
        <v>0</v>
      </c>
      <c r="V165" s="156">
        <v>0</v>
      </c>
      <c r="W165" s="156">
        <v>1.071262226E-2</v>
      </c>
      <c r="X165" s="156">
        <v>0</v>
      </c>
      <c r="Y165" s="157">
        <v>3.2370749880000001E-2</v>
      </c>
      <c r="Z165" s="158">
        <v>0.48812296230000002</v>
      </c>
      <c r="AA165" s="156">
        <v>0.45645086169999999</v>
      </c>
      <c r="AB165" s="156">
        <v>0</v>
      </c>
      <c r="AC165" s="156">
        <v>0</v>
      </c>
      <c r="AD165" s="156">
        <v>2.7480204939999999E-2</v>
      </c>
      <c r="AE165" s="156">
        <v>0</v>
      </c>
      <c r="AF165" s="159">
        <v>2.794597112E-2</v>
      </c>
      <c r="AG165" s="155">
        <v>0.34163591640000002</v>
      </c>
      <c r="AH165" s="156">
        <v>0</v>
      </c>
      <c r="AI165" s="156">
        <v>0</v>
      </c>
      <c r="AJ165" s="156">
        <v>9.8400984010000008E-3</v>
      </c>
      <c r="AK165" s="156">
        <v>0.38007380070000002</v>
      </c>
      <c r="AL165" s="156">
        <v>0.19587945879999999</v>
      </c>
      <c r="AM165" s="157">
        <v>7.2570725710000006E-2</v>
      </c>
      <c r="AN165" s="158">
        <v>0.35270602709999999</v>
      </c>
      <c r="AO165" s="156">
        <v>0</v>
      </c>
      <c r="AP165" s="156">
        <v>0</v>
      </c>
      <c r="AQ165" s="156">
        <v>0</v>
      </c>
      <c r="AR165" s="156">
        <v>0.39298892990000001</v>
      </c>
      <c r="AS165" s="156">
        <v>0.1989544895</v>
      </c>
      <c r="AT165" s="159">
        <v>5.5350553509999997E-2</v>
      </c>
    </row>
    <row r="166" spans="1:46" ht="12.75">
      <c r="A166" s="67" t="s">
        <v>15</v>
      </c>
      <c r="B166" s="67" t="s">
        <v>389</v>
      </c>
      <c r="C166" s="67" t="s">
        <v>411</v>
      </c>
      <c r="D166" s="67" t="s">
        <v>411</v>
      </c>
      <c r="E166" s="155">
        <v>0.48538754760000002</v>
      </c>
      <c r="F166" s="156">
        <v>0.4129606099</v>
      </c>
      <c r="G166" s="156">
        <v>0.28166031339999997</v>
      </c>
      <c r="H166" s="156">
        <v>5.0825921219999999E-3</v>
      </c>
      <c r="I166" s="156">
        <v>0</v>
      </c>
      <c r="J166" s="156">
        <v>0</v>
      </c>
      <c r="K166" s="157">
        <v>0.18509106310000001</v>
      </c>
      <c r="L166" s="158">
        <v>0.3252858958</v>
      </c>
      <c r="M166" s="156">
        <v>0.31088521810000003</v>
      </c>
      <c r="N166" s="156">
        <v>0.32274459970000002</v>
      </c>
      <c r="O166" s="156">
        <v>0</v>
      </c>
      <c r="P166" s="156">
        <v>0</v>
      </c>
      <c r="Q166" s="156">
        <v>0</v>
      </c>
      <c r="R166" s="159">
        <v>4.1084286320000003E-2</v>
      </c>
      <c r="S166" s="155">
        <v>0.4797608096</v>
      </c>
      <c r="T166" s="156">
        <v>0.48252069920000001</v>
      </c>
      <c r="U166" s="156">
        <v>0</v>
      </c>
      <c r="V166" s="156">
        <v>0</v>
      </c>
      <c r="W166" s="156">
        <v>8.2796688129999994E-3</v>
      </c>
      <c r="X166" s="156">
        <v>0</v>
      </c>
      <c r="Y166" s="157">
        <v>2.9438822449999999E-2</v>
      </c>
      <c r="Z166" s="158">
        <v>0.46090156389999998</v>
      </c>
      <c r="AA166" s="156">
        <v>0.49540018400000002</v>
      </c>
      <c r="AB166" s="156">
        <v>0</v>
      </c>
      <c r="AC166" s="156">
        <v>0</v>
      </c>
      <c r="AD166" s="156">
        <v>1.9779208829999999E-2</v>
      </c>
      <c r="AE166" s="156">
        <v>0</v>
      </c>
      <c r="AF166" s="159">
        <v>2.391904324E-2</v>
      </c>
      <c r="AG166" s="155">
        <v>0.16815406290000001</v>
      </c>
      <c r="AH166" s="156">
        <v>0</v>
      </c>
      <c r="AI166" s="156">
        <v>0</v>
      </c>
      <c r="AJ166" s="156">
        <v>4.6970408640000004E-3</v>
      </c>
      <c r="AK166" s="156">
        <v>0.25551902300000001</v>
      </c>
      <c r="AL166" s="156">
        <v>0.51197745419999996</v>
      </c>
      <c r="AM166" s="157">
        <v>5.9652418979999997E-2</v>
      </c>
      <c r="AN166" s="158">
        <v>0.18083607330000001</v>
      </c>
      <c r="AO166" s="156">
        <v>0</v>
      </c>
      <c r="AP166" s="156">
        <v>0</v>
      </c>
      <c r="AQ166" s="156">
        <v>0</v>
      </c>
      <c r="AR166" s="156">
        <v>0.2423673086</v>
      </c>
      <c r="AS166" s="156">
        <v>0.52841709719999996</v>
      </c>
      <c r="AT166" s="159">
        <v>4.83795209E-2</v>
      </c>
    </row>
    <row r="167" spans="1:46" ht="12.75">
      <c r="A167" s="67" t="s">
        <v>15</v>
      </c>
      <c r="B167" s="67" t="s">
        <v>389</v>
      </c>
      <c r="C167" s="67" t="s">
        <v>413</v>
      </c>
      <c r="D167" s="67" t="s">
        <v>413</v>
      </c>
      <c r="E167" s="155">
        <v>0.18213866040000001</v>
      </c>
      <c r="F167" s="156">
        <v>0.50235017630000001</v>
      </c>
      <c r="G167" s="156">
        <v>0.33607520559999998</v>
      </c>
      <c r="H167" s="156">
        <v>7.0505287899999998E-3</v>
      </c>
      <c r="I167" s="156">
        <v>0</v>
      </c>
      <c r="J167" s="156">
        <v>0</v>
      </c>
      <c r="K167" s="157">
        <v>2.7614571090000001E-2</v>
      </c>
      <c r="L167" s="158">
        <v>0.2297297297</v>
      </c>
      <c r="M167" s="156">
        <v>0.37367802589999999</v>
      </c>
      <c r="N167" s="156">
        <v>0.36545240890000003</v>
      </c>
      <c r="O167" s="156">
        <v>0</v>
      </c>
      <c r="P167" s="156">
        <v>0</v>
      </c>
      <c r="Q167" s="156">
        <v>0</v>
      </c>
      <c r="R167" s="159">
        <v>3.113983549E-2</v>
      </c>
      <c r="S167" s="155">
        <v>0.34883720930000001</v>
      </c>
      <c r="T167" s="156">
        <v>0.61627906980000002</v>
      </c>
      <c r="U167" s="156">
        <v>0</v>
      </c>
      <c r="V167" s="156">
        <v>0</v>
      </c>
      <c r="W167" s="156">
        <v>1.033591731E-2</v>
      </c>
      <c r="X167" s="156">
        <v>0</v>
      </c>
      <c r="Y167" s="157">
        <v>2.4547803619999999E-2</v>
      </c>
      <c r="Z167" s="158">
        <v>0.3397932817</v>
      </c>
      <c r="AA167" s="156">
        <v>0.62532299739999997</v>
      </c>
      <c r="AB167" s="156">
        <v>0</v>
      </c>
      <c r="AC167" s="156">
        <v>0</v>
      </c>
      <c r="AD167" s="156">
        <v>1.61498708E-2</v>
      </c>
      <c r="AE167" s="156">
        <v>0</v>
      </c>
      <c r="AF167" s="159">
        <v>1.873385013E-2</v>
      </c>
      <c r="AG167" s="155">
        <v>5.0615595079999999E-2</v>
      </c>
      <c r="AH167" s="156">
        <v>0</v>
      </c>
      <c r="AI167" s="156">
        <v>0</v>
      </c>
      <c r="AJ167" s="156">
        <v>2.735978112E-3</v>
      </c>
      <c r="AK167" s="156">
        <v>0.3201094391</v>
      </c>
      <c r="AL167" s="156">
        <v>0.55540355679999998</v>
      </c>
      <c r="AM167" s="157">
        <v>7.1135430920000006E-2</v>
      </c>
      <c r="AN167" s="158">
        <v>5.1299589600000001E-2</v>
      </c>
      <c r="AO167" s="156">
        <v>0</v>
      </c>
      <c r="AP167" s="156">
        <v>0</v>
      </c>
      <c r="AQ167" s="156">
        <v>0</v>
      </c>
      <c r="AR167" s="156">
        <v>0.31668946650000002</v>
      </c>
      <c r="AS167" s="156">
        <v>0.56976744189999995</v>
      </c>
      <c r="AT167" s="159">
        <v>6.2243502050000003E-2</v>
      </c>
    </row>
    <row r="168" spans="1:46" ht="12.75">
      <c r="A168" s="67" t="s">
        <v>15</v>
      </c>
      <c r="B168" s="67" t="s">
        <v>389</v>
      </c>
      <c r="C168" s="67" t="s">
        <v>415</v>
      </c>
      <c r="D168" s="67" t="s">
        <v>415</v>
      </c>
      <c r="E168" s="155">
        <v>0.18937025460000001</v>
      </c>
      <c r="F168" s="156">
        <v>0.83564091110000005</v>
      </c>
      <c r="G168" s="156">
        <v>0.151853506</v>
      </c>
      <c r="H168" s="156">
        <v>4.4662795889999999E-3</v>
      </c>
      <c r="I168" s="156">
        <v>0</v>
      </c>
      <c r="J168" s="156">
        <v>0</v>
      </c>
      <c r="K168" s="157">
        <v>0.18133095129999999</v>
      </c>
      <c r="L168" s="158">
        <v>0.51719517640000001</v>
      </c>
      <c r="M168" s="156">
        <v>0.29700759269999999</v>
      </c>
      <c r="N168" s="156">
        <v>0.16078606519999999</v>
      </c>
      <c r="O168" s="156">
        <v>0</v>
      </c>
      <c r="P168" s="156">
        <v>0</v>
      </c>
      <c r="Q168" s="156">
        <v>0</v>
      </c>
      <c r="R168" s="159">
        <v>2.5011165700000001E-2</v>
      </c>
      <c r="S168" s="155">
        <v>0.5750766088</v>
      </c>
      <c r="T168" s="156">
        <v>0.37538304389999999</v>
      </c>
      <c r="U168" s="156">
        <v>0</v>
      </c>
      <c r="V168" s="156">
        <v>0</v>
      </c>
      <c r="W168" s="156">
        <v>1.327885598E-2</v>
      </c>
      <c r="X168" s="156">
        <v>0</v>
      </c>
      <c r="Y168" s="157">
        <v>3.6261491319999999E-2</v>
      </c>
      <c r="Z168" s="158">
        <v>0.56026557710000002</v>
      </c>
      <c r="AA168" s="156">
        <v>0.38151174669999999</v>
      </c>
      <c r="AB168" s="156">
        <v>0</v>
      </c>
      <c r="AC168" s="156">
        <v>0</v>
      </c>
      <c r="AD168" s="156">
        <v>2.4004085800000002E-2</v>
      </c>
      <c r="AE168" s="156">
        <v>0</v>
      </c>
      <c r="AF168" s="159">
        <v>3.4218590399999999E-2</v>
      </c>
      <c r="AG168" s="155">
        <v>0.3581283743</v>
      </c>
      <c r="AH168" s="156">
        <v>0</v>
      </c>
      <c r="AI168" s="156">
        <v>0</v>
      </c>
      <c r="AJ168" s="156">
        <v>7.7984403119999999E-3</v>
      </c>
      <c r="AK168" s="156">
        <v>0.13257348529999999</v>
      </c>
      <c r="AL168" s="156">
        <v>0.42051589680000001</v>
      </c>
      <c r="AM168" s="157">
        <v>8.0983803239999999E-2</v>
      </c>
      <c r="AN168" s="158">
        <v>0.3617276545</v>
      </c>
      <c r="AO168" s="156">
        <v>0</v>
      </c>
      <c r="AP168" s="156">
        <v>0</v>
      </c>
      <c r="AQ168" s="156">
        <v>0</v>
      </c>
      <c r="AR168" s="156">
        <v>0.13137372529999999</v>
      </c>
      <c r="AS168" s="156">
        <v>0.43431313739999999</v>
      </c>
      <c r="AT168" s="159">
        <v>7.2585482899999998E-2</v>
      </c>
    </row>
    <row r="169" spans="1:46" ht="12.75">
      <c r="A169" s="67" t="s">
        <v>15</v>
      </c>
      <c r="B169" s="67" t="s">
        <v>389</v>
      </c>
      <c r="C169" s="67" t="s">
        <v>417</v>
      </c>
      <c r="D169" s="67" t="s">
        <v>417</v>
      </c>
      <c r="E169" s="155">
        <v>0.47335811649999998</v>
      </c>
      <c r="F169" s="156">
        <v>0.2118959108</v>
      </c>
      <c r="G169" s="156">
        <v>2.230483271E-2</v>
      </c>
      <c r="H169" s="156">
        <v>2.4783147460000002E-3</v>
      </c>
      <c r="I169" s="156">
        <v>0</v>
      </c>
      <c r="J169" s="156">
        <v>0</v>
      </c>
      <c r="K169" s="157">
        <v>0.2899628253</v>
      </c>
      <c r="L169" s="158">
        <v>0.52044609669999997</v>
      </c>
      <c r="M169" s="156">
        <v>0.40644361829999998</v>
      </c>
      <c r="N169" s="156">
        <v>3.345724907E-2</v>
      </c>
      <c r="O169" s="156">
        <v>0</v>
      </c>
      <c r="P169" s="156">
        <v>0</v>
      </c>
      <c r="Q169" s="156">
        <v>0</v>
      </c>
      <c r="R169" s="159">
        <v>3.9653035939999998E-2</v>
      </c>
      <c r="S169" s="155">
        <v>0.67068273089999997</v>
      </c>
      <c r="T169" s="156">
        <v>0.29585006689999999</v>
      </c>
      <c r="U169" s="156">
        <v>0</v>
      </c>
      <c r="V169" s="156">
        <v>0</v>
      </c>
      <c r="W169" s="156">
        <v>6.6934404280000002E-3</v>
      </c>
      <c r="X169" s="156">
        <v>0</v>
      </c>
      <c r="Y169" s="157">
        <v>2.677376171E-2</v>
      </c>
      <c r="Z169" s="158">
        <v>0.64658634540000004</v>
      </c>
      <c r="AA169" s="156">
        <v>0.30655957160000002</v>
      </c>
      <c r="AB169" s="156">
        <v>0</v>
      </c>
      <c r="AC169" s="156">
        <v>0</v>
      </c>
      <c r="AD169" s="156">
        <v>2.677376171E-2</v>
      </c>
      <c r="AE169" s="156">
        <v>0</v>
      </c>
      <c r="AF169" s="159">
        <v>2.0080321290000001E-2</v>
      </c>
      <c r="AG169" s="155">
        <v>0.51588502270000003</v>
      </c>
      <c r="AH169" s="156">
        <v>0</v>
      </c>
      <c r="AI169" s="156">
        <v>0</v>
      </c>
      <c r="AJ169" s="156">
        <v>1.966717095E-2</v>
      </c>
      <c r="AK169" s="156">
        <v>0.19667170950000001</v>
      </c>
      <c r="AL169" s="156">
        <v>0.20121028739999999</v>
      </c>
      <c r="AM169" s="157">
        <v>6.6565809379999993E-2</v>
      </c>
      <c r="AN169" s="158">
        <v>0.52352048559999997</v>
      </c>
      <c r="AO169" s="156">
        <v>0</v>
      </c>
      <c r="AP169" s="156">
        <v>0</v>
      </c>
      <c r="AQ169" s="156">
        <v>0</v>
      </c>
      <c r="AR169" s="156">
        <v>0.20333839149999999</v>
      </c>
      <c r="AS169" s="156">
        <v>0.2048558422</v>
      </c>
      <c r="AT169" s="159">
        <v>6.8285280729999995E-2</v>
      </c>
    </row>
    <row r="170" spans="1:46" ht="12.75">
      <c r="A170" s="67" t="s">
        <v>15</v>
      </c>
      <c r="B170" s="67" t="s">
        <v>389</v>
      </c>
      <c r="C170" s="67" t="s">
        <v>419</v>
      </c>
      <c r="D170" s="67" t="s">
        <v>419</v>
      </c>
      <c r="E170" s="155">
        <v>0.36771447280000003</v>
      </c>
      <c r="F170" s="156">
        <v>0.4037328094</v>
      </c>
      <c r="G170" s="156">
        <v>0.17059593980000001</v>
      </c>
      <c r="H170" s="156">
        <v>5.5664702030000001E-3</v>
      </c>
      <c r="I170" s="156">
        <v>0</v>
      </c>
      <c r="J170" s="156">
        <v>0</v>
      </c>
      <c r="K170" s="157">
        <v>5.239030779E-2</v>
      </c>
      <c r="L170" s="158">
        <v>0.42174197769999999</v>
      </c>
      <c r="M170" s="156">
        <v>0.35494433530000002</v>
      </c>
      <c r="N170" s="156">
        <v>0.2013752456</v>
      </c>
      <c r="O170" s="156">
        <v>0</v>
      </c>
      <c r="P170" s="156">
        <v>0</v>
      </c>
      <c r="Q170" s="156">
        <v>0</v>
      </c>
      <c r="R170" s="159">
        <v>2.1938441390000001E-2</v>
      </c>
      <c r="S170" s="155">
        <v>0.55658693319999997</v>
      </c>
      <c r="T170" s="156">
        <v>0.41235273119999999</v>
      </c>
      <c r="U170" s="156">
        <v>0</v>
      </c>
      <c r="V170" s="156">
        <v>0</v>
      </c>
      <c r="W170" s="156">
        <v>1.2852552660000001E-2</v>
      </c>
      <c r="X170" s="156">
        <v>0</v>
      </c>
      <c r="Y170" s="157">
        <v>1.8207782929999999E-2</v>
      </c>
      <c r="Z170" s="158">
        <v>0.5519457337</v>
      </c>
      <c r="AA170" s="156">
        <v>0.4102106391</v>
      </c>
      <c r="AB170" s="156">
        <v>0</v>
      </c>
      <c r="AC170" s="156">
        <v>0</v>
      </c>
      <c r="AD170" s="156">
        <v>1.4994644769999999E-2</v>
      </c>
      <c r="AE170" s="156">
        <v>0</v>
      </c>
      <c r="AF170" s="159">
        <v>2.2848982510000001E-2</v>
      </c>
      <c r="AG170" s="155">
        <v>0.30641985030000002</v>
      </c>
      <c r="AH170" s="156">
        <v>0</v>
      </c>
      <c r="AI170" s="156">
        <v>0</v>
      </c>
      <c r="AJ170" s="156">
        <v>9.45254037E-3</v>
      </c>
      <c r="AK170" s="156">
        <v>0.28160693190000002</v>
      </c>
      <c r="AL170" s="156">
        <v>0.35565183140000001</v>
      </c>
      <c r="AM170" s="157">
        <v>4.6868845999999999E-2</v>
      </c>
      <c r="AN170" s="158">
        <v>0.3190232375</v>
      </c>
      <c r="AO170" s="156">
        <v>0</v>
      </c>
      <c r="AP170" s="156">
        <v>0</v>
      </c>
      <c r="AQ170" s="156">
        <v>0</v>
      </c>
      <c r="AR170" s="156">
        <v>0.27688066169999997</v>
      </c>
      <c r="AS170" s="156">
        <v>0.35604568730000002</v>
      </c>
      <c r="AT170" s="159">
        <v>4.8050413549999997E-2</v>
      </c>
    </row>
    <row r="171" spans="1:46" ht="12.75">
      <c r="A171" s="67" t="s">
        <v>15</v>
      </c>
      <c r="B171" s="67" t="s">
        <v>389</v>
      </c>
      <c r="C171" s="67" t="s">
        <v>421</v>
      </c>
      <c r="D171" s="67" t="s">
        <v>421</v>
      </c>
      <c r="E171" s="155">
        <v>0.30427963250000001</v>
      </c>
      <c r="F171" s="156">
        <v>0.33004705359999997</v>
      </c>
      <c r="G171" s="156">
        <v>0.2413174994</v>
      </c>
      <c r="H171" s="156">
        <v>2.9128388979999999E-3</v>
      </c>
      <c r="I171" s="156">
        <v>0</v>
      </c>
      <c r="J171" s="156">
        <v>0</v>
      </c>
      <c r="K171" s="157">
        <v>0.1214429756</v>
      </c>
      <c r="L171" s="158">
        <v>0.3943062094</v>
      </c>
      <c r="M171" s="156">
        <v>0.31719345440000002</v>
      </c>
      <c r="N171" s="156">
        <v>0.2526339386</v>
      </c>
      <c r="O171" s="156">
        <v>0</v>
      </c>
      <c r="P171" s="156">
        <v>0</v>
      </c>
      <c r="Q171" s="156">
        <v>0</v>
      </c>
      <c r="R171" s="159">
        <v>3.5866397670000001E-2</v>
      </c>
      <c r="S171" s="155">
        <v>0.60406320540000003</v>
      </c>
      <c r="T171" s="156">
        <v>0.34920993230000003</v>
      </c>
      <c r="U171" s="156">
        <v>0</v>
      </c>
      <c r="V171" s="156">
        <v>0</v>
      </c>
      <c r="W171" s="156">
        <v>1.173814898E-2</v>
      </c>
      <c r="X171" s="156">
        <v>0</v>
      </c>
      <c r="Y171" s="157">
        <v>3.4988713320000003E-2</v>
      </c>
      <c r="Z171" s="158">
        <v>0.59074492099999998</v>
      </c>
      <c r="AA171" s="156">
        <v>0.34920993230000003</v>
      </c>
      <c r="AB171" s="156">
        <v>0</v>
      </c>
      <c r="AC171" s="156">
        <v>0</v>
      </c>
      <c r="AD171" s="156">
        <v>2.9119638829999999E-2</v>
      </c>
      <c r="AE171" s="156">
        <v>0</v>
      </c>
      <c r="AF171" s="159">
        <v>3.09255079E-2</v>
      </c>
      <c r="AG171" s="155">
        <v>0.24244537420000001</v>
      </c>
      <c r="AH171" s="156">
        <v>0</v>
      </c>
      <c r="AI171" s="156">
        <v>0</v>
      </c>
      <c r="AJ171" s="156">
        <v>7.438400744E-3</v>
      </c>
      <c r="AK171" s="156">
        <v>0.11366806140000001</v>
      </c>
      <c r="AL171" s="156">
        <v>0.55160390520000002</v>
      </c>
      <c r="AM171" s="157">
        <v>8.4844258480000004E-2</v>
      </c>
      <c r="AN171" s="158">
        <v>0.24291027430000001</v>
      </c>
      <c r="AO171" s="156">
        <v>0</v>
      </c>
      <c r="AP171" s="156">
        <v>0</v>
      </c>
      <c r="AQ171" s="156">
        <v>0</v>
      </c>
      <c r="AR171" s="156">
        <v>0.1083217108</v>
      </c>
      <c r="AS171" s="156">
        <v>0.57461645750000001</v>
      </c>
      <c r="AT171" s="159">
        <v>7.415155742E-2</v>
      </c>
    </row>
    <row r="172" spans="1:46" ht="12.75">
      <c r="A172" s="67" t="s">
        <v>15</v>
      </c>
      <c r="B172" s="67" t="s">
        <v>389</v>
      </c>
      <c r="C172" s="67" t="s">
        <v>423</v>
      </c>
      <c r="D172" s="67" t="s">
        <v>423</v>
      </c>
      <c r="E172" s="155">
        <v>0.32254379280000001</v>
      </c>
      <c r="F172" s="156">
        <v>0.47791317589999999</v>
      </c>
      <c r="G172" s="156">
        <v>0.43297791320000001</v>
      </c>
      <c r="H172" s="156">
        <v>5.7121096730000003E-3</v>
      </c>
      <c r="I172" s="156">
        <v>0</v>
      </c>
      <c r="J172" s="156">
        <v>0</v>
      </c>
      <c r="K172" s="157">
        <v>0.2391469916</v>
      </c>
      <c r="L172" s="158">
        <v>0.28571428570000001</v>
      </c>
      <c r="M172" s="156">
        <v>0.20423280420000001</v>
      </c>
      <c r="N172" s="156">
        <v>0.47354497350000002</v>
      </c>
      <c r="O172" s="156">
        <v>0</v>
      </c>
      <c r="P172" s="156">
        <v>0</v>
      </c>
      <c r="Q172" s="156">
        <v>0</v>
      </c>
      <c r="R172" s="159">
        <v>3.6507936509999998E-2</v>
      </c>
      <c r="S172" s="155">
        <v>0.5782122905</v>
      </c>
      <c r="T172" s="156">
        <v>0.34756584200000001</v>
      </c>
      <c r="U172" s="156">
        <v>0</v>
      </c>
      <c r="V172" s="156">
        <v>0</v>
      </c>
      <c r="W172" s="156">
        <v>2.7533918599999999E-2</v>
      </c>
      <c r="X172" s="156">
        <v>0</v>
      </c>
      <c r="Y172" s="157">
        <v>4.668794892E-2</v>
      </c>
      <c r="Z172" s="158">
        <v>0.55187549879999998</v>
      </c>
      <c r="AA172" s="156">
        <v>0.3387869114</v>
      </c>
      <c r="AB172" s="156">
        <v>0</v>
      </c>
      <c r="AC172" s="156">
        <v>0</v>
      </c>
      <c r="AD172" s="156">
        <v>3.9106145250000002E-2</v>
      </c>
      <c r="AE172" s="156">
        <v>0</v>
      </c>
      <c r="AF172" s="159">
        <v>7.0231444530000006E-2</v>
      </c>
      <c r="AG172" s="155">
        <v>0.1395833333</v>
      </c>
      <c r="AH172" s="156">
        <v>0</v>
      </c>
      <c r="AI172" s="156">
        <v>0</v>
      </c>
      <c r="AJ172" s="156">
        <v>5.8333333330000004E-3</v>
      </c>
      <c r="AK172" s="156">
        <v>0.21291666670000001</v>
      </c>
      <c r="AL172" s="156">
        <v>0.56999999999999995</v>
      </c>
      <c r="AM172" s="157">
        <v>7.1666666670000004E-2</v>
      </c>
      <c r="AN172" s="158">
        <v>0.14458333330000001</v>
      </c>
      <c r="AO172" s="156">
        <v>0</v>
      </c>
      <c r="AP172" s="156">
        <v>0</v>
      </c>
      <c r="AQ172" s="156">
        <v>0</v>
      </c>
      <c r="AR172" s="156">
        <v>0.20958333330000001</v>
      </c>
      <c r="AS172" s="156">
        <v>0.58833333330000004</v>
      </c>
      <c r="AT172" s="159">
        <v>5.7500000000000002E-2</v>
      </c>
    </row>
    <row r="173" spans="1:46" ht="12.75">
      <c r="A173" s="67" t="s">
        <v>15</v>
      </c>
      <c r="B173" s="67" t="s">
        <v>389</v>
      </c>
      <c r="C173" s="67" t="s">
        <v>423</v>
      </c>
      <c r="D173" s="67" t="s">
        <v>425</v>
      </c>
      <c r="E173" s="155">
        <v>0.1895206243</v>
      </c>
      <c r="F173" s="156">
        <v>0.3467112598</v>
      </c>
      <c r="G173" s="156">
        <v>2.0066889630000001E-2</v>
      </c>
      <c r="H173" s="156">
        <v>4.4593088070000002E-3</v>
      </c>
      <c r="I173" s="156">
        <v>0</v>
      </c>
      <c r="J173" s="156">
        <v>0</v>
      </c>
      <c r="K173" s="157">
        <v>0.43924191750000002</v>
      </c>
      <c r="L173" s="158">
        <v>0.1237458194</v>
      </c>
      <c r="M173" s="156">
        <v>0.82051282049999996</v>
      </c>
      <c r="N173" s="156">
        <v>1.7837235230000002E-2</v>
      </c>
      <c r="O173" s="156">
        <v>0</v>
      </c>
      <c r="P173" s="156">
        <v>0</v>
      </c>
      <c r="Q173" s="156">
        <v>0</v>
      </c>
      <c r="R173" s="159">
        <v>3.7904124859999999E-2</v>
      </c>
      <c r="S173" s="155">
        <v>0.25497076019999998</v>
      </c>
      <c r="T173" s="156">
        <v>0.70292397659999994</v>
      </c>
      <c r="U173" s="156">
        <v>0</v>
      </c>
      <c r="V173" s="156">
        <v>0</v>
      </c>
      <c r="W173" s="156">
        <v>1.4035087720000001E-2</v>
      </c>
      <c r="X173" s="156">
        <v>0</v>
      </c>
      <c r="Y173" s="157">
        <v>2.8070175440000001E-2</v>
      </c>
      <c r="Z173" s="158">
        <v>0.25614035089999998</v>
      </c>
      <c r="AA173" s="156">
        <v>0.69356725149999998</v>
      </c>
      <c r="AB173" s="156">
        <v>0</v>
      </c>
      <c r="AC173" s="156">
        <v>0</v>
      </c>
      <c r="AD173" s="156">
        <v>1.8713450289999999E-2</v>
      </c>
      <c r="AE173" s="156">
        <v>0</v>
      </c>
      <c r="AF173" s="159">
        <v>3.1578947369999999E-2</v>
      </c>
      <c r="AG173" s="155">
        <v>0.27201051250000002</v>
      </c>
      <c r="AH173" s="156">
        <v>0</v>
      </c>
      <c r="AI173" s="156">
        <v>0</v>
      </c>
      <c r="AJ173" s="156">
        <v>1.051248357E-2</v>
      </c>
      <c r="AK173" s="156">
        <v>0.55321944810000001</v>
      </c>
      <c r="AL173" s="156">
        <v>7.7529566359999996E-2</v>
      </c>
      <c r="AM173" s="157">
        <v>8.6727989490000004E-2</v>
      </c>
      <c r="AN173" s="158">
        <v>0.33639947440000001</v>
      </c>
      <c r="AO173" s="156">
        <v>0</v>
      </c>
      <c r="AP173" s="156">
        <v>0</v>
      </c>
      <c r="AQ173" s="156">
        <v>0</v>
      </c>
      <c r="AR173" s="156">
        <v>0.50591327200000002</v>
      </c>
      <c r="AS173" s="156">
        <v>8.2785808150000001E-2</v>
      </c>
      <c r="AT173" s="159">
        <v>7.4901445469999994E-2</v>
      </c>
    </row>
    <row r="174" spans="1:46" ht="12.75">
      <c r="A174" s="67" t="s">
        <v>15</v>
      </c>
      <c r="B174" s="67" t="s">
        <v>389</v>
      </c>
      <c r="C174" s="67" t="s">
        <v>426</v>
      </c>
      <c r="D174" s="67" t="s">
        <v>426</v>
      </c>
      <c r="E174" s="155">
        <v>0.56739130429999995</v>
      </c>
      <c r="F174" s="156">
        <v>0.43652173909999997</v>
      </c>
      <c r="G174" s="156">
        <v>0.25282608699999998</v>
      </c>
      <c r="H174" s="156">
        <v>1.9565217390000002E-3</v>
      </c>
      <c r="I174" s="156">
        <v>0</v>
      </c>
      <c r="J174" s="156">
        <v>0</v>
      </c>
      <c r="K174" s="157">
        <v>0.25869565220000001</v>
      </c>
      <c r="L174" s="158">
        <v>0.2758695652</v>
      </c>
      <c r="M174" s="156">
        <v>0.42391304349999998</v>
      </c>
      <c r="N174" s="156">
        <v>0.26760869570000001</v>
      </c>
      <c r="O174" s="156">
        <v>0</v>
      </c>
      <c r="P174" s="156">
        <v>0</v>
      </c>
      <c r="Q174" s="156">
        <v>0</v>
      </c>
      <c r="R174" s="159">
        <v>3.2608695649999998E-2</v>
      </c>
      <c r="S174" s="155">
        <v>0.50822324080000003</v>
      </c>
      <c r="T174" s="156">
        <v>0.45214343489999997</v>
      </c>
      <c r="U174" s="156">
        <v>0</v>
      </c>
      <c r="V174" s="156">
        <v>0</v>
      </c>
      <c r="W174" s="156">
        <v>8.8972768939999999E-3</v>
      </c>
      <c r="X174" s="156">
        <v>0</v>
      </c>
      <c r="Y174" s="157">
        <v>3.0736047450000002E-2</v>
      </c>
      <c r="Z174" s="158">
        <v>0.50148287950000003</v>
      </c>
      <c r="AA174" s="156">
        <v>0.44782960370000002</v>
      </c>
      <c r="AB174" s="156">
        <v>0</v>
      </c>
      <c r="AC174" s="156">
        <v>0</v>
      </c>
      <c r="AD174" s="156">
        <v>2.3995686169999999E-2</v>
      </c>
      <c r="AE174" s="156">
        <v>0</v>
      </c>
      <c r="AF174" s="159">
        <v>2.669183068E-2</v>
      </c>
      <c r="AG174" s="155">
        <v>0.2603945372</v>
      </c>
      <c r="AH174" s="156">
        <v>0</v>
      </c>
      <c r="AI174" s="156">
        <v>0</v>
      </c>
      <c r="AJ174" s="156">
        <v>1.0318664639999999E-2</v>
      </c>
      <c r="AK174" s="156">
        <v>0.25827010620000002</v>
      </c>
      <c r="AL174" s="156">
        <v>0.41487101669999998</v>
      </c>
      <c r="AM174" s="157">
        <v>5.6145675270000001E-2</v>
      </c>
      <c r="AN174" s="158">
        <v>0.26767830050000002</v>
      </c>
      <c r="AO174" s="156">
        <v>0</v>
      </c>
      <c r="AP174" s="156">
        <v>0</v>
      </c>
      <c r="AQ174" s="156">
        <v>0</v>
      </c>
      <c r="AR174" s="156">
        <v>0.2503793627</v>
      </c>
      <c r="AS174" s="156">
        <v>0.42761760240000002</v>
      </c>
      <c r="AT174" s="159">
        <v>5.4324734450000002E-2</v>
      </c>
    </row>
    <row r="175" spans="1:46" ht="12.75">
      <c r="A175" s="67" t="s">
        <v>15</v>
      </c>
      <c r="B175" s="67" t="s">
        <v>389</v>
      </c>
      <c r="C175" s="67" t="s">
        <v>428</v>
      </c>
      <c r="D175" s="67" t="s">
        <v>428</v>
      </c>
      <c r="E175" s="155">
        <v>0.43878787879999998</v>
      </c>
      <c r="F175" s="156">
        <v>0.45370629369999999</v>
      </c>
      <c r="G175" s="156">
        <v>4.8764568760000002E-2</v>
      </c>
      <c r="H175" s="156">
        <v>3.4498834499999999E-3</v>
      </c>
      <c r="I175" s="156">
        <v>0</v>
      </c>
      <c r="J175" s="156">
        <v>0</v>
      </c>
      <c r="K175" s="157">
        <v>5.529137529E-2</v>
      </c>
      <c r="L175" s="158">
        <v>0.4998601399</v>
      </c>
      <c r="M175" s="156">
        <v>0.40205128210000002</v>
      </c>
      <c r="N175" s="156">
        <v>5.1282051279999998E-2</v>
      </c>
      <c r="O175" s="156">
        <v>0</v>
      </c>
      <c r="P175" s="156">
        <v>0</v>
      </c>
      <c r="Q175" s="156">
        <v>0</v>
      </c>
      <c r="R175" s="159">
        <v>4.6806526809999999E-2</v>
      </c>
      <c r="S175" s="155">
        <v>0.5411670663</v>
      </c>
      <c r="T175" s="156">
        <v>0.40907274179999997</v>
      </c>
      <c r="U175" s="156">
        <v>0</v>
      </c>
      <c r="V175" s="156">
        <v>0</v>
      </c>
      <c r="W175" s="156">
        <v>1.0091926459999999E-2</v>
      </c>
      <c r="X175" s="156">
        <v>0</v>
      </c>
      <c r="Y175" s="157">
        <v>3.9668265389999999E-2</v>
      </c>
      <c r="Z175" s="158">
        <v>0.52747801760000002</v>
      </c>
      <c r="AA175" s="156">
        <v>0.41626698639999998</v>
      </c>
      <c r="AB175" s="156">
        <v>0</v>
      </c>
      <c r="AC175" s="156">
        <v>0</v>
      </c>
      <c r="AD175" s="156">
        <v>2.4480415669999998E-2</v>
      </c>
      <c r="AE175" s="156">
        <v>0</v>
      </c>
      <c r="AF175" s="159">
        <v>3.1774580339999997E-2</v>
      </c>
      <c r="AG175" s="155">
        <v>0.53373791400000004</v>
      </c>
      <c r="AH175" s="156">
        <v>0</v>
      </c>
      <c r="AI175" s="156">
        <v>0</v>
      </c>
      <c r="AJ175" s="156">
        <v>1.3268874720000001E-2</v>
      </c>
      <c r="AK175" s="156">
        <v>0.25807447030000003</v>
      </c>
      <c r="AL175" s="156">
        <v>0.1299115408</v>
      </c>
      <c r="AM175" s="157">
        <v>6.500720016E-2</v>
      </c>
      <c r="AN175" s="158">
        <v>0.54093807859999998</v>
      </c>
      <c r="AO175" s="156">
        <v>0</v>
      </c>
      <c r="AP175" s="156">
        <v>0</v>
      </c>
      <c r="AQ175" s="156">
        <v>0</v>
      </c>
      <c r="AR175" s="156">
        <v>0.25560584240000001</v>
      </c>
      <c r="AS175" s="156">
        <v>0.13340876360000001</v>
      </c>
      <c r="AT175" s="159">
        <v>7.0047315370000002E-2</v>
      </c>
    </row>
    <row r="176" spans="1:46" ht="12.75">
      <c r="A176" s="67" t="s">
        <v>10</v>
      </c>
      <c r="B176" s="67" t="s">
        <v>787</v>
      </c>
      <c r="C176" s="67" t="s">
        <v>787</v>
      </c>
      <c r="D176" s="67" t="s">
        <v>787</v>
      </c>
      <c r="E176" s="155">
        <v>0.36880641289999999</v>
      </c>
      <c r="F176" s="156">
        <v>0.39020387550000002</v>
      </c>
      <c r="G176" s="156">
        <v>0.13236129520000001</v>
      </c>
      <c r="H176" s="156">
        <v>6.6906520230000004E-3</v>
      </c>
      <c r="I176" s="156">
        <v>0</v>
      </c>
      <c r="J176" s="156">
        <v>0</v>
      </c>
      <c r="K176" s="157">
        <v>0.1019377643</v>
      </c>
      <c r="L176" s="158">
        <v>0.36022490369999999</v>
      </c>
      <c r="M176" s="156">
        <v>0.43262366540000002</v>
      </c>
      <c r="N176" s="156">
        <v>0.1748689115</v>
      </c>
      <c r="O176" s="156">
        <v>0</v>
      </c>
      <c r="P176" s="156">
        <v>0</v>
      </c>
      <c r="Q176" s="156">
        <v>0</v>
      </c>
      <c r="R176" s="159">
        <v>3.2282519430000003E-2</v>
      </c>
      <c r="S176" s="155">
        <v>0.3413052573</v>
      </c>
      <c r="T176" s="156">
        <v>0.57802259099999997</v>
      </c>
      <c r="U176" s="156">
        <v>0</v>
      </c>
      <c r="V176" s="156">
        <v>0</v>
      </c>
      <c r="W176" s="156">
        <v>1.6664342490000001E-2</v>
      </c>
      <c r="X176" s="156">
        <v>0</v>
      </c>
      <c r="Y176" s="157">
        <v>6.4007809230000004E-2</v>
      </c>
      <c r="Z176" s="158">
        <v>6.2046848860000003E-2</v>
      </c>
      <c r="AA176" s="156">
        <v>0.28792526489999998</v>
      </c>
      <c r="AB176" s="156">
        <v>0</v>
      </c>
      <c r="AC176" s="156">
        <v>0</v>
      </c>
      <c r="AD176" s="156">
        <v>8.0870050199999995E-3</v>
      </c>
      <c r="AE176" s="156">
        <v>0</v>
      </c>
      <c r="AF176" s="159">
        <v>0.64194088120000004</v>
      </c>
      <c r="AG176" s="155">
        <v>0.24391994259999999</v>
      </c>
      <c r="AH176" s="156">
        <v>0</v>
      </c>
      <c r="AI176" s="156">
        <v>0</v>
      </c>
      <c r="AJ176" s="156">
        <v>7.8941073279999996E-3</v>
      </c>
      <c r="AK176" s="156">
        <v>0.27190814130000002</v>
      </c>
      <c r="AL176" s="156">
        <v>0.38178773620000001</v>
      </c>
      <c r="AM176" s="157">
        <v>9.4490072559999999E-2</v>
      </c>
      <c r="AN176" s="158">
        <v>0.27206761820000003</v>
      </c>
      <c r="AO176" s="156">
        <v>0</v>
      </c>
      <c r="AP176" s="156">
        <v>0</v>
      </c>
      <c r="AQ176" s="156">
        <v>0</v>
      </c>
      <c r="AR176" s="156">
        <v>0.25348855749999999</v>
      </c>
      <c r="AS176" s="156">
        <v>0.38840602819999998</v>
      </c>
      <c r="AT176" s="159">
        <v>8.6037796030000002E-2</v>
      </c>
    </row>
    <row r="177" spans="1:46" ht="12.75">
      <c r="A177" s="67" t="s">
        <v>10</v>
      </c>
      <c r="B177" s="67" t="s">
        <v>430</v>
      </c>
      <c r="C177" s="67" t="s">
        <v>431</v>
      </c>
      <c r="D177" s="67" t="s">
        <v>431</v>
      </c>
      <c r="E177" s="155">
        <v>0.5393044307</v>
      </c>
      <c r="F177" s="156">
        <v>0.4568842306</v>
      </c>
      <c r="G177" s="156">
        <v>0.10433539779999999</v>
      </c>
      <c r="H177" s="156">
        <v>2.382086708E-3</v>
      </c>
      <c r="I177" s="156">
        <v>0</v>
      </c>
      <c r="J177" s="156">
        <v>0</v>
      </c>
      <c r="K177" s="157">
        <v>0.1029061458</v>
      </c>
      <c r="L177" s="158">
        <v>0.34728829690000002</v>
      </c>
      <c r="M177" s="156">
        <v>0.49952426259999999</v>
      </c>
      <c r="N177" s="156">
        <v>0.1232159848</v>
      </c>
      <c r="O177" s="156">
        <v>0</v>
      </c>
      <c r="P177" s="156">
        <v>0</v>
      </c>
      <c r="Q177" s="156">
        <v>0</v>
      </c>
      <c r="R177" s="159">
        <v>2.9971455760000001E-2</v>
      </c>
      <c r="S177" s="155">
        <v>0.41198303289999999</v>
      </c>
      <c r="T177" s="156">
        <v>0.50795334039999995</v>
      </c>
      <c r="U177" s="156">
        <v>0</v>
      </c>
      <c r="V177" s="156">
        <v>0</v>
      </c>
      <c r="W177" s="156">
        <v>1.749734889E-2</v>
      </c>
      <c r="X177" s="156">
        <v>0</v>
      </c>
      <c r="Y177" s="157">
        <v>6.2566277840000004E-2</v>
      </c>
      <c r="Z177" s="158">
        <v>5.514316013E-2</v>
      </c>
      <c r="AA177" s="156">
        <v>0.36850477199999998</v>
      </c>
      <c r="AB177" s="156">
        <v>0</v>
      </c>
      <c r="AC177" s="156">
        <v>0</v>
      </c>
      <c r="AD177" s="156">
        <v>1.8557794270000001E-2</v>
      </c>
      <c r="AE177" s="156">
        <v>0</v>
      </c>
      <c r="AF177" s="159">
        <v>0.5577942736</v>
      </c>
      <c r="AG177" s="155">
        <v>0.2130697419</v>
      </c>
      <c r="AH177" s="156">
        <v>0</v>
      </c>
      <c r="AI177" s="156">
        <v>0</v>
      </c>
      <c r="AJ177" s="156">
        <v>1.537616694E-2</v>
      </c>
      <c r="AK177" s="156">
        <v>0.29159802309999999</v>
      </c>
      <c r="AL177" s="156">
        <v>0.33882482149999998</v>
      </c>
      <c r="AM177" s="157">
        <v>0.14113124660000001</v>
      </c>
      <c r="AN177" s="158">
        <v>0.22679846240000001</v>
      </c>
      <c r="AO177" s="156">
        <v>0</v>
      </c>
      <c r="AP177" s="156">
        <v>0</v>
      </c>
      <c r="AQ177" s="156">
        <v>0</v>
      </c>
      <c r="AR177" s="156">
        <v>0.2476661175</v>
      </c>
      <c r="AS177" s="156">
        <v>0.29544206480000001</v>
      </c>
      <c r="AT177" s="159">
        <v>0.2300933553</v>
      </c>
    </row>
    <row r="178" spans="1:46" ht="12.75">
      <c r="A178" s="67" t="s">
        <v>10</v>
      </c>
      <c r="B178" s="67" t="s">
        <v>430</v>
      </c>
      <c r="C178" s="67" t="s">
        <v>434</v>
      </c>
      <c r="D178" s="67" t="s">
        <v>434</v>
      </c>
      <c r="E178" s="155">
        <v>0.58265306120000004</v>
      </c>
      <c r="F178" s="156">
        <v>0.82448979590000004</v>
      </c>
      <c r="G178" s="156">
        <v>2.5510204080000001E-2</v>
      </c>
      <c r="H178" s="156">
        <v>5.1020408159999997E-3</v>
      </c>
      <c r="I178" s="156">
        <v>0</v>
      </c>
      <c r="J178" s="156">
        <v>0</v>
      </c>
      <c r="K178" s="157">
        <v>0.43775510200000001</v>
      </c>
      <c r="L178" s="158">
        <v>0.27142857139999998</v>
      </c>
      <c r="M178" s="156">
        <v>0.63775510199999996</v>
      </c>
      <c r="N178" s="156">
        <v>5.1020408160000003E-2</v>
      </c>
      <c r="O178" s="156">
        <v>0</v>
      </c>
      <c r="P178" s="156">
        <v>0</v>
      </c>
      <c r="Q178" s="156">
        <v>0</v>
      </c>
      <c r="R178" s="159">
        <v>3.9795918370000002E-2</v>
      </c>
      <c r="S178" s="155">
        <v>0.13409090909999999</v>
      </c>
      <c r="T178" s="156">
        <v>0.78181818179999996</v>
      </c>
      <c r="U178" s="156">
        <v>0</v>
      </c>
      <c r="V178" s="156">
        <v>0</v>
      </c>
      <c r="W178" s="156">
        <v>1.7045454549999998E-2</v>
      </c>
      <c r="X178" s="156">
        <v>0</v>
      </c>
      <c r="Y178" s="157">
        <v>6.7045454549999994E-2</v>
      </c>
      <c r="Z178" s="158">
        <v>3.0681818180000001E-2</v>
      </c>
      <c r="AA178" s="156">
        <v>0.63522727270000001</v>
      </c>
      <c r="AB178" s="156">
        <v>0</v>
      </c>
      <c r="AC178" s="156">
        <v>0</v>
      </c>
      <c r="AD178" s="156">
        <v>5.6818181820000001E-3</v>
      </c>
      <c r="AE178" s="156">
        <v>0</v>
      </c>
      <c r="AF178" s="159">
        <v>0.32840909089999998</v>
      </c>
      <c r="AG178" s="155">
        <v>0.18327605960000001</v>
      </c>
      <c r="AH178" s="156">
        <v>0</v>
      </c>
      <c r="AI178" s="156">
        <v>0</v>
      </c>
      <c r="AJ178" s="156">
        <v>2.9782359679999999E-2</v>
      </c>
      <c r="AK178" s="156">
        <v>0.54524627719999996</v>
      </c>
      <c r="AL178" s="156">
        <v>9.3928980529999997E-2</v>
      </c>
      <c r="AM178" s="157">
        <v>0.147766323</v>
      </c>
      <c r="AN178" s="158">
        <v>0.20045819009999999</v>
      </c>
      <c r="AO178" s="156">
        <v>0</v>
      </c>
      <c r="AP178" s="156">
        <v>0</v>
      </c>
      <c r="AQ178" s="156">
        <v>0</v>
      </c>
      <c r="AR178" s="156">
        <v>0.59335624279999999</v>
      </c>
      <c r="AS178" s="156">
        <v>9.7365406639999999E-2</v>
      </c>
      <c r="AT178" s="159">
        <v>0.1088201604</v>
      </c>
    </row>
    <row r="179" spans="1:46" ht="12.75">
      <c r="A179" s="67" t="s">
        <v>10</v>
      </c>
      <c r="B179" s="67" t="s">
        <v>430</v>
      </c>
      <c r="C179" s="67" t="s">
        <v>438</v>
      </c>
      <c r="D179" s="67" t="s">
        <v>438</v>
      </c>
      <c r="E179" s="155">
        <v>0.60979462880000002</v>
      </c>
      <c r="F179" s="156">
        <v>0.32859399680000001</v>
      </c>
      <c r="G179" s="156">
        <v>4.7393364929999996E-3</v>
      </c>
      <c r="H179" s="156">
        <v>4.7393364929999996E-3</v>
      </c>
      <c r="I179" s="156">
        <v>9.6334064570000001E-4</v>
      </c>
      <c r="J179" s="156">
        <v>0</v>
      </c>
      <c r="K179" s="157">
        <v>5.1169360779999999E-2</v>
      </c>
      <c r="L179" s="158">
        <v>0.53554502370000001</v>
      </c>
      <c r="M179" s="156">
        <v>0.4375987362</v>
      </c>
      <c r="N179" s="156">
        <v>3.1595576619999999E-3</v>
      </c>
      <c r="O179" s="156">
        <v>0</v>
      </c>
      <c r="P179" s="156">
        <v>0</v>
      </c>
      <c r="Q179" s="156">
        <v>0</v>
      </c>
      <c r="R179" s="159">
        <v>2.369668246E-2</v>
      </c>
      <c r="S179" s="155">
        <v>0.31103678930000001</v>
      </c>
      <c r="T179" s="156">
        <v>0.47826086960000003</v>
      </c>
      <c r="U179" s="156">
        <v>0</v>
      </c>
      <c r="V179" s="156">
        <v>0</v>
      </c>
      <c r="W179" s="156">
        <v>1.170568562E-2</v>
      </c>
      <c r="X179" s="156">
        <v>0</v>
      </c>
      <c r="Y179" s="157">
        <v>0.19899665550000001</v>
      </c>
      <c r="Z179" s="158">
        <v>1.170568562E-2</v>
      </c>
      <c r="AA179" s="156">
        <v>0.40133779260000002</v>
      </c>
      <c r="AB179" s="156">
        <v>0</v>
      </c>
      <c r="AC179" s="156">
        <v>0</v>
      </c>
      <c r="AD179" s="156">
        <v>5.0167224079999996E-3</v>
      </c>
      <c r="AE179" s="156">
        <v>0</v>
      </c>
      <c r="AF179" s="159">
        <v>0.58193979929999995</v>
      </c>
      <c r="AG179" s="155">
        <v>0.27962962959999998</v>
      </c>
      <c r="AH179" s="156">
        <v>0</v>
      </c>
      <c r="AI179" s="156">
        <v>0</v>
      </c>
      <c r="AJ179" s="156">
        <v>2.0370370370000002E-2</v>
      </c>
      <c r="AK179" s="156">
        <v>0.5611111111</v>
      </c>
      <c r="AL179" s="156">
        <v>8.1481481480000006E-2</v>
      </c>
      <c r="AM179" s="157">
        <v>5.740740741E-2</v>
      </c>
      <c r="AN179" s="158">
        <v>0.29259259259999998</v>
      </c>
      <c r="AO179" s="156">
        <v>0</v>
      </c>
      <c r="AP179" s="156">
        <v>0</v>
      </c>
      <c r="AQ179" s="156">
        <v>0</v>
      </c>
      <c r="AR179" s="156">
        <v>0.56296296300000004</v>
      </c>
      <c r="AS179" s="156">
        <v>8.3333333329999995E-2</v>
      </c>
      <c r="AT179" s="159">
        <v>6.1111111109999998E-2</v>
      </c>
    </row>
    <row r="180" spans="1:46" ht="12.75">
      <c r="A180" s="67" t="s">
        <v>10</v>
      </c>
      <c r="B180" s="67" t="s">
        <v>430</v>
      </c>
      <c r="C180" s="67" t="s">
        <v>441</v>
      </c>
      <c r="D180" s="67" t="s">
        <v>441</v>
      </c>
      <c r="E180" s="155">
        <v>0.48021469160000002</v>
      </c>
      <c r="F180" s="156">
        <v>0.46000841930000003</v>
      </c>
      <c r="G180" s="156">
        <v>0.13207745739999999</v>
      </c>
      <c r="H180" s="156">
        <v>4.9463270889999996E-3</v>
      </c>
      <c r="I180" s="156">
        <v>0</v>
      </c>
      <c r="J180" s="156">
        <v>0</v>
      </c>
      <c r="K180" s="157">
        <v>7.724689539E-2</v>
      </c>
      <c r="L180" s="158">
        <v>0.35412119320000002</v>
      </c>
      <c r="M180" s="156">
        <v>0.4122232616</v>
      </c>
      <c r="N180" s="156">
        <v>0.17971104869999999</v>
      </c>
      <c r="O180" s="156">
        <v>0</v>
      </c>
      <c r="P180" s="156">
        <v>0</v>
      </c>
      <c r="Q180" s="156">
        <v>0</v>
      </c>
      <c r="R180" s="159">
        <v>5.3944496410000001E-2</v>
      </c>
      <c r="S180" s="155">
        <v>0.43207702240000001</v>
      </c>
      <c r="T180" s="156">
        <v>0.48326875660000002</v>
      </c>
      <c r="U180" s="156">
        <v>0</v>
      </c>
      <c r="V180" s="156">
        <v>0</v>
      </c>
      <c r="W180" s="156">
        <v>1.3032758009999999E-2</v>
      </c>
      <c r="X180" s="156">
        <v>0</v>
      </c>
      <c r="Y180" s="157">
        <v>7.1621462960000007E-2</v>
      </c>
      <c r="Z180" s="158">
        <v>7.0916989550000004E-2</v>
      </c>
      <c r="AA180" s="156">
        <v>0.2402254315</v>
      </c>
      <c r="AB180" s="156">
        <v>0</v>
      </c>
      <c r="AC180" s="156">
        <v>0</v>
      </c>
      <c r="AD180" s="156">
        <v>1.16238112E-2</v>
      </c>
      <c r="AE180" s="156">
        <v>0</v>
      </c>
      <c r="AF180" s="159">
        <v>0.6772337678</v>
      </c>
      <c r="AG180" s="155">
        <v>0.2886664934</v>
      </c>
      <c r="AH180" s="156">
        <v>0</v>
      </c>
      <c r="AI180" s="156">
        <v>0</v>
      </c>
      <c r="AJ180" s="156">
        <v>1.0007798280000001E-2</v>
      </c>
      <c r="AK180" s="156">
        <v>0.20561476479999999</v>
      </c>
      <c r="AL180" s="156">
        <v>0.3940733039</v>
      </c>
      <c r="AM180" s="157">
        <v>0.1016376397</v>
      </c>
      <c r="AN180" s="158">
        <v>0.29516506370000001</v>
      </c>
      <c r="AO180" s="156">
        <v>0</v>
      </c>
      <c r="AP180" s="156">
        <v>0</v>
      </c>
      <c r="AQ180" s="156">
        <v>0</v>
      </c>
      <c r="AR180" s="156">
        <v>0.1944372238</v>
      </c>
      <c r="AS180" s="156">
        <v>0.39537301790000001</v>
      </c>
      <c r="AT180" s="159">
        <v>0.1150246946</v>
      </c>
    </row>
    <row r="181" spans="1:46" ht="12.75">
      <c r="A181" s="67" t="s">
        <v>10</v>
      </c>
      <c r="B181" s="67" t="s">
        <v>430</v>
      </c>
      <c r="C181" s="67" t="s">
        <v>443</v>
      </c>
      <c r="D181" s="67" t="s">
        <v>443</v>
      </c>
      <c r="E181" s="155">
        <v>0.48987463840000001</v>
      </c>
      <c r="F181" s="156">
        <v>0.4946962392</v>
      </c>
      <c r="G181" s="156">
        <v>2.6679524270000001E-2</v>
      </c>
      <c r="H181" s="156">
        <v>3.2144005140000002E-3</v>
      </c>
      <c r="I181" s="156">
        <v>0</v>
      </c>
      <c r="J181" s="156">
        <v>0</v>
      </c>
      <c r="K181" s="157">
        <v>1.446480231E-2</v>
      </c>
      <c r="L181" s="158">
        <v>0.3220829315</v>
      </c>
      <c r="M181" s="156">
        <v>0.57762777239999996</v>
      </c>
      <c r="N181" s="156">
        <v>4.8858887820000002E-2</v>
      </c>
      <c r="O181" s="156">
        <v>0</v>
      </c>
      <c r="P181" s="156">
        <v>0</v>
      </c>
      <c r="Q181" s="156">
        <v>0</v>
      </c>
      <c r="R181" s="159">
        <v>5.1430408230000002E-2</v>
      </c>
      <c r="S181" s="155">
        <v>0.1949533356</v>
      </c>
      <c r="T181" s="156">
        <v>0.68752160389999994</v>
      </c>
      <c r="U181" s="156">
        <v>0</v>
      </c>
      <c r="V181" s="156">
        <v>0</v>
      </c>
      <c r="W181" s="156">
        <v>1.106118216E-2</v>
      </c>
      <c r="X181" s="156">
        <v>0</v>
      </c>
      <c r="Y181" s="157">
        <v>0.10646387829999999</v>
      </c>
      <c r="Z181" s="158">
        <v>2.4887659869999999E-2</v>
      </c>
      <c r="AA181" s="156">
        <v>0.3076391289</v>
      </c>
      <c r="AB181" s="156">
        <v>0</v>
      </c>
      <c r="AC181" s="156">
        <v>0</v>
      </c>
      <c r="AD181" s="156">
        <v>1.38264777E-3</v>
      </c>
      <c r="AE181" s="156">
        <v>0</v>
      </c>
      <c r="AF181" s="159">
        <v>0.66609056339999995</v>
      </c>
      <c r="AG181" s="155">
        <v>0.28069466879999999</v>
      </c>
      <c r="AH181" s="156">
        <v>0</v>
      </c>
      <c r="AI181" s="156">
        <v>0</v>
      </c>
      <c r="AJ181" s="156">
        <v>2.0193861069999999E-2</v>
      </c>
      <c r="AK181" s="156">
        <v>0.47092084010000002</v>
      </c>
      <c r="AL181" s="156">
        <v>0.12883683360000001</v>
      </c>
      <c r="AM181" s="157">
        <v>9.9353796450000004E-2</v>
      </c>
      <c r="AN181" s="158">
        <v>0.28594507270000002</v>
      </c>
      <c r="AO181" s="156">
        <v>0</v>
      </c>
      <c r="AP181" s="156">
        <v>0</v>
      </c>
      <c r="AQ181" s="156">
        <v>0</v>
      </c>
      <c r="AR181" s="156">
        <v>0.4604200323</v>
      </c>
      <c r="AS181" s="156">
        <v>0.1381260097</v>
      </c>
      <c r="AT181" s="159">
        <v>0.1155088853</v>
      </c>
    </row>
    <row r="182" spans="1:46" ht="12.75">
      <c r="A182" s="67" t="s">
        <v>10</v>
      </c>
      <c r="B182" s="67" t="s">
        <v>430</v>
      </c>
      <c r="C182" s="67" t="s">
        <v>445</v>
      </c>
      <c r="D182" s="67" t="s">
        <v>445</v>
      </c>
      <c r="E182" s="155">
        <v>0.42396834370000003</v>
      </c>
      <c r="F182" s="156">
        <v>0.32221594120000002</v>
      </c>
      <c r="G182" s="156">
        <v>1.865460712E-2</v>
      </c>
      <c r="H182" s="156">
        <v>2.826455625E-3</v>
      </c>
      <c r="I182" s="156">
        <v>0</v>
      </c>
      <c r="J182" s="156">
        <v>0</v>
      </c>
      <c r="K182" s="157">
        <v>0.2323346523</v>
      </c>
      <c r="L182" s="158">
        <v>0.4561899378</v>
      </c>
      <c r="M182" s="156">
        <v>0.48445449410000002</v>
      </c>
      <c r="N182" s="156">
        <v>3.4482758619999998E-2</v>
      </c>
      <c r="O182" s="156">
        <v>0</v>
      </c>
      <c r="P182" s="156">
        <v>0</v>
      </c>
      <c r="Q182" s="156">
        <v>0</v>
      </c>
      <c r="R182" s="159">
        <v>2.4872809499999999E-2</v>
      </c>
      <c r="S182" s="155">
        <v>0.35452909420000001</v>
      </c>
      <c r="T182" s="156">
        <v>0.57708458309999999</v>
      </c>
      <c r="U182" s="156">
        <v>0</v>
      </c>
      <c r="V182" s="156">
        <v>0</v>
      </c>
      <c r="W182" s="156">
        <v>1.139772046E-2</v>
      </c>
      <c r="X182" s="156">
        <v>0</v>
      </c>
      <c r="Y182" s="157">
        <v>5.6988602280000002E-2</v>
      </c>
      <c r="Z182" s="158">
        <v>2.1595680860000001E-2</v>
      </c>
      <c r="AA182" s="156">
        <v>0.39712057589999999</v>
      </c>
      <c r="AB182" s="156">
        <v>0</v>
      </c>
      <c r="AC182" s="156">
        <v>0</v>
      </c>
      <c r="AD182" s="156">
        <v>3.5992801440000001E-3</v>
      </c>
      <c r="AE182" s="156">
        <v>0</v>
      </c>
      <c r="AF182" s="159">
        <v>0.57768446309999999</v>
      </c>
      <c r="AG182" s="155">
        <v>0.38922155689999999</v>
      </c>
      <c r="AH182" s="156">
        <v>0</v>
      </c>
      <c r="AI182" s="156">
        <v>0</v>
      </c>
      <c r="AJ182" s="156">
        <v>1.9294743850000001E-2</v>
      </c>
      <c r="AK182" s="156">
        <v>0.35861610109999997</v>
      </c>
      <c r="AL182" s="156">
        <v>0.1763140386</v>
      </c>
      <c r="AM182" s="157">
        <v>5.655355955E-2</v>
      </c>
      <c r="AN182" s="158">
        <v>0.41650033269999998</v>
      </c>
      <c r="AO182" s="156">
        <v>0</v>
      </c>
      <c r="AP182" s="156">
        <v>0</v>
      </c>
      <c r="AQ182" s="156">
        <v>0</v>
      </c>
      <c r="AR182" s="156">
        <v>0.35595475720000003</v>
      </c>
      <c r="AS182" s="156">
        <v>0.1669993347</v>
      </c>
      <c r="AT182" s="159">
        <v>6.0545575519999999E-2</v>
      </c>
    </row>
    <row r="183" spans="1:46" ht="12.75">
      <c r="A183" s="67" t="s">
        <v>10</v>
      </c>
      <c r="B183" s="67" t="s">
        <v>430</v>
      </c>
      <c r="C183" s="67" t="s">
        <v>447</v>
      </c>
      <c r="D183" s="67" t="s">
        <v>447</v>
      </c>
      <c r="E183" s="155">
        <v>0.3740231322</v>
      </c>
      <c r="F183" s="156">
        <v>0.35667396060000001</v>
      </c>
      <c r="G183" s="156">
        <v>0.22819631130000001</v>
      </c>
      <c r="H183" s="156">
        <v>8.4401375429999995E-3</v>
      </c>
      <c r="I183" s="156">
        <v>0</v>
      </c>
      <c r="J183" s="156">
        <v>0</v>
      </c>
      <c r="K183" s="157">
        <v>3.2666458269999997E-2</v>
      </c>
      <c r="L183" s="158">
        <v>0.28457695910000003</v>
      </c>
      <c r="M183" s="156">
        <v>0.39400561969999998</v>
      </c>
      <c r="N183" s="156">
        <v>0.2680299719</v>
      </c>
      <c r="O183" s="156">
        <v>0</v>
      </c>
      <c r="P183" s="156">
        <v>0</v>
      </c>
      <c r="Q183" s="156">
        <v>0</v>
      </c>
      <c r="R183" s="159">
        <v>5.3387449269999998E-2</v>
      </c>
      <c r="S183" s="155">
        <v>0.44861559369999998</v>
      </c>
      <c r="T183" s="156">
        <v>0.43604552400000002</v>
      </c>
      <c r="U183" s="156">
        <v>0</v>
      </c>
      <c r="V183" s="156">
        <v>0</v>
      </c>
      <c r="W183" s="156">
        <v>1.6646848990000001E-2</v>
      </c>
      <c r="X183" s="156">
        <v>0</v>
      </c>
      <c r="Y183" s="157">
        <v>9.8692033289999995E-2</v>
      </c>
      <c r="Z183" s="158">
        <v>8.0006794630000003E-2</v>
      </c>
      <c r="AA183" s="156">
        <v>0.24443689490000001</v>
      </c>
      <c r="AB183" s="156">
        <v>0</v>
      </c>
      <c r="AC183" s="156">
        <v>0</v>
      </c>
      <c r="AD183" s="156">
        <v>1.2230338029999999E-2</v>
      </c>
      <c r="AE183" s="156">
        <v>0</v>
      </c>
      <c r="AF183" s="159">
        <v>0.66332597250000003</v>
      </c>
      <c r="AG183" s="155">
        <v>0.21569674320000001</v>
      </c>
      <c r="AH183" s="156">
        <v>0</v>
      </c>
      <c r="AI183" s="156">
        <v>0</v>
      </c>
      <c r="AJ183" s="156">
        <v>1.08560242E-2</v>
      </c>
      <c r="AK183" s="156">
        <v>0.21409503469999999</v>
      </c>
      <c r="AL183" s="156">
        <v>0.45577504889999998</v>
      </c>
      <c r="AM183" s="157">
        <v>0.10357714899999999</v>
      </c>
      <c r="AN183" s="158">
        <v>0.24007830569999999</v>
      </c>
      <c r="AO183" s="156">
        <v>0</v>
      </c>
      <c r="AP183" s="156">
        <v>0</v>
      </c>
      <c r="AQ183" s="156">
        <v>0</v>
      </c>
      <c r="AR183" s="156">
        <v>0.20074746399999999</v>
      </c>
      <c r="AS183" s="156">
        <v>0.45773269259999999</v>
      </c>
      <c r="AT183" s="159">
        <v>0.10144153760000001</v>
      </c>
    </row>
    <row r="184" spans="1:46" ht="12.75">
      <c r="A184" s="67" t="s">
        <v>10</v>
      </c>
      <c r="B184" s="67" t="s">
        <v>430</v>
      </c>
      <c r="C184" s="67" t="s">
        <v>449</v>
      </c>
      <c r="D184" s="67" t="s">
        <v>449</v>
      </c>
      <c r="E184" s="155">
        <v>0.1990779547</v>
      </c>
      <c r="F184" s="156">
        <v>0.51299245599999999</v>
      </c>
      <c r="G184" s="156">
        <v>1.8440905279999999E-2</v>
      </c>
      <c r="H184" s="156">
        <v>3.7720033529999998E-3</v>
      </c>
      <c r="I184" s="156">
        <v>0</v>
      </c>
      <c r="J184" s="156">
        <v>0</v>
      </c>
      <c r="K184" s="157">
        <v>0.26571668059999998</v>
      </c>
      <c r="L184" s="158">
        <v>0.34199497070000001</v>
      </c>
      <c r="M184" s="156">
        <v>0.57418273259999997</v>
      </c>
      <c r="N184" s="156">
        <v>4.1072925400000002E-2</v>
      </c>
      <c r="O184" s="156">
        <v>0</v>
      </c>
      <c r="P184" s="156">
        <v>0</v>
      </c>
      <c r="Q184" s="156">
        <v>0</v>
      </c>
      <c r="R184" s="159">
        <v>4.2749371330000001E-2</v>
      </c>
      <c r="S184" s="155">
        <v>0.26691042050000002</v>
      </c>
      <c r="T184" s="156">
        <v>0.6247714808</v>
      </c>
      <c r="U184" s="156">
        <v>0</v>
      </c>
      <c r="V184" s="156">
        <v>0</v>
      </c>
      <c r="W184" s="156">
        <v>1.0968921390000001E-2</v>
      </c>
      <c r="X184" s="156">
        <v>0</v>
      </c>
      <c r="Y184" s="157">
        <v>9.7349177329999995E-2</v>
      </c>
      <c r="Z184" s="158">
        <v>7.0840950639999997E-2</v>
      </c>
      <c r="AA184" s="156">
        <v>0.29753199270000003</v>
      </c>
      <c r="AB184" s="156">
        <v>0</v>
      </c>
      <c r="AC184" s="156">
        <v>0</v>
      </c>
      <c r="AD184" s="156">
        <v>8.2266910420000002E-3</v>
      </c>
      <c r="AE184" s="156">
        <v>0</v>
      </c>
      <c r="AF184" s="159">
        <v>0.62340036560000001</v>
      </c>
      <c r="AG184" s="155">
        <v>0.268916712</v>
      </c>
      <c r="AH184" s="156">
        <v>0</v>
      </c>
      <c r="AI184" s="156">
        <v>0</v>
      </c>
      <c r="AJ184" s="156">
        <v>1.9597169300000002E-2</v>
      </c>
      <c r="AK184" s="156">
        <v>0.43767011430000002</v>
      </c>
      <c r="AL184" s="156">
        <v>0.1339139902</v>
      </c>
      <c r="AM184" s="157">
        <v>0.13990201420000001</v>
      </c>
      <c r="AN184" s="158">
        <v>0.29858849079999999</v>
      </c>
      <c r="AO184" s="156">
        <v>0</v>
      </c>
      <c r="AP184" s="156">
        <v>0</v>
      </c>
      <c r="AQ184" s="156">
        <v>0</v>
      </c>
      <c r="AR184" s="156">
        <v>0.40825190010000001</v>
      </c>
      <c r="AS184" s="156">
        <v>0.1400651466</v>
      </c>
      <c r="AT184" s="159">
        <v>0.1530944625</v>
      </c>
    </row>
    <row r="185" spans="1:46" ht="12.75">
      <c r="A185" s="67" t="s">
        <v>10</v>
      </c>
      <c r="B185" s="67" t="s">
        <v>430</v>
      </c>
      <c r="C185" s="67" t="s">
        <v>378</v>
      </c>
      <c r="D185" s="67" t="s">
        <v>378</v>
      </c>
      <c r="E185" s="155">
        <v>0.33952796880000002</v>
      </c>
      <c r="F185" s="156">
        <v>0.4121910426</v>
      </c>
      <c r="G185" s="156">
        <v>0.111317599</v>
      </c>
      <c r="H185" s="156">
        <v>2.973425014E-3</v>
      </c>
      <c r="I185" s="156">
        <v>0</v>
      </c>
      <c r="J185" s="156">
        <v>0</v>
      </c>
      <c r="K185" s="157">
        <v>0.13398996469999999</v>
      </c>
      <c r="L185" s="158">
        <v>0.4051291581</v>
      </c>
      <c r="M185" s="156">
        <v>0.43021743169999999</v>
      </c>
      <c r="N185" s="156">
        <v>0.13083070059999999</v>
      </c>
      <c r="O185" s="156">
        <v>0</v>
      </c>
      <c r="P185" s="156">
        <v>0</v>
      </c>
      <c r="Q185" s="156">
        <v>0</v>
      </c>
      <c r="R185" s="159">
        <v>3.3822709530000002E-2</v>
      </c>
      <c r="S185" s="155">
        <v>0.40300000000000002</v>
      </c>
      <c r="T185" s="156">
        <v>0.50800000000000001</v>
      </c>
      <c r="U185" s="156">
        <v>0</v>
      </c>
      <c r="V185" s="156">
        <v>0</v>
      </c>
      <c r="W185" s="156">
        <v>1.2800000000000001E-2</v>
      </c>
      <c r="X185" s="156">
        <v>0</v>
      </c>
      <c r="Y185" s="157">
        <v>7.6200000000000004E-2</v>
      </c>
      <c r="Z185" s="158">
        <v>5.96E-2</v>
      </c>
      <c r="AA185" s="156">
        <v>0.33839999999999998</v>
      </c>
      <c r="AB185" s="156">
        <v>0</v>
      </c>
      <c r="AC185" s="156">
        <v>0</v>
      </c>
      <c r="AD185" s="156">
        <v>8.3999999999999995E-3</v>
      </c>
      <c r="AE185" s="156">
        <v>0</v>
      </c>
      <c r="AF185" s="159">
        <v>0.59360000000000002</v>
      </c>
      <c r="AG185" s="155">
        <v>0.32553290080000002</v>
      </c>
      <c r="AH185" s="156">
        <v>0</v>
      </c>
      <c r="AI185" s="156">
        <v>0</v>
      </c>
      <c r="AJ185" s="156">
        <v>8.1093605190000004E-3</v>
      </c>
      <c r="AK185" s="156">
        <v>0.25139017609999997</v>
      </c>
      <c r="AL185" s="156">
        <v>0.3324837813</v>
      </c>
      <c r="AM185" s="157">
        <v>8.2483781280000001E-2</v>
      </c>
      <c r="AN185" s="158">
        <v>0.34452419540000001</v>
      </c>
      <c r="AO185" s="156">
        <v>0</v>
      </c>
      <c r="AP185" s="156">
        <v>0</v>
      </c>
      <c r="AQ185" s="156">
        <v>0</v>
      </c>
      <c r="AR185" s="156">
        <v>0.25561472559999998</v>
      </c>
      <c r="AS185" s="156">
        <v>0.33155823109999999</v>
      </c>
      <c r="AT185" s="159">
        <v>6.8302847880000003E-2</v>
      </c>
    </row>
    <row r="186" spans="1:46" ht="12.75">
      <c r="A186" s="67" t="s">
        <v>10</v>
      </c>
      <c r="B186" s="67" t="s">
        <v>430</v>
      </c>
      <c r="C186" s="67" t="s">
        <v>453</v>
      </c>
      <c r="D186" s="67" t="s">
        <v>453</v>
      </c>
      <c r="E186" s="155">
        <v>0.33710737759999998</v>
      </c>
      <c r="F186" s="156">
        <v>0.31848064279999999</v>
      </c>
      <c r="G186" s="156">
        <v>5.1862673480000003E-2</v>
      </c>
      <c r="H186" s="156">
        <v>1.4609203800000001E-3</v>
      </c>
      <c r="I186" s="156">
        <v>0</v>
      </c>
      <c r="J186" s="156">
        <v>0</v>
      </c>
      <c r="K186" s="157">
        <v>0.29108838570000001</v>
      </c>
      <c r="L186" s="158">
        <v>0.43791088389999999</v>
      </c>
      <c r="M186" s="156">
        <v>0.47479912340000002</v>
      </c>
      <c r="N186" s="156">
        <v>5.8436815189999998E-2</v>
      </c>
      <c r="O186" s="156">
        <v>0</v>
      </c>
      <c r="P186" s="156">
        <v>0</v>
      </c>
      <c r="Q186" s="156">
        <v>0</v>
      </c>
      <c r="R186" s="159">
        <v>2.88531775E-2</v>
      </c>
      <c r="S186" s="155">
        <v>0.43845835059999999</v>
      </c>
      <c r="T186" s="156">
        <v>0.48363033570000002</v>
      </c>
      <c r="U186" s="156">
        <v>0</v>
      </c>
      <c r="V186" s="156">
        <v>0</v>
      </c>
      <c r="W186" s="156">
        <v>1.0774968919999999E-2</v>
      </c>
      <c r="X186" s="156">
        <v>0</v>
      </c>
      <c r="Y186" s="157">
        <v>6.7136344799999997E-2</v>
      </c>
      <c r="Z186" s="158">
        <v>1.3675922090000001E-2</v>
      </c>
      <c r="AA186" s="156">
        <v>0.37836717780000001</v>
      </c>
      <c r="AB186" s="156">
        <v>0</v>
      </c>
      <c r="AC186" s="156">
        <v>0</v>
      </c>
      <c r="AD186" s="156">
        <v>6.6307501039999999E-3</v>
      </c>
      <c r="AE186" s="156">
        <v>0</v>
      </c>
      <c r="AF186" s="159">
        <v>0.60132615</v>
      </c>
      <c r="AG186" s="155">
        <v>0.35141509430000001</v>
      </c>
      <c r="AH186" s="156">
        <v>0</v>
      </c>
      <c r="AI186" s="156">
        <v>0</v>
      </c>
      <c r="AJ186" s="156">
        <v>1.9339622640000002E-2</v>
      </c>
      <c r="AK186" s="156">
        <v>0.33301886790000002</v>
      </c>
      <c r="AL186" s="156">
        <v>0.2033018868</v>
      </c>
      <c r="AM186" s="157">
        <v>9.2924528300000003E-2</v>
      </c>
      <c r="AN186" s="158">
        <v>0.35047169810000001</v>
      </c>
      <c r="AO186" s="156">
        <v>0</v>
      </c>
      <c r="AP186" s="156">
        <v>0</v>
      </c>
      <c r="AQ186" s="156">
        <v>0</v>
      </c>
      <c r="AR186" s="156">
        <v>0.35141509430000001</v>
      </c>
      <c r="AS186" s="156">
        <v>0.2103773585</v>
      </c>
      <c r="AT186" s="159">
        <v>8.7735849059999996E-2</v>
      </c>
    </row>
    <row r="187" spans="1:46" ht="12.75">
      <c r="A187" s="67" t="s">
        <v>10</v>
      </c>
      <c r="B187" s="67" t="s">
        <v>166</v>
      </c>
      <c r="C187" s="67" t="s">
        <v>455</v>
      </c>
      <c r="D187" s="67" t="s">
        <v>455</v>
      </c>
      <c r="E187" s="155">
        <v>0.62857142860000004</v>
      </c>
      <c r="F187" s="156">
        <v>0.30827067670000002</v>
      </c>
      <c r="G187" s="156">
        <v>5.5639097739999997E-2</v>
      </c>
      <c r="H187" s="156">
        <v>3.0075187970000001E-3</v>
      </c>
      <c r="I187" s="156">
        <v>0</v>
      </c>
      <c r="J187" s="156">
        <v>0</v>
      </c>
      <c r="K187" s="157">
        <v>4.5112781950000002E-3</v>
      </c>
      <c r="L187" s="158">
        <v>0.27067669170000003</v>
      </c>
      <c r="M187" s="156">
        <v>0.59248120299999996</v>
      </c>
      <c r="N187" s="156">
        <v>0.11278195489999999</v>
      </c>
      <c r="O187" s="156">
        <v>0</v>
      </c>
      <c r="P187" s="156">
        <v>0</v>
      </c>
      <c r="Q187" s="156">
        <v>0</v>
      </c>
      <c r="R187" s="159">
        <v>2.4060150379999999E-2</v>
      </c>
      <c r="S187" s="155">
        <v>0.46218487390000002</v>
      </c>
      <c r="T187" s="156">
        <v>0.50588235290000005</v>
      </c>
      <c r="U187" s="156">
        <v>0</v>
      </c>
      <c r="V187" s="156">
        <v>0</v>
      </c>
      <c r="W187" s="156">
        <v>1.680672269E-3</v>
      </c>
      <c r="X187" s="156">
        <v>0</v>
      </c>
      <c r="Y187" s="157">
        <v>3.0252100840000001E-2</v>
      </c>
      <c r="Z187" s="158">
        <v>0.2840336134</v>
      </c>
      <c r="AA187" s="156">
        <v>0.41008403360000001</v>
      </c>
      <c r="AB187" s="156">
        <v>0</v>
      </c>
      <c r="AC187" s="156">
        <v>0</v>
      </c>
      <c r="AD187" s="156">
        <v>3.3613445380000001E-3</v>
      </c>
      <c r="AE187" s="156">
        <v>0</v>
      </c>
      <c r="AF187" s="159">
        <v>0.30252100840000001</v>
      </c>
      <c r="AG187" s="155">
        <v>0.35225048920000002</v>
      </c>
      <c r="AH187" s="156">
        <v>0</v>
      </c>
      <c r="AI187" s="156">
        <v>0</v>
      </c>
      <c r="AJ187" s="156">
        <v>2.1526418790000001E-2</v>
      </c>
      <c r="AK187" s="156">
        <v>0.36986301370000002</v>
      </c>
      <c r="AL187" s="156">
        <v>0.16242661450000001</v>
      </c>
      <c r="AM187" s="157">
        <v>9.3933463800000006E-2</v>
      </c>
      <c r="AN187" s="158">
        <v>0.35812133070000002</v>
      </c>
      <c r="AO187" s="156">
        <v>0</v>
      </c>
      <c r="AP187" s="156">
        <v>0</v>
      </c>
      <c r="AQ187" s="156">
        <v>0</v>
      </c>
      <c r="AR187" s="156">
        <v>0.38551859100000002</v>
      </c>
      <c r="AS187" s="156">
        <v>0.18395303330000001</v>
      </c>
      <c r="AT187" s="159">
        <v>7.2407045010000004E-2</v>
      </c>
    </row>
    <row r="188" spans="1:46" ht="12.75">
      <c r="A188" s="67" t="s">
        <v>10</v>
      </c>
      <c r="B188" s="67" t="s">
        <v>166</v>
      </c>
      <c r="C188" s="67" t="s">
        <v>457</v>
      </c>
      <c r="D188" s="67" t="s">
        <v>457</v>
      </c>
      <c r="E188" s="155">
        <v>0.2764298094</v>
      </c>
      <c r="F188" s="156">
        <v>0.32235701909999998</v>
      </c>
      <c r="G188" s="156">
        <v>3.7261698439999998E-2</v>
      </c>
      <c r="H188" s="156">
        <v>1.7331022529999999E-3</v>
      </c>
      <c r="I188" s="156">
        <v>0</v>
      </c>
      <c r="J188" s="156">
        <v>0</v>
      </c>
      <c r="K188" s="157">
        <v>0.36221837089999998</v>
      </c>
      <c r="L188" s="158">
        <v>0.54146200519999999</v>
      </c>
      <c r="M188" s="156">
        <v>0.38197052869999998</v>
      </c>
      <c r="N188" s="156">
        <v>4.7674082639999997E-2</v>
      </c>
      <c r="O188" s="156">
        <v>0</v>
      </c>
      <c r="P188" s="156">
        <v>0</v>
      </c>
      <c r="Q188" s="156">
        <v>0</v>
      </c>
      <c r="R188" s="159">
        <v>2.8893383420000002E-2</v>
      </c>
      <c r="S188" s="155">
        <v>0.41078004689999997</v>
      </c>
      <c r="T188" s="156">
        <v>0.51221961829999996</v>
      </c>
      <c r="U188" s="156">
        <v>0</v>
      </c>
      <c r="V188" s="156">
        <v>0</v>
      </c>
      <c r="W188" s="156">
        <v>8.3696016069999997E-3</v>
      </c>
      <c r="X188" s="156">
        <v>0</v>
      </c>
      <c r="Y188" s="157">
        <v>6.863073318E-2</v>
      </c>
      <c r="Z188" s="158">
        <v>0.11416136590000001</v>
      </c>
      <c r="AA188" s="156">
        <v>0.35721459659999999</v>
      </c>
      <c r="AB188" s="156">
        <v>0</v>
      </c>
      <c r="AC188" s="156">
        <v>0</v>
      </c>
      <c r="AD188" s="156">
        <v>7.365249414E-3</v>
      </c>
      <c r="AE188" s="156">
        <v>0</v>
      </c>
      <c r="AF188" s="159">
        <v>0.52125878810000004</v>
      </c>
      <c r="AG188" s="155">
        <v>0.39287266409999999</v>
      </c>
      <c r="AH188" s="156">
        <v>0</v>
      </c>
      <c r="AI188" s="156">
        <v>0</v>
      </c>
      <c r="AJ188" s="156">
        <v>1.173402868E-2</v>
      </c>
      <c r="AK188" s="156">
        <v>0.3050847458</v>
      </c>
      <c r="AL188" s="156">
        <v>0.1842677097</v>
      </c>
      <c r="AM188" s="157">
        <v>0.1060408518</v>
      </c>
      <c r="AN188" s="158">
        <v>0.4337244676</v>
      </c>
      <c r="AO188" s="156">
        <v>0</v>
      </c>
      <c r="AP188" s="156">
        <v>0</v>
      </c>
      <c r="AQ188" s="156">
        <v>0</v>
      </c>
      <c r="AR188" s="156">
        <v>0.27422859630000002</v>
      </c>
      <c r="AS188" s="156">
        <v>0.19252498909999999</v>
      </c>
      <c r="AT188" s="159">
        <v>9.9521946979999998E-2</v>
      </c>
    </row>
    <row r="189" spans="1:46" ht="12.75">
      <c r="A189" s="67" t="s">
        <v>10</v>
      </c>
      <c r="B189" s="67" t="s">
        <v>166</v>
      </c>
      <c r="C189" s="67" t="s">
        <v>459</v>
      </c>
      <c r="D189" s="67" t="s">
        <v>459</v>
      </c>
      <c r="E189" s="155">
        <v>0.23762981059999999</v>
      </c>
      <c r="F189" s="156">
        <v>0.40256566890000001</v>
      </c>
      <c r="G189" s="156">
        <v>0.1783750764</v>
      </c>
      <c r="H189" s="156">
        <v>1.2217470980000001E-3</v>
      </c>
      <c r="I189" s="156">
        <v>0</v>
      </c>
      <c r="J189" s="156">
        <v>0</v>
      </c>
      <c r="K189" s="157">
        <v>0.180207697</v>
      </c>
      <c r="L189" s="158">
        <v>0.3989004276</v>
      </c>
      <c r="M189" s="156">
        <v>0.35430665849999998</v>
      </c>
      <c r="N189" s="156">
        <v>0.22357971900000001</v>
      </c>
      <c r="O189" s="156">
        <v>0</v>
      </c>
      <c r="P189" s="156">
        <v>0</v>
      </c>
      <c r="Q189" s="156">
        <v>0</v>
      </c>
      <c r="R189" s="159">
        <v>2.3213194869999999E-2</v>
      </c>
      <c r="S189" s="155">
        <v>0.4149933066</v>
      </c>
      <c r="T189" s="156">
        <v>0.50066934399999996</v>
      </c>
      <c r="U189" s="156">
        <v>0</v>
      </c>
      <c r="V189" s="156">
        <v>0</v>
      </c>
      <c r="W189" s="156">
        <v>2.2088353410000001E-2</v>
      </c>
      <c r="X189" s="156">
        <v>0</v>
      </c>
      <c r="Y189" s="157">
        <v>6.2248995979999999E-2</v>
      </c>
      <c r="Z189" s="158">
        <v>0.1171352075</v>
      </c>
      <c r="AA189" s="156">
        <v>0.30321285139999998</v>
      </c>
      <c r="AB189" s="156">
        <v>0</v>
      </c>
      <c r="AC189" s="156">
        <v>0</v>
      </c>
      <c r="AD189" s="156">
        <v>1.137884873E-2</v>
      </c>
      <c r="AE189" s="156">
        <v>0</v>
      </c>
      <c r="AF189" s="159">
        <v>0.56827309240000001</v>
      </c>
      <c r="AG189" s="155">
        <v>0.3911516854</v>
      </c>
      <c r="AH189" s="156">
        <v>0</v>
      </c>
      <c r="AI189" s="156">
        <v>0</v>
      </c>
      <c r="AJ189" s="156">
        <v>1.123595506E-2</v>
      </c>
      <c r="AK189" s="156">
        <v>0.23665730339999999</v>
      </c>
      <c r="AL189" s="156">
        <v>0.2963483146</v>
      </c>
      <c r="AM189" s="157">
        <v>6.4606741570000001E-2</v>
      </c>
      <c r="AN189" s="158">
        <v>0.41292134829999999</v>
      </c>
      <c r="AO189" s="156">
        <v>0</v>
      </c>
      <c r="AP189" s="156">
        <v>0</v>
      </c>
      <c r="AQ189" s="156">
        <v>0</v>
      </c>
      <c r="AR189" s="156">
        <v>0.23314606739999999</v>
      </c>
      <c r="AS189" s="156">
        <v>0.29213483150000003</v>
      </c>
      <c r="AT189" s="159">
        <v>6.1797752810000002E-2</v>
      </c>
    </row>
    <row r="190" spans="1:46" ht="12.75">
      <c r="A190" s="67" t="s">
        <v>10</v>
      </c>
      <c r="B190" s="67" t="s">
        <v>166</v>
      </c>
      <c r="C190" s="67" t="s">
        <v>461</v>
      </c>
      <c r="D190" s="67" t="s">
        <v>462</v>
      </c>
      <c r="E190" s="155">
        <v>0.48310139169999999</v>
      </c>
      <c r="F190" s="156">
        <v>0.50298210740000004</v>
      </c>
      <c r="G190" s="156">
        <v>2.9821073560000001E-2</v>
      </c>
      <c r="H190" s="156">
        <v>5.3015241880000003E-3</v>
      </c>
      <c r="I190" s="156">
        <v>0</v>
      </c>
      <c r="J190" s="156">
        <v>0</v>
      </c>
      <c r="K190" s="157">
        <v>2.120609675E-2</v>
      </c>
      <c r="L190" s="158">
        <v>0.51557322729999999</v>
      </c>
      <c r="M190" s="156">
        <v>0.42014579190000001</v>
      </c>
      <c r="N190" s="156">
        <v>3.4459907220000002E-2</v>
      </c>
      <c r="O190" s="156">
        <v>0</v>
      </c>
      <c r="P190" s="156">
        <v>0</v>
      </c>
      <c r="Q190" s="156">
        <v>0</v>
      </c>
      <c r="R190" s="159">
        <v>2.9821073560000001E-2</v>
      </c>
      <c r="S190" s="155">
        <v>0.39553752539999998</v>
      </c>
      <c r="T190" s="156">
        <v>0.53448275860000005</v>
      </c>
      <c r="U190" s="156">
        <v>0</v>
      </c>
      <c r="V190" s="156">
        <v>0</v>
      </c>
      <c r="W190" s="156">
        <v>1.318458418E-2</v>
      </c>
      <c r="X190" s="156">
        <v>0</v>
      </c>
      <c r="Y190" s="157">
        <v>5.679513185E-2</v>
      </c>
      <c r="Z190" s="158">
        <v>3.1440162270000002E-2</v>
      </c>
      <c r="AA190" s="156">
        <v>0.26470588239999998</v>
      </c>
      <c r="AB190" s="156">
        <v>0</v>
      </c>
      <c r="AC190" s="156">
        <v>0</v>
      </c>
      <c r="AD190" s="156">
        <v>3.0425963490000002E-3</v>
      </c>
      <c r="AE190" s="156">
        <v>0</v>
      </c>
      <c r="AF190" s="159">
        <v>0.70081135900000002</v>
      </c>
      <c r="AG190" s="155">
        <v>0.36774941999999999</v>
      </c>
      <c r="AH190" s="156">
        <v>0</v>
      </c>
      <c r="AI190" s="156">
        <v>0</v>
      </c>
      <c r="AJ190" s="156">
        <v>1.9721577729999999E-2</v>
      </c>
      <c r="AK190" s="156">
        <v>0.42807424589999998</v>
      </c>
      <c r="AL190" s="156">
        <v>0.1415313225</v>
      </c>
      <c r="AM190" s="157">
        <v>4.292343387E-2</v>
      </c>
      <c r="AN190" s="158">
        <v>0.37470997680000001</v>
      </c>
      <c r="AO190" s="156">
        <v>0</v>
      </c>
      <c r="AP190" s="156">
        <v>0</v>
      </c>
      <c r="AQ190" s="156">
        <v>0</v>
      </c>
      <c r="AR190" s="156">
        <v>0.42575406030000001</v>
      </c>
      <c r="AS190" s="156">
        <v>0.15197215780000001</v>
      </c>
      <c r="AT190" s="159">
        <v>4.7563805100000002E-2</v>
      </c>
    </row>
    <row r="191" spans="1:46" ht="12.75">
      <c r="A191" s="67" t="s">
        <v>10</v>
      </c>
      <c r="B191" s="67" t="s">
        <v>166</v>
      </c>
      <c r="C191" s="67" t="s">
        <v>463</v>
      </c>
      <c r="D191" s="67" t="s">
        <v>463</v>
      </c>
      <c r="E191" s="155">
        <v>0.32591414940000002</v>
      </c>
      <c r="F191" s="156">
        <v>0.3469793323</v>
      </c>
      <c r="G191" s="156">
        <v>3.6168521459999999E-2</v>
      </c>
      <c r="H191" s="156">
        <v>5.9618441969999996E-3</v>
      </c>
      <c r="I191" s="156">
        <v>0</v>
      </c>
      <c r="J191" s="156">
        <v>0</v>
      </c>
      <c r="K191" s="157">
        <v>0.28497615259999998</v>
      </c>
      <c r="L191" s="158">
        <v>0.34459459460000003</v>
      </c>
      <c r="M191" s="156">
        <v>0.53457869629999999</v>
      </c>
      <c r="N191" s="156">
        <v>6.0015898249999998E-2</v>
      </c>
      <c r="O191" s="156">
        <v>0</v>
      </c>
      <c r="P191" s="156">
        <v>0</v>
      </c>
      <c r="Q191" s="156">
        <v>0</v>
      </c>
      <c r="R191" s="159">
        <v>6.0810810809999997E-2</v>
      </c>
      <c r="S191" s="155">
        <v>0.38557435439999999</v>
      </c>
      <c r="T191" s="156">
        <v>0.54704660140000005</v>
      </c>
      <c r="U191" s="156">
        <v>0</v>
      </c>
      <c r="V191" s="156">
        <v>0</v>
      </c>
      <c r="W191" s="156">
        <v>8.6078955179999996E-3</v>
      </c>
      <c r="X191" s="156">
        <v>0</v>
      </c>
      <c r="Y191" s="157">
        <v>5.8771148709999999E-2</v>
      </c>
      <c r="Z191" s="158">
        <v>6.4410804390000007E-2</v>
      </c>
      <c r="AA191" s="156">
        <v>0.24784802610000001</v>
      </c>
      <c r="AB191" s="156">
        <v>0</v>
      </c>
      <c r="AC191" s="156">
        <v>0</v>
      </c>
      <c r="AD191" s="156">
        <v>6.2333036510000004E-3</v>
      </c>
      <c r="AE191" s="156">
        <v>0</v>
      </c>
      <c r="AF191" s="159">
        <v>0.6815078658</v>
      </c>
      <c r="AG191" s="155">
        <v>0.41687817259999999</v>
      </c>
      <c r="AH191" s="156">
        <v>0</v>
      </c>
      <c r="AI191" s="156">
        <v>0</v>
      </c>
      <c r="AJ191" s="156">
        <v>1.52284264E-2</v>
      </c>
      <c r="AK191" s="156">
        <v>0.32296954309999998</v>
      </c>
      <c r="AL191" s="156">
        <v>0.17100253809999999</v>
      </c>
      <c r="AM191" s="157">
        <v>7.3921319799999996E-2</v>
      </c>
      <c r="AN191" s="158">
        <v>0.43591370559999998</v>
      </c>
      <c r="AO191" s="156">
        <v>0</v>
      </c>
      <c r="AP191" s="156">
        <v>0</v>
      </c>
      <c r="AQ191" s="156">
        <v>0</v>
      </c>
      <c r="AR191" s="156">
        <v>0.31313451780000001</v>
      </c>
      <c r="AS191" s="156">
        <v>0.16529187819999999</v>
      </c>
      <c r="AT191" s="159">
        <v>8.5659898479999996E-2</v>
      </c>
    </row>
    <row r="192" spans="1:46" ht="12.75">
      <c r="A192" s="67" t="s">
        <v>10</v>
      </c>
      <c r="B192" s="67" t="s">
        <v>166</v>
      </c>
      <c r="C192" s="67" t="s">
        <v>465</v>
      </c>
      <c r="D192" s="67" t="s">
        <v>465</v>
      </c>
      <c r="E192" s="155">
        <v>0.63473909939999995</v>
      </c>
      <c r="F192" s="156">
        <v>0.4605670717</v>
      </c>
      <c r="G192" s="156">
        <v>0.15082201570000001</v>
      </c>
      <c r="H192" s="156">
        <v>5.9566356919999999E-3</v>
      </c>
      <c r="I192" s="156">
        <v>0</v>
      </c>
      <c r="J192" s="156">
        <v>0</v>
      </c>
      <c r="K192" s="157">
        <v>0.25208482250000003</v>
      </c>
      <c r="L192" s="158">
        <v>0.4373511196</v>
      </c>
      <c r="M192" s="156">
        <v>0.34373511200000001</v>
      </c>
      <c r="N192" s="156">
        <v>0.18484992850000001</v>
      </c>
      <c r="O192" s="156">
        <v>0</v>
      </c>
      <c r="P192" s="156">
        <v>0</v>
      </c>
      <c r="Q192" s="156">
        <v>0</v>
      </c>
      <c r="R192" s="159">
        <v>3.4063839919999998E-2</v>
      </c>
      <c r="S192" s="155">
        <v>0.51970181039999996</v>
      </c>
      <c r="T192" s="156">
        <v>0.40175718849999997</v>
      </c>
      <c r="U192" s="156">
        <v>0</v>
      </c>
      <c r="V192" s="156">
        <v>0</v>
      </c>
      <c r="W192" s="156">
        <v>7.7209797659999998E-3</v>
      </c>
      <c r="X192" s="156">
        <v>0</v>
      </c>
      <c r="Y192" s="157">
        <v>7.0820021299999994E-2</v>
      </c>
      <c r="Z192" s="158">
        <v>0.14536741210000001</v>
      </c>
      <c r="AA192" s="156">
        <v>0.23189563369999999</v>
      </c>
      <c r="AB192" s="156">
        <v>0</v>
      </c>
      <c r="AC192" s="156">
        <v>0</v>
      </c>
      <c r="AD192" s="156">
        <v>9.0521831740000003E-3</v>
      </c>
      <c r="AE192" s="156">
        <v>0</v>
      </c>
      <c r="AF192" s="159">
        <v>0.61368477099999996</v>
      </c>
      <c r="AG192" s="155">
        <v>0.41726826449999999</v>
      </c>
      <c r="AH192" s="156">
        <v>0</v>
      </c>
      <c r="AI192" s="156">
        <v>0</v>
      </c>
      <c r="AJ192" s="156">
        <v>9.8180768120000005E-3</v>
      </c>
      <c r="AK192" s="156">
        <v>0.1793242853</v>
      </c>
      <c r="AL192" s="156">
        <v>0.3245740687</v>
      </c>
      <c r="AM192" s="157">
        <v>6.9015304649999998E-2</v>
      </c>
      <c r="AN192" s="158">
        <v>0.43690441810000002</v>
      </c>
      <c r="AO192" s="156">
        <v>0</v>
      </c>
      <c r="AP192" s="156">
        <v>0</v>
      </c>
      <c r="AQ192" s="156">
        <v>0</v>
      </c>
      <c r="AR192" s="156">
        <v>0.1726826451</v>
      </c>
      <c r="AS192" s="156">
        <v>0.3213976321</v>
      </c>
      <c r="AT192" s="159">
        <v>6.9015304649999998E-2</v>
      </c>
    </row>
    <row r="193" spans="1:46" ht="12.75">
      <c r="A193" s="67" t="s">
        <v>10</v>
      </c>
      <c r="B193" s="67" t="s">
        <v>166</v>
      </c>
      <c r="C193" s="67" t="s">
        <v>468</v>
      </c>
      <c r="D193" s="67" t="s">
        <v>468</v>
      </c>
      <c r="E193" s="155">
        <v>0.42847124819999999</v>
      </c>
      <c r="F193" s="156">
        <v>0.40532959330000001</v>
      </c>
      <c r="G193" s="156">
        <v>0.16269284710000001</v>
      </c>
      <c r="H193" s="156">
        <v>5.6100981769999997E-3</v>
      </c>
      <c r="I193" s="156">
        <v>0</v>
      </c>
      <c r="J193" s="156">
        <v>0</v>
      </c>
      <c r="K193" s="157">
        <v>2.1037868160000001E-3</v>
      </c>
      <c r="L193" s="158">
        <v>0.30084151469999998</v>
      </c>
      <c r="M193" s="156">
        <v>0.47545582050000001</v>
      </c>
      <c r="N193" s="156">
        <v>0.18723702659999999</v>
      </c>
      <c r="O193" s="156">
        <v>0</v>
      </c>
      <c r="P193" s="156">
        <v>0</v>
      </c>
      <c r="Q193" s="156">
        <v>0</v>
      </c>
      <c r="R193" s="159">
        <v>3.646563815E-2</v>
      </c>
      <c r="S193" s="155">
        <v>0.32263710620000002</v>
      </c>
      <c r="T193" s="156">
        <v>0.60385064180000003</v>
      </c>
      <c r="U193" s="156">
        <v>0</v>
      </c>
      <c r="V193" s="156">
        <v>0</v>
      </c>
      <c r="W193" s="156">
        <v>7.0011668610000001E-3</v>
      </c>
      <c r="X193" s="156">
        <v>0</v>
      </c>
      <c r="Y193" s="157">
        <v>6.6511085179999999E-2</v>
      </c>
      <c r="Z193" s="158">
        <v>5.2508751460000003E-2</v>
      </c>
      <c r="AA193" s="156">
        <v>0.2975495916</v>
      </c>
      <c r="AB193" s="156">
        <v>0</v>
      </c>
      <c r="AC193" s="156">
        <v>0</v>
      </c>
      <c r="AD193" s="156">
        <v>1.7502917149999999E-3</v>
      </c>
      <c r="AE193" s="156">
        <v>0</v>
      </c>
      <c r="AF193" s="159">
        <v>0.64819136519999998</v>
      </c>
      <c r="AG193" s="155">
        <v>0.26109660569999998</v>
      </c>
      <c r="AH193" s="156">
        <v>0</v>
      </c>
      <c r="AI193" s="156">
        <v>0</v>
      </c>
      <c r="AJ193" s="156">
        <v>2.6109660569999998E-2</v>
      </c>
      <c r="AK193" s="156">
        <v>0.36684073109999998</v>
      </c>
      <c r="AL193" s="156">
        <v>0.2983028721</v>
      </c>
      <c r="AM193" s="157">
        <v>4.7650130550000003E-2</v>
      </c>
      <c r="AN193" s="158">
        <v>0.27806788510000002</v>
      </c>
      <c r="AO193" s="156">
        <v>0</v>
      </c>
      <c r="AP193" s="156">
        <v>0</v>
      </c>
      <c r="AQ193" s="156">
        <v>0</v>
      </c>
      <c r="AR193" s="156">
        <v>0.36422976499999998</v>
      </c>
      <c r="AS193" s="156">
        <v>0.28851174930000001</v>
      </c>
      <c r="AT193" s="159">
        <v>6.9190600520000006E-2</v>
      </c>
    </row>
    <row r="194" spans="1:46" ht="12.75">
      <c r="A194" s="67" t="s">
        <v>10</v>
      </c>
      <c r="B194" s="67" t="s">
        <v>166</v>
      </c>
      <c r="C194" s="67" t="s">
        <v>469</v>
      </c>
      <c r="D194" s="67" t="s">
        <v>469</v>
      </c>
      <c r="E194" s="155">
        <v>0.2513542795</v>
      </c>
      <c r="F194" s="156">
        <v>0.2513542795</v>
      </c>
      <c r="G194" s="156">
        <v>0.16684723730000001</v>
      </c>
      <c r="H194" s="156">
        <v>6.5005417120000001E-3</v>
      </c>
      <c r="I194" s="156">
        <v>0</v>
      </c>
      <c r="J194" s="156">
        <v>0</v>
      </c>
      <c r="K194" s="157">
        <v>0.32394366200000002</v>
      </c>
      <c r="L194" s="158">
        <v>0.16034669560000001</v>
      </c>
      <c r="M194" s="156">
        <v>0.5590465872</v>
      </c>
      <c r="N194" s="156">
        <v>0.2221018418</v>
      </c>
      <c r="O194" s="156">
        <v>0</v>
      </c>
      <c r="P194" s="156">
        <v>0</v>
      </c>
      <c r="Q194" s="156">
        <v>0</v>
      </c>
      <c r="R194" s="159">
        <v>5.8504875409999997E-2</v>
      </c>
      <c r="S194" s="155">
        <v>0.3390663391</v>
      </c>
      <c r="T194" s="156">
        <v>0.61302211299999998</v>
      </c>
      <c r="U194" s="156">
        <v>0</v>
      </c>
      <c r="V194" s="156">
        <v>0</v>
      </c>
      <c r="W194" s="156">
        <v>9.8280098280000006E-3</v>
      </c>
      <c r="X194" s="156">
        <v>0</v>
      </c>
      <c r="Y194" s="157">
        <v>3.808353808E-2</v>
      </c>
      <c r="Z194" s="158">
        <v>0.101965602</v>
      </c>
      <c r="AA194" s="156">
        <v>0.171990172</v>
      </c>
      <c r="AB194" s="156">
        <v>0</v>
      </c>
      <c r="AC194" s="156">
        <v>0</v>
      </c>
      <c r="AD194" s="156">
        <v>7.3710073710000004E-3</v>
      </c>
      <c r="AE194" s="156">
        <v>0</v>
      </c>
      <c r="AF194" s="159">
        <v>0.7186732187</v>
      </c>
      <c r="AG194" s="155">
        <v>0.19272727270000001</v>
      </c>
      <c r="AH194" s="156">
        <v>0</v>
      </c>
      <c r="AI194" s="156">
        <v>0</v>
      </c>
      <c r="AJ194" s="156">
        <v>9.0909090910000004E-3</v>
      </c>
      <c r="AK194" s="156">
        <v>0.24909090910000001</v>
      </c>
      <c r="AL194" s="156">
        <v>0.40181818180000001</v>
      </c>
      <c r="AM194" s="157">
        <v>0.14727272729999999</v>
      </c>
      <c r="AN194" s="158">
        <v>0.22909090909999999</v>
      </c>
      <c r="AO194" s="156">
        <v>0</v>
      </c>
      <c r="AP194" s="156">
        <v>0</v>
      </c>
      <c r="AQ194" s="156">
        <v>0</v>
      </c>
      <c r="AR194" s="156">
        <v>0.20363636360000001</v>
      </c>
      <c r="AS194" s="156">
        <v>0.40363636359999999</v>
      </c>
      <c r="AT194" s="159">
        <v>0.1636363636</v>
      </c>
    </row>
    <row r="195" spans="1:46" ht="12.75">
      <c r="A195" s="67" t="s">
        <v>10</v>
      </c>
      <c r="B195" s="67" t="s">
        <v>166</v>
      </c>
      <c r="C195" s="67" t="s">
        <v>166</v>
      </c>
      <c r="D195" s="67" t="s">
        <v>166</v>
      </c>
      <c r="E195" s="155">
        <v>0.41105662059999998</v>
      </c>
      <c r="F195" s="156">
        <v>0.44003566649999998</v>
      </c>
      <c r="G195" s="156">
        <v>0.1729826126</v>
      </c>
      <c r="H195" s="156">
        <v>1.3374944270000001E-3</v>
      </c>
      <c r="I195" s="156">
        <v>0</v>
      </c>
      <c r="J195" s="156">
        <v>0</v>
      </c>
      <c r="K195" s="157">
        <v>2.5412394120000001E-2</v>
      </c>
      <c r="L195" s="158">
        <v>0.340169416</v>
      </c>
      <c r="M195" s="156">
        <v>0.41105662059999998</v>
      </c>
      <c r="N195" s="156">
        <v>0.21711992869999999</v>
      </c>
      <c r="O195" s="156">
        <v>0</v>
      </c>
      <c r="P195" s="156">
        <v>0</v>
      </c>
      <c r="Q195" s="156">
        <v>0</v>
      </c>
      <c r="R195" s="159">
        <v>3.1654034769999999E-2</v>
      </c>
      <c r="S195" s="155">
        <v>0.40275726239999998</v>
      </c>
      <c r="T195" s="156">
        <v>0.5204332841</v>
      </c>
      <c r="U195" s="156">
        <v>0</v>
      </c>
      <c r="V195" s="156">
        <v>0</v>
      </c>
      <c r="W195" s="156">
        <v>1.5755785330000001E-2</v>
      </c>
      <c r="X195" s="156">
        <v>0</v>
      </c>
      <c r="Y195" s="157">
        <v>6.1053668140000003E-2</v>
      </c>
      <c r="Z195" s="158">
        <v>0.17841301130000001</v>
      </c>
      <c r="AA195" s="156">
        <v>0.32725480530000001</v>
      </c>
      <c r="AB195" s="156">
        <v>0</v>
      </c>
      <c r="AC195" s="156">
        <v>0</v>
      </c>
      <c r="AD195" s="156">
        <v>1.084277969E-2</v>
      </c>
      <c r="AE195" s="156">
        <v>0</v>
      </c>
      <c r="AF195" s="159">
        <v>0.48348940359999998</v>
      </c>
      <c r="AG195" s="155">
        <v>0.15476190479999999</v>
      </c>
      <c r="AH195" s="156">
        <v>0</v>
      </c>
      <c r="AI195" s="156">
        <v>0</v>
      </c>
      <c r="AJ195" s="156">
        <v>1.0822510820000001E-2</v>
      </c>
      <c r="AK195" s="156">
        <v>0.3955627706</v>
      </c>
      <c r="AL195" s="156">
        <v>0.38419913420000001</v>
      </c>
      <c r="AM195" s="157">
        <v>5.4653679650000002E-2</v>
      </c>
      <c r="AN195" s="158">
        <v>0.21807359309999999</v>
      </c>
      <c r="AO195" s="156">
        <v>0</v>
      </c>
      <c r="AP195" s="156">
        <v>0</v>
      </c>
      <c r="AQ195" s="156">
        <v>0</v>
      </c>
      <c r="AR195" s="156">
        <v>0.36201298700000001</v>
      </c>
      <c r="AS195" s="156">
        <v>0.37283549780000003</v>
      </c>
      <c r="AT195" s="159">
        <v>4.7077922080000001E-2</v>
      </c>
    </row>
    <row r="196" spans="1:46" ht="12.75">
      <c r="A196" s="67" t="s">
        <v>10</v>
      </c>
      <c r="B196" s="67" t="s">
        <v>166</v>
      </c>
      <c r="C196" s="67" t="s">
        <v>471</v>
      </c>
      <c r="D196" s="67" t="s">
        <v>471</v>
      </c>
      <c r="E196" s="155">
        <v>0.42809917359999999</v>
      </c>
      <c r="F196" s="156">
        <v>0.37024793389999999</v>
      </c>
      <c r="G196" s="156">
        <v>4.3801652890000001E-2</v>
      </c>
      <c r="H196" s="156">
        <v>7.4380165289999996E-3</v>
      </c>
      <c r="I196" s="156">
        <v>0</v>
      </c>
      <c r="J196" s="156">
        <v>0</v>
      </c>
      <c r="K196" s="157">
        <v>0.15041322309999999</v>
      </c>
      <c r="L196" s="158">
        <v>0.53719008260000001</v>
      </c>
      <c r="M196" s="156">
        <v>0.33140495869999997</v>
      </c>
      <c r="N196" s="156">
        <v>8.0165289259999994E-2</v>
      </c>
      <c r="O196" s="156">
        <v>0</v>
      </c>
      <c r="P196" s="156">
        <v>0</v>
      </c>
      <c r="Q196" s="156">
        <v>0</v>
      </c>
      <c r="R196" s="159">
        <v>5.1239669420000002E-2</v>
      </c>
      <c r="S196" s="155">
        <v>0.59983291559999996</v>
      </c>
      <c r="T196" s="156">
        <v>0.30994152050000001</v>
      </c>
      <c r="U196" s="156">
        <v>0</v>
      </c>
      <c r="V196" s="156">
        <v>0</v>
      </c>
      <c r="W196" s="156">
        <v>1.42021721E-2</v>
      </c>
      <c r="X196" s="156">
        <v>0</v>
      </c>
      <c r="Y196" s="157">
        <v>7.6023391809999993E-2</v>
      </c>
      <c r="Z196" s="158">
        <v>0.12447786130000001</v>
      </c>
      <c r="AA196" s="156">
        <v>0.126984127</v>
      </c>
      <c r="AB196" s="156">
        <v>0</v>
      </c>
      <c r="AC196" s="156">
        <v>0</v>
      </c>
      <c r="AD196" s="156">
        <v>9.1896407689999998E-3</v>
      </c>
      <c r="AE196" s="156">
        <v>0</v>
      </c>
      <c r="AF196" s="159">
        <v>0.73934837090000005</v>
      </c>
      <c r="AG196" s="155">
        <v>0.54811320750000003</v>
      </c>
      <c r="AH196" s="156">
        <v>0</v>
      </c>
      <c r="AI196" s="156">
        <v>0</v>
      </c>
      <c r="AJ196" s="156">
        <v>2.1698113210000002E-2</v>
      </c>
      <c r="AK196" s="156">
        <v>0.24056603770000001</v>
      </c>
      <c r="AL196" s="156">
        <v>0.1264150943</v>
      </c>
      <c r="AM196" s="157">
        <v>6.3207547170000003E-2</v>
      </c>
      <c r="AN196" s="158">
        <v>0.56792452829999995</v>
      </c>
      <c r="AO196" s="156">
        <v>0</v>
      </c>
      <c r="AP196" s="156">
        <v>0</v>
      </c>
      <c r="AQ196" s="156">
        <v>0</v>
      </c>
      <c r="AR196" s="156">
        <v>0.22830188679999999</v>
      </c>
      <c r="AS196" s="156">
        <v>0.14339622639999999</v>
      </c>
      <c r="AT196" s="159">
        <v>6.0377358489999998E-2</v>
      </c>
    </row>
    <row r="197" spans="1:46" ht="12.75">
      <c r="A197" s="67" t="s">
        <v>10</v>
      </c>
      <c r="B197" s="67" t="s">
        <v>166</v>
      </c>
      <c r="C197" s="67" t="s">
        <v>473</v>
      </c>
      <c r="D197" s="67" t="s">
        <v>473</v>
      </c>
      <c r="E197" s="155">
        <v>0.49817651349999997</v>
      </c>
      <c r="F197" s="156">
        <v>0.46486749329999999</v>
      </c>
      <c r="G197" s="156">
        <v>6.783369803E-2</v>
      </c>
      <c r="H197" s="156">
        <v>4.6194991489999998E-3</v>
      </c>
      <c r="I197" s="156">
        <v>0</v>
      </c>
      <c r="J197" s="156">
        <v>0</v>
      </c>
      <c r="K197" s="157">
        <v>3.5497203989999997E-2</v>
      </c>
      <c r="L197" s="158">
        <v>0.2966204717</v>
      </c>
      <c r="M197" s="156">
        <v>0.5713591053</v>
      </c>
      <c r="N197" s="156">
        <v>9.0688062240000006E-2</v>
      </c>
      <c r="O197" s="156">
        <v>0</v>
      </c>
      <c r="P197" s="156">
        <v>0</v>
      </c>
      <c r="Q197" s="156">
        <v>0</v>
      </c>
      <c r="R197" s="159">
        <v>4.1332360810000003E-2</v>
      </c>
      <c r="S197" s="155">
        <v>0.35225153209999999</v>
      </c>
      <c r="T197" s="156">
        <v>0.55901945109999995</v>
      </c>
      <c r="U197" s="156">
        <v>0</v>
      </c>
      <c r="V197" s="156">
        <v>0</v>
      </c>
      <c r="W197" s="156">
        <v>8.7929656270000003E-3</v>
      </c>
      <c r="X197" s="156">
        <v>0</v>
      </c>
      <c r="Y197" s="157">
        <v>7.9936051159999993E-2</v>
      </c>
      <c r="Z197" s="158">
        <v>7.1942446039999997E-2</v>
      </c>
      <c r="AA197" s="156">
        <v>0.3562483347</v>
      </c>
      <c r="AB197" s="156">
        <v>0</v>
      </c>
      <c r="AC197" s="156">
        <v>0</v>
      </c>
      <c r="AD197" s="156">
        <v>6.9277910999999996E-3</v>
      </c>
      <c r="AE197" s="156">
        <v>0</v>
      </c>
      <c r="AF197" s="159">
        <v>0.56488142819999998</v>
      </c>
      <c r="AG197" s="155">
        <v>0.35122975400000001</v>
      </c>
      <c r="AH197" s="156">
        <v>0</v>
      </c>
      <c r="AI197" s="156">
        <v>0</v>
      </c>
      <c r="AJ197" s="156">
        <v>1.559688062E-2</v>
      </c>
      <c r="AK197" s="156">
        <v>0.22615476900000001</v>
      </c>
      <c r="AL197" s="156">
        <v>0.2873425315</v>
      </c>
      <c r="AM197" s="157">
        <v>0.1196760648</v>
      </c>
      <c r="AN197" s="158">
        <v>0.36112777439999999</v>
      </c>
      <c r="AO197" s="156">
        <v>0</v>
      </c>
      <c r="AP197" s="156">
        <v>0</v>
      </c>
      <c r="AQ197" s="156">
        <v>0</v>
      </c>
      <c r="AR197" s="156">
        <v>0.24025194959999999</v>
      </c>
      <c r="AS197" s="156">
        <v>0.28224355130000001</v>
      </c>
      <c r="AT197" s="159">
        <v>0.1163767247</v>
      </c>
    </row>
    <row r="198" spans="1:46" ht="12.75">
      <c r="A198" s="67" t="s">
        <v>10</v>
      </c>
      <c r="B198" s="67" t="s">
        <v>166</v>
      </c>
      <c r="C198" s="67" t="s">
        <v>475</v>
      </c>
      <c r="D198" s="67" t="s">
        <v>475</v>
      </c>
      <c r="E198" s="155">
        <v>0.37173114330000001</v>
      </c>
      <c r="F198" s="156">
        <v>0.55284201430000002</v>
      </c>
      <c r="G198" s="156">
        <v>9.9416468549999998E-3</v>
      </c>
      <c r="H198" s="156">
        <v>1.404797925E-2</v>
      </c>
      <c r="I198" s="156">
        <v>0</v>
      </c>
      <c r="J198" s="156">
        <v>0</v>
      </c>
      <c r="K198" s="157">
        <v>5.1437216340000001E-2</v>
      </c>
      <c r="L198" s="158">
        <v>0.16165982279999999</v>
      </c>
      <c r="M198" s="156">
        <v>0.7804192781</v>
      </c>
      <c r="N198" s="156">
        <v>1.037389237E-2</v>
      </c>
      <c r="O198" s="156">
        <v>0</v>
      </c>
      <c r="P198" s="156">
        <v>0</v>
      </c>
      <c r="Q198" s="156">
        <v>0</v>
      </c>
      <c r="R198" s="159">
        <v>4.7547006699999998E-2</v>
      </c>
      <c r="S198" s="155">
        <v>9.8488318830000005E-2</v>
      </c>
      <c r="T198" s="156">
        <v>0.82707283549999999</v>
      </c>
      <c r="U198" s="156">
        <v>0</v>
      </c>
      <c r="V198" s="156">
        <v>0</v>
      </c>
      <c r="W198" s="156">
        <v>7.7874484650000001E-3</v>
      </c>
      <c r="X198" s="156">
        <v>0</v>
      </c>
      <c r="Y198" s="157">
        <v>6.665139716E-2</v>
      </c>
      <c r="Z198" s="158">
        <v>2.3362345400000002E-2</v>
      </c>
      <c r="AA198" s="156">
        <v>0.52908841039999999</v>
      </c>
      <c r="AB198" s="156">
        <v>0</v>
      </c>
      <c r="AC198" s="156">
        <v>0</v>
      </c>
      <c r="AD198" s="156">
        <v>4.8098946400000004E-3</v>
      </c>
      <c r="AE198" s="156">
        <v>0</v>
      </c>
      <c r="AF198" s="159">
        <v>0.44273934949999999</v>
      </c>
      <c r="AG198" s="155">
        <v>0.25280758669999998</v>
      </c>
      <c r="AH198" s="156">
        <v>0</v>
      </c>
      <c r="AI198" s="156">
        <v>0</v>
      </c>
      <c r="AJ198" s="156">
        <v>3.4938856999999997E-2</v>
      </c>
      <c r="AK198" s="156">
        <v>0.5492887447</v>
      </c>
      <c r="AL198" s="156">
        <v>7.362116296E-2</v>
      </c>
      <c r="AM198" s="157">
        <v>8.9343648610000007E-2</v>
      </c>
      <c r="AN198" s="158">
        <v>0.2857499376</v>
      </c>
      <c r="AO198" s="156">
        <v>0</v>
      </c>
      <c r="AP198" s="156">
        <v>0</v>
      </c>
      <c r="AQ198" s="156">
        <v>0</v>
      </c>
      <c r="AR198" s="156">
        <v>0.55103568749999998</v>
      </c>
      <c r="AS198" s="156">
        <v>6.5136011980000005E-2</v>
      </c>
      <c r="AT198" s="159">
        <v>9.8078362860000004E-2</v>
      </c>
    </row>
    <row r="199" spans="1:46" ht="12.75">
      <c r="A199" s="67" t="s">
        <v>10</v>
      </c>
      <c r="B199" s="67" t="s">
        <v>166</v>
      </c>
      <c r="C199" s="67" t="s">
        <v>477</v>
      </c>
      <c r="D199" s="67" t="s">
        <v>477</v>
      </c>
      <c r="E199" s="155">
        <v>0.33488278090000001</v>
      </c>
      <c r="F199" s="156">
        <v>0.43856103480000003</v>
      </c>
      <c r="G199" s="156">
        <v>0.13540824579999999</v>
      </c>
      <c r="H199" s="156">
        <v>5.2546483429999997E-3</v>
      </c>
      <c r="I199" s="156">
        <v>0</v>
      </c>
      <c r="J199" s="156">
        <v>0</v>
      </c>
      <c r="K199" s="157">
        <v>8.5893290220000001E-2</v>
      </c>
      <c r="L199" s="158">
        <v>0.29137199429999999</v>
      </c>
      <c r="M199" s="156">
        <v>0.50676904430000003</v>
      </c>
      <c r="N199" s="156">
        <v>0.15942614669999999</v>
      </c>
      <c r="O199" s="156">
        <v>0</v>
      </c>
      <c r="P199" s="156">
        <v>0</v>
      </c>
      <c r="Q199" s="156">
        <v>0</v>
      </c>
      <c r="R199" s="159">
        <v>4.2432814710000002E-2</v>
      </c>
      <c r="S199" s="155">
        <v>0.32753350580000001</v>
      </c>
      <c r="T199" s="156">
        <v>0.58311779919999995</v>
      </c>
      <c r="U199" s="156">
        <v>0</v>
      </c>
      <c r="V199" s="156">
        <v>0</v>
      </c>
      <c r="W199" s="156">
        <v>1.15212791E-2</v>
      </c>
      <c r="X199" s="156">
        <v>0</v>
      </c>
      <c r="Y199" s="157">
        <v>7.7827415940000005E-2</v>
      </c>
      <c r="Z199" s="158">
        <v>0.1389607336</v>
      </c>
      <c r="AA199" s="156">
        <v>0.31671761110000002</v>
      </c>
      <c r="AB199" s="156">
        <v>0</v>
      </c>
      <c r="AC199" s="156">
        <v>0</v>
      </c>
      <c r="AD199" s="156">
        <v>4.4674347519999998E-3</v>
      </c>
      <c r="AE199" s="156">
        <v>0</v>
      </c>
      <c r="AF199" s="159">
        <v>0.53985422059999999</v>
      </c>
      <c r="AG199" s="155">
        <v>0.3576868829</v>
      </c>
      <c r="AH199" s="156">
        <v>0</v>
      </c>
      <c r="AI199" s="156">
        <v>0</v>
      </c>
      <c r="AJ199" s="156">
        <v>1.91819464E-2</v>
      </c>
      <c r="AK199" s="156">
        <v>0.17884344150000001</v>
      </c>
      <c r="AL199" s="156">
        <v>0.33878702399999999</v>
      </c>
      <c r="AM199" s="157">
        <v>0.1055007052</v>
      </c>
      <c r="AN199" s="158">
        <v>0.36963882619999999</v>
      </c>
      <c r="AO199" s="156">
        <v>0</v>
      </c>
      <c r="AP199" s="156">
        <v>0</v>
      </c>
      <c r="AQ199" s="156">
        <v>0</v>
      </c>
      <c r="AR199" s="156">
        <v>0.1876410835</v>
      </c>
      <c r="AS199" s="156">
        <v>0.34452595940000003</v>
      </c>
      <c r="AT199" s="159">
        <v>9.8194130929999998E-2</v>
      </c>
    </row>
    <row r="200" spans="1:46" ht="12.75">
      <c r="A200" s="67" t="s">
        <v>10</v>
      </c>
      <c r="B200" s="67" t="s">
        <v>166</v>
      </c>
      <c r="C200" s="67" t="s">
        <v>479</v>
      </c>
      <c r="D200" s="67" t="s">
        <v>479</v>
      </c>
      <c r="E200" s="155">
        <v>0.48126064740000002</v>
      </c>
      <c r="F200" s="156">
        <v>0.31388415670000003</v>
      </c>
      <c r="G200" s="156">
        <v>0.19889267460000001</v>
      </c>
      <c r="H200" s="156">
        <v>6.8143100509999999E-3</v>
      </c>
      <c r="I200" s="156">
        <v>0</v>
      </c>
      <c r="J200" s="156">
        <v>0</v>
      </c>
      <c r="K200" s="157">
        <v>8.5178875639999995E-4</v>
      </c>
      <c r="L200" s="158">
        <v>0.18824531520000001</v>
      </c>
      <c r="M200" s="156">
        <v>0.5417376491</v>
      </c>
      <c r="N200" s="156">
        <v>0.2176320273</v>
      </c>
      <c r="O200" s="156">
        <v>0</v>
      </c>
      <c r="P200" s="156">
        <v>0</v>
      </c>
      <c r="Q200" s="156">
        <v>0</v>
      </c>
      <c r="R200" s="159">
        <v>5.2385008519999998E-2</v>
      </c>
      <c r="S200" s="155">
        <v>0.34589502020000001</v>
      </c>
      <c r="T200" s="156">
        <v>0.57155675189999999</v>
      </c>
      <c r="U200" s="156">
        <v>0</v>
      </c>
      <c r="V200" s="156">
        <v>0</v>
      </c>
      <c r="W200" s="156">
        <v>1.0767160160000001E-2</v>
      </c>
      <c r="X200" s="156">
        <v>0</v>
      </c>
      <c r="Y200" s="157">
        <v>7.1781067739999996E-2</v>
      </c>
      <c r="Z200" s="158">
        <v>0.19515477789999999</v>
      </c>
      <c r="AA200" s="156">
        <v>0.3373710184</v>
      </c>
      <c r="AB200" s="156">
        <v>0</v>
      </c>
      <c r="AC200" s="156">
        <v>0</v>
      </c>
      <c r="AD200" s="156">
        <v>1.52534769E-2</v>
      </c>
      <c r="AE200" s="156">
        <v>0</v>
      </c>
      <c r="AF200" s="159">
        <v>0.45222072679999997</v>
      </c>
      <c r="AG200" s="155">
        <v>0.171455051</v>
      </c>
      <c r="AH200" s="156">
        <v>0</v>
      </c>
      <c r="AI200" s="156">
        <v>0</v>
      </c>
      <c r="AJ200" s="156">
        <v>1.6682113070000001E-2</v>
      </c>
      <c r="AK200" s="156">
        <v>0.34800741429999998</v>
      </c>
      <c r="AL200" s="156">
        <v>0.33734939759999999</v>
      </c>
      <c r="AM200" s="157">
        <v>0.1265060241</v>
      </c>
      <c r="AN200" s="158">
        <v>0.1900788132</v>
      </c>
      <c r="AO200" s="156">
        <v>0</v>
      </c>
      <c r="AP200" s="156">
        <v>0</v>
      </c>
      <c r="AQ200" s="156">
        <v>0</v>
      </c>
      <c r="AR200" s="156">
        <v>0.35558646269999999</v>
      </c>
      <c r="AS200" s="156">
        <v>0.34399629110000002</v>
      </c>
      <c r="AT200" s="159">
        <v>0.110338433</v>
      </c>
    </row>
    <row r="201" spans="1:46" ht="12.75">
      <c r="A201" s="67" t="s">
        <v>10</v>
      </c>
      <c r="B201" s="67" t="s">
        <v>166</v>
      </c>
      <c r="C201" s="67" t="s">
        <v>481</v>
      </c>
      <c r="D201" s="67" t="s">
        <v>481</v>
      </c>
      <c r="E201" s="155">
        <v>0.37239396120000001</v>
      </c>
      <c r="F201" s="156">
        <v>0.47088425589999999</v>
      </c>
      <c r="G201" s="156">
        <v>0.29403306969999998</v>
      </c>
      <c r="H201" s="156">
        <v>7.1890726099999996E-3</v>
      </c>
      <c r="I201" s="156">
        <v>0</v>
      </c>
      <c r="J201" s="156">
        <v>0</v>
      </c>
      <c r="K201" s="157">
        <v>0.14450035950000001</v>
      </c>
      <c r="L201" s="158">
        <v>0.30841121500000002</v>
      </c>
      <c r="M201" s="156">
        <v>0.28253055360000001</v>
      </c>
      <c r="N201" s="156">
        <v>0.36448598129999998</v>
      </c>
      <c r="O201" s="156">
        <v>0</v>
      </c>
      <c r="P201" s="156">
        <v>0</v>
      </c>
      <c r="Q201" s="156">
        <v>0</v>
      </c>
      <c r="R201" s="159">
        <v>4.4572250180000002E-2</v>
      </c>
      <c r="S201" s="155">
        <v>0.64257028110000003</v>
      </c>
      <c r="T201" s="156">
        <v>0.30763052210000003</v>
      </c>
      <c r="U201" s="156">
        <v>0</v>
      </c>
      <c r="V201" s="156">
        <v>0</v>
      </c>
      <c r="W201" s="156">
        <v>9.6385542170000001E-3</v>
      </c>
      <c r="X201" s="156">
        <v>0</v>
      </c>
      <c r="Y201" s="157">
        <v>4.0160642570000002E-2</v>
      </c>
      <c r="Z201" s="158">
        <v>0.26425702810000001</v>
      </c>
      <c r="AA201" s="156">
        <v>0.2224899598</v>
      </c>
      <c r="AB201" s="156">
        <v>0</v>
      </c>
      <c r="AC201" s="156">
        <v>0</v>
      </c>
      <c r="AD201" s="156">
        <v>1.044176707E-2</v>
      </c>
      <c r="AE201" s="156">
        <v>0</v>
      </c>
      <c r="AF201" s="159">
        <v>0.50281124499999996</v>
      </c>
      <c r="AG201" s="155">
        <v>0.47971014490000002</v>
      </c>
      <c r="AH201" s="156">
        <v>0</v>
      </c>
      <c r="AI201" s="156">
        <v>0</v>
      </c>
      <c r="AJ201" s="156">
        <v>1.0144927539999999E-2</v>
      </c>
      <c r="AK201" s="156">
        <v>0.10869565220000001</v>
      </c>
      <c r="AL201" s="156">
        <v>0.31159420290000001</v>
      </c>
      <c r="AM201" s="157">
        <v>8.9855072460000004E-2</v>
      </c>
      <c r="AN201" s="158">
        <v>0.50144927539999995</v>
      </c>
      <c r="AO201" s="156">
        <v>0</v>
      </c>
      <c r="AP201" s="156">
        <v>0</v>
      </c>
      <c r="AQ201" s="156">
        <v>0</v>
      </c>
      <c r="AR201" s="156">
        <v>0.1101449275</v>
      </c>
      <c r="AS201" s="156">
        <v>0.29855072459999998</v>
      </c>
      <c r="AT201" s="159">
        <v>8.9855072460000004E-2</v>
      </c>
    </row>
    <row r="202" spans="1:46" ht="12.75">
      <c r="A202" s="67" t="s">
        <v>10</v>
      </c>
      <c r="B202" s="67" t="s">
        <v>166</v>
      </c>
      <c r="C202" s="67" t="s">
        <v>482</v>
      </c>
      <c r="D202" s="67" t="s">
        <v>483</v>
      </c>
      <c r="E202" s="155">
        <v>0.23592814370000001</v>
      </c>
      <c r="F202" s="156">
        <v>0.30419161680000001</v>
      </c>
      <c r="G202" s="156">
        <v>2.6347305389999999E-2</v>
      </c>
      <c r="H202" s="156">
        <v>0</v>
      </c>
      <c r="I202" s="156">
        <v>0</v>
      </c>
      <c r="J202" s="156">
        <v>0</v>
      </c>
      <c r="K202" s="157">
        <v>0.43353293409999999</v>
      </c>
      <c r="L202" s="158">
        <v>0.445508982</v>
      </c>
      <c r="M202" s="156">
        <v>0.49940119760000001</v>
      </c>
      <c r="N202" s="156">
        <v>3.3532934129999997E-2</v>
      </c>
      <c r="O202" s="156">
        <v>0</v>
      </c>
      <c r="P202" s="156">
        <v>0</v>
      </c>
      <c r="Q202" s="156">
        <v>0</v>
      </c>
      <c r="R202" s="159">
        <v>2.1556886229999999E-2</v>
      </c>
      <c r="S202" s="155">
        <v>0.30655957160000002</v>
      </c>
      <c r="T202" s="156">
        <v>0.66934404280000004</v>
      </c>
      <c r="U202" s="156">
        <v>0</v>
      </c>
      <c r="V202" s="156">
        <v>0</v>
      </c>
      <c r="W202" s="156">
        <v>2.6773761710000002E-3</v>
      </c>
      <c r="X202" s="156">
        <v>0</v>
      </c>
      <c r="Y202" s="157">
        <v>2.1419009369999999E-2</v>
      </c>
      <c r="Z202" s="158">
        <v>3.6144578310000001E-2</v>
      </c>
      <c r="AA202" s="156">
        <v>0.59303882200000002</v>
      </c>
      <c r="AB202" s="156">
        <v>0</v>
      </c>
      <c r="AC202" s="156">
        <v>0</v>
      </c>
      <c r="AD202" s="156">
        <v>2.6773761710000002E-3</v>
      </c>
      <c r="AE202" s="156">
        <v>0</v>
      </c>
      <c r="AF202" s="159">
        <v>0.36813922360000001</v>
      </c>
      <c r="AG202" s="155">
        <v>0.49840764329999998</v>
      </c>
      <c r="AH202" s="156">
        <v>0</v>
      </c>
      <c r="AI202" s="156">
        <v>0</v>
      </c>
      <c r="AJ202" s="156">
        <v>3.5031847130000002E-2</v>
      </c>
      <c r="AK202" s="156">
        <v>0.1003184713</v>
      </c>
      <c r="AL202" s="156">
        <v>0.24363057320000001</v>
      </c>
      <c r="AM202" s="157">
        <v>0.122611465</v>
      </c>
      <c r="AN202" s="158">
        <v>0.53662420379999998</v>
      </c>
      <c r="AO202" s="156">
        <v>0</v>
      </c>
      <c r="AP202" s="156">
        <v>0</v>
      </c>
      <c r="AQ202" s="156">
        <v>0</v>
      </c>
      <c r="AR202" s="156">
        <v>0.1003184713</v>
      </c>
      <c r="AS202" s="156">
        <v>0.24363057320000001</v>
      </c>
      <c r="AT202" s="159">
        <v>0.11942675160000001</v>
      </c>
    </row>
    <row r="203" spans="1:46" ht="12.75">
      <c r="A203" s="67" t="s">
        <v>10</v>
      </c>
      <c r="B203" s="67" t="s">
        <v>166</v>
      </c>
      <c r="C203" s="67" t="s">
        <v>482</v>
      </c>
      <c r="D203" s="67" t="s">
        <v>482</v>
      </c>
      <c r="E203" s="155">
        <v>0.3923688789</v>
      </c>
      <c r="F203" s="156">
        <v>0.39013174249999999</v>
      </c>
      <c r="G203" s="156">
        <v>5.3318419089999999E-2</v>
      </c>
      <c r="H203" s="156">
        <v>4.2257022119999996E-3</v>
      </c>
      <c r="I203" s="156">
        <v>0</v>
      </c>
      <c r="J203" s="156">
        <v>0</v>
      </c>
      <c r="K203" s="157">
        <v>0.15995525729999999</v>
      </c>
      <c r="L203" s="158">
        <v>0.40827226430000002</v>
      </c>
      <c r="M203" s="156">
        <v>0.49285803010000001</v>
      </c>
      <c r="N203" s="156">
        <v>6.6948205189999999E-2</v>
      </c>
      <c r="O203" s="156">
        <v>0</v>
      </c>
      <c r="P203" s="156">
        <v>0</v>
      </c>
      <c r="Q203" s="156">
        <v>0</v>
      </c>
      <c r="R203" s="159">
        <v>3.1921500429999999E-2</v>
      </c>
      <c r="S203" s="155">
        <v>0.41065315619999998</v>
      </c>
      <c r="T203" s="156">
        <v>0.51814322879999997</v>
      </c>
      <c r="U203" s="156">
        <v>0</v>
      </c>
      <c r="V203" s="156">
        <v>0</v>
      </c>
      <c r="W203" s="156">
        <v>1.273449267E-2</v>
      </c>
      <c r="X203" s="156">
        <v>0</v>
      </c>
      <c r="Y203" s="157">
        <v>5.8469122280000001E-2</v>
      </c>
      <c r="Z203" s="158">
        <v>6.873887444E-2</v>
      </c>
      <c r="AA203" s="156">
        <v>0.40668218540000001</v>
      </c>
      <c r="AB203" s="156">
        <v>0</v>
      </c>
      <c r="AC203" s="156">
        <v>0</v>
      </c>
      <c r="AD203" s="156">
        <v>9.0373818979999996E-3</v>
      </c>
      <c r="AE203" s="156">
        <v>0</v>
      </c>
      <c r="AF203" s="159">
        <v>0.51554155830000004</v>
      </c>
      <c r="AG203" s="155">
        <v>0.36230911230000001</v>
      </c>
      <c r="AH203" s="156">
        <v>0</v>
      </c>
      <c r="AI203" s="156">
        <v>0</v>
      </c>
      <c r="AJ203" s="156">
        <v>1.3425071320000001E-2</v>
      </c>
      <c r="AK203" s="156">
        <v>0.32924987410000001</v>
      </c>
      <c r="AL203" s="156">
        <v>0.22453431779999999</v>
      </c>
      <c r="AM203" s="157">
        <v>7.0481624430000001E-2</v>
      </c>
      <c r="AN203" s="158">
        <v>0.37768456379999998</v>
      </c>
      <c r="AO203" s="156">
        <v>0</v>
      </c>
      <c r="AP203" s="156">
        <v>0</v>
      </c>
      <c r="AQ203" s="156">
        <v>0</v>
      </c>
      <c r="AR203" s="156">
        <v>0.32785234899999999</v>
      </c>
      <c r="AS203" s="156">
        <v>0.22550335569999999</v>
      </c>
      <c r="AT203" s="159">
        <v>6.8959731539999999E-2</v>
      </c>
    </row>
    <row r="204" spans="1:46" ht="12.75">
      <c r="A204" s="67" t="s">
        <v>10</v>
      </c>
      <c r="B204" s="67" t="s">
        <v>166</v>
      </c>
      <c r="C204" s="67" t="s">
        <v>485</v>
      </c>
      <c r="D204" s="67" t="s">
        <v>485</v>
      </c>
      <c r="E204" s="155">
        <v>0.47098515520000001</v>
      </c>
      <c r="F204" s="156">
        <v>0.39451192080000003</v>
      </c>
      <c r="G204" s="156">
        <v>7.8272604590000003E-2</v>
      </c>
      <c r="H204" s="156">
        <v>5.8479532160000004E-3</v>
      </c>
      <c r="I204" s="156">
        <v>0</v>
      </c>
      <c r="J204" s="156">
        <v>0</v>
      </c>
      <c r="K204" s="157">
        <v>5.0382366169999998E-2</v>
      </c>
      <c r="L204" s="158">
        <v>0.3916366906</v>
      </c>
      <c r="M204" s="156">
        <v>0.47392086329999999</v>
      </c>
      <c r="N204" s="156">
        <v>9.9370503600000007E-2</v>
      </c>
      <c r="O204" s="156">
        <v>0</v>
      </c>
      <c r="P204" s="156">
        <v>0</v>
      </c>
      <c r="Q204" s="156">
        <v>0</v>
      </c>
      <c r="R204" s="159">
        <v>3.5071942449999997E-2</v>
      </c>
      <c r="S204" s="155">
        <v>0.34532374100000002</v>
      </c>
      <c r="T204" s="156">
        <v>0.58081534769999998</v>
      </c>
      <c r="U204" s="156">
        <v>0</v>
      </c>
      <c r="V204" s="156">
        <v>0</v>
      </c>
      <c r="W204" s="156">
        <v>1.294964029E-2</v>
      </c>
      <c r="X204" s="156">
        <v>0</v>
      </c>
      <c r="Y204" s="157">
        <v>6.0911270980000001E-2</v>
      </c>
      <c r="Z204" s="158">
        <v>0.16402877699999999</v>
      </c>
      <c r="AA204" s="156">
        <v>0.36450839330000001</v>
      </c>
      <c r="AB204" s="156">
        <v>0</v>
      </c>
      <c r="AC204" s="156">
        <v>0</v>
      </c>
      <c r="AD204" s="156">
        <v>1.0071942449999999E-2</v>
      </c>
      <c r="AE204" s="156">
        <v>0</v>
      </c>
      <c r="AF204" s="159">
        <v>0.4613908873</v>
      </c>
      <c r="AG204" s="155">
        <v>0.21752577319999999</v>
      </c>
      <c r="AH204" s="156">
        <v>0</v>
      </c>
      <c r="AI204" s="156">
        <v>0</v>
      </c>
      <c r="AJ204" s="156">
        <v>1.134020619E-2</v>
      </c>
      <c r="AK204" s="156">
        <v>0.48092783509999998</v>
      </c>
      <c r="AL204" s="156">
        <v>0.21701030930000001</v>
      </c>
      <c r="AM204" s="157">
        <v>7.3195876290000003E-2</v>
      </c>
      <c r="AN204" s="158">
        <v>0.25721649479999997</v>
      </c>
      <c r="AO204" s="156">
        <v>0</v>
      </c>
      <c r="AP204" s="156">
        <v>0</v>
      </c>
      <c r="AQ204" s="156">
        <v>0</v>
      </c>
      <c r="AR204" s="156">
        <v>0.44690721649999998</v>
      </c>
      <c r="AS204" s="156">
        <v>0.22010309280000001</v>
      </c>
      <c r="AT204" s="159">
        <v>7.5773195880000005E-2</v>
      </c>
    </row>
    <row r="205" spans="1:46" ht="12.75">
      <c r="A205" s="67" t="s">
        <v>10</v>
      </c>
      <c r="B205" s="67" t="s">
        <v>166</v>
      </c>
      <c r="C205" s="163" t="s">
        <v>487</v>
      </c>
      <c r="D205" s="163" t="s">
        <v>487</v>
      </c>
      <c r="E205" s="155">
        <v>0.51610095739999995</v>
      </c>
      <c r="F205" s="156">
        <v>0.57992457210000004</v>
      </c>
      <c r="G205" s="156">
        <v>0.32056861040000001</v>
      </c>
      <c r="H205" s="156">
        <v>3.7713954159999999E-3</v>
      </c>
      <c r="I205" s="156">
        <v>0</v>
      </c>
      <c r="J205" s="156">
        <v>0</v>
      </c>
      <c r="K205" s="157">
        <v>0.42036553519999997</v>
      </c>
      <c r="L205" s="158">
        <v>0.2547142443</v>
      </c>
      <c r="M205" s="156">
        <v>0.35393095450000001</v>
      </c>
      <c r="N205" s="156">
        <v>0.35335073979999998</v>
      </c>
      <c r="O205" s="156">
        <v>0</v>
      </c>
      <c r="P205" s="156">
        <v>0</v>
      </c>
      <c r="Q205" s="156">
        <v>0</v>
      </c>
      <c r="R205" s="159">
        <v>3.8004061499999998E-2</v>
      </c>
      <c r="S205" s="155">
        <v>0.41830486630000002</v>
      </c>
      <c r="T205" s="156">
        <v>0.49081533999999999</v>
      </c>
      <c r="U205" s="156">
        <v>0</v>
      </c>
      <c r="V205" s="156">
        <v>0</v>
      </c>
      <c r="W205" s="156">
        <v>1.1923944569999999E-2</v>
      </c>
      <c r="X205" s="156">
        <v>0</v>
      </c>
      <c r="Y205" s="157">
        <v>7.8955849179999996E-2</v>
      </c>
      <c r="Z205" s="158">
        <v>0.2407347728</v>
      </c>
      <c r="AA205" s="156">
        <v>0.33838221080000003</v>
      </c>
      <c r="AB205" s="156">
        <v>0</v>
      </c>
      <c r="AC205" s="156">
        <v>0</v>
      </c>
      <c r="AD205" s="156">
        <v>8.3789880760000001E-3</v>
      </c>
      <c r="AE205" s="156">
        <v>0</v>
      </c>
      <c r="AF205" s="159">
        <v>0.4125040284</v>
      </c>
      <c r="AG205" s="155">
        <v>8.7114938720000007E-2</v>
      </c>
      <c r="AH205" s="156">
        <v>0</v>
      </c>
      <c r="AI205" s="156">
        <v>0</v>
      </c>
      <c r="AJ205" s="156">
        <v>7.6184166940000001E-3</v>
      </c>
      <c r="AK205" s="156">
        <v>0.28718118580000002</v>
      </c>
      <c r="AL205" s="156">
        <v>0.53958264330000005</v>
      </c>
      <c r="AM205" s="157">
        <v>7.8502815500000003E-2</v>
      </c>
      <c r="AN205" s="158">
        <v>9.5395826429999997E-2</v>
      </c>
      <c r="AO205" s="156">
        <v>0</v>
      </c>
      <c r="AP205" s="156">
        <v>0</v>
      </c>
      <c r="AQ205" s="156">
        <v>0</v>
      </c>
      <c r="AR205" s="156">
        <v>0.28022524009999999</v>
      </c>
      <c r="AS205" s="156">
        <v>0.55216959259999998</v>
      </c>
      <c r="AT205" s="159">
        <v>7.2209340839999997E-2</v>
      </c>
    </row>
    <row r="206" spans="1:46" ht="12.75">
      <c r="A206" s="67" t="s">
        <v>10</v>
      </c>
      <c r="B206" s="67" t="s">
        <v>786</v>
      </c>
      <c r="C206" s="67" t="s">
        <v>786</v>
      </c>
      <c r="D206" s="67" t="s">
        <v>786</v>
      </c>
      <c r="E206" s="155">
        <v>0.41698158480000003</v>
      </c>
      <c r="F206" s="156">
        <v>0.4545318217</v>
      </c>
      <c r="G206" s="156">
        <v>0.10677223919999999</v>
      </c>
      <c r="H206" s="156">
        <v>8.5477775779999998E-3</v>
      </c>
      <c r="I206" s="156">
        <v>0</v>
      </c>
      <c r="J206" s="156">
        <v>0</v>
      </c>
      <c r="K206" s="157">
        <v>1.3166576690000001E-2</v>
      </c>
      <c r="L206" s="158">
        <v>0.40424064300000001</v>
      </c>
      <c r="M206" s="156">
        <v>0.4131178023</v>
      </c>
      <c r="N206" s="156">
        <v>0.15274112279999999</v>
      </c>
      <c r="O206" s="156">
        <v>0</v>
      </c>
      <c r="P206" s="156">
        <v>0</v>
      </c>
      <c r="Q206" s="156">
        <v>0</v>
      </c>
      <c r="R206" s="159">
        <v>2.990043186E-2</v>
      </c>
      <c r="S206" s="155">
        <v>0.40644291490000001</v>
      </c>
      <c r="T206" s="156">
        <v>0.50560561979999996</v>
      </c>
      <c r="U206" s="156">
        <v>0</v>
      </c>
      <c r="V206" s="156">
        <v>0</v>
      </c>
      <c r="W206" s="156">
        <v>1.7349038529999999E-2</v>
      </c>
      <c r="X206" s="156">
        <v>0</v>
      </c>
      <c r="Y206" s="157">
        <v>7.0602426740000002E-2</v>
      </c>
      <c r="Z206" s="158">
        <v>0.1003689775</v>
      </c>
      <c r="AA206" s="156">
        <v>0.2202157099</v>
      </c>
      <c r="AB206" s="156">
        <v>0</v>
      </c>
      <c r="AC206" s="156">
        <v>0</v>
      </c>
      <c r="AD206" s="156">
        <v>8.3729511100000004E-3</v>
      </c>
      <c r="AE206" s="156">
        <v>0</v>
      </c>
      <c r="AF206" s="159">
        <v>0.67104236149999996</v>
      </c>
      <c r="AG206" s="155">
        <v>0.27991516440000003</v>
      </c>
      <c r="AH206" s="156">
        <v>0</v>
      </c>
      <c r="AI206" s="156">
        <v>0</v>
      </c>
      <c r="AJ206" s="156">
        <v>1.662778367E-2</v>
      </c>
      <c r="AK206" s="156">
        <v>0.34926829269999998</v>
      </c>
      <c r="AL206" s="156">
        <v>0.27503711559999999</v>
      </c>
      <c r="AM206" s="157">
        <v>7.9151643689999995E-2</v>
      </c>
      <c r="AN206" s="158">
        <v>0.3177962507</v>
      </c>
      <c r="AO206" s="156">
        <v>0</v>
      </c>
      <c r="AP206" s="156">
        <v>0</v>
      </c>
      <c r="AQ206" s="156">
        <v>0</v>
      </c>
      <c r="AR206" s="156">
        <v>0.3074900331</v>
      </c>
      <c r="AS206" s="156">
        <v>0.27521418269999998</v>
      </c>
      <c r="AT206" s="159">
        <v>9.9499533459999998E-2</v>
      </c>
    </row>
    <row r="207" spans="1:46" ht="12.75">
      <c r="A207" s="67" t="s">
        <v>10</v>
      </c>
      <c r="B207" s="67" t="s">
        <v>10</v>
      </c>
      <c r="C207" s="67" t="s">
        <v>489</v>
      </c>
      <c r="D207" s="67" t="s">
        <v>489</v>
      </c>
      <c r="E207" s="155">
        <v>0.43795936009999997</v>
      </c>
      <c r="F207" s="156">
        <v>0.45438824039999998</v>
      </c>
      <c r="G207" s="156">
        <v>0.20319930829999999</v>
      </c>
      <c r="H207" s="156">
        <v>5.1880674449999997E-3</v>
      </c>
      <c r="I207" s="156">
        <v>0</v>
      </c>
      <c r="J207" s="156">
        <v>0</v>
      </c>
      <c r="K207" s="157">
        <v>0.10073497620000001</v>
      </c>
      <c r="L207" s="158">
        <v>0.21779713749999999</v>
      </c>
      <c r="M207" s="156">
        <v>0.43559427499999998</v>
      </c>
      <c r="N207" s="156">
        <v>0.30678282509999999</v>
      </c>
      <c r="O207" s="156">
        <v>0</v>
      </c>
      <c r="P207" s="156">
        <v>0</v>
      </c>
      <c r="Q207" s="156">
        <v>0</v>
      </c>
      <c r="R207" s="159">
        <v>3.9825762289999997E-2</v>
      </c>
      <c r="S207" s="155">
        <v>0.55714926040000001</v>
      </c>
      <c r="T207" s="156">
        <v>0.38458090540000001</v>
      </c>
      <c r="U207" s="156">
        <v>0</v>
      </c>
      <c r="V207" s="156">
        <v>0</v>
      </c>
      <c r="W207" s="156">
        <v>9.4128193639999996E-3</v>
      </c>
      <c r="X207" s="156">
        <v>0</v>
      </c>
      <c r="Y207" s="157">
        <v>4.885701479E-2</v>
      </c>
      <c r="Z207" s="158">
        <v>6.3200358580000005E-2</v>
      </c>
      <c r="AA207" s="156">
        <v>0.25280143430000002</v>
      </c>
      <c r="AB207" s="156">
        <v>0</v>
      </c>
      <c r="AC207" s="156">
        <v>0</v>
      </c>
      <c r="AD207" s="156">
        <v>7.6199013900000003E-3</v>
      </c>
      <c r="AE207" s="156">
        <v>0</v>
      </c>
      <c r="AF207" s="159">
        <v>0.67637830570000002</v>
      </c>
      <c r="AG207" s="155">
        <v>8.3779834390000002E-2</v>
      </c>
      <c r="AH207" s="156">
        <v>0</v>
      </c>
      <c r="AI207" s="156">
        <v>0</v>
      </c>
      <c r="AJ207" s="156">
        <v>7.3063809060000002E-3</v>
      </c>
      <c r="AK207" s="156">
        <v>0.2367267414</v>
      </c>
      <c r="AL207" s="156">
        <v>0.61032635170000005</v>
      </c>
      <c r="AM207" s="157">
        <v>6.1860691670000002E-2</v>
      </c>
      <c r="AN207" s="158">
        <v>0.1159279104</v>
      </c>
      <c r="AO207" s="156">
        <v>0</v>
      </c>
      <c r="AP207" s="156">
        <v>0</v>
      </c>
      <c r="AQ207" s="156">
        <v>0</v>
      </c>
      <c r="AR207" s="156">
        <v>0.24159766199999999</v>
      </c>
      <c r="AS207" s="156">
        <v>0.58256210419999999</v>
      </c>
      <c r="AT207" s="159">
        <v>5.9912323429999997E-2</v>
      </c>
    </row>
    <row r="208" spans="1:46" ht="12.75">
      <c r="A208" s="67" t="s">
        <v>10</v>
      </c>
      <c r="B208" s="67" t="s">
        <v>10</v>
      </c>
      <c r="C208" s="67" t="s">
        <v>491</v>
      </c>
      <c r="D208" s="67" t="s">
        <v>491</v>
      </c>
      <c r="E208" s="155">
        <v>0.67508417509999996</v>
      </c>
      <c r="F208" s="156">
        <v>0.54966329970000005</v>
      </c>
      <c r="G208" s="156">
        <v>3.3670033670000002E-2</v>
      </c>
      <c r="H208" s="156">
        <v>3.3670033670000002E-3</v>
      </c>
      <c r="I208" s="156">
        <v>0</v>
      </c>
      <c r="J208" s="156">
        <v>0</v>
      </c>
      <c r="K208" s="157">
        <v>0.26178451180000001</v>
      </c>
      <c r="L208" s="158">
        <v>0.53367003369999999</v>
      </c>
      <c r="M208" s="156">
        <v>0.3930976431</v>
      </c>
      <c r="N208" s="156">
        <v>3.8720538720000003E-2</v>
      </c>
      <c r="O208" s="156">
        <v>0</v>
      </c>
      <c r="P208" s="156">
        <v>0</v>
      </c>
      <c r="Q208" s="156">
        <v>0</v>
      </c>
      <c r="R208" s="159">
        <v>3.4511784509999997E-2</v>
      </c>
      <c r="S208" s="155">
        <v>0.14285714290000001</v>
      </c>
      <c r="T208" s="156">
        <v>0.79820179820000003</v>
      </c>
      <c r="U208" s="156">
        <v>0</v>
      </c>
      <c r="V208" s="156">
        <v>0</v>
      </c>
      <c r="W208" s="156">
        <v>1.198801199E-2</v>
      </c>
      <c r="X208" s="156">
        <v>0</v>
      </c>
      <c r="Y208" s="157">
        <v>4.6953046950000001E-2</v>
      </c>
      <c r="Z208" s="158">
        <v>6.1938061939999997E-2</v>
      </c>
      <c r="AA208" s="156">
        <v>0.14285714290000001</v>
      </c>
      <c r="AB208" s="156">
        <v>0</v>
      </c>
      <c r="AC208" s="156">
        <v>0</v>
      </c>
      <c r="AD208" s="156">
        <v>4.9950049949999999E-3</v>
      </c>
      <c r="AE208" s="156">
        <v>0</v>
      </c>
      <c r="AF208" s="159">
        <v>0.79020979020000004</v>
      </c>
      <c r="AG208" s="155">
        <v>0.181724846</v>
      </c>
      <c r="AH208" s="156">
        <v>0</v>
      </c>
      <c r="AI208" s="156">
        <v>0</v>
      </c>
      <c r="AJ208" s="156">
        <v>1.7453798770000001E-2</v>
      </c>
      <c r="AK208" s="156">
        <v>0.53182751539999995</v>
      </c>
      <c r="AL208" s="156">
        <v>0.18377823409999999</v>
      </c>
      <c r="AM208" s="157">
        <v>8.5215605750000006E-2</v>
      </c>
      <c r="AN208" s="158">
        <v>0.18685831620000001</v>
      </c>
      <c r="AO208" s="156">
        <v>0</v>
      </c>
      <c r="AP208" s="156">
        <v>0</v>
      </c>
      <c r="AQ208" s="156">
        <v>0</v>
      </c>
      <c r="AR208" s="156">
        <v>0.54209445590000005</v>
      </c>
      <c r="AS208" s="156">
        <v>0.19301848050000001</v>
      </c>
      <c r="AT208" s="159">
        <v>7.8028747430000003E-2</v>
      </c>
    </row>
    <row r="209" spans="1:46" ht="12.75">
      <c r="A209" s="67" t="s">
        <v>10</v>
      </c>
      <c r="B209" s="67" t="s">
        <v>10</v>
      </c>
      <c r="C209" s="67" t="s">
        <v>493</v>
      </c>
      <c r="D209" s="67" t="s">
        <v>493</v>
      </c>
      <c r="E209" s="155">
        <v>0.44017660040000001</v>
      </c>
      <c r="F209" s="156">
        <v>0.43841059599999999</v>
      </c>
      <c r="G209" s="156">
        <v>0.1977924945</v>
      </c>
      <c r="H209" s="156">
        <v>3.5320088299999998E-3</v>
      </c>
      <c r="I209" s="156">
        <v>0</v>
      </c>
      <c r="J209" s="156">
        <v>0</v>
      </c>
      <c r="K209" s="157">
        <v>7.9911699779999998E-2</v>
      </c>
      <c r="L209" s="158">
        <v>0.33907284770000001</v>
      </c>
      <c r="M209" s="156">
        <v>0.2344370861</v>
      </c>
      <c r="N209" s="156">
        <v>0.2631346578</v>
      </c>
      <c r="O209" s="156">
        <v>0</v>
      </c>
      <c r="P209" s="156">
        <v>0</v>
      </c>
      <c r="Q209" s="156">
        <v>0</v>
      </c>
      <c r="R209" s="159">
        <v>0.16335540840000001</v>
      </c>
      <c r="S209" s="155">
        <v>0.35181550540000001</v>
      </c>
      <c r="T209" s="156">
        <v>0.57360157020000002</v>
      </c>
      <c r="U209" s="156">
        <v>0</v>
      </c>
      <c r="V209" s="156">
        <v>0</v>
      </c>
      <c r="W209" s="156">
        <v>9.8135426889999992E-3</v>
      </c>
      <c r="X209" s="156">
        <v>0</v>
      </c>
      <c r="Y209" s="157">
        <v>6.4769381749999994E-2</v>
      </c>
      <c r="Z209" s="158">
        <v>0.19185475960000001</v>
      </c>
      <c r="AA209" s="156">
        <v>0.28508341510000001</v>
      </c>
      <c r="AB209" s="156">
        <v>0</v>
      </c>
      <c r="AC209" s="156">
        <v>0</v>
      </c>
      <c r="AD209" s="156">
        <v>6.8694798820000003E-3</v>
      </c>
      <c r="AE209" s="156">
        <v>0</v>
      </c>
      <c r="AF209" s="159">
        <v>0.51619234540000003</v>
      </c>
      <c r="AG209" s="155">
        <v>0.2384981491</v>
      </c>
      <c r="AH209" s="156">
        <v>0</v>
      </c>
      <c r="AI209" s="156">
        <v>0</v>
      </c>
      <c r="AJ209" s="156">
        <v>1.1634056049999999E-2</v>
      </c>
      <c r="AK209" s="156">
        <v>0.2342675833</v>
      </c>
      <c r="AL209" s="156">
        <v>0.3320994183</v>
      </c>
      <c r="AM209" s="157">
        <v>0.18350079320000001</v>
      </c>
      <c r="AN209" s="158">
        <v>0.27566137569999999</v>
      </c>
      <c r="AO209" s="156">
        <v>0</v>
      </c>
      <c r="AP209" s="156">
        <v>0</v>
      </c>
      <c r="AQ209" s="156">
        <v>0</v>
      </c>
      <c r="AR209" s="156">
        <v>0.2132275132</v>
      </c>
      <c r="AS209" s="156">
        <v>0.31798941800000002</v>
      </c>
      <c r="AT209" s="159">
        <v>0.19312169309999999</v>
      </c>
    </row>
    <row r="210" spans="1:46" ht="12.75">
      <c r="A210" s="67" t="s">
        <v>10</v>
      </c>
      <c r="B210" s="67" t="s">
        <v>10</v>
      </c>
      <c r="C210" s="67" t="s">
        <v>495</v>
      </c>
      <c r="D210" s="67" t="s">
        <v>495</v>
      </c>
      <c r="E210" s="155">
        <v>0.3397006696</v>
      </c>
      <c r="F210" s="156">
        <v>0.44505710910000001</v>
      </c>
      <c r="G210" s="156">
        <v>0.1478928712</v>
      </c>
      <c r="H210" s="156">
        <v>4.1354864119999999E-3</v>
      </c>
      <c r="I210" s="156">
        <v>0</v>
      </c>
      <c r="J210" s="156">
        <v>0</v>
      </c>
      <c r="K210" s="157">
        <v>6.321386373E-2</v>
      </c>
      <c r="L210" s="158">
        <v>0.429696731</v>
      </c>
      <c r="M210" s="156">
        <v>0.37652619139999999</v>
      </c>
      <c r="N210" s="156">
        <v>0.16541945650000001</v>
      </c>
      <c r="O210" s="156">
        <v>0</v>
      </c>
      <c r="P210" s="156">
        <v>0</v>
      </c>
      <c r="Q210" s="156">
        <v>0</v>
      </c>
      <c r="R210" s="159">
        <v>2.8357621110000002E-2</v>
      </c>
      <c r="S210" s="155">
        <v>0.48753993610000002</v>
      </c>
      <c r="T210" s="156">
        <v>0.43407880720000003</v>
      </c>
      <c r="U210" s="156">
        <v>0</v>
      </c>
      <c r="V210" s="156">
        <v>0</v>
      </c>
      <c r="W210" s="156">
        <v>6.815761448E-3</v>
      </c>
      <c r="X210" s="156">
        <v>0</v>
      </c>
      <c r="Y210" s="157">
        <v>7.1565495209999996E-2</v>
      </c>
      <c r="Z210" s="158">
        <v>0.1607408984</v>
      </c>
      <c r="AA210" s="156">
        <v>0.23994038749999999</v>
      </c>
      <c r="AB210" s="156">
        <v>0</v>
      </c>
      <c r="AC210" s="156">
        <v>0</v>
      </c>
      <c r="AD210" s="156">
        <v>6.3870555669999999E-3</v>
      </c>
      <c r="AE210" s="156">
        <v>0</v>
      </c>
      <c r="AF210" s="159">
        <v>0.59293165849999996</v>
      </c>
      <c r="AG210" s="155">
        <v>0.32947686120000003</v>
      </c>
      <c r="AH210" s="156">
        <v>0</v>
      </c>
      <c r="AI210" s="156">
        <v>0</v>
      </c>
      <c r="AJ210" s="156">
        <v>1.006036217E-2</v>
      </c>
      <c r="AK210" s="156">
        <v>0.26559356140000001</v>
      </c>
      <c r="AL210" s="156">
        <v>0.32168008050000002</v>
      </c>
      <c r="AM210" s="157">
        <v>7.3189134810000001E-2</v>
      </c>
      <c r="AN210" s="158">
        <v>0.34104627770000001</v>
      </c>
      <c r="AO210" s="156">
        <v>0</v>
      </c>
      <c r="AP210" s="156">
        <v>0</v>
      </c>
      <c r="AQ210" s="156">
        <v>0</v>
      </c>
      <c r="AR210" s="156">
        <v>0.2404426559</v>
      </c>
      <c r="AS210" s="156">
        <v>0.31589537220000002</v>
      </c>
      <c r="AT210" s="159">
        <v>0.1026156942</v>
      </c>
    </row>
    <row r="211" spans="1:46" ht="12.75">
      <c r="A211" s="67" t="s">
        <v>10</v>
      </c>
      <c r="B211" s="67" t="s">
        <v>10</v>
      </c>
      <c r="C211" s="67" t="s">
        <v>497</v>
      </c>
      <c r="D211" s="67" t="s">
        <v>497</v>
      </c>
      <c r="E211" s="155">
        <v>0.43369734789999997</v>
      </c>
      <c r="F211" s="156">
        <v>0.5280811232</v>
      </c>
      <c r="G211" s="156">
        <v>0.1021840874</v>
      </c>
      <c r="H211" s="156">
        <v>0</v>
      </c>
      <c r="I211" s="156">
        <v>0</v>
      </c>
      <c r="J211" s="156">
        <v>0</v>
      </c>
      <c r="K211" s="157">
        <v>6.3962558500000002E-2</v>
      </c>
      <c r="L211" s="158">
        <v>0.48205928240000001</v>
      </c>
      <c r="M211" s="156">
        <v>0.43603744150000001</v>
      </c>
      <c r="N211" s="156">
        <v>0.1341653666</v>
      </c>
      <c r="O211" s="156">
        <v>0</v>
      </c>
      <c r="P211" s="156">
        <v>0</v>
      </c>
      <c r="Q211" s="156">
        <v>0</v>
      </c>
      <c r="R211" s="159">
        <v>5.2262090480000002E-2</v>
      </c>
      <c r="S211" s="155">
        <v>0.35566583950000003</v>
      </c>
      <c r="T211" s="156">
        <v>0.56410256410000004</v>
      </c>
      <c r="U211" s="156">
        <v>0</v>
      </c>
      <c r="V211" s="156">
        <v>0</v>
      </c>
      <c r="W211" s="156">
        <v>9.0984284530000008E-3</v>
      </c>
      <c r="X211" s="156">
        <v>0</v>
      </c>
      <c r="Y211" s="157">
        <v>7.1133167910000003E-2</v>
      </c>
      <c r="Z211" s="158">
        <v>6.3688999169999996E-2</v>
      </c>
      <c r="AA211" s="156">
        <v>0.3076923077</v>
      </c>
      <c r="AB211" s="156">
        <v>0</v>
      </c>
      <c r="AC211" s="156">
        <v>0</v>
      </c>
      <c r="AD211" s="156">
        <v>4.135649297E-3</v>
      </c>
      <c r="AE211" s="156">
        <v>0</v>
      </c>
      <c r="AF211" s="159">
        <v>0.62448304379999997</v>
      </c>
      <c r="AG211" s="155">
        <v>0.1176470588</v>
      </c>
      <c r="AH211" s="156">
        <v>0</v>
      </c>
      <c r="AI211" s="156">
        <v>0</v>
      </c>
      <c r="AJ211" s="156">
        <v>7.8431372550000003E-3</v>
      </c>
      <c r="AK211" s="156">
        <v>0.3578431373</v>
      </c>
      <c r="AL211" s="156">
        <v>0.44411764710000001</v>
      </c>
      <c r="AM211" s="157">
        <v>7.2549019610000001E-2</v>
      </c>
      <c r="AN211" s="158">
        <v>0.1284313725</v>
      </c>
      <c r="AO211" s="156">
        <v>0</v>
      </c>
      <c r="AP211" s="156">
        <v>0</v>
      </c>
      <c r="AQ211" s="156">
        <v>0</v>
      </c>
      <c r="AR211" s="156">
        <v>0.34215686270000001</v>
      </c>
      <c r="AS211" s="156">
        <v>0.4715686275</v>
      </c>
      <c r="AT211" s="159">
        <v>5.7843137250000003E-2</v>
      </c>
    </row>
    <row r="212" spans="1:46" ht="12.75">
      <c r="A212" s="67" t="s">
        <v>10</v>
      </c>
      <c r="B212" s="67" t="s">
        <v>10</v>
      </c>
      <c r="C212" s="67" t="s">
        <v>499</v>
      </c>
      <c r="D212" s="67" t="s">
        <v>499</v>
      </c>
      <c r="E212" s="155">
        <v>0.47392996110000002</v>
      </c>
      <c r="F212" s="156">
        <v>0.50350194550000005</v>
      </c>
      <c r="G212" s="156">
        <v>0.3003891051</v>
      </c>
      <c r="H212" s="156">
        <v>7.7821011670000002E-4</v>
      </c>
      <c r="I212" s="156">
        <v>0</v>
      </c>
      <c r="J212" s="156">
        <v>0</v>
      </c>
      <c r="K212" s="157">
        <v>0.27859922180000002</v>
      </c>
      <c r="L212" s="158">
        <v>0.2420233463</v>
      </c>
      <c r="M212" s="156">
        <v>0.36809338520000001</v>
      </c>
      <c r="N212" s="156">
        <v>0.3361867704</v>
      </c>
      <c r="O212" s="156">
        <v>0</v>
      </c>
      <c r="P212" s="156">
        <v>0</v>
      </c>
      <c r="Q212" s="156">
        <v>0</v>
      </c>
      <c r="R212" s="159">
        <v>5.3696498049999999E-2</v>
      </c>
      <c r="S212" s="155">
        <v>0.45677888989999998</v>
      </c>
      <c r="T212" s="156">
        <v>0.48134667879999998</v>
      </c>
      <c r="U212" s="156">
        <v>0</v>
      </c>
      <c r="V212" s="156">
        <v>0</v>
      </c>
      <c r="W212" s="156">
        <v>1.0919017289999999E-2</v>
      </c>
      <c r="X212" s="156">
        <v>0</v>
      </c>
      <c r="Y212" s="157">
        <v>5.0955414009999998E-2</v>
      </c>
      <c r="Z212" s="158">
        <v>9.9181073699999997E-2</v>
      </c>
      <c r="AA212" s="156">
        <v>0.27661510459999999</v>
      </c>
      <c r="AB212" s="156">
        <v>0</v>
      </c>
      <c r="AC212" s="156">
        <v>0</v>
      </c>
      <c r="AD212" s="156">
        <v>3.6396724290000001E-3</v>
      </c>
      <c r="AE212" s="156">
        <v>0</v>
      </c>
      <c r="AF212" s="159">
        <v>0.62056414920000003</v>
      </c>
      <c r="AG212" s="155">
        <v>8.348968105E-2</v>
      </c>
      <c r="AH212" s="156">
        <v>0</v>
      </c>
      <c r="AI212" s="156">
        <v>0</v>
      </c>
      <c r="AJ212" s="156">
        <v>5.6285178239999997E-3</v>
      </c>
      <c r="AK212" s="156">
        <v>0.1416510319</v>
      </c>
      <c r="AL212" s="156">
        <v>0.60694183859999995</v>
      </c>
      <c r="AM212" s="157">
        <v>0.16228893059999999</v>
      </c>
      <c r="AN212" s="158">
        <v>0.14727954970000001</v>
      </c>
      <c r="AO212" s="156">
        <v>0</v>
      </c>
      <c r="AP212" s="156">
        <v>0</v>
      </c>
      <c r="AQ212" s="156">
        <v>0</v>
      </c>
      <c r="AR212" s="156">
        <v>0.13414634149999999</v>
      </c>
      <c r="AS212" s="156">
        <v>0.61163227019999999</v>
      </c>
      <c r="AT212" s="159">
        <v>0.10694183860000001</v>
      </c>
    </row>
    <row r="213" spans="1:46" ht="12.75">
      <c r="A213" s="67" t="s">
        <v>10</v>
      </c>
      <c r="B213" s="67" t="s">
        <v>10</v>
      </c>
      <c r="C213" s="67" t="s">
        <v>501</v>
      </c>
      <c r="D213" s="67" t="s">
        <v>501</v>
      </c>
      <c r="E213" s="155">
        <v>0.75026014569999999</v>
      </c>
      <c r="F213" s="156">
        <v>0.57232049949999997</v>
      </c>
      <c r="G213" s="156">
        <v>8.3246618110000004E-2</v>
      </c>
      <c r="H213" s="156">
        <v>5.2029136320000001E-3</v>
      </c>
      <c r="I213" s="156">
        <v>0</v>
      </c>
      <c r="J213" s="156">
        <v>0</v>
      </c>
      <c r="K213" s="157">
        <v>0.41103017689999999</v>
      </c>
      <c r="L213" s="158">
        <v>0.33437499999999998</v>
      </c>
      <c r="M213" s="156">
        <v>0.53125</v>
      </c>
      <c r="N213" s="156">
        <v>0.1052083333</v>
      </c>
      <c r="O213" s="156">
        <v>0</v>
      </c>
      <c r="P213" s="156">
        <v>0</v>
      </c>
      <c r="Q213" s="156">
        <v>0</v>
      </c>
      <c r="R213" s="159">
        <v>2.9166666670000001E-2</v>
      </c>
      <c r="S213" s="155">
        <v>1.071428571E-2</v>
      </c>
      <c r="T213" s="156">
        <v>0.95357142859999999</v>
      </c>
      <c r="U213" s="156">
        <v>0</v>
      </c>
      <c r="V213" s="156">
        <v>0</v>
      </c>
      <c r="W213" s="156">
        <v>7.1428571429999997E-3</v>
      </c>
      <c r="X213" s="156">
        <v>0</v>
      </c>
      <c r="Y213" s="157">
        <v>2.8571428570000001E-2</v>
      </c>
      <c r="Z213" s="158">
        <v>2.1428571430000001E-2</v>
      </c>
      <c r="AA213" s="156">
        <v>0.48214285709999999</v>
      </c>
      <c r="AB213" s="156">
        <v>0</v>
      </c>
      <c r="AC213" s="156">
        <v>0</v>
      </c>
      <c r="AD213" s="156">
        <v>7.1428571429999997E-3</v>
      </c>
      <c r="AE213" s="156">
        <v>0</v>
      </c>
      <c r="AF213" s="159">
        <v>0.48928571430000001</v>
      </c>
      <c r="AG213" s="155">
        <v>8.016877637E-2</v>
      </c>
      <c r="AH213" s="156">
        <v>0</v>
      </c>
      <c r="AI213" s="156">
        <v>0</v>
      </c>
      <c r="AJ213" s="156">
        <v>8.4388185650000006E-3</v>
      </c>
      <c r="AK213" s="156">
        <v>0.81012658230000001</v>
      </c>
      <c r="AL213" s="156">
        <v>1.6877637130000001E-2</v>
      </c>
      <c r="AM213" s="157">
        <v>8.4388185650000003E-2</v>
      </c>
      <c r="AN213" s="158">
        <v>0.1518987342</v>
      </c>
      <c r="AO213" s="156">
        <v>0</v>
      </c>
      <c r="AP213" s="156">
        <v>0</v>
      </c>
      <c r="AQ213" s="156">
        <v>0</v>
      </c>
      <c r="AR213" s="156">
        <v>0.62025316460000002</v>
      </c>
      <c r="AS213" s="156">
        <v>2.953586498E-2</v>
      </c>
      <c r="AT213" s="159">
        <v>0.1983122363</v>
      </c>
    </row>
    <row r="214" spans="1:46" ht="12.75">
      <c r="A214" s="67" t="s">
        <v>10</v>
      </c>
      <c r="B214" s="67" t="s">
        <v>10</v>
      </c>
      <c r="C214" s="67" t="s">
        <v>502</v>
      </c>
      <c r="D214" s="67" t="s">
        <v>503</v>
      </c>
      <c r="E214" s="155">
        <v>0.71756978650000003</v>
      </c>
      <c r="F214" s="156">
        <v>0.5533661741</v>
      </c>
      <c r="G214" s="156">
        <v>0.2692939245</v>
      </c>
      <c r="H214" s="156">
        <v>1.6420361250000001E-3</v>
      </c>
      <c r="I214" s="156">
        <v>0</v>
      </c>
      <c r="J214" s="156">
        <v>0</v>
      </c>
      <c r="K214" s="157">
        <v>0.54187192120000005</v>
      </c>
      <c r="L214" s="158">
        <v>0.28899835800000001</v>
      </c>
      <c r="M214" s="156">
        <v>0.37602627259999999</v>
      </c>
      <c r="N214" s="156">
        <v>0.30706075529999999</v>
      </c>
      <c r="O214" s="156">
        <v>0</v>
      </c>
      <c r="P214" s="156">
        <v>0</v>
      </c>
      <c r="Q214" s="156">
        <v>0</v>
      </c>
      <c r="R214" s="159">
        <v>2.791461412E-2</v>
      </c>
      <c r="S214" s="155">
        <v>0.42094662640000002</v>
      </c>
      <c r="T214" s="156">
        <v>0.5236656596</v>
      </c>
      <c r="U214" s="156">
        <v>0</v>
      </c>
      <c r="V214" s="156">
        <v>0</v>
      </c>
      <c r="W214" s="156">
        <v>7.0493454180000003E-3</v>
      </c>
      <c r="X214" s="156">
        <v>0</v>
      </c>
      <c r="Y214" s="157">
        <v>4.8338368579999999E-2</v>
      </c>
      <c r="Z214" s="158">
        <v>0.13293051359999999</v>
      </c>
      <c r="AA214" s="156">
        <v>0.43101711980000001</v>
      </c>
      <c r="AB214" s="156">
        <v>0</v>
      </c>
      <c r="AC214" s="156">
        <v>0</v>
      </c>
      <c r="AD214" s="156">
        <v>1.309164149E-2</v>
      </c>
      <c r="AE214" s="156">
        <v>0</v>
      </c>
      <c r="AF214" s="159">
        <v>0.42296072509999999</v>
      </c>
      <c r="AG214" s="155">
        <v>0.22800925929999999</v>
      </c>
      <c r="AH214" s="156">
        <v>0</v>
      </c>
      <c r="AI214" s="156">
        <v>0</v>
      </c>
      <c r="AJ214" s="156">
        <v>1.5046296299999999E-2</v>
      </c>
      <c r="AK214" s="156">
        <v>0.37847222219999999</v>
      </c>
      <c r="AL214" s="156">
        <v>0.29861111109999999</v>
      </c>
      <c r="AM214" s="157">
        <v>7.9861111109999994E-2</v>
      </c>
      <c r="AN214" s="158">
        <v>0.24652777779999999</v>
      </c>
      <c r="AO214" s="156">
        <v>0</v>
      </c>
      <c r="AP214" s="156">
        <v>0</v>
      </c>
      <c r="AQ214" s="156">
        <v>0</v>
      </c>
      <c r="AR214" s="156">
        <v>0.32291666670000002</v>
      </c>
      <c r="AS214" s="156">
        <v>0.29745370370000002</v>
      </c>
      <c r="AT214" s="159">
        <v>0.13310185190000001</v>
      </c>
    </row>
    <row r="215" spans="1:46" ht="12.75">
      <c r="A215" s="67" t="s">
        <v>10</v>
      </c>
      <c r="B215" s="67" t="s">
        <v>10</v>
      </c>
      <c r="C215" s="67" t="s">
        <v>502</v>
      </c>
      <c r="D215" s="67" t="s">
        <v>502</v>
      </c>
      <c r="E215" s="155">
        <v>0.44897959180000002</v>
      </c>
      <c r="F215" s="156">
        <v>0.5</v>
      </c>
      <c r="G215" s="156">
        <v>9.0561224489999995E-2</v>
      </c>
      <c r="H215" s="156">
        <v>0</v>
      </c>
      <c r="I215" s="156">
        <v>0</v>
      </c>
      <c r="J215" s="156">
        <v>0</v>
      </c>
      <c r="K215" s="157">
        <v>3.9540816329999999E-2</v>
      </c>
      <c r="L215" s="158">
        <v>0.31632653059999999</v>
      </c>
      <c r="M215" s="156">
        <v>0.54591836729999998</v>
      </c>
      <c r="N215" s="156">
        <v>0.11352040820000001</v>
      </c>
      <c r="O215" s="156">
        <v>0</v>
      </c>
      <c r="P215" s="156">
        <v>0</v>
      </c>
      <c r="Q215" s="156">
        <v>0</v>
      </c>
      <c r="R215" s="159">
        <v>2.4234693880000002E-2</v>
      </c>
      <c r="S215" s="155">
        <v>0.59716599189999997</v>
      </c>
      <c r="T215" s="156">
        <v>0.3825910931</v>
      </c>
      <c r="U215" s="156">
        <v>0</v>
      </c>
      <c r="V215" s="156">
        <v>0</v>
      </c>
      <c r="W215" s="156">
        <v>2.0242914979999999E-3</v>
      </c>
      <c r="X215" s="156">
        <v>0</v>
      </c>
      <c r="Y215" s="157">
        <v>1.8218623480000001E-2</v>
      </c>
      <c r="Z215" s="158">
        <v>0.20242914980000001</v>
      </c>
      <c r="AA215" s="156">
        <v>0.21761133599999999</v>
      </c>
      <c r="AB215" s="156">
        <v>0</v>
      </c>
      <c r="AC215" s="156">
        <v>0</v>
      </c>
      <c r="AD215" s="156">
        <v>3.0364372469999998E-3</v>
      </c>
      <c r="AE215" s="156">
        <v>0</v>
      </c>
      <c r="AF215" s="159">
        <v>0.5769230769</v>
      </c>
      <c r="AG215" s="155">
        <v>0.2378255946</v>
      </c>
      <c r="AH215" s="156">
        <v>0</v>
      </c>
      <c r="AI215" s="156">
        <v>0</v>
      </c>
      <c r="AJ215" s="156">
        <v>1.245753114E-2</v>
      </c>
      <c r="AK215" s="156">
        <v>0.3306908267</v>
      </c>
      <c r="AL215" s="156">
        <v>0.34428086070000002</v>
      </c>
      <c r="AM215" s="157">
        <v>7.4745186860000007E-2</v>
      </c>
      <c r="AN215" s="158">
        <v>0.24688561719999999</v>
      </c>
      <c r="AO215" s="156">
        <v>0</v>
      </c>
      <c r="AP215" s="156">
        <v>0</v>
      </c>
      <c r="AQ215" s="156">
        <v>0</v>
      </c>
      <c r="AR215" s="156">
        <v>0.31143827860000001</v>
      </c>
      <c r="AS215" s="156">
        <v>0.33182332959999999</v>
      </c>
      <c r="AT215" s="159">
        <v>0.10985277459999999</v>
      </c>
    </row>
    <row r="216" spans="1:46" ht="12.75">
      <c r="A216" s="67" t="s">
        <v>10</v>
      </c>
      <c r="B216" s="67" t="s">
        <v>10</v>
      </c>
      <c r="C216" s="67" t="s">
        <v>505</v>
      </c>
      <c r="D216" s="67" t="s">
        <v>505</v>
      </c>
      <c r="E216" s="155">
        <v>0.76551094890000004</v>
      </c>
      <c r="F216" s="156">
        <v>0.82481751820000004</v>
      </c>
      <c r="G216" s="156">
        <v>9.1240875910000001E-3</v>
      </c>
      <c r="H216" s="156">
        <v>0</v>
      </c>
      <c r="I216" s="156">
        <v>0</v>
      </c>
      <c r="J216" s="156">
        <v>0</v>
      </c>
      <c r="K216" s="157">
        <v>0.59945255470000003</v>
      </c>
      <c r="L216" s="158">
        <v>0.34762773720000001</v>
      </c>
      <c r="M216" s="156">
        <v>0.61952554739999999</v>
      </c>
      <c r="N216" s="156">
        <v>1.368613139E-2</v>
      </c>
      <c r="O216" s="156">
        <v>0</v>
      </c>
      <c r="P216" s="156">
        <v>0</v>
      </c>
      <c r="Q216" s="156">
        <v>0</v>
      </c>
      <c r="R216" s="159">
        <v>1.916058394E-2</v>
      </c>
      <c r="S216" s="155">
        <v>0.1055837563</v>
      </c>
      <c r="T216" s="156">
        <v>0.85380710660000003</v>
      </c>
      <c r="U216" s="156">
        <v>0</v>
      </c>
      <c r="V216" s="156">
        <v>0</v>
      </c>
      <c r="W216" s="156">
        <v>2.030456853E-3</v>
      </c>
      <c r="X216" s="156">
        <v>0</v>
      </c>
      <c r="Y216" s="157">
        <v>3.85786802E-2</v>
      </c>
      <c r="Z216" s="158">
        <v>1.4213197970000001E-2</v>
      </c>
      <c r="AA216" s="156">
        <v>0.36142131979999997</v>
      </c>
      <c r="AB216" s="156">
        <v>0</v>
      </c>
      <c r="AC216" s="156">
        <v>0</v>
      </c>
      <c r="AD216" s="156">
        <v>2.030456853E-3</v>
      </c>
      <c r="AE216" s="156">
        <v>0</v>
      </c>
      <c r="AF216" s="159">
        <v>0.62233502539999996</v>
      </c>
      <c r="AG216" s="155">
        <v>0.4</v>
      </c>
      <c r="AH216" s="156">
        <v>0</v>
      </c>
      <c r="AI216" s="156">
        <v>0</v>
      </c>
      <c r="AJ216" s="156">
        <v>1.2571428569999999E-2</v>
      </c>
      <c r="AK216" s="156">
        <v>0.42971428569999998</v>
      </c>
      <c r="AL216" s="156">
        <v>9.8285714290000006E-2</v>
      </c>
      <c r="AM216" s="157">
        <v>5.942857143E-2</v>
      </c>
      <c r="AN216" s="158">
        <v>0.4388571429</v>
      </c>
      <c r="AO216" s="156">
        <v>0</v>
      </c>
      <c r="AP216" s="156">
        <v>0</v>
      </c>
      <c r="AQ216" s="156">
        <v>0</v>
      </c>
      <c r="AR216" s="156">
        <v>0.40685714290000002</v>
      </c>
      <c r="AS216" s="156">
        <v>8.9142857140000004E-2</v>
      </c>
      <c r="AT216" s="159">
        <v>6.5142857139999996E-2</v>
      </c>
    </row>
    <row r="217" spans="1:46" ht="12.75">
      <c r="A217" s="67" t="s">
        <v>10</v>
      </c>
      <c r="B217" s="67" t="s">
        <v>10</v>
      </c>
      <c r="C217" s="67" t="s">
        <v>507</v>
      </c>
      <c r="D217" s="67" t="s">
        <v>507</v>
      </c>
      <c r="E217" s="155">
        <v>0.38475073310000002</v>
      </c>
      <c r="F217" s="156">
        <v>0.4187683284</v>
      </c>
      <c r="G217" s="156">
        <v>0.18299120229999999</v>
      </c>
      <c r="H217" s="156">
        <v>7.0381231670000001E-3</v>
      </c>
      <c r="I217" s="156">
        <v>0</v>
      </c>
      <c r="J217" s="156">
        <v>0</v>
      </c>
      <c r="K217" s="157">
        <v>6.4516129030000001E-3</v>
      </c>
      <c r="L217" s="158">
        <v>0.34486803519999998</v>
      </c>
      <c r="M217" s="156">
        <v>0.3929618768</v>
      </c>
      <c r="N217" s="156">
        <v>0.23401759529999999</v>
      </c>
      <c r="O217" s="156">
        <v>0</v>
      </c>
      <c r="P217" s="156">
        <v>0</v>
      </c>
      <c r="Q217" s="156">
        <v>0</v>
      </c>
      <c r="R217" s="159">
        <v>2.8152492670000001E-2</v>
      </c>
      <c r="S217" s="155">
        <v>0.33333333329999998</v>
      </c>
      <c r="T217" s="156">
        <v>0.59689922480000002</v>
      </c>
      <c r="U217" s="156">
        <v>0</v>
      </c>
      <c r="V217" s="156">
        <v>0</v>
      </c>
      <c r="W217" s="156">
        <v>1.0570824519999999E-2</v>
      </c>
      <c r="X217" s="156">
        <v>0</v>
      </c>
      <c r="Y217" s="157">
        <v>5.919661734E-2</v>
      </c>
      <c r="Z217" s="158">
        <v>0.1155743481</v>
      </c>
      <c r="AA217" s="156">
        <v>0.2642706131</v>
      </c>
      <c r="AB217" s="156">
        <v>0</v>
      </c>
      <c r="AC217" s="156">
        <v>0</v>
      </c>
      <c r="AD217" s="156">
        <v>4.9330514450000003E-3</v>
      </c>
      <c r="AE217" s="156">
        <v>0</v>
      </c>
      <c r="AF217" s="159">
        <v>0.6152219873</v>
      </c>
      <c r="AG217" s="155">
        <v>0.11557377050000001</v>
      </c>
      <c r="AH217" s="156">
        <v>0</v>
      </c>
      <c r="AI217" s="156">
        <v>0</v>
      </c>
      <c r="AJ217" s="156">
        <v>3.2786885250000002E-3</v>
      </c>
      <c r="AK217" s="156">
        <v>0.1713114754</v>
      </c>
      <c r="AL217" s="156">
        <v>0.62131147539999998</v>
      </c>
      <c r="AM217" s="157">
        <v>8.852459016E-2</v>
      </c>
      <c r="AN217" s="158">
        <v>0.12377049179999999</v>
      </c>
      <c r="AO217" s="156">
        <v>0</v>
      </c>
      <c r="AP217" s="156">
        <v>0</v>
      </c>
      <c r="AQ217" s="156">
        <v>0</v>
      </c>
      <c r="AR217" s="156">
        <v>0.17049180329999999</v>
      </c>
      <c r="AS217" s="156">
        <v>0.61639344259999995</v>
      </c>
      <c r="AT217" s="159">
        <v>8.9344262300000005E-2</v>
      </c>
    </row>
    <row r="218" spans="1:46" ht="12.75">
      <c r="A218" s="67" t="s">
        <v>10</v>
      </c>
      <c r="B218" s="67" t="s">
        <v>10</v>
      </c>
      <c r="C218" s="67" t="s">
        <v>507</v>
      </c>
      <c r="D218" s="67" t="s">
        <v>251</v>
      </c>
      <c r="E218" s="155">
        <v>0.41726618710000002</v>
      </c>
      <c r="F218" s="156">
        <v>0.41109969169999999</v>
      </c>
      <c r="G218" s="156">
        <v>6.8859198359999998E-2</v>
      </c>
      <c r="H218" s="156">
        <v>6.1664953749999999E-3</v>
      </c>
      <c r="I218" s="156">
        <v>0</v>
      </c>
      <c r="J218" s="156">
        <v>0</v>
      </c>
      <c r="K218" s="157">
        <v>9.660842754E-2</v>
      </c>
      <c r="L218" s="158">
        <v>0.40493319630000002</v>
      </c>
      <c r="M218" s="156">
        <v>0.4820143885</v>
      </c>
      <c r="N218" s="156">
        <v>7.3997944499999996E-2</v>
      </c>
      <c r="O218" s="156">
        <v>0</v>
      </c>
      <c r="P218" s="156">
        <v>0</v>
      </c>
      <c r="Q218" s="156">
        <v>0</v>
      </c>
      <c r="R218" s="159">
        <v>3.9054470709999997E-2</v>
      </c>
      <c r="S218" s="155">
        <v>0.28726554789999997</v>
      </c>
      <c r="T218" s="156">
        <v>0.6673247779</v>
      </c>
      <c r="U218" s="156">
        <v>0</v>
      </c>
      <c r="V218" s="156">
        <v>0</v>
      </c>
      <c r="W218" s="156">
        <v>8.8845014809999998E-3</v>
      </c>
      <c r="X218" s="156">
        <v>0</v>
      </c>
      <c r="Y218" s="157">
        <v>3.6525172750000001E-2</v>
      </c>
      <c r="Z218" s="158">
        <v>6.7127344520000007E-2</v>
      </c>
      <c r="AA218" s="156">
        <v>0.32477788749999997</v>
      </c>
      <c r="AB218" s="156">
        <v>0</v>
      </c>
      <c r="AC218" s="156">
        <v>0</v>
      </c>
      <c r="AD218" s="156">
        <v>3.9486673250000003E-3</v>
      </c>
      <c r="AE218" s="156">
        <v>0</v>
      </c>
      <c r="AF218" s="159">
        <v>0.60414610069999997</v>
      </c>
      <c r="AG218" s="155">
        <v>0.1920199501</v>
      </c>
      <c r="AH218" s="156">
        <v>0</v>
      </c>
      <c r="AI218" s="156">
        <v>0</v>
      </c>
      <c r="AJ218" s="156">
        <v>1.122194514E-2</v>
      </c>
      <c r="AK218" s="156">
        <v>0.27182044890000001</v>
      </c>
      <c r="AL218" s="156">
        <v>0.39401496260000002</v>
      </c>
      <c r="AM218" s="157">
        <v>0.1309226933</v>
      </c>
      <c r="AN218" s="158">
        <v>0.21571072320000001</v>
      </c>
      <c r="AO218" s="156">
        <v>0</v>
      </c>
      <c r="AP218" s="156">
        <v>0</v>
      </c>
      <c r="AQ218" s="156">
        <v>0</v>
      </c>
      <c r="AR218" s="156">
        <v>0.25810473820000002</v>
      </c>
      <c r="AS218" s="156">
        <v>0.38653366579999998</v>
      </c>
      <c r="AT218" s="159">
        <v>0.13965087279999999</v>
      </c>
    </row>
    <row r="219" spans="1:46" ht="12.75">
      <c r="A219" s="67" t="s">
        <v>10</v>
      </c>
      <c r="B219" s="67" t="s">
        <v>10</v>
      </c>
      <c r="C219" s="67" t="s">
        <v>509</v>
      </c>
      <c r="D219" s="67" t="s">
        <v>509</v>
      </c>
      <c r="E219" s="155">
        <v>0.32742857139999998</v>
      </c>
      <c r="F219" s="156">
        <v>0.38514285710000001</v>
      </c>
      <c r="G219" s="156">
        <v>0.1062857143</v>
      </c>
      <c r="H219" s="156">
        <v>7.4285714289999997E-3</v>
      </c>
      <c r="I219" s="156">
        <v>0</v>
      </c>
      <c r="J219" s="156">
        <v>0</v>
      </c>
      <c r="K219" s="157">
        <v>0.1737142857</v>
      </c>
      <c r="L219" s="158">
        <v>0.37542857140000002</v>
      </c>
      <c r="M219" s="156">
        <v>0.45028571429999997</v>
      </c>
      <c r="N219" s="156">
        <v>0.1525714286</v>
      </c>
      <c r="O219" s="156">
        <v>0</v>
      </c>
      <c r="P219" s="156">
        <v>0</v>
      </c>
      <c r="Q219" s="156">
        <v>0</v>
      </c>
      <c r="R219" s="159">
        <v>2.171428571E-2</v>
      </c>
      <c r="S219" s="155">
        <v>0.46077825820000001</v>
      </c>
      <c r="T219" s="156">
        <v>0.47189623219999999</v>
      </c>
      <c r="U219" s="156">
        <v>0</v>
      </c>
      <c r="V219" s="156">
        <v>0</v>
      </c>
      <c r="W219" s="156">
        <v>1.235330451E-2</v>
      </c>
      <c r="X219" s="156">
        <v>0</v>
      </c>
      <c r="Y219" s="157">
        <v>5.4972205060000001E-2</v>
      </c>
      <c r="Z219" s="158">
        <v>5.8385093169999999E-2</v>
      </c>
      <c r="AA219" s="156">
        <v>0.30310559009999999</v>
      </c>
      <c r="AB219" s="156">
        <v>0</v>
      </c>
      <c r="AC219" s="156">
        <v>0</v>
      </c>
      <c r="AD219" s="156">
        <v>9.3167701860000004E-3</v>
      </c>
      <c r="AE219" s="156">
        <v>0</v>
      </c>
      <c r="AF219" s="159">
        <v>0.62919254660000001</v>
      </c>
      <c r="AG219" s="155">
        <v>0.20733249049999999</v>
      </c>
      <c r="AH219" s="156">
        <v>0</v>
      </c>
      <c r="AI219" s="156">
        <v>0</v>
      </c>
      <c r="AJ219" s="156">
        <v>5.056890013E-3</v>
      </c>
      <c r="AK219" s="156">
        <v>0.24778761060000001</v>
      </c>
      <c r="AL219" s="156">
        <v>0.47787610619999998</v>
      </c>
      <c r="AM219" s="157">
        <v>6.1946902650000003E-2</v>
      </c>
      <c r="AN219" s="158">
        <v>0.2117572693</v>
      </c>
      <c r="AO219" s="156">
        <v>0</v>
      </c>
      <c r="AP219" s="156">
        <v>0</v>
      </c>
      <c r="AQ219" s="156">
        <v>0</v>
      </c>
      <c r="AR219" s="156">
        <v>0.25853350190000002</v>
      </c>
      <c r="AS219" s="156">
        <v>0.46586599239999998</v>
      </c>
      <c r="AT219" s="159">
        <v>6.3843236410000004E-2</v>
      </c>
    </row>
    <row r="220" spans="1:46" ht="12.75">
      <c r="A220" s="67" t="s">
        <v>10</v>
      </c>
      <c r="B220" s="67" t="s">
        <v>10</v>
      </c>
      <c r="C220" s="67" t="s">
        <v>511</v>
      </c>
      <c r="D220" s="67" t="s">
        <v>511</v>
      </c>
      <c r="E220" s="155">
        <v>0.37160633479999999</v>
      </c>
      <c r="F220" s="156">
        <v>0.32748868780000001</v>
      </c>
      <c r="G220" s="156">
        <v>0.1623303167</v>
      </c>
      <c r="H220" s="156">
        <v>4.5248868779999996E-3</v>
      </c>
      <c r="I220" s="156">
        <v>0</v>
      </c>
      <c r="J220" s="156">
        <v>0</v>
      </c>
      <c r="K220" s="157">
        <v>0.13404977379999999</v>
      </c>
      <c r="L220" s="158">
        <v>0.37330316740000002</v>
      </c>
      <c r="M220" s="156">
        <v>0.41289592759999999</v>
      </c>
      <c r="N220" s="156">
        <v>0.19457013570000001</v>
      </c>
      <c r="O220" s="156">
        <v>0</v>
      </c>
      <c r="P220" s="156">
        <v>0</v>
      </c>
      <c r="Q220" s="156">
        <v>0</v>
      </c>
      <c r="R220" s="159">
        <v>1.923076923E-2</v>
      </c>
      <c r="S220" s="155">
        <v>0.44945267220000001</v>
      </c>
      <c r="T220" s="156">
        <v>0.49195106249999998</v>
      </c>
      <c r="U220" s="156">
        <v>0</v>
      </c>
      <c r="V220" s="156">
        <v>0</v>
      </c>
      <c r="W220" s="156">
        <v>1.287830006E-2</v>
      </c>
      <c r="X220" s="156">
        <v>0</v>
      </c>
      <c r="Y220" s="157">
        <v>4.5717965229999998E-2</v>
      </c>
      <c r="Z220" s="158">
        <v>0.1204121056</v>
      </c>
      <c r="AA220" s="156">
        <v>0.2376046362</v>
      </c>
      <c r="AB220" s="156">
        <v>0</v>
      </c>
      <c r="AC220" s="156">
        <v>0</v>
      </c>
      <c r="AD220" s="156">
        <v>4.5074050230000003E-3</v>
      </c>
      <c r="AE220" s="156">
        <v>0</v>
      </c>
      <c r="AF220" s="159">
        <v>0.6374758532</v>
      </c>
      <c r="AG220" s="155">
        <v>0.242795389</v>
      </c>
      <c r="AH220" s="156">
        <v>0</v>
      </c>
      <c r="AI220" s="156">
        <v>0</v>
      </c>
      <c r="AJ220" s="156">
        <v>7.9250720460000007E-3</v>
      </c>
      <c r="AK220" s="156">
        <v>0.2485590778</v>
      </c>
      <c r="AL220" s="156">
        <v>0.44020172909999999</v>
      </c>
      <c r="AM220" s="157">
        <v>6.0518731989999998E-2</v>
      </c>
      <c r="AN220" s="158">
        <v>0.26945244959999998</v>
      </c>
      <c r="AO220" s="156">
        <v>0</v>
      </c>
      <c r="AP220" s="156">
        <v>0</v>
      </c>
      <c r="AQ220" s="156">
        <v>0</v>
      </c>
      <c r="AR220" s="156">
        <v>0.21829971179999999</v>
      </c>
      <c r="AS220" s="156">
        <v>0.43515850140000001</v>
      </c>
      <c r="AT220" s="159">
        <v>7.7089337179999995E-2</v>
      </c>
    </row>
    <row r="221" spans="1:46" ht="12.75">
      <c r="A221" s="67" t="s">
        <v>10</v>
      </c>
      <c r="B221" s="67" t="s">
        <v>10</v>
      </c>
      <c r="C221" s="67" t="s">
        <v>513</v>
      </c>
      <c r="D221" s="67" t="s">
        <v>513</v>
      </c>
      <c r="E221" s="155">
        <v>0.459957477</v>
      </c>
      <c r="F221" s="156">
        <v>0.20127569100000001</v>
      </c>
      <c r="G221" s="156">
        <v>9.9929128280000001E-2</v>
      </c>
      <c r="H221" s="156">
        <v>4.2523033309999998E-3</v>
      </c>
      <c r="I221" s="156">
        <v>0</v>
      </c>
      <c r="J221" s="156">
        <v>0</v>
      </c>
      <c r="K221" s="157">
        <v>0.2345854004</v>
      </c>
      <c r="L221" s="158">
        <v>0.52941176469999995</v>
      </c>
      <c r="M221" s="156">
        <v>0.29695251589999999</v>
      </c>
      <c r="N221" s="156">
        <v>0.124734231</v>
      </c>
      <c r="O221" s="156">
        <v>0</v>
      </c>
      <c r="P221" s="156">
        <v>0</v>
      </c>
      <c r="Q221" s="156">
        <v>0</v>
      </c>
      <c r="R221" s="159">
        <v>4.8901488309999998E-2</v>
      </c>
      <c r="S221" s="155">
        <v>0.5864432597</v>
      </c>
      <c r="T221" s="156">
        <v>0.34196496570000001</v>
      </c>
      <c r="U221" s="156">
        <v>0</v>
      </c>
      <c r="V221" s="156">
        <v>0</v>
      </c>
      <c r="W221" s="156">
        <v>2.6656511809999998E-2</v>
      </c>
      <c r="X221" s="156">
        <v>0</v>
      </c>
      <c r="Y221" s="157">
        <v>4.4935262759999997E-2</v>
      </c>
      <c r="Z221" s="158">
        <v>0.13328255899999999</v>
      </c>
      <c r="AA221" s="156">
        <v>0.13404417360000001</v>
      </c>
      <c r="AB221" s="156">
        <v>0</v>
      </c>
      <c r="AC221" s="156">
        <v>0</v>
      </c>
      <c r="AD221" s="156">
        <v>1.9040365579999999E-2</v>
      </c>
      <c r="AE221" s="156">
        <v>0</v>
      </c>
      <c r="AF221" s="159">
        <v>0.71363290180000005</v>
      </c>
      <c r="AG221" s="155">
        <v>0.33764135699999998</v>
      </c>
      <c r="AH221" s="156">
        <v>0</v>
      </c>
      <c r="AI221" s="156">
        <v>0</v>
      </c>
      <c r="AJ221" s="156">
        <v>1.6155088849999999E-2</v>
      </c>
      <c r="AK221" s="156">
        <v>0.14943457190000001</v>
      </c>
      <c r="AL221" s="156">
        <v>0.40630048470000002</v>
      </c>
      <c r="AM221" s="157">
        <v>9.0468497580000001E-2</v>
      </c>
      <c r="AN221" s="158">
        <v>0.35702746369999999</v>
      </c>
      <c r="AO221" s="156">
        <v>0</v>
      </c>
      <c r="AP221" s="156">
        <v>0</v>
      </c>
      <c r="AQ221" s="156">
        <v>0</v>
      </c>
      <c r="AR221" s="156">
        <v>0.14378029079999999</v>
      </c>
      <c r="AS221" s="156">
        <v>0.40549273019999998</v>
      </c>
      <c r="AT221" s="159">
        <v>9.3699515349999998E-2</v>
      </c>
    </row>
    <row r="222" spans="1:46" ht="12.75">
      <c r="A222" s="67" t="s">
        <v>10</v>
      </c>
      <c r="B222" s="67" t="s">
        <v>10</v>
      </c>
      <c r="C222" s="67" t="s">
        <v>515</v>
      </c>
      <c r="D222" s="67" t="s">
        <v>516</v>
      </c>
      <c r="E222" s="155">
        <v>0.69947506559999995</v>
      </c>
      <c r="F222" s="156">
        <v>0.38320209970000002</v>
      </c>
      <c r="G222" s="156">
        <v>0.11942257219999999</v>
      </c>
      <c r="H222" s="156">
        <v>3.9370078740000002E-3</v>
      </c>
      <c r="I222" s="156">
        <v>0</v>
      </c>
      <c r="J222" s="156">
        <v>0</v>
      </c>
      <c r="K222" s="157">
        <v>0.2060367454</v>
      </c>
      <c r="L222" s="158">
        <v>0.37139107609999999</v>
      </c>
      <c r="M222" s="156">
        <v>0.43832020999999999</v>
      </c>
      <c r="N222" s="156">
        <v>0.15091863520000001</v>
      </c>
      <c r="O222" s="156">
        <v>0</v>
      </c>
      <c r="P222" s="156">
        <v>0</v>
      </c>
      <c r="Q222" s="156">
        <v>0</v>
      </c>
      <c r="R222" s="159">
        <v>3.9370078740000002E-2</v>
      </c>
      <c r="S222" s="155">
        <v>0.31341107870000001</v>
      </c>
      <c r="T222" s="156">
        <v>0.6297376093</v>
      </c>
      <c r="U222" s="156">
        <v>0</v>
      </c>
      <c r="V222" s="156">
        <v>0</v>
      </c>
      <c r="W222" s="156">
        <v>5.8309037899999996E-3</v>
      </c>
      <c r="X222" s="156">
        <v>0</v>
      </c>
      <c r="Y222" s="157">
        <v>5.1020408160000003E-2</v>
      </c>
      <c r="Z222" s="158">
        <v>2.1865889209999999E-2</v>
      </c>
      <c r="AA222" s="156">
        <v>0.33673469389999999</v>
      </c>
      <c r="AB222" s="156">
        <v>0</v>
      </c>
      <c r="AC222" s="156">
        <v>0</v>
      </c>
      <c r="AD222" s="156">
        <v>0</v>
      </c>
      <c r="AE222" s="156">
        <v>0</v>
      </c>
      <c r="AF222" s="159">
        <v>0.64139941690000002</v>
      </c>
      <c r="AG222" s="155">
        <v>0.22175141239999999</v>
      </c>
      <c r="AH222" s="156">
        <v>0</v>
      </c>
      <c r="AI222" s="156">
        <v>0</v>
      </c>
      <c r="AJ222" s="156">
        <v>4.237288136E-3</v>
      </c>
      <c r="AK222" s="156">
        <v>0.2274011299</v>
      </c>
      <c r="AL222" s="156">
        <v>0.48870056499999998</v>
      </c>
      <c r="AM222" s="157">
        <v>5.7909604519999998E-2</v>
      </c>
      <c r="AN222" s="158">
        <v>0.25</v>
      </c>
      <c r="AO222" s="156">
        <v>0</v>
      </c>
      <c r="AP222" s="156">
        <v>0</v>
      </c>
      <c r="AQ222" s="156">
        <v>0</v>
      </c>
      <c r="AR222" s="156">
        <v>0.22316384180000001</v>
      </c>
      <c r="AS222" s="156">
        <v>0.48587570619999998</v>
      </c>
      <c r="AT222" s="159">
        <v>4.096045198E-2</v>
      </c>
    </row>
    <row r="223" spans="1:46" ht="12.75">
      <c r="A223" s="67" t="s">
        <v>10</v>
      </c>
      <c r="B223" s="67" t="s">
        <v>10</v>
      </c>
      <c r="C223" s="67" t="s">
        <v>515</v>
      </c>
      <c r="D223" s="67" t="s">
        <v>515</v>
      </c>
      <c r="E223" s="155">
        <v>0.41911764709999999</v>
      </c>
      <c r="F223" s="156">
        <v>0.40196078429999998</v>
      </c>
      <c r="G223" s="156">
        <v>0.21936274510000001</v>
      </c>
      <c r="H223" s="156">
        <v>7.3529411760000002E-3</v>
      </c>
      <c r="I223" s="156">
        <v>0</v>
      </c>
      <c r="J223" s="156">
        <v>0</v>
      </c>
      <c r="K223" s="157">
        <v>4.7794117650000002E-2</v>
      </c>
      <c r="L223" s="158">
        <v>0.3296568627</v>
      </c>
      <c r="M223" s="156">
        <v>0.33210784310000002</v>
      </c>
      <c r="N223" s="156">
        <v>0.29656862750000001</v>
      </c>
      <c r="O223" s="156">
        <v>0</v>
      </c>
      <c r="P223" s="156">
        <v>0</v>
      </c>
      <c r="Q223" s="156">
        <v>0</v>
      </c>
      <c r="R223" s="159">
        <v>4.1666666669999998E-2</v>
      </c>
      <c r="S223" s="155">
        <v>0.2750716332</v>
      </c>
      <c r="T223" s="156">
        <v>0.6318051576</v>
      </c>
      <c r="U223" s="156">
        <v>0</v>
      </c>
      <c r="V223" s="156">
        <v>0</v>
      </c>
      <c r="W223" s="156">
        <v>1.1461318050000001E-2</v>
      </c>
      <c r="X223" s="156">
        <v>0</v>
      </c>
      <c r="Y223" s="157">
        <v>8.1661891119999996E-2</v>
      </c>
      <c r="Z223" s="158">
        <v>5.0143266479999997E-2</v>
      </c>
      <c r="AA223" s="156">
        <v>0.41404011460000001</v>
      </c>
      <c r="AB223" s="156">
        <v>0</v>
      </c>
      <c r="AC223" s="156">
        <v>0</v>
      </c>
      <c r="AD223" s="156">
        <v>0</v>
      </c>
      <c r="AE223" s="156">
        <v>0</v>
      </c>
      <c r="AF223" s="159">
        <v>0.53581661889999999</v>
      </c>
      <c r="AG223" s="155">
        <v>0.24251968500000001</v>
      </c>
      <c r="AH223" s="156">
        <v>0</v>
      </c>
      <c r="AI223" s="156">
        <v>0</v>
      </c>
      <c r="AJ223" s="156">
        <v>9.4488188980000002E-3</v>
      </c>
      <c r="AK223" s="156">
        <v>0.231496063</v>
      </c>
      <c r="AL223" s="156">
        <v>0.45039370080000002</v>
      </c>
      <c r="AM223" s="157">
        <v>6.6141732280000004E-2</v>
      </c>
      <c r="AN223" s="158">
        <v>0.25826771650000002</v>
      </c>
      <c r="AO223" s="156">
        <v>0</v>
      </c>
      <c r="AP223" s="156">
        <v>0</v>
      </c>
      <c r="AQ223" s="156">
        <v>0</v>
      </c>
      <c r="AR223" s="156">
        <v>0.22047244090000001</v>
      </c>
      <c r="AS223" s="156">
        <v>0.462992126</v>
      </c>
      <c r="AT223" s="159">
        <v>5.826771654E-2</v>
      </c>
    </row>
    <row r="224" spans="1:46" ht="12.75">
      <c r="A224" s="67" t="s">
        <v>10</v>
      </c>
      <c r="B224" s="67" t="s">
        <v>10</v>
      </c>
      <c r="C224" s="67" t="s">
        <v>518</v>
      </c>
      <c r="D224" s="67" t="s">
        <v>518</v>
      </c>
      <c r="E224" s="155">
        <v>0.55156353960000004</v>
      </c>
      <c r="F224" s="156">
        <v>0.46872920829999998</v>
      </c>
      <c r="G224" s="156">
        <v>0.2332002661</v>
      </c>
      <c r="H224" s="156">
        <v>4.9900199599999997E-3</v>
      </c>
      <c r="I224" s="156">
        <v>0</v>
      </c>
      <c r="J224" s="156">
        <v>0</v>
      </c>
      <c r="K224" s="157">
        <v>0.25848303389999999</v>
      </c>
      <c r="L224" s="158">
        <v>0.2910844977</v>
      </c>
      <c r="M224" s="156">
        <v>0.39520958080000002</v>
      </c>
      <c r="N224" s="156">
        <v>0.28176979369999999</v>
      </c>
      <c r="O224" s="156">
        <v>0</v>
      </c>
      <c r="P224" s="156">
        <v>0</v>
      </c>
      <c r="Q224" s="156">
        <v>0</v>
      </c>
      <c r="R224" s="159">
        <v>3.193612774E-2</v>
      </c>
      <c r="S224" s="155">
        <v>0.38909634059999998</v>
      </c>
      <c r="T224" s="156">
        <v>0.47012696040000002</v>
      </c>
      <c r="U224" s="156">
        <v>0</v>
      </c>
      <c r="V224" s="156">
        <v>0</v>
      </c>
      <c r="W224" s="156">
        <v>6.6094100069999995E-2</v>
      </c>
      <c r="X224" s="156">
        <v>0</v>
      </c>
      <c r="Y224" s="157">
        <v>7.4682598949999998E-2</v>
      </c>
      <c r="Z224" s="158">
        <v>0.18857356240000001</v>
      </c>
      <c r="AA224" s="156">
        <v>0.3170276326</v>
      </c>
      <c r="AB224" s="156">
        <v>0</v>
      </c>
      <c r="AC224" s="156">
        <v>0</v>
      </c>
      <c r="AD224" s="156">
        <v>3.2860343540000003E-2</v>
      </c>
      <c r="AE224" s="156">
        <v>0</v>
      </c>
      <c r="AF224" s="159">
        <v>0.4615384615</v>
      </c>
      <c r="AG224" s="155">
        <v>0.1252501</v>
      </c>
      <c r="AH224" s="156">
        <v>0</v>
      </c>
      <c r="AI224" s="156">
        <v>0</v>
      </c>
      <c r="AJ224" s="156">
        <v>1.3205282109999999E-2</v>
      </c>
      <c r="AK224" s="156">
        <v>0.36214485790000001</v>
      </c>
      <c r="AL224" s="156">
        <v>0.3921568627</v>
      </c>
      <c r="AM224" s="157">
        <v>0.10724289720000001</v>
      </c>
      <c r="AN224" s="158">
        <v>0.14485794320000001</v>
      </c>
      <c r="AO224" s="156">
        <v>0</v>
      </c>
      <c r="AP224" s="156">
        <v>0</v>
      </c>
      <c r="AQ224" s="156">
        <v>0</v>
      </c>
      <c r="AR224" s="156">
        <v>0.30532212889999999</v>
      </c>
      <c r="AS224" s="156">
        <v>0.43977591040000003</v>
      </c>
      <c r="AT224" s="159">
        <v>0.1100440176</v>
      </c>
    </row>
    <row r="225" spans="1:46" ht="12.75">
      <c r="A225" s="67" t="s">
        <v>10</v>
      </c>
      <c r="B225" s="67" t="s">
        <v>10</v>
      </c>
      <c r="C225" s="67" t="s">
        <v>520</v>
      </c>
      <c r="D225" s="67" t="s">
        <v>520</v>
      </c>
      <c r="E225" s="155">
        <v>0.36234357220000002</v>
      </c>
      <c r="F225" s="156">
        <v>0.3953356086</v>
      </c>
      <c r="G225" s="156">
        <v>0.16894197950000001</v>
      </c>
      <c r="H225" s="156">
        <v>7.39476678E-3</v>
      </c>
      <c r="I225" s="156">
        <v>0</v>
      </c>
      <c r="J225" s="156">
        <v>0</v>
      </c>
      <c r="K225" s="157">
        <v>6.5984072810000002E-2</v>
      </c>
      <c r="L225" s="158">
        <v>0.2268278641</v>
      </c>
      <c r="M225" s="156">
        <v>0.50259067359999998</v>
      </c>
      <c r="N225" s="156">
        <v>0.22740356940000001</v>
      </c>
      <c r="O225" s="156">
        <v>0</v>
      </c>
      <c r="P225" s="156">
        <v>0</v>
      </c>
      <c r="Q225" s="156">
        <v>0</v>
      </c>
      <c r="R225" s="159">
        <v>4.3177892920000002E-2</v>
      </c>
      <c r="S225" s="155">
        <v>0.30086848640000002</v>
      </c>
      <c r="T225" s="156">
        <v>0.6153846154</v>
      </c>
      <c r="U225" s="156">
        <v>0</v>
      </c>
      <c r="V225" s="156">
        <v>0</v>
      </c>
      <c r="W225" s="156">
        <v>1.0545905709999999E-2</v>
      </c>
      <c r="X225" s="156">
        <v>0</v>
      </c>
      <c r="Y225" s="157">
        <v>7.3200992559999997E-2</v>
      </c>
      <c r="Z225" s="158">
        <v>9.6774193549999998E-2</v>
      </c>
      <c r="AA225" s="156">
        <v>0.28598014890000001</v>
      </c>
      <c r="AB225" s="156">
        <v>0</v>
      </c>
      <c r="AC225" s="156">
        <v>0</v>
      </c>
      <c r="AD225" s="156">
        <v>8.0645161290000007E-3</v>
      </c>
      <c r="AE225" s="156">
        <v>0</v>
      </c>
      <c r="AF225" s="159">
        <v>0.60918114140000001</v>
      </c>
      <c r="AG225" s="155">
        <v>0.20291777189999999</v>
      </c>
      <c r="AH225" s="156">
        <v>0</v>
      </c>
      <c r="AI225" s="156">
        <v>0</v>
      </c>
      <c r="AJ225" s="156">
        <v>9.9469496020000003E-3</v>
      </c>
      <c r="AK225" s="156">
        <v>0.27652519889999999</v>
      </c>
      <c r="AL225" s="156">
        <v>0.42108753319999997</v>
      </c>
      <c r="AM225" s="157">
        <v>8.9522546420000002E-2</v>
      </c>
      <c r="AN225" s="158">
        <v>0.23010610079999999</v>
      </c>
      <c r="AO225" s="156">
        <v>0</v>
      </c>
      <c r="AP225" s="156">
        <v>0</v>
      </c>
      <c r="AQ225" s="156">
        <v>0</v>
      </c>
      <c r="AR225" s="156">
        <v>0.27652519889999999</v>
      </c>
      <c r="AS225" s="156">
        <v>0.41578249340000001</v>
      </c>
      <c r="AT225" s="159">
        <v>7.7586206899999996E-2</v>
      </c>
    </row>
    <row r="226" spans="1:46" ht="12.75">
      <c r="A226" s="67" t="s">
        <v>10</v>
      </c>
      <c r="B226" s="67" t="s">
        <v>10</v>
      </c>
      <c r="C226" s="67" t="s">
        <v>523</v>
      </c>
      <c r="D226" s="67" t="s">
        <v>524</v>
      </c>
      <c r="E226" s="155">
        <v>0.40425531910000001</v>
      </c>
      <c r="F226" s="156">
        <v>0.35919899869999999</v>
      </c>
      <c r="G226" s="156">
        <v>1.7521902379999999E-2</v>
      </c>
      <c r="H226" s="156">
        <v>2.5031289110000001E-3</v>
      </c>
      <c r="I226" s="156">
        <v>0</v>
      </c>
      <c r="J226" s="156">
        <v>0</v>
      </c>
      <c r="K226" s="157">
        <v>0.21652065079999999</v>
      </c>
      <c r="L226" s="158">
        <v>0.36670838550000001</v>
      </c>
      <c r="M226" s="156">
        <v>0.56695869840000002</v>
      </c>
      <c r="N226" s="156">
        <v>3.2540675839999998E-2</v>
      </c>
      <c r="O226" s="156">
        <v>0</v>
      </c>
      <c r="P226" s="156">
        <v>0</v>
      </c>
      <c r="Q226" s="156">
        <v>0</v>
      </c>
      <c r="R226" s="159">
        <v>3.3792240299999998E-2</v>
      </c>
      <c r="S226" s="155">
        <v>0.33591731270000003</v>
      </c>
      <c r="T226" s="156">
        <v>0.59302325580000004</v>
      </c>
      <c r="U226" s="156">
        <v>0</v>
      </c>
      <c r="V226" s="156">
        <v>0</v>
      </c>
      <c r="W226" s="156">
        <v>3.875968992E-3</v>
      </c>
      <c r="X226" s="156">
        <v>0</v>
      </c>
      <c r="Y226" s="157">
        <v>6.7183462530000002E-2</v>
      </c>
      <c r="Z226" s="158">
        <v>2.8423772609999998E-2</v>
      </c>
      <c r="AA226" s="156">
        <v>0.33591731270000003</v>
      </c>
      <c r="AB226" s="156">
        <v>0</v>
      </c>
      <c r="AC226" s="156">
        <v>0</v>
      </c>
      <c r="AD226" s="156">
        <v>6.4599483199999997E-3</v>
      </c>
      <c r="AE226" s="156">
        <v>0</v>
      </c>
      <c r="AF226" s="159">
        <v>0.62919896639999995</v>
      </c>
      <c r="AG226" s="155">
        <v>0.38569424959999998</v>
      </c>
      <c r="AH226" s="156">
        <v>0</v>
      </c>
      <c r="AI226" s="156">
        <v>0</v>
      </c>
      <c r="AJ226" s="156">
        <v>2.3842917250000002E-2</v>
      </c>
      <c r="AK226" s="156">
        <v>0.35203366060000002</v>
      </c>
      <c r="AL226" s="156">
        <v>0.15568022440000001</v>
      </c>
      <c r="AM226" s="157">
        <v>8.2748948109999998E-2</v>
      </c>
      <c r="AN226" s="158">
        <v>0.446002805</v>
      </c>
      <c r="AO226" s="156">
        <v>0</v>
      </c>
      <c r="AP226" s="156">
        <v>0</v>
      </c>
      <c r="AQ226" s="156">
        <v>0</v>
      </c>
      <c r="AR226" s="156">
        <v>0.31837307149999999</v>
      </c>
      <c r="AS226" s="156">
        <v>0.15568022440000001</v>
      </c>
      <c r="AT226" s="159">
        <v>7.994389902E-2</v>
      </c>
    </row>
    <row r="227" spans="1:46" ht="12.75">
      <c r="A227" s="67" t="s">
        <v>10</v>
      </c>
      <c r="B227" s="67" t="s">
        <v>10</v>
      </c>
      <c r="C227" s="67" t="s">
        <v>523</v>
      </c>
      <c r="D227" s="67" t="s">
        <v>523</v>
      </c>
      <c r="E227" s="155">
        <v>0.24892241379999999</v>
      </c>
      <c r="F227" s="156">
        <v>0.42025862069999997</v>
      </c>
      <c r="G227" s="156">
        <v>3.556034483E-2</v>
      </c>
      <c r="H227" s="156">
        <v>2.155172414E-3</v>
      </c>
      <c r="I227" s="156">
        <v>0</v>
      </c>
      <c r="J227" s="156">
        <v>0</v>
      </c>
      <c r="K227" s="157">
        <v>0.29310344830000001</v>
      </c>
      <c r="L227" s="158">
        <v>0.45043103449999999</v>
      </c>
      <c r="M227" s="156">
        <v>0.45581896550000001</v>
      </c>
      <c r="N227" s="156">
        <v>5.7112068969999999E-2</v>
      </c>
      <c r="O227" s="156">
        <v>0</v>
      </c>
      <c r="P227" s="156">
        <v>0</v>
      </c>
      <c r="Q227" s="156">
        <v>0</v>
      </c>
      <c r="R227" s="159">
        <v>3.6637931030000001E-2</v>
      </c>
      <c r="S227" s="155">
        <v>0.43530834340000002</v>
      </c>
      <c r="T227" s="156">
        <v>0.48609431679999998</v>
      </c>
      <c r="U227" s="156">
        <v>0</v>
      </c>
      <c r="V227" s="156">
        <v>0</v>
      </c>
      <c r="W227" s="156">
        <v>7.2551390570000001E-3</v>
      </c>
      <c r="X227" s="156">
        <v>0</v>
      </c>
      <c r="Y227" s="157">
        <v>7.1342200729999999E-2</v>
      </c>
      <c r="Z227" s="158">
        <v>3.6275695279999999E-2</v>
      </c>
      <c r="AA227" s="156">
        <v>0.29383313179999998</v>
      </c>
      <c r="AB227" s="156">
        <v>0</v>
      </c>
      <c r="AC227" s="156">
        <v>0</v>
      </c>
      <c r="AD227" s="156">
        <v>9.6735187420000004E-3</v>
      </c>
      <c r="AE227" s="156">
        <v>0</v>
      </c>
      <c r="AF227" s="159">
        <v>0.6602176542</v>
      </c>
      <c r="AG227" s="155">
        <v>0.41713483150000003</v>
      </c>
      <c r="AH227" s="156">
        <v>0</v>
      </c>
      <c r="AI227" s="156">
        <v>0</v>
      </c>
      <c r="AJ227" s="156">
        <v>1.54494382E-2</v>
      </c>
      <c r="AK227" s="156">
        <v>0.32443820220000003</v>
      </c>
      <c r="AL227" s="156">
        <v>0.1994382022</v>
      </c>
      <c r="AM227" s="157">
        <v>4.3539325839999997E-2</v>
      </c>
      <c r="AN227" s="158">
        <v>0.45786516849999997</v>
      </c>
      <c r="AO227" s="156">
        <v>0</v>
      </c>
      <c r="AP227" s="156">
        <v>0</v>
      </c>
      <c r="AQ227" s="156">
        <v>0</v>
      </c>
      <c r="AR227" s="156">
        <v>0.30898876400000003</v>
      </c>
      <c r="AS227" s="156">
        <v>0.16573033710000001</v>
      </c>
      <c r="AT227" s="159">
        <v>6.7415730339999994E-2</v>
      </c>
    </row>
    <row r="228" spans="1:46" ht="12.75">
      <c r="A228" s="67" t="s">
        <v>10</v>
      </c>
      <c r="B228" s="67" t="s">
        <v>10</v>
      </c>
      <c r="C228" s="67" t="s">
        <v>526</v>
      </c>
      <c r="D228" s="67" t="s">
        <v>526</v>
      </c>
      <c r="E228" s="155">
        <v>0.56555269919999995</v>
      </c>
      <c r="F228" s="156">
        <v>0.5175664096</v>
      </c>
      <c r="G228" s="156">
        <v>7.3693230509999999E-2</v>
      </c>
      <c r="H228" s="156">
        <v>6.8551842329999998E-3</v>
      </c>
      <c r="I228" s="156">
        <v>0</v>
      </c>
      <c r="J228" s="156">
        <v>0</v>
      </c>
      <c r="K228" s="157">
        <v>0.1636675236</v>
      </c>
      <c r="L228" s="158">
        <v>0.27615780449999999</v>
      </c>
      <c r="M228" s="156">
        <v>0.55746140649999998</v>
      </c>
      <c r="N228" s="156">
        <v>0.1123499142</v>
      </c>
      <c r="O228" s="156">
        <v>0</v>
      </c>
      <c r="P228" s="156">
        <v>0</v>
      </c>
      <c r="Q228" s="156">
        <v>0</v>
      </c>
      <c r="R228" s="159">
        <v>5.4030874790000002E-2</v>
      </c>
      <c r="S228" s="155">
        <v>0.25024061600000003</v>
      </c>
      <c r="T228" s="156">
        <v>0.67564966309999996</v>
      </c>
      <c r="U228" s="156">
        <v>0</v>
      </c>
      <c r="V228" s="156">
        <v>0</v>
      </c>
      <c r="W228" s="156">
        <v>7.699711261E-3</v>
      </c>
      <c r="X228" s="156">
        <v>0</v>
      </c>
      <c r="Y228" s="157">
        <v>6.6410009620000002E-2</v>
      </c>
      <c r="Z228" s="158">
        <v>6.8334937439999993E-2</v>
      </c>
      <c r="AA228" s="156">
        <v>0.35707410969999998</v>
      </c>
      <c r="AB228" s="156">
        <v>0</v>
      </c>
      <c r="AC228" s="156">
        <v>0</v>
      </c>
      <c r="AD228" s="156">
        <v>3.8498556300000002E-3</v>
      </c>
      <c r="AE228" s="156">
        <v>0</v>
      </c>
      <c r="AF228" s="159">
        <v>0.57074109719999999</v>
      </c>
      <c r="AG228" s="155">
        <v>0.1879468846</v>
      </c>
      <c r="AH228" s="156">
        <v>0</v>
      </c>
      <c r="AI228" s="156">
        <v>0</v>
      </c>
      <c r="AJ228" s="156">
        <v>1.327885598E-2</v>
      </c>
      <c r="AK228" s="156">
        <v>0.46680286009999999</v>
      </c>
      <c r="AL228" s="156">
        <v>0.21144024510000001</v>
      </c>
      <c r="AM228" s="157">
        <v>0.1205311542</v>
      </c>
      <c r="AN228" s="158">
        <v>0.19918283959999999</v>
      </c>
      <c r="AO228" s="156">
        <v>0</v>
      </c>
      <c r="AP228" s="156">
        <v>0</v>
      </c>
      <c r="AQ228" s="156">
        <v>0</v>
      </c>
      <c r="AR228" s="156">
        <v>0.4218590398</v>
      </c>
      <c r="AS228" s="156">
        <v>0.22471910110000001</v>
      </c>
      <c r="AT228" s="159">
        <v>0.15423901940000001</v>
      </c>
    </row>
    <row r="229" spans="1:46" ht="12.75">
      <c r="A229" s="67" t="s">
        <v>10</v>
      </c>
      <c r="B229" s="67" t="s">
        <v>10</v>
      </c>
      <c r="C229" s="67" t="s">
        <v>528</v>
      </c>
      <c r="D229" s="67" t="s">
        <v>528</v>
      </c>
      <c r="E229" s="155">
        <v>0.26817947399999997</v>
      </c>
      <c r="F229" s="156">
        <v>0.45899948429999998</v>
      </c>
      <c r="G229" s="156">
        <v>6.6013408970000007E-2</v>
      </c>
      <c r="H229" s="156">
        <v>4.1258380609999999E-3</v>
      </c>
      <c r="I229" s="156">
        <v>0</v>
      </c>
      <c r="J229" s="156">
        <v>0</v>
      </c>
      <c r="K229" s="157">
        <v>0.2026817947</v>
      </c>
      <c r="L229" s="158">
        <v>0.44713769980000001</v>
      </c>
      <c r="M229" s="156">
        <v>0.44094894280000002</v>
      </c>
      <c r="N229" s="156">
        <v>7.6328004130000002E-2</v>
      </c>
      <c r="O229" s="156">
        <v>0</v>
      </c>
      <c r="P229" s="156">
        <v>0</v>
      </c>
      <c r="Q229" s="156">
        <v>0</v>
      </c>
      <c r="R229" s="159">
        <v>3.5585353270000002E-2</v>
      </c>
      <c r="S229" s="155">
        <v>0.1629669735</v>
      </c>
      <c r="T229" s="156">
        <v>0.63021115319999998</v>
      </c>
      <c r="U229" s="156">
        <v>0</v>
      </c>
      <c r="V229" s="156">
        <v>0</v>
      </c>
      <c r="W229" s="156">
        <v>3.6816459119999999E-2</v>
      </c>
      <c r="X229" s="156">
        <v>0</v>
      </c>
      <c r="Y229" s="157">
        <v>0.17000541420000001</v>
      </c>
      <c r="Z229" s="158">
        <v>2.0032485110000001E-2</v>
      </c>
      <c r="AA229" s="156">
        <v>0.20303194369999999</v>
      </c>
      <c r="AB229" s="156">
        <v>0</v>
      </c>
      <c r="AC229" s="156">
        <v>0</v>
      </c>
      <c r="AD229" s="156">
        <v>5.9556036820000002E-3</v>
      </c>
      <c r="AE229" s="156">
        <v>0</v>
      </c>
      <c r="AF229" s="159">
        <v>0.77097996749999997</v>
      </c>
      <c r="AG229" s="155">
        <v>0.58407643310000001</v>
      </c>
      <c r="AH229" s="156">
        <v>0</v>
      </c>
      <c r="AI229" s="156">
        <v>0</v>
      </c>
      <c r="AJ229" s="156">
        <v>1.4012738849999999E-2</v>
      </c>
      <c r="AK229" s="156">
        <v>0.227388535</v>
      </c>
      <c r="AL229" s="156">
        <v>0.11401273889999999</v>
      </c>
      <c r="AM229" s="157">
        <v>6.0509554139999998E-2</v>
      </c>
      <c r="AN229" s="158">
        <v>0.5955414013</v>
      </c>
      <c r="AO229" s="156">
        <v>0</v>
      </c>
      <c r="AP229" s="156">
        <v>0</v>
      </c>
      <c r="AQ229" s="156">
        <v>0</v>
      </c>
      <c r="AR229" s="156">
        <v>0.22165605099999999</v>
      </c>
      <c r="AS229" s="156">
        <v>0.1184713376</v>
      </c>
      <c r="AT229" s="159">
        <v>6.4331210190000002E-2</v>
      </c>
    </row>
    <row r="230" spans="1:46" ht="12.75">
      <c r="A230" s="67" t="s">
        <v>10</v>
      </c>
      <c r="B230" s="67" t="s">
        <v>10</v>
      </c>
      <c r="C230" s="67" t="s">
        <v>530</v>
      </c>
      <c r="D230" s="67" t="s">
        <v>530</v>
      </c>
      <c r="E230" s="155">
        <v>0.38310038120000001</v>
      </c>
      <c r="F230" s="156">
        <v>0.73888182970000005</v>
      </c>
      <c r="G230" s="156">
        <v>0.12134688690000001</v>
      </c>
      <c r="H230" s="156">
        <v>4.4472681069999999E-3</v>
      </c>
      <c r="I230" s="156">
        <v>0</v>
      </c>
      <c r="J230" s="156">
        <v>0</v>
      </c>
      <c r="K230" s="157">
        <v>0.24777636589999999</v>
      </c>
      <c r="L230" s="158">
        <v>0.3608640407</v>
      </c>
      <c r="M230" s="156">
        <v>0.38437102919999999</v>
      </c>
      <c r="N230" s="156">
        <v>0.16010165179999999</v>
      </c>
      <c r="O230" s="156">
        <v>0</v>
      </c>
      <c r="P230" s="156">
        <v>0</v>
      </c>
      <c r="Q230" s="156">
        <v>0</v>
      </c>
      <c r="R230" s="159">
        <v>9.4663278269999998E-2</v>
      </c>
      <c r="S230" s="155">
        <v>0.2519083969</v>
      </c>
      <c r="T230" s="156">
        <v>0.63428174879999999</v>
      </c>
      <c r="U230" s="156">
        <v>0</v>
      </c>
      <c r="V230" s="156">
        <v>0</v>
      </c>
      <c r="W230" s="156">
        <v>1.040943789E-2</v>
      </c>
      <c r="X230" s="156">
        <v>0</v>
      </c>
      <c r="Y230" s="157">
        <v>0.1034004164</v>
      </c>
      <c r="Z230" s="158">
        <v>5.7598889659999999E-2</v>
      </c>
      <c r="AA230" s="156">
        <v>0.3580846634</v>
      </c>
      <c r="AB230" s="156">
        <v>0</v>
      </c>
      <c r="AC230" s="156">
        <v>0</v>
      </c>
      <c r="AD230" s="156">
        <v>1.1103400419999999E-2</v>
      </c>
      <c r="AE230" s="156">
        <v>0</v>
      </c>
      <c r="AF230" s="159">
        <v>0.57321304650000005</v>
      </c>
      <c r="AG230" s="155">
        <v>0.2810357959</v>
      </c>
      <c r="AH230" s="156">
        <v>0</v>
      </c>
      <c r="AI230" s="156">
        <v>0</v>
      </c>
      <c r="AJ230" s="156">
        <v>1.6755521709999999E-2</v>
      </c>
      <c r="AK230" s="156">
        <v>0.2490479817</v>
      </c>
      <c r="AL230" s="156">
        <v>0.343488195</v>
      </c>
      <c r="AM230" s="157">
        <v>0.10967250570000001</v>
      </c>
      <c r="AN230" s="158">
        <v>0.39862804880000002</v>
      </c>
      <c r="AO230" s="156">
        <v>0</v>
      </c>
      <c r="AP230" s="156">
        <v>0</v>
      </c>
      <c r="AQ230" s="156">
        <v>0</v>
      </c>
      <c r="AR230" s="156">
        <v>0.2240853659</v>
      </c>
      <c r="AS230" s="156">
        <v>0.28887195119999998</v>
      </c>
      <c r="AT230" s="159">
        <v>8.8414634150000004E-2</v>
      </c>
    </row>
    <row r="231" spans="1:46" ht="12.75">
      <c r="A231" s="67" t="s">
        <v>10</v>
      </c>
      <c r="B231" s="67" t="s">
        <v>10</v>
      </c>
      <c r="C231" s="67" t="s">
        <v>532</v>
      </c>
      <c r="D231" s="67" t="s">
        <v>532</v>
      </c>
      <c r="E231" s="155">
        <v>0.32208157520000003</v>
      </c>
      <c r="F231" s="156">
        <v>0.2503516174</v>
      </c>
      <c r="G231" s="156">
        <v>1.7580872010000002E-2</v>
      </c>
      <c r="H231" s="156">
        <v>7.7355836850000002E-3</v>
      </c>
      <c r="I231" s="156">
        <v>0</v>
      </c>
      <c r="J231" s="156">
        <v>0</v>
      </c>
      <c r="K231" s="157">
        <v>0.4022503516</v>
      </c>
      <c r="L231" s="158">
        <v>0.46765119550000001</v>
      </c>
      <c r="M231" s="156">
        <v>0.48804500699999998</v>
      </c>
      <c r="N231" s="156">
        <v>2.109704641E-2</v>
      </c>
      <c r="O231" s="156">
        <v>0</v>
      </c>
      <c r="P231" s="156">
        <v>0</v>
      </c>
      <c r="Q231" s="156">
        <v>0</v>
      </c>
      <c r="R231" s="159">
        <v>2.3206751049999998E-2</v>
      </c>
      <c r="S231" s="155">
        <v>0.45180279620000002</v>
      </c>
      <c r="T231" s="156">
        <v>0.53127299480000001</v>
      </c>
      <c r="U231" s="156">
        <v>0</v>
      </c>
      <c r="V231" s="156">
        <v>0</v>
      </c>
      <c r="W231" s="156">
        <v>5.8866813830000001E-3</v>
      </c>
      <c r="X231" s="156">
        <v>0</v>
      </c>
      <c r="Y231" s="157">
        <v>1.103752759E-2</v>
      </c>
      <c r="Z231" s="158">
        <v>3.2376747609999999E-2</v>
      </c>
      <c r="AA231" s="156">
        <v>0.33112582779999999</v>
      </c>
      <c r="AB231" s="156">
        <v>0</v>
      </c>
      <c r="AC231" s="156">
        <v>0</v>
      </c>
      <c r="AD231" s="156">
        <v>2.9433406919999999E-3</v>
      </c>
      <c r="AE231" s="156">
        <v>0</v>
      </c>
      <c r="AF231" s="159">
        <v>0.63355408390000001</v>
      </c>
      <c r="AG231" s="155">
        <v>0.45258288359999999</v>
      </c>
      <c r="AH231" s="156">
        <v>0</v>
      </c>
      <c r="AI231" s="156">
        <v>0</v>
      </c>
      <c r="AJ231" s="156">
        <v>1.0794140319999999E-2</v>
      </c>
      <c r="AK231" s="156">
        <v>0.44718581340000002</v>
      </c>
      <c r="AL231" s="156">
        <v>5.1657671549999999E-2</v>
      </c>
      <c r="AM231" s="157">
        <v>3.7779491130000002E-2</v>
      </c>
      <c r="AN231" s="158">
        <v>0.49267540479999999</v>
      </c>
      <c r="AO231" s="156">
        <v>0</v>
      </c>
      <c r="AP231" s="156">
        <v>0</v>
      </c>
      <c r="AQ231" s="156">
        <v>0</v>
      </c>
      <c r="AR231" s="156">
        <v>0.43793369310000002</v>
      </c>
      <c r="AS231" s="156">
        <v>3.6237471090000001E-2</v>
      </c>
      <c r="AT231" s="159">
        <v>3.3153430990000003E-2</v>
      </c>
    </row>
    <row r="232" spans="1:46" ht="12.75">
      <c r="A232" s="67" t="s">
        <v>10</v>
      </c>
      <c r="B232" s="67" t="s">
        <v>10</v>
      </c>
      <c r="C232" s="67" t="s">
        <v>534</v>
      </c>
      <c r="D232" s="67" t="s">
        <v>534</v>
      </c>
      <c r="E232" s="155">
        <v>0.33954900259999998</v>
      </c>
      <c r="F232" s="156">
        <v>0.43625325240000001</v>
      </c>
      <c r="G232" s="156">
        <v>0.12922810060000001</v>
      </c>
      <c r="H232" s="156">
        <v>8.2393755420000006E-3</v>
      </c>
      <c r="I232" s="156">
        <v>0</v>
      </c>
      <c r="J232" s="156">
        <v>0</v>
      </c>
      <c r="K232" s="157">
        <v>8.6730268860000001E-2</v>
      </c>
      <c r="L232" s="158">
        <v>0.36947094539999997</v>
      </c>
      <c r="M232" s="156">
        <v>0.42454466610000002</v>
      </c>
      <c r="N232" s="156">
        <v>0.16955767560000001</v>
      </c>
      <c r="O232" s="156">
        <v>0</v>
      </c>
      <c r="P232" s="156">
        <v>0</v>
      </c>
      <c r="Q232" s="156">
        <v>0</v>
      </c>
      <c r="R232" s="159">
        <v>3.642671292E-2</v>
      </c>
      <c r="S232" s="155">
        <v>0.24057971010000001</v>
      </c>
      <c r="T232" s="156">
        <v>0.67874396140000004</v>
      </c>
      <c r="U232" s="156">
        <v>0</v>
      </c>
      <c r="V232" s="156">
        <v>0</v>
      </c>
      <c r="W232" s="156">
        <v>1.0144927539999999E-2</v>
      </c>
      <c r="X232" s="156">
        <v>0</v>
      </c>
      <c r="Y232" s="157">
        <v>7.0531400970000005E-2</v>
      </c>
      <c r="Z232" s="158">
        <v>5.5394990370000001E-2</v>
      </c>
      <c r="AA232" s="156">
        <v>0.29479768789999999</v>
      </c>
      <c r="AB232" s="156">
        <v>0</v>
      </c>
      <c r="AC232" s="156">
        <v>0</v>
      </c>
      <c r="AD232" s="156">
        <v>8.6705202309999996E-3</v>
      </c>
      <c r="AE232" s="156">
        <v>0</v>
      </c>
      <c r="AF232" s="159">
        <v>0.64113680149999996</v>
      </c>
      <c r="AG232" s="155">
        <v>0.19517313750000001</v>
      </c>
      <c r="AH232" s="156">
        <v>0</v>
      </c>
      <c r="AI232" s="156">
        <v>0</v>
      </c>
      <c r="AJ232" s="156">
        <v>1.364113326E-2</v>
      </c>
      <c r="AK232" s="156">
        <v>0.4386149003</v>
      </c>
      <c r="AL232" s="156">
        <v>0.2875131165</v>
      </c>
      <c r="AM232" s="157">
        <v>6.5057712490000003E-2</v>
      </c>
      <c r="AN232" s="158">
        <v>0.22193074500000001</v>
      </c>
      <c r="AO232" s="156">
        <v>0</v>
      </c>
      <c r="AP232" s="156">
        <v>0</v>
      </c>
      <c r="AQ232" s="156">
        <v>0</v>
      </c>
      <c r="AR232" s="156">
        <v>0.42339979010000001</v>
      </c>
      <c r="AS232" s="156">
        <v>0.27334732420000002</v>
      </c>
      <c r="AT232" s="159">
        <v>8.1322140609999996E-2</v>
      </c>
    </row>
    <row r="233" spans="1:46" ht="12.75">
      <c r="A233" s="67" t="s">
        <v>10</v>
      </c>
      <c r="B233" s="67" t="s">
        <v>10</v>
      </c>
      <c r="C233" s="67" t="s">
        <v>536</v>
      </c>
      <c r="D233" s="67" t="s">
        <v>536</v>
      </c>
      <c r="E233" s="155">
        <v>0.31498612399999998</v>
      </c>
      <c r="F233" s="156">
        <v>0.45652173909999999</v>
      </c>
      <c r="G233" s="156">
        <v>5.8741905640000001E-2</v>
      </c>
      <c r="H233" s="156">
        <v>2.3126734509999998E-3</v>
      </c>
      <c r="I233" s="156">
        <v>0</v>
      </c>
      <c r="J233" s="156">
        <v>0</v>
      </c>
      <c r="K233" s="157">
        <v>0.1674375578</v>
      </c>
      <c r="L233" s="158">
        <v>0.46392229419999997</v>
      </c>
      <c r="M233" s="156">
        <v>0.41859389450000001</v>
      </c>
      <c r="N233" s="156">
        <v>8.0018501389999996E-2</v>
      </c>
      <c r="O233" s="156">
        <v>0</v>
      </c>
      <c r="P233" s="156">
        <v>0</v>
      </c>
      <c r="Q233" s="156">
        <v>0</v>
      </c>
      <c r="R233" s="159">
        <v>3.74653099E-2</v>
      </c>
      <c r="S233" s="155">
        <v>0.20212765960000001</v>
      </c>
      <c r="T233" s="156">
        <v>0.70060790269999995</v>
      </c>
      <c r="U233" s="156">
        <v>0</v>
      </c>
      <c r="V233" s="156">
        <v>0</v>
      </c>
      <c r="W233" s="156">
        <v>1.621073961E-2</v>
      </c>
      <c r="X233" s="156">
        <v>0</v>
      </c>
      <c r="Y233" s="157">
        <v>8.1053698069999999E-2</v>
      </c>
      <c r="Z233" s="158">
        <v>2.4316109419999999E-2</v>
      </c>
      <c r="AA233" s="156">
        <v>0.18287740629999999</v>
      </c>
      <c r="AB233" s="156">
        <v>0</v>
      </c>
      <c r="AC233" s="156">
        <v>0</v>
      </c>
      <c r="AD233" s="156">
        <v>5.5724417430000001E-3</v>
      </c>
      <c r="AE233" s="156">
        <v>0</v>
      </c>
      <c r="AF233" s="159">
        <v>0.78723404259999996</v>
      </c>
      <c r="AG233" s="155">
        <v>0.51364175560000003</v>
      </c>
      <c r="AH233" s="156">
        <v>0</v>
      </c>
      <c r="AI233" s="156">
        <v>0</v>
      </c>
      <c r="AJ233" s="156">
        <v>1.008303677E-2</v>
      </c>
      <c r="AK233" s="156">
        <v>0.25978647690000001</v>
      </c>
      <c r="AL233" s="156">
        <v>0.1637010676</v>
      </c>
      <c r="AM233" s="157">
        <v>5.2787663110000001E-2</v>
      </c>
      <c r="AN233" s="158">
        <v>0.53914590750000002</v>
      </c>
      <c r="AO233" s="156">
        <v>0</v>
      </c>
      <c r="AP233" s="156">
        <v>0</v>
      </c>
      <c r="AQ233" s="156">
        <v>0</v>
      </c>
      <c r="AR233" s="156">
        <v>0.24199288259999999</v>
      </c>
      <c r="AS233" s="156">
        <v>0.1524317912</v>
      </c>
      <c r="AT233" s="159">
        <v>6.6429418739999996E-2</v>
      </c>
    </row>
    <row r="234" spans="1:46" ht="12.75">
      <c r="A234" s="67" t="s">
        <v>10</v>
      </c>
      <c r="B234" s="67" t="s">
        <v>10</v>
      </c>
      <c r="C234" s="163" t="s">
        <v>538</v>
      </c>
      <c r="D234" s="163" t="s">
        <v>538</v>
      </c>
      <c r="E234" s="155">
        <v>0.36014362659999999</v>
      </c>
      <c r="F234" s="156">
        <v>0.2718132855</v>
      </c>
      <c r="G234" s="156">
        <v>0.14649910229999999</v>
      </c>
      <c r="H234" s="156">
        <v>4.3087971270000004E-3</v>
      </c>
      <c r="I234" s="156">
        <v>0</v>
      </c>
      <c r="J234" s="156">
        <v>0</v>
      </c>
      <c r="K234" s="157">
        <v>0.21723518850000001</v>
      </c>
      <c r="L234" s="158">
        <v>0.31859043510000001</v>
      </c>
      <c r="M234" s="156">
        <v>0.46745774899999998</v>
      </c>
      <c r="N234" s="156">
        <v>0.17763394460000001</v>
      </c>
      <c r="O234" s="156">
        <v>0</v>
      </c>
      <c r="P234" s="156">
        <v>0</v>
      </c>
      <c r="Q234" s="156">
        <v>0</v>
      </c>
      <c r="R234" s="159">
        <v>3.6317871270000003E-2</v>
      </c>
      <c r="S234" s="155">
        <v>0.35920357580000001</v>
      </c>
      <c r="T234" s="156">
        <v>0.58634701339999995</v>
      </c>
      <c r="U234" s="156">
        <v>0</v>
      </c>
      <c r="V234" s="156">
        <v>0</v>
      </c>
      <c r="W234" s="156">
        <v>6.0950832990000004E-3</v>
      </c>
      <c r="X234" s="156">
        <v>0</v>
      </c>
      <c r="Y234" s="157">
        <v>4.8354327510000003E-2</v>
      </c>
      <c r="Z234" s="158">
        <v>4.5509955300000002E-2</v>
      </c>
      <c r="AA234" s="156">
        <v>0.41771637550000001</v>
      </c>
      <c r="AB234" s="156">
        <v>0</v>
      </c>
      <c r="AC234" s="156">
        <v>0</v>
      </c>
      <c r="AD234" s="156">
        <v>3.6570499799999999E-3</v>
      </c>
      <c r="AE234" s="156">
        <v>0</v>
      </c>
      <c r="AF234" s="159">
        <v>0.53311661929999998</v>
      </c>
      <c r="AG234" s="155">
        <v>0.12469792170000001</v>
      </c>
      <c r="AH234" s="156">
        <v>0</v>
      </c>
      <c r="AI234" s="156">
        <v>0</v>
      </c>
      <c r="AJ234" s="156">
        <v>8.2165297249999995E-3</v>
      </c>
      <c r="AK234" s="156">
        <v>0.19623006279999999</v>
      </c>
      <c r="AL234" s="156">
        <v>0.59787336879999997</v>
      </c>
      <c r="AM234" s="157">
        <v>7.2982116959999996E-2</v>
      </c>
      <c r="AN234" s="158">
        <v>0.12614789749999999</v>
      </c>
      <c r="AO234" s="156">
        <v>0</v>
      </c>
      <c r="AP234" s="156">
        <v>0</v>
      </c>
      <c r="AQ234" s="156">
        <v>0</v>
      </c>
      <c r="AR234" s="156">
        <v>0.20154664089999999</v>
      </c>
      <c r="AS234" s="156">
        <v>0.61188980179999997</v>
      </c>
      <c r="AT234" s="159">
        <v>6.0415659740000002E-2</v>
      </c>
    </row>
    <row r="235" spans="1:46" ht="12.75">
      <c r="A235" s="67" t="s">
        <v>10</v>
      </c>
      <c r="B235" s="67" t="s">
        <v>10</v>
      </c>
      <c r="C235" s="67" t="s">
        <v>540</v>
      </c>
      <c r="D235" s="67" t="s">
        <v>540</v>
      </c>
      <c r="E235" s="155">
        <v>0.41516828030000003</v>
      </c>
      <c r="F235" s="156">
        <v>0.3169663439</v>
      </c>
      <c r="G235" s="156">
        <v>0.13508529280000001</v>
      </c>
      <c r="H235" s="156">
        <v>2.3052097739999998E-3</v>
      </c>
      <c r="I235" s="156">
        <v>0</v>
      </c>
      <c r="J235" s="156">
        <v>0</v>
      </c>
      <c r="K235" s="157">
        <v>0.13047487320000001</v>
      </c>
      <c r="L235" s="158">
        <v>0.35506912439999999</v>
      </c>
      <c r="M235" s="156">
        <v>0.44792626730000001</v>
      </c>
      <c r="N235" s="156">
        <v>0.16589861750000001</v>
      </c>
      <c r="O235" s="156">
        <v>0</v>
      </c>
      <c r="P235" s="156">
        <v>0</v>
      </c>
      <c r="Q235" s="156">
        <v>0</v>
      </c>
      <c r="R235" s="159">
        <v>3.1105990779999999E-2</v>
      </c>
      <c r="S235" s="155">
        <v>0.40113552209999997</v>
      </c>
      <c r="T235" s="156">
        <v>0.50530733149999996</v>
      </c>
      <c r="U235" s="156">
        <v>0</v>
      </c>
      <c r="V235" s="156">
        <v>0</v>
      </c>
      <c r="W235" s="156">
        <v>1.0120957789999999E-2</v>
      </c>
      <c r="X235" s="156">
        <v>0</v>
      </c>
      <c r="Y235" s="157">
        <v>8.3436188600000002E-2</v>
      </c>
      <c r="Z235" s="158">
        <v>7.5290051839999997E-2</v>
      </c>
      <c r="AA235" s="156">
        <v>0.37768452229999999</v>
      </c>
      <c r="AB235" s="156">
        <v>0</v>
      </c>
      <c r="AC235" s="156">
        <v>0</v>
      </c>
      <c r="AD235" s="156">
        <v>8.3929893850000006E-3</v>
      </c>
      <c r="AE235" s="156">
        <v>0</v>
      </c>
      <c r="AF235" s="159">
        <v>0.53863243640000003</v>
      </c>
      <c r="AG235" s="155">
        <v>0.22304122300000001</v>
      </c>
      <c r="AH235" s="156">
        <v>0</v>
      </c>
      <c r="AI235" s="156">
        <v>0</v>
      </c>
      <c r="AJ235" s="156">
        <v>1.255801256E-2</v>
      </c>
      <c r="AK235" s="156">
        <v>0.33196833199999998</v>
      </c>
      <c r="AL235" s="156">
        <v>0.34643734640000001</v>
      </c>
      <c r="AM235" s="157">
        <v>8.5995085999999998E-2</v>
      </c>
      <c r="AN235" s="158">
        <v>0.23095823100000001</v>
      </c>
      <c r="AO235" s="156">
        <v>0</v>
      </c>
      <c r="AP235" s="156">
        <v>0</v>
      </c>
      <c r="AQ235" s="156">
        <v>0</v>
      </c>
      <c r="AR235" s="156">
        <v>0.3265083265</v>
      </c>
      <c r="AS235" s="156">
        <v>0.37674037669999999</v>
      </c>
      <c r="AT235" s="159">
        <v>6.5793065789999994E-2</v>
      </c>
    </row>
    <row r="236" spans="1:46" ht="12.75">
      <c r="A236" s="67" t="s">
        <v>8</v>
      </c>
      <c r="B236" s="67" t="s">
        <v>8</v>
      </c>
      <c r="C236" s="67" t="s">
        <v>542</v>
      </c>
      <c r="D236" s="67" t="s">
        <v>542</v>
      </c>
      <c r="E236" s="155">
        <v>0.82584269659999998</v>
      </c>
      <c r="F236" s="156">
        <v>0.94569288389999995</v>
      </c>
      <c r="G236" s="156">
        <v>3.1835205989999997E-2</v>
      </c>
      <c r="H236" s="156">
        <v>1.872659176E-3</v>
      </c>
      <c r="I236" s="156">
        <v>0</v>
      </c>
      <c r="J236" s="156">
        <v>0</v>
      </c>
      <c r="K236" s="157">
        <v>0.80524344569999995</v>
      </c>
      <c r="L236" s="158">
        <v>0.62172284639999997</v>
      </c>
      <c r="M236" s="156">
        <v>0.2265917603</v>
      </c>
      <c r="N236" s="156">
        <v>2.8089887639999998E-2</v>
      </c>
      <c r="O236" s="156">
        <v>0</v>
      </c>
      <c r="P236" s="156">
        <v>0</v>
      </c>
      <c r="Q236" s="156">
        <v>0</v>
      </c>
      <c r="R236" s="159">
        <v>0.1235955056</v>
      </c>
      <c r="S236" s="155">
        <v>0.4127579737</v>
      </c>
      <c r="T236" s="156">
        <v>0.46716697940000002</v>
      </c>
      <c r="U236" s="156">
        <v>0</v>
      </c>
      <c r="V236" s="156">
        <v>0</v>
      </c>
      <c r="W236" s="156">
        <v>1.6885553469999998E-2</v>
      </c>
      <c r="X236" s="156">
        <v>0</v>
      </c>
      <c r="Y236" s="157">
        <v>0.1031894934</v>
      </c>
      <c r="Z236" s="158">
        <v>0.38836772980000001</v>
      </c>
      <c r="AA236" s="156">
        <v>0.49343339590000002</v>
      </c>
      <c r="AB236" s="156">
        <v>0</v>
      </c>
      <c r="AC236" s="156">
        <v>0</v>
      </c>
      <c r="AD236" s="156">
        <v>4.3151969980000003E-2</v>
      </c>
      <c r="AE236" s="156">
        <v>0</v>
      </c>
      <c r="AF236" s="159">
        <v>7.5046904319999996E-2</v>
      </c>
      <c r="AG236" s="155">
        <v>0.45283018870000002</v>
      </c>
      <c r="AH236" s="156">
        <v>0</v>
      </c>
      <c r="AI236" s="156">
        <v>0</v>
      </c>
      <c r="AJ236" s="156">
        <v>3.1446540879999998E-2</v>
      </c>
      <c r="AK236" s="156">
        <v>0.14465408809999999</v>
      </c>
      <c r="AL236" s="156">
        <v>0.20545073380000001</v>
      </c>
      <c r="AM236" s="157">
        <v>0.1656184486</v>
      </c>
      <c r="AN236" s="158">
        <v>0.4486373166</v>
      </c>
      <c r="AO236" s="156">
        <v>0</v>
      </c>
      <c r="AP236" s="156">
        <v>0</v>
      </c>
      <c r="AQ236" s="156">
        <v>0</v>
      </c>
      <c r="AR236" s="156">
        <v>0.15932914049999999</v>
      </c>
      <c r="AS236" s="156">
        <v>0.20754716979999999</v>
      </c>
      <c r="AT236" s="159">
        <v>0.1844863732</v>
      </c>
    </row>
    <row r="237" spans="1:46" ht="12.75">
      <c r="A237" s="67" t="s">
        <v>8</v>
      </c>
      <c r="B237" s="67" t="s">
        <v>8</v>
      </c>
      <c r="C237" s="67" t="s">
        <v>9</v>
      </c>
      <c r="D237" s="67" t="s">
        <v>9</v>
      </c>
      <c r="E237" s="155">
        <v>0.76970954359999999</v>
      </c>
      <c r="F237" s="156">
        <v>0.10954356849999999</v>
      </c>
      <c r="G237" s="156">
        <v>1.2448132779999999E-2</v>
      </c>
      <c r="H237" s="156">
        <v>1.6597510369999999E-2</v>
      </c>
      <c r="I237" s="156">
        <v>0</v>
      </c>
      <c r="J237" s="156">
        <v>0</v>
      </c>
      <c r="K237" s="157">
        <v>0.89419087139999998</v>
      </c>
      <c r="L237" s="158">
        <v>0.54149377590000003</v>
      </c>
      <c r="M237" s="156">
        <v>0.34439834019999999</v>
      </c>
      <c r="N237" s="156">
        <v>1.0373443980000001E-2</v>
      </c>
      <c r="O237" s="156">
        <v>0</v>
      </c>
      <c r="P237" s="156">
        <v>0</v>
      </c>
      <c r="Q237" s="156">
        <v>0</v>
      </c>
      <c r="R237" s="159">
        <v>0.10373443979999999</v>
      </c>
      <c r="S237" s="155">
        <v>0.49078341009999998</v>
      </c>
      <c r="T237" s="156">
        <v>9.4470046079999995E-2</v>
      </c>
      <c r="U237" s="156">
        <v>0</v>
      </c>
      <c r="V237" s="156">
        <v>0</v>
      </c>
      <c r="W237" s="156">
        <v>1.382488479E-2</v>
      </c>
      <c r="X237" s="156">
        <v>0</v>
      </c>
      <c r="Y237" s="157">
        <v>0.40092165899999999</v>
      </c>
      <c r="Z237" s="158">
        <v>0.44239631340000002</v>
      </c>
      <c r="AA237" s="156">
        <v>9.9078341010000001E-2</v>
      </c>
      <c r="AB237" s="156">
        <v>0</v>
      </c>
      <c r="AC237" s="156">
        <v>0</v>
      </c>
      <c r="AD237" s="156">
        <v>5.5299539170000002E-2</v>
      </c>
      <c r="AE237" s="156">
        <v>0</v>
      </c>
      <c r="AF237" s="159">
        <v>0.40322580650000001</v>
      </c>
      <c r="AG237" s="155">
        <v>0.40489130429999998</v>
      </c>
      <c r="AH237" s="156">
        <v>0</v>
      </c>
      <c r="AI237" s="156">
        <v>0</v>
      </c>
      <c r="AJ237" s="156">
        <v>1.630434783E-2</v>
      </c>
      <c r="AK237" s="156">
        <v>8.9673913039999997E-2</v>
      </c>
      <c r="AL237" s="156">
        <v>0.22554347829999999</v>
      </c>
      <c r="AM237" s="157">
        <v>0.26358695650000002</v>
      </c>
      <c r="AN237" s="158">
        <v>0.4293478261</v>
      </c>
      <c r="AO237" s="156">
        <v>0</v>
      </c>
      <c r="AP237" s="156">
        <v>0</v>
      </c>
      <c r="AQ237" s="156">
        <v>0</v>
      </c>
      <c r="AR237" s="156">
        <v>0.10869565220000001</v>
      </c>
      <c r="AS237" s="156">
        <v>0.2092391304</v>
      </c>
      <c r="AT237" s="159">
        <v>0.25271739129999998</v>
      </c>
    </row>
    <row r="238" spans="1:46" ht="12.75">
      <c r="A238" s="67" t="s">
        <v>8</v>
      </c>
      <c r="B238" s="67" t="s">
        <v>8</v>
      </c>
      <c r="C238" s="67" t="s">
        <v>546</v>
      </c>
      <c r="D238" s="67" t="s">
        <v>546</v>
      </c>
      <c r="E238" s="155">
        <v>0.58826583590000003</v>
      </c>
      <c r="F238" s="156">
        <v>0.42159916930000002</v>
      </c>
      <c r="G238" s="156">
        <v>4.5171339560000003E-2</v>
      </c>
      <c r="H238" s="156">
        <v>3.1152647979999998E-3</v>
      </c>
      <c r="I238" s="156">
        <v>0</v>
      </c>
      <c r="J238" s="156">
        <v>0</v>
      </c>
      <c r="K238" s="157">
        <v>5.8151609549999997E-2</v>
      </c>
      <c r="L238" s="158">
        <v>0.32450674969999999</v>
      </c>
      <c r="M238" s="156">
        <v>0.5820353063</v>
      </c>
      <c r="N238" s="156">
        <v>4.724818276E-2</v>
      </c>
      <c r="O238" s="156">
        <v>0</v>
      </c>
      <c r="P238" s="156">
        <v>0</v>
      </c>
      <c r="Q238" s="156">
        <v>0</v>
      </c>
      <c r="R238" s="159">
        <v>4.6209761160000001E-2</v>
      </c>
      <c r="S238" s="155">
        <v>0.39405439599999997</v>
      </c>
      <c r="T238" s="156">
        <v>0.41745730549999999</v>
      </c>
      <c r="U238" s="156">
        <v>0</v>
      </c>
      <c r="V238" s="156">
        <v>0</v>
      </c>
      <c r="W238" s="156">
        <v>6.3251106890000004E-3</v>
      </c>
      <c r="X238" s="156">
        <v>0</v>
      </c>
      <c r="Y238" s="157">
        <v>0.1821631879</v>
      </c>
      <c r="Z238" s="158">
        <v>0.38885370489999999</v>
      </c>
      <c r="AA238" s="156">
        <v>0.4008866371</v>
      </c>
      <c r="AB238" s="156">
        <v>0</v>
      </c>
      <c r="AC238" s="156">
        <v>0</v>
      </c>
      <c r="AD238" s="156">
        <v>2.089930336E-2</v>
      </c>
      <c r="AE238" s="156">
        <v>0</v>
      </c>
      <c r="AF238" s="159">
        <v>0.18936035470000001</v>
      </c>
      <c r="AG238" s="155">
        <v>0.26903870159999999</v>
      </c>
      <c r="AH238" s="156">
        <v>0</v>
      </c>
      <c r="AI238" s="156">
        <v>0</v>
      </c>
      <c r="AJ238" s="156">
        <v>5.6179775280000002E-3</v>
      </c>
      <c r="AK238" s="156">
        <v>0.33333333329999998</v>
      </c>
      <c r="AL238" s="156">
        <v>0.31710362050000002</v>
      </c>
      <c r="AM238" s="157">
        <v>7.4906367040000005E-2</v>
      </c>
      <c r="AN238" s="158">
        <v>0.27965043699999997</v>
      </c>
      <c r="AO238" s="156">
        <v>0</v>
      </c>
      <c r="AP238" s="156">
        <v>0</v>
      </c>
      <c r="AQ238" s="156">
        <v>0</v>
      </c>
      <c r="AR238" s="156">
        <v>0.31210986270000002</v>
      </c>
      <c r="AS238" s="156">
        <v>0.32084893879999998</v>
      </c>
      <c r="AT238" s="159">
        <v>8.7390761550000001E-2</v>
      </c>
    </row>
    <row r="239" spans="1:46" ht="12.75">
      <c r="A239" s="67" t="s">
        <v>8</v>
      </c>
      <c r="B239" s="67" t="s">
        <v>8</v>
      </c>
      <c r="C239" s="67" t="s">
        <v>548</v>
      </c>
      <c r="D239" s="67" t="s">
        <v>548</v>
      </c>
      <c r="E239" s="155">
        <v>0.22573363430000001</v>
      </c>
      <c r="F239" s="156">
        <v>0.41083521439999998</v>
      </c>
      <c r="G239" s="156">
        <v>6.7720090290000002E-3</v>
      </c>
      <c r="H239" s="156">
        <v>3.3860045149999999E-3</v>
      </c>
      <c r="I239" s="156">
        <v>0</v>
      </c>
      <c r="J239" s="156">
        <v>0</v>
      </c>
      <c r="K239" s="157">
        <v>0.35327313770000002</v>
      </c>
      <c r="L239" s="158">
        <v>0.36238279099999998</v>
      </c>
      <c r="M239" s="156">
        <v>0.54826254829999999</v>
      </c>
      <c r="N239" s="156">
        <v>1.3237727519999999E-2</v>
      </c>
      <c r="O239" s="156">
        <v>0</v>
      </c>
      <c r="P239" s="156">
        <v>0</v>
      </c>
      <c r="Q239" s="156">
        <v>0</v>
      </c>
      <c r="R239" s="159">
        <v>7.6116933260000005E-2</v>
      </c>
      <c r="S239" s="155">
        <v>0.3771604938</v>
      </c>
      <c r="T239" s="156">
        <v>0.52407407409999995</v>
      </c>
      <c r="U239" s="156">
        <v>0</v>
      </c>
      <c r="V239" s="156">
        <v>0</v>
      </c>
      <c r="W239" s="156">
        <v>1.1728395060000001E-2</v>
      </c>
      <c r="X239" s="156">
        <v>0</v>
      </c>
      <c r="Y239" s="157">
        <v>8.7037037040000001E-2</v>
      </c>
      <c r="Z239" s="158">
        <v>0.36358024690000001</v>
      </c>
      <c r="AA239" s="156">
        <v>0.52160493829999999</v>
      </c>
      <c r="AB239" s="156">
        <v>0</v>
      </c>
      <c r="AC239" s="156">
        <v>0</v>
      </c>
      <c r="AD239" s="156">
        <v>4.3209876539999997E-2</v>
      </c>
      <c r="AE239" s="156">
        <v>0</v>
      </c>
      <c r="AF239" s="159">
        <v>7.1604938270000001E-2</v>
      </c>
      <c r="AG239" s="155">
        <v>0.3256944444</v>
      </c>
      <c r="AH239" s="156">
        <v>0</v>
      </c>
      <c r="AI239" s="156">
        <v>0</v>
      </c>
      <c r="AJ239" s="156">
        <v>3.8194444440000003E-2</v>
      </c>
      <c r="AK239" s="156">
        <v>0.19791666669999999</v>
      </c>
      <c r="AL239" s="156">
        <v>0.17499999999999999</v>
      </c>
      <c r="AM239" s="157">
        <v>0.2631944444</v>
      </c>
      <c r="AN239" s="158">
        <v>0.37083333330000001</v>
      </c>
      <c r="AO239" s="156">
        <v>0</v>
      </c>
      <c r="AP239" s="156">
        <v>0</v>
      </c>
      <c r="AQ239" s="156">
        <v>0</v>
      </c>
      <c r="AR239" s="156">
        <v>0.2055555556</v>
      </c>
      <c r="AS239" s="156">
        <v>0.1784722222</v>
      </c>
      <c r="AT239" s="159">
        <v>0.24513888889999999</v>
      </c>
    </row>
    <row r="240" spans="1:46" ht="12.75">
      <c r="A240" s="67" t="s">
        <v>8</v>
      </c>
      <c r="B240" s="67" t="s">
        <v>8</v>
      </c>
      <c r="C240" s="67" t="s">
        <v>550</v>
      </c>
      <c r="D240" s="67" t="s">
        <v>550</v>
      </c>
      <c r="E240" s="155">
        <v>0.34983896939999998</v>
      </c>
      <c r="F240" s="156">
        <v>0.55193236710000004</v>
      </c>
      <c r="G240" s="156">
        <v>9.0311325819999996E-2</v>
      </c>
      <c r="H240" s="156">
        <v>6.3070316689999998E-3</v>
      </c>
      <c r="I240" s="156">
        <v>0</v>
      </c>
      <c r="J240" s="156">
        <v>0</v>
      </c>
      <c r="K240" s="157">
        <v>1.6103059580000001E-3</v>
      </c>
      <c r="L240" s="158">
        <v>0.50778314550000003</v>
      </c>
      <c r="M240" s="156">
        <v>0.35050993019999999</v>
      </c>
      <c r="N240" s="156">
        <v>8.2125603859999993E-2</v>
      </c>
      <c r="O240" s="156">
        <v>0</v>
      </c>
      <c r="P240" s="156">
        <v>0</v>
      </c>
      <c r="Q240" s="156">
        <v>0</v>
      </c>
      <c r="R240" s="159">
        <v>5.9581320450000003E-2</v>
      </c>
      <c r="S240" s="155">
        <v>0.43388999540000001</v>
      </c>
      <c r="T240" s="156">
        <v>0.46269342730000002</v>
      </c>
      <c r="U240" s="156">
        <v>0</v>
      </c>
      <c r="V240" s="156">
        <v>0</v>
      </c>
      <c r="W240" s="156">
        <v>9.1925846479999993E-3</v>
      </c>
      <c r="X240" s="156">
        <v>0</v>
      </c>
      <c r="Y240" s="157">
        <v>9.4223992650000005E-2</v>
      </c>
      <c r="Z240" s="158">
        <v>0.38838670139999998</v>
      </c>
      <c r="AA240" s="156">
        <v>0.44216332159999999</v>
      </c>
      <c r="AB240" s="156">
        <v>0</v>
      </c>
      <c r="AC240" s="156">
        <v>0</v>
      </c>
      <c r="AD240" s="156">
        <v>2.4360349319999999E-2</v>
      </c>
      <c r="AE240" s="156">
        <v>0</v>
      </c>
      <c r="AF240" s="159">
        <v>0.1450896277</v>
      </c>
      <c r="AG240" s="155">
        <v>0.2183646367</v>
      </c>
      <c r="AH240" s="156">
        <v>0</v>
      </c>
      <c r="AI240" s="156">
        <v>0</v>
      </c>
      <c r="AJ240" s="156">
        <v>1.8212862829999999E-2</v>
      </c>
      <c r="AK240" s="156">
        <v>0.34945930559999999</v>
      </c>
      <c r="AL240" s="156">
        <v>0.3073420603</v>
      </c>
      <c r="AM240" s="157">
        <v>0.10662113450000001</v>
      </c>
      <c r="AN240" s="158">
        <v>0.22211684370000001</v>
      </c>
      <c r="AO240" s="156">
        <v>0</v>
      </c>
      <c r="AP240" s="156">
        <v>0</v>
      </c>
      <c r="AQ240" s="156">
        <v>0</v>
      </c>
      <c r="AR240" s="156">
        <v>0.34370257970000001</v>
      </c>
      <c r="AS240" s="156">
        <v>0.31297420329999998</v>
      </c>
      <c r="AT240" s="159">
        <v>0.1212063733</v>
      </c>
    </row>
    <row r="241" spans="1:46" ht="12.75">
      <c r="A241" s="67" t="s">
        <v>8</v>
      </c>
      <c r="B241" s="67" t="s">
        <v>8</v>
      </c>
      <c r="C241" s="67" t="s">
        <v>552</v>
      </c>
      <c r="D241" s="67" t="s">
        <v>552</v>
      </c>
      <c r="E241" s="155">
        <v>0.24155513070000001</v>
      </c>
      <c r="F241" s="156">
        <v>0.61822817080000003</v>
      </c>
      <c r="G241" s="156">
        <v>9.5602294460000008E-3</v>
      </c>
      <c r="H241" s="156">
        <v>4.4614404079999998E-3</v>
      </c>
      <c r="I241" s="156">
        <v>0</v>
      </c>
      <c r="J241" s="156">
        <v>0</v>
      </c>
      <c r="K241" s="157">
        <v>0.12619502869999999</v>
      </c>
      <c r="L241" s="158">
        <v>0.43977055450000002</v>
      </c>
      <c r="M241" s="156">
        <v>0.48565965579999998</v>
      </c>
      <c r="N241" s="156">
        <v>9.5602294460000008E-3</v>
      </c>
      <c r="O241" s="156">
        <v>0</v>
      </c>
      <c r="P241" s="156">
        <v>0</v>
      </c>
      <c r="Q241" s="156">
        <v>0</v>
      </c>
      <c r="R241" s="159">
        <v>6.5009560229999999E-2</v>
      </c>
      <c r="S241" s="155">
        <v>0.35846994539999999</v>
      </c>
      <c r="T241" s="156">
        <v>0.58797814209999999</v>
      </c>
      <c r="U241" s="156">
        <v>0</v>
      </c>
      <c r="V241" s="156">
        <v>0</v>
      </c>
      <c r="W241" s="156">
        <v>1.7486338800000001E-2</v>
      </c>
      <c r="X241" s="156">
        <v>0</v>
      </c>
      <c r="Y241" s="157">
        <v>3.6065573769999998E-2</v>
      </c>
      <c r="Z241" s="158">
        <v>0.33333333329999998</v>
      </c>
      <c r="AA241" s="156">
        <v>0.58797814209999999</v>
      </c>
      <c r="AB241" s="156">
        <v>0</v>
      </c>
      <c r="AC241" s="156">
        <v>0</v>
      </c>
      <c r="AD241" s="156">
        <v>3.8251366119999998E-2</v>
      </c>
      <c r="AE241" s="156">
        <v>0</v>
      </c>
      <c r="AF241" s="159">
        <v>4.0437158469999998E-2</v>
      </c>
      <c r="AG241" s="155">
        <v>0.45113636359999998</v>
      </c>
      <c r="AH241" s="156">
        <v>0</v>
      </c>
      <c r="AI241" s="156">
        <v>0</v>
      </c>
      <c r="AJ241" s="156">
        <v>1.818181818E-2</v>
      </c>
      <c r="AK241" s="156">
        <v>0.24431818180000001</v>
      </c>
      <c r="AL241" s="156">
        <v>0.2068181818</v>
      </c>
      <c r="AM241" s="157">
        <v>7.9545454550000005E-2</v>
      </c>
      <c r="AN241" s="158">
        <v>0.46704545450000001</v>
      </c>
      <c r="AO241" s="156">
        <v>0</v>
      </c>
      <c r="AP241" s="156">
        <v>0</v>
      </c>
      <c r="AQ241" s="156">
        <v>0</v>
      </c>
      <c r="AR241" s="156">
        <v>0.24090909090000001</v>
      </c>
      <c r="AS241" s="156">
        <v>0.21249999999999999</v>
      </c>
      <c r="AT241" s="159">
        <v>7.9545454550000005E-2</v>
      </c>
    </row>
    <row r="242" spans="1:46" ht="12.75">
      <c r="A242" s="67" t="s">
        <v>8</v>
      </c>
      <c r="B242" s="67" t="s">
        <v>8</v>
      </c>
      <c r="C242" s="67" t="s">
        <v>552</v>
      </c>
      <c r="D242" s="67" t="s">
        <v>554</v>
      </c>
      <c r="E242" s="155">
        <v>0.39322033899999997</v>
      </c>
      <c r="F242" s="156">
        <v>0.61016949149999999</v>
      </c>
      <c r="G242" s="156">
        <v>2.2033898310000001E-2</v>
      </c>
      <c r="H242" s="156">
        <v>3.3898305080000001E-3</v>
      </c>
      <c r="I242" s="156">
        <v>0</v>
      </c>
      <c r="J242" s="156">
        <v>0</v>
      </c>
      <c r="K242" s="157">
        <v>2.8813559320000001E-2</v>
      </c>
      <c r="L242" s="158">
        <v>0.46271186440000001</v>
      </c>
      <c r="M242" s="156">
        <v>0.47288135590000002</v>
      </c>
      <c r="N242" s="156">
        <v>1.8644067800000001E-2</v>
      </c>
      <c r="O242" s="156">
        <v>0</v>
      </c>
      <c r="P242" s="156">
        <v>0</v>
      </c>
      <c r="Q242" s="156">
        <v>0</v>
      </c>
      <c r="R242" s="159">
        <v>4.5762711859999999E-2</v>
      </c>
      <c r="S242" s="155">
        <v>0.41750503020000002</v>
      </c>
      <c r="T242" s="156">
        <v>0.50201207240000001</v>
      </c>
      <c r="U242" s="156">
        <v>0</v>
      </c>
      <c r="V242" s="156">
        <v>0</v>
      </c>
      <c r="W242" s="156">
        <v>7.0422535210000001E-3</v>
      </c>
      <c r="X242" s="156">
        <v>0</v>
      </c>
      <c r="Y242" s="157">
        <v>7.3440643860000002E-2</v>
      </c>
      <c r="Z242" s="158">
        <v>0.41289023159999999</v>
      </c>
      <c r="AA242" s="156">
        <v>0.51963746219999996</v>
      </c>
      <c r="AB242" s="156">
        <v>0</v>
      </c>
      <c r="AC242" s="156">
        <v>0</v>
      </c>
      <c r="AD242" s="156">
        <v>2.3162134939999999E-2</v>
      </c>
      <c r="AE242" s="156">
        <v>0</v>
      </c>
      <c r="AF242" s="159">
        <v>4.4310171199999998E-2</v>
      </c>
      <c r="AG242" s="155">
        <v>0.46412037039999998</v>
      </c>
      <c r="AH242" s="156">
        <v>0</v>
      </c>
      <c r="AI242" s="156">
        <v>0</v>
      </c>
      <c r="AJ242" s="156">
        <v>3.3564814810000003E-2</v>
      </c>
      <c r="AK242" s="156">
        <v>0.29861111109999999</v>
      </c>
      <c r="AL242" s="156">
        <v>0.13888888890000001</v>
      </c>
      <c r="AM242" s="157">
        <v>6.4814814809999996E-2</v>
      </c>
      <c r="AN242" s="158">
        <v>0.47337962960000002</v>
      </c>
      <c r="AO242" s="156">
        <v>0</v>
      </c>
      <c r="AP242" s="156">
        <v>0</v>
      </c>
      <c r="AQ242" s="156">
        <v>0</v>
      </c>
      <c r="AR242" s="156">
        <v>0.29629629629999998</v>
      </c>
      <c r="AS242" s="156">
        <v>0.1435185185</v>
      </c>
      <c r="AT242" s="159">
        <v>8.6805555559999997E-2</v>
      </c>
    </row>
    <row r="243" spans="1:46" ht="12.75">
      <c r="A243" s="67" t="s">
        <v>8</v>
      </c>
      <c r="B243" s="67" t="s">
        <v>8</v>
      </c>
      <c r="C243" s="164" t="s">
        <v>147</v>
      </c>
      <c r="D243" s="164" t="s">
        <v>147</v>
      </c>
      <c r="E243" s="155">
        <v>0.85799999999999998</v>
      </c>
      <c r="F243" s="156">
        <v>0.88600000000000001</v>
      </c>
      <c r="G243" s="156">
        <v>3.2000000000000001E-2</v>
      </c>
      <c r="H243" s="156">
        <v>1.7999999999999999E-2</v>
      </c>
      <c r="I243" s="156">
        <v>0</v>
      </c>
      <c r="J243" s="156">
        <v>0</v>
      </c>
      <c r="K243" s="157">
        <v>0.79400000000000004</v>
      </c>
      <c r="L243" s="158">
        <v>0.56399999999999995</v>
      </c>
      <c r="M243" s="156">
        <v>0.30599999999999999</v>
      </c>
      <c r="N243" s="156">
        <v>3.2000000000000001E-2</v>
      </c>
      <c r="O243" s="156">
        <v>0</v>
      </c>
      <c r="P243" s="156">
        <v>0</v>
      </c>
      <c r="Q243" s="156">
        <v>0</v>
      </c>
      <c r="R243" s="159">
        <v>9.8000000000000004E-2</v>
      </c>
      <c r="S243" s="155">
        <v>0.61111111110000005</v>
      </c>
      <c r="T243" s="156">
        <v>0.15046296300000001</v>
      </c>
      <c r="U243" s="156">
        <v>0</v>
      </c>
      <c r="V243" s="156">
        <v>0</v>
      </c>
      <c r="W243" s="156">
        <v>1.8518518519999999E-2</v>
      </c>
      <c r="X243" s="156">
        <v>0</v>
      </c>
      <c r="Y243" s="157">
        <v>0.2199074074</v>
      </c>
      <c r="Z243" s="158">
        <v>0.45138888890000001</v>
      </c>
      <c r="AA243" s="156">
        <v>0.10416666669999999</v>
      </c>
      <c r="AB243" s="156">
        <v>0</v>
      </c>
      <c r="AC243" s="156">
        <v>0</v>
      </c>
      <c r="AD243" s="156">
        <v>6.25E-2</v>
      </c>
      <c r="AE243" s="156">
        <v>0</v>
      </c>
      <c r="AF243" s="159">
        <v>0.38194444440000003</v>
      </c>
      <c r="AG243" s="155">
        <v>0.60386473429999998</v>
      </c>
      <c r="AH243" s="156">
        <v>0</v>
      </c>
      <c r="AI243" s="156">
        <v>0</v>
      </c>
      <c r="AJ243" s="156">
        <v>1.93236715E-2</v>
      </c>
      <c r="AK243" s="156">
        <v>0.1183574879</v>
      </c>
      <c r="AL243" s="156">
        <v>0.18357487920000001</v>
      </c>
      <c r="AM243" s="157">
        <v>7.4879227049999997E-2</v>
      </c>
      <c r="AN243" s="158">
        <v>0.63043478259999997</v>
      </c>
      <c r="AO243" s="156">
        <v>0</v>
      </c>
      <c r="AP243" s="156">
        <v>0</v>
      </c>
      <c r="AQ243" s="156">
        <v>0</v>
      </c>
      <c r="AR243" s="156">
        <v>0.13285024149999999</v>
      </c>
      <c r="AS243" s="156">
        <v>0.19082125599999999</v>
      </c>
      <c r="AT243" s="159">
        <v>4.5893719809999997E-2</v>
      </c>
    </row>
    <row r="244" spans="1:46" ht="12.75">
      <c r="A244" s="67" t="s">
        <v>8</v>
      </c>
      <c r="B244" s="67" t="s">
        <v>8</v>
      </c>
      <c r="C244" s="67" t="s">
        <v>147</v>
      </c>
      <c r="D244" s="67" t="s">
        <v>556</v>
      </c>
      <c r="E244" s="155">
        <v>0.3147286822</v>
      </c>
      <c r="F244" s="156">
        <v>0.319379845</v>
      </c>
      <c r="G244" s="156">
        <v>1.2403100780000001E-2</v>
      </c>
      <c r="H244" s="156">
        <v>1.8604651159999999E-2</v>
      </c>
      <c r="I244" s="156">
        <v>0</v>
      </c>
      <c r="J244" s="156">
        <v>0</v>
      </c>
      <c r="K244" s="157">
        <v>0.33488372090000001</v>
      </c>
      <c r="L244" s="158">
        <v>0.55900621120000005</v>
      </c>
      <c r="M244" s="156">
        <v>0.39751552800000001</v>
      </c>
      <c r="N244" s="156">
        <v>6.2111801239999997E-3</v>
      </c>
      <c r="O244" s="156">
        <v>0</v>
      </c>
      <c r="P244" s="156">
        <v>0</v>
      </c>
      <c r="Q244" s="156">
        <v>0</v>
      </c>
      <c r="R244" s="159">
        <v>3.7267080750000001E-2</v>
      </c>
      <c r="S244" s="155">
        <v>0.52941176469999995</v>
      </c>
      <c r="T244" s="156">
        <v>0.33206831120000002</v>
      </c>
      <c r="U244" s="156">
        <v>0</v>
      </c>
      <c r="V244" s="156">
        <v>0</v>
      </c>
      <c r="W244" s="156">
        <v>0</v>
      </c>
      <c r="X244" s="156">
        <v>0</v>
      </c>
      <c r="Y244" s="157">
        <v>0.1385199241</v>
      </c>
      <c r="Z244" s="158">
        <v>0.47438330169999998</v>
      </c>
      <c r="AA244" s="156">
        <v>0.3036053131</v>
      </c>
      <c r="AB244" s="156">
        <v>0</v>
      </c>
      <c r="AC244" s="156">
        <v>0</v>
      </c>
      <c r="AD244" s="156">
        <v>2.6565464899999999E-2</v>
      </c>
      <c r="AE244" s="156">
        <v>0</v>
      </c>
      <c r="AF244" s="159">
        <v>0.19544592029999999</v>
      </c>
      <c r="AG244" s="155">
        <v>0.3372262774</v>
      </c>
      <c r="AH244" s="156">
        <v>0</v>
      </c>
      <c r="AI244" s="156">
        <v>0</v>
      </c>
      <c r="AJ244" s="156">
        <v>8.7591240879999997E-3</v>
      </c>
      <c r="AK244" s="156">
        <v>0.32554744530000002</v>
      </c>
      <c r="AL244" s="156">
        <v>0.27591240880000001</v>
      </c>
      <c r="AM244" s="157">
        <v>5.2554744530000003E-2</v>
      </c>
      <c r="AN244" s="158">
        <v>0.34306569339999998</v>
      </c>
      <c r="AO244" s="156">
        <v>0</v>
      </c>
      <c r="AP244" s="156">
        <v>0</v>
      </c>
      <c r="AQ244" s="156">
        <v>0</v>
      </c>
      <c r="AR244" s="156">
        <v>0.3270072993</v>
      </c>
      <c r="AS244" s="156">
        <v>0.27883211679999997</v>
      </c>
      <c r="AT244" s="159">
        <v>5.1094890509999998E-2</v>
      </c>
    </row>
    <row r="245" spans="1:46" ht="12.75">
      <c r="A245" s="67" t="s">
        <v>8</v>
      </c>
      <c r="B245" s="67" t="s">
        <v>8</v>
      </c>
      <c r="C245" s="67" t="s">
        <v>557</v>
      </c>
      <c r="D245" s="67" t="s">
        <v>557</v>
      </c>
      <c r="E245" s="155">
        <v>0.62297297299999999</v>
      </c>
      <c r="F245" s="156">
        <v>0.54594594590000001</v>
      </c>
      <c r="G245" s="156">
        <v>0.1</v>
      </c>
      <c r="H245" s="156">
        <v>8.1081081080000006E-3</v>
      </c>
      <c r="I245" s="156">
        <v>0</v>
      </c>
      <c r="J245" s="156">
        <v>0</v>
      </c>
      <c r="K245" s="157">
        <v>0.27702702699999998</v>
      </c>
      <c r="L245" s="158">
        <v>0.3898648649</v>
      </c>
      <c r="M245" s="156">
        <v>0.47770270269999998</v>
      </c>
      <c r="N245" s="156">
        <v>8.2432432429999994E-2</v>
      </c>
      <c r="O245" s="156">
        <v>0</v>
      </c>
      <c r="P245" s="156">
        <v>0</v>
      </c>
      <c r="Q245" s="156">
        <v>0</v>
      </c>
      <c r="R245" s="159">
        <v>0.05</v>
      </c>
      <c r="S245" s="155">
        <v>0.53488372090000003</v>
      </c>
      <c r="T245" s="156">
        <v>0.33284883720000003</v>
      </c>
      <c r="U245" s="156">
        <v>0</v>
      </c>
      <c r="V245" s="156">
        <v>0</v>
      </c>
      <c r="W245" s="156">
        <v>5.0872093020000002E-3</v>
      </c>
      <c r="X245" s="156">
        <v>0</v>
      </c>
      <c r="Y245" s="157">
        <v>0.1271802326</v>
      </c>
      <c r="Z245" s="158">
        <v>0.45930232560000001</v>
      </c>
      <c r="AA245" s="156">
        <v>0.31831395350000002</v>
      </c>
      <c r="AB245" s="156">
        <v>0</v>
      </c>
      <c r="AC245" s="156">
        <v>0</v>
      </c>
      <c r="AD245" s="156">
        <v>2.9069767440000002E-2</v>
      </c>
      <c r="AE245" s="156">
        <v>0</v>
      </c>
      <c r="AF245" s="159">
        <v>0.1933139535</v>
      </c>
      <c r="AG245" s="155">
        <v>0.32948929160000001</v>
      </c>
      <c r="AH245" s="156">
        <v>0</v>
      </c>
      <c r="AI245" s="156">
        <v>0</v>
      </c>
      <c r="AJ245" s="156">
        <v>1.8945634270000001E-2</v>
      </c>
      <c r="AK245" s="156">
        <v>0.30313014830000001</v>
      </c>
      <c r="AL245" s="156">
        <v>0.27759472819999997</v>
      </c>
      <c r="AM245" s="157">
        <v>7.0840197689999995E-2</v>
      </c>
      <c r="AN245" s="158">
        <v>0.35337726520000001</v>
      </c>
      <c r="AO245" s="156">
        <v>0</v>
      </c>
      <c r="AP245" s="156">
        <v>0</v>
      </c>
      <c r="AQ245" s="156">
        <v>0</v>
      </c>
      <c r="AR245" s="156">
        <v>0.31136738060000002</v>
      </c>
      <c r="AS245" s="156">
        <v>0.26935749590000002</v>
      </c>
      <c r="AT245" s="159">
        <v>6.5897858320000002E-2</v>
      </c>
    </row>
    <row r="246" spans="1:46" ht="12.75">
      <c r="A246" s="67" t="s">
        <v>8</v>
      </c>
      <c r="B246" s="67" t="s">
        <v>8</v>
      </c>
      <c r="C246" s="67" t="s">
        <v>559</v>
      </c>
      <c r="D246" s="67" t="s">
        <v>559</v>
      </c>
      <c r="E246" s="155">
        <v>0.31546391750000002</v>
      </c>
      <c r="F246" s="156">
        <v>0.59587628869999998</v>
      </c>
      <c r="G246" s="156">
        <v>1.443298969E-2</v>
      </c>
      <c r="H246" s="156">
        <v>4.1237113399999999E-3</v>
      </c>
      <c r="I246" s="156">
        <v>0</v>
      </c>
      <c r="J246" s="156">
        <v>0</v>
      </c>
      <c r="K246" s="157">
        <v>7.0103092780000001E-2</v>
      </c>
      <c r="L246" s="158">
        <v>0.64329896909999995</v>
      </c>
      <c r="M246" s="156">
        <v>0.25979381439999999</v>
      </c>
      <c r="N246" s="156">
        <v>1.443298969E-2</v>
      </c>
      <c r="O246" s="156">
        <v>0</v>
      </c>
      <c r="P246" s="156">
        <v>0</v>
      </c>
      <c r="Q246" s="156">
        <v>0</v>
      </c>
      <c r="R246" s="159">
        <v>8.2474226799999995E-2</v>
      </c>
      <c r="S246" s="155">
        <v>0.51385927509999996</v>
      </c>
      <c r="T246" s="156">
        <v>0.29744136459999998</v>
      </c>
      <c r="U246" s="156">
        <v>0</v>
      </c>
      <c r="V246" s="156">
        <v>0</v>
      </c>
      <c r="W246" s="156">
        <v>5.3304904049999999E-3</v>
      </c>
      <c r="X246" s="156">
        <v>0</v>
      </c>
      <c r="Y246" s="157">
        <v>0.18336886990000001</v>
      </c>
      <c r="Z246" s="158">
        <v>0.47334754800000001</v>
      </c>
      <c r="AA246" s="156">
        <v>0.2931769723</v>
      </c>
      <c r="AB246" s="156">
        <v>0</v>
      </c>
      <c r="AC246" s="156">
        <v>0</v>
      </c>
      <c r="AD246" s="156">
        <v>2.6652452029999999E-2</v>
      </c>
      <c r="AE246" s="156">
        <v>0</v>
      </c>
      <c r="AF246" s="159">
        <v>0.2068230277</v>
      </c>
      <c r="AG246" s="155">
        <v>0.40143369179999999</v>
      </c>
      <c r="AH246" s="156">
        <v>0</v>
      </c>
      <c r="AI246" s="156">
        <v>0</v>
      </c>
      <c r="AJ246" s="156">
        <v>1.6726403819999999E-2</v>
      </c>
      <c r="AK246" s="156">
        <v>0.24850657109999999</v>
      </c>
      <c r="AL246" s="156">
        <v>0.16726403819999999</v>
      </c>
      <c r="AM246" s="157">
        <v>0.16606929509999999</v>
      </c>
      <c r="AN246" s="158">
        <v>0.41218637990000001</v>
      </c>
      <c r="AO246" s="156">
        <v>0</v>
      </c>
      <c r="AP246" s="156">
        <v>0</v>
      </c>
      <c r="AQ246" s="156">
        <v>0</v>
      </c>
      <c r="AR246" s="156">
        <v>0.2461170848</v>
      </c>
      <c r="AS246" s="156">
        <v>0.17204301080000001</v>
      </c>
      <c r="AT246" s="159">
        <v>0.16965352450000001</v>
      </c>
    </row>
    <row r="247" spans="1:46" ht="12.75">
      <c r="A247" s="67" t="s">
        <v>8</v>
      </c>
      <c r="B247" s="67" t="s">
        <v>8</v>
      </c>
      <c r="C247" s="67" t="s">
        <v>560</v>
      </c>
      <c r="D247" s="67" t="s">
        <v>560</v>
      </c>
      <c r="E247" s="155">
        <v>0.44427244580000003</v>
      </c>
      <c r="F247" s="156">
        <v>0.7608359133</v>
      </c>
      <c r="G247" s="156">
        <v>4.721362229E-2</v>
      </c>
      <c r="H247" s="156">
        <v>1.0061919500000001E-2</v>
      </c>
      <c r="I247" s="156">
        <v>0</v>
      </c>
      <c r="J247" s="156">
        <v>0</v>
      </c>
      <c r="K247" s="157">
        <v>0.26238390090000002</v>
      </c>
      <c r="L247" s="158">
        <v>0.5108359133</v>
      </c>
      <c r="M247" s="156">
        <v>0.40402476780000002</v>
      </c>
      <c r="N247" s="156">
        <v>3.0959752319999999E-2</v>
      </c>
      <c r="O247" s="156">
        <v>0</v>
      </c>
      <c r="P247" s="156">
        <v>0</v>
      </c>
      <c r="Q247" s="156">
        <v>0</v>
      </c>
      <c r="R247" s="159">
        <v>5.4179566560000003E-2</v>
      </c>
      <c r="S247" s="155">
        <v>0.36146632569999998</v>
      </c>
      <c r="T247" s="156">
        <v>0.50980392159999999</v>
      </c>
      <c r="U247" s="156">
        <v>0</v>
      </c>
      <c r="V247" s="156">
        <v>0</v>
      </c>
      <c r="W247" s="156">
        <v>1.619778346E-2</v>
      </c>
      <c r="X247" s="156">
        <v>0</v>
      </c>
      <c r="Y247" s="157">
        <v>0.11253196930000001</v>
      </c>
      <c r="Z247" s="158">
        <v>0.31116794539999998</v>
      </c>
      <c r="AA247" s="156">
        <v>0.50639386190000002</v>
      </c>
      <c r="AB247" s="156">
        <v>0</v>
      </c>
      <c r="AC247" s="156">
        <v>0</v>
      </c>
      <c r="AD247" s="156">
        <v>2.8132992329999999E-2</v>
      </c>
      <c r="AE247" s="156">
        <v>0</v>
      </c>
      <c r="AF247" s="159">
        <v>0.1543052003</v>
      </c>
      <c r="AG247" s="155">
        <v>0.25490196079999999</v>
      </c>
      <c r="AH247" s="156">
        <v>0</v>
      </c>
      <c r="AI247" s="156">
        <v>0</v>
      </c>
      <c r="AJ247" s="156">
        <v>2.049910873E-2</v>
      </c>
      <c r="AK247" s="156">
        <v>0.36274509799999999</v>
      </c>
      <c r="AL247" s="156">
        <v>0.25222816399999998</v>
      </c>
      <c r="AM247" s="157">
        <v>0.1096256684</v>
      </c>
      <c r="AN247" s="158">
        <v>0.26114082</v>
      </c>
      <c r="AO247" s="156">
        <v>0</v>
      </c>
      <c r="AP247" s="156">
        <v>0</v>
      </c>
      <c r="AQ247" s="156">
        <v>0</v>
      </c>
      <c r="AR247" s="156">
        <v>0.36898395719999999</v>
      </c>
      <c r="AS247" s="156">
        <v>0.26114082</v>
      </c>
      <c r="AT247" s="159">
        <v>0.1087344029</v>
      </c>
    </row>
    <row r="248" spans="1:46" ht="12.75">
      <c r="A248" s="67" t="s">
        <v>8</v>
      </c>
      <c r="B248" s="67" t="s">
        <v>8</v>
      </c>
      <c r="C248" s="67" t="s">
        <v>562</v>
      </c>
      <c r="D248" s="67" t="s">
        <v>562</v>
      </c>
      <c r="E248" s="155">
        <v>0.42282696990000002</v>
      </c>
      <c r="F248" s="156">
        <v>0.66734362309999995</v>
      </c>
      <c r="G248" s="156">
        <v>2.640129976E-2</v>
      </c>
      <c r="H248" s="156">
        <v>6.0926076359999999E-3</v>
      </c>
      <c r="I248" s="156">
        <v>0</v>
      </c>
      <c r="J248" s="156">
        <v>0</v>
      </c>
      <c r="K248" s="157">
        <v>0.1226645004</v>
      </c>
      <c r="L248" s="158">
        <v>0.50548557500000002</v>
      </c>
      <c r="M248" s="156">
        <v>0.42746850870000003</v>
      </c>
      <c r="N248" s="156">
        <v>1.9504266560000001E-2</v>
      </c>
      <c r="O248" s="156">
        <v>0</v>
      </c>
      <c r="P248" s="156">
        <v>0</v>
      </c>
      <c r="Q248" s="156">
        <v>0</v>
      </c>
      <c r="R248" s="159">
        <v>4.7541649739999997E-2</v>
      </c>
      <c r="S248" s="155">
        <v>0.3888639425</v>
      </c>
      <c r="T248" s="156">
        <v>0.38302649300000002</v>
      </c>
      <c r="U248" s="156">
        <v>0</v>
      </c>
      <c r="V248" s="156">
        <v>0</v>
      </c>
      <c r="W248" s="156">
        <v>1.122586439E-2</v>
      </c>
      <c r="X248" s="156">
        <v>0</v>
      </c>
      <c r="Y248" s="157">
        <v>0.21688370000000001</v>
      </c>
      <c r="Z248" s="158">
        <v>0.35294117650000001</v>
      </c>
      <c r="AA248" s="156">
        <v>0.3381230355</v>
      </c>
      <c r="AB248" s="156">
        <v>0</v>
      </c>
      <c r="AC248" s="156">
        <v>0</v>
      </c>
      <c r="AD248" s="156">
        <v>2.514593624E-2</v>
      </c>
      <c r="AE248" s="156">
        <v>0</v>
      </c>
      <c r="AF248" s="159">
        <v>0.28378985179999999</v>
      </c>
      <c r="AG248" s="155">
        <v>0.56976744189999995</v>
      </c>
      <c r="AH248" s="156">
        <v>0</v>
      </c>
      <c r="AI248" s="156">
        <v>0</v>
      </c>
      <c r="AJ248" s="156">
        <v>1.5348837210000001E-2</v>
      </c>
      <c r="AK248" s="156">
        <v>0.15302325580000001</v>
      </c>
      <c r="AL248" s="156">
        <v>0.1925581395</v>
      </c>
      <c r="AM248" s="157">
        <v>6.9302325580000004E-2</v>
      </c>
      <c r="AN248" s="158">
        <v>0.56511627909999995</v>
      </c>
      <c r="AO248" s="156">
        <v>0</v>
      </c>
      <c r="AP248" s="156">
        <v>0</v>
      </c>
      <c r="AQ248" s="156">
        <v>0</v>
      </c>
      <c r="AR248" s="156">
        <v>0.16</v>
      </c>
      <c r="AS248" s="156">
        <v>0.1934883721</v>
      </c>
      <c r="AT248" s="159">
        <v>8.1395348840000006E-2</v>
      </c>
    </row>
    <row r="249" spans="1:46" ht="12.75">
      <c r="A249" s="67" t="s">
        <v>8</v>
      </c>
      <c r="B249" s="67" t="s">
        <v>8</v>
      </c>
      <c r="C249" s="67" t="s">
        <v>564</v>
      </c>
      <c r="D249" s="67" t="s">
        <v>564</v>
      </c>
      <c r="E249" s="155">
        <v>0.36884854280000001</v>
      </c>
      <c r="F249" s="156">
        <v>0.80506450070000002</v>
      </c>
      <c r="G249" s="156">
        <v>2.1978021980000002E-2</v>
      </c>
      <c r="H249" s="156">
        <v>6.6889632109999996E-3</v>
      </c>
      <c r="I249" s="156">
        <v>0</v>
      </c>
      <c r="J249" s="156">
        <v>0</v>
      </c>
      <c r="K249" s="157">
        <v>0.2025800287</v>
      </c>
      <c r="L249" s="158">
        <v>0.340974212</v>
      </c>
      <c r="M249" s="156">
        <v>0.56781279849999999</v>
      </c>
      <c r="N249" s="156">
        <v>1.862464183E-2</v>
      </c>
      <c r="O249" s="156">
        <v>0</v>
      </c>
      <c r="P249" s="156">
        <v>0</v>
      </c>
      <c r="Q249" s="156">
        <v>0</v>
      </c>
      <c r="R249" s="159">
        <v>7.2588347659999997E-2</v>
      </c>
      <c r="S249" s="155">
        <v>0.49974476769999998</v>
      </c>
      <c r="T249" s="156">
        <v>0.42113323120000001</v>
      </c>
      <c r="U249" s="156">
        <v>0</v>
      </c>
      <c r="V249" s="156">
        <v>0</v>
      </c>
      <c r="W249" s="156">
        <v>1.5824400200000002E-2</v>
      </c>
      <c r="X249" s="156">
        <v>0</v>
      </c>
      <c r="Y249" s="157">
        <v>6.3297600819999994E-2</v>
      </c>
      <c r="Z249" s="158">
        <v>0.49259826439999999</v>
      </c>
      <c r="AA249" s="156">
        <v>0.41704951509999999</v>
      </c>
      <c r="AB249" s="156">
        <v>0</v>
      </c>
      <c r="AC249" s="156">
        <v>0</v>
      </c>
      <c r="AD249" s="156">
        <v>2.6544155180000001E-2</v>
      </c>
      <c r="AE249" s="156">
        <v>0</v>
      </c>
      <c r="AF249" s="159">
        <v>6.3808065339999998E-2</v>
      </c>
      <c r="AG249" s="155">
        <v>0.49918787219999999</v>
      </c>
      <c r="AH249" s="156">
        <v>0</v>
      </c>
      <c r="AI249" s="156">
        <v>0</v>
      </c>
      <c r="AJ249" s="156">
        <v>1.5701136979999999E-2</v>
      </c>
      <c r="AK249" s="156">
        <v>0.26312939899999999</v>
      </c>
      <c r="AL249" s="156">
        <v>0.1164049811</v>
      </c>
      <c r="AM249" s="157">
        <v>0.1055766107</v>
      </c>
      <c r="AN249" s="158">
        <v>0.50351922039999997</v>
      </c>
      <c r="AO249" s="156">
        <v>0</v>
      </c>
      <c r="AP249" s="156">
        <v>0</v>
      </c>
      <c r="AQ249" s="156">
        <v>0</v>
      </c>
      <c r="AR249" s="156">
        <v>0.27179209529999998</v>
      </c>
      <c r="AS249" s="156">
        <v>0.1180292366</v>
      </c>
      <c r="AT249" s="159">
        <v>0.1066594478</v>
      </c>
    </row>
    <row r="250" spans="1:46" ht="12.75">
      <c r="A250" s="67" t="s">
        <v>8</v>
      </c>
      <c r="B250" s="67" t="s">
        <v>8</v>
      </c>
      <c r="C250" s="67" t="s">
        <v>8</v>
      </c>
      <c r="D250" s="67" t="s">
        <v>8</v>
      </c>
      <c r="E250" s="155">
        <v>0.45486415429999999</v>
      </c>
      <c r="F250" s="156">
        <v>0.53388840199999998</v>
      </c>
      <c r="G250" s="156">
        <v>5.0540461580000001E-2</v>
      </c>
      <c r="H250" s="156">
        <v>5.8428279290000003E-3</v>
      </c>
      <c r="I250" s="156">
        <v>0</v>
      </c>
      <c r="J250" s="156">
        <v>0</v>
      </c>
      <c r="K250" s="157">
        <v>4.513584575E-2</v>
      </c>
      <c r="L250" s="158">
        <v>0.536809816</v>
      </c>
      <c r="M250" s="156">
        <v>0.38752556240000002</v>
      </c>
      <c r="N250" s="156">
        <v>3.7832310840000001E-2</v>
      </c>
      <c r="O250" s="156">
        <v>0</v>
      </c>
      <c r="P250" s="156">
        <v>0</v>
      </c>
      <c r="Q250" s="156">
        <v>0</v>
      </c>
      <c r="R250" s="159">
        <v>3.7832310840000001E-2</v>
      </c>
      <c r="S250" s="155">
        <v>0.46767136609999999</v>
      </c>
      <c r="T250" s="156">
        <v>0.4031761465</v>
      </c>
      <c r="U250" s="156">
        <v>0</v>
      </c>
      <c r="V250" s="156">
        <v>0</v>
      </c>
      <c r="W250" s="156">
        <v>1.0371090580000001E-2</v>
      </c>
      <c r="X250" s="156">
        <v>0</v>
      </c>
      <c r="Y250" s="157">
        <v>0.1187813969</v>
      </c>
      <c r="Z250" s="158">
        <v>0.41824663750000002</v>
      </c>
      <c r="AA250" s="156">
        <v>0.3360881543</v>
      </c>
      <c r="AB250" s="156">
        <v>0</v>
      </c>
      <c r="AC250" s="156">
        <v>0</v>
      </c>
      <c r="AD250" s="156">
        <v>2.236266407E-2</v>
      </c>
      <c r="AE250" s="156">
        <v>0</v>
      </c>
      <c r="AF250" s="159">
        <v>0.22330254420000001</v>
      </c>
      <c r="AG250" s="155">
        <v>0.2104178377</v>
      </c>
      <c r="AH250" s="156">
        <v>0</v>
      </c>
      <c r="AI250" s="156">
        <v>0</v>
      </c>
      <c r="AJ250" s="156">
        <v>1.442758104E-2</v>
      </c>
      <c r="AK250" s="156">
        <v>0.39160577099999999</v>
      </c>
      <c r="AL250" s="156">
        <v>0.31796889639999998</v>
      </c>
      <c r="AM250" s="157">
        <v>6.5579913810000001E-2</v>
      </c>
      <c r="AN250" s="158">
        <v>0.2310286678</v>
      </c>
      <c r="AO250" s="156">
        <v>0</v>
      </c>
      <c r="AP250" s="156">
        <v>0</v>
      </c>
      <c r="AQ250" s="156">
        <v>0</v>
      </c>
      <c r="AR250" s="156">
        <v>0.37062019860000001</v>
      </c>
      <c r="AS250" s="156">
        <v>0.33708075700000001</v>
      </c>
      <c r="AT250" s="159">
        <v>6.1270376619999997E-2</v>
      </c>
    </row>
    <row r="251" spans="1:46" ht="12.75">
      <c r="A251" s="67" t="s">
        <v>8</v>
      </c>
      <c r="B251" s="67" t="s">
        <v>8</v>
      </c>
      <c r="C251" s="67" t="s">
        <v>567</v>
      </c>
      <c r="D251" s="67" t="s">
        <v>567</v>
      </c>
      <c r="E251" s="155">
        <v>0.31939704209999997</v>
      </c>
      <c r="F251" s="156">
        <v>0.43970420929999998</v>
      </c>
      <c r="G251" s="156">
        <v>3.8111490329999997E-2</v>
      </c>
      <c r="H251" s="156">
        <v>9.3856655289999997E-3</v>
      </c>
      <c r="I251" s="156">
        <v>0</v>
      </c>
      <c r="J251" s="156">
        <v>0</v>
      </c>
      <c r="K251" s="157">
        <v>0.19340159270000001</v>
      </c>
      <c r="L251" s="158">
        <v>0.50142207049999998</v>
      </c>
      <c r="M251" s="156">
        <v>0.41979522180000001</v>
      </c>
      <c r="N251" s="156">
        <v>3.2992036410000002E-2</v>
      </c>
      <c r="O251" s="156">
        <v>0</v>
      </c>
      <c r="P251" s="156">
        <v>0</v>
      </c>
      <c r="Q251" s="156">
        <v>0</v>
      </c>
      <c r="R251" s="159">
        <v>4.5790671220000002E-2</v>
      </c>
      <c r="S251" s="155">
        <v>0.4555555556</v>
      </c>
      <c r="T251" s="156">
        <v>0.48730158730000001</v>
      </c>
      <c r="U251" s="156">
        <v>0</v>
      </c>
      <c r="V251" s="156">
        <v>0</v>
      </c>
      <c r="W251" s="156">
        <v>6.6666666670000003E-3</v>
      </c>
      <c r="X251" s="156">
        <v>0</v>
      </c>
      <c r="Y251" s="157">
        <v>5.0476190480000002E-2</v>
      </c>
      <c r="Z251" s="158">
        <v>0.44</v>
      </c>
      <c r="AA251" s="156">
        <v>0.48539682540000001</v>
      </c>
      <c r="AB251" s="156">
        <v>0</v>
      </c>
      <c r="AC251" s="156">
        <v>0</v>
      </c>
      <c r="AD251" s="156">
        <v>2.8888888889999999E-2</v>
      </c>
      <c r="AE251" s="156">
        <v>0</v>
      </c>
      <c r="AF251" s="159">
        <v>4.5714285709999997E-2</v>
      </c>
      <c r="AG251" s="155">
        <v>0.22952586210000001</v>
      </c>
      <c r="AH251" s="156">
        <v>0</v>
      </c>
      <c r="AI251" s="156">
        <v>0</v>
      </c>
      <c r="AJ251" s="156">
        <v>2.0474137930000001E-2</v>
      </c>
      <c r="AK251" s="156">
        <v>0.4590517241</v>
      </c>
      <c r="AL251" s="156">
        <v>0.20043103449999999</v>
      </c>
      <c r="AM251" s="157">
        <v>9.0517241380000002E-2</v>
      </c>
      <c r="AN251" s="158">
        <v>0.24137931030000001</v>
      </c>
      <c r="AO251" s="156">
        <v>0</v>
      </c>
      <c r="AP251" s="156">
        <v>0</v>
      </c>
      <c r="AQ251" s="156">
        <v>0</v>
      </c>
      <c r="AR251" s="156">
        <v>0.46156609199999998</v>
      </c>
      <c r="AS251" s="156">
        <v>0.20581896550000001</v>
      </c>
      <c r="AT251" s="159">
        <v>9.1235632179999998E-2</v>
      </c>
    </row>
    <row r="252" spans="1:46" ht="12.75">
      <c r="A252" s="67" t="s">
        <v>8</v>
      </c>
      <c r="B252" s="67" t="s">
        <v>8</v>
      </c>
      <c r="C252" s="67" t="s">
        <v>569</v>
      </c>
      <c r="D252" s="67" t="s">
        <v>569</v>
      </c>
      <c r="E252" s="155">
        <v>0.33084577110000002</v>
      </c>
      <c r="F252" s="156">
        <v>0.38805970150000002</v>
      </c>
      <c r="G252" s="156">
        <v>7.3383084579999994E-2</v>
      </c>
      <c r="H252" s="156">
        <v>2.4875621890000001E-3</v>
      </c>
      <c r="I252" s="156">
        <v>0</v>
      </c>
      <c r="J252" s="156">
        <v>0</v>
      </c>
      <c r="K252" s="157">
        <v>0.20522388059999999</v>
      </c>
      <c r="L252" s="158">
        <v>0.37935323380000002</v>
      </c>
      <c r="M252" s="156">
        <v>0.49626865669999998</v>
      </c>
      <c r="N252" s="156">
        <v>5.9701492539999998E-2</v>
      </c>
      <c r="O252" s="156">
        <v>0</v>
      </c>
      <c r="P252" s="156">
        <v>0</v>
      </c>
      <c r="Q252" s="156">
        <v>0</v>
      </c>
      <c r="R252" s="159">
        <v>6.4676616919999999E-2</v>
      </c>
      <c r="S252" s="155">
        <v>0.43236074270000002</v>
      </c>
      <c r="T252" s="156">
        <v>0.37931034479999998</v>
      </c>
      <c r="U252" s="156">
        <v>0</v>
      </c>
      <c r="V252" s="156">
        <v>0</v>
      </c>
      <c r="W252" s="156">
        <v>9.2838196290000001E-3</v>
      </c>
      <c r="X252" s="156">
        <v>0</v>
      </c>
      <c r="Y252" s="157">
        <v>0.1790450928</v>
      </c>
      <c r="Z252" s="158">
        <v>0.38859416450000001</v>
      </c>
      <c r="AA252" s="156">
        <v>0.33952254640000001</v>
      </c>
      <c r="AB252" s="156">
        <v>0</v>
      </c>
      <c r="AC252" s="156">
        <v>0</v>
      </c>
      <c r="AD252" s="156">
        <v>1.3262599470000001E-2</v>
      </c>
      <c r="AE252" s="156">
        <v>0</v>
      </c>
      <c r="AF252" s="159">
        <v>0.25862068970000002</v>
      </c>
      <c r="AG252" s="155">
        <v>0.31680000000000003</v>
      </c>
      <c r="AH252" s="156">
        <v>0</v>
      </c>
      <c r="AI252" s="156">
        <v>0</v>
      </c>
      <c r="AJ252" s="156">
        <v>3.6799999999999999E-2</v>
      </c>
      <c r="AK252" s="156">
        <v>0.30559999999999998</v>
      </c>
      <c r="AL252" s="156">
        <v>0.224</v>
      </c>
      <c r="AM252" s="157">
        <v>0.1168</v>
      </c>
      <c r="AN252" s="158">
        <v>0.31519999999999998</v>
      </c>
      <c r="AO252" s="156">
        <v>0</v>
      </c>
      <c r="AP252" s="156">
        <v>0</v>
      </c>
      <c r="AQ252" s="156">
        <v>0</v>
      </c>
      <c r="AR252" s="156">
        <v>0.28639999999999999</v>
      </c>
      <c r="AS252" s="156">
        <v>0.24479999999999999</v>
      </c>
      <c r="AT252" s="159">
        <v>0.15359999999999999</v>
      </c>
    </row>
    <row r="253" spans="1:46" ht="12.75">
      <c r="A253" s="67" t="s">
        <v>8</v>
      </c>
      <c r="B253" s="67" t="s">
        <v>8</v>
      </c>
      <c r="C253" s="67" t="s">
        <v>570</v>
      </c>
      <c r="D253" s="67" t="s">
        <v>570</v>
      </c>
      <c r="E253" s="155">
        <v>0.14709371290000001</v>
      </c>
      <c r="F253" s="156">
        <v>0.36714116250000001</v>
      </c>
      <c r="G253" s="156">
        <v>6.6429418739999996E-2</v>
      </c>
      <c r="H253" s="156">
        <v>3.5587188609999998E-3</v>
      </c>
      <c r="I253" s="156">
        <v>0</v>
      </c>
      <c r="J253" s="156">
        <v>0</v>
      </c>
      <c r="K253" s="157">
        <v>0.41577698699999999</v>
      </c>
      <c r="L253" s="158">
        <v>0.462633452</v>
      </c>
      <c r="M253" s="156">
        <v>0.43712930010000001</v>
      </c>
      <c r="N253" s="156">
        <v>6.0498220640000003E-2</v>
      </c>
      <c r="O253" s="156">
        <v>0</v>
      </c>
      <c r="P253" s="156">
        <v>0</v>
      </c>
      <c r="Q253" s="156">
        <v>0</v>
      </c>
      <c r="R253" s="159">
        <v>3.9739027279999999E-2</v>
      </c>
      <c r="S253" s="155">
        <v>0.46124031009999999</v>
      </c>
      <c r="T253" s="156">
        <v>0.47771317829999999</v>
      </c>
      <c r="U253" s="156">
        <v>0</v>
      </c>
      <c r="V253" s="156">
        <v>0</v>
      </c>
      <c r="W253" s="156">
        <v>1.065891473E-2</v>
      </c>
      <c r="X253" s="156">
        <v>0</v>
      </c>
      <c r="Y253" s="157">
        <v>5.0387596899999998E-2</v>
      </c>
      <c r="Z253" s="158">
        <v>0.44670542639999999</v>
      </c>
      <c r="AA253" s="156">
        <v>0.48158914730000002</v>
      </c>
      <c r="AB253" s="156">
        <v>0</v>
      </c>
      <c r="AC253" s="156">
        <v>0</v>
      </c>
      <c r="AD253" s="156">
        <v>1.8410852710000002E-2</v>
      </c>
      <c r="AE253" s="156">
        <v>0</v>
      </c>
      <c r="AF253" s="159">
        <v>5.3294573640000002E-2</v>
      </c>
      <c r="AG253" s="155">
        <v>0.39145496540000002</v>
      </c>
      <c r="AH253" s="156">
        <v>0</v>
      </c>
      <c r="AI253" s="156">
        <v>0</v>
      </c>
      <c r="AJ253" s="156">
        <v>1.7321016169999998E-2</v>
      </c>
      <c r="AK253" s="156">
        <v>0.247113164</v>
      </c>
      <c r="AL253" s="156">
        <v>0.2321016166</v>
      </c>
      <c r="AM253" s="157">
        <v>0.1120092379</v>
      </c>
      <c r="AN253" s="158">
        <v>0.39953810620000002</v>
      </c>
      <c r="AO253" s="156">
        <v>0</v>
      </c>
      <c r="AP253" s="156">
        <v>0</v>
      </c>
      <c r="AQ253" s="156">
        <v>0</v>
      </c>
      <c r="AR253" s="156">
        <v>0.25981524249999999</v>
      </c>
      <c r="AS253" s="156">
        <v>0.2367205543</v>
      </c>
      <c r="AT253" s="159">
        <v>0.103926097</v>
      </c>
    </row>
    <row r="254" spans="1:46" ht="12.75">
      <c r="A254" s="67" t="s">
        <v>8</v>
      </c>
      <c r="B254" s="67" t="s">
        <v>8</v>
      </c>
      <c r="C254" s="67" t="s">
        <v>572</v>
      </c>
      <c r="D254" s="67" t="s">
        <v>572</v>
      </c>
      <c r="E254" s="155">
        <v>0.1941747573</v>
      </c>
      <c r="F254" s="156">
        <v>0.5691747573</v>
      </c>
      <c r="G254" s="156">
        <v>2.5485436890000001E-2</v>
      </c>
      <c r="H254" s="156">
        <v>4.8543689320000001E-3</v>
      </c>
      <c r="I254" s="156">
        <v>0</v>
      </c>
      <c r="J254" s="156">
        <v>0</v>
      </c>
      <c r="K254" s="157">
        <v>0.20631067959999999</v>
      </c>
      <c r="L254" s="158">
        <v>0.57766990289999998</v>
      </c>
      <c r="M254" s="156">
        <v>0.36771844660000003</v>
      </c>
      <c r="N254" s="156">
        <v>1.0922330100000001E-2</v>
      </c>
      <c r="O254" s="156">
        <v>0</v>
      </c>
      <c r="P254" s="156">
        <v>0</v>
      </c>
      <c r="Q254" s="156">
        <v>0</v>
      </c>
      <c r="R254" s="159">
        <v>4.3689320390000001E-2</v>
      </c>
      <c r="S254" s="155">
        <v>0.35883171069999997</v>
      </c>
      <c r="T254" s="156">
        <v>0.55215577189999998</v>
      </c>
      <c r="U254" s="156">
        <v>0</v>
      </c>
      <c r="V254" s="156">
        <v>0</v>
      </c>
      <c r="W254" s="156">
        <v>6.9541029210000004E-3</v>
      </c>
      <c r="X254" s="156">
        <v>0</v>
      </c>
      <c r="Y254" s="157">
        <v>8.2058414460000006E-2</v>
      </c>
      <c r="Z254" s="158">
        <v>0.3532684284</v>
      </c>
      <c r="AA254" s="156">
        <v>0.545201669</v>
      </c>
      <c r="AB254" s="156">
        <v>0</v>
      </c>
      <c r="AC254" s="156">
        <v>0</v>
      </c>
      <c r="AD254" s="156">
        <v>8.3449235050000008E-3</v>
      </c>
      <c r="AE254" s="156">
        <v>0</v>
      </c>
      <c r="AF254" s="159">
        <v>9.3184979139999999E-2</v>
      </c>
      <c r="AG254" s="155">
        <v>0.3550834598</v>
      </c>
      <c r="AH254" s="156">
        <v>0</v>
      </c>
      <c r="AI254" s="156">
        <v>0</v>
      </c>
      <c r="AJ254" s="156">
        <v>2.2761760240000001E-2</v>
      </c>
      <c r="AK254" s="156">
        <v>0.34294385430000002</v>
      </c>
      <c r="AL254" s="156">
        <v>0.18968133540000001</v>
      </c>
      <c r="AM254" s="157">
        <v>8.9529590290000002E-2</v>
      </c>
      <c r="AN254" s="158">
        <v>0.3763277693</v>
      </c>
      <c r="AO254" s="156">
        <v>0</v>
      </c>
      <c r="AP254" s="156">
        <v>0</v>
      </c>
      <c r="AQ254" s="156">
        <v>0</v>
      </c>
      <c r="AR254" s="156">
        <v>0.34901365709999999</v>
      </c>
      <c r="AS254" s="156">
        <v>0.19726858880000001</v>
      </c>
      <c r="AT254" s="159">
        <v>7.7389984829999994E-2</v>
      </c>
    </row>
    <row r="255" spans="1:46" ht="12.75">
      <c r="A255" s="67" t="s">
        <v>8</v>
      </c>
      <c r="B255" s="67" t="s">
        <v>8</v>
      </c>
      <c r="C255" s="67" t="s">
        <v>573</v>
      </c>
      <c r="D255" s="67" t="s">
        <v>573</v>
      </c>
      <c r="E255" s="155">
        <v>0.4782918149</v>
      </c>
      <c r="F255" s="156">
        <v>0.57793594309999996</v>
      </c>
      <c r="G255" s="156">
        <v>3.4875444839999999E-2</v>
      </c>
      <c r="H255" s="156">
        <v>4.9822064060000004E-3</v>
      </c>
      <c r="I255" s="156">
        <v>0</v>
      </c>
      <c r="J255" s="156">
        <v>0</v>
      </c>
      <c r="K255" s="157">
        <v>9.6085409250000003E-2</v>
      </c>
      <c r="L255" s="158">
        <v>0.44270462630000001</v>
      </c>
      <c r="M255" s="156">
        <v>0.48256227759999998</v>
      </c>
      <c r="N255" s="156">
        <v>3.1316725980000001E-2</v>
      </c>
      <c r="O255" s="156">
        <v>0</v>
      </c>
      <c r="P255" s="156">
        <v>0</v>
      </c>
      <c r="Q255" s="156">
        <v>0</v>
      </c>
      <c r="R255" s="159">
        <v>4.3416370109999998E-2</v>
      </c>
      <c r="S255" s="155">
        <v>0.47307692309999999</v>
      </c>
      <c r="T255" s="156">
        <v>0.45230769230000001</v>
      </c>
      <c r="U255" s="156">
        <v>0</v>
      </c>
      <c r="V255" s="156">
        <v>0</v>
      </c>
      <c r="W255" s="156">
        <v>2.2307692309999998E-2</v>
      </c>
      <c r="X255" s="156">
        <v>0</v>
      </c>
      <c r="Y255" s="157">
        <v>5.2307692310000001E-2</v>
      </c>
      <c r="Z255" s="158">
        <v>0.45076923079999998</v>
      </c>
      <c r="AA255" s="156">
        <v>0.37384615380000003</v>
      </c>
      <c r="AB255" s="156">
        <v>0</v>
      </c>
      <c r="AC255" s="156">
        <v>0</v>
      </c>
      <c r="AD255" s="156">
        <v>3.3076923080000001E-2</v>
      </c>
      <c r="AE255" s="156">
        <v>0</v>
      </c>
      <c r="AF255" s="159">
        <v>0.14230769230000001</v>
      </c>
      <c r="AG255" s="155">
        <v>0.35840707960000001</v>
      </c>
      <c r="AH255" s="156">
        <v>0</v>
      </c>
      <c r="AI255" s="156">
        <v>0</v>
      </c>
      <c r="AJ255" s="156">
        <v>1.2389380530000001E-2</v>
      </c>
      <c r="AK255" s="156">
        <v>0.17787610619999999</v>
      </c>
      <c r="AL255" s="156">
        <v>0.4044247788</v>
      </c>
      <c r="AM255" s="157">
        <v>4.6902654869999998E-2</v>
      </c>
      <c r="AN255" s="158">
        <v>0.36460176989999998</v>
      </c>
      <c r="AO255" s="156">
        <v>0</v>
      </c>
      <c r="AP255" s="156">
        <v>0</v>
      </c>
      <c r="AQ255" s="156">
        <v>0</v>
      </c>
      <c r="AR255" s="156">
        <v>0.18407079649999999</v>
      </c>
      <c r="AS255" s="156">
        <v>0.39646017700000002</v>
      </c>
      <c r="AT255" s="159">
        <v>5.4867256640000001E-2</v>
      </c>
    </row>
    <row r="256" spans="1:46" ht="12.75">
      <c r="A256" s="67" t="s">
        <v>8</v>
      </c>
      <c r="B256" s="67" t="s">
        <v>8</v>
      </c>
      <c r="C256" s="67" t="s">
        <v>575</v>
      </c>
      <c r="D256" s="67" t="s">
        <v>575</v>
      </c>
      <c r="E256" s="155">
        <v>0.29619260920000001</v>
      </c>
      <c r="F256" s="156">
        <v>0.38857782749999997</v>
      </c>
      <c r="G256" s="156">
        <v>5.375139978E-2</v>
      </c>
      <c r="H256" s="156">
        <v>8.3986562149999996E-3</v>
      </c>
      <c r="I256" s="156">
        <v>0</v>
      </c>
      <c r="J256" s="156">
        <v>0</v>
      </c>
      <c r="K256" s="157">
        <v>0.25307950730000001</v>
      </c>
      <c r="L256" s="158">
        <v>0.4820828667</v>
      </c>
      <c r="M256" s="156">
        <v>0.42049272119999997</v>
      </c>
      <c r="N256" s="156">
        <v>3.8633818590000001E-2</v>
      </c>
      <c r="O256" s="156">
        <v>0</v>
      </c>
      <c r="P256" s="156">
        <v>0</v>
      </c>
      <c r="Q256" s="156">
        <v>0</v>
      </c>
      <c r="R256" s="159">
        <v>5.8790593510000003E-2</v>
      </c>
      <c r="S256" s="155">
        <v>0.31759906760000001</v>
      </c>
      <c r="T256" s="156">
        <v>0.49941724939999999</v>
      </c>
      <c r="U256" s="156">
        <v>0</v>
      </c>
      <c r="V256" s="156">
        <v>0</v>
      </c>
      <c r="W256" s="156">
        <v>1.923076923E-2</v>
      </c>
      <c r="X256" s="156">
        <v>0</v>
      </c>
      <c r="Y256" s="157">
        <v>0.16375291380000001</v>
      </c>
      <c r="Z256" s="158">
        <v>0.22552447549999999</v>
      </c>
      <c r="AA256" s="156">
        <v>0.4254079254</v>
      </c>
      <c r="AB256" s="156">
        <v>0</v>
      </c>
      <c r="AC256" s="156">
        <v>0</v>
      </c>
      <c r="AD256" s="156">
        <v>2.389277389E-2</v>
      </c>
      <c r="AE256" s="156">
        <v>0</v>
      </c>
      <c r="AF256" s="159">
        <v>0.32517482520000002</v>
      </c>
      <c r="AG256" s="155">
        <v>0.32566012189999999</v>
      </c>
      <c r="AH256" s="156">
        <v>0</v>
      </c>
      <c r="AI256" s="156">
        <v>0</v>
      </c>
      <c r="AJ256" s="156">
        <v>1.286391334E-2</v>
      </c>
      <c r="AK256" s="156">
        <v>0.32159783339999998</v>
      </c>
      <c r="AL256" s="156">
        <v>0.25727826679999999</v>
      </c>
      <c r="AM256" s="157">
        <v>8.2599864590000002E-2</v>
      </c>
      <c r="AN256" s="158">
        <v>0.33716993909999998</v>
      </c>
      <c r="AO256" s="156">
        <v>0</v>
      </c>
      <c r="AP256" s="156">
        <v>0</v>
      </c>
      <c r="AQ256" s="156">
        <v>0</v>
      </c>
      <c r="AR256" s="156">
        <v>0.3087339201</v>
      </c>
      <c r="AS256" s="156">
        <v>0.27623561270000002</v>
      </c>
      <c r="AT256" s="159">
        <v>7.7860528100000007E-2</v>
      </c>
    </row>
    <row r="257" spans="1:46" ht="12.75">
      <c r="A257" s="67" t="s">
        <v>8</v>
      </c>
      <c r="B257" s="67" t="s">
        <v>8</v>
      </c>
      <c r="C257" s="67" t="s">
        <v>577</v>
      </c>
      <c r="D257" s="67" t="s">
        <v>577</v>
      </c>
      <c r="E257" s="155">
        <v>0.28728070179999998</v>
      </c>
      <c r="F257" s="156">
        <v>0.54166666669999997</v>
      </c>
      <c r="G257" s="156">
        <v>4.3859649119999998E-3</v>
      </c>
      <c r="H257" s="156">
        <v>7.6754385959999999E-3</v>
      </c>
      <c r="I257" s="156">
        <v>0</v>
      </c>
      <c r="J257" s="156">
        <v>0</v>
      </c>
      <c r="K257" s="157">
        <v>0.15899122809999999</v>
      </c>
      <c r="L257" s="158">
        <v>0.56907894739999998</v>
      </c>
      <c r="M257" s="156">
        <v>0.36403508769999998</v>
      </c>
      <c r="N257" s="156">
        <v>2.1929824559999999E-3</v>
      </c>
      <c r="O257" s="156">
        <v>0</v>
      </c>
      <c r="P257" s="156">
        <v>0</v>
      </c>
      <c r="Q257" s="156">
        <v>0</v>
      </c>
      <c r="R257" s="159">
        <v>6.4692982460000006E-2</v>
      </c>
      <c r="S257" s="155">
        <v>0.55745721270000004</v>
      </c>
      <c r="T257" s="156">
        <v>0.36308068459999998</v>
      </c>
      <c r="U257" s="156">
        <v>0</v>
      </c>
      <c r="V257" s="156">
        <v>0</v>
      </c>
      <c r="W257" s="156">
        <v>1.466992665E-2</v>
      </c>
      <c r="X257" s="156">
        <v>0</v>
      </c>
      <c r="Y257" s="157">
        <v>6.4792176039999996E-2</v>
      </c>
      <c r="Z257" s="158">
        <v>0.48599269179999999</v>
      </c>
      <c r="AA257" s="156">
        <v>0.36540803900000002</v>
      </c>
      <c r="AB257" s="156">
        <v>0</v>
      </c>
      <c r="AC257" s="156">
        <v>0</v>
      </c>
      <c r="AD257" s="156">
        <v>5.2375152250000001E-2</v>
      </c>
      <c r="AE257" s="156">
        <v>0</v>
      </c>
      <c r="AF257" s="159">
        <v>9.6224116930000006E-2</v>
      </c>
      <c r="AG257" s="155">
        <v>0.48774509799999999</v>
      </c>
      <c r="AH257" s="156">
        <v>0</v>
      </c>
      <c r="AI257" s="156">
        <v>0</v>
      </c>
      <c r="AJ257" s="156">
        <v>2.0833333329999999E-2</v>
      </c>
      <c r="AK257" s="156">
        <v>0.33823529409999997</v>
      </c>
      <c r="AL257" s="156">
        <v>8.4558823529999994E-2</v>
      </c>
      <c r="AM257" s="157">
        <v>6.8627450980000004E-2</v>
      </c>
      <c r="AN257" s="158">
        <v>0.5</v>
      </c>
      <c r="AO257" s="156">
        <v>0</v>
      </c>
      <c r="AP257" s="156">
        <v>0</v>
      </c>
      <c r="AQ257" s="156">
        <v>0</v>
      </c>
      <c r="AR257" s="156">
        <v>0.34558823529999999</v>
      </c>
      <c r="AS257" s="156">
        <v>9.3137254899999994E-2</v>
      </c>
      <c r="AT257" s="159">
        <v>6.1274509800000002E-2</v>
      </c>
    </row>
    <row r="258" spans="1:46" ht="12.75">
      <c r="A258" s="67" t="s">
        <v>8</v>
      </c>
      <c r="B258" s="67" t="s">
        <v>8</v>
      </c>
      <c r="C258" s="67" t="s">
        <v>579</v>
      </c>
      <c r="D258" s="67" t="s">
        <v>579</v>
      </c>
      <c r="E258" s="155">
        <v>0.44895287960000002</v>
      </c>
      <c r="F258" s="156">
        <v>0.38743455500000001</v>
      </c>
      <c r="G258" s="156">
        <v>1.8324607329999999E-2</v>
      </c>
      <c r="H258" s="156">
        <v>7.853403141E-3</v>
      </c>
      <c r="I258" s="156">
        <v>0</v>
      </c>
      <c r="J258" s="156">
        <v>0</v>
      </c>
      <c r="K258" s="157">
        <v>0.13743455500000001</v>
      </c>
      <c r="L258" s="158">
        <v>0.41230366489999998</v>
      </c>
      <c r="M258" s="156">
        <v>0.52225130890000004</v>
      </c>
      <c r="N258" s="156">
        <v>2.0942408379999999E-2</v>
      </c>
      <c r="O258" s="156">
        <v>0</v>
      </c>
      <c r="P258" s="156">
        <v>0</v>
      </c>
      <c r="Q258" s="156">
        <v>0</v>
      </c>
      <c r="R258" s="159">
        <v>4.4502617799999998E-2</v>
      </c>
      <c r="S258" s="155">
        <v>0.28328173369999998</v>
      </c>
      <c r="T258" s="156">
        <v>0.55572755419999997</v>
      </c>
      <c r="U258" s="156">
        <v>0</v>
      </c>
      <c r="V258" s="156">
        <v>0</v>
      </c>
      <c r="W258" s="156">
        <v>7.7399380799999997E-3</v>
      </c>
      <c r="X258" s="156">
        <v>0</v>
      </c>
      <c r="Y258" s="157">
        <v>0.15325077400000001</v>
      </c>
      <c r="Z258" s="158">
        <v>0.26006191950000002</v>
      </c>
      <c r="AA258" s="156">
        <v>0.45046439630000001</v>
      </c>
      <c r="AB258" s="156">
        <v>0</v>
      </c>
      <c r="AC258" s="156">
        <v>0</v>
      </c>
      <c r="AD258" s="156">
        <v>2.0123839009999998E-2</v>
      </c>
      <c r="AE258" s="156">
        <v>0</v>
      </c>
      <c r="AF258" s="159">
        <v>0.26934984519999999</v>
      </c>
      <c r="AG258" s="155">
        <v>0.21947674419999999</v>
      </c>
      <c r="AH258" s="156">
        <v>0</v>
      </c>
      <c r="AI258" s="156">
        <v>0</v>
      </c>
      <c r="AJ258" s="156">
        <v>1.4534883720000001E-2</v>
      </c>
      <c r="AK258" s="156">
        <v>0.22529069769999999</v>
      </c>
      <c r="AL258" s="156">
        <v>0.41424418600000001</v>
      </c>
      <c r="AM258" s="157">
        <v>0.12645348840000001</v>
      </c>
      <c r="AN258" s="158">
        <v>0.23110465120000001</v>
      </c>
      <c r="AO258" s="156">
        <v>0</v>
      </c>
      <c r="AP258" s="156">
        <v>0</v>
      </c>
      <c r="AQ258" s="156">
        <v>0</v>
      </c>
      <c r="AR258" s="156">
        <v>0.23691860470000001</v>
      </c>
      <c r="AS258" s="156">
        <v>0.41133720930000001</v>
      </c>
      <c r="AT258" s="159">
        <v>0.1206395349</v>
      </c>
    </row>
    <row r="259" spans="1:46" ht="12.75">
      <c r="A259" s="67" t="s">
        <v>8</v>
      </c>
      <c r="B259" s="67" t="s">
        <v>8</v>
      </c>
      <c r="C259" s="67" t="s">
        <v>581</v>
      </c>
      <c r="D259" s="67" t="s">
        <v>581</v>
      </c>
      <c r="E259" s="155">
        <v>0.25782092769999998</v>
      </c>
      <c r="F259" s="156">
        <v>0.52276159649999998</v>
      </c>
      <c r="G259" s="156">
        <v>7.8748651559999994E-2</v>
      </c>
      <c r="H259" s="156">
        <v>2.8047464940000001E-3</v>
      </c>
      <c r="I259" s="156">
        <v>0</v>
      </c>
      <c r="J259" s="156">
        <v>0</v>
      </c>
      <c r="K259" s="157">
        <v>0.1378640777</v>
      </c>
      <c r="L259" s="158">
        <v>0.42983401599999999</v>
      </c>
      <c r="M259" s="156">
        <v>0.4500970037</v>
      </c>
      <c r="N259" s="156">
        <v>7.1136020689999996E-2</v>
      </c>
      <c r="O259" s="156">
        <v>0</v>
      </c>
      <c r="P259" s="156">
        <v>0</v>
      </c>
      <c r="Q259" s="156">
        <v>0</v>
      </c>
      <c r="R259" s="159">
        <v>4.893295969E-2</v>
      </c>
      <c r="S259" s="155">
        <v>0.41004497750000002</v>
      </c>
      <c r="T259" s="156">
        <v>0.42553723139999999</v>
      </c>
      <c r="U259" s="156">
        <v>0</v>
      </c>
      <c r="V259" s="156">
        <v>0</v>
      </c>
      <c r="W259" s="156">
        <v>1.499250375E-2</v>
      </c>
      <c r="X259" s="156">
        <v>0</v>
      </c>
      <c r="Y259" s="157">
        <v>0.1494252874</v>
      </c>
      <c r="Z259" s="158">
        <v>0.39674999999999999</v>
      </c>
      <c r="AA259" s="156">
        <v>0.35499999999999998</v>
      </c>
      <c r="AB259" s="156">
        <v>0</v>
      </c>
      <c r="AC259" s="156">
        <v>0</v>
      </c>
      <c r="AD259" s="156">
        <v>3.3000000000000002E-2</v>
      </c>
      <c r="AE259" s="156">
        <v>0</v>
      </c>
      <c r="AF259" s="159">
        <v>0.21525</v>
      </c>
      <c r="AG259" s="155">
        <v>0.34775597959999999</v>
      </c>
      <c r="AH259" s="156">
        <v>0</v>
      </c>
      <c r="AI259" s="156">
        <v>0</v>
      </c>
      <c r="AJ259" s="156">
        <v>1.478097286E-2</v>
      </c>
      <c r="AK259" s="156">
        <v>0.303681806</v>
      </c>
      <c r="AL259" s="156">
        <v>0.27734479979999999</v>
      </c>
      <c r="AM259" s="157">
        <v>5.6436441820000002E-2</v>
      </c>
      <c r="AN259" s="158">
        <v>0.36146197260000001</v>
      </c>
      <c r="AO259" s="156">
        <v>0</v>
      </c>
      <c r="AP259" s="156">
        <v>0</v>
      </c>
      <c r="AQ259" s="156">
        <v>0</v>
      </c>
      <c r="AR259" s="156">
        <v>0.30018812150000002</v>
      </c>
      <c r="AS259" s="156">
        <v>0.2751948401</v>
      </c>
      <c r="AT259" s="159">
        <v>6.3155065839999996E-2</v>
      </c>
    </row>
    <row r="260" spans="1:46" ht="12.75">
      <c r="A260" s="67" t="s">
        <v>8</v>
      </c>
      <c r="B260" s="67" t="s">
        <v>8</v>
      </c>
      <c r="C260" s="67" t="s">
        <v>583</v>
      </c>
      <c r="D260" s="67" t="s">
        <v>584</v>
      </c>
      <c r="E260" s="155">
        <v>0.487804878</v>
      </c>
      <c r="F260" s="156">
        <v>0.96980255520000003</v>
      </c>
      <c r="G260" s="156">
        <v>1.393728223E-2</v>
      </c>
      <c r="H260" s="156">
        <v>3.368176539E-2</v>
      </c>
      <c r="I260" s="156">
        <v>0</v>
      </c>
      <c r="J260" s="156">
        <v>0</v>
      </c>
      <c r="K260" s="157">
        <v>0.50522648079999999</v>
      </c>
      <c r="L260" s="158">
        <v>0.41695702670000001</v>
      </c>
      <c r="M260" s="156">
        <v>0.53310104530000002</v>
      </c>
      <c r="N260" s="156">
        <v>1.393728223E-2</v>
      </c>
      <c r="O260" s="156">
        <v>0</v>
      </c>
      <c r="P260" s="156">
        <v>0</v>
      </c>
      <c r="Q260" s="156">
        <v>0</v>
      </c>
      <c r="R260" s="159">
        <v>3.6004645760000002E-2</v>
      </c>
      <c r="S260" s="155">
        <v>0.22349102770000001</v>
      </c>
      <c r="T260" s="156">
        <v>0.69168026100000002</v>
      </c>
      <c r="U260" s="156">
        <v>0</v>
      </c>
      <c r="V260" s="156">
        <v>0</v>
      </c>
      <c r="W260" s="156">
        <v>1.3050570960000001E-2</v>
      </c>
      <c r="X260" s="156">
        <v>0</v>
      </c>
      <c r="Y260" s="157">
        <v>7.177814029E-2</v>
      </c>
      <c r="Z260" s="158">
        <v>0.21696574229999999</v>
      </c>
      <c r="AA260" s="156">
        <v>0.70146818919999998</v>
      </c>
      <c r="AB260" s="156">
        <v>0</v>
      </c>
      <c r="AC260" s="156">
        <v>0</v>
      </c>
      <c r="AD260" s="156">
        <v>2.2838499179999999E-2</v>
      </c>
      <c r="AE260" s="156">
        <v>0</v>
      </c>
      <c r="AF260" s="159">
        <v>5.872756933E-2</v>
      </c>
      <c r="AG260" s="155">
        <v>0.2380073801</v>
      </c>
      <c r="AH260" s="156">
        <v>0</v>
      </c>
      <c r="AI260" s="156">
        <v>0</v>
      </c>
      <c r="AJ260" s="156">
        <v>3.1365313649999997E-2</v>
      </c>
      <c r="AK260" s="156">
        <v>0.3468634686</v>
      </c>
      <c r="AL260" s="156">
        <v>0.23985239850000001</v>
      </c>
      <c r="AM260" s="157">
        <v>0.14391143910000001</v>
      </c>
      <c r="AN260" s="158">
        <v>0.2453874539</v>
      </c>
      <c r="AO260" s="156">
        <v>0</v>
      </c>
      <c r="AP260" s="156">
        <v>0</v>
      </c>
      <c r="AQ260" s="156">
        <v>0</v>
      </c>
      <c r="AR260" s="156">
        <v>0.35608856090000002</v>
      </c>
      <c r="AS260" s="156">
        <v>0.24354243540000001</v>
      </c>
      <c r="AT260" s="159">
        <v>0.15498154980000001</v>
      </c>
    </row>
    <row r="261" spans="1:46" ht="12.75">
      <c r="A261" s="67" t="s">
        <v>8</v>
      </c>
      <c r="B261" s="67" t="s">
        <v>8</v>
      </c>
      <c r="C261" s="67" t="s">
        <v>583</v>
      </c>
      <c r="D261" s="67" t="s">
        <v>583</v>
      </c>
      <c r="E261" s="155">
        <v>0.3941355674</v>
      </c>
      <c r="F261" s="156">
        <v>0.83929931449999995</v>
      </c>
      <c r="G261" s="156">
        <v>7.8065498859999999E-2</v>
      </c>
      <c r="H261" s="156">
        <v>4.1888804270000003E-3</v>
      </c>
      <c r="I261" s="156">
        <v>0</v>
      </c>
      <c r="J261" s="156">
        <v>0</v>
      </c>
      <c r="K261" s="157">
        <v>0.31568926120000002</v>
      </c>
      <c r="L261" s="158">
        <v>0.43602437170000002</v>
      </c>
      <c r="M261" s="156">
        <v>0.45163747139999999</v>
      </c>
      <c r="N261" s="156">
        <v>7.0068545319999995E-2</v>
      </c>
      <c r="O261" s="156">
        <v>0</v>
      </c>
      <c r="P261" s="156">
        <v>0</v>
      </c>
      <c r="Q261" s="156">
        <v>0</v>
      </c>
      <c r="R261" s="159">
        <v>4.2269611579999998E-2</v>
      </c>
      <c r="S261" s="155">
        <v>0.35711545839999997</v>
      </c>
      <c r="T261" s="156">
        <v>0.45339470659999997</v>
      </c>
      <c r="U261" s="156">
        <v>0</v>
      </c>
      <c r="V261" s="156">
        <v>0</v>
      </c>
      <c r="W261" s="156">
        <v>1.1891062520000001E-2</v>
      </c>
      <c r="X261" s="156">
        <v>0</v>
      </c>
      <c r="Y261" s="157">
        <v>0.1775987725</v>
      </c>
      <c r="Z261" s="158">
        <v>0.31223628689999999</v>
      </c>
      <c r="AA261" s="156">
        <v>0.43383199080000001</v>
      </c>
      <c r="AB261" s="156">
        <v>0</v>
      </c>
      <c r="AC261" s="156">
        <v>0</v>
      </c>
      <c r="AD261" s="156">
        <v>2.0329881090000002E-2</v>
      </c>
      <c r="AE261" s="156">
        <v>0</v>
      </c>
      <c r="AF261" s="159">
        <v>0.23360184119999999</v>
      </c>
      <c r="AG261" s="155">
        <v>0.38216810680000002</v>
      </c>
      <c r="AH261" s="156">
        <v>0</v>
      </c>
      <c r="AI261" s="156">
        <v>0</v>
      </c>
      <c r="AJ261" s="156">
        <v>1.413982718E-2</v>
      </c>
      <c r="AK261" s="156">
        <v>0.28829536529999999</v>
      </c>
      <c r="AL261" s="156">
        <v>0.26630007859999999</v>
      </c>
      <c r="AM261" s="157">
        <v>4.9096622149999998E-2</v>
      </c>
      <c r="AN261" s="158">
        <v>0.39041633939999998</v>
      </c>
      <c r="AO261" s="156">
        <v>0</v>
      </c>
      <c r="AP261" s="156">
        <v>0</v>
      </c>
      <c r="AQ261" s="156">
        <v>0</v>
      </c>
      <c r="AR261" s="156">
        <v>0.28593872739999998</v>
      </c>
      <c r="AS261" s="156">
        <v>0.26512175960000001</v>
      </c>
      <c r="AT261" s="159">
        <v>5.852317361E-2</v>
      </c>
    </row>
    <row r="262" spans="1:46" ht="12.75">
      <c r="A262" s="67" t="s">
        <v>8</v>
      </c>
      <c r="B262" s="67" t="s">
        <v>587</v>
      </c>
      <c r="C262" s="67" t="s">
        <v>588</v>
      </c>
      <c r="D262" s="67" t="s">
        <v>588</v>
      </c>
      <c r="E262" s="155">
        <v>0.21244131459999999</v>
      </c>
      <c r="F262" s="156">
        <v>0.61150234739999998</v>
      </c>
      <c r="G262" s="156">
        <v>2.3474178400000002E-3</v>
      </c>
      <c r="H262" s="156">
        <v>1.1737089200000001E-3</v>
      </c>
      <c r="I262" s="156">
        <v>0</v>
      </c>
      <c r="J262" s="156">
        <v>0</v>
      </c>
      <c r="K262" s="157">
        <v>0.17253521129999999</v>
      </c>
      <c r="L262" s="158">
        <v>0.50352112680000005</v>
      </c>
      <c r="M262" s="156">
        <v>0.44953051640000002</v>
      </c>
      <c r="N262" s="156">
        <v>3.5211267609999999E-3</v>
      </c>
      <c r="O262" s="156">
        <v>0</v>
      </c>
      <c r="P262" s="156">
        <v>0</v>
      </c>
      <c r="Q262" s="156">
        <v>0</v>
      </c>
      <c r="R262" s="159">
        <v>4.3427230050000001E-2</v>
      </c>
      <c r="S262" s="155">
        <v>0.37484737480000002</v>
      </c>
      <c r="T262" s="156">
        <v>0.5311355311</v>
      </c>
      <c r="U262" s="156">
        <v>0</v>
      </c>
      <c r="V262" s="156">
        <v>0</v>
      </c>
      <c r="W262" s="156">
        <v>3.6630036630000001E-3</v>
      </c>
      <c r="X262" s="156">
        <v>0</v>
      </c>
      <c r="Y262" s="157">
        <v>9.0354090349999999E-2</v>
      </c>
      <c r="Z262" s="158">
        <v>0.35286935289999999</v>
      </c>
      <c r="AA262" s="156">
        <v>0.47252747249999999</v>
      </c>
      <c r="AB262" s="156">
        <v>0</v>
      </c>
      <c r="AC262" s="156">
        <v>0</v>
      </c>
      <c r="AD262" s="156">
        <v>2.9304029299999999E-2</v>
      </c>
      <c r="AE262" s="156">
        <v>0</v>
      </c>
      <c r="AF262" s="159">
        <v>0.14529914529999999</v>
      </c>
      <c r="AG262" s="155">
        <v>0.35223880600000002</v>
      </c>
      <c r="AH262" s="156">
        <v>0</v>
      </c>
      <c r="AI262" s="156">
        <v>0</v>
      </c>
      <c r="AJ262" s="156">
        <v>2.9850746269999999E-2</v>
      </c>
      <c r="AK262" s="156">
        <v>0.36865671639999997</v>
      </c>
      <c r="AL262" s="156">
        <v>0.1044776119</v>
      </c>
      <c r="AM262" s="157">
        <v>0.14477611939999999</v>
      </c>
      <c r="AN262" s="158">
        <v>0.36865671639999997</v>
      </c>
      <c r="AO262" s="156">
        <v>0</v>
      </c>
      <c r="AP262" s="156">
        <v>0</v>
      </c>
      <c r="AQ262" s="156">
        <v>0</v>
      </c>
      <c r="AR262" s="156">
        <v>0.38955223880000001</v>
      </c>
      <c r="AS262" s="156">
        <v>0.1</v>
      </c>
      <c r="AT262" s="159">
        <v>0.14179104479999999</v>
      </c>
    </row>
    <row r="263" spans="1:46" ht="12.75">
      <c r="A263" s="67" t="s">
        <v>8</v>
      </c>
      <c r="B263" s="67" t="s">
        <v>587</v>
      </c>
      <c r="C263" s="67" t="s">
        <v>588</v>
      </c>
      <c r="D263" s="67" t="s">
        <v>591</v>
      </c>
      <c r="E263" s="155">
        <v>0.3710879285</v>
      </c>
      <c r="F263" s="156">
        <v>0.98360655740000003</v>
      </c>
      <c r="G263" s="156">
        <v>8.9418777940000003E-3</v>
      </c>
      <c r="H263" s="156">
        <v>0</v>
      </c>
      <c r="I263" s="156">
        <v>0</v>
      </c>
      <c r="J263" s="156">
        <v>0</v>
      </c>
      <c r="K263" s="157">
        <v>0.36363636360000001</v>
      </c>
      <c r="L263" s="158">
        <v>0.43219076010000002</v>
      </c>
      <c r="M263" s="156">
        <v>0.51713859910000004</v>
      </c>
      <c r="N263" s="156">
        <v>4.4709388970000001E-3</v>
      </c>
      <c r="O263" s="156">
        <v>0</v>
      </c>
      <c r="P263" s="156">
        <v>0</v>
      </c>
      <c r="Q263" s="156">
        <v>0</v>
      </c>
      <c r="R263" s="159">
        <v>4.6199701939999997E-2</v>
      </c>
      <c r="S263" s="155">
        <v>0.37383177569999998</v>
      </c>
      <c r="T263" s="156">
        <v>0.45327102800000002</v>
      </c>
      <c r="U263" s="156">
        <v>0</v>
      </c>
      <c r="V263" s="156">
        <v>0</v>
      </c>
      <c r="W263" s="156">
        <v>1.713395639E-2</v>
      </c>
      <c r="X263" s="156">
        <v>0</v>
      </c>
      <c r="Y263" s="157">
        <v>0.15576323989999999</v>
      </c>
      <c r="Z263" s="158">
        <v>0.33333333329999998</v>
      </c>
      <c r="AA263" s="156">
        <v>0.35358255449999998</v>
      </c>
      <c r="AB263" s="156">
        <v>0</v>
      </c>
      <c r="AC263" s="156">
        <v>0</v>
      </c>
      <c r="AD263" s="156">
        <v>3.7383177570000002E-2</v>
      </c>
      <c r="AE263" s="156">
        <v>0</v>
      </c>
      <c r="AF263" s="159">
        <v>0.2757009346</v>
      </c>
      <c r="AG263" s="155">
        <v>0.366568915</v>
      </c>
      <c r="AH263" s="156">
        <v>0</v>
      </c>
      <c r="AI263" s="156">
        <v>0</v>
      </c>
      <c r="AJ263" s="156">
        <v>3.5190615840000002E-2</v>
      </c>
      <c r="AK263" s="156">
        <v>0.41495601170000002</v>
      </c>
      <c r="AL263" s="156">
        <v>0.1246334311</v>
      </c>
      <c r="AM263" s="157">
        <v>5.865102639E-2</v>
      </c>
      <c r="AN263" s="158">
        <v>0.37390029330000002</v>
      </c>
      <c r="AO263" s="156">
        <v>0</v>
      </c>
      <c r="AP263" s="156">
        <v>0</v>
      </c>
      <c r="AQ263" s="156">
        <v>0</v>
      </c>
      <c r="AR263" s="156">
        <v>0.4340175953</v>
      </c>
      <c r="AS263" s="156">
        <v>0.1304985337</v>
      </c>
      <c r="AT263" s="159">
        <v>6.1583577709999997E-2</v>
      </c>
    </row>
    <row r="264" spans="1:46" ht="12.75">
      <c r="A264" s="67" t="s">
        <v>8</v>
      </c>
      <c r="B264" s="67" t="s">
        <v>587</v>
      </c>
      <c r="C264" s="67" t="s">
        <v>592</v>
      </c>
      <c r="D264" s="67" t="s">
        <v>592</v>
      </c>
      <c r="E264" s="155">
        <v>0.365942029</v>
      </c>
      <c r="F264" s="156">
        <v>0.64202898549999998</v>
      </c>
      <c r="G264" s="156">
        <v>1.8115942029999998E-2</v>
      </c>
      <c r="H264" s="156">
        <v>1.15942029E-2</v>
      </c>
      <c r="I264" s="156">
        <v>0</v>
      </c>
      <c r="J264" s="156">
        <v>0</v>
      </c>
      <c r="K264" s="157">
        <v>3.7681159419999999E-2</v>
      </c>
      <c r="L264" s="158">
        <v>0.4804347826</v>
      </c>
      <c r="M264" s="156">
        <v>0.44855072460000001</v>
      </c>
      <c r="N264" s="156">
        <v>1.5942028989999999E-2</v>
      </c>
      <c r="O264" s="156">
        <v>0</v>
      </c>
      <c r="P264" s="156">
        <v>0</v>
      </c>
      <c r="Q264" s="156">
        <v>0</v>
      </c>
      <c r="R264" s="159">
        <v>5.5072463770000003E-2</v>
      </c>
      <c r="S264" s="155">
        <v>0.35500878730000002</v>
      </c>
      <c r="T264" s="156">
        <v>0.58172231990000001</v>
      </c>
      <c r="U264" s="156">
        <v>0</v>
      </c>
      <c r="V264" s="156">
        <v>0</v>
      </c>
      <c r="W264" s="156">
        <v>1.054481547E-2</v>
      </c>
      <c r="X264" s="156">
        <v>0</v>
      </c>
      <c r="Y264" s="157">
        <v>5.2724077330000001E-2</v>
      </c>
      <c r="Z264" s="158">
        <v>0.34622144110000003</v>
      </c>
      <c r="AA264" s="156">
        <v>0.58347978909999998</v>
      </c>
      <c r="AB264" s="156">
        <v>0</v>
      </c>
      <c r="AC264" s="156">
        <v>0</v>
      </c>
      <c r="AD264" s="156">
        <v>3.3391915639999999E-2</v>
      </c>
      <c r="AE264" s="156">
        <v>0</v>
      </c>
      <c r="AF264" s="159">
        <v>3.690685413E-2</v>
      </c>
      <c r="AG264" s="155">
        <v>0.38305084750000001</v>
      </c>
      <c r="AH264" s="156">
        <v>0</v>
      </c>
      <c r="AI264" s="156">
        <v>0</v>
      </c>
      <c r="AJ264" s="156">
        <v>3.3898305080000003E-2</v>
      </c>
      <c r="AK264" s="156">
        <v>0.41016949149999998</v>
      </c>
      <c r="AL264" s="156">
        <v>8.4745762710000005E-2</v>
      </c>
      <c r="AM264" s="157">
        <v>8.8135593220000003E-2</v>
      </c>
      <c r="AN264" s="158">
        <v>0.41186440680000003</v>
      </c>
      <c r="AO264" s="156">
        <v>0</v>
      </c>
      <c r="AP264" s="156">
        <v>0</v>
      </c>
      <c r="AQ264" s="156">
        <v>0</v>
      </c>
      <c r="AR264" s="156">
        <v>0.4152542373</v>
      </c>
      <c r="AS264" s="156">
        <v>9.3220338979999998E-2</v>
      </c>
      <c r="AT264" s="159">
        <v>7.9661016949999996E-2</v>
      </c>
    </row>
    <row r="265" spans="1:46" ht="12.75">
      <c r="A265" s="67" t="s">
        <v>8</v>
      </c>
      <c r="B265" s="67" t="s">
        <v>587</v>
      </c>
      <c r="C265" s="67" t="s">
        <v>596</v>
      </c>
      <c r="D265" s="67" t="s">
        <v>596</v>
      </c>
      <c r="E265" s="155">
        <v>0.57125748499999995</v>
      </c>
      <c r="F265" s="156">
        <v>0.49341317369999999</v>
      </c>
      <c r="G265" s="156">
        <v>2.0359281440000002E-2</v>
      </c>
      <c r="H265" s="156">
        <v>2.395209581E-3</v>
      </c>
      <c r="I265" s="156">
        <v>0</v>
      </c>
      <c r="J265" s="156">
        <v>0</v>
      </c>
      <c r="K265" s="157">
        <v>8.7425149699999996E-2</v>
      </c>
      <c r="L265" s="158">
        <v>0.480239521</v>
      </c>
      <c r="M265" s="156">
        <v>0.45988023950000001</v>
      </c>
      <c r="N265" s="156">
        <v>2.5149700600000002E-2</v>
      </c>
      <c r="O265" s="156">
        <v>0</v>
      </c>
      <c r="P265" s="156">
        <v>0</v>
      </c>
      <c r="Q265" s="156">
        <v>0</v>
      </c>
      <c r="R265" s="159">
        <v>3.4730538919999998E-2</v>
      </c>
      <c r="S265" s="155">
        <v>0.39602649010000002</v>
      </c>
      <c r="T265" s="156">
        <v>0.42251655630000001</v>
      </c>
      <c r="U265" s="156">
        <v>0</v>
      </c>
      <c r="V265" s="156">
        <v>0</v>
      </c>
      <c r="W265" s="156">
        <v>0.119205298</v>
      </c>
      <c r="X265" s="156">
        <v>0</v>
      </c>
      <c r="Y265" s="157">
        <v>6.225165563E-2</v>
      </c>
      <c r="Z265" s="158">
        <v>0.39602649010000002</v>
      </c>
      <c r="AA265" s="156">
        <v>0.39735099340000002</v>
      </c>
      <c r="AB265" s="156">
        <v>0</v>
      </c>
      <c r="AC265" s="156">
        <v>0</v>
      </c>
      <c r="AD265" s="156">
        <v>0.14172185430000001</v>
      </c>
      <c r="AE265" s="156">
        <v>0</v>
      </c>
      <c r="AF265" s="159">
        <v>6.4900662250000005E-2</v>
      </c>
      <c r="AG265" s="155">
        <v>0.34883720930000001</v>
      </c>
      <c r="AH265" s="156">
        <v>0</v>
      </c>
      <c r="AI265" s="156">
        <v>0</v>
      </c>
      <c r="AJ265" s="156">
        <v>1.8895348839999999E-2</v>
      </c>
      <c r="AK265" s="156">
        <v>0.23691860470000001</v>
      </c>
      <c r="AL265" s="156">
        <v>0.30232558139999999</v>
      </c>
      <c r="AM265" s="157">
        <v>9.3023255809999997E-2</v>
      </c>
      <c r="AN265" s="158">
        <v>0.35174418600000001</v>
      </c>
      <c r="AO265" s="156">
        <v>0</v>
      </c>
      <c r="AP265" s="156">
        <v>0</v>
      </c>
      <c r="AQ265" s="156">
        <v>0</v>
      </c>
      <c r="AR265" s="156">
        <v>0.2354651163</v>
      </c>
      <c r="AS265" s="156">
        <v>0.28924418600000001</v>
      </c>
      <c r="AT265" s="159">
        <v>0.12354651160000001</v>
      </c>
    </row>
    <row r="266" spans="1:46" ht="12.75">
      <c r="A266" s="67" t="s">
        <v>8</v>
      </c>
      <c r="B266" s="67" t="s">
        <v>587</v>
      </c>
      <c r="C266" s="67" t="s">
        <v>590</v>
      </c>
      <c r="D266" s="67" t="s">
        <v>590</v>
      </c>
      <c r="E266" s="155">
        <v>0.64</v>
      </c>
      <c r="F266" s="156">
        <v>0.42095238099999999</v>
      </c>
      <c r="G266" s="156">
        <v>1.9047619049999999E-3</v>
      </c>
      <c r="H266" s="156">
        <v>1.9047619049999999E-3</v>
      </c>
      <c r="I266" s="156">
        <v>0</v>
      </c>
      <c r="J266" s="156">
        <v>0</v>
      </c>
      <c r="K266" s="157">
        <v>6.4761904760000003E-2</v>
      </c>
      <c r="L266" s="158">
        <v>0.45142857139999998</v>
      </c>
      <c r="M266" s="156">
        <v>0.49333333330000001</v>
      </c>
      <c r="N266" s="156">
        <v>3.8095238099999998E-3</v>
      </c>
      <c r="O266" s="156">
        <v>0</v>
      </c>
      <c r="P266" s="156">
        <v>0</v>
      </c>
      <c r="Q266" s="156">
        <v>0</v>
      </c>
      <c r="R266" s="159">
        <v>5.142857143E-2</v>
      </c>
      <c r="S266" s="155">
        <v>0.3745173745</v>
      </c>
      <c r="T266" s="156">
        <v>0.1891891892</v>
      </c>
      <c r="U266" s="156">
        <v>0</v>
      </c>
      <c r="V266" s="156">
        <v>0</v>
      </c>
      <c r="W266" s="156">
        <v>0.36100386099999998</v>
      </c>
      <c r="X266" s="156">
        <v>0</v>
      </c>
      <c r="Y266" s="157">
        <v>7.5289575289999994E-2</v>
      </c>
      <c r="Z266" s="158">
        <v>0.35907335909999999</v>
      </c>
      <c r="AA266" s="156">
        <v>0.20270270269999999</v>
      </c>
      <c r="AB266" s="156">
        <v>0</v>
      </c>
      <c r="AC266" s="156">
        <v>0</v>
      </c>
      <c r="AD266" s="156">
        <v>0.36872586870000001</v>
      </c>
      <c r="AE266" s="156">
        <v>0</v>
      </c>
      <c r="AF266" s="159">
        <v>6.9498069499999995E-2</v>
      </c>
      <c r="AG266" s="155">
        <v>0.45401174170000003</v>
      </c>
      <c r="AH266" s="156">
        <v>0</v>
      </c>
      <c r="AI266" s="156">
        <v>0</v>
      </c>
      <c r="AJ266" s="156">
        <v>4.8923679060000003E-2</v>
      </c>
      <c r="AK266" s="156">
        <v>0.35225048920000002</v>
      </c>
      <c r="AL266" s="156">
        <v>6.6536203520000003E-2</v>
      </c>
      <c r="AM266" s="157">
        <v>7.8277886500000005E-2</v>
      </c>
      <c r="AN266" s="158">
        <v>0.48336594910000003</v>
      </c>
      <c r="AO266" s="156">
        <v>0</v>
      </c>
      <c r="AP266" s="156">
        <v>0</v>
      </c>
      <c r="AQ266" s="156">
        <v>0</v>
      </c>
      <c r="AR266" s="156">
        <v>0.36007827790000002</v>
      </c>
      <c r="AS266" s="156">
        <v>7.2407045010000004E-2</v>
      </c>
      <c r="AT266" s="159">
        <v>8.4148727980000004E-2</v>
      </c>
    </row>
    <row r="267" spans="1:46" ht="12.75">
      <c r="A267" s="67" t="s">
        <v>8</v>
      </c>
      <c r="B267" s="67" t="s">
        <v>587</v>
      </c>
      <c r="C267" s="67" t="s">
        <v>597</v>
      </c>
      <c r="D267" s="67" t="s">
        <v>597</v>
      </c>
      <c r="E267" s="155">
        <v>0.1008298755</v>
      </c>
      <c r="F267" s="156">
        <v>7.4688796680000002E-2</v>
      </c>
      <c r="G267" s="156">
        <v>2.4896265559999999E-2</v>
      </c>
      <c r="H267" s="156">
        <v>1.2448132779999999E-2</v>
      </c>
      <c r="I267" s="156">
        <v>0</v>
      </c>
      <c r="J267" s="156">
        <v>0</v>
      </c>
      <c r="K267" s="157">
        <v>0.79253112029999995</v>
      </c>
      <c r="L267" s="158">
        <v>0.37551867220000001</v>
      </c>
      <c r="M267" s="156">
        <v>0.53319502070000002</v>
      </c>
      <c r="N267" s="156">
        <v>1.6597510369999999E-2</v>
      </c>
      <c r="O267" s="156">
        <v>0</v>
      </c>
      <c r="P267" s="156">
        <v>0</v>
      </c>
      <c r="Q267" s="156">
        <v>0</v>
      </c>
      <c r="R267" s="159">
        <v>7.4688796680000002E-2</v>
      </c>
      <c r="S267" s="155">
        <v>0.54371002130000001</v>
      </c>
      <c r="T267" s="156">
        <v>0.38379530919999999</v>
      </c>
      <c r="U267" s="156">
        <v>0</v>
      </c>
      <c r="V267" s="156">
        <v>0</v>
      </c>
      <c r="W267" s="156">
        <v>3.3049040510000002E-2</v>
      </c>
      <c r="X267" s="156">
        <v>0</v>
      </c>
      <c r="Y267" s="157">
        <v>3.9445629000000003E-2</v>
      </c>
      <c r="Z267" s="158">
        <v>0.50746268660000005</v>
      </c>
      <c r="AA267" s="156">
        <v>0.41364605539999999</v>
      </c>
      <c r="AB267" s="156">
        <v>0</v>
      </c>
      <c r="AC267" s="156">
        <v>0</v>
      </c>
      <c r="AD267" s="156">
        <v>6.5031982939999997E-2</v>
      </c>
      <c r="AE267" s="156">
        <v>0</v>
      </c>
      <c r="AF267" s="159">
        <v>1.385927505E-2</v>
      </c>
      <c r="AG267" s="155">
        <v>0.40944881890000001</v>
      </c>
      <c r="AH267" s="156">
        <v>0</v>
      </c>
      <c r="AI267" s="156">
        <v>0</v>
      </c>
      <c r="AJ267" s="156">
        <v>4.5931758529999998E-2</v>
      </c>
      <c r="AK267" s="156">
        <v>0.30577427820000003</v>
      </c>
      <c r="AL267" s="156">
        <v>0.1089238845</v>
      </c>
      <c r="AM267" s="157">
        <v>0.12992125979999999</v>
      </c>
      <c r="AN267" s="158">
        <v>0.43832020999999999</v>
      </c>
      <c r="AO267" s="156">
        <v>0</v>
      </c>
      <c r="AP267" s="156">
        <v>0</v>
      </c>
      <c r="AQ267" s="156">
        <v>0</v>
      </c>
      <c r="AR267" s="156">
        <v>0.33202099740000002</v>
      </c>
      <c r="AS267" s="156">
        <v>0.1023622047</v>
      </c>
      <c r="AT267" s="159">
        <v>0.12729658790000001</v>
      </c>
    </row>
    <row r="268" spans="1:46" ht="12.75">
      <c r="A268" s="67" t="s">
        <v>8</v>
      </c>
      <c r="B268" s="67" t="s">
        <v>587</v>
      </c>
      <c r="C268" s="67" t="s">
        <v>598</v>
      </c>
      <c r="D268" s="67" t="s">
        <v>598</v>
      </c>
      <c r="E268" s="155">
        <v>0.61505065120000002</v>
      </c>
      <c r="F268" s="156">
        <v>0.46599131690000001</v>
      </c>
      <c r="G268" s="156">
        <v>1.0130246020000001E-2</v>
      </c>
      <c r="H268" s="156">
        <v>1.4471780029999999E-3</v>
      </c>
      <c r="I268" s="156">
        <v>0</v>
      </c>
      <c r="J268" s="156">
        <v>0</v>
      </c>
      <c r="K268" s="157">
        <v>9.2619392189999997E-2</v>
      </c>
      <c r="L268" s="158">
        <v>0.4312590449</v>
      </c>
      <c r="M268" s="156">
        <v>0.49782923299999998</v>
      </c>
      <c r="N268" s="156">
        <v>1.302460203E-2</v>
      </c>
      <c r="O268" s="156">
        <v>0</v>
      </c>
      <c r="P268" s="156">
        <v>0</v>
      </c>
      <c r="Q268" s="156">
        <v>0</v>
      </c>
      <c r="R268" s="159">
        <v>5.7887120120000003E-2</v>
      </c>
      <c r="S268" s="155">
        <v>0.4963396779</v>
      </c>
      <c r="T268" s="156">
        <v>0.45241581260000002</v>
      </c>
      <c r="U268" s="156">
        <v>0</v>
      </c>
      <c r="V268" s="156">
        <v>0</v>
      </c>
      <c r="W268" s="156">
        <v>1.464128843E-2</v>
      </c>
      <c r="X268" s="156">
        <v>0</v>
      </c>
      <c r="Y268" s="157">
        <v>3.6603221079999998E-2</v>
      </c>
      <c r="Z268" s="158">
        <v>0.49194729139999999</v>
      </c>
      <c r="AA268" s="156">
        <v>0.44802342610000001</v>
      </c>
      <c r="AB268" s="156">
        <v>0</v>
      </c>
      <c r="AC268" s="156">
        <v>0</v>
      </c>
      <c r="AD268" s="156">
        <v>2.6354319179999999E-2</v>
      </c>
      <c r="AE268" s="156">
        <v>0</v>
      </c>
      <c r="AF268" s="159">
        <v>3.3674963400000001E-2</v>
      </c>
      <c r="AG268" s="155">
        <v>0.41569282140000002</v>
      </c>
      <c r="AH268" s="156">
        <v>0</v>
      </c>
      <c r="AI268" s="156">
        <v>0</v>
      </c>
      <c r="AJ268" s="156">
        <v>2.3372287150000001E-2</v>
      </c>
      <c r="AK268" s="156">
        <v>0.20701168610000001</v>
      </c>
      <c r="AL268" s="156">
        <v>0.24707846410000001</v>
      </c>
      <c r="AM268" s="157">
        <v>0.1068447412</v>
      </c>
      <c r="AN268" s="158">
        <v>0.43739565940000003</v>
      </c>
      <c r="AO268" s="156">
        <v>0</v>
      </c>
      <c r="AP268" s="156">
        <v>0</v>
      </c>
      <c r="AQ268" s="156">
        <v>0</v>
      </c>
      <c r="AR268" s="156">
        <v>0.23205342239999999</v>
      </c>
      <c r="AS268" s="156">
        <v>0.2370617696</v>
      </c>
      <c r="AT268" s="159">
        <v>9.348914858E-2</v>
      </c>
    </row>
    <row r="269" spans="1:46" ht="12.75">
      <c r="A269" s="67" t="s">
        <v>8</v>
      </c>
      <c r="B269" s="67" t="s">
        <v>587</v>
      </c>
      <c r="C269" s="67" t="s">
        <v>599</v>
      </c>
      <c r="D269" s="67" t="s">
        <v>599</v>
      </c>
      <c r="E269" s="155">
        <v>0.71311475410000003</v>
      </c>
      <c r="F269" s="156">
        <v>0.32581967210000001</v>
      </c>
      <c r="G269" s="156">
        <v>4.0983606559999997E-3</v>
      </c>
      <c r="H269" s="156">
        <v>5.1229508199999996E-3</v>
      </c>
      <c r="I269" s="156">
        <v>0</v>
      </c>
      <c r="J269" s="156">
        <v>0</v>
      </c>
      <c r="K269" s="157">
        <v>4.8155737699999999E-2</v>
      </c>
      <c r="L269" s="158">
        <v>0.30635245900000002</v>
      </c>
      <c r="M269" s="156">
        <v>0.61065573770000003</v>
      </c>
      <c r="N269" s="156">
        <v>1.0245901639999999E-2</v>
      </c>
      <c r="O269" s="156">
        <v>0</v>
      </c>
      <c r="P269" s="156">
        <v>0</v>
      </c>
      <c r="Q269" s="156">
        <v>0</v>
      </c>
      <c r="R269" s="159">
        <v>7.2745901639999999E-2</v>
      </c>
      <c r="S269" s="155">
        <v>0.46218487390000002</v>
      </c>
      <c r="T269" s="156">
        <v>0.47058823529999999</v>
      </c>
      <c r="U269" s="156">
        <v>0</v>
      </c>
      <c r="V269" s="156">
        <v>0</v>
      </c>
      <c r="W269" s="156">
        <v>5.6022408960000004E-3</v>
      </c>
      <c r="X269" s="156">
        <v>0</v>
      </c>
      <c r="Y269" s="157">
        <v>6.1624649859999998E-2</v>
      </c>
      <c r="Z269" s="158">
        <v>0.43697478989999999</v>
      </c>
      <c r="AA269" s="156">
        <v>0.47338935570000001</v>
      </c>
      <c r="AB269" s="156">
        <v>0</v>
      </c>
      <c r="AC269" s="156">
        <v>0</v>
      </c>
      <c r="AD269" s="156">
        <v>3.3613445380000002E-2</v>
      </c>
      <c r="AE269" s="156">
        <v>0</v>
      </c>
      <c r="AF269" s="159">
        <v>5.6022408959999999E-2</v>
      </c>
      <c r="AG269" s="155">
        <v>0.47546012269999999</v>
      </c>
      <c r="AH269" s="156">
        <v>0</v>
      </c>
      <c r="AI269" s="156">
        <v>0</v>
      </c>
      <c r="AJ269" s="156">
        <v>2.3006134970000001E-2</v>
      </c>
      <c r="AK269" s="156">
        <v>0.18865030669999999</v>
      </c>
      <c r="AL269" s="156">
        <v>0.25306748470000001</v>
      </c>
      <c r="AM269" s="157">
        <v>5.9815950919999999E-2</v>
      </c>
      <c r="AN269" s="158">
        <v>0.47546012269999999</v>
      </c>
      <c r="AO269" s="156">
        <v>0</v>
      </c>
      <c r="AP269" s="156">
        <v>0</v>
      </c>
      <c r="AQ269" s="156">
        <v>0</v>
      </c>
      <c r="AR269" s="156">
        <v>0.2009202454</v>
      </c>
      <c r="AS269" s="156">
        <v>0.25460122699999999</v>
      </c>
      <c r="AT269" s="159">
        <v>6.9018404909999997E-2</v>
      </c>
    </row>
    <row r="270" spans="1:46" ht="12.75">
      <c r="A270" s="67" t="s">
        <v>8</v>
      </c>
      <c r="B270" s="67" t="s">
        <v>587</v>
      </c>
      <c r="C270" s="67" t="s">
        <v>602</v>
      </c>
      <c r="D270" s="67" t="s">
        <v>602</v>
      </c>
      <c r="E270" s="155">
        <v>0.60690789469999995</v>
      </c>
      <c r="F270" s="156">
        <v>0.43421052630000001</v>
      </c>
      <c r="G270" s="156">
        <v>3.8925438600000001E-2</v>
      </c>
      <c r="H270" s="156">
        <v>8.2236842110000007E-3</v>
      </c>
      <c r="I270" s="156">
        <v>0</v>
      </c>
      <c r="J270" s="156">
        <v>0</v>
      </c>
      <c r="K270" s="157">
        <v>8.8267543860000006E-2</v>
      </c>
      <c r="L270" s="158">
        <v>0.40241228070000001</v>
      </c>
      <c r="M270" s="156">
        <v>0.5</v>
      </c>
      <c r="N270" s="156">
        <v>3.8377192980000002E-2</v>
      </c>
      <c r="O270" s="156">
        <v>0</v>
      </c>
      <c r="P270" s="156">
        <v>0</v>
      </c>
      <c r="Q270" s="156">
        <v>0</v>
      </c>
      <c r="R270" s="159">
        <v>5.9210526319999998E-2</v>
      </c>
      <c r="S270" s="155">
        <v>0.2982885086</v>
      </c>
      <c r="T270" s="156">
        <v>0.54217603910000001</v>
      </c>
      <c r="U270" s="156">
        <v>0</v>
      </c>
      <c r="V270" s="156">
        <v>0</v>
      </c>
      <c r="W270" s="156">
        <v>2.2004889980000001E-2</v>
      </c>
      <c r="X270" s="156">
        <v>0</v>
      </c>
      <c r="Y270" s="157">
        <v>0.13753056229999999</v>
      </c>
      <c r="Z270" s="158">
        <v>0.27261613689999997</v>
      </c>
      <c r="AA270" s="156">
        <v>0.52444987779999996</v>
      </c>
      <c r="AB270" s="156">
        <v>0</v>
      </c>
      <c r="AC270" s="156">
        <v>0</v>
      </c>
      <c r="AD270" s="156">
        <v>3.9119804399999999E-2</v>
      </c>
      <c r="AE270" s="156">
        <v>0</v>
      </c>
      <c r="AF270" s="159">
        <v>0.16381418089999999</v>
      </c>
      <c r="AG270" s="155">
        <v>0.1799485861</v>
      </c>
      <c r="AH270" s="156">
        <v>0</v>
      </c>
      <c r="AI270" s="156">
        <v>0</v>
      </c>
      <c r="AJ270" s="156">
        <v>1.285347044E-2</v>
      </c>
      <c r="AK270" s="156">
        <v>0.3553984576</v>
      </c>
      <c r="AL270" s="156">
        <v>0.34832904879999999</v>
      </c>
      <c r="AM270" s="157">
        <v>0.103470437</v>
      </c>
      <c r="AN270" s="158">
        <v>0.1818766067</v>
      </c>
      <c r="AO270" s="156">
        <v>0</v>
      </c>
      <c r="AP270" s="156">
        <v>0</v>
      </c>
      <c r="AQ270" s="156">
        <v>0</v>
      </c>
      <c r="AR270" s="156">
        <v>0.3553984576</v>
      </c>
      <c r="AS270" s="156">
        <v>0.35411311049999999</v>
      </c>
      <c r="AT270" s="159">
        <v>0.1086118252</v>
      </c>
    </row>
    <row r="271" spans="1:46" ht="12.75">
      <c r="A271" s="67" t="s">
        <v>8</v>
      </c>
      <c r="B271" s="67" t="s">
        <v>587</v>
      </c>
      <c r="C271" s="67" t="s">
        <v>604</v>
      </c>
      <c r="D271" s="67" t="s">
        <v>604</v>
      </c>
      <c r="E271" s="155">
        <v>0.61531365309999997</v>
      </c>
      <c r="F271" s="156">
        <v>0.80904059039999998</v>
      </c>
      <c r="G271" s="156">
        <v>9.2250922509999993E-3</v>
      </c>
      <c r="H271" s="156">
        <v>9.2250922510000001E-4</v>
      </c>
      <c r="I271" s="156">
        <v>0</v>
      </c>
      <c r="J271" s="156">
        <v>0</v>
      </c>
      <c r="K271" s="157">
        <v>0.434501845</v>
      </c>
      <c r="L271" s="158">
        <v>0.47693726939999997</v>
      </c>
      <c r="M271" s="156">
        <v>0.4926199262</v>
      </c>
      <c r="N271" s="156">
        <v>5.5350553510000004E-3</v>
      </c>
      <c r="O271" s="156">
        <v>0</v>
      </c>
      <c r="P271" s="156">
        <v>0</v>
      </c>
      <c r="Q271" s="156">
        <v>0</v>
      </c>
      <c r="R271" s="159">
        <v>2.490774908E-2</v>
      </c>
      <c r="S271" s="155">
        <v>0.40161453079999998</v>
      </c>
      <c r="T271" s="156">
        <v>0.55196770939999995</v>
      </c>
      <c r="U271" s="156">
        <v>0</v>
      </c>
      <c r="V271" s="156">
        <v>0</v>
      </c>
      <c r="W271" s="156">
        <v>1.2108980829999999E-2</v>
      </c>
      <c r="X271" s="156">
        <v>0</v>
      </c>
      <c r="Y271" s="157">
        <v>3.4308779009999998E-2</v>
      </c>
      <c r="Z271" s="158">
        <v>0.3824419778</v>
      </c>
      <c r="AA271" s="156">
        <v>0.55196770939999995</v>
      </c>
      <c r="AB271" s="156">
        <v>0</v>
      </c>
      <c r="AC271" s="156">
        <v>0</v>
      </c>
      <c r="AD271" s="156">
        <v>2.5227043389999999E-2</v>
      </c>
      <c r="AE271" s="156">
        <v>0</v>
      </c>
      <c r="AF271" s="159">
        <v>4.036326942E-2</v>
      </c>
      <c r="AG271" s="155">
        <v>0.26136363639999999</v>
      </c>
      <c r="AH271" s="156">
        <v>0</v>
      </c>
      <c r="AI271" s="156">
        <v>0</v>
      </c>
      <c r="AJ271" s="156">
        <v>2.02020202E-2</v>
      </c>
      <c r="AK271" s="156">
        <v>0.37878787879999998</v>
      </c>
      <c r="AL271" s="156">
        <v>0.3017676768</v>
      </c>
      <c r="AM271" s="157">
        <v>3.7878787880000001E-2</v>
      </c>
      <c r="AN271" s="158">
        <v>0.25505050509999999</v>
      </c>
      <c r="AO271" s="156">
        <v>0</v>
      </c>
      <c r="AP271" s="156">
        <v>0</v>
      </c>
      <c r="AQ271" s="156">
        <v>0</v>
      </c>
      <c r="AR271" s="156">
        <v>0.37626262630000001</v>
      </c>
      <c r="AS271" s="156">
        <v>0.2954545455</v>
      </c>
      <c r="AT271" s="159">
        <v>7.3232323229999993E-2</v>
      </c>
    </row>
    <row r="272" spans="1:46" ht="12.75">
      <c r="A272" s="67" t="s">
        <v>8</v>
      </c>
      <c r="B272" s="67" t="s">
        <v>587</v>
      </c>
      <c r="C272" s="67" t="s">
        <v>605</v>
      </c>
      <c r="D272" s="67" t="s">
        <v>605</v>
      </c>
      <c r="E272" s="155">
        <v>0.64960182030000002</v>
      </c>
      <c r="F272" s="156">
        <v>0.54152445959999995</v>
      </c>
      <c r="G272" s="156">
        <v>3.754266212E-2</v>
      </c>
      <c r="H272" s="156">
        <v>2.2753128559999999E-3</v>
      </c>
      <c r="I272" s="156">
        <v>0</v>
      </c>
      <c r="J272" s="156">
        <v>0</v>
      </c>
      <c r="K272" s="157">
        <v>0.2309442548</v>
      </c>
      <c r="L272" s="158">
        <v>0.30227272729999999</v>
      </c>
      <c r="M272" s="156">
        <v>0.6056818182</v>
      </c>
      <c r="N272" s="156">
        <v>3.5227272730000002E-2</v>
      </c>
      <c r="O272" s="156">
        <v>0</v>
      </c>
      <c r="P272" s="156">
        <v>0</v>
      </c>
      <c r="Q272" s="156">
        <v>0</v>
      </c>
      <c r="R272" s="159">
        <v>5.6818181820000001E-2</v>
      </c>
      <c r="S272" s="155">
        <v>0.33986928100000002</v>
      </c>
      <c r="T272" s="156">
        <v>0.4989106754</v>
      </c>
      <c r="U272" s="156">
        <v>0</v>
      </c>
      <c r="V272" s="156">
        <v>0</v>
      </c>
      <c r="W272" s="156">
        <v>5.0108932459999998E-2</v>
      </c>
      <c r="X272" s="156">
        <v>0</v>
      </c>
      <c r="Y272" s="157">
        <v>0.11111111110000001</v>
      </c>
      <c r="Z272" s="158">
        <v>0.30065359479999998</v>
      </c>
      <c r="AA272" s="156">
        <v>0.51416121999999997</v>
      </c>
      <c r="AB272" s="156">
        <v>0</v>
      </c>
      <c r="AC272" s="156">
        <v>0</v>
      </c>
      <c r="AD272" s="156">
        <v>0.1023965142</v>
      </c>
      <c r="AE272" s="156">
        <v>0</v>
      </c>
      <c r="AF272" s="159">
        <v>8.2788671019999996E-2</v>
      </c>
      <c r="AG272" s="155">
        <v>0.47242206240000001</v>
      </c>
      <c r="AH272" s="156">
        <v>0</v>
      </c>
      <c r="AI272" s="156">
        <v>0</v>
      </c>
      <c r="AJ272" s="156">
        <v>4.0767386090000003E-2</v>
      </c>
      <c r="AK272" s="156">
        <v>0.13669064750000001</v>
      </c>
      <c r="AL272" s="156">
        <v>0.2230215827</v>
      </c>
      <c r="AM272" s="157">
        <v>0.12709832130000001</v>
      </c>
      <c r="AN272" s="158">
        <v>0.51318944840000003</v>
      </c>
      <c r="AO272" s="156">
        <v>0</v>
      </c>
      <c r="AP272" s="156">
        <v>0</v>
      </c>
      <c r="AQ272" s="156">
        <v>0</v>
      </c>
      <c r="AR272" s="156">
        <v>0.170263789</v>
      </c>
      <c r="AS272" s="156">
        <v>0.17745803360000001</v>
      </c>
      <c r="AT272" s="159">
        <v>0.13908872899999999</v>
      </c>
    </row>
    <row r="273" spans="1:46" ht="12.75">
      <c r="A273" s="67" t="s">
        <v>8</v>
      </c>
      <c r="B273" s="67" t="s">
        <v>587</v>
      </c>
      <c r="C273" s="67" t="s">
        <v>606</v>
      </c>
      <c r="D273" s="67" t="s">
        <v>606</v>
      </c>
      <c r="E273" s="155">
        <v>0.19218910589999999</v>
      </c>
      <c r="F273" s="156">
        <v>0.81192189110000001</v>
      </c>
      <c r="G273" s="156">
        <v>1.541623844E-2</v>
      </c>
      <c r="H273" s="156">
        <v>3.0832476880000002E-3</v>
      </c>
      <c r="I273" s="156">
        <v>0</v>
      </c>
      <c r="J273" s="156">
        <v>0</v>
      </c>
      <c r="K273" s="157">
        <v>2.2610483040000001E-2</v>
      </c>
      <c r="L273" s="158">
        <v>0.51387461459999995</v>
      </c>
      <c r="M273" s="156">
        <v>0.43268242550000002</v>
      </c>
      <c r="N273" s="156">
        <v>1.4388489210000001E-2</v>
      </c>
      <c r="O273" s="156">
        <v>0</v>
      </c>
      <c r="P273" s="156">
        <v>0</v>
      </c>
      <c r="Q273" s="156">
        <v>0</v>
      </c>
      <c r="R273" s="159">
        <v>3.9054470709999997E-2</v>
      </c>
      <c r="S273" s="155">
        <v>0.4441687345</v>
      </c>
      <c r="T273" s="156">
        <v>0.4801488834</v>
      </c>
      <c r="U273" s="156">
        <v>0</v>
      </c>
      <c r="V273" s="156">
        <v>0</v>
      </c>
      <c r="W273" s="156">
        <v>1.3647642680000001E-2</v>
      </c>
      <c r="X273" s="156">
        <v>0</v>
      </c>
      <c r="Y273" s="157">
        <v>6.2034739450000001E-2</v>
      </c>
      <c r="Z273" s="158">
        <v>0.45657568240000002</v>
      </c>
      <c r="AA273" s="156">
        <v>0.48511166249999998</v>
      </c>
      <c r="AB273" s="156">
        <v>0</v>
      </c>
      <c r="AC273" s="156">
        <v>0</v>
      </c>
      <c r="AD273" s="156">
        <v>2.4813895780000001E-2</v>
      </c>
      <c r="AE273" s="156">
        <v>0</v>
      </c>
      <c r="AF273" s="159">
        <v>3.3498759310000001E-2</v>
      </c>
      <c r="AG273" s="155">
        <v>0.47517730499999999</v>
      </c>
      <c r="AH273" s="156">
        <v>0</v>
      </c>
      <c r="AI273" s="156">
        <v>0</v>
      </c>
      <c r="AJ273" s="156">
        <v>2.8368794329999999E-2</v>
      </c>
      <c r="AK273" s="156">
        <v>0.2354609929</v>
      </c>
      <c r="AL273" s="156">
        <v>0.12765957450000001</v>
      </c>
      <c r="AM273" s="157">
        <v>0.1333333333</v>
      </c>
      <c r="AN273" s="158">
        <v>0.49078014180000001</v>
      </c>
      <c r="AO273" s="156">
        <v>0</v>
      </c>
      <c r="AP273" s="156">
        <v>0</v>
      </c>
      <c r="AQ273" s="156">
        <v>0</v>
      </c>
      <c r="AR273" s="156">
        <v>0.24113475179999999</v>
      </c>
      <c r="AS273" s="156">
        <v>0.12907801420000001</v>
      </c>
      <c r="AT273" s="159">
        <v>0.13900709219999999</v>
      </c>
    </row>
    <row r="274" spans="1:46" ht="12.75">
      <c r="A274" s="67" t="s">
        <v>8</v>
      </c>
      <c r="B274" s="67" t="s">
        <v>587</v>
      </c>
      <c r="C274" s="67" t="s">
        <v>607</v>
      </c>
      <c r="D274" s="67" t="s">
        <v>607</v>
      </c>
      <c r="E274" s="155">
        <v>0.63096500529999999</v>
      </c>
      <c r="F274" s="156">
        <v>0.41516436899999998</v>
      </c>
      <c r="G274" s="156">
        <v>1.8557794270000001E-2</v>
      </c>
      <c r="H274" s="156">
        <v>6.3626723220000002E-3</v>
      </c>
      <c r="I274" s="156">
        <v>0</v>
      </c>
      <c r="J274" s="156">
        <v>0</v>
      </c>
      <c r="K274" s="157">
        <v>7.1049840929999997E-2</v>
      </c>
      <c r="L274" s="158">
        <v>0.41463414630000001</v>
      </c>
      <c r="M274" s="156">
        <v>0.52545068930000005</v>
      </c>
      <c r="N274" s="156">
        <v>1.6967126190000001E-2</v>
      </c>
      <c r="O274" s="156">
        <v>0</v>
      </c>
      <c r="P274" s="156">
        <v>0</v>
      </c>
      <c r="Q274" s="156">
        <v>0</v>
      </c>
      <c r="R274" s="159">
        <v>4.2948038180000002E-2</v>
      </c>
      <c r="S274" s="155">
        <v>0.25845410629999999</v>
      </c>
      <c r="T274" s="156">
        <v>0.55132850239999998</v>
      </c>
      <c r="U274" s="156">
        <v>0</v>
      </c>
      <c r="V274" s="156">
        <v>0</v>
      </c>
      <c r="W274" s="156">
        <v>6.4009661839999996E-2</v>
      </c>
      <c r="X274" s="156">
        <v>0</v>
      </c>
      <c r="Y274" s="157">
        <v>0.1262077295</v>
      </c>
      <c r="Z274" s="158">
        <v>0.23852656999999999</v>
      </c>
      <c r="AA274" s="156">
        <v>0.51932367150000003</v>
      </c>
      <c r="AB274" s="156">
        <v>0</v>
      </c>
      <c r="AC274" s="156">
        <v>0</v>
      </c>
      <c r="AD274" s="156">
        <v>7.4275362319999996E-2</v>
      </c>
      <c r="AE274" s="156">
        <v>0</v>
      </c>
      <c r="AF274" s="159">
        <v>0.16787439609999999</v>
      </c>
      <c r="AG274" s="155">
        <v>0.28982597049999997</v>
      </c>
      <c r="AH274" s="156">
        <v>0</v>
      </c>
      <c r="AI274" s="156">
        <v>0</v>
      </c>
      <c r="AJ274" s="156">
        <v>2.878179384E-2</v>
      </c>
      <c r="AK274" s="156">
        <v>0.32128514060000002</v>
      </c>
      <c r="AL274" s="156">
        <v>0.23828647929999999</v>
      </c>
      <c r="AM274" s="157">
        <v>0.1218206158</v>
      </c>
      <c r="AN274" s="158">
        <v>0.31927710840000001</v>
      </c>
      <c r="AO274" s="156">
        <v>0</v>
      </c>
      <c r="AP274" s="156">
        <v>0</v>
      </c>
      <c r="AQ274" s="156">
        <v>0</v>
      </c>
      <c r="AR274" s="156">
        <v>0.32396251669999998</v>
      </c>
      <c r="AS274" s="156">
        <v>0.2282463186</v>
      </c>
      <c r="AT274" s="159">
        <v>0.1285140562</v>
      </c>
    </row>
    <row r="275" spans="1:46" ht="12.75">
      <c r="A275" s="67" t="s">
        <v>8</v>
      </c>
      <c r="B275" s="67" t="s">
        <v>587</v>
      </c>
      <c r="C275" s="67" t="s">
        <v>609</v>
      </c>
      <c r="D275" s="67" t="s">
        <v>609</v>
      </c>
      <c r="E275" s="155">
        <v>0.17564870260000001</v>
      </c>
      <c r="F275" s="156">
        <v>0.48203592810000001</v>
      </c>
      <c r="G275" s="156">
        <v>7.5848303389999996E-2</v>
      </c>
      <c r="H275" s="156">
        <v>3.9920159680000003E-3</v>
      </c>
      <c r="I275" s="156">
        <v>0</v>
      </c>
      <c r="J275" s="156">
        <v>0</v>
      </c>
      <c r="K275" s="157">
        <v>0.26247504989999998</v>
      </c>
      <c r="L275" s="158">
        <v>0.43912175650000002</v>
      </c>
      <c r="M275" s="156">
        <v>0.44211576850000001</v>
      </c>
      <c r="N275" s="156">
        <v>6.8862275449999996E-2</v>
      </c>
      <c r="O275" s="156">
        <v>0</v>
      </c>
      <c r="P275" s="156">
        <v>0</v>
      </c>
      <c r="Q275" s="156">
        <v>0</v>
      </c>
      <c r="R275" s="159">
        <v>4.99001996E-2</v>
      </c>
      <c r="S275" s="155">
        <v>0.40398740820000001</v>
      </c>
      <c r="T275" s="156">
        <v>0.48793284370000001</v>
      </c>
      <c r="U275" s="156">
        <v>0</v>
      </c>
      <c r="V275" s="156">
        <v>0</v>
      </c>
      <c r="W275" s="156">
        <v>4.0923399790000002E-2</v>
      </c>
      <c r="X275" s="156">
        <v>0</v>
      </c>
      <c r="Y275" s="157">
        <v>6.7156348369999994E-2</v>
      </c>
      <c r="Z275" s="158">
        <v>0.3997901364</v>
      </c>
      <c r="AA275" s="156">
        <v>0.47429171040000001</v>
      </c>
      <c r="AB275" s="156">
        <v>0</v>
      </c>
      <c r="AC275" s="156">
        <v>0</v>
      </c>
      <c r="AD275" s="156">
        <v>5.876180483E-2</v>
      </c>
      <c r="AE275" s="156">
        <v>0</v>
      </c>
      <c r="AF275" s="159">
        <v>6.7156348369999994E-2</v>
      </c>
      <c r="AG275" s="155">
        <v>0.4124293785</v>
      </c>
      <c r="AH275" s="156">
        <v>0</v>
      </c>
      <c r="AI275" s="156">
        <v>0</v>
      </c>
      <c r="AJ275" s="156">
        <v>2.711864407E-2</v>
      </c>
      <c r="AK275" s="156">
        <v>0.26101694920000001</v>
      </c>
      <c r="AL275" s="156">
        <v>0.22259887010000001</v>
      </c>
      <c r="AM275" s="157">
        <v>7.6836158190000003E-2</v>
      </c>
      <c r="AN275" s="158">
        <v>0.44983089059999998</v>
      </c>
      <c r="AO275" s="156">
        <v>0</v>
      </c>
      <c r="AP275" s="156">
        <v>0</v>
      </c>
      <c r="AQ275" s="156">
        <v>0</v>
      </c>
      <c r="AR275" s="156">
        <v>0.26944757609999997</v>
      </c>
      <c r="AS275" s="156">
        <v>0.2187147689</v>
      </c>
      <c r="AT275" s="159">
        <v>6.2006764370000002E-2</v>
      </c>
    </row>
    <row r="276" spans="1:46" ht="12.75">
      <c r="A276" s="67" t="s">
        <v>8</v>
      </c>
      <c r="B276" s="67" t="s">
        <v>587</v>
      </c>
      <c r="C276" s="67" t="s">
        <v>610</v>
      </c>
      <c r="D276" s="67" t="s">
        <v>610</v>
      </c>
      <c r="E276" s="155">
        <v>0.1019035533</v>
      </c>
      <c r="F276" s="156">
        <v>6.4720812180000004E-2</v>
      </c>
      <c r="G276" s="156">
        <v>1.52284264E-2</v>
      </c>
      <c r="H276" s="156">
        <v>6.345177665E-3</v>
      </c>
      <c r="I276" s="156">
        <v>0</v>
      </c>
      <c r="J276" s="156">
        <v>0</v>
      </c>
      <c r="K276" s="157">
        <v>0.10532994919999999</v>
      </c>
      <c r="L276" s="158">
        <v>0.53045685279999999</v>
      </c>
      <c r="M276" s="156">
        <v>0.38071065990000003</v>
      </c>
      <c r="N276" s="156">
        <v>8.883248731E-3</v>
      </c>
      <c r="O276" s="156">
        <v>0</v>
      </c>
      <c r="P276" s="156">
        <v>0</v>
      </c>
      <c r="Q276" s="156">
        <v>0</v>
      </c>
      <c r="R276" s="159">
        <v>7.9949238579999998E-2</v>
      </c>
      <c r="S276" s="155">
        <v>0.46626984129999999</v>
      </c>
      <c r="T276" s="156">
        <v>0.48611111109999999</v>
      </c>
      <c r="U276" s="156">
        <v>0</v>
      </c>
      <c r="V276" s="156">
        <v>0</v>
      </c>
      <c r="W276" s="156">
        <v>1.587301587E-2</v>
      </c>
      <c r="X276" s="156">
        <v>0</v>
      </c>
      <c r="Y276" s="157">
        <v>3.1746031750000001E-2</v>
      </c>
      <c r="Z276" s="158">
        <v>0.44642857139999997</v>
      </c>
      <c r="AA276" s="156">
        <v>0.50198412699999995</v>
      </c>
      <c r="AB276" s="156">
        <v>0</v>
      </c>
      <c r="AC276" s="156">
        <v>0</v>
      </c>
      <c r="AD276" s="156">
        <v>3.1746031750000001E-2</v>
      </c>
      <c r="AE276" s="156">
        <v>0</v>
      </c>
      <c r="AF276" s="159">
        <v>1.9841269839999998E-2</v>
      </c>
      <c r="AG276" s="155">
        <v>0.33808553969999999</v>
      </c>
      <c r="AH276" s="156">
        <v>0</v>
      </c>
      <c r="AI276" s="156">
        <v>0</v>
      </c>
      <c r="AJ276" s="156">
        <v>2.647657841E-2</v>
      </c>
      <c r="AK276" s="156">
        <v>0.3727087576</v>
      </c>
      <c r="AL276" s="156">
        <v>0.16700611000000001</v>
      </c>
      <c r="AM276" s="157">
        <v>9.5723014260000003E-2</v>
      </c>
      <c r="AN276" s="158">
        <v>0.3482688391</v>
      </c>
      <c r="AO276" s="156">
        <v>0</v>
      </c>
      <c r="AP276" s="156">
        <v>0</v>
      </c>
      <c r="AQ276" s="156">
        <v>0</v>
      </c>
      <c r="AR276" s="156">
        <v>0.38289205700000001</v>
      </c>
      <c r="AS276" s="156">
        <v>0.1608961303</v>
      </c>
      <c r="AT276" s="159">
        <v>0.1079429735</v>
      </c>
    </row>
    <row r="277" spans="1:46" ht="12.75">
      <c r="A277" s="67" t="s">
        <v>8</v>
      </c>
      <c r="B277" s="67" t="s">
        <v>587</v>
      </c>
      <c r="C277" s="67" t="s">
        <v>611</v>
      </c>
      <c r="D277" s="67" t="s">
        <v>611</v>
      </c>
      <c r="E277" s="155">
        <v>0.3922369765</v>
      </c>
      <c r="F277" s="156">
        <v>0.41062308479999998</v>
      </c>
      <c r="G277" s="156">
        <v>1.940755873E-2</v>
      </c>
      <c r="H277" s="156">
        <v>8.1716036770000007E-3</v>
      </c>
      <c r="I277" s="156">
        <v>0</v>
      </c>
      <c r="J277" s="156">
        <v>0</v>
      </c>
      <c r="K277" s="157">
        <v>0.16956077629999999</v>
      </c>
      <c r="L277" s="158">
        <v>0.4902962206</v>
      </c>
      <c r="M277" s="156">
        <v>0.44943820220000003</v>
      </c>
      <c r="N277" s="156">
        <v>1.736465781E-2</v>
      </c>
      <c r="O277" s="156">
        <v>0</v>
      </c>
      <c r="P277" s="156">
        <v>0</v>
      </c>
      <c r="Q277" s="156">
        <v>0</v>
      </c>
      <c r="R277" s="159">
        <v>4.2900919310000001E-2</v>
      </c>
      <c r="S277" s="155">
        <v>0.52050919380000005</v>
      </c>
      <c r="T277" s="156">
        <v>0.4158415842</v>
      </c>
      <c r="U277" s="156">
        <v>0</v>
      </c>
      <c r="V277" s="156">
        <v>0</v>
      </c>
      <c r="W277" s="156">
        <v>2.545968883E-2</v>
      </c>
      <c r="X277" s="156">
        <v>0</v>
      </c>
      <c r="Y277" s="157">
        <v>3.8189533239999997E-2</v>
      </c>
      <c r="Z277" s="158">
        <v>0.495049505</v>
      </c>
      <c r="AA277" s="156">
        <v>0.42149929279999998</v>
      </c>
      <c r="AB277" s="156">
        <v>0</v>
      </c>
      <c r="AC277" s="156">
        <v>0</v>
      </c>
      <c r="AD277" s="156">
        <v>5.6577086280000001E-2</v>
      </c>
      <c r="AE277" s="156">
        <v>0</v>
      </c>
      <c r="AF277" s="159">
        <v>2.6874115979999998E-2</v>
      </c>
      <c r="AG277" s="155">
        <v>0.4151260504</v>
      </c>
      <c r="AH277" s="156">
        <v>0</v>
      </c>
      <c r="AI277" s="156">
        <v>0</v>
      </c>
      <c r="AJ277" s="156">
        <v>2.6890756299999999E-2</v>
      </c>
      <c r="AK277" s="156">
        <v>0.3579831933</v>
      </c>
      <c r="AL277" s="156">
        <v>0.1193277311</v>
      </c>
      <c r="AM277" s="157">
        <v>8.0672268909999997E-2</v>
      </c>
      <c r="AN277" s="158">
        <v>0.43697478989999999</v>
      </c>
      <c r="AO277" s="156">
        <v>0</v>
      </c>
      <c r="AP277" s="156">
        <v>0</v>
      </c>
      <c r="AQ277" s="156">
        <v>0</v>
      </c>
      <c r="AR277" s="156">
        <v>0.37142857140000002</v>
      </c>
      <c r="AS277" s="156">
        <v>0.1159663866</v>
      </c>
      <c r="AT277" s="159">
        <v>7.5630252100000003E-2</v>
      </c>
    </row>
    <row r="278" spans="1:46" ht="12.75">
      <c r="A278" s="67" t="s">
        <v>8</v>
      </c>
      <c r="B278" s="67" t="s">
        <v>587</v>
      </c>
      <c r="C278" s="67" t="s">
        <v>612</v>
      </c>
      <c r="D278" s="67" t="s">
        <v>612</v>
      </c>
      <c r="E278" s="155">
        <v>0.70670391060000004</v>
      </c>
      <c r="F278" s="156">
        <v>0.47905027929999999</v>
      </c>
      <c r="G278" s="156">
        <v>7.3324022350000004E-3</v>
      </c>
      <c r="H278" s="156">
        <v>4.1899441339999996E-3</v>
      </c>
      <c r="I278" s="156">
        <v>0</v>
      </c>
      <c r="J278" s="156">
        <v>0</v>
      </c>
      <c r="K278" s="157">
        <v>0.1972765363</v>
      </c>
      <c r="L278" s="158">
        <v>0.48009776539999999</v>
      </c>
      <c r="M278" s="156">
        <v>0.4570530726</v>
      </c>
      <c r="N278" s="156">
        <v>5.2374301679999997E-3</v>
      </c>
      <c r="O278" s="156">
        <v>0</v>
      </c>
      <c r="P278" s="156">
        <v>0</v>
      </c>
      <c r="Q278" s="156">
        <v>0</v>
      </c>
      <c r="R278" s="159">
        <v>5.7611731839999999E-2</v>
      </c>
      <c r="S278" s="155">
        <v>0.4589041096</v>
      </c>
      <c r="T278" s="156">
        <v>0.44383561640000002</v>
      </c>
      <c r="U278" s="156">
        <v>0</v>
      </c>
      <c r="V278" s="156">
        <v>0</v>
      </c>
      <c r="W278" s="156">
        <v>3.0479452050000001E-2</v>
      </c>
      <c r="X278" s="156">
        <v>0</v>
      </c>
      <c r="Y278" s="157">
        <v>6.6780821919999997E-2</v>
      </c>
      <c r="Z278" s="158">
        <v>0.42226027399999999</v>
      </c>
      <c r="AA278" s="156">
        <v>0.44931506850000003</v>
      </c>
      <c r="AB278" s="156">
        <v>0</v>
      </c>
      <c r="AC278" s="156">
        <v>0</v>
      </c>
      <c r="AD278" s="156">
        <v>4.7945205480000003E-2</v>
      </c>
      <c r="AE278" s="156">
        <v>0</v>
      </c>
      <c r="AF278" s="159">
        <v>8.0479452049999997E-2</v>
      </c>
      <c r="AG278" s="155">
        <v>0.44203961850000001</v>
      </c>
      <c r="AH278" s="156">
        <v>0</v>
      </c>
      <c r="AI278" s="156">
        <v>0</v>
      </c>
      <c r="AJ278" s="156">
        <v>2.787967718E-2</v>
      </c>
      <c r="AK278" s="156">
        <v>0.3888481291</v>
      </c>
      <c r="AL278" s="156">
        <v>7.4834922959999994E-2</v>
      </c>
      <c r="AM278" s="157">
        <v>6.6397652239999994E-2</v>
      </c>
      <c r="AN278" s="158">
        <v>0.46187683280000003</v>
      </c>
      <c r="AO278" s="156">
        <v>0</v>
      </c>
      <c r="AP278" s="156">
        <v>0</v>
      </c>
      <c r="AQ278" s="156">
        <v>0</v>
      </c>
      <c r="AR278" s="156">
        <v>0.37609970669999998</v>
      </c>
      <c r="AS278" s="156">
        <v>7.3680351909999997E-2</v>
      </c>
      <c r="AT278" s="159">
        <v>8.8343108500000003E-2</v>
      </c>
    </row>
    <row r="279" spans="1:46" ht="12.75">
      <c r="A279" s="67" t="s">
        <v>8</v>
      </c>
      <c r="B279" s="67" t="s">
        <v>587</v>
      </c>
      <c r="C279" s="67" t="s">
        <v>613</v>
      </c>
      <c r="D279" s="67" t="s">
        <v>613</v>
      </c>
      <c r="E279" s="155">
        <v>0.41353383459999998</v>
      </c>
      <c r="F279" s="156">
        <v>0.50125313279999995</v>
      </c>
      <c r="G279" s="156">
        <v>3.5087719300000001E-3</v>
      </c>
      <c r="H279" s="156">
        <v>6.0150375940000002E-3</v>
      </c>
      <c r="I279" s="156">
        <v>0</v>
      </c>
      <c r="J279" s="156">
        <v>0</v>
      </c>
      <c r="K279" s="157">
        <v>7.5689223060000005E-2</v>
      </c>
      <c r="L279" s="158">
        <v>0.33734335840000002</v>
      </c>
      <c r="M279" s="156">
        <v>0.61152882210000004</v>
      </c>
      <c r="N279" s="156">
        <v>7.5187969919999998E-3</v>
      </c>
      <c r="O279" s="156">
        <v>0</v>
      </c>
      <c r="P279" s="156">
        <v>0</v>
      </c>
      <c r="Q279" s="156">
        <v>0</v>
      </c>
      <c r="R279" s="159">
        <v>4.3609022560000002E-2</v>
      </c>
      <c r="S279" s="155">
        <v>0.18010752690000001</v>
      </c>
      <c r="T279" s="156">
        <v>0.45161290320000003</v>
      </c>
      <c r="U279" s="156">
        <v>0</v>
      </c>
      <c r="V279" s="156">
        <v>0</v>
      </c>
      <c r="W279" s="156">
        <v>0.31075268820000002</v>
      </c>
      <c r="X279" s="156">
        <v>0</v>
      </c>
      <c r="Y279" s="157">
        <v>5.7526881719999999E-2</v>
      </c>
      <c r="Z279" s="158">
        <v>0.16182795699999999</v>
      </c>
      <c r="AA279" s="156">
        <v>0.44623655909999999</v>
      </c>
      <c r="AB279" s="156">
        <v>0</v>
      </c>
      <c r="AC279" s="156">
        <v>0</v>
      </c>
      <c r="AD279" s="156">
        <v>0.34462365589999999</v>
      </c>
      <c r="AE279" s="156">
        <v>0</v>
      </c>
      <c r="AF279" s="159">
        <v>4.7311827959999997E-2</v>
      </c>
      <c r="AG279" s="155">
        <v>0.35195852529999999</v>
      </c>
      <c r="AH279" s="156">
        <v>0</v>
      </c>
      <c r="AI279" s="156">
        <v>0</v>
      </c>
      <c r="AJ279" s="156">
        <v>3.0529953919999998E-2</v>
      </c>
      <c r="AK279" s="156">
        <v>0.43202764980000002</v>
      </c>
      <c r="AL279" s="156">
        <v>8.4677419350000005E-2</v>
      </c>
      <c r="AM279" s="157">
        <v>0.1008064516</v>
      </c>
      <c r="AN279" s="158">
        <v>0.36505190310000002</v>
      </c>
      <c r="AO279" s="156">
        <v>0</v>
      </c>
      <c r="AP279" s="156">
        <v>0</v>
      </c>
      <c r="AQ279" s="156">
        <v>0</v>
      </c>
      <c r="AR279" s="156">
        <v>0.43656286039999997</v>
      </c>
      <c r="AS279" s="156">
        <v>7.9008073819999997E-2</v>
      </c>
      <c r="AT279" s="159">
        <v>0.1193771626</v>
      </c>
    </row>
    <row r="280" spans="1:46" ht="12.75">
      <c r="A280" s="67" t="s">
        <v>8</v>
      </c>
      <c r="B280" s="67" t="s">
        <v>587</v>
      </c>
      <c r="C280" s="67" t="s">
        <v>617</v>
      </c>
      <c r="D280" s="67" t="s">
        <v>617</v>
      </c>
      <c r="E280" s="155">
        <v>0.29009900989999998</v>
      </c>
      <c r="F280" s="156">
        <v>0.44554455450000002</v>
      </c>
      <c r="G280" s="156">
        <v>3.1683168320000003E-2</v>
      </c>
      <c r="H280" s="156">
        <v>0</v>
      </c>
      <c r="I280" s="156">
        <v>0</v>
      </c>
      <c r="J280" s="156">
        <v>0</v>
      </c>
      <c r="K280" s="157">
        <v>0.23267326729999999</v>
      </c>
      <c r="L280" s="158">
        <v>0.53762376239999998</v>
      </c>
      <c r="M280" s="156">
        <v>0.39702970300000001</v>
      </c>
      <c r="N280" s="156">
        <v>2.3762376240000001E-2</v>
      </c>
      <c r="O280" s="156">
        <v>0</v>
      </c>
      <c r="P280" s="156">
        <v>0</v>
      </c>
      <c r="Q280" s="156">
        <v>0</v>
      </c>
      <c r="R280" s="159">
        <v>4.1584158420000003E-2</v>
      </c>
      <c r="S280" s="155">
        <v>0.46448703489999998</v>
      </c>
      <c r="T280" s="156">
        <v>0.3404735062</v>
      </c>
      <c r="U280" s="156">
        <v>0</v>
      </c>
      <c r="V280" s="156">
        <v>0</v>
      </c>
      <c r="W280" s="156">
        <v>0.14994363020000001</v>
      </c>
      <c r="X280" s="156">
        <v>0</v>
      </c>
      <c r="Y280" s="157">
        <v>4.5095828640000002E-2</v>
      </c>
      <c r="Z280" s="158">
        <v>0.46561443070000003</v>
      </c>
      <c r="AA280" s="156">
        <v>0.34272829760000001</v>
      </c>
      <c r="AB280" s="156">
        <v>0</v>
      </c>
      <c r="AC280" s="156">
        <v>0</v>
      </c>
      <c r="AD280" s="156">
        <v>0.16910935739999999</v>
      </c>
      <c r="AE280" s="156">
        <v>0</v>
      </c>
      <c r="AF280" s="159">
        <v>2.2547914320000001E-2</v>
      </c>
      <c r="AG280" s="155">
        <v>0.44632086850000002</v>
      </c>
      <c r="AH280" s="156">
        <v>0</v>
      </c>
      <c r="AI280" s="156">
        <v>0</v>
      </c>
      <c r="AJ280" s="156">
        <v>3.1363088060000002E-2</v>
      </c>
      <c r="AK280" s="156">
        <v>0.23763570570000001</v>
      </c>
      <c r="AL280" s="156">
        <v>0.1942098914</v>
      </c>
      <c r="AM280" s="157">
        <v>9.0470446319999995E-2</v>
      </c>
      <c r="AN280" s="158">
        <v>0.46200241250000001</v>
      </c>
      <c r="AO280" s="156">
        <v>0</v>
      </c>
      <c r="AP280" s="156">
        <v>0</v>
      </c>
      <c r="AQ280" s="156">
        <v>0</v>
      </c>
      <c r="AR280" s="156">
        <v>0.24969843180000001</v>
      </c>
      <c r="AS280" s="156">
        <v>0.20265379980000001</v>
      </c>
      <c r="AT280" s="159">
        <v>8.5645355849999993E-2</v>
      </c>
    </row>
    <row r="281" spans="1:46" ht="12.75">
      <c r="A281" s="67" t="s">
        <v>8</v>
      </c>
      <c r="B281" s="67" t="s">
        <v>587</v>
      </c>
      <c r="C281" s="67" t="s">
        <v>618</v>
      </c>
      <c r="D281" s="67" t="s">
        <v>618</v>
      </c>
      <c r="E281" s="155">
        <v>0.23505154640000001</v>
      </c>
      <c r="F281" s="156">
        <v>0.56288659789999995</v>
      </c>
      <c r="G281" s="156">
        <v>3.0927835050000001E-2</v>
      </c>
      <c r="H281" s="156">
        <v>5.1546391749999997E-2</v>
      </c>
      <c r="I281" s="156">
        <v>0</v>
      </c>
      <c r="J281" s="156">
        <v>0</v>
      </c>
      <c r="K281" s="157">
        <v>6.1855670000000001E-2</v>
      </c>
      <c r="L281" s="158">
        <v>0.3711340206</v>
      </c>
      <c r="M281" s="156">
        <v>0.49484536080000002</v>
      </c>
      <c r="N281" s="156">
        <v>4.1237113399999997E-2</v>
      </c>
      <c r="O281" s="156">
        <v>0</v>
      </c>
      <c r="P281" s="156">
        <v>0</v>
      </c>
      <c r="Q281" s="156">
        <v>0</v>
      </c>
      <c r="R281" s="159">
        <v>9.2783505150000001E-2</v>
      </c>
      <c r="S281" s="155">
        <v>0.48758465010000002</v>
      </c>
      <c r="T281" s="156">
        <v>0.453724605</v>
      </c>
      <c r="U281" s="156">
        <v>0</v>
      </c>
      <c r="V281" s="156">
        <v>0</v>
      </c>
      <c r="W281" s="156">
        <v>4.1760722350000001E-2</v>
      </c>
      <c r="X281" s="156">
        <v>0</v>
      </c>
      <c r="Y281" s="157">
        <v>1.6930022570000001E-2</v>
      </c>
      <c r="Z281" s="158">
        <v>0.44582392780000002</v>
      </c>
      <c r="AA281" s="156">
        <v>0.45485327310000001</v>
      </c>
      <c r="AB281" s="156">
        <v>0</v>
      </c>
      <c r="AC281" s="156">
        <v>0</v>
      </c>
      <c r="AD281" s="156">
        <v>7.6749435670000005E-2</v>
      </c>
      <c r="AE281" s="156">
        <v>0</v>
      </c>
      <c r="AF281" s="159">
        <v>2.257336343E-2</v>
      </c>
      <c r="AG281" s="155">
        <v>0.46756756760000001</v>
      </c>
      <c r="AH281" s="156">
        <v>0</v>
      </c>
      <c r="AI281" s="156">
        <v>0</v>
      </c>
      <c r="AJ281" s="156">
        <v>1.351351351E-2</v>
      </c>
      <c r="AK281" s="156">
        <v>0.28918918919999997</v>
      </c>
      <c r="AL281" s="156">
        <v>0.18108108110000001</v>
      </c>
      <c r="AM281" s="157">
        <v>4.8648648650000001E-2</v>
      </c>
      <c r="AN281" s="158">
        <v>0.4824324324</v>
      </c>
      <c r="AO281" s="156">
        <v>0</v>
      </c>
      <c r="AP281" s="156">
        <v>0</v>
      </c>
      <c r="AQ281" s="156">
        <v>0</v>
      </c>
      <c r="AR281" s="156">
        <v>0.26621621620000002</v>
      </c>
      <c r="AS281" s="156">
        <v>0.17972972970000001</v>
      </c>
      <c r="AT281" s="159">
        <v>7.1621621620000006E-2</v>
      </c>
    </row>
    <row r="282" spans="1:46" ht="12.75">
      <c r="A282" s="67" t="s">
        <v>8</v>
      </c>
      <c r="B282" s="67" t="s">
        <v>587</v>
      </c>
      <c r="C282" s="67" t="s">
        <v>621</v>
      </c>
      <c r="D282" s="67" t="s">
        <v>621</v>
      </c>
      <c r="E282" s="155">
        <v>0.88565891470000002</v>
      </c>
      <c r="F282" s="156">
        <v>0.79069767440000005</v>
      </c>
      <c r="G282" s="156">
        <v>9.6899224810000004E-3</v>
      </c>
      <c r="H282" s="156">
        <v>9.6899224810000004E-3</v>
      </c>
      <c r="I282" s="156">
        <v>0</v>
      </c>
      <c r="J282" s="156">
        <v>0</v>
      </c>
      <c r="K282" s="157">
        <v>0.69573643409999997</v>
      </c>
      <c r="L282" s="158">
        <v>0.3391472868</v>
      </c>
      <c r="M282" s="156">
        <v>0.45542635660000003</v>
      </c>
      <c r="N282" s="156">
        <v>1.937984496E-2</v>
      </c>
      <c r="O282" s="156">
        <v>0</v>
      </c>
      <c r="P282" s="156">
        <v>0</v>
      </c>
      <c r="Q282" s="156">
        <v>0</v>
      </c>
      <c r="R282" s="159">
        <v>0.18604651159999999</v>
      </c>
      <c r="S282" s="155">
        <v>0.30263157889999998</v>
      </c>
      <c r="T282" s="156">
        <v>0.61403508770000004</v>
      </c>
      <c r="U282" s="156">
        <v>0</v>
      </c>
      <c r="V282" s="156">
        <v>0</v>
      </c>
      <c r="W282" s="156">
        <v>2.923976608E-2</v>
      </c>
      <c r="X282" s="156">
        <v>0</v>
      </c>
      <c r="Y282" s="157">
        <v>5.4093567250000002E-2</v>
      </c>
      <c r="Z282" s="158">
        <v>0.26754385959999999</v>
      </c>
      <c r="AA282" s="156">
        <v>0.61403508770000004</v>
      </c>
      <c r="AB282" s="156">
        <v>0</v>
      </c>
      <c r="AC282" s="156">
        <v>0</v>
      </c>
      <c r="AD282" s="156">
        <v>7.1637426899999995E-2</v>
      </c>
      <c r="AE282" s="156">
        <v>0</v>
      </c>
      <c r="AF282" s="159">
        <v>4.678362573E-2</v>
      </c>
      <c r="AG282" s="155">
        <v>0.30615164519999999</v>
      </c>
      <c r="AH282" s="156">
        <v>0</v>
      </c>
      <c r="AI282" s="156">
        <v>0</v>
      </c>
      <c r="AJ282" s="156">
        <v>4.148783977E-2</v>
      </c>
      <c r="AK282" s="156">
        <v>0.18454935619999999</v>
      </c>
      <c r="AL282" s="156">
        <v>0.31044349069999999</v>
      </c>
      <c r="AM282" s="157">
        <v>0.1573676681</v>
      </c>
      <c r="AN282" s="158">
        <v>0.30758226039999997</v>
      </c>
      <c r="AO282" s="156">
        <v>0</v>
      </c>
      <c r="AP282" s="156">
        <v>0</v>
      </c>
      <c r="AQ282" s="156">
        <v>0</v>
      </c>
      <c r="AR282" s="156">
        <v>0.2103004292</v>
      </c>
      <c r="AS282" s="156">
        <v>0.30901287550000001</v>
      </c>
      <c r="AT282" s="159">
        <v>0.17310443489999999</v>
      </c>
    </row>
    <row r="283" spans="1:46" ht="12.75">
      <c r="A283" s="67" t="s">
        <v>8</v>
      </c>
      <c r="B283" s="67" t="s">
        <v>587</v>
      </c>
      <c r="C283" s="67" t="s">
        <v>623</v>
      </c>
      <c r="D283" s="67" t="s">
        <v>623</v>
      </c>
      <c r="E283" s="155">
        <v>0.81617647059999998</v>
      </c>
      <c r="F283" s="156">
        <v>0.34852941180000002</v>
      </c>
      <c r="G283" s="156">
        <v>4.4117647060000001E-3</v>
      </c>
      <c r="H283" s="156">
        <v>1.3235294119999999E-2</v>
      </c>
      <c r="I283" s="156">
        <v>0</v>
      </c>
      <c r="J283" s="156">
        <v>0</v>
      </c>
      <c r="K283" s="157">
        <v>0.18235294120000001</v>
      </c>
      <c r="L283" s="158">
        <v>0.47794117650000001</v>
      </c>
      <c r="M283" s="156">
        <v>0.4661764706</v>
      </c>
      <c r="N283" s="156">
        <v>4.4117647060000001E-3</v>
      </c>
      <c r="O283" s="156">
        <v>0</v>
      </c>
      <c r="P283" s="156">
        <v>0</v>
      </c>
      <c r="Q283" s="156">
        <v>0</v>
      </c>
      <c r="R283" s="159">
        <v>5.1470588239999997E-2</v>
      </c>
      <c r="S283" s="155">
        <v>0.40084388189999998</v>
      </c>
      <c r="T283" s="156">
        <v>0.53867791840000001</v>
      </c>
      <c r="U283" s="156">
        <v>0</v>
      </c>
      <c r="V283" s="156">
        <v>0</v>
      </c>
      <c r="W283" s="156">
        <v>1.969057665E-2</v>
      </c>
      <c r="X283" s="156">
        <v>0</v>
      </c>
      <c r="Y283" s="157">
        <v>4.0787623070000001E-2</v>
      </c>
      <c r="Z283" s="158">
        <v>0.36146272860000001</v>
      </c>
      <c r="AA283" s="156">
        <v>0.53727144869999999</v>
      </c>
      <c r="AB283" s="156">
        <v>0</v>
      </c>
      <c r="AC283" s="156">
        <v>0</v>
      </c>
      <c r="AD283" s="156">
        <v>4.2194092830000002E-2</v>
      </c>
      <c r="AE283" s="156">
        <v>0</v>
      </c>
      <c r="AF283" s="159">
        <v>5.907172996E-2</v>
      </c>
      <c r="AG283" s="155">
        <v>0.25266362250000002</v>
      </c>
      <c r="AH283" s="156">
        <v>0</v>
      </c>
      <c r="AI283" s="156">
        <v>0</v>
      </c>
      <c r="AJ283" s="156">
        <v>2.1308980210000002E-2</v>
      </c>
      <c r="AK283" s="156">
        <v>0.33181126329999999</v>
      </c>
      <c r="AL283" s="156">
        <v>0.27701674279999999</v>
      </c>
      <c r="AM283" s="157">
        <v>0.1171993912</v>
      </c>
      <c r="AN283" s="158">
        <v>0.2450532725</v>
      </c>
      <c r="AO283" s="156">
        <v>0</v>
      </c>
      <c r="AP283" s="156">
        <v>0</v>
      </c>
      <c r="AQ283" s="156">
        <v>0</v>
      </c>
      <c r="AR283" s="156">
        <v>0.35464231349999997</v>
      </c>
      <c r="AS283" s="156">
        <v>0.2541856925</v>
      </c>
      <c r="AT283" s="159">
        <v>0.14611872149999999</v>
      </c>
    </row>
    <row r="284" spans="1:46" ht="12.75">
      <c r="A284" s="67" t="s">
        <v>8</v>
      </c>
      <c r="B284" s="67" t="s">
        <v>587</v>
      </c>
      <c r="C284" s="67" t="s">
        <v>587</v>
      </c>
      <c r="D284" s="67" t="s">
        <v>587</v>
      </c>
      <c r="E284" s="155">
        <v>0.38252905949999999</v>
      </c>
      <c r="F284" s="156">
        <v>0.65833039800000004</v>
      </c>
      <c r="G284" s="156">
        <v>1.4441704830000001E-2</v>
      </c>
      <c r="H284" s="156">
        <v>6.6924973579999998E-3</v>
      </c>
      <c r="I284" s="156">
        <v>0</v>
      </c>
      <c r="J284" s="156">
        <v>0</v>
      </c>
      <c r="K284" s="157">
        <v>6.1993659739999998E-2</v>
      </c>
      <c r="L284" s="158">
        <v>0.47594713659999999</v>
      </c>
      <c r="M284" s="156">
        <v>0.43929515419999998</v>
      </c>
      <c r="N284" s="156">
        <v>1.515418502E-2</v>
      </c>
      <c r="O284" s="156">
        <v>0</v>
      </c>
      <c r="P284" s="156">
        <v>0</v>
      </c>
      <c r="Q284" s="156">
        <v>0</v>
      </c>
      <c r="R284" s="159">
        <v>6.9603524230000005E-2</v>
      </c>
      <c r="S284" s="155">
        <v>0.45313387620000001</v>
      </c>
      <c r="T284" s="156">
        <v>0.47756106799999998</v>
      </c>
      <c r="U284" s="156">
        <v>0</v>
      </c>
      <c r="V284" s="156">
        <v>0</v>
      </c>
      <c r="W284" s="156">
        <v>1.8935807610000001E-2</v>
      </c>
      <c r="X284" s="156">
        <v>0</v>
      </c>
      <c r="Y284" s="157">
        <v>5.0369248249999998E-2</v>
      </c>
      <c r="Z284" s="158">
        <v>0.43287256200000002</v>
      </c>
      <c r="AA284" s="156">
        <v>0.47869721640000001</v>
      </c>
      <c r="AB284" s="156">
        <v>0</v>
      </c>
      <c r="AC284" s="156">
        <v>0</v>
      </c>
      <c r="AD284" s="156">
        <v>4.2416209050000001E-2</v>
      </c>
      <c r="AE284" s="156">
        <v>0</v>
      </c>
      <c r="AF284" s="159">
        <v>4.60140125E-2</v>
      </c>
      <c r="AG284" s="155">
        <v>0.36971441220000001</v>
      </c>
      <c r="AH284" s="156">
        <v>0</v>
      </c>
      <c r="AI284" s="156">
        <v>0</v>
      </c>
      <c r="AJ284" s="156">
        <v>2.6566305070000001E-2</v>
      </c>
      <c r="AK284" s="156">
        <v>0.39362408679999999</v>
      </c>
      <c r="AL284" s="156">
        <v>0.12198361739999999</v>
      </c>
      <c r="AM284" s="157">
        <v>8.8111578479999994E-2</v>
      </c>
      <c r="AN284" s="158">
        <v>0.38233340710000002</v>
      </c>
      <c r="AO284" s="156">
        <v>0</v>
      </c>
      <c r="AP284" s="156">
        <v>0</v>
      </c>
      <c r="AQ284" s="156">
        <v>0</v>
      </c>
      <c r="AR284" s="156">
        <v>0.39738764669999999</v>
      </c>
      <c r="AS284" s="156">
        <v>0.1268541067</v>
      </c>
      <c r="AT284" s="159">
        <v>9.3424839499999995E-2</v>
      </c>
    </row>
    <row r="285" spans="1:46" ht="12.75">
      <c r="A285" s="67" t="s">
        <v>8</v>
      </c>
      <c r="B285" s="67" t="s">
        <v>587</v>
      </c>
      <c r="C285" s="67" t="s">
        <v>629</v>
      </c>
      <c r="D285" s="67" t="s">
        <v>629</v>
      </c>
      <c r="E285" s="155">
        <v>0.29411764709999999</v>
      </c>
      <c r="F285" s="156">
        <v>0.63235294119999996</v>
      </c>
      <c r="G285" s="156">
        <v>1.2941176469999999E-2</v>
      </c>
      <c r="H285" s="156">
        <v>1.176470588E-3</v>
      </c>
      <c r="I285" s="156">
        <v>0</v>
      </c>
      <c r="J285" s="156">
        <v>0</v>
      </c>
      <c r="K285" s="157">
        <v>5.9411764710000002E-2</v>
      </c>
      <c r="L285" s="158">
        <v>0.57823529409999996</v>
      </c>
      <c r="M285" s="156">
        <v>0.35</v>
      </c>
      <c r="N285" s="156">
        <v>1.7058823529999999E-2</v>
      </c>
      <c r="O285" s="156">
        <v>0</v>
      </c>
      <c r="P285" s="156">
        <v>0</v>
      </c>
      <c r="Q285" s="156">
        <v>0</v>
      </c>
      <c r="R285" s="159">
        <v>5.4705882349999999E-2</v>
      </c>
      <c r="S285" s="155">
        <v>0.49349881800000001</v>
      </c>
      <c r="T285" s="156">
        <v>0.45153664300000002</v>
      </c>
      <c r="U285" s="156">
        <v>0</v>
      </c>
      <c r="V285" s="156">
        <v>0</v>
      </c>
      <c r="W285" s="156">
        <v>8.8652482269999996E-3</v>
      </c>
      <c r="X285" s="156">
        <v>0</v>
      </c>
      <c r="Y285" s="157">
        <v>4.6099290780000003E-2</v>
      </c>
      <c r="Z285" s="158">
        <v>0.46690307330000003</v>
      </c>
      <c r="AA285" s="156">
        <v>0.45330969269999999</v>
      </c>
      <c r="AB285" s="156">
        <v>0</v>
      </c>
      <c r="AC285" s="156">
        <v>0</v>
      </c>
      <c r="AD285" s="156">
        <v>3.6052009459999999E-2</v>
      </c>
      <c r="AE285" s="156">
        <v>0</v>
      </c>
      <c r="AF285" s="159">
        <v>4.3735224590000003E-2</v>
      </c>
      <c r="AG285" s="155">
        <v>0.3114301491</v>
      </c>
      <c r="AH285" s="156">
        <v>0</v>
      </c>
      <c r="AI285" s="156">
        <v>0</v>
      </c>
      <c r="AJ285" s="156">
        <v>2.816123689E-2</v>
      </c>
      <c r="AK285" s="156">
        <v>0.35891772500000002</v>
      </c>
      <c r="AL285" s="156">
        <v>0.18387631139999999</v>
      </c>
      <c r="AM285" s="157">
        <v>0.11761457760000001</v>
      </c>
      <c r="AN285" s="158">
        <v>0.31949058689999998</v>
      </c>
      <c r="AO285" s="156">
        <v>0</v>
      </c>
      <c r="AP285" s="156">
        <v>0</v>
      </c>
      <c r="AQ285" s="156">
        <v>0</v>
      </c>
      <c r="AR285" s="156">
        <v>0.36987818379999998</v>
      </c>
      <c r="AS285" s="156">
        <v>0.17829457360000001</v>
      </c>
      <c r="AT285" s="159">
        <v>0.13233665559999999</v>
      </c>
    </row>
    <row r="286" spans="1:46" ht="12.75">
      <c r="A286" s="67" t="s">
        <v>8</v>
      </c>
      <c r="B286" s="67" t="s">
        <v>587</v>
      </c>
      <c r="C286" s="67" t="s">
        <v>626</v>
      </c>
      <c r="D286" s="67" t="s">
        <v>626</v>
      </c>
      <c r="E286" s="155">
        <v>0.65828220859999997</v>
      </c>
      <c r="F286" s="156">
        <v>0.40613496929999998</v>
      </c>
      <c r="G286" s="156">
        <v>1.7177914110000001E-2</v>
      </c>
      <c r="H286" s="156">
        <v>3.067484663E-3</v>
      </c>
      <c r="I286" s="156">
        <v>0</v>
      </c>
      <c r="J286" s="156">
        <v>0</v>
      </c>
      <c r="K286" s="157">
        <v>8.4662576690000005E-2</v>
      </c>
      <c r="L286" s="158">
        <v>0.36358062540000002</v>
      </c>
      <c r="M286" s="156">
        <v>0.56468424279999996</v>
      </c>
      <c r="N286" s="156">
        <v>1.9619865109999999E-2</v>
      </c>
      <c r="O286" s="156">
        <v>0</v>
      </c>
      <c r="P286" s="156">
        <v>0</v>
      </c>
      <c r="Q286" s="156">
        <v>0</v>
      </c>
      <c r="R286" s="159">
        <v>5.2115266709999997E-2</v>
      </c>
      <c r="S286" s="155">
        <v>0.3712255773</v>
      </c>
      <c r="T286" s="156">
        <v>0.53996447599999997</v>
      </c>
      <c r="U286" s="156">
        <v>0</v>
      </c>
      <c r="V286" s="156">
        <v>0</v>
      </c>
      <c r="W286" s="156">
        <v>2.6642984009999999E-2</v>
      </c>
      <c r="X286" s="156">
        <v>0</v>
      </c>
      <c r="Y286" s="157">
        <v>6.2166962700000002E-2</v>
      </c>
      <c r="Z286" s="158">
        <v>0.36500888100000001</v>
      </c>
      <c r="AA286" s="156">
        <v>0.541740675</v>
      </c>
      <c r="AB286" s="156">
        <v>0</v>
      </c>
      <c r="AC286" s="156">
        <v>0</v>
      </c>
      <c r="AD286" s="156">
        <v>5.0621669629999998E-2</v>
      </c>
      <c r="AE286" s="156">
        <v>0</v>
      </c>
      <c r="AF286" s="159">
        <v>4.2628774420000001E-2</v>
      </c>
      <c r="AG286" s="155">
        <v>0.40514075890000001</v>
      </c>
      <c r="AH286" s="156">
        <v>0</v>
      </c>
      <c r="AI286" s="156">
        <v>0</v>
      </c>
      <c r="AJ286" s="156">
        <v>3.4271725830000002E-2</v>
      </c>
      <c r="AK286" s="156">
        <v>0.30232558139999999</v>
      </c>
      <c r="AL286" s="156">
        <v>0.17870257040000001</v>
      </c>
      <c r="AM286" s="157">
        <v>7.9559363529999996E-2</v>
      </c>
      <c r="AN286" s="158">
        <v>0.40881272950000003</v>
      </c>
      <c r="AO286" s="156">
        <v>0</v>
      </c>
      <c r="AP286" s="156">
        <v>0</v>
      </c>
      <c r="AQ286" s="156">
        <v>0</v>
      </c>
      <c r="AR286" s="156">
        <v>0.32068543449999998</v>
      </c>
      <c r="AS286" s="156">
        <v>0.18482252139999999</v>
      </c>
      <c r="AT286" s="159">
        <v>8.5679314569999998E-2</v>
      </c>
    </row>
    <row r="287" spans="1:46" ht="12.75">
      <c r="A287" s="67" t="s">
        <v>8</v>
      </c>
      <c r="B287" s="67" t="s">
        <v>587</v>
      </c>
      <c r="C287" s="67" t="s">
        <v>631</v>
      </c>
      <c r="D287" s="67" t="s">
        <v>631</v>
      </c>
      <c r="E287" s="155">
        <v>0.5364469664</v>
      </c>
      <c r="F287" s="156">
        <v>0.71715408120000002</v>
      </c>
      <c r="G287" s="156">
        <v>2.7935399390000001E-2</v>
      </c>
      <c r="H287" s="156">
        <v>8.2933216939999992E-3</v>
      </c>
      <c r="I287" s="156">
        <v>0</v>
      </c>
      <c r="J287" s="156">
        <v>0</v>
      </c>
      <c r="K287" s="157">
        <v>0.28982976869999999</v>
      </c>
      <c r="L287" s="158">
        <v>0.43418116909999999</v>
      </c>
      <c r="M287" s="156">
        <v>0.47612672909999998</v>
      </c>
      <c r="N287" s="156">
        <v>2.2311468090000001E-2</v>
      </c>
      <c r="O287" s="156">
        <v>0</v>
      </c>
      <c r="P287" s="156">
        <v>0</v>
      </c>
      <c r="Q287" s="156">
        <v>0</v>
      </c>
      <c r="R287" s="159">
        <v>6.7380633649999994E-2</v>
      </c>
      <c r="S287" s="155">
        <v>0.51086956520000004</v>
      </c>
      <c r="T287" s="156">
        <v>0.39476284579999998</v>
      </c>
      <c r="U287" s="156">
        <v>0</v>
      </c>
      <c r="V287" s="156">
        <v>0</v>
      </c>
      <c r="W287" s="156">
        <v>4.3972332019999998E-2</v>
      </c>
      <c r="X287" s="156">
        <v>0</v>
      </c>
      <c r="Y287" s="157">
        <v>5.0395256919999999E-2</v>
      </c>
      <c r="Z287" s="158">
        <v>0.48913043480000001</v>
      </c>
      <c r="AA287" s="156">
        <v>0.39525691699999999</v>
      </c>
      <c r="AB287" s="156">
        <v>0</v>
      </c>
      <c r="AC287" s="156">
        <v>0</v>
      </c>
      <c r="AD287" s="156">
        <v>7.6086956519999999E-2</v>
      </c>
      <c r="AE287" s="156">
        <v>0</v>
      </c>
      <c r="AF287" s="159">
        <v>3.9525691699999997E-2</v>
      </c>
      <c r="AG287" s="155">
        <v>0.44387755099999998</v>
      </c>
      <c r="AH287" s="156">
        <v>0</v>
      </c>
      <c r="AI287" s="156">
        <v>0</v>
      </c>
      <c r="AJ287" s="156">
        <v>2.664399093E-2</v>
      </c>
      <c r="AK287" s="156">
        <v>0.24092970520000001</v>
      </c>
      <c r="AL287" s="156">
        <v>0.19614512470000001</v>
      </c>
      <c r="AM287" s="157">
        <v>9.2403628119999998E-2</v>
      </c>
      <c r="AN287" s="158">
        <v>0.4716553288</v>
      </c>
      <c r="AO287" s="156">
        <v>0</v>
      </c>
      <c r="AP287" s="156">
        <v>0</v>
      </c>
      <c r="AQ287" s="156">
        <v>0</v>
      </c>
      <c r="AR287" s="156">
        <v>0.2375283447</v>
      </c>
      <c r="AS287" s="156">
        <v>0.19104308389999999</v>
      </c>
      <c r="AT287" s="159">
        <v>9.9773242629999995E-2</v>
      </c>
    </row>
    <row r="288" spans="1:46" ht="12.75">
      <c r="A288" s="67" t="s">
        <v>8</v>
      </c>
      <c r="B288" s="67" t="s">
        <v>633</v>
      </c>
      <c r="C288" s="67" t="s">
        <v>634</v>
      </c>
      <c r="D288" s="67" t="s">
        <v>634</v>
      </c>
      <c r="E288" s="155">
        <v>0.30904183540000002</v>
      </c>
      <c r="F288" s="156">
        <v>0.58029689610000001</v>
      </c>
      <c r="G288" s="156">
        <v>4.0485829959999997E-3</v>
      </c>
      <c r="H288" s="156">
        <v>5.3981106609999998E-3</v>
      </c>
      <c r="I288" s="156">
        <v>0</v>
      </c>
      <c r="J288" s="156">
        <v>0</v>
      </c>
      <c r="K288" s="157">
        <v>0.10121457490000001</v>
      </c>
      <c r="L288" s="158">
        <v>0.44129554659999998</v>
      </c>
      <c r="M288" s="156">
        <v>0.47908232119999999</v>
      </c>
      <c r="N288" s="156">
        <v>8.0971659919999994E-3</v>
      </c>
      <c r="O288" s="156">
        <v>0</v>
      </c>
      <c r="P288" s="156">
        <v>0</v>
      </c>
      <c r="Q288" s="156">
        <v>0</v>
      </c>
      <c r="R288" s="159">
        <v>7.1524966260000003E-2</v>
      </c>
      <c r="S288" s="155">
        <v>0.556802244</v>
      </c>
      <c r="T288" s="156">
        <v>0.26788218790000001</v>
      </c>
      <c r="U288" s="156">
        <v>0</v>
      </c>
      <c r="V288" s="156">
        <v>0</v>
      </c>
      <c r="W288" s="156">
        <v>0.14305750349999999</v>
      </c>
      <c r="X288" s="156">
        <v>0</v>
      </c>
      <c r="Y288" s="157">
        <v>3.2258064519999997E-2</v>
      </c>
      <c r="Z288" s="158">
        <v>0.51893408129999996</v>
      </c>
      <c r="AA288" s="156">
        <v>0.27629733519999999</v>
      </c>
      <c r="AB288" s="156">
        <v>0</v>
      </c>
      <c r="AC288" s="156">
        <v>0</v>
      </c>
      <c r="AD288" s="156">
        <v>0.1809256662</v>
      </c>
      <c r="AE288" s="156">
        <v>0</v>
      </c>
      <c r="AF288" s="159">
        <v>2.3842917250000002E-2</v>
      </c>
      <c r="AG288" s="155">
        <v>0.48973143759999999</v>
      </c>
      <c r="AH288" s="156">
        <v>0</v>
      </c>
      <c r="AI288" s="156">
        <v>0</v>
      </c>
      <c r="AJ288" s="156">
        <v>5.5292259080000003E-2</v>
      </c>
      <c r="AK288" s="156">
        <v>0.26856240129999998</v>
      </c>
      <c r="AL288" s="156">
        <v>8.8467614530000002E-2</v>
      </c>
      <c r="AM288" s="157">
        <v>9.7946287519999994E-2</v>
      </c>
      <c r="AN288" s="158">
        <v>0.50710900469999998</v>
      </c>
      <c r="AO288" s="156">
        <v>0</v>
      </c>
      <c r="AP288" s="156">
        <v>0</v>
      </c>
      <c r="AQ288" s="156">
        <v>0</v>
      </c>
      <c r="AR288" s="156">
        <v>0.2890995261</v>
      </c>
      <c r="AS288" s="156">
        <v>8.8467614530000002E-2</v>
      </c>
      <c r="AT288" s="159">
        <v>0.11532385470000001</v>
      </c>
    </row>
    <row r="289" spans="1:46" ht="12.75">
      <c r="A289" s="67" t="s">
        <v>8</v>
      </c>
      <c r="B289" s="67" t="s">
        <v>633</v>
      </c>
      <c r="C289" s="67" t="s">
        <v>635</v>
      </c>
      <c r="D289" s="67" t="s">
        <v>635</v>
      </c>
      <c r="E289" s="155">
        <v>0.57100415920000003</v>
      </c>
      <c r="F289" s="156">
        <v>0.68211527039999997</v>
      </c>
      <c r="G289" s="156">
        <v>5.3030303030000003E-2</v>
      </c>
      <c r="H289" s="156">
        <v>1.05466429E-2</v>
      </c>
      <c r="I289" s="156">
        <v>0</v>
      </c>
      <c r="J289" s="156">
        <v>0</v>
      </c>
      <c r="K289" s="157">
        <v>0.31669637550000002</v>
      </c>
      <c r="L289" s="158">
        <v>0.4044860368</v>
      </c>
      <c r="M289" s="156">
        <v>0.48469994059999999</v>
      </c>
      <c r="N289" s="156">
        <v>5.1990493169999999E-2</v>
      </c>
      <c r="O289" s="156">
        <v>0</v>
      </c>
      <c r="P289" s="156">
        <v>0</v>
      </c>
      <c r="Q289" s="156">
        <v>0</v>
      </c>
      <c r="R289" s="159">
        <v>5.8823529409999999E-2</v>
      </c>
      <c r="S289" s="155">
        <v>0.43983598800000001</v>
      </c>
      <c r="T289" s="156">
        <v>0.4401513957</v>
      </c>
      <c r="U289" s="156">
        <v>0</v>
      </c>
      <c r="V289" s="156">
        <v>0</v>
      </c>
      <c r="W289" s="156">
        <v>4.3368553859999999E-2</v>
      </c>
      <c r="X289" s="156">
        <v>0</v>
      </c>
      <c r="Y289" s="157">
        <v>7.6644062449999995E-2</v>
      </c>
      <c r="Z289" s="158">
        <v>0.42658886610000002</v>
      </c>
      <c r="AA289" s="156">
        <v>0.39962151080000002</v>
      </c>
      <c r="AB289" s="156">
        <v>0</v>
      </c>
      <c r="AC289" s="156">
        <v>0</v>
      </c>
      <c r="AD289" s="156">
        <v>6.5289386529999993E-2</v>
      </c>
      <c r="AE289" s="156">
        <v>0</v>
      </c>
      <c r="AF289" s="159">
        <v>0.10850023659999999</v>
      </c>
      <c r="AG289" s="155">
        <v>0.31062569420000002</v>
      </c>
      <c r="AH289" s="156">
        <v>0</v>
      </c>
      <c r="AI289" s="156">
        <v>0</v>
      </c>
      <c r="AJ289" s="156">
        <v>2.573121066E-2</v>
      </c>
      <c r="AK289" s="156">
        <v>0.35375786749999999</v>
      </c>
      <c r="AL289" s="156">
        <v>0.22991484640000001</v>
      </c>
      <c r="AM289" s="157">
        <v>7.9970381339999994E-2</v>
      </c>
      <c r="AN289" s="158">
        <v>0.33043156140000002</v>
      </c>
      <c r="AO289" s="156">
        <v>0</v>
      </c>
      <c r="AP289" s="156">
        <v>0</v>
      </c>
      <c r="AQ289" s="156">
        <v>0</v>
      </c>
      <c r="AR289" s="156">
        <v>0.32580107429999999</v>
      </c>
      <c r="AS289" s="156">
        <v>0.2520837192</v>
      </c>
      <c r="AT289" s="159">
        <v>9.1683645120000004E-2</v>
      </c>
    </row>
    <row r="290" spans="1:46" ht="12.75">
      <c r="A290" s="67" t="s">
        <v>8</v>
      </c>
      <c r="B290" s="67" t="s">
        <v>633</v>
      </c>
      <c r="C290" s="67" t="s">
        <v>637</v>
      </c>
      <c r="D290" s="67" t="s">
        <v>637</v>
      </c>
      <c r="E290" s="155">
        <v>0.34393251139999997</v>
      </c>
      <c r="F290" s="156">
        <v>0.44192083059999998</v>
      </c>
      <c r="G290" s="156">
        <v>6.4892926670000002E-3</v>
      </c>
      <c r="H290" s="156">
        <v>6.4892926670000002E-3</v>
      </c>
      <c r="I290" s="156">
        <v>0</v>
      </c>
      <c r="J290" s="156">
        <v>0</v>
      </c>
      <c r="K290" s="157">
        <v>0.20116807270000001</v>
      </c>
      <c r="L290" s="158">
        <v>0.40947436729999998</v>
      </c>
      <c r="M290" s="156">
        <v>0.53017521089999997</v>
      </c>
      <c r="N290" s="156">
        <v>5.8403633999999996E-3</v>
      </c>
      <c r="O290" s="156">
        <v>0</v>
      </c>
      <c r="P290" s="156">
        <v>0</v>
      </c>
      <c r="Q290" s="156">
        <v>0</v>
      </c>
      <c r="R290" s="159">
        <v>5.4510058399999999E-2</v>
      </c>
      <c r="S290" s="155">
        <v>0.5356442119</v>
      </c>
      <c r="T290" s="156">
        <v>0.25310660559999998</v>
      </c>
      <c r="U290" s="156">
        <v>0</v>
      </c>
      <c r="V290" s="156">
        <v>0</v>
      </c>
      <c r="W290" s="156">
        <v>0.17135382599999999</v>
      </c>
      <c r="X290" s="156">
        <v>0</v>
      </c>
      <c r="Y290" s="157">
        <v>3.9895356440000002E-2</v>
      </c>
      <c r="Z290" s="158">
        <v>0.49771092220000002</v>
      </c>
      <c r="AA290" s="156">
        <v>0.25376062789999998</v>
      </c>
      <c r="AB290" s="156">
        <v>0</v>
      </c>
      <c r="AC290" s="156">
        <v>0</v>
      </c>
      <c r="AD290" s="156">
        <v>0.2145192937</v>
      </c>
      <c r="AE290" s="156">
        <v>0</v>
      </c>
      <c r="AF290" s="159">
        <v>3.4009156309999997E-2</v>
      </c>
      <c r="AG290" s="155">
        <v>0.45606390699999999</v>
      </c>
      <c r="AH290" s="156">
        <v>0</v>
      </c>
      <c r="AI290" s="156">
        <v>0</v>
      </c>
      <c r="AJ290" s="156">
        <v>3.0501089320000001E-2</v>
      </c>
      <c r="AK290" s="156">
        <v>0.38779956430000001</v>
      </c>
      <c r="AL290" s="156">
        <v>6.6085693540000004E-2</v>
      </c>
      <c r="AM290" s="157">
        <v>5.954974582E-2</v>
      </c>
      <c r="AN290" s="158">
        <v>0.4763979666</v>
      </c>
      <c r="AO290" s="156">
        <v>0</v>
      </c>
      <c r="AP290" s="156">
        <v>0</v>
      </c>
      <c r="AQ290" s="156">
        <v>0</v>
      </c>
      <c r="AR290" s="156">
        <v>0.36891793750000001</v>
      </c>
      <c r="AS290" s="156">
        <v>6.3907044299999993E-2</v>
      </c>
      <c r="AT290" s="159">
        <v>9.0777051560000002E-2</v>
      </c>
    </row>
    <row r="291" spans="1:46" ht="12.75">
      <c r="A291" s="67" t="s">
        <v>8</v>
      </c>
      <c r="B291" s="67" t="s">
        <v>633</v>
      </c>
      <c r="C291" s="67" t="s">
        <v>640</v>
      </c>
      <c r="D291" s="67" t="s">
        <v>640</v>
      </c>
      <c r="E291" s="155">
        <v>0.38977955910000001</v>
      </c>
      <c r="F291" s="156">
        <v>0.36472945890000003</v>
      </c>
      <c r="G291" s="156">
        <v>7.0140280560000001E-3</v>
      </c>
      <c r="H291" s="156">
        <v>2.0040080160000002E-3</v>
      </c>
      <c r="I291" s="156">
        <v>0</v>
      </c>
      <c r="J291" s="156">
        <v>0</v>
      </c>
      <c r="K291" s="157">
        <v>0.23647294590000001</v>
      </c>
      <c r="L291" s="158">
        <v>0.43186372750000002</v>
      </c>
      <c r="M291" s="156">
        <v>0.52204408820000003</v>
      </c>
      <c r="N291" s="156">
        <v>7.0140280560000001E-3</v>
      </c>
      <c r="O291" s="156">
        <v>0</v>
      </c>
      <c r="P291" s="156">
        <v>0</v>
      </c>
      <c r="Q291" s="156">
        <v>0</v>
      </c>
      <c r="R291" s="159">
        <v>3.9078156310000001E-2</v>
      </c>
      <c r="S291" s="155">
        <v>0.51817237800000004</v>
      </c>
      <c r="T291" s="156">
        <v>0.1131879543</v>
      </c>
      <c r="U291" s="156">
        <v>0</v>
      </c>
      <c r="V291" s="156">
        <v>0</v>
      </c>
      <c r="W291" s="156">
        <v>0.34475597089999999</v>
      </c>
      <c r="X291" s="156">
        <v>0</v>
      </c>
      <c r="Y291" s="157">
        <v>2.3883696780000001E-2</v>
      </c>
      <c r="Z291" s="158">
        <v>0.50778816199999999</v>
      </c>
      <c r="AA291" s="156">
        <v>0.1121495327</v>
      </c>
      <c r="AB291" s="156">
        <v>0</v>
      </c>
      <c r="AC291" s="156">
        <v>0</v>
      </c>
      <c r="AD291" s="156">
        <v>0.3665628245</v>
      </c>
      <c r="AE291" s="156">
        <v>0</v>
      </c>
      <c r="AF291" s="159">
        <v>1.3499480790000001E-2</v>
      </c>
      <c r="AG291" s="155">
        <v>0.49940828399999998</v>
      </c>
      <c r="AH291" s="156">
        <v>0</v>
      </c>
      <c r="AI291" s="156">
        <v>0</v>
      </c>
      <c r="AJ291" s="156">
        <v>1.775147929E-2</v>
      </c>
      <c r="AK291" s="156">
        <v>0.27337278110000002</v>
      </c>
      <c r="AL291" s="156">
        <v>0.14437869819999999</v>
      </c>
      <c r="AM291" s="157">
        <v>6.5088757400000002E-2</v>
      </c>
      <c r="AN291" s="158">
        <v>0.5017751479</v>
      </c>
      <c r="AO291" s="156">
        <v>0</v>
      </c>
      <c r="AP291" s="156">
        <v>0</v>
      </c>
      <c r="AQ291" s="156">
        <v>0</v>
      </c>
      <c r="AR291" s="156">
        <v>0.29704142010000001</v>
      </c>
      <c r="AS291" s="156">
        <v>0.15147928990000001</v>
      </c>
      <c r="AT291" s="159">
        <v>4.9704142010000001E-2</v>
      </c>
    </row>
    <row r="292" spans="1:46" ht="12.75">
      <c r="A292" s="67" t="s">
        <v>8</v>
      </c>
      <c r="B292" s="67" t="s">
        <v>633</v>
      </c>
      <c r="C292" s="67" t="s">
        <v>19</v>
      </c>
      <c r="D292" s="67" t="s">
        <v>19</v>
      </c>
      <c r="E292" s="155">
        <v>0.12926136360000001</v>
      </c>
      <c r="F292" s="156">
        <v>0.18323863639999999</v>
      </c>
      <c r="G292" s="156">
        <v>1.136363636E-2</v>
      </c>
      <c r="H292" s="156">
        <v>5.6818181820000001E-3</v>
      </c>
      <c r="I292" s="156">
        <v>0</v>
      </c>
      <c r="J292" s="156">
        <v>0</v>
      </c>
      <c r="K292" s="157">
        <v>0.21420454550000001</v>
      </c>
      <c r="L292" s="158">
        <v>0.36647727270000002</v>
      </c>
      <c r="M292" s="156">
        <v>0.57386363640000004</v>
      </c>
      <c r="N292" s="156">
        <v>1.136363636E-2</v>
      </c>
      <c r="O292" s="156">
        <v>0</v>
      </c>
      <c r="P292" s="156">
        <v>0</v>
      </c>
      <c r="Q292" s="156">
        <v>0</v>
      </c>
      <c r="R292" s="159">
        <v>4.8295454549999998E-2</v>
      </c>
      <c r="S292" s="155">
        <v>0.46407185629999997</v>
      </c>
      <c r="T292" s="156">
        <v>0.30838323350000002</v>
      </c>
      <c r="U292" s="156">
        <v>0</v>
      </c>
      <c r="V292" s="156">
        <v>0</v>
      </c>
      <c r="W292" s="156">
        <v>0.20359281439999999</v>
      </c>
      <c r="X292" s="156">
        <v>0</v>
      </c>
      <c r="Y292" s="157">
        <v>2.3952095810000001E-2</v>
      </c>
      <c r="Z292" s="158">
        <v>0.46407185629999997</v>
      </c>
      <c r="AA292" s="156">
        <v>0.2844311377</v>
      </c>
      <c r="AB292" s="156">
        <v>0</v>
      </c>
      <c r="AC292" s="156">
        <v>0</v>
      </c>
      <c r="AD292" s="156">
        <v>0.23952095809999999</v>
      </c>
      <c r="AE292" s="156">
        <v>0</v>
      </c>
      <c r="AF292" s="159">
        <v>1.19760479E-2</v>
      </c>
      <c r="AG292" s="155">
        <v>0.3717579251</v>
      </c>
      <c r="AH292" s="156">
        <v>0</v>
      </c>
      <c r="AI292" s="156">
        <v>0</v>
      </c>
      <c r="AJ292" s="156">
        <v>2.0172910660000001E-2</v>
      </c>
      <c r="AK292" s="156">
        <v>0.29394812679999999</v>
      </c>
      <c r="AL292" s="156">
        <v>0.25360230550000001</v>
      </c>
      <c r="AM292" s="157">
        <v>6.0518731989999998E-2</v>
      </c>
      <c r="AN292" s="158">
        <v>0.38328530259999999</v>
      </c>
      <c r="AO292" s="156">
        <v>0</v>
      </c>
      <c r="AP292" s="156">
        <v>0</v>
      </c>
      <c r="AQ292" s="156">
        <v>0</v>
      </c>
      <c r="AR292" s="156">
        <v>0.29971181559999999</v>
      </c>
      <c r="AS292" s="156">
        <v>0.26224783860000001</v>
      </c>
      <c r="AT292" s="159">
        <v>5.4755043230000001E-2</v>
      </c>
    </row>
    <row r="293" spans="1:46" ht="12.75">
      <c r="A293" s="67" t="s">
        <v>8</v>
      </c>
      <c r="B293" s="67" t="s">
        <v>633</v>
      </c>
      <c r="C293" s="67" t="s">
        <v>643</v>
      </c>
      <c r="D293" s="67" t="s">
        <v>643</v>
      </c>
      <c r="E293" s="155">
        <v>0.49061778290000002</v>
      </c>
      <c r="F293" s="156">
        <v>0.52121824480000001</v>
      </c>
      <c r="G293" s="156">
        <v>5.5282909929999999E-2</v>
      </c>
      <c r="H293" s="156">
        <v>6.0623556580000001E-3</v>
      </c>
      <c r="I293" s="156">
        <v>0</v>
      </c>
      <c r="J293" s="156">
        <v>0</v>
      </c>
      <c r="K293" s="157">
        <v>7.3181293300000005E-2</v>
      </c>
      <c r="L293" s="158">
        <v>0.4090646651</v>
      </c>
      <c r="M293" s="156">
        <v>0.49509237880000001</v>
      </c>
      <c r="N293" s="156">
        <v>4.9653579679999997E-2</v>
      </c>
      <c r="O293" s="156">
        <v>0</v>
      </c>
      <c r="P293" s="156">
        <v>0</v>
      </c>
      <c r="Q293" s="156">
        <v>0</v>
      </c>
      <c r="R293" s="159">
        <v>4.6189376439999999E-2</v>
      </c>
      <c r="S293" s="155">
        <v>0.44196757549999999</v>
      </c>
      <c r="T293" s="156">
        <v>0.42686072219999999</v>
      </c>
      <c r="U293" s="156">
        <v>0</v>
      </c>
      <c r="V293" s="156">
        <v>0</v>
      </c>
      <c r="W293" s="156">
        <v>5.1400147379999997E-2</v>
      </c>
      <c r="X293" s="156">
        <v>0</v>
      </c>
      <c r="Y293" s="157">
        <v>7.97715549E-2</v>
      </c>
      <c r="Z293" s="158">
        <v>0.43183493000000001</v>
      </c>
      <c r="AA293" s="156">
        <v>0.39885777449999998</v>
      </c>
      <c r="AB293" s="156">
        <v>0</v>
      </c>
      <c r="AC293" s="156">
        <v>0</v>
      </c>
      <c r="AD293" s="156">
        <v>7.7192336040000004E-2</v>
      </c>
      <c r="AE293" s="156">
        <v>0</v>
      </c>
      <c r="AF293" s="159">
        <v>9.2114959469999994E-2</v>
      </c>
      <c r="AG293" s="155">
        <v>0.33439490449999998</v>
      </c>
      <c r="AH293" s="156">
        <v>0</v>
      </c>
      <c r="AI293" s="156">
        <v>0</v>
      </c>
      <c r="AJ293" s="156">
        <v>2.0501592360000001E-2</v>
      </c>
      <c r="AK293" s="156">
        <v>0.21277866240000001</v>
      </c>
      <c r="AL293" s="156">
        <v>0.3650477707</v>
      </c>
      <c r="AM293" s="157">
        <v>6.7277070059999999E-2</v>
      </c>
      <c r="AN293" s="158">
        <v>0.36007165610000003</v>
      </c>
      <c r="AO293" s="156">
        <v>0</v>
      </c>
      <c r="AP293" s="156">
        <v>0</v>
      </c>
      <c r="AQ293" s="156">
        <v>0</v>
      </c>
      <c r="AR293" s="156">
        <v>0.21238057320000001</v>
      </c>
      <c r="AS293" s="156">
        <v>0.35469745219999999</v>
      </c>
      <c r="AT293" s="159">
        <v>7.2850318469999994E-2</v>
      </c>
    </row>
    <row r="294" spans="1:46" ht="12.75">
      <c r="A294" s="67" t="s">
        <v>8</v>
      </c>
      <c r="B294" s="67" t="s">
        <v>633</v>
      </c>
      <c r="C294" s="67" t="s">
        <v>645</v>
      </c>
      <c r="D294" s="67" t="s">
        <v>645</v>
      </c>
      <c r="E294" s="155">
        <v>0.45108184379999999</v>
      </c>
      <c r="F294" s="156">
        <v>0.46801505170000002</v>
      </c>
      <c r="G294" s="156">
        <v>3.198494826E-2</v>
      </c>
      <c r="H294" s="156">
        <v>5.1740357480000001E-3</v>
      </c>
      <c r="I294" s="156">
        <v>0</v>
      </c>
      <c r="J294" s="156">
        <v>0</v>
      </c>
      <c r="K294" s="157">
        <v>4.3744120409999997E-2</v>
      </c>
      <c r="L294" s="158">
        <v>0.40122295390000001</v>
      </c>
      <c r="M294" s="156">
        <v>0.52587017869999997</v>
      </c>
      <c r="N294" s="156">
        <v>2.8692380060000001E-2</v>
      </c>
      <c r="O294" s="156">
        <v>0</v>
      </c>
      <c r="P294" s="156">
        <v>0</v>
      </c>
      <c r="Q294" s="156">
        <v>0</v>
      </c>
      <c r="R294" s="159">
        <v>4.4214487300000001E-2</v>
      </c>
      <c r="S294" s="155">
        <v>0.38924050630000001</v>
      </c>
      <c r="T294" s="156">
        <v>0.52637130799999998</v>
      </c>
      <c r="U294" s="156">
        <v>0</v>
      </c>
      <c r="V294" s="156">
        <v>0</v>
      </c>
      <c r="W294" s="156">
        <v>3.3227848099999999E-2</v>
      </c>
      <c r="X294" s="156">
        <v>0</v>
      </c>
      <c r="Y294" s="157">
        <v>5.1160337549999997E-2</v>
      </c>
      <c r="Z294" s="158">
        <v>0.38185654009999997</v>
      </c>
      <c r="AA294" s="156">
        <v>0.50263713080000005</v>
      </c>
      <c r="AB294" s="156">
        <v>0</v>
      </c>
      <c r="AC294" s="156">
        <v>0</v>
      </c>
      <c r="AD294" s="156">
        <v>4.6413502109999998E-2</v>
      </c>
      <c r="AE294" s="156">
        <v>0</v>
      </c>
      <c r="AF294" s="159">
        <v>6.9092826999999996E-2</v>
      </c>
      <c r="AG294" s="155">
        <v>0.3754469607</v>
      </c>
      <c r="AH294" s="156">
        <v>0</v>
      </c>
      <c r="AI294" s="156">
        <v>0</v>
      </c>
      <c r="AJ294" s="156">
        <v>2.3241954709999998E-2</v>
      </c>
      <c r="AK294" s="156">
        <v>0.29141835519999998</v>
      </c>
      <c r="AL294" s="156">
        <v>0.22109654349999999</v>
      </c>
      <c r="AM294" s="157">
        <v>8.8796185939999994E-2</v>
      </c>
      <c r="AN294" s="158">
        <v>0.39690107270000002</v>
      </c>
      <c r="AO294" s="156">
        <v>0</v>
      </c>
      <c r="AP294" s="156">
        <v>0</v>
      </c>
      <c r="AQ294" s="156">
        <v>0</v>
      </c>
      <c r="AR294" s="156">
        <v>0.28903456500000002</v>
      </c>
      <c r="AS294" s="156">
        <v>0.22348033370000001</v>
      </c>
      <c r="AT294" s="159">
        <v>9.0584028610000006E-2</v>
      </c>
    </row>
    <row r="295" spans="1:46" ht="12.75">
      <c r="A295" s="67" t="s">
        <v>8</v>
      </c>
      <c r="B295" s="67" t="s">
        <v>633</v>
      </c>
      <c r="C295" s="67" t="s">
        <v>647</v>
      </c>
      <c r="D295" s="67" t="s">
        <v>647</v>
      </c>
      <c r="E295" s="155">
        <v>0.39673046249999999</v>
      </c>
      <c r="F295" s="156">
        <v>0.57336523129999994</v>
      </c>
      <c r="G295" s="156">
        <v>1.275917065E-2</v>
      </c>
      <c r="H295" s="156">
        <v>9.5693779900000008E-3</v>
      </c>
      <c r="I295" s="156">
        <v>0</v>
      </c>
      <c r="J295" s="156">
        <v>0</v>
      </c>
      <c r="K295" s="157">
        <v>7.5757575760000001E-3</v>
      </c>
      <c r="L295" s="158">
        <v>0.4685007974</v>
      </c>
      <c r="M295" s="156">
        <v>0.47846889949999999</v>
      </c>
      <c r="N295" s="156">
        <v>1.355661882E-2</v>
      </c>
      <c r="O295" s="156">
        <v>0</v>
      </c>
      <c r="P295" s="156">
        <v>0</v>
      </c>
      <c r="Q295" s="156">
        <v>0</v>
      </c>
      <c r="R295" s="159">
        <v>3.9473684209999998E-2</v>
      </c>
      <c r="S295" s="155">
        <v>0.50482033299999995</v>
      </c>
      <c r="T295" s="156">
        <v>0.18580192810000001</v>
      </c>
      <c r="U295" s="156">
        <v>0</v>
      </c>
      <c r="V295" s="156">
        <v>0</v>
      </c>
      <c r="W295" s="156">
        <v>0.25679228749999999</v>
      </c>
      <c r="X295" s="156">
        <v>0</v>
      </c>
      <c r="Y295" s="157">
        <v>5.258545136E-2</v>
      </c>
      <c r="Z295" s="158">
        <v>0.49122036870000002</v>
      </c>
      <c r="AA295" s="156">
        <v>0.17559262510000001</v>
      </c>
      <c r="AB295" s="156">
        <v>0</v>
      </c>
      <c r="AC295" s="156">
        <v>0</v>
      </c>
      <c r="AD295" s="156">
        <v>0.2870939421</v>
      </c>
      <c r="AE295" s="156">
        <v>0</v>
      </c>
      <c r="AF295" s="159">
        <v>4.6093064089999997E-2</v>
      </c>
      <c r="AG295" s="155">
        <v>0.40190930790000001</v>
      </c>
      <c r="AH295" s="156">
        <v>0</v>
      </c>
      <c r="AI295" s="156">
        <v>0</v>
      </c>
      <c r="AJ295" s="156">
        <v>2.0525059670000002E-2</v>
      </c>
      <c r="AK295" s="156">
        <v>0.42720763719999999</v>
      </c>
      <c r="AL295" s="156">
        <v>9.5942720760000003E-2</v>
      </c>
      <c r="AM295" s="157">
        <v>5.4415274460000003E-2</v>
      </c>
      <c r="AN295" s="158">
        <v>0.40477326969999999</v>
      </c>
      <c r="AO295" s="156">
        <v>0</v>
      </c>
      <c r="AP295" s="156">
        <v>0</v>
      </c>
      <c r="AQ295" s="156">
        <v>0</v>
      </c>
      <c r="AR295" s="156">
        <v>0.430548926</v>
      </c>
      <c r="AS295" s="156">
        <v>8.735083532E-2</v>
      </c>
      <c r="AT295" s="159">
        <v>7.7326968970000007E-2</v>
      </c>
    </row>
    <row r="296" spans="1:46" ht="12.75">
      <c r="A296" s="67" t="s">
        <v>8</v>
      </c>
      <c r="B296" s="67" t="s">
        <v>633</v>
      </c>
      <c r="C296" s="67" t="s">
        <v>649</v>
      </c>
      <c r="D296" s="67" t="s">
        <v>649</v>
      </c>
      <c r="E296" s="155">
        <v>0.39323573950000001</v>
      </c>
      <c r="F296" s="156">
        <v>0.44119131750000001</v>
      </c>
      <c r="G296" s="156">
        <v>2.019182231E-2</v>
      </c>
      <c r="H296" s="156">
        <v>8.0767289250000002E-3</v>
      </c>
      <c r="I296" s="156">
        <v>0</v>
      </c>
      <c r="J296" s="156">
        <v>0</v>
      </c>
      <c r="K296" s="157">
        <v>0.1373043917</v>
      </c>
      <c r="L296" s="158">
        <v>0.55836280949999995</v>
      </c>
      <c r="M296" s="156">
        <v>0.38201111669999999</v>
      </c>
      <c r="N296" s="156">
        <v>1.6169782720000001E-2</v>
      </c>
      <c r="O296" s="156">
        <v>0</v>
      </c>
      <c r="P296" s="156">
        <v>0</v>
      </c>
      <c r="Q296" s="156">
        <v>0</v>
      </c>
      <c r="R296" s="159">
        <v>4.3456291059999999E-2</v>
      </c>
      <c r="S296" s="155">
        <v>0.4809224319</v>
      </c>
      <c r="T296" s="156">
        <v>0.4280922432</v>
      </c>
      <c r="U296" s="156">
        <v>0</v>
      </c>
      <c r="V296" s="156">
        <v>0</v>
      </c>
      <c r="W296" s="156">
        <v>2.180293501E-2</v>
      </c>
      <c r="X296" s="156">
        <v>0</v>
      </c>
      <c r="Y296" s="157">
        <v>6.9182389940000005E-2</v>
      </c>
      <c r="Z296" s="158">
        <v>0.45911949689999998</v>
      </c>
      <c r="AA296" s="156">
        <v>0.42599580710000001</v>
      </c>
      <c r="AB296" s="156">
        <v>0</v>
      </c>
      <c r="AC296" s="156">
        <v>0</v>
      </c>
      <c r="AD296" s="156">
        <v>4.7798742140000003E-2</v>
      </c>
      <c r="AE296" s="156">
        <v>0</v>
      </c>
      <c r="AF296" s="159">
        <v>6.7085953879999993E-2</v>
      </c>
      <c r="AG296" s="155">
        <v>0.46135940409999998</v>
      </c>
      <c r="AH296" s="156">
        <v>0</v>
      </c>
      <c r="AI296" s="156">
        <v>0</v>
      </c>
      <c r="AJ296" s="156">
        <v>2.0949720670000001E-2</v>
      </c>
      <c r="AK296" s="156">
        <v>0.3058659218</v>
      </c>
      <c r="AL296" s="156">
        <v>0.1485102421</v>
      </c>
      <c r="AM296" s="157">
        <v>6.3314711359999998E-2</v>
      </c>
      <c r="AN296" s="158">
        <v>0.4757914339</v>
      </c>
      <c r="AO296" s="156">
        <v>0</v>
      </c>
      <c r="AP296" s="156">
        <v>0</v>
      </c>
      <c r="AQ296" s="156">
        <v>0</v>
      </c>
      <c r="AR296" s="156">
        <v>0.30819366850000002</v>
      </c>
      <c r="AS296" s="156">
        <v>0.15502793300000001</v>
      </c>
      <c r="AT296" s="159">
        <v>6.098696462E-2</v>
      </c>
    </row>
    <row r="297" spans="1:46" ht="12.75">
      <c r="A297" s="67" t="s">
        <v>8</v>
      </c>
      <c r="B297" s="67" t="s">
        <v>633</v>
      </c>
      <c r="C297" s="67" t="s">
        <v>651</v>
      </c>
      <c r="D297" s="67" t="s">
        <v>651</v>
      </c>
      <c r="E297" s="155">
        <v>0.33356594560000002</v>
      </c>
      <c r="F297" s="156">
        <v>0.49057920449999998</v>
      </c>
      <c r="G297" s="156">
        <v>7.6762037679999999E-3</v>
      </c>
      <c r="H297" s="156">
        <v>1.0467550589999999E-2</v>
      </c>
      <c r="I297" s="156">
        <v>0</v>
      </c>
      <c r="J297" s="156">
        <v>0</v>
      </c>
      <c r="K297" s="157">
        <v>0.15771109559999999</v>
      </c>
      <c r="L297" s="158">
        <v>0.48429867409999999</v>
      </c>
      <c r="M297" s="156">
        <v>0.43963712490000001</v>
      </c>
      <c r="N297" s="156">
        <v>9.0718771810000005E-3</v>
      </c>
      <c r="O297" s="156">
        <v>0</v>
      </c>
      <c r="P297" s="156">
        <v>0</v>
      </c>
      <c r="Q297" s="156">
        <v>0</v>
      </c>
      <c r="R297" s="159">
        <v>6.6992323800000003E-2</v>
      </c>
      <c r="S297" s="155">
        <v>0.50390902630000001</v>
      </c>
      <c r="T297" s="156">
        <v>0.31627576400000001</v>
      </c>
      <c r="U297" s="156">
        <v>0</v>
      </c>
      <c r="V297" s="156">
        <v>0</v>
      </c>
      <c r="W297" s="156">
        <v>0.12153518119999999</v>
      </c>
      <c r="X297" s="156">
        <v>0</v>
      </c>
      <c r="Y297" s="157">
        <v>5.8280028429999998E-2</v>
      </c>
      <c r="Z297" s="158">
        <v>0.4854299929</v>
      </c>
      <c r="AA297" s="156">
        <v>0.32551528070000002</v>
      </c>
      <c r="AB297" s="156">
        <v>0</v>
      </c>
      <c r="AC297" s="156">
        <v>0</v>
      </c>
      <c r="AD297" s="156">
        <v>0.1499644634</v>
      </c>
      <c r="AE297" s="156">
        <v>0</v>
      </c>
      <c r="AF297" s="159">
        <v>3.9090262969999998E-2</v>
      </c>
      <c r="AG297" s="155">
        <v>0.57641311930000005</v>
      </c>
      <c r="AH297" s="156">
        <v>0</v>
      </c>
      <c r="AI297" s="156">
        <v>0</v>
      </c>
      <c r="AJ297" s="156">
        <v>3.8381018840000003E-2</v>
      </c>
      <c r="AK297" s="156">
        <v>0.19190509419999999</v>
      </c>
      <c r="AL297" s="156">
        <v>9.1416608509999997E-2</v>
      </c>
      <c r="AM297" s="157">
        <v>0.1018841591</v>
      </c>
      <c r="AN297" s="158">
        <v>0.5799023029</v>
      </c>
      <c r="AO297" s="156">
        <v>0</v>
      </c>
      <c r="AP297" s="156">
        <v>0</v>
      </c>
      <c r="AQ297" s="156">
        <v>0</v>
      </c>
      <c r="AR297" s="156">
        <v>0.20865317520000001</v>
      </c>
      <c r="AS297" s="156">
        <v>9.8394975580000002E-2</v>
      </c>
      <c r="AT297" s="159">
        <v>0.11304954640000001</v>
      </c>
    </row>
    <row r="298" spans="1:46" ht="12.75">
      <c r="A298" s="67" t="s">
        <v>8</v>
      </c>
      <c r="B298" s="67" t="s">
        <v>633</v>
      </c>
      <c r="C298" s="67" t="s">
        <v>633</v>
      </c>
      <c r="D298" s="67" t="s">
        <v>633</v>
      </c>
      <c r="E298" s="155">
        <v>0.39158415839999999</v>
      </c>
      <c r="F298" s="156">
        <v>0.3848184818</v>
      </c>
      <c r="G298" s="156">
        <v>5.0825082510000001E-2</v>
      </c>
      <c r="H298" s="156">
        <v>4.4554455449999997E-3</v>
      </c>
      <c r="I298" s="156">
        <v>0</v>
      </c>
      <c r="J298" s="156">
        <v>0</v>
      </c>
      <c r="K298" s="157">
        <v>0.1683168317</v>
      </c>
      <c r="L298" s="158">
        <v>0.27293729370000003</v>
      </c>
      <c r="M298" s="156">
        <v>0.6541254125</v>
      </c>
      <c r="N298" s="156">
        <v>3.03630363E-2</v>
      </c>
      <c r="O298" s="156">
        <v>0</v>
      </c>
      <c r="P298" s="156">
        <v>0</v>
      </c>
      <c r="Q298" s="156">
        <v>0</v>
      </c>
      <c r="R298" s="159">
        <v>4.2574257429999998E-2</v>
      </c>
      <c r="S298" s="155">
        <v>0.51859468720000002</v>
      </c>
      <c r="T298" s="156">
        <v>0.22107969150000001</v>
      </c>
      <c r="U298" s="156">
        <v>0</v>
      </c>
      <c r="V298" s="156">
        <v>0</v>
      </c>
      <c r="W298" s="156">
        <v>0.23033419020000001</v>
      </c>
      <c r="X298" s="156">
        <v>0</v>
      </c>
      <c r="Y298" s="157">
        <v>2.9991431020000001E-2</v>
      </c>
      <c r="Z298" s="158">
        <v>0.50385604110000004</v>
      </c>
      <c r="AA298" s="156">
        <v>0.19674378749999999</v>
      </c>
      <c r="AB298" s="156">
        <v>0</v>
      </c>
      <c r="AC298" s="156">
        <v>0</v>
      </c>
      <c r="AD298" s="156">
        <v>0.2736932305</v>
      </c>
      <c r="AE298" s="156">
        <v>0</v>
      </c>
      <c r="AF298" s="159">
        <v>2.570694087E-2</v>
      </c>
      <c r="AG298" s="155">
        <v>0.46715049660000002</v>
      </c>
      <c r="AH298" s="156">
        <v>0</v>
      </c>
      <c r="AI298" s="156">
        <v>0</v>
      </c>
      <c r="AJ298" s="156">
        <v>1.8716577540000001E-2</v>
      </c>
      <c r="AK298" s="156">
        <v>0.30748663100000001</v>
      </c>
      <c r="AL298" s="156">
        <v>0.1504965623</v>
      </c>
      <c r="AM298" s="157">
        <v>5.6149732619999997E-2</v>
      </c>
      <c r="AN298" s="158">
        <v>0.50515660809999996</v>
      </c>
      <c r="AO298" s="156">
        <v>0</v>
      </c>
      <c r="AP298" s="156">
        <v>0</v>
      </c>
      <c r="AQ298" s="156">
        <v>0</v>
      </c>
      <c r="AR298" s="156">
        <v>0.30252100840000001</v>
      </c>
      <c r="AS298" s="156">
        <v>0.14132925900000001</v>
      </c>
      <c r="AT298" s="159">
        <v>5.0993124520000002E-2</v>
      </c>
    </row>
    <row r="299" spans="1:46" ht="12.75">
      <c r="A299" s="67" t="s">
        <v>8</v>
      </c>
      <c r="B299" s="67" t="s">
        <v>633</v>
      </c>
      <c r="C299" s="67" t="s">
        <v>654</v>
      </c>
      <c r="D299" s="67" t="s">
        <v>654</v>
      </c>
      <c r="E299" s="155">
        <v>0.39469578779999998</v>
      </c>
      <c r="F299" s="156">
        <v>0.44773790949999998</v>
      </c>
      <c r="G299" s="156">
        <v>4.6801872070000002E-3</v>
      </c>
      <c r="H299" s="156">
        <v>3.120124805E-3</v>
      </c>
      <c r="I299" s="156">
        <v>0</v>
      </c>
      <c r="J299" s="156">
        <v>0</v>
      </c>
      <c r="K299" s="157">
        <v>0.14976599060000001</v>
      </c>
      <c r="L299" s="158">
        <v>0.60062402500000001</v>
      </c>
      <c r="M299" s="156">
        <v>0.3198127925</v>
      </c>
      <c r="N299" s="156">
        <v>6.24024961E-3</v>
      </c>
      <c r="O299" s="156">
        <v>0</v>
      </c>
      <c r="P299" s="156">
        <v>0</v>
      </c>
      <c r="Q299" s="156">
        <v>0</v>
      </c>
      <c r="R299" s="159">
        <v>7.332293292E-2</v>
      </c>
      <c r="S299" s="155">
        <v>0.59491525420000002</v>
      </c>
      <c r="T299" s="156">
        <v>0.28813559319999998</v>
      </c>
      <c r="U299" s="156">
        <v>0</v>
      </c>
      <c r="V299" s="156">
        <v>0</v>
      </c>
      <c r="W299" s="156">
        <v>8.4745762709999995E-3</v>
      </c>
      <c r="X299" s="156">
        <v>0</v>
      </c>
      <c r="Y299" s="157">
        <v>0.1084745763</v>
      </c>
      <c r="Z299" s="158">
        <v>0.49322033900000001</v>
      </c>
      <c r="AA299" s="156">
        <v>0.25254237289999998</v>
      </c>
      <c r="AB299" s="156">
        <v>0</v>
      </c>
      <c r="AC299" s="156">
        <v>0</v>
      </c>
      <c r="AD299" s="156">
        <v>5.4237288139999999E-2</v>
      </c>
      <c r="AE299" s="156">
        <v>0</v>
      </c>
      <c r="AF299" s="159">
        <v>0.2</v>
      </c>
      <c r="AG299" s="155">
        <v>0.44339622639999998</v>
      </c>
      <c r="AH299" s="156">
        <v>0</v>
      </c>
      <c r="AI299" s="156">
        <v>0</v>
      </c>
      <c r="AJ299" s="156">
        <v>0.20566037740000001</v>
      </c>
      <c r="AK299" s="156">
        <v>0.1113207547</v>
      </c>
      <c r="AL299" s="156">
        <v>9.2452830190000002E-2</v>
      </c>
      <c r="AM299" s="157">
        <v>0.14716981130000001</v>
      </c>
      <c r="AN299" s="158">
        <v>0.45849056599999999</v>
      </c>
      <c r="AO299" s="156">
        <v>0</v>
      </c>
      <c r="AP299" s="156">
        <v>0</v>
      </c>
      <c r="AQ299" s="156">
        <v>0</v>
      </c>
      <c r="AR299" s="156">
        <v>0.13396226419999999</v>
      </c>
      <c r="AS299" s="156">
        <v>7.5471698109999999E-2</v>
      </c>
      <c r="AT299" s="159">
        <v>0.33207547170000001</v>
      </c>
    </row>
    <row r="300" spans="1:46" ht="12.75">
      <c r="A300" s="67" t="s">
        <v>8</v>
      </c>
      <c r="B300" s="67" t="s">
        <v>633</v>
      </c>
      <c r="C300" s="67" t="s">
        <v>655</v>
      </c>
      <c r="D300" s="67" t="s">
        <v>655</v>
      </c>
      <c r="E300" s="155">
        <v>0.41201117320000002</v>
      </c>
      <c r="F300" s="156">
        <v>0.64245810059999997</v>
      </c>
      <c r="G300" s="156">
        <v>2.2346368719999999E-2</v>
      </c>
      <c r="H300" s="156">
        <v>1.1173184359999999E-2</v>
      </c>
      <c r="I300" s="156">
        <v>0</v>
      </c>
      <c r="J300" s="156">
        <v>0</v>
      </c>
      <c r="K300" s="157">
        <v>8.7988826820000005E-2</v>
      </c>
      <c r="L300" s="158">
        <v>0.54253835429999997</v>
      </c>
      <c r="M300" s="156">
        <v>0.41841004180000002</v>
      </c>
      <c r="N300" s="156">
        <v>1.8131101810000001E-2</v>
      </c>
      <c r="O300" s="156">
        <v>0</v>
      </c>
      <c r="P300" s="156">
        <v>0</v>
      </c>
      <c r="Q300" s="156">
        <v>0</v>
      </c>
      <c r="R300" s="159">
        <v>2.0920502090000001E-2</v>
      </c>
      <c r="S300" s="155">
        <v>0.56105100460000001</v>
      </c>
      <c r="T300" s="156">
        <v>0.2318392581</v>
      </c>
      <c r="U300" s="156">
        <v>0</v>
      </c>
      <c r="V300" s="156">
        <v>0</v>
      </c>
      <c r="W300" s="156">
        <v>0.14219474500000001</v>
      </c>
      <c r="X300" s="156">
        <v>0</v>
      </c>
      <c r="Y300" s="157">
        <v>6.4914992269999999E-2</v>
      </c>
      <c r="Z300" s="158">
        <v>0.52550231839999995</v>
      </c>
      <c r="AA300" s="156">
        <v>0.1916537867</v>
      </c>
      <c r="AB300" s="156">
        <v>0</v>
      </c>
      <c r="AC300" s="156">
        <v>0</v>
      </c>
      <c r="AD300" s="156">
        <v>0.1978361669</v>
      </c>
      <c r="AE300" s="156">
        <v>0</v>
      </c>
      <c r="AF300" s="159">
        <v>8.5007727980000003E-2</v>
      </c>
      <c r="AG300" s="155">
        <v>0.49751243779999998</v>
      </c>
      <c r="AH300" s="156">
        <v>0</v>
      </c>
      <c r="AI300" s="156">
        <v>0</v>
      </c>
      <c r="AJ300" s="156">
        <v>9.9502487560000005E-3</v>
      </c>
      <c r="AK300" s="156">
        <v>0.20729684910000001</v>
      </c>
      <c r="AL300" s="156">
        <v>0.25704809290000002</v>
      </c>
      <c r="AM300" s="157">
        <v>2.8192371479999999E-2</v>
      </c>
      <c r="AN300" s="158">
        <v>0.50912106140000002</v>
      </c>
      <c r="AO300" s="156">
        <v>0</v>
      </c>
      <c r="AP300" s="156">
        <v>0</v>
      </c>
      <c r="AQ300" s="156">
        <v>0</v>
      </c>
      <c r="AR300" s="156">
        <v>0.22056384740000001</v>
      </c>
      <c r="AS300" s="156">
        <v>0.24378109449999999</v>
      </c>
      <c r="AT300" s="159">
        <v>2.6533996680000001E-2</v>
      </c>
    </row>
    <row r="301" spans="1:46" ht="12.75">
      <c r="A301" s="67" t="s">
        <v>8</v>
      </c>
      <c r="B301" s="67" t="s">
        <v>633</v>
      </c>
      <c r="C301" s="67" t="s">
        <v>333</v>
      </c>
      <c r="D301" s="67" t="s">
        <v>333</v>
      </c>
      <c r="E301" s="155">
        <v>0.60195903829999997</v>
      </c>
      <c r="F301" s="156">
        <v>0.72929652720000004</v>
      </c>
      <c r="G301" s="156">
        <v>6.2333036510000004E-3</v>
      </c>
      <c r="H301" s="156">
        <v>2.67141585E-3</v>
      </c>
      <c r="I301" s="156">
        <v>0</v>
      </c>
      <c r="J301" s="156">
        <v>0</v>
      </c>
      <c r="K301" s="157">
        <v>0.34016028500000001</v>
      </c>
      <c r="L301" s="158">
        <v>0.34016028500000001</v>
      </c>
      <c r="M301" s="156">
        <v>0.56901157609999997</v>
      </c>
      <c r="N301" s="156">
        <v>6.2333036510000004E-3</v>
      </c>
      <c r="O301" s="156">
        <v>0</v>
      </c>
      <c r="P301" s="156">
        <v>0</v>
      </c>
      <c r="Q301" s="156">
        <v>0</v>
      </c>
      <c r="R301" s="159">
        <v>8.4594835260000001E-2</v>
      </c>
      <c r="S301" s="155">
        <v>0.44223107569999998</v>
      </c>
      <c r="T301" s="156">
        <v>0.2599601594</v>
      </c>
      <c r="U301" s="156">
        <v>0</v>
      </c>
      <c r="V301" s="156">
        <v>0</v>
      </c>
      <c r="W301" s="156">
        <v>0.1464143426</v>
      </c>
      <c r="X301" s="156">
        <v>0</v>
      </c>
      <c r="Y301" s="157">
        <v>0.1513944223</v>
      </c>
      <c r="Z301" s="158">
        <v>0.42529880479999999</v>
      </c>
      <c r="AA301" s="156">
        <v>0.28187251000000002</v>
      </c>
      <c r="AB301" s="156">
        <v>0</v>
      </c>
      <c r="AC301" s="156">
        <v>0</v>
      </c>
      <c r="AD301" s="156">
        <v>0.18824701199999999</v>
      </c>
      <c r="AE301" s="156">
        <v>0</v>
      </c>
      <c r="AF301" s="159">
        <v>0.1045816733</v>
      </c>
      <c r="AG301" s="155">
        <v>0.3887079262</v>
      </c>
      <c r="AH301" s="156">
        <v>0</v>
      </c>
      <c r="AI301" s="156">
        <v>0</v>
      </c>
      <c r="AJ301" s="156">
        <v>5.2117263839999997E-2</v>
      </c>
      <c r="AK301" s="156">
        <v>0.4006514658</v>
      </c>
      <c r="AL301" s="156">
        <v>6.5146579800000007E-2</v>
      </c>
      <c r="AM301" s="157">
        <v>9.3376764390000006E-2</v>
      </c>
      <c r="AN301" s="158">
        <v>0.4262295082</v>
      </c>
      <c r="AO301" s="156">
        <v>0</v>
      </c>
      <c r="AP301" s="156">
        <v>0</v>
      </c>
      <c r="AQ301" s="156">
        <v>0</v>
      </c>
      <c r="AR301" s="156">
        <v>0.39562841529999998</v>
      </c>
      <c r="AS301" s="156">
        <v>6.3387978139999995E-2</v>
      </c>
      <c r="AT301" s="159">
        <v>0.1147540984</v>
      </c>
    </row>
    <row r="302" spans="1:46" ht="12.75">
      <c r="A302" s="67" t="s">
        <v>8</v>
      </c>
      <c r="B302" s="67" t="s">
        <v>788</v>
      </c>
      <c r="C302" s="67" t="s">
        <v>788</v>
      </c>
      <c r="D302" s="67" t="s">
        <v>788</v>
      </c>
      <c r="E302" s="155">
        <v>0.4272836538</v>
      </c>
      <c r="F302" s="156">
        <v>0.5805288462</v>
      </c>
      <c r="G302" s="156">
        <v>4.8197115380000002E-2</v>
      </c>
      <c r="H302" s="156">
        <v>4.8677884620000004E-3</v>
      </c>
      <c r="I302" s="156">
        <v>0</v>
      </c>
      <c r="J302" s="156">
        <v>0</v>
      </c>
      <c r="K302" s="157">
        <v>6.0877403849999998E-2</v>
      </c>
      <c r="L302" s="158">
        <v>0.4386755604</v>
      </c>
      <c r="M302" s="156">
        <v>0.46541674179999998</v>
      </c>
      <c r="N302" s="156">
        <v>5.1198846219999997E-2</v>
      </c>
      <c r="O302" s="156">
        <v>0</v>
      </c>
      <c r="P302" s="156">
        <v>0</v>
      </c>
      <c r="Q302" s="156">
        <v>0</v>
      </c>
      <c r="R302" s="159">
        <v>4.4708851629999997E-2</v>
      </c>
      <c r="S302" s="155">
        <v>0.4375443074</v>
      </c>
      <c r="T302" s="156">
        <v>0.47086346239999999</v>
      </c>
      <c r="U302" s="156">
        <v>0</v>
      </c>
      <c r="V302" s="156">
        <v>0</v>
      </c>
      <c r="W302" s="156">
        <v>2.1692896640000001E-2</v>
      </c>
      <c r="X302" s="156">
        <v>0</v>
      </c>
      <c r="Y302" s="157">
        <v>6.9899333620000004E-2</v>
      </c>
      <c r="Z302" s="158">
        <v>0.40907479619999998</v>
      </c>
      <c r="AA302" s="156">
        <v>0.46664303439999999</v>
      </c>
      <c r="AB302" s="156">
        <v>0</v>
      </c>
      <c r="AC302" s="156">
        <v>0</v>
      </c>
      <c r="AD302" s="156">
        <v>3.2612548739999997E-2</v>
      </c>
      <c r="AE302" s="156">
        <v>0</v>
      </c>
      <c r="AF302" s="159">
        <v>9.1669620699999996E-2</v>
      </c>
      <c r="AG302" s="155">
        <v>0.28917228490000002</v>
      </c>
      <c r="AH302" s="156">
        <v>0</v>
      </c>
      <c r="AI302" s="156">
        <v>0</v>
      </c>
      <c r="AJ302" s="156">
        <v>1.397124523E-2</v>
      </c>
      <c r="AK302" s="156">
        <v>0.38234099589999998</v>
      </c>
      <c r="AL302" s="156">
        <v>0.24011047029999999</v>
      </c>
      <c r="AM302" s="157">
        <v>7.4405003659999996E-2</v>
      </c>
      <c r="AN302" s="158">
        <v>0.30495759950000001</v>
      </c>
      <c r="AO302" s="156">
        <v>0</v>
      </c>
      <c r="AP302" s="156">
        <v>0</v>
      </c>
      <c r="AQ302" s="156">
        <v>0</v>
      </c>
      <c r="AR302" s="156">
        <v>0.37084148729999999</v>
      </c>
      <c r="AS302" s="156">
        <v>0.2470645793</v>
      </c>
      <c r="AT302" s="159">
        <v>7.713633399E-2</v>
      </c>
    </row>
    <row r="303" spans="1:46" ht="12.75">
      <c r="A303" s="67" t="s">
        <v>8</v>
      </c>
      <c r="B303" s="67" t="s">
        <v>658</v>
      </c>
      <c r="C303" s="67" t="s">
        <v>659</v>
      </c>
      <c r="D303" s="67" t="s">
        <v>659</v>
      </c>
      <c r="E303" s="155">
        <v>0.3306551298</v>
      </c>
      <c r="F303" s="156">
        <v>0.77379480840000003</v>
      </c>
      <c r="G303" s="156">
        <v>9.0234857850000003E-2</v>
      </c>
      <c r="H303" s="156">
        <v>3.0902348579999999E-3</v>
      </c>
      <c r="I303" s="156">
        <v>0</v>
      </c>
      <c r="J303" s="156">
        <v>0</v>
      </c>
      <c r="K303" s="157">
        <v>0.19777503090000001</v>
      </c>
      <c r="L303" s="158">
        <v>0.3856613103</v>
      </c>
      <c r="M303" s="156">
        <v>0.48331273180000001</v>
      </c>
      <c r="N303" s="156">
        <v>9.0234857850000003E-2</v>
      </c>
      <c r="O303" s="156">
        <v>0</v>
      </c>
      <c r="P303" s="156">
        <v>0</v>
      </c>
      <c r="Q303" s="156">
        <v>0</v>
      </c>
      <c r="R303" s="159">
        <v>4.079110012E-2</v>
      </c>
      <c r="S303" s="155">
        <v>0.360166551</v>
      </c>
      <c r="T303" s="156">
        <v>0.58431644689999995</v>
      </c>
      <c r="U303" s="156">
        <v>0</v>
      </c>
      <c r="V303" s="156">
        <v>0</v>
      </c>
      <c r="W303" s="156">
        <v>2.0124913250000001E-2</v>
      </c>
      <c r="X303" s="156">
        <v>0</v>
      </c>
      <c r="Y303" s="157">
        <v>3.5392088830000001E-2</v>
      </c>
      <c r="Z303" s="158">
        <v>0.35114503819999998</v>
      </c>
      <c r="AA303" s="156">
        <v>0.5787647467</v>
      </c>
      <c r="AB303" s="156">
        <v>0</v>
      </c>
      <c r="AC303" s="156">
        <v>0</v>
      </c>
      <c r="AD303" s="156">
        <v>3.3310201249999997E-2</v>
      </c>
      <c r="AE303" s="156">
        <v>0</v>
      </c>
      <c r="AF303" s="159">
        <v>3.6780013879999997E-2</v>
      </c>
      <c r="AG303" s="155">
        <v>0.244760479</v>
      </c>
      <c r="AH303" s="156">
        <v>0</v>
      </c>
      <c r="AI303" s="156">
        <v>0</v>
      </c>
      <c r="AJ303" s="156">
        <v>1.871257485E-2</v>
      </c>
      <c r="AK303" s="156">
        <v>0.45808383229999999</v>
      </c>
      <c r="AL303" s="156">
        <v>0.244760479</v>
      </c>
      <c r="AM303" s="157">
        <v>3.3682634730000001E-2</v>
      </c>
      <c r="AN303" s="158">
        <v>0.25224550899999998</v>
      </c>
      <c r="AO303" s="156">
        <v>0</v>
      </c>
      <c r="AP303" s="156">
        <v>0</v>
      </c>
      <c r="AQ303" s="156">
        <v>0</v>
      </c>
      <c r="AR303" s="156">
        <v>0.44610778439999998</v>
      </c>
      <c r="AS303" s="156">
        <v>0.24550898199999999</v>
      </c>
      <c r="AT303" s="159">
        <v>5.6137724549999997E-2</v>
      </c>
    </row>
    <row r="304" spans="1:46" ht="12.75">
      <c r="A304" s="67" t="s">
        <v>8</v>
      </c>
      <c r="B304" s="67" t="s">
        <v>658</v>
      </c>
      <c r="C304" s="67" t="s">
        <v>660</v>
      </c>
      <c r="D304" s="67" t="s">
        <v>660</v>
      </c>
      <c r="E304" s="155">
        <v>0.69618320609999995</v>
      </c>
      <c r="F304" s="156">
        <v>0.78167938930000003</v>
      </c>
      <c r="G304" s="156">
        <v>0.1236641221</v>
      </c>
      <c r="H304" s="156">
        <v>9.1603053439999992E-3</v>
      </c>
      <c r="I304" s="156">
        <v>0</v>
      </c>
      <c r="J304" s="156">
        <v>0</v>
      </c>
      <c r="K304" s="157">
        <v>0.61068702289999999</v>
      </c>
      <c r="L304" s="158">
        <v>0.26412213740000001</v>
      </c>
      <c r="M304" s="156">
        <v>0.56030534350000005</v>
      </c>
      <c r="N304" s="156">
        <v>0.12671755730000001</v>
      </c>
      <c r="O304" s="156">
        <v>0</v>
      </c>
      <c r="P304" s="156">
        <v>0</v>
      </c>
      <c r="Q304" s="156">
        <v>0</v>
      </c>
      <c r="R304" s="159">
        <v>4.8854961830000002E-2</v>
      </c>
      <c r="S304" s="155">
        <v>0.4168190128</v>
      </c>
      <c r="T304" s="156">
        <v>0.46069469839999999</v>
      </c>
      <c r="U304" s="156">
        <v>0</v>
      </c>
      <c r="V304" s="156">
        <v>0</v>
      </c>
      <c r="W304" s="156">
        <v>1.0968921390000001E-2</v>
      </c>
      <c r="X304" s="156">
        <v>0</v>
      </c>
      <c r="Y304" s="157">
        <v>0.11151736750000001</v>
      </c>
      <c r="Z304" s="158">
        <v>0.365630713</v>
      </c>
      <c r="AA304" s="156">
        <v>0.37294332720000001</v>
      </c>
      <c r="AB304" s="156">
        <v>0</v>
      </c>
      <c r="AC304" s="156">
        <v>0</v>
      </c>
      <c r="AD304" s="156">
        <v>1.828153565E-2</v>
      </c>
      <c r="AE304" s="156">
        <v>0</v>
      </c>
      <c r="AF304" s="159">
        <v>0.24314442410000001</v>
      </c>
      <c r="AG304" s="155">
        <v>0.2381852552</v>
      </c>
      <c r="AH304" s="156">
        <v>0</v>
      </c>
      <c r="AI304" s="156">
        <v>0</v>
      </c>
      <c r="AJ304" s="156">
        <v>2.0793950849999999E-2</v>
      </c>
      <c r="AK304" s="156">
        <v>0.27410207939999998</v>
      </c>
      <c r="AL304" s="156">
        <v>0.37240075610000001</v>
      </c>
      <c r="AM304" s="157">
        <v>9.4517958410000005E-2</v>
      </c>
      <c r="AN304" s="158">
        <v>0.24385633270000001</v>
      </c>
      <c r="AO304" s="156">
        <v>0</v>
      </c>
      <c r="AP304" s="156">
        <v>0</v>
      </c>
      <c r="AQ304" s="156">
        <v>0</v>
      </c>
      <c r="AR304" s="156">
        <v>0.29489603019999999</v>
      </c>
      <c r="AS304" s="156">
        <v>0.35349716450000002</v>
      </c>
      <c r="AT304" s="159">
        <v>0.10775047259999999</v>
      </c>
    </row>
    <row r="305" spans="1:46" ht="12.75">
      <c r="A305" s="67" t="s">
        <v>8</v>
      </c>
      <c r="B305" s="67" t="s">
        <v>658</v>
      </c>
      <c r="C305" s="67" t="s">
        <v>661</v>
      </c>
      <c r="D305" s="67" t="s">
        <v>661</v>
      </c>
      <c r="E305" s="155">
        <v>0.46111111110000003</v>
      </c>
      <c r="F305" s="156">
        <v>0.53174603170000001</v>
      </c>
      <c r="G305" s="156">
        <v>4.2063492059999999E-2</v>
      </c>
      <c r="H305" s="156">
        <v>7.1428571429999997E-3</v>
      </c>
      <c r="I305" s="156">
        <v>0</v>
      </c>
      <c r="J305" s="156">
        <v>0</v>
      </c>
      <c r="K305" s="157">
        <v>4.2063492059999999E-2</v>
      </c>
      <c r="L305" s="158">
        <v>0.35901509129999998</v>
      </c>
      <c r="M305" s="156">
        <v>0.53455123110000002</v>
      </c>
      <c r="N305" s="156">
        <v>4.8451151710000001E-2</v>
      </c>
      <c r="O305" s="156">
        <v>0</v>
      </c>
      <c r="P305" s="156">
        <v>0</v>
      </c>
      <c r="Q305" s="156">
        <v>0</v>
      </c>
      <c r="R305" s="159">
        <v>5.7982525809999998E-2</v>
      </c>
      <c r="S305" s="155">
        <v>0.43459174709999998</v>
      </c>
      <c r="T305" s="156">
        <v>0.50482879719999996</v>
      </c>
      <c r="U305" s="156">
        <v>0</v>
      </c>
      <c r="V305" s="156">
        <v>0</v>
      </c>
      <c r="W305" s="156">
        <v>7.9016681299999992E-3</v>
      </c>
      <c r="X305" s="156">
        <v>0</v>
      </c>
      <c r="Y305" s="157">
        <v>5.2677787529999999E-2</v>
      </c>
      <c r="Z305" s="158">
        <v>0.39771729589999999</v>
      </c>
      <c r="AA305" s="156">
        <v>0.51712028089999995</v>
      </c>
      <c r="AB305" s="156">
        <v>0</v>
      </c>
      <c r="AC305" s="156">
        <v>0</v>
      </c>
      <c r="AD305" s="156">
        <v>2.1949078140000002E-2</v>
      </c>
      <c r="AE305" s="156">
        <v>0</v>
      </c>
      <c r="AF305" s="159">
        <v>6.3213345039999994E-2</v>
      </c>
      <c r="AG305" s="155">
        <v>0.2</v>
      </c>
      <c r="AH305" s="156">
        <v>0</v>
      </c>
      <c r="AI305" s="156">
        <v>0</v>
      </c>
      <c r="AJ305" s="156">
        <v>7.7669902909999998E-3</v>
      </c>
      <c r="AK305" s="156">
        <v>0.47184466019999999</v>
      </c>
      <c r="AL305" s="156">
        <v>0.2310679612</v>
      </c>
      <c r="AM305" s="157">
        <v>8.9320388350000002E-2</v>
      </c>
      <c r="AN305" s="158">
        <v>0.1941747573</v>
      </c>
      <c r="AO305" s="156">
        <v>0</v>
      </c>
      <c r="AP305" s="156">
        <v>0</v>
      </c>
      <c r="AQ305" s="156">
        <v>0</v>
      </c>
      <c r="AR305" s="156">
        <v>0.47475728160000003</v>
      </c>
      <c r="AS305" s="156">
        <v>0.2349514563</v>
      </c>
      <c r="AT305" s="159">
        <v>9.6116504850000006E-2</v>
      </c>
    </row>
    <row r="306" spans="1:46" ht="12.75">
      <c r="A306" s="67" t="s">
        <v>8</v>
      </c>
      <c r="B306" s="67" t="s">
        <v>658</v>
      </c>
      <c r="C306" s="67" t="s">
        <v>662</v>
      </c>
      <c r="D306" s="67" t="s">
        <v>662</v>
      </c>
      <c r="E306" s="155">
        <v>0.44932126700000002</v>
      </c>
      <c r="F306" s="156">
        <v>0.75339366519999995</v>
      </c>
      <c r="G306" s="156">
        <v>3.8009049769999997E-2</v>
      </c>
      <c r="H306" s="156">
        <v>1.176470588E-2</v>
      </c>
      <c r="I306" s="156">
        <v>0</v>
      </c>
      <c r="J306" s="156">
        <v>0</v>
      </c>
      <c r="K306" s="157">
        <v>0.2524886878</v>
      </c>
      <c r="L306" s="158">
        <v>0.43031674209999998</v>
      </c>
      <c r="M306" s="156">
        <v>0.47511312220000002</v>
      </c>
      <c r="N306" s="156">
        <v>3.8914027150000002E-2</v>
      </c>
      <c r="O306" s="156">
        <v>0</v>
      </c>
      <c r="P306" s="156">
        <v>0</v>
      </c>
      <c r="Q306" s="156">
        <v>0</v>
      </c>
      <c r="R306" s="159">
        <v>5.5656108599999997E-2</v>
      </c>
      <c r="S306" s="155">
        <v>0.51698513800000001</v>
      </c>
      <c r="T306" s="156">
        <v>0.39384288750000002</v>
      </c>
      <c r="U306" s="156">
        <v>0</v>
      </c>
      <c r="V306" s="156">
        <v>0</v>
      </c>
      <c r="W306" s="156">
        <v>5.3078556260000003E-3</v>
      </c>
      <c r="X306" s="156">
        <v>0</v>
      </c>
      <c r="Y306" s="157">
        <v>8.3864118900000006E-2</v>
      </c>
      <c r="Z306" s="158">
        <v>0.4962845011</v>
      </c>
      <c r="AA306" s="156">
        <v>0.40286624199999999</v>
      </c>
      <c r="AB306" s="156">
        <v>0</v>
      </c>
      <c r="AC306" s="156">
        <v>0</v>
      </c>
      <c r="AD306" s="156">
        <v>3.6624203819999999E-2</v>
      </c>
      <c r="AE306" s="156">
        <v>0</v>
      </c>
      <c r="AF306" s="159">
        <v>6.4225053079999997E-2</v>
      </c>
      <c r="AG306" s="155">
        <v>0.33626760560000002</v>
      </c>
      <c r="AH306" s="156">
        <v>0</v>
      </c>
      <c r="AI306" s="156">
        <v>0</v>
      </c>
      <c r="AJ306" s="156">
        <v>1.2910798120000001E-2</v>
      </c>
      <c r="AK306" s="156">
        <v>0.31279342719999997</v>
      </c>
      <c r="AL306" s="156">
        <v>0.27523474180000002</v>
      </c>
      <c r="AM306" s="157">
        <v>6.2793427230000004E-2</v>
      </c>
      <c r="AN306" s="158">
        <v>0.3350938967</v>
      </c>
      <c r="AO306" s="156">
        <v>0</v>
      </c>
      <c r="AP306" s="156">
        <v>0</v>
      </c>
      <c r="AQ306" s="156">
        <v>0</v>
      </c>
      <c r="AR306" s="156">
        <v>0.3145539906</v>
      </c>
      <c r="AS306" s="156">
        <v>0.27758215959999999</v>
      </c>
      <c r="AT306" s="159">
        <v>7.2769953050000002E-2</v>
      </c>
    </row>
    <row r="307" spans="1:46" ht="12.75">
      <c r="A307" s="67" t="s">
        <v>8</v>
      </c>
      <c r="B307" s="67" t="s">
        <v>658</v>
      </c>
      <c r="C307" s="67" t="s">
        <v>663</v>
      </c>
      <c r="D307" s="67" t="s">
        <v>663</v>
      </c>
      <c r="E307" s="155">
        <v>0.47085482109999999</v>
      </c>
      <c r="F307" s="156">
        <v>0.52883263010000003</v>
      </c>
      <c r="G307" s="156">
        <v>0.12283169250000001</v>
      </c>
      <c r="H307" s="156">
        <v>5.1570557900000001E-3</v>
      </c>
      <c r="I307" s="156">
        <v>0</v>
      </c>
      <c r="J307" s="156">
        <v>0</v>
      </c>
      <c r="K307" s="157">
        <v>0.1276761994</v>
      </c>
      <c r="L307" s="158">
        <v>0.37412095639999998</v>
      </c>
      <c r="M307" s="156">
        <v>0.44553836540000002</v>
      </c>
      <c r="N307" s="156">
        <v>0.14158462259999999</v>
      </c>
      <c r="O307" s="156">
        <v>0</v>
      </c>
      <c r="P307" s="156">
        <v>0</v>
      </c>
      <c r="Q307" s="156">
        <v>0</v>
      </c>
      <c r="R307" s="159">
        <v>3.8756055630000001E-2</v>
      </c>
      <c r="S307" s="155">
        <v>0.3102351069</v>
      </c>
      <c r="T307" s="156">
        <v>0.65140533850000004</v>
      </c>
      <c r="U307" s="156">
        <v>0</v>
      </c>
      <c r="V307" s="156">
        <v>0</v>
      </c>
      <c r="W307" s="156">
        <v>5.1263920809999997E-3</v>
      </c>
      <c r="X307" s="156">
        <v>0</v>
      </c>
      <c r="Y307" s="157">
        <v>3.3233162449999999E-2</v>
      </c>
      <c r="Z307" s="158">
        <v>0.29697719639999998</v>
      </c>
      <c r="AA307" s="156">
        <v>0.65847622409999995</v>
      </c>
      <c r="AB307" s="156">
        <v>0</v>
      </c>
      <c r="AC307" s="156">
        <v>0</v>
      </c>
      <c r="AD307" s="156">
        <v>1.643980909E-2</v>
      </c>
      <c r="AE307" s="156">
        <v>0</v>
      </c>
      <c r="AF307" s="159">
        <v>2.8106770369999999E-2</v>
      </c>
      <c r="AG307" s="155">
        <v>0.13307317069999999</v>
      </c>
      <c r="AH307" s="156">
        <v>0</v>
      </c>
      <c r="AI307" s="156">
        <v>0</v>
      </c>
      <c r="AJ307" s="156">
        <v>8.5853658540000002E-3</v>
      </c>
      <c r="AK307" s="156">
        <v>0.51726829269999997</v>
      </c>
      <c r="AL307" s="156">
        <v>0.26790243899999999</v>
      </c>
      <c r="AM307" s="157">
        <v>7.3170731710000006E-2</v>
      </c>
      <c r="AN307" s="158">
        <v>0.14224390240000001</v>
      </c>
      <c r="AO307" s="156">
        <v>0</v>
      </c>
      <c r="AP307" s="156">
        <v>0</v>
      </c>
      <c r="AQ307" s="156">
        <v>0</v>
      </c>
      <c r="AR307" s="156">
        <v>0.51336585369999999</v>
      </c>
      <c r="AS307" s="156">
        <v>0.26985365849999998</v>
      </c>
      <c r="AT307" s="159">
        <v>7.4536585370000005E-2</v>
      </c>
    </row>
    <row r="308" spans="1:46" ht="12.75">
      <c r="A308" s="67" t="s">
        <v>8</v>
      </c>
      <c r="B308" s="67" t="s">
        <v>658</v>
      </c>
      <c r="C308" s="67" t="s">
        <v>664</v>
      </c>
      <c r="D308" s="67" t="s">
        <v>665</v>
      </c>
      <c r="E308" s="155">
        <v>0.51234567900000005</v>
      </c>
      <c r="F308" s="156">
        <v>0.84567901229999998</v>
      </c>
      <c r="G308" s="156">
        <v>2.0576131689999999E-2</v>
      </c>
      <c r="H308" s="156">
        <v>4.1152263370000004E-3</v>
      </c>
      <c r="I308" s="156">
        <v>0</v>
      </c>
      <c r="J308" s="156">
        <v>0</v>
      </c>
      <c r="K308" s="157">
        <v>0.38271604939999998</v>
      </c>
      <c r="L308" s="158">
        <v>0.5</v>
      </c>
      <c r="M308" s="156">
        <v>0.43209876539999997</v>
      </c>
      <c r="N308" s="156">
        <v>2.6748971190000002E-2</v>
      </c>
      <c r="O308" s="156">
        <v>0</v>
      </c>
      <c r="P308" s="156">
        <v>0</v>
      </c>
      <c r="Q308" s="156">
        <v>0</v>
      </c>
      <c r="R308" s="159">
        <v>4.1152263369999997E-2</v>
      </c>
      <c r="S308" s="155">
        <v>0.38394793929999999</v>
      </c>
      <c r="T308" s="156">
        <v>0.51409978310000004</v>
      </c>
      <c r="U308" s="156">
        <v>0</v>
      </c>
      <c r="V308" s="156">
        <v>0</v>
      </c>
      <c r="W308" s="156">
        <v>8.6767895880000001E-3</v>
      </c>
      <c r="X308" s="156">
        <v>0</v>
      </c>
      <c r="Y308" s="157">
        <v>9.3275488069999996E-2</v>
      </c>
      <c r="Z308" s="158">
        <v>0.36659436010000002</v>
      </c>
      <c r="AA308" s="156">
        <v>0.51409978310000004</v>
      </c>
      <c r="AB308" s="156">
        <v>0</v>
      </c>
      <c r="AC308" s="156">
        <v>0</v>
      </c>
      <c r="AD308" s="156">
        <v>3.4707158350000003E-2</v>
      </c>
      <c r="AE308" s="156">
        <v>0</v>
      </c>
      <c r="AF308" s="159">
        <v>8.4598698479999998E-2</v>
      </c>
      <c r="AG308" s="155">
        <v>0.27649769590000001</v>
      </c>
      <c r="AH308" s="156">
        <v>0</v>
      </c>
      <c r="AI308" s="156">
        <v>0</v>
      </c>
      <c r="AJ308" s="156">
        <v>9.2165898619999999E-3</v>
      </c>
      <c r="AK308" s="156">
        <v>0.29262672810000001</v>
      </c>
      <c r="AL308" s="156">
        <v>0.23963133640000001</v>
      </c>
      <c r="AM308" s="157">
        <v>0.1820276498</v>
      </c>
      <c r="AN308" s="158">
        <v>0.28341013819999999</v>
      </c>
      <c r="AO308" s="156">
        <v>0</v>
      </c>
      <c r="AP308" s="156">
        <v>0</v>
      </c>
      <c r="AQ308" s="156">
        <v>0</v>
      </c>
      <c r="AR308" s="156">
        <v>0.28801843319999998</v>
      </c>
      <c r="AS308" s="156">
        <v>0.23041474649999999</v>
      </c>
      <c r="AT308" s="159">
        <v>0.198156682</v>
      </c>
    </row>
    <row r="309" spans="1:46" ht="12.75">
      <c r="A309" s="67" t="s">
        <v>8</v>
      </c>
      <c r="B309" s="67" t="s">
        <v>658</v>
      </c>
      <c r="C309" s="67" t="s">
        <v>664</v>
      </c>
      <c r="D309" s="67" t="s">
        <v>664</v>
      </c>
      <c r="E309" s="155">
        <v>0.42738012510000001</v>
      </c>
      <c r="F309" s="156">
        <v>0.4405837387</v>
      </c>
      <c r="G309" s="156">
        <v>4.8644892289999998E-2</v>
      </c>
      <c r="H309" s="156">
        <v>2.084781098E-3</v>
      </c>
      <c r="I309" s="156">
        <v>0</v>
      </c>
      <c r="J309" s="156">
        <v>0</v>
      </c>
      <c r="K309" s="157">
        <v>8.1306462819999994E-2</v>
      </c>
      <c r="L309" s="158">
        <v>0.44753300899999998</v>
      </c>
      <c r="M309" s="156">
        <v>0.46490618490000002</v>
      </c>
      <c r="N309" s="156">
        <v>5.0034746349999999E-2</v>
      </c>
      <c r="O309" s="156">
        <v>0</v>
      </c>
      <c r="P309" s="156">
        <v>0</v>
      </c>
      <c r="Q309" s="156">
        <v>0</v>
      </c>
      <c r="R309" s="159">
        <v>3.7526059760000001E-2</v>
      </c>
      <c r="S309" s="155">
        <v>0.45747126440000002</v>
      </c>
      <c r="T309" s="156">
        <v>0.50574712639999997</v>
      </c>
      <c r="U309" s="156">
        <v>0</v>
      </c>
      <c r="V309" s="156">
        <v>0</v>
      </c>
      <c r="W309" s="156">
        <v>6.130268199E-3</v>
      </c>
      <c r="X309" s="156">
        <v>0</v>
      </c>
      <c r="Y309" s="157">
        <v>3.0651340999999999E-2</v>
      </c>
      <c r="Z309" s="158">
        <v>0.43295019159999998</v>
      </c>
      <c r="AA309" s="156">
        <v>0.51800766279999999</v>
      </c>
      <c r="AB309" s="156">
        <v>0</v>
      </c>
      <c r="AC309" s="156">
        <v>0</v>
      </c>
      <c r="AD309" s="156">
        <v>2.2222222220000001E-2</v>
      </c>
      <c r="AE309" s="156">
        <v>0</v>
      </c>
      <c r="AF309" s="159">
        <v>2.6819923369999998E-2</v>
      </c>
      <c r="AG309" s="155">
        <v>0.38280542989999999</v>
      </c>
      <c r="AH309" s="156">
        <v>0</v>
      </c>
      <c r="AI309" s="156">
        <v>0</v>
      </c>
      <c r="AJ309" s="156">
        <v>1.6289592759999999E-2</v>
      </c>
      <c r="AK309" s="156">
        <v>0.21176470589999999</v>
      </c>
      <c r="AL309" s="156">
        <v>0.2968325792</v>
      </c>
      <c r="AM309" s="157">
        <v>9.2307692309999995E-2</v>
      </c>
      <c r="AN309" s="158">
        <v>0.39004524889999997</v>
      </c>
      <c r="AO309" s="156">
        <v>0</v>
      </c>
      <c r="AP309" s="156">
        <v>0</v>
      </c>
      <c r="AQ309" s="156">
        <v>0</v>
      </c>
      <c r="AR309" s="156">
        <v>0.2208144796</v>
      </c>
      <c r="AS309" s="156">
        <v>0.2959276018</v>
      </c>
      <c r="AT309" s="159">
        <v>9.3212669679999999E-2</v>
      </c>
    </row>
    <row r="310" spans="1:46" ht="12.75">
      <c r="A310" s="67" t="s">
        <v>8</v>
      </c>
      <c r="B310" s="67" t="s">
        <v>658</v>
      </c>
      <c r="C310" s="67" t="s">
        <v>666</v>
      </c>
      <c r="D310" s="67" t="s">
        <v>666</v>
      </c>
      <c r="E310" s="155">
        <v>0.47010869570000002</v>
      </c>
      <c r="F310" s="156">
        <v>0.59266304349999999</v>
      </c>
      <c r="G310" s="156">
        <v>5.7065217389999999E-2</v>
      </c>
      <c r="H310" s="156">
        <v>3.8043478260000002E-3</v>
      </c>
      <c r="I310" s="156">
        <v>0</v>
      </c>
      <c r="J310" s="156">
        <v>0</v>
      </c>
      <c r="K310" s="157">
        <v>0.1236413043</v>
      </c>
      <c r="L310" s="158">
        <v>0.48695652169999998</v>
      </c>
      <c r="M310" s="156">
        <v>0.42472826089999999</v>
      </c>
      <c r="N310" s="156">
        <v>5.4347826090000002E-2</v>
      </c>
      <c r="O310" s="156">
        <v>0</v>
      </c>
      <c r="P310" s="156">
        <v>0</v>
      </c>
      <c r="Q310" s="156">
        <v>0</v>
      </c>
      <c r="R310" s="159">
        <v>3.3967391299999997E-2</v>
      </c>
      <c r="S310" s="155">
        <v>0.4842322429</v>
      </c>
      <c r="T310" s="156">
        <v>0.47509578540000003</v>
      </c>
      <c r="U310" s="156">
        <v>0</v>
      </c>
      <c r="V310" s="156">
        <v>0</v>
      </c>
      <c r="W310" s="156">
        <v>4.4208664899999996E-3</v>
      </c>
      <c r="X310" s="156">
        <v>0</v>
      </c>
      <c r="Y310" s="157">
        <v>3.6251105220000003E-2</v>
      </c>
      <c r="Z310" s="158">
        <v>0.45564397290000003</v>
      </c>
      <c r="AA310" s="156">
        <v>0.4694960212</v>
      </c>
      <c r="AB310" s="156">
        <v>0</v>
      </c>
      <c r="AC310" s="156">
        <v>0</v>
      </c>
      <c r="AD310" s="156">
        <v>1.9157088119999999E-2</v>
      </c>
      <c r="AE310" s="156">
        <v>0</v>
      </c>
      <c r="AF310" s="159">
        <v>5.5702917769999999E-2</v>
      </c>
      <c r="AG310" s="155">
        <v>0.30953230990000002</v>
      </c>
      <c r="AH310" s="156">
        <v>0</v>
      </c>
      <c r="AI310" s="156">
        <v>0</v>
      </c>
      <c r="AJ310" s="156">
        <v>1.749375223E-2</v>
      </c>
      <c r="AK310" s="156">
        <v>0.2663334523</v>
      </c>
      <c r="AL310" s="156">
        <v>0.33488039990000001</v>
      </c>
      <c r="AM310" s="157">
        <v>7.1760085680000002E-2</v>
      </c>
      <c r="AN310" s="158">
        <v>0.32631203139999998</v>
      </c>
      <c r="AO310" s="156">
        <v>0</v>
      </c>
      <c r="AP310" s="156">
        <v>0</v>
      </c>
      <c r="AQ310" s="156">
        <v>0</v>
      </c>
      <c r="AR310" s="156">
        <v>0.24776865410000001</v>
      </c>
      <c r="AS310" s="156">
        <v>0.35772938240000002</v>
      </c>
      <c r="AT310" s="159">
        <v>6.8189932169999995E-2</v>
      </c>
    </row>
    <row r="311" spans="1:46" ht="12.75">
      <c r="A311" s="67" t="s">
        <v>8</v>
      </c>
      <c r="B311" s="67" t="s">
        <v>658</v>
      </c>
      <c r="C311" s="67" t="s">
        <v>667</v>
      </c>
      <c r="D311" s="67" t="s">
        <v>667</v>
      </c>
      <c r="E311" s="155">
        <v>0.62290653699999998</v>
      </c>
      <c r="F311" s="156">
        <v>0.52133981630000004</v>
      </c>
      <c r="G311" s="156">
        <v>6.3209076180000004E-2</v>
      </c>
      <c r="H311" s="156">
        <v>2.7012425719999998E-3</v>
      </c>
      <c r="I311" s="156">
        <v>0</v>
      </c>
      <c r="J311" s="156">
        <v>0</v>
      </c>
      <c r="K311" s="157">
        <v>0.2101566721</v>
      </c>
      <c r="L311" s="158">
        <v>0.34629929770000001</v>
      </c>
      <c r="M311" s="156">
        <v>0.54511075090000005</v>
      </c>
      <c r="N311" s="156">
        <v>6.3749324689999998E-2</v>
      </c>
      <c r="O311" s="156">
        <v>0</v>
      </c>
      <c r="P311" s="156">
        <v>0</v>
      </c>
      <c r="Q311" s="156">
        <v>0</v>
      </c>
      <c r="R311" s="159">
        <v>4.4840626690000003E-2</v>
      </c>
      <c r="S311" s="155">
        <v>0.34454314720000001</v>
      </c>
      <c r="T311" s="156">
        <v>0.61040609140000002</v>
      </c>
      <c r="U311" s="156">
        <v>0</v>
      </c>
      <c r="V311" s="156">
        <v>0</v>
      </c>
      <c r="W311" s="156">
        <v>4.4416243649999998E-3</v>
      </c>
      <c r="X311" s="156">
        <v>0</v>
      </c>
      <c r="Y311" s="157">
        <v>4.0609137060000002E-2</v>
      </c>
      <c r="Z311" s="158">
        <v>0.33375634520000003</v>
      </c>
      <c r="AA311" s="156">
        <v>0.60469543150000005</v>
      </c>
      <c r="AB311" s="156">
        <v>0</v>
      </c>
      <c r="AC311" s="156">
        <v>0</v>
      </c>
      <c r="AD311" s="156">
        <v>1.7131979700000001E-2</v>
      </c>
      <c r="AE311" s="156">
        <v>0</v>
      </c>
      <c r="AF311" s="159">
        <v>4.4416243649999999E-2</v>
      </c>
      <c r="AG311" s="155">
        <v>0.31623931620000001</v>
      </c>
      <c r="AH311" s="156">
        <v>0</v>
      </c>
      <c r="AI311" s="156">
        <v>0</v>
      </c>
      <c r="AJ311" s="156">
        <v>9.9715099719999995E-3</v>
      </c>
      <c r="AK311" s="156">
        <v>0.36182336180000002</v>
      </c>
      <c r="AL311" s="156">
        <v>0.26851851850000003</v>
      </c>
      <c r="AM311" s="157">
        <v>4.344729345E-2</v>
      </c>
      <c r="AN311" s="158">
        <v>0.3240740741</v>
      </c>
      <c r="AO311" s="156">
        <v>0</v>
      </c>
      <c r="AP311" s="156">
        <v>0</v>
      </c>
      <c r="AQ311" s="156">
        <v>0</v>
      </c>
      <c r="AR311" s="156">
        <v>0.35897435900000002</v>
      </c>
      <c r="AS311" s="156">
        <v>0.27492877490000001</v>
      </c>
      <c r="AT311" s="159">
        <v>4.2022792019999998E-2</v>
      </c>
    </row>
    <row r="312" spans="1:46" ht="12.75">
      <c r="A312" s="67" t="s">
        <v>8</v>
      </c>
      <c r="B312" s="67" t="s">
        <v>658</v>
      </c>
      <c r="C312" s="67" t="s">
        <v>668</v>
      </c>
      <c r="D312" s="67" t="s">
        <v>668</v>
      </c>
      <c r="E312" s="155">
        <v>0.26108870969999998</v>
      </c>
      <c r="F312" s="156">
        <v>0.49193548390000003</v>
      </c>
      <c r="G312" s="156">
        <v>2.9233870969999999E-2</v>
      </c>
      <c r="H312" s="156">
        <v>4.0322580649999997E-3</v>
      </c>
      <c r="I312" s="156">
        <v>0</v>
      </c>
      <c r="J312" s="156">
        <v>0</v>
      </c>
      <c r="K312" s="157">
        <v>0.21370967739999999</v>
      </c>
      <c r="L312" s="158">
        <v>0.38608870969999998</v>
      </c>
      <c r="M312" s="156">
        <v>0.51310483870000001</v>
      </c>
      <c r="N312" s="156">
        <v>2.8225806450000002E-2</v>
      </c>
      <c r="O312" s="156">
        <v>0</v>
      </c>
      <c r="P312" s="156">
        <v>0</v>
      </c>
      <c r="Q312" s="156">
        <v>0</v>
      </c>
      <c r="R312" s="159">
        <v>7.2580645159999999E-2</v>
      </c>
      <c r="S312" s="155">
        <v>0.3812217195</v>
      </c>
      <c r="T312" s="156">
        <v>0.53733031669999998</v>
      </c>
      <c r="U312" s="156">
        <v>0</v>
      </c>
      <c r="V312" s="156">
        <v>0</v>
      </c>
      <c r="W312" s="156">
        <v>4.5248868779999996E-3</v>
      </c>
      <c r="X312" s="156">
        <v>0</v>
      </c>
      <c r="Y312" s="157">
        <v>7.692307692E-2</v>
      </c>
      <c r="Z312" s="158">
        <v>0.342760181</v>
      </c>
      <c r="AA312" s="156">
        <v>0.50678733030000001</v>
      </c>
      <c r="AB312" s="156">
        <v>0</v>
      </c>
      <c r="AC312" s="156">
        <v>0</v>
      </c>
      <c r="AD312" s="156">
        <v>3.2805429859999999E-2</v>
      </c>
      <c r="AE312" s="156">
        <v>0</v>
      </c>
      <c r="AF312" s="159">
        <v>0.1176470588</v>
      </c>
      <c r="AG312" s="155">
        <v>0.25558035709999999</v>
      </c>
      <c r="AH312" s="156">
        <v>0</v>
      </c>
      <c r="AI312" s="156">
        <v>0</v>
      </c>
      <c r="AJ312" s="156">
        <v>2.1205357139999999E-2</v>
      </c>
      <c r="AK312" s="156">
        <v>0.375</v>
      </c>
      <c r="AL312" s="156">
        <v>0.27790178570000001</v>
      </c>
      <c r="AM312" s="157">
        <v>7.03125E-2</v>
      </c>
      <c r="AN312" s="158">
        <v>0.28125</v>
      </c>
      <c r="AO312" s="156">
        <v>0</v>
      </c>
      <c r="AP312" s="156">
        <v>0</v>
      </c>
      <c r="AQ312" s="156">
        <v>0</v>
      </c>
      <c r="AR312" s="156">
        <v>0.375</v>
      </c>
      <c r="AS312" s="156">
        <v>0.25334821429999999</v>
      </c>
      <c r="AT312" s="159">
        <v>9.0401785710000002E-2</v>
      </c>
    </row>
    <row r="313" spans="1:46" ht="12.75">
      <c r="A313" s="67" t="s">
        <v>8</v>
      </c>
      <c r="B313" s="67" t="s">
        <v>658</v>
      </c>
      <c r="C313" s="67" t="s">
        <v>325</v>
      </c>
      <c r="D313" s="67" t="s">
        <v>325</v>
      </c>
      <c r="E313" s="155">
        <v>0.39584934669999999</v>
      </c>
      <c r="F313" s="156">
        <v>0.57148347430000002</v>
      </c>
      <c r="G313" s="156">
        <v>4.8424289010000003E-2</v>
      </c>
      <c r="H313" s="156">
        <v>6.9177555730000001E-3</v>
      </c>
      <c r="I313" s="156">
        <v>0</v>
      </c>
      <c r="J313" s="156">
        <v>0</v>
      </c>
      <c r="K313" s="157">
        <v>2.2674865490000001E-2</v>
      </c>
      <c r="L313" s="158">
        <v>0.42582628750000001</v>
      </c>
      <c r="M313" s="156">
        <v>0.4769408148</v>
      </c>
      <c r="N313" s="156">
        <v>4.7655649500000001E-2</v>
      </c>
      <c r="O313" s="156">
        <v>0</v>
      </c>
      <c r="P313" s="156">
        <v>0</v>
      </c>
      <c r="Q313" s="156">
        <v>0</v>
      </c>
      <c r="R313" s="159">
        <v>4.9577248269999999E-2</v>
      </c>
      <c r="S313" s="155">
        <v>0.39565414209999999</v>
      </c>
      <c r="T313" s="156">
        <v>0.53508374830000005</v>
      </c>
      <c r="U313" s="156">
        <v>0</v>
      </c>
      <c r="V313" s="156">
        <v>0</v>
      </c>
      <c r="W313" s="156">
        <v>7.6957899500000003E-3</v>
      </c>
      <c r="X313" s="156">
        <v>0</v>
      </c>
      <c r="Y313" s="157">
        <v>6.1566319600000002E-2</v>
      </c>
      <c r="Z313" s="158">
        <v>0.3829787234</v>
      </c>
      <c r="AA313" s="156">
        <v>0.52240832960000005</v>
      </c>
      <c r="AB313" s="156">
        <v>0</v>
      </c>
      <c r="AC313" s="156">
        <v>0</v>
      </c>
      <c r="AD313" s="156">
        <v>2.037120869E-2</v>
      </c>
      <c r="AE313" s="156">
        <v>0</v>
      </c>
      <c r="AF313" s="159">
        <v>7.4241738340000002E-2</v>
      </c>
      <c r="AG313" s="155">
        <v>0.31758402340000003</v>
      </c>
      <c r="AH313" s="156">
        <v>0</v>
      </c>
      <c r="AI313" s="156">
        <v>0</v>
      </c>
      <c r="AJ313" s="156">
        <v>2.0944958600000001E-2</v>
      </c>
      <c r="AK313" s="156">
        <v>0.39405747689999998</v>
      </c>
      <c r="AL313" s="156">
        <v>0.2026302971</v>
      </c>
      <c r="AM313" s="157">
        <v>6.4783244030000006E-2</v>
      </c>
      <c r="AN313" s="158">
        <v>0.32830004870000001</v>
      </c>
      <c r="AO313" s="156">
        <v>0</v>
      </c>
      <c r="AP313" s="156">
        <v>0</v>
      </c>
      <c r="AQ313" s="156">
        <v>0</v>
      </c>
      <c r="AR313" s="156">
        <v>0.3794447151</v>
      </c>
      <c r="AS313" s="156">
        <v>0.22162688750000001</v>
      </c>
      <c r="AT313" s="159">
        <v>7.0628348760000001E-2</v>
      </c>
    </row>
    <row r="314" spans="1:46" ht="12.75">
      <c r="A314" s="67" t="s">
        <v>8</v>
      </c>
      <c r="B314" s="67" t="s">
        <v>658</v>
      </c>
      <c r="C314" s="67" t="s">
        <v>669</v>
      </c>
      <c r="D314" s="67" t="s">
        <v>669</v>
      </c>
      <c r="E314" s="155">
        <v>0.45631743819999998</v>
      </c>
      <c r="F314" s="156">
        <v>0.48277062300000001</v>
      </c>
      <c r="G314" s="156">
        <v>5.1166028539999998E-2</v>
      </c>
      <c r="H314" s="156">
        <v>4.5248868779999996E-3</v>
      </c>
      <c r="I314" s="156">
        <v>0</v>
      </c>
      <c r="J314" s="156">
        <v>0</v>
      </c>
      <c r="K314" s="157">
        <v>5.221023321E-3</v>
      </c>
      <c r="L314" s="158">
        <v>0.50278164120000002</v>
      </c>
      <c r="M314" s="156">
        <v>0.4127260083</v>
      </c>
      <c r="N314" s="156">
        <v>4.6244784419999997E-2</v>
      </c>
      <c r="O314" s="156">
        <v>0</v>
      </c>
      <c r="P314" s="156">
        <v>0</v>
      </c>
      <c r="Q314" s="156">
        <v>0</v>
      </c>
      <c r="R314" s="159">
        <v>3.8247566060000002E-2</v>
      </c>
      <c r="S314" s="155">
        <v>0.42369556689999999</v>
      </c>
      <c r="T314" s="156">
        <v>0.52020400160000002</v>
      </c>
      <c r="U314" s="156">
        <v>0</v>
      </c>
      <c r="V314" s="156">
        <v>0</v>
      </c>
      <c r="W314" s="156">
        <v>1.0200078459999999E-2</v>
      </c>
      <c r="X314" s="156">
        <v>0</v>
      </c>
      <c r="Y314" s="157">
        <v>4.5900353079999998E-2</v>
      </c>
      <c r="Z314" s="158">
        <v>0.41074931349999999</v>
      </c>
      <c r="AA314" s="156">
        <v>0.52648097289999995</v>
      </c>
      <c r="AB314" s="156">
        <v>0</v>
      </c>
      <c r="AC314" s="156">
        <v>0</v>
      </c>
      <c r="AD314" s="156">
        <v>2.1969399760000001E-2</v>
      </c>
      <c r="AE314" s="156">
        <v>0</v>
      </c>
      <c r="AF314" s="159">
        <v>4.0800313849999999E-2</v>
      </c>
      <c r="AG314" s="155">
        <v>0.29153169829999998</v>
      </c>
      <c r="AH314" s="156">
        <v>0</v>
      </c>
      <c r="AI314" s="156">
        <v>0</v>
      </c>
      <c r="AJ314" s="156">
        <v>1.249421564E-2</v>
      </c>
      <c r="AK314" s="156">
        <v>0.31513188339999998</v>
      </c>
      <c r="AL314" s="156">
        <v>0.30772790370000003</v>
      </c>
      <c r="AM314" s="157">
        <v>7.3114298940000003E-2</v>
      </c>
      <c r="AN314" s="158">
        <v>0.30171217030000003</v>
      </c>
      <c r="AO314" s="156">
        <v>0</v>
      </c>
      <c r="AP314" s="156">
        <v>0</v>
      </c>
      <c r="AQ314" s="156">
        <v>0</v>
      </c>
      <c r="AR314" s="156">
        <v>0.32207311430000002</v>
      </c>
      <c r="AS314" s="156">
        <v>0.31559463209999999</v>
      </c>
      <c r="AT314" s="159">
        <v>6.0620083290000001E-2</v>
      </c>
    </row>
    <row r="315" spans="1:46" ht="12.75">
      <c r="A315" s="67" t="s">
        <v>8</v>
      </c>
      <c r="B315" s="67" t="s">
        <v>658</v>
      </c>
      <c r="C315" s="67" t="s">
        <v>670</v>
      </c>
      <c r="D315" s="67" t="s">
        <v>670</v>
      </c>
      <c r="E315" s="155">
        <v>0.33876221499999998</v>
      </c>
      <c r="F315" s="156">
        <v>0.41338466089999998</v>
      </c>
      <c r="G315" s="156">
        <v>6.8700029610000005E-2</v>
      </c>
      <c r="H315" s="156">
        <v>4.4418122590000001E-3</v>
      </c>
      <c r="I315" s="156">
        <v>0</v>
      </c>
      <c r="J315" s="156">
        <v>0</v>
      </c>
      <c r="K315" s="157">
        <v>0.17471128220000001</v>
      </c>
      <c r="L315" s="158">
        <v>0.3899911164</v>
      </c>
      <c r="M315" s="156">
        <v>0.49570624810000002</v>
      </c>
      <c r="N315" s="156">
        <v>6.5442700620000002E-2</v>
      </c>
      <c r="O315" s="156">
        <v>0</v>
      </c>
      <c r="P315" s="156">
        <v>0</v>
      </c>
      <c r="Q315" s="156">
        <v>0</v>
      </c>
      <c r="R315" s="159">
        <v>4.8859934850000002E-2</v>
      </c>
      <c r="S315" s="155">
        <v>0.46979201059999998</v>
      </c>
      <c r="T315" s="156">
        <v>0.47936612740000001</v>
      </c>
      <c r="U315" s="156">
        <v>0</v>
      </c>
      <c r="V315" s="156">
        <v>0</v>
      </c>
      <c r="W315" s="156">
        <v>1.0564542749999999E-2</v>
      </c>
      <c r="X315" s="156">
        <v>0</v>
      </c>
      <c r="Y315" s="157">
        <v>4.0277319249999999E-2</v>
      </c>
      <c r="Z315" s="158">
        <v>0.44404093760000002</v>
      </c>
      <c r="AA315" s="156">
        <v>0.48002641140000002</v>
      </c>
      <c r="AB315" s="156">
        <v>0</v>
      </c>
      <c r="AC315" s="156">
        <v>0</v>
      </c>
      <c r="AD315" s="156">
        <v>3.3674480030000002E-2</v>
      </c>
      <c r="AE315" s="156">
        <v>0</v>
      </c>
      <c r="AF315" s="159">
        <v>4.2258171009999998E-2</v>
      </c>
      <c r="AG315" s="155">
        <v>0.32719435740000002</v>
      </c>
      <c r="AH315" s="156">
        <v>0</v>
      </c>
      <c r="AI315" s="156">
        <v>0</v>
      </c>
      <c r="AJ315" s="156">
        <v>1.214733542E-2</v>
      </c>
      <c r="AK315" s="156">
        <v>0.29623824450000003</v>
      </c>
      <c r="AL315" s="156">
        <v>0.27860501570000001</v>
      </c>
      <c r="AM315" s="157">
        <v>8.5815047019999993E-2</v>
      </c>
      <c r="AN315" s="158">
        <v>0.3385579937</v>
      </c>
      <c r="AO315" s="156">
        <v>0</v>
      </c>
      <c r="AP315" s="156">
        <v>0</v>
      </c>
      <c r="AQ315" s="156">
        <v>0</v>
      </c>
      <c r="AR315" s="156">
        <v>0.28918495300000002</v>
      </c>
      <c r="AS315" s="156">
        <v>0.29623824450000003</v>
      </c>
      <c r="AT315" s="159">
        <v>7.6018808780000002E-2</v>
      </c>
    </row>
    <row r="316" spans="1:46" ht="12.75">
      <c r="A316" s="67" t="s">
        <v>7</v>
      </c>
      <c r="B316" s="67" t="s">
        <v>671</v>
      </c>
      <c r="C316" s="67" t="s">
        <v>672</v>
      </c>
      <c r="D316" s="67" t="s">
        <v>672</v>
      </c>
      <c r="E316" s="155">
        <v>0.35710275130000002</v>
      </c>
      <c r="F316" s="156">
        <v>0.28354856820000002</v>
      </c>
      <c r="G316" s="156">
        <v>1.3194834359999999E-2</v>
      </c>
      <c r="H316" s="156">
        <v>3.6496350359999999E-3</v>
      </c>
      <c r="I316" s="156">
        <v>0</v>
      </c>
      <c r="J316" s="156">
        <v>0</v>
      </c>
      <c r="K316" s="157">
        <v>0.34250421110000001</v>
      </c>
      <c r="L316" s="158">
        <v>0.37805220319999999</v>
      </c>
      <c r="M316" s="156">
        <v>0.57114790910000002</v>
      </c>
      <c r="N316" s="156">
        <v>1.3191131070000001E-2</v>
      </c>
      <c r="O316" s="156">
        <v>0</v>
      </c>
      <c r="P316" s="156">
        <v>0</v>
      </c>
      <c r="Q316" s="156">
        <v>0</v>
      </c>
      <c r="R316" s="159">
        <v>3.760875667E-2</v>
      </c>
      <c r="S316" s="155">
        <v>0.44684684679999997</v>
      </c>
      <c r="T316" s="156">
        <v>0.52072072069999997</v>
      </c>
      <c r="U316" s="156">
        <v>0</v>
      </c>
      <c r="V316" s="156">
        <v>0</v>
      </c>
      <c r="W316" s="156">
        <v>7.2072072069999998E-3</v>
      </c>
      <c r="X316" s="156">
        <v>0</v>
      </c>
      <c r="Y316" s="157">
        <v>2.5225225229999999E-2</v>
      </c>
      <c r="Z316" s="158">
        <v>0.43184559709999998</v>
      </c>
      <c r="AA316" s="156">
        <v>0.52653799759999997</v>
      </c>
      <c r="AB316" s="156">
        <v>0</v>
      </c>
      <c r="AC316" s="156">
        <v>0</v>
      </c>
      <c r="AD316" s="156">
        <v>9.6501809409999997E-3</v>
      </c>
      <c r="AE316" s="156">
        <v>0</v>
      </c>
      <c r="AF316" s="159">
        <v>3.1966224369999997E-2</v>
      </c>
      <c r="AG316" s="155">
        <v>0.41796739510000003</v>
      </c>
      <c r="AH316" s="156">
        <v>0</v>
      </c>
      <c r="AI316" s="156">
        <v>0</v>
      </c>
      <c r="AJ316" s="156">
        <v>2.3239680889999999E-2</v>
      </c>
      <c r="AK316" s="156">
        <v>0.33957682970000003</v>
      </c>
      <c r="AL316" s="156">
        <v>0.14533472080000001</v>
      </c>
      <c r="AM316" s="157">
        <v>7.3881373570000006E-2</v>
      </c>
      <c r="AN316" s="158">
        <v>0.43080124869999997</v>
      </c>
      <c r="AO316" s="156">
        <v>0</v>
      </c>
      <c r="AP316" s="156">
        <v>0</v>
      </c>
      <c r="AQ316" s="156">
        <v>9.365244537E-3</v>
      </c>
      <c r="AR316" s="156">
        <v>0.3520638224</v>
      </c>
      <c r="AS316" s="156">
        <v>0.15955601799999999</v>
      </c>
      <c r="AT316" s="159">
        <v>4.8213666320000001E-2</v>
      </c>
    </row>
    <row r="317" spans="1:46" ht="12.75">
      <c r="A317" s="67" t="s">
        <v>7</v>
      </c>
      <c r="B317" s="67" t="s">
        <v>671</v>
      </c>
      <c r="C317" s="67" t="s">
        <v>674</v>
      </c>
      <c r="D317" s="67" t="s">
        <v>674</v>
      </c>
      <c r="E317" s="155">
        <v>0.36228813560000001</v>
      </c>
      <c r="F317" s="156">
        <v>0.29766949149999999</v>
      </c>
      <c r="G317" s="156">
        <v>3.177966102E-3</v>
      </c>
      <c r="H317" s="156">
        <v>5.296610169E-3</v>
      </c>
      <c r="I317" s="156">
        <v>0</v>
      </c>
      <c r="J317" s="156">
        <v>0</v>
      </c>
      <c r="K317" s="157">
        <v>0.33156779660000002</v>
      </c>
      <c r="L317" s="158">
        <v>0.37182203390000002</v>
      </c>
      <c r="M317" s="156">
        <v>0.57733050850000001</v>
      </c>
      <c r="N317" s="156">
        <v>4.237288136E-3</v>
      </c>
      <c r="O317" s="156">
        <v>0</v>
      </c>
      <c r="P317" s="156">
        <v>0</v>
      </c>
      <c r="Q317" s="156">
        <v>0</v>
      </c>
      <c r="R317" s="159">
        <v>4.6610169489999999E-2</v>
      </c>
      <c r="S317" s="155">
        <v>0.40361445779999999</v>
      </c>
      <c r="T317" s="156">
        <v>0.57228915660000002</v>
      </c>
      <c r="U317" s="156">
        <v>0</v>
      </c>
      <c r="V317" s="156">
        <v>0</v>
      </c>
      <c r="W317" s="156">
        <v>3.0120481929999999E-3</v>
      </c>
      <c r="X317" s="156">
        <v>0</v>
      </c>
      <c r="Y317" s="157">
        <v>2.1084337349999999E-2</v>
      </c>
      <c r="Z317" s="158">
        <v>0.39257028109999997</v>
      </c>
      <c r="AA317" s="156">
        <v>0.58433734940000004</v>
      </c>
      <c r="AB317" s="156">
        <v>0</v>
      </c>
      <c r="AC317" s="156">
        <v>0</v>
      </c>
      <c r="AD317" s="156">
        <v>5.0200803209999997E-3</v>
      </c>
      <c r="AE317" s="156">
        <v>0</v>
      </c>
      <c r="AF317" s="159">
        <v>1.8072289160000001E-2</v>
      </c>
      <c r="AG317" s="155">
        <v>0.40510543840000002</v>
      </c>
      <c r="AH317" s="156">
        <v>0</v>
      </c>
      <c r="AI317" s="156">
        <v>0</v>
      </c>
      <c r="AJ317" s="156">
        <v>3.5516093229999997E-2</v>
      </c>
      <c r="AK317" s="156">
        <v>0.46281908989999998</v>
      </c>
      <c r="AL317" s="156">
        <v>3.8845726970000001E-2</v>
      </c>
      <c r="AM317" s="157">
        <v>5.7713651499999997E-2</v>
      </c>
      <c r="AN317" s="158">
        <v>0.42397336289999998</v>
      </c>
      <c r="AO317" s="156">
        <v>0</v>
      </c>
      <c r="AP317" s="156">
        <v>0</v>
      </c>
      <c r="AQ317" s="156">
        <v>1.331853496E-2</v>
      </c>
      <c r="AR317" s="156">
        <v>0.49722530520000002</v>
      </c>
      <c r="AS317" s="156">
        <v>4.1065482799999997E-2</v>
      </c>
      <c r="AT317" s="159">
        <v>2.44173141E-2</v>
      </c>
    </row>
    <row r="318" spans="1:46" ht="12.75">
      <c r="A318" s="67" t="s">
        <v>7</v>
      </c>
      <c r="B318" s="67" t="s">
        <v>671</v>
      </c>
      <c r="C318" s="67" t="s">
        <v>675</v>
      </c>
      <c r="D318" s="67" t="s">
        <v>675</v>
      </c>
      <c r="E318" s="155">
        <v>0.22559652929999999</v>
      </c>
      <c r="F318" s="156">
        <v>0.26735357920000002</v>
      </c>
      <c r="G318" s="156">
        <v>1.247288503E-2</v>
      </c>
      <c r="H318" s="156">
        <v>3.7960954450000002E-3</v>
      </c>
      <c r="I318" s="156">
        <v>0</v>
      </c>
      <c r="J318" s="156">
        <v>0</v>
      </c>
      <c r="K318" s="157">
        <v>0.49078091109999999</v>
      </c>
      <c r="L318" s="158">
        <v>0.46475054230000001</v>
      </c>
      <c r="M318" s="156">
        <v>0.4880694143</v>
      </c>
      <c r="N318" s="156">
        <v>9.7613882860000008E-3</v>
      </c>
      <c r="O318" s="156">
        <v>0</v>
      </c>
      <c r="P318" s="156">
        <v>0</v>
      </c>
      <c r="Q318" s="156">
        <v>0</v>
      </c>
      <c r="R318" s="159">
        <v>3.7418655100000003E-2</v>
      </c>
      <c r="S318" s="155">
        <v>0.50403442710000002</v>
      </c>
      <c r="T318" s="156">
        <v>0.45938676709999998</v>
      </c>
      <c r="U318" s="156">
        <v>0</v>
      </c>
      <c r="V318" s="156">
        <v>0</v>
      </c>
      <c r="W318" s="156">
        <v>1.183431953E-2</v>
      </c>
      <c r="X318" s="156">
        <v>0</v>
      </c>
      <c r="Y318" s="157">
        <v>2.4744486279999998E-2</v>
      </c>
      <c r="Z318" s="158">
        <v>0.48951048949999998</v>
      </c>
      <c r="AA318" s="156">
        <v>0.4647660032</v>
      </c>
      <c r="AB318" s="156">
        <v>0</v>
      </c>
      <c r="AC318" s="156">
        <v>0</v>
      </c>
      <c r="AD318" s="156">
        <v>1.506186122E-2</v>
      </c>
      <c r="AE318" s="156">
        <v>0</v>
      </c>
      <c r="AF318" s="159">
        <v>3.0661646050000001E-2</v>
      </c>
      <c r="AG318" s="155">
        <v>0.45009185550000003</v>
      </c>
      <c r="AH318" s="156">
        <v>0</v>
      </c>
      <c r="AI318" s="156">
        <v>0</v>
      </c>
      <c r="AJ318" s="156">
        <v>2.4494794859999999E-2</v>
      </c>
      <c r="AK318" s="156">
        <v>0.34476423760000002</v>
      </c>
      <c r="AL318" s="156">
        <v>9.6754439679999998E-2</v>
      </c>
      <c r="AM318" s="157">
        <v>8.3894672379999993E-2</v>
      </c>
      <c r="AN318" s="158">
        <v>0.47397428050000001</v>
      </c>
      <c r="AO318" s="156">
        <v>0</v>
      </c>
      <c r="AP318" s="156">
        <v>0</v>
      </c>
      <c r="AQ318" s="156">
        <v>4.8989589710000002E-3</v>
      </c>
      <c r="AR318" s="156">
        <v>0.35639926519999998</v>
      </c>
      <c r="AS318" s="156">
        <v>0.1175750153</v>
      </c>
      <c r="AT318" s="159">
        <v>4.7152480099999998E-2</v>
      </c>
    </row>
    <row r="319" spans="1:46" ht="12.75">
      <c r="A319" s="67" t="s">
        <v>7</v>
      </c>
      <c r="B319" s="67" t="s">
        <v>671</v>
      </c>
      <c r="C319" s="67" t="s">
        <v>677</v>
      </c>
      <c r="D319" s="67" t="s">
        <v>677</v>
      </c>
      <c r="E319" s="155">
        <v>0.28601694919999998</v>
      </c>
      <c r="F319" s="156">
        <v>0.23463983050000001</v>
      </c>
      <c r="G319" s="156">
        <v>9.0042372880000006E-3</v>
      </c>
      <c r="H319" s="156">
        <v>2.118644068E-3</v>
      </c>
      <c r="I319" s="156">
        <v>0</v>
      </c>
      <c r="J319" s="156">
        <v>0</v>
      </c>
      <c r="K319" s="157">
        <v>0.46822033899999999</v>
      </c>
      <c r="L319" s="158">
        <v>0.41419491530000002</v>
      </c>
      <c r="M319" s="156">
        <v>0.53813559320000004</v>
      </c>
      <c r="N319" s="156">
        <v>6.8855932199999997E-3</v>
      </c>
      <c r="O319" s="156">
        <v>0</v>
      </c>
      <c r="P319" s="156">
        <v>0</v>
      </c>
      <c r="Q319" s="156">
        <v>0</v>
      </c>
      <c r="R319" s="159">
        <v>4.0783898309999997E-2</v>
      </c>
      <c r="S319" s="155">
        <v>0.43555316859999998</v>
      </c>
      <c r="T319" s="156">
        <v>0.5397422127</v>
      </c>
      <c r="U319" s="156">
        <v>0</v>
      </c>
      <c r="V319" s="156">
        <v>0</v>
      </c>
      <c r="W319" s="156">
        <v>3.222341568E-3</v>
      </c>
      <c r="X319" s="156">
        <v>0</v>
      </c>
      <c r="Y319" s="157">
        <v>2.1482277120000001E-2</v>
      </c>
      <c r="Z319" s="158">
        <v>0.43770139629999999</v>
      </c>
      <c r="AA319" s="156">
        <v>0.54403866810000001</v>
      </c>
      <c r="AB319" s="156">
        <v>0</v>
      </c>
      <c r="AC319" s="156">
        <v>0</v>
      </c>
      <c r="AD319" s="156">
        <v>5.3705692800000001E-3</v>
      </c>
      <c r="AE319" s="156">
        <v>0</v>
      </c>
      <c r="AF319" s="159">
        <v>1.2889366270000001E-2</v>
      </c>
      <c r="AG319" s="155">
        <v>0.34230287860000003</v>
      </c>
      <c r="AH319" s="156">
        <v>0</v>
      </c>
      <c r="AI319" s="156">
        <v>0</v>
      </c>
      <c r="AJ319" s="156">
        <v>2.0650813519999998E-2</v>
      </c>
      <c r="AK319" s="156">
        <v>0.50625782230000005</v>
      </c>
      <c r="AL319" s="156">
        <v>5.1314142680000001E-2</v>
      </c>
      <c r="AM319" s="157">
        <v>7.9474342929999997E-2</v>
      </c>
      <c r="AN319" s="158">
        <v>0.35982478099999998</v>
      </c>
      <c r="AO319" s="156">
        <v>0</v>
      </c>
      <c r="AP319" s="156">
        <v>0</v>
      </c>
      <c r="AQ319" s="156">
        <v>5.0062578220000003E-3</v>
      </c>
      <c r="AR319" s="156">
        <v>0.52878598249999997</v>
      </c>
      <c r="AS319" s="156">
        <v>6.1326658319999998E-2</v>
      </c>
      <c r="AT319" s="159">
        <v>4.5056320400000002E-2</v>
      </c>
    </row>
    <row r="320" spans="1:46" ht="12.75">
      <c r="A320" s="67" t="s">
        <v>7</v>
      </c>
      <c r="B320" s="67" t="s">
        <v>671</v>
      </c>
      <c r="C320" s="67" t="s">
        <v>679</v>
      </c>
      <c r="D320" s="67" t="s">
        <v>679</v>
      </c>
      <c r="E320" s="155">
        <v>0.26579261030000001</v>
      </c>
      <c r="F320" s="156">
        <v>0.34564958280000002</v>
      </c>
      <c r="G320" s="156">
        <v>9.9324592770000004E-3</v>
      </c>
      <c r="H320" s="156">
        <v>5.5621771950000003E-3</v>
      </c>
      <c r="I320" s="156">
        <v>0</v>
      </c>
      <c r="J320" s="156">
        <v>0</v>
      </c>
      <c r="K320" s="157">
        <v>0.37306317039999998</v>
      </c>
      <c r="L320" s="158">
        <v>0.30075486689999997</v>
      </c>
      <c r="M320" s="156">
        <v>0.61938816050000001</v>
      </c>
      <c r="N320" s="156">
        <v>1.1521652760000001E-2</v>
      </c>
      <c r="O320" s="156">
        <v>0</v>
      </c>
      <c r="P320" s="156">
        <v>0</v>
      </c>
      <c r="Q320" s="156">
        <v>0</v>
      </c>
      <c r="R320" s="159">
        <v>6.8335319830000005E-2</v>
      </c>
      <c r="S320" s="155">
        <v>0.41046712800000001</v>
      </c>
      <c r="T320" s="156">
        <v>0.53503460209999998</v>
      </c>
      <c r="U320" s="156">
        <v>0</v>
      </c>
      <c r="V320" s="156">
        <v>0</v>
      </c>
      <c r="W320" s="156">
        <v>7.3529411760000002E-3</v>
      </c>
      <c r="X320" s="156">
        <v>0</v>
      </c>
      <c r="Y320" s="157">
        <v>4.7145328719999997E-2</v>
      </c>
      <c r="Z320" s="158">
        <v>0.3935986159</v>
      </c>
      <c r="AA320" s="156">
        <v>0.54714532869999999</v>
      </c>
      <c r="AB320" s="156">
        <v>0</v>
      </c>
      <c r="AC320" s="156">
        <v>0</v>
      </c>
      <c r="AD320" s="156">
        <v>1.167820069E-2</v>
      </c>
      <c r="AE320" s="156">
        <v>0</v>
      </c>
      <c r="AF320" s="159">
        <v>4.7577854670000003E-2</v>
      </c>
      <c r="AG320" s="155">
        <v>0.27098078869999997</v>
      </c>
      <c r="AH320" s="156">
        <v>0</v>
      </c>
      <c r="AI320" s="156">
        <v>0</v>
      </c>
      <c r="AJ320" s="156">
        <v>2.2244691609999999E-2</v>
      </c>
      <c r="AK320" s="156">
        <v>0.49443882709999998</v>
      </c>
      <c r="AL320" s="156">
        <v>0.131445905</v>
      </c>
      <c r="AM320" s="157">
        <v>8.0889787660000004E-2</v>
      </c>
      <c r="AN320" s="158">
        <v>0.28109201210000001</v>
      </c>
      <c r="AO320" s="156">
        <v>0</v>
      </c>
      <c r="AP320" s="156">
        <v>0</v>
      </c>
      <c r="AQ320" s="156">
        <v>1.162790698E-2</v>
      </c>
      <c r="AR320" s="156">
        <v>0.51011122350000004</v>
      </c>
      <c r="AS320" s="156">
        <v>0.14155712840000001</v>
      </c>
      <c r="AT320" s="159">
        <v>5.561172902E-2</v>
      </c>
    </row>
    <row r="321" spans="1:46" ht="12.75">
      <c r="A321" s="67" t="s">
        <v>7</v>
      </c>
      <c r="B321" s="67" t="s">
        <v>671</v>
      </c>
      <c r="C321" s="67" t="s">
        <v>681</v>
      </c>
      <c r="D321" s="67" t="s">
        <v>681</v>
      </c>
      <c r="E321" s="155">
        <v>0.57921635429999996</v>
      </c>
      <c r="F321" s="156">
        <v>0.40630323680000002</v>
      </c>
      <c r="G321" s="156">
        <v>1.8739352640000002E-2</v>
      </c>
      <c r="H321" s="156">
        <v>4.2589437819999998E-3</v>
      </c>
      <c r="I321" s="156">
        <v>0</v>
      </c>
      <c r="J321" s="156">
        <v>0</v>
      </c>
      <c r="K321" s="157">
        <v>8.5178875639999995E-3</v>
      </c>
      <c r="L321" s="158">
        <v>0.35659574469999999</v>
      </c>
      <c r="M321" s="156">
        <v>0.58468085110000001</v>
      </c>
      <c r="N321" s="156">
        <v>1.9574468090000002E-2</v>
      </c>
      <c r="O321" s="156">
        <v>0</v>
      </c>
      <c r="P321" s="156">
        <v>0</v>
      </c>
      <c r="Q321" s="156">
        <v>0</v>
      </c>
      <c r="R321" s="159">
        <v>3.9148936170000002E-2</v>
      </c>
      <c r="S321" s="155">
        <v>0.43071491620000002</v>
      </c>
      <c r="T321" s="156">
        <v>0.53221535750000004</v>
      </c>
      <c r="U321" s="156">
        <v>0</v>
      </c>
      <c r="V321" s="156">
        <v>0</v>
      </c>
      <c r="W321" s="156">
        <v>6.1782877319999999E-3</v>
      </c>
      <c r="X321" s="156">
        <v>0</v>
      </c>
      <c r="Y321" s="157">
        <v>3.0891438659999999E-2</v>
      </c>
      <c r="Z321" s="158">
        <v>0.41659311560000001</v>
      </c>
      <c r="AA321" s="156">
        <v>0.53133274490000004</v>
      </c>
      <c r="AB321" s="156">
        <v>0</v>
      </c>
      <c r="AC321" s="156">
        <v>0</v>
      </c>
      <c r="AD321" s="156">
        <v>8.8261253310000006E-3</v>
      </c>
      <c r="AE321" s="156">
        <v>0</v>
      </c>
      <c r="AF321" s="159">
        <v>4.3248014119999997E-2</v>
      </c>
      <c r="AG321" s="155">
        <v>0.27225130889999999</v>
      </c>
      <c r="AH321" s="156">
        <v>0</v>
      </c>
      <c r="AI321" s="156">
        <v>0</v>
      </c>
      <c r="AJ321" s="156">
        <v>2.3036649209999999E-2</v>
      </c>
      <c r="AK321" s="156">
        <v>0.52879581149999999</v>
      </c>
      <c r="AL321" s="156">
        <v>0.13403141360000001</v>
      </c>
      <c r="AM321" s="157">
        <v>4.1884816749999998E-2</v>
      </c>
      <c r="AN321" s="158">
        <v>0.28795811519999998</v>
      </c>
      <c r="AO321" s="156">
        <v>0</v>
      </c>
      <c r="AP321" s="156">
        <v>0</v>
      </c>
      <c r="AQ321" s="156">
        <v>5.2356020940000003E-3</v>
      </c>
      <c r="AR321" s="156">
        <v>0.51832460729999996</v>
      </c>
      <c r="AS321" s="156">
        <v>0.1455497382</v>
      </c>
      <c r="AT321" s="159">
        <v>4.2931937169999997E-2</v>
      </c>
    </row>
    <row r="322" spans="1:46" ht="12.75">
      <c r="A322" s="67" t="s">
        <v>7</v>
      </c>
      <c r="B322" s="67" t="s">
        <v>671</v>
      </c>
      <c r="C322" s="67" t="s">
        <v>683</v>
      </c>
      <c r="D322" s="67" t="s">
        <v>683</v>
      </c>
      <c r="E322" s="155">
        <v>0.47946790049999999</v>
      </c>
      <c r="F322" s="156">
        <v>0.28976286870000001</v>
      </c>
      <c r="G322" s="156">
        <v>4.6269519949999997E-3</v>
      </c>
      <c r="H322" s="156">
        <v>1.7351069980000001E-3</v>
      </c>
      <c r="I322" s="156">
        <v>0</v>
      </c>
      <c r="J322" s="156">
        <v>0</v>
      </c>
      <c r="K322" s="157">
        <v>0.2244071718</v>
      </c>
      <c r="L322" s="158">
        <v>0.40011547339999998</v>
      </c>
      <c r="M322" s="156">
        <v>0.54041570439999997</v>
      </c>
      <c r="N322" s="156">
        <v>5.7736720549999999E-3</v>
      </c>
      <c r="O322" s="156">
        <v>0</v>
      </c>
      <c r="P322" s="156">
        <v>0</v>
      </c>
      <c r="Q322" s="156">
        <v>0</v>
      </c>
      <c r="R322" s="159">
        <v>5.369515012E-2</v>
      </c>
      <c r="S322" s="155">
        <v>0.44312090529999998</v>
      </c>
      <c r="T322" s="156">
        <v>0.5336509827</v>
      </c>
      <c r="U322" s="156">
        <v>0</v>
      </c>
      <c r="V322" s="156">
        <v>0</v>
      </c>
      <c r="W322" s="156">
        <v>6.5515187610000001E-3</v>
      </c>
      <c r="X322" s="156">
        <v>0</v>
      </c>
      <c r="Y322" s="157">
        <v>1.667659321E-2</v>
      </c>
      <c r="Z322" s="158">
        <v>0.41144901610000001</v>
      </c>
      <c r="AA322" s="156">
        <v>0.53309481219999999</v>
      </c>
      <c r="AB322" s="156">
        <v>0</v>
      </c>
      <c r="AC322" s="156">
        <v>0</v>
      </c>
      <c r="AD322" s="156">
        <v>5.9630292190000003E-3</v>
      </c>
      <c r="AE322" s="156">
        <v>0</v>
      </c>
      <c r="AF322" s="159">
        <v>4.9493142519999998E-2</v>
      </c>
      <c r="AG322" s="155">
        <v>0.442</v>
      </c>
      <c r="AH322" s="156">
        <v>0</v>
      </c>
      <c r="AI322" s="156">
        <v>0</v>
      </c>
      <c r="AJ322" s="156">
        <v>2.1999999999999999E-2</v>
      </c>
      <c r="AK322" s="156">
        <v>0.46466666670000001</v>
      </c>
      <c r="AL322" s="156">
        <v>2.1999999999999999E-2</v>
      </c>
      <c r="AM322" s="157">
        <v>4.933333333E-2</v>
      </c>
      <c r="AN322" s="158">
        <v>0.45</v>
      </c>
      <c r="AO322" s="156">
        <v>0</v>
      </c>
      <c r="AP322" s="156">
        <v>0</v>
      </c>
      <c r="AQ322" s="156">
        <v>6.6666666670000003E-3</v>
      </c>
      <c r="AR322" s="156">
        <v>0.47</v>
      </c>
      <c r="AS322" s="156">
        <v>3.0666666669999999E-2</v>
      </c>
      <c r="AT322" s="159">
        <v>4.2666666669999999E-2</v>
      </c>
    </row>
    <row r="323" spans="1:46" ht="12.75">
      <c r="A323" s="67" t="s">
        <v>7</v>
      </c>
      <c r="B323" s="67" t="s">
        <v>671</v>
      </c>
      <c r="C323" s="67" t="s">
        <v>685</v>
      </c>
      <c r="D323" s="67" t="s">
        <v>686</v>
      </c>
      <c r="E323" s="155">
        <v>0.23144104800000001</v>
      </c>
      <c r="F323" s="156">
        <v>0.21943231439999999</v>
      </c>
      <c r="G323" s="156">
        <v>6.550218341E-3</v>
      </c>
      <c r="H323" s="156">
        <v>5.4585152840000003E-3</v>
      </c>
      <c r="I323" s="156">
        <v>0</v>
      </c>
      <c r="J323" s="156">
        <v>0</v>
      </c>
      <c r="K323" s="157">
        <v>0.53711790390000003</v>
      </c>
      <c r="L323" s="158">
        <v>0.49563318779999999</v>
      </c>
      <c r="M323" s="156">
        <v>0.44868995630000003</v>
      </c>
      <c r="N323" s="156">
        <v>8.7336244539999996E-3</v>
      </c>
      <c r="O323" s="156">
        <v>0</v>
      </c>
      <c r="P323" s="156">
        <v>0</v>
      </c>
      <c r="Q323" s="156">
        <v>0</v>
      </c>
      <c r="R323" s="159">
        <v>4.6943231439999997E-2</v>
      </c>
      <c r="S323" s="155">
        <v>0.53800475059999997</v>
      </c>
      <c r="T323" s="156">
        <v>0.42517814729999998</v>
      </c>
      <c r="U323" s="156">
        <v>0</v>
      </c>
      <c r="V323" s="156">
        <v>0</v>
      </c>
      <c r="W323" s="156">
        <v>7.1258907359999998E-3</v>
      </c>
      <c r="X323" s="156">
        <v>0</v>
      </c>
      <c r="Y323" s="157">
        <v>2.96912114E-2</v>
      </c>
      <c r="Z323" s="158">
        <v>0.50712589070000003</v>
      </c>
      <c r="AA323" s="156">
        <v>0.43705463179999998</v>
      </c>
      <c r="AB323" s="156">
        <v>0</v>
      </c>
      <c r="AC323" s="156">
        <v>0</v>
      </c>
      <c r="AD323" s="156">
        <v>9.5011876480000004E-3</v>
      </c>
      <c r="AE323" s="156">
        <v>0</v>
      </c>
      <c r="AF323" s="159">
        <v>4.6318289790000002E-2</v>
      </c>
      <c r="AG323" s="155">
        <v>0.50506329110000003</v>
      </c>
      <c r="AH323" s="156">
        <v>0</v>
      </c>
      <c r="AI323" s="156">
        <v>0</v>
      </c>
      <c r="AJ323" s="156">
        <v>1.7721518990000001E-2</v>
      </c>
      <c r="AK323" s="156">
        <v>0.38860759490000002</v>
      </c>
      <c r="AL323" s="156">
        <v>4.9367088609999998E-2</v>
      </c>
      <c r="AM323" s="157">
        <v>3.9240506330000001E-2</v>
      </c>
      <c r="AN323" s="158">
        <v>0.49557522120000003</v>
      </c>
      <c r="AO323" s="156">
        <v>0</v>
      </c>
      <c r="AP323" s="156">
        <v>0</v>
      </c>
      <c r="AQ323" s="156">
        <v>5.056890013E-3</v>
      </c>
      <c r="AR323" s="156">
        <v>0.39443742100000001</v>
      </c>
      <c r="AS323" s="156">
        <v>5.3097345130000001E-2</v>
      </c>
      <c r="AT323" s="159">
        <v>5.1833122629999999E-2</v>
      </c>
    </row>
    <row r="324" spans="1:46" ht="12.75">
      <c r="A324" s="67" t="s">
        <v>7</v>
      </c>
      <c r="B324" s="67" t="s">
        <v>671</v>
      </c>
      <c r="C324" s="67" t="s">
        <v>685</v>
      </c>
      <c r="D324" s="67" t="s">
        <v>685</v>
      </c>
      <c r="E324" s="165">
        <v>0.2391073326</v>
      </c>
      <c r="F324" s="166">
        <v>0.2720510096</v>
      </c>
      <c r="G324" s="166">
        <v>4.2507970239999996E-3</v>
      </c>
      <c r="H324" s="166">
        <v>1.0626992559999999E-3</v>
      </c>
      <c r="I324" s="166">
        <v>0</v>
      </c>
      <c r="J324" s="166">
        <v>0</v>
      </c>
      <c r="K324" s="167">
        <v>0.4835281615</v>
      </c>
      <c r="L324" s="168">
        <v>0.50797024440000005</v>
      </c>
      <c r="M324" s="166">
        <v>0.4612114772</v>
      </c>
      <c r="N324" s="166">
        <v>6.3761955370000003E-3</v>
      </c>
      <c r="O324" s="166">
        <v>0</v>
      </c>
      <c r="P324" s="166">
        <v>0</v>
      </c>
      <c r="Q324" s="166">
        <v>0</v>
      </c>
      <c r="R324" s="169">
        <v>2.4442082890000001E-2</v>
      </c>
      <c r="S324" s="165">
        <v>0.47329059829999998</v>
      </c>
      <c r="T324" s="166">
        <v>0.47329059829999998</v>
      </c>
      <c r="U324" s="166">
        <v>0</v>
      </c>
      <c r="V324" s="166">
        <v>0</v>
      </c>
      <c r="W324" s="166">
        <v>7.4786324790000001E-3</v>
      </c>
      <c r="X324" s="166">
        <v>0</v>
      </c>
      <c r="Y324" s="167">
        <v>4.5940170939999997E-2</v>
      </c>
      <c r="Z324" s="168">
        <v>0.4711538462</v>
      </c>
      <c r="AA324" s="166">
        <v>0.49145299149999999</v>
      </c>
      <c r="AB324" s="166">
        <v>0</v>
      </c>
      <c r="AC324" s="166">
        <v>0</v>
      </c>
      <c r="AD324" s="166">
        <v>5.3418803419999997E-3</v>
      </c>
      <c r="AE324" s="166">
        <v>0</v>
      </c>
      <c r="AF324" s="169">
        <v>3.2051282049999998E-2</v>
      </c>
      <c r="AG324" s="165">
        <v>0.46815642460000001</v>
      </c>
      <c r="AH324" s="166">
        <v>0</v>
      </c>
      <c r="AI324" s="166">
        <v>0</v>
      </c>
      <c r="AJ324" s="166">
        <v>4.6927374299999998E-2</v>
      </c>
      <c r="AK324" s="166">
        <v>0.39664804469999998</v>
      </c>
      <c r="AL324" s="166">
        <v>2.3463687149999999E-2</v>
      </c>
      <c r="AM324" s="167">
        <v>6.4804469269999998E-2</v>
      </c>
      <c r="AN324" s="168">
        <v>0.50279329610000001</v>
      </c>
      <c r="AO324" s="166">
        <v>0</v>
      </c>
      <c r="AP324" s="166">
        <v>0</v>
      </c>
      <c r="AQ324" s="166">
        <v>1.005586592E-2</v>
      </c>
      <c r="AR324" s="166">
        <v>0.41005586589999998</v>
      </c>
      <c r="AS324" s="166">
        <v>2.7932960890000001E-2</v>
      </c>
      <c r="AT324" s="169">
        <v>4.9162011169999999E-2</v>
      </c>
    </row>
    <row r="325" spans="1:46" ht="12.75">
      <c r="A325" s="65" t="s">
        <v>7</v>
      </c>
      <c r="B325" s="65" t="s">
        <v>671</v>
      </c>
      <c r="C325" s="65" t="s">
        <v>688</v>
      </c>
      <c r="D325" s="65" t="s">
        <v>688</v>
      </c>
      <c r="E325" s="170">
        <v>0.42359434289999998</v>
      </c>
      <c r="F325" s="170">
        <v>0.34839599859999998</v>
      </c>
      <c r="G325" s="170">
        <v>8.278716799E-3</v>
      </c>
      <c r="H325" s="170">
        <v>3.7944118660000001E-3</v>
      </c>
      <c r="I325" s="170">
        <v>0</v>
      </c>
      <c r="J325" s="170">
        <v>0</v>
      </c>
      <c r="K325" s="170">
        <v>0.2159365298</v>
      </c>
      <c r="L325" s="170">
        <v>0.40841669539999997</v>
      </c>
      <c r="M325" s="170">
        <v>0.51224560190000001</v>
      </c>
      <c r="N325" s="170">
        <v>1.0348395999999999E-2</v>
      </c>
      <c r="O325" s="170">
        <v>0</v>
      </c>
      <c r="P325" s="170">
        <v>0</v>
      </c>
      <c r="Q325" s="170">
        <v>0</v>
      </c>
      <c r="R325" s="170">
        <v>6.8989306659999999E-2</v>
      </c>
      <c r="S325" s="170">
        <v>0.49580138740000002</v>
      </c>
      <c r="T325" s="170">
        <v>0.47426067910000003</v>
      </c>
      <c r="U325" s="170">
        <v>0</v>
      </c>
      <c r="V325" s="170">
        <v>0</v>
      </c>
      <c r="W325" s="170">
        <v>2.555677254E-3</v>
      </c>
      <c r="X325" s="170">
        <v>0</v>
      </c>
      <c r="Y325" s="170">
        <v>2.7382256300000001E-2</v>
      </c>
      <c r="Z325" s="170">
        <v>0.46476816360000001</v>
      </c>
      <c r="AA325" s="170">
        <v>0.4801022271</v>
      </c>
      <c r="AB325" s="170">
        <v>0</v>
      </c>
      <c r="AC325" s="170">
        <v>0</v>
      </c>
      <c r="AD325" s="170">
        <v>9.1274187659999995E-3</v>
      </c>
      <c r="AE325" s="170">
        <v>0</v>
      </c>
      <c r="AF325" s="170">
        <v>4.6002190579999998E-2</v>
      </c>
      <c r="AG325" s="170">
        <v>0.49466613990000002</v>
      </c>
      <c r="AH325" s="170">
        <v>0</v>
      </c>
      <c r="AI325" s="170">
        <v>0</v>
      </c>
      <c r="AJ325" s="170">
        <v>2.5286448039999999E-2</v>
      </c>
      <c r="AK325" s="170">
        <v>0.38048202289999999</v>
      </c>
      <c r="AL325" s="170">
        <v>3.1212959299999999E-2</v>
      </c>
      <c r="AM325" s="170">
        <v>6.8352429869999995E-2</v>
      </c>
      <c r="AN325" s="170">
        <v>0.50414855790000002</v>
      </c>
      <c r="AO325" s="170">
        <v>0</v>
      </c>
      <c r="AP325" s="170">
        <v>0</v>
      </c>
      <c r="AQ325" s="170">
        <v>5.1363097590000004E-3</v>
      </c>
      <c r="AR325" s="170">
        <v>0.39786645590000003</v>
      </c>
      <c r="AS325" s="170">
        <v>3.595416831E-2</v>
      </c>
      <c r="AT325" s="170">
        <v>5.6894508099999998E-2</v>
      </c>
    </row>
    <row r="326" spans="1:46" ht="12.75">
      <c r="A326" s="65" t="s">
        <v>7</v>
      </c>
      <c r="B326" s="65" t="s">
        <v>671</v>
      </c>
      <c r="C326" s="65" t="s">
        <v>690</v>
      </c>
      <c r="D326" s="65" t="s">
        <v>691</v>
      </c>
      <c r="E326" s="170">
        <v>0.32258064520000002</v>
      </c>
      <c r="F326" s="170">
        <v>0.31797235019999998</v>
      </c>
      <c r="G326" s="170">
        <v>9.2165898619999999E-3</v>
      </c>
      <c r="H326" s="170">
        <v>4.6082949309999999E-3</v>
      </c>
      <c r="I326" s="170">
        <v>0</v>
      </c>
      <c r="J326" s="170">
        <v>0</v>
      </c>
      <c r="K326" s="170">
        <v>0.34562211980000002</v>
      </c>
      <c r="L326" s="170">
        <v>0.49386503069999999</v>
      </c>
      <c r="M326" s="170">
        <v>0.43865030669999999</v>
      </c>
      <c r="N326" s="170">
        <v>4.6012269940000003E-3</v>
      </c>
      <c r="O326" s="170">
        <v>0</v>
      </c>
      <c r="P326" s="170">
        <v>0</v>
      </c>
      <c r="Q326" s="170">
        <v>0</v>
      </c>
      <c r="R326" s="170">
        <v>6.2883435579999994E-2</v>
      </c>
      <c r="S326" s="170">
        <v>0.50095057030000001</v>
      </c>
      <c r="T326" s="170">
        <v>0.4572243346</v>
      </c>
      <c r="U326" s="170">
        <v>0</v>
      </c>
      <c r="V326" s="170">
        <v>0</v>
      </c>
      <c r="W326" s="170">
        <v>1.901140684E-3</v>
      </c>
      <c r="X326" s="170">
        <v>0</v>
      </c>
      <c r="Y326" s="170">
        <v>3.992395437E-2</v>
      </c>
      <c r="Z326" s="170">
        <v>0.4961977186</v>
      </c>
      <c r="AA326" s="170">
        <v>0.44201520909999997</v>
      </c>
      <c r="AB326" s="170">
        <v>0</v>
      </c>
      <c r="AC326" s="170">
        <v>0</v>
      </c>
      <c r="AD326" s="170">
        <v>6.6539923949999998E-3</v>
      </c>
      <c r="AE326" s="170">
        <v>0</v>
      </c>
      <c r="AF326" s="170">
        <v>5.5133079850000002E-2</v>
      </c>
      <c r="AG326" s="170">
        <v>0.42487046630000003</v>
      </c>
      <c r="AH326" s="170">
        <v>0</v>
      </c>
      <c r="AI326" s="170">
        <v>0</v>
      </c>
      <c r="AJ326" s="170">
        <v>2.0725388599999998E-2</v>
      </c>
      <c r="AK326" s="170">
        <v>0.38549222799999999</v>
      </c>
      <c r="AL326" s="170">
        <v>0.11606217620000001</v>
      </c>
      <c r="AM326" s="170">
        <v>5.284974093E-2</v>
      </c>
      <c r="AN326" s="170">
        <v>0.43626943010000002</v>
      </c>
      <c r="AO326" s="170">
        <v>0</v>
      </c>
      <c r="AP326" s="170">
        <v>0</v>
      </c>
      <c r="AQ326" s="170">
        <v>2.0725388600000001E-3</v>
      </c>
      <c r="AR326" s="170">
        <v>0.39274611399999998</v>
      </c>
      <c r="AS326" s="170">
        <v>0.1243523316</v>
      </c>
      <c r="AT326" s="170">
        <v>4.4559585489999998E-2</v>
      </c>
    </row>
    <row r="327" spans="1:46" ht="12.75">
      <c r="A327" s="65" t="s">
        <v>7</v>
      </c>
      <c r="B327" s="65" t="s">
        <v>671</v>
      </c>
      <c r="C327" s="65" t="s">
        <v>690</v>
      </c>
      <c r="D327" s="65" t="s">
        <v>690</v>
      </c>
      <c r="E327" s="170">
        <v>0.21923561529999999</v>
      </c>
      <c r="F327" s="170">
        <v>0.33683326330000002</v>
      </c>
      <c r="G327" s="170">
        <v>1.805963881E-2</v>
      </c>
      <c r="H327" s="170">
        <v>5.4598908019999996E-3</v>
      </c>
      <c r="I327" s="170">
        <v>0</v>
      </c>
      <c r="J327" s="170">
        <v>0</v>
      </c>
      <c r="K327" s="170">
        <v>0.42041159179999998</v>
      </c>
      <c r="L327" s="170">
        <v>0.40787269679999999</v>
      </c>
      <c r="M327" s="170">
        <v>0.52596314909999997</v>
      </c>
      <c r="N327" s="170">
        <v>1.8425460639999999E-2</v>
      </c>
      <c r="O327" s="170">
        <v>0</v>
      </c>
      <c r="P327" s="170">
        <v>0</v>
      </c>
      <c r="Q327" s="170">
        <v>0</v>
      </c>
      <c r="R327" s="170">
        <v>4.7738693470000003E-2</v>
      </c>
      <c r="S327" s="170">
        <v>0.44022346369999998</v>
      </c>
      <c r="T327" s="170">
        <v>0.5301675978</v>
      </c>
      <c r="U327" s="170">
        <v>0</v>
      </c>
      <c r="V327" s="170">
        <v>0</v>
      </c>
      <c r="W327" s="170">
        <v>3.9106145249999998E-3</v>
      </c>
      <c r="X327" s="170">
        <v>0</v>
      </c>
      <c r="Y327" s="170">
        <v>2.569832402E-2</v>
      </c>
      <c r="Z327" s="170">
        <v>0.42793296089999999</v>
      </c>
      <c r="AA327" s="170">
        <v>0.53798882680000004</v>
      </c>
      <c r="AB327" s="170">
        <v>0</v>
      </c>
      <c r="AC327" s="170">
        <v>0</v>
      </c>
      <c r="AD327" s="170">
        <v>5.5865921790000002E-3</v>
      </c>
      <c r="AE327" s="170">
        <v>0</v>
      </c>
      <c r="AF327" s="170">
        <v>2.8491620110000001E-2</v>
      </c>
      <c r="AG327" s="170">
        <v>0.33012048189999998</v>
      </c>
      <c r="AH327" s="170">
        <v>0</v>
      </c>
      <c r="AI327" s="170">
        <v>0</v>
      </c>
      <c r="AJ327" s="170">
        <v>2.2289156630000001E-2</v>
      </c>
      <c r="AK327" s="170">
        <v>0.5373493976</v>
      </c>
      <c r="AL327" s="170">
        <v>5.9036144579999998E-2</v>
      </c>
      <c r="AM327" s="170">
        <v>5.1204819280000001E-2</v>
      </c>
      <c r="AN327" s="170">
        <v>0.35180722889999999</v>
      </c>
      <c r="AO327" s="170">
        <v>0</v>
      </c>
      <c r="AP327" s="170">
        <v>0</v>
      </c>
      <c r="AQ327" s="170">
        <v>5.4216867470000003E-3</v>
      </c>
      <c r="AR327" s="170">
        <v>0.5487951807</v>
      </c>
      <c r="AS327" s="170">
        <v>6.3253012050000001E-2</v>
      </c>
      <c r="AT327" s="170">
        <v>3.0722891570000001E-2</v>
      </c>
    </row>
    <row r="328" spans="1:46" ht="12.75">
      <c r="A328" s="65" t="s">
        <v>7</v>
      </c>
      <c r="B328" s="65" t="s">
        <v>671</v>
      </c>
      <c r="C328" s="65" t="s">
        <v>693</v>
      </c>
      <c r="D328" s="65" t="s">
        <v>693</v>
      </c>
      <c r="E328" s="170">
        <v>0.24263959390000001</v>
      </c>
      <c r="F328" s="170">
        <v>0.25989847719999998</v>
      </c>
      <c r="G328" s="170">
        <v>6.091370558E-3</v>
      </c>
      <c r="H328" s="170">
        <v>5.076142132E-3</v>
      </c>
      <c r="I328" s="170">
        <v>0</v>
      </c>
      <c r="J328" s="170">
        <v>0</v>
      </c>
      <c r="K328" s="170">
        <v>0.48629441620000002</v>
      </c>
      <c r="L328" s="170">
        <v>0.4020304569</v>
      </c>
      <c r="M328" s="170">
        <v>0.44974619290000001</v>
      </c>
      <c r="N328" s="170">
        <v>5.076142132E-3</v>
      </c>
      <c r="O328" s="170">
        <v>0</v>
      </c>
      <c r="P328" s="170">
        <v>0</v>
      </c>
      <c r="Q328" s="170">
        <v>0</v>
      </c>
      <c r="R328" s="170">
        <v>0.14314720810000001</v>
      </c>
      <c r="S328" s="170">
        <v>0.4235412475</v>
      </c>
      <c r="T328" s="170">
        <v>0.53118712270000001</v>
      </c>
      <c r="U328" s="170">
        <v>0</v>
      </c>
      <c r="V328" s="170">
        <v>0</v>
      </c>
      <c r="W328" s="170">
        <v>1.006036217E-2</v>
      </c>
      <c r="X328" s="170">
        <v>0</v>
      </c>
      <c r="Y328" s="170">
        <v>3.5211267609999999E-2</v>
      </c>
      <c r="Z328" s="170">
        <v>0.38832997990000001</v>
      </c>
      <c r="AA328" s="170">
        <v>0.54325955729999997</v>
      </c>
      <c r="AB328" s="170">
        <v>0</v>
      </c>
      <c r="AC328" s="170">
        <v>0</v>
      </c>
      <c r="AD328" s="170">
        <v>1.8108651909999999E-2</v>
      </c>
      <c r="AE328" s="170">
        <v>0</v>
      </c>
      <c r="AF328" s="170">
        <v>5.0301810869999998E-2</v>
      </c>
      <c r="AG328" s="170">
        <v>0.47563805100000001</v>
      </c>
      <c r="AH328" s="170">
        <v>0</v>
      </c>
      <c r="AI328" s="170">
        <v>0</v>
      </c>
      <c r="AJ328" s="170">
        <v>3.596287703E-2</v>
      </c>
      <c r="AK328" s="170">
        <v>0.35614849189999997</v>
      </c>
      <c r="AL328" s="170">
        <v>5.8004640369999999E-2</v>
      </c>
      <c r="AM328" s="170">
        <v>7.4245939679999998E-2</v>
      </c>
      <c r="AN328" s="170">
        <v>0.47215777260000003</v>
      </c>
      <c r="AO328" s="170">
        <v>0</v>
      </c>
      <c r="AP328" s="170">
        <v>0</v>
      </c>
      <c r="AQ328" s="170">
        <v>2.2041763339999999E-2</v>
      </c>
      <c r="AR328" s="170">
        <v>0.37470997680000001</v>
      </c>
      <c r="AS328" s="170">
        <v>5.684454756E-2</v>
      </c>
      <c r="AT328" s="170">
        <v>7.4245939679999998E-2</v>
      </c>
    </row>
    <row r="329" spans="1:46" ht="12.75">
      <c r="A329" s="65" t="s">
        <v>7</v>
      </c>
      <c r="B329" s="65" t="s">
        <v>671</v>
      </c>
      <c r="C329" s="65" t="s">
        <v>695</v>
      </c>
      <c r="D329" s="65" t="s">
        <v>695</v>
      </c>
      <c r="E329" s="170">
        <v>0.33213429259999999</v>
      </c>
      <c r="F329" s="170">
        <v>0.36211031179999997</v>
      </c>
      <c r="G329" s="170">
        <v>6.2949640289999997E-2</v>
      </c>
      <c r="H329" s="170">
        <v>3.597122302E-3</v>
      </c>
      <c r="I329" s="170">
        <v>0</v>
      </c>
      <c r="J329" s="170">
        <v>0</v>
      </c>
      <c r="K329" s="170">
        <v>0.23920863310000001</v>
      </c>
      <c r="L329" s="170">
        <v>0.21702637890000001</v>
      </c>
      <c r="M329" s="170">
        <v>0.70743405280000005</v>
      </c>
      <c r="N329" s="170">
        <v>4.9760191850000003E-2</v>
      </c>
      <c r="O329" s="170">
        <v>0</v>
      </c>
      <c r="P329" s="170">
        <v>0</v>
      </c>
      <c r="Q329" s="170">
        <v>0</v>
      </c>
      <c r="R329" s="170">
        <v>2.5779376499999999E-2</v>
      </c>
      <c r="S329" s="170">
        <v>0.2549152542</v>
      </c>
      <c r="T329" s="170">
        <v>0.70169491530000005</v>
      </c>
      <c r="U329" s="170">
        <v>0</v>
      </c>
      <c r="V329" s="170">
        <v>0</v>
      </c>
      <c r="W329" s="170">
        <v>1.3559322029999999E-2</v>
      </c>
      <c r="X329" s="170">
        <v>0</v>
      </c>
      <c r="Y329" s="170">
        <v>2.9830508469999999E-2</v>
      </c>
      <c r="Z329" s="170">
        <v>0.22545700739999999</v>
      </c>
      <c r="AA329" s="170">
        <v>0.71834800269999999</v>
      </c>
      <c r="AB329" s="170">
        <v>0</v>
      </c>
      <c r="AC329" s="170">
        <v>0</v>
      </c>
      <c r="AD329" s="170">
        <v>1.7603249830000001E-2</v>
      </c>
      <c r="AE329" s="170">
        <v>0</v>
      </c>
      <c r="AF329" s="170">
        <v>3.859174001E-2</v>
      </c>
      <c r="AG329" s="170">
        <v>0.1678994083</v>
      </c>
      <c r="AH329" s="170">
        <v>0</v>
      </c>
      <c r="AI329" s="170">
        <v>0</v>
      </c>
      <c r="AJ329" s="170">
        <v>1.25739645E-2</v>
      </c>
      <c r="AK329" s="170">
        <v>0.37204142010000002</v>
      </c>
      <c r="AL329" s="170">
        <v>0.38757396449999998</v>
      </c>
      <c r="AM329" s="170">
        <v>5.9911242599999998E-2</v>
      </c>
      <c r="AN329" s="170">
        <v>0.18195266269999999</v>
      </c>
      <c r="AO329" s="170">
        <v>0</v>
      </c>
      <c r="AP329" s="170">
        <v>0</v>
      </c>
      <c r="AQ329" s="170">
        <v>5.9171597629999999E-3</v>
      </c>
      <c r="AR329" s="170">
        <v>0.36464497039999999</v>
      </c>
      <c r="AS329" s="170">
        <v>0.3986686391</v>
      </c>
      <c r="AT329" s="170">
        <v>4.8816568050000002E-2</v>
      </c>
    </row>
    <row r="330" spans="1:46" ht="12.75">
      <c r="A330" s="65" t="s">
        <v>7</v>
      </c>
      <c r="B330" s="65" t="s">
        <v>671</v>
      </c>
      <c r="C330" s="65" t="s">
        <v>671</v>
      </c>
      <c r="D330" s="65" t="s">
        <v>671</v>
      </c>
      <c r="E330" s="170">
        <v>0.3432042521</v>
      </c>
      <c r="F330" s="170">
        <v>0.3692736016</v>
      </c>
      <c r="G330" s="170">
        <v>1.4173626930000001E-2</v>
      </c>
      <c r="H330" s="170">
        <v>3.7965072130000002E-3</v>
      </c>
      <c r="I330" s="170">
        <v>0</v>
      </c>
      <c r="J330" s="170">
        <v>0</v>
      </c>
      <c r="K330" s="170">
        <v>0.26955201210000002</v>
      </c>
      <c r="L330" s="170">
        <v>0.32733721809999999</v>
      </c>
      <c r="M330" s="170">
        <v>0.58753483660000005</v>
      </c>
      <c r="N330" s="170">
        <v>1.317456296E-2</v>
      </c>
      <c r="O330" s="170">
        <v>0</v>
      </c>
      <c r="P330" s="170">
        <v>0</v>
      </c>
      <c r="Q330" s="170">
        <v>0</v>
      </c>
      <c r="R330" s="170">
        <v>7.1953382319999995E-2</v>
      </c>
      <c r="S330" s="170">
        <v>0.42180224599999999</v>
      </c>
      <c r="T330" s="170">
        <v>0.5420432758</v>
      </c>
      <c r="U330" s="170">
        <v>0</v>
      </c>
      <c r="V330" s="170">
        <v>0</v>
      </c>
      <c r="W330" s="170">
        <v>7.6691317450000001E-3</v>
      </c>
      <c r="X330" s="170">
        <v>0</v>
      </c>
      <c r="Y330" s="170">
        <v>2.848534648E-2</v>
      </c>
      <c r="Z330" s="170">
        <v>0.39524070020000002</v>
      </c>
      <c r="AA330" s="170">
        <v>0.55142231949999998</v>
      </c>
      <c r="AB330" s="170">
        <v>0</v>
      </c>
      <c r="AC330" s="170">
        <v>0</v>
      </c>
      <c r="AD330" s="170">
        <v>9.8468271330000006E-3</v>
      </c>
      <c r="AE330" s="170">
        <v>0</v>
      </c>
      <c r="AF330" s="170">
        <v>4.3490153169999997E-2</v>
      </c>
      <c r="AG330" s="170">
        <v>0.28094660189999998</v>
      </c>
      <c r="AH330" s="170">
        <v>0</v>
      </c>
      <c r="AI330" s="170">
        <v>0</v>
      </c>
      <c r="AJ330" s="170">
        <v>1.9417475730000001E-2</v>
      </c>
      <c r="AK330" s="170">
        <v>0.46389563109999998</v>
      </c>
      <c r="AL330" s="170">
        <v>0.16049757279999999</v>
      </c>
      <c r="AM330" s="170">
        <v>7.5242718449999996E-2</v>
      </c>
      <c r="AN330" s="170">
        <v>0.2879247573</v>
      </c>
      <c r="AO330" s="170">
        <v>0</v>
      </c>
      <c r="AP330" s="170">
        <v>0</v>
      </c>
      <c r="AQ330" s="170">
        <v>9.1019417479999993E-3</v>
      </c>
      <c r="AR330" s="170">
        <v>0.4778519417</v>
      </c>
      <c r="AS330" s="170">
        <v>0.1729368932</v>
      </c>
      <c r="AT330" s="170">
        <v>5.218446602E-2</v>
      </c>
    </row>
    <row r="331" spans="1:46" ht="12.75">
      <c r="A331" s="65" t="s">
        <v>7</v>
      </c>
      <c r="B331" s="65" t="s">
        <v>671</v>
      </c>
      <c r="C331" s="65" t="s">
        <v>698</v>
      </c>
      <c r="D331" s="65" t="s">
        <v>698</v>
      </c>
      <c r="E331" s="170">
        <v>0.35430463579999999</v>
      </c>
      <c r="F331" s="170">
        <v>0.2748344371</v>
      </c>
      <c r="G331" s="170">
        <v>2.6490066230000001E-2</v>
      </c>
      <c r="H331" s="170">
        <v>3.3112582779999998E-3</v>
      </c>
      <c r="I331" s="170">
        <v>0</v>
      </c>
      <c r="J331" s="170">
        <v>0</v>
      </c>
      <c r="K331" s="170">
        <v>0.34105960260000001</v>
      </c>
      <c r="L331" s="170">
        <v>0.30022075059999997</v>
      </c>
      <c r="M331" s="170">
        <v>0.64348785870000003</v>
      </c>
      <c r="N331" s="170">
        <v>1.324503311E-2</v>
      </c>
      <c r="O331" s="170">
        <v>0</v>
      </c>
      <c r="P331" s="170">
        <v>0</v>
      </c>
      <c r="Q331" s="170">
        <v>0</v>
      </c>
      <c r="R331" s="170">
        <v>4.3046357620000003E-2</v>
      </c>
      <c r="S331" s="170">
        <v>0.36101083029999997</v>
      </c>
      <c r="T331" s="170">
        <v>0.60409145610000003</v>
      </c>
      <c r="U331" s="170">
        <v>0</v>
      </c>
      <c r="V331" s="170">
        <v>0</v>
      </c>
      <c r="W331" s="170">
        <v>4.8134777379999997E-3</v>
      </c>
      <c r="X331" s="170">
        <v>0</v>
      </c>
      <c r="Y331" s="170">
        <v>3.0084235859999999E-2</v>
      </c>
      <c r="Z331" s="96" t="e">
        <v>#DIV/0!</v>
      </c>
      <c r="AA331" s="96" t="e">
        <v>#DIV/0!</v>
      </c>
      <c r="AB331" s="96" t="e">
        <v>#DIV/0!</v>
      </c>
      <c r="AC331" s="96" t="e">
        <v>#DIV/0!</v>
      </c>
      <c r="AD331" s="96" t="e">
        <v>#DIV/0!</v>
      </c>
      <c r="AE331" s="96" t="e">
        <v>#DIV/0!</v>
      </c>
      <c r="AF331" s="96" t="e">
        <v>#DIV/0!</v>
      </c>
      <c r="AG331" s="170">
        <v>0.24374176550000001</v>
      </c>
      <c r="AH331" s="170">
        <v>0</v>
      </c>
      <c r="AI331" s="170">
        <v>0</v>
      </c>
      <c r="AJ331" s="170">
        <v>2.2397891959999999E-2</v>
      </c>
      <c r="AK331" s="170">
        <v>0.48880105400000001</v>
      </c>
      <c r="AL331" s="170">
        <v>0.2015810277</v>
      </c>
      <c r="AM331" s="170">
        <v>4.347826087E-2</v>
      </c>
      <c r="AN331" s="170">
        <v>0.23847167329999999</v>
      </c>
      <c r="AO331" s="170">
        <v>0</v>
      </c>
      <c r="AP331" s="170">
        <v>0</v>
      </c>
      <c r="AQ331" s="170">
        <v>6.587615283E-3</v>
      </c>
      <c r="AR331" s="170">
        <v>0.50988142290000005</v>
      </c>
      <c r="AS331" s="170">
        <v>0.2173913043</v>
      </c>
      <c r="AT331" s="170">
        <v>2.7667984190000001E-2</v>
      </c>
    </row>
    <row r="332" spans="1:46" ht="12.75">
      <c r="A332" s="65" t="s">
        <v>7</v>
      </c>
      <c r="B332" s="65" t="s">
        <v>671</v>
      </c>
      <c r="C332" s="65" t="s">
        <v>700</v>
      </c>
      <c r="D332" s="65" t="s">
        <v>700</v>
      </c>
      <c r="E332" s="170">
        <v>0.17123287670000001</v>
      </c>
      <c r="F332" s="170">
        <v>0.21390937830000001</v>
      </c>
      <c r="G332" s="170">
        <v>1.0010537409999999E-2</v>
      </c>
      <c r="H332" s="170">
        <v>1.05374078E-3</v>
      </c>
      <c r="I332" s="170">
        <v>0</v>
      </c>
      <c r="J332" s="170">
        <v>0</v>
      </c>
      <c r="K332" s="170">
        <v>0.60379346680000001</v>
      </c>
      <c r="L332" s="170">
        <v>0.45100105369999999</v>
      </c>
      <c r="M332" s="170">
        <v>0.50474183350000001</v>
      </c>
      <c r="N332" s="170">
        <v>1.0537407800000001E-2</v>
      </c>
      <c r="O332" s="170">
        <v>0</v>
      </c>
      <c r="P332" s="170">
        <v>0</v>
      </c>
      <c r="Q332" s="170">
        <v>0</v>
      </c>
      <c r="R332" s="170">
        <v>3.3719704949999998E-2</v>
      </c>
      <c r="S332" s="170">
        <v>0.47406989849999998</v>
      </c>
      <c r="T332" s="170">
        <v>0.49549041710000002</v>
      </c>
      <c r="U332" s="170">
        <v>0</v>
      </c>
      <c r="V332" s="170">
        <v>0</v>
      </c>
      <c r="W332" s="170">
        <v>4.5095828639999998E-3</v>
      </c>
      <c r="X332" s="170">
        <v>0</v>
      </c>
      <c r="Y332" s="170">
        <v>2.5930101470000001E-2</v>
      </c>
      <c r="Z332" s="170">
        <v>0.46279594140000002</v>
      </c>
      <c r="AA332" s="170">
        <v>0.49379932360000001</v>
      </c>
      <c r="AB332" s="170">
        <v>0</v>
      </c>
      <c r="AC332" s="170">
        <v>0</v>
      </c>
      <c r="AD332" s="170">
        <v>7.8917700110000006E-3</v>
      </c>
      <c r="AE332" s="170">
        <v>0</v>
      </c>
      <c r="AF332" s="170">
        <v>3.5512965049999998E-2</v>
      </c>
      <c r="AG332" s="170">
        <v>0.36601746140000002</v>
      </c>
      <c r="AH332" s="170">
        <v>0</v>
      </c>
      <c r="AI332" s="170">
        <v>0</v>
      </c>
      <c r="AJ332" s="170">
        <v>1.94761585E-2</v>
      </c>
      <c r="AK332" s="170">
        <v>0.40631296169999997</v>
      </c>
      <c r="AL332" s="170">
        <v>0.14506380120000001</v>
      </c>
      <c r="AM332" s="170">
        <v>6.3129617190000001E-2</v>
      </c>
      <c r="AN332" s="170">
        <v>0.37121721590000001</v>
      </c>
      <c r="AO332" s="170">
        <v>0</v>
      </c>
      <c r="AP332" s="170">
        <v>0</v>
      </c>
      <c r="AQ332" s="170">
        <v>1.2104909210000001E-2</v>
      </c>
      <c r="AR332" s="170">
        <v>0.4203093477</v>
      </c>
      <c r="AS332" s="170">
        <v>0.1566913248</v>
      </c>
      <c r="AT332" s="170">
        <v>3.9677202420000002E-2</v>
      </c>
    </row>
    <row r="333" spans="1:46" ht="12.75">
      <c r="A333" s="65" t="s">
        <v>7</v>
      </c>
      <c r="B333" s="65" t="s">
        <v>671</v>
      </c>
      <c r="C333" s="65" t="s">
        <v>702</v>
      </c>
      <c r="D333" s="65" t="s">
        <v>702</v>
      </c>
      <c r="E333" s="170">
        <v>0.20430701270000001</v>
      </c>
      <c r="F333" s="170">
        <v>0.2413031474</v>
      </c>
      <c r="G333" s="170">
        <v>1.0491441190000001E-2</v>
      </c>
      <c r="H333" s="170">
        <v>7.7305356160000003E-3</v>
      </c>
      <c r="I333" s="170">
        <v>0</v>
      </c>
      <c r="J333" s="170">
        <v>0</v>
      </c>
      <c r="K333" s="170">
        <v>0.53616786309999998</v>
      </c>
      <c r="L333" s="170">
        <v>0.38431805629999999</v>
      </c>
      <c r="M333" s="170">
        <v>0.53230259530000001</v>
      </c>
      <c r="N333" s="170">
        <v>8.8348978460000005E-3</v>
      </c>
      <c r="O333" s="170">
        <v>0</v>
      </c>
      <c r="P333" s="170">
        <v>0</v>
      </c>
      <c r="Q333" s="170">
        <v>0</v>
      </c>
      <c r="R333" s="170">
        <v>7.4544450580000005E-2</v>
      </c>
      <c r="S333" s="170">
        <v>0.46620450610000003</v>
      </c>
      <c r="T333" s="170">
        <v>0.50317735409999997</v>
      </c>
      <c r="U333" s="170">
        <v>0</v>
      </c>
      <c r="V333" s="170">
        <v>0</v>
      </c>
      <c r="W333" s="170">
        <v>4.6216060080000003E-3</v>
      </c>
      <c r="X333" s="170">
        <v>0</v>
      </c>
      <c r="Y333" s="170">
        <v>2.5996533799999999E-2</v>
      </c>
      <c r="Z333" s="170">
        <v>0.44482957829999997</v>
      </c>
      <c r="AA333" s="170">
        <v>0.50895436159999996</v>
      </c>
      <c r="AB333" s="170">
        <v>0</v>
      </c>
      <c r="AC333" s="170">
        <v>0</v>
      </c>
      <c r="AD333" s="170">
        <v>1.2709416520000001E-2</v>
      </c>
      <c r="AE333" s="170">
        <v>0</v>
      </c>
      <c r="AF333" s="170">
        <v>3.350664356E-2</v>
      </c>
      <c r="AG333" s="170">
        <v>0.43481012660000001</v>
      </c>
      <c r="AH333" s="170">
        <v>0</v>
      </c>
      <c r="AI333" s="170">
        <v>0</v>
      </c>
      <c r="AJ333" s="170">
        <v>3.1645569620000001E-2</v>
      </c>
      <c r="AK333" s="170">
        <v>0.3753164557</v>
      </c>
      <c r="AL333" s="170">
        <v>8.6708860760000006E-2</v>
      </c>
      <c r="AM333" s="170">
        <v>7.1518987340000006E-2</v>
      </c>
      <c r="AN333" s="170">
        <v>0.46012658229999998</v>
      </c>
      <c r="AO333" s="170">
        <v>0</v>
      </c>
      <c r="AP333" s="170">
        <v>0</v>
      </c>
      <c r="AQ333" s="170">
        <v>1.5822784810000001E-2</v>
      </c>
      <c r="AR333" s="170">
        <v>0.38544303800000002</v>
      </c>
      <c r="AS333" s="170">
        <v>8.9873417720000001E-2</v>
      </c>
      <c r="AT333" s="170">
        <v>4.8734177220000001E-2</v>
      </c>
    </row>
    <row r="334" spans="1:46" ht="12.75">
      <c r="A334" s="65" t="s">
        <v>7</v>
      </c>
      <c r="B334" s="65" t="s">
        <v>671</v>
      </c>
      <c r="C334" s="65" t="s">
        <v>704</v>
      </c>
      <c r="D334" s="65" t="s">
        <v>704</v>
      </c>
      <c r="E334" s="170">
        <v>0.14121699200000001</v>
      </c>
      <c r="F334" s="170">
        <v>0.49483352470000003</v>
      </c>
      <c r="G334" s="170">
        <v>5.7405281289999999E-3</v>
      </c>
      <c r="H334" s="170">
        <v>4.5924225029999998E-3</v>
      </c>
      <c r="I334" s="170">
        <v>0</v>
      </c>
      <c r="J334" s="170">
        <v>0</v>
      </c>
      <c r="K334" s="170">
        <v>0.35361653269999999</v>
      </c>
      <c r="L334" s="170">
        <v>0.32606199769999999</v>
      </c>
      <c r="M334" s="170">
        <v>0.62801377729999996</v>
      </c>
      <c r="N334" s="170">
        <v>5.7405281289999999E-3</v>
      </c>
      <c r="O334" s="170">
        <v>0</v>
      </c>
      <c r="P334" s="170">
        <v>0</v>
      </c>
      <c r="Q334" s="170">
        <v>0</v>
      </c>
      <c r="R334" s="170">
        <v>4.0183696900000003E-2</v>
      </c>
      <c r="S334" s="170">
        <v>0.32379862700000001</v>
      </c>
      <c r="T334" s="170">
        <v>0.64759725400000001</v>
      </c>
      <c r="U334" s="170">
        <v>0</v>
      </c>
      <c r="V334" s="170">
        <v>0</v>
      </c>
      <c r="W334" s="170">
        <v>4.5766590389999997E-3</v>
      </c>
      <c r="X334" s="170">
        <v>0</v>
      </c>
      <c r="Y334" s="170">
        <v>2.402745995E-2</v>
      </c>
      <c r="Z334" s="170">
        <v>0.32837528599999999</v>
      </c>
      <c r="AA334" s="170">
        <v>0.64416475969999998</v>
      </c>
      <c r="AB334" s="170">
        <v>0</v>
      </c>
      <c r="AC334" s="170">
        <v>0</v>
      </c>
      <c r="AD334" s="170">
        <v>3.4324942790000001E-3</v>
      </c>
      <c r="AE334" s="170">
        <v>0</v>
      </c>
      <c r="AF334" s="170">
        <v>2.402745995E-2</v>
      </c>
      <c r="AG334" s="170">
        <v>0.33877551020000002</v>
      </c>
      <c r="AH334" s="170">
        <v>0</v>
      </c>
      <c r="AI334" s="170">
        <v>0</v>
      </c>
      <c r="AJ334" s="170">
        <v>2.5850340140000001E-2</v>
      </c>
      <c r="AK334" s="170">
        <v>0.49795918369999997</v>
      </c>
      <c r="AL334" s="170">
        <v>8.0272108839999995E-2</v>
      </c>
      <c r="AM334" s="170">
        <v>5.7142857140000003E-2</v>
      </c>
      <c r="AN334" s="170">
        <v>0.35374149659999998</v>
      </c>
      <c r="AO334" s="170">
        <v>0</v>
      </c>
      <c r="AP334" s="170">
        <v>0</v>
      </c>
      <c r="AQ334" s="170">
        <v>4.0816326530000004E-3</v>
      </c>
      <c r="AR334" s="170">
        <v>0.52108843540000005</v>
      </c>
      <c r="AS334" s="170">
        <v>9.1156462590000001E-2</v>
      </c>
      <c r="AT334" s="170">
        <v>2.9931972790000001E-2</v>
      </c>
    </row>
    <row r="335" spans="1:46" ht="12.75">
      <c r="A335" s="65" t="s">
        <v>7</v>
      </c>
      <c r="B335" s="65" t="s">
        <v>706</v>
      </c>
      <c r="C335" s="65" t="s">
        <v>707</v>
      </c>
      <c r="D335" s="65" t="s">
        <v>707</v>
      </c>
      <c r="E335" s="170">
        <v>0.2191169563</v>
      </c>
      <c r="F335" s="170">
        <v>0.31517144200000002</v>
      </c>
      <c r="G335" s="170">
        <v>3.8046031000000001E-2</v>
      </c>
      <c r="H335" s="170">
        <v>5.4015969940000002E-3</v>
      </c>
      <c r="I335" s="170">
        <v>0</v>
      </c>
      <c r="J335" s="170">
        <v>0</v>
      </c>
      <c r="K335" s="170">
        <v>0.42226397370000002</v>
      </c>
      <c r="L335" s="170">
        <v>0.35533114139999999</v>
      </c>
      <c r="M335" s="170">
        <v>0.5558947863</v>
      </c>
      <c r="N335" s="170">
        <v>3.5932362609999997E-2</v>
      </c>
      <c r="O335" s="170">
        <v>0</v>
      </c>
      <c r="P335" s="170">
        <v>0</v>
      </c>
      <c r="Q335" s="170">
        <v>0</v>
      </c>
      <c r="R335" s="170">
        <v>5.2841709719999998E-2</v>
      </c>
      <c r="S335" s="170">
        <v>0.4059561129</v>
      </c>
      <c r="T335" s="170">
        <v>0.56165099269999996</v>
      </c>
      <c r="U335" s="170">
        <v>0</v>
      </c>
      <c r="V335" s="170">
        <v>0</v>
      </c>
      <c r="W335" s="170">
        <v>4.7021943569999997E-3</v>
      </c>
      <c r="X335" s="170">
        <v>0</v>
      </c>
      <c r="Y335" s="170">
        <v>2.76907001E-2</v>
      </c>
      <c r="Z335" s="170">
        <v>0.38479623819999997</v>
      </c>
      <c r="AA335" s="170">
        <v>0.56974921629999997</v>
      </c>
      <c r="AB335" s="170">
        <v>0</v>
      </c>
      <c r="AC335" s="170">
        <v>0</v>
      </c>
      <c r="AD335" s="170">
        <v>6.0083594569999999E-3</v>
      </c>
      <c r="AE335" s="170">
        <v>0</v>
      </c>
      <c r="AF335" s="170">
        <v>3.9446186000000001E-2</v>
      </c>
      <c r="AG335" s="170">
        <v>0.19524824860000001</v>
      </c>
      <c r="AH335" s="170">
        <v>0</v>
      </c>
      <c r="AI335" s="170">
        <v>0</v>
      </c>
      <c r="AJ335" s="170">
        <v>2.2844958879999998E-2</v>
      </c>
      <c r="AK335" s="170">
        <v>0.41943344500000002</v>
      </c>
      <c r="AL335" s="170">
        <v>0.2896740786</v>
      </c>
      <c r="AM335" s="170">
        <v>7.2799268959999996E-2</v>
      </c>
      <c r="AN335" s="170">
        <v>0.20085339839999999</v>
      </c>
      <c r="AO335" s="170">
        <v>0</v>
      </c>
      <c r="AP335" s="170">
        <v>0</v>
      </c>
      <c r="AQ335" s="170">
        <v>1.462968607E-2</v>
      </c>
      <c r="AR335" s="170">
        <v>0.43340444989999999</v>
      </c>
      <c r="AS335" s="170">
        <v>0.29838463879999999</v>
      </c>
      <c r="AT335" s="170">
        <v>5.2727826880000002E-2</v>
      </c>
    </row>
    <row r="336" spans="1:46" ht="12.75">
      <c r="A336" s="65" t="s">
        <v>7</v>
      </c>
      <c r="B336" s="65" t="s">
        <v>706</v>
      </c>
      <c r="C336" s="65" t="s">
        <v>709</v>
      </c>
      <c r="D336" s="65" t="s">
        <v>709</v>
      </c>
      <c r="E336" s="170">
        <v>0.20100418410000001</v>
      </c>
      <c r="F336" s="170">
        <v>0.27765690380000002</v>
      </c>
      <c r="G336" s="170">
        <v>9.7071129709999995E-3</v>
      </c>
      <c r="H336" s="170">
        <v>5.5230125520000003E-3</v>
      </c>
      <c r="I336" s="170">
        <v>0</v>
      </c>
      <c r="J336" s="170">
        <v>0</v>
      </c>
      <c r="K336" s="170">
        <v>0.50610878660000003</v>
      </c>
      <c r="L336" s="170">
        <v>0.52827978580000001</v>
      </c>
      <c r="M336" s="170">
        <v>0.38336680049999999</v>
      </c>
      <c r="N336" s="170">
        <v>1.020749665E-2</v>
      </c>
      <c r="O336" s="170">
        <v>0</v>
      </c>
      <c r="P336" s="170">
        <v>0</v>
      </c>
      <c r="Q336" s="170">
        <v>0</v>
      </c>
      <c r="R336" s="170">
        <v>7.8145916999999995E-2</v>
      </c>
      <c r="S336" s="170">
        <v>0.51471415180000002</v>
      </c>
      <c r="T336" s="170">
        <v>0.41274601690000001</v>
      </c>
      <c r="U336" s="170">
        <v>0</v>
      </c>
      <c r="V336" s="170">
        <v>0</v>
      </c>
      <c r="W336" s="170">
        <v>1.2371134020000001E-2</v>
      </c>
      <c r="X336" s="170">
        <v>0</v>
      </c>
      <c r="Y336" s="170">
        <v>6.0168697280000003E-2</v>
      </c>
      <c r="Z336" s="170">
        <v>0.49540768509999999</v>
      </c>
      <c r="AA336" s="170">
        <v>0.42492970949999997</v>
      </c>
      <c r="AB336" s="170">
        <v>0</v>
      </c>
      <c r="AC336" s="170">
        <v>0</v>
      </c>
      <c r="AD336" s="170">
        <v>1.5932521089999999E-2</v>
      </c>
      <c r="AE336" s="170">
        <v>0</v>
      </c>
      <c r="AF336" s="170">
        <v>6.3730084349999994E-2</v>
      </c>
      <c r="AG336" s="170">
        <v>0.48677966099999997</v>
      </c>
      <c r="AH336" s="170">
        <v>0</v>
      </c>
      <c r="AI336" s="170">
        <v>0</v>
      </c>
      <c r="AJ336" s="170">
        <v>2.6214689270000001E-2</v>
      </c>
      <c r="AK336" s="170">
        <v>0.32293785310000001</v>
      </c>
      <c r="AL336" s="170">
        <v>5.7627118640000002E-2</v>
      </c>
      <c r="AM336" s="170">
        <v>0.106440678</v>
      </c>
      <c r="AN336" s="170">
        <v>0.51615819210000002</v>
      </c>
      <c r="AO336" s="170">
        <v>0</v>
      </c>
      <c r="AP336" s="170">
        <v>0</v>
      </c>
      <c r="AQ336" s="170">
        <v>1.0621468930000001E-2</v>
      </c>
      <c r="AR336" s="170">
        <v>0.3367231638</v>
      </c>
      <c r="AS336" s="170">
        <v>6.0790960450000001E-2</v>
      </c>
      <c r="AT336" s="170">
        <v>7.5706214689999995E-2</v>
      </c>
    </row>
    <row r="337" spans="1:46" ht="12.75">
      <c r="A337" s="65" t="s">
        <v>7</v>
      </c>
      <c r="B337" s="65" t="s">
        <v>706</v>
      </c>
      <c r="C337" s="65" t="s">
        <v>711</v>
      </c>
      <c r="D337" s="65" t="s">
        <v>711</v>
      </c>
      <c r="E337" s="170">
        <v>0.4057771664</v>
      </c>
      <c r="F337" s="170">
        <v>0.32187070150000002</v>
      </c>
      <c r="G337" s="170">
        <v>1.5130674E-2</v>
      </c>
      <c r="H337" s="170">
        <v>6.8775790919999996E-3</v>
      </c>
      <c r="I337" s="170">
        <v>0</v>
      </c>
      <c r="J337" s="170">
        <v>0</v>
      </c>
      <c r="K337" s="170">
        <v>0.25034387899999999</v>
      </c>
      <c r="L337" s="170">
        <v>0.39944903580000002</v>
      </c>
      <c r="M337" s="170">
        <v>0.56060606059999996</v>
      </c>
      <c r="N337" s="170">
        <v>1.377410468E-2</v>
      </c>
      <c r="O337" s="170">
        <v>0</v>
      </c>
      <c r="P337" s="170">
        <v>0</v>
      </c>
      <c r="Q337" s="170">
        <v>0</v>
      </c>
      <c r="R337" s="170">
        <v>2.61707989E-2</v>
      </c>
      <c r="S337" s="170">
        <v>0.47160883279999999</v>
      </c>
      <c r="T337" s="170">
        <v>0.50315457409999997</v>
      </c>
      <c r="U337" s="170">
        <v>0</v>
      </c>
      <c r="V337" s="170">
        <v>0</v>
      </c>
      <c r="W337" s="170">
        <v>7.8864353310000006E-3</v>
      </c>
      <c r="X337" s="170">
        <v>0</v>
      </c>
      <c r="Y337" s="170">
        <v>1.7350157729999999E-2</v>
      </c>
      <c r="Z337" s="170">
        <v>0.47160883279999999</v>
      </c>
      <c r="AA337" s="170">
        <v>0.51261829650000001</v>
      </c>
      <c r="AB337" s="170">
        <v>0</v>
      </c>
      <c r="AC337" s="170">
        <v>0</v>
      </c>
      <c r="AD337" s="170">
        <v>1.5772870660000001E-3</v>
      </c>
      <c r="AE337" s="170">
        <v>0</v>
      </c>
      <c r="AF337" s="170">
        <v>1.4195583600000001E-2</v>
      </c>
      <c r="AG337" s="170">
        <v>0.42194092830000002</v>
      </c>
      <c r="AH337" s="170">
        <v>0</v>
      </c>
      <c r="AI337" s="170">
        <v>0</v>
      </c>
      <c r="AJ337" s="170">
        <v>6.3291139239999997E-3</v>
      </c>
      <c r="AK337" s="170">
        <v>0.30379746839999999</v>
      </c>
      <c r="AL337" s="170">
        <v>0.2257383966</v>
      </c>
      <c r="AM337" s="170">
        <v>4.2194092830000002E-2</v>
      </c>
      <c r="AN337" s="170">
        <v>0.40717299579999999</v>
      </c>
      <c r="AO337" s="170">
        <v>0</v>
      </c>
      <c r="AP337" s="170">
        <v>0</v>
      </c>
      <c r="AQ337" s="170">
        <v>6.3291139239999997E-3</v>
      </c>
      <c r="AR337" s="170">
        <v>0.31856540080000001</v>
      </c>
      <c r="AS337" s="170">
        <v>0.23206751049999999</v>
      </c>
      <c r="AT337" s="170">
        <v>3.5864978899999997E-2</v>
      </c>
    </row>
    <row r="338" spans="1:46" ht="12.75">
      <c r="A338" s="65" t="s">
        <v>7</v>
      </c>
      <c r="B338" s="65" t="s">
        <v>706</v>
      </c>
      <c r="C338" s="65" t="s">
        <v>712</v>
      </c>
      <c r="D338" s="65" t="s">
        <v>712</v>
      </c>
      <c r="E338" s="170">
        <v>0.35829103210000002</v>
      </c>
      <c r="F338" s="170">
        <v>0.26586294420000001</v>
      </c>
      <c r="G338" s="170">
        <v>5.8587140439999998E-2</v>
      </c>
      <c r="H338" s="170">
        <v>3.5956006769999999E-3</v>
      </c>
      <c r="I338" s="170">
        <v>0</v>
      </c>
      <c r="J338" s="170">
        <v>0</v>
      </c>
      <c r="K338" s="170">
        <v>0.31366328259999998</v>
      </c>
      <c r="L338" s="170">
        <v>0.3536379019</v>
      </c>
      <c r="M338" s="170">
        <v>0.54230118439999997</v>
      </c>
      <c r="N338" s="170">
        <v>5.2241962769999997E-2</v>
      </c>
      <c r="O338" s="170">
        <v>0</v>
      </c>
      <c r="P338" s="170">
        <v>0</v>
      </c>
      <c r="Q338" s="170">
        <v>0</v>
      </c>
      <c r="R338" s="170">
        <v>5.1818950930000003E-2</v>
      </c>
      <c r="S338" s="170">
        <v>0.41485849060000002</v>
      </c>
      <c r="T338" s="170">
        <v>0.54174528300000002</v>
      </c>
      <c r="U338" s="170">
        <v>0</v>
      </c>
      <c r="V338" s="170">
        <v>0</v>
      </c>
      <c r="W338" s="170">
        <v>1.2028301890000001E-2</v>
      </c>
      <c r="X338" s="170">
        <v>0</v>
      </c>
      <c r="Y338" s="170">
        <v>3.1367924530000001E-2</v>
      </c>
      <c r="Z338" s="170">
        <v>0.38490566040000002</v>
      </c>
      <c r="AA338" s="170">
        <v>0.55919811320000001</v>
      </c>
      <c r="AB338" s="170">
        <v>0</v>
      </c>
      <c r="AC338" s="170">
        <v>0</v>
      </c>
      <c r="AD338" s="170">
        <v>1.391509434E-2</v>
      </c>
      <c r="AE338" s="170">
        <v>0</v>
      </c>
      <c r="AF338" s="170">
        <v>4.1981132079999997E-2</v>
      </c>
      <c r="AG338" s="170">
        <v>0.26993865030000003</v>
      </c>
      <c r="AH338" s="170">
        <v>0</v>
      </c>
      <c r="AI338" s="170">
        <v>0</v>
      </c>
      <c r="AJ338" s="170">
        <v>1.573753001E-2</v>
      </c>
      <c r="AK338" s="170">
        <v>0.35476126969999999</v>
      </c>
      <c r="AL338" s="170">
        <v>0.2896772473</v>
      </c>
      <c r="AM338" s="170">
        <v>6.9885302750000003E-2</v>
      </c>
      <c r="AN338" s="170">
        <v>0.27820752199999998</v>
      </c>
      <c r="AO338" s="170">
        <v>0</v>
      </c>
      <c r="AP338" s="170">
        <v>0</v>
      </c>
      <c r="AQ338" s="170">
        <v>8.2688716990000008E-3</v>
      </c>
      <c r="AR338" s="170">
        <v>0.36089623900000001</v>
      </c>
      <c r="AS338" s="170">
        <v>0.29741264340000001</v>
      </c>
      <c r="AT338" s="170">
        <v>5.5214723930000001E-2</v>
      </c>
    </row>
    <row r="339" spans="1:46" ht="12.75">
      <c r="A339" s="65" t="s">
        <v>7</v>
      </c>
      <c r="B339" s="65" t="s">
        <v>706</v>
      </c>
      <c r="C339" s="65" t="s">
        <v>714</v>
      </c>
      <c r="D339" s="65" t="s">
        <v>714</v>
      </c>
      <c r="E339" s="170">
        <v>0.32101167320000001</v>
      </c>
      <c r="F339" s="170">
        <v>0.56290531779999997</v>
      </c>
      <c r="G339" s="170">
        <v>3.7289234759999998E-2</v>
      </c>
      <c r="H339" s="170">
        <v>7.1335927370000003E-3</v>
      </c>
      <c r="I339" s="170">
        <v>0</v>
      </c>
      <c r="J339" s="170">
        <v>0</v>
      </c>
      <c r="K339" s="170">
        <v>7.1660181579999996E-2</v>
      </c>
      <c r="L339" s="170">
        <v>0.31549935150000002</v>
      </c>
      <c r="M339" s="170">
        <v>0.57814526590000004</v>
      </c>
      <c r="N339" s="170">
        <v>3.6640726329999998E-2</v>
      </c>
      <c r="O339" s="170">
        <v>0</v>
      </c>
      <c r="P339" s="170">
        <v>0</v>
      </c>
      <c r="Q339" s="170">
        <v>0</v>
      </c>
      <c r="R339" s="170">
        <v>6.9714656289999996E-2</v>
      </c>
      <c r="S339" s="170">
        <v>0.45719035740000002</v>
      </c>
      <c r="T339" s="170">
        <v>0.48462177890000002</v>
      </c>
      <c r="U339" s="170">
        <v>0</v>
      </c>
      <c r="V339" s="170">
        <v>0</v>
      </c>
      <c r="W339" s="170">
        <v>9.1438071490000002E-3</v>
      </c>
      <c r="X339" s="170">
        <v>0</v>
      </c>
      <c r="Y339" s="170">
        <v>4.9044056529999998E-2</v>
      </c>
      <c r="Z339" s="170">
        <v>0.44074844070000002</v>
      </c>
      <c r="AA339" s="170">
        <v>0.49230769229999999</v>
      </c>
      <c r="AB339" s="170">
        <v>0</v>
      </c>
      <c r="AC339" s="170">
        <v>0</v>
      </c>
      <c r="AD339" s="170">
        <v>9.5634095629999992E-3</v>
      </c>
      <c r="AE339" s="170">
        <v>0</v>
      </c>
      <c r="AF339" s="170">
        <v>5.738045738E-2</v>
      </c>
      <c r="AG339" s="170">
        <v>0.38446788110000002</v>
      </c>
      <c r="AH339" s="170">
        <v>0</v>
      </c>
      <c r="AI339" s="170">
        <v>0</v>
      </c>
      <c r="AJ339" s="170">
        <v>2.588686481E-2</v>
      </c>
      <c r="AK339" s="170">
        <v>0.31112176409999998</v>
      </c>
      <c r="AL339" s="170">
        <v>0.1802492809</v>
      </c>
      <c r="AM339" s="170">
        <v>9.8274209010000002E-2</v>
      </c>
      <c r="AN339" s="170">
        <v>0.40939597319999999</v>
      </c>
      <c r="AO339" s="170">
        <v>0</v>
      </c>
      <c r="AP339" s="170">
        <v>0</v>
      </c>
      <c r="AQ339" s="170">
        <v>7.1907957809999997E-3</v>
      </c>
      <c r="AR339" s="170">
        <v>0.32502396929999999</v>
      </c>
      <c r="AS339" s="170">
        <v>0.1907957814</v>
      </c>
      <c r="AT339" s="170">
        <v>6.7593480349999999E-2</v>
      </c>
    </row>
    <row r="340" spans="1:46" ht="12.75">
      <c r="A340" s="65" t="s">
        <v>7</v>
      </c>
      <c r="B340" s="65" t="s">
        <v>706</v>
      </c>
      <c r="C340" s="65" t="s">
        <v>716</v>
      </c>
      <c r="D340" s="65" t="s">
        <v>716</v>
      </c>
      <c r="E340" s="170">
        <v>0.34995064170000001</v>
      </c>
      <c r="F340" s="170">
        <v>0.42349457060000001</v>
      </c>
      <c r="G340" s="170">
        <v>3.1589338600000003E-2</v>
      </c>
      <c r="H340" s="170">
        <v>4.4422507399999997E-3</v>
      </c>
      <c r="I340" s="170">
        <v>0</v>
      </c>
      <c r="J340" s="170">
        <v>0</v>
      </c>
      <c r="K340" s="170">
        <v>0.19052319840000001</v>
      </c>
      <c r="L340" s="170">
        <v>0.51678183609999995</v>
      </c>
      <c r="M340" s="170">
        <v>0.38795656470000001</v>
      </c>
      <c r="N340" s="170">
        <v>3.0602171769999999E-2</v>
      </c>
      <c r="O340" s="170">
        <v>0</v>
      </c>
      <c r="P340" s="170">
        <v>0</v>
      </c>
      <c r="Q340" s="170">
        <v>0</v>
      </c>
      <c r="R340" s="170">
        <v>6.465942744E-2</v>
      </c>
      <c r="S340" s="170">
        <v>0.55530973449999999</v>
      </c>
      <c r="T340" s="170">
        <v>0.38606194690000001</v>
      </c>
      <c r="U340" s="170">
        <v>0</v>
      </c>
      <c r="V340" s="170">
        <v>0</v>
      </c>
      <c r="W340" s="170">
        <v>2.157079646E-2</v>
      </c>
      <c r="X340" s="170">
        <v>0</v>
      </c>
      <c r="Y340" s="170">
        <v>3.7057522119999999E-2</v>
      </c>
      <c r="Z340" s="170">
        <v>0.53270509980000003</v>
      </c>
      <c r="AA340" s="170">
        <v>0.39745011089999999</v>
      </c>
      <c r="AB340" s="170">
        <v>0</v>
      </c>
      <c r="AC340" s="170">
        <v>0</v>
      </c>
      <c r="AD340" s="170">
        <v>2.2727272730000001E-2</v>
      </c>
      <c r="AE340" s="170">
        <v>0</v>
      </c>
      <c r="AF340" s="170">
        <v>4.7117516630000002E-2</v>
      </c>
      <c r="AG340" s="170">
        <v>0.50763591939999997</v>
      </c>
      <c r="AH340" s="170">
        <v>0</v>
      </c>
      <c r="AI340" s="170">
        <v>0</v>
      </c>
      <c r="AJ340" s="170">
        <v>1.5882712279999999E-2</v>
      </c>
      <c r="AK340" s="170">
        <v>0.23396456930000001</v>
      </c>
      <c r="AL340" s="170">
        <v>0.1789859499</v>
      </c>
      <c r="AM340" s="170">
        <v>6.3530849109999996E-2</v>
      </c>
      <c r="AN340" s="170">
        <v>0.52715070159999999</v>
      </c>
      <c r="AO340" s="170">
        <v>0</v>
      </c>
      <c r="AP340" s="170">
        <v>0</v>
      </c>
      <c r="AQ340" s="170">
        <v>1.098230628E-2</v>
      </c>
      <c r="AR340" s="170">
        <v>0.23489932890000001</v>
      </c>
      <c r="AS340" s="170">
        <v>0.1757169005</v>
      </c>
      <c r="AT340" s="170">
        <v>5.1250762659999997E-2</v>
      </c>
    </row>
    <row r="341" spans="1:46" ht="12.75">
      <c r="A341" s="65" t="s">
        <v>7</v>
      </c>
      <c r="B341" s="65" t="s">
        <v>706</v>
      </c>
      <c r="C341" s="65" t="s">
        <v>718</v>
      </c>
      <c r="D341" s="65" t="s">
        <v>718</v>
      </c>
      <c r="E341" s="170">
        <v>0.36027713630000002</v>
      </c>
      <c r="F341" s="170">
        <v>0.41801385680000003</v>
      </c>
      <c r="G341" s="170">
        <v>2.1362586610000001E-2</v>
      </c>
      <c r="H341" s="170">
        <v>5.7736720549999999E-3</v>
      </c>
      <c r="I341" s="170">
        <v>0</v>
      </c>
      <c r="J341" s="170">
        <v>0</v>
      </c>
      <c r="K341" s="170">
        <v>0.19457274829999999</v>
      </c>
      <c r="L341" s="170">
        <v>0.55946882220000005</v>
      </c>
      <c r="M341" s="170">
        <v>0.38394919170000003</v>
      </c>
      <c r="N341" s="170">
        <v>1.9630484989999999E-2</v>
      </c>
      <c r="O341" s="170">
        <v>0</v>
      </c>
      <c r="P341" s="170">
        <v>0</v>
      </c>
      <c r="Q341" s="170">
        <v>0</v>
      </c>
      <c r="R341" s="170">
        <v>3.6951501150000003E-2</v>
      </c>
      <c r="S341" s="170">
        <v>0.5018703242</v>
      </c>
      <c r="T341" s="170">
        <v>0.45199501250000002</v>
      </c>
      <c r="U341" s="170">
        <v>0</v>
      </c>
      <c r="V341" s="170">
        <v>0</v>
      </c>
      <c r="W341" s="170">
        <v>1.4962593519999999E-2</v>
      </c>
      <c r="X341" s="170">
        <v>0</v>
      </c>
      <c r="Y341" s="170">
        <v>3.1172069829999999E-2</v>
      </c>
      <c r="Z341" s="170">
        <v>0.46695760600000003</v>
      </c>
      <c r="AA341" s="170">
        <v>0.46571072320000001</v>
      </c>
      <c r="AB341" s="170">
        <v>0</v>
      </c>
      <c r="AC341" s="170">
        <v>0</v>
      </c>
      <c r="AD341" s="170">
        <v>2.2443890269999999E-2</v>
      </c>
      <c r="AE341" s="170">
        <v>0</v>
      </c>
      <c r="AF341" s="170">
        <v>4.4887780549999999E-2</v>
      </c>
      <c r="AG341" s="170">
        <v>0.33136094669999999</v>
      </c>
      <c r="AH341" s="170">
        <v>0</v>
      </c>
      <c r="AI341" s="170">
        <v>0</v>
      </c>
      <c r="AJ341" s="170">
        <v>2.440828402E-2</v>
      </c>
      <c r="AK341" s="170">
        <v>0.43047337279999998</v>
      </c>
      <c r="AL341" s="170">
        <v>0.15458579880000001</v>
      </c>
      <c r="AM341" s="170">
        <v>5.9171597630000003E-2</v>
      </c>
      <c r="AN341" s="170">
        <v>0.34837278109999997</v>
      </c>
      <c r="AO341" s="170">
        <v>0</v>
      </c>
      <c r="AP341" s="170">
        <v>0</v>
      </c>
      <c r="AQ341" s="170">
        <v>8.8757396450000001E-3</v>
      </c>
      <c r="AR341" s="170">
        <v>0.44156804729999999</v>
      </c>
      <c r="AS341" s="170">
        <v>0.1516272189</v>
      </c>
      <c r="AT341" s="170">
        <v>4.9556213020000003E-2</v>
      </c>
    </row>
    <row r="342" spans="1:46" ht="12.75">
      <c r="A342" s="65" t="s">
        <v>7</v>
      </c>
      <c r="B342" s="65" t="s">
        <v>706</v>
      </c>
      <c r="C342" s="65" t="s">
        <v>720</v>
      </c>
      <c r="D342" s="65" t="s">
        <v>720</v>
      </c>
      <c r="E342" s="170">
        <v>0.38385964909999998</v>
      </c>
      <c r="F342" s="170">
        <v>0.49333333330000001</v>
      </c>
      <c r="G342" s="170">
        <v>7.0175438600000003E-3</v>
      </c>
      <c r="H342" s="170">
        <v>4.2105263159999996E-3</v>
      </c>
      <c r="I342" s="170">
        <v>0</v>
      </c>
      <c r="J342" s="170">
        <v>0</v>
      </c>
      <c r="K342" s="170">
        <v>0.1115789474</v>
      </c>
      <c r="L342" s="170">
        <v>0.34596491229999998</v>
      </c>
      <c r="M342" s="170">
        <v>0.62315789470000005</v>
      </c>
      <c r="N342" s="170">
        <v>7.7192982460000002E-3</v>
      </c>
      <c r="O342" s="170">
        <v>0</v>
      </c>
      <c r="P342" s="170">
        <v>0</v>
      </c>
      <c r="Q342" s="170">
        <v>0</v>
      </c>
      <c r="R342" s="170">
        <v>2.3157894740000001E-2</v>
      </c>
      <c r="S342" s="170">
        <v>0.36356648730000002</v>
      </c>
      <c r="T342" s="170">
        <v>0.61260568790000003</v>
      </c>
      <c r="U342" s="170">
        <v>0</v>
      </c>
      <c r="V342" s="170">
        <v>0</v>
      </c>
      <c r="W342" s="170">
        <v>2.3059185240000002E-3</v>
      </c>
      <c r="X342" s="170">
        <v>0</v>
      </c>
      <c r="Y342" s="170">
        <v>2.1521906229999999E-2</v>
      </c>
      <c r="Z342" s="170">
        <v>0.3482280431</v>
      </c>
      <c r="AA342" s="170">
        <v>0.61556240370000004</v>
      </c>
      <c r="AB342" s="170">
        <v>0</v>
      </c>
      <c r="AC342" s="170">
        <v>0</v>
      </c>
      <c r="AD342" s="170">
        <v>6.9337442220000003E-3</v>
      </c>
      <c r="AE342" s="170">
        <v>0</v>
      </c>
      <c r="AF342" s="170">
        <v>2.9275808939999998E-2</v>
      </c>
      <c r="AG342" s="170">
        <v>0.25423728810000001</v>
      </c>
      <c r="AH342" s="170">
        <v>0</v>
      </c>
      <c r="AI342" s="170">
        <v>0</v>
      </c>
      <c r="AJ342" s="170">
        <v>1.4406779660000001E-2</v>
      </c>
      <c r="AK342" s="170">
        <v>0.54406779660000004</v>
      </c>
      <c r="AL342" s="170">
        <v>0.1279661017</v>
      </c>
      <c r="AM342" s="170">
        <v>5.9322033900000001E-2</v>
      </c>
      <c r="AN342" s="170">
        <v>0.26101694920000001</v>
      </c>
      <c r="AO342" s="170">
        <v>0</v>
      </c>
      <c r="AP342" s="170">
        <v>0</v>
      </c>
      <c r="AQ342" s="170">
        <v>6.7796610169999997E-3</v>
      </c>
      <c r="AR342" s="170">
        <v>0.55169491530000003</v>
      </c>
      <c r="AS342" s="170">
        <v>0.13050847460000001</v>
      </c>
      <c r="AT342" s="170">
        <v>0.05</v>
      </c>
    </row>
    <row r="343" spans="1:46" ht="12.75">
      <c r="A343" s="65" t="s">
        <v>7</v>
      </c>
      <c r="B343" s="65" t="s">
        <v>706</v>
      </c>
      <c r="C343" s="65" t="s">
        <v>722</v>
      </c>
      <c r="D343" s="65" t="s">
        <v>722</v>
      </c>
      <c r="E343" s="170">
        <v>0.1571562208</v>
      </c>
      <c r="F343" s="170">
        <v>0.2132834425</v>
      </c>
      <c r="G343" s="170">
        <v>4.0224508890000003E-2</v>
      </c>
      <c r="H343" s="170">
        <v>1.122544434E-2</v>
      </c>
      <c r="I343" s="170">
        <v>0</v>
      </c>
      <c r="J343" s="170">
        <v>0</v>
      </c>
      <c r="K343" s="170">
        <v>0.57811038349999999</v>
      </c>
      <c r="L343" s="170">
        <v>0.17305893359999999</v>
      </c>
      <c r="M343" s="170">
        <v>0.77081384470000003</v>
      </c>
      <c r="N343" s="170">
        <v>2.1515434989999999E-2</v>
      </c>
      <c r="O343" s="170">
        <v>0</v>
      </c>
      <c r="P343" s="170">
        <v>0</v>
      </c>
      <c r="Q343" s="170">
        <v>0</v>
      </c>
      <c r="R343" s="170">
        <v>3.4611786720000003E-2</v>
      </c>
      <c r="S343" s="170">
        <v>0.39371727750000002</v>
      </c>
      <c r="T343" s="170">
        <v>0.5696335079</v>
      </c>
      <c r="U343" s="170">
        <v>0</v>
      </c>
      <c r="V343" s="170">
        <v>0</v>
      </c>
      <c r="W343" s="170">
        <v>8.3769633509999993E-3</v>
      </c>
      <c r="X343" s="170">
        <v>0</v>
      </c>
      <c r="Y343" s="170">
        <v>2.827225131E-2</v>
      </c>
      <c r="Z343" s="170">
        <v>0.35706806279999997</v>
      </c>
      <c r="AA343" s="170">
        <v>0.59057591620000005</v>
      </c>
      <c r="AB343" s="170">
        <v>0</v>
      </c>
      <c r="AC343" s="170">
        <v>0</v>
      </c>
      <c r="AD343" s="170">
        <v>1.047120419E-2</v>
      </c>
      <c r="AE343" s="170">
        <v>0</v>
      </c>
      <c r="AF343" s="170">
        <v>4.1884816749999998E-2</v>
      </c>
      <c r="AG343" s="170">
        <v>0.3472553699</v>
      </c>
      <c r="AH343" s="170">
        <v>0</v>
      </c>
      <c r="AI343" s="170">
        <v>0</v>
      </c>
      <c r="AJ343" s="170">
        <v>1.0739856799999999E-2</v>
      </c>
      <c r="AK343" s="170">
        <v>0.23866348449999999</v>
      </c>
      <c r="AL343" s="170">
        <v>0.36396181379999998</v>
      </c>
      <c r="AM343" s="170">
        <v>3.9379474939999999E-2</v>
      </c>
      <c r="AN343" s="170">
        <v>0.3579952267</v>
      </c>
      <c r="AO343" s="170">
        <v>0</v>
      </c>
      <c r="AP343" s="170">
        <v>0</v>
      </c>
      <c r="AQ343" s="170">
        <v>9.5465393789999995E-3</v>
      </c>
      <c r="AR343" s="170">
        <v>0.245823389</v>
      </c>
      <c r="AS343" s="170">
        <v>0.35322195699999998</v>
      </c>
      <c r="AT343" s="170">
        <v>3.3412887830000002E-2</v>
      </c>
    </row>
    <row r="344" spans="1:46" ht="12.75">
      <c r="A344" s="65" t="s">
        <v>7</v>
      </c>
      <c r="B344" s="65" t="s">
        <v>706</v>
      </c>
      <c r="C344" s="65" t="s">
        <v>724</v>
      </c>
      <c r="D344" s="65" t="s">
        <v>724</v>
      </c>
      <c r="E344" s="170">
        <v>0.2652167346</v>
      </c>
      <c r="F344" s="170">
        <v>0.41262649150000003</v>
      </c>
      <c r="G344" s="170">
        <v>1.2082766950000001E-2</v>
      </c>
      <c r="H344" s="170">
        <v>4.3800030209999999E-3</v>
      </c>
      <c r="I344" s="170">
        <v>0</v>
      </c>
      <c r="J344" s="170">
        <v>0</v>
      </c>
      <c r="K344" s="170">
        <v>0.30569400390000001</v>
      </c>
      <c r="L344" s="170">
        <v>0.62460377359999997</v>
      </c>
      <c r="M344" s="170">
        <v>0.29630188680000002</v>
      </c>
      <c r="N344" s="170">
        <v>8.7547169809999992E-3</v>
      </c>
      <c r="O344" s="170">
        <v>0</v>
      </c>
      <c r="P344" s="170">
        <v>0</v>
      </c>
      <c r="Q344" s="170">
        <v>0</v>
      </c>
      <c r="R344" s="170">
        <v>7.0339622640000002E-2</v>
      </c>
      <c r="S344" s="170">
        <v>0.6461644782</v>
      </c>
      <c r="T344" s="170">
        <v>0.28265376640000001</v>
      </c>
      <c r="U344" s="170">
        <v>0</v>
      </c>
      <c r="V344" s="170">
        <v>0</v>
      </c>
      <c r="W344" s="170">
        <v>1.209398756E-2</v>
      </c>
      <c r="X344" s="170">
        <v>0</v>
      </c>
      <c r="Y344" s="170">
        <v>5.9087767800000003E-2</v>
      </c>
      <c r="Z344" s="170">
        <v>0.61869384930000004</v>
      </c>
      <c r="AA344" s="170">
        <v>0.28714581890000002</v>
      </c>
      <c r="AB344" s="170">
        <v>0</v>
      </c>
      <c r="AC344" s="170">
        <v>0</v>
      </c>
      <c r="AD344" s="170">
        <v>1.8140981340000001E-2</v>
      </c>
      <c r="AE344" s="170">
        <v>0</v>
      </c>
      <c r="AF344" s="170">
        <v>7.6019350380000003E-2</v>
      </c>
      <c r="AG344" s="170">
        <v>0.58701950940000003</v>
      </c>
      <c r="AH344" s="170">
        <v>0</v>
      </c>
      <c r="AI344" s="170">
        <v>0</v>
      </c>
      <c r="AJ344" s="170">
        <v>2.800849913E-2</v>
      </c>
      <c r="AK344" s="170">
        <v>0.20668340739999999</v>
      </c>
      <c r="AL344" s="170">
        <v>0.1000579486</v>
      </c>
      <c r="AM344" s="170">
        <v>7.8230635500000006E-2</v>
      </c>
      <c r="AN344" s="170">
        <v>0.61294685989999997</v>
      </c>
      <c r="AO344" s="170">
        <v>0</v>
      </c>
      <c r="AP344" s="170">
        <v>0</v>
      </c>
      <c r="AQ344" s="170">
        <v>1.468599034E-2</v>
      </c>
      <c r="AR344" s="170">
        <v>0.2224154589</v>
      </c>
      <c r="AS344" s="170">
        <v>9.5072463770000004E-2</v>
      </c>
      <c r="AT344" s="170">
        <v>5.487922705E-2</v>
      </c>
    </row>
    <row r="345" spans="1:46" ht="12.75">
      <c r="A345" s="65" t="s">
        <v>7</v>
      </c>
      <c r="B345" s="65" t="s">
        <v>706</v>
      </c>
      <c r="C345" s="65" t="s">
        <v>726</v>
      </c>
      <c r="D345" s="65" t="s">
        <v>726</v>
      </c>
      <c r="E345" s="170">
        <v>0.47552054020000001</v>
      </c>
      <c r="F345" s="170">
        <v>0.32583005059999998</v>
      </c>
      <c r="G345" s="170">
        <v>4.9521665729999997E-2</v>
      </c>
      <c r="H345" s="170">
        <v>7.3157006190000002E-3</v>
      </c>
      <c r="I345" s="170">
        <v>0</v>
      </c>
      <c r="J345" s="170">
        <v>0</v>
      </c>
      <c r="K345" s="170">
        <v>0.14181204280000001</v>
      </c>
      <c r="L345" s="170">
        <v>0.28981429380000001</v>
      </c>
      <c r="M345" s="170">
        <v>0.61902082160000005</v>
      </c>
      <c r="N345" s="170">
        <v>3.7141249299999998E-2</v>
      </c>
      <c r="O345" s="170">
        <v>0</v>
      </c>
      <c r="P345" s="170">
        <v>0</v>
      </c>
      <c r="Q345" s="170">
        <v>0</v>
      </c>
      <c r="R345" s="170">
        <v>5.4023635340000001E-2</v>
      </c>
      <c r="S345" s="170">
        <v>0.1759142497</v>
      </c>
      <c r="T345" s="170">
        <v>0.76292559900000001</v>
      </c>
      <c r="U345" s="170">
        <v>0</v>
      </c>
      <c r="V345" s="170">
        <v>0</v>
      </c>
      <c r="W345" s="170">
        <v>2.395964691E-2</v>
      </c>
      <c r="X345" s="170">
        <v>0</v>
      </c>
      <c r="Y345" s="170">
        <v>3.7200504410000002E-2</v>
      </c>
      <c r="Z345" s="170">
        <v>0.18158890289999999</v>
      </c>
      <c r="AA345" s="170">
        <v>0.75346784359999996</v>
      </c>
      <c r="AB345" s="170">
        <v>0</v>
      </c>
      <c r="AC345" s="170">
        <v>0</v>
      </c>
      <c r="AD345" s="170">
        <v>2.5220680959999998E-2</v>
      </c>
      <c r="AE345" s="170">
        <v>0</v>
      </c>
      <c r="AF345" s="170">
        <v>3.9722572509999998E-2</v>
      </c>
      <c r="AG345" s="170">
        <v>8.6834733890000002E-2</v>
      </c>
      <c r="AH345" s="170">
        <v>0</v>
      </c>
      <c r="AI345" s="170">
        <v>0</v>
      </c>
      <c r="AJ345" s="170">
        <v>1.19047619E-2</v>
      </c>
      <c r="AK345" s="170">
        <v>0.40616246499999997</v>
      </c>
      <c r="AL345" s="170">
        <v>0.38375350139999997</v>
      </c>
      <c r="AM345" s="170">
        <v>0.1113445378</v>
      </c>
      <c r="AN345" s="170">
        <v>9.1736694679999994E-2</v>
      </c>
      <c r="AO345" s="170">
        <v>0</v>
      </c>
      <c r="AP345" s="170">
        <v>0</v>
      </c>
      <c r="AQ345" s="170">
        <v>8.4033613450000006E-3</v>
      </c>
      <c r="AR345" s="170">
        <v>0.41316526609999998</v>
      </c>
      <c r="AS345" s="170">
        <v>0.41316526609999998</v>
      </c>
      <c r="AT345" s="170">
        <v>7.3529411759999996E-2</v>
      </c>
    </row>
    <row r="346" spans="1:46" ht="12.75">
      <c r="A346" s="65" t="s">
        <v>7</v>
      </c>
      <c r="B346" s="65" t="s">
        <v>706</v>
      </c>
      <c r="C346" s="65" t="s">
        <v>728</v>
      </c>
      <c r="D346" s="65" t="s">
        <v>728</v>
      </c>
      <c r="E346" s="170">
        <v>0.29678638940000002</v>
      </c>
      <c r="F346" s="170">
        <v>0.30623818530000002</v>
      </c>
      <c r="G346" s="170">
        <v>1.9848771269999999E-2</v>
      </c>
      <c r="H346" s="170">
        <v>9.4517958409999995E-3</v>
      </c>
      <c r="I346" s="170">
        <v>0</v>
      </c>
      <c r="J346" s="170">
        <v>0</v>
      </c>
      <c r="K346" s="170">
        <v>0.36767485820000001</v>
      </c>
      <c r="L346" s="170">
        <v>0.5425330813</v>
      </c>
      <c r="M346" s="170">
        <v>0.39130434780000001</v>
      </c>
      <c r="N346" s="170">
        <v>1.9848771269999999E-2</v>
      </c>
      <c r="O346" s="170">
        <v>0</v>
      </c>
      <c r="P346" s="170">
        <v>0</v>
      </c>
      <c r="Q346" s="170">
        <v>0</v>
      </c>
      <c r="R346" s="170">
        <v>4.6313799619999999E-2</v>
      </c>
      <c r="S346" s="170">
        <v>0.58689175770000002</v>
      </c>
      <c r="T346" s="170">
        <v>0.34558093350000002</v>
      </c>
      <c r="U346" s="170">
        <v>0</v>
      </c>
      <c r="V346" s="170">
        <v>0</v>
      </c>
      <c r="W346" s="170">
        <v>9.9304865940000007E-3</v>
      </c>
      <c r="X346" s="170">
        <v>0</v>
      </c>
      <c r="Y346" s="170">
        <v>5.7596822239999998E-2</v>
      </c>
      <c r="Z346" s="170">
        <v>0.57398212510000002</v>
      </c>
      <c r="AA346" s="170">
        <v>0.3485600794</v>
      </c>
      <c r="AB346" s="170">
        <v>0</v>
      </c>
      <c r="AC346" s="170">
        <v>0</v>
      </c>
      <c r="AD346" s="170">
        <v>1.7874875870000001E-2</v>
      </c>
      <c r="AE346" s="170">
        <v>0</v>
      </c>
      <c r="AF346" s="170">
        <v>5.9582919560000003E-2</v>
      </c>
      <c r="AG346" s="170">
        <v>0.44290288150000001</v>
      </c>
      <c r="AH346" s="170">
        <v>0</v>
      </c>
      <c r="AI346" s="170">
        <v>0</v>
      </c>
      <c r="AJ346" s="170">
        <v>1.067235859E-2</v>
      </c>
      <c r="AK346" s="170">
        <v>0.2326574173</v>
      </c>
      <c r="AL346" s="170">
        <v>0.21771611530000001</v>
      </c>
      <c r="AM346" s="170">
        <v>9.6051227320000002E-2</v>
      </c>
      <c r="AN346" s="170">
        <v>0.46744930629999998</v>
      </c>
      <c r="AO346" s="170">
        <v>0</v>
      </c>
      <c r="AP346" s="170">
        <v>0</v>
      </c>
      <c r="AQ346" s="170">
        <v>1.067235859E-2</v>
      </c>
      <c r="AR346" s="170">
        <v>0.2379935966</v>
      </c>
      <c r="AS346" s="170">
        <v>0.2305229456</v>
      </c>
      <c r="AT346" s="170">
        <v>5.3361792960000001E-2</v>
      </c>
    </row>
    <row r="347" spans="1:46" ht="12.75">
      <c r="A347" s="65" t="s">
        <v>7</v>
      </c>
      <c r="B347" s="65" t="s">
        <v>706</v>
      </c>
      <c r="C347" s="65" t="s">
        <v>729</v>
      </c>
      <c r="D347" s="65" t="s">
        <v>729</v>
      </c>
      <c r="E347" s="170">
        <v>0.47493163170000002</v>
      </c>
      <c r="F347" s="170">
        <v>0.64539653600000002</v>
      </c>
      <c r="G347" s="170">
        <v>3.646308113E-3</v>
      </c>
      <c r="H347" s="170">
        <v>9.1157702830000004E-4</v>
      </c>
      <c r="I347" s="170">
        <v>0</v>
      </c>
      <c r="J347" s="170">
        <v>0</v>
      </c>
      <c r="K347" s="170">
        <v>0.1248860529</v>
      </c>
      <c r="L347" s="170">
        <v>0.54056517780000002</v>
      </c>
      <c r="M347" s="170">
        <v>0.42206016410000002</v>
      </c>
      <c r="N347" s="170">
        <v>5.4694621699999998E-3</v>
      </c>
      <c r="O347" s="170">
        <v>0</v>
      </c>
      <c r="P347" s="170">
        <v>0</v>
      </c>
      <c r="Q347" s="170">
        <v>0</v>
      </c>
      <c r="R347" s="170">
        <v>3.1905195990000003E-2</v>
      </c>
      <c r="S347" s="170">
        <v>0.52077001010000001</v>
      </c>
      <c r="T347" s="170">
        <v>0.45694022290000003</v>
      </c>
      <c r="U347" s="170">
        <v>0</v>
      </c>
      <c r="V347" s="170">
        <v>0</v>
      </c>
      <c r="W347" s="170">
        <v>8.1053698069999992E-3</v>
      </c>
      <c r="X347" s="170">
        <v>0</v>
      </c>
      <c r="Y347" s="170">
        <v>1.4184397160000001E-2</v>
      </c>
      <c r="Z347" s="170">
        <v>0.50962512660000003</v>
      </c>
      <c r="AA347" s="170">
        <v>0.45491388040000003</v>
      </c>
      <c r="AB347" s="170">
        <v>0</v>
      </c>
      <c r="AC347" s="170">
        <v>0</v>
      </c>
      <c r="AD347" s="170">
        <v>7.0921985820000004E-3</v>
      </c>
      <c r="AE347" s="170">
        <v>0</v>
      </c>
      <c r="AF347" s="170">
        <v>2.8368794329999999E-2</v>
      </c>
      <c r="AG347" s="170">
        <v>0.37541528239999999</v>
      </c>
      <c r="AH347" s="170">
        <v>0</v>
      </c>
      <c r="AI347" s="170">
        <v>0</v>
      </c>
      <c r="AJ347" s="170">
        <v>1.7718715390000001E-2</v>
      </c>
      <c r="AK347" s="170">
        <v>0.49058693240000001</v>
      </c>
      <c r="AL347" s="170">
        <v>7.9734219270000004E-2</v>
      </c>
      <c r="AM347" s="170">
        <v>3.6544850500000003E-2</v>
      </c>
      <c r="AN347" s="170">
        <v>0.38538205980000001</v>
      </c>
      <c r="AO347" s="170">
        <v>0</v>
      </c>
      <c r="AP347" s="170">
        <v>0</v>
      </c>
      <c r="AQ347" s="170">
        <v>0</v>
      </c>
      <c r="AR347" s="170">
        <v>0.49058693240000001</v>
      </c>
      <c r="AS347" s="170">
        <v>9.4130675529999999E-2</v>
      </c>
      <c r="AT347" s="170">
        <v>2.990033223E-2</v>
      </c>
    </row>
    <row r="348" spans="1:46" ht="12.75">
      <c r="A348" s="65" t="s">
        <v>7</v>
      </c>
      <c r="B348" s="65" t="s">
        <v>706</v>
      </c>
      <c r="C348" s="65" t="s">
        <v>731</v>
      </c>
      <c r="D348" s="65" t="s">
        <v>731</v>
      </c>
      <c r="E348" s="170">
        <v>0.39780621570000002</v>
      </c>
      <c r="F348" s="170">
        <v>0.3213893967</v>
      </c>
      <c r="G348" s="170">
        <v>5.1188299819999998E-2</v>
      </c>
      <c r="H348" s="170">
        <v>6.5813528339999997E-3</v>
      </c>
      <c r="I348" s="170">
        <v>0</v>
      </c>
      <c r="J348" s="170">
        <v>0</v>
      </c>
      <c r="K348" s="170">
        <v>0.2230347349</v>
      </c>
      <c r="L348" s="170">
        <v>0.23767798470000001</v>
      </c>
      <c r="M348" s="170">
        <v>0.66009492520000002</v>
      </c>
      <c r="N348" s="170">
        <v>4.8557867829999997E-2</v>
      </c>
      <c r="O348" s="170">
        <v>0</v>
      </c>
      <c r="P348" s="170">
        <v>0</v>
      </c>
      <c r="Q348" s="170">
        <v>0</v>
      </c>
      <c r="R348" s="170">
        <v>5.3669222340000003E-2</v>
      </c>
      <c r="S348" s="170">
        <v>0.33374999999999999</v>
      </c>
      <c r="T348" s="170">
        <v>0.62041666669999995</v>
      </c>
      <c r="U348" s="170">
        <v>0</v>
      </c>
      <c r="V348" s="170">
        <v>0</v>
      </c>
      <c r="W348" s="170">
        <v>5.8333333330000004E-3</v>
      </c>
      <c r="X348" s="170">
        <v>0</v>
      </c>
      <c r="Y348" s="170">
        <v>0.04</v>
      </c>
      <c r="Z348" s="170">
        <v>0.31833333330000002</v>
      </c>
      <c r="AA348" s="170">
        <v>0.63416666669999999</v>
      </c>
      <c r="AB348" s="170">
        <v>0</v>
      </c>
      <c r="AC348" s="170">
        <v>0</v>
      </c>
      <c r="AD348" s="170">
        <v>8.3333333329999992E-3</v>
      </c>
      <c r="AE348" s="170">
        <v>0</v>
      </c>
      <c r="AF348" s="170">
        <v>3.9166666670000003E-2</v>
      </c>
      <c r="AG348" s="170">
        <v>0.22232387919999999</v>
      </c>
      <c r="AH348" s="170">
        <v>0</v>
      </c>
      <c r="AI348" s="170">
        <v>0</v>
      </c>
      <c r="AJ348" s="170">
        <v>1.1436413540000001E-2</v>
      </c>
      <c r="AK348" s="170">
        <v>0.44007319299999997</v>
      </c>
      <c r="AL348" s="170">
        <v>0.236505032</v>
      </c>
      <c r="AM348" s="170">
        <v>8.966148216E-2</v>
      </c>
      <c r="AN348" s="170">
        <v>0.2374199451</v>
      </c>
      <c r="AO348" s="170">
        <v>0</v>
      </c>
      <c r="AP348" s="170">
        <v>0</v>
      </c>
      <c r="AQ348" s="170">
        <v>1.235132662E-2</v>
      </c>
      <c r="AR348" s="170">
        <v>0.41628545290000002</v>
      </c>
      <c r="AS348" s="170">
        <v>0.25160109790000001</v>
      </c>
      <c r="AT348" s="170">
        <v>8.2342177490000001E-2</v>
      </c>
    </row>
    <row r="349" spans="1:46" ht="12.75">
      <c r="A349" s="65" t="s">
        <v>7</v>
      </c>
      <c r="B349" s="65" t="s">
        <v>706</v>
      </c>
      <c r="C349" s="65" t="s">
        <v>733</v>
      </c>
      <c r="D349" s="65" t="s">
        <v>343</v>
      </c>
      <c r="E349" s="170">
        <v>0.21186440679999999</v>
      </c>
      <c r="F349" s="170">
        <v>0.3672316384</v>
      </c>
      <c r="G349" s="170">
        <v>2.2598870060000002E-2</v>
      </c>
      <c r="H349" s="170">
        <v>5.649717514E-3</v>
      </c>
      <c r="I349" s="170">
        <v>0</v>
      </c>
      <c r="J349" s="170">
        <v>0</v>
      </c>
      <c r="K349" s="170">
        <v>0.39265536719999999</v>
      </c>
      <c r="L349" s="170">
        <v>0.37288135589999999</v>
      </c>
      <c r="M349" s="170">
        <v>0.56214689269999996</v>
      </c>
      <c r="N349" s="170">
        <v>1.9774011300000002E-2</v>
      </c>
      <c r="O349" s="170">
        <v>0</v>
      </c>
      <c r="P349" s="170">
        <v>0</v>
      </c>
      <c r="Q349" s="170">
        <v>0</v>
      </c>
      <c r="R349" s="170">
        <v>4.5197740110000002E-2</v>
      </c>
      <c r="S349" s="170">
        <v>0.34713375800000001</v>
      </c>
      <c r="T349" s="170">
        <v>0.63216560509999997</v>
      </c>
      <c r="U349" s="170">
        <v>0</v>
      </c>
      <c r="V349" s="170">
        <v>0</v>
      </c>
      <c r="W349" s="170">
        <v>0</v>
      </c>
      <c r="X349" s="170">
        <v>0</v>
      </c>
      <c r="Y349" s="170">
        <v>2.0700636939999999E-2</v>
      </c>
      <c r="Z349" s="170">
        <v>0.32484076429999997</v>
      </c>
      <c r="AA349" s="170">
        <v>0.65127388539999997</v>
      </c>
      <c r="AB349" s="170">
        <v>0</v>
      </c>
      <c r="AC349" s="170">
        <v>0</v>
      </c>
      <c r="AD349" s="170">
        <v>3.1847133759999998E-3</v>
      </c>
      <c r="AE349" s="170">
        <v>0</v>
      </c>
      <c r="AF349" s="170">
        <v>2.0700636939999999E-2</v>
      </c>
      <c r="AG349" s="170">
        <v>0.27126805780000002</v>
      </c>
      <c r="AH349" s="170">
        <v>0</v>
      </c>
      <c r="AI349" s="170">
        <v>0</v>
      </c>
      <c r="AJ349" s="170">
        <v>1.123595506E-2</v>
      </c>
      <c r="AK349" s="170">
        <v>0.25040128410000001</v>
      </c>
      <c r="AL349" s="170">
        <v>0.38041733550000001</v>
      </c>
      <c r="AM349" s="170">
        <v>8.6677367579999998E-2</v>
      </c>
      <c r="AN349" s="170">
        <v>0.28250401279999998</v>
      </c>
      <c r="AO349" s="170">
        <v>0</v>
      </c>
      <c r="AP349" s="170">
        <v>0</v>
      </c>
      <c r="AQ349" s="170">
        <v>8.0256821829999998E-3</v>
      </c>
      <c r="AR349" s="170">
        <v>0.26163723919999998</v>
      </c>
      <c r="AS349" s="170">
        <v>0.38683788120000001</v>
      </c>
      <c r="AT349" s="170">
        <v>6.0995184590000001E-2</v>
      </c>
    </row>
    <row r="350" spans="1:46" ht="12.75">
      <c r="A350" s="65" t="s">
        <v>7</v>
      </c>
      <c r="B350" s="65" t="s">
        <v>706</v>
      </c>
      <c r="C350" s="65" t="s">
        <v>733</v>
      </c>
      <c r="D350" s="65" t="s">
        <v>733</v>
      </c>
      <c r="E350" s="170">
        <v>0.23155505109999999</v>
      </c>
      <c r="F350" s="170">
        <v>0.3059023837</v>
      </c>
      <c r="G350" s="170">
        <v>3.291713961E-2</v>
      </c>
      <c r="H350" s="170">
        <v>3.4052213389999999E-3</v>
      </c>
      <c r="I350" s="170">
        <v>0</v>
      </c>
      <c r="J350" s="170">
        <v>0</v>
      </c>
      <c r="K350" s="170">
        <v>0.42622020430000002</v>
      </c>
      <c r="L350" s="170">
        <v>0.42111237229999998</v>
      </c>
      <c r="M350" s="170">
        <v>0.49545970490000002</v>
      </c>
      <c r="N350" s="170">
        <v>3.2349602720000002E-2</v>
      </c>
      <c r="O350" s="170">
        <v>0</v>
      </c>
      <c r="P350" s="170">
        <v>0</v>
      </c>
      <c r="Q350" s="170">
        <v>0</v>
      </c>
      <c r="R350" s="170">
        <v>5.1078320089999997E-2</v>
      </c>
      <c r="S350" s="170">
        <v>0.4006349206</v>
      </c>
      <c r="T350" s="170">
        <v>0.5511111111</v>
      </c>
      <c r="U350" s="170">
        <v>0</v>
      </c>
      <c r="V350" s="170">
        <v>0</v>
      </c>
      <c r="W350" s="170">
        <v>7.619047619E-3</v>
      </c>
      <c r="X350" s="170">
        <v>0</v>
      </c>
      <c r="Y350" s="170">
        <v>4.0634920630000002E-2</v>
      </c>
      <c r="Z350" s="170">
        <v>0.37460317459999998</v>
      </c>
      <c r="AA350" s="170">
        <v>0.56571428570000004</v>
      </c>
      <c r="AB350" s="170">
        <v>0</v>
      </c>
      <c r="AC350" s="170">
        <v>0</v>
      </c>
      <c r="AD350" s="170">
        <v>1.079365079E-2</v>
      </c>
      <c r="AE350" s="170">
        <v>0</v>
      </c>
      <c r="AF350" s="170">
        <v>4.8888888890000003E-2</v>
      </c>
      <c r="AG350" s="170">
        <v>0.37158852339999998</v>
      </c>
      <c r="AH350" s="170">
        <v>0</v>
      </c>
      <c r="AI350" s="170">
        <v>0</v>
      </c>
      <c r="AJ350" s="170">
        <v>1.259622113E-2</v>
      </c>
      <c r="AK350" s="170">
        <v>0.42267319800000003</v>
      </c>
      <c r="AL350" s="170">
        <v>0.1357592722</v>
      </c>
      <c r="AM350" s="170">
        <v>5.7382785159999998E-2</v>
      </c>
      <c r="AN350" s="170">
        <v>0.37158852339999998</v>
      </c>
      <c r="AO350" s="170">
        <v>0</v>
      </c>
      <c r="AP350" s="170">
        <v>0</v>
      </c>
      <c r="AQ350" s="170">
        <v>9.7970608820000006E-3</v>
      </c>
      <c r="AR350" s="170">
        <v>0.43806857939999999</v>
      </c>
      <c r="AS350" s="170">
        <v>0.13086074180000001</v>
      </c>
      <c r="AT350" s="170">
        <v>4.9685094470000003E-2</v>
      </c>
    </row>
    <row r="351" spans="1:46" ht="12.75">
      <c r="A351" s="65" t="s">
        <v>7</v>
      </c>
      <c r="B351" s="65" t="s">
        <v>706</v>
      </c>
      <c r="C351" s="65" t="s">
        <v>735</v>
      </c>
      <c r="D351" s="65" t="s">
        <v>735</v>
      </c>
      <c r="E351" s="170">
        <v>0.26959847040000001</v>
      </c>
      <c r="F351" s="170">
        <v>0.34416826</v>
      </c>
      <c r="G351" s="170">
        <v>8.4130019119999996E-2</v>
      </c>
      <c r="H351" s="170">
        <v>5.0987890380000001E-3</v>
      </c>
      <c r="I351" s="170">
        <v>0</v>
      </c>
      <c r="J351" s="170">
        <v>0</v>
      </c>
      <c r="K351" s="170">
        <v>0.29700446139999997</v>
      </c>
      <c r="L351" s="170">
        <v>0.29381771829999997</v>
      </c>
      <c r="M351" s="170">
        <v>0.56724028039999996</v>
      </c>
      <c r="N351" s="170">
        <v>8.3492670490000004E-2</v>
      </c>
      <c r="O351" s="170">
        <v>0</v>
      </c>
      <c r="P351" s="170">
        <v>0</v>
      </c>
      <c r="Q351" s="170">
        <v>0</v>
      </c>
      <c r="R351" s="170">
        <v>5.544933078E-2</v>
      </c>
      <c r="S351" s="170">
        <v>0.38269493840000002</v>
      </c>
      <c r="T351" s="170">
        <v>0.55642954860000005</v>
      </c>
      <c r="U351" s="170">
        <v>0</v>
      </c>
      <c r="V351" s="170">
        <v>0</v>
      </c>
      <c r="W351" s="170">
        <v>2.1203830369999999E-2</v>
      </c>
      <c r="X351" s="170">
        <v>0</v>
      </c>
      <c r="Y351" s="170">
        <v>3.9671682630000003E-2</v>
      </c>
      <c r="Z351" s="170">
        <v>0.376880985</v>
      </c>
      <c r="AA351" s="170">
        <v>0.56497948019999999</v>
      </c>
      <c r="AB351" s="170">
        <v>0</v>
      </c>
      <c r="AC351" s="170">
        <v>0</v>
      </c>
      <c r="AD351" s="170">
        <v>1.6073871409999999E-2</v>
      </c>
      <c r="AE351" s="170">
        <v>0</v>
      </c>
      <c r="AF351" s="170">
        <v>4.206566347E-2</v>
      </c>
      <c r="AG351" s="170">
        <v>0.21828153559999999</v>
      </c>
      <c r="AH351" s="170">
        <v>0</v>
      </c>
      <c r="AI351" s="170">
        <v>0</v>
      </c>
      <c r="AJ351" s="170">
        <v>1.499085923E-2</v>
      </c>
      <c r="AK351" s="170">
        <v>0.37989031080000002</v>
      </c>
      <c r="AL351" s="170">
        <v>0.3148080439</v>
      </c>
      <c r="AM351" s="170">
        <v>7.2029250459999999E-2</v>
      </c>
      <c r="AN351" s="170">
        <v>0.22340036560000001</v>
      </c>
      <c r="AO351" s="170">
        <v>0</v>
      </c>
      <c r="AP351" s="170">
        <v>0</v>
      </c>
      <c r="AQ351" s="170">
        <v>6.5813528339999997E-3</v>
      </c>
      <c r="AR351" s="170">
        <v>0.39122486290000003</v>
      </c>
      <c r="AS351" s="170">
        <v>0.32468007310000002</v>
      </c>
      <c r="AT351" s="170">
        <v>5.4113345520000002E-2</v>
      </c>
    </row>
    <row r="352" spans="1:46" ht="12.75">
      <c r="A352" s="65" t="s">
        <v>7</v>
      </c>
      <c r="B352" s="65" t="s">
        <v>706</v>
      </c>
      <c r="C352" s="65" t="s">
        <v>737</v>
      </c>
      <c r="D352" s="65" t="s">
        <v>737</v>
      </c>
      <c r="E352" s="170">
        <v>0.48526387939999999</v>
      </c>
      <c r="F352" s="170">
        <v>0.51816312539999998</v>
      </c>
      <c r="G352" s="170">
        <v>2.3989033579999999E-2</v>
      </c>
      <c r="H352" s="170">
        <v>3.4270047979999998E-3</v>
      </c>
      <c r="I352" s="170">
        <v>0</v>
      </c>
      <c r="J352" s="170">
        <v>0</v>
      </c>
      <c r="K352" s="170">
        <v>3.0843043180000002E-2</v>
      </c>
      <c r="L352" s="170">
        <v>0.58327621659999995</v>
      </c>
      <c r="M352" s="170">
        <v>0.30774503079999999</v>
      </c>
      <c r="N352" s="170">
        <v>2.8786840300000002E-2</v>
      </c>
      <c r="O352" s="170">
        <v>0</v>
      </c>
      <c r="P352" s="170">
        <v>0</v>
      </c>
      <c r="Q352" s="170">
        <v>0</v>
      </c>
      <c r="R352" s="170">
        <v>8.0191912269999999E-2</v>
      </c>
      <c r="S352" s="170">
        <v>0.49548069020000002</v>
      </c>
      <c r="T352" s="170">
        <v>0.44864420710000003</v>
      </c>
      <c r="U352" s="170">
        <v>0</v>
      </c>
      <c r="V352" s="170">
        <v>0</v>
      </c>
      <c r="W352" s="170">
        <v>9.0386195560000007E-3</v>
      </c>
      <c r="X352" s="170">
        <v>0</v>
      </c>
      <c r="Y352" s="170">
        <v>4.6836483159999998E-2</v>
      </c>
      <c r="Z352" s="170">
        <v>0.47493837300000002</v>
      </c>
      <c r="AA352" s="170">
        <v>0.45028759239999999</v>
      </c>
      <c r="AB352" s="170">
        <v>0</v>
      </c>
      <c r="AC352" s="170">
        <v>0</v>
      </c>
      <c r="AD352" s="170">
        <v>1.2325390300000001E-2</v>
      </c>
      <c r="AE352" s="170">
        <v>0</v>
      </c>
      <c r="AF352" s="170">
        <v>6.2448644210000001E-2</v>
      </c>
      <c r="AG352" s="170">
        <v>0.49692172379999999</v>
      </c>
      <c r="AH352" s="170">
        <v>0</v>
      </c>
      <c r="AI352" s="170">
        <v>0</v>
      </c>
      <c r="AJ352" s="170">
        <v>2.814423923E-2</v>
      </c>
      <c r="AK352" s="170">
        <v>0.34388742300000003</v>
      </c>
      <c r="AL352" s="170">
        <v>3.8698328939999999E-2</v>
      </c>
      <c r="AM352" s="170">
        <v>9.2348284959999999E-2</v>
      </c>
      <c r="AN352" s="170">
        <v>0.52858399300000003</v>
      </c>
      <c r="AO352" s="170">
        <v>0</v>
      </c>
      <c r="AP352" s="170">
        <v>0</v>
      </c>
      <c r="AQ352" s="170">
        <v>1.846965699E-2</v>
      </c>
      <c r="AR352" s="170">
        <v>0.35004397539999998</v>
      </c>
      <c r="AS352" s="170">
        <v>3.8698328939999999E-2</v>
      </c>
      <c r="AT352" s="170">
        <v>6.4204045730000006E-2</v>
      </c>
    </row>
    <row r="353" spans="1:46" ht="12.75">
      <c r="A353" s="65" t="s">
        <v>7</v>
      </c>
      <c r="B353" s="65" t="s">
        <v>706</v>
      </c>
      <c r="C353" s="65" t="s">
        <v>739</v>
      </c>
      <c r="D353" s="65" t="s">
        <v>739</v>
      </c>
      <c r="E353" s="170">
        <v>0.25589437279999999</v>
      </c>
      <c r="F353" s="170">
        <v>0.38038352720000002</v>
      </c>
      <c r="G353" s="170">
        <v>5.1556114430000001E-2</v>
      </c>
      <c r="H353" s="170">
        <v>6.9160641310000003E-3</v>
      </c>
      <c r="I353" s="170">
        <v>0</v>
      </c>
      <c r="J353" s="170">
        <v>0</v>
      </c>
      <c r="K353" s="170">
        <v>0.30524992140000001</v>
      </c>
      <c r="L353" s="170">
        <v>0.36386449180000002</v>
      </c>
      <c r="M353" s="170">
        <v>0.53074027599999996</v>
      </c>
      <c r="N353" s="170">
        <v>4.360100376E-2</v>
      </c>
      <c r="O353" s="170">
        <v>0</v>
      </c>
      <c r="P353" s="170">
        <v>0</v>
      </c>
      <c r="Q353" s="170">
        <v>0</v>
      </c>
      <c r="R353" s="170">
        <v>6.1794228360000002E-2</v>
      </c>
      <c r="S353" s="170">
        <v>0.36550017670000001</v>
      </c>
      <c r="T353" s="170">
        <v>0.59703075289999996</v>
      </c>
      <c r="U353" s="170">
        <v>0</v>
      </c>
      <c r="V353" s="170">
        <v>0</v>
      </c>
      <c r="W353" s="170">
        <v>8.8370448920000004E-3</v>
      </c>
      <c r="X353" s="170">
        <v>0</v>
      </c>
      <c r="Y353" s="170">
        <v>2.8632025450000001E-2</v>
      </c>
      <c r="Z353" s="170">
        <v>0.34499823260000001</v>
      </c>
      <c r="AA353" s="170">
        <v>0.60162601630000001</v>
      </c>
      <c r="AB353" s="170">
        <v>0</v>
      </c>
      <c r="AC353" s="170">
        <v>0</v>
      </c>
      <c r="AD353" s="170">
        <v>1.0250972069999999E-2</v>
      </c>
      <c r="AE353" s="170">
        <v>0</v>
      </c>
      <c r="AF353" s="170">
        <v>4.3124779070000001E-2</v>
      </c>
      <c r="AG353" s="170">
        <v>0.27587595650000002</v>
      </c>
      <c r="AH353" s="170">
        <v>0</v>
      </c>
      <c r="AI353" s="170">
        <v>0</v>
      </c>
      <c r="AJ353" s="170">
        <v>1.8928715259999999E-2</v>
      </c>
      <c r="AK353" s="170">
        <v>0.3101087394</v>
      </c>
      <c r="AL353" s="170">
        <v>0.30366492150000002</v>
      </c>
      <c r="AM353" s="170">
        <v>9.1421667339999999E-2</v>
      </c>
      <c r="AN353" s="170">
        <v>0.28588709680000002</v>
      </c>
      <c r="AO353" s="170">
        <v>0</v>
      </c>
      <c r="AP353" s="170">
        <v>0</v>
      </c>
      <c r="AQ353" s="170">
        <v>7.6612903230000003E-3</v>
      </c>
      <c r="AR353" s="170">
        <v>0.32782258060000002</v>
      </c>
      <c r="AS353" s="170">
        <v>0.31935483869999998</v>
      </c>
      <c r="AT353" s="170">
        <v>5.927419355E-2</v>
      </c>
    </row>
    <row r="354" spans="1:46" ht="12.75">
      <c r="A354" s="65" t="s">
        <v>7</v>
      </c>
      <c r="B354" s="65" t="s">
        <v>706</v>
      </c>
      <c r="C354" s="65" t="s">
        <v>706</v>
      </c>
      <c r="D354" s="65" t="s">
        <v>706</v>
      </c>
      <c r="E354" s="170">
        <v>0.39480458689999998</v>
      </c>
      <c r="F354" s="170">
        <v>0.33816990400000002</v>
      </c>
      <c r="G354" s="170">
        <v>6.505967704E-2</v>
      </c>
      <c r="H354" s="170">
        <v>4.6805523050000002E-3</v>
      </c>
      <c r="I354" s="170">
        <v>0</v>
      </c>
      <c r="J354" s="170">
        <v>0</v>
      </c>
      <c r="K354" s="170">
        <v>0.19728527970000001</v>
      </c>
      <c r="L354" s="170">
        <v>0.36471962619999998</v>
      </c>
      <c r="M354" s="170">
        <v>0.54252336450000005</v>
      </c>
      <c r="N354" s="170">
        <v>4.8598130840000003E-2</v>
      </c>
      <c r="O354" s="170">
        <v>0</v>
      </c>
      <c r="P354" s="170">
        <v>0</v>
      </c>
      <c r="Q354" s="170">
        <v>0</v>
      </c>
      <c r="R354" s="170">
        <v>4.4158878499999998E-2</v>
      </c>
      <c r="S354" s="170">
        <v>0.30704225349999997</v>
      </c>
      <c r="T354" s="170">
        <v>0.65275288090000005</v>
      </c>
      <c r="U354" s="170">
        <v>0</v>
      </c>
      <c r="V354" s="170">
        <v>0</v>
      </c>
      <c r="W354" s="170">
        <v>1.280409731E-2</v>
      </c>
      <c r="X354" s="170">
        <v>0</v>
      </c>
      <c r="Y354" s="170">
        <v>2.7400768249999999E-2</v>
      </c>
      <c r="Z354" s="170">
        <v>0.28297055059999998</v>
      </c>
      <c r="AA354" s="170">
        <v>0.66427656850000005</v>
      </c>
      <c r="AB354" s="170">
        <v>0</v>
      </c>
      <c r="AC354" s="170">
        <v>0</v>
      </c>
      <c r="AD354" s="170">
        <v>9.4750320100000004E-3</v>
      </c>
      <c r="AE354" s="170">
        <v>0</v>
      </c>
      <c r="AF354" s="170">
        <v>4.327784891E-2</v>
      </c>
      <c r="AG354" s="170">
        <v>0.26416876569999997</v>
      </c>
      <c r="AH354" s="170">
        <v>0</v>
      </c>
      <c r="AI354" s="170">
        <v>0</v>
      </c>
      <c r="AJ354" s="170">
        <v>2.0465994960000001E-2</v>
      </c>
      <c r="AK354" s="170">
        <v>0.31139798489999998</v>
      </c>
      <c r="AL354" s="170">
        <v>0.30887909320000001</v>
      </c>
      <c r="AM354" s="170">
        <v>9.5088161209999994E-2</v>
      </c>
      <c r="AN354" s="170">
        <v>0.28400503780000003</v>
      </c>
      <c r="AO354" s="170">
        <v>0</v>
      </c>
      <c r="AP354" s="170">
        <v>0</v>
      </c>
      <c r="AQ354" s="170">
        <v>1.133501259E-2</v>
      </c>
      <c r="AR354" s="170">
        <v>0.31013853899999999</v>
      </c>
      <c r="AS354" s="170">
        <v>0.32273299750000001</v>
      </c>
      <c r="AT354" s="170">
        <v>7.1788413100000004E-2</v>
      </c>
    </row>
    <row r="355" spans="1:46" ht="12.75">
      <c r="A355" s="65" t="s">
        <v>7</v>
      </c>
      <c r="B355" s="65" t="s">
        <v>706</v>
      </c>
      <c r="C355" s="65" t="s">
        <v>742</v>
      </c>
      <c r="D355" s="65" t="s">
        <v>742</v>
      </c>
      <c r="E355" s="170">
        <v>0.3804255319</v>
      </c>
      <c r="F355" s="170">
        <v>0.43276595740000001</v>
      </c>
      <c r="G355" s="170">
        <v>6.8085106380000003E-3</v>
      </c>
      <c r="H355" s="170">
        <v>5.9574468089999997E-3</v>
      </c>
      <c r="I355" s="170">
        <v>0</v>
      </c>
      <c r="J355" s="170">
        <v>0</v>
      </c>
      <c r="K355" s="170">
        <v>0.17404255320000001</v>
      </c>
      <c r="L355" s="170">
        <v>0.39787234040000002</v>
      </c>
      <c r="M355" s="170">
        <v>0.54893617019999996</v>
      </c>
      <c r="N355" s="170">
        <v>8.5106382980000006E-3</v>
      </c>
      <c r="O355" s="170">
        <v>0</v>
      </c>
      <c r="P355" s="170">
        <v>0</v>
      </c>
      <c r="Q355" s="170">
        <v>0</v>
      </c>
      <c r="R355" s="170">
        <v>4.4680851059999999E-2</v>
      </c>
      <c r="S355" s="170">
        <v>0.39524055870000002</v>
      </c>
      <c r="T355" s="170">
        <v>0.55923435079999995</v>
      </c>
      <c r="U355" s="170">
        <v>0</v>
      </c>
      <c r="V355" s="170">
        <v>0</v>
      </c>
      <c r="W355" s="170">
        <v>6.207966891E-3</v>
      </c>
      <c r="X355" s="170">
        <v>0</v>
      </c>
      <c r="Y355" s="170">
        <v>3.931712364E-2</v>
      </c>
      <c r="Z355" s="170">
        <v>0.3823072944</v>
      </c>
      <c r="AA355" s="170">
        <v>0.56285566480000004</v>
      </c>
      <c r="AB355" s="170">
        <v>0</v>
      </c>
      <c r="AC355" s="170">
        <v>0</v>
      </c>
      <c r="AD355" s="170">
        <v>8.7946197619999996E-3</v>
      </c>
      <c r="AE355" s="170">
        <v>0</v>
      </c>
      <c r="AF355" s="170">
        <v>4.6042421110000002E-2</v>
      </c>
      <c r="AG355" s="170">
        <v>0.36737967910000002</v>
      </c>
      <c r="AH355" s="170">
        <v>0</v>
      </c>
      <c r="AI355" s="170">
        <v>0</v>
      </c>
      <c r="AJ355" s="170">
        <v>2.673796791E-2</v>
      </c>
      <c r="AK355" s="170">
        <v>0.49839572189999998</v>
      </c>
      <c r="AL355" s="170">
        <v>4.2780748659999999E-2</v>
      </c>
      <c r="AM355" s="170">
        <v>6.4705882349999994E-2</v>
      </c>
      <c r="AN355" s="170">
        <v>0.39572192509999998</v>
      </c>
      <c r="AO355" s="170">
        <v>0</v>
      </c>
      <c r="AP355" s="170">
        <v>0</v>
      </c>
      <c r="AQ355" s="170">
        <v>1.229946524E-2</v>
      </c>
      <c r="AR355" s="170">
        <v>0.50374331549999996</v>
      </c>
      <c r="AS355" s="170">
        <v>4.3315508019999997E-2</v>
      </c>
      <c r="AT355" s="170">
        <v>4.4919786099999998E-2</v>
      </c>
    </row>
    <row r="356" spans="1:46" ht="12.75">
      <c r="A356" s="65" t="s">
        <v>7</v>
      </c>
      <c r="B356" s="65" t="s">
        <v>706</v>
      </c>
      <c r="C356" s="65" t="s">
        <v>744</v>
      </c>
      <c r="D356" s="65" t="s">
        <v>744</v>
      </c>
      <c r="E356" s="170">
        <v>0.27916120579999998</v>
      </c>
      <c r="F356" s="170">
        <v>0.3328964613</v>
      </c>
      <c r="G356" s="170">
        <v>2.4901703800000001E-2</v>
      </c>
      <c r="H356" s="170">
        <v>7.8636959370000006E-3</v>
      </c>
      <c r="I356" s="170">
        <v>0</v>
      </c>
      <c r="J356" s="170">
        <v>0</v>
      </c>
      <c r="K356" s="170">
        <v>0.35517693319999999</v>
      </c>
      <c r="L356" s="170">
        <v>0.35255570120000002</v>
      </c>
      <c r="M356" s="170">
        <v>0.56487549150000005</v>
      </c>
      <c r="N356" s="170">
        <v>3.2765399739999999E-2</v>
      </c>
      <c r="O356" s="170">
        <v>0</v>
      </c>
      <c r="P356" s="170">
        <v>0</v>
      </c>
      <c r="Q356" s="170">
        <v>0</v>
      </c>
      <c r="R356" s="170">
        <v>4.9803407600000002E-2</v>
      </c>
      <c r="S356" s="170">
        <v>0.26607142859999999</v>
      </c>
      <c r="T356" s="170">
        <v>0.6928571429</v>
      </c>
      <c r="U356" s="170">
        <v>0</v>
      </c>
      <c r="V356" s="170">
        <v>0</v>
      </c>
      <c r="W356" s="170">
        <v>0</v>
      </c>
      <c r="X356" s="170">
        <v>0</v>
      </c>
      <c r="Y356" s="170">
        <v>4.1071428569999999E-2</v>
      </c>
      <c r="Z356" s="170">
        <v>0.26702508959999999</v>
      </c>
      <c r="AA356" s="170">
        <v>0.6935483871</v>
      </c>
      <c r="AB356" s="170">
        <v>0</v>
      </c>
      <c r="AC356" s="170">
        <v>0</v>
      </c>
      <c r="AD356" s="170">
        <v>7.1684587809999999E-3</v>
      </c>
      <c r="AE356" s="170">
        <v>0</v>
      </c>
      <c r="AF356" s="170">
        <v>3.2258064519999997E-2</v>
      </c>
      <c r="AG356" s="170">
        <v>0.37351778660000001</v>
      </c>
      <c r="AH356" s="170">
        <v>0</v>
      </c>
      <c r="AI356" s="170">
        <v>0</v>
      </c>
      <c r="AJ356" s="170">
        <v>7.9051383399999994E-3</v>
      </c>
      <c r="AK356" s="170">
        <v>0.15810276679999999</v>
      </c>
      <c r="AL356" s="170">
        <v>0.40711462450000002</v>
      </c>
      <c r="AM356" s="170">
        <v>5.3359683790000001E-2</v>
      </c>
      <c r="AN356" s="170">
        <v>0.36956521739999998</v>
      </c>
      <c r="AO356" s="170">
        <v>0</v>
      </c>
      <c r="AP356" s="170">
        <v>0</v>
      </c>
      <c r="AQ356" s="170">
        <v>3.9525691699999997E-3</v>
      </c>
      <c r="AR356" s="170">
        <v>0.1739130435</v>
      </c>
      <c r="AS356" s="170">
        <v>0.41699604740000001</v>
      </c>
      <c r="AT356" s="170">
        <v>3.5573122530000001E-2</v>
      </c>
    </row>
    <row r="357" spans="1:46" ht="12.75">
      <c r="A357" s="65" t="s">
        <v>7</v>
      </c>
      <c r="B357" s="65" t="s">
        <v>706</v>
      </c>
      <c r="C357" s="65" t="s">
        <v>746</v>
      </c>
      <c r="D357" s="65" t="s">
        <v>746</v>
      </c>
      <c r="E357" s="170">
        <v>0.3891867739</v>
      </c>
      <c r="F357" s="170">
        <v>0.39142091150000002</v>
      </c>
      <c r="G357" s="170">
        <v>4.6023235029999998E-2</v>
      </c>
      <c r="H357" s="170">
        <v>5.8087578190000001E-3</v>
      </c>
      <c r="I357" s="170">
        <v>0</v>
      </c>
      <c r="J357" s="170">
        <v>0</v>
      </c>
      <c r="K357" s="170">
        <v>0.16756032169999999</v>
      </c>
      <c r="L357" s="170">
        <v>0.33199285080000002</v>
      </c>
      <c r="M357" s="170">
        <v>0.57730116180000002</v>
      </c>
      <c r="N357" s="170">
        <v>4.4682752460000003E-2</v>
      </c>
      <c r="O357" s="170">
        <v>0</v>
      </c>
      <c r="P357" s="170">
        <v>0</v>
      </c>
      <c r="Q357" s="170">
        <v>0</v>
      </c>
      <c r="R357" s="170">
        <v>4.6023235029999998E-2</v>
      </c>
      <c r="S357" s="170">
        <v>0.45494748480000002</v>
      </c>
      <c r="T357" s="170">
        <v>0.49585406300000001</v>
      </c>
      <c r="U357" s="170">
        <v>0</v>
      </c>
      <c r="V357" s="170">
        <v>0</v>
      </c>
      <c r="W357" s="170">
        <v>9.9502487560000005E-3</v>
      </c>
      <c r="X357" s="170">
        <v>0</v>
      </c>
      <c r="Y357" s="170">
        <v>3.9248203430000003E-2</v>
      </c>
      <c r="Z357" s="170">
        <v>0.44831398560000002</v>
      </c>
      <c r="AA357" s="170">
        <v>0.50801547820000004</v>
      </c>
      <c r="AB357" s="170">
        <v>0</v>
      </c>
      <c r="AC357" s="170">
        <v>0</v>
      </c>
      <c r="AD357" s="170">
        <v>1.1608623550000001E-2</v>
      </c>
      <c r="AE357" s="170">
        <v>0</v>
      </c>
      <c r="AF357" s="170">
        <v>3.2061912659999997E-2</v>
      </c>
      <c r="AG357" s="170">
        <v>0.36736641219999999</v>
      </c>
      <c r="AH357" s="170">
        <v>0</v>
      </c>
      <c r="AI357" s="170">
        <v>0</v>
      </c>
      <c r="AJ357" s="170">
        <v>1.908396947E-2</v>
      </c>
      <c r="AK357" s="170">
        <v>0.40553435110000002</v>
      </c>
      <c r="AL357" s="170">
        <v>0.11736641220000001</v>
      </c>
      <c r="AM357" s="170">
        <v>9.0648854959999997E-2</v>
      </c>
      <c r="AN357" s="170">
        <v>0.38835877860000001</v>
      </c>
      <c r="AO357" s="170">
        <v>0</v>
      </c>
      <c r="AP357" s="170">
        <v>0</v>
      </c>
      <c r="AQ357" s="170">
        <v>5.7251908399999999E-3</v>
      </c>
      <c r="AR357" s="170">
        <v>0.41030534349999997</v>
      </c>
      <c r="AS357" s="170">
        <v>0.1278625954</v>
      </c>
      <c r="AT357" s="170">
        <v>6.7748091600000004E-2</v>
      </c>
    </row>
    <row r="358" spans="1:46" ht="12.75">
      <c r="A358" s="65" t="s">
        <v>7</v>
      </c>
      <c r="B358" s="65" t="s">
        <v>785</v>
      </c>
      <c r="C358" s="65" t="s">
        <v>785</v>
      </c>
      <c r="D358" s="65" t="s">
        <v>785</v>
      </c>
      <c r="E358" s="170">
        <v>0.3374839711</v>
      </c>
      <c r="F358" s="170">
        <v>0.32101640009999999</v>
      </c>
      <c r="G358" s="170">
        <v>7.8592157659999995E-2</v>
      </c>
      <c r="H358" s="170">
        <v>1.103462239E-2</v>
      </c>
      <c r="I358" s="170">
        <v>0</v>
      </c>
      <c r="J358" s="170">
        <v>0</v>
      </c>
      <c r="K358" s="170">
        <v>0.25187284879999999</v>
      </c>
      <c r="L358" s="170">
        <v>0.34372680030000002</v>
      </c>
      <c r="M358" s="170">
        <v>0.52433016129999999</v>
      </c>
      <c r="N358" s="170">
        <v>7.4070324630000003E-2</v>
      </c>
      <c r="O358" s="170">
        <v>0</v>
      </c>
      <c r="P358" s="170">
        <v>0</v>
      </c>
      <c r="Q358" s="170">
        <v>0</v>
      </c>
      <c r="R358" s="170">
        <v>5.787271377E-2</v>
      </c>
      <c r="S358" s="170">
        <v>0.43607744609999999</v>
      </c>
      <c r="T358" s="170">
        <v>0.51005025130000003</v>
      </c>
      <c r="U358" s="170">
        <v>0</v>
      </c>
      <c r="V358" s="170">
        <v>0</v>
      </c>
      <c r="W358" s="170">
        <v>1.4595033990000001E-2</v>
      </c>
      <c r="X358" s="170">
        <v>0</v>
      </c>
      <c r="Y358" s="170">
        <v>3.92772687E-2</v>
      </c>
      <c r="Z358" s="170">
        <v>0.39619434689999999</v>
      </c>
      <c r="AA358" s="170">
        <v>0.53722519859999995</v>
      </c>
      <c r="AB358" s="170">
        <v>0</v>
      </c>
      <c r="AC358" s="170">
        <v>0</v>
      </c>
      <c r="AD358" s="170">
        <v>1.474228709E-2</v>
      </c>
      <c r="AE358" s="170">
        <v>0</v>
      </c>
      <c r="AF358" s="170">
        <v>5.183816737E-2</v>
      </c>
      <c r="AG358" s="170">
        <v>0.20117863089999999</v>
      </c>
      <c r="AH358" s="170">
        <v>0</v>
      </c>
      <c r="AI358" s="170">
        <v>0</v>
      </c>
      <c r="AJ358" s="170">
        <v>1.8405431949999999E-2</v>
      </c>
      <c r="AK358" s="170">
        <v>0.44681214499999999</v>
      </c>
      <c r="AL358" s="170">
        <v>0.25806038349999999</v>
      </c>
      <c r="AM358" s="170">
        <v>7.5543408630000003E-2</v>
      </c>
      <c r="AN358" s="170">
        <v>0.20876211619999999</v>
      </c>
      <c r="AO358" s="170">
        <v>0</v>
      </c>
      <c r="AP358" s="170">
        <v>0</v>
      </c>
      <c r="AQ358" s="170">
        <v>1.259660959E-2</v>
      </c>
      <c r="AR358" s="170">
        <v>0.43477518250000002</v>
      </c>
      <c r="AS358" s="170">
        <v>0.28165165040000001</v>
      </c>
      <c r="AT358" s="170">
        <v>6.2214441269999997E-2</v>
      </c>
    </row>
    <row r="359" spans="1:46" ht="12.75">
      <c r="A359" s="65" t="s">
        <v>7</v>
      </c>
      <c r="B359" s="65" t="s">
        <v>7</v>
      </c>
      <c r="C359" s="65" t="s">
        <v>748</v>
      </c>
      <c r="D359" s="65" t="s">
        <v>748</v>
      </c>
      <c r="E359" s="170">
        <v>0.49595141700000001</v>
      </c>
      <c r="F359" s="170">
        <v>0.28137651819999998</v>
      </c>
      <c r="G359" s="170">
        <v>2.5303643720000001E-2</v>
      </c>
      <c r="H359" s="170">
        <v>0</v>
      </c>
      <c r="I359" s="170">
        <v>0</v>
      </c>
      <c r="J359" s="170">
        <v>0</v>
      </c>
      <c r="K359" s="170">
        <v>0.1973684211</v>
      </c>
      <c r="L359" s="170">
        <v>0.4251012146</v>
      </c>
      <c r="M359" s="170">
        <v>0.5192307692</v>
      </c>
      <c r="N359" s="170">
        <v>2.0242914979999999E-2</v>
      </c>
      <c r="O359" s="170">
        <v>0</v>
      </c>
      <c r="P359" s="170">
        <v>0</v>
      </c>
      <c r="Q359" s="170">
        <v>0</v>
      </c>
      <c r="R359" s="170">
        <v>3.5425101209999997E-2</v>
      </c>
      <c r="S359" s="170">
        <v>0.49356725150000003</v>
      </c>
      <c r="T359" s="170">
        <v>0.4678362573</v>
      </c>
      <c r="U359" s="170">
        <v>0</v>
      </c>
      <c r="V359" s="170">
        <v>0</v>
      </c>
      <c r="W359" s="170">
        <v>7.0175438600000003E-3</v>
      </c>
      <c r="X359" s="170">
        <v>0</v>
      </c>
      <c r="Y359" s="170">
        <v>3.1578947369999999E-2</v>
      </c>
      <c r="Z359" s="170">
        <v>0.498245614</v>
      </c>
      <c r="AA359" s="170">
        <v>0.47368421049999998</v>
      </c>
      <c r="AB359" s="170">
        <v>0</v>
      </c>
      <c r="AC359" s="170">
        <v>0</v>
      </c>
      <c r="AD359" s="170">
        <v>9.356725146E-3</v>
      </c>
      <c r="AE359" s="170">
        <v>0</v>
      </c>
      <c r="AF359" s="170">
        <v>1.8713450289999999E-2</v>
      </c>
      <c r="AG359" s="170">
        <v>0.28877005350000001</v>
      </c>
      <c r="AH359" s="170">
        <v>0</v>
      </c>
      <c r="AI359" s="170">
        <v>0</v>
      </c>
      <c r="AJ359" s="170">
        <v>2.673796791E-2</v>
      </c>
      <c r="AK359" s="170">
        <v>0.37700534759999998</v>
      </c>
      <c r="AL359" s="170">
        <v>0.23930481279999999</v>
      </c>
      <c r="AM359" s="170">
        <v>6.8181818180000006E-2</v>
      </c>
      <c r="AN359" s="170">
        <v>0.32486631020000001</v>
      </c>
      <c r="AO359" s="170">
        <v>0</v>
      </c>
      <c r="AP359" s="170">
        <v>0</v>
      </c>
      <c r="AQ359" s="170">
        <v>4.0106951869999996E-3</v>
      </c>
      <c r="AR359" s="170">
        <v>0.40374331549999998</v>
      </c>
      <c r="AS359" s="170">
        <v>0.2219251337</v>
      </c>
      <c r="AT359" s="170">
        <v>4.5454545450000002E-2</v>
      </c>
    </row>
    <row r="360" spans="1:46" ht="12.75">
      <c r="A360" s="65" t="s">
        <v>7</v>
      </c>
      <c r="B360" s="65" t="s">
        <v>7</v>
      </c>
      <c r="C360" s="65" t="s">
        <v>749</v>
      </c>
      <c r="D360" s="65" t="s">
        <v>749</v>
      </c>
      <c r="E360" s="170">
        <v>0.39191564150000002</v>
      </c>
      <c r="F360" s="170">
        <v>0.40070298770000001</v>
      </c>
      <c r="G360" s="170">
        <v>7.029876977E-3</v>
      </c>
      <c r="H360" s="170">
        <v>1.7574692439999999E-3</v>
      </c>
      <c r="I360" s="170">
        <v>0</v>
      </c>
      <c r="J360" s="170">
        <v>0</v>
      </c>
      <c r="K360" s="170">
        <v>0.1985940246</v>
      </c>
      <c r="L360" s="170">
        <v>0.45342706500000002</v>
      </c>
      <c r="M360" s="170">
        <v>0.4920913884</v>
      </c>
      <c r="N360" s="170">
        <v>8.7873462209999992E-3</v>
      </c>
      <c r="O360" s="170">
        <v>0</v>
      </c>
      <c r="P360" s="170">
        <v>0</v>
      </c>
      <c r="Q360" s="170">
        <v>0</v>
      </c>
      <c r="R360" s="170">
        <v>4.5694200349999999E-2</v>
      </c>
      <c r="S360" s="170">
        <v>0.4206500956</v>
      </c>
      <c r="T360" s="170">
        <v>0.54110898659999995</v>
      </c>
      <c r="U360" s="170">
        <v>0</v>
      </c>
      <c r="V360" s="170">
        <v>0</v>
      </c>
      <c r="W360" s="170">
        <v>7.6481835559999998E-3</v>
      </c>
      <c r="X360" s="170">
        <v>0</v>
      </c>
      <c r="Y360" s="170">
        <v>3.0592734230000002E-2</v>
      </c>
      <c r="Z360" s="170">
        <v>0.39961759079999998</v>
      </c>
      <c r="AA360" s="170">
        <v>0.53154875720000005</v>
      </c>
      <c r="AB360" s="170">
        <v>0</v>
      </c>
      <c r="AC360" s="170">
        <v>0</v>
      </c>
      <c r="AD360" s="170">
        <v>5.736137667E-3</v>
      </c>
      <c r="AE360" s="170">
        <v>0</v>
      </c>
      <c r="AF360" s="170">
        <v>6.3097514339999994E-2</v>
      </c>
      <c r="AG360" s="170">
        <v>0.2475524476</v>
      </c>
      <c r="AH360" s="170">
        <v>0</v>
      </c>
      <c r="AI360" s="170">
        <v>0</v>
      </c>
      <c r="AJ360" s="170">
        <v>1.9580419580000001E-2</v>
      </c>
      <c r="AK360" s="170">
        <v>0.24195804200000001</v>
      </c>
      <c r="AL360" s="170">
        <v>0.351048951</v>
      </c>
      <c r="AM360" s="170">
        <v>0.13986013990000001</v>
      </c>
      <c r="AN360" s="170">
        <v>0.24509803920000001</v>
      </c>
      <c r="AO360" s="170">
        <v>0</v>
      </c>
      <c r="AP360" s="170">
        <v>0</v>
      </c>
      <c r="AQ360" s="170">
        <v>1.8207282910000001E-2</v>
      </c>
      <c r="AR360" s="170">
        <v>0.24649859939999999</v>
      </c>
      <c r="AS360" s="170">
        <v>0.38935574229999997</v>
      </c>
      <c r="AT360" s="170">
        <v>0.1008403361</v>
      </c>
    </row>
    <row r="361" spans="1:46" ht="12.75">
      <c r="A361" s="65" t="s">
        <v>7</v>
      </c>
      <c r="B361" s="65" t="s">
        <v>7</v>
      </c>
      <c r="C361" s="65" t="s">
        <v>751</v>
      </c>
      <c r="D361" s="65" t="s">
        <v>751</v>
      </c>
      <c r="E361" s="170">
        <v>0.3168202765</v>
      </c>
      <c r="F361" s="170">
        <v>0.33640553000000001</v>
      </c>
      <c r="G361" s="170">
        <v>3.5714285710000002E-2</v>
      </c>
      <c r="H361" s="170">
        <v>7.4884792630000004E-3</v>
      </c>
      <c r="I361" s="170">
        <v>0</v>
      </c>
      <c r="J361" s="170">
        <v>0</v>
      </c>
      <c r="K361" s="170">
        <v>0.30357142860000003</v>
      </c>
      <c r="L361" s="170">
        <v>0.37615207369999998</v>
      </c>
      <c r="M361" s="170">
        <v>0.54723502300000004</v>
      </c>
      <c r="N361" s="170">
        <v>3.2834101380000001E-2</v>
      </c>
      <c r="O361" s="170">
        <v>0</v>
      </c>
      <c r="P361" s="170">
        <v>0</v>
      </c>
      <c r="Q361" s="170">
        <v>0</v>
      </c>
      <c r="R361" s="170">
        <v>4.3778801839999999E-2</v>
      </c>
      <c r="S361" s="170">
        <v>0.48327137549999999</v>
      </c>
      <c r="T361" s="170">
        <v>0.47335811649999998</v>
      </c>
      <c r="U361" s="170">
        <v>0</v>
      </c>
      <c r="V361" s="170">
        <v>0</v>
      </c>
      <c r="W361" s="170">
        <v>5.5762081780000002E-3</v>
      </c>
      <c r="X361" s="170">
        <v>0</v>
      </c>
      <c r="Y361" s="170">
        <v>3.779429988E-2</v>
      </c>
      <c r="Z361" s="170">
        <v>0.46344485749999997</v>
      </c>
      <c r="AA361" s="170">
        <v>0.48513011150000002</v>
      </c>
      <c r="AB361" s="170">
        <v>0</v>
      </c>
      <c r="AC361" s="170">
        <v>0</v>
      </c>
      <c r="AD361" s="170">
        <v>7.4349442379999997E-3</v>
      </c>
      <c r="AE361" s="170">
        <v>0</v>
      </c>
      <c r="AF361" s="170">
        <v>4.3990086740000003E-2</v>
      </c>
      <c r="AG361" s="170">
        <v>0.27870036100000001</v>
      </c>
      <c r="AH361" s="170">
        <v>0</v>
      </c>
      <c r="AI361" s="170">
        <v>0</v>
      </c>
      <c r="AJ361" s="170">
        <v>1.8050541520000001E-2</v>
      </c>
      <c r="AK361" s="170">
        <v>0.36173285199999999</v>
      </c>
      <c r="AL361" s="170">
        <v>0.2512635379</v>
      </c>
      <c r="AM361" s="170">
        <v>9.0252707579999994E-2</v>
      </c>
      <c r="AN361" s="170">
        <v>0.28375451260000001</v>
      </c>
      <c r="AO361" s="170">
        <v>0</v>
      </c>
      <c r="AP361" s="170">
        <v>0</v>
      </c>
      <c r="AQ361" s="170">
        <v>1.516245487E-2</v>
      </c>
      <c r="AR361" s="170">
        <v>0.38700361010000001</v>
      </c>
      <c r="AS361" s="170">
        <v>0.26137184120000001</v>
      </c>
      <c r="AT361" s="170">
        <v>5.2707581230000002E-2</v>
      </c>
    </row>
    <row r="362" spans="1:46" ht="12.75">
      <c r="A362" s="65" t="s">
        <v>7</v>
      </c>
      <c r="B362" s="65" t="s">
        <v>7</v>
      </c>
      <c r="C362" s="65" t="s">
        <v>753</v>
      </c>
      <c r="D362" s="65" t="s">
        <v>753</v>
      </c>
      <c r="E362" s="170">
        <v>0.45786726319999999</v>
      </c>
      <c r="F362" s="170">
        <v>0.53467561519999995</v>
      </c>
      <c r="G362" s="170">
        <v>2.4608501120000001E-2</v>
      </c>
      <c r="H362" s="170">
        <v>2.9828486199999999E-3</v>
      </c>
      <c r="I362" s="170">
        <v>0</v>
      </c>
      <c r="J362" s="170">
        <v>0</v>
      </c>
      <c r="K362" s="170">
        <v>2.0134228189999999E-2</v>
      </c>
      <c r="L362" s="170">
        <v>0.40343027590000002</v>
      </c>
      <c r="M362" s="170">
        <v>0.52050708430000003</v>
      </c>
      <c r="N362" s="170">
        <v>1.565995526E-2</v>
      </c>
      <c r="O362" s="170">
        <v>0</v>
      </c>
      <c r="P362" s="170">
        <v>0</v>
      </c>
      <c r="Q362" s="170">
        <v>0</v>
      </c>
      <c r="R362" s="170">
        <v>6.0402684560000003E-2</v>
      </c>
      <c r="S362" s="170">
        <v>0.58787878790000003</v>
      </c>
      <c r="T362" s="170">
        <v>0.38354978350000002</v>
      </c>
      <c r="U362" s="170">
        <v>0</v>
      </c>
      <c r="V362" s="170">
        <v>0</v>
      </c>
      <c r="W362" s="170">
        <v>4.329004329E-3</v>
      </c>
      <c r="X362" s="170">
        <v>0</v>
      </c>
      <c r="Y362" s="170">
        <v>2.4242424240000001E-2</v>
      </c>
      <c r="Z362" s="170">
        <v>0.57229437230000002</v>
      </c>
      <c r="AA362" s="170">
        <v>0.37835497839999999</v>
      </c>
      <c r="AB362" s="170">
        <v>0</v>
      </c>
      <c r="AC362" s="170">
        <v>0</v>
      </c>
      <c r="AD362" s="170">
        <v>8.658008658E-3</v>
      </c>
      <c r="AE362" s="170">
        <v>0</v>
      </c>
      <c r="AF362" s="170">
        <v>4.0692640689999997E-2</v>
      </c>
      <c r="AG362" s="170">
        <v>0.58693467340000005</v>
      </c>
      <c r="AH362" s="170">
        <v>0</v>
      </c>
      <c r="AI362" s="170">
        <v>0</v>
      </c>
      <c r="AJ362" s="170">
        <v>1.206030151E-2</v>
      </c>
      <c r="AK362" s="170">
        <v>0.18291457289999999</v>
      </c>
      <c r="AL362" s="170">
        <v>0.151758794</v>
      </c>
      <c r="AM362" s="170">
        <v>6.6331658289999998E-2</v>
      </c>
      <c r="AN362" s="170">
        <v>0.59899497489999998</v>
      </c>
      <c r="AO362" s="170">
        <v>0</v>
      </c>
      <c r="AP362" s="170">
        <v>0</v>
      </c>
      <c r="AQ362" s="170">
        <v>6.0301507540000002E-3</v>
      </c>
      <c r="AR362" s="170">
        <v>0.1949748744</v>
      </c>
      <c r="AS362" s="170">
        <v>0.1608040201</v>
      </c>
      <c r="AT362" s="170">
        <v>3.9195979899999997E-2</v>
      </c>
    </row>
    <row r="363" spans="1:46" ht="12.75">
      <c r="A363" s="65" t="s">
        <v>7</v>
      </c>
      <c r="B363" s="65" t="s">
        <v>7</v>
      </c>
      <c r="C363" s="65" t="s">
        <v>755</v>
      </c>
      <c r="D363" s="65" t="s">
        <v>755</v>
      </c>
      <c r="E363" s="170">
        <v>0.47723773920000001</v>
      </c>
      <c r="F363" s="170">
        <v>0.40378271389999998</v>
      </c>
      <c r="G363" s="170">
        <v>1.2535737850000001E-2</v>
      </c>
      <c r="H363" s="170">
        <v>5.7180558610000001E-3</v>
      </c>
      <c r="I363" s="170">
        <v>0</v>
      </c>
      <c r="J363" s="170">
        <v>0</v>
      </c>
      <c r="K363" s="170">
        <v>0.1007257532</v>
      </c>
      <c r="L363" s="170">
        <v>0.41606319949999998</v>
      </c>
      <c r="M363" s="170">
        <v>0.51283739299999997</v>
      </c>
      <c r="N363" s="170">
        <v>9.8749177089999998E-3</v>
      </c>
      <c r="O363" s="170">
        <v>0</v>
      </c>
      <c r="P363" s="170">
        <v>0</v>
      </c>
      <c r="Q363" s="170">
        <v>0</v>
      </c>
      <c r="R363" s="170">
        <v>6.1224489799999997E-2</v>
      </c>
      <c r="S363" s="170">
        <v>0.461556829</v>
      </c>
      <c r="T363" s="170">
        <v>0.49617956060000001</v>
      </c>
      <c r="U363" s="170">
        <v>0</v>
      </c>
      <c r="V363" s="170">
        <v>0</v>
      </c>
      <c r="W363" s="170">
        <v>5.0143266480000004E-3</v>
      </c>
      <c r="X363" s="170">
        <v>0</v>
      </c>
      <c r="Y363" s="170">
        <v>3.7249283670000001E-2</v>
      </c>
      <c r="Z363" s="170">
        <v>0.44842406880000002</v>
      </c>
      <c r="AA363" s="170">
        <v>0.50644699140000005</v>
      </c>
      <c r="AB363" s="170">
        <v>0</v>
      </c>
      <c r="AC363" s="170">
        <v>0</v>
      </c>
      <c r="AD363" s="170">
        <v>7.8796561599999999E-3</v>
      </c>
      <c r="AE363" s="170">
        <v>0</v>
      </c>
      <c r="AF363" s="170">
        <v>3.7249283670000001E-2</v>
      </c>
      <c r="AG363" s="170">
        <v>0.3199691596</v>
      </c>
      <c r="AH363" s="170">
        <v>0</v>
      </c>
      <c r="AI363" s="170">
        <v>0</v>
      </c>
      <c r="AJ363" s="170">
        <v>2.5186327420000001E-2</v>
      </c>
      <c r="AK363" s="170">
        <v>0.44358776659999999</v>
      </c>
      <c r="AL363" s="170">
        <v>0.1413518376</v>
      </c>
      <c r="AM363" s="170">
        <v>6.9904908759999995E-2</v>
      </c>
      <c r="AN363" s="170">
        <v>0.3294782832</v>
      </c>
      <c r="AO363" s="170">
        <v>0</v>
      </c>
      <c r="AP363" s="170">
        <v>0</v>
      </c>
      <c r="AQ363" s="170">
        <v>1.130814701E-2</v>
      </c>
      <c r="AR363" s="170">
        <v>0.46363402720000002</v>
      </c>
      <c r="AS363" s="170">
        <v>0.15137496789999999</v>
      </c>
      <c r="AT363" s="170">
        <v>4.4204574660000003E-2</v>
      </c>
    </row>
    <row r="364" spans="1:46" ht="12.75">
      <c r="A364" s="65" t="s">
        <v>7</v>
      </c>
      <c r="B364" s="65" t="s">
        <v>7</v>
      </c>
      <c r="C364" s="65" t="s">
        <v>757</v>
      </c>
      <c r="D364" s="65" t="s">
        <v>757</v>
      </c>
      <c r="E364" s="170">
        <v>0.391959799</v>
      </c>
      <c r="F364" s="170">
        <v>0.32811114400000002</v>
      </c>
      <c r="G364" s="170">
        <v>1.8622524389999999E-2</v>
      </c>
      <c r="H364" s="170">
        <v>5.3207212529999999E-3</v>
      </c>
      <c r="I364" s="170">
        <v>0</v>
      </c>
      <c r="J364" s="170">
        <v>0</v>
      </c>
      <c r="K364" s="170">
        <v>0.25598581139999999</v>
      </c>
      <c r="L364" s="170">
        <v>0.31717410579999999</v>
      </c>
      <c r="M364" s="170">
        <v>0.60951817909999995</v>
      </c>
      <c r="N364" s="170">
        <v>1.9509311259999999E-2</v>
      </c>
      <c r="O364" s="170">
        <v>0</v>
      </c>
      <c r="P364" s="170">
        <v>0</v>
      </c>
      <c r="Q364" s="170">
        <v>0</v>
      </c>
      <c r="R364" s="170">
        <v>5.3798403779999997E-2</v>
      </c>
      <c r="S364" s="170">
        <v>0.39853382209999999</v>
      </c>
      <c r="T364" s="170">
        <v>0.55181606130000005</v>
      </c>
      <c r="U364" s="170">
        <v>0</v>
      </c>
      <c r="V364" s="170">
        <v>0</v>
      </c>
      <c r="W364" s="170">
        <v>6.9976674439999999E-3</v>
      </c>
      <c r="X364" s="170">
        <v>0</v>
      </c>
      <c r="Y364" s="170">
        <v>4.2652449180000003E-2</v>
      </c>
      <c r="Z364" s="170">
        <v>0.38787070979999999</v>
      </c>
      <c r="AA364" s="170">
        <v>0.55848050650000003</v>
      </c>
      <c r="AB364" s="170">
        <v>0</v>
      </c>
      <c r="AC364" s="170">
        <v>0</v>
      </c>
      <c r="AD364" s="170">
        <v>5.9980006659999998E-3</v>
      </c>
      <c r="AE364" s="170">
        <v>0</v>
      </c>
      <c r="AF364" s="170">
        <v>4.7650783070000001E-2</v>
      </c>
      <c r="AG364" s="170">
        <v>0.34350576849999997</v>
      </c>
      <c r="AH364" s="170">
        <v>0</v>
      </c>
      <c r="AI364" s="170">
        <v>0</v>
      </c>
      <c r="AJ364" s="170">
        <v>2.1585411240000001E-2</v>
      </c>
      <c r="AK364" s="170">
        <v>0.395236323</v>
      </c>
      <c r="AL364" s="170">
        <v>0.17528842580000001</v>
      </c>
      <c r="AM364" s="170">
        <v>6.4384071459999997E-2</v>
      </c>
      <c r="AN364" s="170">
        <v>0.35169333829999999</v>
      </c>
      <c r="AO364" s="170">
        <v>0</v>
      </c>
      <c r="AP364" s="170">
        <v>0</v>
      </c>
      <c r="AQ364" s="170">
        <v>8.1875697800000008E-3</v>
      </c>
      <c r="AR364" s="170">
        <v>0.40640119089999999</v>
      </c>
      <c r="AS364" s="170">
        <v>0.1771492371</v>
      </c>
      <c r="AT364" s="170">
        <v>5.656866394E-2</v>
      </c>
    </row>
    <row r="365" spans="1:46" ht="12.75">
      <c r="A365" s="65" t="s">
        <v>7</v>
      </c>
      <c r="B365" s="65" t="s">
        <v>7</v>
      </c>
      <c r="C365" s="65" t="s">
        <v>757</v>
      </c>
      <c r="D365" s="65" t="s">
        <v>758</v>
      </c>
      <c r="E365" s="170">
        <v>0.72117962469999997</v>
      </c>
      <c r="F365" s="170">
        <v>0.35656836460000002</v>
      </c>
      <c r="G365" s="170">
        <v>6.4343163539999998E-2</v>
      </c>
      <c r="H365" s="170">
        <v>5.3619302950000001E-3</v>
      </c>
      <c r="I365" s="170">
        <v>0</v>
      </c>
      <c r="J365" s="170">
        <v>0</v>
      </c>
      <c r="K365" s="170">
        <v>0.14745308309999999</v>
      </c>
      <c r="L365" s="170">
        <v>0.24128686329999999</v>
      </c>
      <c r="M365" s="170">
        <v>0.64343163540000003</v>
      </c>
      <c r="N365" s="170">
        <v>6.7024128690000004E-2</v>
      </c>
      <c r="O365" s="170">
        <v>0</v>
      </c>
      <c r="P365" s="170">
        <v>0</v>
      </c>
      <c r="Q365" s="170">
        <v>0</v>
      </c>
      <c r="R365" s="170">
        <v>4.8257372649999998E-2</v>
      </c>
      <c r="S365" s="170">
        <v>0.44771241830000003</v>
      </c>
      <c r="T365" s="170">
        <v>0.44117647059999998</v>
      </c>
      <c r="U365" s="170">
        <v>0</v>
      </c>
      <c r="V365" s="170">
        <v>0</v>
      </c>
      <c r="W365" s="170">
        <v>6.535947712E-3</v>
      </c>
      <c r="X365" s="170">
        <v>0</v>
      </c>
      <c r="Y365" s="170">
        <v>0.1045751634</v>
      </c>
      <c r="Z365" s="170">
        <v>0.4607843137</v>
      </c>
      <c r="AA365" s="170">
        <v>0.45098039220000002</v>
      </c>
      <c r="AB365" s="170">
        <v>0</v>
      </c>
      <c r="AC365" s="170">
        <v>0</v>
      </c>
      <c r="AD365" s="170">
        <v>1.6339869279999999E-2</v>
      </c>
      <c r="AE365" s="170">
        <v>0</v>
      </c>
      <c r="AF365" s="170">
        <v>7.189542484E-2</v>
      </c>
      <c r="AG365" s="170">
        <v>0.42632850239999998</v>
      </c>
      <c r="AH365" s="170">
        <v>0</v>
      </c>
      <c r="AI365" s="170">
        <v>0</v>
      </c>
      <c r="AJ365" s="170">
        <v>3.7439613529999999E-2</v>
      </c>
      <c r="AK365" s="170">
        <v>0.4070048309</v>
      </c>
      <c r="AL365" s="170">
        <v>5.1932367149999999E-2</v>
      </c>
      <c r="AM365" s="170">
        <v>7.7294685990000001E-2</v>
      </c>
      <c r="AN365" s="170">
        <v>0.45388349509999998</v>
      </c>
      <c r="AO365" s="170">
        <v>0</v>
      </c>
      <c r="AP365" s="170">
        <v>0</v>
      </c>
      <c r="AQ365" s="170">
        <v>9.7087378640000003E-3</v>
      </c>
      <c r="AR365" s="170">
        <v>0.4283980583</v>
      </c>
      <c r="AS365" s="170">
        <v>6.1893203879999997E-2</v>
      </c>
      <c r="AT365" s="170">
        <v>4.6116504849999997E-2</v>
      </c>
    </row>
    <row r="366" spans="1:46" ht="12.75">
      <c r="A366" s="65" t="s">
        <v>7</v>
      </c>
      <c r="B366" s="65" t="s">
        <v>7</v>
      </c>
      <c r="C366" s="65" t="s">
        <v>760</v>
      </c>
      <c r="D366" s="65" t="s">
        <v>760</v>
      </c>
      <c r="E366" s="170">
        <v>0.56958393110000005</v>
      </c>
      <c r="F366" s="170">
        <v>0.24031563850000001</v>
      </c>
      <c r="G366" s="170">
        <v>1.219512195E-2</v>
      </c>
      <c r="H366" s="170">
        <v>5.7388809179999998E-3</v>
      </c>
      <c r="I366" s="170">
        <v>0</v>
      </c>
      <c r="J366" s="170">
        <v>0</v>
      </c>
      <c r="K366" s="170">
        <v>0.1721664275</v>
      </c>
      <c r="L366" s="170">
        <v>0.43758966999999999</v>
      </c>
      <c r="M366" s="170">
        <v>0.49426111909999998</v>
      </c>
      <c r="N366" s="170">
        <v>1.147776184E-2</v>
      </c>
      <c r="O366" s="170">
        <v>0</v>
      </c>
      <c r="P366" s="170">
        <v>0</v>
      </c>
      <c r="Q366" s="170">
        <v>0</v>
      </c>
      <c r="R366" s="170">
        <v>5.6671449069999998E-2</v>
      </c>
      <c r="S366" s="170">
        <v>0.42491749169999998</v>
      </c>
      <c r="T366" s="170">
        <v>0.54042904290000005</v>
      </c>
      <c r="U366" s="170">
        <v>0</v>
      </c>
      <c r="V366" s="170">
        <v>0</v>
      </c>
      <c r="W366" s="170">
        <v>3.3003300330000001E-3</v>
      </c>
      <c r="X366" s="170">
        <v>0</v>
      </c>
      <c r="Y366" s="170">
        <v>3.1353135310000002E-2</v>
      </c>
      <c r="Z366" s="170">
        <v>0.42161716170000002</v>
      </c>
      <c r="AA366" s="170">
        <v>0.53465346530000002</v>
      </c>
      <c r="AB366" s="170">
        <v>0</v>
      </c>
      <c r="AC366" s="170">
        <v>0</v>
      </c>
      <c r="AD366" s="170">
        <v>6.6006600660000001E-3</v>
      </c>
      <c r="AE366" s="170">
        <v>0</v>
      </c>
      <c r="AF366" s="170">
        <v>3.7128712869999997E-2</v>
      </c>
      <c r="AG366" s="170">
        <v>0.29783693839999997</v>
      </c>
      <c r="AH366" s="170">
        <v>0</v>
      </c>
      <c r="AI366" s="170">
        <v>0</v>
      </c>
      <c r="AJ366" s="170">
        <v>1.9134775369999999E-2</v>
      </c>
      <c r="AK366" s="170">
        <v>0.49916805320000002</v>
      </c>
      <c r="AL366" s="170">
        <v>0.112312812</v>
      </c>
      <c r="AM366" s="170">
        <v>7.1547420969999997E-2</v>
      </c>
      <c r="AN366" s="170">
        <v>0.29866888520000001</v>
      </c>
      <c r="AO366" s="170">
        <v>0</v>
      </c>
      <c r="AP366" s="170">
        <v>0</v>
      </c>
      <c r="AQ366" s="170">
        <v>6.6555740430000003E-3</v>
      </c>
      <c r="AR366" s="170">
        <v>0.53078203000000002</v>
      </c>
      <c r="AS366" s="170">
        <v>0.11980033280000001</v>
      </c>
      <c r="AT366" s="170">
        <v>4.409317804E-2</v>
      </c>
    </row>
    <row r="367" spans="1:46" ht="12.75">
      <c r="A367" s="65" t="s">
        <v>7</v>
      </c>
      <c r="B367" s="65" t="s">
        <v>7</v>
      </c>
      <c r="C367" s="65" t="s">
        <v>761</v>
      </c>
      <c r="D367" s="65" t="s">
        <v>761</v>
      </c>
      <c r="E367" s="170">
        <v>0.36217510260000002</v>
      </c>
      <c r="F367" s="170">
        <v>0.2831737346</v>
      </c>
      <c r="G367" s="170">
        <v>1.402188782E-2</v>
      </c>
      <c r="H367" s="170">
        <v>4.1039671680000002E-3</v>
      </c>
      <c r="I367" s="170">
        <v>0</v>
      </c>
      <c r="J367" s="170">
        <v>0</v>
      </c>
      <c r="K367" s="170">
        <v>0.33652530780000001</v>
      </c>
      <c r="L367" s="170">
        <v>0.37333333330000001</v>
      </c>
      <c r="M367" s="170">
        <v>0.55863247859999998</v>
      </c>
      <c r="N367" s="170">
        <v>1.3675213679999999E-2</v>
      </c>
      <c r="O367" s="170">
        <v>0</v>
      </c>
      <c r="P367" s="170">
        <v>0</v>
      </c>
      <c r="Q367" s="170">
        <v>0</v>
      </c>
      <c r="R367" s="170">
        <v>5.4358974359999999E-2</v>
      </c>
      <c r="S367" s="170">
        <v>0.36297709919999999</v>
      </c>
      <c r="T367" s="170">
        <v>0.60419847329999998</v>
      </c>
      <c r="U367" s="170">
        <v>0</v>
      </c>
      <c r="V367" s="170">
        <v>0</v>
      </c>
      <c r="W367" s="170">
        <v>6.1068702289999999E-3</v>
      </c>
      <c r="X367" s="170">
        <v>0</v>
      </c>
      <c r="Y367" s="170">
        <v>2.6717557249999999E-2</v>
      </c>
      <c r="Z367" s="170">
        <v>0.34351145039999997</v>
      </c>
      <c r="AA367" s="170">
        <v>0.60190839689999998</v>
      </c>
      <c r="AB367" s="170">
        <v>0</v>
      </c>
      <c r="AC367" s="170">
        <v>0</v>
      </c>
      <c r="AD367" s="170">
        <v>6.8702290080000002E-3</v>
      </c>
      <c r="AE367" s="170">
        <v>0</v>
      </c>
      <c r="AF367" s="170">
        <v>4.770992366E-2</v>
      </c>
      <c r="AG367" s="170">
        <v>0.29888983769999999</v>
      </c>
      <c r="AH367" s="170">
        <v>0</v>
      </c>
      <c r="AI367" s="170">
        <v>0</v>
      </c>
      <c r="AJ367" s="170">
        <v>1.8360375750000001E-2</v>
      </c>
      <c r="AK367" s="170">
        <v>0.5862510675</v>
      </c>
      <c r="AL367" s="170">
        <v>5.2092228859999999E-2</v>
      </c>
      <c r="AM367" s="170">
        <v>4.4406490180000001E-2</v>
      </c>
      <c r="AN367" s="170">
        <v>0.30358667810000001</v>
      </c>
      <c r="AO367" s="170">
        <v>0</v>
      </c>
      <c r="AP367" s="170">
        <v>0</v>
      </c>
      <c r="AQ367" s="170">
        <v>1.110162254E-2</v>
      </c>
      <c r="AR367" s="170">
        <v>0.59137489330000004</v>
      </c>
      <c r="AS367" s="170">
        <v>5.7643040139999997E-2</v>
      </c>
      <c r="AT367" s="170">
        <v>3.6293766009999999E-2</v>
      </c>
    </row>
    <row r="368" spans="1:46" ht="12.75">
      <c r="A368" s="65" t="s">
        <v>7</v>
      </c>
      <c r="B368" s="65" t="s">
        <v>7</v>
      </c>
      <c r="C368" s="65" t="s">
        <v>763</v>
      </c>
      <c r="D368" s="65" t="s">
        <v>763</v>
      </c>
      <c r="E368" s="170">
        <v>0.24778761060000001</v>
      </c>
      <c r="F368" s="170">
        <v>0.25459496259999997</v>
      </c>
      <c r="G368" s="170">
        <v>7.4880871340000004E-3</v>
      </c>
      <c r="H368" s="170">
        <v>4.0844111639999998E-3</v>
      </c>
      <c r="I368" s="170">
        <v>0</v>
      </c>
      <c r="J368" s="170">
        <v>0</v>
      </c>
      <c r="K368" s="170">
        <v>0.48604492849999997</v>
      </c>
      <c r="L368" s="170">
        <v>0.49251191290000002</v>
      </c>
      <c r="M368" s="170">
        <v>0.472089857</v>
      </c>
      <c r="N368" s="170">
        <v>6.4669843430000002E-3</v>
      </c>
      <c r="O368" s="170">
        <v>0</v>
      </c>
      <c r="P368" s="170">
        <v>0</v>
      </c>
      <c r="Q368" s="170">
        <v>0</v>
      </c>
      <c r="R368" s="170">
        <v>2.8931245750000001E-2</v>
      </c>
      <c r="S368" s="170">
        <v>0.54434137289999995</v>
      </c>
      <c r="T368" s="170">
        <v>0.42263450829999999</v>
      </c>
      <c r="U368" s="170">
        <v>0</v>
      </c>
      <c r="V368" s="170">
        <v>0</v>
      </c>
      <c r="W368" s="170">
        <v>3.7105751390000001E-3</v>
      </c>
      <c r="X368" s="170">
        <v>0</v>
      </c>
      <c r="Y368" s="170">
        <v>2.9313543599999999E-2</v>
      </c>
      <c r="Z368" s="170">
        <v>0.5270972532</v>
      </c>
      <c r="AA368" s="170">
        <v>0.431328879</v>
      </c>
      <c r="AB368" s="170">
        <v>0</v>
      </c>
      <c r="AC368" s="170">
        <v>0</v>
      </c>
      <c r="AD368" s="170">
        <v>8.1662954709999999E-3</v>
      </c>
      <c r="AE368" s="170">
        <v>0</v>
      </c>
      <c r="AF368" s="170">
        <v>3.340757238E-2</v>
      </c>
      <c r="AG368" s="170">
        <v>0.5769230769</v>
      </c>
      <c r="AH368" s="170">
        <v>0</v>
      </c>
      <c r="AI368" s="170">
        <v>0</v>
      </c>
      <c r="AJ368" s="170">
        <v>2.840236686E-2</v>
      </c>
      <c r="AK368" s="170">
        <v>0.27573964499999998</v>
      </c>
      <c r="AL368" s="170">
        <v>7.2189349109999995E-2</v>
      </c>
      <c r="AM368" s="170">
        <v>4.6745562130000001E-2</v>
      </c>
      <c r="AN368" s="170">
        <v>0.59289940829999999</v>
      </c>
      <c r="AO368" s="170">
        <v>0</v>
      </c>
      <c r="AP368" s="170">
        <v>0</v>
      </c>
      <c r="AQ368" s="170">
        <v>9.4674556209999993E-3</v>
      </c>
      <c r="AR368" s="170">
        <v>0.28816568050000002</v>
      </c>
      <c r="AS368" s="170">
        <v>7.692307692E-2</v>
      </c>
      <c r="AT368" s="170">
        <v>3.2544378700000001E-2</v>
      </c>
    </row>
    <row r="369" spans="1:46" ht="12.75">
      <c r="A369" s="65" t="s">
        <v>7</v>
      </c>
      <c r="B369" s="65" t="s">
        <v>7</v>
      </c>
      <c r="C369" s="65" t="s">
        <v>765</v>
      </c>
      <c r="D369" s="65" t="s">
        <v>765</v>
      </c>
      <c r="E369" s="170">
        <v>0.29622758189999998</v>
      </c>
      <c r="F369" s="170">
        <v>0.29189857759999999</v>
      </c>
      <c r="G369" s="170">
        <v>7.0500927640000002E-2</v>
      </c>
      <c r="H369" s="170">
        <v>6.1842918990000001E-3</v>
      </c>
      <c r="I369" s="170">
        <v>0</v>
      </c>
      <c r="J369" s="170">
        <v>0</v>
      </c>
      <c r="K369" s="170">
        <v>0.33518862090000001</v>
      </c>
      <c r="L369" s="170">
        <v>0.27767470620000001</v>
      </c>
      <c r="M369" s="170">
        <v>0.60049474339999998</v>
      </c>
      <c r="N369" s="170">
        <v>5.9369202230000001E-2</v>
      </c>
      <c r="O369" s="170">
        <v>0</v>
      </c>
      <c r="P369" s="170">
        <v>0</v>
      </c>
      <c r="Q369" s="170">
        <v>0</v>
      </c>
      <c r="R369" s="170">
        <v>6.2461348180000001E-2</v>
      </c>
      <c r="S369" s="170">
        <v>0.37726420989999998</v>
      </c>
      <c r="T369" s="170">
        <v>0.58151155529999998</v>
      </c>
      <c r="U369" s="170">
        <v>0</v>
      </c>
      <c r="V369" s="170">
        <v>0</v>
      </c>
      <c r="W369" s="170">
        <v>6.8707058090000002E-3</v>
      </c>
      <c r="X369" s="170">
        <v>0</v>
      </c>
      <c r="Y369" s="170">
        <v>3.4353529039999997E-2</v>
      </c>
      <c r="Z369" s="170">
        <v>0.3668122271</v>
      </c>
      <c r="AA369" s="170">
        <v>0.59014348100000003</v>
      </c>
      <c r="AB369" s="170">
        <v>0</v>
      </c>
      <c r="AC369" s="170">
        <v>0</v>
      </c>
      <c r="AD369" s="170">
        <v>5.6144728630000001E-3</v>
      </c>
      <c r="AE369" s="170">
        <v>0</v>
      </c>
      <c r="AF369" s="170">
        <v>3.7429819089999997E-2</v>
      </c>
      <c r="AG369" s="170">
        <v>7.8231292519999995E-2</v>
      </c>
      <c r="AH369" s="170">
        <v>0</v>
      </c>
      <c r="AI369" s="170">
        <v>0</v>
      </c>
      <c r="AJ369" s="170">
        <v>2.4489795920000001E-2</v>
      </c>
      <c r="AK369" s="170">
        <v>0.41156462589999998</v>
      </c>
      <c r="AL369" s="170">
        <v>0.406122449</v>
      </c>
      <c r="AM369" s="170">
        <v>7.9591836730000004E-2</v>
      </c>
      <c r="AN369" s="170">
        <v>8.1632653060000004E-2</v>
      </c>
      <c r="AO369" s="170">
        <v>0</v>
      </c>
      <c r="AP369" s="170">
        <v>0</v>
      </c>
      <c r="AQ369" s="170">
        <v>1.4285714289999999E-2</v>
      </c>
      <c r="AR369" s="170">
        <v>0.42448979590000002</v>
      </c>
      <c r="AS369" s="170">
        <v>0.4095238095</v>
      </c>
      <c r="AT369" s="170">
        <v>7.0068027209999995E-2</v>
      </c>
    </row>
    <row r="370" spans="1:46" ht="12.75">
      <c r="A370" s="65" t="s">
        <v>7</v>
      </c>
      <c r="B370" s="65" t="s">
        <v>7</v>
      </c>
      <c r="C370" s="65" t="s">
        <v>765</v>
      </c>
      <c r="D370" s="65" t="s">
        <v>767</v>
      </c>
      <c r="E370" s="170">
        <v>0.6935483871</v>
      </c>
      <c r="F370" s="170">
        <v>0.34072580650000001</v>
      </c>
      <c r="G370" s="170">
        <v>5.0403225810000001E-2</v>
      </c>
      <c r="H370" s="170">
        <v>1.2096774189999999E-2</v>
      </c>
      <c r="I370" s="170">
        <v>0</v>
      </c>
      <c r="J370" s="170">
        <v>0</v>
      </c>
      <c r="K370" s="170">
        <v>9.6774193549999998E-2</v>
      </c>
      <c r="L370" s="170">
        <v>0.52822580649999995</v>
      </c>
      <c r="M370" s="170">
        <v>0.37701612899999998</v>
      </c>
      <c r="N370" s="170">
        <v>2.6209677420000001E-2</v>
      </c>
      <c r="O370" s="170">
        <v>0</v>
      </c>
      <c r="P370" s="170">
        <v>0</v>
      </c>
      <c r="Q370" s="170">
        <v>0</v>
      </c>
      <c r="R370" s="170">
        <v>6.8548387099999997E-2</v>
      </c>
      <c r="S370" s="170">
        <v>0.47222222219999999</v>
      </c>
      <c r="T370" s="170">
        <v>0.503968254</v>
      </c>
      <c r="U370" s="170">
        <v>0</v>
      </c>
      <c r="V370" s="170">
        <v>0</v>
      </c>
      <c r="W370" s="170">
        <v>1.9841269840000001E-3</v>
      </c>
      <c r="X370" s="170">
        <v>0</v>
      </c>
      <c r="Y370" s="170">
        <v>2.182539683E-2</v>
      </c>
      <c r="Z370" s="170">
        <v>0.41865079370000002</v>
      </c>
      <c r="AA370" s="170">
        <v>0.51388888889999995</v>
      </c>
      <c r="AB370" s="170">
        <v>0</v>
      </c>
      <c r="AC370" s="170">
        <v>0</v>
      </c>
      <c r="AD370" s="170">
        <v>9.9206349209999996E-3</v>
      </c>
      <c r="AE370" s="170">
        <v>0</v>
      </c>
      <c r="AF370" s="170">
        <v>5.7539682539999998E-2</v>
      </c>
      <c r="AG370" s="170">
        <v>0.17767653759999999</v>
      </c>
      <c r="AH370" s="170">
        <v>0</v>
      </c>
      <c r="AI370" s="170">
        <v>0</v>
      </c>
      <c r="AJ370" s="170">
        <v>3.4168564919999998E-2</v>
      </c>
      <c r="AK370" s="170">
        <v>0.23917995440000001</v>
      </c>
      <c r="AL370" s="170">
        <v>0.46013667429999999</v>
      </c>
      <c r="AM370" s="170">
        <v>8.8838268789999994E-2</v>
      </c>
      <c r="AN370" s="170">
        <v>0.2072892938</v>
      </c>
      <c r="AO370" s="170">
        <v>0</v>
      </c>
      <c r="AP370" s="170">
        <v>0</v>
      </c>
      <c r="AQ370" s="170">
        <v>9.1116173119999994E-3</v>
      </c>
      <c r="AR370" s="170">
        <v>0.25512528470000001</v>
      </c>
      <c r="AS370" s="170">
        <v>0.4715261959</v>
      </c>
      <c r="AT370" s="170">
        <v>5.6947608199999999E-2</v>
      </c>
    </row>
    <row r="371" spans="1:46" ht="12.75">
      <c r="A371" s="65" t="s">
        <v>7</v>
      </c>
      <c r="B371" s="65" t="s">
        <v>7</v>
      </c>
      <c r="C371" s="65" t="s">
        <v>554</v>
      </c>
      <c r="D371" s="65" t="s">
        <v>554</v>
      </c>
      <c r="E371" s="170">
        <v>0.37923250559999999</v>
      </c>
      <c r="F371" s="170">
        <v>0.22573363430000001</v>
      </c>
      <c r="G371" s="170">
        <v>5.0790067719999998E-2</v>
      </c>
      <c r="H371" s="170">
        <v>1.015801354E-2</v>
      </c>
      <c r="I371" s="170">
        <v>0</v>
      </c>
      <c r="J371" s="170">
        <v>0</v>
      </c>
      <c r="K371" s="170">
        <v>0.33408577880000001</v>
      </c>
      <c r="L371" s="170">
        <v>0.38713318279999998</v>
      </c>
      <c r="M371" s="170">
        <v>0.52031602710000002</v>
      </c>
      <c r="N371" s="170">
        <v>3.9503386000000001E-2</v>
      </c>
      <c r="O371" s="170">
        <v>0</v>
      </c>
      <c r="P371" s="170">
        <v>0</v>
      </c>
      <c r="Q371" s="170">
        <v>0</v>
      </c>
      <c r="R371" s="170">
        <v>5.3047404059999997E-2</v>
      </c>
      <c r="S371" s="170">
        <v>0.36180124219999998</v>
      </c>
      <c r="T371" s="170">
        <v>0.61801242239999998</v>
      </c>
      <c r="U371" s="170">
        <v>0</v>
      </c>
      <c r="V371" s="170">
        <v>0</v>
      </c>
      <c r="W371" s="170">
        <v>4.6583850930000002E-3</v>
      </c>
      <c r="X371" s="170">
        <v>0</v>
      </c>
      <c r="Y371" s="170">
        <v>1.552795031E-2</v>
      </c>
      <c r="Z371" s="170">
        <v>0.3540372671</v>
      </c>
      <c r="AA371" s="170">
        <v>0.61956521740000003</v>
      </c>
      <c r="AB371" s="170">
        <v>0</v>
      </c>
      <c r="AC371" s="170">
        <v>0</v>
      </c>
      <c r="AD371" s="170">
        <v>4.6583850930000002E-3</v>
      </c>
      <c r="AE371" s="170">
        <v>0</v>
      </c>
      <c r="AF371" s="170">
        <v>2.173913043E-2</v>
      </c>
      <c r="AG371" s="170">
        <v>0.22463768119999999</v>
      </c>
      <c r="AH371" s="170">
        <v>0</v>
      </c>
      <c r="AI371" s="170">
        <v>0</v>
      </c>
      <c r="AJ371" s="170">
        <v>1.9927536230000001E-2</v>
      </c>
      <c r="AK371" s="170">
        <v>0.16485507250000001</v>
      </c>
      <c r="AL371" s="170">
        <v>0.52536231879999995</v>
      </c>
      <c r="AM371" s="170">
        <v>6.5217391299999997E-2</v>
      </c>
      <c r="AN371" s="170">
        <v>0.2373188406</v>
      </c>
      <c r="AO371" s="170">
        <v>0</v>
      </c>
      <c r="AP371" s="170">
        <v>0</v>
      </c>
      <c r="AQ371" s="170">
        <v>3.623188406E-3</v>
      </c>
      <c r="AR371" s="170">
        <v>0.16847826090000001</v>
      </c>
      <c r="AS371" s="170">
        <v>0.54528985510000005</v>
      </c>
      <c r="AT371" s="170">
        <v>4.5289855070000003E-2</v>
      </c>
    </row>
    <row r="372" spans="1:46" ht="12.75">
      <c r="A372" s="65" t="s">
        <v>7</v>
      </c>
      <c r="B372" s="65" t="s">
        <v>7</v>
      </c>
      <c r="C372" s="65" t="s">
        <v>554</v>
      </c>
      <c r="D372" s="65" t="s">
        <v>768</v>
      </c>
      <c r="E372" s="170">
        <v>0.30796335450000001</v>
      </c>
      <c r="F372" s="170">
        <v>0.1610288936</v>
      </c>
      <c r="G372" s="170">
        <v>8.8090204369999994E-3</v>
      </c>
      <c r="H372" s="170">
        <v>4.5806906269999998E-3</v>
      </c>
      <c r="I372" s="170">
        <v>0</v>
      </c>
      <c r="J372" s="170">
        <v>0</v>
      </c>
      <c r="K372" s="170">
        <v>0.51761804089999996</v>
      </c>
      <c r="L372" s="170">
        <v>0.41930937280000002</v>
      </c>
      <c r="M372" s="170">
        <v>0.52924594790000001</v>
      </c>
      <c r="N372" s="170">
        <v>6.694855532E-3</v>
      </c>
      <c r="O372" s="170">
        <v>0</v>
      </c>
      <c r="P372" s="170">
        <v>0</v>
      </c>
      <c r="Q372" s="170">
        <v>0</v>
      </c>
      <c r="R372" s="170">
        <v>4.474982382E-2</v>
      </c>
      <c r="S372" s="170">
        <v>0.45774378589999998</v>
      </c>
      <c r="T372" s="170">
        <v>0.5131931166</v>
      </c>
      <c r="U372" s="170">
        <v>0</v>
      </c>
      <c r="V372" s="170">
        <v>0</v>
      </c>
      <c r="W372" s="170">
        <v>3.8240917779999999E-3</v>
      </c>
      <c r="X372" s="170">
        <v>0</v>
      </c>
      <c r="Y372" s="170">
        <v>2.5239005740000001E-2</v>
      </c>
      <c r="Z372" s="170">
        <v>0.43824091780000002</v>
      </c>
      <c r="AA372" s="170">
        <v>0.5265774379</v>
      </c>
      <c r="AB372" s="170">
        <v>0</v>
      </c>
      <c r="AC372" s="170">
        <v>0</v>
      </c>
      <c r="AD372" s="170">
        <v>6.1185468450000004E-3</v>
      </c>
      <c r="AE372" s="170">
        <v>0</v>
      </c>
      <c r="AF372" s="170">
        <v>2.906309751E-2</v>
      </c>
      <c r="AG372" s="170">
        <v>0.48050139279999998</v>
      </c>
      <c r="AH372" s="170">
        <v>0</v>
      </c>
      <c r="AI372" s="170">
        <v>0</v>
      </c>
      <c r="AJ372" s="170">
        <v>1.2070566390000001E-2</v>
      </c>
      <c r="AK372" s="170">
        <v>0.40389972140000002</v>
      </c>
      <c r="AL372" s="170">
        <v>6.6852367689999997E-2</v>
      </c>
      <c r="AM372" s="170">
        <v>3.6675951720000002E-2</v>
      </c>
      <c r="AN372" s="170">
        <v>0.48839368620000001</v>
      </c>
      <c r="AO372" s="170">
        <v>0</v>
      </c>
      <c r="AP372" s="170">
        <v>0</v>
      </c>
      <c r="AQ372" s="170">
        <v>9.2850510680000005E-3</v>
      </c>
      <c r="AR372" s="170">
        <v>0.39925719589999997</v>
      </c>
      <c r="AS372" s="170">
        <v>7.3816155989999993E-2</v>
      </c>
      <c r="AT372" s="170">
        <v>2.924791086E-2</v>
      </c>
    </row>
    <row r="373" spans="1:46" ht="12.75">
      <c r="A373" s="65" t="s">
        <v>7</v>
      </c>
      <c r="B373" s="65" t="s">
        <v>7</v>
      </c>
      <c r="C373" s="65" t="s">
        <v>769</v>
      </c>
      <c r="D373" s="65" t="s">
        <v>769</v>
      </c>
      <c r="E373" s="170">
        <v>0.46613545820000002</v>
      </c>
      <c r="F373" s="170">
        <v>0.37051792830000002</v>
      </c>
      <c r="G373" s="170">
        <v>2.3904382469999999E-2</v>
      </c>
      <c r="H373" s="170">
        <v>7.9681274900000008E-3</v>
      </c>
      <c r="I373" s="170">
        <v>0</v>
      </c>
      <c r="J373" s="170">
        <v>0</v>
      </c>
      <c r="K373" s="170">
        <v>0.1314741036</v>
      </c>
      <c r="L373" s="170">
        <v>0.4007968127</v>
      </c>
      <c r="M373" s="170">
        <v>0.53864541830000001</v>
      </c>
      <c r="N373" s="170">
        <v>2.3107569719999999E-2</v>
      </c>
      <c r="O373" s="170">
        <v>0</v>
      </c>
      <c r="P373" s="170">
        <v>0</v>
      </c>
      <c r="Q373" s="170">
        <v>0</v>
      </c>
      <c r="R373" s="170">
        <v>3.7450199199999999E-2</v>
      </c>
      <c r="S373" s="170">
        <v>0.44247038919999998</v>
      </c>
      <c r="T373" s="170">
        <v>0.51184433159999998</v>
      </c>
      <c r="U373" s="170">
        <v>0</v>
      </c>
      <c r="V373" s="170">
        <v>0</v>
      </c>
      <c r="W373" s="170">
        <v>6.7681895090000001E-3</v>
      </c>
      <c r="X373" s="170">
        <v>0</v>
      </c>
      <c r="Y373" s="170">
        <v>3.8917089680000003E-2</v>
      </c>
      <c r="Z373" s="170">
        <v>0.42216582060000002</v>
      </c>
      <c r="AA373" s="170">
        <v>0.52199661590000002</v>
      </c>
      <c r="AB373" s="170">
        <v>0</v>
      </c>
      <c r="AC373" s="170">
        <v>0</v>
      </c>
      <c r="AD373" s="170">
        <v>6.7681895090000001E-3</v>
      </c>
      <c r="AE373" s="170">
        <v>0</v>
      </c>
      <c r="AF373" s="170">
        <v>4.9069373940000001E-2</v>
      </c>
      <c r="AG373" s="170">
        <v>0.35854341740000001</v>
      </c>
      <c r="AH373" s="170">
        <v>0</v>
      </c>
      <c r="AI373" s="170">
        <v>0</v>
      </c>
      <c r="AJ373" s="170">
        <v>2.1475256769999999E-2</v>
      </c>
      <c r="AK373" s="170">
        <v>0.3865546218</v>
      </c>
      <c r="AL373" s="170">
        <v>0.16339869279999999</v>
      </c>
      <c r="AM373" s="170">
        <v>7.0028011200000004E-2</v>
      </c>
      <c r="AN373" s="170">
        <v>0.3818860878</v>
      </c>
      <c r="AO373" s="170">
        <v>0</v>
      </c>
      <c r="AP373" s="170">
        <v>0</v>
      </c>
      <c r="AQ373" s="170">
        <v>1.120448179E-2</v>
      </c>
      <c r="AR373" s="170">
        <v>0.37721755369999999</v>
      </c>
      <c r="AS373" s="170">
        <v>0.18674136320000001</v>
      </c>
      <c r="AT373" s="170">
        <v>4.2950513539999999E-2</v>
      </c>
    </row>
    <row r="374" spans="1:46" ht="12.75">
      <c r="A374" s="65" t="s">
        <v>7</v>
      </c>
      <c r="B374" s="65" t="s">
        <v>7</v>
      </c>
      <c r="C374" s="65" t="s">
        <v>770</v>
      </c>
      <c r="D374" s="65" t="s">
        <v>770</v>
      </c>
      <c r="E374" s="170">
        <v>0.24512534820000001</v>
      </c>
      <c r="F374" s="170">
        <v>0.29805013930000002</v>
      </c>
      <c r="G374" s="170">
        <v>2.135561746E-2</v>
      </c>
      <c r="H374" s="170">
        <v>9.2850510679999998E-4</v>
      </c>
      <c r="I374" s="170">
        <v>0</v>
      </c>
      <c r="J374" s="170">
        <v>0</v>
      </c>
      <c r="K374" s="170">
        <v>0.43454039</v>
      </c>
      <c r="L374" s="170">
        <v>0.4187558032</v>
      </c>
      <c r="M374" s="170">
        <v>0.50882079849999995</v>
      </c>
      <c r="N374" s="170">
        <v>1.949860724E-2</v>
      </c>
      <c r="O374" s="170">
        <v>0</v>
      </c>
      <c r="P374" s="170">
        <v>0</v>
      </c>
      <c r="Q374" s="170">
        <v>0</v>
      </c>
      <c r="R374" s="170">
        <v>5.2924791089999999E-2</v>
      </c>
      <c r="S374" s="170">
        <v>0.4196832579</v>
      </c>
      <c r="T374" s="170">
        <v>0.52941176469999995</v>
      </c>
      <c r="U374" s="170">
        <v>0</v>
      </c>
      <c r="V374" s="170">
        <v>0</v>
      </c>
      <c r="W374" s="170">
        <v>1.018099548E-2</v>
      </c>
      <c r="X374" s="170">
        <v>0</v>
      </c>
      <c r="Y374" s="170">
        <v>4.0723981899999998E-2</v>
      </c>
      <c r="Z374" s="170">
        <v>0.38914027150000002</v>
      </c>
      <c r="AA374" s="170">
        <v>0.55542986429999996</v>
      </c>
      <c r="AB374" s="170">
        <v>0</v>
      </c>
      <c r="AC374" s="170">
        <v>0</v>
      </c>
      <c r="AD374" s="170">
        <v>4.5248868779999996E-3</v>
      </c>
      <c r="AE374" s="170">
        <v>0</v>
      </c>
      <c r="AF374" s="170">
        <v>5.0904977380000001E-2</v>
      </c>
      <c r="AG374" s="170">
        <v>0.29947229549999999</v>
      </c>
      <c r="AH374" s="170">
        <v>0</v>
      </c>
      <c r="AI374" s="170">
        <v>0</v>
      </c>
      <c r="AJ374" s="170">
        <v>3.1662269129999997E-2</v>
      </c>
      <c r="AK374" s="170">
        <v>0.51451187340000004</v>
      </c>
      <c r="AL374" s="170">
        <v>8.0474934040000001E-2</v>
      </c>
      <c r="AM374" s="170">
        <v>7.3878627969999999E-2</v>
      </c>
      <c r="AN374" s="170">
        <v>0.31794195250000001</v>
      </c>
      <c r="AO374" s="170">
        <v>0</v>
      </c>
      <c r="AP374" s="170">
        <v>0</v>
      </c>
      <c r="AQ374" s="170">
        <v>1.1873350919999999E-2</v>
      </c>
      <c r="AR374" s="170">
        <v>0.55013192609999995</v>
      </c>
      <c r="AS374" s="170">
        <v>7.9155672819999995E-2</v>
      </c>
      <c r="AT374" s="170">
        <v>4.0897097629999997E-2</v>
      </c>
    </row>
    <row r="375" spans="1:46" ht="12.75">
      <c r="A375" s="65" t="s">
        <v>7</v>
      </c>
      <c r="B375" s="65" t="s">
        <v>7</v>
      </c>
      <c r="C375" s="65" t="s">
        <v>771</v>
      </c>
      <c r="D375" s="65" t="s">
        <v>771</v>
      </c>
      <c r="E375" s="170">
        <v>0.41811067639999999</v>
      </c>
      <c r="F375" s="170">
        <v>0.27389603130000001</v>
      </c>
      <c r="G375" s="170">
        <v>1.229737283E-2</v>
      </c>
      <c r="H375" s="170">
        <v>1.6769144770000001E-3</v>
      </c>
      <c r="I375" s="170">
        <v>0</v>
      </c>
      <c r="J375" s="170">
        <v>0</v>
      </c>
      <c r="K375" s="170">
        <v>0.294019005</v>
      </c>
      <c r="L375" s="170">
        <v>0.45947456679999998</v>
      </c>
      <c r="M375" s="170">
        <v>0.48854108439999999</v>
      </c>
      <c r="N375" s="170">
        <v>1.285634433E-2</v>
      </c>
      <c r="O375" s="170">
        <v>0</v>
      </c>
      <c r="P375" s="170">
        <v>0</v>
      </c>
      <c r="Q375" s="170">
        <v>0</v>
      </c>
      <c r="R375" s="170">
        <v>3.9128004469999998E-2</v>
      </c>
      <c r="S375" s="170">
        <v>0.48711656440000001</v>
      </c>
      <c r="T375" s="170">
        <v>0.47914110430000001</v>
      </c>
      <c r="U375" s="170">
        <v>0</v>
      </c>
      <c r="V375" s="170">
        <v>0</v>
      </c>
      <c r="W375" s="170">
        <v>8.5889570550000006E-3</v>
      </c>
      <c r="X375" s="170">
        <v>0</v>
      </c>
      <c r="Y375" s="170">
        <v>2.5153374230000001E-2</v>
      </c>
      <c r="Z375" s="170">
        <v>0.47239263799999998</v>
      </c>
      <c r="AA375" s="170">
        <v>0.49141104289999998</v>
      </c>
      <c r="AB375" s="170">
        <v>0</v>
      </c>
      <c r="AC375" s="170">
        <v>0</v>
      </c>
      <c r="AD375" s="170">
        <v>6.7484662579999997E-3</v>
      </c>
      <c r="AE375" s="170">
        <v>0</v>
      </c>
      <c r="AF375" s="170">
        <v>2.944785276E-2</v>
      </c>
      <c r="AG375" s="170">
        <v>0.28301886790000003</v>
      </c>
      <c r="AH375" s="170">
        <v>0</v>
      </c>
      <c r="AI375" s="170">
        <v>0</v>
      </c>
      <c r="AJ375" s="170">
        <v>2.4458420679999999E-2</v>
      </c>
      <c r="AK375" s="170">
        <v>0.36617749830000001</v>
      </c>
      <c r="AL375" s="170">
        <v>0.24877707900000001</v>
      </c>
      <c r="AM375" s="170">
        <v>7.7568134169999997E-2</v>
      </c>
      <c r="AN375" s="170">
        <v>0.28860936409999999</v>
      </c>
      <c r="AO375" s="170">
        <v>0</v>
      </c>
      <c r="AP375" s="170">
        <v>0</v>
      </c>
      <c r="AQ375" s="170">
        <v>1.048218029E-2</v>
      </c>
      <c r="AR375" s="170">
        <v>0.36967155839999999</v>
      </c>
      <c r="AS375" s="170">
        <v>0.26694619149999999</v>
      </c>
      <c r="AT375" s="170">
        <v>6.42907058E-2</v>
      </c>
    </row>
    <row r="376" spans="1:46" ht="12.75">
      <c r="A376" s="65" t="s">
        <v>7</v>
      </c>
      <c r="B376" s="65" t="s">
        <v>7</v>
      </c>
      <c r="C376" s="65" t="s">
        <v>773</v>
      </c>
      <c r="D376" s="65" t="s">
        <v>773</v>
      </c>
      <c r="E376" s="170">
        <v>0.2214285714</v>
      </c>
      <c r="F376" s="170">
        <v>8.9795918370000005E-2</v>
      </c>
      <c r="G376" s="170">
        <v>2.040816327E-3</v>
      </c>
      <c r="H376" s="170">
        <v>3.0612244900000002E-3</v>
      </c>
      <c r="I376" s="170">
        <v>0</v>
      </c>
      <c r="J376" s="170">
        <v>0</v>
      </c>
      <c r="K376" s="170">
        <v>0.68367346939999996</v>
      </c>
      <c r="L376" s="170">
        <v>0.568947906</v>
      </c>
      <c r="M376" s="170">
        <v>0.3656792646</v>
      </c>
      <c r="N376" s="170">
        <v>3.0643513790000001E-3</v>
      </c>
      <c r="O376" s="170">
        <v>0</v>
      </c>
      <c r="P376" s="170">
        <v>0</v>
      </c>
      <c r="Q376" s="170">
        <v>0</v>
      </c>
      <c r="R376" s="170">
        <v>6.2308478039999997E-2</v>
      </c>
      <c r="S376" s="170">
        <v>0.51221995929999997</v>
      </c>
      <c r="T376" s="170">
        <v>0.432790224</v>
      </c>
      <c r="U376" s="170">
        <v>0</v>
      </c>
      <c r="V376" s="170">
        <v>0</v>
      </c>
      <c r="W376" s="170">
        <v>1.018329939E-3</v>
      </c>
      <c r="X376" s="170">
        <v>0</v>
      </c>
      <c r="Y376" s="170">
        <v>5.397148676E-2</v>
      </c>
      <c r="Z376" s="170">
        <v>0.49694501019999998</v>
      </c>
      <c r="AA376" s="170">
        <v>0.42973523419999998</v>
      </c>
      <c r="AB376" s="170">
        <v>0</v>
      </c>
      <c r="AC376" s="170">
        <v>0</v>
      </c>
      <c r="AD376" s="170">
        <v>5.0916496950000004E-3</v>
      </c>
      <c r="AE376" s="170">
        <v>0</v>
      </c>
      <c r="AF376" s="170">
        <v>6.8228105910000003E-2</v>
      </c>
      <c r="AG376" s="170">
        <v>0.46746987950000002</v>
      </c>
      <c r="AH376" s="170">
        <v>0</v>
      </c>
      <c r="AI376" s="170">
        <v>0</v>
      </c>
      <c r="AJ376" s="170">
        <v>1.8072289160000001E-2</v>
      </c>
      <c r="AK376" s="170">
        <v>0.3722891566</v>
      </c>
      <c r="AL376" s="170">
        <v>8.3132530120000006E-2</v>
      </c>
      <c r="AM376" s="170">
        <v>5.9036144579999998E-2</v>
      </c>
      <c r="AN376" s="170">
        <v>0.46385542169999999</v>
      </c>
      <c r="AO376" s="170">
        <v>0</v>
      </c>
      <c r="AP376" s="170">
        <v>0</v>
      </c>
      <c r="AQ376" s="170">
        <v>1.445783133E-2</v>
      </c>
      <c r="AR376" s="170">
        <v>0.36024096389999999</v>
      </c>
      <c r="AS376" s="170">
        <v>8.0722891569999997E-2</v>
      </c>
      <c r="AT376" s="170">
        <v>8.0722891569999997E-2</v>
      </c>
    </row>
    <row r="377" spans="1:46" ht="12.75">
      <c r="A377" s="65" t="s">
        <v>7</v>
      </c>
      <c r="B377" s="65" t="s">
        <v>7</v>
      </c>
      <c r="C377" s="65" t="s">
        <v>774</v>
      </c>
      <c r="D377" s="65" t="s">
        <v>774</v>
      </c>
      <c r="E377" s="170">
        <v>0.32306684140000003</v>
      </c>
      <c r="F377" s="170">
        <v>0.3152031455</v>
      </c>
      <c r="G377" s="170">
        <v>2.2280471820000002E-2</v>
      </c>
      <c r="H377" s="170">
        <v>5.8977719529999997E-3</v>
      </c>
      <c r="I377" s="170">
        <v>0</v>
      </c>
      <c r="J377" s="170">
        <v>0</v>
      </c>
      <c r="K377" s="170">
        <v>0.33355176930000002</v>
      </c>
      <c r="L377" s="170">
        <v>0.34600262120000003</v>
      </c>
      <c r="M377" s="170">
        <v>0.58387942329999998</v>
      </c>
      <c r="N377" s="170">
        <v>9.1743119270000003E-3</v>
      </c>
      <c r="O377" s="170">
        <v>0</v>
      </c>
      <c r="P377" s="170">
        <v>0</v>
      </c>
      <c r="Q377" s="170">
        <v>0</v>
      </c>
      <c r="R377" s="170">
        <v>6.0943643509999999E-2</v>
      </c>
      <c r="S377" s="170">
        <v>0.4664764622</v>
      </c>
      <c r="T377" s="170">
        <v>0.50713266759999998</v>
      </c>
      <c r="U377" s="170">
        <v>0</v>
      </c>
      <c r="V377" s="170">
        <v>0</v>
      </c>
      <c r="W377" s="170">
        <v>6.4194008559999996E-3</v>
      </c>
      <c r="X377" s="170">
        <v>0</v>
      </c>
      <c r="Y377" s="170">
        <v>1.9971469330000002E-2</v>
      </c>
      <c r="Z377" s="170">
        <v>0.44008559200000003</v>
      </c>
      <c r="AA377" s="170">
        <v>0.51854493580000005</v>
      </c>
      <c r="AB377" s="170">
        <v>0</v>
      </c>
      <c r="AC377" s="170">
        <v>0</v>
      </c>
      <c r="AD377" s="170">
        <v>9.2724679030000007E-3</v>
      </c>
      <c r="AE377" s="170">
        <v>0</v>
      </c>
      <c r="AF377" s="170">
        <v>3.2097004280000001E-2</v>
      </c>
      <c r="AG377" s="170">
        <v>0.31061806660000002</v>
      </c>
      <c r="AH377" s="170">
        <v>0</v>
      </c>
      <c r="AI377" s="170">
        <v>0</v>
      </c>
      <c r="AJ377" s="170">
        <v>2.535657686E-2</v>
      </c>
      <c r="AK377" s="170">
        <v>0.31061806660000002</v>
      </c>
      <c r="AL377" s="170">
        <v>0.24643423140000001</v>
      </c>
      <c r="AM377" s="170">
        <v>0.1069730586</v>
      </c>
      <c r="AN377" s="170">
        <v>0.32408874799999998</v>
      </c>
      <c r="AO377" s="170">
        <v>0</v>
      </c>
      <c r="AP377" s="170">
        <v>0</v>
      </c>
      <c r="AQ377" s="170">
        <v>8.7163232960000003E-3</v>
      </c>
      <c r="AR377" s="170">
        <v>0.34231378759999997</v>
      </c>
      <c r="AS377" s="170">
        <v>0.2599049128</v>
      </c>
      <c r="AT377" s="170">
        <v>6.497622821E-2</v>
      </c>
    </row>
    <row r="378" spans="1:46" ht="12.75">
      <c r="A378" s="65" t="s">
        <v>7</v>
      </c>
      <c r="B378" s="65" t="s">
        <v>7</v>
      </c>
      <c r="C378" s="65" t="s">
        <v>776</v>
      </c>
      <c r="D378" s="65" t="s">
        <v>777</v>
      </c>
      <c r="E378" s="170">
        <v>0.30570652170000001</v>
      </c>
      <c r="F378" s="170">
        <v>0.38858695650000002</v>
      </c>
      <c r="G378" s="170">
        <v>4.2119565220000002E-2</v>
      </c>
      <c r="H378" s="170">
        <v>6.7934782609999998E-3</v>
      </c>
      <c r="I378" s="170">
        <v>0</v>
      </c>
      <c r="J378" s="170">
        <v>0</v>
      </c>
      <c r="K378" s="170">
        <v>0.25679347829999999</v>
      </c>
      <c r="L378" s="170">
        <v>0.42255434780000001</v>
      </c>
      <c r="M378" s="170">
        <v>0.47010869570000002</v>
      </c>
      <c r="N378" s="170">
        <v>3.6684782610000001E-2</v>
      </c>
      <c r="O378" s="170">
        <v>0</v>
      </c>
      <c r="P378" s="170">
        <v>0</v>
      </c>
      <c r="Q378" s="170">
        <v>0</v>
      </c>
      <c r="R378" s="170">
        <v>7.0652173910000005E-2</v>
      </c>
      <c r="S378" s="170">
        <v>0.46745562130000001</v>
      </c>
      <c r="T378" s="170">
        <v>0.47041420119999999</v>
      </c>
      <c r="U378" s="170">
        <v>0</v>
      </c>
      <c r="V378" s="170">
        <v>0</v>
      </c>
      <c r="W378" s="170">
        <v>7.396449704E-3</v>
      </c>
      <c r="X378" s="170">
        <v>0</v>
      </c>
      <c r="Y378" s="170">
        <v>5.473372781E-2</v>
      </c>
      <c r="Z378" s="170">
        <v>0.44970414199999997</v>
      </c>
      <c r="AA378" s="170">
        <v>0.4852071006</v>
      </c>
      <c r="AB378" s="170">
        <v>0</v>
      </c>
      <c r="AC378" s="170">
        <v>0</v>
      </c>
      <c r="AD378" s="170">
        <v>1.4792899409999999E-2</v>
      </c>
      <c r="AE378" s="170">
        <v>0</v>
      </c>
      <c r="AF378" s="170">
        <v>5.0295857989999998E-2</v>
      </c>
      <c r="AG378" s="170">
        <v>0.34645669289999997</v>
      </c>
      <c r="AH378" s="170">
        <v>0</v>
      </c>
      <c r="AI378" s="170">
        <v>0</v>
      </c>
      <c r="AJ378" s="170">
        <v>4.5669291340000001E-2</v>
      </c>
      <c r="AK378" s="170">
        <v>0.1637795276</v>
      </c>
      <c r="AL378" s="170">
        <v>0.37795275589999999</v>
      </c>
      <c r="AM378" s="170">
        <v>6.6141732280000004E-2</v>
      </c>
      <c r="AN378" s="170">
        <v>0.38740157479999998</v>
      </c>
      <c r="AO378" s="170">
        <v>0</v>
      </c>
      <c r="AP378" s="170">
        <v>0</v>
      </c>
      <c r="AQ378" s="170">
        <v>3.1496062990000002E-3</v>
      </c>
      <c r="AR378" s="170">
        <v>0.15748031500000001</v>
      </c>
      <c r="AS378" s="170">
        <v>0.37952755910000002</v>
      </c>
      <c r="AT378" s="170">
        <v>7.2440944879999997E-2</v>
      </c>
    </row>
    <row r="379" spans="1:46" ht="12.75">
      <c r="A379" s="65" t="s">
        <v>7</v>
      </c>
      <c r="B379" s="65" t="s">
        <v>7</v>
      </c>
      <c r="C379" s="65" t="s">
        <v>776</v>
      </c>
      <c r="D379" s="65" t="s">
        <v>776</v>
      </c>
      <c r="E379" s="170">
        <v>0.56326889280000003</v>
      </c>
      <c r="F379" s="170">
        <v>0.4630931459</v>
      </c>
      <c r="G379" s="170">
        <v>5.3602811950000002E-2</v>
      </c>
      <c r="H379" s="170">
        <v>3.5149384889999998E-3</v>
      </c>
      <c r="I379" s="170">
        <v>0</v>
      </c>
      <c r="J379" s="170">
        <v>0</v>
      </c>
      <c r="K379" s="170">
        <v>8.3479789099999993E-2</v>
      </c>
      <c r="L379" s="170">
        <v>0.39191564150000002</v>
      </c>
      <c r="M379" s="170">
        <v>0.51318101930000004</v>
      </c>
      <c r="N379" s="170">
        <v>4.7451669600000003E-2</v>
      </c>
      <c r="O379" s="170">
        <v>0</v>
      </c>
      <c r="P379" s="170">
        <v>0</v>
      </c>
      <c r="Q379" s="170">
        <v>0</v>
      </c>
      <c r="R379" s="170">
        <v>4.7451669600000003E-2</v>
      </c>
      <c r="S379" s="170">
        <v>0.38204393510000001</v>
      </c>
      <c r="T379" s="170">
        <v>0.57497612229999995</v>
      </c>
      <c r="U379" s="170">
        <v>0</v>
      </c>
      <c r="V379" s="170">
        <v>0</v>
      </c>
      <c r="W379" s="170">
        <v>6.6857688630000004E-3</v>
      </c>
      <c r="X379" s="170">
        <v>0</v>
      </c>
      <c r="Y379" s="170">
        <v>3.6294173829999998E-2</v>
      </c>
      <c r="Z379" s="170">
        <v>0.36294173829999998</v>
      </c>
      <c r="AA379" s="170">
        <v>0.57306590260000001</v>
      </c>
      <c r="AB379" s="170">
        <v>0</v>
      </c>
      <c r="AC379" s="170">
        <v>0</v>
      </c>
      <c r="AD379" s="170">
        <v>7.6408787009999996E-3</v>
      </c>
      <c r="AE379" s="170">
        <v>0</v>
      </c>
      <c r="AF379" s="170">
        <v>5.6351480420000002E-2</v>
      </c>
      <c r="AG379" s="170">
        <v>0.2423580786</v>
      </c>
      <c r="AH379" s="170">
        <v>0</v>
      </c>
      <c r="AI379" s="170">
        <v>0</v>
      </c>
      <c r="AJ379" s="170">
        <v>1.091703057E-2</v>
      </c>
      <c r="AK379" s="170">
        <v>0.22489082969999999</v>
      </c>
      <c r="AL379" s="170">
        <v>0.46069869000000002</v>
      </c>
      <c r="AM379" s="170">
        <v>6.1135371180000002E-2</v>
      </c>
      <c r="AN379" s="170">
        <v>0.2347161572</v>
      </c>
      <c r="AO379" s="170">
        <v>0</v>
      </c>
      <c r="AP379" s="170">
        <v>0</v>
      </c>
      <c r="AQ379" s="170">
        <v>7.641921397E-3</v>
      </c>
      <c r="AR379" s="170">
        <v>0.2292576419</v>
      </c>
      <c r="AS379" s="170">
        <v>0.47816593889999998</v>
      </c>
      <c r="AT379" s="170">
        <v>5.0218340610000002E-2</v>
      </c>
    </row>
    <row r="380" spans="1:46" ht="12.75">
      <c r="A380" s="65" t="s">
        <v>7</v>
      </c>
      <c r="B380" s="65" t="s">
        <v>7</v>
      </c>
      <c r="C380" s="65" t="s">
        <v>778</v>
      </c>
      <c r="D380" s="65" t="s">
        <v>778</v>
      </c>
      <c r="E380" s="170">
        <v>0.33587592170000002</v>
      </c>
      <c r="F380" s="170">
        <v>0.38749046529999998</v>
      </c>
      <c r="G380" s="170">
        <v>0.16831934909999999</v>
      </c>
      <c r="H380" s="170">
        <v>9.6618357489999997E-3</v>
      </c>
      <c r="I380" s="170">
        <v>0</v>
      </c>
      <c r="J380" s="170">
        <v>0</v>
      </c>
      <c r="K380" s="170">
        <v>9.8652428170000001E-2</v>
      </c>
      <c r="L380" s="170">
        <v>0.24720244150000001</v>
      </c>
      <c r="M380" s="170">
        <v>0.54501525939999995</v>
      </c>
      <c r="N380" s="170">
        <v>0.1108850458</v>
      </c>
      <c r="O380" s="170">
        <v>0</v>
      </c>
      <c r="P380" s="170">
        <v>0</v>
      </c>
      <c r="Q380" s="170">
        <v>0</v>
      </c>
      <c r="R380" s="170">
        <v>9.6897253310000001E-2</v>
      </c>
      <c r="S380" s="170">
        <v>0.33611543360000001</v>
      </c>
      <c r="T380" s="170">
        <v>0.62116282359999997</v>
      </c>
      <c r="U380" s="170">
        <v>0</v>
      </c>
      <c r="V380" s="170">
        <v>0</v>
      </c>
      <c r="W380" s="170">
        <v>7.7804498509999997E-3</v>
      </c>
      <c r="X380" s="170">
        <v>0</v>
      </c>
      <c r="Y380" s="170">
        <v>3.4941292970000003E-2</v>
      </c>
      <c r="Z380" s="170">
        <v>0.26612903230000001</v>
      </c>
      <c r="AA380" s="170">
        <v>0.68350311259999996</v>
      </c>
      <c r="AB380" s="170">
        <v>0</v>
      </c>
      <c r="AC380" s="170">
        <v>0</v>
      </c>
      <c r="AD380" s="170">
        <v>8.6304470849999995E-3</v>
      </c>
      <c r="AE380" s="170">
        <v>0</v>
      </c>
      <c r="AF380" s="170">
        <v>4.173740804E-2</v>
      </c>
      <c r="AG380" s="170">
        <v>0.1605791379</v>
      </c>
      <c r="AH380" s="170">
        <v>0</v>
      </c>
      <c r="AI380" s="170">
        <v>0</v>
      </c>
      <c r="AJ380" s="170">
        <v>1.151694636E-2</v>
      </c>
      <c r="AK380" s="170">
        <v>0.26768673910000002</v>
      </c>
      <c r="AL380" s="170">
        <v>0.49193813749999998</v>
      </c>
      <c r="AM380" s="170">
        <v>6.8279039159999999E-2</v>
      </c>
      <c r="AN380" s="170">
        <v>0.1645548791</v>
      </c>
      <c r="AO380" s="170">
        <v>0</v>
      </c>
      <c r="AP380" s="170">
        <v>0</v>
      </c>
      <c r="AQ380" s="170">
        <v>8.8859634690000005E-3</v>
      </c>
      <c r="AR380" s="170">
        <v>0.26773078820000001</v>
      </c>
      <c r="AS380" s="170">
        <v>0.50468981410000002</v>
      </c>
      <c r="AT380" s="170">
        <v>5.4138555210000001E-2</v>
      </c>
    </row>
    <row r="381" spans="1:46" ht="12.75">
      <c r="A381" s="65" t="s">
        <v>7</v>
      </c>
      <c r="B381" s="65" t="s">
        <v>7</v>
      </c>
      <c r="C381" s="65" t="s">
        <v>134</v>
      </c>
      <c r="D381" s="65" t="s">
        <v>134</v>
      </c>
      <c r="E381" s="170">
        <v>0.35450027610000001</v>
      </c>
      <c r="F381" s="170">
        <v>0.19878520150000001</v>
      </c>
      <c r="G381" s="170">
        <v>3.3683048040000003E-2</v>
      </c>
      <c r="H381" s="170">
        <v>2.760905577E-3</v>
      </c>
      <c r="I381" s="170">
        <v>0</v>
      </c>
      <c r="J381" s="170">
        <v>0</v>
      </c>
      <c r="K381" s="170">
        <v>0.4102705687</v>
      </c>
      <c r="L381" s="170">
        <v>0.30701270019999999</v>
      </c>
      <c r="M381" s="170">
        <v>0.59856432910000001</v>
      </c>
      <c r="N381" s="170">
        <v>3.1474323579999998E-2</v>
      </c>
      <c r="O381" s="170">
        <v>0</v>
      </c>
      <c r="P381" s="170">
        <v>0</v>
      </c>
      <c r="Q381" s="170">
        <v>0</v>
      </c>
      <c r="R381" s="170">
        <v>6.2948647159999996E-2</v>
      </c>
      <c r="S381" s="170">
        <v>0.35951134379999999</v>
      </c>
      <c r="T381" s="170">
        <v>0.58929610239999997</v>
      </c>
      <c r="U381" s="170">
        <v>0</v>
      </c>
      <c r="V381" s="170">
        <v>0</v>
      </c>
      <c r="W381" s="170">
        <v>6.9808027919999998E-3</v>
      </c>
      <c r="X381" s="170">
        <v>0</v>
      </c>
      <c r="Y381" s="170">
        <v>4.4211751020000002E-2</v>
      </c>
      <c r="Z381" s="170">
        <v>0.33333333329999998</v>
      </c>
      <c r="AA381" s="170">
        <v>0.60151250730000005</v>
      </c>
      <c r="AB381" s="170">
        <v>0</v>
      </c>
      <c r="AC381" s="170">
        <v>0</v>
      </c>
      <c r="AD381" s="170">
        <v>9.8894706219999993E-3</v>
      </c>
      <c r="AE381" s="170">
        <v>0</v>
      </c>
      <c r="AF381" s="170">
        <v>5.5264688770000001E-2</v>
      </c>
      <c r="AG381" s="170">
        <v>0.3530979347</v>
      </c>
      <c r="AH381" s="170">
        <v>0</v>
      </c>
      <c r="AI381" s="170">
        <v>0</v>
      </c>
      <c r="AJ381" s="170">
        <v>2.6648900730000001E-2</v>
      </c>
      <c r="AK381" s="170">
        <v>0.36975349769999999</v>
      </c>
      <c r="AL381" s="170">
        <v>0.17921385740000001</v>
      </c>
      <c r="AM381" s="170">
        <v>7.1285809460000002E-2</v>
      </c>
      <c r="AN381" s="170">
        <v>0.35642904730000002</v>
      </c>
      <c r="AO381" s="170">
        <v>0</v>
      </c>
      <c r="AP381" s="170">
        <v>0</v>
      </c>
      <c r="AQ381" s="170">
        <v>1.265822785E-2</v>
      </c>
      <c r="AR381" s="170">
        <v>0.37641572290000003</v>
      </c>
      <c r="AS381" s="170">
        <v>0.20719520320000001</v>
      </c>
      <c r="AT381" s="170">
        <v>4.7301798800000003E-2</v>
      </c>
    </row>
    <row r="382" spans="1:46" ht="12.75">
      <c r="A382" s="65" t="s">
        <v>7</v>
      </c>
      <c r="B382" s="65" t="s">
        <v>7</v>
      </c>
      <c r="C382" s="65" t="s">
        <v>779</v>
      </c>
      <c r="D382" s="65" t="s">
        <v>779</v>
      </c>
      <c r="E382" s="170">
        <v>0.31452658880000001</v>
      </c>
      <c r="F382" s="170">
        <v>0.39213143099999997</v>
      </c>
      <c r="G382" s="170">
        <v>3.9559014269999998E-2</v>
      </c>
      <c r="H382" s="170">
        <v>7.5659316900000004E-3</v>
      </c>
      <c r="I382" s="170">
        <v>0</v>
      </c>
      <c r="J382" s="170">
        <v>0</v>
      </c>
      <c r="K382" s="170">
        <v>0.24621703419999999</v>
      </c>
      <c r="L382" s="170">
        <v>0.29074794640000001</v>
      </c>
      <c r="M382" s="170">
        <v>0.61024643320000005</v>
      </c>
      <c r="N382" s="170">
        <v>3.7181150019999998E-2</v>
      </c>
      <c r="O382" s="170">
        <v>0</v>
      </c>
      <c r="P382" s="170">
        <v>0</v>
      </c>
      <c r="Q382" s="170">
        <v>0</v>
      </c>
      <c r="R382" s="170">
        <v>6.1824470380000003E-2</v>
      </c>
      <c r="S382" s="170">
        <v>0.41709361900000003</v>
      </c>
      <c r="T382" s="170">
        <v>0.52491849089999998</v>
      </c>
      <c r="U382" s="170">
        <v>0</v>
      </c>
      <c r="V382" s="170">
        <v>0</v>
      </c>
      <c r="W382" s="170">
        <v>5.5891942240000004E-3</v>
      </c>
      <c r="X382" s="170">
        <v>0</v>
      </c>
      <c r="Y382" s="170">
        <v>5.2398695850000003E-2</v>
      </c>
      <c r="Z382" s="170">
        <v>0.39986027010000003</v>
      </c>
      <c r="AA382" s="170">
        <v>0.53516534699999996</v>
      </c>
      <c r="AB382" s="170">
        <v>0</v>
      </c>
      <c r="AC382" s="170">
        <v>0</v>
      </c>
      <c r="AD382" s="170">
        <v>7.4522589660000003E-3</v>
      </c>
      <c r="AE382" s="170">
        <v>0</v>
      </c>
      <c r="AF382" s="170">
        <v>5.7522123889999999E-2</v>
      </c>
      <c r="AG382" s="170">
        <v>0.2453024453</v>
      </c>
      <c r="AH382" s="170">
        <v>0</v>
      </c>
      <c r="AI382" s="170">
        <v>0</v>
      </c>
      <c r="AJ382" s="170">
        <v>2.0849420850000001E-2</v>
      </c>
      <c r="AK382" s="170">
        <v>0.427027027</v>
      </c>
      <c r="AL382" s="170">
        <v>0.22728442730000001</v>
      </c>
      <c r="AM382" s="170">
        <v>7.9536679540000002E-2</v>
      </c>
      <c r="AN382" s="170">
        <v>0.24427284430000001</v>
      </c>
      <c r="AO382" s="170">
        <v>0</v>
      </c>
      <c r="AP382" s="170">
        <v>0</v>
      </c>
      <c r="AQ382" s="170">
        <v>1.158301158E-2</v>
      </c>
      <c r="AR382" s="170">
        <v>0.45328185329999998</v>
      </c>
      <c r="AS382" s="170">
        <v>0.23500643500000001</v>
      </c>
      <c r="AT382" s="170">
        <v>5.5855855859999998E-2</v>
      </c>
    </row>
    <row r="383" spans="1:46" ht="12.75">
      <c r="A383" s="65" t="s">
        <v>7</v>
      </c>
      <c r="B383" s="65" t="s">
        <v>7</v>
      </c>
      <c r="C383" s="65" t="s">
        <v>781</v>
      </c>
      <c r="D383" s="65" t="s">
        <v>781</v>
      </c>
      <c r="E383" s="170">
        <v>0.2987697715</v>
      </c>
      <c r="F383" s="170">
        <v>0.23725834800000001</v>
      </c>
      <c r="G383" s="170">
        <v>2.1089630929999999E-2</v>
      </c>
      <c r="H383" s="170">
        <v>4.10076157E-3</v>
      </c>
      <c r="I383" s="170">
        <v>0</v>
      </c>
      <c r="J383" s="170">
        <v>0</v>
      </c>
      <c r="K383" s="170">
        <v>0.438781488</v>
      </c>
      <c r="L383" s="170">
        <v>0.46631517280000001</v>
      </c>
      <c r="M383" s="170">
        <v>0.47305213829999998</v>
      </c>
      <c r="N383" s="170">
        <v>1.816051552E-2</v>
      </c>
      <c r="O383" s="170">
        <v>0</v>
      </c>
      <c r="P383" s="170">
        <v>0</v>
      </c>
      <c r="Q383" s="170">
        <v>0</v>
      </c>
      <c r="R383" s="170">
        <v>4.24721734E-2</v>
      </c>
      <c r="S383" s="170">
        <v>0.50890501320000003</v>
      </c>
      <c r="T383" s="170">
        <v>0.45316622690000002</v>
      </c>
      <c r="U383" s="170">
        <v>0</v>
      </c>
      <c r="V383" s="170">
        <v>0</v>
      </c>
      <c r="W383" s="170">
        <v>4.2875989450000002E-3</v>
      </c>
      <c r="X383" s="170">
        <v>0</v>
      </c>
      <c r="Y383" s="170">
        <v>3.3641160949999999E-2</v>
      </c>
      <c r="Z383" s="170">
        <v>0.48317941949999998</v>
      </c>
      <c r="AA383" s="170">
        <v>0.46998680739999998</v>
      </c>
      <c r="AB383" s="170">
        <v>0</v>
      </c>
      <c r="AC383" s="170">
        <v>0</v>
      </c>
      <c r="AD383" s="170">
        <v>6.9261213719999997E-3</v>
      </c>
      <c r="AE383" s="170">
        <v>0</v>
      </c>
      <c r="AF383" s="170">
        <v>3.9907651719999999E-2</v>
      </c>
      <c r="AG383" s="170">
        <v>0.45109104589999999</v>
      </c>
      <c r="AH383" s="170">
        <v>0</v>
      </c>
      <c r="AI383" s="170">
        <v>0</v>
      </c>
      <c r="AJ383" s="170">
        <v>1.4672686230000001E-2</v>
      </c>
      <c r="AK383" s="170">
        <v>0.32016553800000003</v>
      </c>
      <c r="AL383" s="170">
        <v>0.164785553</v>
      </c>
      <c r="AM383" s="170">
        <v>4.9285176819999998E-2</v>
      </c>
      <c r="AN383" s="170">
        <v>0.46275395029999999</v>
      </c>
      <c r="AO383" s="170">
        <v>0</v>
      </c>
      <c r="AP383" s="170">
        <v>0</v>
      </c>
      <c r="AQ383" s="170">
        <v>6.7720090290000002E-3</v>
      </c>
      <c r="AR383" s="170">
        <v>0.33446200149999999</v>
      </c>
      <c r="AS383" s="170">
        <v>0.16215199399999999</v>
      </c>
      <c r="AT383" s="170">
        <v>3.3860045149999997E-2</v>
      </c>
    </row>
    <row r="384" spans="1:46" ht="12.75">
      <c r="A384" s="65" t="s">
        <v>7</v>
      </c>
      <c r="B384" s="65" t="s">
        <v>7</v>
      </c>
      <c r="C384" s="65" t="s">
        <v>425</v>
      </c>
      <c r="D384" s="65" t="s">
        <v>425</v>
      </c>
      <c r="E384" s="170">
        <v>0.30312035659999997</v>
      </c>
      <c r="F384" s="170">
        <v>0.35215453190000001</v>
      </c>
      <c r="G384" s="170">
        <v>6.9093610700000002E-2</v>
      </c>
      <c r="H384" s="170">
        <v>7.4294205050000001E-3</v>
      </c>
      <c r="I384" s="170">
        <v>0</v>
      </c>
      <c r="J384" s="170">
        <v>0</v>
      </c>
      <c r="K384" s="170">
        <v>0.26820208020000003</v>
      </c>
      <c r="L384" s="170">
        <v>0.41158989600000001</v>
      </c>
      <c r="M384" s="170">
        <v>0.47473997029999998</v>
      </c>
      <c r="N384" s="170">
        <v>6.3150074289999997E-2</v>
      </c>
      <c r="O384" s="170">
        <v>0</v>
      </c>
      <c r="P384" s="170">
        <v>0</v>
      </c>
      <c r="Q384" s="170">
        <v>0</v>
      </c>
      <c r="R384" s="170">
        <v>5.0520059440000001E-2</v>
      </c>
      <c r="S384" s="170">
        <v>0.4115354638</v>
      </c>
      <c r="T384" s="170">
        <v>0.55416991429999995</v>
      </c>
      <c r="U384" s="170">
        <v>0</v>
      </c>
      <c r="V384" s="170">
        <v>0</v>
      </c>
      <c r="W384" s="170">
        <v>3.8971161339999998E-3</v>
      </c>
      <c r="X384" s="170">
        <v>0</v>
      </c>
      <c r="Y384" s="170">
        <v>3.0397505849999999E-2</v>
      </c>
      <c r="Z384" s="170">
        <v>0.37412314889999998</v>
      </c>
      <c r="AA384" s="170">
        <v>0.57131722529999995</v>
      </c>
      <c r="AB384" s="170">
        <v>0</v>
      </c>
      <c r="AC384" s="170">
        <v>0</v>
      </c>
      <c r="AD384" s="170">
        <v>1.1691348400000001E-2</v>
      </c>
      <c r="AE384" s="170">
        <v>0</v>
      </c>
      <c r="AF384" s="170">
        <v>4.286827747E-2</v>
      </c>
      <c r="AG384" s="170">
        <v>0.2552607502</v>
      </c>
      <c r="AH384" s="170">
        <v>0</v>
      </c>
      <c r="AI384" s="170">
        <v>0</v>
      </c>
      <c r="AJ384" s="170">
        <v>1.372369625E-2</v>
      </c>
      <c r="AK384" s="170">
        <v>0.41445562670000002</v>
      </c>
      <c r="AL384" s="170">
        <v>0.2479414456</v>
      </c>
      <c r="AM384" s="170">
        <v>6.8618481240000001E-2</v>
      </c>
      <c r="AN384" s="170">
        <v>0.26440988110000002</v>
      </c>
      <c r="AO384" s="170">
        <v>0</v>
      </c>
      <c r="AP384" s="170">
        <v>0</v>
      </c>
      <c r="AQ384" s="170">
        <v>2.7447392499999998E-3</v>
      </c>
      <c r="AR384" s="170">
        <v>0.43183897529999998</v>
      </c>
      <c r="AS384" s="170">
        <v>0.25800548950000002</v>
      </c>
      <c r="AT384" s="170">
        <v>4.300091491E-2</v>
      </c>
    </row>
    <row r="385" spans="1:46" ht="12.75">
      <c r="A385" s="65" t="s">
        <v>7</v>
      </c>
      <c r="B385" s="65" t="s">
        <v>7</v>
      </c>
      <c r="C385" s="65" t="s">
        <v>579</v>
      </c>
      <c r="D385" s="65" t="s">
        <v>579</v>
      </c>
      <c r="E385" s="170">
        <v>0.35652173910000001</v>
      </c>
      <c r="F385" s="170">
        <v>0.29565217389999998</v>
      </c>
      <c r="G385" s="170">
        <v>6.5217391299999998E-3</v>
      </c>
      <c r="H385" s="170">
        <v>2.1739130429999998E-3</v>
      </c>
      <c r="I385" s="170">
        <v>0</v>
      </c>
      <c r="J385" s="170">
        <v>0</v>
      </c>
      <c r="K385" s="170">
        <v>0.33913043479999999</v>
      </c>
      <c r="L385" s="170">
        <v>0.57318840579999997</v>
      </c>
      <c r="M385" s="170">
        <v>0.32463768119999997</v>
      </c>
      <c r="N385" s="170">
        <v>1.086956522E-2</v>
      </c>
      <c r="O385" s="170">
        <v>0</v>
      </c>
      <c r="P385" s="170">
        <v>0</v>
      </c>
      <c r="Q385" s="170">
        <v>0</v>
      </c>
      <c r="R385" s="170">
        <v>9.1304347829999993E-2</v>
      </c>
      <c r="S385" s="170">
        <v>0.66191607279999998</v>
      </c>
      <c r="T385" s="170">
        <v>0.27949327000000002</v>
      </c>
      <c r="U385" s="170">
        <v>0</v>
      </c>
      <c r="V385" s="170">
        <v>0</v>
      </c>
      <c r="W385" s="170">
        <v>5.5423594620000001E-3</v>
      </c>
      <c r="X385" s="170">
        <v>0</v>
      </c>
      <c r="Y385" s="170">
        <v>5.3048297699999997E-2</v>
      </c>
      <c r="Z385" s="170">
        <v>0.63341250989999998</v>
      </c>
      <c r="AA385" s="170">
        <v>0.29136975459999997</v>
      </c>
      <c r="AB385" s="170">
        <v>0</v>
      </c>
      <c r="AC385" s="170">
        <v>0</v>
      </c>
      <c r="AD385" s="170">
        <v>1.504354711E-2</v>
      </c>
      <c r="AE385" s="170">
        <v>0</v>
      </c>
      <c r="AF385" s="170">
        <v>6.0174188439999998E-2</v>
      </c>
      <c r="AG385" s="170">
        <v>0.55276816610000001</v>
      </c>
      <c r="AH385" s="170">
        <v>0</v>
      </c>
      <c r="AI385" s="170">
        <v>0</v>
      </c>
      <c r="AJ385" s="170">
        <v>3.4602076119999998E-2</v>
      </c>
      <c r="AK385" s="170">
        <v>0.21366782009999999</v>
      </c>
      <c r="AL385" s="170">
        <v>0.10380622840000001</v>
      </c>
      <c r="AM385" s="170">
        <v>9.5155709340000005E-2</v>
      </c>
      <c r="AN385" s="170">
        <v>0.60121107269999996</v>
      </c>
      <c r="AO385" s="170">
        <v>0</v>
      </c>
      <c r="AP385" s="170">
        <v>0</v>
      </c>
      <c r="AQ385" s="170">
        <v>7.7854671280000003E-3</v>
      </c>
      <c r="AR385" s="170">
        <v>0.2326989619</v>
      </c>
      <c r="AS385" s="170">
        <v>0.1133217993</v>
      </c>
      <c r="AT385" s="170">
        <v>4.4982698959999998E-2</v>
      </c>
    </row>
  </sheetData>
  <mergeCells count="6">
    <mergeCell ref="AN1:AT1"/>
    <mergeCell ref="E1:K1"/>
    <mergeCell ref="L1:R1"/>
    <mergeCell ref="S1:Y1"/>
    <mergeCell ref="Z1:AF1"/>
    <mergeCell ref="AG1:AM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I1000"/>
  <sheetViews>
    <sheetView workbookViewId="0"/>
  </sheetViews>
  <sheetFormatPr defaultColWidth="12.59765625" defaultRowHeight="15.75" customHeight="1"/>
  <cols>
    <col min="19" max="19" width="37.86328125" customWidth="1"/>
  </cols>
  <sheetData>
    <row r="1" spans="1:35">
      <c r="A1" s="55" t="s">
        <v>55</v>
      </c>
      <c r="B1" s="55" t="s">
        <v>9716</v>
      </c>
      <c r="C1" s="55" t="s">
        <v>9717</v>
      </c>
      <c r="D1" s="55" t="s">
        <v>9718</v>
      </c>
      <c r="E1" s="55" t="s">
        <v>57</v>
      </c>
      <c r="F1" s="55" t="s">
        <v>21</v>
      </c>
      <c r="G1" s="55" t="s">
        <v>9719</v>
      </c>
      <c r="H1" s="55" t="s">
        <v>9720</v>
      </c>
      <c r="I1" s="55" t="s">
        <v>9721</v>
      </c>
      <c r="J1" s="55" t="s">
        <v>9722</v>
      </c>
      <c r="K1" s="55" t="s">
        <v>9723</v>
      </c>
      <c r="L1" s="55" t="s">
        <v>9724</v>
      </c>
      <c r="M1" s="55" t="s">
        <v>9723</v>
      </c>
      <c r="N1" s="55" t="s">
        <v>0</v>
      </c>
      <c r="O1" s="55" t="s">
        <v>1</v>
      </c>
      <c r="P1" s="55" t="s">
        <v>2</v>
      </c>
      <c r="Q1" s="55" t="s">
        <v>66</v>
      </c>
      <c r="R1" s="55" t="s">
        <v>9725</v>
      </c>
      <c r="S1" s="55" t="s">
        <v>1586</v>
      </c>
      <c r="T1" s="55"/>
      <c r="U1" s="55"/>
      <c r="V1" s="55"/>
      <c r="W1" s="55"/>
      <c r="X1" s="55"/>
      <c r="Y1" s="55"/>
      <c r="Z1" s="55"/>
      <c r="AA1" s="55"/>
      <c r="AB1" s="55"/>
      <c r="AC1" s="55"/>
      <c r="AD1" s="55"/>
      <c r="AE1" s="55"/>
      <c r="AF1" s="55"/>
      <c r="AG1" s="55"/>
      <c r="AH1" s="55"/>
      <c r="AI1" s="55"/>
    </row>
    <row r="2" spans="1:35">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row>
    <row r="3" spans="1:3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row>
    <row r="4" spans="1:3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row>
    <row r="5" spans="1:3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35">
      <c r="A6" s="55"/>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row>
    <row r="7" spans="1:35">
      <c r="A7" s="55"/>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row>
    <row r="8" spans="1:35">
      <c r="A8" s="5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row>
    <row r="9" spans="1:35">
      <c r="A9" s="55"/>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row>
    <row r="10" spans="1:35">
      <c r="A10" s="55"/>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row>
    <row r="11" spans="1:35">
      <c r="A11" s="5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row>
    <row r="12" spans="1:35">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row>
    <row r="13" spans="1:35">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row>
    <row r="14" spans="1:35">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row>
    <row r="15" spans="1:35">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row>
    <row r="16" spans="1:35">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row>
    <row r="17" spans="1:35">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row>
    <row r="18" spans="1:3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row>
    <row r="19" spans="1:3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row>
    <row r="20" spans="1:3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row>
    <row r="21" spans="1:3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row>
    <row r="22" spans="1:3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row>
    <row r="23" spans="1:3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row>
    <row r="24" spans="1:3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row>
    <row r="25" spans="1:3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row>
    <row r="26" spans="1:3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row>
    <row r="27" spans="1:3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row>
    <row r="28" spans="1:3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row>
    <row r="29" spans="1:3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row>
    <row r="30" spans="1:3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row>
    <row r="31" spans="1:3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row>
    <row r="32" spans="1:3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row>
    <row r="33" spans="1:3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row>
    <row r="34" spans="1:3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row>
    <row r="35" spans="1: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row>
    <row r="36" spans="1:3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row>
    <row r="37" spans="1:3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row>
    <row r="38" spans="1:3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row>
    <row r="39" spans="1:3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row>
    <row r="40" spans="1:3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row>
    <row r="41" spans="1:3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row>
    <row r="42" spans="1:3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row>
    <row r="43" spans="1:3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row>
    <row r="44" spans="1:3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row>
    <row r="45" spans="1:3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row>
    <row r="46" spans="1:3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row>
    <row r="47" spans="1:3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row>
    <row r="48" spans="1:3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row>
    <row r="49" spans="1:3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row>
    <row r="50" spans="1:3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row>
    <row r="51" spans="1:3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row>
    <row r="52" spans="1:3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row>
    <row r="53" spans="1:3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row>
    <row r="54" spans="1:3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row>
    <row r="55" spans="1:3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row>
    <row r="56" spans="1:3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row>
    <row r="57" spans="1:3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row>
    <row r="58" spans="1:3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row>
    <row r="59" spans="1:3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row>
    <row r="60" spans="1:3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row>
    <row r="61" spans="1:3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row>
    <row r="62" spans="1:3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row>
    <row r="63" spans="1:3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row>
    <row r="64" spans="1:3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row>
    <row r="65" spans="1:3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row>
    <row r="66" spans="1:3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row>
    <row r="67" spans="1:3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row>
    <row r="68" spans="1:3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row>
    <row r="69" spans="1:3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row>
    <row r="70" spans="1:3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row>
    <row r="71" spans="1:3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row>
    <row r="72" spans="1:3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row>
    <row r="73" spans="1:3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row>
    <row r="74" spans="1:3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row>
    <row r="75" spans="1:3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row>
    <row r="76" spans="1:3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row>
    <row r="77" spans="1:3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row>
    <row r="78" spans="1:3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row>
    <row r="79" spans="1:3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row>
    <row r="80" spans="1:3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row>
    <row r="81" spans="1:3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row>
    <row r="82" spans="1:3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row>
    <row r="83" spans="1:3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row>
    <row r="84" spans="1:3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row>
    <row r="85" spans="1:3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row>
    <row r="86" spans="1:3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row>
    <row r="87" spans="1:3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row>
    <row r="88" spans="1:3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row>
    <row r="89" spans="1:3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row>
    <row r="90" spans="1:3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row>
    <row r="91" spans="1:3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row>
    <row r="92" spans="1:3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row>
    <row r="93" spans="1:3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row>
    <row r="94" spans="1:3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row>
    <row r="95" spans="1:3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row>
    <row r="96" spans="1:3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row>
    <row r="97" spans="1:3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row>
    <row r="98" spans="1:3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row>
    <row r="99" spans="1:3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row>
    <row r="100" spans="1:3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row>
    <row r="101" spans="1:3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row>
    <row r="102" spans="1:3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row>
    <row r="103" spans="1:3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row>
    <row r="104" spans="1:3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row>
    <row r="105" spans="1: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row>
    <row r="106" spans="1: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row>
    <row r="107" spans="1: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row>
    <row r="108" spans="1: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row>
    <row r="109" spans="1: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row>
    <row r="110" spans="1: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row>
    <row r="111" spans="1: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row>
    <row r="112" spans="1: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row>
    <row r="113" spans="1: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row>
    <row r="114" spans="1: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row>
    <row r="115" spans="1: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row>
    <row r="116" spans="1: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row>
    <row r="117" spans="1: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row>
    <row r="118" spans="1: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row>
    <row r="119" spans="1: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row>
    <row r="120" spans="1: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row>
    <row r="121" spans="1: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row>
    <row r="122" spans="1: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row>
    <row r="123" spans="1: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row>
    <row r="124" spans="1: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row>
    <row r="125" spans="1: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row>
    <row r="126" spans="1: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row>
    <row r="127" spans="1: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row>
    <row r="128" spans="1: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row>
    <row r="129" spans="1: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row>
    <row r="130" spans="1: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row>
    <row r="131" spans="1: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row>
    <row r="132" spans="1: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row>
    <row r="133" spans="1: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row>
    <row r="134" spans="1: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row>
    <row r="135" spans="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row>
    <row r="136" spans="1: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row>
    <row r="137" spans="1: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row>
    <row r="138" spans="1: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row>
    <row r="139" spans="1: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row>
    <row r="140" spans="1: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row>
    <row r="141" spans="1: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row>
    <row r="142" spans="1: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row>
    <row r="143" spans="1: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row>
    <row r="144" spans="1: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row>
    <row r="145" spans="1: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row>
    <row r="146" spans="1: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row>
    <row r="147" spans="1: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row>
    <row r="148" spans="1: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row>
    <row r="149" spans="1: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row>
    <row r="150" spans="1: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row>
    <row r="151" spans="1: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row>
    <row r="152" spans="1: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row>
    <row r="153" spans="1: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row>
    <row r="154" spans="1: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row>
    <row r="155" spans="1: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row>
    <row r="156" spans="1: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row>
    <row r="157" spans="1: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row>
    <row r="158" spans="1: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row>
    <row r="159" spans="1: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row>
    <row r="160" spans="1: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row>
    <row r="161" spans="1: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row>
    <row r="162" spans="1: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row>
    <row r="163" spans="1: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row>
    <row r="164" spans="1: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row>
    <row r="165" spans="1: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row>
    <row r="166" spans="1: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row>
    <row r="167" spans="1: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row>
    <row r="168" spans="1: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row>
    <row r="169" spans="1: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row>
    <row r="170" spans="1: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row>
    <row r="171" spans="1: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row>
    <row r="172" spans="1: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row>
    <row r="173" spans="1: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row>
    <row r="174" spans="1: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row>
    <row r="175" spans="1: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row>
    <row r="176" spans="1: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row>
    <row r="177" spans="1: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row>
    <row r="178" spans="1: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row>
    <row r="179" spans="1: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row>
    <row r="180" spans="1: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row>
    <row r="181" spans="1: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row>
    <row r="182" spans="1: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row>
    <row r="183" spans="1: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row>
    <row r="184" spans="1: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row>
    <row r="185" spans="1: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row>
    <row r="186" spans="1: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row>
    <row r="187" spans="1: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row>
    <row r="188" spans="1: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row>
    <row r="189" spans="1: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row>
    <row r="190" spans="1: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row>
    <row r="191" spans="1: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row>
    <row r="192" spans="1: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row>
    <row r="193" spans="1: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row>
    <row r="194" spans="1: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row>
    <row r="195" spans="1: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row>
    <row r="196" spans="1: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row>
    <row r="197" spans="1: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row>
    <row r="198" spans="1: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row>
    <row r="199" spans="1: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row>
    <row r="200" spans="1: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row>
    <row r="201" spans="1: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row>
    <row r="202" spans="1: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row>
    <row r="203" spans="1: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row>
    <row r="204" spans="1: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row>
    <row r="205" spans="1: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row>
    <row r="206" spans="1: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row>
    <row r="207" spans="1: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row>
    <row r="208" spans="1: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row>
    <row r="209" spans="1: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row>
    <row r="210" spans="1: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row>
    <row r="211" spans="1: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row>
    <row r="212" spans="1: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row>
    <row r="213" spans="1: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row>
    <row r="214" spans="1: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row>
    <row r="215" spans="1: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row>
    <row r="216" spans="1: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row>
    <row r="217" spans="1: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row>
    <row r="218" spans="1: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row>
    <row r="219" spans="1: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row>
    <row r="220" spans="1: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row>
    <row r="221" spans="1: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row>
    <row r="222" spans="1: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row>
    <row r="223" spans="1: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row>
    <row r="224" spans="1: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row>
    <row r="225" spans="1: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row>
    <row r="226" spans="1: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row>
    <row r="227" spans="1: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row>
    <row r="228" spans="1: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row>
    <row r="229" spans="1: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row>
    <row r="230" spans="1: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row>
    <row r="231" spans="1: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row>
    <row r="232" spans="1: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row>
    <row r="233" spans="1: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row>
    <row r="234" spans="1: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row>
    <row r="235" spans="1: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row>
    <row r="236" spans="1: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row>
    <row r="237" spans="1: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row>
    <row r="238" spans="1: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row>
    <row r="239" spans="1: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row>
    <row r="240" spans="1: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row>
    <row r="241" spans="1: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row>
    <row r="242" spans="1: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row>
    <row r="243" spans="1: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row>
    <row r="244" spans="1: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row>
    <row r="245" spans="1: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row>
    <row r="246" spans="1: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row>
    <row r="247" spans="1: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row>
    <row r="248" spans="1: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row>
    <row r="249" spans="1: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row>
    <row r="250" spans="1: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row>
    <row r="251" spans="1: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row>
    <row r="252" spans="1: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row>
    <row r="253" spans="1: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row>
    <row r="254" spans="1: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row>
    <row r="255" spans="1: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row>
    <row r="256" spans="1: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row>
    <row r="257" spans="1: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row>
    <row r="258" spans="1: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row>
    <row r="259" spans="1: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row>
    <row r="260" spans="1: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row>
    <row r="261" spans="1: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row>
    <row r="262" spans="1: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row>
    <row r="263" spans="1: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row>
    <row r="264" spans="1: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row>
    <row r="265" spans="1: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row>
    <row r="266" spans="1: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row>
    <row r="267" spans="1: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row>
    <row r="268" spans="1: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row>
    <row r="269" spans="1: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row>
    <row r="270" spans="1: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row>
    <row r="271" spans="1: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row>
    <row r="272" spans="1: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row>
    <row r="273" spans="1: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row>
    <row r="274" spans="1: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row>
    <row r="275" spans="1: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row>
    <row r="276" spans="1: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row>
    <row r="277" spans="1: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row>
    <row r="278" spans="1: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row>
    <row r="279" spans="1: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row>
    <row r="280" spans="1: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row>
    <row r="281" spans="1: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row>
    <row r="282" spans="1: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row>
    <row r="283" spans="1: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row>
    <row r="284" spans="1: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row>
    <row r="285" spans="1: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row>
    <row r="286" spans="1: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row>
    <row r="287" spans="1: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row>
    <row r="288" spans="1: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row>
    <row r="289" spans="1: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row>
    <row r="290" spans="1: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row>
    <row r="291" spans="1: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row>
    <row r="292" spans="1: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row>
    <row r="293" spans="1: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row>
    <row r="294" spans="1: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row>
    <row r="295" spans="1: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row>
    <row r="296" spans="1: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row>
    <row r="297" spans="1: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row>
    <row r="298" spans="1: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row>
    <row r="299" spans="1: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row>
    <row r="300" spans="1: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row>
    <row r="301" spans="1: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row>
    <row r="302" spans="1: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row>
    <row r="303" spans="1: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row>
    <row r="304" spans="1: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row>
    <row r="305" spans="1: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row>
    <row r="306" spans="1: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row>
    <row r="307" spans="1: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row>
    <row r="308" spans="1: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row>
    <row r="309" spans="1: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row>
    <row r="310" spans="1: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row>
    <row r="311" spans="1: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row>
    <row r="312" spans="1: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row>
    <row r="313" spans="1: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row>
    <row r="314" spans="1: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row>
    <row r="315" spans="1: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row>
    <row r="316" spans="1: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row>
    <row r="317" spans="1: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row>
    <row r="318" spans="1: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row>
    <row r="319" spans="1: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row>
    <row r="320" spans="1: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row>
    <row r="321" spans="1: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row>
    <row r="322" spans="1: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row>
    <row r="323" spans="1: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row>
    <row r="324" spans="1: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row>
    <row r="325" spans="1: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row>
    <row r="326" spans="1: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row>
    <row r="327" spans="1: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row>
    <row r="328" spans="1: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row>
    <row r="329" spans="1: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row>
    <row r="330" spans="1: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row>
    <row r="331" spans="1: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row>
    <row r="332" spans="1: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row>
    <row r="333" spans="1: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row>
    <row r="334" spans="1: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row>
    <row r="335" spans="1: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row>
    <row r="336" spans="1: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row>
    <row r="337" spans="1: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row>
    <row r="338" spans="1: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row>
    <row r="339" spans="1: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row>
    <row r="340" spans="1: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row>
    <row r="341" spans="1: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row>
    <row r="342" spans="1: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row>
    <row r="343" spans="1: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row>
    <row r="344" spans="1: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row>
    <row r="345" spans="1: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row>
    <row r="346" spans="1: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row>
    <row r="347" spans="1: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row>
    <row r="348" spans="1: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row>
    <row r="349" spans="1: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row>
    <row r="350" spans="1: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row>
    <row r="351" spans="1: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row>
    <row r="352" spans="1: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row>
    <row r="353" spans="1: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row>
    <row r="354" spans="1: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row>
    <row r="355" spans="1: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row>
    <row r="356" spans="1: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row>
    <row r="357" spans="1: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row>
    <row r="358" spans="1: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row>
    <row r="359" spans="1: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row>
    <row r="360" spans="1: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row>
    <row r="361" spans="1: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row>
    <row r="362" spans="1: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row>
    <row r="363" spans="1: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row>
    <row r="364" spans="1: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row>
    <row r="365" spans="1: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row>
    <row r="366" spans="1: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row>
    <row r="367" spans="1: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row>
    <row r="368" spans="1: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row>
    <row r="369" spans="1: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row>
    <row r="370" spans="1: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row>
    <row r="371" spans="1: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row>
    <row r="372" spans="1: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row>
    <row r="373" spans="1: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row>
    <row r="374" spans="1: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row>
    <row r="375" spans="1: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row>
    <row r="376" spans="1: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row>
    <row r="377" spans="1: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row>
    <row r="378" spans="1: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row>
    <row r="379" spans="1: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row>
    <row r="380" spans="1: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row>
    <row r="381" spans="1: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row>
    <row r="382" spans="1: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row>
    <row r="383" spans="1: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row>
    <row r="384" spans="1: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row>
    <row r="385" spans="1: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row>
    <row r="386" spans="1: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row>
    <row r="387" spans="1: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row>
    <row r="388" spans="1: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row>
    <row r="389" spans="1: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row>
    <row r="390" spans="1: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row>
    <row r="391" spans="1: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row>
    <row r="392" spans="1: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row>
    <row r="393" spans="1: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row>
    <row r="394" spans="1: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row>
    <row r="395" spans="1: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row>
    <row r="396" spans="1: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row>
    <row r="397" spans="1: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row>
    <row r="398" spans="1: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row>
    <row r="399" spans="1: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row>
    <row r="400" spans="1: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row>
    <row r="401" spans="1: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row>
    <row r="402" spans="1: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row>
    <row r="403" spans="1: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row>
    <row r="404" spans="1: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row>
    <row r="405" spans="1: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row>
    <row r="406" spans="1: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row>
    <row r="407" spans="1: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row>
    <row r="408" spans="1: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row>
    <row r="409" spans="1: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row>
    <row r="410" spans="1: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row>
    <row r="411" spans="1: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row>
    <row r="412" spans="1: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row>
    <row r="413" spans="1: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row>
    <row r="414" spans="1: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row>
    <row r="415" spans="1: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row>
    <row r="416" spans="1: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row>
    <row r="417" spans="1: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row>
    <row r="418" spans="1: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row>
    <row r="419" spans="1: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row>
    <row r="420" spans="1: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row>
    <row r="421" spans="1: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row>
    <row r="422" spans="1: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row>
    <row r="423" spans="1: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row>
    <row r="424" spans="1: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row>
    <row r="425" spans="1: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row>
    <row r="426" spans="1: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row>
    <row r="427" spans="1: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row>
    <row r="428" spans="1: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row>
    <row r="429" spans="1: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row>
    <row r="430" spans="1: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row>
    <row r="431" spans="1: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row>
    <row r="432" spans="1: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row>
    <row r="433" spans="1: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row>
    <row r="434" spans="1: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row>
    <row r="435" spans="1: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row>
    <row r="436" spans="1: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row>
    <row r="437" spans="1: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row>
    <row r="438" spans="1: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row>
    <row r="439" spans="1: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row>
    <row r="440" spans="1: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row>
    <row r="441" spans="1: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row>
    <row r="442" spans="1: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row>
    <row r="443" spans="1: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row>
    <row r="444" spans="1: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row>
    <row r="445" spans="1: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row>
    <row r="446" spans="1: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row>
    <row r="447" spans="1: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row>
    <row r="448" spans="1: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row>
    <row r="449" spans="1: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row>
    <row r="450" spans="1: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row>
    <row r="451" spans="1: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row>
    <row r="452" spans="1: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row>
    <row r="453" spans="1: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row>
    <row r="454" spans="1: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row>
    <row r="455" spans="1: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row>
    <row r="456" spans="1: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row>
    <row r="457" spans="1: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row>
    <row r="458" spans="1: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row>
    <row r="459" spans="1: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row>
    <row r="460" spans="1: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row>
    <row r="461" spans="1: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row>
    <row r="462" spans="1: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row>
    <row r="463" spans="1: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row>
    <row r="464" spans="1: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row>
    <row r="465" spans="1: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row>
    <row r="466" spans="1: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row>
    <row r="467" spans="1: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row>
    <row r="468" spans="1: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row>
    <row r="469" spans="1: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row>
    <row r="470" spans="1: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row>
    <row r="471" spans="1: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row>
    <row r="472" spans="1: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row>
    <row r="473" spans="1: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row>
    <row r="474" spans="1: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row>
    <row r="475" spans="1: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row>
    <row r="476" spans="1: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row>
    <row r="477" spans="1: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row>
    <row r="478" spans="1: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row>
    <row r="479" spans="1: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row>
    <row r="480" spans="1: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row>
    <row r="481" spans="1: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row>
    <row r="482" spans="1: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row>
    <row r="483" spans="1: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row>
    <row r="484" spans="1: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row>
    <row r="485" spans="1: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row>
    <row r="486" spans="1: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row>
    <row r="487" spans="1: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row>
    <row r="488" spans="1: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row>
    <row r="489" spans="1: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row>
    <row r="490" spans="1: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row>
    <row r="491" spans="1: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row>
    <row r="492" spans="1: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row>
    <row r="493" spans="1: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row>
    <row r="494" spans="1: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row>
    <row r="495" spans="1: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row>
    <row r="496" spans="1: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row>
    <row r="497" spans="1: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row>
    <row r="498" spans="1: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row>
    <row r="499" spans="1: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row>
    <row r="500" spans="1: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row>
    <row r="501" spans="1: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row>
    <row r="502" spans="1: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row>
    <row r="503" spans="1: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row>
    <row r="504" spans="1: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row>
    <row r="505" spans="1: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row>
    <row r="506" spans="1: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row>
    <row r="507" spans="1: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row>
    <row r="508" spans="1: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row>
    <row r="509" spans="1: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row>
    <row r="510" spans="1: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row>
    <row r="511" spans="1: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row>
    <row r="512" spans="1: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row>
    <row r="513" spans="1: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row>
    <row r="514" spans="1: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row>
    <row r="515" spans="1: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row>
    <row r="516" spans="1: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row>
    <row r="517" spans="1: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row>
    <row r="518" spans="1: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row>
    <row r="519" spans="1: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row>
    <row r="520" spans="1: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row>
    <row r="521" spans="1: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row>
    <row r="522" spans="1: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row>
    <row r="523" spans="1: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row>
    <row r="524" spans="1: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row>
    <row r="525" spans="1: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row>
    <row r="526" spans="1: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row>
    <row r="527" spans="1: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row>
    <row r="528" spans="1: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row>
    <row r="529" spans="1: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row>
    <row r="530" spans="1: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row>
    <row r="531" spans="1: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row>
    <row r="532" spans="1: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row>
    <row r="533" spans="1: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row>
    <row r="534" spans="1: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row>
    <row r="535" spans="1: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row>
    <row r="536" spans="1: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row>
    <row r="537" spans="1: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row>
    <row r="538" spans="1: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row>
    <row r="539" spans="1: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row>
    <row r="540" spans="1: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row>
    <row r="541" spans="1: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row>
    <row r="542" spans="1: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row>
    <row r="543" spans="1: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row>
    <row r="544" spans="1: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row>
    <row r="545" spans="1: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row>
    <row r="546" spans="1: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row>
    <row r="547" spans="1: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row>
    <row r="548" spans="1: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row>
    <row r="549" spans="1: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row>
    <row r="550" spans="1: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row>
    <row r="551" spans="1: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row>
    <row r="552" spans="1: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row>
    <row r="553" spans="1: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row>
    <row r="554" spans="1: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row>
    <row r="555" spans="1: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row>
    <row r="556" spans="1: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row>
    <row r="557" spans="1: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row>
    <row r="558" spans="1: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row>
    <row r="559" spans="1: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row>
    <row r="560" spans="1: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row>
    <row r="561" spans="1: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row>
    <row r="562" spans="1: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row>
    <row r="563" spans="1: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row>
    <row r="564" spans="1: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row>
    <row r="565" spans="1: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row>
    <row r="566" spans="1: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row>
    <row r="567" spans="1: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row>
    <row r="568" spans="1: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row>
    <row r="569" spans="1: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row>
    <row r="570" spans="1: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row>
    <row r="571" spans="1: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row>
    <row r="572" spans="1: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row>
    <row r="573" spans="1: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row>
    <row r="574" spans="1: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row>
    <row r="575" spans="1: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row>
    <row r="576" spans="1: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row>
    <row r="577" spans="1: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row>
    <row r="578" spans="1: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row>
    <row r="579" spans="1: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row>
    <row r="580" spans="1: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row>
    <row r="581" spans="1: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row>
    <row r="582" spans="1: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row>
    <row r="583" spans="1: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row>
    <row r="584" spans="1: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row>
    <row r="585" spans="1: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row>
    <row r="586" spans="1: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row>
    <row r="587" spans="1: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row>
    <row r="588" spans="1: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row>
    <row r="589" spans="1: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row>
    <row r="590" spans="1: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row>
    <row r="591" spans="1: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row>
    <row r="592" spans="1: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row>
    <row r="593" spans="1: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row>
    <row r="594" spans="1: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row>
    <row r="595" spans="1: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row>
    <row r="596" spans="1: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row>
    <row r="597" spans="1: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row>
    <row r="598" spans="1: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row>
    <row r="599" spans="1: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row>
    <row r="600" spans="1: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row>
    <row r="601" spans="1: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row>
    <row r="602" spans="1: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row>
    <row r="603" spans="1: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row>
    <row r="604" spans="1: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row>
    <row r="605" spans="1: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row>
    <row r="606" spans="1: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row>
    <row r="607" spans="1: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row>
    <row r="608" spans="1: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row>
    <row r="609" spans="1: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row>
    <row r="610" spans="1: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row>
    <row r="611" spans="1: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row>
    <row r="612" spans="1: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row>
    <row r="613" spans="1: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row>
    <row r="614" spans="1: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row>
    <row r="615" spans="1: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row>
    <row r="616" spans="1: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row>
    <row r="617" spans="1: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row>
    <row r="618" spans="1: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row>
    <row r="619" spans="1: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row>
    <row r="620" spans="1: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row>
    <row r="621" spans="1: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row>
    <row r="622" spans="1: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row>
    <row r="623" spans="1: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row>
    <row r="624" spans="1: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row>
    <row r="625" spans="1: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row>
    <row r="626" spans="1: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row>
    <row r="627" spans="1: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row>
    <row r="628" spans="1: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row>
    <row r="629" spans="1: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row>
    <row r="630" spans="1: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row>
    <row r="631" spans="1: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row>
    <row r="632" spans="1: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row>
    <row r="633" spans="1: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row>
    <row r="634" spans="1: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row>
    <row r="635" spans="1: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row>
    <row r="636" spans="1: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row>
    <row r="637" spans="1: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row>
    <row r="638" spans="1: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row>
    <row r="639" spans="1: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row>
    <row r="640" spans="1: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row>
    <row r="641" spans="1: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row>
    <row r="642" spans="1: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row>
    <row r="643" spans="1: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row>
    <row r="644" spans="1: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row>
    <row r="645" spans="1: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row>
    <row r="646" spans="1: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row>
    <row r="647" spans="1: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row>
    <row r="648" spans="1: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row>
    <row r="649" spans="1: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row>
    <row r="650" spans="1: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row>
    <row r="651" spans="1: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row>
    <row r="652" spans="1: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row>
    <row r="653" spans="1: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row>
    <row r="654" spans="1: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row>
    <row r="655" spans="1: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row>
    <row r="656" spans="1: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row>
    <row r="657" spans="1: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row>
    <row r="658" spans="1: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row>
    <row r="659" spans="1: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row>
    <row r="660" spans="1: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row>
    <row r="661" spans="1: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row>
    <row r="662" spans="1: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row>
    <row r="663" spans="1: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row>
    <row r="664" spans="1: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row>
    <row r="665" spans="1: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row>
    <row r="666" spans="1: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row>
    <row r="667" spans="1: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row>
    <row r="668" spans="1: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row>
    <row r="669" spans="1: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row>
    <row r="670" spans="1: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row>
    <row r="671" spans="1: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row>
    <row r="672" spans="1: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row>
    <row r="673" spans="1: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row>
    <row r="674" spans="1: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row>
    <row r="675" spans="1: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row>
    <row r="676" spans="1: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row>
    <row r="677" spans="1: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row>
    <row r="678" spans="1: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row>
    <row r="679" spans="1: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row>
    <row r="680" spans="1: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row>
    <row r="681" spans="1: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row>
    <row r="682" spans="1: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row>
    <row r="683" spans="1: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row>
    <row r="684" spans="1: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row>
    <row r="685" spans="1: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row>
    <row r="686" spans="1: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row>
    <row r="687" spans="1: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row>
    <row r="688" spans="1: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row>
    <row r="689" spans="1: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row>
    <row r="690" spans="1: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row>
    <row r="691" spans="1: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row>
    <row r="692" spans="1: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row>
    <row r="693" spans="1: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row>
    <row r="694" spans="1: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row>
    <row r="695" spans="1: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row>
    <row r="696" spans="1: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row>
    <row r="697" spans="1: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row>
    <row r="698" spans="1: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row>
    <row r="699" spans="1: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row>
    <row r="700" spans="1: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row>
    <row r="701" spans="1: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row>
    <row r="702" spans="1: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row>
    <row r="703" spans="1: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row>
    <row r="704" spans="1: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row>
    <row r="705" spans="1: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row>
    <row r="706" spans="1: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row>
    <row r="707" spans="1: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row>
    <row r="708" spans="1: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row>
    <row r="709" spans="1: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row>
    <row r="710" spans="1: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row>
    <row r="711" spans="1: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row>
    <row r="712" spans="1: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row>
    <row r="713" spans="1: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row>
    <row r="714" spans="1: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row>
    <row r="715" spans="1: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row>
    <row r="716" spans="1: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row>
    <row r="717" spans="1: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row>
    <row r="718" spans="1: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row>
    <row r="719" spans="1: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row>
    <row r="720" spans="1: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row>
    <row r="721" spans="1: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row>
    <row r="722" spans="1: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row>
    <row r="723" spans="1: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row>
    <row r="724" spans="1: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row>
    <row r="725" spans="1: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row>
    <row r="726" spans="1: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row>
    <row r="727" spans="1: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row>
    <row r="728" spans="1: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row>
    <row r="729" spans="1: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row>
    <row r="730" spans="1: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row>
    <row r="731" spans="1: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row>
    <row r="732" spans="1: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row>
    <row r="733" spans="1: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row>
    <row r="734" spans="1: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row>
    <row r="735" spans="1: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row>
    <row r="736" spans="1: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row>
    <row r="737" spans="1: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row>
    <row r="738" spans="1: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row>
    <row r="739" spans="1: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row>
    <row r="740" spans="1: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row>
    <row r="741" spans="1: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row>
    <row r="742" spans="1: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row>
    <row r="743" spans="1: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row>
    <row r="744" spans="1: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row>
    <row r="745" spans="1: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row>
    <row r="746" spans="1: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row>
    <row r="747" spans="1: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row>
    <row r="748" spans="1: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row>
    <row r="749" spans="1: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row>
    <row r="750" spans="1: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row>
    <row r="751" spans="1: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row>
    <row r="752" spans="1: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row>
    <row r="753" spans="1: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row>
    <row r="754" spans="1: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row>
    <row r="755" spans="1: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row>
    <row r="756" spans="1: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row>
    <row r="757" spans="1: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row>
    <row r="758" spans="1: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row>
    <row r="759" spans="1: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row>
    <row r="760" spans="1: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row>
    <row r="761" spans="1: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row>
    <row r="762" spans="1: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row>
    <row r="763" spans="1: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row>
    <row r="764" spans="1: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row>
    <row r="765" spans="1: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row>
    <row r="766" spans="1: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row>
    <row r="767" spans="1: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row>
    <row r="768" spans="1: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row>
    <row r="769" spans="1: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row>
    <row r="770" spans="1: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row>
    <row r="771" spans="1: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row>
    <row r="772" spans="1: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row>
    <row r="773" spans="1: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row>
    <row r="774" spans="1: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row>
    <row r="775" spans="1: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row>
    <row r="776" spans="1: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row>
    <row r="777" spans="1: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row>
    <row r="778" spans="1: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row>
    <row r="779" spans="1: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row>
    <row r="780" spans="1: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row>
    <row r="781" spans="1: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row>
    <row r="782" spans="1: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row>
    <row r="783" spans="1: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row>
    <row r="784" spans="1: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row>
    <row r="785" spans="1: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row>
    <row r="786" spans="1: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row>
    <row r="787" spans="1: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row>
    <row r="788" spans="1: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row>
    <row r="789" spans="1: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row>
    <row r="790" spans="1: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row>
    <row r="791" spans="1: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row>
    <row r="792" spans="1: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row>
    <row r="793" spans="1: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row>
    <row r="794" spans="1: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row>
    <row r="795" spans="1: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row>
    <row r="796" spans="1: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row>
    <row r="797" spans="1: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row>
    <row r="798" spans="1: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row>
    <row r="799" spans="1: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row>
    <row r="800" spans="1: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row>
    <row r="801" spans="1: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row>
    <row r="802" spans="1: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row>
    <row r="803" spans="1: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row>
    <row r="804" spans="1: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row>
    <row r="805" spans="1: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row>
    <row r="806" spans="1: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row>
    <row r="807" spans="1: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row>
    <row r="808" spans="1: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row>
    <row r="809" spans="1: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row>
    <row r="810" spans="1: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row>
    <row r="811" spans="1: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row>
    <row r="812" spans="1: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row>
    <row r="813" spans="1: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row>
    <row r="814" spans="1: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row>
    <row r="815" spans="1: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row>
    <row r="816" spans="1: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row>
    <row r="817" spans="1: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row>
    <row r="818" spans="1: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row>
    <row r="819" spans="1: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row>
    <row r="820" spans="1: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row>
    <row r="821" spans="1: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row>
    <row r="822" spans="1: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row>
    <row r="823" spans="1: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row>
    <row r="824" spans="1: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row>
    <row r="825" spans="1: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row>
    <row r="826" spans="1: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row>
    <row r="827" spans="1: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row>
    <row r="828" spans="1: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row>
    <row r="829" spans="1: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row>
    <row r="830" spans="1: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row>
    <row r="831" spans="1: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row>
    <row r="832" spans="1: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row>
    <row r="833" spans="1: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row>
    <row r="834" spans="1: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row>
    <row r="835" spans="1: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row>
    <row r="836" spans="1: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row>
    <row r="837" spans="1: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row>
    <row r="838" spans="1: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row>
    <row r="839" spans="1: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row>
    <row r="840" spans="1: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row>
    <row r="841" spans="1: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row>
    <row r="842" spans="1: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row>
    <row r="843" spans="1: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row>
    <row r="844" spans="1: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row>
    <row r="845" spans="1: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row>
    <row r="846" spans="1: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row>
    <row r="847" spans="1: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row>
    <row r="848" spans="1: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row>
    <row r="849" spans="1: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row>
    <row r="850" spans="1: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row>
    <row r="851" spans="1: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row>
    <row r="852" spans="1: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row>
    <row r="853" spans="1: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row>
    <row r="854" spans="1: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row>
    <row r="855" spans="1: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row>
    <row r="856" spans="1: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row>
    <row r="857" spans="1: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row>
    <row r="858" spans="1: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row>
    <row r="859" spans="1: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row>
    <row r="860" spans="1: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row>
    <row r="861" spans="1: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row>
    <row r="862" spans="1: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row>
    <row r="863" spans="1: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row>
    <row r="864" spans="1: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row>
    <row r="865" spans="1: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row>
    <row r="866" spans="1: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row>
    <row r="867" spans="1: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row>
    <row r="868" spans="1: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row>
    <row r="869" spans="1: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row>
    <row r="870" spans="1: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row>
    <row r="871" spans="1: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row>
    <row r="872" spans="1: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row>
    <row r="873" spans="1: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row>
    <row r="874" spans="1: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row>
    <row r="875" spans="1: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row>
    <row r="876" spans="1: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row>
    <row r="877" spans="1: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row>
    <row r="878" spans="1: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row>
    <row r="879" spans="1: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row>
    <row r="880" spans="1: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row>
    <row r="881" spans="1: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row>
    <row r="882" spans="1: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row>
    <row r="883" spans="1: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row>
    <row r="884" spans="1: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row>
    <row r="885" spans="1: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row>
    <row r="886" spans="1: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row>
    <row r="887" spans="1: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row>
    <row r="888" spans="1: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row>
    <row r="889" spans="1: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row>
    <row r="890" spans="1: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row>
    <row r="891" spans="1: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row>
    <row r="892" spans="1: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row>
    <row r="893" spans="1: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row>
    <row r="894" spans="1: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row>
    <row r="895" spans="1: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row>
    <row r="896" spans="1: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row>
    <row r="897" spans="1: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row>
    <row r="898" spans="1: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row>
    <row r="899" spans="1: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row>
    <row r="900" spans="1: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row>
    <row r="901" spans="1: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row>
    <row r="902" spans="1: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row>
    <row r="903" spans="1: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row>
    <row r="904" spans="1: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row>
    <row r="905" spans="1: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row>
    <row r="906" spans="1: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row>
    <row r="907" spans="1: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row>
    <row r="908" spans="1: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row>
    <row r="909" spans="1: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row>
    <row r="910" spans="1: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row>
    <row r="911" spans="1: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row>
    <row r="912" spans="1: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row>
    <row r="913" spans="1: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row>
    <row r="914" spans="1: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row>
    <row r="915" spans="1: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row>
    <row r="916" spans="1: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row>
    <row r="917" spans="1: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row>
    <row r="918" spans="1: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row>
    <row r="919" spans="1: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row>
    <row r="920" spans="1: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row>
    <row r="921" spans="1: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row>
    <row r="922" spans="1: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row>
    <row r="923" spans="1: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row>
    <row r="924" spans="1: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row>
    <row r="925" spans="1: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row>
    <row r="926" spans="1: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row>
    <row r="927" spans="1: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row>
    <row r="928" spans="1: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row>
    <row r="929" spans="1: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row>
    <row r="930" spans="1: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row>
    <row r="931" spans="1:3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row>
    <row r="932" spans="1:3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row>
    <row r="933" spans="1:3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row>
    <row r="934" spans="1:3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row>
    <row r="935" spans="1: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row>
    <row r="936" spans="1:3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row>
    <row r="937" spans="1:3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row>
    <row r="938" spans="1:3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row>
    <row r="939" spans="1:3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row>
    <row r="940" spans="1:3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row>
    <row r="941" spans="1:3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row>
    <row r="942" spans="1:3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row>
    <row r="943" spans="1:3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row>
    <row r="944" spans="1:3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row>
    <row r="945" spans="1:3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row>
    <row r="946" spans="1:3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row>
    <row r="947" spans="1:3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row>
    <row r="948" spans="1:3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row>
    <row r="949" spans="1:3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row>
    <row r="950" spans="1:3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row>
    <row r="951" spans="1:3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row>
    <row r="952" spans="1:3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row>
    <row r="953" spans="1:3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row>
    <row r="954" spans="1:3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row>
    <row r="955" spans="1:3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row>
    <row r="956" spans="1:3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row>
    <row r="957" spans="1:3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row>
    <row r="958" spans="1:3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row>
    <row r="959" spans="1:3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row>
    <row r="960" spans="1:3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row>
    <row r="961" spans="1:3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row>
    <row r="962" spans="1:3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row>
    <row r="963" spans="1:3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row>
    <row r="964" spans="1:3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row>
    <row r="965" spans="1:3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row>
    <row r="966" spans="1:3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row>
    <row r="967" spans="1:3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row>
    <row r="968" spans="1:3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row>
    <row r="969" spans="1:3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row>
    <row r="970" spans="1:3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row>
    <row r="971" spans="1:3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row>
    <row r="972" spans="1:3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row>
    <row r="973" spans="1:3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row>
    <row r="974" spans="1:3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row>
    <row r="975" spans="1:3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row>
    <row r="976" spans="1:3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row>
    <row r="977" spans="1:3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row>
    <row r="978" spans="1:3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row>
    <row r="979" spans="1:3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row>
    <row r="980" spans="1:3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row>
    <row r="981" spans="1:3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row>
    <row r="982" spans="1:3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row>
    <row r="983" spans="1:3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row>
    <row r="984" spans="1:3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row>
    <row r="985" spans="1:3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row>
    <row r="986" spans="1:3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row>
    <row r="987" spans="1:3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row>
    <row r="988" spans="1:3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row>
    <row r="989" spans="1:3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row>
    <row r="990" spans="1:3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row>
    <row r="991" spans="1:3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row>
    <row r="992" spans="1:3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row>
    <row r="993" spans="1:3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row>
    <row r="994" spans="1:3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row>
    <row r="995" spans="1:3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row>
    <row r="996" spans="1:3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row>
    <row r="997" spans="1:3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row>
    <row r="998" spans="1:3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row>
    <row r="999" spans="1:3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row>
    <row r="1000" spans="1:3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D1000"/>
  <sheetViews>
    <sheetView workbookViewId="0">
      <pane ySplit="1" topLeftCell="A2" activePane="bottomLeft" state="frozen"/>
      <selection pane="bottomLeft" activeCell="B3" sqref="B3"/>
    </sheetView>
  </sheetViews>
  <sheetFormatPr defaultColWidth="12.59765625" defaultRowHeight="15.75" customHeight="1"/>
  <cols>
    <col min="6" max="8" width="18.86328125" customWidth="1"/>
    <col min="9" max="9" width="20.46484375" customWidth="1"/>
    <col min="10" max="10" width="29.265625" customWidth="1"/>
    <col min="11" max="11" width="30.1328125" customWidth="1"/>
    <col min="12" max="12" width="18.73046875" customWidth="1"/>
    <col min="13" max="13" width="37.265625" customWidth="1"/>
    <col min="14" max="14" width="41.59765625" customWidth="1"/>
    <col min="15" max="15" width="30" customWidth="1"/>
    <col min="16" max="18" width="34.86328125" customWidth="1"/>
    <col min="19" max="19" width="41" customWidth="1"/>
  </cols>
  <sheetData>
    <row r="1" spans="1:30">
      <c r="A1" s="42" t="s">
        <v>55</v>
      </c>
      <c r="B1" s="42" t="s">
        <v>0</v>
      </c>
      <c r="C1" s="42" t="s">
        <v>1</v>
      </c>
      <c r="D1" s="42" t="s">
        <v>2</v>
      </c>
      <c r="E1" s="42" t="s">
        <v>66</v>
      </c>
      <c r="F1" s="42" t="s">
        <v>12</v>
      </c>
      <c r="G1" s="42" t="s">
        <v>9726</v>
      </c>
      <c r="H1" s="42" t="s">
        <v>794</v>
      </c>
      <c r="I1" s="42" t="s">
        <v>795</v>
      </c>
      <c r="J1" s="42" t="s">
        <v>796</v>
      </c>
      <c r="K1" s="42" t="s">
        <v>797</v>
      </c>
      <c r="L1" s="42" t="s">
        <v>798</v>
      </c>
      <c r="M1" s="42" t="s">
        <v>9727</v>
      </c>
      <c r="N1" s="42" t="s">
        <v>9728</v>
      </c>
      <c r="O1" s="42" t="s">
        <v>61</v>
      </c>
      <c r="P1" s="42" t="s">
        <v>801</v>
      </c>
      <c r="Q1" s="42" t="s">
        <v>802</v>
      </c>
      <c r="R1" s="42" t="s">
        <v>803</v>
      </c>
      <c r="S1" s="42" t="s">
        <v>804</v>
      </c>
      <c r="T1" s="45"/>
      <c r="U1" s="45"/>
      <c r="V1" s="45"/>
      <c r="W1" s="45"/>
      <c r="X1" s="45"/>
      <c r="Y1" s="45"/>
      <c r="Z1" s="45"/>
      <c r="AA1" s="45"/>
      <c r="AB1" s="45"/>
      <c r="AC1" s="45"/>
      <c r="AD1" s="45"/>
    </row>
    <row r="2" spans="1:30">
      <c r="A2" s="42">
        <f t="shared" ref="A2:A256" si="0">ROW(A1)</f>
        <v>1</v>
      </c>
      <c r="B2" s="42"/>
      <c r="C2" s="42" t="s">
        <v>430</v>
      </c>
      <c r="D2" s="42" t="s">
        <v>805</v>
      </c>
      <c r="E2" s="42"/>
      <c r="F2" s="42" t="s">
        <v>432</v>
      </c>
      <c r="G2" s="42">
        <v>9705934446</v>
      </c>
      <c r="H2" s="42"/>
      <c r="I2" s="42"/>
      <c r="J2" s="42"/>
      <c r="K2" s="42"/>
      <c r="L2" s="42"/>
      <c r="M2" s="42"/>
      <c r="N2" s="42"/>
      <c r="O2" s="42"/>
      <c r="P2" s="42"/>
      <c r="Q2" s="42"/>
      <c r="R2" s="42"/>
      <c r="S2" s="42"/>
      <c r="T2" s="45"/>
      <c r="U2" s="45"/>
      <c r="V2" s="45"/>
      <c r="W2" s="45"/>
      <c r="X2" s="45"/>
      <c r="Y2" s="45"/>
      <c r="Z2" s="45"/>
      <c r="AA2" s="45"/>
      <c r="AB2" s="45"/>
      <c r="AC2" s="45"/>
      <c r="AD2" s="45"/>
    </row>
    <row r="3" spans="1:30">
      <c r="A3" s="42">
        <f t="shared" si="0"/>
        <v>2</v>
      </c>
      <c r="B3" s="42"/>
      <c r="C3" s="42" t="s">
        <v>430</v>
      </c>
      <c r="D3" s="42" t="s">
        <v>434</v>
      </c>
      <c r="E3" s="42"/>
      <c r="F3" s="42" t="s">
        <v>435</v>
      </c>
      <c r="G3" s="42">
        <v>9666243208</v>
      </c>
      <c r="H3" s="42"/>
      <c r="I3" s="42"/>
      <c r="J3" s="42"/>
      <c r="K3" s="42"/>
      <c r="L3" s="42"/>
      <c r="M3" s="42"/>
      <c r="N3" s="42"/>
      <c r="O3" s="42"/>
      <c r="P3" s="42"/>
      <c r="Q3" s="42"/>
      <c r="R3" s="42"/>
      <c r="S3" s="42"/>
      <c r="T3" s="45"/>
      <c r="U3" s="45"/>
      <c r="V3" s="45"/>
      <c r="W3" s="45"/>
      <c r="X3" s="45"/>
      <c r="Y3" s="45"/>
      <c r="Z3" s="45"/>
      <c r="AA3" s="45"/>
      <c r="AB3" s="45"/>
      <c r="AC3" s="45"/>
      <c r="AD3" s="45"/>
    </row>
    <row r="4" spans="1:30">
      <c r="A4" s="42">
        <f t="shared" si="0"/>
        <v>3</v>
      </c>
      <c r="B4" s="42"/>
      <c r="C4" s="42" t="s">
        <v>430</v>
      </c>
      <c r="D4" s="42" t="s">
        <v>808</v>
      </c>
      <c r="E4" s="42"/>
      <c r="F4" s="42" t="s">
        <v>439</v>
      </c>
      <c r="G4" s="42">
        <v>9618222288</v>
      </c>
      <c r="H4" s="42"/>
      <c r="I4" s="42"/>
      <c r="J4" s="42"/>
      <c r="K4" s="42"/>
      <c r="L4" s="42"/>
      <c r="M4" s="42"/>
      <c r="N4" s="42"/>
      <c r="O4" s="42"/>
      <c r="P4" s="42"/>
      <c r="Q4" s="42"/>
      <c r="R4" s="42"/>
      <c r="S4" s="42"/>
      <c r="T4" s="45"/>
      <c r="U4" s="45"/>
      <c r="V4" s="45"/>
      <c r="W4" s="45"/>
      <c r="X4" s="45"/>
      <c r="Y4" s="45"/>
      <c r="Z4" s="45"/>
      <c r="AA4" s="45"/>
      <c r="AB4" s="45"/>
      <c r="AC4" s="45"/>
      <c r="AD4" s="45"/>
    </row>
    <row r="5" spans="1:30">
      <c r="A5" s="42">
        <f t="shared" si="0"/>
        <v>4</v>
      </c>
      <c r="B5" s="42"/>
      <c r="C5" s="42" t="s">
        <v>430</v>
      </c>
      <c r="D5" s="42" t="s">
        <v>810</v>
      </c>
      <c r="E5" s="42"/>
      <c r="F5" s="42" t="s">
        <v>442</v>
      </c>
      <c r="G5" s="42">
        <v>7386093635</v>
      </c>
      <c r="H5" s="42"/>
      <c r="I5" s="42"/>
      <c r="J5" s="42"/>
      <c r="K5" s="42"/>
      <c r="L5" s="42"/>
      <c r="M5" s="42"/>
      <c r="N5" s="42"/>
      <c r="O5" s="42"/>
      <c r="P5" s="42"/>
      <c r="Q5" s="42"/>
      <c r="R5" s="42"/>
      <c r="S5" s="42"/>
      <c r="T5" s="45"/>
      <c r="U5" s="45"/>
      <c r="V5" s="45"/>
      <c r="W5" s="45"/>
      <c r="X5" s="45"/>
      <c r="Y5" s="45"/>
      <c r="Z5" s="45"/>
      <c r="AA5" s="45"/>
      <c r="AB5" s="45"/>
      <c r="AC5" s="45"/>
      <c r="AD5" s="45"/>
    </row>
    <row r="6" spans="1:30">
      <c r="A6" s="42">
        <f t="shared" si="0"/>
        <v>5</v>
      </c>
      <c r="B6" s="42"/>
      <c r="C6" s="42" t="s">
        <v>430</v>
      </c>
      <c r="D6" s="42" t="s">
        <v>812</v>
      </c>
      <c r="E6" s="42"/>
      <c r="F6" s="42" t="s">
        <v>444</v>
      </c>
      <c r="G6" s="42">
        <v>6281745507</v>
      </c>
      <c r="H6" s="42"/>
      <c r="I6" s="42"/>
      <c r="J6" s="42"/>
      <c r="K6" s="42"/>
      <c r="L6" s="42"/>
      <c r="M6" s="42"/>
      <c r="N6" s="42"/>
      <c r="O6" s="42"/>
      <c r="P6" s="42"/>
      <c r="Q6" s="42"/>
      <c r="R6" s="42"/>
      <c r="S6" s="42"/>
      <c r="T6" s="45"/>
      <c r="U6" s="45"/>
      <c r="V6" s="45"/>
      <c r="W6" s="45"/>
      <c r="X6" s="45"/>
      <c r="Y6" s="45"/>
      <c r="Z6" s="45"/>
      <c r="AA6" s="45"/>
      <c r="AB6" s="45"/>
      <c r="AC6" s="45"/>
      <c r="AD6" s="45"/>
    </row>
    <row r="7" spans="1:30">
      <c r="A7" s="42">
        <f t="shared" si="0"/>
        <v>6</v>
      </c>
      <c r="B7" s="42"/>
      <c r="C7" s="42" t="s">
        <v>430</v>
      </c>
      <c r="D7" s="42" t="s">
        <v>814</v>
      </c>
      <c r="E7" s="42"/>
      <c r="F7" s="42" t="s">
        <v>446</v>
      </c>
      <c r="G7" s="42">
        <v>9959354489</v>
      </c>
      <c r="H7" s="42"/>
      <c r="I7" s="42"/>
      <c r="J7" s="42"/>
      <c r="K7" s="42"/>
      <c r="L7" s="42"/>
      <c r="M7" s="42"/>
      <c r="N7" s="42"/>
      <c r="O7" s="42"/>
      <c r="P7" s="42"/>
      <c r="Q7" s="42"/>
      <c r="R7" s="42"/>
      <c r="S7" s="42"/>
      <c r="T7" s="45"/>
      <c r="U7" s="45"/>
      <c r="V7" s="45"/>
      <c r="W7" s="45"/>
      <c r="X7" s="45"/>
      <c r="Y7" s="45"/>
      <c r="Z7" s="45"/>
      <c r="AA7" s="45"/>
      <c r="AB7" s="45"/>
      <c r="AC7" s="45"/>
      <c r="AD7" s="45"/>
    </row>
    <row r="8" spans="1:30">
      <c r="A8" s="42">
        <f t="shared" si="0"/>
        <v>7</v>
      </c>
      <c r="B8" s="42"/>
      <c r="C8" s="42" t="s">
        <v>430</v>
      </c>
      <c r="D8" s="42" t="s">
        <v>447</v>
      </c>
      <c r="E8" s="42"/>
      <c r="F8" s="42" t="s">
        <v>448</v>
      </c>
      <c r="G8" s="42">
        <v>9290933688</v>
      </c>
      <c r="H8" s="42"/>
      <c r="I8" s="42"/>
      <c r="J8" s="42"/>
      <c r="K8" s="42"/>
      <c r="L8" s="42"/>
      <c r="M8" s="42"/>
      <c r="N8" s="42"/>
      <c r="O8" s="42"/>
      <c r="P8" s="42"/>
      <c r="Q8" s="42"/>
      <c r="R8" s="42"/>
      <c r="S8" s="42"/>
      <c r="T8" s="45"/>
      <c r="U8" s="45"/>
      <c r="V8" s="45"/>
      <c r="W8" s="45"/>
      <c r="X8" s="45"/>
      <c r="Y8" s="45"/>
      <c r="Z8" s="45"/>
      <c r="AA8" s="45"/>
      <c r="AB8" s="45"/>
      <c r="AC8" s="45"/>
      <c r="AD8" s="45"/>
    </row>
    <row r="9" spans="1:30">
      <c r="A9" s="42">
        <f t="shared" si="0"/>
        <v>8</v>
      </c>
      <c r="B9" s="42"/>
      <c r="C9" s="42" t="s">
        <v>430</v>
      </c>
      <c r="D9" s="42" t="s">
        <v>817</v>
      </c>
      <c r="E9" s="42"/>
      <c r="F9" s="42" t="s">
        <v>450</v>
      </c>
      <c r="G9" s="42">
        <v>9866027338</v>
      </c>
      <c r="H9" s="42"/>
      <c r="I9" s="42"/>
      <c r="J9" s="42"/>
      <c r="K9" s="42"/>
      <c r="L9" s="42"/>
      <c r="M9" s="42"/>
      <c r="N9" s="42"/>
      <c r="O9" s="42"/>
      <c r="P9" s="42"/>
      <c r="Q9" s="42"/>
      <c r="R9" s="42"/>
      <c r="S9" s="42"/>
      <c r="T9" s="45"/>
      <c r="U9" s="45"/>
      <c r="V9" s="45"/>
      <c r="W9" s="45"/>
      <c r="X9" s="45"/>
      <c r="Y9" s="45"/>
      <c r="Z9" s="45"/>
      <c r="AA9" s="45"/>
      <c r="AB9" s="45"/>
      <c r="AC9" s="45"/>
      <c r="AD9" s="45"/>
    </row>
    <row r="10" spans="1:30">
      <c r="A10" s="42">
        <f t="shared" si="0"/>
        <v>9</v>
      </c>
      <c r="B10" s="42"/>
      <c r="C10" s="42" t="s">
        <v>430</v>
      </c>
      <c r="D10" s="42" t="s">
        <v>819</v>
      </c>
      <c r="E10" s="42"/>
      <c r="F10" s="42" t="s">
        <v>452</v>
      </c>
      <c r="G10" s="42">
        <v>9848074541</v>
      </c>
      <c r="H10" s="42"/>
      <c r="I10" s="42"/>
      <c r="J10" s="42"/>
      <c r="K10" s="42"/>
      <c r="L10" s="42"/>
      <c r="M10" s="42"/>
      <c r="N10" s="42"/>
      <c r="O10" s="42"/>
      <c r="P10" s="42"/>
      <c r="Q10" s="42"/>
      <c r="R10" s="42"/>
      <c r="S10" s="42"/>
      <c r="T10" s="45"/>
      <c r="U10" s="45"/>
      <c r="V10" s="45"/>
      <c r="W10" s="45"/>
      <c r="X10" s="45"/>
      <c r="Y10" s="45"/>
      <c r="Z10" s="45"/>
      <c r="AA10" s="45"/>
      <c r="AB10" s="45"/>
      <c r="AC10" s="45"/>
      <c r="AD10" s="45"/>
    </row>
    <row r="11" spans="1:30">
      <c r="A11" s="42">
        <f t="shared" si="0"/>
        <v>10</v>
      </c>
      <c r="B11" s="42"/>
      <c r="C11" s="42" t="s">
        <v>430</v>
      </c>
      <c r="D11" s="42" t="s">
        <v>821</v>
      </c>
      <c r="E11" s="42"/>
      <c r="F11" s="42" t="s">
        <v>454</v>
      </c>
      <c r="G11" s="42">
        <v>9848657992</v>
      </c>
      <c r="H11" s="42"/>
      <c r="I11" s="42"/>
      <c r="J11" s="42"/>
      <c r="K11" s="42"/>
      <c r="L11" s="42"/>
      <c r="M11" s="42"/>
      <c r="N11" s="42"/>
      <c r="O11" s="42"/>
      <c r="P11" s="42"/>
      <c r="Q11" s="42"/>
      <c r="R11" s="42"/>
      <c r="S11" s="42"/>
      <c r="T11" s="45"/>
      <c r="U11" s="45"/>
      <c r="V11" s="45"/>
      <c r="W11" s="45"/>
      <c r="X11" s="45"/>
      <c r="Y11" s="45"/>
      <c r="Z11" s="45"/>
      <c r="AA11" s="45"/>
      <c r="AB11" s="45"/>
      <c r="AC11" s="45"/>
      <c r="AD11" s="45"/>
    </row>
    <row r="12" spans="1:30">
      <c r="A12" s="42">
        <f t="shared" si="0"/>
        <v>11</v>
      </c>
      <c r="B12" s="42"/>
      <c r="C12" s="42" t="s">
        <v>11</v>
      </c>
      <c r="D12" s="42" t="s">
        <v>823</v>
      </c>
      <c r="E12" s="42"/>
      <c r="F12" s="42" t="s">
        <v>9729</v>
      </c>
      <c r="G12" s="42">
        <v>9160699909</v>
      </c>
      <c r="H12" s="42"/>
      <c r="I12" s="42"/>
      <c r="J12" s="42"/>
      <c r="K12" s="42"/>
      <c r="L12" s="42"/>
      <c r="M12" s="42"/>
      <c r="N12" s="42"/>
      <c r="O12" s="42"/>
      <c r="P12" s="42"/>
      <c r="Q12" s="42"/>
      <c r="R12" s="42"/>
      <c r="S12" s="42"/>
      <c r="T12" s="45"/>
      <c r="U12" s="45"/>
      <c r="V12" s="45"/>
      <c r="W12" s="45"/>
      <c r="X12" s="45"/>
      <c r="Y12" s="45"/>
      <c r="Z12" s="45"/>
      <c r="AA12" s="45"/>
      <c r="AB12" s="45"/>
      <c r="AC12" s="45"/>
      <c r="AD12" s="45"/>
    </row>
    <row r="13" spans="1:30">
      <c r="A13" s="42">
        <f t="shared" si="0"/>
        <v>12</v>
      </c>
      <c r="B13" s="42"/>
      <c r="C13" s="42" t="s">
        <v>11</v>
      </c>
      <c r="D13" s="42" t="s">
        <v>825</v>
      </c>
      <c r="E13" s="42"/>
      <c r="F13" s="42" t="s">
        <v>268</v>
      </c>
      <c r="G13" s="42">
        <v>9966097546</v>
      </c>
      <c r="H13" s="42"/>
      <c r="I13" s="42"/>
      <c r="J13" s="42"/>
      <c r="K13" s="42"/>
      <c r="L13" s="42"/>
      <c r="M13" s="42"/>
      <c r="N13" s="42"/>
      <c r="O13" s="42"/>
      <c r="P13" s="42"/>
      <c r="Q13" s="42"/>
      <c r="R13" s="42"/>
      <c r="S13" s="42"/>
      <c r="T13" s="45"/>
      <c r="U13" s="45"/>
      <c r="V13" s="45"/>
      <c r="W13" s="45"/>
      <c r="X13" s="45"/>
      <c r="Y13" s="45"/>
      <c r="Z13" s="45"/>
      <c r="AA13" s="45"/>
      <c r="AB13" s="45"/>
      <c r="AC13" s="45"/>
      <c r="AD13" s="45"/>
    </row>
    <row r="14" spans="1:30">
      <c r="A14" s="42">
        <f t="shared" si="0"/>
        <v>13</v>
      </c>
      <c r="B14" s="42"/>
      <c r="C14" s="42" t="s">
        <v>11</v>
      </c>
      <c r="D14" s="42" t="s">
        <v>269</v>
      </c>
      <c r="E14" s="42"/>
      <c r="F14" s="42" t="s">
        <v>270</v>
      </c>
      <c r="G14" s="42">
        <v>9848398161</v>
      </c>
      <c r="H14" s="42"/>
      <c r="I14" s="42"/>
      <c r="J14" s="42"/>
      <c r="K14" s="42"/>
      <c r="L14" s="42"/>
      <c r="M14" s="42"/>
      <c r="N14" s="42"/>
      <c r="O14" s="42"/>
      <c r="P14" s="42"/>
      <c r="Q14" s="42"/>
      <c r="R14" s="42"/>
      <c r="S14" s="42"/>
      <c r="T14" s="45"/>
      <c r="U14" s="45"/>
      <c r="V14" s="45"/>
      <c r="W14" s="45"/>
      <c r="X14" s="45"/>
      <c r="Y14" s="45"/>
      <c r="Z14" s="45"/>
      <c r="AA14" s="45"/>
      <c r="AB14" s="45"/>
      <c r="AC14" s="45"/>
      <c r="AD14" s="45"/>
    </row>
    <row r="15" spans="1:30">
      <c r="A15" s="42">
        <f t="shared" si="0"/>
        <v>14</v>
      </c>
      <c r="B15" s="42"/>
      <c r="C15" s="42" t="s">
        <v>11</v>
      </c>
      <c r="D15" s="42" t="s">
        <v>828</v>
      </c>
      <c r="E15" s="42"/>
      <c r="F15" s="42" t="s">
        <v>272</v>
      </c>
      <c r="G15" s="42">
        <v>9705389099</v>
      </c>
      <c r="H15" s="42"/>
      <c r="I15" s="42"/>
      <c r="J15" s="42"/>
      <c r="K15" s="42"/>
      <c r="L15" s="42"/>
      <c r="M15" s="42"/>
      <c r="N15" s="42"/>
      <c r="O15" s="42"/>
      <c r="P15" s="42"/>
      <c r="Q15" s="42"/>
      <c r="R15" s="42"/>
      <c r="S15" s="42"/>
      <c r="T15" s="45"/>
      <c r="U15" s="45"/>
      <c r="V15" s="45"/>
      <c r="W15" s="45"/>
      <c r="X15" s="45"/>
      <c r="Y15" s="45"/>
      <c r="Z15" s="45"/>
      <c r="AA15" s="45"/>
      <c r="AB15" s="45"/>
      <c r="AC15" s="45"/>
      <c r="AD15" s="45"/>
    </row>
    <row r="16" spans="1:30">
      <c r="A16" s="42">
        <f t="shared" si="0"/>
        <v>15</v>
      </c>
      <c r="B16" s="42"/>
      <c r="C16" s="42" t="s">
        <v>11</v>
      </c>
      <c r="D16" s="42" t="s">
        <v>830</v>
      </c>
      <c r="E16" s="42"/>
      <c r="F16" s="42" t="s">
        <v>274</v>
      </c>
      <c r="G16" s="42">
        <v>9908909820</v>
      </c>
      <c r="H16" s="42"/>
      <c r="I16" s="42"/>
      <c r="J16" s="42"/>
      <c r="K16" s="42"/>
      <c r="L16" s="42"/>
      <c r="M16" s="42"/>
      <c r="N16" s="42"/>
      <c r="O16" s="42"/>
      <c r="P16" s="42"/>
      <c r="Q16" s="42"/>
      <c r="R16" s="42"/>
      <c r="S16" s="42"/>
      <c r="T16" s="45"/>
      <c r="U16" s="45"/>
      <c r="V16" s="45"/>
      <c r="W16" s="45"/>
      <c r="X16" s="45"/>
      <c r="Y16" s="45"/>
      <c r="Z16" s="45"/>
      <c r="AA16" s="45"/>
      <c r="AB16" s="45"/>
      <c r="AC16" s="45"/>
      <c r="AD16" s="45"/>
    </row>
    <row r="17" spans="1:30">
      <c r="A17" s="42">
        <f t="shared" si="0"/>
        <v>16</v>
      </c>
      <c r="B17" s="42"/>
      <c r="C17" s="42" t="s">
        <v>11</v>
      </c>
      <c r="D17" s="42" t="s">
        <v>832</v>
      </c>
      <c r="E17" s="42"/>
      <c r="F17" s="42" t="s">
        <v>276</v>
      </c>
      <c r="G17" s="42">
        <v>9848754599</v>
      </c>
      <c r="H17" s="42"/>
      <c r="I17" s="42"/>
      <c r="J17" s="42"/>
      <c r="K17" s="42"/>
      <c r="L17" s="42"/>
      <c r="M17" s="42"/>
      <c r="N17" s="42"/>
      <c r="O17" s="42"/>
      <c r="P17" s="42"/>
      <c r="Q17" s="42"/>
      <c r="R17" s="42"/>
      <c r="S17" s="42"/>
      <c r="T17" s="45"/>
      <c r="U17" s="45"/>
      <c r="V17" s="45"/>
      <c r="W17" s="45"/>
      <c r="X17" s="45"/>
      <c r="Y17" s="45"/>
      <c r="Z17" s="45"/>
      <c r="AA17" s="45"/>
      <c r="AB17" s="45"/>
      <c r="AC17" s="45"/>
      <c r="AD17" s="45"/>
    </row>
    <row r="18" spans="1:30">
      <c r="A18" s="42">
        <f t="shared" si="0"/>
        <v>17</v>
      </c>
      <c r="B18" s="42"/>
      <c r="C18" s="42" t="s">
        <v>11</v>
      </c>
      <c r="D18" s="42" t="s">
        <v>834</v>
      </c>
      <c r="E18" s="42"/>
      <c r="F18" s="42" t="s">
        <v>278</v>
      </c>
      <c r="G18" s="42">
        <v>7893576090</v>
      </c>
      <c r="H18" s="42"/>
      <c r="I18" s="42"/>
      <c r="J18" s="42"/>
      <c r="K18" s="42"/>
      <c r="L18" s="42"/>
      <c r="M18" s="42"/>
      <c r="N18" s="42"/>
      <c r="O18" s="42"/>
      <c r="P18" s="42"/>
      <c r="Q18" s="42"/>
      <c r="R18" s="42"/>
      <c r="S18" s="42"/>
      <c r="T18" s="45"/>
      <c r="U18" s="45"/>
      <c r="V18" s="45"/>
      <c r="W18" s="45"/>
      <c r="X18" s="45"/>
      <c r="Y18" s="45"/>
      <c r="Z18" s="45"/>
      <c r="AA18" s="45"/>
      <c r="AB18" s="45"/>
      <c r="AC18" s="45"/>
      <c r="AD18" s="45"/>
    </row>
    <row r="19" spans="1:30">
      <c r="A19" s="42">
        <f t="shared" si="0"/>
        <v>18</v>
      </c>
      <c r="B19" s="42"/>
      <c r="C19" s="42" t="s">
        <v>11</v>
      </c>
      <c r="D19" s="42" t="s">
        <v>836</v>
      </c>
      <c r="E19" s="42"/>
      <c r="F19" s="42" t="s">
        <v>282</v>
      </c>
      <c r="G19" s="42">
        <v>9948291614</v>
      </c>
      <c r="H19" s="42"/>
      <c r="I19" s="42"/>
      <c r="J19" s="42"/>
      <c r="K19" s="42"/>
      <c r="L19" s="42"/>
      <c r="M19" s="42"/>
      <c r="N19" s="42"/>
      <c r="O19" s="42"/>
      <c r="P19" s="42"/>
      <c r="Q19" s="42"/>
      <c r="R19" s="42"/>
      <c r="S19" s="42"/>
      <c r="T19" s="45"/>
      <c r="U19" s="45"/>
      <c r="V19" s="45"/>
      <c r="W19" s="45"/>
      <c r="X19" s="45"/>
      <c r="Y19" s="45"/>
      <c r="Z19" s="45"/>
      <c r="AA19" s="45"/>
      <c r="AB19" s="45"/>
      <c r="AC19" s="45"/>
      <c r="AD19" s="45"/>
    </row>
    <row r="20" spans="1:30">
      <c r="A20" s="42">
        <f t="shared" si="0"/>
        <v>19</v>
      </c>
      <c r="B20" s="42"/>
      <c r="C20" s="42" t="s">
        <v>11</v>
      </c>
      <c r="D20" s="42" t="s">
        <v>838</v>
      </c>
      <c r="E20" s="42"/>
      <c r="F20" s="42" t="s">
        <v>285</v>
      </c>
      <c r="G20" s="42">
        <v>9848743953</v>
      </c>
      <c r="H20" s="42"/>
      <c r="I20" s="42"/>
      <c r="J20" s="42"/>
      <c r="K20" s="42"/>
      <c r="L20" s="42"/>
      <c r="M20" s="42"/>
      <c r="N20" s="42"/>
      <c r="O20" s="42"/>
      <c r="P20" s="42"/>
      <c r="Q20" s="42"/>
      <c r="R20" s="42"/>
      <c r="S20" s="42"/>
      <c r="T20" s="45"/>
      <c r="U20" s="45"/>
      <c r="V20" s="45"/>
      <c r="W20" s="45"/>
      <c r="X20" s="45"/>
      <c r="Y20" s="45"/>
      <c r="Z20" s="45"/>
      <c r="AA20" s="45"/>
      <c r="AB20" s="45"/>
      <c r="AC20" s="45"/>
      <c r="AD20" s="45"/>
    </row>
    <row r="21" spans="1:30">
      <c r="A21" s="42">
        <f t="shared" si="0"/>
        <v>20</v>
      </c>
      <c r="B21" s="42"/>
      <c r="C21" s="42" t="s">
        <v>11</v>
      </c>
      <c r="D21" s="42" t="s">
        <v>840</v>
      </c>
      <c r="E21" s="42"/>
      <c r="F21" s="42" t="s">
        <v>287</v>
      </c>
      <c r="G21" s="42">
        <v>9912671919</v>
      </c>
      <c r="H21" s="42"/>
      <c r="I21" s="42"/>
      <c r="J21" s="42"/>
      <c r="K21" s="42"/>
      <c r="L21" s="42"/>
      <c r="M21" s="42"/>
      <c r="N21" s="42"/>
      <c r="O21" s="42"/>
      <c r="P21" s="42"/>
      <c r="Q21" s="42"/>
      <c r="R21" s="42"/>
      <c r="S21" s="42"/>
      <c r="T21" s="45"/>
      <c r="U21" s="45"/>
      <c r="V21" s="45"/>
      <c r="W21" s="45"/>
      <c r="X21" s="45"/>
      <c r="Y21" s="45"/>
      <c r="Z21" s="45"/>
      <c r="AA21" s="45"/>
      <c r="AB21" s="45"/>
      <c r="AC21" s="45"/>
      <c r="AD21" s="45"/>
    </row>
    <row r="22" spans="1:30">
      <c r="A22" s="42">
        <f t="shared" si="0"/>
        <v>21</v>
      </c>
      <c r="B22" s="42"/>
      <c r="C22" s="42" t="s">
        <v>11</v>
      </c>
      <c r="D22" s="42" t="s">
        <v>290</v>
      </c>
      <c r="E22" s="42"/>
      <c r="F22" s="42" t="s">
        <v>291</v>
      </c>
      <c r="G22" s="42">
        <v>9849998334</v>
      </c>
      <c r="H22" s="42"/>
      <c r="I22" s="42"/>
      <c r="J22" s="42"/>
      <c r="K22" s="42"/>
      <c r="L22" s="42"/>
      <c r="M22" s="42"/>
      <c r="N22" s="42"/>
      <c r="O22" s="42"/>
      <c r="P22" s="42"/>
      <c r="Q22" s="42"/>
      <c r="R22" s="42"/>
      <c r="S22" s="42"/>
      <c r="T22" s="45"/>
      <c r="U22" s="45"/>
      <c r="V22" s="45"/>
      <c r="W22" s="45"/>
      <c r="X22" s="45"/>
      <c r="Y22" s="45"/>
      <c r="Z22" s="45"/>
      <c r="AA22" s="45"/>
      <c r="AB22" s="45"/>
      <c r="AC22" s="45"/>
      <c r="AD22" s="45"/>
    </row>
    <row r="23" spans="1:30">
      <c r="A23" s="42">
        <f t="shared" si="0"/>
        <v>22</v>
      </c>
      <c r="B23" s="42"/>
      <c r="C23" s="42" t="s">
        <v>11</v>
      </c>
      <c r="D23" s="42" t="s">
        <v>843</v>
      </c>
      <c r="E23" s="42"/>
      <c r="F23" s="42" t="s">
        <v>293</v>
      </c>
      <c r="G23" s="42">
        <v>9848443334</v>
      </c>
      <c r="H23" s="42"/>
      <c r="I23" s="42"/>
      <c r="J23" s="42"/>
      <c r="K23" s="42"/>
      <c r="L23" s="42"/>
      <c r="M23" s="42"/>
      <c r="N23" s="42"/>
      <c r="O23" s="42"/>
      <c r="P23" s="42"/>
      <c r="Q23" s="42"/>
      <c r="R23" s="42"/>
      <c r="S23" s="42"/>
      <c r="T23" s="45"/>
      <c r="U23" s="45"/>
      <c r="V23" s="45"/>
      <c r="W23" s="45"/>
      <c r="X23" s="45"/>
      <c r="Y23" s="45"/>
      <c r="Z23" s="45"/>
      <c r="AA23" s="45"/>
      <c r="AB23" s="45"/>
      <c r="AC23" s="45"/>
      <c r="AD23" s="45"/>
    </row>
    <row r="24" spans="1:30">
      <c r="A24" s="42">
        <f t="shared" si="0"/>
        <v>23</v>
      </c>
      <c r="B24" s="42"/>
      <c r="C24" s="42" t="s">
        <v>297</v>
      </c>
      <c r="D24" s="42" t="s">
        <v>845</v>
      </c>
      <c r="E24" s="42"/>
      <c r="F24" s="42" t="s">
        <v>299</v>
      </c>
      <c r="G24" s="42">
        <v>7993605566</v>
      </c>
      <c r="H24" s="42"/>
      <c r="I24" s="42"/>
      <c r="J24" s="42"/>
      <c r="K24" s="42"/>
      <c r="L24" s="42"/>
      <c r="M24" s="42"/>
      <c r="N24" s="42"/>
      <c r="O24" s="42"/>
      <c r="P24" s="42"/>
      <c r="Q24" s="42"/>
      <c r="R24" s="42"/>
      <c r="S24" s="42"/>
      <c r="T24" s="45"/>
      <c r="U24" s="45"/>
      <c r="V24" s="45"/>
      <c r="W24" s="45"/>
      <c r="X24" s="45"/>
      <c r="Y24" s="45"/>
      <c r="Z24" s="45"/>
      <c r="AA24" s="45"/>
      <c r="AB24" s="45"/>
      <c r="AC24" s="45"/>
      <c r="AD24" s="45"/>
    </row>
    <row r="25" spans="1:30">
      <c r="A25" s="42">
        <f t="shared" si="0"/>
        <v>24</v>
      </c>
      <c r="B25" s="42"/>
      <c r="C25" s="42" t="s">
        <v>297</v>
      </c>
      <c r="D25" s="42" t="s">
        <v>847</v>
      </c>
      <c r="E25" s="42"/>
      <c r="F25" s="42" t="s">
        <v>301</v>
      </c>
      <c r="G25" s="42">
        <v>9502319888</v>
      </c>
      <c r="H25" s="42"/>
      <c r="I25" s="42"/>
      <c r="J25" s="42"/>
      <c r="K25" s="42"/>
      <c r="L25" s="42"/>
      <c r="M25" s="42"/>
      <c r="N25" s="42"/>
      <c r="O25" s="42"/>
      <c r="P25" s="42"/>
      <c r="Q25" s="42"/>
      <c r="R25" s="42"/>
      <c r="S25" s="42"/>
      <c r="T25" s="45"/>
      <c r="U25" s="45"/>
      <c r="V25" s="45"/>
      <c r="W25" s="45"/>
      <c r="X25" s="45"/>
      <c r="Y25" s="45"/>
      <c r="Z25" s="45"/>
      <c r="AA25" s="45"/>
      <c r="AB25" s="45"/>
      <c r="AC25" s="45"/>
      <c r="AD25" s="45"/>
    </row>
    <row r="26" spans="1:30">
      <c r="A26" s="42">
        <f t="shared" si="0"/>
        <v>25</v>
      </c>
      <c r="B26" s="42"/>
      <c r="C26" s="42" t="s">
        <v>297</v>
      </c>
      <c r="D26" s="42" t="s">
        <v>849</v>
      </c>
      <c r="E26" s="42"/>
      <c r="F26" s="42" t="s">
        <v>9730</v>
      </c>
      <c r="G26" s="42">
        <v>9030943999</v>
      </c>
      <c r="H26" s="42"/>
      <c r="I26" s="42"/>
      <c r="J26" s="42"/>
      <c r="K26" s="42"/>
      <c r="L26" s="42"/>
      <c r="M26" s="42"/>
      <c r="N26" s="42"/>
      <c r="O26" s="42"/>
      <c r="P26" s="42"/>
      <c r="Q26" s="42"/>
      <c r="R26" s="42"/>
      <c r="S26" s="42"/>
      <c r="T26" s="45"/>
      <c r="U26" s="45"/>
      <c r="V26" s="45"/>
      <c r="W26" s="45"/>
      <c r="X26" s="45"/>
      <c r="Y26" s="45"/>
      <c r="Z26" s="45"/>
      <c r="AA26" s="45"/>
      <c r="AB26" s="45"/>
      <c r="AC26" s="45"/>
      <c r="AD26" s="45"/>
    </row>
    <row r="27" spans="1:30">
      <c r="A27" s="42">
        <f t="shared" si="0"/>
        <v>26</v>
      </c>
      <c r="B27" s="42"/>
      <c r="C27" s="42" t="s">
        <v>297</v>
      </c>
      <c r="D27" s="42" t="s">
        <v>851</v>
      </c>
      <c r="E27" s="42"/>
      <c r="F27" s="42" t="s">
        <v>304</v>
      </c>
      <c r="G27" s="42">
        <v>6301293869</v>
      </c>
      <c r="H27" s="42"/>
      <c r="I27" s="42"/>
      <c r="J27" s="42"/>
      <c r="K27" s="42"/>
      <c r="L27" s="42"/>
      <c r="M27" s="42"/>
      <c r="N27" s="42"/>
      <c r="O27" s="42"/>
      <c r="P27" s="42"/>
      <c r="Q27" s="42"/>
      <c r="R27" s="42"/>
      <c r="S27" s="42"/>
      <c r="T27" s="45"/>
      <c r="U27" s="45"/>
      <c r="V27" s="45"/>
      <c r="W27" s="45"/>
      <c r="X27" s="45"/>
      <c r="Y27" s="45"/>
      <c r="Z27" s="45"/>
      <c r="AA27" s="45"/>
      <c r="AB27" s="45"/>
      <c r="AC27" s="45"/>
      <c r="AD27" s="45"/>
    </row>
    <row r="28" spans="1:30">
      <c r="A28" s="42">
        <f t="shared" si="0"/>
        <v>27</v>
      </c>
      <c r="B28" s="42"/>
      <c r="C28" s="42" t="s">
        <v>297</v>
      </c>
      <c r="D28" s="42" t="s">
        <v>853</v>
      </c>
      <c r="E28" s="42"/>
      <c r="F28" s="42" t="s">
        <v>306</v>
      </c>
      <c r="G28" s="42">
        <v>9640273737</v>
      </c>
      <c r="H28" s="42"/>
      <c r="I28" s="42"/>
      <c r="J28" s="42"/>
      <c r="K28" s="42"/>
      <c r="L28" s="42"/>
      <c r="M28" s="42"/>
      <c r="N28" s="42"/>
      <c r="O28" s="42"/>
      <c r="P28" s="42"/>
      <c r="Q28" s="42"/>
      <c r="R28" s="42"/>
      <c r="S28" s="42"/>
      <c r="T28" s="45"/>
      <c r="U28" s="45"/>
      <c r="V28" s="45"/>
      <c r="W28" s="45"/>
      <c r="X28" s="45"/>
      <c r="Y28" s="45"/>
      <c r="Z28" s="45"/>
      <c r="AA28" s="45"/>
      <c r="AB28" s="45"/>
      <c r="AC28" s="45"/>
      <c r="AD28" s="45"/>
    </row>
    <row r="29" spans="1:30">
      <c r="A29" s="42">
        <f t="shared" si="0"/>
        <v>28</v>
      </c>
      <c r="B29" s="42"/>
      <c r="C29" s="42" t="s">
        <v>297</v>
      </c>
      <c r="D29" s="42" t="s">
        <v>855</v>
      </c>
      <c r="E29" s="42"/>
      <c r="F29" s="42" t="s">
        <v>307</v>
      </c>
      <c r="G29" s="42">
        <v>9532066467</v>
      </c>
      <c r="H29" s="42"/>
      <c r="I29" s="42"/>
      <c r="J29" s="42"/>
      <c r="K29" s="42"/>
      <c r="L29" s="42"/>
      <c r="M29" s="42"/>
      <c r="N29" s="42"/>
      <c r="O29" s="42"/>
      <c r="P29" s="42"/>
      <c r="Q29" s="42"/>
      <c r="R29" s="42"/>
      <c r="S29" s="42"/>
      <c r="T29" s="45"/>
      <c r="U29" s="45"/>
      <c r="V29" s="45"/>
      <c r="W29" s="45"/>
      <c r="X29" s="45"/>
      <c r="Y29" s="45"/>
      <c r="Z29" s="45"/>
      <c r="AA29" s="45"/>
      <c r="AB29" s="45"/>
      <c r="AC29" s="45"/>
      <c r="AD29" s="45"/>
    </row>
    <row r="30" spans="1:30">
      <c r="A30" s="42">
        <f t="shared" si="0"/>
        <v>29</v>
      </c>
      <c r="B30" s="42"/>
      <c r="C30" s="42" t="s">
        <v>297</v>
      </c>
      <c r="D30" s="42" t="s">
        <v>308</v>
      </c>
      <c r="E30" s="42"/>
      <c r="F30" s="42" t="s">
        <v>309</v>
      </c>
      <c r="G30" s="42">
        <v>9494106999</v>
      </c>
      <c r="H30" s="42"/>
      <c r="I30" s="42"/>
      <c r="J30" s="42"/>
      <c r="K30" s="42"/>
      <c r="L30" s="42"/>
      <c r="M30" s="42"/>
      <c r="N30" s="42"/>
      <c r="O30" s="42"/>
      <c r="P30" s="42"/>
      <c r="Q30" s="42"/>
      <c r="R30" s="42"/>
      <c r="S30" s="42"/>
      <c r="T30" s="45"/>
      <c r="U30" s="45"/>
      <c r="V30" s="45"/>
      <c r="W30" s="45"/>
      <c r="X30" s="45"/>
      <c r="Y30" s="45"/>
      <c r="Z30" s="45"/>
      <c r="AA30" s="45"/>
      <c r="AB30" s="45"/>
      <c r="AC30" s="45"/>
      <c r="AD30" s="45"/>
    </row>
    <row r="31" spans="1:30">
      <c r="A31" s="42">
        <f t="shared" si="0"/>
        <v>30</v>
      </c>
      <c r="B31" s="42"/>
      <c r="C31" s="42" t="s">
        <v>297</v>
      </c>
      <c r="D31" s="42" t="s">
        <v>858</v>
      </c>
      <c r="E31" s="42"/>
      <c r="F31" s="42" t="s">
        <v>311</v>
      </c>
      <c r="G31" s="42">
        <v>9666375249</v>
      </c>
      <c r="H31" s="42"/>
      <c r="I31" s="42"/>
      <c r="J31" s="42"/>
      <c r="K31" s="42"/>
      <c r="L31" s="42"/>
      <c r="M31" s="42"/>
      <c r="N31" s="42"/>
      <c r="O31" s="42"/>
      <c r="P31" s="42"/>
      <c r="Q31" s="42"/>
      <c r="R31" s="42"/>
      <c r="S31" s="42"/>
      <c r="T31" s="45"/>
      <c r="U31" s="45"/>
      <c r="V31" s="45"/>
      <c r="W31" s="45"/>
      <c r="X31" s="45"/>
      <c r="Y31" s="45"/>
      <c r="Z31" s="45"/>
      <c r="AA31" s="45"/>
      <c r="AB31" s="45"/>
      <c r="AC31" s="45"/>
      <c r="AD31" s="45"/>
    </row>
    <row r="32" spans="1:30">
      <c r="A32" s="42">
        <f t="shared" si="0"/>
        <v>31</v>
      </c>
      <c r="B32" s="42"/>
      <c r="C32" s="42" t="s">
        <v>297</v>
      </c>
      <c r="D32" s="42" t="s">
        <v>860</v>
      </c>
      <c r="E32" s="42"/>
      <c r="F32" s="42" t="s">
        <v>314</v>
      </c>
      <c r="G32" s="42">
        <v>9849698654</v>
      </c>
      <c r="H32" s="42"/>
      <c r="I32" s="42"/>
      <c r="J32" s="42"/>
      <c r="K32" s="42"/>
      <c r="L32" s="42"/>
      <c r="M32" s="42"/>
      <c r="N32" s="42"/>
      <c r="O32" s="42"/>
      <c r="P32" s="42"/>
      <c r="Q32" s="42"/>
      <c r="R32" s="42"/>
      <c r="S32" s="42"/>
      <c r="T32" s="45"/>
      <c r="U32" s="45"/>
      <c r="V32" s="45"/>
      <c r="W32" s="45"/>
      <c r="X32" s="45"/>
      <c r="Y32" s="45"/>
      <c r="Z32" s="45"/>
      <c r="AA32" s="45"/>
      <c r="AB32" s="45"/>
      <c r="AC32" s="45"/>
      <c r="AD32" s="45"/>
    </row>
    <row r="33" spans="1:30">
      <c r="A33" s="42">
        <f t="shared" si="0"/>
        <v>32</v>
      </c>
      <c r="B33" s="42"/>
      <c r="C33" s="42" t="s">
        <v>297</v>
      </c>
      <c r="D33" s="42" t="s">
        <v>862</v>
      </c>
      <c r="E33" s="42"/>
      <c r="F33" s="42" t="s">
        <v>316</v>
      </c>
      <c r="G33" s="42">
        <v>9666566235</v>
      </c>
      <c r="H33" s="42"/>
      <c r="I33" s="42"/>
      <c r="J33" s="42"/>
      <c r="K33" s="42"/>
      <c r="L33" s="42"/>
      <c r="M33" s="42"/>
      <c r="N33" s="42"/>
      <c r="O33" s="42"/>
      <c r="P33" s="42"/>
      <c r="Q33" s="42"/>
      <c r="R33" s="42"/>
      <c r="S33" s="42"/>
      <c r="T33" s="45"/>
      <c r="U33" s="45"/>
      <c r="V33" s="45"/>
      <c r="W33" s="45"/>
      <c r="X33" s="45"/>
      <c r="Y33" s="45"/>
      <c r="Z33" s="45"/>
      <c r="AA33" s="45"/>
      <c r="AB33" s="45"/>
      <c r="AC33" s="45"/>
      <c r="AD33" s="45"/>
    </row>
    <row r="34" spans="1:30">
      <c r="A34" s="42">
        <f t="shared" si="0"/>
        <v>33</v>
      </c>
      <c r="B34" s="42"/>
      <c r="C34" s="42" t="s">
        <v>297</v>
      </c>
      <c r="D34" s="42" t="s">
        <v>864</v>
      </c>
      <c r="E34" s="42"/>
      <c r="F34" s="42" t="s">
        <v>318</v>
      </c>
      <c r="G34" s="42">
        <v>9948445419</v>
      </c>
      <c r="H34" s="42"/>
      <c r="I34" s="42"/>
      <c r="J34" s="42"/>
      <c r="K34" s="42"/>
      <c r="L34" s="42"/>
      <c r="M34" s="42"/>
      <c r="N34" s="42"/>
      <c r="O34" s="42"/>
      <c r="P34" s="42"/>
      <c r="Q34" s="42"/>
      <c r="R34" s="42"/>
      <c r="S34" s="42"/>
      <c r="T34" s="45"/>
      <c r="U34" s="45"/>
      <c r="V34" s="45"/>
      <c r="W34" s="45"/>
      <c r="X34" s="45"/>
      <c r="Y34" s="45"/>
      <c r="Z34" s="45"/>
      <c r="AA34" s="45"/>
      <c r="AB34" s="45"/>
      <c r="AC34" s="45"/>
      <c r="AD34" s="45"/>
    </row>
    <row r="35" spans="1:30">
      <c r="A35" s="42">
        <f t="shared" si="0"/>
        <v>34</v>
      </c>
      <c r="B35" s="42"/>
      <c r="C35" s="42" t="s">
        <v>297</v>
      </c>
      <c r="D35" s="42" t="s">
        <v>866</v>
      </c>
      <c r="E35" s="42"/>
      <c r="F35" s="42" t="s">
        <v>320</v>
      </c>
      <c r="G35" s="42">
        <v>9848295290</v>
      </c>
      <c r="H35" s="42"/>
      <c r="I35" s="42"/>
      <c r="J35" s="42"/>
      <c r="K35" s="42"/>
      <c r="L35" s="42"/>
      <c r="M35" s="42"/>
      <c r="N35" s="42"/>
      <c r="O35" s="42"/>
      <c r="P35" s="42"/>
      <c r="Q35" s="42"/>
      <c r="R35" s="42"/>
      <c r="S35" s="42"/>
      <c r="T35" s="45"/>
      <c r="U35" s="45"/>
      <c r="V35" s="45"/>
      <c r="W35" s="45"/>
      <c r="X35" s="45"/>
      <c r="Y35" s="45"/>
      <c r="Z35" s="45"/>
      <c r="AA35" s="45"/>
      <c r="AB35" s="45"/>
      <c r="AC35" s="45"/>
      <c r="AD35" s="45"/>
    </row>
    <row r="36" spans="1:30">
      <c r="A36" s="42">
        <f t="shared" si="0"/>
        <v>35</v>
      </c>
      <c r="B36" s="42"/>
      <c r="C36" s="42" t="s">
        <v>297</v>
      </c>
      <c r="D36" s="42" t="s">
        <v>868</v>
      </c>
      <c r="E36" s="42"/>
      <c r="F36" s="42" t="s">
        <v>322</v>
      </c>
      <c r="G36" s="42">
        <v>7993903954</v>
      </c>
      <c r="H36" s="42"/>
      <c r="I36" s="42"/>
      <c r="J36" s="42"/>
      <c r="K36" s="42"/>
      <c r="L36" s="42"/>
      <c r="M36" s="42"/>
      <c r="N36" s="42"/>
      <c r="O36" s="42"/>
      <c r="P36" s="42"/>
      <c r="Q36" s="42"/>
      <c r="R36" s="42"/>
      <c r="S36" s="42"/>
      <c r="T36" s="45"/>
      <c r="U36" s="45"/>
      <c r="V36" s="45"/>
      <c r="W36" s="45"/>
      <c r="X36" s="45"/>
      <c r="Y36" s="45"/>
      <c r="Z36" s="45"/>
      <c r="AA36" s="45"/>
      <c r="AB36" s="45"/>
      <c r="AC36" s="45"/>
      <c r="AD36" s="45"/>
    </row>
    <row r="37" spans="1:30">
      <c r="A37" s="42">
        <f t="shared" si="0"/>
        <v>36</v>
      </c>
      <c r="B37" s="42"/>
      <c r="C37" s="42" t="s">
        <v>297</v>
      </c>
      <c r="D37" s="42" t="s">
        <v>323</v>
      </c>
      <c r="E37" s="42"/>
      <c r="F37" s="42" t="s">
        <v>324</v>
      </c>
      <c r="G37" s="42">
        <v>8498033555</v>
      </c>
      <c r="H37" s="42"/>
      <c r="I37" s="42"/>
      <c r="J37" s="42"/>
      <c r="K37" s="42"/>
      <c r="L37" s="42"/>
      <c r="M37" s="42"/>
      <c r="N37" s="42"/>
      <c r="O37" s="42"/>
      <c r="P37" s="42"/>
      <c r="Q37" s="42"/>
      <c r="R37" s="42"/>
      <c r="S37" s="42"/>
      <c r="T37" s="45"/>
      <c r="U37" s="45"/>
      <c r="V37" s="45"/>
      <c r="W37" s="45"/>
      <c r="X37" s="45"/>
      <c r="Y37" s="45"/>
      <c r="Z37" s="45"/>
      <c r="AA37" s="45"/>
      <c r="AB37" s="45"/>
      <c r="AC37" s="45"/>
      <c r="AD37" s="45"/>
    </row>
    <row r="38" spans="1:30">
      <c r="A38" s="42">
        <f t="shared" si="0"/>
        <v>37</v>
      </c>
      <c r="B38" s="42"/>
      <c r="C38" s="42" t="s">
        <v>297</v>
      </c>
      <c r="D38" s="42" t="s">
        <v>871</v>
      </c>
      <c r="E38" s="42"/>
      <c r="F38" s="42" t="s">
        <v>326</v>
      </c>
      <c r="G38" s="42">
        <v>9989417657</v>
      </c>
      <c r="H38" s="42"/>
      <c r="I38" s="42"/>
      <c r="J38" s="42"/>
      <c r="K38" s="42"/>
      <c r="L38" s="42"/>
      <c r="M38" s="42"/>
      <c r="N38" s="42"/>
      <c r="O38" s="42"/>
      <c r="P38" s="42"/>
      <c r="Q38" s="42"/>
      <c r="R38" s="42"/>
      <c r="S38" s="42"/>
      <c r="T38" s="45"/>
      <c r="U38" s="45"/>
      <c r="V38" s="45"/>
      <c r="W38" s="45"/>
      <c r="X38" s="45"/>
      <c r="Y38" s="45"/>
      <c r="Z38" s="45"/>
      <c r="AA38" s="45"/>
      <c r="AB38" s="45"/>
      <c r="AC38" s="45"/>
      <c r="AD38" s="45"/>
    </row>
    <row r="39" spans="1:30">
      <c r="A39" s="42">
        <f t="shared" si="0"/>
        <v>38</v>
      </c>
      <c r="B39" s="42"/>
      <c r="C39" s="42" t="s">
        <v>297</v>
      </c>
      <c r="D39" s="42" t="s">
        <v>327</v>
      </c>
      <c r="E39" s="42"/>
      <c r="F39" s="42" t="s">
        <v>328</v>
      </c>
      <c r="G39" s="42">
        <v>6305247836</v>
      </c>
      <c r="H39" s="42"/>
      <c r="I39" s="42"/>
      <c r="J39" s="42"/>
      <c r="K39" s="42"/>
      <c r="L39" s="42"/>
      <c r="M39" s="42"/>
      <c r="N39" s="42"/>
      <c r="O39" s="42"/>
      <c r="P39" s="42"/>
      <c r="Q39" s="42"/>
      <c r="R39" s="42"/>
      <c r="S39" s="42"/>
      <c r="T39" s="45"/>
      <c r="U39" s="45"/>
      <c r="V39" s="45"/>
      <c r="W39" s="45"/>
      <c r="X39" s="45"/>
      <c r="Y39" s="45"/>
      <c r="Z39" s="45"/>
      <c r="AA39" s="45"/>
      <c r="AB39" s="45"/>
      <c r="AC39" s="45"/>
      <c r="AD39" s="45"/>
    </row>
    <row r="40" spans="1:30">
      <c r="A40" s="42">
        <f t="shared" si="0"/>
        <v>39</v>
      </c>
      <c r="B40" s="42"/>
      <c r="C40" s="42" t="s">
        <v>297</v>
      </c>
      <c r="D40" s="42" t="s">
        <v>874</v>
      </c>
      <c r="E40" s="42"/>
      <c r="F40" s="42" t="s">
        <v>330</v>
      </c>
      <c r="G40" s="42">
        <v>9951975888</v>
      </c>
      <c r="H40" s="42"/>
      <c r="I40" s="42"/>
      <c r="J40" s="42"/>
      <c r="K40" s="42"/>
      <c r="L40" s="42"/>
      <c r="M40" s="42"/>
      <c r="N40" s="42"/>
      <c r="O40" s="42"/>
      <c r="P40" s="42"/>
      <c r="Q40" s="42"/>
      <c r="R40" s="42"/>
      <c r="S40" s="42"/>
      <c r="T40" s="45"/>
      <c r="U40" s="45"/>
      <c r="V40" s="45"/>
      <c r="W40" s="45"/>
      <c r="X40" s="45"/>
      <c r="Y40" s="45"/>
      <c r="Z40" s="45"/>
      <c r="AA40" s="45"/>
      <c r="AB40" s="45"/>
      <c r="AC40" s="45"/>
      <c r="AD40" s="45"/>
    </row>
    <row r="41" spans="1:30">
      <c r="A41" s="42">
        <f t="shared" si="0"/>
        <v>40</v>
      </c>
      <c r="B41" s="42"/>
      <c r="C41" s="42" t="s">
        <v>297</v>
      </c>
      <c r="D41" s="42" t="s">
        <v>876</v>
      </c>
      <c r="E41" s="42"/>
      <c r="F41" s="42" t="s">
        <v>332</v>
      </c>
      <c r="G41" s="42">
        <v>9553395145</v>
      </c>
      <c r="H41" s="42"/>
      <c r="I41" s="42"/>
      <c r="J41" s="42"/>
      <c r="K41" s="42"/>
      <c r="L41" s="42"/>
      <c r="M41" s="42"/>
      <c r="N41" s="42"/>
      <c r="O41" s="42"/>
      <c r="P41" s="42"/>
      <c r="Q41" s="42"/>
      <c r="R41" s="42"/>
      <c r="S41" s="42"/>
      <c r="T41" s="45"/>
      <c r="U41" s="45"/>
      <c r="V41" s="45"/>
      <c r="W41" s="45"/>
      <c r="X41" s="45"/>
      <c r="Y41" s="45"/>
      <c r="Z41" s="45"/>
      <c r="AA41" s="45"/>
      <c r="AB41" s="45"/>
      <c r="AC41" s="45"/>
      <c r="AD41" s="45"/>
    </row>
    <row r="42" spans="1:30">
      <c r="A42" s="42">
        <f t="shared" si="0"/>
        <v>41</v>
      </c>
      <c r="B42" s="42"/>
      <c r="C42" s="42" t="s">
        <v>297</v>
      </c>
      <c r="D42" s="42" t="s">
        <v>878</v>
      </c>
      <c r="E42" s="42"/>
      <c r="F42" s="42" t="s">
        <v>334</v>
      </c>
      <c r="G42" s="42">
        <v>8790503563</v>
      </c>
      <c r="H42" s="42"/>
      <c r="I42" s="42"/>
      <c r="J42" s="42"/>
      <c r="K42" s="42"/>
      <c r="L42" s="42"/>
      <c r="M42" s="42"/>
      <c r="N42" s="42"/>
      <c r="O42" s="42"/>
      <c r="P42" s="42"/>
      <c r="Q42" s="42"/>
      <c r="R42" s="42"/>
      <c r="S42" s="42"/>
      <c r="T42" s="45"/>
      <c r="U42" s="45"/>
      <c r="V42" s="45"/>
      <c r="W42" s="45"/>
      <c r="X42" s="45"/>
      <c r="Y42" s="45"/>
      <c r="Z42" s="45"/>
      <c r="AA42" s="45"/>
      <c r="AB42" s="45"/>
      <c r="AC42" s="45"/>
      <c r="AD42" s="45"/>
    </row>
    <row r="43" spans="1:30">
      <c r="A43" s="42">
        <f t="shared" si="0"/>
        <v>42</v>
      </c>
      <c r="B43" s="42"/>
      <c r="C43" s="42" t="s">
        <v>297</v>
      </c>
      <c r="D43" s="42" t="s">
        <v>335</v>
      </c>
      <c r="E43" s="42"/>
      <c r="F43" s="42" t="s">
        <v>336</v>
      </c>
      <c r="G43" s="42">
        <v>9959570866</v>
      </c>
      <c r="H43" s="42"/>
      <c r="I43" s="42"/>
      <c r="J43" s="42"/>
      <c r="K43" s="42"/>
      <c r="L43" s="42"/>
      <c r="M43" s="42"/>
      <c r="N43" s="42"/>
      <c r="O43" s="42"/>
      <c r="P43" s="42"/>
      <c r="Q43" s="42"/>
      <c r="R43" s="42"/>
      <c r="S43" s="42"/>
      <c r="T43" s="45"/>
      <c r="U43" s="45"/>
      <c r="V43" s="45"/>
      <c r="W43" s="45"/>
      <c r="X43" s="45"/>
      <c r="Y43" s="45"/>
      <c r="Z43" s="45"/>
      <c r="AA43" s="45"/>
      <c r="AB43" s="45"/>
      <c r="AC43" s="45"/>
      <c r="AD43" s="45"/>
    </row>
    <row r="44" spans="1:30">
      <c r="A44" s="42">
        <f t="shared" si="0"/>
        <v>43</v>
      </c>
      <c r="B44" s="42"/>
      <c r="C44" s="42" t="s">
        <v>297</v>
      </c>
      <c r="D44" s="42" t="s">
        <v>881</v>
      </c>
      <c r="E44" s="42"/>
      <c r="F44" s="42" t="s">
        <v>338</v>
      </c>
      <c r="G44" s="42">
        <v>9182824192</v>
      </c>
      <c r="H44" s="42"/>
      <c r="I44" s="42"/>
      <c r="J44" s="42"/>
      <c r="K44" s="42"/>
      <c r="L44" s="42"/>
      <c r="M44" s="42"/>
      <c r="N44" s="42"/>
      <c r="O44" s="42"/>
      <c r="P44" s="42"/>
      <c r="Q44" s="42"/>
      <c r="R44" s="42"/>
      <c r="S44" s="42"/>
      <c r="T44" s="45"/>
      <c r="U44" s="45"/>
      <c r="V44" s="45"/>
      <c r="W44" s="45"/>
      <c r="X44" s="45"/>
      <c r="Y44" s="45"/>
      <c r="Z44" s="45"/>
      <c r="AA44" s="45"/>
      <c r="AB44" s="45"/>
      <c r="AC44" s="45"/>
      <c r="AD44" s="45"/>
    </row>
    <row r="45" spans="1:30">
      <c r="A45" s="42">
        <f t="shared" si="0"/>
        <v>44</v>
      </c>
      <c r="B45" s="42"/>
      <c r="C45" s="42" t="s">
        <v>297</v>
      </c>
      <c r="D45" s="42" t="s">
        <v>883</v>
      </c>
      <c r="E45" s="42"/>
      <c r="F45" s="42" t="s">
        <v>340</v>
      </c>
      <c r="G45" s="42">
        <v>8688433626</v>
      </c>
      <c r="H45" s="42"/>
      <c r="I45" s="42"/>
      <c r="J45" s="42"/>
      <c r="K45" s="42"/>
      <c r="L45" s="42"/>
      <c r="M45" s="42"/>
      <c r="N45" s="42"/>
      <c r="O45" s="42"/>
      <c r="P45" s="42"/>
      <c r="Q45" s="42"/>
      <c r="R45" s="42"/>
      <c r="S45" s="42"/>
      <c r="T45" s="45"/>
      <c r="U45" s="45"/>
      <c r="V45" s="45"/>
      <c r="W45" s="45"/>
      <c r="X45" s="45"/>
      <c r="Y45" s="45"/>
      <c r="Z45" s="45"/>
      <c r="AA45" s="45"/>
      <c r="AB45" s="45"/>
      <c r="AC45" s="45"/>
      <c r="AD45" s="45"/>
    </row>
    <row r="46" spans="1:30">
      <c r="A46" s="42">
        <f t="shared" si="0"/>
        <v>45</v>
      </c>
      <c r="B46" s="42"/>
      <c r="C46" s="42" t="s">
        <v>297</v>
      </c>
      <c r="D46" s="42" t="s">
        <v>885</v>
      </c>
      <c r="E46" s="42"/>
      <c r="F46" s="42" t="s">
        <v>342</v>
      </c>
      <c r="G46" s="42">
        <v>9014074678</v>
      </c>
      <c r="H46" s="42"/>
      <c r="I46" s="42"/>
      <c r="J46" s="42"/>
      <c r="K46" s="42"/>
      <c r="L46" s="42"/>
      <c r="M46" s="42"/>
      <c r="N46" s="42"/>
      <c r="O46" s="42"/>
      <c r="P46" s="42"/>
      <c r="Q46" s="42"/>
      <c r="R46" s="42"/>
      <c r="S46" s="42"/>
      <c r="T46" s="45"/>
      <c r="U46" s="45"/>
      <c r="V46" s="45"/>
      <c r="W46" s="45"/>
      <c r="X46" s="45"/>
      <c r="Y46" s="45"/>
      <c r="Z46" s="45"/>
      <c r="AA46" s="45"/>
      <c r="AB46" s="45"/>
      <c r="AC46" s="45"/>
      <c r="AD46" s="45"/>
    </row>
    <row r="47" spans="1:30">
      <c r="A47" s="42">
        <f t="shared" si="0"/>
        <v>46</v>
      </c>
      <c r="B47" s="42"/>
      <c r="C47" s="42" t="s">
        <v>10</v>
      </c>
      <c r="D47" s="42" t="s">
        <v>887</v>
      </c>
      <c r="E47" s="42"/>
      <c r="F47" s="42" t="s">
        <v>492</v>
      </c>
      <c r="G47" s="42">
        <v>9494922233</v>
      </c>
      <c r="H47" s="42"/>
      <c r="I47" s="42"/>
      <c r="J47" s="42"/>
      <c r="K47" s="42"/>
      <c r="L47" s="42"/>
      <c r="M47" s="42"/>
      <c r="N47" s="42"/>
      <c r="O47" s="42"/>
      <c r="P47" s="42"/>
      <c r="Q47" s="42"/>
      <c r="R47" s="42"/>
      <c r="S47" s="42"/>
      <c r="T47" s="45"/>
      <c r="U47" s="45"/>
      <c r="V47" s="45"/>
      <c r="W47" s="45"/>
      <c r="X47" s="45"/>
      <c r="Y47" s="45"/>
      <c r="Z47" s="45"/>
      <c r="AA47" s="45"/>
      <c r="AB47" s="45"/>
      <c r="AC47" s="45"/>
      <c r="AD47" s="45"/>
    </row>
    <row r="48" spans="1:30">
      <c r="A48" s="42">
        <f t="shared" si="0"/>
        <v>47</v>
      </c>
      <c r="B48" s="42"/>
      <c r="C48" s="42" t="s">
        <v>10</v>
      </c>
      <c r="D48" s="42" t="s">
        <v>889</v>
      </c>
      <c r="E48" s="42"/>
      <c r="F48" s="42" t="s">
        <v>490</v>
      </c>
      <c r="G48" s="42">
        <v>9848576836</v>
      </c>
      <c r="H48" s="42"/>
      <c r="I48" s="42"/>
      <c r="J48" s="42"/>
      <c r="K48" s="42"/>
      <c r="L48" s="42"/>
      <c r="M48" s="42"/>
      <c r="N48" s="42"/>
      <c r="O48" s="42"/>
      <c r="P48" s="42"/>
      <c r="Q48" s="42"/>
      <c r="R48" s="42"/>
      <c r="S48" s="42"/>
      <c r="T48" s="45"/>
      <c r="U48" s="45"/>
      <c r="V48" s="45"/>
      <c r="W48" s="45"/>
      <c r="X48" s="45"/>
      <c r="Y48" s="45"/>
      <c r="Z48" s="45"/>
      <c r="AA48" s="45"/>
      <c r="AB48" s="45"/>
      <c r="AC48" s="45"/>
      <c r="AD48" s="45"/>
    </row>
    <row r="49" spans="1:30">
      <c r="A49" s="42">
        <f t="shared" si="0"/>
        <v>48</v>
      </c>
      <c r="B49" s="42"/>
      <c r="C49" s="42" t="s">
        <v>10</v>
      </c>
      <c r="D49" s="42" t="s">
        <v>493</v>
      </c>
      <c r="E49" s="42"/>
      <c r="F49" s="42" t="s">
        <v>494</v>
      </c>
      <c r="G49" s="42">
        <v>9177038857</v>
      </c>
      <c r="H49" s="42"/>
      <c r="I49" s="42"/>
      <c r="J49" s="42"/>
      <c r="K49" s="42"/>
      <c r="L49" s="42"/>
      <c r="M49" s="42"/>
      <c r="N49" s="42"/>
      <c r="O49" s="42"/>
      <c r="P49" s="42"/>
      <c r="Q49" s="42"/>
      <c r="R49" s="42"/>
      <c r="S49" s="42"/>
      <c r="T49" s="45"/>
      <c r="U49" s="45"/>
      <c r="V49" s="45"/>
      <c r="W49" s="45"/>
      <c r="X49" s="45"/>
      <c r="Y49" s="45"/>
      <c r="Z49" s="45"/>
      <c r="AA49" s="45"/>
      <c r="AB49" s="45"/>
      <c r="AC49" s="45"/>
      <c r="AD49" s="45"/>
    </row>
    <row r="50" spans="1:30">
      <c r="A50" s="42">
        <f t="shared" si="0"/>
        <v>49</v>
      </c>
      <c r="B50" s="42"/>
      <c r="C50" s="42" t="s">
        <v>10</v>
      </c>
      <c r="D50" s="42" t="s">
        <v>495</v>
      </c>
      <c r="E50" s="42"/>
      <c r="F50" s="42" t="s">
        <v>496</v>
      </c>
      <c r="G50" s="42">
        <v>8978177792</v>
      </c>
      <c r="H50" s="42"/>
      <c r="I50" s="42"/>
      <c r="J50" s="42"/>
      <c r="K50" s="42"/>
      <c r="L50" s="42"/>
      <c r="M50" s="42"/>
      <c r="N50" s="42"/>
      <c r="O50" s="42"/>
      <c r="P50" s="42"/>
      <c r="Q50" s="42"/>
      <c r="R50" s="42"/>
      <c r="S50" s="42"/>
      <c r="T50" s="45"/>
      <c r="U50" s="45"/>
      <c r="V50" s="45"/>
      <c r="W50" s="45"/>
      <c r="X50" s="45"/>
      <c r="Y50" s="45"/>
      <c r="Z50" s="45"/>
      <c r="AA50" s="45"/>
      <c r="AB50" s="45"/>
      <c r="AC50" s="45"/>
      <c r="AD50" s="45"/>
    </row>
    <row r="51" spans="1:30">
      <c r="A51" s="42">
        <f t="shared" si="0"/>
        <v>50</v>
      </c>
      <c r="B51" s="42"/>
      <c r="C51" s="42" t="s">
        <v>10</v>
      </c>
      <c r="D51" s="42" t="s">
        <v>893</v>
      </c>
      <c r="E51" s="42"/>
      <c r="F51" s="42" t="s">
        <v>498</v>
      </c>
      <c r="G51" s="42">
        <v>9492508215</v>
      </c>
      <c r="H51" s="42"/>
      <c r="I51" s="42"/>
      <c r="J51" s="42"/>
      <c r="K51" s="42"/>
      <c r="L51" s="42"/>
      <c r="M51" s="42"/>
      <c r="N51" s="42"/>
      <c r="O51" s="42"/>
      <c r="P51" s="42"/>
      <c r="Q51" s="42"/>
      <c r="R51" s="42"/>
      <c r="S51" s="42"/>
      <c r="T51" s="45"/>
      <c r="U51" s="45"/>
      <c r="V51" s="45"/>
      <c r="W51" s="45"/>
      <c r="X51" s="45"/>
      <c r="Y51" s="45"/>
      <c r="Z51" s="45"/>
      <c r="AA51" s="45"/>
      <c r="AB51" s="45"/>
      <c r="AC51" s="45"/>
      <c r="AD51" s="45"/>
    </row>
    <row r="52" spans="1:30">
      <c r="A52" s="42">
        <f t="shared" si="0"/>
        <v>51</v>
      </c>
      <c r="B52" s="42"/>
      <c r="C52" s="42" t="s">
        <v>10</v>
      </c>
      <c r="D52" s="42" t="s">
        <v>895</v>
      </c>
      <c r="E52" s="42"/>
      <c r="F52" s="42" t="s">
        <v>500</v>
      </c>
      <c r="G52" s="42">
        <v>9866068979</v>
      </c>
      <c r="H52" s="42"/>
      <c r="I52" s="42"/>
      <c r="J52" s="42"/>
      <c r="K52" s="42"/>
      <c r="L52" s="42"/>
      <c r="M52" s="42"/>
      <c r="N52" s="42"/>
      <c r="O52" s="42"/>
      <c r="P52" s="42"/>
      <c r="Q52" s="42"/>
      <c r="R52" s="42"/>
      <c r="S52" s="42"/>
      <c r="T52" s="45"/>
      <c r="U52" s="45"/>
      <c r="V52" s="45"/>
      <c r="W52" s="45"/>
      <c r="X52" s="45"/>
      <c r="Y52" s="45"/>
      <c r="Z52" s="45"/>
      <c r="AA52" s="45"/>
      <c r="AB52" s="45"/>
      <c r="AC52" s="45"/>
      <c r="AD52" s="45"/>
    </row>
    <row r="53" spans="1:30">
      <c r="A53" s="42">
        <f t="shared" si="0"/>
        <v>52</v>
      </c>
      <c r="B53" s="42"/>
      <c r="C53" s="42" t="s">
        <v>10</v>
      </c>
      <c r="D53" s="42" t="s">
        <v>502</v>
      </c>
      <c r="E53" s="42"/>
      <c r="F53" s="42" t="s">
        <v>504</v>
      </c>
      <c r="G53" s="42">
        <v>9493275878</v>
      </c>
      <c r="H53" s="42"/>
      <c r="I53" s="42"/>
      <c r="J53" s="42"/>
      <c r="K53" s="42"/>
      <c r="L53" s="42"/>
      <c r="M53" s="42"/>
      <c r="N53" s="42"/>
      <c r="O53" s="42"/>
      <c r="P53" s="42"/>
      <c r="Q53" s="42"/>
      <c r="R53" s="42"/>
      <c r="S53" s="42"/>
      <c r="T53" s="45"/>
      <c r="U53" s="45"/>
      <c r="V53" s="45"/>
      <c r="W53" s="45"/>
      <c r="X53" s="45"/>
      <c r="Y53" s="45"/>
      <c r="Z53" s="45"/>
      <c r="AA53" s="45"/>
      <c r="AB53" s="45"/>
      <c r="AC53" s="45"/>
      <c r="AD53" s="45"/>
    </row>
    <row r="54" spans="1:30">
      <c r="A54" s="42">
        <f t="shared" si="0"/>
        <v>53</v>
      </c>
      <c r="B54" s="42"/>
      <c r="C54" s="42" t="s">
        <v>10</v>
      </c>
      <c r="D54" s="42" t="s">
        <v>505</v>
      </c>
      <c r="E54" s="42"/>
      <c r="F54" s="42" t="s">
        <v>506</v>
      </c>
      <c r="G54" s="42">
        <v>8985572731</v>
      </c>
      <c r="H54" s="42"/>
      <c r="I54" s="42"/>
      <c r="J54" s="42"/>
      <c r="K54" s="42"/>
      <c r="L54" s="42"/>
      <c r="M54" s="42"/>
      <c r="N54" s="42"/>
      <c r="O54" s="42"/>
      <c r="P54" s="42"/>
      <c r="Q54" s="42"/>
      <c r="R54" s="42"/>
      <c r="S54" s="42"/>
      <c r="T54" s="45"/>
      <c r="U54" s="45"/>
      <c r="V54" s="45"/>
      <c r="W54" s="45"/>
      <c r="X54" s="45"/>
      <c r="Y54" s="45"/>
      <c r="Z54" s="45"/>
      <c r="AA54" s="45"/>
      <c r="AB54" s="45"/>
      <c r="AC54" s="45"/>
      <c r="AD54" s="45"/>
    </row>
    <row r="55" spans="1:30">
      <c r="A55" s="42">
        <f t="shared" si="0"/>
        <v>54</v>
      </c>
      <c r="B55" s="42"/>
      <c r="C55" s="42" t="s">
        <v>10</v>
      </c>
      <c r="D55" s="42" t="s">
        <v>507</v>
      </c>
      <c r="E55" s="42"/>
      <c r="F55" s="42" t="s">
        <v>508</v>
      </c>
      <c r="G55" s="42">
        <v>9912089345</v>
      </c>
      <c r="H55" s="42"/>
      <c r="I55" s="42"/>
      <c r="J55" s="42"/>
      <c r="K55" s="42"/>
      <c r="L55" s="42"/>
      <c r="M55" s="42"/>
      <c r="N55" s="42"/>
      <c r="O55" s="42"/>
      <c r="P55" s="42"/>
      <c r="Q55" s="42"/>
      <c r="R55" s="42"/>
      <c r="S55" s="42"/>
      <c r="T55" s="45"/>
      <c r="U55" s="45"/>
      <c r="V55" s="45"/>
      <c r="W55" s="45"/>
      <c r="X55" s="45"/>
      <c r="Y55" s="45"/>
      <c r="Z55" s="45"/>
      <c r="AA55" s="45"/>
      <c r="AB55" s="45"/>
      <c r="AC55" s="45"/>
      <c r="AD55" s="45"/>
    </row>
    <row r="56" spans="1:30">
      <c r="A56" s="42">
        <f t="shared" si="0"/>
        <v>55</v>
      </c>
      <c r="B56" s="42"/>
      <c r="C56" s="42" t="s">
        <v>10</v>
      </c>
      <c r="D56" s="42" t="s">
        <v>509</v>
      </c>
      <c r="E56" s="42"/>
      <c r="F56" s="42" t="s">
        <v>510</v>
      </c>
      <c r="G56" s="42">
        <v>9494777666</v>
      </c>
      <c r="H56" s="42"/>
      <c r="I56" s="42"/>
      <c r="J56" s="42"/>
      <c r="K56" s="42"/>
      <c r="L56" s="42"/>
      <c r="M56" s="42"/>
      <c r="N56" s="42"/>
      <c r="O56" s="42"/>
      <c r="P56" s="42"/>
      <c r="Q56" s="42"/>
      <c r="R56" s="42"/>
      <c r="S56" s="42"/>
      <c r="T56" s="45"/>
      <c r="U56" s="45"/>
      <c r="V56" s="45"/>
      <c r="W56" s="45"/>
      <c r="X56" s="45"/>
      <c r="Y56" s="45"/>
      <c r="Z56" s="45"/>
      <c r="AA56" s="45"/>
      <c r="AB56" s="45"/>
      <c r="AC56" s="45"/>
      <c r="AD56" s="45"/>
    </row>
    <row r="57" spans="1:30">
      <c r="A57" s="42">
        <f t="shared" si="0"/>
        <v>56</v>
      </c>
      <c r="B57" s="42"/>
      <c r="C57" s="42" t="s">
        <v>10</v>
      </c>
      <c r="D57" s="42" t="s">
        <v>511</v>
      </c>
      <c r="E57" s="42"/>
      <c r="F57" s="42" t="s">
        <v>512</v>
      </c>
      <c r="G57" s="42">
        <v>9948271513</v>
      </c>
      <c r="H57" s="42"/>
      <c r="I57" s="42"/>
      <c r="J57" s="42"/>
      <c r="K57" s="42"/>
      <c r="L57" s="42"/>
      <c r="M57" s="42"/>
      <c r="N57" s="42"/>
      <c r="O57" s="42"/>
      <c r="P57" s="42"/>
      <c r="Q57" s="42"/>
      <c r="R57" s="42"/>
      <c r="S57" s="42"/>
      <c r="T57" s="45"/>
      <c r="U57" s="45"/>
      <c r="V57" s="45"/>
      <c r="W57" s="45"/>
      <c r="X57" s="45"/>
      <c r="Y57" s="45"/>
      <c r="Z57" s="45"/>
      <c r="AA57" s="45"/>
      <c r="AB57" s="45"/>
      <c r="AC57" s="45"/>
      <c r="AD57" s="45"/>
    </row>
    <row r="58" spans="1:30">
      <c r="A58" s="42">
        <f t="shared" si="0"/>
        <v>57</v>
      </c>
      <c r="B58" s="42"/>
      <c r="C58" s="42" t="s">
        <v>10</v>
      </c>
      <c r="D58" s="42" t="s">
        <v>902</v>
      </c>
      <c r="E58" s="42"/>
      <c r="F58" s="42" t="s">
        <v>514</v>
      </c>
      <c r="G58" s="42">
        <v>8309114579</v>
      </c>
      <c r="H58" s="42"/>
      <c r="I58" s="42"/>
      <c r="J58" s="42"/>
      <c r="K58" s="42"/>
      <c r="L58" s="42"/>
      <c r="M58" s="42"/>
      <c r="N58" s="42"/>
      <c r="O58" s="42"/>
      <c r="P58" s="42"/>
      <c r="Q58" s="42"/>
      <c r="R58" s="42"/>
      <c r="S58" s="42"/>
      <c r="T58" s="45"/>
      <c r="U58" s="45"/>
      <c r="V58" s="45"/>
      <c r="W58" s="45"/>
      <c r="X58" s="45"/>
      <c r="Y58" s="45"/>
      <c r="Z58" s="45"/>
      <c r="AA58" s="45"/>
      <c r="AB58" s="45"/>
      <c r="AC58" s="45"/>
      <c r="AD58" s="45"/>
    </row>
    <row r="59" spans="1:30">
      <c r="A59" s="42">
        <f t="shared" si="0"/>
        <v>58</v>
      </c>
      <c r="B59" s="42"/>
      <c r="C59" s="42" t="s">
        <v>10</v>
      </c>
      <c r="D59" s="42" t="s">
        <v>515</v>
      </c>
      <c r="E59" s="42"/>
      <c r="F59" s="42" t="s">
        <v>517</v>
      </c>
      <c r="G59" s="42">
        <v>9848673274</v>
      </c>
      <c r="H59" s="42"/>
      <c r="I59" s="42"/>
      <c r="J59" s="42"/>
      <c r="K59" s="42"/>
      <c r="L59" s="42"/>
      <c r="M59" s="42"/>
      <c r="N59" s="42"/>
      <c r="O59" s="42"/>
      <c r="P59" s="42"/>
      <c r="Q59" s="42"/>
      <c r="R59" s="42"/>
      <c r="S59" s="42"/>
      <c r="T59" s="45"/>
      <c r="U59" s="45"/>
      <c r="V59" s="45"/>
      <c r="W59" s="45"/>
      <c r="X59" s="45"/>
      <c r="Y59" s="45"/>
      <c r="Z59" s="45"/>
      <c r="AA59" s="45"/>
      <c r="AB59" s="45"/>
      <c r="AC59" s="45"/>
      <c r="AD59" s="45"/>
    </row>
    <row r="60" spans="1:30">
      <c r="A60" s="42">
        <f t="shared" si="0"/>
        <v>59</v>
      </c>
      <c r="B60" s="42"/>
      <c r="C60" s="42" t="s">
        <v>10</v>
      </c>
      <c r="D60" s="42" t="s">
        <v>518</v>
      </c>
      <c r="E60" s="42"/>
      <c r="F60" s="42" t="s">
        <v>519</v>
      </c>
      <c r="G60" s="42">
        <v>9247236387</v>
      </c>
      <c r="H60" s="42"/>
      <c r="I60" s="42"/>
      <c r="J60" s="42"/>
      <c r="K60" s="42"/>
      <c r="L60" s="42"/>
      <c r="M60" s="42"/>
      <c r="N60" s="42"/>
      <c r="O60" s="42"/>
      <c r="P60" s="42"/>
      <c r="Q60" s="42"/>
      <c r="R60" s="42"/>
      <c r="S60" s="42"/>
      <c r="T60" s="45"/>
      <c r="U60" s="45"/>
      <c r="V60" s="45"/>
      <c r="W60" s="45"/>
      <c r="X60" s="45"/>
      <c r="Y60" s="45"/>
      <c r="Z60" s="45"/>
      <c r="AA60" s="45"/>
      <c r="AB60" s="45"/>
      <c r="AC60" s="45"/>
      <c r="AD60" s="45"/>
    </row>
    <row r="61" spans="1:30">
      <c r="A61" s="42">
        <f t="shared" si="0"/>
        <v>60</v>
      </c>
      <c r="B61" s="42"/>
      <c r="C61" s="42" t="s">
        <v>10</v>
      </c>
      <c r="D61" s="42" t="s">
        <v>520</v>
      </c>
      <c r="E61" s="42"/>
      <c r="F61" s="42" t="s">
        <v>521</v>
      </c>
      <c r="G61" s="42">
        <v>8500210621</v>
      </c>
      <c r="H61" s="42"/>
      <c r="I61" s="42"/>
      <c r="J61" s="42"/>
      <c r="K61" s="42"/>
      <c r="L61" s="42"/>
      <c r="M61" s="42"/>
      <c r="N61" s="42"/>
      <c r="O61" s="42"/>
      <c r="P61" s="42"/>
      <c r="Q61" s="42"/>
      <c r="R61" s="42"/>
      <c r="S61" s="42"/>
      <c r="T61" s="45"/>
      <c r="U61" s="45"/>
      <c r="V61" s="45"/>
      <c r="W61" s="45"/>
      <c r="X61" s="45"/>
      <c r="Y61" s="45"/>
      <c r="Z61" s="45"/>
      <c r="AA61" s="45"/>
      <c r="AB61" s="45"/>
      <c r="AC61" s="45"/>
      <c r="AD61" s="45"/>
    </row>
    <row r="62" spans="1:30">
      <c r="A62" s="42">
        <f t="shared" si="0"/>
        <v>61</v>
      </c>
      <c r="B62" s="42"/>
      <c r="C62" s="42" t="s">
        <v>10</v>
      </c>
      <c r="D62" s="42" t="s">
        <v>523</v>
      </c>
      <c r="E62" s="42"/>
      <c r="F62" s="42" t="s">
        <v>525</v>
      </c>
      <c r="G62" s="42">
        <v>9502951625</v>
      </c>
      <c r="H62" s="42"/>
      <c r="I62" s="42"/>
      <c r="J62" s="42"/>
      <c r="K62" s="42"/>
      <c r="L62" s="42"/>
      <c r="M62" s="42"/>
      <c r="N62" s="42"/>
      <c r="O62" s="42"/>
      <c r="P62" s="42"/>
      <c r="Q62" s="42"/>
      <c r="R62" s="42"/>
      <c r="S62" s="42"/>
      <c r="T62" s="45"/>
      <c r="U62" s="45"/>
      <c r="V62" s="45"/>
      <c r="W62" s="45"/>
      <c r="X62" s="45"/>
      <c r="Y62" s="45"/>
      <c r="Z62" s="45"/>
      <c r="AA62" s="45"/>
      <c r="AB62" s="45"/>
      <c r="AC62" s="45"/>
      <c r="AD62" s="45"/>
    </row>
    <row r="63" spans="1:30">
      <c r="A63" s="42">
        <f t="shared" si="0"/>
        <v>62</v>
      </c>
      <c r="B63" s="42"/>
      <c r="C63" s="42" t="s">
        <v>10</v>
      </c>
      <c r="D63" s="42" t="s">
        <v>908</v>
      </c>
      <c r="E63" s="42"/>
      <c r="F63" s="42" t="s">
        <v>527</v>
      </c>
      <c r="G63" s="42">
        <v>9573176365</v>
      </c>
      <c r="H63" s="42"/>
      <c r="I63" s="42"/>
      <c r="J63" s="42"/>
      <c r="K63" s="42"/>
      <c r="L63" s="42"/>
      <c r="M63" s="42"/>
      <c r="N63" s="42"/>
      <c r="O63" s="42"/>
      <c r="P63" s="42"/>
      <c r="Q63" s="42"/>
      <c r="R63" s="42"/>
      <c r="S63" s="42"/>
      <c r="T63" s="45"/>
      <c r="U63" s="45"/>
      <c r="V63" s="45"/>
      <c r="W63" s="45"/>
      <c r="X63" s="45"/>
      <c r="Y63" s="45"/>
      <c r="Z63" s="45"/>
      <c r="AA63" s="45"/>
      <c r="AB63" s="45"/>
      <c r="AC63" s="45"/>
      <c r="AD63" s="45"/>
    </row>
    <row r="64" spans="1:30">
      <c r="A64" s="42">
        <f t="shared" si="0"/>
        <v>63</v>
      </c>
      <c r="B64" s="42"/>
      <c r="C64" s="42" t="s">
        <v>10</v>
      </c>
      <c r="D64" s="42" t="s">
        <v>910</v>
      </c>
      <c r="E64" s="42"/>
      <c r="F64" s="42" t="s">
        <v>529</v>
      </c>
      <c r="G64" s="42">
        <v>9989771157</v>
      </c>
      <c r="H64" s="42"/>
      <c r="I64" s="42"/>
      <c r="J64" s="42"/>
      <c r="K64" s="42"/>
      <c r="L64" s="42"/>
      <c r="M64" s="42"/>
      <c r="N64" s="42"/>
      <c r="O64" s="42"/>
      <c r="P64" s="42"/>
      <c r="Q64" s="42"/>
      <c r="R64" s="42"/>
      <c r="S64" s="42"/>
      <c r="T64" s="45"/>
      <c r="U64" s="45"/>
      <c r="V64" s="45"/>
      <c r="W64" s="45"/>
      <c r="X64" s="45"/>
      <c r="Y64" s="45"/>
      <c r="Z64" s="45"/>
      <c r="AA64" s="45"/>
      <c r="AB64" s="45"/>
      <c r="AC64" s="45"/>
      <c r="AD64" s="45"/>
    </row>
    <row r="65" spans="1:30">
      <c r="A65" s="42">
        <f t="shared" si="0"/>
        <v>64</v>
      </c>
      <c r="B65" s="42"/>
      <c r="C65" s="42" t="s">
        <v>10</v>
      </c>
      <c r="D65" s="42" t="s">
        <v>912</v>
      </c>
      <c r="E65" s="42"/>
      <c r="F65" s="42" t="s">
        <v>531</v>
      </c>
      <c r="G65" s="42">
        <v>9885084202</v>
      </c>
      <c r="H65" s="42"/>
      <c r="I65" s="42"/>
      <c r="J65" s="42"/>
      <c r="K65" s="42"/>
      <c r="L65" s="42"/>
      <c r="M65" s="42"/>
      <c r="N65" s="42"/>
      <c r="O65" s="42"/>
      <c r="P65" s="42"/>
      <c r="Q65" s="42"/>
      <c r="R65" s="42"/>
      <c r="S65" s="42"/>
      <c r="T65" s="45"/>
      <c r="U65" s="45"/>
      <c r="V65" s="45"/>
      <c r="W65" s="45"/>
      <c r="X65" s="45"/>
      <c r="Y65" s="45"/>
      <c r="Z65" s="45"/>
      <c r="AA65" s="45"/>
      <c r="AB65" s="45"/>
      <c r="AC65" s="45"/>
      <c r="AD65" s="45"/>
    </row>
    <row r="66" spans="1:30">
      <c r="A66" s="42">
        <f t="shared" si="0"/>
        <v>65</v>
      </c>
      <c r="B66" s="42"/>
      <c r="C66" s="42" t="s">
        <v>10</v>
      </c>
      <c r="D66" s="42" t="s">
        <v>914</v>
      </c>
      <c r="E66" s="42"/>
      <c r="F66" s="42" t="s">
        <v>533</v>
      </c>
      <c r="G66" s="42">
        <v>9618036666</v>
      </c>
      <c r="H66" s="42"/>
      <c r="I66" s="42"/>
      <c r="J66" s="42"/>
      <c r="K66" s="42"/>
      <c r="L66" s="42"/>
      <c r="M66" s="42"/>
      <c r="N66" s="42"/>
      <c r="O66" s="42"/>
      <c r="P66" s="42"/>
      <c r="Q66" s="42"/>
      <c r="R66" s="42"/>
      <c r="S66" s="42"/>
      <c r="T66" s="45"/>
      <c r="U66" s="45"/>
      <c r="V66" s="45"/>
      <c r="W66" s="45"/>
      <c r="X66" s="45"/>
      <c r="Y66" s="45"/>
      <c r="Z66" s="45"/>
      <c r="AA66" s="45"/>
      <c r="AB66" s="45"/>
      <c r="AC66" s="45"/>
      <c r="AD66" s="45"/>
    </row>
    <row r="67" spans="1:30">
      <c r="A67" s="42">
        <f t="shared" si="0"/>
        <v>66</v>
      </c>
      <c r="B67" s="42"/>
      <c r="C67" s="42" t="s">
        <v>10</v>
      </c>
      <c r="D67" s="42" t="s">
        <v>534</v>
      </c>
      <c r="E67" s="42"/>
      <c r="F67" s="42" t="s">
        <v>535</v>
      </c>
      <c r="G67" s="42">
        <v>6300261226</v>
      </c>
      <c r="H67" s="42"/>
      <c r="I67" s="42"/>
      <c r="J67" s="42"/>
      <c r="K67" s="42"/>
      <c r="L67" s="42"/>
      <c r="M67" s="42"/>
      <c r="N67" s="42"/>
      <c r="O67" s="42"/>
      <c r="P67" s="42"/>
      <c r="Q67" s="42"/>
      <c r="R67" s="42"/>
      <c r="S67" s="42"/>
      <c r="T67" s="45"/>
      <c r="U67" s="45"/>
      <c r="V67" s="45"/>
      <c r="W67" s="45"/>
      <c r="X67" s="45"/>
      <c r="Y67" s="45"/>
      <c r="Z67" s="45"/>
      <c r="AA67" s="45"/>
      <c r="AB67" s="45"/>
      <c r="AC67" s="45"/>
      <c r="AD67" s="45"/>
    </row>
    <row r="68" spans="1:30">
      <c r="A68" s="42">
        <f t="shared" si="0"/>
        <v>67</v>
      </c>
      <c r="B68" s="42"/>
      <c r="C68" s="42" t="s">
        <v>10</v>
      </c>
      <c r="D68" s="42" t="s">
        <v>536</v>
      </c>
      <c r="E68" s="42"/>
      <c r="F68" s="42" t="s">
        <v>537</v>
      </c>
      <c r="G68" s="42">
        <v>9505223212</v>
      </c>
      <c r="H68" s="42"/>
      <c r="I68" s="42"/>
      <c r="J68" s="42"/>
      <c r="K68" s="42"/>
      <c r="L68" s="42"/>
      <c r="M68" s="42"/>
      <c r="N68" s="42"/>
      <c r="O68" s="42"/>
      <c r="P68" s="42"/>
      <c r="Q68" s="42"/>
      <c r="R68" s="42"/>
      <c r="S68" s="42"/>
      <c r="T68" s="45"/>
      <c r="U68" s="45"/>
      <c r="V68" s="45"/>
      <c r="W68" s="45"/>
      <c r="X68" s="45"/>
      <c r="Y68" s="45"/>
      <c r="Z68" s="45"/>
      <c r="AA68" s="45"/>
      <c r="AB68" s="45"/>
      <c r="AC68" s="45"/>
      <c r="AD68" s="45"/>
    </row>
    <row r="69" spans="1:30">
      <c r="A69" s="42">
        <f t="shared" si="0"/>
        <v>68</v>
      </c>
      <c r="B69" s="42"/>
      <c r="C69" s="42" t="s">
        <v>10</v>
      </c>
      <c r="D69" s="42" t="s">
        <v>538</v>
      </c>
      <c r="E69" s="42"/>
      <c r="F69" s="42" t="s">
        <v>539</v>
      </c>
      <c r="G69" s="42">
        <v>9705490442</v>
      </c>
      <c r="H69" s="42"/>
      <c r="I69" s="42"/>
      <c r="J69" s="42"/>
      <c r="K69" s="42"/>
      <c r="L69" s="42"/>
      <c r="M69" s="42"/>
      <c r="N69" s="42"/>
      <c r="O69" s="42"/>
      <c r="P69" s="42"/>
      <c r="Q69" s="42"/>
      <c r="R69" s="42"/>
      <c r="S69" s="42"/>
      <c r="T69" s="45"/>
      <c r="U69" s="45"/>
      <c r="V69" s="45"/>
      <c r="W69" s="45"/>
      <c r="X69" s="45"/>
      <c r="Y69" s="45"/>
      <c r="Z69" s="45"/>
      <c r="AA69" s="45"/>
      <c r="AB69" s="45"/>
      <c r="AC69" s="45"/>
      <c r="AD69" s="45"/>
    </row>
    <row r="70" spans="1:30">
      <c r="A70" s="42">
        <f t="shared" si="0"/>
        <v>69</v>
      </c>
      <c r="B70" s="42"/>
      <c r="C70" s="42" t="s">
        <v>10</v>
      </c>
      <c r="D70" s="42" t="s">
        <v>540</v>
      </c>
      <c r="E70" s="42"/>
      <c r="F70" s="42" t="s">
        <v>541</v>
      </c>
      <c r="G70" s="42">
        <v>9948821464</v>
      </c>
      <c r="H70" s="42"/>
      <c r="I70" s="42"/>
      <c r="J70" s="42"/>
      <c r="K70" s="42"/>
      <c r="L70" s="42"/>
      <c r="M70" s="42"/>
      <c r="N70" s="42"/>
      <c r="O70" s="42"/>
      <c r="P70" s="42"/>
      <c r="Q70" s="42"/>
      <c r="R70" s="42"/>
      <c r="S70" s="42"/>
      <c r="T70" s="45"/>
      <c r="U70" s="45"/>
      <c r="V70" s="45"/>
      <c r="W70" s="45"/>
      <c r="X70" s="45"/>
      <c r="Y70" s="45"/>
      <c r="Z70" s="45"/>
      <c r="AA70" s="45"/>
      <c r="AB70" s="45"/>
      <c r="AC70" s="45"/>
      <c r="AD70" s="45"/>
    </row>
    <row r="71" spans="1:30">
      <c r="A71" s="42">
        <f t="shared" si="0"/>
        <v>70</v>
      </c>
      <c r="B71" s="42"/>
      <c r="C71" s="42" t="s">
        <v>389</v>
      </c>
      <c r="D71" s="42" t="s">
        <v>920</v>
      </c>
      <c r="E71" s="42"/>
      <c r="F71" s="42" t="s">
        <v>391</v>
      </c>
      <c r="G71" s="42">
        <v>8297442233</v>
      </c>
      <c r="H71" s="42"/>
      <c r="I71" s="42"/>
      <c r="J71" s="42"/>
      <c r="K71" s="42"/>
      <c r="L71" s="42"/>
      <c r="M71" s="42"/>
      <c r="N71" s="42"/>
      <c r="O71" s="42"/>
      <c r="P71" s="42"/>
      <c r="Q71" s="42"/>
      <c r="R71" s="42"/>
      <c r="S71" s="42"/>
      <c r="T71" s="45"/>
      <c r="U71" s="45"/>
      <c r="V71" s="45"/>
      <c r="W71" s="45"/>
      <c r="X71" s="45"/>
      <c r="Y71" s="45"/>
      <c r="Z71" s="45"/>
      <c r="AA71" s="45"/>
      <c r="AB71" s="45"/>
      <c r="AC71" s="45"/>
      <c r="AD71" s="45"/>
    </row>
    <row r="72" spans="1:30">
      <c r="A72" s="42">
        <f t="shared" si="0"/>
        <v>71</v>
      </c>
      <c r="B72" s="42"/>
      <c r="C72" s="42" t="s">
        <v>389</v>
      </c>
      <c r="D72" s="42" t="s">
        <v>922</v>
      </c>
      <c r="E72" s="42"/>
      <c r="F72" s="42" t="s">
        <v>394</v>
      </c>
      <c r="G72" s="42">
        <v>9542661472</v>
      </c>
      <c r="H72" s="42"/>
      <c r="I72" s="42"/>
      <c r="J72" s="42"/>
      <c r="K72" s="42"/>
      <c r="L72" s="42"/>
      <c r="M72" s="42"/>
      <c r="N72" s="42"/>
      <c r="O72" s="42"/>
      <c r="P72" s="42"/>
      <c r="Q72" s="42"/>
      <c r="R72" s="42"/>
      <c r="S72" s="42"/>
      <c r="T72" s="45"/>
      <c r="U72" s="45"/>
      <c r="V72" s="45"/>
      <c r="W72" s="45"/>
      <c r="X72" s="45"/>
      <c r="Y72" s="45"/>
      <c r="Z72" s="45"/>
      <c r="AA72" s="45"/>
      <c r="AB72" s="45"/>
      <c r="AC72" s="45"/>
      <c r="AD72" s="45"/>
    </row>
    <row r="73" spans="1:30">
      <c r="A73" s="42">
        <f t="shared" si="0"/>
        <v>72</v>
      </c>
      <c r="B73" s="42"/>
      <c r="C73" s="42" t="s">
        <v>389</v>
      </c>
      <c r="D73" s="42" t="s">
        <v>924</v>
      </c>
      <c r="E73" s="42"/>
      <c r="F73" s="42" t="s">
        <v>396</v>
      </c>
      <c r="G73" s="42">
        <v>9494663047</v>
      </c>
      <c r="H73" s="42"/>
      <c r="I73" s="42"/>
      <c r="J73" s="42"/>
      <c r="K73" s="42"/>
      <c r="L73" s="42"/>
      <c r="M73" s="42"/>
      <c r="N73" s="42"/>
      <c r="O73" s="42"/>
      <c r="P73" s="42"/>
      <c r="Q73" s="42"/>
      <c r="R73" s="42"/>
      <c r="S73" s="42"/>
      <c r="T73" s="45"/>
      <c r="U73" s="45"/>
      <c r="V73" s="45"/>
      <c r="W73" s="45"/>
      <c r="X73" s="45"/>
      <c r="Y73" s="45"/>
      <c r="Z73" s="45"/>
      <c r="AA73" s="45"/>
      <c r="AB73" s="45"/>
      <c r="AC73" s="45"/>
      <c r="AD73" s="45"/>
    </row>
    <row r="74" spans="1:30">
      <c r="A74" s="42">
        <f t="shared" si="0"/>
        <v>73</v>
      </c>
      <c r="B74" s="42"/>
      <c r="C74" s="42" t="s">
        <v>389</v>
      </c>
      <c r="D74" s="42" t="s">
        <v>926</v>
      </c>
      <c r="E74" s="42"/>
      <c r="F74" s="42" t="s">
        <v>398</v>
      </c>
      <c r="G74" s="42">
        <v>9550798444</v>
      </c>
      <c r="H74" s="42"/>
      <c r="I74" s="42"/>
      <c r="J74" s="42"/>
      <c r="K74" s="42"/>
      <c r="L74" s="42"/>
      <c r="M74" s="42"/>
      <c r="N74" s="42"/>
      <c r="O74" s="42"/>
      <c r="P74" s="42"/>
      <c r="Q74" s="42"/>
      <c r="R74" s="42"/>
      <c r="S74" s="42"/>
      <c r="T74" s="45"/>
      <c r="U74" s="45"/>
      <c r="V74" s="45"/>
      <c r="W74" s="45"/>
      <c r="X74" s="45"/>
      <c r="Y74" s="45"/>
      <c r="Z74" s="45"/>
      <c r="AA74" s="45"/>
      <c r="AB74" s="45"/>
      <c r="AC74" s="45"/>
      <c r="AD74" s="45"/>
    </row>
    <row r="75" spans="1:30">
      <c r="A75" s="42">
        <f t="shared" si="0"/>
        <v>74</v>
      </c>
      <c r="B75" s="42"/>
      <c r="C75" s="42" t="s">
        <v>389</v>
      </c>
      <c r="D75" s="42" t="s">
        <v>928</v>
      </c>
      <c r="E75" s="42"/>
      <c r="F75" s="42" t="s">
        <v>400</v>
      </c>
      <c r="G75" s="42">
        <v>9989310715</v>
      </c>
      <c r="H75" s="42"/>
      <c r="I75" s="42"/>
      <c r="J75" s="42"/>
      <c r="K75" s="42"/>
      <c r="L75" s="42"/>
      <c r="M75" s="42"/>
      <c r="N75" s="42"/>
      <c r="O75" s="42"/>
      <c r="P75" s="42"/>
      <c r="Q75" s="42"/>
      <c r="R75" s="42"/>
      <c r="S75" s="42"/>
      <c r="T75" s="45"/>
      <c r="U75" s="45"/>
      <c r="V75" s="45"/>
      <c r="W75" s="45"/>
      <c r="X75" s="45"/>
      <c r="Y75" s="45"/>
      <c r="Z75" s="45"/>
      <c r="AA75" s="45"/>
      <c r="AB75" s="45"/>
      <c r="AC75" s="45"/>
      <c r="AD75" s="45"/>
    </row>
    <row r="76" spans="1:30">
      <c r="A76" s="42">
        <f t="shared" si="0"/>
        <v>75</v>
      </c>
      <c r="B76" s="42"/>
      <c r="C76" s="42" t="s">
        <v>389</v>
      </c>
      <c r="D76" s="42" t="s">
        <v>402</v>
      </c>
      <c r="E76" s="42"/>
      <c r="F76" s="42" t="s">
        <v>403</v>
      </c>
      <c r="G76" s="42">
        <v>9703412224</v>
      </c>
      <c r="H76" s="42"/>
      <c r="I76" s="42"/>
      <c r="J76" s="42"/>
      <c r="K76" s="42"/>
      <c r="L76" s="42"/>
      <c r="M76" s="42"/>
      <c r="N76" s="42"/>
      <c r="O76" s="42"/>
      <c r="P76" s="42"/>
      <c r="Q76" s="42"/>
      <c r="R76" s="42"/>
      <c r="S76" s="42"/>
      <c r="T76" s="45"/>
      <c r="U76" s="45"/>
      <c r="V76" s="45"/>
      <c r="W76" s="45"/>
      <c r="X76" s="45"/>
      <c r="Y76" s="45"/>
      <c r="Z76" s="45"/>
      <c r="AA76" s="45"/>
      <c r="AB76" s="45"/>
      <c r="AC76" s="45"/>
      <c r="AD76" s="45"/>
    </row>
    <row r="77" spans="1:30">
      <c r="A77" s="42">
        <f t="shared" si="0"/>
        <v>76</v>
      </c>
      <c r="B77" s="42"/>
      <c r="C77" s="42" t="s">
        <v>389</v>
      </c>
      <c r="D77" s="42" t="s">
        <v>931</v>
      </c>
      <c r="E77" s="42"/>
      <c r="F77" s="42" t="s">
        <v>405</v>
      </c>
      <c r="G77" s="42">
        <v>9705025660</v>
      </c>
      <c r="H77" s="42"/>
      <c r="I77" s="42"/>
      <c r="J77" s="42"/>
      <c r="K77" s="42"/>
      <c r="L77" s="42"/>
      <c r="M77" s="42"/>
      <c r="N77" s="42"/>
      <c r="O77" s="42"/>
      <c r="P77" s="42"/>
      <c r="Q77" s="42"/>
      <c r="R77" s="42"/>
      <c r="S77" s="42"/>
      <c r="T77" s="45"/>
      <c r="U77" s="45"/>
      <c r="V77" s="45"/>
      <c r="W77" s="45"/>
      <c r="X77" s="45"/>
      <c r="Y77" s="45"/>
      <c r="Z77" s="45"/>
      <c r="AA77" s="45"/>
      <c r="AB77" s="45"/>
      <c r="AC77" s="45"/>
      <c r="AD77" s="45"/>
    </row>
    <row r="78" spans="1:30">
      <c r="A78" s="42">
        <f t="shared" si="0"/>
        <v>77</v>
      </c>
      <c r="B78" s="42"/>
      <c r="C78" s="42" t="s">
        <v>389</v>
      </c>
      <c r="D78" s="42" t="s">
        <v>933</v>
      </c>
      <c r="E78" s="42"/>
      <c r="F78" s="42" t="s">
        <v>408</v>
      </c>
      <c r="G78" s="42">
        <v>9502226438</v>
      </c>
      <c r="H78" s="42"/>
      <c r="I78" s="42"/>
      <c r="J78" s="42"/>
      <c r="K78" s="42"/>
      <c r="L78" s="42"/>
      <c r="M78" s="42"/>
      <c r="N78" s="42"/>
      <c r="O78" s="42"/>
      <c r="P78" s="42"/>
      <c r="Q78" s="42"/>
      <c r="R78" s="42"/>
      <c r="S78" s="42"/>
      <c r="T78" s="45"/>
      <c r="U78" s="45"/>
      <c r="V78" s="45"/>
      <c r="W78" s="45"/>
      <c r="X78" s="45"/>
      <c r="Y78" s="45"/>
      <c r="Z78" s="45"/>
      <c r="AA78" s="45"/>
      <c r="AB78" s="45"/>
      <c r="AC78" s="45"/>
      <c r="AD78" s="45"/>
    </row>
    <row r="79" spans="1:30">
      <c r="A79" s="42">
        <f t="shared" si="0"/>
        <v>78</v>
      </c>
      <c r="B79" s="42"/>
      <c r="C79" s="42" t="s">
        <v>389</v>
      </c>
      <c r="D79" s="42" t="s">
        <v>409</v>
      </c>
      <c r="E79" s="42"/>
      <c r="F79" s="42" t="s">
        <v>410</v>
      </c>
      <c r="G79" s="42">
        <v>9700398888</v>
      </c>
      <c r="H79" s="42"/>
      <c r="I79" s="42"/>
      <c r="J79" s="42"/>
      <c r="K79" s="42"/>
      <c r="L79" s="42"/>
      <c r="M79" s="42"/>
      <c r="N79" s="42"/>
      <c r="O79" s="42"/>
      <c r="P79" s="42"/>
      <c r="Q79" s="42"/>
      <c r="R79" s="42"/>
      <c r="S79" s="42"/>
      <c r="T79" s="45"/>
      <c r="U79" s="45"/>
      <c r="V79" s="45"/>
      <c r="W79" s="45"/>
      <c r="X79" s="45"/>
      <c r="Y79" s="45"/>
      <c r="Z79" s="45"/>
      <c r="AA79" s="45"/>
      <c r="AB79" s="45"/>
      <c r="AC79" s="45"/>
      <c r="AD79" s="45"/>
    </row>
    <row r="80" spans="1:30">
      <c r="A80" s="42">
        <f t="shared" si="0"/>
        <v>79</v>
      </c>
      <c r="B80" s="42"/>
      <c r="C80" s="42" t="s">
        <v>389</v>
      </c>
      <c r="D80" s="42" t="s">
        <v>936</v>
      </c>
      <c r="E80" s="42"/>
      <c r="F80" s="42" t="s">
        <v>412</v>
      </c>
      <c r="G80" s="42">
        <v>9848392555</v>
      </c>
      <c r="H80" s="42"/>
      <c r="I80" s="42"/>
      <c r="J80" s="42"/>
      <c r="K80" s="42"/>
      <c r="L80" s="42"/>
      <c r="M80" s="42"/>
      <c r="N80" s="42"/>
      <c r="O80" s="42"/>
      <c r="P80" s="42"/>
      <c r="Q80" s="42"/>
      <c r="R80" s="42"/>
      <c r="S80" s="42"/>
      <c r="T80" s="45"/>
      <c r="U80" s="45"/>
      <c r="V80" s="45"/>
      <c r="W80" s="45"/>
      <c r="X80" s="45"/>
      <c r="Y80" s="45"/>
      <c r="Z80" s="45"/>
      <c r="AA80" s="45"/>
      <c r="AB80" s="45"/>
      <c r="AC80" s="45"/>
      <c r="AD80" s="45"/>
    </row>
    <row r="81" spans="1:30">
      <c r="A81" s="42">
        <f t="shared" si="0"/>
        <v>80</v>
      </c>
      <c r="B81" s="42"/>
      <c r="C81" s="42" t="s">
        <v>389</v>
      </c>
      <c r="D81" s="42" t="s">
        <v>938</v>
      </c>
      <c r="E81" s="42"/>
      <c r="F81" s="42" t="s">
        <v>414</v>
      </c>
      <c r="G81" s="42">
        <v>9849712918</v>
      </c>
      <c r="H81" s="42"/>
      <c r="I81" s="42"/>
      <c r="J81" s="42"/>
      <c r="K81" s="42"/>
      <c r="L81" s="42"/>
      <c r="M81" s="42"/>
      <c r="N81" s="42"/>
      <c r="O81" s="42"/>
      <c r="P81" s="42"/>
      <c r="Q81" s="42"/>
      <c r="R81" s="42"/>
      <c r="S81" s="42"/>
      <c r="T81" s="45"/>
      <c r="U81" s="45"/>
      <c r="V81" s="45"/>
      <c r="W81" s="45"/>
      <c r="X81" s="45"/>
      <c r="Y81" s="45"/>
      <c r="Z81" s="45"/>
      <c r="AA81" s="45"/>
      <c r="AB81" s="45"/>
      <c r="AC81" s="45"/>
      <c r="AD81" s="45"/>
    </row>
    <row r="82" spans="1:30">
      <c r="A82" s="42">
        <f t="shared" si="0"/>
        <v>81</v>
      </c>
      <c r="B82" s="42"/>
      <c r="C82" s="42" t="s">
        <v>389</v>
      </c>
      <c r="D82" s="42" t="s">
        <v>940</v>
      </c>
      <c r="E82" s="42"/>
      <c r="F82" s="42" t="s">
        <v>416</v>
      </c>
      <c r="G82" s="42">
        <v>9951288078</v>
      </c>
      <c r="H82" s="42"/>
      <c r="I82" s="42"/>
      <c r="J82" s="42"/>
      <c r="K82" s="42"/>
      <c r="L82" s="42"/>
      <c r="M82" s="42"/>
      <c r="N82" s="42"/>
      <c r="O82" s="42"/>
      <c r="P82" s="42"/>
      <c r="Q82" s="42"/>
      <c r="R82" s="42"/>
      <c r="S82" s="42"/>
      <c r="T82" s="45"/>
      <c r="U82" s="45"/>
      <c r="V82" s="45"/>
      <c r="W82" s="45"/>
      <c r="X82" s="45"/>
      <c r="Y82" s="45"/>
      <c r="Z82" s="45"/>
      <c r="AA82" s="45"/>
      <c r="AB82" s="45"/>
      <c r="AC82" s="45"/>
      <c r="AD82" s="45"/>
    </row>
    <row r="83" spans="1:30">
      <c r="A83" s="42">
        <f t="shared" si="0"/>
        <v>82</v>
      </c>
      <c r="B83" s="42"/>
      <c r="C83" s="42" t="s">
        <v>389</v>
      </c>
      <c r="D83" s="42" t="s">
        <v>942</v>
      </c>
      <c r="E83" s="42"/>
      <c r="F83" s="42" t="s">
        <v>418</v>
      </c>
      <c r="G83" s="42">
        <v>9704566267</v>
      </c>
      <c r="H83" s="42"/>
      <c r="I83" s="42"/>
      <c r="J83" s="42"/>
      <c r="K83" s="42"/>
      <c r="L83" s="42"/>
      <c r="M83" s="42"/>
      <c r="N83" s="42"/>
      <c r="O83" s="42"/>
      <c r="P83" s="42"/>
      <c r="Q83" s="42"/>
      <c r="R83" s="42"/>
      <c r="S83" s="42"/>
      <c r="T83" s="45"/>
      <c r="U83" s="45"/>
      <c r="V83" s="45"/>
      <c r="W83" s="45"/>
      <c r="X83" s="45"/>
      <c r="Y83" s="45"/>
      <c r="Z83" s="45"/>
      <c r="AA83" s="45"/>
      <c r="AB83" s="45"/>
      <c r="AC83" s="45"/>
      <c r="AD83" s="45"/>
    </row>
    <row r="84" spans="1:30">
      <c r="A84" s="42">
        <f t="shared" si="0"/>
        <v>83</v>
      </c>
      <c r="B84" s="42"/>
      <c r="C84" s="42" t="s">
        <v>389</v>
      </c>
      <c r="D84" s="42" t="s">
        <v>944</v>
      </c>
      <c r="E84" s="42"/>
      <c r="F84" s="42" t="s">
        <v>420</v>
      </c>
      <c r="G84" s="42">
        <v>9246693679</v>
      </c>
      <c r="H84" s="42"/>
      <c r="I84" s="42"/>
      <c r="J84" s="42"/>
      <c r="K84" s="42"/>
      <c r="L84" s="42"/>
      <c r="M84" s="42"/>
      <c r="N84" s="42"/>
      <c r="O84" s="42"/>
      <c r="P84" s="42"/>
      <c r="Q84" s="42"/>
      <c r="R84" s="42"/>
      <c r="S84" s="42"/>
      <c r="T84" s="45"/>
      <c r="U84" s="45"/>
      <c r="V84" s="45"/>
      <c r="W84" s="45"/>
      <c r="X84" s="45"/>
      <c r="Y84" s="45"/>
      <c r="Z84" s="45"/>
      <c r="AA84" s="45"/>
      <c r="AB84" s="45"/>
      <c r="AC84" s="45"/>
      <c r="AD84" s="45"/>
    </row>
    <row r="85" spans="1:30">
      <c r="A85" s="42">
        <f t="shared" si="0"/>
        <v>84</v>
      </c>
      <c r="B85" s="42"/>
      <c r="C85" s="42" t="s">
        <v>389</v>
      </c>
      <c r="D85" s="42" t="s">
        <v>946</v>
      </c>
      <c r="E85" s="42"/>
      <c r="F85" s="42" t="s">
        <v>9731</v>
      </c>
      <c r="G85" s="42">
        <v>9908419954</v>
      </c>
      <c r="H85" s="42"/>
      <c r="I85" s="42"/>
      <c r="J85" s="42"/>
      <c r="K85" s="42"/>
      <c r="L85" s="42"/>
      <c r="M85" s="42"/>
      <c r="N85" s="42"/>
      <c r="O85" s="42"/>
      <c r="P85" s="42"/>
      <c r="Q85" s="42"/>
      <c r="R85" s="42"/>
      <c r="S85" s="42"/>
      <c r="T85" s="45"/>
      <c r="U85" s="45"/>
      <c r="V85" s="45"/>
      <c r="W85" s="45"/>
      <c r="X85" s="45"/>
      <c r="Y85" s="45"/>
      <c r="Z85" s="45"/>
      <c r="AA85" s="45"/>
      <c r="AB85" s="45"/>
      <c r="AC85" s="45"/>
      <c r="AD85" s="45"/>
    </row>
    <row r="86" spans="1:30">
      <c r="A86" s="42">
        <f t="shared" si="0"/>
        <v>85</v>
      </c>
      <c r="B86" s="42"/>
      <c r="C86" s="42" t="s">
        <v>389</v>
      </c>
      <c r="D86" s="42" t="s">
        <v>948</v>
      </c>
      <c r="E86" s="42"/>
      <c r="F86" s="42" t="s">
        <v>424</v>
      </c>
      <c r="G86" s="42">
        <v>9393111949</v>
      </c>
      <c r="H86" s="42"/>
      <c r="I86" s="42"/>
      <c r="J86" s="42"/>
      <c r="K86" s="42"/>
      <c r="L86" s="42"/>
      <c r="M86" s="42"/>
      <c r="N86" s="42"/>
      <c r="O86" s="42"/>
      <c r="P86" s="42"/>
      <c r="Q86" s="42"/>
      <c r="R86" s="42"/>
      <c r="S86" s="42"/>
      <c r="T86" s="45"/>
      <c r="U86" s="45"/>
      <c r="V86" s="45"/>
      <c r="W86" s="45"/>
      <c r="X86" s="45"/>
      <c r="Y86" s="45"/>
      <c r="Z86" s="45"/>
      <c r="AA86" s="45"/>
      <c r="AB86" s="45"/>
      <c r="AC86" s="45"/>
      <c r="AD86" s="45"/>
    </row>
    <row r="87" spans="1:30">
      <c r="A87" s="42">
        <f t="shared" si="0"/>
        <v>86</v>
      </c>
      <c r="B87" s="42"/>
      <c r="C87" s="42" t="s">
        <v>389</v>
      </c>
      <c r="D87" s="42" t="s">
        <v>950</v>
      </c>
      <c r="E87" s="42"/>
      <c r="F87" s="42" t="s">
        <v>427</v>
      </c>
      <c r="G87" s="42">
        <v>9676802086</v>
      </c>
      <c r="H87" s="42"/>
      <c r="I87" s="42"/>
      <c r="J87" s="42"/>
      <c r="K87" s="42"/>
      <c r="L87" s="42"/>
      <c r="M87" s="42"/>
      <c r="N87" s="42"/>
      <c r="O87" s="42"/>
      <c r="P87" s="42"/>
      <c r="Q87" s="42"/>
      <c r="R87" s="42"/>
      <c r="S87" s="42"/>
      <c r="T87" s="45"/>
      <c r="U87" s="45"/>
      <c r="V87" s="45"/>
      <c r="W87" s="45"/>
      <c r="X87" s="45"/>
      <c r="Y87" s="45"/>
      <c r="Z87" s="45"/>
      <c r="AA87" s="45"/>
      <c r="AB87" s="45"/>
      <c r="AC87" s="45"/>
      <c r="AD87" s="45"/>
    </row>
    <row r="88" spans="1:30">
      <c r="A88" s="42">
        <f t="shared" si="0"/>
        <v>87</v>
      </c>
      <c r="B88" s="42"/>
      <c r="C88" s="42" t="s">
        <v>389</v>
      </c>
      <c r="D88" s="42" t="s">
        <v>952</v>
      </c>
      <c r="E88" s="42"/>
      <c r="F88" s="42" t="s">
        <v>429</v>
      </c>
      <c r="G88" s="42">
        <v>9866439496</v>
      </c>
      <c r="H88" s="42"/>
      <c r="I88" s="42"/>
      <c r="J88" s="42"/>
      <c r="K88" s="42"/>
      <c r="L88" s="42"/>
      <c r="M88" s="42"/>
      <c r="N88" s="42"/>
      <c r="O88" s="42"/>
      <c r="P88" s="42"/>
      <c r="Q88" s="42"/>
      <c r="R88" s="42"/>
      <c r="S88" s="42"/>
      <c r="T88" s="45"/>
      <c r="U88" s="45"/>
      <c r="V88" s="45"/>
      <c r="W88" s="45"/>
      <c r="X88" s="45"/>
      <c r="Y88" s="45"/>
      <c r="Z88" s="45"/>
      <c r="AA88" s="45"/>
      <c r="AB88" s="45"/>
      <c r="AC88" s="45"/>
      <c r="AD88" s="45"/>
    </row>
    <row r="89" spans="1:30">
      <c r="A89" s="42">
        <f t="shared" si="0"/>
        <v>88</v>
      </c>
      <c r="B89" s="42"/>
      <c r="C89" s="42" t="s">
        <v>954</v>
      </c>
      <c r="D89" s="42" t="s">
        <v>955</v>
      </c>
      <c r="E89" s="42"/>
      <c r="F89" s="42" t="s">
        <v>456</v>
      </c>
      <c r="G89" s="42">
        <v>9866155926</v>
      </c>
      <c r="H89" s="42"/>
      <c r="I89" s="42"/>
      <c r="J89" s="42"/>
      <c r="K89" s="42"/>
      <c r="L89" s="42"/>
      <c r="M89" s="42"/>
      <c r="N89" s="42"/>
      <c r="O89" s="42"/>
      <c r="P89" s="42"/>
      <c r="Q89" s="42"/>
      <c r="R89" s="42"/>
      <c r="S89" s="42"/>
      <c r="T89" s="45"/>
      <c r="U89" s="45"/>
      <c r="V89" s="45"/>
      <c r="W89" s="45"/>
      <c r="X89" s="45"/>
      <c r="Y89" s="45"/>
      <c r="Z89" s="45"/>
      <c r="AA89" s="45"/>
      <c r="AB89" s="45"/>
      <c r="AC89" s="45"/>
      <c r="AD89" s="45"/>
    </row>
    <row r="90" spans="1:30">
      <c r="A90" s="42">
        <f t="shared" si="0"/>
        <v>89</v>
      </c>
      <c r="B90" s="42"/>
      <c r="C90" s="42" t="s">
        <v>954</v>
      </c>
      <c r="D90" s="42" t="s">
        <v>957</v>
      </c>
      <c r="E90" s="42"/>
      <c r="F90" s="42" t="s">
        <v>458</v>
      </c>
      <c r="G90" s="42">
        <v>9000221944</v>
      </c>
      <c r="H90" s="42"/>
      <c r="I90" s="42"/>
      <c r="J90" s="42"/>
      <c r="K90" s="42"/>
      <c r="L90" s="42"/>
      <c r="M90" s="42"/>
      <c r="N90" s="42"/>
      <c r="O90" s="42"/>
      <c r="P90" s="42"/>
      <c r="Q90" s="42"/>
      <c r="R90" s="42"/>
      <c r="S90" s="42"/>
      <c r="T90" s="45"/>
      <c r="U90" s="45"/>
      <c r="V90" s="45"/>
      <c r="W90" s="45"/>
      <c r="X90" s="45"/>
      <c r="Y90" s="45"/>
      <c r="Z90" s="45"/>
      <c r="AA90" s="45"/>
      <c r="AB90" s="45"/>
      <c r="AC90" s="45"/>
      <c r="AD90" s="45"/>
    </row>
    <row r="91" spans="1:30">
      <c r="A91" s="42">
        <f t="shared" si="0"/>
        <v>90</v>
      </c>
      <c r="B91" s="42"/>
      <c r="C91" s="42" t="s">
        <v>954</v>
      </c>
      <c r="D91" s="42" t="s">
        <v>959</v>
      </c>
      <c r="E91" s="42"/>
      <c r="F91" s="42" t="s">
        <v>460</v>
      </c>
      <c r="G91" s="42">
        <v>9701945143</v>
      </c>
      <c r="H91" s="42"/>
      <c r="I91" s="42"/>
      <c r="J91" s="42"/>
      <c r="K91" s="42"/>
      <c r="L91" s="42"/>
      <c r="M91" s="42"/>
      <c r="N91" s="42"/>
      <c r="O91" s="42"/>
      <c r="P91" s="42"/>
      <c r="Q91" s="42"/>
      <c r="R91" s="42"/>
      <c r="S91" s="42"/>
      <c r="T91" s="45"/>
      <c r="U91" s="45"/>
      <c r="V91" s="45"/>
      <c r="W91" s="45"/>
      <c r="X91" s="45"/>
      <c r="Y91" s="45"/>
      <c r="Z91" s="45"/>
      <c r="AA91" s="45"/>
      <c r="AB91" s="45"/>
      <c r="AC91" s="45"/>
      <c r="AD91" s="45"/>
    </row>
    <row r="92" spans="1:30">
      <c r="A92" s="42">
        <f t="shared" si="0"/>
        <v>91</v>
      </c>
      <c r="B92" s="42"/>
      <c r="C92" s="42" t="s">
        <v>954</v>
      </c>
      <c r="D92" s="42" t="s">
        <v>961</v>
      </c>
      <c r="E92" s="42"/>
      <c r="F92" s="42" t="s">
        <v>9732</v>
      </c>
      <c r="G92" s="42">
        <v>6300134284</v>
      </c>
      <c r="H92" s="42"/>
      <c r="I92" s="42"/>
      <c r="J92" s="42"/>
      <c r="K92" s="42"/>
      <c r="L92" s="42"/>
      <c r="M92" s="42"/>
      <c r="N92" s="42"/>
      <c r="O92" s="42"/>
      <c r="P92" s="42"/>
      <c r="Q92" s="42"/>
      <c r="R92" s="42"/>
      <c r="S92" s="42"/>
      <c r="T92" s="45"/>
      <c r="U92" s="45"/>
      <c r="V92" s="45"/>
      <c r="W92" s="45"/>
      <c r="X92" s="45"/>
      <c r="Y92" s="45"/>
      <c r="Z92" s="45"/>
      <c r="AA92" s="45"/>
      <c r="AB92" s="45"/>
      <c r="AC92" s="45"/>
      <c r="AD92" s="45"/>
    </row>
    <row r="93" spans="1:30">
      <c r="A93" s="42">
        <f t="shared" si="0"/>
        <v>92</v>
      </c>
      <c r="B93" s="42"/>
      <c r="C93" s="42" t="s">
        <v>954</v>
      </c>
      <c r="D93" s="42" t="s">
        <v>963</v>
      </c>
      <c r="E93" s="42"/>
      <c r="F93" s="42" t="s">
        <v>464</v>
      </c>
      <c r="G93" s="42">
        <v>9502957047</v>
      </c>
      <c r="H93" s="42"/>
      <c r="I93" s="42"/>
      <c r="J93" s="42"/>
      <c r="K93" s="42"/>
      <c r="L93" s="42"/>
      <c r="M93" s="42"/>
      <c r="N93" s="42"/>
      <c r="O93" s="42"/>
      <c r="P93" s="42"/>
      <c r="Q93" s="42"/>
      <c r="R93" s="42"/>
      <c r="S93" s="42"/>
      <c r="T93" s="45"/>
      <c r="U93" s="45"/>
      <c r="V93" s="45"/>
      <c r="W93" s="45"/>
      <c r="X93" s="45"/>
      <c r="Y93" s="45"/>
      <c r="Z93" s="45"/>
      <c r="AA93" s="45"/>
      <c r="AB93" s="45"/>
      <c r="AC93" s="45"/>
      <c r="AD93" s="45"/>
    </row>
    <row r="94" spans="1:30">
      <c r="A94" s="42">
        <f t="shared" si="0"/>
        <v>93</v>
      </c>
      <c r="B94" s="42"/>
      <c r="C94" s="42" t="s">
        <v>954</v>
      </c>
      <c r="D94" s="42" t="s">
        <v>465</v>
      </c>
      <c r="E94" s="42"/>
      <c r="F94" s="42" t="s">
        <v>466</v>
      </c>
      <c r="G94" s="42">
        <v>9440824419</v>
      </c>
      <c r="H94" s="42"/>
      <c r="I94" s="42"/>
      <c r="J94" s="42"/>
      <c r="K94" s="42"/>
      <c r="L94" s="42"/>
      <c r="M94" s="42"/>
      <c r="N94" s="42"/>
      <c r="O94" s="42"/>
      <c r="P94" s="42"/>
      <c r="Q94" s="42"/>
      <c r="R94" s="42"/>
      <c r="S94" s="42"/>
      <c r="T94" s="45"/>
      <c r="U94" s="45"/>
      <c r="V94" s="45"/>
      <c r="W94" s="45"/>
      <c r="X94" s="45"/>
      <c r="Y94" s="45"/>
      <c r="Z94" s="45"/>
      <c r="AA94" s="45"/>
      <c r="AB94" s="45"/>
      <c r="AC94" s="45"/>
      <c r="AD94" s="45"/>
    </row>
    <row r="95" spans="1:30">
      <c r="A95" s="42">
        <f t="shared" si="0"/>
        <v>94</v>
      </c>
      <c r="B95" s="42"/>
      <c r="C95" s="42" t="s">
        <v>954</v>
      </c>
      <c r="D95" s="42" t="s">
        <v>966</v>
      </c>
      <c r="E95" s="42"/>
      <c r="F95" s="42" t="s">
        <v>9733</v>
      </c>
      <c r="G95" s="42">
        <v>9491212225</v>
      </c>
      <c r="H95" s="42"/>
      <c r="I95" s="42"/>
      <c r="J95" s="42"/>
      <c r="K95" s="42"/>
      <c r="L95" s="42"/>
      <c r="M95" s="42"/>
      <c r="N95" s="42"/>
      <c r="O95" s="42"/>
      <c r="P95" s="42"/>
      <c r="Q95" s="42"/>
      <c r="R95" s="42"/>
      <c r="S95" s="42"/>
      <c r="T95" s="45"/>
      <c r="U95" s="45"/>
      <c r="V95" s="45"/>
      <c r="W95" s="45"/>
      <c r="X95" s="45"/>
      <c r="Y95" s="45"/>
      <c r="Z95" s="45"/>
      <c r="AA95" s="45"/>
      <c r="AB95" s="45"/>
      <c r="AC95" s="45"/>
      <c r="AD95" s="45"/>
    </row>
    <row r="96" spans="1:30">
      <c r="A96" s="42">
        <f t="shared" si="0"/>
        <v>95</v>
      </c>
      <c r="B96" s="42"/>
      <c r="C96" s="42" t="s">
        <v>954</v>
      </c>
      <c r="D96" s="42" t="s">
        <v>968</v>
      </c>
      <c r="E96" s="42"/>
      <c r="F96" s="42" t="s">
        <v>9734</v>
      </c>
      <c r="G96" s="42">
        <v>9553386800</v>
      </c>
      <c r="H96" s="42"/>
      <c r="I96" s="42"/>
      <c r="J96" s="42"/>
      <c r="K96" s="42"/>
      <c r="L96" s="42"/>
      <c r="M96" s="42"/>
      <c r="N96" s="42"/>
      <c r="O96" s="42"/>
      <c r="P96" s="42"/>
      <c r="Q96" s="42"/>
      <c r="R96" s="42"/>
      <c r="S96" s="42"/>
      <c r="T96" s="45"/>
      <c r="U96" s="45"/>
      <c r="V96" s="45"/>
      <c r="W96" s="45"/>
      <c r="X96" s="45"/>
      <c r="Y96" s="45"/>
      <c r="Z96" s="45"/>
      <c r="AA96" s="45"/>
      <c r="AB96" s="45"/>
      <c r="AC96" s="45"/>
      <c r="AD96" s="45"/>
    </row>
    <row r="97" spans="1:30">
      <c r="A97" s="42">
        <f t="shared" si="0"/>
        <v>96</v>
      </c>
      <c r="B97" s="42"/>
      <c r="C97" s="42" t="s">
        <v>954</v>
      </c>
      <c r="D97" s="42" t="s">
        <v>970</v>
      </c>
      <c r="E97" s="42"/>
      <c r="F97" s="42" t="s">
        <v>470</v>
      </c>
      <c r="G97" s="42">
        <v>9959676955</v>
      </c>
      <c r="H97" s="42"/>
      <c r="I97" s="42"/>
      <c r="J97" s="42"/>
      <c r="K97" s="42"/>
      <c r="L97" s="42"/>
      <c r="M97" s="42"/>
      <c r="N97" s="42"/>
      <c r="O97" s="42"/>
      <c r="P97" s="42"/>
      <c r="Q97" s="42"/>
      <c r="R97" s="42"/>
      <c r="S97" s="42"/>
      <c r="T97" s="45"/>
      <c r="U97" s="45"/>
      <c r="V97" s="45"/>
      <c r="W97" s="45"/>
      <c r="X97" s="45"/>
      <c r="Y97" s="45"/>
      <c r="Z97" s="45"/>
      <c r="AA97" s="45"/>
      <c r="AB97" s="45"/>
      <c r="AC97" s="45"/>
      <c r="AD97" s="45"/>
    </row>
    <row r="98" spans="1:30">
      <c r="A98" s="42">
        <f t="shared" si="0"/>
        <v>97</v>
      </c>
      <c r="B98" s="42"/>
      <c r="C98" s="42" t="s">
        <v>954</v>
      </c>
      <c r="D98" s="42" t="s">
        <v>972</v>
      </c>
      <c r="E98" s="42"/>
      <c r="F98" s="42" t="s">
        <v>472</v>
      </c>
      <c r="G98" s="42">
        <v>9398372678</v>
      </c>
      <c r="H98" s="42"/>
      <c r="I98" s="42"/>
      <c r="J98" s="42"/>
      <c r="K98" s="42"/>
      <c r="L98" s="42"/>
      <c r="M98" s="42"/>
      <c r="N98" s="42"/>
      <c r="O98" s="42"/>
      <c r="P98" s="42"/>
      <c r="Q98" s="42"/>
      <c r="R98" s="42"/>
      <c r="S98" s="42"/>
      <c r="T98" s="45"/>
      <c r="U98" s="45"/>
      <c r="V98" s="45"/>
      <c r="W98" s="45"/>
      <c r="X98" s="45"/>
      <c r="Y98" s="45"/>
      <c r="Z98" s="45"/>
      <c r="AA98" s="45"/>
      <c r="AB98" s="45"/>
      <c r="AC98" s="45"/>
      <c r="AD98" s="45"/>
    </row>
    <row r="99" spans="1:30">
      <c r="A99" s="42">
        <f t="shared" si="0"/>
        <v>98</v>
      </c>
      <c r="B99" s="42"/>
      <c r="C99" s="42" t="s">
        <v>954</v>
      </c>
      <c r="D99" s="42" t="s">
        <v>974</v>
      </c>
      <c r="E99" s="42"/>
      <c r="F99" s="42" t="s">
        <v>474</v>
      </c>
      <c r="G99" s="42">
        <v>9912792666</v>
      </c>
      <c r="H99" s="42"/>
      <c r="I99" s="42"/>
      <c r="J99" s="42"/>
      <c r="K99" s="42"/>
      <c r="L99" s="42"/>
      <c r="M99" s="42"/>
      <c r="N99" s="42"/>
      <c r="O99" s="42"/>
      <c r="P99" s="42"/>
      <c r="Q99" s="42"/>
      <c r="R99" s="42"/>
      <c r="S99" s="42"/>
      <c r="T99" s="45"/>
      <c r="U99" s="45"/>
      <c r="V99" s="45"/>
      <c r="W99" s="45"/>
      <c r="X99" s="45"/>
      <c r="Y99" s="45"/>
      <c r="Z99" s="45"/>
      <c r="AA99" s="45"/>
      <c r="AB99" s="45"/>
      <c r="AC99" s="45"/>
      <c r="AD99" s="45"/>
    </row>
    <row r="100" spans="1:30">
      <c r="A100" s="42">
        <f t="shared" si="0"/>
        <v>99</v>
      </c>
      <c r="B100" s="42"/>
      <c r="C100" s="42" t="s">
        <v>954</v>
      </c>
      <c r="D100" s="42" t="s">
        <v>976</v>
      </c>
      <c r="E100" s="42"/>
      <c r="F100" s="42" t="s">
        <v>476</v>
      </c>
      <c r="G100" s="42">
        <v>9959382992</v>
      </c>
      <c r="H100" s="42"/>
      <c r="I100" s="42"/>
      <c r="J100" s="42"/>
      <c r="K100" s="42"/>
      <c r="L100" s="42"/>
      <c r="M100" s="42"/>
      <c r="N100" s="42"/>
      <c r="O100" s="42"/>
      <c r="P100" s="42"/>
      <c r="Q100" s="42"/>
      <c r="R100" s="42"/>
      <c r="S100" s="42"/>
      <c r="T100" s="45"/>
      <c r="U100" s="45"/>
      <c r="V100" s="45"/>
      <c r="W100" s="45"/>
      <c r="X100" s="45"/>
      <c r="Y100" s="45"/>
      <c r="Z100" s="45"/>
      <c r="AA100" s="45"/>
      <c r="AB100" s="45"/>
      <c r="AC100" s="45"/>
      <c r="AD100" s="45"/>
    </row>
    <row r="101" spans="1:30">
      <c r="A101" s="42">
        <f t="shared" si="0"/>
        <v>100</v>
      </c>
      <c r="B101" s="42"/>
      <c r="C101" s="42" t="s">
        <v>954</v>
      </c>
      <c r="D101" s="42" t="s">
        <v>978</v>
      </c>
      <c r="E101" s="42"/>
      <c r="F101" s="42" t="s">
        <v>478</v>
      </c>
      <c r="G101" s="42">
        <v>8498896101</v>
      </c>
      <c r="H101" s="42"/>
      <c r="I101" s="42"/>
      <c r="J101" s="42"/>
      <c r="K101" s="42"/>
      <c r="L101" s="42"/>
      <c r="M101" s="42"/>
      <c r="N101" s="42"/>
      <c r="O101" s="42"/>
      <c r="P101" s="42"/>
      <c r="Q101" s="42"/>
      <c r="R101" s="42"/>
      <c r="S101" s="42"/>
      <c r="T101" s="45"/>
      <c r="U101" s="45"/>
      <c r="V101" s="45"/>
      <c r="W101" s="45"/>
      <c r="X101" s="45"/>
      <c r="Y101" s="45"/>
      <c r="Z101" s="45"/>
      <c r="AA101" s="45"/>
      <c r="AB101" s="45"/>
      <c r="AC101" s="45"/>
      <c r="AD101" s="45"/>
    </row>
    <row r="102" spans="1:30">
      <c r="A102" s="42">
        <f t="shared" si="0"/>
        <v>101</v>
      </c>
      <c r="B102" s="42"/>
      <c r="C102" s="42" t="s">
        <v>954</v>
      </c>
      <c r="D102" s="42" t="s">
        <v>980</v>
      </c>
      <c r="E102" s="42"/>
      <c r="F102" s="42" t="s">
        <v>480</v>
      </c>
      <c r="G102" s="42">
        <v>9989102916</v>
      </c>
      <c r="H102" s="42"/>
      <c r="I102" s="42"/>
      <c r="J102" s="42"/>
      <c r="K102" s="42"/>
      <c r="L102" s="42"/>
      <c r="M102" s="42"/>
      <c r="N102" s="42"/>
      <c r="O102" s="42"/>
      <c r="P102" s="42"/>
      <c r="Q102" s="42"/>
      <c r="R102" s="42"/>
      <c r="S102" s="42"/>
      <c r="T102" s="45"/>
      <c r="U102" s="45"/>
      <c r="V102" s="45"/>
      <c r="W102" s="45"/>
      <c r="X102" s="45"/>
      <c r="Y102" s="45"/>
      <c r="Z102" s="45"/>
      <c r="AA102" s="45"/>
      <c r="AB102" s="45"/>
      <c r="AC102" s="45"/>
      <c r="AD102" s="45"/>
    </row>
    <row r="103" spans="1:30">
      <c r="A103" s="42">
        <f t="shared" si="0"/>
        <v>102</v>
      </c>
      <c r="B103" s="42"/>
      <c r="C103" s="42" t="s">
        <v>954</v>
      </c>
      <c r="D103" s="42" t="s">
        <v>982</v>
      </c>
      <c r="E103" s="42"/>
      <c r="F103" s="42" t="s">
        <v>9735</v>
      </c>
      <c r="G103" s="42">
        <v>9493959992</v>
      </c>
      <c r="H103" s="42"/>
      <c r="I103" s="42"/>
      <c r="J103" s="42"/>
      <c r="K103" s="42"/>
      <c r="L103" s="42"/>
      <c r="M103" s="42"/>
      <c r="N103" s="42"/>
      <c r="O103" s="42"/>
      <c r="P103" s="42"/>
      <c r="Q103" s="42"/>
      <c r="R103" s="42"/>
      <c r="S103" s="42"/>
      <c r="T103" s="45"/>
      <c r="U103" s="45"/>
      <c r="V103" s="45"/>
      <c r="W103" s="45"/>
      <c r="X103" s="45"/>
      <c r="Y103" s="45"/>
      <c r="Z103" s="45"/>
      <c r="AA103" s="45"/>
      <c r="AB103" s="45"/>
      <c r="AC103" s="45"/>
      <c r="AD103" s="45"/>
    </row>
    <row r="104" spans="1:30">
      <c r="A104" s="42">
        <f t="shared" si="0"/>
        <v>103</v>
      </c>
      <c r="B104" s="42"/>
      <c r="C104" s="42" t="s">
        <v>954</v>
      </c>
      <c r="D104" s="42" t="s">
        <v>984</v>
      </c>
      <c r="E104" s="42"/>
      <c r="F104" s="42" t="s">
        <v>484</v>
      </c>
      <c r="G104" s="42">
        <v>9959322443</v>
      </c>
      <c r="H104" s="42"/>
      <c r="I104" s="42"/>
      <c r="J104" s="42"/>
      <c r="K104" s="42"/>
      <c r="L104" s="42"/>
      <c r="M104" s="42"/>
      <c r="N104" s="42"/>
      <c r="O104" s="42"/>
      <c r="P104" s="42"/>
      <c r="Q104" s="42"/>
      <c r="R104" s="42"/>
      <c r="S104" s="42"/>
      <c r="T104" s="45"/>
      <c r="U104" s="45"/>
      <c r="V104" s="45"/>
      <c r="W104" s="45"/>
      <c r="X104" s="45"/>
      <c r="Y104" s="45"/>
      <c r="Z104" s="45"/>
      <c r="AA104" s="45"/>
      <c r="AB104" s="45"/>
      <c r="AC104" s="45"/>
      <c r="AD104" s="45"/>
    </row>
    <row r="105" spans="1:30">
      <c r="A105" s="42">
        <f t="shared" si="0"/>
        <v>104</v>
      </c>
      <c r="B105" s="42"/>
      <c r="C105" s="42" t="s">
        <v>954</v>
      </c>
      <c r="D105" s="42" t="s">
        <v>986</v>
      </c>
      <c r="E105" s="42"/>
      <c r="F105" s="42" t="s">
        <v>486</v>
      </c>
      <c r="G105" s="42">
        <v>7675000748</v>
      </c>
      <c r="H105" s="42"/>
      <c r="I105" s="42"/>
      <c r="J105" s="42"/>
      <c r="K105" s="42"/>
      <c r="L105" s="42"/>
      <c r="M105" s="42"/>
      <c r="N105" s="42"/>
      <c r="O105" s="42"/>
      <c r="P105" s="42"/>
      <c r="Q105" s="42"/>
      <c r="R105" s="42"/>
      <c r="S105" s="42"/>
      <c r="T105" s="45"/>
      <c r="U105" s="45"/>
      <c r="V105" s="45"/>
      <c r="W105" s="45"/>
      <c r="X105" s="45"/>
      <c r="Y105" s="45"/>
      <c r="Z105" s="45"/>
      <c r="AA105" s="45"/>
      <c r="AB105" s="45"/>
      <c r="AC105" s="45"/>
      <c r="AD105" s="45"/>
    </row>
    <row r="106" spans="1:30">
      <c r="A106" s="42">
        <f t="shared" si="0"/>
        <v>105</v>
      </c>
      <c r="B106" s="42"/>
      <c r="C106" s="42" t="s">
        <v>954</v>
      </c>
      <c r="D106" s="42" t="s">
        <v>988</v>
      </c>
      <c r="E106" s="42"/>
      <c r="F106" s="42" t="s">
        <v>488</v>
      </c>
      <c r="G106" s="42">
        <v>7013609519</v>
      </c>
      <c r="H106" s="42"/>
      <c r="I106" s="42"/>
      <c r="J106" s="42"/>
      <c r="K106" s="42"/>
      <c r="L106" s="42"/>
      <c r="M106" s="42"/>
      <c r="N106" s="42"/>
      <c r="O106" s="42"/>
      <c r="P106" s="42"/>
      <c r="Q106" s="42"/>
      <c r="R106" s="42"/>
      <c r="S106" s="42"/>
      <c r="T106" s="45"/>
      <c r="U106" s="45"/>
      <c r="V106" s="45"/>
      <c r="W106" s="45"/>
      <c r="X106" s="45"/>
      <c r="Y106" s="45"/>
      <c r="Z106" s="45"/>
      <c r="AA106" s="45"/>
      <c r="AB106" s="45"/>
      <c r="AC106" s="45"/>
      <c r="AD106" s="45"/>
    </row>
    <row r="107" spans="1:30">
      <c r="A107" s="42">
        <f t="shared" si="0"/>
        <v>106</v>
      </c>
      <c r="B107" s="42" t="s">
        <v>19</v>
      </c>
      <c r="C107" s="42" t="s">
        <v>990</v>
      </c>
      <c r="D107" s="42" t="s">
        <v>89</v>
      </c>
      <c r="E107" s="42"/>
      <c r="F107" s="42" t="s">
        <v>91</v>
      </c>
      <c r="G107" s="42">
        <v>9705171931</v>
      </c>
      <c r="H107" s="42"/>
      <c r="I107" s="42"/>
      <c r="J107" s="42"/>
      <c r="K107" s="42"/>
      <c r="L107" s="42"/>
      <c r="M107" s="42"/>
      <c r="N107" s="42"/>
      <c r="O107" s="42"/>
      <c r="P107" s="42"/>
      <c r="Q107" s="42"/>
      <c r="R107" s="42"/>
      <c r="S107" s="42"/>
      <c r="T107" s="45"/>
      <c r="U107" s="45"/>
      <c r="V107" s="45"/>
      <c r="W107" s="45"/>
      <c r="X107" s="45"/>
      <c r="Y107" s="45"/>
      <c r="Z107" s="45"/>
      <c r="AA107" s="45"/>
      <c r="AB107" s="45"/>
      <c r="AC107" s="45"/>
      <c r="AD107" s="45"/>
    </row>
    <row r="108" spans="1:30">
      <c r="A108" s="42">
        <f t="shared" si="0"/>
        <v>107</v>
      </c>
      <c r="B108" s="42" t="s">
        <v>19</v>
      </c>
      <c r="C108" s="42" t="s">
        <v>990</v>
      </c>
      <c r="D108" s="42" t="s">
        <v>990</v>
      </c>
      <c r="E108" s="42"/>
      <c r="F108" s="42" t="s">
        <v>96</v>
      </c>
      <c r="G108" s="42">
        <v>6300566579</v>
      </c>
      <c r="H108" s="42"/>
      <c r="I108" s="42"/>
      <c r="J108" s="42"/>
      <c r="K108" s="42"/>
      <c r="L108" s="42"/>
      <c r="M108" s="42"/>
      <c r="N108" s="42"/>
      <c r="O108" s="42"/>
      <c r="P108" s="42"/>
      <c r="Q108" s="42"/>
      <c r="R108" s="42"/>
      <c r="S108" s="42"/>
      <c r="T108" s="45"/>
      <c r="U108" s="45"/>
      <c r="V108" s="45"/>
      <c r="W108" s="45"/>
      <c r="X108" s="45"/>
      <c r="Y108" s="45"/>
      <c r="Z108" s="45"/>
      <c r="AA108" s="45"/>
      <c r="AB108" s="45"/>
      <c r="AC108" s="45"/>
      <c r="AD108" s="45"/>
    </row>
    <row r="109" spans="1:30">
      <c r="A109" s="42">
        <f t="shared" si="0"/>
        <v>108</v>
      </c>
      <c r="B109" s="42" t="s">
        <v>19</v>
      </c>
      <c r="C109" s="42" t="s">
        <v>990</v>
      </c>
      <c r="D109" s="42" t="s">
        <v>104</v>
      </c>
      <c r="E109" s="42"/>
      <c r="F109" s="42" t="s">
        <v>105</v>
      </c>
      <c r="G109" s="42">
        <v>9502562392</v>
      </c>
      <c r="H109" s="42"/>
      <c r="I109" s="42"/>
      <c r="J109" s="42"/>
      <c r="K109" s="42"/>
      <c r="L109" s="42"/>
      <c r="M109" s="42"/>
      <c r="N109" s="42"/>
      <c r="O109" s="42"/>
      <c r="P109" s="42"/>
      <c r="Q109" s="42"/>
      <c r="R109" s="42"/>
      <c r="S109" s="42"/>
      <c r="T109" s="45"/>
      <c r="U109" s="45"/>
      <c r="V109" s="45"/>
      <c r="W109" s="45"/>
      <c r="X109" s="45"/>
      <c r="Y109" s="45"/>
      <c r="Z109" s="45"/>
      <c r="AA109" s="45"/>
      <c r="AB109" s="45"/>
      <c r="AC109" s="45"/>
      <c r="AD109" s="45"/>
    </row>
    <row r="110" spans="1:30">
      <c r="A110" s="42">
        <f t="shared" si="0"/>
        <v>109</v>
      </c>
      <c r="B110" s="42" t="s">
        <v>19</v>
      </c>
      <c r="C110" s="42" t="s">
        <v>990</v>
      </c>
      <c r="D110" s="42" t="s">
        <v>1008</v>
      </c>
      <c r="E110" s="42"/>
      <c r="F110" s="42" t="s">
        <v>101</v>
      </c>
      <c r="G110" s="42">
        <v>9441246682</v>
      </c>
      <c r="H110" s="42"/>
      <c r="I110" s="42"/>
      <c r="J110" s="42"/>
      <c r="K110" s="42"/>
      <c r="L110" s="42"/>
      <c r="M110" s="42"/>
      <c r="N110" s="42"/>
      <c r="O110" s="42"/>
      <c r="P110" s="42"/>
      <c r="Q110" s="42"/>
      <c r="R110" s="42"/>
      <c r="S110" s="42"/>
      <c r="T110" s="45"/>
      <c r="U110" s="45"/>
      <c r="V110" s="45"/>
      <c r="W110" s="45"/>
      <c r="X110" s="45"/>
      <c r="Y110" s="45"/>
      <c r="Z110" s="45"/>
      <c r="AA110" s="45"/>
      <c r="AB110" s="45"/>
      <c r="AC110" s="45"/>
      <c r="AD110" s="45"/>
    </row>
    <row r="111" spans="1:30">
      <c r="A111" s="42">
        <f t="shared" si="0"/>
        <v>110</v>
      </c>
      <c r="B111" s="42" t="s">
        <v>19</v>
      </c>
      <c r="C111" s="42" t="s">
        <v>990</v>
      </c>
      <c r="D111" s="42" t="s">
        <v>108</v>
      </c>
      <c r="E111" s="42"/>
      <c r="F111" s="42" t="s">
        <v>109</v>
      </c>
      <c r="G111" s="42">
        <v>9493839571</v>
      </c>
      <c r="H111" s="42"/>
      <c r="I111" s="42"/>
      <c r="J111" s="42"/>
      <c r="K111" s="42"/>
      <c r="L111" s="42"/>
      <c r="M111" s="42"/>
      <c r="N111" s="42"/>
      <c r="O111" s="42"/>
      <c r="P111" s="42"/>
      <c r="Q111" s="42"/>
      <c r="R111" s="42"/>
      <c r="S111" s="42"/>
      <c r="T111" s="45"/>
      <c r="U111" s="45"/>
      <c r="V111" s="45"/>
      <c r="W111" s="45"/>
      <c r="X111" s="45"/>
      <c r="Y111" s="45"/>
      <c r="Z111" s="45"/>
      <c r="AA111" s="45"/>
      <c r="AB111" s="45"/>
      <c r="AC111" s="45"/>
      <c r="AD111" s="45"/>
    </row>
    <row r="112" spans="1:30">
      <c r="A112" s="42">
        <f t="shared" si="0"/>
        <v>111</v>
      </c>
      <c r="B112" s="42" t="s">
        <v>19</v>
      </c>
      <c r="C112" s="42" t="s">
        <v>990</v>
      </c>
      <c r="D112" s="42" t="s">
        <v>111</v>
      </c>
      <c r="E112" s="42"/>
      <c r="F112" s="42" t="s">
        <v>112</v>
      </c>
      <c r="G112" s="42">
        <v>9949147450</v>
      </c>
      <c r="H112" s="42"/>
      <c r="I112" s="42"/>
      <c r="J112" s="42"/>
      <c r="K112" s="42"/>
      <c r="L112" s="42"/>
      <c r="M112" s="42"/>
      <c r="N112" s="42"/>
      <c r="O112" s="42"/>
      <c r="P112" s="42"/>
      <c r="Q112" s="42"/>
      <c r="R112" s="42"/>
      <c r="S112" s="42"/>
      <c r="T112" s="45"/>
      <c r="U112" s="45"/>
      <c r="V112" s="45"/>
      <c r="W112" s="45"/>
      <c r="X112" s="45"/>
      <c r="Y112" s="45"/>
      <c r="Z112" s="45"/>
      <c r="AA112" s="45"/>
      <c r="AB112" s="45"/>
      <c r="AC112" s="45"/>
      <c r="AD112" s="45"/>
    </row>
    <row r="113" spans="1:30">
      <c r="A113" s="42">
        <f t="shared" si="0"/>
        <v>112</v>
      </c>
      <c r="B113" s="42" t="s">
        <v>19</v>
      </c>
      <c r="C113" s="42" t="s">
        <v>990</v>
      </c>
      <c r="D113" s="42" t="s">
        <v>115</v>
      </c>
      <c r="E113" s="42"/>
      <c r="F113" s="42" t="s">
        <v>116</v>
      </c>
      <c r="G113" s="42">
        <v>8309596673</v>
      </c>
      <c r="H113" s="42"/>
      <c r="I113" s="42"/>
      <c r="J113" s="42"/>
      <c r="K113" s="42"/>
      <c r="L113" s="42"/>
      <c r="M113" s="42"/>
      <c r="N113" s="42"/>
      <c r="O113" s="42"/>
      <c r="P113" s="42"/>
      <c r="Q113" s="42"/>
      <c r="R113" s="42"/>
      <c r="S113" s="42"/>
      <c r="T113" s="45"/>
      <c r="U113" s="45"/>
      <c r="V113" s="45"/>
      <c r="W113" s="45"/>
      <c r="X113" s="45"/>
      <c r="Y113" s="45"/>
      <c r="Z113" s="45"/>
      <c r="AA113" s="45"/>
      <c r="AB113" s="45"/>
      <c r="AC113" s="45"/>
      <c r="AD113" s="45"/>
    </row>
    <row r="114" spans="1:30">
      <c r="A114" s="42">
        <f t="shared" si="0"/>
        <v>113</v>
      </c>
      <c r="B114" s="42" t="s">
        <v>19</v>
      </c>
      <c r="C114" s="42" t="s">
        <v>990</v>
      </c>
      <c r="D114" s="42" t="s">
        <v>1026</v>
      </c>
      <c r="E114" s="42"/>
      <c r="F114" s="42" t="s">
        <v>118</v>
      </c>
      <c r="G114" s="42">
        <v>9059315666</v>
      </c>
      <c r="H114" s="42"/>
      <c r="I114" s="42"/>
      <c r="J114" s="42"/>
      <c r="K114" s="42"/>
      <c r="L114" s="42"/>
      <c r="M114" s="42"/>
      <c r="N114" s="42"/>
      <c r="O114" s="42"/>
      <c r="P114" s="42"/>
      <c r="Q114" s="42"/>
      <c r="R114" s="42"/>
      <c r="S114" s="42"/>
      <c r="T114" s="45"/>
      <c r="U114" s="45"/>
      <c r="V114" s="45"/>
      <c r="W114" s="45"/>
      <c r="X114" s="45"/>
      <c r="Y114" s="45"/>
      <c r="Z114" s="45"/>
      <c r="AA114" s="45"/>
      <c r="AB114" s="45"/>
      <c r="AC114" s="45"/>
      <c r="AD114" s="45"/>
    </row>
    <row r="115" spans="1:30">
      <c r="A115" s="42">
        <f t="shared" si="0"/>
        <v>114</v>
      </c>
      <c r="B115" s="42" t="s">
        <v>19</v>
      </c>
      <c r="C115" s="42" t="s">
        <v>990</v>
      </c>
      <c r="D115" s="42" t="s">
        <v>1034</v>
      </c>
      <c r="E115" s="42"/>
      <c r="F115" s="42" t="s">
        <v>122</v>
      </c>
      <c r="G115" s="42">
        <v>9692879999</v>
      </c>
      <c r="H115" s="42"/>
      <c r="I115" s="42"/>
      <c r="J115" s="42"/>
      <c r="K115" s="42"/>
      <c r="L115" s="42"/>
      <c r="M115" s="42"/>
      <c r="N115" s="42"/>
      <c r="O115" s="42"/>
      <c r="P115" s="42"/>
      <c r="Q115" s="42"/>
      <c r="R115" s="42"/>
      <c r="S115" s="42"/>
      <c r="T115" s="45"/>
      <c r="U115" s="45"/>
      <c r="V115" s="45"/>
      <c r="W115" s="45"/>
      <c r="X115" s="45"/>
      <c r="Y115" s="45"/>
      <c r="Z115" s="45"/>
      <c r="AA115" s="45"/>
      <c r="AB115" s="45"/>
      <c r="AC115" s="45"/>
      <c r="AD115" s="45"/>
    </row>
    <row r="116" spans="1:30">
      <c r="A116" s="42">
        <f t="shared" si="0"/>
        <v>115</v>
      </c>
      <c r="B116" s="42" t="s">
        <v>19</v>
      </c>
      <c r="C116" s="42" t="s">
        <v>990</v>
      </c>
      <c r="D116" s="42" t="s">
        <v>127</v>
      </c>
      <c r="E116" s="42"/>
      <c r="F116" s="42" t="s">
        <v>128</v>
      </c>
      <c r="G116" s="42">
        <v>9618098937</v>
      </c>
      <c r="H116" s="42"/>
      <c r="I116" s="42"/>
      <c r="J116" s="42"/>
      <c r="K116" s="42"/>
      <c r="L116" s="42"/>
      <c r="M116" s="42"/>
      <c r="N116" s="42"/>
      <c r="O116" s="42"/>
      <c r="P116" s="42"/>
      <c r="Q116" s="42"/>
      <c r="R116" s="42"/>
      <c r="S116" s="42"/>
      <c r="T116" s="45"/>
      <c r="U116" s="45"/>
      <c r="V116" s="45"/>
      <c r="W116" s="45"/>
      <c r="X116" s="45"/>
      <c r="Y116" s="45"/>
      <c r="Z116" s="45"/>
      <c r="AA116" s="45"/>
      <c r="AB116" s="45"/>
      <c r="AC116" s="45"/>
      <c r="AD116" s="45"/>
    </row>
    <row r="117" spans="1:30">
      <c r="A117" s="42">
        <f t="shared" si="0"/>
        <v>116</v>
      </c>
      <c r="B117" s="42" t="s">
        <v>19</v>
      </c>
      <c r="C117" s="42" t="s">
        <v>990</v>
      </c>
      <c r="D117" s="42" t="s">
        <v>129</v>
      </c>
      <c r="E117" s="42"/>
      <c r="F117" s="42" t="s">
        <v>130</v>
      </c>
      <c r="G117" s="42">
        <v>9882298866</v>
      </c>
      <c r="H117" s="42"/>
      <c r="I117" s="42"/>
      <c r="J117" s="42"/>
      <c r="K117" s="42"/>
      <c r="L117" s="42"/>
      <c r="M117" s="42"/>
      <c r="N117" s="42"/>
      <c r="O117" s="42"/>
      <c r="P117" s="42"/>
      <c r="Q117" s="42"/>
      <c r="R117" s="42"/>
      <c r="S117" s="42"/>
      <c r="T117" s="45"/>
      <c r="U117" s="45"/>
      <c r="V117" s="45"/>
      <c r="W117" s="45"/>
      <c r="X117" s="45"/>
      <c r="Y117" s="45"/>
      <c r="Z117" s="45"/>
      <c r="AA117" s="45"/>
      <c r="AB117" s="45"/>
      <c r="AC117" s="45"/>
      <c r="AD117" s="45"/>
    </row>
    <row r="118" spans="1:30">
      <c r="A118" s="42">
        <f t="shared" si="0"/>
        <v>117</v>
      </c>
      <c r="B118" s="42" t="s">
        <v>19</v>
      </c>
      <c r="C118" s="42" t="s">
        <v>990</v>
      </c>
      <c r="D118" s="42" t="s">
        <v>1049</v>
      </c>
      <c r="E118" s="42"/>
      <c r="F118" s="42" t="s">
        <v>133</v>
      </c>
      <c r="G118" s="42">
        <v>9492885777</v>
      </c>
      <c r="H118" s="42"/>
      <c r="I118" s="42"/>
      <c r="J118" s="42"/>
      <c r="K118" s="42"/>
      <c r="L118" s="42"/>
      <c r="M118" s="42"/>
      <c r="N118" s="42"/>
      <c r="O118" s="42"/>
      <c r="P118" s="42"/>
      <c r="Q118" s="42"/>
      <c r="R118" s="42"/>
      <c r="S118" s="42"/>
      <c r="T118" s="45"/>
      <c r="U118" s="45"/>
      <c r="V118" s="45"/>
      <c r="W118" s="45"/>
      <c r="X118" s="45"/>
      <c r="Y118" s="45"/>
      <c r="Z118" s="45"/>
      <c r="AA118" s="45"/>
      <c r="AB118" s="45"/>
      <c r="AC118" s="45"/>
      <c r="AD118" s="45"/>
    </row>
    <row r="119" spans="1:30">
      <c r="A119" s="42">
        <f t="shared" si="0"/>
        <v>118</v>
      </c>
      <c r="B119" s="42" t="s">
        <v>19</v>
      </c>
      <c r="C119" s="42" t="s">
        <v>990</v>
      </c>
      <c r="D119" s="42" t="s">
        <v>1051</v>
      </c>
      <c r="E119" s="42"/>
      <c r="F119" s="42" t="s">
        <v>124</v>
      </c>
      <c r="G119" s="42">
        <v>8897945154</v>
      </c>
      <c r="H119" s="42"/>
      <c r="I119" s="42"/>
      <c r="J119" s="42"/>
      <c r="K119" s="42"/>
      <c r="L119" s="42"/>
      <c r="M119" s="42"/>
      <c r="N119" s="42"/>
      <c r="O119" s="42"/>
      <c r="P119" s="42"/>
      <c r="Q119" s="42"/>
      <c r="R119" s="42"/>
      <c r="S119" s="42"/>
      <c r="T119" s="45"/>
      <c r="U119" s="45"/>
      <c r="V119" s="45"/>
      <c r="W119" s="45"/>
      <c r="X119" s="45"/>
      <c r="Y119" s="45"/>
      <c r="Z119" s="45"/>
      <c r="AA119" s="45"/>
      <c r="AB119" s="45"/>
      <c r="AC119" s="45"/>
      <c r="AD119" s="45"/>
    </row>
    <row r="120" spans="1:30">
      <c r="A120" s="42">
        <f t="shared" si="0"/>
        <v>119</v>
      </c>
      <c r="B120" s="42" t="s">
        <v>19</v>
      </c>
      <c r="C120" s="42" t="s">
        <v>990</v>
      </c>
      <c r="D120" s="42" t="s">
        <v>134</v>
      </c>
      <c r="E120" s="42"/>
      <c r="F120" s="42" t="s">
        <v>135</v>
      </c>
      <c r="G120" s="42">
        <v>8309719191</v>
      </c>
      <c r="H120" s="42"/>
      <c r="I120" s="42"/>
      <c r="J120" s="42"/>
      <c r="K120" s="42"/>
      <c r="L120" s="42"/>
      <c r="M120" s="42"/>
      <c r="N120" s="42"/>
      <c r="O120" s="42"/>
      <c r="P120" s="42"/>
      <c r="Q120" s="42"/>
      <c r="R120" s="42"/>
      <c r="S120" s="42"/>
      <c r="T120" s="45"/>
      <c r="U120" s="45"/>
      <c r="V120" s="45"/>
      <c r="W120" s="45"/>
      <c r="X120" s="45"/>
      <c r="Y120" s="45"/>
      <c r="Z120" s="45"/>
      <c r="AA120" s="45"/>
      <c r="AB120" s="45"/>
      <c r="AC120" s="45"/>
      <c r="AD120" s="45"/>
    </row>
    <row r="121" spans="1:30">
      <c r="A121" s="42">
        <f t="shared" si="0"/>
        <v>120</v>
      </c>
      <c r="B121" s="42" t="s">
        <v>19</v>
      </c>
      <c r="C121" s="42" t="s">
        <v>990</v>
      </c>
      <c r="D121" s="42" t="s">
        <v>137</v>
      </c>
      <c r="E121" s="42"/>
      <c r="F121" s="42" t="s">
        <v>138</v>
      </c>
      <c r="G121" s="42">
        <v>9951557676</v>
      </c>
      <c r="H121" s="42"/>
      <c r="I121" s="42"/>
      <c r="J121" s="42"/>
      <c r="K121" s="42"/>
      <c r="L121" s="42"/>
      <c r="M121" s="42"/>
      <c r="N121" s="42"/>
      <c r="O121" s="42"/>
      <c r="P121" s="42"/>
      <c r="Q121" s="42"/>
      <c r="R121" s="42"/>
      <c r="S121" s="42"/>
      <c r="T121" s="45"/>
      <c r="U121" s="45"/>
      <c r="V121" s="45"/>
      <c r="W121" s="45"/>
      <c r="X121" s="45"/>
      <c r="Y121" s="45"/>
      <c r="Z121" s="45"/>
      <c r="AA121" s="45"/>
      <c r="AB121" s="45"/>
      <c r="AC121" s="45"/>
      <c r="AD121" s="45"/>
    </row>
    <row r="122" spans="1:30">
      <c r="A122" s="42">
        <f t="shared" si="0"/>
        <v>121</v>
      </c>
      <c r="B122" s="42" t="s">
        <v>19</v>
      </c>
      <c r="C122" s="42" t="s">
        <v>990</v>
      </c>
      <c r="D122" s="42" t="s">
        <v>140</v>
      </c>
      <c r="E122" s="42"/>
      <c r="F122" s="42" t="s">
        <v>141</v>
      </c>
      <c r="G122" s="42">
        <v>9502850451</v>
      </c>
      <c r="H122" s="42"/>
      <c r="I122" s="42"/>
      <c r="J122" s="42"/>
      <c r="K122" s="42"/>
      <c r="L122" s="42"/>
      <c r="M122" s="42"/>
      <c r="N122" s="42"/>
      <c r="O122" s="42"/>
      <c r="P122" s="42"/>
      <c r="Q122" s="42"/>
      <c r="R122" s="42"/>
      <c r="S122" s="42"/>
      <c r="T122" s="45"/>
      <c r="U122" s="45"/>
      <c r="V122" s="45"/>
      <c r="W122" s="45"/>
      <c r="X122" s="45"/>
      <c r="Y122" s="45"/>
      <c r="Z122" s="45"/>
      <c r="AA122" s="45"/>
      <c r="AB122" s="45"/>
      <c r="AC122" s="45"/>
      <c r="AD122" s="45"/>
    </row>
    <row r="123" spans="1:30">
      <c r="A123" s="42">
        <f t="shared" si="0"/>
        <v>122</v>
      </c>
      <c r="B123" s="42" t="s">
        <v>19</v>
      </c>
      <c r="C123" s="42" t="s">
        <v>990</v>
      </c>
      <c r="D123" s="42" t="s">
        <v>143</v>
      </c>
      <c r="E123" s="42"/>
      <c r="F123" s="42" t="s">
        <v>144</v>
      </c>
      <c r="G123" s="42">
        <v>8897265258</v>
      </c>
      <c r="H123" s="42"/>
      <c r="I123" s="42"/>
      <c r="J123" s="42"/>
      <c r="K123" s="42"/>
      <c r="L123" s="42"/>
      <c r="M123" s="42"/>
      <c r="N123" s="42"/>
      <c r="O123" s="42"/>
      <c r="P123" s="42"/>
      <c r="Q123" s="42"/>
      <c r="R123" s="42"/>
      <c r="S123" s="42"/>
      <c r="T123" s="45"/>
      <c r="U123" s="45"/>
      <c r="V123" s="45"/>
      <c r="W123" s="45"/>
      <c r="X123" s="45"/>
      <c r="Y123" s="45"/>
      <c r="Z123" s="45"/>
      <c r="AA123" s="45"/>
      <c r="AB123" s="45"/>
      <c r="AC123" s="45"/>
      <c r="AD123" s="45"/>
    </row>
    <row r="124" spans="1:30">
      <c r="A124" s="42">
        <f t="shared" si="0"/>
        <v>123</v>
      </c>
      <c r="B124" s="42" t="s">
        <v>19</v>
      </c>
      <c r="C124" s="42" t="s">
        <v>990</v>
      </c>
      <c r="D124" s="42" t="s">
        <v>145</v>
      </c>
      <c r="E124" s="42"/>
      <c r="F124" s="42" t="s">
        <v>146</v>
      </c>
      <c r="G124" s="42">
        <v>9618721999</v>
      </c>
      <c r="H124" s="42"/>
      <c r="I124" s="42"/>
      <c r="J124" s="42"/>
      <c r="K124" s="42"/>
      <c r="L124" s="42"/>
      <c r="M124" s="42"/>
      <c r="N124" s="42"/>
      <c r="O124" s="42"/>
      <c r="P124" s="42"/>
      <c r="Q124" s="42"/>
      <c r="R124" s="42"/>
      <c r="S124" s="42"/>
      <c r="T124" s="45"/>
      <c r="U124" s="45"/>
      <c r="V124" s="45"/>
      <c r="W124" s="45"/>
      <c r="X124" s="45"/>
      <c r="Y124" s="45"/>
      <c r="Z124" s="45"/>
      <c r="AA124" s="45"/>
      <c r="AB124" s="45"/>
      <c r="AC124" s="45"/>
      <c r="AD124" s="45"/>
    </row>
    <row r="125" spans="1:30">
      <c r="A125" s="42">
        <f t="shared" si="0"/>
        <v>124</v>
      </c>
      <c r="B125" s="42" t="s">
        <v>19</v>
      </c>
      <c r="C125" s="42" t="s">
        <v>19</v>
      </c>
      <c r="D125" s="42" t="s">
        <v>1071</v>
      </c>
      <c r="E125" s="42"/>
      <c r="F125" s="42" t="s">
        <v>183</v>
      </c>
      <c r="G125" s="42">
        <v>9505415559</v>
      </c>
      <c r="H125" s="42"/>
      <c r="I125" s="42"/>
      <c r="J125" s="42"/>
      <c r="K125" s="42"/>
      <c r="L125" s="42"/>
      <c r="M125" s="42"/>
      <c r="N125" s="42"/>
      <c r="O125" s="42"/>
      <c r="P125" s="42"/>
      <c r="Q125" s="42"/>
      <c r="R125" s="42"/>
      <c r="S125" s="42"/>
      <c r="T125" s="45"/>
      <c r="U125" s="45"/>
      <c r="V125" s="45"/>
      <c r="W125" s="45"/>
      <c r="X125" s="45"/>
      <c r="Y125" s="45"/>
      <c r="Z125" s="45"/>
      <c r="AA125" s="45"/>
      <c r="AB125" s="45"/>
      <c r="AC125" s="45"/>
      <c r="AD125" s="45"/>
    </row>
    <row r="126" spans="1:30">
      <c r="A126" s="42">
        <f t="shared" si="0"/>
        <v>125</v>
      </c>
      <c r="B126" s="42" t="s">
        <v>19</v>
      </c>
      <c r="C126" s="42" t="s">
        <v>19</v>
      </c>
      <c r="D126" s="42" t="s">
        <v>1073</v>
      </c>
      <c r="E126" s="42"/>
      <c r="F126" s="42" t="s">
        <v>185</v>
      </c>
      <c r="G126" s="42">
        <v>9959432912</v>
      </c>
      <c r="H126" s="42"/>
      <c r="I126" s="42"/>
      <c r="J126" s="42"/>
      <c r="K126" s="42"/>
      <c r="L126" s="42"/>
      <c r="M126" s="42"/>
      <c r="N126" s="42"/>
      <c r="O126" s="42"/>
      <c r="P126" s="42"/>
      <c r="Q126" s="42"/>
      <c r="R126" s="42"/>
      <c r="S126" s="42"/>
      <c r="T126" s="45"/>
      <c r="U126" s="45"/>
      <c r="V126" s="45"/>
      <c r="W126" s="45"/>
      <c r="X126" s="45"/>
      <c r="Y126" s="45"/>
      <c r="Z126" s="45"/>
      <c r="AA126" s="45"/>
      <c r="AB126" s="45"/>
      <c r="AC126" s="45"/>
      <c r="AD126" s="45"/>
    </row>
    <row r="127" spans="1:30">
      <c r="A127" s="42">
        <f t="shared" si="0"/>
        <v>126</v>
      </c>
      <c r="B127" s="42" t="s">
        <v>19</v>
      </c>
      <c r="C127" s="42" t="s">
        <v>19</v>
      </c>
      <c r="D127" s="42" t="s">
        <v>1075</v>
      </c>
      <c r="E127" s="42"/>
      <c r="F127" s="42" t="s">
        <v>188</v>
      </c>
      <c r="G127" s="42">
        <v>9010126289</v>
      </c>
      <c r="H127" s="42"/>
      <c r="I127" s="42"/>
      <c r="J127" s="42"/>
      <c r="K127" s="42"/>
      <c r="L127" s="42"/>
      <c r="M127" s="42"/>
      <c r="N127" s="42"/>
      <c r="O127" s="42"/>
      <c r="P127" s="42"/>
      <c r="Q127" s="42"/>
      <c r="R127" s="42"/>
      <c r="S127" s="42"/>
      <c r="T127" s="45"/>
      <c r="U127" s="45"/>
      <c r="V127" s="45"/>
      <c r="W127" s="45"/>
      <c r="X127" s="45"/>
      <c r="Y127" s="45"/>
      <c r="Z127" s="45"/>
      <c r="AA127" s="45"/>
      <c r="AB127" s="45"/>
      <c r="AC127" s="45"/>
      <c r="AD127" s="45"/>
    </row>
    <row r="128" spans="1:30">
      <c r="A128" s="42">
        <f t="shared" si="0"/>
        <v>127</v>
      </c>
      <c r="B128" s="42" t="s">
        <v>19</v>
      </c>
      <c r="C128" s="42" t="s">
        <v>19</v>
      </c>
      <c r="D128" s="42" t="s">
        <v>1077</v>
      </c>
      <c r="E128" s="42"/>
      <c r="F128" s="42" t="s">
        <v>190</v>
      </c>
      <c r="G128" s="42">
        <v>9885898499</v>
      </c>
      <c r="H128" s="42"/>
      <c r="I128" s="42"/>
      <c r="J128" s="42"/>
      <c r="K128" s="42"/>
      <c r="L128" s="42"/>
      <c r="M128" s="42"/>
      <c r="N128" s="42"/>
      <c r="O128" s="42"/>
      <c r="P128" s="42"/>
      <c r="Q128" s="42"/>
      <c r="R128" s="42"/>
      <c r="S128" s="42"/>
      <c r="T128" s="45"/>
      <c r="U128" s="45"/>
      <c r="V128" s="45"/>
      <c r="W128" s="45"/>
      <c r="X128" s="45"/>
      <c r="Y128" s="45"/>
      <c r="Z128" s="45"/>
      <c r="AA128" s="45"/>
      <c r="AB128" s="45"/>
      <c r="AC128" s="45"/>
      <c r="AD128" s="45"/>
    </row>
    <row r="129" spans="1:30">
      <c r="A129" s="42">
        <f t="shared" si="0"/>
        <v>128</v>
      </c>
      <c r="B129" s="42" t="s">
        <v>19</v>
      </c>
      <c r="C129" s="42" t="s">
        <v>19</v>
      </c>
      <c r="D129" s="42" t="s">
        <v>1083</v>
      </c>
      <c r="E129" s="42"/>
      <c r="F129" s="42" t="s">
        <v>192</v>
      </c>
      <c r="G129" s="42">
        <v>9959581167</v>
      </c>
      <c r="H129" s="42"/>
      <c r="I129" s="42"/>
      <c r="J129" s="42"/>
      <c r="K129" s="42"/>
      <c r="L129" s="42"/>
      <c r="M129" s="42"/>
      <c r="N129" s="42"/>
      <c r="O129" s="42"/>
      <c r="P129" s="42"/>
      <c r="Q129" s="42"/>
      <c r="R129" s="42"/>
      <c r="S129" s="42"/>
      <c r="T129" s="45"/>
      <c r="U129" s="45"/>
      <c r="V129" s="45"/>
      <c r="W129" s="45"/>
      <c r="X129" s="45"/>
      <c r="Y129" s="45"/>
      <c r="Z129" s="45"/>
      <c r="AA129" s="45"/>
      <c r="AB129" s="45"/>
      <c r="AC129" s="45"/>
      <c r="AD129" s="45"/>
    </row>
    <row r="130" spans="1:30">
      <c r="A130" s="42">
        <f t="shared" si="0"/>
        <v>129</v>
      </c>
      <c r="B130" s="42" t="s">
        <v>19</v>
      </c>
      <c r="C130" s="42" t="s">
        <v>19</v>
      </c>
      <c r="D130" s="42" t="s">
        <v>1085</v>
      </c>
      <c r="E130" s="42"/>
      <c r="F130" s="42" t="s">
        <v>193</v>
      </c>
      <c r="G130" s="42">
        <v>9666892228</v>
      </c>
      <c r="H130" s="42"/>
      <c r="I130" s="42"/>
      <c r="J130" s="42"/>
      <c r="K130" s="42"/>
      <c r="L130" s="42"/>
      <c r="M130" s="42"/>
      <c r="N130" s="42"/>
      <c r="O130" s="42"/>
      <c r="P130" s="42"/>
      <c r="Q130" s="42"/>
      <c r="R130" s="42"/>
      <c r="S130" s="42"/>
      <c r="T130" s="45"/>
      <c r="U130" s="45"/>
      <c r="V130" s="45"/>
      <c r="W130" s="45"/>
      <c r="X130" s="45"/>
      <c r="Y130" s="45"/>
      <c r="Z130" s="45"/>
      <c r="AA130" s="45"/>
      <c r="AB130" s="45"/>
      <c r="AC130" s="45"/>
      <c r="AD130" s="45"/>
    </row>
    <row r="131" spans="1:30">
      <c r="A131" s="42">
        <f t="shared" si="0"/>
        <v>130</v>
      </c>
      <c r="B131" s="42" t="s">
        <v>19</v>
      </c>
      <c r="C131" s="42" t="s">
        <v>19</v>
      </c>
      <c r="D131" s="42" t="s">
        <v>1093</v>
      </c>
      <c r="E131" s="42"/>
      <c r="F131" s="42" t="s">
        <v>196</v>
      </c>
      <c r="G131" s="42">
        <v>9573060895</v>
      </c>
      <c r="H131" s="42"/>
      <c r="I131" s="42"/>
      <c r="J131" s="42"/>
      <c r="K131" s="42"/>
      <c r="L131" s="42"/>
      <c r="M131" s="42"/>
      <c r="N131" s="42"/>
      <c r="O131" s="42"/>
      <c r="P131" s="42"/>
      <c r="Q131" s="42"/>
      <c r="R131" s="42"/>
      <c r="S131" s="42"/>
      <c r="T131" s="45"/>
      <c r="U131" s="45"/>
      <c r="V131" s="45"/>
      <c r="W131" s="45"/>
      <c r="X131" s="45"/>
      <c r="Y131" s="45"/>
      <c r="Z131" s="45"/>
      <c r="AA131" s="45"/>
      <c r="AB131" s="45"/>
      <c r="AC131" s="45"/>
      <c r="AD131" s="45"/>
    </row>
    <row r="132" spans="1:30">
      <c r="A132" s="42">
        <f t="shared" si="0"/>
        <v>131</v>
      </c>
      <c r="B132" s="42" t="s">
        <v>19</v>
      </c>
      <c r="C132" s="42" t="s">
        <v>19</v>
      </c>
      <c r="D132" s="42" t="s">
        <v>1095</v>
      </c>
      <c r="E132" s="42"/>
      <c r="F132" s="42" t="s">
        <v>198</v>
      </c>
      <c r="G132" s="42">
        <v>9885244148</v>
      </c>
      <c r="H132" s="42"/>
      <c r="I132" s="42"/>
      <c r="J132" s="42"/>
      <c r="K132" s="42"/>
      <c r="L132" s="42"/>
      <c r="M132" s="42"/>
      <c r="N132" s="42"/>
      <c r="O132" s="42"/>
      <c r="P132" s="42"/>
      <c r="Q132" s="42"/>
      <c r="R132" s="42"/>
      <c r="S132" s="42"/>
      <c r="T132" s="45"/>
      <c r="U132" s="45"/>
      <c r="V132" s="45"/>
      <c r="W132" s="45"/>
      <c r="X132" s="45"/>
      <c r="Y132" s="45"/>
      <c r="Z132" s="45"/>
      <c r="AA132" s="45"/>
      <c r="AB132" s="45"/>
      <c r="AC132" s="45"/>
      <c r="AD132" s="45"/>
    </row>
    <row r="133" spans="1:30">
      <c r="A133" s="42">
        <f t="shared" si="0"/>
        <v>132</v>
      </c>
      <c r="B133" s="42" t="s">
        <v>19</v>
      </c>
      <c r="C133" s="42" t="s">
        <v>19</v>
      </c>
      <c r="D133" s="42" t="s">
        <v>1101</v>
      </c>
      <c r="E133" s="42"/>
      <c r="F133" s="42" t="s">
        <v>200</v>
      </c>
      <c r="G133" s="42">
        <v>9951526664</v>
      </c>
      <c r="H133" s="42"/>
      <c r="I133" s="42"/>
      <c r="J133" s="42"/>
      <c r="K133" s="42"/>
      <c r="L133" s="42"/>
      <c r="M133" s="42"/>
      <c r="N133" s="42"/>
      <c r="O133" s="42"/>
      <c r="P133" s="42"/>
      <c r="Q133" s="42"/>
      <c r="R133" s="42"/>
      <c r="S133" s="42"/>
      <c r="T133" s="45"/>
      <c r="U133" s="45"/>
      <c r="V133" s="45"/>
      <c r="W133" s="45"/>
      <c r="X133" s="45"/>
      <c r="Y133" s="45"/>
      <c r="Z133" s="45"/>
      <c r="AA133" s="45"/>
      <c r="AB133" s="45"/>
      <c r="AC133" s="45"/>
      <c r="AD133" s="45"/>
    </row>
    <row r="134" spans="1:30">
      <c r="A134" s="42">
        <f t="shared" si="0"/>
        <v>133</v>
      </c>
      <c r="B134" s="42" t="s">
        <v>19</v>
      </c>
      <c r="C134" s="42" t="s">
        <v>19</v>
      </c>
      <c r="D134" s="42" t="s">
        <v>1110</v>
      </c>
      <c r="E134" s="42"/>
      <c r="F134" s="42" t="s">
        <v>202</v>
      </c>
      <c r="G134" s="42">
        <v>7731959657</v>
      </c>
      <c r="H134" s="42"/>
      <c r="I134" s="42"/>
      <c r="J134" s="42"/>
      <c r="K134" s="42"/>
      <c r="L134" s="42"/>
      <c r="M134" s="42"/>
      <c r="N134" s="42"/>
      <c r="O134" s="42"/>
      <c r="P134" s="42"/>
      <c r="Q134" s="42"/>
      <c r="R134" s="42"/>
      <c r="S134" s="42"/>
      <c r="T134" s="45"/>
      <c r="U134" s="45"/>
      <c r="V134" s="45"/>
      <c r="W134" s="45"/>
      <c r="X134" s="45"/>
      <c r="Y134" s="45"/>
      <c r="Z134" s="45"/>
      <c r="AA134" s="45"/>
      <c r="AB134" s="45"/>
      <c r="AC134" s="45"/>
      <c r="AD134" s="45"/>
    </row>
    <row r="135" spans="1:30">
      <c r="A135" s="42">
        <f t="shared" si="0"/>
        <v>134</v>
      </c>
      <c r="B135" s="42" t="s">
        <v>19</v>
      </c>
      <c r="C135" s="42" t="s">
        <v>19</v>
      </c>
      <c r="D135" s="42" t="s">
        <v>1118</v>
      </c>
      <c r="E135" s="42"/>
      <c r="F135" s="42" t="s">
        <v>204</v>
      </c>
      <c r="G135" s="42">
        <v>9010804737</v>
      </c>
      <c r="H135" s="42"/>
      <c r="I135" s="42"/>
      <c r="J135" s="42"/>
      <c r="K135" s="42"/>
      <c r="L135" s="42"/>
      <c r="M135" s="42"/>
      <c r="N135" s="42"/>
      <c r="O135" s="42"/>
      <c r="P135" s="42"/>
      <c r="Q135" s="42"/>
      <c r="R135" s="42"/>
      <c r="S135" s="42"/>
      <c r="T135" s="45"/>
      <c r="U135" s="45"/>
      <c r="V135" s="45"/>
      <c r="W135" s="45"/>
      <c r="X135" s="45"/>
      <c r="Y135" s="45"/>
      <c r="Z135" s="45"/>
      <c r="AA135" s="45"/>
      <c r="AB135" s="45"/>
      <c r="AC135" s="45"/>
      <c r="AD135" s="45"/>
    </row>
    <row r="136" spans="1:30">
      <c r="A136" s="42">
        <f t="shared" si="0"/>
        <v>135</v>
      </c>
      <c r="B136" s="42" t="s">
        <v>19</v>
      </c>
      <c r="C136" s="42" t="s">
        <v>19</v>
      </c>
      <c r="D136" s="42" t="s">
        <v>1120</v>
      </c>
      <c r="E136" s="42"/>
      <c r="F136" s="42" t="s">
        <v>207</v>
      </c>
      <c r="G136" s="42">
        <v>9177420734</v>
      </c>
      <c r="H136" s="42"/>
      <c r="I136" s="42"/>
      <c r="J136" s="42"/>
      <c r="K136" s="42"/>
      <c r="L136" s="42"/>
      <c r="M136" s="42"/>
      <c r="N136" s="42"/>
      <c r="O136" s="42"/>
      <c r="P136" s="42"/>
      <c r="Q136" s="42"/>
      <c r="R136" s="42"/>
      <c r="S136" s="42"/>
      <c r="T136" s="45"/>
      <c r="U136" s="45"/>
      <c r="V136" s="45"/>
      <c r="W136" s="45"/>
      <c r="X136" s="45"/>
      <c r="Y136" s="45"/>
      <c r="Z136" s="45"/>
      <c r="AA136" s="45"/>
      <c r="AB136" s="45"/>
      <c r="AC136" s="45"/>
      <c r="AD136" s="45"/>
    </row>
    <row r="137" spans="1:30">
      <c r="A137" s="42">
        <f t="shared" si="0"/>
        <v>136</v>
      </c>
      <c r="B137" s="42" t="s">
        <v>19</v>
      </c>
      <c r="C137" s="42" t="s">
        <v>19</v>
      </c>
      <c r="D137" s="42" t="s">
        <v>1122</v>
      </c>
      <c r="E137" s="42"/>
      <c r="F137" s="42" t="s">
        <v>209</v>
      </c>
      <c r="G137" s="42">
        <v>9959466333</v>
      </c>
      <c r="H137" s="42"/>
      <c r="I137" s="42"/>
      <c r="J137" s="42"/>
      <c r="K137" s="42"/>
      <c r="L137" s="42"/>
      <c r="M137" s="42"/>
      <c r="N137" s="42"/>
      <c r="O137" s="42"/>
      <c r="P137" s="42"/>
      <c r="Q137" s="42"/>
      <c r="R137" s="42"/>
      <c r="S137" s="42"/>
      <c r="T137" s="45"/>
      <c r="U137" s="45"/>
      <c r="V137" s="45"/>
      <c r="W137" s="45"/>
      <c r="X137" s="45"/>
      <c r="Y137" s="45"/>
      <c r="Z137" s="45"/>
      <c r="AA137" s="45"/>
      <c r="AB137" s="45"/>
      <c r="AC137" s="45"/>
      <c r="AD137" s="45"/>
    </row>
    <row r="138" spans="1:30">
      <c r="A138" s="42">
        <f t="shared" si="0"/>
        <v>137</v>
      </c>
      <c r="B138" s="42" t="s">
        <v>19</v>
      </c>
      <c r="C138" s="42" t="s">
        <v>19</v>
      </c>
      <c r="D138" s="42" t="s">
        <v>1129</v>
      </c>
      <c r="E138" s="42"/>
      <c r="F138" s="42" t="s">
        <v>212</v>
      </c>
      <c r="G138" s="42">
        <v>9966327502</v>
      </c>
      <c r="H138" s="42"/>
      <c r="I138" s="42"/>
      <c r="J138" s="42"/>
      <c r="K138" s="42"/>
      <c r="L138" s="42"/>
      <c r="M138" s="42"/>
      <c r="N138" s="42"/>
      <c r="O138" s="42"/>
      <c r="P138" s="42"/>
      <c r="Q138" s="42"/>
      <c r="R138" s="42"/>
      <c r="S138" s="42"/>
      <c r="T138" s="45"/>
      <c r="U138" s="45"/>
      <c r="V138" s="45"/>
      <c r="W138" s="45"/>
      <c r="X138" s="45"/>
      <c r="Y138" s="45"/>
      <c r="Z138" s="45"/>
      <c r="AA138" s="45"/>
      <c r="AB138" s="45"/>
      <c r="AC138" s="45"/>
      <c r="AD138" s="45"/>
    </row>
    <row r="139" spans="1:30">
      <c r="A139" s="42">
        <f t="shared" si="0"/>
        <v>138</v>
      </c>
      <c r="B139" s="42" t="s">
        <v>19</v>
      </c>
      <c r="C139" s="42" t="s">
        <v>19</v>
      </c>
      <c r="D139" s="42" t="s">
        <v>1137</v>
      </c>
      <c r="E139" s="42"/>
      <c r="F139" s="42" t="s">
        <v>217</v>
      </c>
      <c r="G139" s="42">
        <v>9963930222</v>
      </c>
      <c r="H139" s="42"/>
      <c r="I139" s="42"/>
      <c r="J139" s="42"/>
      <c r="K139" s="42"/>
      <c r="L139" s="42"/>
      <c r="M139" s="42"/>
      <c r="N139" s="42"/>
      <c r="O139" s="42"/>
      <c r="P139" s="42"/>
      <c r="Q139" s="42"/>
      <c r="R139" s="42"/>
      <c r="S139" s="42"/>
      <c r="T139" s="45"/>
      <c r="U139" s="45"/>
      <c r="V139" s="45"/>
      <c r="W139" s="45"/>
      <c r="X139" s="45"/>
      <c r="Y139" s="45"/>
      <c r="Z139" s="45"/>
      <c r="AA139" s="45"/>
      <c r="AB139" s="45"/>
      <c r="AC139" s="45"/>
      <c r="AD139" s="45"/>
    </row>
    <row r="140" spans="1:30">
      <c r="A140" s="42">
        <f t="shared" si="0"/>
        <v>139</v>
      </c>
      <c r="B140" s="42" t="s">
        <v>19</v>
      </c>
      <c r="C140" s="42" t="s">
        <v>19</v>
      </c>
      <c r="D140" s="42" t="s">
        <v>1145</v>
      </c>
      <c r="E140" s="42"/>
      <c r="F140" s="42" t="s">
        <v>219</v>
      </c>
      <c r="G140" s="42">
        <v>6300843620</v>
      </c>
      <c r="H140" s="42"/>
      <c r="I140" s="42"/>
      <c r="J140" s="42"/>
      <c r="K140" s="42"/>
      <c r="L140" s="42"/>
      <c r="M140" s="42"/>
      <c r="N140" s="42"/>
      <c r="O140" s="42"/>
      <c r="P140" s="42"/>
      <c r="Q140" s="42"/>
      <c r="R140" s="42"/>
      <c r="S140" s="42"/>
      <c r="T140" s="45"/>
      <c r="U140" s="45"/>
      <c r="V140" s="45"/>
      <c r="W140" s="45"/>
      <c r="X140" s="45"/>
      <c r="Y140" s="45"/>
      <c r="Z140" s="45"/>
      <c r="AA140" s="45"/>
      <c r="AB140" s="45"/>
      <c r="AC140" s="45"/>
      <c r="AD140" s="45"/>
    </row>
    <row r="141" spans="1:30">
      <c r="A141" s="42">
        <f t="shared" si="0"/>
        <v>140</v>
      </c>
      <c r="B141" s="42" t="s">
        <v>19</v>
      </c>
      <c r="C141" s="42" t="s">
        <v>220</v>
      </c>
      <c r="D141" s="42" t="s">
        <v>1147</v>
      </c>
      <c r="E141" s="42"/>
      <c r="F141" s="42" t="s">
        <v>222</v>
      </c>
      <c r="G141" s="42">
        <v>9132631999</v>
      </c>
      <c r="H141" s="42"/>
      <c r="I141" s="42"/>
      <c r="J141" s="42"/>
      <c r="K141" s="42"/>
      <c r="L141" s="42"/>
      <c r="M141" s="42"/>
      <c r="N141" s="42"/>
      <c r="O141" s="42"/>
      <c r="P141" s="42"/>
      <c r="Q141" s="42"/>
      <c r="R141" s="42"/>
      <c r="S141" s="42"/>
      <c r="T141" s="45"/>
      <c r="U141" s="45"/>
      <c r="V141" s="45"/>
      <c r="W141" s="45"/>
      <c r="X141" s="45"/>
      <c r="Y141" s="45"/>
      <c r="Z141" s="45"/>
      <c r="AA141" s="45"/>
      <c r="AB141" s="45"/>
      <c r="AC141" s="45"/>
      <c r="AD141" s="45"/>
    </row>
    <row r="142" spans="1:30">
      <c r="A142" s="42">
        <f t="shared" si="0"/>
        <v>141</v>
      </c>
      <c r="B142" s="42" t="s">
        <v>19</v>
      </c>
      <c r="C142" s="42" t="s">
        <v>220</v>
      </c>
      <c r="D142" s="42" t="s">
        <v>223</v>
      </c>
      <c r="E142" s="42"/>
      <c r="F142" s="42" t="s">
        <v>224</v>
      </c>
      <c r="G142" s="42">
        <v>7386404556</v>
      </c>
      <c r="H142" s="42"/>
      <c r="I142" s="42"/>
      <c r="J142" s="42"/>
      <c r="K142" s="42"/>
      <c r="L142" s="42"/>
      <c r="M142" s="42"/>
      <c r="N142" s="42"/>
      <c r="O142" s="42"/>
      <c r="P142" s="42"/>
      <c r="Q142" s="42"/>
      <c r="R142" s="42"/>
      <c r="S142" s="42"/>
      <c r="T142" s="45"/>
      <c r="U142" s="45"/>
      <c r="V142" s="45"/>
      <c r="W142" s="45"/>
      <c r="X142" s="45"/>
      <c r="Y142" s="45"/>
      <c r="Z142" s="45"/>
      <c r="AA142" s="45"/>
      <c r="AB142" s="45"/>
      <c r="AC142" s="45"/>
      <c r="AD142" s="45"/>
    </row>
    <row r="143" spans="1:30">
      <c r="A143" s="42">
        <f t="shared" si="0"/>
        <v>142</v>
      </c>
      <c r="B143" s="42" t="s">
        <v>19</v>
      </c>
      <c r="C143" s="42" t="s">
        <v>220</v>
      </c>
      <c r="D143" s="42" t="s">
        <v>1156</v>
      </c>
      <c r="E143" s="42"/>
      <c r="F143" s="42" t="s">
        <v>227</v>
      </c>
      <c r="G143" s="42">
        <v>9010865217</v>
      </c>
      <c r="H143" s="42"/>
      <c r="I143" s="42"/>
      <c r="J143" s="42"/>
      <c r="K143" s="42"/>
      <c r="L143" s="42"/>
      <c r="M143" s="42"/>
      <c r="N143" s="42"/>
      <c r="O143" s="42"/>
      <c r="P143" s="42"/>
      <c r="Q143" s="42"/>
      <c r="R143" s="42"/>
      <c r="S143" s="42"/>
      <c r="T143" s="45"/>
      <c r="U143" s="45"/>
      <c r="V143" s="45"/>
      <c r="W143" s="45"/>
      <c r="X143" s="45"/>
      <c r="Y143" s="45"/>
      <c r="Z143" s="45"/>
      <c r="AA143" s="45"/>
      <c r="AB143" s="45"/>
      <c r="AC143" s="45"/>
      <c r="AD143" s="45"/>
    </row>
    <row r="144" spans="1:30">
      <c r="A144" s="42">
        <f t="shared" si="0"/>
        <v>143</v>
      </c>
      <c r="B144" s="42" t="s">
        <v>19</v>
      </c>
      <c r="C144" s="42" t="s">
        <v>220</v>
      </c>
      <c r="D144" s="42" t="s">
        <v>228</v>
      </c>
      <c r="E144" s="42"/>
      <c r="F144" s="42" t="s">
        <v>229</v>
      </c>
      <c r="G144" s="42">
        <v>9848068968</v>
      </c>
      <c r="H144" s="42"/>
      <c r="I144" s="42"/>
      <c r="J144" s="42"/>
      <c r="K144" s="42"/>
      <c r="L144" s="42"/>
      <c r="M144" s="42"/>
      <c r="N144" s="42"/>
      <c r="O144" s="42"/>
      <c r="P144" s="42"/>
      <c r="Q144" s="42"/>
      <c r="R144" s="42"/>
      <c r="S144" s="42"/>
      <c r="T144" s="45"/>
      <c r="U144" s="45"/>
      <c r="V144" s="45"/>
      <c r="W144" s="45"/>
      <c r="X144" s="45"/>
      <c r="Y144" s="45"/>
      <c r="Z144" s="45"/>
      <c r="AA144" s="45"/>
      <c r="AB144" s="45"/>
      <c r="AC144" s="45"/>
      <c r="AD144" s="45"/>
    </row>
    <row r="145" spans="1:30">
      <c r="A145" s="42">
        <f t="shared" si="0"/>
        <v>144</v>
      </c>
      <c r="B145" s="42" t="s">
        <v>19</v>
      </c>
      <c r="C145" s="42" t="s">
        <v>220</v>
      </c>
      <c r="D145" s="42" t="s">
        <v>1174</v>
      </c>
      <c r="E145" s="42"/>
      <c r="F145" s="42" t="s">
        <v>232</v>
      </c>
      <c r="G145" s="42">
        <v>9160940340</v>
      </c>
      <c r="H145" s="42"/>
      <c r="I145" s="42"/>
      <c r="J145" s="42"/>
      <c r="K145" s="42"/>
      <c r="L145" s="42"/>
      <c r="M145" s="42"/>
      <c r="N145" s="42"/>
      <c r="O145" s="42"/>
      <c r="P145" s="42"/>
      <c r="Q145" s="42"/>
      <c r="R145" s="42"/>
      <c r="S145" s="42"/>
      <c r="T145" s="45"/>
      <c r="U145" s="45"/>
      <c r="V145" s="45"/>
      <c r="W145" s="45"/>
      <c r="X145" s="45"/>
      <c r="Y145" s="45"/>
      <c r="Z145" s="45"/>
      <c r="AA145" s="45"/>
      <c r="AB145" s="45"/>
      <c r="AC145" s="45"/>
      <c r="AD145" s="45"/>
    </row>
    <row r="146" spans="1:30">
      <c r="A146" s="42">
        <f t="shared" si="0"/>
        <v>145</v>
      </c>
      <c r="B146" s="42" t="s">
        <v>19</v>
      </c>
      <c r="C146" s="42" t="s">
        <v>220</v>
      </c>
      <c r="D146" s="42" t="s">
        <v>233</v>
      </c>
      <c r="E146" s="42"/>
      <c r="F146" s="42" t="s">
        <v>234</v>
      </c>
      <c r="G146" s="42">
        <v>9493788888</v>
      </c>
      <c r="H146" s="42"/>
      <c r="I146" s="42"/>
      <c r="J146" s="42"/>
      <c r="K146" s="42"/>
      <c r="L146" s="42"/>
      <c r="M146" s="42"/>
      <c r="N146" s="42"/>
      <c r="O146" s="42"/>
      <c r="P146" s="42"/>
      <c r="Q146" s="42"/>
      <c r="R146" s="42"/>
      <c r="S146" s="42"/>
      <c r="T146" s="45"/>
      <c r="U146" s="45"/>
      <c r="V146" s="45"/>
      <c r="W146" s="45"/>
      <c r="X146" s="45"/>
      <c r="Y146" s="45"/>
      <c r="Z146" s="45"/>
      <c r="AA146" s="45"/>
      <c r="AB146" s="45"/>
      <c r="AC146" s="45"/>
      <c r="AD146" s="45"/>
    </row>
    <row r="147" spans="1:30">
      <c r="A147" s="42">
        <f t="shared" si="0"/>
        <v>146</v>
      </c>
      <c r="B147" s="42" t="s">
        <v>19</v>
      </c>
      <c r="C147" s="42" t="s">
        <v>220</v>
      </c>
      <c r="D147" s="42" t="s">
        <v>235</v>
      </c>
      <c r="E147" s="42"/>
      <c r="F147" s="42" t="s">
        <v>236</v>
      </c>
      <c r="G147" s="42">
        <v>8886766667</v>
      </c>
      <c r="H147" s="42"/>
      <c r="I147" s="42"/>
      <c r="J147" s="42"/>
      <c r="K147" s="42"/>
      <c r="L147" s="42"/>
      <c r="M147" s="42"/>
      <c r="N147" s="42"/>
      <c r="O147" s="42"/>
      <c r="P147" s="42"/>
      <c r="Q147" s="42"/>
      <c r="R147" s="42"/>
      <c r="S147" s="42"/>
      <c r="T147" s="45"/>
      <c r="U147" s="45"/>
      <c r="V147" s="45"/>
      <c r="W147" s="45"/>
      <c r="X147" s="45"/>
      <c r="Y147" s="45"/>
      <c r="Z147" s="45"/>
      <c r="AA147" s="45"/>
      <c r="AB147" s="45"/>
      <c r="AC147" s="45"/>
      <c r="AD147" s="45"/>
    </row>
    <row r="148" spans="1:30">
      <c r="A148" s="42">
        <f t="shared" si="0"/>
        <v>147</v>
      </c>
      <c r="B148" s="42" t="s">
        <v>19</v>
      </c>
      <c r="C148" s="42" t="s">
        <v>220</v>
      </c>
      <c r="D148" s="42" t="s">
        <v>237</v>
      </c>
      <c r="E148" s="42"/>
      <c r="F148" s="42" t="s">
        <v>238</v>
      </c>
      <c r="G148" s="42">
        <v>8639927455</v>
      </c>
      <c r="H148" s="42"/>
      <c r="I148" s="42"/>
      <c r="J148" s="42"/>
      <c r="K148" s="42"/>
      <c r="L148" s="42"/>
      <c r="M148" s="42"/>
      <c r="N148" s="42"/>
      <c r="O148" s="42"/>
      <c r="P148" s="42"/>
      <c r="Q148" s="42"/>
      <c r="R148" s="42"/>
      <c r="S148" s="42"/>
      <c r="T148" s="45"/>
      <c r="U148" s="45"/>
      <c r="V148" s="45"/>
      <c r="W148" s="45"/>
      <c r="X148" s="45"/>
      <c r="Y148" s="45"/>
      <c r="Z148" s="45"/>
      <c r="AA148" s="45"/>
      <c r="AB148" s="45"/>
      <c r="AC148" s="45"/>
      <c r="AD148" s="45"/>
    </row>
    <row r="149" spans="1:30">
      <c r="A149" s="42">
        <f t="shared" si="0"/>
        <v>148</v>
      </c>
      <c r="B149" s="42" t="s">
        <v>19</v>
      </c>
      <c r="C149" s="42" t="s">
        <v>220</v>
      </c>
      <c r="D149" s="42" t="s">
        <v>239</v>
      </c>
      <c r="E149" s="42"/>
      <c r="F149" s="42" t="s">
        <v>240</v>
      </c>
      <c r="G149" s="42">
        <v>8790885023</v>
      </c>
      <c r="H149" s="42"/>
      <c r="I149" s="42"/>
      <c r="J149" s="42"/>
      <c r="K149" s="42"/>
      <c r="L149" s="42"/>
      <c r="M149" s="42"/>
      <c r="N149" s="42"/>
      <c r="O149" s="42"/>
      <c r="P149" s="42"/>
      <c r="Q149" s="42"/>
      <c r="R149" s="42"/>
      <c r="S149" s="42"/>
      <c r="T149" s="45"/>
      <c r="U149" s="45"/>
      <c r="V149" s="45"/>
      <c r="W149" s="45"/>
      <c r="X149" s="45"/>
      <c r="Y149" s="45"/>
      <c r="Z149" s="45"/>
      <c r="AA149" s="45"/>
      <c r="AB149" s="45"/>
      <c r="AC149" s="45"/>
      <c r="AD149" s="45"/>
    </row>
    <row r="150" spans="1:30">
      <c r="A150" s="42">
        <f t="shared" si="0"/>
        <v>149</v>
      </c>
      <c r="B150" s="42" t="s">
        <v>19</v>
      </c>
      <c r="C150" s="42" t="s">
        <v>220</v>
      </c>
      <c r="D150" s="42" t="s">
        <v>1193</v>
      </c>
      <c r="E150" s="42"/>
      <c r="F150" s="42" t="s">
        <v>242</v>
      </c>
      <c r="G150" s="42">
        <v>9848258999</v>
      </c>
      <c r="H150" s="42"/>
      <c r="I150" s="42"/>
      <c r="J150" s="42"/>
      <c r="K150" s="42"/>
      <c r="L150" s="42"/>
      <c r="M150" s="42"/>
      <c r="N150" s="42"/>
      <c r="O150" s="42"/>
      <c r="P150" s="42"/>
      <c r="Q150" s="42"/>
      <c r="R150" s="42"/>
      <c r="S150" s="42"/>
      <c r="T150" s="45"/>
      <c r="U150" s="45"/>
      <c r="V150" s="45"/>
      <c r="W150" s="45"/>
      <c r="X150" s="45"/>
      <c r="Y150" s="45"/>
      <c r="Z150" s="45"/>
      <c r="AA150" s="45"/>
      <c r="AB150" s="45"/>
      <c r="AC150" s="45"/>
      <c r="AD150" s="45"/>
    </row>
    <row r="151" spans="1:30">
      <c r="A151" s="42">
        <f t="shared" si="0"/>
        <v>150</v>
      </c>
      <c r="B151" s="42" t="s">
        <v>19</v>
      </c>
      <c r="C151" s="42" t="s">
        <v>220</v>
      </c>
      <c r="D151" s="42" t="s">
        <v>1200</v>
      </c>
      <c r="E151" s="42"/>
      <c r="F151" s="42" t="s">
        <v>244</v>
      </c>
      <c r="G151" s="42">
        <v>9493882666</v>
      </c>
      <c r="H151" s="42"/>
      <c r="I151" s="42"/>
      <c r="J151" s="42"/>
      <c r="K151" s="42"/>
      <c r="L151" s="42"/>
      <c r="M151" s="42"/>
      <c r="N151" s="42"/>
      <c r="O151" s="42"/>
      <c r="P151" s="42"/>
      <c r="Q151" s="42"/>
      <c r="R151" s="42"/>
      <c r="S151" s="42"/>
      <c r="T151" s="45"/>
      <c r="U151" s="45"/>
      <c r="V151" s="45"/>
      <c r="W151" s="45"/>
      <c r="X151" s="45"/>
      <c r="Y151" s="45"/>
      <c r="Z151" s="45"/>
      <c r="AA151" s="45"/>
      <c r="AB151" s="45"/>
      <c r="AC151" s="45"/>
      <c r="AD151" s="45"/>
    </row>
    <row r="152" spans="1:30">
      <c r="A152" s="42">
        <f t="shared" si="0"/>
        <v>151</v>
      </c>
      <c r="B152" s="42" t="s">
        <v>19</v>
      </c>
      <c r="C152" s="42" t="s">
        <v>220</v>
      </c>
      <c r="D152" s="42" t="s">
        <v>245</v>
      </c>
      <c r="E152" s="42"/>
      <c r="F152" s="42" t="s">
        <v>246</v>
      </c>
      <c r="G152" s="42">
        <v>9959624492</v>
      </c>
      <c r="H152" s="42"/>
      <c r="I152" s="42"/>
      <c r="J152" s="42"/>
      <c r="K152" s="42"/>
      <c r="L152" s="42"/>
      <c r="M152" s="42"/>
      <c r="N152" s="42"/>
      <c r="O152" s="42"/>
      <c r="P152" s="42"/>
      <c r="Q152" s="42"/>
      <c r="R152" s="42"/>
      <c r="S152" s="42"/>
      <c r="T152" s="45"/>
      <c r="U152" s="45"/>
      <c r="V152" s="45"/>
      <c r="W152" s="45"/>
      <c r="X152" s="45"/>
      <c r="Y152" s="45"/>
      <c r="Z152" s="45"/>
      <c r="AA152" s="45"/>
      <c r="AB152" s="45"/>
      <c r="AC152" s="45"/>
      <c r="AD152" s="45"/>
    </row>
    <row r="153" spans="1:30">
      <c r="A153" s="42">
        <f t="shared" si="0"/>
        <v>152</v>
      </c>
      <c r="B153" s="42" t="s">
        <v>19</v>
      </c>
      <c r="C153" s="42" t="s">
        <v>220</v>
      </c>
      <c r="D153" s="42" t="s">
        <v>1203</v>
      </c>
      <c r="E153" s="42"/>
      <c r="F153" s="42" t="s">
        <v>248</v>
      </c>
      <c r="G153" s="42">
        <v>9951135685</v>
      </c>
      <c r="H153" s="42"/>
      <c r="I153" s="42"/>
      <c r="J153" s="42"/>
      <c r="K153" s="42"/>
      <c r="L153" s="42"/>
      <c r="M153" s="42"/>
      <c r="N153" s="42"/>
      <c r="O153" s="42"/>
      <c r="P153" s="42"/>
      <c r="Q153" s="42"/>
      <c r="R153" s="42"/>
      <c r="S153" s="42"/>
      <c r="T153" s="45"/>
      <c r="U153" s="45"/>
      <c r="V153" s="45"/>
      <c r="W153" s="45"/>
      <c r="X153" s="45"/>
      <c r="Y153" s="45"/>
      <c r="Z153" s="45"/>
      <c r="AA153" s="45"/>
      <c r="AB153" s="45"/>
      <c r="AC153" s="45"/>
      <c r="AD153" s="45"/>
    </row>
    <row r="154" spans="1:30">
      <c r="A154" s="42">
        <f t="shared" si="0"/>
        <v>153</v>
      </c>
      <c r="B154" s="42" t="s">
        <v>19</v>
      </c>
      <c r="C154" s="42" t="s">
        <v>220</v>
      </c>
      <c r="D154" s="42" t="s">
        <v>1205</v>
      </c>
      <c r="E154" s="42"/>
      <c r="F154" s="42" t="s">
        <v>250</v>
      </c>
      <c r="G154" s="42">
        <v>9490153453</v>
      </c>
      <c r="H154" s="42"/>
      <c r="I154" s="42"/>
      <c r="J154" s="42"/>
      <c r="K154" s="42"/>
      <c r="L154" s="42"/>
      <c r="M154" s="42"/>
      <c r="N154" s="42"/>
      <c r="O154" s="42"/>
      <c r="P154" s="42"/>
      <c r="Q154" s="42"/>
      <c r="R154" s="42"/>
      <c r="S154" s="42"/>
      <c r="T154" s="45"/>
      <c r="U154" s="45"/>
      <c r="V154" s="45"/>
      <c r="W154" s="45"/>
      <c r="X154" s="45"/>
      <c r="Y154" s="45"/>
      <c r="Z154" s="45"/>
      <c r="AA154" s="45"/>
      <c r="AB154" s="45"/>
      <c r="AC154" s="45"/>
      <c r="AD154" s="45"/>
    </row>
    <row r="155" spans="1:30">
      <c r="A155" s="42">
        <f t="shared" si="0"/>
        <v>154</v>
      </c>
      <c r="B155" s="42" t="s">
        <v>19</v>
      </c>
      <c r="C155" s="42" t="s">
        <v>220</v>
      </c>
      <c r="D155" s="42" t="s">
        <v>1207</v>
      </c>
      <c r="E155" s="42"/>
      <c r="F155" s="42" t="s">
        <v>252</v>
      </c>
      <c r="G155" s="42">
        <v>8686864047</v>
      </c>
      <c r="H155" s="42"/>
      <c r="I155" s="42"/>
      <c r="J155" s="42"/>
      <c r="K155" s="42"/>
      <c r="L155" s="42"/>
      <c r="M155" s="42"/>
      <c r="N155" s="42"/>
      <c r="O155" s="42"/>
      <c r="P155" s="42"/>
      <c r="Q155" s="42"/>
      <c r="R155" s="42"/>
      <c r="S155" s="42"/>
      <c r="T155" s="45"/>
      <c r="U155" s="45"/>
      <c r="V155" s="45"/>
      <c r="W155" s="45"/>
      <c r="X155" s="45"/>
      <c r="Y155" s="45"/>
      <c r="Z155" s="45"/>
      <c r="AA155" s="45"/>
      <c r="AB155" s="45"/>
      <c r="AC155" s="45"/>
      <c r="AD155" s="45"/>
    </row>
    <row r="156" spans="1:30">
      <c r="A156" s="42">
        <f t="shared" si="0"/>
        <v>155</v>
      </c>
      <c r="B156" s="42" t="s">
        <v>19</v>
      </c>
      <c r="C156" s="42" t="s">
        <v>220</v>
      </c>
      <c r="D156" s="42" t="s">
        <v>1209</v>
      </c>
      <c r="E156" s="42"/>
      <c r="F156" s="42" t="s">
        <v>254</v>
      </c>
      <c r="G156" s="42">
        <v>9848652974</v>
      </c>
      <c r="H156" s="42"/>
      <c r="I156" s="42"/>
      <c r="J156" s="42"/>
      <c r="K156" s="42"/>
      <c r="L156" s="42"/>
      <c r="M156" s="42"/>
      <c r="N156" s="42"/>
      <c r="O156" s="42"/>
      <c r="P156" s="42"/>
      <c r="Q156" s="42"/>
      <c r="R156" s="42"/>
      <c r="S156" s="42"/>
      <c r="T156" s="45"/>
      <c r="U156" s="45"/>
      <c r="V156" s="45"/>
      <c r="W156" s="45"/>
      <c r="X156" s="45"/>
      <c r="Y156" s="45"/>
      <c r="Z156" s="45"/>
      <c r="AA156" s="45"/>
      <c r="AB156" s="45"/>
      <c r="AC156" s="45"/>
      <c r="AD156" s="45"/>
    </row>
    <row r="157" spans="1:30">
      <c r="A157" s="42">
        <f t="shared" si="0"/>
        <v>156</v>
      </c>
      <c r="B157" s="42" t="s">
        <v>19</v>
      </c>
      <c r="C157" s="42" t="s">
        <v>220</v>
      </c>
      <c r="D157" s="42" t="s">
        <v>255</v>
      </c>
      <c r="E157" s="42"/>
      <c r="F157" s="42" t="s">
        <v>256</v>
      </c>
      <c r="G157" s="42">
        <v>8309332929</v>
      </c>
      <c r="H157" s="42"/>
      <c r="I157" s="42"/>
      <c r="J157" s="42"/>
      <c r="K157" s="42"/>
      <c r="L157" s="42"/>
      <c r="M157" s="42"/>
      <c r="N157" s="42"/>
      <c r="O157" s="42"/>
      <c r="P157" s="42"/>
      <c r="Q157" s="42"/>
      <c r="R157" s="42"/>
      <c r="S157" s="42"/>
      <c r="T157" s="45"/>
      <c r="U157" s="45"/>
      <c r="V157" s="45"/>
      <c r="W157" s="45"/>
      <c r="X157" s="45"/>
      <c r="Y157" s="45"/>
      <c r="Z157" s="45"/>
      <c r="AA157" s="45"/>
      <c r="AB157" s="45"/>
      <c r="AC157" s="45"/>
      <c r="AD157" s="45"/>
    </row>
    <row r="158" spans="1:30">
      <c r="A158" s="42">
        <f t="shared" si="0"/>
        <v>157</v>
      </c>
      <c r="B158" s="42" t="s">
        <v>19</v>
      </c>
      <c r="C158" s="42" t="s">
        <v>220</v>
      </c>
      <c r="D158" s="42" t="s">
        <v>257</v>
      </c>
      <c r="E158" s="42"/>
      <c r="F158" s="42" t="s">
        <v>258</v>
      </c>
      <c r="G158" s="42">
        <v>9441807628</v>
      </c>
      <c r="H158" s="42"/>
      <c r="I158" s="42"/>
      <c r="J158" s="42"/>
      <c r="K158" s="42"/>
      <c r="L158" s="42"/>
      <c r="M158" s="42"/>
      <c r="N158" s="42"/>
      <c r="O158" s="42"/>
      <c r="P158" s="42"/>
      <c r="Q158" s="42"/>
      <c r="R158" s="42"/>
      <c r="S158" s="42"/>
      <c r="T158" s="45"/>
      <c r="U158" s="45"/>
      <c r="V158" s="45"/>
      <c r="W158" s="45"/>
      <c r="X158" s="45"/>
      <c r="Y158" s="45"/>
      <c r="Z158" s="45"/>
      <c r="AA158" s="45"/>
      <c r="AB158" s="45"/>
      <c r="AC158" s="45"/>
      <c r="AD158" s="45"/>
    </row>
    <row r="159" spans="1:30">
      <c r="A159" s="42">
        <f t="shared" si="0"/>
        <v>158</v>
      </c>
      <c r="B159" s="42" t="s">
        <v>19</v>
      </c>
      <c r="C159" s="42" t="s">
        <v>220</v>
      </c>
      <c r="D159" s="42" t="s">
        <v>259</v>
      </c>
      <c r="E159" s="42"/>
      <c r="F159" s="42" t="s">
        <v>260</v>
      </c>
      <c r="G159" s="42">
        <v>9247855118</v>
      </c>
      <c r="H159" s="42"/>
      <c r="I159" s="42"/>
      <c r="J159" s="42"/>
      <c r="K159" s="42"/>
      <c r="L159" s="42"/>
      <c r="M159" s="42"/>
      <c r="N159" s="42"/>
      <c r="O159" s="42"/>
      <c r="P159" s="42"/>
      <c r="Q159" s="42"/>
      <c r="R159" s="42"/>
      <c r="S159" s="42"/>
      <c r="T159" s="45"/>
      <c r="U159" s="45"/>
      <c r="V159" s="45"/>
      <c r="W159" s="45"/>
      <c r="X159" s="45"/>
      <c r="Y159" s="45"/>
      <c r="Z159" s="45"/>
      <c r="AA159" s="45"/>
      <c r="AB159" s="45"/>
      <c r="AC159" s="45"/>
      <c r="AD159" s="45"/>
    </row>
    <row r="160" spans="1:30">
      <c r="A160" s="42">
        <f t="shared" si="0"/>
        <v>159</v>
      </c>
      <c r="B160" s="42"/>
      <c r="C160" s="42" t="s">
        <v>671</v>
      </c>
      <c r="D160" s="42" t="s">
        <v>1225</v>
      </c>
      <c r="E160" s="42"/>
      <c r="F160" s="42" t="s">
        <v>673</v>
      </c>
      <c r="G160" s="42">
        <v>9010752300</v>
      </c>
      <c r="H160" s="42"/>
      <c r="I160" s="42"/>
      <c r="J160" s="42"/>
      <c r="K160" s="42"/>
      <c r="L160" s="42"/>
      <c r="M160" s="42"/>
      <c r="N160" s="42"/>
      <c r="O160" s="42"/>
      <c r="P160" s="42"/>
      <c r="Q160" s="42"/>
      <c r="R160" s="42"/>
      <c r="S160" s="42"/>
      <c r="T160" s="45"/>
      <c r="U160" s="45"/>
      <c r="V160" s="45"/>
      <c r="W160" s="45"/>
      <c r="X160" s="45"/>
      <c r="Y160" s="45"/>
      <c r="Z160" s="45"/>
      <c r="AA160" s="45"/>
      <c r="AB160" s="45"/>
      <c r="AC160" s="45"/>
      <c r="AD160" s="45"/>
    </row>
    <row r="161" spans="1:30">
      <c r="A161" s="42">
        <f t="shared" si="0"/>
        <v>160</v>
      </c>
      <c r="B161" s="42"/>
      <c r="C161" s="42" t="s">
        <v>671</v>
      </c>
      <c r="D161" s="42" t="s">
        <v>1227</v>
      </c>
      <c r="E161" s="42"/>
      <c r="F161" s="42" t="s">
        <v>9736</v>
      </c>
      <c r="G161" s="42">
        <v>9573933445</v>
      </c>
      <c r="H161" s="42"/>
      <c r="I161" s="42"/>
      <c r="J161" s="42"/>
      <c r="K161" s="42"/>
      <c r="L161" s="42"/>
      <c r="M161" s="42"/>
      <c r="N161" s="42"/>
      <c r="O161" s="42"/>
      <c r="P161" s="42"/>
      <c r="Q161" s="42"/>
      <c r="R161" s="42"/>
      <c r="S161" s="42"/>
      <c r="T161" s="45"/>
      <c r="U161" s="45"/>
      <c r="V161" s="45"/>
      <c r="W161" s="45"/>
      <c r="X161" s="45"/>
      <c r="Y161" s="45"/>
      <c r="Z161" s="45"/>
      <c r="AA161" s="45"/>
      <c r="AB161" s="45"/>
      <c r="AC161" s="45"/>
      <c r="AD161" s="45"/>
    </row>
    <row r="162" spans="1:30">
      <c r="A162" s="42">
        <f t="shared" si="0"/>
        <v>161</v>
      </c>
      <c r="B162" s="42"/>
      <c r="C162" s="42" t="s">
        <v>671</v>
      </c>
      <c r="D162" s="42" t="s">
        <v>1229</v>
      </c>
      <c r="E162" s="42"/>
      <c r="F162" s="42" t="s">
        <v>676</v>
      </c>
      <c r="G162" s="42">
        <v>8096663901</v>
      </c>
      <c r="H162" s="42"/>
      <c r="I162" s="42"/>
      <c r="J162" s="42"/>
      <c r="K162" s="42"/>
      <c r="L162" s="42"/>
      <c r="M162" s="42"/>
      <c r="N162" s="42"/>
      <c r="O162" s="42"/>
      <c r="P162" s="42"/>
      <c r="Q162" s="42"/>
      <c r="R162" s="42"/>
      <c r="S162" s="42"/>
      <c r="T162" s="45"/>
      <c r="U162" s="45"/>
      <c r="V162" s="45"/>
      <c r="W162" s="45"/>
      <c r="X162" s="45"/>
      <c r="Y162" s="45"/>
      <c r="Z162" s="45"/>
      <c r="AA162" s="45"/>
      <c r="AB162" s="45"/>
      <c r="AC162" s="45"/>
      <c r="AD162" s="45"/>
    </row>
    <row r="163" spans="1:30">
      <c r="A163" s="42">
        <f t="shared" si="0"/>
        <v>162</v>
      </c>
      <c r="B163" s="42"/>
      <c r="C163" s="42" t="s">
        <v>671</v>
      </c>
      <c r="D163" s="42" t="s">
        <v>1231</v>
      </c>
      <c r="E163" s="42"/>
      <c r="F163" s="42" t="s">
        <v>678</v>
      </c>
      <c r="G163" s="42">
        <v>9951353839</v>
      </c>
      <c r="H163" s="42"/>
      <c r="I163" s="42"/>
      <c r="J163" s="42"/>
      <c r="K163" s="42"/>
      <c r="L163" s="42"/>
      <c r="M163" s="42"/>
      <c r="N163" s="42"/>
      <c r="O163" s="42"/>
      <c r="P163" s="42"/>
      <c r="Q163" s="42"/>
      <c r="R163" s="42"/>
      <c r="S163" s="42"/>
      <c r="T163" s="45"/>
      <c r="U163" s="45"/>
      <c r="V163" s="45"/>
      <c r="W163" s="45"/>
      <c r="X163" s="45"/>
      <c r="Y163" s="45"/>
      <c r="Z163" s="45"/>
      <c r="AA163" s="45"/>
      <c r="AB163" s="45"/>
      <c r="AC163" s="45"/>
      <c r="AD163" s="45"/>
    </row>
    <row r="164" spans="1:30">
      <c r="A164" s="42">
        <f t="shared" si="0"/>
        <v>163</v>
      </c>
      <c r="B164" s="42"/>
      <c r="C164" s="42" t="s">
        <v>671</v>
      </c>
      <c r="D164" s="42" t="s">
        <v>1233</v>
      </c>
      <c r="E164" s="42"/>
      <c r="F164" s="42" t="s">
        <v>680</v>
      </c>
      <c r="G164" s="42">
        <v>9491332202</v>
      </c>
      <c r="H164" s="42"/>
      <c r="I164" s="42"/>
      <c r="J164" s="42"/>
      <c r="K164" s="42"/>
      <c r="L164" s="42"/>
      <c r="M164" s="42"/>
      <c r="N164" s="42"/>
      <c r="O164" s="42"/>
      <c r="P164" s="42"/>
      <c r="Q164" s="42"/>
      <c r="R164" s="42"/>
      <c r="S164" s="42"/>
      <c r="T164" s="45"/>
      <c r="U164" s="45"/>
      <c r="V164" s="45"/>
      <c r="W164" s="45"/>
      <c r="X164" s="45"/>
      <c r="Y164" s="45"/>
      <c r="Z164" s="45"/>
      <c r="AA164" s="45"/>
      <c r="AB164" s="45"/>
      <c r="AC164" s="45"/>
      <c r="AD164" s="45"/>
    </row>
    <row r="165" spans="1:30">
      <c r="A165" s="42">
        <f t="shared" si="0"/>
        <v>164</v>
      </c>
      <c r="B165" s="42"/>
      <c r="C165" s="42" t="s">
        <v>671</v>
      </c>
      <c r="D165" s="42" t="s">
        <v>1235</v>
      </c>
      <c r="E165" s="42"/>
      <c r="F165" s="42" t="s">
        <v>682</v>
      </c>
      <c r="G165" s="42">
        <v>9441813892</v>
      </c>
      <c r="H165" s="42"/>
      <c r="I165" s="42"/>
      <c r="J165" s="42"/>
      <c r="K165" s="42"/>
      <c r="L165" s="42"/>
      <c r="M165" s="42"/>
      <c r="N165" s="42"/>
      <c r="O165" s="42"/>
      <c r="P165" s="42"/>
      <c r="Q165" s="42"/>
      <c r="R165" s="42"/>
      <c r="S165" s="42"/>
      <c r="T165" s="45"/>
      <c r="U165" s="45"/>
      <c r="V165" s="45"/>
      <c r="W165" s="45"/>
      <c r="X165" s="45"/>
      <c r="Y165" s="45"/>
      <c r="Z165" s="45"/>
      <c r="AA165" s="45"/>
      <c r="AB165" s="45"/>
      <c r="AC165" s="45"/>
      <c r="AD165" s="45"/>
    </row>
    <row r="166" spans="1:30">
      <c r="A166" s="42">
        <f t="shared" si="0"/>
        <v>165</v>
      </c>
      <c r="B166" s="42"/>
      <c r="C166" s="42" t="s">
        <v>671</v>
      </c>
      <c r="D166" s="42" t="s">
        <v>1237</v>
      </c>
      <c r="E166" s="42"/>
      <c r="F166" s="42" t="s">
        <v>9737</v>
      </c>
      <c r="G166" s="42">
        <v>6281662204</v>
      </c>
      <c r="H166" s="42"/>
      <c r="I166" s="42"/>
      <c r="J166" s="42"/>
      <c r="K166" s="42"/>
      <c r="L166" s="42"/>
      <c r="M166" s="42"/>
      <c r="N166" s="42"/>
      <c r="O166" s="42"/>
      <c r="P166" s="42"/>
      <c r="Q166" s="42"/>
      <c r="R166" s="42"/>
      <c r="S166" s="42"/>
      <c r="T166" s="45"/>
      <c r="U166" s="45"/>
      <c r="V166" s="45"/>
      <c r="W166" s="45"/>
      <c r="X166" s="45"/>
      <c r="Y166" s="45"/>
      <c r="Z166" s="45"/>
      <c r="AA166" s="45"/>
      <c r="AB166" s="45"/>
      <c r="AC166" s="45"/>
      <c r="AD166" s="45"/>
    </row>
    <row r="167" spans="1:30">
      <c r="A167" s="42">
        <f t="shared" si="0"/>
        <v>166</v>
      </c>
      <c r="B167" s="42"/>
      <c r="C167" s="42" t="s">
        <v>671</v>
      </c>
      <c r="D167" s="42" t="s">
        <v>1239</v>
      </c>
      <c r="E167" s="42"/>
      <c r="F167" s="42" t="s">
        <v>687</v>
      </c>
      <c r="G167" s="42">
        <v>9441326672</v>
      </c>
      <c r="H167" s="42"/>
      <c r="I167" s="42"/>
      <c r="J167" s="42"/>
      <c r="K167" s="42"/>
      <c r="L167" s="42"/>
      <c r="M167" s="42"/>
      <c r="N167" s="42"/>
      <c r="O167" s="42"/>
      <c r="P167" s="42"/>
      <c r="Q167" s="42"/>
      <c r="R167" s="42"/>
      <c r="S167" s="42"/>
      <c r="T167" s="45"/>
      <c r="U167" s="45"/>
      <c r="V167" s="45"/>
      <c r="W167" s="45"/>
      <c r="X167" s="45"/>
      <c r="Y167" s="45"/>
      <c r="Z167" s="45"/>
      <c r="AA167" s="45"/>
      <c r="AB167" s="45"/>
      <c r="AC167" s="45"/>
      <c r="AD167" s="45"/>
    </row>
    <row r="168" spans="1:30">
      <c r="A168" s="42">
        <f t="shared" si="0"/>
        <v>167</v>
      </c>
      <c r="B168" s="42"/>
      <c r="C168" s="42" t="s">
        <v>671</v>
      </c>
      <c r="D168" s="42" t="s">
        <v>1241</v>
      </c>
      <c r="E168" s="42"/>
      <c r="F168" s="42" t="s">
        <v>689</v>
      </c>
      <c r="G168" s="42">
        <v>9493138916</v>
      </c>
      <c r="H168" s="42"/>
      <c r="I168" s="42"/>
      <c r="J168" s="42"/>
      <c r="K168" s="42"/>
      <c r="L168" s="42"/>
      <c r="M168" s="42"/>
      <c r="N168" s="42"/>
      <c r="O168" s="42"/>
      <c r="P168" s="42"/>
      <c r="Q168" s="42"/>
      <c r="R168" s="42"/>
      <c r="S168" s="42"/>
      <c r="T168" s="45"/>
      <c r="U168" s="45"/>
      <c r="V168" s="45"/>
      <c r="W168" s="45"/>
      <c r="X168" s="45"/>
      <c r="Y168" s="45"/>
      <c r="Z168" s="45"/>
      <c r="AA168" s="45"/>
      <c r="AB168" s="45"/>
      <c r="AC168" s="45"/>
      <c r="AD168" s="45"/>
    </row>
    <row r="169" spans="1:30">
      <c r="A169" s="42">
        <f t="shared" si="0"/>
        <v>168</v>
      </c>
      <c r="B169" s="42"/>
      <c r="C169" s="42" t="s">
        <v>671</v>
      </c>
      <c r="D169" s="42" t="s">
        <v>1243</v>
      </c>
      <c r="E169" s="42"/>
      <c r="F169" s="42" t="s">
        <v>692</v>
      </c>
      <c r="G169" s="42">
        <v>9493327269</v>
      </c>
      <c r="H169" s="42"/>
      <c r="I169" s="42"/>
      <c r="J169" s="42"/>
      <c r="K169" s="42"/>
      <c r="L169" s="42"/>
      <c r="M169" s="42"/>
      <c r="N169" s="42"/>
      <c r="O169" s="42"/>
      <c r="P169" s="42"/>
      <c r="Q169" s="42"/>
      <c r="R169" s="42"/>
      <c r="S169" s="42"/>
      <c r="T169" s="45"/>
      <c r="U169" s="45"/>
      <c r="V169" s="45"/>
      <c r="W169" s="45"/>
      <c r="X169" s="45"/>
      <c r="Y169" s="45"/>
      <c r="Z169" s="45"/>
      <c r="AA169" s="45"/>
      <c r="AB169" s="45"/>
      <c r="AC169" s="45"/>
      <c r="AD169" s="45"/>
    </row>
    <row r="170" spans="1:30">
      <c r="A170" s="42">
        <f t="shared" si="0"/>
        <v>169</v>
      </c>
      <c r="B170" s="42"/>
      <c r="C170" s="42" t="s">
        <v>671</v>
      </c>
      <c r="D170" s="42" t="s">
        <v>1245</v>
      </c>
      <c r="E170" s="42"/>
      <c r="F170" s="42" t="s">
        <v>694</v>
      </c>
      <c r="G170" s="42">
        <v>9492668264</v>
      </c>
      <c r="H170" s="42"/>
      <c r="I170" s="42"/>
      <c r="J170" s="42"/>
      <c r="K170" s="42"/>
      <c r="L170" s="42"/>
      <c r="M170" s="42"/>
      <c r="N170" s="42"/>
      <c r="O170" s="42"/>
      <c r="P170" s="42"/>
      <c r="Q170" s="42"/>
      <c r="R170" s="42"/>
      <c r="S170" s="42"/>
      <c r="T170" s="45"/>
      <c r="U170" s="45"/>
      <c r="V170" s="45"/>
      <c r="W170" s="45"/>
      <c r="X170" s="45"/>
      <c r="Y170" s="45"/>
      <c r="Z170" s="45"/>
      <c r="AA170" s="45"/>
      <c r="AB170" s="45"/>
      <c r="AC170" s="45"/>
      <c r="AD170" s="45"/>
    </row>
    <row r="171" spans="1:30">
      <c r="A171" s="42">
        <f t="shared" si="0"/>
        <v>170</v>
      </c>
      <c r="B171" s="42"/>
      <c r="C171" s="42" t="s">
        <v>671</v>
      </c>
      <c r="D171" s="42" t="s">
        <v>1247</v>
      </c>
      <c r="E171" s="42"/>
      <c r="F171" s="42" t="s">
        <v>696</v>
      </c>
      <c r="G171" s="42">
        <v>9440429349</v>
      </c>
      <c r="H171" s="42"/>
      <c r="I171" s="42"/>
      <c r="J171" s="42"/>
      <c r="K171" s="42"/>
      <c r="L171" s="42"/>
      <c r="M171" s="42"/>
      <c r="N171" s="42"/>
      <c r="O171" s="42"/>
      <c r="P171" s="42"/>
      <c r="Q171" s="42"/>
      <c r="R171" s="42"/>
      <c r="S171" s="42"/>
      <c r="T171" s="45"/>
      <c r="U171" s="45"/>
      <c r="V171" s="45"/>
      <c r="W171" s="45"/>
      <c r="X171" s="45"/>
      <c r="Y171" s="45"/>
      <c r="Z171" s="45"/>
      <c r="AA171" s="45"/>
      <c r="AB171" s="45"/>
      <c r="AC171" s="45"/>
      <c r="AD171" s="45"/>
    </row>
    <row r="172" spans="1:30">
      <c r="A172" s="42">
        <f t="shared" si="0"/>
        <v>171</v>
      </c>
      <c r="B172" s="42"/>
      <c r="C172" s="42" t="s">
        <v>671</v>
      </c>
      <c r="D172" s="42" t="s">
        <v>1249</v>
      </c>
      <c r="E172" s="42"/>
      <c r="F172" s="42" t="s">
        <v>697</v>
      </c>
      <c r="G172" s="42">
        <v>9440411887</v>
      </c>
      <c r="H172" s="42"/>
      <c r="I172" s="42"/>
      <c r="J172" s="42"/>
      <c r="K172" s="42"/>
      <c r="L172" s="42"/>
      <c r="M172" s="42"/>
      <c r="N172" s="42"/>
      <c r="O172" s="42"/>
      <c r="P172" s="42"/>
      <c r="Q172" s="42"/>
      <c r="R172" s="42"/>
      <c r="S172" s="42"/>
      <c r="T172" s="45"/>
      <c r="U172" s="45"/>
      <c r="V172" s="45"/>
      <c r="W172" s="45"/>
      <c r="X172" s="45"/>
      <c r="Y172" s="45"/>
      <c r="Z172" s="45"/>
      <c r="AA172" s="45"/>
      <c r="AB172" s="45"/>
      <c r="AC172" s="45"/>
      <c r="AD172" s="45"/>
    </row>
    <row r="173" spans="1:30">
      <c r="A173" s="42">
        <f t="shared" si="0"/>
        <v>172</v>
      </c>
      <c r="B173" s="42"/>
      <c r="C173" s="42" t="s">
        <v>671</v>
      </c>
      <c r="D173" s="42" t="s">
        <v>1251</v>
      </c>
      <c r="E173" s="42"/>
      <c r="F173" s="42" t="s">
        <v>699</v>
      </c>
      <c r="G173" s="42">
        <v>9848359996</v>
      </c>
      <c r="H173" s="42"/>
      <c r="I173" s="42"/>
      <c r="J173" s="42"/>
      <c r="K173" s="42"/>
      <c r="L173" s="42"/>
      <c r="M173" s="42"/>
      <c r="N173" s="42"/>
      <c r="O173" s="42"/>
      <c r="P173" s="42"/>
      <c r="Q173" s="42"/>
      <c r="R173" s="42"/>
      <c r="S173" s="42"/>
      <c r="T173" s="45"/>
      <c r="U173" s="45"/>
      <c r="V173" s="45"/>
      <c r="W173" s="45"/>
      <c r="X173" s="45"/>
      <c r="Y173" s="45"/>
      <c r="Z173" s="45"/>
      <c r="AA173" s="45"/>
      <c r="AB173" s="45"/>
      <c r="AC173" s="45"/>
      <c r="AD173" s="45"/>
    </row>
    <row r="174" spans="1:30">
      <c r="A174" s="42">
        <f t="shared" si="0"/>
        <v>173</v>
      </c>
      <c r="B174" s="42"/>
      <c r="C174" s="42" t="s">
        <v>671</v>
      </c>
      <c r="D174" s="42" t="s">
        <v>1253</v>
      </c>
      <c r="E174" s="42"/>
      <c r="F174" s="42" t="s">
        <v>701</v>
      </c>
      <c r="G174" s="42">
        <v>9542775161</v>
      </c>
      <c r="H174" s="42"/>
      <c r="I174" s="42"/>
      <c r="J174" s="42"/>
      <c r="K174" s="42"/>
      <c r="L174" s="42"/>
      <c r="M174" s="42"/>
      <c r="N174" s="42"/>
      <c r="O174" s="42"/>
      <c r="P174" s="42"/>
      <c r="Q174" s="42"/>
      <c r="R174" s="42"/>
      <c r="S174" s="42"/>
      <c r="T174" s="45"/>
      <c r="U174" s="45"/>
      <c r="V174" s="45"/>
      <c r="W174" s="45"/>
      <c r="X174" s="45"/>
      <c r="Y174" s="45"/>
      <c r="Z174" s="45"/>
      <c r="AA174" s="45"/>
      <c r="AB174" s="45"/>
      <c r="AC174" s="45"/>
      <c r="AD174" s="45"/>
    </row>
    <row r="175" spans="1:30">
      <c r="A175" s="42">
        <f t="shared" si="0"/>
        <v>174</v>
      </c>
      <c r="B175" s="42"/>
      <c r="C175" s="42" t="s">
        <v>671</v>
      </c>
      <c r="D175" s="42" t="s">
        <v>1255</v>
      </c>
      <c r="E175" s="42"/>
      <c r="F175" s="42" t="s">
        <v>703</v>
      </c>
      <c r="G175" s="42">
        <v>9966342342</v>
      </c>
      <c r="H175" s="42"/>
      <c r="I175" s="42"/>
      <c r="J175" s="42"/>
      <c r="K175" s="42"/>
      <c r="L175" s="42"/>
      <c r="M175" s="42"/>
      <c r="N175" s="42"/>
      <c r="O175" s="42"/>
      <c r="P175" s="42"/>
      <c r="Q175" s="42"/>
      <c r="R175" s="42"/>
      <c r="S175" s="42"/>
      <c r="T175" s="45"/>
      <c r="U175" s="45"/>
      <c r="V175" s="45"/>
      <c r="W175" s="45"/>
      <c r="X175" s="45"/>
      <c r="Y175" s="45"/>
      <c r="Z175" s="45"/>
      <c r="AA175" s="45"/>
      <c r="AB175" s="45"/>
      <c r="AC175" s="45"/>
      <c r="AD175" s="45"/>
    </row>
    <row r="176" spans="1:30">
      <c r="A176" s="42">
        <f t="shared" si="0"/>
        <v>175</v>
      </c>
      <c r="B176" s="42"/>
      <c r="C176" s="42" t="s">
        <v>671</v>
      </c>
      <c r="D176" s="42" t="s">
        <v>1257</v>
      </c>
      <c r="E176" s="42"/>
      <c r="F176" s="42" t="s">
        <v>705</v>
      </c>
      <c r="G176" s="42">
        <v>9989151796</v>
      </c>
      <c r="H176" s="42"/>
      <c r="I176" s="42"/>
      <c r="J176" s="42"/>
      <c r="K176" s="42"/>
      <c r="L176" s="42"/>
      <c r="M176" s="42"/>
      <c r="N176" s="42"/>
      <c r="O176" s="42"/>
      <c r="P176" s="42"/>
      <c r="Q176" s="42"/>
      <c r="R176" s="42"/>
      <c r="S176" s="42"/>
      <c r="T176" s="45"/>
      <c r="U176" s="45"/>
      <c r="V176" s="45"/>
      <c r="W176" s="45"/>
      <c r="X176" s="45"/>
      <c r="Y176" s="45"/>
      <c r="Z176" s="45"/>
      <c r="AA176" s="45"/>
      <c r="AB176" s="45"/>
      <c r="AC176" s="45"/>
      <c r="AD176" s="45"/>
    </row>
    <row r="177" spans="1:30">
      <c r="A177" s="42">
        <f t="shared" si="0"/>
        <v>176</v>
      </c>
      <c r="B177" s="42"/>
      <c r="C177" s="42" t="s">
        <v>15</v>
      </c>
      <c r="D177" s="42" t="s">
        <v>343</v>
      </c>
      <c r="E177" s="42"/>
      <c r="F177" s="42" t="s">
        <v>344</v>
      </c>
      <c r="G177" s="42">
        <v>9515450642</v>
      </c>
      <c r="H177" s="42"/>
      <c r="I177" s="42"/>
      <c r="J177" s="42"/>
      <c r="K177" s="42"/>
      <c r="L177" s="42"/>
      <c r="M177" s="42"/>
      <c r="N177" s="42"/>
      <c r="O177" s="42"/>
      <c r="P177" s="42"/>
      <c r="Q177" s="42"/>
      <c r="R177" s="42"/>
      <c r="S177" s="42"/>
      <c r="T177" s="45"/>
      <c r="U177" s="45"/>
      <c r="V177" s="45"/>
      <c r="W177" s="45"/>
      <c r="X177" s="45"/>
      <c r="Y177" s="45"/>
      <c r="Z177" s="45"/>
      <c r="AA177" s="45"/>
      <c r="AB177" s="45"/>
      <c r="AC177" s="45"/>
      <c r="AD177" s="45"/>
    </row>
    <row r="178" spans="1:30">
      <c r="A178" s="42">
        <f t="shared" si="0"/>
        <v>177</v>
      </c>
      <c r="B178" s="42"/>
      <c r="C178" s="42" t="s">
        <v>15</v>
      </c>
      <c r="D178" s="42" t="s">
        <v>346</v>
      </c>
      <c r="E178" s="42"/>
      <c r="F178" s="42" t="s">
        <v>347</v>
      </c>
      <c r="G178" s="42">
        <v>9493075496</v>
      </c>
      <c r="H178" s="42"/>
      <c r="I178" s="42"/>
      <c r="J178" s="42"/>
      <c r="K178" s="42"/>
      <c r="L178" s="42"/>
      <c r="M178" s="42"/>
      <c r="N178" s="42"/>
      <c r="O178" s="42"/>
      <c r="P178" s="42"/>
      <c r="Q178" s="42"/>
      <c r="R178" s="42"/>
      <c r="S178" s="42"/>
      <c r="T178" s="45"/>
      <c r="U178" s="45"/>
      <c r="V178" s="45"/>
      <c r="W178" s="45"/>
      <c r="X178" s="45"/>
      <c r="Y178" s="45"/>
      <c r="Z178" s="45"/>
      <c r="AA178" s="45"/>
      <c r="AB178" s="45"/>
      <c r="AC178" s="45"/>
      <c r="AD178" s="45"/>
    </row>
    <row r="179" spans="1:30">
      <c r="A179" s="42">
        <f t="shared" si="0"/>
        <v>178</v>
      </c>
      <c r="B179" s="42"/>
      <c r="C179" s="42" t="s">
        <v>15</v>
      </c>
      <c r="D179" s="42" t="s">
        <v>1261</v>
      </c>
      <c r="E179" s="42"/>
      <c r="F179" s="42" t="s">
        <v>349</v>
      </c>
      <c r="G179" s="42">
        <v>9951130283</v>
      </c>
      <c r="H179" s="42"/>
      <c r="I179" s="42"/>
      <c r="J179" s="42"/>
      <c r="K179" s="42"/>
      <c r="L179" s="42"/>
      <c r="M179" s="42"/>
      <c r="N179" s="42"/>
      <c r="O179" s="42"/>
      <c r="P179" s="42"/>
      <c r="Q179" s="42"/>
      <c r="R179" s="42"/>
      <c r="S179" s="42"/>
      <c r="T179" s="45"/>
      <c r="U179" s="45"/>
      <c r="V179" s="45"/>
      <c r="W179" s="45"/>
      <c r="X179" s="45"/>
      <c r="Y179" s="45"/>
      <c r="Z179" s="45"/>
      <c r="AA179" s="45"/>
      <c r="AB179" s="45"/>
      <c r="AC179" s="45"/>
      <c r="AD179" s="45"/>
    </row>
    <row r="180" spans="1:30">
      <c r="A180" s="42">
        <f t="shared" si="0"/>
        <v>179</v>
      </c>
      <c r="B180" s="42"/>
      <c r="C180" s="42" t="s">
        <v>15</v>
      </c>
      <c r="D180" s="42" t="s">
        <v>1263</v>
      </c>
      <c r="E180" s="42"/>
      <c r="F180" s="42" t="s">
        <v>351</v>
      </c>
      <c r="G180" s="42">
        <v>9959353623</v>
      </c>
      <c r="H180" s="42"/>
      <c r="I180" s="42"/>
      <c r="J180" s="42"/>
      <c r="K180" s="42"/>
      <c r="L180" s="42"/>
      <c r="M180" s="42"/>
      <c r="N180" s="42"/>
      <c r="O180" s="42"/>
      <c r="P180" s="42"/>
      <c r="Q180" s="42"/>
      <c r="R180" s="42"/>
      <c r="S180" s="42"/>
      <c r="T180" s="45"/>
      <c r="U180" s="45"/>
      <c r="V180" s="45"/>
      <c r="W180" s="45"/>
      <c r="X180" s="45"/>
      <c r="Y180" s="45"/>
      <c r="Z180" s="45"/>
      <c r="AA180" s="45"/>
      <c r="AB180" s="45"/>
      <c r="AC180" s="45"/>
      <c r="AD180" s="45"/>
    </row>
    <row r="181" spans="1:30">
      <c r="A181" s="42">
        <f t="shared" si="0"/>
        <v>180</v>
      </c>
      <c r="B181" s="42"/>
      <c r="C181" s="42" t="s">
        <v>15</v>
      </c>
      <c r="D181" s="42" t="s">
        <v>1265</v>
      </c>
      <c r="E181" s="42"/>
      <c r="F181" s="42" t="s">
        <v>353</v>
      </c>
      <c r="G181" s="42">
        <v>6301809691</v>
      </c>
      <c r="H181" s="42"/>
      <c r="I181" s="42"/>
      <c r="J181" s="42"/>
      <c r="K181" s="42"/>
      <c r="L181" s="42"/>
      <c r="M181" s="42"/>
      <c r="N181" s="42"/>
      <c r="O181" s="42"/>
      <c r="P181" s="42"/>
      <c r="Q181" s="42"/>
      <c r="R181" s="42"/>
      <c r="S181" s="42"/>
      <c r="T181" s="45"/>
      <c r="U181" s="45"/>
      <c r="V181" s="45"/>
      <c r="W181" s="45"/>
      <c r="X181" s="45"/>
      <c r="Y181" s="45"/>
      <c r="Z181" s="45"/>
      <c r="AA181" s="45"/>
      <c r="AB181" s="45"/>
      <c r="AC181" s="45"/>
      <c r="AD181" s="45"/>
    </row>
    <row r="182" spans="1:30">
      <c r="A182" s="42">
        <f t="shared" si="0"/>
        <v>181</v>
      </c>
      <c r="B182" s="42"/>
      <c r="C182" s="42" t="s">
        <v>15</v>
      </c>
      <c r="D182" s="42" t="s">
        <v>1267</v>
      </c>
      <c r="E182" s="42"/>
      <c r="F182" s="42" t="s">
        <v>355</v>
      </c>
      <c r="G182" s="42">
        <v>9963775353</v>
      </c>
      <c r="H182" s="42"/>
      <c r="I182" s="42"/>
      <c r="J182" s="42"/>
      <c r="K182" s="42"/>
      <c r="L182" s="42"/>
      <c r="M182" s="42"/>
      <c r="N182" s="42"/>
      <c r="O182" s="42"/>
      <c r="P182" s="42"/>
      <c r="Q182" s="42"/>
      <c r="R182" s="42"/>
      <c r="S182" s="42"/>
      <c r="T182" s="45"/>
      <c r="U182" s="45"/>
      <c r="V182" s="45"/>
      <c r="W182" s="45"/>
      <c r="X182" s="45"/>
      <c r="Y182" s="45"/>
      <c r="Z182" s="45"/>
      <c r="AA182" s="45"/>
      <c r="AB182" s="45"/>
      <c r="AC182" s="45"/>
      <c r="AD182" s="45"/>
    </row>
    <row r="183" spans="1:30">
      <c r="A183" s="42">
        <f t="shared" si="0"/>
        <v>182</v>
      </c>
      <c r="B183" s="42"/>
      <c r="C183" s="42" t="s">
        <v>15</v>
      </c>
      <c r="D183" s="42" t="s">
        <v>356</v>
      </c>
      <c r="E183" s="42"/>
      <c r="F183" s="42" t="s">
        <v>357</v>
      </c>
      <c r="G183" s="42">
        <v>9963655666</v>
      </c>
      <c r="H183" s="42"/>
      <c r="I183" s="42"/>
      <c r="J183" s="42"/>
      <c r="K183" s="42"/>
      <c r="L183" s="42"/>
      <c r="M183" s="42"/>
      <c r="N183" s="42"/>
      <c r="O183" s="42"/>
      <c r="P183" s="42"/>
      <c r="Q183" s="42"/>
      <c r="R183" s="42"/>
      <c r="S183" s="42"/>
      <c r="T183" s="45"/>
      <c r="U183" s="45"/>
      <c r="V183" s="45"/>
      <c r="W183" s="45"/>
      <c r="X183" s="45"/>
      <c r="Y183" s="45"/>
      <c r="Z183" s="45"/>
      <c r="AA183" s="45"/>
      <c r="AB183" s="45"/>
      <c r="AC183" s="45"/>
      <c r="AD183" s="45"/>
    </row>
    <row r="184" spans="1:30">
      <c r="A184" s="42">
        <f t="shared" si="0"/>
        <v>183</v>
      </c>
      <c r="B184" s="42"/>
      <c r="C184" s="42" t="s">
        <v>15</v>
      </c>
      <c r="D184" s="42" t="s">
        <v>358</v>
      </c>
      <c r="E184" s="42"/>
      <c r="F184" s="42" t="s">
        <v>359</v>
      </c>
      <c r="G184" s="42">
        <v>9949136194</v>
      </c>
      <c r="H184" s="42"/>
      <c r="I184" s="42"/>
      <c r="J184" s="42"/>
      <c r="K184" s="42"/>
      <c r="L184" s="42"/>
      <c r="M184" s="42"/>
      <c r="N184" s="42"/>
      <c r="O184" s="42"/>
      <c r="P184" s="42"/>
      <c r="Q184" s="42"/>
      <c r="R184" s="42"/>
      <c r="S184" s="42"/>
      <c r="T184" s="45"/>
      <c r="U184" s="45"/>
      <c r="V184" s="45"/>
      <c r="W184" s="45"/>
      <c r="X184" s="45"/>
      <c r="Y184" s="45"/>
      <c r="Z184" s="45"/>
      <c r="AA184" s="45"/>
      <c r="AB184" s="45"/>
      <c r="AC184" s="45"/>
      <c r="AD184" s="45"/>
    </row>
    <row r="185" spans="1:30">
      <c r="A185" s="42">
        <f t="shared" si="0"/>
        <v>184</v>
      </c>
      <c r="B185" s="42"/>
      <c r="C185" s="42" t="s">
        <v>15</v>
      </c>
      <c r="D185" s="42" t="s">
        <v>1271</v>
      </c>
      <c r="E185" s="42"/>
      <c r="F185" s="42" t="s">
        <v>361</v>
      </c>
      <c r="G185" s="42">
        <v>9154377888</v>
      </c>
      <c r="H185" s="42"/>
      <c r="I185" s="42"/>
      <c r="J185" s="42"/>
      <c r="K185" s="42"/>
      <c r="L185" s="42"/>
      <c r="M185" s="42"/>
      <c r="N185" s="42"/>
      <c r="O185" s="42"/>
      <c r="P185" s="42"/>
      <c r="Q185" s="42"/>
      <c r="R185" s="42"/>
      <c r="S185" s="42"/>
      <c r="T185" s="45"/>
      <c r="U185" s="45"/>
      <c r="V185" s="45"/>
      <c r="W185" s="45"/>
      <c r="X185" s="45"/>
      <c r="Y185" s="45"/>
      <c r="Z185" s="45"/>
      <c r="AA185" s="45"/>
      <c r="AB185" s="45"/>
      <c r="AC185" s="45"/>
      <c r="AD185" s="45"/>
    </row>
    <row r="186" spans="1:30">
      <c r="A186" s="42">
        <f t="shared" si="0"/>
        <v>185</v>
      </c>
      <c r="B186" s="42"/>
      <c r="C186" s="42" t="s">
        <v>15</v>
      </c>
      <c r="D186" s="42" t="s">
        <v>362</v>
      </c>
      <c r="E186" s="42"/>
      <c r="F186" s="42" t="s">
        <v>363</v>
      </c>
      <c r="G186" s="42">
        <v>9010851504</v>
      </c>
      <c r="H186" s="42"/>
      <c r="I186" s="42"/>
      <c r="J186" s="42"/>
      <c r="K186" s="42"/>
      <c r="L186" s="42"/>
      <c r="M186" s="42"/>
      <c r="N186" s="42"/>
      <c r="O186" s="42"/>
      <c r="P186" s="42"/>
      <c r="Q186" s="42"/>
      <c r="R186" s="42"/>
      <c r="S186" s="42"/>
      <c r="T186" s="45"/>
      <c r="U186" s="45"/>
      <c r="V186" s="45"/>
      <c r="W186" s="45"/>
      <c r="X186" s="45"/>
      <c r="Y186" s="45"/>
      <c r="Z186" s="45"/>
      <c r="AA186" s="45"/>
      <c r="AB186" s="45"/>
      <c r="AC186" s="45"/>
      <c r="AD186" s="45"/>
    </row>
    <row r="187" spans="1:30">
      <c r="A187" s="42">
        <f t="shared" si="0"/>
        <v>186</v>
      </c>
      <c r="B187" s="42"/>
      <c r="C187" s="42" t="s">
        <v>15</v>
      </c>
      <c r="D187" s="42" t="s">
        <v>364</v>
      </c>
      <c r="E187" s="42"/>
      <c r="F187" s="42" t="s">
        <v>365</v>
      </c>
      <c r="G187" s="42">
        <v>9505959106</v>
      </c>
      <c r="H187" s="42"/>
      <c r="I187" s="42"/>
      <c r="J187" s="42"/>
      <c r="K187" s="42"/>
      <c r="L187" s="42"/>
      <c r="M187" s="42"/>
      <c r="N187" s="42"/>
      <c r="O187" s="42"/>
      <c r="P187" s="42"/>
      <c r="Q187" s="42"/>
      <c r="R187" s="42"/>
      <c r="S187" s="42"/>
      <c r="T187" s="45"/>
      <c r="U187" s="45"/>
      <c r="V187" s="45"/>
      <c r="W187" s="45"/>
      <c r="X187" s="45"/>
      <c r="Y187" s="45"/>
      <c r="Z187" s="45"/>
      <c r="AA187" s="45"/>
      <c r="AB187" s="45"/>
      <c r="AC187" s="45"/>
      <c r="AD187" s="45"/>
    </row>
    <row r="188" spans="1:30">
      <c r="A188" s="42">
        <f t="shared" si="0"/>
        <v>187</v>
      </c>
      <c r="B188" s="42"/>
      <c r="C188" s="42" t="s">
        <v>15</v>
      </c>
      <c r="D188" s="42" t="s">
        <v>1275</v>
      </c>
      <c r="E188" s="42"/>
      <c r="F188" s="42" t="s">
        <v>367</v>
      </c>
      <c r="G188" s="42">
        <v>9866256488</v>
      </c>
      <c r="H188" s="42"/>
      <c r="I188" s="42"/>
      <c r="J188" s="42"/>
      <c r="K188" s="42"/>
      <c r="L188" s="42"/>
      <c r="M188" s="42"/>
      <c r="N188" s="42"/>
      <c r="O188" s="42"/>
      <c r="P188" s="42"/>
      <c r="Q188" s="42"/>
      <c r="R188" s="42"/>
      <c r="S188" s="42"/>
      <c r="T188" s="45"/>
      <c r="U188" s="45"/>
      <c r="V188" s="45"/>
      <c r="W188" s="45"/>
      <c r="X188" s="45"/>
      <c r="Y188" s="45"/>
      <c r="Z188" s="45"/>
      <c r="AA188" s="45"/>
      <c r="AB188" s="45"/>
      <c r="AC188" s="45"/>
      <c r="AD188" s="45"/>
    </row>
    <row r="189" spans="1:30">
      <c r="A189" s="42">
        <f t="shared" si="0"/>
        <v>188</v>
      </c>
      <c r="B189" s="42"/>
      <c r="C189" s="42" t="s">
        <v>15</v>
      </c>
      <c r="D189" s="42" t="s">
        <v>1277</v>
      </c>
      <c r="E189" s="42"/>
      <c r="F189" s="42" t="s">
        <v>370</v>
      </c>
      <c r="G189" s="42">
        <v>9063698888</v>
      </c>
      <c r="H189" s="42"/>
      <c r="I189" s="42"/>
      <c r="J189" s="42"/>
      <c r="K189" s="42"/>
      <c r="L189" s="42"/>
      <c r="M189" s="42"/>
      <c r="N189" s="42"/>
      <c r="O189" s="42"/>
      <c r="P189" s="42"/>
      <c r="Q189" s="42"/>
      <c r="R189" s="42"/>
      <c r="S189" s="42"/>
      <c r="T189" s="45"/>
      <c r="U189" s="45"/>
      <c r="V189" s="45"/>
      <c r="W189" s="45"/>
      <c r="X189" s="45"/>
      <c r="Y189" s="45"/>
      <c r="Z189" s="45"/>
      <c r="AA189" s="45"/>
      <c r="AB189" s="45"/>
      <c r="AC189" s="45"/>
      <c r="AD189" s="45"/>
    </row>
    <row r="190" spans="1:30">
      <c r="A190" s="42">
        <f t="shared" si="0"/>
        <v>189</v>
      </c>
      <c r="B190" s="42"/>
      <c r="C190" s="42" t="s">
        <v>15</v>
      </c>
      <c r="D190" s="42" t="s">
        <v>371</v>
      </c>
      <c r="E190" s="42"/>
      <c r="F190" s="42" t="s">
        <v>372</v>
      </c>
      <c r="G190" s="42">
        <v>9866122809</v>
      </c>
      <c r="H190" s="42"/>
      <c r="I190" s="42"/>
      <c r="J190" s="42"/>
      <c r="K190" s="42"/>
      <c r="L190" s="42"/>
      <c r="M190" s="42"/>
      <c r="N190" s="42"/>
      <c r="O190" s="42"/>
      <c r="P190" s="42"/>
      <c r="Q190" s="42"/>
      <c r="R190" s="42"/>
      <c r="S190" s="42"/>
      <c r="T190" s="45"/>
      <c r="U190" s="45"/>
      <c r="V190" s="45"/>
      <c r="W190" s="45"/>
      <c r="X190" s="45"/>
      <c r="Y190" s="45"/>
      <c r="Z190" s="45"/>
      <c r="AA190" s="45"/>
      <c r="AB190" s="45"/>
      <c r="AC190" s="45"/>
      <c r="AD190" s="45"/>
    </row>
    <row r="191" spans="1:30">
      <c r="A191" s="42">
        <f t="shared" si="0"/>
        <v>190</v>
      </c>
      <c r="B191" s="42"/>
      <c r="C191" s="42" t="s">
        <v>15</v>
      </c>
      <c r="D191" s="42" t="s">
        <v>1280</v>
      </c>
      <c r="E191" s="42"/>
      <c r="F191" s="42" t="s">
        <v>374</v>
      </c>
      <c r="G191" s="42">
        <v>9849293050</v>
      </c>
      <c r="H191" s="42"/>
      <c r="I191" s="42"/>
      <c r="J191" s="42"/>
      <c r="K191" s="42"/>
      <c r="L191" s="42"/>
      <c r="M191" s="42"/>
      <c r="N191" s="42"/>
      <c r="O191" s="42"/>
      <c r="P191" s="42"/>
      <c r="Q191" s="42"/>
      <c r="R191" s="42"/>
      <c r="S191" s="42"/>
      <c r="T191" s="45"/>
      <c r="U191" s="45"/>
      <c r="V191" s="45"/>
      <c r="W191" s="45"/>
      <c r="X191" s="45"/>
      <c r="Y191" s="45"/>
      <c r="Z191" s="45"/>
      <c r="AA191" s="45"/>
      <c r="AB191" s="45"/>
      <c r="AC191" s="45"/>
      <c r="AD191" s="45"/>
    </row>
    <row r="192" spans="1:30">
      <c r="A192" s="42">
        <f t="shared" si="0"/>
        <v>191</v>
      </c>
      <c r="B192" s="42"/>
      <c r="C192" s="42" t="s">
        <v>15</v>
      </c>
      <c r="D192" s="42" t="s">
        <v>1282</v>
      </c>
      <c r="E192" s="42"/>
      <c r="F192" s="42" t="s">
        <v>9738</v>
      </c>
      <c r="G192" s="42">
        <v>9866963445</v>
      </c>
      <c r="H192" s="42"/>
      <c r="I192" s="42"/>
      <c r="J192" s="42"/>
      <c r="K192" s="42"/>
      <c r="L192" s="42"/>
      <c r="M192" s="42"/>
      <c r="N192" s="42"/>
      <c r="O192" s="42"/>
      <c r="P192" s="42"/>
      <c r="Q192" s="42"/>
      <c r="R192" s="42"/>
      <c r="S192" s="42"/>
      <c r="T192" s="45"/>
      <c r="U192" s="45"/>
      <c r="V192" s="45"/>
      <c r="W192" s="45"/>
      <c r="X192" s="45"/>
      <c r="Y192" s="45"/>
      <c r="Z192" s="45"/>
      <c r="AA192" s="45"/>
      <c r="AB192" s="45"/>
      <c r="AC192" s="45"/>
      <c r="AD192" s="45"/>
    </row>
    <row r="193" spans="1:30">
      <c r="A193" s="42">
        <f t="shared" si="0"/>
        <v>192</v>
      </c>
      <c r="B193" s="42"/>
      <c r="C193" s="42" t="s">
        <v>15</v>
      </c>
      <c r="D193" s="42" t="s">
        <v>376</v>
      </c>
      <c r="E193" s="42"/>
      <c r="F193" s="42" t="s">
        <v>377</v>
      </c>
      <c r="G193" s="42">
        <v>9666986444</v>
      </c>
      <c r="H193" s="42"/>
      <c r="I193" s="42"/>
      <c r="J193" s="42"/>
      <c r="K193" s="42"/>
      <c r="L193" s="42"/>
      <c r="M193" s="42"/>
      <c r="N193" s="42"/>
      <c r="O193" s="42"/>
      <c r="P193" s="42"/>
      <c r="Q193" s="42"/>
      <c r="R193" s="42"/>
      <c r="S193" s="42"/>
      <c r="T193" s="45"/>
      <c r="U193" s="45"/>
      <c r="V193" s="45"/>
      <c r="W193" s="45"/>
      <c r="X193" s="45"/>
      <c r="Y193" s="45"/>
      <c r="Z193" s="45"/>
      <c r="AA193" s="45"/>
      <c r="AB193" s="45"/>
      <c r="AC193" s="45"/>
      <c r="AD193" s="45"/>
    </row>
    <row r="194" spans="1:30">
      <c r="A194" s="42">
        <f t="shared" si="0"/>
        <v>193</v>
      </c>
      <c r="B194" s="42"/>
      <c r="C194" s="42" t="s">
        <v>15</v>
      </c>
      <c r="D194" s="42" t="s">
        <v>819</v>
      </c>
      <c r="E194" s="42"/>
      <c r="F194" s="42" t="s">
        <v>5533</v>
      </c>
      <c r="G194" s="42">
        <v>9849515309</v>
      </c>
      <c r="H194" s="42"/>
      <c r="I194" s="42"/>
      <c r="J194" s="42"/>
      <c r="K194" s="42"/>
      <c r="L194" s="42"/>
      <c r="M194" s="42"/>
      <c r="N194" s="42"/>
      <c r="O194" s="42"/>
      <c r="P194" s="42"/>
      <c r="Q194" s="42"/>
      <c r="R194" s="42"/>
      <c r="S194" s="42"/>
      <c r="T194" s="45"/>
      <c r="U194" s="45"/>
      <c r="V194" s="45"/>
      <c r="W194" s="45"/>
      <c r="X194" s="45"/>
      <c r="Y194" s="45"/>
      <c r="Z194" s="45"/>
      <c r="AA194" s="45"/>
      <c r="AB194" s="45"/>
      <c r="AC194" s="45"/>
      <c r="AD194" s="45"/>
    </row>
    <row r="195" spans="1:30">
      <c r="A195" s="42">
        <f t="shared" si="0"/>
        <v>194</v>
      </c>
      <c r="B195" s="42"/>
      <c r="C195" s="42" t="s">
        <v>15</v>
      </c>
      <c r="D195" s="42" t="s">
        <v>1286</v>
      </c>
      <c r="E195" s="42"/>
      <c r="F195" s="42" t="s">
        <v>380</v>
      </c>
      <c r="G195" s="42">
        <v>9494551119</v>
      </c>
      <c r="H195" s="42"/>
      <c r="I195" s="42"/>
      <c r="J195" s="42"/>
      <c r="K195" s="42"/>
      <c r="L195" s="42"/>
      <c r="M195" s="42"/>
      <c r="N195" s="42"/>
      <c r="O195" s="42"/>
      <c r="P195" s="42"/>
      <c r="Q195" s="42"/>
      <c r="R195" s="42"/>
      <c r="S195" s="42"/>
      <c r="T195" s="45"/>
      <c r="U195" s="45"/>
      <c r="V195" s="45"/>
      <c r="W195" s="45"/>
      <c r="X195" s="45"/>
      <c r="Y195" s="45"/>
      <c r="Z195" s="45"/>
      <c r="AA195" s="45"/>
      <c r="AB195" s="45"/>
      <c r="AC195" s="45"/>
      <c r="AD195" s="45"/>
    </row>
    <row r="196" spans="1:30">
      <c r="A196" s="42">
        <f t="shared" si="0"/>
        <v>195</v>
      </c>
      <c r="B196" s="42"/>
      <c r="C196" s="42" t="s">
        <v>15</v>
      </c>
      <c r="D196" s="42" t="s">
        <v>1288</v>
      </c>
      <c r="E196" s="42"/>
      <c r="F196" s="42" t="s">
        <v>382</v>
      </c>
      <c r="G196" s="42">
        <v>9010071677</v>
      </c>
      <c r="H196" s="42"/>
      <c r="I196" s="42"/>
      <c r="J196" s="42"/>
      <c r="K196" s="42"/>
      <c r="L196" s="42"/>
      <c r="M196" s="42"/>
      <c r="N196" s="42"/>
      <c r="O196" s="42"/>
      <c r="P196" s="42"/>
      <c r="Q196" s="42"/>
      <c r="R196" s="42"/>
      <c r="S196" s="42"/>
      <c r="T196" s="45"/>
      <c r="U196" s="45"/>
      <c r="V196" s="45"/>
      <c r="W196" s="45"/>
      <c r="X196" s="45"/>
      <c r="Y196" s="45"/>
      <c r="Z196" s="45"/>
      <c r="AA196" s="45"/>
      <c r="AB196" s="45"/>
      <c r="AC196" s="45"/>
      <c r="AD196" s="45"/>
    </row>
    <row r="197" spans="1:30">
      <c r="A197" s="42">
        <f t="shared" si="0"/>
        <v>196</v>
      </c>
      <c r="B197" s="42"/>
      <c r="C197" s="42" t="s">
        <v>15</v>
      </c>
      <c r="D197" s="42" t="s">
        <v>383</v>
      </c>
      <c r="E197" s="42"/>
      <c r="F197" s="42" t="s">
        <v>384</v>
      </c>
      <c r="G197" s="42">
        <v>9491853648</v>
      </c>
      <c r="H197" s="42"/>
      <c r="I197" s="42"/>
      <c r="J197" s="42"/>
      <c r="K197" s="42"/>
      <c r="L197" s="42"/>
      <c r="M197" s="42"/>
      <c r="N197" s="42"/>
      <c r="O197" s="42"/>
      <c r="P197" s="42"/>
      <c r="Q197" s="42"/>
      <c r="R197" s="42"/>
      <c r="S197" s="42"/>
      <c r="T197" s="45"/>
      <c r="U197" s="45"/>
      <c r="V197" s="45"/>
      <c r="W197" s="45"/>
      <c r="X197" s="45"/>
      <c r="Y197" s="45"/>
      <c r="Z197" s="45"/>
      <c r="AA197" s="45"/>
      <c r="AB197" s="45"/>
      <c r="AC197" s="45"/>
      <c r="AD197" s="45"/>
    </row>
    <row r="198" spans="1:30">
      <c r="A198" s="42">
        <f t="shared" si="0"/>
        <v>197</v>
      </c>
      <c r="B198" s="42"/>
      <c r="C198" s="42" t="s">
        <v>15</v>
      </c>
      <c r="D198" s="42" t="s">
        <v>385</v>
      </c>
      <c r="E198" s="42"/>
      <c r="F198" s="42" t="s">
        <v>386</v>
      </c>
      <c r="G198" s="42">
        <v>9542333347</v>
      </c>
      <c r="H198" s="42"/>
      <c r="I198" s="42"/>
      <c r="J198" s="42"/>
      <c r="K198" s="42"/>
      <c r="L198" s="42"/>
      <c r="M198" s="42"/>
      <c r="N198" s="42"/>
      <c r="O198" s="42"/>
      <c r="P198" s="42"/>
      <c r="Q198" s="42"/>
      <c r="R198" s="42"/>
      <c r="S198" s="42"/>
      <c r="T198" s="45"/>
      <c r="U198" s="45"/>
      <c r="V198" s="45"/>
      <c r="W198" s="45"/>
      <c r="X198" s="45"/>
      <c r="Y198" s="45"/>
      <c r="Z198" s="45"/>
      <c r="AA198" s="45"/>
      <c r="AB198" s="45"/>
      <c r="AC198" s="45"/>
      <c r="AD198" s="45"/>
    </row>
    <row r="199" spans="1:30">
      <c r="A199" s="42">
        <f t="shared" si="0"/>
        <v>198</v>
      </c>
      <c r="B199" s="42"/>
      <c r="C199" s="42" t="s">
        <v>15</v>
      </c>
      <c r="D199" s="42" t="s">
        <v>1292</v>
      </c>
      <c r="E199" s="42"/>
      <c r="F199" s="42" t="s">
        <v>388</v>
      </c>
      <c r="G199" s="42">
        <v>9494154536</v>
      </c>
      <c r="H199" s="42"/>
      <c r="I199" s="42"/>
      <c r="J199" s="42"/>
      <c r="K199" s="42"/>
      <c r="L199" s="42"/>
      <c r="M199" s="42"/>
      <c r="N199" s="42"/>
      <c r="O199" s="42"/>
      <c r="P199" s="42"/>
      <c r="Q199" s="42"/>
      <c r="R199" s="42"/>
      <c r="S199" s="42"/>
      <c r="T199" s="45"/>
      <c r="U199" s="45"/>
      <c r="V199" s="45"/>
      <c r="W199" s="45"/>
      <c r="X199" s="45"/>
      <c r="Y199" s="45"/>
      <c r="Z199" s="45"/>
      <c r="AA199" s="45"/>
      <c r="AB199" s="45"/>
      <c r="AC199" s="45"/>
      <c r="AD199" s="45"/>
    </row>
    <row r="200" spans="1:30">
      <c r="A200" s="42">
        <f t="shared" si="0"/>
        <v>199</v>
      </c>
      <c r="B200" s="42"/>
      <c r="C200" s="42" t="s">
        <v>8</v>
      </c>
      <c r="D200" s="42" t="s">
        <v>1294</v>
      </c>
      <c r="E200" s="42"/>
      <c r="F200" s="42" t="s">
        <v>543</v>
      </c>
      <c r="G200" s="42">
        <v>6304928489</v>
      </c>
      <c r="H200" s="42"/>
      <c r="I200" s="42"/>
      <c r="J200" s="42"/>
      <c r="K200" s="42"/>
      <c r="L200" s="42"/>
      <c r="M200" s="42"/>
      <c r="N200" s="42"/>
      <c r="O200" s="42"/>
      <c r="P200" s="42"/>
      <c r="Q200" s="42"/>
      <c r="R200" s="42"/>
      <c r="S200" s="42"/>
      <c r="T200" s="45"/>
      <c r="U200" s="45"/>
      <c r="V200" s="45"/>
      <c r="W200" s="45"/>
      <c r="X200" s="45"/>
      <c r="Y200" s="45"/>
      <c r="Z200" s="45"/>
      <c r="AA200" s="45"/>
      <c r="AB200" s="45"/>
      <c r="AC200" s="45"/>
      <c r="AD200" s="45"/>
    </row>
    <row r="201" spans="1:30">
      <c r="A201" s="42">
        <f t="shared" si="0"/>
        <v>200</v>
      </c>
      <c r="B201" s="42"/>
      <c r="C201" s="42" t="s">
        <v>8</v>
      </c>
      <c r="D201" s="42" t="s">
        <v>1296</v>
      </c>
      <c r="E201" s="42"/>
      <c r="F201" s="42" t="s">
        <v>544</v>
      </c>
      <c r="G201" s="42">
        <v>9493461257</v>
      </c>
      <c r="H201" s="42"/>
      <c r="I201" s="42"/>
      <c r="J201" s="42"/>
      <c r="K201" s="42"/>
      <c r="L201" s="42"/>
      <c r="M201" s="42"/>
      <c r="N201" s="42"/>
      <c r="O201" s="42"/>
      <c r="P201" s="42"/>
      <c r="Q201" s="42"/>
      <c r="R201" s="42"/>
      <c r="S201" s="42"/>
      <c r="T201" s="45"/>
      <c r="U201" s="45"/>
      <c r="V201" s="45"/>
      <c r="W201" s="45"/>
      <c r="X201" s="45"/>
      <c r="Y201" s="45"/>
      <c r="Z201" s="45"/>
      <c r="AA201" s="45"/>
      <c r="AB201" s="45"/>
      <c r="AC201" s="45"/>
      <c r="AD201" s="45"/>
    </row>
    <row r="202" spans="1:30">
      <c r="A202" s="42">
        <f t="shared" si="0"/>
        <v>201</v>
      </c>
      <c r="B202" s="42"/>
      <c r="C202" s="42" t="s">
        <v>8</v>
      </c>
      <c r="D202" s="42" t="s">
        <v>1298</v>
      </c>
      <c r="E202" s="42"/>
      <c r="F202" s="42" t="s">
        <v>547</v>
      </c>
      <c r="G202" s="42">
        <v>9177374670</v>
      </c>
      <c r="H202" s="42"/>
      <c r="I202" s="42"/>
      <c r="J202" s="42"/>
      <c r="K202" s="42"/>
      <c r="L202" s="42"/>
      <c r="M202" s="42"/>
      <c r="N202" s="42"/>
      <c r="O202" s="42"/>
      <c r="P202" s="42"/>
      <c r="Q202" s="42"/>
      <c r="R202" s="42"/>
      <c r="S202" s="42"/>
      <c r="T202" s="45"/>
      <c r="U202" s="45"/>
      <c r="V202" s="45"/>
      <c r="W202" s="45"/>
      <c r="X202" s="45"/>
      <c r="Y202" s="45"/>
      <c r="Z202" s="45"/>
      <c r="AA202" s="45"/>
      <c r="AB202" s="45"/>
      <c r="AC202" s="45"/>
      <c r="AD202" s="45"/>
    </row>
    <row r="203" spans="1:30">
      <c r="A203" s="42">
        <f t="shared" si="0"/>
        <v>202</v>
      </c>
      <c r="B203" s="42"/>
      <c r="C203" s="42" t="s">
        <v>8</v>
      </c>
      <c r="D203" s="42" t="s">
        <v>1305</v>
      </c>
      <c r="E203" s="42"/>
      <c r="F203" s="42" t="s">
        <v>549</v>
      </c>
      <c r="G203" s="42">
        <v>7032881258</v>
      </c>
      <c r="H203" s="42"/>
      <c r="I203" s="42"/>
      <c r="J203" s="42"/>
      <c r="K203" s="42"/>
      <c r="L203" s="42"/>
      <c r="M203" s="42"/>
      <c r="N203" s="42"/>
      <c r="O203" s="42"/>
      <c r="P203" s="42"/>
      <c r="Q203" s="42"/>
      <c r="R203" s="42"/>
      <c r="S203" s="42"/>
      <c r="T203" s="45"/>
      <c r="U203" s="45"/>
      <c r="V203" s="45"/>
      <c r="W203" s="45"/>
      <c r="X203" s="45"/>
      <c r="Y203" s="45"/>
      <c r="Z203" s="45"/>
      <c r="AA203" s="45"/>
      <c r="AB203" s="45"/>
      <c r="AC203" s="45"/>
      <c r="AD203" s="45"/>
    </row>
    <row r="204" spans="1:30">
      <c r="A204" s="42">
        <f t="shared" si="0"/>
        <v>203</v>
      </c>
      <c r="B204" s="42"/>
      <c r="C204" s="42" t="s">
        <v>8</v>
      </c>
      <c r="D204" s="42" t="s">
        <v>1307</v>
      </c>
      <c r="E204" s="42"/>
      <c r="F204" s="42" t="s">
        <v>551</v>
      </c>
      <c r="G204" s="42">
        <v>9032206048</v>
      </c>
      <c r="H204" s="42"/>
      <c r="I204" s="42"/>
      <c r="J204" s="42"/>
      <c r="K204" s="42"/>
      <c r="L204" s="42"/>
      <c r="M204" s="42"/>
      <c r="N204" s="42"/>
      <c r="O204" s="42"/>
      <c r="P204" s="42"/>
      <c r="Q204" s="42"/>
      <c r="R204" s="42"/>
      <c r="S204" s="42"/>
      <c r="T204" s="45"/>
      <c r="U204" s="45"/>
      <c r="V204" s="45"/>
      <c r="W204" s="45"/>
      <c r="X204" s="45"/>
      <c r="Y204" s="45"/>
      <c r="Z204" s="45"/>
      <c r="AA204" s="45"/>
      <c r="AB204" s="45"/>
      <c r="AC204" s="45"/>
      <c r="AD204" s="45"/>
    </row>
    <row r="205" spans="1:30">
      <c r="A205" s="42">
        <f t="shared" si="0"/>
        <v>204</v>
      </c>
      <c r="B205" s="42"/>
      <c r="C205" s="42" t="s">
        <v>8</v>
      </c>
      <c r="D205" s="42" t="s">
        <v>1309</v>
      </c>
      <c r="E205" s="42"/>
      <c r="F205" s="42" t="s">
        <v>585</v>
      </c>
      <c r="G205" s="42">
        <v>9848851521</v>
      </c>
      <c r="H205" s="42"/>
      <c r="I205" s="42"/>
      <c r="J205" s="42"/>
      <c r="K205" s="42"/>
      <c r="L205" s="42"/>
      <c r="M205" s="42"/>
      <c r="N205" s="42"/>
      <c r="O205" s="42"/>
      <c r="P205" s="42"/>
      <c r="Q205" s="42"/>
      <c r="R205" s="42"/>
      <c r="S205" s="42"/>
      <c r="T205" s="45"/>
      <c r="U205" s="45"/>
      <c r="V205" s="45"/>
      <c r="W205" s="45"/>
      <c r="X205" s="45"/>
      <c r="Y205" s="45"/>
      <c r="Z205" s="45"/>
      <c r="AA205" s="45"/>
      <c r="AB205" s="45"/>
      <c r="AC205" s="45"/>
      <c r="AD205" s="45"/>
    </row>
    <row r="206" spans="1:30">
      <c r="A206" s="42">
        <f t="shared" si="0"/>
        <v>205</v>
      </c>
      <c r="B206" s="42"/>
      <c r="C206" s="42" t="s">
        <v>8</v>
      </c>
      <c r="D206" s="42" t="s">
        <v>1311</v>
      </c>
      <c r="E206" s="42"/>
      <c r="F206" s="42" t="s">
        <v>553</v>
      </c>
      <c r="G206" s="42">
        <v>9014143289</v>
      </c>
      <c r="H206" s="42"/>
      <c r="I206" s="42"/>
      <c r="J206" s="42"/>
      <c r="K206" s="42"/>
      <c r="L206" s="42"/>
      <c r="M206" s="42"/>
      <c r="N206" s="42"/>
      <c r="O206" s="42"/>
      <c r="P206" s="42"/>
      <c r="Q206" s="42"/>
      <c r="R206" s="42"/>
      <c r="S206" s="42"/>
      <c r="T206" s="45"/>
      <c r="U206" s="45"/>
      <c r="V206" s="45"/>
      <c r="W206" s="45"/>
      <c r="X206" s="45"/>
      <c r="Y206" s="45"/>
      <c r="Z206" s="45"/>
      <c r="AA206" s="45"/>
      <c r="AB206" s="45"/>
      <c r="AC206" s="45"/>
      <c r="AD206" s="45"/>
    </row>
    <row r="207" spans="1:30">
      <c r="A207" s="42">
        <f t="shared" si="0"/>
        <v>206</v>
      </c>
      <c r="B207" s="42"/>
      <c r="C207" s="42" t="s">
        <v>8</v>
      </c>
      <c r="D207" s="42" t="s">
        <v>1313</v>
      </c>
      <c r="E207" s="42"/>
      <c r="F207" s="42" t="s">
        <v>555</v>
      </c>
      <c r="G207" s="42">
        <v>9701654577</v>
      </c>
      <c r="H207" s="42"/>
      <c r="I207" s="42"/>
      <c r="J207" s="42"/>
      <c r="K207" s="42"/>
      <c r="L207" s="42"/>
      <c r="M207" s="42"/>
      <c r="N207" s="42"/>
      <c r="O207" s="42"/>
      <c r="P207" s="42"/>
      <c r="Q207" s="42"/>
      <c r="R207" s="42"/>
      <c r="S207" s="42"/>
      <c r="T207" s="45"/>
      <c r="U207" s="45"/>
      <c r="V207" s="45"/>
      <c r="W207" s="45"/>
      <c r="X207" s="45"/>
      <c r="Y207" s="45"/>
      <c r="Z207" s="45"/>
      <c r="AA207" s="45"/>
      <c r="AB207" s="45"/>
      <c r="AC207" s="45"/>
      <c r="AD207" s="45"/>
    </row>
    <row r="208" spans="1:30">
      <c r="A208" s="42">
        <f t="shared" si="0"/>
        <v>207</v>
      </c>
      <c r="B208" s="42"/>
      <c r="C208" s="42" t="s">
        <v>8</v>
      </c>
      <c r="D208" s="42" t="s">
        <v>1315</v>
      </c>
      <c r="E208" s="42"/>
      <c r="F208" s="42" t="s">
        <v>558</v>
      </c>
      <c r="G208" s="42">
        <v>9676356350</v>
      </c>
      <c r="H208" s="42"/>
      <c r="I208" s="42"/>
      <c r="J208" s="42"/>
      <c r="K208" s="42"/>
      <c r="L208" s="42"/>
      <c r="M208" s="42"/>
      <c r="N208" s="42"/>
      <c r="O208" s="42"/>
      <c r="P208" s="42"/>
      <c r="Q208" s="42"/>
      <c r="R208" s="42"/>
      <c r="S208" s="42"/>
      <c r="T208" s="45"/>
      <c r="U208" s="45"/>
      <c r="V208" s="45"/>
      <c r="W208" s="45"/>
      <c r="X208" s="45"/>
      <c r="Y208" s="45"/>
      <c r="Z208" s="45"/>
      <c r="AA208" s="45"/>
      <c r="AB208" s="45"/>
      <c r="AC208" s="45"/>
      <c r="AD208" s="45"/>
    </row>
    <row r="209" spans="1:30">
      <c r="A209" s="42">
        <f t="shared" si="0"/>
        <v>208</v>
      </c>
      <c r="B209" s="42"/>
      <c r="C209" s="42" t="s">
        <v>8</v>
      </c>
      <c r="D209" s="42" t="s">
        <v>1317</v>
      </c>
      <c r="E209" s="42"/>
      <c r="F209" s="42" t="s">
        <v>9739</v>
      </c>
      <c r="G209" s="42">
        <v>9948672121</v>
      </c>
      <c r="H209" s="42"/>
      <c r="I209" s="42"/>
      <c r="J209" s="42"/>
      <c r="K209" s="42"/>
      <c r="L209" s="42"/>
      <c r="M209" s="42"/>
      <c r="N209" s="42"/>
      <c r="O209" s="42"/>
      <c r="P209" s="42"/>
      <c r="Q209" s="42"/>
      <c r="R209" s="42"/>
      <c r="S209" s="42"/>
      <c r="T209" s="45"/>
      <c r="U209" s="45"/>
      <c r="V209" s="45"/>
      <c r="W209" s="45"/>
      <c r="X209" s="45"/>
      <c r="Y209" s="45"/>
      <c r="Z209" s="45"/>
      <c r="AA209" s="45"/>
      <c r="AB209" s="45"/>
      <c r="AC209" s="45"/>
      <c r="AD209" s="45"/>
    </row>
    <row r="210" spans="1:30">
      <c r="A210" s="42">
        <f t="shared" si="0"/>
        <v>209</v>
      </c>
      <c r="B210" s="42"/>
      <c r="C210" s="42" t="s">
        <v>8</v>
      </c>
      <c r="D210" s="42" t="s">
        <v>1319</v>
      </c>
      <c r="E210" s="42"/>
      <c r="F210" s="42" t="s">
        <v>561</v>
      </c>
      <c r="G210" s="42">
        <v>9948498889</v>
      </c>
      <c r="H210" s="42"/>
      <c r="I210" s="42"/>
      <c r="J210" s="42"/>
      <c r="K210" s="42"/>
      <c r="L210" s="42"/>
      <c r="M210" s="42"/>
      <c r="N210" s="42"/>
      <c r="O210" s="42"/>
      <c r="P210" s="42"/>
      <c r="Q210" s="42"/>
      <c r="R210" s="42"/>
      <c r="S210" s="42"/>
      <c r="T210" s="45"/>
      <c r="U210" s="45"/>
      <c r="V210" s="45"/>
      <c r="W210" s="45"/>
      <c r="X210" s="45"/>
      <c r="Y210" s="45"/>
      <c r="Z210" s="45"/>
      <c r="AA210" s="45"/>
      <c r="AB210" s="45"/>
      <c r="AC210" s="45"/>
      <c r="AD210" s="45"/>
    </row>
    <row r="211" spans="1:30">
      <c r="A211" s="42">
        <f t="shared" si="0"/>
        <v>210</v>
      </c>
      <c r="B211" s="42"/>
      <c r="C211" s="42" t="s">
        <v>8</v>
      </c>
      <c r="D211" s="42" t="s">
        <v>1325</v>
      </c>
      <c r="E211" s="42"/>
      <c r="F211" s="42" t="s">
        <v>563</v>
      </c>
      <c r="G211" s="42">
        <v>9393167777</v>
      </c>
      <c r="H211" s="42"/>
      <c r="I211" s="42"/>
      <c r="J211" s="42"/>
      <c r="K211" s="42"/>
      <c r="L211" s="42"/>
      <c r="M211" s="42"/>
      <c r="N211" s="42"/>
      <c r="O211" s="42"/>
      <c r="P211" s="42"/>
      <c r="Q211" s="42"/>
      <c r="R211" s="42"/>
      <c r="S211" s="42"/>
      <c r="T211" s="45"/>
      <c r="U211" s="45"/>
      <c r="V211" s="45"/>
      <c r="W211" s="45"/>
      <c r="X211" s="45"/>
      <c r="Y211" s="45"/>
      <c r="Z211" s="45"/>
      <c r="AA211" s="45"/>
      <c r="AB211" s="45"/>
      <c r="AC211" s="45"/>
      <c r="AD211" s="45"/>
    </row>
    <row r="212" spans="1:30">
      <c r="A212" s="42">
        <f t="shared" si="0"/>
        <v>211</v>
      </c>
      <c r="B212" s="42"/>
      <c r="C212" s="42" t="s">
        <v>8</v>
      </c>
      <c r="D212" s="42" t="s">
        <v>1334</v>
      </c>
      <c r="E212" s="42"/>
      <c r="F212" s="42" t="s">
        <v>565</v>
      </c>
      <c r="G212" s="42">
        <v>9492037619</v>
      </c>
      <c r="H212" s="42"/>
      <c r="I212" s="42"/>
      <c r="J212" s="42"/>
      <c r="K212" s="42"/>
      <c r="L212" s="42"/>
      <c r="M212" s="42"/>
      <c r="N212" s="42"/>
      <c r="O212" s="42"/>
      <c r="P212" s="42"/>
      <c r="Q212" s="42"/>
      <c r="R212" s="42"/>
      <c r="S212" s="42"/>
      <c r="T212" s="45"/>
      <c r="U212" s="45"/>
      <c r="V212" s="45"/>
      <c r="W212" s="45"/>
      <c r="X212" s="45"/>
      <c r="Y212" s="45"/>
      <c r="Z212" s="45"/>
      <c r="AA212" s="45"/>
      <c r="AB212" s="45"/>
      <c r="AC212" s="45"/>
      <c r="AD212" s="45"/>
    </row>
    <row r="213" spans="1:30">
      <c r="A213" s="42">
        <f t="shared" si="0"/>
        <v>212</v>
      </c>
      <c r="B213" s="42"/>
      <c r="C213" s="42" t="s">
        <v>8</v>
      </c>
      <c r="D213" s="42" t="s">
        <v>1336</v>
      </c>
      <c r="E213" s="42"/>
      <c r="F213" s="42" t="s">
        <v>566</v>
      </c>
      <c r="G213" s="42">
        <v>9849752539</v>
      </c>
      <c r="H213" s="42"/>
      <c r="I213" s="42"/>
      <c r="J213" s="42"/>
      <c r="K213" s="42"/>
      <c r="L213" s="42"/>
      <c r="M213" s="42"/>
      <c r="N213" s="42"/>
      <c r="O213" s="42"/>
      <c r="P213" s="42"/>
      <c r="Q213" s="42"/>
      <c r="R213" s="42"/>
      <c r="S213" s="42"/>
      <c r="T213" s="45"/>
      <c r="U213" s="45"/>
      <c r="V213" s="45"/>
      <c r="W213" s="45"/>
      <c r="X213" s="45"/>
      <c r="Y213" s="45"/>
      <c r="Z213" s="45"/>
      <c r="AA213" s="45"/>
      <c r="AB213" s="45"/>
      <c r="AC213" s="45"/>
      <c r="AD213" s="45"/>
    </row>
    <row r="214" spans="1:30">
      <c r="A214" s="42">
        <f t="shared" si="0"/>
        <v>213</v>
      </c>
      <c r="B214" s="42"/>
      <c r="C214" s="42" t="s">
        <v>8</v>
      </c>
      <c r="D214" s="42" t="s">
        <v>1338</v>
      </c>
      <c r="E214" s="42"/>
      <c r="F214" s="42" t="s">
        <v>568</v>
      </c>
      <c r="G214" s="42">
        <v>9505234510</v>
      </c>
      <c r="H214" s="42"/>
      <c r="I214" s="42"/>
      <c r="J214" s="42"/>
      <c r="K214" s="42"/>
      <c r="L214" s="42"/>
      <c r="M214" s="42"/>
      <c r="N214" s="42"/>
      <c r="O214" s="42"/>
      <c r="P214" s="42"/>
      <c r="Q214" s="42"/>
      <c r="R214" s="42"/>
      <c r="S214" s="42"/>
      <c r="T214" s="45"/>
      <c r="U214" s="45"/>
      <c r="V214" s="45"/>
      <c r="W214" s="45"/>
      <c r="X214" s="45"/>
      <c r="Y214" s="45"/>
      <c r="Z214" s="45"/>
      <c r="AA214" s="45"/>
      <c r="AB214" s="45"/>
      <c r="AC214" s="45"/>
      <c r="AD214" s="45"/>
    </row>
    <row r="215" spans="1:30">
      <c r="A215" s="42">
        <f t="shared" si="0"/>
        <v>214</v>
      </c>
      <c r="B215" s="42"/>
      <c r="C215" s="42" t="s">
        <v>8</v>
      </c>
      <c r="D215" s="42" t="s">
        <v>1340</v>
      </c>
      <c r="E215" s="42"/>
      <c r="F215" s="42" t="s">
        <v>9740</v>
      </c>
      <c r="G215" s="42">
        <v>9581990370</v>
      </c>
      <c r="H215" s="42"/>
      <c r="I215" s="42"/>
      <c r="J215" s="42"/>
      <c r="K215" s="42"/>
      <c r="L215" s="42"/>
      <c r="M215" s="42"/>
      <c r="N215" s="42"/>
      <c r="O215" s="42"/>
      <c r="P215" s="42"/>
      <c r="Q215" s="42"/>
      <c r="R215" s="42"/>
      <c r="S215" s="42"/>
      <c r="T215" s="45"/>
      <c r="U215" s="45"/>
      <c r="V215" s="45"/>
      <c r="W215" s="45"/>
      <c r="X215" s="45"/>
      <c r="Y215" s="45"/>
      <c r="Z215" s="45"/>
      <c r="AA215" s="45"/>
      <c r="AB215" s="45"/>
      <c r="AC215" s="45"/>
      <c r="AD215" s="45"/>
    </row>
    <row r="216" spans="1:30">
      <c r="A216" s="42">
        <f t="shared" si="0"/>
        <v>215</v>
      </c>
      <c r="B216" s="42"/>
      <c r="C216" s="42" t="s">
        <v>8</v>
      </c>
      <c r="D216" s="42" t="s">
        <v>1342</v>
      </c>
      <c r="E216" s="42"/>
      <c r="F216" s="42" t="s">
        <v>571</v>
      </c>
      <c r="G216" s="42">
        <v>9989798634</v>
      </c>
      <c r="H216" s="42"/>
      <c r="I216" s="42"/>
      <c r="J216" s="42"/>
      <c r="K216" s="42"/>
      <c r="L216" s="42"/>
      <c r="M216" s="42"/>
      <c r="N216" s="42"/>
      <c r="O216" s="42"/>
      <c r="P216" s="42"/>
      <c r="Q216" s="42"/>
      <c r="R216" s="42"/>
      <c r="S216" s="42"/>
      <c r="T216" s="45"/>
      <c r="U216" s="45"/>
      <c r="V216" s="45"/>
      <c r="W216" s="45"/>
      <c r="X216" s="45"/>
      <c r="Y216" s="45"/>
      <c r="Z216" s="45"/>
      <c r="AA216" s="45"/>
      <c r="AB216" s="45"/>
      <c r="AC216" s="45"/>
      <c r="AD216" s="45"/>
    </row>
    <row r="217" spans="1:30">
      <c r="A217" s="42">
        <f t="shared" si="0"/>
        <v>216</v>
      </c>
      <c r="B217" s="42"/>
      <c r="C217" s="42" t="s">
        <v>8</v>
      </c>
      <c r="D217" s="42" t="s">
        <v>1344</v>
      </c>
      <c r="E217" s="42"/>
      <c r="F217" s="42" t="s">
        <v>9741</v>
      </c>
      <c r="G217" s="42">
        <v>9948116733</v>
      </c>
      <c r="H217" s="42"/>
      <c r="I217" s="42"/>
      <c r="J217" s="42"/>
      <c r="K217" s="42"/>
      <c r="L217" s="42"/>
      <c r="M217" s="42"/>
      <c r="N217" s="42"/>
      <c r="O217" s="42"/>
      <c r="P217" s="42"/>
      <c r="Q217" s="42"/>
      <c r="R217" s="42"/>
      <c r="S217" s="42"/>
      <c r="T217" s="45"/>
      <c r="U217" s="45"/>
      <c r="V217" s="45"/>
      <c r="W217" s="45"/>
      <c r="X217" s="45"/>
      <c r="Y217" s="45"/>
      <c r="Z217" s="45"/>
      <c r="AA217" s="45"/>
      <c r="AB217" s="45"/>
      <c r="AC217" s="45"/>
      <c r="AD217" s="45"/>
    </row>
    <row r="218" spans="1:30">
      <c r="A218" s="42">
        <f t="shared" si="0"/>
        <v>217</v>
      </c>
      <c r="B218" s="42"/>
      <c r="C218" s="42" t="s">
        <v>8</v>
      </c>
      <c r="D218" s="42" t="s">
        <v>1346</v>
      </c>
      <c r="E218" s="42"/>
      <c r="F218" s="42" t="s">
        <v>574</v>
      </c>
      <c r="G218" s="42">
        <v>9849189893</v>
      </c>
      <c r="H218" s="42"/>
      <c r="I218" s="42"/>
      <c r="J218" s="42"/>
      <c r="K218" s="42"/>
      <c r="L218" s="42"/>
      <c r="M218" s="42"/>
      <c r="N218" s="42"/>
      <c r="O218" s="42"/>
      <c r="P218" s="42"/>
      <c r="Q218" s="42"/>
      <c r="R218" s="42"/>
      <c r="S218" s="42"/>
      <c r="T218" s="45"/>
      <c r="U218" s="45"/>
      <c r="V218" s="45"/>
      <c r="W218" s="45"/>
      <c r="X218" s="45"/>
      <c r="Y218" s="45"/>
      <c r="Z218" s="45"/>
      <c r="AA218" s="45"/>
      <c r="AB218" s="45"/>
      <c r="AC218" s="45"/>
      <c r="AD218" s="45"/>
    </row>
    <row r="219" spans="1:30">
      <c r="A219" s="42">
        <f t="shared" si="0"/>
        <v>218</v>
      </c>
      <c r="B219" s="42"/>
      <c r="C219" s="42" t="s">
        <v>8</v>
      </c>
      <c r="D219" s="42" t="s">
        <v>1348</v>
      </c>
      <c r="E219" s="42"/>
      <c r="F219" s="42" t="s">
        <v>576</v>
      </c>
      <c r="G219" s="42">
        <v>9000244888</v>
      </c>
      <c r="H219" s="42"/>
      <c r="I219" s="42"/>
      <c r="J219" s="42"/>
      <c r="K219" s="42"/>
      <c r="L219" s="42"/>
      <c r="M219" s="42"/>
      <c r="N219" s="42"/>
      <c r="O219" s="42"/>
      <c r="P219" s="42"/>
      <c r="Q219" s="42"/>
      <c r="R219" s="42"/>
      <c r="S219" s="42"/>
      <c r="T219" s="45"/>
      <c r="U219" s="45"/>
      <c r="V219" s="45"/>
      <c r="W219" s="45"/>
      <c r="X219" s="45"/>
      <c r="Y219" s="45"/>
      <c r="Z219" s="45"/>
      <c r="AA219" s="45"/>
      <c r="AB219" s="45"/>
      <c r="AC219" s="45"/>
      <c r="AD219" s="45"/>
    </row>
    <row r="220" spans="1:30">
      <c r="A220" s="42">
        <f t="shared" si="0"/>
        <v>219</v>
      </c>
      <c r="B220" s="42"/>
      <c r="C220" s="42" t="s">
        <v>8</v>
      </c>
      <c r="D220" s="42" t="s">
        <v>1350</v>
      </c>
      <c r="E220" s="42"/>
      <c r="F220" s="42" t="s">
        <v>578</v>
      </c>
      <c r="G220" s="42">
        <v>9949601203</v>
      </c>
      <c r="H220" s="42"/>
      <c r="I220" s="42"/>
      <c r="J220" s="42"/>
      <c r="K220" s="42"/>
      <c r="L220" s="42"/>
      <c r="M220" s="42"/>
      <c r="N220" s="42"/>
      <c r="O220" s="42"/>
      <c r="P220" s="42"/>
      <c r="Q220" s="42"/>
      <c r="R220" s="42"/>
      <c r="S220" s="42"/>
      <c r="T220" s="45"/>
      <c r="U220" s="45"/>
      <c r="V220" s="45"/>
      <c r="W220" s="45"/>
      <c r="X220" s="45"/>
      <c r="Y220" s="45"/>
      <c r="Z220" s="45"/>
      <c r="AA220" s="45"/>
      <c r="AB220" s="45"/>
      <c r="AC220" s="45"/>
      <c r="AD220" s="45"/>
    </row>
    <row r="221" spans="1:30">
      <c r="A221" s="42">
        <f t="shared" si="0"/>
        <v>220</v>
      </c>
      <c r="B221" s="42"/>
      <c r="C221" s="42" t="s">
        <v>8</v>
      </c>
      <c r="D221" s="42" t="s">
        <v>1352</v>
      </c>
      <c r="E221" s="42"/>
      <c r="F221" s="42" t="s">
        <v>580</v>
      </c>
      <c r="G221" s="42">
        <v>9676444569</v>
      </c>
      <c r="H221" s="42"/>
      <c r="I221" s="42"/>
      <c r="J221" s="42"/>
      <c r="K221" s="42"/>
      <c r="L221" s="42"/>
      <c r="M221" s="42"/>
      <c r="N221" s="42"/>
      <c r="O221" s="42"/>
      <c r="P221" s="42"/>
      <c r="Q221" s="42"/>
      <c r="R221" s="42"/>
      <c r="S221" s="42"/>
      <c r="T221" s="45"/>
      <c r="U221" s="45"/>
      <c r="V221" s="45"/>
      <c r="W221" s="45"/>
      <c r="X221" s="45"/>
      <c r="Y221" s="45"/>
      <c r="Z221" s="45"/>
      <c r="AA221" s="45"/>
      <c r="AB221" s="45"/>
      <c r="AC221" s="45"/>
      <c r="AD221" s="45"/>
    </row>
    <row r="222" spans="1:30">
      <c r="A222" s="42">
        <f t="shared" si="0"/>
        <v>221</v>
      </c>
      <c r="B222" s="42"/>
      <c r="C222" s="42" t="s">
        <v>8</v>
      </c>
      <c r="D222" s="42" t="s">
        <v>1354</v>
      </c>
      <c r="E222" s="42"/>
      <c r="F222" s="42" t="s">
        <v>582</v>
      </c>
      <c r="G222" s="42">
        <v>9515469466</v>
      </c>
      <c r="H222" s="42"/>
      <c r="I222" s="42"/>
      <c r="J222" s="42"/>
      <c r="K222" s="42"/>
      <c r="L222" s="42"/>
      <c r="M222" s="42"/>
      <c r="N222" s="42"/>
      <c r="O222" s="42"/>
      <c r="P222" s="42"/>
      <c r="Q222" s="42"/>
      <c r="R222" s="42"/>
      <c r="S222" s="42"/>
      <c r="T222" s="45"/>
      <c r="U222" s="45"/>
      <c r="V222" s="45"/>
      <c r="W222" s="45"/>
      <c r="X222" s="45"/>
      <c r="Y222" s="45"/>
      <c r="Z222" s="45"/>
      <c r="AA222" s="45"/>
      <c r="AB222" s="45"/>
      <c r="AC222" s="45"/>
      <c r="AD222" s="45"/>
    </row>
    <row r="223" spans="1:30">
      <c r="A223" s="42">
        <f t="shared" si="0"/>
        <v>222</v>
      </c>
      <c r="B223" s="42"/>
      <c r="C223" s="42" t="s">
        <v>587</v>
      </c>
      <c r="D223" s="42" t="s">
        <v>588</v>
      </c>
      <c r="E223" s="42"/>
      <c r="F223" s="42" t="s">
        <v>9742</v>
      </c>
      <c r="G223" s="42">
        <v>8977264099</v>
      </c>
      <c r="H223" s="42"/>
      <c r="I223" s="42"/>
      <c r="J223" s="42"/>
      <c r="K223" s="42"/>
      <c r="L223" s="42"/>
      <c r="M223" s="42"/>
      <c r="N223" s="42"/>
      <c r="O223" s="42"/>
      <c r="P223" s="42"/>
      <c r="Q223" s="42"/>
      <c r="R223" s="42"/>
      <c r="S223" s="42"/>
      <c r="T223" s="45"/>
      <c r="U223" s="45"/>
      <c r="V223" s="45"/>
      <c r="W223" s="45"/>
      <c r="X223" s="45"/>
      <c r="Y223" s="45"/>
      <c r="Z223" s="45"/>
      <c r="AA223" s="45"/>
      <c r="AB223" s="45"/>
      <c r="AC223" s="45"/>
      <c r="AD223" s="45"/>
    </row>
    <row r="224" spans="1:30">
      <c r="A224" s="42">
        <f t="shared" si="0"/>
        <v>223</v>
      </c>
      <c r="B224" s="42"/>
      <c r="C224" s="42" t="s">
        <v>587</v>
      </c>
      <c r="D224" s="42" t="s">
        <v>1357</v>
      </c>
      <c r="E224" s="42"/>
      <c r="F224" s="42" t="s">
        <v>9743</v>
      </c>
      <c r="G224" s="42">
        <v>9849461468</v>
      </c>
      <c r="H224" s="42"/>
      <c r="I224" s="42"/>
      <c r="J224" s="42"/>
      <c r="K224" s="42"/>
      <c r="L224" s="42"/>
      <c r="M224" s="42"/>
      <c r="N224" s="42"/>
      <c r="O224" s="42"/>
      <c r="P224" s="42"/>
      <c r="Q224" s="42"/>
      <c r="R224" s="42"/>
      <c r="S224" s="42"/>
      <c r="T224" s="45"/>
      <c r="U224" s="45"/>
      <c r="V224" s="45"/>
      <c r="W224" s="45"/>
      <c r="X224" s="45"/>
      <c r="Y224" s="45"/>
      <c r="Z224" s="45"/>
      <c r="AA224" s="45"/>
      <c r="AB224" s="45"/>
      <c r="AC224" s="45"/>
      <c r="AD224" s="45"/>
    </row>
    <row r="225" spans="1:30">
      <c r="A225" s="42">
        <f t="shared" si="0"/>
        <v>224</v>
      </c>
      <c r="B225" s="42"/>
      <c r="C225" s="42" t="s">
        <v>587</v>
      </c>
      <c r="D225" s="42" t="s">
        <v>596</v>
      </c>
      <c r="E225" s="42"/>
      <c r="F225" s="42" t="s">
        <v>9744</v>
      </c>
      <c r="G225" s="42">
        <v>9676463923</v>
      </c>
      <c r="H225" s="42"/>
      <c r="I225" s="42"/>
      <c r="J225" s="42"/>
      <c r="K225" s="42"/>
      <c r="L225" s="42"/>
      <c r="M225" s="42"/>
      <c r="N225" s="42"/>
      <c r="O225" s="42"/>
      <c r="P225" s="42"/>
      <c r="Q225" s="42"/>
      <c r="R225" s="42"/>
      <c r="S225" s="42"/>
      <c r="T225" s="45"/>
      <c r="U225" s="45"/>
      <c r="V225" s="45"/>
      <c r="W225" s="45"/>
      <c r="X225" s="45"/>
      <c r="Y225" s="45"/>
      <c r="Z225" s="45"/>
      <c r="AA225" s="45"/>
      <c r="AB225" s="45"/>
      <c r="AC225" s="45"/>
      <c r="AD225" s="45"/>
    </row>
    <row r="226" spans="1:30">
      <c r="A226" s="42">
        <f t="shared" si="0"/>
        <v>225</v>
      </c>
      <c r="B226" s="42"/>
      <c r="C226" s="42" t="s">
        <v>587</v>
      </c>
      <c r="D226" s="42" t="s">
        <v>1360</v>
      </c>
      <c r="E226" s="42"/>
      <c r="F226" s="42" t="s">
        <v>9745</v>
      </c>
      <c r="G226" s="42">
        <v>8978535625</v>
      </c>
      <c r="H226" s="42"/>
      <c r="I226" s="42"/>
      <c r="J226" s="42"/>
      <c r="K226" s="42"/>
      <c r="L226" s="42"/>
      <c r="M226" s="42"/>
      <c r="N226" s="42"/>
      <c r="O226" s="42"/>
      <c r="P226" s="42"/>
      <c r="Q226" s="42"/>
      <c r="R226" s="42"/>
      <c r="S226" s="42"/>
      <c r="T226" s="45"/>
      <c r="U226" s="45"/>
      <c r="V226" s="45"/>
      <c r="W226" s="45"/>
      <c r="X226" s="45"/>
      <c r="Y226" s="45"/>
      <c r="Z226" s="45"/>
      <c r="AA226" s="45"/>
      <c r="AB226" s="45"/>
      <c r="AC226" s="45"/>
      <c r="AD226" s="45"/>
    </row>
    <row r="227" spans="1:30">
      <c r="A227" s="42">
        <f t="shared" si="0"/>
        <v>226</v>
      </c>
      <c r="B227" s="42"/>
      <c r="C227" s="42" t="s">
        <v>587</v>
      </c>
      <c r="D227" s="42" t="s">
        <v>597</v>
      </c>
      <c r="E227" s="42"/>
      <c r="F227" s="42" t="s">
        <v>9746</v>
      </c>
      <c r="G227" s="42">
        <v>9951566455</v>
      </c>
      <c r="H227" s="42"/>
      <c r="I227" s="42"/>
      <c r="J227" s="42"/>
      <c r="K227" s="42"/>
      <c r="L227" s="42"/>
      <c r="M227" s="42"/>
      <c r="N227" s="42"/>
      <c r="O227" s="42"/>
      <c r="P227" s="42"/>
      <c r="Q227" s="42"/>
      <c r="R227" s="42"/>
      <c r="S227" s="42"/>
      <c r="T227" s="45"/>
      <c r="U227" s="45"/>
      <c r="V227" s="45"/>
      <c r="W227" s="45"/>
      <c r="X227" s="45"/>
      <c r="Y227" s="45"/>
      <c r="Z227" s="45"/>
      <c r="AA227" s="45"/>
      <c r="AB227" s="45"/>
      <c r="AC227" s="45"/>
      <c r="AD227" s="45"/>
    </row>
    <row r="228" spans="1:30">
      <c r="A228" s="42">
        <f t="shared" si="0"/>
        <v>227</v>
      </c>
      <c r="B228" s="42"/>
      <c r="C228" s="42" t="s">
        <v>587</v>
      </c>
      <c r="D228" s="42" t="s">
        <v>1363</v>
      </c>
      <c r="E228" s="42"/>
      <c r="F228" s="42" t="s">
        <v>9747</v>
      </c>
      <c r="G228" s="42">
        <v>9705199360</v>
      </c>
      <c r="H228" s="42"/>
      <c r="I228" s="42"/>
      <c r="J228" s="42"/>
      <c r="K228" s="42"/>
      <c r="L228" s="42"/>
      <c r="M228" s="42"/>
      <c r="N228" s="42"/>
      <c r="O228" s="42"/>
      <c r="P228" s="42"/>
      <c r="Q228" s="42"/>
      <c r="R228" s="42"/>
      <c r="S228" s="42"/>
      <c r="T228" s="45"/>
      <c r="U228" s="45"/>
      <c r="V228" s="45"/>
      <c r="W228" s="45"/>
      <c r="X228" s="45"/>
      <c r="Y228" s="45"/>
      <c r="Z228" s="45"/>
      <c r="AA228" s="45"/>
      <c r="AB228" s="45"/>
      <c r="AC228" s="45"/>
      <c r="AD228" s="45"/>
    </row>
    <row r="229" spans="1:30">
      <c r="A229" s="42">
        <f t="shared" si="0"/>
        <v>228</v>
      </c>
      <c r="B229" s="42"/>
      <c r="C229" s="42" t="s">
        <v>587</v>
      </c>
      <c r="D229" s="42" t="s">
        <v>1365</v>
      </c>
      <c r="E229" s="42"/>
      <c r="F229" s="42" t="s">
        <v>9748</v>
      </c>
      <c r="G229" s="42">
        <v>6305194188</v>
      </c>
      <c r="H229" s="42"/>
      <c r="I229" s="42"/>
      <c r="J229" s="42"/>
      <c r="K229" s="42"/>
      <c r="L229" s="42"/>
      <c r="M229" s="42"/>
      <c r="N229" s="42"/>
      <c r="O229" s="42"/>
      <c r="P229" s="42"/>
      <c r="Q229" s="42"/>
      <c r="R229" s="42"/>
      <c r="S229" s="42"/>
      <c r="T229" s="45"/>
      <c r="U229" s="45"/>
      <c r="V229" s="45"/>
      <c r="W229" s="45"/>
      <c r="X229" s="45"/>
      <c r="Y229" s="45"/>
      <c r="Z229" s="45"/>
      <c r="AA229" s="45"/>
      <c r="AB229" s="45"/>
      <c r="AC229" s="45"/>
      <c r="AD229" s="45"/>
    </row>
    <row r="230" spans="1:30">
      <c r="A230" s="42">
        <f t="shared" si="0"/>
        <v>229</v>
      </c>
      <c r="B230" s="42"/>
      <c r="C230" s="42" t="s">
        <v>587</v>
      </c>
      <c r="D230" s="42" t="s">
        <v>602</v>
      </c>
      <c r="E230" s="42"/>
      <c r="F230" s="42" t="s">
        <v>4322</v>
      </c>
      <c r="G230" s="42">
        <v>8985490148</v>
      </c>
      <c r="H230" s="42"/>
      <c r="I230" s="42"/>
      <c r="J230" s="42"/>
      <c r="K230" s="42"/>
      <c r="L230" s="42"/>
      <c r="M230" s="42"/>
      <c r="N230" s="42"/>
      <c r="O230" s="42"/>
      <c r="P230" s="42"/>
      <c r="Q230" s="42"/>
      <c r="R230" s="42"/>
      <c r="S230" s="42"/>
      <c r="T230" s="45"/>
      <c r="U230" s="45"/>
      <c r="V230" s="45"/>
      <c r="W230" s="45"/>
      <c r="X230" s="45"/>
      <c r="Y230" s="45"/>
      <c r="Z230" s="45"/>
      <c r="AA230" s="45"/>
      <c r="AB230" s="45"/>
      <c r="AC230" s="45"/>
      <c r="AD230" s="45"/>
    </row>
    <row r="231" spans="1:30">
      <c r="A231" s="42">
        <f t="shared" si="0"/>
        <v>230</v>
      </c>
      <c r="B231" s="42"/>
      <c r="C231" s="42" t="s">
        <v>587</v>
      </c>
      <c r="D231" s="42" t="s">
        <v>604</v>
      </c>
      <c r="E231" s="42"/>
      <c r="F231" s="42" t="s">
        <v>9749</v>
      </c>
      <c r="G231" s="42">
        <v>9505161571</v>
      </c>
      <c r="H231" s="42"/>
      <c r="I231" s="42"/>
      <c r="J231" s="42"/>
      <c r="K231" s="42"/>
      <c r="L231" s="42"/>
      <c r="M231" s="42"/>
      <c r="N231" s="42"/>
      <c r="O231" s="42"/>
      <c r="P231" s="42"/>
      <c r="Q231" s="42"/>
      <c r="R231" s="42"/>
      <c r="S231" s="42"/>
      <c r="T231" s="45"/>
      <c r="U231" s="45"/>
      <c r="V231" s="45"/>
      <c r="W231" s="45"/>
      <c r="X231" s="45"/>
      <c r="Y231" s="45"/>
      <c r="Z231" s="45"/>
      <c r="AA231" s="45"/>
      <c r="AB231" s="45"/>
      <c r="AC231" s="45"/>
      <c r="AD231" s="45"/>
    </row>
    <row r="232" spans="1:30">
      <c r="A232" s="42">
        <f t="shared" si="0"/>
        <v>231</v>
      </c>
      <c r="B232" s="42"/>
      <c r="C232" s="42" t="s">
        <v>587</v>
      </c>
      <c r="D232" s="42" t="s">
        <v>605</v>
      </c>
      <c r="E232" s="42"/>
      <c r="F232" s="42" t="s">
        <v>9750</v>
      </c>
      <c r="G232" s="42">
        <v>9849265494</v>
      </c>
      <c r="H232" s="42"/>
      <c r="I232" s="42"/>
      <c r="J232" s="42"/>
      <c r="K232" s="42"/>
      <c r="L232" s="42"/>
      <c r="M232" s="42"/>
      <c r="N232" s="42"/>
      <c r="O232" s="42"/>
      <c r="P232" s="42"/>
      <c r="Q232" s="42"/>
      <c r="R232" s="42"/>
      <c r="S232" s="42"/>
      <c r="T232" s="45"/>
      <c r="U232" s="45"/>
      <c r="V232" s="45"/>
      <c r="W232" s="45"/>
      <c r="X232" s="45"/>
      <c r="Y232" s="45"/>
      <c r="Z232" s="45"/>
      <c r="AA232" s="45"/>
      <c r="AB232" s="45"/>
      <c r="AC232" s="45"/>
      <c r="AD232" s="45"/>
    </row>
    <row r="233" spans="1:30">
      <c r="A233" s="42">
        <f t="shared" si="0"/>
        <v>232</v>
      </c>
      <c r="B233" s="42"/>
      <c r="C233" s="42" t="s">
        <v>587</v>
      </c>
      <c r="D233" s="42" t="s">
        <v>606</v>
      </c>
      <c r="E233" s="42"/>
      <c r="F233" s="42" t="s">
        <v>9751</v>
      </c>
      <c r="G233" s="42">
        <v>7075683588</v>
      </c>
      <c r="H233" s="42"/>
      <c r="I233" s="42"/>
      <c r="J233" s="42"/>
      <c r="K233" s="42"/>
      <c r="L233" s="42"/>
      <c r="M233" s="42"/>
      <c r="N233" s="42"/>
      <c r="O233" s="42"/>
      <c r="P233" s="42"/>
      <c r="Q233" s="42"/>
      <c r="R233" s="42"/>
      <c r="S233" s="42"/>
      <c r="T233" s="45"/>
      <c r="U233" s="45"/>
      <c r="V233" s="45"/>
      <c r="W233" s="45"/>
      <c r="X233" s="45"/>
      <c r="Y233" s="45"/>
      <c r="Z233" s="45"/>
      <c r="AA233" s="45"/>
      <c r="AB233" s="45"/>
      <c r="AC233" s="45"/>
      <c r="AD233" s="45"/>
    </row>
    <row r="234" spans="1:30">
      <c r="A234" s="42">
        <f t="shared" si="0"/>
        <v>233</v>
      </c>
      <c r="B234" s="42"/>
      <c r="C234" s="42" t="s">
        <v>587</v>
      </c>
      <c r="D234" s="42" t="s">
        <v>1371</v>
      </c>
      <c r="E234" s="42"/>
      <c r="F234" s="42" t="s">
        <v>9752</v>
      </c>
      <c r="G234" s="42">
        <v>9095490790</v>
      </c>
      <c r="H234" s="42"/>
      <c r="I234" s="42"/>
      <c r="J234" s="42"/>
      <c r="K234" s="42"/>
      <c r="L234" s="42"/>
      <c r="M234" s="42"/>
      <c r="N234" s="42"/>
      <c r="O234" s="42"/>
      <c r="P234" s="42"/>
      <c r="Q234" s="42"/>
      <c r="R234" s="42"/>
      <c r="S234" s="42"/>
      <c r="T234" s="45"/>
      <c r="U234" s="45"/>
      <c r="V234" s="45"/>
      <c r="W234" s="45"/>
      <c r="X234" s="45"/>
      <c r="Y234" s="45"/>
      <c r="Z234" s="45"/>
      <c r="AA234" s="45"/>
      <c r="AB234" s="45"/>
      <c r="AC234" s="45"/>
      <c r="AD234" s="45"/>
    </row>
    <row r="235" spans="1:30">
      <c r="A235" s="42">
        <f t="shared" si="0"/>
        <v>234</v>
      </c>
      <c r="B235" s="42"/>
      <c r="C235" s="42" t="s">
        <v>587</v>
      </c>
      <c r="D235" s="42" t="s">
        <v>1373</v>
      </c>
      <c r="E235" s="42"/>
      <c r="F235" s="42" t="s">
        <v>9753</v>
      </c>
      <c r="G235" s="42">
        <v>8790434146</v>
      </c>
      <c r="H235" s="42"/>
      <c r="I235" s="42"/>
      <c r="J235" s="42"/>
      <c r="K235" s="42"/>
      <c r="L235" s="42"/>
      <c r="M235" s="42"/>
      <c r="N235" s="42"/>
      <c r="O235" s="42"/>
      <c r="P235" s="42"/>
      <c r="Q235" s="42"/>
      <c r="R235" s="42"/>
      <c r="S235" s="42"/>
      <c r="T235" s="45"/>
      <c r="U235" s="45"/>
      <c r="V235" s="45"/>
      <c r="W235" s="45"/>
      <c r="X235" s="45"/>
      <c r="Y235" s="45"/>
      <c r="Z235" s="45"/>
      <c r="AA235" s="45"/>
      <c r="AB235" s="45"/>
      <c r="AC235" s="45"/>
      <c r="AD235" s="45"/>
    </row>
    <row r="236" spans="1:30">
      <c r="A236" s="42">
        <f t="shared" si="0"/>
        <v>235</v>
      </c>
      <c r="B236" s="42"/>
      <c r="C236" s="42" t="s">
        <v>587</v>
      </c>
      <c r="D236" s="42" t="s">
        <v>1375</v>
      </c>
      <c r="E236" s="42"/>
      <c r="F236" s="42" t="s">
        <v>9754</v>
      </c>
      <c r="G236" s="42">
        <v>7702973579</v>
      </c>
      <c r="H236" s="42"/>
      <c r="I236" s="42"/>
      <c r="J236" s="42"/>
      <c r="K236" s="42"/>
      <c r="L236" s="42"/>
      <c r="M236" s="42"/>
      <c r="N236" s="42"/>
      <c r="O236" s="42"/>
      <c r="P236" s="42"/>
      <c r="Q236" s="42"/>
      <c r="R236" s="42"/>
      <c r="S236" s="42"/>
      <c r="T236" s="45"/>
      <c r="U236" s="45"/>
      <c r="V236" s="45"/>
      <c r="W236" s="45"/>
      <c r="X236" s="45"/>
      <c r="Y236" s="45"/>
      <c r="Z236" s="45"/>
      <c r="AA236" s="45"/>
      <c r="AB236" s="45"/>
      <c r="AC236" s="45"/>
      <c r="AD236" s="45"/>
    </row>
    <row r="237" spans="1:30">
      <c r="A237" s="42">
        <f t="shared" si="0"/>
        <v>236</v>
      </c>
      <c r="B237" s="42"/>
      <c r="C237" s="42" t="s">
        <v>587</v>
      </c>
      <c r="D237" s="42" t="s">
        <v>611</v>
      </c>
      <c r="E237" s="42"/>
      <c r="F237" s="42" t="s">
        <v>9755</v>
      </c>
      <c r="G237" s="42">
        <v>9959504635</v>
      </c>
      <c r="H237" s="42"/>
      <c r="I237" s="42"/>
      <c r="J237" s="42"/>
      <c r="K237" s="42"/>
      <c r="L237" s="42"/>
      <c r="M237" s="42"/>
      <c r="N237" s="42"/>
      <c r="O237" s="42"/>
      <c r="P237" s="42"/>
      <c r="Q237" s="42"/>
      <c r="R237" s="42"/>
      <c r="S237" s="42"/>
      <c r="T237" s="45"/>
      <c r="U237" s="45"/>
      <c r="V237" s="45"/>
      <c r="W237" s="45"/>
      <c r="X237" s="45"/>
      <c r="Y237" s="45"/>
      <c r="Z237" s="45"/>
      <c r="AA237" s="45"/>
      <c r="AB237" s="45"/>
      <c r="AC237" s="45"/>
      <c r="AD237" s="45"/>
    </row>
    <row r="238" spans="1:30">
      <c r="A238" s="42">
        <f t="shared" si="0"/>
        <v>237</v>
      </c>
      <c r="B238" s="42"/>
      <c r="C238" s="42" t="s">
        <v>587</v>
      </c>
      <c r="D238" s="42" t="s">
        <v>612</v>
      </c>
      <c r="E238" s="42"/>
      <c r="F238" s="42" t="s">
        <v>9756</v>
      </c>
      <c r="G238" s="42">
        <v>9912823940</v>
      </c>
      <c r="H238" s="42"/>
      <c r="I238" s="42"/>
      <c r="J238" s="42"/>
      <c r="K238" s="42"/>
      <c r="L238" s="42"/>
      <c r="M238" s="42"/>
      <c r="N238" s="42"/>
      <c r="O238" s="42"/>
      <c r="P238" s="42"/>
      <c r="Q238" s="42"/>
      <c r="R238" s="42"/>
      <c r="S238" s="42"/>
      <c r="T238" s="45"/>
      <c r="U238" s="45"/>
      <c r="V238" s="45"/>
      <c r="W238" s="45"/>
      <c r="X238" s="45"/>
      <c r="Y238" s="45"/>
      <c r="Z238" s="45"/>
      <c r="AA238" s="45"/>
      <c r="AB238" s="45"/>
      <c r="AC238" s="45"/>
      <c r="AD238" s="45"/>
    </row>
    <row r="239" spans="1:30">
      <c r="A239" s="42">
        <f t="shared" si="0"/>
        <v>238</v>
      </c>
      <c r="B239" s="42"/>
      <c r="C239" s="42" t="s">
        <v>587</v>
      </c>
      <c r="D239" s="42" t="s">
        <v>613</v>
      </c>
      <c r="E239" s="42"/>
      <c r="F239" s="42" t="s">
        <v>9757</v>
      </c>
      <c r="G239" s="42">
        <v>7780509594</v>
      </c>
      <c r="H239" s="42"/>
      <c r="I239" s="42"/>
      <c r="J239" s="42"/>
      <c r="K239" s="42"/>
      <c r="L239" s="42"/>
      <c r="M239" s="42"/>
      <c r="N239" s="42"/>
      <c r="O239" s="42"/>
      <c r="P239" s="42"/>
      <c r="Q239" s="42"/>
      <c r="R239" s="42"/>
      <c r="S239" s="42"/>
      <c r="T239" s="45"/>
      <c r="U239" s="45"/>
      <c r="V239" s="45"/>
      <c r="W239" s="45"/>
      <c r="X239" s="45"/>
      <c r="Y239" s="45"/>
      <c r="Z239" s="45"/>
      <c r="AA239" s="45"/>
      <c r="AB239" s="45"/>
      <c r="AC239" s="45"/>
      <c r="AD239" s="45"/>
    </row>
    <row r="240" spans="1:30">
      <c r="A240" s="42">
        <f t="shared" si="0"/>
        <v>239</v>
      </c>
      <c r="B240" s="42"/>
      <c r="C240" s="42" t="s">
        <v>587</v>
      </c>
      <c r="D240" s="42" t="s">
        <v>1380</v>
      </c>
      <c r="E240" s="42"/>
      <c r="F240" s="42" t="s">
        <v>9758</v>
      </c>
      <c r="G240" s="42">
        <v>7893333588</v>
      </c>
      <c r="H240" s="42"/>
      <c r="I240" s="42"/>
      <c r="J240" s="42"/>
      <c r="K240" s="42"/>
      <c r="L240" s="42"/>
      <c r="M240" s="42"/>
      <c r="N240" s="42"/>
      <c r="O240" s="42"/>
      <c r="P240" s="42"/>
      <c r="Q240" s="42"/>
      <c r="R240" s="42"/>
      <c r="S240" s="42"/>
      <c r="T240" s="45"/>
      <c r="U240" s="45"/>
      <c r="V240" s="45"/>
      <c r="W240" s="45"/>
      <c r="X240" s="45"/>
      <c r="Y240" s="45"/>
      <c r="Z240" s="45"/>
      <c r="AA240" s="45"/>
      <c r="AB240" s="45"/>
      <c r="AC240" s="45"/>
      <c r="AD240" s="45"/>
    </row>
    <row r="241" spans="1:30">
      <c r="A241" s="42">
        <f t="shared" si="0"/>
        <v>240</v>
      </c>
      <c r="B241" s="42"/>
      <c r="C241" s="42" t="s">
        <v>587</v>
      </c>
      <c r="D241" s="42" t="s">
        <v>618</v>
      </c>
      <c r="E241" s="42"/>
      <c r="F241" s="42" t="s">
        <v>9759</v>
      </c>
      <c r="G241" s="42">
        <v>8464903315</v>
      </c>
      <c r="H241" s="42"/>
      <c r="I241" s="42"/>
      <c r="J241" s="42"/>
      <c r="K241" s="42"/>
      <c r="L241" s="42"/>
      <c r="M241" s="42"/>
      <c r="N241" s="42"/>
      <c r="O241" s="42"/>
      <c r="P241" s="42"/>
      <c r="Q241" s="42"/>
      <c r="R241" s="42"/>
      <c r="S241" s="42"/>
      <c r="T241" s="45"/>
      <c r="U241" s="45"/>
      <c r="V241" s="45"/>
      <c r="W241" s="45"/>
      <c r="X241" s="45"/>
      <c r="Y241" s="45"/>
      <c r="Z241" s="45"/>
      <c r="AA241" s="45"/>
      <c r="AB241" s="45"/>
      <c r="AC241" s="45"/>
      <c r="AD241" s="45"/>
    </row>
    <row r="242" spans="1:30">
      <c r="A242" s="42">
        <f t="shared" si="0"/>
        <v>241</v>
      </c>
      <c r="B242" s="42"/>
      <c r="C242" s="42" t="s">
        <v>587</v>
      </c>
      <c r="D242" s="42" t="s">
        <v>621</v>
      </c>
      <c r="E242" s="42"/>
      <c r="F242" s="42" t="s">
        <v>9760</v>
      </c>
      <c r="G242" s="42">
        <v>7993097006</v>
      </c>
      <c r="H242" s="42"/>
      <c r="I242" s="42"/>
      <c r="J242" s="42"/>
      <c r="K242" s="42"/>
      <c r="L242" s="42"/>
      <c r="M242" s="42"/>
      <c r="N242" s="42"/>
      <c r="O242" s="42"/>
      <c r="P242" s="42"/>
      <c r="Q242" s="42"/>
      <c r="R242" s="42"/>
      <c r="S242" s="42"/>
      <c r="T242" s="45"/>
      <c r="U242" s="45"/>
      <c r="V242" s="45"/>
      <c r="W242" s="45"/>
      <c r="X242" s="45"/>
      <c r="Y242" s="45"/>
      <c r="Z242" s="45"/>
      <c r="AA242" s="45"/>
      <c r="AB242" s="45"/>
      <c r="AC242" s="45"/>
      <c r="AD242" s="45"/>
    </row>
    <row r="243" spans="1:30">
      <c r="A243" s="42">
        <f t="shared" si="0"/>
        <v>242</v>
      </c>
      <c r="B243" s="42"/>
      <c r="C243" s="42" t="s">
        <v>587</v>
      </c>
      <c r="D243" s="42" t="s">
        <v>623</v>
      </c>
      <c r="E243" s="42"/>
      <c r="F243" s="42" t="s">
        <v>9761</v>
      </c>
      <c r="G243" s="42">
        <v>9848091015</v>
      </c>
      <c r="H243" s="42"/>
      <c r="I243" s="42"/>
      <c r="J243" s="42"/>
      <c r="K243" s="42"/>
      <c r="L243" s="42"/>
      <c r="M243" s="42"/>
      <c r="N243" s="42"/>
      <c r="O243" s="42"/>
      <c r="P243" s="42"/>
      <c r="Q243" s="42"/>
      <c r="R243" s="42"/>
      <c r="S243" s="42"/>
      <c r="T243" s="45"/>
      <c r="U243" s="45"/>
      <c r="V243" s="45"/>
      <c r="W243" s="45"/>
      <c r="X243" s="45"/>
      <c r="Y243" s="45"/>
      <c r="Z243" s="45"/>
      <c r="AA243" s="45"/>
      <c r="AB243" s="45"/>
      <c r="AC243" s="45"/>
      <c r="AD243" s="45"/>
    </row>
    <row r="244" spans="1:30">
      <c r="A244" s="42">
        <f t="shared" si="0"/>
        <v>243</v>
      </c>
      <c r="B244" s="42"/>
      <c r="C244" s="42" t="s">
        <v>587</v>
      </c>
      <c r="D244" s="42" t="s">
        <v>587</v>
      </c>
      <c r="E244" s="42"/>
      <c r="F244" s="42" t="s">
        <v>9762</v>
      </c>
      <c r="G244" s="42">
        <v>6300025975</v>
      </c>
      <c r="H244" s="42"/>
      <c r="I244" s="42"/>
      <c r="J244" s="42"/>
      <c r="K244" s="42"/>
      <c r="L244" s="42"/>
      <c r="M244" s="42"/>
      <c r="N244" s="42"/>
      <c r="O244" s="42"/>
      <c r="P244" s="42"/>
      <c r="Q244" s="42"/>
      <c r="R244" s="42"/>
      <c r="S244" s="42"/>
      <c r="T244" s="45"/>
      <c r="U244" s="45"/>
      <c r="V244" s="45"/>
      <c r="W244" s="45"/>
      <c r="X244" s="45"/>
      <c r="Y244" s="45"/>
      <c r="Z244" s="45"/>
      <c r="AA244" s="45"/>
      <c r="AB244" s="45"/>
      <c r="AC244" s="45"/>
      <c r="AD244" s="45"/>
    </row>
    <row r="245" spans="1:30">
      <c r="A245" s="42">
        <f t="shared" si="0"/>
        <v>244</v>
      </c>
      <c r="B245" s="42"/>
      <c r="C245" s="42" t="s">
        <v>587</v>
      </c>
      <c r="D245" s="42" t="s">
        <v>1386</v>
      </c>
      <c r="E245" s="42"/>
      <c r="F245" s="42" t="s">
        <v>9763</v>
      </c>
      <c r="G245" s="42">
        <v>9866902637</v>
      </c>
      <c r="H245" s="42"/>
      <c r="I245" s="42"/>
      <c r="J245" s="42"/>
      <c r="K245" s="42"/>
      <c r="L245" s="42"/>
      <c r="M245" s="42"/>
      <c r="N245" s="42"/>
      <c r="O245" s="42"/>
      <c r="P245" s="42"/>
      <c r="Q245" s="42"/>
      <c r="R245" s="42"/>
      <c r="S245" s="42"/>
      <c r="T245" s="45"/>
      <c r="U245" s="45"/>
      <c r="V245" s="45"/>
      <c r="W245" s="45"/>
      <c r="X245" s="45"/>
      <c r="Y245" s="45"/>
      <c r="Z245" s="45"/>
      <c r="AA245" s="45"/>
      <c r="AB245" s="45"/>
      <c r="AC245" s="45"/>
      <c r="AD245" s="45"/>
    </row>
    <row r="246" spans="1:30">
      <c r="A246" s="42">
        <f t="shared" si="0"/>
        <v>245</v>
      </c>
      <c r="B246" s="42"/>
      <c r="C246" s="42" t="s">
        <v>587</v>
      </c>
      <c r="D246" s="42" t="s">
        <v>1388</v>
      </c>
      <c r="E246" s="42"/>
      <c r="F246" s="42" t="s">
        <v>9764</v>
      </c>
      <c r="G246" s="42">
        <v>9705554520</v>
      </c>
      <c r="H246" s="42"/>
      <c r="I246" s="42"/>
      <c r="J246" s="42"/>
      <c r="K246" s="42"/>
      <c r="L246" s="42"/>
      <c r="M246" s="42"/>
      <c r="N246" s="42"/>
      <c r="O246" s="42"/>
      <c r="P246" s="42"/>
      <c r="Q246" s="42"/>
      <c r="R246" s="42"/>
      <c r="S246" s="42"/>
      <c r="T246" s="45"/>
      <c r="U246" s="45"/>
      <c r="V246" s="45"/>
      <c r="W246" s="45"/>
      <c r="X246" s="45"/>
      <c r="Y246" s="45"/>
      <c r="Z246" s="45"/>
      <c r="AA246" s="45"/>
      <c r="AB246" s="45"/>
      <c r="AC246" s="45"/>
      <c r="AD246" s="45"/>
    </row>
    <row r="247" spans="1:30">
      <c r="A247" s="42">
        <f t="shared" si="0"/>
        <v>246</v>
      </c>
      <c r="B247" s="42"/>
      <c r="C247" s="42" t="s">
        <v>587</v>
      </c>
      <c r="D247" s="42" t="s">
        <v>1390</v>
      </c>
      <c r="E247" s="42"/>
      <c r="F247" s="42" t="s">
        <v>9765</v>
      </c>
      <c r="G247" s="42">
        <v>9642206933</v>
      </c>
      <c r="H247" s="42"/>
      <c r="I247" s="42"/>
      <c r="J247" s="42"/>
      <c r="K247" s="42"/>
      <c r="L247" s="42"/>
      <c r="M247" s="42"/>
      <c r="N247" s="42"/>
      <c r="O247" s="42"/>
      <c r="P247" s="42"/>
      <c r="Q247" s="42"/>
      <c r="R247" s="42"/>
      <c r="S247" s="42"/>
      <c r="T247" s="45"/>
      <c r="U247" s="45"/>
      <c r="V247" s="45"/>
      <c r="W247" s="45"/>
      <c r="X247" s="45"/>
      <c r="Y247" s="45"/>
      <c r="Z247" s="45"/>
      <c r="AA247" s="45"/>
      <c r="AB247" s="45"/>
      <c r="AC247" s="45"/>
      <c r="AD247" s="45"/>
    </row>
    <row r="248" spans="1:30">
      <c r="A248" s="42">
        <f t="shared" si="0"/>
        <v>247</v>
      </c>
      <c r="B248" s="42"/>
      <c r="C248" s="42" t="s">
        <v>587</v>
      </c>
      <c r="D248" s="42" t="s">
        <v>1392</v>
      </c>
      <c r="E248" s="42"/>
      <c r="F248" s="42" t="s">
        <v>9766</v>
      </c>
      <c r="G248" s="42">
        <v>9640435373</v>
      </c>
      <c r="H248" s="42"/>
      <c r="I248" s="42"/>
      <c r="J248" s="42"/>
      <c r="K248" s="42"/>
      <c r="L248" s="42"/>
      <c r="M248" s="42"/>
      <c r="N248" s="42"/>
      <c r="O248" s="42"/>
      <c r="P248" s="42"/>
      <c r="Q248" s="42"/>
      <c r="R248" s="42"/>
      <c r="S248" s="42"/>
      <c r="T248" s="45"/>
      <c r="U248" s="45"/>
      <c r="V248" s="45"/>
      <c r="W248" s="45"/>
      <c r="X248" s="45"/>
      <c r="Y248" s="45"/>
      <c r="Z248" s="45"/>
      <c r="AA248" s="45"/>
      <c r="AB248" s="45"/>
      <c r="AC248" s="45"/>
      <c r="AD248" s="45"/>
    </row>
    <row r="249" spans="1:30">
      <c r="A249" s="42">
        <f t="shared" si="0"/>
        <v>248</v>
      </c>
      <c r="B249" s="42"/>
      <c r="C249" s="42" t="s">
        <v>633</v>
      </c>
      <c r="D249" s="42" t="s">
        <v>635</v>
      </c>
      <c r="E249" s="42"/>
      <c r="F249" s="42" t="s">
        <v>636</v>
      </c>
      <c r="G249" s="42">
        <v>9849122371</v>
      </c>
      <c r="H249" s="42"/>
      <c r="I249" s="42"/>
      <c r="J249" s="42"/>
      <c r="K249" s="42"/>
      <c r="L249" s="42"/>
      <c r="M249" s="42"/>
      <c r="N249" s="42"/>
      <c r="O249" s="42"/>
      <c r="P249" s="42"/>
      <c r="Q249" s="42"/>
      <c r="R249" s="42"/>
      <c r="S249" s="42"/>
      <c r="T249" s="45"/>
      <c r="U249" s="45"/>
      <c r="V249" s="45"/>
      <c r="W249" s="45"/>
      <c r="X249" s="45"/>
      <c r="Y249" s="45"/>
      <c r="Z249" s="45"/>
      <c r="AA249" s="45"/>
      <c r="AB249" s="45"/>
      <c r="AC249" s="45"/>
      <c r="AD249" s="45"/>
    </row>
    <row r="250" spans="1:30">
      <c r="A250" s="42">
        <f t="shared" si="0"/>
        <v>249</v>
      </c>
      <c r="B250" s="42"/>
      <c r="C250" s="42" t="s">
        <v>633</v>
      </c>
      <c r="D250" s="42" t="s">
        <v>920</v>
      </c>
      <c r="E250" s="42"/>
      <c r="F250" s="42" t="s">
        <v>9767</v>
      </c>
      <c r="G250" s="42">
        <v>9652736673</v>
      </c>
      <c r="H250" s="42"/>
      <c r="I250" s="42"/>
      <c r="J250" s="42"/>
      <c r="K250" s="42"/>
      <c r="L250" s="42"/>
      <c r="M250" s="42"/>
      <c r="N250" s="42"/>
      <c r="O250" s="42"/>
      <c r="P250" s="42"/>
      <c r="Q250" s="42"/>
      <c r="R250" s="42"/>
      <c r="S250" s="42"/>
      <c r="T250" s="45"/>
      <c r="U250" s="45"/>
      <c r="V250" s="45"/>
      <c r="W250" s="45"/>
      <c r="X250" s="45"/>
      <c r="Y250" s="45"/>
      <c r="Z250" s="45"/>
      <c r="AA250" s="45"/>
      <c r="AB250" s="45"/>
      <c r="AC250" s="45"/>
      <c r="AD250" s="45"/>
    </row>
    <row r="251" spans="1:30">
      <c r="A251" s="42">
        <f t="shared" si="0"/>
        <v>250</v>
      </c>
      <c r="B251" s="42"/>
      <c r="C251" s="42" t="s">
        <v>633</v>
      </c>
      <c r="D251" s="42" t="s">
        <v>1396</v>
      </c>
      <c r="E251" s="42"/>
      <c r="F251" s="42" t="s">
        <v>638</v>
      </c>
      <c r="G251" s="42">
        <v>9652438990</v>
      </c>
      <c r="H251" s="42"/>
      <c r="I251" s="42"/>
      <c r="J251" s="42"/>
      <c r="K251" s="42"/>
      <c r="L251" s="42"/>
      <c r="M251" s="42"/>
      <c r="N251" s="42"/>
      <c r="O251" s="42"/>
      <c r="P251" s="42"/>
      <c r="Q251" s="42"/>
      <c r="R251" s="42"/>
      <c r="S251" s="42"/>
      <c r="T251" s="45"/>
      <c r="U251" s="45"/>
      <c r="V251" s="45"/>
      <c r="W251" s="45"/>
      <c r="X251" s="45"/>
      <c r="Y251" s="45"/>
      <c r="Z251" s="45"/>
      <c r="AA251" s="45"/>
      <c r="AB251" s="45"/>
      <c r="AC251" s="45"/>
      <c r="AD251" s="45"/>
    </row>
    <row r="252" spans="1:30">
      <c r="A252" s="42">
        <f t="shared" si="0"/>
        <v>251</v>
      </c>
      <c r="B252" s="42"/>
      <c r="C252" s="42" t="s">
        <v>633</v>
      </c>
      <c r="D252" s="42" t="s">
        <v>640</v>
      </c>
      <c r="E252" s="42"/>
      <c r="F252" s="42" t="s">
        <v>641</v>
      </c>
      <c r="G252" s="42">
        <v>6301104373</v>
      </c>
      <c r="H252" s="42"/>
      <c r="I252" s="42"/>
      <c r="J252" s="42"/>
      <c r="K252" s="42"/>
      <c r="L252" s="42"/>
      <c r="M252" s="42"/>
      <c r="N252" s="42"/>
      <c r="O252" s="42"/>
      <c r="P252" s="42"/>
      <c r="Q252" s="42"/>
      <c r="R252" s="42"/>
      <c r="S252" s="42"/>
      <c r="T252" s="45"/>
      <c r="U252" s="45"/>
      <c r="V252" s="45"/>
      <c r="W252" s="45"/>
      <c r="X252" s="45"/>
      <c r="Y252" s="45"/>
      <c r="Z252" s="45"/>
      <c r="AA252" s="45"/>
      <c r="AB252" s="45"/>
      <c r="AC252" s="45"/>
      <c r="AD252" s="45"/>
    </row>
    <row r="253" spans="1:30">
      <c r="A253" s="42">
        <f t="shared" si="0"/>
        <v>252</v>
      </c>
      <c r="B253" s="42"/>
      <c r="C253" s="42" t="s">
        <v>633</v>
      </c>
      <c r="D253" s="42" t="s">
        <v>643</v>
      </c>
      <c r="E253" s="42"/>
      <c r="F253" s="42" t="s">
        <v>644</v>
      </c>
      <c r="G253" s="42">
        <v>7396787777</v>
      </c>
      <c r="H253" s="42"/>
      <c r="I253" s="42"/>
      <c r="J253" s="42"/>
      <c r="K253" s="42"/>
      <c r="L253" s="42"/>
      <c r="M253" s="42"/>
      <c r="N253" s="42"/>
      <c r="O253" s="42"/>
      <c r="P253" s="42"/>
      <c r="Q253" s="42"/>
      <c r="R253" s="42"/>
      <c r="S253" s="42"/>
      <c r="T253" s="45"/>
      <c r="U253" s="45"/>
      <c r="V253" s="45"/>
      <c r="W253" s="45"/>
      <c r="X253" s="45"/>
      <c r="Y253" s="45"/>
      <c r="Z253" s="45"/>
      <c r="AA253" s="45"/>
      <c r="AB253" s="45"/>
      <c r="AC253" s="45"/>
      <c r="AD253" s="45"/>
    </row>
    <row r="254" spans="1:30">
      <c r="A254" s="42">
        <f t="shared" si="0"/>
        <v>253</v>
      </c>
      <c r="B254" s="42"/>
      <c r="C254" s="42" t="s">
        <v>633</v>
      </c>
      <c r="D254" s="42" t="s">
        <v>1400</v>
      </c>
      <c r="E254" s="42"/>
      <c r="F254" s="42" t="s">
        <v>646</v>
      </c>
      <c r="G254" s="42">
        <v>9652762333</v>
      </c>
      <c r="H254" s="42"/>
      <c r="I254" s="42"/>
      <c r="J254" s="42"/>
      <c r="K254" s="42"/>
      <c r="L254" s="42"/>
      <c r="M254" s="42"/>
      <c r="N254" s="42"/>
      <c r="O254" s="42"/>
      <c r="P254" s="42"/>
      <c r="Q254" s="42"/>
      <c r="R254" s="42"/>
      <c r="S254" s="42"/>
      <c r="T254" s="45"/>
      <c r="U254" s="45"/>
      <c r="V254" s="45"/>
      <c r="W254" s="45"/>
      <c r="X254" s="45"/>
      <c r="Y254" s="45"/>
      <c r="Z254" s="45"/>
      <c r="AA254" s="45"/>
      <c r="AB254" s="45"/>
      <c r="AC254" s="45"/>
      <c r="AD254" s="45"/>
    </row>
    <row r="255" spans="1:30">
      <c r="A255" s="42">
        <f t="shared" si="0"/>
        <v>254</v>
      </c>
      <c r="B255" s="42"/>
      <c r="C255" s="42" t="s">
        <v>633</v>
      </c>
      <c r="D255" s="42" t="s">
        <v>647</v>
      </c>
      <c r="E255" s="42"/>
      <c r="F255" s="42" t="s">
        <v>648</v>
      </c>
      <c r="G255" s="42">
        <v>9848733464</v>
      </c>
      <c r="H255" s="42"/>
      <c r="I255" s="42"/>
      <c r="J255" s="42"/>
      <c r="K255" s="42"/>
      <c r="L255" s="42"/>
      <c r="M255" s="42"/>
      <c r="N255" s="42"/>
      <c r="O255" s="42"/>
      <c r="P255" s="42"/>
      <c r="Q255" s="42"/>
      <c r="R255" s="42"/>
      <c r="S255" s="42"/>
      <c r="T255" s="45"/>
      <c r="U255" s="45"/>
      <c r="V255" s="45"/>
      <c r="W255" s="45"/>
      <c r="X255" s="45"/>
      <c r="Y255" s="45"/>
      <c r="Z255" s="45"/>
      <c r="AA255" s="45"/>
      <c r="AB255" s="45"/>
      <c r="AC255" s="45"/>
      <c r="AD255" s="45"/>
    </row>
    <row r="256" spans="1:30">
      <c r="A256" s="42">
        <f t="shared" si="0"/>
        <v>255</v>
      </c>
      <c r="B256" s="42"/>
      <c r="C256" s="42" t="s">
        <v>633</v>
      </c>
      <c r="D256" s="42" t="s">
        <v>649</v>
      </c>
      <c r="E256" s="42"/>
      <c r="F256" s="42" t="s">
        <v>650</v>
      </c>
      <c r="G256" s="42">
        <v>9290552555</v>
      </c>
      <c r="H256" s="42"/>
      <c r="I256" s="42"/>
      <c r="J256" s="42"/>
      <c r="K256" s="42"/>
      <c r="L256" s="42"/>
      <c r="M256" s="42"/>
      <c r="N256" s="42"/>
      <c r="O256" s="42"/>
      <c r="P256" s="42"/>
      <c r="Q256" s="42"/>
      <c r="R256" s="42"/>
      <c r="S256" s="42"/>
      <c r="T256" s="45"/>
      <c r="U256" s="45"/>
      <c r="V256" s="45"/>
      <c r="W256" s="45"/>
      <c r="X256" s="45"/>
      <c r="Y256" s="45"/>
      <c r="Z256" s="45"/>
      <c r="AA256" s="45"/>
      <c r="AB256" s="45"/>
      <c r="AC256" s="45"/>
      <c r="AD256" s="45"/>
    </row>
    <row r="257" spans="1:30">
      <c r="A257" s="42">
        <f t="shared" ref="A257:A315" si="1">ROW(A256)</f>
        <v>256</v>
      </c>
      <c r="B257" s="42"/>
      <c r="C257" s="42" t="s">
        <v>633</v>
      </c>
      <c r="D257" s="42" t="s">
        <v>1404</v>
      </c>
      <c r="E257" s="42"/>
      <c r="F257" s="42" t="s">
        <v>652</v>
      </c>
      <c r="G257" s="42">
        <v>9908629052</v>
      </c>
      <c r="H257" s="42"/>
      <c r="I257" s="42"/>
      <c r="J257" s="42"/>
      <c r="K257" s="42"/>
      <c r="L257" s="42"/>
      <c r="M257" s="42"/>
      <c r="N257" s="42"/>
      <c r="O257" s="42"/>
      <c r="P257" s="42"/>
      <c r="Q257" s="42"/>
      <c r="R257" s="42"/>
      <c r="S257" s="42"/>
      <c r="T257" s="45"/>
      <c r="U257" s="45"/>
      <c r="V257" s="45"/>
      <c r="W257" s="45"/>
      <c r="X257" s="45"/>
      <c r="Y257" s="45"/>
      <c r="Z257" s="45"/>
      <c r="AA257" s="45"/>
      <c r="AB257" s="45"/>
      <c r="AC257" s="45"/>
      <c r="AD257" s="45"/>
    </row>
    <row r="258" spans="1:30">
      <c r="A258" s="42">
        <f t="shared" si="1"/>
        <v>257</v>
      </c>
      <c r="B258" s="42"/>
      <c r="C258" s="42" t="s">
        <v>633</v>
      </c>
      <c r="D258" s="42" t="s">
        <v>1406</v>
      </c>
      <c r="E258" s="42"/>
      <c r="F258" s="42" t="s">
        <v>642</v>
      </c>
      <c r="G258" s="42">
        <v>8498884501</v>
      </c>
      <c r="H258" s="42"/>
      <c r="I258" s="42"/>
      <c r="J258" s="42"/>
      <c r="K258" s="42"/>
      <c r="L258" s="42"/>
      <c r="M258" s="42"/>
      <c r="N258" s="42"/>
      <c r="O258" s="42"/>
      <c r="P258" s="42"/>
      <c r="Q258" s="42"/>
      <c r="R258" s="42"/>
      <c r="S258" s="42"/>
      <c r="T258" s="45"/>
      <c r="U258" s="45"/>
      <c r="V258" s="45"/>
      <c r="W258" s="45"/>
      <c r="X258" s="45"/>
      <c r="Y258" s="45"/>
      <c r="Z258" s="45"/>
      <c r="AA258" s="45"/>
      <c r="AB258" s="45"/>
      <c r="AC258" s="45"/>
      <c r="AD258" s="45"/>
    </row>
    <row r="259" spans="1:30">
      <c r="A259" s="42">
        <f t="shared" si="1"/>
        <v>258</v>
      </c>
      <c r="B259" s="42"/>
      <c r="C259" s="42" t="s">
        <v>633</v>
      </c>
      <c r="D259" s="42" t="s">
        <v>633</v>
      </c>
      <c r="E259" s="42"/>
      <c r="F259" s="42" t="s">
        <v>653</v>
      </c>
      <c r="G259" s="42">
        <v>9515619761</v>
      </c>
      <c r="H259" s="42"/>
      <c r="I259" s="42"/>
      <c r="J259" s="42"/>
      <c r="K259" s="42"/>
      <c r="L259" s="42"/>
      <c r="M259" s="42"/>
      <c r="N259" s="42"/>
      <c r="O259" s="42"/>
      <c r="P259" s="42"/>
      <c r="Q259" s="42"/>
      <c r="R259" s="42"/>
      <c r="S259" s="42"/>
      <c r="T259" s="45"/>
      <c r="U259" s="45"/>
      <c r="V259" s="45"/>
      <c r="W259" s="45"/>
      <c r="X259" s="45"/>
      <c r="Y259" s="45"/>
      <c r="Z259" s="45"/>
      <c r="AA259" s="45"/>
      <c r="AB259" s="45"/>
      <c r="AC259" s="45"/>
      <c r="AD259" s="45"/>
    </row>
    <row r="260" spans="1:30">
      <c r="A260" s="42">
        <f t="shared" si="1"/>
        <v>259</v>
      </c>
      <c r="B260" s="42"/>
      <c r="C260" s="42" t="s">
        <v>633</v>
      </c>
      <c r="D260" s="42" t="s">
        <v>1409</v>
      </c>
      <c r="E260" s="42"/>
      <c r="F260" s="42" t="s">
        <v>9768</v>
      </c>
      <c r="G260" s="42">
        <v>9989341729</v>
      </c>
      <c r="H260" s="42"/>
      <c r="I260" s="42"/>
      <c r="J260" s="42"/>
      <c r="K260" s="42"/>
      <c r="L260" s="42"/>
      <c r="M260" s="42"/>
      <c r="N260" s="42"/>
      <c r="O260" s="42"/>
      <c r="P260" s="42"/>
      <c r="Q260" s="42"/>
      <c r="R260" s="42"/>
      <c r="S260" s="42"/>
      <c r="T260" s="45"/>
      <c r="U260" s="45"/>
      <c r="V260" s="45"/>
      <c r="W260" s="45"/>
      <c r="X260" s="45"/>
      <c r="Y260" s="45"/>
      <c r="Z260" s="45"/>
      <c r="AA260" s="45"/>
      <c r="AB260" s="45"/>
      <c r="AC260" s="45"/>
      <c r="AD260" s="45"/>
    </row>
    <row r="261" spans="1:30">
      <c r="A261" s="42">
        <f t="shared" si="1"/>
        <v>260</v>
      </c>
      <c r="B261" s="42"/>
      <c r="C261" s="42" t="s">
        <v>633</v>
      </c>
      <c r="D261" s="42" t="s">
        <v>1411</v>
      </c>
      <c r="E261" s="42"/>
      <c r="F261" s="42" t="s">
        <v>656</v>
      </c>
      <c r="G261" s="42">
        <v>9848159571</v>
      </c>
      <c r="H261" s="42"/>
      <c r="I261" s="42"/>
      <c r="J261" s="42"/>
      <c r="K261" s="42"/>
      <c r="L261" s="42"/>
      <c r="M261" s="42"/>
      <c r="N261" s="42"/>
      <c r="O261" s="42"/>
      <c r="P261" s="42"/>
      <c r="Q261" s="42"/>
      <c r="R261" s="42"/>
      <c r="S261" s="42"/>
      <c r="T261" s="45"/>
      <c r="U261" s="45"/>
      <c r="V261" s="45"/>
      <c r="W261" s="45"/>
      <c r="X261" s="45"/>
      <c r="Y261" s="45"/>
      <c r="Z261" s="45"/>
      <c r="AA261" s="45"/>
      <c r="AB261" s="45"/>
      <c r="AC261" s="45"/>
      <c r="AD261" s="45"/>
    </row>
    <row r="262" spans="1:30">
      <c r="A262" s="42">
        <f t="shared" si="1"/>
        <v>261</v>
      </c>
      <c r="B262" s="42"/>
      <c r="C262" s="42" t="s">
        <v>633</v>
      </c>
      <c r="D262" s="42" t="s">
        <v>333</v>
      </c>
      <c r="E262" s="42"/>
      <c r="F262" s="42" t="s">
        <v>657</v>
      </c>
      <c r="G262" s="42">
        <v>8465068899</v>
      </c>
      <c r="H262" s="42"/>
      <c r="I262" s="42"/>
      <c r="J262" s="42"/>
      <c r="K262" s="42"/>
      <c r="L262" s="42"/>
      <c r="M262" s="42"/>
      <c r="N262" s="42"/>
      <c r="O262" s="42"/>
      <c r="P262" s="42"/>
      <c r="Q262" s="42"/>
      <c r="R262" s="42"/>
      <c r="S262" s="42"/>
      <c r="T262" s="45"/>
      <c r="U262" s="45"/>
      <c r="V262" s="45"/>
      <c r="W262" s="45"/>
      <c r="X262" s="45"/>
      <c r="Y262" s="45"/>
      <c r="Z262" s="45"/>
      <c r="AA262" s="45"/>
      <c r="AB262" s="45"/>
      <c r="AC262" s="45"/>
      <c r="AD262" s="45"/>
    </row>
    <row r="263" spans="1:30">
      <c r="A263" s="42">
        <f t="shared" si="1"/>
        <v>262</v>
      </c>
      <c r="B263" s="42"/>
      <c r="C263" s="42" t="s">
        <v>706</v>
      </c>
      <c r="D263" s="42" t="s">
        <v>1414</v>
      </c>
      <c r="E263" s="42"/>
      <c r="F263" s="42" t="s">
        <v>708</v>
      </c>
      <c r="G263" s="42">
        <v>9951444887</v>
      </c>
      <c r="H263" s="42"/>
      <c r="I263" s="42"/>
      <c r="J263" s="42"/>
      <c r="K263" s="42"/>
      <c r="L263" s="42"/>
      <c r="M263" s="42"/>
      <c r="N263" s="42"/>
      <c r="O263" s="42"/>
      <c r="P263" s="42"/>
      <c r="Q263" s="42"/>
      <c r="R263" s="42"/>
      <c r="S263" s="42"/>
      <c r="T263" s="45"/>
      <c r="U263" s="45"/>
      <c r="V263" s="45"/>
      <c r="W263" s="45"/>
      <c r="X263" s="45"/>
      <c r="Y263" s="45"/>
      <c r="Z263" s="45"/>
      <c r="AA263" s="45"/>
      <c r="AB263" s="45"/>
      <c r="AC263" s="45"/>
      <c r="AD263" s="45"/>
    </row>
    <row r="264" spans="1:30">
      <c r="A264" s="42">
        <f t="shared" si="1"/>
        <v>263</v>
      </c>
      <c r="B264" s="42"/>
      <c r="C264" s="42" t="s">
        <v>706</v>
      </c>
      <c r="D264" s="42" t="s">
        <v>1416</v>
      </c>
      <c r="E264" s="42"/>
      <c r="F264" s="42" t="s">
        <v>710</v>
      </c>
      <c r="G264" s="42">
        <v>9848076227</v>
      </c>
      <c r="H264" s="42"/>
      <c r="I264" s="42"/>
      <c r="J264" s="42"/>
      <c r="K264" s="42"/>
      <c r="L264" s="42"/>
      <c r="M264" s="42"/>
      <c r="N264" s="42"/>
      <c r="O264" s="42"/>
      <c r="P264" s="42"/>
      <c r="Q264" s="42"/>
      <c r="R264" s="42"/>
      <c r="S264" s="42"/>
      <c r="T264" s="45"/>
      <c r="U264" s="45"/>
      <c r="V264" s="45"/>
      <c r="W264" s="45"/>
      <c r="X264" s="45"/>
      <c r="Y264" s="45"/>
      <c r="Z264" s="45"/>
      <c r="AA264" s="45"/>
      <c r="AB264" s="45"/>
      <c r="AC264" s="45"/>
      <c r="AD264" s="45"/>
    </row>
    <row r="265" spans="1:30">
      <c r="A265" s="42">
        <f t="shared" si="1"/>
        <v>264</v>
      </c>
      <c r="B265" s="42"/>
      <c r="C265" s="42" t="s">
        <v>706</v>
      </c>
      <c r="D265" s="42" t="s">
        <v>711</v>
      </c>
      <c r="E265" s="42"/>
      <c r="F265" s="42" t="s">
        <v>9769</v>
      </c>
      <c r="G265" s="42">
        <v>9949749884</v>
      </c>
      <c r="H265" s="42"/>
      <c r="I265" s="42"/>
      <c r="J265" s="42"/>
      <c r="K265" s="42"/>
      <c r="L265" s="42"/>
      <c r="M265" s="42"/>
      <c r="N265" s="42"/>
      <c r="O265" s="42"/>
      <c r="P265" s="42"/>
      <c r="Q265" s="42"/>
      <c r="R265" s="42"/>
      <c r="S265" s="42"/>
      <c r="T265" s="45"/>
      <c r="U265" s="45"/>
      <c r="V265" s="45"/>
      <c r="W265" s="45"/>
      <c r="X265" s="45"/>
      <c r="Y265" s="45"/>
      <c r="Z265" s="45"/>
      <c r="AA265" s="45"/>
      <c r="AB265" s="45"/>
      <c r="AC265" s="45"/>
      <c r="AD265" s="45"/>
    </row>
    <row r="266" spans="1:30">
      <c r="A266" s="42">
        <f t="shared" si="1"/>
        <v>265</v>
      </c>
      <c r="B266" s="42"/>
      <c r="C266" s="42" t="s">
        <v>706</v>
      </c>
      <c r="D266" s="42" t="s">
        <v>1425</v>
      </c>
      <c r="E266" s="42"/>
      <c r="F266" s="42" t="s">
        <v>713</v>
      </c>
      <c r="G266" s="42">
        <v>9949430772</v>
      </c>
      <c r="H266" s="42"/>
      <c r="I266" s="42"/>
      <c r="J266" s="42"/>
      <c r="K266" s="42"/>
      <c r="L266" s="42"/>
      <c r="M266" s="42"/>
      <c r="N266" s="42"/>
      <c r="O266" s="42"/>
      <c r="P266" s="42"/>
      <c r="Q266" s="42"/>
      <c r="R266" s="42"/>
      <c r="S266" s="42"/>
      <c r="T266" s="45"/>
      <c r="U266" s="45"/>
      <c r="V266" s="45"/>
      <c r="W266" s="45"/>
      <c r="X266" s="45"/>
      <c r="Y266" s="45"/>
      <c r="Z266" s="45"/>
      <c r="AA266" s="45"/>
      <c r="AB266" s="45"/>
      <c r="AC266" s="45"/>
      <c r="AD266" s="45"/>
    </row>
    <row r="267" spans="1:30">
      <c r="A267" s="42">
        <f t="shared" si="1"/>
        <v>266</v>
      </c>
      <c r="B267" s="42"/>
      <c r="C267" s="42" t="s">
        <v>706</v>
      </c>
      <c r="D267" s="42" t="s">
        <v>1427</v>
      </c>
      <c r="E267" s="42"/>
      <c r="F267" s="42" t="s">
        <v>715</v>
      </c>
      <c r="G267" s="42">
        <v>9492167766</v>
      </c>
      <c r="H267" s="42"/>
      <c r="I267" s="42"/>
      <c r="J267" s="42"/>
      <c r="K267" s="42"/>
      <c r="L267" s="42"/>
      <c r="M267" s="42"/>
      <c r="N267" s="42"/>
      <c r="O267" s="42"/>
      <c r="P267" s="42"/>
      <c r="Q267" s="42"/>
      <c r="R267" s="42"/>
      <c r="S267" s="42"/>
      <c r="T267" s="45"/>
      <c r="U267" s="45"/>
      <c r="V267" s="45"/>
      <c r="W267" s="45"/>
      <c r="X267" s="45"/>
      <c r="Y267" s="45"/>
      <c r="Z267" s="45"/>
      <c r="AA267" s="45"/>
      <c r="AB267" s="45"/>
      <c r="AC267" s="45"/>
      <c r="AD267" s="45"/>
    </row>
    <row r="268" spans="1:30">
      <c r="A268" s="42">
        <f t="shared" si="1"/>
        <v>267</v>
      </c>
      <c r="B268" s="42"/>
      <c r="C268" s="42" t="s">
        <v>706</v>
      </c>
      <c r="D268" s="42" t="s">
        <v>1436</v>
      </c>
      <c r="E268" s="42"/>
      <c r="F268" s="42" t="s">
        <v>717</v>
      </c>
      <c r="G268" s="42">
        <v>9949130899</v>
      </c>
      <c r="H268" s="42"/>
      <c r="I268" s="42"/>
      <c r="J268" s="42"/>
      <c r="K268" s="42"/>
      <c r="L268" s="42"/>
      <c r="M268" s="42"/>
      <c r="N268" s="42"/>
      <c r="O268" s="42"/>
      <c r="P268" s="42"/>
      <c r="Q268" s="42"/>
      <c r="R268" s="42"/>
      <c r="S268" s="42"/>
      <c r="T268" s="45"/>
      <c r="U268" s="45"/>
      <c r="V268" s="45"/>
      <c r="W268" s="45"/>
      <c r="X268" s="45"/>
      <c r="Y268" s="45"/>
      <c r="Z268" s="45"/>
      <c r="AA268" s="45"/>
      <c r="AB268" s="45"/>
      <c r="AC268" s="45"/>
      <c r="AD268" s="45"/>
    </row>
    <row r="269" spans="1:30">
      <c r="A269" s="42">
        <f t="shared" si="1"/>
        <v>268</v>
      </c>
      <c r="B269" s="42"/>
      <c r="C269" s="42" t="s">
        <v>706</v>
      </c>
      <c r="D269" s="42" t="s">
        <v>1444</v>
      </c>
      <c r="E269" s="42"/>
      <c r="F269" s="42" t="s">
        <v>719</v>
      </c>
      <c r="G269" s="42">
        <v>9948455653</v>
      </c>
      <c r="H269" s="42"/>
      <c r="I269" s="42"/>
      <c r="J269" s="42"/>
      <c r="K269" s="42"/>
      <c r="L269" s="42"/>
      <c r="M269" s="42"/>
      <c r="N269" s="42"/>
      <c r="O269" s="42"/>
      <c r="P269" s="42"/>
      <c r="Q269" s="42"/>
      <c r="R269" s="42"/>
      <c r="S269" s="42"/>
      <c r="T269" s="45"/>
      <c r="U269" s="45"/>
      <c r="V269" s="45"/>
      <c r="W269" s="45"/>
      <c r="X269" s="45"/>
      <c r="Y269" s="45"/>
      <c r="Z269" s="45"/>
      <c r="AA269" s="45"/>
      <c r="AB269" s="45"/>
      <c r="AC269" s="45"/>
      <c r="AD269" s="45"/>
    </row>
    <row r="270" spans="1:30">
      <c r="A270" s="42">
        <f t="shared" si="1"/>
        <v>269</v>
      </c>
      <c r="B270" s="42"/>
      <c r="C270" s="42" t="s">
        <v>706</v>
      </c>
      <c r="D270" s="42" t="s">
        <v>1446</v>
      </c>
      <c r="E270" s="42"/>
      <c r="F270" s="42" t="s">
        <v>721</v>
      </c>
      <c r="G270" s="42">
        <v>7730047772</v>
      </c>
      <c r="H270" s="42"/>
      <c r="I270" s="42"/>
      <c r="J270" s="42"/>
      <c r="K270" s="42"/>
      <c r="L270" s="42"/>
      <c r="M270" s="42"/>
      <c r="N270" s="42"/>
      <c r="O270" s="42"/>
      <c r="P270" s="42"/>
      <c r="Q270" s="42"/>
      <c r="R270" s="42"/>
      <c r="S270" s="42"/>
      <c r="T270" s="45"/>
      <c r="U270" s="45"/>
      <c r="V270" s="45"/>
      <c r="W270" s="45"/>
      <c r="X270" s="45"/>
      <c r="Y270" s="45"/>
      <c r="Z270" s="45"/>
      <c r="AA270" s="45"/>
      <c r="AB270" s="45"/>
      <c r="AC270" s="45"/>
      <c r="AD270" s="45"/>
    </row>
    <row r="271" spans="1:30">
      <c r="A271" s="42">
        <f t="shared" si="1"/>
        <v>270</v>
      </c>
      <c r="B271" s="42"/>
      <c r="C271" s="42" t="s">
        <v>706</v>
      </c>
      <c r="D271" s="42" t="s">
        <v>1448</v>
      </c>
      <c r="E271" s="42"/>
      <c r="F271" s="42" t="s">
        <v>723</v>
      </c>
      <c r="G271" s="42">
        <v>9948012127</v>
      </c>
      <c r="H271" s="42"/>
      <c r="I271" s="42"/>
      <c r="J271" s="42"/>
      <c r="K271" s="42"/>
      <c r="L271" s="42"/>
      <c r="M271" s="42"/>
      <c r="N271" s="42"/>
      <c r="O271" s="42"/>
      <c r="P271" s="42"/>
      <c r="Q271" s="42"/>
      <c r="R271" s="42"/>
      <c r="S271" s="42"/>
      <c r="T271" s="45"/>
      <c r="U271" s="45"/>
      <c r="V271" s="45"/>
      <c r="W271" s="45"/>
      <c r="X271" s="45"/>
      <c r="Y271" s="45"/>
      <c r="Z271" s="45"/>
      <c r="AA271" s="45"/>
      <c r="AB271" s="45"/>
      <c r="AC271" s="45"/>
      <c r="AD271" s="45"/>
    </row>
    <row r="272" spans="1:30">
      <c r="A272" s="42">
        <f t="shared" si="1"/>
        <v>271</v>
      </c>
      <c r="B272" s="42"/>
      <c r="C272" s="42" t="s">
        <v>706</v>
      </c>
      <c r="D272" s="42" t="s">
        <v>1453</v>
      </c>
      <c r="E272" s="42"/>
      <c r="F272" s="42" t="s">
        <v>725</v>
      </c>
      <c r="G272" s="42">
        <v>9441746579</v>
      </c>
      <c r="H272" s="42"/>
      <c r="I272" s="42"/>
      <c r="J272" s="42"/>
      <c r="K272" s="42"/>
      <c r="L272" s="42"/>
      <c r="M272" s="42"/>
      <c r="N272" s="42"/>
      <c r="O272" s="42"/>
      <c r="P272" s="42"/>
      <c r="Q272" s="42"/>
      <c r="R272" s="42"/>
      <c r="S272" s="42"/>
      <c r="T272" s="45"/>
      <c r="U272" s="45"/>
      <c r="V272" s="45"/>
      <c r="W272" s="45"/>
      <c r="X272" s="45"/>
      <c r="Y272" s="45"/>
      <c r="Z272" s="45"/>
      <c r="AA272" s="45"/>
      <c r="AB272" s="45"/>
      <c r="AC272" s="45"/>
      <c r="AD272" s="45"/>
    </row>
    <row r="273" spans="1:30">
      <c r="A273" s="42">
        <f t="shared" si="1"/>
        <v>272</v>
      </c>
      <c r="B273" s="42"/>
      <c r="C273" s="42" t="s">
        <v>706</v>
      </c>
      <c r="D273" s="42" t="s">
        <v>1455</v>
      </c>
      <c r="E273" s="42"/>
      <c r="F273" s="42" t="s">
        <v>727</v>
      </c>
      <c r="G273" s="42">
        <v>9866482999</v>
      </c>
      <c r="H273" s="42"/>
      <c r="I273" s="42"/>
      <c r="J273" s="42"/>
      <c r="K273" s="42"/>
      <c r="L273" s="42"/>
      <c r="M273" s="42"/>
      <c r="N273" s="42"/>
      <c r="O273" s="42"/>
      <c r="P273" s="42"/>
      <c r="Q273" s="42"/>
      <c r="R273" s="42"/>
      <c r="S273" s="42"/>
      <c r="T273" s="45"/>
      <c r="U273" s="45"/>
      <c r="V273" s="45"/>
      <c r="W273" s="45"/>
      <c r="X273" s="45"/>
      <c r="Y273" s="45"/>
      <c r="Z273" s="45"/>
      <c r="AA273" s="45"/>
      <c r="AB273" s="45"/>
      <c r="AC273" s="45"/>
      <c r="AD273" s="45"/>
    </row>
    <row r="274" spans="1:30">
      <c r="A274" s="42">
        <f t="shared" si="1"/>
        <v>273</v>
      </c>
      <c r="B274" s="42"/>
      <c r="C274" s="42" t="s">
        <v>706</v>
      </c>
      <c r="D274" s="42" t="s">
        <v>1457</v>
      </c>
      <c r="E274" s="42"/>
      <c r="F274" s="42" t="s">
        <v>6995</v>
      </c>
      <c r="G274" s="42">
        <v>7904527938</v>
      </c>
      <c r="H274" s="42"/>
      <c r="I274" s="42"/>
      <c r="J274" s="42"/>
      <c r="K274" s="42"/>
      <c r="L274" s="42"/>
      <c r="M274" s="42"/>
      <c r="N274" s="42"/>
      <c r="O274" s="42"/>
      <c r="P274" s="42"/>
      <c r="Q274" s="42"/>
      <c r="R274" s="42"/>
      <c r="S274" s="42"/>
      <c r="T274" s="45"/>
      <c r="U274" s="45"/>
      <c r="V274" s="45"/>
      <c r="W274" s="45"/>
      <c r="X274" s="45"/>
      <c r="Y274" s="45"/>
      <c r="Z274" s="45"/>
      <c r="AA274" s="45"/>
      <c r="AB274" s="45"/>
      <c r="AC274" s="45"/>
      <c r="AD274" s="45"/>
    </row>
    <row r="275" spans="1:30">
      <c r="A275" s="42">
        <f t="shared" si="1"/>
        <v>274</v>
      </c>
      <c r="B275" s="42"/>
      <c r="C275" s="42" t="s">
        <v>706</v>
      </c>
      <c r="D275" s="42" t="s">
        <v>1465</v>
      </c>
      <c r="E275" s="42"/>
      <c r="F275" s="42" t="s">
        <v>730</v>
      </c>
      <c r="G275" s="42">
        <v>9492251988</v>
      </c>
      <c r="H275" s="42"/>
      <c r="I275" s="42"/>
      <c r="J275" s="42"/>
      <c r="K275" s="42"/>
      <c r="L275" s="42"/>
      <c r="M275" s="42"/>
      <c r="N275" s="42"/>
      <c r="O275" s="42"/>
      <c r="P275" s="42"/>
      <c r="Q275" s="42"/>
      <c r="R275" s="42"/>
      <c r="S275" s="42"/>
      <c r="T275" s="45"/>
      <c r="U275" s="45"/>
      <c r="V275" s="45"/>
      <c r="W275" s="45"/>
      <c r="X275" s="45"/>
      <c r="Y275" s="45"/>
      <c r="Z275" s="45"/>
      <c r="AA275" s="45"/>
      <c r="AB275" s="45"/>
      <c r="AC275" s="45"/>
      <c r="AD275" s="45"/>
    </row>
    <row r="276" spans="1:30">
      <c r="A276" s="42">
        <f t="shared" si="1"/>
        <v>275</v>
      </c>
      <c r="B276" s="42"/>
      <c r="C276" s="42" t="s">
        <v>706</v>
      </c>
      <c r="D276" s="42" t="s">
        <v>1467</v>
      </c>
      <c r="E276" s="42"/>
      <c r="F276" s="42" t="s">
        <v>732</v>
      </c>
      <c r="G276" s="42">
        <v>9059571118</v>
      </c>
      <c r="H276" s="42"/>
      <c r="I276" s="42"/>
      <c r="J276" s="42"/>
      <c r="K276" s="42"/>
      <c r="L276" s="42"/>
      <c r="M276" s="42"/>
      <c r="N276" s="42"/>
      <c r="O276" s="42"/>
      <c r="P276" s="42"/>
      <c r="Q276" s="42"/>
      <c r="R276" s="42"/>
      <c r="S276" s="42"/>
      <c r="T276" s="45"/>
      <c r="U276" s="45"/>
      <c r="V276" s="45"/>
      <c r="W276" s="45"/>
      <c r="X276" s="45"/>
      <c r="Y276" s="45"/>
      <c r="Z276" s="45"/>
      <c r="AA276" s="45"/>
      <c r="AB276" s="45"/>
      <c r="AC276" s="45"/>
      <c r="AD276" s="45"/>
    </row>
    <row r="277" spans="1:30">
      <c r="A277" s="42">
        <f t="shared" si="1"/>
        <v>276</v>
      </c>
      <c r="B277" s="42"/>
      <c r="C277" s="42" t="s">
        <v>706</v>
      </c>
      <c r="D277" s="42" t="s">
        <v>1471</v>
      </c>
      <c r="E277" s="42"/>
      <c r="F277" s="42" t="s">
        <v>734</v>
      </c>
      <c r="G277" s="42">
        <v>9492950589</v>
      </c>
      <c r="H277" s="42"/>
      <c r="I277" s="42"/>
      <c r="J277" s="42"/>
      <c r="K277" s="42"/>
      <c r="L277" s="42"/>
      <c r="M277" s="42"/>
      <c r="N277" s="42"/>
      <c r="O277" s="42"/>
      <c r="P277" s="42"/>
      <c r="Q277" s="42"/>
      <c r="R277" s="42"/>
      <c r="S277" s="42"/>
      <c r="T277" s="45"/>
      <c r="U277" s="45"/>
      <c r="V277" s="45"/>
      <c r="W277" s="45"/>
      <c r="X277" s="45"/>
      <c r="Y277" s="45"/>
      <c r="Z277" s="45"/>
      <c r="AA277" s="45"/>
      <c r="AB277" s="45"/>
      <c r="AC277" s="45"/>
      <c r="AD277" s="45"/>
    </row>
    <row r="278" spans="1:30">
      <c r="A278" s="42">
        <f t="shared" si="1"/>
        <v>277</v>
      </c>
      <c r="B278" s="42"/>
      <c r="C278" s="42" t="s">
        <v>706</v>
      </c>
      <c r="D278" s="42" t="s">
        <v>1473</v>
      </c>
      <c r="E278" s="42"/>
      <c r="F278" s="42" t="s">
        <v>736</v>
      </c>
      <c r="G278" s="42">
        <v>9848559355</v>
      </c>
      <c r="H278" s="42"/>
      <c r="I278" s="42"/>
      <c r="J278" s="42"/>
      <c r="K278" s="42"/>
      <c r="L278" s="42"/>
      <c r="M278" s="42"/>
      <c r="N278" s="42"/>
      <c r="O278" s="42"/>
      <c r="P278" s="42"/>
      <c r="Q278" s="42"/>
      <c r="R278" s="42"/>
      <c r="S278" s="42"/>
      <c r="T278" s="45"/>
      <c r="U278" s="45"/>
      <c r="V278" s="45"/>
      <c r="W278" s="45"/>
      <c r="X278" s="45"/>
      <c r="Y278" s="45"/>
      <c r="Z278" s="45"/>
      <c r="AA278" s="45"/>
      <c r="AB278" s="45"/>
      <c r="AC278" s="45"/>
      <c r="AD278" s="45"/>
    </row>
    <row r="279" spans="1:30">
      <c r="A279" s="42">
        <f t="shared" si="1"/>
        <v>278</v>
      </c>
      <c r="B279" s="42"/>
      <c r="C279" s="42" t="s">
        <v>706</v>
      </c>
      <c r="D279" s="42" t="s">
        <v>1475</v>
      </c>
      <c r="E279" s="42"/>
      <c r="F279" s="42" t="s">
        <v>738</v>
      </c>
      <c r="G279" s="42">
        <v>9505099364</v>
      </c>
      <c r="H279" s="42"/>
      <c r="I279" s="42"/>
      <c r="J279" s="42"/>
      <c r="K279" s="42"/>
      <c r="L279" s="42"/>
      <c r="M279" s="42"/>
      <c r="N279" s="42"/>
      <c r="O279" s="42"/>
      <c r="P279" s="42"/>
      <c r="Q279" s="42"/>
      <c r="R279" s="42"/>
      <c r="S279" s="42"/>
      <c r="T279" s="45"/>
      <c r="U279" s="45"/>
      <c r="V279" s="45"/>
      <c r="W279" s="45"/>
      <c r="X279" s="45"/>
      <c r="Y279" s="45"/>
      <c r="Z279" s="45"/>
      <c r="AA279" s="45"/>
      <c r="AB279" s="45"/>
      <c r="AC279" s="45"/>
      <c r="AD279" s="45"/>
    </row>
    <row r="280" spans="1:30">
      <c r="A280" s="42">
        <f t="shared" si="1"/>
        <v>279</v>
      </c>
      <c r="B280" s="42"/>
      <c r="C280" s="42" t="s">
        <v>706</v>
      </c>
      <c r="D280" s="42" t="s">
        <v>1477</v>
      </c>
      <c r="E280" s="42"/>
      <c r="F280" s="42" t="s">
        <v>740</v>
      </c>
      <c r="G280" s="42">
        <v>6309163301</v>
      </c>
      <c r="H280" s="42"/>
      <c r="I280" s="42"/>
      <c r="J280" s="42"/>
      <c r="K280" s="42"/>
      <c r="L280" s="42"/>
      <c r="M280" s="42"/>
      <c r="N280" s="42"/>
      <c r="O280" s="42"/>
      <c r="P280" s="42"/>
      <c r="Q280" s="42"/>
      <c r="R280" s="42"/>
      <c r="S280" s="42"/>
      <c r="T280" s="45"/>
      <c r="U280" s="45"/>
      <c r="V280" s="45"/>
      <c r="W280" s="45"/>
      <c r="X280" s="45"/>
      <c r="Y280" s="45"/>
      <c r="Z280" s="45"/>
      <c r="AA280" s="45"/>
      <c r="AB280" s="45"/>
      <c r="AC280" s="45"/>
      <c r="AD280" s="45"/>
    </row>
    <row r="281" spans="1:30">
      <c r="A281" s="42">
        <f t="shared" si="1"/>
        <v>280</v>
      </c>
      <c r="B281" s="42"/>
      <c r="C281" s="42" t="s">
        <v>706</v>
      </c>
      <c r="D281" s="42" t="s">
        <v>706</v>
      </c>
      <c r="E281" s="42"/>
      <c r="F281" s="42" t="s">
        <v>741</v>
      </c>
      <c r="G281" s="42">
        <v>9603273331</v>
      </c>
      <c r="H281" s="42"/>
      <c r="I281" s="42"/>
      <c r="J281" s="42"/>
      <c r="K281" s="42"/>
      <c r="L281" s="42"/>
      <c r="M281" s="42"/>
      <c r="N281" s="42"/>
      <c r="O281" s="42"/>
      <c r="P281" s="42"/>
      <c r="Q281" s="42"/>
      <c r="R281" s="42"/>
      <c r="S281" s="42"/>
      <c r="T281" s="45"/>
      <c r="U281" s="45"/>
      <c r="V281" s="45"/>
      <c r="W281" s="45"/>
      <c r="X281" s="45"/>
      <c r="Y281" s="45"/>
      <c r="Z281" s="45"/>
      <c r="AA281" s="45"/>
      <c r="AB281" s="45"/>
      <c r="AC281" s="45"/>
      <c r="AD281" s="45"/>
    </row>
    <row r="282" spans="1:30">
      <c r="A282" s="42">
        <f t="shared" si="1"/>
        <v>281</v>
      </c>
      <c r="B282" s="42"/>
      <c r="C282" s="42" t="s">
        <v>706</v>
      </c>
      <c r="D282" s="42" t="s">
        <v>1480</v>
      </c>
      <c r="E282" s="42"/>
      <c r="F282" s="42" t="s">
        <v>743</v>
      </c>
      <c r="G282" s="42">
        <v>9490214531</v>
      </c>
      <c r="H282" s="42"/>
      <c r="I282" s="42"/>
      <c r="J282" s="42"/>
      <c r="K282" s="42"/>
      <c r="L282" s="42"/>
      <c r="M282" s="42"/>
      <c r="N282" s="42"/>
      <c r="O282" s="42"/>
      <c r="P282" s="42"/>
      <c r="Q282" s="42"/>
      <c r="R282" s="42"/>
      <c r="S282" s="42"/>
      <c r="T282" s="45"/>
      <c r="U282" s="45"/>
      <c r="V282" s="45"/>
      <c r="W282" s="45"/>
      <c r="X282" s="45"/>
      <c r="Y282" s="45"/>
      <c r="Z282" s="45"/>
      <c r="AA282" s="45"/>
      <c r="AB282" s="45"/>
      <c r="AC282" s="45"/>
      <c r="AD282" s="45"/>
    </row>
    <row r="283" spans="1:30">
      <c r="A283" s="42">
        <f t="shared" si="1"/>
        <v>282</v>
      </c>
      <c r="B283" s="42"/>
      <c r="C283" s="42" t="s">
        <v>706</v>
      </c>
      <c r="D283" s="42" t="s">
        <v>1489</v>
      </c>
      <c r="E283" s="42"/>
      <c r="F283" s="42" t="s">
        <v>9770</v>
      </c>
      <c r="G283" s="42">
        <v>7702973215</v>
      </c>
      <c r="H283" s="42"/>
      <c r="I283" s="42"/>
      <c r="J283" s="42"/>
      <c r="K283" s="42"/>
      <c r="L283" s="42"/>
      <c r="M283" s="42"/>
      <c r="N283" s="42"/>
      <c r="O283" s="42"/>
      <c r="P283" s="42"/>
      <c r="Q283" s="42"/>
      <c r="R283" s="42"/>
      <c r="S283" s="42"/>
      <c r="T283" s="45"/>
      <c r="U283" s="45"/>
      <c r="V283" s="45"/>
      <c r="W283" s="45"/>
      <c r="X283" s="45"/>
      <c r="Y283" s="45"/>
      <c r="Z283" s="45"/>
      <c r="AA283" s="45"/>
      <c r="AB283" s="45"/>
      <c r="AC283" s="45"/>
      <c r="AD283" s="45"/>
    </row>
    <row r="284" spans="1:30">
      <c r="A284" s="42">
        <f t="shared" si="1"/>
        <v>283</v>
      </c>
      <c r="B284" s="42"/>
      <c r="C284" s="42" t="s">
        <v>706</v>
      </c>
      <c r="D284" s="42" t="s">
        <v>1497</v>
      </c>
      <c r="E284" s="42"/>
      <c r="F284" s="42" t="s">
        <v>747</v>
      </c>
      <c r="G284" s="42">
        <v>8464924511</v>
      </c>
      <c r="H284" s="42"/>
      <c r="I284" s="42"/>
      <c r="J284" s="42"/>
      <c r="K284" s="42"/>
      <c r="L284" s="42"/>
      <c r="M284" s="42"/>
      <c r="N284" s="42"/>
      <c r="O284" s="42"/>
      <c r="P284" s="42"/>
      <c r="Q284" s="42"/>
      <c r="R284" s="42"/>
      <c r="S284" s="42"/>
      <c r="T284" s="45"/>
      <c r="U284" s="45"/>
      <c r="V284" s="45"/>
      <c r="W284" s="45"/>
      <c r="X284" s="45"/>
      <c r="Y284" s="45"/>
      <c r="Z284" s="45"/>
      <c r="AA284" s="45"/>
      <c r="AB284" s="45"/>
      <c r="AC284" s="45"/>
      <c r="AD284" s="45"/>
    </row>
    <row r="285" spans="1:30">
      <c r="A285" s="42">
        <f t="shared" si="1"/>
        <v>284</v>
      </c>
      <c r="B285" s="42"/>
      <c r="C285" s="42" t="s">
        <v>7</v>
      </c>
      <c r="D285" s="42" t="s">
        <v>1505</v>
      </c>
      <c r="E285" s="42"/>
      <c r="F285" s="42" t="s">
        <v>9771</v>
      </c>
      <c r="G285" s="42">
        <v>9908854433</v>
      </c>
      <c r="H285" s="42"/>
      <c r="I285" s="42"/>
      <c r="J285" s="42"/>
      <c r="K285" s="42"/>
      <c r="L285" s="42"/>
      <c r="M285" s="42"/>
      <c r="N285" s="42"/>
      <c r="O285" s="42"/>
      <c r="P285" s="42"/>
      <c r="Q285" s="42"/>
      <c r="R285" s="42"/>
      <c r="S285" s="42"/>
      <c r="T285" s="45"/>
      <c r="U285" s="45"/>
      <c r="V285" s="45"/>
      <c r="W285" s="45"/>
      <c r="X285" s="45"/>
      <c r="Y285" s="45"/>
      <c r="Z285" s="45"/>
      <c r="AA285" s="45"/>
      <c r="AB285" s="45"/>
      <c r="AC285" s="45"/>
      <c r="AD285" s="45"/>
    </row>
    <row r="286" spans="1:30">
      <c r="A286" s="42">
        <f t="shared" si="1"/>
        <v>285</v>
      </c>
      <c r="B286" s="42"/>
      <c r="C286" s="42" t="s">
        <v>7</v>
      </c>
      <c r="D286" s="42" t="s">
        <v>1507</v>
      </c>
      <c r="E286" s="42"/>
      <c r="F286" s="42" t="s">
        <v>750</v>
      </c>
      <c r="G286" s="42">
        <v>9542923727</v>
      </c>
      <c r="H286" s="42"/>
      <c r="I286" s="42"/>
      <c r="J286" s="42"/>
      <c r="K286" s="42"/>
      <c r="L286" s="42"/>
      <c r="M286" s="42"/>
      <c r="N286" s="42"/>
      <c r="O286" s="42"/>
      <c r="P286" s="42"/>
      <c r="Q286" s="42"/>
      <c r="R286" s="42"/>
      <c r="S286" s="42"/>
      <c r="T286" s="45"/>
      <c r="U286" s="45"/>
      <c r="V286" s="45"/>
      <c r="W286" s="45"/>
      <c r="X286" s="45"/>
      <c r="Y286" s="45"/>
      <c r="Z286" s="45"/>
      <c r="AA286" s="45"/>
      <c r="AB286" s="45"/>
      <c r="AC286" s="45"/>
      <c r="AD286" s="45"/>
    </row>
    <row r="287" spans="1:30">
      <c r="A287" s="42">
        <f t="shared" si="1"/>
        <v>286</v>
      </c>
      <c r="B287" s="42"/>
      <c r="C287" s="42" t="s">
        <v>7</v>
      </c>
      <c r="D287" s="42" t="s">
        <v>751</v>
      </c>
      <c r="E287" s="42"/>
      <c r="F287" s="42" t="s">
        <v>9772</v>
      </c>
      <c r="G287" s="42">
        <v>9614144333</v>
      </c>
      <c r="H287" s="42"/>
      <c r="I287" s="42"/>
      <c r="J287" s="42"/>
      <c r="K287" s="42"/>
      <c r="L287" s="42"/>
      <c r="M287" s="42"/>
      <c r="N287" s="42"/>
      <c r="O287" s="42"/>
      <c r="P287" s="42"/>
      <c r="Q287" s="42"/>
      <c r="R287" s="42"/>
      <c r="S287" s="42"/>
      <c r="T287" s="45"/>
      <c r="U287" s="45"/>
      <c r="V287" s="45"/>
      <c r="W287" s="45"/>
      <c r="X287" s="45"/>
      <c r="Y287" s="45"/>
      <c r="Z287" s="45"/>
      <c r="AA287" s="45"/>
      <c r="AB287" s="45"/>
      <c r="AC287" s="45"/>
      <c r="AD287" s="45"/>
    </row>
    <row r="288" spans="1:30">
      <c r="A288" s="42">
        <f t="shared" si="1"/>
        <v>287</v>
      </c>
      <c r="B288" s="42"/>
      <c r="C288" s="42" t="s">
        <v>7</v>
      </c>
      <c r="D288" s="42" t="s">
        <v>753</v>
      </c>
      <c r="E288" s="42"/>
      <c r="F288" s="42" t="s">
        <v>754</v>
      </c>
      <c r="G288" s="42">
        <v>9603774778</v>
      </c>
      <c r="H288" s="42"/>
      <c r="I288" s="42"/>
      <c r="J288" s="42"/>
      <c r="K288" s="42"/>
      <c r="L288" s="42"/>
      <c r="M288" s="42"/>
      <c r="N288" s="42"/>
      <c r="O288" s="42"/>
      <c r="P288" s="42"/>
      <c r="Q288" s="42"/>
      <c r="R288" s="42"/>
      <c r="S288" s="42"/>
      <c r="T288" s="45"/>
      <c r="U288" s="45"/>
      <c r="V288" s="45"/>
      <c r="W288" s="45"/>
      <c r="X288" s="45"/>
      <c r="Y288" s="45"/>
      <c r="Z288" s="45"/>
      <c r="AA288" s="45"/>
      <c r="AB288" s="45"/>
      <c r="AC288" s="45"/>
      <c r="AD288" s="45"/>
    </row>
    <row r="289" spans="1:30">
      <c r="A289" s="42">
        <f t="shared" si="1"/>
        <v>288</v>
      </c>
      <c r="B289" s="42"/>
      <c r="C289" s="42" t="s">
        <v>7</v>
      </c>
      <c r="D289" s="42" t="s">
        <v>755</v>
      </c>
      <c r="E289" s="42"/>
      <c r="F289" s="42" t="s">
        <v>756</v>
      </c>
      <c r="G289" s="42">
        <v>9491442482</v>
      </c>
      <c r="H289" s="42"/>
      <c r="I289" s="42"/>
      <c r="J289" s="42"/>
      <c r="K289" s="42"/>
      <c r="L289" s="42"/>
      <c r="M289" s="42"/>
      <c r="N289" s="42"/>
      <c r="O289" s="42"/>
      <c r="P289" s="42"/>
      <c r="Q289" s="42"/>
      <c r="R289" s="42"/>
      <c r="S289" s="42"/>
      <c r="T289" s="45"/>
      <c r="U289" s="45"/>
      <c r="V289" s="45"/>
      <c r="W289" s="45"/>
      <c r="X289" s="45"/>
      <c r="Y289" s="45"/>
      <c r="Z289" s="45"/>
      <c r="AA289" s="45"/>
      <c r="AB289" s="45"/>
      <c r="AC289" s="45"/>
      <c r="AD289" s="45"/>
    </row>
    <row r="290" spans="1:30">
      <c r="A290" s="42">
        <f t="shared" si="1"/>
        <v>289</v>
      </c>
      <c r="B290" s="42"/>
      <c r="C290" s="42" t="s">
        <v>7</v>
      </c>
      <c r="D290" s="42" t="s">
        <v>1512</v>
      </c>
      <c r="E290" s="42"/>
      <c r="F290" s="42" t="s">
        <v>759</v>
      </c>
      <c r="G290" s="42">
        <v>9618291278</v>
      </c>
      <c r="H290" s="42"/>
      <c r="I290" s="42"/>
      <c r="J290" s="42"/>
      <c r="K290" s="42"/>
      <c r="L290" s="42"/>
      <c r="M290" s="42"/>
      <c r="N290" s="42"/>
      <c r="O290" s="42"/>
      <c r="P290" s="42"/>
      <c r="Q290" s="42"/>
      <c r="R290" s="42"/>
      <c r="S290" s="42"/>
      <c r="T290" s="45"/>
      <c r="U290" s="45"/>
      <c r="V290" s="45"/>
      <c r="W290" s="45"/>
      <c r="X290" s="45"/>
      <c r="Y290" s="45"/>
      <c r="Z290" s="45"/>
      <c r="AA290" s="45"/>
      <c r="AB290" s="45"/>
      <c r="AC290" s="45"/>
      <c r="AD290" s="45"/>
    </row>
    <row r="291" spans="1:30">
      <c r="A291" s="42">
        <f t="shared" si="1"/>
        <v>290</v>
      </c>
      <c r="B291" s="42"/>
      <c r="C291" s="42" t="s">
        <v>7</v>
      </c>
      <c r="D291" s="42" t="s">
        <v>760</v>
      </c>
      <c r="E291" s="42"/>
      <c r="F291" s="42" t="s">
        <v>9773</v>
      </c>
      <c r="G291" s="42">
        <v>9502004587</v>
      </c>
      <c r="H291" s="42"/>
      <c r="I291" s="42"/>
      <c r="J291" s="42"/>
      <c r="K291" s="42"/>
      <c r="L291" s="42"/>
      <c r="M291" s="42"/>
      <c r="N291" s="42"/>
      <c r="O291" s="42"/>
      <c r="P291" s="42"/>
      <c r="Q291" s="42"/>
      <c r="R291" s="42"/>
      <c r="S291" s="42"/>
      <c r="T291" s="45"/>
      <c r="U291" s="45"/>
      <c r="V291" s="45"/>
      <c r="W291" s="45"/>
      <c r="X291" s="45"/>
      <c r="Y291" s="45"/>
      <c r="Z291" s="45"/>
      <c r="AA291" s="45"/>
      <c r="AB291" s="45"/>
      <c r="AC291" s="45"/>
      <c r="AD291" s="45"/>
    </row>
    <row r="292" spans="1:30">
      <c r="A292" s="42">
        <f t="shared" si="1"/>
        <v>291</v>
      </c>
      <c r="B292" s="42"/>
      <c r="C292" s="42" t="s">
        <v>7</v>
      </c>
      <c r="D292" s="42" t="s">
        <v>761</v>
      </c>
      <c r="E292" s="42"/>
      <c r="F292" s="42" t="s">
        <v>762</v>
      </c>
      <c r="G292" s="42">
        <v>9849263061</v>
      </c>
      <c r="H292" s="42"/>
      <c r="I292" s="42"/>
      <c r="J292" s="42"/>
      <c r="K292" s="42"/>
      <c r="L292" s="42"/>
      <c r="M292" s="42"/>
      <c r="N292" s="42"/>
      <c r="O292" s="42"/>
      <c r="P292" s="42"/>
      <c r="Q292" s="42"/>
      <c r="R292" s="42"/>
      <c r="S292" s="42"/>
      <c r="T292" s="45"/>
      <c r="U292" s="45"/>
      <c r="V292" s="45"/>
      <c r="W292" s="45"/>
      <c r="X292" s="45"/>
      <c r="Y292" s="45"/>
      <c r="Z292" s="45"/>
      <c r="AA292" s="45"/>
      <c r="AB292" s="45"/>
      <c r="AC292" s="45"/>
      <c r="AD292" s="45"/>
    </row>
    <row r="293" spans="1:30">
      <c r="A293" s="42">
        <f t="shared" si="1"/>
        <v>292</v>
      </c>
      <c r="B293" s="42"/>
      <c r="C293" s="42" t="s">
        <v>7</v>
      </c>
      <c r="D293" s="42" t="s">
        <v>1516</v>
      </c>
      <c r="E293" s="42"/>
      <c r="F293" s="42" t="s">
        <v>764</v>
      </c>
      <c r="G293" s="42">
        <v>9966713840</v>
      </c>
      <c r="H293" s="42"/>
      <c r="I293" s="42"/>
      <c r="J293" s="42"/>
      <c r="K293" s="42"/>
      <c r="L293" s="42"/>
      <c r="M293" s="42"/>
      <c r="N293" s="42"/>
      <c r="O293" s="42"/>
      <c r="P293" s="42"/>
      <c r="Q293" s="42"/>
      <c r="R293" s="42"/>
      <c r="S293" s="42"/>
      <c r="T293" s="45"/>
      <c r="U293" s="45"/>
      <c r="V293" s="45"/>
      <c r="W293" s="45"/>
      <c r="X293" s="45"/>
      <c r="Y293" s="45"/>
      <c r="Z293" s="45"/>
      <c r="AA293" s="45"/>
      <c r="AB293" s="45"/>
      <c r="AC293" s="45"/>
      <c r="AD293" s="45"/>
    </row>
    <row r="294" spans="1:30">
      <c r="A294" s="42">
        <f t="shared" si="1"/>
        <v>293</v>
      </c>
      <c r="B294" s="42"/>
      <c r="C294" s="42" t="s">
        <v>7</v>
      </c>
      <c r="D294" s="42" t="s">
        <v>1518</v>
      </c>
      <c r="E294" s="42"/>
      <c r="F294" s="42" t="s">
        <v>766</v>
      </c>
      <c r="G294" s="42">
        <v>9441225719</v>
      </c>
      <c r="H294" s="42"/>
      <c r="I294" s="42"/>
      <c r="J294" s="42"/>
      <c r="K294" s="42"/>
      <c r="L294" s="42"/>
      <c r="M294" s="42"/>
      <c r="N294" s="42"/>
      <c r="O294" s="42"/>
      <c r="P294" s="42"/>
      <c r="Q294" s="42"/>
      <c r="R294" s="42"/>
      <c r="S294" s="42"/>
      <c r="T294" s="45"/>
      <c r="U294" s="45"/>
      <c r="V294" s="45"/>
      <c r="W294" s="45"/>
      <c r="X294" s="45"/>
      <c r="Y294" s="45"/>
      <c r="Z294" s="45"/>
      <c r="AA294" s="45"/>
      <c r="AB294" s="45"/>
      <c r="AC294" s="45"/>
      <c r="AD294" s="45"/>
    </row>
    <row r="295" spans="1:30">
      <c r="A295" s="42">
        <f t="shared" si="1"/>
        <v>294</v>
      </c>
      <c r="B295" s="42"/>
      <c r="C295" s="42" t="s">
        <v>7</v>
      </c>
      <c r="D295" s="42" t="s">
        <v>1371</v>
      </c>
      <c r="E295" s="42"/>
      <c r="F295" s="42" t="s">
        <v>9774</v>
      </c>
      <c r="G295" s="42">
        <v>9849994454</v>
      </c>
      <c r="H295" s="42"/>
      <c r="I295" s="42"/>
      <c r="J295" s="42"/>
      <c r="K295" s="42"/>
      <c r="L295" s="42"/>
      <c r="M295" s="42"/>
      <c r="N295" s="42"/>
      <c r="O295" s="42"/>
      <c r="P295" s="42"/>
      <c r="Q295" s="42"/>
      <c r="R295" s="42"/>
      <c r="S295" s="42"/>
      <c r="T295" s="45"/>
      <c r="U295" s="45"/>
      <c r="V295" s="45"/>
      <c r="W295" s="45"/>
      <c r="X295" s="45"/>
      <c r="Y295" s="45"/>
      <c r="Z295" s="45"/>
      <c r="AA295" s="45"/>
      <c r="AB295" s="45"/>
      <c r="AC295" s="45"/>
      <c r="AD295" s="45"/>
    </row>
    <row r="296" spans="1:30">
      <c r="A296" s="42">
        <f t="shared" si="1"/>
        <v>295</v>
      </c>
      <c r="B296" s="42"/>
      <c r="C296" s="42" t="s">
        <v>7</v>
      </c>
      <c r="D296" s="42" t="s">
        <v>1521</v>
      </c>
      <c r="E296" s="42"/>
      <c r="F296" s="42" t="s">
        <v>3450</v>
      </c>
      <c r="G296" s="42">
        <v>9949356372</v>
      </c>
      <c r="H296" s="42"/>
      <c r="I296" s="42"/>
      <c r="J296" s="42"/>
      <c r="K296" s="42"/>
      <c r="L296" s="42"/>
      <c r="M296" s="42"/>
      <c r="N296" s="42"/>
      <c r="O296" s="42"/>
      <c r="P296" s="42"/>
      <c r="Q296" s="42"/>
      <c r="R296" s="42"/>
      <c r="S296" s="42"/>
      <c r="T296" s="45"/>
      <c r="U296" s="45"/>
      <c r="V296" s="45"/>
      <c r="W296" s="45"/>
      <c r="X296" s="45"/>
      <c r="Y296" s="45"/>
      <c r="Z296" s="45"/>
      <c r="AA296" s="45"/>
      <c r="AB296" s="45"/>
      <c r="AC296" s="45"/>
      <c r="AD296" s="45"/>
    </row>
    <row r="297" spans="1:30">
      <c r="A297" s="42">
        <f t="shared" si="1"/>
        <v>296</v>
      </c>
      <c r="B297" s="42"/>
      <c r="C297" s="42" t="s">
        <v>7</v>
      </c>
      <c r="D297" s="42" t="s">
        <v>1523</v>
      </c>
      <c r="E297" s="42"/>
      <c r="F297" s="42" t="s">
        <v>772</v>
      </c>
      <c r="G297" s="42">
        <v>9440576326</v>
      </c>
      <c r="H297" s="42"/>
      <c r="I297" s="42"/>
      <c r="J297" s="42"/>
      <c r="K297" s="42"/>
      <c r="L297" s="42"/>
      <c r="M297" s="42"/>
      <c r="N297" s="42"/>
      <c r="O297" s="42"/>
      <c r="P297" s="42"/>
      <c r="Q297" s="42"/>
      <c r="R297" s="42"/>
      <c r="S297" s="42"/>
      <c r="T297" s="45"/>
      <c r="U297" s="45"/>
      <c r="V297" s="45"/>
      <c r="W297" s="45"/>
      <c r="X297" s="45"/>
      <c r="Y297" s="45"/>
      <c r="Z297" s="45"/>
      <c r="AA297" s="45"/>
      <c r="AB297" s="45"/>
      <c r="AC297" s="45"/>
      <c r="AD297" s="45"/>
    </row>
    <row r="298" spans="1:30">
      <c r="A298" s="42">
        <f t="shared" si="1"/>
        <v>297</v>
      </c>
      <c r="B298" s="42"/>
      <c r="C298" s="42" t="s">
        <v>7</v>
      </c>
      <c r="D298" s="42" t="s">
        <v>1525</v>
      </c>
      <c r="E298" s="42"/>
      <c r="F298" s="42" t="s">
        <v>9775</v>
      </c>
      <c r="G298" s="42">
        <v>8500811055</v>
      </c>
      <c r="H298" s="42"/>
      <c r="I298" s="42"/>
      <c r="J298" s="42"/>
      <c r="K298" s="42"/>
      <c r="L298" s="42"/>
      <c r="M298" s="42"/>
      <c r="N298" s="42"/>
      <c r="O298" s="42"/>
      <c r="P298" s="42"/>
      <c r="Q298" s="42"/>
      <c r="R298" s="42"/>
      <c r="S298" s="42"/>
      <c r="T298" s="45"/>
      <c r="U298" s="45"/>
      <c r="V298" s="45"/>
      <c r="W298" s="45"/>
      <c r="X298" s="45"/>
      <c r="Y298" s="45"/>
      <c r="Z298" s="45"/>
      <c r="AA298" s="45"/>
      <c r="AB298" s="45"/>
      <c r="AC298" s="45"/>
      <c r="AD298" s="45"/>
    </row>
    <row r="299" spans="1:30">
      <c r="A299" s="42">
        <f t="shared" si="1"/>
        <v>298</v>
      </c>
      <c r="B299" s="42"/>
      <c r="C299" s="42" t="s">
        <v>7</v>
      </c>
      <c r="D299" s="42" t="s">
        <v>774</v>
      </c>
      <c r="E299" s="42"/>
      <c r="F299" s="42" t="s">
        <v>775</v>
      </c>
      <c r="G299" s="42">
        <v>9490741661</v>
      </c>
      <c r="H299" s="42"/>
      <c r="I299" s="42"/>
      <c r="J299" s="42"/>
      <c r="K299" s="42"/>
      <c r="L299" s="42"/>
      <c r="M299" s="42"/>
      <c r="N299" s="42"/>
      <c r="O299" s="42"/>
      <c r="P299" s="42"/>
      <c r="Q299" s="42"/>
      <c r="R299" s="42"/>
      <c r="S299" s="42"/>
      <c r="T299" s="45"/>
      <c r="U299" s="45"/>
      <c r="V299" s="45"/>
      <c r="W299" s="45"/>
      <c r="X299" s="45"/>
      <c r="Y299" s="45"/>
      <c r="Z299" s="45"/>
      <c r="AA299" s="45"/>
      <c r="AB299" s="45"/>
      <c r="AC299" s="45"/>
      <c r="AD299" s="45"/>
    </row>
    <row r="300" spans="1:30">
      <c r="A300" s="42">
        <f t="shared" si="1"/>
        <v>299</v>
      </c>
      <c r="B300" s="42"/>
      <c r="C300" s="42" t="s">
        <v>7</v>
      </c>
      <c r="D300" s="42" t="s">
        <v>1528</v>
      </c>
      <c r="E300" s="42"/>
      <c r="F300" s="42" t="s">
        <v>780</v>
      </c>
      <c r="G300" s="42">
        <v>9849981456</v>
      </c>
      <c r="H300" s="42"/>
      <c r="I300" s="42"/>
      <c r="J300" s="42"/>
      <c r="K300" s="42"/>
      <c r="L300" s="42"/>
      <c r="M300" s="42"/>
      <c r="N300" s="42"/>
      <c r="O300" s="42"/>
      <c r="P300" s="42"/>
      <c r="Q300" s="42"/>
      <c r="R300" s="42"/>
      <c r="S300" s="42"/>
      <c r="T300" s="45"/>
      <c r="U300" s="45"/>
      <c r="V300" s="45"/>
      <c r="W300" s="45"/>
      <c r="X300" s="45"/>
      <c r="Y300" s="45"/>
      <c r="Z300" s="45"/>
      <c r="AA300" s="45"/>
      <c r="AB300" s="45"/>
      <c r="AC300" s="45"/>
      <c r="AD300" s="45"/>
    </row>
    <row r="301" spans="1:30">
      <c r="A301" s="42">
        <f t="shared" si="1"/>
        <v>300</v>
      </c>
      <c r="B301" s="42"/>
      <c r="C301" s="42" t="s">
        <v>7</v>
      </c>
      <c r="D301" s="42" t="s">
        <v>1530</v>
      </c>
      <c r="E301" s="42"/>
      <c r="F301" s="42" t="s">
        <v>782</v>
      </c>
      <c r="G301" s="42">
        <v>9440693725</v>
      </c>
      <c r="H301" s="42"/>
      <c r="I301" s="42"/>
      <c r="J301" s="42"/>
      <c r="K301" s="42"/>
      <c r="L301" s="42"/>
      <c r="M301" s="42"/>
      <c r="N301" s="42"/>
      <c r="O301" s="42"/>
      <c r="P301" s="42"/>
      <c r="Q301" s="42"/>
      <c r="R301" s="42"/>
      <c r="S301" s="42"/>
      <c r="T301" s="45"/>
      <c r="U301" s="45"/>
      <c r="V301" s="45"/>
      <c r="W301" s="45"/>
      <c r="X301" s="45"/>
      <c r="Y301" s="45"/>
      <c r="Z301" s="45"/>
      <c r="AA301" s="45"/>
      <c r="AB301" s="45"/>
      <c r="AC301" s="45"/>
      <c r="AD301" s="45"/>
    </row>
    <row r="302" spans="1:30">
      <c r="A302" s="42">
        <f t="shared" si="1"/>
        <v>301</v>
      </c>
      <c r="B302" s="42"/>
      <c r="C302" s="42" t="s">
        <v>7</v>
      </c>
      <c r="D302" s="42" t="s">
        <v>1532</v>
      </c>
      <c r="E302" s="42"/>
      <c r="F302" s="42" t="s">
        <v>783</v>
      </c>
      <c r="G302" s="42">
        <v>9652717165</v>
      </c>
      <c r="H302" s="42"/>
      <c r="I302" s="42"/>
      <c r="J302" s="42"/>
      <c r="K302" s="42"/>
      <c r="L302" s="42"/>
      <c r="M302" s="42"/>
      <c r="N302" s="42"/>
      <c r="O302" s="42"/>
      <c r="P302" s="42"/>
      <c r="Q302" s="42"/>
      <c r="R302" s="42"/>
      <c r="S302" s="42"/>
      <c r="T302" s="45"/>
      <c r="U302" s="45"/>
      <c r="V302" s="45"/>
      <c r="W302" s="45"/>
      <c r="X302" s="45"/>
      <c r="Y302" s="45"/>
      <c r="Z302" s="45"/>
      <c r="AA302" s="45"/>
      <c r="AB302" s="45"/>
      <c r="AC302" s="45"/>
      <c r="AD302" s="45"/>
    </row>
    <row r="303" spans="1:30">
      <c r="A303" s="42">
        <f t="shared" si="1"/>
        <v>302</v>
      </c>
      <c r="B303" s="42"/>
      <c r="C303" s="42" t="s">
        <v>7</v>
      </c>
      <c r="D303" s="42" t="s">
        <v>1352</v>
      </c>
      <c r="E303" s="42"/>
      <c r="F303" s="42" t="s">
        <v>784</v>
      </c>
      <c r="G303" s="42">
        <v>9121569932</v>
      </c>
      <c r="H303" s="42"/>
      <c r="I303" s="42"/>
      <c r="J303" s="42"/>
      <c r="K303" s="42"/>
      <c r="L303" s="42"/>
      <c r="M303" s="42"/>
      <c r="N303" s="42"/>
      <c r="O303" s="42"/>
      <c r="P303" s="42"/>
      <c r="Q303" s="42"/>
      <c r="R303" s="42"/>
      <c r="S303" s="42"/>
      <c r="T303" s="45"/>
      <c r="U303" s="45"/>
      <c r="V303" s="45"/>
      <c r="W303" s="45"/>
      <c r="X303" s="45"/>
      <c r="Y303" s="45"/>
      <c r="Z303" s="45"/>
      <c r="AA303" s="45"/>
      <c r="AB303" s="45"/>
      <c r="AC303" s="45"/>
      <c r="AD303" s="45"/>
    </row>
    <row r="304" spans="1:30">
      <c r="A304" s="42">
        <f t="shared" si="1"/>
        <v>303</v>
      </c>
      <c r="B304" s="42"/>
      <c r="C304" s="42" t="s">
        <v>658</v>
      </c>
      <c r="D304" s="42" t="s">
        <v>1535</v>
      </c>
      <c r="E304" s="42"/>
      <c r="F304" s="42" t="s">
        <v>9776</v>
      </c>
      <c r="G304" s="42">
        <v>6305338287</v>
      </c>
      <c r="H304" s="42"/>
      <c r="I304" s="42"/>
      <c r="J304" s="42"/>
      <c r="K304" s="42"/>
      <c r="L304" s="42"/>
      <c r="M304" s="42"/>
      <c r="N304" s="42"/>
      <c r="O304" s="42"/>
      <c r="P304" s="42"/>
      <c r="Q304" s="42"/>
      <c r="R304" s="42"/>
      <c r="S304" s="42"/>
      <c r="T304" s="45"/>
      <c r="U304" s="45"/>
      <c r="V304" s="45"/>
      <c r="W304" s="45"/>
      <c r="X304" s="45"/>
      <c r="Y304" s="45"/>
      <c r="Z304" s="45"/>
      <c r="AA304" s="45"/>
      <c r="AB304" s="45"/>
      <c r="AC304" s="45"/>
      <c r="AD304" s="45"/>
    </row>
    <row r="305" spans="1:30">
      <c r="A305" s="42">
        <f t="shared" si="1"/>
        <v>304</v>
      </c>
      <c r="B305" s="42"/>
      <c r="C305" s="42" t="s">
        <v>658</v>
      </c>
      <c r="D305" s="42" t="s">
        <v>1537</v>
      </c>
      <c r="E305" s="42"/>
      <c r="F305" s="42" t="s">
        <v>9777</v>
      </c>
      <c r="G305" s="42">
        <v>6301515169</v>
      </c>
      <c r="H305" s="42"/>
      <c r="I305" s="42"/>
      <c r="J305" s="42"/>
      <c r="K305" s="42"/>
      <c r="L305" s="42"/>
      <c r="M305" s="42"/>
      <c r="N305" s="42"/>
      <c r="O305" s="42"/>
      <c r="P305" s="42"/>
      <c r="Q305" s="42"/>
      <c r="R305" s="42"/>
      <c r="S305" s="42"/>
      <c r="T305" s="45"/>
      <c r="U305" s="45"/>
      <c r="V305" s="45"/>
      <c r="W305" s="45"/>
      <c r="X305" s="45"/>
      <c r="Y305" s="45"/>
      <c r="Z305" s="45"/>
      <c r="AA305" s="45"/>
      <c r="AB305" s="45"/>
      <c r="AC305" s="45"/>
      <c r="AD305" s="45"/>
    </row>
    <row r="306" spans="1:30">
      <c r="A306" s="42">
        <f t="shared" si="1"/>
        <v>305</v>
      </c>
      <c r="B306" s="42"/>
      <c r="C306" s="42" t="s">
        <v>658</v>
      </c>
      <c r="D306" s="42" t="s">
        <v>1539</v>
      </c>
      <c r="E306" s="42"/>
      <c r="F306" s="42" t="s">
        <v>9778</v>
      </c>
      <c r="G306" s="42">
        <v>9951367949</v>
      </c>
      <c r="H306" s="42"/>
      <c r="I306" s="42"/>
      <c r="J306" s="42"/>
      <c r="K306" s="42"/>
      <c r="L306" s="42"/>
      <c r="M306" s="42"/>
      <c r="N306" s="42"/>
      <c r="O306" s="42"/>
      <c r="P306" s="42"/>
      <c r="Q306" s="42"/>
      <c r="R306" s="42"/>
      <c r="S306" s="42"/>
      <c r="T306" s="45"/>
      <c r="U306" s="45"/>
      <c r="V306" s="45"/>
      <c r="W306" s="45"/>
      <c r="X306" s="45"/>
      <c r="Y306" s="45"/>
      <c r="Z306" s="45"/>
      <c r="AA306" s="45"/>
      <c r="AB306" s="45"/>
      <c r="AC306" s="45"/>
      <c r="AD306" s="45"/>
    </row>
    <row r="307" spans="1:30">
      <c r="A307" s="42">
        <f t="shared" si="1"/>
        <v>306</v>
      </c>
      <c r="B307" s="42"/>
      <c r="C307" s="42" t="s">
        <v>658</v>
      </c>
      <c r="D307" s="42" t="s">
        <v>1541</v>
      </c>
      <c r="E307" s="42"/>
      <c r="F307" s="42" t="s">
        <v>9779</v>
      </c>
      <c r="G307" s="42">
        <v>6301845584</v>
      </c>
      <c r="H307" s="42"/>
      <c r="I307" s="42"/>
      <c r="J307" s="42"/>
      <c r="K307" s="42"/>
      <c r="L307" s="42"/>
      <c r="M307" s="42"/>
      <c r="N307" s="42"/>
      <c r="O307" s="42"/>
      <c r="P307" s="42"/>
      <c r="Q307" s="42"/>
      <c r="R307" s="42"/>
      <c r="S307" s="42"/>
      <c r="T307" s="45"/>
      <c r="U307" s="45"/>
      <c r="V307" s="45"/>
      <c r="W307" s="45"/>
      <c r="X307" s="45"/>
      <c r="Y307" s="45"/>
      <c r="Z307" s="45"/>
      <c r="AA307" s="45"/>
      <c r="AB307" s="45"/>
      <c r="AC307" s="45"/>
      <c r="AD307" s="45"/>
    </row>
    <row r="308" spans="1:30">
      <c r="A308" s="42">
        <f t="shared" si="1"/>
        <v>307</v>
      </c>
      <c r="B308" s="42"/>
      <c r="C308" s="42" t="s">
        <v>658</v>
      </c>
      <c r="D308" s="42" t="s">
        <v>663</v>
      </c>
      <c r="E308" s="42"/>
      <c r="F308" s="42" t="s">
        <v>9780</v>
      </c>
      <c r="G308" s="42">
        <v>9094828888</v>
      </c>
      <c r="H308" s="42"/>
      <c r="I308" s="42"/>
      <c r="J308" s="42"/>
      <c r="K308" s="42"/>
      <c r="L308" s="42"/>
      <c r="M308" s="42"/>
      <c r="N308" s="42"/>
      <c r="O308" s="42"/>
      <c r="P308" s="42"/>
      <c r="Q308" s="42"/>
      <c r="R308" s="42"/>
      <c r="S308" s="42"/>
      <c r="T308" s="45"/>
      <c r="U308" s="45"/>
      <c r="V308" s="45"/>
      <c r="W308" s="45"/>
      <c r="X308" s="45"/>
      <c r="Y308" s="45"/>
      <c r="Z308" s="45"/>
      <c r="AA308" s="45"/>
      <c r="AB308" s="45"/>
      <c r="AC308" s="45"/>
      <c r="AD308" s="45"/>
    </row>
    <row r="309" spans="1:30">
      <c r="A309" s="42">
        <f t="shared" si="1"/>
        <v>308</v>
      </c>
      <c r="B309" s="42"/>
      <c r="C309" s="42" t="s">
        <v>658</v>
      </c>
      <c r="D309" s="42" t="s">
        <v>664</v>
      </c>
      <c r="E309" s="42"/>
      <c r="F309" s="42" t="s">
        <v>9781</v>
      </c>
      <c r="G309" s="42">
        <v>9491017807</v>
      </c>
      <c r="H309" s="42"/>
      <c r="I309" s="42"/>
      <c r="J309" s="42"/>
      <c r="K309" s="42"/>
      <c r="L309" s="42"/>
      <c r="M309" s="42"/>
      <c r="N309" s="42"/>
      <c r="O309" s="42"/>
      <c r="P309" s="42"/>
      <c r="Q309" s="42"/>
      <c r="R309" s="42"/>
      <c r="S309" s="42"/>
      <c r="T309" s="45"/>
      <c r="U309" s="45"/>
      <c r="V309" s="45"/>
      <c r="W309" s="45"/>
      <c r="X309" s="45"/>
      <c r="Y309" s="45"/>
      <c r="Z309" s="45"/>
      <c r="AA309" s="45"/>
      <c r="AB309" s="45"/>
      <c r="AC309" s="45"/>
      <c r="AD309" s="45"/>
    </row>
    <row r="310" spans="1:30">
      <c r="A310" s="42">
        <f t="shared" si="1"/>
        <v>309</v>
      </c>
      <c r="B310" s="42"/>
      <c r="C310" s="42" t="s">
        <v>658</v>
      </c>
      <c r="D310" s="42" t="s">
        <v>1545</v>
      </c>
      <c r="E310" s="42"/>
      <c r="F310" s="42" t="s">
        <v>9782</v>
      </c>
      <c r="G310" s="42">
        <v>9849549157</v>
      </c>
      <c r="H310" s="42"/>
      <c r="I310" s="42"/>
      <c r="J310" s="42"/>
      <c r="K310" s="42"/>
      <c r="L310" s="42"/>
      <c r="M310" s="42"/>
      <c r="N310" s="42"/>
      <c r="O310" s="42"/>
      <c r="P310" s="42"/>
      <c r="Q310" s="42"/>
      <c r="R310" s="42"/>
      <c r="S310" s="42"/>
      <c r="T310" s="45"/>
      <c r="U310" s="45"/>
      <c r="V310" s="45"/>
      <c r="W310" s="45"/>
      <c r="X310" s="45"/>
      <c r="Y310" s="45"/>
      <c r="Z310" s="45"/>
      <c r="AA310" s="45"/>
      <c r="AB310" s="45"/>
      <c r="AC310" s="45"/>
      <c r="AD310" s="45"/>
    </row>
    <row r="311" spans="1:30">
      <c r="A311" s="42">
        <f t="shared" si="1"/>
        <v>310</v>
      </c>
      <c r="B311" s="42"/>
      <c r="C311" s="42" t="s">
        <v>658</v>
      </c>
      <c r="D311" s="42" t="s">
        <v>667</v>
      </c>
      <c r="E311" s="42"/>
      <c r="F311" s="42" t="s">
        <v>9783</v>
      </c>
      <c r="G311" s="42">
        <v>8790185221</v>
      </c>
      <c r="H311" s="42"/>
      <c r="I311" s="42"/>
      <c r="J311" s="42"/>
      <c r="K311" s="42"/>
      <c r="L311" s="42"/>
      <c r="M311" s="42"/>
      <c r="N311" s="42"/>
      <c r="O311" s="42"/>
      <c r="P311" s="42"/>
      <c r="Q311" s="42"/>
      <c r="R311" s="42"/>
      <c r="S311" s="42"/>
      <c r="T311" s="45"/>
      <c r="U311" s="45"/>
      <c r="V311" s="45"/>
      <c r="W311" s="45"/>
      <c r="X311" s="45"/>
      <c r="Y311" s="45"/>
      <c r="Z311" s="45"/>
      <c r="AA311" s="45"/>
      <c r="AB311" s="45"/>
      <c r="AC311" s="45"/>
      <c r="AD311" s="45"/>
    </row>
    <row r="312" spans="1:30">
      <c r="A312" s="42">
        <f t="shared" si="1"/>
        <v>311</v>
      </c>
      <c r="B312" s="42"/>
      <c r="C312" s="42" t="s">
        <v>658</v>
      </c>
      <c r="D312" s="42" t="s">
        <v>280</v>
      </c>
      <c r="E312" s="42"/>
      <c r="F312" s="42" t="s">
        <v>9784</v>
      </c>
      <c r="G312" s="42">
        <v>9394848876</v>
      </c>
      <c r="H312" s="42"/>
      <c r="I312" s="42"/>
      <c r="J312" s="42"/>
      <c r="K312" s="42"/>
      <c r="L312" s="42"/>
      <c r="M312" s="42"/>
      <c r="N312" s="42"/>
      <c r="O312" s="42"/>
      <c r="P312" s="42"/>
      <c r="Q312" s="42"/>
      <c r="R312" s="42"/>
      <c r="S312" s="42"/>
      <c r="T312" s="45"/>
      <c r="U312" s="45"/>
      <c r="V312" s="45"/>
      <c r="W312" s="45"/>
      <c r="X312" s="45"/>
      <c r="Y312" s="45"/>
      <c r="Z312" s="45"/>
      <c r="AA312" s="45"/>
      <c r="AB312" s="45"/>
      <c r="AC312" s="45"/>
      <c r="AD312" s="45"/>
    </row>
    <row r="313" spans="1:30">
      <c r="A313" s="42">
        <f t="shared" si="1"/>
        <v>312</v>
      </c>
      <c r="B313" s="42"/>
      <c r="C313" s="42" t="s">
        <v>658</v>
      </c>
      <c r="D313" s="42" t="s">
        <v>325</v>
      </c>
      <c r="E313" s="42"/>
      <c r="F313" s="42" t="s">
        <v>9785</v>
      </c>
      <c r="G313" s="42">
        <v>7673985556</v>
      </c>
      <c r="H313" s="42"/>
      <c r="I313" s="42"/>
      <c r="J313" s="42"/>
      <c r="K313" s="42"/>
      <c r="L313" s="42"/>
      <c r="M313" s="42"/>
      <c r="N313" s="42"/>
      <c r="O313" s="42"/>
      <c r="P313" s="42"/>
      <c r="Q313" s="42"/>
      <c r="R313" s="42"/>
      <c r="S313" s="42"/>
      <c r="T313" s="45"/>
      <c r="U313" s="45"/>
      <c r="V313" s="45"/>
      <c r="W313" s="45"/>
      <c r="X313" s="45"/>
      <c r="Y313" s="45"/>
      <c r="Z313" s="45"/>
      <c r="AA313" s="45"/>
      <c r="AB313" s="45"/>
      <c r="AC313" s="45"/>
      <c r="AD313" s="45"/>
    </row>
    <row r="314" spans="1:30">
      <c r="A314" s="42">
        <f t="shared" si="1"/>
        <v>313</v>
      </c>
      <c r="B314" s="42"/>
      <c r="C314" s="42" t="s">
        <v>658</v>
      </c>
      <c r="D314" s="42" t="s">
        <v>1550</v>
      </c>
      <c r="E314" s="42"/>
      <c r="F314" s="42" t="s">
        <v>9786</v>
      </c>
      <c r="G314" s="42">
        <v>9849877118</v>
      </c>
      <c r="H314" s="42"/>
      <c r="I314" s="42"/>
      <c r="J314" s="42"/>
      <c r="K314" s="42"/>
      <c r="L314" s="42"/>
      <c r="M314" s="42"/>
      <c r="N314" s="42"/>
      <c r="O314" s="42"/>
      <c r="P314" s="42"/>
      <c r="Q314" s="42"/>
      <c r="R314" s="42"/>
      <c r="S314" s="42"/>
      <c r="T314" s="45"/>
      <c r="U314" s="45"/>
      <c r="V314" s="45"/>
      <c r="W314" s="45"/>
      <c r="X314" s="45"/>
      <c r="Y314" s="45"/>
      <c r="Z314" s="45"/>
      <c r="AA314" s="45"/>
      <c r="AB314" s="45"/>
      <c r="AC314" s="45"/>
      <c r="AD314" s="45"/>
    </row>
    <row r="315" spans="1:30">
      <c r="A315" s="42">
        <f t="shared" si="1"/>
        <v>314</v>
      </c>
      <c r="B315" s="42"/>
      <c r="C315" s="42" t="s">
        <v>658</v>
      </c>
      <c r="D315" s="42" t="s">
        <v>670</v>
      </c>
      <c r="E315" s="42"/>
      <c r="F315" s="42" t="s">
        <v>9787</v>
      </c>
      <c r="G315" s="42">
        <v>7396443757</v>
      </c>
      <c r="H315" s="42"/>
      <c r="I315" s="42"/>
      <c r="J315" s="42"/>
      <c r="K315" s="42"/>
      <c r="L315" s="42"/>
      <c r="M315" s="42"/>
      <c r="N315" s="42"/>
      <c r="O315" s="42"/>
      <c r="P315" s="42"/>
      <c r="Q315" s="42"/>
      <c r="R315" s="42"/>
      <c r="S315" s="42"/>
      <c r="T315" s="45"/>
      <c r="U315" s="45"/>
      <c r="V315" s="45"/>
      <c r="W315" s="45"/>
      <c r="X315" s="45"/>
      <c r="Y315" s="45"/>
      <c r="Z315" s="45"/>
      <c r="AA315" s="45"/>
      <c r="AB315" s="45"/>
      <c r="AC315" s="45"/>
      <c r="AD315" s="45"/>
    </row>
    <row r="316" spans="1:30">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row>
    <row r="317" spans="1:30">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row>
    <row r="318" spans="1:30">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row>
    <row r="319" spans="1:30">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row>
    <row r="320" spans="1:3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row>
    <row r="321" spans="1:30">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row>
    <row r="322" spans="1:30">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row>
    <row r="323" spans="1:30">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row>
    <row r="324" spans="1:30">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row>
    <row r="325" spans="1:30">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row>
    <row r="326" spans="1:30">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row>
    <row r="327" spans="1:30">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row>
    <row r="328" spans="1:30">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row>
    <row r="329" spans="1:30">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row>
    <row r="330" spans="1: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row>
    <row r="331" spans="1:30">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row>
    <row r="332" spans="1:30">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row>
    <row r="333" spans="1:30">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row>
    <row r="334" spans="1:30">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row>
    <row r="335" spans="1:30">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row>
    <row r="336" spans="1:30">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row>
    <row r="337" spans="1:30">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row>
    <row r="338" spans="1:30">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row>
    <row r="339" spans="1:30">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row>
    <row r="340" spans="1:3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row>
    <row r="341" spans="1:30">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row>
    <row r="342" spans="1:30">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row>
    <row r="343" spans="1:30">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row>
    <row r="344" spans="1:30">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row>
    <row r="345" spans="1:30">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row>
    <row r="346" spans="1:30">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row>
    <row r="347" spans="1:30">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row>
    <row r="348" spans="1:30">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row>
    <row r="349" spans="1:30">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row>
    <row r="350" spans="1:3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row>
    <row r="351" spans="1:30">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row>
    <row r="352" spans="1:30">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row>
    <row r="353" spans="1:30">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row>
    <row r="354" spans="1:30">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row>
    <row r="355" spans="1:30">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row>
    <row r="356" spans="1:30">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row>
    <row r="357" spans="1:30">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row>
    <row r="358" spans="1:30">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row>
    <row r="359" spans="1:30">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row>
    <row r="360" spans="1:3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row>
    <row r="361" spans="1:30">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row>
    <row r="362" spans="1:30">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row>
    <row r="363" spans="1:30">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row>
    <row r="364" spans="1:30">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row>
    <row r="365" spans="1:30">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row>
    <row r="366" spans="1:30">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row>
    <row r="367" spans="1:30">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row>
    <row r="368" spans="1:30">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row>
    <row r="369" spans="1:30">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row>
    <row r="370" spans="1:3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row>
    <row r="371" spans="1:30">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row>
    <row r="372" spans="1:30">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row>
    <row r="373" spans="1:30">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row>
    <row r="374" spans="1:30">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row>
    <row r="375" spans="1:30">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row>
    <row r="376" spans="1:30">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row>
    <row r="377" spans="1:30">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row>
    <row r="378" spans="1:30">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row>
    <row r="379" spans="1:30">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row>
    <row r="380" spans="1:3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row>
    <row r="381" spans="1:30">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row>
    <row r="382" spans="1:30">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row>
    <row r="383" spans="1:30">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row>
    <row r="384" spans="1:30">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row>
    <row r="385" spans="1:30">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row>
    <row r="386" spans="1:30">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row>
    <row r="387" spans="1:30">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row>
    <row r="388" spans="1:30">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row>
    <row r="389" spans="1:30">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row>
    <row r="390" spans="1:3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row>
    <row r="391" spans="1:30">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row>
    <row r="392" spans="1:30">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row>
    <row r="393" spans="1:30">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row>
    <row r="394" spans="1:30">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row>
    <row r="395" spans="1:30">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row>
    <row r="396" spans="1:30">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row>
    <row r="397" spans="1:30">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row>
    <row r="398" spans="1:30">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row>
    <row r="399" spans="1:30">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row>
    <row r="400" spans="1:3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row>
    <row r="401" spans="1:30">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row>
    <row r="402" spans="1:30">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row>
    <row r="403" spans="1:30">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row>
    <row r="404" spans="1:30">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row>
    <row r="405" spans="1:30">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row>
    <row r="406" spans="1:30">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row>
    <row r="407" spans="1:30">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row>
    <row r="408" spans="1:30">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row>
    <row r="409" spans="1:30">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row>
    <row r="410" spans="1:3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row>
    <row r="411" spans="1:30">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row>
    <row r="412" spans="1:30">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row>
    <row r="413" spans="1:30">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row>
    <row r="414" spans="1:30">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row>
    <row r="415" spans="1:30">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row>
    <row r="416" spans="1:30">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row>
    <row r="417" spans="1:30">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row>
    <row r="418" spans="1:30">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row>
    <row r="419" spans="1:30">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row>
    <row r="420" spans="1:3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row>
    <row r="421" spans="1:30">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row>
    <row r="422" spans="1:30">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row>
    <row r="423" spans="1:30">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row>
    <row r="424" spans="1:30">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row>
    <row r="425" spans="1:30">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row>
    <row r="426" spans="1:30">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row>
    <row r="427" spans="1:30">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row>
    <row r="428" spans="1:30">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row>
    <row r="429" spans="1:30">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row>
    <row r="430" spans="1: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row>
    <row r="431" spans="1:30">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row>
    <row r="432" spans="1:30">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row>
    <row r="433" spans="1:30">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row>
    <row r="434" spans="1:30">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row>
    <row r="435" spans="1:30">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row>
    <row r="436" spans="1:30">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row>
    <row r="437" spans="1:30">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row>
    <row r="438" spans="1:30">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row>
    <row r="439" spans="1:30">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row>
    <row r="440" spans="1:3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row>
    <row r="441" spans="1:30">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row>
    <row r="442" spans="1:30">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row>
    <row r="443" spans="1:30">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row>
    <row r="444" spans="1:30">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row>
    <row r="445" spans="1:30">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row>
    <row r="446" spans="1:30">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row>
    <row r="447" spans="1:30">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row>
    <row r="448" spans="1:30">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row>
    <row r="449" spans="1:30">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row>
    <row r="450" spans="1:3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row>
    <row r="451" spans="1:30">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row>
    <row r="452" spans="1:30">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row>
    <row r="453" spans="1:30">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row>
    <row r="454" spans="1:30">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row>
    <row r="455" spans="1:30">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row>
    <row r="456" spans="1:30">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row>
    <row r="457" spans="1:30">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row>
    <row r="458" spans="1:30">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row>
    <row r="459" spans="1:30">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row>
    <row r="460" spans="1:3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row>
    <row r="461" spans="1:30">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row>
    <row r="462" spans="1:30">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row>
    <row r="463" spans="1:30">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row>
    <row r="464" spans="1:30">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row>
    <row r="465" spans="1:30">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row>
    <row r="466" spans="1:30">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row>
    <row r="467" spans="1:30">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row>
    <row r="468" spans="1:30">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row>
    <row r="469" spans="1:30">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row>
    <row r="470" spans="1:3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row>
    <row r="471" spans="1:30">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row>
    <row r="472" spans="1:30">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row>
    <row r="473" spans="1:30">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row>
    <row r="474" spans="1:30">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row>
    <row r="475" spans="1:30">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row>
    <row r="476" spans="1:30">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row>
    <row r="477" spans="1:30">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row>
    <row r="478" spans="1:30">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row>
    <row r="479" spans="1:30">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row>
    <row r="480" spans="1:3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row>
    <row r="481" spans="1:30">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row>
    <row r="482" spans="1:30">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row>
    <row r="483" spans="1:30">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row>
    <row r="484" spans="1:30">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row>
    <row r="485" spans="1:30">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row>
    <row r="486" spans="1:30">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row>
    <row r="487" spans="1:30">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row>
    <row r="488" spans="1:30">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row>
    <row r="489" spans="1:30">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row>
    <row r="490" spans="1:3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row>
    <row r="491" spans="1:30">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row>
    <row r="492" spans="1:30">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row>
    <row r="493" spans="1:30">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row>
    <row r="494" spans="1:30">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row>
    <row r="495" spans="1:30">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row>
    <row r="496" spans="1:30">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row>
    <row r="497" spans="1:30">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row>
    <row r="498" spans="1:30">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row>
    <row r="499" spans="1:30">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row>
    <row r="500" spans="1:3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row>
    <row r="501" spans="1:30">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row>
    <row r="502" spans="1:30">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row>
    <row r="503" spans="1:30">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row>
    <row r="504" spans="1:30">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row>
    <row r="505" spans="1:30">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row>
    <row r="506" spans="1:30">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row>
    <row r="507" spans="1:30">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row>
    <row r="508" spans="1:30">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row>
    <row r="509" spans="1:30">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row>
    <row r="510" spans="1:3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row>
    <row r="511" spans="1:30">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row>
    <row r="512" spans="1:30">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row>
    <row r="513" spans="1:30">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row>
    <row r="514" spans="1:30">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row>
    <row r="515" spans="1:30">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row>
    <row r="516" spans="1:30">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row>
    <row r="517" spans="1:30">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row>
    <row r="518" spans="1:30">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row>
    <row r="519" spans="1:30">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row>
    <row r="520" spans="1:3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row>
    <row r="521" spans="1:30">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row>
    <row r="522" spans="1:30">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row>
    <row r="523" spans="1:30">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row>
    <row r="524" spans="1:30">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row>
    <row r="525" spans="1:30">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row>
    <row r="526" spans="1:30">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row>
    <row r="527" spans="1:30">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row>
    <row r="528" spans="1:30">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row>
    <row r="529" spans="1:30">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row>
    <row r="530" spans="1: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row>
    <row r="531" spans="1:30">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row>
    <row r="532" spans="1:30">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row>
    <row r="533" spans="1:30">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row>
    <row r="534" spans="1:30">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row>
    <row r="535" spans="1:30">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row>
    <row r="536" spans="1:30">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row>
    <row r="537" spans="1:30">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row>
    <row r="538" spans="1:30">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row>
    <row r="539" spans="1:30">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row>
    <row r="540" spans="1:3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row>
    <row r="541" spans="1:30">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row>
    <row r="542" spans="1:30">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row>
    <row r="543" spans="1:30">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row>
    <row r="544" spans="1:30">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row>
    <row r="545" spans="1:30">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row>
    <row r="546" spans="1:30">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row>
    <row r="547" spans="1:30">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row>
    <row r="548" spans="1:30">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row>
    <row r="549" spans="1:30">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row>
    <row r="550" spans="1:3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row>
    <row r="551" spans="1:30">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row>
    <row r="552" spans="1:30">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row>
    <row r="553" spans="1:30">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row>
    <row r="554" spans="1:30">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row>
    <row r="555" spans="1:30">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row>
    <row r="556" spans="1:30">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row>
    <row r="557" spans="1:30">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row>
    <row r="558" spans="1:30">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row>
    <row r="559" spans="1:30">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row>
    <row r="560" spans="1:3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row>
    <row r="561" spans="1:30">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row>
    <row r="562" spans="1:30">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row>
    <row r="563" spans="1:30">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row>
    <row r="564" spans="1:30">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row>
    <row r="565" spans="1:30">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row>
    <row r="566" spans="1:30">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row>
    <row r="567" spans="1:30">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row>
    <row r="568" spans="1:30">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row>
    <row r="569" spans="1:30">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row>
    <row r="570" spans="1:3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row>
    <row r="571" spans="1:30">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row>
    <row r="572" spans="1:30">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row>
    <row r="573" spans="1:30">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row>
    <row r="574" spans="1:30">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row>
    <row r="575" spans="1:30">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row>
    <row r="576" spans="1:30">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row>
    <row r="577" spans="1:30">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row>
    <row r="578" spans="1:30">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row>
    <row r="579" spans="1:30">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row>
    <row r="580" spans="1:3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row>
    <row r="581" spans="1:30">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row>
    <row r="582" spans="1:30">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row>
    <row r="583" spans="1:30">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row>
    <row r="584" spans="1:30">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row>
    <row r="585" spans="1:30">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row>
    <row r="586" spans="1:30">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row>
    <row r="587" spans="1:30">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row>
    <row r="588" spans="1:30">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row>
    <row r="589" spans="1:30">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row>
    <row r="590" spans="1:3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row>
    <row r="591" spans="1:30">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row>
    <row r="592" spans="1:30">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row>
    <row r="593" spans="1:30">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row>
    <row r="594" spans="1:30">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row>
    <row r="595" spans="1:30">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row>
    <row r="596" spans="1:30">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row>
    <row r="597" spans="1:30">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row>
    <row r="598" spans="1:30">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row>
    <row r="599" spans="1:30">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row>
    <row r="600" spans="1:3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row>
    <row r="601" spans="1:30">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row>
    <row r="602" spans="1:30">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row>
    <row r="603" spans="1:30">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row>
    <row r="604" spans="1:30">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row>
    <row r="605" spans="1:30">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row>
    <row r="606" spans="1:30">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row>
    <row r="607" spans="1:30">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row>
    <row r="608" spans="1:30">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row>
    <row r="609" spans="1:30">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row>
    <row r="610" spans="1:3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row>
    <row r="611" spans="1:30">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row>
    <row r="612" spans="1:30">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row>
    <row r="613" spans="1:30">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row>
    <row r="614" spans="1:30">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row>
    <row r="615" spans="1:30">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row>
    <row r="616" spans="1:30">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row>
    <row r="617" spans="1:30">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row>
    <row r="618" spans="1:30">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row>
    <row r="619" spans="1:30">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row>
    <row r="620" spans="1:3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row>
    <row r="621" spans="1:30">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row>
    <row r="622" spans="1:30">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row>
    <row r="623" spans="1:30">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row>
    <row r="624" spans="1:30">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row>
    <row r="625" spans="1:30">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row>
    <row r="626" spans="1:30">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row>
    <row r="627" spans="1:30">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row>
    <row r="628" spans="1:30">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row>
    <row r="629" spans="1:30">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row>
    <row r="630" spans="1: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row>
    <row r="631" spans="1:30">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row>
    <row r="632" spans="1:30">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row>
    <row r="633" spans="1:30">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row>
    <row r="634" spans="1:30">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row>
    <row r="635" spans="1:30">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row>
    <row r="636" spans="1:30">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row>
    <row r="637" spans="1:30">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row>
    <row r="638" spans="1:30">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row>
    <row r="639" spans="1:30">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row>
    <row r="640" spans="1:3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row>
    <row r="641" spans="1:30">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row>
    <row r="642" spans="1:30">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row>
    <row r="643" spans="1:30">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row>
    <row r="644" spans="1:30">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row>
    <row r="645" spans="1:30">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row>
    <row r="646" spans="1:30">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row>
    <row r="647" spans="1:30">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row>
    <row r="648" spans="1:30">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row>
    <row r="649" spans="1:30">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row>
    <row r="650" spans="1:3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row>
    <row r="651" spans="1:30">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row>
    <row r="652" spans="1:30">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row>
    <row r="653" spans="1:30">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row>
    <row r="654" spans="1:30">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row>
    <row r="655" spans="1:30">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row>
    <row r="656" spans="1:30">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row>
    <row r="657" spans="1:30">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row>
    <row r="658" spans="1:30">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row>
    <row r="659" spans="1:30">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row>
    <row r="660" spans="1:3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row>
    <row r="661" spans="1:30">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row>
    <row r="662" spans="1:30">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row>
    <row r="663" spans="1:30">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row>
    <row r="664" spans="1:30">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row>
    <row r="665" spans="1:30">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row>
    <row r="666" spans="1:30">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row>
    <row r="667" spans="1:30">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row>
    <row r="668" spans="1:30">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row>
    <row r="669" spans="1:30">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row>
    <row r="670" spans="1:3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row>
    <row r="671" spans="1:30">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row>
    <row r="672" spans="1:30">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row>
    <row r="673" spans="1:30">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row>
    <row r="674" spans="1:30">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row>
    <row r="675" spans="1:30">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row>
    <row r="676" spans="1:30">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row>
    <row r="677" spans="1:30">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row>
    <row r="678" spans="1:30">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row>
    <row r="679" spans="1:30">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row>
    <row r="680" spans="1:3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row>
    <row r="681" spans="1:30">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row>
    <row r="682" spans="1:30">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row>
    <row r="683" spans="1:30">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row>
    <row r="684" spans="1:30">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row>
    <row r="685" spans="1:30">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row>
    <row r="686" spans="1:30">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row>
    <row r="687" spans="1:30">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row>
    <row r="688" spans="1:30">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row>
    <row r="689" spans="1:30">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row>
    <row r="690" spans="1:3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row>
    <row r="691" spans="1:30">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row>
    <row r="692" spans="1:30">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row>
    <row r="693" spans="1:30">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row>
    <row r="694" spans="1:30">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row>
    <row r="695" spans="1:30">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row>
    <row r="696" spans="1:30">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row>
    <row r="697" spans="1:30">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row>
    <row r="698" spans="1:30">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row>
    <row r="699" spans="1:30">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row>
    <row r="700" spans="1:3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row>
    <row r="701" spans="1:30">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row>
    <row r="702" spans="1:30">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row>
    <row r="703" spans="1:30">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row>
    <row r="704" spans="1:30">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row>
    <row r="705" spans="1:30">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row>
    <row r="706" spans="1:30">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row>
    <row r="707" spans="1:30">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row>
    <row r="708" spans="1:30">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row>
    <row r="709" spans="1:30">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row>
    <row r="710" spans="1:3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row>
    <row r="711" spans="1:30">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row>
    <row r="712" spans="1:30">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row>
    <row r="713" spans="1:30">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row>
    <row r="714" spans="1:30">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row>
    <row r="715" spans="1:30">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row>
    <row r="716" spans="1:30">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row>
    <row r="717" spans="1:30">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row>
    <row r="718" spans="1:30">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row>
    <row r="719" spans="1:30">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row>
    <row r="720" spans="1:3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row>
    <row r="721" spans="1:30">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row>
    <row r="722" spans="1:30">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row>
    <row r="723" spans="1:30">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row>
    <row r="724" spans="1:30">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row>
    <row r="725" spans="1:30">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row>
    <row r="726" spans="1:30">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row>
    <row r="727" spans="1:30">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row>
    <row r="728" spans="1:30">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row>
    <row r="729" spans="1:30">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row>
    <row r="730" spans="1: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row>
    <row r="731" spans="1:30">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row>
    <row r="732" spans="1:30">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row>
    <row r="733" spans="1:30">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row>
    <row r="734" spans="1:30">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row>
    <row r="735" spans="1:30">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row>
    <row r="736" spans="1:30">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row>
    <row r="737" spans="1:30">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row>
    <row r="738" spans="1:30">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row>
    <row r="739" spans="1:30">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row>
    <row r="740" spans="1:3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row>
    <row r="741" spans="1:30">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row>
    <row r="742" spans="1:30">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row>
    <row r="743" spans="1:30">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row>
    <row r="744" spans="1:30">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row>
    <row r="745" spans="1:30">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row>
    <row r="746" spans="1:30">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row>
    <row r="747" spans="1:30">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row>
    <row r="748" spans="1:30">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row>
    <row r="749" spans="1:30">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row>
    <row r="750" spans="1:3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row>
    <row r="751" spans="1:30">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row>
    <row r="752" spans="1:30">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row>
    <row r="753" spans="1:30">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row>
    <row r="754" spans="1:30">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row>
    <row r="755" spans="1:30">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row>
    <row r="756" spans="1:30">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row>
    <row r="757" spans="1:30">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row>
    <row r="758" spans="1:30">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row>
    <row r="759" spans="1:30">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row>
    <row r="760" spans="1:3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row>
    <row r="761" spans="1:30">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row>
    <row r="762" spans="1:30">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row>
    <row r="763" spans="1:30">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row>
    <row r="764" spans="1:30">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row>
    <row r="765" spans="1:30">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row>
    <row r="766" spans="1:30">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row>
    <row r="767" spans="1:30">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row>
    <row r="768" spans="1:30">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row>
    <row r="769" spans="1:30">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row>
    <row r="770" spans="1:3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row>
    <row r="771" spans="1:30">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row>
    <row r="772" spans="1:30">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row>
    <row r="773" spans="1:30">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row>
    <row r="774" spans="1:30">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row>
    <row r="775" spans="1:30">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row>
    <row r="776" spans="1:30">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row>
    <row r="777" spans="1:30">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row>
    <row r="778" spans="1:30">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row>
    <row r="779" spans="1:30">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row>
    <row r="780" spans="1:3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row>
    <row r="781" spans="1:30">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row>
    <row r="782" spans="1:30">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row>
    <row r="783" spans="1:30">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row>
    <row r="784" spans="1:30">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row>
    <row r="785" spans="1:30">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row>
    <row r="786" spans="1:30">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row>
    <row r="787" spans="1:30">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row>
    <row r="788" spans="1:30">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row>
    <row r="789" spans="1:30">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row>
    <row r="790" spans="1:3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row>
    <row r="791" spans="1:30">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row>
    <row r="792" spans="1:30">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row>
    <row r="793" spans="1:30">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row>
    <row r="794" spans="1:30">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row>
    <row r="795" spans="1:30">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row>
    <row r="796" spans="1:30">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row>
    <row r="797" spans="1:30">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row>
    <row r="798" spans="1:30">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row>
    <row r="799" spans="1:30">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row>
    <row r="800" spans="1:3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row>
    <row r="801" spans="1:30">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row>
    <row r="802" spans="1:30">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row>
    <row r="803" spans="1:30">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row>
    <row r="804" spans="1:30">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row>
    <row r="805" spans="1:30">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row>
    <row r="806" spans="1:30">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row>
    <row r="807" spans="1:30">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row>
    <row r="808" spans="1:30">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row>
    <row r="809" spans="1:30">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row>
    <row r="810" spans="1:3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row>
    <row r="811" spans="1:30">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row>
    <row r="812" spans="1:30">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row>
    <row r="813" spans="1:30">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row>
    <row r="814" spans="1:30">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row>
    <row r="815" spans="1:30">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row>
    <row r="816" spans="1:30">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row>
    <row r="817" spans="1:30">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row>
    <row r="818" spans="1:30">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row>
    <row r="819" spans="1:30">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row>
    <row r="820" spans="1:3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row>
    <row r="821" spans="1:30">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row>
    <row r="822" spans="1:30">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row>
    <row r="823" spans="1:30">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row>
    <row r="824" spans="1:30">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row>
    <row r="825" spans="1:30">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row>
    <row r="826" spans="1:30">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row>
    <row r="827" spans="1:30">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row>
    <row r="828" spans="1:30">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row>
    <row r="829" spans="1:30">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row>
    <row r="830" spans="1: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row>
    <row r="831" spans="1:30">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row>
    <row r="832" spans="1:30">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row>
    <row r="833" spans="1:30">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row>
    <row r="834" spans="1:30">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row>
    <row r="835" spans="1:30">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row>
    <row r="836" spans="1:30">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row>
    <row r="837" spans="1:30">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row>
    <row r="838" spans="1:30">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row>
    <row r="839" spans="1:30">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row>
    <row r="840" spans="1:3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row>
    <row r="841" spans="1:30">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row>
    <row r="842" spans="1:30">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row>
    <row r="843" spans="1:30">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row>
    <row r="844" spans="1:30">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row>
    <row r="845" spans="1:30">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row>
    <row r="846" spans="1:30">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row>
    <row r="847" spans="1:30">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row>
    <row r="848" spans="1:30">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row>
    <row r="849" spans="1:30">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row>
    <row r="850" spans="1:3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row>
    <row r="851" spans="1:30">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row>
    <row r="852" spans="1:30">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row>
    <row r="853" spans="1:30">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row>
    <row r="854" spans="1:30">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row>
    <row r="855" spans="1:30">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row>
    <row r="856" spans="1:30">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row>
    <row r="857" spans="1:30">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row>
    <row r="858" spans="1:30">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row>
    <row r="859" spans="1:30">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row>
    <row r="860" spans="1:3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row>
    <row r="861" spans="1:30">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row>
    <row r="862" spans="1:30">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row>
    <row r="863" spans="1:30">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row>
    <row r="864" spans="1:30">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row>
    <row r="865" spans="1:30">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row>
    <row r="866" spans="1:30">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row>
    <row r="867" spans="1:30">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row>
    <row r="868" spans="1:30">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row>
    <row r="869" spans="1:30">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row>
    <row r="870" spans="1:3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row>
    <row r="871" spans="1:30">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row>
    <row r="872" spans="1:30">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row>
    <row r="873" spans="1:30">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row>
    <row r="874" spans="1:30">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row>
    <row r="875" spans="1:30">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row>
    <row r="876" spans="1:30">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row>
    <row r="877" spans="1:30">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row>
    <row r="878" spans="1:30">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row>
    <row r="879" spans="1:30">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row>
    <row r="880" spans="1:3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row>
    <row r="881" spans="1:30">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row>
    <row r="882" spans="1:30">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row>
    <row r="883" spans="1:30">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row>
    <row r="884" spans="1:30">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row>
    <row r="885" spans="1:30">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row>
    <row r="886" spans="1:30">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row>
    <row r="887" spans="1:30">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row>
    <row r="888" spans="1:30">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row>
    <row r="889" spans="1:30">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row>
    <row r="890" spans="1:3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row>
    <row r="891" spans="1:30">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row>
    <row r="892" spans="1:30">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row>
    <row r="893" spans="1:30">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row>
    <row r="894" spans="1:30">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row>
    <row r="895" spans="1:30">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row>
    <row r="896" spans="1:30">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row>
    <row r="897" spans="1:30">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row>
    <row r="898" spans="1:30">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row>
    <row r="899" spans="1:30">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row>
    <row r="900" spans="1:3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row>
    <row r="901" spans="1:30">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row>
    <row r="902" spans="1:30">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row>
    <row r="903" spans="1:30">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row>
    <row r="904" spans="1:30">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row>
    <row r="905" spans="1:30">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row>
    <row r="906" spans="1:30">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row>
    <row r="907" spans="1:30">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row>
    <row r="908" spans="1:30">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row>
    <row r="909" spans="1:30">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row>
    <row r="910" spans="1:3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row>
    <row r="911" spans="1:30">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row>
    <row r="912" spans="1:30">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row>
    <row r="913" spans="1:30">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row>
    <row r="914" spans="1:30">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row>
    <row r="915" spans="1:30">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row>
    <row r="916" spans="1:30">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row>
    <row r="917" spans="1:30">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row>
    <row r="918" spans="1:30">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row>
    <row r="919" spans="1:30">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row>
    <row r="920" spans="1:3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row>
    <row r="921" spans="1:30">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row>
    <row r="922" spans="1:30">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row>
    <row r="923" spans="1:30">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row>
    <row r="924" spans="1:30">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row>
    <row r="925" spans="1:30">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row>
    <row r="926" spans="1:30">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row>
    <row r="927" spans="1:30">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row>
    <row r="928" spans="1:30">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row>
    <row r="929" spans="1:30">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row>
    <row r="930" spans="1: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row>
    <row r="931" spans="1:30">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row>
    <row r="932" spans="1:30">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row>
    <row r="933" spans="1:30">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row>
    <row r="934" spans="1:30">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row>
    <row r="935" spans="1:30">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row>
    <row r="936" spans="1:30">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row>
    <row r="937" spans="1:30">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row>
    <row r="938" spans="1:30">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row>
    <row r="939" spans="1:30">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row>
    <row r="940" spans="1:3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row>
    <row r="941" spans="1:30">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row>
    <row r="942" spans="1:30">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row>
    <row r="943" spans="1:30">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row>
    <row r="944" spans="1:30">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row>
    <row r="945" spans="1:30">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row>
    <row r="946" spans="1:30">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row>
    <row r="947" spans="1:30">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row>
    <row r="948" spans="1:30">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row>
    <row r="949" spans="1:30">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row>
    <row r="950" spans="1:3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row>
    <row r="951" spans="1:30">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row>
    <row r="952" spans="1:30">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row>
    <row r="953" spans="1:30">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row>
    <row r="954" spans="1:30">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row>
    <row r="955" spans="1:30">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row>
    <row r="956" spans="1:30">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row>
    <row r="957" spans="1:30">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row>
    <row r="958" spans="1:30">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row>
    <row r="959" spans="1:30">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row>
    <row r="960" spans="1:3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row>
    <row r="961" spans="1:30">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row>
    <row r="962" spans="1:30">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row>
    <row r="963" spans="1:30">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row>
    <row r="964" spans="1:30">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row>
    <row r="965" spans="1:30">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row>
    <row r="966" spans="1:30">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row>
    <row r="967" spans="1:30">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row>
    <row r="968" spans="1:30">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row>
    <row r="969" spans="1:30">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row>
    <row r="970" spans="1:3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row>
    <row r="971" spans="1:30">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row>
    <row r="972" spans="1:30">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row>
    <row r="973" spans="1:30">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row>
    <row r="974" spans="1:30">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row>
    <row r="975" spans="1:30">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row>
    <row r="976" spans="1:30">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row>
    <row r="977" spans="1:30">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row>
    <row r="978" spans="1:30">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row>
    <row r="979" spans="1:30">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row>
    <row r="980" spans="1:3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row>
    <row r="981" spans="1:30">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row>
    <row r="982" spans="1:30">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row>
    <row r="983" spans="1:30">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row>
    <row r="984" spans="1:30">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row>
    <row r="985" spans="1:30">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row>
    <row r="986" spans="1:30">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row>
    <row r="987" spans="1:30">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row>
    <row r="988" spans="1:30">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row>
    <row r="989" spans="1:30">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row>
    <row r="990" spans="1:3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row>
    <row r="991" spans="1:30">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row>
    <row r="992" spans="1:30">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row>
    <row r="993" spans="1:30">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row>
    <row r="994" spans="1:30">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row>
    <row r="995" spans="1:30">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row>
    <row r="996" spans="1:30">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row>
    <row r="997" spans="1:30">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row>
    <row r="998" spans="1:30">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row>
    <row r="999" spans="1:30">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row>
    <row r="1000" spans="1:3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row>
  </sheetData>
  <autoFilter ref="A1:AD1000" xr:uid="{00000000-0009-0000-0000-00000F000000}"/>
  <dataValidations count="2">
    <dataValidation type="list" allowBlank="1" showErrorMessage="1" sqref="H2:H315" xr:uid="{00000000-0002-0000-0F00-000000000000}">
      <formula1>"TDP,YSRCP,JSP,Independent,Other Party"</formula1>
    </dataValidation>
    <dataValidation type="list" allowBlank="1" showErrorMessage="1" sqref="I2:I315" xr:uid="{00000000-0002-0000-0F00-000001000000}">
      <formula1>"Safe,Battleground,Difficult"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village-reports</vt:lpstr>
      <vt:lpstr>Demography</vt:lpstr>
      <vt:lpstr>Data</vt:lpstr>
      <vt:lpstr>Key Leaders</vt:lpstr>
      <vt:lpstr>Back End</vt:lpstr>
      <vt:lpstr>Raw Data - Field Input</vt:lpstr>
      <vt:lpstr>Key Leaders-Past</vt:lpstr>
      <vt:lpstr>Caste Data</vt:lpstr>
      <vt:lpstr>F20-2024</vt:lpstr>
      <vt:lpstr>Village-F20-2024</vt:lpstr>
      <vt:lpstr>Events Planned</vt:lpstr>
      <vt:lpstr>ME</vt:lpstr>
      <vt:lpstr>Sheet14</vt:lpstr>
      <vt:lpstr>Retro Villagewise</vt:lpstr>
      <vt:lpstr>Sheet5</vt:lpstr>
      <vt:lpstr>Cleaned Data for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dc:creator>
  <cp:lastModifiedBy>Hari Vivek</cp:lastModifiedBy>
  <dcterms:created xsi:type="dcterms:W3CDTF">2026-03-01T15:19:52Z</dcterms:created>
  <dcterms:modified xsi:type="dcterms:W3CDTF">2026-03-01T15:33:09Z</dcterms:modified>
</cp:coreProperties>
</file>